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720" windowWidth="20400" windowHeight="8100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7" r:id="rId12"/>
    <sheet name="341-CT" sheetId="78" r:id="rId13"/>
    <sheet name="NXT" sheetId="55" r:id="rId14"/>
    <sheet name="IN-NX" sheetId="56" r:id="rId15"/>
    <sheet name="152-CT" sheetId="57" r:id="rId16"/>
    <sheet name="TK" sheetId="58" r:id="rId17"/>
    <sheet name="BTGT" sheetId="60" r:id="rId18"/>
    <sheet name="SO-TS" sheetId="79" r:id="rId19"/>
    <sheet name="Sheet1" sheetId="74" r:id="rId20"/>
  </sheets>
  <externalReferences>
    <externalReference r:id="rId21"/>
    <externalReference r:id="rId22"/>
    <externalReference r:id="rId23"/>
    <externalReference r:id="rId24"/>
    <externalReference r:id="rId25"/>
  </externalReferences>
  <definedNames>
    <definedName name="_C111">TH!$Q$10:$Q$4886</definedName>
    <definedName name="_C112">TH!$T$10:$T$4886</definedName>
    <definedName name="_Fill" localSheetId="6" hidden="1">#REF!</definedName>
    <definedName name="_Fill" localSheetId="12" hidden="1">#REF!</definedName>
    <definedName name="_Fill" localSheetId="3" hidden="1">#REF!</definedName>
    <definedName name="_xlnm._FilterDatabase" localSheetId="4" hidden="1">'111'!$A$12:$J$53</definedName>
    <definedName name="_xlnm._FilterDatabase" localSheetId="6" hidden="1">'112'!$A$10:$K$135</definedName>
    <definedName name="_xlnm._FilterDatabase" localSheetId="8" hidden="1">'131-CT'!$A$12:$I$25</definedName>
    <definedName name="_xlnm._FilterDatabase" localSheetId="15" hidden="1">'152-CT'!$A$12:$N$65</definedName>
    <definedName name="_xlnm._FilterDatabase" localSheetId="10" hidden="1">'331-CT'!$A$12:$I$21</definedName>
    <definedName name="_xlnm._FilterDatabase" localSheetId="17" hidden="1">BTGT!$A$50:$Q$147</definedName>
    <definedName name="_xlnm._FilterDatabase" localSheetId="3" hidden="1">CTTK!$A$13:$J$15</definedName>
    <definedName name="_xlnm._FilterDatabase" localSheetId="13" hidden="1">NXT!$A$11:$M$688</definedName>
    <definedName name="_xlnm._FilterDatabase" localSheetId="19" hidden="1">Sheet1!$A$485:$T$532</definedName>
    <definedName name="_xlnm._FilterDatabase" localSheetId="1" hidden="1">TH!$A$9:$AD$4773</definedName>
    <definedName name="_xlnm._FilterDatabase" localSheetId="16" hidden="1">TK!$A$1:$J$1</definedName>
    <definedName name="_M">TH!$B$10:$B$4886</definedName>
    <definedName name="_N111">TH!$P$10:$P$4886</definedName>
    <definedName name="_N112">TH!$S$10:$S$4886</definedName>
    <definedName name="_TH">[1]TH!$K$10:$K$6974</definedName>
    <definedName name="_TM1">IF('IN-TC'!$S$4=1,1,IF('IN-TC'!$S$4=2,4,IF('IN-TC'!$S$4=3,7,10)))</definedName>
    <definedName name="_TM2">IF('IN-TC'!$S$4=1,3,IF('IN-TC'!$S$4=2,6,IF('IN-TC'!$S$4=3,9,12)))</definedName>
    <definedName name="DG">TH!$J$10:$J$4886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IF(!Loai10="x",ROW(Loai10)-1,"")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IF(!Loai4="x",ROW(Loai4)-1,"")</definedName>
    <definedName name="Dong6">IF(!Loai6="x",ROW(Loai6)-1,"")</definedName>
    <definedName name="Dong7">IF(!Loai6="2",ROW(Loai6)-1,"")</definedName>
    <definedName name="Dong8">IF(!Loai6="3",ROW(Loai6)-1,"")</definedName>
    <definedName name="Dong9">IF(!Loai6="4",ROW(Loai6)-1,"")</definedName>
    <definedName name="DS_131">'131'!$B$6:$B$52</definedName>
    <definedName name="DSGT1">BTGT!$B$6:$B$43</definedName>
    <definedName name="DSGT2">BTGT!$B$51:$B$148</definedName>
    <definedName name="DSGT3">BTGT!$B$157:$B$201</definedName>
    <definedName name="DSGT4">BTGT!$B$208:$B$268</definedName>
    <definedName name="DSKH">'331'!$B$6:$B$17</definedName>
    <definedName name="DSKU">'341'!$B$4:$B$18</definedName>
    <definedName name="DSNL">[1]NXT!$N$12:$S$579</definedName>
    <definedName name="DSSP1">BTGT!$B$6:$H$43</definedName>
    <definedName name="DSSP2">BTGT!$B$51:$H$148</definedName>
    <definedName name="DSSP3">BTGT!$B$157:$H$201</definedName>
    <definedName name="DSSP4">BTGT!$B$208:$H$268</definedName>
    <definedName name="DSTK">CDPS!$A$10:$D$58</definedName>
    <definedName name="DSTS1">'SO-TS'!$D$13:$D$19</definedName>
    <definedName name="DSTS2">'SO-TS'!#REF!</definedName>
    <definedName name="KH">TH!$H$10:$H$4886</definedName>
    <definedName name="KHC">TH!$M$10:$M$4886</definedName>
    <definedName name="KHN">TH!$L$10:$L$4886</definedName>
    <definedName name="Loai">OFFSET(TH!$N$5,,,COUNTA(TH!$N$5:$N$43196))</definedName>
    <definedName name="Loai1">OFFSET(TH!$O$5,,,COUNTA(TH!$O$5:$O$43196))</definedName>
    <definedName name="Loai10">OFFSET(TH!$X$5,,,COUNTA(TH!$X$5:$X$43196))</definedName>
    <definedName name="Loai11">OFFSET([1]TH!$Y$5,,,COUNTA([1]TH!$Y$5:$Y$42620))</definedName>
    <definedName name="Loai2">OFFSET(TH!$R$5,,,COUNTA(TH!$R$5:$R$43196))</definedName>
    <definedName name="Loai3">OFFSET('SO-TS'!#REF!,,,COUNTA('SO-TS'!$P$13:$P$3886))</definedName>
    <definedName name="Loai4">OFFSET(TH!$Y$5,,,COUNTA(TH!$Y$5:$Y$43196))</definedName>
    <definedName name="Loai5">OFFSET([1]TH!$X$5,,,COUNTA([1]TH!$X$5:$X$42620))</definedName>
    <definedName name="Loai6">OFFSET(TH!$Z$5,,,COUNTA(TH!$Z$5:$Z$43196))</definedName>
    <definedName name="Loai7">OFFSET(TH!$U$5,,,COUNTA(TH!$U$5:$U$43196))</definedName>
    <definedName name="Loai8">OFFSET(TH!$V$5,,,COUNTA(TH!$V$5:$V$43196))</definedName>
    <definedName name="Loai9">OFFSET(TH!$W$5,,,COUNTA(TH!$W$5:$W$43196))</definedName>
    <definedName name="MH">TH!$F$10:$F$4886</definedName>
    <definedName name="NXT">[1]NXT!$A$12:$A$455</definedName>
    <definedName name="_xlnm.Print_Area" localSheetId="4">'111'!$A$1:$J$59</definedName>
    <definedName name="_xlnm.Print_Area" localSheetId="6">'112'!$A$1:$I$138</definedName>
    <definedName name="_xlnm.Print_Area" localSheetId="7">'131'!$A$1:$H$58</definedName>
    <definedName name="_xlnm.Print_Area" localSheetId="8">'131-CT'!$A$1:$I$49</definedName>
    <definedName name="_xlnm.Print_Area" localSheetId="15">'152-CT'!$B$2:$M$65</definedName>
    <definedName name="_xlnm.Print_Area" localSheetId="9">'331'!$A$1:$H$22</definedName>
    <definedName name="_xlnm.Print_Area" localSheetId="10">'331-CT'!$A$1:$I$103</definedName>
    <definedName name="_xlnm.Print_Area" localSheetId="11">'341'!$A$1:$I$19</definedName>
    <definedName name="_xlnm.Print_Area" localSheetId="12">'341-CT'!$A$1:$I$40</definedName>
    <definedName name="_xlnm.Print_Area" localSheetId="17">BTGT!$A$204:$H$269</definedName>
    <definedName name="_xlnm.Print_Area" localSheetId="3">CTTK!$A$2:$I$80</definedName>
    <definedName name="_xlnm.Print_Area" localSheetId="14">'IN-NX'!$A$2:$H$36</definedName>
    <definedName name="_xlnm.Print_Area" localSheetId="5">'IN-TC'!$B$1:$O$28</definedName>
    <definedName name="_xlnm.Print_Area" localSheetId="2">NKC!$A$1:$I$36</definedName>
    <definedName name="_xlnm.Print_Area" localSheetId="13">NXT!$A$1:$K$692</definedName>
    <definedName name="_xlnm.Print_Area" localSheetId="18">'SO-TS'!$A$1:$O$33</definedName>
    <definedName name="_xlnm.Print_Area" localSheetId="16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7">BTGT!$207:$207</definedName>
    <definedName name="_xlnm.Print_Titles" localSheetId="3">CTTK!$11:$13</definedName>
    <definedName name="_xlnm.Print_Titles" localSheetId="2">NKC!$8:$9</definedName>
    <definedName name="_xlnm.Print_Titles" localSheetId="13">NXT!$8:$11</definedName>
    <definedName name="_xlnm.Print_Titles" localSheetId="18">'SO-TS'!$9:$12</definedName>
    <definedName name="SL">TH!$I$10:$I$4886</definedName>
    <definedName name="TH">TH!$K$10:$K$4886</definedName>
    <definedName name="TM">TH!$A$10:$M$4886</definedName>
  </definedNames>
  <calcPr calcId="144525"/>
</workbook>
</file>

<file path=xl/calcChain.xml><?xml version="1.0" encoding="utf-8"?>
<calcChain xmlns="http://schemas.openxmlformats.org/spreadsheetml/2006/main">
  <c r="X820" i="34" l="1"/>
  <c r="W820" i="34"/>
  <c r="V820" i="34"/>
  <c r="T820" i="34"/>
  <c r="S820" i="34"/>
  <c r="R820" i="34"/>
  <c r="N820" i="34"/>
  <c r="C820" i="34"/>
  <c r="B820" i="34"/>
  <c r="Z820" i="34" s="1"/>
  <c r="X819" i="34"/>
  <c r="W819" i="34"/>
  <c r="V819" i="34"/>
  <c r="T819" i="34"/>
  <c r="S819" i="34"/>
  <c r="R819" i="34"/>
  <c r="N819" i="34"/>
  <c r="C819" i="34"/>
  <c r="B819" i="34"/>
  <c r="Z819" i="34" s="1"/>
  <c r="X818" i="34"/>
  <c r="W818" i="34"/>
  <c r="V818" i="34"/>
  <c r="T818" i="34"/>
  <c r="S818" i="34"/>
  <c r="R818" i="34"/>
  <c r="N818" i="34"/>
  <c r="C818" i="34"/>
  <c r="B818" i="34"/>
  <c r="Z818" i="34" s="1"/>
  <c r="X817" i="34"/>
  <c r="W817" i="34"/>
  <c r="V817" i="34"/>
  <c r="T817" i="34"/>
  <c r="S817" i="34"/>
  <c r="R817" i="34"/>
  <c r="N817" i="34"/>
  <c r="C817" i="34"/>
  <c r="B817" i="34"/>
  <c r="Z817" i="34" s="1"/>
  <c r="X816" i="34"/>
  <c r="W816" i="34"/>
  <c r="V816" i="34"/>
  <c r="T816" i="34"/>
  <c r="S816" i="34"/>
  <c r="R816" i="34"/>
  <c r="N816" i="34"/>
  <c r="C816" i="34"/>
  <c r="B816" i="34"/>
  <c r="Z816" i="34" s="1"/>
  <c r="X815" i="34"/>
  <c r="W815" i="34"/>
  <c r="V815" i="34"/>
  <c r="T815" i="34"/>
  <c r="S815" i="34"/>
  <c r="R815" i="34"/>
  <c r="N815" i="34"/>
  <c r="C815" i="34"/>
  <c r="B815" i="34"/>
  <c r="Z815" i="34" s="1"/>
  <c r="X814" i="34"/>
  <c r="W814" i="34"/>
  <c r="V814" i="34"/>
  <c r="T814" i="34"/>
  <c r="S814" i="34"/>
  <c r="R814" i="34"/>
  <c r="N814" i="34"/>
  <c r="C814" i="34"/>
  <c r="B814" i="34"/>
  <c r="Z814" i="34" s="1"/>
  <c r="X813" i="34"/>
  <c r="W813" i="34"/>
  <c r="V813" i="34"/>
  <c r="T813" i="34"/>
  <c r="S813" i="34"/>
  <c r="R813" i="34"/>
  <c r="N813" i="34"/>
  <c r="C813" i="34"/>
  <c r="B813" i="34"/>
  <c r="Z813" i="34" s="1"/>
  <c r="X812" i="34"/>
  <c r="W812" i="34"/>
  <c r="V812" i="34"/>
  <c r="T812" i="34"/>
  <c r="S812" i="34"/>
  <c r="R812" i="34"/>
  <c r="N812" i="34"/>
  <c r="C812" i="34"/>
  <c r="B812" i="34"/>
  <c r="Z812" i="34" s="1"/>
  <c r="X811" i="34"/>
  <c r="W811" i="34"/>
  <c r="V811" i="34"/>
  <c r="T811" i="34"/>
  <c r="S811" i="34"/>
  <c r="R811" i="34"/>
  <c r="N811" i="34"/>
  <c r="C811" i="34"/>
  <c r="B811" i="34"/>
  <c r="Z811" i="34" s="1"/>
  <c r="X810" i="34"/>
  <c r="W810" i="34"/>
  <c r="V810" i="34"/>
  <c r="T810" i="34"/>
  <c r="S810" i="34"/>
  <c r="R810" i="34"/>
  <c r="N810" i="34"/>
  <c r="C810" i="34"/>
  <c r="B810" i="34"/>
  <c r="Z810" i="34" s="1"/>
  <c r="X809" i="34"/>
  <c r="W809" i="34"/>
  <c r="V809" i="34"/>
  <c r="T809" i="34"/>
  <c r="S809" i="34"/>
  <c r="R809" i="34"/>
  <c r="N809" i="34"/>
  <c r="C809" i="34"/>
  <c r="B809" i="34"/>
  <c r="Z809" i="34" s="1"/>
  <c r="X808" i="34"/>
  <c r="W808" i="34"/>
  <c r="V808" i="34"/>
  <c r="T808" i="34"/>
  <c r="S808" i="34"/>
  <c r="R808" i="34"/>
  <c r="N808" i="34"/>
  <c r="C808" i="34"/>
  <c r="B808" i="34"/>
  <c r="Z808" i="34" s="1"/>
  <c r="X807" i="34"/>
  <c r="W807" i="34"/>
  <c r="V807" i="34"/>
  <c r="T807" i="34"/>
  <c r="S807" i="34"/>
  <c r="R807" i="34"/>
  <c r="N807" i="34"/>
  <c r="C807" i="34"/>
  <c r="B807" i="34"/>
  <c r="Z807" i="34" s="1"/>
  <c r="Z806" i="34"/>
  <c r="X806" i="34"/>
  <c r="W806" i="34"/>
  <c r="V806" i="34"/>
  <c r="T806" i="34"/>
  <c r="S806" i="34"/>
  <c r="R806" i="34"/>
  <c r="N806" i="34"/>
  <c r="C806" i="34"/>
  <c r="B806" i="34"/>
  <c r="U806" i="34" s="1"/>
  <c r="Z805" i="34"/>
  <c r="X805" i="34"/>
  <c r="W805" i="34"/>
  <c r="V805" i="34"/>
  <c r="T805" i="34"/>
  <c r="S805" i="34"/>
  <c r="R805" i="34"/>
  <c r="N805" i="34"/>
  <c r="C805" i="34"/>
  <c r="B805" i="34"/>
  <c r="U805" i="34" s="1"/>
  <c r="Z804" i="34"/>
  <c r="X804" i="34"/>
  <c r="W804" i="34"/>
  <c r="V804" i="34"/>
  <c r="T804" i="34"/>
  <c r="S804" i="34"/>
  <c r="R804" i="34"/>
  <c r="O804" i="34"/>
  <c r="N804" i="34"/>
  <c r="C804" i="34"/>
  <c r="B804" i="34"/>
  <c r="U804" i="34" s="1"/>
  <c r="A804" i="34"/>
  <c r="X823" i="34"/>
  <c r="W823" i="34"/>
  <c r="V823" i="34"/>
  <c r="T823" i="34"/>
  <c r="S823" i="34"/>
  <c r="R823" i="34"/>
  <c r="N823" i="34"/>
  <c r="C823" i="34"/>
  <c r="B823" i="34"/>
  <c r="Z823" i="34" s="1"/>
  <c r="X822" i="34"/>
  <c r="W822" i="34"/>
  <c r="V822" i="34"/>
  <c r="T822" i="34"/>
  <c r="S822" i="34"/>
  <c r="R822" i="34"/>
  <c r="N822" i="34"/>
  <c r="C822" i="34"/>
  <c r="B822" i="34"/>
  <c r="Z822" i="34" s="1"/>
  <c r="X821" i="34"/>
  <c r="W821" i="34"/>
  <c r="V821" i="34"/>
  <c r="T821" i="34"/>
  <c r="S821" i="34"/>
  <c r="R821" i="34"/>
  <c r="N821" i="34"/>
  <c r="C821" i="34"/>
  <c r="B821" i="34"/>
  <c r="Z821" i="34" s="1"/>
  <c r="X803" i="34"/>
  <c r="W803" i="34"/>
  <c r="V803" i="34"/>
  <c r="T803" i="34"/>
  <c r="S803" i="34"/>
  <c r="R803" i="34"/>
  <c r="N803" i="34"/>
  <c r="C803" i="34"/>
  <c r="B803" i="34"/>
  <c r="Z803" i="34" s="1"/>
  <c r="X802" i="34"/>
  <c r="W802" i="34"/>
  <c r="V802" i="34"/>
  <c r="T802" i="34"/>
  <c r="S802" i="34"/>
  <c r="R802" i="34"/>
  <c r="N802" i="34"/>
  <c r="C802" i="34"/>
  <c r="B802" i="34"/>
  <c r="Z802" i="34" s="1"/>
  <c r="X801" i="34"/>
  <c r="W801" i="34"/>
  <c r="V801" i="34"/>
  <c r="T801" i="34"/>
  <c r="S801" i="34"/>
  <c r="R801" i="34"/>
  <c r="N801" i="34"/>
  <c r="C801" i="34"/>
  <c r="B801" i="34"/>
  <c r="Z801" i="34" s="1"/>
  <c r="X800" i="34"/>
  <c r="W800" i="34"/>
  <c r="V800" i="34"/>
  <c r="T800" i="34"/>
  <c r="S800" i="34"/>
  <c r="R800" i="34"/>
  <c r="N800" i="34"/>
  <c r="C800" i="34"/>
  <c r="B800" i="34"/>
  <c r="Z800" i="34" s="1"/>
  <c r="X830" i="34"/>
  <c r="W830" i="34"/>
  <c r="V830" i="34"/>
  <c r="T830" i="34"/>
  <c r="S830" i="34"/>
  <c r="R830" i="34"/>
  <c r="N830" i="34"/>
  <c r="C830" i="34"/>
  <c r="B830" i="34" s="1"/>
  <c r="X829" i="34"/>
  <c r="W829" i="34"/>
  <c r="V829" i="34"/>
  <c r="T829" i="34"/>
  <c r="S829" i="34"/>
  <c r="R829" i="34"/>
  <c r="N829" i="34"/>
  <c r="C829" i="34"/>
  <c r="B829" i="34" s="1"/>
  <c r="X828" i="34"/>
  <c r="W828" i="34"/>
  <c r="V828" i="34"/>
  <c r="T828" i="34"/>
  <c r="S828" i="34"/>
  <c r="R828" i="34"/>
  <c r="N828" i="34"/>
  <c r="C828" i="34"/>
  <c r="B828" i="34" s="1"/>
  <c r="X827" i="34"/>
  <c r="W827" i="34"/>
  <c r="V827" i="34"/>
  <c r="T827" i="34"/>
  <c r="S827" i="34"/>
  <c r="R827" i="34"/>
  <c r="N827" i="34"/>
  <c r="C827" i="34"/>
  <c r="B827" i="34" s="1"/>
  <c r="X826" i="34"/>
  <c r="W826" i="34"/>
  <c r="V826" i="34"/>
  <c r="T826" i="34"/>
  <c r="S826" i="34"/>
  <c r="R826" i="34"/>
  <c r="N826" i="34"/>
  <c r="C826" i="34"/>
  <c r="B826" i="34" s="1"/>
  <c r="X825" i="34"/>
  <c r="W825" i="34"/>
  <c r="V825" i="34"/>
  <c r="T825" i="34"/>
  <c r="S825" i="34"/>
  <c r="R825" i="34"/>
  <c r="N825" i="34"/>
  <c r="C825" i="34"/>
  <c r="B825" i="34" s="1"/>
  <c r="X824" i="34"/>
  <c r="W824" i="34"/>
  <c r="V824" i="34"/>
  <c r="T824" i="34"/>
  <c r="S824" i="34"/>
  <c r="R824" i="34"/>
  <c r="N824" i="34"/>
  <c r="C824" i="34"/>
  <c r="B824" i="34" s="1"/>
  <c r="A805" i="34" l="1"/>
  <c r="O805" i="34"/>
  <c r="A806" i="34"/>
  <c r="O806" i="34"/>
  <c r="A807" i="34"/>
  <c r="O807" i="34"/>
  <c r="A808" i="34"/>
  <c r="O808" i="34"/>
  <c r="A809" i="34"/>
  <c r="O809" i="34"/>
  <c r="A810" i="34"/>
  <c r="O810" i="34"/>
  <c r="A811" i="34"/>
  <c r="O811" i="34"/>
  <c r="A812" i="34"/>
  <c r="O812" i="34"/>
  <c r="A813" i="34"/>
  <c r="O813" i="34"/>
  <c r="A814" i="34"/>
  <c r="O814" i="34"/>
  <c r="A815" i="34"/>
  <c r="O815" i="34"/>
  <c r="A816" i="34"/>
  <c r="O816" i="34"/>
  <c r="A817" i="34"/>
  <c r="O817" i="34"/>
  <c r="A818" i="34"/>
  <c r="O818" i="34"/>
  <c r="A819" i="34"/>
  <c r="O819" i="34"/>
  <c r="A820" i="34"/>
  <c r="O820" i="34"/>
  <c r="P805" i="34"/>
  <c r="P806" i="34"/>
  <c r="P807" i="34"/>
  <c r="P808" i="34"/>
  <c r="P809" i="34"/>
  <c r="P810" i="34"/>
  <c r="P811" i="34"/>
  <c r="P812" i="34"/>
  <c r="P813" i="34"/>
  <c r="P814" i="34"/>
  <c r="P815" i="34"/>
  <c r="P816" i="34"/>
  <c r="P817" i="34"/>
  <c r="P818" i="34"/>
  <c r="P819" i="34"/>
  <c r="P820" i="34"/>
  <c r="P804" i="34"/>
  <c r="Q804" i="34"/>
  <c r="Q805" i="34"/>
  <c r="Q806" i="34"/>
  <c r="Q807" i="34"/>
  <c r="U807" i="34"/>
  <c r="Q808" i="34"/>
  <c r="U808" i="34"/>
  <c r="Q809" i="34"/>
  <c r="U809" i="34"/>
  <c r="Q810" i="34"/>
  <c r="U810" i="34"/>
  <c r="Q811" i="34"/>
  <c r="U811" i="34"/>
  <c r="Q812" i="34"/>
  <c r="U812" i="34"/>
  <c r="Q813" i="34"/>
  <c r="U813" i="34"/>
  <c r="Q814" i="34"/>
  <c r="U814" i="34"/>
  <c r="Q815" i="34"/>
  <c r="U815" i="34"/>
  <c r="Q816" i="34"/>
  <c r="U816" i="34"/>
  <c r="Q817" i="34"/>
  <c r="U817" i="34"/>
  <c r="Q818" i="34"/>
  <c r="U818" i="34"/>
  <c r="Q819" i="34"/>
  <c r="U819" i="34"/>
  <c r="Q820" i="34"/>
  <c r="U820" i="34"/>
  <c r="A800" i="34"/>
  <c r="O800" i="34"/>
  <c r="A801" i="34"/>
  <c r="O801" i="34"/>
  <c r="A802" i="34"/>
  <c r="O802" i="34"/>
  <c r="A803" i="34"/>
  <c r="O803" i="34"/>
  <c r="A821" i="34"/>
  <c r="O821" i="34"/>
  <c r="A822" i="34"/>
  <c r="O822" i="34"/>
  <c r="A823" i="34"/>
  <c r="O823" i="34"/>
  <c r="P801" i="34"/>
  <c r="P803" i="34"/>
  <c r="P821" i="34"/>
  <c r="P822" i="34"/>
  <c r="P823" i="34"/>
  <c r="P800" i="34"/>
  <c r="P802" i="34"/>
  <c r="Q800" i="34"/>
  <c r="U800" i="34"/>
  <c r="Q801" i="34"/>
  <c r="U801" i="34"/>
  <c r="Q802" i="34"/>
  <c r="U802" i="34"/>
  <c r="Q803" i="34"/>
  <c r="U803" i="34"/>
  <c r="Q821" i="34"/>
  <c r="U821" i="34"/>
  <c r="Q822" i="34"/>
  <c r="U822" i="34"/>
  <c r="Q823" i="34"/>
  <c r="U823" i="34"/>
  <c r="Z825" i="34"/>
  <c r="U825" i="34"/>
  <c r="Q825" i="34"/>
  <c r="P825" i="34"/>
  <c r="O825" i="34"/>
  <c r="A825" i="34"/>
  <c r="Z826" i="34"/>
  <c r="U826" i="34"/>
  <c r="Q826" i="34"/>
  <c r="P826" i="34"/>
  <c r="O826" i="34"/>
  <c r="A826" i="34"/>
  <c r="Z828" i="34"/>
  <c r="U828" i="34"/>
  <c r="Q828" i="34"/>
  <c r="P828" i="34"/>
  <c r="O828" i="34"/>
  <c r="A828" i="34"/>
  <c r="Z830" i="34"/>
  <c r="U830" i="34"/>
  <c r="Q830" i="34"/>
  <c r="P830" i="34"/>
  <c r="O830" i="34"/>
  <c r="A830" i="34"/>
  <c r="Z824" i="34"/>
  <c r="U824" i="34"/>
  <c r="Q824" i="34"/>
  <c r="P824" i="34"/>
  <c r="O824" i="34"/>
  <c r="A824" i="34"/>
  <c r="Z827" i="34"/>
  <c r="U827" i="34"/>
  <c r="Q827" i="34"/>
  <c r="P827" i="34"/>
  <c r="O827" i="34"/>
  <c r="A827" i="34"/>
  <c r="Z829" i="34"/>
  <c r="U829" i="34"/>
  <c r="Q829" i="34"/>
  <c r="P829" i="34"/>
  <c r="O829" i="34"/>
  <c r="A829" i="34"/>
  <c r="X794" i="34"/>
  <c r="W794" i="34"/>
  <c r="V794" i="34"/>
  <c r="N794" i="34"/>
  <c r="X793" i="34"/>
  <c r="W793" i="34"/>
  <c r="V793" i="34"/>
  <c r="N793" i="34"/>
  <c r="X792" i="34"/>
  <c r="W792" i="34"/>
  <c r="V792" i="34"/>
  <c r="N792" i="34"/>
  <c r="X791" i="34"/>
  <c r="W791" i="34"/>
  <c r="V791" i="34"/>
  <c r="N791" i="34"/>
  <c r="X790" i="34"/>
  <c r="W790" i="34"/>
  <c r="V790" i="34"/>
  <c r="N790" i="34"/>
  <c r="X789" i="34"/>
  <c r="W789" i="34"/>
  <c r="V789" i="34"/>
  <c r="N789" i="34"/>
  <c r="X776" i="34"/>
  <c r="W776" i="34"/>
  <c r="V776" i="34"/>
  <c r="N776" i="34"/>
  <c r="C776" i="34"/>
  <c r="B776" i="34" s="1"/>
  <c r="Z776" i="34" s="1"/>
  <c r="X775" i="34"/>
  <c r="W775" i="34"/>
  <c r="V775" i="34"/>
  <c r="N775" i="34"/>
  <c r="C775" i="34"/>
  <c r="B775" i="34" s="1"/>
  <c r="Z775" i="34" s="1"/>
  <c r="X774" i="34"/>
  <c r="W774" i="34"/>
  <c r="V774" i="34"/>
  <c r="N774" i="34"/>
  <c r="C774" i="34"/>
  <c r="B774" i="34" s="1"/>
  <c r="Z774" i="34" s="1"/>
  <c r="X773" i="34"/>
  <c r="W773" i="34"/>
  <c r="V773" i="34"/>
  <c r="N773" i="34"/>
  <c r="C773" i="34"/>
  <c r="B773" i="34" s="1"/>
  <c r="Z773" i="34" s="1"/>
  <c r="X772" i="34"/>
  <c r="W772" i="34"/>
  <c r="V772" i="34"/>
  <c r="N772" i="34"/>
  <c r="C772" i="34"/>
  <c r="B772" i="34" s="1"/>
  <c r="Z772" i="34" s="1"/>
  <c r="X771" i="34"/>
  <c r="W771" i="34"/>
  <c r="V771" i="34"/>
  <c r="N771" i="34"/>
  <c r="C771" i="34"/>
  <c r="B771" i="34" s="1"/>
  <c r="Z771" i="34" s="1"/>
  <c r="X770" i="34"/>
  <c r="W770" i="34"/>
  <c r="V770" i="34"/>
  <c r="N770" i="34"/>
  <c r="C770" i="34"/>
  <c r="B770" i="34" s="1"/>
  <c r="Z770" i="34" s="1"/>
  <c r="X769" i="34"/>
  <c r="W769" i="34"/>
  <c r="V769" i="34"/>
  <c r="N769" i="34"/>
  <c r="C769" i="34"/>
  <c r="B769" i="34" s="1"/>
  <c r="Z769" i="34" s="1"/>
  <c r="X768" i="34"/>
  <c r="W768" i="34"/>
  <c r="V768" i="34"/>
  <c r="N768" i="34"/>
  <c r="C768" i="34"/>
  <c r="B768" i="34" s="1"/>
  <c r="Z768" i="34" s="1"/>
  <c r="X767" i="34"/>
  <c r="W767" i="34"/>
  <c r="V767" i="34"/>
  <c r="N767" i="34"/>
  <c r="C767" i="34"/>
  <c r="B767" i="34" s="1"/>
  <c r="Z767" i="34" s="1"/>
  <c r="X786" i="34"/>
  <c r="W786" i="34"/>
  <c r="V786" i="34"/>
  <c r="N786" i="34"/>
  <c r="C786" i="34"/>
  <c r="B786" i="34" s="1"/>
  <c r="Z786" i="34" s="1"/>
  <c r="X785" i="34"/>
  <c r="W785" i="34"/>
  <c r="V785" i="34"/>
  <c r="N785" i="34"/>
  <c r="C785" i="34"/>
  <c r="B785" i="34" s="1"/>
  <c r="Z785" i="34" s="1"/>
  <c r="X784" i="34"/>
  <c r="W784" i="34"/>
  <c r="V784" i="34"/>
  <c r="N784" i="34"/>
  <c r="C784" i="34"/>
  <c r="B784" i="34" s="1"/>
  <c r="Z784" i="34" s="1"/>
  <c r="X783" i="34"/>
  <c r="W783" i="34"/>
  <c r="V783" i="34"/>
  <c r="N783" i="34"/>
  <c r="C783" i="34"/>
  <c r="B783" i="34" s="1"/>
  <c r="X782" i="34"/>
  <c r="W782" i="34"/>
  <c r="V782" i="34"/>
  <c r="N782" i="34"/>
  <c r="C782" i="34"/>
  <c r="B782" i="34" s="1"/>
  <c r="X781" i="34"/>
  <c r="W781" i="34"/>
  <c r="V781" i="34"/>
  <c r="N781" i="34"/>
  <c r="C781" i="34"/>
  <c r="B781" i="34" s="1"/>
  <c r="X780" i="34"/>
  <c r="W780" i="34"/>
  <c r="V780" i="34"/>
  <c r="N780" i="34"/>
  <c r="C780" i="34"/>
  <c r="B780" i="34" s="1"/>
  <c r="U780" i="34" s="1"/>
  <c r="X779" i="34"/>
  <c r="W779" i="34"/>
  <c r="V779" i="34"/>
  <c r="N779" i="34"/>
  <c r="C779" i="34"/>
  <c r="B779" i="34" s="1"/>
  <c r="X778" i="34"/>
  <c r="W778" i="34"/>
  <c r="V778" i="34"/>
  <c r="N778" i="34"/>
  <c r="C778" i="34"/>
  <c r="B778" i="34" s="1"/>
  <c r="U778" i="34" s="1"/>
  <c r="X777" i="34"/>
  <c r="W777" i="34"/>
  <c r="V777" i="34"/>
  <c r="N777" i="34"/>
  <c r="C777" i="34"/>
  <c r="B777" i="34" s="1"/>
  <c r="X796" i="34"/>
  <c r="W796" i="34"/>
  <c r="V796" i="34"/>
  <c r="N796" i="34"/>
  <c r="C796" i="34"/>
  <c r="B796" i="34" s="1"/>
  <c r="Z796" i="34" s="1"/>
  <c r="X795" i="34"/>
  <c r="W795" i="34"/>
  <c r="V795" i="34"/>
  <c r="N795" i="34"/>
  <c r="C795" i="34"/>
  <c r="B795" i="34" s="1"/>
  <c r="Z795" i="34" s="1"/>
  <c r="C794" i="34"/>
  <c r="B794" i="34" s="1"/>
  <c r="Z794" i="34" s="1"/>
  <c r="C793" i="34"/>
  <c r="B793" i="34" s="1"/>
  <c r="U793" i="34" s="1"/>
  <c r="C792" i="34"/>
  <c r="B792" i="34" s="1"/>
  <c r="C791" i="34"/>
  <c r="B791" i="34" s="1"/>
  <c r="Z791" i="34" s="1"/>
  <c r="C790" i="34"/>
  <c r="B790" i="34" s="1"/>
  <c r="Q790" i="34" s="1"/>
  <c r="C789" i="34"/>
  <c r="B789" i="34" s="1"/>
  <c r="Q789" i="34" s="1"/>
  <c r="X788" i="34"/>
  <c r="W788" i="34"/>
  <c r="V788" i="34"/>
  <c r="N788" i="34"/>
  <c r="C788" i="34"/>
  <c r="B788" i="34" s="1"/>
  <c r="Z788" i="34" s="1"/>
  <c r="X787" i="34"/>
  <c r="W787" i="34"/>
  <c r="V787" i="34"/>
  <c r="N787" i="34"/>
  <c r="C787" i="34"/>
  <c r="B787" i="34" s="1"/>
  <c r="Z787" i="34" s="1"/>
  <c r="X766" i="34"/>
  <c r="W766" i="34"/>
  <c r="V766" i="34"/>
  <c r="N766" i="34"/>
  <c r="X765" i="34"/>
  <c r="W765" i="34"/>
  <c r="V765" i="34"/>
  <c r="N765" i="34"/>
  <c r="X764" i="34"/>
  <c r="W764" i="34"/>
  <c r="V764" i="34"/>
  <c r="N764" i="34"/>
  <c r="X763" i="34"/>
  <c r="W763" i="34"/>
  <c r="V763" i="34"/>
  <c r="N763" i="34"/>
  <c r="X762" i="34"/>
  <c r="W762" i="34"/>
  <c r="V762" i="34"/>
  <c r="N762" i="34"/>
  <c r="X761" i="34"/>
  <c r="W761" i="34"/>
  <c r="V761" i="34"/>
  <c r="N761" i="34"/>
  <c r="X760" i="34"/>
  <c r="W760" i="34"/>
  <c r="V760" i="34"/>
  <c r="N760" i="34"/>
  <c r="X759" i="34"/>
  <c r="W759" i="34"/>
  <c r="V759" i="34"/>
  <c r="N759" i="34"/>
  <c r="X758" i="34"/>
  <c r="W758" i="34"/>
  <c r="V758" i="34"/>
  <c r="N758" i="34"/>
  <c r="X754" i="34"/>
  <c r="W754" i="34"/>
  <c r="V754" i="34"/>
  <c r="N754" i="34"/>
  <c r="C754" i="34"/>
  <c r="B754" i="34" s="1"/>
  <c r="Z754" i="34" s="1"/>
  <c r="X753" i="34"/>
  <c r="W753" i="34"/>
  <c r="V753" i="34"/>
  <c r="N753" i="34"/>
  <c r="C753" i="34"/>
  <c r="B753" i="34" s="1"/>
  <c r="Z753" i="34" s="1"/>
  <c r="X752" i="34"/>
  <c r="W752" i="34"/>
  <c r="V752" i="34"/>
  <c r="N752" i="34"/>
  <c r="C752" i="34"/>
  <c r="B752" i="34" s="1"/>
  <c r="Z752" i="34" s="1"/>
  <c r="X751" i="34"/>
  <c r="W751" i="34"/>
  <c r="V751" i="34"/>
  <c r="N751" i="34"/>
  <c r="C751" i="34"/>
  <c r="B751" i="34" s="1"/>
  <c r="Z751" i="34" s="1"/>
  <c r="X750" i="34"/>
  <c r="W750" i="34"/>
  <c r="V750" i="34"/>
  <c r="N750" i="34"/>
  <c r="C750" i="34"/>
  <c r="B750" i="34" s="1"/>
  <c r="Z750" i="34" s="1"/>
  <c r="X749" i="34"/>
  <c r="W749" i="34"/>
  <c r="V749" i="34"/>
  <c r="N749" i="34"/>
  <c r="C749" i="34"/>
  <c r="B749" i="34" s="1"/>
  <c r="Z749" i="34" s="1"/>
  <c r="X748" i="34"/>
  <c r="W748" i="34"/>
  <c r="V748" i="34"/>
  <c r="N748" i="34"/>
  <c r="C748" i="34"/>
  <c r="B748" i="34" s="1"/>
  <c r="Z748" i="34" s="1"/>
  <c r="X747" i="34"/>
  <c r="W747" i="34"/>
  <c r="V747" i="34"/>
  <c r="N747" i="34"/>
  <c r="C747" i="34"/>
  <c r="B747" i="34" s="1"/>
  <c r="Z747" i="34" s="1"/>
  <c r="X746" i="34"/>
  <c r="W746" i="34"/>
  <c r="V746" i="34"/>
  <c r="N746" i="34"/>
  <c r="C746" i="34"/>
  <c r="B746" i="34" s="1"/>
  <c r="Z746" i="34" s="1"/>
  <c r="X745" i="34"/>
  <c r="W745" i="34"/>
  <c r="V745" i="34"/>
  <c r="N745" i="34"/>
  <c r="C745" i="34"/>
  <c r="B745" i="34" s="1"/>
  <c r="Z745" i="34" s="1"/>
  <c r="X744" i="34"/>
  <c r="W744" i="34"/>
  <c r="V744" i="34"/>
  <c r="N744" i="34"/>
  <c r="C744" i="34"/>
  <c r="B744" i="34" s="1"/>
  <c r="Z744" i="34" s="1"/>
  <c r="C765" i="34"/>
  <c r="B765" i="34" s="1"/>
  <c r="C764" i="34"/>
  <c r="B764" i="34" s="1"/>
  <c r="C763" i="34"/>
  <c r="B763" i="34" s="1"/>
  <c r="U763" i="34" s="1"/>
  <c r="C762" i="34"/>
  <c r="B762" i="34" s="1"/>
  <c r="Z762" i="34" s="1"/>
  <c r="C761" i="34"/>
  <c r="B761" i="34" s="1"/>
  <c r="C760" i="34"/>
  <c r="B760" i="34" s="1"/>
  <c r="Z760" i="34" s="1"/>
  <c r="C759" i="34"/>
  <c r="B759" i="34" s="1"/>
  <c r="C758" i="34"/>
  <c r="B758" i="34" s="1"/>
  <c r="X757" i="34"/>
  <c r="W757" i="34"/>
  <c r="V757" i="34"/>
  <c r="N757" i="34"/>
  <c r="C757" i="34"/>
  <c r="B757" i="34" s="1"/>
  <c r="Z757" i="34" s="1"/>
  <c r="X756" i="34"/>
  <c r="W756" i="34"/>
  <c r="V756" i="34"/>
  <c r="N756" i="34"/>
  <c r="C756" i="34"/>
  <c r="B756" i="34" s="1"/>
  <c r="Z756" i="34" s="1"/>
  <c r="X755" i="34"/>
  <c r="W755" i="34"/>
  <c r="V755" i="34"/>
  <c r="N755" i="34"/>
  <c r="C755" i="34"/>
  <c r="B755" i="34" s="1"/>
  <c r="Z755" i="34" s="1"/>
  <c r="X735" i="34"/>
  <c r="W735" i="34"/>
  <c r="V735" i="34"/>
  <c r="N735" i="34"/>
  <c r="X734" i="34"/>
  <c r="W734" i="34"/>
  <c r="V734" i="34"/>
  <c r="N734" i="34"/>
  <c r="X733" i="34"/>
  <c r="W733" i="34"/>
  <c r="V733" i="34"/>
  <c r="N733" i="34"/>
  <c r="X715" i="34"/>
  <c r="W715" i="34"/>
  <c r="V715" i="34"/>
  <c r="N715" i="34"/>
  <c r="X714" i="34"/>
  <c r="W714" i="34"/>
  <c r="V714" i="34"/>
  <c r="N714" i="34"/>
  <c r="X713" i="34"/>
  <c r="W713" i="34"/>
  <c r="V713" i="34"/>
  <c r="N713" i="34"/>
  <c r="X719" i="34"/>
  <c r="W719" i="34"/>
  <c r="V719" i="34"/>
  <c r="N719" i="34"/>
  <c r="C719" i="34"/>
  <c r="B719" i="34" s="1"/>
  <c r="Z719" i="34" s="1"/>
  <c r="X718" i="34"/>
  <c r="W718" i="34"/>
  <c r="V718" i="34"/>
  <c r="N718" i="34"/>
  <c r="C718" i="34"/>
  <c r="B718" i="34" s="1"/>
  <c r="Z718" i="34" s="1"/>
  <c r="X717" i="34"/>
  <c r="W717" i="34"/>
  <c r="V717" i="34"/>
  <c r="N717" i="34"/>
  <c r="C717" i="34"/>
  <c r="B717" i="34" s="1"/>
  <c r="Z717" i="34" s="1"/>
  <c r="X716" i="34"/>
  <c r="W716" i="34"/>
  <c r="V716" i="34"/>
  <c r="N716" i="34"/>
  <c r="C716" i="34"/>
  <c r="B716" i="34" s="1"/>
  <c r="Z716" i="34" s="1"/>
  <c r="C715" i="34"/>
  <c r="B715" i="34" s="1"/>
  <c r="C714" i="34"/>
  <c r="B714" i="34" s="1"/>
  <c r="C713" i="34"/>
  <c r="B713" i="34" s="1"/>
  <c r="X712" i="34"/>
  <c r="W712" i="34"/>
  <c r="V712" i="34"/>
  <c r="N712" i="34"/>
  <c r="C712" i="34"/>
  <c r="B712" i="34" s="1"/>
  <c r="Z712" i="34" s="1"/>
  <c r="X711" i="34"/>
  <c r="W711" i="34"/>
  <c r="V711" i="34"/>
  <c r="N711" i="34"/>
  <c r="C711" i="34"/>
  <c r="B711" i="34" s="1"/>
  <c r="Z711" i="34" s="1"/>
  <c r="X710" i="34"/>
  <c r="W710" i="34"/>
  <c r="V710" i="34"/>
  <c r="N710" i="34"/>
  <c r="C710" i="34"/>
  <c r="B710" i="34" s="1"/>
  <c r="Z710" i="34" s="1"/>
  <c r="X709" i="34"/>
  <c r="W709" i="34"/>
  <c r="V709" i="34"/>
  <c r="N709" i="34"/>
  <c r="C709" i="34"/>
  <c r="B709" i="34" s="1"/>
  <c r="Z709" i="34" s="1"/>
  <c r="X708" i="34"/>
  <c r="W708" i="34"/>
  <c r="V708" i="34"/>
  <c r="N708" i="34"/>
  <c r="C708" i="34"/>
  <c r="B708" i="34" s="1"/>
  <c r="Z708" i="34" s="1"/>
  <c r="X731" i="34"/>
  <c r="W731" i="34"/>
  <c r="V731" i="34"/>
  <c r="N731" i="34"/>
  <c r="C731" i="34"/>
  <c r="B731" i="34" s="1"/>
  <c r="Z731" i="34" s="1"/>
  <c r="X730" i="34"/>
  <c r="W730" i="34"/>
  <c r="V730" i="34"/>
  <c r="N730" i="34"/>
  <c r="C730" i="34"/>
  <c r="B730" i="34" s="1"/>
  <c r="Z730" i="34" s="1"/>
  <c r="X729" i="34"/>
  <c r="W729" i="34"/>
  <c r="V729" i="34"/>
  <c r="N729" i="34"/>
  <c r="C729" i="34"/>
  <c r="B729" i="34" s="1"/>
  <c r="Z729" i="34" s="1"/>
  <c r="X728" i="34"/>
  <c r="W728" i="34"/>
  <c r="V728" i="34"/>
  <c r="N728" i="34"/>
  <c r="C728" i="34"/>
  <c r="B728" i="34" s="1"/>
  <c r="Z728" i="34" s="1"/>
  <c r="X727" i="34"/>
  <c r="W727" i="34"/>
  <c r="V727" i="34"/>
  <c r="N727" i="34"/>
  <c r="C727" i="34"/>
  <c r="B727" i="34" s="1"/>
  <c r="Z727" i="34" s="1"/>
  <c r="X726" i="34"/>
  <c r="W726" i="34"/>
  <c r="V726" i="34"/>
  <c r="N726" i="34"/>
  <c r="C726" i="34"/>
  <c r="B726" i="34" s="1"/>
  <c r="Z726" i="34" s="1"/>
  <c r="X725" i="34"/>
  <c r="W725" i="34"/>
  <c r="V725" i="34"/>
  <c r="N725" i="34"/>
  <c r="C725" i="34"/>
  <c r="B725" i="34" s="1"/>
  <c r="Z725" i="34" s="1"/>
  <c r="X724" i="34"/>
  <c r="W724" i="34"/>
  <c r="V724" i="34"/>
  <c r="N724" i="34"/>
  <c r="C724" i="34"/>
  <c r="B724" i="34" s="1"/>
  <c r="Z724" i="34" s="1"/>
  <c r="X723" i="34"/>
  <c r="W723" i="34"/>
  <c r="V723" i="34"/>
  <c r="N723" i="34"/>
  <c r="C723" i="34"/>
  <c r="B723" i="34" s="1"/>
  <c r="Z723" i="34" s="1"/>
  <c r="X722" i="34"/>
  <c r="W722" i="34"/>
  <c r="V722" i="34"/>
  <c r="N722" i="34"/>
  <c r="C722" i="34"/>
  <c r="B722" i="34" s="1"/>
  <c r="Z722" i="34" s="1"/>
  <c r="X721" i="34"/>
  <c r="W721" i="34"/>
  <c r="V721" i="34"/>
  <c r="N721" i="34"/>
  <c r="C721" i="34"/>
  <c r="B721" i="34" s="1"/>
  <c r="Z721" i="34" s="1"/>
  <c r="X720" i="34"/>
  <c r="W720" i="34"/>
  <c r="V720" i="34"/>
  <c r="N720" i="34"/>
  <c r="C720" i="34"/>
  <c r="B720" i="34" s="1"/>
  <c r="Z720" i="34" s="1"/>
  <c r="X742" i="34"/>
  <c r="W742" i="34"/>
  <c r="V742" i="34"/>
  <c r="N742" i="34"/>
  <c r="C742" i="34"/>
  <c r="B742" i="34" s="1"/>
  <c r="Z742" i="34" s="1"/>
  <c r="X741" i="34"/>
  <c r="W741" i="34"/>
  <c r="V741" i="34"/>
  <c r="N741" i="34"/>
  <c r="C741" i="34"/>
  <c r="B741" i="34" s="1"/>
  <c r="Z741" i="34" s="1"/>
  <c r="X740" i="34"/>
  <c r="W740" i="34"/>
  <c r="V740" i="34"/>
  <c r="N740" i="34"/>
  <c r="C740" i="34"/>
  <c r="B740" i="34" s="1"/>
  <c r="Z740" i="34" s="1"/>
  <c r="X739" i="34"/>
  <c r="W739" i="34"/>
  <c r="V739" i="34"/>
  <c r="N739" i="34"/>
  <c r="C739" i="34"/>
  <c r="B739" i="34" s="1"/>
  <c r="Z739" i="34" s="1"/>
  <c r="X738" i="34"/>
  <c r="W738" i="34"/>
  <c r="V738" i="34"/>
  <c r="N738" i="34"/>
  <c r="C738" i="34"/>
  <c r="B738" i="34" s="1"/>
  <c r="Z738" i="34" s="1"/>
  <c r="X737" i="34"/>
  <c r="W737" i="34"/>
  <c r="V737" i="34"/>
  <c r="N737" i="34"/>
  <c r="C737" i="34"/>
  <c r="B737" i="34" s="1"/>
  <c r="Z737" i="34" s="1"/>
  <c r="X736" i="34"/>
  <c r="W736" i="34"/>
  <c r="V736" i="34"/>
  <c r="N736" i="34"/>
  <c r="C736" i="34"/>
  <c r="B736" i="34" s="1"/>
  <c r="Z736" i="34" s="1"/>
  <c r="C735" i="34"/>
  <c r="B735" i="34" s="1"/>
  <c r="Z735" i="34" s="1"/>
  <c r="C734" i="34"/>
  <c r="B734" i="34" s="1"/>
  <c r="C733" i="34"/>
  <c r="B733" i="34" s="1"/>
  <c r="X732" i="34"/>
  <c r="W732" i="34"/>
  <c r="V732" i="34"/>
  <c r="N732" i="34"/>
  <c r="C732" i="34"/>
  <c r="B732" i="34" s="1"/>
  <c r="Z732" i="34" s="1"/>
  <c r="X707" i="34"/>
  <c r="W707" i="34"/>
  <c r="V707" i="34"/>
  <c r="N707" i="34"/>
  <c r="X706" i="34"/>
  <c r="W706" i="34"/>
  <c r="V706" i="34"/>
  <c r="N706" i="34"/>
  <c r="X705" i="34"/>
  <c r="W705" i="34"/>
  <c r="V705" i="34"/>
  <c r="N705" i="34"/>
  <c r="X704" i="34"/>
  <c r="W704" i="34"/>
  <c r="V704" i="34"/>
  <c r="N704" i="34"/>
  <c r="X703" i="34"/>
  <c r="W703" i="34"/>
  <c r="V703" i="34"/>
  <c r="N703" i="34"/>
  <c r="X702" i="34"/>
  <c r="W702" i="34"/>
  <c r="V702" i="34"/>
  <c r="N702" i="34"/>
  <c r="X701" i="34"/>
  <c r="W701" i="34"/>
  <c r="V701" i="34"/>
  <c r="N701" i="34"/>
  <c r="X700" i="34"/>
  <c r="W700" i="34"/>
  <c r="V700" i="34"/>
  <c r="N700" i="34"/>
  <c r="X699" i="34"/>
  <c r="W699" i="34"/>
  <c r="V699" i="34"/>
  <c r="N699" i="34"/>
  <c r="X698" i="34"/>
  <c r="W698" i="34"/>
  <c r="V698" i="34"/>
  <c r="N698" i="34"/>
  <c r="X697" i="34"/>
  <c r="W697" i="34"/>
  <c r="V697" i="34"/>
  <c r="N697" i="34"/>
  <c r="X696" i="34"/>
  <c r="W696" i="34"/>
  <c r="V696" i="34"/>
  <c r="N696" i="34"/>
  <c r="Z780" i="34" l="1"/>
  <c r="U789" i="34"/>
  <c r="U790" i="34"/>
  <c r="U779" i="34"/>
  <c r="Z779" i="34"/>
  <c r="U777" i="34"/>
  <c r="Z777" i="34"/>
  <c r="O789" i="34"/>
  <c r="Z789" i="34"/>
  <c r="Q793" i="34"/>
  <c r="Z778" i="34"/>
  <c r="P789" i="34"/>
  <c r="P791" i="34"/>
  <c r="P793" i="34"/>
  <c r="O794" i="34"/>
  <c r="P794" i="34"/>
  <c r="Z793" i="34"/>
  <c r="Q794" i="34"/>
  <c r="U794" i="34"/>
  <c r="O793" i="34"/>
  <c r="Q792" i="34"/>
  <c r="U792" i="34"/>
  <c r="Z792" i="34"/>
  <c r="O792" i="34"/>
  <c r="P792" i="34"/>
  <c r="P790" i="34"/>
  <c r="O791" i="34"/>
  <c r="Z790" i="34"/>
  <c r="Q791" i="34"/>
  <c r="U791" i="34"/>
  <c r="O790" i="34"/>
  <c r="U781" i="34"/>
  <c r="Z781" i="34"/>
  <c r="U782" i="34"/>
  <c r="Z782" i="34"/>
  <c r="Z783" i="34"/>
  <c r="A767" i="34"/>
  <c r="O767" i="34"/>
  <c r="A768" i="34"/>
  <c r="O768" i="34"/>
  <c r="A769" i="34"/>
  <c r="O769" i="34"/>
  <c r="A770" i="34"/>
  <c r="O770" i="34"/>
  <c r="A771" i="34"/>
  <c r="O771" i="34"/>
  <c r="A772" i="34"/>
  <c r="O772" i="34"/>
  <c r="A773" i="34"/>
  <c r="O773" i="34"/>
  <c r="A774" i="34"/>
  <c r="O774" i="34"/>
  <c r="A775" i="34"/>
  <c r="O775" i="34"/>
  <c r="A776" i="34"/>
  <c r="O776" i="34"/>
  <c r="P767" i="34"/>
  <c r="P768" i="34"/>
  <c r="P769" i="34"/>
  <c r="P770" i="34"/>
  <c r="P771" i="34"/>
  <c r="P772" i="34"/>
  <c r="P773" i="34"/>
  <c r="P774" i="34"/>
  <c r="P775" i="34"/>
  <c r="P776" i="34"/>
  <c r="Q767" i="34"/>
  <c r="U767" i="34"/>
  <c r="Q768" i="34"/>
  <c r="U768" i="34"/>
  <c r="Q769" i="34"/>
  <c r="U769" i="34"/>
  <c r="Q770" i="34"/>
  <c r="U770" i="34"/>
  <c r="Q771" i="34"/>
  <c r="U771" i="34"/>
  <c r="Q772" i="34"/>
  <c r="U772" i="34"/>
  <c r="Q773" i="34"/>
  <c r="U773" i="34"/>
  <c r="Q774" i="34"/>
  <c r="U774" i="34"/>
  <c r="Q775" i="34"/>
  <c r="U775" i="34"/>
  <c r="Q776" i="34"/>
  <c r="U776" i="34"/>
  <c r="A777" i="34"/>
  <c r="O777" i="34"/>
  <c r="A778" i="34"/>
  <c r="O778" i="34"/>
  <c r="A779" i="34"/>
  <c r="O779" i="34"/>
  <c r="A780" i="34"/>
  <c r="O780" i="34"/>
  <c r="A781" i="34"/>
  <c r="O781" i="34"/>
  <c r="A782" i="34"/>
  <c r="O782" i="34"/>
  <c r="A783" i="34"/>
  <c r="O783" i="34"/>
  <c r="A784" i="34"/>
  <c r="O784" i="34"/>
  <c r="A785" i="34"/>
  <c r="O785" i="34"/>
  <c r="A786" i="34"/>
  <c r="O786" i="34"/>
  <c r="P777" i="34"/>
  <c r="P778" i="34"/>
  <c r="P779" i="34"/>
  <c r="P780" i="34"/>
  <c r="P781" i="34"/>
  <c r="P782" i="34"/>
  <c r="P783" i="34"/>
  <c r="P784" i="34"/>
  <c r="P785" i="34"/>
  <c r="P786" i="34"/>
  <c r="Q777" i="34"/>
  <c r="Q778" i="34"/>
  <c r="Q779" i="34"/>
  <c r="Q780" i="34"/>
  <c r="Q781" i="34"/>
  <c r="Q782" i="34"/>
  <c r="Q783" i="34"/>
  <c r="U783" i="34"/>
  <c r="Q784" i="34"/>
  <c r="U784" i="34"/>
  <c r="Q785" i="34"/>
  <c r="U785" i="34"/>
  <c r="Q786" i="34"/>
  <c r="U786" i="34"/>
  <c r="A787" i="34"/>
  <c r="O787" i="34"/>
  <c r="A788" i="34"/>
  <c r="O788" i="34"/>
  <c r="A789" i="34"/>
  <c r="A790" i="34"/>
  <c r="A791" i="34"/>
  <c r="A792" i="34"/>
  <c r="A793" i="34"/>
  <c r="A794" i="34"/>
  <c r="A795" i="34"/>
  <c r="O795" i="34"/>
  <c r="A796" i="34"/>
  <c r="O796" i="34"/>
  <c r="P787" i="34"/>
  <c r="P788" i="34"/>
  <c r="P795" i="34"/>
  <c r="P796" i="34"/>
  <c r="Q787" i="34"/>
  <c r="U787" i="34"/>
  <c r="Q788" i="34"/>
  <c r="U788" i="34"/>
  <c r="Q795" i="34"/>
  <c r="U795" i="34"/>
  <c r="Q796" i="34"/>
  <c r="U796" i="34"/>
  <c r="O762" i="34"/>
  <c r="Z763" i="34"/>
  <c r="Q764" i="34"/>
  <c r="U764" i="34"/>
  <c r="P765" i="34"/>
  <c r="P762" i="34"/>
  <c r="O763" i="34"/>
  <c r="Z764" i="34"/>
  <c r="Q765" i="34"/>
  <c r="U765" i="34"/>
  <c r="Q762" i="34"/>
  <c r="U762" i="34"/>
  <c r="P763" i="34"/>
  <c r="O764" i="34"/>
  <c r="Z765" i="34"/>
  <c r="Q763" i="34"/>
  <c r="P764" i="34"/>
  <c r="O765" i="34"/>
  <c r="O761" i="34"/>
  <c r="Z761" i="34"/>
  <c r="U761" i="34"/>
  <c r="Q761" i="34"/>
  <c r="P761" i="34"/>
  <c r="P759" i="34"/>
  <c r="O760" i="34"/>
  <c r="Q759" i="34"/>
  <c r="U759" i="34"/>
  <c r="P760" i="34"/>
  <c r="Z759" i="34"/>
  <c r="Q760" i="34"/>
  <c r="U760" i="34"/>
  <c r="O759" i="34"/>
  <c r="Z758" i="34"/>
  <c r="U758" i="34"/>
  <c r="Q758" i="34"/>
  <c r="P758" i="34"/>
  <c r="O758" i="34"/>
  <c r="A744" i="34"/>
  <c r="O744" i="34"/>
  <c r="A745" i="34"/>
  <c r="O745" i="34"/>
  <c r="A746" i="34"/>
  <c r="O746" i="34"/>
  <c r="A747" i="34"/>
  <c r="O747" i="34"/>
  <c r="A748" i="34"/>
  <c r="O748" i="34"/>
  <c r="A749" i="34"/>
  <c r="O749" i="34"/>
  <c r="A750" i="34"/>
  <c r="O750" i="34"/>
  <c r="A751" i="34"/>
  <c r="O751" i="34"/>
  <c r="A752" i="34"/>
  <c r="O752" i="34"/>
  <c r="A753" i="34"/>
  <c r="O753" i="34"/>
  <c r="A754" i="34"/>
  <c r="O754" i="34"/>
  <c r="P744" i="34"/>
  <c r="P745" i="34"/>
  <c r="P746" i="34"/>
  <c r="P747" i="34"/>
  <c r="P748" i="34"/>
  <c r="P749" i="34"/>
  <c r="P750" i="34"/>
  <c r="P751" i="34"/>
  <c r="P752" i="34"/>
  <c r="P753" i="34"/>
  <c r="P754" i="34"/>
  <c r="Q744" i="34"/>
  <c r="U744" i="34"/>
  <c r="Q745" i="34"/>
  <c r="U745" i="34"/>
  <c r="Q746" i="34"/>
  <c r="U746" i="34"/>
  <c r="Q747" i="34"/>
  <c r="U747" i="34"/>
  <c r="Q748" i="34"/>
  <c r="U748" i="34"/>
  <c r="Q749" i="34"/>
  <c r="U749" i="34"/>
  <c r="Q750" i="34"/>
  <c r="U750" i="34"/>
  <c r="Q751" i="34"/>
  <c r="U751" i="34"/>
  <c r="Q752" i="34"/>
  <c r="U752" i="34"/>
  <c r="Q753" i="34"/>
  <c r="U753" i="34"/>
  <c r="Q754" i="34"/>
  <c r="U754" i="34"/>
  <c r="A755" i="34"/>
  <c r="O755" i="34"/>
  <c r="A756" i="34"/>
  <c r="O756" i="34"/>
  <c r="A757" i="34"/>
  <c r="O757" i="34"/>
  <c r="A758" i="34"/>
  <c r="A759" i="34"/>
  <c r="A760" i="34"/>
  <c r="A761" i="34"/>
  <c r="A762" i="34"/>
  <c r="A763" i="34"/>
  <c r="A764" i="34"/>
  <c r="A765" i="34"/>
  <c r="P755" i="34"/>
  <c r="P756" i="34"/>
  <c r="P757" i="34"/>
  <c r="Q755" i="34"/>
  <c r="U755" i="34"/>
  <c r="Q756" i="34"/>
  <c r="U756" i="34"/>
  <c r="Q757" i="34"/>
  <c r="U757" i="34"/>
  <c r="Q733" i="34"/>
  <c r="U733" i="34"/>
  <c r="P734" i="34"/>
  <c r="O735" i="34"/>
  <c r="Z733" i="34"/>
  <c r="Q734" i="34"/>
  <c r="U734" i="34"/>
  <c r="P735" i="34"/>
  <c r="O733" i="34"/>
  <c r="Z734" i="34"/>
  <c r="Q735" i="34"/>
  <c r="U735" i="34"/>
  <c r="P733" i="34"/>
  <c r="O734" i="34"/>
  <c r="Z715" i="34"/>
  <c r="U715" i="34"/>
  <c r="Q715" i="34"/>
  <c r="P715" i="34"/>
  <c r="O715" i="34"/>
  <c r="P713" i="34"/>
  <c r="O713" i="34"/>
  <c r="Z713" i="34"/>
  <c r="U713" i="34"/>
  <c r="Q713" i="34"/>
  <c r="P714" i="34"/>
  <c r="Q714" i="34"/>
  <c r="U714" i="34"/>
  <c r="Z714" i="34"/>
  <c r="O714" i="34"/>
  <c r="A708" i="34"/>
  <c r="O708" i="34"/>
  <c r="A709" i="34"/>
  <c r="O709" i="34"/>
  <c r="A710" i="34"/>
  <c r="O710" i="34"/>
  <c r="A711" i="34"/>
  <c r="O711" i="34"/>
  <c r="A712" i="34"/>
  <c r="O712" i="34"/>
  <c r="A713" i="34"/>
  <c r="A714" i="34"/>
  <c r="A715" i="34"/>
  <c r="A716" i="34"/>
  <c r="O716" i="34"/>
  <c r="A717" i="34"/>
  <c r="O717" i="34"/>
  <c r="A718" i="34"/>
  <c r="O718" i="34"/>
  <c r="A719" i="34"/>
  <c r="O719" i="34"/>
  <c r="P708" i="34"/>
  <c r="P709" i="34"/>
  <c r="P710" i="34"/>
  <c r="P711" i="34"/>
  <c r="P712" i="34"/>
  <c r="P716" i="34"/>
  <c r="P717" i="34"/>
  <c r="P718" i="34"/>
  <c r="P719" i="34"/>
  <c r="Q708" i="34"/>
  <c r="U708" i="34"/>
  <c r="Q709" i="34"/>
  <c r="U709" i="34"/>
  <c r="Q710" i="34"/>
  <c r="U710" i="34"/>
  <c r="Q711" i="34"/>
  <c r="U711" i="34"/>
  <c r="Q712" i="34"/>
  <c r="U712" i="34"/>
  <c r="Q716" i="34"/>
  <c r="U716" i="34"/>
  <c r="Q717" i="34"/>
  <c r="U717" i="34"/>
  <c r="Q718" i="34"/>
  <c r="U718" i="34"/>
  <c r="Q719" i="34"/>
  <c r="U719" i="34"/>
  <c r="A720" i="34"/>
  <c r="O720" i="34"/>
  <c r="A721" i="34"/>
  <c r="O721" i="34"/>
  <c r="A722" i="34"/>
  <c r="O722" i="34"/>
  <c r="A723" i="34"/>
  <c r="O723" i="34"/>
  <c r="A724" i="34"/>
  <c r="O724" i="34"/>
  <c r="A725" i="34"/>
  <c r="O725" i="34"/>
  <c r="A726" i="34"/>
  <c r="O726" i="34"/>
  <c r="A727" i="34"/>
  <c r="O727" i="34"/>
  <c r="A728" i="34"/>
  <c r="O728" i="34"/>
  <c r="A729" i="34"/>
  <c r="O729" i="34"/>
  <c r="A730" i="34"/>
  <c r="O730" i="34"/>
  <c r="A731" i="34"/>
  <c r="O731" i="34"/>
  <c r="P720" i="34"/>
  <c r="P721" i="34"/>
  <c r="P722" i="34"/>
  <c r="P723" i="34"/>
  <c r="P724" i="34"/>
  <c r="P725" i="34"/>
  <c r="P726" i="34"/>
  <c r="P727" i="34"/>
  <c r="P728" i="34"/>
  <c r="P729" i="34"/>
  <c r="P730" i="34"/>
  <c r="P731" i="34"/>
  <c r="Q720" i="34"/>
  <c r="U720" i="34"/>
  <c r="Q721" i="34"/>
  <c r="U721" i="34"/>
  <c r="Q722" i="34"/>
  <c r="U722" i="34"/>
  <c r="Q723" i="34"/>
  <c r="U723" i="34"/>
  <c r="Q724" i="34"/>
  <c r="U724" i="34"/>
  <c r="Q725" i="34"/>
  <c r="U725" i="34"/>
  <c r="Q726" i="34"/>
  <c r="U726" i="34"/>
  <c r="Q727" i="34"/>
  <c r="U727" i="34"/>
  <c r="Q728" i="34"/>
  <c r="U728" i="34"/>
  <c r="Q729" i="34"/>
  <c r="U729" i="34"/>
  <c r="Q730" i="34"/>
  <c r="U730" i="34"/>
  <c r="Q731" i="34"/>
  <c r="U731" i="34"/>
  <c r="A732" i="34"/>
  <c r="O732" i="34"/>
  <c r="A733" i="34"/>
  <c r="A734" i="34"/>
  <c r="A735" i="34"/>
  <c r="A736" i="34"/>
  <c r="O736" i="34"/>
  <c r="A737" i="34"/>
  <c r="O737" i="34"/>
  <c r="A738" i="34"/>
  <c r="O738" i="34"/>
  <c r="A739" i="34"/>
  <c r="O739" i="34"/>
  <c r="A740" i="34"/>
  <c r="O740" i="34"/>
  <c r="A741" i="34"/>
  <c r="O741" i="34"/>
  <c r="A742" i="34"/>
  <c r="O742" i="34"/>
  <c r="P732" i="34"/>
  <c r="P736" i="34"/>
  <c r="P737" i="34"/>
  <c r="P738" i="34"/>
  <c r="P739" i="34"/>
  <c r="P740" i="34"/>
  <c r="P741" i="34"/>
  <c r="P742" i="34"/>
  <c r="Q732" i="34"/>
  <c r="U732" i="34"/>
  <c r="Q736" i="34"/>
  <c r="U736" i="34"/>
  <c r="Q737" i="34"/>
  <c r="U737" i="34"/>
  <c r="Q738" i="34"/>
  <c r="U738" i="34"/>
  <c r="Q739" i="34"/>
  <c r="U739" i="34"/>
  <c r="Q740" i="34"/>
  <c r="U740" i="34"/>
  <c r="Q741" i="34"/>
  <c r="U741" i="34"/>
  <c r="Q742" i="34"/>
  <c r="U742" i="34"/>
  <c r="C707" i="34" l="1"/>
  <c r="B707" i="34" s="1"/>
  <c r="C706" i="34"/>
  <c r="B706" i="34" s="1"/>
  <c r="C705" i="34"/>
  <c r="B705" i="34" s="1"/>
  <c r="C704" i="34"/>
  <c r="B704" i="34" s="1"/>
  <c r="C703" i="34"/>
  <c r="B703" i="34" s="1"/>
  <c r="C702" i="34"/>
  <c r="B702" i="34" s="1"/>
  <c r="C701" i="34"/>
  <c r="B701" i="34" s="1"/>
  <c r="C700" i="34"/>
  <c r="B700" i="34" s="1"/>
  <c r="C699" i="34"/>
  <c r="B699" i="34" s="1"/>
  <c r="C698" i="34"/>
  <c r="B698" i="34" s="1"/>
  <c r="C697" i="34"/>
  <c r="B697" i="34" s="1"/>
  <c r="C696" i="34"/>
  <c r="B696" i="34" s="1"/>
  <c r="X691" i="34"/>
  <c r="W691" i="34"/>
  <c r="V691" i="34"/>
  <c r="N691" i="34"/>
  <c r="C691" i="34"/>
  <c r="B691" i="34" s="1"/>
  <c r="Z691" i="34" s="1"/>
  <c r="X690" i="34"/>
  <c r="W690" i="34"/>
  <c r="V690" i="34"/>
  <c r="N690" i="34"/>
  <c r="C690" i="34"/>
  <c r="B690" i="34" s="1"/>
  <c r="Z690" i="34" s="1"/>
  <c r="X689" i="34"/>
  <c r="W689" i="34"/>
  <c r="V689" i="34"/>
  <c r="N689" i="34"/>
  <c r="C689" i="34"/>
  <c r="B689" i="34" s="1"/>
  <c r="X688" i="34"/>
  <c r="W688" i="34"/>
  <c r="V688" i="34"/>
  <c r="N688" i="34"/>
  <c r="C688" i="34"/>
  <c r="B688" i="34" s="1"/>
  <c r="Z688" i="34" s="1"/>
  <c r="X687" i="34"/>
  <c r="W687" i="34"/>
  <c r="V687" i="34"/>
  <c r="N687" i="34"/>
  <c r="C687" i="34"/>
  <c r="B687" i="34" s="1"/>
  <c r="Z687" i="34" s="1"/>
  <c r="X686" i="34"/>
  <c r="W686" i="34"/>
  <c r="V686" i="34"/>
  <c r="N686" i="34"/>
  <c r="C686" i="34"/>
  <c r="B686" i="34" s="1"/>
  <c r="Z686" i="34" s="1"/>
  <c r="X685" i="34"/>
  <c r="W685" i="34"/>
  <c r="V685" i="34"/>
  <c r="N685" i="34"/>
  <c r="C685" i="34"/>
  <c r="B685" i="34" s="1"/>
  <c r="Z685" i="34" s="1"/>
  <c r="X684" i="34"/>
  <c r="W684" i="34"/>
  <c r="V684" i="34"/>
  <c r="N684" i="34"/>
  <c r="C684" i="34"/>
  <c r="B684" i="34" s="1"/>
  <c r="X798" i="34"/>
  <c r="W798" i="34"/>
  <c r="V798" i="34"/>
  <c r="N798" i="34"/>
  <c r="C798" i="34"/>
  <c r="B798" i="34" s="1"/>
  <c r="Z798" i="34" s="1"/>
  <c r="X797" i="34"/>
  <c r="W797" i="34"/>
  <c r="V797" i="34"/>
  <c r="N797" i="34"/>
  <c r="C797" i="34"/>
  <c r="B797" i="34" s="1"/>
  <c r="Z797" i="34" s="1"/>
  <c r="C766" i="34"/>
  <c r="B766" i="34" s="1"/>
  <c r="X743" i="34"/>
  <c r="W743" i="34"/>
  <c r="V743" i="34"/>
  <c r="N743" i="34"/>
  <c r="C743" i="34"/>
  <c r="B743" i="34" s="1"/>
  <c r="X695" i="34"/>
  <c r="W695" i="34"/>
  <c r="V695" i="34"/>
  <c r="N695" i="34"/>
  <c r="C695" i="34"/>
  <c r="B695" i="34" s="1"/>
  <c r="U695" i="34" s="1"/>
  <c r="X694" i="34"/>
  <c r="W694" i="34"/>
  <c r="V694" i="34"/>
  <c r="N694" i="34"/>
  <c r="C694" i="34"/>
  <c r="B694" i="34" s="1"/>
  <c r="X693" i="34"/>
  <c r="W693" i="34"/>
  <c r="V693" i="34"/>
  <c r="N693" i="34"/>
  <c r="C693" i="34"/>
  <c r="B693" i="34" s="1"/>
  <c r="U693" i="34" s="1"/>
  <c r="X692" i="34"/>
  <c r="W692" i="34"/>
  <c r="V692" i="34"/>
  <c r="N692" i="34"/>
  <c r="C692" i="34"/>
  <c r="B692" i="34" s="1"/>
  <c r="U692" i="34" s="1"/>
  <c r="Z766" i="34" l="1"/>
  <c r="U766" i="34"/>
  <c r="Q766" i="34"/>
  <c r="P766" i="34"/>
  <c r="O766" i="34"/>
  <c r="Z707" i="34"/>
  <c r="U707" i="34"/>
  <c r="Q707" i="34"/>
  <c r="O707" i="34"/>
  <c r="P707" i="34"/>
  <c r="O706" i="34"/>
  <c r="U706" i="34"/>
  <c r="Q706" i="34"/>
  <c r="Z706" i="34"/>
  <c r="P706" i="34"/>
  <c r="P705" i="34"/>
  <c r="O705" i="34"/>
  <c r="Z705" i="34"/>
  <c r="U705" i="34"/>
  <c r="Q705" i="34"/>
  <c r="Z689" i="34"/>
  <c r="Z743" i="34"/>
  <c r="U694" i="34"/>
  <c r="U684" i="34"/>
  <c r="O698" i="34"/>
  <c r="Z698" i="34"/>
  <c r="U698" i="34"/>
  <c r="Q698" i="34"/>
  <c r="P698" i="34"/>
  <c r="Z700" i="34"/>
  <c r="U700" i="34"/>
  <c r="Q700" i="34"/>
  <c r="P700" i="34"/>
  <c r="O700" i="34"/>
  <c r="P702" i="34"/>
  <c r="O702" i="34"/>
  <c r="Z702" i="34"/>
  <c r="U702" i="34"/>
  <c r="Q702" i="34"/>
  <c r="Z704" i="34"/>
  <c r="U704" i="34"/>
  <c r="Q704" i="34"/>
  <c r="P704" i="34"/>
  <c r="O704" i="34"/>
  <c r="P697" i="34"/>
  <c r="O697" i="34"/>
  <c r="Z697" i="34"/>
  <c r="U697" i="34"/>
  <c r="Q697" i="34"/>
  <c r="O699" i="34"/>
  <c r="Z699" i="34"/>
  <c r="Q699" i="34"/>
  <c r="U699" i="34"/>
  <c r="P699" i="34"/>
  <c r="U701" i="34"/>
  <c r="Q701" i="34"/>
  <c r="P701" i="34"/>
  <c r="O701" i="34"/>
  <c r="Z701" i="34"/>
  <c r="O703" i="34"/>
  <c r="Z703" i="34"/>
  <c r="U703" i="34"/>
  <c r="Q703" i="34"/>
  <c r="P703" i="34"/>
  <c r="Z696" i="34"/>
  <c r="Q696" i="34"/>
  <c r="U696" i="34"/>
  <c r="O696" i="34"/>
  <c r="P696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Z695" i="34"/>
  <c r="Z694" i="34"/>
  <c r="Z693" i="34"/>
  <c r="O693" i="34"/>
  <c r="A693" i="34"/>
  <c r="Z692" i="34"/>
  <c r="A692" i="34"/>
  <c r="O692" i="34"/>
  <c r="Z684" i="34"/>
  <c r="A684" i="34"/>
  <c r="O684" i="34"/>
  <c r="A685" i="34"/>
  <c r="O685" i="34"/>
  <c r="A686" i="34"/>
  <c r="O686" i="34"/>
  <c r="A687" i="34"/>
  <c r="O687" i="34"/>
  <c r="A688" i="34"/>
  <c r="O688" i="34"/>
  <c r="A689" i="34"/>
  <c r="O689" i="34"/>
  <c r="A690" i="34"/>
  <c r="O690" i="34"/>
  <c r="A691" i="34"/>
  <c r="O691" i="34"/>
  <c r="P684" i="34"/>
  <c r="P686" i="34"/>
  <c r="P687" i="34"/>
  <c r="P688" i="34"/>
  <c r="P689" i="34"/>
  <c r="P690" i="34"/>
  <c r="P691" i="34"/>
  <c r="P685" i="34"/>
  <c r="Q684" i="34"/>
  <c r="Q685" i="34"/>
  <c r="U685" i="34"/>
  <c r="Q686" i="34"/>
  <c r="U686" i="34"/>
  <c r="Q687" i="34"/>
  <c r="U687" i="34"/>
  <c r="Q688" i="34"/>
  <c r="U688" i="34"/>
  <c r="Q689" i="34"/>
  <c r="U689" i="34"/>
  <c r="Q690" i="34"/>
  <c r="U690" i="34"/>
  <c r="Q691" i="34"/>
  <c r="U691" i="34"/>
  <c r="A694" i="34"/>
  <c r="O694" i="34"/>
  <c r="A695" i="34"/>
  <c r="O695" i="34"/>
  <c r="A743" i="34"/>
  <c r="O743" i="34"/>
  <c r="A766" i="34"/>
  <c r="A797" i="34"/>
  <c r="O797" i="34"/>
  <c r="A798" i="34"/>
  <c r="O798" i="34"/>
  <c r="P693" i="34"/>
  <c r="P694" i="34"/>
  <c r="P695" i="34"/>
  <c r="P743" i="34"/>
  <c r="P797" i="34"/>
  <c r="P798" i="34"/>
  <c r="P692" i="34"/>
  <c r="Q692" i="34"/>
  <c r="Q693" i="34"/>
  <c r="Q694" i="34"/>
  <c r="Q695" i="34"/>
  <c r="Q743" i="34"/>
  <c r="U743" i="34"/>
  <c r="Q797" i="34"/>
  <c r="U797" i="34"/>
  <c r="Q798" i="34"/>
  <c r="U798" i="34"/>
  <c r="X414" i="34"/>
  <c r="W414" i="34"/>
  <c r="V414" i="34"/>
  <c r="N414" i="34"/>
  <c r="X413" i="34"/>
  <c r="W413" i="34"/>
  <c r="V413" i="34"/>
  <c r="N413" i="34"/>
  <c r="X412" i="34"/>
  <c r="W412" i="34"/>
  <c r="V412" i="34"/>
  <c r="T412" i="34"/>
  <c r="S412" i="34"/>
  <c r="R412" i="34"/>
  <c r="N412" i="34"/>
  <c r="X411" i="34"/>
  <c r="W411" i="34"/>
  <c r="V411" i="34"/>
  <c r="T411" i="34"/>
  <c r="S411" i="34"/>
  <c r="R411" i="34"/>
  <c r="N411" i="34"/>
  <c r="X410" i="34"/>
  <c r="W410" i="34"/>
  <c r="V410" i="34"/>
  <c r="T410" i="34"/>
  <c r="S410" i="34"/>
  <c r="R410" i="34"/>
  <c r="N410" i="34"/>
  <c r="X406" i="34"/>
  <c r="W406" i="34"/>
  <c r="V406" i="34"/>
  <c r="N406" i="34"/>
  <c r="X405" i="34"/>
  <c r="W405" i="34"/>
  <c r="V405" i="34"/>
  <c r="N405" i="34"/>
  <c r="X404" i="34"/>
  <c r="W404" i="34"/>
  <c r="V404" i="34"/>
  <c r="N404" i="34"/>
  <c r="X403" i="34"/>
  <c r="W403" i="34"/>
  <c r="V403" i="34"/>
  <c r="N403" i="34"/>
  <c r="X402" i="34"/>
  <c r="W402" i="34"/>
  <c r="V402" i="34"/>
  <c r="T402" i="34"/>
  <c r="S402" i="34"/>
  <c r="R402" i="34"/>
  <c r="N402" i="34"/>
  <c r="C410" i="34"/>
  <c r="B410" i="34" s="1"/>
  <c r="Z410" i="34" s="1"/>
  <c r="X409" i="34"/>
  <c r="W409" i="34"/>
  <c r="V409" i="34"/>
  <c r="N409" i="34"/>
  <c r="C409" i="34"/>
  <c r="B409" i="34" s="1"/>
  <c r="Z409" i="34" s="1"/>
  <c r="X408" i="34"/>
  <c r="W408" i="34"/>
  <c r="V408" i="34"/>
  <c r="N408" i="34"/>
  <c r="C408" i="34"/>
  <c r="B408" i="34" s="1"/>
  <c r="Z408" i="34" s="1"/>
  <c r="X407" i="34"/>
  <c r="W407" i="34"/>
  <c r="V407" i="34"/>
  <c r="N407" i="34"/>
  <c r="C407" i="34"/>
  <c r="B407" i="34" s="1"/>
  <c r="Z407" i="34" s="1"/>
  <c r="C406" i="34"/>
  <c r="B406" i="34" s="1"/>
  <c r="Z406" i="34" s="1"/>
  <c r="C405" i="34"/>
  <c r="B405" i="34" s="1"/>
  <c r="S405" i="34" s="1"/>
  <c r="C404" i="34"/>
  <c r="B404" i="34" s="1"/>
  <c r="C403" i="34"/>
  <c r="B403" i="34" s="1"/>
  <c r="C402" i="34"/>
  <c r="B402" i="34" s="1"/>
  <c r="Z402" i="34" s="1"/>
  <c r="X401" i="34"/>
  <c r="W401" i="34"/>
  <c r="V401" i="34"/>
  <c r="N401" i="34"/>
  <c r="C401" i="34"/>
  <c r="B401" i="34" s="1"/>
  <c r="U401" i="34" s="1"/>
  <c r="X415" i="34"/>
  <c r="W415" i="34"/>
  <c r="V415" i="34"/>
  <c r="N415" i="34"/>
  <c r="C415" i="34"/>
  <c r="B415" i="34" s="1"/>
  <c r="Z415" i="34" s="1"/>
  <c r="C414" i="34"/>
  <c r="B414" i="34" s="1"/>
  <c r="Z414" i="34" s="1"/>
  <c r="C413" i="34"/>
  <c r="B413" i="34" s="1"/>
  <c r="C412" i="34"/>
  <c r="B412" i="34" s="1"/>
  <c r="C411" i="34"/>
  <c r="B411" i="34" s="1"/>
  <c r="X400" i="34"/>
  <c r="W400" i="34"/>
  <c r="V400" i="34"/>
  <c r="N400" i="34"/>
  <c r="X399" i="34"/>
  <c r="W399" i="34"/>
  <c r="V399" i="34"/>
  <c r="N399" i="34"/>
  <c r="X398" i="34"/>
  <c r="W398" i="34"/>
  <c r="V398" i="34"/>
  <c r="N398" i="34"/>
  <c r="X397" i="34"/>
  <c r="W397" i="34"/>
  <c r="V397" i="34"/>
  <c r="N397" i="34"/>
  <c r="X396" i="34"/>
  <c r="W396" i="34"/>
  <c r="V396" i="34"/>
  <c r="T396" i="34"/>
  <c r="S396" i="34"/>
  <c r="R396" i="34"/>
  <c r="N396" i="34"/>
  <c r="X395" i="34"/>
  <c r="W395" i="34"/>
  <c r="V395" i="34"/>
  <c r="T395" i="34"/>
  <c r="S395" i="34"/>
  <c r="R395" i="34"/>
  <c r="N395" i="34"/>
  <c r="X394" i="34"/>
  <c r="W394" i="34"/>
  <c r="V394" i="34"/>
  <c r="T394" i="34"/>
  <c r="S394" i="34"/>
  <c r="R394" i="34"/>
  <c r="N394" i="34"/>
  <c r="X391" i="34"/>
  <c r="W391" i="34"/>
  <c r="V391" i="34"/>
  <c r="N391" i="34"/>
  <c r="X390" i="34"/>
  <c r="W390" i="34"/>
  <c r="V390" i="34"/>
  <c r="N390" i="34"/>
  <c r="C397" i="34"/>
  <c r="B397" i="34" s="1"/>
  <c r="S397" i="34" s="1"/>
  <c r="C396" i="34"/>
  <c r="B396" i="34" s="1"/>
  <c r="P396" i="34" s="1"/>
  <c r="C395" i="34"/>
  <c r="B395" i="34" s="1"/>
  <c r="P395" i="34" s="1"/>
  <c r="C394" i="34"/>
  <c r="B394" i="34" s="1"/>
  <c r="P394" i="34" s="1"/>
  <c r="X393" i="34"/>
  <c r="W393" i="34"/>
  <c r="V393" i="34"/>
  <c r="N393" i="34"/>
  <c r="C393" i="34"/>
  <c r="B393" i="34" s="1"/>
  <c r="Z393" i="34" s="1"/>
  <c r="X392" i="34"/>
  <c r="W392" i="34"/>
  <c r="V392" i="34"/>
  <c r="N392" i="34"/>
  <c r="C392" i="34"/>
  <c r="B392" i="34" s="1"/>
  <c r="Z392" i="34" s="1"/>
  <c r="C391" i="34"/>
  <c r="B391" i="34" s="1"/>
  <c r="C390" i="34"/>
  <c r="B390" i="34" s="1"/>
  <c r="S390" i="34" s="1"/>
  <c r="X416" i="34"/>
  <c r="W416" i="34"/>
  <c r="V416" i="34"/>
  <c r="N416" i="34"/>
  <c r="C416" i="34"/>
  <c r="B416" i="34" s="1"/>
  <c r="C400" i="34"/>
  <c r="B400" i="34" s="1"/>
  <c r="C399" i="34"/>
  <c r="B399" i="34" s="1"/>
  <c r="S399" i="34" s="1"/>
  <c r="C398" i="34"/>
  <c r="B398" i="34" s="1"/>
  <c r="Z398" i="34" s="1"/>
  <c r="X385" i="34"/>
  <c r="W385" i="34"/>
  <c r="V385" i="34"/>
  <c r="S385" i="34"/>
  <c r="N385" i="34"/>
  <c r="C385" i="34"/>
  <c r="B385" i="34" s="1"/>
  <c r="Z385" i="34" s="1"/>
  <c r="X384" i="34"/>
  <c r="W384" i="34"/>
  <c r="V384" i="34"/>
  <c r="S384" i="34"/>
  <c r="R384" i="34"/>
  <c r="N384" i="34"/>
  <c r="C384" i="34"/>
  <c r="B384" i="34" s="1"/>
  <c r="Z384" i="34" s="1"/>
  <c r="X383" i="34"/>
  <c r="W383" i="34"/>
  <c r="V383" i="34"/>
  <c r="S383" i="34"/>
  <c r="N383" i="34"/>
  <c r="C383" i="34"/>
  <c r="B383" i="34" s="1"/>
  <c r="Z383" i="34" s="1"/>
  <c r="X382" i="34"/>
  <c r="W382" i="34"/>
  <c r="V382" i="34"/>
  <c r="N382" i="34"/>
  <c r="C382" i="34"/>
  <c r="B382" i="34" s="1"/>
  <c r="X381" i="34"/>
  <c r="W381" i="34"/>
  <c r="V381" i="34"/>
  <c r="S381" i="34"/>
  <c r="N381" i="34"/>
  <c r="C381" i="34"/>
  <c r="B381" i="34" s="1"/>
  <c r="Z381" i="34" s="1"/>
  <c r="X380" i="34"/>
  <c r="W380" i="34"/>
  <c r="V380" i="34"/>
  <c r="T380" i="34"/>
  <c r="S380" i="34"/>
  <c r="N380" i="34"/>
  <c r="C380" i="34"/>
  <c r="B380" i="34" s="1"/>
  <c r="U380" i="34" s="1"/>
  <c r="X379" i="34"/>
  <c r="W379" i="34"/>
  <c r="V379" i="34"/>
  <c r="S379" i="34"/>
  <c r="R379" i="34"/>
  <c r="N379" i="34"/>
  <c r="C379" i="34"/>
  <c r="B379" i="34" s="1"/>
  <c r="U379" i="34" s="1"/>
  <c r="X378" i="34"/>
  <c r="W378" i="34"/>
  <c r="V378" i="34"/>
  <c r="T378" i="34"/>
  <c r="S378" i="34"/>
  <c r="N378" i="34"/>
  <c r="C378" i="34"/>
  <c r="B378" i="34" s="1"/>
  <c r="U378" i="34" s="1"/>
  <c r="X389" i="34"/>
  <c r="W389" i="34"/>
  <c r="V389" i="34"/>
  <c r="N389" i="34"/>
  <c r="C389" i="34"/>
  <c r="B389" i="34" s="1"/>
  <c r="Z389" i="34" s="1"/>
  <c r="X388" i="34"/>
  <c r="W388" i="34"/>
  <c r="V388" i="34"/>
  <c r="N388" i="34"/>
  <c r="C388" i="34"/>
  <c r="B388" i="34" s="1"/>
  <c r="X387" i="34"/>
  <c r="W387" i="34"/>
  <c r="V387" i="34"/>
  <c r="S387" i="34"/>
  <c r="N387" i="34"/>
  <c r="C387" i="34"/>
  <c r="B387" i="34" s="1"/>
  <c r="Z387" i="34" s="1"/>
  <c r="X386" i="34"/>
  <c r="W386" i="34"/>
  <c r="V386" i="34"/>
  <c r="S386" i="34"/>
  <c r="R386" i="34"/>
  <c r="N386" i="34"/>
  <c r="C386" i="34"/>
  <c r="B386" i="34" s="1"/>
  <c r="Z386" i="34" s="1"/>
  <c r="X418" i="34"/>
  <c r="W418" i="34"/>
  <c r="V418" i="34"/>
  <c r="T418" i="34"/>
  <c r="S418" i="34"/>
  <c r="R418" i="34"/>
  <c r="N418" i="34"/>
  <c r="C418" i="34"/>
  <c r="B418" i="34" s="1"/>
  <c r="Z418" i="34" s="1"/>
  <c r="X417" i="34"/>
  <c r="W417" i="34"/>
  <c r="V417" i="34"/>
  <c r="T417" i="34"/>
  <c r="S417" i="34"/>
  <c r="R417" i="34"/>
  <c r="N417" i="34"/>
  <c r="C417" i="34"/>
  <c r="B417" i="34" s="1"/>
  <c r="Z417" i="34" s="1"/>
  <c r="O395" i="34" l="1"/>
  <c r="O402" i="34"/>
  <c r="O410" i="34"/>
  <c r="Z411" i="34"/>
  <c r="U411" i="34"/>
  <c r="Q411" i="34"/>
  <c r="P411" i="34"/>
  <c r="O411" i="34"/>
  <c r="Z412" i="34"/>
  <c r="U412" i="34"/>
  <c r="Q412" i="34"/>
  <c r="P412" i="34"/>
  <c r="O412" i="34"/>
  <c r="Q394" i="34"/>
  <c r="U394" i="34"/>
  <c r="Z394" i="34"/>
  <c r="Q395" i="34"/>
  <c r="U395" i="34"/>
  <c r="Z395" i="34"/>
  <c r="Q396" i="34"/>
  <c r="U396" i="34"/>
  <c r="Z396" i="34"/>
  <c r="O394" i="34"/>
  <c r="O396" i="34"/>
  <c r="P402" i="34"/>
  <c r="P410" i="34"/>
  <c r="Q402" i="34"/>
  <c r="U402" i="34"/>
  <c r="Q410" i="34"/>
  <c r="U410" i="34"/>
  <c r="O414" i="34"/>
  <c r="S414" i="34"/>
  <c r="P414" i="34"/>
  <c r="T414" i="34"/>
  <c r="Q414" i="34"/>
  <c r="U414" i="34"/>
  <c r="R414" i="34"/>
  <c r="S413" i="34"/>
  <c r="O413" i="34"/>
  <c r="Z413" i="34"/>
  <c r="R413" i="34"/>
  <c r="U413" i="34"/>
  <c r="Q413" i="34"/>
  <c r="T413" i="34"/>
  <c r="P413" i="34"/>
  <c r="P405" i="34"/>
  <c r="T405" i="34"/>
  <c r="O406" i="34"/>
  <c r="S406" i="34"/>
  <c r="Q405" i="34"/>
  <c r="U405" i="34"/>
  <c r="P406" i="34"/>
  <c r="T406" i="34"/>
  <c r="R405" i="34"/>
  <c r="Z405" i="34"/>
  <c r="Q406" i="34"/>
  <c r="U406" i="34"/>
  <c r="O405" i="34"/>
  <c r="R406" i="34"/>
  <c r="S403" i="34"/>
  <c r="O403" i="34"/>
  <c r="Z403" i="34"/>
  <c r="R403" i="34"/>
  <c r="U403" i="34"/>
  <c r="Q403" i="34"/>
  <c r="T403" i="34"/>
  <c r="P403" i="34"/>
  <c r="Z404" i="34"/>
  <c r="R404" i="34"/>
  <c r="U404" i="34"/>
  <c r="Q404" i="34"/>
  <c r="T404" i="34"/>
  <c r="P404" i="34"/>
  <c r="S404" i="34"/>
  <c r="O404" i="34"/>
  <c r="R401" i="34"/>
  <c r="Z401" i="34"/>
  <c r="S400" i="34"/>
  <c r="O400" i="34"/>
  <c r="R400" i="34"/>
  <c r="Z400" i="34"/>
  <c r="U400" i="34"/>
  <c r="Q400" i="34"/>
  <c r="T400" i="34"/>
  <c r="P400" i="34"/>
  <c r="P399" i="34"/>
  <c r="T399" i="34"/>
  <c r="A401" i="34"/>
  <c r="O401" i="34"/>
  <c r="S401" i="34"/>
  <c r="A402" i="34"/>
  <c r="A403" i="34"/>
  <c r="A404" i="34"/>
  <c r="A405" i="34"/>
  <c r="A406" i="34"/>
  <c r="A407" i="34"/>
  <c r="O407" i="34"/>
  <c r="S407" i="34"/>
  <c r="A408" i="34"/>
  <c r="O408" i="34"/>
  <c r="S408" i="34"/>
  <c r="A409" i="34"/>
  <c r="O409" i="34"/>
  <c r="S409" i="34"/>
  <c r="A410" i="34"/>
  <c r="Q399" i="34"/>
  <c r="U399" i="34"/>
  <c r="Z399" i="34"/>
  <c r="P401" i="34"/>
  <c r="T401" i="34"/>
  <c r="P407" i="34"/>
  <c r="T407" i="34"/>
  <c r="P408" i="34"/>
  <c r="T408" i="34"/>
  <c r="P409" i="34"/>
  <c r="T409" i="34"/>
  <c r="R399" i="34"/>
  <c r="Q401" i="34"/>
  <c r="Q407" i="34"/>
  <c r="U407" i="34"/>
  <c r="Q408" i="34"/>
  <c r="U408" i="34"/>
  <c r="Q409" i="34"/>
  <c r="U409" i="34"/>
  <c r="O399" i="34"/>
  <c r="R407" i="34"/>
  <c r="R408" i="34"/>
  <c r="R409" i="34"/>
  <c r="A411" i="34"/>
  <c r="A412" i="34"/>
  <c r="A413" i="34"/>
  <c r="A414" i="34"/>
  <c r="A415" i="34"/>
  <c r="O415" i="34"/>
  <c r="S415" i="34"/>
  <c r="P415" i="34"/>
  <c r="T415" i="34"/>
  <c r="Q415" i="34"/>
  <c r="U415" i="34"/>
  <c r="R415" i="34"/>
  <c r="P398" i="34"/>
  <c r="O398" i="34"/>
  <c r="S398" i="34"/>
  <c r="T398" i="34"/>
  <c r="Q398" i="34"/>
  <c r="U398" i="34"/>
  <c r="R398" i="34"/>
  <c r="O397" i="34"/>
  <c r="P397" i="34"/>
  <c r="T397" i="34"/>
  <c r="Q397" i="34"/>
  <c r="U397" i="34"/>
  <c r="R397" i="34"/>
  <c r="Z397" i="34"/>
  <c r="Z391" i="34"/>
  <c r="R391" i="34"/>
  <c r="U391" i="34"/>
  <c r="Q391" i="34"/>
  <c r="T391" i="34"/>
  <c r="S391" i="34"/>
  <c r="O391" i="34"/>
  <c r="P391" i="34"/>
  <c r="O390" i="34"/>
  <c r="P390" i="34"/>
  <c r="T390" i="34"/>
  <c r="Q390" i="34"/>
  <c r="U390" i="34"/>
  <c r="R390" i="34"/>
  <c r="Z390" i="34"/>
  <c r="S389" i="34"/>
  <c r="A390" i="34"/>
  <c r="A391" i="34"/>
  <c r="A392" i="34"/>
  <c r="O392" i="34"/>
  <c r="S392" i="34"/>
  <c r="A393" i="34"/>
  <c r="O393" i="34"/>
  <c r="S393" i="34"/>
  <c r="A394" i="34"/>
  <c r="A395" i="34"/>
  <c r="A396" i="34"/>
  <c r="A397" i="34"/>
  <c r="T389" i="34"/>
  <c r="P392" i="34"/>
  <c r="T392" i="34"/>
  <c r="P393" i="34"/>
  <c r="T393" i="34"/>
  <c r="Q392" i="34"/>
  <c r="U392" i="34"/>
  <c r="Q393" i="34"/>
  <c r="U393" i="34"/>
  <c r="R392" i="34"/>
  <c r="R393" i="34"/>
  <c r="Z416" i="34"/>
  <c r="R416" i="34"/>
  <c r="U416" i="34"/>
  <c r="Q416" i="34"/>
  <c r="T416" i="34"/>
  <c r="P416" i="34"/>
  <c r="S416" i="34"/>
  <c r="O416" i="34"/>
  <c r="A416" i="34"/>
  <c r="A398" i="34"/>
  <c r="A399" i="34"/>
  <c r="A400" i="34"/>
  <c r="R389" i="34"/>
  <c r="Z388" i="34"/>
  <c r="R388" i="34"/>
  <c r="T388" i="34"/>
  <c r="S388" i="34"/>
  <c r="T387" i="34"/>
  <c r="R387" i="34"/>
  <c r="T386" i="34"/>
  <c r="T385" i="34"/>
  <c r="R385" i="34"/>
  <c r="T384" i="34"/>
  <c r="T383" i="34"/>
  <c r="R383" i="34"/>
  <c r="Z382" i="34"/>
  <c r="R382" i="34"/>
  <c r="T382" i="34"/>
  <c r="S382" i="34"/>
  <c r="T381" i="34"/>
  <c r="R381" i="34"/>
  <c r="Z380" i="34"/>
  <c r="R380" i="34"/>
  <c r="T379" i="34"/>
  <c r="Z379" i="34"/>
  <c r="Z378" i="34"/>
  <c r="R378" i="34"/>
  <c r="A378" i="34"/>
  <c r="O378" i="34"/>
  <c r="A379" i="34"/>
  <c r="O379" i="34"/>
  <c r="A380" i="34"/>
  <c r="O380" i="34"/>
  <c r="A381" i="34"/>
  <c r="O381" i="34"/>
  <c r="A382" i="34"/>
  <c r="O382" i="34"/>
  <c r="A383" i="34"/>
  <c r="O383" i="34"/>
  <c r="A384" i="34"/>
  <c r="O384" i="34"/>
  <c r="A385" i="34"/>
  <c r="O385" i="34"/>
  <c r="P378" i="34"/>
  <c r="P379" i="34"/>
  <c r="P380" i="34"/>
  <c r="P381" i="34"/>
  <c r="P382" i="34"/>
  <c r="P383" i="34"/>
  <c r="P384" i="34"/>
  <c r="P385" i="34"/>
  <c r="Q378" i="34"/>
  <c r="Q379" i="34"/>
  <c r="Q380" i="34"/>
  <c r="Q381" i="34"/>
  <c r="U381" i="34"/>
  <c r="Q382" i="34"/>
  <c r="U382" i="34"/>
  <c r="Q383" i="34"/>
  <c r="U383" i="34"/>
  <c r="Q384" i="34"/>
  <c r="U384" i="34"/>
  <c r="Q385" i="34"/>
  <c r="U385" i="34"/>
  <c r="A386" i="34"/>
  <c r="O386" i="34"/>
  <c r="A387" i="34"/>
  <c r="O387" i="34"/>
  <c r="A388" i="34"/>
  <c r="O388" i="34"/>
  <c r="A389" i="34"/>
  <c r="O389" i="34"/>
  <c r="P386" i="34"/>
  <c r="P387" i="34"/>
  <c r="P388" i="34"/>
  <c r="P389" i="34"/>
  <c r="Q386" i="34"/>
  <c r="U386" i="34"/>
  <c r="Q387" i="34"/>
  <c r="U387" i="34"/>
  <c r="Q388" i="34"/>
  <c r="U388" i="34"/>
  <c r="Q389" i="34"/>
  <c r="U389" i="34"/>
  <c r="P417" i="34"/>
  <c r="A417" i="34"/>
  <c r="O417" i="34"/>
  <c r="A418" i="34"/>
  <c r="O418" i="34"/>
  <c r="P418" i="34"/>
  <c r="Q417" i="34"/>
  <c r="U417" i="34"/>
  <c r="Q418" i="34"/>
  <c r="U418" i="34"/>
  <c r="X943" i="34"/>
  <c r="W943" i="34"/>
  <c r="V943" i="34"/>
  <c r="T943" i="34"/>
  <c r="S943" i="34"/>
  <c r="R943" i="34"/>
  <c r="N943" i="34"/>
  <c r="C943" i="34"/>
  <c r="B943" i="34" s="1"/>
  <c r="Z943" i="34" s="1"/>
  <c r="X942" i="34"/>
  <c r="W942" i="34"/>
  <c r="V942" i="34"/>
  <c r="T942" i="34"/>
  <c r="S942" i="34"/>
  <c r="R942" i="34"/>
  <c r="N942" i="34"/>
  <c r="C942" i="34"/>
  <c r="B942" i="34" s="1"/>
  <c r="Z942" i="34" s="1"/>
  <c r="X939" i="34"/>
  <c r="W939" i="34"/>
  <c r="V939" i="34"/>
  <c r="T939" i="34"/>
  <c r="S939" i="34"/>
  <c r="R939" i="34"/>
  <c r="N939" i="34"/>
  <c r="C939" i="34"/>
  <c r="B939" i="34" s="1"/>
  <c r="Z939" i="34" s="1"/>
  <c r="X938" i="34"/>
  <c r="W938" i="34"/>
  <c r="V938" i="34"/>
  <c r="T938" i="34"/>
  <c r="S938" i="34"/>
  <c r="R938" i="34"/>
  <c r="N938" i="34"/>
  <c r="C938" i="34"/>
  <c r="B938" i="34" s="1"/>
  <c r="Z938" i="34" s="1"/>
  <c r="X933" i="34"/>
  <c r="W933" i="34"/>
  <c r="V933" i="34"/>
  <c r="T933" i="34"/>
  <c r="S933" i="34"/>
  <c r="R933" i="34"/>
  <c r="N933" i="34"/>
  <c r="C933" i="34"/>
  <c r="B933" i="34" s="1"/>
  <c r="X932" i="34"/>
  <c r="W932" i="34"/>
  <c r="V932" i="34"/>
  <c r="T932" i="34"/>
  <c r="S932" i="34"/>
  <c r="R932" i="34"/>
  <c r="N932" i="34"/>
  <c r="C932" i="34"/>
  <c r="B932" i="34" s="1"/>
  <c r="Z932" i="34" s="1"/>
  <c r="X931" i="34"/>
  <c r="W931" i="34"/>
  <c r="V931" i="34"/>
  <c r="T931" i="34"/>
  <c r="S931" i="34"/>
  <c r="R931" i="34"/>
  <c r="N931" i="34"/>
  <c r="C931" i="34"/>
  <c r="B931" i="34" s="1"/>
  <c r="Z931" i="34" s="1"/>
  <c r="X930" i="34"/>
  <c r="W930" i="34"/>
  <c r="V930" i="34"/>
  <c r="T930" i="34"/>
  <c r="S930" i="34"/>
  <c r="R930" i="34"/>
  <c r="N930" i="34"/>
  <c r="C930" i="34"/>
  <c r="B930" i="34" s="1"/>
  <c r="Z930" i="34" s="1"/>
  <c r="X925" i="34"/>
  <c r="W925" i="34"/>
  <c r="V925" i="34"/>
  <c r="T925" i="34"/>
  <c r="S925" i="34"/>
  <c r="R925" i="34"/>
  <c r="N925" i="34"/>
  <c r="C925" i="34"/>
  <c r="B925" i="34" s="1"/>
  <c r="Z925" i="34" s="1"/>
  <c r="X924" i="34"/>
  <c r="W924" i="34"/>
  <c r="V924" i="34"/>
  <c r="T924" i="34"/>
  <c r="S924" i="34"/>
  <c r="R924" i="34"/>
  <c r="N924" i="34"/>
  <c r="C924" i="34"/>
  <c r="B924" i="34" s="1"/>
  <c r="Z924" i="34" s="1"/>
  <c r="X923" i="34"/>
  <c r="W923" i="34"/>
  <c r="V923" i="34"/>
  <c r="T923" i="34"/>
  <c r="S923" i="34"/>
  <c r="R923" i="34"/>
  <c r="N923" i="34"/>
  <c r="C923" i="34"/>
  <c r="B923" i="34" s="1"/>
  <c r="Z923" i="34" s="1"/>
  <c r="X922" i="34"/>
  <c r="W922" i="34"/>
  <c r="V922" i="34"/>
  <c r="T922" i="34"/>
  <c r="S922" i="34"/>
  <c r="R922" i="34"/>
  <c r="N922" i="34"/>
  <c r="C922" i="34"/>
  <c r="B922" i="34" s="1"/>
  <c r="Z922" i="34" s="1"/>
  <c r="X921" i="34"/>
  <c r="W921" i="34"/>
  <c r="V921" i="34"/>
  <c r="T921" i="34"/>
  <c r="S921" i="34"/>
  <c r="R921" i="34"/>
  <c r="N921" i="34"/>
  <c r="C921" i="34"/>
  <c r="B921" i="34" s="1"/>
  <c r="Z921" i="34" s="1"/>
  <c r="X920" i="34"/>
  <c r="W920" i="34"/>
  <c r="V920" i="34"/>
  <c r="T920" i="34"/>
  <c r="S920" i="34"/>
  <c r="R920" i="34"/>
  <c r="N920" i="34"/>
  <c r="C920" i="34"/>
  <c r="B920" i="34" s="1"/>
  <c r="Z920" i="34" s="1"/>
  <c r="X919" i="34"/>
  <c r="W919" i="34"/>
  <c r="V919" i="34"/>
  <c r="T919" i="34"/>
  <c r="S919" i="34"/>
  <c r="R919" i="34"/>
  <c r="N919" i="34"/>
  <c r="C919" i="34"/>
  <c r="B919" i="34" s="1"/>
  <c r="Z919" i="34" s="1"/>
  <c r="X918" i="34"/>
  <c r="W918" i="34"/>
  <c r="V918" i="34"/>
  <c r="T918" i="34"/>
  <c r="S918" i="34"/>
  <c r="R918" i="34"/>
  <c r="N918" i="34"/>
  <c r="C918" i="34"/>
  <c r="B918" i="34" s="1"/>
  <c r="Z918" i="34" s="1"/>
  <c r="X917" i="34"/>
  <c r="W917" i="34"/>
  <c r="V917" i="34"/>
  <c r="T917" i="34"/>
  <c r="S917" i="34"/>
  <c r="R917" i="34"/>
  <c r="N917" i="34"/>
  <c r="C917" i="34"/>
  <c r="B917" i="34" s="1"/>
  <c r="Z917" i="34" s="1"/>
  <c r="X916" i="34"/>
  <c r="W916" i="34"/>
  <c r="V916" i="34"/>
  <c r="T916" i="34"/>
  <c r="S916" i="34"/>
  <c r="R916" i="34"/>
  <c r="N916" i="34"/>
  <c r="C916" i="34"/>
  <c r="B916" i="34" s="1"/>
  <c r="Z916" i="34" s="1"/>
  <c r="A942" i="34" l="1"/>
  <c r="O942" i="34"/>
  <c r="A943" i="34"/>
  <c r="O943" i="34"/>
  <c r="P942" i="34"/>
  <c r="P943" i="34"/>
  <c r="Q942" i="34"/>
  <c r="U942" i="34"/>
  <c r="Q943" i="34"/>
  <c r="U943" i="34"/>
  <c r="A939" i="34"/>
  <c r="O939" i="34"/>
  <c r="A938" i="34"/>
  <c r="O938" i="34"/>
  <c r="Z933" i="34"/>
  <c r="O933" i="34"/>
  <c r="A933" i="34"/>
  <c r="A932" i="34"/>
  <c r="O932" i="34"/>
  <c r="P932" i="34"/>
  <c r="P933" i="34"/>
  <c r="P938" i="34"/>
  <c r="P939" i="34"/>
  <c r="Q932" i="34"/>
  <c r="U932" i="34"/>
  <c r="Q933" i="34"/>
  <c r="U933" i="34"/>
  <c r="Q938" i="34"/>
  <c r="U938" i="34"/>
  <c r="Q939" i="34"/>
  <c r="U939" i="34"/>
  <c r="A924" i="34"/>
  <c r="O924" i="34"/>
  <c r="A925" i="34"/>
  <c r="O925" i="34"/>
  <c r="A930" i="34"/>
  <c r="O930" i="34"/>
  <c r="A931" i="34"/>
  <c r="O931" i="34"/>
  <c r="P924" i="34"/>
  <c r="P925" i="34"/>
  <c r="P930" i="34"/>
  <c r="P931" i="34"/>
  <c r="Q924" i="34"/>
  <c r="U924" i="34"/>
  <c r="Q925" i="34"/>
  <c r="U925" i="34"/>
  <c r="Q930" i="34"/>
  <c r="U930" i="34"/>
  <c r="Q931" i="34"/>
  <c r="U931" i="34"/>
  <c r="A920" i="34"/>
  <c r="O920" i="34"/>
  <c r="A921" i="34"/>
  <c r="O921" i="34"/>
  <c r="A922" i="34"/>
  <c r="O922" i="34"/>
  <c r="A923" i="34"/>
  <c r="O923" i="34"/>
  <c r="P920" i="34"/>
  <c r="P921" i="34"/>
  <c r="P922" i="34"/>
  <c r="P923" i="34"/>
  <c r="Q920" i="34"/>
  <c r="U920" i="34"/>
  <c r="Q921" i="34"/>
  <c r="U921" i="34"/>
  <c r="Q922" i="34"/>
  <c r="U922" i="34"/>
  <c r="Q923" i="34"/>
  <c r="U923" i="34"/>
  <c r="A916" i="34"/>
  <c r="O916" i="34"/>
  <c r="A917" i="34"/>
  <c r="O917" i="34"/>
  <c r="A918" i="34"/>
  <c r="O918" i="34"/>
  <c r="A919" i="34"/>
  <c r="O919" i="34"/>
  <c r="P917" i="34"/>
  <c r="P918" i="34"/>
  <c r="P919" i="34"/>
  <c r="P916" i="34"/>
  <c r="Q916" i="34"/>
  <c r="U916" i="34"/>
  <c r="Q917" i="34"/>
  <c r="U917" i="34"/>
  <c r="Q918" i="34"/>
  <c r="U918" i="34"/>
  <c r="Q919" i="34"/>
  <c r="U919" i="34"/>
  <c r="J488" i="74" l="1"/>
  <c r="K488" i="74"/>
  <c r="J489" i="74"/>
  <c r="K489" i="74" s="1"/>
  <c r="J490" i="74"/>
  <c r="K490" i="74"/>
  <c r="J491" i="74"/>
  <c r="K491" i="74" s="1"/>
  <c r="J492" i="74"/>
  <c r="K492" i="74"/>
  <c r="J493" i="74"/>
  <c r="K493" i="74" s="1"/>
  <c r="J494" i="74"/>
  <c r="K494" i="74"/>
  <c r="J495" i="74"/>
  <c r="K495" i="74" s="1"/>
  <c r="J496" i="74"/>
  <c r="K496" i="74"/>
  <c r="J497" i="74"/>
  <c r="K497" i="74" s="1"/>
  <c r="J498" i="74"/>
  <c r="K498" i="74"/>
  <c r="J499" i="74"/>
  <c r="K499" i="74" s="1"/>
  <c r="J500" i="74"/>
  <c r="K500" i="74"/>
  <c r="J501" i="74"/>
  <c r="K501" i="74" s="1"/>
  <c r="J502" i="74"/>
  <c r="K502" i="74"/>
  <c r="J503" i="74"/>
  <c r="K503" i="74" s="1"/>
  <c r="J504" i="74"/>
  <c r="K504" i="74"/>
  <c r="J505" i="74"/>
  <c r="K505" i="74" s="1"/>
  <c r="J506" i="74"/>
  <c r="K506" i="74"/>
  <c r="J507" i="74"/>
  <c r="K507" i="74" s="1"/>
  <c r="J508" i="74"/>
  <c r="K508" i="74"/>
  <c r="J509" i="74"/>
  <c r="K509" i="74" s="1"/>
  <c r="J510" i="74"/>
  <c r="K510" i="74"/>
  <c r="J511" i="74"/>
  <c r="K511" i="74" s="1"/>
  <c r="J512" i="74"/>
  <c r="K512" i="74"/>
  <c r="J513" i="74"/>
  <c r="K513" i="74" s="1"/>
  <c r="J514" i="74"/>
  <c r="K514" i="74"/>
  <c r="J515" i="74"/>
  <c r="K515" i="74" s="1"/>
  <c r="J516" i="74"/>
  <c r="K516" i="74"/>
  <c r="J517" i="74"/>
  <c r="K517" i="74" s="1"/>
  <c r="J518" i="74"/>
  <c r="K518" i="74"/>
  <c r="J519" i="74"/>
  <c r="K519" i="74" s="1"/>
  <c r="J520" i="74"/>
  <c r="K520" i="74"/>
  <c r="J521" i="74"/>
  <c r="K521" i="74" s="1"/>
  <c r="J522" i="74"/>
  <c r="K522" i="74"/>
  <c r="J523" i="74"/>
  <c r="K523" i="74" s="1"/>
  <c r="J524" i="74"/>
  <c r="K524" i="74" s="1"/>
  <c r="J525" i="74"/>
  <c r="K525" i="74" s="1"/>
  <c r="J526" i="74"/>
  <c r="K526" i="74"/>
  <c r="J527" i="74"/>
  <c r="K527" i="74" s="1"/>
  <c r="J528" i="74"/>
  <c r="K528" i="74"/>
  <c r="J529" i="74"/>
  <c r="K529" i="74" s="1"/>
  <c r="J530" i="74"/>
  <c r="K530" i="74"/>
  <c r="J531" i="74"/>
  <c r="K531" i="74" s="1"/>
  <c r="J532" i="74"/>
  <c r="K532" i="74" s="1"/>
  <c r="J533" i="74"/>
  <c r="K533" i="74" s="1"/>
  <c r="J534" i="74"/>
  <c r="K534" i="74" s="1"/>
  <c r="J535" i="74"/>
  <c r="K535" i="74" s="1"/>
  <c r="J536" i="74"/>
  <c r="K536" i="74"/>
  <c r="J537" i="74"/>
  <c r="K537" i="74" s="1"/>
  <c r="J538" i="74"/>
  <c r="K538" i="74"/>
  <c r="J539" i="74"/>
  <c r="K539" i="74" s="1"/>
  <c r="J540" i="74"/>
  <c r="K540" i="74" s="1"/>
  <c r="J541" i="74"/>
  <c r="K541" i="74" s="1"/>
  <c r="J542" i="74"/>
  <c r="K542" i="74"/>
  <c r="J543" i="74"/>
  <c r="K543" i="74" s="1"/>
  <c r="J544" i="74"/>
  <c r="K544" i="74"/>
  <c r="J545" i="74"/>
  <c r="K545" i="74" s="1"/>
  <c r="J546" i="74"/>
  <c r="K546" i="74"/>
  <c r="J547" i="74"/>
  <c r="K547" i="74" s="1"/>
  <c r="J548" i="74"/>
  <c r="K548" i="74" s="1"/>
  <c r="J549" i="74"/>
  <c r="K549" i="74" s="1"/>
  <c r="J550" i="74"/>
  <c r="K550" i="74"/>
  <c r="J551" i="74"/>
  <c r="K551" i="74" s="1"/>
  <c r="J552" i="74"/>
  <c r="K552" i="74"/>
  <c r="J553" i="74"/>
  <c r="K553" i="74" s="1"/>
  <c r="J554" i="74"/>
  <c r="K554" i="74"/>
  <c r="J555" i="74"/>
  <c r="K555" i="74" s="1"/>
  <c r="J556" i="74"/>
  <c r="K556" i="74" s="1"/>
  <c r="J557" i="74"/>
  <c r="K557" i="74" s="1"/>
  <c r="J558" i="74"/>
  <c r="K558" i="74"/>
  <c r="J559" i="74"/>
  <c r="K559" i="74" s="1"/>
  <c r="J560" i="74"/>
  <c r="K560" i="74"/>
  <c r="J561" i="74"/>
  <c r="K561" i="74" s="1"/>
  <c r="J562" i="74"/>
  <c r="K562" i="74"/>
  <c r="J563" i="74"/>
  <c r="K563" i="74" s="1"/>
  <c r="J564" i="74"/>
  <c r="K564" i="74" s="1"/>
  <c r="J565" i="74"/>
  <c r="K565" i="74" s="1"/>
  <c r="J566" i="74"/>
  <c r="K566" i="74"/>
  <c r="J567" i="74"/>
  <c r="K567" i="74" s="1"/>
  <c r="J568" i="74"/>
  <c r="K568" i="74"/>
  <c r="J569" i="74"/>
  <c r="K569" i="74" s="1"/>
  <c r="J570" i="74"/>
  <c r="K570" i="74"/>
  <c r="J571" i="74"/>
  <c r="K571" i="74" s="1"/>
  <c r="J572" i="74"/>
  <c r="K572" i="74" s="1"/>
  <c r="J573" i="74"/>
  <c r="K573" i="74" s="1"/>
  <c r="J574" i="74"/>
  <c r="K574" i="74"/>
  <c r="J575" i="74"/>
  <c r="K575" i="74" s="1"/>
  <c r="J576" i="74"/>
  <c r="K576" i="74"/>
  <c r="J577" i="74"/>
  <c r="K577" i="74" s="1"/>
  <c r="J578" i="74"/>
  <c r="K578" i="74"/>
  <c r="J579" i="74"/>
  <c r="K579" i="74" s="1"/>
  <c r="J580" i="74"/>
  <c r="K580" i="74" s="1"/>
  <c r="J581" i="74"/>
  <c r="K581" i="74" s="1"/>
  <c r="J582" i="74"/>
  <c r="K582" i="74"/>
  <c r="J583" i="74"/>
  <c r="K583" i="74" s="1"/>
  <c r="J584" i="74"/>
  <c r="K584" i="74"/>
  <c r="J585" i="74"/>
  <c r="K585" i="74" s="1"/>
  <c r="J586" i="74"/>
  <c r="K586" i="74"/>
  <c r="J587" i="74"/>
  <c r="K587" i="74" s="1"/>
  <c r="J588" i="74"/>
  <c r="K588" i="74" s="1"/>
  <c r="J589" i="74"/>
  <c r="K589" i="74" s="1"/>
  <c r="J590" i="74"/>
  <c r="K590" i="74"/>
  <c r="J591" i="74"/>
  <c r="K591" i="74" s="1"/>
  <c r="J592" i="74"/>
  <c r="K592" i="74"/>
  <c r="J593" i="74"/>
  <c r="K593" i="74" s="1"/>
  <c r="J594" i="74"/>
  <c r="K594" i="74"/>
  <c r="J595" i="74"/>
  <c r="K595" i="74" s="1"/>
  <c r="J596" i="74"/>
  <c r="K596" i="74" s="1"/>
  <c r="J597" i="74"/>
  <c r="K597" i="74" s="1"/>
  <c r="J598" i="74"/>
  <c r="K598" i="74"/>
  <c r="J599" i="74"/>
  <c r="K599" i="74" s="1"/>
  <c r="J600" i="74"/>
  <c r="K600" i="74"/>
  <c r="J601" i="74"/>
  <c r="K601" i="74" s="1"/>
  <c r="J602" i="74"/>
  <c r="K602" i="74"/>
  <c r="J603" i="74"/>
  <c r="K603" i="74" s="1"/>
  <c r="J604" i="74"/>
  <c r="K604" i="74" s="1"/>
  <c r="J605" i="74"/>
  <c r="K605" i="74" s="1"/>
  <c r="J606" i="74"/>
  <c r="K606" i="74"/>
  <c r="J607" i="74"/>
  <c r="K607" i="74" s="1"/>
  <c r="J608" i="74"/>
  <c r="K608" i="74"/>
  <c r="J609" i="74"/>
  <c r="K609" i="74" s="1"/>
  <c r="J610" i="74"/>
  <c r="K610" i="74"/>
  <c r="J611" i="74"/>
  <c r="K611" i="74" s="1"/>
  <c r="J612" i="74"/>
  <c r="K612" i="74" s="1"/>
  <c r="J613" i="74"/>
  <c r="K613" i="74" s="1"/>
  <c r="J614" i="74"/>
  <c r="K614" i="74"/>
  <c r="J615" i="74"/>
  <c r="K615" i="74" s="1"/>
  <c r="J616" i="74"/>
  <c r="K616" i="74"/>
  <c r="J617" i="74"/>
  <c r="K617" i="74" s="1"/>
  <c r="J618" i="74"/>
  <c r="K618" i="74"/>
  <c r="J619" i="74"/>
  <c r="K619" i="74" s="1"/>
  <c r="J620" i="74"/>
  <c r="K620" i="74" s="1"/>
  <c r="J621" i="74"/>
  <c r="K621" i="74" s="1"/>
  <c r="J622" i="74"/>
  <c r="K622" i="74"/>
  <c r="J623" i="74"/>
  <c r="K623" i="74" s="1"/>
  <c r="J624" i="74"/>
  <c r="K624" i="74"/>
  <c r="J625" i="74"/>
  <c r="K625" i="74" s="1"/>
  <c r="J626" i="74"/>
  <c r="K626" i="74"/>
  <c r="J627" i="74"/>
  <c r="K627" i="74" s="1"/>
  <c r="J628" i="74"/>
  <c r="K628" i="74" s="1"/>
  <c r="J629" i="74"/>
  <c r="K629" i="74" s="1"/>
  <c r="J630" i="74"/>
  <c r="K630" i="74"/>
  <c r="J631" i="74"/>
  <c r="K631" i="74" s="1"/>
  <c r="J632" i="74"/>
  <c r="K632" i="74"/>
  <c r="J633" i="74"/>
  <c r="K633" i="74" s="1"/>
  <c r="J634" i="74"/>
  <c r="K634" i="74"/>
  <c r="J635" i="74"/>
  <c r="K635" i="74" s="1"/>
  <c r="J636" i="74"/>
  <c r="K636" i="74" s="1"/>
  <c r="J637" i="74"/>
  <c r="K637" i="74" s="1"/>
  <c r="J638" i="74"/>
  <c r="K638" i="74"/>
  <c r="J639" i="74"/>
  <c r="K639" i="74" s="1"/>
  <c r="J640" i="74"/>
  <c r="K640" i="74"/>
  <c r="J641" i="74"/>
  <c r="K641" i="74" s="1"/>
  <c r="J642" i="74"/>
  <c r="K642" i="74"/>
  <c r="J643" i="74"/>
  <c r="K643" i="74" s="1"/>
  <c r="J644" i="74"/>
  <c r="K644" i="74" s="1"/>
  <c r="J645" i="74"/>
  <c r="K645" i="74" s="1"/>
  <c r="J646" i="74"/>
  <c r="K646" i="74"/>
  <c r="J647" i="74"/>
  <c r="K647" i="74" s="1"/>
  <c r="J648" i="74"/>
  <c r="K648" i="74"/>
  <c r="J649" i="74"/>
  <c r="K649" i="74" s="1"/>
  <c r="J650" i="74"/>
  <c r="K650" i="74"/>
  <c r="J651" i="74"/>
  <c r="K651" i="74" s="1"/>
  <c r="J652" i="74"/>
  <c r="K652" i="74" s="1"/>
  <c r="J653" i="74"/>
  <c r="K653" i="74" s="1"/>
  <c r="J654" i="74"/>
  <c r="K654" i="74"/>
  <c r="J655" i="74"/>
  <c r="K655" i="74" s="1"/>
  <c r="J656" i="74"/>
  <c r="K656" i="74"/>
  <c r="J657" i="74"/>
  <c r="K657" i="74" s="1"/>
  <c r="J658" i="74"/>
  <c r="K658" i="74"/>
  <c r="J659" i="74"/>
  <c r="K659" i="74"/>
  <c r="J660" i="74"/>
  <c r="K660" i="74"/>
  <c r="J661" i="74"/>
  <c r="K661" i="74"/>
  <c r="J662" i="74"/>
  <c r="K662" i="74"/>
  <c r="J663" i="74"/>
  <c r="K663" i="74"/>
  <c r="J664" i="74"/>
  <c r="K664" i="74"/>
  <c r="J665" i="74"/>
  <c r="K665" i="74"/>
  <c r="J666" i="74"/>
  <c r="K666" i="74"/>
  <c r="J667" i="74"/>
  <c r="K667" i="74"/>
  <c r="J668" i="74"/>
  <c r="K668" i="74"/>
  <c r="J669" i="74"/>
  <c r="K669" i="74"/>
  <c r="J670" i="74"/>
  <c r="K670" i="74"/>
  <c r="J671" i="74"/>
  <c r="K671" i="74"/>
  <c r="J672" i="74"/>
  <c r="K672" i="74"/>
  <c r="J673" i="74"/>
  <c r="K673" i="74"/>
  <c r="J674" i="74"/>
  <c r="K674" i="74"/>
  <c r="J675" i="74"/>
  <c r="K675" i="74"/>
  <c r="J676" i="74"/>
  <c r="K676" i="74"/>
  <c r="J677" i="74"/>
  <c r="K677" i="74"/>
  <c r="J678" i="74"/>
  <c r="K678" i="74"/>
  <c r="J679" i="74"/>
  <c r="K679" i="74"/>
  <c r="J680" i="74"/>
  <c r="K680" i="74"/>
  <c r="J681" i="74"/>
  <c r="K681" i="74"/>
  <c r="J682" i="74"/>
  <c r="K682" i="74"/>
  <c r="J683" i="74"/>
  <c r="K683" i="74"/>
  <c r="J684" i="74"/>
  <c r="K684" i="74"/>
  <c r="J685" i="74"/>
  <c r="K685" i="74"/>
  <c r="J686" i="74"/>
  <c r="K686" i="74"/>
  <c r="J687" i="74"/>
  <c r="K687" i="74" s="1"/>
  <c r="J688" i="74"/>
  <c r="K688" i="74"/>
  <c r="J689" i="74"/>
  <c r="K689" i="74" s="1"/>
  <c r="J690" i="74"/>
  <c r="K690" i="74"/>
  <c r="J691" i="74"/>
  <c r="K691" i="74" s="1"/>
  <c r="J692" i="74"/>
  <c r="K692" i="74"/>
  <c r="J693" i="74"/>
  <c r="K693" i="74" s="1"/>
  <c r="J694" i="74"/>
  <c r="K694" i="74"/>
  <c r="J695" i="74"/>
  <c r="K695" i="74" s="1"/>
  <c r="J696" i="74"/>
  <c r="K696" i="74"/>
  <c r="J697" i="74"/>
  <c r="K697" i="74" s="1"/>
  <c r="J698" i="74"/>
  <c r="K698" i="74"/>
  <c r="J699" i="74"/>
  <c r="K699" i="74" s="1"/>
  <c r="J700" i="74"/>
  <c r="K700" i="74"/>
  <c r="J701" i="74"/>
  <c r="K701" i="74" s="1"/>
  <c r="J702" i="74"/>
  <c r="K702" i="74"/>
  <c r="J703" i="74"/>
  <c r="K703" i="74" s="1"/>
  <c r="J704" i="74"/>
  <c r="K704" i="74"/>
  <c r="J705" i="74"/>
  <c r="K705" i="74" s="1"/>
  <c r="J706" i="74"/>
  <c r="K706" i="74"/>
  <c r="J707" i="74"/>
  <c r="K707" i="74" s="1"/>
  <c r="J708" i="74"/>
  <c r="K708" i="74"/>
  <c r="J709" i="74"/>
  <c r="K709" i="74" s="1"/>
  <c r="J710" i="74"/>
  <c r="K710" i="74"/>
  <c r="J711" i="74"/>
  <c r="K711" i="74" s="1"/>
  <c r="J712" i="74"/>
  <c r="K712" i="74"/>
  <c r="J713" i="74"/>
  <c r="K713" i="74" s="1"/>
  <c r="J714" i="74"/>
  <c r="K714" i="74"/>
  <c r="J715" i="74"/>
  <c r="K715" i="74" s="1"/>
  <c r="J716" i="74"/>
  <c r="K716" i="74"/>
  <c r="J717" i="74"/>
  <c r="K717" i="74" s="1"/>
  <c r="J718" i="74"/>
  <c r="K718" i="74"/>
  <c r="J719" i="74"/>
  <c r="K719" i="74" s="1"/>
  <c r="J720" i="74"/>
  <c r="K720" i="74"/>
  <c r="J721" i="74"/>
  <c r="K721" i="74" s="1"/>
  <c r="J722" i="74"/>
  <c r="K722" i="74"/>
  <c r="J723" i="74"/>
  <c r="K723" i="74" s="1"/>
  <c r="J724" i="74"/>
  <c r="K724" i="74"/>
  <c r="J725" i="74"/>
  <c r="K725" i="74" s="1"/>
  <c r="J726" i="74"/>
  <c r="K726" i="74"/>
  <c r="J727" i="74"/>
  <c r="K727" i="74" s="1"/>
  <c r="J728" i="74"/>
  <c r="K728" i="74"/>
  <c r="J729" i="74"/>
  <c r="K729" i="74" s="1"/>
  <c r="J730" i="74"/>
  <c r="K730" i="74"/>
  <c r="J731" i="74"/>
  <c r="K731" i="74" s="1"/>
  <c r="J732" i="74"/>
  <c r="K732" i="74"/>
  <c r="J733" i="74"/>
  <c r="K733" i="74" s="1"/>
  <c r="J734" i="74"/>
  <c r="K734" i="74"/>
  <c r="J735" i="74"/>
  <c r="K735" i="74" s="1"/>
  <c r="J736" i="74"/>
  <c r="K736" i="74"/>
  <c r="J737" i="74"/>
  <c r="K737" i="74" s="1"/>
  <c r="J738" i="74"/>
  <c r="K738" i="74"/>
  <c r="J739" i="74"/>
  <c r="K739" i="74" s="1"/>
  <c r="J740" i="74"/>
  <c r="K740" i="74"/>
  <c r="J741" i="74"/>
  <c r="K741" i="74" s="1"/>
  <c r="J742" i="74"/>
  <c r="K742" i="74"/>
  <c r="J743" i="74"/>
  <c r="K743" i="74" s="1"/>
  <c r="J744" i="74"/>
  <c r="K744" i="74"/>
  <c r="J745" i="74"/>
  <c r="K745" i="74" s="1"/>
  <c r="J746" i="74"/>
  <c r="K746" i="74"/>
  <c r="J747" i="74"/>
  <c r="K747" i="74" s="1"/>
  <c r="J748" i="74"/>
  <c r="K748" i="74"/>
  <c r="J749" i="74"/>
  <c r="K749" i="74" s="1"/>
  <c r="J750" i="74"/>
  <c r="K750" i="74"/>
  <c r="J751" i="74"/>
  <c r="K751" i="74" s="1"/>
  <c r="J752" i="74"/>
  <c r="K752" i="74"/>
  <c r="J753" i="74"/>
  <c r="K753" i="74" s="1"/>
  <c r="J754" i="74"/>
  <c r="K754" i="74"/>
  <c r="J755" i="74"/>
  <c r="K755" i="74" s="1"/>
  <c r="J756" i="74"/>
  <c r="K756" i="74"/>
  <c r="J757" i="74"/>
  <c r="K757" i="74" s="1"/>
  <c r="J758" i="74"/>
  <c r="K758" i="74"/>
  <c r="J759" i="74"/>
  <c r="K759" i="74" s="1"/>
  <c r="J760" i="74"/>
  <c r="K760" i="74"/>
  <c r="J761" i="74"/>
  <c r="K761" i="74" s="1"/>
  <c r="J762" i="74"/>
  <c r="K762" i="74"/>
  <c r="J763" i="74"/>
  <c r="K763" i="74" s="1"/>
  <c r="J764" i="74"/>
  <c r="K764" i="74"/>
  <c r="J765" i="74"/>
  <c r="K765" i="74" s="1"/>
  <c r="J766" i="74"/>
  <c r="K766" i="74"/>
  <c r="J767" i="74"/>
  <c r="K767" i="74" s="1"/>
  <c r="J768" i="74"/>
  <c r="K768" i="74"/>
  <c r="J769" i="74"/>
  <c r="K769" i="74" s="1"/>
  <c r="J770" i="74"/>
  <c r="K770" i="74"/>
  <c r="J771" i="74"/>
  <c r="K771" i="74" s="1"/>
  <c r="J772" i="74"/>
  <c r="K772" i="74"/>
  <c r="J773" i="74"/>
  <c r="K773" i="74" s="1"/>
  <c r="J774" i="74"/>
  <c r="K774" i="74"/>
  <c r="J775" i="74"/>
  <c r="K775" i="74" s="1"/>
  <c r="J776" i="74"/>
  <c r="K776" i="74"/>
  <c r="J777" i="74"/>
  <c r="K777" i="74" s="1"/>
  <c r="J778" i="74"/>
  <c r="K778" i="74"/>
  <c r="J779" i="74"/>
  <c r="K779" i="74" s="1"/>
  <c r="J780" i="74"/>
  <c r="K780" i="74"/>
  <c r="J781" i="74"/>
  <c r="K781" i="74" s="1"/>
  <c r="J782" i="74"/>
  <c r="K782" i="74"/>
  <c r="J783" i="74"/>
  <c r="K783" i="74" s="1"/>
  <c r="J784" i="74"/>
  <c r="K784" i="74"/>
  <c r="J785" i="74"/>
  <c r="K785" i="74" s="1"/>
  <c r="J786" i="74"/>
  <c r="K786" i="74"/>
  <c r="J787" i="74"/>
  <c r="K787" i="74" s="1"/>
  <c r="J788" i="74"/>
  <c r="K788" i="74"/>
  <c r="J789" i="74"/>
  <c r="K789" i="74" s="1"/>
  <c r="J790" i="74"/>
  <c r="K790" i="74"/>
  <c r="J791" i="74"/>
  <c r="K791" i="74" s="1"/>
  <c r="J792" i="74"/>
  <c r="K792" i="74"/>
  <c r="J793" i="74"/>
  <c r="K793" i="74" s="1"/>
  <c r="J794" i="74"/>
  <c r="K794" i="74"/>
  <c r="J795" i="74"/>
  <c r="K795" i="74" s="1"/>
  <c r="J796" i="74"/>
  <c r="K796" i="74"/>
  <c r="J797" i="74"/>
  <c r="K797" i="74" s="1"/>
  <c r="J798" i="74"/>
  <c r="K798" i="74"/>
  <c r="J799" i="74"/>
  <c r="K799" i="74" s="1"/>
  <c r="J800" i="74"/>
  <c r="K800" i="74"/>
  <c r="J801" i="74"/>
  <c r="K801" i="74" s="1"/>
  <c r="J802" i="74"/>
  <c r="K802" i="74"/>
  <c r="J803" i="74"/>
  <c r="K803" i="74" s="1"/>
  <c r="J804" i="74"/>
  <c r="K804" i="74"/>
  <c r="J805" i="74"/>
  <c r="K805" i="74" s="1"/>
  <c r="J806" i="74"/>
  <c r="K806" i="74"/>
  <c r="J807" i="74"/>
  <c r="K807" i="74" s="1"/>
  <c r="J808" i="74"/>
  <c r="K808" i="74"/>
  <c r="J809" i="74"/>
  <c r="K809" i="74" s="1"/>
  <c r="J810" i="74"/>
  <c r="K810" i="74"/>
  <c r="J811" i="74"/>
  <c r="K811" i="74" s="1"/>
  <c r="J812" i="74"/>
  <c r="K812" i="74"/>
  <c r="J813" i="74"/>
  <c r="K813" i="74" s="1"/>
  <c r="J814" i="74"/>
  <c r="K814" i="74"/>
  <c r="J815" i="74"/>
  <c r="K815" i="74" s="1"/>
  <c r="J816" i="74"/>
  <c r="K816" i="74"/>
  <c r="J817" i="74"/>
  <c r="K817" i="74" s="1"/>
  <c r="J818" i="74"/>
  <c r="K818" i="74"/>
  <c r="J819" i="74"/>
  <c r="K819" i="74" s="1"/>
  <c r="J820" i="74"/>
  <c r="K820" i="74"/>
  <c r="J821" i="74"/>
  <c r="K821" i="74" s="1"/>
  <c r="J822" i="74"/>
  <c r="K822" i="74"/>
  <c r="J823" i="74"/>
  <c r="K823" i="74" s="1"/>
  <c r="J824" i="74"/>
  <c r="K824" i="74"/>
  <c r="J825" i="74"/>
  <c r="K825" i="74" s="1"/>
  <c r="J826" i="74"/>
  <c r="K826" i="74"/>
  <c r="J827" i="74"/>
  <c r="K827" i="74" s="1"/>
  <c r="J828" i="74"/>
  <c r="K828" i="74"/>
  <c r="J829" i="74"/>
  <c r="K829" i="74" s="1"/>
  <c r="J830" i="74"/>
  <c r="K830" i="74"/>
  <c r="J831" i="74"/>
  <c r="K831" i="74" s="1"/>
  <c r="J832" i="74"/>
  <c r="K832" i="74" s="1"/>
  <c r="J833" i="74"/>
  <c r="K833" i="74" s="1"/>
  <c r="J834" i="74"/>
  <c r="K834" i="74"/>
  <c r="J835" i="74"/>
  <c r="K835" i="74" s="1"/>
  <c r="J836" i="74"/>
  <c r="K836" i="74"/>
  <c r="J837" i="74"/>
  <c r="K837" i="74" s="1"/>
  <c r="J838" i="74"/>
  <c r="K838" i="74"/>
  <c r="J839" i="74"/>
  <c r="K839" i="74" s="1"/>
  <c r="J840" i="74"/>
  <c r="K840" i="74"/>
  <c r="J841" i="74"/>
  <c r="K841" i="74" s="1"/>
  <c r="J842" i="74"/>
  <c r="K842" i="74"/>
  <c r="J843" i="74"/>
  <c r="K843" i="74" s="1"/>
  <c r="J844" i="74"/>
  <c r="K844" i="74" s="1"/>
  <c r="J845" i="74"/>
  <c r="K845" i="74" s="1"/>
  <c r="J846" i="74"/>
  <c r="K846" i="74" s="1"/>
  <c r="J847" i="74"/>
  <c r="K847" i="74" s="1"/>
  <c r="J848" i="74"/>
  <c r="K848" i="74" s="1"/>
  <c r="J849" i="74"/>
  <c r="K849" i="74" s="1"/>
  <c r="J850" i="74"/>
  <c r="K850" i="74" s="1"/>
  <c r="J851" i="74"/>
  <c r="K851" i="74" s="1"/>
  <c r="J852" i="74"/>
  <c r="K852" i="74" s="1"/>
  <c r="J853" i="74"/>
  <c r="K853" i="74" s="1"/>
  <c r="J854" i="74"/>
  <c r="K854" i="74" s="1"/>
  <c r="J855" i="74"/>
  <c r="K855" i="74"/>
  <c r="J856" i="74"/>
  <c r="K856" i="74" s="1"/>
  <c r="J857" i="74"/>
  <c r="K857" i="74"/>
  <c r="J858" i="74"/>
  <c r="K858" i="74" s="1"/>
  <c r="J859" i="74"/>
  <c r="K859" i="74" s="1"/>
  <c r="J860" i="74"/>
  <c r="K860" i="74" s="1"/>
  <c r="J861" i="74"/>
  <c r="K861" i="74" s="1"/>
  <c r="J862" i="74"/>
  <c r="K862" i="74" s="1"/>
  <c r="J863" i="74"/>
  <c r="K863" i="74"/>
  <c r="J864" i="74"/>
  <c r="K864" i="74" s="1"/>
  <c r="J865" i="74"/>
  <c r="K865" i="74"/>
  <c r="J866" i="74"/>
  <c r="K866" i="74" s="1"/>
  <c r="J867" i="74"/>
  <c r="K867" i="74" s="1"/>
  <c r="J868" i="74"/>
  <c r="K868" i="74" s="1"/>
  <c r="J869" i="74"/>
  <c r="K869" i="74"/>
  <c r="J870" i="74"/>
  <c r="K870" i="74" s="1"/>
  <c r="J871" i="74"/>
  <c r="K871" i="74"/>
  <c r="J872" i="74"/>
  <c r="K872" i="74" s="1"/>
  <c r="J873" i="74"/>
  <c r="K873" i="74"/>
  <c r="J874" i="74"/>
  <c r="K874" i="74" s="1"/>
  <c r="J875" i="74"/>
  <c r="K875" i="74" s="1"/>
  <c r="J876" i="74"/>
  <c r="K876" i="74" s="1"/>
  <c r="J877" i="74"/>
  <c r="K877" i="74"/>
  <c r="J878" i="74"/>
  <c r="K878" i="74" s="1"/>
  <c r="J879" i="74"/>
  <c r="K879" i="74"/>
  <c r="J486" i="74"/>
  <c r="K486" i="74"/>
  <c r="J487" i="74"/>
  <c r="K487" i="74"/>
  <c r="AC3841" i="34"/>
  <c r="X3841" i="34"/>
  <c r="W3841" i="34"/>
  <c r="V3841" i="34"/>
  <c r="T3841" i="34"/>
  <c r="S3841" i="34"/>
  <c r="R3841" i="34"/>
  <c r="N3841" i="34"/>
  <c r="K3841" i="34"/>
  <c r="C3841" i="34"/>
  <c r="B3841" i="34" s="1"/>
  <c r="O3841" i="34" s="1"/>
  <c r="AC3840" i="34"/>
  <c r="X3840" i="34"/>
  <c r="W3840" i="34"/>
  <c r="V3840" i="34"/>
  <c r="T3840" i="34"/>
  <c r="S3840" i="34"/>
  <c r="R3840" i="34"/>
  <c r="N3840" i="34"/>
  <c r="K3840" i="34"/>
  <c r="C3840" i="34"/>
  <c r="B3840" i="34"/>
  <c r="P3840" i="34" s="1"/>
  <c r="AC3839" i="34"/>
  <c r="X3839" i="34"/>
  <c r="W3839" i="34"/>
  <c r="V3839" i="34"/>
  <c r="T3839" i="34"/>
  <c r="S3839" i="34"/>
  <c r="R3839" i="34"/>
  <c r="N3839" i="34"/>
  <c r="K3839" i="34"/>
  <c r="C3839" i="34"/>
  <c r="B3839" i="34" s="1"/>
  <c r="O3839" i="34" s="1"/>
  <c r="AC3838" i="34"/>
  <c r="X3838" i="34"/>
  <c r="W3838" i="34"/>
  <c r="V3838" i="34"/>
  <c r="T3838" i="34"/>
  <c r="S3838" i="34"/>
  <c r="R3838" i="34"/>
  <c r="N3838" i="34"/>
  <c r="K3838" i="34"/>
  <c r="C3838" i="34"/>
  <c r="B3838" i="34" s="1"/>
  <c r="P3838" i="34" s="1"/>
  <c r="AC3837" i="34"/>
  <c r="X3837" i="34"/>
  <c r="W3837" i="34"/>
  <c r="V3837" i="34"/>
  <c r="T3837" i="34"/>
  <c r="S3837" i="34"/>
  <c r="R3837" i="34"/>
  <c r="N3837" i="34"/>
  <c r="K3837" i="34"/>
  <c r="C3837" i="34"/>
  <c r="B3837" i="34" s="1"/>
  <c r="O3837" i="34" s="1"/>
  <c r="AC3836" i="34"/>
  <c r="X3836" i="34"/>
  <c r="W3836" i="34"/>
  <c r="V3836" i="34"/>
  <c r="T3836" i="34"/>
  <c r="S3836" i="34"/>
  <c r="R3836" i="34"/>
  <c r="N3836" i="34"/>
  <c r="K3836" i="34"/>
  <c r="C3836" i="34"/>
  <c r="B3836" i="34" s="1"/>
  <c r="P3836" i="34" s="1"/>
  <c r="AC3835" i="34"/>
  <c r="X3835" i="34"/>
  <c r="W3835" i="34"/>
  <c r="V3835" i="34"/>
  <c r="T3835" i="34"/>
  <c r="S3835" i="34"/>
  <c r="R3835" i="34"/>
  <c r="N3835" i="34"/>
  <c r="K3835" i="34"/>
  <c r="C3835" i="34"/>
  <c r="B3835" i="34" s="1"/>
  <c r="O3835" i="34" s="1"/>
  <c r="AC3834" i="34"/>
  <c r="X3834" i="34"/>
  <c r="W3834" i="34"/>
  <c r="V3834" i="34"/>
  <c r="T3834" i="34"/>
  <c r="S3834" i="34"/>
  <c r="R3834" i="34"/>
  <c r="N3834" i="34"/>
  <c r="K3834" i="34"/>
  <c r="C3834" i="34"/>
  <c r="B3834" i="34"/>
  <c r="P3834" i="34" s="1"/>
  <c r="AC3833" i="34"/>
  <c r="X3833" i="34"/>
  <c r="W3833" i="34"/>
  <c r="V3833" i="34"/>
  <c r="T3833" i="34"/>
  <c r="S3833" i="34"/>
  <c r="R3833" i="34"/>
  <c r="N3833" i="34"/>
  <c r="K3833" i="34"/>
  <c r="C3833" i="34"/>
  <c r="B3833" i="34" s="1"/>
  <c r="O3833" i="34" s="1"/>
  <c r="AC3832" i="34"/>
  <c r="X3832" i="34"/>
  <c r="W3832" i="34"/>
  <c r="V3832" i="34"/>
  <c r="T3832" i="34"/>
  <c r="S3832" i="34"/>
  <c r="R3832" i="34"/>
  <c r="N3832" i="34"/>
  <c r="K3832" i="34"/>
  <c r="C3832" i="34"/>
  <c r="B3832" i="34" s="1"/>
  <c r="P3832" i="34" s="1"/>
  <c r="AC3831" i="34"/>
  <c r="X3831" i="34"/>
  <c r="W3831" i="34"/>
  <c r="V3831" i="34"/>
  <c r="T3831" i="34"/>
  <c r="S3831" i="34"/>
  <c r="R3831" i="34"/>
  <c r="N3831" i="34"/>
  <c r="K3831" i="34"/>
  <c r="C3831" i="34"/>
  <c r="B3831" i="34" s="1"/>
  <c r="O3831" i="34" s="1"/>
  <c r="AC3830" i="34"/>
  <c r="X3830" i="34"/>
  <c r="W3830" i="34"/>
  <c r="V3830" i="34"/>
  <c r="T3830" i="34"/>
  <c r="S3830" i="34"/>
  <c r="R3830" i="34"/>
  <c r="N3830" i="34"/>
  <c r="K3830" i="34"/>
  <c r="C3830" i="34"/>
  <c r="B3830" i="34" s="1"/>
  <c r="P3830" i="34" s="1"/>
  <c r="AC3829" i="34"/>
  <c r="X3829" i="34"/>
  <c r="W3829" i="34"/>
  <c r="V3829" i="34"/>
  <c r="T3829" i="34"/>
  <c r="S3829" i="34"/>
  <c r="R3829" i="34"/>
  <c r="N3829" i="34"/>
  <c r="K3829" i="34"/>
  <c r="C3829" i="34"/>
  <c r="B3829" i="34" s="1"/>
  <c r="O3829" i="34" s="1"/>
  <c r="AC3828" i="34"/>
  <c r="X3828" i="34"/>
  <c r="W3828" i="34"/>
  <c r="V3828" i="34"/>
  <c r="T3828" i="34"/>
  <c r="S3828" i="34"/>
  <c r="R3828" i="34"/>
  <c r="N3828" i="34"/>
  <c r="K3828" i="34"/>
  <c r="C3828" i="34"/>
  <c r="B3828" i="34" s="1"/>
  <c r="P3828" i="34" s="1"/>
  <c r="AC3827" i="34"/>
  <c r="X3827" i="34"/>
  <c r="W3827" i="34"/>
  <c r="V3827" i="34"/>
  <c r="T3827" i="34"/>
  <c r="S3827" i="34"/>
  <c r="R3827" i="34"/>
  <c r="N3827" i="34"/>
  <c r="K3827" i="34"/>
  <c r="C3827" i="34"/>
  <c r="B3827" i="34" s="1"/>
  <c r="O3827" i="34" s="1"/>
  <c r="AC3826" i="34"/>
  <c r="X3826" i="34"/>
  <c r="W3826" i="34"/>
  <c r="V3826" i="34"/>
  <c r="T3826" i="34"/>
  <c r="S3826" i="34"/>
  <c r="R3826" i="34"/>
  <c r="N3826" i="34"/>
  <c r="K3826" i="34"/>
  <c r="C3826" i="34"/>
  <c r="B3826" i="34"/>
  <c r="P3826" i="34" s="1"/>
  <c r="AC3825" i="34"/>
  <c r="X3825" i="34"/>
  <c r="W3825" i="34"/>
  <c r="V3825" i="34"/>
  <c r="T3825" i="34"/>
  <c r="S3825" i="34"/>
  <c r="R3825" i="34"/>
  <c r="N3825" i="34"/>
  <c r="K3825" i="34"/>
  <c r="C3825" i="34"/>
  <c r="B3825" i="34" s="1"/>
  <c r="O3825" i="34" s="1"/>
  <c r="AC3824" i="34"/>
  <c r="X3824" i="34"/>
  <c r="W3824" i="34"/>
  <c r="V3824" i="34"/>
  <c r="T3824" i="34"/>
  <c r="S3824" i="34"/>
  <c r="R3824" i="34"/>
  <c r="N3824" i="34"/>
  <c r="K3824" i="34"/>
  <c r="C3824" i="34"/>
  <c r="B3824" i="34" s="1"/>
  <c r="P3824" i="34" s="1"/>
  <c r="AC3823" i="34"/>
  <c r="X3823" i="34"/>
  <c r="W3823" i="34"/>
  <c r="V3823" i="34"/>
  <c r="T3823" i="34"/>
  <c r="S3823" i="34"/>
  <c r="R3823" i="34"/>
  <c r="N3823" i="34"/>
  <c r="K3823" i="34"/>
  <c r="C3823" i="34"/>
  <c r="B3823" i="34" s="1"/>
  <c r="P3823" i="34" s="1"/>
  <c r="AC3861" i="34"/>
  <c r="X3861" i="34"/>
  <c r="W3861" i="34"/>
  <c r="V3861" i="34"/>
  <c r="T3861" i="34"/>
  <c r="S3861" i="34"/>
  <c r="R3861" i="34"/>
  <c r="N3861" i="34"/>
  <c r="K3861" i="34"/>
  <c r="C3861" i="34"/>
  <c r="B3861" i="34" s="1"/>
  <c r="O3861" i="34" s="1"/>
  <c r="AC3860" i="34"/>
  <c r="X3860" i="34"/>
  <c r="W3860" i="34"/>
  <c r="V3860" i="34"/>
  <c r="T3860" i="34"/>
  <c r="S3860" i="34"/>
  <c r="R3860" i="34"/>
  <c r="N3860" i="34"/>
  <c r="K3860" i="34"/>
  <c r="C3860" i="34"/>
  <c r="B3860" i="34" s="1"/>
  <c r="P3860" i="34" s="1"/>
  <c r="AC3859" i="34"/>
  <c r="X3859" i="34"/>
  <c r="W3859" i="34"/>
  <c r="V3859" i="34"/>
  <c r="T3859" i="34"/>
  <c r="S3859" i="34"/>
  <c r="R3859" i="34"/>
  <c r="N3859" i="34"/>
  <c r="K3859" i="34"/>
  <c r="C3859" i="34"/>
  <c r="B3859" i="34"/>
  <c r="O3859" i="34" s="1"/>
  <c r="AC3858" i="34"/>
  <c r="X3858" i="34"/>
  <c r="W3858" i="34"/>
  <c r="V3858" i="34"/>
  <c r="T3858" i="34"/>
  <c r="S3858" i="34"/>
  <c r="R3858" i="34"/>
  <c r="N3858" i="34"/>
  <c r="K3858" i="34"/>
  <c r="C3858" i="34"/>
  <c r="B3858" i="34" s="1"/>
  <c r="P3858" i="34" s="1"/>
  <c r="AC3857" i="34"/>
  <c r="X3857" i="34"/>
  <c r="W3857" i="34"/>
  <c r="V3857" i="34"/>
  <c r="T3857" i="34"/>
  <c r="S3857" i="34"/>
  <c r="R3857" i="34"/>
  <c r="N3857" i="34"/>
  <c r="K3857" i="34"/>
  <c r="C3857" i="34"/>
  <c r="B3857" i="34" s="1"/>
  <c r="O3857" i="34" s="1"/>
  <c r="AC3856" i="34"/>
  <c r="X3856" i="34"/>
  <c r="W3856" i="34"/>
  <c r="V3856" i="34"/>
  <c r="T3856" i="34"/>
  <c r="S3856" i="34"/>
  <c r="R3856" i="34"/>
  <c r="N3856" i="34"/>
  <c r="K3856" i="34"/>
  <c r="C3856" i="34"/>
  <c r="B3856" i="34" s="1"/>
  <c r="P3856" i="34" s="1"/>
  <c r="AC3855" i="34"/>
  <c r="X3855" i="34"/>
  <c r="W3855" i="34"/>
  <c r="V3855" i="34"/>
  <c r="T3855" i="34"/>
  <c r="S3855" i="34"/>
  <c r="R3855" i="34"/>
  <c r="N3855" i="34"/>
  <c r="K3855" i="34"/>
  <c r="C3855" i="34"/>
  <c r="B3855" i="34" s="1"/>
  <c r="O3855" i="34" s="1"/>
  <c r="AC3854" i="34"/>
  <c r="X3854" i="34"/>
  <c r="W3854" i="34"/>
  <c r="V3854" i="34"/>
  <c r="T3854" i="34"/>
  <c r="S3854" i="34"/>
  <c r="R3854" i="34"/>
  <c r="N3854" i="34"/>
  <c r="K3854" i="34"/>
  <c r="C3854" i="34"/>
  <c r="B3854" i="34" s="1"/>
  <c r="P3854" i="34" s="1"/>
  <c r="AC3853" i="34"/>
  <c r="X3853" i="34"/>
  <c r="W3853" i="34"/>
  <c r="V3853" i="34"/>
  <c r="T3853" i="34"/>
  <c r="S3853" i="34"/>
  <c r="R3853" i="34"/>
  <c r="N3853" i="34"/>
  <c r="K3853" i="34"/>
  <c r="C3853" i="34"/>
  <c r="B3853" i="34" s="1"/>
  <c r="O3853" i="34" s="1"/>
  <c r="AC3852" i="34"/>
  <c r="X3852" i="34"/>
  <c r="W3852" i="34"/>
  <c r="V3852" i="34"/>
  <c r="T3852" i="34"/>
  <c r="S3852" i="34"/>
  <c r="R3852" i="34"/>
  <c r="N3852" i="34"/>
  <c r="K3852" i="34"/>
  <c r="C3852" i="34"/>
  <c r="B3852" i="34" s="1"/>
  <c r="P3852" i="34" s="1"/>
  <c r="AC3851" i="34"/>
  <c r="X3851" i="34"/>
  <c r="W3851" i="34"/>
  <c r="V3851" i="34"/>
  <c r="T3851" i="34"/>
  <c r="S3851" i="34"/>
  <c r="R3851" i="34"/>
  <c r="N3851" i="34"/>
  <c r="K3851" i="34"/>
  <c r="C3851" i="34"/>
  <c r="B3851" i="34" s="1"/>
  <c r="O3851" i="34" s="1"/>
  <c r="AC3850" i="34"/>
  <c r="X3850" i="34"/>
  <c r="W3850" i="34"/>
  <c r="V3850" i="34"/>
  <c r="T3850" i="34"/>
  <c r="S3850" i="34"/>
  <c r="R3850" i="34"/>
  <c r="N3850" i="34"/>
  <c r="K3850" i="34"/>
  <c r="C3850" i="34"/>
  <c r="B3850" i="34" s="1"/>
  <c r="P3850" i="34" s="1"/>
  <c r="AC3849" i="34"/>
  <c r="X3849" i="34"/>
  <c r="W3849" i="34"/>
  <c r="V3849" i="34"/>
  <c r="T3849" i="34"/>
  <c r="S3849" i="34"/>
  <c r="R3849" i="34"/>
  <c r="N3849" i="34"/>
  <c r="K3849" i="34"/>
  <c r="C3849" i="34"/>
  <c r="B3849" i="34" s="1"/>
  <c r="O3849" i="34" s="1"/>
  <c r="AC3848" i="34"/>
  <c r="X3848" i="34"/>
  <c r="W3848" i="34"/>
  <c r="V3848" i="34"/>
  <c r="T3848" i="34"/>
  <c r="S3848" i="34"/>
  <c r="R3848" i="34"/>
  <c r="N3848" i="34"/>
  <c r="K3848" i="34"/>
  <c r="C3848" i="34"/>
  <c r="B3848" i="34" s="1"/>
  <c r="P3848" i="34" s="1"/>
  <c r="AC3847" i="34"/>
  <c r="X3847" i="34"/>
  <c r="W3847" i="34"/>
  <c r="V3847" i="34"/>
  <c r="T3847" i="34"/>
  <c r="S3847" i="34"/>
  <c r="R3847" i="34"/>
  <c r="N3847" i="34"/>
  <c r="K3847" i="34"/>
  <c r="C3847" i="34"/>
  <c r="B3847" i="34" s="1"/>
  <c r="O3847" i="34" s="1"/>
  <c r="AC3846" i="34"/>
  <c r="X3846" i="34"/>
  <c r="W3846" i="34"/>
  <c r="V3846" i="34"/>
  <c r="T3846" i="34"/>
  <c r="S3846" i="34"/>
  <c r="R3846" i="34"/>
  <c r="N3846" i="34"/>
  <c r="K3846" i="34"/>
  <c r="C3846" i="34"/>
  <c r="B3846" i="34" s="1"/>
  <c r="P3846" i="34" s="1"/>
  <c r="AC3845" i="34"/>
  <c r="X3845" i="34"/>
  <c r="W3845" i="34"/>
  <c r="V3845" i="34"/>
  <c r="T3845" i="34"/>
  <c r="S3845" i="34"/>
  <c r="R3845" i="34"/>
  <c r="N3845" i="34"/>
  <c r="K3845" i="34"/>
  <c r="C3845" i="34"/>
  <c r="B3845" i="34"/>
  <c r="O3845" i="34" s="1"/>
  <c r="AC3844" i="34"/>
  <c r="X3844" i="34"/>
  <c r="W3844" i="34"/>
  <c r="V3844" i="34"/>
  <c r="T3844" i="34"/>
  <c r="S3844" i="34"/>
  <c r="R3844" i="34"/>
  <c r="N3844" i="34"/>
  <c r="K3844" i="34"/>
  <c r="C3844" i="34"/>
  <c r="B3844" i="34" s="1"/>
  <c r="P3844" i="34" s="1"/>
  <c r="AC3843" i="34"/>
  <c r="X3843" i="34"/>
  <c r="W3843" i="34"/>
  <c r="V3843" i="34"/>
  <c r="T3843" i="34"/>
  <c r="S3843" i="34"/>
  <c r="R3843" i="34"/>
  <c r="N3843" i="34"/>
  <c r="K3843" i="34"/>
  <c r="C3843" i="34"/>
  <c r="B3843" i="34" s="1"/>
  <c r="O3843" i="34" s="1"/>
  <c r="AC3842" i="34"/>
  <c r="X3842" i="34"/>
  <c r="W3842" i="34"/>
  <c r="V3842" i="34"/>
  <c r="T3842" i="34"/>
  <c r="S3842" i="34"/>
  <c r="R3842" i="34"/>
  <c r="N3842" i="34"/>
  <c r="K3842" i="34"/>
  <c r="C3842" i="34"/>
  <c r="B3842" i="34" s="1"/>
  <c r="P3842" i="34" s="1"/>
  <c r="AC3881" i="34"/>
  <c r="X3881" i="34"/>
  <c r="W3881" i="34"/>
  <c r="V3881" i="34"/>
  <c r="T3881" i="34"/>
  <c r="S3881" i="34"/>
  <c r="R3881" i="34"/>
  <c r="N3881" i="34"/>
  <c r="K3881" i="34"/>
  <c r="C3881" i="34"/>
  <c r="B3881" i="34" s="1"/>
  <c r="O3881" i="34" s="1"/>
  <c r="AC3880" i="34"/>
  <c r="X3880" i="34"/>
  <c r="W3880" i="34"/>
  <c r="V3880" i="34"/>
  <c r="T3880" i="34"/>
  <c r="S3880" i="34"/>
  <c r="R3880" i="34"/>
  <c r="N3880" i="34"/>
  <c r="K3880" i="34"/>
  <c r="C3880" i="34"/>
  <c r="B3880" i="34" s="1"/>
  <c r="P3880" i="34" s="1"/>
  <c r="AC3879" i="34"/>
  <c r="X3879" i="34"/>
  <c r="W3879" i="34"/>
  <c r="V3879" i="34"/>
  <c r="T3879" i="34"/>
  <c r="S3879" i="34"/>
  <c r="R3879" i="34"/>
  <c r="N3879" i="34"/>
  <c r="K3879" i="34"/>
  <c r="C3879" i="34"/>
  <c r="B3879" i="34" s="1"/>
  <c r="O3879" i="34" s="1"/>
  <c r="AC3878" i="34"/>
  <c r="X3878" i="34"/>
  <c r="W3878" i="34"/>
  <c r="V3878" i="34"/>
  <c r="T3878" i="34"/>
  <c r="S3878" i="34"/>
  <c r="R3878" i="34"/>
  <c r="N3878" i="34"/>
  <c r="K3878" i="34"/>
  <c r="C3878" i="34"/>
  <c r="B3878" i="34" s="1"/>
  <c r="P3878" i="34" s="1"/>
  <c r="AC3877" i="34"/>
  <c r="X3877" i="34"/>
  <c r="W3877" i="34"/>
  <c r="V3877" i="34"/>
  <c r="T3877" i="34"/>
  <c r="S3877" i="34"/>
  <c r="R3877" i="34"/>
  <c r="N3877" i="34"/>
  <c r="K3877" i="34"/>
  <c r="C3877" i="34"/>
  <c r="B3877" i="34" s="1"/>
  <c r="O3877" i="34" s="1"/>
  <c r="AC3876" i="34"/>
  <c r="X3876" i="34"/>
  <c r="W3876" i="34"/>
  <c r="V3876" i="34"/>
  <c r="T3876" i="34"/>
  <c r="S3876" i="34"/>
  <c r="R3876" i="34"/>
  <c r="N3876" i="34"/>
  <c r="K3876" i="34"/>
  <c r="C3876" i="34"/>
  <c r="B3876" i="34" s="1"/>
  <c r="P3876" i="34" s="1"/>
  <c r="AC3875" i="34"/>
  <c r="X3875" i="34"/>
  <c r="W3875" i="34"/>
  <c r="V3875" i="34"/>
  <c r="T3875" i="34"/>
  <c r="S3875" i="34"/>
  <c r="R3875" i="34"/>
  <c r="N3875" i="34"/>
  <c r="K3875" i="34"/>
  <c r="C3875" i="34"/>
  <c r="B3875" i="34" s="1"/>
  <c r="O3875" i="34" s="1"/>
  <c r="AC3874" i="34"/>
  <c r="X3874" i="34"/>
  <c r="W3874" i="34"/>
  <c r="V3874" i="34"/>
  <c r="T3874" i="34"/>
  <c r="S3874" i="34"/>
  <c r="R3874" i="34"/>
  <c r="N3874" i="34"/>
  <c r="K3874" i="34"/>
  <c r="C3874" i="34"/>
  <c r="B3874" i="34" s="1"/>
  <c r="P3874" i="34" s="1"/>
  <c r="AC3873" i="34"/>
  <c r="X3873" i="34"/>
  <c r="W3873" i="34"/>
  <c r="V3873" i="34"/>
  <c r="T3873" i="34"/>
  <c r="S3873" i="34"/>
  <c r="R3873" i="34"/>
  <c r="N3873" i="34"/>
  <c r="K3873" i="34"/>
  <c r="C3873" i="34"/>
  <c r="B3873" i="34" s="1"/>
  <c r="O3873" i="34" s="1"/>
  <c r="AC3872" i="34"/>
  <c r="X3872" i="34"/>
  <c r="W3872" i="34"/>
  <c r="V3872" i="34"/>
  <c r="T3872" i="34"/>
  <c r="S3872" i="34"/>
  <c r="R3872" i="34"/>
  <c r="N3872" i="34"/>
  <c r="K3872" i="34"/>
  <c r="C3872" i="34"/>
  <c r="B3872" i="34" s="1"/>
  <c r="P3872" i="34" s="1"/>
  <c r="AC3871" i="34"/>
  <c r="X3871" i="34"/>
  <c r="W3871" i="34"/>
  <c r="V3871" i="34"/>
  <c r="T3871" i="34"/>
  <c r="S3871" i="34"/>
  <c r="R3871" i="34"/>
  <c r="N3871" i="34"/>
  <c r="K3871" i="34"/>
  <c r="C3871" i="34"/>
  <c r="B3871" i="34" s="1"/>
  <c r="Z3871" i="34" s="1"/>
  <c r="AC3870" i="34"/>
  <c r="X3870" i="34"/>
  <c r="W3870" i="34"/>
  <c r="V3870" i="34"/>
  <c r="T3870" i="34"/>
  <c r="S3870" i="34"/>
  <c r="R3870" i="34"/>
  <c r="N3870" i="34"/>
  <c r="K3870" i="34"/>
  <c r="C3870" i="34"/>
  <c r="B3870" i="34" s="1"/>
  <c r="P3870" i="34" s="1"/>
  <c r="AC3869" i="34"/>
  <c r="X3869" i="34"/>
  <c r="W3869" i="34"/>
  <c r="V3869" i="34"/>
  <c r="T3869" i="34"/>
  <c r="S3869" i="34"/>
  <c r="R3869" i="34"/>
  <c r="N3869" i="34"/>
  <c r="K3869" i="34"/>
  <c r="C3869" i="34"/>
  <c r="B3869" i="34" s="1"/>
  <c r="Z3869" i="34" s="1"/>
  <c r="AC3868" i="34"/>
  <c r="X3868" i="34"/>
  <c r="W3868" i="34"/>
  <c r="V3868" i="34"/>
  <c r="T3868" i="34"/>
  <c r="S3868" i="34"/>
  <c r="R3868" i="34"/>
  <c r="N3868" i="34"/>
  <c r="K3868" i="34"/>
  <c r="C3868" i="34"/>
  <c r="B3868" i="34" s="1"/>
  <c r="P3868" i="34" s="1"/>
  <c r="AC3867" i="34"/>
  <c r="X3867" i="34"/>
  <c r="W3867" i="34"/>
  <c r="V3867" i="34"/>
  <c r="T3867" i="34"/>
  <c r="S3867" i="34"/>
  <c r="R3867" i="34"/>
  <c r="N3867" i="34"/>
  <c r="K3867" i="34"/>
  <c r="C3867" i="34"/>
  <c r="B3867" i="34" s="1"/>
  <c r="O3867" i="34" s="1"/>
  <c r="AC3866" i="34"/>
  <c r="X3866" i="34"/>
  <c r="W3866" i="34"/>
  <c r="V3866" i="34"/>
  <c r="T3866" i="34"/>
  <c r="S3866" i="34"/>
  <c r="R3866" i="34"/>
  <c r="N3866" i="34"/>
  <c r="K3866" i="34"/>
  <c r="C3866" i="34"/>
  <c r="B3866" i="34" s="1"/>
  <c r="P3866" i="34" s="1"/>
  <c r="AC3865" i="34"/>
  <c r="X3865" i="34"/>
  <c r="W3865" i="34"/>
  <c r="V3865" i="34"/>
  <c r="T3865" i="34"/>
  <c r="S3865" i="34"/>
  <c r="R3865" i="34"/>
  <c r="N3865" i="34"/>
  <c r="K3865" i="34"/>
  <c r="C3865" i="34"/>
  <c r="B3865" i="34" s="1"/>
  <c r="Z3865" i="34" s="1"/>
  <c r="AC3864" i="34"/>
  <c r="X3864" i="34"/>
  <c r="W3864" i="34"/>
  <c r="V3864" i="34"/>
  <c r="T3864" i="34"/>
  <c r="S3864" i="34"/>
  <c r="R3864" i="34"/>
  <c r="N3864" i="34"/>
  <c r="K3864" i="34"/>
  <c r="C3864" i="34"/>
  <c r="B3864" i="34" s="1"/>
  <c r="P3864" i="34" s="1"/>
  <c r="AC3863" i="34"/>
  <c r="X3863" i="34"/>
  <c r="W3863" i="34"/>
  <c r="V3863" i="34"/>
  <c r="T3863" i="34"/>
  <c r="S3863" i="34"/>
  <c r="R3863" i="34"/>
  <c r="N3863" i="34"/>
  <c r="K3863" i="34"/>
  <c r="C3863" i="34"/>
  <c r="B3863" i="34" s="1"/>
  <c r="Z3863" i="34" s="1"/>
  <c r="AC3862" i="34"/>
  <c r="X3862" i="34"/>
  <c r="W3862" i="34"/>
  <c r="V3862" i="34"/>
  <c r="T3862" i="34"/>
  <c r="S3862" i="34"/>
  <c r="R3862" i="34"/>
  <c r="N3862" i="34"/>
  <c r="K3862" i="34"/>
  <c r="C3862" i="34"/>
  <c r="B3862" i="34" s="1"/>
  <c r="P3862" i="34" s="1"/>
  <c r="AC3887" i="34"/>
  <c r="X3887" i="34"/>
  <c r="W3887" i="34"/>
  <c r="V3887" i="34"/>
  <c r="T3887" i="34"/>
  <c r="S3887" i="34"/>
  <c r="R3887" i="34"/>
  <c r="N3887" i="34"/>
  <c r="K3887" i="34"/>
  <c r="C3887" i="34"/>
  <c r="B3887" i="34"/>
  <c r="O3887" i="34" s="1"/>
  <c r="AC3886" i="34"/>
  <c r="X3886" i="34"/>
  <c r="W3886" i="34"/>
  <c r="V3886" i="34"/>
  <c r="T3886" i="34"/>
  <c r="S3886" i="34"/>
  <c r="R3886" i="34"/>
  <c r="N3886" i="34"/>
  <c r="K3886" i="34"/>
  <c r="C3886" i="34"/>
  <c r="B3886" i="34" s="1"/>
  <c r="P3886" i="34" s="1"/>
  <c r="AC3885" i="34"/>
  <c r="X3885" i="34"/>
  <c r="W3885" i="34"/>
  <c r="V3885" i="34"/>
  <c r="T3885" i="34"/>
  <c r="S3885" i="34"/>
  <c r="R3885" i="34"/>
  <c r="N3885" i="34"/>
  <c r="K3885" i="34"/>
  <c r="C3885" i="34"/>
  <c r="B3885" i="34" s="1"/>
  <c r="O3885" i="34" s="1"/>
  <c r="AC3884" i="34"/>
  <c r="X3884" i="34"/>
  <c r="W3884" i="34"/>
  <c r="V3884" i="34"/>
  <c r="T3884" i="34"/>
  <c r="S3884" i="34"/>
  <c r="R3884" i="34"/>
  <c r="N3884" i="34"/>
  <c r="K3884" i="34"/>
  <c r="C3884" i="34"/>
  <c r="B3884" i="34" s="1"/>
  <c r="P3884" i="34" s="1"/>
  <c r="AC3883" i="34"/>
  <c r="X3883" i="34"/>
  <c r="W3883" i="34"/>
  <c r="V3883" i="34"/>
  <c r="T3883" i="34"/>
  <c r="S3883" i="34"/>
  <c r="R3883" i="34"/>
  <c r="N3883" i="34"/>
  <c r="K3883" i="34"/>
  <c r="C3883" i="34"/>
  <c r="B3883" i="34" s="1"/>
  <c r="O3883" i="34" s="1"/>
  <c r="AC3882" i="34"/>
  <c r="X3882" i="34"/>
  <c r="W3882" i="34"/>
  <c r="V3882" i="34"/>
  <c r="T3882" i="34"/>
  <c r="S3882" i="34"/>
  <c r="R3882" i="34"/>
  <c r="N3882" i="34"/>
  <c r="K3882" i="34"/>
  <c r="C3882" i="34"/>
  <c r="B3882" i="34" s="1"/>
  <c r="P3882" i="34" s="1"/>
  <c r="AC3894" i="34"/>
  <c r="X3894" i="34"/>
  <c r="W3894" i="34"/>
  <c r="V3894" i="34"/>
  <c r="T3894" i="34"/>
  <c r="S3894" i="34"/>
  <c r="R3894" i="34"/>
  <c r="N3894" i="34"/>
  <c r="K3894" i="34"/>
  <c r="C3894" i="34"/>
  <c r="B3894" i="34" s="1"/>
  <c r="Z3894" i="34" s="1"/>
  <c r="AC3893" i="34"/>
  <c r="X3893" i="34"/>
  <c r="W3893" i="34"/>
  <c r="V3893" i="34"/>
  <c r="T3893" i="34"/>
  <c r="S3893" i="34"/>
  <c r="R3893" i="34"/>
  <c r="N3893" i="34"/>
  <c r="K3893" i="34"/>
  <c r="C3893" i="34"/>
  <c r="B3893" i="34" s="1"/>
  <c r="AC3892" i="34"/>
  <c r="X3892" i="34"/>
  <c r="W3892" i="34"/>
  <c r="V3892" i="34"/>
  <c r="T3892" i="34"/>
  <c r="S3892" i="34"/>
  <c r="R3892" i="34"/>
  <c r="N3892" i="34"/>
  <c r="K3892" i="34"/>
  <c r="C3892" i="34"/>
  <c r="B3892" i="34" s="1"/>
  <c r="Z3892" i="34" s="1"/>
  <c r="AC3891" i="34"/>
  <c r="X3891" i="34"/>
  <c r="W3891" i="34"/>
  <c r="V3891" i="34"/>
  <c r="T3891" i="34"/>
  <c r="S3891" i="34"/>
  <c r="R3891" i="34"/>
  <c r="N3891" i="34"/>
  <c r="K3891" i="34"/>
  <c r="C3891" i="34"/>
  <c r="B3891" i="34" s="1"/>
  <c r="P3891" i="34" s="1"/>
  <c r="AC3890" i="34"/>
  <c r="X3890" i="34"/>
  <c r="W3890" i="34"/>
  <c r="V3890" i="34"/>
  <c r="T3890" i="34"/>
  <c r="S3890" i="34"/>
  <c r="R3890" i="34"/>
  <c r="N3890" i="34"/>
  <c r="K3890" i="34"/>
  <c r="C3890" i="34"/>
  <c r="B3890" i="34" s="1"/>
  <c r="Z3890" i="34" s="1"/>
  <c r="AC3889" i="34"/>
  <c r="X3889" i="34"/>
  <c r="W3889" i="34"/>
  <c r="V3889" i="34"/>
  <c r="T3889" i="34"/>
  <c r="S3889" i="34"/>
  <c r="R3889" i="34"/>
  <c r="N3889" i="34"/>
  <c r="K3889" i="34"/>
  <c r="C3889" i="34"/>
  <c r="B3889" i="34" s="1"/>
  <c r="P3889" i="34" s="1"/>
  <c r="AC3888" i="34"/>
  <c r="X3888" i="34"/>
  <c r="W3888" i="34"/>
  <c r="V3888" i="34"/>
  <c r="T3888" i="34"/>
  <c r="S3888" i="34"/>
  <c r="R3888" i="34"/>
  <c r="N3888" i="34"/>
  <c r="K3888" i="34"/>
  <c r="C3888" i="34"/>
  <c r="B3888" i="34" s="1"/>
  <c r="Z3888" i="34" s="1"/>
  <c r="Q3882" i="34" l="1"/>
  <c r="U3882" i="34"/>
  <c r="Q3870" i="34"/>
  <c r="U3870" i="34"/>
  <c r="Q3876" i="34"/>
  <c r="U3876" i="34"/>
  <c r="Q3842" i="34"/>
  <c r="U3842" i="34"/>
  <c r="Q3848" i="34"/>
  <c r="U3848" i="34"/>
  <c r="Q3854" i="34"/>
  <c r="U3854" i="34"/>
  <c r="Q3860" i="34"/>
  <c r="U3860" i="34"/>
  <c r="Q3826" i="34"/>
  <c r="U3826" i="34"/>
  <c r="Q3830" i="34"/>
  <c r="U3830" i="34"/>
  <c r="Q3834" i="34"/>
  <c r="Q3836" i="34"/>
  <c r="U3836" i="34"/>
  <c r="Q3838" i="34"/>
  <c r="U3838" i="34"/>
  <c r="Q3840" i="34"/>
  <c r="U3840" i="34"/>
  <c r="Q3886" i="34"/>
  <c r="U3886" i="34"/>
  <c r="Q3868" i="34"/>
  <c r="U3868" i="34"/>
  <c r="Q3874" i="34"/>
  <c r="U3874" i="34"/>
  <c r="Q3880" i="34"/>
  <c r="U3880" i="34"/>
  <c r="Q3846" i="34"/>
  <c r="U3846" i="34"/>
  <c r="Q3856" i="34"/>
  <c r="U3856" i="34"/>
  <c r="Q3823" i="34"/>
  <c r="U3823" i="34"/>
  <c r="Q3824" i="34"/>
  <c r="U3824" i="34"/>
  <c r="Q3828" i="34"/>
  <c r="U3828" i="34"/>
  <c r="Q3832" i="34"/>
  <c r="U3832" i="34"/>
  <c r="U3834" i="34"/>
  <c r="Q3884" i="34"/>
  <c r="U3884" i="34"/>
  <c r="Q3872" i="34"/>
  <c r="U3872" i="34"/>
  <c r="Q3878" i="34"/>
  <c r="U3878" i="34"/>
  <c r="Q3844" i="34"/>
  <c r="U3844" i="34"/>
  <c r="Q3850" i="34"/>
  <c r="U3850" i="34"/>
  <c r="Q3852" i="34"/>
  <c r="U3852" i="34"/>
  <c r="Q3858" i="34"/>
  <c r="U3858" i="34"/>
  <c r="A3823" i="34"/>
  <c r="Z3823" i="34"/>
  <c r="A3824" i="34"/>
  <c r="Z3824" i="34"/>
  <c r="P3825" i="34"/>
  <c r="A3826" i="34"/>
  <c r="Z3826" i="34"/>
  <c r="P3827" i="34"/>
  <c r="A3828" i="34"/>
  <c r="Z3828" i="34"/>
  <c r="P3829" i="34"/>
  <c r="A3830" i="34"/>
  <c r="Z3830" i="34"/>
  <c r="P3831" i="34"/>
  <c r="A3832" i="34"/>
  <c r="Z3832" i="34"/>
  <c r="P3833" i="34"/>
  <c r="A3834" i="34"/>
  <c r="Z3834" i="34"/>
  <c r="P3835" i="34"/>
  <c r="A3836" i="34"/>
  <c r="Z3836" i="34"/>
  <c r="P3837" i="34"/>
  <c r="A3838" i="34"/>
  <c r="Z3838" i="34"/>
  <c r="P3839" i="34"/>
  <c r="A3840" i="34"/>
  <c r="Z3840" i="34"/>
  <c r="P3841" i="34"/>
  <c r="O3823" i="34"/>
  <c r="Q3825" i="34"/>
  <c r="U3825" i="34"/>
  <c r="O3826" i="34"/>
  <c r="Q3827" i="34"/>
  <c r="U3827" i="34"/>
  <c r="O3828" i="34"/>
  <c r="Q3829" i="34"/>
  <c r="U3829" i="34"/>
  <c r="O3830" i="34"/>
  <c r="Q3831" i="34"/>
  <c r="U3831" i="34"/>
  <c r="O3832" i="34"/>
  <c r="Q3833" i="34"/>
  <c r="U3833" i="34"/>
  <c r="O3834" i="34"/>
  <c r="Q3835" i="34"/>
  <c r="U3835" i="34"/>
  <c r="O3836" i="34"/>
  <c r="Q3837" i="34"/>
  <c r="U3837" i="34"/>
  <c r="O3838" i="34"/>
  <c r="Q3839" i="34"/>
  <c r="U3839" i="34"/>
  <c r="O3840" i="34"/>
  <c r="Q3841" i="34"/>
  <c r="U3841" i="34"/>
  <c r="O3824" i="34"/>
  <c r="A3825" i="34"/>
  <c r="Z3825" i="34"/>
  <c r="A3827" i="34"/>
  <c r="Z3827" i="34"/>
  <c r="A3829" i="34"/>
  <c r="Z3829" i="34"/>
  <c r="A3831" i="34"/>
  <c r="Z3831" i="34"/>
  <c r="A3833" i="34"/>
  <c r="Z3833" i="34"/>
  <c r="A3835" i="34"/>
  <c r="Z3835" i="34"/>
  <c r="A3837" i="34"/>
  <c r="Z3837" i="34"/>
  <c r="A3839" i="34"/>
  <c r="Z3839" i="34"/>
  <c r="A3841" i="34"/>
  <c r="Z3841" i="34"/>
  <c r="A3842" i="34"/>
  <c r="Z3842" i="34"/>
  <c r="P3843" i="34"/>
  <c r="A3844" i="34"/>
  <c r="Z3844" i="34"/>
  <c r="P3845" i="34"/>
  <c r="A3846" i="34"/>
  <c r="Z3846" i="34"/>
  <c r="P3847" i="34"/>
  <c r="A3848" i="34"/>
  <c r="Z3848" i="34"/>
  <c r="P3849" i="34"/>
  <c r="A3850" i="34"/>
  <c r="Z3850" i="34"/>
  <c r="P3851" i="34"/>
  <c r="A3852" i="34"/>
  <c r="Z3852" i="34"/>
  <c r="P3853" i="34"/>
  <c r="A3854" i="34"/>
  <c r="Z3854" i="34"/>
  <c r="P3855" i="34"/>
  <c r="A3856" i="34"/>
  <c r="Z3856" i="34"/>
  <c r="P3857" i="34"/>
  <c r="A3858" i="34"/>
  <c r="Z3858" i="34"/>
  <c r="P3859" i="34"/>
  <c r="A3860" i="34"/>
  <c r="Z3860" i="34"/>
  <c r="P3861" i="34"/>
  <c r="Q3862" i="34"/>
  <c r="U3862" i="34"/>
  <c r="Q3866" i="34"/>
  <c r="U3866" i="34"/>
  <c r="Q3843" i="34"/>
  <c r="U3843" i="34"/>
  <c r="O3844" i="34"/>
  <c r="Q3847" i="34"/>
  <c r="U3847" i="34"/>
  <c r="O3848" i="34"/>
  <c r="Q3851" i="34"/>
  <c r="U3851" i="34"/>
  <c r="O3852" i="34"/>
  <c r="Q3855" i="34"/>
  <c r="U3855" i="34"/>
  <c r="O3856" i="34"/>
  <c r="Q3857" i="34"/>
  <c r="U3857" i="34"/>
  <c r="O3858" i="34"/>
  <c r="Q3859" i="34"/>
  <c r="U3859" i="34"/>
  <c r="O3860" i="34"/>
  <c r="Q3861" i="34"/>
  <c r="U3861" i="34"/>
  <c r="Q3864" i="34"/>
  <c r="U3864" i="34"/>
  <c r="O3842" i="34"/>
  <c r="Q3845" i="34"/>
  <c r="U3845" i="34"/>
  <c r="O3846" i="34"/>
  <c r="Q3849" i="34"/>
  <c r="U3849" i="34"/>
  <c r="O3850" i="34"/>
  <c r="Q3853" i="34"/>
  <c r="U3853" i="34"/>
  <c r="O3854" i="34"/>
  <c r="A3843" i="34"/>
  <c r="Z3843" i="34"/>
  <c r="A3845" i="34"/>
  <c r="Z3845" i="34"/>
  <c r="A3847" i="34"/>
  <c r="Z3847" i="34"/>
  <c r="A3849" i="34"/>
  <c r="Z3849" i="34"/>
  <c r="A3851" i="34"/>
  <c r="Z3851" i="34"/>
  <c r="A3853" i="34"/>
  <c r="Z3853" i="34"/>
  <c r="A3855" i="34"/>
  <c r="Z3855" i="34"/>
  <c r="A3857" i="34"/>
  <c r="Z3857" i="34"/>
  <c r="A3859" i="34"/>
  <c r="Z3859" i="34"/>
  <c r="A3861" i="34"/>
  <c r="Z3861" i="34"/>
  <c r="P3893" i="34"/>
  <c r="U3893" i="34"/>
  <c r="Q3893" i="34"/>
  <c r="O3869" i="34"/>
  <c r="O3871" i="34"/>
  <c r="Q3889" i="34"/>
  <c r="U3889" i="34"/>
  <c r="A3862" i="34"/>
  <c r="Z3862" i="34"/>
  <c r="P3863" i="34"/>
  <c r="A3864" i="34"/>
  <c r="Z3864" i="34"/>
  <c r="P3865" i="34"/>
  <c r="A3866" i="34"/>
  <c r="Z3866" i="34"/>
  <c r="P3867" i="34"/>
  <c r="A3868" i="34"/>
  <c r="Z3868" i="34"/>
  <c r="P3869" i="34"/>
  <c r="A3870" i="34"/>
  <c r="Z3870" i="34"/>
  <c r="P3871" i="34"/>
  <c r="A3872" i="34"/>
  <c r="Z3872" i="34"/>
  <c r="P3873" i="34"/>
  <c r="A3874" i="34"/>
  <c r="Z3874" i="34"/>
  <c r="P3875" i="34"/>
  <c r="A3876" i="34"/>
  <c r="Z3876" i="34"/>
  <c r="P3877" i="34"/>
  <c r="A3878" i="34"/>
  <c r="Z3878" i="34"/>
  <c r="P3879" i="34"/>
  <c r="A3880" i="34"/>
  <c r="Z3880" i="34"/>
  <c r="P3881" i="34"/>
  <c r="O3863" i="34"/>
  <c r="Q3863" i="34"/>
  <c r="U3863" i="34"/>
  <c r="O3864" i="34"/>
  <c r="Q3867" i="34"/>
  <c r="U3867" i="34"/>
  <c r="O3868" i="34"/>
  <c r="Q3871" i="34"/>
  <c r="U3871" i="34"/>
  <c r="O3872" i="34"/>
  <c r="Q3875" i="34"/>
  <c r="U3875" i="34"/>
  <c r="O3876" i="34"/>
  <c r="Q3879" i="34"/>
  <c r="U3879" i="34"/>
  <c r="O3880" i="34"/>
  <c r="Q3881" i="34"/>
  <c r="U3881" i="34"/>
  <c r="O3865" i="34"/>
  <c r="Q3891" i="34"/>
  <c r="U3891" i="34"/>
  <c r="O3862" i="34"/>
  <c r="Q3865" i="34"/>
  <c r="U3865" i="34"/>
  <c r="O3866" i="34"/>
  <c r="Q3869" i="34"/>
  <c r="U3869" i="34"/>
  <c r="O3870" i="34"/>
  <c r="Q3873" i="34"/>
  <c r="U3873" i="34"/>
  <c r="O3874" i="34"/>
  <c r="Q3877" i="34"/>
  <c r="U3877" i="34"/>
  <c r="O3878" i="34"/>
  <c r="A3863" i="34"/>
  <c r="A3865" i="34"/>
  <c r="A3867" i="34"/>
  <c r="Z3867" i="34"/>
  <c r="A3869" i="34"/>
  <c r="A3871" i="34"/>
  <c r="A3873" i="34"/>
  <c r="Z3873" i="34"/>
  <c r="A3875" i="34"/>
  <c r="Z3875" i="34"/>
  <c r="A3877" i="34"/>
  <c r="Z3877" i="34"/>
  <c r="A3879" i="34"/>
  <c r="Z3879" i="34"/>
  <c r="A3881" i="34"/>
  <c r="Z3881" i="34"/>
  <c r="A3882" i="34"/>
  <c r="Z3882" i="34"/>
  <c r="P3883" i="34"/>
  <c r="A3884" i="34"/>
  <c r="Z3884" i="34"/>
  <c r="P3885" i="34"/>
  <c r="A3886" i="34"/>
  <c r="Z3886" i="34"/>
  <c r="P3887" i="34"/>
  <c r="Q3883" i="34"/>
  <c r="U3883" i="34"/>
  <c r="O3884" i="34"/>
  <c r="Q3887" i="34"/>
  <c r="U3887" i="34"/>
  <c r="O3882" i="34"/>
  <c r="Q3885" i="34"/>
  <c r="U3885" i="34"/>
  <c r="O3886" i="34"/>
  <c r="A3883" i="34"/>
  <c r="Z3883" i="34"/>
  <c r="A3885" i="34"/>
  <c r="Z3885" i="34"/>
  <c r="A3887" i="34"/>
  <c r="Z3887" i="34"/>
  <c r="O3892" i="34"/>
  <c r="O3894" i="34"/>
  <c r="P3888" i="34"/>
  <c r="A3889" i="34"/>
  <c r="Z3889" i="34"/>
  <c r="P3890" i="34"/>
  <c r="A3891" i="34"/>
  <c r="Z3891" i="34"/>
  <c r="P3892" i="34"/>
  <c r="A3893" i="34"/>
  <c r="Z3893" i="34"/>
  <c r="P3894" i="34"/>
  <c r="Q3894" i="34"/>
  <c r="U3894" i="34"/>
  <c r="O3888" i="34"/>
  <c r="O3890" i="34"/>
  <c r="Q3888" i="34"/>
  <c r="U3888" i="34"/>
  <c r="O3889" i="34"/>
  <c r="Q3890" i="34"/>
  <c r="U3890" i="34"/>
  <c r="O3891" i="34"/>
  <c r="Q3892" i="34"/>
  <c r="U3892" i="34"/>
  <c r="O3893" i="34"/>
  <c r="A3888" i="34"/>
  <c r="A3890" i="34"/>
  <c r="A3892" i="34"/>
  <c r="A3894" i="34"/>
  <c r="X3904" i="34" l="1"/>
  <c r="W3904" i="34"/>
  <c r="V3904" i="34"/>
  <c r="T3904" i="34"/>
  <c r="S3904" i="34"/>
  <c r="R3904" i="34"/>
  <c r="N3904" i="34"/>
  <c r="AC3903" i="34"/>
  <c r="X3903" i="34"/>
  <c r="W3903" i="34"/>
  <c r="V3903" i="34"/>
  <c r="T3903" i="34"/>
  <c r="S3903" i="34"/>
  <c r="R3903" i="34"/>
  <c r="N3903" i="34"/>
  <c r="K3903" i="34"/>
  <c r="X3902" i="34"/>
  <c r="W3902" i="34"/>
  <c r="V3902" i="34"/>
  <c r="T3902" i="34"/>
  <c r="S3902" i="34"/>
  <c r="R3902" i="34"/>
  <c r="N3902" i="34"/>
  <c r="C3902" i="34"/>
  <c r="B3902" i="34" s="1"/>
  <c r="U3902" i="34" s="1"/>
  <c r="AC3901" i="34"/>
  <c r="X3901" i="34"/>
  <c r="W3901" i="34"/>
  <c r="V3901" i="34"/>
  <c r="T3901" i="34"/>
  <c r="S3901" i="34"/>
  <c r="R3901" i="34"/>
  <c r="N3901" i="34"/>
  <c r="K3901" i="34"/>
  <c r="C3901" i="34"/>
  <c r="B3901" i="34" s="1"/>
  <c r="AC3900" i="34"/>
  <c r="X3900" i="34"/>
  <c r="W3900" i="34"/>
  <c r="V3900" i="34"/>
  <c r="T3900" i="34"/>
  <c r="S3900" i="34"/>
  <c r="R3900" i="34"/>
  <c r="N3900" i="34"/>
  <c r="K3900" i="34"/>
  <c r="C3900" i="34"/>
  <c r="B3900" i="34"/>
  <c r="O3900" i="34" s="1"/>
  <c r="AC3899" i="34"/>
  <c r="X3899" i="34"/>
  <c r="W3899" i="34"/>
  <c r="V3899" i="34"/>
  <c r="T3899" i="34"/>
  <c r="S3899" i="34"/>
  <c r="R3899" i="34"/>
  <c r="N3899" i="34"/>
  <c r="K3899" i="34"/>
  <c r="C3899" i="34"/>
  <c r="B3899" i="34" s="1"/>
  <c r="AC3898" i="34"/>
  <c r="X3898" i="34"/>
  <c r="W3898" i="34"/>
  <c r="V3898" i="34"/>
  <c r="T3898" i="34"/>
  <c r="S3898" i="34"/>
  <c r="R3898" i="34"/>
  <c r="N3898" i="34"/>
  <c r="K3898" i="34"/>
  <c r="C3898" i="34"/>
  <c r="B3898" i="34" s="1"/>
  <c r="O3898" i="34" s="1"/>
  <c r="AC3897" i="34"/>
  <c r="X3897" i="34"/>
  <c r="W3897" i="34"/>
  <c r="V3897" i="34"/>
  <c r="T3897" i="34"/>
  <c r="S3897" i="34"/>
  <c r="R3897" i="34"/>
  <c r="N3897" i="34"/>
  <c r="K3897" i="34"/>
  <c r="C3897" i="34"/>
  <c r="B3897" i="34" s="1"/>
  <c r="U3897" i="34" s="1"/>
  <c r="AC3896" i="34"/>
  <c r="X3896" i="34"/>
  <c r="W3896" i="34"/>
  <c r="V3896" i="34"/>
  <c r="T3896" i="34"/>
  <c r="S3896" i="34"/>
  <c r="R3896" i="34"/>
  <c r="N3896" i="34"/>
  <c r="K3896" i="34"/>
  <c r="C3896" i="34"/>
  <c r="B3896" i="34" s="1"/>
  <c r="O3896" i="34" s="1"/>
  <c r="AC3895" i="34"/>
  <c r="X3895" i="34"/>
  <c r="W3895" i="34"/>
  <c r="V3895" i="34"/>
  <c r="T3895" i="34"/>
  <c r="S3895" i="34"/>
  <c r="R3895" i="34"/>
  <c r="N3895" i="34"/>
  <c r="K3895" i="34"/>
  <c r="C3895" i="34"/>
  <c r="B3895" i="34" s="1"/>
  <c r="U3895" i="34" s="1"/>
  <c r="I3817" i="34"/>
  <c r="K3817" i="34" s="1"/>
  <c r="X3822" i="34"/>
  <c r="W3822" i="34"/>
  <c r="V3822" i="34"/>
  <c r="T3822" i="34"/>
  <c r="S3822" i="34"/>
  <c r="R3822" i="34"/>
  <c r="N3822" i="34"/>
  <c r="X3816" i="34"/>
  <c r="W3816" i="34"/>
  <c r="V3816" i="34"/>
  <c r="T3816" i="34"/>
  <c r="S3816" i="34"/>
  <c r="R3816" i="34"/>
  <c r="N3816" i="34"/>
  <c r="AC3817" i="34"/>
  <c r="X3817" i="34"/>
  <c r="W3817" i="34"/>
  <c r="V3817" i="34"/>
  <c r="T3817" i="34"/>
  <c r="S3817" i="34"/>
  <c r="R3817" i="34"/>
  <c r="N3817" i="34"/>
  <c r="C3817" i="34"/>
  <c r="B3817" i="34" s="1"/>
  <c r="O3817" i="34" s="1"/>
  <c r="C3816" i="34"/>
  <c r="B3816" i="34" s="1"/>
  <c r="Z3816" i="34" s="1"/>
  <c r="AC3815" i="34"/>
  <c r="X3815" i="34"/>
  <c r="W3815" i="34"/>
  <c r="V3815" i="34"/>
  <c r="T3815" i="34"/>
  <c r="S3815" i="34"/>
  <c r="R3815" i="34"/>
  <c r="N3815" i="34"/>
  <c r="K3815" i="34"/>
  <c r="C3815" i="34"/>
  <c r="B3815" i="34" s="1"/>
  <c r="O3815" i="34" s="1"/>
  <c r="AC3814" i="34"/>
  <c r="X3814" i="34"/>
  <c r="W3814" i="34"/>
  <c r="V3814" i="34"/>
  <c r="T3814" i="34"/>
  <c r="S3814" i="34"/>
  <c r="R3814" i="34"/>
  <c r="N3814" i="34"/>
  <c r="K3814" i="34"/>
  <c r="C3814" i="34"/>
  <c r="B3814" i="34" s="1"/>
  <c r="AC3813" i="34"/>
  <c r="X3813" i="34"/>
  <c r="W3813" i="34"/>
  <c r="V3813" i="34"/>
  <c r="T3813" i="34"/>
  <c r="S3813" i="34"/>
  <c r="R3813" i="34"/>
  <c r="N3813" i="34"/>
  <c r="K3813" i="34"/>
  <c r="C3813" i="34"/>
  <c r="B3813" i="34" s="1"/>
  <c r="O3813" i="34" s="1"/>
  <c r="AC3812" i="34"/>
  <c r="X3812" i="34"/>
  <c r="W3812" i="34"/>
  <c r="V3812" i="34"/>
  <c r="T3812" i="34"/>
  <c r="S3812" i="34"/>
  <c r="R3812" i="34"/>
  <c r="N3812" i="34"/>
  <c r="K3812" i="34"/>
  <c r="C3812" i="34"/>
  <c r="B3812" i="34" s="1"/>
  <c r="AC3811" i="34"/>
  <c r="X3811" i="34"/>
  <c r="W3811" i="34"/>
  <c r="V3811" i="34"/>
  <c r="T3811" i="34"/>
  <c r="S3811" i="34"/>
  <c r="R3811" i="34"/>
  <c r="N3811" i="34"/>
  <c r="K3811" i="34"/>
  <c r="C3811" i="34"/>
  <c r="B3811" i="34" s="1"/>
  <c r="O3811" i="34" s="1"/>
  <c r="C3903" i="34"/>
  <c r="B3903" i="34" s="1"/>
  <c r="U3903" i="34" s="1"/>
  <c r="C3822" i="34"/>
  <c r="B3822" i="34" s="1"/>
  <c r="AC3821" i="34"/>
  <c r="X3821" i="34"/>
  <c r="W3821" i="34"/>
  <c r="V3821" i="34"/>
  <c r="T3821" i="34"/>
  <c r="S3821" i="34"/>
  <c r="R3821" i="34"/>
  <c r="N3821" i="34"/>
  <c r="K3821" i="34"/>
  <c r="C3821" i="34"/>
  <c r="B3821" i="34" s="1"/>
  <c r="O3821" i="34" s="1"/>
  <c r="AC3820" i="34"/>
  <c r="X3820" i="34"/>
  <c r="W3820" i="34"/>
  <c r="V3820" i="34"/>
  <c r="T3820" i="34"/>
  <c r="S3820" i="34"/>
  <c r="R3820" i="34"/>
  <c r="N3820" i="34"/>
  <c r="K3820" i="34"/>
  <c r="C3820" i="34"/>
  <c r="B3820" i="34" s="1"/>
  <c r="P3820" i="34" s="1"/>
  <c r="AC3819" i="34"/>
  <c r="X3819" i="34"/>
  <c r="W3819" i="34"/>
  <c r="V3819" i="34"/>
  <c r="T3819" i="34"/>
  <c r="S3819" i="34"/>
  <c r="R3819" i="34"/>
  <c r="N3819" i="34"/>
  <c r="K3819" i="34"/>
  <c r="C3819" i="34"/>
  <c r="B3819" i="34" s="1"/>
  <c r="O3819" i="34" s="1"/>
  <c r="AC3818" i="34"/>
  <c r="X3818" i="34"/>
  <c r="W3818" i="34"/>
  <c r="V3818" i="34"/>
  <c r="T3818" i="34"/>
  <c r="S3818" i="34"/>
  <c r="R3818" i="34"/>
  <c r="N3818" i="34"/>
  <c r="K3818" i="34"/>
  <c r="C3818" i="34"/>
  <c r="B3818" i="34" s="1"/>
  <c r="P3818" i="34" s="1"/>
  <c r="X3810" i="34"/>
  <c r="W3810" i="34"/>
  <c r="V3810" i="34"/>
  <c r="T3810" i="34"/>
  <c r="S3810" i="34"/>
  <c r="R3810" i="34"/>
  <c r="N3810" i="34"/>
  <c r="X3809" i="34"/>
  <c r="W3809" i="34"/>
  <c r="V3809" i="34"/>
  <c r="T3809" i="34"/>
  <c r="S3809" i="34"/>
  <c r="R3809" i="34"/>
  <c r="N3809" i="34"/>
  <c r="X3808" i="34"/>
  <c r="W3808" i="34"/>
  <c r="V3808" i="34"/>
  <c r="T3808" i="34"/>
  <c r="S3808" i="34"/>
  <c r="R3808" i="34"/>
  <c r="N3808" i="34"/>
  <c r="AC3807" i="34"/>
  <c r="X3807" i="34"/>
  <c r="W3807" i="34"/>
  <c r="V3807" i="34"/>
  <c r="T3807" i="34"/>
  <c r="S3807" i="34"/>
  <c r="R3807" i="34"/>
  <c r="N3807" i="34"/>
  <c r="K3807" i="34"/>
  <c r="X3806" i="34"/>
  <c r="W3806" i="34"/>
  <c r="V3806" i="34"/>
  <c r="T3806" i="34"/>
  <c r="S3806" i="34"/>
  <c r="R3806" i="34"/>
  <c r="N3806" i="34"/>
  <c r="AC3805" i="34"/>
  <c r="X3805" i="34"/>
  <c r="W3805" i="34"/>
  <c r="V3805" i="34"/>
  <c r="T3805" i="34"/>
  <c r="S3805" i="34"/>
  <c r="R3805" i="34"/>
  <c r="N3805" i="34"/>
  <c r="K3805" i="34"/>
  <c r="X3804" i="34"/>
  <c r="W3804" i="34"/>
  <c r="V3804" i="34"/>
  <c r="T3804" i="34"/>
  <c r="S3804" i="34"/>
  <c r="R3804" i="34"/>
  <c r="N3804" i="34"/>
  <c r="AC3803" i="34"/>
  <c r="X3803" i="34"/>
  <c r="W3803" i="34"/>
  <c r="V3803" i="34"/>
  <c r="T3803" i="34"/>
  <c r="S3803" i="34"/>
  <c r="R3803" i="34"/>
  <c r="N3803" i="34"/>
  <c r="K3803" i="34"/>
  <c r="X3802" i="34"/>
  <c r="W3802" i="34"/>
  <c r="V3802" i="34"/>
  <c r="T3802" i="34"/>
  <c r="S3802" i="34"/>
  <c r="R3802" i="34"/>
  <c r="N3802" i="34"/>
  <c r="AC3801" i="34"/>
  <c r="X3801" i="34"/>
  <c r="W3801" i="34"/>
  <c r="V3801" i="34"/>
  <c r="T3801" i="34"/>
  <c r="S3801" i="34"/>
  <c r="R3801" i="34"/>
  <c r="N3801" i="34"/>
  <c r="K3801" i="34"/>
  <c r="X3800" i="34"/>
  <c r="W3800" i="34"/>
  <c r="V3800" i="34"/>
  <c r="T3800" i="34"/>
  <c r="S3800" i="34"/>
  <c r="R3800" i="34"/>
  <c r="N3800" i="34"/>
  <c r="AC3799" i="34"/>
  <c r="X3799" i="34"/>
  <c r="W3799" i="34"/>
  <c r="V3799" i="34"/>
  <c r="T3799" i="34"/>
  <c r="S3799" i="34"/>
  <c r="R3799" i="34"/>
  <c r="N3799" i="34"/>
  <c r="K3799" i="34"/>
  <c r="X3798" i="34"/>
  <c r="W3798" i="34"/>
  <c r="V3798" i="34"/>
  <c r="T3798" i="34"/>
  <c r="S3798" i="34"/>
  <c r="R3798" i="34"/>
  <c r="N3798" i="34"/>
  <c r="AC3797" i="34"/>
  <c r="X3797" i="34"/>
  <c r="W3797" i="34"/>
  <c r="V3797" i="34"/>
  <c r="T3797" i="34"/>
  <c r="S3797" i="34"/>
  <c r="R3797" i="34"/>
  <c r="N3797" i="34"/>
  <c r="K3797" i="34"/>
  <c r="X3796" i="34"/>
  <c r="W3796" i="34"/>
  <c r="V3796" i="34"/>
  <c r="T3796" i="34"/>
  <c r="S3796" i="34"/>
  <c r="R3796" i="34"/>
  <c r="N3796" i="34"/>
  <c r="C3805" i="34"/>
  <c r="B3805" i="34" s="1"/>
  <c r="P3805" i="34" s="1"/>
  <c r="C3804" i="34"/>
  <c r="B3804" i="34" s="1"/>
  <c r="Z3804" i="34" s="1"/>
  <c r="C3803" i="34"/>
  <c r="B3803" i="34" s="1"/>
  <c r="O3803" i="34" s="1"/>
  <c r="C3802" i="34"/>
  <c r="B3802" i="34" s="1"/>
  <c r="Z3802" i="34" s="1"/>
  <c r="C3801" i="34"/>
  <c r="B3801" i="34" s="1"/>
  <c r="C3800" i="34"/>
  <c r="B3800" i="34" s="1"/>
  <c r="Z3800" i="34" s="1"/>
  <c r="C3799" i="34"/>
  <c r="B3799" i="34" s="1"/>
  <c r="U3799" i="34" s="1"/>
  <c r="C3798" i="34"/>
  <c r="B3798" i="34" s="1"/>
  <c r="C3797" i="34"/>
  <c r="B3797" i="34" s="1"/>
  <c r="O3797" i="34" s="1"/>
  <c r="C3796" i="34"/>
  <c r="B3796" i="34" s="1"/>
  <c r="O3796" i="34" s="1"/>
  <c r="AC3795" i="34"/>
  <c r="X3795" i="34"/>
  <c r="W3795" i="34"/>
  <c r="V3795" i="34"/>
  <c r="T3795" i="34"/>
  <c r="S3795" i="34"/>
  <c r="R3795" i="34"/>
  <c r="N3795" i="34"/>
  <c r="K3795" i="34"/>
  <c r="C3795" i="34"/>
  <c r="B3795" i="34" s="1"/>
  <c r="O3795" i="34" s="1"/>
  <c r="AC3794" i="34"/>
  <c r="X3794" i="34"/>
  <c r="W3794" i="34"/>
  <c r="V3794" i="34"/>
  <c r="T3794" i="34"/>
  <c r="S3794" i="34"/>
  <c r="R3794" i="34"/>
  <c r="N3794" i="34"/>
  <c r="K3794" i="34"/>
  <c r="C3794" i="34"/>
  <c r="B3794" i="34" s="1"/>
  <c r="C3904" i="34"/>
  <c r="B3904" i="34" s="1"/>
  <c r="Z3904" i="34" s="1"/>
  <c r="C3810" i="34"/>
  <c r="B3810" i="34" s="1"/>
  <c r="C3809" i="34"/>
  <c r="B3809" i="34" s="1"/>
  <c r="U3809" i="34" s="1"/>
  <c r="C3808" i="34"/>
  <c r="B3808" i="34" s="1"/>
  <c r="Z3808" i="34" s="1"/>
  <c r="C3807" i="34"/>
  <c r="B3807" i="34" s="1"/>
  <c r="O3807" i="34" s="1"/>
  <c r="C3806" i="34"/>
  <c r="B3806" i="34" s="1"/>
  <c r="Z3806" i="34" s="1"/>
  <c r="X3793" i="34"/>
  <c r="W3793" i="34"/>
  <c r="V3793" i="34"/>
  <c r="T3793" i="34"/>
  <c r="S3793" i="34"/>
  <c r="R3793" i="34"/>
  <c r="N3793" i="34"/>
  <c r="X3791" i="34"/>
  <c r="W3791" i="34"/>
  <c r="V3791" i="34"/>
  <c r="T3791" i="34"/>
  <c r="S3791" i="34"/>
  <c r="R3791" i="34"/>
  <c r="N3791" i="34"/>
  <c r="AC3790" i="34"/>
  <c r="X3790" i="34"/>
  <c r="W3790" i="34"/>
  <c r="V3790" i="34"/>
  <c r="T3790" i="34"/>
  <c r="S3790" i="34"/>
  <c r="R3790" i="34"/>
  <c r="N3790" i="34"/>
  <c r="K3790" i="34"/>
  <c r="X3789" i="34"/>
  <c r="W3789" i="34"/>
  <c r="V3789" i="34"/>
  <c r="T3789" i="34"/>
  <c r="S3789" i="34"/>
  <c r="R3789" i="34"/>
  <c r="N3789" i="34"/>
  <c r="AC3788" i="34"/>
  <c r="X3788" i="34"/>
  <c r="W3788" i="34"/>
  <c r="V3788" i="34"/>
  <c r="T3788" i="34"/>
  <c r="S3788" i="34"/>
  <c r="R3788" i="34"/>
  <c r="N3788" i="34"/>
  <c r="K3788" i="34"/>
  <c r="X3787" i="34"/>
  <c r="W3787" i="34"/>
  <c r="V3787" i="34"/>
  <c r="T3787" i="34"/>
  <c r="S3787" i="34"/>
  <c r="R3787" i="34"/>
  <c r="N3787" i="34"/>
  <c r="AC3786" i="34"/>
  <c r="X3786" i="34"/>
  <c r="W3786" i="34"/>
  <c r="V3786" i="34"/>
  <c r="T3786" i="34"/>
  <c r="S3786" i="34"/>
  <c r="R3786" i="34"/>
  <c r="N3786" i="34"/>
  <c r="K3786" i="34"/>
  <c r="X3785" i="34"/>
  <c r="W3785" i="34"/>
  <c r="V3785" i="34"/>
  <c r="T3785" i="34"/>
  <c r="S3785" i="34"/>
  <c r="R3785" i="34"/>
  <c r="N3785" i="34"/>
  <c r="AC3784" i="34"/>
  <c r="X3784" i="34"/>
  <c r="W3784" i="34"/>
  <c r="V3784" i="34"/>
  <c r="T3784" i="34"/>
  <c r="S3784" i="34"/>
  <c r="R3784" i="34"/>
  <c r="N3784" i="34"/>
  <c r="K3784" i="34"/>
  <c r="X3783" i="34"/>
  <c r="W3783" i="34"/>
  <c r="V3783" i="34"/>
  <c r="T3783" i="34"/>
  <c r="S3783" i="34"/>
  <c r="R3783" i="34"/>
  <c r="N3783" i="34"/>
  <c r="AC3782" i="34"/>
  <c r="X3782" i="34"/>
  <c r="W3782" i="34"/>
  <c r="V3782" i="34"/>
  <c r="T3782" i="34"/>
  <c r="S3782" i="34"/>
  <c r="R3782" i="34"/>
  <c r="N3782" i="34"/>
  <c r="K3782" i="34"/>
  <c r="X3781" i="34"/>
  <c r="W3781" i="34"/>
  <c r="V3781" i="34"/>
  <c r="T3781" i="34"/>
  <c r="S3781" i="34"/>
  <c r="R3781" i="34"/>
  <c r="N3781" i="34"/>
  <c r="AC3780" i="34"/>
  <c r="X3780" i="34"/>
  <c r="W3780" i="34"/>
  <c r="V3780" i="34"/>
  <c r="T3780" i="34"/>
  <c r="S3780" i="34"/>
  <c r="R3780" i="34"/>
  <c r="N3780" i="34"/>
  <c r="K3780" i="34"/>
  <c r="X3779" i="34"/>
  <c r="W3779" i="34"/>
  <c r="V3779" i="34"/>
  <c r="T3779" i="34"/>
  <c r="S3779" i="34"/>
  <c r="R3779" i="34"/>
  <c r="N3779" i="34"/>
  <c r="X3776" i="34"/>
  <c r="W3776" i="34"/>
  <c r="V3776" i="34"/>
  <c r="T3776" i="34"/>
  <c r="S3776" i="34"/>
  <c r="R3776" i="34"/>
  <c r="N3776" i="34"/>
  <c r="X3771" i="34"/>
  <c r="W3771" i="34"/>
  <c r="V3771" i="34"/>
  <c r="T3771" i="34"/>
  <c r="S3771" i="34"/>
  <c r="R3771" i="34"/>
  <c r="N3771" i="34"/>
  <c r="AC3770" i="34"/>
  <c r="X3770" i="34"/>
  <c r="W3770" i="34"/>
  <c r="V3770" i="34"/>
  <c r="T3770" i="34"/>
  <c r="S3770" i="34"/>
  <c r="R3770" i="34"/>
  <c r="N3770" i="34"/>
  <c r="K3770" i="34"/>
  <c r="X3769" i="34"/>
  <c r="W3769" i="34"/>
  <c r="V3769" i="34"/>
  <c r="T3769" i="34"/>
  <c r="S3769" i="34"/>
  <c r="R3769" i="34"/>
  <c r="N3769" i="34"/>
  <c r="AC3768" i="34"/>
  <c r="X3768" i="34"/>
  <c r="W3768" i="34"/>
  <c r="V3768" i="34"/>
  <c r="T3768" i="34"/>
  <c r="S3768" i="34"/>
  <c r="R3768" i="34"/>
  <c r="N3768" i="34"/>
  <c r="K3768" i="34"/>
  <c r="C3783" i="34"/>
  <c r="B3783" i="34" s="1"/>
  <c r="Z3783" i="34" s="1"/>
  <c r="C3782" i="34"/>
  <c r="B3782" i="34" s="1"/>
  <c r="C3781" i="34"/>
  <c r="B3781" i="34" s="1"/>
  <c r="Z3781" i="34" s="1"/>
  <c r="C3780" i="34"/>
  <c r="B3780" i="34" s="1"/>
  <c r="C3779" i="34"/>
  <c r="B3779" i="34" s="1"/>
  <c r="O3779" i="34" s="1"/>
  <c r="AC3778" i="34"/>
  <c r="X3778" i="34"/>
  <c r="W3778" i="34"/>
  <c r="V3778" i="34"/>
  <c r="T3778" i="34"/>
  <c r="S3778" i="34"/>
  <c r="R3778" i="34"/>
  <c r="N3778" i="34"/>
  <c r="K3778" i="34"/>
  <c r="C3778" i="34"/>
  <c r="B3778" i="34" s="1"/>
  <c r="P3778" i="34" s="1"/>
  <c r="AC3777" i="34"/>
  <c r="X3777" i="34"/>
  <c r="W3777" i="34"/>
  <c r="V3777" i="34"/>
  <c r="T3777" i="34"/>
  <c r="S3777" i="34"/>
  <c r="R3777" i="34"/>
  <c r="N3777" i="34"/>
  <c r="K3777" i="34"/>
  <c r="C3777" i="34"/>
  <c r="B3777" i="34" s="1"/>
  <c r="O3777" i="34" s="1"/>
  <c r="C3776" i="34"/>
  <c r="B3776" i="34" s="1"/>
  <c r="P3776" i="34" s="1"/>
  <c r="X3775" i="34"/>
  <c r="W3775" i="34"/>
  <c r="V3775" i="34"/>
  <c r="T3775" i="34"/>
  <c r="S3775" i="34"/>
  <c r="R3775" i="34"/>
  <c r="N3775" i="34"/>
  <c r="K3775" i="34"/>
  <c r="C3775" i="34"/>
  <c r="B3775" i="34" s="1"/>
  <c r="Z3775" i="34" s="1"/>
  <c r="AC3774" i="34"/>
  <c r="X3774" i="34"/>
  <c r="W3774" i="34"/>
  <c r="V3774" i="34"/>
  <c r="T3774" i="34"/>
  <c r="S3774" i="34"/>
  <c r="R3774" i="34"/>
  <c r="N3774" i="34"/>
  <c r="K3774" i="34"/>
  <c r="C3774" i="34"/>
  <c r="B3774" i="34" s="1"/>
  <c r="AC3773" i="34"/>
  <c r="X3773" i="34"/>
  <c r="W3773" i="34"/>
  <c r="V3773" i="34"/>
  <c r="T3773" i="34"/>
  <c r="S3773" i="34"/>
  <c r="R3773" i="34"/>
  <c r="N3773" i="34"/>
  <c r="K3773" i="34"/>
  <c r="C3773" i="34"/>
  <c r="B3773" i="34" s="1"/>
  <c r="Z3773" i="34" s="1"/>
  <c r="AC3772" i="34"/>
  <c r="X3772" i="34"/>
  <c r="W3772" i="34"/>
  <c r="V3772" i="34"/>
  <c r="T3772" i="34"/>
  <c r="S3772" i="34"/>
  <c r="R3772" i="34"/>
  <c r="N3772" i="34"/>
  <c r="K3772" i="34"/>
  <c r="C3772" i="34"/>
  <c r="B3772" i="34" s="1"/>
  <c r="C3771" i="34"/>
  <c r="B3771" i="34" s="1"/>
  <c r="Z3771" i="34" s="1"/>
  <c r="C3770" i="34"/>
  <c r="B3770" i="34" s="1"/>
  <c r="Z3770" i="34" s="1"/>
  <c r="C3769" i="34"/>
  <c r="B3769" i="34" s="1"/>
  <c r="Z3769" i="34" s="1"/>
  <c r="C3768" i="34"/>
  <c r="B3768" i="34" s="1"/>
  <c r="C3791" i="34"/>
  <c r="B3791" i="34" s="1"/>
  <c r="Z3791" i="34" s="1"/>
  <c r="C3790" i="34"/>
  <c r="B3790" i="34"/>
  <c r="O3790" i="34" s="1"/>
  <c r="C3789" i="34"/>
  <c r="B3789" i="34" s="1"/>
  <c r="Z3789" i="34" s="1"/>
  <c r="C3788" i="34"/>
  <c r="B3788" i="34" s="1"/>
  <c r="C3787" i="34"/>
  <c r="B3787" i="34"/>
  <c r="P3787" i="34" s="1"/>
  <c r="C3786" i="34"/>
  <c r="B3786" i="34" s="1"/>
  <c r="Z3786" i="34" s="1"/>
  <c r="C3785" i="34"/>
  <c r="B3785" i="34" s="1"/>
  <c r="Z3785" i="34" s="1"/>
  <c r="C3784" i="34"/>
  <c r="B3784" i="34"/>
  <c r="O3784" i="34" s="1"/>
  <c r="X3767" i="34"/>
  <c r="W3767" i="34"/>
  <c r="V3767" i="34"/>
  <c r="T3767" i="34"/>
  <c r="S3767" i="34"/>
  <c r="R3767" i="34"/>
  <c r="N3767" i="34"/>
  <c r="X3762" i="34"/>
  <c r="W3762" i="34"/>
  <c r="V3762" i="34"/>
  <c r="T3762" i="34"/>
  <c r="S3762" i="34"/>
  <c r="R3762" i="34"/>
  <c r="N3762" i="34"/>
  <c r="X3759" i="34"/>
  <c r="W3759" i="34"/>
  <c r="V3759" i="34"/>
  <c r="T3759" i="34"/>
  <c r="S3759" i="34"/>
  <c r="R3759" i="34"/>
  <c r="N3759" i="34"/>
  <c r="P3779" i="34" l="1"/>
  <c r="Q3779" i="34"/>
  <c r="U3779" i="34"/>
  <c r="Z3779" i="34"/>
  <c r="P3902" i="34"/>
  <c r="O3902" i="34"/>
  <c r="Z3902" i="34"/>
  <c r="Q3902" i="34"/>
  <c r="O3903" i="34"/>
  <c r="P3903" i="34"/>
  <c r="Z3903" i="34"/>
  <c r="Q3903" i="34"/>
  <c r="O3904" i="34"/>
  <c r="P3904" i="34"/>
  <c r="Q3904" i="34"/>
  <c r="U3904" i="34"/>
  <c r="P3901" i="34"/>
  <c r="U3901" i="34"/>
  <c r="Q3901" i="34"/>
  <c r="P3899" i="34"/>
  <c r="U3899" i="34"/>
  <c r="Q3899" i="34"/>
  <c r="A3895" i="34"/>
  <c r="Z3895" i="34"/>
  <c r="P3896" i="34"/>
  <c r="A3897" i="34"/>
  <c r="Z3897" i="34"/>
  <c r="P3898" i="34"/>
  <c r="A3899" i="34"/>
  <c r="Z3899" i="34"/>
  <c r="P3900" i="34"/>
  <c r="A3901" i="34"/>
  <c r="Z3901" i="34"/>
  <c r="O3895" i="34"/>
  <c r="Q3896" i="34"/>
  <c r="U3896" i="34"/>
  <c r="O3897" i="34"/>
  <c r="Q3898" i="34"/>
  <c r="U3898" i="34"/>
  <c r="O3899" i="34"/>
  <c r="Q3900" i="34"/>
  <c r="U3900" i="34"/>
  <c r="O3901" i="34"/>
  <c r="P3895" i="34"/>
  <c r="A3896" i="34"/>
  <c r="Z3896" i="34"/>
  <c r="P3897" i="34"/>
  <c r="A3898" i="34"/>
  <c r="Z3898" i="34"/>
  <c r="A3900" i="34"/>
  <c r="Z3900" i="34"/>
  <c r="A3902" i="34"/>
  <c r="Q3895" i="34"/>
  <c r="Q3897" i="34"/>
  <c r="O3805" i="34"/>
  <c r="Q3805" i="34"/>
  <c r="U3805" i="34"/>
  <c r="Z3805" i="34"/>
  <c r="O3800" i="34"/>
  <c r="Z3822" i="34"/>
  <c r="U3822" i="34"/>
  <c r="Q3822" i="34"/>
  <c r="P3822" i="34"/>
  <c r="O3822" i="34"/>
  <c r="Q3776" i="34"/>
  <c r="U3776" i="34"/>
  <c r="Z3776" i="34"/>
  <c r="P3784" i="34"/>
  <c r="O3785" i="34"/>
  <c r="Q3787" i="34"/>
  <c r="U3787" i="34"/>
  <c r="Z3787" i="34"/>
  <c r="P3790" i="34"/>
  <c r="O3791" i="34"/>
  <c r="Q3784" i="34"/>
  <c r="U3784" i="34"/>
  <c r="Z3784" i="34"/>
  <c r="P3785" i="34"/>
  <c r="O3786" i="34"/>
  <c r="Q3790" i="34"/>
  <c r="U3790" i="34"/>
  <c r="Z3790" i="34"/>
  <c r="P3791" i="34"/>
  <c r="P3800" i="34"/>
  <c r="O3776" i="34"/>
  <c r="Q3785" i="34"/>
  <c r="U3785" i="34"/>
  <c r="P3786" i="34"/>
  <c r="O3787" i="34"/>
  <c r="Q3791" i="34"/>
  <c r="U3791" i="34"/>
  <c r="Q3800" i="34"/>
  <c r="U3800" i="34"/>
  <c r="Q3786" i="34"/>
  <c r="U3786" i="34"/>
  <c r="O3816" i="34"/>
  <c r="P3816" i="34"/>
  <c r="Q3818" i="34"/>
  <c r="U3818" i="34"/>
  <c r="Q3820" i="34"/>
  <c r="U3820" i="34"/>
  <c r="Q3816" i="34"/>
  <c r="U3816" i="34"/>
  <c r="P3812" i="34"/>
  <c r="U3812" i="34"/>
  <c r="Q3812" i="34"/>
  <c r="P3814" i="34"/>
  <c r="U3814" i="34"/>
  <c r="Q3814" i="34"/>
  <c r="O3799" i="34"/>
  <c r="Z3799" i="34"/>
  <c r="P3799" i="34"/>
  <c r="P3796" i="34"/>
  <c r="P3797" i="34"/>
  <c r="P3811" i="34"/>
  <c r="A3812" i="34"/>
  <c r="Z3812" i="34"/>
  <c r="P3813" i="34"/>
  <c r="A3814" i="34"/>
  <c r="Z3814" i="34"/>
  <c r="P3815" i="34"/>
  <c r="A3816" i="34"/>
  <c r="P3817" i="34"/>
  <c r="Q3796" i="34"/>
  <c r="Z3796" i="34"/>
  <c r="Q3811" i="34"/>
  <c r="U3811" i="34"/>
  <c r="O3812" i="34"/>
  <c r="Q3813" i="34"/>
  <c r="U3813" i="34"/>
  <c r="O3814" i="34"/>
  <c r="Q3815" i="34"/>
  <c r="U3815" i="34"/>
  <c r="Q3817" i="34"/>
  <c r="U3817" i="34"/>
  <c r="U3796" i="34"/>
  <c r="P3807" i="34"/>
  <c r="A3811" i="34"/>
  <c r="Z3811" i="34"/>
  <c r="A3813" i="34"/>
  <c r="Z3813" i="34"/>
  <c r="A3815" i="34"/>
  <c r="Z3815" i="34"/>
  <c r="A3817" i="34"/>
  <c r="Z3817" i="34"/>
  <c r="Z3798" i="34"/>
  <c r="U3798" i="34"/>
  <c r="Q3798" i="34"/>
  <c r="P3798" i="34"/>
  <c r="O3798" i="34"/>
  <c r="P3810" i="34"/>
  <c r="O3810" i="34"/>
  <c r="Z3810" i="34"/>
  <c r="U3810" i="34"/>
  <c r="Q3810" i="34"/>
  <c r="Q3797" i="34"/>
  <c r="U3797" i="34"/>
  <c r="Q3799" i="34"/>
  <c r="O3806" i="34"/>
  <c r="Q3807" i="34"/>
  <c r="U3807" i="34"/>
  <c r="O3808" i="34"/>
  <c r="Z3809" i="34"/>
  <c r="A3818" i="34"/>
  <c r="Z3818" i="34"/>
  <c r="P3819" i="34"/>
  <c r="A3820" i="34"/>
  <c r="Z3820" i="34"/>
  <c r="P3821" i="34"/>
  <c r="A3822" i="34"/>
  <c r="Z3797" i="34"/>
  <c r="P3806" i="34"/>
  <c r="Z3807" i="34"/>
  <c r="P3808" i="34"/>
  <c r="O3809" i="34"/>
  <c r="O3818" i="34"/>
  <c r="Q3819" i="34"/>
  <c r="U3819" i="34"/>
  <c r="O3820" i="34"/>
  <c r="Q3821" i="34"/>
  <c r="U3821" i="34"/>
  <c r="Q3806" i="34"/>
  <c r="U3806" i="34"/>
  <c r="Q3808" i="34"/>
  <c r="U3808" i="34"/>
  <c r="P3809" i="34"/>
  <c r="A3819" i="34"/>
  <c r="Z3819" i="34"/>
  <c r="A3821" i="34"/>
  <c r="Z3821" i="34"/>
  <c r="A3903" i="34"/>
  <c r="Q3809" i="34"/>
  <c r="O3804" i="34"/>
  <c r="P3804" i="34"/>
  <c r="Q3804" i="34"/>
  <c r="U3804" i="34"/>
  <c r="P3803" i="34"/>
  <c r="Q3803" i="34"/>
  <c r="U3803" i="34"/>
  <c r="Z3803" i="34"/>
  <c r="O3802" i="34"/>
  <c r="P3802" i="34"/>
  <c r="Q3802" i="34"/>
  <c r="U3802" i="34"/>
  <c r="O3801" i="34"/>
  <c r="Z3801" i="34"/>
  <c r="U3801" i="34"/>
  <c r="Q3801" i="34"/>
  <c r="P3801" i="34"/>
  <c r="P3794" i="34"/>
  <c r="U3794" i="34"/>
  <c r="Q3794" i="34"/>
  <c r="A3794" i="34"/>
  <c r="Z3794" i="34"/>
  <c r="P3795" i="34"/>
  <c r="A3796" i="34"/>
  <c r="A3798" i="34"/>
  <c r="A3800" i="34"/>
  <c r="A3802" i="34"/>
  <c r="A3804" i="34"/>
  <c r="Q3795" i="34"/>
  <c r="U3795" i="34"/>
  <c r="O3794" i="34"/>
  <c r="A3795" i="34"/>
  <c r="Z3795" i="34"/>
  <c r="A3797" i="34"/>
  <c r="A3799" i="34"/>
  <c r="A3801" i="34"/>
  <c r="A3803" i="34"/>
  <c r="A3805" i="34"/>
  <c r="A3806" i="34"/>
  <c r="A3808" i="34"/>
  <c r="A3810" i="34"/>
  <c r="A3807" i="34"/>
  <c r="A3809" i="34"/>
  <c r="A3904" i="34"/>
  <c r="P3788" i="34"/>
  <c r="O3788" i="34"/>
  <c r="Z3788" i="34"/>
  <c r="U3788" i="34"/>
  <c r="Q3788" i="34"/>
  <c r="O3789" i="34"/>
  <c r="P3789" i="34"/>
  <c r="Q3789" i="34"/>
  <c r="U3789" i="34"/>
  <c r="O3783" i="34"/>
  <c r="P3783" i="34"/>
  <c r="Q3783" i="34"/>
  <c r="U3783" i="34"/>
  <c r="Z3782" i="34"/>
  <c r="U3782" i="34"/>
  <c r="Q3782" i="34"/>
  <c r="P3782" i="34"/>
  <c r="A3782" i="34"/>
  <c r="O3782" i="34"/>
  <c r="A3780" i="34"/>
  <c r="O3780" i="34"/>
  <c r="Z3780" i="34"/>
  <c r="U3780" i="34"/>
  <c r="Q3780" i="34"/>
  <c r="P3780" i="34"/>
  <c r="O3781" i="34"/>
  <c r="P3781" i="34"/>
  <c r="Q3781" i="34"/>
  <c r="U3781" i="34"/>
  <c r="Q3778" i="34"/>
  <c r="U3778" i="34"/>
  <c r="P3774" i="34"/>
  <c r="U3774" i="34"/>
  <c r="Q3774" i="34"/>
  <c r="P3772" i="34"/>
  <c r="U3772" i="34"/>
  <c r="Q3772" i="34"/>
  <c r="O3771" i="34"/>
  <c r="P3771" i="34"/>
  <c r="Q3771" i="34"/>
  <c r="U3771" i="34"/>
  <c r="O3770" i="34"/>
  <c r="P3770" i="34"/>
  <c r="Q3770" i="34"/>
  <c r="U3770" i="34"/>
  <c r="Z3768" i="34"/>
  <c r="U3768" i="34"/>
  <c r="Q3768" i="34"/>
  <c r="P3768" i="34"/>
  <c r="O3768" i="34"/>
  <c r="O3769" i="34"/>
  <c r="P3769" i="34"/>
  <c r="Q3769" i="34"/>
  <c r="U3769" i="34"/>
  <c r="O3773" i="34"/>
  <c r="A3768" i="34"/>
  <c r="A3770" i="34"/>
  <c r="A3772" i="34"/>
  <c r="Z3772" i="34"/>
  <c r="P3773" i="34"/>
  <c r="A3774" i="34"/>
  <c r="Z3774" i="34"/>
  <c r="P3775" i="34"/>
  <c r="A3776" i="34"/>
  <c r="P3777" i="34"/>
  <c r="A3778" i="34"/>
  <c r="Z3778" i="34"/>
  <c r="O3772" i="34"/>
  <c r="Q3775" i="34"/>
  <c r="U3775" i="34"/>
  <c r="O3775" i="34"/>
  <c r="Q3773" i="34"/>
  <c r="U3773" i="34"/>
  <c r="O3774" i="34"/>
  <c r="Q3777" i="34"/>
  <c r="U3777" i="34"/>
  <c r="O3778" i="34"/>
  <c r="A3769" i="34"/>
  <c r="A3771" i="34"/>
  <c r="A3773" i="34"/>
  <c r="A3775" i="34"/>
  <c r="A3777" i="34"/>
  <c r="Z3777" i="34"/>
  <c r="A3779" i="34"/>
  <c r="A3781" i="34"/>
  <c r="A3783" i="34"/>
  <c r="A3784" i="34"/>
  <c r="A3786" i="34"/>
  <c r="A3788" i="34"/>
  <c r="A3790" i="34"/>
  <c r="A3785" i="34"/>
  <c r="A3787" i="34"/>
  <c r="A3789" i="34"/>
  <c r="A3791" i="34"/>
  <c r="X3757" i="34" l="1"/>
  <c r="W3757" i="34"/>
  <c r="V3757" i="34"/>
  <c r="T3757" i="34"/>
  <c r="S3757" i="34"/>
  <c r="R3757" i="34"/>
  <c r="N3757" i="34"/>
  <c r="AC3765" i="34"/>
  <c r="X3765" i="34"/>
  <c r="W3765" i="34"/>
  <c r="V3765" i="34"/>
  <c r="T3765" i="34"/>
  <c r="S3765" i="34"/>
  <c r="R3765" i="34"/>
  <c r="N3765" i="34"/>
  <c r="K3765" i="34"/>
  <c r="C3765" i="34"/>
  <c r="B3765" i="34" s="1"/>
  <c r="O3765" i="34" s="1"/>
  <c r="AC3764" i="34"/>
  <c r="X3764" i="34"/>
  <c r="W3764" i="34"/>
  <c r="V3764" i="34"/>
  <c r="T3764" i="34"/>
  <c r="S3764" i="34"/>
  <c r="R3764" i="34"/>
  <c r="N3764" i="34"/>
  <c r="K3764" i="34"/>
  <c r="C3764" i="34"/>
  <c r="B3764" i="34" s="1"/>
  <c r="AC3763" i="34"/>
  <c r="X3763" i="34"/>
  <c r="W3763" i="34"/>
  <c r="V3763" i="34"/>
  <c r="T3763" i="34"/>
  <c r="S3763" i="34"/>
  <c r="R3763" i="34"/>
  <c r="N3763" i="34"/>
  <c r="K3763" i="34"/>
  <c r="C3763" i="34"/>
  <c r="B3763" i="34" s="1"/>
  <c r="O3763" i="34" s="1"/>
  <c r="C3762" i="34"/>
  <c r="B3762" i="34" s="1"/>
  <c r="AC3761" i="34"/>
  <c r="X3761" i="34"/>
  <c r="W3761" i="34"/>
  <c r="V3761" i="34"/>
  <c r="T3761" i="34"/>
  <c r="S3761" i="34"/>
  <c r="R3761" i="34"/>
  <c r="N3761" i="34"/>
  <c r="K3761" i="34"/>
  <c r="C3761" i="34"/>
  <c r="B3761" i="34" s="1"/>
  <c r="O3761" i="34" s="1"/>
  <c r="AC3760" i="34"/>
  <c r="X3760" i="34"/>
  <c r="W3760" i="34"/>
  <c r="V3760" i="34"/>
  <c r="T3760" i="34"/>
  <c r="S3760" i="34"/>
  <c r="R3760" i="34"/>
  <c r="N3760" i="34"/>
  <c r="K3760" i="34"/>
  <c r="C3760" i="34"/>
  <c r="B3760" i="34" s="1"/>
  <c r="P3760" i="34" s="1"/>
  <c r="C3759" i="34"/>
  <c r="B3759" i="34" s="1"/>
  <c r="AC3758" i="34"/>
  <c r="X3758" i="34"/>
  <c r="W3758" i="34"/>
  <c r="V3758" i="34"/>
  <c r="T3758" i="34"/>
  <c r="S3758" i="34"/>
  <c r="R3758" i="34"/>
  <c r="N3758" i="34"/>
  <c r="K3758" i="34"/>
  <c r="C3758" i="34"/>
  <c r="B3758" i="34" s="1"/>
  <c r="C3757" i="34"/>
  <c r="B3757" i="34" s="1"/>
  <c r="P3757" i="34" s="1"/>
  <c r="AC3756" i="34"/>
  <c r="X3756" i="34"/>
  <c r="W3756" i="34"/>
  <c r="V3756" i="34"/>
  <c r="T3756" i="34"/>
  <c r="S3756" i="34"/>
  <c r="R3756" i="34"/>
  <c r="N3756" i="34"/>
  <c r="K3756" i="34"/>
  <c r="C3756" i="34"/>
  <c r="B3756" i="34" s="1"/>
  <c r="P3756" i="34" s="1"/>
  <c r="C3793" i="34"/>
  <c r="B3793" i="34" s="1"/>
  <c r="AC3792" i="34"/>
  <c r="X3792" i="34"/>
  <c r="W3792" i="34"/>
  <c r="V3792" i="34"/>
  <c r="T3792" i="34"/>
  <c r="S3792" i="34"/>
  <c r="R3792" i="34"/>
  <c r="N3792" i="34"/>
  <c r="K3792" i="34"/>
  <c r="C3792" i="34"/>
  <c r="B3792" i="34" s="1"/>
  <c r="O3792" i="34" s="1"/>
  <c r="C3767" i="34"/>
  <c r="B3767" i="34" s="1"/>
  <c r="AC3766" i="34"/>
  <c r="X3766" i="34"/>
  <c r="W3766" i="34"/>
  <c r="V3766" i="34"/>
  <c r="T3766" i="34"/>
  <c r="S3766" i="34"/>
  <c r="R3766" i="34"/>
  <c r="N3766" i="34"/>
  <c r="K3766" i="34"/>
  <c r="C3766" i="34"/>
  <c r="B3766" i="34" s="1"/>
  <c r="O3766" i="34" s="1"/>
  <c r="X3755" i="34"/>
  <c r="W3755" i="34"/>
  <c r="V3755" i="34"/>
  <c r="T3755" i="34"/>
  <c r="S3755" i="34"/>
  <c r="R3755" i="34"/>
  <c r="N3755" i="34"/>
  <c r="AC3754" i="34"/>
  <c r="X3754" i="34"/>
  <c r="W3754" i="34"/>
  <c r="V3754" i="34"/>
  <c r="T3754" i="34"/>
  <c r="S3754" i="34"/>
  <c r="R3754" i="34"/>
  <c r="N3754" i="34"/>
  <c r="K3754" i="34"/>
  <c r="C3755" i="34"/>
  <c r="B3755" i="34" s="1"/>
  <c r="Z3755" i="34" s="1"/>
  <c r="C3754" i="34"/>
  <c r="B3754" i="34" s="1"/>
  <c r="O3754" i="34" s="1"/>
  <c r="AC4194" i="34"/>
  <c r="X4194" i="34"/>
  <c r="W4194" i="34"/>
  <c r="V4194" i="34"/>
  <c r="T4194" i="34"/>
  <c r="S4194" i="34"/>
  <c r="R4194" i="34"/>
  <c r="N4194" i="34"/>
  <c r="K4194" i="34"/>
  <c r="C4194" i="34"/>
  <c r="B4194" i="34" s="1"/>
  <c r="O4194" i="34" s="1"/>
  <c r="AC4193" i="34"/>
  <c r="X4193" i="34"/>
  <c r="W4193" i="34"/>
  <c r="V4193" i="34"/>
  <c r="T4193" i="34"/>
  <c r="S4193" i="34"/>
  <c r="R4193" i="34"/>
  <c r="N4193" i="34"/>
  <c r="K4193" i="34"/>
  <c r="C4193" i="34"/>
  <c r="B4193" i="34" s="1"/>
  <c r="P4193" i="34" s="1"/>
  <c r="AC4192" i="34"/>
  <c r="X4192" i="34"/>
  <c r="W4192" i="34"/>
  <c r="V4192" i="34"/>
  <c r="T4192" i="34"/>
  <c r="S4192" i="34"/>
  <c r="R4192" i="34"/>
  <c r="N4192" i="34"/>
  <c r="K4192" i="34"/>
  <c r="C4192" i="34"/>
  <c r="B4192" i="34" s="1"/>
  <c r="O4192" i="34" s="1"/>
  <c r="AC4191" i="34"/>
  <c r="X4191" i="34"/>
  <c r="W4191" i="34"/>
  <c r="V4191" i="34"/>
  <c r="T4191" i="34"/>
  <c r="S4191" i="34"/>
  <c r="R4191" i="34"/>
  <c r="N4191" i="34"/>
  <c r="K4191" i="34"/>
  <c r="C4191" i="34"/>
  <c r="B4191" i="34" s="1"/>
  <c r="P4191" i="34" s="1"/>
  <c r="AC4190" i="34"/>
  <c r="X4190" i="34"/>
  <c r="W4190" i="34"/>
  <c r="V4190" i="34"/>
  <c r="T4190" i="34"/>
  <c r="S4190" i="34"/>
  <c r="R4190" i="34"/>
  <c r="N4190" i="34"/>
  <c r="K4190" i="34"/>
  <c r="C4190" i="34"/>
  <c r="B4190" i="34" s="1"/>
  <c r="O4190" i="34" s="1"/>
  <c r="AC4189" i="34"/>
  <c r="X4189" i="34"/>
  <c r="W4189" i="34"/>
  <c r="V4189" i="34"/>
  <c r="T4189" i="34"/>
  <c r="S4189" i="34"/>
  <c r="R4189" i="34"/>
  <c r="N4189" i="34"/>
  <c r="K4189" i="34"/>
  <c r="C4189" i="34"/>
  <c r="B4189" i="34" s="1"/>
  <c r="P4189" i="34" s="1"/>
  <c r="AC4188" i="34"/>
  <c r="X4188" i="34"/>
  <c r="W4188" i="34"/>
  <c r="V4188" i="34"/>
  <c r="T4188" i="34"/>
  <c r="S4188" i="34"/>
  <c r="R4188" i="34"/>
  <c r="N4188" i="34"/>
  <c r="K4188" i="34"/>
  <c r="C4188" i="34"/>
  <c r="B4188" i="34" s="1"/>
  <c r="O4188" i="34" s="1"/>
  <c r="AC4187" i="34"/>
  <c r="X4187" i="34"/>
  <c r="W4187" i="34"/>
  <c r="V4187" i="34"/>
  <c r="T4187" i="34"/>
  <c r="S4187" i="34"/>
  <c r="R4187" i="34"/>
  <c r="N4187" i="34"/>
  <c r="K4187" i="34"/>
  <c r="C4187" i="34"/>
  <c r="B4187" i="34" s="1"/>
  <c r="P4187" i="34" s="1"/>
  <c r="AC4186" i="34"/>
  <c r="X4186" i="34"/>
  <c r="W4186" i="34"/>
  <c r="V4186" i="34"/>
  <c r="T4186" i="34"/>
  <c r="S4186" i="34"/>
  <c r="R4186" i="34"/>
  <c r="N4186" i="34"/>
  <c r="K4186" i="34"/>
  <c r="C4186" i="34"/>
  <c r="B4186" i="34" s="1"/>
  <c r="O4186" i="34" s="1"/>
  <c r="AC4210" i="34"/>
  <c r="X4210" i="34"/>
  <c r="W4210" i="34"/>
  <c r="V4210" i="34"/>
  <c r="T4210" i="34"/>
  <c r="S4210" i="34"/>
  <c r="R4210" i="34"/>
  <c r="N4210" i="34"/>
  <c r="K4210" i="34"/>
  <c r="C4210" i="34"/>
  <c r="B4210" i="34" s="1"/>
  <c r="O4210" i="34" s="1"/>
  <c r="AC4209" i="34"/>
  <c r="X4209" i="34"/>
  <c r="W4209" i="34"/>
  <c r="V4209" i="34"/>
  <c r="T4209" i="34"/>
  <c r="S4209" i="34"/>
  <c r="R4209" i="34"/>
  <c r="N4209" i="34"/>
  <c r="K4209" i="34"/>
  <c r="C4209" i="34"/>
  <c r="B4209" i="34" s="1"/>
  <c r="AC4208" i="34"/>
  <c r="X4208" i="34"/>
  <c r="W4208" i="34"/>
  <c r="V4208" i="34"/>
  <c r="T4208" i="34"/>
  <c r="S4208" i="34"/>
  <c r="R4208" i="34"/>
  <c r="N4208" i="34"/>
  <c r="K4208" i="34"/>
  <c r="C4208" i="34"/>
  <c r="B4208" i="34" s="1"/>
  <c r="O4208" i="34" s="1"/>
  <c r="AC4207" i="34"/>
  <c r="X4207" i="34"/>
  <c r="W4207" i="34"/>
  <c r="V4207" i="34"/>
  <c r="T4207" i="34"/>
  <c r="S4207" i="34"/>
  <c r="R4207" i="34"/>
  <c r="N4207" i="34"/>
  <c r="K4207" i="34"/>
  <c r="C4207" i="34"/>
  <c r="B4207" i="34" s="1"/>
  <c r="AC4206" i="34"/>
  <c r="X4206" i="34"/>
  <c r="W4206" i="34"/>
  <c r="V4206" i="34"/>
  <c r="T4206" i="34"/>
  <c r="S4206" i="34"/>
  <c r="R4206" i="34"/>
  <c r="N4206" i="34"/>
  <c r="K4206" i="34"/>
  <c r="C4206" i="34"/>
  <c r="B4206" i="34" s="1"/>
  <c r="O4206" i="34" s="1"/>
  <c r="AC4205" i="34"/>
  <c r="X4205" i="34"/>
  <c r="W4205" i="34"/>
  <c r="V4205" i="34"/>
  <c r="T4205" i="34"/>
  <c r="S4205" i="34"/>
  <c r="R4205" i="34"/>
  <c r="N4205" i="34"/>
  <c r="K4205" i="34"/>
  <c r="C4205" i="34"/>
  <c r="B4205" i="34" s="1"/>
  <c r="AC4204" i="34"/>
  <c r="X4204" i="34"/>
  <c r="W4204" i="34"/>
  <c r="V4204" i="34"/>
  <c r="T4204" i="34"/>
  <c r="S4204" i="34"/>
  <c r="R4204" i="34"/>
  <c r="N4204" i="34"/>
  <c r="K4204" i="34"/>
  <c r="C4204" i="34"/>
  <c r="B4204" i="34" s="1"/>
  <c r="Z4204" i="34" s="1"/>
  <c r="AC4203" i="34"/>
  <c r="X4203" i="34"/>
  <c r="W4203" i="34"/>
  <c r="V4203" i="34"/>
  <c r="T4203" i="34"/>
  <c r="S4203" i="34"/>
  <c r="R4203" i="34"/>
  <c r="N4203" i="34"/>
  <c r="K4203" i="34"/>
  <c r="C4203" i="34"/>
  <c r="B4203" i="34" s="1"/>
  <c r="P4203" i="34" s="1"/>
  <c r="AC4202" i="34"/>
  <c r="X4202" i="34"/>
  <c r="W4202" i="34"/>
  <c r="V4202" i="34"/>
  <c r="T4202" i="34"/>
  <c r="S4202" i="34"/>
  <c r="R4202" i="34"/>
  <c r="N4202" i="34"/>
  <c r="K4202" i="34"/>
  <c r="C4202" i="34"/>
  <c r="B4202" i="34" s="1"/>
  <c r="O4202" i="34" s="1"/>
  <c r="AC4201" i="34"/>
  <c r="X4201" i="34"/>
  <c r="W4201" i="34"/>
  <c r="V4201" i="34"/>
  <c r="T4201" i="34"/>
  <c r="S4201" i="34"/>
  <c r="R4201" i="34"/>
  <c r="N4201" i="34"/>
  <c r="K4201" i="34"/>
  <c r="C4201" i="34"/>
  <c r="B4201" i="34" s="1"/>
  <c r="U4201" i="34" s="1"/>
  <c r="AC4200" i="34"/>
  <c r="X4200" i="34"/>
  <c r="W4200" i="34"/>
  <c r="V4200" i="34"/>
  <c r="T4200" i="34"/>
  <c r="S4200" i="34"/>
  <c r="R4200" i="34"/>
  <c r="N4200" i="34"/>
  <c r="K4200" i="34"/>
  <c r="C4200" i="34"/>
  <c r="B4200" i="34" s="1"/>
  <c r="Z4200" i="34" s="1"/>
  <c r="AC4199" i="34"/>
  <c r="X4199" i="34"/>
  <c r="W4199" i="34"/>
  <c r="V4199" i="34"/>
  <c r="T4199" i="34"/>
  <c r="S4199" i="34"/>
  <c r="R4199" i="34"/>
  <c r="N4199" i="34"/>
  <c r="K4199" i="34"/>
  <c r="C4199" i="34"/>
  <c r="B4199" i="34" s="1"/>
  <c r="P4199" i="34" s="1"/>
  <c r="AC4198" i="34"/>
  <c r="X4198" i="34"/>
  <c r="W4198" i="34"/>
  <c r="V4198" i="34"/>
  <c r="T4198" i="34"/>
  <c r="S4198" i="34"/>
  <c r="R4198" i="34"/>
  <c r="N4198" i="34"/>
  <c r="K4198" i="34"/>
  <c r="C4198" i="34"/>
  <c r="B4198" i="34" s="1"/>
  <c r="O4198" i="34" s="1"/>
  <c r="AC4197" i="34"/>
  <c r="X4197" i="34"/>
  <c r="W4197" i="34"/>
  <c r="V4197" i="34"/>
  <c r="T4197" i="34"/>
  <c r="S4197" i="34"/>
  <c r="R4197" i="34"/>
  <c r="N4197" i="34"/>
  <c r="K4197" i="34"/>
  <c r="C4197" i="34"/>
  <c r="B4197" i="34" s="1"/>
  <c r="U4197" i="34" s="1"/>
  <c r="AC4196" i="34"/>
  <c r="X4196" i="34"/>
  <c r="W4196" i="34"/>
  <c r="V4196" i="34"/>
  <c r="T4196" i="34"/>
  <c r="S4196" i="34"/>
  <c r="R4196" i="34"/>
  <c r="N4196" i="34"/>
  <c r="K4196" i="34"/>
  <c r="C4196" i="34"/>
  <c r="B4196" i="34" s="1"/>
  <c r="Z4196" i="34" s="1"/>
  <c r="AC4195" i="34"/>
  <c r="X4195" i="34"/>
  <c r="W4195" i="34"/>
  <c r="V4195" i="34"/>
  <c r="T4195" i="34"/>
  <c r="S4195" i="34"/>
  <c r="R4195" i="34"/>
  <c r="N4195" i="34"/>
  <c r="K4195" i="34"/>
  <c r="C4195" i="34"/>
  <c r="B4195" i="34" s="1"/>
  <c r="P4195" i="34" s="1"/>
  <c r="AC4226" i="34"/>
  <c r="X4226" i="34"/>
  <c r="W4226" i="34"/>
  <c r="V4226" i="34"/>
  <c r="T4226" i="34"/>
  <c r="S4226" i="34"/>
  <c r="R4226" i="34"/>
  <c r="N4226" i="34"/>
  <c r="K4226" i="34"/>
  <c r="C4226" i="34"/>
  <c r="B4226" i="34" s="1"/>
  <c r="Z4226" i="34" s="1"/>
  <c r="AC4225" i="34"/>
  <c r="X4225" i="34"/>
  <c r="W4225" i="34"/>
  <c r="V4225" i="34"/>
  <c r="T4225" i="34"/>
  <c r="S4225" i="34"/>
  <c r="R4225" i="34"/>
  <c r="N4225" i="34"/>
  <c r="K4225" i="34"/>
  <c r="C4225" i="34"/>
  <c r="B4225" i="34" s="1"/>
  <c r="P4225" i="34" s="1"/>
  <c r="AC4224" i="34"/>
  <c r="X4224" i="34"/>
  <c r="W4224" i="34"/>
  <c r="V4224" i="34"/>
  <c r="T4224" i="34"/>
  <c r="S4224" i="34"/>
  <c r="R4224" i="34"/>
  <c r="N4224" i="34"/>
  <c r="K4224" i="34"/>
  <c r="C4224" i="34"/>
  <c r="B4224" i="34" s="1"/>
  <c r="O4224" i="34" s="1"/>
  <c r="AC4223" i="34"/>
  <c r="X4223" i="34"/>
  <c r="W4223" i="34"/>
  <c r="V4223" i="34"/>
  <c r="T4223" i="34"/>
  <c r="S4223" i="34"/>
  <c r="R4223" i="34"/>
  <c r="N4223" i="34"/>
  <c r="K4223" i="34"/>
  <c r="C4223" i="34"/>
  <c r="B4223" i="34" s="1"/>
  <c r="U4223" i="34" s="1"/>
  <c r="AC4222" i="34"/>
  <c r="X4222" i="34"/>
  <c r="W4222" i="34"/>
  <c r="V4222" i="34"/>
  <c r="T4222" i="34"/>
  <c r="S4222" i="34"/>
  <c r="R4222" i="34"/>
  <c r="N4222" i="34"/>
  <c r="K4222" i="34"/>
  <c r="C4222" i="34"/>
  <c r="B4222" i="34"/>
  <c r="Z4222" i="34" s="1"/>
  <c r="AC4221" i="34"/>
  <c r="X4221" i="34"/>
  <c r="W4221" i="34"/>
  <c r="V4221" i="34"/>
  <c r="T4221" i="34"/>
  <c r="S4221" i="34"/>
  <c r="R4221" i="34"/>
  <c r="N4221" i="34"/>
  <c r="K4221" i="34"/>
  <c r="C4221" i="34"/>
  <c r="B4221" i="34" s="1"/>
  <c r="P4221" i="34" s="1"/>
  <c r="AC4220" i="34"/>
  <c r="X4220" i="34"/>
  <c r="W4220" i="34"/>
  <c r="V4220" i="34"/>
  <c r="T4220" i="34"/>
  <c r="S4220" i="34"/>
  <c r="R4220" i="34"/>
  <c r="N4220" i="34"/>
  <c r="K4220" i="34"/>
  <c r="C4220" i="34"/>
  <c r="B4220" i="34" s="1"/>
  <c r="O4220" i="34" s="1"/>
  <c r="AC4219" i="34"/>
  <c r="X4219" i="34"/>
  <c r="W4219" i="34"/>
  <c r="V4219" i="34"/>
  <c r="T4219" i="34"/>
  <c r="S4219" i="34"/>
  <c r="R4219" i="34"/>
  <c r="N4219" i="34"/>
  <c r="K4219" i="34"/>
  <c r="C4219" i="34"/>
  <c r="B4219" i="34" s="1"/>
  <c r="U4219" i="34" s="1"/>
  <c r="AC4218" i="34"/>
  <c r="X4218" i="34"/>
  <c r="W4218" i="34"/>
  <c r="V4218" i="34"/>
  <c r="T4218" i="34"/>
  <c r="S4218" i="34"/>
  <c r="R4218" i="34"/>
  <c r="N4218" i="34"/>
  <c r="K4218" i="34"/>
  <c r="C4218" i="34"/>
  <c r="B4218" i="34" s="1"/>
  <c r="Z4218" i="34" s="1"/>
  <c r="AC4217" i="34"/>
  <c r="X4217" i="34"/>
  <c r="W4217" i="34"/>
  <c r="V4217" i="34"/>
  <c r="T4217" i="34"/>
  <c r="S4217" i="34"/>
  <c r="R4217" i="34"/>
  <c r="N4217" i="34"/>
  <c r="K4217" i="34"/>
  <c r="C4217" i="34"/>
  <c r="B4217" i="34" s="1"/>
  <c r="P4217" i="34" s="1"/>
  <c r="AC4216" i="34"/>
  <c r="X4216" i="34"/>
  <c r="W4216" i="34"/>
  <c r="V4216" i="34"/>
  <c r="T4216" i="34"/>
  <c r="S4216" i="34"/>
  <c r="R4216" i="34"/>
  <c r="N4216" i="34"/>
  <c r="K4216" i="34"/>
  <c r="C4216" i="34"/>
  <c r="B4216" i="34" s="1"/>
  <c r="O4216" i="34" s="1"/>
  <c r="AC4215" i="34"/>
  <c r="X4215" i="34"/>
  <c r="W4215" i="34"/>
  <c r="V4215" i="34"/>
  <c r="T4215" i="34"/>
  <c r="S4215" i="34"/>
  <c r="R4215" i="34"/>
  <c r="N4215" i="34"/>
  <c r="K4215" i="34"/>
  <c r="C4215" i="34"/>
  <c r="B4215" i="34" s="1"/>
  <c r="U4215" i="34" s="1"/>
  <c r="AC4214" i="34"/>
  <c r="X4214" i="34"/>
  <c r="W4214" i="34"/>
  <c r="V4214" i="34"/>
  <c r="T4214" i="34"/>
  <c r="S4214" i="34"/>
  <c r="R4214" i="34"/>
  <c r="N4214" i="34"/>
  <c r="K4214" i="34"/>
  <c r="C4214" i="34"/>
  <c r="B4214" i="34" s="1"/>
  <c r="Z4214" i="34" s="1"/>
  <c r="AC4213" i="34"/>
  <c r="X4213" i="34"/>
  <c r="W4213" i="34"/>
  <c r="V4213" i="34"/>
  <c r="T4213" i="34"/>
  <c r="S4213" i="34"/>
  <c r="R4213" i="34"/>
  <c r="N4213" i="34"/>
  <c r="K4213" i="34"/>
  <c r="C4213" i="34"/>
  <c r="B4213" i="34" s="1"/>
  <c r="P4213" i="34" s="1"/>
  <c r="AC4212" i="34"/>
  <c r="X4212" i="34"/>
  <c r="W4212" i="34"/>
  <c r="V4212" i="34"/>
  <c r="T4212" i="34"/>
  <c r="S4212" i="34"/>
  <c r="R4212" i="34"/>
  <c r="N4212" i="34"/>
  <c r="K4212" i="34"/>
  <c r="C4212" i="34"/>
  <c r="B4212" i="34" s="1"/>
  <c r="O4212" i="34" s="1"/>
  <c r="AC4211" i="34"/>
  <c r="X4211" i="34"/>
  <c r="W4211" i="34"/>
  <c r="V4211" i="34"/>
  <c r="T4211" i="34"/>
  <c r="S4211" i="34"/>
  <c r="R4211" i="34"/>
  <c r="N4211" i="34"/>
  <c r="K4211" i="34"/>
  <c r="C4211" i="34"/>
  <c r="B4211" i="34" s="1"/>
  <c r="U4211" i="34" s="1"/>
  <c r="AC4234" i="34"/>
  <c r="X4234" i="34"/>
  <c r="W4234" i="34"/>
  <c r="V4234" i="34"/>
  <c r="T4234" i="34"/>
  <c r="S4234" i="34"/>
  <c r="R4234" i="34"/>
  <c r="N4234" i="34"/>
  <c r="K4234" i="34"/>
  <c r="C4234" i="34"/>
  <c r="B4234" i="34" s="1"/>
  <c r="Z4234" i="34" s="1"/>
  <c r="AC4233" i="34"/>
  <c r="X4233" i="34"/>
  <c r="W4233" i="34"/>
  <c r="V4233" i="34"/>
  <c r="T4233" i="34"/>
  <c r="S4233" i="34"/>
  <c r="R4233" i="34"/>
  <c r="N4233" i="34"/>
  <c r="K4233" i="34"/>
  <c r="C4233" i="34"/>
  <c r="B4233" i="34" s="1"/>
  <c r="P4233" i="34" s="1"/>
  <c r="AC4232" i="34"/>
  <c r="X4232" i="34"/>
  <c r="W4232" i="34"/>
  <c r="V4232" i="34"/>
  <c r="T4232" i="34"/>
  <c r="S4232" i="34"/>
  <c r="R4232" i="34"/>
  <c r="N4232" i="34"/>
  <c r="K4232" i="34"/>
  <c r="C4232" i="34"/>
  <c r="B4232" i="34" s="1"/>
  <c r="O4232" i="34" s="1"/>
  <c r="AC4231" i="34"/>
  <c r="X4231" i="34"/>
  <c r="W4231" i="34"/>
  <c r="V4231" i="34"/>
  <c r="T4231" i="34"/>
  <c r="S4231" i="34"/>
  <c r="R4231" i="34"/>
  <c r="N4231" i="34"/>
  <c r="K4231" i="34"/>
  <c r="C4231" i="34"/>
  <c r="B4231" i="34" s="1"/>
  <c r="P4231" i="34" s="1"/>
  <c r="AC4230" i="34"/>
  <c r="X4230" i="34"/>
  <c r="W4230" i="34"/>
  <c r="V4230" i="34"/>
  <c r="T4230" i="34"/>
  <c r="S4230" i="34"/>
  <c r="R4230" i="34"/>
  <c r="N4230" i="34"/>
  <c r="K4230" i="34"/>
  <c r="C4230" i="34"/>
  <c r="B4230" i="34" s="1"/>
  <c r="Z4230" i="34" s="1"/>
  <c r="AC4229" i="34"/>
  <c r="X4229" i="34"/>
  <c r="W4229" i="34"/>
  <c r="V4229" i="34"/>
  <c r="T4229" i="34"/>
  <c r="S4229" i="34"/>
  <c r="R4229" i="34"/>
  <c r="N4229" i="34"/>
  <c r="K4229" i="34"/>
  <c r="C4229" i="34"/>
  <c r="B4229" i="34" s="1"/>
  <c r="P4229" i="34" s="1"/>
  <c r="AC4228" i="34"/>
  <c r="X4228" i="34"/>
  <c r="W4228" i="34"/>
  <c r="V4228" i="34"/>
  <c r="T4228" i="34"/>
  <c r="S4228" i="34"/>
  <c r="R4228" i="34"/>
  <c r="N4228" i="34"/>
  <c r="K4228" i="34"/>
  <c r="C4228" i="34"/>
  <c r="B4228" i="34" s="1"/>
  <c r="O4228" i="34" s="1"/>
  <c r="AC4227" i="34"/>
  <c r="X4227" i="34"/>
  <c r="W4227" i="34"/>
  <c r="V4227" i="34"/>
  <c r="T4227" i="34"/>
  <c r="S4227" i="34"/>
  <c r="R4227" i="34"/>
  <c r="N4227" i="34"/>
  <c r="K4227" i="34"/>
  <c r="C4227" i="34"/>
  <c r="B4227" i="34" s="1"/>
  <c r="P4227" i="34" s="1"/>
  <c r="Z3793" i="34" l="1"/>
  <c r="U3793" i="34"/>
  <c r="Q3793" i="34"/>
  <c r="P3793" i="34"/>
  <c r="O3793" i="34"/>
  <c r="Z3767" i="34"/>
  <c r="U3767" i="34"/>
  <c r="Q3767" i="34"/>
  <c r="P3767" i="34"/>
  <c r="O3767" i="34"/>
  <c r="Q3757" i="34"/>
  <c r="U3757" i="34"/>
  <c r="Z3762" i="34"/>
  <c r="U3762" i="34"/>
  <c r="Q3762" i="34"/>
  <c r="P3762" i="34"/>
  <c r="O3762" i="34"/>
  <c r="Z3757" i="34"/>
  <c r="O3759" i="34"/>
  <c r="P3759" i="34"/>
  <c r="Z3759" i="34"/>
  <c r="U3759" i="34"/>
  <c r="Q3759" i="34"/>
  <c r="O3757" i="34"/>
  <c r="P3764" i="34"/>
  <c r="U3764" i="34"/>
  <c r="Q3764" i="34"/>
  <c r="Q3760" i="34"/>
  <c r="U3760" i="34"/>
  <c r="P3758" i="34"/>
  <c r="U3758" i="34"/>
  <c r="Q3758" i="34"/>
  <c r="U3756" i="34"/>
  <c r="Q3756" i="34"/>
  <c r="A3756" i="34"/>
  <c r="Z3756" i="34"/>
  <c r="A3758" i="34"/>
  <c r="Z3758" i="34"/>
  <c r="A3760" i="34"/>
  <c r="Z3760" i="34"/>
  <c r="P3761" i="34"/>
  <c r="A3762" i="34"/>
  <c r="P3763" i="34"/>
  <c r="A3764" i="34"/>
  <c r="Z3764" i="34"/>
  <c r="P3765" i="34"/>
  <c r="O3756" i="34"/>
  <c r="O3758" i="34"/>
  <c r="O3760" i="34"/>
  <c r="Q3761" i="34"/>
  <c r="U3761" i="34"/>
  <c r="Q3763" i="34"/>
  <c r="U3763" i="34"/>
  <c r="O3764" i="34"/>
  <c r="Q3765" i="34"/>
  <c r="U3765" i="34"/>
  <c r="A3757" i="34"/>
  <c r="A3759" i="34"/>
  <c r="A3761" i="34"/>
  <c r="Z3761" i="34"/>
  <c r="A3763" i="34"/>
  <c r="Z3763" i="34"/>
  <c r="A3765" i="34"/>
  <c r="Z3765" i="34"/>
  <c r="P3766" i="34"/>
  <c r="A3767" i="34"/>
  <c r="P3792" i="34"/>
  <c r="A3793" i="34"/>
  <c r="Q3766" i="34"/>
  <c r="U3766" i="34"/>
  <c r="Q3792" i="34"/>
  <c r="U3792" i="34"/>
  <c r="A3766" i="34"/>
  <c r="Z3766" i="34"/>
  <c r="A3792" i="34"/>
  <c r="Z3792" i="34"/>
  <c r="O3755" i="34"/>
  <c r="P3755" i="34"/>
  <c r="Q3755" i="34"/>
  <c r="U3755" i="34"/>
  <c r="P3754" i="34"/>
  <c r="Q3754" i="34"/>
  <c r="U3754" i="34"/>
  <c r="Z3754" i="34"/>
  <c r="A3755" i="34"/>
  <c r="A3754" i="34"/>
  <c r="Q4212" i="34"/>
  <c r="U4212" i="34"/>
  <c r="Q4218" i="34"/>
  <c r="U4218" i="34"/>
  <c r="Q4187" i="34"/>
  <c r="U4187" i="34"/>
  <c r="Q4189" i="34"/>
  <c r="U4189" i="34"/>
  <c r="Q4191" i="34"/>
  <c r="U4191" i="34"/>
  <c r="Q4193" i="34"/>
  <c r="U4193" i="34"/>
  <c r="Q4222" i="34"/>
  <c r="U4222" i="34"/>
  <c r="Q4231" i="34"/>
  <c r="U4231" i="34"/>
  <c r="Q4233" i="34"/>
  <c r="U4233" i="34"/>
  <c r="Q4214" i="34"/>
  <c r="U4214" i="34"/>
  <c r="Q4216" i="34"/>
  <c r="U4216" i="34"/>
  <c r="Q4220" i="34"/>
  <c r="U4220" i="34"/>
  <c r="P4209" i="34"/>
  <c r="U4209" i="34"/>
  <c r="Q4209" i="34"/>
  <c r="P4205" i="34"/>
  <c r="U4205" i="34"/>
  <c r="Q4205" i="34"/>
  <c r="P4207" i="34"/>
  <c r="U4207" i="34"/>
  <c r="Q4207" i="34"/>
  <c r="P4186" i="34"/>
  <c r="A4187" i="34"/>
  <c r="Z4187" i="34"/>
  <c r="P4188" i="34"/>
  <c r="A4189" i="34"/>
  <c r="Z4189" i="34"/>
  <c r="P4190" i="34"/>
  <c r="A4191" i="34"/>
  <c r="Z4191" i="34"/>
  <c r="P4192" i="34"/>
  <c r="A4193" i="34"/>
  <c r="Z4193" i="34"/>
  <c r="P4194" i="34"/>
  <c r="Q4196" i="34"/>
  <c r="U4196" i="34"/>
  <c r="Q4200" i="34"/>
  <c r="U4200" i="34"/>
  <c r="Q4186" i="34"/>
  <c r="U4186" i="34"/>
  <c r="O4187" i="34"/>
  <c r="Q4188" i="34"/>
  <c r="U4188" i="34"/>
  <c r="O4189" i="34"/>
  <c r="Q4190" i="34"/>
  <c r="U4190" i="34"/>
  <c r="O4191" i="34"/>
  <c r="Q4192" i="34"/>
  <c r="U4192" i="34"/>
  <c r="O4193" i="34"/>
  <c r="Q4194" i="34"/>
  <c r="U4194" i="34"/>
  <c r="Q4198" i="34"/>
  <c r="U4198" i="34"/>
  <c r="A4186" i="34"/>
  <c r="Z4186" i="34"/>
  <c r="A4188" i="34"/>
  <c r="Z4188" i="34"/>
  <c r="A4190" i="34"/>
  <c r="Z4190" i="34"/>
  <c r="A4192" i="34"/>
  <c r="Z4192" i="34"/>
  <c r="A4194" i="34"/>
  <c r="Z4194" i="34"/>
  <c r="Q4195" i="34"/>
  <c r="U4195" i="34"/>
  <c r="O4196" i="34"/>
  <c r="Q4199" i="34"/>
  <c r="U4199" i="34"/>
  <c r="O4200" i="34"/>
  <c r="Q4203" i="34"/>
  <c r="U4203" i="34"/>
  <c r="O4204" i="34"/>
  <c r="A4195" i="34"/>
  <c r="Z4195" i="34"/>
  <c r="P4196" i="34"/>
  <c r="A4197" i="34"/>
  <c r="Z4197" i="34"/>
  <c r="P4198" i="34"/>
  <c r="A4199" i="34"/>
  <c r="Z4199" i="34"/>
  <c r="P4200" i="34"/>
  <c r="A4201" i="34"/>
  <c r="Z4201" i="34"/>
  <c r="P4202" i="34"/>
  <c r="A4203" i="34"/>
  <c r="Z4203" i="34"/>
  <c r="P4204" i="34"/>
  <c r="A4205" i="34"/>
  <c r="Z4205" i="34"/>
  <c r="P4206" i="34"/>
  <c r="A4207" i="34"/>
  <c r="Z4207" i="34"/>
  <c r="P4208" i="34"/>
  <c r="A4209" i="34"/>
  <c r="Z4209" i="34"/>
  <c r="P4210" i="34"/>
  <c r="O4195" i="34"/>
  <c r="O4197" i="34"/>
  <c r="O4199" i="34"/>
  <c r="O4201" i="34"/>
  <c r="Q4202" i="34"/>
  <c r="U4202" i="34"/>
  <c r="O4203" i="34"/>
  <c r="Q4204" i="34"/>
  <c r="U4204" i="34"/>
  <c r="O4205" i="34"/>
  <c r="Q4206" i="34"/>
  <c r="U4206" i="34"/>
  <c r="O4207" i="34"/>
  <c r="Q4208" i="34"/>
  <c r="U4208" i="34"/>
  <c r="O4209" i="34"/>
  <c r="Q4210" i="34"/>
  <c r="U4210" i="34"/>
  <c r="A4196" i="34"/>
  <c r="P4197" i="34"/>
  <c r="A4198" i="34"/>
  <c r="Z4198" i="34"/>
  <c r="A4200" i="34"/>
  <c r="P4201" i="34"/>
  <c r="A4202" i="34"/>
  <c r="Z4202" i="34"/>
  <c r="A4204" i="34"/>
  <c r="A4206" i="34"/>
  <c r="Z4206" i="34"/>
  <c r="A4208" i="34"/>
  <c r="Z4208" i="34"/>
  <c r="A4210" i="34"/>
  <c r="Z4210" i="34"/>
  <c r="Q4197" i="34"/>
  <c r="Q4201" i="34"/>
  <c r="Q4227" i="34"/>
  <c r="U4227" i="34"/>
  <c r="Q4213" i="34"/>
  <c r="U4213" i="34"/>
  <c r="O4214" i="34"/>
  <c r="Q4217" i="34"/>
  <c r="U4217" i="34"/>
  <c r="O4218" i="34"/>
  <c r="Q4221" i="34"/>
  <c r="U4221" i="34"/>
  <c r="O4222" i="34"/>
  <c r="Q4225" i="34"/>
  <c r="U4225" i="34"/>
  <c r="O4226" i="34"/>
  <c r="A4211" i="34"/>
  <c r="Z4211" i="34"/>
  <c r="P4212" i="34"/>
  <c r="A4213" i="34"/>
  <c r="Z4213" i="34"/>
  <c r="P4214" i="34"/>
  <c r="A4215" i="34"/>
  <c r="Z4215" i="34"/>
  <c r="P4216" i="34"/>
  <c r="A4217" i="34"/>
  <c r="Z4217" i="34"/>
  <c r="P4218" i="34"/>
  <c r="A4219" i="34"/>
  <c r="Z4219" i="34"/>
  <c r="P4220" i="34"/>
  <c r="A4221" i="34"/>
  <c r="Z4221" i="34"/>
  <c r="P4222" i="34"/>
  <c r="A4223" i="34"/>
  <c r="Z4223" i="34"/>
  <c r="P4224" i="34"/>
  <c r="A4225" i="34"/>
  <c r="Z4225" i="34"/>
  <c r="P4226" i="34"/>
  <c r="O4211" i="34"/>
  <c r="O4215" i="34"/>
  <c r="O4219" i="34"/>
  <c r="O4221" i="34"/>
  <c r="O4223" i="34"/>
  <c r="Q4224" i="34"/>
  <c r="U4224" i="34"/>
  <c r="O4225" i="34"/>
  <c r="Q4226" i="34"/>
  <c r="U4226" i="34"/>
  <c r="O4213" i="34"/>
  <c r="O4217" i="34"/>
  <c r="P4211" i="34"/>
  <c r="A4212" i="34"/>
  <c r="Z4212" i="34"/>
  <c r="A4214" i="34"/>
  <c r="P4215" i="34"/>
  <c r="A4216" i="34"/>
  <c r="Z4216" i="34"/>
  <c r="A4218" i="34"/>
  <c r="P4219" i="34"/>
  <c r="A4220" i="34"/>
  <c r="Z4220" i="34"/>
  <c r="A4222" i="34"/>
  <c r="P4223" i="34"/>
  <c r="A4224" i="34"/>
  <c r="Z4224" i="34"/>
  <c r="A4226" i="34"/>
  <c r="Q4229" i="34"/>
  <c r="U4229" i="34"/>
  <c r="Q4211" i="34"/>
  <c r="Q4215" i="34"/>
  <c r="Q4219" i="34"/>
  <c r="Q4223" i="34"/>
  <c r="O4230" i="34"/>
  <c r="O4234" i="34"/>
  <c r="A4227" i="34"/>
  <c r="Z4227" i="34"/>
  <c r="P4228" i="34"/>
  <c r="A4229" i="34"/>
  <c r="Z4229" i="34"/>
  <c r="P4230" i="34"/>
  <c r="A4231" i="34"/>
  <c r="Z4231" i="34"/>
  <c r="P4232" i="34"/>
  <c r="A4233" i="34"/>
  <c r="Z4233" i="34"/>
  <c r="P4234" i="34"/>
  <c r="O4227" i="34"/>
  <c r="Q4230" i="34"/>
  <c r="U4230" i="34"/>
  <c r="O4231" i="34"/>
  <c r="Q4234" i="34"/>
  <c r="U4234" i="34"/>
  <c r="Q4228" i="34"/>
  <c r="U4228" i="34"/>
  <c r="O4229" i="34"/>
  <c r="Q4232" i="34"/>
  <c r="U4232" i="34"/>
  <c r="O4233" i="34"/>
  <c r="A4228" i="34"/>
  <c r="Z4228" i="34"/>
  <c r="A4230" i="34"/>
  <c r="A4232" i="34"/>
  <c r="Z4232" i="34"/>
  <c r="A4234" i="34"/>
  <c r="A339" i="55"/>
  <c r="A658" i="55"/>
  <c r="A474" i="55"/>
  <c r="A290" i="55"/>
  <c r="A213" i="55"/>
  <c r="A225" i="55"/>
  <c r="A302" i="55"/>
  <c r="A252" i="55"/>
  <c r="A249" i="55"/>
  <c r="A484" i="55"/>
  <c r="A327" i="55"/>
  <c r="A231" i="55"/>
  <c r="A424" i="55"/>
  <c r="A200" i="55"/>
  <c r="A618" i="55"/>
  <c r="A219" i="55"/>
  <c r="A398" i="55"/>
  <c r="A453" i="55"/>
  <c r="A600" i="55"/>
  <c r="A197" i="55"/>
  <c r="A675" i="55"/>
  <c r="A674" i="55"/>
  <c r="A673" i="55"/>
  <c r="A672" i="55"/>
  <c r="A671" i="55"/>
  <c r="A670" i="55"/>
  <c r="A285" i="55"/>
  <c r="A661" i="55"/>
  <c r="A375" i="55"/>
  <c r="A585" i="55"/>
  <c r="A680" i="55"/>
  <c r="A679" i="55"/>
  <c r="A678" i="55"/>
  <c r="A677" i="55"/>
  <c r="A676" i="55"/>
  <c r="A247" i="55"/>
  <c r="A613" i="55"/>
  <c r="A635" i="55"/>
  <c r="A262" i="55"/>
  <c r="A240" i="55"/>
  <c r="A307" i="55"/>
  <c r="A598" i="55"/>
  <c r="A476" i="55"/>
  <c r="A286" i="55"/>
  <c r="A601" i="55"/>
  <c r="A210" i="55"/>
  <c r="AC4132" i="34"/>
  <c r="X4132" i="34"/>
  <c r="W4132" i="34"/>
  <c r="V4132" i="34"/>
  <c r="T4132" i="34"/>
  <c r="S4132" i="34"/>
  <c r="R4132" i="34"/>
  <c r="N4132" i="34"/>
  <c r="K4132" i="34"/>
  <c r="C4132" i="34"/>
  <c r="B4132" i="34" s="1"/>
  <c r="O4132" i="34" s="1"/>
  <c r="AC4131" i="34"/>
  <c r="X4131" i="34"/>
  <c r="W4131" i="34"/>
  <c r="V4131" i="34"/>
  <c r="T4131" i="34"/>
  <c r="S4131" i="34"/>
  <c r="R4131" i="34"/>
  <c r="N4131" i="34"/>
  <c r="K4131" i="34"/>
  <c r="C4131" i="34"/>
  <c r="B4131" i="34" s="1"/>
  <c r="AC4130" i="34"/>
  <c r="X4130" i="34"/>
  <c r="W4130" i="34"/>
  <c r="V4130" i="34"/>
  <c r="T4130" i="34"/>
  <c r="S4130" i="34"/>
  <c r="R4130" i="34"/>
  <c r="N4130" i="34"/>
  <c r="K4130" i="34"/>
  <c r="C4130" i="34"/>
  <c r="B4130" i="34" s="1"/>
  <c r="O4130" i="34" s="1"/>
  <c r="AC4129" i="34"/>
  <c r="X4129" i="34"/>
  <c r="W4129" i="34"/>
  <c r="V4129" i="34"/>
  <c r="T4129" i="34"/>
  <c r="S4129" i="34"/>
  <c r="R4129" i="34"/>
  <c r="N4129" i="34"/>
  <c r="K4129" i="34"/>
  <c r="C4129" i="34"/>
  <c r="B4129" i="34" s="1"/>
  <c r="AC4128" i="34"/>
  <c r="X4128" i="34"/>
  <c r="W4128" i="34"/>
  <c r="V4128" i="34"/>
  <c r="T4128" i="34"/>
  <c r="S4128" i="34"/>
  <c r="R4128" i="34"/>
  <c r="N4128" i="34"/>
  <c r="K4128" i="34"/>
  <c r="C4128" i="34"/>
  <c r="B4128" i="34" s="1"/>
  <c r="Z4128" i="34" s="1"/>
  <c r="AC4127" i="34"/>
  <c r="X4127" i="34"/>
  <c r="W4127" i="34"/>
  <c r="V4127" i="34"/>
  <c r="T4127" i="34"/>
  <c r="S4127" i="34"/>
  <c r="R4127" i="34"/>
  <c r="N4127" i="34"/>
  <c r="K4127" i="34"/>
  <c r="C4127" i="34"/>
  <c r="B4127" i="34" s="1"/>
  <c r="AC4140" i="34"/>
  <c r="X4140" i="34"/>
  <c r="W4140" i="34"/>
  <c r="V4140" i="34"/>
  <c r="T4140" i="34"/>
  <c r="S4140" i="34"/>
  <c r="R4140" i="34"/>
  <c r="N4140" i="34"/>
  <c r="K4140" i="34"/>
  <c r="C4140" i="34"/>
  <c r="B4140" i="34" s="1"/>
  <c r="Z4140" i="34" s="1"/>
  <c r="AC4139" i="34"/>
  <c r="X4139" i="34"/>
  <c r="W4139" i="34"/>
  <c r="V4139" i="34"/>
  <c r="T4139" i="34"/>
  <c r="S4139" i="34"/>
  <c r="R4139" i="34"/>
  <c r="N4139" i="34"/>
  <c r="K4139" i="34"/>
  <c r="C4139" i="34"/>
  <c r="B4139" i="34" s="1"/>
  <c r="P4139" i="34" s="1"/>
  <c r="AC4138" i="34"/>
  <c r="X4138" i="34"/>
  <c r="W4138" i="34"/>
  <c r="V4138" i="34"/>
  <c r="T4138" i="34"/>
  <c r="S4138" i="34"/>
  <c r="R4138" i="34"/>
  <c r="N4138" i="34"/>
  <c r="K4138" i="34"/>
  <c r="C4138" i="34"/>
  <c r="B4138" i="34" s="1"/>
  <c r="Z4138" i="34" s="1"/>
  <c r="AC4137" i="34"/>
  <c r="X4137" i="34"/>
  <c r="W4137" i="34"/>
  <c r="V4137" i="34"/>
  <c r="T4137" i="34"/>
  <c r="S4137" i="34"/>
  <c r="R4137" i="34"/>
  <c r="N4137" i="34"/>
  <c r="K4137" i="34"/>
  <c r="C4137" i="34"/>
  <c r="B4137" i="34" s="1"/>
  <c r="U4137" i="34" s="1"/>
  <c r="AC4136" i="34"/>
  <c r="X4136" i="34"/>
  <c r="W4136" i="34"/>
  <c r="V4136" i="34"/>
  <c r="T4136" i="34"/>
  <c r="S4136" i="34"/>
  <c r="R4136" i="34"/>
  <c r="N4136" i="34"/>
  <c r="K4136" i="34"/>
  <c r="C4136" i="34"/>
  <c r="B4136" i="34" s="1"/>
  <c r="Z4136" i="34" s="1"/>
  <c r="AC4135" i="34"/>
  <c r="X4135" i="34"/>
  <c r="W4135" i="34"/>
  <c r="V4135" i="34"/>
  <c r="T4135" i="34"/>
  <c r="S4135" i="34"/>
  <c r="R4135" i="34"/>
  <c r="N4135" i="34"/>
  <c r="K4135" i="34"/>
  <c r="C4135" i="34"/>
  <c r="B4135" i="34" s="1"/>
  <c r="AC4134" i="34"/>
  <c r="X4134" i="34"/>
  <c r="W4134" i="34"/>
  <c r="V4134" i="34"/>
  <c r="T4134" i="34"/>
  <c r="S4134" i="34"/>
  <c r="R4134" i="34"/>
  <c r="N4134" i="34"/>
  <c r="K4134" i="34"/>
  <c r="C4134" i="34"/>
  <c r="B4134" i="34"/>
  <c r="O4134" i="34" s="1"/>
  <c r="AC4133" i="34"/>
  <c r="X4133" i="34"/>
  <c r="W4133" i="34"/>
  <c r="V4133" i="34"/>
  <c r="T4133" i="34"/>
  <c r="S4133" i="34"/>
  <c r="R4133" i="34"/>
  <c r="N4133" i="34"/>
  <c r="K4133" i="34"/>
  <c r="C4133" i="34"/>
  <c r="B4133" i="34" s="1"/>
  <c r="P4133" i="34" l="1"/>
  <c r="U4133" i="34"/>
  <c r="Q4133" i="34"/>
  <c r="P4135" i="34"/>
  <c r="U4135" i="34"/>
  <c r="Q4135" i="34"/>
  <c r="P4129" i="34"/>
  <c r="U4129" i="34"/>
  <c r="Q4129" i="34"/>
  <c r="P4131" i="34"/>
  <c r="U4131" i="34"/>
  <c r="Q4131" i="34"/>
  <c r="P4127" i="34"/>
  <c r="U4127" i="34"/>
  <c r="Q4127" i="34"/>
  <c r="A4127" i="34"/>
  <c r="Z4127" i="34"/>
  <c r="P4128" i="34"/>
  <c r="A4129" i="34"/>
  <c r="Z4129" i="34"/>
  <c r="P4130" i="34"/>
  <c r="A4131" i="34"/>
  <c r="Z4131" i="34"/>
  <c r="P4132" i="34"/>
  <c r="O4127" i="34"/>
  <c r="Q4130" i="34"/>
  <c r="U4130" i="34"/>
  <c r="O4131" i="34"/>
  <c r="Q4132" i="34"/>
  <c r="U4132" i="34"/>
  <c r="O4128" i="34"/>
  <c r="Q4128" i="34"/>
  <c r="U4128" i="34"/>
  <c r="O4129" i="34"/>
  <c r="A4128" i="34"/>
  <c r="A4130" i="34"/>
  <c r="Z4130" i="34"/>
  <c r="A4132" i="34"/>
  <c r="Z4132" i="34"/>
  <c r="O4136" i="34"/>
  <c r="O4138" i="34"/>
  <c r="Q4139" i="34"/>
  <c r="U4139" i="34"/>
  <c r="O4140" i="34"/>
  <c r="A4133" i="34"/>
  <c r="Z4133" i="34"/>
  <c r="P4134" i="34"/>
  <c r="A4135" i="34"/>
  <c r="Z4135" i="34"/>
  <c r="P4136" i="34"/>
  <c r="A4137" i="34"/>
  <c r="Z4137" i="34"/>
  <c r="P4138" i="34"/>
  <c r="A4139" i="34"/>
  <c r="Z4139" i="34"/>
  <c r="P4140" i="34"/>
  <c r="O4137" i="34"/>
  <c r="Q4138" i="34"/>
  <c r="U4138" i="34"/>
  <c r="O4139" i="34"/>
  <c r="O4133" i="34"/>
  <c r="Q4134" i="34"/>
  <c r="U4134" i="34"/>
  <c r="O4135" i="34"/>
  <c r="Q4136" i="34"/>
  <c r="U4136" i="34"/>
  <c r="Q4140" i="34"/>
  <c r="U4140" i="34"/>
  <c r="A4134" i="34"/>
  <c r="Z4134" i="34"/>
  <c r="A4136" i="34"/>
  <c r="P4137" i="34"/>
  <c r="A4138" i="34"/>
  <c r="A4140" i="34"/>
  <c r="Q4137" i="34"/>
  <c r="AC4014" i="34" l="1"/>
  <c r="X4014" i="34"/>
  <c r="W4014" i="34"/>
  <c r="V4014" i="34"/>
  <c r="T4014" i="34"/>
  <c r="S4014" i="34"/>
  <c r="R4014" i="34"/>
  <c r="N4014" i="34"/>
  <c r="K4014" i="34"/>
  <c r="C4014" i="34"/>
  <c r="B4014" i="34" s="1"/>
  <c r="O4014" i="34" s="1"/>
  <c r="AC4013" i="34"/>
  <c r="X4013" i="34"/>
  <c r="W4013" i="34"/>
  <c r="V4013" i="34"/>
  <c r="T4013" i="34"/>
  <c r="S4013" i="34"/>
  <c r="R4013" i="34"/>
  <c r="N4013" i="34"/>
  <c r="K4013" i="34"/>
  <c r="C4013" i="34"/>
  <c r="B4013" i="34"/>
  <c r="P4013" i="34" s="1"/>
  <c r="AC4012" i="34"/>
  <c r="X4012" i="34"/>
  <c r="W4012" i="34"/>
  <c r="V4012" i="34"/>
  <c r="T4012" i="34"/>
  <c r="S4012" i="34"/>
  <c r="R4012" i="34"/>
  <c r="N4012" i="34"/>
  <c r="K4012" i="34"/>
  <c r="C4012" i="34"/>
  <c r="B4012" i="34" s="1"/>
  <c r="O4012" i="34" s="1"/>
  <c r="AC4011" i="34"/>
  <c r="X4011" i="34"/>
  <c r="W4011" i="34"/>
  <c r="V4011" i="34"/>
  <c r="T4011" i="34"/>
  <c r="S4011" i="34"/>
  <c r="R4011" i="34"/>
  <c r="N4011" i="34"/>
  <c r="K4011" i="34"/>
  <c r="C4011" i="34"/>
  <c r="B4011" i="34" s="1"/>
  <c r="P4011" i="34" s="1"/>
  <c r="AC4010" i="34"/>
  <c r="X4010" i="34"/>
  <c r="W4010" i="34"/>
  <c r="V4010" i="34"/>
  <c r="T4010" i="34"/>
  <c r="S4010" i="34"/>
  <c r="R4010" i="34"/>
  <c r="N4010" i="34"/>
  <c r="K4010" i="34"/>
  <c r="C4010" i="34"/>
  <c r="B4010" i="34" s="1"/>
  <c r="O4010" i="34" s="1"/>
  <c r="AC4009" i="34"/>
  <c r="X4009" i="34"/>
  <c r="W4009" i="34"/>
  <c r="V4009" i="34"/>
  <c r="T4009" i="34"/>
  <c r="S4009" i="34"/>
  <c r="R4009" i="34"/>
  <c r="N4009" i="34"/>
  <c r="K4009" i="34"/>
  <c r="C4009" i="34"/>
  <c r="B4009" i="34"/>
  <c r="P4009" i="34" s="1"/>
  <c r="AC4008" i="34"/>
  <c r="X4008" i="34"/>
  <c r="W4008" i="34"/>
  <c r="V4008" i="34"/>
  <c r="T4008" i="34"/>
  <c r="S4008" i="34"/>
  <c r="R4008" i="34"/>
  <c r="N4008" i="34"/>
  <c r="K4008" i="34"/>
  <c r="C4008" i="34"/>
  <c r="B4008" i="34" s="1"/>
  <c r="O4008" i="34" s="1"/>
  <c r="AC4007" i="34"/>
  <c r="X4007" i="34"/>
  <c r="W4007" i="34"/>
  <c r="V4007" i="34"/>
  <c r="T4007" i="34"/>
  <c r="S4007" i="34"/>
  <c r="R4007" i="34"/>
  <c r="N4007" i="34"/>
  <c r="K4007" i="34"/>
  <c r="C4007" i="34"/>
  <c r="B4007" i="34" s="1"/>
  <c r="P4007" i="34" s="1"/>
  <c r="AC4006" i="34"/>
  <c r="X4006" i="34"/>
  <c r="W4006" i="34"/>
  <c r="V4006" i="34"/>
  <c r="T4006" i="34"/>
  <c r="S4006" i="34"/>
  <c r="R4006" i="34"/>
  <c r="N4006" i="34"/>
  <c r="K4006" i="34"/>
  <c r="C4006" i="34"/>
  <c r="B4006" i="34" s="1"/>
  <c r="O4006" i="34" s="1"/>
  <c r="AC4005" i="34"/>
  <c r="X4005" i="34"/>
  <c r="W4005" i="34"/>
  <c r="V4005" i="34"/>
  <c r="T4005" i="34"/>
  <c r="S4005" i="34"/>
  <c r="R4005" i="34"/>
  <c r="N4005" i="34"/>
  <c r="K4005" i="34"/>
  <c r="C4005" i="34"/>
  <c r="B4005" i="34" s="1"/>
  <c r="P4005" i="34" s="1"/>
  <c r="AC4034" i="34"/>
  <c r="X4034" i="34"/>
  <c r="W4034" i="34"/>
  <c r="V4034" i="34"/>
  <c r="T4034" i="34"/>
  <c r="S4034" i="34"/>
  <c r="R4034" i="34"/>
  <c r="N4034" i="34"/>
  <c r="K4034" i="34"/>
  <c r="C4034" i="34"/>
  <c r="B4034" i="34" s="1"/>
  <c r="O4034" i="34" s="1"/>
  <c r="AC4033" i="34"/>
  <c r="X4033" i="34"/>
  <c r="W4033" i="34"/>
  <c r="V4033" i="34"/>
  <c r="T4033" i="34"/>
  <c r="S4033" i="34"/>
  <c r="R4033" i="34"/>
  <c r="N4033" i="34"/>
  <c r="K4033" i="34"/>
  <c r="C4033" i="34"/>
  <c r="B4033" i="34" s="1"/>
  <c r="AC4032" i="34"/>
  <c r="X4032" i="34"/>
  <c r="W4032" i="34"/>
  <c r="V4032" i="34"/>
  <c r="T4032" i="34"/>
  <c r="S4032" i="34"/>
  <c r="R4032" i="34"/>
  <c r="N4032" i="34"/>
  <c r="K4032" i="34"/>
  <c r="C4032" i="34"/>
  <c r="B4032" i="34" s="1"/>
  <c r="O4032" i="34" s="1"/>
  <c r="AC4031" i="34"/>
  <c r="X4031" i="34"/>
  <c r="W4031" i="34"/>
  <c r="V4031" i="34"/>
  <c r="T4031" i="34"/>
  <c r="S4031" i="34"/>
  <c r="R4031" i="34"/>
  <c r="N4031" i="34"/>
  <c r="K4031" i="34"/>
  <c r="C4031" i="34"/>
  <c r="B4031" i="34" s="1"/>
  <c r="AC4030" i="34"/>
  <c r="X4030" i="34"/>
  <c r="W4030" i="34"/>
  <c r="V4030" i="34"/>
  <c r="T4030" i="34"/>
  <c r="S4030" i="34"/>
  <c r="R4030" i="34"/>
  <c r="N4030" i="34"/>
  <c r="K4030" i="34"/>
  <c r="C4030" i="34"/>
  <c r="B4030" i="34" s="1"/>
  <c r="O4030" i="34" s="1"/>
  <c r="AC4029" i="34"/>
  <c r="X4029" i="34"/>
  <c r="W4029" i="34"/>
  <c r="V4029" i="34"/>
  <c r="T4029" i="34"/>
  <c r="S4029" i="34"/>
  <c r="R4029" i="34"/>
  <c r="N4029" i="34"/>
  <c r="K4029" i="34"/>
  <c r="C4029" i="34"/>
  <c r="B4029" i="34" s="1"/>
  <c r="U4029" i="34" s="1"/>
  <c r="AC4028" i="34"/>
  <c r="X4028" i="34"/>
  <c r="W4028" i="34"/>
  <c r="V4028" i="34"/>
  <c r="T4028" i="34"/>
  <c r="S4028" i="34"/>
  <c r="R4028" i="34"/>
  <c r="N4028" i="34"/>
  <c r="K4028" i="34"/>
  <c r="C4028" i="34"/>
  <c r="B4028" i="34" s="1"/>
  <c r="O4028" i="34" s="1"/>
  <c r="AC4027" i="34"/>
  <c r="X4027" i="34"/>
  <c r="W4027" i="34"/>
  <c r="V4027" i="34"/>
  <c r="T4027" i="34"/>
  <c r="S4027" i="34"/>
  <c r="R4027" i="34"/>
  <c r="N4027" i="34"/>
  <c r="K4027" i="34"/>
  <c r="C4027" i="34"/>
  <c r="B4027" i="34" s="1"/>
  <c r="U4027" i="34" s="1"/>
  <c r="AC4026" i="34"/>
  <c r="X4026" i="34"/>
  <c r="W4026" i="34"/>
  <c r="V4026" i="34"/>
  <c r="T4026" i="34"/>
  <c r="S4026" i="34"/>
  <c r="R4026" i="34"/>
  <c r="N4026" i="34"/>
  <c r="K4026" i="34"/>
  <c r="C4026" i="34"/>
  <c r="B4026" i="34" s="1"/>
  <c r="O4026" i="34" s="1"/>
  <c r="AC4025" i="34"/>
  <c r="X4025" i="34"/>
  <c r="W4025" i="34"/>
  <c r="V4025" i="34"/>
  <c r="T4025" i="34"/>
  <c r="S4025" i="34"/>
  <c r="R4025" i="34"/>
  <c r="N4025" i="34"/>
  <c r="K4025" i="34"/>
  <c r="C4025" i="34"/>
  <c r="B4025" i="34" s="1"/>
  <c r="U4025" i="34" s="1"/>
  <c r="AC4024" i="34"/>
  <c r="X4024" i="34"/>
  <c r="W4024" i="34"/>
  <c r="V4024" i="34"/>
  <c r="T4024" i="34"/>
  <c r="S4024" i="34"/>
  <c r="R4024" i="34"/>
  <c r="N4024" i="34"/>
  <c r="K4024" i="34"/>
  <c r="C4024" i="34"/>
  <c r="B4024" i="34" s="1"/>
  <c r="O4024" i="34" s="1"/>
  <c r="AC4023" i="34"/>
  <c r="X4023" i="34"/>
  <c r="W4023" i="34"/>
  <c r="V4023" i="34"/>
  <c r="T4023" i="34"/>
  <c r="S4023" i="34"/>
  <c r="R4023" i="34"/>
  <c r="N4023" i="34"/>
  <c r="K4023" i="34"/>
  <c r="C4023" i="34"/>
  <c r="B4023" i="34" s="1"/>
  <c r="U4023" i="34" s="1"/>
  <c r="AC4022" i="34"/>
  <c r="X4022" i="34"/>
  <c r="W4022" i="34"/>
  <c r="V4022" i="34"/>
  <c r="T4022" i="34"/>
  <c r="S4022" i="34"/>
  <c r="R4022" i="34"/>
  <c r="N4022" i="34"/>
  <c r="K4022" i="34"/>
  <c r="C4022" i="34"/>
  <c r="B4022" i="34"/>
  <c r="O4022" i="34" s="1"/>
  <c r="AC4021" i="34"/>
  <c r="X4021" i="34"/>
  <c r="W4021" i="34"/>
  <c r="V4021" i="34"/>
  <c r="T4021" i="34"/>
  <c r="S4021" i="34"/>
  <c r="R4021" i="34"/>
  <c r="N4021" i="34"/>
  <c r="K4021" i="34"/>
  <c r="C4021" i="34"/>
  <c r="B4021" i="34" s="1"/>
  <c r="U4021" i="34" s="1"/>
  <c r="AC4020" i="34"/>
  <c r="X4020" i="34"/>
  <c r="W4020" i="34"/>
  <c r="V4020" i="34"/>
  <c r="T4020" i="34"/>
  <c r="S4020" i="34"/>
  <c r="R4020" i="34"/>
  <c r="N4020" i="34"/>
  <c r="K4020" i="34"/>
  <c r="C4020" i="34"/>
  <c r="B4020" i="34" s="1"/>
  <c r="O4020" i="34" s="1"/>
  <c r="AC4019" i="34"/>
  <c r="X4019" i="34"/>
  <c r="W4019" i="34"/>
  <c r="V4019" i="34"/>
  <c r="T4019" i="34"/>
  <c r="S4019" i="34"/>
  <c r="R4019" i="34"/>
  <c r="N4019" i="34"/>
  <c r="K4019" i="34"/>
  <c r="C4019" i="34"/>
  <c r="B4019" i="34" s="1"/>
  <c r="U4019" i="34" s="1"/>
  <c r="AC4018" i="34"/>
  <c r="X4018" i="34"/>
  <c r="W4018" i="34"/>
  <c r="V4018" i="34"/>
  <c r="T4018" i="34"/>
  <c r="S4018" i="34"/>
  <c r="R4018" i="34"/>
  <c r="N4018" i="34"/>
  <c r="K4018" i="34"/>
  <c r="C4018" i="34"/>
  <c r="B4018" i="34" s="1"/>
  <c r="O4018" i="34" s="1"/>
  <c r="AC4017" i="34"/>
  <c r="X4017" i="34"/>
  <c r="W4017" i="34"/>
  <c r="V4017" i="34"/>
  <c r="T4017" i="34"/>
  <c r="S4017" i="34"/>
  <c r="R4017" i="34"/>
  <c r="N4017" i="34"/>
  <c r="K4017" i="34"/>
  <c r="C4017" i="34"/>
  <c r="B4017" i="34" s="1"/>
  <c r="U4017" i="34" s="1"/>
  <c r="AC4016" i="34"/>
  <c r="X4016" i="34"/>
  <c r="W4016" i="34"/>
  <c r="V4016" i="34"/>
  <c r="T4016" i="34"/>
  <c r="S4016" i="34"/>
  <c r="R4016" i="34"/>
  <c r="N4016" i="34"/>
  <c r="K4016" i="34"/>
  <c r="C4016" i="34"/>
  <c r="B4016" i="34" s="1"/>
  <c r="O4016" i="34" s="1"/>
  <c r="AC4015" i="34"/>
  <c r="X4015" i="34"/>
  <c r="W4015" i="34"/>
  <c r="V4015" i="34"/>
  <c r="T4015" i="34"/>
  <c r="S4015" i="34"/>
  <c r="R4015" i="34"/>
  <c r="N4015" i="34"/>
  <c r="K4015" i="34"/>
  <c r="C4015" i="34"/>
  <c r="B4015" i="34" s="1"/>
  <c r="U4015" i="34" s="1"/>
  <c r="AC4054" i="34"/>
  <c r="X4054" i="34"/>
  <c r="W4054" i="34"/>
  <c r="V4054" i="34"/>
  <c r="T4054" i="34"/>
  <c r="S4054" i="34"/>
  <c r="R4054" i="34"/>
  <c r="N4054" i="34"/>
  <c r="K4054" i="34"/>
  <c r="C4054" i="34"/>
  <c r="B4054" i="34" s="1"/>
  <c r="O4054" i="34" s="1"/>
  <c r="AC4053" i="34"/>
  <c r="X4053" i="34"/>
  <c r="W4053" i="34"/>
  <c r="V4053" i="34"/>
  <c r="T4053" i="34"/>
  <c r="S4053" i="34"/>
  <c r="R4053" i="34"/>
  <c r="N4053" i="34"/>
  <c r="K4053" i="34"/>
  <c r="C4053" i="34"/>
  <c r="B4053" i="34" s="1"/>
  <c r="AC4052" i="34"/>
  <c r="X4052" i="34"/>
  <c r="W4052" i="34"/>
  <c r="V4052" i="34"/>
  <c r="T4052" i="34"/>
  <c r="S4052" i="34"/>
  <c r="R4052" i="34"/>
  <c r="N4052" i="34"/>
  <c r="K4052" i="34"/>
  <c r="C4052" i="34"/>
  <c r="B4052" i="34" s="1"/>
  <c r="O4052" i="34" s="1"/>
  <c r="AC4051" i="34"/>
  <c r="X4051" i="34"/>
  <c r="W4051" i="34"/>
  <c r="V4051" i="34"/>
  <c r="T4051" i="34"/>
  <c r="S4051" i="34"/>
  <c r="R4051" i="34"/>
  <c r="N4051" i="34"/>
  <c r="K4051" i="34"/>
  <c r="C4051" i="34"/>
  <c r="B4051" i="34" s="1"/>
  <c r="U4051" i="34" s="1"/>
  <c r="AC4050" i="34"/>
  <c r="X4050" i="34"/>
  <c r="W4050" i="34"/>
  <c r="V4050" i="34"/>
  <c r="T4050" i="34"/>
  <c r="S4050" i="34"/>
  <c r="R4050" i="34"/>
  <c r="N4050" i="34"/>
  <c r="K4050" i="34"/>
  <c r="C4050" i="34"/>
  <c r="B4050" i="34" s="1"/>
  <c r="O4050" i="34" s="1"/>
  <c r="AC4049" i="34"/>
  <c r="X4049" i="34"/>
  <c r="W4049" i="34"/>
  <c r="V4049" i="34"/>
  <c r="T4049" i="34"/>
  <c r="S4049" i="34"/>
  <c r="R4049" i="34"/>
  <c r="N4049" i="34"/>
  <c r="K4049" i="34"/>
  <c r="C4049" i="34"/>
  <c r="B4049" i="34" s="1"/>
  <c r="U4049" i="34" s="1"/>
  <c r="AC4048" i="34"/>
  <c r="X4048" i="34"/>
  <c r="W4048" i="34"/>
  <c r="V4048" i="34"/>
  <c r="T4048" i="34"/>
  <c r="S4048" i="34"/>
  <c r="R4048" i="34"/>
  <c r="N4048" i="34"/>
  <c r="K4048" i="34"/>
  <c r="C4048" i="34"/>
  <c r="B4048" i="34" s="1"/>
  <c r="O4048" i="34" s="1"/>
  <c r="AC4047" i="34"/>
  <c r="X4047" i="34"/>
  <c r="W4047" i="34"/>
  <c r="V4047" i="34"/>
  <c r="T4047" i="34"/>
  <c r="S4047" i="34"/>
  <c r="R4047" i="34"/>
  <c r="N4047" i="34"/>
  <c r="K4047" i="34"/>
  <c r="C4047" i="34"/>
  <c r="B4047" i="34" s="1"/>
  <c r="U4047" i="34" s="1"/>
  <c r="AC4046" i="34"/>
  <c r="X4046" i="34"/>
  <c r="W4046" i="34"/>
  <c r="V4046" i="34"/>
  <c r="T4046" i="34"/>
  <c r="S4046" i="34"/>
  <c r="R4046" i="34"/>
  <c r="N4046" i="34"/>
  <c r="K4046" i="34"/>
  <c r="C4046" i="34"/>
  <c r="B4046" i="34" s="1"/>
  <c r="O4046" i="34" s="1"/>
  <c r="AC4045" i="34"/>
  <c r="X4045" i="34"/>
  <c r="W4045" i="34"/>
  <c r="V4045" i="34"/>
  <c r="T4045" i="34"/>
  <c r="S4045" i="34"/>
  <c r="R4045" i="34"/>
  <c r="N4045" i="34"/>
  <c r="K4045" i="34"/>
  <c r="C4045" i="34"/>
  <c r="B4045" i="34" s="1"/>
  <c r="U4045" i="34" s="1"/>
  <c r="AC4044" i="34"/>
  <c r="X4044" i="34"/>
  <c r="W4044" i="34"/>
  <c r="V4044" i="34"/>
  <c r="T4044" i="34"/>
  <c r="S4044" i="34"/>
  <c r="R4044" i="34"/>
  <c r="N4044" i="34"/>
  <c r="K4044" i="34"/>
  <c r="C4044" i="34"/>
  <c r="B4044" i="34"/>
  <c r="O4044" i="34" s="1"/>
  <c r="AC4043" i="34"/>
  <c r="X4043" i="34"/>
  <c r="W4043" i="34"/>
  <c r="V4043" i="34"/>
  <c r="T4043" i="34"/>
  <c r="S4043" i="34"/>
  <c r="R4043" i="34"/>
  <c r="N4043" i="34"/>
  <c r="K4043" i="34"/>
  <c r="C4043" i="34"/>
  <c r="B4043" i="34" s="1"/>
  <c r="U4043" i="34" s="1"/>
  <c r="AC4042" i="34"/>
  <c r="X4042" i="34"/>
  <c r="W4042" i="34"/>
  <c r="V4042" i="34"/>
  <c r="T4042" i="34"/>
  <c r="S4042" i="34"/>
  <c r="R4042" i="34"/>
  <c r="N4042" i="34"/>
  <c r="K4042" i="34"/>
  <c r="C4042" i="34"/>
  <c r="B4042" i="34" s="1"/>
  <c r="O4042" i="34" s="1"/>
  <c r="AC4041" i="34"/>
  <c r="X4041" i="34"/>
  <c r="W4041" i="34"/>
  <c r="V4041" i="34"/>
  <c r="T4041" i="34"/>
  <c r="S4041" i="34"/>
  <c r="R4041" i="34"/>
  <c r="N4041" i="34"/>
  <c r="K4041" i="34"/>
  <c r="C4041" i="34"/>
  <c r="B4041" i="34" s="1"/>
  <c r="U4041" i="34" s="1"/>
  <c r="AC4040" i="34"/>
  <c r="X4040" i="34"/>
  <c r="W4040" i="34"/>
  <c r="V4040" i="34"/>
  <c r="T4040" i="34"/>
  <c r="S4040" i="34"/>
  <c r="R4040" i="34"/>
  <c r="N4040" i="34"/>
  <c r="K4040" i="34"/>
  <c r="C4040" i="34"/>
  <c r="B4040" i="34" s="1"/>
  <c r="O4040" i="34" s="1"/>
  <c r="AC4039" i="34"/>
  <c r="X4039" i="34"/>
  <c r="W4039" i="34"/>
  <c r="V4039" i="34"/>
  <c r="T4039" i="34"/>
  <c r="S4039" i="34"/>
  <c r="R4039" i="34"/>
  <c r="N4039" i="34"/>
  <c r="K4039" i="34"/>
  <c r="C4039" i="34"/>
  <c r="B4039" i="34" s="1"/>
  <c r="U4039" i="34" s="1"/>
  <c r="AC4038" i="34"/>
  <c r="X4038" i="34"/>
  <c r="W4038" i="34"/>
  <c r="V4038" i="34"/>
  <c r="T4038" i="34"/>
  <c r="S4038" i="34"/>
  <c r="R4038" i="34"/>
  <c r="N4038" i="34"/>
  <c r="K4038" i="34"/>
  <c r="C4038" i="34"/>
  <c r="B4038" i="34" s="1"/>
  <c r="O4038" i="34" s="1"/>
  <c r="AC4037" i="34"/>
  <c r="X4037" i="34"/>
  <c r="W4037" i="34"/>
  <c r="V4037" i="34"/>
  <c r="T4037" i="34"/>
  <c r="S4037" i="34"/>
  <c r="R4037" i="34"/>
  <c r="N4037" i="34"/>
  <c r="K4037" i="34"/>
  <c r="C4037" i="34"/>
  <c r="B4037" i="34" s="1"/>
  <c r="U4037" i="34" s="1"/>
  <c r="AC4036" i="34"/>
  <c r="X4036" i="34"/>
  <c r="W4036" i="34"/>
  <c r="V4036" i="34"/>
  <c r="T4036" i="34"/>
  <c r="S4036" i="34"/>
  <c r="R4036" i="34"/>
  <c r="N4036" i="34"/>
  <c r="K4036" i="34"/>
  <c r="C4036" i="34"/>
  <c r="B4036" i="34" s="1"/>
  <c r="O4036" i="34" s="1"/>
  <c r="AC4035" i="34"/>
  <c r="X4035" i="34"/>
  <c r="W4035" i="34"/>
  <c r="V4035" i="34"/>
  <c r="T4035" i="34"/>
  <c r="S4035" i="34"/>
  <c r="R4035" i="34"/>
  <c r="N4035" i="34"/>
  <c r="K4035" i="34"/>
  <c r="C4035" i="34"/>
  <c r="B4035" i="34" s="1"/>
  <c r="U4035" i="34" s="1"/>
  <c r="AC4074" i="34"/>
  <c r="X4074" i="34"/>
  <c r="W4074" i="34"/>
  <c r="V4074" i="34"/>
  <c r="T4074" i="34"/>
  <c r="S4074" i="34"/>
  <c r="R4074" i="34"/>
  <c r="N4074" i="34"/>
  <c r="K4074" i="34"/>
  <c r="C4074" i="34"/>
  <c r="B4074" i="34" s="1"/>
  <c r="O4074" i="34" s="1"/>
  <c r="AC4073" i="34"/>
  <c r="X4073" i="34"/>
  <c r="W4073" i="34"/>
  <c r="V4073" i="34"/>
  <c r="T4073" i="34"/>
  <c r="S4073" i="34"/>
  <c r="R4073" i="34"/>
  <c r="N4073" i="34"/>
  <c r="K4073" i="34"/>
  <c r="C4073" i="34"/>
  <c r="B4073" i="34" s="1"/>
  <c r="AC4072" i="34"/>
  <c r="X4072" i="34"/>
  <c r="W4072" i="34"/>
  <c r="V4072" i="34"/>
  <c r="T4072" i="34"/>
  <c r="S4072" i="34"/>
  <c r="R4072" i="34"/>
  <c r="N4072" i="34"/>
  <c r="K4072" i="34"/>
  <c r="C4072" i="34"/>
  <c r="B4072" i="34" s="1"/>
  <c r="O4072" i="34" s="1"/>
  <c r="AC4071" i="34"/>
  <c r="X4071" i="34"/>
  <c r="W4071" i="34"/>
  <c r="V4071" i="34"/>
  <c r="T4071" i="34"/>
  <c r="S4071" i="34"/>
  <c r="R4071" i="34"/>
  <c r="N4071" i="34"/>
  <c r="K4071" i="34"/>
  <c r="C4071" i="34"/>
  <c r="B4071" i="34" s="1"/>
  <c r="AC4070" i="34"/>
  <c r="X4070" i="34"/>
  <c r="W4070" i="34"/>
  <c r="V4070" i="34"/>
  <c r="T4070" i="34"/>
  <c r="S4070" i="34"/>
  <c r="R4070" i="34"/>
  <c r="N4070" i="34"/>
  <c r="K4070" i="34"/>
  <c r="C4070" i="34"/>
  <c r="B4070" i="34" s="1"/>
  <c r="O4070" i="34" s="1"/>
  <c r="AC4069" i="34"/>
  <c r="X4069" i="34"/>
  <c r="W4069" i="34"/>
  <c r="V4069" i="34"/>
  <c r="T4069" i="34"/>
  <c r="S4069" i="34"/>
  <c r="R4069" i="34"/>
  <c r="N4069" i="34"/>
  <c r="K4069" i="34"/>
  <c r="C4069" i="34"/>
  <c r="B4069" i="34" s="1"/>
  <c r="AC4068" i="34"/>
  <c r="X4068" i="34"/>
  <c r="W4068" i="34"/>
  <c r="V4068" i="34"/>
  <c r="T4068" i="34"/>
  <c r="S4068" i="34"/>
  <c r="R4068" i="34"/>
  <c r="N4068" i="34"/>
  <c r="K4068" i="34"/>
  <c r="C4068" i="34"/>
  <c r="B4068" i="34" s="1"/>
  <c r="O4068" i="34" s="1"/>
  <c r="AC4067" i="34"/>
  <c r="X4067" i="34"/>
  <c r="W4067" i="34"/>
  <c r="V4067" i="34"/>
  <c r="T4067" i="34"/>
  <c r="S4067" i="34"/>
  <c r="R4067" i="34"/>
  <c r="N4067" i="34"/>
  <c r="K4067" i="34"/>
  <c r="C4067" i="34"/>
  <c r="B4067" i="34" s="1"/>
  <c r="AC4066" i="34"/>
  <c r="X4066" i="34"/>
  <c r="W4066" i="34"/>
  <c r="V4066" i="34"/>
  <c r="T4066" i="34"/>
  <c r="S4066" i="34"/>
  <c r="R4066" i="34"/>
  <c r="N4066" i="34"/>
  <c r="K4066" i="34"/>
  <c r="C4066" i="34"/>
  <c r="B4066" i="34" s="1"/>
  <c r="O4066" i="34" s="1"/>
  <c r="AC4065" i="34"/>
  <c r="X4065" i="34"/>
  <c r="W4065" i="34"/>
  <c r="V4065" i="34"/>
  <c r="T4065" i="34"/>
  <c r="S4065" i="34"/>
  <c r="R4065" i="34"/>
  <c r="N4065" i="34"/>
  <c r="K4065" i="34"/>
  <c r="C4065" i="34"/>
  <c r="B4065" i="34" s="1"/>
  <c r="AC4064" i="34"/>
  <c r="X4064" i="34"/>
  <c r="W4064" i="34"/>
  <c r="V4064" i="34"/>
  <c r="T4064" i="34"/>
  <c r="S4064" i="34"/>
  <c r="R4064" i="34"/>
  <c r="N4064" i="34"/>
  <c r="K4064" i="34"/>
  <c r="C4064" i="34"/>
  <c r="B4064" i="34" s="1"/>
  <c r="O4064" i="34" s="1"/>
  <c r="AC4063" i="34"/>
  <c r="X4063" i="34"/>
  <c r="W4063" i="34"/>
  <c r="V4063" i="34"/>
  <c r="T4063" i="34"/>
  <c r="S4063" i="34"/>
  <c r="R4063" i="34"/>
  <c r="N4063" i="34"/>
  <c r="K4063" i="34"/>
  <c r="C4063" i="34"/>
  <c r="B4063" i="34" s="1"/>
  <c r="AC4062" i="34"/>
  <c r="X4062" i="34"/>
  <c r="W4062" i="34"/>
  <c r="V4062" i="34"/>
  <c r="T4062" i="34"/>
  <c r="S4062" i="34"/>
  <c r="R4062" i="34"/>
  <c r="N4062" i="34"/>
  <c r="K4062" i="34"/>
  <c r="C4062" i="34"/>
  <c r="B4062" i="34" s="1"/>
  <c r="O4062" i="34" s="1"/>
  <c r="AC4061" i="34"/>
  <c r="X4061" i="34"/>
  <c r="W4061" i="34"/>
  <c r="V4061" i="34"/>
  <c r="T4061" i="34"/>
  <c r="S4061" i="34"/>
  <c r="R4061" i="34"/>
  <c r="N4061" i="34"/>
  <c r="K4061" i="34"/>
  <c r="C4061" i="34"/>
  <c r="B4061" i="34" s="1"/>
  <c r="AC4060" i="34"/>
  <c r="X4060" i="34"/>
  <c r="W4060" i="34"/>
  <c r="V4060" i="34"/>
  <c r="T4060" i="34"/>
  <c r="S4060" i="34"/>
  <c r="R4060" i="34"/>
  <c r="N4060" i="34"/>
  <c r="K4060" i="34"/>
  <c r="C4060" i="34"/>
  <c r="B4060" i="34" s="1"/>
  <c r="O4060" i="34" s="1"/>
  <c r="AC4059" i="34"/>
  <c r="X4059" i="34"/>
  <c r="W4059" i="34"/>
  <c r="V4059" i="34"/>
  <c r="T4059" i="34"/>
  <c r="S4059" i="34"/>
  <c r="R4059" i="34"/>
  <c r="N4059" i="34"/>
  <c r="K4059" i="34"/>
  <c r="C4059" i="34"/>
  <c r="B4059" i="34" s="1"/>
  <c r="AC4058" i="34"/>
  <c r="X4058" i="34"/>
  <c r="W4058" i="34"/>
  <c r="V4058" i="34"/>
  <c r="T4058" i="34"/>
  <c r="S4058" i="34"/>
  <c r="R4058" i="34"/>
  <c r="N4058" i="34"/>
  <c r="K4058" i="34"/>
  <c r="C4058" i="34"/>
  <c r="B4058" i="34" s="1"/>
  <c r="O4058" i="34" s="1"/>
  <c r="AC4057" i="34"/>
  <c r="X4057" i="34"/>
  <c r="W4057" i="34"/>
  <c r="V4057" i="34"/>
  <c r="T4057" i="34"/>
  <c r="S4057" i="34"/>
  <c r="R4057" i="34"/>
  <c r="N4057" i="34"/>
  <c r="K4057" i="34"/>
  <c r="C4057" i="34"/>
  <c r="B4057" i="34" s="1"/>
  <c r="AC4056" i="34"/>
  <c r="X4056" i="34"/>
  <c r="W4056" i="34"/>
  <c r="V4056" i="34"/>
  <c r="T4056" i="34"/>
  <c r="S4056" i="34"/>
  <c r="R4056" i="34"/>
  <c r="N4056" i="34"/>
  <c r="K4056" i="34"/>
  <c r="C4056" i="34"/>
  <c r="B4056" i="34" s="1"/>
  <c r="AC4055" i="34"/>
  <c r="X4055" i="34"/>
  <c r="W4055" i="34"/>
  <c r="V4055" i="34"/>
  <c r="T4055" i="34"/>
  <c r="S4055" i="34"/>
  <c r="R4055" i="34"/>
  <c r="N4055" i="34"/>
  <c r="K4055" i="34"/>
  <c r="C4055" i="34"/>
  <c r="B4055" i="34" s="1"/>
  <c r="P4055" i="34" s="1"/>
  <c r="AC4094" i="34"/>
  <c r="X4094" i="34"/>
  <c r="W4094" i="34"/>
  <c r="V4094" i="34"/>
  <c r="T4094" i="34"/>
  <c r="S4094" i="34"/>
  <c r="R4094" i="34"/>
  <c r="N4094" i="34"/>
  <c r="K4094" i="34"/>
  <c r="C4094" i="34"/>
  <c r="B4094" i="34" s="1"/>
  <c r="O4094" i="34" s="1"/>
  <c r="AC4093" i="34"/>
  <c r="X4093" i="34"/>
  <c r="W4093" i="34"/>
  <c r="V4093" i="34"/>
  <c r="T4093" i="34"/>
  <c r="S4093" i="34"/>
  <c r="R4093" i="34"/>
  <c r="N4093" i="34"/>
  <c r="K4093" i="34"/>
  <c r="C4093" i="34"/>
  <c r="B4093" i="34" s="1"/>
  <c r="AC4092" i="34"/>
  <c r="X4092" i="34"/>
  <c r="W4092" i="34"/>
  <c r="V4092" i="34"/>
  <c r="T4092" i="34"/>
  <c r="S4092" i="34"/>
  <c r="R4092" i="34"/>
  <c r="N4092" i="34"/>
  <c r="K4092" i="34"/>
  <c r="C4092" i="34"/>
  <c r="B4092" i="34" s="1"/>
  <c r="O4092" i="34" s="1"/>
  <c r="AC4091" i="34"/>
  <c r="X4091" i="34"/>
  <c r="W4091" i="34"/>
  <c r="V4091" i="34"/>
  <c r="T4091" i="34"/>
  <c r="S4091" i="34"/>
  <c r="R4091" i="34"/>
  <c r="N4091" i="34"/>
  <c r="K4091" i="34"/>
  <c r="C4091" i="34"/>
  <c r="B4091" i="34" s="1"/>
  <c r="AC4090" i="34"/>
  <c r="X4090" i="34"/>
  <c r="W4090" i="34"/>
  <c r="V4090" i="34"/>
  <c r="T4090" i="34"/>
  <c r="S4090" i="34"/>
  <c r="R4090" i="34"/>
  <c r="N4090" i="34"/>
  <c r="K4090" i="34"/>
  <c r="C4090" i="34"/>
  <c r="B4090" i="34" s="1"/>
  <c r="O4090" i="34" s="1"/>
  <c r="AC4089" i="34"/>
  <c r="X4089" i="34"/>
  <c r="W4089" i="34"/>
  <c r="V4089" i="34"/>
  <c r="T4089" i="34"/>
  <c r="S4089" i="34"/>
  <c r="R4089" i="34"/>
  <c r="N4089" i="34"/>
  <c r="K4089" i="34"/>
  <c r="C4089" i="34"/>
  <c r="B4089" i="34" s="1"/>
  <c r="AC4088" i="34"/>
  <c r="X4088" i="34"/>
  <c r="W4088" i="34"/>
  <c r="V4088" i="34"/>
  <c r="T4088" i="34"/>
  <c r="S4088" i="34"/>
  <c r="R4088" i="34"/>
  <c r="N4088" i="34"/>
  <c r="K4088" i="34"/>
  <c r="C4088" i="34"/>
  <c r="B4088" i="34" s="1"/>
  <c r="O4088" i="34" s="1"/>
  <c r="AC4087" i="34"/>
  <c r="X4087" i="34"/>
  <c r="W4087" i="34"/>
  <c r="V4087" i="34"/>
  <c r="T4087" i="34"/>
  <c r="S4087" i="34"/>
  <c r="R4087" i="34"/>
  <c r="N4087" i="34"/>
  <c r="K4087" i="34"/>
  <c r="C4087" i="34"/>
  <c r="B4087" i="34" s="1"/>
  <c r="AC4086" i="34"/>
  <c r="X4086" i="34"/>
  <c r="W4086" i="34"/>
  <c r="V4086" i="34"/>
  <c r="T4086" i="34"/>
  <c r="S4086" i="34"/>
  <c r="R4086" i="34"/>
  <c r="N4086" i="34"/>
  <c r="K4086" i="34"/>
  <c r="C4086" i="34"/>
  <c r="B4086" i="34" s="1"/>
  <c r="Z4086" i="34" s="1"/>
  <c r="AC4085" i="34"/>
  <c r="X4085" i="34"/>
  <c r="W4085" i="34"/>
  <c r="V4085" i="34"/>
  <c r="T4085" i="34"/>
  <c r="S4085" i="34"/>
  <c r="R4085" i="34"/>
  <c r="N4085" i="34"/>
  <c r="K4085" i="34"/>
  <c r="C4085" i="34"/>
  <c r="B4085" i="34" s="1"/>
  <c r="AC4084" i="34"/>
  <c r="X4084" i="34"/>
  <c r="W4084" i="34"/>
  <c r="V4084" i="34"/>
  <c r="T4084" i="34"/>
  <c r="S4084" i="34"/>
  <c r="R4084" i="34"/>
  <c r="N4084" i="34"/>
  <c r="K4084" i="34"/>
  <c r="C4084" i="34"/>
  <c r="B4084" i="34"/>
  <c r="O4084" i="34" s="1"/>
  <c r="AC4083" i="34"/>
  <c r="X4083" i="34"/>
  <c r="W4083" i="34"/>
  <c r="V4083" i="34"/>
  <c r="T4083" i="34"/>
  <c r="S4083" i="34"/>
  <c r="R4083" i="34"/>
  <c r="N4083" i="34"/>
  <c r="K4083" i="34"/>
  <c r="C4083" i="34"/>
  <c r="B4083" i="34" s="1"/>
  <c r="AC4082" i="34"/>
  <c r="X4082" i="34"/>
  <c r="W4082" i="34"/>
  <c r="V4082" i="34"/>
  <c r="T4082" i="34"/>
  <c r="S4082" i="34"/>
  <c r="R4082" i="34"/>
  <c r="N4082" i="34"/>
  <c r="K4082" i="34"/>
  <c r="C4082" i="34"/>
  <c r="B4082" i="34" s="1"/>
  <c r="Z4082" i="34" s="1"/>
  <c r="AC4081" i="34"/>
  <c r="X4081" i="34"/>
  <c r="W4081" i="34"/>
  <c r="V4081" i="34"/>
  <c r="T4081" i="34"/>
  <c r="S4081" i="34"/>
  <c r="R4081" i="34"/>
  <c r="N4081" i="34"/>
  <c r="K4081" i="34"/>
  <c r="C4081" i="34"/>
  <c r="B4081" i="34" s="1"/>
  <c r="AC4080" i="34"/>
  <c r="X4080" i="34"/>
  <c r="W4080" i="34"/>
  <c r="V4080" i="34"/>
  <c r="T4080" i="34"/>
  <c r="S4080" i="34"/>
  <c r="R4080" i="34"/>
  <c r="N4080" i="34"/>
  <c r="K4080" i="34"/>
  <c r="C4080" i="34"/>
  <c r="B4080" i="34" s="1"/>
  <c r="O4080" i="34" s="1"/>
  <c r="AC4079" i="34"/>
  <c r="X4079" i="34"/>
  <c r="W4079" i="34"/>
  <c r="V4079" i="34"/>
  <c r="T4079" i="34"/>
  <c r="S4079" i="34"/>
  <c r="R4079" i="34"/>
  <c r="N4079" i="34"/>
  <c r="K4079" i="34"/>
  <c r="C4079" i="34"/>
  <c r="B4079" i="34" s="1"/>
  <c r="AC4078" i="34"/>
  <c r="X4078" i="34"/>
  <c r="W4078" i="34"/>
  <c r="V4078" i="34"/>
  <c r="T4078" i="34"/>
  <c r="S4078" i="34"/>
  <c r="R4078" i="34"/>
  <c r="N4078" i="34"/>
  <c r="K4078" i="34"/>
  <c r="C4078" i="34"/>
  <c r="B4078" i="34" s="1"/>
  <c r="Z4078" i="34" s="1"/>
  <c r="AC4077" i="34"/>
  <c r="X4077" i="34"/>
  <c r="W4077" i="34"/>
  <c r="V4077" i="34"/>
  <c r="T4077" i="34"/>
  <c r="S4077" i="34"/>
  <c r="R4077" i="34"/>
  <c r="N4077" i="34"/>
  <c r="K4077" i="34"/>
  <c r="C4077" i="34"/>
  <c r="B4077" i="34" s="1"/>
  <c r="P4077" i="34" s="1"/>
  <c r="AC4076" i="34"/>
  <c r="X4076" i="34"/>
  <c r="W4076" i="34"/>
  <c r="V4076" i="34"/>
  <c r="T4076" i="34"/>
  <c r="S4076" i="34"/>
  <c r="R4076" i="34"/>
  <c r="N4076" i="34"/>
  <c r="K4076" i="34"/>
  <c r="C4076" i="34"/>
  <c r="B4076" i="34" s="1"/>
  <c r="Z4076" i="34" s="1"/>
  <c r="AC4075" i="34"/>
  <c r="X4075" i="34"/>
  <c r="W4075" i="34"/>
  <c r="V4075" i="34"/>
  <c r="T4075" i="34"/>
  <c r="S4075" i="34"/>
  <c r="R4075" i="34"/>
  <c r="N4075" i="34"/>
  <c r="K4075" i="34"/>
  <c r="C4075" i="34"/>
  <c r="B4075" i="34" s="1"/>
  <c r="P4075" i="34" s="1"/>
  <c r="AC4111" i="34"/>
  <c r="X4111" i="34"/>
  <c r="W4111" i="34"/>
  <c r="V4111" i="34"/>
  <c r="T4111" i="34"/>
  <c r="S4111" i="34"/>
  <c r="R4111" i="34"/>
  <c r="N4111" i="34"/>
  <c r="K4111" i="34"/>
  <c r="C4111" i="34"/>
  <c r="B4111" i="34" s="1"/>
  <c r="Z4111" i="34" s="1"/>
  <c r="AC4110" i="34"/>
  <c r="X4110" i="34"/>
  <c r="W4110" i="34"/>
  <c r="V4110" i="34"/>
  <c r="T4110" i="34"/>
  <c r="S4110" i="34"/>
  <c r="R4110" i="34"/>
  <c r="N4110" i="34"/>
  <c r="K4110" i="34"/>
  <c r="C4110" i="34"/>
  <c r="B4110" i="34" s="1"/>
  <c r="P4110" i="34" s="1"/>
  <c r="AC4109" i="34"/>
  <c r="X4109" i="34"/>
  <c r="W4109" i="34"/>
  <c r="V4109" i="34"/>
  <c r="T4109" i="34"/>
  <c r="S4109" i="34"/>
  <c r="R4109" i="34"/>
  <c r="N4109" i="34"/>
  <c r="K4109" i="34"/>
  <c r="C4109" i="34"/>
  <c r="B4109" i="34" s="1"/>
  <c r="Z4109" i="34" s="1"/>
  <c r="C4112" i="34"/>
  <c r="B4112" i="34" s="1"/>
  <c r="K4112" i="34"/>
  <c r="N4112" i="34"/>
  <c r="R4112" i="34"/>
  <c r="S4112" i="34"/>
  <c r="T4112" i="34"/>
  <c r="V4112" i="34"/>
  <c r="W4112" i="34"/>
  <c r="X4112" i="34"/>
  <c r="AC4112" i="34"/>
  <c r="C4113" i="34"/>
  <c r="B4113" i="34" s="1"/>
  <c r="K4113" i="34"/>
  <c r="N4113" i="34"/>
  <c r="R4113" i="34"/>
  <c r="S4113" i="34"/>
  <c r="T4113" i="34"/>
  <c r="V4113" i="34"/>
  <c r="W4113" i="34"/>
  <c r="X4113" i="34"/>
  <c r="AC4113" i="34"/>
  <c r="P4085" i="34" l="1"/>
  <c r="U4085" i="34"/>
  <c r="Q4085" i="34"/>
  <c r="P4093" i="34"/>
  <c r="U4093" i="34"/>
  <c r="Q4093" i="34"/>
  <c r="P4079" i="34"/>
  <c r="U4079" i="34"/>
  <c r="Q4079" i="34"/>
  <c r="P4087" i="34"/>
  <c r="U4087" i="34"/>
  <c r="Q4087" i="34"/>
  <c r="P4081" i="34"/>
  <c r="U4081" i="34"/>
  <c r="Q4081" i="34"/>
  <c r="P4089" i="34"/>
  <c r="U4089" i="34"/>
  <c r="Q4089" i="34"/>
  <c r="P4083" i="34"/>
  <c r="U4083" i="34"/>
  <c r="Q4083" i="34"/>
  <c r="P4091" i="34"/>
  <c r="U4091" i="34"/>
  <c r="Q4091" i="34"/>
  <c r="P4053" i="34"/>
  <c r="U4053" i="34"/>
  <c r="Q4053" i="34"/>
  <c r="Q4075" i="34"/>
  <c r="Q4077" i="34"/>
  <c r="Q4110" i="34"/>
  <c r="Q4005" i="34"/>
  <c r="U4005" i="34"/>
  <c r="Q4007" i="34"/>
  <c r="U4007" i="34"/>
  <c r="Q4009" i="34"/>
  <c r="U4009" i="34"/>
  <c r="Q4011" i="34"/>
  <c r="U4011" i="34"/>
  <c r="Q4013" i="34"/>
  <c r="U4013" i="34"/>
  <c r="U4075" i="34"/>
  <c r="U4077" i="34"/>
  <c r="Q4036" i="34"/>
  <c r="U4036" i="34"/>
  <c r="Q4038" i="34"/>
  <c r="U4038" i="34"/>
  <c r="Q4040" i="34"/>
  <c r="U4040" i="34"/>
  <c r="Q4042" i="34"/>
  <c r="U4042" i="34"/>
  <c r="Q4044" i="34"/>
  <c r="U4044" i="34"/>
  <c r="Q4046" i="34"/>
  <c r="U4046" i="34"/>
  <c r="Q4048" i="34"/>
  <c r="U4048" i="34"/>
  <c r="Q4050" i="34"/>
  <c r="U4050" i="34"/>
  <c r="P4031" i="34"/>
  <c r="U4031" i="34"/>
  <c r="Q4031" i="34"/>
  <c r="P4033" i="34"/>
  <c r="U4033" i="34"/>
  <c r="Q4033" i="34"/>
  <c r="A4005" i="34"/>
  <c r="Z4005" i="34"/>
  <c r="P4006" i="34"/>
  <c r="A4007" i="34"/>
  <c r="Z4007" i="34"/>
  <c r="P4008" i="34"/>
  <c r="A4009" i="34"/>
  <c r="Z4009" i="34"/>
  <c r="P4010" i="34"/>
  <c r="A4011" i="34"/>
  <c r="Z4011" i="34"/>
  <c r="P4012" i="34"/>
  <c r="A4013" i="34"/>
  <c r="Z4013" i="34"/>
  <c r="P4014" i="34"/>
  <c r="O4005" i="34"/>
  <c r="Q4006" i="34"/>
  <c r="U4006" i="34"/>
  <c r="O4007" i="34"/>
  <c r="Q4008" i="34"/>
  <c r="U4008" i="34"/>
  <c r="O4009" i="34"/>
  <c r="Q4010" i="34"/>
  <c r="U4010" i="34"/>
  <c r="O4011" i="34"/>
  <c r="Q4012" i="34"/>
  <c r="U4012" i="34"/>
  <c r="O4013" i="34"/>
  <c r="Q4014" i="34"/>
  <c r="U4014" i="34"/>
  <c r="A4006" i="34"/>
  <c r="Z4006" i="34"/>
  <c r="A4008" i="34"/>
  <c r="Z4008" i="34"/>
  <c r="A4010" i="34"/>
  <c r="Z4010" i="34"/>
  <c r="A4012" i="34"/>
  <c r="Z4012" i="34"/>
  <c r="A4014" i="34"/>
  <c r="Z4014" i="34"/>
  <c r="A4015" i="34"/>
  <c r="Z4015" i="34"/>
  <c r="P4016" i="34"/>
  <c r="A4017" i="34"/>
  <c r="Z4017" i="34"/>
  <c r="P4018" i="34"/>
  <c r="A4019" i="34"/>
  <c r="Z4019" i="34"/>
  <c r="P4020" i="34"/>
  <c r="A4021" i="34"/>
  <c r="Z4021" i="34"/>
  <c r="P4022" i="34"/>
  <c r="A4023" i="34"/>
  <c r="Z4023" i="34"/>
  <c r="P4024" i="34"/>
  <c r="A4025" i="34"/>
  <c r="Z4025" i="34"/>
  <c r="P4026" i="34"/>
  <c r="A4027" i="34"/>
  <c r="Z4027" i="34"/>
  <c r="P4028" i="34"/>
  <c r="A4029" i="34"/>
  <c r="Z4029" i="34"/>
  <c r="P4030" i="34"/>
  <c r="A4031" i="34"/>
  <c r="Z4031" i="34"/>
  <c r="P4032" i="34"/>
  <c r="A4033" i="34"/>
  <c r="Z4033" i="34"/>
  <c r="P4034" i="34"/>
  <c r="O4015" i="34"/>
  <c r="Q4016" i="34"/>
  <c r="U4016" i="34"/>
  <c r="O4017" i="34"/>
  <c r="Q4018" i="34"/>
  <c r="U4018" i="34"/>
  <c r="O4019" i="34"/>
  <c r="Q4020" i="34"/>
  <c r="U4020" i="34"/>
  <c r="O4021" i="34"/>
  <c r="Q4022" i="34"/>
  <c r="U4022" i="34"/>
  <c r="O4023" i="34"/>
  <c r="Q4024" i="34"/>
  <c r="U4024" i="34"/>
  <c r="O4025" i="34"/>
  <c r="Q4026" i="34"/>
  <c r="U4026" i="34"/>
  <c r="O4027" i="34"/>
  <c r="Q4028" i="34"/>
  <c r="U4028" i="34"/>
  <c r="O4029" i="34"/>
  <c r="Q4030" i="34"/>
  <c r="U4030" i="34"/>
  <c r="O4031" i="34"/>
  <c r="Q4032" i="34"/>
  <c r="U4032" i="34"/>
  <c r="O4033" i="34"/>
  <c r="Q4034" i="34"/>
  <c r="U4034" i="34"/>
  <c r="P4015" i="34"/>
  <c r="A4016" i="34"/>
  <c r="Z4016" i="34"/>
  <c r="P4017" i="34"/>
  <c r="A4018" i="34"/>
  <c r="Z4018" i="34"/>
  <c r="P4019" i="34"/>
  <c r="A4020" i="34"/>
  <c r="Z4020" i="34"/>
  <c r="P4021" i="34"/>
  <c r="A4022" i="34"/>
  <c r="Z4022" i="34"/>
  <c r="P4023" i="34"/>
  <c r="A4024" i="34"/>
  <c r="Z4024" i="34"/>
  <c r="P4025" i="34"/>
  <c r="A4026" i="34"/>
  <c r="Z4026" i="34"/>
  <c r="P4027" i="34"/>
  <c r="A4028" i="34"/>
  <c r="Z4028" i="34"/>
  <c r="P4029" i="34"/>
  <c r="A4030" i="34"/>
  <c r="Z4030" i="34"/>
  <c r="A4032" i="34"/>
  <c r="Z4032" i="34"/>
  <c r="A4034" i="34"/>
  <c r="Z4034" i="34"/>
  <c r="Q4015" i="34"/>
  <c r="Q4017" i="34"/>
  <c r="Q4019" i="34"/>
  <c r="Q4021" i="34"/>
  <c r="Q4023" i="34"/>
  <c r="Q4025" i="34"/>
  <c r="Q4027" i="34"/>
  <c r="Q4029" i="34"/>
  <c r="Z4056" i="34"/>
  <c r="O4056" i="34"/>
  <c r="P4063" i="34"/>
  <c r="U4063" i="34"/>
  <c r="Q4063" i="34"/>
  <c r="P4071" i="34"/>
  <c r="U4071" i="34"/>
  <c r="Q4071" i="34"/>
  <c r="P4059" i="34"/>
  <c r="U4059" i="34"/>
  <c r="Q4059" i="34"/>
  <c r="P4057" i="34"/>
  <c r="U4057" i="34"/>
  <c r="Q4057" i="34"/>
  <c r="P4065" i="34"/>
  <c r="U4065" i="34"/>
  <c r="Q4065" i="34"/>
  <c r="P4073" i="34"/>
  <c r="U4073" i="34"/>
  <c r="Q4073" i="34"/>
  <c r="P4067" i="34"/>
  <c r="U4067" i="34"/>
  <c r="Q4067" i="34"/>
  <c r="P4061" i="34"/>
  <c r="U4061" i="34"/>
  <c r="Q4061" i="34"/>
  <c r="P4069" i="34"/>
  <c r="U4069" i="34"/>
  <c r="Q4069" i="34"/>
  <c r="A4035" i="34"/>
  <c r="Z4035" i="34"/>
  <c r="P4036" i="34"/>
  <c r="A4037" i="34"/>
  <c r="Z4037" i="34"/>
  <c r="P4038" i="34"/>
  <c r="A4039" i="34"/>
  <c r="Z4039" i="34"/>
  <c r="P4040" i="34"/>
  <c r="A4041" i="34"/>
  <c r="Z4041" i="34"/>
  <c r="P4042" i="34"/>
  <c r="A4043" i="34"/>
  <c r="Z4043" i="34"/>
  <c r="P4044" i="34"/>
  <c r="A4045" i="34"/>
  <c r="Z4045" i="34"/>
  <c r="P4046" i="34"/>
  <c r="A4047" i="34"/>
  <c r="Z4047" i="34"/>
  <c r="P4048" i="34"/>
  <c r="A4049" i="34"/>
  <c r="Z4049" i="34"/>
  <c r="P4050" i="34"/>
  <c r="A4051" i="34"/>
  <c r="Z4051" i="34"/>
  <c r="P4052" i="34"/>
  <c r="A4053" i="34"/>
  <c r="Z4053" i="34"/>
  <c r="P4054" i="34"/>
  <c r="O4035" i="34"/>
  <c r="O4037" i="34"/>
  <c r="O4039" i="34"/>
  <c r="O4041" i="34"/>
  <c r="O4043" i="34"/>
  <c r="O4045" i="34"/>
  <c r="O4047" i="34"/>
  <c r="O4049" i="34"/>
  <c r="O4051" i="34"/>
  <c r="Q4052" i="34"/>
  <c r="U4052" i="34"/>
  <c r="O4053" i="34"/>
  <c r="Q4054" i="34"/>
  <c r="U4054" i="34"/>
  <c r="Q4055" i="34"/>
  <c r="U4055" i="34"/>
  <c r="P4035" i="34"/>
  <c r="A4036" i="34"/>
  <c r="Z4036" i="34"/>
  <c r="P4037" i="34"/>
  <c r="A4038" i="34"/>
  <c r="Z4038" i="34"/>
  <c r="P4039" i="34"/>
  <c r="A4040" i="34"/>
  <c r="Z4040" i="34"/>
  <c r="P4041" i="34"/>
  <c r="A4042" i="34"/>
  <c r="Z4042" i="34"/>
  <c r="P4043" i="34"/>
  <c r="A4044" i="34"/>
  <c r="Z4044" i="34"/>
  <c r="P4045" i="34"/>
  <c r="A4046" i="34"/>
  <c r="Z4046" i="34"/>
  <c r="P4047" i="34"/>
  <c r="A4048" i="34"/>
  <c r="Z4048" i="34"/>
  <c r="P4049" i="34"/>
  <c r="A4050" i="34"/>
  <c r="Z4050" i="34"/>
  <c r="P4051" i="34"/>
  <c r="A4052" i="34"/>
  <c r="Z4052" i="34"/>
  <c r="A4054" i="34"/>
  <c r="Z4054" i="34"/>
  <c r="Q4035" i="34"/>
  <c r="Q4037" i="34"/>
  <c r="Q4039" i="34"/>
  <c r="Q4041" i="34"/>
  <c r="Q4043" i="34"/>
  <c r="Q4045" i="34"/>
  <c r="Q4047" i="34"/>
  <c r="Q4049" i="34"/>
  <c r="Q4051" i="34"/>
  <c r="A4055" i="34"/>
  <c r="Z4055" i="34"/>
  <c r="P4056" i="34"/>
  <c r="A4057" i="34"/>
  <c r="Z4057" i="34"/>
  <c r="P4058" i="34"/>
  <c r="A4059" i="34"/>
  <c r="Z4059" i="34"/>
  <c r="P4060" i="34"/>
  <c r="A4061" i="34"/>
  <c r="Z4061" i="34"/>
  <c r="P4062" i="34"/>
  <c r="A4063" i="34"/>
  <c r="Z4063" i="34"/>
  <c r="P4064" i="34"/>
  <c r="A4065" i="34"/>
  <c r="Z4065" i="34"/>
  <c r="P4066" i="34"/>
  <c r="A4067" i="34"/>
  <c r="Z4067" i="34"/>
  <c r="P4068" i="34"/>
  <c r="A4069" i="34"/>
  <c r="Z4069" i="34"/>
  <c r="P4070" i="34"/>
  <c r="A4071" i="34"/>
  <c r="Z4071" i="34"/>
  <c r="P4072" i="34"/>
  <c r="A4073" i="34"/>
  <c r="Z4073" i="34"/>
  <c r="P4074" i="34"/>
  <c r="Q4056" i="34"/>
  <c r="U4056" i="34"/>
  <c r="O4057" i="34"/>
  <c r="Q4060" i="34"/>
  <c r="U4060" i="34"/>
  <c r="O4061" i="34"/>
  <c r="U4064" i="34"/>
  <c r="O4065" i="34"/>
  <c r="Q4066" i="34"/>
  <c r="U4066" i="34"/>
  <c r="O4067" i="34"/>
  <c r="Q4068" i="34"/>
  <c r="U4068" i="34"/>
  <c r="O4069" i="34"/>
  <c r="Q4070" i="34"/>
  <c r="U4070" i="34"/>
  <c r="O4071" i="34"/>
  <c r="Q4072" i="34"/>
  <c r="U4072" i="34"/>
  <c r="O4073" i="34"/>
  <c r="Q4074" i="34"/>
  <c r="U4074" i="34"/>
  <c r="O4055" i="34"/>
  <c r="Q4058" i="34"/>
  <c r="U4058" i="34"/>
  <c r="O4059" i="34"/>
  <c r="Q4062" i="34"/>
  <c r="U4062" i="34"/>
  <c r="O4063" i="34"/>
  <c r="Q4064" i="34"/>
  <c r="A4056" i="34"/>
  <c r="A4058" i="34"/>
  <c r="Z4058" i="34"/>
  <c r="A4060" i="34"/>
  <c r="Z4060" i="34"/>
  <c r="A4062" i="34"/>
  <c r="Z4062" i="34"/>
  <c r="A4064" i="34"/>
  <c r="Z4064" i="34"/>
  <c r="A4066" i="34"/>
  <c r="Z4066" i="34"/>
  <c r="A4068" i="34"/>
  <c r="Z4068" i="34"/>
  <c r="A4070" i="34"/>
  <c r="Z4070" i="34"/>
  <c r="A4072" i="34"/>
  <c r="Z4072" i="34"/>
  <c r="A4074" i="34"/>
  <c r="Z4074" i="34"/>
  <c r="O4082" i="34"/>
  <c r="O4086" i="34"/>
  <c r="A4075" i="34"/>
  <c r="Z4075" i="34"/>
  <c r="P4076" i="34"/>
  <c r="A4077" i="34"/>
  <c r="Z4077" i="34"/>
  <c r="P4078" i="34"/>
  <c r="A4079" i="34"/>
  <c r="Z4079" i="34"/>
  <c r="P4080" i="34"/>
  <c r="A4081" i="34"/>
  <c r="Z4081" i="34"/>
  <c r="P4082" i="34"/>
  <c r="A4083" i="34"/>
  <c r="Z4083" i="34"/>
  <c r="P4084" i="34"/>
  <c r="A4085" i="34"/>
  <c r="Z4085" i="34"/>
  <c r="P4086" i="34"/>
  <c r="A4087" i="34"/>
  <c r="Z4087" i="34"/>
  <c r="P4088" i="34"/>
  <c r="A4089" i="34"/>
  <c r="Z4089" i="34"/>
  <c r="P4090" i="34"/>
  <c r="A4091" i="34"/>
  <c r="Z4091" i="34"/>
  <c r="P4092" i="34"/>
  <c r="A4093" i="34"/>
  <c r="Z4093" i="34"/>
  <c r="P4094" i="34"/>
  <c r="O4076" i="34"/>
  <c r="Q4076" i="34"/>
  <c r="U4076" i="34"/>
  <c r="O4077" i="34"/>
  <c r="Q4080" i="34"/>
  <c r="U4080" i="34"/>
  <c r="O4081" i="34"/>
  <c r="Q4084" i="34"/>
  <c r="U4084" i="34"/>
  <c r="O4085" i="34"/>
  <c r="Q4088" i="34"/>
  <c r="U4088" i="34"/>
  <c r="O4089" i="34"/>
  <c r="Q4090" i="34"/>
  <c r="U4090" i="34"/>
  <c r="O4091" i="34"/>
  <c r="Q4092" i="34"/>
  <c r="U4092" i="34"/>
  <c r="O4093" i="34"/>
  <c r="Q4094" i="34"/>
  <c r="U4094" i="34"/>
  <c r="O4078" i="34"/>
  <c r="O4075" i="34"/>
  <c r="Q4078" i="34"/>
  <c r="U4078" i="34"/>
  <c r="O4079" i="34"/>
  <c r="Q4082" i="34"/>
  <c r="U4082" i="34"/>
  <c r="O4083" i="34"/>
  <c r="Q4086" i="34"/>
  <c r="U4086" i="34"/>
  <c r="O4087" i="34"/>
  <c r="A4076" i="34"/>
  <c r="A4078" i="34"/>
  <c r="A4080" i="34"/>
  <c r="Z4080" i="34"/>
  <c r="A4082" i="34"/>
  <c r="A4084" i="34"/>
  <c r="Z4084" i="34"/>
  <c r="A4086" i="34"/>
  <c r="A4088" i="34"/>
  <c r="Z4088" i="34"/>
  <c r="A4090" i="34"/>
  <c r="Z4090" i="34"/>
  <c r="A4092" i="34"/>
  <c r="Z4092" i="34"/>
  <c r="A4094" i="34"/>
  <c r="Z4094" i="34"/>
  <c r="O4109" i="34"/>
  <c r="U4110" i="34"/>
  <c r="O4111" i="34"/>
  <c r="P4109" i="34"/>
  <c r="A4110" i="34"/>
  <c r="Z4110" i="34"/>
  <c r="P4111" i="34"/>
  <c r="Q4109" i="34"/>
  <c r="U4109" i="34"/>
  <c r="Q4111" i="34"/>
  <c r="U4111" i="34"/>
  <c r="O4110" i="34"/>
  <c r="A4109" i="34"/>
  <c r="A4111" i="34"/>
  <c r="A4112" i="34"/>
  <c r="Z4112" i="34"/>
  <c r="O4112" i="34"/>
  <c r="P4112" i="34"/>
  <c r="Q4112" i="34"/>
  <c r="U4112" i="34"/>
  <c r="P4113" i="34"/>
  <c r="Q4113" i="34"/>
  <c r="U4113" i="34"/>
  <c r="A4113" i="34"/>
  <c r="Z4113" i="34"/>
  <c r="O4113" i="34"/>
  <c r="AC4096" i="34" l="1"/>
  <c r="AC4097" i="34"/>
  <c r="AC4098" i="34"/>
  <c r="AC4099" i="34"/>
  <c r="AC4100" i="34"/>
  <c r="AC4101" i="34"/>
  <c r="AC4102" i="34"/>
  <c r="AC4103" i="34"/>
  <c r="AC4104" i="34"/>
  <c r="AC4105" i="34"/>
  <c r="AC4106" i="34"/>
  <c r="AC4107" i="34"/>
  <c r="AC4108" i="34"/>
  <c r="AC4095" i="34"/>
  <c r="AC4238" i="34"/>
  <c r="X4238" i="34"/>
  <c r="W4238" i="34"/>
  <c r="V4238" i="34"/>
  <c r="T4238" i="34"/>
  <c r="S4238" i="34"/>
  <c r="R4238" i="34"/>
  <c r="N4238" i="34"/>
  <c r="K4238" i="34"/>
  <c r="C4238" i="34"/>
  <c r="B4238" i="34" s="1"/>
  <c r="O4238" i="34" s="1"/>
  <c r="AC4237" i="34"/>
  <c r="X4237" i="34"/>
  <c r="W4237" i="34"/>
  <c r="V4237" i="34"/>
  <c r="T4237" i="34"/>
  <c r="S4237" i="34"/>
  <c r="R4237" i="34"/>
  <c r="N4237" i="34"/>
  <c r="K4237" i="34"/>
  <c r="C4237" i="34"/>
  <c r="B4237" i="34" s="1"/>
  <c r="P4237" i="34" s="1"/>
  <c r="AC4236" i="34"/>
  <c r="X4236" i="34"/>
  <c r="W4236" i="34"/>
  <c r="V4236" i="34"/>
  <c r="T4236" i="34"/>
  <c r="S4236" i="34"/>
  <c r="R4236" i="34"/>
  <c r="N4236" i="34"/>
  <c r="K4236" i="34"/>
  <c r="C4236" i="34"/>
  <c r="B4236" i="34" s="1"/>
  <c r="O4236" i="34" s="1"/>
  <c r="AC4235" i="34"/>
  <c r="X4235" i="34"/>
  <c r="W4235" i="34"/>
  <c r="V4235" i="34"/>
  <c r="T4235" i="34"/>
  <c r="S4235" i="34"/>
  <c r="R4235" i="34"/>
  <c r="N4235" i="34"/>
  <c r="K4235" i="34"/>
  <c r="C4235" i="34"/>
  <c r="B4235" i="34" s="1"/>
  <c r="P4235" i="34" s="1"/>
  <c r="X4243" i="34"/>
  <c r="W4243" i="34"/>
  <c r="V4243" i="34"/>
  <c r="T4243" i="34"/>
  <c r="S4243" i="34"/>
  <c r="R4243" i="34"/>
  <c r="N4243" i="34"/>
  <c r="X4185" i="34"/>
  <c r="W4185" i="34"/>
  <c r="V4185" i="34"/>
  <c r="T4185" i="34"/>
  <c r="S4185" i="34"/>
  <c r="R4185" i="34"/>
  <c r="N4185" i="34"/>
  <c r="AC4184" i="34"/>
  <c r="X4184" i="34"/>
  <c r="W4184" i="34"/>
  <c r="V4184" i="34"/>
  <c r="T4184" i="34"/>
  <c r="S4184" i="34"/>
  <c r="R4184" i="34"/>
  <c r="N4184" i="34"/>
  <c r="K4184" i="34"/>
  <c r="C4184" i="34"/>
  <c r="B4184" i="34" s="1"/>
  <c r="O4184" i="34" s="1"/>
  <c r="AC4183" i="34"/>
  <c r="X4183" i="34"/>
  <c r="W4183" i="34"/>
  <c r="V4183" i="34"/>
  <c r="T4183" i="34"/>
  <c r="S4183" i="34"/>
  <c r="R4183" i="34"/>
  <c r="N4183" i="34"/>
  <c r="K4183" i="34"/>
  <c r="C4183" i="34"/>
  <c r="B4183" i="34" s="1"/>
  <c r="AC4182" i="34"/>
  <c r="X4182" i="34"/>
  <c r="W4182" i="34"/>
  <c r="V4182" i="34"/>
  <c r="T4182" i="34"/>
  <c r="S4182" i="34"/>
  <c r="R4182" i="34"/>
  <c r="N4182" i="34"/>
  <c r="K4182" i="34"/>
  <c r="C4182" i="34"/>
  <c r="B4182" i="34" s="1"/>
  <c r="O4182" i="34" s="1"/>
  <c r="AC4181" i="34"/>
  <c r="X4181" i="34"/>
  <c r="W4181" i="34"/>
  <c r="V4181" i="34"/>
  <c r="T4181" i="34"/>
  <c r="S4181" i="34"/>
  <c r="R4181" i="34"/>
  <c r="N4181" i="34"/>
  <c r="K4181" i="34"/>
  <c r="C4181" i="34"/>
  <c r="B4181" i="34" s="1"/>
  <c r="AC4180" i="34"/>
  <c r="X4180" i="34"/>
  <c r="W4180" i="34"/>
  <c r="V4180" i="34"/>
  <c r="T4180" i="34"/>
  <c r="S4180" i="34"/>
  <c r="R4180" i="34"/>
  <c r="N4180" i="34"/>
  <c r="K4180" i="34"/>
  <c r="C4180" i="34"/>
  <c r="B4180" i="34"/>
  <c r="O4180" i="34" s="1"/>
  <c r="AC4179" i="34"/>
  <c r="X4179" i="34"/>
  <c r="W4179" i="34"/>
  <c r="V4179" i="34"/>
  <c r="T4179" i="34"/>
  <c r="S4179" i="34"/>
  <c r="R4179" i="34"/>
  <c r="N4179" i="34"/>
  <c r="K4179" i="34"/>
  <c r="C4179" i="34"/>
  <c r="B4179" i="34" s="1"/>
  <c r="AC4240" i="34"/>
  <c r="X4240" i="34"/>
  <c r="W4240" i="34"/>
  <c r="V4240" i="34"/>
  <c r="T4240" i="34"/>
  <c r="S4240" i="34"/>
  <c r="R4240" i="34"/>
  <c r="N4240" i="34"/>
  <c r="K4240" i="34"/>
  <c r="C4240" i="34"/>
  <c r="B4240" i="34" s="1"/>
  <c r="O4240" i="34" s="1"/>
  <c r="AC4239" i="34"/>
  <c r="X4239" i="34"/>
  <c r="W4239" i="34"/>
  <c r="V4239" i="34"/>
  <c r="T4239" i="34"/>
  <c r="S4239" i="34"/>
  <c r="R4239" i="34"/>
  <c r="N4239" i="34"/>
  <c r="K4239" i="34"/>
  <c r="C4239" i="34"/>
  <c r="B4239" i="34" s="1"/>
  <c r="C4185" i="34"/>
  <c r="B4185" i="34" s="1"/>
  <c r="O4185" i="34" s="1"/>
  <c r="I4173" i="34"/>
  <c r="X4178" i="34"/>
  <c r="W4178" i="34"/>
  <c r="V4178" i="34"/>
  <c r="T4178" i="34"/>
  <c r="S4178" i="34"/>
  <c r="R4178" i="34"/>
  <c r="N4178" i="34"/>
  <c r="X4171" i="34"/>
  <c r="W4171" i="34"/>
  <c r="V4171" i="34"/>
  <c r="T4171" i="34"/>
  <c r="S4171" i="34"/>
  <c r="R4171" i="34"/>
  <c r="N4171" i="34"/>
  <c r="X4169" i="34"/>
  <c r="W4169" i="34"/>
  <c r="V4169" i="34"/>
  <c r="T4169" i="34"/>
  <c r="S4169" i="34"/>
  <c r="R4169" i="34"/>
  <c r="N4169" i="34"/>
  <c r="X4166" i="34"/>
  <c r="W4166" i="34"/>
  <c r="V4166" i="34"/>
  <c r="T4166" i="34"/>
  <c r="S4166" i="34"/>
  <c r="R4166" i="34"/>
  <c r="N4166" i="34"/>
  <c r="A586" i="55"/>
  <c r="A605" i="55"/>
  <c r="A496" i="55"/>
  <c r="A550" i="55"/>
  <c r="A564" i="55"/>
  <c r="A567" i="55"/>
  <c r="A575" i="55"/>
  <c r="A203" i="55"/>
  <c r="A681" i="55"/>
  <c r="A450" i="55"/>
  <c r="A488" i="55"/>
  <c r="A439" i="55"/>
  <c r="A683" i="55"/>
  <c r="A682" i="55"/>
  <c r="X4162" i="34"/>
  <c r="W4162" i="34"/>
  <c r="V4162" i="34"/>
  <c r="T4162" i="34"/>
  <c r="S4162" i="34"/>
  <c r="R4162" i="34"/>
  <c r="N4162" i="34"/>
  <c r="AC4170" i="34"/>
  <c r="X4170" i="34"/>
  <c r="W4170" i="34"/>
  <c r="V4170" i="34"/>
  <c r="T4170" i="34"/>
  <c r="S4170" i="34"/>
  <c r="R4170" i="34"/>
  <c r="N4170" i="34"/>
  <c r="K4170" i="34"/>
  <c r="C4170" i="34"/>
  <c r="B4170" i="34" s="1"/>
  <c r="O4170" i="34" s="1"/>
  <c r="C4169" i="34"/>
  <c r="B4169" i="34" s="1"/>
  <c r="P4169" i="34" s="1"/>
  <c r="AC4168" i="34"/>
  <c r="X4168" i="34"/>
  <c r="W4168" i="34"/>
  <c r="V4168" i="34"/>
  <c r="T4168" i="34"/>
  <c r="S4168" i="34"/>
  <c r="R4168" i="34"/>
  <c r="N4168" i="34"/>
  <c r="K4168" i="34"/>
  <c r="C4168" i="34"/>
  <c r="B4168" i="34" s="1"/>
  <c r="O4168" i="34" s="1"/>
  <c r="AC4167" i="34"/>
  <c r="X4167" i="34"/>
  <c r="W4167" i="34"/>
  <c r="V4167" i="34"/>
  <c r="T4167" i="34"/>
  <c r="S4167" i="34"/>
  <c r="R4167" i="34"/>
  <c r="N4167" i="34"/>
  <c r="K4167" i="34"/>
  <c r="C4167" i="34"/>
  <c r="B4167" i="34" s="1"/>
  <c r="C4166" i="34"/>
  <c r="B4166" i="34" s="1"/>
  <c r="U4166" i="34" s="1"/>
  <c r="AC4165" i="34"/>
  <c r="X4165" i="34"/>
  <c r="W4165" i="34"/>
  <c r="V4165" i="34"/>
  <c r="T4165" i="34"/>
  <c r="S4165" i="34"/>
  <c r="R4165" i="34"/>
  <c r="N4165" i="34"/>
  <c r="K4165" i="34"/>
  <c r="C4165" i="34"/>
  <c r="B4165" i="34" s="1"/>
  <c r="P4165" i="34" s="1"/>
  <c r="AC4164" i="34"/>
  <c r="X4164" i="34"/>
  <c r="W4164" i="34"/>
  <c r="V4164" i="34"/>
  <c r="T4164" i="34"/>
  <c r="S4164" i="34"/>
  <c r="R4164" i="34"/>
  <c r="N4164" i="34"/>
  <c r="K4164" i="34"/>
  <c r="C4164" i="34"/>
  <c r="B4164" i="34" s="1"/>
  <c r="O4164" i="34" s="1"/>
  <c r="AC4163" i="34"/>
  <c r="X4163" i="34"/>
  <c r="W4163" i="34"/>
  <c r="V4163" i="34"/>
  <c r="T4163" i="34"/>
  <c r="S4163" i="34"/>
  <c r="R4163" i="34"/>
  <c r="N4163" i="34"/>
  <c r="K4163" i="34"/>
  <c r="C4163" i="34"/>
  <c r="B4163" i="34"/>
  <c r="P4163" i="34" s="1"/>
  <c r="C4162" i="34"/>
  <c r="B4162" i="34" s="1"/>
  <c r="AC4161" i="34"/>
  <c r="X4161" i="34"/>
  <c r="W4161" i="34"/>
  <c r="V4161" i="34"/>
  <c r="T4161" i="34"/>
  <c r="S4161" i="34"/>
  <c r="R4161" i="34"/>
  <c r="N4161" i="34"/>
  <c r="K4161" i="34"/>
  <c r="C4161" i="34"/>
  <c r="B4161" i="34" s="1"/>
  <c r="AC4160" i="34"/>
  <c r="X4160" i="34"/>
  <c r="W4160" i="34"/>
  <c r="V4160" i="34"/>
  <c r="T4160" i="34"/>
  <c r="S4160" i="34"/>
  <c r="R4160" i="34"/>
  <c r="N4160" i="34"/>
  <c r="K4160" i="34"/>
  <c r="C4160" i="34"/>
  <c r="B4160" i="34" s="1"/>
  <c r="O4160" i="34" s="1"/>
  <c r="AC4159" i="34"/>
  <c r="X4159" i="34"/>
  <c r="W4159" i="34"/>
  <c r="V4159" i="34"/>
  <c r="T4159" i="34"/>
  <c r="S4159" i="34"/>
  <c r="R4159" i="34"/>
  <c r="N4159" i="34"/>
  <c r="K4159" i="34"/>
  <c r="C4159" i="34"/>
  <c r="B4159" i="34" s="1"/>
  <c r="AC4175" i="34"/>
  <c r="X4175" i="34"/>
  <c r="W4175" i="34"/>
  <c r="V4175" i="34"/>
  <c r="T4175" i="34"/>
  <c r="S4175" i="34"/>
  <c r="R4175" i="34"/>
  <c r="N4175" i="34"/>
  <c r="K4175" i="34"/>
  <c r="C4175" i="34"/>
  <c r="B4175" i="34" s="1"/>
  <c r="O4175" i="34" s="1"/>
  <c r="AC4174" i="34"/>
  <c r="X4174" i="34"/>
  <c r="W4174" i="34"/>
  <c r="V4174" i="34"/>
  <c r="T4174" i="34"/>
  <c r="S4174" i="34"/>
  <c r="R4174" i="34"/>
  <c r="N4174" i="34"/>
  <c r="K4174" i="34"/>
  <c r="C4174" i="34"/>
  <c r="B4174" i="34" s="1"/>
  <c r="AC4173" i="34"/>
  <c r="X4173" i="34"/>
  <c r="W4173" i="34"/>
  <c r="V4173" i="34"/>
  <c r="T4173" i="34"/>
  <c r="S4173" i="34"/>
  <c r="R4173" i="34"/>
  <c r="N4173" i="34"/>
  <c r="K4173" i="34"/>
  <c r="C4173" i="34"/>
  <c r="B4173" i="34" s="1"/>
  <c r="AC4172" i="34"/>
  <c r="X4172" i="34"/>
  <c r="W4172" i="34"/>
  <c r="V4172" i="34"/>
  <c r="T4172" i="34"/>
  <c r="S4172" i="34"/>
  <c r="R4172" i="34"/>
  <c r="N4172" i="34"/>
  <c r="K4172" i="34"/>
  <c r="C4172" i="34"/>
  <c r="B4172" i="34" s="1"/>
  <c r="O4172" i="34" s="1"/>
  <c r="C4171" i="34"/>
  <c r="B4171" i="34" s="1"/>
  <c r="O4171" i="34" s="1"/>
  <c r="X4158" i="34"/>
  <c r="W4158" i="34"/>
  <c r="V4158" i="34"/>
  <c r="T4158" i="34"/>
  <c r="S4158" i="34"/>
  <c r="R4158" i="34"/>
  <c r="N4158" i="34"/>
  <c r="X4154" i="34"/>
  <c r="W4154" i="34"/>
  <c r="V4154" i="34"/>
  <c r="T4154" i="34"/>
  <c r="S4154" i="34"/>
  <c r="R4154" i="34"/>
  <c r="N4154" i="34"/>
  <c r="AC4152" i="34"/>
  <c r="X4152" i="34"/>
  <c r="W4152" i="34"/>
  <c r="V4152" i="34"/>
  <c r="T4152" i="34"/>
  <c r="S4152" i="34"/>
  <c r="R4152" i="34"/>
  <c r="N4152" i="34"/>
  <c r="K4152" i="34"/>
  <c r="C4152" i="34"/>
  <c r="B4152" i="34" s="1"/>
  <c r="O4152" i="34" s="1"/>
  <c r="AC4151" i="34"/>
  <c r="X4151" i="34"/>
  <c r="W4151" i="34"/>
  <c r="V4151" i="34"/>
  <c r="T4151" i="34"/>
  <c r="S4151" i="34"/>
  <c r="R4151" i="34"/>
  <c r="N4151" i="34"/>
  <c r="K4151" i="34"/>
  <c r="C4151" i="34"/>
  <c r="B4151" i="34" s="1"/>
  <c r="AC4150" i="34"/>
  <c r="X4150" i="34"/>
  <c r="W4150" i="34"/>
  <c r="V4150" i="34"/>
  <c r="T4150" i="34"/>
  <c r="S4150" i="34"/>
  <c r="R4150" i="34"/>
  <c r="N4150" i="34"/>
  <c r="K4150" i="34"/>
  <c r="C4150" i="34"/>
  <c r="B4150" i="34" s="1"/>
  <c r="O4150" i="34" s="1"/>
  <c r="X4149" i="34"/>
  <c r="W4149" i="34"/>
  <c r="V4149" i="34"/>
  <c r="T4149" i="34"/>
  <c r="S4149" i="34"/>
  <c r="R4149" i="34"/>
  <c r="N4149" i="34"/>
  <c r="C4149" i="34"/>
  <c r="B4149" i="34" s="1"/>
  <c r="AC4148" i="34"/>
  <c r="X4148" i="34"/>
  <c r="W4148" i="34"/>
  <c r="V4148" i="34"/>
  <c r="T4148" i="34"/>
  <c r="S4148" i="34"/>
  <c r="R4148" i="34"/>
  <c r="N4148" i="34"/>
  <c r="K4148" i="34"/>
  <c r="C4148" i="34"/>
  <c r="B4148" i="34" s="1"/>
  <c r="Z4148" i="34" s="1"/>
  <c r="AC4147" i="34"/>
  <c r="X4147" i="34"/>
  <c r="W4147" i="34"/>
  <c r="V4147" i="34"/>
  <c r="T4147" i="34"/>
  <c r="S4147" i="34"/>
  <c r="R4147" i="34"/>
  <c r="N4147" i="34"/>
  <c r="K4147" i="34"/>
  <c r="C4147" i="34"/>
  <c r="B4147" i="34" s="1"/>
  <c r="AC4146" i="34"/>
  <c r="X4146" i="34"/>
  <c r="W4146" i="34"/>
  <c r="V4146" i="34"/>
  <c r="T4146" i="34"/>
  <c r="S4146" i="34"/>
  <c r="R4146" i="34"/>
  <c r="N4146" i="34"/>
  <c r="K4146" i="34"/>
  <c r="C4146" i="34"/>
  <c r="B4146" i="34" s="1"/>
  <c r="O4146" i="34" s="1"/>
  <c r="AC4145" i="34"/>
  <c r="X4145" i="34"/>
  <c r="W4145" i="34"/>
  <c r="V4145" i="34"/>
  <c r="T4145" i="34"/>
  <c r="S4145" i="34"/>
  <c r="R4145" i="34"/>
  <c r="N4145" i="34"/>
  <c r="K4145" i="34"/>
  <c r="C4145" i="34"/>
  <c r="B4145" i="34" s="1"/>
  <c r="AC4144" i="34"/>
  <c r="X4144" i="34"/>
  <c r="W4144" i="34"/>
  <c r="V4144" i="34"/>
  <c r="T4144" i="34"/>
  <c r="S4144" i="34"/>
  <c r="R4144" i="34"/>
  <c r="N4144" i="34"/>
  <c r="K4144" i="34"/>
  <c r="C4144" i="34"/>
  <c r="B4144" i="34" s="1"/>
  <c r="Z4144" i="34" s="1"/>
  <c r="AC4143" i="34"/>
  <c r="X4143" i="34"/>
  <c r="W4143" i="34"/>
  <c r="V4143" i="34"/>
  <c r="T4143" i="34"/>
  <c r="S4143" i="34"/>
  <c r="R4143" i="34"/>
  <c r="N4143" i="34"/>
  <c r="K4143" i="34"/>
  <c r="C4143" i="34"/>
  <c r="B4143" i="34" s="1"/>
  <c r="AC4142" i="34"/>
  <c r="X4142" i="34"/>
  <c r="W4142" i="34"/>
  <c r="V4142" i="34"/>
  <c r="T4142" i="34"/>
  <c r="S4142" i="34"/>
  <c r="R4142" i="34"/>
  <c r="N4142" i="34"/>
  <c r="K4142" i="34"/>
  <c r="C4142" i="34"/>
  <c r="B4142" i="34" s="1"/>
  <c r="O4142" i="34" s="1"/>
  <c r="AC4141" i="34"/>
  <c r="X4141" i="34"/>
  <c r="W4141" i="34"/>
  <c r="V4141" i="34"/>
  <c r="T4141" i="34"/>
  <c r="S4141" i="34"/>
  <c r="R4141" i="34"/>
  <c r="N4141" i="34"/>
  <c r="K4141" i="34"/>
  <c r="C4141" i="34"/>
  <c r="B4141" i="34" s="1"/>
  <c r="C4158" i="34"/>
  <c r="B4158" i="34" s="1"/>
  <c r="AC4157" i="34"/>
  <c r="X4157" i="34"/>
  <c r="W4157" i="34"/>
  <c r="V4157" i="34"/>
  <c r="T4157" i="34"/>
  <c r="S4157" i="34"/>
  <c r="R4157" i="34"/>
  <c r="N4157" i="34"/>
  <c r="K4157" i="34"/>
  <c r="C4157" i="34"/>
  <c r="B4157" i="34" s="1"/>
  <c r="P4157" i="34" s="1"/>
  <c r="AC4156" i="34"/>
  <c r="X4156" i="34"/>
  <c r="W4156" i="34"/>
  <c r="V4156" i="34"/>
  <c r="T4156" i="34"/>
  <c r="S4156" i="34"/>
  <c r="R4156" i="34"/>
  <c r="N4156" i="34"/>
  <c r="K4156" i="34"/>
  <c r="C4156" i="34"/>
  <c r="B4156" i="34" s="1"/>
  <c r="O4156" i="34" s="1"/>
  <c r="AC4155" i="34"/>
  <c r="X4155" i="34"/>
  <c r="W4155" i="34"/>
  <c r="V4155" i="34"/>
  <c r="T4155" i="34"/>
  <c r="S4155" i="34"/>
  <c r="R4155" i="34"/>
  <c r="N4155" i="34"/>
  <c r="K4155" i="34"/>
  <c r="C4155" i="34"/>
  <c r="B4155" i="34" s="1"/>
  <c r="U4155" i="34" s="1"/>
  <c r="C4154" i="34"/>
  <c r="B4154" i="34" s="1"/>
  <c r="P4154" i="34" s="1"/>
  <c r="AC4153" i="34"/>
  <c r="X4153" i="34"/>
  <c r="W4153" i="34"/>
  <c r="V4153" i="34"/>
  <c r="T4153" i="34"/>
  <c r="S4153" i="34"/>
  <c r="R4153" i="34"/>
  <c r="N4153" i="34"/>
  <c r="K4153" i="34"/>
  <c r="C4153" i="34"/>
  <c r="B4153" i="34" s="1"/>
  <c r="P4153" i="34" s="1"/>
  <c r="X4126" i="34"/>
  <c r="W4126" i="34"/>
  <c r="V4126" i="34"/>
  <c r="T4126" i="34"/>
  <c r="S4126" i="34"/>
  <c r="R4126" i="34"/>
  <c r="N4126" i="34"/>
  <c r="A16" i="12"/>
  <c r="Q4235" i="34" l="1"/>
  <c r="U4235" i="34"/>
  <c r="Q4237" i="34"/>
  <c r="U4237" i="34"/>
  <c r="P4185" i="34"/>
  <c r="A4235" i="34"/>
  <c r="Z4235" i="34"/>
  <c r="P4236" i="34"/>
  <c r="A4237" i="34"/>
  <c r="Z4237" i="34"/>
  <c r="P4238" i="34"/>
  <c r="Q4185" i="34"/>
  <c r="U4185" i="34"/>
  <c r="O4235" i="34"/>
  <c r="Q4236" i="34"/>
  <c r="U4236" i="34"/>
  <c r="O4237" i="34"/>
  <c r="Q4238" i="34"/>
  <c r="U4238" i="34"/>
  <c r="Z4185" i="34"/>
  <c r="A4236" i="34"/>
  <c r="Z4236" i="34"/>
  <c r="A4238" i="34"/>
  <c r="Z4238" i="34"/>
  <c r="P4239" i="34"/>
  <c r="U4239" i="34"/>
  <c r="Q4239" i="34"/>
  <c r="P4183" i="34"/>
  <c r="U4183" i="34"/>
  <c r="Q4183" i="34"/>
  <c r="P4181" i="34"/>
  <c r="U4181" i="34"/>
  <c r="Q4181" i="34"/>
  <c r="P4179" i="34"/>
  <c r="U4179" i="34"/>
  <c r="Q4179" i="34"/>
  <c r="A4179" i="34"/>
  <c r="Z4179" i="34"/>
  <c r="P4180" i="34"/>
  <c r="A4181" i="34"/>
  <c r="Z4181" i="34"/>
  <c r="P4182" i="34"/>
  <c r="A4183" i="34"/>
  <c r="Z4183" i="34"/>
  <c r="P4184" i="34"/>
  <c r="O4179" i="34"/>
  <c r="Q4180" i="34"/>
  <c r="U4180" i="34"/>
  <c r="O4181" i="34"/>
  <c r="Q4182" i="34"/>
  <c r="U4182" i="34"/>
  <c r="O4183" i="34"/>
  <c r="Q4184" i="34"/>
  <c r="U4184" i="34"/>
  <c r="A4180" i="34"/>
  <c r="Z4180" i="34"/>
  <c r="A4182" i="34"/>
  <c r="Z4182" i="34"/>
  <c r="A4184" i="34"/>
  <c r="Z4184" i="34"/>
  <c r="A4239" i="34"/>
  <c r="Z4239" i="34"/>
  <c r="P4240" i="34"/>
  <c r="O4239" i="34"/>
  <c r="Q4240" i="34"/>
  <c r="U4240" i="34"/>
  <c r="A4185" i="34"/>
  <c r="A4240" i="34"/>
  <c r="Z4240" i="34"/>
  <c r="P4162" i="34"/>
  <c r="O4162" i="34"/>
  <c r="Z4162" i="34"/>
  <c r="U4162" i="34"/>
  <c r="Q4162" i="34"/>
  <c r="Z4166" i="34"/>
  <c r="Q4169" i="34"/>
  <c r="U4169" i="34"/>
  <c r="P4171" i="34"/>
  <c r="O4166" i="34"/>
  <c r="Z4169" i="34"/>
  <c r="Q4171" i="34"/>
  <c r="U4171" i="34"/>
  <c r="P4166" i="34"/>
  <c r="O4169" i="34"/>
  <c r="Z4171" i="34"/>
  <c r="Q4166" i="34"/>
  <c r="P4167" i="34"/>
  <c r="U4167" i="34"/>
  <c r="Q4167" i="34"/>
  <c r="Q4165" i="34"/>
  <c r="U4165" i="34"/>
  <c r="Q4163" i="34"/>
  <c r="U4163" i="34"/>
  <c r="P4161" i="34"/>
  <c r="U4161" i="34"/>
  <c r="Q4161" i="34"/>
  <c r="P4159" i="34"/>
  <c r="U4159" i="34"/>
  <c r="Q4159" i="34"/>
  <c r="P4173" i="34"/>
  <c r="U4173" i="34"/>
  <c r="Q4173" i="34"/>
  <c r="P4158" i="34"/>
  <c r="O4158" i="34"/>
  <c r="Z4158" i="34"/>
  <c r="U4158" i="34"/>
  <c r="Q4158" i="34"/>
  <c r="P4174" i="34"/>
  <c r="U4174" i="34"/>
  <c r="Q4174" i="34"/>
  <c r="A4159" i="34"/>
  <c r="Z4159" i="34"/>
  <c r="P4160" i="34"/>
  <c r="A4161" i="34"/>
  <c r="Z4161" i="34"/>
  <c r="A4163" i="34"/>
  <c r="Z4163" i="34"/>
  <c r="P4164" i="34"/>
  <c r="A4165" i="34"/>
  <c r="Z4165" i="34"/>
  <c r="A4167" i="34"/>
  <c r="Z4167" i="34"/>
  <c r="P4168" i="34"/>
  <c r="A4169" i="34"/>
  <c r="P4170" i="34"/>
  <c r="Q4154" i="34"/>
  <c r="U4154" i="34"/>
  <c r="O4154" i="34"/>
  <c r="O4159" i="34"/>
  <c r="Q4160" i="34"/>
  <c r="U4160" i="34"/>
  <c r="O4161" i="34"/>
  <c r="O4163" i="34"/>
  <c r="Q4164" i="34"/>
  <c r="U4164" i="34"/>
  <c r="O4165" i="34"/>
  <c r="O4167" i="34"/>
  <c r="Q4168" i="34"/>
  <c r="U4168" i="34"/>
  <c r="Q4170" i="34"/>
  <c r="U4170" i="34"/>
  <c r="Z4154" i="34"/>
  <c r="A4160" i="34"/>
  <c r="Z4160" i="34"/>
  <c r="A4162" i="34"/>
  <c r="A4164" i="34"/>
  <c r="Z4164" i="34"/>
  <c r="A4166" i="34"/>
  <c r="A4168" i="34"/>
  <c r="Z4168" i="34"/>
  <c r="A4170" i="34"/>
  <c r="Z4170" i="34"/>
  <c r="A4171" i="34"/>
  <c r="P4172" i="34"/>
  <c r="A4173" i="34"/>
  <c r="Z4173" i="34"/>
  <c r="A4174" i="34"/>
  <c r="Z4174" i="34"/>
  <c r="P4175" i="34"/>
  <c r="Q4172" i="34"/>
  <c r="U4172" i="34"/>
  <c r="O4173" i="34"/>
  <c r="O4174" i="34"/>
  <c r="Q4175" i="34"/>
  <c r="U4175" i="34"/>
  <c r="A4172" i="34"/>
  <c r="Z4172" i="34"/>
  <c r="A4175" i="34"/>
  <c r="Z4175" i="34"/>
  <c r="P4151" i="34"/>
  <c r="U4151" i="34"/>
  <c r="Q4151" i="34"/>
  <c r="P4145" i="34"/>
  <c r="U4145" i="34"/>
  <c r="Q4145" i="34"/>
  <c r="P4147" i="34"/>
  <c r="U4147" i="34"/>
  <c r="Q4147" i="34"/>
  <c r="P4149" i="34"/>
  <c r="U4149" i="34"/>
  <c r="Q4149" i="34"/>
  <c r="P4143" i="34"/>
  <c r="U4143" i="34"/>
  <c r="Q4143" i="34"/>
  <c r="P4141" i="34"/>
  <c r="U4141" i="34"/>
  <c r="Q4141" i="34"/>
  <c r="O4144" i="34"/>
  <c r="O4148" i="34"/>
  <c r="A4141" i="34"/>
  <c r="Z4141" i="34"/>
  <c r="P4142" i="34"/>
  <c r="A4143" i="34"/>
  <c r="Z4143" i="34"/>
  <c r="P4144" i="34"/>
  <c r="A4145" i="34"/>
  <c r="Z4145" i="34"/>
  <c r="P4146" i="34"/>
  <c r="A4147" i="34"/>
  <c r="Z4147" i="34"/>
  <c r="P4148" i="34"/>
  <c r="A4149" i="34"/>
  <c r="Z4149" i="34"/>
  <c r="P4150" i="34"/>
  <c r="A4151" i="34"/>
  <c r="Z4151" i="34"/>
  <c r="P4152" i="34"/>
  <c r="Q4142" i="34"/>
  <c r="U4142" i="34"/>
  <c r="O4143" i="34"/>
  <c r="Q4146" i="34"/>
  <c r="U4146" i="34"/>
  <c r="O4147" i="34"/>
  <c r="Q4150" i="34"/>
  <c r="U4150" i="34"/>
  <c r="O4151" i="34"/>
  <c r="Q4152" i="34"/>
  <c r="U4152" i="34"/>
  <c r="O4141" i="34"/>
  <c r="Q4144" i="34"/>
  <c r="U4144" i="34"/>
  <c r="O4145" i="34"/>
  <c r="Q4148" i="34"/>
  <c r="U4148" i="34"/>
  <c r="O4149" i="34"/>
  <c r="A4142" i="34"/>
  <c r="Z4142" i="34"/>
  <c r="A4144" i="34"/>
  <c r="A4146" i="34"/>
  <c r="Z4146" i="34"/>
  <c r="A4148" i="34"/>
  <c r="A4150" i="34"/>
  <c r="Z4150" i="34"/>
  <c r="A4152" i="34"/>
  <c r="Z4152" i="34"/>
  <c r="Q4153" i="34"/>
  <c r="U4153" i="34"/>
  <c r="Q4157" i="34"/>
  <c r="U4157" i="34"/>
  <c r="A4153" i="34"/>
  <c r="Z4153" i="34"/>
  <c r="A4155" i="34"/>
  <c r="Z4155" i="34"/>
  <c r="P4156" i="34"/>
  <c r="A4157" i="34"/>
  <c r="Z4157" i="34"/>
  <c r="O4153" i="34"/>
  <c r="O4155" i="34"/>
  <c r="Q4156" i="34"/>
  <c r="U4156" i="34"/>
  <c r="O4157" i="34"/>
  <c r="A4154" i="34"/>
  <c r="P4155" i="34"/>
  <c r="A4156" i="34"/>
  <c r="Z4156" i="34"/>
  <c r="A4158" i="34"/>
  <c r="Q4155" i="34"/>
  <c r="AC4116" i="34"/>
  <c r="AC4117" i="34"/>
  <c r="AC4118" i="34"/>
  <c r="AC4119" i="34"/>
  <c r="AC4120" i="34"/>
  <c r="AC4121" i="34"/>
  <c r="AC4122" i="34"/>
  <c r="AC4124" i="34"/>
  <c r="AC4125" i="34"/>
  <c r="AC4176" i="34"/>
  <c r="AC4177" i="34"/>
  <c r="AC4241" i="34"/>
  <c r="AC4242" i="34"/>
  <c r="AC4115" i="34"/>
  <c r="C4243" i="34"/>
  <c r="B4243" i="34" s="1"/>
  <c r="X4242" i="34"/>
  <c r="W4242" i="34"/>
  <c r="V4242" i="34"/>
  <c r="T4242" i="34"/>
  <c r="S4242" i="34"/>
  <c r="R4242" i="34"/>
  <c r="N4242" i="34"/>
  <c r="K4242" i="34"/>
  <c r="C4242" i="34"/>
  <c r="B4242" i="34" s="1"/>
  <c r="P4242" i="34" s="1"/>
  <c r="X4241" i="34"/>
  <c r="W4241" i="34"/>
  <c r="V4241" i="34"/>
  <c r="T4241" i="34"/>
  <c r="S4241" i="34"/>
  <c r="R4241" i="34"/>
  <c r="N4241" i="34"/>
  <c r="K4241" i="34"/>
  <c r="C4241" i="34"/>
  <c r="B4241" i="34" s="1"/>
  <c r="C4178" i="34"/>
  <c r="B4178" i="34" s="1"/>
  <c r="X4177" i="34"/>
  <c r="W4177" i="34"/>
  <c r="V4177" i="34"/>
  <c r="T4177" i="34"/>
  <c r="S4177" i="34"/>
  <c r="R4177" i="34"/>
  <c r="N4177" i="34"/>
  <c r="K4177" i="34"/>
  <c r="C4177" i="34"/>
  <c r="B4177" i="34" s="1"/>
  <c r="X4176" i="34"/>
  <c r="W4176" i="34"/>
  <c r="V4176" i="34"/>
  <c r="T4176" i="34"/>
  <c r="S4176" i="34"/>
  <c r="R4176" i="34"/>
  <c r="N4176" i="34"/>
  <c r="K4176" i="34"/>
  <c r="C4176" i="34"/>
  <c r="B4176" i="34" s="1"/>
  <c r="C4126" i="34"/>
  <c r="B4126" i="34" s="1"/>
  <c r="X4125" i="34"/>
  <c r="W4125" i="34"/>
  <c r="V4125" i="34"/>
  <c r="T4125" i="34"/>
  <c r="S4125" i="34"/>
  <c r="R4125" i="34"/>
  <c r="N4125" i="34"/>
  <c r="K4125" i="34"/>
  <c r="C4125" i="34"/>
  <c r="B4125" i="34" s="1"/>
  <c r="X4124" i="34"/>
  <c r="W4124" i="34"/>
  <c r="V4124" i="34"/>
  <c r="T4124" i="34"/>
  <c r="S4124" i="34"/>
  <c r="R4124" i="34"/>
  <c r="N4124" i="34"/>
  <c r="K4124" i="34"/>
  <c r="C4124" i="34"/>
  <c r="B4124" i="34" s="1"/>
  <c r="X4123" i="34"/>
  <c r="W4123" i="34"/>
  <c r="V4123" i="34"/>
  <c r="T4123" i="34"/>
  <c r="S4123" i="34"/>
  <c r="R4123" i="34"/>
  <c r="N4123" i="34"/>
  <c r="C4123" i="34"/>
  <c r="B4123" i="34" s="1"/>
  <c r="Z4123" i="34" s="1"/>
  <c r="X4122" i="34"/>
  <c r="W4122" i="34"/>
  <c r="V4122" i="34"/>
  <c r="T4122" i="34"/>
  <c r="S4122" i="34"/>
  <c r="R4122" i="34"/>
  <c r="N4122" i="34"/>
  <c r="K4122" i="34"/>
  <c r="C4122" i="34"/>
  <c r="B4122" i="34" s="1"/>
  <c r="X4121" i="34"/>
  <c r="W4121" i="34"/>
  <c r="V4121" i="34"/>
  <c r="T4121" i="34"/>
  <c r="S4121" i="34"/>
  <c r="R4121" i="34"/>
  <c r="N4121" i="34"/>
  <c r="K4121" i="34"/>
  <c r="C4121" i="34"/>
  <c r="B4121" i="34" s="1"/>
  <c r="X4120" i="34"/>
  <c r="W4120" i="34"/>
  <c r="V4120" i="34"/>
  <c r="T4120" i="34"/>
  <c r="S4120" i="34"/>
  <c r="R4120" i="34"/>
  <c r="N4120" i="34"/>
  <c r="K4120" i="34"/>
  <c r="C4120" i="34"/>
  <c r="B4120" i="34" s="1"/>
  <c r="U4120" i="34" s="1"/>
  <c r="X4119" i="34"/>
  <c r="W4119" i="34"/>
  <c r="V4119" i="34"/>
  <c r="T4119" i="34"/>
  <c r="S4119" i="34"/>
  <c r="R4119" i="34"/>
  <c r="N4119" i="34"/>
  <c r="K4119" i="34"/>
  <c r="C4119" i="34"/>
  <c r="B4119" i="34" s="1"/>
  <c r="Z4119" i="34" s="1"/>
  <c r="X4118" i="34"/>
  <c r="W4118" i="34"/>
  <c r="V4118" i="34"/>
  <c r="T4118" i="34"/>
  <c r="S4118" i="34"/>
  <c r="R4118" i="34"/>
  <c r="N4118" i="34"/>
  <c r="K4118" i="34"/>
  <c r="C4118" i="34"/>
  <c r="B4118" i="34" s="1"/>
  <c r="X4117" i="34"/>
  <c r="W4117" i="34"/>
  <c r="V4117" i="34"/>
  <c r="T4117" i="34"/>
  <c r="S4117" i="34"/>
  <c r="R4117" i="34"/>
  <c r="N4117" i="34"/>
  <c r="K4117" i="34"/>
  <c r="C4117" i="34"/>
  <c r="B4117" i="34" s="1"/>
  <c r="X4116" i="34"/>
  <c r="W4116" i="34"/>
  <c r="V4116" i="34"/>
  <c r="T4116" i="34"/>
  <c r="S4116" i="34"/>
  <c r="R4116" i="34"/>
  <c r="N4116" i="34"/>
  <c r="K4116" i="34"/>
  <c r="C4116" i="34"/>
  <c r="B4116" i="34" s="1"/>
  <c r="X4115" i="34"/>
  <c r="W4115" i="34"/>
  <c r="V4115" i="34"/>
  <c r="T4115" i="34"/>
  <c r="S4115" i="34"/>
  <c r="R4115" i="34"/>
  <c r="N4115" i="34"/>
  <c r="K4115" i="34"/>
  <c r="C4115" i="34"/>
  <c r="B4115" i="34" s="1"/>
  <c r="Z4115" i="34" s="1"/>
  <c r="Z4243" i="34" l="1"/>
  <c r="U4243" i="34"/>
  <c r="Q4243" i="34"/>
  <c r="P4243" i="34"/>
  <c r="O4243" i="34"/>
  <c r="Z4178" i="34"/>
  <c r="U4178" i="34"/>
  <c r="Q4178" i="34"/>
  <c r="P4178" i="34"/>
  <c r="O4178" i="34"/>
  <c r="P4241" i="34"/>
  <c r="Z4241" i="34"/>
  <c r="U4241" i="34"/>
  <c r="Q4241" i="34"/>
  <c r="Q4242" i="34"/>
  <c r="U4242" i="34"/>
  <c r="Z4242" i="34"/>
  <c r="Z4126" i="34"/>
  <c r="U4126" i="34"/>
  <c r="P4126" i="34"/>
  <c r="O4126" i="34"/>
  <c r="Q4126" i="34"/>
  <c r="A4126" i="34"/>
  <c r="O4124" i="34"/>
  <c r="P4124" i="34"/>
  <c r="A4124" i="34"/>
  <c r="Z4124" i="34"/>
  <c r="U4124" i="34"/>
  <c r="Q4124" i="34"/>
  <c r="O4177" i="34"/>
  <c r="Z4177" i="34"/>
  <c r="U4177" i="34"/>
  <c r="Q4177" i="34"/>
  <c r="P4177" i="34"/>
  <c r="A4177" i="34"/>
  <c r="Z4176" i="34"/>
  <c r="U4176" i="34"/>
  <c r="Q4176" i="34"/>
  <c r="P4176" i="34"/>
  <c r="O4176" i="34"/>
  <c r="A4176" i="34"/>
  <c r="Q4125" i="34"/>
  <c r="O4125" i="34"/>
  <c r="A4241" i="34"/>
  <c r="A4242" i="34"/>
  <c r="A4243" i="34"/>
  <c r="O4241" i="34"/>
  <c r="O4242" i="34"/>
  <c r="U4125" i="34"/>
  <c r="A4125" i="34"/>
  <c r="Z4125" i="34"/>
  <c r="A4178" i="34"/>
  <c r="P4125" i="34"/>
  <c r="P4116" i="34"/>
  <c r="Z4116" i="34"/>
  <c r="U4116" i="34"/>
  <c r="Q4116" i="34"/>
  <c r="A4116" i="34"/>
  <c r="A4120" i="34"/>
  <c r="Z4120" i="34"/>
  <c r="P4117" i="34"/>
  <c r="O4117" i="34"/>
  <c r="Z4117" i="34"/>
  <c r="A4117" i="34"/>
  <c r="U4117" i="34"/>
  <c r="Q4117" i="34"/>
  <c r="P4121" i="34"/>
  <c r="O4121" i="34"/>
  <c r="Z4121" i="34"/>
  <c r="A4121" i="34"/>
  <c r="U4121" i="34"/>
  <c r="Q4121" i="34"/>
  <c r="O4118" i="34"/>
  <c r="Z4118" i="34"/>
  <c r="A4118" i="34"/>
  <c r="U4118" i="34"/>
  <c r="Q4118" i="34"/>
  <c r="P4118" i="34"/>
  <c r="O4122" i="34"/>
  <c r="Z4122" i="34"/>
  <c r="A4122" i="34"/>
  <c r="U4122" i="34"/>
  <c r="Q4122" i="34"/>
  <c r="P4122" i="34"/>
  <c r="A4123" i="34"/>
  <c r="O4123" i="34"/>
  <c r="O4115" i="34"/>
  <c r="O4119" i="34"/>
  <c r="P4115" i="34"/>
  <c r="O4116" i="34"/>
  <c r="P4119" i="34"/>
  <c r="O4120" i="34"/>
  <c r="P4123" i="34"/>
  <c r="Q4119" i="34"/>
  <c r="U4119" i="34"/>
  <c r="P4120" i="34"/>
  <c r="Q4123" i="34"/>
  <c r="U4123" i="34"/>
  <c r="Q4115" i="34"/>
  <c r="U4115" i="34"/>
  <c r="A4115" i="34"/>
  <c r="A4119" i="34"/>
  <c r="Q4120" i="34"/>
  <c r="I3967" i="34"/>
  <c r="K3967" i="34" s="1"/>
  <c r="X3970" i="34"/>
  <c r="W3970" i="34"/>
  <c r="V3970" i="34"/>
  <c r="T3970" i="34"/>
  <c r="S3970" i="34"/>
  <c r="R3970" i="34"/>
  <c r="N3970" i="34"/>
  <c r="C3970" i="34"/>
  <c r="B3970" i="34" s="1"/>
  <c r="Z3970" i="34" s="1"/>
  <c r="AC3969" i="34"/>
  <c r="X3969" i="34"/>
  <c r="W3969" i="34"/>
  <c r="V3969" i="34"/>
  <c r="T3969" i="34"/>
  <c r="S3969" i="34"/>
  <c r="R3969" i="34"/>
  <c r="N3969" i="34"/>
  <c r="K3969" i="34"/>
  <c r="C3969" i="34"/>
  <c r="B3969" i="34" s="1"/>
  <c r="P3969" i="34" s="1"/>
  <c r="AC3968" i="34"/>
  <c r="X3968" i="34"/>
  <c r="W3968" i="34"/>
  <c r="V3968" i="34"/>
  <c r="T3968" i="34"/>
  <c r="S3968" i="34"/>
  <c r="R3968" i="34"/>
  <c r="N3968" i="34"/>
  <c r="K3968" i="34"/>
  <c r="C3968" i="34"/>
  <c r="B3968" i="34" s="1"/>
  <c r="O3968" i="34" s="1"/>
  <c r="AC3967" i="34"/>
  <c r="X3967" i="34"/>
  <c r="W3967" i="34"/>
  <c r="V3967" i="34"/>
  <c r="T3967" i="34"/>
  <c r="S3967" i="34"/>
  <c r="R3967" i="34"/>
  <c r="N3967" i="34"/>
  <c r="C3967" i="34"/>
  <c r="B3967" i="34" s="1"/>
  <c r="AC3966" i="34"/>
  <c r="X3966" i="34"/>
  <c r="W3966" i="34"/>
  <c r="V3966" i="34"/>
  <c r="T3966" i="34"/>
  <c r="S3966" i="34"/>
  <c r="R3966" i="34"/>
  <c r="N3966" i="34"/>
  <c r="K3966" i="34"/>
  <c r="C3966" i="34"/>
  <c r="B3966" i="34" s="1"/>
  <c r="Z3966" i="34" s="1"/>
  <c r="AC3965" i="34"/>
  <c r="X3965" i="34"/>
  <c r="W3965" i="34"/>
  <c r="V3965" i="34"/>
  <c r="T3965" i="34"/>
  <c r="S3965" i="34"/>
  <c r="R3965" i="34"/>
  <c r="N3965" i="34"/>
  <c r="K3965" i="34"/>
  <c r="C3965" i="34"/>
  <c r="B3965" i="34" s="1"/>
  <c r="AC3964" i="34"/>
  <c r="X3964" i="34"/>
  <c r="W3964" i="34"/>
  <c r="V3964" i="34"/>
  <c r="T3964" i="34"/>
  <c r="S3964" i="34"/>
  <c r="R3964" i="34"/>
  <c r="N3964" i="34"/>
  <c r="K3964" i="34"/>
  <c r="C3964" i="34"/>
  <c r="B3964" i="34" s="1"/>
  <c r="Z3964" i="34" s="1"/>
  <c r="P3965" i="34" l="1"/>
  <c r="U3965" i="34"/>
  <c r="Q3965" i="34"/>
  <c r="P3967" i="34"/>
  <c r="U3967" i="34"/>
  <c r="Q3967" i="34"/>
  <c r="Q3969" i="34"/>
  <c r="U3969" i="34"/>
  <c r="P3964" i="34"/>
  <c r="A3965" i="34"/>
  <c r="Z3965" i="34"/>
  <c r="P3966" i="34"/>
  <c r="A3967" i="34"/>
  <c r="Z3967" i="34"/>
  <c r="P3968" i="34"/>
  <c r="A3969" i="34"/>
  <c r="Z3969" i="34"/>
  <c r="A3970" i="34"/>
  <c r="O3970" i="34"/>
  <c r="Q3966" i="34"/>
  <c r="U3966" i="34"/>
  <c r="O3967" i="34"/>
  <c r="P3970" i="34"/>
  <c r="O3964" i="34"/>
  <c r="O3966" i="34"/>
  <c r="Q3964" i="34"/>
  <c r="U3964" i="34"/>
  <c r="O3965" i="34"/>
  <c r="Q3968" i="34"/>
  <c r="U3968" i="34"/>
  <c r="O3969" i="34"/>
  <c r="A3964" i="34"/>
  <c r="A3966" i="34"/>
  <c r="A3968" i="34"/>
  <c r="Z3968" i="34"/>
  <c r="Q3970" i="34"/>
  <c r="U3970" i="34"/>
  <c r="I3979" i="34"/>
  <c r="K3979" i="34" s="1"/>
  <c r="X3980" i="34"/>
  <c r="W3980" i="34"/>
  <c r="V3980" i="34"/>
  <c r="T3980" i="34"/>
  <c r="S3980" i="34"/>
  <c r="R3980" i="34"/>
  <c r="N3980" i="34"/>
  <c r="C3980" i="34"/>
  <c r="B3980" i="34" s="1"/>
  <c r="Z3980" i="34" s="1"/>
  <c r="AC3979" i="34"/>
  <c r="X3979" i="34"/>
  <c r="W3979" i="34"/>
  <c r="V3979" i="34"/>
  <c r="T3979" i="34"/>
  <c r="S3979" i="34"/>
  <c r="R3979" i="34"/>
  <c r="N3979" i="34"/>
  <c r="C3979" i="34"/>
  <c r="B3979" i="34" s="1"/>
  <c r="O3979" i="34" s="1"/>
  <c r="P3979" i="34" l="1"/>
  <c r="A3980" i="34"/>
  <c r="O3980" i="34"/>
  <c r="A3979" i="34"/>
  <c r="Q3979" i="34"/>
  <c r="U3979" i="34"/>
  <c r="P3980" i="34"/>
  <c r="Z3979" i="34"/>
  <c r="Q3980" i="34"/>
  <c r="U3980" i="34"/>
  <c r="AC3999" i="34" l="1"/>
  <c r="AC4000" i="34"/>
  <c r="AC4001" i="34"/>
  <c r="AC4002" i="34"/>
  <c r="AC4003" i="34"/>
  <c r="AC3998" i="34"/>
  <c r="AC3993" i="34"/>
  <c r="AC3994" i="34"/>
  <c r="AC3995" i="34"/>
  <c r="AC3996" i="34"/>
  <c r="AC3992" i="34"/>
  <c r="AC3991" i="34"/>
  <c r="AC3989" i="34"/>
  <c r="AC3988" i="34"/>
  <c r="I3989" i="34"/>
  <c r="I3986" i="34"/>
  <c r="AC3984" i="34"/>
  <c r="AC3985" i="34"/>
  <c r="AC3986" i="34"/>
  <c r="AC3983" i="34"/>
  <c r="AC3981" i="34"/>
  <c r="AC3973" i="34"/>
  <c r="AC3974" i="34"/>
  <c r="AC3975" i="34"/>
  <c r="AC3976" i="34"/>
  <c r="AC3977" i="34"/>
  <c r="AC3972" i="34"/>
  <c r="AC3971" i="34"/>
  <c r="AC3962" i="34"/>
  <c r="AC3961" i="34"/>
  <c r="X3982" i="34"/>
  <c r="W3982" i="34"/>
  <c r="V3982" i="34"/>
  <c r="T3982" i="34"/>
  <c r="S3982" i="34"/>
  <c r="R3982" i="34"/>
  <c r="N3982" i="34"/>
  <c r="X3978" i="34"/>
  <c r="W3978" i="34"/>
  <c r="V3978" i="34"/>
  <c r="T3978" i="34"/>
  <c r="S3978" i="34"/>
  <c r="R3978" i="34"/>
  <c r="N3978" i="34"/>
  <c r="X3986" i="34"/>
  <c r="W3986" i="34"/>
  <c r="V3986" i="34"/>
  <c r="T3986" i="34"/>
  <c r="S3986" i="34"/>
  <c r="R3986" i="34"/>
  <c r="N3986" i="34"/>
  <c r="K3986" i="34"/>
  <c r="C3986" i="34"/>
  <c r="B3986" i="34" s="1"/>
  <c r="X3985" i="34"/>
  <c r="W3985" i="34"/>
  <c r="V3985" i="34"/>
  <c r="T3985" i="34"/>
  <c r="S3985" i="34"/>
  <c r="R3985" i="34"/>
  <c r="N3985" i="34"/>
  <c r="K3985" i="34"/>
  <c r="C3985" i="34"/>
  <c r="B3985" i="34" s="1"/>
  <c r="O3985" i="34" s="1"/>
  <c r="X3984" i="34"/>
  <c r="W3984" i="34"/>
  <c r="V3984" i="34"/>
  <c r="T3984" i="34"/>
  <c r="S3984" i="34"/>
  <c r="R3984" i="34"/>
  <c r="N3984" i="34"/>
  <c r="K3984" i="34"/>
  <c r="C3984" i="34"/>
  <c r="B3984" i="34" s="1"/>
  <c r="P3984" i="34" s="1"/>
  <c r="X3983" i="34"/>
  <c r="W3983" i="34"/>
  <c r="V3983" i="34"/>
  <c r="T3983" i="34"/>
  <c r="S3983" i="34"/>
  <c r="R3983" i="34"/>
  <c r="N3983" i="34"/>
  <c r="K3983" i="34"/>
  <c r="C3983" i="34"/>
  <c r="B3983" i="34" s="1"/>
  <c r="C3982" i="34"/>
  <c r="B3982" i="34" s="1"/>
  <c r="P3982" i="34" s="1"/>
  <c r="X3981" i="34"/>
  <c r="W3981" i="34"/>
  <c r="V3981" i="34"/>
  <c r="T3981" i="34"/>
  <c r="S3981" i="34"/>
  <c r="R3981" i="34"/>
  <c r="N3981" i="34"/>
  <c r="K3981" i="34"/>
  <c r="C3981" i="34"/>
  <c r="B3981" i="34" s="1"/>
  <c r="C3978" i="34"/>
  <c r="B3978" i="34" s="1"/>
  <c r="X3977" i="34"/>
  <c r="W3977" i="34"/>
  <c r="V3977" i="34"/>
  <c r="T3977" i="34"/>
  <c r="S3977" i="34"/>
  <c r="R3977" i="34"/>
  <c r="N3977" i="34"/>
  <c r="K3977" i="34"/>
  <c r="C3977" i="34"/>
  <c r="B3977" i="34" s="1"/>
  <c r="X3976" i="34"/>
  <c r="W3976" i="34"/>
  <c r="V3976" i="34"/>
  <c r="T3976" i="34"/>
  <c r="S3976" i="34"/>
  <c r="R3976" i="34"/>
  <c r="N3976" i="34"/>
  <c r="K3976" i="34"/>
  <c r="C3976" i="34"/>
  <c r="B3976" i="34" s="1"/>
  <c r="X3975" i="34"/>
  <c r="W3975" i="34"/>
  <c r="V3975" i="34"/>
  <c r="T3975" i="34"/>
  <c r="S3975" i="34"/>
  <c r="R3975" i="34"/>
  <c r="N3975" i="34"/>
  <c r="K3975" i="34"/>
  <c r="C3975" i="34"/>
  <c r="B3975" i="34" s="1"/>
  <c r="X3974" i="34"/>
  <c r="W3974" i="34"/>
  <c r="V3974" i="34"/>
  <c r="T3974" i="34"/>
  <c r="S3974" i="34"/>
  <c r="R3974" i="34"/>
  <c r="N3974" i="34"/>
  <c r="K3974" i="34"/>
  <c r="C3974" i="34"/>
  <c r="B3974" i="34" s="1"/>
  <c r="P3974" i="34" s="1"/>
  <c r="X3973" i="34"/>
  <c r="W3973" i="34"/>
  <c r="V3973" i="34"/>
  <c r="T3973" i="34"/>
  <c r="S3973" i="34"/>
  <c r="R3973" i="34"/>
  <c r="N3973" i="34"/>
  <c r="K3973" i="34"/>
  <c r="C3973" i="34"/>
  <c r="B3973" i="34" s="1"/>
  <c r="X3972" i="34"/>
  <c r="W3972" i="34"/>
  <c r="V3972" i="34"/>
  <c r="T3972" i="34"/>
  <c r="S3972" i="34"/>
  <c r="R3972" i="34"/>
  <c r="N3972" i="34"/>
  <c r="K3972" i="34"/>
  <c r="C3972" i="34"/>
  <c r="B3972" i="34" s="1"/>
  <c r="X3971" i="34"/>
  <c r="W3971" i="34"/>
  <c r="V3971" i="34"/>
  <c r="T3971" i="34"/>
  <c r="S3971" i="34"/>
  <c r="R3971" i="34"/>
  <c r="N3971" i="34"/>
  <c r="K3971" i="34"/>
  <c r="C3971" i="34"/>
  <c r="B3971" i="34" s="1"/>
  <c r="X3998" i="34"/>
  <c r="W3998" i="34"/>
  <c r="V3998" i="34"/>
  <c r="T3998" i="34"/>
  <c r="S3998" i="34"/>
  <c r="R3998" i="34"/>
  <c r="N3998" i="34"/>
  <c r="K3998" i="34"/>
  <c r="C3998" i="34"/>
  <c r="B3998" i="34" s="1"/>
  <c r="X3997" i="34"/>
  <c r="W3997" i="34"/>
  <c r="V3997" i="34"/>
  <c r="T3997" i="34"/>
  <c r="S3997" i="34"/>
  <c r="R3997" i="34"/>
  <c r="N3997" i="34"/>
  <c r="C3997" i="34"/>
  <c r="B3997" i="34" s="1"/>
  <c r="X3996" i="34"/>
  <c r="W3996" i="34"/>
  <c r="V3996" i="34"/>
  <c r="T3996" i="34"/>
  <c r="S3996" i="34"/>
  <c r="R3996" i="34"/>
  <c r="N3996" i="34"/>
  <c r="K3996" i="34"/>
  <c r="C3996" i="34"/>
  <c r="B3996" i="34" s="1"/>
  <c r="P3996" i="34" s="1"/>
  <c r="X3995" i="34"/>
  <c r="W3995" i="34"/>
  <c r="V3995" i="34"/>
  <c r="T3995" i="34"/>
  <c r="S3995" i="34"/>
  <c r="R3995" i="34"/>
  <c r="N3995" i="34"/>
  <c r="K3995" i="34"/>
  <c r="C3995" i="34"/>
  <c r="B3995" i="34" s="1"/>
  <c r="X3994" i="34"/>
  <c r="W3994" i="34"/>
  <c r="V3994" i="34"/>
  <c r="T3994" i="34"/>
  <c r="S3994" i="34"/>
  <c r="R3994" i="34"/>
  <c r="N3994" i="34"/>
  <c r="K3994" i="34"/>
  <c r="C3994" i="34"/>
  <c r="B3994" i="34" s="1"/>
  <c r="X3993" i="34"/>
  <c r="W3993" i="34"/>
  <c r="V3993" i="34"/>
  <c r="T3993" i="34"/>
  <c r="S3993" i="34"/>
  <c r="R3993" i="34"/>
  <c r="N3993" i="34"/>
  <c r="K3993" i="34"/>
  <c r="C3993" i="34"/>
  <c r="B3993" i="34" s="1"/>
  <c r="O3993" i="34" s="1"/>
  <c r="X3992" i="34"/>
  <c r="W3992" i="34"/>
  <c r="V3992" i="34"/>
  <c r="T3992" i="34"/>
  <c r="S3992" i="34"/>
  <c r="R3992" i="34"/>
  <c r="N3992" i="34"/>
  <c r="K3992" i="34"/>
  <c r="C3992" i="34"/>
  <c r="B3992" i="34" s="1"/>
  <c r="P3992" i="34" s="1"/>
  <c r="X3991" i="34"/>
  <c r="W3991" i="34"/>
  <c r="V3991" i="34"/>
  <c r="T3991" i="34"/>
  <c r="S3991" i="34"/>
  <c r="R3991" i="34"/>
  <c r="N3991" i="34"/>
  <c r="K3991" i="34"/>
  <c r="C3991" i="34"/>
  <c r="B3991" i="34" s="1"/>
  <c r="X3990" i="34"/>
  <c r="W3990" i="34"/>
  <c r="V3990" i="34"/>
  <c r="T3990" i="34"/>
  <c r="S3990" i="34"/>
  <c r="R3990" i="34"/>
  <c r="N3990" i="34"/>
  <c r="C3990" i="34"/>
  <c r="B3990" i="34" s="1"/>
  <c r="X3989" i="34"/>
  <c r="W3989" i="34"/>
  <c r="V3989" i="34"/>
  <c r="T3989" i="34"/>
  <c r="S3989" i="34"/>
  <c r="R3989" i="34"/>
  <c r="N3989" i="34"/>
  <c r="K3989" i="34"/>
  <c r="C3989" i="34"/>
  <c r="B3989" i="34" s="1"/>
  <c r="X3988" i="34"/>
  <c r="W3988" i="34"/>
  <c r="V3988" i="34"/>
  <c r="T3988" i="34"/>
  <c r="S3988" i="34"/>
  <c r="R3988" i="34"/>
  <c r="N3988" i="34"/>
  <c r="K3988" i="34"/>
  <c r="C3988" i="34"/>
  <c r="B3988" i="34" s="1"/>
  <c r="X3987" i="34"/>
  <c r="W3987" i="34"/>
  <c r="V3987" i="34"/>
  <c r="T3987" i="34"/>
  <c r="S3987" i="34"/>
  <c r="R3987" i="34"/>
  <c r="N3987" i="34"/>
  <c r="C3987" i="34"/>
  <c r="B3987" i="34" s="1"/>
  <c r="X4095" i="34"/>
  <c r="W4095" i="34"/>
  <c r="V4095" i="34"/>
  <c r="T4095" i="34"/>
  <c r="S4095" i="34"/>
  <c r="R4095" i="34"/>
  <c r="N4095" i="34"/>
  <c r="K4095" i="34"/>
  <c r="C4095" i="34"/>
  <c r="B4095" i="34" s="1"/>
  <c r="X4004" i="34"/>
  <c r="W4004" i="34"/>
  <c r="V4004" i="34"/>
  <c r="T4004" i="34"/>
  <c r="S4004" i="34"/>
  <c r="R4004" i="34"/>
  <c r="N4004" i="34"/>
  <c r="C4004" i="34"/>
  <c r="B4004" i="34" s="1"/>
  <c r="O4004" i="34" s="1"/>
  <c r="X4003" i="34"/>
  <c r="W4003" i="34"/>
  <c r="V4003" i="34"/>
  <c r="T4003" i="34"/>
  <c r="S4003" i="34"/>
  <c r="R4003" i="34"/>
  <c r="N4003" i="34"/>
  <c r="K4003" i="34"/>
  <c r="C4003" i="34"/>
  <c r="B4003" i="34" s="1"/>
  <c r="X4002" i="34"/>
  <c r="W4002" i="34"/>
  <c r="V4002" i="34"/>
  <c r="T4002" i="34"/>
  <c r="S4002" i="34"/>
  <c r="R4002" i="34"/>
  <c r="N4002" i="34"/>
  <c r="K4002" i="34"/>
  <c r="C4002" i="34"/>
  <c r="B4002" i="34" s="1"/>
  <c r="U4002" i="34" s="1"/>
  <c r="X4001" i="34"/>
  <c r="W4001" i="34"/>
  <c r="V4001" i="34"/>
  <c r="T4001" i="34"/>
  <c r="S4001" i="34"/>
  <c r="R4001" i="34"/>
  <c r="N4001" i="34"/>
  <c r="K4001" i="34"/>
  <c r="C4001" i="34"/>
  <c r="B4001" i="34" s="1"/>
  <c r="X4000" i="34"/>
  <c r="W4000" i="34"/>
  <c r="V4000" i="34"/>
  <c r="T4000" i="34"/>
  <c r="S4000" i="34"/>
  <c r="R4000" i="34"/>
  <c r="N4000" i="34"/>
  <c r="K4000" i="34"/>
  <c r="C4000" i="34"/>
  <c r="B4000" i="34" s="1"/>
  <c r="O4000" i="34" s="1"/>
  <c r="X3999" i="34"/>
  <c r="W3999" i="34"/>
  <c r="V3999" i="34"/>
  <c r="T3999" i="34"/>
  <c r="S3999" i="34"/>
  <c r="R3999" i="34"/>
  <c r="N3999" i="34"/>
  <c r="K3999" i="34"/>
  <c r="C3999" i="34"/>
  <c r="B3999" i="34" s="1"/>
  <c r="X3942" i="34"/>
  <c r="W3942" i="34"/>
  <c r="V3942" i="34"/>
  <c r="T3942" i="34"/>
  <c r="S3942" i="34"/>
  <c r="R3942" i="34"/>
  <c r="N3942" i="34"/>
  <c r="C3942" i="34"/>
  <c r="B3942" i="34" s="1"/>
  <c r="Z3942" i="34" s="1"/>
  <c r="AC3941" i="34"/>
  <c r="X3941" i="34"/>
  <c r="W3941" i="34"/>
  <c r="V3941" i="34"/>
  <c r="T3941" i="34"/>
  <c r="S3941" i="34"/>
  <c r="R3941" i="34"/>
  <c r="N3941" i="34"/>
  <c r="K3941" i="34"/>
  <c r="C3941" i="34"/>
  <c r="B3941" i="34" s="1"/>
  <c r="O3941" i="34" s="1"/>
  <c r="AC3940" i="34"/>
  <c r="X3940" i="34"/>
  <c r="W3940" i="34"/>
  <c r="V3940" i="34"/>
  <c r="T3940" i="34"/>
  <c r="S3940" i="34"/>
  <c r="R3940" i="34"/>
  <c r="N3940" i="34"/>
  <c r="K3940" i="34"/>
  <c r="C3940" i="34"/>
  <c r="B3940" i="34" s="1"/>
  <c r="P3940" i="34" s="1"/>
  <c r="AC3939" i="34"/>
  <c r="X3939" i="34"/>
  <c r="W3939" i="34"/>
  <c r="V3939" i="34"/>
  <c r="T3939" i="34"/>
  <c r="S3939" i="34"/>
  <c r="R3939" i="34"/>
  <c r="N3939" i="34"/>
  <c r="K3939" i="34"/>
  <c r="C3939" i="34"/>
  <c r="B3939" i="34" s="1"/>
  <c r="O3939" i="34" s="1"/>
  <c r="AC3938" i="34"/>
  <c r="X3938" i="34"/>
  <c r="W3938" i="34"/>
  <c r="V3938" i="34"/>
  <c r="T3938" i="34"/>
  <c r="S3938" i="34"/>
  <c r="R3938" i="34"/>
  <c r="N3938" i="34"/>
  <c r="K3938" i="34"/>
  <c r="C3938" i="34"/>
  <c r="B3938" i="34" s="1"/>
  <c r="P3938" i="34" s="1"/>
  <c r="AC3932" i="34"/>
  <c r="X3932" i="34"/>
  <c r="W3932" i="34"/>
  <c r="V3932" i="34"/>
  <c r="T3932" i="34"/>
  <c r="S3932" i="34"/>
  <c r="R3932" i="34"/>
  <c r="N3932" i="34"/>
  <c r="K3932" i="34"/>
  <c r="C3932" i="34"/>
  <c r="B3932" i="34" s="1"/>
  <c r="O3932" i="34" s="1"/>
  <c r="AC3931" i="34"/>
  <c r="X3931" i="34"/>
  <c r="W3931" i="34"/>
  <c r="V3931" i="34"/>
  <c r="T3931" i="34"/>
  <c r="S3931" i="34"/>
  <c r="R3931" i="34"/>
  <c r="N3931" i="34"/>
  <c r="K3931" i="34"/>
  <c r="C3931" i="34"/>
  <c r="B3931" i="34" s="1"/>
  <c r="AC3934" i="34"/>
  <c r="X3934" i="34"/>
  <c r="W3934" i="34"/>
  <c r="V3934" i="34"/>
  <c r="T3934" i="34"/>
  <c r="S3934" i="34"/>
  <c r="R3934" i="34"/>
  <c r="N3934" i="34"/>
  <c r="K3934" i="34"/>
  <c r="C3934" i="34"/>
  <c r="B3934" i="34" s="1"/>
  <c r="O3934" i="34" s="1"/>
  <c r="AC3933" i="34"/>
  <c r="X3933" i="34"/>
  <c r="W3933" i="34"/>
  <c r="V3933" i="34"/>
  <c r="T3933" i="34"/>
  <c r="S3933" i="34"/>
  <c r="R3933" i="34"/>
  <c r="N3933" i="34"/>
  <c r="K3933" i="34"/>
  <c r="C3933" i="34"/>
  <c r="B3933" i="34" s="1"/>
  <c r="P3933" i="34" s="1"/>
  <c r="X3937" i="34"/>
  <c r="W3937" i="34"/>
  <c r="V3937" i="34"/>
  <c r="T3937" i="34"/>
  <c r="S3937" i="34"/>
  <c r="R3937" i="34"/>
  <c r="N3937" i="34"/>
  <c r="C3937" i="34"/>
  <c r="B3937" i="34" s="1"/>
  <c r="Z3937" i="34" s="1"/>
  <c r="AC3936" i="34"/>
  <c r="X3936" i="34"/>
  <c r="W3936" i="34"/>
  <c r="V3936" i="34"/>
  <c r="T3936" i="34"/>
  <c r="S3936" i="34"/>
  <c r="R3936" i="34"/>
  <c r="N3936" i="34"/>
  <c r="K3936" i="34"/>
  <c r="C3936" i="34"/>
  <c r="B3936" i="34" s="1"/>
  <c r="O3936" i="34" s="1"/>
  <c r="AC3935" i="34"/>
  <c r="X3935" i="34"/>
  <c r="W3935" i="34"/>
  <c r="V3935" i="34"/>
  <c r="T3935" i="34"/>
  <c r="S3935" i="34"/>
  <c r="R3935" i="34"/>
  <c r="N3935" i="34"/>
  <c r="K3935" i="34"/>
  <c r="C3935" i="34"/>
  <c r="B3935" i="34" s="1"/>
  <c r="U3935" i="34" s="1"/>
  <c r="X3916" i="34"/>
  <c r="W3916" i="34"/>
  <c r="V3916" i="34"/>
  <c r="T3916" i="34"/>
  <c r="S3916" i="34"/>
  <c r="R3916" i="34"/>
  <c r="N3916" i="34"/>
  <c r="C3916" i="34"/>
  <c r="B3916" i="34" s="1"/>
  <c r="Z3916" i="34" s="1"/>
  <c r="AC3915" i="34"/>
  <c r="X3915" i="34"/>
  <c r="W3915" i="34"/>
  <c r="V3915" i="34"/>
  <c r="T3915" i="34"/>
  <c r="S3915" i="34"/>
  <c r="R3915" i="34"/>
  <c r="N3915" i="34"/>
  <c r="K3915" i="34"/>
  <c r="C3915" i="34"/>
  <c r="B3915" i="34" s="1"/>
  <c r="O3915" i="34" s="1"/>
  <c r="AC3914" i="34"/>
  <c r="X3914" i="34"/>
  <c r="W3914" i="34"/>
  <c r="V3914" i="34"/>
  <c r="T3914" i="34"/>
  <c r="S3914" i="34"/>
  <c r="R3914" i="34"/>
  <c r="N3914" i="34"/>
  <c r="K3914" i="34"/>
  <c r="C3914" i="34"/>
  <c r="B3914" i="34" s="1"/>
  <c r="P3914" i="34" s="1"/>
  <c r="AC3908" i="34"/>
  <c r="X3908" i="34"/>
  <c r="W3908" i="34"/>
  <c r="V3908" i="34"/>
  <c r="T3908" i="34"/>
  <c r="S3908" i="34"/>
  <c r="R3908" i="34"/>
  <c r="N3908" i="34"/>
  <c r="K3908" i="34"/>
  <c r="C3908" i="34"/>
  <c r="B3908" i="34" s="1"/>
  <c r="AC3907" i="34"/>
  <c r="X3907" i="34"/>
  <c r="W3907" i="34"/>
  <c r="V3907" i="34"/>
  <c r="T3907" i="34"/>
  <c r="S3907" i="34"/>
  <c r="R3907" i="34"/>
  <c r="N3907" i="34"/>
  <c r="K3907" i="34"/>
  <c r="C3907" i="34"/>
  <c r="B3907" i="34" s="1"/>
  <c r="AC3906" i="34"/>
  <c r="X3906" i="34"/>
  <c r="W3906" i="34"/>
  <c r="V3906" i="34"/>
  <c r="T3906" i="34"/>
  <c r="S3906" i="34"/>
  <c r="R3906" i="34"/>
  <c r="N3906" i="34"/>
  <c r="K3906" i="34"/>
  <c r="C3906" i="34"/>
  <c r="B3906" i="34" s="1"/>
  <c r="O3906" i="34" s="1"/>
  <c r="AC3905" i="34"/>
  <c r="X3905" i="34"/>
  <c r="W3905" i="34"/>
  <c r="V3905" i="34"/>
  <c r="T3905" i="34"/>
  <c r="S3905" i="34"/>
  <c r="R3905" i="34"/>
  <c r="N3905" i="34"/>
  <c r="K3905" i="34"/>
  <c r="C3905" i="34"/>
  <c r="B3905" i="34" s="1"/>
  <c r="AC3909" i="34"/>
  <c r="AC3910" i="34"/>
  <c r="AC3911" i="34"/>
  <c r="AC3912" i="34"/>
  <c r="X3913" i="34"/>
  <c r="W3913" i="34"/>
  <c r="V3913" i="34"/>
  <c r="T3913" i="34"/>
  <c r="S3913" i="34"/>
  <c r="R3913" i="34"/>
  <c r="N3913" i="34"/>
  <c r="C3913" i="34"/>
  <c r="B3913" i="34" s="1"/>
  <c r="Z3913" i="34" s="1"/>
  <c r="X3912" i="34"/>
  <c r="W3912" i="34"/>
  <c r="V3912" i="34"/>
  <c r="T3912" i="34"/>
  <c r="S3912" i="34"/>
  <c r="R3912" i="34"/>
  <c r="N3912" i="34"/>
  <c r="K3912" i="34"/>
  <c r="C3912" i="34"/>
  <c r="B3912" i="34" s="1"/>
  <c r="X3911" i="34"/>
  <c r="W3911" i="34"/>
  <c r="V3911" i="34"/>
  <c r="T3911" i="34"/>
  <c r="S3911" i="34"/>
  <c r="R3911" i="34"/>
  <c r="N3911" i="34"/>
  <c r="K3911" i="34"/>
  <c r="C3911" i="34"/>
  <c r="B3911" i="34" s="1"/>
  <c r="O3911" i="34" s="1"/>
  <c r="X3910" i="34"/>
  <c r="W3910" i="34"/>
  <c r="V3910" i="34"/>
  <c r="T3910" i="34"/>
  <c r="S3910" i="34"/>
  <c r="R3910" i="34"/>
  <c r="N3910" i="34"/>
  <c r="K3910" i="34"/>
  <c r="C3910" i="34"/>
  <c r="B3910" i="34" s="1"/>
  <c r="X3909" i="34"/>
  <c r="W3909" i="34"/>
  <c r="V3909" i="34"/>
  <c r="T3909" i="34"/>
  <c r="S3909" i="34"/>
  <c r="R3909" i="34"/>
  <c r="N3909" i="34"/>
  <c r="K3909" i="34"/>
  <c r="C3909" i="34"/>
  <c r="B3909" i="34" s="1"/>
  <c r="U3909" i="34" s="1"/>
  <c r="K941" i="34"/>
  <c r="K940" i="34"/>
  <c r="K929" i="34"/>
  <c r="K928" i="34"/>
  <c r="K915" i="34"/>
  <c r="K914" i="34"/>
  <c r="X941" i="34"/>
  <c r="W941" i="34"/>
  <c r="V941" i="34"/>
  <c r="T941" i="34"/>
  <c r="S941" i="34"/>
  <c r="R941" i="34"/>
  <c r="N941" i="34"/>
  <c r="C941" i="34"/>
  <c r="B941" i="34" s="1"/>
  <c r="X940" i="34"/>
  <c r="W940" i="34"/>
  <c r="V940" i="34"/>
  <c r="T940" i="34"/>
  <c r="S940" i="34"/>
  <c r="R940" i="34"/>
  <c r="N940" i="34"/>
  <c r="C940" i="34"/>
  <c r="B940" i="34" s="1"/>
  <c r="O940" i="34" s="1"/>
  <c r="X929" i="34"/>
  <c r="W929" i="34"/>
  <c r="V929" i="34"/>
  <c r="T929" i="34"/>
  <c r="S929" i="34"/>
  <c r="R929" i="34"/>
  <c r="N929" i="34"/>
  <c r="C929" i="34"/>
  <c r="B929" i="34" s="1"/>
  <c r="X928" i="34"/>
  <c r="W928" i="34"/>
  <c r="V928" i="34"/>
  <c r="T928" i="34"/>
  <c r="S928" i="34"/>
  <c r="R928" i="34"/>
  <c r="N928" i="34"/>
  <c r="C928" i="34"/>
  <c r="B928" i="34" s="1"/>
  <c r="X915" i="34"/>
  <c r="W915" i="34"/>
  <c r="V915" i="34"/>
  <c r="T915" i="34"/>
  <c r="S915" i="34"/>
  <c r="R915" i="34"/>
  <c r="N915" i="34"/>
  <c r="C915" i="34"/>
  <c r="B915" i="34" s="1"/>
  <c r="X914" i="34"/>
  <c r="W914" i="34"/>
  <c r="V914" i="34"/>
  <c r="T914" i="34"/>
  <c r="S914" i="34"/>
  <c r="R914" i="34"/>
  <c r="N914" i="34"/>
  <c r="C914" i="34"/>
  <c r="B914" i="34" s="1"/>
  <c r="K937" i="34"/>
  <c r="K936" i="34"/>
  <c r="K927" i="34"/>
  <c r="K926" i="34"/>
  <c r="K913" i="34"/>
  <c r="K912" i="34"/>
  <c r="X937" i="34"/>
  <c r="W937" i="34"/>
  <c r="V937" i="34"/>
  <c r="T937" i="34"/>
  <c r="S937" i="34"/>
  <c r="R937" i="34"/>
  <c r="N937" i="34"/>
  <c r="C937" i="34"/>
  <c r="B937" i="34" s="1"/>
  <c r="X936" i="34"/>
  <c r="W936" i="34"/>
  <c r="V936" i="34"/>
  <c r="T936" i="34"/>
  <c r="S936" i="34"/>
  <c r="R936" i="34"/>
  <c r="N936" i="34"/>
  <c r="C936" i="34"/>
  <c r="B936" i="34" s="1"/>
  <c r="O936" i="34" s="1"/>
  <c r="X927" i="34"/>
  <c r="W927" i="34"/>
  <c r="V927" i="34"/>
  <c r="T927" i="34"/>
  <c r="S927" i="34"/>
  <c r="R927" i="34"/>
  <c r="N927" i="34"/>
  <c r="C927" i="34"/>
  <c r="B927" i="34" s="1"/>
  <c r="X926" i="34"/>
  <c r="W926" i="34"/>
  <c r="V926" i="34"/>
  <c r="T926" i="34"/>
  <c r="S926" i="34"/>
  <c r="R926" i="34"/>
  <c r="N926" i="34"/>
  <c r="C926" i="34"/>
  <c r="B926" i="34" s="1"/>
  <c r="O926" i="34" s="1"/>
  <c r="X913" i="34"/>
  <c r="W913" i="34"/>
  <c r="V913" i="34"/>
  <c r="T913" i="34"/>
  <c r="S913" i="34"/>
  <c r="R913" i="34"/>
  <c r="N913" i="34"/>
  <c r="C913" i="34"/>
  <c r="B913" i="34" s="1"/>
  <c r="X912" i="34"/>
  <c r="W912" i="34"/>
  <c r="V912" i="34"/>
  <c r="T912" i="34"/>
  <c r="S912" i="34"/>
  <c r="R912" i="34"/>
  <c r="N912" i="34"/>
  <c r="C912" i="34"/>
  <c r="B912" i="34" s="1"/>
  <c r="O912" i="34" s="1"/>
  <c r="K944" i="34"/>
  <c r="K934" i="34"/>
  <c r="X945" i="34"/>
  <c r="W945" i="34"/>
  <c r="V945" i="34"/>
  <c r="T945" i="34"/>
  <c r="S945" i="34"/>
  <c r="R945" i="34"/>
  <c r="N945" i="34"/>
  <c r="C945" i="34"/>
  <c r="B945" i="34" s="1"/>
  <c r="Z945" i="34" s="1"/>
  <c r="X944" i="34"/>
  <c r="W944" i="34"/>
  <c r="V944" i="34"/>
  <c r="T944" i="34"/>
  <c r="S944" i="34"/>
  <c r="R944" i="34"/>
  <c r="N944" i="34"/>
  <c r="C944" i="34"/>
  <c r="B944" i="34" s="1"/>
  <c r="X935" i="34"/>
  <c r="W935" i="34"/>
  <c r="V935" i="34"/>
  <c r="T935" i="34"/>
  <c r="S935" i="34"/>
  <c r="R935" i="34"/>
  <c r="N935" i="34"/>
  <c r="C935" i="34"/>
  <c r="B935" i="34" s="1"/>
  <c r="Z935" i="34" s="1"/>
  <c r="X934" i="34"/>
  <c r="W934" i="34"/>
  <c r="V934" i="34"/>
  <c r="T934" i="34"/>
  <c r="S934" i="34"/>
  <c r="R934" i="34"/>
  <c r="N934" i="34"/>
  <c r="C934" i="34"/>
  <c r="B934" i="34" s="1"/>
  <c r="N12" i="34"/>
  <c r="R12" i="34"/>
  <c r="S12" i="34"/>
  <c r="T12" i="34"/>
  <c r="V12" i="34"/>
  <c r="W12" i="34"/>
  <c r="X12" i="34"/>
  <c r="N13" i="34"/>
  <c r="R13" i="34"/>
  <c r="S13" i="34"/>
  <c r="T13" i="34"/>
  <c r="V13" i="34"/>
  <c r="W13" i="34"/>
  <c r="X13" i="34"/>
  <c r="N14" i="34"/>
  <c r="R14" i="34"/>
  <c r="S14" i="34"/>
  <c r="T14" i="34"/>
  <c r="V14" i="34"/>
  <c r="W14" i="34"/>
  <c r="X14" i="34"/>
  <c r="N15" i="34"/>
  <c r="R15" i="34"/>
  <c r="S15" i="34"/>
  <c r="T15" i="34"/>
  <c r="V15" i="34"/>
  <c r="W15" i="34"/>
  <c r="X15" i="34"/>
  <c r="N16" i="34"/>
  <c r="R16" i="34"/>
  <c r="S16" i="34"/>
  <c r="T16" i="34"/>
  <c r="V16" i="34"/>
  <c r="W16" i="34"/>
  <c r="X16" i="34"/>
  <c r="N17" i="34"/>
  <c r="R17" i="34"/>
  <c r="S17" i="34"/>
  <c r="T17" i="34"/>
  <c r="V17" i="34"/>
  <c r="W17" i="34"/>
  <c r="X17" i="34"/>
  <c r="N18" i="34"/>
  <c r="R18" i="34"/>
  <c r="S18" i="34"/>
  <c r="T18" i="34"/>
  <c r="V18" i="34"/>
  <c r="W18" i="34"/>
  <c r="X18" i="34"/>
  <c r="N19" i="34"/>
  <c r="R19" i="34"/>
  <c r="S19" i="34"/>
  <c r="T19" i="34"/>
  <c r="V19" i="34"/>
  <c r="W19" i="34"/>
  <c r="X19" i="34"/>
  <c r="N20" i="34"/>
  <c r="R20" i="34"/>
  <c r="S20" i="34"/>
  <c r="T20" i="34"/>
  <c r="V20" i="34"/>
  <c r="W20" i="34"/>
  <c r="X20" i="34"/>
  <c r="N21" i="34"/>
  <c r="R21" i="34"/>
  <c r="S21" i="34"/>
  <c r="T21" i="34"/>
  <c r="V21" i="34"/>
  <c r="W21" i="34"/>
  <c r="X21" i="34"/>
  <c r="N22" i="34"/>
  <c r="R22" i="34"/>
  <c r="S22" i="34"/>
  <c r="T22" i="34"/>
  <c r="V22" i="34"/>
  <c r="W22" i="34"/>
  <c r="X22" i="34"/>
  <c r="N23" i="34"/>
  <c r="R23" i="34"/>
  <c r="S23" i="34"/>
  <c r="T23" i="34"/>
  <c r="V23" i="34"/>
  <c r="W23" i="34"/>
  <c r="X23" i="34"/>
  <c r="N24" i="34"/>
  <c r="R24" i="34"/>
  <c r="S24" i="34"/>
  <c r="T24" i="34"/>
  <c r="V24" i="34"/>
  <c r="W24" i="34"/>
  <c r="X24" i="34"/>
  <c r="N25" i="34"/>
  <c r="R25" i="34"/>
  <c r="S25" i="34"/>
  <c r="T25" i="34"/>
  <c r="V25" i="34"/>
  <c r="W25" i="34"/>
  <c r="X25" i="34"/>
  <c r="N26" i="34"/>
  <c r="R26" i="34"/>
  <c r="S26" i="34"/>
  <c r="T26" i="34"/>
  <c r="V26" i="34"/>
  <c r="W26" i="34"/>
  <c r="X26" i="34"/>
  <c r="N27" i="34"/>
  <c r="R27" i="34"/>
  <c r="S27" i="34"/>
  <c r="T27" i="34"/>
  <c r="V27" i="34"/>
  <c r="W27" i="34"/>
  <c r="X27" i="34"/>
  <c r="N28" i="34"/>
  <c r="R28" i="34"/>
  <c r="S28" i="34"/>
  <c r="T28" i="34"/>
  <c r="V28" i="34"/>
  <c r="W28" i="34"/>
  <c r="X28" i="34"/>
  <c r="N29" i="34"/>
  <c r="R29" i="34"/>
  <c r="S29" i="34"/>
  <c r="T29" i="34"/>
  <c r="V29" i="34"/>
  <c r="W29" i="34"/>
  <c r="X29" i="34"/>
  <c r="N30" i="34"/>
  <c r="R30" i="34"/>
  <c r="S30" i="34"/>
  <c r="T30" i="34"/>
  <c r="V30" i="34"/>
  <c r="W30" i="34"/>
  <c r="X30" i="34"/>
  <c r="N31" i="34"/>
  <c r="R31" i="34"/>
  <c r="S31" i="34"/>
  <c r="T31" i="34"/>
  <c r="V31" i="34"/>
  <c r="W31" i="34"/>
  <c r="X31" i="34"/>
  <c r="N32" i="34"/>
  <c r="R32" i="34"/>
  <c r="S32" i="34"/>
  <c r="T32" i="34"/>
  <c r="V32" i="34"/>
  <c r="W32" i="34"/>
  <c r="X32" i="34"/>
  <c r="N33" i="34"/>
  <c r="R33" i="34"/>
  <c r="S33" i="34"/>
  <c r="T33" i="34"/>
  <c r="V33" i="34"/>
  <c r="W33" i="34"/>
  <c r="X33" i="34"/>
  <c r="N34" i="34"/>
  <c r="R34" i="34"/>
  <c r="S34" i="34"/>
  <c r="T34" i="34"/>
  <c r="V34" i="34"/>
  <c r="W34" i="34"/>
  <c r="X34" i="34"/>
  <c r="N35" i="34"/>
  <c r="R35" i="34"/>
  <c r="S35" i="34"/>
  <c r="T35" i="34"/>
  <c r="V35" i="34"/>
  <c r="W35" i="34"/>
  <c r="X35" i="34"/>
  <c r="N36" i="34"/>
  <c r="R36" i="34"/>
  <c r="S36" i="34"/>
  <c r="T36" i="34"/>
  <c r="V36" i="34"/>
  <c r="W36" i="34"/>
  <c r="X36" i="34"/>
  <c r="N37" i="34"/>
  <c r="R37" i="34"/>
  <c r="S37" i="34"/>
  <c r="T37" i="34"/>
  <c r="V37" i="34"/>
  <c r="W37" i="34"/>
  <c r="X37" i="34"/>
  <c r="N38" i="34"/>
  <c r="R38" i="34"/>
  <c r="S38" i="34"/>
  <c r="T38" i="34"/>
  <c r="V38" i="34"/>
  <c r="W38" i="34"/>
  <c r="X38" i="34"/>
  <c r="N39" i="34"/>
  <c r="R39" i="34"/>
  <c r="S39" i="34"/>
  <c r="T39" i="34"/>
  <c r="V39" i="34"/>
  <c r="W39" i="34"/>
  <c r="X39" i="34"/>
  <c r="N40" i="34"/>
  <c r="R40" i="34"/>
  <c r="S40" i="34"/>
  <c r="T40" i="34"/>
  <c r="V40" i="34"/>
  <c r="W40" i="34"/>
  <c r="X40" i="34"/>
  <c r="N41" i="34"/>
  <c r="R41" i="34"/>
  <c r="S41" i="34"/>
  <c r="T41" i="34"/>
  <c r="V41" i="34"/>
  <c r="W41" i="34"/>
  <c r="X41" i="34"/>
  <c r="N42" i="34"/>
  <c r="R42" i="34"/>
  <c r="S42" i="34"/>
  <c r="T42" i="34"/>
  <c r="V42" i="34"/>
  <c r="W42" i="34"/>
  <c r="X42" i="34"/>
  <c r="N43" i="34"/>
  <c r="R43" i="34"/>
  <c r="S43" i="34"/>
  <c r="T43" i="34"/>
  <c r="V43" i="34"/>
  <c r="W43" i="34"/>
  <c r="X43" i="34"/>
  <c r="N44" i="34"/>
  <c r="R44" i="34"/>
  <c r="S44" i="34"/>
  <c r="T44" i="34"/>
  <c r="V44" i="34"/>
  <c r="W44" i="34"/>
  <c r="X44" i="34"/>
  <c r="N45" i="34"/>
  <c r="R45" i="34"/>
  <c r="S45" i="34"/>
  <c r="T45" i="34"/>
  <c r="V45" i="34"/>
  <c r="W45" i="34"/>
  <c r="X45" i="34"/>
  <c r="N46" i="34"/>
  <c r="R46" i="34"/>
  <c r="S46" i="34"/>
  <c r="T46" i="34"/>
  <c r="V46" i="34"/>
  <c r="W46" i="34"/>
  <c r="X46" i="34"/>
  <c r="N47" i="34"/>
  <c r="R47" i="34"/>
  <c r="S47" i="34"/>
  <c r="T47" i="34"/>
  <c r="V47" i="34"/>
  <c r="W47" i="34"/>
  <c r="X47" i="34"/>
  <c r="N48" i="34"/>
  <c r="R48" i="34"/>
  <c r="S48" i="34"/>
  <c r="T48" i="34"/>
  <c r="V48" i="34"/>
  <c r="W48" i="34"/>
  <c r="X48" i="34"/>
  <c r="N49" i="34"/>
  <c r="R49" i="34"/>
  <c r="S49" i="34"/>
  <c r="T49" i="34"/>
  <c r="V49" i="34"/>
  <c r="W49" i="34"/>
  <c r="X49" i="34"/>
  <c r="N50" i="34"/>
  <c r="R50" i="34"/>
  <c r="S50" i="34"/>
  <c r="T50" i="34"/>
  <c r="V50" i="34"/>
  <c r="W50" i="34"/>
  <c r="X50" i="34"/>
  <c r="N51" i="34"/>
  <c r="R51" i="34"/>
  <c r="S51" i="34"/>
  <c r="T51" i="34"/>
  <c r="V51" i="34"/>
  <c r="W51" i="34"/>
  <c r="X51" i="34"/>
  <c r="N52" i="34"/>
  <c r="R52" i="34"/>
  <c r="S52" i="34"/>
  <c r="T52" i="34"/>
  <c r="V52" i="34"/>
  <c r="W52" i="34"/>
  <c r="X52" i="34"/>
  <c r="N53" i="34"/>
  <c r="R53" i="34"/>
  <c r="S53" i="34"/>
  <c r="T53" i="34"/>
  <c r="V53" i="34"/>
  <c r="W53" i="34"/>
  <c r="X53" i="34"/>
  <c r="N54" i="34"/>
  <c r="R54" i="34"/>
  <c r="S54" i="34"/>
  <c r="T54" i="34"/>
  <c r="V54" i="34"/>
  <c r="W54" i="34"/>
  <c r="X54" i="34"/>
  <c r="N55" i="34"/>
  <c r="R55" i="34"/>
  <c r="S55" i="34"/>
  <c r="T55" i="34"/>
  <c r="V55" i="34"/>
  <c r="W55" i="34"/>
  <c r="X55" i="34"/>
  <c r="N56" i="34"/>
  <c r="R56" i="34"/>
  <c r="S56" i="34"/>
  <c r="T56" i="34"/>
  <c r="V56" i="34"/>
  <c r="W56" i="34"/>
  <c r="X56" i="34"/>
  <c r="N57" i="34"/>
  <c r="R57" i="34"/>
  <c r="S57" i="34"/>
  <c r="T57" i="34"/>
  <c r="V57" i="34"/>
  <c r="W57" i="34"/>
  <c r="X57" i="34"/>
  <c r="N58" i="34"/>
  <c r="R58" i="34"/>
  <c r="S58" i="34"/>
  <c r="T58" i="34"/>
  <c r="V58" i="34"/>
  <c r="W58" i="34"/>
  <c r="X58" i="34"/>
  <c r="N59" i="34"/>
  <c r="R59" i="34"/>
  <c r="S59" i="34"/>
  <c r="T59" i="34"/>
  <c r="V59" i="34"/>
  <c r="W59" i="34"/>
  <c r="X59" i="34"/>
  <c r="N60" i="34"/>
  <c r="R60" i="34"/>
  <c r="S60" i="34"/>
  <c r="T60" i="34"/>
  <c r="V60" i="34"/>
  <c r="W60" i="34"/>
  <c r="X60" i="34"/>
  <c r="N61" i="34"/>
  <c r="R61" i="34"/>
  <c r="S61" i="34"/>
  <c r="T61" i="34"/>
  <c r="V61" i="34"/>
  <c r="W61" i="34"/>
  <c r="X61" i="34"/>
  <c r="N62" i="34"/>
  <c r="R62" i="34"/>
  <c r="S62" i="34"/>
  <c r="T62" i="34"/>
  <c r="V62" i="34"/>
  <c r="W62" i="34"/>
  <c r="X62" i="34"/>
  <c r="N63" i="34"/>
  <c r="R63" i="34"/>
  <c r="S63" i="34"/>
  <c r="T63" i="34"/>
  <c r="V63" i="34"/>
  <c r="W63" i="34"/>
  <c r="X63" i="34"/>
  <c r="N64" i="34"/>
  <c r="R64" i="34"/>
  <c r="S64" i="34"/>
  <c r="T64" i="34"/>
  <c r="V64" i="34"/>
  <c r="W64" i="34"/>
  <c r="X64" i="34"/>
  <c r="N65" i="34"/>
  <c r="R65" i="34"/>
  <c r="S65" i="34"/>
  <c r="T65" i="34"/>
  <c r="V65" i="34"/>
  <c r="W65" i="34"/>
  <c r="X65" i="34"/>
  <c r="N66" i="34"/>
  <c r="R66" i="34"/>
  <c r="S66" i="34"/>
  <c r="T66" i="34"/>
  <c r="V66" i="34"/>
  <c r="W66" i="34"/>
  <c r="X66" i="34"/>
  <c r="N67" i="34"/>
  <c r="R67" i="34"/>
  <c r="S67" i="34"/>
  <c r="T67" i="34"/>
  <c r="V67" i="34"/>
  <c r="W67" i="34"/>
  <c r="X67" i="34"/>
  <c r="N68" i="34"/>
  <c r="R68" i="34"/>
  <c r="S68" i="34"/>
  <c r="T68" i="34"/>
  <c r="V68" i="34"/>
  <c r="W68" i="34"/>
  <c r="X68" i="34"/>
  <c r="N69" i="34"/>
  <c r="R69" i="34"/>
  <c r="S69" i="34"/>
  <c r="T69" i="34"/>
  <c r="V69" i="34"/>
  <c r="W69" i="34"/>
  <c r="X69" i="34"/>
  <c r="N70" i="34"/>
  <c r="R70" i="34"/>
  <c r="S70" i="34"/>
  <c r="T70" i="34"/>
  <c r="V70" i="34"/>
  <c r="W70" i="34"/>
  <c r="X70" i="34"/>
  <c r="N71" i="34"/>
  <c r="R71" i="34"/>
  <c r="S71" i="34"/>
  <c r="T71" i="34"/>
  <c r="V71" i="34"/>
  <c r="W71" i="34"/>
  <c r="X71" i="34"/>
  <c r="N72" i="34"/>
  <c r="R72" i="34"/>
  <c r="S72" i="34"/>
  <c r="T72" i="34"/>
  <c r="V72" i="34"/>
  <c r="W72" i="34"/>
  <c r="X72" i="34"/>
  <c r="N73" i="34"/>
  <c r="R73" i="34"/>
  <c r="S73" i="34"/>
  <c r="T73" i="34"/>
  <c r="V73" i="34"/>
  <c r="W73" i="34"/>
  <c r="X73" i="34"/>
  <c r="N74" i="34"/>
  <c r="R74" i="34"/>
  <c r="S74" i="34"/>
  <c r="T74" i="34"/>
  <c r="V74" i="34"/>
  <c r="W74" i="34"/>
  <c r="X74" i="34"/>
  <c r="N75" i="34"/>
  <c r="R75" i="34"/>
  <c r="S75" i="34"/>
  <c r="T75" i="34"/>
  <c r="V75" i="34"/>
  <c r="W75" i="34"/>
  <c r="X75" i="34"/>
  <c r="N76" i="34"/>
  <c r="R76" i="34"/>
  <c r="S76" i="34"/>
  <c r="T76" i="34"/>
  <c r="V76" i="34"/>
  <c r="W76" i="34"/>
  <c r="X76" i="34"/>
  <c r="N77" i="34"/>
  <c r="R77" i="34"/>
  <c r="S77" i="34"/>
  <c r="T77" i="34"/>
  <c r="V77" i="34"/>
  <c r="W77" i="34"/>
  <c r="X77" i="34"/>
  <c r="N78" i="34"/>
  <c r="R78" i="34"/>
  <c r="S78" i="34"/>
  <c r="T78" i="34"/>
  <c r="V78" i="34"/>
  <c r="W78" i="34"/>
  <c r="X78" i="34"/>
  <c r="N79" i="34"/>
  <c r="R79" i="34"/>
  <c r="S79" i="34"/>
  <c r="T79" i="34"/>
  <c r="V79" i="34"/>
  <c r="W79" i="34"/>
  <c r="X79" i="34"/>
  <c r="N80" i="34"/>
  <c r="R80" i="34"/>
  <c r="S80" i="34"/>
  <c r="T80" i="34"/>
  <c r="V80" i="34"/>
  <c r="W80" i="34"/>
  <c r="X80" i="34"/>
  <c r="N81" i="34"/>
  <c r="R81" i="34"/>
  <c r="S81" i="34"/>
  <c r="T81" i="34"/>
  <c r="V81" i="34"/>
  <c r="W81" i="34"/>
  <c r="X81" i="34"/>
  <c r="N82" i="34"/>
  <c r="R82" i="34"/>
  <c r="S82" i="34"/>
  <c r="T82" i="34"/>
  <c r="V82" i="34"/>
  <c r="W82" i="34"/>
  <c r="X82" i="34"/>
  <c r="N83" i="34"/>
  <c r="R83" i="34"/>
  <c r="S83" i="34"/>
  <c r="T83" i="34"/>
  <c r="V83" i="34"/>
  <c r="W83" i="34"/>
  <c r="X83" i="34"/>
  <c r="N84" i="34"/>
  <c r="R84" i="34"/>
  <c r="S84" i="34"/>
  <c r="T84" i="34"/>
  <c r="V84" i="34"/>
  <c r="W84" i="34"/>
  <c r="X84" i="34"/>
  <c r="N85" i="34"/>
  <c r="R85" i="34"/>
  <c r="S85" i="34"/>
  <c r="T85" i="34"/>
  <c r="V85" i="34"/>
  <c r="W85" i="34"/>
  <c r="X85" i="34"/>
  <c r="N86" i="34"/>
  <c r="R86" i="34"/>
  <c r="S86" i="34"/>
  <c r="T86" i="34"/>
  <c r="V86" i="34"/>
  <c r="W86" i="34"/>
  <c r="X86" i="34"/>
  <c r="N87" i="34"/>
  <c r="R87" i="34"/>
  <c r="S87" i="34"/>
  <c r="T87" i="34"/>
  <c r="V87" i="34"/>
  <c r="W87" i="34"/>
  <c r="X87" i="34"/>
  <c r="N88" i="34"/>
  <c r="R88" i="34"/>
  <c r="S88" i="34"/>
  <c r="T88" i="34"/>
  <c r="V88" i="34"/>
  <c r="W88" i="34"/>
  <c r="X88" i="34"/>
  <c r="N89" i="34"/>
  <c r="R89" i="34"/>
  <c r="S89" i="34"/>
  <c r="T89" i="34"/>
  <c r="V89" i="34"/>
  <c r="W89" i="34"/>
  <c r="X89" i="34"/>
  <c r="N90" i="34"/>
  <c r="R90" i="34"/>
  <c r="S90" i="34"/>
  <c r="T90" i="34"/>
  <c r="V90" i="34"/>
  <c r="W90" i="34"/>
  <c r="X90" i="34"/>
  <c r="N91" i="34"/>
  <c r="R91" i="34"/>
  <c r="S91" i="34"/>
  <c r="T91" i="34"/>
  <c r="V91" i="34"/>
  <c r="W91" i="34"/>
  <c r="X91" i="34"/>
  <c r="N92" i="34"/>
  <c r="R92" i="34"/>
  <c r="S92" i="34"/>
  <c r="T92" i="34"/>
  <c r="V92" i="34"/>
  <c r="W92" i="34"/>
  <c r="X92" i="34"/>
  <c r="N93" i="34"/>
  <c r="R93" i="34"/>
  <c r="S93" i="34"/>
  <c r="T93" i="34"/>
  <c r="V93" i="34"/>
  <c r="W93" i="34"/>
  <c r="X93" i="34"/>
  <c r="N94" i="34"/>
  <c r="R94" i="34"/>
  <c r="S94" i="34"/>
  <c r="T94" i="34"/>
  <c r="V94" i="34"/>
  <c r="W94" i="34"/>
  <c r="X94" i="34"/>
  <c r="N95" i="34"/>
  <c r="R95" i="34"/>
  <c r="S95" i="34"/>
  <c r="T95" i="34"/>
  <c r="V95" i="34"/>
  <c r="W95" i="34"/>
  <c r="X95" i="34"/>
  <c r="N96" i="34"/>
  <c r="R96" i="34"/>
  <c r="S96" i="34"/>
  <c r="T96" i="34"/>
  <c r="V96" i="34"/>
  <c r="W96" i="34"/>
  <c r="X96" i="34"/>
  <c r="N97" i="34"/>
  <c r="R97" i="34"/>
  <c r="S97" i="34"/>
  <c r="T97" i="34"/>
  <c r="V97" i="34"/>
  <c r="W97" i="34"/>
  <c r="X97" i="34"/>
  <c r="N98" i="34"/>
  <c r="R98" i="34"/>
  <c r="S98" i="34"/>
  <c r="T98" i="34"/>
  <c r="V98" i="34"/>
  <c r="W98" i="34"/>
  <c r="X98" i="34"/>
  <c r="N99" i="34"/>
  <c r="R99" i="34"/>
  <c r="S99" i="34"/>
  <c r="T99" i="34"/>
  <c r="V99" i="34"/>
  <c r="W99" i="34"/>
  <c r="X99" i="34"/>
  <c r="N100" i="34"/>
  <c r="R100" i="34"/>
  <c r="S100" i="34"/>
  <c r="T100" i="34"/>
  <c r="V100" i="34"/>
  <c r="W100" i="34"/>
  <c r="X100" i="34"/>
  <c r="N101" i="34"/>
  <c r="R101" i="34"/>
  <c r="S101" i="34"/>
  <c r="T101" i="34"/>
  <c r="V101" i="34"/>
  <c r="W101" i="34"/>
  <c r="X101" i="34"/>
  <c r="N102" i="34"/>
  <c r="R102" i="34"/>
  <c r="S102" i="34"/>
  <c r="T102" i="34"/>
  <c r="V102" i="34"/>
  <c r="W102" i="34"/>
  <c r="X102" i="34"/>
  <c r="N103" i="34"/>
  <c r="R103" i="34"/>
  <c r="S103" i="34"/>
  <c r="T103" i="34"/>
  <c r="V103" i="34"/>
  <c r="W103" i="34"/>
  <c r="X103" i="34"/>
  <c r="N104" i="34"/>
  <c r="R104" i="34"/>
  <c r="S104" i="34"/>
  <c r="T104" i="34"/>
  <c r="V104" i="34"/>
  <c r="W104" i="34"/>
  <c r="X104" i="34"/>
  <c r="N105" i="34"/>
  <c r="R105" i="34"/>
  <c r="S105" i="34"/>
  <c r="T105" i="34"/>
  <c r="V105" i="34"/>
  <c r="W105" i="34"/>
  <c r="X105" i="34"/>
  <c r="N106" i="34"/>
  <c r="R106" i="34"/>
  <c r="S106" i="34"/>
  <c r="T106" i="34"/>
  <c r="V106" i="34"/>
  <c r="W106" i="34"/>
  <c r="X106" i="34"/>
  <c r="N107" i="34"/>
  <c r="R107" i="34"/>
  <c r="S107" i="34"/>
  <c r="T107" i="34"/>
  <c r="V107" i="34"/>
  <c r="W107" i="34"/>
  <c r="X107" i="34"/>
  <c r="N108" i="34"/>
  <c r="R108" i="34"/>
  <c r="S108" i="34"/>
  <c r="T108" i="34"/>
  <c r="V108" i="34"/>
  <c r="W108" i="34"/>
  <c r="X108" i="34"/>
  <c r="N109" i="34"/>
  <c r="R109" i="34"/>
  <c r="S109" i="34"/>
  <c r="T109" i="34"/>
  <c r="V109" i="34"/>
  <c r="W109" i="34"/>
  <c r="X109" i="34"/>
  <c r="N110" i="34"/>
  <c r="R110" i="34"/>
  <c r="S110" i="34"/>
  <c r="T110" i="34"/>
  <c r="V110" i="34"/>
  <c r="W110" i="34"/>
  <c r="X110" i="34"/>
  <c r="N111" i="34"/>
  <c r="R111" i="34"/>
  <c r="S111" i="34"/>
  <c r="T111" i="34"/>
  <c r="V111" i="34"/>
  <c r="W111" i="34"/>
  <c r="X111" i="34"/>
  <c r="N112" i="34"/>
  <c r="R112" i="34"/>
  <c r="S112" i="34"/>
  <c r="T112" i="34"/>
  <c r="V112" i="34"/>
  <c r="W112" i="34"/>
  <c r="X112" i="34"/>
  <c r="N113" i="34"/>
  <c r="R113" i="34"/>
  <c r="S113" i="34"/>
  <c r="T113" i="34"/>
  <c r="V113" i="34"/>
  <c r="W113" i="34"/>
  <c r="X113" i="34"/>
  <c r="N114" i="34"/>
  <c r="R114" i="34"/>
  <c r="S114" i="34"/>
  <c r="T114" i="34"/>
  <c r="V114" i="34"/>
  <c r="W114" i="34"/>
  <c r="X114" i="34"/>
  <c r="N115" i="34"/>
  <c r="R115" i="34"/>
  <c r="S115" i="34"/>
  <c r="T115" i="34"/>
  <c r="V115" i="34"/>
  <c r="W115" i="34"/>
  <c r="X115" i="34"/>
  <c r="N116" i="34"/>
  <c r="R116" i="34"/>
  <c r="S116" i="34"/>
  <c r="T116" i="34"/>
  <c r="V116" i="34"/>
  <c r="W116" i="34"/>
  <c r="X116" i="34"/>
  <c r="N117" i="34"/>
  <c r="R117" i="34"/>
  <c r="S117" i="34"/>
  <c r="T117" i="34"/>
  <c r="V117" i="34"/>
  <c r="W117" i="34"/>
  <c r="X117" i="34"/>
  <c r="N118" i="34"/>
  <c r="R118" i="34"/>
  <c r="S118" i="34"/>
  <c r="T118" i="34"/>
  <c r="V118" i="34"/>
  <c r="W118" i="34"/>
  <c r="X118" i="34"/>
  <c r="N119" i="34"/>
  <c r="R119" i="34"/>
  <c r="S119" i="34"/>
  <c r="T119" i="34"/>
  <c r="V119" i="34"/>
  <c r="W119" i="34"/>
  <c r="X119" i="34"/>
  <c r="N120" i="34"/>
  <c r="R120" i="34"/>
  <c r="S120" i="34"/>
  <c r="T120" i="34"/>
  <c r="V120" i="34"/>
  <c r="W120" i="34"/>
  <c r="X120" i="34"/>
  <c r="N121" i="34"/>
  <c r="R121" i="34"/>
  <c r="S121" i="34"/>
  <c r="T121" i="34"/>
  <c r="V121" i="34"/>
  <c r="W121" i="34"/>
  <c r="X121" i="34"/>
  <c r="N122" i="34"/>
  <c r="R122" i="34"/>
  <c r="S122" i="34"/>
  <c r="T122" i="34"/>
  <c r="V122" i="34"/>
  <c r="W122" i="34"/>
  <c r="X122" i="34"/>
  <c r="N123" i="34"/>
  <c r="R123" i="34"/>
  <c r="S123" i="34"/>
  <c r="T123" i="34"/>
  <c r="V123" i="34"/>
  <c r="W123" i="34"/>
  <c r="X123" i="34"/>
  <c r="N124" i="34"/>
  <c r="R124" i="34"/>
  <c r="S124" i="34"/>
  <c r="T124" i="34"/>
  <c r="V124" i="34"/>
  <c r="W124" i="34"/>
  <c r="X124" i="34"/>
  <c r="N125" i="34"/>
  <c r="R125" i="34"/>
  <c r="S125" i="34"/>
  <c r="T125" i="34"/>
  <c r="V125" i="34"/>
  <c r="W125" i="34"/>
  <c r="X125" i="34"/>
  <c r="N126" i="34"/>
  <c r="R126" i="34"/>
  <c r="S126" i="34"/>
  <c r="T126" i="34"/>
  <c r="V126" i="34"/>
  <c r="W126" i="34"/>
  <c r="X126" i="34"/>
  <c r="N127" i="34"/>
  <c r="R127" i="34"/>
  <c r="S127" i="34"/>
  <c r="T127" i="34"/>
  <c r="V127" i="34"/>
  <c r="W127" i="34"/>
  <c r="X127" i="34"/>
  <c r="N128" i="34"/>
  <c r="R128" i="34"/>
  <c r="S128" i="34"/>
  <c r="T128" i="34"/>
  <c r="V128" i="34"/>
  <c r="W128" i="34"/>
  <c r="X128" i="34"/>
  <c r="N129" i="34"/>
  <c r="R129" i="34"/>
  <c r="S129" i="34"/>
  <c r="T129" i="34"/>
  <c r="V129" i="34"/>
  <c r="W129" i="34"/>
  <c r="X129" i="34"/>
  <c r="N130" i="34"/>
  <c r="R130" i="34"/>
  <c r="S130" i="34"/>
  <c r="T130" i="34"/>
  <c r="V130" i="34"/>
  <c r="W130" i="34"/>
  <c r="X130" i="34"/>
  <c r="N131" i="34"/>
  <c r="R131" i="34"/>
  <c r="S131" i="34"/>
  <c r="T131" i="34"/>
  <c r="V131" i="34"/>
  <c r="W131" i="34"/>
  <c r="X131" i="34"/>
  <c r="N132" i="34"/>
  <c r="R132" i="34"/>
  <c r="S132" i="34"/>
  <c r="T132" i="34"/>
  <c r="V132" i="34"/>
  <c r="W132" i="34"/>
  <c r="X132" i="34"/>
  <c r="N133" i="34"/>
  <c r="R133" i="34"/>
  <c r="S133" i="34"/>
  <c r="T133" i="34"/>
  <c r="V133" i="34"/>
  <c r="W133" i="34"/>
  <c r="X133" i="34"/>
  <c r="N134" i="34"/>
  <c r="R134" i="34"/>
  <c r="S134" i="34"/>
  <c r="T134" i="34"/>
  <c r="V134" i="34"/>
  <c r="W134" i="34"/>
  <c r="X134" i="34"/>
  <c r="N135" i="34"/>
  <c r="R135" i="34"/>
  <c r="S135" i="34"/>
  <c r="T135" i="34"/>
  <c r="V135" i="34"/>
  <c r="W135" i="34"/>
  <c r="X135" i="34"/>
  <c r="N136" i="34"/>
  <c r="R136" i="34"/>
  <c r="S136" i="34"/>
  <c r="T136" i="34"/>
  <c r="V136" i="34"/>
  <c r="W136" i="34"/>
  <c r="X136" i="34"/>
  <c r="N137" i="34"/>
  <c r="R137" i="34"/>
  <c r="S137" i="34"/>
  <c r="T137" i="34"/>
  <c r="V137" i="34"/>
  <c r="W137" i="34"/>
  <c r="X137" i="34"/>
  <c r="N138" i="34"/>
  <c r="R138" i="34"/>
  <c r="S138" i="34"/>
  <c r="T138" i="34"/>
  <c r="V138" i="34"/>
  <c r="W138" i="34"/>
  <c r="X138" i="34"/>
  <c r="N139" i="34"/>
  <c r="R139" i="34"/>
  <c r="S139" i="34"/>
  <c r="T139" i="34"/>
  <c r="V139" i="34"/>
  <c r="W139" i="34"/>
  <c r="X139" i="34"/>
  <c r="N140" i="34"/>
  <c r="R140" i="34"/>
  <c r="S140" i="34"/>
  <c r="T140" i="34"/>
  <c r="V140" i="34"/>
  <c r="W140" i="34"/>
  <c r="X140" i="34"/>
  <c r="N141" i="34"/>
  <c r="R141" i="34"/>
  <c r="S141" i="34"/>
  <c r="T141" i="34"/>
  <c r="V141" i="34"/>
  <c r="W141" i="34"/>
  <c r="X141" i="34"/>
  <c r="N142" i="34"/>
  <c r="R142" i="34"/>
  <c r="S142" i="34"/>
  <c r="T142" i="34"/>
  <c r="V142" i="34"/>
  <c r="W142" i="34"/>
  <c r="X142" i="34"/>
  <c r="N143" i="34"/>
  <c r="R143" i="34"/>
  <c r="S143" i="34"/>
  <c r="T143" i="34"/>
  <c r="V143" i="34"/>
  <c r="W143" i="34"/>
  <c r="X143" i="34"/>
  <c r="N144" i="34"/>
  <c r="R144" i="34"/>
  <c r="S144" i="34"/>
  <c r="T144" i="34"/>
  <c r="V144" i="34"/>
  <c r="W144" i="34"/>
  <c r="X144" i="34"/>
  <c r="N145" i="34"/>
  <c r="R145" i="34"/>
  <c r="S145" i="34"/>
  <c r="T145" i="34"/>
  <c r="V145" i="34"/>
  <c r="W145" i="34"/>
  <c r="X145" i="34"/>
  <c r="N146" i="34"/>
  <c r="R146" i="34"/>
  <c r="S146" i="34"/>
  <c r="T146" i="34"/>
  <c r="V146" i="34"/>
  <c r="W146" i="34"/>
  <c r="X146" i="34"/>
  <c r="N147" i="34"/>
  <c r="R147" i="34"/>
  <c r="S147" i="34"/>
  <c r="T147" i="34"/>
  <c r="V147" i="34"/>
  <c r="W147" i="34"/>
  <c r="X147" i="34"/>
  <c r="N148" i="34"/>
  <c r="R148" i="34"/>
  <c r="S148" i="34"/>
  <c r="T148" i="34"/>
  <c r="V148" i="34"/>
  <c r="W148" i="34"/>
  <c r="X148" i="34"/>
  <c r="N149" i="34"/>
  <c r="R149" i="34"/>
  <c r="S149" i="34"/>
  <c r="T149" i="34"/>
  <c r="V149" i="34"/>
  <c r="W149" i="34"/>
  <c r="X149" i="34"/>
  <c r="N150" i="34"/>
  <c r="R150" i="34"/>
  <c r="S150" i="34"/>
  <c r="T150" i="34"/>
  <c r="V150" i="34"/>
  <c r="W150" i="34"/>
  <c r="X150" i="34"/>
  <c r="N151" i="34"/>
  <c r="R151" i="34"/>
  <c r="S151" i="34"/>
  <c r="T151" i="34"/>
  <c r="V151" i="34"/>
  <c r="W151" i="34"/>
  <c r="X151" i="34"/>
  <c r="N152" i="34"/>
  <c r="R152" i="34"/>
  <c r="S152" i="34"/>
  <c r="T152" i="34"/>
  <c r="V152" i="34"/>
  <c r="W152" i="34"/>
  <c r="X152" i="34"/>
  <c r="N153" i="34"/>
  <c r="R153" i="34"/>
  <c r="S153" i="34"/>
  <c r="T153" i="34"/>
  <c r="V153" i="34"/>
  <c r="W153" i="34"/>
  <c r="X153" i="34"/>
  <c r="N154" i="34"/>
  <c r="R154" i="34"/>
  <c r="S154" i="34"/>
  <c r="T154" i="34"/>
  <c r="V154" i="34"/>
  <c r="W154" i="34"/>
  <c r="X154" i="34"/>
  <c r="N155" i="34"/>
  <c r="R155" i="34"/>
  <c r="S155" i="34"/>
  <c r="T155" i="34"/>
  <c r="V155" i="34"/>
  <c r="W155" i="34"/>
  <c r="X155" i="34"/>
  <c r="N156" i="34"/>
  <c r="R156" i="34"/>
  <c r="S156" i="34"/>
  <c r="T156" i="34"/>
  <c r="V156" i="34"/>
  <c r="W156" i="34"/>
  <c r="X156" i="34"/>
  <c r="N157" i="34"/>
  <c r="R157" i="34"/>
  <c r="S157" i="34"/>
  <c r="T157" i="34"/>
  <c r="V157" i="34"/>
  <c r="W157" i="34"/>
  <c r="X157" i="34"/>
  <c r="N158" i="34"/>
  <c r="R158" i="34"/>
  <c r="S158" i="34"/>
  <c r="T158" i="34"/>
  <c r="V158" i="34"/>
  <c r="W158" i="34"/>
  <c r="X158" i="34"/>
  <c r="N159" i="34"/>
  <c r="R159" i="34"/>
  <c r="S159" i="34"/>
  <c r="T159" i="34"/>
  <c r="V159" i="34"/>
  <c r="W159" i="34"/>
  <c r="X159" i="34"/>
  <c r="N160" i="34"/>
  <c r="R160" i="34"/>
  <c r="S160" i="34"/>
  <c r="T160" i="34"/>
  <c r="V160" i="34"/>
  <c r="W160" i="34"/>
  <c r="X160" i="34"/>
  <c r="N161" i="34"/>
  <c r="R161" i="34"/>
  <c r="S161" i="34"/>
  <c r="T161" i="34"/>
  <c r="V161" i="34"/>
  <c r="W161" i="34"/>
  <c r="X161" i="34"/>
  <c r="N162" i="34"/>
  <c r="R162" i="34"/>
  <c r="S162" i="34"/>
  <c r="T162" i="34"/>
  <c r="V162" i="34"/>
  <c r="W162" i="34"/>
  <c r="X162" i="34"/>
  <c r="N163" i="34"/>
  <c r="R163" i="34"/>
  <c r="S163" i="34"/>
  <c r="T163" i="34"/>
  <c r="V163" i="34"/>
  <c r="W163" i="34"/>
  <c r="X163" i="34"/>
  <c r="N164" i="34"/>
  <c r="R164" i="34"/>
  <c r="S164" i="34"/>
  <c r="T164" i="34"/>
  <c r="V164" i="34"/>
  <c r="W164" i="34"/>
  <c r="X164" i="34"/>
  <c r="N165" i="34"/>
  <c r="R165" i="34"/>
  <c r="S165" i="34"/>
  <c r="T165" i="34"/>
  <c r="V165" i="34"/>
  <c r="W165" i="34"/>
  <c r="X165" i="34"/>
  <c r="N166" i="34"/>
  <c r="R166" i="34"/>
  <c r="S166" i="34"/>
  <c r="T166" i="34"/>
  <c r="V166" i="34"/>
  <c r="W166" i="34"/>
  <c r="X166" i="34"/>
  <c r="N167" i="34"/>
  <c r="R167" i="34"/>
  <c r="S167" i="34"/>
  <c r="T167" i="34"/>
  <c r="V167" i="34"/>
  <c r="W167" i="34"/>
  <c r="X167" i="34"/>
  <c r="N168" i="34"/>
  <c r="R168" i="34"/>
  <c r="S168" i="34"/>
  <c r="T168" i="34"/>
  <c r="V168" i="34"/>
  <c r="W168" i="34"/>
  <c r="X168" i="34"/>
  <c r="N169" i="34"/>
  <c r="R169" i="34"/>
  <c r="S169" i="34"/>
  <c r="T169" i="34"/>
  <c r="V169" i="34"/>
  <c r="W169" i="34"/>
  <c r="X169" i="34"/>
  <c r="N170" i="34"/>
  <c r="R170" i="34"/>
  <c r="S170" i="34"/>
  <c r="T170" i="34"/>
  <c r="V170" i="34"/>
  <c r="W170" i="34"/>
  <c r="X170" i="34"/>
  <c r="N171" i="34"/>
  <c r="R171" i="34"/>
  <c r="S171" i="34"/>
  <c r="T171" i="34"/>
  <c r="V171" i="34"/>
  <c r="W171" i="34"/>
  <c r="X171" i="34"/>
  <c r="N172" i="34"/>
  <c r="R172" i="34"/>
  <c r="S172" i="34"/>
  <c r="T172" i="34"/>
  <c r="V172" i="34"/>
  <c r="W172" i="34"/>
  <c r="X172" i="34"/>
  <c r="N173" i="34"/>
  <c r="R173" i="34"/>
  <c r="S173" i="34"/>
  <c r="T173" i="34"/>
  <c r="V173" i="34"/>
  <c r="W173" i="34"/>
  <c r="X173" i="34"/>
  <c r="N174" i="34"/>
  <c r="R174" i="34"/>
  <c r="S174" i="34"/>
  <c r="T174" i="34"/>
  <c r="V174" i="34"/>
  <c r="W174" i="34"/>
  <c r="X174" i="34"/>
  <c r="N175" i="34"/>
  <c r="R175" i="34"/>
  <c r="S175" i="34"/>
  <c r="T175" i="34"/>
  <c r="V175" i="34"/>
  <c r="W175" i="34"/>
  <c r="X175" i="34"/>
  <c r="N176" i="34"/>
  <c r="R176" i="34"/>
  <c r="S176" i="34"/>
  <c r="T176" i="34"/>
  <c r="V176" i="34"/>
  <c r="W176" i="34"/>
  <c r="X176" i="34"/>
  <c r="N177" i="34"/>
  <c r="R177" i="34"/>
  <c r="S177" i="34"/>
  <c r="T177" i="34"/>
  <c r="V177" i="34"/>
  <c r="W177" i="34"/>
  <c r="X177" i="34"/>
  <c r="N178" i="34"/>
  <c r="R178" i="34"/>
  <c r="S178" i="34"/>
  <c r="T178" i="34"/>
  <c r="V178" i="34"/>
  <c r="W178" i="34"/>
  <c r="X178" i="34"/>
  <c r="N179" i="34"/>
  <c r="R179" i="34"/>
  <c r="S179" i="34"/>
  <c r="T179" i="34"/>
  <c r="V179" i="34"/>
  <c r="W179" i="34"/>
  <c r="X179" i="34"/>
  <c r="N180" i="34"/>
  <c r="R180" i="34"/>
  <c r="S180" i="34"/>
  <c r="T180" i="34"/>
  <c r="V180" i="34"/>
  <c r="W180" i="34"/>
  <c r="X180" i="34"/>
  <c r="N181" i="34"/>
  <c r="R181" i="34"/>
  <c r="S181" i="34"/>
  <c r="T181" i="34"/>
  <c r="V181" i="34"/>
  <c r="W181" i="34"/>
  <c r="X181" i="34"/>
  <c r="N182" i="34"/>
  <c r="R182" i="34"/>
  <c r="S182" i="34"/>
  <c r="T182" i="34"/>
  <c r="V182" i="34"/>
  <c r="W182" i="34"/>
  <c r="X182" i="34"/>
  <c r="N183" i="34"/>
  <c r="R183" i="34"/>
  <c r="S183" i="34"/>
  <c r="T183" i="34"/>
  <c r="V183" i="34"/>
  <c r="W183" i="34"/>
  <c r="X183" i="34"/>
  <c r="N184" i="34"/>
  <c r="R184" i="34"/>
  <c r="S184" i="34"/>
  <c r="T184" i="34"/>
  <c r="V184" i="34"/>
  <c r="W184" i="34"/>
  <c r="X184" i="34"/>
  <c r="N185" i="34"/>
  <c r="R185" i="34"/>
  <c r="S185" i="34"/>
  <c r="T185" i="34"/>
  <c r="V185" i="34"/>
  <c r="W185" i="34"/>
  <c r="X185" i="34"/>
  <c r="N186" i="34"/>
  <c r="R186" i="34"/>
  <c r="S186" i="34"/>
  <c r="T186" i="34"/>
  <c r="V186" i="34"/>
  <c r="W186" i="34"/>
  <c r="X186" i="34"/>
  <c r="N187" i="34"/>
  <c r="R187" i="34"/>
  <c r="S187" i="34"/>
  <c r="T187" i="34"/>
  <c r="V187" i="34"/>
  <c r="W187" i="34"/>
  <c r="X187" i="34"/>
  <c r="N188" i="34"/>
  <c r="R188" i="34"/>
  <c r="S188" i="34"/>
  <c r="T188" i="34"/>
  <c r="V188" i="34"/>
  <c r="W188" i="34"/>
  <c r="X188" i="34"/>
  <c r="N189" i="34"/>
  <c r="R189" i="34"/>
  <c r="S189" i="34"/>
  <c r="T189" i="34"/>
  <c r="V189" i="34"/>
  <c r="W189" i="34"/>
  <c r="X189" i="34"/>
  <c r="N190" i="34"/>
  <c r="R190" i="34"/>
  <c r="S190" i="34"/>
  <c r="T190" i="34"/>
  <c r="V190" i="34"/>
  <c r="W190" i="34"/>
  <c r="X190" i="34"/>
  <c r="N191" i="34"/>
  <c r="R191" i="34"/>
  <c r="S191" i="34"/>
  <c r="T191" i="34"/>
  <c r="V191" i="34"/>
  <c r="W191" i="34"/>
  <c r="X191" i="34"/>
  <c r="N192" i="34"/>
  <c r="R192" i="34"/>
  <c r="S192" i="34"/>
  <c r="T192" i="34"/>
  <c r="V192" i="34"/>
  <c r="W192" i="34"/>
  <c r="X192" i="34"/>
  <c r="N193" i="34"/>
  <c r="R193" i="34"/>
  <c r="S193" i="34"/>
  <c r="T193" i="34"/>
  <c r="V193" i="34"/>
  <c r="W193" i="34"/>
  <c r="X193" i="34"/>
  <c r="N194" i="34"/>
  <c r="R194" i="34"/>
  <c r="S194" i="34"/>
  <c r="T194" i="34"/>
  <c r="V194" i="34"/>
  <c r="W194" i="34"/>
  <c r="X194" i="34"/>
  <c r="N195" i="34"/>
  <c r="R195" i="34"/>
  <c r="S195" i="34"/>
  <c r="T195" i="34"/>
  <c r="V195" i="34"/>
  <c r="W195" i="34"/>
  <c r="X195" i="34"/>
  <c r="N196" i="34"/>
  <c r="R196" i="34"/>
  <c r="S196" i="34"/>
  <c r="T196" i="34"/>
  <c r="V196" i="34"/>
  <c r="W196" i="34"/>
  <c r="X196" i="34"/>
  <c r="N197" i="34"/>
  <c r="R197" i="34"/>
  <c r="S197" i="34"/>
  <c r="T197" i="34"/>
  <c r="V197" i="34"/>
  <c r="W197" i="34"/>
  <c r="X197" i="34"/>
  <c r="N198" i="34"/>
  <c r="R198" i="34"/>
  <c r="S198" i="34"/>
  <c r="T198" i="34"/>
  <c r="V198" i="34"/>
  <c r="W198" i="34"/>
  <c r="X198" i="34"/>
  <c r="N199" i="34"/>
  <c r="R199" i="34"/>
  <c r="S199" i="34"/>
  <c r="T199" i="34"/>
  <c r="V199" i="34"/>
  <c r="W199" i="34"/>
  <c r="X199" i="34"/>
  <c r="N200" i="34"/>
  <c r="R200" i="34"/>
  <c r="S200" i="34"/>
  <c r="T200" i="34"/>
  <c r="V200" i="34"/>
  <c r="W200" i="34"/>
  <c r="X200" i="34"/>
  <c r="N201" i="34"/>
  <c r="R201" i="34"/>
  <c r="S201" i="34"/>
  <c r="T201" i="34"/>
  <c r="V201" i="34"/>
  <c r="W201" i="34"/>
  <c r="X201" i="34"/>
  <c r="N202" i="34"/>
  <c r="R202" i="34"/>
  <c r="S202" i="34"/>
  <c r="T202" i="34"/>
  <c r="V202" i="34"/>
  <c r="W202" i="34"/>
  <c r="X202" i="34"/>
  <c r="N203" i="34"/>
  <c r="R203" i="34"/>
  <c r="S203" i="34"/>
  <c r="T203" i="34"/>
  <c r="V203" i="34"/>
  <c r="W203" i="34"/>
  <c r="X203" i="34"/>
  <c r="N204" i="34"/>
  <c r="R204" i="34"/>
  <c r="S204" i="34"/>
  <c r="T204" i="34"/>
  <c r="V204" i="34"/>
  <c r="W204" i="34"/>
  <c r="X204" i="34"/>
  <c r="N205" i="34"/>
  <c r="R205" i="34"/>
  <c r="S205" i="34"/>
  <c r="T205" i="34"/>
  <c r="V205" i="34"/>
  <c r="W205" i="34"/>
  <c r="X205" i="34"/>
  <c r="N206" i="34"/>
  <c r="R206" i="34"/>
  <c r="S206" i="34"/>
  <c r="T206" i="34"/>
  <c r="V206" i="34"/>
  <c r="W206" i="34"/>
  <c r="X206" i="34"/>
  <c r="N207" i="34"/>
  <c r="R207" i="34"/>
  <c r="S207" i="34"/>
  <c r="T207" i="34"/>
  <c r="V207" i="34"/>
  <c r="W207" i="34"/>
  <c r="X207" i="34"/>
  <c r="N208" i="34"/>
  <c r="R208" i="34"/>
  <c r="S208" i="34"/>
  <c r="T208" i="34"/>
  <c r="V208" i="34"/>
  <c r="W208" i="34"/>
  <c r="X208" i="34"/>
  <c r="N209" i="34"/>
  <c r="R209" i="34"/>
  <c r="S209" i="34"/>
  <c r="T209" i="34"/>
  <c r="V209" i="34"/>
  <c r="W209" i="34"/>
  <c r="X209" i="34"/>
  <c r="N210" i="34"/>
  <c r="R210" i="34"/>
  <c r="S210" i="34"/>
  <c r="T210" i="34"/>
  <c r="V210" i="34"/>
  <c r="W210" i="34"/>
  <c r="X210" i="34"/>
  <c r="N211" i="34"/>
  <c r="R211" i="34"/>
  <c r="S211" i="34"/>
  <c r="T211" i="34"/>
  <c r="V211" i="34"/>
  <c r="W211" i="34"/>
  <c r="X211" i="34"/>
  <c r="N212" i="34"/>
  <c r="R212" i="34"/>
  <c r="S212" i="34"/>
  <c r="T212" i="34"/>
  <c r="V212" i="34"/>
  <c r="W212" i="34"/>
  <c r="X212" i="34"/>
  <c r="N213" i="34"/>
  <c r="R213" i="34"/>
  <c r="S213" i="34"/>
  <c r="T213" i="34"/>
  <c r="V213" i="34"/>
  <c r="W213" i="34"/>
  <c r="X213" i="34"/>
  <c r="N214" i="34"/>
  <c r="R214" i="34"/>
  <c r="S214" i="34"/>
  <c r="T214" i="34"/>
  <c r="V214" i="34"/>
  <c r="W214" i="34"/>
  <c r="X214" i="34"/>
  <c r="N215" i="34"/>
  <c r="R215" i="34"/>
  <c r="S215" i="34"/>
  <c r="T215" i="34"/>
  <c r="V215" i="34"/>
  <c r="W215" i="34"/>
  <c r="X215" i="34"/>
  <c r="N216" i="34"/>
  <c r="R216" i="34"/>
  <c r="S216" i="34"/>
  <c r="T216" i="34"/>
  <c r="V216" i="34"/>
  <c r="W216" i="34"/>
  <c r="X216" i="34"/>
  <c r="N217" i="34"/>
  <c r="R217" i="34"/>
  <c r="S217" i="34"/>
  <c r="T217" i="34"/>
  <c r="V217" i="34"/>
  <c r="W217" i="34"/>
  <c r="X217" i="34"/>
  <c r="N218" i="34"/>
  <c r="R218" i="34"/>
  <c r="S218" i="34"/>
  <c r="T218" i="34"/>
  <c r="V218" i="34"/>
  <c r="W218" i="34"/>
  <c r="X218" i="34"/>
  <c r="N219" i="34"/>
  <c r="R219" i="34"/>
  <c r="S219" i="34"/>
  <c r="T219" i="34"/>
  <c r="V219" i="34"/>
  <c r="W219" i="34"/>
  <c r="X219" i="34"/>
  <c r="N220" i="34"/>
  <c r="R220" i="34"/>
  <c r="S220" i="34"/>
  <c r="T220" i="34"/>
  <c r="V220" i="34"/>
  <c r="W220" i="34"/>
  <c r="X220" i="34"/>
  <c r="N221" i="34"/>
  <c r="R221" i="34"/>
  <c r="S221" i="34"/>
  <c r="T221" i="34"/>
  <c r="V221" i="34"/>
  <c r="W221" i="34"/>
  <c r="X221" i="34"/>
  <c r="N222" i="34"/>
  <c r="R222" i="34"/>
  <c r="S222" i="34"/>
  <c r="T222" i="34"/>
  <c r="V222" i="34"/>
  <c r="W222" i="34"/>
  <c r="X222" i="34"/>
  <c r="N223" i="34"/>
  <c r="R223" i="34"/>
  <c r="S223" i="34"/>
  <c r="T223" i="34"/>
  <c r="V223" i="34"/>
  <c r="W223" i="34"/>
  <c r="X223" i="34"/>
  <c r="N224" i="34"/>
  <c r="R224" i="34"/>
  <c r="S224" i="34"/>
  <c r="T224" i="34"/>
  <c r="V224" i="34"/>
  <c r="W224" i="34"/>
  <c r="X224" i="34"/>
  <c r="N225" i="34"/>
  <c r="R225" i="34"/>
  <c r="S225" i="34"/>
  <c r="T225" i="34"/>
  <c r="V225" i="34"/>
  <c r="W225" i="34"/>
  <c r="X225" i="34"/>
  <c r="N226" i="34"/>
  <c r="R226" i="34"/>
  <c r="S226" i="34"/>
  <c r="T226" i="34"/>
  <c r="V226" i="34"/>
  <c r="W226" i="34"/>
  <c r="X226" i="34"/>
  <c r="N227" i="34"/>
  <c r="R227" i="34"/>
  <c r="S227" i="34"/>
  <c r="T227" i="34"/>
  <c r="V227" i="34"/>
  <c r="W227" i="34"/>
  <c r="X227" i="34"/>
  <c r="N228" i="34"/>
  <c r="R228" i="34"/>
  <c r="S228" i="34"/>
  <c r="T228" i="34"/>
  <c r="V228" i="34"/>
  <c r="W228" i="34"/>
  <c r="X228" i="34"/>
  <c r="N229" i="34"/>
  <c r="R229" i="34"/>
  <c r="S229" i="34"/>
  <c r="T229" i="34"/>
  <c r="V229" i="34"/>
  <c r="W229" i="34"/>
  <c r="X229" i="34"/>
  <c r="N230" i="34"/>
  <c r="R230" i="34"/>
  <c r="S230" i="34"/>
  <c r="T230" i="34"/>
  <c r="V230" i="34"/>
  <c r="W230" i="34"/>
  <c r="X230" i="34"/>
  <c r="N231" i="34"/>
  <c r="R231" i="34"/>
  <c r="S231" i="34"/>
  <c r="T231" i="34"/>
  <c r="V231" i="34"/>
  <c r="W231" i="34"/>
  <c r="X231" i="34"/>
  <c r="N232" i="34"/>
  <c r="R232" i="34"/>
  <c r="S232" i="34"/>
  <c r="T232" i="34"/>
  <c r="V232" i="34"/>
  <c r="W232" i="34"/>
  <c r="X232" i="34"/>
  <c r="N233" i="34"/>
  <c r="R233" i="34"/>
  <c r="S233" i="34"/>
  <c r="T233" i="34"/>
  <c r="V233" i="34"/>
  <c r="W233" i="34"/>
  <c r="X233" i="34"/>
  <c r="N234" i="34"/>
  <c r="R234" i="34"/>
  <c r="S234" i="34"/>
  <c r="T234" i="34"/>
  <c r="V234" i="34"/>
  <c r="W234" i="34"/>
  <c r="X234" i="34"/>
  <c r="N235" i="34"/>
  <c r="R235" i="34"/>
  <c r="S235" i="34"/>
  <c r="T235" i="34"/>
  <c r="V235" i="34"/>
  <c r="W235" i="34"/>
  <c r="X235" i="34"/>
  <c r="N236" i="34"/>
  <c r="R236" i="34"/>
  <c r="S236" i="34"/>
  <c r="T236" i="34"/>
  <c r="V236" i="34"/>
  <c r="W236" i="34"/>
  <c r="X236" i="34"/>
  <c r="N237" i="34"/>
  <c r="R237" i="34"/>
  <c r="S237" i="34"/>
  <c r="T237" i="34"/>
  <c r="V237" i="34"/>
  <c r="W237" i="34"/>
  <c r="X237" i="34"/>
  <c r="N238" i="34"/>
  <c r="R238" i="34"/>
  <c r="S238" i="34"/>
  <c r="T238" i="34"/>
  <c r="V238" i="34"/>
  <c r="W238" i="34"/>
  <c r="X238" i="34"/>
  <c r="N239" i="34"/>
  <c r="R239" i="34"/>
  <c r="S239" i="34"/>
  <c r="T239" i="34"/>
  <c r="V239" i="34"/>
  <c r="W239" i="34"/>
  <c r="X239" i="34"/>
  <c r="N240" i="34"/>
  <c r="R240" i="34"/>
  <c r="S240" i="34"/>
  <c r="T240" i="34"/>
  <c r="V240" i="34"/>
  <c r="W240" i="34"/>
  <c r="X240" i="34"/>
  <c r="N241" i="34"/>
  <c r="R241" i="34"/>
  <c r="S241" i="34"/>
  <c r="T241" i="34"/>
  <c r="V241" i="34"/>
  <c r="W241" i="34"/>
  <c r="X241" i="34"/>
  <c r="N242" i="34"/>
  <c r="R242" i="34"/>
  <c r="S242" i="34"/>
  <c r="T242" i="34"/>
  <c r="V242" i="34"/>
  <c r="W242" i="34"/>
  <c r="X242" i="34"/>
  <c r="N243" i="34"/>
  <c r="R243" i="34"/>
  <c r="S243" i="34"/>
  <c r="T243" i="34"/>
  <c r="V243" i="34"/>
  <c r="W243" i="34"/>
  <c r="X243" i="34"/>
  <c r="N244" i="34"/>
  <c r="R244" i="34"/>
  <c r="S244" i="34"/>
  <c r="T244" i="34"/>
  <c r="V244" i="34"/>
  <c r="W244" i="34"/>
  <c r="X244" i="34"/>
  <c r="N245" i="34"/>
  <c r="R245" i="34"/>
  <c r="S245" i="34"/>
  <c r="T245" i="34"/>
  <c r="V245" i="34"/>
  <c r="W245" i="34"/>
  <c r="X245" i="34"/>
  <c r="N246" i="34"/>
  <c r="R246" i="34"/>
  <c r="S246" i="34"/>
  <c r="T246" i="34"/>
  <c r="V246" i="34"/>
  <c r="W246" i="34"/>
  <c r="X246" i="34"/>
  <c r="N247" i="34"/>
  <c r="R247" i="34"/>
  <c r="S247" i="34"/>
  <c r="T247" i="34"/>
  <c r="V247" i="34"/>
  <c r="W247" i="34"/>
  <c r="X247" i="34"/>
  <c r="N248" i="34"/>
  <c r="R248" i="34"/>
  <c r="S248" i="34"/>
  <c r="T248" i="34"/>
  <c r="V248" i="34"/>
  <c r="W248" i="34"/>
  <c r="X248" i="34"/>
  <c r="N249" i="34"/>
  <c r="R249" i="34"/>
  <c r="S249" i="34"/>
  <c r="T249" i="34"/>
  <c r="V249" i="34"/>
  <c r="W249" i="34"/>
  <c r="X249" i="34"/>
  <c r="N250" i="34"/>
  <c r="R250" i="34"/>
  <c r="S250" i="34"/>
  <c r="T250" i="34"/>
  <c r="V250" i="34"/>
  <c r="W250" i="34"/>
  <c r="X250" i="34"/>
  <c r="N251" i="34"/>
  <c r="R251" i="34"/>
  <c r="S251" i="34"/>
  <c r="T251" i="34"/>
  <c r="V251" i="34"/>
  <c r="W251" i="34"/>
  <c r="X251" i="34"/>
  <c r="N252" i="34"/>
  <c r="R252" i="34"/>
  <c r="S252" i="34"/>
  <c r="T252" i="34"/>
  <c r="V252" i="34"/>
  <c r="W252" i="34"/>
  <c r="X252" i="34"/>
  <c r="N253" i="34"/>
  <c r="R253" i="34"/>
  <c r="S253" i="34"/>
  <c r="T253" i="34"/>
  <c r="V253" i="34"/>
  <c r="W253" i="34"/>
  <c r="X253" i="34"/>
  <c r="N254" i="34"/>
  <c r="R254" i="34"/>
  <c r="S254" i="34"/>
  <c r="T254" i="34"/>
  <c r="V254" i="34"/>
  <c r="W254" i="34"/>
  <c r="X254" i="34"/>
  <c r="N255" i="34"/>
  <c r="R255" i="34"/>
  <c r="S255" i="34"/>
  <c r="T255" i="34"/>
  <c r="V255" i="34"/>
  <c r="W255" i="34"/>
  <c r="X255" i="34"/>
  <c r="N256" i="34"/>
  <c r="R256" i="34"/>
  <c r="S256" i="34"/>
  <c r="T256" i="34"/>
  <c r="V256" i="34"/>
  <c r="W256" i="34"/>
  <c r="X256" i="34"/>
  <c r="N257" i="34"/>
  <c r="R257" i="34"/>
  <c r="S257" i="34"/>
  <c r="T257" i="34"/>
  <c r="V257" i="34"/>
  <c r="W257" i="34"/>
  <c r="X257" i="34"/>
  <c r="N258" i="34"/>
  <c r="R258" i="34"/>
  <c r="S258" i="34"/>
  <c r="T258" i="34"/>
  <c r="V258" i="34"/>
  <c r="W258" i="34"/>
  <c r="X258" i="34"/>
  <c r="N259" i="34"/>
  <c r="R259" i="34"/>
  <c r="S259" i="34"/>
  <c r="T259" i="34"/>
  <c r="V259" i="34"/>
  <c r="W259" i="34"/>
  <c r="X259" i="34"/>
  <c r="N260" i="34"/>
  <c r="R260" i="34"/>
  <c r="S260" i="34"/>
  <c r="T260" i="34"/>
  <c r="V260" i="34"/>
  <c r="W260" i="34"/>
  <c r="X260" i="34"/>
  <c r="N261" i="34"/>
  <c r="R261" i="34"/>
  <c r="S261" i="34"/>
  <c r="T261" i="34"/>
  <c r="V261" i="34"/>
  <c r="W261" i="34"/>
  <c r="X261" i="34"/>
  <c r="N262" i="34"/>
  <c r="R262" i="34"/>
  <c r="S262" i="34"/>
  <c r="T262" i="34"/>
  <c r="V262" i="34"/>
  <c r="W262" i="34"/>
  <c r="X262" i="34"/>
  <c r="N263" i="34"/>
  <c r="R263" i="34"/>
  <c r="S263" i="34"/>
  <c r="T263" i="34"/>
  <c r="V263" i="34"/>
  <c r="W263" i="34"/>
  <c r="X263" i="34"/>
  <c r="N264" i="34"/>
  <c r="R264" i="34"/>
  <c r="S264" i="34"/>
  <c r="T264" i="34"/>
  <c r="V264" i="34"/>
  <c r="W264" i="34"/>
  <c r="X264" i="34"/>
  <c r="N265" i="34"/>
  <c r="R265" i="34"/>
  <c r="S265" i="34"/>
  <c r="T265" i="34"/>
  <c r="V265" i="34"/>
  <c r="W265" i="34"/>
  <c r="X265" i="34"/>
  <c r="N266" i="34"/>
  <c r="R266" i="34"/>
  <c r="S266" i="34"/>
  <c r="T266" i="34"/>
  <c r="V266" i="34"/>
  <c r="W266" i="34"/>
  <c r="X266" i="34"/>
  <c r="N267" i="34"/>
  <c r="R267" i="34"/>
  <c r="S267" i="34"/>
  <c r="T267" i="34"/>
  <c r="V267" i="34"/>
  <c r="W267" i="34"/>
  <c r="X267" i="34"/>
  <c r="N268" i="34"/>
  <c r="R268" i="34"/>
  <c r="S268" i="34"/>
  <c r="T268" i="34"/>
  <c r="V268" i="34"/>
  <c r="W268" i="34"/>
  <c r="X268" i="34"/>
  <c r="N269" i="34"/>
  <c r="R269" i="34"/>
  <c r="S269" i="34"/>
  <c r="T269" i="34"/>
  <c r="V269" i="34"/>
  <c r="W269" i="34"/>
  <c r="X269" i="34"/>
  <c r="N270" i="34"/>
  <c r="R270" i="34"/>
  <c r="S270" i="34"/>
  <c r="T270" i="34"/>
  <c r="V270" i="34"/>
  <c r="W270" i="34"/>
  <c r="X270" i="34"/>
  <c r="N271" i="34"/>
  <c r="R271" i="34"/>
  <c r="S271" i="34"/>
  <c r="T271" i="34"/>
  <c r="V271" i="34"/>
  <c r="W271" i="34"/>
  <c r="X271" i="34"/>
  <c r="N272" i="34"/>
  <c r="R272" i="34"/>
  <c r="S272" i="34"/>
  <c r="T272" i="34"/>
  <c r="V272" i="34"/>
  <c r="W272" i="34"/>
  <c r="X272" i="34"/>
  <c r="N273" i="34"/>
  <c r="R273" i="34"/>
  <c r="S273" i="34"/>
  <c r="T273" i="34"/>
  <c r="V273" i="34"/>
  <c r="W273" i="34"/>
  <c r="X273" i="34"/>
  <c r="N274" i="34"/>
  <c r="R274" i="34"/>
  <c r="S274" i="34"/>
  <c r="T274" i="34"/>
  <c r="V274" i="34"/>
  <c r="W274" i="34"/>
  <c r="X274" i="34"/>
  <c r="N275" i="34"/>
  <c r="R275" i="34"/>
  <c r="S275" i="34"/>
  <c r="T275" i="34"/>
  <c r="V275" i="34"/>
  <c r="W275" i="34"/>
  <c r="X275" i="34"/>
  <c r="N276" i="34"/>
  <c r="R276" i="34"/>
  <c r="S276" i="34"/>
  <c r="T276" i="34"/>
  <c r="V276" i="34"/>
  <c r="W276" i="34"/>
  <c r="X276" i="34"/>
  <c r="N277" i="34"/>
  <c r="R277" i="34"/>
  <c r="S277" i="34"/>
  <c r="T277" i="34"/>
  <c r="V277" i="34"/>
  <c r="W277" i="34"/>
  <c r="X277" i="34"/>
  <c r="N278" i="34"/>
  <c r="R278" i="34"/>
  <c r="S278" i="34"/>
  <c r="T278" i="34"/>
  <c r="V278" i="34"/>
  <c r="W278" i="34"/>
  <c r="X278" i="34"/>
  <c r="N279" i="34"/>
  <c r="R279" i="34"/>
  <c r="S279" i="34"/>
  <c r="T279" i="34"/>
  <c r="V279" i="34"/>
  <c r="W279" i="34"/>
  <c r="X279" i="34"/>
  <c r="N280" i="34"/>
  <c r="R280" i="34"/>
  <c r="S280" i="34"/>
  <c r="T280" i="34"/>
  <c r="V280" i="34"/>
  <c r="W280" i="34"/>
  <c r="X280" i="34"/>
  <c r="N281" i="34"/>
  <c r="R281" i="34"/>
  <c r="S281" i="34"/>
  <c r="T281" i="34"/>
  <c r="V281" i="34"/>
  <c r="W281" i="34"/>
  <c r="X281" i="34"/>
  <c r="N282" i="34"/>
  <c r="R282" i="34"/>
  <c r="S282" i="34"/>
  <c r="T282" i="34"/>
  <c r="V282" i="34"/>
  <c r="W282" i="34"/>
  <c r="X282" i="34"/>
  <c r="N283" i="34"/>
  <c r="R283" i="34"/>
  <c r="S283" i="34"/>
  <c r="T283" i="34"/>
  <c r="V283" i="34"/>
  <c r="W283" i="34"/>
  <c r="X283" i="34"/>
  <c r="N284" i="34"/>
  <c r="R284" i="34"/>
  <c r="S284" i="34"/>
  <c r="T284" i="34"/>
  <c r="V284" i="34"/>
  <c r="W284" i="34"/>
  <c r="X284" i="34"/>
  <c r="N285" i="34"/>
  <c r="R285" i="34"/>
  <c r="S285" i="34"/>
  <c r="T285" i="34"/>
  <c r="V285" i="34"/>
  <c r="W285" i="34"/>
  <c r="X285" i="34"/>
  <c r="N286" i="34"/>
  <c r="R286" i="34"/>
  <c r="S286" i="34"/>
  <c r="T286" i="34"/>
  <c r="V286" i="34"/>
  <c r="W286" i="34"/>
  <c r="X286" i="34"/>
  <c r="N287" i="34"/>
  <c r="R287" i="34"/>
  <c r="S287" i="34"/>
  <c r="T287" i="34"/>
  <c r="V287" i="34"/>
  <c r="W287" i="34"/>
  <c r="X287" i="34"/>
  <c r="N288" i="34"/>
  <c r="R288" i="34"/>
  <c r="S288" i="34"/>
  <c r="T288" i="34"/>
  <c r="V288" i="34"/>
  <c r="W288" i="34"/>
  <c r="X288" i="34"/>
  <c r="N289" i="34"/>
  <c r="R289" i="34"/>
  <c r="S289" i="34"/>
  <c r="T289" i="34"/>
  <c r="V289" i="34"/>
  <c r="W289" i="34"/>
  <c r="X289" i="34"/>
  <c r="N290" i="34"/>
  <c r="R290" i="34"/>
  <c r="S290" i="34"/>
  <c r="T290" i="34"/>
  <c r="V290" i="34"/>
  <c r="W290" i="34"/>
  <c r="X290" i="34"/>
  <c r="N291" i="34"/>
  <c r="R291" i="34"/>
  <c r="S291" i="34"/>
  <c r="T291" i="34"/>
  <c r="V291" i="34"/>
  <c r="W291" i="34"/>
  <c r="X291" i="34"/>
  <c r="N292" i="34"/>
  <c r="R292" i="34"/>
  <c r="S292" i="34"/>
  <c r="T292" i="34"/>
  <c r="V292" i="34"/>
  <c r="W292" i="34"/>
  <c r="X292" i="34"/>
  <c r="N293" i="34"/>
  <c r="R293" i="34"/>
  <c r="S293" i="34"/>
  <c r="T293" i="34"/>
  <c r="V293" i="34"/>
  <c r="W293" i="34"/>
  <c r="X293" i="34"/>
  <c r="N294" i="34"/>
  <c r="R294" i="34"/>
  <c r="S294" i="34"/>
  <c r="T294" i="34"/>
  <c r="V294" i="34"/>
  <c r="W294" i="34"/>
  <c r="X294" i="34"/>
  <c r="N295" i="34"/>
  <c r="R295" i="34"/>
  <c r="S295" i="34"/>
  <c r="T295" i="34"/>
  <c r="V295" i="34"/>
  <c r="W295" i="34"/>
  <c r="X295" i="34"/>
  <c r="N296" i="34"/>
  <c r="R296" i="34"/>
  <c r="S296" i="34"/>
  <c r="T296" i="34"/>
  <c r="V296" i="34"/>
  <c r="W296" i="34"/>
  <c r="X296" i="34"/>
  <c r="N297" i="34"/>
  <c r="R297" i="34"/>
  <c r="S297" i="34"/>
  <c r="T297" i="34"/>
  <c r="V297" i="34"/>
  <c r="W297" i="34"/>
  <c r="X297" i="34"/>
  <c r="N298" i="34"/>
  <c r="R298" i="34"/>
  <c r="S298" i="34"/>
  <c r="T298" i="34"/>
  <c r="V298" i="34"/>
  <c r="W298" i="34"/>
  <c r="X298" i="34"/>
  <c r="N299" i="34"/>
  <c r="R299" i="34"/>
  <c r="S299" i="34"/>
  <c r="T299" i="34"/>
  <c r="V299" i="34"/>
  <c r="W299" i="34"/>
  <c r="X299" i="34"/>
  <c r="N300" i="34"/>
  <c r="R300" i="34"/>
  <c r="S300" i="34"/>
  <c r="T300" i="34"/>
  <c r="V300" i="34"/>
  <c r="W300" i="34"/>
  <c r="X300" i="34"/>
  <c r="N301" i="34"/>
  <c r="R301" i="34"/>
  <c r="S301" i="34"/>
  <c r="T301" i="34"/>
  <c r="V301" i="34"/>
  <c r="W301" i="34"/>
  <c r="X301" i="34"/>
  <c r="N302" i="34"/>
  <c r="R302" i="34"/>
  <c r="S302" i="34"/>
  <c r="T302" i="34"/>
  <c r="V302" i="34"/>
  <c r="W302" i="34"/>
  <c r="X302" i="34"/>
  <c r="N303" i="34"/>
  <c r="R303" i="34"/>
  <c r="S303" i="34"/>
  <c r="T303" i="34"/>
  <c r="V303" i="34"/>
  <c r="W303" i="34"/>
  <c r="X303" i="34"/>
  <c r="N304" i="34"/>
  <c r="R304" i="34"/>
  <c r="S304" i="34"/>
  <c r="T304" i="34"/>
  <c r="V304" i="34"/>
  <c r="W304" i="34"/>
  <c r="X304" i="34"/>
  <c r="N305" i="34"/>
  <c r="R305" i="34"/>
  <c r="S305" i="34"/>
  <c r="T305" i="34"/>
  <c r="V305" i="34"/>
  <c r="W305" i="34"/>
  <c r="X305" i="34"/>
  <c r="N306" i="34"/>
  <c r="R306" i="34"/>
  <c r="S306" i="34"/>
  <c r="T306" i="34"/>
  <c r="V306" i="34"/>
  <c r="W306" i="34"/>
  <c r="X306" i="34"/>
  <c r="N307" i="34"/>
  <c r="R307" i="34"/>
  <c r="S307" i="34"/>
  <c r="T307" i="34"/>
  <c r="V307" i="34"/>
  <c r="W307" i="34"/>
  <c r="X307" i="34"/>
  <c r="N308" i="34"/>
  <c r="R308" i="34"/>
  <c r="S308" i="34"/>
  <c r="T308" i="34"/>
  <c r="V308" i="34"/>
  <c r="W308" i="34"/>
  <c r="X308" i="34"/>
  <c r="N309" i="34"/>
  <c r="R309" i="34"/>
  <c r="S309" i="34"/>
  <c r="T309" i="34"/>
  <c r="V309" i="34"/>
  <c r="W309" i="34"/>
  <c r="X309" i="34"/>
  <c r="N310" i="34"/>
  <c r="R310" i="34"/>
  <c r="S310" i="34"/>
  <c r="T310" i="34"/>
  <c r="V310" i="34"/>
  <c r="W310" i="34"/>
  <c r="X310" i="34"/>
  <c r="N311" i="34"/>
  <c r="R311" i="34"/>
  <c r="S311" i="34"/>
  <c r="T311" i="34"/>
  <c r="V311" i="34"/>
  <c r="W311" i="34"/>
  <c r="X311" i="34"/>
  <c r="N312" i="34"/>
  <c r="R312" i="34"/>
  <c r="S312" i="34"/>
  <c r="T312" i="34"/>
  <c r="V312" i="34"/>
  <c r="W312" i="34"/>
  <c r="X312" i="34"/>
  <c r="N313" i="34"/>
  <c r="R313" i="34"/>
  <c r="S313" i="34"/>
  <c r="T313" i="34"/>
  <c r="V313" i="34"/>
  <c r="W313" i="34"/>
  <c r="X313" i="34"/>
  <c r="N314" i="34"/>
  <c r="R314" i="34"/>
  <c r="S314" i="34"/>
  <c r="T314" i="34"/>
  <c r="V314" i="34"/>
  <c r="W314" i="34"/>
  <c r="X314" i="34"/>
  <c r="N315" i="34"/>
  <c r="R315" i="34"/>
  <c r="S315" i="34"/>
  <c r="T315" i="34"/>
  <c r="V315" i="34"/>
  <c r="W315" i="34"/>
  <c r="X315" i="34"/>
  <c r="N316" i="34"/>
  <c r="R316" i="34"/>
  <c r="S316" i="34"/>
  <c r="T316" i="34"/>
  <c r="V316" i="34"/>
  <c r="W316" i="34"/>
  <c r="X316" i="34"/>
  <c r="N317" i="34"/>
  <c r="R317" i="34"/>
  <c r="S317" i="34"/>
  <c r="T317" i="34"/>
  <c r="V317" i="34"/>
  <c r="W317" i="34"/>
  <c r="X317" i="34"/>
  <c r="N318" i="34"/>
  <c r="R318" i="34"/>
  <c r="S318" i="34"/>
  <c r="T318" i="34"/>
  <c r="V318" i="34"/>
  <c r="W318" i="34"/>
  <c r="X318" i="34"/>
  <c r="N319" i="34"/>
  <c r="R319" i="34"/>
  <c r="S319" i="34"/>
  <c r="T319" i="34"/>
  <c r="V319" i="34"/>
  <c r="W319" i="34"/>
  <c r="X319" i="34"/>
  <c r="N320" i="34"/>
  <c r="R320" i="34"/>
  <c r="S320" i="34"/>
  <c r="T320" i="34"/>
  <c r="V320" i="34"/>
  <c r="W320" i="34"/>
  <c r="X320" i="34"/>
  <c r="N321" i="34"/>
  <c r="R321" i="34"/>
  <c r="S321" i="34"/>
  <c r="T321" i="34"/>
  <c r="V321" i="34"/>
  <c r="W321" i="34"/>
  <c r="X321" i="34"/>
  <c r="N322" i="34"/>
  <c r="R322" i="34"/>
  <c r="S322" i="34"/>
  <c r="T322" i="34"/>
  <c r="V322" i="34"/>
  <c r="W322" i="34"/>
  <c r="X322" i="34"/>
  <c r="N323" i="34"/>
  <c r="R323" i="34"/>
  <c r="S323" i="34"/>
  <c r="T323" i="34"/>
  <c r="V323" i="34"/>
  <c r="W323" i="34"/>
  <c r="X323" i="34"/>
  <c r="N324" i="34"/>
  <c r="R324" i="34"/>
  <c r="S324" i="34"/>
  <c r="T324" i="34"/>
  <c r="V324" i="34"/>
  <c r="W324" i="34"/>
  <c r="X324" i="34"/>
  <c r="N325" i="34"/>
  <c r="R325" i="34"/>
  <c r="S325" i="34"/>
  <c r="T325" i="34"/>
  <c r="V325" i="34"/>
  <c r="W325" i="34"/>
  <c r="X325" i="34"/>
  <c r="N326" i="34"/>
  <c r="R326" i="34"/>
  <c r="S326" i="34"/>
  <c r="T326" i="34"/>
  <c r="V326" i="34"/>
  <c r="W326" i="34"/>
  <c r="X326" i="34"/>
  <c r="N327" i="34"/>
  <c r="R327" i="34"/>
  <c r="S327" i="34"/>
  <c r="T327" i="34"/>
  <c r="V327" i="34"/>
  <c r="W327" i="34"/>
  <c r="X327" i="34"/>
  <c r="N328" i="34"/>
  <c r="R328" i="34"/>
  <c r="S328" i="34"/>
  <c r="T328" i="34"/>
  <c r="V328" i="34"/>
  <c r="W328" i="34"/>
  <c r="X328" i="34"/>
  <c r="N329" i="34"/>
  <c r="R329" i="34"/>
  <c r="S329" i="34"/>
  <c r="T329" i="34"/>
  <c r="V329" i="34"/>
  <c r="W329" i="34"/>
  <c r="X329" i="34"/>
  <c r="N330" i="34"/>
  <c r="R330" i="34"/>
  <c r="S330" i="34"/>
  <c r="T330" i="34"/>
  <c r="V330" i="34"/>
  <c r="W330" i="34"/>
  <c r="X330" i="34"/>
  <c r="N331" i="34"/>
  <c r="R331" i="34"/>
  <c r="S331" i="34"/>
  <c r="T331" i="34"/>
  <c r="V331" i="34"/>
  <c r="W331" i="34"/>
  <c r="X331" i="34"/>
  <c r="N332" i="34"/>
  <c r="R332" i="34"/>
  <c r="S332" i="34"/>
  <c r="T332" i="34"/>
  <c r="V332" i="34"/>
  <c r="W332" i="34"/>
  <c r="X332" i="34"/>
  <c r="N333" i="34"/>
  <c r="R333" i="34"/>
  <c r="S333" i="34"/>
  <c r="T333" i="34"/>
  <c r="V333" i="34"/>
  <c r="W333" i="34"/>
  <c r="X333" i="34"/>
  <c r="N334" i="34"/>
  <c r="R334" i="34"/>
  <c r="S334" i="34"/>
  <c r="T334" i="34"/>
  <c r="V334" i="34"/>
  <c r="W334" i="34"/>
  <c r="X334" i="34"/>
  <c r="N335" i="34"/>
  <c r="R335" i="34"/>
  <c r="S335" i="34"/>
  <c r="T335" i="34"/>
  <c r="V335" i="34"/>
  <c r="W335" i="34"/>
  <c r="X335" i="34"/>
  <c r="N336" i="34"/>
  <c r="R336" i="34"/>
  <c r="S336" i="34"/>
  <c r="T336" i="34"/>
  <c r="V336" i="34"/>
  <c r="W336" i="34"/>
  <c r="X336" i="34"/>
  <c r="N337" i="34"/>
  <c r="R337" i="34"/>
  <c r="S337" i="34"/>
  <c r="T337" i="34"/>
  <c r="V337" i="34"/>
  <c r="W337" i="34"/>
  <c r="X337" i="34"/>
  <c r="N338" i="34"/>
  <c r="R338" i="34"/>
  <c r="S338" i="34"/>
  <c r="T338" i="34"/>
  <c r="V338" i="34"/>
  <c r="W338" i="34"/>
  <c r="X338" i="34"/>
  <c r="N339" i="34"/>
  <c r="R339" i="34"/>
  <c r="S339" i="34"/>
  <c r="T339" i="34"/>
  <c r="V339" i="34"/>
  <c r="W339" i="34"/>
  <c r="X339" i="34"/>
  <c r="N340" i="34"/>
  <c r="R340" i="34"/>
  <c r="S340" i="34"/>
  <c r="T340" i="34"/>
  <c r="V340" i="34"/>
  <c r="W340" i="34"/>
  <c r="X340" i="34"/>
  <c r="N341" i="34"/>
  <c r="R341" i="34"/>
  <c r="S341" i="34"/>
  <c r="T341" i="34"/>
  <c r="V341" i="34"/>
  <c r="W341" i="34"/>
  <c r="X341" i="34"/>
  <c r="N342" i="34"/>
  <c r="R342" i="34"/>
  <c r="S342" i="34"/>
  <c r="T342" i="34"/>
  <c r="V342" i="34"/>
  <c r="W342" i="34"/>
  <c r="X342" i="34"/>
  <c r="N343" i="34"/>
  <c r="R343" i="34"/>
  <c r="S343" i="34"/>
  <c r="T343" i="34"/>
  <c r="V343" i="34"/>
  <c r="W343" i="34"/>
  <c r="X343" i="34"/>
  <c r="N344" i="34"/>
  <c r="R344" i="34"/>
  <c r="S344" i="34"/>
  <c r="T344" i="34"/>
  <c r="V344" i="34"/>
  <c r="W344" i="34"/>
  <c r="X344" i="34"/>
  <c r="N345" i="34"/>
  <c r="R345" i="34"/>
  <c r="S345" i="34"/>
  <c r="T345" i="34"/>
  <c r="V345" i="34"/>
  <c r="W345" i="34"/>
  <c r="X345" i="34"/>
  <c r="N346" i="34"/>
  <c r="R346" i="34"/>
  <c r="S346" i="34"/>
  <c r="T346" i="34"/>
  <c r="V346" i="34"/>
  <c r="W346" i="34"/>
  <c r="X346" i="34"/>
  <c r="N347" i="34"/>
  <c r="R347" i="34"/>
  <c r="S347" i="34"/>
  <c r="T347" i="34"/>
  <c r="V347" i="34"/>
  <c r="W347" i="34"/>
  <c r="X347" i="34"/>
  <c r="N348" i="34"/>
  <c r="R348" i="34"/>
  <c r="S348" i="34"/>
  <c r="T348" i="34"/>
  <c r="V348" i="34"/>
  <c r="W348" i="34"/>
  <c r="X348" i="34"/>
  <c r="N349" i="34"/>
  <c r="R349" i="34"/>
  <c r="S349" i="34"/>
  <c r="T349" i="34"/>
  <c r="V349" i="34"/>
  <c r="W349" i="34"/>
  <c r="X349" i="34"/>
  <c r="N350" i="34"/>
  <c r="R350" i="34"/>
  <c r="S350" i="34"/>
  <c r="T350" i="34"/>
  <c r="V350" i="34"/>
  <c r="W350" i="34"/>
  <c r="X350" i="34"/>
  <c r="N351" i="34"/>
  <c r="R351" i="34"/>
  <c r="S351" i="34"/>
  <c r="T351" i="34"/>
  <c r="V351" i="34"/>
  <c r="W351" i="34"/>
  <c r="X351" i="34"/>
  <c r="N352" i="34"/>
  <c r="R352" i="34"/>
  <c r="S352" i="34"/>
  <c r="T352" i="34"/>
  <c r="V352" i="34"/>
  <c r="W352" i="34"/>
  <c r="X352" i="34"/>
  <c r="N353" i="34"/>
  <c r="R353" i="34"/>
  <c r="S353" i="34"/>
  <c r="T353" i="34"/>
  <c r="V353" i="34"/>
  <c r="W353" i="34"/>
  <c r="X353" i="34"/>
  <c r="N354" i="34"/>
  <c r="R354" i="34"/>
  <c r="S354" i="34"/>
  <c r="T354" i="34"/>
  <c r="V354" i="34"/>
  <c r="W354" i="34"/>
  <c r="X354" i="34"/>
  <c r="N355" i="34"/>
  <c r="R355" i="34"/>
  <c r="S355" i="34"/>
  <c r="T355" i="34"/>
  <c r="V355" i="34"/>
  <c r="W355" i="34"/>
  <c r="X355" i="34"/>
  <c r="N356" i="34"/>
  <c r="R356" i="34"/>
  <c r="S356" i="34"/>
  <c r="T356" i="34"/>
  <c r="V356" i="34"/>
  <c r="W356" i="34"/>
  <c r="X356" i="34"/>
  <c r="N357" i="34"/>
  <c r="R357" i="34"/>
  <c r="S357" i="34"/>
  <c r="T357" i="34"/>
  <c r="V357" i="34"/>
  <c r="W357" i="34"/>
  <c r="X357" i="34"/>
  <c r="N358" i="34"/>
  <c r="R358" i="34"/>
  <c r="S358" i="34"/>
  <c r="T358" i="34"/>
  <c r="V358" i="34"/>
  <c r="W358" i="34"/>
  <c r="X358" i="34"/>
  <c r="N359" i="34"/>
  <c r="R359" i="34"/>
  <c r="S359" i="34"/>
  <c r="T359" i="34"/>
  <c r="V359" i="34"/>
  <c r="W359" i="34"/>
  <c r="X359" i="34"/>
  <c r="N360" i="34"/>
  <c r="R360" i="34"/>
  <c r="S360" i="34"/>
  <c r="T360" i="34"/>
  <c r="V360" i="34"/>
  <c r="W360" i="34"/>
  <c r="X360" i="34"/>
  <c r="N361" i="34"/>
  <c r="R361" i="34"/>
  <c r="S361" i="34"/>
  <c r="T361" i="34"/>
  <c r="V361" i="34"/>
  <c r="W361" i="34"/>
  <c r="X361" i="34"/>
  <c r="N362" i="34"/>
  <c r="R362" i="34"/>
  <c r="S362" i="34"/>
  <c r="T362" i="34"/>
  <c r="V362" i="34"/>
  <c r="W362" i="34"/>
  <c r="X362" i="34"/>
  <c r="N363" i="34"/>
  <c r="R363" i="34"/>
  <c r="S363" i="34"/>
  <c r="T363" i="34"/>
  <c r="V363" i="34"/>
  <c r="W363" i="34"/>
  <c r="X363" i="34"/>
  <c r="N364" i="34"/>
  <c r="R364" i="34"/>
  <c r="S364" i="34"/>
  <c r="T364" i="34"/>
  <c r="V364" i="34"/>
  <c r="W364" i="34"/>
  <c r="X364" i="34"/>
  <c r="N365" i="34"/>
  <c r="R365" i="34"/>
  <c r="S365" i="34"/>
  <c r="T365" i="34"/>
  <c r="V365" i="34"/>
  <c r="W365" i="34"/>
  <c r="X365" i="34"/>
  <c r="N366" i="34"/>
  <c r="R366" i="34"/>
  <c r="S366" i="34"/>
  <c r="T366" i="34"/>
  <c r="V366" i="34"/>
  <c r="W366" i="34"/>
  <c r="X366" i="34"/>
  <c r="N367" i="34"/>
  <c r="R367" i="34"/>
  <c r="S367" i="34"/>
  <c r="T367" i="34"/>
  <c r="V367" i="34"/>
  <c r="W367" i="34"/>
  <c r="X367" i="34"/>
  <c r="N368" i="34"/>
  <c r="R368" i="34"/>
  <c r="S368" i="34"/>
  <c r="T368" i="34"/>
  <c r="V368" i="34"/>
  <c r="W368" i="34"/>
  <c r="X368" i="34"/>
  <c r="N369" i="34"/>
  <c r="R369" i="34"/>
  <c r="S369" i="34"/>
  <c r="T369" i="34"/>
  <c r="V369" i="34"/>
  <c r="W369" i="34"/>
  <c r="X369" i="34"/>
  <c r="N370" i="34"/>
  <c r="R370" i="34"/>
  <c r="S370" i="34"/>
  <c r="T370" i="34"/>
  <c r="V370" i="34"/>
  <c r="W370" i="34"/>
  <c r="X370" i="34"/>
  <c r="N371" i="34"/>
  <c r="R371" i="34"/>
  <c r="S371" i="34"/>
  <c r="T371" i="34"/>
  <c r="V371" i="34"/>
  <c r="W371" i="34"/>
  <c r="X371" i="34"/>
  <c r="N372" i="34"/>
  <c r="R372" i="34"/>
  <c r="S372" i="34"/>
  <c r="T372" i="34"/>
  <c r="V372" i="34"/>
  <c r="W372" i="34"/>
  <c r="X372" i="34"/>
  <c r="N373" i="34"/>
  <c r="R373" i="34"/>
  <c r="S373" i="34"/>
  <c r="T373" i="34"/>
  <c r="V373" i="34"/>
  <c r="W373" i="34"/>
  <c r="X373" i="34"/>
  <c r="N374" i="34"/>
  <c r="R374" i="34"/>
  <c r="S374" i="34"/>
  <c r="T374" i="34"/>
  <c r="V374" i="34"/>
  <c r="W374" i="34"/>
  <c r="X374" i="34"/>
  <c r="N375" i="34"/>
  <c r="R375" i="34"/>
  <c r="S375" i="34"/>
  <c r="T375" i="34"/>
  <c r="V375" i="34"/>
  <c r="W375" i="34"/>
  <c r="X375" i="34"/>
  <c r="N376" i="34"/>
  <c r="R376" i="34"/>
  <c r="S376" i="34"/>
  <c r="T376" i="34"/>
  <c r="V376" i="34"/>
  <c r="W376" i="34"/>
  <c r="X376" i="34"/>
  <c r="N377" i="34"/>
  <c r="R377" i="34"/>
  <c r="S377" i="34"/>
  <c r="T377" i="34"/>
  <c r="V377" i="34"/>
  <c r="W377" i="34"/>
  <c r="X377" i="34"/>
  <c r="N419" i="34"/>
  <c r="R419" i="34"/>
  <c r="S419" i="34"/>
  <c r="T419" i="34"/>
  <c r="V419" i="34"/>
  <c r="W419" i="34"/>
  <c r="X419" i="34"/>
  <c r="N420" i="34"/>
  <c r="R420" i="34"/>
  <c r="S420" i="34"/>
  <c r="T420" i="34"/>
  <c r="V420" i="34"/>
  <c r="W420" i="34"/>
  <c r="X420" i="34"/>
  <c r="N421" i="34"/>
  <c r="V421" i="34"/>
  <c r="W421" i="34"/>
  <c r="X421" i="34"/>
  <c r="N422" i="34"/>
  <c r="V422" i="34"/>
  <c r="W422" i="34"/>
  <c r="X422" i="34"/>
  <c r="N423" i="34"/>
  <c r="V423" i="34"/>
  <c r="W423" i="34"/>
  <c r="X423" i="34"/>
  <c r="N424" i="34"/>
  <c r="V424" i="34"/>
  <c r="W424" i="34"/>
  <c r="X424" i="34"/>
  <c r="N425" i="34"/>
  <c r="V425" i="34"/>
  <c r="W425" i="34"/>
  <c r="X425" i="34"/>
  <c r="N426" i="34"/>
  <c r="V426" i="34"/>
  <c r="W426" i="34"/>
  <c r="X426" i="34"/>
  <c r="N427" i="34"/>
  <c r="V427" i="34"/>
  <c r="W427" i="34"/>
  <c r="X427" i="34"/>
  <c r="N428" i="34"/>
  <c r="V428" i="34"/>
  <c r="W428" i="34"/>
  <c r="X428" i="34"/>
  <c r="N429" i="34"/>
  <c r="V429" i="34"/>
  <c r="W429" i="34"/>
  <c r="X429" i="34"/>
  <c r="N430" i="34"/>
  <c r="V430" i="34"/>
  <c r="W430" i="34"/>
  <c r="X430" i="34"/>
  <c r="N431" i="34"/>
  <c r="V431" i="34"/>
  <c r="W431" i="34"/>
  <c r="X431" i="34"/>
  <c r="N432" i="34"/>
  <c r="V432" i="34"/>
  <c r="W432" i="34"/>
  <c r="X432" i="34"/>
  <c r="N433" i="34"/>
  <c r="V433" i="34"/>
  <c r="W433" i="34"/>
  <c r="X433" i="34"/>
  <c r="N434" i="34"/>
  <c r="V434" i="34"/>
  <c r="W434" i="34"/>
  <c r="X434" i="34"/>
  <c r="N435" i="34"/>
  <c r="V435" i="34"/>
  <c r="W435" i="34"/>
  <c r="X435" i="34"/>
  <c r="N436" i="34"/>
  <c r="V436" i="34"/>
  <c r="W436" i="34"/>
  <c r="X436" i="34"/>
  <c r="N437" i="34"/>
  <c r="V437" i="34"/>
  <c r="W437" i="34"/>
  <c r="X437" i="34"/>
  <c r="N438" i="34"/>
  <c r="V438" i="34"/>
  <c r="W438" i="34"/>
  <c r="X438" i="34"/>
  <c r="N439" i="34"/>
  <c r="V439" i="34"/>
  <c r="W439" i="34"/>
  <c r="X439" i="34"/>
  <c r="N440" i="34"/>
  <c r="V440" i="34"/>
  <c r="W440" i="34"/>
  <c r="X440" i="34"/>
  <c r="N441" i="34"/>
  <c r="V441" i="34"/>
  <c r="W441" i="34"/>
  <c r="X441" i="34"/>
  <c r="N442" i="34"/>
  <c r="V442" i="34"/>
  <c r="W442" i="34"/>
  <c r="X442" i="34"/>
  <c r="N443" i="34"/>
  <c r="V443" i="34"/>
  <c r="W443" i="34"/>
  <c r="X443" i="34"/>
  <c r="N444" i="34"/>
  <c r="V444" i="34"/>
  <c r="W444" i="34"/>
  <c r="X444" i="34"/>
  <c r="N445" i="34"/>
  <c r="V445" i="34"/>
  <c r="W445" i="34"/>
  <c r="X445" i="34"/>
  <c r="N446" i="34"/>
  <c r="V446" i="34"/>
  <c r="W446" i="34"/>
  <c r="X446" i="34"/>
  <c r="N447" i="34"/>
  <c r="V447" i="34"/>
  <c r="W447" i="34"/>
  <c r="X447" i="34"/>
  <c r="N448" i="34"/>
  <c r="V448" i="34"/>
  <c r="W448" i="34"/>
  <c r="X448" i="34"/>
  <c r="N449" i="34"/>
  <c r="V449" i="34"/>
  <c r="W449" i="34"/>
  <c r="X449" i="34"/>
  <c r="N450" i="34"/>
  <c r="V450" i="34"/>
  <c r="W450" i="34"/>
  <c r="X450" i="34"/>
  <c r="N451" i="34"/>
  <c r="V451" i="34"/>
  <c r="W451" i="34"/>
  <c r="X451" i="34"/>
  <c r="N452" i="34"/>
  <c r="V452" i="34"/>
  <c r="W452" i="34"/>
  <c r="X452" i="34"/>
  <c r="N453" i="34"/>
  <c r="V453" i="34"/>
  <c r="W453" i="34"/>
  <c r="X453" i="34"/>
  <c r="N454" i="34"/>
  <c r="V454" i="34"/>
  <c r="W454" i="34"/>
  <c r="X454" i="34"/>
  <c r="N455" i="34"/>
  <c r="V455" i="34"/>
  <c r="W455" i="34"/>
  <c r="X455" i="34"/>
  <c r="N456" i="34"/>
  <c r="V456" i="34"/>
  <c r="W456" i="34"/>
  <c r="X456" i="34"/>
  <c r="N457" i="34"/>
  <c r="V457" i="34"/>
  <c r="W457" i="34"/>
  <c r="X457" i="34"/>
  <c r="N458" i="34"/>
  <c r="V458" i="34"/>
  <c r="W458" i="34"/>
  <c r="X458" i="34"/>
  <c r="N459" i="34"/>
  <c r="V459" i="34"/>
  <c r="W459" i="34"/>
  <c r="X459" i="34"/>
  <c r="N460" i="34"/>
  <c r="V460" i="34"/>
  <c r="W460" i="34"/>
  <c r="X460" i="34"/>
  <c r="N461" i="34"/>
  <c r="V461" i="34"/>
  <c r="W461" i="34"/>
  <c r="X461" i="34"/>
  <c r="N462" i="34"/>
  <c r="V462" i="34"/>
  <c r="W462" i="34"/>
  <c r="X462" i="34"/>
  <c r="N463" i="34"/>
  <c r="V463" i="34"/>
  <c r="W463" i="34"/>
  <c r="X463" i="34"/>
  <c r="N464" i="34"/>
  <c r="V464" i="34"/>
  <c r="W464" i="34"/>
  <c r="X464" i="34"/>
  <c r="N465" i="34"/>
  <c r="V465" i="34"/>
  <c r="W465" i="34"/>
  <c r="X465" i="34"/>
  <c r="N466" i="34"/>
  <c r="V466" i="34"/>
  <c r="W466" i="34"/>
  <c r="X466" i="34"/>
  <c r="N467" i="34"/>
  <c r="V467" i="34"/>
  <c r="W467" i="34"/>
  <c r="X467" i="34"/>
  <c r="N468" i="34"/>
  <c r="V468" i="34"/>
  <c r="W468" i="34"/>
  <c r="X468" i="34"/>
  <c r="N469" i="34"/>
  <c r="V469" i="34"/>
  <c r="W469" i="34"/>
  <c r="X469" i="34"/>
  <c r="N470" i="34"/>
  <c r="V470" i="34"/>
  <c r="W470" i="34"/>
  <c r="X470" i="34"/>
  <c r="N471" i="34"/>
  <c r="V471" i="34"/>
  <c r="W471" i="34"/>
  <c r="X471" i="34"/>
  <c r="N472" i="34"/>
  <c r="V472" i="34"/>
  <c r="W472" i="34"/>
  <c r="X472" i="34"/>
  <c r="N473" i="34"/>
  <c r="V473" i="34"/>
  <c r="W473" i="34"/>
  <c r="X473" i="34"/>
  <c r="N474" i="34"/>
  <c r="V474" i="34"/>
  <c r="W474" i="34"/>
  <c r="X474" i="34"/>
  <c r="N475" i="34"/>
  <c r="V475" i="34"/>
  <c r="W475" i="34"/>
  <c r="X475" i="34"/>
  <c r="N476" i="34"/>
  <c r="V476" i="34"/>
  <c r="W476" i="34"/>
  <c r="X476" i="34"/>
  <c r="N477" i="34"/>
  <c r="V477" i="34"/>
  <c r="W477" i="34"/>
  <c r="X477" i="34"/>
  <c r="N478" i="34"/>
  <c r="V478" i="34"/>
  <c r="W478" i="34"/>
  <c r="X478" i="34"/>
  <c r="N479" i="34"/>
  <c r="V479" i="34"/>
  <c r="W479" i="34"/>
  <c r="X479" i="34"/>
  <c r="N480" i="34"/>
  <c r="V480" i="34"/>
  <c r="W480" i="34"/>
  <c r="X480" i="34"/>
  <c r="N481" i="34"/>
  <c r="V481" i="34"/>
  <c r="W481" i="34"/>
  <c r="X481" i="34"/>
  <c r="N482" i="34"/>
  <c r="V482" i="34"/>
  <c r="W482" i="34"/>
  <c r="X482" i="34"/>
  <c r="N483" i="34"/>
  <c r="V483" i="34"/>
  <c r="W483" i="34"/>
  <c r="X483" i="34"/>
  <c r="N484" i="34"/>
  <c r="V484" i="34"/>
  <c r="W484" i="34"/>
  <c r="X484" i="34"/>
  <c r="N485" i="34"/>
  <c r="V485" i="34"/>
  <c r="W485" i="34"/>
  <c r="X485" i="34"/>
  <c r="N486" i="34"/>
  <c r="V486" i="34"/>
  <c r="W486" i="34"/>
  <c r="X486" i="34"/>
  <c r="N487" i="34"/>
  <c r="V487" i="34"/>
  <c r="W487" i="34"/>
  <c r="X487" i="34"/>
  <c r="N488" i="34"/>
  <c r="V488" i="34"/>
  <c r="W488" i="34"/>
  <c r="X488" i="34"/>
  <c r="N489" i="34"/>
  <c r="V489" i="34"/>
  <c r="W489" i="34"/>
  <c r="X489" i="34"/>
  <c r="N490" i="34"/>
  <c r="V490" i="34"/>
  <c r="W490" i="34"/>
  <c r="X490" i="34"/>
  <c r="N491" i="34"/>
  <c r="V491" i="34"/>
  <c r="W491" i="34"/>
  <c r="X491" i="34"/>
  <c r="N492" i="34"/>
  <c r="V492" i="34"/>
  <c r="W492" i="34"/>
  <c r="X492" i="34"/>
  <c r="N493" i="34"/>
  <c r="V493" i="34"/>
  <c r="W493" i="34"/>
  <c r="X493" i="34"/>
  <c r="N494" i="34"/>
  <c r="V494" i="34"/>
  <c r="W494" i="34"/>
  <c r="X494" i="34"/>
  <c r="N495" i="34"/>
  <c r="V495" i="34"/>
  <c r="W495" i="34"/>
  <c r="X495" i="34"/>
  <c r="N496" i="34"/>
  <c r="V496" i="34"/>
  <c r="W496" i="34"/>
  <c r="X496" i="34"/>
  <c r="N497" i="34"/>
  <c r="V497" i="34"/>
  <c r="W497" i="34"/>
  <c r="X497" i="34"/>
  <c r="N498" i="34"/>
  <c r="V498" i="34"/>
  <c r="W498" i="34"/>
  <c r="X498" i="34"/>
  <c r="N499" i="34"/>
  <c r="V499" i="34"/>
  <c r="W499" i="34"/>
  <c r="X499" i="34"/>
  <c r="N500" i="34"/>
  <c r="V500" i="34"/>
  <c r="W500" i="34"/>
  <c r="X500" i="34"/>
  <c r="N501" i="34"/>
  <c r="V501" i="34"/>
  <c r="W501" i="34"/>
  <c r="X501" i="34"/>
  <c r="N502" i="34"/>
  <c r="V502" i="34"/>
  <c r="W502" i="34"/>
  <c r="X502" i="34"/>
  <c r="N503" i="34"/>
  <c r="V503" i="34"/>
  <c r="W503" i="34"/>
  <c r="X503" i="34"/>
  <c r="N504" i="34"/>
  <c r="V504" i="34"/>
  <c r="W504" i="34"/>
  <c r="X504" i="34"/>
  <c r="N505" i="34"/>
  <c r="V505" i="34"/>
  <c r="W505" i="34"/>
  <c r="X505" i="34"/>
  <c r="N506" i="34"/>
  <c r="V506" i="34"/>
  <c r="W506" i="34"/>
  <c r="X506" i="34"/>
  <c r="N507" i="34"/>
  <c r="V507" i="34"/>
  <c r="W507" i="34"/>
  <c r="X507" i="34"/>
  <c r="N508" i="34"/>
  <c r="V508" i="34"/>
  <c r="W508" i="34"/>
  <c r="X508" i="34"/>
  <c r="N509" i="34"/>
  <c r="V509" i="34"/>
  <c r="W509" i="34"/>
  <c r="X509" i="34"/>
  <c r="N510" i="34"/>
  <c r="V510" i="34"/>
  <c r="W510" i="34"/>
  <c r="X510" i="34"/>
  <c r="N511" i="34"/>
  <c r="V511" i="34"/>
  <c r="W511" i="34"/>
  <c r="X511" i="34"/>
  <c r="N512" i="34"/>
  <c r="V512" i="34"/>
  <c r="W512" i="34"/>
  <c r="X512" i="34"/>
  <c r="N513" i="34"/>
  <c r="V513" i="34"/>
  <c r="W513" i="34"/>
  <c r="X513" i="34"/>
  <c r="N514" i="34"/>
  <c r="V514" i="34"/>
  <c r="W514" i="34"/>
  <c r="X514" i="34"/>
  <c r="N515" i="34"/>
  <c r="V515" i="34"/>
  <c r="W515" i="34"/>
  <c r="X515" i="34"/>
  <c r="N516" i="34"/>
  <c r="V516" i="34"/>
  <c r="W516" i="34"/>
  <c r="X516" i="34"/>
  <c r="N517" i="34"/>
  <c r="V517" i="34"/>
  <c r="W517" i="34"/>
  <c r="X517" i="34"/>
  <c r="N518" i="34"/>
  <c r="V518" i="34"/>
  <c r="W518" i="34"/>
  <c r="X518" i="34"/>
  <c r="N519" i="34"/>
  <c r="V519" i="34"/>
  <c r="W519" i="34"/>
  <c r="X519" i="34"/>
  <c r="N520" i="34"/>
  <c r="V520" i="34"/>
  <c r="W520" i="34"/>
  <c r="X520" i="34"/>
  <c r="N521" i="34"/>
  <c r="V521" i="34"/>
  <c r="W521" i="34"/>
  <c r="X521" i="34"/>
  <c r="N522" i="34"/>
  <c r="V522" i="34"/>
  <c r="W522" i="34"/>
  <c r="X522" i="34"/>
  <c r="N523" i="34"/>
  <c r="V523" i="34"/>
  <c r="W523" i="34"/>
  <c r="X523" i="34"/>
  <c r="N524" i="34"/>
  <c r="V524" i="34"/>
  <c r="W524" i="34"/>
  <c r="X524" i="34"/>
  <c r="N525" i="34"/>
  <c r="V525" i="34"/>
  <c r="W525" i="34"/>
  <c r="X525" i="34"/>
  <c r="N526" i="34"/>
  <c r="V526" i="34"/>
  <c r="W526" i="34"/>
  <c r="X526" i="34"/>
  <c r="N527" i="34"/>
  <c r="V527" i="34"/>
  <c r="W527" i="34"/>
  <c r="X527" i="34"/>
  <c r="N528" i="34"/>
  <c r="V528" i="34"/>
  <c r="W528" i="34"/>
  <c r="X528" i="34"/>
  <c r="N529" i="34"/>
  <c r="V529" i="34"/>
  <c r="W529" i="34"/>
  <c r="X529" i="34"/>
  <c r="N530" i="34"/>
  <c r="V530" i="34"/>
  <c r="W530" i="34"/>
  <c r="X530" i="34"/>
  <c r="N531" i="34"/>
  <c r="V531" i="34"/>
  <c r="W531" i="34"/>
  <c r="X531" i="34"/>
  <c r="N532" i="34"/>
  <c r="V532" i="34"/>
  <c r="W532" i="34"/>
  <c r="X532" i="34"/>
  <c r="N533" i="34"/>
  <c r="V533" i="34"/>
  <c r="W533" i="34"/>
  <c r="X533" i="34"/>
  <c r="N534" i="34"/>
  <c r="V534" i="34"/>
  <c r="W534" i="34"/>
  <c r="X534" i="34"/>
  <c r="N535" i="34"/>
  <c r="V535" i="34"/>
  <c r="W535" i="34"/>
  <c r="X535" i="34"/>
  <c r="N536" i="34"/>
  <c r="V536" i="34"/>
  <c r="W536" i="34"/>
  <c r="X536" i="34"/>
  <c r="N537" i="34"/>
  <c r="V537" i="34"/>
  <c r="W537" i="34"/>
  <c r="X537" i="34"/>
  <c r="N538" i="34"/>
  <c r="V538" i="34"/>
  <c r="W538" i="34"/>
  <c r="X538" i="34"/>
  <c r="N539" i="34"/>
  <c r="V539" i="34"/>
  <c r="W539" i="34"/>
  <c r="X539" i="34"/>
  <c r="N540" i="34"/>
  <c r="V540" i="34"/>
  <c r="W540" i="34"/>
  <c r="X540" i="34"/>
  <c r="N541" i="34"/>
  <c r="V541" i="34"/>
  <c r="W541" i="34"/>
  <c r="X541" i="34"/>
  <c r="N542" i="34"/>
  <c r="V542" i="34"/>
  <c r="W542" i="34"/>
  <c r="X542" i="34"/>
  <c r="N543" i="34"/>
  <c r="V543" i="34"/>
  <c r="W543" i="34"/>
  <c r="X543" i="34"/>
  <c r="N544" i="34"/>
  <c r="V544" i="34"/>
  <c r="W544" i="34"/>
  <c r="X544" i="34"/>
  <c r="N545" i="34"/>
  <c r="V545" i="34"/>
  <c r="W545" i="34"/>
  <c r="X545" i="34"/>
  <c r="N546" i="34"/>
  <c r="V546" i="34"/>
  <c r="W546" i="34"/>
  <c r="X546" i="34"/>
  <c r="N547" i="34"/>
  <c r="V547" i="34"/>
  <c r="W547" i="34"/>
  <c r="X547" i="34"/>
  <c r="N548" i="34"/>
  <c r="V548" i="34"/>
  <c r="W548" i="34"/>
  <c r="X548" i="34"/>
  <c r="N549" i="34"/>
  <c r="V549" i="34"/>
  <c r="W549" i="34"/>
  <c r="X549" i="34"/>
  <c r="N550" i="34"/>
  <c r="V550" i="34"/>
  <c r="W550" i="34"/>
  <c r="X550" i="34"/>
  <c r="N551" i="34"/>
  <c r="V551" i="34"/>
  <c r="W551" i="34"/>
  <c r="X551" i="34"/>
  <c r="N552" i="34"/>
  <c r="V552" i="34"/>
  <c r="W552" i="34"/>
  <c r="X552" i="34"/>
  <c r="N553" i="34"/>
  <c r="V553" i="34"/>
  <c r="W553" i="34"/>
  <c r="X553" i="34"/>
  <c r="N554" i="34"/>
  <c r="V554" i="34"/>
  <c r="W554" i="34"/>
  <c r="X554" i="34"/>
  <c r="N555" i="34"/>
  <c r="V555" i="34"/>
  <c r="W555" i="34"/>
  <c r="X555" i="34"/>
  <c r="N556" i="34"/>
  <c r="V556" i="34"/>
  <c r="W556" i="34"/>
  <c r="X556" i="34"/>
  <c r="N557" i="34"/>
  <c r="V557" i="34"/>
  <c r="W557" i="34"/>
  <c r="X557" i="34"/>
  <c r="N558" i="34"/>
  <c r="V558" i="34"/>
  <c r="W558" i="34"/>
  <c r="X558" i="34"/>
  <c r="N559" i="34"/>
  <c r="V559" i="34"/>
  <c r="W559" i="34"/>
  <c r="X559" i="34"/>
  <c r="N560" i="34"/>
  <c r="V560" i="34"/>
  <c r="W560" i="34"/>
  <c r="X560" i="34"/>
  <c r="N561" i="34"/>
  <c r="V561" i="34"/>
  <c r="W561" i="34"/>
  <c r="X561" i="34"/>
  <c r="N562" i="34"/>
  <c r="V562" i="34"/>
  <c r="W562" i="34"/>
  <c r="X562" i="34"/>
  <c r="N563" i="34"/>
  <c r="V563" i="34"/>
  <c r="W563" i="34"/>
  <c r="X563" i="34"/>
  <c r="N564" i="34"/>
  <c r="V564" i="34"/>
  <c r="W564" i="34"/>
  <c r="X564" i="34"/>
  <c r="N565" i="34"/>
  <c r="V565" i="34"/>
  <c r="W565" i="34"/>
  <c r="X565" i="34"/>
  <c r="N566" i="34"/>
  <c r="V566" i="34"/>
  <c r="W566" i="34"/>
  <c r="X566" i="34"/>
  <c r="N567" i="34"/>
  <c r="V567" i="34"/>
  <c r="W567" i="34"/>
  <c r="X567" i="34"/>
  <c r="N568" i="34"/>
  <c r="V568" i="34"/>
  <c r="W568" i="34"/>
  <c r="X568" i="34"/>
  <c r="N569" i="34"/>
  <c r="V569" i="34"/>
  <c r="W569" i="34"/>
  <c r="X569" i="34"/>
  <c r="N570" i="34"/>
  <c r="V570" i="34"/>
  <c r="W570" i="34"/>
  <c r="X570" i="34"/>
  <c r="N571" i="34"/>
  <c r="V571" i="34"/>
  <c r="W571" i="34"/>
  <c r="X571" i="34"/>
  <c r="N572" i="34"/>
  <c r="V572" i="34"/>
  <c r="W572" i="34"/>
  <c r="X572" i="34"/>
  <c r="N573" i="34"/>
  <c r="V573" i="34"/>
  <c r="W573" i="34"/>
  <c r="X573" i="34"/>
  <c r="N574" i="34"/>
  <c r="V574" i="34"/>
  <c r="W574" i="34"/>
  <c r="X574" i="34"/>
  <c r="N575" i="34"/>
  <c r="V575" i="34"/>
  <c r="W575" i="34"/>
  <c r="X575" i="34"/>
  <c r="N576" i="34"/>
  <c r="V576" i="34"/>
  <c r="W576" i="34"/>
  <c r="X576" i="34"/>
  <c r="N577" i="34"/>
  <c r="V577" i="34"/>
  <c r="W577" i="34"/>
  <c r="X577" i="34"/>
  <c r="N578" i="34"/>
  <c r="V578" i="34"/>
  <c r="W578" i="34"/>
  <c r="X578" i="34"/>
  <c r="N579" i="34"/>
  <c r="V579" i="34"/>
  <c r="W579" i="34"/>
  <c r="X579" i="34"/>
  <c r="N580" i="34"/>
  <c r="V580" i="34"/>
  <c r="W580" i="34"/>
  <c r="X580" i="34"/>
  <c r="N581" i="34"/>
  <c r="V581" i="34"/>
  <c r="W581" i="34"/>
  <c r="X581" i="34"/>
  <c r="N582" i="34"/>
  <c r="V582" i="34"/>
  <c r="W582" i="34"/>
  <c r="X582" i="34"/>
  <c r="N583" i="34"/>
  <c r="V583" i="34"/>
  <c r="W583" i="34"/>
  <c r="X583" i="34"/>
  <c r="N584" i="34"/>
  <c r="V584" i="34"/>
  <c r="W584" i="34"/>
  <c r="X584" i="34"/>
  <c r="N585" i="34"/>
  <c r="V585" i="34"/>
  <c r="W585" i="34"/>
  <c r="X585" i="34"/>
  <c r="N586" i="34"/>
  <c r="V586" i="34"/>
  <c r="W586" i="34"/>
  <c r="X586" i="34"/>
  <c r="N587" i="34"/>
  <c r="V587" i="34"/>
  <c r="W587" i="34"/>
  <c r="X587" i="34"/>
  <c r="N588" i="34"/>
  <c r="V588" i="34"/>
  <c r="W588" i="34"/>
  <c r="X588" i="34"/>
  <c r="N589" i="34"/>
  <c r="V589" i="34"/>
  <c r="W589" i="34"/>
  <c r="X589" i="34"/>
  <c r="N590" i="34"/>
  <c r="V590" i="34"/>
  <c r="W590" i="34"/>
  <c r="X590" i="34"/>
  <c r="N591" i="34"/>
  <c r="V591" i="34"/>
  <c r="W591" i="34"/>
  <c r="X591" i="34"/>
  <c r="N592" i="34"/>
  <c r="V592" i="34"/>
  <c r="W592" i="34"/>
  <c r="X592" i="34"/>
  <c r="N593" i="34"/>
  <c r="V593" i="34"/>
  <c r="W593" i="34"/>
  <c r="X593" i="34"/>
  <c r="N594" i="34"/>
  <c r="V594" i="34"/>
  <c r="W594" i="34"/>
  <c r="X594" i="34"/>
  <c r="N595" i="34"/>
  <c r="V595" i="34"/>
  <c r="W595" i="34"/>
  <c r="X595" i="34"/>
  <c r="N596" i="34"/>
  <c r="V596" i="34"/>
  <c r="W596" i="34"/>
  <c r="X596" i="34"/>
  <c r="N597" i="34"/>
  <c r="V597" i="34"/>
  <c r="W597" i="34"/>
  <c r="X597" i="34"/>
  <c r="N598" i="34"/>
  <c r="V598" i="34"/>
  <c r="W598" i="34"/>
  <c r="X598" i="34"/>
  <c r="N599" i="34"/>
  <c r="V599" i="34"/>
  <c r="W599" i="34"/>
  <c r="X599" i="34"/>
  <c r="N600" i="34"/>
  <c r="V600" i="34"/>
  <c r="W600" i="34"/>
  <c r="X600" i="34"/>
  <c r="N601" i="34"/>
  <c r="V601" i="34"/>
  <c r="W601" i="34"/>
  <c r="X601" i="34"/>
  <c r="N602" i="34"/>
  <c r="V602" i="34"/>
  <c r="W602" i="34"/>
  <c r="X602" i="34"/>
  <c r="N603" i="34"/>
  <c r="V603" i="34"/>
  <c r="W603" i="34"/>
  <c r="X603" i="34"/>
  <c r="N604" i="34"/>
  <c r="V604" i="34"/>
  <c r="W604" i="34"/>
  <c r="X604" i="34"/>
  <c r="N605" i="34"/>
  <c r="V605" i="34"/>
  <c r="W605" i="34"/>
  <c r="X605" i="34"/>
  <c r="N606" i="34"/>
  <c r="V606" i="34"/>
  <c r="W606" i="34"/>
  <c r="X606" i="34"/>
  <c r="N607" i="34"/>
  <c r="V607" i="34"/>
  <c r="W607" i="34"/>
  <c r="X607" i="34"/>
  <c r="N608" i="34"/>
  <c r="V608" i="34"/>
  <c r="W608" i="34"/>
  <c r="X608" i="34"/>
  <c r="N609" i="34"/>
  <c r="V609" i="34"/>
  <c r="W609" i="34"/>
  <c r="X609" i="34"/>
  <c r="N610" i="34"/>
  <c r="V610" i="34"/>
  <c r="W610" i="34"/>
  <c r="X610" i="34"/>
  <c r="N611" i="34"/>
  <c r="V611" i="34"/>
  <c r="W611" i="34"/>
  <c r="X611" i="34"/>
  <c r="N612" i="34"/>
  <c r="V612" i="34"/>
  <c r="W612" i="34"/>
  <c r="X612" i="34"/>
  <c r="N613" i="34"/>
  <c r="V613" i="34"/>
  <c r="W613" i="34"/>
  <c r="X613" i="34"/>
  <c r="N614" i="34"/>
  <c r="V614" i="34"/>
  <c r="W614" i="34"/>
  <c r="X614" i="34"/>
  <c r="N615" i="34"/>
  <c r="V615" i="34"/>
  <c r="W615" i="34"/>
  <c r="X615" i="34"/>
  <c r="N616" i="34"/>
  <c r="V616" i="34"/>
  <c r="W616" i="34"/>
  <c r="X616" i="34"/>
  <c r="N617" i="34"/>
  <c r="V617" i="34"/>
  <c r="W617" i="34"/>
  <c r="X617" i="34"/>
  <c r="N618" i="34"/>
  <c r="V618" i="34"/>
  <c r="W618" i="34"/>
  <c r="X618" i="34"/>
  <c r="N619" i="34"/>
  <c r="V619" i="34"/>
  <c r="W619" i="34"/>
  <c r="X619" i="34"/>
  <c r="N620" i="34"/>
  <c r="V620" i="34"/>
  <c r="W620" i="34"/>
  <c r="X620" i="34"/>
  <c r="N621" i="34"/>
  <c r="V621" i="34"/>
  <c r="W621" i="34"/>
  <c r="X621" i="34"/>
  <c r="N622" i="34"/>
  <c r="V622" i="34"/>
  <c r="W622" i="34"/>
  <c r="X622" i="34"/>
  <c r="N623" i="34"/>
  <c r="V623" i="34"/>
  <c r="W623" i="34"/>
  <c r="X623" i="34"/>
  <c r="N624" i="34"/>
  <c r="V624" i="34"/>
  <c r="W624" i="34"/>
  <c r="X624" i="34"/>
  <c r="N625" i="34"/>
  <c r="V625" i="34"/>
  <c r="W625" i="34"/>
  <c r="X625" i="34"/>
  <c r="N626" i="34"/>
  <c r="V626" i="34"/>
  <c r="W626" i="34"/>
  <c r="X626" i="34"/>
  <c r="N627" i="34"/>
  <c r="V627" i="34"/>
  <c r="W627" i="34"/>
  <c r="X627" i="34"/>
  <c r="N628" i="34"/>
  <c r="V628" i="34"/>
  <c r="W628" i="34"/>
  <c r="X628" i="34"/>
  <c r="N629" i="34"/>
  <c r="V629" i="34"/>
  <c r="W629" i="34"/>
  <c r="X629" i="34"/>
  <c r="N630" i="34"/>
  <c r="V630" i="34"/>
  <c r="W630" i="34"/>
  <c r="X630" i="34"/>
  <c r="N631" i="34"/>
  <c r="V631" i="34"/>
  <c r="W631" i="34"/>
  <c r="X631" i="34"/>
  <c r="N632" i="34"/>
  <c r="V632" i="34"/>
  <c r="W632" i="34"/>
  <c r="X632" i="34"/>
  <c r="N633" i="34"/>
  <c r="V633" i="34"/>
  <c r="W633" i="34"/>
  <c r="X633" i="34"/>
  <c r="N634" i="34"/>
  <c r="V634" i="34"/>
  <c r="W634" i="34"/>
  <c r="X634" i="34"/>
  <c r="N635" i="34"/>
  <c r="V635" i="34"/>
  <c r="W635" i="34"/>
  <c r="X635" i="34"/>
  <c r="N636" i="34"/>
  <c r="V636" i="34"/>
  <c r="W636" i="34"/>
  <c r="X636" i="34"/>
  <c r="N637" i="34"/>
  <c r="V637" i="34"/>
  <c r="W637" i="34"/>
  <c r="X637" i="34"/>
  <c r="N638" i="34"/>
  <c r="V638" i="34"/>
  <c r="W638" i="34"/>
  <c r="X638" i="34"/>
  <c r="N639" i="34"/>
  <c r="V639" i="34"/>
  <c r="W639" i="34"/>
  <c r="X639" i="34"/>
  <c r="N640" i="34"/>
  <c r="V640" i="34"/>
  <c r="W640" i="34"/>
  <c r="X640" i="34"/>
  <c r="N641" i="34"/>
  <c r="V641" i="34"/>
  <c r="W641" i="34"/>
  <c r="X641" i="34"/>
  <c r="N642" i="34"/>
  <c r="V642" i="34"/>
  <c r="W642" i="34"/>
  <c r="X642" i="34"/>
  <c r="N643" i="34"/>
  <c r="V643" i="34"/>
  <c r="W643" i="34"/>
  <c r="X643" i="34"/>
  <c r="N644" i="34"/>
  <c r="V644" i="34"/>
  <c r="W644" i="34"/>
  <c r="X644" i="34"/>
  <c r="N645" i="34"/>
  <c r="V645" i="34"/>
  <c r="W645" i="34"/>
  <c r="X645" i="34"/>
  <c r="N646" i="34"/>
  <c r="V646" i="34"/>
  <c r="W646" i="34"/>
  <c r="X646" i="34"/>
  <c r="N647" i="34"/>
  <c r="V647" i="34"/>
  <c r="W647" i="34"/>
  <c r="X647" i="34"/>
  <c r="N648" i="34"/>
  <c r="V648" i="34"/>
  <c r="W648" i="34"/>
  <c r="X648" i="34"/>
  <c r="N649" i="34"/>
  <c r="V649" i="34"/>
  <c r="W649" i="34"/>
  <c r="X649" i="34"/>
  <c r="N650" i="34"/>
  <c r="V650" i="34"/>
  <c r="W650" i="34"/>
  <c r="X650" i="34"/>
  <c r="N651" i="34"/>
  <c r="V651" i="34"/>
  <c r="W651" i="34"/>
  <c r="X651" i="34"/>
  <c r="N652" i="34"/>
  <c r="V652" i="34"/>
  <c r="W652" i="34"/>
  <c r="X652" i="34"/>
  <c r="N653" i="34"/>
  <c r="V653" i="34"/>
  <c r="W653" i="34"/>
  <c r="X653" i="34"/>
  <c r="N654" i="34"/>
  <c r="V654" i="34"/>
  <c r="W654" i="34"/>
  <c r="X654" i="34"/>
  <c r="N655" i="34"/>
  <c r="V655" i="34"/>
  <c r="W655" i="34"/>
  <c r="X655" i="34"/>
  <c r="N656" i="34"/>
  <c r="V656" i="34"/>
  <c r="W656" i="34"/>
  <c r="X656" i="34"/>
  <c r="N657" i="34"/>
  <c r="V657" i="34"/>
  <c r="W657" i="34"/>
  <c r="X657" i="34"/>
  <c r="N658" i="34"/>
  <c r="V658" i="34"/>
  <c r="W658" i="34"/>
  <c r="X658" i="34"/>
  <c r="N659" i="34"/>
  <c r="V659" i="34"/>
  <c r="W659" i="34"/>
  <c r="X659" i="34"/>
  <c r="N660" i="34"/>
  <c r="V660" i="34"/>
  <c r="W660" i="34"/>
  <c r="X660" i="34"/>
  <c r="N661" i="34"/>
  <c r="V661" i="34"/>
  <c r="W661" i="34"/>
  <c r="X661" i="34"/>
  <c r="N662" i="34"/>
  <c r="V662" i="34"/>
  <c r="W662" i="34"/>
  <c r="X662" i="34"/>
  <c r="N663" i="34"/>
  <c r="V663" i="34"/>
  <c r="W663" i="34"/>
  <c r="X663" i="34"/>
  <c r="N664" i="34"/>
  <c r="V664" i="34"/>
  <c r="W664" i="34"/>
  <c r="X664" i="34"/>
  <c r="N665" i="34"/>
  <c r="V665" i="34"/>
  <c r="W665" i="34"/>
  <c r="X665" i="34"/>
  <c r="N666" i="34"/>
  <c r="V666" i="34"/>
  <c r="W666" i="34"/>
  <c r="X666" i="34"/>
  <c r="N667" i="34"/>
  <c r="V667" i="34"/>
  <c r="W667" i="34"/>
  <c r="X667" i="34"/>
  <c r="N668" i="34"/>
  <c r="V668" i="34"/>
  <c r="W668" i="34"/>
  <c r="X668" i="34"/>
  <c r="N669" i="34"/>
  <c r="V669" i="34"/>
  <c r="W669" i="34"/>
  <c r="X669" i="34"/>
  <c r="N670" i="34"/>
  <c r="V670" i="34"/>
  <c r="W670" i="34"/>
  <c r="X670" i="34"/>
  <c r="N671" i="34"/>
  <c r="V671" i="34"/>
  <c r="W671" i="34"/>
  <c r="X671" i="34"/>
  <c r="N672" i="34"/>
  <c r="V672" i="34"/>
  <c r="W672" i="34"/>
  <c r="X672" i="34"/>
  <c r="N673" i="34"/>
  <c r="V673" i="34"/>
  <c r="W673" i="34"/>
  <c r="X673" i="34"/>
  <c r="N674" i="34"/>
  <c r="V674" i="34"/>
  <c r="W674" i="34"/>
  <c r="X674" i="34"/>
  <c r="N675" i="34"/>
  <c r="V675" i="34"/>
  <c r="W675" i="34"/>
  <c r="X675" i="34"/>
  <c r="N676" i="34"/>
  <c r="V676" i="34"/>
  <c r="W676" i="34"/>
  <c r="X676" i="34"/>
  <c r="N677" i="34"/>
  <c r="V677" i="34"/>
  <c r="W677" i="34"/>
  <c r="X677" i="34"/>
  <c r="N678" i="34"/>
  <c r="V678" i="34"/>
  <c r="W678" i="34"/>
  <c r="X678" i="34"/>
  <c r="N679" i="34"/>
  <c r="V679" i="34"/>
  <c r="W679" i="34"/>
  <c r="X679" i="34"/>
  <c r="N680" i="34"/>
  <c r="V680" i="34"/>
  <c r="W680" i="34"/>
  <c r="X680" i="34"/>
  <c r="N681" i="34"/>
  <c r="V681" i="34"/>
  <c r="W681" i="34"/>
  <c r="X681" i="34"/>
  <c r="N682" i="34"/>
  <c r="V682" i="34"/>
  <c r="W682" i="34"/>
  <c r="X682" i="34"/>
  <c r="N683" i="34"/>
  <c r="V683" i="34"/>
  <c r="W683" i="34"/>
  <c r="X683" i="34"/>
  <c r="N799" i="34"/>
  <c r="V799" i="34"/>
  <c r="W799" i="34"/>
  <c r="X799" i="34"/>
  <c r="N831" i="34"/>
  <c r="V831" i="34"/>
  <c r="W831" i="34"/>
  <c r="X831" i="34"/>
  <c r="N832" i="34"/>
  <c r="V832" i="34"/>
  <c r="W832" i="34"/>
  <c r="X832" i="34"/>
  <c r="N833" i="34"/>
  <c r="V833" i="34"/>
  <c r="W833" i="34"/>
  <c r="X833" i="34"/>
  <c r="N834" i="34"/>
  <c r="V834" i="34"/>
  <c r="W834" i="34"/>
  <c r="X834" i="34"/>
  <c r="N835" i="34"/>
  <c r="V835" i="34"/>
  <c r="W835" i="34"/>
  <c r="X835" i="34"/>
  <c r="N836" i="34"/>
  <c r="V836" i="34"/>
  <c r="W836" i="34"/>
  <c r="X836" i="34"/>
  <c r="N837" i="34"/>
  <c r="V837" i="34"/>
  <c r="W837" i="34"/>
  <c r="X837" i="34"/>
  <c r="N838" i="34"/>
  <c r="R838" i="34"/>
  <c r="S838" i="34"/>
  <c r="T838" i="34"/>
  <c r="V838" i="34"/>
  <c r="W838" i="34"/>
  <c r="X838" i="34"/>
  <c r="N839" i="34"/>
  <c r="R839" i="34"/>
  <c r="S839" i="34"/>
  <c r="T839" i="34"/>
  <c r="V839" i="34"/>
  <c r="W839" i="34"/>
  <c r="X839" i="34"/>
  <c r="N840" i="34"/>
  <c r="R840" i="34"/>
  <c r="S840" i="34"/>
  <c r="T840" i="34"/>
  <c r="V840" i="34"/>
  <c r="W840" i="34"/>
  <c r="X840" i="34"/>
  <c r="N841" i="34"/>
  <c r="R841" i="34"/>
  <c r="S841" i="34"/>
  <c r="T841" i="34"/>
  <c r="V841" i="34"/>
  <c r="W841" i="34"/>
  <c r="X841" i="34"/>
  <c r="N842" i="34"/>
  <c r="R842" i="34"/>
  <c r="S842" i="34"/>
  <c r="T842" i="34"/>
  <c r="V842" i="34"/>
  <c r="W842" i="34"/>
  <c r="X842" i="34"/>
  <c r="N843" i="34"/>
  <c r="R843" i="34"/>
  <c r="S843" i="34"/>
  <c r="T843" i="34"/>
  <c r="V843" i="34"/>
  <c r="W843" i="34"/>
  <c r="X843" i="34"/>
  <c r="N844" i="34"/>
  <c r="R844" i="34"/>
  <c r="S844" i="34"/>
  <c r="T844" i="34"/>
  <c r="V844" i="34"/>
  <c r="W844" i="34"/>
  <c r="X844" i="34"/>
  <c r="N845" i="34"/>
  <c r="R845" i="34"/>
  <c r="S845" i="34"/>
  <c r="T845" i="34"/>
  <c r="V845" i="34"/>
  <c r="W845" i="34"/>
  <c r="X845" i="34"/>
  <c r="N846" i="34"/>
  <c r="R846" i="34"/>
  <c r="S846" i="34"/>
  <c r="T846" i="34"/>
  <c r="V846" i="34"/>
  <c r="W846" i="34"/>
  <c r="X846" i="34"/>
  <c r="N847" i="34"/>
  <c r="R847" i="34"/>
  <c r="S847" i="34"/>
  <c r="T847" i="34"/>
  <c r="V847" i="34"/>
  <c r="W847" i="34"/>
  <c r="X847" i="34"/>
  <c r="N848" i="34"/>
  <c r="R848" i="34"/>
  <c r="S848" i="34"/>
  <c r="T848" i="34"/>
  <c r="V848" i="34"/>
  <c r="W848" i="34"/>
  <c r="X848" i="34"/>
  <c r="N849" i="34"/>
  <c r="R849" i="34"/>
  <c r="S849" i="34"/>
  <c r="T849" i="34"/>
  <c r="V849" i="34"/>
  <c r="W849" i="34"/>
  <c r="X849" i="34"/>
  <c r="N850" i="34"/>
  <c r="R850" i="34"/>
  <c r="S850" i="34"/>
  <c r="T850" i="34"/>
  <c r="V850" i="34"/>
  <c r="W850" i="34"/>
  <c r="X850" i="34"/>
  <c r="N851" i="34"/>
  <c r="R851" i="34"/>
  <c r="S851" i="34"/>
  <c r="T851" i="34"/>
  <c r="V851" i="34"/>
  <c r="W851" i="34"/>
  <c r="X851" i="34"/>
  <c r="N852" i="34"/>
  <c r="R852" i="34"/>
  <c r="S852" i="34"/>
  <c r="T852" i="34"/>
  <c r="V852" i="34"/>
  <c r="W852" i="34"/>
  <c r="X852" i="34"/>
  <c r="N853" i="34"/>
  <c r="R853" i="34"/>
  <c r="S853" i="34"/>
  <c r="T853" i="34"/>
  <c r="V853" i="34"/>
  <c r="W853" i="34"/>
  <c r="X853" i="34"/>
  <c r="N854" i="34"/>
  <c r="R854" i="34"/>
  <c r="S854" i="34"/>
  <c r="T854" i="34"/>
  <c r="V854" i="34"/>
  <c r="W854" i="34"/>
  <c r="X854" i="34"/>
  <c r="N855" i="34"/>
  <c r="R855" i="34"/>
  <c r="S855" i="34"/>
  <c r="T855" i="34"/>
  <c r="V855" i="34"/>
  <c r="W855" i="34"/>
  <c r="X855" i="34"/>
  <c r="N856" i="34"/>
  <c r="R856" i="34"/>
  <c r="S856" i="34"/>
  <c r="T856" i="34"/>
  <c r="V856" i="34"/>
  <c r="W856" i="34"/>
  <c r="X856" i="34"/>
  <c r="N857" i="34"/>
  <c r="R857" i="34"/>
  <c r="S857" i="34"/>
  <c r="T857" i="34"/>
  <c r="V857" i="34"/>
  <c r="W857" i="34"/>
  <c r="X857" i="34"/>
  <c r="N858" i="34"/>
  <c r="R858" i="34"/>
  <c r="S858" i="34"/>
  <c r="T858" i="34"/>
  <c r="V858" i="34"/>
  <c r="W858" i="34"/>
  <c r="X858" i="34"/>
  <c r="N859" i="34"/>
  <c r="R859" i="34"/>
  <c r="S859" i="34"/>
  <c r="T859" i="34"/>
  <c r="V859" i="34"/>
  <c r="W859" i="34"/>
  <c r="X859" i="34"/>
  <c r="N860" i="34"/>
  <c r="R860" i="34"/>
  <c r="S860" i="34"/>
  <c r="T860" i="34"/>
  <c r="V860" i="34"/>
  <c r="W860" i="34"/>
  <c r="X860" i="34"/>
  <c r="N861" i="34"/>
  <c r="R861" i="34"/>
  <c r="S861" i="34"/>
  <c r="T861" i="34"/>
  <c r="V861" i="34"/>
  <c r="W861" i="34"/>
  <c r="X861" i="34"/>
  <c r="N862" i="34"/>
  <c r="R862" i="34"/>
  <c r="S862" i="34"/>
  <c r="T862" i="34"/>
  <c r="V862" i="34"/>
  <c r="W862" i="34"/>
  <c r="X862" i="34"/>
  <c r="N863" i="34"/>
  <c r="R863" i="34"/>
  <c r="S863" i="34"/>
  <c r="T863" i="34"/>
  <c r="V863" i="34"/>
  <c r="W863" i="34"/>
  <c r="X863" i="34"/>
  <c r="N864" i="34"/>
  <c r="R864" i="34"/>
  <c r="S864" i="34"/>
  <c r="T864" i="34"/>
  <c r="V864" i="34"/>
  <c r="W864" i="34"/>
  <c r="X864" i="34"/>
  <c r="N865" i="34"/>
  <c r="R865" i="34"/>
  <c r="S865" i="34"/>
  <c r="T865" i="34"/>
  <c r="V865" i="34"/>
  <c r="W865" i="34"/>
  <c r="X865" i="34"/>
  <c r="N866" i="34"/>
  <c r="R866" i="34"/>
  <c r="S866" i="34"/>
  <c r="T866" i="34"/>
  <c r="V866" i="34"/>
  <c r="W866" i="34"/>
  <c r="X866" i="34"/>
  <c r="N867" i="34"/>
  <c r="R867" i="34"/>
  <c r="S867" i="34"/>
  <c r="T867" i="34"/>
  <c r="V867" i="34"/>
  <c r="W867" i="34"/>
  <c r="X867" i="34"/>
  <c r="N868" i="34"/>
  <c r="R868" i="34"/>
  <c r="S868" i="34"/>
  <c r="T868" i="34"/>
  <c r="V868" i="34"/>
  <c r="W868" i="34"/>
  <c r="X868" i="34"/>
  <c r="N869" i="34"/>
  <c r="R869" i="34"/>
  <c r="S869" i="34"/>
  <c r="T869" i="34"/>
  <c r="V869" i="34"/>
  <c r="W869" i="34"/>
  <c r="X869" i="34"/>
  <c r="N870" i="34"/>
  <c r="R870" i="34"/>
  <c r="S870" i="34"/>
  <c r="T870" i="34"/>
  <c r="V870" i="34"/>
  <c r="W870" i="34"/>
  <c r="X870" i="34"/>
  <c r="N871" i="34"/>
  <c r="R871" i="34"/>
  <c r="S871" i="34"/>
  <c r="T871" i="34"/>
  <c r="V871" i="34"/>
  <c r="W871" i="34"/>
  <c r="X871" i="34"/>
  <c r="N872" i="34"/>
  <c r="R872" i="34"/>
  <c r="S872" i="34"/>
  <c r="T872" i="34"/>
  <c r="V872" i="34"/>
  <c r="W872" i="34"/>
  <c r="X872" i="34"/>
  <c r="N873" i="34"/>
  <c r="R873" i="34"/>
  <c r="S873" i="34"/>
  <c r="T873" i="34"/>
  <c r="V873" i="34"/>
  <c r="W873" i="34"/>
  <c r="X873" i="34"/>
  <c r="N874" i="34"/>
  <c r="R874" i="34"/>
  <c r="S874" i="34"/>
  <c r="T874" i="34"/>
  <c r="V874" i="34"/>
  <c r="W874" i="34"/>
  <c r="X874" i="34"/>
  <c r="N875" i="34"/>
  <c r="R875" i="34"/>
  <c r="S875" i="34"/>
  <c r="T875" i="34"/>
  <c r="V875" i="34"/>
  <c r="W875" i="34"/>
  <c r="X875" i="34"/>
  <c r="N876" i="34"/>
  <c r="R876" i="34"/>
  <c r="S876" i="34"/>
  <c r="T876" i="34"/>
  <c r="V876" i="34"/>
  <c r="W876" i="34"/>
  <c r="X876" i="34"/>
  <c r="N877" i="34"/>
  <c r="R877" i="34"/>
  <c r="S877" i="34"/>
  <c r="T877" i="34"/>
  <c r="V877" i="34"/>
  <c r="W877" i="34"/>
  <c r="X877" i="34"/>
  <c r="N878" i="34"/>
  <c r="R878" i="34"/>
  <c r="S878" i="34"/>
  <c r="T878" i="34"/>
  <c r="V878" i="34"/>
  <c r="W878" i="34"/>
  <c r="X878" i="34"/>
  <c r="N879" i="34"/>
  <c r="R879" i="34"/>
  <c r="S879" i="34"/>
  <c r="T879" i="34"/>
  <c r="V879" i="34"/>
  <c r="W879" i="34"/>
  <c r="X879" i="34"/>
  <c r="N880" i="34"/>
  <c r="R880" i="34"/>
  <c r="S880" i="34"/>
  <c r="T880" i="34"/>
  <c r="V880" i="34"/>
  <c r="W880" i="34"/>
  <c r="X880" i="34"/>
  <c r="N881" i="34"/>
  <c r="R881" i="34"/>
  <c r="S881" i="34"/>
  <c r="T881" i="34"/>
  <c r="V881" i="34"/>
  <c r="W881" i="34"/>
  <c r="X881" i="34"/>
  <c r="N882" i="34"/>
  <c r="R882" i="34"/>
  <c r="S882" i="34"/>
  <c r="T882" i="34"/>
  <c r="V882" i="34"/>
  <c r="W882" i="34"/>
  <c r="X882" i="34"/>
  <c r="N883" i="34"/>
  <c r="R883" i="34"/>
  <c r="S883" i="34"/>
  <c r="T883" i="34"/>
  <c r="V883" i="34"/>
  <c r="W883" i="34"/>
  <c r="X883" i="34"/>
  <c r="N884" i="34"/>
  <c r="R884" i="34"/>
  <c r="S884" i="34"/>
  <c r="T884" i="34"/>
  <c r="V884" i="34"/>
  <c r="W884" i="34"/>
  <c r="X884" i="34"/>
  <c r="N885" i="34"/>
  <c r="R885" i="34"/>
  <c r="S885" i="34"/>
  <c r="T885" i="34"/>
  <c r="V885" i="34"/>
  <c r="W885" i="34"/>
  <c r="X885" i="34"/>
  <c r="N886" i="34"/>
  <c r="R886" i="34"/>
  <c r="S886" i="34"/>
  <c r="T886" i="34"/>
  <c r="V886" i="34"/>
  <c r="W886" i="34"/>
  <c r="X886" i="34"/>
  <c r="N887" i="34"/>
  <c r="R887" i="34"/>
  <c r="S887" i="34"/>
  <c r="T887" i="34"/>
  <c r="V887" i="34"/>
  <c r="W887" i="34"/>
  <c r="X887" i="34"/>
  <c r="N888" i="34"/>
  <c r="R888" i="34"/>
  <c r="S888" i="34"/>
  <c r="T888" i="34"/>
  <c r="V888" i="34"/>
  <c r="W888" i="34"/>
  <c r="X888" i="34"/>
  <c r="N889" i="34"/>
  <c r="R889" i="34"/>
  <c r="S889" i="34"/>
  <c r="T889" i="34"/>
  <c r="V889" i="34"/>
  <c r="W889" i="34"/>
  <c r="X889" i="34"/>
  <c r="N890" i="34"/>
  <c r="R890" i="34"/>
  <c r="S890" i="34"/>
  <c r="T890" i="34"/>
  <c r="V890" i="34"/>
  <c r="W890" i="34"/>
  <c r="X890" i="34"/>
  <c r="N891" i="34"/>
  <c r="R891" i="34"/>
  <c r="S891" i="34"/>
  <c r="T891" i="34"/>
  <c r="V891" i="34"/>
  <c r="W891" i="34"/>
  <c r="X891" i="34"/>
  <c r="N892" i="34"/>
  <c r="R892" i="34"/>
  <c r="S892" i="34"/>
  <c r="T892" i="34"/>
  <c r="V892" i="34"/>
  <c r="W892" i="34"/>
  <c r="X892" i="34"/>
  <c r="N893" i="34"/>
  <c r="R893" i="34"/>
  <c r="S893" i="34"/>
  <c r="T893" i="34"/>
  <c r="V893" i="34"/>
  <c r="W893" i="34"/>
  <c r="X893" i="34"/>
  <c r="N894" i="34"/>
  <c r="R894" i="34"/>
  <c r="S894" i="34"/>
  <c r="T894" i="34"/>
  <c r="V894" i="34"/>
  <c r="W894" i="34"/>
  <c r="X894" i="34"/>
  <c r="N895" i="34"/>
  <c r="R895" i="34"/>
  <c r="S895" i="34"/>
  <c r="T895" i="34"/>
  <c r="V895" i="34"/>
  <c r="W895" i="34"/>
  <c r="X895" i="34"/>
  <c r="N896" i="34"/>
  <c r="R896" i="34"/>
  <c r="S896" i="34"/>
  <c r="T896" i="34"/>
  <c r="V896" i="34"/>
  <c r="W896" i="34"/>
  <c r="X896" i="34"/>
  <c r="N897" i="34"/>
  <c r="R897" i="34"/>
  <c r="S897" i="34"/>
  <c r="T897" i="34"/>
  <c r="V897" i="34"/>
  <c r="W897" i="34"/>
  <c r="X897" i="34"/>
  <c r="N898" i="34"/>
  <c r="R898" i="34"/>
  <c r="S898" i="34"/>
  <c r="T898" i="34"/>
  <c r="V898" i="34"/>
  <c r="W898" i="34"/>
  <c r="X898" i="34"/>
  <c r="N899" i="34"/>
  <c r="R899" i="34"/>
  <c r="S899" i="34"/>
  <c r="T899" i="34"/>
  <c r="V899" i="34"/>
  <c r="W899" i="34"/>
  <c r="X899" i="34"/>
  <c r="N900" i="34"/>
  <c r="R900" i="34"/>
  <c r="S900" i="34"/>
  <c r="T900" i="34"/>
  <c r="V900" i="34"/>
  <c r="W900" i="34"/>
  <c r="X900" i="34"/>
  <c r="N901" i="34"/>
  <c r="R901" i="34"/>
  <c r="S901" i="34"/>
  <c r="T901" i="34"/>
  <c r="V901" i="34"/>
  <c r="W901" i="34"/>
  <c r="X901" i="34"/>
  <c r="N902" i="34"/>
  <c r="R902" i="34"/>
  <c r="S902" i="34"/>
  <c r="T902" i="34"/>
  <c r="V902" i="34"/>
  <c r="W902" i="34"/>
  <c r="X902" i="34"/>
  <c r="N903" i="34"/>
  <c r="R903" i="34"/>
  <c r="S903" i="34"/>
  <c r="T903" i="34"/>
  <c r="V903" i="34"/>
  <c r="W903" i="34"/>
  <c r="X903" i="34"/>
  <c r="N904" i="34"/>
  <c r="R904" i="34"/>
  <c r="S904" i="34"/>
  <c r="T904" i="34"/>
  <c r="V904" i="34"/>
  <c r="W904" i="34"/>
  <c r="X904" i="34"/>
  <c r="N905" i="34"/>
  <c r="R905" i="34"/>
  <c r="S905" i="34"/>
  <c r="T905" i="34"/>
  <c r="V905" i="34"/>
  <c r="W905" i="34"/>
  <c r="X905" i="34"/>
  <c r="N906" i="34"/>
  <c r="R906" i="34"/>
  <c r="S906" i="34"/>
  <c r="T906" i="34"/>
  <c r="V906" i="34"/>
  <c r="W906" i="34"/>
  <c r="X906" i="34"/>
  <c r="N907" i="34"/>
  <c r="R907" i="34"/>
  <c r="S907" i="34"/>
  <c r="T907" i="34"/>
  <c r="V907" i="34"/>
  <c r="W907" i="34"/>
  <c r="X907" i="34"/>
  <c r="N908" i="34"/>
  <c r="R908" i="34"/>
  <c r="S908" i="34"/>
  <c r="T908" i="34"/>
  <c r="V908" i="34"/>
  <c r="W908" i="34"/>
  <c r="X908" i="34"/>
  <c r="N909" i="34"/>
  <c r="R909" i="34"/>
  <c r="S909" i="34"/>
  <c r="T909" i="34"/>
  <c r="V909" i="34"/>
  <c r="W909" i="34"/>
  <c r="X909" i="34"/>
  <c r="N910" i="34"/>
  <c r="R910" i="34"/>
  <c r="S910" i="34"/>
  <c r="T910" i="34"/>
  <c r="V910" i="34"/>
  <c r="W910" i="34"/>
  <c r="X910" i="34"/>
  <c r="N911" i="34"/>
  <c r="R911" i="34"/>
  <c r="S911" i="34"/>
  <c r="T911" i="34"/>
  <c r="V911" i="34"/>
  <c r="W911" i="34"/>
  <c r="X911" i="34"/>
  <c r="N946" i="34"/>
  <c r="R946" i="34"/>
  <c r="S946" i="34"/>
  <c r="T946" i="34"/>
  <c r="V946" i="34"/>
  <c r="W946" i="34"/>
  <c r="X946" i="34"/>
  <c r="N947" i="34"/>
  <c r="R947" i="34"/>
  <c r="S947" i="34"/>
  <c r="T947" i="34"/>
  <c r="V947" i="34"/>
  <c r="W947" i="34"/>
  <c r="X947" i="34"/>
  <c r="N948" i="34"/>
  <c r="R948" i="34"/>
  <c r="S948" i="34"/>
  <c r="T948" i="34"/>
  <c r="V948" i="34"/>
  <c r="W948" i="34"/>
  <c r="X948" i="34"/>
  <c r="N949" i="34"/>
  <c r="R949" i="34"/>
  <c r="S949" i="34"/>
  <c r="T949" i="34"/>
  <c r="V949" i="34"/>
  <c r="W949" i="34"/>
  <c r="X949" i="34"/>
  <c r="N950" i="34"/>
  <c r="R950" i="34"/>
  <c r="S950" i="34"/>
  <c r="T950" i="34"/>
  <c r="V950" i="34"/>
  <c r="W950" i="34"/>
  <c r="X950" i="34"/>
  <c r="N951" i="34"/>
  <c r="R951" i="34"/>
  <c r="S951" i="34"/>
  <c r="T951" i="34"/>
  <c r="V951" i="34"/>
  <c r="W951" i="34"/>
  <c r="X951" i="34"/>
  <c r="N952" i="34"/>
  <c r="R952" i="34"/>
  <c r="S952" i="34"/>
  <c r="T952" i="34"/>
  <c r="V952" i="34"/>
  <c r="W952" i="34"/>
  <c r="X952" i="34"/>
  <c r="N953" i="34"/>
  <c r="R953" i="34"/>
  <c r="S953" i="34"/>
  <c r="T953" i="34"/>
  <c r="V953" i="34"/>
  <c r="W953" i="34"/>
  <c r="X953" i="34"/>
  <c r="N954" i="34"/>
  <c r="R954" i="34"/>
  <c r="S954" i="34"/>
  <c r="T954" i="34"/>
  <c r="V954" i="34"/>
  <c r="W954" i="34"/>
  <c r="X954" i="34"/>
  <c r="N955" i="34"/>
  <c r="R955" i="34"/>
  <c r="S955" i="34"/>
  <c r="T955" i="34"/>
  <c r="V955" i="34"/>
  <c r="W955" i="34"/>
  <c r="X955" i="34"/>
  <c r="N956" i="34"/>
  <c r="R956" i="34"/>
  <c r="S956" i="34"/>
  <c r="T956" i="34"/>
  <c r="V956" i="34"/>
  <c r="W956" i="34"/>
  <c r="X956" i="34"/>
  <c r="N957" i="34"/>
  <c r="R957" i="34"/>
  <c r="S957" i="34"/>
  <c r="T957" i="34"/>
  <c r="V957" i="34"/>
  <c r="W957" i="34"/>
  <c r="X957" i="34"/>
  <c r="N958" i="34"/>
  <c r="R958" i="34"/>
  <c r="S958" i="34"/>
  <c r="T958" i="34"/>
  <c r="V958" i="34"/>
  <c r="W958" i="34"/>
  <c r="X958" i="34"/>
  <c r="N959" i="34"/>
  <c r="R959" i="34"/>
  <c r="S959" i="34"/>
  <c r="T959" i="34"/>
  <c r="V959" i="34"/>
  <c r="W959" i="34"/>
  <c r="X959" i="34"/>
  <c r="N960" i="34"/>
  <c r="R960" i="34"/>
  <c r="S960" i="34"/>
  <c r="T960" i="34"/>
  <c r="V960" i="34"/>
  <c r="W960" i="34"/>
  <c r="X960" i="34"/>
  <c r="N961" i="34"/>
  <c r="R961" i="34"/>
  <c r="S961" i="34"/>
  <c r="T961" i="34"/>
  <c r="V961" i="34"/>
  <c r="W961" i="34"/>
  <c r="X961" i="34"/>
  <c r="N962" i="34"/>
  <c r="R962" i="34"/>
  <c r="S962" i="34"/>
  <c r="T962" i="34"/>
  <c r="V962" i="34"/>
  <c r="W962" i="34"/>
  <c r="X962" i="34"/>
  <c r="N963" i="34"/>
  <c r="R963" i="34"/>
  <c r="S963" i="34"/>
  <c r="T963" i="34"/>
  <c r="V963" i="34"/>
  <c r="W963" i="34"/>
  <c r="X963" i="34"/>
  <c r="N964" i="34"/>
  <c r="R964" i="34"/>
  <c r="S964" i="34"/>
  <c r="T964" i="34"/>
  <c r="V964" i="34"/>
  <c r="W964" i="34"/>
  <c r="X964" i="34"/>
  <c r="N965" i="34"/>
  <c r="R965" i="34"/>
  <c r="S965" i="34"/>
  <c r="T965" i="34"/>
  <c r="V965" i="34"/>
  <c r="W965" i="34"/>
  <c r="X965" i="34"/>
  <c r="N966" i="34"/>
  <c r="R966" i="34"/>
  <c r="S966" i="34"/>
  <c r="T966" i="34"/>
  <c r="V966" i="34"/>
  <c r="W966" i="34"/>
  <c r="X966" i="34"/>
  <c r="N967" i="34"/>
  <c r="R967" i="34"/>
  <c r="S967" i="34"/>
  <c r="T967" i="34"/>
  <c r="V967" i="34"/>
  <c r="W967" i="34"/>
  <c r="X967" i="34"/>
  <c r="N968" i="34"/>
  <c r="R968" i="34"/>
  <c r="S968" i="34"/>
  <c r="T968" i="34"/>
  <c r="V968" i="34"/>
  <c r="W968" i="34"/>
  <c r="X968" i="34"/>
  <c r="N969" i="34"/>
  <c r="R969" i="34"/>
  <c r="S969" i="34"/>
  <c r="T969" i="34"/>
  <c r="V969" i="34"/>
  <c r="W969" i="34"/>
  <c r="X969" i="34"/>
  <c r="N970" i="34"/>
  <c r="R970" i="34"/>
  <c r="S970" i="34"/>
  <c r="T970" i="34"/>
  <c r="V970" i="34"/>
  <c r="W970" i="34"/>
  <c r="X970" i="34"/>
  <c r="N971" i="34"/>
  <c r="R971" i="34"/>
  <c r="S971" i="34"/>
  <c r="T971" i="34"/>
  <c r="V971" i="34"/>
  <c r="W971" i="34"/>
  <c r="X971" i="34"/>
  <c r="N972" i="34"/>
  <c r="R972" i="34"/>
  <c r="S972" i="34"/>
  <c r="T972" i="34"/>
  <c r="V972" i="34"/>
  <c r="W972" i="34"/>
  <c r="X972" i="34"/>
  <c r="N973" i="34"/>
  <c r="R973" i="34"/>
  <c r="S973" i="34"/>
  <c r="T973" i="34"/>
  <c r="V973" i="34"/>
  <c r="W973" i="34"/>
  <c r="X973" i="34"/>
  <c r="N974" i="34"/>
  <c r="R974" i="34"/>
  <c r="S974" i="34"/>
  <c r="T974" i="34"/>
  <c r="V974" i="34"/>
  <c r="W974" i="34"/>
  <c r="X974" i="34"/>
  <c r="N975" i="34"/>
  <c r="R975" i="34"/>
  <c r="S975" i="34"/>
  <c r="T975" i="34"/>
  <c r="V975" i="34"/>
  <c r="W975" i="34"/>
  <c r="X975" i="34"/>
  <c r="N976" i="34"/>
  <c r="R976" i="34"/>
  <c r="S976" i="34"/>
  <c r="T976" i="34"/>
  <c r="V976" i="34"/>
  <c r="W976" i="34"/>
  <c r="X976" i="34"/>
  <c r="N977" i="34"/>
  <c r="R977" i="34"/>
  <c r="S977" i="34"/>
  <c r="T977" i="34"/>
  <c r="V977" i="34"/>
  <c r="W977" i="34"/>
  <c r="X977" i="34"/>
  <c r="N978" i="34"/>
  <c r="R978" i="34"/>
  <c r="S978" i="34"/>
  <c r="T978" i="34"/>
  <c r="V978" i="34"/>
  <c r="W978" i="34"/>
  <c r="X978" i="34"/>
  <c r="N979" i="34"/>
  <c r="R979" i="34"/>
  <c r="S979" i="34"/>
  <c r="T979" i="34"/>
  <c r="V979" i="34"/>
  <c r="W979" i="34"/>
  <c r="X979" i="34"/>
  <c r="N980" i="34"/>
  <c r="R980" i="34"/>
  <c r="S980" i="34"/>
  <c r="T980" i="34"/>
  <c r="V980" i="34"/>
  <c r="W980" i="34"/>
  <c r="X980" i="34"/>
  <c r="N981" i="34"/>
  <c r="R981" i="34"/>
  <c r="S981" i="34"/>
  <c r="T981" i="34"/>
  <c r="V981" i="34"/>
  <c r="W981" i="34"/>
  <c r="X981" i="34"/>
  <c r="N982" i="34"/>
  <c r="R982" i="34"/>
  <c r="S982" i="34"/>
  <c r="T982" i="34"/>
  <c r="V982" i="34"/>
  <c r="W982" i="34"/>
  <c r="X982" i="34"/>
  <c r="N983" i="34"/>
  <c r="R983" i="34"/>
  <c r="S983" i="34"/>
  <c r="T983" i="34"/>
  <c r="V983" i="34"/>
  <c r="W983" i="34"/>
  <c r="X983" i="34"/>
  <c r="N984" i="34"/>
  <c r="R984" i="34"/>
  <c r="S984" i="34"/>
  <c r="T984" i="34"/>
  <c r="V984" i="34"/>
  <c r="W984" i="34"/>
  <c r="X984" i="34"/>
  <c r="N985" i="34"/>
  <c r="R985" i="34"/>
  <c r="S985" i="34"/>
  <c r="T985" i="34"/>
  <c r="V985" i="34"/>
  <c r="W985" i="34"/>
  <c r="X985" i="34"/>
  <c r="N986" i="34"/>
  <c r="R986" i="34"/>
  <c r="S986" i="34"/>
  <c r="T986" i="34"/>
  <c r="V986" i="34"/>
  <c r="W986" i="34"/>
  <c r="X986" i="34"/>
  <c r="N987" i="34"/>
  <c r="R987" i="34"/>
  <c r="S987" i="34"/>
  <c r="T987" i="34"/>
  <c r="V987" i="34"/>
  <c r="W987" i="34"/>
  <c r="X987" i="34"/>
  <c r="N988" i="34"/>
  <c r="R988" i="34"/>
  <c r="S988" i="34"/>
  <c r="T988" i="34"/>
  <c r="V988" i="34"/>
  <c r="W988" i="34"/>
  <c r="X988" i="34"/>
  <c r="N989" i="34"/>
  <c r="R989" i="34"/>
  <c r="S989" i="34"/>
  <c r="T989" i="34"/>
  <c r="V989" i="34"/>
  <c r="W989" i="34"/>
  <c r="X989" i="34"/>
  <c r="N990" i="34"/>
  <c r="R990" i="34"/>
  <c r="S990" i="34"/>
  <c r="T990" i="34"/>
  <c r="V990" i="34"/>
  <c r="W990" i="34"/>
  <c r="X990" i="34"/>
  <c r="N991" i="34"/>
  <c r="R991" i="34"/>
  <c r="S991" i="34"/>
  <c r="T991" i="34"/>
  <c r="V991" i="34"/>
  <c r="W991" i="34"/>
  <c r="X991" i="34"/>
  <c r="N992" i="34"/>
  <c r="R992" i="34"/>
  <c r="S992" i="34"/>
  <c r="T992" i="34"/>
  <c r="V992" i="34"/>
  <c r="W992" i="34"/>
  <c r="X992" i="34"/>
  <c r="N993" i="34"/>
  <c r="R993" i="34"/>
  <c r="S993" i="34"/>
  <c r="T993" i="34"/>
  <c r="V993" i="34"/>
  <c r="W993" i="34"/>
  <c r="X993" i="34"/>
  <c r="N994" i="34"/>
  <c r="R994" i="34"/>
  <c r="S994" i="34"/>
  <c r="T994" i="34"/>
  <c r="V994" i="34"/>
  <c r="W994" i="34"/>
  <c r="X994" i="34"/>
  <c r="N995" i="34"/>
  <c r="R995" i="34"/>
  <c r="S995" i="34"/>
  <c r="T995" i="34"/>
  <c r="V995" i="34"/>
  <c r="W995" i="34"/>
  <c r="X995" i="34"/>
  <c r="N996" i="34"/>
  <c r="R996" i="34"/>
  <c r="S996" i="34"/>
  <c r="T996" i="34"/>
  <c r="V996" i="34"/>
  <c r="W996" i="34"/>
  <c r="X996" i="34"/>
  <c r="N997" i="34"/>
  <c r="R997" i="34"/>
  <c r="S997" i="34"/>
  <c r="T997" i="34"/>
  <c r="V997" i="34"/>
  <c r="W997" i="34"/>
  <c r="X997" i="34"/>
  <c r="N998" i="34"/>
  <c r="R998" i="34"/>
  <c r="S998" i="34"/>
  <c r="T998" i="34"/>
  <c r="V998" i="34"/>
  <c r="W998" i="34"/>
  <c r="X998" i="34"/>
  <c r="N999" i="34"/>
  <c r="R999" i="34"/>
  <c r="S999" i="34"/>
  <c r="T999" i="34"/>
  <c r="V999" i="34"/>
  <c r="W999" i="34"/>
  <c r="X999" i="34"/>
  <c r="N1000" i="34"/>
  <c r="R1000" i="34"/>
  <c r="S1000" i="34"/>
  <c r="T1000" i="34"/>
  <c r="V1000" i="34"/>
  <c r="W1000" i="34"/>
  <c r="X1000" i="34"/>
  <c r="N1001" i="34"/>
  <c r="R1001" i="34"/>
  <c r="S1001" i="34"/>
  <c r="T1001" i="34"/>
  <c r="V1001" i="34"/>
  <c r="W1001" i="34"/>
  <c r="X1001" i="34"/>
  <c r="N1002" i="34"/>
  <c r="R1002" i="34"/>
  <c r="S1002" i="34"/>
  <c r="T1002" i="34"/>
  <c r="V1002" i="34"/>
  <c r="W1002" i="34"/>
  <c r="X1002" i="34"/>
  <c r="N1003" i="34"/>
  <c r="R1003" i="34"/>
  <c r="S1003" i="34"/>
  <c r="T1003" i="34"/>
  <c r="V1003" i="34"/>
  <c r="W1003" i="34"/>
  <c r="X1003" i="34"/>
  <c r="N1004" i="34"/>
  <c r="R1004" i="34"/>
  <c r="S1004" i="34"/>
  <c r="T1004" i="34"/>
  <c r="V1004" i="34"/>
  <c r="W1004" i="34"/>
  <c r="X1004" i="34"/>
  <c r="N1005" i="34"/>
  <c r="R1005" i="34"/>
  <c r="S1005" i="34"/>
  <c r="T1005" i="34"/>
  <c r="V1005" i="34"/>
  <c r="W1005" i="34"/>
  <c r="X1005" i="34"/>
  <c r="N1006" i="34"/>
  <c r="R1006" i="34"/>
  <c r="S1006" i="34"/>
  <c r="T1006" i="34"/>
  <c r="V1006" i="34"/>
  <c r="W1006" i="34"/>
  <c r="X1006" i="34"/>
  <c r="N1007" i="34"/>
  <c r="R1007" i="34"/>
  <c r="S1007" i="34"/>
  <c r="T1007" i="34"/>
  <c r="V1007" i="34"/>
  <c r="W1007" i="34"/>
  <c r="X1007" i="34"/>
  <c r="N1008" i="34"/>
  <c r="R1008" i="34"/>
  <c r="S1008" i="34"/>
  <c r="T1008" i="34"/>
  <c r="V1008" i="34"/>
  <c r="W1008" i="34"/>
  <c r="X1008" i="34"/>
  <c r="N1009" i="34"/>
  <c r="R1009" i="34"/>
  <c r="S1009" i="34"/>
  <c r="T1009" i="34"/>
  <c r="V1009" i="34"/>
  <c r="W1009" i="34"/>
  <c r="X1009" i="34"/>
  <c r="N1010" i="34"/>
  <c r="R1010" i="34"/>
  <c r="S1010" i="34"/>
  <c r="T1010" i="34"/>
  <c r="V1010" i="34"/>
  <c r="W1010" i="34"/>
  <c r="X1010" i="34"/>
  <c r="N1011" i="34"/>
  <c r="R1011" i="34"/>
  <c r="S1011" i="34"/>
  <c r="T1011" i="34"/>
  <c r="V1011" i="34"/>
  <c r="W1011" i="34"/>
  <c r="X1011" i="34"/>
  <c r="N1012" i="34"/>
  <c r="R1012" i="34"/>
  <c r="S1012" i="34"/>
  <c r="T1012" i="34"/>
  <c r="V1012" i="34"/>
  <c r="W1012" i="34"/>
  <c r="X1012" i="34"/>
  <c r="N1013" i="34"/>
  <c r="R1013" i="34"/>
  <c r="S1013" i="34"/>
  <c r="T1013" i="34"/>
  <c r="V1013" i="34"/>
  <c r="W1013" i="34"/>
  <c r="X1013" i="34"/>
  <c r="N1014" i="34"/>
  <c r="R1014" i="34"/>
  <c r="S1014" i="34"/>
  <c r="T1014" i="34"/>
  <c r="V1014" i="34"/>
  <c r="W1014" i="34"/>
  <c r="X1014" i="34"/>
  <c r="N1015" i="34"/>
  <c r="R1015" i="34"/>
  <c r="S1015" i="34"/>
  <c r="T1015" i="34"/>
  <c r="V1015" i="34"/>
  <c r="W1015" i="34"/>
  <c r="X1015" i="34"/>
  <c r="N1016" i="34"/>
  <c r="R1016" i="34"/>
  <c r="S1016" i="34"/>
  <c r="T1016" i="34"/>
  <c r="V1016" i="34"/>
  <c r="W1016" i="34"/>
  <c r="X1016" i="34"/>
  <c r="N1017" i="34"/>
  <c r="R1017" i="34"/>
  <c r="S1017" i="34"/>
  <c r="T1017" i="34"/>
  <c r="V1017" i="34"/>
  <c r="W1017" i="34"/>
  <c r="X1017" i="34"/>
  <c r="N1018" i="34"/>
  <c r="R1018" i="34"/>
  <c r="S1018" i="34"/>
  <c r="T1018" i="34"/>
  <c r="V1018" i="34"/>
  <c r="W1018" i="34"/>
  <c r="X1018" i="34"/>
  <c r="N1019" i="34"/>
  <c r="R1019" i="34"/>
  <c r="S1019" i="34"/>
  <c r="T1019" i="34"/>
  <c r="V1019" i="34"/>
  <c r="W1019" i="34"/>
  <c r="X1019" i="34"/>
  <c r="N1020" i="34"/>
  <c r="R1020" i="34"/>
  <c r="S1020" i="34"/>
  <c r="T1020" i="34"/>
  <c r="V1020" i="34"/>
  <c r="W1020" i="34"/>
  <c r="X1020" i="34"/>
  <c r="N1021" i="34"/>
  <c r="R1021" i="34"/>
  <c r="S1021" i="34"/>
  <c r="T1021" i="34"/>
  <c r="V1021" i="34"/>
  <c r="W1021" i="34"/>
  <c r="X1021" i="34"/>
  <c r="N1022" i="34"/>
  <c r="R1022" i="34"/>
  <c r="S1022" i="34"/>
  <c r="T1022" i="34"/>
  <c r="V1022" i="34"/>
  <c r="W1022" i="34"/>
  <c r="X1022" i="34"/>
  <c r="N1023" i="34"/>
  <c r="R1023" i="34"/>
  <c r="S1023" i="34"/>
  <c r="T1023" i="34"/>
  <c r="V1023" i="34"/>
  <c r="W1023" i="34"/>
  <c r="X1023" i="34"/>
  <c r="N1024" i="34"/>
  <c r="R1024" i="34"/>
  <c r="S1024" i="34"/>
  <c r="T1024" i="34"/>
  <c r="V1024" i="34"/>
  <c r="W1024" i="34"/>
  <c r="X1024" i="34"/>
  <c r="N1025" i="34"/>
  <c r="R1025" i="34"/>
  <c r="S1025" i="34"/>
  <c r="T1025" i="34"/>
  <c r="V1025" i="34"/>
  <c r="W1025" i="34"/>
  <c r="X1025" i="34"/>
  <c r="N1026" i="34"/>
  <c r="R1026" i="34"/>
  <c r="S1026" i="34"/>
  <c r="T1026" i="34"/>
  <c r="V1026" i="34"/>
  <c r="W1026" i="34"/>
  <c r="X1026" i="34"/>
  <c r="N1027" i="34"/>
  <c r="R1027" i="34"/>
  <c r="S1027" i="34"/>
  <c r="T1027" i="34"/>
  <c r="V1027" i="34"/>
  <c r="W1027" i="34"/>
  <c r="X1027" i="34"/>
  <c r="N1028" i="34"/>
  <c r="R1028" i="34"/>
  <c r="S1028" i="34"/>
  <c r="T1028" i="34"/>
  <c r="V1028" i="34"/>
  <c r="W1028" i="34"/>
  <c r="X1028" i="34"/>
  <c r="N1029" i="34"/>
  <c r="R1029" i="34"/>
  <c r="S1029" i="34"/>
  <c r="T1029" i="34"/>
  <c r="V1029" i="34"/>
  <c r="W1029" i="34"/>
  <c r="X1029" i="34"/>
  <c r="N1030" i="34"/>
  <c r="R1030" i="34"/>
  <c r="S1030" i="34"/>
  <c r="T1030" i="34"/>
  <c r="V1030" i="34"/>
  <c r="W1030" i="34"/>
  <c r="X1030" i="34"/>
  <c r="N1031" i="34"/>
  <c r="R1031" i="34"/>
  <c r="S1031" i="34"/>
  <c r="T1031" i="34"/>
  <c r="V1031" i="34"/>
  <c r="W1031" i="34"/>
  <c r="X1031" i="34"/>
  <c r="N1032" i="34"/>
  <c r="R1032" i="34"/>
  <c r="S1032" i="34"/>
  <c r="T1032" i="34"/>
  <c r="V1032" i="34"/>
  <c r="W1032" i="34"/>
  <c r="X1032" i="34"/>
  <c r="N1033" i="34"/>
  <c r="R1033" i="34"/>
  <c r="S1033" i="34"/>
  <c r="T1033" i="34"/>
  <c r="V1033" i="34"/>
  <c r="W1033" i="34"/>
  <c r="X1033" i="34"/>
  <c r="N1034" i="34"/>
  <c r="R1034" i="34"/>
  <c r="S1034" i="34"/>
  <c r="T1034" i="34"/>
  <c r="V1034" i="34"/>
  <c r="W1034" i="34"/>
  <c r="X1034" i="34"/>
  <c r="N1035" i="34"/>
  <c r="R1035" i="34"/>
  <c r="S1035" i="34"/>
  <c r="T1035" i="34"/>
  <c r="V1035" i="34"/>
  <c r="W1035" i="34"/>
  <c r="X1035" i="34"/>
  <c r="N1036" i="34"/>
  <c r="R1036" i="34"/>
  <c r="S1036" i="34"/>
  <c r="T1036" i="34"/>
  <c r="V1036" i="34"/>
  <c r="W1036" i="34"/>
  <c r="X1036" i="34"/>
  <c r="N1037" i="34"/>
  <c r="R1037" i="34"/>
  <c r="S1037" i="34"/>
  <c r="T1037" i="34"/>
  <c r="V1037" i="34"/>
  <c r="W1037" i="34"/>
  <c r="X1037" i="34"/>
  <c r="N1038" i="34"/>
  <c r="R1038" i="34"/>
  <c r="S1038" i="34"/>
  <c r="T1038" i="34"/>
  <c r="V1038" i="34"/>
  <c r="W1038" i="34"/>
  <c r="X1038" i="34"/>
  <c r="N1039" i="34"/>
  <c r="R1039" i="34"/>
  <c r="S1039" i="34"/>
  <c r="T1039" i="34"/>
  <c r="V1039" i="34"/>
  <c r="W1039" i="34"/>
  <c r="X1039" i="34"/>
  <c r="N1040" i="34"/>
  <c r="R1040" i="34"/>
  <c r="S1040" i="34"/>
  <c r="T1040" i="34"/>
  <c r="V1040" i="34"/>
  <c r="W1040" i="34"/>
  <c r="X1040" i="34"/>
  <c r="N1041" i="34"/>
  <c r="R1041" i="34"/>
  <c r="S1041" i="34"/>
  <c r="T1041" i="34"/>
  <c r="V1041" i="34"/>
  <c r="W1041" i="34"/>
  <c r="X1041" i="34"/>
  <c r="N1042" i="34"/>
  <c r="R1042" i="34"/>
  <c r="S1042" i="34"/>
  <c r="T1042" i="34"/>
  <c r="V1042" i="34"/>
  <c r="W1042" i="34"/>
  <c r="X1042" i="34"/>
  <c r="N1043" i="34"/>
  <c r="R1043" i="34"/>
  <c r="S1043" i="34"/>
  <c r="T1043" i="34"/>
  <c r="V1043" i="34"/>
  <c r="W1043" i="34"/>
  <c r="X1043" i="34"/>
  <c r="N1044" i="34"/>
  <c r="R1044" i="34"/>
  <c r="S1044" i="34"/>
  <c r="T1044" i="34"/>
  <c r="V1044" i="34"/>
  <c r="W1044" i="34"/>
  <c r="X1044" i="34"/>
  <c r="N1045" i="34"/>
  <c r="R1045" i="34"/>
  <c r="S1045" i="34"/>
  <c r="T1045" i="34"/>
  <c r="V1045" i="34"/>
  <c r="W1045" i="34"/>
  <c r="X1045" i="34"/>
  <c r="N1046" i="34"/>
  <c r="R1046" i="34"/>
  <c r="S1046" i="34"/>
  <c r="T1046" i="34"/>
  <c r="V1046" i="34"/>
  <c r="W1046" i="34"/>
  <c r="X1046" i="34"/>
  <c r="N1047" i="34"/>
  <c r="R1047" i="34"/>
  <c r="S1047" i="34"/>
  <c r="T1047" i="34"/>
  <c r="V1047" i="34"/>
  <c r="W1047" i="34"/>
  <c r="X1047" i="34"/>
  <c r="N1048" i="34"/>
  <c r="R1048" i="34"/>
  <c r="S1048" i="34"/>
  <c r="T1048" i="34"/>
  <c r="V1048" i="34"/>
  <c r="W1048" i="34"/>
  <c r="X1048" i="34"/>
  <c r="N1049" i="34"/>
  <c r="R1049" i="34"/>
  <c r="S1049" i="34"/>
  <c r="T1049" i="34"/>
  <c r="V1049" i="34"/>
  <c r="W1049" i="34"/>
  <c r="X1049" i="34"/>
  <c r="N1050" i="34"/>
  <c r="R1050" i="34"/>
  <c r="S1050" i="34"/>
  <c r="T1050" i="34"/>
  <c r="V1050" i="34"/>
  <c r="W1050" i="34"/>
  <c r="X1050" i="34"/>
  <c r="N1051" i="34"/>
  <c r="R1051" i="34"/>
  <c r="S1051" i="34"/>
  <c r="T1051" i="34"/>
  <c r="V1051" i="34"/>
  <c r="W1051" i="34"/>
  <c r="X1051" i="34"/>
  <c r="N1052" i="34"/>
  <c r="R1052" i="34"/>
  <c r="S1052" i="34"/>
  <c r="T1052" i="34"/>
  <c r="V1052" i="34"/>
  <c r="W1052" i="34"/>
  <c r="X1052" i="34"/>
  <c r="N1053" i="34"/>
  <c r="R1053" i="34"/>
  <c r="S1053" i="34"/>
  <c r="T1053" i="34"/>
  <c r="V1053" i="34"/>
  <c r="W1053" i="34"/>
  <c r="X1053" i="34"/>
  <c r="N1054" i="34"/>
  <c r="R1054" i="34"/>
  <c r="S1054" i="34"/>
  <c r="T1054" i="34"/>
  <c r="V1054" i="34"/>
  <c r="W1054" i="34"/>
  <c r="X1054" i="34"/>
  <c r="N1055" i="34"/>
  <c r="R1055" i="34"/>
  <c r="S1055" i="34"/>
  <c r="T1055" i="34"/>
  <c r="V1055" i="34"/>
  <c r="W1055" i="34"/>
  <c r="X1055" i="34"/>
  <c r="N1056" i="34"/>
  <c r="R1056" i="34"/>
  <c r="S1056" i="34"/>
  <c r="T1056" i="34"/>
  <c r="V1056" i="34"/>
  <c r="W1056" i="34"/>
  <c r="X1056" i="34"/>
  <c r="N1057" i="34"/>
  <c r="R1057" i="34"/>
  <c r="S1057" i="34"/>
  <c r="T1057" i="34"/>
  <c r="V1057" i="34"/>
  <c r="W1057" i="34"/>
  <c r="X1057" i="34"/>
  <c r="N1058" i="34"/>
  <c r="R1058" i="34"/>
  <c r="S1058" i="34"/>
  <c r="T1058" i="34"/>
  <c r="V1058" i="34"/>
  <c r="W1058" i="34"/>
  <c r="X1058" i="34"/>
  <c r="N1059" i="34"/>
  <c r="R1059" i="34"/>
  <c r="S1059" i="34"/>
  <c r="T1059" i="34"/>
  <c r="V1059" i="34"/>
  <c r="W1059" i="34"/>
  <c r="X1059" i="34"/>
  <c r="N1060" i="34"/>
  <c r="R1060" i="34"/>
  <c r="S1060" i="34"/>
  <c r="T1060" i="34"/>
  <c r="V1060" i="34"/>
  <c r="W1060" i="34"/>
  <c r="X1060" i="34"/>
  <c r="N1061" i="34"/>
  <c r="R1061" i="34"/>
  <c r="S1061" i="34"/>
  <c r="T1061" i="34"/>
  <c r="V1061" i="34"/>
  <c r="W1061" i="34"/>
  <c r="X1061" i="34"/>
  <c r="N1062" i="34"/>
  <c r="R1062" i="34"/>
  <c r="S1062" i="34"/>
  <c r="T1062" i="34"/>
  <c r="V1062" i="34"/>
  <c r="W1062" i="34"/>
  <c r="X1062" i="34"/>
  <c r="N1063" i="34"/>
  <c r="R1063" i="34"/>
  <c r="S1063" i="34"/>
  <c r="T1063" i="34"/>
  <c r="V1063" i="34"/>
  <c r="W1063" i="34"/>
  <c r="X1063" i="34"/>
  <c r="N1064" i="34"/>
  <c r="R1064" i="34"/>
  <c r="S1064" i="34"/>
  <c r="T1064" i="34"/>
  <c r="V1064" i="34"/>
  <c r="W1064" i="34"/>
  <c r="X1064" i="34"/>
  <c r="N1065" i="34"/>
  <c r="R1065" i="34"/>
  <c r="S1065" i="34"/>
  <c r="T1065" i="34"/>
  <c r="V1065" i="34"/>
  <c r="W1065" i="34"/>
  <c r="X1065" i="34"/>
  <c r="N1066" i="34"/>
  <c r="R1066" i="34"/>
  <c r="S1066" i="34"/>
  <c r="T1066" i="34"/>
  <c r="V1066" i="34"/>
  <c r="W1066" i="34"/>
  <c r="X1066" i="34"/>
  <c r="N1067" i="34"/>
  <c r="R1067" i="34"/>
  <c r="S1067" i="34"/>
  <c r="T1067" i="34"/>
  <c r="V1067" i="34"/>
  <c r="W1067" i="34"/>
  <c r="X1067" i="34"/>
  <c r="N1068" i="34"/>
  <c r="R1068" i="34"/>
  <c r="S1068" i="34"/>
  <c r="T1068" i="34"/>
  <c r="V1068" i="34"/>
  <c r="W1068" i="34"/>
  <c r="X1068" i="34"/>
  <c r="N1069" i="34"/>
  <c r="R1069" i="34"/>
  <c r="S1069" i="34"/>
  <c r="T1069" i="34"/>
  <c r="V1069" i="34"/>
  <c r="W1069" i="34"/>
  <c r="X1069" i="34"/>
  <c r="N1070" i="34"/>
  <c r="R1070" i="34"/>
  <c r="S1070" i="34"/>
  <c r="T1070" i="34"/>
  <c r="V1070" i="34"/>
  <c r="W1070" i="34"/>
  <c r="X1070" i="34"/>
  <c r="N1071" i="34"/>
  <c r="R1071" i="34"/>
  <c r="S1071" i="34"/>
  <c r="T1071" i="34"/>
  <c r="V1071" i="34"/>
  <c r="W1071" i="34"/>
  <c r="X1071" i="34"/>
  <c r="N1072" i="34"/>
  <c r="R1072" i="34"/>
  <c r="S1072" i="34"/>
  <c r="T1072" i="34"/>
  <c r="V1072" i="34"/>
  <c r="W1072" i="34"/>
  <c r="X1072" i="34"/>
  <c r="N1073" i="34"/>
  <c r="R1073" i="34"/>
  <c r="S1073" i="34"/>
  <c r="T1073" i="34"/>
  <c r="V1073" i="34"/>
  <c r="W1073" i="34"/>
  <c r="X1073" i="34"/>
  <c r="N1074" i="34"/>
  <c r="R1074" i="34"/>
  <c r="S1074" i="34"/>
  <c r="T1074" i="34"/>
  <c r="V1074" i="34"/>
  <c r="W1074" i="34"/>
  <c r="X1074" i="34"/>
  <c r="N1075" i="34"/>
  <c r="R1075" i="34"/>
  <c r="S1075" i="34"/>
  <c r="T1075" i="34"/>
  <c r="V1075" i="34"/>
  <c r="W1075" i="34"/>
  <c r="X1075" i="34"/>
  <c r="N1076" i="34"/>
  <c r="R1076" i="34"/>
  <c r="S1076" i="34"/>
  <c r="T1076" i="34"/>
  <c r="V1076" i="34"/>
  <c r="W1076" i="34"/>
  <c r="X1076" i="34"/>
  <c r="N1077" i="34"/>
  <c r="R1077" i="34"/>
  <c r="S1077" i="34"/>
  <c r="T1077" i="34"/>
  <c r="V1077" i="34"/>
  <c r="W1077" i="34"/>
  <c r="X1077" i="34"/>
  <c r="N1078" i="34"/>
  <c r="R1078" i="34"/>
  <c r="S1078" i="34"/>
  <c r="T1078" i="34"/>
  <c r="V1078" i="34"/>
  <c r="W1078" i="34"/>
  <c r="X1078" i="34"/>
  <c r="N1079" i="34"/>
  <c r="R1079" i="34"/>
  <c r="S1079" i="34"/>
  <c r="T1079" i="34"/>
  <c r="V1079" i="34"/>
  <c r="W1079" i="34"/>
  <c r="X1079" i="34"/>
  <c r="N1080" i="34"/>
  <c r="R1080" i="34"/>
  <c r="S1080" i="34"/>
  <c r="T1080" i="34"/>
  <c r="V1080" i="34"/>
  <c r="W1080" i="34"/>
  <c r="X1080" i="34"/>
  <c r="N1081" i="34"/>
  <c r="R1081" i="34"/>
  <c r="S1081" i="34"/>
  <c r="T1081" i="34"/>
  <c r="V1081" i="34"/>
  <c r="W1081" i="34"/>
  <c r="X1081" i="34"/>
  <c r="N1082" i="34"/>
  <c r="R1082" i="34"/>
  <c r="S1082" i="34"/>
  <c r="T1082" i="34"/>
  <c r="V1082" i="34"/>
  <c r="W1082" i="34"/>
  <c r="X1082" i="34"/>
  <c r="N1083" i="34"/>
  <c r="R1083" i="34"/>
  <c r="S1083" i="34"/>
  <c r="T1083" i="34"/>
  <c r="V1083" i="34"/>
  <c r="W1083" i="34"/>
  <c r="X1083" i="34"/>
  <c r="N1084" i="34"/>
  <c r="R1084" i="34"/>
  <c r="S1084" i="34"/>
  <c r="T1084" i="34"/>
  <c r="V1084" i="34"/>
  <c r="W1084" i="34"/>
  <c r="X1084" i="34"/>
  <c r="N1085" i="34"/>
  <c r="R1085" i="34"/>
  <c r="S1085" i="34"/>
  <c r="T1085" i="34"/>
  <c r="V1085" i="34"/>
  <c r="W1085" i="34"/>
  <c r="X1085" i="34"/>
  <c r="N1086" i="34"/>
  <c r="R1086" i="34"/>
  <c r="S1086" i="34"/>
  <c r="T1086" i="34"/>
  <c r="V1086" i="34"/>
  <c r="W1086" i="34"/>
  <c r="X1086" i="34"/>
  <c r="N1087" i="34"/>
  <c r="R1087" i="34"/>
  <c r="S1087" i="34"/>
  <c r="T1087" i="34"/>
  <c r="V1087" i="34"/>
  <c r="W1087" i="34"/>
  <c r="X1087" i="34"/>
  <c r="N1088" i="34"/>
  <c r="R1088" i="34"/>
  <c r="S1088" i="34"/>
  <c r="T1088" i="34"/>
  <c r="V1088" i="34"/>
  <c r="W1088" i="34"/>
  <c r="X1088" i="34"/>
  <c r="N1089" i="34"/>
  <c r="R1089" i="34"/>
  <c r="S1089" i="34"/>
  <c r="T1089" i="34"/>
  <c r="V1089" i="34"/>
  <c r="W1089" i="34"/>
  <c r="X1089" i="34"/>
  <c r="N1090" i="34"/>
  <c r="R1090" i="34"/>
  <c r="S1090" i="34"/>
  <c r="T1090" i="34"/>
  <c r="V1090" i="34"/>
  <c r="W1090" i="34"/>
  <c r="X1090" i="34"/>
  <c r="N1091" i="34"/>
  <c r="R1091" i="34"/>
  <c r="S1091" i="34"/>
  <c r="T1091" i="34"/>
  <c r="V1091" i="34"/>
  <c r="W1091" i="34"/>
  <c r="X1091" i="34"/>
  <c r="N1092" i="34"/>
  <c r="R1092" i="34"/>
  <c r="S1092" i="34"/>
  <c r="T1092" i="34"/>
  <c r="V1092" i="34"/>
  <c r="W1092" i="34"/>
  <c r="X1092" i="34"/>
  <c r="N1093" i="34"/>
  <c r="R1093" i="34"/>
  <c r="S1093" i="34"/>
  <c r="T1093" i="34"/>
  <c r="V1093" i="34"/>
  <c r="W1093" i="34"/>
  <c r="X1093" i="34"/>
  <c r="N1094" i="34"/>
  <c r="R1094" i="34"/>
  <c r="S1094" i="34"/>
  <c r="T1094" i="34"/>
  <c r="V1094" i="34"/>
  <c r="W1094" i="34"/>
  <c r="X1094" i="34"/>
  <c r="N1095" i="34"/>
  <c r="R1095" i="34"/>
  <c r="S1095" i="34"/>
  <c r="T1095" i="34"/>
  <c r="V1095" i="34"/>
  <c r="W1095" i="34"/>
  <c r="X1095" i="34"/>
  <c r="N1096" i="34"/>
  <c r="R1096" i="34"/>
  <c r="S1096" i="34"/>
  <c r="T1096" i="34"/>
  <c r="V1096" i="34"/>
  <c r="W1096" i="34"/>
  <c r="X1096" i="34"/>
  <c r="N1097" i="34"/>
  <c r="R1097" i="34"/>
  <c r="S1097" i="34"/>
  <c r="T1097" i="34"/>
  <c r="V1097" i="34"/>
  <c r="W1097" i="34"/>
  <c r="X1097" i="34"/>
  <c r="N1098" i="34"/>
  <c r="R1098" i="34"/>
  <c r="S1098" i="34"/>
  <c r="T1098" i="34"/>
  <c r="V1098" i="34"/>
  <c r="W1098" i="34"/>
  <c r="X1098" i="34"/>
  <c r="N1099" i="34"/>
  <c r="R1099" i="34"/>
  <c r="S1099" i="34"/>
  <c r="T1099" i="34"/>
  <c r="V1099" i="34"/>
  <c r="W1099" i="34"/>
  <c r="X1099" i="34"/>
  <c r="N1100" i="34"/>
  <c r="R1100" i="34"/>
  <c r="S1100" i="34"/>
  <c r="T1100" i="34"/>
  <c r="V1100" i="34"/>
  <c r="W1100" i="34"/>
  <c r="X1100" i="34"/>
  <c r="N1101" i="34"/>
  <c r="R1101" i="34"/>
  <c r="S1101" i="34"/>
  <c r="T1101" i="34"/>
  <c r="V1101" i="34"/>
  <c r="W1101" i="34"/>
  <c r="X1101" i="34"/>
  <c r="N1102" i="34"/>
  <c r="R1102" i="34"/>
  <c r="S1102" i="34"/>
  <c r="T1102" i="34"/>
  <c r="V1102" i="34"/>
  <c r="W1102" i="34"/>
  <c r="X1102" i="34"/>
  <c r="N1103" i="34"/>
  <c r="R1103" i="34"/>
  <c r="S1103" i="34"/>
  <c r="T1103" i="34"/>
  <c r="V1103" i="34"/>
  <c r="W1103" i="34"/>
  <c r="X1103" i="34"/>
  <c r="N1104" i="34"/>
  <c r="R1104" i="34"/>
  <c r="S1104" i="34"/>
  <c r="T1104" i="34"/>
  <c r="V1104" i="34"/>
  <c r="W1104" i="34"/>
  <c r="X1104" i="34"/>
  <c r="N1105" i="34"/>
  <c r="R1105" i="34"/>
  <c r="S1105" i="34"/>
  <c r="T1105" i="34"/>
  <c r="V1105" i="34"/>
  <c r="W1105" i="34"/>
  <c r="X1105" i="34"/>
  <c r="N1106" i="34"/>
  <c r="R1106" i="34"/>
  <c r="S1106" i="34"/>
  <c r="T1106" i="34"/>
  <c r="V1106" i="34"/>
  <c r="W1106" i="34"/>
  <c r="X1106" i="34"/>
  <c r="N1107" i="34"/>
  <c r="R1107" i="34"/>
  <c r="S1107" i="34"/>
  <c r="T1107" i="34"/>
  <c r="V1107" i="34"/>
  <c r="W1107" i="34"/>
  <c r="X1107" i="34"/>
  <c r="N1108" i="34"/>
  <c r="R1108" i="34"/>
  <c r="S1108" i="34"/>
  <c r="T1108" i="34"/>
  <c r="V1108" i="34"/>
  <c r="W1108" i="34"/>
  <c r="X1108" i="34"/>
  <c r="N1109" i="34"/>
  <c r="R1109" i="34"/>
  <c r="S1109" i="34"/>
  <c r="T1109" i="34"/>
  <c r="V1109" i="34"/>
  <c r="W1109" i="34"/>
  <c r="X1109" i="34"/>
  <c r="N1110" i="34"/>
  <c r="R1110" i="34"/>
  <c r="S1110" i="34"/>
  <c r="T1110" i="34"/>
  <c r="V1110" i="34"/>
  <c r="W1110" i="34"/>
  <c r="X1110" i="34"/>
  <c r="N1111" i="34"/>
  <c r="R1111" i="34"/>
  <c r="S1111" i="34"/>
  <c r="T1111" i="34"/>
  <c r="V1111" i="34"/>
  <c r="W1111" i="34"/>
  <c r="X1111" i="34"/>
  <c r="N1112" i="34"/>
  <c r="R1112" i="34"/>
  <c r="S1112" i="34"/>
  <c r="T1112" i="34"/>
  <c r="V1112" i="34"/>
  <c r="W1112" i="34"/>
  <c r="X1112" i="34"/>
  <c r="N1113" i="34"/>
  <c r="R1113" i="34"/>
  <c r="S1113" i="34"/>
  <c r="T1113" i="34"/>
  <c r="V1113" i="34"/>
  <c r="W1113" i="34"/>
  <c r="X1113" i="34"/>
  <c r="N1114" i="34"/>
  <c r="R1114" i="34"/>
  <c r="S1114" i="34"/>
  <c r="T1114" i="34"/>
  <c r="V1114" i="34"/>
  <c r="W1114" i="34"/>
  <c r="X1114" i="34"/>
  <c r="N1115" i="34"/>
  <c r="R1115" i="34"/>
  <c r="S1115" i="34"/>
  <c r="T1115" i="34"/>
  <c r="V1115" i="34"/>
  <c r="W1115" i="34"/>
  <c r="X1115" i="34"/>
  <c r="N1116" i="34"/>
  <c r="R1116" i="34"/>
  <c r="S1116" i="34"/>
  <c r="T1116" i="34"/>
  <c r="V1116" i="34"/>
  <c r="W1116" i="34"/>
  <c r="X1116" i="34"/>
  <c r="N1117" i="34"/>
  <c r="R1117" i="34"/>
  <c r="S1117" i="34"/>
  <c r="T1117" i="34"/>
  <c r="V1117" i="34"/>
  <c r="W1117" i="34"/>
  <c r="X1117" i="34"/>
  <c r="N1118" i="34"/>
  <c r="R1118" i="34"/>
  <c r="S1118" i="34"/>
  <c r="T1118" i="34"/>
  <c r="V1118" i="34"/>
  <c r="W1118" i="34"/>
  <c r="X1118" i="34"/>
  <c r="N1119" i="34"/>
  <c r="R1119" i="34"/>
  <c r="S1119" i="34"/>
  <c r="T1119" i="34"/>
  <c r="V1119" i="34"/>
  <c r="W1119" i="34"/>
  <c r="X1119" i="34"/>
  <c r="N1120" i="34"/>
  <c r="R1120" i="34"/>
  <c r="S1120" i="34"/>
  <c r="T1120" i="34"/>
  <c r="V1120" i="34"/>
  <c r="W1120" i="34"/>
  <c r="X1120" i="34"/>
  <c r="N1121" i="34"/>
  <c r="R1121" i="34"/>
  <c r="S1121" i="34"/>
  <c r="T1121" i="34"/>
  <c r="V1121" i="34"/>
  <c r="W1121" i="34"/>
  <c r="X1121" i="34"/>
  <c r="N1122" i="34"/>
  <c r="R1122" i="34"/>
  <c r="S1122" i="34"/>
  <c r="T1122" i="34"/>
  <c r="V1122" i="34"/>
  <c r="W1122" i="34"/>
  <c r="X1122" i="34"/>
  <c r="N1123" i="34"/>
  <c r="R1123" i="34"/>
  <c r="S1123" i="34"/>
  <c r="T1123" i="34"/>
  <c r="V1123" i="34"/>
  <c r="W1123" i="34"/>
  <c r="X1123" i="34"/>
  <c r="N1124" i="34"/>
  <c r="R1124" i="34"/>
  <c r="S1124" i="34"/>
  <c r="T1124" i="34"/>
  <c r="V1124" i="34"/>
  <c r="W1124" i="34"/>
  <c r="X1124" i="34"/>
  <c r="N1125" i="34"/>
  <c r="R1125" i="34"/>
  <c r="S1125" i="34"/>
  <c r="T1125" i="34"/>
  <c r="V1125" i="34"/>
  <c r="W1125" i="34"/>
  <c r="X1125" i="34"/>
  <c r="N1126" i="34"/>
  <c r="R1126" i="34"/>
  <c r="S1126" i="34"/>
  <c r="T1126" i="34"/>
  <c r="V1126" i="34"/>
  <c r="W1126" i="34"/>
  <c r="X1126" i="34"/>
  <c r="N1127" i="34"/>
  <c r="R1127" i="34"/>
  <c r="S1127" i="34"/>
  <c r="T1127" i="34"/>
  <c r="V1127" i="34"/>
  <c r="W1127" i="34"/>
  <c r="X1127" i="34"/>
  <c r="N1128" i="34"/>
  <c r="R1128" i="34"/>
  <c r="S1128" i="34"/>
  <c r="T1128" i="34"/>
  <c r="V1128" i="34"/>
  <c r="W1128" i="34"/>
  <c r="X1128" i="34"/>
  <c r="N1129" i="34"/>
  <c r="R1129" i="34"/>
  <c r="S1129" i="34"/>
  <c r="T1129" i="34"/>
  <c r="V1129" i="34"/>
  <c r="W1129" i="34"/>
  <c r="X1129" i="34"/>
  <c r="N1130" i="34"/>
  <c r="R1130" i="34"/>
  <c r="S1130" i="34"/>
  <c r="T1130" i="34"/>
  <c r="V1130" i="34"/>
  <c r="W1130" i="34"/>
  <c r="X1130" i="34"/>
  <c r="N1131" i="34"/>
  <c r="R1131" i="34"/>
  <c r="S1131" i="34"/>
  <c r="T1131" i="34"/>
  <c r="V1131" i="34"/>
  <c r="W1131" i="34"/>
  <c r="X1131" i="34"/>
  <c r="N1132" i="34"/>
  <c r="R1132" i="34"/>
  <c r="S1132" i="34"/>
  <c r="T1132" i="34"/>
  <c r="V1132" i="34"/>
  <c r="W1132" i="34"/>
  <c r="X1132" i="34"/>
  <c r="N1133" i="34"/>
  <c r="R1133" i="34"/>
  <c r="S1133" i="34"/>
  <c r="T1133" i="34"/>
  <c r="V1133" i="34"/>
  <c r="W1133" i="34"/>
  <c r="X1133" i="34"/>
  <c r="N1134" i="34"/>
  <c r="R1134" i="34"/>
  <c r="S1134" i="34"/>
  <c r="T1134" i="34"/>
  <c r="V1134" i="34"/>
  <c r="W1134" i="34"/>
  <c r="X1134" i="34"/>
  <c r="N1135" i="34"/>
  <c r="R1135" i="34"/>
  <c r="S1135" i="34"/>
  <c r="T1135" i="34"/>
  <c r="V1135" i="34"/>
  <c r="W1135" i="34"/>
  <c r="X1135" i="34"/>
  <c r="N1136" i="34"/>
  <c r="R1136" i="34"/>
  <c r="S1136" i="34"/>
  <c r="T1136" i="34"/>
  <c r="V1136" i="34"/>
  <c r="W1136" i="34"/>
  <c r="X1136" i="34"/>
  <c r="N1137" i="34"/>
  <c r="R1137" i="34"/>
  <c r="S1137" i="34"/>
  <c r="T1137" i="34"/>
  <c r="V1137" i="34"/>
  <c r="W1137" i="34"/>
  <c r="X1137" i="34"/>
  <c r="N1138" i="34"/>
  <c r="R1138" i="34"/>
  <c r="S1138" i="34"/>
  <c r="T1138" i="34"/>
  <c r="V1138" i="34"/>
  <c r="W1138" i="34"/>
  <c r="X1138" i="34"/>
  <c r="N1139" i="34"/>
  <c r="R1139" i="34"/>
  <c r="S1139" i="34"/>
  <c r="T1139" i="34"/>
  <c r="V1139" i="34"/>
  <c r="W1139" i="34"/>
  <c r="X1139" i="34"/>
  <c r="N1140" i="34"/>
  <c r="R1140" i="34"/>
  <c r="S1140" i="34"/>
  <c r="T1140" i="34"/>
  <c r="V1140" i="34"/>
  <c r="W1140" i="34"/>
  <c r="X1140" i="34"/>
  <c r="N1141" i="34"/>
  <c r="R1141" i="34"/>
  <c r="S1141" i="34"/>
  <c r="T1141" i="34"/>
  <c r="V1141" i="34"/>
  <c r="W1141" i="34"/>
  <c r="X1141" i="34"/>
  <c r="N1142" i="34"/>
  <c r="R1142" i="34"/>
  <c r="S1142" i="34"/>
  <c r="T1142" i="34"/>
  <c r="V1142" i="34"/>
  <c r="W1142" i="34"/>
  <c r="X1142" i="34"/>
  <c r="N1143" i="34"/>
  <c r="R1143" i="34"/>
  <c r="S1143" i="34"/>
  <c r="T1143" i="34"/>
  <c r="V1143" i="34"/>
  <c r="W1143" i="34"/>
  <c r="X1143" i="34"/>
  <c r="N1144" i="34"/>
  <c r="R1144" i="34"/>
  <c r="S1144" i="34"/>
  <c r="T1144" i="34"/>
  <c r="V1144" i="34"/>
  <c r="W1144" i="34"/>
  <c r="X1144" i="34"/>
  <c r="N1145" i="34"/>
  <c r="R1145" i="34"/>
  <c r="S1145" i="34"/>
  <c r="T1145" i="34"/>
  <c r="V1145" i="34"/>
  <c r="W1145" i="34"/>
  <c r="X1145" i="34"/>
  <c r="N1146" i="34"/>
  <c r="R1146" i="34"/>
  <c r="S1146" i="34"/>
  <c r="T1146" i="34"/>
  <c r="V1146" i="34"/>
  <c r="W1146" i="34"/>
  <c r="X1146" i="34"/>
  <c r="N1147" i="34"/>
  <c r="R1147" i="34"/>
  <c r="S1147" i="34"/>
  <c r="T1147" i="34"/>
  <c r="V1147" i="34"/>
  <c r="W1147" i="34"/>
  <c r="X1147" i="34"/>
  <c r="N1148" i="34"/>
  <c r="R1148" i="34"/>
  <c r="S1148" i="34"/>
  <c r="T1148" i="34"/>
  <c r="V1148" i="34"/>
  <c r="W1148" i="34"/>
  <c r="X1148" i="34"/>
  <c r="N1149" i="34"/>
  <c r="R1149" i="34"/>
  <c r="S1149" i="34"/>
  <c r="T1149" i="34"/>
  <c r="V1149" i="34"/>
  <c r="W1149" i="34"/>
  <c r="X1149" i="34"/>
  <c r="N1150" i="34"/>
  <c r="R1150" i="34"/>
  <c r="S1150" i="34"/>
  <c r="T1150" i="34"/>
  <c r="V1150" i="34"/>
  <c r="W1150" i="34"/>
  <c r="X1150" i="34"/>
  <c r="N1151" i="34"/>
  <c r="R1151" i="34"/>
  <c r="S1151" i="34"/>
  <c r="T1151" i="34"/>
  <c r="V1151" i="34"/>
  <c r="W1151" i="34"/>
  <c r="X1151" i="34"/>
  <c r="N1152" i="34"/>
  <c r="R1152" i="34"/>
  <c r="S1152" i="34"/>
  <c r="T1152" i="34"/>
  <c r="V1152" i="34"/>
  <c r="W1152" i="34"/>
  <c r="X1152" i="34"/>
  <c r="N1153" i="34"/>
  <c r="R1153" i="34"/>
  <c r="S1153" i="34"/>
  <c r="T1153" i="34"/>
  <c r="V1153" i="34"/>
  <c r="W1153" i="34"/>
  <c r="X1153" i="34"/>
  <c r="N1154" i="34"/>
  <c r="R1154" i="34"/>
  <c r="S1154" i="34"/>
  <c r="T1154" i="34"/>
  <c r="V1154" i="34"/>
  <c r="W1154" i="34"/>
  <c r="X1154" i="34"/>
  <c r="N1155" i="34"/>
  <c r="R1155" i="34"/>
  <c r="S1155" i="34"/>
  <c r="T1155" i="34"/>
  <c r="V1155" i="34"/>
  <c r="W1155" i="34"/>
  <c r="X1155" i="34"/>
  <c r="N1156" i="34"/>
  <c r="R1156" i="34"/>
  <c r="S1156" i="34"/>
  <c r="T1156" i="34"/>
  <c r="V1156" i="34"/>
  <c r="W1156" i="34"/>
  <c r="X1156" i="34"/>
  <c r="N1157" i="34"/>
  <c r="R1157" i="34"/>
  <c r="S1157" i="34"/>
  <c r="T1157" i="34"/>
  <c r="V1157" i="34"/>
  <c r="W1157" i="34"/>
  <c r="X1157" i="34"/>
  <c r="N1158" i="34"/>
  <c r="R1158" i="34"/>
  <c r="S1158" i="34"/>
  <c r="T1158" i="34"/>
  <c r="V1158" i="34"/>
  <c r="W1158" i="34"/>
  <c r="X1158" i="34"/>
  <c r="N1159" i="34"/>
  <c r="R1159" i="34"/>
  <c r="S1159" i="34"/>
  <c r="T1159" i="34"/>
  <c r="V1159" i="34"/>
  <c r="W1159" i="34"/>
  <c r="X1159" i="34"/>
  <c r="N1160" i="34"/>
  <c r="R1160" i="34"/>
  <c r="S1160" i="34"/>
  <c r="T1160" i="34"/>
  <c r="V1160" i="34"/>
  <c r="W1160" i="34"/>
  <c r="X1160" i="34"/>
  <c r="N1161" i="34"/>
  <c r="R1161" i="34"/>
  <c r="S1161" i="34"/>
  <c r="T1161" i="34"/>
  <c r="V1161" i="34"/>
  <c r="W1161" i="34"/>
  <c r="X1161" i="34"/>
  <c r="N1162" i="34"/>
  <c r="R1162" i="34"/>
  <c r="S1162" i="34"/>
  <c r="T1162" i="34"/>
  <c r="V1162" i="34"/>
  <c r="W1162" i="34"/>
  <c r="X1162" i="34"/>
  <c r="N1163" i="34"/>
  <c r="R1163" i="34"/>
  <c r="S1163" i="34"/>
  <c r="T1163" i="34"/>
  <c r="V1163" i="34"/>
  <c r="W1163" i="34"/>
  <c r="X1163" i="34"/>
  <c r="N1164" i="34"/>
  <c r="R1164" i="34"/>
  <c r="S1164" i="34"/>
  <c r="T1164" i="34"/>
  <c r="V1164" i="34"/>
  <c r="W1164" i="34"/>
  <c r="X1164" i="34"/>
  <c r="N1165" i="34"/>
  <c r="R1165" i="34"/>
  <c r="S1165" i="34"/>
  <c r="T1165" i="34"/>
  <c r="V1165" i="34"/>
  <c r="W1165" i="34"/>
  <c r="X1165" i="34"/>
  <c r="N1166" i="34"/>
  <c r="R1166" i="34"/>
  <c r="S1166" i="34"/>
  <c r="T1166" i="34"/>
  <c r="V1166" i="34"/>
  <c r="W1166" i="34"/>
  <c r="X1166" i="34"/>
  <c r="N1167" i="34"/>
  <c r="R1167" i="34"/>
  <c r="S1167" i="34"/>
  <c r="T1167" i="34"/>
  <c r="V1167" i="34"/>
  <c r="W1167" i="34"/>
  <c r="X1167" i="34"/>
  <c r="N1168" i="34"/>
  <c r="R1168" i="34"/>
  <c r="S1168" i="34"/>
  <c r="T1168" i="34"/>
  <c r="V1168" i="34"/>
  <c r="W1168" i="34"/>
  <c r="X1168" i="34"/>
  <c r="N1169" i="34"/>
  <c r="R1169" i="34"/>
  <c r="S1169" i="34"/>
  <c r="T1169" i="34"/>
  <c r="V1169" i="34"/>
  <c r="W1169" i="34"/>
  <c r="X1169" i="34"/>
  <c r="N1170" i="34"/>
  <c r="R1170" i="34"/>
  <c r="S1170" i="34"/>
  <c r="T1170" i="34"/>
  <c r="V1170" i="34"/>
  <c r="W1170" i="34"/>
  <c r="X1170" i="34"/>
  <c r="N1171" i="34"/>
  <c r="R1171" i="34"/>
  <c r="S1171" i="34"/>
  <c r="T1171" i="34"/>
  <c r="V1171" i="34"/>
  <c r="W1171" i="34"/>
  <c r="X1171" i="34"/>
  <c r="N1172" i="34"/>
  <c r="R1172" i="34"/>
  <c r="S1172" i="34"/>
  <c r="T1172" i="34"/>
  <c r="V1172" i="34"/>
  <c r="W1172" i="34"/>
  <c r="X1172" i="34"/>
  <c r="N1173" i="34"/>
  <c r="R1173" i="34"/>
  <c r="S1173" i="34"/>
  <c r="T1173" i="34"/>
  <c r="V1173" i="34"/>
  <c r="W1173" i="34"/>
  <c r="X1173" i="34"/>
  <c r="N1174" i="34"/>
  <c r="R1174" i="34"/>
  <c r="S1174" i="34"/>
  <c r="T1174" i="34"/>
  <c r="V1174" i="34"/>
  <c r="W1174" i="34"/>
  <c r="X1174" i="34"/>
  <c r="N1175" i="34"/>
  <c r="R1175" i="34"/>
  <c r="S1175" i="34"/>
  <c r="T1175" i="34"/>
  <c r="V1175" i="34"/>
  <c r="W1175" i="34"/>
  <c r="X1175" i="34"/>
  <c r="N1176" i="34"/>
  <c r="R1176" i="34"/>
  <c r="S1176" i="34"/>
  <c r="T1176" i="34"/>
  <c r="V1176" i="34"/>
  <c r="W1176" i="34"/>
  <c r="X1176" i="34"/>
  <c r="N1177" i="34"/>
  <c r="R1177" i="34"/>
  <c r="S1177" i="34"/>
  <c r="T1177" i="34"/>
  <c r="V1177" i="34"/>
  <c r="W1177" i="34"/>
  <c r="X1177" i="34"/>
  <c r="N1178" i="34"/>
  <c r="R1178" i="34"/>
  <c r="S1178" i="34"/>
  <c r="T1178" i="34"/>
  <c r="V1178" i="34"/>
  <c r="W1178" i="34"/>
  <c r="X1178" i="34"/>
  <c r="N1179" i="34"/>
  <c r="R1179" i="34"/>
  <c r="S1179" i="34"/>
  <c r="T1179" i="34"/>
  <c r="V1179" i="34"/>
  <c r="W1179" i="34"/>
  <c r="X1179" i="34"/>
  <c r="N1180" i="34"/>
  <c r="R1180" i="34"/>
  <c r="S1180" i="34"/>
  <c r="T1180" i="34"/>
  <c r="V1180" i="34"/>
  <c r="W1180" i="34"/>
  <c r="X1180" i="34"/>
  <c r="N1181" i="34"/>
  <c r="R1181" i="34"/>
  <c r="S1181" i="34"/>
  <c r="T1181" i="34"/>
  <c r="V1181" i="34"/>
  <c r="W1181" i="34"/>
  <c r="X1181" i="34"/>
  <c r="N1182" i="34"/>
  <c r="R1182" i="34"/>
  <c r="S1182" i="34"/>
  <c r="T1182" i="34"/>
  <c r="V1182" i="34"/>
  <c r="W1182" i="34"/>
  <c r="X1182" i="34"/>
  <c r="N1183" i="34"/>
  <c r="R1183" i="34"/>
  <c r="S1183" i="34"/>
  <c r="T1183" i="34"/>
  <c r="V1183" i="34"/>
  <c r="W1183" i="34"/>
  <c r="X1183" i="34"/>
  <c r="N1184" i="34"/>
  <c r="R1184" i="34"/>
  <c r="S1184" i="34"/>
  <c r="T1184" i="34"/>
  <c r="V1184" i="34"/>
  <c r="W1184" i="34"/>
  <c r="X1184" i="34"/>
  <c r="N1185" i="34"/>
  <c r="R1185" i="34"/>
  <c r="S1185" i="34"/>
  <c r="T1185" i="34"/>
  <c r="V1185" i="34"/>
  <c r="W1185" i="34"/>
  <c r="X1185" i="34"/>
  <c r="N1186" i="34"/>
  <c r="R1186" i="34"/>
  <c r="S1186" i="34"/>
  <c r="T1186" i="34"/>
  <c r="V1186" i="34"/>
  <c r="W1186" i="34"/>
  <c r="X1186" i="34"/>
  <c r="N1187" i="34"/>
  <c r="R1187" i="34"/>
  <c r="S1187" i="34"/>
  <c r="T1187" i="34"/>
  <c r="V1187" i="34"/>
  <c r="W1187" i="34"/>
  <c r="X1187" i="34"/>
  <c r="N1188" i="34"/>
  <c r="R1188" i="34"/>
  <c r="S1188" i="34"/>
  <c r="T1188" i="34"/>
  <c r="V1188" i="34"/>
  <c r="W1188" i="34"/>
  <c r="X1188" i="34"/>
  <c r="N1189" i="34"/>
  <c r="R1189" i="34"/>
  <c r="S1189" i="34"/>
  <c r="T1189" i="34"/>
  <c r="V1189" i="34"/>
  <c r="W1189" i="34"/>
  <c r="X1189" i="34"/>
  <c r="N1190" i="34"/>
  <c r="R1190" i="34"/>
  <c r="S1190" i="34"/>
  <c r="T1190" i="34"/>
  <c r="V1190" i="34"/>
  <c r="W1190" i="34"/>
  <c r="X1190" i="34"/>
  <c r="N1191" i="34"/>
  <c r="R1191" i="34"/>
  <c r="S1191" i="34"/>
  <c r="T1191" i="34"/>
  <c r="V1191" i="34"/>
  <c r="W1191" i="34"/>
  <c r="X1191" i="34"/>
  <c r="N1192" i="34"/>
  <c r="R1192" i="34"/>
  <c r="S1192" i="34"/>
  <c r="T1192" i="34"/>
  <c r="V1192" i="34"/>
  <c r="W1192" i="34"/>
  <c r="X1192" i="34"/>
  <c r="N1193" i="34"/>
  <c r="R1193" i="34"/>
  <c r="S1193" i="34"/>
  <c r="T1193" i="34"/>
  <c r="V1193" i="34"/>
  <c r="W1193" i="34"/>
  <c r="X1193" i="34"/>
  <c r="N1194" i="34"/>
  <c r="R1194" i="34"/>
  <c r="S1194" i="34"/>
  <c r="T1194" i="34"/>
  <c r="V1194" i="34"/>
  <c r="W1194" i="34"/>
  <c r="X1194" i="34"/>
  <c r="N1195" i="34"/>
  <c r="R1195" i="34"/>
  <c r="S1195" i="34"/>
  <c r="T1195" i="34"/>
  <c r="V1195" i="34"/>
  <c r="W1195" i="34"/>
  <c r="X1195" i="34"/>
  <c r="N1196" i="34"/>
  <c r="R1196" i="34"/>
  <c r="S1196" i="34"/>
  <c r="T1196" i="34"/>
  <c r="V1196" i="34"/>
  <c r="W1196" i="34"/>
  <c r="X1196" i="34"/>
  <c r="N1197" i="34"/>
  <c r="R1197" i="34"/>
  <c r="S1197" i="34"/>
  <c r="T1197" i="34"/>
  <c r="V1197" i="34"/>
  <c r="W1197" i="34"/>
  <c r="X1197" i="34"/>
  <c r="N1198" i="34"/>
  <c r="R1198" i="34"/>
  <c r="S1198" i="34"/>
  <c r="T1198" i="34"/>
  <c r="V1198" i="34"/>
  <c r="W1198" i="34"/>
  <c r="X1198" i="34"/>
  <c r="N1199" i="34"/>
  <c r="R1199" i="34"/>
  <c r="S1199" i="34"/>
  <c r="T1199" i="34"/>
  <c r="V1199" i="34"/>
  <c r="W1199" i="34"/>
  <c r="X1199" i="34"/>
  <c r="N1200" i="34"/>
  <c r="R1200" i="34"/>
  <c r="S1200" i="34"/>
  <c r="T1200" i="34"/>
  <c r="V1200" i="34"/>
  <c r="W1200" i="34"/>
  <c r="X1200" i="34"/>
  <c r="N1201" i="34"/>
  <c r="R1201" i="34"/>
  <c r="S1201" i="34"/>
  <c r="T1201" i="34"/>
  <c r="V1201" i="34"/>
  <c r="W1201" i="34"/>
  <c r="X1201" i="34"/>
  <c r="N1202" i="34"/>
  <c r="R1202" i="34"/>
  <c r="S1202" i="34"/>
  <c r="T1202" i="34"/>
  <c r="V1202" i="34"/>
  <c r="W1202" i="34"/>
  <c r="X1202" i="34"/>
  <c r="N1203" i="34"/>
  <c r="R1203" i="34"/>
  <c r="S1203" i="34"/>
  <c r="T1203" i="34"/>
  <c r="V1203" i="34"/>
  <c r="W1203" i="34"/>
  <c r="X1203" i="34"/>
  <c r="N1204" i="34"/>
  <c r="R1204" i="34"/>
  <c r="S1204" i="34"/>
  <c r="T1204" i="34"/>
  <c r="V1204" i="34"/>
  <c r="W1204" i="34"/>
  <c r="X1204" i="34"/>
  <c r="N1205" i="34"/>
  <c r="R1205" i="34"/>
  <c r="S1205" i="34"/>
  <c r="T1205" i="34"/>
  <c r="V1205" i="34"/>
  <c r="W1205" i="34"/>
  <c r="X1205" i="34"/>
  <c r="N1206" i="34"/>
  <c r="R1206" i="34"/>
  <c r="S1206" i="34"/>
  <c r="T1206" i="34"/>
  <c r="V1206" i="34"/>
  <c r="W1206" i="34"/>
  <c r="X1206" i="34"/>
  <c r="N1207" i="34"/>
  <c r="R1207" i="34"/>
  <c r="S1207" i="34"/>
  <c r="T1207" i="34"/>
  <c r="V1207" i="34"/>
  <c r="W1207" i="34"/>
  <c r="X1207" i="34"/>
  <c r="N1208" i="34"/>
  <c r="R1208" i="34"/>
  <c r="S1208" i="34"/>
  <c r="T1208" i="34"/>
  <c r="V1208" i="34"/>
  <c r="W1208" i="34"/>
  <c r="X1208" i="34"/>
  <c r="N1209" i="34"/>
  <c r="R1209" i="34"/>
  <c r="S1209" i="34"/>
  <c r="T1209" i="34"/>
  <c r="V1209" i="34"/>
  <c r="W1209" i="34"/>
  <c r="X1209" i="34"/>
  <c r="N1210" i="34"/>
  <c r="R1210" i="34"/>
  <c r="S1210" i="34"/>
  <c r="T1210" i="34"/>
  <c r="V1210" i="34"/>
  <c r="W1210" i="34"/>
  <c r="X1210" i="34"/>
  <c r="N1211" i="34"/>
  <c r="R1211" i="34"/>
  <c r="S1211" i="34"/>
  <c r="T1211" i="34"/>
  <c r="V1211" i="34"/>
  <c r="W1211" i="34"/>
  <c r="X1211" i="34"/>
  <c r="N1212" i="34"/>
  <c r="R1212" i="34"/>
  <c r="S1212" i="34"/>
  <c r="T1212" i="34"/>
  <c r="V1212" i="34"/>
  <c r="W1212" i="34"/>
  <c r="X1212" i="34"/>
  <c r="N1213" i="34"/>
  <c r="R1213" i="34"/>
  <c r="S1213" i="34"/>
  <c r="T1213" i="34"/>
  <c r="V1213" i="34"/>
  <c r="W1213" i="34"/>
  <c r="X1213" i="34"/>
  <c r="N1214" i="34"/>
  <c r="R1214" i="34"/>
  <c r="S1214" i="34"/>
  <c r="T1214" i="34"/>
  <c r="V1214" i="34"/>
  <c r="W1214" i="34"/>
  <c r="X1214" i="34"/>
  <c r="N1215" i="34"/>
  <c r="R1215" i="34"/>
  <c r="S1215" i="34"/>
  <c r="T1215" i="34"/>
  <c r="V1215" i="34"/>
  <c r="W1215" i="34"/>
  <c r="X1215" i="34"/>
  <c r="N1216" i="34"/>
  <c r="R1216" i="34"/>
  <c r="S1216" i="34"/>
  <c r="T1216" i="34"/>
  <c r="V1216" i="34"/>
  <c r="W1216" i="34"/>
  <c r="X1216" i="34"/>
  <c r="N1217" i="34"/>
  <c r="R1217" i="34"/>
  <c r="S1217" i="34"/>
  <c r="T1217" i="34"/>
  <c r="V1217" i="34"/>
  <c r="W1217" i="34"/>
  <c r="X1217" i="34"/>
  <c r="N1218" i="34"/>
  <c r="R1218" i="34"/>
  <c r="S1218" i="34"/>
  <c r="T1218" i="34"/>
  <c r="V1218" i="34"/>
  <c r="W1218" i="34"/>
  <c r="X1218" i="34"/>
  <c r="N1219" i="34"/>
  <c r="R1219" i="34"/>
  <c r="S1219" i="34"/>
  <c r="T1219" i="34"/>
  <c r="V1219" i="34"/>
  <c r="W1219" i="34"/>
  <c r="X1219" i="34"/>
  <c r="N1220" i="34"/>
  <c r="R1220" i="34"/>
  <c r="S1220" i="34"/>
  <c r="T1220" i="34"/>
  <c r="V1220" i="34"/>
  <c r="W1220" i="34"/>
  <c r="X1220" i="34"/>
  <c r="N1221" i="34"/>
  <c r="R1221" i="34"/>
  <c r="S1221" i="34"/>
  <c r="T1221" i="34"/>
  <c r="V1221" i="34"/>
  <c r="W1221" i="34"/>
  <c r="X1221" i="34"/>
  <c r="N1222" i="34"/>
  <c r="R1222" i="34"/>
  <c r="S1222" i="34"/>
  <c r="T1222" i="34"/>
  <c r="V1222" i="34"/>
  <c r="W1222" i="34"/>
  <c r="X1222" i="34"/>
  <c r="N1223" i="34"/>
  <c r="R1223" i="34"/>
  <c r="S1223" i="34"/>
  <c r="T1223" i="34"/>
  <c r="V1223" i="34"/>
  <c r="W1223" i="34"/>
  <c r="X1223" i="34"/>
  <c r="N1224" i="34"/>
  <c r="R1224" i="34"/>
  <c r="S1224" i="34"/>
  <c r="T1224" i="34"/>
  <c r="V1224" i="34"/>
  <c r="W1224" i="34"/>
  <c r="X1224" i="34"/>
  <c r="N1225" i="34"/>
  <c r="R1225" i="34"/>
  <c r="S1225" i="34"/>
  <c r="T1225" i="34"/>
  <c r="V1225" i="34"/>
  <c r="W1225" i="34"/>
  <c r="X1225" i="34"/>
  <c r="N1226" i="34"/>
  <c r="R1226" i="34"/>
  <c r="S1226" i="34"/>
  <c r="T1226" i="34"/>
  <c r="V1226" i="34"/>
  <c r="W1226" i="34"/>
  <c r="X1226" i="34"/>
  <c r="N1227" i="34"/>
  <c r="R1227" i="34"/>
  <c r="S1227" i="34"/>
  <c r="T1227" i="34"/>
  <c r="V1227" i="34"/>
  <c r="W1227" i="34"/>
  <c r="X1227" i="34"/>
  <c r="N1228" i="34"/>
  <c r="R1228" i="34"/>
  <c r="S1228" i="34"/>
  <c r="T1228" i="34"/>
  <c r="V1228" i="34"/>
  <c r="W1228" i="34"/>
  <c r="X1228" i="34"/>
  <c r="N1229" i="34"/>
  <c r="R1229" i="34"/>
  <c r="S1229" i="34"/>
  <c r="T1229" i="34"/>
  <c r="V1229" i="34"/>
  <c r="W1229" i="34"/>
  <c r="X1229" i="34"/>
  <c r="N1230" i="34"/>
  <c r="R1230" i="34"/>
  <c r="S1230" i="34"/>
  <c r="T1230" i="34"/>
  <c r="V1230" i="34"/>
  <c r="W1230" i="34"/>
  <c r="X1230" i="34"/>
  <c r="N1231" i="34"/>
  <c r="R1231" i="34"/>
  <c r="S1231" i="34"/>
  <c r="T1231" i="34"/>
  <c r="V1231" i="34"/>
  <c r="W1231" i="34"/>
  <c r="X1231" i="34"/>
  <c r="N1232" i="34"/>
  <c r="R1232" i="34"/>
  <c r="S1232" i="34"/>
  <c r="T1232" i="34"/>
  <c r="V1232" i="34"/>
  <c r="W1232" i="34"/>
  <c r="X1232" i="34"/>
  <c r="N1233" i="34"/>
  <c r="R1233" i="34"/>
  <c r="S1233" i="34"/>
  <c r="T1233" i="34"/>
  <c r="V1233" i="34"/>
  <c r="W1233" i="34"/>
  <c r="X1233" i="34"/>
  <c r="N1234" i="34"/>
  <c r="R1234" i="34"/>
  <c r="S1234" i="34"/>
  <c r="T1234" i="34"/>
  <c r="V1234" i="34"/>
  <c r="W1234" i="34"/>
  <c r="X1234" i="34"/>
  <c r="N1235" i="34"/>
  <c r="R1235" i="34"/>
  <c r="S1235" i="34"/>
  <c r="T1235" i="34"/>
  <c r="V1235" i="34"/>
  <c r="W1235" i="34"/>
  <c r="X1235" i="34"/>
  <c r="N1236" i="34"/>
  <c r="R1236" i="34"/>
  <c r="S1236" i="34"/>
  <c r="T1236" i="34"/>
  <c r="V1236" i="34"/>
  <c r="W1236" i="34"/>
  <c r="X1236" i="34"/>
  <c r="N1237" i="34"/>
  <c r="R1237" i="34"/>
  <c r="S1237" i="34"/>
  <c r="T1237" i="34"/>
  <c r="V1237" i="34"/>
  <c r="W1237" i="34"/>
  <c r="X1237" i="34"/>
  <c r="N1238" i="34"/>
  <c r="R1238" i="34"/>
  <c r="S1238" i="34"/>
  <c r="T1238" i="34"/>
  <c r="V1238" i="34"/>
  <c r="W1238" i="34"/>
  <c r="X1238" i="34"/>
  <c r="N1239" i="34"/>
  <c r="R1239" i="34"/>
  <c r="S1239" i="34"/>
  <c r="T1239" i="34"/>
  <c r="V1239" i="34"/>
  <c r="W1239" i="34"/>
  <c r="X1239" i="34"/>
  <c r="N1240" i="34"/>
  <c r="R1240" i="34"/>
  <c r="S1240" i="34"/>
  <c r="T1240" i="34"/>
  <c r="V1240" i="34"/>
  <c r="W1240" i="34"/>
  <c r="X1240" i="34"/>
  <c r="N1241" i="34"/>
  <c r="R1241" i="34"/>
  <c r="S1241" i="34"/>
  <c r="T1241" i="34"/>
  <c r="V1241" i="34"/>
  <c r="W1241" i="34"/>
  <c r="X1241" i="34"/>
  <c r="N1242" i="34"/>
  <c r="R1242" i="34"/>
  <c r="S1242" i="34"/>
  <c r="T1242" i="34"/>
  <c r="V1242" i="34"/>
  <c r="W1242" i="34"/>
  <c r="X1242" i="34"/>
  <c r="N1243" i="34"/>
  <c r="R1243" i="34"/>
  <c r="S1243" i="34"/>
  <c r="T1243" i="34"/>
  <c r="V1243" i="34"/>
  <c r="W1243" i="34"/>
  <c r="X1243" i="34"/>
  <c r="N1244" i="34"/>
  <c r="R1244" i="34"/>
  <c r="S1244" i="34"/>
  <c r="T1244" i="34"/>
  <c r="V1244" i="34"/>
  <c r="W1244" i="34"/>
  <c r="X1244" i="34"/>
  <c r="N1245" i="34"/>
  <c r="R1245" i="34"/>
  <c r="S1245" i="34"/>
  <c r="T1245" i="34"/>
  <c r="V1245" i="34"/>
  <c r="W1245" i="34"/>
  <c r="X1245" i="34"/>
  <c r="N1246" i="34"/>
  <c r="R1246" i="34"/>
  <c r="S1246" i="34"/>
  <c r="T1246" i="34"/>
  <c r="V1246" i="34"/>
  <c r="W1246" i="34"/>
  <c r="X1246" i="34"/>
  <c r="N1247" i="34"/>
  <c r="R1247" i="34"/>
  <c r="S1247" i="34"/>
  <c r="T1247" i="34"/>
  <c r="V1247" i="34"/>
  <c r="W1247" i="34"/>
  <c r="X1247" i="34"/>
  <c r="N1248" i="34"/>
  <c r="R1248" i="34"/>
  <c r="S1248" i="34"/>
  <c r="T1248" i="34"/>
  <c r="V1248" i="34"/>
  <c r="W1248" i="34"/>
  <c r="X1248" i="34"/>
  <c r="N1249" i="34"/>
  <c r="R1249" i="34"/>
  <c r="S1249" i="34"/>
  <c r="T1249" i="34"/>
  <c r="V1249" i="34"/>
  <c r="W1249" i="34"/>
  <c r="X1249" i="34"/>
  <c r="N1250" i="34"/>
  <c r="R1250" i="34"/>
  <c r="S1250" i="34"/>
  <c r="T1250" i="34"/>
  <c r="V1250" i="34"/>
  <c r="W1250" i="34"/>
  <c r="X1250" i="34"/>
  <c r="N1251" i="34"/>
  <c r="R1251" i="34"/>
  <c r="S1251" i="34"/>
  <c r="T1251" i="34"/>
  <c r="V1251" i="34"/>
  <c r="W1251" i="34"/>
  <c r="X1251" i="34"/>
  <c r="N1252" i="34"/>
  <c r="R1252" i="34"/>
  <c r="S1252" i="34"/>
  <c r="T1252" i="34"/>
  <c r="V1252" i="34"/>
  <c r="W1252" i="34"/>
  <c r="X1252" i="34"/>
  <c r="N1253" i="34"/>
  <c r="R1253" i="34"/>
  <c r="S1253" i="34"/>
  <c r="T1253" i="34"/>
  <c r="V1253" i="34"/>
  <c r="W1253" i="34"/>
  <c r="X1253" i="34"/>
  <c r="N1254" i="34"/>
  <c r="R1254" i="34"/>
  <c r="S1254" i="34"/>
  <c r="T1254" i="34"/>
  <c r="V1254" i="34"/>
  <c r="W1254" i="34"/>
  <c r="X1254" i="34"/>
  <c r="N1255" i="34"/>
  <c r="R1255" i="34"/>
  <c r="S1255" i="34"/>
  <c r="T1255" i="34"/>
  <c r="V1255" i="34"/>
  <c r="W1255" i="34"/>
  <c r="X1255" i="34"/>
  <c r="N1256" i="34"/>
  <c r="R1256" i="34"/>
  <c r="S1256" i="34"/>
  <c r="T1256" i="34"/>
  <c r="V1256" i="34"/>
  <c r="W1256" i="34"/>
  <c r="X1256" i="34"/>
  <c r="N1257" i="34"/>
  <c r="R1257" i="34"/>
  <c r="S1257" i="34"/>
  <c r="T1257" i="34"/>
  <c r="V1257" i="34"/>
  <c r="W1257" i="34"/>
  <c r="X1257" i="34"/>
  <c r="N1258" i="34"/>
  <c r="R1258" i="34"/>
  <c r="S1258" i="34"/>
  <c r="T1258" i="34"/>
  <c r="V1258" i="34"/>
  <c r="W1258" i="34"/>
  <c r="X1258" i="34"/>
  <c r="N1259" i="34"/>
  <c r="R1259" i="34"/>
  <c r="S1259" i="34"/>
  <c r="T1259" i="34"/>
  <c r="V1259" i="34"/>
  <c r="W1259" i="34"/>
  <c r="X1259" i="34"/>
  <c r="N1260" i="34"/>
  <c r="R1260" i="34"/>
  <c r="S1260" i="34"/>
  <c r="T1260" i="34"/>
  <c r="V1260" i="34"/>
  <c r="W1260" i="34"/>
  <c r="X1260" i="34"/>
  <c r="N1261" i="34"/>
  <c r="R1261" i="34"/>
  <c r="S1261" i="34"/>
  <c r="T1261" i="34"/>
  <c r="V1261" i="34"/>
  <c r="W1261" i="34"/>
  <c r="X1261" i="34"/>
  <c r="N1262" i="34"/>
  <c r="R1262" i="34"/>
  <c r="S1262" i="34"/>
  <c r="T1262" i="34"/>
  <c r="V1262" i="34"/>
  <c r="W1262" i="34"/>
  <c r="X1262" i="34"/>
  <c r="N1263" i="34"/>
  <c r="R1263" i="34"/>
  <c r="S1263" i="34"/>
  <c r="T1263" i="34"/>
  <c r="V1263" i="34"/>
  <c r="W1263" i="34"/>
  <c r="X1263" i="34"/>
  <c r="N1264" i="34"/>
  <c r="R1264" i="34"/>
  <c r="S1264" i="34"/>
  <c r="T1264" i="34"/>
  <c r="V1264" i="34"/>
  <c r="W1264" i="34"/>
  <c r="X1264" i="34"/>
  <c r="N1265" i="34"/>
  <c r="R1265" i="34"/>
  <c r="S1265" i="34"/>
  <c r="T1265" i="34"/>
  <c r="V1265" i="34"/>
  <c r="W1265" i="34"/>
  <c r="X1265" i="34"/>
  <c r="N1266" i="34"/>
  <c r="R1266" i="34"/>
  <c r="S1266" i="34"/>
  <c r="T1266" i="34"/>
  <c r="V1266" i="34"/>
  <c r="W1266" i="34"/>
  <c r="X1266" i="34"/>
  <c r="N1267" i="34"/>
  <c r="R1267" i="34"/>
  <c r="S1267" i="34"/>
  <c r="T1267" i="34"/>
  <c r="V1267" i="34"/>
  <c r="W1267" i="34"/>
  <c r="X1267" i="34"/>
  <c r="N1268" i="34"/>
  <c r="R1268" i="34"/>
  <c r="S1268" i="34"/>
  <c r="T1268" i="34"/>
  <c r="V1268" i="34"/>
  <c r="W1268" i="34"/>
  <c r="X1268" i="34"/>
  <c r="N1269" i="34"/>
  <c r="R1269" i="34"/>
  <c r="S1269" i="34"/>
  <c r="T1269" i="34"/>
  <c r="V1269" i="34"/>
  <c r="W1269" i="34"/>
  <c r="X1269" i="34"/>
  <c r="N1270" i="34"/>
  <c r="R1270" i="34"/>
  <c r="S1270" i="34"/>
  <c r="T1270" i="34"/>
  <c r="V1270" i="34"/>
  <c r="W1270" i="34"/>
  <c r="X1270" i="34"/>
  <c r="N1271" i="34"/>
  <c r="R1271" i="34"/>
  <c r="S1271" i="34"/>
  <c r="T1271" i="34"/>
  <c r="V1271" i="34"/>
  <c r="W1271" i="34"/>
  <c r="X1271" i="34"/>
  <c r="N1272" i="34"/>
  <c r="R1272" i="34"/>
  <c r="S1272" i="34"/>
  <c r="T1272" i="34"/>
  <c r="V1272" i="34"/>
  <c r="W1272" i="34"/>
  <c r="X1272" i="34"/>
  <c r="N1273" i="34"/>
  <c r="R1273" i="34"/>
  <c r="S1273" i="34"/>
  <c r="T1273" i="34"/>
  <c r="V1273" i="34"/>
  <c r="W1273" i="34"/>
  <c r="X1273" i="34"/>
  <c r="N1274" i="34"/>
  <c r="R1274" i="34"/>
  <c r="S1274" i="34"/>
  <c r="T1274" i="34"/>
  <c r="V1274" i="34"/>
  <c r="W1274" i="34"/>
  <c r="X1274" i="34"/>
  <c r="N1275" i="34"/>
  <c r="R1275" i="34"/>
  <c r="S1275" i="34"/>
  <c r="T1275" i="34"/>
  <c r="V1275" i="34"/>
  <c r="W1275" i="34"/>
  <c r="X1275" i="34"/>
  <c r="N1276" i="34"/>
  <c r="R1276" i="34"/>
  <c r="S1276" i="34"/>
  <c r="T1276" i="34"/>
  <c r="V1276" i="34"/>
  <c r="W1276" i="34"/>
  <c r="X1276" i="34"/>
  <c r="N1277" i="34"/>
  <c r="R1277" i="34"/>
  <c r="S1277" i="34"/>
  <c r="T1277" i="34"/>
  <c r="V1277" i="34"/>
  <c r="W1277" i="34"/>
  <c r="X1277" i="34"/>
  <c r="N1278" i="34"/>
  <c r="R1278" i="34"/>
  <c r="S1278" i="34"/>
  <c r="T1278" i="34"/>
  <c r="V1278" i="34"/>
  <c r="W1278" i="34"/>
  <c r="X1278" i="34"/>
  <c r="N1279" i="34"/>
  <c r="R1279" i="34"/>
  <c r="S1279" i="34"/>
  <c r="T1279" i="34"/>
  <c r="V1279" i="34"/>
  <c r="W1279" i="34"/>
  <c r="X1279" i="34"/>
  <c r="N1280" i="34"/>
  <c r="R1280" i="34"/>
  <c r="S1280" i="34"/>
  <c r="T1280" i="34"/>
  <c r="V1280" i="34"/>
  <c r="W1280" i="34"/>
  <c r="X1280" i="34"/>
  <c r="N1281" i="34"/>
  <c r="R1281" i="34"/>
  <c r="S1281" i="34"/>
  <c r="T1281" i="34"/>
  <c r="V1281" i="34"/>
  <c r="W1281" i="34"/>
  <c r="X1281" i="34"/>
  <c r="N1282" i="34"/>
  <c r="R1282" i="34"/>
  <c r="S1282" i="34"/>
  <c r="T1282" i="34"/>
  <c r="V1282" i="34"/>
  <c r="W1282" i="34"/>
  <c r="X1282" i="34"/>
  <c r="N1283" i="34"/>
  <c r="R1283" i="34"/>
  <c r="S1283" i="34"/>
  <c r="T1283" i="34"/>
  <c r="V1283" i="34"/>
  <c r="W1283" i="34"/>
  <c r="X1283" i="34"/>
  <c r="N1284" i="34"/>
  <c r="R1284" i="34"/>
  <c r="S1284" i="34"/>
  <c r="T1284" i="34"/>
  <c r="V1284" i="34"/>
  <c r="W1284" i="34"/>
  <c r="X1284" i="34"/>
  <c r="N1285" i="34"/>
  <c r="R1285" i="34"/>
  <c r="S1285" i="34"/>
  <c r="T1285" i="34"/>
  <c r="V1285" i="34"/>
  <c r="W1285" i="34"/>
  <c r="X1285" i="34"/>
  <c r="N1286" i="34"/>
  <c r="R1286" i="34"/>
  <c r="S1286" i="34"/>
  <c r="T1286" i="34"/>
  <c r="V1286" i="34"/>
  <c r="W1286" i="34"/>
  <c r="X1286" i="34"/>
  <c r="N1287" i="34"/>
  <c r="R1287" i="34"/>
  <c r="S1287" i="34"/>
  <c r="T1287" i="34"/>
  <c r="V1287" i="34"/>
  <c r="W1287" i="34"/>
  <c r="X1287" i="34"/>
  <c r="N1288" i="34"/>
  <c r="R1288" i="34"/>
  <c r="S1288" i="34"/>
  <c r="T1288" i="34"/>
  <c r="V1288" i="34"/>
  <c r="W1288" i="34"/>
  <c r="X1288" i="34"/>
  <c r="N1289" i="34"/>
  <c r="R1289" i="34"/>
  <c r="S1289" i="34"/>
  <c r="T1289" i="34"/>
  <c r="V1289" i="34"/>
  <c r="W1289" i="34"/>
  <c r="X1289" i="34"/>
  <c r="N1290" i="34"/>
  <c r="R1290" i="34"/>
  <c r="S1290" i="34"/>
  <c r="T1290" i="34"/>
  <c r="V1290" i="34"/>
  <c r="W1290" i="34"/>
  <c r="X1290" i="34"/>
  <c r="N1291" i="34"/>
  <c r="R1291" i="34"/>
  <c r="S1291" i="34"/>
  <c r="T1291" i="34"/>
  <c r="V1291" i="34"/>
  <c r="W1291" i="34"/>
  <c r="X1291" i="34"/>
  <c r="N1292" i="34"/>
  <c r="R1292" i="34"/>
  <c r="S1292" i="34"/>
  <c r="T1292" i="34"/>
  <c r="V1292" i="34"/>
  <c r="W1292" i="34"/>
  <c r="X1292" i="34"/>
  <c r="N1293" i="34"/>
  <c r="R1293" i="34"/>
  <c r="S1293" i="34"/>
  <c r="T1293" i="34"/>
  <c r="V1293" i="34"/>
  <c r="W1293" i="34"/>
  <c r="X1293" i="34"/>
  <c r="N1294" i="34"/>
  <c r="R1294" i="34"/>
  <c r="S1294" i="34"/>
  <c r="T1294" i="34"/>
  <c r="V1294" i="34"/>
  <c r="W1294" i="34"/>
  <c r="X1294" i="34"/>
  <c r="N1295" i="34"/>
  <c r="R1295" i="34"/>
  <c r="S1295" i="34"/>
  <c r="T1295" i="34"/>
  <c r="V1295" i="34"/>
  <c r="W1295" i="34"/>
  <c r="X1295" i="34"/>
  <c r="N1296" i="34"/>
  <c r="R1296" i="34"/>
  <c r="S1296" i="34"/>
  <c r="T1296" i="34"/>
  <c r="V1296" i="34"/>
  <c r="W1296" i="34"/>
  <c r="X1296" i="34"/>
  <c r="N1297" i="34"/>
  <c r="R1297" i="34"/>
  <c r="S1297" i="34"/>
  <c r="T1297" i="34"/>
  <c r="V1297" i="34"/>
  <c r="W1297" i="34"/>
  <c r="X1297" i="34"/>
  <c r="N1298" i="34"/>
  <c r="R1298" i="34"/>
  <c r="S1298" i="34"/>
  <c r="T1298" i="34"/>
  <c r="V1298" i="34"/>
  <c r="W1298" i="34"/>
  <c r="X1298" i="34"/>
  <c r="N1299" i="34"/>
  <c r="R1299" i="34"/>
  <c r="S1299" i="34"/>
  <c r="T1299" i="34"/>
  <c r="V1299" i="34"/>
  <c r="W1299" i="34"/>
  <c r="X1299" i="34"/>
  <c r="N1300" i="34"/>
  <c r="R1300" i="34"/>
  <c r="S1300" i="34"/>
  <c r="T1300" i="34"/>
  <c r="V1300" i="34"/>
  <c r="W1300" i="34"/>
  <c r="X1300" i="34"/>
  <c r="N1301" i="34"/>
  <c r="R1301" i="34"/>
  <c r="S1301" i="34"/>
  <c r="T1301" i="34"/>
  <c r="V1301" i="34"/>
  <c r="W1301" i="34"/>
  <c r="X1301" i="34"/>
  <c r="N1302" i="34"/>
  <c r="R1302" i="34"/>
  <c r="S1302" i="34"/>
  <c r="T1302" i="34"/>
  <c r="V1302" i="34"/>
  <c r="W1302" i="34"/>
  <c r="X1302" i="34"/>
  <c r="N1303" i="34"/>
  <c r="R1303" i="34"/>
  <c r="S1303" i="34"/>
  <c r="T1303" i="34"/>
  <c r="V1303" i="34"/>
  <c r="W1303" i="34"/>
  <c r="X1303" i="34"/>
  <c r="N1304" i="34"/>
  <c r="R1304" i="34"/>
  <c r="S1304" i="34"/>
  <c r="T1304" i="34"/>
  <c r="V1304" i="34"/>
  <c r="W1304" i="34"/>
  <c r="X1304" i="34"/>
  <c r="N1305" i="34"/>
  <c r="R1305" i="34"/>
  <c r="S1305" i="34"/>
  <c r="T1305" i="34"/>
  <c r="V1305" i="34"/>
  <c r="W1305" i="34"/>
  <c r="X1305" i="34"/>
  <c r="N1306" i="34"/>
  <c r="R1306" i="34"/>
  <c r="S1306" i="34"/>
  <c r="T1306" i="34"/>
  <c r="V1306" i="34"/>
  <c r="W1306" i="34"/>
  <c r="X1306" i="34"/>
  <c r="N1307" i="34"/>
  <c r="R1307" i="34"/>
  <c r="S1307" i="34"/>
  <c r="T1307" i="34"/>
  <c r="V1307" i="34"/>
  <c r="W1307" i="34"/>
  <c r="X1307" i="34"/>
  <c r="N1308" i="34"/>
  <c r="R1308" i="34"/>
  <c r="S1308" i="34"/>
  <c r="T1308" i="34"/>
  <c r="V1308" i="34"/>
  <c r="W1308" i="34"/>
  <c r="X1308" i="34"/>
  <c r="N1309" i="34"/>
  <c r="R1309" i="34"/>
  <c r="S1309" i="34"/>
  <c r="T1309" i="34"/>
  <c r="V1309" i="34"/>
  <c r="W1309" i="34"/>
  <c r="X1309" i="34"/>
  <c r="N1310" i="34"/>
  <c r="R1310" i="34"/>
  <c r="S1310" i="34"/>
  <c r="T1310" i="34"/>
  <c r="V1310" i="34"/>
  <c r="W1310" i="34"/>
  <c r="X1310" i="34"/>
  <c r="N1311" i="34"/>
  <c r="R1311" i="34"/>
  <c r="S1311" i="34"/>
  <c r="T1311" i="34"/>
  <c r="V1311" i="34"/>
  <c r="W1311" i="34"/>
  <c r="X1311" i="34"/>
  <c r="N1312" i="34"/>
  <c r="R1312" i="34"/>
  <c r="S1312" i="34"/>
  <c r="T1312" i="34"/>
  <c r="V1312" i="34"/>
  <c r="W1312" i="34"/>
  <c r="X1312" i="34"/>
  <c r="N1313" i="34"/>
  <c r="R1313" i="34"/>
  <c r="S1313" i="34"/>
  <c r="T1313" i="34"/>
  <c r="V1313" i="34"/>
  <c r="W1313" i="34"/>
  <c r="X1313" i="34"/>
  <c r="N1314" i="34"/>
  <c r="R1314" i="34"/>
  <c r="S1314" i="34"/>
  <c r="T1314" i="34"/>
  <c r="V1314" i="34"/>
  <c r="W1314" i="34"/>
  <c r="X1314" i="34"/>
  <c r="N1315" i="34"/>
  <c r="R1315" i="34"/>
  <c r="S1315" i="34"/>
  <c r="T1315" i="34"/>
  <c r="V1315" i="34"/>
  <c r="W1315" i="34"/>
  <c r="X1315" i="34"/>
  <c r="N1316" i="34"/>
  <c r="R1316" i="34"/>
  <c r="S1316" i="34"/>
  <c r="T1316" i="34"/>
  <c r="V1316" i="34"/>
  <c r="W1316" i="34"/>
  <c r="X1316" i="34"/>
  <c r="N1317" i="34"/>
  <c r="R1317" i="34"/>
  <c r="S1317" i="34"/>
  <c r="T1317" i="34"/>
  <c r="V1317" i="34"/>
  <c r="W1317" i="34"/>
  <c r="X1317" i="34"/>
  <c r="N1318" i="34"/>
  <c r="R1318" i="34"/>
  <c r="S1318" i="34"/>
  <c r="T1318" i="34"/>
  <c r="V1318" i="34"/>
  <c r="W1318" i="34"/>
  <c r="X1318" i="34"/>
  <c r="N1319" i="34"/>
  <c r="R1319" i="34"/>
  <c r="S1319" i="34"/>
  <c r="T1319" i="34"/>
  <c r="V1319" i="34"/>
  <c r="W1319" i="34"/>
  <c r="X1319" i="34"/>
  <c r="N1320" i="34"/>
  <c r="R1320" i="34"/>
  <c r="S1320" i="34"/>
  <c r="T1320" i="34"/>
  <c r="V1320" i="34"/>
  <c r="W1320" i="34"/>
  <c r="X1320" i="34"/>
  <c r="N1321" i="34"/>
  <c r="R1321" i="34"/>
  <c r="S1321" i="34"/>
  <c r="T1321" i="34"/>
  <c r="V1321" i="34"/>
  <c r="W1321" i="34"/>
  <c r="X1321" i="34"/>
  <c r="N1322" i="34"/>
  <c r="R1322" i="34"/>
  <c r="S1322" i="34"/>
  <c r="T1322" i="34"/>
  <c r="V1322" i="34"/>
  <c r="W1322" i="34"/>
  <c r="X1322" i="34"/>
  <c r="N1323" i="34"/>
  <c r="R1323" i="34"/>
  <c r="S1323" i="34"/>
  <c r="T1323" i="34"/>
  <c r="V1323" i="34"/>
  <c r="W1323" i="34"/>
  <c r="X1323" i="34"/>
  <c r="N1324" i="34"/>
  <c r="R1324" i="34"/>
  <c r="S1324" i="34"/>
  <c r="T1324" i="34"/>
  <c r="V1324" i="34"/>
  <c r="W1324" i="34"/>
  <c r="X1324" i="34"/>
  <c r="N1325" i="34"/>
  <c r="R1325" i="34"/>
  <c r="S1325" i="34"/>
  <c r="T1325" i="34"/>
  <c r="V1325" i="34"/>
  <c r="W1325" i="34"/>
  <c r="X1325" i="34"/>
  <c r="N1326" i="34"/>
  <c r="R1326" i="34"/>
  <c r="S1326" i="34"/>
  <c r="T1326" i="34"/>
  <c r="V1326" i="34"/>
  <c r="W1326" i="34"/>
  <c r="X1326" i="34"/>
  <c r="N1327" i="34"/>
  <c r="R1327" i="34"/>
  <c r="S1327" i="34"/>
  <c r="T1327" i="34"/>
  <c r="V1327" i="34"/>
  <c r="W1327" i="34"/>
  <c r="X1327" i="34"/>
  <c r="N1328" i="34"/>
  <c r="R1328" i="34"/>
  <c r="S1328" i="34"/>
  <c r="T1328" i="34"/>
  <c r="V1328" i="34"/>
  <c r="W1328" i="34"/>
  <c r="X1328" i="34"/>
  <c r="N1329" i="34"/>
  <c r="R1329" i="34"/>
  <c r="S1329" i="34"/>
  <c r="T1329" i="34"/>
  <c r="V1329" i="34"/>
  <c r="W1329" i="34"/>
  <c r="X1329" i="34"/>
  <c r="N1330" i="34"/>
  <c r="R1330" i="34"/>
  <c r="S1330" i="34"/>
  <c r="T1330" i="34"/>
  <c r="V1330" i="34"/>
  <c r="W1330" i="34"/>
  <c r="X1330" i="34"/>
  <c r="N1331" i="34"/>
  <c r="R1331" i="34"/>
  <c r="S1331" i="34"/>
  <c r="T1331" i="34"/>
  <c r="V1331" i="34"/>
  <c r="W1331" i="34"/>
  <c r="X1331" i="34"/>
  <c r="N1332" i="34"/>
  <c r="R1332" i="34"/>
  <c r="S1332" i="34"/>
  <c r="T1332" i="34"/>
  <c r="V1332" i="34"/>
  <c r="W1332" i="34"/>
  <c r="X1332" i="34"/>
  <c r="N1333" i="34"/>
  <c r="R1333" i="34"/>
  <c r="S1333" i="34"/>
  <c r="T1333" i="34"/>
  <c r="V1333" i="34"/>
  <c r="W1333" i="34"/>
  <c r="X1333" i="34"/>
  <c r="N1334" i="34"/>
  <c r="R1334" i="34"/>
  <c r="S1334" i="34"/>
  <c r="T1334" i="34"/>
  <c r="V1334" i="34"/>
  <c r="W1334" i="34"/>
  <c r="X1334" i="34"/>
  <c r="N1335" i="34"/>
  <c r="R1335" i="34"/>
  <c r="S1335" i="34"/>
  <c r="T1335" i="34"/>
  <c r="V1335" i="34"/>
  <c r="W1335" i="34"/>
  <c r="X1335" i="34"/>
  <c r="N1336" i="34"/>
  <c r="R1336" i="34"/>
  <c r="S1336" i="34"/>
  <c r="T1336" i="34"/>
  <c r="V1336" i="34"/>
  <c r="W1336" i="34"/>
  <c r="X1336" i="34"/>
  <c r="N1337" i="34"/>
  <c r="R1337" i="34"/>
  <c r="S1337" i="34"/>
  <c r="T1337" i="34"/>
  <c r="V1337" i="34"/>
  <c r="W1337" i="34"/>
  <c r="X1337" i="34"/>
  <c r="N1338" i="34"/>
  <c r="R1338" i="34"/>
  <c r="S1338" i="34"/>
  <c r="T1338" i="34"/>
  <c r="V1338" i="34"/>
  <c r="W1338" i="34"/>
  <c r="X1338" i="34"/>
  <c r="N1339" i="34"/>
  <c r="R1339" i="34"/>
  <c r="S1339" i="34"/>
  <c r="T1339" i="34"/>
  <c r="V1339" i="34"/>
  <c r="W1339" i="34"/>
  <c r="X1339" i="34"/>
  <c r="N1340" i="34"/>
  <c r="R1340" i="34"/>
  <c r="S1340" i="34"/>
  <c r="T1340" i="34"/>
  <c r="V1340" i="34"/>
  <c r="W1340" i="34"/>
  <c r="X1340" i="34"/>
  <c r="N1341" i="34"/>
  <c r="R1341" i="34"/>
  <c r="S1341" i="34"/>
  <c r="T1341" i="34"/>
  <c r="V1341" i="34"/>
  <c r="W1341" i="34"/>
  <c r="X1341" i="34"/>
  <c r="N1342" i="34"/>
  <c r="R1342" i="34"/>
  <c r="S1342" i="34"/>
  <c r="T1342" i="34"/>
  <c r="V1342" i="34"/>
  <c r="W1342" i="34"/>
  <c r="X1342" i="34"/>
  <c r="N1343" i="34"/>
  <c r="R1343" i="34"/>
  <c r="S1343" i="34"/>
  <c r="T1343" i="34"/>
  <c r="V1343" i="34"/>
  <c r="W1343" i="34"/>
  <c r="X1343" i="34"/>
  <c r="N1344" i="34"/>
  <c r="R1344" i="34"/>
  <c r="S1344" i="34"/>
  <c r="T1344" i="34"/>
  <c r="V1344" i="34"/>
  <c r="W1344" i="34"/>
  <c r="X1344" i="34"/>
  <c r="N1345" i="34"/>
  <c r="R1345" i="34"/>
  <c r="S1345" i="34"/>
  <c r="T1345" i="34"/>
  <c r="V1345" i="34"/>
  <c r="W1345" i="34"/>
  <c r="X1345" i="34"/>
  <c r="N1346" i="34"/>
  <c r="R1346" i="34"/>
  <c r="S1346" i="34"/>
  <c r="T1346" i="34"/>
  <c r="V1346" i="34"/>
  <c r="W1346" i="34"/>
  <c r="X1346" i="34"/>
  <c r="N1347" i="34"/>
  <c r="R1347" i="34"/>
  <c r="S1347" i="34"/>
  <c r="T1347" i="34"/>
  <c r="V1347" i="34"/>
  <c r="W1347" i="34"/>
  <c r="X1347" i="34"/>
  <c r="N1348" i="34"/>
  <c r="R1348" i="34"/>
  <c r="S1348" i="34"/>
  <c r="T1348" i="34"/>
  <c r="V1348" i="34"/>
  <c r="W1348" i="34"/>
  <c r="X1348" i="34"/>
  <c r="N1349" i="34"/>
  <c r="R1349" i="34"/>
  <c r="S1349" i="34"/>
  <c r="T1349" i="34"/>
  <c r="V1349" i="34"/>
  <c r="W1349" i="34"/>
  <c r="X1349" i="34"/>
  <c r="N1350" i="34"/>
  <c r="R1350" i="34"/>
  <c r="S1350" i="34"/>
  <c r="T1350" i="34"/>
  <c r="V1350" i="34"/>
  <c r="W1350" i="34"/>
  <c r="X1350" i="34"/>
  <c r="N1351" i="34"/>
  <c r="R1351" i="34"/>
  <c r="S1351" i="34"/>
  <c r="T1351" i="34"/>
  <c r="V1351" i="34"/>
  <c r="W1351" i="34"/>
  <c r="X1351" i="34"/>
  <c r="N1352" i="34"/>
  <c r="R1352" i="34"/>
  <c r="S1352" i="34"/>
  <c r="T1352" i="34"/>
  <c r="V1352" i="34"/>
  <c r="W1352" i="34"/>
  <c r="X1352" i="34"/>
  <c r="N1353" i="34"/>
  <c r="R1353" i="34"/>
  <c r="S1353" i="34"/>
  <c r="T1353" i="34"/>
  <c r="V1353" i="34"/>
  <c r="W1353" i="34"/>
  <c r="X1353" i="34"/>
  <c r="N1354" i="34"/>
  <c r="R1354" i="34"/>
  <c r="S1354" i="34"/>
  <c r="T1354" i="34"/>
  <c r="V1354" i="34"/>
  <c r="W1354" i="34"/>
  <c r="X1354" i="34"/>
  <c r="N1355" i="34"/>
  <c r="R1355" i="34"/>
  <c r="S1355" i="34"/>
  <c r="T1355" i="34"/>
  <c r="V1355" i="34"/>
  <c r="W1355" i="34"/>
  <c r="X1355" i="34"/>
  <c r="N1356" i="34"/>
  <c r="R1356" i="34"/>
  <c r="S1356" i="34"/>
  <c r="T1356" i="34"/>
  <c r="V1356" i="34"/>
  <c r="W1356" i="34"/>
  <c r="X1356" i="34"/>
  <c r="N1357" i="34"/>
  <c r="R1357" i="34"/>
  <c r="S1357" i="34"/>
  <c r="T1357" i="34"/>
  <c r="V1357" i="34"/>
  <c r="W1357" i="34"/>
  <c r="X1357" i="34"/>
  <c r="N1358" i="34"/>
  <c r="R1358" i="34"/>
  <c r="S1358" i="34"/>
  <c r="T1358" i="34"/>
  <c r="V1358" i="34"/>
  <c r="W1358" i="34"/>
  <c r="X1358" i="34"/>
  <c r="N1359" i="34"/>
  <c r="R1359" i="34"/>
  <c r="S1359" i="34"/>
  <c r="T1359" i="34"/>
  <c r="V1359" i="34"/>
  <c r="W1359" i="34"/>
  <c r="X1359" i="34"/>
  <c r="N1360" i="34"/>
  <c r="R1360" i="34"/>
  <c r="S1360" i="34"/>
  <c r="T1360" i="34"/>
  <c r="V1360" i="34"/>
  <c r="W1360" i="34"/>
  <c r="X1360" i="34"/>
  <c r="N1361" i="34"/>
  <c r="R1361" i="34"/>
  <c r="S1361" i="34"/>
  <c r="T1361" i="34"/>
  <c r="V1361" i="34"/>
  <c r="W1361" i="34"/>
  <c r="X1361" i="34"/>
  <c r="N1362" i="34"/>
  <c r="R1362" i="34"/>
  <c r="S1362" i="34"/>
  <c r="T1362" i="34"/>
  <c r="V1362" i="34"/>
  <c r="W1362" i="34"/>
  <c r="X1362" i="34"/>
  <c r="N1363" i="34"/>
  <c r="R1363" i="34"/>
  <c r="S1363" i="34"/>
  <c r="T1363" i="34"/>
  <c r="V1363" i="34"/>
  <c r="W1363" i="34"/>
  <c r="X1363" i="34"/>
  <c r="N1364" i="34"/>
  <c r="R1364" i="34"/>
  <c r="S1364" i="34"/>
  <c r="T1364" i="34"/>
  <c r="V1364" i="34"/>
  <c r="W1364" i="34"/>
  <c r="X1364" i="34"/>
  <c r="N1365" i="34"/>
  <c r="R1365" i="34"/>
  <c r="S1365" i="34"/>
  <c r="T1365" i="34"/>
  <c r="V1365" i="34"/>
  <c r="W1365" i="34"/>
  <c r="X1365" i="34"/>
  <c r="N1366" i="34"/>
  <c r="R1366" i="34"/>
  <c r="S1366" i="34"/>
  <c r="T1366" i="34"/>
  <c r="V1366" i="34"/>
  <c r="W1366" i="34"/>
  <c r="X1366" i="34"/>
  <c r="N1367" i="34"/>
  <c r="R1367" i="34"/>
  <c r="S1367" i="34"/>
  <c r="T1367" i="34"/>
  <c r="V1367" i="34"/>
  <c r="W1367" i="34"/>
  <c r="X1367" i="34"/>
  <c r="N1368" i="34"/>
  <c r="R1368" i="34"/>
  <c r="S1368" i="34"/>
  <c r="T1368" i="34"/>
  <c r="V1368" i="34"/>
  <c r="W1368" i="34"/>
  <c r="X1368" i="34"/>
  <c r="N1369" i="34"/>
  <c r="R1369" i="34"/>
  <c r="S1369" i="34"/>
  <c r="T1369" i="34"/>
  <c r="V1369" i="34"/>
  <c r="W1369" i="34"/>
  <c r="X1369" i="34"/>
  <c r="N1370" i="34"/>
  <c r="R1370" i="34"/>
  <c r="S1370" i="34"/>
  <c r="T1370" i="34"/>
  <c r="V1370" i="34"/>
  <c r="W1370" i="34"/>
  <c r="X1370" i="34"/>
  <c r="N1371" i="34"/>
  <c r="R1371" i="34"/>
  <c r="S1371" i="34"/>
  <c r="T1371" i="34"/>
  <c r="V1371" i="34"/>
  <c r="W1371" i="34"/>
  <c r="X1371" i="34"/>
  <c r="N1372" i="34"/>
  <c r="R1372" i="34"/>
  <c r="S1372" i="34"/>
  <c r="T1372" i="34"/>
  <c r="V1372" i="34"/>
  <c r="W1372" i="34"/>
  <c r="X1372" i="34"/>
  <c r="N1373" i="34"/>
  <c r="R1373" i="34"/>
  <c r="S1373" i="34"/>
  <c r="T1373" i="34"/>
  <c r="V1373" i="34"/>
  <c r="W1373" i="34"/>
  <c r="X1373" i="34"/>
  <c r="N1374" i="34"/>
  <c r="R1374" i="34"/>
  <c r="S1374" i="34"/>
  <c r="T1374" i="34"/>
  <c r="V1374" i="34"/>
  <c r="W1374" i="34"/>
  <c r="X1374" i="34"/>
  <c r="N1375" i="34"/>
  <c r="R1375" i="34"/>
  <c r="S1375" i="34"/>
  <c r="T1375" i="34"/>
  <c r="V1375" i="34"/>
  <c r="W1375" i="34"/>
  <c r="X1375" i="34"/>
  <c r="N1376" i="34"/>
  <c r="R1376" i="34"/>
  <c r="S1376" i="34"/>
  <c r="T1376" i="34"/>
  <c r="V1376" i="34"/>
  <c r="W1376" i="34"/>
  <c r="X1376" i="34"/>
  <c r="N1377" i="34"/>
  <c r="R1377" i="34"/>
  <c r="S1377" i="34"/>
  <c r="T1377" i="34"/>
  <c r="V1377" i="34"/>
  <c r="W1377" i="34"/>
  <c r="X1377" i="34"/>
  <c r="N1378" i="34"/>
  <c r="R1378" i="34"/>
  <c r="S1378" i="34"/>
  <c r="T1378" i="34"/>
  <c r="V1378" i="34"/>
  <c r="W1378" i="34"/>
  <c r="X1378" i="34"/>
  <c r="N1379" i="34"/>
  <c r="R1379" i="34"/>
  <c r="S1379" i="34"/>
  <c r="T1379" i="34"/>
  <c r="V1379" i="34"/>
  <c r="W1379" i="34"/>
  <c r="X1379" i="34"/>
  <c r="N1380" i="34"/>
  <c r="R1380" i="34"/>
  <c r="S1380" i="34"/>
  <c r="T1380" i="34"/>
  <c r="V1380" i="34"/>
  <c r="W1380" i="34"/>
  <c r="X1380" i="34"/>
  <c r="N1381" i="34"/>
  <c r="R1381" i="34"/>
  <c r="S1381" i="34"/>
  <c r="T1381" i="34"/>
  <c r="V1381" i="34"/>
  <c r="W1381" i="34"/>
  <c r="X1381" i="34"/>
  <c r="N1382" i="34"/>
  <c r="R1382" i="34"/>
  <c r="S1382" i="34"/>
  <c r="T1382" i="34"/>
  <c r="V1382" i="34"/>
  <c r="W1382" i="34"/>
  <c r="X1382" i="34"/>
  <c r="N1383" i="34"/>
  <c r="R1383" i="34"/>
  <c r="S1383" i="34"/>
  <c r="T1383" i="34"/>
  <c r="V1383" i="34"/>
  <c r="W1383" i="34"/>
  <c r="X1383" i="34"/>
  <c r="N1384" i="34"/>
  <c r="R1384" i="34"/>
  <c r="S1384" i="34"/>
  <c r="T1384" i="34"/>
  <c r="V1384" i="34"/>
  <c r="W1384" i="34"/>
  <c r="X1384" i="34"/>
  <c r="N1385" i="34"/>
  <c r="R1385" i="34"/>
  <c r="S1385" i="34"/>
  <c r="T1385" i="34"/>
  <c r="V1385" i="34"/>
  <c r="W1385" i="34"/>
  <c r="X1385" i="34"/>
  <c r="N1386" i="34"/>
  <c r="R1386" i="34"/>
  <c r="S1386" i="34"/>
  <c r="T1386" i="34"/>
  <c r="V1386" i="34"/>
  <c r="W1386" i="34"/>
  <c r="X1386" i="34"/>
  <c r="N1387" i="34"/>
  <c r="R1387" i="34"/>
  <c r="S1387" i="34"/>
  <c r="T1387" i="34"/>
  <c r="V1387" i="34"/>
  <c r="W1387" i="34"/>
  <c r="X1387" i="34"/>
  <c r="N1388" i="34"/>
  <c r="R1388" i="34"/>
  <c r="S1388" i="34"/>
  <c r="T1388" i="34"/>
  <c r="V1388" i="34"/>
  <c r="W1388" i="34"/>
  <c r="X1388" i="34"/>
  <c r="N1389" i="34"/>
  <c r="R1389" i="34"/>
  <c r="S1389" i="34"/>
  <c r="T1389" i="34"/>
  <c r="V1389" i="34"/>
  <c r="W1389" i="34"/>
  <c r="X1389" i="34"/>
  <c r="N1390" i="34"/>
  <c r="R1390" i="34"/>
  <c r="S1390" i="34"/>
  <c r="T1390" i="34"/>
  <c r="V1390" i="34"/>
  <c r="W1390" i="34"/>
  <c r="X1390" i="34"/>
  <c r="N1391" i="34"/>
  <c r="R1391" i="34"/>
  <c r="S1391" i="34"/>
  <c r="T1391" i="34"/>
  <c r="V1391" i="34"/>
  <c r="W1391" i="34"/>
  <c r="X1391" i="34"/>
  <c r="N1392" i="34"/>
  <c r="R1392" i="34"/>
  <c r="S1392" i="34"/>
  <c r="T1392" i="34"/>
  <c r="V1392" i="34"/>
  <c r="W1392" i="34"/>
  <c r="X1392" i="34"/>
  <c r="N1393" i="34"/>
  <c r="R1393" i="34"/>
  <c r="S1393" i="34"/>
  <c r="T1393" i="34"/>
  <c r="V1393" i="34"/>
  <c r="W1393" i="34"/>
  <c r="X1393" i="34"/>
  <c r="N1394" i="34"/>
  <c r="R1394" i="34"/>
  <c r="S1394" i="34"/>
  <c r="T1394" i="34"/>
  <c r="V1394" i="34"/>
  <c r="W1394" i="34"/>
  <c r="X1394" i="34"/>
  <c r="N1395" i="34"/>
  <c r="R1395" i="34"/>
  <c r="S1395" i="34"/>
  <c r="T1395" i="34"/>
  <c r="V1395" i="34"/>
  <c r="W1395" i="34"/>
  <c r="X1395" i="34"/>
  <c r="N1396" i="34"/>
  <c r="R1396" i="34"/>
  <c r="S1396" i="34"/>
  <c r="T1396" i="34"/>
  <c r="V1396" i="34"/>
  <c r="W1396" i="34"/>
  <c r="X1396" i="34"/>
  <c r="N1397" i="34"/>
  <c r="R1397" i="34"/>
  <c r="S1397" i="34"/>
  <c r="T1397" i="34"/>
  <c r="V1397" i="34"/>
  <c r="W1397" i="34"/>
  <c r="X1397" i="34"/>
  <c r="N1398" i="34"/>
  <c r="R1398" i="34"/>
  <c r="S1398" i="34"/>
  <c r="T1398" i="34"/>
  <c r="V1398" i="34"/>
  <c r="W1398" i="34"/>
  <c r="X1398" i="34"/>
  <c r="N1399" i="34"/>
  <c r="R1399" i="34"/>
  <c r="S1399" i="34"/>
  <c r="T1399" i="34"/>
  <c r="V1399" i="34"/>
  <c r="W1399" i="34"/>
  <c r="X1399" i="34"/>
  <c r="N1400" i="34"/>
  <c r="R1400" i="34"/>
  <c r="S1400" i="34"/>
  <c r="T1400" i="34"/>
  <c r="V1400" i="34"/>
  <c r="W1400" i="34"/>
  <c r="X1400" i="34"/>
  <c r="N1401" i="34"/>
  <c r="R1401" i="34"/>
  <c r="S1401" i="34"/>
  <c r="T1401" i="34"/>
  <c r="V1401" i="34"/>
  <c r="W1401" i="34"/>
  <c r="X1401" i="34"/>
  <c r="N1402" i="34"/>
  <c r="R1402" i="34"/>
  <c r="S1402" i="34"/>
  <c r="T1402" i="34"/>
  <c r="V1402" i="34"/>
  <c r="W1402" i="34"/>
  <c r="X1402" i="34"/>
  <c r="N1403" i="34"/>
  <c r="R1403" i="34"/>
  <c r="S1403" i="34"/>
  <c r="T1403" i="34"/>
  <c r="V1403" i="34"/>
  <c r="W1403" i="34"/>
  <c r="X1403" i="34"/>
  <c r="N1404" i="34"/>
  <c r="R1404" i="34"/>
  <c r="S1404" i="34"/>
  <c r="T1404" i="34"/>
  <c r="V1404" i="34"/>
  <c r="W1404" i="34"/>
  <c r="X1404" i="34"/>
  <c r="N1405" i="34"/>
  <c r="R1405" i="34"/>
  <c r="S1405" i="34"/>
  <c r="T1405" i="34"/>
  <c r="V1405" i="34"/>
  <c r="W1405" i="34"/>
  <c r="X1405" i="34"/>
  <c r="N1406" i="34"/>
  <c r="R1406" i="34"/>
  <c r="S1406" i="34"/>
  <c r="T1406" i="34"/>
  <c r="V1406" i="34"/>
  <c r="W1406" i="34"/>
  <c r="X1406" i="34"/>
  <c r="N1407" i="34"/>
  <c r="R1407" i="34"/>
  <c r="S1407" i="34"/>
  <c r="T1407" i="34"/>
  <c r="V1407" i="34"/>
  <c r="W1407" i="34"/>
  <c r="X1407" i="34"/>
  <c r="N1408" i="34"/>
  <c r="R1408" i="34"/>
  <c r="S1408" i="34"/>
  <c r="T1408" i="34"/>
  <c r="V1408" i="34"/>
  <c r="W1408" i="34"/>
  <c r="X1408" i="34"/>
  <c r="N1409" i="34"/>
  <c r="R1409" i="34"/>
  <c r="S1409" i="34"/>
  <c r="T1409" i="34"/>
  <c r="V1409" i="34"/>
  <c r="W1409" i="34"/>
  <c r="X1409" i="34"/>
  <c r="N1410" i="34"/>
  <c r="R1410" i="34"/>
  <c r="S1410" i="34"/>
  <c r="T1410" i="34"/>
  <c r="V1410" i="34"/>
  <c r="W1410" i="34"/>
  <c r="X1410" i="34"/>
  <c r="N1411" i="34"/>
  <c r="R1411" i="34"/>
  <c r="S1411" i="34"/>
  <c r="T1411" i="34"/>
  <c r="V1411" i="34"/>
  <c r="W1411" i="34"/>
  <c r="X1411" i="34"/>
  <c r="N1412" i="34"/>
  <c r="R1412" i="34"/>
  <c r="S1412" i="34"/>
  <c r="T1412" i="34"/>
  <c r="V1412" i="34"/>
  <c r="W1412" i="34"/>
  <c r="X1412" i="34"/>
  <c r="N1413" i="34"/>
  <c r="R1413" i="34"/>
  <c r="S1413" i="34"/>
  <c r="T1413" i="34"/>
  <c r="V1413" i="34"/>
  <c r="W1413" i="34"/>
  <c r="X1413" i="34"/>
  <c r="N1414" i="34"/>
  <c r="R1414" i="34"/>
  <c r="S1414" i="34"/>
  <c r="T1414" i="34"/>
  <c r="V1414" i="34"/>
  <c r="W1414" i="34"/>
  <c r="X1414" i="34"/>
  <c r="N1415" i="34"/>
  <c r="R1415" i="34"/>
  <c r="S1415" i="34"/>
  <c r="T1415" i="34"/>
  <c r="V1415" i="34"/>
  <c r="W1415" i="34"/>
  <c r="X1415" i="34"/>
  <c r="N1416" i="34"/>
  <c r="R1416" i="34"/>
  <c r="S1416" i="34"/>
  <c r="T1416" i="34"/>
  <c r="V1416" i="34"/>
  <c r="W1416" i="34"/>
  <c r="X1416" i="34"/>
  <c r="N1417" i="34"/>
  <c r="R1417" i="34"/>
  <c r="S1417" i="34"/>
  <c r="T1417" i="34"/>
  <c r="V1417" i="34"/>
  <c r="W1417" i="34"/>
  <c r="X1417" i="34"/>
  <c r="N1418" i="34"/>
  <c r="R1418" i="34"/>
  <c r="S1418" i="34"/>
  <c r="T1418" i="34"/>
  <c r="V1418" i="34"/>
  <c r="W1418" i="34"/>
  <c r="X1418" i="34"/>
  <c r="N1419" i="34"/>
  <c r="R1419" i="34"/>
  <c r="S1419" i="34"/>
  <c r="T1419" i="34"/>
  <c r="V1419" i="34"/>
  <c r="W1419" i="34"/>
  <c r="X1419" i="34"/>
  <c r="N1420" i="34"/>
  <c r="R1420" i="34"/>
  <c r="S1420" i="34"/>
  <c r="T1420" i="34"/>
  <c r="V1420" i="34"/>
  <c r="W1420" i="34"/>
  <c r="X1420" i="34"/>
  <c r="N1421" i="34"/>
  <c r="R1421" i="34"/>
  <c r="S1421" i="34"/>
  <c r="T1421" i="34"/>
  <c r="V1421" i="34"/>
  <c r="W1421" i="34"/>
  <c r="X1421" i="34"/>
  <c r="N1422" i="34"/>
  <c r="R1422" i="34"/>
  <c r="S1422" i="34"/>
  <c r="T1422" i="34"/>
  <c r="V1422" i="34"/>
  <c r="W1422" i="34"/>
  <c r="X1422" i="34"/>
  <c r="N1423" i="34"/>
  <c r="R1423" i="34"/>
  <c r="S1423" i="34"/>
  <c r="T1423" i="34"/>
  <c r="V1423" i="34"/>
  <c r="W1423" i="34"/>
  <c r="X1423" i="34"/>
  <c r="N1424" i="34"/>
  <c r="R1424" i="34"/>
  <c r="S1424" i="34"/>
  <c r="T1424" i="34"/>
  <c r="V1424" i="34"/>
  <c r="W1424" i="34"/>
  <c r="X1424" i="34"/>
  <c r="N1425" i="34"/>
  <c r="R1425" i="34"/>
  <c r="S1425" i="34"/>
  <c r="T1425" i="34"/>
  <c r="V1425" i="34"/>
  <c r="W1425" i="34"/>
  <c r="X1425" i="34"/>
  <c r="N1426" i="34"/>
  <c r="R1426" i="34"/>
  <c r="S1426" i="34"/>
  <c r="T1426" i="34"/>
  <c r="V1426" i="34"/>
  <c r="W1426" i="34"/>
  <c r="X1426" i="34"/>
  <c r="N1427" i="34"/>
  <c r="R1427" i="34"/>
  <c r="S1427" i="34"/>
  <c r="T1427" i="34"/>
  <c r="V1427" i="34"/>
  <c r="W1427" i="34"/>
  <c r="X1427" i="34"/>
  <c r="N1428" i="34"/>
  <c r="R1428" i="34"/>
  <c r="S1428" i="34"/>
  <c r="T1428" i="34"/>
  <c r="V1428" i="34"/>
  <c r="W1428" i="34"/>
  <c r="X1428" i="34"/>
  <c r="N1429" i="34"/>
  <c r="R1429" i="34"/>
  <c r="S1429" i="34"/>
  <c r="T1429" i="34"/>
  <c r="V1429" i="34"/>
  <c r="W1429" i="34"/>
  <c r="X1429" i="34"/>
  <c r="N1430" i="34"/>
  <c r="R1430" i="34"/>
  <c r="S1430" i="34"/>
  <c r="T1430" i="34"/>
  <c r="V1430" i="34"/>
  <c r="W1430" i="34"/>
  <c r="X1430" i="34"/>
  <c r="N1431" i="34"/>
  <c r="R1431" i="34"/>
  <c r="S1431" i="34"/>
  <c r="T1431" i="34"/>
  <c r="V1431" i="34"/>
  <c r="W1431" i="34"/>
  <c r="X1431" i="34"/>
  <c r="N1432" i="34"/>
  <c r="R1432" i="34"/>
  <c r="S1432" i="34"/>
  <c r="T1432" i="34"/>
  <c r="V1432" i="34"/>
  <c r="W1432" i="34"/>
  <c r="X1432" i="34"/>
  <c r="N1433" i="34"/>
  <c r="R1433" i="34"/>
  <c r="S1433" i="34"/>
  <c r="T1433" i="34"/>
  <c r="V1433" i="34"/>
  <c r="W1433" i="34"/>
  <c r="X1433" i="34"/>
  <c r="N1434" i="34"/>
  <c r="R1434" i="34"/>
  <c r="S1434" i="34"/>
  <c r="T1434" i="34"/>
  <c r="V1434" i="34"/>
  <c r="W1434" i="34"/>
  <c r="X1434" i="34"/>
  <c r="N1435" i="34"/>
  <c r="R1435" i="34"/>
  <c r="S1435" i="34"/>
  <c r="T1435" i="34"/>
  <c r="V1435" i="34"/>
  <c r="W1435" i="34"/>
  <c r="X1435" i="34"/>
  <c r="N1436" i="34"/>
  <c r="R1436" i="34"/>
  <c r="S1436" i="34"/>
  <c r="T1436" i="34"/>
  <c r="V1436" i="34"/>
  <c r="W1436" i="34"/>
  <c r="X1436" i="34"/>
  <c r="N1437" i="34"/>
  <c r="R1437" i="34"/>
  <c r="S1437" i="34"/>
  <c r="T1437" i="34"/>
  <c r="V1437" i="34"/>
  <c r="W1437" i="34"/>
  <c r="X1437" i="34"/>
  <c r="N1438" i="34"/>
  <c r="R1438" i="34"/>
  <c r="S1438" i="34"/>
  <c r="T1438" i="34"/>
  <c r="V1438" i="34"/>
  <c r="W1438" i="34"/>
  <c r="X1438" i="34"/>
  <c r="N1439" i="34"/>
  <c r="R1439" i="34"/>
  <c r="S1439" i="34"/>
  <c r="T1439" i="34"/>
  <c r="V1439" i="34"/>
  <c r="W1439" i="34"/>
  <c r="X1439" i="34"/>
  <c r="N1440" i="34"/>
  <c r="R1440" i="34"/>
  <c r="S1440" i="34"/>
  <c r="T1440" i="34"/>
  <c r="V1440" i="34"/>
  <c r="W1440" i="34"/>
  <c r="X1440" i="34"/>
  <c r="N1441" i="34"/>
  <c r="R1441" i="34"/>
  <c r="S1441" i="34"/>
  <c r="T1441" i="34"/>
  <c r="V1441" i="34"/>
  <c r="W1441" i="34"/>
  <c r="X1441" i="34"/>
  <c r="N1442" i="34"/>
  <c r="R1442" i="34"/>
  <c r="S1442" i="34"/>
  <c r="T1442" i="34"/>
  <c r="V1442" i="34"/>
  <c r="W1442" i="34"/>
  <c r="X1442" i="34"/>
  <c r="N1443" i="34"/>
  <c r="R1443" i="34"/>
  <c r="S1443" i="34"/>
  <c r="T1443" i="34"/>
  <c r="V1443" i="34"/>
  <c r="W1443" i="34"/>
  <c r="X1443" i="34"/>
  <c r="N1444" i="34"/>
  <c r="R1444" i="34"/>
  <c r="S1444" i="34"/>
  <c r="T1444" i="34"/>
  <c r="V1444" i="34"/>
  <c r="W1444" i="34"/>
  <c r="X1444" i="34"/>
  <c r="N1445" i="34"/>
  <c r="R1445" i="34"/>
  <c r="S1445" i="34"/>
  <c r="T1445" i="34"/>
  <c r="V1445" i="34"/>
  <c r="W1445" i="34"/>
  <c r="X1445" i="34"/>
  <c r="N1446" i="34"/>
  <c r="R1446" i="34"/>
  <c r="S1446" i="34"/>
  <c r="T1446" i="34"/>
  <c r="V1446" i="34"/>
  <c r="W1446" i="34"/>
  <c r="X1446" i="34"/>
  <c r="N1447" i="34"/>
  <c r="R1447" i="34"/>
  <c r="S1447" i="34"/>
  <c r="T1447" i="34"/>
  <c r="V1447" i="34"/>
  <c r="W1447" i="34"/>
  <c r="X1447" i="34"/>
  <c r="N1448" i="34"/>
  <c r="R1448" i="34"/>
  <c r="S1448" i="34"/>
  <c r="T1448" i="34"/>
  <c r="V1448" i="34"/>
  <c r="W1448" i="34"/>
  <c r="X1448" i="34"/>
  <c r="N1449" i="34"/>
  <c r="R1449" i="34"/>
  <c r="S1449" i="34"/>
  <c r="T1449" i="34"/>
  <c r="V1449" i="34"/>
  <c r="W1449" i="34"/>
  <c r="X1449" i="34"/>
  <c r="N1450" i="34"/>
  <c r="R1450" i="34"/>
  <c r="S1450" i="34"/>
  <c r="T1450" i="34"/>
  <c r="V1450" i="34"/>
  <c r="W1450" i="34"/>
  <c r="X1450" i="34"/>
  <c r="N1451" i="34"/>
  <c r="R1451" i="34"/>
  <c r="S1451" i="34"/>
  <c r="T1451" i="34"/>
  <c r="V1451" i="34"/>
  <c r="W1451" i="34"/>
  <c r="X1451" i="34"/>
  <c r="N1452" i="34"/>
  <c r="R1452" i="34"/>
  <c r="S1452" i="34"/>
  <c r="T1452" i="34"/>
  <c r="V1452" i="34"/>
  <c r="W1452" i="34"/>
  <c r="X1452" i="34"/>
  <c r="N1453" i="34"/>
  <c r="R1453" i="34"/>
  <c r="S1453" i="34"/>
  <c r="T1453" i="34"/>
  <c r="V1453" i="34"/>
  <c r="W1453" i="34"/>
  <c r="X1453" i="34"/>
  <c r="N1454" i="34"/>
  <c r="R1454" i="34"/>
  <c r="S1454" i="34"/>
  <c r="T1454" i="34"/>
  <c r="V1454" i="34"/>
  <c r="W1454" i="34"/>
  <c r="X1454" i="34"/>
  <c r="N1455" i="34"/>
  <c r="R1455" i="34"/>
  <c r="S1455" i="34"/>
  <c r="T1455" i="34"/>
  <c r="V1455" i="34"/>
  <c r="W1455" i="34"/>
  <c r="X1455" i="34"/>
  <c r="N1456" i="34"/>
  <c r="R1456" i="34"/>
  <c r="S1456" i="34"/>
  <c r="T1456" i="34"/>
  <c r="V1456" i="34"/>
  <c r="W1456" i="34"/>
  <c r="X1456" i="34"/>
  <c r="N1457" i="34"/>
  <c r="R1457" i="34"/>
  <c r="S1457" i="34"/>
  <c r="T1457" i="34"/>
  <c r="V1457" i="34"/>
  <c r="W1457" i="34"/>
  <c r="X1457" i="34"/>
  <c r="N1458" i="34"/>
  <c r="R1458" i="34"/>
  <c r="S1458" i="34"/>
  <c r="T1458" i="34"/>
  <c r="V1458" i="34"/>
  <c r="W1458" i="34"/>
  <c r="X1458" i="34"/>
  <c r="N1459" i="34"/>
  <c r="R1459" i="34"/>
  <c r="S1459" i="34"/>
  <c r="T1459" i="34"/>
  <c r="V1459" i="34"/>
  <c r="W1459" i="34"/>
  <c r="X1459" i="34"/>
  <c r="N1460" i="34"/>
  <c r="R1460" i="34"/>
  <c r="S1460" i="34"/>
  <c r="T1460" i="34"/>
  <c r="V1460" i="34"/>
  <c r="W1460" i="34"/>
  <c r="X1460" i="34"/>
  <c r="N1461" i="34"/>
  <c r="R1461" i="34"/>
  <c r="S1461" i="34"/>
  <c r="T1461" i="34"/>
  <c r="V1461" i="34"/>
  <c r="W1461" i="34"/>
  <c r="X1461" i="34"/>
  <c r="N1462" i="34"/>
  <c r="R1462" i="34"/>
  <c r="S1462" i="34"/>
  <c r="T1462" i="34"/>
  <c r="V1462" i="34"/>
  <c r="W1462" i="34"/>
  <c r="X1462" i="34"/>
  <c r="N1463" i="34"/>
  <c r="R1463" i="34"/>
  <c r="S1463" i="34"/>
  <c r="T1463" i="34"/>
  <c r="V1463" i="34"/>
  <c r="W1463" i="34"/>
  <c r="X1463" i="34"/>
  <c r="N1464" i="34"/>
  <c r="R1464" i="34"/>
  <c r="S1464" i="34"/>
  <c r="T1464" i="34"/>
  <c r="V1464" i="34"/>
  <c r="W1464" i="34"/>
  <c r="X1464" i="34"/>
  <c r="N1465" i="34"/>
  <c r="R1465" i="34"/>
  <c r="S1465" i="34"/>
  <c r="T1465" i="34"/>
  <c r="V1465" i="34"/>
  <c r="W1465" i="34"/>
  <c r="X1465" i="34"/>
  <c r="N1466" i="34"/>
  <c r="R1466" i="34"/>
  <c r="S1466" i="34"/>
  <c r="T1466" i="34"/>
  <c r="V1466" i="34"/>
  <c r="W1466" i="34"/>
  <c r="X1466" i="34"/>
  <c r="N1467" i="34"/>
  <c r="R1467" i="34"/>
  <c r="S1467" i="34"/>
  <c r="T1467" i="34"/>
  <c r="V1467" i="34"/>
  <c r="W1467" i="34"/>
  <c r="X1467" i="34"/>
  <c r="N1468" i="34"/>
  <c r="R1468" i="34"/>
  <c r="S1468" i="34"/>
  <c r="T1468" i="34"/>
  <c r="V1468" i="34"/>
  <c r="W1468" i="34"/>
  <c r="X1468" i="34"/>
  <c r="N1469" i="34"/>
  <c r="R1469" i="34"/>
  <c r="S1469" i="34"/>
  <c r="T1469" i="34"/>
  <c r="V1469" i="34"/>
  <c r="W1469" i="34"/>
  <c r="X1469" i="34"/>
  <c r="N1470" i="34"/>
  <c r="R1470" i="34"/>
  <c r="S1470" i="34"/>
  <c r="T1470" i="34"/>
  <c r="V1470" i="34"/>
  <c r="W1470" i="34"/>
  <c r="X1470" i="34"/>
  <c r="N1471" i="34"/>
  <c r="R1471" i="34"/>
  <c r="S1471" i="34"/>
  <c r="T1471" i="34"/>
  <c r="V1471" i="34"/>
  <c r="W1471" i="34"/>
  <c r="X1471" i="34"/>
  <c r="N1472" i="34"/>
  <c r="R1472" i="34"/>
  <c r="S1472" i="34"/>
  <c r="T1472" i="34"/>
  <c r="V1472" i="34"/>
  <c r="W1472" i="34"/>
  <c r="X1472" i="34"/>
  <c r="N1473" i="34"/>
  <c r="R1473" i="34"/>
  <c r="S1473" i="34"/>
  <c r="T1473" i="34"/>
  <c r="V1473" i="34"/>
  <c r="W1473" i="34"/>
  <c r="X1473" i="34"/>
  <c r="N1474" i="34"/>
  <c r="R1474" i="34"/>
  <c r="S1474" i="34"/>
  <c r="T1474" i="34"/>
  <c r="V1474" i="34"/>
  <c r="W1474" i="34"/>
  <c r="X1474" i="34"/>
  <c r="N1475" i="34"/>
  <c r="R1475" i="34"/>
  <c r="S1475" i="34"/>
  <c r="T1475" i="34"/>
  <c r="V1475" i="34"/>
  <c r="W1475" i="34"/>
  <c r="X1475" i="34"/>
  <c r="N1476" i="34"/>
  <c r="R1476" i="34"/>
  <c r="S1476" i="34"/>
  <c r="T1476" i="34"/>
  <c r="V1476" i="34"/>
  <c r="W1476" i="34"/>
  <c r="X1476" i="34"/>
  <c r="N1477" i="34"/>
  <c r="R1477" i="34"/>
  <c r="S1477" i="34"/>
  <c r="T1477" i="34"/>
  <c r="V1477" i="34"/>
  <c r="W1477" i="34"/>
  <c r="X1477" i="34"/>
  <c r="N1478" i="34"/>
  <c r="R1478" i="34"/>
  <c r="S1478" i="34"/>
  <c r="T1478" i="34"/>
  <c r="V1478" i="34"/>
  <c r="W1478" i="34"/>
  <c r="X1478" i="34"/>
  <c r="N1479" i="34"/>
  <c r="R1479" i="34"/>
  <c r="S1479" i="34"/>
  <c r="T1479" i="34"/>
  <c r="V1479" i="34"/>
  <c r="W1479" i="34"/>
  <c r="X1479" i="34"/>
  <c r="N1480" i="34"/>
  <c r="R1480" i="34"/>
  <c r="S1480" i="34"/>
  <c r="T1480" i="34"/>
  <c r="V1480" i="34"/>
  <c r="W1480" i="34"/>
  <c r="X1480" i="34"/>
  <c r="N1481" i="34"/>
  <c r="R1481" i="34"/>
  <c r="S1481" i="34"/>
  <c r="T1481" i="34"/>
  <c r="V1481" i="34"/>
  <c r="W1481" i="34"/>
  <c r="X1481" i="34"/>
  <c r="N1482" i="34"/>
  <c r="R1482" i="34"/>
  <c r="S1482" i="34"/>
  <c r="T1482" i="34"/>
  <c r="V1482" i="34"/>
  <c r="W1482" i="34"/>
  <c r="X1482" i="34"/>
  <c r="N1483" i="34"/>
  <c r="R1483" i="34"/>
  <c r="S1483" i="34"/>
  <c r="T1483" i="34"/>
  <c r="V1483" i="34"/>
  <c r="W1483" i="34"/>
  <c r="X1483" i="34"/>
  <c r="N1484" i="34"/>
  <c r="R1484" i="34"/>
  <c r="S1484" i="34"/>
  <c r="T1484" i="34"/>
  <c r="V1484" i="34"/>
  <c r="W1484" i="34"/>
  <c r="X1484" i="34"/>
  <c r="N1485" i="34"/>
  <c r="R1485" i="34"/>
  <c r="S1485" i="34"/>
  <c r="T1485" i="34"/>
  <c r="V1485" i="34"/>
  <c r="W1485" i="34"/>
  <c r="X1485" i="34"/>
  <c r="N1486" i="34"/>
  <c r="R1486" i="34"/>
  <c r="S1486" i="34"/>
  <c r="T1486" i="34"/>
  <c r="V1486" i="34"/>
  <c r="W1486" i="34"/>
  <c r="X1486" i="34"/>
  <c r="N1487" i="34"/>
  <c r="R1487" i="34"/>
  <c r="S1487" i="34"/>
  <c r="T1487" i="34"/>
  <c r="V1487" i="34"/>
  <c r="W1487" i="34"/>
  <c r="X1487" i="34"/>
  <c r="N1488" i="34"/>
  <c r="R1488" i="34"/>
  <c r="S1488" i="34"/>
  <c r="T1488" i="34"/>
  <c r="V1488" i="34"/>
  <c r="W1488" i="34"/>
  <c r="X1488" i="34"/>
  <c r="N1489" i="34"/>
  <c r="R1489" i="34"/>
  <c r="S1489" i="34"/>
  <c r="T1489" i="34"/>
  <c r="V1489" i="34"/>
  <c r="W1489" i="34"/>
  <c r="X1489" i="34"/>
  <c r="N1490" i="34"/>
  <c r="R1490" i="34"/>
  <c r="S1490" i="34"/>
  <c r="T1490" i="34"/>
  <c r="V1490" i="34"/>
  <c r="W1490" i="34"/>
  <c r="X1490" i="34"/>
  <c r="N1491" i="34"/>
  <c r="R1491" i="34"/>
  <c r="S1491" i="34"/>
  <c r="T1491" i="34"/>
  <c r="V1491" i="34"/>
  <c r="W1491" i="34"/>
  <c r="X1491" i="34"/>
  <c r="N1492" i="34"/>
  <c r="R1492" i="34"/>
  <c r="S1492" i="34"/>
  <c r="T1492" i="34"/>
  <c r="V1492" i="34"/>
  <c r="W1492" i="34"/>
  <c r="X1492" i="34"/>
  <c r="N1493" i="34"/>
  <c r="R1493" i="34"/>
  <c r="S1493" i="34"/>
  <c r="T1493" i="34"/>
  <c r="V1493" i="34"/>
  <c r="W1493" i="34"/>
  <c r="X1493" i="34"/>
  <c r="N1494" i="34"/>
  <c r="R1494" i="34"/>
  <c r="S1494" i="34"/>
  <c r="T1494" i="34"/>
  <c r="V1494" i="34"/>
  <c r="W1494" i="34"/>
  <c r="X1494" i="34"/>
  <c r="N1495" i="34"/>
  <c r="R1495" i="34"/>
  <c r="S1495" i="34"/>
  <c r="T1495" i="34"/>
  <c r="V1495" i="34"/>
  <c r="W1495" i="34"/>
  <c r="X1495" i="34"/>
  <c r="N1496" i="34"/>
  <c r="R1496" i="34"/>
  <c r="S1496" i="34"/>
  <c r="T1496" i="34"/>
  <c r="V1496" i="34"/>
  <c r="W1496" i="34"/>
  <c r="X1496" i="34"/>
  <c r="N1497" i="34"/>
  <c r="R1497" i="34"/>
  <c r="S1497" i="34"/>
  <c r="T1497" i="34"/>
  <c r="V1497" i="34"/>
  <c r="W1497" i="34"/>
  <c r="X1497" i="34"/>
  <c r="N1498" i="34"/>
  <c r="R1498" i="34"/>
  <c r="S1498" i="34"/>
  <c r="T1498" i="34"/>
  <c r="V1498" i="34"/>
  <c r="W1498" i="34"/>
  <c r="X1498" i="34"/>
  <c r="N1499" i="34"/>
  <c r="R1499" i="34"/>
  <c r="S1499" i="34"/>
  <c r="T1499" i="34"/>
  <c r="V1499" i="34"/>
  <c r="W1499" i="34"/>
  <c r="X1499" i="34"/>
  <c r="N1500" i="34"/>
  <c r="R1500" i="34"/>
  <c r="S1500" i="34"/>
  <c r="T1500" i="34"/>
  <c r="V1500" i="34"/>
  <c r="W1500" i="34"/>
  <c r="X1500" i="34"/>
  <c r="N1501" i="34"/>
  <c r="R1501" i="34"/>
  <c r="S1501" i="34"/>
  <c r="T1501" i="34"/>
  <c r="V1501" i="34"/>
  <c r="W1501" i="34"/>
  <c r="X1501" i="34"/>
  <c r="N1502" i="34"/>
  <c r="R1502" i="34"/>
  <c r="S1502" i="34"/>
  <c r="T1502" i="34"/>
  <c r="V1502" i="34"/>
  <c r="W1502" i="34"/>
  <c r="X1502" i="34"/>
  <c r="N1503" i="34"/>
  <c r="R1503" i="34"/>
  <c r="S1503" i="34"/>
  <c r="T1503" i="34"/>
  <c r="V1503" i="34"/>
  <c r="W1503" i="34"/>
  <c r="X1503" i="34"/>
  <c r="N1504" i="34"/>
  <c r="R1504" i="34"/>
  <c r="S1504" i="34"/>
  <c r="T1504" i="34"/>
  <c r="V1504" i="34"/>
  <c r="W1504" i="34"/>
  <c r="X1504" i="34"/>
  <c r="N1505" i="34"/>
  <c r="R1505" i="34"/>
  <c r="S1505" i="34"/>
  <c r="T1505" i="34"/>
  <c r="V1505" i="34"/>
  <c r="W1505" i="34"/>
  <c r="X1505" i="34"/>
  <c r="N1506" i="34"/>
  <c r="R1506" i="34"/>
  <c r="S1506" i="34"/>
  <c r="T1506" i="34"/>
  <c r="V1506" i="34"/>
  <c r="W1506" i="34"/>
  <c r="X1506" i="34"/>
  <c r="N1507" i="34"/>
  <c r="R1507" i="34"/>
  <c r="S1507" i="34"/>
  <c r="T1507" i="34"/>
  <c r="V1507" i="34"/>
  <c r="W1507" i="34"/>
  <c r="X1507" i="34"/>
  <c r="N1508" i="34"/>
  <c r="R1508" i="34"/>
  <c r="S1508" i="34"/>
  <c r="T1508" i="34"/>
  <c r="V1508" i="34"/>
  <c r="W1508" i="34"/>
  <c r="X1508" i="34"/>
  <c r="N1509" i="34"/>
  <c r="R1509" i="34"/>
  <c r="S1509" i="34"/>
  <c r="T1509" i="34"/>
  <c r="V1509" i="34"/>
  <c r="W1509" i="34"/>
  <c r="X1509" i="34"/>
  <c r="N1510" i="34"/>
  <c r="R1510" i="34"/>
  <c r="S1510" i="34"/>
  <c r="T1510" i="34"/>
  <c r="V1510" i="34"/>
  <c r="W1510" i="34"/>
  <c r="X1510" i="34"/>
  <c r="N1511" i="34"/>
  <c r="R1511" i="34"/>
  <c r="S1511" i="34"/>
  <c r="T1511" i="34"/>
  <c r="V1511" i="34"/>
  <c r="W1511" i="34"/>
  <c r="X1511" i="34"/>
  <c r="N1512" i="34"/>
  <c r="R1512" i="34"/>
  <c r="S1512" i="34"/>
  <c r="T1512" i="34"/>
  <c r="V1512" i="34"/>
  <c r="W1512" i="34"/>
  <c r="X1512" i="34"/>
  <c r="N1513" i="34"/>
  <c r="R1513" i="34"/>
  <c r="S1513" i="34"/>
  <c r="T1513" i="34"/>
  <c r="V1513" i="34"/>
  <c r="W1513" i="34"/>
  <c r="X1513" i="34"/>
  <c r="N1514" i="34"/>
  <c r="R1514" i="34"/>
  <c r="S1514" i="34"/>
  <c r="T1514" i="34"/>
  <c r="V1514" i="34"/>
  <c r="W1514" i="34"/>
  <c r="X1514" i="34"/>
  <c r="N1515" i="34"/>
  <c r="R1515" i="34"/>
  <c r="S1515" i="34"/>
  <c r="T1515" i="34"/>
  <c r="V1515" i="34"/>
  <c r="W1515" i="34"/>
  <c r="X1515" i="34"/>
  <c r="N1516" i="34"/>
  <c r="R1516" i="34"/>
  <c r="S1516" i="34"/>
  <c r="T1516" i="34"/>
  <c r="V1516" i="34"/>
  <c r="W1516" i="34"/>
  <c r="X1516" i="34"/>
  <c r="N1517" i="34"/>
  <c r="R1517" i="34"/>
  <c r="S1517" i="34"/>
  <c r="T1517" i="34"/>
  <c r="V1517" i="34"/>
  <c r="W1517" i="34"/>
  <c r="X1517" i="34"/>
  <c r="N1518" i="34"/>
  <c r="R1518" i="34"/>
  <c r="S1518" i="34"/>
  <c r="T1518" i="34"/>
  <c r="V1518" i="34"/>
  <c r="W1518" i="34"/>
  <c r="X1518" i="34"/>
  <c r="N1519" i="34"/>
  <c r="R1519" i="34"/>
  <c r="S1519" i="34"/>
  <c r="T1519" i="34"/>
  <c r="V1519" i="34"/>
  <c r="W1519" i="34"/>
  <c r="X1519" i="34"/>
  <c r="N1520" i="34"/>
  <c r="R1520" i="34"/>
  <c r="S1520" i="34"/>
  <c r="T1520" i="34"/>
  <c r="V1520" i="34"/>
  <c r="W1520" i="34"/>
  <c r="X1520" i="34"/>
  <c r="N1521" i="34"/>
  <c r="R1521" i="34"/>
  <c r="S1521" i="34"/>
  <c r="T1521" i="34"/>
  <c r="V1521" i="34"/>
  <c r="W1521" i="34"/>
  <c r="X1521" i="34"/>
  <c r="N1522" i="34"/>
  <c r="R1522" i="34"/>
  <c r="S1522" i="34"/>
  <c r="T1522" i="34"/>
  <c r="V1522" i="34"/>
  <c r="W1522" i="34"/>
  <c r="X1522" i="34"/>
  <c r="N1523" i="34"/>
  <c r="R1523" i="34"/>
  <c r="S1523" i="34"/>
  <c r="T1523" i="34"/>
  <c r="V1523" i="34"/>
  <c r="W1523" i="34"/>
  <c r="X1523" i="34"/>
  <c r="N1524" i="34"/>
  <c r="R1524" i="34"/>
  <c r="S1524" i="34"/>
  <c r="T1524" i="34"/>
  <c r="V1524" i="34"/>
  <c r="W1524" i="34"/>
  <c r="X1524" i="34"/>
  <c r="N1525" i="34"/>
  <c r="R1525" i="34"/>
  <c r="S1525" i="34"/>
  <c r="T1525" i="34"/>
  <c r="V1525" i="34"/>
  <c r="W1525" i="34"/>
  <c r="X1525" i="34"/>
  <c r="N1526" i="34"/>
  <c r="R1526" i="34"/>
  <c r="S1526" i="34"/>
  <c r="T1526" i="34"/>
  <c r="V1526" i="34"/>
  <c r="W1526" i="34"/>
  <c r="X1526" i="34"/>
  <c r="N1527" i="34"/>
  <c r="R1527" i="34"/>
  <c r="S1527" i="34"/>
  <c r="T1527" i="34"/>
  <c r="V1527" i="34"/>
  <c r="W1527" i="34"/>
  <c r="X1527" i="34"/>
  <c r="N1528" i="34"/>
  <c r="R1528" i="34"/>
  <c r="S1528" i="34"/>
  <c r="T1528" i="34"/>
  <c r="V1528" i="34"/>
  <c r="W1528" i="34"/>
  <c r="X1528" i="34"/>
  <c r="N1529" i="34"/>
  <c r="R1529" i="34"/>
  <c r="S1529" i="34"/>
  <c r="T1529" i="34"/>
  <c r="V1529" i="34"/>
  <c r="W1529" i="34"/>
  <c r="X1529" i="34"/>
  <c r="N1530" i="34"/>
  <c r="R1530" i="34"/>
  <c r="S1530" i="34"/>
  <c r="T1530" i="34"/>
  <c r="V1530" i="34"/>
  <c r="W1530" i="34"/>
  <c r="X1530" i="34"/>
  <c r="N1531" i="34"/>
  <c r="R1531" i="34"/>
  <c r="S1531" i="34"/>
  <c r="T1531" i="34"/>
  <c r="V1531" i="34"/>
  <c r="W1531" i="34"/>
  <c r="X1531" i="34"/>
  <c r="N1532" i="34"/>
  <c r="R1532" i="34"/>
  <c r="S1532" i="34"/>
  <c r="T1532" i="34"/>
  <c r="V1532" i="34"/>
  <c r="W1532" i="34"/>
  <c r="X1532" i="34"/>
  <c r="N1533" i="34"/>
  <c r="R1533" i="34"/>
  <c r="S1533" i="34"/>
  <c r="T1533" i="34"/>
  <c r="V1533" i="34"/>
  <c r="W1533" i="34"/>
  <c r="X1533" i="34"/>
  <c r="N1534" i="34"/>
  <c r="R1534" i="34"/>
  <c r="S1534" i="34"/>
  <c r="T1534" i="34"/>
  <c r="V1534" i="34"/>
  <c r="W1534" i="34"/>
  <c r="X1534" i="34"/>
  <c r="N1535" i="34"/>
  <c r="R1535" i="34"/>
  <c r="S1535" i="34"/>
  <c r="T1535" i="34"/>
  <c r="V1535" i="34"/>
  <c r="W1535" i="34"/>
  <c r="X1535" i="34"/>
  <c r="N1536" i="34"/>
  <c r="R1536" i="34"/>
  <c r="S1536" i="34"/>
  <c r="T1536" i="34"/>
  <c r="V1536" i="34"/>
  <c r="W1536" i="34"/>
  <c r="X1536" i="34"/>
  <c r="N1537" i="34"/>
  <c r="R1537" i="34"/>
  <c r="S1537" i="34"/>
  <c r="T1537" i="34"/>
  <c r="V1537" i="34"/>
  <c r="W1537" i="34"/>
  <c r="X1537" i="34"/>
  <c r="N1538" i="34"/>
  <c r="R1538" i="34"/>
  <c r="S1538" i="34"/>
  <c r="T1538" i="34"/>
  <c r="V1538" i="34"/>
  <c r="W1538" i="34"/>
  <c r="X1538" i="34"/>
  <c r="N1539" i="34"/>
  <c r="R1539" i="34"/>
  <c r="S1539" i="34"/>
  <c r="T1539" i="34"/>
  <c r="V1539" i="34"/>
  <c r="W1539" i="34"/>
  <c r="X1539" i="34"/>
  <c r="N1540" i="34"/>
  <c r="R1540" i="34"/>
  <c r="S1540" i="34"/>
  <c r="T1540" i="34"/>
  <c r="V1540" i="34"/>
  <c r="W1540" i="34"/>
  <c r="X1540" i="34"/>
  <c r="N1541" i="34"/>
  <c r="R1541" i="34"/>
  <c r="S1541" i="34"/>
  <c r="T1541" i="34"/>
  <c r="V1541" i="34"/>
  <c r="W1541" i="34"/>
  <c r="X1541" i="34"/>
  <c r="N1542" i="34"/>
  <c r="R1542" i="34"/>
  <c r="S1542" i="34"/>
  <c r="T1542" i="34"/>
  <c r="V1542" i="34"/>
  <c r="W1542" i="34"/>
  <c r="X1542" i="34"/>
  <c r="N1543" i="34"/>
  <c r="R1543" i="34"/>
  <c r="S1543" i="34"/>
  <c r="T1543" i="34"/>
  <c r="V1543" i="34"/>
  <c r="W1543" i="34"/>
  <c r="X1543" i="34"/>
  <c r="N1544" i="34"/>
  <c r="R1544" i="34"/>
  <c r="S1544" i="34"/>
  <c r="T1544" i="34"/>
  <c r="V1544" i="34"/>
  <c r="W1544" i="34"/>
  <c r="X1544" i="34"/>
  <c r="N1545" i="34"/>
  <c r="R1545" i="34"/>
  <c r="S1545" i="34"/>
  <c r="T1545" i="34"/>
  <c r="V1545" i="34"/>
  <c r="W1545" i="34"/>
  <c r="X1545" i="34"/>
  <c r="N1546" i="34"/>
  <c r="R1546" i="34"/>
  <c r="S1546" i="34"/>
  <c r="T1546" i="34"/>
  <c r="V1546" i="34"/>
  <c r="W1546" i="34"/>
  <c r="X1546" i="34"/>
  <c r="N1547" i="34"/>
  <c r="R1547" i="34"/>
  <c r="S1547" i="34"/>
  <c r="T1547" i="34"/>
  <c r="V1547" i="34"/>
  <c r="W1547" i="34"/>
  <c r="X1547" i="34"/>
  <c r="N1548" i="34"/>
  <c r="R1548" i="34"/>
  <c r="S1548" i="34"/>
  <c r="T1548" i="34"/>
  <c r="V1548" i="34"/>
  <c r="W1548" i="34"/>
  <c r="X1548" i="34"/>
  <c r="N1549" i="34"/>
  <c r="R1549" i="34"/>
  <c r="S1549" i="34"/>
  <c r="T1549" i="34"/>
  <c r="V1549" i="34"/>
  <c r="W1549" i="34"/>
  <c r="X1549" i="34"/>
  <c r="N1550" i="34"/>
  <c r="R1550" i="34"/>
  <c r="S1550" i="34"/>
  <c r="T1550" i="34"/>
  <c r="V1550" i="34"/>
  <c r="W1550" i="34"/>
  <c r="X1550" i="34"/>
  <c r="N1551" i="34"/>
  <c r="R1551" i="34"/>
  <c r="S1551" i="34"/>
  <c r="T1551" i="34"/>
  <c r="V1551" i="34"/>
  <c r="W1551" i="34"/>
  <c r="X1551" i="34"/>
  <c r="N1552" i="34"/>
  <c r="R1552" i="34"/>
  <c r="S1552" i="34"/>
  <c r="T1552" i="34"/>
  <c r="V1552" i="34"/>
  <c r="W1552" i="34"/>
  <c r="X1552" i="34"/>
  <c r="N1553" i="34"/>
  <c r="R1553" i="34"/>
  <c r="S1553" i="34"/>
  <c r="T1553" i="34"/>
  <c r="V1553" i="34"/>
  <c r="W1553" i="34"/>
  <c r="X1553" i="34"/>
  <c r="N1554" i="34"/>
  <c r="R1554" i="34"/>
  <c r="S1554" i="34"/>
  <c r="T1554" i="34"/>
  <c r="V1554" i="34"/>
  <c r="W1554" i="34"/>
  <c r="X1554" i="34"/>
  <c r="N1555" i="34"/>
  <c r="R1555" i="34"/>
  <c r="S1555" i="34"/>
  <c r="T1555" i="34"/>
  <c r="V1555" i="34"/>
  <c r="W1555" i="34"/>
  <c r="X1555" i="34"/>
  <c r="N1556" i="34"/>
  <c r="R1556" i="34"/>
  <c r="S1556" i="34"/>
  <c r="T1556" i="34"/>
  <c r="V1556" i="34"/>
  <c r="W1556" i="34"/>
  <c r="X1556" i="34"/>
  <c r="N1557" i="34"/>
  <c r="R1557" i="34"/>
  <c r="S1557" i="34"/>
  <c r="T1557" i="34"/>
  <c r="V1557" i="34"/>
  <c r="W1557" i="34"/>
  <c r="X1557" i="34"/>
  <c r="N1558" i="34"/>
  <c r="R1558" i="34"/>
  <c r="S1558" i="34"/>
  <c r="T1558" i="34"/>
  <c r="V1558" i="34"/>
  <c r="W1558" i="34"/>
  <c r="X1558" i="34"/>
  <c r="N1559" i="34"/>
  <c r="R1559" i="34"/>
  <c r="S1559" i="34"/>
  <c r="T1559" i="34"/>
  <c r="V1559" i="34"/>
  <c r="W1559" i="34"/>
  <c r="X1559" i="34"/>
  <c r="N1560" i="34"/>
  <c r="R1560" i="34"/>
  <c r="S1560" i="34"/>
  <c r="T1560" i="34"/>
  <c r="V1560" i="34"/>
  <c r="W1560" i="34"/>
  <c r="X1560" i="34"/>
  <c r="N1561" i="34"/>
  <c r="R1561" i="34"/>
  <c r="S1561" i="34"/>
  <c r="T1561" i="34"/>
  <c r="V1561" i="34"/>
  <c r="W1561" i="34"/>
  <c r="X1561" i="34"/>
  <c r="N1562" i="34"/>
  <c r="R1562" i="34"/>
  <c r="S1562" i="34"/>
  <c r="T1562" i="34"/>
  <c r="V1562" i="34"/>
  <c r="W1562" i="34"/>
  <c r="X1562" i="34"/>
  <c r="N1563" i="34"/>
  <c r="R1563" i="34"/>
  <c r="S1563" i="34"/>
  <c r="T1563" i="34"/>
  <c r="V1563" i="34"/>
  <c r="W1563" i="34"/>
  <c r="X1563" i="34"/>
  <c r="N1564" i="34"/>
  <c r="R1564" i="34"/>
  <c r="S1564" i="34"/>
  <c r="T1564" i="34"/>
  <c r="V1564" i="34"/>
  <c r="W1564" i="34"/>
  <c r="X1564" i="34"/>
  <c r="N1565" i="34"/>
  <c r="R1565" i="34"/>
  <c r="S1565" i="34"/>
  <c r="T1565" i="34"/>
  <c r="V1565" i="34"/>
  <c r="W1565" i="34"/>
  <c r="X1565" i="34"/>
  <c r="N1566" i="34"/>
  <c r="R1566" i="34"/>
  <c r="S1566" i="34"/>
  <c r="T1566" i="34"/>
  <c r="V1566" i="34"/>
  <c r="W1566" i="34"/>
  <c r="X1566" i="34"/>
  <c r="N1567" i="34"/>
  <c r="R1567" i="34"/>
  <c r="S1567" i="34"/>
  <c r="T1567" i="34"/>
  <c r="V1567" i="34"/>
  <c r="W1567" i="34"/>
  <c r="X1567" i="34"/>
  <c r="N1568" i="34"/>
  <c r="R1568" i="34"/>
  <c r="S1568" i="34"/>
  <c r="T1568" i="34"/>
  <c r="V1568" i="34"/>
  <c r="W1568" i="34"/>
  <c r="X1568" i="34"/>
  <c r="N1569" i="34"/>
  <c r="R1569" i="34"/>
  <c r="S1569" i="34"/>
  <c r="T1569" i="34"/>
  <c r="V1569" i="34"/>
  <c r="W1569" i="34"/>
  <c r="X1569" i="34"/>
  <c r="N1570" i="34"/>
  <c r="R1570" i="34"/>
  <c r="S1570" i="34"/>
  <c r="T1570" i="34"/>
  <c r="V1570" i="34"/>
  <c r="W1570" i="34"/>
  <c r="X1570" i="34"/>
  <c r="N1571" i="34"/>
  <c r="R1571" i="34"/>
  <c r="S1571" i="34"/>
  <c r="T1571" i="34"/>
  <c r="V1571" i="34"/>
  <c r="W1571" i="34"/>
  <c r="X1571" i="34"/>
  <c r="N1572" i="34"/>
  <c r="R1572" i="34"/>
  <c r="S1572" i="34"/>
  <c r="T1572" i="34"/>
  <c r="V1572" i="34"/>
  <c r="W1572" i="34"/>
  <c r="X1572" i="34"/>
  <c r="N1573" i="34"/>
  <c r="R1573" i="34"/>
  <c r="S1573" i="34"/>
  <c r="T1573" i="34"/>
  <c r="V1573" i="34"/>
  <c r="W1573" i="34"/>
  <c r="X1573" i="34"/>
  <c r="N1574" i="34"/>
  <c r="R1574" i="34"/>
  <c r="S1574" i="34"/>
  <c r="T1574" i="34"/>
  <c r="V1574" i="34"/>
  <c r="W1574" i="34"/>
  <c r="X1574" i="34"/>
  <c r="N1575" i="34"/>
  <c r="R1575" i="34"/>
  <c r="S1575" i="34"/>
  <c r="T1575" i="34"/>
  <c r="V1575" i="34"/>
  <c r="W1575" i="34"/>
  <c r="X1575" i="34"/>
  <c r="N1576" i="34"/>
  <c r="R1576" i="34"/>
  <c r="S1576" i="34"/>
  <c r="T1576" i="34"/>
  <c r="V1576" i="34"/>
  <c r="W1576" i="34"/>
  <c r="X1576" i="34"/>
  <c r="N1577" i="34"/>
  <c r="R1577" i="34"/>
  <c r="S1577" i="34"/>
  <c r="T1577" i="34"/>
  <c r="V1577" i="34"/>
  <c r="W1577" i="34"/>
  <c r="X1577" i="34"/>
  <c r="N1578" i="34"/>
  <c r="R1578" i="34"/>
  <c r="S1578" i="34"/>
  <c r="T1578" i="34"/>
  <c r="V1578" i="34"/>
  <c r="W1578" i="34"/>
  <c r="X1578" i="34"/>
  <c r="N1579" i="34"/>
  <c r="R1579" i="34"/>
  <c r="S1579" i="34"/>
  <c r="T1579" i="34"/>
  <c r="V1579" i="34"/>
  <c r="W1579" i="34"/>
  <c r="X1579" i="34"/>
  <c r="N1580" i="34"/>
  <c r="R1580" i="34"/>
  <c r="S1580" i="34"/>
  <c r="T1580" i="34"/>
  <c r="V1580" i="34"/>
  <c r="W1580" i="34"/>
  <c r="X1580" i="34"/>
  <c r="N1581" i="34"/>
  <c r="R1581" i="34"/>
  <c r="S1581" i="34"/>
  <c r="T1581" i="34"/>
  <c r="V1581" i="34"/>
  <c r="W1581" i="34"/>
  <c r="X1581" i="34"/>
  <c r="N1582" i="34"/>
  <c r="R1582" i="34"/>
  <c r="S1582" i="34"/>
  <c r="T1582" i="34"/>
  <c r="V1582" i="34"/>
  <c r="W1582" i="34"/>
  <c r="X1582" i="34"/>
  <c r="N1583" i="34"/>
  <c r="R1583" i="34"/>
  <c r="S1583" i="34"/>
  <c r="T1583" i="34"/>
  <c r="V1583" i="34"/>
  <c r="W1583" i="34"/>
  <c r="X1583" i="34"/>
  <c r="N1584" i="34"/>
  <c r="R1584" i="34"/>
  <c r="S1584" i="34"/>
  <c r="T1584" i="34"/>
  <c r="V1584" i="34"/>
  <c r="W1584" i="34"/>
  <c r="X1584" i="34"/>
  <c r="N1585" i="34"/>
  <c r="R1585" i="34"/>
  <c r="S1585" i="34"/>
  <c r="T1585" i="34"/>
  <c r="V1585" i="34"/>
  <c r="W1585" i="34"/>
  <c r="X1585" i="34"/>
  <c r="N1586" i="34"/>
  <c r="R1586" i="34"/>
  <c r="S1586" i="34"/>
  <c r="T1586" i="34"/>
  <c r="V1586" i="34"/>
  <c r="W1586" i="34"/>
  <c r="X1586" i="34"/>
  <c r="N1587" i="34"/>
  <c r="R1587" i="34"/>
  <c r="S1587" i="34"/>
  <c r="T1587" i="34"/>
  <c r="V1587" i="34"/>
  <c r="W1587" i="34"/>
  <c r="X1587" i="34"/>
  <c r="N1588" i="34"/>
  <c r="R1588" i="34"/>
  <c r="S1588" i="34"/>
  <c r="T1588" i="34"/>
  <c r="V1588" i="34"/>
  <c r="W1588" i="34"/>
  <c r="X1588" i="34"/>
  <c r="N1589" i="34"/>
  <c r="R1589" i="34"/>
  <c r="S1589" i="34"/>
  <c r="T1589" i="34"/>
  <c r="V1589" i="34"/>
  <c r="W1589" i="34"/>
  <c r="X1589" i="34"/>
  <c r="N1590" i="34"/>
  <c r="R1590" i="34"/>
  <c r="S1590" i="34"/>
  <c r="T1590" i="34"/>
  <c r="V1590" i="34"/>
  <c r="W1590" i="34"/>
  <c r="X1590" i="34"/>
  <c r="N1591" i="34"/>
  <c r="R1591" i="34"/>
  <c r="S1591" i="34"/>
  <c r="T1591" i="34"/>
  <c r="V1591" i="34"/>
  <c r="W1591" i="34"/>
  <c r="X1591" i="34"/>
  <c r="N1592" i="34"/>
  <c r="R1592" i="34"/>
  <c r="S1592" i="34"/>
  <c r="T1592" i="34"/>
  <c r="V1592" i="34"/>
  <c r="W1592" i="34"/>
  <c r="X1592" i="34"/>
  <c r="N1593" i="34"/>
  <c r="R1593" i="34"/>
  <c r="S1593" i="34"/>
  <c r="T1593" i="34"/>
  <c r="V1593" i="34"/>
  <c r="W1593" i="34"/>
  <c r="X1593" i="34"/>
  <c r="N1594" i="34"/>
  <c r="R1594" i="34"/>
  <c r="S1594" i="34"/>
  <c r="T1594" i="34"/>
  <c r="V1594" i="34"/>
  <c r="W1594" i="34"/>
  <c r="X1594" i="34"/>
  <c r="N1595" i="34"/>
  <c r="R1595" i="34"/>
  <c r="S1595" i="34"/>
  <c r="T1595" i="34"/>
  <c r="V1595" i="34"/>
  <c r="W1595" i="34"/>
  <c r="X1595" i="34"/>
  <c r="N1596" i="34"/>
  <c r="R1596" i="34"/>
  <c r="S1596" i="34"/>
  <c r="T1596" i="34"/>
  <c r="V1596" i="34"/>
  <c r="W1596" i="34"/>
  <c r="X1596" i="34"/>
  <c r="N1597" i="34"/>
  <c r="R1597" i="34"/>
  <c r="S1597" i="34"/>
  <c r="T1597" i="34"/>
  <c r="V1597" i="34"/>
  <c r="W1597" i="34"/>
  <c r="X1597" i="34"/>
  <c r="N1598" i="34"/>
  <c r="R1598" i="34"/>
  <c r="S1598" i="34"/>
  <c r="T1598" i="34"/>
  <c r="V1598" i="34"/>
  <c r="W1598" i="34"/>
  <c r="X1598" i="34"/>
  <c r="N1599" i="34"/>
  <c r="R1599" i="34"/>
  <c r="S1599" i="34"/>
  <c r="T1599" i="34"/>
  <c r="V1599" i="34"/>
  <c r="W1599" i="34"/>
  <c r="X1599" i="34"/>
  <c r="N1600" i="34"/>
  <c r="R1600" i="34"/>
  <c r="S1600" i="34"/>
  <c r="T1600" i="34"/>
  <c r="V1600" i="34"/>
  <c r="W1600" i="34"/>
  <c r="X1600" i="34"/>
  <c r="N1601" i="34"/>
  <c r="R1601" i="34"/>
  <c r="S1601" i="34"/>
  <c r="T1601" i="34"/>
  <c r="V1601" i="34"/>
  <c r="W1601" i="34"/>
  <c r="X1601" i="34"/>
  <c r="N1602" i="34"/>
  <c r="R1602" i="34"/>
  <c r="S1602" i="34"/>
  <c r="T1602" i="34"/>
  <c r="V1602" i="34"/>
  <c r="W1602" i="34"/>
  <c r="X1602" i="34"/>
  <c r="N1603" i="34"/>
  <c r="R1603" i="34"/>
  <c r="S1603" i="34"/>
  <c r="T1603" i="34"/>
  <c r="V1603" i="34"/>
  <c r="W1603" i="34"/>
  <c r="X1603" i="34"/>
  <c r="N1604" i="34"/>
  <c r="R1604" i="34"/>
  <c r="S1604" i="34"/>
  <c r="T1604" i="34"/>
  <c r="V1604" i="34"/>
  <c r="W1604" i="34"/>
  <c r="X1604" i="34"/>
  <c r="N1605" i="34"/>
  <c r="R1605" i="34"/>
  <c r="S1605" i="34"/>
  <c r="T1605" i="34"/>
  <c r="V1605" i="34"/>
  <c r="W1605" i="34"/>
  <c r="X1605" i="34"/>
  <c r="N1606" i="34"/>
  <c r="R1606" i="34"/>
  <c r="S1606" i="34"/>
  <c r="T1606" i="34"/>
  <c r="V1606" i="34"/>
  <c r="W1606" i="34"/>
  <c r="X1606" i="34"/>
  <c r="N1607" i="34"/>
  <c r="R1607" i="34"/>
  <c r="S1607" i="34"/>
  <c r="T1607" i="34"/>
  <c r="V1607" i="34"/>
  <c r="W1607" i="34"/>
  <c r="X1607" i="34"/>
  <c r="N1608" i="34"/>
  <c r="R1608" i="34"/>
  <c r="S1608" i="34"/>
  <c r="T1608" i="34"/>
  <c r="V1608" i="34"/>
  <c r="W1608" i="34"/>
  <c r="X1608" i="34"/>
  <c r="N1609" i="34"/>
  <c r="R1609" i="34"/>
  <c r="S1609" i="34"/>
  <c r="T1609" i="34"/>
  <c r="V1609" i="34"/>
  <c r="W1609" i="34"/>
  <c r="X1609" i="34"/>
  <c r="N1610" i="34"/>
  <c r="R1610" i="34"/>
  <c r="S1610" i="34"/>
  <c r="T1610" i="34"/>
  <c r="V1610" i="34"/>
  <c r="W1610" i="34"/>
  <c r="X1610" i="34"/>
  <c r="N1611" i="34"/>
  <c r="R1611" i="34"/>
  <c r="S1611" i="34"/>
  <c r="T1611" i="34"/>
  <c r="V1611" i="34"/>
  <c r="W1611" i="34"/>
  <c r="X1611" i="34"/>
  <c r="N1612" i="34"/>
  <c r="R1612" i="34"/>
  <c r="S1612" i="34"/>
  <c r="T1612" i="34"/>
  <c r="V1612" i="34"/>
  <c r="W1612" i="34"/>
  <c r="X1612" i="34"/>
  <c r="N1613" i="34"/>
  <c r="R1613" i="34"/>
  <c r="S1613" i="34"/>
  <c r="T1613" i="34"/>
  <c r="V1613" i="34"/>
  <c r="W1613" i="34"/>
  <c r="X1613" i="34"/>
  <c r="N1614" i="34"/>
  <c r="R1614" i="34"/>
  <c r="S1614" i="34"/>
  <c r="T1614" i="34"/>
  <c r="V1614" i="34"/>
  <c r="W1614" i="34"/>
  <c r="X1614" i="34"/>
  <c r="N1615" i="34"/>
  <c r="R1615" i="34"/>
  <c r="S1615" i="34"/>
  <c r="T1615" i="34"/>
  <c r="V1615" i="34"/>
  <c r="W1615" i="34"/>
  <c r="X1615" i="34"/>
  <c r="N1616" i="34"/>
  <c r="R1616" i="34"/>
  <c r="S1616" i="34"/>
  <c r="T1616" i="34"/>
  <c r="V1616" i="34"/>
  <c r="W1616" i="34"/>
  <c r="X1616" i="34"/>
  <c r="N1617" i="34"/>
  <c r="R1617" i="34"/>
  <c r="S1617" i="34"/>
  <c r="T1617" i="34"/>
  <c r="V1617" i="34"/>
  <c r="W1617" i="34"/>
  <c r="X1617" i="34"/>
  <c r="N1618" i="34"/>
  <c r="R1618" i="34"/>
  <c r="S1618" i="34"/>
  <c r="T1618" i="34"/>
  <c r="V1618" i="34"/>
  <c r="W1618" i="34"/>
  <c r="X1618" i="34"/>
  <c r="N1619" i="34"/>
  <c r="R1619" i="34"/>
  <c r="S1619" i="34"/>
  <c r="T1619" i="34"/>
  <c r="V1619" i="34"/>
  <c r="W1619" i="34"/>
  <c r="X1619" i="34"/>
  <c r="N1620" i="34"/>
  <c r="R1620" i="34"/>
  <c r="S1620" i="34"/>
  <c r="T1620" i="34"/>
  <c r="V1620" i="34"/>
  <c r="W1620" i="34"/>
  <c r="X1620" i="34"/>
  <c r="N1621" i="34"/>
  <c r="R1621" i="34"/>
  <c r="S1621" i="34"/>
  <c r="T1621" i="34"/>
  <c r="V1621" i="34"/>
  <c r="W1621" i="34"/>
  <c r="X1621" i="34"/>
  <c r="N1622" i="34"/>
  <c r="R1622" i="34"/>
  <c r="S1622" i="34"/>
  <c r="T1622" i="34"/>
  <c r="V1622" i="34"/>
  <c r="W1622" i="34"/>
  <c r="X1622" i="34"/>
  <c r="N1623" i="34"/>
  <c r="R1623" i="34"/>
  <c r="S1623" i="34"/>
  <c r="T1623" i="34"/>
  <c r="V1623" i="34"/>
  <c r="W1623" i="34"/>
  <c r="X1623" i="34"/>
  <c r="N1624" i="34"/>
  <c r="R1624" i="34"/>
  <c r="S1624" i="34"/>
  <c r="T1624" i="34"/>
  <c r="V1624" i="34"/>
  <c r="W1624" i="34"/>
  <c r="X1624" i="34"/>
  <c r="N1625" i="34"/>
  <c r="R1625" i="34"/>
  <c r="S1625" i="34"/>
  <c r="T1625" i="34"/>
  <c r="V1625" i="34"/>
  <c r="W1625" i="34"/>
  <c r="X1625" i="34"/>
  <c r="N1626" i="34"/>
  <c r="R1626" i="34"/>
  <c r="S1626" i="34"/>
  <c r="T1626" i="34"/>
  <c r="V1626" i="34"/>
  <c r="W1626" i="34"/>
  <c r="X1626" i="34"/>
  <c r="N1627" i="34"/>
  <c r="R1627" i="34"/>
  <c r="S1627" i="34"/>
  <c r="T1627" i="34"/>
  <c r="V1627" i="34"/>
  <c r="W1627" i="34"/>
  <c r="X1627" i="34"/>
  <c r="N1628" i="34"/>
  <c r="R1628" i="34"/>
  <c r="S1628" i="34"/>
  <c r="T1628" i="34"/>
  <c r="V1628" i="34"/>
  <c r="W1628" i="34"/>
  <c r="X1628" i="34"/>
  <c r="N1629" i="34"/>
  <c r="R1629" i="34"/>
  <c r="S1629" i="34"/>
  <c r="T1629" i="34"/>
  <c r="V1629" i="34"/>
  <c r="W1629" i="34"/>
  <c r="X1629" i="34"/>
  <c r="N1630" i="34"/>
  <c r="R1630" i="34"/>
  <c r="S1630" i="34"/>
  <c r="T1630" i="34"/>
  <c r="V1630" i="34"/>
  <c r="W1630" i="34"/>
  <c r="X1630" i="34"/>
  <c r="N1631" i="34"/>
  <c r="R1631" i="34"/>
  <c r="S1631" i="34"/>
  <c r="T1631" i="34"/>
  <c r="V1631" i="34"/>
  <c r="W1631" i="34"/>
  <c r="X1631" i="34"/>
  <c r="N1632" i="34"/>
  <c r="R1632" i="34"/>
  <c r="S1632" i="34"/>
  <c r="T1632" i="34"/>
  <c r="V1632" i="34"/>
  <c r="W1632" i="34"/>
  <c r="X1632" i="34"/>
  <c r="N1633" i="34"/>
  <c r="R1633" i="34"/>
  <c r="S1633" i="34"/>
  <c r="T1633" i="34"/>
  <c r="V1633" i="34"/>
  <c r="W1633" i="34"/>
  <c r="X1633" i="34"/>
  <c r="N1634" i="34"/>
  <c r="R1634" i="34"/>
  <c r="S1634" i="34"/>
  <c r="T1634" i="34"/>
  <c r="V1634" i="34"/>
  <c r="W1634" i="34"/>
  <c r="X1634" i="34"/>
  <c r="N1635" i="34"/>
  <c r="R1635" i="34"/>
  <c r="S1635" i="34"/>
  <c r="T1635" i="34"/>
  <c r="V1635" i="34"/>
  <c r="W1635" i="34"/>
  <c r="X1635" i="34"/>
  <c r="N1636" i="34"/>
  <c r="R1636" i="34"/>
  <c r="S1636" i="34"/>
  <c r="T1636" i="34"/>
  <c r="V1636" i="34"/>
  <c r="W1636" i="34"/>
  <c r="X1636" i="34"/>
  <c r="N1637" i="34"/>
  <c r="R1637" i="34"/>
  <c r="S1637" i="34"/>
  <c r="T1637" i="34"/>
  <c r="V1637" i="34"/>
  <c r="W1637" i="34"/>
  <c r="X1637" i="34"/>
  <c r="N1638" i="34"/>
  <c r="R1638" i="34"/>
  <c r="S1638" i="34"/>
  <c r="T1638" i="34"/>
  <c r="V1638" i="34"/>
  <c r="W1638" i="34"/>
  <c r="X1638" i="34"/>
  <c r="N1639" i="34"/>
  <c r="R1639" i="34"/>
  <c r="S1639" i="34"/>
  <c r="T1639" i="34"/>
  <c r="V1639" i="34"/>
  <c r="W1639" i="34"/>
  <c r="X1639" i="34"/>
  <c r="N1640" i="34"/>
  <c r="R1640" i="34"/>
  <c r="S1640" i="34"/>
  <c r="T1640" i="34"/>
  <c r="V1640" i="34"/>
  <c r="W1640" i="34"/>
  <c r="X1640" i="34"/>
  <c r="N1641" i="34"/>
  <c r="R1641" i="34"/>
  <c r="S1641" i="34"/>
  <c r="T1641" i="34"/>
  <c r="V1641" i="34"/>
  <c r="W1641" i="34"/>
  <c r="X1641" i="34"/>
  <c r="N1642" i="34"/>
  <c r="R1642" i="34"/>
  <c r="S1642" i="34"/>
  <c r="T1642" i="34"/>
  <c r="V1642" i="34"/>
  <c r="W1642" i="34"/>
  <c r="X1642" i="34"/>
  <c r="N1643" i="34"/>
  <c r="R1643" i="34"/>
  <c r="S1643" i="34"/>
  <c r="T1643" i="34"/>
  <c r="V1643" i="34"/>
  <c r="W1643" i="34"/>
  <c r="X1643" i="34"/>
  <c r="N1644" i="34"/>
  <c r="R1644" i="34"/>
  <c r="S1644" i="34"/>
  <c r="T1644" i="34"/>
  <c r="V1644" i="34"/>
  <c r="W1644" i="34"/>
  <c r="X1644" i="34"/>
  <c r="N1645" i="34"/>
  <c r="R1645" i="34"/>
  <c r="S1645" i="34"/>
  <c r="T1645" i="34"/>
  <c r="V1645" i="34"/>
  <c r="W1645" i="34"/>
  <c r="X1645" i="34"/>
  <c r="N1646" i="34"/>
  <c r="R1646" i="34"/>
  <c r="S1646" i="34"/>
  <c r="T1646" i="34"/>
  <c r="V1646" i="34"/>
  <c r="W1646" i="34"/>
  <c r="X1646" i="34"/>
  <c r="N1647" i="34"/>
  <c r="R1647" i="34"/>
  <c r="S1647" i="34"/>
  <c r="T1647" i="34"/>
  <c r="V1647" i="34"/>
  <c r="W1647" i="34"/>
  <c r="X1647" i="34"/>
  <c r="N1648" i="34"/>
  <c r="R1648" i="34"/>
  <c r="S1648" i="34"/>
  <c r="T1648" i="34"/>
  <c r="V1648" i="34"/>
  <c r="W1648" i="34"/>
  <c r="X1648" i="34"/>
  <c r="N1649" i="34"/>
  <c r="R1649" i="34"/>
  <c r="S1649" i="34"/>
  <c r="T1649" i="34"/>
  <c r="V1649" i="34"/>
  <c r="W1649" i="34"/>
  <c r="X1649" i="34"/>
  <c r="N1650" i="34"/>
  <c r="R1650" i="34"/>
  <c r="S1650" i="34"/>
  <c r="T1650" i="34"/>
  <c r="V1650" i="34"/>
  <c r="W1650" i="34"/>
  <c r="X1650" i="34"/>
  <c r="N1651" i="34"/>
  <c r="R1651" i="34"/>
  <c r="S1651" i="34"/>
  <c r="T1651" i="34"/>
  <c r="V1651" i="34"/>
  <c r="W1651" i="34"/>
  <c r="X1651" i="34"/>
  <c r="N1652" i="34"/>
  <c r="R1652" i="34"/>
  <c r="S1652" i="34"/>
  <c r="T1652" i="34"/>
  <c r="V1652" i="34"/>
  <c r="W1652" i="34"/>
  <c r="X1652" i="34"/>
  <c r="N1653" i="34"/>
  <c r="R1653" i="34"/>
  <c r="S1653" i="34"/>
  <c r="T1653" i="34"/>
  <c r="V1653" i="34"/>
  <c r="W1653" i="34"/>
  <c r="X1653" i="34"/>
  <c r="N1654" i="34"/>
  <c r="R1654" i="34"/>
  <c r="S1654" i="34"/>
  <c r="T1654" i="34"/>
  <c r="V1654" i="34"/>
  <c r="W1654" i="34"/>
  <c r="X1654" i="34"/>
  <c r="N1655" i="34"/>
  <c r="R1655" i="34"/>
  <c r="S1655" i="34"/>
  <c r="T1655" i="34"/>
  <c r="V1655" i="34"/>
  <c r="W1655" i="34"/>
  <c r="X1655" i="34"/>
  <c r="N1656" i="34"/>
  <c r="R1656" i="34"/>
  <c r="S1656" i="34"/>
  <c r="T1656" i="34"/>
  <c r="V1656" i="34"/>
  <c r="W1656" i="34"/>
  <c r="X1656" i="34"/>
  <c r="N1657" i="34"/>
  <c r="R1657" i="34"/>
  <c r="S1657" i="34"/>
  <c r="T1657" i="34"/>
  <c r="V1657" i="34"/>
  <c r="W1657" i="34"/>
  <c r="X1657" i="34"/>
  <c r="N1658" i="34"/>
  <c r="R1658" i="34"/>
  <c r="S1658" i="34"/>
  <c r="T1658" i="34"/>
  <c r="V1658" i="34"/>
  <c r="W1658" i="34"/>
  <c r="X1658" i="34"/>
  <c r="N1659" i="34"/>
  <c r="R1659" i="34"/>
  <c r="S1659" i="34"/>
  <c r="T1659" i="34"/>
  <c r="V1659" i="34"/>
  <c r="W1659" i="34"/>
  <c r="X1659" i="34"/>
  <c r="N1660" i="34"/>
  <c r="R1660" i="34"/>
  <c r="S1660" i="34"/>
  <c r="T1660" i="34"/>
  <c r="V1660" i="34"/>
  <c r="W1660" i="34"/>
  <c r="X1660" i="34"/>
  <c r="N1661" i="34"/>
  <c r="R1661" i="34"/>
  <c r="S1661" i="34"/>
  <c r="T1661" i="34"/>
  <c r="V1661" i="34"/>
  <c r="W1661" i="34"/>
  <c r="X1661" i="34"/>
  <c r="N1662" i="34"/>
  <c r="R1662" i="34"/>
  <c r="S1662" i="34"/>
  <c r="T1662" i="34"/>
  <c r="V1662" i="34"/>
  <c r="W1662" i="34"/>
  <c r="X1662" i="34"/>
  <c r="N1663" i="34"/>
  <c r="R1663" i="34"/>
  <c r="S1663" i="34"/>
  <c r="T1663" i="34"/>
  <c r="V1663" i="34"/>
  <c r="W1663" i="34"/>
  <c r="X1663" i="34"/>
  <c r="N1664" i="34"/>
  <c r="R1664" i="34"/>
  <c r="S1664" i="34"/>
  <c r="T1664" i="34"/>
  <c r="V1664" i="34"/>
  <c r="W1664" i="34"/>
  <c r="X1664" i="34"/>
  <c r="N1665" i="34"/>
  <c r="R1665" i="34"/>
  <c r="S1665" i="34"/>
  <c r="T1665" i="34"/>
  <c r="V1665" i="34"/>
  <c r="W1665" i="34"/>
  <c r="X1665" i="34"/>
  <c r="N1666" i="34"/>
  <c r="R1666" i="34"/>
  <c r="S1666" i="34"/>
  <c r="T1666" i="34"/>
  <c r="V1666" i="34"/>
  <c r="W1666" i="34"/>
  <c r="X1666" i="34"/>
  <c r="N1667" i="34"/>
  <c r="R1667" i="34"/>
  <c r="S1667" i="34"/>
  <c r="T1667" i="34"/>
  <c r="V1667" i="34"/>
  <c r="W1667" i="34"/>
  <c r="X1667" i="34"/>
  <c r="N1668" i="34"/>
  <c r="R1668" i="34"/>
  <c r="S1668" i="34"/>
  <c r="T1668" i="34"/>
  <c r="V1668" i="34"/>
  <c r="W1668" i="34"/>
  <c r="X1668" i="34"/>
  <c r="N1669" i="34"/>
  <c r="R1669" i="34"/>
  <c r="S1669" i="34"/>
  <c r="T1669" i="34"/>
  <c r="V1669" i="34"/>
  <c r="W1669" i="34"/>
  <c r="X1669" i="34"/>
  <c r="N1670" i="34"/>
  <c r="R1670" i="34"/>
  <c r="S1670" i="34"/>
  <c r="T1670" i="34"/>
  <c r="V1670" i="34"/>
  <c r="W1670" i="34"/>
  <c r="X1670" i="34"/>
  <c r="N1671" i="34"/>
  <c r="R1671" i="34"/>
  <c r="S1671" i="34"/>
  <c r="T1671" i="34"/>
  <c r="V1671" i="34"/>
  <c r="W1671" i="34"/>
  <c r="X1671" i="34"/>
  <c r="N1672" i="34"/>
  <c r="R1672" i="34"/>
  <c r="S1672" i="34"/>
  <c r="T1672" i="34"/>
  <c r="V1672" i="34"/>
  <c r="W1672" i="34"/>
  <c r="X1672" i="34"/>
  <c r="N1673" i="34"/>
  <c r="R1673" i="34"/>
  <c r="S1673" i="34"/>
  <c r="T1673" i="34"/>
  <c r="V1673" i="34"/>
  <c r="W1673" i="34"/>
  <c r="X1673" i="34"/>
  <c r="N1674" i="34"/>
  <c r="R1674" i="34"/>
  <c r="S1674" i="34"/>
  <c r="T1674" i="34"/>
  <c r="V1674" i="34"/>
  <c r="W1674" i="34"/>
  <c r="X1674" i="34"/>
  <c r="N1675" i="34"/>
  <c r="R1675" i="34"/>
  <c r="S1675" i="34"/>
  <c r="T1675" i="34"/>
  <c r="V1675" i="34"/>
  <c r="W1675" i="34"/>
  <c r="X1675" i="34"/>
  <c r="N1676" i="34"/>
  <c r="R1676" i="34"/>
  <c r="S1676" i="34"/>
  <c r="T1676" i="34"/>
  <c r="V1676" i="34"/>
  <c r="W1676" i="34"/>
  <c r="X1676" i="34"/>
  <c r="N1677" i="34"/>
  <c r="R1677" i="34"/>
  <c r="S1677" i="34"/>
  <c r="T1677" i="34"/>
  <c r="V1677" i="34"/>
  <c r="W1677" i="34"/>
  <c r="X1677" i="34"/>
  <c r="N1678" i="34"/>
  <c r="R1678" i="34"/>
  <c r="S1678" i="34"/>
  <c r="T1678" i="34"/>
  <c r="V1678" i="34"/>
  <c r="W1678" i="34"/>
  <c r="X1678" i="34"/>
  <c r="N1679" i="34"/>
  <c r="R1679" i="34"/>
  <c r="S1679" i="34"/>
  <c r="T1679" i="34"/>
  <c r="V1679" i="34"/>
  <c r="W1679" i="34"/>
  <c r="X1679" i="34"/>
  <c r="N1680" i="34"/>
  <c r="R1680" i="34"/>
  <c r="S1680" i="34"/>
  <c r="T1680" i="34"/>
  <c r="V1680" i="34"/>
  <c r="W1680" i="34"/>
  <c r="X1680" i="34"/>
  <c r="N1681" i="34"/>
  <c r="R1681" i="34"/>
  <c r="S1681" i="34"/>
  <c r="T1681" i="34"/>
  <c r="V1681" i="34"/>
  <c r="W1681" i="34"/>
  <c r="X1681" i="34"/>
  <c r="N1682" i="34"/>
  <c r="R1682" i="34"/>
  <c r="S1682" i="34"/>
  <c r="T1682" i="34"/>
  <c r="V1682" i="34"/>
  <c r="W1682" i="34"/>
  <c r="X1682" i="34"/>
  <c r="N1683" i="34"/>
  <c r="R1683" i="34"/>
  <c r="S1683" i="34"/>
  <c r="T1683" i="34"/>
  <c r="V1683" i="34"/>
  <c r="W1683" i="34"/>
  <c r="X1683" i="34"/>
  <c r="N1684" i="34"/>
  <c r="R1684" i="34"/>
  <c r="S1684" i="34"/>
  <c r="T1684" i="34"/>
  <c r="V1684" i="34"/>
  <c r="W1684" i="34"/>
  <c r="X1684" i="34"/>
  <c r="N1685" i="34"/>
  <c r="R1685" i="34"/>
  <c r="S1685" i="34"/>
  <c r="T1685" i="34"/>
  <c r="V1685" i="34"/>
  <c r="W1685" i="34"/>
  <c r="X1685" i="34"/>
  <c r="N1686" i="34"/>
  <c r="R1686" i="34"/>
  <c r="S1686" i="34"/>
  <c r="T1686" i="34"/>
  <c r="V1686" i="34"/>
  <c r="W1686" i="34"/>
  <c r="X1686" i="34"/>
  <c r="N1687" i="34"/>
  <c r="R1687" i="34"/>
  <c r="S1687" i="34"/>
  <c r="T1687" i="34"/>
  <c r="V1687" i="34"/>
  <c r="W1687" i="34"/>
  <c r="X1687" i="34"/>
  <c r="N1688" i="34"/>
  <c r="R1688" i="34"/>
  <c r="S1688" i="34"/>
  <c r="T1688" i="34"/>
  <c r="V1688" i="34"/>
  <c r="W1688" i="34"/>
  <c r="X1688" i="34"/>
  <c r="N1689" i="34"/>
  <c r="R1689" i="34"/>
  <c r="S1689" i="34"/>
  <c r="T1689" i="34"/>
  <c r="V1689" i="34"/>
  <c r="W1689" i="34"/>
  <c r="X1689" i="34"/>
  <c r="N1690" i="34"/>
  <c r="R1690" i="34"/>
  <c r="S1690" i="34"/>
  <c r="T1690" i="34"/>
  <c r="V1690" i="34"/>
  <c r="W1690" i="34"/>
  <c r="X1690" i="34"/>
  <c r="N1691" i="34"/>
  <c r="R1691" i="34"/>
  <c r="S1691" i="34"/>
  <c r="T1691" i="34"/>
  <c r="V1691" i="34"/>
  <c r="W1691" i="34"/>
  <c r="X1691" i="34"/>
  <c r="N1692" i="34"/>
  <c r="R1692" i="34"/>
  <c r="S1692" i="34"/>
  <c r="T1692" i="34"/>
  <c r="V1692" i="34"/>
  <c r="W1692" i="34"/>
  <c r="X1692" i="34"/>
  <c r="N1693" i="34"/>
  <c r="R1693" i="34"/>
  <c r="S1693" i="34"/>
  <c r="T1693" i="34"/>
  <c r="V1693" i="34"/>
  <c r="W1693" i="34"/>
  <c r="X1693" i="34"/>
  <c r="N1694" i="34"/>
  <c r="R1694" i="34"/>
  <c r="S1694" i="34"/>
  <c r="T1694" i="34"/>
  <c r="V1694" i="34"/>
  <c r="W1694" i="34"/>
  <c r="X1694" i="34"/>
  <c r="N1695" i="34"/>
  <c r="R1695" i="34"/>
  <c r="S1695" i="34"/>
  <c r="T1695" i="34"/>
  <c r="V1695" i="34"/>
  <c r="W1695" i="34"/>
  <c r="X1695" i="34"/>
  <c r="N1696" i="34"/>
  <c r="R1696" i="34"/>
  <c r="S1696" i="34"/>
  <c r="T1696" i="34"/>
  <c r="V1696" i="34"/>
  <c r="W1696" i="34"/>
  <c r="X1696" i="34"/>
  <c r="N1697" i="34"/>
  <c r="R1697" i="34"/>
  <c r="S1697" i="34"/>
  <c r="T1697" i="34"/>
  <c r="V1697" i="34"/>
  <c r="W1697" i="34"/>
  <c r="X1697" i="34"/>
  <c r="N1698" i="34"/>
  <c r="R1698" i="34"/>
  <c r="S1698" i="34"/>
  <c r="T1698" i="34"/>
  <c r="V1698" i="34"/>
  <c r="W1698" i="34"/>
  <c r="X1698" i="34"/>
  <c r="N1699" i="34"/>
  <c r="R1699" i="34"/>
  <c r="S1699" i="34"/>
  <c r="T1699" i="34"/>
  <c r="V1699" i="34"/>
  <c r="W1699" i="34"/>
  <c r="X1699" i="34"/>
  <c r="N1700" i="34"/>
  <c r="R1700" i="34"/>
  <c r="S1700" i="34"/>
  <c r="T1700" i="34"/>
  <c r="V1700" i="34"/>
  <c r="W1700" i="34"/>
  <c r="X1700" i="34"/>
  <c r="N1701" i="34"/>
  <c r="R1701" i="34"/>
  <c r="S1701" i="34"/>
  <c r="T1701" i="34"/>
  <c r="V1701" i="34"/>
  <c r="W1701" i="34"/>
  <c r="X1701" i="34"/>
  <c r="N1702" i="34"/>
  <c r="R1702" i="34"/>
  <c r="S1702" i="34"/>
  <c r="T1702" i="34"/>
  <c r="V1702" i="34"/>
  <c r="W1702" i="34"/>
  <c r="X1702" i="34"/>
  <c r="N1703" i="34"/>
  <c r="R1703" i="34"/>
  <c r="S1703" i="34"/>
  <c r="T1703" i="34"/>
  <c r="V1703" i="34"/>
  <c r="W1703" i="34"/>
  <c r="X1703" i="34"/>
  <c r="N1704" i="34"/>
  <c r="R1704" i="34"/>
  <c r="S1704" i="34"/>
  <c r="T1704" i="34"/>
  <c r="V1704" i="34"/>
  <c r="W1704" i="34"/>
  <c r="X1704" i="34"/>
  <c r="N1705" i="34"/>
  <c r="R1705" i="34"/>
  <c r="S1705" i="34"/>
  <c r="T1705" i="34"/>
  <c r="V1705" i="34"/>
  <c r="W1705" i="34"/>
  <c r="X1705" i="34"/>
  <c r="N1706" i="34"/>
  <c r="R1706" i="34"/>
  <c r="S1706" i="34"/>
  <c r="T1706" i="34"/>
  <c r="V1706" i="34"/>
  <c r="W1706" i="34"/>
  <c r="X1706" i="34"/>
  <c r="N1707" i="34"/>
  <c r="R1707" i="34"/>
  <c r="S1707" i="34"/>
  <c r="T1707" i="34"/>
  <c r="V1707" i="34"/>
  <c r="W1707" i="34"/>
  <c r="X1707" i="34"/>
  <c r="N1708" i="34"/>
  <c r="R1708" i="34"/>
  <c r="S1708" i="34"/>
  <c r="T1708" i="34"/>
  <c r="V1708" i="34"/>
  <c r="W1708" i="34"/>
  <c r="X1708" i="34"/>
  <c r="N1709" i="34"/>
  <c r="R1709" i="34"/>
  <c r="S1709" i="34"/>
  <c r="T1709" i="34"/>
  <c r="V1709" i="34"/>
  <c r="W1709" i="34"/>
  <c r="X1709" i="34"/>
  <c r="N1710" i="34"/>
  <c r="R1710" i="34"/>
  <c r="S1710" i="34"/>
  <c r="T1710" i="34"/>
  <c r="V1710" i="34"/>
  <c r="W1710" i="34"/>
  <c r="X1710" i="34"/>
  <c r="N1711" i="34"/>
  <c r="R1711" i="34"/>
  <c r="S1711" i="34"/>
  <c r="T1711" i="34"/>
  <c r="V1711" i="34"/>
  <c r="W1711" i="34"/>
  <c r="X1711" i="34"/>
  <c r="N1712" i="34"/>
  <c r="R1712" i="34"/>
  <c r="S1712" i="34"/>
  <c r="T1712" i="34"/>
  <c r="V1712" i="34"/>
  <c r="W1712" i="34"/>
  <c r="X1712" i="34"/>
  <c r="N1713" i="34"/>
  <c r="R1713" i="34"/>
  <c r="S1713" i="34"/>
  <c r="T1713" i="34"/>
  <c r="V1713" i="34"/>
  <c r="W1713" i="34"/>
  <c r="X1713" i="34"/>
  <c r="N1714" i="34"/>
  <c r="R1714" i="34"/>
  <c r="S1714" i="34"/>
  <c r="T1714" i="34"/>
  <c r="V1714" i="34"/>
  <c r="W1714" i="34"/>
  <c r="X1714" i="34"/>
  <c r="N1715" i="34"/>
  <c r="R1715" i="34"/>
  <c r="S1715" i="34"/>
  <c r="T1715" i="34"/>
  <c r="V1715" i="34"/>
  <c r="W1715" i="34"/>
  <c r="X1715" i="34"/>
  <c r="N1716" i="34"/>
  <c r="R1716" i="34"/>
  <c r="S1716" i="34"/>
  <c r="T1716" i="34"/>
  <c r="V1716" i="34"/>
  <c r="W1716" i="34"/>
  <c r="X1716" i="34"/>
  <c r="N1717" i="34"/>
  <c r="R1717" i="34"/>
  <c r="S1717" i="34"/>
  <c r="T1717" i="34"/>
  <c r="V1717" i="34"/>
  <c r="W1717" i="34"/>
  <c r="X1717" i="34"/>
  <c r="N1718" i="34"/>
  <c r="R1718" i="34"/>
  <c r="S1718" i="34"/>
  <c r="T1718" i="34"/>
  <c r="V1718" i="34"/>
  <c r="W1718" i="34"/>
  <c r="X1718" i="34"/>
  <c r="N1719" i="34"/>
  <c r="R1719" i="34"/>
  <c r="S1719" i="34"/>
  <c r="T1719" i="34"/>
  <c r="V1719" i="34"/>
  <c r="W1719" i="34"/>
  <c r="X1719" i="34"/>
  <c r="N1720" i="34"/>
  <c r="R1720" i="34"/>
  <c r="S1720" i="34"/>
  <c r="T1720" i="34"/>
  <c r="V1720" i="34"/>
  <c r="W1720" i="34"/>
  <c r="X1720" i="34"/>
  <c r="N1721" i="34"/>
  <c r="R1721" i="34"/>
  <c r="S1721" i="34"/>
  <c r="T1721" i="34"/>
  <c r="V1721" i="34"/>
  <c r="W1721" i="34"/>
  <c r="X1721" i="34"/>
  <c r="N1722" i="34"/>
  <c r="R1722" i="34"/>
  <c r="S1722" i="34"/>
  <c r="T1722" i="34"/>
  <c r="V1722" i="34"/>
  <c r="W1722" i="34"/>
  <c r="X1722" i="34"/>
  <c r="N1723" i="34"/>
  <c r="R1723" i="34"/>
  <c r="S1723" i="34"/>
  <c r="T1723" i="34"/>
  <c r="V1723" i="34"/>
  <c r="W1723" i="34"/>
  <c r="X1723" i="34"/>
  <c r="N1724" i="34"/>
  <c r="R1724" i="34"/>
  <c r="S1724" i="34"/>
  <c r="T1724" i="34"/>
  <c r="V1724" i="34"/>
  <c r="W1724" i="34"/>
  <c r="X1724" i="34"/>
  <c r="N1725" i="34"/>
  <c r="R1725" i="34"/>
  <c r="S1725" i="34"/>
  <c r="T1725" i="34"/>
  <c r="V1725" i="34"/>
  <c r="W1725" i="34"/>
  <c r="X1725" i="34"/>
  <c r="N1726" i="34"/>
  <c r="R1726" i="34"/>
  <c r="S1726" i="34"/>
  <c r="T1726" i="34"/>
  <c r="V1726" i="34"/>
  <c r="W1726" i="34"/>
  <c r="X1726" i="34"/>
  <c r="N1727" i="34"/>
  <c r="R1727" i="34"/>
  <c r="S1727" i="34"/>
  <c r="T1727" i="34"/>
  <c r="V1727" i="34"/>
  <c r="W1727" i="34"/>
  <c r="X1727" i="34"/>
  <c r="N1728" i="34"/>
  <c r="R1728" i="34"/>
  <c r="S1728" i="34"/>
  <c r="T1728" i="34"/>
  <c r="V1728" i="34"/>
  <c r="W1728" i="34"/>
  <c r="X1728" i="34"/>
  <c r="N1729" i="34"/>
  <c r="R1729" i="34"/>
  <c r="S1729" i="34"/>
  <c r="T1729" i="34"/>
  <c r="V1729" i="34"/>
  <c r="W1729" i="34"/>
  <c r="X1729" i="34"/>
  <c r="N1730" i="34"/>
  <c r="R1730" i="34"/>
  <c r="S1730" i="34"/>
  <c r="T1730" i="34"/>
  <c r="V1730" i="34"/>
  <c r="W1730" i="34"/>
  <c r="X1730" i="34"/>
  <c r="N1731" i="34"/>
  <c r="R1731" i="34"/>
  <c r="S1731" i="34"/>
  <c r="T1731" i="34"/>
  <c r="V1731" i="34"/>
  <c r="W1731" i="34"/>
  <c r="X1731" i="34"/>
  <c r="N1732" i="34"/>
  <c r="R1732" i="34"/>
  <c r="S1732" i="34"/>
  <c r="T1732" i="34"/>
  <c r="V1732" i="34"/>
  <c r="W1732" i="34"/>
  <c r="X1732" i="34"/>
  <c r="N1733" i="34"/>
  <c r="R1733" i="34"/>
  <c r="S1733" i="34"/>
  <c r="T1733" i="34"/>
  <c r="V1733" i="34"/>
  <c r="W1733" i="34"/>
  <c r="X1733" i="34"/>
  <c r="N1734" i="34"/>
  <c r="R1734" i="34"/>
  <c r="S1734" i="34"/>
  <c r="T1734" i="34"/>
  <c r="V1734" i="34"/>
  <c r="W1734" i="34"/>
  <c r="X1734" i="34"/>
  <c r="N1735" i="34"/>
  <c r="R1735" i="34"/>
  <c r="S1735" i="34"/>
  <c r="T1735" i="34"/>
  <c r="V1735" i="34"/>
  <c r="W1735" i="34"/>
  <c r="X1735" i="34"/>
  <c r="N1736" i="34"/>
  <c r="R1736" i="34"/>
  <c r="S1736" i="34"/>
  <c r="T1736" i="34"/>
  <c r="V1736" i="34"/>
  <c r="W1736" i="34"/>
  <c r="X1736" i="34"/>
  <c r="N1737" i="34"/>
  <c r="R1737" i="34"/>
  <c r="S1737" i="34"/>
  <c r="T1737" i="34"/>
  <c r="V1737" i="34"/>
  <c r="W1737" i="34"/>
  <c r="X1737" i="34"/>
  <c r="N1738" i="34"/>
  <c r="R1738" i="34"/>
  <c r="S1738" i="34"/>
  <c r="T1738" i="34"/>
  <c r="V1738" i="34"/>
  <c r="W1738" i="34"/>
  <c r="X1738" i="34"/>
  <c r="N1739" i="34"/>
  <c r="R1739" i="34"/>
  <c r="S1739" i="34"/>
  <c r="T1739" i="34"/>
  <c r="V1739" i="34"/>
  <c r="W1739" i="34"/>
  <c r="X1739" i="34"/>
  <c r="N1740" i="34"/>
  <c r="R1740" i="34"/>
  <c r="S1740" i="34"/>
  <c r="T1740" i="34"/>
  <c r="V1740" i="34"/>
  <c r="W1740" i="34"/>
  <c r="X1740" i="34"/>
  <c r="N1741" i="34"/>
  <c r="R1741" i="34"/>
  <c r="S1741" i="34"/>
  <c r="T1741" i="34"/>
  <c r="V1741" i="34"/>
  <c r="W1741" i="34"/>
  <c r="X1741" i="34"/>
  <c r="N1742" i="34"/>
  <c r="R1742" i="34"/>
  <c r="S1742" i="34"/>
  <c r="T1742" i="34"/>
  <c r="V1742" i="34"/>
  <c r="W1742" i="34"/>
  <c r="X1742" i="34"/>
  <c r="N1743" i="34"/>
  <c r="R1743" i="34"/>
  <c r="S1743" i="34"/>
  <c r="T1743" i="34"/>
  <c r="V1743" i="34"/>
  <c r="W1743" i="34"/>
  <c r="X1743" i="34"/>
  <c r="N1744" i="34"/>
  <c r="R1744" i="34"/>
  <c r="S1744" i="34"/>
  <c r="T1744" i="34"/>
  <c r="V1744" i="34"/>
  <c r="W1744" i="34"/>
  <c r="X1744" i="34"/>
  <c r="N1745" i="34"/>
  <c r="R1745" i="34"/>
  <c r="S1745" i="34"/>
  <c r="T1745" i="34"/>
  <c r="V1745" i="34"/>
  <c r="W1745" i="34"/>
  <c r="X1745" i="34"/>
  <c r="N1746" i="34"/>
  <c r="R1746" i="34"/>
  <c r="S1746" i="34"/>
  <c r="T1746" i="34"/>
  <c r="V1746" i="34"/>
  <c r="W1746" i="34"/>
  <c r="X1746" i="34"/>
  <c r="N1747" i="34"/>
  <c r="R1747" i="34"/>
  <c r="S1747" i="34"/>
  <c r="T1747" i="34"/>
  <c r="V1747" i="34"/>
  <c r="W1747" i="34"/>
  <c r="X1747" i="34"/>
  <c r="N1748" i="34"/>
  <c r="R1748" i="34"/>
  <c r="S1748" i="34"/>
  <c r="T1748" i="34"/>
  <c r="V1748" i="34"/>
  <c r="W1748" i="34"/>
  <c r="X1748" i="34"/>
  <c r="N1749" i="34"/>
  <c r="R1749" i="34"/>
  <c r="S1749" i="34"/>
  <c r="T1749" i="34"/>
  <c r="V1749" i="34"/>
  <c r="W1749" i="34"/>
  <c r="X1749" i="34"/>
  <c r="N1750" i="34"/>
  <c r="R1750" i="34"/>
  <c r="S1750" i="34"/>
  <c r="T1750" i="34"/>
  <c r="V1750" i="34"/>
  <c r="W1750" i="34"/>
  <c r="X1750" i="34"/>
  <c r="N1751" i="34"/>
  <c r="R1751" i="34"/>
  <c r="S1751" i="34"/>
  <c r="T1751" i="34"/>
  <c r="V1751" i="34"/>
  <c r="W1751" i="34"/>
  <c r="X1751" i="34"/>
  <c r="N1752" i="34"/>
  <c r="R1752" i="34"/>
  <c r="S1752" i="34"/>
  <c r="T1752" i="34"/>
  <c r="V1752" i="34"/>
  <c r="W1752" i="34"/>
  <c r="X1752" i="34"/>
  <c r="N1753" i="34"/>
  <c r="R1753" i="34"/>
  <c r="S1753" i="34"/>
  <c r="T1753" i="34"/>
  <c r="V1753" i="34"/>
  <c r="W1753" i="34"/>
  <c r="X1753" i="34"/>
  <c r="N1754" i="34"/>
  <c r="R1754" i="34"/>
  <c r="S1754" i="34"/>
  <c r="T1754" i="34"/>
  <c r="V1754" i="34"/>
  <c r="W1754" i="34"/>
  <c r="X1754" i="34"/>
  <c r="N1755" i="34"/>
  <c r="R1755" i="34"/>
  <c r="S1755" i="34"/>
  <c r="T1755" i="34"/>
  <c r="V1755" i="34"/>
  <c r="W1755" i="34"/>
  <c r="X1755" i="34"/>
  <c r="N1756" i="34"/>
  <c r="R1756" i="34"/>
  <c r="S1756" i="34"/>
  <c r="T1756" i="34"/>
  <c r="V1756" i="34"/>
  <c r="W1756" i="34"/>
  <c r="X1756" i="34"/>
  <c r="N1757" i="34"/>
  <c r="R1757" i="34"/>
  <c r="S1757" i="34"/>
  <c r="T1757" i="34"/>
  <c r="V1757" i="34"/>
  <c r="W1757" i="34"/>
  <c r="X1757" i="34"/>
  <c r="N1758" i="34"/>
  <c r="R1758" i="34"/>
  <c r="S1758" i="34"/>
  <c r="T1758" i="34"/>
  <c r="V1758" i="34"/>
  <c r="W1758" i="34"/>
  <c r="X1758" i="34"/>
  <c r="N1759" i="34"/>
  <c r="R1759" i="34"/>
  <c r="S1759" i="34"/>
  <c r="T1759" i="34"/>
  <c r="V1759" i="34"/>
  <c r="W1759" i="34"/>
  <c r="X1759" i="34"/>
  <c r="N1760" i="34"/>
  <c r="R1760" i="34"/>
  <c r="S1760" i="34"/>
  <c r="T1760" i="34"/>
  <c r="V1760" i="34"/>
  <c r="W1760" i="34"/>
  <c r="X1760" i="34"/>
  <c r="N1761" i="34"/>
  <c r="R1761" i="34"/>
  <c r="S1761" i="34"/>
  <c r="T1761" i="34"/>
  <c r="V1761" i="34"/>
  <c r="W1761" i="34"/>
  <c r="X1761" i="34"/>
  <c r="N1762" i="34"/>
  <c r="R1762" i="34"/>
  <c r="S1762" i="34"/>
  <c r="T1762" i="34"/>
  <c r="V1762" i="34"/>
  <c r="W1762" i="34"/>
  <c r="X1762" i="34"/>
  <c r="N1763" i="34"/>
  <c r="R1763" i="34"/>
  <c r="S1763" i="34"/>
  <c r="T1763" i="34"/>
  <c r="V1763" i="34"/>
  <c r="W1763" i="34"/>
  <c r="X1763" i="34"/>
  <c r="N1764" i="34"/>
  <c r="R1764" i="34"/>
  <c r="S1764" i="34"/>
  <c r="T1764" i="34"/>
  <c r="V1764" i="34"/>
  <c r="W1764" i="34"/>
  <c r="X1764" i="34"/>
  <c r="N1765" i="34"/>
  <c r="R1765" i="34"/>
  <c r="S1765" i="34"/>
  <c r="T1765" i="34"/>
  <c r="V1765" i="34"/>
  <c r="W1765" i="34"/>
  <c r="X1765" i="34"/>
  <c r="N1766" i="34"/>
  <c r="R1766" i="34"/>
  <c r="S1766" i="34"/>
  <c r="T1766" i="34"/>
  <c r="V1766" i="34"/>
  <c r="W1766" i="34"/>
  <c r="X1766" i="34"/>
  <c r="N1767" i="34"/>
  <c r="R1767" i="34"/>
  <c r="S1767" i="34"/>
  <c r="T1767" i="34"/>
  <c r="V1767" i="34"/>
  <c r="W1767" i="34"/>
  <c r="X1767" i="34"/>
  <c r="N1768" i="34"/>
  <c r="R1768" i="34"/>
  <c r="S1768" i="34"/>
  <c r="T1768" i="34"/>
  <c r="V1768" i="34"/>
  <c r="W1768" i="34"/>
  <c r="X1768" i="34"/>
  <c r="N1769" i="34"/>
  <c r="R1769" i="34"/>
  <c r="S1769" i="34"/>
  <c r="T1769" i="34"/>
  <c r="V1769" i="34"/>
  <c r="W1769" i="34"/>
  <c r="X1769" i="34"/>
  <c r="N1770" i="34"/>
  <c r="R1770" i="34"/>
  <c r="S1770" i="34"/>
  <c r="T1770" i="34"/>
  <c r="V1770" i="34"/>
  <c r="W1770" i="34"/>
  <c r="X1770" i="34"/>
  <c r="N1771" i="34"/>
  <c r="R1771" i="34"/>
  <c r="S1771" i="34"/>
  <c r="T1771" i="34"/>
  <c r="V1771" i="34"/>
  <c r="W1771" i="34"/>
  <c r="X1771" i="34"/>
  <c r="N1772" i="34"/>
  <c r="R1772" i="34"/>
  <c r="S1772" i="34"/>
  <c r="T1772" i="34"/>
  <c r="V1772" i="34"/>
  <c r="W1772" i="34"/>
  <c r="X1772" i="34"/>
  <c r="N1773" i="34"/>
  <c r="R1773" i="34"/>
  <c r="S1773" i="34"/>
  <c r="T1773" i="34"/>
  <c r="V1773" i="34"/>
  <c r="W1773" i="34"/>
  <c r="X1773" i="34"/>
  <c r="N1774" i="34"/>
  <c r="R1774" i="34"/>
  <c r="S1774" i="34"/>
  <c r="T1774" i="34"/>
  <c r="V1774" i="34"/>
  <c r="W1774" i="34"/>
  <c r="X1774" i="34"/>
  <c r="N1775" i="34"/>
  <c r="R1775" i="34"/>
  <c r="S1775" i="34"/>
  <c r="T1775" i="34"/>
  <c r="V1775" i="34"/>
  <c r="W1775" i="34"/>
  <c r="X1775" i="34"/>
  <c r="N1776" i="34"/>
  <c r="R1776" i="34"/>
  <c r="S1776" i="34"/>
  <c r="T1776" i="34"/>
  <c r="V1776" i="34"/>
  <c r="W1776" i="34"/>
  <c r="X1776" i="34"/>
  <c r="N1777" i="34"/>
  <c r="R1777" i="34"/>
  <c r="S1777" i="34"/>
  <c r="T1777" i="34"/>
  <c r="V1777" i="34"/>
  <c r="W1777" i="34"/>
  <c r="X1777" i="34"/>
  <c r="N1778" i="34"/>
  <c r="R1778" i="34"/>
  <c r="S1778" i="34"/>
  <c r="T1778" i="34"/>
  <c r="V1778" i="34"/>
  <c r="W1778" i="34"/>
  <c r="X1778" i="34"/>
  <c r="N1779" i="34"/>
  <c r="R1779" i="34"/>
  <c r="S1779" i="34"/>
  <c r="T1779" i="34"/>
  <c r="V1779" i="34"/>
  <c r="W1779" i="34"/>
  <c r="X1779" i="34"/>
  <c r="N1780" i="34"/>
  <c r="R1780" i="34"/>
  <c r="S1780" i="34"/>
  <c r="T1780" i="34"/>
  <c r="V1780" i="34"/>
  <c r="W1780" i="34"/>
  <c r="X1780" i="34"/>
  <c r="N1781" i="34"/>
  <c r="R1781" i="34"/>
  <c r="S1781" i="34"/>
  <c r="T1781" i="34"/>
  <c r="V1781" i="34"/>
  <c r="W1781" i="34"/>
  <c r="X1781" i="34"/>
  <c r="N1782" i="34"/>
  <c r="R1782" i="34"/>
  <c r="S1782" i="34"/>
  <c r="T1782" i="34"/>
  <c r="V1782" i="34"/>
  <c r="W1782" i="34"/>
  <c r="X1782" i="34"/>
  <c r="N1783" i="34"/>
  <c r="R1783" i="34"/>
  <c r="S1783" i="34"/>
  <c r="T1783" i="34"/>
  <c r="V1783" i="34"/>
  <c r="W1783" i="34"/>
  <c r="X1783" i="34"/>
  <c r="N1784" i="34"/>
  <c r="R1784" i="34"/>
  <c r="S1784" i="34"/>
  <c r="T1784" i="34"/>
  <c r="V1784" i="34"/>
  <c r="W1784" i="34"/>
  <c r="X1784" i="34"/>
  <c r="N1785" i="34"/>
  <c r="R1785" i="34"/>
  <c r="S1785" i="34"/>
  <c r="T1785" i="34"/>
  <c r="V1785" i="34"/>
  <c r="W1785" i="34"/>
  <c r="X1785" i="34"/>
  <c r="N1786" i="34"/>
  <c r="R1786" i="34"/>
  <c r="S1786" i="34"/>
  <c r="T1786" i="34"/>
  <c r="V1786" i="34"/>
  <c r="W1786" i="34"/>
  <c r="X1786" i="34"/>
  <c r="N1787" i="34"/>
  <c r="R1787" i="34"/>
  <c r="S1787" i="34"/>
  <c r="T1787" i="34"/>
  <c r="V1787" i="34"/>
  <c r="W1787" i="34"/>
  <c r="X1787" i="34"/>
  <c r="N1788" i="34"/>
  <c r="R1788" i="34"/>
  <c r="S1788" i="34"/>
  <c r="T1788" i="34"/>
  <c r="V1788" i="34"/>
  <c r="W1788" i="34"/>
  <c r="X1788" i="34"/>
  <c r="N1789" i="34"/>
  <c r="R1789" i="34"/>
  <c r="S1789" i="34"/>
  <c r="T1789" i="34"/>
  <c r="V1789" i="34"/>
  <c r="W1789" i="34"/>
  <c r="X1789" i="34"/>
  <c r="N1790" i="34"/>
  <c r="R1790" i="34"/>
  <c r="S1790" i="34"/>
  <c r="T1790" i="34"/>
  <c r="V1790" i="34"/>
  <c r="W1790" i="34"/>
  <c r="X1790" i="34"/>
  <c r="N1791" i="34"/>
  <c r="R1791" i="34"/>
  <c r="S1791" i="34"/>
  <c r="T1791" i="34"/>
  <c r="V1791" i="34"/>
  <c r="W1791" i="34"/>
  <c r="X1791" i="34"/>
  <c r="N1792" i="34"/>
  <c r="R1792" i="34"/>
  <c r="S1792" i="34"/>
  <c r="T1792" i="34"/>
  <c r="V1792" i="34"/>
  <c r="W1792" i="34"/>
  <c r="X1792" i="34"/>
  <c r="N1793" i="34"/>
  <c r="R1793" i="34"/>
  <c r="S1793" i="34"/>
  <c r="T1793" i="34"/>
  <c r="V1793" i="34"/>
  <c r="W1793" i="34"/>
  <c r="X1793" i="34"/>
  <c r="N1794" i="34"/>
  <c r="R1794" i="34"/>
  <c r="S1794" i="34"/>
  <c r="T1794" i="34"/>
  <c r="V1794" i="34"/>
  <c r="W1794" i="34"/>
  <c r="X1794" i="34"/>
  <c r="N1795" i="34"/>
  <c r="R1795" i="34"/>
  <c r="S1795" i="34"/>
  <c r="T1795" i="34"/>
  <c r="V1795" i="34"/>
  <c r="W1795" i="34"/>
  <c r="X1795" i="34"/>
  <c r="N1796" i="34"/>
  <c r="R1796" i="34"/>
  <c r="S1796" i="34"/>
  <c r="T1796" i="34"/>
  <c r="V1796" i="34"/>
  <c r="W1796" i="34"/>
  <c r="X1796" i="34"/>
  <c r="N1797" i="34"/>
  <c r="R1797" i="34"/>
  <c r="S1797" i="34"/>
  <c r="T1797" i="34"/>
  <c r="V1797" i="34"/>
  <c r="W1797" i="34"/>
  <c r="X1797" i="34"/>
  <c r="N1798" i="34"/>
  <c r="R1798" i="34"/>
  <c r="S1798" i="34"/>
  <c r="T1798" i="34"/>
  <c r="V1798" i="34"/>
  <c r="W1798" i="34"/>
  <c r="X1798" i="34"/>
  <c r="N1799" i="34"/>
  <c r="R1799" i="34"/>
  <c r="S1799" i="34"/>
  <c r="T1799" i="34"/>
  <c r="V1799" i="34"/>
  <c r="W1799" i="34"/>
  <c r="X1799" i="34"/>
  <c r="N1800" i="34"/>
  <c r="R1800" i="34"/>
  <c r="S1800" i="34"/>
  <c r="T1800" i="34"/>
  <c r="V1800" i="34"/>
  <c r="W1800" i="34"/>
  <c r="X1800" i="34"/>
  <c r="N1801" i="34"/>
  <c r="R1801" i="34"/>
  <c r="S1801" i="34"/>
  <c r="T1801" i="34"/>
  <c r="V1801" i="34"/>
  <c r="W1801" i="34"/>
  <c r="X1801" i="34"/>
  <c r="N1802" i="34"/>
  <c r="R1802" i="34"/>
  <c r="S1802" i="34"/>
  <c r="T1802" i="34"/>
  <c r="V1802" i="34"/>
  <c r="W1802" i="34"/>
  <c r="X1802" i="34"/>
  <c r="N1803" i="34"/>
  <c r="R1803" i="34"/>
  <c r="S1803" i="34"/>
  <c r="T1803" i="34"/>
  <c r="V1803" i="34"/>
  <c r="W1803" i="34"/>
  <c r="X1803" i="34"/>
  <c r="N1804" i="34"/>
  <c r="R1804" i="34"/>
  <c r="S1804" i="34"/>
  <c r="T1804" i="34"/>
  <c r="V1804" i="34"/>
  <c r="W1804" i="34"/>
  <c r="X1804" i="34"/>
  <c r="N1805" i="34"/>
  <c r="R1805" i="34"/>
  <c r="S1805" i="34"/>
  <c r="T1805" i="34"/>
  <c r="V1805" i="34"/>
  <c r="W1805" i="34"/>
  <c r="X1805" i="34"/>
  <c r="N1806" i="34"/>
  <c r="R1806" i="34"/>
  <c r="S1806" i="34"/>
  <c r="T1806" i="34"/>
  <c r="V1806" i="34"/>
  <c r="W1806" i="34"/>
  <c r="X1806" i="34"/>
  <c r="N1807" i="34"/>
  <c r="R1807" i="34"/>
  <c r="S1807" i="34"/>
  <c r="T1807" i="34"/>
  <c r="V1807" i="34"/>
  <c r="W1807" i="34"/>
  <c r="X1807" i="34"/>
  <c r="N1808" i="34"/>
  <c r="R1808" i="34"/>
  <c r="S1808" i="34"/>
  <c r="T1808" i="34"/>
  <c r="V1808" i="34"/>
  <c r="W1808" i="34"/>
  <c r="X1808" i="34"/>
  <c r="N1809" i="34"/>
  <c r="R1809" i="34"/>
  <c r="S1809" i="34"/>
  <c r="T1809" i="34"/>
  <c r="V1809" i="34"/>
  <c r="W1809" i="34"/>
  <c r="X1809" i="34"/>
  <c r="N1810" i="34"/>
  <c r="R1810" i="34"/>
  <c r="S1810" i="34"/>
  <c r="T1810" i="34"/>
  <c r="V1810" i="34"/>
  <c r="W1810" i="34"/>
  <c r="X1810" i="34"/>
  <c r="N1811" i="34"/>
  <c r="R1811" i="34"/>
  <c r="S1811" i="34"/>
  <c r="T1811" i="34"/>
  <c r="V1811" i="34"/>
  <c r="W1811" i="34"/>
  <c r="X1811" i="34"/>
  <c r="N1812" i="34"/>
  <c r="R1812" i="34"/>
  <c r="S1812" i="34"/>
  <c r="T1812" i="34"/>
  <c r="V1812" i="34"/>
  <c r="W1812" i="34"/>
  <c r="X1812" i="34"/>
  <c r="N1813" i="34"/>
  <c r="R1813" i="34"/>
  <c r="S1813" i="34"/>
  <c r="T1813" i="34"/>
  <c r="V1813" i="34"/>
  <c r="W1813" i="34"/>
  <c r="X1813" i="34"/>
  <c r="N1814" i="34"/>
  <c r="R1814" i="34"/>
  <c r="S1814" i="34"/>
  <c r="T1814" i="34"/>
  <c r="V1814" i="34"/>
  <c r="W1814" i="34"/>
  <c r="X1814" i="34"/>
  <c r="N1815" i="34"/>
  <c r="R1815" i="34"/>
  <c r="S1815" i="34"/>
  <c r="T1815" i="34"/>
  <c r="V1815" i="34"/>
  <c r="W1815" i="34"/>
  <c r="X1815" i="34"/>
  <c r="N1816" i="34"/>
  <c r="R1816" i="34"/>
  <c r="S1816" i="34"/>
  <c r="T1816" i="34"/>
  <c r="V1816" i="34"/>
  <c r="W1816" i="34"/>
  <c r="X1816" i="34"/>
  <c r="N1817" i="34"/>
  <c r="R1817" i="34"/>
  <c r="S1817" i="34"/>
  <c r="T1817" i="34"/>
  <c r="V1817" i="34"/>
  <c r="W1817" i="34"/>
  <c r="X1817" i="34"/>
  <c r="N1818" i="34"/>
  <c r="R1818" i="34"/>
  <c r="S1818" i="34"/>
  <c r="T1818" i="34"/>
  <c r="V1818" i="34"/>
  <c r="W1818" i="34"/>
  <c r="X1818" i="34"/>
  <c r="N1819" i="34"/>
  <c r="R1819" i="34"/>
  <c r="S1819" i="34"/>
  <c r="T1819" i="34"/>
  <c r="V1819" i="34"/>
  <c r="W1819" i="34"/>
  <c r="X1819" i="34"/>
  <c r="N1820" i="34"/>
  <c r="R1820" i="34"/>
  <c r="S1820" i="34"/>
  <c r="T1820" i="34"/>
  <c r="V1820" i="34"/>
  <c r="W1820" i="34"/>
  <c r="X1820" i="34"/>
  <c r="N1821" i="34"/>
  <c r="R1821" i="34"/>
  <c r="S1821" i="34"/>
  <c r="T1821" i="34"/>
  <c r="V1821" i="34"/>
  <c r="W1821" i="34"/>
  <c r="X1821" i="34"/>
  <c r="N1822" i="34"/>
  <c r="R1822" i="34"/>
  <c r="S1822" i="34"/>
  <c r="T1822" i="34"/>
  <c r="V1822" i="34"/>
  <c r="W1822" i="34"/>
  <c r="X1822" i="34"/>
  <c r="N1823" i="34"/>
  <c r="R1823" i="34"/>
  <c r="S1823" i="34"/>
  <c r="T1823" i="34"/>
  <c r="V1823" i="34"/>
  <c r="W1823" i="34"/>
  <c r="X1823" i="34"/>
  <c r="N1824" i="34"/>
  <c r="R1824" i="34"/>
  <c r="S1824" i="34"/>
  <c r="T1824" i="34"/>
  <c r="V1824" i="34"/>
  <c r="W1824" i="34"/>
  <c r="X1824" i="34"/>
  <c r="N1825" i="34"/>
  <c r="R1825" i="34"/>
  <c r="S1825" i="34"/>
  <c r="T1825" i="34"/>
  <c r="V1825" i="34"/>
  <c r="W1825" i="34"/>
  <c r="X1825" i="34"/>
  <c r="N1826" i="34"/>
  <c r="R1826" i="34"/>
  <c r="S1826" i="34"/>
  <c r="T1826" i="34"/>
  <c r="V1826" i="34"/>
  <c r="W1826" i="34"/>
  <c r="X1826" i="34"/>
  <c r="N1827" i="34"/>
  <c r="R1827" i="34"/>
  <c r="S1827" i="34"/>
  <c r="T1827" i="34"/>
  <c r="V1827" i="34"/>
  <c r="W1827" i="34"/>
  <c r="X1827" i="34"/>
  <c r="N1828" i="34"/>
  <c r="R1828" i="34"/>
  <c r="S1828" i="34"/>
  <c r="T1828" i="34"/>
  <c r="V1828" i="34"/>
  <c r="W1828" i="34"/>
  <c r="X1828" i="34"/>
  <c r="N1829" i="34"/>
  <c r="R1829" i="34"/>
  <c r="S1829" i="34"/>
  <c r="T1829" i="34"/>
  <c r="V1829" i="34"/>
  <c r="W1829" i="34"/>
  <c r="X1829" i="34"/>
  <c r="N1830" i="34"/>
  <c r="R1830" i="34"/>
  <c r="S1830" i="34"/>
  <c r="T1830" i="34"/>
  <c r="V1830" i="34"/>
  <c r="W1830" i="34"/>
  <c r="X1830" i="34"/>
  <c r="N1831" i="34"/>
  <c r="R1831" i="34"/>
  <c r="S1831" i="34"/>
  <c r="T1831" i="34"/>
  <c r="V1831" i="34"/>
  <c r="W1831" i="34"/>
  <c r="X1831" i="34"/>
  <c r="N1832" i="34"/>
  <c r="R1832" i="34"/>
  <c r="S1832" i="34"/>
  <c r="T1832" i="34"/>
  <c r="V1832" i="34"/>
  <c r="W1832" i="34"/>
  <c r="X1832" i="34"/>
  <c r="N1833" i="34"/>
  <c r="R1833" i="34"/>
  <c r="S1833" i="34"/>
  <c r="T1833" i="34"/>
  <c r="V1833" i="34"/>
  <c r="W1833" i="34"/>
  <c r="X1833" i="34"/>
  <c r="N1834" i="34"/>
  <c r="R1834" i="34"/>
  <c r="S1834" i="34"/>
  <c r="T1834" i="34"/>
  <c r="V1834" i="34"/>
  <c r="W1834" i="34"/>
  <c r="X1834" i="34"/>
  <c r="N1835" i="34"/>
  <c r="R1835" i="34"/>
  <c r="S1835" i="34"/>
  <c r="T1835" i="34"/>
  <c r="V1835" i="34"/>
  <c r="W1835" i="34"/>
  <c r="X1835" i="34"/>
  <c r="N1836" i="34"/>
  <c r="R1836" i="34"/>
  <c r="S1836" i="34"/>
  <c r="T1836" i="34"/>
  <c r="V1836" i="34"/>
  <c r="W1836" i="34"/>
  <c r="X1836" i="34"/>
  <c r="N1837" i="34"/>
  <c r="R1837" i="34"/>
  <c r="S1837" i="34"/>
  <c r="T1837" i="34"/>
  <c r="V1837" i="34"/>
  <c r="W1837" i="34"/>
  <c r="X1837" i="34"/>
  <c r="N1838" i="34"/>
  <c r="R1838" i="34"/>
  <c r="S1838" i="34"/>
  <c r="T1838" i="34"/>
  <c r="V1838" i="34"/>
  <c r="W1838" i="34"/>
  <c r="X1838" i="34"/>
  <c r="N1839" i="34"/>
  <c r="R1839" i="34"/>
  <c r="S1839" i="34"/>
  <c r="T1839" i="34"/>
  <c r="V1839" i="34"/>
  <c r="W1839" i="34"/>
  <c r="X1839" i="34"/>
  <c r="N1840" i="34"/>
  <c r="R1840" i="34"/>
  <c r="S1840" i="34"/>
  <c r="T1840" i="34"/>
  <c r="V1840" i="34"/>
  <c r="W1840" i="34"/>
  <c r="X1840" i="34"/>
  <c r="N1841" i="34"/>
  <c r="R1841" i="34"/>
  <c r="S1841" i="34"/>
  <c r="T1841" i="34"/>
  <c r="V1841" i="34"/>
  <c r="W1841" i="34"/>
  <c r="X1841" i="34"/>
  <c r="N1842" i="34"/>
  <c r="R1842" i="34"/>
  <c r="S1842" i="34"/>
  <c r="T1842" i="34"/>
  <c r="V1842" i="34"/>
  <c r="W1842" i="34"/>
  <c r="X1842" i="34"/>
  <c r="N1843" i="34"/>
  <c r="R1843" i="34"/>
  <c r="S1843" i="34"/>
  <c r="T1843" i="34"/>
  <c r="V1843" i="34"/>
  <c r="W1843" i="34"/>
  <c r="X1843" i="34"/>
  <c r="N1844" i="34"/>
  <c r="R1844" i="34"/>
  <c r="S1844" i="34"/>
  <c r="T1844" i="34"/>
  <c r="V1844" i="34"/>
  <c r="W1844" i="34"/>
  <c r="X1844" i="34"/>
  <c r="N1845" i="34"/>
  <c r="R1845" i="34"/>
  <c r="S1845" i="34"/>
  <c r="T1845" i="34"/>
  <c r="V1845" i="34"/>
  <c r="W1845" i="34"/>
  <c r="X1845" i="34"/>
  <c r="N1846" i="34"/>
  <c r="R1846" i="34"/>
  <c r="S1846" i="34"/>
  <c r="T1846" i="34"/>
  <c r="V1846" i="34"/>
  <c r="W1846" i="34"/>
  <c r="X1846" i="34"/>
  <c r="N1847" i="34"/>
  <c r="R1847" i="34"/>
  <c r="S1847" i="34"/>
  <c r="T1847" i="34"/>
  <c r="V1847" i="34"/>
  <c r="W1847" i="34"/>
  <c r="X1847" i="34"/>
  <c r="N1848" i="34"/>
  <c r="R1848" i="34"/>
  <c r="S1848" i="34"/>
  <c r="T1848" i="34"/>
  <c r="V1848" i="34"/>
  <c r="W1848" i="34"/>
  <c r="X1848" i="34"/>
  <c r="N1849" i="34"/>
  <c r="R1849" i="34"/>
  <c r="S1849" i="34"/>
  <c r="T1849" i="34"/>
  <c r="V1849" i="34"/>
  <c r="W1849" i="34"/>
  <c r="X1849" i="34"/>
  <c r="N1850" i="34"/>
  <c r="R1850" i="34"/>
  <c r="S1850" i="34"/>
  <c r="T1850" i="34"/>
  <c r="V1850" i="34"/>
  <c r="W1850" i="34"/>
  <c r="X1850" i="34"/>
  <c r="N1851" i="34"/>
  <c r="R1851" i="34"/>
  <c r="S1851" i="34"/>
  <c r="T1851" i="34"/>
  <c r="V1851" i="34"/>
  <c r="W1851" i="34"/>
  <c r="X1851" i="34"/>
  <c r="N1852" i="34"/>
  <c r="R1852" i="34"/>
  <c r="S1852" i="34"/>
  <c r="T1852" i="34"/>
  <c r="V1852" i="34"/>
  <c r="W1852" i="34"/>
  <c r="X1852" i="34"/>
  <c r="N1853" i="34"/>
  <c r="R1853" i="34"/>
  <c r="S1853" i="34"/>
  <c r="T1853" i="34"/>
  <c r="V1853" i="34"/>
  <c r="W1853" i="34"/>
  <c r="X1853" i="34"/>
  <c r="N1854" i="34"/>
  <c r="R1854" i="34"/>
  <c r="S1854" i="34"/>
  <c r="T1854" i="34"/>
  <c r="V1854" i="34"/>
  <c r="W1854" i="34"/>
  <c r="X1854" i="34"/>
  <c r="N1855" i="34"/>
  <c r="R1855" i="34"/>
  <c r="S1855" i="34"/>
  <c r="T1855" i="34"/>
  <c r="V1855" i="34"/>
  <c r="W1855" i="34"/>
  <c r="X1855" i="34"/>
  <c r="N1856" i="34"/>
  <c r="R1856" i="34"/>
  <c r="S1856" i="34"/>
  <c r="T1856" i="34"/>
  <c r="V1856" i="34"/>
  <c r="W1856" i="34"/>
  <c r="X1856" i="34"/>
  <c r="N1857" i="34"/>
  <c r="R1857" i="34"/>
  <c r="S1857" i="34"/>
  <c r="T1857" i="34"/>
  <c r="V1857" i="34"/>
  <c r="W1857" i="34"/>
  <c r="X1857" i="34"/>
  <c r="N1858" i="34"/>
  <c r="R1858" i="34"/>
  <c r="S1858" i="34"/>
  <c r="T1858" i="34"/>
  <c r="V1858" i="34"/>
  <c r="W1858" i="34"/>
  <c r="X1858" i="34"/>
  <c r="N1859" i="34"/>
  <c r="R1859" i="34"/>
  <c r="S1859" i="34"/>
  <c r="T1859" i="34"/>
  <c r="V1859" i="34"/>
  <c r="W1859" i="34"/>
  <c r="X1859" i="34"/>
  <c r="N1860" i="34"/>
  <c r="R1860" i="34"/>
  <c r="S1860" i="34"/>
  <c r="T1860" i="34"/>
  <c r="V1860" i="34"/>
  <c r="W1860" i="34"/>
  <c r="X1860" i="34"/>
  <c r="N1861" i="34"/>
  <c r="R1861" i="34"/>
  <c r="S1861" i="34"/>
  <c r="T1861" i="34"/>
  <c r="V1861" i="34"/>
  <c r="W1861" i="34"/>
  <c r="X1861" i="34"/>
  <c r="N1862" i="34"/>
  <c r="R1862" i="34"/>
  <c r="S1862" i="34"/>
  <c r="T1862" i="34"/>
  <c r="V1862" i="34"/>
  <c r="W1862" i="34"/>
  <c r="X1862" i="34"/>
  <c r="N1863" i="34"/>
  <c r="R1863" i="34"/>
  <c r="S1863" i="34"/>
  <c r="T1863" i="34"/>
  <c r="V1863" i="34"/>
  <c r="W1863" i="34"/>
  <c r="X1863" i="34"/>
  <c r="N1864" i="34"/>
  <c r="R1864" i="34"/>
  <c r="S1864" i="34"/>
  <c r="T1864" i="34"/>
  <c r="V1864" i="34"/>
  <c r="W1864" i="34"/>
  <c r="X1864" i="34"/>
  <c r="N1865" i="34"/>
  <c r="R1865" i="34"/>
  <c r="S1865" i="34"/>
  <c r="T1865" i="34"/>
  <c r="V1865" i="34"/>
  <c r="W1865" i="34"/>
  <c r="X1865" i="34"/>
  <c r="N1866" i="34"/>
  <c r="R1866" i="34"/>
  <c r="S1866" i="34"/>
  <c r="T1866" i="34"/>
  <c r="V1866" i="34"/>
  <c r="W1866" i="34"/>
  <c r="X1866" i="34"/>
  <c r="N1867" i="34"/>
  <c r="R1867" i="34"/>
  <c r="S1867" i="34"/>
  <c r="T1867" i="34"/>
  <c r="V1867" i="34"/>
  <c r="W1867" i="34"/>
  <c r="X1867" i="34"/>
  <c r="N1868" i="34"/>
  <c r="R1868" i="34"/>
  <c r="S1868" i="34"/>
  <c r="T1868" i="34"/>
  <c r="V1868" i="34"/>
  <c r="W1868" i="34"/>
  <c r="X1868" i="34"/>
  <c r="N1869" i="34"/>
  <c r="R1869" i="34"/>
  <c r="S1869" i="34"/>
  <c r="T1869" i="34"/>
  <c r="V1869" i="34"/>
  <c r="W1869" i="34"/>
  <c r="X1869" i="34"/>
  <c r="N1870" i="34"/>
  <c r="R1870" i="34"/>
  <c r="S1870" i="34"/>
  <c r="T1870" i="34"/>
  <c r="V1870" i="34"/>
  <c r="W1870" i="34"/>
  <c r="X1870" i="34"/>
  <c r="N1871" i="34"/>
  <c r="R1871" i="34"/>
  <c r="S1871" i="34"/>
  <c r="T1871" i="34"/>
  <c r="V1871" i="34"/>
  <c r="W1871" i="34"/>
  <c r="X1871" i="34"/>
  <c r="N1872" i="34"/>
  <c r="R1872" i="34"/>
  <c r="S1872" i="34"/>
  <c r="T1872" i="34"/>
  <c r="V1872" i="34"/>
  <c r="W1872" i="34"/>
  <c r="X1872" i="34"/>
  <c r="N1873" i="34"/>
  <c r="R1873" i="34"/>
  <c r="S1873" i="34"/>
  <c r="T1873" i="34"/>
  <c r="V1873" i="34"/>
  <c r="W1873" i="34"/>
  <c r="X1873" i="34"/>
  <c r="N1874" i="34"/>
  <c r="R1874" i="34"/>
  <c r="S1874" i="34"/>
  <c r="T1874" i="34"/>
  <c r="V1874" i="34"/>
  <c r="W1874" i="34"/>
  <c r="X1874" i="34"/>
  <c r="N1875" i="34"/>
  <c r="R1875" i="34"/>
  <c r="S1875" i="34"/>
  <c r="T1875" i="34"/>
  <c r="V1875" i="34"/>
  <c r="W1875" i="34"/>
  <c r="X1875" i="34"/>
  <c r="N1876" i="34"/>
  <c r="R1876" i="34"/>
  <c r="S1876" i="34"/>
  <c r="T1876" i="34"/>
  <c r="V1876" i="34"/>
  <c r="W1876" i="34"/>
  <c r="X1876" i="34"/>
  <c r="N1877" i="34"/>
  <c r="R1877" i="34"/>
  <c r="S1877" i="34"/>
  <c r="T1877" i="34"/>
  <c r="V1877" i="34"/>
  <c r="W1877" i="34"/>
  <c r="X1877" i="34"/>
  <c r="N1878" i="34"/>
  <c r="R1878" i="34"/>
  <c r="S1878" i="34"/>
  <c r="T1878" i="34"/>
  <c r="V1878" i="34"/>
  <c r="W1878" i="34"/>
  <c r="X1878" i="34"/>
  <c r="N1879" i="34"/>
  <c r="R1879" i="34"/>
  <c r="S1879" i="34"/>
  <c r="T1879" i="34"/>
  <c r="V1879" i="34"/>
  <c r="W1879" i="34"/>
  <c r="X1879" i="34"/>
  <c r="N1880" i="34"/>
  <c r="R1880" i="34"/>
  <c r="S1880" i="34"/>
  <c r="T1880" i="34"/>
  <c r="V1880" i="34"/>
  <c r="W1880" i="34"/>
  <c r="X1880" i="34"/>
  <c r="N1881" i="34"/>
  <c r="R1881" i="34"/>
  <c r="S1881" i="34"/>
  <c r="T1881" i="34"/>
  <c r="V1881" i="34"/>
  <c r="W1881" i="34"/>
  <c r="X1881" i="34"/>
  <c r="N1882" i="34"/>
  <c r="R1882" i="34"/>
  <c r="S1882" i="34"/>
  <c r="T1882" i="34"/>
  <c r="V1882" i="34"/>
  <c r="W1882" i="34"/>
  <c r="X1882" i="34"/>
  <c r="N1883" i="34"/>
  <c r="R1883" i="34"/>
  <c r="S1883" i="34"/>
  <c r="T1883" i="34"/>
  <c r="V1883" i="34"/>
  <c r="W1883" i="34"/>
  <c r="X1883" i="34"/>
  <c r="N1884" i="34"/>
  <c r="R1884" i="34"/>
  <c r="S1884" i="34"/>
  <c r="T1884" i="34"/>
  <c r="V1884" i="34"/>
  <c r="W1884" i="34"/>
  <c r="X1884" i="34"/>
  <c r="N1885" i="34"/>
  <c r="R1885" i="34"/>
  <c r="S1885" i="34"/>
  <c r="T1885" i="34"/>
  <c r="V1885" i="34"/>
  <c r="W1885" i="34"/>
  <c r="X1885" i="34"/>
  <c r="N1886" i="34"/>
  <c r="R1886" i="34"/>
  <c r="S1886" i="34"/>
  <c r="T1886" i="34"/>
  <c r="V1886" i="34"/>
  <c r="W1886" i="34"/>
  <c r="X1886" i="34"/>
  <c r="N1887" i="34"/>
  <c r="R1887" i="34"/>
  <c r="S1887" i="34"/>
  <c r="T1887" i="34"/>
  <c r="V1887" i="34"/>
  <c r="W1887" i="34"/>
  <c r="X1887" i="34"/>
  <c r="N1888" i="34"/>
  <c r="R1888" i="34"/>
  <c r="S1888" i="34"/>
  <c r="T1888" i="34"/>
  <c r="V1888" i="34"/>
  <c r="W1888" i="34"/>
  <c r="X1888" i="34"/>
  <c r="N1889" i="34"/>
  <c r="R1889" i="34"/>
  <c r="S1889" i="34"/>
  <c r="T1889" i="34"/>
  <c r="V1889" i="34"/>
  <c r="W1889" i="34"/>
  <c r="X1889" i="34"/>
  <c r="N1890" i="34"/>
  <c r="R1890" i="34"/>
  <c r="S1890" i="34"/>
  <c r="T1890" i="34"/>
  <c r="V1890" i="34"/>
  <c r="W1890" i="34"/>
  <c r="X1890" i="34"/>
  <c r="N1891" i="34"/>
  <c r="R1891" i="34"/>
  <c r="S1891" i="34"/>
  <c r="T1891" i="34"/>
  <c r="V1891" i="34"/>
  <c r="W1891" i="34"/>
  <c r="X1891" i="34"/>
  <c r="N1892" i="34"/>
  <c r="R1892" i="34"/>
  <c r="S1892" i="34"/>
  <c r="T1892" i="34"/>
  <c r="V1892" i="34"/>
  <c r="W1892" i="34"/>
  <c r="X1892" i="34"/>
  <c r="N1893" i="34"/>
  <c r="R1893" i="34"/>
  <c r="S1893" i="34"/>
  <c r="T1893" i="34"/>
  <c r="V1893" i="34"/>
  <c r="W1893" i="34"/>
  <c r="X1893" i="34"/>
  <c r="N1894" i="34"/>
  <c r="R1894" i="34"/>
  <c r="S1894" i="34"/>
  <c r="T1894" i="34"/>
  <c r="V1894" i="34"/>
  <c r="W1894" i="34"/>
  <c r="X1894" i="34"/>
  <c r="N1895" i="34"/>
  <c r="R1895" i="34"/>
  <c r="S1895" i="34"/>
  <c r="T1895" i="34"/>
  <c r="V1895" i="34"/>
  <c r="W1895" i="34"/>
  <c r="X1895" i="34"/>
  <c r="N1896" i="34"/>
  <c r="R1896" i="34"/>
  <c r="S1896" i="34"/>
  <c r="T1896" i="34"/>
  <c r="V1896" i="34"/>
  <c r="W1896" i="34"/>
  <c r="X1896" i="34"/>
  <c r="N1897" i="34"/>
  <c r="R1897" i="34"/>
  <c r="S1897" i="34"/>
  <c r="T1897" i="34"/>
  <c r="V1897" i="34"/>
  <c r="W1897" i="34"/>
  <c r="X1897" i="34"/>
  <c r="N1898" i="34"/>
  <c r="R1898" i="34"/>
  <c r="S1898" i="34"/>
  <c r="T1898" i="34"/>
  <c r="V1898" i="34"/>
  <c r="W1898" i="34"/>
  <c r="X1898" i="34"/>
  <c r="N1899" i="34"/>
  <c r="R1899" i="34"/>
  <c r="S1899" i="34"/>
  <c r="T1899" i="34"/>
  <c r="V1899" i="34"/>
  <c r="W1899" i="34"/>
  <c r="X1899" i="34"/>
  <c r="N1900" i="34"/>
  <c r="R1900" i="34"/>
  <c r="S1900" i="34"/>
  <c r="T1900" i="34"/>
  <c r="V1900" i="34"/>
  <c r="W1900" i="34"/>
  <c r="X1900" i="34"/>
  <c r="N1901" i="34"/>
  <c r="R1901" i="34"/>
  <c r="S1901" i="34"/>
  <c r="T1901" i="34"/>
  <c r="V1901" i="34"/>
  <c r="W1901" i="34"/>
  <c r="X1901" i="34"/>
  <c r="N1902" i="34"/>
  <c r="R1902" i="34"/>
  <c r="S1902" i="34"/>
  <c r="T1902" i="34"/>
  <c r="V1902" i="34"/>
  <c r="W1902" i="34"/>
  <c r="X1902" i="34"/>
  <c r="N1903" i="34"/>
  <c r="R1903" i="34"/>
  <c r="S1903" i="34"/>
  <c r="T1903" i="34"/>
  <c r="V1903" i="34"/>
  <c r="W1903" i="34"/>
  <c r="X1903" i="34"/>
  <c r="N1904" i="34"/>
  <c r="R1904" i="34"/>
  <c r="S1904" i="34"/>
  <c r="T1904" i="34"/>
  <c r="V1904" i="34"/>
  <c r="W1904" i="34"/>
  <c r="X1904" i="34"/>
  <c r="N1905" i="34"/>
  <c r="R1905" i="34"/>
  <c r="S1905" i="34"/>
  <c r="T1905" i="34"/>
  <c r="V1905" i="34"/>
  <c r="W1905" i="34"/>
  <c r="X1905" i="34"/>
  <c r="N1906" i="34"/>
  <c r="R1906" i="34"/>
  <c r="S1906" i="34"/>
  <c r="T1906" i="34"/>
  <c r="V1906" i="34"/>
  <c r="W1906" i="34"/>
  <c r="X1906" i="34"/>
  <c r="N1907" i="34"/>
  <c r="R1907" i="34"/>
  <c r="S1907" i="34"/>
  <c r="T1907" i="34"/>
  <c r="V1907" i="34"/>
  <c r="W1907" i="34"/>
  <c r="X1907" i="34"/>
  <c r="N1908" i="34"/>
  <c r="R1908" i="34"/>
  <c r="S1908" i="34"/>
  <c r="T1908" i="34"/>
  <c r="V1908" i="34"/>
  <c r="W1908" i="34"/>
  <c r="X1908" i="34"/>
  <c r="N1909" i="34"/>
  <c r="R1909" i="34"/>
  <c r="S1909" i="34"/>
  <c r="T1909" i="34"/>
  <c r="V1909" i="34"/>
  <c r="W1909" i="34"/>
  <c r="X1909" i="34"/>
  <c r="N1910" i="34"/>
  <c r="R1910" i="34"/>
  <c r="S1910" i="34"/>
  <c r="T1910" i="34"/>
  <c r="V1910" i="34"/>
  <c r="W1910" i="34"/>
  <c r="X1910" i="34"/>
  <c r="N1911" i="34"/>
  <c r="R1911" i="34"/>
  <c r="S1911" i="34"/>
  <c r="T1911" i="34"/>
  <c r="V1911" i="34"/>
  <c r="W1911" i="34"/>
  <c r="X1911" i="34"/>
  <c r="N1912" i="34"/>
  <c r="R1912" i="34"/>
  <c r="S1912" i="34"/>
  <c r="T1912" i="34"/>
  <c r="V1912" i="34"/>
  <c r="W1912" i="34"/>
  <c r="X1912" i="34"/>
  <c r="N1913" i="34"/>
  <c r="R1913" i="34"/>
  <c r="S1913" i="34"/>
  <c r="T1913" i="34"/>
  <c r="V1913" i="34"/>
  <c r="W1913" i="34"/>
  <c r="X1913" i="34"/>
  <c r="N1914" i="34"/>
  <c r="R1914" i="34"/>
  <c r="S1914" i="34"/>
  <c r="T1914" i="34"/>
  <c r="V1914" i="34"/>
  <c r="W1914" i="34"/>
  <c r="X1914" i="34"/>
  <c r="N1915" i="34"/>
  <c r="R1915" i="34"/>
  <c r="S1915" i="34"/>
  <c r="T1915" i="34"/>
  <c r="V1915" i="34"/>
  <c r="W1915" i="34"/>
  <c r="X1915" i="34"/>
  <c r="N1916" i="34"/>
  <c r="R1916" i="34"/>
  <c r="S1916" i="34"/>
  <c r="T1916" i="34"/>
  <c r="V1916" i="34"/>
  <c r="W1916" i="34"/>
  <c r="X1916" i="34"/>
  <c r="N1917" i="34"/>
  <c r="R1917" i="34"/>
  <c r="S1917" i="34"/>
  <c r="T1917" i="34"/>
  <c r="V1917" i="34"/>
  <c r="W1917" i="34"/>
  <c r="X1917" i="34"/>
  <c r="N1918" i="34"/>
  <c r="R1918" i="34"/>
  <c r="S1918" i="34"/>
  <c r="T1918" i="34"/>
  <c r="V1918" i="34"/>
  <c r="W1918" i="34"/>
  <c r="X1918" i="34"/>
  <c r="N1919" i="34"/>
  <c r="R1919" i="34"/>
  <c r="S1919" i="34"/>
  <c r="T1919" i="34"/>
  <c r="V1919" i="34"/>
  <c r="W1919" i="34"/>
  <c r="X1919" i="34"/>
  <c r="N1920" i="34"/>
  <c r="R1920" i="34"/>
  <c r="S1920" i="34"/>
  <c r="T1920" i="34"/>
  <c r="V1920" i="34"/>
  <c r="W1920" i="34"/>
  <c r="X1920" i="34"/>
  <c r="N1921" i="34"/>
  <c r="R1921" i="34"/>
  <c r="S1921" i="34"/>
  <c r="T1921" i="34"/>
  <c r="V1921" i="34"/>
  <c r="W1921" i="34"/>
  <c r="X1921" i="34"/>
  <c r="N1922" i="34"/>
  <c r="R1922" i="34"/>
  <c r="S1922" i="34"/>
  <c r="T1922" i="34"/>
  <c r="V1922" i="34"/>
  <c r="W1922" i="34"/>
  <c r="X1922" i="34"/>
  <c r="N1923" i="34"/>
  <c r="R1923" i="34"/>
  <c r="S1923" i="34"/>
  <c r="T1923" i="34"/>
  <c r="V1923" i="34"/>
  <c r="W1923" i="34"/>
  <c r="X1923" i="34"/>
  <c r="N1924" i="34"/>
  <c r="R1924" i="34"/>
  <c r="S1924" i="34"/>
  <c r="T1924" i="34"/>
  <c r="V1924" i="34"/>
  <c r="W1924" i="34"/>
  <c r="X1924" i="34"/>
  <c r="N1925" i="34"/>
  <c r="R1925" i="34"/>
  <c r="S1925" i="34"/>
  <c r="T1925" i="34"/>
  <c r="V1925" i="34"/>
  <c r="W1925" i="34"/>
  <c r="X1925" i="34"/>
  <c r="N1926" i="34"/>
  <c r="R1926" i="34"/>
  <c r="S1926" i="34"/>
  <c r="T1926" i="34"/>
  <c r="V1926" i="34"/>
  <c r="W1926" i="34"/>
  <c r="X1926" i="34"/>
  <c r="N1927" i="34"/>
  <c r="R1927" i="34"/>
  <c r="S1927" i="34"/>
  <c r="T1927" i="34"/>
  <c r="V1927" i="34"/>
  <c r="W1927" i="34"/>
  <c r="X1927" i="34"/>
  <c r="N1928" i="34"/>
  <c r="R1928" i="34"/>
  <c r="S1928" i="34"/>
  <c r="T1928" i="34"/>
  <c r="V1928" i="34"/>
  <c r="W1928" i="34"/>
  <c r="X1928" i="34"/>
  <c r="N1929" i="34"/>
  <c r="R1929" i="34"/>
  <c r="S1929" i="34"/>
  <c r="T1929" i="34"/>
  <c r="V1929" i="34"/>
  <c r="W1929" i="34"/>
  <c r="X1929" i="34"/>
  <c r="N1930" i="34"/>
  <c r="R1930" i="34"/>
  <c r="S1930" i="34"/>
  <c r="T1930" i="34"/>
  <c r="V1930" i="34"/>
  <c r="W1930" i="34"/>
  <c r="X1930" i="34"/>
  <c r="N1931" i="34"/>
  <c r="R1931" i="34"/>
  <c r="S1931" i="34"/>
  <c r="T1931" i="34"/>
  <c r="V1931" i="34"/>
  <c r="W1931" i="34"/>
  <c r="X1931" i="34"/>
  <c r="N1932" i="34"/>
  <c r="R1932" i="34"/>
  <c r="S1932" i="34"/>
  <c r="T1932" i="34"/>
  <c r="V1932" i="34"/>
  <c r="W1932" i="34"/>
  <c r="X1932" i="34"/>
  <c r="N1933" i="34"/>
  <c r="R1933" i="34"/>
  <c r="S1933" i="34"/>
  <c r="T1933" i="34"/>
  <c r="V1933" i="34"/>
  <c r="W1933" i="34"/>
  <c r="X1933" i="34"/>
  <c r="N1934" i="34"/>
  <c r="R1934" i="34"/>
  <c r="S1934" i="34"/>
  <c r="T1934" i="34"/>
  <c r="V1934" i="34"/>
  <c r="W1934" i="34"/>
  <c r="X1934" i="34"/>
  <c r="N1935" i="34"/>
  <c r="R1935" i="34"/>
  <c r="S1935" i="34"/>
  <c r="T1935" i="34"/>
  <c r="V1935" i="34"/>
  <c r="W1935" i="34"/>
  <c r="X1935" i="34"/>
  <c r="N1936" i="34"/>
  <c r="R1936" i="34"/>
  <c r="S1936" i="34"/>
  <c r="T1936" i="34"/>
  <c r="V1936" i="34"/>
  <c r="W1936" i="34"/>
  <c r="X1936" i="34"/>
  <c r="N1937" i="34"/>
  <c r="R1937" i="34"/>
  <c r="S1937" i="34"/>
  <c r="T1937" i="34"/>
  <c r="V1937" i="34"/>
  <c r="W1937" i="34"/>
  <c r="X1937" i="34"/>
  <c r="N1938" i="34"/>
  <c r="R1938" i="34"/>
  <c r="S1938" i="34"/>
  <c r="T1938" i="34"/>
  <c r="V1938" i="34"/>
  <c r="W1938" i="34"/>
  <c r="X1938" i="34"/>
  <c r="N1939" i="34"/>
  <c r="R1939" i="34"/>
  <c r="S1939" i="34"/>
  <c r="T1939" i="34"/>
  <c r="V1939" i="34"/>
  <c r="W1939" i="34"/>
  <c r="X1939" i="34"/>
  <c r="N1940" i="34"/>
  <c r="R1940" i="34"/>
  <c r="S1940" i="34"/>
  <c r="T1940" i="34"/>
  <c r="V1940" i="34"/>
  <c r="W1940" i="34"/>
  <c r="X1940" i="34"/>
  <c r="N1941" i="34"/>
  <c r="R1941" i="34"/>
  <c r="S1941" i="34"/>
  <c r="T1941" i="34"/>
  <c r="V1941" i="34"/>
  <c r="W1941" i="34"/>
  <c r="X1941" i="34"/>
  <c r="N1942" i="34"/>
  <c r="R1942" i="34"/>
  <c r="S1942" i="34"/>
  <c r="T1942" i="34"/>
  <c r="V1942" i="34"/>
  <c r="W1942" i="34"/>
  <c r="X1942" i="34"/>
  <c r="N1943" i="34"/>
  <c r="R1943" i="34"/>
  <c r="S1943" i="34"/>
  <c r="T1943" i="34"/>
  <c r="V1943" i="34"/>
  <c r="W1943" i="34"/>
  <c r="X1943" i="34"/>
  <c r="N1944" i="34"/>
  <c r="R1944" i="34"/>
  <c r="S1944" i="34"/>
  <c r="T1944" i="34"/>
  <c r="V1944" i="34"/>
  <c r="W1944" i="34"/>
  <c r="X1944" i="34"/>
  <c r="N1945" i="34"/>
  <c r="R1945" i="34"/>
  <c r="S1945" i="34"/>
  <c r="T1945" i="34"/>
  <c r="V1945" i="34"/>
  <c r="W1945" i="34"/>
  <c r="X1945" i="34"/>
  <c r="N1946" i="34"/>
  <c r="R1946" i="34"/>
  <c r="S1946" i="34"/>
  <c r="T1946" i="34"/>
  <c r="V1946" i="34"/>
  <c r="W1946" i="34"/>
  <c r="X1946" i="34"/>
  <c r="N1947" i="34"/>
  <c r="R1947" i="34"/>
  <c r="S1947" i="34"/>
  <c r="T1947" i="34"/>
  <c r="V1947" i="34"/>
  <c r="W1947" i="34"/>
  <c r="X1947" i="34"/>
  <c r="N1948" i="34"/>
  <c r="R1948" i="34"/>
  <c r="S1948" i="34"/>
  <c r="T1948" i="34"/>
  <c r="V1948" i="34"/>
  <c r="W1948" i="34"/>
  <c r="X1948" i="34"/>
  <c r="N1949" i="34"/>
  <c r="R1949" i="34"/>
  <c r="S1949" i="34"/>
  <c r="T1949" i="34"/>
  <c r="V1949" i="34"/>
  <c r="W1949" i="34"/>
  <c r="X1949" i="34"/>
  <c r="N1950" i="34"/>
  <c r="R1950" i="34"/>
  <c r="S1950" i="34"/>
  <c r="T1950" i="34"/>
  <c r="V1950" i="34"/>
  <c r="W1950" i="34"/>
  <c r="X1950" i="34"/>
  <c r="N1951" i="34"/>
  <c r="R1951" i="34"/>
  <c r="S1951" i="34"/>
  <c r="T1951" i="34"/>
  <c r="V1951" i="34"/>
  <c r="W1951" i="34"/>
  <c r="X1951" i="34"/>
  <c r="N1952" i="34"/>
  <c r="R1952" i="34"/>
  <c r="S1952" i="34"/>
  <c r="T1952" i="34"/>
  <c r="V1952" i="34"/>
  <c r="W1952" i="34"/>
  <c r="X1952" i="34"/>
  <c r="N1953" i="34"/>
  <c r="R1953" i="34"/>
  <c r="S1953" i="34"/>
  <c r="T1953" i="34"/>
  <c r="V1953" i="34"/>
  <c r="W1953" i="34"/>
  <c r="X1953" i="34"/>
  <c r="N1954" i="34"/>
  <c r="R1954" i="34"/>
  <c r="S1954" i="34"/>
  <c r="T1954" i="34"/>
  <c r="V1954" i="34"/>
  <c r="W1954" i="34"/>
  <c r="X1954" i="34"/>
  <c r="N1955" i="34"/>
  <c r="R1955" i="34"/>
  <c r="S1955" i="34"/>
  <c r="T1955" i="34"/>
  <c r="V1955" i="34"/>
  <c r="W1955" i="34"/>
  <c r="X1955" i="34"/>
  <c r="N1956" i="34"/>
  <c r="R1956" i="34"/>
  <c r="S1956" i="34"/>
  <c r="T1956" i="34"/>
  <c r="V1956" i="34"/>
  <c r="W1956" i="34"/>
  <c r="X1956" i="34"/>
  <c r="N1957" i="34"/>
  <c r="R1957" i="34"/>
  <c r="S1957" i="34"/>
  <c r="T1957" i="34"/>
  <c r="V1957" i="34"/>
  <c r="W1957" i="34"/>
  <c r="X1957" i="34"/>
  <c r="N1958" i="34"/>
  <c r="R1958" i="34"/>
  <c r="S1958" i="34"/>
  <c r="T1958" i="34"/>
  <c r="V1958" i="34"/>
  <c r="W1958" i="34"/>
  <c r="X1958" i="34"/>
  <c r="N1959" i="34"/>
  <c r="R1959" i="34"/>
  <c r="S1959" i="34"/>
  <c r="T1959" i="34"/>
  <c r="V1959" i="34"/>
  <c r="W1959" i="34"/>
  <c r="X1959" i="34"/>
  <c r="N1960" i="34"/>
  <c r="R1960" i="34"/>
  <c r="S1960" i="34"/>
  <c r="T1960" i="34"/>
  <c r="V1960" i="34"/>
  <c r="W1960" i="34"/>
  <c r="X1960" i="34"/>
  <c r="N1961" i="34"/>
  <c r="R1961" i="34"/>
  <c r="S1961" i="34"/>
  <c r="T1961" i="34"/>
  <c r="V1961" i="34"/>
  <c r="W1961" i="34"/>
  <c r="X1961" i="34"/>
  <c r="N1962" i="34"/>
  <c r="R1962" i="34"/>
  <c r="S1962" i="34"/>
  <c r="T1962" i="34"/>
  <c r="V1962" i="34"/>
  <c r="W1962" i="34"/>
  <c r="X1962" i="34"/>
  <c r="N1963" i="34"/>
  <c r="R1963" i="34"/>
  <c r="S1963" i="34"/>
  <c r="T1963" i="34"/>
  <c r="V1963" i="34"/>
  <c r="W1963" i="34"/>
  <c r="X1963" i="34"/>
  <c r="N1964" i="34"/>
  <c r="R1964" i="34"/>
  <c r="S1964" i="34"/>
  <c r="T1964" i="34"/>
  <c r="V1964" i="34"/>
  <c r="W1964" i="34"/>
  <c r="X1964" i="34"/>
  <c r="N1965" i="34"/>
  <c r="R1965" i="34"/>
  <c r="S1965" i="34"/>
  <c r="T1965" i="34"/>
  <c r="V1965" i="34"/>
  <c r="W1965" i="34"/>
  <c r="X1965" i="34"/>
  <c r="N1966" i="34"/>
  <c r="R1966" i="34"/>
  <c r="S1966" i="34"/>
  <c r="T1966" i="34"/>
  <c r="V1966" i="34"/>
  <c r="W1966" i="34"/>
  <c r="X1966" i="34"/>
  <c r="N1967" i="34"/>
  <c r="R1967" i="34"/>
  <c r="S1967" i="34"/>
  <c r="T1967" i="34"/>
  <c r="V1967" i="34"/>
  <c r="W1967" i="34"/>
  <c r="X1967" i="34"/>
  <c r="N1968" i="34"/>
  <c r="R1968" i="34"/>
  <c r="S1968" i="34"/>
  <c r="T1968" i="34"/>
  <c r="V1968" i="34"/>
  <c r="W1968" i="34"/>
  <c r="X1968" i="34"/>
  <c r="N1969" i="34"/>
  <c r="R1969" i="34"/>
  <c r="S1969" i="34"/>
  <c r="T1969" i="34"/>
  <c r="V1969" i="34"/>
  <c r="W1969" i="34"/>
  <c r="X1969" i="34"/>
  <c r="N1970" i="34"/>
  <c r="R1970" i="34"/>
  <c r="S1970" i="34"/>
  <c r="T1970" i="34"/>
  <c r="V1970" i="34"/>
  <c r="W1970" i="34"/>
  <c r="X1970" i="34"/>
  <c r="N1971" i="34"/>
  <c r="R1971" i="34"/>
  <c r="S1971" i="34"/>
  <c r="T1971" i="34"/>
  <c r="V1971" i="34"/>
  <c r="W1971" i="34"/>
  <c r="X1971" i="34"/>
  <c r="N1972" i="34"/>
  <c r="R1972" i="34"/>
  <c r="S1972" i="34"/>
  <c r="T1972" i="34"/>
  <c r="V1972" i="34"/>
  <c r="W1972" i="34"/>
  <c r="X1972" i="34"/>
  <c r="N1973" i="34"/>
  <c r="R1973" i="34"/>
  <c r="S1973" i="34"/>
  <c r="T1973" i="34"/>
  <c r="V1973" i="34"/>
  <c r="W1973" i="34"/>
  <c r="X1973" i="34"/>
  <c r="N1974" i="34"/>
  <c r="R1974" i="34"/>
  <c r="S1974" i="34"/>
  <c r="T1974" i="34"/>
  <c r="V1974" i="34"/>
  <c r="W1974" i="34"/>
  <c r="X1974" i="34"/>
  <c r="N1975" i="34"/>
  <c r="R1975" i="34"/>
  <c r="S1975" i="34"/>
  <c r="T1975" i="34"/>
  <c r="V1975" i="34"/>
  <c r="W1975" i="34"/>
  <c r="X1975" i="34"/>
  <c r="N1976" i="34"/>
  <c r="R1976" i="34"/>
  <c r="S1976" i="34"/>
  <c r="T1976" i="34"/>
  <c r="V1976" i="34"/>
  <c r="W1976" i="34"/>
  <c r="X1976" i="34"/>
  <c r="N1977" i="34"/>
  <c r="R1977" i="34"/>
  <c r="S1977" i="34"/>
  <c r="T1977" i="34"/>
  <c r="V1977" i="34"/>
  <c r="W1977" i="34"/>
  <c r="X1977" i="34"/>
  <c r="N1978" i="34"/>
  <c r="R1978" i="34"/>
  <c r="S1978" i="34"/>
  <c r="T1978" i="34"/>
  <c r="V1978" i="34"/>
  <c r="W1978" i="34"/>
  <c r="X1978" i="34"/>
  <c r="N1979" i="34"/>
  <c r="R1979" i="34"/>
  <c r="S1979" i="34"/>
  <c r="T1979" i="34"/>
  <c r="V1979" i="34"/>
  <c r="W1979" i="34"/>
  <c r="X1979" i="34"/>
  <c r="N1980" i="34"/>
  <c r="R1980" i="34"/>
  <c r="S1980" i="34"/>
  <c r="T1980" i="34"/>
  <c r="V1980" i="34"/>
  <c r="W1980" i="34"/>
  <c r="X1980" i="34"/>
  <c r="N1981" i="34"/>
  <c r="R1981" i="34"/>
  <c r="S1981" i="34"/>
  <c r="T1981" i="34"/>
  <c r="V1981" i="34"/>
  <c r="W1981" i="34"/>
  <c r="X1981" i="34"/>
  <c r="N1982" i="34"/>
  <c r="R1982" i="34"/>
  <c r="S1982" i="34"/>
  <c r="T1982" i="34"/>
  <c r="V1982" i="34"/>
  <c r="W1982" i="34"/>
  <c r="X1982" i="34"/>
  <c r="N1983" i="34"/>
  <c r="R1983" i="34"/>
  <c r="S1983" i="34"/>
  <c r="T1983" i="34"/>
  <c r="V1983" i="34"/>
  <c r="W1983" i="34"/>
  <c r="X1983" i="34"/>
  <c r="N1984" i="34"/>
  <c r="R1984" i="34"/>
  <c r="S1984" i="34"/>
  <c r="T1984" i="34"/>
  <c r="V1984" i="34"/>
  <c r="W1984" i="34"/>
  <c r="X1984" i="34"/>
  <c r="N1985" i="34"/>
  <c r="R1985" i="34"/>
  <c r="S1985" i="34"/>
  <c r="T1985" i="34"/>
  <c r="V1985" i="34"/>
  <c r="W1985" i="34"/>
  <c r="X1985" i="34"/>
  <c r="N1986" i="34"/>
  <c r="R1986" i="34"/>
  <c r="S1986" i="34"/>
  <c r="T1986" i="34"/>
  <c r="V1986" i="34"/>
  <c r="W1986" i="34"/>
  <c r="X1986" i="34"/>
  <c r="N1987" i="34"/>
  <c r="R1987" i="34"/>
  <c r="S1987" i="34"/>
  <c r="T1987" i="34"/>
  <c r="V1987" i="34"/>
  <c r="W1987" i="34"/>
  <c r="X1987" i="34"/>
  <c r="N1988" i="34"/>
  <c r="R1988" i="34"/>
  <c r="S1988" i="34"/>
  <c r="T1988" i="34"/>
  <c r="V1988" i="34"/>
  <c r="W1988" i="34"/>
  <c r="X1988" i="34"/>
  <c r="N1989" i="34"/>
  <c r="R1989" i="34"/>
  <c r="S1989" i="34"/>
  <c r="T1989" i="34"/>
  <c r="V1989" i="34"/>
  <c r="W1989" i="34"/>
  <c r="X1989" i="34"/>
  <c r="N1990" i="34"/>
  <c r="R1990" i="34"/>
  <c r="S1990" i="34"/>
  <c r="T1990" i="34"/>
  <c r="V1990" i="34"/>
  <c r="W1990" i="34"/>
  <c r="X1990" i="34"/>
  <c r="N1991" i="34"/>
  <c r="R1991" i="34"/>
  <c r="S1991" i="34"/>
  <c r="T1991" i="34"/>
  <c r="V1991" i="34"/>
  <c r="W1991" i="34"/>
  <c r="X1991" i="34"/>
  <c r="N1992" i="34"/>
  <c r="R1992" i="34"/>
  <c r="S1992" i="34"/>
  <c r="T1992" i="34"/>
  <c r="V1992" i="34"/>
  <c r="W1992" i="34"/>
  <c r="X1992" i="34"/>
  <c r="N1993" i="34"/>
  <c r="R1993" i="34"/>
  <c r="S1993" i="34"/>
  <c r="T1993" i="34"/>
  <c r="V1993" i="34"/>
  <c r="W1993" i="34"/>
  <c r="X1993" i="34"/>
  <c r="N1994" i="34"/>
  <c r="R1994" i="34"/>
  <c r="S1994" i="34"/>
  <c r="T1994" i="34"/>
  <c r="V1994" i="34"/>
  <c r="W1994" i="34"/>
  <c r="X1994" i="34"/>
  <c r="N1995" i="34"/>
  <c r="R1995" i="34"/>
  <c r="S1995" i="34"/>
  <c r="T1995" i="34"/>
  <c r="V1995" i="34"/>
  <c r="W1995" i="34"/>
  <c r="X1995" i="34"/>
  <c r="N1996" i="34"/>
  <c r="R1996" i="34"/>
  <c r="S1996" i="34"/>
  <c r="T1996" i="34"/>
  <c r="V1996" i="34"/>
  <c r="W1996" i="34"/>
  <c r="X1996" i="34"/>
  <c r="N1997" i="34"/>
  <c r="R1997" i="34"/>
  <c r="S1997" i="34"/>
  <c r="T1997" i="34"/>
  <c r="V1997" i="34"/>
  <c r="W1997" i="34"/>
  <c r="X1997" i="34"/>
  <c r="N1998" i="34"/>
  <c r="R1998" i="34"/>
  <c r="S1998" i="34"/>
  <c r="T1998" i="34"/>
  <c r="V1998" i="34"/>
  <c r="W1998" i="34"/>
  <c r="X1998" i="34"/>
  <c r="N1999" i="34"/>
  <c r="R1999" i="34"/>
  <c r="S1999" i="34"/>
  <c r="T1999" i="34"/>
  <c r="V1999" i="34"/>
  <c r="W1999" i="34"/>
  <c r="X1999" i="34"/>
  <c r="N2000" i="34"/>
  <c r="R2000" i="34"/>
  <c r="S2000" i="34"/>
  <c r="T2000" i="34"/>
  <c r="V2000" i="34"/>
  <c r="W2000" i="34"/>
  <c r="X2000" i="34"/>
  <c r="N2001" i="34"/>
  <c r="R2001" i="34"/>
  <c r="S2001" i="34"/>
  <c r="T2001" i="34"/>
  <c r="V2001" i="34"/>
  <c r="W2001" i="34"/>
  <c r="X2001" i="34"/>
  <c r="N2002" i="34"/>
  <c r="R2002" i="34"/>
  <c r="S2002" i="34"/>
  <c r="T2002" i="34"/>
  <c r="V2002" i="34"/>
  <c r="W2002" i="34"/>
  <c r="X2002" i="34"/>
  <c r="N2003" i="34"/>
  <c r="R2003" i="34"/>
  <c r="S2003" i="34"/>
  <c r="T2003" i="34"/>
  <c r="V2003" i="34"/>
  <c r="W2003" i="34"/>
  <c r="X2003" i="34"/>
  <c r="N2004" i="34"/>
  <c r="R2004" i="34"/>
  <c r="S2004" i="34"/>
  <c r="T2004" i="34"/>
  <c r="V2004" i="34"/>
  <c r="W2004" i="34"/>
  <c r="X2004" i="34"/>
  <c r="N2005" i="34"/>
  <c r="R2005" i="34"/>
  <c r="S2005" i="34"/>
  <c r="T2005" i="34"/>
  <c r="V2005" i="34"/>
  <c r="W2005" i="34"/>
  <c r="X2005" i="34"/>
  <c r="N2006" i="34"/>
  <c r="R2006" i="34"/>
  <c r="S2006" i="34"/>
  <c r="T2006" i="34"/>
  <c r="V2006" i="34"/>
  <c r="W2006" i="34"/>
  <c r="X2006" i="34"/>
  <c r="N2007" i="34"/>
  <c r="R2007" i="34"/>
  <c r="S2007" i="34"/>
  <c r="T2007" i="34"/>
  <c r="V2007" i="34"/>
  <c r="W2007" i="34"/>
  <c r="X2007" i="34"/>
  <c r="N2008" i="34"/>
  <c r="R2008" i="34"/>
  <c r="S2008" i="34"/>
  <c r="T2008" i="34"/>
  <c r="V2008" i="34"/>
  <c r="W2008" i="34"/>
  <c r="X2008" i="34"/>
  <c r="N2009" i="34"/>
  <c r="R2009" i="34"/>
  <c r="S2009" i="34"/>
  <c r="T2009" i="34"/>
  <c r="V2009" i="34"/>
  <c r="W2009" i="34"/>
  <c r="X2009" i="34"/>
  <c r="N2010" i="34"/>
  <c r="R2010" i="34"/>
  <c r="S2010" i="34"/>
  <c r="T2010" i="34"/>
  <c r="V2010" i="34"/>
  <c r="W2010" i="34"/>
  <c r="X2010" i="34"/>
  <c r="N2011" i="34"/>
  <c r="R2011" i="34"/>
  <c r="S2011" i="34"/>
  <c r="T2011" i="34"/>
  <c r="V2011" i="34"/>
  <c r="W2011" i="34"/>
  <c r="X2011" i="34"/>
  <c r="N2012" i="34"/>
  <c r="R2012" i="34"/>
  <c r="S2012" i="34"/>
  <c r="T2012" i="34"/>
  <c r="V2012" i="34"/>
  <c r="W2012" i="34"/>
  <c r="X2012" i="34"/>
  <c r="N2013" i="34"/>
  <c r="R2013" i="34"/>
  <c r="S2013" i="34"/>
  <c r="T2013" i="34"/>
  <c r="V2013" i="34"/>
  <c r="W2013" i="34"/>
  <c r="X2013" i="34"/>
  <c r="N2014" i="34"/>
  <c r="R2014" i="34"/>
  <c r="S2014" i="34"/>
  <c r="T2014" i="34"/>
  <c r="V2014" i="34"/>
  <c r="W2014" i="34"/>
  <c r="X2014" i="34"/>
  <c r="N2015" i="34"/>
  <c r="R2015" i="34"/>
  <c r="S2015" i="34"/>
  <c r="T2015" i="34"/>
  <c r="V2015" i="34"/>
  <c r="W2015" i="34"/>
  <c r="X2015" i="34"/>
  <c r="N2016" i="34"/>
  <c r="R2016" i="34"/>
  <c r="S2016" i="34"/>
  <c r="T2016" i="34"/>
  <c r="V2016" i="34"/>
  <c r="W2016" i="34"/>
  <c r="X2016" i="34"/>
  <c r="N2017" i="34"/>
  <c r="R2017" i="34"/>
  <c r="S2017" i="34"/>
  <c r="T2017" i="34"/>
  <c r="V2017" i="34"/>
  <c r="W2017" i="34"/>
  <c r="X2017" i="34"/>
  <c r="N2018" i="34"/>
  <c r="R2018" i="34"/>
  <c r="S2018" i="34"/>
  <c r="T2018" i="34"/>
  <c r="V2018" i="34"/>
  <c r="W2018" i="34"/>
  <c r="X2018" i="34"/>
  <c r="N2019" i="34"/>
  <c r="R2019" i="34"/>
  <c r="S2019" i="34"/>
  <c r="T2019" i="34"/>
  <c r="V2019" i="34"/>
  <c r="W2019" i="34"/>
  <c r="X2019" i="34"/>
  <c r="N2020" i="34"/>
  <c r="R2020" i="34"/>
  <c r="S2020" i="34"/>
  <c r="T2020" i="34"/>
  <c r="V2020" i="34"/>
  <c r="W2020" i="34"/>
  <c r="X2020" i="34"/>
  <c r="N2021" i="34"/>
  <c r="R2021" i="34"/>
  <c r="S2021" i="34"/>
  <c r="T2021" i="34"/>
  <c r="V2021" i="34"/>
  <c r="W2021" i="34"/>
  <c r="X2021" i="34"/>
  <c r="N2022" i="34"/>
  <c r="R2022" i="34"/>
  <c r="S2022" i="34"/>
  <c r="T2022" i="34"/>
  <c r="V2022" i="34"/>
  <c r="W2022" i="34"/>
  <c r="X2022" i="34"/>
  <c r="N2023" i="34"/>
  <c r="R2023" i="34"/>
  <c r="S2023" i="34"/>
  <c r="T2023" i="34"/>
  <c r="V2023" i="34"/>
  <c r="W2023" i="34"/>
  <c r="X2023" i="34"/>
  <c r="N2024" i="34"/>
  <c r="R2024" i="34"/>
  <c r="S2024" i="34"/>
  <c r="T2024" i="34"/>
  <c r="V2024" i="34"/>
  <c r="W2024" i="34"/>
  <c r="X2024" i="34"/>
  <c r="N2025" i="34"/>
  <c r="R2025" i="34"/>
  <c r="S2025" i="34"/>
  <c r="T2025" i="34"/>
  <c r="V2025" i="34"/>
  <c r="W2025" i="34"/>
  <c r="X2025" i="34"/>
  <c r="N2026" i="34"/>
  <c r="R2026" i="34"/>
  <c r="S2026" i="34"/>
  <c r="T2026" i="34"/>
  <c r="V2026" i="34"/>
  <c r="W2026" i="34"/>
  <c r="X2026" i="34"/>
  <c r="N2027" i="34"/>
  <c r="R2027" i="34"/>
  <c r="S2027" i="34"/>
  <c r="T2027" i="34"/>
  <c r="V2027" i="34"/>
  <c r="W2027" i="34"/>
  <c r="X2027" i="34"/>
  <c r="N2028" i="34"/>
  <c r="R2028" i="34"/>
  <c r="S2028" i="34"/>
  <c r="T2028" i="34"/>
  <c r="V2028" i="34"/>
  <c r="W2028" i="34"/>
  <c r="X2028" i="34"/>
  <c r="N2029" i="34"/>
  <c r="R2029" i="34"/>
  <c r="S2029" i="34"/>
  <c r="T2029" i="34"/>
  <c r="V2029" i="34"/>
  <c r="W2029" i="34"/>
  <c r="X2029" i="34"/>
  <c r="N2030" i="34"/>
  <c r="R2030" i="34"/>
  <c r="S2030" i="34"/>
  <c r="T2030" i="34"/>
  <c r="V2030" i="34"/>
  <c r="W2030" i="34"/>
  <c r="X2030" i="34"/>
  <c r="N2031" i="34"/>
  <c r="R2031" i="34"/>
  <c r="S2031" i="34"/>
  <c r="T2031" i="34"/>
  <c r="V2031" i="34"/>
  <c r="W2031" i="34"/>
  <c r="X2031" i="34"/>
  <c r="N2032" i="34"/>
  <c r="R2032" i="34"/>
  <c r="S2032" i="34"/>
  <c r="T2032" i="34"/>
  <c r="V2032" i="34"/>
  <c r="W2032" i="34"/>
  <c r="X2032" i="34"/>
  <c r="N2033" i="34"/>
  <c r="R2033" i="34"/>
  <c r="S2033" i="34"/>
  <c r="T2033" i="34"/>
  <c r="V2033" i="34"/>
  <c r="W2033" i="34"/>
  <c r="X2033" i="34"/>
  <c r="N2034" i="34"/>
  <c r="R2034" i="34"/>
  <c r="S2034" i="34"/>
  <c r="T2034" i="34"/>
  <c r="V2034" i="34"/>
  <c r="W2034" i="34"/>
  <c r="X2034" i="34"/>
  <c r="N2035" i="34"/>
  <c r="R2035" i="34"/>
  <c r="S2035" i="34"/>
  <c r="T2035" i="34"/>
  <c r="V2035" i="34"/>
  <c r="W2035" i="34"/>
  <c r="X2035" i="34"/>
  <c r="N2036" i="34"/>
  <c r="R2036" i="34"/>
  <c r="S2036" i="34"/>
  <c r="T2036" i="34"/>
  <c r="V2036" i="34"/>
  <c r="W2036" i="34"/>
  <c r="X2036" i="34"/>
  <c r="N2037" i="34"/>
  <c r="R2037" i="34"/>
  <c r="S2037" i="34"/>
  <c r="T2037" i="34"/>
  <c r="V2037" i="34"/>
  <c r="W2037" i="34"/>
  <c r="X2037" i="34"/>
  <c r="N2038" i="34"/>
  <c r="R2038" i="34"/>
  <c r="S2038" i="34"/>
  <c r="T2038" i="34"/>
  <c r="V2038" i="34"/>
  <c r="W2038" i="34"/>
  <c r="X2038" i="34"/>
  <c r="N2039" i="34"/>
  <c r="R2039" i="34"/>
  <c r="S2039" i="34"/>
  <c r="T2039" i="34"/>
  <c r="V2039" i="34"/>
  <c r="W2039" i="34"/>
  <c r="X2039" i="34"/>
  <c r="N2040" i="34"/>
  <c r="R2040" i="34"/>
  <c r="S2040" i="34"/>
  <c r="T2040" i="34"/>
  <c r="V2040" i="34"/>
  <c r="W2040" i="34"/>
  <c r="X2040" i="34"/>
  <c r="N2041" i="34"/>
  <c r="R2041" i="34"/>
  <c r="S2041" i="34"/>
  <c r="T2041" i="34"/>
  <c r="V2041" i="34"/>
  <c r="W2041" i="34"/>
  <c r="X2041" i="34"/>
  <c r="N2042" i="34"/>
  <c r="R2042" i="34"/>
  <c r="S2042" i="34"/>
  <c r="T2042" i="34"/>
  <c r="V2042" i="34"/>
  <c r="W2042" i="34"/>
  <c r="X2042" i="34"/>
  <c r="N2043" i="34"/>
  <c r="R2043" i="34"/>
  <c r="S2043" i="34"/>
  <c r="T2043" i="34"/>
  <c r="V2043" i="34"/>
  <c r="W2043" i="34"/>
  <c r="X2043" i="34"/>
  <c r="N2044" i="34"/>
  <c r="R2044" i="34"/>
  <c r="S2044" i="34"/>
  <c r="T2044" i="34"/>
  <c r="V2044" i="34"/>
  <c r="W2044" i="34"/>
  <c r="X2044" i="34"/>
  <c r="N2045" i="34"/>
  <c r="R2045" i="34"/>
  <c r="S2045" i="34"/>
  <c r="T2045" i="34"/>
  <c r="V2045" i="34"/>
  <c r="W2045" i="34"/>
  <c r="X2045" i="34"/>
  <c r="N2046" i="34"/>
  <c r="R2046" i="34"/>
  <c r="S2046" i="34"/>
  <c r="T2046" i="34"/>
  <c r="V2046" i="34"/>
  <c r="W2046" i="34"/>
  <c r="X2046" i="34"/>
  <c r="N2047" i="34"/>
  <c r="R2047" i="34"/>
  <c r="S2047" i="34"/>
  <c r="T2047" i="34"/>
  <c r="V2047" i="34"/>
  <c r="W2047" i="34"/>
  <c r="X2047" i="34"/>
  <c r="N2048" i="34"/>
  <c r="R2048" i="34"/>
  <c r="S2048" i="34"/>
  <c r="T2048" i="34"/>
  <c r="V2048" i="34"/>
  <c r="W2048" i="34"/>
  <c r="X2048" i="34"/>
  <c r="N2049" i="34"/>
  <c r="R2049" i="34"/>
  <c r="S2049" i="34"/>
  <c r="T2049" i="34"/>
  <c r="V2049" i="34"/>
  <c r="W2049" i="34"/>
  <c r="X2049" i="34"/>
  <c r="N2050" i="34"/>
  <c r="R2050" i="34"/>
  <c r="S2050" i="34"/>
  <c r="T2050" i="34"/>
  <c r="V2050" i="34"/>
  <c r="W2050" i="34"/>
  <c r="X2050" i="34"/>
  <c r="N2051" i="34"/>
  <c r="R2051" i="34"/>
  <c r="S2051" i="34"/>
  <c r="T2051" i="34"/>
  <c r="V2051" i="34"/>
  <c r="W2051" i="34"/>
  <c r="X2051" i="34"/>
  <c r="N2052" i="34"/>
  <c r="R2052" i="34"/>
  <c r="S2052" i="34"/>
  <c r="T2052" i="34"/>
  <c r="V2052" i="34"/>
  <c r="W2052" i="34"/>
  <c r="X2052" i="34"/>
  <c r="N2053" i="34"/>
  <c r="R2053" i="34"/>
  <c r="S2053" i="34"/>
  <c r="T2053" i="34"/>
  <c r="V2053" i="34"/>
  <c r="W2053" i="34"/>
  <c r="X2053" i="34"/>
  <c r="N2054" i="34"/>
  <c r="R2054" i="34"/>
  <c r="S2054" i="34"/>
  <c r="T2054" i="34"/>
  <c r="V2054" i="34"/>
  <c r="W2054" i="34"/>
  <c r="X2054" i="34"/>
  <c r="N2055" i="34"/>
  <c r="R2055" i="34"/>
  <c r="S2055" i="34"/>
  <c r="T2055" i="34"/>
  <c r="V2055" i="34"/>
  <c r="W2055" i="34"/>
  <c r="X2055" i="34"/>
  <c r="N2056" i="34"/>
  <c r="R2056" i="34"/>
  <c r="S2056" i="34"/>
  <c r="T2056" i="34"/>
  <c r="V2056" i="34"/>
  <c r="W2056" i="34"/>
  <c r="X2056" i="34"/>
  <c r="N2057" i="34"/>
  <c r="R2057" i="34"/>
  <c r="S2057" i="34"/>
  <c r="T2057" i="34"/>
  <c r="V2057" i="34"/>
  <c r="W2057" i="34"/>
  <c r="X2057" i="34"/>
  <c r="N2058" i="34"/>
  <c r="R2058" i="34"/>
  <c r="S2058" i="34"/>
  <c r="T2058" i="34"/>
  <c r="V2058" i="34"/>
  <c r="W2058" i="34"/>
  <c r="X2058" i="34"/>
  <c r="N2059" i="34"/>
  <c r="R2059" i="34"/>
  <c r="S2059" i="34"/>
  <c r="T2059" i="34"/>
  <c r="V2059" i="34"/>
  <c r="W2059" i="34"/>
  <c r="X2059" i="34"/>
  <c r="N2060" i="34"/>
  <c r="R2060" i="34"/>
  <c r="S2060" i="34"/>
  <c r="T2060" i="34"/>
  <c r="V2060" i="34"/>
  <c r="W2060" i="34"/>
  <c r="X2060" i="34"/>
  <c r="N2061" i="34"/>
  <c r="R2061" i="34"/>
  <c r="S2061" i="34"/>
  <c r="T2061" i="34"/>
  <c r="V2061" i="34"/>
  <c r="W2061" i="34"/>
  <c r="X2061" i="34"/>
  <c r="N2062" i="34"/>
  <c r="R2062" i="34"/>
  <c r="S2062" i="34"/>
  <c r="T2062" i="34"/>
  <c r="V2062" i="34"/>
  <c r="W2062" i="34"/>
  <c r="X2062" i="34"/>
  <c r="N2063" i="34"/>
  <c r="R2063" i="34"/>
  <c r="S2063" i="34"/>
  <c r="T2063" i="34"/>
  <c r="V2063" i="34"/>
  <c r="W2063" i="34"/>
  <c r="X2063" i="34"/>
  <c r="N2064" i="34"/>
  <c r="R2064" i="34"/>
  <c r="S2064" i="34"/>
  <c r="T2064" i="34"/>
  <c r="V2064" i="34"/>
  <c r="W2064" i="34"/>
  <c r="X2064" i="34"/>
  <c r="N2065" i="34"/>
  <c r="R2065" i="34"/>
  <c r="S2065" i="34"/>
  <c r="T2065" i="34"/>
  <c r="V2065" i="34"/>
  <c r="W2065" i="34"/>
  <c r="X2065" i="34"/>
  <c r="N2066" i="34"/>
  <c r="R2066" i="34"/>
  <c r="S2066" i="34"/>
  <c r="T2066" i="34"/>
  <c r="V2066" i="34"/>
  <c r="W2066" i="34"/>
  <c r="X2066" i="34"/>
  <c r="N2067" i="34"/>
  <c r="R2067" i="34"/>
  <c r="S2067" i="34"/>
  <c r="T2067" i="34"/>
  <c r="V2067" i="34"/>
  <c r="W2067" i="34"/>
  <c r="X2067" i="34"/>
  <c r="N2068" i="34"/>
  <c r="R2068" i="34"/>
  <c r="S2068" i="34"/>
  <c r="T2068" i="34"/>
  <c r="V2068" i="34"/>
  <c r="W2068" i="34"/>
  <c r="X2068" i="34"/>
  <c r="N2069" i="34"/>
  <c r="R2069" i="34"/>
  <c r="S2069" i="34"/>
  <c r="T2069" i="34"/>
  <c r="V2069" i="34"/>
  <c r="W2069" i="34"/>
  <c r="X2069" i="34"/>
  <c r="N2070" i="34"/>
  <c r="R2070" i="34"/>
  <c r="S2070" i="34"/>
  <c r="T2070" i="34"/>
  <c r="V2070" i="34"/>
  <c r="W2070" i="34"/>
  <c r="X2070" i="34"/>
  <c r="N2071" i="34"/>
  <c r="R2071" i="34"/>
  <c r="S2071" i="34"/>
  <c r="T2071" i="34"/>
  <c r="V2071" i="34"/>
  <c r="W2071" i="34"/>
  <c r="X2071" i="34"/>
  <c r="N2072" i="34"/>
  <c r="R2072" i="34"/>
  <c r="S2072" i="34"/>
  <c r="T2072" i="34"/>
  <c r="V2072" i="34"/>
  <c r="W2072" i="34"/>
  <c r="X2072" i="34"/>
  <c r="N2073" i="34"/>
  <c r="R2073" i="34"/>
  <c r="S2073" i="34"/>
  <c r="T2073" i="34"/>
  <c r="V2073" i="34"/>
  <c r="W2073" i="34"/>
  <c r="X2073" i="34"/>
  <c r="N2074" i="34"/>
  <c r="R2074" i="34"/>
  <c r="S2074" i="34"/>
  <c r="T2074" i="34"/>
  <c r="V2074" i="34"/>
  <c r="W2074" i="34"/>
  <c r="X2074" i="34"/>
  <c r="N2075" i="34"/>
  <c r="R2075" i="34"/>
  <c r="S2075" i="34"/>
  <c r="T2075" i="34"/>
  <c r="V2075" i="34"/>
  <c r="W2075" i="34"/>
  <c r="X2075" i="34"/>
  <c r="N2076" i="34"/>
  <c r="R2076" i="34"/>
  <c r="S2076" i="34"/>
  <c r="T2076" i="34"/>
  <c r="V2076" i="34"/>
  <c r="W2076" i="34"/>
  <c r="X2076" i="34"/>
  <c r="N2077" i="34"/>
  <c r="R2077" i="34"/>
  <c r="S2077" i="34"/>
  <c r="T2077" i="34"/>
  <c r="V2077" i="34"/>
  <c r="W2077" i="34"/>
  <c r="X2077" i="34"/>
  <c r="N2078" i="34"/>
  <c r="R2078" i="34"/>
  <c r="S2078" i="34"/>
  <c r="T2078" i="34"/>
  <c r="V2078" i="34"/>
  <c r="W2078" i="34"/>
  <c r="X2078" i="34"/>
  <c r="N2079" i="34"/>
  <c r="R2079" i="34"/>
  <c r="S2079" i="34"/>
  <c r="T2079" i="34"/>
  <c r="V2079" i="34"/>
  <c r="W2079" i="34"/>
  <c r="X2079" i="34"/>
  <c r="N2080" i="34"/>
  <c r="R2080" i="34"/>
  <c r="S2080" i="34"/>
  <c r="T2080" i="34"/>
  <c r="V2080" i="34"/>
  <c r="W2080" i="34"/>
  <c r="X2080" i="34"/>
  <c r="N2081" i="34"/>
  <c r="R2081" i="34"/>
  <c r="S2081" i="34"/>
  <c r="T2081" i="34"/>
  <c r="V2081" i="34"/>
  <c r="W2081" i="34"/>
  <c r="X2081" i="34"/>
  <c r="N2082" i="34"/>
  <c r="R2082" i="34"/>
  <c r="S2082" i="34"/>
  <c r="T2082" i="34"/>
  <c r="V2082" i="34"/>
  <c r="W2082" i="34"/>
  <c r="X2082" i="34"/>
  <c r="N2083" i="34"/>
  <c r="R2083" i="34"/>
  <c r="S2083" i="34"/>
  <c r="T2083" i="34"/>
  <c r="V2083" i="34"/>
  <c r="W2083" i="34"/>
  <c r="X2083" i="34"/>
  <c r="N2084" i="34"/>
  <c r="R2084" i="34"/>
  <c r="S2084" i="34"/>
  <c r="T2084" i="34"/>
  <c r="V2084" i="34"/>
  <c r="W2084" i="34"/>
  <c r="X2084" i="34"/>
  <c r="N2085" i="34"/>
  <c r="R2085" i="34"/>
  <c r="S2085" i="34"/>
  <c r="T2085" i="34"/>
  <c r="V2085" i="34"/>
  <c r="W2085" i="34"/>
  <c r="X2085" i="34"/>
  <c r="N2086" i="34"/>
  <c r="R2086" i="34"/>
  <c r="S2086" i="34"/>
  <c r="T2086" i="34"/>
  <c r="V2086" i="34"/>
  <c r="W2086" i="34"/>
  <c r="X2086" i="34"/>
  <c r="N2087" i="34"/>
  <c r="R2087" i="34"/>
  <c r="S2087" i="34"/>
  <c r="T2087" i="34"/>
  <c r="V2087" i="34"/>
  <c r="W2087" i="34"/>
  <c r="X2087" i="34"/>
  <c r="N2088" i="34"/>
  <c r="R2088" i="34"/>
  <c r="S2088" i="34"/>
  <c r="T2088" i="34"/>
  <c r="V2088" i="34"/>
  <c r="W2088" i="34"/>
  <c r="X2088" i="34"/>
  <c r="N2089" i="34"/>
  <c r="R2089" i="34"/>
  <c r="S2089" i="34"/>
  <c r="T2089" i="34"/>
  <c r="V2089" i="34"/>
  <c r="W2089" i="34"/>
  <c r="X2089" i="34"/>
  <c r="N2090" i="34"/>
  <c r="R2090" i="34"/>
  <c r="S2090" i="34"/>
  <c r="T2090" i="34"/>
  <c r="V2090" i="34"/>
  <c r="W2090" i="34"/>
  <c r="X2090" i="34"/>
  <c r="N2091" i="34"/>
  <c r="R2091" i="34"/>
  <c r="S2091" i="34"/>
  <c r="T2091" i="34"/>
  <c r="V2091" i="34"/>
  <c r="W2091" i="34"/>
  <c r="X2091" i="34"/>
  <c r="N2092" i="34"/>
  <c r="R2092" i="34"/>
  <c r="S2092" i="34"/>
  <c r="T2092" i="34"/>
  <c r="V2092" i="34"/>
  <c r="W2092" i="34"/>
  <c r="X2092" i="34"/>
  <c r="N2093" i="34"/>
  <c r="R2093" i="34"/>
  <c r="S2093" i="34"/>
  <c r="T2093" i="34"/>
  <c r="V2093" i="34"/>
  <c r="W2093" i="34"/>
  <c r="X2093" i="34"/>
  <c r="N2094" i="34"/>
  <c r="R2094" i="34"/>
  <c r="S2094" i="34"/>
  <c r="T2094" i="34"/>
  <c r="V2094" i="34"/>
  <c r="W2094" i="34"/>
  <c r="X2094" i="34"/>
  <c r="N2095" i="34"/>
  <c r="R2095" i="34"/>
  <c r="S2095" i="34"/>
  <c r="T2095" i="34"/>
  <c r="V2095" i="34"/>
  <c r="W2095" i="34"/>
  <c r="X2095" i="34"/>
  <c r="N2096" i="34"/>
  <c r="R2096" i="34"/>
  <c r="S2096" i="34"/>
  <c r="T2096" i="34"/>
  <c r="V2096" i="34"/>
  <c r="W2096" i="34"/>
  <c r="X2096" i="34"/>
  <c r="N2097" i="34"/>
  <c r="R2097" i="34"/>
  <c r="S2097" i="34"/>
  <c r="T2097" i="34"/>
  <c r="V2097" i="34"/>
  <c r="W2097" i="34"/>
  <c r="X2097" i="34"/>
  <c r="N2098" i="34"/>
  <c r="R2098" i="34"/>
  <c r="S2098" i="34"/>
  <c r="T2098" i="34"/>
  <c r="V2098" i="34"/>
  <c r="W2098" i="34"/>
  <c r="X2098" i="34"/>
  <c r="N2099" i="34"/>
  <c r="R2099" i="34"/>
  <c r="S2099" i="34"/>
  <c r="T2099" i="34"/>
  <c r="V2099" i="34"/>
  <c r="W2099" i="34"/>
  <c r="X2099" i="34"/>
  <c r="N2100" i="34"/>
  <c r="R2100" i="34"/>
  <c r="S2100" i="34"/>
  <c r="T2100" i="34"/>
  <c r="V2100" i="34"/>
  <c r="W2100" i="34"/>
  <c r="X2100" i="34"/>
  <c r="N2101" i="34"/>
  <c r="R2101" i="34"/>
  <c r="S2101" i="34"/>
  <c r="T2101" i="34"/>
  <c r="V2101" i="34"/>
  <c r="W2101" i="34"/>
  <c r="X2101" i="34"/>
  <c r="N2102" i="34"/>
  <c r="R2102" i="34"/>
  <c r="S2102" i="34"/>
  <c r="T2102" i="34"/>
  <c r="V2102" i="34"/>
  <c r="W2102" i="34"/>
  <c r="X2102" i="34"/>
  <c r="N2103" i="34"/>
  <c r="R2103" i="34"/>
  <c r="S2103" i="34"/>
  <c r="T2103" i="34"/>
  <c r="V2103" i="34"/>
  <c r="W2103" i="34"/>
  <c r="X2103" i="34"/>
  <c r="N2104" i="34"/>
  <c r="R2104" i="34"/>
  <c r="S2104" i="34"/>
  <c r="T2104" i="34"/>
  <c r="V2104" i="34"/>
  <c r="W2104" i="34"/>
  <c r="X2104" i="34"/>
  <c r="N2105" i="34"/>
  <c r="R2105" i="34"/>
  <c r="S2105" i="34"/>
  <c r="T2105" i="34"/>
  <c r="V2105" i="34"/>
  <c r="W2105" i="34"/>
  <c r="X2105" i="34"/>
  <c r="N2106" i="34"/>
  <c r="R2106" i="34"/>
  <c r="S2106" i="34"/>
  <c r="T2106" i="34"/>
  <c r="V2106" i="34"/>
  <c r="W2106" i="34"/>
  <c r="X2106" i="34"/>
  <c r="N2107" i="34"/>
  <c r="R2107" i="34"/>
  <c r="S2107" i="34"/>
  <c r="T2107" i="34"/>
  <c r="V2107" i="34"/>
  <c r="W2107" i="34"/>
  <c r="X2107" i="34"/>
  <c r="N2108" i="34"/>
  <c r="R2108" i="34"/>
  <c r="S2108" i="34"/>
  <c r="T2108" i="34"/>
  <c r="V2108" i="34"/>
  <c r="W2108" i="34"/>
  <c r="X2108" i="34"/>
  <c r="N2109" i="34"/>
  <c r="R2109" i="34"/>
  <c r="S2109" i="34"/>
  <c r="T2109" i="34"/>
  <c r="V2109" i="34"/>
  <c r="W2109" i="34"/>
  <c r="X2109" i="34"/>
  <c r="N2110" i="34"/>
  <c r="R2110" i="34"/>
  <c r="S2110" i="34"/>
  <c r="T2110" i="34"/>
  <c r="V2110" i="34"/>
  <c r="W2110" i="34"/>
  <c r="X2110" i="34"/>
  <c r="N2111" i="34"/>
  <c r="R2111" i="34"/>
  <c r="S2111" i="34"/>
  <c r="T2111" i="34"/>
  <c r="V2111" i="34"/>
  <c r="W2111" i="34"/>
  <c r="X2111" i="34"/>
  <c r="N2112" i="34"/>
  <c r="R2112" i="34"/>
  <c r="S2112" i="34"/>
  <c r="T2112" i="34"/>
  <c r="V2112" i="34"/>
  <c r="W2112" i="34"/>
  <c r="X2112" i="34"/>
  <c r="N2113" i="34"/>
  <c r="R2113" i="34"/>
  <c r="S2113" i="34"/>
  <c r="T2113" i="34"/>
  <c r="V2113" i="34"/>
  <c r="W2113" i="34"/>
  <c r="X2113" i="34"/>
  <c r="N2114" i="34"/>
  <c r="R2114" i="34"/>
  <c r="S2114" i="34"/>
  <c r="T2114" i="34"/>
  <c r="V2114" i="34"/>
  <c r="W2114" i="34"/>
  <c r="X2114" i="34"/>
  <c r="N2115" i="34"/>
  <c r="R2115" i="34"/>
  <c r="S2115" i="34"/>
  <c r="T2115" i="34"/>
  <c r="V2115" i="34"/>
  <c r="W2115" i="34"/>
  <c r="X2115" i="34"/>
  <c r="N2116" i="34"/>
  <c r="R2116" i="34"/>
  <c r="S2116" i="34"/>
  <c r="T2116" i="34"/>
  <c r="V2116" i="34"/>
  <c r="W2116" i="34"/>
  <c r="X2116" i="34"/>
  <c r="N2117" i="34"/>
  <c r="R2117" i="34"/>
  <c r="S2117" i="34"/>
  <c r="T2117" i="34"/>
  <c r="V2117" i="34"/>
  <c r="W2117" i="34"/>
  <c r="X2117" i="34"/>
  <c r="N2118" i="34"/>
  <c r="R2118" i="34"/>
  <c r="S2118" i="34"/>
  <c r="T2118" i="34"/>
  <c r="V2118" i="34"/>
  <c r="W2118" i="34"/>
  <c r="X2118" i="34"/>
  <c r="N2119" i="34"/>
  <c r="R2119" i="34"/>
  <c r="S2119" i="34"/>
  <c r="T2119" i="34"/>
  <c r="V2119" i="34"/>
  <c r="W2119" i="34"/>
  <c r="X2119" i="34"/>
  <c r="N2120" i="34"/>
  <c r="R2120" i="34"/>
  <c r="S2120" i="34"/>
  <c r="T2120" i="34"/>
  <c r="V2120" i="34"/>
  <c r="W2120" i="34"/>
  <c r="X2120" i="34"/>
  <c r="N2121" i="34"/>
  <c r="R2121" i="34"/>
  <c r="S2121" i="34"/>
  <c r="T2121" i="34"/>
  <c r="V2121" i="34"/>
  <c r="W2121" i="34"/>
  <c r="X2121" i="34"/>
  <c r="N2122" i="34"/>
  <c r="R2122" i="34"/>
  <c r="S2122" i="34"/>
  <c r="T2122" i="34"/>
  <c r="V2122" i="34"/>
  <c r="W2122" i="34"/>
  <c r="X2122" i="34"/>
  <c r="N2123" i="34"/>
  <c r="R2123" i="34"/>
  <c r="S2123" i="34"/>
  <c r="T2123" i="34"/>
  <c r="V2123" i="34"/>
  <c r="W2123" i="34"/>
  <c r="X2123" i="34"/>
  <c r="N2124" i="34"/>
  <c r="R2124" i="34"/>
  <c r="S2124" i="34"/>
  <c r="T2124" i="34"/>
  <c r="V2124" i="34"/>
  <c r="W2124" i="34"/>
  <c r="X2124" i="34"/>
  <c r="N2125" i="34"/>
  <c r="R2125" i="34"/>
  <c r="S2125" i="34"/>
  <c r="T2125" i="34"/>
  <c r="V2125" i="34"/>
  <c r="W2125" i="34"/>
  <c r="X2125" i="34"/>
  <c r="N2126" i="34"/>
  <c r="R2126" i="34"/>
  <c r="S2126" i="34"/>
  <c r="T2126" i="34"/>
  <c r="V2126" i="34"/>
  <c r="W2126" i="34"/>
  <c r="X2126" i="34"/>
  <c r="N2127" i="34"/>
  <c r="R2127" i="34"/>
  <c r="S2127" i="34"/>
  <c r="T2127" i="34"/>
  <c r="V2127" i="34"/>
  <c r="W2127" i="34"/>
  <c r="X2127" i="34"/>
  <c r="N2128" i="34"/>
  <c r="R2128" i="34"/>
  <c r="S2128" i="34"/>
  <c r="T2128" i="34"/>
  <c r="V2128" i="34"/>
  <c r="W2128" i="34"/>
  <c r="X2128" i="34"/>
  <c r="N2129" i="34"/>
  <c r="R2129" i="34"/>
  <c r="S2129" i="34"/>
  <c r="T2129" i="34"/>
  <c r="V2129" i="34"/>
  <c r="W2129" i="34"/>
  <c r="X2129" i="34"/>
  <c r="N2130" i="34"/>
  <c r="R2130" i="34"/>
  <c r="S2130" i="34"/>
  <c r="T2130" i="34"/>
  <c r="V2130" i="34"/>
  <c r="W2130" i="34"/>
  <c r="X2130" i="34"/>
  <c r="N2131" i="34"/>
  <c r="R2131" i="34"/>
  <c r="S2131" i="34"/>
  <c r="T2131" i="34"/>
  <c r="V2131" i="34"/>
  <c r="W2131" i="34"/>
  <c r="X2131" i="34"/>
  <c r="N2132" i="34"/>
  <c r="R2132" i="34"/>
  <c r="S2132" i="34"/>
  <c r="T2132" i="34"/>
  <c r="V2132" i="34"/>
  <c r="W2132" i="34"/>
  <c r="X2132" i="34"/>
  <c r="N2133" i="34"/>
  <c r="R2133" i="34"/>
  <c r="S2133" i="34"/>
  <c r="T2133" i="34"/>
  <c r="V2133" i="34"/>
  <c r="W2133" i="34"/>
  <c r="X2133" i="34"/>
  <c r="N2134" i="34"/>
  <c r="R2134" i="34"/>
  <c r="S2134" i="34"/>
  <c r="T2134" i="34"/>
  <c r="V2134" i="34"/>
  <c r="W2134" i="34"/>
  <c r="X2134" i="34"/>
  <c r="N2135" i="34"/>
  <c r="R2135" i="34"/>
  <c r="S2135" i="34"/>
  <c r="T2135" i="34"/>
  <c r="V2135" i="34"/>
  <c r="W2135" i="34"/>
  <c r="X2135" i="34"/>
  <c r="N2136" i="34"/>
  <c r="R2136" i="34"/>
  <c r="S2136" i="34"/>
  <c r="T2136" i="34"/>
  <c r="V2136" i="34"/>
  <c r="W2136" i="34"/>
  <c r="X2136" i="34"/>
  <c r="N2137" i="34"/>
  <c r="R2137" i="34"/>
  <c r="S2137" i="34"/>
  <c r="T2137" i="34"/>
  <c r="V2137" i="34"/>
  <c r="W2137" i="34"/>
  <c r="X2137" i="34"/>
  <c r="N2138" i="34"/>
  <c r="R2138" i="34"/>
  <c r="S2138" i="34"/>
  <c r="T2138" i="34"/>
  <c r="V2138" i="34"/>
  <c r="W2138" i="34"/>
  <c r="X2138" i="34"/>
  <c r="N2139" i="34"/>
  <c r="R2139" i="34"/>
  <c r="S2139" i="34"/>
  <c r="T2139" i="34"/>
  <c r="V2139" i="34"/>
  <c r="W2139" i="34"/>
  <c r="X2139" i="34"/>
  <c r="N2140" i="34"/>
  <c r="R2140" i="34"/>
  <c r="S2140" i="34"/>
  <c r="T2140" i="34"/>
  <c r="V2140" i="34"/>
  <c r="W2140" i="34"/>
  <c r="X2140" i="34"/>
  <c r="N2141" i="34"/>
  <c r="R2141" i="34"/>
  <c r="S2141" i="34"/>
  <c r="T2141" i="34"/>
  <c r="V2141" i="34"/>
  <c r="W2141" i="34"/>
  <c r="X2141" i="34"/>
  <c r="N2142" i="34"/>
  <c r="R2142" i="34"/>
  <c r="S2142" i="34"/>
  <c r="T2142" i="34"/>
  <c r="V2142" i="34"/>
  <c r="W2142" i="34"/>
  <c r="X2142" i="34"/>
  <c r="N2143" i="34"/>
  <c r="R2143" i="34"/>
  <c r="S2143" i="34"/>
  <c r="T2143" i="34"/>
  <c r="V2143" i="34"/>
  <c r="W2143" i="34"/>
  <c r="X2143" i="34"/>
  <c r="N2144" i="34"/>
  <c r="R2144" i="34"/>
  <c r="S2144" i="34"/>
  <c r="T2144" i="34"/>
  <c r="V2144" i="34"/>
  <c r="W2144" i="34"/>
  <c r="X2144" i="34"/>
  <c r="N2145" i="34"/>
  <c r="R2145" i="34"/>
  <c r="S2145" i="34"/>
  <c r="T2145" i="34"/>
  <c r="V2145" i="34"/>
  <c r="W2145" i="34"/>
  <c r="X2145" i="34"/>
  <c r="N2146" i="34"/>
  <c r="R2146" i="34"/>
  <c r="S2146" i="34"/>
  <c r="T2146" i="34"/>
  <c r="V2146" i="34"/>
  <c r="W2146" i="34"/>
  <c r="X2146" i="34"/>
  <c r="N2147" i="34"/>
  <c r="R2147" i="34"/>
  <c r="S2147" i="34"/>
  <c r="T2147" i="34"/>
  <c r="V2147" i="34"/>
  <c r="W2147" i="34"/>
  <c r="X2147" i="34"/>
  <c r="N2148" i="34"/>
  <c r="R2148" i="34"/>
  <c r="S2148" i="34"/>
  <c r="T2148" i="34"/>
  <c r="V2148" i="34"/>
  <c r="W2148" i="34"/>
  <c r="X2148" i="34"/>
  <c r="N2149" i="34"/>
  <c r="R2149" i="34"/>
  <c r="S2149" i="34"/>
  <c r="T2149" i="34"/>
  <c r="V2149" i="34"/>
  <c r="W2149" i="34"/>
  <c r="X2149" i="34"/>
  <c r="N2150" i="34"/>
  <c r="R2150" i="34"/>
  <c r="S2150" i="34"/>
  <c r="T2150" i="34"/>
  <c r="V2150" i="34"/>
  <c r="W2150" i="34"/>
  <c r="X2150" i="34"/>
  <c r="N2151" i="34"/>
  <c r="R2151" i="34"/>
  <c r="S2151" i="34"/>
  <c r="T2151" i="34"/>
  <c r="V2151" i="34"/>
  <c r="W2151" i="34"/>
  <c r="X2151" i="34"/>
  <c r="N2152" i="34"/>
  <c r="R2152" i="34"/>
  <c r="S2152" i="34"/>
  <c r="T2152" i="34"/>
  <c r="V2152" i="34"/>
  <c r="W2152" i="34"/>
  <c r="X2152" i="34"/>
  <c r="N2153" i="34"/>
  <c r="R2153" i="34"/>
  <c r="S2153" i="34"/>
  <c r="T2153" i="34"/>
  <c r="V2153" i="34"/>
  <c r="W2153" i="34"/>
  <c r="X2153" i="34"/>
  <c r="N2154" i="34"/>
  <c r="R2154" i="34"/>
  <c r="S2154" i="34"/>
  <c r="T2154" i="34"/>
  <c r="V2154" i="34"/>
  <c r="W2154" i="34"/>
  <c r="X2154" i="34"/>
  <c r="N2155" i="34"/>
  <c r="R2155" i="34"/>
  <c r="S2155" i="34"/>
  <c r="T2155" i="34"/>
  <c r="V2155" i="34"/>
  <c r="W2155" i="34"/>
  <c r="X2155" i="34"/>
  <c r="N2156" i="34"/>
  <c r="R2156" i="34"/>
  <c r="S2156" i="34"/>
  <c r="T2156" i="34"/>
  <c r="V2156" i="34"/>
  <c r="W2156" i="34"/>
  <c r="X2156" i="34"/>
  <c r="N2157" i="34"/>
  <c r="R2157" i="34"/>
  <c r="S2157" i="34"/>
  <c r="T2157" i="34"/>
  <c r="V2157" i="34"/>
  <c r="W2157" i="34"/>
  <c r="X2157" i="34"/>
  <c r="N2158" i="34"/>
  <c r="R2158" i="34"/>
  <c r="S2158" i="34"/>
  <c r="T2158" i="34"/>
  <c r="V2158" i="34"/>
  <c r="W2158" i="34"/>
  <c r="X2158" i="34"/>
  <c r="N2159" i="34"/>
  <c r="R2159" i="34"/>
  <c r="S2159" i="34"/>
  <c r="T2159" i="34"/>
  <c r="V2159" i="34"/>
  <c r="W2159" i="34"/>
  <c r="X2159" i="34"/>
  <c r="N2160" i="34"/>
  <c r="R2160" i="34"/>
  <c r="S2160" i="34"/>
  <c r="T2160" i="34"/>
  <c r="V2160" i="34"/>
  <c r="W2160" i="34"/>
  <c r="X2160" i="34"/>
  <c r="N2161" i="34"/>
  <c r="R2161" i="34"/>
  <c r="S2161" i="34"/>
  <c r="T2161" i="34"/>
  <c r="V2161" i="34"/>
  <c r="W2161" i="34"/>
  <c r="X2161" i="34"/>
  <c r="N2162" i="34"/>
  <c r="R2162" i="34"/>
  <c r="S2162" i="34"/>
  <c r="T2162" i="34"/>
  <c r="V2162" i="34"/>
  <c r="W2162" i="34"/>
  <c r="X2162" i="34"/>
  <c r="N2163" i="34"/>
  <c r="R2163" i="34"/>
  <c r="S2163" i="34"/>
  <c r="T2163" i="34"/>
  <c r="V2163" i="34"/>
  <c r="W2163" i="34"/>
  <c r="X2163" i="34"/>
  <c r="N2164" i="34"/>
  <c r="R2164" i="34"/>
  <c r="S2164" i="34"/>
  <c r="T2164" i="34"/>
  <c r="V2164" i="34"/>
  <c r="W2164" i="34"/>
  <c r="X2164" i="34"/>
  <c r="N2165" i="34"/>
  <c r="R2165" i="34"/>
  <c r="S2165" i="34"/>
  <c r="T2165" i="34"/>
  <c r="V2165" i="34"/>
  <c r="W2165" i="34"/>
  <c r="X2165" i="34"/>
  <c r="N2166" i="34"/>
  <c r="R2166" i="34"/>
  <c r="S2166" i="34"/>
  <c r="T2166" i="34"/>
  <c r="V2166" i="34"/>
  <c r="W2166" i="34"/>
  <c r="X2166" i="34"/>
  <c r="N2167" i="34"/>
  <c r="R2167" i="34"/>
  <c r="S2167" i="34"/>
  <c r="T2167" i="34"/>
  <c r="V2167" i="34"/>
  <c r="W2167" i="34"/>
  <c r="X2167" i="34"/>
  <c r="N2168" i="34"/>
  <c r="R2168" i="34"/>
  <c r="S2168" i="34"/>
  <c r="T2168" i="34"/>
  <c r="V2168" i="34"/>
  <c r="W2168" i="34"/>
  <c r="X2168" i="34"/>
  <c r="N2169" i="34"/>
  <c r="R2169" i="34"/>
  <c r="S2169" i="34"/>
  <c r="T2169" i="34"/>
  <c r="V2169" i="34"/>
  <c r="W2169" i="34"/>
  <c r="X2169" i="34"/>
  <c r="N2170" i="34"/>
  <c r="R2170" i="34"/>
  <c r="S2170" i="34"/>
  <c r="T2170" i="34"/>
  <c r="V2170" i="34"/>
  <c r="W2170" i="34"/>
  <c r="X2170" i="34"/>
  <c r="N2171" i="34"/>
  <c r="R2171" i="34"/>
  <c r="S2171" i="34"/>
  <c r="T2171" i="34"/>
  <c r="V2171" i="34"/>
  <c r="W2171" i="34"/>
  <c r="X2171" i="34"/>
  <c r="N2172" i="34"/>
  <c r="R2172" i="34"/>
  <c r="S2172" i="34"/>
  <c r="T2172" i="34"/>
  <c r="V2172" i="34"/>
  <c r="W2172" i="34"/>
  <c r="X2172" i="34"/>
  <c r="N2173" i="34"/>
  <c r="R2173" i="34"/>
  <c r="S2173" i="34"/>
  <c r="T2173" i="34"/>
  <c r="V2173" i="34"/>
  <c r="W2173" i="34"/>
  <c r="X2173" i="34"/>
  <c r="N2174" i="34"/>
  <c r="R2174" i="34"/>
  <c r="S2174" i="34"/>
  <c r="T2174" i="34"/>
  <c r="V2174" i="34"/>
  <c r="W2174" i="34"/>
  <c r="X2174" i="34"/>
  <c r="N2175" i="34"/>
  <c r="R2175" i="34"/>
  <c r="S2175" i="34"/>
  <c r="T2175" i="34"/>
  <c r="V2175" i="34"/>
  <c r="W2175" i="34"/>
  <c r="X2175" i="34"/>
  <c r="N2176" i="34"/>
  <c r="R2176" i="34"/>
  <c r="S2176" i="34"/>
  <c r="T2176" i="34"/>
  <c r="V2176" i="34"/>
  <c r="W2176" i="34"/>
  <c r="X2176" i="34"/>
  <c r="N2177" i="34"/>
  <c r="R2177" i="34"/>
  <c r="S2177" i="34"/>
  <c r="T2177" i="34"/>
  <c r="V2177" i="34"/>
  <c r="W2177" i="34"/>
  <c r="X2177" i="34"/>
  <c r="N2178" i="34"/>
  <c r="R2178" i="34"/>
  <c r="S2178" i="34"/>
  <c r="T2178" i="34"/>
  <c r="V2178" i="34"/>
  <c r="W2178" i="34"/>
  <c r="X2178" i="34"/>
  <c r="N2179" i="34"/>
  <c r="R2179" i="34"/>
  <c r="S2179" i="34"/>
  <c r="T2179" i="34"/>
  <c r="V2179" i="34"/>
  <c r="W2179" i="34"/>
  <c r="X2179" i="34"/>
  <c r="N2180" i="34"/>
  <c r="R2180" i="34"/>
  <c r="S2180" i="34"/>
  <c r="T2180" i="34"/>
  <c r="V2180" i="34"/>
  <c r="W2180" i="34"/>
  <c r="X2180" i="34"/>
  <c r="N2181" i="34"/>
  <c r="R2181" i="34"/>
  <c r="S2181" i="34"/>
  <c r="T2181" i="34"/>
  <c r="V2181" i="34"/>
  <c r="W2181" i="34"/>
  <c r="X2181" i="34"/>
  <c r="N2182" i="34"/>
  <c r="R2182" i="34"/>
  <c r="S2182" i="34"/>
  <c r="T2182" i="34"/>
  <c r="V2182" i="34"/>
  <c r="W2182" i="34"/>
  <c r="X2182" i="34"/>
  <c r="N2183" i="34"/>
  <c r="R2183" i="34"/>
  <c r="S2183" i="34"/>
  <c r="T2183" i="34"/>
  <c r="V2183" i="34"/>
  <c r="W2183" i="34"/>
  <c r="X2183" i="34"/>
  <c r="N2184" i="34"/>
  <c r="R2184" i="34"/>
  <c r="S2184" i="34"/>
  <c r="T2184" i="34"/>
  <c r="V2184" i="34"/>
  <c r="W2184" i="34"/>
  <c r="X2184" i="34"/>
  <c r="N2185" i="34"/>
  <c r="R2185" i="34"/>
  <c r="S2185" i="34"/>
  <c r="T2185" i="34"/>
  <c r="V2185" i="34"/>
  <c r="W2185" i="34"/>
  <c r="X2185" i="34"/>
  <c r="N2186" i="34"/>
  <c r="R2186" i="34"/>
  <c r="S2186" i="34"/>
  <c r="T2186" i="34"/>
  <c r="V2186" i="34"/>
  <c r="W2186" i="34"/>
  <c r="X2186" i="34"/>
  <c r="N2187" i="34"/>
  <c r="R2187" i="34"/>
  <c r="S2187" i="34"/>
  <c r="T2187" i="34"/>
  <c r="V2187" i="34"/>
  <c r="W2187" i="34"/>
  <c r="X2187" i="34"/>
  <c r="N2188" i="34"/>
  <c r="R2188" i="34"/>
  <c r="S2188" i="34"/>
  <c r="T2188" i="34"/>
  <c r="V2188" i="34"/>
  <c r="W2188" i="34"/>
  <c r="X2188" i="34"/>
  <c r="N2189" i="34"/>
  <c r="R2189" i="34"/>
  <c r="S2189" i="34"/>
  <c r="T2189" i="34"/>
  <c r="V2189" i="34"/>
  <c r="W2189" i="34"/>
  <c r="X2189" i="34"/>
  <c r="N2190" i="34"/>
  <c r="R2190" i="34"/>
  <c r="S2190" i="34"/>
  <c r="T2190" i="34"/>
  <c r="V2190" i="34"/>
  <c r="W2190" i="34"/>
  <c r="X2190" i="34"/>
  <c r="N2191" i="34"/>
  <c r="R2191" i="34"/>
  <c r="S2191" i="34"/>
  <c r="T2191" i="34"/>
  <c r="V2191" i="34"/>
  <c r="W2191" i="34"/>
  <c r="X2191" i="34"/>
  <c r="N2192" i="34"/>
  <c r="R2192" i="34"/>
  <c r="S2192" i="34"/>
  <c r="T2192" i="34"/>
  <c r="V2192" i="34"/>
  <c r="W2192" i="34"/>
  <c r="X2192" i="34"/>
  <c r="N2193" i="34"/>
  <c r="R2193" i="34"/>
  <c r="S2193" i="34"/>
  <c r="T2193" i="34"/>
  <c r="V2193" i="34"/>
  <c r="W2193" i="34"/>
  <c r="X2193" i="34"/>
  <c r="N2194" i="34"/>
  <c r="R2194" i="34"/>
  <c r="S2194" i="34"/>
  <c r="T2194" i="34"/>
  <c r="V2194" i="34"/>
  <c r="W2194" i="34"/>
  <c r="X2194" i="34"/>
  <c r="N2195" i="34"/>
  <c r="R2195" i="34"/>
  <c r="S2195" i="34"/>
  <c r="T2195" i="34"/>
  <c r="V2195" i="34"/>
  <c r="W2195" i="34"/>
  <c r="X2195" i="34"/>
  <c r="N2196" i="34"/>
  <c r="R2196" i="34"/>
  <c r="S2196" i="34"/>
  <c r="T2196" i="34"/>
  <c r="V2196" i="34"/>
  <c r="W2196" i="34"/>
  <c r="X2196" i="34"/>
  <c r="N2197" i="34"/>
  <c r="R2197" i="34"/>
  <c r="S2197" i="34"/>
  <c r="T2197" i="34"/>
  <c r="V2197" i="34"/>
  <c r="W2197" i="34"/>
  <c r="X2197" i="34"/>
  <c r="N2198" i="34"/>
  <c r="R2198" i="34"/>
  <c r="S2198" i="34"/>
  <c r="T2198" i="34"/>
  <c r="V2198" i="34"/>
  <c r="W2198" i="34"/>
  <c r="X2198" i="34"/>
  <c r="N2199" i="34"/>
  <c r="R2199" i="34"/>
  <c r="S2199" i="34"/>
  <c r="T2199" i="34"/>
  <c r="V2199" i="34"/>
  <c r="W2199" i="34"/>
  <c r="X2199" i="34"/>
  <c r="N2200" i="34"/>
  <c r="R2200" i="34"/>
  <c r="S2200" i="34"/>
  <c r="T2200" i="34"/>
  <c r="V2200" i="34"/>
  <c r="W2200" i="34"/>
  <c r="X2200" i="34"/>
  <c r="N2201" i="34"/>
  <c r="R2201" i="34"/>
  <c r="S2201" i="34"/>
  <c r="T2201" i="34"/>
  <c r="V2201" i="34"/>
  <c r="W2201" i="34"/>
  <c r="X2201" i="34"/>
  <c r="N2202" i="34"/>
  <c r="R2202" i="34"/>
  <c r="S2202" i="34"/>
  <c r="T2202" i="34"/>
  <c r="V2202" i="34"/>
  <c r="W2202" i="34"/>
  <c r="X2202" i="34"/>
  <c r="N2203" i="34"/>
  <c r="R2203" i="34"/>
  <c r="S2203" i="34"/>
  <c r="T2203" i="34"/>
  <c r="V2203" i="34"/>
  <c r="W2203" i="34"/>
  <c r="X2203" i="34"/>
  <c r="N2204" i="34"/>
  <c r="R2204" i="34"/>
  <c r="S2204" i="34"/>
  <c r="T2204" i="34"/>
  <c r="V2204" i="34"/>
  <c r="W2204" i="34"/>
  <c r="X2204" i="34"/>
  <c r="N2205" i="34"/>
  <c r="R2205" i="34"/>
  <c r="S2205" i="34"/>
  <c r="T2205" i="34"/>
  <c r="V2205" i="34"/>
  <c r="W2205" i="34"/>
  <c r="X2205" i="34"/>
  <c r="N2206" i="34"/>
  <c r="R2206" i="34"/>
  <c r="S2206" i="34"/>
  <c r="T2206" i="34"/>
  <c r="V2206" i="34"/>
  <c r="W2206" i="34"/>
  <c r="X2206" i="34"/>
  <c r="N2207" i="34"/>
  <c r="R2207" i="34"/>
  <c r="S2207" i="34"/>
  <c r="T2207" i="34"/>
  <c r="V2207" i="34"/>
  <c r="W2207" i="34"/>
  <c r="X2207" i="34"/>
  <c r="N2208" i="34"/>
  <c r="R2208" i="34"/>
  <c r="S2208" i="34"/>
  <c r="T2208" i="34"/>
  <c r="V2208" i="34"/>
  <c r="W2208" i="34"/>
  <c r="X2208" i="34"/>
  <c r="N2209" i="34"/>
  <c r="R2209" i="34"/>
  <c r="S2209" i="34"/>
  <c r="T2209" i="34"/>
  <c r="V2209" i="34"/>
  <c r="W2209" i="34"/>
  <c r="X2209" i="34"/>
  <c r="N2210" i="34"/>
  <c r="R2210" i="34"/>
  <c r="S2210" i="34"/>
  <c r="T2210" i="34"/>
  <c r="V2210" i="34"/>
  <c r="W2210" i="34"/>
  <c r="X2210" i="34"/>
  <c r="N2211" i="34"/>
  <c r="R2211" i="34"/>
  <c r="S2211" i="34"/>
  <c r="T2211" i="34"/>
  <c r="V2211" i="34"/>
  <c r="W2211" i="34"/>
  <c r="X2211" i="34"/>
  <c r="N2212" i="34"/>
  <c r="R2212" i="34"/>
  <c r="S2212" i="34"/>
  <c r="T2212" i="34"/>
  <c r="V2212" i="34"/>
  <c r="W2212" i="34"/>
  <c r="X2212" i="34"/>
  <c r="N2213" i="34"/>
  <c r="R2213" i="34"/>
  <c r="S2213" i="34"/>
  <c r="T2213" i="34"/>
  <c r="V2213" i="34"/>
  <c r="W2213" i="34"/>
  <c r="X2213" i="34"/>
  <c r="N2214" i="34"/>
  <c r="R2214" i="34"/>
  <c r="S2214" i="34"/>
  <c r="T2214" i="34"/>
  <c r="V2214" i="34"/>
  <c r="W2214" i="34"/>
  <c r="X2214" i="34"/>
  <c r="N2215" i="34"/>
  <c r="R2215" i="34"/>
  <c r="S2215" i="34"/>
  <c r="T2215" i="34"/>
  <c r="V2215" i="34"/>
  <c r="W2215" i="34"/>
  <c r="X2215" i="34"/>
  <c r="N2216" i="34"/>
  <c r="R2216" i="34"/>
  <c r="S2216" i="34"/>
  <c r="T2216" i="34"/>
  <c r="V2216" i="34"/>
  <c r="W2216" i="34"/>
  <c r="X2216" i="34"/>
  <c r="N2217" i="34"/>
  <c r="R2217" i="34"/>
  <c r="S2217" i="34"/>
  <c r="T2217" i="34"/>
  <c r="V2217" i="34"/>
  <c r="W2217" i="34"/>
  <c r="X2217" i="34"/>
  <c r="N2218" i="34"/>
  <c r="R2218" i="34"/>
  <c r="S2218" i="34"/>
  <c r="T2218" i="34"/>
  <c r="V2218" i="34"/>
  <c r="W2218" i="34"/>
  <c r="X2218" i="34"/>
  <c r="N2219" i="34"/>
  <c r="R2219" i="34"/>
  <c r="S2219" i="34"/>
  <c r="T2219" i="34"/>
  <c r="V2219" i="34"/>
  <c r="W2219" i="34"/>
  <c r="X2219" i="34"/>
  <c r="N2220" i="34"/>
  <c r="R2220" i="34"/>
  <c r="S2220" i="34"/>
  <c r="T2220" i="34"/>
  <c r="V2220" i="34"/>
  <c r="W2220" i="34"/>
  <c r="X2220" i="34"/>
  <c r="N2221" i="34"/>
  <c r="R2221" i="34"/>
  <c r="S2221" i="34"/>
  <c r="T2221" i="34"/>
  <c r="V2221" i="34"/>
  <c r="W2221" i="34"/>
  <c r="X2221" i="34"/>
  <c r="N2222" i="34"/>
  <c r="R2222" i="34"/>
  <c r="S2222" i="34"/>
  <c r="T2222" i="34"/>
  <c r="V2222" i="34"/>
  <c r="W2222" i="34"/>
  <c r="X2222" i="34"/>
  <c r="N2223" i="34"/>
  <c r="R2223" i="34"/>
  <c r="S2223" i="34"/>
  <c r="T2223" i="34"/>
  <c r="V2223" i="34"/>
  <c r="W2223" i="34"/>
  <c r="X2223" i="34"/>
  <c r="N2224" i="34"/>
  <c r="R2224" i="34"/>
  <c r="S2224" i="34"/>
  <c r="T2224" i="34"/>
  <c r="V2224" i="34"/>
  <c r="W2224" i="34"/>
  <c r="X2224" i="34"/>
  <c r="N2225" i="34"/>
  <c r="R2225" i="34"/>
  <c r="S2225" i="34"/>
  <c r="T2225" i="34"/>
  <c r="V2225" i="34"/>
  <c r="W2225" i="34"/>
  <c r="X2225" i="34"/>
  <c r="N2226" i="34"/>
  <c r="R2226" i="34"/>
  <c r="S2226" i="34"/>
  <c r="T2226" i="34"/>
  <c r="V2226" i="34"/>
  <c r="W2226" i="34"/>
  <c r="X2226" i="34"/>
  <c r="N2227" i="34"/>
  <c r="R2227" i="34"/>
  <c r="S2227" i="34"/>
  <c r="T2227" i="34"/>
  <c r="V2227" i="34"/>
  <c r="W2227" i="34"/>
  <c r="X2227" i="34"/>
  <c r="N2228" i="34"/>
  <c r="R2228" i="34"/>
  <c r="S2228" i="34"/>
  <c r="T2228" i="34"/>
  <c r="V2228" i="34"/>
  <c r="W2228" i="34"/>
  <c r="X2228" i="34"/>
  <c r="N2229" i="34"/>
  <c r="R2229" i="34"/>
  <c r="S2229" i="34"/>
  <c r="T2229" i="34"/>
  <c r="V2229" i="34"/>
  <c r="W2229" i="34"/>
  <c r="X2229" i="34"/>
  <c r="N2230" i="34"/>
  <c r="R2230" i="34"/>
  <c r="S2230" i="34"/>
  <c r="T2230" i="34"/>
  <c r="V2230" i="34"/>
  <c r="W2230" i="34"/>
  <c r="X2230" i="34"/>
  <c r="N2231" i="34"/>
  <c r="R2231" i="34"/>
  <c r="S2231" i="34"/>
  <c r="T2231" i="34"/>
  <c r="V2231" i="34"/>
  <c r="W2231" i="34"/>
  <c r="X2231" i="34"/>
  <c r="N2232" i="34"/>
  <c r="R2232" i="34"/>
  <c r="S2232" i="34"/>
  <c r="T2232" i="34"/>
  <c r="V2232" i="34"/>
  <c r="W2232" i="34"/>
  <c r="X2232" i="34"/>
  <c r="N2233" i="34"/>
  <c r="R2233" i="34"/>
  <c r="S2233" i="34"/>
  <c r="T2233" i="34"/>
  <c r="V2233" i="34"/>
  <c r="W2233" i="34"/>
  <c r="X2233" i="34"/>
  <c r="N2234" i="34"/>
  <c r="R2234" i="34"/>
  <c r="S2234" i="34"/>
  <c r="T2234" i="34"/>
  <c r="V2234" i="34"/>
  <c r="W2234" i="34"/>
  <c r="X2234" i="34"/>
  <c r="N2235" i="34"/>
  <c r="R2235" i="34"/>
  <c r="S2235" i="34"/>
  <c r="T2235" i="34"/>
  <c r="V2235" i="34"/>
  <c r="W2235" i="34"/>
  <c r="X2235" i="34"/>
  <c r="N2236" i="34"/>
  <c r="R2236" i="34"/>
  <c r="S2236" i="34"/>
  <c r="T2236" i="34"/>
  <c r="V2236" i="34"/>
  <c r="W2236" i="34"/>
  <c r="X2236" i="34"/>
  <c r="N2237" i="34"/>
  <c r="R2237" i="34"/>
  <c r="S2237" i="34"/>
  <c r="T2237" i="34"/>
  <c r="V2237" i="34"/>
  <c r="W2237" i="34"/>
  <c r="X2237" i="34"/>
  <c r="N2238" i="34"/>
  <c r="R2238" i="34"/>
  <c r="S2238" i="34"/>
  <c r="T2238" i="34"/>
  <c r="V2238" i="34"/>
  <c r="W2238" i="34"/>
  <c r="X2238" i="34"/>
  <c r="N2239" i="34"/>
  <c r="R2239" i="34"/>
  <c r="S2239" i="34"/>
  <c r="T2239" i="34"/>
  <c r="V2239" i="34"/>
  <c r="W2239" i="34"/>
  <c r="X2239" i="34"/>
  <c r="N2240" i="34"/>
  <c r="R2240" i="34"/>
  <c r="S2240" i="34"/>
  <c r="T2240" i="34"/>
  <c r="V2240" i="34"/>
  <c r="W2240" i="34"/>
  <c r="X2240" i="34"/>
  <c r="N2241" i="34"/>
  <c r="R2241" i="34"/>
  <c r="S2241" i="34"/>
  <c r="T2241" i="34"/>
  <c r="V2241" i="34"/>
  <c r="W2241" i="34"/>
  <c r="X2241" i="34"/>
  <c r="N2242" i="34"/>
  <c r="R2242" i="34"/>
  <c r="S2242" i="34"/>
  <c r="T2242" i="34"/>
  <c r="V2242" i="34"/>
  <c r="W2242" i="34"/>
  <c r="X2242" i="34"/>
  <c r="N2243" i="34"/>
  <c r="R2243" i="34"/>
  <c r="S2243" i="34"/>
  <c r="T2243" i="34"/>
  <c r="V2243" i="34"/>
  <c r="W2243" i="34"/>
  <c r="X2243" i="34"/>
  <c r="N2244" i="34"/>
  <c r="R2244" i="34"/>
  <c r="S2244" i="34"/>
  <c r="T2244" i="34"/>
  <c r="V2244" i="34"/>
  <c r="W2244" i="34"/>
  <c r="X2244" i="34"/>
  <c r="N2245" i="34"/>
  <c r="R2245" i="34"/>
  <c r="S2245" i="34"/>
  <c r="T2245" i="34"/>
  <c r="V2245" i="34"/>
  <c r="W2245" i="34"/>
  <c r="X2245" i="34"/>
  <c r="N2246" i="34"/>
  <c r="R2246" i="34"/>
  <c r="S2246" i="34"/>
  <c r="T2246" i="34"/>
  <c r="V2246" i="34"/>
  <c r="W2246" i="34"/>
  <c r="X2246" i="34"/>
  <c r="N2247" i="34"/>
  <c r="R2247" i="34"/>
  <c r="S2247" i="34"/>
  <c r="T2247" i="34"/>
  <c r="V2247" i="34"/>
  <c r="W2247" i="34"/>
  <c r="X2247" i="34"/>
  <c r="N2248" i="34"/>
  <c r="R2248" i="34"/>
  <c r="S2248" i="34"/>
  <c r="T2248" i="34"/>
  <c r="V2248" i="34"/>
  <c r="W2248" i="34"/>
  <c r="X2248" i="34"/>
  <c r="N2249" i="34"/>
  <c r="R2249" i="34"/>
  <c r="S2249" i="34"/>
  <c r="T2249" i="34"/>
  <c r="V2249" i="34"/>
  <c r="W2249" i="34"/>
  <c r="X2249" i="34"/>
  <c r="N2250" i="34"/>
  <c r="R2250" i="34"/>
  <c r="S2250" i="34"/>
  <c r="T2250" i="34"/>
  <c r="V2250" i="34"/>
  <c r="W2250" i="34"/>
  <c r="X2250" i="34"/>
  <c r="N2251" i="34"/>
  <c r="R2251" i="34"/>
  <c r="S2251" i="34"/>
  <c r="T2251" i="34"/>
  <c r="V2251" i="34"/>
  <c r="W2251" i="34"/>
  <c r="X2251" i="34"/>
  <c r="N2252" i="34"/>
  <c r="R2252" i="34"/>
  <c r="S2252" i="34"/>
  <c r="T2252" i="34"/>
  <c r="V2252" i="34"/>
  <c r="W2252" i="34"/>
  <c r="X2252" i="34"/>
  <c r="N2253" i="34"/>
  <c r="R2253" i="34"/>
  <c r="S2253" i="34"/>
  <c r="T2253" i="34"/>
  <c r="V2253" i="34"/>
  <c r="W2253" i="34"/>
  <c r="X2253" i="34"/>
  <c r="N2254" i="34"/>
  <c r="R2254" i="34"/>
  <c r="S2254" i="34"/>
  <c r="T2254" i="34"/>
  <c r="V2254" i="34"/>
  <c r="W2254" i="34"/>
  <c r="X2254" i="34"/>
  <c r="N2255" i="34"/>
  <c r="R2255" i="34"/>
  <c r="S2255" i="34"/>
  <c r="T2255" i="34"/>
  <c r="V2255" i="34"/>
  <c r="W2255" i="34"/>
  <c r="X2255" i="34"/>
  <c r="N2256" i="34"/>
  <c r="R2256" i="34"/>
  <c r="S2256" i="34"/>
  <c r="T2256" i="34"/>
  <c r="V2256" i="34"/>
  <c r="W2256" i="34"/>
  <c r="X2256" i="34"/>
  <c r="N2257" i="34"/>
  <c r="R2257" i="34"/>
  <c r="S2257" i="34"/>
  <c r="T2257" i="34"/>
  <c r="V2257" i="34"/>
  <c r="W2257" i="34"/>
  <c r="X2257" i="34"/>
  <c r="N2258" i="34"/>
  <c r="R2258" i="34"/>
  <c r="S2258" i="34"/>
  <c r="T2258" i="34"/>
  <c r="V2258" i="34"/>
  <c r="W2258" i="34"/>
  <c r="X2258" i="34"/>
  <c r="N2259" i="34"/>
  <c r="R2259" i="34"/>
  <c r="S2259" i="34"/>
  <c r="T2259" i="34"/>
  <c r="V2259" i="34"/>
  <c r="W2259" i="34"/>
  <c r="X2259" i="34"/>
  <c r="N2260" i="34"/>
  <c r="R2260" i="34"/>
  <c r="S2260" i="34"/>
  <c r="T2260" i="34"/>
  <c r="V2260" i="34"/>
  <c r="W2260" i="34"/>
  <c r="X2260" i="34"/>
  <c r="N2261" i="34"/>
  <c r="R2261" i="34"/>
  <c r="S2261" i="34"/>
  <c r="T2261" i="34"/>
  <c r="V2261" i="34"/>
  <c r="W2261" i="34"/>
  <c r="X2261" i="34"/>
  <c r="N2262" i="34"/>
  <c r="R2262" i="34"/>
  <c r="S2262" i="34"/>
  <c r="T2262" i="34"/>
  <c r="V2262" i="34"/>
  <c r="W2262" i="34"/>
  <c r="X2262" i="34"/>
  <c r="N2263" i="34"/>
  <c r="R2263" i="34"/>
  <c r="S2263" i="34"/>
  <c r="T2263" i="34"/>
  <c r="V2263" i="34"/>
  <c r="W2263" i="34"/>
  <c r="X2263" i="34"/>
  <c r="N2264" i="34"/>
  <c r="R2264" i="34"/>
  <c r="S2264" i="34"/>
  <c r="T2264" i="34"/>
  <c r="V2264" i="34"/>
  <c r="W2264" i="34"/>
  <c r="X2264" i="34"/>
  <c r="N2265" i="34"/>
  <c r="R2265" i="34"/>
  <c r="S2265" i="34"/>
  <c r="T2265" i="34"/>
  <c r="V2265" i="34"/>
  <c r="W2265" i="34"/>
  <c r="X2265" i="34"/>
  <c r="N2266" i="34"/>
  <c r="R2266" i="34"/>
  <c r="S2266" i="34"/>
  <c r="T2266" i="34"/>
  <c r="V2266" i="34"/>
  <c r="W2266" i="34"/>
  <c r="X2266" i="34"/>
  <c r="N2267" i="34"/>
  <c r="R2267" i="34"/>
  <c r="S2267" i="34"/>
  <c r="T2267" i="34"/>
  <c r="V2267" i="34"/>
  <c r="W2267" i="34"/>
  <c r="X2267" i="34"/>
  <c r="N2268" i="34"/>
  <c r="R2268" i="34"/>
  <c r="S2268" i="34"/>
  <c r="T2268" i="34"/>
  <c r="V2268" i="34"/>
  <c r="W2268" i="34"/>
  <c r="X2268" i="34"/>
  <c r="N2269" i="34"/>
  <c r="R2269" i="34"/>
  <c r="S2269" i="34"/>
  <c r="T2269" i="34"/>
  <c r="V2269" i="34"/>
  <c r="W2269" i="34"/>
  <c r="X2269" i="34"/>
  <c r="N2270" i="34"/>
  <c r="R2270" i="34"/>
  <c r="S2270" i="34"/>
  <c r="T2270" i="34"/>
  <c r="V2270" i="34"/>
  <c r="W2270" i="34"/>
  <c r="X2270" i="34"/>
  <c r="N2271" i="34"/>
  <c r="R2271" i="34"/>
  <c r="S2271" i="34"/>
  <c r="T2271" i="34"/>
  <c r="V2271" i="34"/>
  <c r="W2271" i="34"/>
  <c r="X2271" i="34"/>
  <c r="N2272" i="34"/>
  <c r="R2272" i="34"/>
  <c r="S2272" i="34"/>
  <c r="T2272" i="34"/>
  <c r="V2272" i="34"/>
  <c r="W2272" i="34"/>
  <c r="X2272" i="34"/>
  <c r="N2273" i="34"/>
  <c r="R2273" i="34"/>
  <c r="S2273" i="34"/>
  <c r="T2273" i="34"/>
  <c r="V2273" i="34"/>
  <c r="W2273" i="34"/>
  <c r="X2273" i="34"/>
  <c r="N2274" i="34"/>
  <c r="R2274" i="34"/>
  <c r="S2274" i="34"/>
  <c r="T2274" i="34"/>
  <c r="V2274" i="34"/>
  <c r="W2274" i="34"/>
  <c r="X2274" i="34"/>
  <c r="N2275" i="34"/>
  <c r="R2275" i="34"/>
  <c r="S2275" i="34"/>
  <c r="T2275" i="34"/>
  <c r="V2275" i="34"/>
  <c r="W2275" i="34"/>
  <c r="X2275" i="34"/>
  <c r="N2276" i="34"/>
  <c r="R2276" i="34"/>
  <c r="S2276" i="34"/>
  <c r="T2276" i="34"/>
  <c r="V2276" i="34"/>
  <c r="W2276" i="34"/>
  <c r="X2276" i="34"/>
  <c r="N2277" i="34"/>
  <c r="R2277" i="34"/>
  <c r="S2277" i="34"/>
  <c r="T2277" i="34"/>
  <c r="V2277" i="34"/>
  <c r="W2277" i="34"/>
  <c r="X2277" i="34"/>
  <c r="N2278" i="34"/>
  <c r="R2278" i="34"/>
  <c r="S2278" i="34"/>
  <c r="T2278" i="34"/>
  <c r="V2278" i="34"/>
  <c r="W2278" i="34"/>
  <c r="X2278" i="34"/>
  <c r="N2279" i="34"/>
  <c r="R2279" i="34"/>
  <c r="S2279" i="34"/>
  <c r="T2279" i="34"/>
  <c r="V2279" i="34"/>
  <c r="W2279" i="34"/>
  <c r="X2279" i="34"/>
  <c r="N2280" i="34"/>
  <c r="R2280" i="34"/>
  <c r="S2280" i="34"/>
  <c r="T2280" i="34"/>
  <c r="V2280" i="34"/>
  <c r="W2280" i="34"/>
  <c r="X2280" i="34"/>
  <c r="N2281" i="34"/>
  <c r="R2281" i="34"/>
  <c r="S2281" i="34"/>
  <c r="T2281" i="34"/>
  <c r="V2281" i="34"/>
  <c r="W2281" i="34"/>
  <c r="X2281" i="34"/>
  <c r="N2282" i="34"/>
  <c r="R2282" i="34"/>
  <c r="S2282" i="34"/>
  <c r="T2282" i="34"/>
  <c r="V2282" i="34"/>
  <c r="W2282" i="34"/>
  <c r="X2282" i="34"/>
  <c r="N2283" i="34"/>
  <c r="R2283" i="34"/>
  <c r="S2283" i="34"/>
  <c r="T2283" i="34"/>
  <c r="V2283" i="34"/>
  <c r="W2283" i="34"/>
  <c r="X2283" i="34"/>
  <c r="N2284" i="34"/>
  <c r="R2284" i="34"/>
  <c r="S2284" i="34"/>
  <c r="T2284" i="34"/>
  <c r="V2284" i="34"/>
  <c r="W2284" i="34"/>
  <c r="X2284" i="34"/>
  <c r="N2285" i="34"/>
  <c r="R2285" i="34"/>
  <c r="S2285" i="34"/>
  <c r="T2285" i="34"/>
  <c r="V2285" i="34"/>
  <c r="W2285" i="34"/>
  <c r="X2285" i="34"/>
  <c r="N2286" i="34"/>
  <c r="R2286" i="34"/>
  <c r="S2286" i="34"/>
  <c r="T2286" i="34"/>
  <c r="V2286" i="34"/>
  <c r="W2286" i="34"/>
  <c r="X2286" i="34"/>
  <c r="N2287" i="34"/>
  <c r="R2287" i="34"/>
  <c r="S2287" i="34"/>
  <c r="T2287" i="34"/>
  <c r="V2287" i="34"/>
  <c r="W2287" i="34"/>
  <c r="X2287" i="34"/>
  <c r="N2288" i="34"/>
  <c r="R2288" i="34"/>
  <c r="S2288" i="34"/>
  <c r="T2288" i="34"/>
  <c r="V2288" i="34"/>
  <c r="W2288" i="34"/>
  <c r="X2288" i="34"/>
  <c r="N2289" i="34"/>
  <c r="R2289" i="34"/>
  <c r="S2289" i="34"/>
  <c r="T2289" i="34"/>
  <c r="V2289" i="34"/>
  <c r="W2289" i="34"/>
  <c r="X2289" i="34"/>
  <c r="N2290" i="34"/>
  <c r="R2290" i="34"/>
  <c r="S2290" i="34"/>
  <c r="T2290" i="34"/>
  <c r="V2290" i="34"/>
  <c r="W2290" i="34"/>
  <c r="X2290" i="34"/>
  <c r="N2291" i="34"/>
  <c r="R2291" i="34"/>
  <c r="S2291" i="34"/>
  <c r="T2291" i="34"/>
  <c r="V2291" i="34"/>
  <c r="W2291" i="34"/>
  <c r="X2291" i="34"/>
  <c r="N2292" i="34"/>
  <c r="R2292" i="34"/>
  <c r="S2292" i="34"/>
  <c r="T2292" i="34"/>
  <c r="V2292" i="34"/>
  <c r="W2292" i="34"/>
  <c r="X2292" i="34"/>
  <c r="N2293" i="34"/>
  <c r="R2293" i="34"/>
  <c r="S2293" i="34"/>
  <c r="T2293" i="34"/>
  <c r="V2293" i="34"/>
  <c r="W2293" i="34"/>
  <c r="X2293" i="34"/>
  <c r="N2294" i="34"/>
  <c r="R2294" i="34"/>
  <c r="S2294" i="34"/>
  <c r="T2294" i="34"/>
  <c r="V2294" i="34"/>
  <c r="W2294" i="34"/>
  <c r="X2294" i="34"/>
  <c r="N2295" i="34"/>
  <c r="R2295" i="34"/>
  <c r="S2295" i="34"/>
  <c r="T2295" i="34"/>
  <c r="V2295" i="34"/>
  <c r="W2295" i="34"/>
  <c r="X2295" i="34"/>
  <c r="N2296" i="34"/>
  <c r="R2296" i="34"/>
  <c r="S2296" i="34"/>
  <c r="T2296" i="34"/>
  <c r="V2296" i="34"/>
  <c r="W2296" i="34"/>
  <c r="X2296" i="34"/>
  <c r="N2297" i="34"/>
  <c r="R2297" i="34"/>
  <c r="S2297" i="34"/>
  <c r="T2297" i="34"/>
  <c r="V2297" i="34"/>
  <c r="W2297" i="34"/>
  <c r="X2297" i="34"/>
  <c r="N2298" i="34"/>
  <c r="R2298" i="34"/>
  <c r="S2298" i="34"/>
  <c r="T2298" i="34"/>
  <c r="V2298" i="34"/>
  <c r="W2298" i="34"/>
  <c r="X2298" i="34"/>
  <c r="N2299" i="34"/>
  <c r="R2299" i="34"/>
  <c r="S2299" i="34"/>
  <c r="T2299" i="34"/>
  <c r="V2299" i="34"/>
  <c r="W2299" i="34"/>
  <c r="X2299" i="34"/>
  <c r="N2300" i="34"/>
  <c r="R2300" i="34"/>
  <c r="S2300" i="34"/>
  <c r="T2300" i="34"/>
  <c r="V2300" i="34"/>
  <c r="W2300" i="34"/>
  <c r="X2300" i="34"/>
  <c r="N2301" i="34"/>
  <c r="R2301" i="34"/>
  <c r="S2301" i="34"/>
  <c r="T2301" i="34"/>
  <c r="V2301" i="34"/>
  <c r="W2301" i="34"/>
  <c r="X2301" i="34"/>
  <c r="N2302" i="34"/>
  <c r="R2302" i="34"/>
  <c r="S2302" i="34"/>
  <c r="T2302" i="34"/>
  <c r="V2302" i="34"/>
  <c r="W2302" i="34"/>
  <c r="X2302" i="34"/>
  <c r="N2303" i="34"/>
  <c r="R2303" i="34"/>
  <c r="S2303" i="34"/>
  <c r="T2303" i="34"/>
  <c r="V2303" i="34"/>
  <c r="W2303" i="34"/>
  <c r="X2303" i="34"/>
  <c r="N2304" i="34"/>
  <c r="R2304" i="34"/>
  <c r="S2304" i="34"/>
  <c r="T2304" i="34"/>
  <c r="V2304" i="34"/>
  <c r="W2304" i="34"/>
  <c r="X2304" i="34"/>
  <c r="N2305" i="34"/>
  <c r="R2305" i="34"/>
  <c r="S2305" i="34"/>
  <c r="T2305" i="34"/>
  <c r="V2305" i="34"/>
  <c r="W2305" i="34"/>
  <c r="X2305" i="34"/>
  <c r="N2306" i="34"/>
  <c r="R2306" i="34"/>
  <c r="S2306" i="34"/>
  <c r="T2306" i="34"/>
  <c r="V2306" i="34"/>
  <c r="W2306" i="34"/>
  <c r="X2306" i="34"/>
  <c r="N2307" i="34"/>
  <c r="R2307" i="34"/>
  <c r="S2307" i="34"/>
  <c r="T2307" i="34"/>
  <c r="V2307" i="34"/>
  <c r="W2307" i="34"/>
  <c r="X2307" i="34"/>
  <c r="N2308" i="34"/>
  <c r="R2308" i="34"/>
  <c r="S2308" i="34"/>
  <c r="T2308" i="34"/>
  <c r="V2308" i="34"/>
  <c r="W2308" i="34"/>
  <c r="X2308" i="34"/>
  <c r="N2309" i="34"/>
  <c r="R2309" i="34"/>
  <c r="S2309" i="34"/>
  <c r="T2309" i="34"/>
  <c r="V2309" i="34"/>
  <c r="W2309" i="34"/>
  <c r="X2309" i="34"/>
  <c r="N2310" i="34"/>
  <c r="R2310" i="34"/>
  <c r="S2310" i="34"/>
  <c r="T2310" i="34"/>
  <c r="V2310" i="34"/>
  <c r="W2310" i="34"/>
  <c r="X2310" i="34"/>
  <c r="N2311" i="34"/>
  <c r="R2311" i="34"/>
  <c r="S2311" i="34"/>
  <c r="T2311" i="34"/>
  <c r="V2311" i="34"/>
  <c r="W2311" i="34"/>
  <c r="X2311" i="34"/>
  <c r="N2312" i="34"/>
  <c r="R2312" i="34"/>
  <c r="S2312" i="34"/>
  <c r="T2312" i="34"/>
  <c r="V2312" i="34"/>
  <c r="W2312" i="34"/>
  <c r="X2312" i="34"/>
  <c r="N2313" i="34"/>
  <c r="R2313" i="34"/>
  <c r="S2313" i="34"/>
  <c r="T2313" i="34"/>
  <c r="V2313" i="34"/>
  <c r="W2313" i="34"/>
  <c r="X2313" i="34"/>
  <c r="N2314" i="34"/>
  <c r="R2314" i="34"/>
  <c r="S2314" i="34"/>
  <c r="T2314" i="34"/>
  <c r="V2314" i="34"/>
  <c r="W2314" i="34"/>
  <c r="X2314" i="34"/>
  <c r="N2315" i="34"/>
  <c r="R2315" i="34"/>
  <c r="S2315" i="34"/>
  <c r="T2315" i="34"/>
  <c r="V2315" i="34"/>
  <c r="W2315" i="34"/>
  <c r="X2315" i="34"/>
  <c r="N2316" i="34"/>
  <c r="R2316" i="34"/>
  <c r="S2316" i="34"/>
  <c r="T2316" i="34"/>
  <c r="V2316" i="34"/>
  <c r="W2316" i="34"/>
  <c r="X2316" i="34"/>
  <c r="N2317" i="34"/>
  <c r="R2317" i="34"/>
  <c r="S2317" i="34"/>
  <c r="T2317" i="34"/>
  <c r="V2317" i="34"/>
  <c r="W2317" i="34"/>
  <c r="X2317" i="34"/>
  <c r="N2318" i="34"/>
  <c r="R2318" i="34"/>
  <c r="S2318" i="34"/>
  <c r="T2318" i="34"/>
  <c r="V2318" i="34"/>
  <c r="W2318" i="34"/>
  <c r="X2318" i="34"/>
  <c r="N2319" i="34"/>
  <c r="R2319" i="34"/>
  <c r="S2319" i="34"/>
  <c r="T2319" i="34"/>
  <c r="V2319" i="34"/>
  <c r="W2319" i="34"/>
  <c r="X2319" i="34"/>
  <c r="N2320" i="34"/>
  <c r="R2320" i="34"/>
  <c r="S2320" i="34"/>
  <c r="T2320" i="34"/>
  <c r="V2320" i="34"/>
  <c r="W2320" i="34"/>
  <c r="X2320" i="34"/>
  <c r="N2321" i="34"/>
  <c r="R2321" i="34"/>
  <c r="S2321" i="34"/>
  <c r="T2321" i="34"/>
  <c r="V2321" i="34"/>
  <c r="W2321" i="34"/>
  <c r="X2321" i="34"/>
  <c r="N2322" i="34"/>
  <c r="R2322" i="34"/>
  <c r="S2322" i="34"/>
  <c r="T2322" i="34"/>
  <c r="V2322" i="34"/>
  <c r="W2322" i="34"/>
  <c r="X2322" i="34"/>
  <c r="N2323" i="34"/>
  <c r="R2323" i="34"/>
  <c r="S2323" i="34"/>
  <c r="T2323" i="34"/>
  <c r="V2323" i="34"/>
  <c r="W2323" i="34"/>
  <c r="X2323" i="34"/>
  <c r="N2324" i="34"/>
  <c r="R2324" i="34"/>
  <c r="S2324" i="34"/>
  <c r="T2324" i="34"/>
  <c r="V2324" i="34"/>
  <c r="W2324" i="34"/>
  <c r="X2324" i="34"/>
  <c r="N2325" i="34"/>
  <c r="R2325" i="34"/>
  <c r="S2325" i="34"/>
  <c r="T2325" i="34"/>
  <c r="V2325" i="34"/>
  <c r="W2325" i="34"/>
  <c r="X2325" i="34"/>
  <c r="N2326" i="34"/>
  <c r="R2326" i="34"/>
  <c r="S2326" i="34"/>
  <c r="T2326" i="34"/>
  <c r="V2326" i="34"/>
  <c r="W2326" i="34"/>
  <c r="X2326" i="34"/>
  <c r="N2327" i="34"/>
  <c r="R2327" i="34"/>
  <c r="S2327" i="34"/>
  <c r="T2327" i="34"/>
  <c r="V2327" i="34"/>
  <c r="W2327" i="34"/>
  <c r="X2327" i="34"/>
  <c r="N2328" i="34"/>
  <c r="R2328" i="34"/>
  <c r="S2328" i="34"/>
  <c r="T2328" i="34"/>
  <c r="V2328" i="34"/>
  <c r="W2328" i="34"/>
  <c r="X2328" i="34"/>
  <c r="N2329" i="34"/>
  <c r="R2329" i="34"/>
  <c r="S2329" i="34"/>
  <c r="T2329" i="34"/>
  <c r="V2329" i="34"/>
  <c r="W2329" i="34"/>
  <c r="X2329" i="34"/>
  <c r="N2330" i="34"/>
  <c r="R2330" i="34"/>
  <c r="S2330" i="34"/>
  <c r="T2330" i="34"/>
  <c r="V2330" i="34"/>
  <c r="W2330" i="34"/>
  <c r="X2330" i="34"/>
  <c r="N2331" i="34"/>
  <c r="R2331" i="34"/>
  <c r="S2331" i="34"/>
  <c r="T2331" i="34"/>
  <c r="V2331" i="34"/>
  <c r="W2331" i="34"/>
  <c r="X2331" i="34"/>
  <c r="N2332" i="34"/>
  <c r="R2332" i="34"/>
  <c r="S2332" i="34"/>
  <c r="T2332" i="34"/>
  <c r="V2332" i="34"/>
  <c r="W2332" i="34"/>
  <c r="X2332" i="34"/>
  <c r="N2333" i="34"/>
  <c r="R2333" i="34"/>
  <c r="S2333" i="34"/>
  <c r="T2333" i="34"/>
  <c r="V2333" i="34"/>
  <c r="W2333" i="34"/>
  <c r="X2333" i="34"/>
  <c r="N2334" i="34"/>
  <c r="R2334" i="34"/>
  <c r="S2334" i="34"/>
  <c r="T2334" i="34"/>
  <c r="V2334" i="34"/>
  <c r="W2334" i="34"/>
  <c r="X2334" i="34"/>
  <c r="N2335" i="34"/>
  <c r="R2335" i="34"/>
  <c r="S2335" i="34"/>
  <c r="T2335" i="34"/>
  <c r="V2335" i="34"/>
  <c r="W2335" i="34"/>
  <c r="X2335" i="34"/>
  <c r="N2336" i="34"/>
  <c r="R2336" i="34"/>
  <c r="S2336" i="34"/>
  <c r="T2336" i="34"/>
  <c r="V2336" i="34"/>
  <c r="W2336" i="34"/>
  <c r="X2336" i="34"/>
  <c r="N2337" i="34"/>
  <c r="R2337" i="34"/>
  <c r="S2337" i="34"/>
  <c r="T2337" i="34"/>
  <c r="V2337" i="34"/>
  <c r="W2337" i="34"/>
  <c r="X2337" i="34"/>
  <c r="N2338" i="34"/>
  <c r="R2338" i="34"/>
  <c r="S2338" i="34"/>
  <c r="T2338" i="34"/>
  <c r="V2338" i="34"/>
  <c r="W2338" i="34"/>
  <c r="X2338" i="34"/>
  <c r="N2339" i="34"/>
  <c r="R2339" i="34"/>
  <c r="S2339" i="34"/>
  <c r="T2339" i="34"/>
  <c r="V2339" i="34"/>
  <c r="W2339" i="34"/>
  <c r="X2339" i="34"/>
  <c r="N2340" i="34"/>
  <c r="R2340" i="34"/>
  <c r="S2340" i="34"/>
  <c r="T2340" i="34"/>
  <c r="V2340" i="34"/>
  <c r="W2340" i="34"/>
  <c r="X2340" i="34"/>
  <c r="N2341" i="34"/>
  <c r="R2341" i="34"/>
  <c r="S2341" i="34"/>
  <c r="T2341" i="34"/>
  <c r="V2341" i="34"/>
  <c r="W2341" i="34"/>
  <c r="X2341" i="34"/>
  <c r="N2342" i="34"/>
  <c r="R2342" i="34"/>
  <c r="S2342" i="34"/>
  <c r="T2342" i="34"/>
  <c r="V2342" i="34"/>
  <c r="W2342" i="34"/>
  <c r="X2342" i="34"/>
  <c r="N2343" i="34"/>
  <c r="R2343" i="34"/>
  <c r="S2343" i="34"/>
  <c r="T2343" i="34"/>
  <c r="V2343" i="34"/>
  <c r="W2343" i="34"/>
  <c r="X2343" i="34"/>
  <c r="N2344" i="34"/>
  <c r="R2344" i="34"/>
  <c r="S2344" i="34"/>
  <c r="T2344" i="34"/>
  <c r="V2344" i="34"/>
  <c r="W2344" i="34"/>
  <c r="X2344" i="34"/>
  <c r="N2345" i="34"/>
  <c r="R2345" i="34"/>
  <c r="S2345" i="34"/>
  <c r="T2345" i="34"/>
  <c r="V2345" i="34"/>
  <c r="W2345" i="34"/>
  <c r="X2345" i="34"/>
  <c r="N2346" i="34"/>
  <c r="R2346" i="34"/>
  <c r="S2346" i="34"/>
  <c r="T2346" i="34"/>
  <c r="V2346" i="34"/>
  <c r="W2346" i="34"/>
  <c r="X2346" i="34"/>
  <c r="N2347" i="34"/>
  <c r="R2347" i="34"/>
  <c r="S2347" i="34"/>
  <c r="T2347" i="34"/>
  <c r="V2347" i="34"/>
  <c r="W2347" i="34"/>
  <c r="X2347" i="34"/>
  <c r="N2348" i="34"/>
  <c r="R2348" i="34"/>
  <c r="S2348" i="34"/>
  <c r="T2348" i="34"/>
  <c r="V2348" i="34"/>
  <c r="W2348" i="34"/>
  <c r="X2348" i="34"/>
  <c r="N2349" i="34"/>
  <c r="R2349" i="34"/>
  <c r="S2349" i="34"/>
  <c r="T2349" i="34"/>
  <c r="V2349" i="34"/>
  <c r="W2349" i="34"/>
  <c r="X2349" i="34"/>
  <c r="N2350" i="34"/>
  <c r="R2350" i="34"/>
  <c r="S2350" i="34"/>
  <c r="T2350" i="34"/>
  <c r="V2350" i="34"/>
  <c r="W2350" i="34"/>
  <c r="X2350" i="34"/>
  <c r="N2351" i="34"/>
  <c r="R2351" i="34"/>
  <c r="S2351" i="34"/>
  <c r="T2351" i="34"/>
  <c r="V2351" i="34"/>
  <c r="W2351" i="34"/>
  <c r="X2351" i="34"/>
  <c r="N2352" i="34"/>
  <c r="R2352" i="34"/>
  <c r="S2352" i="34"/>
  <c r="T2352" i="34"/>
  <c r="V2352" i="34"/>
  <c r="W2352" i="34"/>
  <c r="X2352" i="34"/>
  <c r="N2353" i="34"/>
  <c r="R2353" i="34"/>
  <c r="S2353" i="34"/>
  <c r="T2353" i="34"/>
  <c r="V2353" i="34"/>
  <c r="W2353" i="34"/>
  <c r="X2353" i="34"/>
  <c r="N2354" i="34"/>
  <c r="R2354" i="34"/>
  <c r="S2354" i="34"/>
  <c r="T2354" i="34"/>
  <c r="V2354" i="34"/>
  <c r="W2354" i="34"/>
  <c r="X2354" i="34"/>
  <c r="N2355" i="34"/>
  <c r="R2355" i="34"/>
  <c r="S2355" i="34"/>
  <c r="T2355" i="34"/>
  <c r="V2355" i="34"/>
  <c r="W2355" i="34"/>
  <c r="X2355" i="34"/>
  <c r="N2356" i="34"/>
  <c r="R2356" i="34"/>
  <c r="S2356" i="34"/>
  <c r="T2356" i="34"/>
  <c r="V2356" i="34"/>
  <c r="W2356" i="34"/>
  <c r="X2356" i="34"/>
  <c r="N2357" i="34"/>
  <c r="R2357" i="34"/>
  <c r="S2357" i="34"/>
  <c r="T2357" i="34"/>
  <c r="V2357" i="34"/>
  <c r="W2357" i="34"/>
  <c r="X2357" i="34"/>
  <c r="N2358" i="34"/>
  <c r="R2358" i="34"/>
  <c r="S2358" i="34"/>
  <c r="T2358" i="34"/>
  <c r="V2358" i="34"/>
  <c r="W2358" i="34"/>
  <c r="X2358" i="34"/>
  <c r="N2359" i="34"/>
  <c r="R2359" i="34"/>
  <c r="S2359" i="34"/>
  <c r="T2359" i="34"/>
  <c r="V2359" i="34"/>
  <c r="W2359" i="34"/>
  <c r="X2359" i="34"/>
  <c r="N2360" i="34"/>
  <c r="R2360" i="34"/>
  <c r="S2360" i="34"/>
  <c r="T2360" i="34"/>
  <c r="V2360" i="34"/>
  <c r="W2360" i="34"/>
  <c r="X2360" i="34"/>
  <c r="N2361" i="34"/>
  <c r="R2361" i="34"/>
  <c r="S2361" i="34"/>
  <c r="T2361" i="34"/>
  <c r="V2361" i="34"/>
  <c r="W2361" i="34"/>
  <c r="X2361" i="34"/>
  <c r="N2362" i="34"/>
  <c r="R2362" i="34"/>
  <c r="S2362" i="34"/>
  <c r="T2362" i="34"/>
  <c r="V2362" i="34"/>
  <c r="W2362" i="34"/>
  <c r="X2362" i="34"/>
  <c r="N2363" i="34"/>
  <c r="R2363" i="34"/>
  <c r="S2363" i="34"/>
  <c r="T2363" i="34"/>
  <c r="V2363" i="34"/>
  <c r="W2363" i="34"/>
  <c r="X2363" i="34"/>
  <c r="N2364" i="34"/>
  <c r="R2364" i="34"/>
  <c r="S2364" i="34"/>
  <c r="T2364" i="34"/>
  <c r="V2364" i="34"/>
  <c r="W2364" i="34"/>
  <c r="X2364" i="34"/>
  <c r="N2365" i="34"/>
  <c r="R2365" i="34"/>
  <c r="S2365" i="34"/>
  <c r="T2365" i="34"/>
  <c r="V2365" i="34"/>
  <c r="W2365" i="34"/>
  <c r="X2365" i="34"/>
  <c r="N2366" i="34"/>
  <c r="R2366" i="34"/>
  <c r="S2366" i="34"/>
  <c r="T2366" i="34"/>
  <c r="V2366" i="34"/>
  <c r="W2366" i="34"/>
  <c r="X2366" i="34"/>
  <c r="N2367" i="34"/>
  <c r="R2367" i="34"/>
  <c r="S2367" i="34"/>
  <c r="T2367" i="34"/>
  <c r="V2367" i="34"/>
  <c r="W2367" i="34"/>
  <c r="X2367" i="34"/>
  <c r="N2368" i="34"/>
  <c r="R2368" i="34"/>
  <c r="S2368" i="34"/>
  <c r="T2368" i="34"/>
  <c r="V2368" i="34"/>
  <c r="W2368" i="34"/>
  <c r="X2368" i="34"/>
  <c r="N2369" i="34"/>
  <c r="R2369" i="34"/>
  <c r="S2369" i="34"/>
  <c r="T2369" i="34"/>
  <c r="V2369" i="34"/>
  <c r="W2369" i="34"/>
  <c r="X2369" i="34"/>
  <c r="N2370" i="34"/>
  <c r="R2370" i="34"/>
  <c r="S2370" i="34"/>
  <c r="T2370" i="34"/>
  <c r="V2370" i="34"/>
  <c r="W2370" i="34"/>
  <c r="X2370" i="34"/>
  <c r="N2371" i="34"/>
  <c r="R2371" i="34"/>
  <c r="S2371" i="34"/>
  <c r="T2371" i="34"/>
  <c r="V2371" i="34"/>
  <c r="W2371" i="34"/>
  <c r="X2371" i="34"/>
  <c r="N2372" i="34"/>
  <c r="R2372" i="34"/>
  <c r="S2372" i="34"/>
  <c r="T2372" i="34"/>
  <c r="V2372" i="34"/>
  <c r="W2372" i="34"/>
  <c r="X2372" i="34"/>
  <c r="N2373" i="34"/>
  <c r="R2373" i="34"/>
  <c r="S2373" i="34"/>
  <c r="T2373" i="34"/>
  <c r="V2373" i="34"/>
  <c r="W2373" i="34"/>
  <c r="X2373" i="34"/>
  <c r="N2374" i="34"/>
  <c r="R2374" i="34"/>
  <c r="S2374" i="34"/>
  <c r="T2374" i="34"/>
  <c r="V2374" i="34"/>
  <c r="W2374" i="34"/>
  <c r="X2374" i="34"/>
  <c r="N2375" i="34"/>
  <c r="R2375" i="34"/>
  <c r="S2375" i="34"/>
  <c r="T2375" i="34"/>
  <c r="V2375" i="34"/>
  <c r="W2375" i="34"/>
  <c r="X2375" i="34"/>
  <c r="N2376" i="34"/>
  <c r="R2376" i="34"/>
  <c r="S2376" i="34"/>
  <c r="T2376" i="34"/>
  <c r="V2376" i="34"/>
  <c r="W2376" i="34"/>
  <c r="X2376" i="34"/>
  <c r="N2377" i="34"/>
  <c r="R2377" i="34"/>
  <c r="S2377" i="34"/>
  <c r="T2377" i="34"/>
  <c r="V2377" i="34"/>
  <c r="W2377" i="34"/>
  <c r="X2377" i="34"/>
  <c r="N2378" i="34"/>
  <c r="R2378" i="34"/>
  <c r="S2378" i="34"/>
  <c r="T2378" i="34"/>
  <c r="V2378" i="34"/>
  <c r="W2378" i="34"/>
  <c r="X2378" i="34"/>
  <c r="N2379" i="34"/>
  <c r="R2379" i="34"/>
  <c r="S2379" i="34"/>
  <c r="T2379" i="34"/>
  <c r="V2379" i="34"/>
  <c r="W2379" i="34"/>
  <c r="X2379" i="34"/>
  <c r="N2380" i="34"/>
  <c r="R2380" i="34"/>
  <c r="S2380" i="34"/>
  <c r="T2380" i="34"/>
  <c r="V2380" i="34"/>
  <c r="W2380" i="34"/>
  <c r="X2380" i="34"/>
  <c r="N2381" i="34"/>
  <c r="R2381" i="34"/>
  <c r="S2381" i="34"/>
  <c r="T2381" i="34"/>
  <c r="V2381" i="34"/>
  <c r="W2381" i="34"/>
  <c r="X2381" i="34"/>
  <c r="N2382" i="34"/>
  <c r="R2382" i="34"/>
  <c r="S2382" i="34"/>
  <c r="T2382" i="34"/>
  <c r="V2382" i="34"/>
  <c r="W2382" i="34"/>
  <c r="X2382" i="34"/>
  <c r="N2383" i="34"/>
  <c r="R2383" i="34"/>
  <c r="S2383" i="34"/>
  <c r="T2383" i="34"/>
  <c r="V2383" i="34"/>
  <c r="W2383" i="34"/>
  <c r="X2383" i="34"/>
  <c r="N2384" i="34"/>
  <c r="R2384" i="34"/>
  <c r="S2384" i="34"/>
  <c r="T2384" i="34"/>
  <c r="V2384" i="34"/>
  <c r="W2384" i="34"/>
  <c r="X2384" i="34"/>
  <c r="N2385" i="34"/>
  <c r="R2385" i="34"/>
  <c r="S2385" i="34"/>
  <c r="T2385" i="34"/>
  <c r="V2385" i="34"/>
  <c r="W2385" i="34"/>
  <c r="X2385" i="34"/>
  <c r="N2386" i="34"/>
  <c r="R2386" i="34"/>
  <c r="S2386" i="34"/>
  <c r="T2386" i="34"/>
  <c r="V2386" i="34"/>
  <c r="W2386" i="34"/>
  <c r="X2386" i="34"/>
  <c r="N2387" i="34"/>
  <c r="R2387" i="34"/>
  <c r="S2387" i="34"/>
  <c r="T2387" i="34"/>
  <c r="V2387" i="34"/>
  <c r="W2387" i="34"/>
  <c r="X2387" i="34"/>
  <c r="N2388" i="34"/>
  <c r="R2388" i="34"/>
  <c r="S2388" i="34"/>
  <c r="T2388" i="34"/>
  <c r="V2388" i="34"/>
  <c r="W2388" i="34"/>
  <c r="X2388" i="34"/>
  <c r="N2389" i="34"/>
  <c r="R2389" i="34"/>
  <c r="S2389" i="34"/>
  <c r="T2389" i="34"/>
  <c r="V2389" i="34"/>
  <c r="W2389" i="34"/>
  <c r="X2389" i="34"/>
  <c r="N2390" i="34"/>
  <c r="R2390" i="34"/>
  <c r="S2390" i="34"/>
  <c r="T2390" i="34"/>
  <c r="V2390" i="34"/>
  <c r="W2390" i="34"/>
  <c r="X2390" i="34"/>
  <c r="N2391" i="34"/>
  <c r="R2391" i="34"/>
  <c r="S2391" i="34"/>
  <c r="T2391" i="34"/>
  <c r="V2391" i="34"/>
  <c r="W2391" i="34"/>
  <c r="X2391" i="34"/>
  <c r="N2392" i="34"/>
  <c r="R2392" i="34"/>
  <c r="S2392" i="34"/>
  <c r="T2392" i="34"/>
  <c r="V2392" i="34"/>
  <c r="W2392" i="34"/>
  <c r="X2392" i="34"/>
  <c r="N2393" i="34"/>
  <c r="R2393" i="34"/>
  <c r="S2393" i="34"/>
  <c r="T2393" i="34"/>
  <c r="V2393" i="34"/>
  <c r="W2393" i="34"/>
  <c r="X2393" i="34"/>
  <c r="N2394" i="34"/>
  <c r="R2394" i="34"/>
  <c r="S2394" i="34"/>
  <c r="T2394" i="34"/>
  <c r="V2394" i="34"/>
  <c r="W2394" i="34"/>
  <c r="X2394" i="34"/>
  <c r="N2395" i="34"/>
  <c r="R2395" i="34"/>
  <c r="S2395" i="34"/>
  <c r="T2395" i="34"/>
  <c r="V2395" i="34"/>
  <c r="W2395" i="34"/>
  <c r="X2395" i="34"/>
  <c r="N2396" i="34"/>
  <c r="R2396" i="34"/>
  <c r="S2396" i="34"/>
  <c r="T2396" i="34"/>
  <c r="V2396" i="34"/>
  <c r="W2396" i="34"/>
  <c r="X2396" i="34"/>
  <c r="N2397" i="34"/>
  <c r="R2397" i="34"/>
  <c r="S2397" i="34"/>
  <c r="T2397" i="34"/>
  <c r="V2397" i="34"/>
  <c r="W2397" i="34"/>
  <c r="X2397" i="34"/>
  <c r="N2398" i="34"/>
  <c r="R2398" i="34"/>
  <c r="S2398" i="34"/>
  <c r="T2398" i="34"/>
  <c r="V2398" i="34"/>
  <c r="W2398" i="34"/>
  <c r="X2398" i="34"/>
  <c r="N2399" i="34"/>
  <c r="R2399" i="34"/>
  <c r="S2399" i="34"/>
  <c r="T2399" i="34"/>
  <c r="V2399" i="34"/>
  <c r="W2399" i="34"/>
  <c r="X2399" i="34"/>
  <c r="N2400" i="34"/>
  <c r="R2400" i="34"/>
  <c r="S2400" i="34"/>
  <c r="T2400" i="34"/>
  <c r="V2400" i="34"/>
  <c r="W2400" i="34"/>
  <c r="X2400" i="34"/>
  <c r="N2401" i="34"/>
  <c r="R2401" i="34"/>
  <c r="S2401" i="34"/>
  <c r="T2401" i="34"/>
  <c r="V2401" i="34"/>
  <c r="W2401" i="34"/>
  <c r="X2401" i="34"/>
  <c r="N2402" i="34"/>
  <c r="R2402" i="34"/>
  <c r="S2402" i="34"/>
  <c r="T2402" i="34"/>
  <c r="V2402" i="34"/>
  <c r="W2402" i="34"/>
  <c r="X2402" i="34"/>
  <c r="N2403" i="34"/>
  <c r="R2403" i="34"/>
  <c r="S2403" i="34"/>
  <c r="T2403" i="34"/>
  <c r="V2403" i="34"/>
  <c r="W2403" i="34"/>
  <c r="X2403" i="34"/>
  <c r="N2404" i="34"/>
  <c r="R2404" i="34"/>
  <c r="S2404" i="34"/>
  <c r="T2404" i="34"/>
  <c r="V2404" i="34"/>
  <c r="W2404" i="34"/>
  <c r="X2404" i="34"/>
  <c r="N2405" i="34"/>
  <c r="R2405" i="34"/>
  <c r="S2405" i="34"/>
  <c r="T2405" i="34"/>
  <c r="V2405" i="34"/>
  <c r="W2405" i="34"/>
  <c r="X2405" i="34"/>
  <c r="N2406" i="34"/>
  <c r="R2406" i="34"/>
  <c r="S2406" i="34"/>
  <c r="T2406" i="34"/>
  <c r="V2406" i="34"/>
  <c r="W2406" i="34"/>
  <c r="X2406" i="34"/>
  <c r="N2407" i="34"/>
  <c r="R2407" i="34"/>
  <c r="S2407" i="34"/>
  <c r="T2407" i="34"/>
  <c r="V2407" i="34"/>
  <c r="W2407" i="34"/>
  <c r="X2407" i="34"/>
  <c r="N2408" i="34"/>
  <c r="R2408" i="34"/>
  <c r="S2408" i="34"/>
  <c r="T2408" i="34"/>
  <c r="V2408" i="34"/>
  <c r="W2408" i="34"/>
  <c r="X2408" i="34"/>
  <c r="N2409" i="34"/>
  <c r="R2409" i="34"/>
  <c r="S2409" i="34"/>
  <c r="T2409" i="34"/>
  <c r="V2409" i="34"/>
  <c r="W2409" i="34"/>
  <c r="X2409" i="34"/>
  <c r="N2410" i="34"/>
  <c r="R2410" i="34"/>
  <c r="S2410" i="34"/>
  <c r="T2410" i="34"/>
  <c r="V2410" i="34"/>
  <c r="W2410" i="34"/>
  <c r="X2410" i="34"/>
  <c r="N2411" i="34"/>
  <c r="R2411" i="34"/>
  <c r="S2411" i="34"/>
  <c r="T2411" i="34"/>
  <c r="V2411" i="34"/>
  <c r="W2411" i="34"/>
  <c r="X2411" i="34"/>
  <c r="N2412" i="34"/>
  <c r="R2412" i="34"/>
  <c r="S2412" i="34"/>
  <c r="T2412" i="34"/>
  <c r="V2412" i="34"/>
  <c r="W2412" i="34"/>
  <c r="X2412" i="34"/>
  <c r="N2413" i="34"/>
  <c r="R2413" i="34"/>
  <c r="S2413" i="34"/>
  <c r="T2413" i="34"/>
  <c r="V2413" i="34"/>
  <c r="W2413" i="34"/>
  <c r="X2413" i="34"/>
  <c r="N2414" i="34"/>
  <c r="R2414" i="34"/>
  <c r="S2414" i="34"/>
  <c r="T2414" i="34"/>
  <c r="V2414" i="34"/>
  <c r="W2414" i="34"/>
  <c r="X2414" i="34"/>
  <c r="N2415" i="34"/>
  <c r="R2415" i="34"/>
  <c r="S2415" i="34"/>
  <c r="T2415" i="34"/>
  <c r="V2415" i="34"/>
  <c r="W2415" i="34"/>
  <c r="X2415" i="34"/>
  <c r="N2416" i="34"/>
  <c r="R2416" i="34"/>
  <c r="S2416" i="34"/>
  <c r="T2416" i="34"/>
  <c r="V2416" i="34"/>
  <c r="W2416" i="34"/>
  <c r="X2416" i="34"/>
  <c r="N2417" i="34"/>
  <c r="R2417" i="34"/>
  <c r="S2417" i="34"/>
  <c r="T2417" i="34"/>
  <c r="V2417" i="34"/>
  <c r="W2417" i="34"/>
  <c r="X2417" i="34"/>
  <c r="N2418" i="34"/>
  <c r="R2418" i="34"/>
  <c r="S2418" i="34"/>
  <c r="T2418" i="34"/>
  <c r="V2418" i="34"/>
  <c r="W2418" i="34"/>
  <c r="X2418" i="34"/>
  <c r="N2419" i="34"/>
  <c r="R2419" i="34"/>
  <c r="S2419" i="34"/>
  <c r="T2419" i="34"/>
  <c r="V2419" i="34"/>
  <c r="W2419" i="34"/>
  <c r="X2419" i="34"/>
  <c r="N2420" i="34"/>
  <c r="R2420" i="34"/>
  <c r="S2420" i="34"/>
  <c r="T2420" i="34"/>
  <c r="V2420" i="34"/>
  <c r="W2420" i="34"/>
  <c r="X2420" i="34"/>
  <c r="N2421" i="34"/>
  <c r="R2421" i="34"/>
  <c r="S2421" i="34"/>
  <c r="T2421" i="34"/>
  <c r="V2421" i="34"/>
  <c r="W2421" i="34"/>
  <c r="X2421" i="34"/>
  <c r="N2422" i="34"/>
  <c r="R2422" i="34"/>
  <c r="S2422" i="34"/>
  <c r="T2422" i="34"/>
  <c r="V2422" i="34"/>
  <c r="W2422" i="34"/>
  <c r="X2422" i="34"/>
  <c r="N2423" i="34"/>
  <c r="R2423" i="34"/>
  <c r="S2423" i="34"/>
  <c r="T2423" i="34"/>
  <c r="V2423" i="34"/>
  <c r="W2423" i="34"/>
  <c r="X2423" i="34"/>
  <c r="N2424" i="34"/>
  <c r="R2424" i="34"/>
  <c r="S2424" i="34"/>
  <c r="T2424" i="34"/>
  <c r="V2424" i="34"/>
  <c r="W2424" i="34"/>
  <c r="X2424" i="34"/>
  <c r="N2425" i="34"/>
  <c r="R2425" i="34"/>
  <c r="S2425" i="34"/>
  <c r="T2425" i="34"/>
  <c r="V2425" i="34"/>
  <c r="W2425" i="34"/>
  <c r="X2425" i="34"/>
  <c r="N2426" i="34"/>
  <c r="R2426" i="34"/>
  <c r="S2426" i="34"/>
  <c r="T2426" i="34"/>
  <c r="V2426" i="34"/>
  <c r="W2426" i="34"/>
  <c r="X2426" i="34"/>
  <c r="N2427" i="34"/>
  <c r="R2427" i="34"/>
  <c r="S2427" i="34"/>
  <c r="T2427" i="34"/>
  <c r="V2427" i="34"/>
  <c r="W2427" i="34"/>
  <c r="X2427" i="34"/>
  <c r="N2428" i="34"/>
  <c r="R2428" i="34"/>
  <c r="S2428" i="34"/>
  <c r="T2428" i="34"/>
  <c r="V2428" i="34"/>
  <c r="W2428" i="34"/>
  <c r="X2428" i="34"/>
  <c r="N2429" i="34"/>
  <c r="R2429" i="34"/>
  <c r="S2429" i="34"/>
  <c r="T2429" i="34"/>
  <c r="V2429" i="34"/>
  <c r="W2429" i="34"/>
  <c r="X2429" i="34"/>
  <c r="N2430" i="34"/>
  <c r="R2430" i="34"/>
  <c r="S2430" i="34"/>
  <c r="T2430" i="34"/>
  <c r="V2430" i="34"/>
  <c r="W2430" i="34"/>
  <c r="X2430" i="34"/>
  <c r="N2431" i="34"/>
  <c r="R2431" i="34"/>
  <c r="S2431" i="34"/>
  <c r="T2431" i="34"/>
  <c r="V2431" i="34"/>
  <c r="W2431" i="34"/>
  <c r="X2431" i="34"/>
  <c r="N2432" i="34"/>
  <c r="R2432" i="34"/>
  <c r="S2432" i="34"/>
  <c r="T2432" i="34"/>
  <c r="V2432" i="34"/>
  <c r="W2432" i="34"/>
  <c r="X2432" i="34"/>
  <c r="N2433" i="34"/>
  <c r="R2433" i="34"/>
  <c r="S2433" i="34"/>
  <c r="T2433" i="34"/>
  <c r="V2433" i="34"/>
  <c r="W2433" i="34"/>
  <c r="X2433" i="34"/>
  <c r="N2434" i="34"/>
  <c r="R2434" i="34"/>
  <c r="S2434" i="34"/>
  <c r="T2434" i="34"/>
  <c r="V2434" i="34"/>
  <c r="W2434" i="34"/>
  <c r="X2434" i="34"/>
  <c r="N2435" i="34"/>
  <c r="R2435" i="34"/>
  <c r="S2435" i="34"/>
  <c r="T2435" i="34"/>
  <c r="V2435" i="34"/>
  <c r="W2435" i="34"/>
  <c r="X2435" i="34"/>
  <c r="N2436" i="34"/>
  <c r="R2436" i="34"/>
  <c r="S2436" i="34"/>
  <c r="T2436" i="34"/>
  <c r="V2436" i="34"/>
  <c r="W2436" i="34"/>
  <c r="X2436" i="34"/>
  <c r="N2437" i="34"/>
  <c r="R2437" i="34"/>
  <c r="S2437" i="34"/>
  <c r="T2437" i="34"/>
  <c r="V2437" i="34"/>
  <c r="W2437" i="34"/>
  <c r="X2437" i="34"/>
  <c r="N2438" i="34"/>
  <c r="R2438" i="34"/>
  <c r="S2438" i="34"/>
  <c r="T2438" i="34"/>
  <c r="V2438" i="34"/>
  <c r="W2438" i="34"/>
  <c r="X2438" i="34"/>
  <c r="N2439" i="34"/>
  <c r="R2439" i="34"/>
  <c r="S2439" i="34"/>
  <c r="T2439" i="34"/>
  <c r="V2439" i="34"/>
  <c r="W2439" i="34"/>
  <c r="X2439" i="34"/>
  <c r="N2440" i="34"/>
  <c r="R2440" i="34"/>
  <c r="S2440" i="34"/>
  <c r="T2440" i="34"/>
  <c r="V2440" i="34"/>
  <c r="W2440" i="34"/>
  <c r="X2440" i="34"/>
  <c r="N2441" i="34"/>
  <c r="R2441" i="34"/>
  <c r="S2441" i="34"/>
  <c r="T2441" i="34"/>
  <c r="V2441" i="34"/>
  <c r="W2441" i="34"/>
  <c r="X2441" i="34"/>
  <c r="N2442" i="34"/>
  <c r="R2442" i="34"/>
  <c r="S2442" i="34"/>
  <c r="T2442" i="34"/>
  <c r="V2442" i="34"/>
  <c r="W2442" i="34"/>
  <c r="X2442" i="34"/>
  <c r="N2443" i="34"/>
  <c r="R2443" i="34"/>
  <c r="S2443" i="34"/>
  <c r="T2443" i="34"/>
  <c r="V2443" i="34"/>
  <c r="W2443" i="34"/>
  <c r="X2443" i="34"/>
  <c r="N2444" i="34"/>
  <c r="R2444" i="34"/>
  <c r="S2444" i="34"/>
  <c r="T2444" i="34"/>
  <c r="V2444" i="34"/>
  <c r="W2444" i="34"/>
  <c r="X2444" i="34"/>
  <c r="N2445" i="34"/>
  <c r="R2445" i="34"/>
  <c r="S2445" i="34"/>
  <c r="T2445" i="34"/>
  <c r="V2445" i="34"/>
  <c r="W2445" i="34"/>
  <c r="X2445" i="34"/>
  <c r="N2446" i="34"/>
  <c r="R2446" i="34"/>
  <c r="S2446" i="34"/>
  <c r="T2446" i="34"/>
  <c r="V2446" i="34"/>
  <c r="W2446" i="34"/>
  <c r="X2446" i="34"/>
  <c r="N2447" i="34"/>
  <c r="R2447" i="34"/>
  <c r="S2447" i="34"/>
  <c r="T2447" i="34"/>
  <c r="V2447" i="34"/>
  <c r="W2447" i="34"/>
  <c r="X2447" i="34"/>
  <c r="N2448" i="34"/>
  <c r="R2448" i="34"/>
  <c r="S2448" i="34"/>
  <c r="T2448" i="34"/>
  <c r="V2448" i="34"/>
  <c r="W2448" i="34"/>
  <c r="X2448" i="34"/>
  <c r="N2449" i="34"/>
  <c r="R2449" i="34"/>
  <c r="S2449" i="34"/>
  <c r="T2449" i="34"/>
  <c r="V2449" i="34"/>
  <c r="W2449" i="34"/>
  <c r="X2449" i="34"/>
  <c r="N2450" i="34"/>
  <c r="R2450" i="34"/>
  <c r="S2450" i="34"/>
  <c r="T2450" i="34"/>
  <c r="V2450" i="34"/>
  <c r="W2450" i="34"/>
  <c r="X2450" i="34"/>
  <c r="N2451" i="34"/>
  <c r="R2451" i="34"/>
  <c r="S2451" i="34"/>
  <c r="T2451" i="34"/>
  <c r="V2451" i="34"/>
  <c r="W2451" i="34"/>
  <c r="X2451" i="34"/>
  <c r="N2452" i="34"/>
  <c r="R2452" i="34"/>
  <c r="S2452" i="34"/>
  <c r="T2452" i="34"/>
  <c r="V2452" i="34"/>
  <c r="W2452" i="34"/>
  <c r="X2452" i="34"/>
  <c r="N2453" i="34"/>
  <c r="R2453" i="34"/>
  <c r="S2453" i="34"/>
  <c r="T2453" i="34"/>
  <c r="V2453" i="34"/>
  <c r="W2453" i="34"/>
  <c r="X2453" i="34"/>
  <c r="N2454" i="34"/>
  <c r="R2454" i="34"/>
  <c r="S2454" i="34"/>
  <c r="T2454" i="34"/>
  <c r="V2454" i="34"/>
  <c r="W2454" i="34"/>
  <c r="X2454" i="34"/>
  <c r="N2455" i="34"/>
  <c r="R2455" i="34"/>
  <c r="S2455" i="34"/>
  <c r="T2455" i="34"/>
  <c r="V2455" i="34"/>
  <c r="W2455" i="34"/>
  <c r="X2455" i="34"/>
  <c r="N2456" i="34"/>
  <c r="R2456" i="34"/>
  <c r="S2456" i="34"/>
  <c r="T2456" i="34"/>
  <c r="V2456" i="34"/>
  <c r="W2456" i="34"/>
  <c r="X2456" i="34"/>
  <c r="N2457" i="34"/>
  <c r="R2457" i="34"/>
  <c r="S2457" i="34"/>
  <c r="T2457" i="34"/>
  <c r="V2457" i="34"/>
  <c r="W2457" i="34"/>
  <c r="X2457" i="34"/>
  <c r="N2458" i="34"/>
  <c r="R2458" i="34"/>
  <c r="S2458" i="34"/>
  <c r="T2458" i="34"/>
  <c r="V2458" i="34"/>
  <c r="W2458" i="34"/>
  <c r="X2458" i="34"/>
  <c r="N2459" i="34"/>
  <c r="R2459" i="34"/>
  <c r="S2459" i="34"/>
  <c r="T2459" i="34"/>
  <c r="V2459" i="34"/>
  <c r="W2459" i="34"/>
  <c r="X2459" i="34"/>
  <c r="N2460" i="34"/>
  <c r="R2460" i="34"/>
  <c r="S2460" i="34"/>
  <c r="T2460" i="34"/>
  <c r="V2460" i="34"/>
  <c r="W2460" i="34"/>
  <c r="X2460" i="34"/>
  <c r="N2461" i="34"/>
  <c r="R2461" i="34"/>
  <c r="S2461" i="34"/>
  <c r="T2461" i="34"/>
  <c r="V2461" i="34"/>
  <c r="W2461" i="34"/>
  <c r="X2461" i="34"/>
  <c r="N2462" i="34"/>
  <c r="R2462" i="34"/>
  <c r="S2462" i="34"/>
  <c r="T2462" i="34"/>
  <c r="V2462" i="34"/>
  <c r="W2462" i="34"/>
  <c r="X2462" i="34"/>
  <c r="N2463" i="34"/>
  <c r="R2463" i="34"/>
  <c r="S2463" i="34"/>
  <c r="T2463" i="34"/>
  <c r="V2463" i="34"/>
  <c r="W2463" i="34"/>
  <c r="X2463" i="34"/>
  <c r="N2464" i="34"/>
  <c r="R2464" i="34"/>
  <c r="S2464" i="34"/>
  <c r="T2464" i="34"/>
  <c r="V2464" i="34"/>
  <c r="W2464" i="34"/>
  <c r="X2464" i="34"/>
  <c r="N2465" i="34"/>
  <c r="R2465" i="34"/>
  <c r="S2465" i="34"/>
  <c r="T2465" i="34"/>
  <c r="V2465" i="34"/>
  <c r="W2465" i="34"/>
  <c r="X2465" i="34"/>
  <c r="N2466" i="34"/>
  <c r="R2466" i="34"/>
  <c r="S2466" i="34"/>
  <c r="T2466" i="34"/>
  <c r="V2466" i="34"/>
  <c r="W2466" i="34"/>
  <c r="X2466" i="34"/>
  <c r="N2467" i="34"/>
  <c r="R2467" i="34"/>
  <c r="S2467" i="34"/>
  <c r="T2467" i="34"/>
  <c r="V2467" i="34"/>
  <c r="W2467" i="34"/>
  <c r="X2467" i="34"/>
  <c r="N2468" i="34"/>
  <c r="R2468" i="34"/>
  <c r="S2468" i="34"/>
  <c r="T2468" i="34"/>
  <c r="V2468" i="34"/>
  <c r="W2468" i="34"/>
  <c r="X2468" i="34"/>
  <c r="N2469" i="34"/>
  <c r="R2469" i="34"/>
  <c r="S2469" i="34"/>
  <c r="T2469" i="34"/>
  <c r="V2469" i="34"/>
  <c r="W2469" i="34"/>
  <c r="X2469" i="34"/>
  <c r="N2470" i="34"/>
  <c r="R2470" i="34"/>
  <c r="S2470" i="34"/>
  <c r="T2470" i="34"/>
  <c r="V2470" i="34"/>
  <c r="W2470" i="34"/>
  <c r="X2470" i="34"/>
  <c r="N2471" i="34"/>
  <c r="R2471" i="34"/>
  <c r="S2471" i="34"/>
  <c r="T2471" i="34"/>
  <c r="V2471" i="34"/>
  <c r="W2471" i="34"/>
  <c r="X2471" i="34"/>
  <c r="N2472" i="34"/>
  <c r="R2472" i="34"/>
  <c r="S2472" i="34"/>
  <c r="T2472" i="34"/>
  <c r="V2472" i="34"/>
  <c r="W2472" i="34"/>
  <c r="X2472" i="34"/>
  <c r="N2473" i="34"/>
  <c r="R2473" i="34"/>
  <c r="S2473" i="34"/>
  <c r="T2473" i="34"/>
  <c r="V2473" i="34"/>
  <c r="W2473" i="34"/>
  <c r="X2473" i="34"/>
  <c r="N2474" i="34"/>
  <c r="R2474" i="34"/>
  <c r="S2474" i="34"/>
  <c r="T2474" i="34"/>
  <c r="V2474" i="34"/>
  <c r="W2474" i="34"/>
  <c r="X2474" i="34"/>
  <c r="N2475" i="34"/>
  <c r="R2475" i="34"/>
  <c r="S2475" i="34"/>
  <c r="T2475" i="34"/>
  <c r="V2475" i="34"/>
  <c r="W2475" i="34"/>
  <c r="X2475" i="34"/>
  <c r="N2476" i="34"/>
  <c r="R2476" i="34"/>
  <c r="S2476" i="34"/>
  <c r="T2476" i="34"/>
  <c r="V2476" i="34"/>
  <c r="W2476" i="34"/>
  <c r="X2476" i="34"/>
  <c r="N2477" i="34"/>
  <c r="R2477" i="34"/>
  <c r="S2477" i="34"/>
  <c r="T2477" i="34"/>
  <c r="V2477" i="34"/>
  <c r="W2477" i="34"/>
  <c r="X2477" i="34"/>
  <c r="N2478" i="34"/>
  <c r="R2478" i="34"/>
  <c r="S2478" i="34"/>
  <c r="T2478" i="34"/>
  <c r="V2478" i="34"/>
  <c r="W2478" i="34"/>
  <c r="X2478" i="34"/>
  <c r="N2479" i="34"/>
  <c r="R2479" i="34"/>
  <c r="S2479" i="34"/>
  <c r="T2479" i="34"/>
  <c r="V2479" i="34"/>
  <c r="W2479" i="34"/>
  <c r="X2479" i="34"/>
  <c r="N2480" i="34"/>
  <c r="R2480" i="34"/>
  <c r="S2480" i="34"/>
  <c r="T2480" i="34"/>
  <c r="V2480" i="34"/>
  <c r="W2480" i="34"/>
  <c r="X2480" i="34"/>
  <c r="N2481" i="34"/>
  <c r="R2481" i="34"/>
  <c r="S2481" i="34"/>
  <c r="T2481" i="34"/>
  <c r="V2481" i="34"/>
  <c r="W2481" i="34"/>
  <c r="X2481" i="34"/>
  <c r="N2482" i="34"/>
  <c r="R2482" i="34"/>
  <c r="S2482" i="34"/>
  <c r="T2482" i="34"/>
  <c r="V2482" i="34"/>
  <c r="W2482" i="34"/>
  <c r="X2482" i="34"/>
  <c r="N2483" i="34"/>
  <c r="R2483" i="34"/>
  <c r="S2483" i="34"/>
  <c r="T2483" i="34"/>
  <c r="V2483" i="34"/>
  <c r="W2483" i="34"/>
  <c r="X2483" i="34"/>
  <c r="N2484" i="34"/>
  <c r="R2484" i="34"/>
  <c r="S2484" i="34"/>
  <c r="T2484" i="34"/>
  <c r="V2484" i="34"/>
  <c r="W2484" i="34"/>
  <c r="X2484" i="34"/>
  <c r="N2485" i="34"/>
  <c r="R2485" i="34"/>
  <c r="S2485" i="34"/>
  <c r="T2485" i="34"/>
  <c r="V2485" i="34"/>
  <c r="W2485" i="34"/>
  <c r="X2485" i="34"/>
  <c r="N2486" i="34"/>
  <c r="R2486" i="34"/>
  <c r="S2486" i="34"/>
  <c r="T2486" i="34"/>
  <c r="V2486" i="34"/>
  <c r="W2486" i="34"/>
  <c r="X2486" i="34"/>
  <c r="N2487" i="34"/>
  <c r="R2487" i="34"/>
  <c r="S2487" i="34"/>
  <c r="T2487" i="34"/>
  <c r="V2487" i="34"/>
  <c r="W2487" i="34"/>
  <c r="X2487" i="34"/>
  <c r="N2488" i="34"/>
  <c r="R2488" i="34"/>
  <c r="S2488" i="34"/>
  <c r="T2488" i="34"/>
  <c r="V2488" i="34"/>
  <c r="W2488" i="34"/>
  <c r="X2488" i="34"/>
  <c r="N2489" i="34"/>
  <c r="R2489" i="34"/>
  <c r="S2489" i="34"/>
  <c r="T2489" i="34"/>
  <c r="V2489" i="34"/>
  <c r="W2489" i="34"/>
  <c r="X2489" i="34"/>
  <c r="N2490" i="34"/>
  <c r="R2490" i="34"/>
  <c r="S2490" i="34"/>
  <c r="T2490" i="34"/>
  <c r="V2490" i="34"/>
  <c r="W2490" i="34"/>
  <c r="X2490" i="34"/>
  <c r="N2491" i="34"/>
  <c r="R2491" i="34"/>
  <c r="S2491" i="34"/>
  <c r="T2491" i="34"/>
  <c r="V2491" i="34"/>
  <c r="W2491" i="34"/>
  <c r="X2491" i="34"/>
  <c r="N2492" i="34"/>
  <c r="R2492" i="34"/>
  <c r="S2492" i="34"/>
  <c r="T2492" i="34"/>
  <c r="V2492" i="34"/>
  <c r="W2492" i="34"/>
  <c r="X2492" i="34"/>
  <c r="N2493" i="34"/>
  <c r="R2493" i="34"/>
  <c r="S2493" i="34"/>
  <c r="T2493" i="34"/>
  <c r="V2493" i="34"/>
  <c r="W2493" i="34"/>
  <c r="X2493" i="34"/>
  <c r="N2494" i="34"/>
  <c r="R2494" i="34"/>
  <c r="S2494" i="34"/>
  <c r="T2494" i="34"/>
  <c r="V2494" i="34"/>
  <c r="W2494" i="34"/>
  <c r="X2494" i="34"/>
  <c r="N2495" i="34"/>
  <c r="R2495" i="34"/>
  <c r="S2495" i="34"/>
  <c r="T2495" i="34"/>
  <c r="V2495" i="34"/>
  <c r="W2495" i="34"/>
  <c r="X2495" i="34"/>
  <c r="N2496" i="34"/>
  <c r="R2496" i="34"/>
  <c r="S2496" i="34"/>
  <c r="T2496" i="34"/>
  <c r="V2496" i="34"/>
  <c r="W2496" i="34"/>
  <c r="X2496" i="34"/>
  <c r="N2497" i="34"/>
  <c r="R2497" i="34"/>
  <c r="S2497" i="34"/>
  <c r="T2497" i="34"/>
  <c r="V2497" i="34"/>
  <c r="W2497" i="34"/>
  <c r="X2497" i="34"/>
  <c r="N2498" i="34"/>
  <c r="R2498" i="34"/>
  <c r="S2498" i="34"/>
  <c r="T2498" i="34"/>
  <c r="V2498" i="34"/>
  <c r="W2498" i="34"/>
  <c r="X2498" i="34"/>
  <c r="N2499" i="34"/>
  <c r="R2499" i="34"/>
  <c r="S2499" i="34"/>
  <c r="T2499" i="34"/>
  <c r="V2499" i="34"/>
  <c r="W2499" i="34"/>
  <c r="X2499" i="34"/>
  <c r="N2500" i="34"/>
  <c r="R2500" i="34"/>
  <c r="S2500" i="34"/>
  <c r="T2500" i="34"/>
  <c r="V2500" i="34"/>
  <c r="W2500" i="34"/>
  <c r="X2500" i="34"/>
  <c r="N2501" i="34"/>
  <c r="R2501" i="34"/>
  <c r="S2501" i="34"/>
  <c r="T2501" i="34"/>
  <c r="V2501" i="34"/>
  <c r="W2501" i="34"/>
  <c r="X2501" i="34"/>
  <c r="N2502" i="34"/>
  <c r="R2502" i="34"/>
  <c r="S2502" i="34"/>
  <c r="T2502" i="34"/>
  <c r="V2502" i="34"/>
  <c r="W2502" i="34"/>
  <c r="X2502" i="34"/>
  <c r="N2503" i="34"/>
  <c r="R2503" i="34"/>
  <c r="S2503" i="34"/>
  <c r="T2503" i="34"/>
  <c r="V2503" i="34"/>
  <c r="W2503" i="34"/>
  <c r="X2503" i="34"/>
  <c r="N2504" i="34"/>
  <c r="R2504" i="34"/>
  <c r="S2504" i="34"/>
  <c r="T2504" i="34"/>
  <c r="V2504" i="34"/>
  <c r="W2504" i="34"/>
  <c r="X2504" i="34"/>
  <c r="N2505" i="34"/>
  <c r="R2505" i="34"/>
  <c r="S2505" i="34"/>
  <c r="T2505" i="34"/>
  <c r="V2505" i="34"/>
  <c r="W2505" i="34"/>
  <c r="X2505" i="34"/>
  <c r="N2506" i="34"/>
  <c r="R2506" i="34"/>
  <c r="S2506" i="34"/>
  <c r="T2506" i="34"/>
  <c r="V2506" i="34"/>
  <c r="W2506" i="34"/>
  <c r="X2506" i="34"/>
  <c r="N2507" i="34"/>
  <c r="R2507" i="34"/>
  <c r="S2507" i="34"/>
  <c r="T2507" i="34"/>
  <c r="V2507" i="34"/>
  <c r="W2507" i="34"/>
  <c r="X2507" i="34"/>
  <c r="N2508" i="34"/>
  <c r="R2508" i="34"/>
  <c r="S2508" i="34"/>
  <c r="T2508" i="34"/>
  <c r="V2508" i="34"/>
  <c r="W2508" i="34"/>
  <c r="X2508" i="34"/>
  <c r="N2509" i="34"/>
  <c r="R2509" i="34"/>
  <c r="S2509" i="34"/>
  <c r="T2509" i="34"/>
  <c r="V2509" i="34"/>
  <c r="W2509" i="34"/>
  <c r="X2509" i="34"/>
  <c r="N2510" i="34"/>
  <c r="R2510" i="34"/>
  <c r="S2510" i="34"/>
  <c r="T2510" i="34"/>
  <c r="V2510" i="34"/>
  <c r="W2510" i="34"/>
  <c r="X2510" i="34"/>
  <c r="N2511" i="34"/>
  <c r="R2511" i="34"/>
  <c r="S2511" i="34"/>
  <c r="T2511" i="34"/>
  <c r="V2511" i="34"/>
  <c r="W2511" i="34"/>
  <c r="X2511" i="34"/>
  <c r="N2512" i="34"/>
  <c r="R2512" i="34"/>
  <c r="S2512" i="34"/>
  <c r="T2512" i="34"/>
  <c r="V2512" i="34"/>
  <c r="W2512" i="34"/>
  <c r="X2512" i="34"/>
  <c r="N2513" i="34"/>
  <c r="R2513" i="34"/>
  <c r="S2513" i="34"/>
  <c r="T2513" i="34"/>
  <c r="V2513" i="34"/>
  <c r="W2513" i="34"/>
  <c r="X2513" i="34"/>
  <c r="N2514" i="34"/>
  <c r="R2514" i="34"/>
  <c r="S2514" i="34"/>
  <c r="T2514" i="34"/>
  <c r="V2514" i="34"/>
  <c r="W2514" i="34"/>
  <c r="X2514" i="34"/>
  <c r="N2515" i="34"/>
  <c r="R2515" i="34"/>
  <c r="S2515" i="34"/>
  <c r="T2515" i="34"/>
  <c r="V2515" i="34"/>
  <c r="W2515" i="34"/>
  <c r="X2515" i="34"/>
  <c r="N2516" i="34"/>
  <c r="R2516" i="34"/>
  <c r="S2516" i="34"/>
  <c r="T2516" i="34"/>
  <c r="V2516" i="34"/>
  <c r="W2516" i="34"/>
  <c r="X2516" i="34"/>
  <c r="N2517" i="34"/>
  <c r="R2517" i="34"/>
  <c r="S2517" i="34"/>
  <c r="T2517" i="34"/>
  <c r="V2517" i="34"/>
  <c r="W2517" i="34"/>
  <c r="X2517" i="34"/>
  <c r="N2518" i="34"/>
  <c r="R2518" i="34"/>
  <c r="S2518" i="34"/>
  <c r="T2518" i="34"/>
  <c r="V2518" i="34"/>
  <c r="W2518" i="34"/>
  <c r="X2518" i="34"/>
  <c r="N2519" i="34"/>
  <c r="R2519" i="34"/>
  <c r="S2519" i="34"/>
  <c r="T2519" i="34"/>
  <c r="V2519" i="34"/>
  <c r="W2519" i="34"/>
  <c r="X2519" i="34"/>
  <c r="N2520" i="34"/>
  <c r="R2520" i="34"/>
  <c r="S2520" i="34"/>
  <c r="T2520" i="34"/>
  <c r="V2520" i="34"/>
  <c r="W2520" i="34"/>
  <c r="X2520" i="34"/>
  <c r="N2521" i="34"/>
  <c r="R2521" i="34"/>
  <c r="S2521" i="34"/>
  <c r="T2521" i="34"/>
  <c r="V2521" i="34"/>
  <c r="W2521" i="34"/>
  <c r="X2521" i="34"/>
  <c r="N2522" i="34"/>
  <c r="R2522" i="34"/>
  <c r="S2522" i="34"/>
  <c r="T2522" i="34"/>
  <c r="V2522" i="34"/>
  <c r="W2522" i="34"/>
  <c r="X2522" i="34"/>
  <c r="N2523" i="34"/>
  <c r="R2523" i="34"/>
  <c r="S2523" i="34"/>
  <c r="T2523" i="34"/>
  <c r="V2523" i="34"/>
  <c r="W2523" i="34"/>
  <c r="X2523" i="34"/>
  <c r="N2524" i="34"/>
  <c r="R2524" i="34"/>
  <c r="S2524" i="34"/>
  <c r="T2524" i="34"/>
  <c r="V2524" i="34"/>
  <c r="W2524" i="34"/>
  <c r="X2524" i="34"/>
  <c r="N2525" i="34"/>
  <c r="R2525" i="34"/>
  <c r="S2525" i="34"/>
  <c r="T2525" i="34"/>
  <c r="V2525" i="34"/>
  <c r="W2525" i="34"/>
  <c r="X2525" i="34"/>
  <c r="N2526" i="34"/>
  <c r="R2526" i="34"/>
  <c r="S2526" i="34"/>
  <c r="T2526" i="34"/>
  <c r="V2526" i="34"/>
  <c r="W2526" i="34"/>
  <c r="X2526" i="34"/>
  <c r="N2527" i="34"/>
  <c r="R2527" i="34"/>
  <c r="S2527" i="34"/>
  <c r="T2527" i="34"/>
  <c r="V2527" i="34"/>
  <c r="W2527" i="34"/>
  <c r="X2527" i="34"/>
  <c r="N2528" i="34"/>
  <c r="R2528" i="34"/>
  <c r="S2528" i="34"/>
  <c r="T2528" i="34"/>
  <c r="V2528" i="34"/>
  <c r="W2528" i="34"/>
  <c r="X2528" i="34"/>
  <c r="N2529" i="34"/>
  <c r="R2529" i="34"/>
  <c r="S2529" i="34"/>
  <c r="T2529" i="34"/>
  <c r="V2529" i="34"/>
  <c r="W2529" i="34"/>
  <c r="X2529" i="34"/>
  <c r="N2530" i="34"/>
  <c r="R2530" i="34"/>
  <c r="S2530" i="34"/>
  <c r="T2530" i="34"/>
  <c r="V2530" i="34"/>
  <c r="W2530" i="34"/>
  <c r="X2530" i="34"/>
  <c r="N2531" i="34"/>
  <c r="R2531" i="34"/>
  <c r="S2531" i="34"/>
  <c r="T2531" i="34"/>
  <c r="V2531" i="34"/>
  <c r="W2531" i="34"/>
  <c r="X2531" i="34"/>
  <c r="N2532" i="34"/>
  <c r="R2532" i="34"/>
  <c r="S2532" i="34"/>
  <c r="T2532" i="34"/>
  <c r="V2532" i="34"/>
  <c r="W2532" i="34"/>
  <c r="X2532" i="34"/>
  <c r="N2533" i="34"/>
  <c r="R2533" i="34"/>
  <c r="S2533" i="34"/>
  <c r="T2533" i="34"/>
  <c r="V2533" i="34"/>
  <c r="W2533" i="34"/>
  <c r="X2533" i="34"/>
  <c r="N2534" i="34"/>
  <c r="R2534" i="34"/>
  <c r="S2534" i="34"/>
  <c r="T2534" i="34"/>
  <c r="V2534" i="34"/>
  <c r="W2534" i="34"/>
  <c r="X2534" i="34"/>
  <c r="N2535" i="34"/>
  <c r="R2535" i="34"/>
  <c r="S2535" i="34"/>
  <c r="T2535" i="34"/>
  <c r="V2535" i="34"/>
  <c r="W2535" i="34"/>
  <c r="X2535" i="34"/>
  <c r="N2536" i="34"/>
  <c r="R2536" i="34"/>
  <c r="S2536" i="34"/>
  <c r="T2536" i="34"/>
  <c r="V2536" i="34"/>
  <c r="W2536" i="34"/>
  <c r="X2536" i="34"/>
  <c r="N2537" i="34"/>
  <c r="R2537" i="34"/>
  <c r="S2537" i="34"/>
  <c r="T2537" i="34"/>
  <c r="V2537" i="34"/>
  <c r="W2537" i="34"/>
  <c r="X2537" i="34"/>
  <c r="N2538" i="34"/>
  <c r="R2538" i="34"/>
  <c r="S2538" i="34"/>
  <c r="T2538" i="34"/>
  <c r="V2538" i="34"/>
  <c r="W2538" i="34"/>
  <c r="X2538" i="34"/>
  <c r="N2539" i="34"/>
  <c r="R2539" i="34"/>
  <c r="S2539" i="34"/>
  <c r="T2539" i="34"/>
  <c r="V2539" i="34"/>
  <c r="W2539" i="34"/>
  <c r="X2539" i="34"/>
  <c r="N2540" i="34"/>
  <c r="R2540" i="34"/>
  <c r="S2540" i="34"/>
  <c r="T2540" i="34"/>
  <c r="V2540" i="34"/>
  <c r="W2540" i="34"/>
  <c r="X2540" i="34"/>
  <c r="N2541" i="34"/>
  <c r="R2541" i="34"/>
  <c r="S2541" i="34"/>
  <c r="T2541" i="34"/>
  <c r="V2541" i="34"/>
  <c r="W2541" i="34"/>
  <c r="X2541" i="34"/>
  <c r="N2542" i="34"/>
  <c r="R2542" i="34"/>
  <c r="S2542" i="34"/>
  <c r="T2542" i="34"/>
  <c r="V2542" i="34"/>
  <c r="W2542" i="34"/>
  <c r="X2542" i="34"/>
  <c r="N2543" i="34"/>
  <c r="R2543" i="34"/>
  <c r="S2543" i="34"/>
  <c r="T2543" i="34"/>
  <c r="V2543" i="34"/>
  <c r="W2543" i="34"/>
  <c r="X2543" i="34"/>
  <c r="N2544" i="34"/>
  <c r="R2544" i="34"/>
  <c r="S2544" i="34"/>
  <c r="T2544" i="34"/>
  <c r="V2544" i="34"/>
  <c r="W2544" i="34"/>
  <c r="X2544" i="34"/>
  <c r="N2545" i="34"/>
  <c r="R2545" i="34"/>
  <c r="S2545" i="34"/>
  <c r="T2545" i="34"/>
  <c r="V2545" i="34"/>
  <c r="W2545" i="34"/>
  <c r="X2545" i="34"/>
  <c r="N2546" i="34"/>
  <c r="R2546" i="34"/>
  <c r="S2546" i="34"/>
  <c r="T2546" i="34"/>
  <c r="V2546" i="34"/>
  <c r="W2546" i="34"/>
  <c r="X2546" i="34"/>
  <c r="N2547" i="34"/>
  <c r="R2547" i="34"/>
  <c r="S2547" i="34"/>
  <c r="T2547" i="34"/>
  <c r="V2547" i="34"/>
  <c r="W2547" i="34"/>
  <c r="X2547" i="34"/>
  <c r="N2548" i="34"/>
  <c r="R2548" i="34"/>
  <c r="S2548" i="34"/>
  <c r="T2548" i="34"/>
  <c r="V2548" i="34"/>
  <c r="W2548" i="34"/>
  <c r="X2548" i="34"/>
  <c r="N2549" i="34"/>
  <c r="R2549" i="34"/>
  <c r="S2549" i="34"/>
  <c r="T2549" i="34"/>
  <c r="V2549" i="34"/>
  <c r="W2549" i="34"/>
  <c r="X2549" i="34"/>
  <c r="N2550" i="34"/>
  <c r="R2550" i="34"/>
  <c r="S2550" i="34"/>
  <c r="T2550" i="34"/>
  <c r="V2550" i="34"/>
  <c r="W2550" i="34"/>
  <c r="X2550" i="34"/>
  <c r="N2551" i="34"/>
  <c r="R2551" i="34"/>
  <c r="S2551" i="34"/>
  <c r="T2551" i="34"/>
  <c r="V2551" i="34"/>
  <c r="W2551" i="34"/>
  <c r="X2551" i="34"/>
  <c r="N2552" i="34"/>
  <c r="R2552" i="34"/>
  <c r="S2552" i="34"/>
  <c r="T2552" i="34"/>
  <c r="V2552" i="34"/>
  <c r="W2552" i="34"/>
  <c r="X2552" i="34"/>
  <c r="N2553" i="34"/>
  <c r="R2553" i="34"/>
  <c r="S2553" i="34"/>
  <c r="T2553" i="34"/>
  <c r="V2553" i="34"/>
  <c r="W2553" i="34"/>
  <c r="X2553" i="34"/>
  <c r="N2554" i="34"/>
  <c r="R2554" i="34"/>
  <c r="S2554" i="34"/>
  <c r="T2554" i="34"/>
  <c r="V2554" i="34"/>
  <c r="W2554" i="34"/>
  <c r="X2554" i="34"/>
  <c r="N2555" i="34"/>
  <c r="R2555" i="34"/>
  <c r="S2555" i="34"/>
  <c r="T2555" i="34"/>
  <c r="V2555" i="34"/>
  <c r="W2555" i="34"/>
  <c r="X2555" i="34"/>
  <c r="N2556" i="34"/>
  <c r="R2556" i="34"/>
  <c r="S2556" i="34"/>
  <c r="T2556" i="34"/>
  <c r="V2556" i="34"/>
  <c r="W2556" i="34"/>
  <c r="X2556" i="34"/>
  <c r="N2557" i="34"/>
  <c r="R2557" i="34"/>
  <c r="S2557" i="34"/>
  <c r="T2557" i="34"/>
  <c r="V2557" i="34"/>
  <c r="W2557" i="34"/>
  <c r="X2557" i="34"/>
  <c r="N2558" i="34"/>
  <c r="R2558" i="34"/>
  <c r="S2558" i="34"/>
  <c r="T2558" i="34"/>
  <c r="V2558" i="34"/>
  <c r="W2558" i="34"/>
  <c r="X2558" i="34"/>
  <c r="N2559" i="34"/>
  <c r="R2559" i="34"/>
  <c r="S2559" i="34"/>
  <c r="T2559" i="34"/>
  <c r="V2559" i="34"/>
  <c r="W2559" i="34"/>
  <c r="X2559" i="34"/>
  <c r="N2560" i="34"/>
  <c r="R2560" i="34"/>
  <c r="S2560" i="34"/>
  <c r="T2560" i="34"/>
  <c r="V2560" i="34"/>
  <c r="W2560" i="34"/>
  <c r="X2560" i="34"/>
  <c r="N2561" i="34"/>
  <c r="R2561" i="34"/>
  <c r="S2561" i="34"/>
  <c r="T2561" i="34"/>
  <c r="V2561" i="34"/>
  <c r="W2561" i="34"/>
  <c r="X2561" i="34"/>
  <c r="N2562" i="34"/>
  <c r="R2562" i="34"/>
  <c r="S2562" i="34"/>
  <c r="T2562" i="34"/>
  <c r="V2562" i="34"/>
  <c r="W2562" i="34"/>
  <c r="X2562" i="34"/>
  <c r="N2563" i="34"/>
  <c r="R2563" i="34"/>
  <c r="S2563" i="34"/>
  <c r="T2563" i="34"/>
  <c r="V2563" i="34"/>
  <c r="W2563" i="34"/>
  <c r="X2563" i="34"/>
  <c r="N2564" i="34"/>
  <c r="R2564" i="34"/>
  <c r="S2564" i="34"/>
  <c r="T2564" i="34"/>
  <c r="V2564" i="34"/>
  <c r="W2564" i="34"/>
  <c r="X2564" i="34"/>
  <c r="N2565" i="34"/>
  <c r="R2565" i="34"/>
  <c r="S2565" i="34"/>
  <c r="T2565" i="34"/>
  <c r="V2565" i="34"/>
  <c r="W2565" i="34"/>
  <c r="X2565" i="34"/>
  <c r="N2566" i="34"/>
  <c r="R2566" i="34"/>
  <c r="S2566" i="34"/>
  <c r="T2566" i="34"/>
  <c r="V2566" i="34"/>
  <c r="W2566" i="34"/>
  <c r="X2566" i="34"/>
  <c r="N2567" i="34"/>
  <c r="R2567" i="34"/>
  <c r="S2567" i="34"/>
  <c r="T2567" i="34"/>
  <c r="V2567" i="34"/>
  <c r="W2567" i="34"/>
  <c r="X2567" i="34"/>
  <c r="N2568" i="34"/>
  <c r="R2568" i="34"/>
  <c r="S2568" i="34"/>
  <c r="T2568" i="34"/>
  <c r="V2568" i="34"/>
  <c r="W2568" i="34"/>
  <c r="X2568" i="34"/>
  <c r="N2569" i="34"/>
  <c r="R2569" i="34"/>
  <c r="S2569" i="34"/>
  <c r="T2569" i="34"/>
  <c r="V2569" i="34"/>
  <c r="W2569" i="34"/>
  <c r="X2569" i="34"/>
  <c r="N2570" i="34"/>
  <c r="R2570" i="34"/>
  <c r="S2570" i="34"/>
  <c r="T2570" i="34"/>
  <c r="V2570" i="34"/>
  <c r="W2570" i="34"/>
  <c r="X2570" i="34"/>
  <c r="N2571" i="34"/>
  <c r="R2571" i="34"/>
  <c r="S2571" i="34"/>
  <c r="T2571" i="34"/>
  <c r="V2571" i="34"/>
  <c r="W2571" i="34"/>
  <c r="X2571" i="34"/>
  <c r="N2572" i="34"/>
  <c r="R2572" i="34"/>
  <c r="S2572" i="34"/>
  <c r="T2572" i="34"/>
  <c r="V2572" i="34"/>
  <c r="W2572" i="34"/>
  <c r="X2572" i="34"/>
  <c r="N2573" i="34"/>
  <c r="R2573" i="34"/>
  <c r="S2573" i="34"/>
  <c r="T2573" i="34"/>
  <c r="V2573" i="34"/>
  <c r="W2573" i="34"/>
  <c r="X2573" i="34"/>
  <c r="N2574" i="34"/>
  <c r="R2574" i="34"/>
  <c r="S2574" i="34"/>
  <c r="T2574" i="34"/>
  <c r="V2574" i="34"/>
  <c r="W2574" i="34"/>
  <c r="X2574" i="34"/>
  <c r="N2575" i="34"/>
  <c r="R2575" i="34"/>
  <c r="S2575" i="34"/>
  <c r="T2575" i="34"/>
  <c r="V2575" i="34"/>
  <c r="W2575" i="34"/>
  <c r="X2575" i="34"/>
  <c r="N2576" i="34"/>
  <c r="R2576" i="34"/>
  <c r="S2576" i="34"/>
  <c r="T2576" i="34"/>
  <c r="V2576" i="34"/>
  <c r="W2576" i="34"/>
  <c r="X2576" i="34"/>
  <c r="N2577" i="34"/>
  <c r="R2577" i="34"/>
  <c r="S2577" i="34"/>
  <c r="T2577" i="34"/>
  <c r="V2577" i="34"/>
  <c r="W2577" i="34"/>
  <c r="X2577" i="34"/>
  <c r="N2578" i="34"/>
  <c r="R2578" i="34"/>
  <c r="S2578" i="34"/>
  <c r="T2578" i="34"/>
  <c r="V2578" i="34"/>
  <c r="W2578" i="34"/>
  <c r="X2578" i="34"/>
  <c r="N2579" i="34"/>
  <c r="R2579" i="34"/>
  <c r="S2579" i="34"/>
  <c r="T2579" i="34"/>
  <c r="V2579" i="34"/>
  <c r="W2579" i="34"/>
  <c r="X2579" i="34"/>
  <c r="N2580" i="34"/>
  <c r="R2580" i="34"/>
  <c r="S2580" i="34"/>
  <c r="T2580" i="34"/>
  <c r="V2580" i="34"/>
  <c r="W2580" i="34"/>
  <c r="X2580" i="34"/>
  <c r="N2581" i="34"/>
  <c r="R2581" i="34"/>
  <c r="S2581" i="34"/>
  <c r="T2581" i="34"/>
  <c r="V2581" i="34"/>
  <c r="W2581" i="34"/>
  <c r="X2581" i="34"/>
  <c r="N2582" i="34"/>
  <c r="R2582" i="34"/>
  <c r="S2582" i="34"/>
  <c r="T2582" i="34"/>
  <c r="V2582" i="34"/>
  <c r="W2582" i="34"/>
  <c r="X2582" i="34"/>
  <c r="N2583" i="34"/>
  <c r="R2583" i="34"/>
  <c r="S2583" i="34"/>
  <c r="T2583" i="34"/>
  <c r="V2583" i="34"/>
  <c r="W2583" i="34"/>
  <c r="X2583" i="34"/>
  <c r="N2584" i="34"/>
  <c r="R2584" i="34"/>
  <c r="S2584" i="34"/>
  <c r="T2584" i="34"/>
  <c r="V2584" i="34"/>
  <c r="W2584" i="34"/>
  <c r="X2584" i="34"/>
  <c r="N2585" i="34"/>
  <c r="R2585" i="34"/>
  <c r="S2585" i="34"/>
  <c r="T2585" i="34"/>
  <c r="V2585" i="34"/>
  <c r="W2585" i="34"/>
  <c r="X2585" i="34"/>
  <c r="N2586" i="34"/>
  <c r="R2586" i="34"/>
  <c r="S2586" i="34"/>
  <c r="T2586" i="34"/>
  <c r="V2586" i="34"/>
  <c r="W2586" i="34"/>
  <c r="X2586" i="34"/>
  <c r="N2587" i="34"/>
  <c r="R2587" i="34"/>
  <c r="S2587" i="34"/>
  <c r="T2587" i="34"/>
  <c r="V2587" i="34"/>
  <c r="W2587" i="34"/>
  <c r="X2587" i="34"/>
  <c r="N2588" i="34"/>
  <c r="R2588" i="34"/>
  <c r="S2588" i="34"/>
  <c r="T2588" i="34"/>
  <c r="V2588" i="34"/>
  <c r="W2588" i="34"/>
  <c r="X2588" i="34"/>
  <c r="N2589" i="34"/>
  <c r="R2589" i="34"/>
  <c r="S2589" i="34"/>
  <c r="T2589" i="34"/>
  <c r="V2589" i="34"/>
  <c r="W2589" i="34"/>
  <c r="X2589" i="34"/>
  <c r="N2590" i="34"/>
  <c r="R2590" i="34"/>
  <c r="S2590" i="34"/>
  <c r="T2590" i="34"/>
  <c r="V2590" i="34"/>
  <c r="W2590" i="34"/>
  <c r="X2590" i="34"/>
  <c r="N2591" i="34"/>
  <c r="R2591" i="34"/>
  <c r="S2591" i="34"/>
  <c r="T2591" i="34"/>
  <c r="V2591" i="34"/>
  <c r="W2591" i="34"/>
  <c r="X2591" i="34"/>
  <c r="N2592" i="34"/>
  <c r="R2592" i="34"/>
  <c r="S2592" i="34"/>
  <c r="T2592" i="34"/>
  <c r="V2592" i="34"/>
  <c r="W2592" i="34"/>
  <c r="X2592" i="34"/>
  <c r="N2593" i="34"/>
  <c r="R2593" i="34"/>
  <c r="S2593" i="34"/>
  <c r="T2593" i="34"/>
  <c r="V2593" i="34"/>
  <c r="W2593" i="34"/>
  <c r="X2593" i="34"/>
  <c r="N2594" i="34"/>
  <c r="R2594" i="34"/>
  <c r="S2594" i="34"/>
  <c r="T2594" i="34"/>
  <c r="V2594" i="34"/>
  <c r="W2594" i="34"/>
  <c r="X2594" i="34"/>
  <c r="N2595" i="34"/>
  <c r="R2595" i="34"/>
  <c r="S2595" i="34"/>
  <c r="T2595" i="34"/>
  <c r="V2595" i="34"/>
  <c r="W2595" i="34"/>
  <c r="X2595" i="34"/>
  <c r="N2596" i="34"/>
  <c r="R2596" i="34"/>
  <c r="S2596" i="34"/>
  <c r="T2596" i="34"/>
  <c r="V2596" i="34"/>
  <c r="W2596" i="34"/>
  <c r="X2596" i="34"/>
  <c r="N2597" i="34"/>
  <c r="R2597" i="34"/>
  <c r="S2597" i="34"/>
  <c r="T2597" i="34"/>
  <c r="V2597" i="34"/>
  <c r="W2597" i="34"/>
  <c r="X2597" i="34"/>
  <c r="N2598" i="34"/>
  <c r="R2598" i="34"/>
  <c r="S2598" i="34"/>
  <c r="T2598" i="34"/>
  <c r="V2598" i="34"/>
  <c r="W2598" i="34"/>
  <c r="X2598" i="34"/>
  <c r="N2599" i="34"/>
  <c r="R2599" i="34"/>
  <c r="S2599" i="34"/>
  <c r="T2599" i="34"/>
  <c r="V2599" i="34"/>
  <c r="W2599" i="34"/>
  <c r="X2599" i="34"/>
  <c r="N2600" i="34"/>
  <c r="R2600" i="34"/>
  <c r="S2600" i="34"/>
  <c r="T2600" i="34"/>
  <c r="V2600" i="34"/>
  <c r="W2600" i="34"/>
  <c r="X2600" i="34"/>
  <c r="N2601" i="34"/>
  <c r="R2601" i="34"/>
  <c r="S2601" i="34"/>
  <c r="T2601" i="34"/>
  <c r="V2601" i="34"/>
  <c r="W2601" i="34"/>
  <c r="X2601" i="34"/>
  <c r="N2602" i="34"/>
  <c r="R2602" i="34"/>
  <c r="S2602" i="34"/>
  <c r="T2602" i="34"/>
  <c r="V2602" i="34"/>
  <c r="W2602" i="34"/>
  <c r="X2602" i="34"/>
  <c r="N2603" i="34"/>
  <c r="R2603" i="34"/>
  <c r="S2603" i="34"/>
  <c r="T2603" i="34"/>
  <c r="V2603" i="34"/>
  <c r="W2603" i="34"/>
  <c r="X2603" i="34"/>
  <c r="N2604" i="34"/>
  <c r="R2604" i="34"/>
  <c r="S2604" i="34"/>
  <c r="T2604" i="34"/>
  <c r="V2604" i="34"/>
  <c r="W2604" i="34"/>
  <c r="X2604" i="34"/>
  <c r="N2605" i="34"/>
  <c r="R2605" i="34"/>
  <c r="S2605" i="34"/>
  <c r="T2605" i="34"/>
  <c r="V2605" i="34"/>
  <c r="W2605" i="34"/>
  <c r="X2605" i="34"/>
  <c r="N2606" i="34"/>
  <c r="R2606" i="34"/>
  <c r="S2606" i="34"/>
  <c r="T2606" i="34"/>
  <c r="V2606" i="34"/>
  <c r="W2606" i="34"/>
  <c r="X2606" i="34"/>
  <c r="N2607" i="34"/>
  <c r="R2607" i="34"/>
  <c r="S2607" i="34"/>
  <c r="T2607" i="34"/>
  <c r="V2607" i="34"/>
  <c r="W2607" i="34"/>
  <c r="X2607" i="34"/>
  <c r="N2608" i="34"/>
  <c r="R2608" i="34"/>
  <c r="S2608" i="34"/>
  <c r="T2608" i="34"/>
  <c r="V2608" i="34"/>
  <c r="W2608" i="34"/>
  <c r="X2608" i="34"/>
  <c r="N2609" i="34"/>
  <c r="R2609" i="34"/>
  <c r="S2609" i="34"/>
  <c r="T2609" i="34"/>
  <c r="V2609" i="34"/>
  <c r="W2609" i="34"/>
  <c r="X2609" i="34"/>
  <c r="N2610" i="34"/>
  <c r="R2610" i="34"/>
  <c r="S2610" i="34"/>
  <c r="T2610" i="34"/>
  <c r="V2610" i="34"/>
  <c r="W2610" i="34"/>
  <c r="X2610" i="34"/>
  <c r="N2611" i="34"/>
  <c r="R2611" i="34"/>
  <c r="S2611" i="34"/>
  <c r="T2611" i="34"/>
  <c r="V2611" i="34"/>
  <c r="W2611" i="34"/>
  <c r="X2611" i="34"/>
  <c r="N2612" i="34"/>
  <c r="R2612" i="34"/>
  <c r="S2612" i="34"/>
  <c r="T2612" i="34"/>
  <c r="V2612" i="34"/>
  <c r="W2612" i="34"/>
  <c r="X2612" i="34"/>
  <c r="N2613" i="34"/>
  <c r="R2613" i="34"/>
  <c r="S2613" i="34"/>
  <c r="T2613" i="34"/>
  <c r="V2613" i="34"/>
  <c r="W2613" i="34"/>
  <c r="X2613" i="34"/>
  <c r="N2614" i="34"/>
  <c r="R2614" i="34"/>
  <c r="S2614" i="34"/>
  <c r="T2614" i="34"/>
  <c r="V2614" i="34"/>
  <c r="W2614" i="34"/>
  <c r="X2614" i="34"/>
  <c r="N2615" i="34"/>
  <c r="R2615" i="34"/>
  <c r="S2615" i="34"/>
  <c r="T2615" i="34"/>
  <c r="V2615" i="34"/>
  <c r="W2615" i="34"/>
  <c r="X2615" i="34"/>
  <c r="N2616" i="34"/>
  <c r="R2616" i="34"/>
  <c r="S2616" i="34"/>
  <c r="T2616" i="34"/>
  <c r="V2616" i="34"/>
  <c r="W2616" i="34"/>
  <c r="X2616" i="34"/>
  <c r="N2617" i="34"/>
  <c r="R2617" i="34"/>
  <c r="S2617" i="34"/>
  <c r="T2617" i="34"/>
  <c r="V2617" i="34"/>
  <c r="W2617" i="34"/>
  <c r="X2617" i="34"/>
  <c r="N2618" i="34"/>
  <c r="R2618" i="34"/>
  <c r="S2618" i="34"/>
  <c r="T2618" i="34"/>
  <c r="V2618" i="34"/>
  <c r="W2618" i="34"/>
  <c r="X2618" i="34"/>
  <c r="N2619" i="34"/>
  <c r="R2619" i="34"/>
  <c r="S2619" i="34"/>
  <c r="T2619" i="34"/>
  <c r="V2619" i="34"/>
  <c r="W2619" i="34"/>
  <c r="X2619" i="34"/>
  <c r="N2620" i="34"/>
  <c r="R2620" i="34"/>
  <c r="S2620" i="34"/>
  <c r="T2620" i="34"/>
  <c r="V2620" i="34"/>
  <c r="W2620" i="34"/>
  <c r="X2620" i="34"/>
  <c r="N2621" i="34"/>
  <c r="R2621" i="34"/>
  <c r="S2621" i="34"/>
  <c r="T2621" i="34"/>
  <c r="V2621" i="34"/>
  <c r="W2621" i="34"/>
  <c r="X2621" i="34"/>
  <c r="N2622" i="34"/>
  <c r="R2622" i="34"/>
  <c r="S2622" i="34"/>
  <c r="T2622" i="34"/>
  <c r="V2622" i="34"/>
  <c r="W2622" i="34"/>
  <c r="X2622" i="34"/>
  <c r="N2623" i="34"/>
  <c r="R2623" i="34"/>
  <c r="S2623" i="34"/>
  <c r="T2623" i="34"/>
  <c r="V2623" i="34"/>
  <c r="W2623" i="34"/>
  <c r="X2623" i="34"/>
  <c r="N2624" i="34"/>
  <c r="R2624" i="34"/>
  <c r="S2624" i="34"/>
  <c r="T2624" i="34"/>
  <c r="V2624" i="34"/>
  <c r="W2624" i="34"/>
  <c r="X2624" i="34"/>
  <c r="N2625" i="34"/>
  <c r="R2625" i="34"/>
  <c r="S2625" i="34"/>
  <c r="T2625" i="34"/>
  <c r="V2625" i="34"/>
  <c r="W2625" i="34"/>
  <c r="X2625" i="34"/>
  <c r="N2626" i="34"/>
  <c r="R2626" i="34"/>
  <c r="S2626" i="34"/>
  <c r="T2626" i="34"/>
  <c r="V2626" i="34"/>
  <c r="W2626" i="34"/>
  <c r="X2626" i="34"/>
  <c r="N2627" i="34"/>
  <c r="R2627" i="34"/>
  <c r="S2627" i="34"/>
  <c r="T2627" i="34"/>
  <c r="V2627" i="34"/>
  <c r="W2627" i="34"/>
  <c r="X2627" i="34"/>
  <c r="N2628" i="34"/>
  <c r="R2628" i="34"/>
  <c r="S2628" i="34"/>
  <c r="T2628" i="34"/>
  <c r="V2628" i="34"/>
  <c r="W2628" i="34"/>
  <c r="X2628" i="34"/>
  <c r="N2629" i="34"/>
  <c r="R2629" i="34"/>
  <c r="S2629" i="34"/>
  <c r="T2629" i="34"/>
  <c r="V2629" i="34"/>
  <c r="W2629" i="34"/>
  <c r="X2629" i="34"/>
  <c r="N2630" i="34"/>
  <c r="R2630" i="34"/>
  <c r="S2630" i="34"/>
  <c r="T2630" i="34"/>
  <c r="V2630" i="34"/>
  <c r="W2630" i="34"/>
  <c r="X2630" i="34"/>
  <c r="N2631" i="34"/>
  <c r="R2631" i="34"/>
  <c r="S2631" i="34"/>
  <c r="T2631" i="34"/>
  <c r="V2631" i="34"/>
  <c r="W2631" i="34"/>
  <c r="X2631" i="34"/>
  <c r="N2632" i="34"/>
  <c r="R2632" i="34"/>
  <c r="S2632" i="34"/>
  <c r="T2632" i="34"/>
  <c r="V2632" i="34"/>
  <c r="W2632" i="34"/>
  <c r="X2632" i="34"/>
  <c r="N2633" i="34"/>
  <c r="R2633" i="34"/>
  <c r="S2633" i="34"/>
  <c r="T2633" i="34"/>
  <c r="V2633" i="34"/>
  <c r="W2633" i="34"/>
  <c r="X2633" i="34"/>
  <c r="N2634" i="34"/>
  <c r="R2634" i="34"/>
  <c r="S2634" i="34"/>
  <c r="T2634" i="34"/>
  <c r="V2634" i="34"/>
  <c r="W2634" i="34"/>
  <c r="X2634" i="34"/>
  <c r="N2635" i="34"/>
  <c r="R2635" i="34"/>
  <c r="S2635" i="34"/>
  <c r="T2635" i="34"/>
  <c r="V2635" i="34"/>
  <c r="W2635" i="34"/>
  <c r="X2635" i="34"/>
  <c r="N2636" i="34"/>
  <c r="R2636" i="34"/>
  <c r="S2636" i="34"/>
  <c r="T2636" i="34"/>
  <c r="V2636" i="34"/>
  <c r="W2636" i="34"/>
  <c r="X2636" i="34"/>
  <c r="N2637" i="34"/>
  <c r="R2637" i="34"/>
  <c r="S2637" i="34"/>
  <c r="T2637" i="34"/>
  <c r="V2637" i="34"/>
  <c r="W2637" i="34"/>
  <c r="X2637" i="34"/>
  <c r="N2638" i="34"/>
  <c r="R2638" i="34"/>
  <c r="S2638" i="34"/>
  <c r="T2638" i="34"/>
  <c r="V2638" i="34"/>
  <c r="W2638" i="34"/>
  <c r="X2638" i="34"/>
  <c r="N2639" i="34"/>
  <c r="R2639" i="34"/>
  <c r="S2639" i="34"/>
  <c r="T2639" i="34"/>
  <c r="V2639" i="34"/>
  <c r="W2639" i="34"/>
  <c r="X2639" i="34"/>
  <c r="N2640" i="34"/>
  <c r="R2640" i="34"/>
  <c r="S2640" i="34"/>
  <c r="T2640" i="34"/>
  <c r="V2640" i="34"/>
  <c r="W2640" i="34"/>
  <c r="X2640" i="34"/>
  <c r="N2641" i="34"/>
  <c r="R2641" i="34"/>
  <c r="S2641" i="34"/>
  <c r="T2641" i="34"/>
  <c r="V2641" i="34"/>
  <c r="W2641" i="34"/>
  <c r="X2641" i="34"/>
  <c r="N2642" i="34"/>
  <c r="R2642" i="34"/>
  <c r="S2642" i="34"/>
  <c r="T2642" i="34"/>
  <c r="V2642" i="34"/>
  <c r="W2642" i="34"/>
  <c r="X2642" i="34"/>
  <c r="N2643" i="34"/>
  <c r="R2643" i="34"/>
  <c r="S2643" i="34"/>
  <c r="T2643" i="34"/>
  <c r="V2643" i="34"/>
  <c r="W2643" i="34"/>
  <c r="X2643" i="34"/>
  <c r="N2644" i="34"/>
  <c r="R2644" i="34"/>
  <c r="S2644" i="34"/>
  <c r="T2644" i="34"/>
  <c r="V2644" i="34"/>
  <c r="W2644" i="34"/>
  <c r="X2644" i="34"/>
  <c r="N2645" i="34"/>
  <c r="R2645" i="34"/>
  <c r="S2645" i="34"/>
  <c r="T2645" i="34"/>
  <c r="V2645" i="34"/>
  <c r="W2645" i="34"/>
  <c r="X2645" i="34"/>
  <c r="N2646" i="34"/>
  <c r="R2646" i="34"/>
  <c r="S2646" i="34"/>
  <c r="T2646" i="34"/>
  <c r="V2646" i="34"/>
  <c r="W2646" i="34"/>
  <c r="X2646" i="34"/>
  <c r="N2647" i="34"/>
  <c r="R2647" i="34"/>
  <c r="S2647" i="34"/>
  <c r="T2647" i="34"/>
  <c r="V2647" i="34"/>
  <c r="W2647" i="34"/>
  <c r="X2647" i="34"/>
  <c r="N2648" i="34"/>
  <c r="R2648" i="34"/>
  <c r="S2648" i="34"/>
  <c r="T2648" i="34"/>
  <c r="V2648" i="34"/>
  <c r="W2648" i="34"/>
  <c r="X2648" i="34"/>
  <c r="N2649" i="34"/>
  <c r="R2649" i="34"/>
  <c r="S2649" i="34"/>
  <c r="T2649" i="34"/>
  <c r="V2649" i="34"/>
  <c r="W2649" i="34"/>
  <c r="X2649" i="34"/>
  <c r="N2650" i="34"/>
  <c r="R2650" i="34"/>
  <c r="S2650" i="34"/>
  <c r="T2650" i="34"/>
  <c r="V2650" i="34"/>
  <c r="W2650" i="34"/>
  <c r="X2650" i="34"/>
  <c r="N2651" i="34"/>
  <c r="R2651" i="34"/>
  <c r="S2651" i="34"/>
  <c r="T2651" i="34"/>
  <c r="V2651" i="34"/>
  <c r="W2651" i="34"/>
  <c r="X2651" i="34"/>
  <c r="N2652" i="34"/>
  <c r="R2652" i="34"/>
  <c r="S2652" i="34"/>
  <c r="T2652" i="34"/>
  <c r="V2652" i="34"/>
  <c r="W2652" i="34"/>
  <c r="X2652" i="34"/>
  <c r="N2653" i="34"/>
  <c r="R2653" i="34"/>
  <c r="S2653" i="34"/>
  <c r="T2653" i="34"/>
  <c r="V2653" i="34"/>
  <c r="W2653" i="34"/>
  <c r="X2653" i="34"/>
  <c r="N2654" i="34"/>
  <c r="R2654" i="34"/>
  <c r="S2654" i="34"/>
  <c r="T2654" i="34"/>
  <c r="V2654" i="34"/>
  <c r="W2654" i="34"/>
  <c r="X2654" i="34"/>
  <c r="N2655" i="34"/>
  <c r="R2655" i="34"/>
  <c r="S2655" i="34"/>
  <c r="T2655" i="34"/>
  <c r="V2655" i="34"/>
  <c r="W2655" i="34"/>
  <c r="X2655" i="34"/>
  <c r="N2656" i="34"/>
  <c r="R2656" i="34"/>
  <c r="S2656" i="34"/>
  <c r="T2656" i="34"/>
  <c r="V2656" i="34"/>
  <c r="W2656" i="34"/>
  <c r="X2656" i="34"/>
  <c r="N2657" i="34"/>
  <c r="R2657" i="34"/>
  <c r="S2657" i="34"/>
  <c r="T2657" i="34"/>
  <c r="V2657" i="34"/>
  <c r="W2657" i="34"/>
  <c r="X2657" i="34"/>
  <c r="N2658" i="34"/>
  <c r="R2658" i="34"/>
  <c r="S2658" i="34"/>
  <c r="T2658" i="34"/>
  <c r="V2658" i="34"/>
  <c r="W2658" i="34"/>
  <c r="X2658" i="34"/>
  <c r="N2659" i="34"/>
  <c r="R2659" i="34"/>
  <c r="S2659" i="34"/>
  <c r="T2659" i="34"/>
  <c r="V2659" i="34"/>
  <c r="W2659" i="34"/>
  <c r="X2659" i="34"/>
  <c r="N2660" i="34"/>
  <c r="R2660" i="34"/>
  <c r="S2660" i="34"/>
  <c r="T2660" i="34"/>
  <c r="V2660" i="34"/>
  <c r="W2660" i="34"/>
  <c r="X2660" i="34"/>
  <c r="N2661" i="34"/>
  <c r="R2661" i="34"/>
  <c r="S2661" i="34"/>
  <c r="T2661" i="34"/>
  <c r="V2661" i="34"/>
  <c r="W2661" i="34"/>
  <c r="X2661" i="34"/>
  <c r="N2662" i="34"/>
  <c r="R2662" i="34"/>
  <c r="S2662" i="34"/>
  <c r="T2662" i="34"/>
  <c r="V2662" i="34"/>
  <c r="W2662" i="34"/>
  <c r="X2662" i="34"/>
  <c r="N2663" i="34"/>
  <c r="R2663" i="34"/>
  <c r="S2663" i="34"/>
  <c r="T2663" i="34"/>
  <c r="V2663" i="34"/>
  <c r="W2663" i="34"/>
  <c r="X2663" i="34"/>
  <c r="N2664" i="34"/>
  <c r="R2664" i="34"/>
  <c r="S2664" i="34"/>
  <c r="T2664" i="34"/>
  <c r="V2664" i="34"/>
  <c r="W2664" i="34"/>
  <c r="X2664" i="34"/>
  <c r="N2665" i="34"/>
  <c r="R2665" i="34"/>
  <c r="S2665" i="34"/>
  <c r="T2665" i="34"/>
  <c r="V2665" i="34"/>
  <c r="W2665" i="34"/>
  <c r="X2665" i="34"/>
  <c r="N2666" i="34"/>
  <c r="R2666" i="34"/>
  <c r="S2666" i="34"/>
  <c r="T2666" i="34"/>
  <c r="V2666" i="34"/>
  <c r="W2666" i="34"/>
  <c r="X2666" i="34"/>
  <c r="N2667" i="34"/>
  <c r="R2667" i="34"/>
  <c r="S2667" i="34"/>
  <c r="T2667" i="34"/>
  <c r="V2667" i="34"/>
  <c r="W2667" i="34"/>
  <c r="X2667" i="34"/>
  <c r="N2668" i="34"/>
  <c r="R2668" i="34"/>
  <c r="S2668" i="34"/>
  <c r="T2668" i="34"/>
  <c r="V2668" i="34"/>
  <c r="W2668" i="34"/>
  <c r="X2668" i="34"/>
  <c r="N2669" i="34"/>
  <c r="R2669" i="34"/>
  <c r="S2669" i="34"/>
  <c r="T2669" i="34"/>
  <c r="V2669" i="34"/>
  <c r="W2669" i="34"/>
  <c r="X2669" i="34"/>
  <c r="N2670" i="34"/>
  <c r="R2670" i="34"/>
  <c r="S2670" i="34"/>
  <c r="T2670" i="34"/>
  <c r="V2670" i="34"/>
  <c r="W2670" i="34"/>
  <c r="X2670" i="34"/>
  <c r="N2671" i="34"/>
  <c r="R2671" i="34"/>
  <c r="S2671" i="34"/>
  <c r="T2671" i="34"/>
  <c r="V2671" i="34"/>
  <c r="W2671" i="34"/>
  <c r="X2671" i="34"/>
  <c r="N2672" i="34"/>
  <c r="R2672" i="34"/>
  <c r="S2672" i="34"/>
  <c r="T2672" i="34"/>
  <c r="V2672" i="34"/>
  <c r="W2672" i="34"/>
  <c r="X2672" i="34"/>
  <c r="N2673" i="34"/>
  <c r="R2673" i="34"/>
  <c r="S2673" i="34"/>
  <c r="T2673" i="34"/>
  <c r="V2673" i="34"/>
  <c r="W2673" i="34"/>
  <c r="X2673" i="34"/>
  <c r="N2674" i="34"/>
  <c r="R2674" i="34"/>
  <c r="S2674" i="34"/>
  <c r="T2674" i="34"/>
  <c r="V2674" i="34"/>
  <c r="W2674" i="34"/>
  <c r="X2674" i="34"/>
  <c r="N2675" i="34"/>
  <c r="R2675" i="34"/>
  <c r="S2675" i="34"/>
  <c r="T2675" i="34"/>
  <c r="V2675" i="34"/>
  <c r="W2675" i="34"/>
  <c r="X2675" i="34"/>
  <c r="N2676" i="34"/>
  <c r="R2676" i="34"/>
  <c r="S2676" i="34"/>
  <c r="T2676" i="34"/>
  <c r="V2676" i="34"/>
  <c r="W2676" i="34"/>
  <c r="X2676" i="34"/>
  <c r="N2677" i="34"/>
  <c r="R2677" i="34"/>
  <c r="S2677" i="34"/>
  <c r="T2677" i="34"/>
  <c r="V2677" i="34"/>
  <c r="W2677" i="34"/>
  <c r="X2677" i="34"/>
  <c r="N2678" i="34"/>
  <c r="R2678" i="34"/>
  <c r="S2678" i="34"/>
  <c r="T2678" i="34"/>
  <c r="V2678" i="34"/>
  <c r="W2678" i="34"/>
  <c r="X2678" i="34"/>
  <c r="N2679" i="34"/>
  <c r="R2679" i="34"/>
  <c r="S2679" i="34"/>
  <c r="T2679" i="34"/>
  <c r="V2679" i="34"/>
  <c r="W2679" i="34"/>
  <c r="X2679" i="34"/>
  <c r="N2680" i="34"/>
  <c r="R2680" i="34"/>
  <c r="S2680" i="34"/>
  <c r="T2680" i="34"/>
  <c r="V2680" i="34"/>
  <c r="W2680" i="34"/>
  <c r="X2680" i="34"/>
  <c r="N2681" i="34"/>
  <c r="R2681" i="34"/>
  <c r="S2681" i="34"/>
  <c r="T2681" i="34"/>
  <c r="V2681" i="34"/>
  <c r="W2681" i="34"/>
  <c r="X2681" i="34"/>
  <c r="N2682" i="34"/>
  <c r="R2682" i="34"/>
  <c r="S2682" i="34"/>
  <c r="T2682" i="34"/>
  <c r="V2682" i="34"/>
  <c r="W2682" i="34"/>
  <c r="X2682" i="34"/>
  <c r="N2683" i="34"/>
  <c r="R2683" i="34"/>
  <c r="S2683" i="34"/>
  <c r="T2683" i="34"/>
  <c r="V2683" i="34"/>
  <c r="W2683" i="34"/>
  <c r="X2683" i="34"/>
  <c r="N2684" i="34"/>
  <c r="R2684" i="34"/>
  <c r="S2684" i="34"/>
  <c r="T2684" i="34"/>
  <c r="V2684" i="34"/>
  <c r="W2684" i="34"/>
  <c r="X2684" i="34"/>
  <c r="N2685" i="34"/>
  <c r="R2685" i="34"/>
  <c r="S2685" i="34"/>
  <c r="T2685" i="34"/>
  <c r="V2685" i="34"/>
  <c r="W2685" i="34"/>
  <c r="X2685" i="34"/>
  <c r="N2686" i="34"/>
  <c r="R2686" i="34"/>
  <c r="S2686" i="34"/>
  <c r="T2686" i="34"/>
  <c r="V2686" i="34"/>
  <c r="W2686" i="34"/>
  <c r="X2686" i="34"/>
  <c r="N2687" i="34"/>
  <c r="R2687" i="34"/>
  <c r="S2687" i="34"/>
  <c r="T2687" i="34"/>
  <c r="V2687" i="34"/>
  <c r="W2687" i="34"/>
  <c r="X2687" i="34"/>
  <c r="N2688" i="34"/>
  <c r="R2688" i="34"/>
  <c r="S2688" i="34"/>
  <c r="T2688" i="34"/>
  <c r="V2688" i="34"/>
  <c r="W2688" i="34"/>
  <c r="X2688" i="34"/>
  <c r="N2689" i="34"/>
  <c r="R2689" i="34"/>
  <c r="S2689" i="34"/>
  <c r="T2689" i="34"/>
  <c r="V2689" i="34"/>
  <c r="W2689" i="34"/>
  <c r="X2689" i="34"/>
  <c r="N2690" i="34"/>
  <c r="R2690" i="34"/>
  <c r="S2690" i="34"/>
  <c r="T2690" i="34"/>
  <c r="V2690" i="34"/>
  <c r="W2690" i="34"/>
  <c r="X2690" i="34"/>
  <c r="N2691" i="34"/>
  <c r="R2691" i="34"/>
  <c r="S2691" i="34"/>
  <c r="T2691" i="34"/>
  <c r="V2691" i="34"/>
  <c r="W2691" i="34"/>
  <c r="X2691" i="34"/>
  <c r="N2692" i="34"/>
  <c r="R2692" i="34"/>
  <c r="S2692" i="34"/>
  <c r="T2692" i="34"/>
  <c r="V2692" i="34"/>
  <c r="W2692" i="34"/>
  <c r="X2692" i="34"/>
  <c r="N2693" i="34"/>
  <c r="R2693" i="34"/>
  <c r="S2693" i="34"/>
  <c r="T2693" i="34"/>
  <c r="V2693" i="34"/>
  <c r="W2693" i="34"/>
  <c r="X2693" i="34"/>
  <c r="N2694" i="34"/>
  <c r="R2694" i="34"/>
  <c r="S2694" i="34"/>
  <c r="T2694" i="34"/>
  <c r="V2694" i="34"/>
  <c r="W2694" i="34"/>
  <c r="X2694" i="34"/>
  <c r="N2695" i="34"/>
  <c r="R2695" i="34"/>
  <c r="S2695" i="34"/>
  <c r="T2695" i="34"/>
  <c r="V2695" i="34"/>
  <c r="W2695" i="34"/>
  <c r="X2695" i="34"/>
  <c r="N2696" i="34"/>
  <c r="R2696" i="34"/>
  <c r="S2696" i="34"/>
  <c r="T2696" i="34"/>
  <c r="V2696" i="34"/>
  <c r="W2696" i="34"/>
  <c r="X2696" i="34"/>
  <c r="N2697" i="34"/>
  <c r="R2697" i="34"/>
  <c r="S2697" i="34"/>
  <c r="T2697" i="34"/>
  <c r="V2697" i="34"/>
  <c r="W2697" i="34"/>
  <c r="X2697" i="34"/>
  <c r="N2698" i="34"/>
  <c r="R2698" i="34"/>
  <c r="S2698" i="34"/>
  <c r="T2698" i="34"/>
  <c r="V2698" i="34"/>
  <c r="W2698" i="34"/>
  <c r="X2698" i="34"/>
  <c r="N2699" i="34"/>
  <c r="R2699" i="34"/>
  <c r="S2699" i="34"/>
  <c r="T2699" i="34"/>
  <c r="V2699" i="34"/>
  <c r="W2699" i="34"/>
  <c r="X2699" i="34"/>
  <c r="N2700" i="34"/>
  <c r="R2700" i="34"/>
  <c r="S2700" i="34"/>
  <c r="T2700" i="34"/>
  <c r="V2700" i="34"/>
  <c r="W2700" i="34"/>
  <c r="X2700" i="34"/>
  <c r="N2701" i="34"/>
  <c r="R2701" i="34"/>
  <c r="S2701" i="34"/>
  <c r="T2701" i="34"/>
  <c r="V2701" i="34"/>
  <c r="W2701" i="34"/>
  <c r="X2701" i="34"/>
  <c r="N2702" i="34"/>
  <c r="R2702" i="34"/>
  <c r="S2702" i="34"/>
  <c r="T2702" i="34"/>
  <c r="V2702" i="34"/>
  <c r="W2702" i="34"/>
  <c r="X2702" i="34"/>
  <c r="N2703" i="34"/>
  <c r="R2703" i="34"/>
  <c r="S2703" i="34"/>
  <c r="T2703" i="34"/>
  <c r="V2703" i="34"/>
  <c r="W2703" i="34"/>
  <c r="X2703" i="34"/>
  <c r="N2704" i="34"/>
  <c r="R2704" i="34"/>
  <c r="S2704" i="34"/>
  <c r="T2704" i="34"/>
  <c r="V2704" i="34"/>
  <c r="W2704" i="34"/>
  <c r="X2704" i="34"/>
  <c r="N2705" i="34"/>
  <c r="R2705" i="34"/>
  <c r="S2705" i="34"/>
  <c r="T2705" i="34"/>
  <c r="V2705" i="34"/>
  <c r="W2705" i="34"/>
  <c r="X2705" i="34"/>
  <c r="N2706" i="34"/>
  <c r="R2706" i="34"/>
  <c r="S2706" i="34"/>
  <c r="T2706" i="34"/>
  <c r="V2706" i="34"/>
  <c r="W2706" i="34"/>
  <c r="X2706" i="34"/>
  <c r="N2707" i="34"/>
  <c r="R2707" i="34"/>
  <c r="S2707" i="34"/>
  <c r="T2707" i="34"/>
  <c r="V2707" i="34"/>
  <c r="W2707" i="34"/>
  <c r="X2707" i="34"/>
  <c r="N2708" i="34"/>
  <c r="R2708" i="34"/>
  <c r="S2708" i="34"/>
  <c r="T2708" i="34"/>
  <c r="V2708" i="34"/>
  <c r="W2708" i="34"/>
  <c r="X2708" i="34"/>
  <c r="N2709" i="34"/>
  <c r="R2709" i="34"/>
  <c r="S2709" i="34"/>
  <c r="T2709" i="34"/>
  <c r="V2709" i="34"/>
  <c r="W2709" i="34"/>
  <c r="X2709" i="34"/>
  <c r="N2710" i="34"/>
  <c r="R2710" i="34"/>
  <c r="S2710" i="34"/>
  <c r="T2710" i="34"/>
  <c r="V2710" i="34"/>
  <c r="W2710" i="34"/>
  <c r="X2710" i="34"/>
  <c r="N2711" i="34"/>
  <c r="R2711" i="34"/>
  <c r="S2711" i="34"/>
  <c r="T2711" i="34"/>
  <c r="V2711" i="34"/>
  <c r="W2711" i="34"/>
  <c r="X2711" i="34"/>
  <c r="N2712" i="34"/>
  <c r="R2712" i="34"/>
  <c r="S2712" i="34"/>
  <c r="T2712" i="34"/>
  <c r="V2712" i="34"/>
  <c r="W2712" i="34"/>
  <c r="X2712" i="34"/>
  <c r="N2713" i="34"/>
  <c r="R2713" i="34"/>
  <c r="S2713" i="34"/>
  <c r="T2713" i="34"/>
  <c r="V2713" i="34"/>
  <c r="W2713" i="34"/>
  <c r="X2713" i="34"/>
  <c r="N2714" i="34"/>
  <c r="R2714" i="34"/>
  <c r="S2714" i="34"/>
  <c r="T2714" i="34"/>
  <c r="V2714" i="34"/>
  <c r="W2714" i="34"/>
  <c r="X2714" i="34"/>
  <c r="N2715" i="34"/>
  <c r="R2715" i="34"/>
  <c r="S2715" i="34"/>
  <c r="T2715" i="34"/>
  <c r="V2715" i="34"/>
  <c r="W2715" i="34"/>
  <c r="X2715" i="34"/>
  <c r="N2716" i="34"/>
  <c r="R2716" i="34"/>
  <c r="S2716" i="34"/>
  <c r="T2716" i="34"/>
  <c r="V2716" i="34"/>
  <c r="W2716" i="34"/>
  <c r="X2716" i="34"/>
  <c r="N2717" i="34"/>
  <c r="R2717" i="34"/>
  <c r="S2717" i="34"/>
  <c r="T2717" i="34"/>
  <c r="V2717" i="34"/>
  <c r="W2717" i="34"/>
  <c r="X2717" i="34"/>
  <c r="N2718" i="34"/>
  <c r="R2718" i="34"/>
  <c r="S2718" i="34"/>
  <c r="T2718" i="34"/>
  <c r="V2718" i="34"/>
  <c r="W2718" i="34"/>
  <c r="X2718" i="34"/>
  <c r="N2719" i="34"/>
  <c r="R2719" i="34"/>
  <c r="S2719" i="34"/>
  <c r="T2719" i="34"/>
  <c r="V2719" i="34"/>
  <c r="W2719" i="34"/>
  <c r="X2719" i="34"/>
  <c r="N2720" i="34"/>
  <c r="R2720" i="34"/>
  <c r="S2720" i="34"/>
  <c r="T2720" i="34"/>
  <c r="V2720" i="34"/>
  <c r="W2720" i="34"/>
  <c r="X2720" i="34"/>
  <c r="N2721" i="34"/>
  <c r="R2721" i="34"/>
  <c r="S2721" i="34"/>
  <c r="T2721" i="34"/>
  <c r="V2721" i="34"/>
  <c r="W2721" i="34"/>
  <c r="X2721" i="34"/>
  <c r="N2722" i="34"/>
  <c r="R2722" i="34"/>
  <c r="S2722" i="34"/>
  <c r="T2722" i="34"/>
  <c r="V2722" i="34"/>
  <c r="W2722" i="34"/>
  <c r="X2722" i="34"/>
  <c r="N2723" i="34"/>
  <c r="R2723" i="34"/>
  <c r="S2723" i="34"/>
  <c r="T2723" i="34"/>
  <c r="V2723" i="34"/>
  <c r="W2723" i="34"/>
  <c r="X2723" i="34"/>
  <c r="N2724" i="34"/>
  <c r="R2724" i="34"/>
  <c r="S2724" i="34"/>
  <c r="T2724" i="34"/>
  <c r="V2724" i="34"/>
  <c r="W2724" i="34"/>
  <c r="X2724" i="34"/>
  <c r="N2725" i="34"/>
  <c r="R2725" i="34"/>
  <c r="S2725" i="34"/>
  <c r="T2725" i="34"/>
  <c r="V2725" i="34"/>
  <c r="W2725" i="34"/>
  <c r="X2725" i="34"/>
  <c r="N2726" i="34"/>
  <c r="R2726" i="34"/>
  <c r="S2726" i="34"/>
  <c r="T2726" i="34"/>
  <c r="V2726" i="34"/>
  <c r="W2726" i="34"/>
  <c r="X2726" i="34"/>
  <c r="N2727" i="34"/>
  <c r="R2727" i="34"/>
  <c r="S2727" i="34"/>
  <c r="T2727" i="34"/>
  <c r="V2727" i="34"/>
  <c r="W2727" i="34"/>
  <c r="X2727" i="34"/>
  <c r="N2728" i="34"/>
  <c r="R2728" i="34"/>
  <c r="S2728" i="34"/>
  <c r="T2728" i="34"/>
  <c r="V2728" i="34"/>
  <c r="W2728" i="34"/>
  <c r="X2728" i="34"/>
  <c r="N2729" i="34"/>
  <c r="R2729" i="34"/>
  <c r="S2729" i="34"/>
  <c r="T2729" i="34"/>
  <c r="V2729" i="34"/>
  <c r="W2729" i="34"/>
  <c r="X2729" i="34"/>
  <c r="N2730" i="34"/>
  <c r="R2730" i="34"/>
  <c r="S2730" i="34"/>
  <c r="T2730" i="34"/>
  <c r="V2730" i="34"/>
  <c r="W2730" i="34"/>
  <c r="X2730" i="34"/>
  <c r="N2731" i="34"/>
  <c r="R2731" i="34"/>
  <c r="S2731" i="34"/>
  <c r="T2731" i="34"/>
  <c r="V2731" i="34"/>
  <c r="W2731" i="34"/>
  <c r="X2731" i="34"/>
  <c r="N2732" i="34"/>
  <c r="R2732" i="34"/>
  <c r="S2732" i="34"/>
  <c r="T2732" i="34"/>
  <c r="V2732" i="34"/>
  <c r="W2732" i="34"/>
  <c r="X2732" i="34"/>
  <c r="N2733" i="34"/>
  <c r="R2733" i="34"/>
  <c r="S2733" i="34"/>
  <c r="T2733" i="34"/>
  <c r="V2733" i="34"/>
  <c r="W2733" i="34"/>
  <c r="X2733" i="34"/>
  <c r="N2734" i="34"/>
  <c r="R2734" i="34"/>
  <c r="S2734" i="34"/>
  <c r="T2734" i="34"/>
  <c r="V2734" i="34"/>
  <c r="W2734" i="34"/>
  <c r="X2734" i="34"/>
  <c r="N2735" i="34"/>
  <c r="R2735" i="34"/>
  <c r="S2735" i="34"/>
  <c r="T2735" i="34"/>
  <c r="V2735" i="34"/>
  <c r="W2735" i="34"/>
  <c r="X2735" i="34"/>
  <c r="N2736" i="34"/>
  <c r="R2736" i="34"/>
  <c r="S2736" i="34"/>
  <c r="T2736" i="34"/>
  <c r="V2736" i="34"/>
  <c r="W2736" i="34"/>
  <c r="X2736" i="34"/>
  <c r="N2737" i="34"/>
  <c r="R2737" i="34"/>
  <c r="S2737" i="34"/>
  <c r="T2737" i="34"/>
  <c r="V2737" i="34"/>
  <c r="W2737" i="34"/>
  <c r="X2737" i="34"/>
  <c r="N2738" i="34"/>
  <c r="R2738" i="34"/>
  <c r="S2738" i="34"/>
  <c r="T2738" i="34"/>
  <c r="V2738" i="34"/>
  <c r="W2738" i="34"/>
  <c r="X2738" i="34"/>
  <c r="N2739" i="34"/>
  <c r="R2739" i="34"/>
  <c r="S2739" i="34"/>
  <c r="T2739" i="34"/>
  <c r="V2739" i="34"/>
  <c r="W2739" i="34"/>
  <c r="X2739" i="34"/>
  <c r="N2740" i="34"/>
  <c r="R2740" i="34"/>
  <c r="S2740" i="34"/>
  <c r="T2740" i="34"/>
  <c r="V2740" i="34"/>
  <c r="W2740" i="34"/>
  <c r="X2740" i="34"/>
  <c r="N2741" i="34"/>
  <c r="R2741" i="34"/>
  <c r="S2741" i="34"/>
  <c r="T2741" i="34"/>
  <c r="V2741" i="34"/>
  <c r="W2741" i="34"/>
  <c r="X2741" i="34"/>
  <c r="N2742" i="34"/>
  <c r="R2742" i="34"/>
  <c r="S2742" i="34"/>
  <c r="T2742" i="34"/>
  <c r="V2742" i="34"/>
  <c r="W2742" i="34"/>
  <c r="X2742" i="34"/>
  <c r="N2743" i="34"/>
  <c r="R2743" i="34"/>
  <c r="S2743" i="34"/>
  <c r="T2743" i="34"/>
  <c r="V2743" i="34"/>
  <c r="W2743" i="34"/>
  <c r="X2743" i="34"/>
  <c r="N2744" i="34"/>
  <c r="R2744" i="34"/>
  <c r="S2744" i="34"/>
  <c r="T2744" i="34"/>
  <c r="V2744" i="34"/>
  <c r="W2744" i="34"/>
  <c r="X2744" i="34"/>
  <c r="N2745" i="34"/>
  <c r="R2745" i="34"/>
  <c r="S2745" i="34"/>
  <c r="T2745" i="34"/>
  <c r="V2745" i="34"/>
  <c r="W2745" i="34"/>
  <c r="X2745" i="34"/>
  <c r="N2746" i="34"/>
  <c r="R2746" i="34"/>
  <c r="S2746" i="34"/>
  <c r="T2746" i="34"/>
  <c r="V2746" i="34"/>
  <c r="W2746" i="34"/>
  <c r="X2746" i="34"/>
  <c r="N2747" i="34"/>
  <c r="R2747" i="34"/>
  <c r="S2747" i="34"/>
  <c r="T2747" i="34"/>
  <c r="V2747" i="34"/>
  <c r="W2747" i="34"/>
  <c r="X2747" i="34"/>
  <c r="N2748" i="34"/>
  <c r="R2748" i="34"/>
  <c r="S2748" i="34"/>
  <c r="T2748" i="34"/>
  <c r="V2748" i="34"/>
  <c r="W2748" i="34"/>
  <c r="X2748" i="34"/>
  <c r="N2749" i="34"/>
  <c r="R2749" i="34"/>
  <c r="S2749" i="34"/>
  <c r="T2749" i="34"/>
  <c r="V2749" i="34"/>
  <c r="W2749" i="34"/>
  <c r="X2749" i="34"/>
  <c r="N2750" i="34"/>
  <c r="R2750" i="34"/>
  <c r="S2750" i="34"/>
  <c r="T2750" i="34"/>
  <c r="V2750" i="34"/>
  <c r="W2750" i="34"/>
  <c r="X2750" i="34"/>
  <c r="N2751" i="34"/>
  <c r="R2751" i="34"/>
  <c r="S2751" i="34"/>
  <c r="T2751" i="34"/>
  <c r="V2751" i="34"/>
  <c r="W2751" i="34"/>
  <c r="X2751" i="34"/>
  <c r="N2752" i="34"/>
  <c r="R2752" i="34"/>
  <c r="S2752" i="34"/>
  <c r="T2752" i="34"/>
  <c r="V2752" i="34"/>
  <c r="W2752" i="34"/>
  <c r="X2752" i="34"/>
  <c r="N2753" i="34"/>
  <c r="R2753" i="34"/>
  <c r="S2753" i="34"/>
  <c r="T2753" i="34"/>
  <c r="V2753" i="34"/>
  <c r="W2753" i="34"/>
  <c r="X2753" i="34"/>
  <c r="N2754" i="34"/>
  <c r="R2754" i="34"/>
  <c r="S2754" i="34"/>
  <c r="T2754" i="34"/>
  <c r="V2754" i="34"/>
  <c r="W2754" i="34"/>
  <c r="X2754" i="34"/>
  <c r="N2755" i="34"/>
  <c r="R2755" i="34"/>
  <c r="S2755" i="34"/>
  <c r="T2755" i="34"/>
  <c r="V2755" i="34"/>
  <c r="W2755" i="34"/>
  <c r="X2755" i="34"/>
  <c r="N2756" i="34"/>
  <c r="R2756" i="34"/>
  <c r="S2756" i="34"/>
  <c r="T2756" i="34"/>
  <c r="V2756" i="34"/>
  <c r="W2756" i="34"/>
  <c r="X2756" i="34"/>
  <c r="N2757" i="34"/>
  <c r="R2757" i="34"/>
  <c r="S2757" i="34"/>
  <c r="T2757" i="34"/>
  <c r="V2757" i="34"/>
  <c r="W2757" i="34"/>
  <c r="X2757" i="34"/>
  <c r="N2758" i="34"/>
  <c r="R2758" i="34"/>
  <c r="S2758" i="34"/>
  <c r="T2758" i="34"/>
  <c r="V2758" i="34"/>
  <c r="W2758" i="34"/>
  <c r="X2758" i="34"/>
  <c r="N2759" i="34"/>
  <c r="R2759" i="34"/>
  <c r="S2759" i="34"/>
  <c r="T2759" i="34"/>
  <c r="V2759" i="34"/>
  <c r="W2759" i="34"/>
  <c r="X2759" i="34"/>
  <c r="N2760" i="34"/>
  <c r="R2760" i="34"/>
  <c r="S2760" i="34"/>
  <c r="T2760" i="34"/>
  <c r="V2760" i="34"/>
  <c r="W2760" i="34"/>
  <c r="X2760" i="34"/>
  <c r="N2761" i="34"/>
  <c r="R2761" i="34"/>
  <c r="S2761" i="34"/>
  <c r="T2761" i="34"/>
  <c r="V2761" i="34"/>
  <c r="W2761" i="34"/>
  <c r="X2761" i="34"/>
  <c r="N2762" i="34"/>
  <c r="R2762" i="34"/>
  <c r="S2762" i="34"/>
  <c r="T2762" i="34"/>
  <c r="V2762" i="34"/>
  <c r="W2762" i="34"/>
  <c r="X2762" i="34"/>
  <c r="N2763" i="34"/>
  <c r="R2763" i="34"/>
  <c r="S2763" i="34"/>
  <c r="T2763" i="34"/>
  <c r="V2763" i="34"/>
  <c r="W2763" i="34"/>
  <c r="X2763" i="34"/>
  <c r="N2764" i="34"/>
  <c r="R2764" i="34"/>
  <c r="S2764" i="34"/>
  <c r="T2764" i="34"/>
  <c r="V2764" i="34"/>
  <c r="W2764" i="34"/>
  <c r="X2764" i="34"/>
  <c r="N2765" i="34"/>
  <c r="R2765" i="34"/>
  <c r="S2765" i="34"/>
  <c r="T2765" i="34"/>
  <c r="V2765" i="34"/>
  <c r="W2765" i="34"/>
  <c r="X2765" i="34"/>
  <c r="N2766" i="34"/>
  <c r="R2766" i="34"/>
  <c r="S2766" i="34"/>
  <c r="T2766" i="34"/>
  <c r="V2766" i="34"/>
  <c r="W2766" i="34"/>
  <c r="X2766" i="34"/>
  <c r="N2767" i="34"/>
  <c r="R2767" i="34"/>
  <c r="S2767" i="34"/>
  <c r="T2767" i="34"/>
  <c r="V2767" i="34"/>
  <c r="W2767" i="34"/>
  <c r="X2767" i="34"/>
  <c r="N2768" i="34"/>
  <c r="R2768" i="34"/>
  <c r="S2768" i="34"/>
  <c r="T2768" i="34"/>
  <c r="V2768" i="34"/>
  <c r="W2768" i="34"/>
  <c r="X2768" i="34"/>
  <c r="N2769" i="34"/>
  <c r="R2769" i="34"/>
  <c r="S2769" i="34"/>
  <c r="T2769" i="34"/>
  <c r="V2769" i="34"/>
  <c r="W2769" i="34"/>
  <c r="X2769" i="34"/>
  <c r="N2770" i="34"/>
  <c r="R2770" i="34"/>
  <c r="S2770" i="34"/>
  <c r="T2770" i="34"/>
  <c r="V2770" i="34"/>
  <c r="W2770" i="34"/>
  <c r="X2770" i="34"/>
  <c r="N2771" i="34"/>
  <c r="R2771" i="34"/>
  <c r="S2771" i="34"/>
  <c r="T2771" i="34"/>
  <c r="V2771" i="34"/>
  <c r="W2771" i="34"/>
  <c r="X2771" i="34"/>
  <c r="N2772" i="34"/>
  <c r="R2772" i="34"/>
  <c r="S2772" i="34"/>
  <c r="T2772" i="34"/>
  <c r="V2772" i="34"/>
  <c r="W2772" i="34"/>
  <c r="X2772" i="34"/>
  <c r="N2773" i="34"/>
  <c r="R2773" i="34"/>
  <c r="S2773" i="34"/>
  <c r="T2773" i="34"/>
  <c r="V2773" i="34"/>
  <c r="W2773" i="34"/>
  <c r="X2773" i="34"/>
  <c r="N2774" i="34"/>
  <c r="R2774" i="34"/>
  <c r="S2774" i="34"/>
  <c r="T2774" i="34"/>
  <c r="V2774" i="34"/>
  <c r="W2774" i="34"/>
  <c r="X2774" i="34"/>
  <c r="N2775" i="34"/>
  <c r="R2775" i="34"/>
  <c r="S2775" i="34"/>
  <c r="T2775" i="34"/>
  <c r="V2775" i="34"/>
  <c r="W2775" i="34"/>
  <c r="X2775" i="34"/>
  <c r="N2776" i="34"/>
  <c r="R2776" i="34"/>
  <c r="S2776" i="34"/>
  <c r="T2776" i="34"/>
  <c r="V2776" i="34"/>
  <c r="W2776" i="34"/>
  <c r="X2776" i="34"/>
  <c r="N2777" i="34"/>
  <c r="R2777" i="34"/>
  <c r="S2777" i="34"/>
  <c r="T2777" i="34"/>
  <c r="V2777" i="34"/>
  <c r="W2777" i="34"/>
  <c r="X2777" i="34"/>
  <c r="N2778" i="34"/>
  <c r="R2778" i="34"/>
  <c r="S2778" i="34"/>
  <c r="T2778" i="34"/>
  <c r="V2778" i="34"/>
  <c r="W2778" i="34"/>
  <c r="X2778" i="34"/>
  <c r="N2779" i="34"/>
  <c r="R2779" i="34"/>
  <c r="S2779" i="34"/>
  <c r="T2779" i="34"/>
  <c r="V2779" i="34"/>
  <c r="W2779" i="34"/>
  <c r="X2779" i="34"/>
  <c r="N2780" i="34"/>
  <c r="R2780" i="34"/>
  <c r="S2780" i="34"/>
  <c r="T2780" i="34"/>
  <c r="V2780" i="34"/>
  <c r="W2780" i="34"/>
  <c r="X2780" i="34"/>
  <c r="N2781" i="34"/>
  <c r="R2781" i="34"/>
  <c r="S2781" i="34"/>
  <c r="T2781" i="34"/>
  <c r="V2781" i="34"/>
  <c r="W2781" i="34"/>
  <c r="X2781" i="34"/>
  <c r="N2782" i="34"/>
  <c r="R2782" i="34"/>
  <c r="S2782" i="34"/>
  <c r="T2782" i="34"/>
  <c r="V2782" i="34"/>
  <c r="W2782" i="34"/>
  <c r="X2782" i="34"/>
  <c r="N2783" i="34"/>
  <c r="R2783" i="34"/>
  <c r="S2783" i="34"/>
  <c r="T2783" i="34"/>
  <c r="V2783" i="34"/>
  <c r="W2783" i="34"/>
  <c r="X2783" i="34"/>
  <c r="N2784" i="34"/>
  <c r="R2784" i="34"/>
  <c r="S2784" i="34"/>
  <c r="T2784" i="34"/>
  <c r="V2784" i="34"/>
  <c r="W2784" i="34"/>
  <c r="X2784" i="34"/>
  <c r="N2785" i="34"/>
  <c r="R2785" i="34"/>
  <c r="S2785" i="34"/>
  <c r="T2785" i="34"/>
  <c r="V2785" i="34"/>
  <c r="W2785" i="34"/>
  <c r="X2785" i="34"/>
  <c r="N2786" i="34"/>
  <c r="R2786" i="34"/>
  <c r="S2786" i="34"/>
  <c r="T2786" i="34"/>
  <c r="V2786" i="34"/>
  <c r="W2786" i="34"/>
  <c r="X2786" i="34"/>
  <c r="N2787" i="34"/>
  <c r="R2787" i="34"/>
  <c r="S2787" i="34"/>
  <c r="T2787" i="34"/>
  <c r="V2787" i="34"/>
  <c r="W2787" i="34"/>
  <c r="X2787" i="34"/>
  <c r="N2788" i="34"/>
  <c r="R2788" i="34"/>
  <c r="S2788" i="34"/>
  <c r="T2788" i="34"/>
  <c r="V2788" i="34"/>
  <c r="W2788" i="34"/>
  <c r="X2788" i="34"/>
  <c r="N2789" i="34"/>
  <c r="R2789" i="34"/>
  <c r="S2789" i="34"/>
  <c r="T2789" i="34"/>
  <c r="V2789" i="34"/>
  <c r="W2789" i="34"/>
  <c r="X2789" i="34"/>
  <c r="N2790" i="34"/>
  <c r="R2790" i="34"/>
  <c r="S2790" i="34"/>
  <c r="T2790" i="34"/>
  <c r="V2790" i="34"/>
  <c r="W2790" i="34"/>
  <c r="X2790" i="34"/>
  <c r="N2791" i="34"/>
  <c r="R2791" i="34"/>
  <c r="S2791" i="34"/>
  <c r="T2791" i="34"/>
  <c r="V2791" i="34"/>
  <c r="W2791" i="34"/>
  <c r="X2791" i="34"/>
  <c r="N2792" i="34"/>
  <c r="R2792" i="34"/>
  <c r="S2792" i="34"/>
  <c r="T2792" i="34"/>
  <c r="V2792" i="34"/>
  <c r="W2792" i="34"/>
  <c r="X2792" i="34"/>
  <c r="N2793" i="34"/>
  <c r="R2793" i="34"/>
  <c r="S2793" i="34"/>
  <c r="T2793" i="34"/>
  <c r="V2793" i="34"/>
  <c r="W2793" i="34"/>
  <c r="X2793" i="34"/>
  <c r="N2794" i="34"/>
  <c r="R2794" i="34"/>
  <c r="S2794" i="34"/>
  <c r="T2794" i="34"/>
  <c r="V2794" i="34"/>
  <c r="W2794" i="34"/>
  <c r="X2794" i="34"/>
  <c r="N2795" i="34"/>
  <c r="R2795" i="34"/>
  <c r="S2795" i="34"/>
  <c r="T2795" i="34"/>
  <c r="V2795" i="34"/>
  <c r="W2795" i="34"/>
  <c r="X2795" i="34"/>
  <c r="N2796" i="34"/>
  <c r="R2796" i="34"/>
  <c r="S2796" i="34"/>
  <c r="T2796" i="34"/>
  <c r="V2796" i="34"/>
  <c r="W2796" i="34"/>
  <c r="X2796" i="34"/>
  <c r="N2797" i="34"/>
  <c r="R2797" i="34"/>
  <c r="S2797" i="34"/>
  <c r="T2797" i="34"/>
  <c r="V2797" i="34"/>
  <c r="W2797" i="34"/>
  <c r="X2797" i="34"/>
  <c r="N2798" i="34"/>
  <c r="R2798" i="34"/>
  <c r="S2798" i="34"/>
  <c r="T2798" i="34"/>
  <c r="V2798" i="34"/>
  <c r="W2798" i="34"/>
  <c r="X2798" i="34"/>
  <c r="N2799" i="34"/>
  <c r="R2799" i="34"/>
  <c r="S2799" i="34"/>
  <c r="T2799" i="34"/>
  <c r="V2799" i="34"/>
  <c r="W2799" i="34"/>
  <c r="X2799" i="34"/>
  <c r="N2800" i="34"/>
  <c r="R2800" i="34"/>
  <c r="S2800" i="34"/>
  <c r="T2800" i="34"/>
  <c r="V2800" i="34"/>
  <c r="W2800" i="34"/>
  <c r="X2800" i="34"/>
  <c r="N2801" i="34"/>
  <c r="R2801" i="34"/>
  <c r="S2801" i="34"/>
  <c r="T2801" i="34"/>
  <c r="V2801" i="34"/>
  <c r="W2801" i="34"/>
  <c r="X2801" i="34"/>
  <c r="N2802" i="34"/>
  <c r="R2802" i="34"/>
  <c r="S2802" i="34"/>
  <c r="T2802" i="34"/>
  <c r="V2802" i="34"/>
  <c r="W2802" i="34"/>
  <c r="X2802" i="34"/>
  <c r="N2803" i="34"/>
  <c r="R2803" i="34"/>
  <c r="S2803" i="34"/>
  <c r="T2803" i="34"/>
  <c r="V2803" i="34"/>
  <c r="W2803" i="34"/>
  <c r="X2803" i="34"/>
  <c r="N2804" i="34"/>
  <c r="R2804" i="34"/>
  <c r="S2804" i="34"/>
  <c r="T2804" i="34"/>
  <c r="V2804" i="34"/>
  <c r="W2804" i="34"/>
  <c r="X2804" i="34"/>
  <c r="N2805" i="34"/>
  <c r="R2805" i="34"/>
  <c r="S2805" i="34"/>
  <c r="T2805" i="34"/>
  <c r="V2805" i="34"/>
  <c r="W2805" i="34"/>
  <c r="X2805" i="34"/>
  <c r="N2806" i="34"/>
  <c r="R2806" i="34"/>
  <c r="S2806" i="34"/>
  <c r="T2806" i="34"/>
  <c r="V2806" i="34"/>
  <c r="W2806" i="34"/>
  <c r="X2806" i="34"/>
  <c r="N2807" i="34"/>
  <c r="R2807" i="34"/>
  <c r="S2807" i="34"/>
  <c r="T2807" i="34"/>
  <c r="V2807" i="34"/>
  <c r="W2807" i="34"/>
  <c r="X2807" i="34"/>
  <c r="N2808" i="34"/>
  <c r="R2808" i="34"/>
  <c r="S2808" i="34"/>
  <c r="T2808" i="34"/>
  <c r="V2808" i="34"/>
  <c r="W2808" i="34"/>
  <c r="X2808" i="34"/>
  <c r="N2809" i="34"/>
  <c r="R2809" i="34"/>
  <c r="S2809" i="34"/>
  <c r="T2809" i="34"/>
  <c r="V2809" i="34"/>
  <c r="W2809" i="34"/>
  <c r="X2809" i="34"/>
  <c r="N2810" i="34"/>
  <c r="R2810" i="34"/>
  <c r="S2810" i="34"/>
  <c r="T2810" i="34"/>
  <c r="V2810" i="34"/>
  <c r="W2810" i="34"/>
  <c r="X2810" i="34"/>
  <c r="N2811" i="34"/>
  <c r="R2811" i="34"/>
  <c r="S2811" i="34"/>
  <c r="T2811" i="34"/>
  <c r="V2811" i="34"/>
  <c r="W2811" i="34"/>
  <c r="X2811" i="34"/>
  <c r="N2812" i="34"/>
  <c r="R2812" i="34"/>
  <c r="S2812" i="34"/>
  <c r="T2812" i="34"/>
  <c r="V2812" i="34"/>
  <c r="W2812" i="34"/>
  <c r="X2812" i="34"/>
  <c r="N2813" i="34"/>
  <c r="R2813" i="34"/>
  <c r="S2813" i="34"/>
  <c r="T2813" i="34"/>
  <c r="V2813" i="34"/>
  <c r="W2813" i="34"/>
  <c r="X2813" i="34"/>
  <c r="N2814" i="34"/>
  <c r="R2814" i="34"/>
  <c r="S2814" i="34"/>
  <c r="T2814" i="34"/>
  <c r="V2814" i="34"/>
  <c r="W2814" i="34"/>
  <c r="X2814" i="34"/>
  <c r="N2815" i="34"/>
  <c r="R2815" i="34"/>
  <c r="S2815" i="34"/>
  <c r="T2815" i="34"/>
  <c r="V2815" i="34"/>
  <c r="W2815" i="34"/>
  <c r="X2815" i="34"/>
  <c r="N2816" i="34"/>
  <c r="R2816" i="34"/>
  <c r="S2816" i="34"/>
  <c r="T2816" i="34"/>
  <c r="V2816" i="34"/>
  <c r="W2816" i="34"/>
  <c r="X2816" i="34"/>
  <c r="N2817" i="34"/>
  <c r="R2817" i="34"/>
  <c r="S2817" i="34"/>
  <c r="T2817" i="34"/>
  <c r="V2817" i="34"/>
  <c r="W2817" i="34"/>
  <c r="X2817" i="34"/>
  <c r="N2818" i="34"/>
  <c r="R2818" i="34"/>
  <c r="S2818" i="34"/>
  <c r="T2818" i="34"/>
  <c r="V2818" i="34"/>
  <c r="W2818" i="34"/>
  <c r="X2818" i="34"/>
  <c r="N2819" i="34"/>
  <c r="R2819" i="34"/>
  <c r="S2819" i="34"/>
  <c r="T2819" i="34"/>
  <c r="V2819" i="34"/>
  <c r="W2819" i="34"/>
  <c r="X2819" i="34"/>
  <c r="N2820" i="34"/>
  <c r="R2820" i="34"/>
  <c r="S2820" i="34"/>
  <c r="T2820" i="34"/>
  <c r="V2820" i="34"/>
  <c r="W2820" i="34"/>
  <c r="X2820" i="34"/>
  <c r="N2821" i="34"/>
  <c r="R2821" i="34"/>
  <c r="S2821" i="34"/>
  <c r="T2821" i="34"/>
  <c r="V2821" i="34"/>
  <c r="W2821" i="34"/>
  <c r="X2821" i="34"/>
  <c r="N2822" i="34"/>
  <c r="R2822" i="34"/>
  <c r="S2822" i="34"/>
  <c r="T2822" i="34"/>
  <c r="V2822" i="34"/>
  <c r="W2822" i="34"/>
  <c r="X2822" i="34"/>
  <c r="N2823" i="34"/>
  <c r="R2823" i="34"/>
  <c r="S2823" i="34"/>
  <c r="T2823" i="34"/>
  <c r="V2823" i="34"/>
  <c r="W2823" i="34"/>
  <c r="X2823" i="34"/>
  <c r="N2824" i="34"/>
  <c r="R2824" i="34"/>
  <c r="S2824" i="34"/>
  <c r="T2824" i="34"/>
  <c r="V2824" i="34"/>
  <c r="W2824" i="34"/>
  <c r="X2824" i="34"/>
  <c r="N2825" i="34"/>
  <c r="R2825" i="34"/>
  <c r="S2825" i="34"/>
  <c r="T2825" i="34"/>
  <c r="V2825" i="34"/>
  <c r="W2825" i="34"/>
  <c r="X2825" i="34"/>
  <c r="N2826" i="34"/>
  <c r="R2826" i="34"/>
  <c r="S2826" i="34"/>
  <c r="T2826" i="34"/>
  <c r="V2826" i="34"/>
  <c r="W2826" i="34"/>
  <c r="X2826" i="34"/>
  <c r="N2827" i="34"/>
  <c r="R2827" i="34"/>
  <c r="S2827" i="34"/>
  <c r="T2827" i="34"/>
  <c r="V2827" i="34"/>
  <c r="W2827" i="34"/>
  <c r="X2827" i="34"/>
  <c r="N2828" i="34"/>
  <c r="R2828" i="34"/>
  <c r="S2828" i="34"/>
  <c r="T2828" i="34"/>
  <c r="V2828" i="34"/>
  <c r="W2828" i="34"/>
  <c r="X2828" i="34"/>
  <c r="N2829" i="34"/>
  <c r="R2829" i="34"/>
  <c r="S2829" i="34"/>
  <c r="T2829" i="34"/>
  <c r="V2829" i="34"/>
  <c r="W2829" i="34"/>
  <c r="X2829" i="34"/>
  <c r="N2830" i="34"/>
  <c r="R2830" i="34"/>
  <c r="S2830" i="34"/>
  <c r="T2830" i="34"/>
  <c r="V2830" i="34"/>
  <c r="W2830" i="34"/>
  <c r="X2830" i="34"/>
  <c r="N2831" i="34"/>
  <c r="R2831" i="34"/>
  <c r="S2831" i="34"/>
  <c r="T2831" i="34"/>
  <c r="V2831" i="34"/>
  <c r="W2831" i="34"/>
  <c r="X2831" i="34"/>
  <c r="N2832" i="34"/>
  <c r="R2832" i="34"/>
  <c r="S2832" i="34"/>
  <c r="T2832" i="34"/>
  <c r="V2832" i="34"/>
  <c r="W2832" i="34"/>
  <c r="X2832" i="34"/>
  <c r="N2833" i="34"/>
  <c r="R2833" i="34"/>
  <c r="S2833" i="34"/>
  <c r="T2833" i="34"/>
  <c r="V2833" i="34"/>
  <c r="W2833" i="34"/>
  <c r="X2833" i="34"/>
  <c r="N2834" i="34"/>
  <c r="R2834" i="34"/>
  <c r="S2834" i="34"/>
  <c r="T2834" i="34"/>
  <c r="V2834" i="34"/>
  <c r="W2834" i="34"/>
  <c r="X2834" i="34"/>
  <c r="N2835" i="34"/>
  <c r="R2835" i="34"/>
  <c r="S2835" i="34"/>
  <c r="T2835" i="34"/>
  <c r="V2835" i="34"/>
  <c r="W2835" i="34"/>
  <c r="X2835" i="34"/>
  <c r="N2836" i="34"/>
  <c r="R2836" i="34"/>
  <c r="S2836" i="34"/>
  <c r="T2836" i="34"/>
  <c r="V2836" i="34"/>
  <c r="W2836" i="34"/>
  <c r="X2836" i="34"/>
  <c r="N2837" i="34"/>
  <c r="R2837" i="34"/>
  <c r="S2837" i="34"/>
  <c r="T2837" i="34"/>
  <c r="V2837" i="34"/>
  <c r="W2837" i="34"/>
  <c r="X2837" i="34"/>
  <c r="N2838" i="34"/>
  <c r="R2838" i="34"/>
  <c r="S2838" i="34"/>
  <c r="T2838" i="34"/>
  <c r="V2838" i="34"/>
  <c r="W2838" i="34"/>
  <c r="X2838" i="34"/>
  <c r="N2839" i="34"/>
  <c r="R2839" i="34"/>
  <c r="S2839" i="34"/>
  <c r="T2839" i="34"/>
  <c r="V2839" i="34"/>
  <c r="W2839" i="34"/>
  <c r="X2839" i="34"/>
  <c r="N2840" i="34"/>
  <c r="R2840" i="34"/>
  <c r="S2840" i="34"/>
  <c r="T2840" i="34"/>
  <c r="V2840" i="34"/>
  <c r="W2840" i="34"/>
  <c r="X2840" i="34"/>
  <c r="N2841" i="34"/>
  <c r="R2841" i="34"/>
  <c r="S2841" i="34"/>
  <c r="T2841" i="34"/>
  <c r="V2841" i="34"/>
  <c r="W2841" i="34"/>
  <c r="X2841" i="34"/>
  <c r="N2842" i="34"/>
  <c r="R2842" i="34"/>
  <c r="S2842" i="34"/>
  <c r="T2842" i="34"/>
  <c r="V2842" i="34"/>
  <c r="W2842" i="34"/>
  <c r="X2842" i="34"/>
  <c r="N2843" i="34"/>
  <c r="R2843" i="34"/>
  <c r="S2843" i="34"/>
  <c r="T2843" i="34"/>
  <c r="V2843" i="34"/>
  <c r="W2843" i="34"/>
  <c r="X2843" i="34"/>
  <c r="N2844" i="34"/>
  <c r="R2844" i="34"/>
  <c r="S2844" i="34"/>
  <c r="T2844" i="34"/>
  <c r="V2844" i="34"/>
  <c r="W2844" i="34"/>
  <c r="X2844" i="34"/>
  <c r="N2845" i="34"/>
  <c r="R2845" i="34"/>
  <c r="S2845" i="34"/>
  <c r="T2845" i="34"/>
  <c r="V2845" i="34"/>
  <c r="W2845" i="34"/>
  <c r="X2845" i="34"/>
  <c r="N2846" i="34"/>
  <c r="R2846" i="34"/>
  <c r="S2846" i="34"/>
  <c r="T2846" i="34"/>
  <c r="V2846" i="34"/>
  <c r="W2846" i="34"/>
  <c r="X2846" i="34"/>
  <c r="N2847" i="34"/>
  <c r="R2847" i="34"/>
  <c r="S2847" i="34"/>
  <c r="T2847" i="34"/>
  <c r="V2847" i="34"/>
  <c r="W2847" i="34"/>
  <c r="X2847" i="34"/>
  <c r="N2848" i="34"/>
  <c r="R2848" i="34"/>
  <c r="S2848" i="34"/>
  <c r="T2848" i="34"/>
  <c r="V2848" i="34"/>
  <c r="W2848" i="34"/>
  <c r="X2848" i="34"/>
  <c r="N2849" i="34"/>
  <c r="R2849" i="34"/>
  <c r="S2849" i="34"/>
  <c r="T2849" i="34"/>
  <c r="V2849" i="34"/>
  <c r="W2849" i="34"/>
  <c r="X2849" i="34"/>
  <c r="N2850" i="34"/>
  <c r="R2850" i="34"/>
  <c r="S2850" i="34"/>
  <c r="T2850" i="34"/>
  <c r="V2850" i="34"/>
  <c r="W2850" i="34"/>
  <c r="X2850" i="34"/>
  <c r="N2851" i="34"/>
  <c r="R2851" i="34"/>
  <c r="S2851" i="34"/>
  <c r="T2851" i="34"/>
  <c r="V2851" i="34"/>
  <c r="W2851" i="34"/>
  <c r="X2851" i="34"/>
  <c r="N2852" i="34"/>
  <c r="R2852" i="34"/>
  <c r="S2852" i="34"/>
  <c r="T2852" i="34"/>
  <c r="V2852" i="34"/>
  <c r="W2852" i="34"/>
  <c r="X2852" i="34"/>
  <c r="N2853" i="34"/>
  <c r="R2853" i="34"/>
  <c r="S2853" i="34"/>
  <c r="T2853" i="34"/>
  <c r="V2853" i="34"/>
  <c r="W2853" i="34"/>
  <c r="X2853" i="34"/>
  <c r="N2854" i="34"/>
  <c r="R2854" i="34"/>
  <c r="S2854" i="34"/>
  <c r="T2854" i="34"/>
  <c r="V2854" i="34"/>
  <c r="W2854" i="34"/>
  <c r="X2854" i="34"/>
  <c r="N2855" i="34"/>
  <c r="R2855" i="34"/>
  <c r="S2855" i="34"/>
  <c r="T2855" i="34"/>
  <c r="V2855" i="34"/>
  <c r="W2855" i="34"/>
  <c r="X2855" i="34"/>
  <c r="N2856" i="34"/>
  <c r="R2856" i="34"/>
  <c r="S2856" i="34"/>
  <c r="T2856" i="34"/>
  <c r="V2856" i="34"/>
  <c r="W2856" i="34"/>
  <c r="X2856" i="34"/>
  <c r="N2857" i="34"/>
  <c r="R2857" i="34"/>
  <c r="S2857" i="34"/>
  <c r="T2857" i="34"/>
  <c r="V2857" i="34"/>
  <c r="W2857" i="34"/>
  <c r="X2857" i="34"/>
  <c r="N2858" i="34"/>
  <c r="R2858" i="34"/>
  <c r="S2858" i="34"/>
  <c r="T2858" i="34"/>
  <c r="V2858" i="34"/>
  <c r="W2858" i="34"/>
  <c r="X2858" i="34"/>
  <c r="N2859" i="34"/>
  <c r="R2859" i="34"/>
  <c r="S2859" i="34"/>
  <c r="T2859" i="34"/>
  <c r="V2859" i="34"/>
  <c r="W2859" i="34"/>
  <c r="X2859" i="34"/>
  <c r="N2860" i="34"/>
  <c r="R2860" i="34"/>
  <c r="S2860" i="34"/>
  <c r="T2860" i="34"/>
  <c r="V2860" i="34"/>
  <c r="W2860" i="34"/>
  <c r="X2860" i="34"/>
  <c r="N2861" i="34"/>
  <c r="R2861" i="34"/>
  <c r="S2861" i="34"/>
  <c r="T2861" i="34"/>
  <c r="V2861" i="34"/>
  <c r="W2861" i="34"/>
  <c r="X2861" i="34"/>
  <c r="N2862" i="34"/>
  <c r="R2862" i="34"/>
  <c r="S2862" i="34"/>
  <c r="T2862" i="34"/>
  <c r="V2862" i="34"/>
  <c r="W2862" i="34"/>
  <c r="X2862" i="34"/>
  <c r="N2863" i="34"/>
  <c r="R2863" i="34"/>
  <c r="S2863" i="34"/>
  <c r="T2863" i="34"/>
  <c r="V2863" i="34"/>
  <c r="W2863" i="34"/>
  <c r="X2863" i="34"/>
  <c r="N2864" i="34"/>
  <c r="R2864" i="34"/>
  <c r="S2864" i="34"/>
  <c r="T2864" i="34"/>
  <c r="V2864" i="34"/>
  <c r="W2864" i="34"/>
  <c r="X2864" i="34"/>
  <c r="N2865" i="34"/>
  <c r="R2865" i="34"/>
  <c r="S2865" i="34"/>
  <c r="T2865" i="34"/>
  <c r="V2865" i="34"/>
  <c r="W2865" i="34"/>
  <c r="X2865" i="34"/>
  <c r="N2866" i="34"/>
  <c r="R2866" i="34"/>
  <c r="S2866" i="34"/>
  <c r="T2866" i="34"/>
  <c r="V2866" i="34"/>
  <c r="W2866" i="34"/>
  <c r="X2866" i="34"/>
  <c r="N2867" i="34"/>
  <c r="R2867" i="34"/>
  <c r="S2867" i="34"/>
  <c r="T2867" i="34"/>
  <c r="V2867" i="34"/>
  <c r="W2867" i="34"/>
  <c r="X2867" i="34"/>
  <c r="N2868" i="34"/>
  <c r="R2868" i="34"/>
  <c r="S2868" i="34"/>
  <c r="T2868" i="34"/>
  <c r="V2868" i="34"/>
  <c r="W2868" i="34"/>
  <c r="X2868" i="34"/>
  <c r="N2869" i="34"/>
  <c r="R2869" i="34"/>
  <c r="S2869" i="34"/>
  <c r="T2869" i="34"/>
  <c r="V2869" i="34"/>
  <c r="W2869" i="34"/>
  <c r="X2869" i="34"/>
  <c r="N2870" i="34"/>
  <c r="R2870" i="34"/>
  <c r="S2870" i="34"/>
  <c r="T2870" i="34"/>
  <c r="V2870" i="34"/>
  <c r="W2870" i="34"/>
  <c r="X2870" i="34"/>
  <c r="N2871" i="34"/>
  <c r="R2871" i="34"/>
  <c r="S2871" i="34"/>
  <c r="T2871" i="34"/>
  <c r="V2871" i="34"/>
  <c r="W2871" i="34"/>
  <c r="X2871" i="34"/>
  <c r="N2872" i="34"/>
  <c r="R2872" i="34"/>
  <c r="S2872" i="34"/>
  <c r="T2872" i="34"/>
  <c r="V2872" i="34"/>
  <c r="W2872" i="34"/>
  <c r="X2872" i="34"/>
  <c r="N2873" i="34"/>
  <c r="R2873" i="34"/>
  <c r="S2873" i="34"/>
  <c r="T2873" i="34"/>
  <c r="V2873" i="34"/>
  <c r="W2873" i="34"/>
  <c r="X2873" i="34"/>
  <c r="N2874" i="34"/>
  <c r="R2874" i="34"/>
  <c r="S2874" i="34"/>
  <c r="T2874" i="34"/>
  <c r="V2874" i="34"/>
  <c r="W2874" i="34"/>
  <c r="X2874" i="34"/>
  <c r="N2875" i="34"/>
  <c r="R2875" i="34"/>
  <c r="S2875" i="34"/>
  <c r="T2875" i="34"/>
  <c r="V2875" i="34"/>
  <c r="W2875" i="34"/>
  <c r="X2875" i="34"/>
  <c r="N2876" i="34"/>
  <c r="R2876" i="34"/>
  <c r="S2876" i="34"/>
  <c r="T2876" i="34"/>
  <c r="V2876" i="34"/>
  <c r="W2876" i="34"/>
  <c r="X2876" i="34"/>
  <c r="N2877" i="34"/>
  <c r="R2877" i="34"/>
  <c r="S2877" i="34"/>
  <c r="T2877" i="34"/>
  <c r="V2877" i="34"/>
  <c r="W2877" i="34"/>
  <c r="X2877" i="34"/>
  <c r="N2878" i="34"/>
  <c r="R2878" i="34"/>
  <c r="S2878" i="34"/>
  <c r="T2878" i="34"/>
  <c r="V2878" i="34"/>
  <c r="W2878" i="34"/>
  <c r="X2878" i="34"/>
  <c r="N2879" i="34"/>
  <c r="R2879" i="34"/>
  <c r="S2879" i="34"/>
  <c r="T2879" i="34"/>
  <c r="V2879" i="34"/>
  <c r="W2879" i="34"/>
  <c r="X2879" i="34"/>
  <c r="N2880" i="34"/>
  <c r="R2880" i="34"/>
  <c r="S2880" i="34"/>
  <c r="T2880" i="34"/>
  <c r="V2880" i="34"/>
  <c r="W2880" i="34"/>
  <c r="X2880" i="34"/>
  <c r="N2881" i="34"/>
  <c r="R2881" i="34"/>
  <c r="S2881" i="34"/>
  <c r="T2881" i="34"/>
  <c r="V2881" i="34"/>
  <c r="W2881" i="34"/>
  <c r="X2881" i="34"/>
  <c r="N2882" i="34"/>
  <c r="R2882" i="34"/>
  <c r="S2882" i="34"/>
  <c r="T2882" i="34"/>
  <c r="V2882" i="34"/>
  <c r="W2882" i="34"/>
  <c r="X2882" i="34"/>
  <c r="N2883" i="34"/>
  <c r="R2883" i="34"/>
  <c r="S2883" i="34"/>
  <c r="T2883" i="34"/>
  <c r="V2883" i="34"/>
  <c r="W2883" i="34"/>
  <c r="X2883" i="34"/>
  <c r="N2884" i="34"/>
  <c r="R2884" i="34"/>
  <c r="S2884" i="34"/>
  <c r="T2884" i="34"/>
  <c r="V2884" i="34"/>
  <c r="W2884" i="34"/>
  <c r="X2884" i="34"/>
  <c r="N2885" i="34"/>
  <c r="R2885" i="34"/>
  <c r="S2885" i="34"/>
  <c r="T2885" i="34"/>
  <c r="V2885" i="34"/>
  <c r="W2885" i="34"/>
  <c r="X2885" i="34"/>
  <c r="N2886" i="34"/>
  <c r="R2886" i="34"/>
  <c r="S2886" i="34"/>
  <c r="T2886" i="34"/>
  <c r="V2886" i="34"/>
  <c r="W2886" i="34"/>
  <c r="X2886" i="34"/>
  <c r="N2887" i="34"/>
  <c r="R2887" i="34"/>
  <c r="S2887" i="34"/>
  <c r="T2887" i="34"/>
  <c r="V2887" i="34"/>
  <c r="W2887" i="34"/>
  <c r="X2887" i="34"/>
  <c r="N2888" i="34"/>
  <c r="R2888" i="34"/>
  <c r="S2888" i="34"/>
  <c r="T2888" i="34"/>
  <c r="V2888" i="34"/>
  <c r="W2888" i="34"/>
  <c r="X2888" i="34"/>
  <c r="N2889" i="34"/>
  <c r="R2889" i="34"/>
  <c r="S2889" i="34"/>
  <c r="T2889" i="34"/>
  <c r="V2889" i="34"/>
  <c r="W2889" i="34"/>
  <c r="X2889" i="34"/>
  <c r="N2890" i="34"/>
  <c r="R2890" i="34"/>
  <c r="S2890" i="34"/>
  <c r="T2890" i="34"/>
  <c r="V2890" i="34"/>
  <c r="W2890" i="34"/>
  <c r="X2890" i="34"/>
  <c r="N2891" i="34"/>
  <c r="R2891" i="34"/>
  <c r="S2891" i="34"/>
  <c r="T2891" i="34"/>
  <c r="V2891" i="34"/>
  <c r="W2891" i="34"/>
  <c r="X2891" i="34"/>
  <c r="N2892" i="34"/>
  <c r="R2892" i="34"/>
  <c r="S2892" i="34"/>
  <c r="T2892" i="34"/>
  <c r="V2892" i="34"/>
  <c r="W2892" i="34"/>
  <c r="X2892" i="34"/>
  <c r="N2893" i="34"/>
  <c r="R2893" i="34"/>
  <c r="S2893" i="34"/>
  <c r="T2893" i="34"/>
  <c r="V2893" i="34"/>
  <c r="W2893" i="34"/>
  <c r="X2893" i="34"/>
  <c r="N2894" i="34"/>
  <c r="R2894" i="34"/>
  <c r="S2894" i="34"/>
  <c r="T2894" i="34"/>
  <c r="V2894" i="34"/>
  <c r="W2894" i="34"/>
  <c r="X2894" i="34"/>
  <c r="N2895" i="34"/>
  <c r="R2895" i="34"/>
  <c r="S2895" i="34"/>
  <c r="T2895" i="34"/>
  <c r="V2895" i="34"/>
  <c r="W2895" i="34"/>
  <c r="X2895" i="34"/>
  <c r="N2896" i="34"/>
  <c r="R2896" i="34"/>
  <c r="S2896" i="34"/>
  <c r="T2896" i="34"/>
  <c r="V2896" i="34"/>
  <c r="W2896" i="34"/>
  <c r="X2896" i="34"/>
  <c r="N2897" i="34"/>
  <c r="R2897" i="34"/>
  <c r="S2897" i="34"/>
  <c r="T2897" i="34"/>
  <c r="V2897" i="34"/>
  <c r="W2897" i="34"/>
  <c r="X2897" i="34"/>
  <c r="N2898" i="34"/>
  <c r="R2898" i="34"/>
  <c r="S2898" i="34"/>
  <c r="T2898" i="34"/>
  <c r="V2898" i="34"/>
  <c r="W2898" i="34"/>
  <c r="X2898" i="34"/>
  <c r="N2899" i="34"/>
  <c r="R2899" i="34"/>
  <c r="S2899" i="34"/>
  <c r="T2899" i="34"/>
  <c r="V2899" i="34"/>
  <c r="W2899" i="34"/>
  <c r="X2899" i="34"/>
  <c r="N2900" i="34"/>
  <c r="R2900" i="34"/>
  <c r="S2900" i="34"/>
  <c r="T2900" i="34"/>
  <c r="V2900" i="34"/>
  <c r="W2900" i="34"/>
  <c r="X2900" i="34"/>
  <c r="N2901" i="34"/>
  <c r="R2901" i="34"/>
  <c r="S2901" i="34"/>
  <c r="T2901" i="34"/>
  <c r="V2901" i="34"/>
  <c r="W2901" i="34"/>
  <c r="X2901" i="34"/>
  <c r="N2902" i="34"/>
  <c r="R2902" i="34"/>
  <c r="S2902" i="34"/>
  <c r="T2902" i="34"/>
  <c r="V2902" i="34"/>
  <c r="W2902" i="34"/>
  <c r="X2902" i="34"/>
  <c r="N2903" i="34"/>
  <c r="R2903" i="34"/>
  <c r="S2903" i="34"/>
  <c r="T2903" i="34"/>
  <c r="V2903" i="34"/>
  <c r="W2903" i="34"/>
  <c r="X2903" i="34"/>
  <c r="N2904" i="34"/>
  <c r="R2904" i="34"/>
  <c r="S2904" i="34"/>
  <c r="T2904" i="34"/>
  <c r="V2904" i="34"/>
  <c r="W2904" i="34"/>
  <c r="X2904" i="34"/>
  <c r="N2905" i="34"/>
  <c r="R2905" i="34"/>
  <c r="S2905" i="34"/>
  <c r="T2905" i="34"/>
  <c r="V2905" i="34"/>
  <c r="W2905" i="34"/>
  <c r="X2905" i="34"/>
  <c r="N2906" i="34"/>
  <c r="R2906" i="34"/>
  <c r="S2906" i="34"/>
  <c r="T2906" i="34"/>
  <c r="V2906" i="34"/>
  <c r="W2906" i="34"/>
  <c r="X2906" i="34"/>
  <c r="N2907" i="34"/>
  <c r="R2907" i="34"/>
  <c r="S2907" i="34"/>
  <c r="T2907" i="34"/>
  <c r="V2907" i="34"/>
  <c r="W2907" i="34"/>
  <c r="X2907" i="34"/>
  <c r="N2908" i="34"/>
  <c r="R2908" i="34"/>
  <c r="S2908" i="34"/>
  <c r="T2908" i="34"/>
  <c r="V2908" i="34"/>
  <c r="W2908" i="34"/>
  <c r="X2908" i="34"/>
  <c r="N2909" i="34"/>
  <c r="R2909" i="34"/>
  <c r="S2909" i="34"/>
  <c r="T2909" i="34"/>
  <c r="V2909" i="34"/>
  <c r="W2909" i="34"/>
  <c r="X2909" i="34"/>
  <c r="N2910" i="34"/>
  <c r="R2910" i="34"/>
  <c r="S2910" i="34"/>
  <c r="T2910" i="34"/>
  <c r="V2910" i="34"/>
  <c r="W2910" i="34"/>
  <c r="X2910" i="34"/>
  <c r="N2911" i="34"/>
  <c r="R2911" i="34"/>
  <c r="S2911" i="34"/>
  <c r="T2911" i="34"/>
  <c r="V2911" i="34"/>
  <c r="W2911" i="34"/>
  <c r="X2911" i="34"/>
  <c r="N2912" i="34"/>
  <c r="R2912" i="34"/>
  <c r="S2912" i="34"/>
  <c r="T2912" i="34"/>
  <c r="V2912" i="34"/>
  <c r="W2912" i="34"/>
  <c r="X2912" i="34"/>
  <c r="N2913" i="34"/>
  <c r="R2913" i="34"/>
  <c r="S2913" i="34"/>
  <c r="T2913" i="34"/>
  <c r="V2913" i="34"/>
  <c r="W2913" i="34"/>
  <c r="X2913" i="34"/>
  <c r="N2914" i="34"/>
  <c r="R2914" i="34"/>
  <c r="S2914" i="34"/>
  <c r="T2914" i="34"/>
  <c r="V2914" i="34"/>
  <c r="W2914" i="34"/>
  <c r="X2914" i="34"/>
  <c r="N2915" i="34"/>
  <c r="R2915" i="34"/>
  <c r="S2915" i="34"/>
  <c r="T2915" i="34"/>
  <c r="V2915" i="34"/>
  <c r="W2915" i="34"/>
  <c r="X2915" i="34"/>
  <c r="N2916" i="34"/>
  <c r="R2916" i="34"/>
  <c r="S2916" i="34"/>
  <c r="T2916" i="34"/>
  <c r="V2916" i="34"/>
  <c r="W2916" i="34"/>
  <c r="X2916" i="34"/>
  <c r="N2917" i="34"/>
  <c r="R2917" i="34"/>
  <c r="S2917" i="34"/>
  <c r="T2917" i="34"/>
  <c r="V2917" i="34"/>
  <c r="W2917" i="34"/>
  <c r="X2917" i="34"/>
  <c r="N2918" i="34"/>
  <c r="R2918" i="34"/>
  <c r="S2918" i="34"/>
  <c r="T2918" i="34"/>
  <c r="V2918" i="34"/>
  <c r="W2918" i="34"/>
  <c r="X2918" i="34"/>
  <c r="N2919" i="34"/>
  <c r="R2919" i="34"/>
  <c r="S2919" i="34"/>
  <c r="T2919" i="34"/>
  <c r="V2919" i="34"/>
  <c r="W2919" i="34"/>
  <c r="X2919" i="34"/>
  <c r="N2920" i="34"/>
  <c r="R2920" i="34"/>
  <c r="S2920" i="34"/>
  <c r="T2920" i="34"/>
  <c r="V2920" i="34"/>
  <c r="W2920" i="34"/>
  <c r="X2920" i="34"/>
  <c r="N2921" i="34"/>
  <c r="R2921" i="34"/>
  <c r="S2921" i="34"/>
  <c r="T2921" i="34"/>
  <c r="V2921" i="34"/>
  <c r="W2921" i="34"/>
  <c r="X2921" i="34"/>
  <c r="N2922" i="34"/>
  <c r="R2922" i="34"/>
  <c r="S2922" i="34"/>
  <c r="T2922" i="34"/>
  <c r="V2922" i="34"/>
  <c r="W2922" i="34"/>
  <c r="X2922" i="34"/>
  <c r="N2923" i="34"/>
  <c r="R2923" i="34"/>
  <c r="S2923" i="34"/>
  <c r="T2923" i="34"/>
  <c r="V2923" i="34"/>
  <c r="W2923" i="34"/>
  <c r="X2923" i="34"/>
  <c r="N2924" i="34"/>
  <c r="R2924" i="34"/>
  <c r="S2924" i="34"/>
  <c r="T2924" i="34"/>
  <c r="V2924" i="34"/>
  <c r="W2924" i="34"/>
  <c r="X2924" i="34"/>
  <c r="N2925" i="34"/>
  <c r="R2925" i="34"/>
  <c r="S2925" i="34"/>
  <c r="T2925" i="34"/>
  <c r="V2925" i="34"/>
  <c r="W2925" i="34"/>
  <c r="X2925" i="34"/>
  <c r="N2926" i="34"/>
  <c r="R2926" i="34"/>
  <c r="S2926" i="34"/>
  <c r="T2926" i="34"/>
  <c r="V2926" i="34"/>
  <c r="W2926" i="34"/>
  <c r="X2926" i="34"/>
  <c r="N2927" i="34"/>
  <c r="R2927" i="34"/>
  <c r="S2927" i="34"/>
  <c r="T2927" i="34"/>
  <c r="V2927" i="34"/>
  <c r="W2927" i="34"/>
  <c r="X2927" i="34"/>
  <c r="N2928" i="34"/>
  <c r="R2928" i="34"/>
  <c r="S2928" i="34"/>
  <c r="T2928" i="34"/>
  <c r="V2928" i="34"/>
  <c r="W2928" i="34"/>
  <c r="X2928" i="34"/>
  <c r="N2929" i="34"/>
  <c r="R2929" i="34"/>
  <c r="S2929" i="34"/>
  <c r="T2929" i="34"/>
  <c r="V2929" i="34"/>
  <c r="W2929" i="34"/>
  <c r="X2929" i="34"/>
  <c r="N2930" i="34"/>
  <c r="R2930" i="34"/>
  <c r="S2930" i="34"/>
  <c r="T2930" i="34"/>
  <c r="V2930" i="34"/>
  <c r="W2930" i="34"/>
  <c r="X2930" i="34"/>
  <c r="N2931" i="34"/>
  <c r="R2931" i="34"/>
  <c r="S2931" i="34"/>
  <c r="T2931" i="34"/>
  <c r="V2931" i="34"/>
  <c r="W2931" i="34"/>
  <c r="X2931" i="34"/>
  <c r="N2932" i="34"/>
  <c r="R2932" i="34"/>
  <c r="S2932" i="34"/>
  <c r="T2932" i="34"/>
  <c r="V2932" i="34"/>
  <c r="W2932" i="34"/>
  <c r="X2932" i="34"/>
  <c r="N2933" i="34"/>
  <c r="R2933" i="34"/>
  <c r="S2933" i="34"/>
  <c r="T2933" i="34"/>
  <c r="V2933" i="34"/>
  <c r="W2933" i="34"/>
  <c r="X2933" i="34"/>
  <c r="N2934" i="34"/>
  <c r="R2934" i="34"/>
  <c r="S2934" i="34"/>
  <c r="T2934" i="34"/>
  <c r="V2934" i="34"/>
  <c r="W2934" i="34"/>
  <c r="X2934" i="34"/>
  <c r="N2935" i="34"/>
  <c r="R2935" i="34"/>
  <c r="S2935" i="34"/>
  <c r="T2935" i="34"/>
  <c r="V2935" i="34"/>
  <c r="W2935" i="34"/>
  <c r="X2935" i="34"/>
  <c r="N2936" i="34"/>
  <c r="R2936" i="34"/>
  <c r="S2936" i="34"/>
  <c r="T2936" i="34"/>
  <c r="V2936" i="34"/>
  <c r="W2936" i="34"/>
  <c r="X2936" i="34"/>
  <c r="N2937" i="34"/>
  <c r="R2937" i="34"/>
  <c r="S2937" i="34"/>
  <c r="T2937" i="34"/>
  <c r="V2937" i="34"/>
  <c r="W2937" i="34"/>
  <c r="X2937" i="34"/>
  <c r="N2938" i="34"/>
  <c r="R2938" i="34"/>
  <c r="S2938" i="34"/>
  <c r="T2938" i="34"/>
  <c r="V2938" i="34"/>
  <c r="W2938" i="34"/>
  <c r="X2938" i="34"/>
  <c r="N2939" i="34"/>
  <c r="R2939" i="34"/>
  <c r="S2939" i="34"/>
  <c r="T2939" i="34"/>
  <c r="V2939" i="34"/>
  <c r="W2939" i="34"/>
  <c r="X2939" i="34"/>
  <c r="N2940" i="34"/>
  <c r="R2940" i="34"/>
  <c r="S2940" i="34"/>
  <c r="T2940" i="34"/>
  <c r="V2940" i="34"/>
  <c r="W2940" i="34"/>
  <c r="X2940" i="34"/>
  <c r="N2941" i="34"/>
  <c r="R2941" i="34"/>
  <c r="S2941" i="34"/>
  <c r="T2941" i="34"/>
  <c r="V2941" i="34"/>
  <c r="W2941" i="34"/>
  <c r="X2941" i="34"/>
  <c r="N2942" i="34"/>
  <c r="R2942" i="34"/>
  <c r="S2942" i="34"/>
  <c r="T2942" i="34"/>
  <c r="V2942" i="34"/>
  <c r="W2942" i="34"/>
  <c r="X2942" i="34"/>
  <c r="N2943" i="34"/>
  <c r="R2943" i="34"/>
  <c r="S2943" i="34"/>
  <c r="T2943" i="34"/>
  <c r="V2943" i="34"/>
  <c r="W2943" i="34"/>
  <c r="X2943" i="34"/>
  <c r="N2944" i="34"/>
  <c r="R2944" i="34"/>
  <c r="S2944" i="34"/>
  <c r="T2944" i="34"/>
  <c r="V2944" i="34"/>
  <c r="W2944" i="34"/>
  <c r="X2944" i="34"/>
  <c r="N2945" i="34"/>
  <c r="R2945" i="34"/>
  <c r="S2945" i="34"/>
  <c r="T2945" i="34"/>
  <c r="V2945" i="34"/>
  <c r="W2945" i="34"/>
  <c r="X2945" i="34"/>
  <c r="N2946" i="34"/>
  <c r="R2946" i="34"/>
  <c r="S2946" i="34"/>
  <c r="T2946" i="34"/>
  <c r="V2946" i="34"/>
  <c r="W2946" i="34"/>
  <c r="X2946" i="34"/>
  <c r="N2947" i="34"/>
  <c r="R2947" i="34"/>
  <c r="S2947" i="34"/>
  <c r="T2947" i="34"/>
  <c r="V2947" i="34"/>
  <c r="W2947" i="34"/>
  <c r="X2947" i="34"/>
  <c r="N2948" i="34"/>
  <c r="R2948" i="34"/>
  <c r="S2948" i="34"/>
  <c r="T2948" i="34"/>
  <c r="V2948" i="34"/>
  <c r="W2948" i="34"/>
  <c r="X2948" i="34"/>
  <c r="N2949" i="34"/>
  <c r="R2949" i="34"/>
  <c r="S2949" i="34"/>
  <c r="T2949" i="34"/>
  <c r="V2949" i="34"/>
  <c r="W2949" i="34"/>
  <c r="X2949" i="34"/>
  <c r="N2950" i="34"/>
  <c r="R2950" i="34"/>
  <c r="S2950" i="34"/>
  <c r="T2950" i="34"/>
  <c r="V2950" i="34"/>
  <c r="W2950" i="34"/>
  <c r="X2950" i="34"/>
  <c r="N2951" i="34"/>
  <c r="R2951" i="34"/>
  <c r="S2951" i="34"/>
  <c r="T2951" i="34"/>
  <c r="V2951" i="34"/>
  <c r="W2951" i="34"/>
  <c r="X2951" i="34"/>
  <c r="N2952" i="34"/>
  <c r="R2952" i="34"/>
  <c r="S2952" i="34"/>
  <c r="T2952" i="34"/>
  <c r="V2952" i="34"/>
  <c r="W2952" i="34"/>
  <c r="X2952" i="34"/>
  <c r="N2953" i="34"/>
  <c r="R2953" i="34"/>
  <c r="S2953" i="34"/>
  <c r="T2953" i="34"/>
  <c r="V2953" i="34"/>
  <c r="W2953" i="34"/>
  <c r="X2953" i="34"/>
  <c r="N2954" i="34"/>
  <c r="R2954" i="34"/>
  <c r="S2954" i="34"/>
  <c r="T2954" i="34"/>
  <c r="V2954" i="34"/>
  <c r="W2954" i="34"/>
  <c r="X2954" i="34"/>
  <c r="N2955" i="34"/>
  <c r="R2955" i="34"/>
  <c r="S2955" i="34"/>
  <c r="T2955" i="34"/>
  <c r="V2955" i="34"/>
  <c r="W2955" i="34"/>
  <c r="X2955" i="34"/>
  <c r="N2956" i="34"/>
  <c r="R2956" i="34"/>
  <c r="S2956" i="34"/>
  <c r="T2956" i="34"/>
  <c r="V2956" i="34"/>
  <c r="W2956" i="34"/>
  <c r="X2956" i="34"/>
  <c r="N2957" i="34"/>
  <c r="R2957" i="34"/>
  <c r="S2957" i="34"/>
  <c r="T2957" i="34"/>
  <c r="V2957" i="34"/>
  <c r="W2957" i="34"/>
  <c r="X2957" i="34"/>
  <c r="N2958" i="34"/>
  <c r="R2958" i="34"/>
  <c r="S2958" i="34"/>
  <c r="T2958" i="34"/>
  <c r="V2958" i="34"/>
  <c r="W2958" i="34"/>
  <c r="X2958" i="34"/>
  <c r="N2959" i="34"/>
  <c r="R2959" i="34"/>
  <c r="S2959" i="34"/>
  <c r="T2959" i="34"/>
  <c r="V2959" i="34"/>
  <c r="W2959" i="34"/>
  <c r="X2959" i="34"/>
  <c r="N2960" i="34"/>
  <c r="R2960" i="34"/>
  <c r="S2960" i="34"/>
  <c r="T2960" i="34"/>
  <c r="V2960" i="34"/>
  <c r="W2960" i="34"/>
  <c r="X2960" i="34"/>
  <c r="N2961" i="34"/>
  <c r="R2961" i="34"/>
  <c r="S2961" i="34"/>
  <c r="T2961" i="34"/>
  <c r="V2961" i="34"/>
  <c r="W2961" i="34"/>
  <c r="X2961" i="34"/>
  <c r="N2962" i="34"/>
  <c r="R2962" i="34"/>
  <c r="S2962" i="34"/>
  <c r="T2962" i="34"/>
  <c r="V2962" i="34"/>
  <c r="W2962" i="34"/>
  <c r="X2962" i="34"/>
  <c r="N2963" i="34"/>
  <c r="R2963" i="34"/>
  <c r="S2963" i="34"/>
  <c r="T2963" i="34"/>
  <c r="V2963" i="34"/>
  <c r="W2963" i="34"/>
  <c r="X2963" i="34"/>
  <c r="N2964" i="34"/>
  <c r="R2964" i="34"/>
  <c r="S2964" i="34"/>
  <c r="T2964" i="34"/>
  <c r="V2964" i="34"/>
  <c r="W2964" i="34"/>
  <c r="X2964" i="34"/>
  <c r="N2965" i="34"/>
  <c r="R2965" i="34"/>
  <c r="S2965" i="34"/>
  <c r="T2965" i="34"/>
  <c r="V2965" i="34"/>
  <c r="W2965" i="34"/>
  <c r="X2965" i="34"/>
  <c r="N2966" i="34"/>
  <c r="R2966" i="34"/>
  <c r="S2966" i="34"/>
  <c r="T2966" i="34"/>
  <c r="V2966" i="34"/>
  <c r="W2966" i="34"/>
  <c r="X2966" i="34"/>
  <c r="N2967" i="34"/>
  <c r="R2967" i="34"/>
  <c r="S2967" i="34"/>
  <c r="T2967" i="34"/>
  <c r="V2967" i="34"/>
  <c r="W2967" i="34"/>
  <c r="X2967" i="34"/>
  <c r="N2968" i="34"/>
  <c r="R2968" i="34"/>
  <c r="S2968" i="34"/>
  <c r="T2968" i="34"/>
  <c r="V2968" i="34"/>
  <c r="W2968" i="34"/>
  <c r="X2968" i="34"/>
  <c r="N2969" i="34"/>
  <c r="R2969" i="34"/>
  <c r="S2969" i="34"/>
  <c r="T2969" i="34"/>
  <c r="V2969" i="34"/>
  <c r="W2969" i="34"/>
  <c r="X2969" i="34"/>
  <c r="N2970" i="34"/>
  <c r="R2970" i="34"/>
  <c r="S2970" i="34"/>
  <c r="T2970" i="34"/>
  <c r="V2970" i="34"/>
  <c r="W2970" i="34"/>
  <c r="X2970" i="34"/>
  <c r="N2971" i="34"/>
  <c r="R2971" i="34"/>
  <c r="S2971" i="34"/>
  <c r="T2971" i="34"/>
  <c r="V2971" i="34"/>
  <c r="W2971" i="34"/>
  <c r="X2971" i="34"/>
  <c r="N2972" i="34"/>
  <c r="R2972" i="34"/>
  <c r="S2972" i="34"/>
  <c r="T2972" i="34"/>
  <c r="V2972" i="34"/>
  <c r="W2972" i="34"/>
  <c r="X2972" i="34"/>
  <c r="N2973" i="34"/>
  <c r="R2973" i="34"/>
  <c r="S2973" i="34"/>
  <c r="T2973" i="34"/>
  <c r="V2973" i="34"/>
  <c r="W2973" i="34"/>
  <c r="X2973" i="34"/>
  <c r="N2974" i="34"/>
  <c r="R2974" i="34"/>
  <c r="S2974" i="34"/>
  <c r="T2974" i="34"/>
  <c r="V2974" i="34"/>
  <c r="W2974" i="34"/>
  <c r="X2974" i="34"/>
  <c r="N2975" i="34"/>
  <c r="R2975" i="34"/>
  <c r="S2975" i="34"/>
  <c r="T2975" i="34"/>
  <c r="V2975" i="34"/>
  <c r="W2975" i="34"/>
  <c r="X2975" i="34"/>
  <c r="N2976" i="34"/>
  <c r="R2976" i="34"/>
  <c r="S2976" i="34"/>
  <c r="T2976" i="34"/>
  <c r="V2976" i="34"/>
  <c r="W2976" i="34"/>
  <c r="X2976" i="34"/>
  <c r="N2977" i="34"/>
  <c r="R2977" i="34"/>
  <c r="S2977" i="34"/>
  <c r="T2977" i="34"/>
  <c r="V2977" i="34"/>
  <c r="W2977" i="34"/>
  <c r="X2977" i="34"/>
  <c r="N2978" i="34"/>
  <c r="R2978" i="34"/>
  <c r="S2978" i="34"/>
  <c r="T2978" i="34"/>
  <c r="V2978" i="34"/>
  <c r="W2978" i="34"/>
  <c r="X2978" i="34"/>
  <c r="N2979" i="34"/>
  <c r="R2979" i="34"/>
  <c r="S2979" i="34"/>
  <c r="T2979" i="34"/>
  <c r="V2979" i="34"/>
  <c r="W2979" i="34"/>
  <c r="X2979" i="34"/>
  <c r="N2980" i="34"/>
  <c r="R2980" i="34"/>
  <c r="S2980" i="34"/>
  <c r="T2980" i="34"/>
  <c r="V2980" i="34"/>
  <c r="W2980" i="34"/>
  <c r="X2980" i="34"/>
  <c r="N2981" i="34"/>
  <c r="R2981" i="34"/>
  <c r="S2981" i="34"/>
  <c r="T2981" i="34"/>
  <c r="V2981" i="34"/>
  <c r="W2981" i="34"/>
  <c r="X2981" i="34"/>
  <c r="N2982" i="34"/>
  <c r="R2982" i="34"/>
  <c r="S2982" i="34"/>
  <c r="T2982" i="34"/>
  <c r="V2982" i="34"/>
  <c r="W2982" i="34"/>
  <c r="X2982" i="34"/>
  <c r="N2983" i="34"/>
  <c r="R2983" i="34"/>
  <c r="S2983" i="34"/>
  <c r="T2983" i="34"/>
  <c r="V2983" i="34"/>
  <c r="W2983" i="34"/>
  <c r="X2983" i="34"/>
  <c r="N2984" i="34"/>
  <c r="R2984" i="34"/>
  <c r="S2984" i="34"/>
  <c r="T2984" i="34"/>
  <c r="V2984" i="34"/>
  <c r="W2984" i="34"/>
  <c r="X2984" i="34"/>
  <c r="N2985" i="34"/>
  <c r="R2985" i="34"/>
  <c r="S2985" i="34"/>
  <c r="T2985" i="34"/>
  <c r="V2985" i="34"/>
  <c r="W2985" i="34"/>
  <c r="X2985" i="34"/>
  <c r="N2986" i="34"/>
  <c r="R2986" i="34"/>
  <c r="S2986" i="34"/>
  <c r="T2986" i="34"/>
  <c r="V2986" i="34"/>
  <c r="W2986" i="34"/>
  <c r="X2986" i="34"/>
  <c r="N2987" i="34"/>
  <c r="R2987" i="34"/>
  <c r="S2987" i="34"/>
  <c r="T2987" i="34"/>
  <c r="V2987" i="34"/>
  <c r="W2987" i="34"/>
  <c r="X2987" i="34"/>
  <c r="N2988" i="34"/>
  <c r="R2988" i="34"/>
  <c r="S2988" i="34"/>
  <c r="T2988" i="34"/>
  <c r="V2988" i="34"/>
  <c r="W2988" i="34"/>
  <c r="X2988" i="34"/>
  <c r="N2989" i="34"/>
  <c r="R2989" i="34"/>
  <c r="S2989" i="34"/>
  <c r="T2989" i="34"/>
  <c r="V2989" i="34"/>
  <c r="W2989" i="34"/>
  <c r="X2989" i="34"/>
  <c r="N2990" i="34"/>
  <c r="R2990" i="34"/>
  <c r="S2990" i="34"/>
  <c r="T2990" i="34"/>
  <c r="V2990" i="34"/>
  <c r="W2990" i="34"/>
  <c r="X2990" i="34"/>
  <c r="N2991" i="34"/>
  <c r="R2991" i="34"/>
  <c r="S2991" i="34"/>
  <c r="T2991" i="34"/>
  <c r="V2991" i="34"/>
  <c r="W2991" i="34"/>
  <c r="X2991" i="34"/>
  <c r="N2992" i="34"/>
  <c r="R2992" i="34"/>
  <c r="S2992" i="34"/>
  <c r="T2992" i="34"/>
  <c r="V2992" i="34"/>
  <c r="W2992" i="34"/>
  <c r="X2992" i="34"/>
  <c r="N2993" i="34"/>
  <c r="R2993" i="34"/>
  <c r="S2993" i="34"/>
  <c r="T2993" i="34"/>
  <c r="V2993" i="34"/>
  <c r="W2993" i="34"/>
  <c r="X2993" i="34"/>
  <c r="N2994" i="34"/>
  <c r="R2994" i="34"/>
  <c r="S2994" i="34"/>
  <c r="T2994" i="34"/>
  <c r="V2994" i="34"/>
  <c r="W2994" i="34"/>
  <c r="X2994" i="34"/>
  <c r="N2995" i="34"/>
  <c r="R2995" i="34"/>
  <c r="S2995" i="34"/>
  <c r="T2995" i="34"/>
  <c r="V2995" i="34"/>
  <c r="W2995" i="34"/>
  <c r="X2995" i="34"/>
  <c r="N2996" i="34"/>
  <c r="R2996" i="34"/>
  <c r="S2996" i="34"/>
  <c r="T2996" i="34"/>
  <c r="V2996" i="34"/>
  <c r="W2996" i="34"/>
  <c r="X2996" i="34"/>
  <c r="N2997" i="34"/>
  <c r="R2997" i="34"/>
  <c r="S2997" i="34"/>
  <c r="T2997" i="34"/>
  <c r="V2997" i="34"/>
  <c r="W2997" i="34"/>
  <c r="X2997" i="34"/>
  <c r="N2998" i="34"/>
  <c r="R2998" i="34"/>
  <c r="S2998" i="34"/>
  <c r="T2998" i="34"/>
  <c r="V2998" i="34"/>
  <c r="W2998" i="34"/>
  <c r="X2998" i="34"/>
  <c r="N2999" i="34"/>
  <c r="R2999" i="34"/>
  <c r="S2999" i="34"/>
  <c r="T2999" i="34"/>
  <c r="V2999" i="34"/>
  <c r="W2999" i="34"/>
  <c r="X2999" i="34"/>
  <c r="N3000" i="34"/>
  <c r="R3000" i="34"/>
  <c r="S3000" i="34"/>
  <c r="T3000" i="34"/>
  <c r="V3000" i="34"/>
  <c r="W3000" i="34"/>
  <c r="X3000" i="34"/>
  <c r="N3001" i="34"/>
  <c r="R3001" i="34"/>
  <c r="S3001" i="34"/>
  <c r="T3001" i="34"/>
  <c r="V3001" i="34"/>
  <c r="W3001" i="34"/>
  <c r="X3001" i="34"/>
  <c r="N3002" i="34"/>
  <c r="R3002" i="34"/>
  <c r="S3002" i="34"/>
  <c r="T3002" i="34"/>
  <c r="V3002" i="34"/>
  <c r="W3002" i="34"/>
  <c r="X3002" i="34"/>
  <c r="N3003" i="34"/>
  <c r="R3003" i="34"/>
  <c r="S3003" i="34"/>
  <c r="T3003" i="34"/>
  <c r="V3003" i="34"/>
  <c r="W3003" i="34"/>
  <c r="X3003" i="34"/>
  <c r="N3004" i="34"/>
  <c r="R3004" i="34"/>
  <c r="S3004" i="34"/>
  <c r="T3004" i="34"/>
  <c r="V3004" i="34"/>
  <c r="W3004" i="34"/>
  <c r="X3004" i="34"/>
  <c r="N3005" i="34"/>
  <c r="R3005" i="34"/>
  <c r="S3005" i="34"/>
  <c r="T3005" i="34"/>
  <c r="V3005" i="34"/>
  <c r="W3005" i="34"/>
  <c r="X3005" i="34"/>
  <c r="N3006" i="34"/>
  <c r="R3006" i="34"/>
  <c r="S3006" i="34"/>
  <c r="T3006" i="34"/>
  <c r="V3006" i="34"/>
  <c r="W3006" i="34"/>
  <c r="X3006" i="34"/>
  <c r="N3007" i="34"/>
  <c r="R3007" i="34"/>
  <c r="S3007" i="34"/>
  <c r="T3007" i="34"/>
  <c r="V3007" i="34"/>
  <c r="W3007" i="34"/>
  <c r="X3007" i="34"/>
  <c r="N3008" i="34"/>
  <c r="R3008" i="34"/>
  <c r="S3008" i="34"/>
  <c r="T3008" i="34"/>
  <c r="V3008" i="34"/>
  <c r="W3008" i="34"/>
  <c r="X3008" i="34"/>
  <c r="N3009" i="34"/>
  <c r="R3009" i="34"/>
  <c r="S3009" i="34"/>
  <c r="T3009" i="34"/>
  <c r="V3009" i="34"/>
  <c r="W3009" i="34"/>
  <c r="X3009" i="34"/>
  <c r="N3010" i="34"/>
  <c r="R3010" i="34"/>
  <c r="S3010" i="34"/>
  <c r="T3010" i="34"/>
  <c r="V3010" i="34"/>
  <c r="W3010" i="34"/>
  <c r="X3010" i="34"/>
  <c r="N3011" i="34"/>
  <c r="R3011" i="34"/>
  <c r="S3011" i="34"/>
  <c r="T3011" i="34"/>
  <c r="V3011" i="34"/>
  <c r="W3011" i="34"/>
  <c r="X3011" i="34"/>
  <c r="N3012" i="34"/>
  <c r="R3012" i="34"/>
  <c r="S3012" i="34"/>
  <c r="T3012" i="34"/>
  <c r="V3012" i="34"/>
  <c r="W3012" i="34"/>
  <c r="X3012" i="34"/>
  <c r="N3013" i="34"/>
  <c r="R3013" i="34"/>
  <c r="S3013" i="34"/>
  <c r="T3013" i="34"/>
  <c r="V3013" i="34"/>
  <c r="W3013" i="34"/>
  <c r="X3013" i="34"/>
  <c r="N3014" i="34"/>
  <c r="R3014" i="34"/>
  <c r="S3014" i="34"/>
  <c r="T3014" i="34"/>
  <c r="V3014" i="34"/>
  <c r="W3014" i="34"/>
  <c r="X3014" i="34"/>
  <c r="N3015" i="34"/>
  <c r="R3015" i="34"/>
  <c r="S3015" i="34"/>
  <c r="T3015" i="34"/>
  <c r="V3015" i="34"/>
  <c r="W3015" i="34"/>
  <c r="X3015" i="34"/>
  <c r="N3016" i="34"/>
  <c r="R3016" i="34"/>
  <c r="S3016" i="34"/>
  <c r="T3016" i="34"/>
  <c r="V3016" i="34"/>
  <c r="W3016" i="34"/>
  <c r="X3016" i="34"/>
  <c r="N3017" i="34"/>
  <c r="R3017" i="34"/>
  <c r="S3017" i="34"/>
  <c r="T3017" i="34"/>
  <c r="V3017" i="34"/>
  <c r="W3017" i="34"/>
  <c r="X3017" i="34"/>
  <c r="N3018" i="34"/>
  <c r="R3018" i="34"/>
  <c r="S3018" i="34"/>
  <c r="T3018" i="34"/>
  <c r="V3018" i="34"/>
  <c r="W3018" i="34"/>
  <c r="X3018" i="34"/>
  <c r="N3019" i="34"/>
  <c r="R3019" i="34"/>
  <c r="S3019" i="34"/>
  <c r="T3019" i="34"/>
  <c r="V3019" i="34"/>
  <c r="W3019" i="34"/>
  <c r="X3019" i="34"/>
  <c r="N3020" i="34"/>
  <c r="R3020" i="34"/>
  <c r="S3020" i="34"/>
  <c r="T3020" i="34"/>
  <c r="V3020" i="34"/>
  <c r="W3020" i="34"/>
  <c r="X3020" i="34"/>
  <c r="N3021" i="34"/>
  <c r="R3021" i="34"/>
  <c r="S3021" i="34"/>
  <c r="T3021" i="34"/>
  <c r="V3021" i="34"/>
  <c r="W3021" i="34"/>
  <c r="X3021" i="34"/>
  <c r="N3022" i="34"/>
  <c r="R3022" i="34"/>
  <c r="S3022" i="34"/>
  <c r="T3022" i="34"/>
  <c r="V3022" i="34"/>
  <c r="W3022" i="34"/>
  <c r="X3022" i="34"/>
  <c r="N3023" i="34"/>
  <c r="R3023" i="34"/>
  <c r="S3023" i="34"/>
  <c r="T3023" i="34"/>
  <c r="V3023" i="34"/>
  <c r="W3023" i="34"/>
  <c r="X3023" i="34"/>
  <c r="N3024" i="34"/>
  <c r="R3024" i="34"/>
  <c r="S3024" i="34"/>
  <c r="T3024" i="34"/>
  <c r="V3024" i="34"/>
  <c r="W3024" i="34"/>
  <c r="X3024" i="34"/>
  <c r="N3025" i="34"/>
  <c r="R3025" i="34"/>
  <c r="S3025" i="34"/>
  <c r="T3025" i="34"/>
  <c r="V3025" i="34"/>
  <c r="W3025" i="34"/>
  <c r="X3025" i="34"/>
  <c r="N3026" i="34"/>
  <c r="R3026" i="34"/>
  <c r="S3026" i="34"/>
  <c r="T3026" i="34"/>
  <c r="V3026" i="34"/>
  <c r="W3026" i="34"/>
  <c r="X3026" i="34"/>
  <c r="N3027" i="34"/>
  <c r="R3027" i="34"/>
  <c r="S3027" i="34"/>
  <c r="T3027" i="34"/>
  <c r="V3027" i="34"/>
  <c r="W3027" i="34"/>
  <c r="X3027" i="34"/>
  <c r="N3028" i="34"/>
  <c r="R3028" i="34"/>
  <c r="S3028" i="34"/>
  <c r="T3028" i="34"/>
  <c r="V3028" i="34"/>
  <c r="W3028" i="34"/>
  <c r="X3028" i="34"/>
  <c r="N3029" i="34"/>
  <c r="R3029" i="34"/>
  <c r="S3029" i="34"/>
  <c r="T3029" i="34"/>
  <c r="V3029" i="34"/>
  <c r="W3029" i="34"/>
  <c r="X3029" i="34"/>
  <c r="N3030" i="34"/>
  <c r="R3030" i="34"/>
  <c r="S3030" i="34"/>
  <c r="T3030" i="34"/>
  <c r="V3030" i="34"/>
  <c r="W3030" i="34"/>
  <c r="X3030" i="34"/>
  <c r="N3031" i="34"/>
  <c r="R3031" i="34"/>
  <c r="S3031" i="34"/>
  <c r="T3031" i="34"/>
  <c r="V3031" i="34"/>
  <c r="W3031" i="34"/>
  <c r="X3031" i="34"/>
  <c r="N3032" i="34"/>
  <c r="R3032" i="34"/>
  <c r="S3032" i="34"/>
  <c r="T3032" i="34"/>
  <c r="V3032" i="34"/>
  <c r="W3032" i="34"/>
  <c r="X3032" i="34"/>
  <c r="N3033" i="34"/>
  <c r="R3033" i="34"/>
  <c r="S3033" i="34"/>
  <c r="T3033" i="34"/>
  <c r="V3033" i="34"/>
  <c r="W3033" i="34"/>
  <c r="X3033" i="34"/>
  <c r="N3034" i="34"/>
  <c r="R3034" i="34"/>
  <c r="S3034" i="34"/>
  <c r="T3034" i="34"/>
  <c r="V3034" i="34"/>
  <c r="W3034" i="34"/>
  <c r="X3034" i="34"/>
  <c r="N3035" i="34"/>
  <c r="R3035" i="34"/>
  <c r="S3035" i="34"/>
  <c r="T3035" i="34"/>
  <c r="V3035" i="34"/>
  <c r="W3035" i="34"/>
  <c r="X3035" i="34"/>
  <c r="N3036" i="34"/>
  <c r="R3036" i="34"/>
  <c r="S3036" i="34"/>
  <c r="T3036" i="34"/>
  <c r="V3036" i="34"/>
  <c r="W3036" i="34"/>
  <c r="X3036" i="34"/>
  <c r="N3037" i="34"/>
  <c r="R3037" i="34"/>
  <c r="S3037" i="34"/>
  <c r="T3037" i="34"/>
  <c r="V3037" i="34"/>
  <c r="W3037" i="34"/>
  <c r="X3037" i="34"/>
  <c r="N3038" i="34"/>
  <c r="R3038" i="34"/>
  <c r="S3038" i="34"/>
  <c r="T3038" i="34"/>
  <c r="V3038" i="34"/>
  <c r="W3038" i="34"/>
  <c r="X3038" i="34"/>
  <c r="N3039" i="34"/>
  <c r="R3039" i="34"/>
  <c r="S3039" i="34"/>
  <c r="T3039" i="34"/>
  <c r="V3039" i="34"/>
  <c r="W3039" i="34"/>
  <c r="X3039" i="34"/>
  <c r="N3040" i="34"/>
  <c r="R3040" i="34"/>
  <c r="S3040" i="34"/>
  <c r="T3040" i="34"/>
  <c r="V3040" i="34"/>
  <c r="W3040" i="34"/>
  <c r="X3040" i="34"/>
  <c r="N3041" i="34"/>
  <c r="R3041" i="34"/>
  <c r="S3041" i="34"/>
  <c r="T3041" i="34"/>
  <c r="V3041" i="34"/>
  <c r="W3041" i="34"/>
  <c r="X3041" i="34"/>
  <c r="N3042" i="34"/>
  <c r="R3042" i="34"/>
  <c r="S3042" i="34"/>
  <c r="T3042" i="34"/>
  <c r="V3042" i="34"/>
  <c r="W3042" i="34"/>
  <c r="X3042" i="34"/>
  <c r="N3043" i="34"/>
  <c r="R3043" i="34"/>
  <c r="S3043" i="34"/>
  <c r="T3043" i="34"/>
  <c r="V3043" i="34"/>
  <c r="W3043" i="34"/>
  <c r="X3043" i="34"/>
  <c r="N3044" i="34"/>
  <c r="R3044" i="34"/>
  <c r="S3044" i="34"/>
  <c r="T3044" i="34"/>
  <c r="V3044" i="34"/>
  <c r="W3044" i="34"/>
  <c r="X3044" i="34"/>
  <c r="N3045" i="34"/>
  <c r="R3045" i="34"/>
  <c r="S3045" i="34"/>
  <c r="T3045" i="34"/>
  <c r="V3045" i="34"/>
  <c r="W3045" i="34"/>
  <c r="X3045" i="34"/>
  <c r="N3046" i="34"/>
  <c r="R3046" i="34"/>
  <c r="S3046" i="34"/>
  <c r="T3046" i="34"/>
  <c r="V3046" i="34"/>
  <c r="W3046" i="34"/>
  <c r="X3046" i="34"/>
  <c r="N3047" i="34"/>
  <c r="R3047" i="34"/>
  <c r="S3047" i="34"/>
  <c r="T3047" i="34"/>
  <c r="V3047" i="34"/>
  <c r="W3047" i="34"/>
  <c r="X3047" i="34"/>
  <c r="N3048" i="34"/>
  <c r="R3048" i="34"/>
  <c r="S3048" i="34"/>
  <c r="T3048" i="34"/>
  <c r="V3048" i="34"/>
  <c r="W3048" i="34"/>
  <c r="X3048" i="34"/>
  <c r="N3049" i="34"/>
  <c r="R3049" i="34"/>
  <c r="S3049" i="34"/>
  <c r="T3049" i="34"/>
  <c r="V3049" i="34"/>
  <c r="W3049" i="34"/>
  <c r="X3049" i="34"/>
  <c r="N3050" i="34"/>
  <c r="R3050" i="34"/>
  <c r="S3050" i="34"/>
  <c r="T3050" i="34"/>
  <c r="V3050" i="34"/>
  <c r="W3050" i="34"/>
  <c r="X3050" i="34"/>
  <c r="N3051" i="34"/>
  <c r="R3051" i="34"/>
  <c r="S3051" i="34"/>
  <c r="T3051" i="34"/>
  <c r="V3051" i="34"/>
  <c r="W3051" i="34"/>
  <c r="X3051" i="34"/>
  <c r="N3052" i="34"/>
  <c r="R3052" i="34"/>
  <c r="S3052" i="34"/>
  <c r="T3052" i="34"/>
  <c r="V3052" i="34"/>
  <c r="W3052" i="34"/>
  <c r="X3052" i="34"/>
  <c r="N3053" i="34"/>
  <c r="R3053" i="34"/>
  <c r="S3053" i="34"/>
  <c r="T3053" i="34"/>
  <c r="V3053" i="34"/>
  <c r="W3053" i="34"/>
  <c r="X3053" i="34"/>
  <c r="N3054" i="34"/>
  <c r="R3054" i="34"/>
  <c r="S3054" i="34"/>
  <c r="T3054" i="34"/>
  <c r="V3054" i="34"/>
  <c r="W3054" i="34"/>
  <c r="X3054" i="34"/>
  <c r="N3055" i="34"/>
  <c r="R3055" i="34"/>
  <c r="S3055" i="34"/>
  <c r="T3055" i="34"/>
  <c r="V3055" i="34"/>
  <c r="W3055" i="34"/>
  <c r="X3055" i="34"/>
  <c r="N3056" i="34"/>
  <c r="R3056" i="34"/>
  <c r="S3056" i="34"/>
  <c r="T3056" i="34"/>
  <c r="V3056" i="34"/>
  <c r="W3056" i="34"/>
  <c r="X3056" i="34"/>
  <c r="N3057" i="34"/>
  <c r="R3057" i="34"/>
  <c r="S3057" i="34"/>
  <c r="T3057" i="34"/>
  <c r="V3057" i="34"/>
  <c r="W3057" i="34"/>
  <c r="X3057" i="34"/>
  <c r="N3058" i="34"/>
  <c r="R3058" i="34"/>
  <c r="S3058" i="34"/>
  <c r="T3058" i="34"/>
  <c r="V3058" i="34"/>
  <c r="W3058" i="34"/>
  <c r="X3058" i="34"/>
  <c r="N3059" i="34"/>
  <c r="R3059" i="34"/>
  <c r="S3059" i="34"/>
  <c r="T3059" i="34"/>
  <c r="V3059" i="34"/>
  <c r="W3059" i="34"/>
  <c r="X3059" i="34"/>
  <c r="N3060" i="34"/>
  <c r="R3060" i="34"/>
  <c r="S3060" i="34"/>
  <c r="T3060" i="34"/>
  <c r="V3060" i="34"/>
  <c r="W3060" i="34"/>
  <c r="X3060" i="34"/>
  <c r="N3061" i="34"/>
  <c r="R3061" i="34"/>
  <c r="S3061" i="34"/>
  <c r="T3061" i="34"/>
  <c r="V3061" i="34"/>
  <c r="W3061" i="34"/>
  <c r="X3061" i="34"/>
  <c r="N3062" i="34"/>
  <c r="R3062" i="34"/>
  <c r="S3062" i="34"/>
  <c r="T3062" i="34"/>
  <c r="V3062" i="34"/>
  <c r="W3062" i="34"/>
  <c r="X3062" i="34"/>
  <c r="N3063" i="34"/>
  <c r="R3063" i="34"/>
  <c r="S3063" i="34"/>
  <c r="T3063" i="34"/>
  <c r="V3063" i="34"/>
  <c r="W3063" i="34"/>
  <c r="X3063" i="34"/>
  <c r="N3064" i="34"/>
  <c r="R3064" i="34"/>
  <c r="S3064" i="34"/>
  <c r="T3064" i="34"/>
  <c r="V3064" i="34"/>
  <c r="W3064" i="34"/>
  <c r="X3064" i="34"/>
  <c r="N3065" i="34"/>
  <c r="R3065" i="34"/>
  <c r="S3065" i="34"/>
  <c r="T3065" i="34"/>
  <c r="V3065" i="34"/>
  <c r="W3065" i="34"/>
  <c r="X3065" i="34"/>
  <c r="N3066" i="34"/>
  <c r="R3066" i="34"/>
  <c r="S3066" i="34"/>
  <c r="T3066" i="34"/>
  <c r="V3066" i="34"/>
  <c r="W3066" i="34"/>
  <c r="X3066" i="34"/>
  <c r="N3067" i="34"/>
  <c r="R3067" i="34"/>
  <c r="S3067" i="34"/>
  <c r="T3067" i="34"/>
  <c r="V3067" i="34"/>
  <c r="W3067" i="34"/>
  <c r="X3067" i="34"/>
  <c r="N3068" i="34"/>
  <c r="R3068" i="34"/>
  <c r="S3068" i="34"/>
  <c r="T3068" i="34"/>
  <c r="V3068" i="34"/>
  <c r="W3068" i="34"/>
  <c r="X3068" i="34"/>
  <c r="N3069" i="34"/>
  <c r="R3069" i="34"/>
  <c r="S3069" i="34"/>
  <c r="T3069" i="34"/>
  <c r="V3069" i="34"/>
  <c r="W3069" i="34"/>
  <c r="X3069" i="34"/>
  <c r="N3070" i="34"/>
  <c r="R3070" i="34"/>
  <c r="S3070" i="34"/>
  <c r="T3070" i="34"/>
  <c r="V3070" i="34"/>
  <c r="W3070" i="34"/>
  <c r="X3070" i="34"/>
  <c r="N3071" i="34"/>
  <c r="R3071" i="34"/>
  <c r="S3071" i="34"/>
  <c r="T3071" i="34"/>
  <c r="V3071" i="34"/>
  <c r="W3071" i="34"/>
  <c r="X3071" i="34"/>
  <c r="N3072" i="34"/>
  <c r="R3072" i="34"/>
  <c r="S3072" i="34"/>
  <c r="T3072" i="34"/>
  <c r="V3072" i="34"/>
  <c r="W3072" i="34"/>
  <c r="X3072" i="34"/>
  <c r="N3073" i="34"/>
  <c r="R3073" i="34"/>
  <c r="S3073" i="34"/>
  <c r="T3073" i="34"/>
  <c r="V3073" i="34"/>
  <c r="W3073" i="34"/>
  <c r="X3073" i="34"/>
  <c r="N3074" i="34"/>
  <c r="R3074" i="34"/>
  <c r="S3074" i="34"/>
  <c r="T3074" i="34"/>
  <c r="V3074" i="34"/>
  <c r="W3074" i="34"/>
  <c r="X3074" i="34"/>
  <c r="N3075" i="34"/>
  <c r="R3075" i="34"/>
  <c r="S3075" i="34"/>
  <c r="T3075" i="34"/>
  <c r="V3075" i="34"/>
  <c r="W3075" i="34"/>
  <c r="X3075" i="34"/>
  <c r="N3076" i="34"/>
  <c r="R3076" i="34"/>
  <c r="S3076" i="34"/>
  <c r="T3076" i="34"/>
  <c r="V3076" i="34"/>
  <c r="W3076" i="34"/>
  <c r="X3076" i="34"/>
  <c r="N3077" i="34"/>
  <c r="R3077" i="34"/>
  <c r="S3077" i="34"/>
  <c r="T3077" i="34"/>
  <c r="V3077" i="34"/>
  <c r="W3077" i="34"/>
  <c r="X3077" i="34"/>
  <c r="N3078" i="34"/>
  <c r="R3078" i="34"/>
  <c r="S3078" i="34"/>
  <c r="T3078" i="34"/>
  <c r="V3078" i="34"/>
  <c r="W3078" i="34"/>
  <c r="X3078" i="34"/>
  <c r="N3079" i="34"/>
  <c r="R3079" i="34"/>
  <c r="S3079" i="34"/>
  <c r="T3079" i="34"/>
  <c r="V3079" i="34"/>
  <c r="W3079" i="34"/>
  <c r="X3079" i="34"/>
  <c r="N3080" i="34"/>
  <c r="R3080" i="34"/>
  <c r="S3080" i="34"/>
  <c r="T3080" i="34"/>
  <c r="V3080" i="34"/>
  <c r="W3080" i="34"/>
  <c r="X3080" i="34"/>
  <c r="N3081" i="34"/>
  <c r="R3081" i="34"/>
  <c r="S3081" i="34"/>
  <c r="T3081" i="34"/>
  <c r="V3081" i="34"/>
  <c r="W3081" i="34"/>
  <c r="X3081" i="34"/>
  <c r="N3082" i="34"/>
  <c r="R3082" i="34"/>
  <c r="S3082" i="34"/>
  <c r="T3082" i="34"/>
  <c r="V3082" i="34"/>
  <c r="W3082" i="34"/>
  <c r="X3082" i="34"/>
  <c r="N3083" i="34"/>
  <c r="R3083" i="34"/>
  <c r="S3083" i="34"/>
  <c r="T3083" i="34"/>
  <c r="V3083" i="34"/>
  <c r="W3083" i="34"/>
  <c r="X3083" i="34"/>
  <c r="N3084" i="34"/>
  <c r="R3084" i="34"/>
  <c r="S3084" i="34"/>
  <c r="T3084" i="34"/>
  <c r="V3084" i="34"/>
  <c r="W3084" i="34"/>
  <c r="X3084" i="34"/>
  <c r="N3085" i="34"/>
  <c r="R3085" i="34"/>
  <c r="S3085" i="34"/>
  <c r="T3085" i="34"/>
  <c r="V3085" i="34"/>
  <c r="W3085" i="34"/>
  <c r="X3085" i="34"/>
  <c r="N3086" i="34"/>
  <c r="R3086" i="34"/>
  <c r="S3086" i="34"/>
  <c r="T3086" i="34"/>
  <c r="V3086" i="34"/>
  <c r="W3086" i="34"/>
  <c r="X3086" i="34"/>
  <c r="N3087" i="34"/>
  <c r="R3087" i="34"/>
  <c r="S3087" i="34"/>
  <c r="T3087" i="34"/>
  <c r="V3087" i="34"/>
  <c r="W3087" i="34"/>
  <c r="X3087" i="34"/>
  <c r="N3088" i="34"/>
  <c r="R3088" i="34"/>
  <c r="S3088" i="34"/>
  <c r="T3088" i="34"/>
  <c r="V3088" i="34"/>
  <c r="W3088" i="34"/>
  <c r="X3088" i="34"/>
  <c r="N3089" i="34"/>
  <c r="R3089" i="34"/>
  <c r="S3089" i="34"/>
  <c r="T3089" i="34"/>
  <c r="V3089" i="34"/>
  <c r="W3089" i="34"/>
  <c r="X3089" i="34"/>
  <c r="N3090" i="34"/>
  <c r="R3090" i="34"/>
  <c r="S3090" i="34"/>
  <c r="T3090" i="34"/>
  <c r="V3090" i="34"/>
  <c r="W3090" i="34"/>
  <c r="X3090" i="34"/>
  <c r="N3091" i="34"/>
  <c r="R3091" i="34"/>
  <c r="S3091" i="34"/>
  <c r="T3091" i="34"/>
  <c r="V3091" i="34"/>
  <c r="W3091" i="34"/>
  <c r="X3091" i="34"/>
  <c r="N3092" i="34"/>
  <c r="R3092" i="34"/>
  <c r="S3092" i="34"/>
  <c r="T3092" i="34"/>
  <c r="V3092" i="34"/>
  <c r="W3092" i="34"/>
  <c r="X3092" i="34"/>
  <c r="N3093" i="34"/>
  <c r="R3093" i="34"/>
  <c r="S3093" i="34"/>
  <c r="T3093" i="34"/>
  <c r="V3093" i="34"/>
  <c r="W3093" i="34"/>
  <c r="X3093" i="34"/>
  <c r="N3094" i="34"/>
  <c r="R3094" i="34"/>
  <c r="S3094" i="34"/>
  <c r="T3094" i="34"/>
  <c r="V3094" i="34"/>
  <c r="W3094" i="34"/>
  <c r="X3094" i="34"/>
  <c r="N3095" i="34"/>
  <c r="R3095" i="34"/>
  <c r="S3095" i="34"/>
  <c r="T3095" i="34"/>
  <c r="V3095" i="34"/>
  <c r="W3095" i="34"/>
  <c r="X3095" i="34"/>
  <c r="N3096" i="34"/>
  <c r="R3096" i="34"/>
  <c r="S3096" i="34"/>
  <c r="T3096" i="34"/>
  <c r="V3096" i="34"/>
  <c r="W3096" i="34"/>
  <c r="X3096" i="34"/>
  <c r="N3097" i="34"/>
  <c r="R3097" i="34"/>
  <c r="S3097" i="34"/>
  <c r="T3097" i="34"/>
  <c r="V3097" i="34"/>
  <c r="W3097" i="34"/>
  <c r="X3097" i="34"/>
  <c r="N3098" i="34"/>
  <c r="R3098" i="34"/>
  <c r="S3098" i="34"/>
  <c r="T3098" i="34"/>
  <c r="V3098" i="34"/>
  <c r="W3098" i="34"/>
  <c r="X3098" i="34"/>
  <c r="N3099" i="34"/>
  <c r="R3099" i="34"/>
  <c r="S3099" i="34"/>
  <c r="T3099" i="34"/>
  <c r="V3099" i="34"/>
  <c r="W3099" i="34"/>
  <c r="X3099" i="34"/>
  <c r="N3100" i="34"/>
  <c r="R3100" i="34"/>
  <c r="S3100" i="34"/>
  <c r="T3100" i="34"/>
  <c r="V3100" i="34"/>
  <c r="W3100" i="34"/>
  <c r="X3100" i="34"/>
  <c r="N3101" i="34"/>
  <c r="R3101" i="34"/>
  <c r="S3101" i="34"/>
  <c r="T3101" i="34"/>
  <c r="V3101" i="34"/>
  <c r="W3101" i="34"/>
  <c r="X3101" i="34"/>
  <c r="N3102" i="34"/>
  <c r="R3102" i="34"/>
  <c r="S3102" i="34"/>
  <c r="T3102" i="34"/>
  <c r="V3102" i="34"/>
  <c r="W3102" i="34"/>
  <c r="X3102" i="34"/>
  <c r="N3103" i="34"/>
  <c r="R3103" i="34"/>
  <c r="S3103" i="34"/>
  <c r="T3103" i="34"/>
  <c r="V3103" i="34"/>
  <c r="W3103" i="34"/>
  <c r="X3103" i="34"/>
  <c r="N3104" i="34"/>
  <c r="R3104" i="34"/>
  <c r="S3104" i="34"/>
  <c r="T3104" i="34"/>
  <c r="V3104" i="34"/>
  <c r="W3104" i="34"/>
  <c r="X3104" i="34"/>
  <c r="N3105" i="34"/>
  <c r="R3105" i="34"/>
  <c r="S3105" i="34"/>
  <c r="T3105" i="34"/>
  <c r="V3105" i="34"/>
  <c r="W3105" i="34"/>
  <c r="X3105" i="34"/>
  <c r="N3106" i="34"/>
  <c r="R3106" i="34"/>
  <c r="S3106" i="34"/>
  <c r="T3106" i="34"/>
  <c r="V3106" i="34"/>
  <c r="W3106" i="34"/>
  <c r="X3106" i="34"/>
  <c r="N3107" i="34"/>
  <c r="R3107" i="34"/>
  <c r="S3107" i="34"/>
  <c r="T3107" i="34"/>
  <c r="V3107" i="34"/>
  <c r="W3107" i="34"/>
  <c r="X3107" i="34"/>
  <c r="N3108" i="34"/>
  <c r="R3108" i="34"/>
  <c r="S3108" i="34"/>
  <c r="T3108" i="34"/>
  <c r="V3108" i="34"/>
  <c r="W3108" i="34"/>
  <c r="X3108" i="34"/>
  <c r="N3109" i="34"/>
  <c r="R3109" i="34"/>
  <c r="S3109" i="34"/>
  <c r="T3109" i="34"/>
  <c r="V3109" i="34"/>
  <c r="W3109" i="34"/>
  <c r="X3109" i="34"/>
  <c r="N3110" i="34"/>
  <c r="R3110" i="34"/>
  <c r="S3110" i="34"/>
  <c r="T3110" i="34"/>
  <c r="V3110" i="34"/>
  <c r="W3110" i="34"/>
  <c r="X3110" i="34"/>
  <c r="N3111" i="34"/>
  <c r="R3111" i="34"/>
  <c r="S3111" i="34"/>
  <c r="T3111" i="34"/>
  <c r="V3111" i="34"/>
  <c r="W3111" i="34"/>
  <c r="X3111" i="34"/>
  <c r="N3112" i="34"/>
  <c r="R3112" i="34"/>
  <c r="S3112" i="34"/>
  <c r="T3112" i="34"/>
  <c r="V3112" i="34"/>
  <c r="W3112" i="34"/>
  <c r="X3112" i="34"/>
  <c r="N3113" i="34"/>
  <c r="R3113" i="34"/>
  <c r="S3113" i="34"/>
  <c r="T3113" i="34"/>
  <c r="V3113" i="34"/>
  <c r="W3113" i="34"/>
  <c r="X3113" i="34"/>
  <c r="N3114" i="34"/>
  <c r="R3114" i="34"/>
  <c r="S3114" i="34"/>
  <c r="T3114" i="34"/>
  <c r="V3114" i="34"/>
  <c r="W3114" i="34"/>
  <c r="X3114" i="34"/>
  <c r="N3115" i="34"/>
  <c r="R3115" i="34"/>
  <c r="S3115" i="34"/>
  <c r="T3115" i="34"/>
  <c r="V3115" i="34"/>
  <c r="W3115" i="34"/>
  <c r="X3115" i="34"/>
  <c r="N3116" i="34"/>
  <c r="R3116" i="34"/>
  <c r="S3116" i="34"/>
  <c r="T3116" i="34"/>
  <c r="V3116" i="34"/>
  <c r="W3116" i="34"/>
  <c r="X3116" i="34"/>
  <c r="N3117" i="34"/>
  <c r="R3117" i="34"/>
  <c r="S3117" i="34"/>
  <c r="T3117" i="34"/>
  <c r="V3117" i="34"/>
  <c r="W3117" i="34"/>
  <c r="X3117" i="34"/>
  <c r="N3118" i="34"/>
  <c r="R3118" i="34"/>
  <c r="S3118" i="34"/>
  <c r="T3118" i="34"/>
  <c r="V3118" i="34"/>
  <c r="W3118" i="34"/>
  <c r="X3118" i="34"/>
  <c r="N3119" i="34"/>
  <c r="R3119" i="34"/>
  <c r="S3119" i="34"/>
  <c r="T3119" i="34"/>
  <c r="V3119" i="34"/>
  <c r="W3119" i="34"/>
  <c r="X3119" i="34"/>
  <c r="N3120" i="34"/>
  <c r="R3120" i="34"/>
  <c r="S3120" i="34"/>
  <c r="T3120" i="34"/>
  <c r="V3120" i="34"/>
  <c r="W3120" i="34"/>
  <c r="X3120" i="34"/>
  <c r="N3121" i="34"/>
  <c r="R3121" i="34"/>
  <c r="S3121" i="34"/>
  <c r="T3121" i="34"/>
  <c r="V3121" i="34"/>
  <c r="W3121" i="34"/>
  <c r="X3121" i="34"/>
  <c r="N3122" i="34"/>
  <c r="R3122" i="34"/>
  <c r="S3122" i="34"/>
  <c r="T3122" i="34"/>
  <c r="V3122" i="34"/>
  <c r="W3122" i="34"/>
  <c r="X3122" i="34"/>
  <c r="N3123" i="34"/>
  <c r="R3123" i="34"/>
  <c r="S3123" i="34"/>
  <c r="T3123" i="34"/>
  <c r="V3123" i="34"/>
  <c r="W3123" i="34"/>
  <c r="X3123" i="34"/>
  <c r="N3124" i="34"/>
  <c r="R3124" i="34"/>
  <c r="S3124" i="34"/>
  <c r="T3124" i="34"/>
  <c r="V3124" i="34"/>
  <c r="W3124" i="34"/>
  <c r="X3124" i="34"/>
  <c r="N3125" i="34"/>
  <c r="R3125" i="34"/>
  <c r="S3125" i="34"/>
  <c r="T3125" i="34"/>
  <c r="V3125" i="34"/>
  <c r="W3125" i="34"/>
  <c r="X3125" i="34"/>
  <c r="N3126" i="34"/>
  <c r="R3126" i="34"/>
  <c r="S3126" i="34"/>
  <c r="T3126" i="34"/>
  <c r="V3126" i="34"/>
  <c r="W3126" i="34"/>
  <c r="X3126" i="34"/>
  <c r="N3127" i="34"/>
  <c r="R3127" i="34"/>
  <c r="S3127" i="34"/>
  <c r="T3127" i="34"/>
  <c r="V3127" i="34"/>
  <c r="W3127" i="34"/>
  <c r="X3127" i="34"/>
  <c r="N3128" i="34"/>
  <c r="R3128" i="34"/>
  <c r="S3128" i="34"/>
  <c r="T3128" i="34"/>
  <c r="V3128" i="34"/>
  <c r="W3128" i="34"/>
  <c r="X3128" i="34"/>
  <c r="N3129" i="34"/>
  <c r="R3129" i="34"/>
  <c r="S3129" i="34"/>
  <c r="T3129" i="34"/>
  <c r="V3129" i="34"/>
  <c r="W3129" i="34"/>
  <c r="X3129" i="34"/>
  <c r="N3130" i="34"/>
  <c r="R3130" i="34"/>
  <c r="S3130" i="34"/>
  <c r="T3130" i="34"/>
  <c r="V3130" i="34"/>
  <c r="W3130" i="34"/>
  <c r="X3130" i="34"/>
  <c r="N3131" i="34"/>
  <c r="R3131" i="34"/>
  <c r="S3131" i="34"/>
  <c r="T3131" i="34"/>
  <c r="V3131" i="34"/>
  <c r="W3131" i="34"/>
  <c r="X3131" i="34"/>
  <c r="N3132" i="34"/>
  <c r="R3132" i="34"/>
  <c r="S3132" i="34"/>
  <c r="T3132" i="34"/>
  <c r="V3132" i="34"/>
  <c r="W3132" i="34"/>
  <c r="X3132" i="34"/>
  <c r="N3133" i="34"/>
  <c r="R3133" i="34"/>
  <c r="S3133" i="34"/>
  <c r="T3133" i="34"/>
  <c r="V3133" i="34"/>
  <c r="W3133" i="34"/>
  <c r="X3133" i="34"/>
  <c r="N3134" i="34"/>
  <c r="R3134" i="34"/>
  <c r="S3134" i="34"/>
  <c r="T3134" i="34"/>
  <c r="V3134" i="34"/>
  <c r="W3134" i="34"/>
  <c r="X3134" i="34"/>
  <c r="N3135" i="34"/>
  <c r="R3135" i="34"/>
  <c r="S3135" i="34"/>
  <c r="T3135" i="34"/>
  <c r="V3135" i="34"/>
  <c r="W3135" i="34"/>
  <c r="X3135" i="34"/>
  <c r="N3136" i="34"/>
  <c r="R3136" i="34"/>
  <c r="S3136" i="34"/>
  <c r="T3136" i="34"/>
  <c r="V3136" i="34"/>
  <c r="W3136" i="34"/>
  <c r="X3136" i="34"/>
  <c r="N3137" i="34"/>
  <c r="R3137" i="34"/>
  <c r="S3137" i="34"/>
  <c r="T3137" i="34"/>
  <c r="V3137" i="34"/>
  <c r="W3137" i="34"/>
  <c r="X3137" i="34"/>
  <c r="N3138" i="34"/>
  <c r="R3138" i="34"/>
  <c r="S3138" i="34"/>
  <c r="T3138" i="34"/>
  <c r="V3138" i="34"/>
  <c r="W3138" i="34"/>
  <c r="X3138" i="34"/>
  <c r="N3139" i="34"/>
  <c r="R3139" i="34"/>
  <c r="S3139" i="34"/>
  <c r="T3139" i="34"/>
  <c r="V3139" i="34"/>
  <c r="W3139" i="34"/>
  <c r="X3139" i="34"/>
  <c r="N3140" i="34"/>
  <c r="R3140" i="34"/>
  <c r="S3140" i="34"/>
  <c r="T3140" i="34"/>
  <c r="V3140" i="34"/>
  <c r="W3140" i="34"/>
  <c r="X3140" i="34"/>
  <c r="N3141" i="34"/>
  <c r="R3141" i="34"/>
  <c r="S3141" i="34"/>
  <c r="T3141" i="34"/>
  <c r="V3141" i="34"/>
  <c r="W3141" i="34"/>
  <c r="X3141" i="34"/>
  <c r="N3142" i="34"/>
  <c r="R3142" i="34"/>
  <c r="S3142" i="34"/>
  <c r="T3142" i="34"/>
  <c r="V3142" i="34"/>
  <c r="W3142" i="34"/>
  <c r="X3142" i="34"/>
  <c r="N3143" i="34"/>
  <c r="R3143" i="34"/>
  <c r="S3143" i="34"/>
  <c r="T3143" i="34"/>
  <c r="V3143" i="34"/>
  <c r="W3143" i="34"/>
  <c r="X3143" i="34"/>
  <c r="N3144" i="34"/>
  <c r="R3144" i="34"/>
  <c r="S3144" i="34"/>
  <c r="T3144" i="34"/>
  <c r="V3144" i="34"/>
  <c r="W3144" i="34"/>
  <c r="X3144" i="34"/>
  <c r="N3145" i="34"/>
  <c r="R3145" i="34"/>
  <c r="S3145" i="34"/>
  <c r="T3145" i="34"/>
  <c r="V3145" i="34"/>
  <c r="W3145" i="34"/>
  <c r="X3145" i="34"/>
  <c r="N3146" i="34"/>
  <c r="R3146" i="34"/>
  <c r="S3146" i="34"/>
  <c r="T3146" i="34"/>
  <c r="V3146" i="34"/>
  <c r="W3146" i="34"/>
  <c r="X3146" i="34"/>
  <c r="N3147" i="34"/>
  <c r="R3147" i="34"/>
  <c r="S3147" i="34"/>
  <c r="T3147" i="34"/>
  <c r="V3147" i="34"/>
  <c r="W3147" i="34"/>
  <c r="X3147" i="34"/>
  <c r="N3148" i="34"/>
  <c r="R3148" i="34"/>
  <c r="S3148" i="34"/>
  <c r="T3148" i="34"/>
  <c r="V3148" i="34"/>
  <c r="W3148" i="34"/>
  <c r="X3148" i="34"/>
  <c r="N3149" i="34"/>
  <c r="R3149" i="34"/>
  <c r="S3149" i="34"/>
  <c r="T3149" i="34"/>
  <c r="V3149" i="34"/>
  <c r="W3149" i="34"/>
  <c r="X3149" i="34"/>
  <c r="N3150" i="34"/>
  <c r="R3150" i="34"/>
  <c r="S3150" i="34"/>
  <c r="T3150" i="34"/>
  <c r="V3150" i="34"/>
  <c r="W3150" i="34"/>
  <c r="X3150" i="34"/>
  <c r="N3151" i="34"/>
  <c r="R3151" i="34"/>
  <c r="S3151" i="34"/>
  <c r="T3151" i="34"/>
  <c r="V3151" i="34"/>
  <c r="W3151" i="34"/>
  <c r="X3151" i="34"/>
  <c r="N3152" i="34"/>
  <c r="R3152" i="34"/>
  <c r="S3152" i="34"/>
  <c r="T3152" i="34"/>
  <c r="V3152" i="34"/>
  <c r="W3152" i="34"/>
  <c r="X3152" i="34"/>
  <c r="N3153" i="34"/>
  <c r="R3153" i="34"/>
  <c r="S3153" i="34"/>
  <c r="T3153" i="34"/>
  <c r="V3153" i="34"/>
  <c r="W3153" i="34"/>
  <c r="X3153" i="34"/>
  <c r="N3154" i="34"/>
  <c r="R3154" i="34"/>
  <c r="S3154" i="34"/>
  <c r="T3154" i="34"/>
  <c r="V3154" i="34"/>
  <c r="W3154" i="34"/>
  <c r="X3154" i="34"/>
  <c r="N3155" i="34"/>
  <c r="R3155" i="34"/>
  <c r="S3155" i="34"/>
  <c r="T3155" i="34"/>
  <c r="V3155" i="34"/>
  <c r="W3155" i="34"/>
  <c r="X3155" i="34"/>
  <c r="N3156" i="34"/>
  <c r="R3156" i="34"/>
  <c r="S3156" i="34"/>
  <c r="T3156" i="34"/>
  <c r="V3156" i="34"/>
  <c r="W3156" i="34"/>
  <c r="X3156" i="34"/>
  <c r="N3157" i="34"/>
  <c r="R3157" i="34"/>
  <c r="S3157" i="34"/>
  <c r="T3157" i="34"/>
  <c r="V3157" i="34"/>
  <c r="W3157" i="34"/>
  <c r="X3157" i="34"/>
  <c r="N3158" i="34"/>
  <c r="R3158" i="34"/>
  <c r="S3158" i="34"/>
  <c r="T3158" i="34"/>
  <c r="V3158" i="34"/>
  <c r="W3158" i="34"/>
  <c r="X3158" i="34"/>
  <c r="N3159" i="34"/>
  <c r="R3159" i="34"/>
  <c r="S3159" i="34"/>
  <c r="T3159" i="34"/>
  <c r="V3159" i="34"/>
  <c r="W3159" i="34"/>
  <c r="X3159" i="34"/>
  <c r="N3160" i="34"/>
  <c r="R3160" i="34"/>
  <c r="S3160" i="34"/>
  <c r="T3160" i="34"/>
  <c r="V3160" i="34"/>
  <c r="W3160" i="34"/>
  <c r="X3160" i="34"/>
  <c r="N3161" i="34"/>
  <c r="R3161" i="34"/>
  <c r="S3161" i="34"/>
  <c r="T3161" i="34"/>
  <c r="V3161" i="34"/>
  <c r="W3161" i="34"/>
  <c r="X3161" i="34"/>
  <c r="N3162" i="34"/>
  <c r="R3162" i="34"/>
  <c r="S3162" i="34"/>
  <c r="T3162" i="34"/>
  <c r="V3162" i="34"/>
  <c r="W3162" i="34"/>
  <c r="X3162" i="34"/>
  <c r="N3163" i="34"/>
  <c r="R3163" i="34"/>
  <c r="S3163" i="34"/>
  <c r="T3163" i="34"/>
  <c r="V3163" i="34"/>
  <c r="W3163" i="34"/>
  <c r="X3163" i="34"/>
  <c r="N3164" i="34"/>
  <c r="R3164" i="34"/>
  <c r="S3164" i="34"/>
  <c r="T3164" i="34"/>
  <c r="V3164" i="34"/>
  <c r="W3164" i="34"/>
  <c r="X3164" i="34"/>
  <c r="N3165" i="34"/>
  <c r="R3165" i="34"/>
  <c r="S3165" i="34"/>
  <c r="T3165" i="34"/>
  <c r="V3165" i="34"/>
  <c r="W3165" i="34"/>
  <c r="X3165" i="34"/>
  <c r="N3166" i="34"/>
  <c r="R3166" i="34"/>
  <c r="S3166" i="34"/>
  <c r="T3166" i="34"/>
  <c r="V3166" i="34"/>
  <c r="W3166" i="34"/>
  <c r="X3166" i="34"/>
  <c r="N3167" i="34"/>
  <c r="R3167" i="34"/>
  <c r="S3167" i="34"/>
  <c r="T3167" i="34"/>
  <c r="V3167" i="34"/>
  <c r="W3167" i="34"/>
  <c r="X3167" i="34"/>
  <c r="N3168" i="34"/>
  <c r="R3168" i="34"/>
  <c r="S3168" i="34"/>
  <c r="T3168" i="34"/>
  <c r="V3168" i="34"/>
  <c r="W3168" i="34"/>
  <c r="X3168" i="34"/>
  <c r="N3169" i="34"/>
  <c r="R3169" i="34"/>
  <c r="S3169" i="34"/>
  <c r="T3169" i="34"/>
  <c r="V3169" i="34"/>
  <c r="W3169" i="34"/>
  <c r="X3169" i="34"/>
  <c r="N3170" i="34"/>
  <c r="R3170" i="34"/>
  <c r="S3170" i="34"/>
  <c r="T3170" i="34"/>
  <c r="V3170" i="34"/>
  <c r="W3170" i="34"/>
  <c r="X3170" i="34"/>
  <c r="N3171" i="34"/>
  <c r="R3171" i="34"/>
  <c r="S3171" i="34"/>
  <c r="T3171" i="34"/>
  <c r="V3171" i="34"/>
  <c r="W3171" i="34"/>
  <c r="X3171" i="34"/>
  <c r="N3172" i="34"/>
  <c r="R3172" i="34"/>
  <c r="S3172" i="34"/>
  <c r="T3172" i="34"/>
  <c r="V3172" i="34"/>
  <c r="W3172" i="34"/>
  <c r="X3172" i="34"/>
  <c r="N3173" i="34"/>
  <c r="R3173" i="34"/>
  <c r="S3173" i="34"/>
  <c r="T3173" i="34"/>
  <c r="V3173" i="34"/>
  <c r="W3173" i="34"/>
  <c r="X3173" i="34"/>
  <c r="N3174" i="34"/>
  <c r="R3174" i="34"/>
  <c r="S3174" i="34"/>
  <c r="T3174" i="34"/>
  <c r="V3174" i="34"/>
  <c r="W3174" i="34"/>
  <c r="X3174" i="34"/>
  <c r="N3175" i="34"/>
  <c r="R3175" i="34"/>
  <c r="S3175" i="34"/>
  <c r="T3175" i="34"/>
  <c r="V3175" i="34"/>
  <c r="W3175" i="34"/>
  <c r="X3175" i="34"/>
  <c r="N3176" i="34"/>
  <c r="R3176" i="34"/>
  <c r="S3176" i="34"/>
  <c r="T3176" i="34"/>
  <c r="V3176" i="34"/>
  <c r="W3176" i="34"/>
  <c r="X3176" i="34"/>
  <c r="N3177" i="34"/>
  <c r="R3177" i="34"/>
  <c r="S3177" i="34"/>
  <c r="T3177" i="34"/>
  <c r="V3177" i="34"/>
  <c r="W3177" i="34"/>
  <c r="X3177" i="34"/>
  <c r="N3178" i="34"/>
  <c r="R3178" i="34"/>
  <c r="S3178" i="34"/>
  <c r="T3178" i="34"/>
  <c r="V3178" i="34"/>
  <c r="W3178" i="34"/>
  <c r="X3178" i="34"/>
  <c r="N3179" i="34"/>
  <c r="R3179" i="34"/>
  <c r="S3179" i="34"/>
  <c r="T3179" i="34"/>
  <c r="V3179" i="34"/>
  <c r="W3179" i="34"/>
  <c r="X3179" i="34"/>
  <c r="N3180" i="34"/>
  <c r="R3180" i="34"/>
  <c r="S3180" i="34"/>
  <c r="T3180" i="34"/>
  <c r="V3180" i="34"/>
  <c r="W3180" i="34"/>
  <c r="X3180" i="34"/>
  <c r="N3181" i="34"/>
  <c r="R3181" i="34"/>
  <c r="S3181" i="34"/>
  <c r="T3181" i="34"/>
  <c r="V3181" i="34"/>
  <c r="W3181" i="34"/>
  <c r="X3181" i="34"/>
  <c r="N3182" i="34"/>
  <c r="R3182" i="34"/>
  <c r="S3182" i="34"/>
  <c r="T3182" i="34"/>
  <c r="V3182" i="34"/>
  <c r="W3182" i="34"/>
  <c r="X3182" i="34"/>
  <c r="N3183" i="34"/>
  <c r="R3183" i="34"/>
  <c r="S3183" i="34"/>
  <c r="T3183" i="34"/>
  <c r="V3183" i="34"/>
  <c r="W3183" i="34"/>
  <c r="X3183" i="34"/>
  <c r="N3184" i="34"/>
  <c r="R3184" i="34"/>
  <c r="S3184" i="34"/>
  <c r="T3184" i="34"/>
  <c r="V3184" i="34"/>
  <c r="W3184" i="34"/>
  <c r="X3184" i="34"/>
  <c r="N3185" i="34"/>
  <c r="R3185" i="34"/>
  <c r="S3185" i="34"/>
  <c r="T3185" i="34"/>
  <c r="V3185" i="34"/>
  <c r="W3185" i="34"/>
  <c r="X3185" i="34"/>
  <c r="N3186" i="34"/>
  <c r="R3186" i="34"/>
  <c r="S3186" i="34"/>
  <c r="T3186" i="34"/>
  <c r="V3186" i="34"/>
  <c r="W3186" i="34"/>
  <c r="X3186" i="34"/>
  <c r="N3187" i="34"/>
  <c r="R3187" i="34"/>
  <c r="S3187" i="34"/>
  <c r="T3187" i="34"/>
  <c r="V3187" i="34"/>
  <c r="W3187" i="34"/>
  <c r="X3187" i="34"/>
  <c r="N3188" i="34"/>
  <c r="R3188" i="34"/>
  <c r="S3188" i="34"/>
  <c r="T3188" i="34"/>
  <c r="V3188" i="34"/>
  <c r="W3188" i="34"/>
  <c r="X3188" i="34"/>
  <c r="N3189" i="34"/>
  <c r="R3189" i="34"/>
  <c r="S3189" i="34"/>
  <c r="T3189" i="34"/>
  <c r="V3189" i="34"/>
  <c r="W3189" i="34"/>
  <c r="X3189" i="34"/>
  <c r="N3190" i="34"/>
  <c r="R3190" i="34"/>
  <c r="S3190" i="34"/>
  <c r="T3190" i="34"/>
  <c r="V3190" i="34"/>
  <c r="W3190" i="34"/>
  <c r="X3190" i="34"/>
  <c r="N3191" i="34"/>
  <c r="R3191" i="34"/>
  <c r="S3191" i="34"/>
  <c r="T3191" i="34"/>
  <c r="V3191" i="34"/>
  <c r="W3191" i="34"/>
  <c r="X3191" i="34"/>
  <c r="N3192" i="34"/>
  <c r="R3192" i="34"/>
  <c r="S3192" i="34"/>
  <c r="T3192" i="34"/>
  <c r="V3192" i="34"/>
  <c r="W3192" i="34"/>
  <c r="X3192" i="34"/>
  <c r="N3193" i="34"/>
  <c r="R3193" i="34"/>
  <c r="S3193" i="34"/>
  <c r="T3193" i="34"/>
  <c r="V3193" i="34"/>
  <c r="W3193" i="34"/>
  <c r="X3193" i="34"/>
  <c r="N3194" i="34"/>
  <c r="R3194" i="34"/>
  <c r="S3194" i="34"/>
  <c r="T3194" i="34"/>
  <c r="V3194" i="34"/>
  <c r="W3194" i="34"/>
  <c r="X3194" i="34"/>
  <c r="N3195" i="34"/>
  <c r="R3195" i="34"/>
  <c r="S3195" i="34"/>
  <c r="T3195" i="34"/>
  <c r="V3195" i="34"/>
  <c r="W3195" i="34"/>
  <c r="X3195" i="34"/>
  <c r="N3196" i="34"/>
  <c r="R3196" i="34"/>
  <c r="S3196" i="34"/>
  <c r="T3196" i="34"/>
  <c r="V3196" i="34"/>
  <c r="W3196" i="34"/>
  <c r="X3196" i="34"/>
  <c r="N3197" i="34"/>
  <c r="R3197" i="34"/>
  <c r="S3197" i="34"/>
  <c r="T3197" i="34"/>
  <c r="V3197" i="34"/>
  <c r="W3197" i="34"/>
  <c r="X3197" i="34"/>
  <c r="N3198" i="34"/>
  <c r="R3198" i="34"/>
  <c r="S3198" i="34"/>
  <c r="T3198" i="34"/>
  <c r="V3198" i="34"/>
  <c r="W3198" i="34"/>
  <c r="X3198" i="34"/>
  <c r="N3199" i="34"/>
  <c r="R3199" i="34"/>
  <c r="S3199" i="34"/>
  <c r="T3199" i="34"/>
  <c r="V3199" i="34"/>
  <c r="W3199" i="34"/>
  <c r="X3199" i="34"/>
  <c r="N3200" i="34"/>
  <c r="R3200" i="34"/>
  <c r="S3200" i="34"/>
  <c r="T3200" i="34"/>
  <c r="V3200" i="34"/>
  <c r="W3200" i="34"/>
  <c r="X3200" i="34"/>
  <c r="N3201" i="34"/>
  <c r="R3201" i="34"/>
  <c r="S3201" i="34"/>
  <c r="T3201" i="34"/>
  <c r="V3201" i="34"/>
  <c r="W3201" i="34"/>
  <c r="X3201" i="34"/>
  <c r="N3202" i="34"/>
  <c r="R3202" i="34"/>
  <c r="S3202" i="34"/>
  <c r="T3202" i="34"/>
  <c r="V3202" i="34"/>
  <c r="W3202" i="34"/>
  <c r="X3202" i="34"/>
  <c r="N3203" i="34"/>
  <c r="R3203" i="34"/>
  <c r="S3203" i="34"/>
  <c r="T3203" i="34"/>
  <c r="V3203" i="34"/>
  <c r="W3203" i="34"/>
  <c r="X3203" i="34"/>
  <c r="N3204" i="34"/>
  <c r="R3204" i="34"/>
  <c r="S3204" i="34"/>
  <c r="T3204" i="34"/>
  <c r="V3204" i="34"/>
  <c r="W3204" i="34"/>
  <c r="X3204" i="34"/>
  <c r="N3205" i="34"/>
  <c r="R3205" i="34"/>
  <c r="S3205" i="34"/>
  <c r="T3205" i="34"/>
  <c r="V3205" i="34"/>
  <c r="W3205" i="34"/>
  <c r="X3205" i="34"/>
  <c r="N3206" i="34"/>
  <c r="R3206" i="34"/>
  <c r="S3206" i="34"/>
  <c r="T3206" i="34"/>
  <c r="V3206" i="34"/>
  <c r="W3206" i="34"/>
  <c r="X3206" i="34"/>
  <c r="N3207" i="34"/>
  <c r="R3207" i="34"/>
  <c r="S3207" i="34"/>
  <c r="T3207" i="34"/>
  <c r="V3207" i="34"/>
  <c r="W3207" i="34"/>
  <c r="X3207" i="34"/>
  <c r="N3208" i="34"/>
  <c r="R3208" i="34"/>
  <c r="S3208" i="34"/>
  <c r="T3208" i="34"/>
  <c r="V3208" i="34"/>
  <c r="W3208" i="34"/>
  <c r="X3208" i="34"/>
  <c r="N3209" i="34"/>
  <c r="R3209" i="34"/>
  <c r="S3209" i="34"/>
  <c r="T3209" i="34"/>
  <c r="V3209" i="34"/>
  <c r="W3209" i="34"/>
  <c r="X3209" i="34"/>
  <c r="N3210" i="34"/>
  <c r="R3210" i="34"/>
  <c r="S3210" i="34"/>
  <c r="T3210" i="34"/>
  <c r="V3210" i="34"/>
  <c r="W3210" i="34"/>
  <c r="X3210" i="34"/>
  <c r="N3211" i="34"/>
  <c r="R3211" i="34"/>
  <c r="S3211" i="34"/>
  <c r="T3211" i="34"/>
  <c r="V3211" i="34"/>
  <c r="W3211" i="34"/>
  <c r="X3211" i="34"/>
  <c r="N3212" i="34"/>
  <c r="R3212" i="34"/>
  <c r="S3212" i="34"/>
  <c r="T3212" i="34"/>
  <c r="V3212" i="34"/>
  <c r="W3212" i="34"/>
  <c r="X3212" i="34"/>
  <c r="N3213" i="34"/>
  <c r="R3213" i="34"/>
  <c r="S3213" i="34"/>
  <c r="T3213" i="34"/>
  <c r="V3213" i="34"/>
  <c r="W3213" i="34"/>
  <c r="X3213" i="34"/>
  <c r="N3214" i="34"/>
  <c r="R3214" i="34"/>
  <c r="S3214" i="34"/>
  <c r="T3214" i="34"/>
  <c r="V3214" i="34"/>
  <c r="W3214" i="34"/>
  <c r="X3214" i="34"/>
  <c r="N3215" i="34"/>
  <c r="R3215" i="34"/>
  <c r="S3215" i="34"/>
  <c r="T3215" i="34"/>
  <c r="V3215" i="34"/>
  <c r="W3215" i="34"/>
  <c r="X3215" i="34"/>
  <c r="N3216" i="34"/>
  <c r="R3216" i="34"/>
  <c r="S3216" i="34"/>
  <c r="T3216" i="34"/>
  <c r="V3216" i="34"/>
  <c r="W3216" i="34"/>
  <c r="X3216" i="34"/>
  <c r="N3217" i="34"/>
  <c r="R3217" i="34"/>
  <c r="S3217" i="34"/>
  <c r="T3217" i="34"/>
  <c r="V3217" i="34"/>
  <c r="W3217" i="34"/>
  <c r="X3217" i="34"/>
  <c r="N3218" i="34"/>
  <c r="R3218" i="34"/>
  <c r="S3218" i="34"/>
  <c r="T3218" i="34"/>
  <c r="V3218" i="34"/>
  <c r="W3218" i="34"/>
  <c r="X3218" i="34"/>
  <c r="N3219" i="34"/>
  <c r="R3219" i="34"/>
  <c r="S3219" i="34"/>
  <c r="T3219" i="34"/>
  <c r="V3219" i="34"/>
  <c r="W3219" i="34"/>
  <c r="X3219" i="34"/>
  <c r="N3220" i="34"/>
  <c r="R3220" i="34"/>
  <c r="S3220" i="34"/>
  <c r="T3220" i="34"/>
  <c r="V3220" i="34"/>
  <c r="W3220" i="34"/>
  <c r="X3220" i="34"/>
  <c r="N3221" i="34"/>
  <c r="R3221" i="34"/>
  <c r="S3221" i="34"/>
  <c r="T3221" i="34"/>
  <c r="V3221" i="34"/>
  <c r="W3221" i="34"/>
  <c r="X3221" i="34"/>
  <c r="N3222" i="34"/>
  <c r="R3222" i="34"/>
  <c r="S3222" i="34"/>
  <c r="T3222" i="34"/>
  <c r="V3222" i="34"/>
  <c r="W3222" i="34"/>
  <c r="X3222" i="34"/>
  <c r="N3223" i="34"/>
  <c r="R3223" i="34"/>
  <c r="S3223" i="34"/>
  <c r="T3223" i="34"/>
  <c r="V3223" i="34"/>
  <c r="W3223" i="34"/>
  <c r="X3223" i="34"/>
  <c r="N3224" i="34"/>
  <c r="R3224" i="34"/>
  <c r="S3224" i="34"/>
  <c r="T3224" i="34"/>
  <c r="V3224" i="34"/>
  <c r="W3224" i="34"/>
  <c r="X3224" i="34"/>
  <c r="N3225" i="34"/>
  <c r="R3225" i="34"/>
  <c r="S3225" i="34"/>
  <c r="T3225" i="34"/>
  <c r="V3225" i="34"/>
  <c r="W3225" i="34"/>
  <c r="X3225" i="34"/>
  <c r="N3226" i="34"/>
  <c r="R3226" i="34"/>
  <c r="S3226" i="34"/>
  <c r="T3226" i="34"/>
  <c r="V3226" i="34"/>
  <c r="W3226" i="34"/>
  <c r="X3226" i="34"/>
  <c r="N3227" i="34"/>
  <c r="R3227" i="34"/>
  <c r="S3227" i="34"/>
  <c r="T3227" i="34"/>
  <c r="V3227" i="34"/>
  <c r="W3227" i="34"/>
  <c r="X3227" i="34"/>
  <c r="N3228" i="34"/>
  <c r="R3228" i="34"/>
  <c r="S3228" i="34"/>
  <c r="T3228" i="34"/>
  <c r="V3228" i="34"/>
  <c r="W3228" i="34"/>
  <c r="X3228" i="34"/>
  <c r="N3229" i="34"/>
  <c r="R3229" i="34"/>
  <c r="S3229" i="34"/>
  <c r="T3229" i="34"/>
  <c r="V3229" i="34"/>
  <c r="W3229" i="34"/>
  <c r="X3229" i="34"/>
  <c r="N3230" i="34"/>
  <c r="R3230" i="34"/>
  <c r="S3230" i="34"/>
  <c r="T3230" i="34"/>
  <c r="V3230" i="34"/>
  <c r="W3230" i="34"/>
  <c r="X3230" i="34"/>
  <c r="N3231" i="34"/>
  <c r="R3231" i="34"/>
  <c r="S3231" i="34"/>
  <c r="T3231" i="34"/>
  <c r="V3231" i="34"/>
  <c r="W3231" i="34"/>
  <c r="X3231" i="34"/>
  <c r="N3232" i="34"/>
  <c r="R3232" i="34"/>
  <c r="S3232" i="34"/>
  <c r="T3232" i="34"/>
  <c r="V3232" i="34"/>
  <c r="W3232" i="34"/>
  <c r="X3232" i="34"/>
  <c r="N3233" i="34"/>
  <c r="R3233" i="34"/>
  <c r="S3233" i="34"/>
  <c r="T3233" i="34"/>
  <c r="V3233" i="34"/>
  <c r="W3233" i="34"/>
  <c r="X3233" i="34"/>
  <c r="N3234" i="34"/>
  <c r="R3234" i="34"/>
  <c r="S3234" i="34"/>
  <c r="T3234" i="34"/>
  <c r="V3234" i="34"/>
  <c r="W3234" i="34"/>
  <c r="X3234" i="34"/>
  <c r="N3235" i="34"/>
  <c r="R3235" i="34"/>
  <c r="S3235" i="34"/>
  <c r="T3235" i="34"/>
  <c r="V3235" i="34"/>
  <c r="W3235" i="34"/>
  <c r="X3235" i="34"/>
  <c r="N3236" i="34"/>
  <c r="R3236" i="34"/>
  <c r="S3236" i="34"/>
  <c r="T3236" i="34"/>
  <c r="V3236" i="34"/>
  <c r="W3236" i="34"/>
  <c r="X3236" i="34"/>
  <c r="N3237" i="34"/>
  <c r="R3237" i="34"/>
  <c r="S3237" i="34"/>
  <c r="T3237" i="34"/>
  <c r="V3237" i="34"/>
  <c r="W3237" i="34"/>
  <c r="X3237" i="34"/>
  <c r="N3238" i="34"/>
  <c r="R3238" i="34"/>
  <c r="S3238" i="34"/>
  <c r="T3238" i="34"/>
  <c r="V3238" i="34"/>
  <c r="W3238" i="34"/>
  <c r="X3238" i="34"/>
  <c r="N3239" i="34"/>
  <c r="R3239" i="34"/>
  <c r="S3239" i="34"/>
  <c r="T3239" i="34"/>
  <c r="V3239" i="34"/>
  <c r="W3239" i="34"/>
  <c r="X3239" i="34"/>
  <c r="N3240" i="34"/>
  <c r="R3240" i="34"/>
  <c r="S3240" i="34"/>
  <c r="T3240" i="34"/>
  <c r="V3240" i="34"/>
  <c r="W3240" i="34"/>
  <c r="X3240" i="34"/>
  <c r="N3241" i="34"/>
  <c r="R3241" i="34"/>
  <c r="S3241" i="34"/>
  <c r="T3241" i="34"/>
  <c r="V3241" i="34"/>
  <c r="W3241" i="34"/>
  <c r="X3241" i="34"/>
  <c r="N3242" i="34"/>
  <c r="R3242" i="34"/>
  <c r="S3242" i="34"/>
  <c r="T3242" i="34"/>
  <c r="V3242" i="34"/>
  <c r="W3242" i="34"/>
  <c r="X3242" i="34"/>
  <c r="N3243" i="34"/>
  <c r="R3243" i="34"/>
  <c r="S3243" i="34"/>
  <c r="T3243" i="34"/>
  <c r="V3243" i="34"/>
  <c r="W3243" i="34"/>
  <c r="X3243" i="34"/>
  <c r="N3244" i="34"/>
  <c r="R3244" i="34"/>
  <c r="S3244" i="34"/>
  <c r="T3244" i="34"/>
  <c r="V3244" i="34"/>
  <c r="W3244" i="34"/>
  <c r="X3244" i="34"/>
  <c r="N3245" i="34"/>
  <c r="R3245" i="34"/>
  <c r="S3245" i="34"/>
  <c r="T3245" i="34"/>
  <c r="V3245" i="34"/>
  <c r="W3245" i="34"/>
  <c r="X3245" i="34"/>
  <c r="N3246" i="34"/>
  <c r="R3246" i="34"/>
  <c r="S3246" i="34"/>
  <c r="T3246" i="34"/>
  <c r="V3246" i="34"/>
  <c r="W3246" i="34"/>
  <c r="X3246" i="34"/>
  <c r="N3247" i="34"/>
  <c r="R3247" i="34"/>
  <c r="S3247" i="34"/>
  <c r="T3247" i="34"/>
  <c r="V3247" i="34"/>
  <c r="W3247" i="34"/>
  <c r="X3247" i="34"/>
  <c r="N3248" i="34"/>
  <c r="R3248" i="34"/>
  <c r="S3248" i="34"/>
  <c r="T3248" i="34"/>
  <c r="V3248" i="34"/>
  <c r="W3248" i="34"/>
  <c r="X3248" i="34"/>
  <c r="N3249" i="34"/>
  <c r="R3249" i="34"/>
  <c r="S3249" i="34"/>
  <c r="T3249" i="34"/>
  <c r="V3249" i="34"/>
  <c r="W3249" i="34"/>
  <c r="X3249" i="34"/>
  <c r="N3250" i="34"/>
  <c r="R3250" i="34"/>
  <c r="S3250" i="34"/>
  <c r="T3250" i="34"/>
  <c r="V3250" i="34"/>
  <c r="W3250" i="34"/>
  <c r="X3250" i="34"/>
  <c r="N3251" i="34"/>
  <c r="R3251" i="34"/>
  <c r="S3251" i="34"/>
  <c r="T3251" i="34"/>
  <c r="V3251" i="34"/>
  <c r="W3251" i="34"/>
  <c r="X3251" i="34"/>
  <c r="N3252" i="34"/>
  <c r="R3252" i="34"/>
  <c r="S3252" i="34"/>
  <c r="T3252" i="34"/>
  <c r="V3252" i="34"/>
  <c r="W3252" i="34"/>
  <c r="X3252" i="34"/>
  <c r="N3253" i="34"/>
  <c r="R3253" i="34"/>
  <c r="S3253" i="34"/>
  <c r="T3253" i="34"/>
  <c r="V3253" i="34"/>
  <c r="W3253" i="34"/>
  <c r="X3253" i="34"/>
  <c r="N3254" i="34"/>
  <c r="R3254" i="34"/>
  <c r="S3254" i="34"/>
  <c r="T3254" i="34"/>
  <c r="V3254" i="34"/>
  <c r="W3254" i="34"/>
  <c r="X3254" i="34"/>
  <c r="N3255" i="34"/>
  <c r="R3255" i="34"/>
  <c r="S3255" i="34"/>
  <c r="T3255" i="34"/>
  <c r="V3255" i="34"/>
  <c r="W3255" i="34"/>
  <c r="X3255" i="34"/>
  <c r="N3256" i="34"/>
  <c r="R3256" i="34"/>
  <c r="S3256" i="34"/>
  <c r="T3256" i="34"/>
  <c r="V3256" i="34"/>
  <c r="W3256" i="34"/>
  <c r="X3256" i="34"/>
  <c r="N3257" i="34"/>
  <c r="R3257" i="34"/>
  <c r="S3257" i="34"/>
  <c r="T3257" i="34"/>
  <c r="V3257" i="34"/>
  <c r="W3257" i="34"/>
  <c r="X3257" i="34"/>
  <c r="N3258" i="34"/>
  <c r="R3258" i="34"/>
  <c r="S3258" i="34"/>
  <c r="T3258" i="34"/>
  <c r="V3258" i="34"/>
  <c r="W3258" i="34"/>
  <c r="X3258" i="34"/>
  <c r="N3259" i="34"/>
  <c r="R3259" i="34"/>
  <c r="S3259" i="34"/>
  <c r="T3259" i="34"/>
  <c r="V3259" i="34"/>
  <c r="W3259" i="34"/>
  <c r="X3259" i="34"/>
  <c r="N3260" i="34"/>
  <c r="R3260" i="34"/>
  <c r="S3260" i="34"/>
  <c r="T3260" i="34"/>
  <c r="V3260" i="34"/>
  <c r="W3260" i="34"/>
  <c r="X3260" i="34"/>
  <c r="N3261" i="34"/>
  <c r="R3261" i="34"/>
  <c r="S3261" i="34"/>
  <c r="T3261" i="34"/>
  <c r="V3261" i="34"/>
  <c r="W3261" i="34"/>
  <c r="X3261" i="34"/>
  <c r="N3262" i="34"/>
  <c r="R3262" i="34"/>
  <c r="S3262" i="34"/>
  <c r="T3262" i="34"/>
  <c r="V3262" i="34"/>
  <c r="W3262" i="34"/>
  <c r="X3262" i="34"/>
  <c r="N3263" i="34"/>
  <c r="R3263" i="34"/>
  <c r="S3263" i="34"/>
  <c r="T3263" i="34"/>
  <c r="V3263" i="34"/>
  <c r="W3263" i="34"/>
  <c r="X3263" i="34"/>
  <c r="N3264" i="34"/>
  <c r="R3264" i="34"/>
  <c r="S3264" i="34"/>
  <c r="T3264" i="34"/>
  <c r="V3264" i="34"/>
  <c r="W3264" i="34"/>
  <c r="X3264" i="34"/>
  <c r="N3265" i="34"/>
  <c r="R3265" i="34"/>
  <c r="S3265" i="34"/>
  <c r="T3265" i="34"/>
  <c r="V3265" i="34"/>
  <c r="W3265" i="34"/>
  <c r="X3265" i="34"/>
  <c r="N3266" i="34"/>
  <c r="R3266" i="34"/>
  <c r="S3266" i="34"/>
  <c r="T3266" i="34"/>
  <c r="V3266" i="34"/>
  <c r="W3266" i="34"/>
  <c r="X3266" i="34"/>
  <c r="N3267" i="34"/>
  <c r="R3267" i="34"/>
  <c r="S3267" i="34"/>
  <c r="T3267" i="34"/>
  <c r="V3267" i="34"/>
  <c r="W3267" i="34"/>
  <c r="X3267" i="34"/>
  <c r="N3268" i="34"/>
  <c r="R3268" i="34"/>
  <c r="S3268" i="34"/>
  <c r="T3268" i="34"/>
  <c r="V3268" i="34"/>
  <c r="W3268" i="34"/>
  <c r="X3268" i="34"/>
  <c r="N3269" i="34"/>
  <c r="R3269" i="34"/>
  <c r="S3269" i="34"/>
  <c r="T3269" i="34"/>
  <c r="V3269" i="34"/>
  <c r="W3269" i="34"/>
  <c r="X3269" i="34"/>
  <c r="N3270" i="34"/>
  <c r="R3270" i="34"/>
  <c r="S3270" i="34"/>
  <c r="T3270" i="34"/>
  <c r="V3270" i="34"/>
  <c r="W3270" i="34"/>
  <c r="X3270" i="34"/>
  <c r="N3271" i="34"/>
  <c r="R3271" i="34"/>
  <c r="S3271" i="34"/>
  <c r="T3271" i="34"/>
  <c r="V3271" i="34"/>
  <c r="W3271" i="34"/>
  <c r="X3271" i="34"/>
  <c r="N3272" i="34"/>
  <c r="R3272" i="34"/>
  <c r="S3272" i="34"/>
  <c r="T3272" i="34"/>
  <c r="V3272" i="34"/>
  <c r="W3272" i="34"/>
  <c r="X3272" i="34"/>
  <c r="N3273" i="34"/>
  <c r="R3273" i="34"/>
  <c r="S3273" i="34"/>
  <c r="T3273" i="34"/>
  <c r="V3273" i="34"/>
  <c r="W3273" i="34"/>
  <c r="X3273" i="34"/>
  <c r="N3274" i="34"/>
  <c r="R3274" i="34"/>
  <c r="S3274" i="34"/>
  <c r="T3274" i="34"/>
  <c r="V3274" i="34"/>
  <c r="W3274" i="34"/>
  <c r="X3274" i="34"/>
  <c r="N3275" i="34"/>
  <c r="R3275" i="34"/>
  <c r="S3275" i="34"/>
  <c r="T3275" i="34"/>
  <c r="V3275" i="34"/>
  <c r="W3275" i="34"/>
  <c r="X3275" i="34"/>
  <c r="N3276" i="34"/>
  <c r="R3276" i="34"/>
  <c r="S3276" i="34"/>
  <c r="T3276" i="34"/>
  <c r="V3276" i="34"/>
  <c r="W3276" i="34"/>
  <c r="X3276" i="34"/>
  <c r="N3277" i="34"/>
  <c r="R3277" i="34"/>
  <c r="S3277" i="34"/>
  <c r="T3277" i="34"/>
  <c r="V3277" i="34"/>
  <c r="W3277" i="34"/>
  <c r="X3277" i="34"/>
  <c r="N3278" i="34"/>
  <c r="R3278" i="34"/>
  <c r="S3278" i="34"/>
  <c r="T3278" i="34"/>
  <c r="V3278" i="34"/>
  <c r="W3278" i="34"/>
  <c r="X3278" i="34"/>
  <c r="N3279" i="34"/>
  <c r="R3279" i="34"/>
  <c r="S3279" i="34"/>
  <c r="T3279" i="34"/>
  <c r="V3279" i="34"/>
  <c r="W3279" i="34"/>
  <c r="X3279" i="34"/>
  <c r="N3280" i="34"/>
  <c r="R3280" i="34"/>
  <c r="S3280" i="34"/>
  <c r="T3280" i="34"/>
  <c r="V3280" i="34"/>
  <c r="W3280" i="34"/>
  <c r="X3280" i="34"/>
  <c r="N3281" i="34"/>
  <c r="R3281" i="34"/>
  <c r="S3281" i="34"/>
  <c r="T3281" i="34"/>
  <c r="V3281" i="34"/>
  <c r="W3281" i="34"/>
  <c r="X3281" i="34"/>
  <c r="N3282" i="34"/>
  <c r="R3282" i="34"/>
  <c r="S3282" i="34"/>
  <c r="T3282" i="34"/>
  <c r="V3282" i="34"/>
  <c r="W3282" i="34"/>
  <c r="X3282" i="34"/>
  <c r="N3283" i="34"/>
  <c r="R3283" i="34"/>
  <c r="S3283" i="34"/>
  <c r="T3283" i="34"/>
  <c r="V3283" i="34"/>
  <c r="W3283" i="34"/>
  <c r="X3283" i="34"/>
  <c r="N3284" i="34"/>
  <c r="R3284" i="34"/>
  <c r="S3284" i="34"/>
  <c r="T3284" i="34"/>
  <c r="V3284" i="34"/>
  <c r="W3284" i="34"/>
  <c r="X3284" i="34"/>
  <c r="N3285" i="34"/>
  <c r="R3285" i="34"/>
  <c r="S3285" i="34"/>
  <c r="T3285" i="34"/>
  <c r="V3285" i="34"/>
  <c r="W3285" i="34"/>
  <c r="X3285" i="34"/>
  <c r="N3286" i="34"/>
  <c r="R3286" i="34"/>
  <c r="S3286" i="34"/>
  <c r="T3286" i="34"/>
  <c r="V3286" i="34"/>
  <c r="W3286" i="34"/>
  <c r="X3286" i="34"/>
  <c r="N3287" i="34"/>
  <c r="R3287" i="34"/>
  <c r="S3287" i="34"/>
  <c r="T3287" i="34"/>
  <c r="V3287" i="34"/>
  <c r="W3287" i="34"/>
  <c r="X3287" i="34"/>
  <c r="N3288" i="34"/>
  <c r="R3288" i="34"/>
  <c r="S3288" i="34"/>
  <c r="T3288" i="34"/>
  <c r="V3288" i="34"/>
  <c r="W3288" i="34"/>
  <c r="X3288" i="34"/>
  <c r="N3289" i="34"/>
  <c r="R3289" i="34"/>
  <c r="S3289" i="34"/>
  <c r="T3289" i="34"/>
  <c r="V3289" i="34"/>
  <c r="W3289" i="34"/>
  <c r="X3289" i="34"/>
  <c r="N3290" i="34"/>
  <c r="R3290" i="34"/>
  <c r="S3290" i="34"/>
  <c r="T3290" i="34"/>
  <c r="V3290" i="34"/>
  <c r="W3290" i="34"/>
  <c r="X3290" i="34"/>
  <c r="N3291" i="34"/>
  <c r="R3291" i="34"/>
  <c r="S3291" i="34"/>
  <c r="T3291" i="34"/>
  <c r="V3291" i="34"/>
  <c r="W3291" i="34"/>
  <c r="X3291" i="34"/>
  <c r="N3292" i="34"/>
  <c r="R3292" i="34"/>
  <c r="S3292" i="34"/>
  <c r="T3292" i="34"/>
  <c r="V3292" i="34"/>
  <c r="W3292" i="34"/>
  <c r="X3292" i="34"/>
  <c r="N3293" i="34"/>
  <c r="R3293" i="34"/>
  <c r="S3293" i="34"/>
  <c r="T3293" i="34"/>
  <c r="V3293" i="34"/>
  <c r="W3293" i="34"/>
  <c r="X3293" i="34"/>
  <c r="N3294" i="34"/>
  <c r="R3294" i="34"/>
  <c r="S3294" i="34"/>
  <c r="T3294" i="34"/>
  <c r="V3294" i="34"/>
  <c r="W3294" i="34"/>
  <c r="X3294" i="34"/>
  <c r="N3295" i="34"/>
  <c r="R3295" i="34"/>
  <c r="S3295" i="34"/>
  <c r="T3295" i="34"/>
  <c r="V3295" i="34"/>
  <c r="W3295" i="34"/>
  <c r="X3295" i="34"/>
  <c r="N3296" i="34"/>
  <c r="R3296" i="34"/>
  <c r="S3296" i="34"/>
  <c r="T3296" i="34"/>
  <c r="V3296" i="34"/>
  <c r="W3296" i="34"/>
  <c r="X3296" i="34"/>
  <c r="N3297" i="34"/>
  <c r="R3297" i="34"/>
  <c r="S3297" i="34"/>
  <c r="T3297" i="34"/>
  <c r="V3297" i="34"/>
  <c r="W3297" i="34"/>
  <c r="X3297" i="34"/>
  <c r="N3298" i="34"/>
  <c r="R3298" i="34"/>
  <c r="S3298" i="34"/>
  <c r="T3298" i="34"/>
  <c r="V3298" i="34"/>
  <c r="W3298" i="34"/>
  <c r="X3298" i="34"/>
  <c r="N3299" i="34"/>
  <c r="R3299" i="34"/>
  <c r="S3299" i="34"/>
  <c r="T3299" i="34"/>
  <c r="V3299" i="34"/>
  <c r="W3299" i="34"/>
  <c r="X3299" i="34"/>
  <c r="N3300" i="34"/>
  <c r="R3300" i="34"/>
  <c r="S3300" i="34"/>
  <c r="T3300" i="34"/>
  <c r="V3300" i="34"/>
  <c r="W3300" i="34"/>
  <c r="X3300" i="34"/>
  <c r="N3301" i="34"/>
  <c r="R3301" i="34"/>
  <c r="S3301" i="34"/>
  <c r="T3301" i="34"/>
  <c r="V3301" i="34"/>
  <c r="W3301" i="34"/>
  <c r="X3301" i="34"/>
  <c r="N3302" i="34"/>
  <c r="R3302" i="34"/>
  <c r="S3302" i="34"/>
  <c r="T3302" i="34"/>
  <c r="V3302" i="34"/>
  <c r="W3302" i="34"/>
  <c r="X3302" i="34"/>
  <c r="N3303" i="34"/>
  <c r="R3303" i="34"/>
  <c r="S3303" i="34"/>
  <c r="T3303" i="34"/>
  <c r="V3303" i="34"/>
  <c r="W3303" i="34"/>
  <c r="X3303" i="34"/>
  <c r="N3304" i="34"/>
  <c r="R3304" i="34"/>
  <c r="S3304" i="34"/>
  <c r="T3304" i="34"/>
  <c r="V3304" i="34"/>
  <c r="W3304" i="34"/>
  <c r="X3304" i="34"/>
  <c r="N3305" i="34"/>
  <c r="R3305" i="34"/>
  <c r="S3305" i="34"/>
  <c r="T3305" i="34"/>
  <c r="V3305" i="34"/>
  <c r="W3305" i="34"/>
  <c r="X3305" i="34"/>
  <c r="N3306" i="34"/>
  <c r="R3306" i="34"/>
  <c r="S3306" i="34"/>
  <c r="T3306" i="34"/>
  <c r="V3306" i="34"/>
  <c r="W3306" i="34"/>
  <c r="X3306" i="34"/>
  <c r="N3307" i="34"/>
  <c r="R3307" i="34"/>
  <c r="S3307" i="34"/>
  <c r="T3307" i="34"/>
  <c r="V3307" i="34"/>
  <c r="W3307" i="34"/>
  <c r="X3307" i="34"/>
  <c r="N3308" i="34"/>
  <c r="R3308" i="34"/>
  <c r="S3308" i="34"/>
  <c r="T3308" i="34"/>
  <c r="V3308" i="34"/>
  <c r="W3308" i="34"/>
  <c r="X3308" i="34"/>
  <c r="N3309" i="34"/>
  <c r="R3309" i="34"/>
  <c r="S3309" i="34"/>
  <c r="T3309" i="34"/>
  <c r="V3309" i="34"/>
  <c r="W3309" i="34"/>
  <c r="X3309" i="34"/>
  <c r="N3310" i="34"/>
  <c r="R3310" i="34"/>
  <c r="S3310" i="34"/>
  <c r="T3310" i="34"/>
  <c r="V3310" i="34"/>
  <c r="W3310" i="34"/>
  <c r="X3310" i="34"/>
  <c r="N3311" i="34"/>
  <c r="R3311" i="34"/>
  <c r="S3311" i="34"/>
  <c r="T3311" i="34"/>
  <c r="V3311" i="34"/>
  <c r="W3311" i="34"/>
  <c r="X3311" i="34"/>
  <c r="N3312" i="34"/>
  <c r="R3312" i="34"/>
  <c r="S3312" i="34"/>
  <c r="T3312" i="34"/>
  <c r="V3312" i="34"/>
  <c r="W3312" i="34"/>
  <c r="X3312" i="34"/>
  <c r="N3313" i="34"/>
  <c r="R3313" i="34"/>
  <c r="S3313" i="34"/>
  <c r="T3313" i="34"/>
  <c r="V3313" i="34"/>
  <c r="W3313" i="34"/>
  <c r="X3313" i="34"/>
  <c r="N3314" i="34"/>
  <c r="R3314" i="34"/>
  <c r="S3314" i="34"/>
  <c r="T3314" i="34"/>
  <c r="V3314" i="34"/>
  <c r="W3314" i="34"/>
  <c r="X3314" i="34"/>
  <c r="N3315" i="34"/>
  <c r="R3315" i="34"/>
  <c r="S3315" i="34"/>
  <c r="T3315" i="34"/>
  <c r="V3315" i="34"/>
  <c r="W3315" i="34"/>
  <c r="X3315" i="34"/>
  <c r="N3316" i="34"/>
  <c r="R3316" i="34"/>
  <c r="S3316" i="34"/>
  <c r="T3316" i="34"/>
  <c r="V3316" i="34"/>
  <c r="W3316" i="34"/>
  <c r="X3316" i="34"/>
  <c r="N3317" i="34"/>
  <c r="R3317" i="34"/>
  <c r="S3317" i="34"/>
  <c r="T3317" i="34"/>
  <c r="V3317" i="34"/>
  <c r="W3317" i="34"/>
  <c r="X3317" i="34"/>
  <c r="N3318" i="34"/>
  <c r="R3318" i="34"/>
  <c r="S3318" i="34"/>
  <c r="T3318" i="34"/>
  <c r="V3318" i="34"/>
  <c r="W3318" i="34"/>
  <c r="X3318" i="34"/>
  <c r="N3319" i="34"/>
  <c r="R3319" i="34"/>
  <c r="S3319" i="34"/>
  <c r="T3319" i="34"/>
  <c r="V3319" i="34"/>
  <c r="W3319" i="34"/>
  <c r="X3319" i="34"/>
  <c r="N3320" i="34"/>
  <c r="R3320" i="34"/>
  <c r="S3320" i="34"/>
  <c r="T3320" i="34"/>
  <c r="V3320" i="34"/>
  <c r="W3320" i="34"/>
  <c r="X3320" i="34"/>
  <c r="N3321" i="34"/>
  <c r="R3321" i="34"/>
  <c r="S3321" i="34"/>
  <c r="T3321" i="34"/>
  <c r="V3321" i="34"/>
  <c r="W3321" i="34"/>
  <c r="X3321" i="34"/>
  <c r="N3322" i="34"/>
  <c r="R3322" i="34"/>
  <c r="S3322" i="34"/>
  <c r="T3322" i="34"/>
  <c r="V3322" i="34"/>
  <c r="W3322" i="34"/>
  <c r="X3322" i="34"/>
  <c r="N3323" i="34"/>
  <c r="R3323" i="34"/>
  <c r="S3323" i="34"/>
  <c r="T3323" i="34"/>
  <c r="V3323" i="34"/>
  <c r="W3323" i="34"/>
  <c r="X3323" i="34"/>
  <c r="N3324" i="34"/>
  <c r="R3324" i="34"/>
  <c r="S3324" i="34"/>
  <c r="T3324" i="34"/>
  <c r="V3324" i="34"/>
  <c r="W3324" i="34"/>
  <c r="X3324" i="34"/>
  <c r="N3325" i="34"/>
  <c r="R3325" i="34"/>
  <c r="S3325" i="34"/>
  <c r="T3325" i="34"/>
  <c r="V3325" i="34"/>
  <c r="W3325" i="34"/>
  <c r="X3325" i="34"/>
  <c r="N3326" i="34"/>
  <c r="R3326" i="34"/>
  <c r="S3326" i="34"/>
  <c r="T3326" i="34"/>
  <c r="V3326" i="34"/>
  <c r="W3326" i="34"/>
  <c r="X3326" i="34"/>
  <c r="N3327" i="34"/>
  <c r="R3327" i="34"/>
  <c r="S3327" i="34"/>
  <c r="T3327" i="34"/>
  <c r="V3327" i="34"/>
  <c r="W3327" i="34"/>
  <c r="X3327" i="34"/>
  <c r="N3328" i="34"/>
  <c r="R3328" i="34"/>
  <c r="S3328" i="34"/>
  <c r="T3328" i="34"/>
  <c r="V3328" i="34"/>
  <c r="W3328" i="34"/>
  <c r="X3328" i="34"/>
  <c r="N3329" i="34"/>
  <c r="R3329" i="34"/>
  <c r="S3329" i="34"/>
  <c r="T3329" i="34"/>
  <c r="V3329" i="34"/>
  <c r="W3329" i="34"/>
  <c r="X3329" i="34"/>
  <c r="N3330" i="34"/>
  <c r="R3330" i="34"/>
  <c r="S3330" i="34"/>
  <c r="T3330" i="34"/>
  <c r="V3330" i="34"/>
  <c r="W3330" i="34"/>
  <c r="X3330" i="34"/>
  <c r="N3331" i="34"/>
  <c r="R3331" i="34"/>
  <c r="S3331" i="34"/>
  <c r="T3331" i="34"/>
  <c r="V3331" i="34"/>
  <c r="W3331" i="34"/>
  <c r="X3331" i="34"/>
  <c r="N3332" i="34"/>
  <c r="R3332" i="34"/>
  <c r="S3332" i="34"/>
  <c r="T3332" i="34"/>
  <c r="V3332" i="34"/>
  <c r="W3332" i="34"/>
  <c r="X3332" i="34"/>
  <c r="N3333" i="34"/>
  <c r="R3333" i="34"/>
  <c r="S3333" i="34"/>
  <c r="T3333" i="34"/>
  <c r="V3333" i="34"/>
  <c r="W3333" i="34"/>
  <c r="X3333" i="34"/>
  <c r="N3334" i="34"/>
  <c r="R3334" i="34"/>
  <c r="S3334" i="34"/>
  <c r="T3334" i="34"/>
  <c r="V3334" i="34"/>
  <c r="W3334" i="34"/>
  <c r="X3334" i="34"/>
  <c r="N3335" i="34"/>
  <c r="R3335" i="34"/>
  <c r="S3335" i="34"/>
  <c r="T3335" i="34"/>
  <c r="V3335" i="34"/>
  <c r="W3335" i="34"/>
  <c r="X3335" i="34"/>
  <c r="N3336" i="34"/>
  <c r="R3336" i="34"/>
  <c r="S3336" i="34"/>
  <c r="T3336" i="34"/>
  <c r="V3336" i="34"/>
  <c r="W3336" i="34"/>
  <c r="X3336" i="34"/>
  <c r="N3337" i="34"/>
  <c r="R3337" i="34"/>
  <c r="S3337" i="34"/>
  <c r="T3337" i="34"/>
  <c r="V3337" i="34"/>
  <c r="W3337" i="34"/>
  <c r="X3337" i="34"/>
  <c r="N3338" i="34"/>
  <c r="R3338" i="34"/>
  <c r="S3338" i="34"/>
  <c r="T3338" i="34"/>
  <c r="V3338" i="34"/>
  <c r="W3338" i="34"/>
  <c r="X3338" i="34"/>
  <c r="N3339" i="34"/>
  <c r="R3339" i="34"/>
  <c r="S3339" i="34"/>
  <c r="T3339" i="34"/>
  <c r="V3339" i="34"/>
  <c r="W3339" i="34"/>
  <c r="X3339" i="34"/>
  <c r="N3340" i="34"/>
  <c r="R3340" i="34"/>
  <c r="S3340" i="34"/>
  <c r="T3340" i="34"/>
  <c r="V3340" i="34"/>
  <c r="W3340" i="34"/>
  <c r="X3340" i="34"/>
  <c r="N3341" i="34"/>
  <c r="R3341" i="34"/>
  <c r="S3341" i="34"/>
  <c r="T3341" i="34"/>
  <c r="V3341" i="34"/>
  <c r="W3341" i="34"/>
  <c r="X3341" i="34"/>
  <c r="N3342" i="34"/>
  <c r="R3342" i="34"/>
  <c r="S3342" i="34"/>
  <c r="T3342" i="34"/>
  <c r="V3342" i="34"/>
  <c r="W3342" i="34"/>
  <c r="X3342" i="34"/>
  <c r="N3343" i="34"/>
  <c r="R3343" i="34"/>
  <c r="S3343" i="34"/>
  <c r="T3343" i="34"/>
  <c r="V3343" i="34"/>
  <c r="W3343" i="34"/>
  <c r="X3343" i="34"/>
  <c r="N3344" i="34"/>
  <c r="R3344" i="34"/>
  <c r="S3344" i="34"/>
  <c r="T3344" i="34"/>
  <c r="V3344" i="34"/>
  <c r="W3344" i="34"/>
  <c r="X3344" i="34"/>
  <c r="N3345" i="34"/>
  <c r="R3345" i="34"/>
  <c r="S3345" i="34"/>
  <c r="T3345" i="34"/>
  <c r="V3345" i="34"/>
  <c r="W3345" i="34"/>
  <c r="X3345" i="34"/>
  <c r="N3346" i="34"/>
  <c r="R3346" i="34"/>
  <c r="S3346" i="34"/>
  <c r="T3346" i="34"/>
  <c r="V3346" i="34"/>
  <c r="W3346" i="34"/>
  <c r="X3346" i="34"/>
  <c r="N3347" i="34"/>
  <c r="R3347" i="34"/>
  <c r="S3347" i="34"/>
  <c r="T3347" i="34"/>
  <c r="V3347" i="34"/>
  <c r="W3347" i="34"/>
  <c r="X3347" i="34"/>
  <c r="N3348" i="34"/>
  <c r="R3348" i="34"/>
  <c r="S3348" i="34"/>
  <c r="T3348" i="34"/>
  <c r="V3348" i="34"/>
  <c r="W3348" i="34"/>
  <c r="X3348" i="34"/>
  <c r="N3349" i="34"/>
  <c r="R3349" i="34"/>
  <c r="S3349" i="34"/>
  <c r="T3349" i="34"/>
  <c r="V3349" i="34"/>
  <c r="W3349" i="34"/>
  <c r="X3349" i="34"/>
  <c r="N3350" i="34"/>
  <c r="R3350" i="34"/>
  <c r="S3350" i="34"/>
  <c r="T3350" i="34"/>
  <c r="V3350" i="34"/>
  <c r="W3350" i="34"/>
  <c r="X3350" i="34"/>
  <c r="N3351" i="34"/>
  <c r="R3351" i="34"/>
  <c r="S3351" i="34"/>
  <c r="T3351" i="34"/>
  <c r="V3351" i="34"/>
  <c r="W3351" i="34"/>
  <c r="X3351" i="34"/>
  <c r="N3352" i="34"/>
  <c r="R3352" i="34"/>
  <c r="S3352" i="34"/>
  <c r="T3352" i="34"/>
  <c r="V3352" i="34"/>
  <c r="W3352" i="34"/>
  <c r="X3352" i="34"/>
  <c r="N3353" i="34"/>
  <c r="R3353" i="34"/>
  <c r="S3353" i="34"/>
  <c r="T3353" i="34"/>
  <c r="V3353" i="34"/>
  <c r="W3353" i="34"/>
  <c r="X3353" i="34"/>
  <c r="N3354" i="34"/>
  <c r="R3354" i="34"/>
  <c r="S3354" i="34"/>
  <c r="T3354" i="34"/>
  <c r="V3354" i="34"/>
  <c r="W3354" i="34"/>
  <c r="X3354" i="34"/>
  <c r="N3355" i="34"/>
  <c r="R3355" i="34"/>
  <c r="S3355" i="34"/>
  <c r="T3355" i="34"/>
  <c r="V3355" i="34"/>
  <c r="W3355" i="34"/>
  <c r="X3355" i="34"/>
  <c r="N3356" i="34"/>
  <c r="R3356" i="34"/>
  <c r="S3356" i="34"/>
  <c r="T3356" i="34"/>
  <c r="V3356" i="34"/>
  <c r="W3356" i="34"/>
  <c r="X3356" i="34"/>
  <c r="N3357" i="34"/>
  <c r="R3357" i="34"/>
  <c r="S3357" i="34"/>
  <c r="T3357" i="34"/>
  <c r="V3357" i="34"/>
  <c r="W3357" i="34"/>
  <c r="X3357" i="34"/>
  <c r="N3358" i="34"/>
  <c r="R3358" i="34"/>
  <c r="S3358" i="34"/>
  <c r="T3358" i="34"/>
  <c r="V3358" i="34"/>
  <c r="W3358" i="34"/>
  <c r="X3358" i="34"/>
  <c r="N3359" i="34"/>
  <c r="R3359" i="34"/>
  <c r="S3359" i="34"/>
  <c r="T3359" i="34"/>
  <c r="V3359" i="34"/>
  <c r="W3359" i="34"/>
  <c r="X3359" i="34"/>
  <c r="N3360" i="34"/>
  <c r="R3360" i="34"/>
  <c r="S3360" i="34"/>
  <c r="T3360" i="34"/>
  <c r="V3360" i="34"/>
  <c r="W3360" i="34"/>
  <c r="X3360" i="34"/>
  <c r="N3361" i="34"/>
  <c r="R3361" i="34"/>
  <c r="S3361" i="34"/>
  <c r="T3361" i="34"/>
  <c r="V3361" i="34"/>
  <c r="W3361" i="34"/>
  <c r="X3361" i="34"/>
  <c r="N3362" i="34"/>
  <c r="R3362" i="34"/>
  <c r="S3362" i="34"/>
  <c r="T3362" i="34"/>
  <c r="V3362" i="34"/>
  <c r="W3362" i="34"/>
  <c r="X3362" i="34"/>
  <c r="N3363" i="34"/>
  <c r="R3363" i="34"/>
  <c r="S3363" i="34"/>
  <c r="T3363" i="34"/>
  <c r="V3363" i="34"/>
  <c r="W3363" i="34"/>
  <c r="X3363" i="34"/>
  <c r="N3364" i="34"/>
  <c r="R3364" i="34"/>
  <c r="S3364" i="34"/>
  <c r="T3364" i="34"/>
  <c r="V3364" i="34"/>
  <c r="W3364" i="34"/>
  <c r="X3364" i="34"/>
  <c r="N3365" i="34"/>
  <c r="R3365" i="34"/>
  <c r="S3365" i="34"/>
  <c r="T3365" i="34"/>
  <c r="V3365" i="34"/>
  <c r="W3365" i="34"/>
  <c r="X3365" i="34"/>
  <c r="N3366" i="34"/>
  <c r="R3366" i="34"/>
  <c r="S3366" i="34"/>
  <c r="T3366" i="34"/>
  <c r="V3366" i="34"/>
  <c r="W3366" i="34"/>
  <c r="X3366" i="34"/>
  <c r="N3367" i="34"/>
  <c r="R3367" i="34"/>
  <c r="S3367" i="34"/>
  <c r="T3367" i="34"/>
  <c r="V3367" i="34"/>
  <c r="W3367" i="34"/>
  <c r="X3367" i="34"/>
  <c r="N3368" i="34"/>
  <c r="R3368" i="34"/>
  <c r="S3368" i="34"/>
  <c r="T3368" i="34"/>
  <c r="V3368" i="34"/>
  <c r="W3368" i="34"/>
  <c r="X3368" i="34"/>
  <c r="N3369" i="34"/>
  <c r="R3369" i="34"/>
  <c r="S3369" i="34"/>
  <c r="T3369" i="34"/>
  <c r="V3369" i="34"/>
  <c r="W3369" i="34"/>
  <c r="X3369" i="34"/>
  <c r="N3370" i="34"/>
  <c r="R3370" i="34"/>
  <c r="S3370" i="34"/>
  <c r="T3370" i="34"/>
  <c r="V3370" i="34"/>
  <c r="W3370" i="34"/>
  <c r="X3370" i="34"/>
  <c r="N3371" i="34"/>
  <c r="R3371" i="34"/>
  <c r="S3371" i="34"/>
  <c r="T3371" i="34"/>
  <c r="V3371" i="34"/>
  <c r="W3371" i="34"/>
  <c r="X3371" i="34"/>
  <c r="N3372" i="34"/>
  <c r="R3372" i="34"/>
  <c r="S3372" i="34"/>
  <c r="T3372" i="34"/>
  <c r="V3372" i="34"/>
  <c r="W3372" i="34"/>
  <c r="X3372" i="34"/>
  <c r="N3373" i="34"/>
  <c r="R3373" i="34"/>
  <c r="S3373" i="34"/>
  <c r="T3373" i="34"/>
  <c r="V3373" i="34"/>
  <c r="W3373" i="34"/>
  <c r="X3373" i="34"/>
  <c r="N3374" i="34"/>
  <c r="R3374" i="34"/>
  <c r="S3374" i="34"/>
  <c r="T3374" i="34"/>
  <c r="V3374" i="34"/>
  <c r="W3374" i="34"/>
  <c r="X3374" i="34"/>
  <c r="N3375" i="34"/>
  <c r="R3375" i="34"/>
  <c r="S3375" i="34"/>
  <c r="T3375" i="34"/>
  <c r="V3375" i="34"/>
  <c r="W3375" i="34"/>
  <c r="X3375" i="34"/>
  <c r="N3376" i="34"/>
  <c r="R3376" i="34"/>
  <c r="S3376" i="34"/>
  <c r="T3376" i="34"/>
  <c r="V3376" i="34"/>
  <c r="W3376" i="34"/>
  <c r="X3376" i="34"/>
  <c r="N3377" i="34"/>
  <c r="R3377" i="34"/>
  <c r="S3377" i="34"/>
  <c r="T3377" i="34"/>
  <c r="V3377" i="34"/>
  <c r="W3377" i="34"/>
  <c r="X3377" i="34"/>
  <c r="N3378" i="34"/>
  <c r="R3378" i="34"/>
  <c r="S3378" i="34"/>
  <c r="T3378" i="34"/>
  <c r="V3378" i="34"/>
  <c r="W3378" i="34"/>
  <c r="X3378" i="34"/>
  <c r="N3379" i="34"/>
  <c r="R3379" i="34"/>
  <c r="S3379" i="34"/>
  <c r="T3379" i="34"/>
  <c r="V3379" i="34"/>
  <c r="W3379" i="34"/>
  <c r="X3379" i="34"/>
  <c r="N3380" i="34"/>
  <c r="R3380" i="34"/>
  <c r="S3380" i="34"/>
  <c r="T3380" i="34"/>
  <c r="V3380" i="34"/>
  <c r="W3380" i="34"/>
  <c r="X3380" i="34"/>
  <c r="N3381" i="34"/>
  <c r="R3381" i="34"/>
  <c r="S3381" i="34"/>
  <c r="T3381" i="34"/>
  <c r="V3381" i="34"/>
  <c r="W3381" i="34"/>
  <c r="X3381" i="34"/>
  <c r="N3382" i="34"/>
  <c r="R3382" i="34"/>
  <c r="S3382" i="34"/>
  <c r="T3382" i="34"/>
  <c r="V3382" i="34"/>
  <c r="W3382" i="34"/>
  <c r="X3382" i="34"/>
  <c r="N3383" i="34"/>
  <c r="R3383" i="34"/>
  <c r="S3383" i="34"/>
  <c r="T3383" i="34"/>
  <c r="V3383" i="34"/>
  <c r="W3383" i="34"/>
  <c r="X3383" i="34"/>
  <c r="N3384" i="34"/>
  <c r="R3384" i="34"/>
  <c r="S3384" i="34"/>
  <c r="T3384" i="34"/>
  <c r="V3384" i="34"/>
  <c r="W3384" i="34"/>
  <c r="X3384" i="34"/>
  <c r="N3385" i="34"/>
  <c r="R3385" i="34"/>
  <c r="S3385" i="34"/>
  <c r="T3385" i="34"/>
  <c r="V3385" i="34"/>
  <c r="W3385" i="34"/>
  <c r="X3385" i="34"/>
  <c r="N3386" i="34"/>
  <c r="R3386" i="34"/>
  <c r="S3386" i="34"/>
  <c r="T3386" i="34"/>
  <c r="V3386" i="34"/>
  <c r="W3386" i="34"/>
  <c r="X3386" i="34"/>
  <c r="N3387" i="34"/>
  <c r="R3387" i="34"/>
  <c r="S3387" i="34"/>
  <c r="T3387" i="34"/>
  <c r="V3387" i="34"/>
  <c r="W3387" i="34"/>
  <c r="X3387" i="34"/>
  <c r="N3388" i="34"/>
  <c r="R3388" i="34"/>
  <c r="S3388" i="34"/>
  <c r="T3388" i="34"/>
  <c r="V3388" i="34"/>
  <c r="W3388" i="34"/>
  <c r="X3388" i="34"/>
  <c r="N3389" i="34"/>
  <c r="R3389" i="34"/>
  <c r="S3389" i="34"/>
  <c r="T3389" i="34"/>
  <c r="V3389" i="34"/>
  <c r="W3389" i="34"/>
  <c r="X3389" i="34"/>
  <c r="N3390" i="34"/>
  <c r="R3390" i="34"/>
  <c r="S3390" i="34"/>
  <c r="T3390" i="34"/>
  <c r="V3390" i="34"/>
  <c r="W3390" i="34"/>
  <c r="X3390" i="34"/>
  <c r="N3391" i="34"/>
  <c r="R3391" i="34"/>
  <c r="S3391" i="34"/>
  <c r="T3391" i="34"/>
  <c r="V3391" i="34"/>
  <c r="W3391" i="34"/>
  <c r="X3391" i="34"/>
  <c r="N3392" i="34"/>
  <c r="R3392" i="34"/>
  <c r="S3392" i="34"/>
  <c r="T3392" i="34"/>
  <c r="V3392" i="34"/>
  <c r="W3392" i="34"/>
  <c r="X3392" i="34"/>
  <c r="N3393" i="34"/>
  <c r="R3393" i="34"/>
  <c r="S3393" i="34"/>
  <c r="T3393" i="34"/>
  <c r="V3393" i="34"/>
  <c r="W3393" i="34"/>
  <c r="X3393" i="34"/>
  <c r="N3394" i="34"/>
  <c r="R3394" i="34"/>
  <c r="S3394" i="34"/>
  <c r="T3394" i="34"/>
  <c r="V3394" i="34"/>
  <c r="W3394" i="34"/>
  <c r="X3394" i="34"/>
  <c r="N3395" i="34"/>
  <c r="R3395" i="34"/>
  <c r="S3395" i="34"/>
  <c r="T3395" i="34"/>
  <c r="V3395" i="34"/>
  <c r="W3395" i="34"/>
  <c r="X3395" i="34"/>
  <c r="N3396" i="34"/>
  <c r="R3396" i="34"/>
  <c r="S3396" i="34"/>
  <c r="T3396" i="34"/>
  <c r="V3396" i="34"/>
  <c r="W3396" i="34"/>
  <c r="X3396" i="34"/>
  <c r="N3397" i="34"/>
  <c r="R3397" i="34"/>
  <c r="S3397" i="34"/>
  <c r="T3397" i="34"/>
  <c r="V3397" i="34"/>
  <c r="W3397" i="34"/>
  <c r="X3397" i="34"/>
  <c r="N3398" i="34"/>
  <c r="R3398" i="34"/>
  <c r="S3398" i="34"/>
  <c r="T3398" i="34"/>
  <c r="V3398" i="34"/>
  <c r="W3398" i="34"/>
  <c r="X3398" i="34"/>
  <c r="N3399" i="34"/>
  <c r="R3399" i="34"/>
  <c r="S3399" i="34"/>
  <c r="T3399" i="34"/>
  <c r="V3399" i="34"/>
  <c r="W3399" i="34"/>
  <c r="X3399" i="34"/>
  <c r="N3400" i="34"/>
  <c r="R3400" i="34"/>
  <c r="S3400" i="34"/>
  <c r="T3400" i="34"/>
  <c r="V3400" i="34"/>
  <c r="W3400" i="34"/>
  <c r="X3400" i="34"/>
  <c r="N3401" i="34"/>
  <c r="R3401" i="34"/>
  <c r="S3401" i="34"/>
  <c r="T3401" i="34"/>
  <c r="V3401" i="34"/>
  <c r="W3401" i="34"/>
  <c r="X3401" i="34"/>
  <c r="N3402" i="34"/>
  <c r="R3402" i="34"/>
  <c r="S3402" i="34"/>
  <c r="T3402" i="34"/>
  <c r="V3402" i="34"/>
  <c r="W3402" i="34"/>
  <c r="X3402" i="34"/>
  <c r="N3403" i="34"/>
  <c r="R3403" i="34"/>
  <c r="S3403" i="34"/>
  <c r="T3403" i="34"/>
  <c r="V3403" i="34"/>
  <c r="W3403" i="34"/>
  <c r="X3403" i="34"/>
  <c r="N3404" i="34"/>
  <c r="R3404" i="34"/>
  <c r="S3404" i="34"/>
  <c r="T3404" i="34"/>
  <c r="V3404" i="34"/>
  <c r="W3404" i="34"/>
  <c r="X3404" i="34"/>
  <c r="N3405" i="34"/>
  <c r="R3405" i="34"/>
  <c r="S3405" i="34"/>
  <c r="T3405" i="34"/>
  <c r="V3405" i="34"/>
  <c r="W3405" i="34"/>
  <c r="X3405" i="34"/>
  <c r="N3406" i="34"/>
  <c r="R3406" i="34"/>
  <c r="S3406" i="34"/>
  <c r="T3406" i="34"/>
  <c r="V3406" i="34"/>
  <c r="W3406" i="34"/>
  <c r="X3406" i="34"/>
  <c r="N3407" i="34"/>
  <c r="R3407" i="34"/>
  <c r="S3407" i="34"/>
  <c r="T3407" i="34"/>
  <c r="V3407" i="34"/>
  <c r="W3407" i="34"/>
  <c r="X3407" i="34"/>
  <c r="N3408" i="34"/>
  <c r="R3408" i="34"/>
  <c r="S3408" i="34"/>
  <c r="T3408" i="34"/>
  <c r="V3408" i="34"/>
  <c r="W3408" i="34"/>
  <c r="X3408" i="34"/>
  <c r="N3409" i="34"/>
  <c r="R3409" i="34"/>
  <c r="S3409" i="34"/>
  <c r="T3409" i="34"/>
  <c r="V3409" i="34"/>
  <c r="W3409" i="34"/>
  <c r="X3409" i="34"/>
  <c r="N3410" i="34"/>
  <c r="R3410" i="34"/>
  <c r="S3410" i="34"/>
  <c r="T3410" i="34"/>
  <c r="V3410" i="34"/>
  <c r="W3410" i="34"/>
  <c r="X3410" i="34"/>
  <c r="N3411" i="34"/>
  <c r="R3411" i="34"/>
  <c r="S3411" i="34"/>
  <c r="T3411" i="34"/>
  <c r="V3411" i="34"/>
  <c r="W3411" i="34"/>
  <c r="X3411" i="34"/>
  <c r="N3412" i="34"/>
  <c r="R3412" i="34"/>
  <c r="S3412" i="34"/>
  <c r="T3412" i="34"/>
  <c r="V3412" i="34"/>
  <c r="W3412" i="34"/>
  <c r="X3412" i="34"/>
  <c r="N3413" i="34"/>
  <c r="R3413" i="34"/>
  <c r="S3413" i="34"/>
  <c r="T3413" i="34"/>
  <c r="V3413" i="34"/>
  <c r="W3413" i="34"/>
  <c r="X3413" i="34"/>
  <c r="N3414" i="34"/>
  <c r="R3414" i="34"/>
  <c r="S3414" i="34"/>
  <c r="T3414" i="34"/>
  <c r="V3414" i="34"/>
  <c r="W3414" i="34"/>
  <c r="X3414" i="34"/>
  <c r="N3415" i="34"/>
  <c r="R3415" i="34"/>
  <c r="S3415" i="34"/>
  <c r="T3415" i="34"/>
  <c r="V3415" i="34"/>
  <c r="W3415" i="34"/>
  <c r="X3415" i="34"/>
  <c r="N3416" i="34"/>
  <c r="R3416" i="34"/>
  <c r="S3416" i="34"/>
  <c r="T3416" i="34"/>
  <c r="V3416" i="34"/>
  <c r="W3416" i="34"/>
  <c r="X3416" i="34"/>
  <c r="N3417" i="34"/>
  <c r="R3417" i="34"/>
  <c r="S3417" i="34"/>
  <c r="T3417" i="34"/>
  <c r="V3417" i="34"/>
  <c r="W3417" i="34"/>
  <c r="X3417" i="34"/>
  <c r="N3418" i="34"/>
  <c r="R3418" i="34"/>
  <c r="S3418" i="34"/>
  <c r="T3418" i="34"/>
  <c r="V3418" i="34"/>
  <c r="W3418" i="34"/>
  <c r="X3418" i="34"/>
  <c r="N3419" i="34"/>
  <c r="R3419" i="34"/>
  <c r="S3419" i="34"/>
  <c r="T3419" i="34"/>
  <c r="V3419" i="34"/>
  <c r="W3419" i="34"/>
  <c r="X3419" i="34"/>
  <c r="N3420" i="34"/>
  <c r="R3420" i="34"/>
  <c r="S3420" i="34"/>
  <c r="T3420" i="34"/>
  <c r="V3420" i="34"/>
  <c r="W3420" i="34"/>
  <c r="X3420" i="34"/>
  <c r="N3421" i="34"/>
  <c r="R3421" i="34"/>
  <c r="S3421" i="34"/>
  <c r="T3421" i="34"/>
  <c r="V3421" i="34"/>
  <c r="W3421" i="34"/>
  <c r="X3421" i="34"/>
  <c r="N3422" i="34"/>
  <c r="R3422" i="34"/>
  <c r="S3422" i="34"/>
  <c r="T3422" i="34"/>
  <c r="V3422" i="34"/>
  <c r="W3422" i="34"/>
  <c r="X3422" i="34"/>
  <c r="N3423" i="34"/>
  <c r="R3423" i="34"/>
  <c r="S3423" i="34"/>
  <c r="T3423" i="34"/>
  <c r="V3423" i="34"/>
  <c r="W3423" i="34"/>
  <c r="X3423" i="34"/>
  <c r="N3424" i="34"/>
  <c r="R3424" i="34"/>
  <c r="S3424" i="34"/>
  <c r="T3424" i="34"/>
  <c r="V3424" i="34"/>
  <c r="W3424" i="34"/>
  <c r="X3424" i="34"/>
  <c r="N3425" i="34"/>
  <c r="R3425" i="34"/>
  <c r="S3425" i="34"/>
  <c r="T3425" i="34"/>
  <c r="V3425" i="34"/>
  <c r="W3425" i="34"/>
  <c r="X3425" i="34"/>
  <c r="N3426" i="34"/>
  <c r="R3426" i="34"/>
  <c r="S3426" i="34"/>
  <c r="T3426" i="34"/>
  <c r="V3426" i="34"/>
  <c r="W3426" i="34"/>
  <c r="X3426" i="34"/>
  <c r="N3427" i="34"/>
  <c r="R3427" i="34"/>
  <c r="S3427" i="34"/>
  <c r="T3427" i="34"/>
  <c r="V3427" i="34"/>
  <c r="W3427" i="34"/>
  <c r="X3427" i="34"/>
  <c r="N3428" i="34"/>
  <c r="R3428" i="34"/>
  <c r="S3428" i="34"/>
  <c r="T3428" i="34"/>
  <c r="V3428" i="34"/>
  <c r="W3428" i="34"/>
  <c r="X3428" i="34"/>
  <c r="N3429" i="34"/>
  <c r="R3429" i="34"/>
  <c r="S3429" i="34"/>
  <c r="T3429" i="34"/>
  <c r="V3429" i="34"/>
  <c r="W3429" i="34"/>
  <c r="X3429" i="34"/>
  <c r="N3430" i="34"/>
  <c r="R3430" i="34"/>
  <c r="S3430" i="34"/>
  <c r="T3430" i="34"/>
  <c r="V3430" i="34"/>
  <c r="W3430" i="34"/>
  <c r="X3430" i="34"/>
  <c r="N3431" i="34"/>
  <c r="R3431" i="34"/>
  <c r="S3431" i="34"/>
  <c r="T3431" i="34"/>
  <c r="V3431" i="34"/>
  <c r="W3431" i="34"/>
  <c r="X3431" i="34"/>
  <c r="N3432" i="34"/>
  <c r="R3432" i="34"/>
  <c r="S3432" i="34"/>
  <c r="T3432" i="34"/>
  <c r="V3432" i="34"/>
  <c r="W3432" i="34"/>
  <c r="X3432" i="34"/>
  <c r="N3433" i="34"/>
  <c r="R3433" i="34"/>
  <c r="S3433" i="34"/>
  <c r="T3433" i="34"/>
  <c r="V3433" i="34"/>
  <c r="W3433" i="34"/>
  <c r="X3433" i="34"/>
  <c r="N3434" i="34"/>
  <c r="R3434" i="34"/>
  <c r="S3434" i="34"/>
  <c r="T3434" i="34"/>
  <c r="V3434" i="34"/>
  <c r="W3434" i="34"/>
  <c r="X3434" i="34"/>
  <c r="N3435" i="34"/>
  <c r="R3435" i="34"/>
  <c r="S3435" i="34"/>
  <c r="T3435" i="34"/>
  <c r="V3435" i="34"/>
  <c r="W3435" i="34"/>
  <c r="X3435" i="34"/>
  <c r="N3436" i="34"/>
  <c r="R3436" i="34"/>
  <c r="S3436" i="34"/>
  <c r="T3436" i="34"/>
  <c r="V3436" i="34"/>
  <c r="W3436" i="34"/>
  <c r="X3436" i="34"/>
  <c r="N3437" i="34"/>
  <c r="R3437" i="34"/>
  <c r="S3437" i="34"/>
  <c r="T3437" i="34"/>
  <c r="V3437" i="34"/>
  <c r="W3437" i="34"/>
  <c r="X3437" i="34"/>
  <c r="N3438" i="34"/>
  <c r="R3438" i="34"/>
  <c r="S3438" i="34"/>
  <c r="T3438" i="34"/>
  <c r="V3438" i="34"/>
  <c r="W3438" i="34"/>
  <c r="X3438" i="34"/>
  <c r="N3439" i="34"/>
  <c r="R3439" i="34"/>
  <c r="S3439" i="34"/>
  <c r="T3439" i="34"/>
  <c r="V3439" i="34"/>
  <c r="W3439" i="34"/>
  <c r="X3439" i="34"/>
  <c r="N3440" i="34"/>
  <c r="R3440" i="34"/>
  <c r="S3440" i="34"/>
  <c r="T3440" i="34"/>
  <c r="V3440" i="34"/>
  <c r="W3440" i="34"/>
  <c r="X3440" i="34"/>
  <c r="N3441" i="34"/>
  <c r="R3441" i="34"/>
  <c r="S3441" i="34"/>
  <c r="T3441" i="34"/>
  <c r="V3441" i="34"/>
  <c r="W3441" i="34"/>
  <c r="X3441" i="34"/>
  <c r="N3442" i="34"/>
  <c r="R3442" i="34"/>
  <c r="S3442" i="34"/>
  <c r="T3442" i="34"/>
  <c r="V3442" i="34"/>
  <c r="W3442" i="34"/>
  <c r="X3442" i="34"/>
  <c r="N3443" i="34"/>
  <c r="R3443" i="34"/>
  <c r="S3443" i="34"/>
  <c r="T3443" i="34"/>
  <c r="V3443" i="34"/>
  <c r="W3443" i="34"/>
  <c r="X3443" i="34"/>
  <c r="N3444" i="34"/>
  <c r="R3444" i="34"/>
  <c r="S3444" i="34"/>
  <c r="T3444" i="34"/>
  <c r="V3444" i="34"/>
  <c r="W3444" i="34"/>
  <c r="X3444" i="34"/>
  <c r="N3445" i="34"/>
  <c r="R3445" i="34"/>
  <c r="S3445" i="34"/>
  <c r="T3445" i="34"/>
  <c r="V3445" i="34"/>
  <c r="W3445" i="34"/>
  <c r="X3445" i="34"/>
  <c r="N3446" i="34"/>
  <c r="R3446" i="34"/>
  <c r="S3446" i="34"/>
  <c r="T3446" i="34"/>
  <c r="V3446" i="34"/>
  <c r="W3446" i="34"/>
  <c r="X3446" i="34"/>
  <c r="N3447" i="34"/>
  <c r="R3447" i="34"/>
  <c r="S3447" i="34"/>
  <c r="T3447" i="34"/>
  <c r="V3447" i="34"/>
  <c r="W3447" i="34"/>
  <c r="X3447" i="34"/>
  <c r="N3448" i="34"/>
  <c r="R3448" i="34"/>
  <c r="S3448" i="34"/>
  <c r="T3448" i="34"/>
  <c r="V3448" i="34"/>
  <c r="W3448" i="34"/>
  <c r="X3448" i="34"/>
  <c r="N3449" i="34"/>
  <c r="R3449" i="34"/>
  <c r="S3449" i="34"/>
  <c r="T3449" i="34"/>
  <c r="V3449" i="34"/>
  <c r="W3449" i="34"/>
  <c r="X3449" i="34"/>
  <c r="N3450" i="34"/>
  <c r="R3450" i="34"/>
  <c r="S3450" i="34"/>
  <c r="T3450" i="34"/>
  <c r="V3450" i="34"/>
  <c r="W3450" i="34"/>
  <c r="X3450" i="34"/>
  <c r="N3451" i="34"/>
  <c r="R3451" i="34"/>
  <c r="S3451" i="34"/>
  <c r="T3451" i="34"/>
  <c r="V3451" i="34"/>
  <c r="W3451" i="34"/>
  <c r="X3451" i="34"/>
  <c r="N3452" i="34"/>
  <c r="R3452" i="34"/>
  <c r="S3452" i="34"/>
  <c r="T3452" i="34"/>
  <c r="V3452" i="34"/>
  <c r="W3452" i="34"/>
  <c r="X3452" i="34"/>
  <c r="N3453" i="34"/>
  <c r="R3453" i="34"/>
  <c r="S3453" i="34"/>
  <c r="T3453" i="34"/>
  <c r="V3453" i="34"/>
  <c r="W3453" i="34"/>
  <c r="X3453" i="34"/>
  <c r="N3454" i="34"/>
  <c r="R3454" i="34"/>
  <c r="S3454" i="34"/>
  <c r="T3454" i="34"/>
  <c r="V3454" i="34"/>
  <c r="W3454" i="34"/>
  <c r="X3454" i="34"/>
  <c r="N3455" i="34"/>
  <c r="R3455" i="34"/>
  <c r="S3455" i="34"/>
  <c r="T3455" i="34"/>
  <c r="V3455" i="34"/>
  <c r="W3455" i="34"/>
  <c r="X3455" i="34"/>
  <c r="N3456" i="34"/>
  <c r="R3456" i="34"/>
  <c r="S3456" i="34"/>
  <c r="T3456" i="34"/>
  <c r="V3456" i="34"/>
  <c r="W3456" i="34"/>
  <c r="X3456" i="34"/>
  <c r="N3457" i="34"/>
  <c r="R3457" i="34"/>
  <c r="S3457" i="34"/>
  <c r="T3457" i="34"/>
  <c r="V3457" i="34"/>
  <c r="W3457" i="34"/>
  <c r="X3457" i="34"/>
  <c r="N3458" i="34"/>
  <c r="R3458" i="34"/>
  <c r="S3458" i="34"/>
  <c r="T3458" i="34"/>
  <c r="V3458" i="34"/>
  <c r="W3458" i="34"/>
  <c r="X3458" i="34"/>
  <c r="N3459" i="34"/>
  <c r="R3459" i="34"/>
  <c r="S3459" i="34"/>
  <c r="T3459" i="34"/>
  <c r="V3459" i="34"/>
  <c r="W3459" i="34"/>
  <c r="X3459" i="34"/>
  <c r="N3460" i="34"/>
  <c r="R3460" i="34"/>
  <c r="S3460" i="34"/>
  <c r="T3460" i="34"/>
  <c r="V3460" i="34"/>
  <c r="W3460" i="34"/>
  <c r="X3460" i="34"/>
  <c r="N3461" i="34"/>
  <c r="R3461" i="34"/>
  <c r="S3461" i="34"/>
  <c r="T3461" i="34"/>
  <c r="V3461" i="34"/>
  <c r="W3461" i="34"/>
  <c r="X3461" i="34"/>
  <c r="N3462" i="34"/>
  <c r="R3462" i="34"/>
  <c r="S3462" i="34"/>
  <c r="T3462" i="34"/>
  <c r="V3462" i="34"/>
  <c r="W3462" i="34"/>
  <c r="X3462" i="34"/>
  <c r="N3463" i="34"/>
  <c r="R3463" i="34"/>
  <c r="S3463" i="34"/>
  <c r="T3463" i="34"/>
  <c r="V3463" i="34"/>
  <c r="W3463" i="34"/>
  <c r="X3463" i="34"/>
  <c r="N3464" i="34"/>
  <c r="R3464" i="34"/>
  <c r="S3464" i="34"/>
  <c r="T3464" i="34"/>
  <c r="V3464" i="34"/>
  <c r="W3464" i="34"/>
  <c r="X3464" i="34"/>
  <c r="N3465" i="34"/>
  <c r="R3465" i="34"/>
  <c r="S3465" i="34"/>
  <c r="T3465" i="34"/>
  <c r="V3465" i="34"/>
  <c r="W3465" i="34"/>
  <c r="X3465" i="34"/>
  <c r="N3466" i="34"/>
  <c r="R3466" i="34"/>
  <c r="S3466" i="34"/>
  <c r="T3466" i="34"/>
  <c r="V3466" i="34"/>
  <c r="W3466" i="34"/>
  <c r="X3466" i="34"/>
  <c r="N3467" i="34"/>
  <c r="R3467" i="34"/>
  <c r="S3467" i="34"/>
  <c r="T3467" i="34"/>
  <c r="V3467" i="34"/>
  <c r="W3467" i="34"/>
  <c r="X3467" i="34"/>
  <c r="N3468" i="34"/>
  <c r="R3468" i="34"/>
  <c r="S3468" i="34"/>
  <c r="T3468" i="34"/>
  <c r="V3468" i="34"/>
  <c r="W3468" i="34"/>
  <c r="X3468" i="34"/>
  <c r="N3469" i="34"/>
  <c r="R3469" i="34"/>
  <c r="S3469" i="34"/>
  <c r="T3469" i="34"/>
  <c r="V3469" i="34"/>
  <c r="W3469" i="34"/>
  <c r="X3469" i="34"/>
  <c r="N3470" i="34"/>
  <c r="R3470" i="34"/>
  <c r="S3470" i="34"/>
  <c r="T3470" i="34"/>
  <c r="V3470" i="34"/>
  <c r="W3470" i="34"/>
  <c r="X3470" i="34"/>
  <c r="N3471" i="34"/>
  <c r="R3471" i="34"/>
  <c r="S3471" i="34"/>
  <c r="T3471" i="34"/>
  <c r="V3471" i="34"/>
  <c r="W3471" i="34"/>
  <c r="X3471" i="34"/>
  <c r="N3472" i="34"/>
  <c r="R3472" i="34"/>
  <c r="S3472" i="34"/>
  <c r="T3472" i="34"/>
  <c r="V3472" i="34"/>
  <c r="W3472" i="34"/>
  <c r="X3472" i="34"/>
  <c r="N3473" i="34"/>
  <c r="R3473" i="34"/>
  <c r="S3473" i="34"/>
  <c r="T3473" i="34"/>
  <c r="V3473" i="34"/>
  <c r="W3473" i="34"/>
  <c r="X3473" i="34"/>
  <c r="N3474" i="34"/>
  <c r="R3474" i="34"/>
  <c r="S3474" i="34"/>
  <c r="T3474" i="34"/>
  <c r="V3474" i="34"/>
  <c r="W3474" i="34"/>
  <c r="X3474" i="34"/>
  <c r="N3475" i="34"/>
  <c r="R3475" i="34"/>
  <c r="S3475" i="34"/>
  <c r="T3475" i="34"/>
  <c r="V3475" i="34"/>
  <c r="W3475" i="34"/>
  <c r="X3475" i="34"/>
  <c r="N3476" i="34"/>
  <c r="R3476" i="34"/>
  <c r="S3476" i="34"/>
  <c r="T3476" i="34"/>
  <c r="V3476" i="34"/>
  <c r="W3476" i="34"/>
  <c r="X3476" i="34"/>
  <c r="N3477" i="34"/>
  <c r="R3477" i="34"/>
  <c r="S3477" i="34"/>
  <c r="T3477" i="34"/>
  <c r="V3477" i="34"/>
  <c r="W3477" i="34"/>
  <c r="X3477" i="34"/>
  <c r="N3478" i="34"/>
  <c r="R3478" i="34"/>
  <c r="S3478" i="34"/>
  <c r="T3478" i="34"/>
  <c r="V3478" i="34"/>
  <c r="W3478" i="34"/>
  <c r="X3478" i="34"/>
  <c r="N3479" i="34"/>
  <c r="R3479" i="34"/>
  <c r="S3479" i="34"/>
  <c r="T3479" i="34"/>
  <c r="V3479" i="34"/>
  <c r="W3479" i="34"/>
  <c r="X3479" i="34"/>
  <c r="N3480" i="34"/>
  <c r="R3480" i="34"/>
  <c r="S3480" i="34"/>
  <c r="T3480" i="34"/>
  <c r="V3480" i="34"/>
  <c r="W3480" i="34"/>
  <c r="X3480" i="34"/>
  <c r="N3481" i="34"/>
  <c r="R3481" i="34"/>
  <c r="S3481" i="34"/>
  <c r="T3481" i="34"/>
  <c r="V3481" i="34"/>
  <c r="W3481" i="34"/>
  <c r="X3481" i="34"/>
  <c r="N3482" i="34"/>
  <c r="R3482" i="34"/>
  <c r="S3482" i="34"/>
  <c r="T3482" i="34"/>
  <c r="V3482" i="34"/>
  <c r="W3482" i="34"/>
  <c r="X3482" i="34"/>
  <c r="N3483" i="34"/>
  <c r="R3483" i="34"/>
  <c r="S3483" i="34"/>
  <c r="T3483" i="34"/>
  <c r="V3483" i="34"/>
  <c r="W3483" i="34"/>
  <c r="X3483" i="34"/>
  <c r="N3484" i="34"/>
  <c r="R3484" i="34"/>
  <c r="S3484" i="34"/>
  <c r="T3484" i="34"/>
  <c r="V3484" i="34"/>
  <c r="W3484" i="34"/>
  <c r="X3484" i="34"/>
  <c r="N3485" i="34"/>
  <c r="R3485" i="34"/>
  <c r="S3485" i="34"/>
  <c r="T3485" i="34"/>
  <c r="V3485" i="34"/>
  <c r="W3485" i="34"/>
  <c r="X3485" i="34"/>
  <c r="N3486" i="34"/>
  <c r="R3486" i="34"/>
  <c r="S3486" i="34"/>
  <c r="T3486" i="34"/>
  <c r="V3486" i="34"/>
  <c r="W3486" i="34"/>
  <c r="X3486" i="34"/>
  <c r="N3487" i="34"/>
  <c r="R3487" i="34"/>
  <c r="S3487" i="34"/>
  <c r="T3487" i="34"/>
  <c r="V3487" i="34"/>
  <c r="W3487" i="34"/>
  <c r="X3487" i="34"/>
  <c r="N3488" i="34"/>
  <c r="R3488" i="34"/>
  <c r="S3488" i="34"/>
  <c r="T3488" i="34"/>
  <c r="V3488" i="34"/>
  <c r="W3488" i="34"/>
  <c r="X3488" i="34"/>
  <c r="N3489" i="34"/>
  <c r="R3489" i="34"/>
  <c r="S3489" i="34"/>
  <c r="T3489" i="34"/>
  <c r="V3489" i="34"/>
  <c r="W3489" i="34"/>
  <c r="X3489" i="34"/>
  <c r="N3490" i="34"/>
  <c r="R3490" i="34"/>
  <c r="S3490" i="34"/>
  <c r="T3490" i="34"/>
  <c r="V3490" i="34"/>
  <c r="W3490" i="34"/>
  <c r="X3490" i="34"/>
  <c r="N3491" i="34"/>
  <c r="R3491" i="34"/>
  <c r="S3491" i="34"/>
  <c r="T3491" i="34"/>
  <c r="V3491" i="34"/>
  <c r="W3491" i="34"/>
  <c r="X3491" i="34"/>
  <c r="N3492" i="34"/>
  <c r="R3492" i="34"/>
  <c r="S3492" i="34"/>
  <c r="T3492" i="34"/>
  <c r="V3492" i="34"/>
  <c r="W3492" i="34"/>
  <c r="X3492" i="34"/>
  <c r="N3493" i="34"/>
  <c r="R3493" i="34"/>
  <c r="S3493" i="34"/>
  <c r="T3493" i="34"/>
  <c r="V3493" i="34"/>
  <c r="W3493" i="34"/>
  <c r="X3493" i="34"/>
  <c r="N3494" i="34"/>
  <c r="R3494" i="34"/>
  <c r="S3494" i="34"/>
  <c r="T3494" i="34"/>
  <c r="V3494" i="34"/>
  <c r="W3494" i="34"/>
  <c r="X3494" i="34"/>
  <c r="N3495" i="34"/>
  <c r="R3495" i="34"/>
  <c r="S3495" i="34"/>
  <c r="T3495" i="34"/>
  <c r="V3495" i="34"/>
  <c r="W3495" i="34"/>
  <c r="X3495" i="34"/>
  <c r="N3496" i="34"/>
  <c r="R3496" i="34"/>
  <c r="S3496" i="34"/>
  <c r="T3496" i="34"/>
  <c r="V3496" i="34"/>
  <c r="W3496" i="34"/>
  <c r="X3496" i="34"/>
  <c r="N3497" i="34"/>
  <c r="R3497" i="34"/>
  <c r="S3497" i="34"/>
  <c r="T3497" i="34"/>
  <c r="V3497" i="34"/>
  <c r="W3497" i="34"/>
  <c r="X3497" i="34"/>
  <c r="N3498" i="34"/>
  <c r="R3498" i="34"/>
  <c r="S3498" i="34"/>
  <c r="T3498" i="34"/>
  <c r="V3498" i="34"/>
  <c r="W3498" i="34"/>
  <c r="X3498" i="34"/>
  <c r="N3499" i="34"/>
  <c r="R3499" i="34"/>
  <c r="S3499" i="34"/>
  <c r="T3499" i="34"/>
  <c r="V3499" i="34"/>
  <c r="W3499" i="34"/>
  <c r="X3499" i="34"/>
  <c r="N3500" i="34"/>
  <c r="R3500" i="34"/>
  <c r="S3500" i="34"/>
  <c r="T3500" i="34"/>
  <c r="V3500" i="34"/>
  <c r="W3500" i="34"/>
  <c r="X3500" i="34"/>
  <c r="N3501" i="34"/>
  <c r="R3501" i="34"/>
  <c r="S3501" i="34"/>
  <c r="T3501" i="34"/>
  <c r="V3501" i="34"/>
  <c r="W3501" i="34"/>
  <c r="X3501" i="34"/>
  <c r="N3502" i="34"/>
  <c r="R3502" i="34"/>
  <c r="S3502" i="34"/>
  <c r="T3502" i="34"/>
  <c r="V3502" i="34"/>
  <c r="W3502" i="34"/>
  <c r="X3502" i="34"/>
  <c r="N3503" i="34"/>
  <c r="R3503" i="34"/>
  <c r="S3503" i="34"/>
  <c r="T3503" i="34"/>
  <c r="V3503" i="34"/>
  <c r="W3503" i="34"/>
  <c r="X3503" i="34"/>
  <c r="N3504" i="34"/>
  <c r="R3504" i="34"/>
  <c r="S3504" i="34"/>
  <c r="T3504" i="34"/>
  <c r="V3504" i="34"/>
  <c r="W3504" i="34"/>
  <c r="X3504" i="34"/>
  <c r="N3505" i="34"/>
  <c r="R3505" i="34"/>
  <c r="S3505" i="34"/>
  <c r="T3505" i="34"/>
  <c r="V3505" i="34"/>
  <c r="W3505" i="34"/>
  <c r="X3505" i="34"/>
  <c r="N3506" i="34"/>
  <c r="R3506" i="34"/>
  <c r="S3506" i="34"/>
  <c r="T3506" i="34"/>
  <c r="V3506" i="34"/>
  <c r="W3506" i="34"/>
  <c r="X3506" i="34"/>
  <c r="N3507" i="34"/>
  <c r="R3507" i="34"/>
  <c r="S3507" i="34"/>
  <c r="T3507" i="34"/>
  <c r="V3507" i="34"/>
  <c r="W3507" i="34"/>
  <c r="X3507" i="34"/>
  <c r="N3508" i="34"/>
  <c r="R3508" i="34"/>
  <c r="S3508" i="34"/>
  <c r="T3508" i="34"/>
  <c r="V3508" i="34"/>
  <c r="W3508" i="34"/>
  <c r="X3508" i="34"/>
  <c r="N3509" i="34"/>
  <c r="R3509" i="34"/>
  <c r="S3509" i="34"/>
  <c r="T3509" i="34"/>
  <c r="V3509" i="34"/>
  <c r="W3509" i="34"/>
  <c r="X3509" i="34"/>
  <c r="N3510" i="34"/>
  <c r="R3510" i="34"/>
  <c r="S3510" i="34"/>
  <c r="T3510" i="34"/>
  <c r="V3510" i="34"/>
  <c r="W3510" i="34"/>
  <c r="X3510" i="34"/>
  <c r="N3511" i="34"/>
  <c r="R3511" i="34"/>
  <c r="S3511" i="34"/>
  <c r="T3511" i="34"/>
  <c r="V3511" i="34"/>
  <c r="W3511" i="34"/>
  <c r="X3511" i="34"/>
  <c r="N3512" i="34"/>
  <c r="R3512" i="34"/>
  <c r="S3512" i="34"/>
  <c r="T3512" i="34"/>
  <c r="V3512" i="34"/>
  <c r="W3512" i="34"/>
  <c r="X3512" i="34"/>
  <c r="N3513" i="34"/>
  <c r="R3513" i="34"/>
  <c r="S3513" i="34"/>
  <c r="T3513" i="34"/>
  <c r="V3513" i="34"/>
  <c r="W3513" i="34"/>
  <c r="X3513" i="34"/>
  <c r="N3514" i="34"/>
  <c r="R3514" i="34"/>
  <c r="S3514" i="34"/>
  <c r="T3514" i="34"/>
  <c r="V3514" i="34"/>
  <c r="W3514" i="34"/>
  <c r="X3514" i="34"/>
  <c r="N3515" i="34"/>
  <c r="R3515" i="34"/>
  <c r="S3515" i="34"/>
  <c r="T3515" i="34"/>
  <c r="V3515" i="34"/>
  <c r="W3515" i="34"/>
  <c r="X3515" i="34"/>
  <c r="N3516" i="34"/>
  <c r="R3516" i="34"/>
  <c r="S3516" i="34"/>
  <c r="T3516" i="34"/>
  <c r="V3516" i="34"/>
  <c r="W3516" i="34"/>
  <c r="X3516" i="34"/>
  <c r="N3517" i="34"/>
  <c r="R3517" i="34"/>
  <c r="S3517" i="34"/>
  <c r="T3517" i="34"/>
  <c r="V3517" i="34"/>
  <c r="W3517" i="34"/>
  <c r="X3517" i="34"/>
  <c r="N3518" i="34"/>
  <c r="R3518" i="34"/>
  <c r="S3518" i="34"/>
  <c r="T3518" i="34"/>
  <c r="V3518" i="34"/>
  <c r="W3518" i="34"/>
  <c r="X3518" i="34"/>
  <c r="N3519" i="34"/>
  <c r="R3519" i="34"/>
  <c r="S3519" i="34"/>
  <c r="T3519" i="34"/>
  <c r="V3519" i="34"/>
  <c r="W3519" i="34"/>
  <c r="X3519" i="34"/>
  <c r="N3520" i="34"/>
  <c r="R3520" i="34"/>
  <c r="S3520" i="34"/>
  <c r="T3520" i="34"/>
  <c r="V3520" i="34"/>
  <c r="W3520" i="34"/>
  <c r="X3520" i="34"/>
  <c r="N3521" i="34"/>
  <c r="R3521" i="34"/>
  <c r="S3521" i="34"/>
  <c r="T3521" i="34"/>
  <c r="V3521" i="34"/>
  <c r="W3521" i="34"/>
  <c r="X3521" i="34"/>
  <c r="N3522" i="34"/>
  <c r="R3522" i="34"/>
  <c r="S3522" i="34"/>
  <c r="T3522" i="34"/>
  <c r="V3522" i="34"/>
  <c r="W3522" i="34"/>
  <c r="X3522" i="34"/>
  <c r="N3523" i="34"/>
  <c r="R3523" i="34"/>
  <c r="S3523" i="34"/>
  <c r="T3523" i="34"/>
  <c r="V3523" i="34"/>
  <c r="W3523" i="34"/>
  <c r="X3523" i="34"/>
  <c r="N3524" i="34"/>
  <c r="R3524" i="34"/>
  <c r="S3524" i="34"/>
  <c r="T3524" i="34"/>
  <c r="V3524" i="34"/>
  <c r="W3524" i="34"/>
  <c r="X3524" i="34"/>
  <c r="N3525" i="34"/>
  <c r="R3525" i="34"/>
  <c r="S3525" i="34"/>
  <c r="T3525" i="34"/>
  <c r="V3525" i="34"/>
  <c r="W3525" i="34"/>
  <c r="X3525" i="34"/>
  <c r="N3526" i="34"/>
  <c r="R3526" i="34"/>
  <c r="S3526" i="34"/>
  <c r="T3526" i="34"/>
  <c r="V3526" i="34"/>
  <c r="W3526" i="34"/>
  <c r="X3526" i="34"/>
  <c r="N3527" i="34"/>
  <c r="R3527" i="34"/>
  <c r="S3527" i="34"/>
  <c r="T3527" i="34"/>
  <c r="V3527" i="34"/>
  <c r="W3527" i="34"/>
  <c r="X3527" i="34"/>
  <c r="N3528" i="34"/>
  <c r="R3528" i="34"/>
  <c r="S3528" i="34"/>
  <c r="T3528" i="34"/>
  <c r="V3528" i="34"/>
  <c r="W3528" i="34"/>
  <c r="X3528" i="34"/>
  <c r="N3529" i="34"/>
  <c r="R3529" i="34"/>
  <c r="S3529" i="34"/>
  <c r="T3529" i="34"/>
  <c r="V3529" i="34"/>
  <c r="W3529" i="34"/>
  <c r="X3529" i="34"/>
  <c r="N3530" i="34"/>
  <c r="R3530" i="34"/>
  <c r="S3530" i="34"/>
  <c r="T3530" i="34"/>
  <c r="V3530" i="34"/>
  <c r="W3530" i="34"/>
  <c r="X3530" i="34"/>
  <c r="N3531" i="34"/>
  <c r="R3531" i="34"/>
  <c r="S3531" i="34"/>
  <c r="T3531" i="34"/>
  <c r="V3531" i="34"/>
  <c r="W3531" i="34"/>
  <c r="X3531" i="34"/>
  <c r="N3532" i="34"/>
  <c r="R3532" i="34"/>
  <c r="S3532" i="34"/>
  <c r="T3532" i="34"/>
  <c r="V3532" i="34"/>
  <c r="W3532" i="34"/>
  <c r="X3532" i="34"/>
  <c r="N3533" i="34"/>
  <c r="R3533" i="34"/>
  <c r="S3533" i="34"/>
  <c r="T3533" i="34"/>
  <c r="V3533" i="34"/>
  <c r="W3533" i="34"/>
  <c r="X3533" i="34"/>
  <c r="N3534" i="34"/>
  <c r="R3534" i="34"/>
  <c r="S3534" i="34"/>
  <c r="T3534" i="34"/>
  <c r="V3534" i="34"/>
  <c r="W3534" i="34"/>
  <c r="X3534" i="34"/>
  <c r="N3535" i="34"/>
  <c r="R3535" i="34"/>
  <c r="S3535" i="34"/>
  <c r="T3535" i="34"/>
  <c r="V3535" i="34"/>
  <c r="W3535" i="34"/>
  <c r="X3535" i="34"/>
  <c r="N3536" i="34"/>
  <c r="R3536" i="34"/>
  <c r="S3536" i="34"/>
  <c r="T3536" i="34"/>
  <c r="V3536" i="34"/>
  <c r="W3536" i="34"/>
  <c r="X3536" i="34"/>
  <c r="N3537" i="34"/>
  <c r="R3537" i="34"/>
  <c r="S3537" i="34"/>
  <c r="T3537" i="34"/>
  <c r="V3537" i="34"/>
  <c r="W3537" i="34"/>
  <c r="X3537" i="34"/>
  <c r="N3538" i="34"/>
  <c r="R3538" i="34"/>
  <c r="S3538" i="34"/>
  <c r="T3538" i="34"/>
  <c r="V3538" i="34"/>
  <c r="W3538" i="34"/>
  <c r="X3538" i="34"/>
  <c r="N3539" i="34"/>
  <c r="R3539" i="34"/>
  <c r="S3539" i="34"/>
  <c r="T3539" i="34"/>
  <c r="V3539" i="34"/>
  <c r="W3539" i="34"/>
  <c r="X3539" i="34"/>
  <c r="N3540" i="34"/>
  <c r="R3540" i="34"/>
  <c r="S3540" i="34"/>
  <c r="T3540" i="34"/>
  <c r="V3540" i="34"/>
  <c r="W3540" i="34"/>
  <c r="X3540" i="34"/>
  <c r="N3541" i="34"/>
  <c r="R3541" i="34"/>
  <c r="S3541" i="34"/>
  <c r="T3541" i="34"/>
  <c r="V3541" i="34"/>
  <c r="W3541" i="34"/>
  <c r="X3541" i="34"/>
  <c r="N3542" i="34"/>
  <c r="R3542" i="34"/>
  <c r="S3542" i="34"/>
  <c r="T3542" i="34"/>
  <c r="V3542" i="34"/>
  <c r="W3542" i="34"/>
  <c r="X3542" i="34"/>
  <c r="N3543" i="34"/>
  <c r="R3543" i="34"/>
  <c r="S3543" i="34"/>
  <c r="T3543" i="34"/>
  <c r="V3543" i="34"/>
  <c r="W3543" i="34"/>
  <c r="X3543" i="34"/>
  <c r="N3544" i="34"/>
  <c r="R3544" i="34"/>
  <c r="S3544" i="34"/>
  <c r="T3544" i="34"/>
  <c r="V3544" i="34"/>
  <c r="W3544" i="34"/>
  <c r="X3544" i="34"/>
  <c r="N3545" i="34"/>
  <c r="R3545" i="34"/>
  <c r="S3545" i="34"/>
  <c r="T3545" i="34"/>
  <c r="V3545" i="34"/>
  <c r="W3545" i="34"/>
  <c r="X3545" i="34"/>
  <c r="N3546" i="34"/>
  <c r="R3546" i="34"/>
  <c r="S3546" i="34"/>
  <c r="T3546" i="34"/>
  <c r="V3546" i="34"/>
  <c r="W3546" i="34"/>
  <c r="X3546" i="34"/>
  <c r="N3547" i="34"/>
  <c r="R3547" i="34"/>
  <c r="S3547" i="34"/>
  <c r="T3547" i="34"/>
  <c r="V3547" i="34"/>
  <c r="W3547" i="34"/>
  <c r="X3547" i="34"/>
  <c r="N3548" i="34"/>
  <c r="R3548" i="34"/>
  <c r="S3548" i="34"/>
  <c r="T3548" i="34"/>
  <c r="V3548" i="34"/>
  <c r="W3548" i="34"/>
  <c r="X3548" i="34"/>
  <c r="N3549" i="34"/>
  <c r="R3549" i="34"/>
  <c r="S3549" i="34"/>
  <c r="T3549" i="34"/>
  <c r="V3549" i="34"/>
  <c r="W3549" i="34"/>
  <c r="X3549" i="34"/>
  <c r="N3550" i="34"/>
  <c r="R3550" i="34"/>
  <c r="S3550" i="34"/>
  <c r="T3550" i="34"/>
  <c r="V3550" i="34"/>
  <c r="W3550" i="34"/>
  <c r="X3550" i="34"/>
  <c r="N3551" i="34"/>
  <c r="R3551" i="34"/>
  <c r="S3551" i="34"/>
  <c r="T3551" i="34"/>
  <c r="V3551" i="34"/>
  <c r="W3551" i="34"/>
  <c r="X3551" i="34"/>
  <c r="N3552" i="34"/>
  <c r="R3552" i="34"/>
  <c r="S3552" i="34"/>
  <c r="T3552" i="34"/>
  <c r="V3552" i="34"/>
  <c r="W3552" i="34"/>
  <c r="X3552" i="34"/>
  <c r="N3553" i="34"/>
  <c r="R3553" i="34"/>
  <c r="S3553" i="34"/>
  <c r="T3553" i="34"/>
  <c r="V3553" i="34"/>
  <c r="W3553" i="34"/>
  <c r="X3553" i="34"/>
  <c r="N3554" i="34"/>
  <c r="R3554" i="34"/>
  <c r="S3554" i="34"/>
  <c r="T3554" i="34"/>
  <c r="V3554" i="34"/>
  <c r="W3554" i="34"/>
  <c r="X3554" i="34"/>
  <c r="N3555" i="34"/>
  <c r="R3555" i="34"/>
  <c r="S3555" i="34"/>
  <c r="T3555" i="34"/>
  <c r="V3555" i="34"/>
  <c r="W3555" i="34"/>
  <c r="X3555" i="34"/>
  <c r="N3556" i="34"/>
  <c r="R3556" i="34"/>
  <c r="S3556" i="34"/>
  <c r="T3556" i="34"/>
  <c r="V3556" i="34"/>
  <c r="W3556" i="34"/>
  <c r="X3556" i="34"/>
  <c r="N3557" i="34"/>
  <c r="R3557" i="34"/>
  <c r="S3557" i="34"/>
  <c r="T3557" i="34"/>
  <c r="V3557" i="34"/>
  <c r="W3557" i="34"/>
  <c r="X3557" i="34"/>
  <c r="N3558" i="34"/>
  <c r="R3558" i="34"/>
  <c r="S3558" i="34"/>
  <c r="T3558" i="34"/>
  <c r="V3558" i="34"/>
  <c r="W3558" i="34"/>
  <c r="X3558" i="34"/>
  <c r="N3559" i="34"/>
  <c r="R3559" i="34"/>
  <c r="S3559" i="34"/>
  <c r="T3559" i="34"/>
  <c r="V3559" i="34"/>
  <c r="W3559" i="34"/>
  <c r="X3559" i="34"/>
  <c r="N3560" i="34"/>
  <c r="R3560" i="34"/>
  <c r="S3560" i="34"/>
  <c r="T3560" i="34"/>
  <c r="V3560" i="34"/>
  <c r="W3560" i="34"/>
  <c r="X3560" i="34"/>
  <c r="N3561" i="34"/>
  <c r="R3561" i="34"/>
  <c r="S3561" i="34"/>
  <c r="T3561" i="34"/>
  <c r="V3561" i="34"/>
  <c r="W3561" i="34"/>
  <c r="X3561" i="34"/>
  <c r="N3562" i="34"/>
  <c r="R3562" i="34"/>
  <c r="S3562" i="34"/>
  <c r="T3562" i="34"/>
  <c r="V3562" i="34"/>
  <c r="W3562" i="34"/>
  <c r="X3562" i="34"/>
  <c r="N3563" i="34"/>
  <c r="R3563" i="34"/>
  <c r="S3563" i="34"/>
  <c r="T3563" i="34"/>
  <c r="V3563" i="34"/>
  <c r="W3563" i="34"/>
  <c r="X3563" i="34"/>
  <c r="N3564" i="34"/>
  <c r="R3564" i="34"/>
  <c r="S3564" i="34"/>
  <c r="T3564" i="34"/>
  <c r="V3564" i="34"/>
  <c r="W3564" i="34"/>
  <c r="X3564" i="34"/>
  <c r="N3565" i="34"/>
  <c r="R3565" i="34"/>
  <c r="S3565" i="34"/>
  <c r="T3565" i="34"/>
  <c r="V3565" i="34"/>
  <c r="W3565" i="34"/>
  <c r="X3565" i="34"/>
  <c r="N3566" i="34"/>
  <c r="R3566" i="34"/>
  <c r="S3566" i="34"/>
  <c r="T3566" i="34"/>
  <c r="V3566" i="34"/>
  <c r="W3566" i="34"/>
  <c r="X3566" i="34"/>
  <c r="N3567" i="34"/>
  <c r="R3567" i="34"/>
  <c r="S3567" i="34"/>
  <c r="T3567" i="34"/>
  <c r="V3567" i="34"/>
  <c r="W3567" i="34"/>
  <c r="X3567" i="34"/>
  <c r="N3568" i="34"/>
  <c r="R3568" i="34"/>
  <c r="S3568" i="34"/>
  <c r="T3568" i="34"/>
  <c r="V3568" i="34"/>
  <c r="W3568" i="34"/>
  <c r="X3568" i="34"/>
  <c r="N3569" i="34"/>
  <c r="R3569" i="34"/>
  <c r="S3569" i="34"/>
  <c r="T3569" i="34"/>
  <c r="V3569" i="34"/>
  <c r="W3569" i="34"/>
  <c r="X3569" i="34"/>
  <c r="N3570" i="34"/>
  <c r="R3570" i="34"/>
  <c r="S3570" i="34"/>
  <c r="T3570" i="34"/>
  <c r="V3570" i="34"/>
  <c r="W3570" i="34"/>
  <c r="X3570" i="34"/>
  <c r="N3571" i="34"/>
  <c r="R3571" i="34"/>
  <c r="S3571" i="34"/>
  <c r="T3571" i="34"/>
  <c r="V3571" i="34"/>
  <c r="W3571" i="34"/>
  <c r="X3571" i="34"/>
  <c r="N3572" i="34"/>
  <c r="R3572" i="34"/>
  <c r="S3572" i="34"/>
  <c r="T3572" i="34"/>
  <c r="V3572" i="34"/>
  <c r="W3572" i="34"/>
  <c r="X3572" i="34"/>
  <c r="N3573" i="34"/>
  <c r="R3573" i="34"/>
  <c r="S3573" i="34"/>
  <c r="T3573" i="34"/>
  <c r="V3573" i="34"/>
  <c r="W3573" i="34"/>
  <c r="X3573" i="34"/>
  <c r="N3574" i="34"/>
  <c r="R3574" i="34"/>
  <c r="S3574" i="34"/>
  <c r="T3574" i="34"/>
  <c r="V3574" i="34"/>
  <c r="W3574" i="34"/>
  <c r="X3574" i="34"/>
  <c r="N3575" i="34"/>
  <c r="R3575" i="34"/>
  <c r="S3575" i="34"/>
  <c r="T3575" i="34"/>
  <c r="V3575" i="34"/>
  <c r="W3575" i="34"/>
  <c r="X3575" i="34"/>
  <c r="N3576" i="34"/>
  <c r="R3576" i="34"/>
  <c r="S3576" i="34"/>
  <c r="T3576" i="34"/>
  <c r="V3576" i="34"/>
  <c r="W3576" i="34"/>
  <c r="X3576" i="34"/>
  <c r="N3577" i="34"/>
  <c r="R3577" i="34"/>
  <c r="S3577" i="34"/>
  <c r="T3577" i="34"/>
  <c r="V3577" i="34"/>
  <c r="W3577" i="34"/>
  <c r="X3577" i="34"/>
  <c r="N3578" i="34"/>
  <c r="R3578" i="34"/>
  <c r="S3578" i="34"/>
  <c r="T3578" i="34"/>
  <c r="V3578" i="34"/>
  <c r="W3578" i="34"/>
  <c r="X3578" i="34"/>
  <c r="N3579" i="34"/>
  <c r="R3579" i="34"/>
  <c r="S3579" i="34"/>
  <c r="T3579" i="34"/>
  <c r="V3579" i="34"/>
  <c r="W3579" i="34"/>
  <c r="X3579" i="34"/>
  <c r="N3580" i="34"/>
  <c r="R3580" i="34"/>
  <c r="S3580" i="34"/>
  <c r="T3580" i="34"/>
  <c r="V3580" i="34"/>
  <c r="W3580" i="34"/>
  <c r="X3580" i="34"/>
  <c r="N3581" i="34"/>
  <c r="R3581" i="34"/>
  <c r="S3581" i="34"/>
  <c r="T3581" i="34"/>
  <c r="V3581" i="34"/>
  <c r="W3581" i="34"/>
  <c r="X3581" i="34"/>
  <c r="N3582" i="34"/>
  <c r="R3582" i="34"/>
  <c r="S3582" i="34"/>
  <c r="T3582" i="34"/>
  <c r="V3582" i="34"/>
  <c r="W3582" i="34"/>
  <c r="X3582" i="34"/>
  <c r="N3583" i="34"/>
  <c r="R3583" i="34"/>
  <c r="S3583" i="34"/>
  <c r="T3583" i="34"/>
  <c r="V3583" i="34"/>
  <c r="W3583" i="34"/>
  <c r="X3583" i="34"/>
  <c r="N3584" i="34"/>
  <c r="R3584" i="34"/>
  <c r="S3584" i="34"/>
  <c r="T3584" i="34"/>
  <c r="V3584" i="34"/>
  <c r="W3584" i="34"/>
  <c r="X3584" i="34"/>
  <c r="N3585" i="34"/>
  <c r="R3585" i="34"/>
  <c r="S3585" i="34"/>
  <c r="T3585" i="34"/>
  <c r="V3585" i="34"/>
  <c r="W3585" i="34"/>
  <c r="X3585" i="34"/>
  <c r="N3586" i="34"/>
  <c r="R3586" i="34"/>
  <c r="S3586" i="34"/>
  <c r="T3586" i="34"/>
  <c r="V3586" i="34"/>
  <c r="W3586" i="34"/>
  <c r="X3586" i="34"/>
  <c r="N3587" i="34"/>
  <c r="R3587" i="34"/>
  <c r="S3587" i="34"/>
  <c r="T3587" i="34"/>
  <c r="V3587" i="34"/>
  <c r="W3587" i="34"/>
  <c r="X3587" i="34"/>
  <c r="N3588" i="34"/>
  <c r="R3588" i="34"/>
  <c r="S3588" i="34"/>
  <c r="T3588" i="34"/>
  <c r="V3588" i="34"/>
  <c r="W3588" i="34"/>
  <c r="X3588" i="34"/>
  <c r="N3589" i="34"/>
  <c r="R3589" i="34"/>
  <c r="S3589" i="34"/>
  <c r="T3589" i="34"/>
  <c r="V3589" i="34"/>
  <c r="W3589" i="34"/>
  <c r="X3589" i="34"/>
  <c r="N3590" i="34"/>
  <c r="R3590" i="34"/>
  <c r="S3590" i="34"/>
  <c r="T3590" i="34"/>
  <c r="V3590" i="34"/>
  <c r="W3590" i="34"/>
  <c r="X3590" i="34"/>
  <c r="N3591" i="34"/>
  <c r="R3591" i="34"/>
  <c r="S3591" i="34"/>
  <c r="T3591" i="34"/>
  <c r="V3591" i="34"/>
  <c r="W3591" i="34"/>
  <c r="X3591" i="34"/>
  <c r="N3592" i="34"/>
  <c r="R3592" i="34"/>
  <c r="S3592" i="34"/>
  <c r="T3592" i="34"/>
  <c r="V3592" i="34"/>
  <c r="W3592" i="34"/>
  <c r="X3592" i="34"/>
  <c r="N3593" i="34"/>
  <c r="R3593" i="34"/>
  <c r="S3593" i="34"/>
  <c r="T3593" i="34"/>
  <c r="V3593" i="34"/>
  <c r="W3593" i="34"/>
  <c r="X3593" i="34"/>
  <c r="N3594" i="34"/>
  <c r="R3594" i="34"/>
  <c r="S3594" i="34"/>
  <c r="T3594" i="34"/>
  <c r="V3594" i="34"/>
  <c r="W3594" i="34"/>
  <c r="X3594" i="34"/>
  <c r="N3595" i="34"/>
  <c r="R3595" i="34"/>
  <c r="S3595" i="34"/>
  <c r="T3595" i="34"/>
  <c r="V3595" i="34"/>
  <c r="W3595" i="34"/>
  <c r="X3595" i="34"/>
  <c r="N3596" i="34"/>
  <c r="R3596" i="34"/>
  <c r="S3596" i="34"/>
  <c r="T3596" i="34"/>
  <c r="V3596" i="34"/>
  <c r="W3596" i="34"/>
  <c r="X3596" i="34"/>
  <c r="N3597" i="34"/>
  <c r="R3597" i="34"/>
  <c r="S3597" i="34"/>
  <c r="T3597" i="34"/>
  <c r="V3597" i="34"/>
  <c r="W3597" i="34"/>
  <c r="X3597" i="34"/>
  <c r="N3598" i="34"/>
  <c r="R3598" i="34"/>
  <c r="S3598" i="34"/>
  <c r="T3598" i="34"/>
  <c r="V3598" i="34"/>
  <c r="W3598" i="34"/>
  <c r="X3598" i="34"/>
  <c r="N3599" i="34"/>
  <c r="R3599" i="34"/>
  <c r="S3599" i="34"/>
  <c r="T3599" i="34"/>
  <c r="V3599" i="34"/>
  <c r="W3599" i="34"/>
  <c r="X3599" i="34"/>
  <c r="N3600" i="34"/>
  <c r="R3600" i="34"/>
  <c r="S3600" i="34"/>
  <c r="T3600" i="34"/>
  <c r="V3600" i="34"/>
  <c r="W3600" i="34"/>
  <c r="X3600" i="34"/>
  <c r="N3601" i="34"/>
  <c r="R3601" i="34"/>
  <c r="S3601" i="34"/>
  <c r="T3601" i="34"/>
  <c r="V3601" i="34"/>
  <c r="W3601" i="34"/>
  <c r="X3601" i="34"/>
  <c r="N3602" i="34"/>
  <c r="R3602" i="34"/>
  <c r="S3602" i="34"/>
  <c r="T3602" i="34"/>
  <c r="V3602" i="34"/>
  <c r="W3602" i="34"/>
  <c r="X3602" i="34"/>
  <c r="N3603" i="34"/>
  <c r="R3603" i="34"/>
  <c r="S3603" i="34"/>
  <c r="T3603" i="34"/>
  <c r="V3603" i="34"/>
  <c r="W3603" i="34"/>
  <c r="X3603" i="34"/>
  <c r="N3604" i="34"/>
  <c r="R3604" i="34"/>
  <c r="S3604" i="34"/>
  <c r="T3604" i="34"/>
  <c r="V3604" i="34"/>
  <c r="W3604" i="34"/>
  <c r="X3604" i="34"/>
  <c r="N3605" i="34"/>
  <c r="R3605" i="34"/>
  <c r="S3605" i="34"/>
  <c r="T3605" i="34"/>
  <c r="V3605" i="34"/>
  <c r="W3605" i="34"/>
  <c r="X3605" i="34"/>
  <c r="N3606" i="34"/>
  <c r="R3606" i="34"/>
  <c r="S3606" i="34"/>
  <c r="T3606" i="34"/>
  <c r="V3606" i="34"/>
  <c r="W3606" i="34"/>
  <c r="X3606" i="34"/>
  <c r="N3607" i="34"/>
  <c r="R3607" i="34"/>
  <c r="S3607" i="34"/>
  <c r="T3607" i="34"/>
  <c r="V3607" i="34"/>
  <c r="W3607" i="34"/>
  <c r="X3607" i="34"/>
  <c r="N3608" i="34"/>
  <c r="R3608" i="34"/>
  <c r="S3608" i="34"/>
  <c r="T3608" i="34"/>
  <c r="V3608" i="34"/>
  <c r="W3608" i="34"/>
  <c r="X3608" i="34"/>
  <c r="N3609" i="34"/>
  <c r="R3609" i="34"/>
  <c r="S3609" i="34"/>
  <c r="T3609" i="34"/>
  <c r="V3609" i="34"/>
  <c r="W3609" i="34"/>
  <c r="X3609" i="34"/>
  <c r="N3610" i="34"/>
  <c r="R3610" i="34"/>
  <c r="S3610" i="34"/>
  <c r="T3610" i="34"/>
  <c r="V3610" i="34"/>
  <c r="W3610" i="34"/>
  <c r="X3610" i="34"/>
  <c r="N3611" i="34"/>
  <c r="R3611" i="34"/>
  <c r="S3611" i="34"/>
  <c r="T3611" i="34"/>
  <c r="V3611" i="34"/>
  <c r="W3611" i="34"/>
  <c r="X3611" i="34"/>
  <c r="N3612" i="34"/>
  <c r="R3612" i="34"/>
  <c r="S3612" i="34"/>
  <c r="T3612" i="34"/>
  <c r="V3612" i="34"/>
  <c r="W3612" i="34"/>
  <c r="X3612" i="34"/>
  <c r="N3613" i="34"/>
  <c r="R3613" i="34"/>
  <c r="S3613" i="34"/>
  <c r="T3613" i="34"/>
  <c r="V3613" i="34"/>
  <c r="W3613" i="34"/>
  <c r="X3613" i="34"/>
  <c r="N3614" i="34"/>
  <c r="R3614" i="34"/>
  <c r="S3614" i="34"/>
  <c r="T3614" i="34"/>
  <c r="V3614" i="34"/>
  <c r="W3614" i="34"/>
  <c r="X3614" i="34"/>
  <c r="N3615" i="34"/>
  <c r="R3615" i="34"/>
  <c r="S3615" i="34"/>
  <c r="T3615" i="34"/>
  <c r="V3615" i="34"/>
  <c r="W3615" i="34"/>
  <c r="X3615" i="34"/>
  <c r="N3616" i="34"/>
  <c r="R3616" i="34"/>
  <c r="S3616" i="34"/>
  <c r="T3616" i="34"/>
  <c r="V3616" i="34"/>
  <c r="W3616" i="34"/>
  <c r="X3616" i="34"/>
  <c r="N3617" i="34"/>
  <c r="R3617" i="34"/>
  <c r="S3617" i="34"/>
  <c r="T3617" i="34"/>
  <c r="V3617" i="34"/>
  <c r="W3617" i="34"/>
  <c r="X3617" i="34"/>
  <c r="N3618" i="34"/>
  <c r="R3618" i="34"/>
  <c r="S3618" i="34"/>
  <c r="T3618" i="34"/>
  <c r="V3618" i="34"/>
  <c r="W3618" i="34"/>
  <c r="X3618" i="34"/>
  <c r="N3619" i="34"/>
  <c r="R3619" i="34"/>
  <c r="S3619" i="34"/>
  <c r="T3619" i="34"/>
  <c r="V3619" i="34"/>
  <c r="W3619" i="34"/>
  <c r="X3619" i="34"/>
  <c r="N3620" i="34"/>
  <c r="R3620" i="34"/>
  <c r="S3620" i="34"/>
  <c r="T3620" i="34"/>
  <c r="V3620" i="34"/>
  <c r="W3620" i="34"/>
  <c r="X3620" i="34"/>
  <c r="N3621" i="34"/>
  <c r="R3621" i="34"/>
  <c r="S3621" i="34"/>
  <c r="T3621" i="34"/>
  <c r="V3621" i="34"/>
  <c r="W3621" i="34"/>
  <c r="X3621" i="34"/>
  <c r="N3622" i="34"/>
  <c r="R3622" i="34"/>
  <c r="S3622" i="34"/>
  <c r="T3622" i="34"/>
  <c r="V3622" i="34"/>
  <c r="W3622" i="34"/>
  <c r="X3622" i="34"/>
  <c r="N3623" i="34"/>
  <c r="R3623" i="34"/>
  <c r="S3623" i="34"/>
  <c r="T3623" i="34"/>
  <c r="V3623" i="34"/>
  <c r="W3623" i="34"/>
  <c r="X3623" i="34"/>
  <c r="N3624" i="34"/>
  <c r="R3624" i="34"/>
  <c r="S3624" i="34"/>
  <c r="T3624" i="34"/>
  <c r="V3624" i="34"/>
  <c r="W3624" i="34"/>
  <c r="X3624" i="34"/>
  <c r="N3625" i="34"/>
  <c r="R3625" i="34"/>
  <c r="S3625" i="34"/>
  <c r="T3625" i="34"/>
  <c r="V3625" i="34"/>
  <c r="W3625" i="34"/>
  <c r="X3625" i="34"/>
  <c r="N3626" i="34"/>
  <c r="R3626" i="34"/>
  <c r="S3626" i="34"/>
  <c r="T3626" i="34"/>
  <c r="V3626" i="34"/>
  <c r="W3626" i="34"/>
  <c r="X3626" i="34"/>
  <c r="N3627" i="34"/>
  <c r="R3627" i="34"/>
  <c r="S3627" i="34"/>
  <c r="T3627" i="34"/>
  <c r="V3627" i="34"/>
  <c r="W3627" i="34"/>
  <c r="X3627" i="34"/>
  <c r="N3628" i="34"/>
  <c r="R3628" i="34"/>
  <c r="S3628" i="34"/>
  <c r="T3628" i="34"/>
  <c r="V3628" i="34"/>
  <c r="W3628" i="34"/>
  <c r="X3628" i="34"/>
  <c r="N3629" i="34"/>
  <c r="R3629" i="34"/>
  <c r="S3629" i="34"/>
  <c r="T3629" i="34"/>
  <c r="V3629" i="34"/>
  <c r="W3629" i="34"/>
  <c r="X3629" i="34"/>
  <c r="N3630" i="34"/>
  <c r="R3630" i="34"/>
  <c r="S3630" i="34"/>
  <c r="T3630" i="34"/>
  <c r="V3630" i="34"/>
  <c r="W3630" i="34"/>
  <c r="X3630" i="34"/>
  <c r="N3631" i="34"/>
  <c r="R3631" i="34"/>
  <c r="S3631" i="34"/>
  <c r="T3631" i="34"/>
  <c r="V3631" i="34"/>
  <c r="W3631" i="34"/>
  <c r="X3631" i="34"/>
  <c r="N3632" i="34"/>
  <c r="R3632" i="34"/>
  <c r="S3632" i="34"/>
  <c r="T3632" i="34"/>
  <c r="V3632" i="34"/>
  <c r="W3632" i="34"/>
  <c r="X3632" i="34"/>
  <c r="N3633" i="34"/>
  <c r="R3633" i="34"/>
  <c r="S3633" i="34"/>
  <c r="T3633" i="34"/>
  <c r="V3633" i="34"/>
  <c r="W3633" i="34"/>
  <c r="X3633" i="34"/>
  <c r="N3634" i="34"/>
  <c r="R3634" i="34"/>
  <c r="S3634" i="34"/>
  <c r="T3634" i="34"/>
  <c r="V3634" i="34"/>
  <c r="W3634" i="34"/>
  <c r="X3634" i="34"/>
  <c r="N3635" i="34"/>
  <c r="R3635" i="34"/>
  <c r="S3635" i="34"/>
  <c r="T3635" i="34"/>
  <c r="V3635" i="34"/>
  <c r="W3635" i="34"/>
  <c r="X3635" i="34"/>
  <c r="N3636" i="34"/>
  <c r="R3636" i="34"/>
  <c r="S3636" i="34"/>
  <c r="T3636" i="34"/>
  <c r="V3636" i="34"/>
  <c r="W3636" i="34"/>
  <c r="X3636" i="34"/>
  <c r="N3637" i="34"/>
  <c r="R3637" i="34"/>
  <c r="S3637" i="34"/>
  <c r="T3637" i="34"/>
  <c r="V3637" i="34"/>
  <c r="W3637" i="34"/>
  <c r="X3637" i="34"/>
  <c r="N3638" i="34"/>
  <c r="R3638" i="34"/>
  <c r="S3638" i="34"/>
  <c r="T3638" i="34"/>
  <c r="V3638" i="34"/>
  <c r="W3638" i="34"/>
  <c r="X3638" i="34"/>
  <c r="N3639" i="34"/>
  <c r="R3639" i="34"/>
  <c r="S3639" i="34"/>
  <c r="T3639" i="34"/>
  <c r="V3639" i="34"/>
  <c r="W3639" i="34"/>
  <c r="X3639" i="34"/>
  <c r="N3640" i="34"/>
  <c r="R3640" i="34"/>
  <c r="S3640" i="34"/>
  <c r="T3640" i="34"/>
  <c r="V3640" i="34"/>
  <c r="W3640" i="34"/>
  <c r="X3640" i="34"/>
  <c r="N3641" i="34"/>
  <c r="R3641" i="34"/>
  <c r="S3641" i="34"/>
  <c r="T3641" i="34"/>
  <c r="V3641" i="34"/>
  <c r="W3641" i="34"/>
  <c r="X3641" i="34"/>
  <c r="N3642" i="34"/>
  <c r="R3642" i="34"/>
  <c r="S3642" i="34"/>
  <c r="T3642" i="34"/>
  <c r="V3642" i="34"/>
  <c r="W3642" i="34"/>
  <c r="X3642" i="34"/>
  <c r="N3643" i="34"/>
  <c r="R3643" i="34"/>
  <c r="S3643" i="34"/>
  <c r="T3643" i="34"/>
  <c r="V3643" i="34"/>
  <c r="W3643" i="34"/>
  <c r="X3643" i="34"/>
  <c r="N3644" i="34"/>
  <c r="R3644" i="34"/>
  <c r="S3644" i="34"/>
  <c r="T3644" i="34"/>
  <c r="V3644" i="34"/>
  <c r="W3644" i="34"/>
  <c r="X3644" i="34"/>
  <c r="N3645" i="34"/>
  <c r="R3645" i="34"/>
  <c r="S3645" i="34"/>
  <c r="T3645" i="34"/>
  <c r="V3645" i="34"/>
  <c r="W3645" i="34"/>
  <c r="X3645" i="34"/>
  <c r="N3646" i="34"/>
  <c r="R3646" i="34"/>
  <c r="S3646" i="34"/>
  <c r="T3646" i="34"/>
  <c r="V3646" i="34"/>
  <c r="W3646" i="34"/>
  <c r="X3646" i="34"/>
  <c r="N3647" i="34"/>
  <c r="R3647" i="34"/>
  <c r="S3647" i="34"/>
  <c r="T3647" i="34"/>
  <c r="V3647" i="34"/>
  <c r="W3647" i="34"/>
  <c r="X3647" i="34"/>
  <c r="N3648" i="34"/>
  <c r="R3648" i="34"/>
  <c r="S3648" i="34"/>
  <c r="T3648" i="34"/>
  <c r="V3648" i="34"/>
  <c r="W3648" i="34"/>
  <c r="X3648" i="34"/>
  <c r="N3649" i="34"/>
  <c r="R3649" i="34"/>
  <c r="S3649" i="34"/>
  <c r="T3649" i="34"/>
  <c r="V3649" i="34"/>
  <c r="W3649" i="34"/>
  <c r="X3649" i="34"/>
  <c r="N3650" i="34"/>
  <c r="R3650" i="34"/>
  <c r="S3650" i="34"/>
  <c r="T3650" i="34"/>
  <c r="V3650" i="34"/>
  <c r="W3650" i="34"/>
  <c r="X3650" i="34"/>
  <c r="N3651" i="34"/>
  <c r="R3651" i="34"/>
  <c r="S3651" i="34"/>
  <c r="T3651" i="34"/>
  <c r="V3651" i="34"/>
  <c r="W3651" i="34"/>
  <c r="X3651" i="34"/>
  <c r="N3652" i="34"/>
  <c r="R3652" i="34"/>
  <c r="S3652" i="34"/>
  <c r="T3652" i="34"/>
  <c r="V3652" i="34"/>
  <c r="W3652" i="34"/>
  <c r="X3652" i="34"/>
  <c r="N3653" i="34"/>
  <c r="R3653" i="34"/>
  <c r="S3653" i="34"/>
  <c r="T3653" i="34"/>
  <c r="V3653" i="34"/>
  <c r="W3653" i="34"/>
  <c r="X3653" i="34"/>
  <c r="N3654" i="34"/>
  <c r="R3654" i="34"/>
  <c r="S3654" i="34"/>
  <c r="T3654" i="34"/>
  <c r="V3654" i="34"/>
  <c r="W3654" i="34"/>
  <c r="X3654" i="34"/>
  <c r="N3655" i="34"/>
  <c r="R3655" i="34"/>
  <c r="S3655" i="34"/>
  <c r="T3655" i="34"/>
  <c r="V3655" i="34"/>
  <c r="W3655" i="34"/>
  <c r="X3655" i="34"/>
  <c r="N3656" i="34"/>
  <c r="R3656" i="34"/>
  <c r="S3656" i="34"/>
  <c r="T3656" i="34"/>
  <c r="V3656" i="34"/>
  <c r="W3656" i="34"/>
  <c r="X3656" i="34"/>
  <c r="N3657" i="34"/>
  <c r="R3657" i="34"/>
  <c r="S3657" i="34"/>
  <c r="T3657" i="34"/>
  <c r="V3657" i="34"/>
  <c r="W3657" i="34"/>
  <c r="X3657" i="34"/>
  <c r="N3658" i="34"/>
  <c r="R3658" i="34"/>
  <c r="S3658" i="34"/>
  <c r="T3658" i="34"/>
  <c r="V3658" i="34"/>
  <c r="W3658" i="34"/>
  <c r="X3658" i="34"/>
  <c r="N3659" i="34"/>
  <c r="R3659" i="34"/>
  <c r="S3659" i="34"/>
  <c r="T3659" i="34"/>
  <c r="V3659" i="34"/>
  <c r="W3659" i="34"/>
  <c r="X3659" i="34"/>
  <c r="N3660" i="34"/>
  <c r="R3660" i="34"/>
  <c r="S3660" i="34"/>
  <c r="T3660" i="34"/>
  <c r="V3660" i="34"/>
  <c r="W3660" i="34"/>
  <c r="X3660" i="34"/>
  <c r="N3661" i="34"/>
  <c r="R3661" i="34"/>
  <c r="S3661" i="34"/>
  <c r="T3661" i="34"/>
  <c r="V3661" i="34"/>
  <c r="W3661" i="34"/>
  <c r="X3661" i="34"/>
  <c r="N3662" i="34"/>
  <c r="R3662" i="34"/>
  <c r="S3662" i="34"/>
  <c r="T3662" i="34"/>
  <c r="V3662" i="34"/>
  <c r="W3662" i="34"/>
  <c r="X3662" i="34"/>
  <c r="N3663" i="34"/>
  <c r="R3663" i="34"/>
  <c r="S3663" i="34"/>
  <c r="T3663" i="34"/>
  <c r="V3663" i="34"/>
  <c r="W3663" i="34"/>
  <c r="X3663" i="34"/>
  <c r="N3664" i="34"/>
  <c r="R3664" i="34"/>
  <c r="S3664" i="34"/>
  <c r="T3664" i="34"/>
  <c r="V3664" i="34"/>
  <c r="W3664" i="34"/>
  <c r="X3664" i="34"/>
  <c r="N3665" i="34"/>
  <c r="R3665" i="34"/>
  <c r="S3665" i="34"/>
  <c r="T3665" i="34"/>
  <c r="V3665" i="34"/>
  <c r="W3665" i="34"/>
  <c r="X3665" i="34"/>
  <c r="N3666" i="34"/>
  <c r="R3666" i="34"/>
  <c r="S3666" i="34"/>
  <c r="T3666" i="34"/>
  <c r="V3666" i="34"/>
  <c r="W3666" i="34"/>
  <c r="X3666" i="34"/>
  <c r="N3667" i="34"/>
  <c r="R3667" i="34"/>
  <c r="S3667" i="34"/>
  <c r="T3667" i="34"/>
  <c r="V3667" i="34"/>
  <c r="W3667" i="34"/>
  <c r="X3667" i="34"/>
  <c r="N3668" i="34"/>
  <c r="R3668" i="34"/>
  <c r="S3668" i="34"/>
  <c r="T3668" i="34"/>
  <c r="V3668" i="34"/>
  <c r="W3668" i="34"/>
  <c r="X3668" i="34"/>
  <c r="N3669" i="34"/>
  <c r="R3669" i="34"/>
  <c r="S3669" i="34"/>
  <c r="T3669" i="34"/>
  <c r="V3669" i="34"/>
  <c r="W3669" i="34"/>
  <c r="X3669" i="34"/>
  <c r="N3670" i="34"/>
  <c r="R3670" i="34"/>
  <c r="S3670" i="34"/>
  <c r="T3670" i="34"/>
  <c r="V3670" i="34"/>
  <c r="W3670" i="34"/>
  <c r="X3670" i="34"/>
  <c r="N3671" i="34"/>
  <c r="R3671" i="34"/>
  <c r="S3671" i="34"/>
  <c r="T3671" i="34"/>
  <c r="V3671" i="34"/>
  <c r="W3671" i="34"/>
  <c r="X3671" i="34"/>
  <c r="N3672" i="34"/>
  <c r="R3672" i="34"/>
  <c r="S3672" i="34"/>
  <c r="T3672" i="34"/>
  <c r="V3672" i="34"/>
  <c r="W3672" i="34"/>
  <c r="X3672" i="34"/>
  <c r="N3673" i="34"/>
  <c r="R3673" i="34"/>
  <c r="S3673" i="34"/>
  <c r="T3673" i="34"/>
  <c r="V3673" i="34"/>
  <c r="W3673" i="34"/>
  <c r="X3673" i="34"/>
  <c r="N3674" i="34"/>
  <c r="R3674" i="34"/>
  <c r="S3674" i="34"/>
  <c r="T3674" i="34"/>
  <c r="V3674" i="34"/>
  <c r="W3674" i="34"/>
  <c r="X3674" i="34"/>
  <c r="N3675" i="34"/>
  <c r="R3675" i="34"/>
  <c r="S3675" i="34"/>
  <c r="T3675" i="34"/>
  <c r="V3675" i="34"/>
  <c r="W3675" i="34"/>
  <c r="X3675" i="34"/>
  <c r="N3676" i="34"/>
  <c r="R3676" i="34"/>
  <c r="S3676" i="34"/>
  <c r="T3676" i="34"/>
  <c r="V3676" i="34"/>
  <c r="W3676" i="34"/>
  <c r="X3676" i="34"/>
  <c r="N3677" i="34"/>
  <c r="R3677" i="34"/>
  <c r="S3677" i="34"/>
  <c r="T3677" i="34"/>
  <c r="V3677" i="34"/>
  <c r="W3677" i="34"/>
  <c r="X3677" i="34"/>
  <c r="N3678" i="34"/>
  <c r="R3678" i="34"/>
  <c r="S3678" i="34"/>
  <c r="T3678" i="34"/>
  <c r="V3678" i="34"/>
  <c r="W3678" i="34"/>
  <c r="X3678" i="34"/>
  <c r="N3679" i="34"/>
  <c r="R3679" i="34"/>
  <c r="S3679" i="34"/>
  <c r="T3679" i="34"/>
  <c r="V3679" i="34"/>
  <c r="W3679" i="34"/>
  <c r="X3679" i="34"/>
  <c r="N3680" i="34"/>
  <c r="R3680" i="34"/>
  <c r="S3680" i="34"/>
  <c r="T3680" i="34"/>
  <c r="V3680" i="34"/>
  <c r="W3680" i="34"/>
  <c r="X3680" i="34"/>
  <c r="N3681" i="34"/>
  <c r="R3681" i="34"/>
  <c r="S3681" i="34"/>
  <c r="T3681" i="34"/>
  <c r="V3681" i="34"/>
  <c r="W3681" i="34"/>
  <c r="X3681" i="34"/>
  <c r="N3682" i="34"/>
  <c r="R3682" i="34"/>
  <c r="S3682" i="34"/>
  <c r="T3682" i="34"/>
  <c r="V3682" i="34"/>
  <c r="W3682" i="34"/>
  <c r="X3682" i="34"/>
  <c r="N3683" i="34"/>
  <c r="R3683" i="34"/>
  <c r="S3683" i="34"/>
  <c r="T3683" i="34"/>
  <c r="V3683" i="34"/>
  <c r="W3683" i="34"/>
  <c r="X3683" i="34"/>
  <c r="N3684" i="34"/>
  <c r="R3684" i="34"/>
  <c r="S3684" i="34"/>
  <c r="T3684" i="34"/>
  <c r="V3684" i="34"/>
  <c r="W3684" i="34"/>
  <c r="X3684" i="34"/>
  <c r="N3685" i="34"/>
  <c r="R3685" i="34"/>
  <c r="S3685" i="34"/>
  <c r="T3685" i="34"/>
  <c r="V3685" i="34"/>
  <c r="W3685" i="34"/>
  <c r="X3685" i="34"/>
  <c r="N3686" i="34"/>
  <c r="R3686" i="34"/>
  <c r="S3686" i="34"/>
  <c r="T3686" i="34"/>
  <c r="V3686" i="34"/>
  <c r="W3686" i="34"/>
  <c r="X3686" i="34"/>
  <c r="N3687" i="34"/>
  <c r="R3687" i="34"/>
  <c r="S3687" i="34"/>
  <c r="T3687" i="34"/>
  <c r="V3687" i="34"/>
  <c r="W3687" i="34"/>
  <c r="X3687" i="34"/>
  <c r="N3688" i="34"/>
  <c r="R3688" i="34"/>
  <c r="S3688" i="34"/>
  <c r="T3688" i="34"/>
  <c r="V3688" i="34"/>
  <c r="W3688" i="34"/>
  <c r="X3688" i="34"/>
  <c r="N3689" i="34"/>
  <c r="R3689" i="34"/>
  <c r="S3689" i="34"/>
  <c r="T3689" i="34"/>
  <c r="V3689" i="34"/>
  <c r="W3689" i="34"/>
  <c r="X3689" i="34"/>
  <c r="N3690" i="34"/>
  <c r="R3690" i="34"/>
  <c r="S3690" i="34"/>
  <c r="T3690" i="34"/>
  <c r="V3690" i="34"/>
  <c r="W3690" i="34"/>
  <c r="X3690" i="34"/>
  <c r="N3691" i="34"/>
  <c r="R3691" i="34"/>
  <c r="S3691" i="34"/>
  <c r="T3691" i="34"/>
  <c r="V3691" i="34"/>
  <c r="W3691" i="34"/>
  <c r="X3691" i="34"/>
  <c r="N3692" i="34"/>
  <c r="R3692" i="34"/>
  <c r="S3692" i="34"/>
  <c r="T3692" i="34"/>
  <c r="V3692" i="34"/>
  <c r="W3692" i="34"/>
  <c r="X3692" i="34"/>
  <c r="N3693" i="34"/>
  <c r="R3693" i="34"/>
  <c r="S3693" i="34"/>
  <c r="T3693" i="34"/>
  <c r="V3693" i="34"/>
  <c r="W3693" i="34"/>
  <c r="X3693" i="34"/>
  <c r="N3694" i="34"/>
  <c r="R3694" i="34"/>
  <c r="S3694" i="34"/>
  <c r="T3694" i="34"/>
  <c r="V3694" i="34"/>
  <c r="W3694" i="34"/>
  <c r="X3694" i="34"/>
  <c r="N3695" i="34"/>
  <c r="R3695" i="34"/>
  <c r="S3695" i="34"/>
  <c r="T3695" i="34"/>
  <c r="V3695" i="34"/>
  <c r="W3695" i="34"/>
  <c r="X3695" i="34"/>
  <c r="N3696" i="34"/>
  <c r="R3696" i="34"/>
  <c r="S3696" i="34"/>
  <c r="T3696" i="34"/>
  <c r="V3696" i="34"/>
  <c r="W3696" i="34"/>
  <c r="X3696" i="34"/>
  <c r="N3697" i="34"/>
  <c r="R3697" i="34"/>
  <c r="S3697" i="34"/>
  <c r="T3697" i="34"/>
  <c r="V3697" i="34"/>
  <c r="W3697" i="34"/>
  <c r="X3697" i="34"/>
  <c r="N3698" i="34"/>
  <c r="R3698" i="34"/>
  <c r="S3698" i="34"/>
  <c r="T3698" i="34"/>
  <c r="V3698" i="34"/>
  <c r="W3698" i="34"/>
  <c r="X3698" i="34"/>
  <c r="N3699" i="34"/>
  <c r="R3699" i="34"/>
  <c r="S3699" i="34"/>
  <c r="T3699" i="34"/>
  <c r="V3699" i="34"/>
  <c r="W3699" i="34"/>
  <c r="X3699" i="34"/>
  <c r="N3700" i="34"/>
  <c r="R3700" i="34"/>
  <c r="S3700" i="34"/>
  <c r="T3700" i="34"/>
  <c r="V3700" i="34"/>
  <c r="W3700" i="34"/>
  <c r="X3700" i="34"/>
  <c r="N3701" i="34"/>
  <c r="R3701" i="34"/>
  <c r="S3701" i="34"/>
  <c r="T3701" i="34"/>
  <c r="V3701" i="34"/>
  <c r="W3701" i="34"/>
  <c r="X3701" i="34"/>
  <c r="N3702" i="34"/>
  <c r="R3702" i="34"/>
  <c r="S3702" i="34"/>
  <c r="T3702" i="34"/>
  <c r="V3702" i="34"/>
  <c r="W3702" i="34"/>
  <c r="X3702" i="34"/>
  <c r="N3703" i="34"/>
  <c r="R3703" i="34"/>
  <c r="S3703" i="34"/>
  <c r="T3703" i="34"/>
  <c r="V3703" i="34"/>
  <c r="W3703" i="34"/>
  <c r="X3703" i="34"/>
  <c r="N3704" i="34"/>
  <c r="R3704" i="34"/>
  <c r="S3704" i="34"/>
  <c r="T3704" i="34"/>
  <c r="V3704" i="34"/>
  <c r="W3704" i="34"/>
  <c r="X3704" i="34"/>
  <c r="N3705" i="34"/>
  <c r="R3705" i="34"/>
  <c r="S3705" i="34"/>
  <c r="T3705" i="34"/>
  <c r="V3705" i="34"/>
  <c r="W3705" i="34"/>
  <c r="X3705" i="34"/>
  <c r="N3706" i="34"/>
  <c r="R3706" i="34"/>
  <c r="S3706" i="34"/>
  <c r="T3706" i="34"/>
  <c r="V3706" i="34"/>
  <c r="W3706" i="34"/>
  <c r="X3706" i="34"/>
  <c r="N3707" i="34"/>
  <c r="R3707" i="34"/>
  <c r="S3707" i="34"/>
  <c r="T3707" i="34"/>
  <c r="V3707" i="34"/>
  <c r="W3707" i="34"/>
  <c r="X3707" i="34"/>
  <c r="N3708" i="34"/>
  <c r="R3708" i="34"/>
  <c r="S3708" i="34"/>
  <c r="T3708" i="34"/>
  <c r="V3708" i="34"/>
  <c r="W3708" i="34"/>
  <c r="X3708" i="34"/>
  <c r="N3709" i="34"/>
  <c r="R3709" i="34"/>
  <c r="S3709" i="34"/>
  <c r="T3709" i="34"/>
  <c r="V3709" i="34"/>
  <c r="W3709" i="34"/>
  <c r="X3709" i="34"/>
  <c r="N3710" i="34"/>
  <c r="R3710" i="34"/>
  <c r="S3710" i="34"/>
  <c r="T3710" i="34"/>
  <c r="V3710" i="34"/>
  <c r="W3710" i="34"/>
  <c r="X3710" i="34"/>
  <c r="N3711" i="34"/>
  <c r="R3711" i="34"/>
  <c r="S3711" i="34"/>
  <c r="T3711" i="34"/>
  <c r="V3711" i="34"/>
  <c r="W3711" i="34"/>
  <c r="X3711" i="34"/>
  <c r="N3712" i="34"/>
  <c r="R3712" i="34"/>
  <c r="S3712" i="34"/>
  <c r="T3712" i="34"/>
  <c r="V3712" i="34"/>
  <c r="W3712" i="34"/>
  <c r="X3712" i="34"/>
  <c r="N3713" i="34"/>
  <c r="R3713" i="34"/>
  <c r="S3713" i="34"/>
  <c r="T3713" i="34"/>
  <c r="V3713" i="34"/>
  <c r="W3713" i="34"/>
  <c r="X3713" i="34"/>
  <c r="N3714" i="34"/>
  <c r="R3714" i="34"/>
  <c r="S3714" i="34"/>
  <c r="T3714" i="34"/>
  <c r="V3714" i="34"/>
  <c r="W3714" i="34"/>
  <c r="X3714" i="34"/>
  <c r="N3715" i="34"/>
  <c r="R3715" i="34"/>
  <c r="S3715" i="34"/>
  <c r="T3715" i="34"/>
  <c r="V3715" i="34"/>
  <c r="W3715" i="34"/>
  <c r="X3715" i="34"/>
  <c r="N3716" i="34"/>
  <c r="R3716" i="34"/>
  <c r="S3716" i="34"/>
  <c r="T3716" i="34"/>
  <c r="V3716" i="34"/>
  <c r="W3716" i="34"/>
  <c r="X3716" i="34"/>
  <c r="N3717" i="34"/>
  <c r="R3717" i="34"/>
  <c r="S3717" i="34"/>
  <c r="T3717" i="34"/>
  <c r="V3717" i="34"/>
  <c r="W3717" i="34"/>
  <c r="X3717" i="34"/>
  <c r="N3718" i="34"/>
  <c r="R3718" i="34"/>
  <c r="S3718" i="34"/>
  <c r="T3718" i="34"/>
  <c r="V3718" i="34"/>
  <c r="W3718" i="34"/>
  <c r="X3718" i="34"/>
  <c r="N3719" i="34"/>
  <c r="R3719" i="34"/>
  <c r="S3719" i="34"/>
  <c r="T3719" i="34"/>
  <c r="V3719" i="34"/>
  <c r="W3719" i="34"/>
  <c r="X3719" i="34"/>
  <c r="N3720" i="34"/>
  <c r="R3720" i="34"/>
  <c r="S3720" i="34"/>
  <c r="T3720" i="34"/>
  <c r="V3720" i="34"/>
  <c r="W3720" i="34"/>
  <c r="X3720" i="34"/>
  <c r="N3721" i="34"/>
  <c r="R3721" i="34"/>
  <c r="S3721" i="34"/>
  <c r="T3721" i="34"/>
  <c r="V3721" i="34"/>
  <c r="W3721" i="34"/>
  <c r="X3721" i="34"/>
  <c r="N3722" i="34"/>
  <c r="R3722" i="34"/>
  <c r="S3722" i="34"/>
  <c r="T3722" i="34"/>
  <c r="V3722" i="34"/>
  <c r="W3722" i="34"/>
  <c r="X3722" i="34"/>
  <c r="N3723" i="34"/>
  <c r="R3723" i="34"/>
  <c r="S3723" i="34"/>
  <c r="T3723" i="34"/>
  <c r="V3723" i="34"/>
  <c r="W3723" i="34"/>
  <c r="X3723" i="34"/>
  <c r="N3724" i="34"/>
  <c r="R3724" i="34"/>
  <c r="S3724" i="34"/>
  <c r="T3724" i="34"/>
  <c r="V3724" i="34"/>
  <c r="W3724" i="34"/>
  <c r="X3724" i="34"/>
  <c r="N3725" i="34"/>
  <c r="R3725" i="34"/>
  <c r="S3725" i="34"/>
  <c r="T3725" i="34"/>
  <c r="V3725" i="34"/>
  <c r="W3725" i="34"/>
  <c r="X3725" i="34"/>
  <c r="N3726" i="34"/>
  <c r="R3726" i="34"/>
  <c r="S3726" i="34"/>
  <c r="T3726" i="34"/>
  <c r="V3726" i="34"/>
  <c r="W3726" i="34"/>
  <c r="X3726" i="34"/>
  <c r="N3727" i="34"/>
  <c r="R3727" i="34"/>
  <c r="S3727" i="34"/>
  <c r="T3727" i="34"/>
  <c r="V3727" i="34"/>
  <c r="W3727" i="34"/>
  <c r="X3727" i="34"/>
  <c r="N3728" i="34"/>
  <c r="R3728" i="34"/>
  <c r="S3728" i="34"/>
  <c r="T3728" i="34"/>
  <c r="V3728" i="34"/>
  <c r="W3728" i="34"/>
  <c r="X3728" i="34"/>
  <c r="N3729" i="34"/>
  <c r="R3729" i="34"/>
  <c r="S3729" i="34"/>
  <c r="T3729" i="34"/>
  <c r="V3729" i="34"/>
  <c r="W3729" i="34"/>
  <c r="X3729" i="34"/>
  <c r="N3730" i="34"/>
  <c r="R3730" i="34"/>
  <c r="S3730" i="34"/>
  <c r="T3730" i="34"/>
  <c r="V3730" i="34"/>
  <c r="W3730" i="34"/>
  <c r="X3730" i="34"/>
  <c r="N3731" i="34"/>
  <c r="R3731" i="34"/>
  <c r="S3731" i="34"/>
  <c r="T3731" i="34"/>
  <c r="V3731" i="34"/>
  <c r="W3731" i="34"/>
  <c r="X3731" i="34"/>
  <c r="N3732" i="34"/>
  <c r="R3732" i="34"/>
  <c r="S3732" i="34"/>
  <c r="T3732" i="34"/>
  <c r="V3732" i="34"/>
  <c r="W3732" i="34"/>
  <c r="X3732" i="34"/>
  <c r="N3733" i="34"/>
  <c r="R3733" i="34"/>
  <c r="S3733" i="34"/>
  <c r="T3733" i="34"/>
  <c r="V3733" i="34"/>
  <c r="W3733" i="34"/>
  <c r="X3733" i="34"/>
  <c r="N3734" i="34"/>
  <c r="R3734" i="34"/>
  <c r="S3734" i="34"/>
  <c r="T3734" i="34"/>
  <c r="V3734" i="34"/>
  <c r="W3734" i="34"/>
  <c r="X3734" i="34"/>
  <c r="N3735" i="34"/>
  <c r="R3735" i="34"/>
  <c r="S3735" i="34"/>
  <c r="T3735" i="34"/>
  <c r="V3735" i="34"/>
  <c r="W3735" i="34"/>
  <c r="X3735" i="34"/>
  <c r="N3736" i="34"/>
  <c r="R3736" i="34"/>
  <c r="S3736" i="34"/>
  <c r="T3736" i="34"/>
  <c r="V3736" i="34"/>
  <c r="W3736" i="34"/>
  <c r="X3736" i="34"/>
  <c r="N3737" i="34"/>
  <c r="R3737" i="34"/>
  <c r="S3737" i="34"/>
  <c r="T3737" i="34"/>
  <c r="V3737" i="34"/>
  <c r="W3737" i="34"/>
  <c r="X3737" i="34"/>
  <c r="N3738" i="34"/>
  <c r="R3738" i="34"/>
  <c r="S3738" i="34"/>
  <c r="T3738" i="34"/>
  <c r="V3738" i="34"/>
  <c r="W3738" i="34"/>
  <c r="X3738" i="34"/>
  <c r="N3739" i="34"/>
  <c r="R3739" i="34"/>
  <c r="S3739" i="34"/>
  <c r="T3739" i="34"/>
  <c r="V3739" i="34"/>
  <c r="W3739" i="34"/>
  <c r="X3739" i="34"/>
  <c r="N3740" i="34"/>
  <c r="R3740" i="34"/>
  <c r="S3740" i="34"/>
  <c r="T3740" i="34"/>
  <c r="V3740" i="34"/>
  <c r="W3740" i="34"/>
  <c r="X3740" i="34"/>
  <c r="N3741" i="34"/>
  <c r="R3741" i="34"/>
  <c r="S3741" i="34"/>
  <c r="T3741" i="34"/>
  <c r="V3741" i="34"/>
  <c r="W3741" i="34"/>
  <c r="X3741" i="34"/>
  <c r="N3742" i="34"/>
  <c r="R3742" i="34"/>
  <c r="S3742" i="34"/>
  <c r="T3742" i="34"/>
  <c r="V3742" i="34"/>
  <c r="W3742" i="34"/>
  <c r="X3742" i="34"/>
  <c r="N3743" i="34"/>
  <c r="R3743" i="34"/>
  <c r="S3743" i="34"/>
  <c r="T3743" i="34"/>
  <c r="V3743" i="34"/>
  <c r="W3743" i="34"/>
  <c r="X3743" i="34"/>
  <c r="N3744" i="34"/>
  <c r="R3744" i="34"/>
  <c r="S3744" i="34"/>
  <c r="T3744" i="34"/>
  <c r="V3744" i="34"/>
  <c r="W3744" i="34"/>
  <c r="X3744" i="34"/>
  <c r="N3745" i="34"/>
  <c r="R3745" i="34"/>
  <c r="S3745" i="34"/>
  <c r="T3745" i="34"/>
  <c r="V3745" i="34"/>
  <c r="W3745" i="34"/>
  <c r="X3745" i="34"/>
  <c r="N3746" i="34"/>
  <c r="R3746" i="34"/>
  <c r="S3746" i="34"/>
  <c r="T3746" i="34"/>
  <c r="V3746" i="34"/>
  <c r="W3746" i="34"/>
  <c r="X3746" i="34"/>
  <c r="N3747" i="34"/>
  <c r="R3747" i="34"/>
  <c r="S3747" i="34"/>
  <c r="T3747" i="34"/>
  <c r="V3747" i="34"/>
  <c r="W3747" i="34"/>
  <c r="X3747" i="34"/>
  <c r="N3748" i="34"/>
  <c r="R3748" i="34"/>
  <c r="S3748" i="34"/>
  <c r="T3748" i="34"/>
  <c r="V3748" i="34"/>
  <c r="W3748" i="34"/>
  <c r="X3748" i="34"/>
  <c r="N3749" i="34"/>
  <c r="R3749" i="34"/>
  <c r="S3749" i="34"/>
  <c r="T3749" i="34"/>
  <c r="V3749" i="34"/>
  <c r="W3749" i="34"/>
  <c r="X3749" i="34"/>
  <c r="N3750" i="34"/>
  <c r="R3750" i="34"/>
  <c r="S3750" i="34"/>
  <c r="T3750" i="34"/>
  <c r="V3750" i="34"/>
  <c r="W3750" i="34"/>
  <c r="X3750" i="34"/>
  <c r="N3751" i="34"/>
  <c r="R3751" i="34"/>
  <c r="S3751" i="34"/>
  <c r="T3751" i="34"/>
  <c r="V3751" i="34"/>
  <c r="W3751" i="34"/>
  <c r="X3751" i="34"/>
  <c r="N3752" i="34"/>
  <c r="R3752" i="34"/>
  <c r="S3752" i="34"/>
  <c r="T3752" i="34"/>
  <c r="V3752" i="34"/>
  <c r="W3752" i="34"/>
  <c r="X3752" i="34"/>
  <c r="N3753" i="34"/>
  <c r="R3753" i="34"/>
  <c r="S3753" i="34"/>
  <c r="T3753" i="34"/>
  <c r="V3753" i="34"/>
  <c r="W3753" i="34"/>
  <c r="X3753" i="34"/>
  <c r="N3917" i="34"/>
  <c r="R3917" i="34"/>
  <c r="S3917" i="34"/>
  <c r="T3917" i="34"/>
  <c r="V3917" i="34"/>
  <c r="W3917" i="34"/>
  <c r="X3917" i="34"/>
  <c r="N3918" i="34"/>
  <c r="R3918" i="34"/>
  <c r="S3918" i="34"/>
  <c r="T3918" i="34"/>
  <c r="V3918" i="34"/>
  <c r="W3918" i="34"/>
  <c r="X3918" i="34"/>
  <c r="N3919" i="34"/>
  <c r="R3919" i="34"/>
  <c r="S3919" i="34"/>
  <c r="T3919" i="34"/>
  <c r="V3919" i="34"/>
  <c r="W3919" i="34"/>
  <c r="X3919" i="34"/>
  <c r="N3920" i="34"/>
  <c r="R3920" i="34"/>
  <c r="S3920" i="34"/>
  <c r="T3920" i="34"/>
  <c r="V3920" i="34"/>
  <c r="W3920" i="34"/>
  <c r="X3920" i="34"/>
  <c r="N3921" i="34"/>
  <c r="R3921" i="34"/>
  <c r="S3921" i="34"/>
  <c r="T3921" i="34"/>
  <c r="V3921" i="34"/>
  <c r="W3921" i="34"/>
  <c r="X3921" i="34"/>
  <c r="N3922" i="34"/>
  <c r="R3922" i="34"/>
  <c r="S3922" i="34"/>
  <c r="T3922" i="34"/>
  <c r="V3922" i="34"/>
  <c r="W3922" i="34"/>
  <c r="X3922" i="34"/>
  <c r="N3923" i="34"/>
  <c r="R3923" i="34"/>
  <c r="S3923" i="34"/>
  <c r="T3923" i="34"/>
  <c r="V3923" i="34"/>
  <c r="W3923" i="34"/>
  <c r="X3923" i="34"/>
  <c r="N3924" i="34"/>
  <c r="R3924" i="34"/>
  <c r="S3924" i="34"/>
  <c r="T3924" i="34"/>
  <c r="V3924" i="34"/>
  <c r="W3924" i="34"/>
  <c r="X3924" i="34"/>
  <c r="N3925" i="34"/>
  <c r="R3925" i="34"/>
  <c r="S3925" i="34"/>
  <c r="T3925" i="34"/>
  <c r="V3925" i="34"/>
  <c r="W3925" i="34"/>
  <c r="X3925" i="34"/>
  <c r="N3926" i="34"/>
  <c r="R3926" i="34"/>
  <c r="S3926" i="34"/>
  <c r="T3926" i="34"/>
  <c r="V3926" i="34"/>
  <c r="W3926" i="34"/>
  <c r="X3926" i="34"/>
  <c r="N3927" i="34"/>
  <c r="R3927" i="34"/>
  <c r="S3927" i="34"/>
  <c r="T3927" i="34"/>
  <c r="V3927" i="34"/>
  <c r="W3927" i="34"/>
  <c r="X3927" i="34"/>
  <c r="N3928" i="34"/>
  <c r="R3928" i="34"/>
  <c r="S3928" i="34"/>
  <c r="T3928" i="34"/>
  <c r="V3928" i="34"/>
  <c r="W3928" i="34"/>
  <c r="X3928" i="34"/>
  <c r="N3929" i="34"/>
  <c r="R3929" i="34"/>
  <c r="S3929" i="34"/>
  <c r="T3929" i="34"/>
  <c r="V3929" i="34"/>
  <c r="W3929" i="34"/>
  <c r="X3929" i="34"/>
  <c r="N3930" i="34"/>
  <c r="R3930" i="34"/>
  <c r="S3930" i="34"/>
  <c r="T3930" i="34"/>
  <c r="V3930" i="34"/>
  <c r="W3930" i="34"/>
  <c r="X3930" i="34"/>
  <c r="N3943" i="34"/>
  <c r="R3943" i="34"/>
  <c r="S3943" i="34"/>
  <c r="T3943" i="34"/>
  <c r="V3943" i="34"/>
  <c r="W3943" i="34"/>
  <c r="X3943" i="34"/>
  <c r="N3944" i="34"/>
  <c r="R3944" i="34"/>
  <c r="S3944" i="34"/>
  <c r="T3944" i="34"/>
  <c r="V3944" i="34"/>
  <c r="W3944" i="34"/>
  <c r="X3944" i="34"/>
  <c r="N3945" i="34"/>
  <c r="R3945" i="34"/>
  <c r="S3945" i="34"/>
  <c r="T3945" i="34"/>
  <c r="V3945" i="34"/>
  <c r="W3945" i="34"/>
  <c r="X3945" i="34"/>
  <c r="N3946" i="34"/>
  <c r="R3946" i="34"/>
  <c r="S3946" i="34"/>
  <c r="T3946" i="34"/>
  <c r="V3946" i="34"/>
  <c r="W3946" i="34"/>
  <c r="X3946" i="34"/>
  <c r="N3947" i="34"/>
  <c r="R3947" i="34"/>
  <c r="S3947" i="34"/>
  <c r="T3947" i="34"/>
  <c r="V3947" i="34"/>
  <c r="W3947" i="34"/>
  <c r="X3947" i="34"/>
  <c r="N3948" i="34"/>
  <c r="R3948" i="34"/>
  <c r="S3948" i="34"/>
  <c r="T3948" i="34"/>
  <c r="V3948" i="34"/>
  <c r="W3948" i="34"/>
  <c r="X3948" i="34"/>
  <c r="N3949" i="34"/>
  <c r="R3949" i="34"/>
  <c r="S3949" i="34"/>
  <c r="T3949" i="34"/>
  <c r="V3949" i="34"/>
  <c r="W3949" i="34"/>
  <c r="X3949" i="34"/>
  <c r="N3950" i="34"/>
  <c r="R3950" i="34"/>
  <c r="S3950" i="34"/>
  <c r="T3950" i="34"/>
  <c r="V3950" i="34"/>
  <c r="W3950" i="34"/>
  <c r="X3950" i="34"/>
  <c r="N3951" i="34"/>
  <c r="R3951" i="34"/>
  <c r="S3951" i="34"/>
  <c r="T3951" i="34"/>
  <c r="V3951" i="34"/>
  <c r="W3951" i="34"/>
  <c r="X3951" i="34"/>
  <c r="N3952" i="34"/>
  <c r="R3952" i="34"/>
  <c r="S3952" i="34"/>
  <c r="T3952" i="34"/>
  <c r="V3952" i="34"/>
  <c r="W3952" i="34"/>
  <c r="X3952" i="34"/>
  <c r="N3953" i="34"/>
  <c r="R3953" i="34"/>
  <c r="S3953" i="34"/>
  <c r="T3953" i="34"/>
  <c r="V3953" i="34"/>
  <c r="W3953" i="34"/>
  <c r="X3953" i="34"/>
  <c r="N3954" i="34"/>
  <c r="R3954" i="34"/>
  <c r="S3954" i="34"/>
  <c r="T3954" i="34"/>
  <c r="V3954" i="34"/>
  <c r="W3954" i="34"/>
  <c r="X3954" i="34"/>
  <c r="N3955" i="34"/>
  <c r="R3955" i="34"/>
  <c r="S3955" i="34"/>
  <c r="T3955" i="34"/>
  <c r="V3955" i="34"/>
  <c r="W3955" i="34"/>
  <c r="X3955" i="34"/>
  <c r="N3956" i="34"/>
  <c r="R3956" i="34"/>
  <c r="S3956" i="34"/>
  <c r="T3956" i="34"/>
  <c r="V3956" i="34"/>
  <c r="W3956" i="34"/>
  <c r="X3956" i="34"/>
  <c r="N3957" i="34"/>
  <c r="R3957" i="34"/>
  <c r="S3957" i="34"/>
  <c r="T3957" i="34"/>
  <c r="V3957" i="34"/>
  <c r="W3957" i="34"/>
  <c r="X3957" i="34"/>
  <c r="N3958" i="34"/>
  <c r="R3958" i="34"/>
  <c r="S3958" i="34"/>
  <c r="T3958" i="34"/>
  <c r="V3958" i="34"/>
  <c r="W3958" i="34"/>
  <c r="X3958" i="34"/>
  <c r="N3959" i="34"/>
  <c r="R3959" i="34"/>
  <c r="S3959" i="34"/>
  <c r="T3959" i="34"/>
  <c r="V3959" i="34"/>
  <c r="W3959" i="34"/>
  <c r="X3959" i="34"/>
  <c r="N3960" i="34"/>
  <c r="R3960" i="34"/>
  <c r="S3960" i="34"/>
  <c r="T3960" i="34"/>
  <c r="V3960" i="34"/>
  <c r="W3960" i="34"/>
  <c r="X3960" i="34"/>
  <c r="N3961" i="34"/>
  <c r="R3961" i="34"/>
  <c r="S3961" i="34"/>
  <c r="T3961" i="34"/>
  <c r="V3961" i="34"/>
  <c r="W3961" i="34"/>
  <c r="X3961" i="34"/>
  <c r="N3962" i="34"/>
  <c r="R3962" i="34"/>
  <c r="S3962" i="34"/>
  <c r="T3962" i="34"/>
  <c r="V3962" i="34"/>
  <c r="W3962" i="34"/>
  <c r="X3962" i="34"/>
  <c r="N3963" i="34"/>
  <c r="R3963" i="34"/>
  <c r="S3963" i="34"/>
  <c r="T3963" i="34"/>
  <c r="V3963" i="34"/>
  <c r="W3963" i="34"/>
  <c r="X3963" i="34"/>
  <c r="N4096" i="34"/>
  <c r="R4096" i="34"/>
  <c r="S4096" i="34"/>
  <c r="T4096" i="34"/>
  <c r="V4096" i="34"/>
  <c r="W4096" i="34"/>
  <c r="X4096" i="34"/>
  <c r="N4097" i="34"/>
  <c r="R4097" i="34"/>
  <c r="S4097" i="34"/>
  <c r="T4097" i="34"/>
  <c r="V4097" i="34"/>
  <c r="W4097" i="34"/>
  <c r="X4097" i="34"/>
  <c r="N4098" i="34"/>
  <c r="R4098" i="34"/>
  <c r="S4098" i="34"/>
  <c r="T4098" i="34"/>
  <c r="V4098" i="34"/>
  <c r="W4098" i="34"/>
  <c r="X4098" i="34"/>
  <c r="N4099" i="34"/>
  <c r="R4099" i="34"/>
  <c r="S4099" i="34"/>
  <c r="T4099" i="34"/>
  <c r="V4099" i="34"/>
  <c r="W4099" i="34"/>
  <c r="X4099" i="34"/>
  <c r="N4100" i="34"/>
  <c r="R4100" i="34"/>
  <c r="S4100" i="34"/>
  <c r="T4100" i="34"/>
  <c r="V4100" i="34"/>
  <c r="W4100" i="34"/>
  <c r="X4100" i="34"/>
  <c r="N4101" i="34"/>
  <c r="R4101" i="34"/>
  <c r="S4101" i="34"/>
  <c r="T4101" i="34"/>
  <c r="V4101" i="34"/>
  <c r="W4101" i="34"/>
  <c r="X4101" i="34"/>
  <c r="N4102" i="34"/>
  <c r="R4102" i="34"/>
  <c r="S4102" i="34"/>
  <c r="T4102" i="34"/>
  <c r="V4102" i="34"/>
  <c r="W4102" i="34"/>
  <c r="X4102" i="34"/>
  <c r="N4103" i="34"/>
  <c r="R4103" i="34"/>
  <c r="S4103" i="34"/>
  <c r="T4103" i="34"/>
  <c r="V4103" i="34"/>
  <c r="W4103" i="34"/>
  <c r="X4103" i="34"/>
  <c r="N4104" i="34"/>
  <c r="R4104" i="34"/>
  <c r="S4104" i="34"/>
  <c r="T4104" i="34"/>
  <c r="V4104" i="34"/>
  <c r="W4104" i="34"/>
  <c r="X4104" i="34"/>
  <c r="N4105" i="34"/>
  <c r="R4105" i="34"/>
  <c r="S4105" i="34"/>
  <c r="T4105" i="34"/>
  <c r="V4105" i="34"/>
  <c r="W4105" i="34"/>
  <c r="X4105" i="34"/>
  <c r="N4106" i="34"/>
  <c r="R4106" i="34"/>
  <c r="S4106" i="34"/>
  <c r="T4106" i="34"/>
  <c r="V4106" i="34"/>
  <c r="W4106" i="34"/>
  <c r="X4106" i="34"/>
  <c r="N4107" i="34"/>
  <c r="R4107" i="34"/>
  <c r="S4107" i="34"/>
  <c r="T4107" i="34"/>
  <c r="V4107" i="34"/>
  <c r="W4107" i="34"/>
  <c r="X4107" i="34"/>
  <c r="N4108" i="34"/>
  <c r="R4108" i="34"/>
  <c r="S4108" i="34"/>
  <c r="T4108" i="34"/>
  <c r="V4108" i="34"/>
  <c r="W4108" i="34"/>
  <c r="X4108" i="34"/>
  <c r="N4114" i="34"/>
  <c r="R4114" i="34"/>
  <c r="S4114" i="34"/>
  <c r="T4114" i="34"/>
  <c r="V4114" i="34"/>
  <c r="W4114" i="34"/>
  <c r="X4114" i="34"/>
  <c r="N4244" i="34"/>
  <c r="R4244" i="34"/>
  <c r="S4244" i="34"/>
  <c r="T4244" i="34"/>
  <c r="V4244" i="34"/>
  <c r="W4244" i="34"/>
  <c r="X4244" i="34"/>
  <c r="N4245" i="34"/>
  <c r="R4245" i="34"/>
  <c r="S4245" i="34"/>
  <c r="T4245" i="34"/>
  <c r="V4245" i="34"/>
  <c r="W4245" i="34"/>
  <c r="X4245" i="34"/>
  <c r="N4246" i="34"/>
  <c r="R4246" i="34"/>
  <c r="S4246" i="34"/>
  <c r="T4246" i="34"/>
  <c r="V4246" i="34"/>
  <c r="W4246" i="34"/>
  <c r="X4246" i="34"/>
  <c r="N4247" i="34"/>
  <c r="R4247" i="34"/>
  <c r="S4247" i="34"/>
  <c r="T4247" i="34"/>
  <c r="V4247" i="34"/>
  <c r="W4247" i="34"/>
  <c r="X4247" i="34"/>
  <c r="N4248" i="34"/>
  <c r="R4248" i="34"/>
  <c r="S4248" i="34"/>
  <c r="T4248" i="34"/>
  <c r="V4248" i="34"/>
  <c r="W4248" i="34"/>
  <c r="X4248" i="34"/>
  <c r="N4249" i="34"/>
  <c r="R4249" i="34"/>
  <c r="S4249" i="34"/>
  <c r="T4249" i="34"/>
  <c r="V4249" i="34"/>
  <c r="W4249" i="34"/>
  <c r="X4249" i="34"/>
  <c r="N4250" i="34"/>
  <c r="R4250" i="34"/>
  <c r="S4250" i="34"/>
  <c r="T4250" i="34"/>
  <c r="V4250" i="34"/>
  <c r="W4250" i="34"/>
  <c r="X4250" i="34"/>
  <c r="N4251" i="34"/>
  <c r="R4251" i="34"/>
  <c r="S4251" i="34"/>
  <c r="T4251" i="34"/>
  <c r="V4251" i="34"/>
  <c r="W4251" i="34"/>
  <c r="X4251" i="34"/>
  <c r="N4252" i="34"/>
  <c r="R4252" i="34"/>
  <c r="S4252" i="34"/>
  <c r="T4252" i="34"/>
  <c r="V4252" i="34"/>
  <c r="W4252" i="34"/>
  <c r="X4252" i="34"/>
  <c r="N4253" i="34"/>
  <c r="R4253" i="34"/>
  <c r="S4253" i="34"/>
  <c r="T4253" i="34"/>
  <c r="V4253" i="34"/>
  <c r="W4253" i="34"/>
  <c r="X4253" i="34"/>
  <c r="N4254" i="34"/>
  <c r="R4254" i="34"/>
  <c r="S4254" i="34"/>
  <c r="T4254" i="34"/>
  <c r="V4254" i="34"/>
  <c r="W4254" i="34"/>
  <c r="X4254" i="34"/>
  <c r="N4255" i="34"/>
  <c r="R4255" i="34"/>
  <c r="S4255" i="34"/>
  <c r="T4255" i="34"/>
  <c r="V4255" i="34"/>
  <c r="W4255" i="34"/>
  <c r="X4255" i="34"/>
  <c r="N4256" i="34"/>
  <c r="R4256" i="34"/>
  <c r="S4256" i="34"/>
  <c r="T4256" i="34"/>
  <c r="V4256" i="34"/>
  <c r="W4256" i="34"/>
  <c r="X4256" i="34"/>
  <c r="N4257" i="34"/>
  <c r="R4257" i="34"/>
  <c r="S4257" i="34"/>
  <c r="T4257" i="34"/>
  <c r="V4257" i="34"/>
  <c r="W4257" i="34"/>
  <c r="X4257" i="34"/>
  <c r="N4258" i="34"/>
  <c r="R4258" i="34"/>
  <c r="S4258" i="34"/>
  <c r="T4258" i="34"/>
  <c r="V4258" i="34"/>
  <c r="W4258" i="34"/>
  <c r="X4258" i="34"/>
  <c r="N4259" i="34"/>
  <c r="R4259" i="34"/>
  <c r="S4259" i="34"/>
  <c r="T4259" i="34"/>
  <c r="V4259" i="34"/>
  <c r="W4259" i="34"/>
  <c r="X4259" i="34"/>
  <c r="N4260" i="34"/>
  <c r="R4260" i="34"/>
  <c r="S4260" i="34"/>
  <c r="T4260" i="34"/>
  <c r="V4260" i="34"/>
  <c r="W4260" i="34"/>
  <c r="X4260" i="34"/>
  <c r="N4261" i="34"/>
  <c r="R4261" i="34"/>
  <c r="S4261" i="34"/>
  <c r="T4261" i="34"/>
  <c r="V4261" i="34"/>
  <c r="W4261" i="34"/>
  <c r="X4261" i="34"/>
  <c r="N4262" i="34"/>
  <c r="R4262" i="34"/>
  <c r="S4262" i="34"/>
  <c r="T4262" i="34"/>
  <c r="V4262" i="34"/>
  <c r="W4262" i="34"/>
  <c r="X4262" i="34"/>
  <c r="N4263" i="34"/>
  <c r="R4263" i="34"/>
  <c r="S4263" i="34"/>
  <c r="T4263" i="34"/>
  <c r="V4263" i="34"/>
  <c r="W4263" i="34"/>
  <c r="X4263" i="34"/>
  <c r="N4264" i="34"/>
  <c r="R4264" i="34"/>
  <c r="S4264" i="34"/>
  <c r="T4264" i="34"/>
  <c r="V4264" i="34"/>
  <c r="W4264" i="34"/>
  <c r="X4264" i="34"/>
  <c r="N4265" i="34"/>
  <c r="R4265" i="34"/>
  <c r="S4265" i="34"/>
  <c r="T4265" i="34"/>
  <c r="V4265" i="34"/>
  <c r="W4265" i="34"/>
  <c r="X4265" i="34"/>
  <c r="N4266" i="34"/>
  <c r="R4266" i="34"/>
  <c r="S4266" i="34"/>
  <c r="T4266" i="34"/>
  <c r="V4266" i="34"/>
  <c r="W4266" i="34"/>
  <c r="X4266" i="34"/>
  <c r="N4267" i="34"/>
  <c r="R4267" i="34"/>
  <c r="S4267" i="34"/>
  <c r="T4267" i="34"/>
  <c r="V4267" i="34"/>
  <c r="W4267" i="34"/>
  <c r="X4267" i="34"/>
  <c r="N4268" i="34"/>
  <c r="R4268" i="34"/>
  <c r="S4268" i="34"/>
  <c r="T4268" i="34"/>
  <c r="V4268" i="34"/>
  <c r="W4268" i="34"/>
  <c r="X4268" i="34"/>
  <c r="N4269" i="34"/>
  <c r="R4269" i="34"/>
  <c r="S4269" i="34"/>
  <c r="T4269" i="34"/>
  <c r="V4269" i="34"/>
  <c r="W4269" i="34"/>
  <c r="X4269" i="34"/>
  <c r="N4270" i="34"/>
  <c r="R4270" i="34"/>
  <c r="S4270" i="34"/>
  <c r="T4270" i="34"/>
  <c r="V4270" i="34"/>
  <c r="W4270" i="34"/>
  <c r="X4270" i="34"/>
  <c r="N4271" i="34"/>
  <c r="R4271" i="34"/>
  <c r="S4271" i="34"/>
  <c r="T4271" i="34"/>
  <c r="V4271" i="34"/>
  <c r="W4271" i="34"/>
  <c r="X4271" i="34"/>
  <c r="N4272" i="34"/>
  <c r="R4272" i="34"/>
  <c r="S4272" i="34"/>
  <c r="T4272" i="34"/>
  <c r="V4272" i="34"/>
  <c r="W4272" i="34"/>
  <c r="X4272" i="34"/>
  <c r="N4273" i="34"/>
  <c r="R4273" i="34"/>
  <c r="S4273" i="34"/>
  <c r="T4273" i="34"/>
  <c r="V4273" i="34"/>
  <c r="W4273" i="34"/>
  <c r="X4273" i="34"/>
  <c r="N4274" i="34"/>
  <c r="R4274" i="34"/>
  <c r="S4274" i="34"/>
  <c r="T4274" i="34"/>
  <c r="V4274" i="34"/>
  <c r="W4274" i="34"/>
  <c r="X4274" i="34"/>
  <c r="N4275" i="34"/>
  <c r="R4275" i="34"/>
  <c r="S4275" i="34"/>
  <c r="T4275" i="34"/>
  <c r="V4275" i="34"/>
  <c r="W4275" i="34"/>
  <c r="X4275" i="34"/>
  <c r="N4276" i="34"/>
  <c r="R4276" i="34"/>
  <c r="S4276" i="34"/>
  <c r="T4276" i="34"/>
  <c r="V4276" i="34"/>
  <c r="W4276" i="34"/>
  <c r="X4276" i="34"/>
  <c r="N4277" i="34"/>
  <c r="R4277" i="34"/>
  <c r="S4277" i="34"/>
  <c r="T4277" i="34"/>
  <c r="V4277" i="34"/>
  <c r="W4277" i="34"/>
  <c r="X4277" i="34"/>
  <c r="N4278" i="34"/>
  <c r="R4278" i="34"/>
  <c r="S4278" i="34"/>
  <c r="T4278" i="34"/>
  <c r="V4278" i="34"/>
  <c r="W4278" i="34"/>
  <c r="X4278" i="34"/>
  <c r="N4279" i="34"/>
  <c r="R4279" i="34"/>
  <c r="S4279" i="34"/>
  <c r="T4279" i="34"/>
  <c r="V4279" i="34"/>
  <c r="W4279" i="34"/>
  <c r="X4279" i="34"/>
  <c r="N4280" i="34"/>
  <c r="R4280" i="34"/>
  <c r="S4280" i="34"/>
  <c r="T4280" i="34"/>
  <c r="V4280" i="34"/>
  <c r="W4280" i="34"/>
  <c r="X4280" i="34"/>
  <c r="N4281" i="34"/>
  <c r="R4281" i="34"/>
  <c r="S4281" i="34"/>
  <c r="T4281" i="34"/>
  <c r="V4281" i="34"/>
  <c r="W4281" i="34"/>
  <c r="X4281" i="34"/>
  <c r="N4282" i="34"/>
  <c r="R4282" i="34"/>
  <c r="S4282" i="34"/>
  <c r="T4282" i="34"/>
  <c r="V4282" i="34"/>
  <c r="W4282" i="34"/>
  <c r="X4282" i="34"/>
  <c r="N4283" i="34"/>
  <c r="R4283" i="34"/>
  <c r="S4283" i="34"/>
  <c r="T4283" i="34"/>
  <c r="V4283" i="34"/>
  <c r="W4283" i="34"/>
  <c r="X4283" i="34"/>
  <c r="N4284" i="34"/>
  <c r="R4284" i="34"/>
  <c r="S4284" i="34"/>
  <c r="T4284" i="34"/>
  <c r="V4284" i="34"/>
  <c r="W4284" i="34"/>
  <c r="X4284" i="34"/>
  <c r="N4285" i="34"/>
  <c r="R4285" i="34"/>
  <c r="S4285" i="34"/>
  <c r="T4285" i="34"/>
  <c r="V4285" i="34"/>
  <c r="W4285" i="34"/>
  <c r="X4285" i="34"/>
  <c r="N4286" i="34"/>
  <c r="R4286" i="34"/>
  <c r="S4286" i="34"/>
  <c r="T4286" i="34"/>
  <c r="V4286" i="34"/>
  <c r="W4286" i="34"/>
  <c r="X4286" i="34"/>
  <c r="N4287" i="34"/>
  <c r="R4287" i="34"/>
  <c r="S4287" i="34"/>
  <c r="T4287" i="34"/>
  <c r="V4287" i="34"/>
  <c r="W4287" i="34"/>
  <c r="X4287" i="34"/>
  <c r="N4288" i="34"/>
  <c r="R4288" i="34"/>
  <c r="S4288" i="34"/>
  <c r="T4288" i="34"/>
  <c r="V4288" i="34"/>
  <c r="W4288" i="34"/>
  <c r="X4288" i="34"/>
  <c r="N4289" i="34"/>
  <c r="R4289" i="34"/>
  <c r="S4289" i="34"/>
  <c r="T4289" i="34"/>
  <c r="V4289" i="34"/>
  <c r="W4289" i="34"/>
  <c r="X4289" i="34"/>
  <c r="N4290" i="34"/>
  <c r="R4290" i="34"/>
  <c r="S4290" i="34"/>
  <c r="T4290" i="34"/>
  <c r="V4290" i="34"/>
  <c r="W4290" i="34"/>
  <c r="X4290" i="34"/>
  <c r="N4291" i="34"/>
  <c r="R4291" i="34"/>
  <c r="S4291" i="34"/>
  <c r="T4291" i="34"/>
  <c r="V4291" i="34"/>
  <c r="W4291" i="34"/>
  <c r="X4291" i="34"/>
  <c r="N4292" i="34"/>
  <c r="R4292" i="34"/>
  <c r="S4292" i="34"/>
  <c r="T4292" i="34"/>
  <c r="V4292" i="34"/>
  <c r="W4292" i="34"/>
  <c r="X4292" i="34"/>
  <c r="N4293" i="34"/>
  <c r="R4293" i="34"/>
  <c r="S4293" i="34"/>
  <c r="T4293" i="34"/>
  <c r="V4293" i="34"/>
  <c r="W4293" i="34"/>
  <c r="X4293" i="34"/>
  <c r="N4294" i="34"/>
  <c r="R4294" i="34"/>
  <c r="S4294" i="34"/>
  <c r="T4294" i="34"/>
  <c r="V4294" i="34"/>
  <c r="W4294" i="34"/>
  <c r="X4294" i="34"/>
  <c r="N4295" i="34"/>
  <c r="R4295" i="34"/>
  <c r="S4295" i="34"/>
  <c r="T4295" i="34"/>
  <c r="V4295" i="34"/>
  <c r="W4295" i="34"/>
  <c r="X4295" i="34"/>
  <c r="N4296" i="34"/>
  <c r="R4296" i="34"/>
  <c r="S4296" i="34"/>
  <c r="T4296" i="34"/>
  <c r="V4296" i="34"/>
  <c r="W4296" i="34"/>
  <c r="X4296" i="34"/>
  <c r="N4297" i="34"/>
  <c r="R4297" i="34"/>
  <c r="S4297" i="34"/>
  <c r="T4297" i="34"/>
  <c r="V4297" i="34"/>
  <c r="W4297" i="34"/>
  <c r="X4297" i="34"/>
  <c r="N4298" i="34"/>
  <c r="R4298" i="34"/>
  <c r="S4298" i="34"/>
  <c r="T4298" i="34"/>
  <c r="V4298" i="34"/>
  <c r="W4298" i="34"/>
  <c r="X4298" i="34"/>
  <c r="N4299" i="34"/>
  <c r="R4299" i="34"/>
  <c r="S4299" i="34"/>
  <c r="T4299" i="34"/>
  <c r="V4299" i="34"/>
  <c r="W4299" i="34"/>
  <c r="X4299" i="34"/>
  <c r="N4300" i="34"/>
  <c r="R4300" i="34"/>
  <c r="S4300" i="34"/>
  <c r="T4300" i="34"/>
  <c r="V4300" i="34"/>
  <c r="W4300" i="34"/>
  <c r="X4300" i="34"/>
  <c r="N4301" i="34"/>
  <c r="R4301" i="34"/>
  <c r="S4301" i="34"/>
  <c r="T4301" i="34"/>
  <c r="V4301" i="34"/>
  <c r="W4301" i="34"/>
  <c r="X4301" i="34"/>
  <c r="N4302" i="34"/>
  <c r="R4302" i="34"/>
  <c r="S4302" i="34"/>
  <c r="T4302" i="34"/>
  <c r="V4302" i="34"/>
  <c r="W4302" i="34"/>
  <c r="X4302" i="34"/>
  <c r="N4303" i="34"/>
  <c r="R4303" i="34"/>
  <c r="S4303" i="34"/>
  <c r="T4303" i="34"/>
  <c r="V4303" i="34"/>
  <c r="W4303" i="34"/>
  <c r="X4303" i="34"/>
  <c r="N4304" i="34"/>
  <c r="R4304" i="34"/>
  <c r="S4304" i="34"/>
  <c r="T4304" i="34"/>
  <c r="V4304" i="34"/>
  <c r="W4304" i="34"/>
  <c r="X4304" i="34"/>
  <c r="N4305" i="34"/>
  <c r="R4305" i="34"/>
  <c r="S4305" i="34"/>
  <c r="T4305" i="34"/>
  <c r="V4305" i="34"/>
  <c r="W4305" i="34"/>
  <c r="X4305" i="34"/>
  <c r="N4306" i="34"/>
  <c r="R4306" i="34"/>
  <c r="S4306" i="34"/>
  <c r="T4306" i="34"/>
  <c r="V4306" i="34"/>
  <c r="W4306" i="34"/>
  <c r="X4306" i="34"/>
  <c r="N4307" i="34"/>
  <c r="R4307" i="34"/>
  <c r="S4307" i="34"/>
  <c r="T4307" i="34"/>
  <c r="V4307" i="34"/>
  <c r="W4307" i="34"/>
  <c r="X4307" i="34"/>
  <c r="N4308" i="34"/>
  <c r="R4308" i="34"/>
  <c r="S4308" i="34"/>
  <c r="T4308" i="34"/>
  <c r="V4308" i="34"/>
  <c r="W4308" i="34"/>
  <c r="X4308" i="34"/>
  <c r="N4309" i="34"/>
  <c r="R4309" i="34"/>
  <c r="S4309" i="34"/>
  <c r="T4309" i="34"/>
  <c r="V4309" i="34"/>
  <c r="W4309" i="34"/>
  <c r="X4309" i="34"/>
  <c r="N4310" i="34"/>
  <c r="R4310" i="34"/>
  <c r="S4310" i="34"/>
  <c r="T4310" i="34"/>
  <c r="V4310" i="34"/>
  <c r="W4310" i="34"/>
  <c r="X4310" i="34"/>
  <c r="N4311" i="34"/>
  <c r="R4311" i="34"/>
  <c r="S4311" i="34"/>
  <c r="T4311" i="34"/>
  <c r="V4311" i="34"/>
  <c r="W4311" i="34"/>
  <c r="X4311" i="34"/>
  <c r="N4312" i="34"/>
  <c r="R4312" i="34"/>
  <c r="S4312" i="34"/>
  <c r="T4312" i="34"/>
  <c r="V4312" i="34"/>
  <c r="W4312" i="34"/>
  <c r="X4312" i="34"/>
  <c r="N4313" i="34"/>
  <c r="R4313" i="34"/>
  <c r="S4313" i="34"/>
  <c r="T4313" i="34"/>
  <c r="V4313" i="34"/>
  <c r="W4313" i="34"/>
  <c r="X4313" i="34"/>
  <c r="N4314" i="34"/>
  <c r="R4314" i="34"/>
  <c r="S4314" i="34"/>
  <c r="T4314" i="34"/>
  <c r="V4314" i="34"/>
  <c r="W4314" i="34"/>
  <c r="X4314" i="34"/>
  <c r="N4315" i="34"/>
  <c r="R4315" i="34"/>
  <c r="S4315" i="34"/>
  <c r="T4315" i="34"/>
  <c r="V4315" i="34"/>
  <c r="W4315" i="34"/>
  <c r="X4315" i="34"/>
  <c r="N4316" i="34"/>
  <c r="R4316" i="34"/>
  <c r="S4316" i="34"/>
  <c r="T4316" i="34"/>
  <c r="V4316" i="34"/>
  <c r="W4316" i="34"/>
  <c r="X4316" i="34"/>
  <c r="N4317" i="34"/>
  <c r="R4317" i="34"/>
  <c r="S4317" i="34"/>
  <c r="T4317" i="34"/>
  <c r="V4317" i="34"/>
  <c r="W4317" i="34"/>
  <c r="X4317" i="34"/>
  <c r="N4318" i="34"/>
  <c r="R4318" i="34"/>
  <c r="S4318" i="34"/>
  <c r="T4318" i="34"/>
  <c r="V4318" i="34"/>
  <c r="W4318" i="34"/>
  <c r="X4318" i="34"/>
  <c r="N4319" i="34"/>
  <c r="R4319" i="34"/>
  <c r="S4319" i="34"/>
  <c r="T4319" i="34"/>
  <c r="V4319" i="34"/>
  <c r="W4319" i="34"/>
  <c r="X4319" i="34"/>
  <c r="N4320" i="34"/>
  <c r="R4320" i="34"/>
  <c r="S4320" i="34"/>
  <c r="T4320" i="34"/>
  <c r="V4320" i="34"/>
  <c r="W4320" i="34"/>
  <c r="X4320" i="34"/>
  <c r="N4321" i="34"/>
  <c r="R4321" i="34"/>
  <c r="S4321" i="34"/>
  <c r="T4321" i="34"/>
  <c r="V4321" i="34"/>
  <c r="W4321" i="34"/>
  <c r="X4321" i="34"/>
  <c r="N4322" i="34"/>
  <c r="R4322" i="34"/>
  <c r="S4322" i="34"/>
  <c r="T4322" i="34"/>
  <c r="V4322" i="34"/>
  <c r="W4322" i="34"/>
  <c r="X4322" i="34"/>
  <c r="N4323" i="34"/>
  <c r="R4323" i="34"/>
  <c r="S4323" i="34"/>
  <c r="T4323" i="34"/>
  <c r="V4323" i="34"/>
  <c r="W4323" i="34"/>
  <c r="X4323" i="34"/>
  <c r="N4324" i="34"/>
  <c r="R4324" i="34"/>
  <c r="S4324" i="34"/>
  <c r="T4324" i="34"/>
  <c r="V4324" i="34"/>
  <c r="W4324" i="34"/>
  <c r="X4324" i="34"/>
  <c r="N4325" i="34"/>
  <c r="R4325" i="34"/>
  <c r="S4325" i="34"/>
  <c r="T4325" i="34"/>
  <c r="V4325" i="34"/>
  <c r="W4325" i="34"/>
  <c r="X4325" i="34"/>
  <c r="N4326" i="34"/>
  <c r="R4326" i="34"/>
  <c r="S4326" i="34"/>
  <c r="T4326" i="34"/>
  <c r="V4326" i="34"/>
  <c r="W4326" i="34"/>
  <c r="X4326" i="34"/>
  <c r="N4327" i="34"/>
  <c r="R4327" i="34"/>
  <c r="S4327" i="34"/>
  <c r="T4327" i="34"/>
  <c r="V4327" i="34"/>
  <c r="W4327" i="34"/>
  <c r="X4327" i="34"/>
  <c r="N4328" i="34"/>
  <c r="R4328" i="34"/>
  <c r="S4328" i="34"/>
  <c r="T4328" i="34"/>
  <c r="V4328" i="34"/>
  <c r="W4328" i="34"/>
  <c r="X4328" i="34"/>
  <c r="N4329" i="34"/>
  <c r="R4329" i="34"/>
  <c r="S4329" i="34"/>
  <c r="T4329" i="34"/>
  <c r="V4329" i="34"/>
  <c r="W4329" i="34"/>
  <c r="X4329" i="34"/>
  <c r="N4330" i="34"/>
  <c r="R4330" i="34"/>
  <c r="S4330" i="34"/>
  <c r="T4330" i="34"/>
  <c r="V4330" i="34"/>
  <c r="W4330" i="34"/>
  <c r="X4330" i="34"/>
  <c r="N4331" i="34"/>
  <c r="R4331" i="34"/>
  <c r="S4331" i="34"/>
  <c r="T4331" i="34"/>
  <c r="V4331" i="34"/>
  <c r="W4331" i="34"/>
  <c r="X4331" i="34"/>
  <c r="N4332" i="34"/>
  <c r="R4332" i="34"/>
  <c r="S4332" i="34"/>
  <c r="T4332" i="34"/>
  <c r="V4332" i="34"/>
  <c r="W4332" i="34"/>
  <c r="X4332" i="34"/>
  <c r="N4333" i="34"/>
  <c r="R4333" i="34"/>
  <c r="S4333" i="34"/>
  <c r="T4333" i="34"/>
  <c r="V4333" i="34"/>
  <c r="W4333" i="34"/>
  <c r="X4333" i="34"/>
  <c r="N4334" i="34"/>
  <c r="R4334" i="34"/>
  <c r="S4334" i="34"/>
  <c r="T4334" i="34"/>
  <c r="V4334" i="34"/>
  <c r="W4334" i="34"/>
  <c r="X4334" i="34"/>
  <c r="N4335" i="34"/>
  <c r="R4335" i="34"/>
  <c r="S4335" i="34"/>
  <c r="T4335" i="34"/>
  <c r="V4335" i="34"/>
  <c r="W4335" i="34"/>
  <c r="X4335" i="34"/>
  <c r="N4336" i="34"/>
  <c r="R4336" i="34"/>
  <c r="S4336" i="34"/>
  <c r="T4336" i="34"/>
  <c r="V4336" i="34"/>
  <c r="W4336" i="34"/>
  <c r="X4336" i="34"/>
  <c r="N4337" i="34"/>
  <c r="R4337" i="34"/>
  <c r="S4337" i="34"/>
  <c r="T4337" i="34"/>
  <c r="V4337" i="34"/>
  <c r="W4337" i="34"/>
  <c r="X4337" i="34"/>
  <c r="N4338" i="34"/>
  <c r="R4338" i="34"/>
  <c r="S4338" i="34"/>
  <c r="T4338" i="34"/>
  <c r="V4338" i="34"/>
  <c r="W4338" i="34"/>
  <c r="X4338" i="34"/>
  <c r="N4339" i="34"/>
  <c r="R4339" i="34"/>
  <c r="S4339" i="34"/>
  <c r="T4339" i="34"/>
  <c r="V4339" i="34"/>
  <c r="W4339" i="34"/>
  <c r="X4339" i="34"/>
  <c r="N4340" i="34"/>
  <c r="R4340" i="34"/>
  <c r="S4340" i="34"/>
  <c r="T4340" i="34"/>
  <c r="V4340" i="34"/>
  <c r="W4340" i="34"/>
  <c r="X4340" i="34"/>
  <c r="N4341" i="34"/>
  <c r="R4341" i="34"/>
  <c r="S4341" i="34"/>
  <c r="T4341" i="34"/>
  <c r="V4341" i="34"/>
  <c r="W4341" i="34"/>
  <c r="X4341" i="34"/>
  <c r="N4342" i="34"/>
  <c r="R4342" i="34"/>
  <c r="S4342" i="34"/>
  <c r="T4342" i="34"/>
  <c r="V4342" i="34"/>
  <c r="W4342" i="34"/>
  <c r="X4342" i="34"/>
  <c r="N4343" i="34"/>
  <c r="R4343" i="34"/>
  <c r="S4343" i="34"/>
  <c r="T4343" i="34"/>
  <c r="V4343" i="34"/>
  <c r="W4343" i="34"/>
  <c r="X4343" i="34"/>
  <c r="N4344" i="34"/>
  <c r="R4344" i="34"/>
  <c r="S4344" i="34"/>
  <c r="T4344" i="34"/>
  <c r="V4344" i="34"/>
  <c r="W4344" i="34"/>
  <c r="X4344" i="34"/>
  <c r="N4345" i="34"/>
  <c r="R4345" i="34"/>
  <c r="S4345" i="34"/>
  <c r="T4345" i="34"/>
  <c r="V4345" i="34"/>
  <c r="W4345" i="34"/>
  <c r="X4345" i="34"/>
  <c r="N4346" i="34"/>
  <c r="R4346" i="34"/>
  <c r="S4346" i="34"/>
  <c r="T4346" i="34"/>
  <c r="V4346" i="34"/>
  <c r="W4346" i="34"/>
  <c r="X4346" i="34"/>
  <c r="N4347" i="34"/>
  <c r="R4347" i="34"/>
  <c r="S4347" i="34"/>
  <c r="T4347" i="34"/>
  <c r="V4347" i="34"/>
  <c r="W4347" i="34"/>
  <c r="X4347" i="34"/>
  <c r="N4348" i="34"/>
  <c r="R4348" i="34"/>
  <c r="S4348" i="34"/>
  <c r="T4348" i="34"/>
  <c r="V4348" i="34"/>
  <c r="W4348" i="34"/>
  <c r="X4348" i="34"/>
  <c r="N4349" i="34"/>
  <c r="R4349" i="34"/>
  <c r="S4349" i="34"/>
  <c r="T4349" i="34"/>
  <c r="V4349" i="34"/>
  <c r="W4349" i="34"/>
  <c r="X4349" i="34"/>
  <c r="N4350" i="34"/>
  <c r="R4350" i="34"/>
  <c r="S4350" i="34"/>
  <c r="T4350" i="34"/>
  <c r="V4350" i="34"/>
  <c r="W4350" i="34"/>
  <c r="X4350" i="34"/>
  <c r="N4351" i="34"/>
  <c r="R4351" i="34"/>
  <c r="S4351" i="34"/>
  <c r="T4351" i="34"/>
  <c r="V4351" i="34"/>
  <c r="W4351" i="34"/>
  <c r="X4351" i="34"/>
  <c r="N4352" i="34"/>
  <c r="R4352" i="34"/>
  <c r="S4352" i="34"/>
  <c r="T4352" i="34"/>
  <c r="V4352" i="34"/>
  <c r="W4352" i="34"/>
  <c r="X4352" i="34"/>
  <c r="N4353" i="34"/>
  <c r="R4353" i="34"/>
  <c r="S4353" i="34"/>
  <c r="T4353" i="34"/>
  <c r="V4353" i="34"/>
  <c r="W4353" i="34"/>
  <c r="X4353" i="34"/>
  <c r="N4354" i="34"/>
  <c r="R4354" i="34"/>
  <c r="S4354" i="34"/>
  <c r="T4354" i="34"/>
  <c r="V4354" i="34"/>
  <c r="W4354" i="34"/>
  <c r="X4354" i="34"/>
  <c r="N4355" i="34"/>
  <c r="R4355" i="34"/>
  <c r="S4355" i="34"/>
  <c r="T4355" i="34"/>
  <c r="V4355" i="34"/>
  <c r="W4355" i="34"/>
  <c r="X4355" i="34"/>
  <c r="N4356" i="34"/>
  <c r="R4356" i="34"/>
  <c r="S4356" i="34"/>
  <c r="T4356" i="34"/>
  <c r="V4356" i="34"/>
  <c r="W4356" i="34"/>
  <c r="X4356" i="34"/>
  <c r="N4357" i="34"/>
  <c r="R4357" i="34"/>
  <c r="S4357" i="34"/>
  <c r="T4357" i="34"/>
  <c r="V4357" i="34"/>
  <c r="W4357" i="34"/>
  <c r="X4357" i="34"/>
  <c r="N4358" i="34"/>
  <c r="R4358" i="34"/>
  <c r="S4358" i="34"/>
  <c r="T4358" i="34"/>
  <c r="V4358" i="34"/>
  <c r="W4358" i="34"/>
  <c r="X4358" i="34"/>
  <c r="N4359" i="34"/>
  <c r="R4359" i="34"/>
  <c r="S4359" i="34"/>
  <c r="T4359" i="34"/>
  <c r="V4359" i="34"/>
  <c r="W4359" i="34"/>
  <c r="X4359" i="34"/>
  <c r="N4360" i="34"/>
  <c r="R4360" i="34"/>
  <c r="S4360" i="34"/>
  <c r="T4360" i="34"/>
  <c r="V4360" i="34"/>
  <c r="W4360" i="34"/>
  <c r="X4360" i="34"/>
  <c r="N4361" i="34"/>
  <c r="R4361" i="34"/>
  <c r="S4361" i="34"/>
  <c r="T4361" i="34"/>
  <c r="V4361" i="34"/>
  <c r="W4361" i="34"/>
  <c r="X4361" i="34"/>
  <c r="N4362" i="34"/>
  <c r="R4362" i="34"/>
  <c r="S4362" i="34"/>
  <c r="T4362" i="34"/>
  <c r="V4362" i="34"/>
  <c r="W4362" i="34"/>
  <c r="X4362" i="34"/>
  <c r="N4363" i="34"/>
  <c r="R4363" i="34"/>
  <c r="S4363" i="34"/>
  <c r="T4363" i="34"/>
  <c r="V4363" i="34"/>
  <c r="W4363" i="34"/>
  <c r="X4363" i="34"/>
  <c r="N4364" i="34"/>
  <c r="R4364" i="34"/>
  <c r="S4364" i="34"/>
  <c r="T4364" i="34"/>
  <c r="V4364" i="34"/>
  <c r="W4364" i="34"/>
  <c r="X4364" i="34"/>
  <c r="N4365" i="34"/>
  <c r="R4365" i="34"/>
  <c r="S4365" i="34"/>
  <c r="T4365" i="34"/>
  <c r="V4365" i="34"/>
  <c r="W4365" i="34"/>
  <c r="X4365" i="34"/>
  <c r="N4366" i="34"/>
  <c r="R4366" i="34"/>
  <c r="S4366" i="34"/>
  <c r="T4366" i="34"/>
  <c r="V4366" i="34"/>
  <c r="W4366" i="34"/>
  <c r="X4366" i="34"/>
  <c r="N4367" i="34"/>
  <c r="R4367" i="34"/>
  <c r="S4367" i="34"/>
  <c r="T4367" i="34"/>
  <c r="V4367" i="34"/>
  <c r="W4367" i="34"/>
  <c r="X4367" i="34"/>
  <c r="N4368" i="34"/>
  <c r="R4368" i="34"/>
  <c r="S4368" i="34"/>
  <c r="T4368" i="34"/>
  <c r="V4368" i="34"/>
  <c r="W4368" i="34"/>
  <c r="X4368" i="34"/>
  <c r="N4369" i="34"/>
  <c r="R4369" i="34"/>
  <c r="S4369" i="34"/>
  <c r="T4369" i="34"/>
  <c r="V4369" i="34"/>
  <c r="W4369" i="34"/>
  <c r="X4369" i="34"/>
  <c r="N4370" i="34"/>
  <c r="R4370" i="34"/>
  <c r="S4370" i="34"/>
  <c r="T4370" i="34"/>
  <c r="V4370" i="34"/>
  <c r="W4370" i="34"/>
  <c r="X4370" i="34"/>
  <c r="N4371" i="34"/>
  <c r="R4371" i="34"/>
  <c r="S4371" i="34"/>
  <c r="T4371" i="34"/>
  <c r="V4371" i="34"/>
  <c r="W4371" i="34"/>
  <c r="X4371" i="34"/>
  <c r="N4372" i="34"/>
  <c r="R4372" i="34"/>
  <c r="S4372" i="34"/>
  <c r="T4372" i="34"/>
  <c r="V4372" i="34"/>
  <c r="W4372" i="34"/>
  <c r="X4372" i="34"/>
  <c r="N4373" i="34"/>
  <c r="R4373" i="34"/>
  <c r="S4373" i="34"/>
  <c r="T4373" i="34"/>
  <c r="V4373" i="34"/>
  <c r="W4373" i="34"/>
  <c r="X4373" i="34"/>
  <c r="N4374" i="34"/>
  <c r="R4374" i="34"/>
  <c r="S4374" i="34"/>
  <c r="T4374" i="34"/>
  <c r="V4374" i="34"/>
  <c r="W4374" i="34"/>
  <c r="X4374" i="34"/>
  <c r="N4375" i="34"/>
  <c r="R4375" i="34"/>
  <c r="S4375" i="34"/>
  <c r="T4375" i="34"/>
  <c r="V4375" i="34"/>
  <c r="W4375" i="34"/>
  <c r="X4375" i="34"/>
  <c r="N4376" i="34"/>
  <c r="R4376" i="34"/>
  <c r="S4376" i="34"/>
  <c r="T4376" i="34"/>
  <c r="V4376" i="34"/>
  <c r="W4376" i="34"/>
  <c r="X4376" i="34"/>
  <c r="N4377" i="34"/>
  <c r="R4377" i="34"/>
  <c r="S4377" i="34"/>
  <c r="T4377" i="34"/>
  <c r="V4377" i="34"/>
  <c r="W4377" i="34"/>
  <c r="X4377" i="34"/>
  <c r="N4378" i="34"/>
  <c r="R4378" i="34"/>
  <c r="S4378" i="34"/>
  <c r="T4378" i="34"/>
  <c r="V4378" i="34"/>
  <c r="W4378" i="34"/>
  <c r="X4378" i="34"/>
  <c r="N4379" i="34"/>
  <c r="R4379" i="34"/>
  <c r="S4379" i="34"/>
  <c r="T4379" i="34"/>
  <c r="V4379" i="34"/>
  <c r="W4379" i="34"/>
  <c r="X4379" i="34"/>
  <c r="N4380" i="34"/>
  <c r="R4380" i="34"/>
  <c r="S4380" i="34"/>
  <c r="T4380" i="34"/>
  <c r="V4380" i="34"/>
  <c r="W4380" i="34"/>
  <c r="X4380" i="34"/>
  <c r="N4381" i="34"/>
  <c r="R4381" i="34"/>
  <c r="S4381" i="34"/>
  <c r="T4381" i="34"/>
  <c r="V4381" i="34"/>
  <c r="W4381" i="34"/>
  <c r="X4381" i="34"/>
  <c r="N4382" i="34"/>
  <c r="R4382" i="34"/>
  <c r="S4382" i="34"/>
  <c r="T4382" i="34"/>
  <c r="V4382" i="34"/>
  <c r="W4382" i="34"/>
  <c r="X4382" i="34"/>
  <c r="N4383" i="34"/>
  <c r="R4383" i="34"/>
  <c r="S4383" i="34"/>
  <c r="T4383" i="34"/>
  <c r="V4383" i="34"/>
  <c r="W4383" i="34"/>
  <c r="X4383" i="34"/>
  <c r="N4384" i="34"/>
  <c r="R4384" i="34"/>
  <c r="S4384" i="34"/>
  <c r="T4384" i="34"/>
  <c r="V4384" i="34"/>
  <c r="W4384" i="34"/>
  <c r="X4384" i="34"/>
  <c r="N4385" i="34"/>
  <c r="R4385" i="34"/>
  <c r="S4385" i="34"/>
  <c r="T4385" i="34"/>
  <c r="V4385" i="34"/>
  <c r="W4385" i="34"/>
  <c r="X4385" i="34"/>
  <c r="N4386" i="34"/>
  <c r="R4386" i="34"/>
  <c r="S4386" i="34"/>
  <c r="T4386" i="34"/>
  <c r="V4386" i="34"/>
  <c r="W4386" i="34"/>
  <c r="X4386" i="34"/>
  <c r="N4387" i="34"/>
  <c r="R4387" i="34"/>
  <c r="S4387" i="34"/>
  <c r="T4387" i="34"/>
  <c r="V4387" i="34"/>
  <c r="W4387" i="34"/>
  <c r="X4387" i="34"/>
  <c r="N4388" i="34"/>
  <c r="R4388" i="34"/>
  <c r="S4388" i="34"/>
  <c r="T4388" i="34"/>
  <c r="V4388" i="34"/>
  <c r="W4388" i="34"/>
  <c r="X4388" i="34"/>
  <c r="N4389" i="34"/>
  <c r="R4389" i="34"/>
  <c r="S4389" i="34"/>
  <c r="T4389" i="34"/>
  <c r="V4389" i="34"/>
  <c r="W4389" i="34"/>
  <c r="X4389" i="34"/>
  <c r="N4390" i="34"/>
  <c r="R4390" i="34"/>
  <c r="S4390" i="34"/>
  <c r="T4390" i="34"/>
  <c r="V4390" i="34"/>
  <c r="W4390" i="34"/>
  <c r="X4390" i="34"/>
  <c r="N4391" i="34"/>
  <c r="R4391" i="34"/>
  <c r="S4391" i="34"/>
  <c r="T4391" i="34"/>
  <c r="V4391" i="34"/>
  <c r="W4391" i="34"/>
  <c r="X4391" i="34"/>
  <c r="N4392" i="34"/>
  <c r="R4392" i="34"/>
  <c r="S4392" i="34"/>
  <c r="T4392" i="34"/>
  <c r="V4392" i="34"/>
  <c r="W4392" i="34"/>
  <c r="X4392" i="34"/>
  <c r="N4393" i="34"/>
  <c r="R4393" i="34"/>
  <c r="S4393" i="34"/>
  <c r="T4393" i="34"/>
  <c r="V4393" i="34"/>
  <c r="W4393" i="34"/>
  <c r="X4393" i="34"/>
  <c r="N4394" i="34"/>
  <c r="R4394" i="34"/>
  <c r="S4394" i="34"/>
  <c r="T4394" i="34"/>
  <c r="V4394" i="34"/>
  <c r="W4394" i="34"/>
  <c r="X4394" i="34"/>
  <c r="N4395" i="34"/>
  <c r="R4395" i="34"/>
  <c r="S4395" i="34"/>
  <c r="T4395" i="34"/>
  <c r="V4395" i="34"/>
  <c r="W4395" i="34"/>
  <c r="X4395" i="34"/>
  <c r="N4396" i="34"/>
  <c r="R4396" i="34"/>
  <c r="S4396" i="34"/>
  <c r="T4396" i="34"/>
  <c r="V4396" i="34"/>
  <c r="W4396" i="34"/>
  <c r="X4396" i="34"/>
  <c r="N4397" i="34"/>
  <c r="R4397" i="34"/>
  <c r="S4397" i="34"/>
  <c r="T4397" i="34"/>
  <c r="V4397" i="34"/>
  <c r="W4397" i="34"/>
  <c r="X4397" i="34"/>
  <c r="N4398" i="34"/>
  <c r="R4398" i="34"/>
  <c r="S4398" i="34"/>
  <c r="T4398" i="34"/>
  <c r="V4398" i="34"/>
  <c r="W4398" i="34"/>
  <c r="X4398" i="34"/>
  <c r="N4399" i="34"/>
  <c r="R4399" i="34"/>
  <c r="S4399" i="34"/>
  <c r="T4399" i="34"/>
  <c r="V4399" i="34"/>
  <c r="W4399" i="34"/>
  <c r="X4399" i="34"/>
  <c r="N4400" i="34"/>
  <c r="R4400" i="34"/>
  <c r="S4400" i="34"/>
  <c r="T4400" i="34"/>
  <c r="V4400" i="34"/>
  <c r="W4400" i="34"/>
  <c r="X4400" i="34"/>
  <c r="N4401" i="34"/>
  <c r="R4401" i="34"/>
  <c r="S4401" i="34"/>
  <c r="T4401" i="34"/>
  <c r="V4401" i="34"/>
  <c r="W4401" i="34"/>
  <c r="X4401" i="34"/>
  <c r="N4402" i="34"/>
  <c r="R4402" i="34"/>
  <c r="S4402" i="34"/>
  <c r="T4402" i="34"/>
  <c r="V4402" i="34"/>
  <c r="W4402" i="34"/>
  <c r="X4402" i="34"/>
  <c r="N4403" i="34"/>
  <c r="R4403" i="34"/>
  <c r="S4403" i="34"/>
  <c r="T4403" i="34"/>
  <c r="V4403" i="34"/>
  <c r="W4403" i="34"/>
  <c r="X4403" i="34"/>
  <c r="N4404" i="34"/>
  <c r="R4404" i="34"/>
  <c r="S4404" i="34"/>
  <c r="T4404" i="34"/>
  <c r="V4404" i="34"/>
  <c r="W4404" i="34"/>
  <c r="X4404" i="34"/>
  <c r="N4405" i="34"/>
  <c r="R4405" i="34"/>
  <c r="S4405" i="34"/>
  <c r="T4405" i="34"/>
  <c r="V4405" i="34"/>
  <c r="W4405" i="34"/>
  <c r="X4405" i="34"/>
  <c r="N4406" i="34"/>
  <c r="R4406" i="34"/>
  <c r="S4406" i="34"/>
  <c r="T4406" i="34"/>
  <c r="V4406" i="34"/>
  <c r="W4406" i="34"/>
  <c r="X4406" i="34"/>
  <c r="N4407" i="34"/>
  <c r="R4407" i="34"/>
  <c r="S4407" i="34"/>
  <c r="T4407" i="34"/>
  <c r="V4407" i="34"/>
  <c r="W4407" i="34"/>
  <c r="X4407" i="34"/>
  <c r="N4408" i="34"/>
  <c r="R4408" i="34"/>
  <c r="S4408" i="34"/>
  <c r="T4408" i="34"/>
  <c r="V4408" i="34"/>
  <c r="W4408" i="34"/>
  <c r="X4408" i="34"/>
  <c r="N4409" i="34"/>
  <c r="R4409" i="34"/>
  <c r="S4409" i="34"/>
  <c r="T4409" i="34"/>
  <c r="V4409" i="34"/>
  <c r="W4409" i="34"/>
  <c r="X4409" i="34"/>
  <c r="N4410" i="34"/>
  <c r="R4410" i="34"/>
  <c r="S4410" i="34"/>
  <c r="T4410" i="34"/>
  <c r="V4410" i="34"/>
  <c r="W4410" i="34"/>
  <c r="X4410" i="34"/>
  <c r="N4411" i="34"/>
  <c r="R4411" i="34"/>
  <c r="S4411" i="34"/>
  <c r="T4411" i="34"/>
  <c r="V4411" i="34"/>
  <c r="W4411" i="34"/>
  <c r="X4411" i="34"/>
  <c r="N4412" i="34"/>
  <c r="R4412" i="34"/>
  <c r="S4412" i="34"/>
  <c r="T4412" i="34"/>
  <c r="V4412" i="34"/>
  <c r="W4412" i="34"/>
  <c r="X4412" i="34"/>
  <c r="N4413" i="34"/>
  <c r="R4413" i="34"/>
  <c r="S4413" i="34"/>
  <c r="T4413" i="34"/>
  <c r="V4413" i="34"/>
  <c r="W4413" i="34"/>
  <c r="X4413" i="34"/>
  <c r="N4414" i="34"/>
  <c r="R4414" i="34"/>
  <c r="S4414" i="34"/>
  <c r="T4414" i="34"/>
  <c r="V4414" i="34"/>
  <c r="W4414" i="34"/>
  <c r="X4414" i="34"/>
  <c r="N4415" i="34"/>
  <c r="R4415" i="34"/>
  <c r="S4415" i="34"/>
  <c r="T4415" i="34"/>
  <c r="V4415" i="34"/>
  <c r="W4415" i="34"/>
  <c r="X4415" i="34"/>
  <c r="N4416" i="34"/>
  <c r="R4416" i="34"/>
  <c r="S4416" i="34"/>
  <c r="T4416" i="34"/>
  <c r="V4416" i="34"/>
  <c r="W4416" i="34"/>
  <c r="X4416" i="34"/>
  <c r="N4417" i="34"/>
  <c r="R4417" i="34"/>
  <c r="S4417" i="34"/>
  <c r="T4417" i="34"/>
  <c r="V4417" i="34"/>
  <c r="W4417" i="34"/>
  <c r="X4417" i="34"/>
  <c r="N4418" i="34"/>
  <c r="R4418" i="34"/>
  <c r="S4418" i="34"/>
  <c r="T4418" i="34"/>
  <c r="V4418" i="34"/>
  <c r="W4418" i="34"/>
  <c r="X4418" i="34"/>
  <c r="N4419" i="34"/>
  <c r="R4419" i="34"/>
  <c r="S4419" i="34"/>
  <c r="T4419" i="34"/>
  <c r="V4419" i="34"/>
  <c r="W4419" i="34"/>
  <c r="X4419" i="34"/>
  <c r="N4420" i="34"/>
  <c r="R4420" i="34"/>
  <c r="S4420" i="34"/>
  <c r="T4420" i="34"/>
  <c r="V4420" i="34"/>
  <c r="W4420" i="34"/>
  <c r="X4420" i="34"/>
  <c r="N4421" i="34"/>
  <c r="R4421" i="34"/>
  <c r="S4421" i="34"/>
  <c r="T4421" i="34"/>
  <c r="V4421" i="34"/>
  <c r="W4421" i="34"/>
  <c r="X4421" i="34"/>
  <c r="N4422" i="34"/>
  <c r="R4422" i="34"/>
  <c r="S4422" i="34"/>
  <c r="T4422" i="34"/>
  <c r="V4422" i="34"/>
  <c r="W4422" i="34"/>
  <c r="X4422" i="34"/>
  <c r="N4423" i="34"/>
  <c r="R4423" i="34"/>
  <c r="S4423" i="34"/>
  <c r="T4423" i="34"/>
  <c r="V4423" i="34"/>
  <c r="W4423" i="34"/>
  <c r="X4423" i="34"/>
  <c r="N4424" i="34"/>
  <c r="R4424" i="34"/>
  <c r="S4424" i="34"/>
  <c r="T4424" i="34"/>
  <c r="V4424" i="34"/>
  <c r="W4424" i="34"/>
  <c r="X4424" i="34"/>
  <c r="N4425" i="34"/>
  <c r="R4425" i="34"/>
  <c r="S4425" i="34"/>
  <c r="T4425" i="34"/>
  <c r="V4425" i="34"/>
  <c r="W4425" i="34"/>
  <c r="X4425" i="34"/>
  <c r="N4426" i="34"/>
  <c r="R4426" i="34"/>
  <c r="S4426" i="34"/>
  <c r="T4426" i="34"/>
  <c r="V4426" i="34"/>
  <c r="W4426" i="34"/>
  <c r="X4426" i="34"/>
  <c r="N4427" i="34"/>
  <c r="R4427" i="34"/>
  <c r="S4427" i="34"/>
  <c r="T4427" i="34"/>
  <c r="V4427" i="34"/>
  <c r="W4427" i="34"/>
  <c r="X4427" i="34"/>
  <c r="N4428" i="34"/>
  <c r="R4428" i="34"/>
  <c r="S4428" i="34"/>
  <c r="T4428" i="34"/>
  <c r="V4428" i="34"/>
  <c r="W4428" i="34"/>
  <c r="X4428" i="34"/>
  <c r="N4429" i="34"/>
  <c r="R4429" i="34"/>
  <c r="S4429" i="34"/>
  <c r="T4429" i="34"/>
  <c r="V4429" i="34"/>
  <c r="W4429" i="34"/>
  <c r="X4429" i="34"/>
  <c r="N4430" i="34"/>
  <c r="R4430" i="34"/>
  <c r="S4430" i="34"/>
  <c r="T4430" i="34"/>
  <c r="V4430" i="34"/>
  <c r="W4430" i="34"/>
  <c r="X4430" i="34"/>
  <c r="N4431" i="34"/>
  <c r="R4431" i="34"/>
  <c r="S4431" i="34"/>
  <c r="T4431" i="34"/>
  <c r="V4431" i="34"/>
  <c r="W4431" i="34"/>
  <c r="X4431" i="34"/>
  <c r="N4432" i="34"/>
  <c r="R4432" i="34"/>
  <c r="S4432" i="34"/>
  <c r="T4432" i="34"/>
  <c r="V4432" i="34"/>
  <c r="W4432" i="34"/>
  <c r="X4432" i="34"/>
  <c r="N4433" i="34"/>
  <c r="R4433" i="34"/>
  <c r="S4433" i="34"/>
  <c r="T4433" i="34"/>
  <c r="V4433" i="34"/>
  <c r="W4433" i="34"/>
  <c r="X4433" i="34"/>
  <c r="N4434" i="34"/>
  <c r="R4434" i="34"/>
  <c r="S4434" i="34"/>
  <c r="T4434" i="34"/>
  <c r="V4434" i="34"/>
  <c r="W4434" i="34"/>
  <c r="X4434" i="34"/>
  <c r="N4435" i="34"/>
  <c r="R4435" i="34"/>
  <c r="S4435" i="34"/>
  <c r="T4435" i="34"/>
  <c r="V4435" i="34"/>
  <c r="W4435" i="34"/>
  <c r="X4435" i="34"/>
  <c r="N4436" i="34"/>
  <c r="R4436" i="34"/>
  <c r="S4436" i="34"/>
  <c r="T4436" i="34"/>
  <c r="V4436" i="34"/>
  <c r="W4436" i="34"/>
  <c r="X4436" i="34"/>
  <c r="N4437" i="34"/>
  <c r="R4437" i="34"/>
  <c r="S4437" i="34"/>
  <c r="T4437" i="34"/>
  <c r="V4437" i="34"/>
  <c r="W4437" i="34"/>
  <c r="X4437" i="34"/>
  <c r="N4438" i="34"/>
  <c r="R4438" i="34"/>
  <c r="S4438" i="34"/>
  <c r="T4438" i="34"/>
  <c r="V4438" i="34"/>
  <c r="W4438" i="34"/>
  <c r="X4438" i="34"/>
  <c r="N4439" i="34"/>
  <c r="R4439" i="34"/>
  <c r="S4439" i="34"/>
  <c r="T4439" i="34"/>
  <c r="V4439" i="34"/>
  <c r="W4439" i="34"/>
  <c r="X4439" i="34"/>
  <c r="N4440" i="34"/>
  <c r="R4440" i="34"/>
  <c r="S4440" i="34"/>
  <c r="T4440" i="34"/>
  <c r="V4440" i="34"/>
  <c r="W4440" i="34"/>
  <c r="X4440" i="34"/>
  <c r="N4441" i="34"/>
  <c r="R4441" i="34"/>
  <c r="S4441" i="34"/>
  <c r="T4441" i="34"/>
  <c r="V4441" i="34"/>
  <c r="W4441" i="34"/>
  <c r="X4441" i="34"/>
  <c r="N4442" i="34"/>
  <c r="R4442" i="34"/>
  <c r="S4442" i="34"/>
  <c r="T4442" i="34"/>
  <c r="V4442" i="34"/>
  <c r="W4442" i="34"/>
  <c r="X4442" i="34"/>
  <c r="N4443" i="34"/>
  <c r="R4443" i="34"/>
  <c r="S4443" i="34"/>
  <c r="T4443" i="34"/>
  <c r="V4443" i="34"/>
  <c r="W4443" i="34"/>
  <c r="X4443" i="34"/>
  <c r="N4444" i="34"/>
  <c r="R4444" i="34"/>
  <c r="S4444" i="34"/>
  <c r="T4444" i="34"/>
  <c r="V4444" i="34"/>
  <c r="W4444" i="34"/>
  <c r="X4444" i="34"/>
  <c r="N4445" i="34"/>
  <c r="R4445" i="34"/>
  <c r="S4445" i="34"/>
  <c r="T4445" i="34"/>
  <c r="V4445" i="34"/>
  <c r="W4445" i="34"/>
  <c r="X4445" i="34"/>
  <c r="N4446" i="34"/>
  <c r="R4446" i="34"/>
  <c r="S4446" i="34"/>
  <c r="T4446" i="34"/>
  <c r="V4446" i="34"/>
  <c r="W4446" i="34"/>
  <c r="X4446" i="34"/>
  <c r="N4447" i="34"/>
  <c r="R4447" i="34"/>
  <c r="S4447" i="34"/>
  <c r="T4447" i="34"/>
  <c r="V4447" i="34"/>
  <c r="W4447" i="34"/>
  <c r="X4447" i="34"/>
  <c r="N4448" i="34"/>
  <c r="R4448" i="34"/>
  <c r="S4448" i="34"/>
  <c r="T4448" i="34"/>
  <c r="V4448" i="34"/>
  <c r="W4448" i="34"/>
  <c r="X4448" i="34"/>
  <c r="N4449" i="34"/>
  <c r="R4449" i="34"/>
  <c r="S4449" i="34"/>
  <c r="T4449" i="34"/>
  <c r="V4449" i="34"/>
  <c r="W4449" i="34"/>
  <c r="X4449" i="34"/>
  <c r="N4450" i="34"/>
  <c r="R4450" i="34"/>
  <c r="S4450" i="34"/>
  <c r="T4450" i="34"/>
  <c r="V4450" i="34"/>
  <c r="W4450" i="34"/>
  <c r="X4450" i="34"/>
  <c r="N4451" i="34"/>
  <c r="R4451" i="34"/>
  <c r="S4451" i="34"/>
  <c r="T4451" i="34"/>
  <c r="V4451" i="34"/>
  <c r="W4451" i="34"/>
  <c r="X4451" i="34"/>
  <c r="N4452" i="34"/>
  <c r="R4452" i="34"/>
  <c r="S4452" i="34"/>
  <c r="T4452" i="34"/>
  <c r="V4452" i="34"/>
  <c r="W4452" i="34"/>
  <c r="X4452" i="34"/>
  <c r="N4453" i="34"/>
  <c r="R4453" i="34"/>
  <c r="S4453" i="34"/>
  <c r="T4453" i="34"/>
  <c r="V4453" i="34"/>
  <c r="W4453" i="34"/>
  <c r="X4453" i="34"/>
  <c r="N4454" i="34"/>
  <c r="R4454" i="34"/>
  <c r="S4454" i="34"/>
  <c r="T4454" i="34"/>
  <c r="V4454" i="34"/>
  <c r="W4454" i="34"/>
  <c r="X4454" i="34"/>
  <c r="N4455" i="34"/>
  <c r="R4455" i="34"/>
  <c r="S4455" i="34"/>
  <c r="T4455" i="34"/>
  <c r="V4455" i="34"/>
  <c r="W4455" i="34"/>
  <c r="X4455" i="34"/>
  <c r="N4456" i="34"/>
  <c r="R4456" i="34"/>
  <c r="S4456" i="34"/>
  <c r="T4456" i="34"/>
  <c r="V4456" i="34"/>
  <c r="W4456" i="34"/>
  <c r="X4456" i="34"/>
  <c r="N4457" i="34"/>
  <c r="R4457" i="34"/>
  <c r="S4457" i="34"/>
  <c r="T4457" i="34"/>
  <c r="V4457" i="34"/>
  <c r="W4457" i="34"/>
  <c r="X4457" i="34"/>
  <c r="N4458" i="34"/>
  <c r="R4458" i="34"/>
  <c r="S4458" i="34"/>
  <c r="T4458" i="34"/>
  <c r="V4458" i="34"/>
  <c r="W4458" i="34"/>
  <c r="X4458" i="34"/>
  <c r="N4459" i="34"/>
  <c r="R4459" i="34"/>
  <c r="S4459" i="34"/>
  <c r="T4459" i="34"/>
  <c r="V4459" i="34"/>
  <c r="W4459" i="34"/>
  <c r="X4459" i="34"/>
  <c r="N4460" i="34"/>
  <c r="R4460" i="34"/>
  <c r="S4460" i="34"/>
  <c r="T4460" i="34"/>
  <c r="V4460" i="34"/>
  <c r="W4460" i="34"/>
  <c r="X4460" i="34"/>
  <c r="N4461" i="34"/>
  <c r="R4461" i="34"/>
  <c r="S4461" i="34"/>
  <c r="T4461" i="34"/>
  <c r="V4461" i="34"/>
  <c r="W4461" i="34"/>
  <c r="X4461" i="34"/>
  <c r="N4462" i="34"/>
  <c r="R4462" i="34"/>
  <c r="S4462" i="34"/>
  <c r="T4462" i="34"/>
  <c r="V4462" i="34"/>
  <c r="W4462" i="34"/>
  <c r="X4462" i="34"/>
  <c r="N4463" i="34"/>
  <c r="R4463" i="34"/>
  <c r="S4463" i="34"/>
  <c r="T4463" i="34"/>
  <c r="V4463" i="34"/>
  <c r="W4463" i="34"/>
  <c r="X4463" i="34"/>
  <c r="N4464" i="34"/>
  <c r="R4464" i="34"/>
  <c r="S4464" i="34"/>
  <c r="T4464" i="34"/>
  <c r="V4464" i="34"/>
  <c r="W4464" i="34"/>
  <c r="X4464" i="34"/>
  <c r="N4465" i="34"/>
  <c r="R4465" i="34"/>
  <c r="S4465" i="34"/>
  <c r="T4465" i="34"/>
  <c r="V4465" i="34"/>
  <c r="W4465" i="34"/>
  <c r="X4465" i="34"/>
  <c r="N4466" i="34"/>
  <c r="R4466" i="34"/>
  <c r="S4466" i="34"/>
  <c r="T4466" i="34"/>
  <c r="V4466" i="34"/>
  <c r="W4466" i="34"/>
  <c r="X4466" i="34"/>
  <c r="N4467" i="34"/>
  <c r="R4467" i="34"/>
  <c r="S4467" i="34"/>
  <c r="T4467" i="34"/>
  <c r="V4467" i="34"/>
  <c r="W4467" i="34"/>
  <c r="X4467" i="34"/>
  <c r="N4468" i="34"/>
  <c r="R4468" i="34"/>
  <c r="S4468" i="34"/>
  <c r="T4468" i="34"/>
  <c r="V4468" i="34"/>
  <c r="W4468" i="34"/>
  <c r="X4468" i="34"/>
  <c r="N4469" i="34"/>
  <c r="R4469" i="34"/>
  <c r="S4469" i="34"/>
  <c r="T4469" i="34"/>
  <c r="V4469" i="34"/>
  <c r="W4469" i="34"/>
  <c r="X4469" i="34"/>
  <c r="N4470" i="34"/>
  <c r="R4470" i="34"/>
  <c r="S4470" i="34"/>
  <c r="T4470" i="34"/>
  <c r="V4470" i="34"/>
  <c r="W4470" i="34"/>
  <c r="X4470" i="34"/>
  <c r="N4471" i="34"/>
  <c r="R4471" i="34"/>
  <c r="S4471" i="34"/>
  <c r="T4471" i="34"/>
  <c r="V4471" i="34"/>
  <c r="W4471" i="34"/>
  <c r="X4471" i="34"/>
  <c r="N4472" i="34"/>
  <c r="R4472" i="34"/>
  <c r="S4472" i="34"/>
  <c r="T4472" i="34"/>
  <c r="V4472" i="34"/>
  <c r="W4472" i="34"/>
  <c r="X4472" i="34"/>
  <c r="N4473" i="34"/>
  <c r="R4473" i="34"/>
  <c r="S4473" i="34"/>
  <c r="T4473" i="34"/>
  <c r="V4473" i="34"/>
  <c r="W4473" i="34"/>
  <c r="X4473" i="34"/>
  <c r="N4474" i="34"/>
  <c r="R4474" i="34"/>
  <c r="S4474" i="34"/>
  <c r="T4474" i="34"/>
  <c r="V4474" i="34"/>
  <c r="W4474" i="34"/>
  <c r="X4474" i="34"/>
  <c r="N4475" i="34"/>
  <c r="R4475" i="34"/>
  <c r="S4475" i="34"/>
  <c r="T4475" i="34"/>
  <c r="V4475" i="34"/>
  <c r="W4475" i="34"/>
  <c r="X4475" i="34"/>
  <c r="N4476" i="34"/>
  <c r="R4476" i="34"/>
  <c r="S4476" i="34"/>
  <c r="T4476" i="34"/>
  <c r="V4476" i="34"/>
  <c r="W4476" i="34"/>
  <c r="X4476" i="34"/>
  <c r="N4477" i="34"/>
  <c r="R4477" i="34"/>
  <c r="S4477" i="34"/>
  <c r="T4477" i="34"/>
  <c r="V4477" i="34"/>
  <c r="W4477" i="34"/>
  <c r="X4477" i="34"/>
  <c r="N4478" i="34"/>
  <c r="R4478" i="34"/>
  <c r="S4478" i="34"/>
  <c r="T4478" i="34"/>
  <c r="V4478" i="34"/>
  <c r="W4478" i="34"/>
  <c r="X4478" i="34"/>
  <c r="N4479" i="34"/>
  <c r="R4479" i="34"/>
  <c r="S4479" i="34"/>
  <c r="T4479" i="34"/>
  <c r="V4479" i="34"/>
  <c r="W4479" i="34"/>
  <c r="X4479" i="34"/>
  <c r="N4480" i="34"/>
  <c r="R4480" i="34"/>
  <c r="S4480" i="34"/>
  <c r="T4480" i="34"/>
  <c r="V4480" i="34"/>
  <c r="W4480" i="34"/>
  <c r="X4480" i="34"/>
  <c r="N4481" i="34"/>
  <c r="R4481" i="34"/>
  <c r="S4481" i="34"/>
  <c r="T4481" i="34"/>
  <c r="V4481" i="34"/>
  <c r="W4481" i="34"/>
  <c r="X4481" i="34"/>
  <c r="N4482" i="34"/>
  <c r="R4482" i="34"/>
  <c r="S4482" i="34"/>
  <c r="T4482" i="34"/>
  <c r="V4482" i="34"/>
  <c r="W4482" i="34"/>
  <c r="X4482" i="34"/>
  <c r="N4483" i="34"/>
  <c r="R4483" i="34"/>
  <c r="S4483" i="34"/>
  <c r="T4483" i="34"/>
  <c r="V4483" i="34"/>
  <c r="W4483" i="34"/>
  <c r="X4483" i="34"/>
  <c r="N4484" i="34"/>
  <c r="R4484" i="34"/>
  <c r="S4484" i="34"/>
  <c r="T4484" i="34"/>
  <c r="V4484" i="34"/>
  <c r="W4484" i="34"/>
  <c r="X4484" i="34"/>
  <c r="N4485" i="34"/>
  <c r="R4485" i="34"/>
  <c r="S4485" i="34"/>
  <c r="T4485" i="34"/>
  <c r="V4485" i="34"/>
  <c r="W4485" i="34"/>
  <c r="X4485" i="34"/>
  <c r="N4486" i="34"/>
  <c r="R4486" i="34"/>
  <c r="S4486" i="34"/>
  <c r="T4486" i="34"/>
  <c r="V4486" i="34"/>
  <c r="W4486" i="34"/>
  <c r="X4486" i="34"/>
  <c r="N4487" i="34"/>
  <c r="R4487" i="34"/>
  <c r="S4487" i="34"/>
  <c r="T4487" i="34"/>
  <c r="V4487" i="34"/>
  <c r="W4487" i="34"/>
  <c r="X4487" i="34"/>
  <c r="N4488" i="34"/>
  <c r="R4488" i="34"/>
  <c r="S4488" i="34"/>
  <c r="T4488" i="34"/>
  <c r="V4488" i="34"/>
  <c r="W4488" i="34"/>
  <c r="X4488" i="34"/>
  <c r="N4489" i="34"/>
  <c r="R4489" i="34"/>
  <c r="S4489" i="34"/>
  <c r="T4489" i="34"/>
  <c r="V4489" i="34"/>
  <c r="W4489" i="34"/>
  <c r="X4489" i="34"/>
  <c r="N4490" i="34"/>
  <c r="R4490" i="34"/>
  <c r="S4490" i="34"/>
  <c r="T4490" i="34"/>
  <c r="V4490" i="34"/>
  <c r="W4490" i="34"/>
  <c r="X4490" i="34"/>
  <c r="N4491" i="34"/>
  <c r="R4491" i="34"/>
  <c r="S4491" i="34"/>
  <c r="T4491" i="34"/>
  <c r="V4491" i="34"/>
  <c r="W4491" i="34"/>
  <c r="X4491" i="34"/>
  <c r="N4492" i="34"/>
  <c r="R4492" i="34"/>
  <c r="S4492" i="34"/>
  <c r="T4492" i="34"/>
  <c r="V4492" i="34"/>
  <c r="W4492" i="34"/>
  <c r="X4492" i="34"/>
  <c r="N4493" i="34"/>
  <c r="R4493" i="34"/>
  <c r="S4493" i="34"/>
  <c r="T4493" i="34"/>
  <c r="V4493" i="34"/>
  <c r="W4493" i="34"/>
  <c r="X4493" i="34"/>
  <c r="N4494" i="34"/>
  <c r="R4494" i="34"/>
  <c r="S4494" i="34"/>
  <c r="T4494" i="34"/>
  <c r="V4494" i="34"/>
  <c r="W4494" i="34"/>
  <c r="X4494" i="34"/>
  <c r="N4495" i="34"/>
  <c r="R4495" i="34"/>
  <c r="S4495" i="34"/>
  <c r="T4495" i="34"/>
  <c r="V4495" i="34"/>
  <c r="W4495" i="34"/>
  <c r="X4495" i="34"/>
  <c r="N4496" i="34"/>
  <c r="R4496" i="34"/>
  <c r="S4496" i="34"/>
  <c r="T4496" i="34"/>
  <c r="V4496" i="34"/>
  <c r="W4496" i="34"/>
  <c r="X4496" i="34"/>
  <c r="N4497" i="34"/>
  <c r="R4497" i="34"/>
  <c r="S4497" i="34"/>
  <c r="T4497" i="34"/>
  <c r="V4497" i="34"/>
  <c r="W4497" i="34"/>
  <c r="X4497" i="34"/>
  <c r="N4498" i="34"/>
  <c r="R4498" i="34"/>
  <c r="S4498" i="34"/>
  <c r="T4498" i="34"/>
  <c r="V4498" i="34"/>
  <c r="W4498" i="34"/>
  <c r="X4498" i="34"/>
  <c r="N4499" i="34"/>
  <c r="R4499" i="34"/>
  <c r="S4499" i="34"/>
  <c r="T4499" i="34"/>
  <c r="V4499" i="34"/>
  <c r="W4499" i="34"/>
  <c r="X4499" i="34"/>
  <c r="N4500" i="34"/>
  <c r="R4500" i="34"/>
  <c r="S4500" i="34"/>
  <c r="T4500" i="34"/>
  <c r="V4500" i="34"/>
  <c r="W4500" i="34"/>
  <c r="X4500" i="34"/>
  <c r="N4501" i="34"/>
  <c r="R4501" i="34"/>
  <c r="S4501" i="34"/>
  <c r="T4501" i="34"/>
  <c r="V4501" i="34"/>
  <c r="W4501" i="34"/>
  <c r="X4501" i="34"/>
  <c r="N4502" i="34"/>
  <c r="R4502" i="34"/>
  <c r="S4502" i="34"/>
  <c r="T4502" i="34"/>
  <c r="V4502" i="34"/>
  <c r="W4502" i="34"/>
  <c r="X4502" i="34"/>
  <c r="N4503" i="34"/>
  <c r="R4503" i="34"/>
  <c r="S4503" i="34"/>
  <c r="T4503" i="34"/>
  <c r="V4503" i="34"/>
  <c r="W4503" i="34"/>
  <c r="X4503" i="34"/>
  <c r="N4504" i="34"/>
  <c r="R4504" i="34"/>
  <c r="S4504" i="34"/>
  <c r="T4504" i="34"/>
  <c r="V4504" i="34"/>
  <c r="W4504" i="34"/>
  <c r="X4504" i="34"/>
  <c r="N4505" i="34"/>
  <c r="R4505" i="34"/>
  <c r="S4505" i="34"/>
  <c r="T4505" i="34"/>
  <c r="V4505" i="34"/>
  <c r="W4505" i="34"/>
  <c r="X4505" i="34"/>
  <c r="N4506" i="34"/>
  <c r="R4506" i="34"/>
  <c r="S4506" i="34"/>
  <c r="T4506" i="34"/>
  <c r="V4506" i="34"/>
  <c r="W4506" i="34"/>
  <c r="X4506" i="34"/>
  <c r="N4507" i="34"/>
  <c r="R4507" i="34"/>
  <c r="S4507" i="34"/>
  <c r="T4507" i="34"/>
  <c r="V4507" i="34"/>
  <c r="W4507" i="34"/>
  <c r="X4507" i="34"/>
  <c r="N4508" i="34"/>
  <c r="R4508" i="34"/>
  <c r="S4508" i="34"/>
  <c r="T4508" i="34"/>
  <c r="V4508" i="34"/>
  <c r="W4508" i="34"/>
  <c r="X4508" i="34"/>
  <c r="N4509" i="34"/>
  <c r="R4509" i="34"/>
  <c r="S4509" i="34"/>
  <c r="T4509" i="34"/>
  <c r="V4509" i="34"/>
  <c r="W4509" i="34"/>
  <c r="X4509" i="34"/>
  <c r="N4510" i="34"/>
  <c r="R4510" i="34"/>
  <c r="S4510" i="34"/>
  <c r="T4510" i="34"/>
  <c r="V4510" i="34"/>
  <c r="W4510" i="34"/>
  <c r="X4510" i="34"/>
  <c r="N4511" i="34"/>
  <c r="R4511" i="34"/>
  <c r="S4511" i="34"/>
  <c r="T4511" i="34"/>
  <c r="V4511" i="34"/>
  <c r="W4511" i="34"/>
  <c r="X4511" i="34"/>
  <c r="N4512" i="34"/>
  <c r="R4512" i="34"/>
  <c r="S4512" i="34"/>
  <c r="T4512" i="34"/>
  <c r="V4512" i="34"/>
  <c r="W4512" i="34"/>
  <c r="X4512" i="34"/>
  <c r="N4513" i="34"/>
  <c r="R4513" i="34"/>
  <c r="S4513" i="34"/>
  <c r="T4513" i="34"/>
  <c r="V4513" i="34"/>
  <c r="W4513" i="34"/>
  <c r="X4513" i="34"/>
  <c r="N4514" i="34"/>
  <c r="R4514" i="34"/>
  <c r="S4514" i="34"/>
  <c r="T4514" i="34"/>
  <c r="V4514" i="34"/>
  <c r="W4514" i="34"/>
  <c r="X4514" i="34"/>
  <c r="N4515" i="34"/>
  <c r="R4515" i="34"/>
  <c r="S4515" i="34"/>
  <c r="T4515" i="34"/>
  <c r="V4515" i="34"/>
  <c r="W4515" i="34"/>
  <c r="X4515" i="34"/>
  <c r="N4516" i="34"/>
  <c r="R4516" i="34"/>
  <c r="S4516" i="34"/>
  <c r="T4516" i="34"/>
  <c r="V4516" i="34"/>
  <c r="W4516" i="34"/>
  <c r="X4516" i="34"/>
  <c r="N4517" i="34"/>
  <c r="R4517" i="34"/>
  <c r="S4517" i="34"/>
  <c r="T4517" i="34"/>
  <c r="V4517" i="34"/>
  <c r="W4517" i="34"/>
  <c r="X4517" i="34"/>
  <c r="N4518" i="34"/>
  <c r="R4518" i="34"/>
  <c r="S4518" i="34"/>
  <c r="T4518" i="34"/>
  <c r="V4518" i="34"/>
  <c r="W4518" i="34"/>
  <c r="X4518" i="34"/>
  <c r="N4519" i="34"/>
  <c r="R4519" i="34"/>
  <c r="S4519" i="34"/>
  <c r="T4519" i="34"/>
  <c r="V4519" i="34"/>
  <c r="W4519" i="34"/>
  <c r="X4519" i="34"/>
  <c r="N4520" i="34"/>
  <c r="R4520" i="34"/>
  <c r="S4520" i="34"/>
  <c r="T4520" i="34"/>
  <c r="V4520" i="34"/>
  <c r="W4520" i="34"/>
  <c r="X4520" i="34"/>
  <c r="N4521" i="34"/>
  <c r="R4521" i="34"/>
  <c r="S4521" i="34"/>
  <c r="T4521" i="34"/>
  <c r="V4521" i="34"/>
  <c r="W4521" i="34"/>
  <c r="X4521" i="34"/>
  <c r="N4522" i="34"/>
  <c r="R4522" i="34"/>
  <c r="S4522" i="34"/>
  <c r="T4522" i="34"/>
  <c r="V4522" i="34"/>
  <c r="W4522" i="34"/>
  <c r="X4522" i="34"/>
  <c r="N4523" i="34"/>
  <c r="R4523" i="34"/>
  <c r="S4523" i="34"/>
  <c r="T4523" i="34"/>
  <c r="V4523" i="34"/>
  <c r="W4523" i="34"/>
  <c r="X4523" i="34"/>
  <c r="N4524" i="34"/>
  <c r="R4524" i="34"/>
  <c r="S4524" i="34"/>
  <c r="T4524" i="34"/>
  <c r="V4524" i="34"/>
  <c r="W4524" i="34"/>
  <c r="X4524" i="34"/>
  <c r="N4525" i="34"/>
  <c r="R4525" i="34"/>
  <c r="S4525" i="34"/>
  <c r="T4525" i="34"/>
  <c r="V4525" i="34"/>
  <c r="W4525" i="34"/>
  <c r="X4525" i="34"/>
  <c r="N4526" i="34"/>
  <c r="R4526" i="34"/>
  <c r="S4526" i="34"/>
  <c r="T4526" i="34"/>
  <c r="V4526" i="34"/>
  <c r="W4526" i="34"/>
  <c r="X4526" i="34"/>
  <c r="N4527" i="34"/>
  <c r="R4527" i="34"/>
  <c r="S4527" i="34"/>
  <c r="T4527" i="34"/>
  <c r="V4527" i="34"/>
  <c r="W4527" i="34"/>
  <c r="X4527" i="34"/>
  <c r="N4528" i="34"/>
  <c r="R4528" i="34"/>
  <c r="S4528" i="34"/>
  <c r="T4528" i="34"/>
  <c r="V4528" i="34"/>
  <c r="W4528" i="34"/>
  <c r="X4528" i="34"/>
  <c r="N4529" i="34"/>
  <c r="R4529" i="34"/>
  <c r="S4529" i="34"/>
  <c r="T4529" i="34"/>
  <c r="V4529" i="34"/>
  <c r="W4529" i="34"/>
  <c r="X4529" i="34"/>
  <c r="N4530" i="34"/>
  <c r="R4530" i="34"/>
  <c r="S4530" i="34"/>
  <c r="T4530" i="34"/>
  <c r="V4530" i="34"/>
  <c r="W4530" i="34"/>
  <c r="X4530" i="34"/>
  <c r="N4531" i="34"/>
  <c r="R4531" i="34"/>
  <c r="S4531" i="34"/>
  <c r="T4531" i="34"/>
  <c r="V4531" i="34"/>
  <c r="W4531" i="34"/>
  <c r="X4531" i="34"/>
  <c r="N4532" i="34"/>
  <c r="R4532" i="34"/>
  <c r="S4532" i="34"/>
  <c r="T4532" i="34"/>
  <c r="V4532" i="34"/>
  <c r="W4532" i="34"/>
  <c r="X4532" i="34"/>
  <c r="N4533" i="34"/>
  <c r="R4533" i="34"/>
  <c r="S4533" i="34"/>
  <c r="T4533" i="34"/>
  <c r="V4533" i="34"/>
  <c r="W4533" i="34"/>
  <c r="X4533" i="34"/>
  <c r="N4534" i="34"/>
  <c r="R4534" i="34"/>
  <c r="S4534" i="34"/>
  <c r="T4534" i="34"/>
  <c r="V4534" i="34"/>
  <c r="W4534" i="34"/>
  <c r="X4534" i="34"/>
  <c r="N4535" i="34"/>
  <c r="R4535" i="34"/>
  <c r="S4535" i="34"/>
  <c r="T4535" i="34"/>
  <c r="V4535" i="34"/>
  <c r="W4535" i="34"/>
  <c r="X4535" i="34"/>
  <c r="N4536" i="34"/>
  <c r="R4536" i="34"/>
  <c r="S4536" i="34"/>
  <c r="T4536" i="34"/>
  <c r="V4536" i="34"/>
  <c r="W4536" i="34"/>
  <c r="X4536" i="34"/>
  <c r="N4537" i="34"/>
  <c r="R4537" i="34"/>
  <c r="S4537" i="34"/>
  <c r="T4537" i="34"/>
  <c r="V4537" i="34"/>
  <c r="W4537" i="34"/>
  <c r="X4537" i="34"/>
  <c r="N4538" i="34"/>
  <c r="R4538" i="34"/>
  <c r="S4538" i="34"/>
  <c r="T4538" i="34"/>
  <c r="V4538" i="34"/>
  <c r="W4538" i="34"/>
  <c r="X4538" i="34"/>
  <c r="N4539" i="34"/>
  <c r="R4539" i="34"/>
  <c r="S4539" i="34"/>
  <c r="T4539" i="34"/>
  <c r="V4539" i="34"/>
  <c r="W4539" i="34"/>
  <c r="X4539" i="34"/>
  <c r="N4540" i="34"/>
  <c r="R4540" i="34"/>
  <c r="S4540" i="34"/>
  <c r="T4540" i="34"/>
  <c r="V4540" i="34"/>
  <c r="W4540" i="34"/>
  <c r="X4540" i="34"/>
  <c r="N4541" i="34"/>
  <c r="R4541" i="34"/>
  <c r="S4541" i="34"/>
  <c r="T4541" i="34"/>
  <c r="V4541" i="34"/>
  <c r="W4541" i="34"/>
  <c r="X4541" i="34"/>
  <c r="N4542" i="34"/>
  <c r="R4542" i="34"/>
  <c r="S4542" i="34"/>
  <c r="T4542" i="34"/>
  <c r="V4542" i="34"/>
  <c r="W4542" i="34"/>
  <c r="X4542" i="34"/>
  <c r="N4543" i="34"/>
  <c r="R4543" i="34"/>
  <c r="S4543" i="34"/>
  <c r="T4543" i="34"/>
  <c r="V4543" i="34"/>
  <c r="W4543" i="34"/>
  <c r="X4543" i="34"/>
  <c r="N4544" i="34"/>
  <c r="R4544" i="34"/>
  <c r="S4544" i="34"/>
  <c r="T4544" i="34"/>
  <c r="V4544" i="34"/>
  <c r="W4544" i="34"/>
  <c r="X4544" i="34"/>
  <c r="N4545" i="34"/>
  <c r="R4545" i="34"/>
  <c r="S4545" i="34"/>
  <c r="T4545" i="34"/>
  <c r="V4545" i="34"/>
  <c r="W4545" i="34"/>
  <c r="X4545" i="34"/>
  <c r="N4546" i="34"/>
  <c r="R4546" i="34"/>
  <c r="S4546" i="34"/>
  <c r="T4546" i="34"/>
  <c r="V4546" i="34"/>
  <c r="W4546" i="34"/>
  <c r="X4546" i="34"/>
  <c r="N4547" i="34"/>
  <c r="R4547" i="34"/>
  <c r="S4547" i="34"/>
  <c r="T4547" i="34"/>
  <c r="V4547" i="34"/>
  <c r="W4547" i="34"/>
  <c r="X4547" i="34"/>
  <c r="N4548" i="34"/>
  <c r="R4548" i="34"/>
  <c r="S4548" i="34"/>
  <c r="T4548" i="34"/>
  <c r="V4548" i="34"/>
  <c r="W4548" i="34"/>
  <c r="X4548" i="34"/>
  <c r="N4549" i="34"/>
  <c r="R4549" i="34"/>
  <c r="S4549" i="34"/>
  <c r="T4549" i="34"/>
  <c r="V4549" i="34"/>
  <c r="W4549" i="34"/>
  <c r="X4549" i="34"/>
  <c r="N4550" i="34"/>
  <c r="R4550" i="34"/>
  <c r="S4550" i="34"/>
  <c r="T4550" i="34"/>
  <c r="V4550" i="34"/>
  <c r="W4550" i="34"/>
  <c r="X4550" i="34"/>
  <c r="N4551" i="34"/>
  <c r="R4551" i="34"/>
  <c r="S4551" i="34"/>
  <c r="T4551" i="34"/>
  <c r="V4551" i="34"/>
  <c r="W4551" i="34"/>
  <c r="X4551" i="34"/>
  <c r="N4552" i="34"/>
  <c r="R4552" i="34"/>
  <c r="S4552" i="34"/>
  <c r="T4552" i="34"/>
  <c r="V4552" i="34"/>
  <c r="W4552" i="34"/>
  <c r="X4552" i="34"/>
  <c r="N4553" i="34"/>
  <c r="R4553" i="34"/>
  <c r="S4553" i="34"/>
  <c r="T4553" i="34"/>
  <c r="V4553" i="34"/>
  <c r="W4553" i="34"/>
  <c r="X4553" i="34"/>
  <c r="N4554" i="34"/>
  <c r="R4554" i="34"/>
  <c r="S4554" i="34"/>
  <c r="T4554" i="34"/>
  <c r="V4554" i="34"/>
  <c r="W4554" i="34"/>
  <c r="X4554" i="34"/>
  <c r="N4555" i="34"/>
  <c r="R4555" i="34"/>
  <c r="S4555" i="34"/>
  <c r="T4555" i="34"/>
  <c r="V4555" i="34"/>
  <c r="W4555" i="34"/>
  <c r="X4555" i="34"/>
  <c r="N4556" i="34"/>
  <c r="R4556" i="34"/>
  <c r="S4556" i="34"/>
  <c r="T4556" i="34"/>
  <c r="V4556" i="34"/>
  <c r="W4556" i="34"/>
  <c r="X4556" i="34"/>
  <c r="N4557" i="34"/>
  <c r="R4557" i="34"/>
  <c r="S4557" i="34"/>
  <c r="T4557" i="34"/>
  <c r="V4557" i="34"/>
  <c r="W4557" i="34"/>
  <c r="X4557" i="34"/>
  <c r="N4558" i="34"/>
  <c r="R4558" i="34"/>
  <c r="S4558" i="34"/>
  <c r="T4558" i="34"/>
  <c r="V4558" i="34"/>
  <c r="W4558" i="34"/>
  <c r="X4558" i="34"/>
  <c r="N4559" i="34"/>
  <c r="R4559" i="34"/>
  <c r="S4559" i="34"/>
  <c r="T4559" i="34"/>
  <c r="V4559" i="34"/>
  <c r="W4559" i="34"/>
  <c r="X4559" i="34"/>
  <c r="N4560" i="34"/>
  <c r="R4560" i="34"/>
  <c r="S4560" i="34"/>
  <c r="T4560" i="34"/>
  <c r="V4560" i="34"/>
  <c r="W4560" i="34"/>
  <c r="X4560" i="34"/>
  <c r="N4561" i="34"/>
  <c r="R4561" i="34"/>
  <c r="S4561" i="34"/>
  <c r="T4561" i="34"/>
  <c r="V4561" i="34"/>
  <c r="W4561" i="34"/>
  <c r="X4561" i="34"/>
  <c r="N4562" i="34"/>
  <c r="R4562" i="34"/>
  <c r="S4562" i="34"/>
  <c r="T4562" i="34"/>
  <c r="V4562" i="34"/>
  <c r="W4562" i="34"/>
  <c r="X4562" i="34"/>
  <c r="N4563" i="34"/>
  <c r="R4563" i="34"/>
  <c r="S4563" i="34"/>
  <c r="T4563" i="34"/>
  <c r="V4563" i="34"/>
  <c r="W4563" i="34"/>
  <c r="X4563" i="34"/>
  <c r="N4564" i="34"/>
  <c r="R4564" i="34"/>
  <c r="S4564" i="34"/>
  <c r="T4564" i="34"/>
  <c r="V4564" i="34"/>
  <c r="W4564" i="34"/>
  <c r="X4564" i="34"/>
  <c r="N4565" i="34"/>
  <c r="R4565" i="34"/>
  <c r="S4565" i="34"/>
  <c r="T4565" i="34"/>
  <c r="V4565" i="34"/>
  <c r="W4565" i="34"/>
  <c r="X4565" i="34"/>
  <c r="N4566" i="34"/>
  <c r="R4566" i="34"/>
  <c r="S4566" i="34"/>
  <c r="T4566" i="34"/>
  <c r="V4566" i="34"/>
  <c r="W4566" i="34"/>
  <c r="X4566" i="34"/>
  <c r="N4567" i="34"/>
  <c r="R4567" i="34"/>
  <c r="S4567" i="34"/>
  <c r="T4567" i="34"/>
  <c r="V4567" i="34"/>
  <c r="W4567" i="34"/>
  <c r="X4567" i="34"/>
  <c r="N4568" i="34"/>
  <c r="R4568" i="34"/>
  <c r="S4568" i="34"/>
  <c r="T4568" i="34"/>
  <c r="V4568" i="34"/>
  <c r="W4568" i="34"/>
  <c r="X4568" i="34"/>
  <c r="N4569" i="34"/>
  <c r="R4569" i="34"/>
  <c r="S4569" i="34"/>
  <c r="T4569" i="34"/>
  <c r="V4569" i="34"/>
  <c r="W4569" i="34"/>
  <c r="X4569" i="34"/>
  <c r="N4570" i="34"/>
  <c r="R4570" i="34"/>
  <c r="S4570" i="34"/>
  <c r="T4570" i="34"/>
  <c r="V4570" i="34"/>
  <c r="W4570" i="34"/>
  <c r="X4570" i="34"/>
  <c r="N4571" i="34"/>
  <c r="R4571" i="34"/>
  <c r="S4571" i="34"/>
  <c r="T4571" i="34"/>
  <c r="V4571" i="34"/>
  <c r="W4571" i="34"/>
  <c r="X4571" i="34"/>
  <c r="N4572" i="34"/>
  <c r="R4572" i="34"/>
  <c r="S4572" i="34"/>
  <c r="T4572" i="34"/>
  <c r="V4572" i="34"/>
  <c r="W4572" i="34"/>
  <c r="X4572" i="34"/>
  <c r="N4573" i="34"/>
  <c r="R4573" i="34"/>
  <c r="S4573" i="34"/>
  <c r="T4573" i="34"/>
  <c r="V4573" i="34"/>
  <c r="W4573" i="34"/>
  <c r="X4573" i="34"/>
  <c r="N4574" i="34"/>
  <c r="R4574" i="34"/>
  <c r="S4574" i="34"/>
  <c r="T4574" i="34"/>
  <c r="V4574" i="34"/>
  <c r="W4574" i="34"/>
  <c r="X4574" i="34"/>
  <c r="N4575" i="34"/>
  <c r="R4575" i="34"/>
  <c r="S4575" i="34"/>
  <c r="T4575" i="34"/>
  <c r="V4575" i="34"/>
  <c r="W4575" i="34"/>
  <c r="X4575" i="34"/>
  <c r="N4576" i="34"/>
  <c r="R4576" i="34"/>
  <c r="S4576" i="34"/>
  <c r="T4576" i="34"/>
  <c r="V4576" i="34"/>
  <c r="W4576" i="34"/>
  <c r="X4576" i="34"/>
  <c r="N4577" i="34"/>
  <c r="R4577" i="34"/>
  <c r="S4577" i="34"/>
  <c r="T4577" i="34"/>
  <c r="V4577" i="34"/>
  <c r="W4577" i="34"/>
  <c r="X4577" i="34"/>
  <c r="N4578" i="34"/>
  <c r="R4578" i="34"/>
  <c r="S4578" i="34"/>
  <c r="T4578" i="34"/>
  <c r="V4578" i="34"/>
  <c r="W4578" i="34"/>
  <c r="X4578" i="34"/>
  <c r="N4579" i="34"/>
  <c r="R4579" i="34"/>
  <c r="S4579" i="34"/>
  <c r="T4579" i="34"/>
  <c r="V4579" i="34"/>
  <c r="W4579" i="34"/>
  <c r="X4579" i="34"/>
  <c r="N4580" i="34"/>
  <c r="R4580" i="34"/>
  <c r="S4580" i="34"/>
  <c r="T4580" i="34"/>
  <c r="V4580" i="34"/>
  <c r="W4580" i="34"/>
  <c r="X4580" i="34"/>
  <c r="N4581" i="34"/>
  <c r="R4581" i="34"/>
  <c r="S4581" i="34"/>
  <c r="T4581" i="34"/>
  <c r="V4581" i="34"/>
  <c r="W4581" i="34"/>
  <c r="X4581" i="34"/>
  <c r="N4582" i="34"/>
  <c r="R4582" i="34"/>
  <c r="S4582" i="34"/>
  <c r="T4582" i="34"/>
  <c r="V4582" i="34"/>
  <c r="W4582" i="34"/>
  <c r="X4582" i="34"/>
  <c r="N4583" i="34"/>
  <c r="R4583" i="34"/>
  <c r="S4583" i="34"/>
  <c r="T4583" i="34"/>
  <c r="V4583" i="34"/>
  <c r="W4583" i="34"/>
  <c r="X4583" i="34"/>
  <c r="N4584" i="34"/>
  <c r="R4584" i="34"/>
  <c r="S4584" i="34"/>
  <c r="T4584" i="34"/>
  <c r="V4584" i="34"/>
  <c r="W4584" i="34"/>
  <c r="X4584" i="34"/>
  <c r="N4585" i="34"/>
  <c r="R4585" i="34"/>
  <c r="S4585" i="34"/>
  <c r="T4585" i="34"/>
  <c r="V4585" i="34"/>
  <c r="W4585" i="34"/>
  <c r="X4585" i="34"/>
  <c r="N4586" i="34"/>
  <c r="R4586" i="34"/>
  <c r="S4586" i="34"/>
  <c r="T4586" i="34"/>
  <c r="V4586" i="34"/>
  <c r="W4586" i="34"/>
  <c r="X4586" i="34"/>
  <c r="N4587" i="34"/>
  <c r="R4587" i="34"/>
  <c r="S4587" i="34"/>
  <c r="T4587" i="34"/>
  <c r="V4587" i="34"/>
  <c r="W4587" i="34"/>
  <c r="X4587" i="34"/>
  <c r="N4588" i="34"/>
  <c r="R4588" i="34"/>
  <c r="S4588" i="34"/>
  <c r="T4588" i="34"/>
  <c r="V4588" i="34"/>
  <c r="W4588" i="34"/>
  <c r="X4588" i="34"/>
  <c r="N4589" i="34"/>
  <c r="R4589" i="34"/>
  <c r="S4589" i="34"/>
  <c r="T4589" i="34"/>
  <c r="V4589" i="34"/>
  <c r="W4589" i="34"/>
  <c r="X4589" i="34"/>
  <c r="N4590" i="34"/>
  <c r="R4590" i="34"/>
  <c r="S4590" i="34"/>
  <c r="T4590" i="34"/>
  <c r="V4590" i="34"/>
  <c r="W4590" i="34"/>
  <c r="X4590" i="34"/>
  <c r="N4591" i="34"/>
  <c r="R4591" i="34"/>
  <c r="S4591" i="34"/>
  <c r="T4591" i="34"/>
  <c r="V4591" i="34"/>
  <c r="W4591" i="34"/>
  <c r="X4591" i="34"/>
  <c r="N4592" i="34"/>
  <c r="R4592" i="34"/>
  <c r="S4592" i="34"/>
  <c r="T4592" i="34"/>
  <c r="V4592" i="34"/>
  <c r="W4592" i="34"/>
  <c r="X4592" i="34"/>
  <c r="N4593" i="34"/>
  <c r="R4593" i="34"/>
  <c r="S4593" i="34"/>
  <c r="T4593" i="34"/>
  <c r="V4593" i="34"/>
  <c r="W4593" i="34"/>
  <c r="X4593" i="34"/>
  <c r="N4594" i="34"/>
  <c r="R4594" i="34"/>
  <c r="S4594" i="34"/>
  <c r="T4594" i="34"/>
  <c r="V4594" i="34"/>
  <c r="W4594" i="34"/>
  <c r="X4594" i="34"/>
  <c r="N4595" i="34"/>
  <c r="R4595" i="34"/>
  <c r="S4595" i="34"/>
  <c r="T4595" i="34"/>
  <c r="V4595" i="34"/>
  <c r="W4595" i="34"/>
  <c r="X4595" i="34"/>
  <c r="N4596" i="34"/>
  <c r="R4596" i="34"/>
  <c r="S4596" i="34"/>
  <c r="T4596" i="34"/>
  <c r="V4596" i="34"/>
  <c r="W4596" i="34"/>
  <c r="X4596" i="34"/>
  <c r="N4597" i="34"/>
  <c r="R4597" i="34"/>
  <c r="S4597" i="34"/>
  <c r="T4597" i="34"/>
  <c r="V4597" i="34"/>
  <c r="W4597" i="34"/>
  <c r="X4597" i="34"/>
  <c r="N4598" i="34"/>
  <c r="R4598" i="34"/>
  <c r="S4598" i="34"/>
  <c r="T4598" i="34"/>
  <c r="V4598" i="34"/>
  <c r="W4598" i="34"/>
  <c r="X4598" i="34"/>
  <c r="N4599" i="34"/>
  <c r="R4599" i="34"/>
  <c r="S4599" i="34"/>
  <c r="T4599" i="34"/>
  <c r="V4599" i="34"/>
  <c r="W4599" i="34"/>
  <c r="X4599" i="34"/>
  <c r="N4600" i="34"/>
  <c r="R4600" i="34"/>
  <c r="S4600" i="34"/>
  <c r="T4600" i="34"/>
  <c r="V4600" i="34"/>
  <c r="W4600" i="34"/>
  <c r="X4600" i="34"/>
  <c r="N4601" i="34"/>
  <c r="R4601" i="34"/>
  <c r="S4601" i="34"/>
  <c r="T4601" i="34"/>
  <c r="V4601" i="34"/>
  <c r="W4601" i="34"/>
  <c r="X4601" i="34"/>
  <c r="N4602" i="34"/>
  <c r="R4602" i="34"/>
  <c r="S4602" i="34"/>
  <c r="T4602" i="34"/>
  <c r="V4602" i="34"/>
  <c r="W4602" i="34"/>
  <c r="X4602" i="34"/>
  <c r="N4603" i="34"/>
  <c r="R4603" i="34"/>
  <c r="S4603" i="34"/>
  <c r="T4603" i="34"/>
  <c r="V4603" i="34"/>
  <c r="W4603" i="34"/>
  <c r="X4603" i="34"/>
  <c r="N4604" i="34"/>
  <c r="R4604" i="34"/>
  <c r="S4604" i="34"/>
  <c r="T4604" i="34"/>
  <c r="V4604" i="34"/>
  <c r="W4604" i="34"/>
  <c r="X4604" i="34"/>
  <c r="N4605" i="34"/>
  <c r="R4605" i="34"/>
  <c r="S4605" i="34"/>
  <c r="T4605" i="34"/>
  <c r="V4605" i="34"/>
  <c r="W4605" i="34"/>
  <c r="X4605" i="34"/>
  <c r="N4606" i="34"/>
  <c r="R4606" i="34"/>
  <c r="S4606" i="34"/>
  <c r="T4606" i="34"/>
  <c r="V4606" i="34"/>
  <c r="W4606" i="34"/>
  <c r="X4606" i="34"/>
  <c r="N4607" i="34"/>
  <c r="R4607" i="34"/>
  <c r="S4607" i="34"/>
  <c r="T4607" i="34"/>
  <c r="V4607" i="34"/>
  <c r="W4607" i="34"/>
  <c r="X4607" i="34"/>
  <c r="N4608" i="34"/>
  <c r="R4608" i="34"/>
  <c r="S4608" i="34"/>
  <c r="T4608" i="34"/>
  <c r="V4608" i="34"/>
  <c r="W4608" i="34"/>
  <c r="X4608" i="34"/>
  <c r="N4609" i="34"/>
  <c r="R4609" i="34"/>
  <c r="S4609" i="34"/>
  <c r="T4609" i="34"/>
  <c r="V4609" i="34"/>
  <c r="W4609" i="34"/>
  <c r="X4609" i="34"/>
  <c r="N4610" i="34"/>
  <c r="R4610" i="34"/>
  <c r="S4610" i="34"/>
  <c r="T4610" i="34"/>
  <c r="V4610" i="34"/>
  <c r="W4610" i="34"/>
  <c r="X4610" i="34"/>
  <c r="N4611" i="34"/>
  <c r="R4611" i="34"/>
  <c r="S4611" i="34"/>
  <c r="T4611" i="34"/>
  <c r="V4611" i="34"/>
  <c r="W4611" i="34"/>
  <c r="X4611" i="34"/>
  <c r="N4612" i="34"/>
  <c r="R4612" i="34"/>
  <c r="S4612" i="34"/>
  <c r="T4612" i="34"/>
  <c r="V4612" i="34"/>
  <c r="W4612" i="34"/>
  <c r="X4612" i="34"/>
  <c r="N4613" i="34"/>
  <c r="R4613" i="34"/>
  <c r="S4613" i="34"/>
  <c r="T4613" i="34"/>
  <c r="V4613" i="34"/>
  <c r="W4613" i="34"/>
  <c r="X4613" i="34"/>
  <c r="N4614" i="34"/>
  <c r="R4614" i="34"/>
  <c r="S4614" i="34"/>
  <c r="T4614" i="34"/>
  <c r="V4614" i="34"/>
  <c r="W4614" i="34"/>
  <c r="X4614" i="34"/>
  <c r="N4615" i="34"/>
  <c r="R4615" i="34"/>
  <c r="S4615" i="34"/>
  <c r="T4615" i="34"/>
  <c r="V4615" i="34"/>
  <c r="W4615" i="34"/>
  <c r="X4615" i="34"/>
  <c r="N4616" i="34"/>
  <c r="R4616" i="34"/>
  <c r="S4616" i="34"/>
  <c r="T4616" i="34"/>
  <c r="V4616" i="34"/>
  <c r="W4616" i="34"/>
  <c r="X4616" i="34"/>
  <c r="N4617" i="34"/>
  <c r="R4617" i="34"/>
  <c r="S4617" i="34"/>
  <c r="T4617" i="34"/>
  <c r="V4617" i="34"/>
  <c r="W4617" i="34"/>
  <c r="X4617" i="34"/>
  <c r="N4618" i="34"/>
  <c r="R4618" i="34"/>
  <c r="S4618" i="34"/>
  <c r="T4618" i="34"/>
  <c r="V4618" i="34"/>
  <c r="W4618" i="34"/>
  <c r="X4618" i="34"/>
  <c r="N4619" i="34"/>
  <c r="R4619" i="34"/>
  <c r="S4619" i="34"/>
  <c r="T4619" i="34"/>
  <c r="V4619" i="34"/>
  <c r="W4619" i="34"/>
  <c r="X4619" i="34"/>
  <c r="N4620" i="34"/>
  <c r="R4620" i="34"/>
  <c r="S4620" i="34"/>
  <c r="T4620" i="34"/>
  <c r="V4620" i="34"/>
  <c r="W4620" i="34"/>
  <c r="X4620" i="34"/>
  <c r="N4621" i="34"/>
  <c r="R4621" i="34"/>
  <c r="S4621" i="34"/>
  <c r="T4621" i="34"/>
  <c r="V4621" i="34"/>
  <c r="W4621" i="34"/>
  <c r="X4621" i="34"/>
  <c r="N4622" i="34"/>
  <c r="R4622" i="34"/>
  <c r="S4622" i="34"/>
  <c r="T4622" i="34"/>
  <c r="V4622" i="34"/>
  <c r="W4622" i="34"/>
  <c r="X4622" i="34"/>
  <c r="N4623" i="34"/>
  <c r="R4623" i="34"/>
  <c r="S4623" i="34"/>
  <c r="T4623" i="34"/>
  <c r="V4623" i="34"/>
  <c r="W4623" i="34"/>
  <c r="X4623" i="34"/>
  <c r="N4624" i="34"/>
  <c r="R4624" i="34"/>
  <c r="S4624" i="34"/>
  <c r="T4624" i="34"/>
  <c r="V4624" i="34"/>
  <c r="W4624" i="34"/>
  <c r="X4624" i="34"/>
  <c r="N4625" i="34"/>
  <c r="R4625" i="34"/>
  <c r="S4625" i="34"/>
  <c r="T4625" i="34"/>
  <c r="V4625" i="34"/>
  <c r="W4625" i="34"/>
  <c r="X4625" i="34"/>
  <c r="N4626" i="34"/>
  <c r="R4626" i="34"/>
  <c r="S4626" i="34"/>
  <c r="T4626" i="34"/>
  <c r="V4626" i="34"/>
  <c r="W4626" i="34"/>
  <c r="X4626" i="34"/>
  <c r="N4627" i="34"/>
  <c r="R4627" i="34"/>
  <c r="S4627" i="34"/>
  <c r="T4627" i="34"/>
  <c r="V4627" i="34"/>
  <c r="W4627" i="34"/>
  <c r="X4627" i="34"/>
  <c r="N4628" i="34"/>
  <c r="R4628" i="34"/>
  <c r="S4628" i="34"/>
  <c r="T4628" i="34"/>
  <c r="V4628" i="34"/>
  <c r="W4628" i="34"/>
  <c r="X4628" i="34"/>
  <c r="N4629" i="34"/>
  <c r="R4629" i="34"/>
  <c r="S4629" i="34"/>
  <c r="T4629" i="34"/>
  <c r="V4629" i="34"/>
  <c r="W4629" i="34"/>
  <c r="X4629" i="34"/>
  <c r="N4630" i="34"/>
  <c r="R4630" i="34"/>
  <c r="S4630" i="34"/>
  <c r="T4630" i="34"/>
  <c r="V4630" i="34"/>
  <c r="W4630" i="34"/>
  <c r="X4630" i="34"/>
  <c r="N4631" i="34"/>
  <c r="R4631" i="34"/>
  <c r="S4631" i="34"/>
  <c r="T4631" i="34"/>
  <c r="V4631" i="34"/>
  <c r="W4631" i="34"/>
  <c r="X4631" i="34"/>
  <c r="N4632" i="34"/>
  <c r="R4632" i="34"/>
  <c r="S4632" i="34"/>
  <c r="T4632" i="34"/>
  <c r="V4632" i="34"/>
  <c r="W4632" i="34"/>
  <c r="X4632" i="34"/>
  <c r="N4633" i="34"/>
  <c r="R4633" i="34"/>
  <c r="S4633" i="34"/>
  <c r="T4633" i="34"/>
  <c r="V4633" i="34"/>
  <c r="W4633" i="34"/>
  <c r="X4633" i="34"/>
  <c r="N4634" i="34"/>
  <c r="R4634" i="34"/>
  <c r="S4634" i="34"/>
  <c r="T4634" i="34"/>
  <c r="V4634" i="34"/>
  <c r="W4634" i="34"/>
  <c r="X4634" i="34"/>
  <c r="N4635" i="34"/>
  <c r="R4635" i="34"/>
  <c r="S4635" i="34"/>
  <c r="T4635" i="34"/>
  <c r="V4635" i="34"/>
  <c r="W4635" i="34"/>
  <c r="X4635" i="34"/>
  <c r="N4636" i="34"/>
  <c r="R4636" i="34"/>
  <c r="S4636" i="34"/>
  <c r="T4636" i="34"/>
  <c r="V4636" i="34"/>
  <c r="W4636" i="34"/>
  <c r="X4636" i="34"/>
  <c r="N4637" i="34"/>
  <c r="R4637" i="34"/>
  <c r="S4637" i="34"/>
  <c r="T4637" i="34"/>
  <c r="V4637" i="34"/>
  <c r="W4637" i="34"/>
  <c r="X4637" i="34"/>
  <c r="N4638" i="34"/>
  <c r="R4638" i="34"/>
  <c r="S4638" i="34"/>
  <c r="T4638" i="34"/>
  <c r="V4638" i="34"/>
  <c r="W4638" i="34"/>
  <c r="X4638" i="34"/>
  <c r="N4639" i="34"/>
  <c r="R4639" i="34"/>
  <c r="S4639" i="34"/>
  <c r="T4639" i="34"/>
  <c r="V4639" i="34"/>
  <c r="W4639" i="34"/>
  <c r="X4639" i="34"/>
  <c r="N4640" i="34"/>
  <c r="R4640" i="34"/>
  <c r="S4640" i="34"/>
  <c r="T4640" i="34"/>
  <c r="V4640" i="34"/>
  <c r="W4640" i="34"/>
  <c r="X4640" i="34"/>
  <c r="N4641" i="34"/>
  <c r="R4641" i="34"/>
  <c r="S4641" i="34"/>
  <c r="T4641" i="34"/>
  <c r="V4641" i="34"/>
  <c r="W4641" i="34"/>
  <c r="X4641" i="34"/>
  <c r="N4642" i="34"/>
  <c r="R4642" i="34"/>
  <c r="S4642" i="34"/>
  <c r="T4642" i="34"/>
  <c r="V4642" i="34"/>
  <c r="W4642" i="34"/>
  <c r="X4642" i="34"/>
  <c r="N4643" i="34"/>
  <c r="R4643" i="34"/>
  <c r="S4643" i="34"/>
  <c r="T4643" i="34"/>
  <c r="V4643" i="34"/>
  <c r="W4643" i="34"/>
  <c r="X4643" i="34"/>
  <c r="N4644" i="34"/>
  <c r="R4644" i="34"/>
  <c r="S4644" i="34"/>
  <c r="T4644" i="34"/>
  <c r="V4644" i="34"/>
  <c r="W4644" i="34"/>
  <c r="X4644" i="34"/>
  <c r="N4645" i="34"/>
  <c r="R4645" i="34"/>
  <c r="S4645" i="34"/>
  <c r="T4645" i="34"/>
  <c r="V4645" i="34"/>
  <c r="W4645" i="34"/>
  <c r="X4645" i="34"/>
  <c r="N4646" i="34"/>
  <c r="R4646" i="34"/>
  <c r="S4646" i="34"/>
  <c r="T4646" i="34"/>
  <c r="V4646" i="34"/>
  <c r="W4646" i="34"/>
  <c r="X4646" i="34"/>
  <c r="N4647" i="34"/>
  <c r="R4647" i="34"/>
  <c r="S4647" i="34"/>
  <c r="T4647" i="34"/>
  <c r="V4647" i="34"/>
  <c r="W4647" i="34"/>
  <c r="X4647" i="34"/>
  <c r="N4648" i="34"/>
  <c r="R4648" i="34"/>
  <c r="S4648" i="34"/>
  <c r="T4648" i="34"/>
  <c r="V4648" i="34"/>
  <c r="W4648" i="34"/>
  <c r="X4648" i="34"/>
  <c r="N4649" i="34"/>
  <c r="R4649" i="34"/>
  <c r="S4649" i="34"/>
  <c r="T4649" i="34"/>
  <c r="V4649" i="34"/>
  <c r="W4649" i="34"/>
  <c r="X4649" i="34"/>
  <c r="N4650" i="34"/>
  <c r="R4650" i="34"/>
  <c r="S4650" i="34"/>
  <c r="T4650" i="34"/>
  <c r="V4650" i="34"/>
  <c r="W4650" i="34"/>
  <c r="X4650" i="34"/>
  <c r="N4651" i="34"/>
  <c r="R4651" i="34"/>
  <c r="S4651" i="34"/>
  <c r="T4651" i="34"/>
  <c r="V4651" i="34"/>
  <c r="W4651" i="34"/>
  <c r="X4651" i="34"/>
  <c r="N4652" i="34"/>
  <c r="R4652" i="34"/>
  <c r="S4652" i="34"/>
  <c r="T4652" i="34"/>
  <c r="V4652" i="34"/>
  <c r="W4652" i="34"/>
  <c r="X4652" i="34"/>
  <c r="N4653" i="34"/>
  <c r="R4653" i="34"/>
  <c r="S4653" i="34"/>
  <c r="T4653" i="34"/>
  <c r="V4653" i="34"/>
  <c r="W4653" i="34"/>
  <c r="X4653" i="34"/>
  <c r="N4654" i="34"/>
  <c r="R4654" i="34"/>
  <c r="S4654" i="34"/>
  <c r="T4654" i="34"/>
  <c r="V4654" i="34"/>
  <c r="W4654" i="34"/>
  <c r="X4654" i="34"/>
  <c r="N4655" i="34"/>
  <c r="R4655" i="34"/>
  <c r="S4655" i="34"/>
  <c r="T4655" i="34"/>
  <c r="V4655" i="34"/>
  <c r="W4655" i="34"/>
  <c r="X4655" i="34"/>
  <c r="N4656" i="34"/>
  <c r="R4656" i="34"/>
  <c r="S4656" i="34"/>
  <c r="T4656" i="34"/>
  <c r="V4656" i="34"/>
  <c r="W4656" i="34"/>
  <c r="X4656" i="34"/>
  <c r="N4657" i="34"/>
  <c r="R4657" i="34"/>
  <c r="S4657" i="34"/>
  <c r="T4657" i="34"/>
  <c r="V4657" i="34"/>
  <c r="W4657" i="34"/>
  <c r="X4657" i="34"/>
  <c r="N4658" i="34"/>
  <c r="R4658" i="34"/>
  <c r="S4658" i="34"/>
  <c r="T4658" i="34"/>
  <c r="V4658" i="34"/>
  <c r="W4658" i="34"/>
  <c r="X4658" i="34"/>
  <c r="N4659" i="34"/>
  <c r="R4659" i="34"/>
  <c r="S4659" i="34"/>
  <c r="T4659" i="34"/>
  <c r="V4659" i="34"/>
  <c r="W4659" i="34"/>
  <c r="X4659" i="34"/>
  <c r="N4660" i="34"/>
  <c r="R4660" i="34"/>
  <c r="S4660" i="34"/>
  <c r="T4660" i="34"/>
  <c r="V4660" i="34"/>
  <c r="W4660" i="34"/>
  <c r="X4660" i="34"/>
  <c r="N4661" i="34"/>
  <c r="R4661" i="34"/>
  <c r="S4661" i="34"/>
  <c r="T4661" i="34"/>
  <c r="V4661" i="34"/>
  <c r="W4661" i="34"/>
  <c r="X4661" i="34"/>
  <c r="N4662" i="34"/>
  <c r="R4662" i="34"/>
  <c r="S4662" i="34"/>
  <c r="T4662" i="34"/>
  <c r="V4662" i="34"/>
  <c r="W4662" i="34"/>
  <c r="X4662" i="34"/>
  <c r="N4663" i="34"/>
  <c r="R4663" i="34"/>
  <c r="S4663" i="34"/>
  <c r="T4663" i="34"/>
  <c r="V4663" i="34"/>
  <c r="W4663" i="34"/>
  <c r="X4663" i="34"/>
  <c r="N4664" i="34"/>
  <c r="R4664" i="34"/>
  <c r="S4664" i="34"/>
  <c r="T4664" i="34"/>
  <c r="V4664" i="34"/>
  <c r="W4664" i="34"/>
  <c r="X4664" i="34"/>
  <c r="N4665" i="34"/>
  <c r="R4665" i="34"/>
  <c r="S4665" i="34"/>
  <c r="T4665" i="34"/>
  <c r="V4665" i="34"/>
  <c r="W4665" i="34"/>
  <c r="X4665" i="34"/>
  <c r="N4666" i="34"/>
  <c r="R4666" i="34"/>
  <c r="S4666" i="34"/>
  <c r="T4666" i="34"/>
  <c r="V4666" i="34"/>
  <c r="W4666" i="34"/>
  <c r="X4666" i="34"/>
  <c r="N4667" i="34"/>
  <c r="R4667" i="34"/>
  <c r="S4667" i="34"/>
  <c r="T4667" i="34"/>
  <c r="V4667" i="34"/>
  <c r="W4667" i="34"/>
  <c r="X4667" i="34"/>
  <c r="N4668" i="34"/>
  <c r="R4668" i="34"/>
  <c r="S4668" i="34"/>
  <c r="T4668" i="34"/>
  <c r="V4668" i="34"/>
  <c r="W4668" i="34"/>
  <c r="X4668" i="34"/>
  <c r="N4669" i="34"/>
  <c r="R4669" i="34"/>
  <c r="S4669" i="34"/>
  <c r="T4669" i="34"/>
  <c r="V4669" i="34"/>
  <c r="W4669" i="34"/>
  <c r="X4669" i="34"/>
  <c r="N4670" i="34"/>
  <c r="R4670" i="34"/>
  <c r="S4670" i="34"/>
  <c r="T4670" i="34"/>
  <c r="V4670" i="34"/>
  <c r="W4670" i="34"/>
  <c r="X4670" i="34"/>
  <c r="N4671" i="34"/>
  <c r="R4671" i="34"/>
  <c r="S4671" i="34"/>
  <c r="T4671" i="34"/>
  <c r="V4671" i="34"/>
  <c r="W4671" i="34"/>
  <c r="X4671" i="34"/>
  <c r="N4672" i="34"/>
  <c r="R4672" i="34"/>
  <c r="S4672" i="34"/>
  <c r="T4672" i="34"/>
  <c r="V4672" i="34"/>
  <c r="W4672" i="34"/>
  <c r="X4672" i="34"/>
  <c r="N4673" i="34"/>
  <c r="R4673" i="34"/>
  <c r="S4673" i="34"/>
  <c r="T4673" i="34"/>
  <c r="V4673" i="34"/>
  <c r="W4673" i="34"/>
  <c r="X4673" i="34"/>
  <c r="N4674" i="34"/>
  <c r="R4674" i="34"/>
  <c r="S4674" i="34"/>
  <c r="T4674" i="34"/>
  <c r="V4674" i="34"/>
  <c r="W4674" i="34"/>
  <c r="X4674" i="34"/>
  <c r="N4675" i="34"/>
  <c r="R4675" i="34"/>
  <c r="S4675" i="34"/>
  <c r="T4675" i="34"/>
  <c r="V4675" i="34"/>
  <c r="W4675" i="34"/>
  <c r="X4675" i="34"/>
  <c r="N4676" i="34"/>
  <c r="R4676" i="34"/>
  <c r="S4676" i="34"/>
  <c r="T4676" i="34"/>
  <c r="V4676" i="34"/>
  <c r="W4676" i="34"/>
  <c r="X4676" i="34"/>
  <c r="N4677" i="34"/>
  <c r="R4677" i="34"/>
  <c r="S4677" i="34"/>
  <c r="T4677" i="34"/>
  <c r="V4677" i="34"/>
  <c r="W4677" i="34"/>
  <c r="X4677" i="34"/>
  <c r="N4678" i="34"/>
  <c r="R4678" i="34"/>
  <c r="S4678" i="34"/>
  <c r="T4678" i="34"/>
  <c r="V4678" i="34"/>
  <c r="W4678" i="34"/>
  <c r="X4678" i="34"/>
  <c r="N4679" i="34"/>
  <c r="R4679" i="34"/>
  <c r="S4679" i="34"/>
  <c r="T4679" i="34"/>
  <c r="V4679" i="34"/>
  <c r="W4679" i="34"/>
  <c r="X4679" i="34"/>
  <c r="N4680" i="34"/>
  <c r="R4680" i="34"/>
  <c r="S4680" i="34"/>
  <c r="T4680" i="34"/>
  <c r="V4680" i="34"/>
  <c r="W4680" i="34"/>
  <c r="X4680" i="34"/>
  <c r="N4681" i="34"/>
  <c r="R4681" i="34"/>
  <c r="S4681" i="34"/>
  <c r="T4681" i="34"/>
  <c r="V4681" i="34"/>
  <c r="W4681" i="34"/>
  <c r="X4681" i="34"/>
  <c r="N4682" i="34"/>
  <c r="R4682" i="34"/>
  <c r="S4682" i="34"/>
  <c r="T4682" i="34"/>
  <c r="V4682" i="34"/>
  <c r="W4682" i="34"/>
  <c r="X4682" i="34"/>
  <c r="N4683" i="34"/>
  <c r="R4683" i="34"/>
  <c r="S4683" i="34"/>
  <c r="T4683" i="34"/>
  <c r="V4683" i="34"/>
  <c r="W4683" i="34"/>
  <c r="X4683" i="34"/>
  <c r="N4684" i="34"/>
  <c r="R4684" i="34"/>
  <c r="S4684" i="34"/>
  <c r="T4684" i="34"/>
  <c r="V4684" i="34"/>
  <c r="W4684" i="34"/>
  <c r="X4684" i="34"/>
  <c r="N4685" i="34"/>
  <c r="R4685" i="34"/>
  <c r="S4685" i="34"/>
  <c r="T4685" i="34"/>
  <c r="V4685" i="34"/>
  <c r="W4685" i="34"/>
  <c r="X4685" i="34"/>
  <c r="N4686" i="34"/>
  <c r="R4686" i="34"/>
  <c r="S4686" i="34"/>
  <c r="T4686" i="34"/>
  <c r="V4686" i="34"/>
  <c r="W4686" i="34"/>
  <c r="X4686" i="34"/>
  <c r="N4687" i="34"/>
  <c r="R4687" i="34"/>
  <c r="S4687" i="34"/>
  <c r="T4687" i="34"/>
  <c r="V4687" i="34"/>
  <c r="W4687" i="34"/>
  <c r="X4687" i="34"/>
  <c r="N4688" i="34"/>
  <c r="R4688" i="34"/>
  <c r="S4688" i="34"/>
  <c r="T4688" i="34"/>
  <c r="V4688" i="34"/>
  <c r="W4688" i="34"/>
  <c r="X4688" i="34"/>
  <c r="N4689" i="34"/>
  <c r="R4689" i="34"/>
  <c r="S4689" i="34"/>
  <c r="T4689" i="34"/>
  <c r="V4689" i="34"/>
  <c r="W4689" i="34"/>
  <c r="X4689" i="34"/>
  <c r="N4690" i="34"/>
  <c r="R4690" i="34"/>
  <c r="S4690" i="34"/>
  <c r="T4690" i="34"/>
  <c r="V4690" i="34"/>
  <c r="W4690" i="34"/>
  <c r="X4690" i="34"/>
  <c r="N4691" i="34"/>
  <c r="R4691" i="34"/>
  <c r="S4691" i="34"/>
  <c r="T4691" i="34"/>
  <c r="V4691" i="34"/>
  <c r="W4691" i="34"/>
  <c r="X4691" i="34"/>
  <c r="N4692" i="34"/>
  <c r="R4692" i="34"/>
  <c r="S4692" i="34"/>
  <c r="T4692" i="34"/>
  <c r="V4692" i="34"/>
  <c r="W4692" i="34"/>
  <c r="X4692" i="34"/>
  <c r="N4693" i="34"/>
  <c r="R4693" i="34"/>
  <c r="S4693" i="34"/>
  <c r="T4693" i="34"/>
  <c r="V4693" i="34"/>
  <c r="W4693" i="34"/>
  <c r="X4693" i="34"/>
  <c r="N4694" i="34"/>
  <c r="R4694" i="34"/>
  <c r="S4694" i="34"/>
  <c r="T4694" i="34"/>
  <c r="V4694" i="34"/>
  <c r="W4694" i="34"/>
  <c r="X4694" i="34"/>
  <c r="N4695" i="34"/>
  <c r="R4695" i="34"/>
  <c r="S4695" i="34"/>
  <c r="T4695" i="34"/>
  <c r="V4695" i="34"/>
  <c r="W4695" i="34"/>
  <c r="X4695" i="34"/>
  <c r="N4696" i="34"/>
  <c r="R4696" i="34"/>
  <c r="S4696" i="34"/>
  <c r="T4696" i="34"/>
  <c r="V4696" i="34"/>
  <c r="W4696" i="34"/>
  <c r="X4696" i="34"/>
  <c r="N4697" i="34"/>
  <c r="R4697" i="34"/>
  <c r="S4697" i="34"/>
  <c r="T4697" i="34"/>
  <c r="V4697" i="34"/>
  <c r="W4697" i="34"/>
  <c r="X4697" i="34"/>
  <c r="N4698" i="34"/>
  <c r="R4698" i="34"/>
  <c r="S4698" i="34"/>
  <c r="T4698" i="34"/>
  <c r="V4698" i="34"/>
  <c r="W4698" i="34"/>
  <c r="X4698" i="34"/>
  <c r="N4699" i="34"/>
  <c r="R4699" i="34"/>
  <c r="S4699" i="34"/>
  <c r="T4699" i="34"/>
  <c r="V4699" i="34"/>
  <c r="W4699" i="34"/>
  <c r="X4699" i="34"/>
  <c r="N4700" i="34"/>
  <c r="R4700" i="34"/>
  <c r="S4700" i="34"/>
  <c r="T4700" i="34"/>
  <c r="V4700" i="34"/>
  <c r="W4700" i="34"/>
  <c r="X4700" i="34"/>
  <c r="N4701" i="34"/>
  <c r="R4701" i="34"/>
  <c r="S4701" i="34"/>
  <c r="T4701" i="34"/>
  <c r="V4701" i="34"/>
  <c r="W4701" i="34"/>
  <c r="X4701" i="34"/>
  <c r="N4702" i="34"/>
  <c r="R4702" i="34"/>
  <c r="S4702" i="34"/>
  <c r="T4702" i="34"/>
  <c r="V4702" i="34"/>
  <c r="W4702" i="34"/>
  <c r="X4702" i="34"/>
  <c r="N4703" i="34"/>
  <c r="R4703" i="34"/>
  <c r="S4703" i="34"/>
  <c r="T4703" i="34"/>
  <c r="V4703" i="34"/>
  <c r="W4703" i="34"/>
  <c r="X4703" i="34"/>
  <c r="N4704" i="34"/>
  <c r="R4704" i="34"/>
  <c r="S4704" i="34"/>
  <c r="T4704" i="34"/>
  <c r="V4704" i="34"/>
  <c r="W4704" i="34"/>
  <c r="X4704" i="34"/>
  <c r="N4705" i="34"/>
  <c r="R4705" i="34"/>
  <c r="S4705" i="34"/>
  <c r="T4705" i="34"/>
  <c r="V4705" i="34"/>
  <c r="W4705" i="34"/>
  <c r="X4705" i="34"/>
  <c r="N4706" i="34"/>
  <c r="R4706" i="34"/>
  <c r="S4706" i="34"/>
  <c r="T4706" i="34"/>
  <c r="V4706" i="34"/>
  <c r="W4706" i="34"/>
  <c r="X4706" i="34"/>
  <c r="N4707" i="34"/>
  <c r="R4707" i="34"/>
  <c r="S4707" i="34"/>
  <c r="T4707" i="34"/>
  <c r="V4707" i="34"/>
  <c r="W4707" i="34"/>
  <c r="X4707" i="34"/>
  <c r="N4708" i="34"/>
  <c r="R4708" i="34"/>
  <c r="S4708" i="34"/>
  <c r="T4708" i="34"/>
  <c r="V4708" i="34"/>
  <c r="W4708" i="34"/>
  <c r="X4708" i="34"/>
  <c r="N4709" i="34"/>
  <c r="R4709" i="34"/>
  <c r="S4709" i="34"/>
  <c r="T4709" i="34"/>
  <c r="V4709" i="34"/>
  <c r="W4709" i="34"/>
  <c r="X4709" i="34"/>
  <c r="N4710" i="34"/>
  <c r="R4710" i="34"/>
  <c r="S4710" i="34"/>
  <c r="T4710" i="34"/>
  <c r="V4710" i="34"/>
  <c r="W4710" i="34"/>
  <c r="X4710" i="34"/>
  <c r="N4711" i="34"/>
  <c r="R4711" i="34"/>
  <c r="S4711" i="34"/>
  <c r="T4711" i="34"/>
  <c r="V4711" i="34"/>
  <c r="W4711" i="34"/>
  <c r="X4711" i="34"/>
  <c r="N4712" i="34"/>
  <c r="R4712" i="34"/>
  <c r="S4712" i="34"/>
  <c r="T4712" i="34"/>
  <c r="V4712" i="34"/>
  <c r="W4712" i="34"/>
  <c r="X4712" i="34"/>
  <c r="N4713" i="34"/>
  <c r="R4713" i="34"/>
  <c r="S4713" i="34"/>
  <c r="T4713" i="34"/>
  <c r="V4713" i="34"/>
  <c r="W4713" i="34"/>
  <c r="X4713" i="34"/>
  <c r="N4714" i="34"/>
  <c r="R4714" i="34"/>
  <c r="S4714" i="34"/>
  <c r="T4714" i="34"/>
  <c r="V4714" i="34"/>
  <c r="W4714" i="34"/>
  <c r="X4714" i="34"/>
  <c r="N4715" i="34"/>
  <c r="R4715" i="34"/>
  <c r="S4715" i="34"/>
  <c r="T4715" i="34"/>
  <c r="V4715" i="34"/>
  <c r="W4715" i="34"/>
  <c r="X4715" i="34"/>
  <c r="N4716" i="34"/>
  <c r="R4716" i="34"/>
  <c r="S4716" i="34"/>
  <c r="T4716" i="34"/>
  <c r="V4716" i="34"/>
  <c r="W4716" i="34"/>
  <c r="X4716" i="34"/>
  <c r="N4717" i="34"/>
  <c r="R4717" i="34"/>
  <c r="S4717" i="34"/>
  <c r="T4717" i="34"/>
  <c r="V4717" i="34"/>
  <c r="W4717" i="34"/>
  <c r="X4717" i="34"/>
  <c r="N4718" i="34"/>
  <c r="R4718" i="34"/>
  <c r="S4718" i="34"/>
  <c r="T4718" i="34"/>
  <c r="V4718" i="34"/>
  <c r="W4718" i="34"/>
  <c r="X4718" i="34"/>
  <c r="N4719" i="34"/>
  <c r="R4719" i="34"/>
  <c r="S4719" i="34"/>
  <c r="T4719" i="34"/>
  <c r="V4719" i="34"/>
  <c r="W4719" i="34"/>
  <c r="X4719" i="34"/>
  <c r="N4720" i="34"/>
  <c r="R4720" i="34"/>
  <c r="S4720" i="34"/>
  <c r="T4720" i="34"/>
  <c r="V4720" i="34"/>
  <c r="W4720" i="34"/>
  <c r="X4720" i="34"/>
  <c r="N4721" i="34"/>
  <c r="R4721" i="34"/>
  <c r="S4721" i="34"/>
  <c r="T4721" i="34"/>
  <c r="V4721" i="34"/>
  <c r="W4721" i="34"/>
  <c r="X4721" i="34"/>
  <c r="N4722" i="34"/>
  <c r="R4722" i="34"/>
  <c r="S4722" i="34"/>
  <c r="T4722" i="34"/>
  <c r="V4722" i="34"/>
  <c r="W4722" i="34"/>
  <c r="X4722" i="34"/>
  <c r="N4723" i="34"/>
  <c r="R4723" i="34"/>
  <c r="S4723" i="34"/>
  <c r="T4723" i="34"/>
  <c r="V4723" i="34"/>
  <c r="W4723" i="34"/>
  <c r="X4723" i="34"/>
  <c r="N4724" i="34"/>
  <c r="R4724" i="34"/>
  <c r="S4724" i="34"/>
  <c r="T4724" i="34"/>
  <c r="V4724" i="34"/>
  <c r="W4724" i="34"/>
  <c r="X4724" i="34"/>
  <c r="N4725" i="34"/>
  <c r="R4725" i="34"/>
  <c r="S4725" i="34"/>
  <c r="T4725" i="34"/>
  <c r="V4725" i="34"/>
  <c r="W4725" i="34"/>
  <c r="X4725" i="34"/>
  <c r="N4726" i="34"/>
  <c r="R4726" i="34"/>
  <c r="S4726" i="34"/>
  <c r="T4726" i="34"/>
  <c r="V4726" i="34"/>
  <c r="W4726" i="34"/>
  <c r="X4726" i="34"/>
  <c r="N4727" i="34"/>
  <c r="R4727" i="34"/>
  <c r="S4727" i="34"/>
  <c r="T4727" i="34"/>
  <c r="V4727" i="34"/>
  <c r="W4727" i="34"/>
  <c r="X4727" i="34"/>
  <c r="N4728" i="34"/>
  <c r="R4728" i="34"/>
  <c r="S4728" i="34"/>
  <c r="T4728" i="34"/>
  <c r="V4728" i="34"/>
  <c r="W4728" i="34"/>
  <c r="X4728" i="34"/>
  <c r="N4729" i="34"/>
  <c r="R4729" i="34"/>
  <c r="S4729" i="34"/>
  <c r="T4729" i="34"/>
  <c r="V4729" i="34"/>
  <c r="W4729" i="34"/>
  <c r="X4729" i="34"/>
  <c r="N4730" i="34"/>
  <c r="R4730" i="34"/>
  <c r="S4730" i="34"/>
  <c r="T4730" i="34"/>
  <c r="V4730" i="34"/>
  <c r="W4730" i="34"/>
  <c r="X4730" i="34"/>
  <c r="N4731" i="34"/>
  <c r="R4731" i="34"/>
  <c r="S4731" i="34"/>
  <c r="T4731" i="34"/>
  <c r="V4731" i="34"/>
  <c r="W4731" i="34"/>
  <c r="X4731" i="34"/>
  <c r="N4732" i="34"/>
  <c r="R4732" i="34"/>
  <c r="S4732" i="34"/>
  <c r="T4732" i="34"/>
  <c r="V4732" i="34"/>
  <c r="W4732" i="34"/>
  <c r="X4732" i="34"/>
  <c r="N4733" i="34"/>
  <c r="R4733" i="34"/>
  <c r="S4733" i="34"/>
  <c r="T4733" i="34"/>
  <c r="V4733" i="34"/>
  <c r="W4733" i="34"/>
  <c r="X4733" i="34"/>
  <c r="N4734" i="34"/>
  <c r="R4734" i="34"/>
  <c r="S4734" i="34"/>
  <c r="T4734" i="34"/>
  <c r="V4734" i="34"/>
  <c r="W4734" i="34"/>
  <c r="X4734" i="34"/>
  <c r="N4735" i="34"/>
  <c r="R4735" i="34"/>
  <c r="S4735" i="34"/>
  <c r="T4735" i="34"/>
  <c r="V4735" i="34"/>
  <c r="W4735" i="34"/>
  <c r="X4735" i="34"/>
  <c r="N4736" i="34"/>
  <c r="R4736" i="34"/>
  <c r="S4736" i="34"/>
  <c r="T4736" i="34"/>
  <c r="V4736" i="34"/>
  <c r="W4736" i="34"/>
  <c r="X4736" i="34"/>
  <c r="N4737" i="34"/>
  <c r="R4737" i="34"/>
  <c r="S4737" i="34"/>
  <c r="T4737" i="34"/>
  <c r="V4737" i="34"/>
  <c r="W4737" i="34"/>
  <c r="X4737" i="34"/>
  <c r="N4738" i="34"/>
  <c r="R4738" i="34"/>
  <c r="S4738" i="34"/>
  <c r="T4738" i="34"/>
  <c r="V4738" i="34"/>
  <c r="W4738" i="34"/>
  <c r="X4738" i="34"/>
  <c r="N4739" i="34"/>
  <c r="R4739" i="34"/>
  <c r="S4739" i="34"/>
  <c r="T4739" i="34"/>
  <c r="V4739" i="34"/>
  <c r="W4739" i="34"/>
  <c r="X4739" i="34"/>
  <c r="N4740" i="34"/>
  <c r="R4740" i="34"/>
  <c r="S4740" i="34"/>
  <c r="T4740" i="34"/>
  <c r="V4740" i="34"/>
  <c r="W4740" i="34"/>
  <c r="X4740" i="34"/>
  <c r="N4741" i="34"/>
  <c r="R4741" i="34"/>
  <c r="S4741" i="34"/>
  <c r="T4741" i="34"/>
  <c r="V4741" i="34"/>
  <c r="W4741" i="34"/>
  <c r="X4741" i="34"/>
  <c r="N4742" i="34"/>
  <c r="R4742" i="34"/>
  <c r="S4742" i="34"/>
  <c r="T4742" i="34"/>
  <c r="V4742" i="34"/>
  <c r="W4742" i="34"/>
  <c r="X4742" i="34"/>
  <c r="N4743" i="34"/>
  <c r="R4743" i="34"/>
  <c r="S4743" i="34"/>
  <c r="T4743" i="34"/>
  <c r="V4743" i="34"/>
  <c r="W4743" i="34"/>
  <c r="X4743" i="34"/>
  <c r="N4744" i="34"/>
  <c r="R4744" i="34"/>
  <c r="S4744" i="34"/>
  <c r="T4744" i="34"/>
  <c r="V4744" i="34"/>
  <c r="W4744" i="34"/>
  <c r="X4744" i="34"/>
  <c r="N4745" i="34"/>
  <c r="R4745" i="34"/>
  <c r="S4745" i="34"/>
  <c r="T4745" i="34"/>
  <c r="V4745" i="34"/>
  <c r="W4745" i="34"/>
  <c r="X4745" i="34"/>
  <c r="N4746" i="34"/>
  <c r="R4746" i="34"/>
  <c r="S4746" i="34"/>
  <c r="T4746" i="34"/>
  <c r="V4746" i="34"/>
  <c r="W4746" i="34"/>
  <c r="X4746" i="34"/>
  <c r="N4747" i="34"/>
  <c r="R4747" i="34"/>
  <c r="S4747" i="34"/>
  <c r="T4747" i="34"/>
  <c r="V4747" i="34"/>
  <c r="W4747" i="34"/>
  <c r="X4747" i="34"/>
  <c r="N4748" i="34"/>
  <c r="R4748" i="34"/>
  <c r="S4748" i="34"/>
  <c r="T4748" i="34"/>
  <c r="V4748" i="34"/>
  <c r="W4748" i="34"/>
  <c r="X4748" i="34"/>
  <c r="N4749" i="34"/>
  <c r="R4749" i="34"/>
  <c r="S4749" i="34"/>
  <c r="T4749" i="34"/>
  <c r="V4749" i="34"/>
  <c r="W4749" i="34"/>
  <c r="X4749" i="34"/>
  <c r="N4750" i="34"/>
  <c r="R4750" i="34"/>
  <c r="S4750" i="34"/>
  <c r="T4750" i="34"/>
  <c r="V4750" i="34"/>
  <c r="W4750" i="34"/>
  <c r="X4750" i="34"/>
  <c r="N4751" i="34"/>
  <c r="R4751" i="34"/>
  <c r="S4751" i="34"/>
  <c r="T4751" i="34"/>
  <c r="V4751" i="34"/>
  <c r="W4751" i="34"/>
  <c r="X4751" i="34"/>
  <c r="N4752" i="34"/>
  <c r="R4752" i="34"/>
  <c r="S4752" i="34"/>
  <c r="T4752" i="34"/>
  <c r="V4752" i="34"/>
  <c r="W4752" i="34"/>
  <c r="X4752" i="34"/>
  <c r="N4753" i="34"/>
  <c r="R4753" i="34"/>
  <c r="S4753" i="34"/>
  <c r="T4753" i="34"/>
  <c r="V4753" i="34"/>
  <c r="W4753" i="34"/>
  <c r="X4753" i="34"/>
  <c r="N4754" i="34"/>
  <c r="R4754" i="34"/>
  <c r="S4754" i="34"/>
  <c r="T4754" i="34"/>
  <c r="V4754" i="34"/>
  <c r="W4754" i="34"/>
  <c r="X4754" i="34"/>
  <c r="N4755" i="34"/>
  <c r="R4755" i="34"/>
  <c r="S4755" i="34"/>
  <c r="T4755" i="34"/>
  <c r="V4755" i="34"/>
  <c r="W4755" i="34"/>
  <c r="X4755" i="34"/>
  <c r="N4756" i="34"/>
  <c r="R4756" i="34"/>
  <c r="S4756" i="34"/>
  <c r="T4756" i="34"/>
  <c r="V4756" i="34"/>
  <c r="W4756" i="34"/>
  <c r="X4756" i="34"/>
  <c r="N4757" i="34"/>
  <c r="R4757" i="34"/>
  <c r="S4757" i="34"/>
  <c r="T4757" i="34"/>
  <c r="V4757" i="34"/>
  <c r="W4757" i="34"/>
  <c r="X4757" i="34"/>
  <c r="N4758" i="34"/>
  <c r="R4758" i="34"/>
  <c r="S4758" i="34"/>
  <c r="T4758" i="34"/>
  <c r="V4758" i="34"/>
  <c r="W4758" i="34"/>
  <c r="X4758" i="34"/>
  <c r="N4759" i="34"/>
  <c r="R4759" i="34"/>
  <c r="S4759" i="34"/>
  <c r="T4759" i="34"/>
  <c r="V4759" i="34"/>
  <c r="W4759" i="34"/>
  <c r="X4759" i="34"/>
  <c r="N4760" i="34"/>
  <c r="R4760" i="34"/>
  <c r="S4760" i="34"/>
  <c r="T4760" i="34"/>
  <c r="V4760" i="34"/>
  <c r="W4760" i="34"/>
  <c r="X4760" i="34"/>
  <c r="O3997" i="34" l="1"/>
  <c r="A3997" i="34"/>
  <c r="O3989" i="34"/>
  <c r="A3989" i="34"/>
  <c r="U3978" i="34"/>
  <c r="Q3978" i="34"/>
  <c r="P3978" i="34"/>
  <c r="O3978" i="34"/>
  <c r="Z3978" i="34"/>
  <c r="Q3982" i="34"/>
  <c r="U3982" i="34"/>
  <c r="Z3982" i="34"/>
  <c r="A3993" i="34"/>
  <c r="Z3993" i="34"/>
  <c r="O3982" i="34"/>
  <c r="Q3993" i="34"/>
  <c r="A3985" i="34"/>
  <c r="O3981" i="34"/>
  <c r="A3981" i="34"/>
  <c r="Z3981" i="34"/>
  <c r="O3975" i="34"/>
  <c r="Z3975" i="34"/>
  <c r="A3975" i="34"/>
  <c r="O3971" i="34"/>
  <c r="Z3971" i="34"/>
  <c r="A3971" i="34"/>
  <c r="Z3972" i="34"/>
  <c r="A3972" i="34"/>
  <c r="U3972" i="34"/>
  <c r="Q3972" i="34"/>
  <c r="P3972" i="34"/>
  <c r="O3972" i="34"/>
  <c r="Z3976" i="34"/>
  <c r="A3976" i="34"/>
  <c r="U3976" i="34"/>
  <c r="Q3976" i="34"/>
  <c r="P3976" i="34"/>
  <c r="O3976" i="34"/>
  <c r="A3982" i="34"/>
  <c r="U3973" i="34"/>
  <c r="Q3973" i="34"/>
  <c r="P3973" i="34"/>
  <c r="O3973" i="34"/>
  <c r="Z3973" i="34"/>
  <c r="A3973" i="34"/>
  <c r="U3977" i="34"/>
  <c r="Q3977" i="34"/>
  <c r="P3977" i="34"/>
  <c r="O3977" i="34"/>
  <c r="Z3977" i="34"/>
  <c r="A3977" i="34"/>
  <c r="U3983" i="34"/>
  <c r="Q3983" i="34"/>
  <c r="P3983" i="34"/>
  <c r="O3983" i="34"/>
  <c r="Z3983" i="34"/>
  <c r="A3983" i="34"/>
  <c r="Z3986" i="34"/>
  <c r="A3986" i="34"/>
  <c r="U3986" i="34"/>
  <c r="Q3986" i="34"/>
  <c r="P3986" i="34"/>
  <c r="O3986" i="34"/>
  <c r="P3971" i="34"/>
  <c r="Q3974" i="34"/>
  <c r="U3974" i="34"/>
  <c r="P3975" i="34"/>
  <c r="P3981" i="34"/>
  <c r="Q3984" i="34"/>
  <c r="U3984" i="34"/>
  <c r="P3985" i="34"/>
  <c r="Q3971" i="34"/>
  <c r="U3971" i="34"/>
  <c r="A3974" i="34"/>
  <c r="Z3974" i="34"/>
  <c r="Q3975" i="34"/>
  <c r="U3975" i="34"/>
  <c r="A3978" i="34"/>
  <c r="Q3981" i="34"/>
  <c r="U3981" i="34"/>
  <c r="A3984" i="34"/>
  <c r="Z3984" i="34"/>
  <c r="Q3985" i="34"/>
  <c r="U3985" i="34"/>
  <c r="O3974" i="34"/>
  <c r="O3984" i="34"/>
  <c r="Z3985" i="34"/>
  <c r="U3991" i="34"/>
  <c r="Q3991" i="34"/>
  <c r="P3991" i="34"/>
  <c r="O3991" i="34"/>
  <c r="Z3991" i="34"/>
  <c r="A3991" i="34"/>
  <c r="Z3994" i="34"/>
  <c r="A3994" i="34"/>
  <c r="U3994" i="34"/>
  <c r="Q3994" i="34"/>
  <c r="P3994" i="34"/>
  <c r="O3994" i="34"/>
  <c r="U3995" i="34"/>
  <c r="Q3995" i="34"/>
  <c r="P3995" i="34"/>
  <c r="O3995" i="34"/>
  <c r="Z3995" i="34"/>
  <c r="A3995" i="34"/>
  <c r="U3987" i="34"/>
  <c r="Q3987" i="34"/>
  <c r="P3987" i="34"/>
  <c r="O3987" i="34"/>
  <c r="Z3987" i="34"/>
  <c r="A3987" i="34"/>
  <c r="P3988" i="34"/>
  <c r="O3988" i="34"/>
  <c r="Z3988" i="34"/>
  <c r="A3988" i="34"/>
  <c r="U3988" i="34"/>
  <c r="Q3988" i="34"/>
  <c r="Z3990" i="34"/>
  <c r="A3990" i="34"/>
  <c r="U3990" i="34"/>
  <c r="Q3990" i="34"/>
  <c r="P3990" i="34"/>
  <c r="O3990" i="34"/>
  <c r="Z3998" i="34"/>
  <c r="A3998" i="34"/>
  <c r="U3998" i="34"/>
  <c r="Q3998" i="34"/>
  <c r="P3998" i="34"/>
  <c r="O3998" i="34"/>
  <c r="P3989" i="34"/>
  <c r="Q3992" i="34"/>
  <c r="U3992" i="34"/>
  <c r="P3993" i="34"/>
  <c r="Q3996" i="34"/>
  <c r="U3996" i="34"/>
  <c r="P3997" i="34"/>
  <c r="Q3989" i="34"/>
  <c r="U3989" i="34"/>
  <c r="A3992" i="34"/>
  <c r="Z3992" i="34"/>
  <c r="U3993" i="34"/>
  <c r="A3996" i="34"/>
  <c r="Z3996" i="34"/>
  <c r="Q3997" i="34"/>
  <c r="U3997" i="34"/>
  <c r="Z3989" i="34"/>
  <c r="O3992" i="34"/>
  <c r="O3996" i="34"/>
  <c r="Z3997" i="34"/>
  <c r="P4003" i="34"/>
  <c r="O4003" i="34"/>
  <c r="Z4003" i="34"/>
  <c r="A4003" i="34"/>
  <c r="U4003" i="34"/>
  <c r="Q4003" i="34"/>
  <c r="Z4001" i="34"/>
  <c r="A4001" i="34"/>
  <c r="U4001" i="34"/>
  <c r="Q4001" i="34"/>
  <c r="P4001" i="34"/>
  <c r="O4001" i="34"/>
  <c r="P3999" i="34"/>
  <c r="O3999" i="34"/>
  <c r="Z3999" i="34"/>
  <c r="A3999" i="34"/>
  <c r="U3999" i="34"/>
  <c r="Q3999" i="34"/>
  <c r="Z4095" i="34"/>
  <c r="A4095" i="34"/>
  <c r="U4095" i="34"/>
  <c r="Q4095" i="34"/>
  <c r="P4095" i="34"/>
  <c r="O4095" i="34"/>
  <c r="P4000" i="34"/>
  <c r="A4002" i="34"/>
  <c r="Z4002" i="34"/>
  <c r="P4004" i="34"/>
  <c r="Q4000" i="34"/>
  <c r="U4000" i="34"/>
  <c r="O4002" i="34"/>
  <c r="Q4004" i="34"/>
  <c r="U4004" i="34"/>
  <c r="A4000" i="34"/>
  <c r="Z4000" i="34"/>
  <c r="P4002" i="34"/>
  <c r="A4004" i="34"/>
  <c r="Z4004" i="34"/>
  <c r="Q4002" i="34"/>
  <c r="P3931" i="34"/>
  <c r="U3931" i="34"/>
  <c r="Q3931" i="34"/>
  <c r="Q3933" i="34"/>
  <c r="U3933" i="34"/>
  <c r="Q3940" i="34"/>
  <c r="U3940" i="34"/>
  <c r="Q3938" i="34"/>
  <c r="U3938" i="34"/>
  <c r="A3938" i="34"/>
  <c r="Z3938" i="34"/>
  <c r="P3939" i="34"/>
  <c r="A3940" i="34"/>
  <c r="Z3940" i="34"/>
  <c r="P3941" i="34"/>
  <c r="A3942" i="34"/>
  <c r="O3942" i="34"/>
  <c r="O3938" i="34"/>
  <c r="Q3939" i="34"/>
  <c r="U3939" i="34"/>
  <c r="O3940" i="34"/>
  <c r="Q3941" i="34"/>
  <c r="U3941" i="34"/>
  <c r="P3942" i="34"/>
  <c r="A3939" i="34"/>
  <c r="Z3939" i="34"/>
  <c r="A3941" i="34"/>
  <c r="Z3941" i="34"/>
  <c r="Q3942" i="34"/>
  <c r="U3942" i="34"/>
  <c r="A3931" i="34"/>
  <c r="Z3931" i="34"/>
  <c r="P3932" i="34"/>
  <c r="O3931" i="34"/>
  <c r="Q3932" i="34"/>
  <c r="U3932" i="34"/>
  <c r="A3932" i="34"/>
  <c r="Z3932" i="34"/>
  <c r="A3933" i="34"/>
  <c r="Z3933" i="34"/>
  <c r="P3934" i="34"/>
  <c r="O3933" i="34"/>
  <c r="Q3934" i="34"/>
  <c r="U3934" i="34"/>
  <c r="A3934" i="34"/>
  <c r="Z3934" i="34"/>
  <c r="A3935" i="34"/>
  <c r="Z3935" i="34"/>
  <c r="P3936" i="34"/>
  <c r="A3937" i="34"/>
  <c r="O3937" i="34"/>
  <c r="O3935" i="34"/>
  <c r="Q3936" i="34"/>
  <c r="U3936" i="34"/>
  <c r="P3937" i="34"/>
  <c r="P3935" i="34"/>
  <c r="A3936" i="34"/>
  <c r="Z3936" i="34"/>
  <c r="Q3937" i="34"/>
  <c r="U3937" i="34"/>
  <c r="Q3935" i="34"/>
  <c r="Q3914" i="34"/>
  <c r="U3914" i="34"/>
  <c r="A3914" i="34"/>
  <c r="Z3914" i="34"/>
  <c r="P3915" i="34"/>
  <c r="A3916" i="34"/>
  <c r="O3916" i="34"/>
  <c r="O3914" i="34"/>
  <c r="Q3915" i="34"/>
  <c r="U3915" i="34"/>
  <c r="P3916" i="34"/>
  <c r="A3915" i="34"/>
  <c r="Z3915" i="34"/>
  <c r="Q3916" i="34"/>
  <c r="U3916" i="34"/>
  <c r="O3908" i="34"/>
  <c r="A3908" i="34"/>
  <c r="Z3906" i="34"/>
  <c r="A3906" i="34"/>
  <c r="U3907" i="34"/>
  <c r="Q3907" i="34"/>
  <c r="P3907" i="34"/>
  <c r="O3907" i="34"/>
  <c r="Z3907" i="34"/>
  <c r="A3907" i="34"/>
  <c r="U3905" i="34"/>
  <c r="Q3905" i="34"/>
  <c r="P3905" i="34"/>
  <c r="O3905" i="34"/>
  <c r="Z3905" i="34"/>
  <c r="A3905" i="34"/>
  <c r="P3906" i="34"/>
  <c r="P3908" i="34"/>
  <c r="Q3906" i="34"/>
  <c r="U3906" i="34"/>
  <c r="Q3908" i="34"/>
  <c r="U3908" i="34"/>
  <c r="Z3908" i="34"/>
  <c r="Z3912" i="34"/>
  <c r="A3912" i="34"/>
  <c r="U3912" i="34"/>
  <c r="Q3912" i="34"/>
  <c r="P3912" i="34"/>
  <c r="O3912" i="34"/>
  <c r="P3910" i="34"/>
  <c r="O3910" i="34"/>
  <c r="Z3910" i="34"/>
  <c r="A3910" i="34"/>
  <c r="U3910" i="34"/>
  <c r="Q3910" i="34"/>
  <c r="A3909" i="34"/>
  <c r="Z3909" i="34"/>
  <c r="P3911" i="34"/>
  <c r="A3913" i="34"/>
  <c r="O3913" i="34"/>
  <c r="O3909" i="34"/>
  <c r="Q3911" i="34"/>
  <c r="U3911" i="34"/>
  <c r="P3913" i="34"/>
  <c r="P3909" i="34"/>
  <c r="A3911" i="34"/>
  <c r="Z3911" i="34"/>
  <c r="Q3913" i="34"/>
  <c r="U3913" i="34"/>
  <c r="Q3909" i="34"/>
  <c r="O914" i="34"/>
  <c r="U914" i="34"/>
  <c r="Q914" i="34"/>
  <c r="A914" i="34"/>
  <c r="O928" i="34"/>
  <c r="A928" i="34"/>
  <c r="A936" i="34"/>
  <c r="Z941" i="34"/>
  <c r="A941" i="34"/>
  <c r="U941" i="34"/>
  <c r="Q941" i="34"/>
  <c r="P941" i="34"/>
  <c r="O941" i="34"/>
  <c r="P940" i="34"/>
  <c r="Q940" i="34"/>
  <c r="U940" i="34"/>
  <c r="A940" i="34"/>
  <c r="Z940" i="34"/>
  <c r="Z929" i="34"/>
  <c r="A929" i="34"/>
  <c r="U929" i="34"/>
  <c r="Q929" i="34"/>
  <c r="P929" i="34"/>
  <c r="O929" i="34"/>
  <c r="P928" i="34"/>
  <c r="Q928" i="34"/>
  <c r="U928" i="34"/>
  <c r="Z928" i="34"/>
  <c r="A926" i="34"/>
  <c r="Z915" i="34"/>
  <c r="A915" i="34"/>
  <c r="U915" i="34"/>
  <c r="Q915" i="34"/>
  <c r="P915" i="34"/>
  <c r="O915" i="34"/>
  <c r="P914" i="34"/>
  <c r="Z914" i="34"/>
  <c r="Z937" i="34"/>
  <c r="A937" i="34"/>
  <c r="U937" i="34"/>
  <c r="Q937" i="34"/>
  <c r="P937" i="34"/>
  <c r="O937" i="34"/>
  <c r="P936" i="34"/>
  <c r="Q936" i="34"/>
  <c r="U936" i="34"/>
  <c r="Z936" i="34"/>
  <c r="Z927" i="34"/>
  <c r="A927" i="34"/>
  <c r="U927" i="34"/>
  <c r="Q927" i="34"/>
  <c r="P927" i="34"/>
  <c r="O927" i="34"/>
  <c r="P926" i="34"/>
  <c r="Q926" i="34"/>
  <c r="U926" i="34"/>
  <c r="Z926" i="34"/>
  <c r="Z913" i="34"/>
  <c r="A913" i="34"/>
  <c r="U913" i="34"/>
  <c r="Q913" i="34"/>
  <c r="P913" i="34"/>
  <c r="O913" i="34"/>
  <c r="P912" i="34"/>
  <c r="Q912" i="34"/>
  <c r="U912" i="34"/>
  <c r="A912" i="34"/>
  <c r="Z912" i="34"/>
  <c r="Z944" i="34"/>
  <c r="A944" i="34"/>
  <c r="U944" i="34"/>
  <c r="Q944" i="34"/>
  <c r="P944" i="34"/>
  <c r="O944" i="34"/>
  <c r="A945" i="34"/>
  <c r="O945" i="34"/>
  <c r="P945" i="34"/>
  <c r="Q945" i="34"/>
  <c r="U945" i="34"/>
  <c r="Z934" i="34"/>
  <c r="A934" i="34"/>
  <c r="U934" i="34"/>
  <c r="Q934" i="34"/>
  <c r="P934" i="34"/>
  <c r="O934" i="34"/>
  <c r="A935" i="34"/>
  <c r="O935" i="34"/>
  <c r="P935" i="34"/>
  <c r="Q935" i="34"/>
  <c r="U935" i="34"/>
  <c r="A2" i="79"/>
  <c r="A1" i="79"/>
  <c r="A1" i="55"/>
  <c r="J15" i="79"/>
  <c r="L15" i="79" s="1"/>
  <c r="J16" i="79"/>
  <c r="J17" i="79"/>
  <c r="L17" i="79" s="1"/>
  <c r="J18" i="79"/>
  <c r="J14" i="79"/>
  <c r="K20" i="79"/>
  <c r="J20" i="79"/>
  <c r="H20" i="79"/>
  <c r="L18" i="79"/>
  <c r="L16" i="79"/>
  <c r="L14" i="79"/>
  <c r="L20" i="79" l="1"/>
  <c r="C843" i="34" l="1"/>
  <c r="B843" i="34" s="1"/>
  <c r="C840" i="34"/>
  <c r="B840" i="34" s="1"/>
  <c r="C842" i="34"/>
  <c r="B842" i="34" s="1"/>
  <c r="C841" i="34"/>
  <c r="B841" i="34" s="1"/>
  <c r="C839" i="34"/>
  <c r="B839" i="34" s="1"/>
  <c r="C838" i="34"/>
  <c r="B838" i="34" s="1"/>
  <c r="C845" i="34"/>
  <c r="B845" i="34" s="1"/>
  <c r="C844" i="34"/>
  <c r="B844" i="34" s="1"/>
  <c r="P842" i="34" l="1"/>
  <c r="Q842" i="34"/>
  <c r="U842" i="34"/>
  <c r="Z842" i="34"/>
  <c r="O842" i="34"/>
  <c r="A842" i="34"/>
  <c r="P844" i="34"/>
  <c r="Q844" i="34"/>
  <c r="U844" i="34"/>
  <c r="Z844" i="34"/>
  <c r="O844" i="34"/>
  <c r="A844" i="34"/>
  <c r="P841" i="34"/>
  <c r="Q841" i="34"/>
  <c r="U841" i="34"/>
  <c r="Z841" i="34"/>
  <c r="O841" i="34"/>
  <c r="A841" i="34"/>
  <c r="P843" i="34"/>
  <c r="Q843" i="34"/>
  <c r="U843" i="34"/>
  <c r="Z843" i="34"/>
  <c r="O843" i="34"/>
  <c r="A843" i="34"/>
  <c r="P845" i="34"/>
  <c r="Q845" i="34"/>
  <c r="U845" i="34"/>
  <c r="Z845" i="34"/>
  <c r="O845" i="34"/>
  <c r="A845" i="34"/>
  <c r="P838" i="34"/>
  <c r="Q838" i="34"/>
  <c r="U838" i="34"/>
  <c r="Z838" i="34"/>
  <c r="O838" i="34"/>
  <c r="A838" i="34"/>
  <c r="P839" i="34"/>
  <c r="Q839" i="34"/>
  <c r="U839" i="34"/>
  <c r="Z839" i="34"/>
  <c r="O839" i="34"/>
  <c r="A839" i="34"/>
  <c r="P840" i="34"/>
  <c r="Q840" i="34"/>
  <c r="U840" i="34"/>
  <c r="Z840" i="34"/>
  <c r="O840" i="34"/>
  <c r="A840" i="34"/>
  <c r="C681" i="34"/>
  <c r="B681" i="34" s="1"/>
  <c r="C680" i="34"/>
  <c r="B680" i="34" s="1"/>
  <c r="C679" i="34"/>
  <c r="B679" i="34" s="1"/>
  <c r="C678" i="34"/>
  <c r="B678" i="34" s="1"/>
  <c r="C677" i="34"/>
  <c r="B677" i="34" s="1"/>
  <c r="C832" i="34"/>
  <c r="B832" i="34" s="1"/>
  <c r="C831" i="34"/>
  <c r="B831" i="34" s="1"/>
  <c r="C799" i="34"/>
  <c r="B799" i="34" s="1"/>
  <c r="C683" i="34"/>
  <c r="B683" i="34" s="1"/>
  <c r="C682" i="34"/>
  <c r="B682" i="34" s="1"/>
  <c r="C675" i="34"/>
  <c r="B675" i="34" s="1"/>
  <c r="C674" i="34"/>
  <c r="B674" i="34" s="1"/>
  <c r="C673" i="34"/>
  <c r="B673" i="34" s="1"/>
  <c r="C672" i="34"/>
  <c r="B672" i="34" s="1"/>
  <c r="C671" i="34"/>
  <c r="B671" i="34" s="1"/>
  <c r="C670" i="34"/>
  <c r="B670" i="34" s="1"/>
  <c r="C834" i="34"/>
  <c r="B834" i="34" s="1"/>
  <c r="C833" i="34"/>
  <c r="B833" i="34" s="1"/>
  <c r="C676" i="34"/>
  <c r="B676" i="34" s="1"/>
  <c r="A15" i="12"/>
  <c r="C648" i="34"/>
  <c r="B648" i="34" s="1"/>
  <c r="C647" i="34"/>
  <c r="B647" i="34" s="1"/>
  <c r="C646" i="34"/>
  <c r="B646" i="34" s="1"/>
  <c r="C645" i="34"/>
  <c r="B645" i="34" s="1"/>
  <c r="C644" i="34"/>
  <c r="B644" i="34" s="1"/>
  <c r="C643" i="34"/>
  <c r="B643" i="34" s="1"/>
  <c r="C642" i="34"/>
  <c r="B642" i="34" s="1"/>
  <c r="C641" i="34"/>
  <c r="B641" i="34" s="1"/>
  <c r="C640" i="34"/>
  <c r="B640" i="34" s="1"/>
  <c r="C639" i="34"/>
  <c r="B639" i="34" s="1"/>
  <c r="C638" i="34"/>
  <c r="B638" i="34" s="1"/>
  <c r="C637" i="34"/>
  <c r="B637" i="34" s="1"/>
  <c r="C660" i="34"/>
  <c r="B660" i="34" s="1"/>
  <c r="C659" i="34"/>
  <c r="B659" i="34" s="1"/>
  <c r="C658" i="34"/>
  <c r="B658" i="34" s="1"/>
  <c r="C657" i="34"/>
  <c r="B657" i="34" s="1"/>
  <c r="C656" i="34"/>
  <c r="B656" i="34" s="1"/>
  <c r="C655" i="34"/>
  <c r="B655" i="34" s="1"/>
  <c r="C654" i="34"/>
  <c r="B654" i="34" s="1"/>
  <c r="C653" i="34"/>
  <c r="B653" i="34" s="1"/>
  <c r="C652" i="34"/>
  <c r="B652" i="34" s="1"/>
  <c r="C651" i="34"/>
  <c r="B651" i="34" s="1"/>
  <c r="C650" i="34"/>
  <c r="B650" i="34" s="1"/>
  <c r="C649" i="34"/>
  <c r="B649" i="34" s="1"/>
  <c r="C628" i="34"/>
  <c r="B628" i="34" s="1"/>
  <c r="C627" i="34"/>
  <c r="B627" i="34" s="1"/>
  <c r="C626" i="34"/>
  <c r="B626" i="34" s="1"/>
  <c r="C625" i="34"/>
  <c r="B625" i="34" s="1"/>
  <c r="C624" i="34"/>
  <c r="B624" i="34" s="1"/>
  <c r="C623" i="34"/>
  <c r="B623" i="34" s="1"/>
  <c r="C622" i="34"/>
  <c r="B622" i="34" s="1"/>
  <c r="C621" i="34"/>
  <c r="B621" i="34" s="1"/>
  <c r="C620" i="34"/>
  <c r="B620" i="34" s="1"/>
  <c r="C619" i="34"/>
  <c r="B619" i="34" s="1"/>
  <c r="C618" i="34"/>
  <c r="B618" i="34" s="1"/>
  <c r="C617" i="34"/>
  <c r="B617" i="34" s="1"/>
  <c r="C616" i="34"/>
  <c r="B616" i="34" s="1"/>
  <c r="C615" i="34"/>
  <c r="B615" i="34" s="1"/>
  <c r="C614" i="34"/>
  <c r="B614" i="34" s="1"/>
  <c r="C613" i="34"/>
  <c r="B613" i="34" s="1"/>
  <c r="C612" i="34"/>
  <c r="B612" i="34" s="1"/>
  <c r="C611" i="34"/>
  <c r="B611" i="34" s="1"/>
  <c r="C610" i="34"/>
  <c r="B610" i="34" s="1"/>
  <c r="C609" i="34"/>
  <c r="B609" i="34" s="1"/>
  <c r="C662" i="34"/>
  <c r="B662" i="34" s="1"/>
  <c r="C661" i="34"/>
  <c r="B661" i="34" s="1"/>
  <c r="C636" i="34"/>
  <c r="B636" i="34" s="1"/>
  <c r="C635" i="34"/>
  <c r="B635" i="34" s="1"/>
  <c r="C634" i="34"/>
  <c r="B634" i="34" s="1"/>
  <c r="C633" i="34"/>
  <c r="B633" i="34" s="1"/>
  <c r="C632" i="34"/>
  <c r="B632" i="34" s="1"/>
  <c r="C631" i="34"/>
  <c r="B631" i="34" s="1"/>
  <c r="C630" i="34"/>
  <c r="B630" i="34" s="1"/>
  <c r="C629" i="34"/>
  <c r="B629" i="34" s="1"/>
  <c r="C837" i="34"/>
  <c r="B837" i="34" s="1"/>
  <c r="C836" i="34"/>
  <c r="B836" i="34" s="1"/>
  <c r="C835" i="34"/>
  <c r="B835" i="34" s="1"/>
  <c r="C669" i="34"/>
  <c r="B669" i="34" s="1"/>
  <c r="C668" i="34"/>
  <c r="B668" i="34" s="1"/>
  <c r="C667" i="34"/>
  <c r="B667" i="34" s="1"/>
  <c r="C666" i="34"/>
  <c r="B666" i="34" s="1"/>
  <c r="C665" i="34"/>
  <c r="B665" i="34" s="1"/>
  <c r="C664" i="34"/>
  <c r="B664" i="34" s="1"/>
  <c r="C663" i="34"/>
  <c r="B663" i="34" s="1"/>
  <c r="C369" i="34"/>
  <c r="B369" i="34" s="1"/>
  <c r="C368" i="34"/>
  <c r="B368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73" i="34"/>
  <c r="B373" i="34" s="1"/>
  <c r="C372" i="34"/>
  <c r="B372" i="34" s="1"/>
  <c r="C371" i="34"/>
  <c r="B371" i="34" s="1"/>
  <c r="C370" i="34"/>
  <c r="B370" i="34" s="1"/>
  <c r="C359" i="34"/>
  <c r="B359" i="34" s="1"/>
  <c r="C358" i="34"/>
  <c r="B358" i="34" s="1"/>
  <c r="C420" i="34"/>
  <c r="B420" i="34" s="1"/>
  <c r="C419" i="34"/>
  <c r="B419" i="34" s="1"/>
  <c r="C377" i="34"/>
  <c r="B377" i="34" s="1"/>
  <c r="C376" i="34"/>
  <c r="B376" i="34" s="1"/>
  <c r="C375" i="34"/>
  <c r="B375" i="34" s="1"/>
  <c r="C374" i="34"/>
  <c r="B374" i="34" s="1"/>
  <c r="C357" i="34"/>
  <c r="B357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Q370" i="34" l="1"/>
  <c r="U370" i="34"/>
  <c r="Z370" i="34"/>
  <c r="P370" i="34"/>
  <c r="O370" i="34"/>
  <c r="A370" i="34"/>
  <c r="Q368" i="34"/>
  <c r="U368" i="34"/>
  <c r="Z368" i="34"/>
  <c r="O368" i="34"/>
  <c r="P368" i="34"/>
  <c r="A368" i="34"/>
  <c r="Q633" i="34"/>
  <c r="U633" i="34"/>
  <c r="Z633" i="34"/>
  <c r="P633" i="34"/>
  <c r="O633" i="34"/>
  <c r="A633" i="34"/>
  <c r="Q618" i="34"/>
  <c r="U618" i="34"/>
  <c r="Z618" i="34"/>
  <c r="O618" i="34"/>
  <c r="P618" i="34"/>
  <c r="A618" i="34"/>
  <c r="Q654" i="34"/>
  <c r="U654" i="34"/>
  <c r="Z654" i="34"/>
  <c r="O654" i="34"/>
  <c r="P654" i="34"/>
  <c r="A654" i="34"/>
  <c r="P348" i="34"/>
  <c r="Q348" i="34"/>
  <c r="U348" i="34"/>
  <c r="Z348" i="34"/>
  <c r="O348" i="34"/>
  <c r="A348" i="34"/>
  <c r="P356" i="34"/>
  <c r="Q356" i="34"/>
  <c r="U356" i="34"/>
  <c r="Z356" i="34"/>
  <c r="O356" i="34"/>
  <c r="A356" i="34"/>
  <c r="P358" i="34"/>
  <c r="Q358" i="34"/>
  <c r="U358" i="34"/>
  <c r="Z358" i="34"/>
  <c r="O358" i="34"/>
  <c r="A358" i="34"/>
  <c r="P362" i="34"/>
  <c r="Q362" i="34"/>
  <c r="U362" i="34"/>
  <c r="Z362" i="34"/>
  <c r="O362" i="34"/>
  <c r="A362" i="34"/>
  <c r="P366" i="34"/>
  <c r="Q366" i="34"/>
  <c r="U366" i="34"/>
  <c r="Z366" i="34"/>
  <c r="O366" i="34"/>
  <c r="A366" i="34"/>
  <c r="Q667" i="34"/>
  <c r="U667" i="34"/>
  <c r="Z667" i="34"/>
  <c r="O667" i="34"/>
  <c r="P667" i="34"/>
  <c r="A667" i="34"/>
  <c r="Q631" i="34"/>
  <c r="U631" i="34"/>
  <c r="Z631" i="34"/>
  <c r="O631" i="34"/>
  <c r="P631" i="34"/>
  <c r="A631" i="34"/>
  <c r="Q609" i="34"/>
  <c r="U609" i="34"/>
  <c r="Z609" i="34"/>
  <c r="P609" i="34"/>
  <c r="O609" i="34"/>
  <c r="A609" i="34"/>
  <c r="Q616" i="34"/>
  <c r="U616" i="34"/>
  <c r="Z616" i="34"/>
  <c r="O616" i="34"/>
  <c r="P616" i="34"/>
  <c r="A616" i="34"/>
  <c r="Q624" i="34"/>
  <c r="U624" i="34"/>
  <c r="Z624" i="34"/>
  <c r="O624" i="34"/>
  <c r="P624" i="34"/>
  <c r="A624" i="34"/>
  <c r="Q652" i="34"/>
  <c r="U652" i="34"/>
  <c r="Z652" i="34"/>
  <c r="P652" i="34"/>
  <c r="O652" i="34"/>
  <c r="A652" i="34"/>
  <c r="Q660" i="34"/>
  <c r="U660" i="34"/>
  <c r="Z660" i="34"/>
  <c r="P660" i="34"/>
  <c r="O660" i="34"/>
  <c r="A660" i="34"/>
  <c r="Q644" i="34"/>
  <c r="U644" i="34"/>
  <c r="Z644" i="34"/>
  <c r="O644" i="34"/>
  <c r="P644" i="34"/>
  <c r="A644" i="34"/>
  <c r="P834" i="34"/>
  <c r="Q834" i="34"/>
  <c r="U834" i="34"/>
  <c r="Z834" i="34"/>
  <c r="O834" i="34"/>
  <c r="A834" i="34"/>
  <c r="P349" i="34"/>
  <c r="Q349" i="34"/>
  <c r="U349" i="34"/>
  <c r="Z349" i="34"/>
  <c r="O349" i="34"/>
  <c r="A349" i="34"/>
  <c r="P353" i="34"/>
  <c r="Q353" i="34"/>
  <c r="U353" i="34"/>
  <c r="Z353" i="34"/>
  <c r="O353" i="34"/>
  <c r="A353" i="34"/>
  <c r="P357" i="34"/>
  <c r="Q357" i="34"/>
  <c r="U357" i="34"/>
  <c r="Z357" i="34"/>
  <c r="O357" i="34"/>
  <c r="A357" i="34"/>
  <c r="Q377" i="34"/>
  <c r="U377" i="34"/>
  <c r="Z377" i="34"/>
  <c r="O377" i="34"/>
  <c r="P377" i="34"/>
  <c r="A377" i="34"/>
  <c r="P359" i="34"/>
  <c r="Q359" i="34"/>
  <c r="U359" i="34"/>
  <c r="Z359" i="34"/>
  <c r="O359" i="34"/>
  <c r="A359" i="34"/>
  <c r="Q373" i="34"/>
  <c r="U373" i="34"/>
  <c r="Z373" i="34"/>
  <c r="O373" i="34"/>
  <c r="P373" i="34"/>
  <c r="A373" i="34"/>
  <c r="P363" i="34"/>
  <c r="Q363" i="34"/>
  <c r="U363" i="34"/>
  <c r="Z363" i="34"/>
  <c r="O363" i="34"/>
  <c r="A363" i="34"/>
  <c r="Q367" i="34"/>
  <c r="U367" i="34"/>
  <c r="Z367" i="34"/>
  <c r="O367" i="34"/>
  <c r="P367" i="34"/>
  <c r="A367" i="34"/>
  <c r="Q664" i="34"/>
  <c r="U664" i="34"/>
  <c r="Z664" i="34"/>
  <c r="P664" i="34"/>
  <c r="O664" i="34"/>
  <c r="A664" i="34"/>
  <c r="Q668" i="34"/>
  <c r="U668" i="34"/>
  <c r="Z668" i="34"/>
  <c r="P668" i="34"/>
  <c r="O668" i="34"/>
  <c r="A668" i="34"/>
  <c r="P837" i="34"/>
  <c r="Q837" i="34"/>
  <c r="U837" i="34"/>
  <c r="Z837" i="34"/>
  <c r="O837" i="34"/>
  <c r="A837" i="34"/>
  <c r="Q632" i="34"/>
  <c r="U632" i="34"/>
  <c r="Z632" i="34"/>
  <c r="O632" i="34"/>
  <c r="P632" i="34"/>
  <c r="A632" i="34"/>
  <c r="Q636" i="34"/>
  <c r="U636" i="34"/>
  <c r="Z636" i="34"/>
  <c r="O636" i="34"/>
  <c r="P636" i="34"/>
  <c r="A636" i="34"/>
  <c r="Q613" i="34"/>
  <c r="U613" i="34"/>
  <c r="Z613" i="34"/>
  <c r="P613" i="34"/>
  <c r="O613" i="34"/>
  <c r="A613" i="34"/>
  <c r="Q617" i="34"/>
  <c r="U617" i="34"/>
  <c r="Z617" i="34"/>
  <c r="P617" i="34"/>
  <c r="O617" i="34"/>
  <c r="A617" i="34"/>
  <c r="Q621" i="34"/>
  <c r="U621" i="34"/>
  <c r="Z621" i="34"/>
  <c r="P621" i="34"/>
  <c r="O621" i="34"/>
  <c r="A621" i="34"/>
  <c r="Q625" i="34"/>
  <c r="U625" i="34"/>
  <c r="Z625" i="34"/>
  <c r="P625" i="34"/>
  <c r="O625" i="34"/>
  <c r="A625" i="34"/>
  <c r="Q649" i="34"/>
  <c r="U649" i="34"/>
  <c r="Z649" i="34"/>
  <c r="P649" i="34"/>
  <c r="O649" i="34"/>
  <c r="A649" i="34"/>
  <c r="Q653" i="34"/>
  <c r="U653" i="34"/>
  <c r="Z653" i="34"/>
  <c r="P653" i="34"/>
  <c r="O653" i="34"/>
  <c r="A653" i="34"/>
  <c r="Q657" i="34"/>
  <c r="U657" i="34"/>
  <c r="Z657" i="34"/>
  <c r="O657" i="34"/>
  <c r="P657" i="34"/>
  <c r="A657" i="34"/>
  <c r="Q637" i="34"/>
  <c r="U637" i="34"/>
  <c r="Z637" i="34"/>
  <c r="P637" i="34"/>
  <c r="O637" i="34"/>
  <c r="A637" i="34"/>
  <c r="Q641" i="34"/>
  <c r="U641" i="34"/>
  <c r="Z641" i="34"/>
  <c r="P641" i="34"/>
  <c r="O641" i="34"/>
  <c r="A641" i="34"/>
  <c r="Q645" i="34"/>
  <c r="U645" i="34"/>
  <c r="Z645" i="34"/>
  <c r="O645" i="34"/>
  <c r="P645" i="34"/>
  <c r="A645" i="34"/>
  <c r="Q670" i="34"/>
  <c r="U670" i="34"/>
  <c r="Z670" i="34"/>
  <c r="O670" i="34"/>
  <c r="P670" i="34"/>
  <c r="A670" i="34"/>
  <c r="Q674" i="34"/>
  <c r="U674" i="34"/>
  <c r="Z674" i="34"/>
  <c r="O674" i="34"/>
  <c r="P674" i="34"/>
  <c r="A674" i="34"/>
  <c r="P799" i="34"/>
  <c r="Q799" i="34"/>
  <c r="U799" i="34"/>
  <c r="Z799" i="34"/>
  <c r="O799" i="34"/>
  <c r="A799" i="34"/>
  <c r="P678" i="34"/>
  <c r="Q678" i="34"/>
  <c r="U678" i="34"/>
  <c r="Z678" i="34"/>
  <c r="O678" i="34"/>
  <c r="A678" i="34"/>
  <c r="Q374" i="34"/>
  <c r="U374" i="34"/>
  <c r="Z374" i="34"/>
  <c r="P374" i="34"/>
  <c r="O374" i="34"/>
  <c r="A374" i="34"/>
  <c r="Q665" i="34"/>
  <c r="U665" i="34"/>
  <c r="Z665" i="34"/>
  <c r="O665" i="34"/>
  <c r="P665" i="34"/>
  <c r="A665" i="34"/>
  <c r="Q661" i="34"/>
  <c r="U661" i="34"/>
  <c r="Z661" i="34"/>
  <c r="O661" i="34"/>
  <c r="P661" i="34"/>
  <c r="A661" i="34"/>
  <c r="Q626" i="34"/>
  <c r="U626" i="34"/>
  <c r="Z626" i="34"/>
  <c r="O626" i="34"/>
  <c r="P626" i="34"/>
  <c r="A626" i="34"/>
  <c r="Q642" i="34"/>
  <c r="U642" i="34"/>
  <c r="Z642" i="34"/>
  <c r="O642" i="34"/>
  <c r="P642" i="34"/>
  <c r="A642" i="34"/>
  <c r="Q676" i="34"/>
  <c r="U676" i="34"/>
  <c r="Z676" i="34"/>
  <c r="P676" i="34"/>
  <c r="O676" i="34"/>
  <c r="A676" i="34"/>
  <c r="P679" i="34"/>
  <c r="Q679" i="34"/>
  <c r="U679" i="34"/>
  <c r="Z679" i="34"/>
  <c r="O679" i="34"/>
  <c r="A679" i="34"/>
  <c r="P350" i="34"/>
  <c r="Q350" i="34"/>
  <c r="U350" i="34"/>
  <c r="Z350" i="34"/>
  <c r="O350" i="34"/>
  <c r="A350" i="34"/>
  <c r="Q419" i="34"/>
  <c r="U419" i="34"/>
  <c r="Z419" i="34"/>
  <c r="P419" i="34"/>
  <c r="O419" i="34"/>
  <c r="A419" i="34"/>
  <c r="P364" i="34"/>
  <c r="Q364" i="34"/>
  <c r="U364" i="34"/>
  <c r="Z364" i="34"/>
  <c r="O364" i="34"/>
  <c r="A364" i="34"/>
  <c r="Q629" i="34"/>
  <c r="U629" i="34"/>
  <c r="Z629" i="34"/>
  <c r="P629" i="34"/>
  <c r="O629" i="34"/>
  <c r="A629" i="34"/>
  <c r="Q614" i="34"/>
  <c r="U614" i="34"/>
  <c r="Z614" i="34"/>
  <c r="O614" i="34"/>
  <c r="P614" i="34"/>
  <c r="A614" i="34"/>
  <c r="Q650" i="34"/>
  <c r="U650" i="34"/>
  <c r="Z650" i="34"/>
  <c r="P650" i="34"/>
  <c r="O650" i="34"/>
  <c r="A650" i="34"/>
  <c r="Q658" i="34"/>
  <c r="U658" i="34"/>
  <c r="Z658" i="34"/>
  <c r="O658" i="34"/>
  <c r="P658" i="34"/>
  <c r="A658" i="34"/>
  <c r="Q646" i="34"/>
  <c r="U646" i="34"/>
  <c r="Z646" i="34"/>
  <c r="O646" i="34"/>
  <c r="P646" i="34"/>
  <c r="A646" i="34"/>
  <c r="Q671" i="34"/>
  <c r="U671" i="34"/>
  <c r="Z671" i="34"/>
  <c r="O671" i="34"/>
  <c r="P671" i="34"/>
  <c r="A671" i="34"/>
  <c r="Q675" i="34"/>
  <c r="U675" i="34"/>
  <c r="Z675" i="34"/>
  <c r="O675" i="34"/>
  <c r="P675" i="34"/>
  <c r="A675" i="34"/>
  <c r="P831" i="34"/>
  <c r="Q831" i="34"/>
  <c r="U831" i="34"/>
  <c r="Z831" i="34"/>
  <c r="O831" i="34"/>
  <c r="A831" i="34"/>
  <c r="P351" i="34"/>
  <c r="Q351" i="34"/>
  <c r="U351" i="34"/>
  <c r="Z351" i="34"/>
  <c r="O351" i="34"/>
  <c r="A351" i="34"/>
  <c r="P355" i="34"/>
  <c r="Q355" i="34"/>
  <c r="U355" i="34"/>
  <c r="Z355" i="34"/>
  <c r="O355" i="34"/>
  <c r="A355" i="34"/>
  <c r="Q375" i="34"/>
  <c r="U375" i="34"/>
  <c r="Z375" i="34"/>
  <c r="O375" i="34"/>
  <c r="P375" i="34"/>
  <c r="A375" i="34"/>
  <c r="Q420" i="34"/>
  <c r="U420" i="34"/>
  <c r="Z420" i="34"/>
  <c r="O420" i="34"/>
  <c r="P420" i="34"/>
  <c r="A420" i="34"/>
  <c r="Q371" i="34"/>
  <c r="U371" i="34"/>
  <c r="Z371" i="34"/>
  <c r="O371" i="34"/>
  <c r="P371" i="34"/>
  <c r="A371" i="34"/>
  <c r="P361" i="34"/>
  <c r="Q361" i="34"/>
  <c r="U361" i="34"/>
  <c r="Z361" i="34"/>
  <c r="O361" i="34"/>
  <c r="A361" i="34"/>
  <c r="P365" i="34"/>
  <c r="Q365" i="34"/>
  <c r="U365" i="34"/>
  <c r="Z365" i="34"/>
  <c r="O365" i="34"/>
  <c r="A365" i="34"/>
  <c r="Q369" i="34"/>
  <c r="U369" i="34"/>
  <c r="Z369" i="34"/>
  <c r="O369" i="34"/>
  <c r="P369" i="34"/>
  <c r="A369" i="34"/>
  <c r="Q666" i="34"/>
  <c r="U666" i="34"/>
  <c r="Z666" i="34"/>
  <c r="O666" i="34"/>
  <c r="P666" i="34"/>
  <c r="A666" i="34"/>
  <c r="P835" i="34"/>
  <c r="Q835" i="34"/>
  <c r="U835" i="34"/>
  <c r="Z835" i="34"/>
  <c r="O835" i="34"/>
  <c r="A835" i="34"/>
  <c r="Q630" i="34"/>
  <c r="U630" i="34"/>
  <c r="Z630" i="34"/>
  <c r="O630" i="34"/>
  <c r="P630" i="34"/>
  <c r="A630" i="34"/>
  <c r="Q634" i="34"/>
  <c r="U634" i="34"/>
  <c r="Z634" i="34"/>
  <c r="O634" i="34"/>
  <c r="P634" i="34"/>
  <c r="A634" i="34"/>
  <c r="Q662" i="34"/>
  <c r="U662" i="34"/>
  <c r="Z662" i="34"/>
  <c r="O662" i="34"/>
  <c r="P662" i="34"/>
  <c r="A662" i="34"/>
  <c r="Q611" i="34"/>
  <c r="U611" i="34"/>
  <c r="Z611" i="34"/>
  <c r="O611" i="34"/>
  <c r="P611" i="34"/>
  <c r="A611" i="34"/>
  <c r="Q615" i="34"/>
  <c r="U615" i="34"/>
  <c r="Z615" i="34"/>
  <c r="O615" i="34"/>
  <c r="P615" i="34"/>
  <c r="A615" i="34"/>
  <c r="Q619" i="34"/>
  <c r="U619" i="34"/>
  <c r="Z619" i="34"/>
  <c r="O619" i="34"/>
  <c r="P619" i="34"/>
  <c r="A619" i="34"/>
  <c r="Q623" i="34"/>
  <c r="U623" i="34"/>
  <c r="Z623" i="34"/>
  <c r="O623" i="34"/>
  <c r="P623" i="34"/>
  <c r="A623" i="34"/>
  <c r="Q627" i="34"/>
  <c r="U627" i="34"/>
  <c r="Z627" i="34"/>
  <c r="O627" i="34"/>
  <c r="P627" i="34"/>
  <c r="A627" i="34"/>
  <c r="Q651" i="34"/>
  <c r="U651" i="34"/>
  <c r="Z651" i="34"/>
  <c r="P651" i="34"/>
  <c r="O651" i="34"/>
  <c r="A651" i="34"/>
  <c r="Q655" i="34"/>
  <c r="U655" i="34"/>
  <c r="Z655" i="34"/>
  <c r="O655" i="34"/>
  <c r="P655" i="34"/>
  <c r="A655" i="34"/>
  <c r="Q659" i="34"/>
  <c r="U659" i="34"/>
  <c r="Z659" i="34"/>
  <c r="O659" i="34"/>
  <c r="P659" i="34"/>
  <c r="A659" i="34"/>
  <c r="Q639" i="34"/>
  <c r="U639" i="34"/>
  <c r="Z639" i="34"/>
  <c r="O639" i="34"/>
  <c r="P639" i="34"/>
  <c r="A639" i="34"/>
  <c r="Q643" i="34"/>
  <c r="U643" i="34"/>
  <c r="Z643" i="34"/>
  <c r="O643" i="34"/>
  <c r="P643" i="34"/>
  <c r="A643" i="34"/>
  <c r="Q647" i="34"/>
  <c r="U647" i="34"/>
  <c r="Z647" i="34"/>
  <c r="P647" i="34"/>
  <c r="O647" i="34"/>
  <c r="A647" i="34"/>
  <c r="P833" i="34"/>
  <c r="Q833" i="34"/>
  <c r="U833" i="34"/>
  <c r="Z833" i="34"/>
  <c r="O833" i="34"/>
  <c r="A833" i="34"/>
  <c r="Q672" i="34"/>
  <c r="U672" i="34"/>
  <c r="Z672" i="34"/>
  <c r="P672" i="34"/>
  <c r="O672" i="34"/>
  <c r="A672" i="34"/>
  <c r="P682" i="34"/>
  <c r="Q682" i="34"/>
  <c r="U682" i="34"/>
  <c r="Z682" i="34"/>
  <c r="O682" i="34"/>
  <c r="A682" i="34"/>
  <c r="P832" i="34"/>
  <c r="Q832" i="34"/>
  <c r="U832" i="34"/>
  <c r="Z832" i="34"/>
  <c r="O832" i="34"/>
  <c r="A832" i="34"/>
  <c r="P680" i="34"/>
  <c r="Q680" i="34"/>
  <c r="U680" i="34"/>
  <c r="Z680" i="34"/>
  <c r="O680" i="34"/>
  <c r="A680" i="34"/>
  <c r="P354" i="34"/>
  <c r="Q354" i="34"/>
  <c r="U354" i="34"/>
  <c r="Z354" i="34"/>
  <c r="O354" i="34"/>
  <c r="A354" i="34"/>
  <c r="P360" i="34"/>
  <c r="Q360" i="34"/>
  <c r="U360" i="34"/>
  <c r="Z360" i="34"/>
  <c r="O360" i="34"/>
  <c r="A360" i="34"/>
  <c r="Q669" i="34"/>
  <c r="U669" i="34"/>
  <c r="Z669" i="34"/>
  <c r="O669" i="34"/>
  <c r="P669" i="34"/>
  <c r="A669" i="34"/>
  <c r="Q610" i="34"/>
  <c r="U610" i="34"/>
  <c r="Z610" i="34"/>
  <c r="O610" i="34"/>
  <c r="P610" i="34"/>
  <c r="A610" i="34"/>
  <c r="Q622" i="34"/>
  <c r="U622" i="34"/>
  <c r="Z622" i="34"/>
  <c r="O622" i="34"/>
  <c r="P622" i="34"/>
  <c r="A622" i="34"/>
  <c r="Q638" i="34"/>
  <c r="U638" i="34"/>
  <c r="Z638" i="34"/>
  <c r="O638" i="34"/>
  <c r="P638" i="34"/>
  <c r="A638" i="34"/>
  <c r="P352" i="34"/>
  <c r="Q352" i="34"/>
  <c r="U352" i="34"/>
  <c r="Z352" i="34"/>
  <c r="O352" i="34"/>
  <c r="A352" i="34"/>
  <c r="Q376" i="34"/>
  <c r="U376" i="34"/>
  <c r="Z376" i="34"/>
  <c r="O376" i="34"/>
  <c r="P376" i="34"/>
  <c r="A376" i="34"/>
  <c r="Q372" i="34"/>
  <c r="U372" i="34"/>
  <c r="Z372" i="34"/>
  <c r="O372" i="34"/>
  <c r="P372" i="34"/>
  <c r="A372" i="34"/>
  <c r="Q663" i="34"/>
  <c r="U663" i="34"/>
  <c r="Z663" i="34"/>
  <c r="O663" i="34"/>
  <c r="P663" i="34"/>
  <c r="A663" i="34"/>
  <c r="P836" i="34"/>
  <c r="Q836" i="34"/>
  <c r="U836" i="34"/>
  <c r="Z836" i="34"/>
  <c r="O836" i="34"/>
  <c r="A836" i="34"/>
  <c r="Q635" i="34"/>
  <c r="U635" i="34"/>
  <c r="Z635" i="34"/>
  <c r="O635" i="34"/>
  <c r="P635" i="34"/>
  <c r="A635" i="34"/>
  <c r="Q612" i="34"/>
  <c r="U612" i="34"/>
  <c r="Z612" i="34"/>
  <c r="O612" i="34"/>
  <c r="P612" i="34"/>
  <c r="A612" i="34"/>
  <c r="Q620" i="34"/>
  <c r="U620" i="34"/>
  <c r="Z620" i="34"/>
  <c r="O620" i="34"/>
  <c r="P620" i="34"/>
  <c r="A620" i="34"/>
  <c r="Q628" i="34"/>
  <c r="U628" i="34"/>
  <c r="Z628" i="34"/>
  <c r="O628" i="34"/>
  <c r="P628" i="34"/>
  <c r="A628" i="34"/>
  <c r="Q656" i="34"/>
  <c r="U656" i="34"/>
  <c r="Z656" i="34"/>
  <c r="P656" i="34"/>
  <c r="O656" i="34"/>
  <c r="A656" i="34"/>
  <c r="Q640" i="34"/>
  <c r="U640" i="34"/>
  <c r="Z640" i="34"/>
  <c r="O640" i="34"/>
  <c r="P640" i="34"/>
  <c r="A640" i="34"/>
  <c r="Q648" i="34"/>
  <c r="U648" i="34"/>
  <c r="Z648" i="34"/>
  <c r="P648" i="34"/>
  <c r="O648" i="34"/>
  <c r="A648" i="34"/>
  <c r="Q673" i="34"/>
  <c r="U673" i="34"/>
  <c r="Z673" i="34"/>
  <c r="O673" i="34"/>
  <c r="P673" i="34"/>
  <c r="A673" i="34"/>
  <c r="P683" i="34"/>
  <c r="Q683" i="34"/>
  <c r="U683" i="34"/>
  <c r="Z683" i="34"/>
  <c r="O683" i="34"/>
  <c r="A683" i="34"/>
  <c r="Q677" i="34"/>
  <c r="O677" i="34"/>
  <c r="P677" i="34"/>
  <c r="U677" i="34"/>
  <c r="Z677" i="34"/>
  <c r="A677" i="34"/>
  <c r="P681" i="34"/>
  <c r="Q681" i="34"/>
  <c r="U681" i="34"/>
  <c r="Z681" i="34"/>
  <c r="O681" i="34"/>
  <c r="A681" i="34"/>
  <c r="A434" i="55"/>
  <c r="A314" i="55"/>
  <c r="A385" i="55"/>
  <c r="A212" i="55"/>
  <c r="A533" i="55"/>
  <c r="A333" i="55"/>
  <c r="A304" i="55"/>
  <c r="A224" i="55"/>
  <c r="A251" i="55"/>
  <c r="A406" i="55"/>
  <c r="A657" i="55"/>
  <c r="A471" i="55"/>
  <c r="A486" i="55"/>
  <c r="A500" i="55"/>
  <c r="A298" i="55"/>
  <c r="A664" i="55"/>
  <c r="A288" i="55"/>
  <c r="A654" i="55"/>
  <c r="A269" i="55"/>
  <c r="A642" i="55"/>
  <c r="A259" i="55"/>
  <c r="A258" i="55"/>
  <c r="A341" i="55"/>
  <c r="A315" i="55"/>
  <c r="A277" i="55"/>
  <c r="A310" i="55"/>
  <c r="A45" i="55"/>
  <c r="A24" i="55"/>
  <c r="A26" i="55"/>
  <c r="A27" i="55"/>
  <c r="A23" i="55"/>
  <c r="A21" i="55"/>
  <c r="A22" i="55"/>
  <c r="A178" i="55"/>
  <c r="A19" i="55"/>
  <c r="A510" i="55"/>
  <c r="A308" i="55"/>
  <c r="A281" i="55"/>
  <c r="A313" i="55"/>
  <c r="A282" i="55"/>
  <c r="A283" i="55"/>
  <c r="A284" i="55"/>
  <c r="A175" i="55"/>
  <c r="A182" i="55"/>
  <c r="A188" i="55"/>
  <c r="A684" i="55"/>
  <c r="A448" i="55"/>
  <c r="AC3674" i="34"/>
  <c r="K3674" i="34"/>
  <c r="C3674" i="34"/>
  <c r="B3674" i="34" s="1"/>
  <c r="AC3673" i="34"/>
  <c r="K3673" i="34"/>
  <c r="C3673" i="34"/>
  <c r="B3673" i="34" s="1"/>
  <c r="AC3672" i="34"/>
  <c r="K3672" i="34"/>
  <c r="C3672" i="34"/>
  <c r="B3672" i="34" s="1"/>
  <c r="AC3671" i="34"/>
  <c r="K3671" i="34"/>
  <c r="C3671" i="34"/>
  <c r="B3671" i="34" s="1"/>
  <c r="AC3670" i="34"/>
  <c r="K3670" i="34"/>
  <c r="C3670" i="34"/>
  <c r="B3670" i="34" s="1"/>
  <c r="AC3669" i="34"/>
  <c r="K3669" i="34"/>
  <c r="C3669" i="34"/>
  <c r="B3669" i="34" s="1"/>
  <c r="AC3668" i="34"/>
  <c r="K3668" i="34"/>
  <c r="C3668" i="34"/>
  <c r="B3668" i="34" s="1"/>
  <c r="AC3667" i="34"/>
  <c r="K3667" i="34"/>
  <c r="C3667" i="34"/>
  <c r="B3667" i="34" s="1"/>
  <c r="AC3666" i="34"/>
  <c r="K3666" i="34"/>
  <c r="C3666" i="34"/>
  <c r="B3666" i="34" s="1"/>
  <c r="AC3665" i="34"/>
  <c r="K3665" i="34"/>
  <c r="C3665" i="34"/>
  <c r="B3665" i="34" s="1"/>
  <c r="AC3664" i="34"/>
  <c r="K3664" i="34"/>
  <c r="C3664" i="34"/>
  <c r="B3664" i="34" s="1"/>
  <c r="AC3663" i="34"/>
  <c r="K3663" i="34"/>
  <c r="C3663" i="34"/>
  <c r="B3663" i="34" s="1"/>
  <c r="AC3662" i="34"/>
  <c r="K3662" i="34"/>
  <c r="C3662" i="34"/>
  <c r="B3662" i="34" s="1"/>
  <c r="AC3661" i="34"/>
  <c r="K3661" i="34"/>
  <c r="C3661" i="34"/>
  <c r="B3661" i="34" s="1"/>
  <c r="AC3660" i="34"/>
  <c r="K3660" i="34"/>
  <c r="C3660" i="34"/>
  <c r="B3660" i="34" s="1"/>
  <c r="AC3659" i="34"/>
  <c r="K3659" i="34"/>
  <c r="C3659" i="34"/>
  <c r="B3659" i="34" s="1"/>
  <c r="AC3658" i="34"/>
  <c r="K3658" i="34"/>
  <c r="C3658" i="34"/>
  <c r="B3658" i="34" s="1"/>
  <c r="AC3657" i="34"/>
  <c r="K3657" i="34"/>
  <c r="C3657" i="34"/>
  <c r="B3657" i="34" s="1"/>
  <c r="AC3656" i="34"/>
  <c r="K3656" i="34"/>
  <c r="C3656" i="34"/>
  <c r="B3656" i="34" s="1"/>
  <c r="AC3655" i="34"/>
  <c r="K3655" i="34"/>
  <c r="C3655" i="34"/>
  <c r="B3655" i="34" s="1"/>
  <c r="AC3654" i="34"/>
  <c r="K3654" i="34"/>
  <c r="C3654" i="34"/>
  <c r="B3654" i="34" s="1"/>
  <c r="AC3695" i="34"/>
  <c r="K3695" i="34"/>
  <c r="C3695" i="34"/>
  <c r="B3695" i="34" s="1"/>
  <c r="AC3694" i="34"/>
  <c r="K3694" i="34"/>
  <c r="C3694" i="34"/>
  <c r="B3694" i="34" s="1"/>
  <c r="AC3693" i="34"/>
  <c r="K3693" i="34"/>
  <c r="C3693" i="34"/>
  <c r="B3693" i="34" s="1"/>
  <c r="AC3692" i="34"/>
  <c r="K3692" i="34"/>
  <c r="C3692" i="34"/>
  <c r="B3692" i="34" s="1"/>
  <c r="AC3691" i="34"/>
  <c r="K3691" i="34"/>
  <c r="C3691" i="34"/>
  <c r="B3691" i="34" s="1"/>
  <c r="AC3690" i="34"/>
  <c r="K3690" i="34"/>
  <c r="C3690" i="34"/>
  <c r="B3690" i="34" s="1"/>
  <c r="AC3689" i="34"/>
  <c r="K3689" i="34"/>
  <c r="C3689" i="34"/>
  <c r="B3689" i="34" s="1"/>
  <c r="AC3688" i="34"/>
  <c r="K3688" i="34"/>
  <c r="C3688" i="34"/>
  <c r="B3688" i="34" s="1"/>
  <c r="AC3687" i="34"/>
  <c r="K3687" i="34"/>
  <c r="C3687" i="34"/>
  <c r="B3687" i="34" s="1"/>
  <c r="AC3686" i="34"/>
  <c r="K3686" i="34"/>
  <c r="C3686" i="34"/>
  <c r="B3686" i="34" s="1"/>
  <c r="AC3685" i="34"/>
  <c r="K3685" i="34"/>
  <c r="C3685" i="34"/>
  <c r="B3685" i="34" s="1"/>
  <c r="AC3684" i="34"/>
  <c r="K3684" i="34"/>
  <c r="C3684" i="34"/>
  <c r="B3684" i="34" s="1"/>
  <c r="AC3683" i="34"/>
  <c r="K3683" i="34"/>
  <c r="C3683" i="34"/>
  <c r="B3683" i="34" s="1"/>
  <c r="AC3682" i="34"/>
  <c r="K3682" i="34"/>
  <c r="C3682" i="34"/>
  <c r="B3682" i="34" s="1"/>
  <c r="AC3681" i="34"/>
  <c r="K3681" i="34"/>
  <c r="C3681" i="34"/>
  <c r="B3681" i="34" s="1"/>
  <c r="AC3680" i="34"/>
  <c r="K3680" i="34"/>
  <c r="C3680" i="34"/>
  <c r="B3680" i="34" s="1"/>
  <c r="AC3679" i="34"/>
  <c r="K3679" i="34"/>
  <c r="C3679" i="34"/>
  <c r="B3679" i="34" s="1"/>
  <c r="AC3678" i="34"/>
  <c r="K3678" i="34"/>
  <c r="C3678" i="34"/>
  <c r="B3678" i="34" s="1"/>
  <c r="AC3677" i="34"/>
  <c r="K3677" i="34"/>
  <c r="C3677" i="34"/>
  <c r="B3677" i="34" s="1"/>
  <c r="AC3676" i="34"/>
  <c r="K3676" i="34"/>
  <c r="C3676" i="34"/>
  <c r="B3676" i="34" s="1"/>
  <c r="AC3675" i="34"/>
  <c r="K3675" i="34"/>
  <c r="C3675" i="34"/>
  <c r="B3675" i="34" s="1"/>
  <c r="AC3731" i="34"/>
  <c r="K3731" i="34"/>
  <c r="C3731" i="34"/>
  <c r="B3731" i="34" s="1"/>
  <c r="AC3730" i="34"/>
  <c r="K3730" i="34"/>
  <c r="C3730" i="34"/>
  <c r="B3730" i="34" s="1"/>
  <c r="AC3729" i="34"/>
  <c r="K3729" i="34"/>
  <c r="C3729" i="34"/>
  <c r="B3729" i="34" s="1"/>
  <c r="AC3728" i="34"/>
  <c r="K3728" i="34"/>
  <c r="C3728" i="34"/>
  <c r="B3728" i="34" s="1"/>
  <c r="AC3727" i="34"/>
  <c r="K3727" i="34"/>
  <c r="C3727" i="34"/>
  <c r="B3727" i="34" s="1"/>
  <c r="AC3726" i="34"/>
  <c r="K3726" i="34"/>
  <c r="C3726" i="34"/>
  <c r="B3726" i="34" s="1"/>
  <c r="AC3725" i="34"/>
  <c r="K3725" i="34"/>
  <c r="C3725" i="34"/>
  <c r="B3725" i="34" s="1"/>
  <c r="AC3724" i="34"/>
  <c r="K3724" i="34"/>
  <c r="C3724" i="34"/>
  <c r="B3724" i="34" s="1"/>
  <c r="AC3723" i="34"/>
  <c r="K3723" i="34"/>
  <c r="C3723" i="34"/>
  <c r="B3723" i="34" s="1"/>
  <c r="AC3722" i="34"/>
  <c r="K3722" i="34"/>
  <c r="C3722" i="34"/>
  <c r="B3722" i="34" s="1"/>
  <c r="AC3721" i="34"/>
  <c r="K3721" i="34"/>
  <c r="C3721" i="34"/>
  <c r="B3721" i="34" s="1"/>
  <c r="AC3720" i="34"/>
  <c r="K3720" i="34"/>
  <c r="C3720" i="34"/>
  <c r="B3720" i="34" s="1"/>
  <c r="AC3719" i="34"/>
  <c r="K3719" i="34"/>
  <c r="C3719" i="34"/>
  <c r="B3719" i="34" s="1"/>
  <c r="AC3718" i="34"/>
  <c r="K3718" i="34"/>
  <c r="C3718" i="34"/>
  <c r="B3718" i="34" s="1"/>
  <c r="AC3717" i="34"/>
  <c r="K3717" i="34"/>
  <c r="C3717" i="34"/>
  <c r="B3717" i="34" s="1"/>
  <c r="AC3716" i="34"/>
  <c r="K3716" i="34"/>
  <c r="C3716" i="34"/>
  <c r="B3716" i="34" s="1"/>
  <c r="AC3715" i="34"/>
  <c r="K3715" i="34"/>
  <c r="C3715" i="34"/>
  <c r="B3715" i="34" s="1"/>
  <c r="AC3714" i="34"/>
  <c r="K3714" i="34"/>
  <c r="C3714" i="34"/>
  <c r="B3714" i="34" s="1"/>
  <c r="AC3713" i="34"/>
  <c r="K3713" i="34"/>
  <c r="C3713" i="34"/>
  <c r="B3713" i="34" s="1"/>
  <c r="AC3712" i="34"/>
  <c r="K3712" i="34"/>
  <c r="C3712" i="34"/>
  <c r="B3712" i="34" s="1"/>
  <c r="AC3711" i="34"/>
  <c r="K3711" i="34"/>
  <c r="C3711" i="34"/>
  <c r="B3711" i="34" s="1"/>
  <c r="AC3710" i="34"/>
  <c r="K3710" i="34"/>
  <c r="C3710" i="34"/>
  <c r="B3710" i="34" s="1"/>
  <c r="AC3709" i="34"/>
  <c r="K3709" i="34"/>
  <c r="C3709" i="34"/>
  <c r="B3709" i="34" s="1"/>
  <c r="AC3708" i="34"/>
  <c r="K3708" i="34"/>
  <c r="C3708" i="34"/>
  <c r="B3708" i="34" s="1"/>
  <c r="AC3707" i="34"/>
  <c r="K3707" i="34"/>
  <c r="C3707" i="34"/>
  <c r="B3707" i="34" s="1"/>
  <c r="AC3706" i="34"/>
  <c r="K3706" i="34"/>
  <c r="C3706" i="34"/>
  <c r="B3706" i="34" s="1"/>
  <c r="AC3705" i="34"/>
  <c r="K3705" i="34"/>
  <c r="C3705" i="34"/>
  <c r="B3705" i="34" s="1"/>
  <c r="AC3704" i="34"/>
  <c r="K3704" i="34"/>
  <c r="C3704" i="34"/>
  <c r="B3704" i="34" s="1"/>
  <c r="AC3703" i="34"/>
  <c r="K3703" i="34"/>
  <c r="C3703" i="34"/>
  <c r="B3703" i="34" s="1"/>
  <c r="AC3702" i="34"/>
  <c r="K3702" i="34"/>
  <c r="C3702" i="34"/>
  <c r="B3702" i="34" s="1"/>
  <c r="AC3701" i="34"/>
  <c r="K3701" i="34"/>
  <c r="C3701" i="34"/>
  <c r="B3701" i="34" s="1"/>
  <c r="AC3700" i="34"/>
  <c r="K3700" i="34"/>
  <c r="C3700" i="34"/>
  <c r="B3700" i="34" s="1"/>
  <c r="AC3699" i="34"/>
  <c r="K3699" i="34"/>
  <c r="C3699" i="34"/>
  <c r="B3699" i="34" s="1"/>
  <c r="AC3698" i="34"/>
  <c r="K3698" i="34"/>
  <c r="C3698" i="34"/>
  <c r="B3698" i="34" s="1"/>
  <c r="AC3697" i="34"/>
  <c r="K3697" i="34"/>
  <c r="C3697" i="34"/>
  <c r="B3697" i="34" s="1"/>
  <c r="AC3696" i="34"/>
  <c r="K3696" i="34"/>
  <c r="C3696" i="34"/>
  <c r="B3696" i="34" s="1"/>
  <c r="AC3653" i="34"/>
  <c r="K3653" i="34"/>
  <c r="C3653" i="34"/>
  <c r="B3653" i="34" s="1"/>
  <c r="AC3652" i="34"/>
  <c r="K3652" i="34"/>
  <c r="C3652" i="34"/>
  <c r="B3652" i="34" s="1"/>
  <c r="AC3651" i="34"/>
  <c r="K3651" i="34"/>
  <c r="C3651" i="34"/>
  <c r="B3651" i="34" s="1"/>
  <c r="AC3650" i="34"/>
  <c r="K3650" i="34"/>
  <c r="C3650" i="34"/>
  <c r="B3650" i="34" s="1"/>
  <c r="AC3649" i="34"/>
  <c r="K3649" i="34"/>
  <c r="C3649" i="34"/>
  <c r="B3649" i="34" s="1"/>
  <c r="AC3648" i="34"/>
  <c r="K3648" i="34"/>
  <c r="C3648" i="34"/>
  <c r="B3648" i="34" s="1"/>
  <c r="AC3752" i="34"/>
  <c r="K3752" i="34"/>
  <c r="C3752" i="34"/>
  <c r="B3752" i="34" s="1"/>
  <c r="AC3751" i="34"/>
  <c r="K3751" i="34"/>
  <c r="C3751" i="34"/>
  <c r="B3751" i="34" s="1"/>
  <c r="AC3750" i="34"/>
  <c r="K3750" i="34"/>
  <c r="C3750" i="34"/>
  <c r="B3750" i="34" s="1"/>
  <c r="AC3749" i="34"/>
  <c r="K3749" i="34"/>
  <c r="C3749" i="34"/>
  <c r="B3749" i="34" s="1"/>
  <c r="AC3748" i="34"/>
  <c r="K3748" i="34"/>
  <c r="C3748" i="34"/>
  <c r="B3748" i="34" s="1"/>
  <c r="AC3747" i="34"/>
  <c r="K3747" i="34"/>
  <c r="C3747" i="34"/>
  <c r="B3747" i="34" s="1"/>
  <c r="AC3746" i="34"/>
  <c r="K3746" i="34"/>
  <c r="C3746" i="34"/>
  <c r="B3746" i="34" s="1"/>
  <c r="AC3745" i="34"/>
  <c r="K3745" i="34"/>
  <c r="C3745" i="34"/>
  <c r="B3745" i="34" s="1"/>
  <c r="AC3744" i="34"/>
  <c r="K3744" i="34"/>
  <c r="C3744" i="34"/>
  <c r="B3744" i="34" s="1"/>
  <c r="AC3743" i="34"/>
  <c r="K3743" i="34"/>
  <c r="C3743" i="34"/>
  <c r="B3743" i="34" s="1"/>
  <c r="AC3742" i="34"/>
  <c r="K3742" i="34"/>
  <c r="C3742" i="34"/>
  <c r="B3742" i="34" s="1"/>
  <c r="AC3741" i="34"/>
  <c r="K3741" i="34"/>
  <c r="C3741" i="34"/>
  <c r="B3741" i="34" s="1"/>
  <c r="AC3740" i="34"/>
  <c r="K3740" i="34"/>
  <c r="C3740" i="34"/>
  <c r="B3740" i="34" s="1"/>
  <c r="AC3739" i="34"/>
  <c r="K3739" i="34"/>
  <c r="C3739" i="34"/>
  <c r="B3739" i="34" s="1"/>
  <c r="AC3738" i="34"/>
  <c r="K3738" i="34"/>
  <c r="C3738" i="34"/>
  <c r="B3738" i="34" s="1"/>
  <c r="AC3737" i="34"/>
  <c r="K3737" i="34"/>
  <c r="C3737" i="34"/>
  <c r="B3737" i="34" s="1"/>
  <c r="AC3736" i="34"/>
  <c r="K3736" i="34"/>
  <c r="C3736" i="34"/>
  <c r="B3736" i="34" s="1"/>
  <c r="AC3735" i="34"/>
  <c r="K3735" i="34"/>
  <c r="C3735" i="34"/>
  <c r="B3735" i="34" s="1"/>
  <c r="AC3734" i="34"/>
  <c r="K3734" i="34"/>
  <c r="C3734" i="34"/>
  <c r="B3734" i="34" s="1"/>
  <c r="AC3733" i="34"/>
  <c r="K3733" i="34"/>
  <c r="C3733" i="34"/>
  <c r="B3733" i="34" s="1"/>
  <c r="AC3732" i="34"/>
  <c r="K3732" i="34"/>
  <c r="C3732" i="34"/>
  <c r="B3732" i="34" s="1"/>
  <c r="Q3674" i="34" l="1"/>
  <c r="U3674" i="34"/>
  <c r="Z3674" i="34"/>
  <c r="O3674" i="34"/>
  <c r="P3674" i="34"/>
  <c r="A3674" i="34"/>
  <c r="O3741" i="34"/>
  <c r="P3741" i="34"/>
  <c r="Q3741" i="34"/>
  <c r="U3741" i="34"/>
  <c r="Z3741" i="34"/>
  <c r="A3741" i="34"/>
  <c r="O3745" i="34"/>
  <c r="P3745" i="34"/>
  <c r="Q3745" i="34"/>
  <c r="U3745" i="34"/>
  <c r="Z3745" i="34"/>
  <c r="A3745" i="34"/>
  <c r="O3749" i="34"/>
  <c r="P3749" i="34"/>
  <c r="Q3749" i="34"/>
  <c r="U3749" i="34"/>
  <c r="Z3749" i="34"/>
  <c r="A3749" i="34"/>
  <c r="Q3648" i="34"/>
  <c r="U3648" i="34"/>
  <c r="Z3648" i="34"/>
  <c r="O3648" i="34"/>
  <c r="P3648" i="34"/>
  <c r="A3648" i="34"/>
  <c r="Q3652" i="34"/>
  <c r="U3652" i="34"/>
  <c r="Z3652" i="34"/>
  <c r="O3652" i="34"/>
  <c r="P3652" i="34"/>
  <c r="A3652" i="34"/>
  <c r="Q3698" i="34"/>
  <c r="U3698" i="34"/>
  <c r="Z3698" i="34"/>
  <c r="O3698" i="34"/>
  <c r="P3698" i="34"/>
  <c r="A3698" i="34"/>
  <c r="Q3702" i="34"/>
  <c r="U3702" i="34"/>
  <c r="Z3702" i="34"/>
  <c r="O3702" i="34"/>
  <c r="P3702" i="34"/>
  <c r="A3702" i="34"/>
  <c r="Q3706" i="34"/>
  <c r="U3706" i="34"/>
  <c r="O3706" i="34"/>
  <c r="Z3706" i="34"/>
  <c r="P3706" i="34"/>
  <c r="A3706" i="34"/>
  <c r="O3710" i="34"/>
  <c r="P3710" i="34"/>
  <c r="Q3710" i="34"/>
  <c r="U3710" i="34"/>
  <c r="Z3710" i="34"/>
  <c r="A3710" i="34"/>
  <c r="O3714" i="34"/>
  <c r="P3714" i="34"/>
  <c r="Q3714" i="34"/>
  <c r="U3714" i="34"/>
  <c r="Z3714" i="34"/>
  <c r="A3714" i="34"/>
  <c r="O3718" i="34"/>
  <c r="P3718" i="34"/>
  <c r="Q3718" i="34"/>
  <c r="U3718" i="34"/>
  <c r="Z3718" i="34"/>
  <c r="A3718" i="34"/>
  <c r="O3722" i="34"/>
  <c r="P3722" i="34"/>
  <c r="Q3722" i="34"/>
  <c r="U3722" i="34"/>
  <c r="Z3722" i="34"/>
  <c r="A3722" i="34"/>
  <c r="O3726" i="34"/>
  <c r="P3726" i="34"/>
  <c r="Q3726" i="34"/>
  <c r="U3726" i="34"/>
  <c r="Z3726" i="34"/>
  <c r="A3726" i="34"/>
  <c r="O3730" i="34"/>
  <c r="P3730" i="34"/>
  <c r="Q3730" i="34"/>
  <c r="U3730" i="34"/>
  <c r="Z3730" i="34"/>
  <c r="A3730" i="34"/>
  <c r="Q3678" i="34"/>
  <c r="U3678" i="34"/>
  <c r="Z3678" i="34"/>
  <c r="O3678" i="34"/>
  <c r="P3678" i="34"/>
  <c r="A3678" i="34"/>
  <c r="Q3682" i="34"/>
  <c r="U3682" i="34"/>
  <c r="Z3682" i="34"/>
  <c r="O3682" i="34"/>
  <c r="P3682" i="34"/>
  <c r="A3682" i="34"/>
  <c r="Q3686" i="34"/>
  <c r="U3686" i="34"/>
  <c r="Z3686" i="34"/>
  <c r="O3686" i="34"/>
  <c r="P3686" i="34"/>
  <c r="A3686" i="34"/>
  <c r="Q3690" i="34"/>
  <c r="U3690" i="34"/>
  <c r="Z3690" i="34"/>
  <c r="O3690" i="34"/>
  <c r="P3690" i="34"/>
  <c r="A3690" i="34"/>
  <c r="Q3694" i="34"/>
  <c r="U3694" i="34"/>
  <c r="Z3694" i="34"/>
  <c r="O3694" i="34"/>
  <c r="P3694" i="34"/>
  <c r="A3694" i="34"/>
  <c r="Q3656" i="34"/>
  <c r="U3656" i="34"/>
  <c r="Z3656" i="34"/>
  <c r="O3656" i="34"/>
  <c r="P3656" i="34"/>
  <c r="A3656" i="34"/>
  <c r="Q3660" i="34"/>
  <c r="U3660" i="34"/>
  <c r="Z3660" i="34"/>
  <c r="O3660" i="34"/>
  <c r="P3660" i="34"/>
  <c r="A3660" i="34"/>
  <c r="Q3664" i="34"/>
  <c r="U3664" i="34"/>
  <c r="Z3664" i="34"/>
  <c r="O3664" i="34"/>
  <c r="P3664" i="34"/>
  <c r="A3664" i="34"/>
  <c r="Q3668" i="34"/>
  <c r="U3668" i="34"/>
  <c r="Z3668" i="34"/>
  <c r="O3668" i="34"/>
  <c r="P3668" i="34"/>
  <c r="A3668" i="34"/>
  <c r="Q3672" i="34"/>
  <c r="U3672" i="34"/>
  <c r="Z3672" i="34"/>
  <c r="O3672" i="34"/>
  <c r="P3672" i="34"/>
  <c r="A3672" i="34"/>
  <c r="O3735" i="34"/>
  <c r="P3735" i="34"/>
  <c r="Q3735" i="34"/>
  <c r="U3735" i="34"/>
  <c r="Z3735" i="34"/>
  <c r="A3735" i="34"/>
  <c r="O3740" i="34"/>
  <c r="P3740" i="34"/>
  <c r="Q3740" i="34"/>
  <c r="U3740" i="34"/>
  <c r="Z3740" i="34"/>
  <c r="A3740" i="34"/>
  <c r="O3744" i="34"/>
  <c r="P3744" i="34"/>
  <c r="Q3744" i="34"/>
  <c r="U3744" i="34"/>
  <c r="Z3744" i="34"/>
  <c r="A3744" i="34"/>
  <c r="O3748" i="34"/>
  <c r="P3748" i="34"/>
  <c r="Q3748" i="34"/>
  <c r="U3748" i="34"/>
  <c r="Z3748" i="34"/>
  <c r="A3748" i="34"/>
  <c r="O3752" i="34"/>
  <c r="P3752" i="34"/>
  <c r="Q3752" i="34"/>
  <c r="U3752" i="34"/>
  <c r="Z3752" i="34"/>
  <c r="A3752" i="34"/>
  <c r="Q3651" i="34"/>
  <c r="U3651" i="34"/>
  <c r="Z3651" i="34"/>
  <c r="P3651" i="34"/>
  <c r="O3651" i="34"/>
  <c r="A3651" i="34"/>
  <c r="Q3697" i="34"/>
  <c r="U3697" i="34"/>
  <c r="Z3697" i="34"/>
  <c r="O3697" i="34"/>
  <c r="P3697" i="34"/>
  <c r="A3697" i="34"/>
  <c r="Q3701" i="34"/>
  <c r="U3701" i="34"/>
  <c r="Z3701" i="34"/>
  <c r="O3701" i="34"/>
  <c r="P3701" i="34"/>
  <c r="A3701" i="34"/>
  <c r="Q3705" i="34"/>
  <c r="U3705" i="34"/>
  <c r="Z3705" i="34"/>
  <c r="O3705" i="34"/>
  <c r="P3705" i="34"/>
  <c r="A3705" i="34"/>
  <c r="O3709" i="34"/>
  <c r="P3709" i="34"/>
  <c r="Q3709" i="34"/>
  <c r="U3709" i="34"/>
  <c r="Z3709" i="34"/>
  <c r="A3709" i="34"/>
  <c r="O3713" i="34"/>
  <c r="P3713" i="34"/>
  <c r="Q3713" i="34"/>
  <c r="U3713" i="34"/>
  <c r="Z3713" i="34"/>
  <c r="A3713" i="34"/>
  <c r="O3717" i="34"/>
  <c r="P3717" i="34"/>
  <c r="Q3717" i="34"/>
  <c r="U3717" i="34"/>
  <c r="Z3717" i="34"/>
  <c r="A3717" i="34"/>
  <c r="O3721" i="34"/>
  <c r="P3721" i="34"/>
  <c r="Q3721" i="34"/>
  <c r="U3721" i="34"/>
  <c r="Z3721" i="34"/>
  <c r="A3721" i="34"/>
  <c r="O3725" i="34"/>
  <c r="P3725" i="34"/>
  <c r="Q3725" i="34"/>
  <c r="U3725" i="34"/>
  <c r="Z3725" i="34"/>
  <c r="A3725" i="34"/>
  <c r="O3729" i="34"/>
  <c r="P3729" i="34"/>
  <c r="Q3729" i="34"/>
  <c r="U3729" i="34"/>
  <c r="Z3729" i="34"/>
  <c r="A3729" i="34"/>
  <c r="Q3676" i="34"/>
  <c r="U3676" i="34"/>
  <c r="Z3676" i="34"/>
  <c r="O3676" i="34"/>
  <c r="P3676" i="34"/>
  <c r="A3676" i="34"/>
  <c r="Q3677" i="34"/>
  <c r="U3677" i="34"/>
  <c r="Z3677" i="34"/>
  <c r="O3677" i="34"/>
  <c r="P3677" i="34"/>
  <c r="A3677" i="34"/>
  <c r="Q3681" i="34"/>
  <c r="U3681" i="34"/>
  <c r="Z3681" i="34"/>
  <c r="O3681" i="34"/>
  <c r="P3681" i="34"/>
  <c r="A3681" i="34"/>
  <c r="Q3685" i="34"/>
  <c r="U3685" i="34"/>
  <c r="Z3685" i="34"/>
  <c r="O3685" i="34"/>
  <c r="P3685" i="34"/>
  <c r="A3685" i="34"/>
  <c r="Q3689" i="34"/>
  <c r="U3689" i="34"/>
  <c r="Z3689" i="34"/>
  <c r="O3689" i="34"/>
  <c r="P3689" i="34"/>
  <c r="A3689" i="34"/>
  <c r="Q3693" i="34"/>
  <c r="U3693" i="34"/>
  <c r="Z3693" i="34"/>
  <c r="O3693" i="34"/>
  <c r="P3693" i="34"/>
  <c r="A3693" i="34"/>
  <c r="Q3655" i="34"/>
  <c r="U3655" i="34"/>
  <c r="Z3655" i="34"/>
  <c r="P3655" i="34"/>
  <c r="O3655" i="34"/>
  <c r="A3655" i="34"/>
  <c r="Q3659" i="34"/>
  <c r="U3659" i="34"/>
  <c r="Z3659" i="34"/>
  <c r="P3659" i="34"/>
  <c r="O3659" i="34"/>
  <c r="A3659" i="34"/>
  <c r="Q3663" i="34"/>
  <c r="U3663" i="34"/>
  <c r="Z3663" i="34"/>
  <c r="P3663" i="34"/>
  <c r="O3663" i="34"/>
  <c r="A3663" i="34"/>
  <c r="Q3667" i="34"/>
  <c r="U3667" i="34"/>
  <c r="Z3667" i="34"/>
  <c r="P3667" i="34"/>
  <c r="O3667" i="34"/>
  <c r="A3667" i="34"/>
  <c r="Q3671" i="34"/>
  <c r="U3671" i="34"/>
  <c r="Z3671" i="34"/>
  <c r="P3671" i="34"/>
  <c r="O3671" i="34"/>
  <c r="A3671" i="34"/>
  <c r="O3736" i="34"/>
  <c r="P3736" i="34"/>
  <c r="Q3736" i="34"/>
  <c r="U3736" i="34"/>
  <c r="Z3736" i="34"/>
  <c r="A3736" i="34"/>
  <c r="O3738" i="34"/>
  <c r="P3738" i="34"/>
  <c r="Q3738" i="34"/>
  <c r="U3738" i="34"/>
  <c r="Z3738" i="34"/>
  <c r="A3738" i="34"/>
  <c r="O3739" i="34"/>
  <c r="P3739" i="34"/>
  <c r="Q3739" i="34"/>
  <c r="U3739" i="34"/>
  <c r="Z3739" i="34"/>
  <c r="A3739" i="34"/>
  <c r="O3743" i="34"/>
  <c r="P3743" i="34"/>
  <c r="Q3743" i="34"/>
  <c r="U3743" i="34"/>
  <c r="Z3743" i="34"/>
  <c r="A3743" i="34"/>
  <c r="O3747" i="34"/>
  <c r="P3747" i="34"/>
  <c r="Q3747" i="34"/>
  <c r="U3747" i="34"/>
  <c r="Z3747" i="34"/>
  <c r="A3747" i="34"/>
  <c r="O3751" i="34"/>
  <c r="P3751" i="34"/>
  <c r="Q3751" i="34"/>
  <c r="U3751" i="34"/>
  <c r="Z3751" i="34"/>
  <c r="A3751" i="34"/>
  <c r="Q3650" i="34"/>
  <c r="U3650" i="34"/>
  <c r="Z3650" i="34"/>
  <c r="O3650" i="34"/>
  <c r="P3650" i="34"/>
  <c r="A3650" i="34"/>
  <c r="Q3696" i="34"/>
  <c r="U3696" i="34"/>
  <c r="Z3696" i="34"/>
  <c r="O3696" i="34"/>
  <c r="P3696" i="34"/>
  <c r="A3696" i="34"/>
  <c r="Q3700" i="34"/>
  <c r="U3700" i="34"/>
  <c r="Z3700" i="34"/>
  <c r="O3700" i="34"/>
  <c r="P3700" i="34"/>
  <c r="A3700" i="34"/>
  <c r="Q3704" i="34"/>
  <c r="U3704" i="34"/>
  <c r="Z3704" i="34"/>
  <c r="O3704" i="34"/>
  <c r="P3704" i="34"/>
  <c r="A3704" i="34"/>
  <c r="O3708" i="34"/>
  <c r="P3708" i="34"/>
  <c r="Q3708" i="34"/>
  <c r="U3708" i="34"/>
  <c r="Z3708" i="34"/>
  <c r="A3708" i="34"/>
  <c r="O3712" i="34"/>
  <c r="P3712" i="34"/>
  <c r="Q3712" i="34"/>
  <c r="U3712" i="34"/>
  <c r="Z3712" i="34"/>
  <c r="A3712" i="34"/>
  <c r="O3716" i="34"/>
  <c r="P3716" i="34"/>
  <c r="Q3716" i="34"/>
  <c r="U3716" i="34"/>
  <c r="Z3716" i="34"/>
  <c r="A3716" i="34"/>
  <c r="O3720" i="34"/>
  <c r="P3720" i="34"/>
  <c r="Q3720" i="34"/>
  <c r="U3720" i="34"/>
  <c r="Z3720" i="34"/>
  <c r="A3720" i="34"/>
  <c r="O3724" i="34"/>
  <c r="P3724" i="34"/>
  <c r="Q3724" i="34"/>
  <c r="U3724" i="34"/>
  <c r="Z3724" i="34"/>
  <c r="A3724" i="34"/>
  <c r="O3728" i="34"/>
  <c r="P3728" i="34"/>
  <c r="Q3728" i="34"/>
  <c r="U3728" i="34"/>
  <c r="Z3728" i="34"/>
  <c r="A3728" i="34"/>
  <c r="Q3675" i="34"/>
  <c r="U3675" i="34"/>
  <c r="Z3675" i="34"/>
  <c r="P3675" i="34"/>
  <c r="O3675" i="34"/>
  <c r="A3675" i="34"/>
  <c r="Q3680" i="34"/>
  <c r="U3680" i="34"/>
  <c r="Z3680" i="34"/>
  <c r="O3680" i="34"/>
  <c r="P3680" i="34"/>
  <c r="A3680" i="34"/>
  <c r="Q3684" i="34"/>
  <c r="U3684" i="34"/>
  <c r="Z3684" i="34"/>
  <c r="O3684" i="34"/>
  <c r="P3684" i="34"/>
  <c r="A3684" i="34"/>
  <c r="Q3688" i="34"/>
  <c r="U3688" i="34"/>
  <c r="Z3688" i="34"/>
  <c r="O3688" i="34"/>
  <c r="P3688" i="34"/>
  <c r="A3688" i="34"/>
  <c r="Q3692" i="34"/>
  <c r="U3692" i="34"/>
  <c r="Z3692" i="34"/>
  <c r="O3692" i="34"/>
  <c r="P3692" i="34"/>
  <c r="A3692" i="34"/>
  <c r="Q3654" i="34"/>
  <c r="U3654" i="34"/>
  <c r="Z3654" i="34"/>
  <c r="O3654" i="34"/>
  <c r="P3654" i="34"/>
  <c r="A3654" i="34"/>
  <c r="Q3658" i="34"/>
  <c r="U3658" i="34"/>
  <c r="Z3658" i="34"/>
  <c r="O3658" i="34"/>
  <c r="P3658" i="34"/>
  <c r="A3658" i="34"/>
  <c r="Q3662" i="34"/>
  <c r="U3662" i="34"/>
  <c r="Z3662" i="34"/>
  <c r="O3662" i="34"/>
  <c r="P3662" i="34"/>
  <c r="A3662" i="34"/>
  <c r="Q3666" i="34"/>
  <c r="U3666" i="34"/>
  <c r="Z3666" i="34"/>
  <c r="O3666" i="34"/>
  <c r="P3666" i="34"/>
  <c r="A3666" i="34"/>
  <c r="Q3670" i="34"/>
  <c r="U3670" i="34"/>
  <c r="Z3670" i="34"/>
  <c r="O3670" i="34"/>
  <c r="P3670" i="34"/>
  <c r="A3670" i="34"/>
  <c r="O3732" i="34"/>
  <c r="P3732" i="34"/>
  <c r="Q3732" i="34"/>
  <c r="U3732" i="34"/>
  <c r="Z3732" i="34"/>
  <c r="A3732" i="34"/>
  <c r="O3734" i="34"/>
  <c r="P3734" i="34"/>
  <c r="Q3734" i="34"/>
  <c r="U3734" i="34"/>
  <c r="Z3734" i="34"/>
  <c r="A3734" i="34"/>
  <c r="O3733" i="34"/>
  <c r="P3733" i="34"/>
  <c r="Q3733" i="34"/>
  <c r="U3733" i="34"/>
  <c r="Z3733" i="34"/>
  <c r="A3733" i="34"/>
  <c r="O3737" i="34"/>
  <c r="P3737" i="34"/>
  <c r="Q3737" i="34"/>
  <c r="U3737" i="34"/>
  <c r="Z3737" i="34"/>
  <c r="A3737" i="34"/>
  <c r="O3742" i="34"/>
  <c r="P3742" i="34"/>
  <c r="Q3742" i="34"/>
  <c r="U3742" i="34"/>
  <c r="Z3742" i="34"/>
  <c r="A3742" i="34"/>
  <c r="O3746" i="34"/>
  <c r="P3746" i="34"/>
  <c r="Q3746" i="34"/>
  <c r="U3746" i="34"/>
  <c r="Z3746" i="34"/>
  <c r="A3746" i="34"/>
  <c r="O3750" i="34"/>
  <c r="P3750" i="34"/>
  <c r="Q3750" i="34"/>
  <c r="U3750" i="34"/>
  <c r="Z3750" i="34"/>
  <c r="A3750" i="34"/>
  <c r="Q3649" i="34"/>
  <c r="U3649" i="34"/>
  <c r="Z3649" i="34"/>
  <c r="O3649" i="34"/>
  <c r="P3649" i="34"/>
  <c r="A3649" i="34"/>
  <c r="Q3653" i="34"/>
  <c r="U3653" i="34"/>
  <c r="Z3653" i="34"/>
  <c r="O3653" i="34"/>
  <c r="P3653" i="34"/>
  <c r="A3653" i="34"/>
  <c r="Q3699" i="34"/>
  <c r="U3699" i="34"/>
  <c r="Z3699" i="34"/>
  <c r="P3699" i="34"/>
  <c r="O3699" i="34"/>
  <c r="A3699" i="34"/>
  <c r="Q3703" i="34"/>
  <c r="U3703" i="34"/>
  <c r="Z3703" i="34"/>
  <c r="P3703" i="34"/>
  <c r="O3703" i="34"/>
  <c r="A3703" i="34"/>
  <c r="O3707" i="34"/>
  <c r="P3707" i="34"/>
  <c r="Q3707" i="34"/>
  <c r="U3707" i="34"/>
  <c r="Z3707" i="34"/>
  <c r="A3707" i="34"/>
  <c r="O3711" i="34"/>
  <c r="P3711" i="34"/>
  <c r="Q3711" i="34"/>
  <c r="U3711" i="34"/>
  <c r="Z3711" i="34"/>
  <c r="A3711" i="34"/>
  <c r="O3715" i="34"/>
  <c r="P3715" i="34"/>
  <c r="Q3715" i="34"/>
  <c r="U3715" i="34"/>
  <c r="Z3715" i="34"/>
  <c r="A3715" i="34"/>
  <c r="O3719" i="34"/>
  <c r="P3719" i="34"/>
  <c r="Q3719" i="34"/>
  <c r="U3719" i="34"/>
  <c r="Z3719" i="34"/>
  <c r="A3719" i="34"/>
  <c r="O3723" i="34"/>
  <c r="P3723" i="34"/>
  <c r="Q3723" i="34"/>
  <c r="U3723" i="34"/>
  <c r="Z3723" i="34"/>
  <c r="A3723" i="34"/>
  <c r="O3727" i="34"/>
  <c r="P3727" i="34"/>
  <c r="Q3727" i="34"/>
  <c r="U3727" i="34"/>
  <c r="Z3727" i="34"/>
  <c r="A3727" i="34"/>
  <c r="O3731" i="34"/>
  <c r="P3731" i="34"/>
  <c r="Q3731" i="34"/>
  <c r="U3731" i="34"/>
  <c r="Z3731" i="34"/>
  <c r="A3731" i="34"/>
  <c r="Q3679" i="34"/>
  <c r="U3679" i="34"/>
  <c r="Z3679" i="34"/>
  <c r="P3679" i="34"/>
  <c r="O3679" i="34"/>
  <c r="A3679" i="34"/>
  <c r="Q3683" i="34"/>
  <c r="U3683" i="34"/>
  <c r="Z3683" i="34"/>
  <c r="P3683" i="34"/>
  <c r="O3683" i="34"/>
  <c r="A3683" i="34"/>
  <c r="Q3687" i="34"/>
  <c r="U3687" i="34"/>
  <c r="Z3687" i="34"/>
  <c r="P3687" i="34"/>
  <c r="O3687" i="34"/>
  <c r="A3687" i="34"/>
  <c r="Q3691" i="34"/>
  <c r="U3691" i="34"/>
  <c r="Z3691" i="34"/>
  <c r="P3691" i="34"/>
  <c r="O3691" i="34"/>
  <c r="A3691" i="34"/>
  <c r="Q3695" i="34"/>
  <c r="U3695" i="34"/>
  <c r="Z3695" i="34"/>
  <c r="P3695" i="34"/>
  <c r="O3695" i="34"/>
  <c r="A3695" i="34"/>
  <c r="Q3657" i="34"/>
  <c r="U3657" i="34"/>
  <c r="Z3657" i="34"/>
  <c r="O3657" i="34"/>
  <c r="P3657" i="34"/>
  <c r="A3657" i="34"/>
  <c r="Q3661" i="34"/>
  <c r="U3661" i="34"/>
  <c r="Z3661" i="34"/>
  <c r="O3661" i="34"/>
  <c r="P3661" i="34"/>
  <c r="A3661" i="34"/>
  <c r="Q3665" i="34"/>
  <c r="U3665" i="34"/>
  <c r="Z3665" i="34"/>
  <c r="O3665" i="34"/>
  <c r="P3665" i="34"/>
  <c r="A3665" i="34"/>
  <c r="Q3669" i="34"/>
  <c r="U3669" i="34"/>
  <c r="Z3669" i="34"/>
  <c r="O3669" i="34"/>
  <c r="P3669" i="34"/>
  <c r="A3669" i="34"/>
  <c r="Q3673" i="34"/>
  <c r="U3673" i="34"/>
  <c r="Z3673" i="34"/>
  <c r="O3673" i="34"/>
  <c r="P3673" i="34"/>
  <c r="A3673" i="34"/>
  <c r="C3753" i="34"/>
  <c r="B3753" i="34" s="1"/>
  <c r="C3647" i="34"/>
  <c r="B3647" i="34" s="1"/>
  <c r="AC3646" i="34"/>
  <c r="K3646" i="34"/>
  <c r="C3646" i="34"/>
  <c r="B3646" i="34" s="1"/>
  <c r="C3645" i="34"/>
  <c r="B3645" i="34" s="1"/>
  <c r="AC3644" i="34"/>
  <c r="K3644" i="34"/>
  <c r="C3644" i="34"/>
  <c r="B3644" i="34" s="1"/>
  <c r="AC3643" i="34"/>
  <c r="K3643" i="34"/>
  <c r="C3643" i="34"/>
  <c r="B3643" i="34" s="1"/>
  <c r="AC3642" i="34"/>
  <c r="K3642" i="34"/>
  <c r="C3642" i="34"/>
  <c r="B3642" i="34" s="1"/>
  <c r="AC3641" i="34"/>
  <c r="K3641" i="34"/>
  <c r="C3641" i="34"/>
  <c r="B3641" i="34" s="1"/>
  <c r="AC3640" i="34"/>
  <c r="K3640" i="34"/>
  <c r="C3640" i="34"/>
  <c r="B3640" i="34" s="1"/>
  <c r="AC3639" i="34"/>
  <c r="K3639" i="34"/>
  <c r="C3639" i="34"/>
  <c r="B3639" i="34" s="1"/>
  <c r="AC3638" i="34"/>
  <c r="K3638" i="34"/>
  <c r="C3638" i="34"/>
  <c r="B3638" i="34" s="1"/>
  <c r="AC3637" i="34"/>
  <c r="K3637" i="34"/>
  <c r="C3637" i="34"/>
  <c r="B3637" i="34" s="1"/>
  <c r="AC3636" i="34"/>
  <c r="K3636" i="34"/>
  <c r="C3636" i="34"/>
  <c r="B3636" i="34" s="1"/>
  <c r="C3635" i="34"/>
  <c r="B3635" i="34" s="1"/>
  <c r="AC3634" i="34"/>
  <c r="K3634" i="34"/>
  <c r="C3634" i="34"/>
  <c r="B3634" i="34" s="1"/>
  <c r="C3633" i="34"/>
  <c r="B3633" i="34" s="1"/>
  <c r="C3632" i="34"/>
  <c r="B3632" i="34" s="1"/>
  <c r="C3631" i="34"/>
  <c r="B3631" i="34" s="1"/>
  <c r="AC3630" i="34"/>
  <c r="K3630" i="34"/>
  <c r="C3630" i="34"/>
  <c r="B3630" i="34" s="1"/>
  <c r="AC3629" i="34"/>
  <c r="K3629" i="34"/>
  <c r="C3629" i="34"/>
  <c r="B3629" i="34" s="1"/>
  <c r="AC3628" i="34"/>
  <c r="K3628" i="34"/>
  <c r="C3628" i="34"/>
  <c r="B3628" i="34" s="1"/>
  <c r="AC3627" i="34"/>
  <c r="K3627" i="34"/>
  <c r="C3627" i="34"/>
  <c r="B3627" i="34" s="1"/>
  <c r="AC3626" i="34"/>
  <c r="K3626" i="34"/>
  <c r="C3626" i="34"/>
  <c r="B3626" i="34" s="1"/>
  <c r="AC3625" i="34"/>
  <c r="K3625" i="34"/>
  <c r="C3625" i="34"/>
  <c r="B3625" i="34" s="1"/>
  <c r="AC3622" i="34"/>
  <c r="K3622" i="34"/>
  <c r="C3622" i="34"/>
  <c r="B3622" i="34" s="1"/>
  <c r="C3624" i="34"/>
  <c r="B3624" i="34" s="1"/>
  <c r="AC3623" i="34"/>
  <c r="K3623" i="34"/>
  <c r="C3623" i="34"/>
  <c r="B3623" i="34" s="1"/>
  <c r="C3621" i="34"/>
  <c r="B3621" i="34" s="1"/>
  <c r="AC3620" i="34"/>
  <c r="K3620" i="34"/>
  <c r="C3620" i="34"/>
  <c r="B3620" i="34" s="1"/>
  <c r="C3619" i="34"/>
  <c r="B3619" i="34" s="1"/>
  <c r="AC3618" i="34"/>
  <c r="K3618" i="34"/>
  <c r="C3618" i="34"/>
  <c r="B3618" i="34" s="1"/>
  <c r="AC3617" i="34"/>
  <c r="K3617" i="34"/>
  <c r="C3617" i="34"/>
  <c r="B3617" i="34" s="1"/>
  <c r="C3616" i="34"/>
  <c r="B3616" i="34" s="1"/>
  <c r="AC3615" i="34"/>
  <c r="K3615" i="34"/>
  <c r="C3615" i="34"/>
  <c r="B3615" i="34" s="1"/>
  <c r="A650" i="55"/>
  <c r="A246" i="55"/>
  <c r="A369" i="55"/>
  <c r="A328" i="55"/>
  <c r="A377" i="55"/>
  <c r="A621" i="55"/>
  <c r="A622" i="55"/>
  <c r="A273" i="55"/>
  <c r="A388" i="55"/>
  <c r="A619" i="55"/>
  <c r="A351" i="55"/>
  <c r="A183" i="55"/>
  <c r="A312" i="55"/>
  <c r="A548" i="55"/>
  <c r="A546" i="55"/>
  <c r="A235" i="55"/>
  <c r="A509" i="55"/>
  <c r="A300" i="55"/>
  <c r="A229" i="55"/>
  <c r="A571" i="55"/>
  <c r="A436" i="55"/>
  <c r="A668" i="55"/>
  <c r="A435" i="55"/>
  <c r="A297" i="55"/>
  <c r="A507" i="55"/>
  <c r="A614" i="55"/>
  <c r="A241" i="55"/>
  <c r="A512" i="55"/>
  <c r="A665" i="55"/>
  <c r="A612" i="55"/>
  <c r="A537" i="55"/>
  <c r="A514" i="55"/>
  <c r="A466" i="55"/>
  <c r="C3614" i="34"/>
  <c r="B3614" i="34" s="1"/>
  <c r="AC3613" i="34"/>
  <c r="K3613" i="34"/>
  <c r="C3613" i="34"/>
  <c r="B3613" i="34" s="1"/>
  <c r="I3611" i="34"/>
  <c r="K3611" i="34" s="1"/>
  <c r="C3612" i="34"/>
  <c r="B3612" i="34" s="1"/>
  <c r="AC3611" i="34"/>
  <c r="C3611" i="34"/>
  <c r="B3611" i="34" s="1"/>
  <c r="C3610" i="34"/>
  <c r="B3610" i="34" s="1"/>
  <c r="AC3609" i="34"/>
  <c r="K3609" i="34"/>
  <c r="C3609" i="34"/>
  <c r="B3609" i="34" s="1"/>
  <c r="C3608" i="34"/>
  <c r="B3608" i="34" s="1"/>
  <c r="AC3607" i="34"/>
  <c r="K3607" i="34"/>
  <c r="C3607" i="34"/>
  <c r="B3607" i="34" s="1"/>
  <c r="C3606" i="34"/>
  <c r="B3606" i="34" s="1"/>
  <c r="AC3605" i="34"/>
  <c r="K3605" i="34"/>
  <c r="C3605" i="34"/>
  <c r="B3605" i="34" s="1"/>
  <c r="I3603" i="34"/>
  <c r="K3603" i="34" s="1"/>
  <c r="C3604" i="34"/>
  <c r="B3604" i="34" s="1"/>
  <c r="AC3603" i="34"/>
  <c r="C3603" i="34"/>
  <c r="B3603" i="34" s="1"/>
  <c r="AC3583" i="34"/>
  <c r="K3583" i="34"/>
  <c r="C3583" i="34"/>
  <c r="B3583" i="34" s="1"/>
  <c r="AC3582" i="34"/>
  <c r="K3582" i="34"/>
  <c r="C3582" i="34"/>
  <c r="B3582" i="34" s="1"/>
  <c r="AC3581" i="34"/>
  <c r="K3581" i="34"/>
  <c r="C3581" i="34"/>
  <c r="B3581" i="34" s="1"/>
  <c r="AC3589" i="34"/>
  <c r="K3589" i="34"/>
  <c r="C3589" i="34"/>
  <c r="B3589" i="34" s="1"/>
  <c r="AC3588" i="34"/>
  <c r="K3588" i="34"/>
  <c r="C3588" i="34"/>
  <c r="B3588" i="34" s="1"/>
  <c r="AC3587" i="34"/>
  <c r="K3587" i="34"/>
  <c r="C3587" i="34"/>
  <c r="B3587" i="34" s="1"/>
  <c r="AC3586" i="34"/>
  <c r="K3586" i="34"/>
  <c r="C3586" i="34"/>
  <c r="B3586" i="34" s="1"/>
  <c r="AC3585" i="34"/>
  <c r="K3585" i="34"/>
  <c r="C3585" i="34"/>
  <c r="B3585" i="34" s="1"/>
  <c r="AC3584" i="34"/>
  <c r="K3584" i="34"/>
  <c r="C3584" i="34"/>
  <c r="B3584" i="34" s="1"/>
  <c r="AC3595" i="34"/>
  <c r="K3595" i="34"/>
  <c r="C3595" i="34"/>
  <c r="B3595" i="34" s="1"/>
  <c r="AC3594" i="34"/>
  <c r="K3594" i="34"/>
  <c r="C3594" i="34"/>
  <c r="B3594" i="34" s="1"/>
  <c r="AC3593" i="34"/>
  <c r="K3593" i="34"/>
  <c r="C3593" i="34"/>
  <c r="B3593" i="34" s="1"/>
  <c r="AC3592" i="34"/>
  <c r="K3592" i="34"/>
  <c r="C3592" i="34"/>
  <c r="B3592" i="34" s="1"/>
  <c r="AC3591" i="34"/>
  <c r="K3591" i="34"/>
  <c r="C3591" i="34"/>
  <c r="B3591" i="34" s="1"/>
  <c r="AC3590" i="34"/>
  <c r="K3590" i="34"/>
  <c r="C3590" i="34"/>
  <c r="B3590" i="34" s="1"/>
  <c r="AC3598" i="34"/>
  <c r="K3598" i="34"/>
  <c r="C3598" i="34"/>
  <c r="B3598" i="34" s="1"/>
  <c r="AC3597" i="34"/>
  <c r="K3597" i="34"/>
  <c r="C3597" i="34"/>
  <c r="B3597" i="34" s="1"/>
  <c r="AC3596" i="34"/>
  <c r="K3596" i="34"/>
  <c r="C3596" i="34"/>
  <c r="B3596" i="34" s="1"/>
  <c r="C3602" i="34"/>
  <c r="B3602" i="34" s="1"/>
  <c r="AC3601" i="34"/>
  <c r="K3601" i="34"/>
  <c r="C3601" i="34"/>
  <c r="B3601" i="34" s="1"/>
  <c r="AC3600" i="34"/>
  <c r="K3600" i="34"/>
  <c r="C3600" i="34"/>
  <c r="B3600" i="34" s="1"/>
  <c r="AC3599" i="34"/>
  <c r="K3599" i="34"/>
  <c r="C3599" i="34"/>
  <c r="B3599" i="34" s="1"/>
  <c r="C3580" i="34"/>
  <c r="B3580" i="34" s="1"/>
  <c r="AC3579" i="34"/>
  <c r="K3579" i="34"/>
  <c r="C3579" i="34"/>
  <c r="B3579" i="34" s="1"/>
  <c r="A47" i="70"/>
  <c r="A48" i="70"/>
  <c r="A49" i="70"/>
  <c r="A50" i="70"/>
  <c r="A51" i="70"/>
  <c r="C3578" i="34"/>
  <c r="B3578" i="34" s="1"/>
  <c r="AC3577" i="34"/>
  <c r="K3577" i="34"/>
  <c r="C3577" i="34"/>
  <c r="B3577" i="34" s="1"/>
  <c r="Q3627" i="34" l="1"/>
  <c r="U3627" i="34"/>
  <c r="Z3627" i="34"/>
  <c r="P3627" i="34"/>
  <c r="O3627" i="34"/>
  <c r="A3627" i="34"/>
  <c r="Q3591" i="34"/>
  <c r="U3591" i="34"/>
  <c r="Z3591" i="34"/>
  <c r="P3591" i="34"/>
  <c r="O3591" i="34"/>
  <c r="A3591" i="34"/>
  <c r="Q3585" i="34"/>
  <c r="U3585" i="34"/>
  <c r="Z3585" i="34"/>
  <c r="O3585" i="34"/>
  <c r="P3585" i="34"/>
  <c r="A3585" i="34"/>
  <c r="Q3589" i="34"/>
  <c r="U3589" i="34"/>
  <c r="Z3589" i="34"/>
  <c r="O3589" i="34"/>
  <c r="P3589" i="34"/>
  <c r="A3589" i="34"/>
  <c r="Q3603" i="34"/>
  <c r="U3603" i="34"/>
  <c r="Z3603" i="34"/>
  <c r="P3603" i="34"/>
  <c r="O3603" i="34"/>
  <c r="A3603" i="34"/>
  <c r="Q3605" i="34"/>
  <c r="U3605" i="34"/>
  <c r="Z3605" i="34"/>
  <c r="O3605" i="34"/>
  <c r="P3605" i="34"/>
  <c r="A3605" i="34"/>
  <c r="Q3607" i="34"/>
  <c r="U3607" i="34"/>
  <c r="Z3607" i="34"/>
  <c r="P3607" i="34"/>
  <c r="O3607" i="34"/>
  <c r="A3607" i="34"/>
  <c r="Q3609" i="34"/>
  <c r="U3609" i="34"/>
  <c r="Z3609" i="34"/>
  <c r="O3609" i="34"/>
  <c r="P3609" i="34"/>
  <c r="A3609" i="34"/>
  <c r="Q3611" i="34"/>
  <c r="U3611" i="34"/>
  <c r="Z3611" i="34"/>
  <c r="P3611" i="34"/>
  <c r="O3611" i="34"/>
  <c r="A3611" i="34"/>
  <c r="Q3613" i="34"/>
  <c r="U3613" i="34"/>
  <c r="Z3613" i="34"/>
  <c r="O3613" i="34"/>
  <c r="P3613" i="34"/>
  <c r="A3613" i="34"/>
  <c r="Q3616" i="34"/>
  <c r="U3616" i="34"/>
  <c r="Z3616" i="34"/>
  <c r="O3616" i="34"/>
  <c r="P3616" i="34"/>
  <c r="A3616" i="34"/>
  <c r="Q3618" i="34"/>
  <c r="U3618" i="34"/>
  <c r="Z3618" i="34"/>
  <c r="O3618" i="34"/>
  <c r="P3618" i="34"/>
  <c r="A3618" i="34"/>
  <c r="Q3620" i="34"/>
  <c r="U3620" i="34"/>
  <c r="Z3620" i="34"/>
  <c r="O3620" i="34"/>
  <c r="P3620" i="34"/>
  <c r="A3620" i="34"/>
  <c r="Q3623" i="34"/>
  <c r="U3623" i="34"/>
  <c r="Z3623" i="34"/>
  <c r="P3623" i="34"/>
  <c r="O3623" i="34"/>
  <c r="A3623" i="34"/>
  <c r="Q3622" i="34"/>
  <c r="U3622" i="34"/>
  <c r="Z3622" i="34"/>
  <c r="O3622" i="34"/>
  <c r="P3622" i="34"/>
  <c r="A3622" i="34"/>
  <c r="Q3629" i="34"/>
  <c r="U3629" i="34"/>
  <c r="Z3629" i="34"/>
  <c r="O3629" i="34"/>
  <c r="P3629" i="34"/>
  <c r="A3629" i="34"/>
  <c r="Q3633" i="34"/>
  <c r="U3633" i="34"/>
  <c r="Z3633" i="34"/>
  <c r="O3633" i="34"/>
  <c r="P3633" i="34"/>
  <c r="A3633" i="34"/>
  <c r="Q3635" i="34"/>
  <c r="U3635" i="34"/>
  <c r="Z3635" i="34"/>
  <c r="P3635" i="34"/>
  <c r="O3635" i="34"/>
  <c r="A3635" i="34"/>
  <c r="Q3637" i="34"/>
  <c r="U3637" i="34"/>
  <c r="Z3637" i="34"/>
  <c r="O3637" i="34"/>
  <c r="P3637" i="34"/>
  <c r="A3637" i="34"/>
  <c r="Q3641" i="34"/>
  <c r="U3641" i="34"/>
  <c r="Z3641" i="34"/>
  <c r="O3641" i="34"/>
  <c r="P3641" i="34"/>
  <c r="A3641" i="34"/>
  <c r="Q3645" i="34"/>
  <c r="U3645" i="34"/>
  <c r="Z3645" i="34"/>
  <c r="O3645" i="34"/>
  <c r="P3645" i="34"/>
  <c r="A3645" i="34"/>
  <c r="Q3647" i="34"/>
  <c r="U3647" i="34"/>
  <c r="Z3647" i="34"/>
  <c r="P3647" i="34"/>
  <c r="O3647" i="34"/>
  <c r="A3647" i="34"/>
  <c r="Q3596" i="34"/>
  <c r="U3596" i="34"/>
  <c r="Z3596" i="34"/>
  <c r="O3596" i="34"/>
  <c r="P3596" i="34"/>
  <c r="A3596" i="34"/>
  <c r="Q3590" i="34"/>
  <c r="U3590" i="34"/>
  <c r="Z3590" i="34"/>
  <c r="O3590" i="34"/>
  <c r="P3590" i="34"/>
  <c r="A3590" i="34"/>
  <c r="Q3599" i="34"/>
  <c r="U3599" i="34"/>
  <c r="Z3599" i="34"/>
  <c r="P3599" i="34"/>
  <c r="O3599" i="34"/>
  <c r="A3599" i="34"/>
  <c r="Q3598" i="34"/>
  <c r="U3598" i="34"/>
  <c r="Z3598" i="34"/>
  <c r="O3598" i="34"/>
  <c r="P3598" i="34"/>
  <c r="A3598" i="34"/>
  <c r="Q3593" i="34"/>
  <c r="U3593" i="34"/>
  <c r="Z3593" i="34"/>
  <c r="O3593" i="34"/>
  <c r="P3593" i="34"/>
  <c r="A3593" i="34"/>
  <c r="Q3602" i="34"/>
  <c r="U3602" i="34"/>
  <c r="Z3602" i="34"/>
  <c r="O3602" i="34"/>
  <c r="P3602" i="34"/>
  <c r="A3602" i="34"/>
  <c r="Q3597" i="34"/>
  <c r="U3597" i="34"/>
  <c r="Z3597" i="34"/>
  <c r="O3597" i="34"/>
  <c r="P3597" i="34"/>
  <c r="A3597" i="34"/>
  <c r="Q3592" i="34"/>
  <c r="U3592" i="34"/>
  <c r="Z3592" i="34"/>
  <c r="O3592" i="34"/>
  <c r="P3592" i="34"/>
  <c r="A3592" i="34"/>
  <c r="Q3584" i="34"/>
  <c r="U3584" i="34"/>
  <c r="Z3584" i="34"/>
  <c r="O3584" i="34"/>
  <c r="P3584" i="34"/>
  <c r="A3584" i="34"/>
  <c r="Q3588" i="34"/>
  <c r="U3588" i="34"/>
  <c r="Z3588" i="34"/>
  <c r="O3588" i="34"/>
  <c r="P3588" i="34"/>
  <c r="A3588" i="34"/>
  <c r="Q3583" i="34"/>
  <c r="U3583" i="34"/>
  <c r="Z3583" i="34"/>
  <c r="P3583" i="34"/>
  <c r="O3583" i="34"/>
  <c r="A3583" i="34"/>
  <c r="Q3615" i="34"/>
  <c r="U3615" i="34"/>
  <c r="Z3615" i="34"/>
  <c r="P3615" i="34"/>
  <c r="O3615" i="34"/>
  <c r="A3615" i="34"/>
  <c r="Q3617" i="34"/>
  <c r="U3617" i="34"/>
  <c r="Z3617" i="34"/>
  <c r="O3617" i="34"/>
  <c r="P3617" i="34"/>
  <c r="A3617" i="34"/>
  <c r="Q3628" i="34"/>
  <c r="U3628" i="34"/>
  <c r="Z3628" i="34"/>
  <c r="O3628" i="34"/>
  <c r="P3628" i="34"/>
  <c r="A3628" i="34"/>
  <c r="Q3634" i="34"/>
  <c r="U3634" i="34"/>
  <c r="Z3634" i="34"/>
  <c r="O3634" i="34"/>
  <c r="P3634" i="34"/>
  <c r="A3634" i="34"/>
  <c r="Q3636" i="34"/>
  <c r="U3636" i="34"/>
  <c r="Z3636" i="34"/>
  <c r="O3636" i="34"/>
  <c r="P3636" i="34"/>
  <c r="A3636" i="34"/>
  <c r="Q3640" i="34"/>
  <c r="U3640" i="34"/>
  <c r="Z3640" i="34"/>
  <c r="O3640" i="34"/>
  <c r="P3640" i="34"/>
  <c r="A3640" i="34"/>
  <c r="Q3644" i="34"/>
  <c r="U3644" i="34"/>
  <c r="Z3644" i="34"/>
  <c r="O3644" i="34"/>
  <c r="P3644" i="34"/>
  <c r="A3644" i="34"/>
  <c r="Q3646" i="34"/>
  <c r="U3646" i="34"/>
  <c r="Z3646" i="34"/>
  <c r="O3646" i="34"/>
  <c r="P3646" i="34"/>
  <c r="A3646" i="34"/>
  <c r="O3753" i="34"/>
  <c r="P3753" i="34"/>
  <c r="Q3753" i="34"/>
  <c r="U3753" i="34"/>
  <c r="Z3753" i="34"/>
  <c r="A3753" i="34"/>
  <c r="Q3578" i="34"/>
  <c r="U3578" i="34"/>
  <c r="Z3578" i="34"/>
  <c r="O3578" i="34"/>
  <c r="P3578" i="34"/>
  <c r="A3578" i="34"/>
  <c r="Q3595" i="34"/>
  <c r="U3595" i="34"/>
  <c r="Z3595" i="34"/>
  <c r="P3595" i="34"/>
  <c r="O3595" i="34"/>
  <c r="A3595" i="34"/>
  <c r="Q3626" i="34"/>
  <c r="U3626" i="34"/>
  <c r="Z3626" i="34"/>
  <c r="O3626" i="34"/>
  <c r="P3626" i="34"/>
  <c r="A3626" i="34"/>
  <c r="Q3631" i="34"/>
  <c r="U3631" i="34"/>
  <c r="Z3631" i="34"/>
  <c r="P3631" i="34"/>
  <c r="O3631" i="34"/>
  <c r="A3631" i="34"/>
  <c r="Q3639" i="34"/>
  <c r="U3639" i="34"/>
  <c r="Z3639" i="34"/>
  <c r="P3639" i="34"/>
  <c r="O3639" i="34"/>
  <c r="A3639" i="34"/>
  <c r="Q3643" i="34"/>
  <c r="U3643" i="34"/>
  <c r="Z3643" i="34"/>
  <c r="P3643" i="34"/>
  <c r="O3643" i="34"/>
  <c r="A3643" i="34"/>
  <c r="Q3601" i="34"/>
  <c r="U3601" i="34"/>
  <c r="Z3601" i="34"/>
  <c r="O3601" i="34"/>
  <c r="P3601" i="34"/>
  <c r="A3601" i="34"/>
  <c r="Q3587" i="34"/>
  <c r="U3587" i="34"/>
  <c r="Z3587" i="34"/>
  <c r="P3587" i="34"/>
  <c r="O3587" i="34"/>
  <c r="A3587" i="34"/>
  <c r="Q3582" i="34"/>
  <c r="U3582" i="34"/>
  <c r="Z3582" i="34"/>
  <c r="O3582" i="34"/>
  <c r="P3582" i="34"/>
  <c r="A3582" i="34"/>
  <c r="Q3604" i="34"/>
  <c r="U3604" i="34"/>
  <c r="Z3604" i="34"/>
  <c r="O3604" i="34"/>
  <c r="P3604" i="34"/>
  <c r="A3604" i="34"/>
  <c r="Q3612" i="34"/>
  <c r="U3612" i="34"/>
  <c r="Z3612" i="34"/>
  <c r="O3612" i="34"/>
  <c r="P3612" i="34"/>
  <c r="A3612" i="34"/>
  <c r="Q3577" i="34"/>
  <c r="U3577" i="34"/>
  <c r="Z3577" i="34"/>
  <c r="O3577" i="34"/>
  <c r="P3577" i="34"/>
  <c r="A3577" i="34"/>
  <c r="Q3579" i="34"/>
  <c r="U3579" i="34"/>
  <c r="Z3579" i="34"/>
  <c r="P3579" i="34"/>
  <c r="O3579" i="34"/>
  <c r="A3579" i="34"/>
  <c r="Q3580" i="34"/>
  <c r="U3580" i="34"/>
  <c r="Z3580" i="34"/>
  <c r="O3580" i="34"/>
  <c r="P3580" i="34"/>
  <c r="A3580" i="34"/>
  <c r="Q3600" i="34"/>
  <c r="U3600" i="34"/>
  <c r="Z3600" i="34"/>
  <c r="O3600" i="34"/>
  <c r="P3600" i="34"/>
  <c r="A3600" i="34"/>
  <c r="Q3594" i="34"/>
  <c r="U3594" i="34"/>
  <c r="Z3594" i="34"/>
  <c r="O3594" i="34"/>
  <c r="P3594" i="34"/>
  <c r="A3594" i="34"/>
  <c r="Q3586" i="34"/>
  <c r="U3586" i="34"/>
  <c r="Z3586" i="34"/>
  <c r="O3586" i="34"/>
  <c r="P3586" i="34"/>
  <c r="A3586" i="34"/>
  <c r="Q3581" i="34"/>
  <c r="U3581" i="34"/>
  <c r="Z3581" i="34"/>
  <c r="O3581" i="34"/>
  <c r="P3581" i="34"/>
  <c r="A3581" i="34"/>
  <c r="Q3606" i="34"/>
  <c r="U3606" i="34"/>
  <c r="Z3606" i="34"/>
  <c r="O3606" i="34"/>
  <c r="P3606" i="34"/>
  <c r="A3606" i="34"/>
  <c r="Q3608" i="34"/>
  <c r="U3608" i="34"/>
  <c r="Z3608" i="34"/>
  <c r="O3608" i="34"/>
  <c r="P3608" i="34"/>
  <c r="A3608" i="34"/>
  <c r="Q3610" i="34"/>
  <c r="U3610" i="34"/>
  <c r="Z3610" i="34"/>
  <c r="O3610" i="34"/>
  <c r="P3610" i="34"/>
  <c r="A3610" i="34"/>
  <c r="Q3614" i="34"/>
  <c r="U3614" i="34"/>
  <c r="Z3614" i="34"/>
  <c r="O3614" i="34"/>
  <c r="P3614" i="34"/>
  <c r="A3614" i="34"/>
  <c r="Q3619" i="34"/>
  <c r="U3619" i="34"/>
  <c r="Z3619" i="34"/>
  <c r="P3619" i="34"/>
  <c r="O3619" i="34"/>
  <c r="A3619" i="34"/>
  <c r="Q3621" i="34"/>
  <c r="U3621" i="34"/>
  <c r="Z3621" i="34"/>
  <c r="O3621" i="34"/>
  <c r="P3621" i="34"/>
  <c r="A3621" i="34"/>
  <c r="Q3624" i="34"/>
  <c r="U3624" i="34"/>
  <c r="Z3624" i="34"/>
  <c r="O3624" i="34"/>
  <c r="P3624" i="34"/>
  <c r="A3624" i="34"/>
  <c r="Q3625" i="34"/>
  <c r="U3625" i="34"/>
  <c r="Z3625" i="34"/>
  <c r="O3625" i="34"/>
  <c r="P3625" i="34"/>
  <c r="A3625" i="34"/>
  <c r="Q3630" i="34"/>
  <c r="U3630" i="34"/>
  <c r="Z3630" i="34"/>
  <c r="O3630" i="34"/>
  <c r="P3630" i="34"/>
  <c r="A3630" i="34"/>
  <c r="Q3632" i="34"/>
  <c r="U3632" i="34"/>
  <c r="Z3632" i="34"/>
  <c r="O3632" i="34"/>
  <c r="P3632" i="34"/>
  <c r="A3632" i="34"/>
  <c r="Q3638" i="34"/>
  <c r="U3638" i="34"/>
  <c r="Z3638" i="34"/>
  <c r="O3638" i="34"/>
  <c r="P3638" i="34"/>
  <c r="A3638" i="34"/>
  <c r="Q3642" i="34"/>
  <c r="U3642" i="34"/>
  <c r="Z3642" i="34"/>
  <c r="O3642" i="34"/>
  <c r="P3642" i="34"/>
  <c r="A3642" i="34"/>
  <c r="AC3569" i="34"/>
  <c r="K3569" i="34"/>
  <c r="C3569" i="34"/>
  <c r="B3569" i="34" s="1"/>
  <c r="AC3572" i="34"/>
  <c r="K3572" i="34"/>
  <c r="C3572" i="34"/>
  <c r="B3572" i="34" s="1"/>
  <c r="AC3571" i="34"/>
  <c r="K3571" i="34"/>
  <c r="C3571" i="34"/>
  <c r="B3571" i="34" s="1"/>
  <c r="AC3570" i="34"/>
  <c r="K3570" i="34"/>
  <c r="C3570" i="34"/>
  <c r="B3570" i="34" s="1"/>
  <c r="C3576" i="34"/>
  <c r="B3576" i="34" s="1"/>
  <c r="AC3575" i="34"/>
  <c r="K3575" i="34"/>
  <c r="C3575" i="34"/>
  <c r="B3575" i="34" s="1"/>
  <c r="AC3574" i="34"/>
  <c r="K3574" i="34"/>
  <c r="C3574" i="34"/>
  <c r="B3574" i="34" s="1"/>
  <c r="AC3573" i="34"/>
  <c r="K3573" i="34"/>
  <c r="C3573" i="34"/>
  <c r="B3573" i="34" s="1"/>
  <c r="I3567" i="34"/>
  <c r="C3568" i="34"/>
  <c r="B3568" i="34" s="1"/>
  <c r="AC3567" i="34"/>
  <c r="K3567" i="34"/>
  <c r="C3567" i="34"/>
  <c r="B3567" i="34" s="1"/>
  <c r="C3566" i="34"/>
  <c r="B3566" i="34" s="1"/>
  <c r="AC3565" i="34"/>
  <c r="K3565" i="34"/>
  <c r="C3565" i="34"/>
  <c r="B3565" i="34" s="1"/>
  <c r="C3564" i="34"/>
  <c r="B3564" i="34" s="1"/>
  <c r="AC3563" i="34"/>
  <c r="K3563" i="34"/>
  <c r="C3563" i="34"/>
  <c r="B3563" i="34" s="1"/>
  <c r="C3562" i="34"/>
  <c r="B3562" i="34" s="1"/>
  <c r="AC3561" i="34"/>
  <c r="K3561" i="34"/>
  <c r="C3561" i="34"/>
  <c r="B3561" i="34" s="1"/>
  <c r="I3559" i="34"/>
  <c r="C3560" i="34"/>
  <c r="B3560" i="34" s="1"/>
  <c r="AC3559" i="34"/>
  <c r="C3559" i="34"/>
  <c r="B3559" i="34" s="1"/>
  <c r="AC3557" i="34"/>
  <c r="K3557" i="34"/>
  <c r="C3557" i="34"/>
  <c r="B3557" i="34" s="1"/>
  <c r="AC3555" i="34"/>
  <c r="K3555" i="34"/>
  <c r="C3555" i="34"/>
  <c r="B3555" i="34" s="1"/>
  <c r="AC3556" i="34"/>
  <c r="K3556" i="34"/>
  <c r="C3556" i="34"/>
  <c r="B3556" i="34" s="1"/>
  <c r="C3558" i="34"/>
  <c r="B3558" i="34" s="1"/>
  <c r="H464" i="55" a="1"/>
  <c r="H464" i="55" s="1"/>
  <c r="F464" i="55" a="1"/>
  <c r="F464" i="55" s="1"/>
  <c r="A464" i="55"/>
  <c r="H463" i="55" a="1"/>
  <c r="H463" i="55" s="1"/>
  <c r="F463" i="55" a="1"/>
  <c r="F463" i="55" s="1"/>
  <c r="A463" i="55"/>
  <c r="H462" i="55" a="1"/>
  <c r="H462" i="55" s="1"/>
  <c r="F462" i="55" a="1"/>
  <c r="F462" i="55" s="1"/>
  <c r="A462" i="55"/>
  <c r="H566" i="55" a="1"/>
  <c r="H566" i="55" s="1"/>
  <c r="F566" i="55" a="1"/>
  <c r="F566" i="55" s="1"/>
  <c r="A566" i="55"/>
  <c r="H565" i="55" a="1"/>
  <c r="H565" i="55" s="1"/>
  <c r="F565" i="55" a="1"/>
  <c r="F565" i="55" s="1"/>
  <c r="A565" i="55"/>
  <c r="H217" i="55" a="1"/>
  <c r="H217" i="55" s="1"/>
  <c r="F217" i="55" a="1"/>
  <c r="F217" i="55" s="1"/>
  <c r="A217" i="55"/>
  <c r="H195" i="55" a="1"/>
  <c r="H195" i="55" s="1"/>
  <c r="F195" i="55" a="1"/>
  <c r="F195" i="55" s="1"/>
  <c r="A195" i="55"/>
  <c r="H194" i="55" a="1"/>
  <c r="H194" i="55" s="1"/>
  <c r="F194" i="55" a="1"/>
  <c r="F194" i="55" s="1"/>
  <c r="A194" i="55"/>
  <c r="H520" i="55" a="1"/>
  <c r="H520" i="55" s="1"/>
  <c r="F520" i="55" a="1"/>
  <c r="F520" i="55" s="1"/>
  <c r="A520" i="55"/>
  <c r="H359" i="55" a="1"/>
  <c r="H359" i="55" s="1"/>
  <c r="F359" i="55" a="1"/>
  <c r="F359" i="55" s="1"/>
  <c r="A359" i="55"/>
  <c r="H216" i="55" a="1"/>
  <c r="H216" i="55" s="1"/>
  <c r="F216" i="55" a="1"/>
  <c r="F216" i="55" s="1"/>
  <c r="A216" i="55"/>
  <c r="H465" i="55" a="1"/>
  <c r="H465" i="55" s="1"/>
  <c r="F465" i="55" a="1"/>
  <c r="F465" i="55" s="1"/>
  <c r="A465" i="55"/>
  <c r="AC3538" i="34"/>
  <c r="K3538" i="34"/>
  <c r="C3538" i="34"/>
  <c r="B3538" i="34" s="1"/>
  <c r="AC3537" i="34"/>
  <c r="K3537" i="34"/>
  <c r="C3537" i="34"/>
  <c r="B3537" i="34" s="1"/>
  <c r="AC3536" i="34"/>
  <c r="K3536" i="34"/>
  <c r="C3536" i="34"/>
  <c r="B3536" i="34" s="1"/>
  <c r="AC3535" i="34"/>
  <c r="K3535" i="34"/>
  <c r="C3535" i="34"/>
  <c r="B3535" i="34" s="1"/>
  <c r="AC3534" i="34"/>
  <c r="K3534" i="34"/>
  <c r="C3534" i="34"/>
  <c r="B3534" i="34" s="1"/>
  <c r="AC3533" i="34"/>
  <c r="K3533" i="34"/>
  <c r="C3533" i="34"/>
  <c r="B3533" i="34" s="1"/>
  <c r="AC3532" i="34"/>
  <c r="K3532" i="34"/>
  <c r="C3532" i="34"/>
  <c r="B3532" i="34" s="1"/>
  <c r="AC3531" i="34"/>
  <c r="K3531" i="34"/>
  <c r="C3531" i="34"/>
  <c r="B3531" i="34" s="1"/>
  <c r="AC3530" i="34"/>
  <c r="K3530" i="34"/>
  <c r="C3530" i="34"/>
  <c r="B3530" i="34" s="1"/>
  <c r="AC3529" i="34"/>
  <c r="K3529" i="34"/>
  <c r="C3529" i="34"/>
  <c r="B3529" i="34" s="1"/>
  <c r="AC3528" i="34"/>
  <c r="K3528" i="34"/>
  <c r="C3528" i="34"/>
  <c r="B3528" i="34" s="1"/>
  <c r="AC3527" i="34"/>
  <c r="K3527" i="34"/>
  <c r="C3527" i="34"/>
  <c r="B3527" i="34" s="1"/>
  <c r="AC3526" i="34"/>
  <c r="K3526" i="34"/>
  <c r="C3526" i="34"/>
  <c r="B3526" i="34" s="1"/>
  <c r="AC3525" i="34"/>
  <c r="K3525" i="34"/>
  <c r="C3525" i="34"/>
  <c r="B3525" i="34" s="1"/>
  <c r="AC3524" i="34"/>
  <c r="K3524" i="34"/>
  <c r="C3524" i="34"/>
  <c r="B3524" i="34" s="1"/>
  <c r="AC3523" i="34"/>
  <c r="K3523" i="34"/>
  <c r="C3523" i="34"/>
  <c r="B3523" i="34" s="1"/>
  <c r="AC3522" i="34"/>
  <c r="K3522" i="34"/>
  <c r="C3522" i="34"/>
  <c r="B3522" i="34" s="1"/>
  <c r="AC3521" i="34"/>
  <c r="K3521" i="34"/>
  <c r="C3521" i="34"/>
  <c r="B3521" i="34" s="1"/>
  <c r="AC3520" i="34"/>
  <c r="K3520" i="34"/>
  <c r="C3520" i="34"/>
  <c r="B3520" i="34" s="1"/>
  <c r="AC3519" i="34"/>
  <c r="K3519" i="34"/>
  <c r="C3519" i="34"/>
  <c r="B3519" i="34" s="1"/>
  <c r="AC3548" i="34"/>
  <c r="K3548" i="34"/>
  <c r="C3548" i="34"/>
  <c r="B3548" i="34" s="1"/>
  <c r="AC3547" i="34"/>
  <c r="K3547" i="34"/>
  <c r="C3547" i="34"/>
  <c r="B3547" i="34" s="1"/>
  <c r="AC3546" i="34"/>
  <c r="K3546" i="34"/>
  <c r="C3546" i="34"/>
  <c r="B3546" i="34" s="1"/>
  <c r="AC3545" i="34"/>
  <c r="K3545" i="34"/>
  <c r="C3545" i="34"/>
  <c r="B3545" i="34" s="1"/>
  <c r="AC3544" i="34"/>
  <c r="K3544" i="34"/>
  <c r="C3544" i="34"/>
  <c r="B3544" i="34" s="1"/>
  <c r="AC3543" i="34"/>
  <c r="K3543" i="34"/>
  <c r="C3543" i="34"/>
  <c r="B3543" i="34" s="1"/>
  <c r="AC3542" i="34"/>
  <c r="K3542" i="34"/>
  <c r="C3542" i="34"/>
  <c r="B3542" i="34" s="1"/>
  <c r="AC3541" i="34"/>
  <c r="K3541" i="34"/>
  <c r="C3541" i="34"/>
  <c r="B3541" i="34" s="1"/>
  <c r="AC3540" i="34"/>
  <c r="K3540" i="34"/>
  <c r="C3540" i="34"/>
  <c r="B3540" i="34" s="1"/>
  <c r="AC3539" i="34"/>
  <c r="K3539" i="34"/>
  <c r="C3539" i="34"/>
  <c r="B3539" i="34" s="1"/>
  <c r="H339" i="55" l="1" a="1"/>
  <c r="H339" i="55" s="1"/>
  <c r="F658" i="55" a="1"/>
  <c r="F658" i="55" s="1"/>
  <c r="H213" i="55" a="1"/>
  <c r="H213" i="55" s="1"/>
  <c r="F225" i="55" a="1"/>
  <c r="F225" i="55" s="1"/>
  <c r="H249" i="55" a="1"/>
  <c r="H249" i="55" s="1"/>
  <c r="F484" i="55" a="1"/>
  <c r="F484" i="55" s="1"/>
  <c r="H424" i="55" a="1"/>
  <c r="H424" i="55" s="1"/>
  <c r="F200" i="55" a="1"/>
  <c r="F200" i="55" s="1"/>
  <c r="H398" i="55" a="1"/>
  <c r="H398" i="55" s="1"/>
  <c r="F453" i="55" a="1"/>
  <c r="F453" i="55" s="1"/>
  <c r="H675" i="55" a="1"/>
  <c r="H675" i="55" s="1"/>
  <c r="F674" i="55" a="1"/>
  <c r="F674" i="55" s="1"/>
  <c r="H671" i="55" a="1"/>
  <c r="H671" i="55" s="1"/>
  <c r="F670" i="55" a="1"/>
  <c r="F670" i="55" s="1"/>
  <c r="H375" i="55" a="1"/>
  <c r="H375" i="55" s="1"/>
  <c r="F585" i="55" a="1"/>
  <c r="F585" i="55" s="1"/>
  <c r="H678" i="55" a="1"/>
  <c r="H678" i="55" s="1"/>
  <c r="F677" i="55" a="1"/>
  <c r="F677" i="55" s="1"/>
  <c r="H613" i="55" a="1"/>
  <c r="H613" i="55" s="1"/>
  <c r="F635" i="55" a="1"/>
  <c r="F635" i="55" s="1"/>
  <c r="H307" i="55" a="1"/>
  <c r="H307" i="55" s="1"/>
  <c r="F598" i="55" a="1"/>
  <c r="F598" i="55" s="1"/>
  <c r="H601" i="55" a="1"/>
  <c r="H601" i="55" s="1"/>
  <c r="F210" i="55" a="1"/>
  <c r="F210" i="55" s="1"/>
  <c r="F339" i="55" a="1"/>
  <c r="F339" i="55" s="1"/>
  <c r="J339" i="55" s="1"/>
  <c r="H290" i="55" a="1"/>
  <c r="H290" i="55" s="1"/>
  <c r="F213" i="55" a="1"/>
  <c r="F213" i="55" s="1"/>
  <c r="J213" i="55" s="1"/>
  <c r="H252" i="55" a="1"/>
  <c r="H252" i="55" s="1"/>
  <c r="F249" i="55" a="1"/>
  <c r="F249" i="55" s="1"/>
  <c r="J249" i="55" s="1"/>
  <c r="H231" i="55" a="1"/>
  <c r="H231" i="55" s="1"/>
  <c r="F424" i="55" a="1"/>
  <c r="F424" i="55" s="1"/>
  <c r="J424" i="55" s="1"/>
  <c r="H219" i="55" a="1"/>
  <c r="H219" i="55" s="1"/>
  <c r="F398" i="55" a="1"/>
  <c r="F398" i="55" s="1"/>
  <c r="J398" i="55" s="1"/>
  <c r="H197" i="55" a="1"/>
  <c r="H197" i="55" s="1"/>
  <c r="F675" i="55" a="1"/>
  <c r="F675" i="55" s="1"/>
  <c r="J675" i="55" s="1"/>
  <c r="H672" i="55" a="1"/>
  <c r="H672" i="55" s="1"/>
  <c r="F671" i="55" a="1"/>
  <c r="F671" i="55" s="1"/>
  <c r="J671" i="55" s="1"/>
  <c r="H661" i="55" a="1"/>
  <c r="H661" i="55" s="1"/>
  <c r="F375" i="55" a="1"/>
  <c r="F375" i="55" s="1"/>
  <c r="J375" i="55" s="1"/>
  <c r="H679" i="55" a="1"/>
  <c r="H679" i="55" s="1"/>
  <c r="F678" i="55" a="1"/>
  <c r="F678" i="55" s="1"/>
  <c r="J678" i="55" s="1"/>
  <c r="H247" i="55" a="1"/>
  <c r="H247" i="55" s="1"/>
  <c r="F613" i="55" a="1"/>
  <c r="F613" i="55" s="1"/>
  <c r="J613" i="55" s="1"/>
  <c r="H240" i="55" a="1"/>
  <c r="H240" i="55" s="1"/>
  <c r="F307" i="55" a="1"/>
  <c r="F307" i="55" s="1"/>
  <c r="J307" i="55" s="1"/>
  <c r="H286" i="55" a="1"/>
  <c r="H286" i="55" s="1"/>
  <c r="F601" i="55" a="1"/>
  <c r="F601" i="55" s="1"/>
  <c r="J601" i="55" s="1"/>
  <c r="H474" i="55" a="1"/>
  <c r="H474" i="55" s="1"/>
  <c r="F290" i="55" a="1"/>
  <c r="F290" i="55" s="1"/>
  <c r="J290" i="55" s="1"/>
  <c r="H302" i="55" a="1"/>
  <c r="H302" i="55" s="1"/>
  <c r="F252" i="55" a="1"/>
  <c r="F252" i="55" s="1"/>
  <c r="H327" i="55" a="1"/>
  <c r="H327" i="55" s="1"/>
  <c r="F231" i="55" a="1"/>
  <c r="F231" i="55" s="1"/>
  <c r="J231" i="55" s="1"/>
  <c r="H618" i="55" a="1"/>
  <c r="H618" i="55" s="1"/>
  <c r="F219" i="55" a="1"/>
  <c r="F219" i="55" s="1"/>
  <c r="H600" i="55" a="1"/>
  <c r="H600" i="55" s="1"/>
  <c r="F197" i="55" a="1"/>
  <c r="F197" i="55" s="1"/>
  <c r="J197" i="55" s="1"/>
  <c r="H673" i="55" a="1"/>
  <c r="H673" i="55" s="1"/>
  <c r="F672" i="55" a="1"/>
  <c r="F672" i="55" s="1"/>
  <c r="H285" i="55" a="1"/>
  <c r="H285" i="55" s="1"/>
  <c r="F661" i="55" a="1"/>
  <c r="F661" i="55" s="1"/>
  <c r="J661" i="55" s="1"/>
  <c r="H680" i="55" a="1"/>
  <c r="H680" i="55" s="1"/>
  <c r="F679" i="55" a="1"/>
  <c r="F679" i="55" s="1"/>
  <c r="H676" i="55" a="1"/>
  <c r="H676" i="55" s="1"/>
  <c r="F247" i="55" a="1"/>
  <c r="F247" i="55" s="1"/>
  <c r="H262" i="55" a="1"/>
  <c r="H262" i="55" s="1"/>
  <c r="F240" i="55" a="1"/>
  <c r="F240" i="55" s="1"/>
  <c r="H476" i="55" a="1"/>
  <c r="H476" i="55" s="1"/>
  <c r="F286" i="55" a="1"/>
  <c r="F286" i="55" s="1"/>
  <c r="H658" i="55" a="1"/>
  <c r="H658" i="55" s="1"/>
  <c r="F474" i="55" a="1"/>
  <c r="F474" i="55" s="1"/>
  <c r="H225" i="55" a="1"/>
  <c r="H225" i="55" s="1"/>
  <c r="F302" i="55" a="1"/>
  <c r="F302" i="55" s="1"/>
  <c r="H484" i="55" a="1"/>
  <c r="H484" i="55" s="1"/>
  <c r="F327" i="55" a="1"/>
  <c r="F327" i="55" s="1"/>
  <c r="H200" i="55" a="1"/>
  <c r="H200" i="55" s="1"/>
  <c r="F618" i="55" a="1"/>
  <c r="F618" i="55" s="1"/>
  <c r="H453" i="55" a="1"/>
  <c r="H453" i="55" s="1"/>
  <c r="F600" i="55" a="1"/>
  <c r="F600" i="55" s="1"/>
  <c r="H674" i="55" a="1"/>
  <c r="H674" i="55" s="1"/>
  <c r="F673" i="55" a="1"/>
  <c r="F673" i="55" s="1"/>
  <c r="H670" i="55" a="1"/>
  <c r="H670" i="55" s="1"/>
  <c r="F285" i="55" a="1"/>
  <c r="F285" i="55" s="1"/>
  <c r="H585" i="55" a="1"/>
  <c r="H585" i="55" s="1"/>
  <c r="F680" i="55" a="1"/>
  <c r="F680" i="55" s="1"/>
  <c r="H677" i="55" a="1"/>
  <c r="H677" i="55" s="1"/>
  <c r="F676" i="55" a="1"/>
  <c r="F676" i="55" s="1"/>
  <c r="H635" i="55" a="1"/>
  <c r="H635" i="55" s="1"/>
  <c r="F262" i="55" a="1"/>
  <c r="F262" i="55" s="1"/>
  <c r="H598" i="55" a="1"/>
  <c r="H598" i="55" s="1"/>
  <c r="F476" i="55" a="1"/>
  <c r="F476" i="55" s="1"/>
  <c r="H210" i="55" a="1"/>
  <c r="H210" i="55" s="1"/>
  <c r="H586" i="55" a="1"/>
  <c r="H586" i="55" s="1"/>
  <c r="F605" i="55" a="1"/>
  <c r="F605" i="55" s="1"/>
  <c r="H564" i="55" a="1"/>
  <c r="H564" i="55" s="1"/>
  <c r="F567" i="55" a="1"/>
  <c r="F567" i="55" s="1"/>
  <c r="H681" i="55" a="1"/>
  <c r="H681" i="55" s="1"/>
  <c r="F450" i="55" a="1"/>
  <c r="F450" i="55" s="1"/>
  <c r="H683" i="55" a="1"/>
  <c r="H683" i="55" s="1"/>
  <c r="F682" i="55" a="1"/>
  <c r="F682" i="55" s="1"/>
  <c r="F586" i="55" a="1"/>
  <c r="F586" i="55" s="1"/>
  <c r="J586" i="55" s="1"/>
  <c r="H550" i="55" a="1"/>
  <c r="H550" i="55" s="1"/>
  <c r="F564" i="55" a="1"/>
  <c r="F564" i="55" s="1"/>
  <c r="J564" i="55" s="1"/>
  <c r="H203" i="55" a="1"/>
  <c r="H203" i="55" s="1"/>
  <c r="F681" i="55" a="1"/>
  <c r="F681" i="55" s="1"/>
  <c r="J681" i="55" s="1"/>
  <c r="H439" i="55" a="1"/>
  <c r="H439" i="55" s="1"/>
  <c r="F683" i="55" a="1"/>
  <c r="F683" i="55" s="1"/>
  <c r="J683" i="55" s="1"/>
  <c r="H496" i="55" a="1"/>
  <c r="H496" i="55" s="1"/>
  <c r="F550" i="55" a="1"/>
  <c r="F550" i="55" s="1"/>
  <c r="H575" i="55" a="1"/>
  <c r="H575" i="55" s="1"/>
  <c r="F203" i="55" a="1"/>
  <c r="F203" i="55" s="1"/>
  <c r="H488" i="55" a="1"/>
  <c r="H488" i="55" s="1"/>
  <c r="F439" i="55" a="1"/>
  <c r="F439" i="55" s="1"/>
  <c r="H605" i="55" a="1"/>
  <c r="H605" i="55" s="1"/>
  <c r="F496" i="55" a="1"/>
  <c r="F496" i="55" s="1"/>
  <c r="H567" i="55" a="1"/>
  <c r="H567" i="55" s="1"/>
  <c r="F575" i="55" a="1"/>
  <c r="F575" i="55" s="1"/>
  <c r="H450" i="55" a="1"/>
  <c r="H450" i="55" s="1"/>
  <c r="F488" i="55" a="1"/>
  <c r="F488" i="55" s="1"/>
  <c r="H682" i="55" a="1"/>
  <c r="H682" i="55" s="1"/>
  <c r="Q3572" i="34"/>
  <c r="U3572" i="34"/>
  <c r="Z3572" i="34"/>
  <c r="O3572" i="34"/>
  <c r="P3572" i="34"/>
  <c r="A3572" i="34"/>
  <c r="Q3559" i="34"/>
  <c r="U3559" i="34"/>
  <c r="Z3559" i="34"/>
  <c r="P3559" i="34"/>
  <c r="O3559" i="34"/>
  <c r="A3559" i="34"/>
  <c r="Q3561" i="34"/>
  <c r="U3561" i="34"/>
  <c r="Z3561" i="34"/>
  <c r="O3561" i="34"/>
  <c r="P3561" i="34"/>
  <c r="A3561" i="34"/>
  <c r="Q3563" i="34"/>
  <c r="U3563" i="34"/>
  <c r="Z3563" i="34"/>
  <c r="P3563" i="34"/>
  <c r="O3563" i="34"/>
  <c r="A3563" i="34"/>
  <c r="Q3565" i="34"/>
  <c r="U3565" i="34"/>
  <c r="Z3565" i="34"/>
  <c r="O3565" i="34"/>
  <c r="P3565" i="34"/>
  <c r="A3565" i="34"/>
  <c r="Q3567" i="34"/>
  <c r="U3567" i="34"/>
  <c r="Z3567" i="34"/>
  <c r="P3567" i="34"/>
  <c r="O3567" i="34"/>
  <c r="A3567" i="34"/>
  <c r="Q3574" i="34"/>
  <c r="U3574" i="34"/>
  <c r="Z3574" i="34"/>
  <c r="O3574" i="34"/>
  <c r="P3574" i="34"/>
  <c r="A3574" i="34"/>
  <c r="Q3557" i="34"/>
  <c r="U3557" i="34"/>
  <c r="Z3557" i="34"/>
  <c r="O3557" i="34"/>
  <c r="P3557" i="34"/>
  <c r="A3557" i="34"/>
  <c r="Q3573" i="34"/>
  <c r="U3573" i="34"/>
  <c r="Z3573" i="34"/>
  <c r="O3573" i="34"/>
  <c r="P3573" i="34"/>
  <c r="A3573" i="34"/>
  <c r="Q3569" i="34"/>
  <c r="U3569" i="34"/>
  <c r="Z3569" i="34"/>
  <c r="O3569" i="34"/>
  <c r="P3569" i="34"/>
  <c r="A3569" i="34"/>
  <c r="O3543" i="34"/>
  <c r="P3543" i="34"/>
  <c r="Q3543" i="34"/>
  <c r="U3543" i="34"/>
  <c r="Z3543" i="34"/>
  <c r="A3543" i="34"/>
  <c r="O3525" i="34"/>
  <c r="P3525" i="34"/>
  <c r="Q3525" i="34"/>
  <c r="U3525" i="34"/>
  <c r="Z3525" i="34"/>
  <c r="A3525" i="34"/>
  <c r="O3529" i="34"/>
  <c r="P3529" i="34"/>
  <c r="Q3529" i="34"/>
  <c r="U3529" i="34"/>
  <c r="Z3529" i="34"/>
  <c r="A3529" i="34"/>
  <c r="O3537" i="34"/>
  <c r="P3537" i="34"/>
  <c r="Q3537" i="34"/>
  <c r="U3537" i="34"/>
  <c r="Z3537" i="34"/>
  <c r="A3537" i="34"/>
  <c r="P3546" i="34"/>
  <c r="Q3546" i="34"/>
  <c r="U3546" i="34"/>
  <c r="Z3546" i="34"/>
  <c r="O3546" i="34"/>
  <c r="A3546" i="34"/>
  <c r="O3524" i="34"/>
  <c r="P3524" i="34"/>
  <c r="Q3524" i="34"/>
  <c r="U3524" i="34"/>
  <c r="Z3524" i="34"/>
  <c r="A3524" i="34"/>
  <c r="Q3558" i="34"/>
  <c r="U3558" i="34"/>
  <c r="Z3558" i="34"/>
  <c r="O3558" i="34"/>
  <c r="P3558" i="34"/>
  <c r="A3558" i="34"/>
  <c r="Q3555" i="34"/>
  <c r="U3555" i="34"/>
  <c r="Z3555" i="34"/>
  <c r="P3555" i="34"/>
  <c r="O3555" i="34"/>
  <c r="A3555" i="34"/>
  <c r="Q3560" i="34"/>
  <c r="U3560" i="34"/>
  <c r="Z3560" i="34"/>
  <c r="O3560" i="34"/>
  <c r="P3560" i="34"/>
  <c r="A3560" i="34"/>
  <c r="Q3576" i="34"/>
  <c r="U3576" i="34"/>
  <c r="Z3576" i="34"/>
  <c r="O3576" i="34"/>
  <c r="P3576" i="34"/>
  <c r="A3576" i="34"/>
  <c r="Q3571" i="34"/>
  <c r="U3571" i="34"/>
  <c r="Z3571" i="34"/>
  <c r="P3571" i="34"/>
  <c r="O3571" i="34"/>
  <c r="A3571" i="34"/>
  <c r="O3539" i="34"/>
  <c r="P3539" i="34"/>
  <c r="Q3539" i="34"/>
  <c r="U3539" i="34"/>
  <c r="Z3539" i="34"/>
  <c r="A3539" i="34"/>
  <c r="P3547" i="34"/>
  <c r="Q3547" i="34"/>
  <c r="U3547" i="34"/>
  <c r="Z3547" i="34"/>
  <c r="O3547" i="34"/>
  <c r="A3547" i="34"/>
  <c r="O3521" i="34"/>
  <c r="P3521" i="34"/>
  <c r="Q3521" i="34"/>
  <c r="U3521" i="34"/>
  <c r="Z3521" i="34"/>
  <c r="A3521" i="34"/>
  <c r="O3533" i="34"/>
  <c r="P3533" i="34"/>
  <c r="Q3533" i="34"/>
  <c r="U3533" i="34"/>
  <c r="Z3533" i="34"/>
  <c r="A3533" i="34"/>
  <c r="O3542" i="34"/>
  <c r="P3542" i="34"/>
  <c r="Q3542" i="34"/>
  <c r="U3542" i="34"/>
  <c r="Z3542" i="34"/>
  <c r="A3542" i="34"/>
  <c r="O3520" i="34"/>
  <c r="P3520" i="34"/>
  <c r="Q3520" i="34"/>
  <c r="U3520" i="34"/>
  <c r="Z3520" i="34"/>
  <c r="A3520" i="34"/>
  <c r="O3528" i="34"/>
  <c r="P3528" i="34"/>
  <c r="Q3528" i="34"/>
  <c r="U3528" i="34"/>
  <c r="Z3528" i="34"/>
  <c r="A3528" i="34"/>
  <c r="O3532" i="34"/>
  <c r="P3532" i="34"/>
  <c r="Q3532" i="34"/>
  <c r="U3532" i="34"/>
  <c r="Z3532" i="34"/>
  <c r="A3532" i="34"/>
  <c r="O3536" i="34"/>
  <c r="P3536" i="34"/>
  <c r="Q3536" i="34"/>
  <c r="U3536" i="34"/>
  <c r="Z3536" i="34"/>
  <c r="A3536" i="34"/>
  <c r="O3541" i="34"/>
  <c r="P3541" i="34"/>
  <c r="Q3541" i="34"/>
  <c r="U3541" i="34"/>
  <c r="Z3541" i="34"/>
  <c r="A3541" i="34"/>
  <c r="O3545" i="34"/>
  <c r="P3545" i="34"/>
  <c r="Q3545" i="34"/>
  <c r="U3545" i="34"/>
  <c r="Z3545" i="34"/>
  <c r="A3545" i="34"/>
  <c r="O3519" i="34"/>
  <c r="P3519" i="34"/>
  <c r="Q3519" i="34"/>
  <c r="U3519" i="34"/>
  <c r="Z3519" i="34"/>
  <c r="A3519" i="34"/>
  <c r="O3523" i="34"/>
  <c r="P3523" i="34"/>
  <c r="Q3523" i="34"/>
  <c r="U3523" i="34"/>
  <c r="Z3523" i="34"/>
  <c r="A3523" i="34"/>
  <c r="O3527" i="34"/>
  <c r="P3527" i="34"/>
  <c r="Q3527" i="34"/>
  <c r="U3527" i="34"/>
  <c r="Z3527" i="34"/>
  <c r="A3527" i="34"/>
  <c r="O3531" i="34"/>
  <c r="P3531" i="34"/>
  <c r="Q3531" i="34"/>
  <c r="U3531" i="34"/>
  <c r="Z3531" i="34"/>
  <c r="A3531" i="34"/>
  <c r="O3535" i="34"/>
  <c r="P3535" i="34"/>
  <c r="Q3535" i="34"/>
  <c r="U3535" i="34"/>
  <c r="Z3535" i="34"/>
  <c r="A3535" i="34"/>
  <c r="O3540" i="34"/>
  <c r="P3540" i="34"/>
  <c r="Q3540" i="34"/>
  <c r="U3540" i="34"/>
  <c r="Z3540" i="34"/>
  <c r="A3540" i="34"/>
  <c r="O3544" i="34"/>
  <c r="P3544" i="34"/>
  <c r="Q3544" i="34"/>
  <c r="U3544" i="34"/>
  <c r="Z3544" i="34"/>
  <c r="A3544" i="34"/>
  <c r="Q3548" i="34"/>
  <c r="U3548" i="34"/>
  <c r="Z3548" i="34"/>
  <c r="O3548" i="34"/>
  <c r="P3548" i="34"/>
  <c r="A3548" i="34"/>
  <c r="O3522" i="34"/>
  <c r="P3522" i="34"/>
  <c r="Q3522" i="34"/>
  <c r="U3522" i="34"/>
  <c r="Z3522" i="34"/>
  <c r="A3522" i="34"/>
  <c r="O3526" i="34"/>
  <c r="P3526" i="34"/>
  <c r="Q3526" i="34"/>
  <c r="U3526" i="34"/>
  <c r="Z3526" i="34"/>
  <c r="A3526" i="34"/>
  <c r="O3530" i="34"/>
  <c r="P3530" i="34"/>
  <c r="Q3530" i="34"/>
  <c r="U3530" i="34"/>
  <c r="Z3530" i="34"/>
  <c r="A3530" i="34"/>
  <c r="O3534" i="34"/>
  <c r="P3534" i="34"/>
  <c r="Q3534" i="34"/>
  <c r="U3534" i="34"/>
  <c r="Z3534" i="34"/>
  <c r="A3534" i="34"/>
  <c r="O3538" i="34"/>
  <c r="P3538" i="34"/>
  <c r="Q3538" i="34"/>
  <c r="U3538" i="34"/>
  <c r="Z3538" i="34"/>
  <c r="A3538" i="34"/>
  <c r="Q3556" i="34"/>
  <c r="U3556" i="34"/>
  <c r="Z3556" i="34"/>
  <c r="O3556" i="34"/>
  <c r="P3556" i="34"/>
  <c r="A3556" i="34"/>
  <c r="Q3562" i="34"/>
  <c r="U3562" i="34"/>
  <c r="Z3562" i="34"/>
  <c r="O3562" i="34"/>
  <c r="P3562" i="34"/>
  <c r="A3562" i="34"/>
  <c r="Q3564" i="34"/>
  <c r="U3564" i="34"/>
  <c r="Z3564" i="34"/>
  <c r="O3564" i="34"/>
  <c r="P3564" i="34"/>
  <c r="A3564" i="34"/>
  <c r="Q3566" i="34"/>
  <c r="U3566" i="34"/>
  <c r="Z3566" i="34"/>
  <c r="O3566" i="34"/>
  <c r="P3566" i="34"/>
  <c r="A3566" i="34"/>
  <c r="Q3568" i="34"/>
  <c r="U3568" i="34"/>
  <c r="Z3568" i="34"/>
  <c r="O3568" i="34"/>
  <c r="P3568" i="34"/>
  <c r="A3568" i="34"/>
  <c r="Q3575" i="34"/>
  <c r="U3575" i="34"/>
  <c r="Z3575" i="34"/>
  <c r="P3575" i="34"/>
  <c r="O3575" i="34"/>
  <c r="A3575" i="34"/>
  <c r="Q3570" i="34"/>
  <c r="U3570" i="34"/>
  <c r="Z3570" i="34"/>
  <c r="O3570" i="34"/>
  <c r="P3570" i="34"/>
  <c r="A3570" i="34"/>
  <c r="K3559" i="34"/>
  <c r="H434" i="55" a="1"/>
  <c r="H434" i="55" s="1"/>
  <c r="F314" i="55" a="1"/>
  <c r="F314" i="55" s="1"/>
  <c r="H533" i="55" a="1"/>
  <c r="H533" i="55" s="1"/>
  <c r="F333" i="55" a="1"/>
  <c r="F333" i="55" s="1"/>
  <c r="H251" i="55" a="1"/>
  <c r="H251" i="55" s="1"/>
  <c r="F406" i="55" a="1"/>
  <c r="F406" i="55" s="1"/>
  <c r="H486" i="55" a="1"/>
  <c r="H486" i="55" s="1"/>
  <c r="F500" i="55" a="1"/>
  <c r="F500" i="55" s="1"/>
  <c r="H288" i="55" a="1"/>
  <c r="H288" i="55" s="1"/>
  <c r="F654" i="55" a="1"/>
  <c r="F654" i="55" s="1"/>
  <c r="H259" i="55" a="1"/>
  <c r="H259" i="55" s="1"/>
  <c r="F258" i="55" a="1"/>
  <c r="F258" i="55" s="1"/>
  <c r="H277" i="55" a="1"/>
  <c r="H277" i="55" s="1"/>
  <c r="F310" i="55" a="1"/>
  <c r="F310" i="55" s="1"/>
  <c r="H26" i="55" a="1"/>
  <c r="H26" i="55" s="1"/>
  <c r="F27" i="55" a="1"/>
  <c r="F27" i="55" s="1"/>
  <c r="H22" i="55" a="1"/>
  <c r="H22" i="55" s="1"/>
  <c r="F178" i="55" a="1"/>
  <c r="F178" i="55" s="1"/>
  <c r="H308" i="55" a="1"/>
  <c r="H308" i="55" s="1"/>
  <c r="F281" i="55" a="1"/>
  <c r="F281" i="55" s="1"/>
  <c r="H283" i="55" a="1"/>
  <c r="H283" i="55" s="1"/>
  <c r="F284" i="55" a="1"/>
  <c r="F284" i="55" s="1"/>
  <c r="H188" i="55" a="1"/>
  <c r="H188" i="55" s="1"/>
  <c r="F684" i="55" a="1"/>
  <c r="F684" i="55" s="1"/>
  <c r="H182" i="55" a="1"/>
  <c r="H182" i="55" s="1"/>
  <c r="H448" i="55" a="1"/>
  <c r="H448" i="55" s="1"/>
  <c r="F434" i="55" a="1"/>
  <c r="F434" i="55" s="1"/>
  <c r="J434" i="55" s="1"/>
  <c r="H212" i="55" a="1"/>
  <c r="H212" i="55" s="1"/>
  <c r="F533" i="55" a="1"/>
  <c r="F533" i="55" s="1"/>
  <c r="H224" i="55" a="1"/>
  <c r="H224" i="55" s="1"/>
  <c r="F251" i="55" a="1"/>
  <c r="F251" i="55" s="1"/>
  <c r="J251" i="55" s="1"/>
  <c r="H471" i="55" a="1"/>
  <c r="H471" i="55" s="1"/>
  <c r="F486" i="55" a="1"/>
  <c r="F486" i="55" s="1"/>
  <c r="H664" i="55" a="1"/>
  <c r="H664" i="55" s="1"/>
  <c r="F288" i="55" a="1"/>
  <c r="F288" i="55" s="1"/>
  <c r="J288" i="55" s="1"/>
  <c r="H642" i="55" a="1"/>
  <c r="H642" i="55" s="1"/>
  <c r="F259" i="55" a="1"/>
  <c r="F259" i="55" s="1"/>
  <c r="H315" i="55" a="1"/>
  <c r="H315" i="55" s="1"/>
  <c r="F277" i="55" a="1"/>
  <c r="F277" i="55" s="1"/>
  <c r="J277" i="55" s="1"/>
  <c r="H24" i="55" a="1"/>
  <c r="H24" i="55" s="1"/>
  <c r="F26" i="55" a="1"/>
  <c r="F26" i="55" s="1"/>
  <c r="H21" i="55" a="1"/>
  <c r="H21" i="55" s="1"/>
  <c r="F22" i="55" a="1"/>
  <c r="F22" i="55" s="1"/>
  <c r="J22" i="55" s="1"/>
  <c r="H510" i="55" a="1"/>
  <c r="H510" i="55" s="1"/>
  <c r="F308" i="55" a="1"/>
  <c r="F308" i="55" s="1"/>
  <c r="H282" i="55" a="1"/>
  <c r="H282" i="55" s="1"/>
  <c r="F283" i="55" a="1"/>
  <c r="F283" i="55" s="1"/>
  <c r="F188" i="55" a="1"/>
  <c r="F188" i="55" s="1"/>
  <c r="H385" i="55" a="1"/>
  <c r="H385" i="55" s="1"/>
  <c r="F212" i="55" a="1"/>
  <c r="F212" i="55" s="1"/>
  <c r="J212" i="55" s="1"/>
  <c r="H304" i="55" a="1"/>
  <c r="H304" i="55" s="1"/>
  <c r="F224" i="55" a="1"/>
  <c r="F224" i="55" s="1"/>
  <c r="H657" i="55" a="1"/>
  <c r="H657" i="55" s="1"/>
  <c r="F471" i="55" a="1"/>
  <c r="F471" i="55" s="1"/>
  <c r="J471" i="55" s="1"/>
  <c r="H298" i="55" a="1"/>
  <c r="H298" i="55" s="1"/>
  <c r="F664" i="55" a="1"/>
  <c r="F664" i="55" s="1"/>
  <c r="H269" i="55" a="1"/>
  <c r="H269" i="55" s="1"/>
  <c r="F642" i="55" a="1"/>
  <c r="F642" i="55" s="1"/>
  <c r="J642" i="55" s="1"/>
  <c r="H341" i="55" a="1"/>
  <c r="H341" i="55" s="1"/>
  <c r="F315" i="55" a="1"/>
  <c r="F315" i="55" s="1"/>
  <c r="H45" i="55" a="1"/>
  <c r="H45" i="55" s="1"/>
  <c r="F24" i="55" a="1"/>
  <c r="F24" i="55" s="1"/>
  <c r="J24" i="55" s="1"/>
  <c r="H23" i="55" a="1"/>
  <c r="H23" i="55" s="1"/>
  <c r="F21" i="55" a="1"/>
  <c r="F21" i="55" s="1"/>
  <c r="H19" i="55" a="1"/>
  <c r="H19" i="55" s="1"/>
  <c r="F510" i="55" a="1"/>
  <c r="F510" i="55" s="1"/>
  <c r="J510" i="55" s="1"/>
  <c r="H313" i="55" a="1"/>
  <c r="H313" i="55" s="1"/>
  <c r="F282" i="55" a="1"/>
  <c r="F282" i="55" s="1"/>
  <c r="H175" i="55" a="1"/>
  <c r="H175" i="55" s="1"/>
  <c r="F182" i="55" a="1"/>
  <c r="F182" i="55" s="1"/>
  <c r="H314" i="55" a="1"/>
  <c r="H314" i="55" s="1"/>
  <c r="F385" i="55" a="1"/>
  <c r="F385" i="55" s="1"/>
  <c r="H333" i="55" a="1"/>
  <c r="H333" i="55" s="1"/>
  <c r="F304" i="55" a="1"/>
  <c r="F304" i="55" s="1"/>
  <c r="H406" i="55" a="1"/>
  <c r="H406" i="55" s="1"/>
  <c r="F657" i="55" a="1"/>
  <c r="F657" i="55" s="1"/>
  <c r="H500" i="55" a="1"/>
  <c r="H500" i="55" s="1"/>
  <c r="F298" i="55" a="1"/>
  <c r="F298" i="55" s="1"/>
  <c r="H654" i="55" a="1"/>
  <c r="H654" i="55" s="1"/>
  <c r="F269" i="55" a="1"/>
  <c r="F269" i="55" s="1"/>
  <c r="H258" i="55" a="1"/>
  <c r="H258" i="55" s="1"/>
  <c r="F341" i="55" a="1"/>
  <c r="F341" i="55" s="1"/>
  <c r="H310" i="55" a="1"/>
  <c r="H310" i="55" s="1"/>
  <c r="F45" i="55" a="1"/>
  <c r="F45" i="55" s="1"/>
  <c r="H27" i="55" a="1"/>
  <c r="H27" i="55" s="1"/>
  <c r="F23" i="55" a="1"/>
  <c r="F23" i="55" s="1"/>
  <c r="H178" i="55" a="1"/>
  <c r="H178" i="55" s="1"/>
  <c r="F19" i="55" a="1"/>
  <c r="F19" i="55" s="1"/>
  <c r="H281" i="55" a="1"/>
  <c r="H281" i="55" s="1"/>
  <c r="F313" i="55" a="1"/>
  <c r="F313" i="55" s="1"/>
  <c r="H284" i="55" a="1"/>
  <c r="H284" i="55" s="1"/>
  <c r="F175" i="55" a="1"/>
  <c r="F175" i="55" s="1"/>
  <c r="H684" i="55" a="1"/>
  <c r="H684" i="55" s="1"/>
  <c r="F448" i="55" a="1"/>
  <c r="F448" i="55" s="1"/>
  <c r="J448" i="55" s="1"/>
  <c r="H369" i="55" a="1"/>
  <c r="H369" i="55" s="1"/>
  <c r="F328" i="55" a="1"/>
  <c r="F328" i="55" s="1"/>
  <c r="H622" i="55" a="1"/>
  <c r="H622" i="55" s="1"/>
  <c r="F273" i="55" a="1"/>
  <c r="F273" i="55" s="1"/>
  <c r="H351" i="55" a="1"/>
  <c r="H351" i="55" s="1"/>
  <c r="F183" i="55" a="1"/>
  <c r="F183" i="55" s="1"/>
  <c r="H546" i="55" a="1"/>
  <c r="H546" i="55" s="1"/>
  <c r="F235" i="55" a="1"/>
  <c r="F235" i="55" s="1"/>
  <c r="H229" i="55" a="1"/>
  <c r="H229" i="55" s="1"/>
  <c r="F571" i="55" a="1"/>
  <c r="F571" i="55" s="1"/>
  <c r="H435" i="55" a="1"/>
  <c r="H435" i="55" s="1"/>
  <c r="F297" i="55" a="1"/>
  <c r="F297" i="55" s="1"/>
  <c r="H241" i="55" a="1"/>
  <c r="H241" i="55" s="1"/>
  <c r="F512" i="55" a="1"/>
  <c r="F512" i="55" s="1"/>
  <c r="H537" i="55" a="1"/>
  <c r="H537" i="55" s="1"/>
  <c r="F514" i="55" a="1"/>
  <c r="F514" i="55" s="1"/>
  <c r="F537" i="55" a="1"/>
  <c r="F537" i="55" s="1"/>
  <c r="H514" i="55" a="1"/>
  <c r="H514" i="55" s="1"/>
  <c r="H246" i="55" a="1"/>
  <c r="H246" i="55" s="1"/>
  <c r="F369" i="55" a="1"/>
  <c r="F369" i="55" s="1"/>
  <c r="H621" i="55" a="1"/>
  <c r="H621" i="55" s="1"/>
  <c r="F622" i="55" a="1"/>
  <c r="F622" i="55" s="1"/>
  <c r="H619" i="55" a="1"/>
  <c r="H619" i="55" s="1"/>
  <c r="F351" i="55" a="1"/>
  <c r="F351" i="55" s="1"/>
  <c r="H548" i="55" a="1"/>
  <c r="H548" i="55" s="1"/>
  <c r="F546" i="55" a="1"/>
  <c r="F546" i="55" s="1"/>
  <c r="H300" i="55" a="1"/>
  <c r="H300" i="55" s="1"/>
  <c r="F229" i="55" a="1"/>
  <c r="F229" i="55" s="1"/>
  <c r="H668" i="55" a="1"/>
  <c r="H668" i="55" s="1"/>
  <c r="F435" i="55" a="1"/>
  <c r="F435" i="55" s="1"/>
  <c r="H614" i="55" a="1"/>
  <c r="H614" i="55" s="1"/>
  <c r="F241" i="55" a="1"/>
  <c r="F241" i="55" s="1"/>
  <c r="H612" i="55" a="1"/>
  <c r="H612" i="55" s="1"/>
  <c r="H466" i="55" a="1"/>
  <c r="H466" i="55" s="1"/>
  <c r="H650" i="55" a="1"/>
  <c r="H650" i="55" s="1"/>
  <c r="F246" i="55" a="1"/>
  <c r="F246" i="55" s="1"/>
  <c r="H377" i="55" a="1"/>
  <c r="H377" i="55" s="1"/>
  <c r="F621" i="55" a="1"/>
  <c r="F621" i="55" s="1"/>
  <c r="H388" i="55" a="1"/>
  <c r="H388" i="55" s="1"/>
  <c r="F619" i="55" a="1"/>
  <c r="F619" i="55" s="1"/>
  <c r="H312" i="55" a="1"/>
  <c r="H312" i="55" s="1"/>
  <c r="F548" i="55" a="1"/>
  <c r="F548" i="55" s="1"/>
  <c r="H509" i="55" a="1"/>
  <c r="H509" i="55" s="1"/>
  <c r="F300" i="55" a="1"/>
  <c r="F300" i="55" s="1"/>
  <c r="H436" i="55" a="1"/>
  <c r="H436" i="55" s="1"/>
  <c r="F668" i="55" a="1"/>
  <c r="F668" i="55" s="1"/>
  <c r="H507" i="55" a="1"/>
  <c r="H507" i="55" s="1"/>
  <c r="F614" i="55" a="1"/>
  <c r="F614" i="55" s="1"/>
  <c r="H665" i="55" a="1"/>
  <c r="H665" i="55" s="1"/>
  <c r="F612" i="55" a="1"/>
  <c r="F612" i="55" s="1"/>
  <c r="F650" i="55" a="1"/>
  <c r="F650" i="55" s="1"/>
  <c r="H328" i="55" a="1"/>
  <c r="H328" i="55" s="1"/>
  <c r="F377" i="55" a="1"/>
  <c r="F377" i="55" s="1"/>
  <c r="J377" i="55" s="1"/>
  <c r="H273" i="55" a="1"/>
  <c r="H273" i="55" s="1"/>
  <c r="F388" i="55" a="1"/>
  <c r="F388" i="55" s="1"/>
  <c r="J388" i="55" s="1"/>
  <c r="H183" i="55" a="1"/>
  <c r="H183" i="55" s="1"/>
  <c r="F312" i="55" a="1"/>
  <c r="F312" i="55" s="1"/>
  <c r="H235" i="55" a="1"/>
  <c r="H235" i="55" s="1"/>
  <c r="F509" i="55" a="1"/>
  <c r="F509" i="55" s="1"/>
  <c r="H571" i="55" a="1"/>
  <c r="H571" i="55" s="1"/>
  <c r="F436" i="55" a="1"/>
  <c r="F436" i="55" s="1"/>
  <c r="H297" i="55" a="1"/>
  <c r="H297" i="55" s="1"/>
  <c r="F507" i="55" a="1"/>
  <c r="F507" i="55" s="1"/>
  <c r="H512" i="55" a="1"/>
  <c r="H512" i="55" s="1"/>
  <c r="F665" i="55" a="1"/>
  <c r="F665" i="55" s="1"/>
  <c r="F466" i="55" a="1"/>
  <c r="F466" i="55" s="1"/>
  <c r="J466" i="55" s="1"/>
  <c r="J217" i="55"/>
  <c r="J194" i="55"/>
  <c r="J359" i="55"/>
  <c r="J565" i="55"/>
  <c r="J566" i="55"/>
  <c r="J195" i="55"/>
  <c r="J463" i="55"/>
  <c r="J462" i="55"/>
  <c r="J464" i="55"/>
  <c r="J465" i="55"/>
  <c r="J216" i="55"/>
  <c r="J520" i="55"/>
  <c r="C3491" i="34"/>
  <c r="B3491" i="34" s="1"/>
  <c r="AC3490" i="34"/>
  <c r="K3490" i="34"/>
  <c r="C3490" i="34"/>
  <c r="B3490" i="34" s="1"/>
  <c r="C3489" i="34"/>
  <c r="B3489" i="34" s="1"/>
  <c r="AC3488" i="34"/>
  <c r="K3488" i="34"/>
  <c r="C3488" i="34"/>
  <c r="B3488" i="34" s="1"/>
  <c r="H634" i="55" a="1"/>
  <c r="H634" i="55" s="1"/>
  <c r="F634" i="55" a="1"/>
  <c r="F634" i="55" s="1"/>
  <c r="A634" i="55"/>
  <c r="H446" i="55" a="1"/>
  <c r="H446" i="55" s="1"/>
  <c r="F446" i="55" a="1"/>
  <c r="F446" i="55" s="1"/>
  <c r="A446" i="55"/>
  <c r="H536" i="55" a="1"/>
  <c r="H536" i="55" s="1"/>
  <c r="F536" i="55" a="1"/>
  <c r="F536" i="55" s="1"/>
  <c r="A536" i="55"/>
  <c r="H639" i="55" a="1"/>
  <c r="H639" i="55" s="1"/>
  <c r="F639" i="55" a="1"/>
  <c r="F639" i="55" s="1"/>
  <c r="A639" i="55"/>
  <c r="H268" i="55" a="1"/>
  <c r="H268" i="55" s="1"/>
  <c r="F268" i="55" a="1"/>
  <c r="F268" i="55" s="1"/>
  <c r="A268" i="55"/>
  <c r="H202" i="55" a="1"/>
  <c r="H202" i="55" s="1"/>
  <c r="F202" i="55" a="1"/>
  <c r="F202" i="55" s="1"/>
  <c r="A202" i="55"/>
  <c r="H518" i="55" a="1"/>
  <c r="H518" i="55" s="1"/>
  <c r="F518" i="55" a="1"/>
  <c r="F518" i="55" s="1"/>
  <c r="A518" i="55"/>
  <c r="H114" i="55" a="1"/>
  <c r="H114" i="55" s="1"/>
  <c r="F114" i="55" a="1"/>
  <c r="F114" i="55" s="1"/>
  <c r="A114" i="55"/>
  <c r="H291" i="55" a="1"/>
  <c r="H291" i="55" s="1"/>
  <c r="F291" i="55" a="1"/>
  <c r="F291" i="55" s="1"/>
  <c r="A291" i="55"/>
  <c r="H303" i="55" a="1"/>
  <c r="H303" i="55" s="1"/>
  <c r="F303" i="55" a="1"/>
  <c r="F303" i="55" s="1"/>
  <c r="A303" i="55"/>
  <c r="H305" i="55" a="1"/>
  <c r="H305" i="55" s="1"/>
  <c r="F305" i="55" a="1"/>
  <c r="F305" i="55" s="1"/>
  <c r="A305" i="55"/>
  <c r="C3485" i="34"/>
  <c r="B3485" i="34" s="1"/>
  <c r="AC3484" i="34"/>
  <c r="K3484" i="34"/>
  <c r="C3484" i="34"/>
  <c r="B3484" i="34" s="1"/>
  <c r="C3483" i="34"/>
  <c r="B3483" i="34" s="1"/>
  <c r="AC3482" i="34"/>
  <c r="K3482" i="34"/>
  <c r="C3482" i="34"/>
  <c r="B3482" i="34" s="1"/>
  <c r="J474" i="55" l="1"/>
  <c r="J240" i="55"/>
  <c r="J679" i="55"/>
  <c r="J672" i="55"/>
  <c r="J219" i="55"/>
  <c r="J252" i="55"/>
  <c r="J312" i="55"/>
  <c r="J203" i="55"/>
  <c r="J476" i="55"/>
  <c r="J676" i="55"/>
  <c r="J285" i="55"/>
  <c r="J600" i="55"/>
  <c r="J327" i="55"/>
  <c r="J262" i="55"/>
  <c r="J680" i="55"/>
  <c r="J673" i="55"/>
  <c r="J618" i="55"/>
  <c r="J302" i="55"/>
  <c r="J286" i="55"/>
  <c r="J247" i="55"/>
  <c r="J210" i="55"/>
  <c r="J635" i="55"/>
  <c r="J585" i="55"/>
  <c r="J674" i="55"/>
  <c r="J200" i="55"/>
  <c r="J225" i="55"/>
  <c r="J598" i="55"/>
  <c r="J677" i="55"/>
  <c r="J670" i="55"/>
  <c r="J453" i="55"/>
  <c r="J484" i="55"/>
  <c r="J658" i="55"/>
  <c r="J283" i="55"/>
  <c r="J182" i="55"/>
  <c r="J488" i="55"/>
  <c r="J496" i="55"/>
  <c r="J175" i="55"/>
  <c r="J19" i="55"/>
  <c r="J269" i="55"/>
  <c r="J657" i="55"/>
  <c r="J385" i="55"/>
  <c r="J439" i="55"/>
  <c r="J224" i="55"/>
  <c r="J575" i="55"/>
  <c r="J550" i="55"/>
  <c r="J21" i="55"/>
  <c r="J315" i="55"/>
  <c r="J664" i="55"/>
  <c r="J682" i="55"/>
  <c r="J567" i="55"/>
  <c r="J450" i="55"/>
  <c r="J605" i="55"/>
  <c r="J282" i="55"/>
  <c r="J45" i="55"/>
  <c r="Q3489" i="34"/>
  <c r="U3489" i="34"/>
  <c r="Z3489" i="34"/>
  <c r="O3489" i="34"/>
  <c r="P3489" i="34"/>
  <c r="A3489" i="34"/>
  <c r="Q3491" i="34"/>
  <c r="U3491" i="34"/>
  <c r="Z3491" i="34"/>
  <c r="O3491" i="34"/>
  <c r="P3491" i="34"/>
  <c r="A3491" i="34"/>
  <c r="Q3483" i="34"/>
  <c r="U3483" i="34"/>
  <c r="Z3483" i="34"/>
  <c r="O3483" i="34"/>
  <c r="P3483" i="34"/>
  <c r="A3483" i="34"/>
  <c r="Q3485" i="34"/>
  <c r="U3485" i="34"/>
  <c r="Z3485" i="34"/>
  <c r="O3485" i="34"/>
  <c r="P3485" i="34"/>
  <c r="A3485" i="34"/>
  <c r="Q3482" i="34"/>
  <c r="U3482" i="34"/>
  <c r="Z3482" i="34"/>
  <c r="O3482" i="34"/>
  <c r="P3482" i="34"/>
  <c r="A3482" i="34"/>
  <c r="Q3484" i="34"/>
  <c r="U3484" i="34"/>
  <c r="Z3484" i="34"/>
  <c r="P3484" i="34"/>
  <c r="O3484" i="34"/>
  <c r="A3484" i="34"/>
  <c r="Q3488" i="34"/>
  <c r="U3488" i="34"/>
  <c r="Z3488" i="34"/>
  <c r="P3488" i="34"/>
  <c r="O3488" i="34"/>
  <c r="A3488" i="34"/>
  <c r="Q3490" i="34"/>
  <c r="U3490" i="34"/>
  <c r="Z3490" i="34"/>
  <c r="O3490" i="34"/>
  <c r="P3490" i="34"/>
  <c r="A3490" i="34"/>
  <c r="J313" i="55"/>
  <c r="J23" i="55"/>
  <c r="J341" i="55"/>
  <c r="J298" i="55"/>
  <c r="J304" i="55"/>
  <c r="J308" i="55"/>
  <c r="J26" i="55"/>
  <c r="J259" i="55"/>
  <c r="J486" i="55"/>
  <c r="J533" i="55"/>
  <c r="J188" i="55"/>
  <c r="J284" i="55"/>
  <c r="J178" i="55"/>
  <c r="J310" i="55"/>
  <c r="J654" i="55"/>
  <c r="J406" i="55"/>
  <c r="J314" i="55"/>
  <c r="J684" i="55"/>
  <c r="J281" i="55"/>
  <c r="J27" i="55"/>
  <c r="J258" i="55"/>
  <c r="J500" i="55"/>
  <c r="J333" i="55"/>
  <c r="J436" i="55"/>
  <c r="J665" i="55"/>
  <c r="J614" i="55"/>
  <c r="J619" i="55"/>
  <c r="J246" i="55"/>
  <c r="J241" i="55"/>
  <c r="J229" i="55"/>
  <c r="J351" i="55"/>
  <c r="J369" i="55"/>
  <c r="J507" i="55"/>
  <c r="J509" i="55"/>
  <c r="J612" i="55"/>
  <c r="J668" i="55"/>
  <c r="J548" i="55"/>
  <c r="J621" i="55"/>
  <c r="J435" i="55"/>
  <c r="J546" i="55"/>
  <c r="J622" i="55"/>
  <c r="J300" i="55"/>
  <c r="J650" i="55"/>
  <c r="J514" i="55"/>
  <c r="J297" i="55"/>
  <c r="J235" i="55"/>
  <c r="J273" i="55"/>
  <c r="J512" i="55"/>
  <c r="J571" i="55"/>
  <c r="J183" i="55"/>
  <c r="J328" i="55"/>
  <c r="J537" i="55"/>
  <c r="J291" i="55"/>
  <c r="J114" i="55"/>
  <c r="J536" i="55"/>
  <c r="J634" i="55"/>
  <c r="J639" i="55"/>
  <c r="J202" i="55"/>
  <c r="J446" i="55"/>
  <c r="J518" i="55"/>
  <c r="J268" i="55"/>
  <c r="J305" i="55"/>
  <c r="J303" i="55"/>
  <c r="AC3444" i="34" l="1"/>
  <c r="K3444" i="34"/>
  <c r="C3444" i="34"/>
  <c r="B3444" i="34" s="1"/>
  <c r="AC3445" i="34"/>
  <c r="K3445" i="34"/>
  <c r="C3445" i="34"/>
  <c r="B3445" i="34" s="1"/>
  <c r="C3447" i="34"/>
  <c r="B3447" i="34" s="1"/>
  <c r="AC3446" i="34"/>
  <c r="K3446" i="34"/>
  <c r="C3446" i="34"/>
  <c r="B3446" i="34" s="1"/>
  <c r="Q3447" i="34" l="1"/>
  <c r="U3447" i="34"/>
  <c r="Z3447" i="34"/>
  <c r="O3447" i="34"/>
  <c r="P3447" i="34"/>
  <c r="A3447" i="34"/>
  <c r="Q3444" i="34"/>
  <c r="U3444" i="34"/>
  <c r="Z3444" i="34"/>
  <c r="P3444" i="34"/>
  <c r="O3444" i="34"/>
  <c r="A3444" i="34"/>
  <c r="Q3446" i="34"/>
  <c r="U3446" i="34"/>
  <c r="Z3446" i="34"/>
  <c r="O3446" i="34"/>
  <c r="P3446" i="34"/>
  <c r="A3446" i="34"/>
  <c r="Q3445" i="34"/>
  <c r="U3445" i="34"/>
  <c r="Z3445" i="34"/>
  <c r="O3445" i="34"/>
  <c r="P3445" i="34"/>
  <c r="A3445" i="34"/>
  <c r="C3554" i="34"/>
  <c r="B3554" i="34" s="1"/>
  <c r="AC3553" i="34"/>
  <c r="K3553" i="34"/>
  <c r="C3553" i="34"/>
  <c r="B3553" i="34" s="1"/>
  <c r="AC3552" i="34"/>
  <c r="K3552" i="34"/>
  <c r="C3552" i="34"/>
  <c r="B3552" i="34" s="1"/>
  <c r="AC3551" i="34"/>
  <c r="K3551" i="34"/>
  <c r="C3551" i="34"/>
  <c r="B3551" i="34" s="1"/>
  <c r="AC3550" i="34"/>
  <c r="K3550" i="34"/>
  <c r="C3550" i="34"/>
  <c r="B3550" i="34" s="1"/>
  <c r="AC3549" i="34"/>
  <c r="K3549" i="34"/>
  <c r="C3549" i="34"/>
  <c r="B3549" i="34" s="1"/>
  <c r="Q3553" i="34" l="1"/>
  <c r="U3553" i="34"/>
  <c r="Z3553" i="34"/>
  <c r="O3553" i="34"/>
  <c r="P3553" i="34"/>
  <c r="A3553" i="34"/>
  <c r="Q3552" i="34"/>
  <c r="U3552" i="34"/>
  <c r="Z3552" i="34"/>
  <c r="O3552" i="34"/>
  <c r="P3552" i="34"/>
  <c r="A3552" i="34"/>
  <c r="Q3551" i="34"/>
  <c r="U3551" i="34"/>
  <c r="Z3551" i="34"/>
  <c r="P3551" i="34"/>
  <c r="O3551" i="34"/>
  <c r="A3551" i="34"/>
  <c r="Q3549" i="34"/>
  <c r="U3549" i="34"/>
  <c r="Z3549" i="34"/>
  <c r="O3549" i="34"/>
  <c r="P3549" i="34"/>
  <c r="A3549" i="34"/>
  <c r="Q3550" i="34"/>
  <c r="U3550" i="34"/>
  <c r="Z3550" i="34"/>
  <c r="O3550" i="34"/>
  <c r="P3550" i="34"/>
  <c r="A3550" i="34"/>
  <c r="Q3554" i="34"/>
  <c r="U3554" i="34"/>
  <c r="Z3554" i="34"/>
  <c r="O3554" i="34"/>
  <c r="P3554" i="34"/>
  <c r="A3554" i="34"/>
  <c r="B4334" i="34"/>
  <c r="K4334" i="34"/>
  <c r="B4335" i="34"/>
  <c r="K4335" i="34"/>
  <c r="B4336" i="34"/>
  <c r="K4336" i="34"/>
  <c r="O4335" i="34" l="1"/>
  <c r="P4335" i="34"/>
  <c r="Q4335" i="34"/>
  <c r="U4335" i="34"/>
  <c r="Z4335" i="34"/>
  <c r="A4335" i="34"/>
  <c r="O4336" i="34"/>
  <c r="P4336" i="34"/>
  <c r="Q4336" i="34"/>
  <c r="U4336" i="34"/>
  <c r="Z4336" i="34"/>
  <c r="A4336" i="34"/>
  <c r="O4334" i="34"/>
  <c r="P4334" i="34"/>
  <c r="Q4334" i="34"/>
  <c r="U4334" i="34"/>
  <c r="Z4334" i="34"/>
  <c r="A4334" i="34"/>
  <c r="N4761" i="34"/>
  <c r="R4761" i="34"/>
  <c r="S4761" i="34"/>
  <c r="T4761" i="34"/>
  <c r="V4761" i="34"/>
  <c r="W4761" i="34"/>
  <c r="X4761" i="34"/>
  <c r="N4762" i="34"/>
  <c r="R4762" i="34"/>
  <c r="S4762" i="34"/>
  <c r="T4762" i="34"/>
  <c r="V4762" i="34"/>
  <c r="W4762" i="34"/>
  <c r="X4762" i="34"/>
  <c r="N4763" i="34"/>
  <c r="R4763" i="34"/>
  <c r="S4763" i="34"/>
  <c r="T4763" i="34"/>
  <c r="V4763" i="34"/>
  <c r="W4763" i="34"/>
  <c r="X4763" i="34"/>
  <c r="N4764" i="34"/>
  <c r="R4764" i="34"/>
  <c r="S4764" i="34"/>
  <c r="T4764" i="34"/>
  <c r="V4764" i="34"/>
  <c r="W4764" i="34"/>
  <c r="X4764" i="34"/>
  <c r="N4765" i="34"/>
  <c r="R4765" i="34"/>
  <c r="S4765" i="34"/>
  <c r="T4765" i="34"/>
  <c r="V4765" i="34"/>
  <c r="W4765" i="34"/>
  <c r="X4765" i="34"/>
  <c r="N4766" i="34"/>
  <c r="R4766" i="34"/>
  <c r="S4766" i="34"/>
  <c r="T4766" i="34"/>
  <c r="V4766" i="34"/>
  <c r="W4766" i="34"/>
  <c r="X4766" i="34"/>
  <c r="N4767" i="34"/>
  <c r="R4767" i="34"/>
  <c r="S4767" i="34"/>
  <c r="T4767" i="34"/>
  <c r="V4767" i="34"/>
  <c r="W4767" i="34"/>
  <c r="X4767" i="34"/>
  <c r="N4768" i="34"/>
  <c r="R4768" i="34"/>
  <c r="S4768" i="34"/>
  <c r="T4768" i="34"/>
  <c r="V4768" i="34"/>
  <c r="W4768" i="34"/>
  <c r="X4768" i="34"/>
  <c r="N4769" i="34"/>
  <c r="R4769" i="34"/>
  <c r="S4769" i="34"/>
  <c r="T4769" i="34"/>
  <c r="V4769" i="34"/>
  <c r="W4769" i="34"/>
  <c r="X4769" i="34"/>
  <c r="N4770" i="34"/>
  <c r="R4770" i="34"/>
  <c r="S4770" i="34"/>
  <c r="T4770" i="34"/>
  <c r="V4770" i="34"/>
  <c r="W4770" i="34"/>
  <c r="X4770" i="34"/>
  <c r="N4771" i="34"/>
  <c r="R4771" i="34"/>
  <c r="S4771" i="34"/>
  <c r="T4771" i="34"/>
  <c r="V4771" i="34"/>
  <c r="W4771" i="34"/>
  <c r="X4771" i="34"/>
  <c r="N4772" i="34"/>
  <c r="R4772" i="34"/>
  <c r="S4772" i="34"/>
  <c r="T4772" i="34"/>
  <c r="V4772" i="34"/>
  <c r="W4772" i="34"/>
  <c r="X4772" i="34"/>
  <c r="N4773" i="34"/>
  <c r="R4773" i="34"/>
  <c r="S4773" i="34"/>
  <c r="T4773" i="34"/>
  <c r="V4773" i="34"/>
  <c r="W4773" i="34"/>
  <c r="X4773" i="34"/>
  <c r="C127" i="34"/>
  <c r="B127" i="34" s="1"/>
  <c r="C126" i="34"/>
  <c r="B126" i="34" s="1"/>
  <c r="K125" i="34"/>
  <c r="K127" i="34" s="1"/>
  <c r="C125" i="34"/>
  <c r="B125" i="34" s="1"/>
  <c r="K124" i="34"/>
  <c r="K126" i="34" s="1"/>
  <c r="C124" i="34"/>
  <c r="B124" i="34" s="1"/>
  <c r="K123" i="34"/>
  <c r="C123" i="34"/>
  <c r="B123" i="34" s="1"/>
  <c r="K122" i="34"/>
  <c r="C122" i="34"/>
  <c r="B122" i="34" s="1"/>
  <c r="K121" i="34"/>
  <c r="C121" i="34"/>
  <c r="B121" i="34" s="1"/>
  <c r="K120" i="34"/>
  <c r="C120" i="34"/>
  <c r="B120" i="34" s="1"/>
  <c r="K119" i="34"/>
  <c r="C119" i="34"/>
  <c r="B119" i="34" s="1"/>
  <c r="K118" i="34"/>
  <c r="C118" i="34"/>
  <c r="B118" i="34" s="1"/>
  <c r="K117" i="34"/>
  <c r="C117" i="34"/>
  <c r="B117" i="34" s="1"/>
  <c r="K116" i="34"/>
  <c r="C116" i="34"/>
  <c r="B116" i="34" s="1"/>
  <c r="C115" i="34"/>
  <c r="B115" i="34" s="1"/>
  <c r="C114" i="34"/>
  <c r="B114" i="34" s="1"/>
  <c r="C113" i="34"/>
  <c r="B113" i="34" s="1"/>
  <c r="K4315" i="34"/>
  <c r="K4314" i="34"/>
  <c r="K4313" i="34"/>
  <c r="K4312" i="34"/>
  <c r="K4311" i="34"/>
  <c r="K4310" i="34"/>
  <c r="K4309" i="34"/>
  <c r="K4308" i="34"/>
  <c r="K4307" i="34"/>
  <c r="K4306" i="34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C4315" i="34"/>
  <c r="B4315" i="34" s="1"/>
  <c r="C4314" i="34"/>
  <c r="B4314" i="34" s="1"/>
  <c r="C4313" i="34"/>
  <c r="B4313" i="34" s="1"/>
  <c r="C4312" i="34"/>
  <c r="B4312" i="34" s="1"/>
  <c r="C4311" i="34"/>
  <c r="B4311" i="34" s="1"/>
  <c r="C4310" i="34"/>
  <c r="B4310" i="34" s="1"/>
  <c r="C4309" i="34"/>
  <c r="B4309" i="34" s="1"/>
  <c r="C4308" i="34"/>
  <c r="B4308" i="34" s="1"/>
  <c r="C4307" i="34"/>
  <c r="B4307" i="34" s="1"/>
  <c r="C4306" i="34"/>
  <c r="B4306" i="34" s="1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C4291" i="34"/>
  <c r="C4292" i="34"/>
  <c r="C4293" i="34"/>
  <c r="C4294" i="34"/>
  <c r="C4295" i="34"/>
  <c r="C4296" i="34"/>
  <c r="C4297" i="34"/>
  <c r="C4298" i="34"/>
  <c r="C4299" i="34"/>
  <c r="C4300" i="34"/>
  <c r="C4301" i="34"/>
  <c r="C4302" i="34"/>
  <c r="C4303" i="34"/>
  <c r="C4304" i="34"/>
  <c r="C4305" i="34"/>
  <c r="C4321" i="34"/>
  <c r="C4322" i="34"/>
  <c r="C4323" i="34"/>
  <c r="C4324" i="34"/>
  <c r="C4325" i="34"/>
  <c r="C4326" i="34"/>
  <c r="C4327" i="34"/>
  <c r="C4328" i="34"/>
  <c r="C4329" i="34"/>
  <c r="C4330" i="34"/>
  <c r="C4331" i="34"/>
  <c r="C4332" i="34"/>
  <c r="C4333" i="34"/>
  <c r="C4320" i="34"/>
  <c r="K4333" i="34"/>
  <c r="K4332" i="34"/>
  <c r="K4331" i="34"/>
  <c r="K4330" i="34"/>
  <c r="K4329" i="34"/>
  <c r="K4328" i="34"/>
  <c r="K4327" i="34"/>
  <c r="K4326" i="34"/>
  <c r="K4325" i="34"/>
  <c r="K4324" i="34"/>
  <c r="K4323" i="34"/>
  <c r="K4322" i="34"/>
  <c r="K4321" i="34"/>
  <c r="K4320" i="34"/>
  <c r="R158" i="60"/>
  <c r="R159" i="60"/>
  <c r="R160" i="60"/>
  <c r="R161" i="60"/>
  <c r="R162" i="60"/>
  <c r="R163" i="60"/>
  <c r="R164" i="60"/>
  <c r="R165" i="60"/>
  <c r="R166" i="60"/>
  <c r="R167" i="60"/>
  <c r="R168" i="60"/>
  <c r="R169" i="60"/>
  <c r="R170" i="60"/>
  <c r="R157" i="60"/>
  <c r="AC3503" i="34"/>
  <c r="AC3504" i="34"/>
  <c r="AC3505" i="34"/>
  <c r="AC3506" i="34"/>
  <c r="AC3508" i="34"/>
  <c r="AC3509" i="34"/>
  <c r="AC3510" i="34"/>
  <c r="AC3511" i="34"/>
  <c r="AC3512" i="34"/>
  <c r="AC3513" i="34"/>
  <c r="AC3514" i="34"/>
  <c r="AC3515" i="34"/>
  <c r="AC3516" i="34"/>
  <c r="AC3517" i="34"/>
  <c r="K3516" i="34"/>
  <c r="C3516" i="34"/>
  <c r="B3516" i="34" s="1"/>
  <c r="K3515" i="34"/>
  <c r="C3515" i="34"/>
  <c r="B3515" i="34" s="1"/>
  <c r="K3509" i="34"/>
  <c r="C3509" i="34"/>
  <c r="B3509" i="34" s="1"/>
  <c r="K3508" i="34"/>
  <c r="C3508" i="34"/>
  <c r="B3508" i="34" s="1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O4308" i="34" l="1"/>
  <c r="P4308" i="34"/>
  <c r="Q4308" i="34"/>
  <c r="U4308" i="34"/>
  <c r="Z4308" i="34"/>
  <c r="A4308" i="34"/>
  <c r="O4312" i="34"/>
  <c r="P4312" i="34"/>
  <c r="Q4312" i="34"/>
  <c r="U4312" i="34"/>
  <c r="Z4312" i="34"/>
  <c r="A4312" i="34"/>
  <c r="O4316" i="34"/>
  <c r="P4316" i="34"/>
  <c r="Q4316" i="34"/>
  <c r="U4316" i="34"/>
  <c r="Z4316" i="34"/>
  <c r="A4316" i="34"/>
  <c r="O4318" i="34"/>
  <c r="P4318" i="34"/>
  <c r="Q4318" i="34"/>
  <c r="U4318" i="34"/>
  <c r="Z4318" i="34"/>
  <c r="A4318" i="34"/>
  <c r="Q115" i="34"/>
  <c r="U115" i="34"/>
  <c r="Z115" i="34"/>
  <c r="O115" i="34"/>
  <c r="P115" i="34"/>
  <c r="A115" i="34"/>
  <c r="O3515" i="34"/>
  <c r="P3515" i="34"/>
  <c r="Q3515" i="34"/>
  <c r="U3515" i="34"/>
  <c r="Z3515" i="34"/>
  <c r="A3515" i="34"/>
  <c r="O3506" i="34"/>
  <c r="P3506" i="34"/>
  <c r="Q3506" i="34"/>
  <c r="U3506" i="34"/>
  <c r="Z3506" i="34"/>
  <c r="A3506" i="34"/>
  <c r="O4309" i="34"/>
  <c r="P4309" i="34"/>
  <c r="Q4309" i="34"/>
  <c r="U4309" i="34"/>
  <c r="Z4309" i="34"/>
  <c r="A4309" i="34"/>
  <c r="O4313" i="34"/>
  <c r="P4313" i="34"/>
  <c r="Q4313" i="34"/>
  <c r="U4313" i="34"/>
  <c r="Z4313" i="34"/>
  <c r="A4313" i="34"/>
  <c r="Q116" i="34"/>
  <c r="U116" i="34"/>
  <c r="Z116" i="34"/>
  <c r="O116" i="34"/>
  <c r="P116" i="34"/>
  <c r="A116" i="34"/>
  <c r="Q118" i="34"/>
  <c r="U118" i="34"/>
  <c r="Z118" i="34"/>
  <c r="O118" i="34"/>
  <c r="P118" i="34"/>
  <c r="A118" i="34"/>
  <c r="Q120" i="34"/>
  <c r="U120" i="34"/>
  <c r="Z120" i="34"/>
  <c r="O120" i="34"/>
  <c r="P120" i="34"/>
  <c r="A120" i="34"/>
  <c r="Q122" i="34"/>
  <c r="U122" i="34"/>
  <c r="Z122" i="34"/>
  <c r="O122" i="34"/>
  <c r="P122" i="34"/>
  <c r="A122" i="34"/>
  <c r="Q124" i="34"/>
  <c r="U124" i="34"/>
  <c r="Z124" i="34"/>
  <c r="O124" i="34"/>
  <c r="P124" i="34"/>
  <c r="A124" i="34"/>
  <c r="Q126" i="34"/>
  <c r="U126" i="34"/>
  <c r="Z126" i="34"/>
  <c r="O126" i="34"/>
  <c r="P126" i="34"/>
  <c r="A126" i="34"/>
  <c r="O3508" i="34"/>
  <c r="P3508" i="34"/>
  <c r="Q3508" i="34"/>
  <c r="U3508" i="34"/>
  <c r="Z3508" i="34"/>
  <c r="A3508" i="34"/>
  <c r="O3504" i="34"/>
  <c r="P3504" i="34"/>
  <c r="Q3504" i="34"/>
  <c r="U3504" i="34"/>
  <c r="Z3504" i="34"/>
  <c r="A3504" i="34"/>
  <c r="O3509" i="34"/>
  <c r="P3509" i="34"/>
  <c r="Q3509" i="34"/>
  <c r="U3509" i="34"/>
  <c r="Z3509" i="34"/>
  <c r="A3509" i="34"/>
  <c r="O3516" i="34"/>
  <c r="P3516" i="34"/>
  <c r="Q3516" i="34"/>
  <c r="U3516" i="34"/>
  <c r="Z3516" i="34"/>
  <c r="A3516" i="34"/>
  <c r="O3503" i="34"/>
  <c r="P3503" i="34"/>
  <c r="Q3503" i="34"/>
  <c r="U3503" i="34"/>
  <c r="Z3503" i="34"/>
  <c r="A3503" i="34"/>
  <c r="O3505" i="34"/>
  <c r="P3505" i="34"/>
  <c r="Q3505" i="34"/>
  <c r="U3505" i="34"/>
  <c r="Z3505" i="34"/>
  <c r="A3505" i="34"/>
  <c r="O3507" i="34"/>
  <c r="P3507" i="34"/>
  <c r="Q3507" i="34"/>
  <c r="U3507" i="34"/>
  <c r="Z3507" i="34"/>
  <c r="A3507" i="34"/>
  <c r="O4306" i="34"/>
  <c r="P4306" i="34"/>
  <c r="Q4306" i="34"/>
  <c r="U4306" i="34"/>
  <c r="Z4306" i="34"/>
  <c r="A4306" i="34"/>
  <c r="O4310" i="34"/>
  <c r="P4310" i="34"/>
  <c r="Q4310" i="34"/>
  <c r="U4310" i="34"/>
  <c r="Z4310" i="34"/>
  <c r="A4310" i="34"/>
  <c r="O4314" i="34"/>
  <c r="P4314" i="34"/>
  <c r="Q4314" i="34"/>
  <c r="U4314" i="34"/>
  <c r="Z4314" i="34"/>
  <c r="A4314" i="34"/>
  <c r="O4317" i="34"/>
  <c r="P4317" i="34"/>
  <c r="Q4317" i="34"/>
  <c r="U4317" i="34"/>
  <c r="Z4317" i="34"/>
  <c r="A4317" i="34"/>
  <c r="O4319" i="34"/>
  <c r="P4319" i="34"/>
  <c r="Q4319" i="34"/>
  <c r="U4319" i="34"/>
  <c r="Z4319" i="34"/>
  <c r="A4319" i="34"/>
  <c r="Q113" i="34"/>
  <c r="U113" i="34"/>
  <c r="Z113" i="34"/>
  <c r="O113" i="34"/>
  <c r="P113" i="34"/>
  <c r="A113" i="34"/>
  <c r="Q127" i="34"/>
  <c r="U127" i="34"/>
  <c r="Z127" i="34"/>
  <c r="P127" i="34"/>
  <c r="O127" i="34"/>
  <c r="A127" i="34"/>
  <c r="O4307" i="34"/>
  <c r="P4307" i="34"/>
  <c r="Q4307" i="34"/>
  <c r="U4307" i="34"/>
  <c r="Z4307" i="34"/>
  <c r="A4307" i="34"/>
  <c r="O4311" i="34"/>
  <c r="P4311" i="34"/>
  <c r="Q4311" i="34"/>
  <c r="U4311" i="34"/>
  <c r="Z4311" i="34"/>
  <c r="A4311" i="34"/>
  <c r="O4315" i="34"/>
  <c r="P4315" i="34"/>
  <c r="Q4315" i="34"/>
  <c r="U4315" i="34"/>
  <c r="Z4315" i="34"/>
  <c r="A4315" i="34"/>
  <c r="Q114" i="34"/>
  <c r="U114" i="34"/>
  <c r="Z114" i="34"/>
  <c r="O114" i="34"/>
  <c r="P114" i="34"/>
  <c r="A114" i="34"/>
  <c r="Q117" i="34"/>
  <c r="U117" i="34"/>
  <c r="Z117" i="34"/>
  <c r="O117" i="34"/>
  <c r="P117" i="34"/>
  <c r="A117" i="34"/>
  <c r="Q119" i="34"/>
  <c r="U119" i="34"/>
  <c r="Z119" i="34"/>
  <c r="P119" i="34"/>
  <c r="O119" i="34"/>
  <c r="A119" i="34"/>
  <c r="Q121" i="34"/>
  <c r="U121" i="34"/>
  <c r="Z121" i="34"/>
  <c r="O121" i="34"/>
  <c r="P121" i="34"/>
  <c r="A121" i="34"/>
  <c r="Q123" i="34"/>
  <c r="U123" i="34"/>
  <c r="Z123" i="34"/>
  <c r="P123" i="34"/>
  <c r="O123" i="34"/>
  <c r="A123" i="34"/>
  <c r="Q125" i="34"/>
  <c r="U125" i="34"/>
  <c r="Z125" i="34"/>
  <c r="O125" i="34"/>
  <c r="P125" i="34"/>
  <c r="A125" i="34"/>
  <c r="K4287" i="34"/>
  <c r="C4287" i="34"/>
  <c r="B4287" i="34" s="1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8" i="34"/>
  <c r="K4289" i="34"/>
  <c r="K4290" i="34"/>
  <c r="C4245" i="34"/>
  <c r="C4246" i="34"/>
  <c r="C4247" i="34"/>
  <c r="C4248" i="34"/>
  <c r="C4249" i="34"/>
  <c r="C4250" i="34"/>
  <c r="C4251" i="34"/>
  <c r="C4252" i="34"/>
  <c r="C4253" i="34"/>
  <c r="C4254" i="34"/>
  <c r="C4255" i="34"/>
  <c r="C4256" i="34"/>
  <c r="C4257" i="34"/>
  <c r="C4258" i="34"/>
  <c r="C4259" i="34"/>
  <c r="C4260" i="34"/>
  <c r="C4261" i="34"/>
  <c r="C4262" i="34"/>
  <c r="C4263" i="34"/>
  <c r="C4264" i="34"/>
  <c r="C4265" i="34"/>
  <c r="C4266" i="34"/>
  <c r="C4267" i="34"/>
  <c r="C4268" i="34"/>
  <c r="C4269" i="34"/>
  <c r="C4270" i="34"/>
  <c r="C4271" i="34"/>
  <c r="C4272" i="34"/>
  <c r="C4273" i="34"/>
  <c r="C4274" i="34"/>
  <c r="C4275" i="34"/>
  <c r="C4276" i="34"/>
  <c r="C4277" i="34"/>
  <c r="C4278" i="34"/>
  <c r="C4279" i="34"/>
  <c r="C4280" i="34"/>
  <c r="C4281" i="34"/>
  <c r="C4282" i="34"/>
  <c r="C4283" i="34"/>
  <c r="C4284" i="34"/>
  <c r="C4285" i="34"/>
  <c r="C4286" i="34"/>
  <c r="C4288" i="34"/>
  <c r="C4289" i="34"/>
  <c r="C4290" i="34"/>
  <c r="C4244" i="34"/>
  <c r="K4263" i="34"/>
  <c r="K4262" i="34"/>
  <c r="K4261" i="34"/>
  <c r="K4260" i="34"/>
  <c r="K4259" i="34"/>
  <c r="K4258" i="34"/>
  <c r="K4257" i="34"/>
  <c r="K4256" i="34"/>
  <c r="K4255" i="34"/>
  <c r="K4254" i="34"/>
  <c r="K4253" i="34"/>
  <c r="K4252" i="34"/>
  <c r="K4251" i="34"/>
  <c r="K4250" i="34"/>
  <c r="K4249" i="34"/>
  <c r="K4248" i="34"/>
  <c r="K4247" i="34"/>
  <c r="K4246" i="34"/>
  <c r="K4245" i="34"/>
  <c r="K4244" i="34"/>
  <c r="C528" i="74"/>
  <c r="C524" i="74"/>
  <c r="O4287" i="34" l="1"/>
  <c r="P4287" i="34"/>
  <c r="Q4287" i="34"/>
  <c r="U4287" i="34"/>
  <c r="Z4287" i="34"/>
  <c r="A4287" i="34"/>
  <c r="C525" i="74"/>
  <c r="C523" i="74"/>
  <c r="C520" i="74"/>
  <c r="C527" i="74"/>
  <c r="C522" i="74"/>
  <c r="C521" i="74"/>
  <c r="C498" i="74"/>
  <c r="C496" i="74"/>
  <c r="C494" i="74"/>
  <c r="C492" i="74"/>
  <c r="C489" i="74"/>
  <c r="AC3467" i="34" l="1"/>
  <c r="K3467" i="34"/>
  <c r="C3467" i="34"/>
  <c r="B3467" i="34" s="1"/>
  <c r="AC3466" i="34"/>
  <c r="K3466" i="34"/>
  <c r="C3466" i="34"/>
  <c r="B3466" i="34" s="1"/>
  <c r="AC3465" i="34"/>
  <c r="K3465" i="34"/>
  <c r="C3465" i="34"/>
  <c r="B3465" i="34" s="1"/>
  <c r="AC3464" i="34"/>
  <c r="K3464" i="34"/>
  <c r="C3464" i="34"/>
  <c r="B3464" i="34" s="1"/>
  <c r="AC3463" i="34"/>
  <c r="K3463" i="34"/>
  <c r="C3463" i="34"/>
  <c r="B3463" i="34" s="1"/>
  <c r="AC3462" i="34"/>
  <c r="K3462" i="34"/>
  <c r="C3462" i="34"/>
  <c r="B3462" i="34" s="1"/>
  <c r="AC3461" i="34"/>
  <c r="K3461" i="34"/>
  <c r="C3461" i="34"/>
  <c r="B3461" i="34" s="1"/>
  <c r="AC3460" i="34"/>
  <c r="K3460" i="34"/>
  <c r="C3460" i="34"/>
  <c r="B3460" i="34" s="1"/>
  <c r="K3469" i="34"/>
  <c r="K3470" i="34"/>
  <c r="K3471" i="34"/>
  <c r="K3468" i="34"/>
  <c r="AC3471" i="34"/>
  <c r="C3471" i="34"/>
  <c r="B3471" i="34" s="1"/>
  <c r="AC3470" i="34"/>
  <c r="C3470" i="34"/>
  <c r="B3470" i="34" s="1"/>
  <c r="AC3469" i="34"/>
  <c r="C3469" i="34"/>
  <c r="B3469" i="34" s="1"/>
  <c r="AC3468" i="34"/>
  <c r="C3468" i="34"/>
  <c r="B3468" i="34" s="1"/>
  <c r="H265" i="55" a="1"/>
  <c r="H265" i="55" s="1"/>
  <c r="F265" i="55" a="1"/>
  <c r="F265" i="55" s="1"/>
  <c r="A265" i="55"/>
  <c r="H263" i="55" a="1"/>
  <c r="H263" i="55" s="1"/>
  <c r="F263" i="55" a="1"/>
  <c r="F263" i="55" s="1"/>
  <c r="A263" i="55"/>
  <c r="H551" i="55" a="1"/>
  <c r="H551" i="55" s="1"/>
  <c r="F551" i="55" a="1"/>
  <c r="F551" i="55" s="1"/>
  <c r="A551" i="55"/>
  <c r="H538" i="55" a="1"/>
  <c r="H538" i="55" s="1"/>
  <c r="F538" i="55" a="1"/>
  <c r="F538" i="55" s="1"/>
  <c r="A538" i="55"/>
  <c r="H455" i="55" a="1"/>
  <c r="H455" i="55" s="1"/>
  <c r="F455" i="55" a="1"/>
  <c r="F455" i="55" s="1"/>
  <c r="A455" i="55"/>
  <c r="H458" i="55" a="1"/>
  <c r="H458" i="55" s="1"/>
  <c r="F458" i="55" a="1"/>
  <c r="F458" i="55" s="1"/>
  <c r="A458" i="55"/>
  <c r="H470" i="55" a="1"/>
  <c r="H470" i="55" s="1"/>
  <c r="F470" i="55" a="1"/>
  <c r="F470" i="55" s="1"/>
  <c r="A470" i="55"/>
  <c r="H440" i="55" a="1"/>
  <c r="H440" i="55" s="1"/>
  <c r="F440" i="55" a="1"/>
  <c r="F440" i="55" s="1"/>
  <c r="A440" i="55"/>
  <c r="H431" i="55" a="1"/>
  <c r="H431" i="55" s="1"/>
  <c r="F431" i="55" a="1"/>
  <c r="F431" i="55" s="1"/>
  <c r="A431" i="55"/>
  <c r="H549" i="55" a="1"/>
  <c r="H549" i="55" s="1"/>
  <c r="F549" i="55" a="1"/>
  <c r="F549" i="55" s="1"/>
  <c r="A549" i="55"/>
  <c r="H454" i="55" a="1"/>
  <c r="H454" i="55" s="1"/>
  <c r="F454" i="55" a="1"/>
  <c r="F454" i="55" s="1"/>
  <c r="A454" i="55"/>
  <c r="H404" i="55" a="1"/>
  <c r="H404" i="55" s="1"/>
  <c r="F404" i="55" a="1"/>
  <c r="F404" i="55" s="1"/>
  <c r="A404" i="55"/>
  <c r="H387" i="55" a="1"/>
  <c r="H387" i="55" s="1"/>
  <c r="F387" i="55" a="1"/>
  <c r="F387" i="55" s="1"/>
  <c r="A387" i="55"/>
  <c r="H389" i="55" a="1"/>
  <c r="H389" i="55" s="1"/>
  <c r="F389" i="55" a="1"/>
  <c r="F389" i="55" s="1"/>
  <c r="A389" i="55"/>
  <c r="H370" i="55" a="1"/>
  <c r="H370" i="55" s="1"/>
  <c r="F370" i="55" a="1"/>
  <c r="F370" i="55" s="1"/>
  <c r="A370" i="55"/>
  <c r="H416" i="55" a="1"/>
  <c r="H416" i="55" s="1"/>
  <c r="F416" i="55" a="1"/>
  <c r="F416" i="55" s="1"/>
  <c r="A416" i="55"/>
  <c r="H563" i="55" a="1"/>
  <c r="H563" i="55" s="1"/>
  <c r="F563" i="55" a="1"/>
  <c r="F563" i="55" s="1"/>
  <c r="A563" i="55"/>
  <c r="H554" i="55" a="1"/>
  <c r="H554" i="55" s="1"/>
  <c r="F554" i="55" a="1"/>
  <c r="F554" i="55" s="1"/>
  <c r="A554" i="55"/>
  <c r="H667" i="55" a="1"/>
  <c r="H667" i="55" s="1"/>
  <c r="F667" i="55" a="1"/>
  <c r="F667" i="55" s="1"/>
  <c r="A667" i="55"/>
  <c r="H666" i="55" a="1"/>
  <c r="H666" i="55" s="1"/>
  <c r="F666" i="55" a="1"/>
  <c r="F666" i="55" s="1"/>
  <c r="A666" i="55"/>
  <c r="H234" i="55" a="1"/>
  <c r="H234" i="55" s="1"/>
  <c r="F234" i="55" a="1"/>
  <c r="F234" i="55" s="1"/>
  <c r="A234" i="55"/>
  <c r="H233" i="55" a="1"/>
  <c r="H233" i="55" s="1"/>
  <c r="F233" i="55" a="1"/>
  <c r="F233" i="55" s="1"/>
  <c r="A233" i="55"/>
  <c r="H58" i="55" a="1"/>
  <c r="H58" i="55" s="1"/>
  <c r="F58" i="55" a="1"/>
  <c r="F58" i="55" s="1"/>
  <c r="A58" i="55"/>
  <c r="H69" i="55" a="1"/>
  <c r="H69" i="55" s="1"/>
  <c r="F69" i="55" a="1"/>
  <c r="F69" i="55" s="1"/>
  <c r="A69" i="55"/>
  <c r="H20" i="55" a="1"/>
  <c r="H20" i="55" s="1"/>
  <c r="F20" i="55" a="1"/>
  <c r="F20" i="55" s="1"/>
  <c r="A20" i="55"/>
  <c r="H473" i="55" a="1"/>
  <c r="H473" i="55" s="1"/>
  <c r="F473" i="55" a="1"/>
  <c r="F473" i="55" s="1"/>
  <c r="A473" i="55"/>
  <c r="H232" i="55" a="1"/>
  <c r="H232" i="55" s="1"/>
  <c r="F232" i="55" a="1"/>
  <c r="F232" i="55" s="1"/>
  <c r="A232" i="55"/>
  <c r="H502" i="55" a="1"/>
  <c r="H502" i="55" s="1"/>
  <c r="F502" i="55" a="1"/>
  <c r="F502" i="55" s="1"/>
  <c r="A502" i="55"/>
  <c r="AC3959" i="34"/>
  <c r="AC3958" i="34"/>
  <c r="AC3957" i="34"/>
  <c r="AC3956" i="34"/>
  <c r="AC3955" i="34"/>
  <c r="AC3954" i="34"/>
  <c r="AC3953" i="34"/>
  <c r="AC3952" i="34"/>
  <c r="AC3951" i="34"/>
  <c r="AC3950" i="34"/>
  <c r="AC3949" i="34"/>
  <c r="AC3948" i="34"/>
  <c r="AC3947" i="34"/>
  <c r="AC3946" i="34"/>
  <c r="AC3945" i="34"/>
  <c r="AC3944" i="34"/>
  <c r="AC3943" i="34"/>
  <c r="AC3929" i="34"/>
  <c r="AC3928" i="34"/>
  <c r="AC3927" i="34"/>
  <c r="AC3926" i="34"/>
  <c r="AC3924" i="34"/>
  <c r="AC3923" i="34"/>
  <c r="AC3921" i="34"/>
  <c r="AC3920" i="34"/>
  <c r="AC3918" i="34"/>
  <c r="AC3917" i="34"/>
  <c r="K3920" i="34"/>
  <c r="K3921" i="34"/>
  <c r="K3923" i="34"/>
  <c r="K3924" i="34"/>
  <c r="K3926" i="34"/>
  <c r="K3927" i="34"/>
  <c r="K3928" i="34"/>
  <c r="K3929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1" i="34"/>
  <c r="K3962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3918" i="34"/>
  <c r="K3917" i="34"/>
  <c r="AC3501" i="34"/>
  <c r="AC3500" i="34"/>
  <c r="AC3498" i="34"/>
  <c r="AC3494" i="34"/>
  <c r="AC3493" i="34"/>
  <c r="AC3492" i="34"/>
  <c r="AC3476" i="34"/>
  <c r="AC3480" i="34"/>
  <c r="AC3478" i="34"/>
  <c r="AC3474" i="34"/>
  <c r="AC3473" i="34"/>
  <c r="AC3455" i="34"/>
  <c r="AC3454" i="34"/>
  <c r="AC3453" i="34"/>
  <c r="AC3458" i="34"/>
  <c r="AC3457" i="34"/>
  <c r="AC3452" i="34"/>
  <c r="AC3451" i="34"/>
  <c r="AC3450" i="34"/>
  <c r="AC3442" i="34"/>
  <c r="AC3448" i="34"/>
  <c r="AC3438" i="34"/>
  <c r="AC3440" i="34"/>
  <c r="AC3434" i="34"/>
  <c r="AC3436" i="34"/>
  <c r="AC3432" i="34"/>
  <c r="AC3430" i="34"/>
  <c r="AC3428" i="34"/>
  <c r="AC3426" i="34"/>
  <c r="AC3424" i="34"/>
  <c r="AC3420" i="34"/>
  <c r="AC3422" i="34"/>
  <c r="AC3418" i="34"/>
  <c r="H309" i="55" a="1"/>
  <c r="H309" i="55" s="1"/>
  <c r="F309" i="55" a="1"/>
  <c r="F309" i="55" s="1"/>
  <c r="A309" i="55"/>
  <c r="H278" i="55" a="1"/>
  <c r="H278" i="55" s="1"/>
  <c r="F278" i="55" a="1"/>
  <c r="F278" i="55" s="1"/>
  <c r="A278" i="55"/>
  <c r="H275" i="55" a="1"/>
  <c r="H275" i="55" s="1"/>
  <c r="F275" i="55" a="1"/>
  <c r="F275" i="55" s="1"/>
  <c r="A275" i="55"/>
  <c r="H189" i="55" a="1"/>
  <c r="H189" i="55" s="1"/>
  <c r="F189" i="55" a="1"/>
  <c r="F189" i="55" s="1"/>
  <c r="A189" i="55"/>
  <c r="H179" i="55" a="1"/>
  <c r="H179" i="55" s="1"/>
  <c r="F179" i="55" a="1"/>
  <c r="F179" i="55" s="1"/>
  <c r="A179" i="55"/>
  <c r="H449" i="55" a="1"/>
  <c r="H449" i="55" s="1"/>
  <c r="F449" i="55" a="1"/>
  <c r="F449" i="55" s="1"/>
  <c r="A449" i="55"/>
  <c r="H380" i="55" a="1"/>
  <c r="H380" i="55" s="1"/>
  <c r="F380" i="55" a="1"/>
  <c r="F380" i="55" s="1"/>
  <c r="A380" i="55"/>
  <c r="H276" i="55" a="1"/>
  <c r="H276" i="55" s="1"/>
  <c r="F276" i="55" a="1"/>
  <c r="F276" i="55" s="1"/>
  <c r="A276" i="55"/>
  <c r="H280" i="55" a="1"/>
  <c r="H280" i="55" s="1"/>
  <c r="F280" i="55" a="1"/>
  <c r="F280" i="55" s="1"/>
  <c r="A280" i="55"/>
  <c r="H643" i="55" a="1"/>
  <c r="H643" i="55" s="1"/>
  <c r="F643" i="55" a="1"/>
  <c r="F643" i="55" s="1"/>
  <c r="A643" i="55"/>
  <c r="H623" i="55" a="1"/>
  <c r="H623" i="55" s="1"/>
  <c r="F623" i="55" a="1"/>
  <c r="F623" i="55" s="1"/>
  <c r="A623" i="55"/>
  <c r="Q3468" i="34" l="1"/>
  <c r="U3468" i="34"/>
  <c r="Z3468" i="34"/>
  <c r="P3468" i="34"/>
  <c r="O3468" i="34"/>
  <c r="A3468" i="34"/>
  <c r="Q3470" i="34"/>
  <c r="U3470" i="34"/>
  <c r="Z3470" i="34"/>
  <c r="O3470" i="34"/>
  <c r="P3470" i="34"/>
  <c r="A3470" i="34"/>
  <c r="Q3460" i="34"/>
  <c r="U3460" i="34"/>
  <c r="Z3460" i="34"/>
  <c r="P3460" i="34"/>
  <c r="O3460" i="34"/>
  <c r="A3460" i="34"/>
  <c r="Q3464" i="34"/>
  <c r="U3464" i="34"/>
  <c r="Z3464" i="34"/>
  <c r="P3464" i="34"/>
  <c r="O3464" i="34"/>
  <c r="A3464" i="34"/>
  <c r="Q3463" i="34"/>
  <c r="U3463" i="34"/>
  <c r="Z3463" i="34"/>
  <c r="O3463" i="34"/>
  <c r="P3463" i="34"/>
  <c r="A3463" i="34"/>
  <c r="Q3467" i="34"/>
  <c r="U3467" i="34"/>
  <c r="Z3467" i="34"/>
  <c r="O3467" i="34"/>
  <c r="P3467" i="34"/>
  <c r="A3467" i="34"/>
  <c r="Q3469" i="34"/>
  <c r="U3469" i="34"/>
  <c r="Z3469" i="34"/>
  <c r="O3469" i="34"/>
  <c r="P3469" i="34"/>
  <c r="A3469" i="34"/>
  <c r="Q3471" i="34"/>
  <c r="U3471" i="34"/>
  <c r="Z3471" i="34"/>
  <c r="O3471" i="34"/>
  <c r="P3471" i="34"/>
  <c r="A3471" i="34"/>
  <c r="Q3462" i="34"/>
  <c r="U3462" i="34"/>
  <c r="Z3462" i="34"/>
  <c r="O3462" i="34"/>
  <c r="P3462" i="34"/>
  <c r="A3462" i="34"/>
  <c r="Q3466" i="34"/>
  <c r="U3466" i="34"/>
  <c r="Z3466" i="34"/>
  <c r="O3466" i="34"/>
  <c r="P3466" i="34"/>
  <c r="A3466" i="34"/>
  <c r="Q3461" i="34"/>
  <c r="U3461" i="34"/>
  <c r="Z3461" i="34"/>
  <c r="O3461" i="34"/>
  <c r="P3461" i="34"/>
  <c r="A3461" i="34"/>
  <c r="Q3465" i="34"/>
  <c r="U3465" i="34"/>
  <c r="Z3465" i="34"/>
  <c r="O3465" i="34"/>
  <c r="P3465" i="34"/>
  <c r="A3465" i="34"/>
  <c r="J416" i="55"/>
  <c r="J440" i="55"/>
  <c r="J234" i="55"/>
  <c r="J265" i="55"/>
  <c r="J263" i="55"/>
  <c r="J404" i="55"/>
  <c r="J455" i="55"/>
  <c r="J387" i="55"/>
  <c r="J431" i="55"/>
  <c r="J470" i="55"/>
  <c r="J538" i="55"/>
  <c r="J69" i="55"/>
  <c r="J389" i="55"/>
  <c r="J454" i="55"/>
  <c r="J458" i="55"/>
  <c r="J551" i="55"/>
  <c r="J666" i="55"/>
  <c r="J549" i="55"/>
  <c r="J233" i="55"/>
  <c r="J667" i="55"/>
  <c r="J554" i="55"/>
  <c r="J370" i="55"/>
  <c r="J563" i="55"/>
  <c r="J502" i="55"/>
  <c r="J473" i="55"/>
  <c r="J58" i="55"/>
  <c r="J20" i="55"/>
  <c r="J232" i="55"/>
  <c r="J179" i="55"/>
  <c r="J380" i="55"/>
  <c r="J280" i="55"/>
  <c r="J189" i="55"/>
  <c r="J275" i="55"/>
  <c r="J278" i="55"/>
  <c r="J309" i="55"/>
  <c r="J449" i="55"/>
  <c r="J643" i="55"/>
  <c r="J623" i="55"/>
  <c r="J276" i="55"/>
  <c r="K3498" i="34" l="1"/>
  <c r="K3474" i="34"/>
  <c r="K3478" i="34"/>
  <c r="K3480" i="34"/>
  <c r="K3476" i="34"/>
  <c r="K3492" i="34"/>
  <c r="K3493" i="34"/>
  <c r="K3494" i="34"/>
  <c r="K3500" i="34"/>
  <c r="K3501" i="34"/>
  <c r="K3510" i="34"/>
  <c r="K3511" i="34"/>
  <c r="K3512" i="34"/>
  <c r="K3513" i="34"/>
  <c r="K3514" i="34"/>
  <c r="K3517" i="34"/>
  <c r="K3473" i="34"/>
  <c r="A44" i="70"/>
  <c r="A43" i="70"/>
  <c r="A45" i="70"/>
  <c r="K3442" i="34"/>
  <c r="K3448" i="34"/>
  <c r="K3438" i="34"/>
  <c r="K3440" i="34"/>
  <c r="K3434" i="34"/>
  <c r="K3436" i="34"/>
  <c r="K3432" i="34"/>
  <c r="K3430" i="34"/>
  <c r="K3428" i="34"/>
  <c r="K3426" i="34"/>
  <c r="K3422" i="34"/>
  <c r="K3424" i="34"/>
  <c r="K3450" i="34"/>
  <c r="K3451" i="34"/>
  <c r="K3452" i="34"/>
  <c r="K3457" i="34"/>
  <c r="K3458" i="34"/>
  <c r="K3453" i="34"/>
  <c r="K3454" i="34"/>
  <c r="K3455" i="34"/>
  <c r="K3420" i="34"/>
  <c r="C3419" i="34"/>
  <c r="C3422" i="34"/>
  <c r="C3423" i="34"/>
  <c r="C3420" i="34"/>
  <c r="C3421" i="34"/>
  <c r="C3424" i="34"/>
  <c r="C3425" i="34"/>
  <c r="C3426" i="34"/>
  <c r="C3427" i="34"/>
  <c r="C3428" i="34"/>
  <c r="C3429" i="34"/>
  <c r="C3430" i="34"/>
  <c r="C3431" i="34"/>
  <c r="C3432" i="34"/>
  <c r="C3433" i="34"/>
  <c r="C3436" i="34"/>
  <c r="C3437" i="34"/>
  <c r="C3434" i="34"/>
  <c r="C3435" i="34"/>
  <c r="C3440" i="34"/>
  <c r="C3441" i="34"/>
  <c r="C3438" i="34"/>
  <c r="C3439" i="34"/>
  <c r="C3448" i="34"/>
  <c r="C3449" i="34"/>
  <c r="C3442" i="34"/>
  <c r="C3443" i="34"/>
  <c r="C3450" i="34"/>
  <c r="C3451" i="34"/>
  <c r="C3452" i="34"/>
  <c r="C3457" i="34"/>
  <c r="C3458" i="34"/>
  <c r="C3459" i="34"/>
  <c r="C3472" i="34"/>
  <c r="C3453" i="34"/>
  <c r="C3454" i="34"/>
  <c r="C3455" i="34"/>
  <c r="C3456" i="34"/>
  <c r="C3473" i="34"/>
  <c r="C3474" i="34"/>
  <c r="C3475" i="34"/>
  <c r="C3478" i="34"/>
  <c r="C3479" i="34"/>
  <c r="C3480" i="34"/>
  <c r="C3481" i="34"/>
  <c r="C3476" i="34"/>
  <c r="C3477" i="34"/>
  <c r="C3486" i="34"/>
  <c r="C3487" i="34"/>
  <c r="C3492" i="34"/>
  <c r="C3493" i="34"/>
  <c r="C3494" i="34"/>
  <c r="C3495" i="34"/>
  <c r="C3496" i="34"/>
  <c r="C3497" i="34"/>
  <c r="C3498" i="34"/>
  <c r="C3499" i="34"/>
  <c r="C3500" i="34"/>
  <c r="C3501" i="34"/>
  <c r="C3502" i="34"/>
  <c r="C3510" i="34"/>
  <c r="C3511" i="34"/>
  <c r="C3512" i="34"/>
  <c r="C3513" i="34"/>
  <c r="C3514" i="34"/>
  <c r="C3517" i="34"/>
  <c r="C3518" i="34"/>
  <c r="C3917" i="34"/>
  <c r="C3918" i="34"/>
  <c r="C3919" i="34"/>
  <c r="C3920" i="34"/>
  <c r="C3921" i="34"/>
  <c r="C3922" i="34"/>
  <c r="C3923" i="34"/>
  <c r="C3924" i="34"/>
  <c r="C3925" i="34"/>
  <c r="C3926" i="34"/>
  <c r="C3927" i="34"/>
  <c r="C3928" i="34"/>
  <c r="C3929" i="34"/>
  <c r="C3930" i="34"/>
  <c r="C3943" i="34"/>
  <c r="C3944" i="34"/>
  <c r="C3945" i="34"/>
  <c r="C3946" i="34"/>
  <c r="C3947" i="34"/>
  <c r="C3948" i="34"/>
  <c r="C3949" i="34"/>
  <c r="C3950" i="34"/>
  <c r="C3951" i="34"/>
  <c r="C3952" i="34"/>
  <c r="C3953" i="34"/>
  <c r="C3954" i="34"/>
  <c r="C3955" i="34"/>
  <c r="C3956" i="34"/>
  <c r="C3957" i="34"/>
  <c r="C3958" i="34"/>
  <c r="C3959" i="34"/>
  <c r="C3960" i="34"/>
  <c r="C3961" i="34"/>
  <c r="C3962" i="34"/>
  <c r="C3963" i="34"/>
  <c r="C4096" i="34"/>
  <c r="C4097" i="34"/>
  <c r="C4098" i="34"/>
  <c r="C4099" i="34"/>
  <c r="C4100" i="34"/>
  <c r="C4101" i="34"/>
  <c r="C4102" i="34"/>
  <c r="C4103" i="34"/>
  <c r="C4104" i="34"/>
  <c r="C4105" i="34"/>
  <c r="C4106" i="34"/>
  <c r="C4107" i="34"/>
  <c r="C4108" i="34"/>
  <c r="C4114" i="34"/>
  <c r="C3418" i="34"/>
  <c r="K3418" i="34"/>
  <c r="C887" i="34" l="1"/>
  <c r="B887" i="34" s="1"/>
  <c r="C886" i="34"/>
  <c r="B886" i="34" s="1"/>
  <c r="K890" i="34"/>
  <c r="K3009" i="34"/>
  <c r="K3010" i="34"/>
  <c r="K3011" i="34"/>
  <c r="K3012" i="34"/>
  <c r="K3013" i="34"/>
  <c r="K3014" i="34"/>
  <c r="K3015" i="34"/>
  <c r="K3016" i="34"/>
  <c r="K3017" i="34"/>
  <c r="K3018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223" i="34"/>
  <c r="K3224" i="34"/>
  <c r="K3225" i="34"/>
  <c r="K3226" i="34"/>
  <c r="K3227" i="34"/>
  <c r="K3228" i="34"/>
  <c r="K3229" i="34"/>
  <c r="K3247" i="34"/>
  <c r="K3248" i="34"/>
  <c r="K3249" i="34"/>
  <c r="K3250" i="34"/>
  <c r="K3251" i="34"/>
  <c r="K3252" i="34"/>
  <c r="K3253" i="34"/>
  <c r="K3254" i="34"/>
  <c r="K3255" i="34"/>
  <c r="K3378" i="34"/>
  <c r="K3379" i="34"/>
  <c r="K3380" i="34"/>
  <c r="K3381" i="34"/>
  <c r="K3382" i="34"/>
  <c r="K3383" i="34"/>
  <c r="C3222" i="34"/>
  <c r="B3222" i="34" s="1"/>
  <c r="K3222" i="34"/>
  <c r="K3398" i="34"/>
  <c r="K3399" i="34"/>
  <c r="K3400" i="34"/>
  <c r="K3401" i="34"/>
  <c r="K3402" i="34"/>
  <c r="K3403" i="34"/>
  <c r="K3404" i="34"/>
  <c r="K3405" i="34"/>
  <c r="K3406" i="34"/>
  <c r="K3407" i="34"/>
  <c r="K3408" i="34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75" i="34"/>
  <c r="C3375" i="34"/>
  <c r="B3375" i="34" s="1"/>
  <c r="K3374" i="34"/>
  <c r="C3374" i="34"/>
  <c r="B3374" i="34" s="1"/>
  <c r="K3377" i="34"/>
  <c r="C3377" i="34"/>
  <c r="B3377" i="34" s="1"/>
  <c r="K3376" i="34"/>
  <c r="C3376" i="34"/>
  <c r="B3376" i="34" s="1"/>
  <c r="G145" i="60"/>
  <c r="O144" i="60"/>
  <c r="C144" i="60" s="1"/>
  <c r="L144" i="60"/>
  <c r="O143" i="60"/>
  <c r="C143" i="60" s="1"/>
  <c r="L143" i="60"/>
  <c r="O145" i="60"/>
  <c r="C145" i="60" s="1"/>
  <c r="L145" i="60"/>
  <c r="C529" i="34"/>
  <c r="B529" i="34" s="1"/>
  <c r="C528" i="34"/>
  <c r="B528" i="34" s="1"/>
  <c r="C527" i="34"/>
  <c r="B527" i="34" s="1"/>
  <c r="C520" i="34"/>
  <c r="B520" i="34" s="1"/>
  <c r="C519" i="34"/>
  <c r="B519" i="34" s="1"/>
  <c r="C518" i="34"/>
  <c r="B518" i="34" s="1"/>
  <c r="C517" i="34"/>
  <c r="B517" i="34" s="1"/>
  <c r="C516" i="34"/>
  <c r="B516" i="34" s="1"/>
  <c r="C515" i="34"/>
  <c r="B515" i="34" s="1"/>
  <c r="C514" i="34"/>
  <c r="B514" i="34" s="1"/>
  <c r="C513" i="34"/>
  <c r="B513" i="34" s="1"/>
  <c r="C524" i="34"/>
  <c r="B524" i="34" s="1"/>
  <c r="C523" i="34"/>
  <c r="B523" i="34" s="1"/>
  <c r="C522" i="34"/>
  <c r="B522" i="34" s="1"/>
  <c r="C521" i="34"/>
  <c r="B521" i="34" s="1"/>
  <c r="C498" i="34"/>
  <c r="B498" i="34" s="1"/>
  <c r="C497" i="34"/>
  <c r="B497" i="34" s="1"/>
  <c r="C485" i="34"/>
  <c r="B485" i="34" s="1"/>
  <c r="C484" i="34"/>
  <c r="B484" i="34" s="1"/>
  <c r="C2111" i="34"/>
  <c r="B2111" i="34" s="1"/>
  <c r="K2110" i="34"/>
  <c r="C2110" i="34"/>
  <c r="B2110" i="34" s="1"/>
  <c r="K2109" i="34"/>
  <c r="C2109" i="34"/>
  <c r="B2109" i="34" s="1"/>
  <c r="C531" i="34"/>
  <c r="B531" i="34" s="1"/>
  <c r="C530" i="34"/>
  <c r="B530" i="34" s="1"/>
  <c r="C526" i="34"/>
  <c r="B526" i="34" s="1"/>
  <c r="C512" i="34"/>
  <c r="B512" i="34" s="1"/>
  <c r="C511" i="34"/>
  <c r="B511" i="34" s="1"/>
  <c r="C510" i="34"/>
  <c r="B510" i="34" s="1"/>
  <c r="C509" i="34"/>
  <c r="B509" i="34" s="1"/>
  <c r="C508" i="34"/>
  <c r="B508" i="34" s="1"/>
  <c r="C507" i="34"/>
  <c r="B507" i="34" s="1"/>
  <c r="C506" i="34"/>
  <c r="B506" i="34" s="1"/>
  <c r="C505" i="34"/>
  <c r="B505" i="34" s="1"/>
  <c r="C504" i="34"/>
  <c r="B504" i="34" s="1"/>
  <c r="C503" i="34"/>
  <c r="B503" i="34" s="1"/>
  <c r="C502" i="34"/>
  <c r="B502" i="34" s="1"/>
  <c r="C501" i="34"/>
  <c r="B501" i="34" s="1"/>
  <c r="C500" i="34"/>
  <c r="B500" i="34" s="1"/>
  <c r="C499" i="34"/>
  <c r="B499" i="34" s="1"/>
  <c r="C496" i="34"/>
  <c r="B496" i="34" s="1"/>
  <c r="C494" i="34"/>
  <c r="B494" i="34" s="1"/>
  <c r="C493" i="34"/>
  <c r="B493" i="34" s="1"/>
  <c r="C492" i="34"/>
  <c r="B492" i="34" s="1"/>
  <c r="A12" i="77"/>
  <c r="A9" i="77"/>
  <c r="A10" i="77"/>
  <c r="A13" i="77"/>
  <c r="A14" i="77"/>
  <c r="A15" i="77"/>
  <c r="A16" i="77"/>
  <c r="A17" i="77"/>
  <c r="C532" i="34"/>
  <c r="B532" i="34" s="1"/>
  <c r="C525" i="34"/>
  <c r="B525" i="34" s="1"/>
  <c r="C495" i="34"/>
  <c r="B495" i="34" s="1"/>
  <c r="C491" i="34"/>
  <c r="B491" i="34" s="1"/>
  <c r="C490" i="34"/>
  <c r="B490" i="34" s="1"/>
  <c r="Q495" i="34" l="1"/>
  <c r="U495" i="34"/>
  <c r="Z495" i="34"/>
  <c r="O495" i="34"/>
  <c r="P495" i="34"/>
  <c r="A495" i="34"/>
  <c r="Q493" i="34"/>
  <c r="U493" i="34"/>
  <c r="Z493" i="34"/>
  <c r="O493" i="34"/>
  <c r="P493" i="34"/>
  <c r="A493" i="34"/>
  <c r="Q500" i="34"/>
  <c r="U500" i="34"/>
  <c r="Z500" i="34"/>
  <c r="P500" i="34"/>
  <c r="O500" i="34"/>
  <c r="A500" i="34"/>
  <c r="Q504" i="34"/>
  <c r="U504" i="34"/>
  <c r="Z504" i="34"/>
  <c r="P504" i="34"/>
  <c r="O504" i="34"/>
  <c r="A504" i="34"/>
  <c r="Q508" i="34"/>
  <c r="U508" i="34"/>
  <c r="Z508" i="34"/>
  <c r="P508" i="34"/>
  <c r="O508" i="34"/>
  <c r="A508" i="34"/>
  <c r="Q512" i="34"/>
  <c r="U512" i="34"/>
  <c r="Z512" i="34"/>
  <c r="P512" i="34"/>
  <c r="O512" i="34"/>
  <c r="A512" i="34"/>
  <c r="O2109" i="34"/>
  <c r="P2109" i="34"/>
  <c r="Q2109" i="34"/>
  <c r="U2109" i="34"/>
  <c r="Z2109" i="34"/>
  <c r="A2109" i="34"/>
  <c r="O2111" i="34"/>
  <c r="P2111" i="34"/>
  <c r="Q2111" i="34"/>
  <c r="U2111" i="34"/>
  <c r="Z2111" i="34"/>
  <c r="A2111" i="34"/>
  <c r="Q498" i="34"/>
  <c r="U498" i="34"/>
  <c r="Z498" i="34"/>
  <c r="P498" i="34"/>
  <c r="O498" i="34"/>
  <c r="A498" i="34"/>
  <c r="Q524" i="34"/>
  <c r="U524" i="34"/>
  <c r="Z524" i="34"/>
  <c r="P524" i="34"/>
  <c r="O524" i="34"/>
  <c r="A524" i="34"/>
  <c r="Q516" i="34"/>
  <c r="U516" i="34"/>
  <c r="Z516" i="34"/>
  <c r="P516" i="34"/>
  <c r="O516" i="34"/>
  <c r="A516" i="34"/>
  <c r="Q520" i="34"/>
  <c r="U520" i="34"/>
  <c r="Z520" i="34"/>
  <c r="P520" i="34"/>
  <c r="O520" i="34"/>
  <c r="A520" i="34"/>
  <c r="Q525" i="34"/>
  <c r="U525" i="34"/>
  <c r="Z525" i="34"/>
  <c r="O525" i="34"/>
  <c r="P525" i="34"/>
  <c r="A525" i="34"/>
  <c r="Q494" i="34"/>
  <c r="U494" i="34"/>
  <c r="Z494" i="34"/>
  <c r="P494" i="34"/>
  <c r="O494" i="34"/>
  <c r="A494" i="34"/>
  <c r="Q501" i="34"/>
  <c r="U501" i="34"/>
  <c r="Z501" i="34"/>
  <c r="O501" i="34"/>
  <c r="P501" i="34"/>
  <c r="A501" i="34"/>
  <c r="Q505" i="34"/>
  <c r="U505" i="34"/>
  <c r="Z505" i="34"/>
  <c r="O505" i="34"/>
  <c r="P505" i="34"/>
  <c r="A505" i="34"/>
  <c r="Q509" i="34"/>
  <c r="U509" i="34"/>
  <c r="Z509" i="34"/>
  <c r="O509" i="34"/>
  <c r="P509" i="34"/>
  <c r="A509" i="34"/>
  <c r="Q526" i="34"/>
  <c r="U526" i="34"/>
  <c r="Z526" i="34"/>
  <c r="O526" i="34"/>
  <c r="P526" i="34"/>
  <c r="A526" i="34"/>
  <c r="Q484" i="34"/>
  <c r="U484" i="34"/>
  <c r="Z484" i="34"/>
  <c r="O484" i="34"/>
  <c r="P484" i="34"/>
  <c r="A484" i="34"/>
  <c r="Q521" i="34"/>
  <c r="U521" i="34"/>
  <c r="Z521" i="34"/>
  <c r="O521" i="34"/>
  <c r="P521" i="34"/>
  <c r="A521" i="34"/>
  <c r="Q513" i="34"/>
  <c r="U513" i="34"/>
  <c r="Z513" i="34"/>
  <c r="O513" i="34"/>
  <c r="P513" i="34"/>
  <c r="A513" i="34"/>
  <c r="Q517" i="34"/>
  <c r="U517" i="34"/>
  <c r="Z517" i="34"/>
  <c r="O517" i="34"/>
  <c r="P517" i="34"/>
  <c r="A517" i="34"/>
  <c r="Q527" i="34"/>
  <c r="U527" i="34"/>
  <c r="Z527" i="34"/>
  <c r="O527" i="34"/>
  <c r="P527" i="34"/>
  <c r="A527" i="34"/>
  <c r="Q3377" i="34"/>
  <c r="U3377" i="34"/>
  <c r="Z3377" i="34"/>
  <c r="O3377" i="34"/>
  <c r="P3377" i="34"/>
  <c r="A3377" i="34"/>
  <c r="Q3375" i="34"/>
  <c r="U3375" i="34"/>
  <c r="Z3375" i="34"/>
  <c r="P3375" i="34"/>
  <c r="O3375" i="34"/>
  <c r="A3375" i="34"/>
  <c r="Q3391" i="34"/>
  <c r="U3391" i="34"/>
  <c r="Z3391" i="34"/>
  <c r="O3391" i="34"/>
  <c r="P3391" i="34"/>
  <c r="A3391" i="34"/>
  <c r="Q3393" i="34"/>
  <c r="U3393" i="34"/>
  <c r="Z3393" i="34"/>
  <c r="O3393" i="34"/>
  <c r="P3393" i="34"/>
  <c r="A3393" i="34"/>
  <c r="Q3411" i="34"/>
  <c r="U3411" i="34"/>
  <c r="Z3411" i="34"/>
  <c r="P3411" i="34"/>
  <c r="O3411" i="34"/>
  <c r="A3411" i="34"/>
  <c r="Q3413" i="34"/>
  <c r="U3413" i="34"/>
  <c r="Z3413" i="34"/>
  <c r="O3413" i="34"/>
  <c r="P3413" i="34"/>
  <c r="A3413" i="34"/>
  <c r="Q490" i="34"/>
  <c r="U490" i="34"/>
  <c r="Z490" i="34"/>
  <c r="P490" i="34"/>
  <c r="O490" i="34"/>
  <c r="A490" i="34"/>
  <c r="Q532" i="34"/>
  <c r="U532" i="34"/>
  <c r="Z532" i="34"/>
  <c r="P532" i="34"/>
  <c r="O532" i="34"/>
  <c r="A532" i="34"/>
  <c r="Q496" i="34"/>
  <c r="U496" i="34"/>
  <c r="Z496" i="34"/>
  <c r="O496" i="34"/>
  <c r="P496" i="34"/>
  <c r="A496" i="34"/>
  <c r="Q502" i="34"/>
  <c r="U502" i="34"/>
  <c r="Z502" i="34"/>
  <c r="O502" i="34"/>
  <c r="P502" i="34"/>
  <c r="A502" i="34"/>
  <c r="Q506" i="34"/>
  <c r="U506" i="34"/>
  <c r="Z506" i="34"/>
  <c r="O506" i="34"/>
  <c r="P506" i="34"/>
  <c r="A506" i="34"/>
  <c r="Q510" i="34"/>
  <c r="U510" i="34"/>
  <c r="Z510" i="34"/>
  <c r="O510" i="34"/>
  <c r="P510" i="34"/>
  <c r="A510" i="34"/>
  <c r="Q530" i="34"/>
  <c r="U530" i="34"/>
  <c r="Z530" i="34"/>
  <c r="O530" i="34"/>
  <c r="P530" i="34"/>
  <c r="A530" i="34"/>
  <c r="O2110" i="34"/>
  <c r="P2110" i="34"/>
  <c r="Q2110" i="34"/>
  <c r="U2110" i="34"/>
  <c r="Z2110" i="34"/>
  <c r="A2110" i="34"/>
  <c r="Q485" i="34"/>
  <c r="U485" i="34"/>
  <c r="Z485" i="34"/>
  <c r="P485" i="34"/>
  <c r="O485" i="34"/>
  <c r="A485" i="34"/>
  <c r="Q522" i="34"/>
  <c r="U522" i="34"/>
  <c r="Z522" i="34"/>
  <c r="O522" i="34"/>
  <c r="P522" i="34"/>
  <c r="A522" i="34"/>
  <c r="Q514" i="34"/>
  <c r="U514" i="34"/>
  <c r="Z514" i="34"/>
  <c r="O514" i="34"/>
  <c r="P514" i="34"/>
  <c r="A514" i="34"/>
  <c r="Q518" i="34"/>
  <c r="U518" i="34"/>
  <c r="Z518" i="34"/>
  <c r="O518" i="34"/>
  <c r="P518" i="34"/>
  <c r="A518" i="34"/>
  <c r="Q528" i="34"/>
  <c r="U528" i="34"/>
  <c r="Z528" i="34"/>
  <c r="P528" i="34"/>
  <c r="O528" i="34"/>
  <c r="A528" i="34"/>
  <c r="P886" i="34"/>
  <c r="Q886" i="34"/>
  <c r="U886" i="34"/>
  <c r="Z886" i="34"/>
  <c r="O886" i="34"/>
  <c r="A886" i="34"/>
  <c r="Q491" i="34"/>
  <c r="U491" i="34"/>
  <c r="Z491" i="34"/>
  <c r="O491" i="34"/>
  <c r="P491" i="34"/>
  <c r="A491" i="34"/>
  <c r="Q492" i="34"/>
  <c r="U492" i="34"/>
  <c r="Z492" i="34"/>
  <c r="O492" i="34"/>
  <c r="P492" i="34"/>
  <c r="A492" i="34"/>
  <c r="Q499" i="34"/>
  <c r="U499" i="34"/>
  <c r="Z499" i="34"/>
  <c r="O499" i="34"/>
  <c r="P499" i="34"/>
  <c r="A499" i="34"/>
  <c r="Q503" i="34"/>
  <c r="U503" i="34"/>
  <c r="Z503" i="34"/>
  <c r="O503" i="34"/>
  <c r="P503" i="34"/>
  <c r="A503" i="34"/>
  <c r="Q507" i="34"/>
  <c r="U507" i="34"/>
  <c r="Z507" i="34"/>
  <c r="O507" i="34"/>
  <c r="P507" i="34"/>
  <c r="A507" i="34"/>
  <c r="Q511" i="34"/>
  <c r="U511" i="34"/>
  <c r="Z511" i="34"/>
  <c r="O511" i="34"/>
  <c r="P511" i="34"/>
  <c r="A511" i="34"/>
  <c r="Q531" i="34"/>
  <c r="U531" i="34"/>
  <c r="Z531" i="34"/>
  <c r="O531" i="34"/>
  <c r="P531" i="34"/>
  <c r="A531" i="34"/>
  <c r="Q497" i="34"/>
  <c r="U497" i="34"/>
  <c r="Z497" i="34"/>
  <c r="O497" i="34"/>
  <c r="P497" i="34"/>
  <c r="A497" i="34"/>
  <c r="Q523" i="34"/>
  <c r="U523" i="34"/>
  <c r="Z523" i="34"/>
  <c r="O523" i="34"/>
  <c r="P523" i="34"/>
  <c r="A523" i="34"/>
  <c r="Q515" i="34"/>
  <c r="U515" i="34"/>
  <c r="Z515" i="34"/>
  <c r="O515" i="34"/>
  <c r="P515" i="34"/>
  <c r="A515" i="34"/>
  <c r="Q519" i="34"/>
  <c r="U519" i="34"/>
  <c r="Z519" i="34"/>
  <c r="O519" i="34"/>
  <c r="P519" i="34"/>
  <c r="A519" i="34"/>
  <c r="Q529" i="34"/>
  <c r="U529" i="34"/>
  <c r="Z529" i="34"/>
  <c r="O529" i="34"/>
  <c r="P529" i="34"/>
  <c r="A529" i="34"/>
  <c r="Q3376" i="34"/>
  <c r="U3376" i="34"/>
  <c r="O3376" i="34"/>
  <c r="Z3376" i="34"/>
  <c r="P3376" i="34"/>
  <c r="A3376" i="34"/>
  <c r="Q3374" i="34"/>
  <c r="U3374" i="34"/>
  <c r="Z3374" i="34"/>
  <c r="O3374" i="34"/>
  <c r="P3374" i="34"/>
  <c r="A3374" i="34"/>
  <c r="Q3390" i="34"/>
  <c r="U3390" i="34"/>
  <c r="Z3390" i="34"/>
  <c r="O3390" i="34"/>
  <c r="P3390" i="34"/>
  <c r="A3390" i="34"/>
  <c r="Q3392" i="34"/>
  <c r="U3392" i="34"/>
  <c r="Z3392" i="34"/>
  <c r="O3392" i="34"/>
  <c r="P3392" i="34"/>
  <c r="A3392" i="34"/>
  <c r="Q3410" i="34"/>
  <c r="U3410" i="34"/>
  <c r="Z3410" i="34"/>
  <c r="P3410" i="34"/>
  <c r="O3410" i="34"/>
  <c r="A3410" i="34"/>
  <c r="Q3412" i="34"/>
  <c r="U3412" i="34"/>
  <c r="Z3412" i="34"/>
  <c r="P3412" i="34"/>
  <c r="O3412" i="34"/>
  <c r="A3412" i="34"/>
  <c r="Q3222" i="34"/>
  <c r="U3222" i="34"/>
  <c r="Z3222" i="34"/>
  <c r="O3222" i="34"/>
  <c r="P3222" i="34"/>
  <c r="A3222" i="34"/>
  <c r="P887" i="34"/>
  <c r="Q887" i="34"/>
  <c r="U887" i="34"/>
  <c r="Z887" i="34"/>
  <c r="O887" i="34"/>
  <c r="A887" i="34"/>
  <c r="C574" i="34"/>
  <c r="B574" i="34" s="1"/>
  <c r="C573" i="34"/>
  <c r="B573" i="34" s="1"/>
  <c r="C572" i="34"/>
  <c r="B572" i="34" s="1"/>
  <c r="C571" i="34"/>
  <c r="B571" i="34" s="1"/>
  <c r="C570" i="34"/>
  <c r="B570" i="34" s="1"/>
  <c r="C569" i="34"/>
  <c r="B569" i="34" s="1"/>
  <c r="C568" i="34"/>
  <c r="B568" i="34" s="1"/>
  <c r="C567" i="34"/>
  <c r="B567" i="34" s="1"/>
  <c r="C565" i="34"/>
  <c r="B565" i="34" s="1"/>
  <c r="C563" i="34"/>
  <c r="B563" i="34" s="1"/>
  <c r="C562" i="34"/>
  <c r="B562" i="34" s="1"/>
  <c r="C561" i="34"/>
  <c r="B561" i="34" s="1"/>
  <c r="C558" i="34"/>
  <c r="B558" i="34" s="1"/>
  <c r="C557" i="34"/>
  <c r="B557" i="34" s="1"/>
  <c r="C556" i="34"/>
  <c r="B556" i="34" s="1"/>
  <c r="C589" i="34"/>
  <c r="B589" i="34" s="1"/>
  <c r="C588" i="34"/>
  <c r="B588" i="34" s="1"/>
  <c r="C587" i="34"/>
  <c r="B587" i="34" s="1"/>
  <c r="C586" i="34"/>
  <c r="B586" i="34" s="1"/>
  <c r="C585" i="34"/>
  <c r="B585" i="34" s="1"/>
  <c r="C584" i="34"/>
  <c r="B584" i="34" s="1"/>
  <c r="C583" i="34"/>
  <c r="B583" i="34" s="1"/>
  <c r="C582" i="34"/>
  <c r="B582" i="34" s="1"/>
  <c r="C581" i="34"/>
  <c r="B581" i="34" s="1"/>
  <c r="C580" i="34"/>
  <c r="B580" i="34" s="1"/>
  <c r="C579" i="34"/>
  <c r="B579" i="34" s="1"/>
  <c r="C578" i="34"/>
  <c r="B578" i="34" s="1"/>
  <c r="C577" i="34"/>
  <c r="B577" i="34" s="1"/>
  <c r="C576" i="34"/>
  <c r="B576" i="34" s="1"/>
  <c r="C575" i="34"/>
  <c r="B575" i="34" s="1"/>
  <c r="C597" i="34"/>
  <c r="B597" i="34" s="1"/>
  <c r="C596" i="34"/>
  <c r="B596" i="34" s="1"/>
  <c r="C595" i="34"/>
  <c r="B595" i="34" s="1"/>
  <c r="C594" i="34"/>
  <c r="B594" i="34" s="1"/>
  <c r="C593" i="34"/>
  <c r="B593" i="34" s="1"/>
  <c r="C592" i="34"/>
  <c r="B592" i="34" s="1"/>
  <c r="C591" i="34"/>
  <c r="B591" i="34" s="1"/>
  <c r="C590" i="34"/>
  <c r="B590" i="34" s="1"/>
  <c r="C603" i="34"/>
  <c r="B603" i="34" s="1"/>
  <c r="C602" i="34"/>
  <c r="B602" i="34" s="1"/>
  <c r="C601" i="34"/>
  <c r="B601" i="34" s="1"/>
  <c r="C598" i="34"/>
  <c r="B598" i="34" s="1"/>
  <c r="C605" i="34"/>
  <c r="B605" i="34" s="1"/>
  <c r="C604" i="34"/>
  <c r="B604" i="34" s="1"/>
  <c r="E19" i="77"/>
  <c r="D19" i="77"/>
  <c r="C539" i="34"/>
  <c r="B539" i="34" s="1"/>
  <c r="C538" i="34"/>
  <c r="B538" i="34" s="1"/>
  <c r="C537" i="34"/>
  <c r="B537" i="34" s="1"/>
  <c r="C536" i="34"/>
  <c r="B536" i="34" s="1"/>
  <c r="C535" i="34"/>
  <c r="B535" i="34" s="1"/>
  <c r="C608" i="34"/>
  <c r="B608" i="34" s="1"/>
  <c r="C600" i="34"/>
  <c r="B600" i="34" s="1"/>
  <c r="C599" i="34"/>
  <c r="B599" i="34" s="1"/>
  <c r="C566" i="34"/>
  <c r="B566" i="34" s="1"/>
  <c r="C564" i="34"/>
  <c r="B564" i="34" s="1"/>
  <c r="C560" i="34"/>
  <c r="B560" i="34" s="1"/>
  <c r="C559" i="34"/>
  <c r="B559" i="34" s="1"/>
  <c r="C555" i="34"/>
  <c r="B555" i="34" s="1"/>
  <c r="C540" i="34"/>
  <c r="B540" i="34" s="1"/>
  <c r="C534" i="34"/>
  <c r="B534" i="34" s="1"/>
  <c r="C533" i="34"/>
  <c r="B533" i="34" s="1"/>
  <c r="C548" i="34"/>
  <c r="B548" i="34" s="1"/>
  <c r="C547" i="34"/>
  <c r="B547" i="34" s="1"/>
  <c r="C546" i="34"/>
  <c r="B546" i="34" s="1"/>
  <c r="C545" i="34"/>
  <c r="B545" i="34" s="1"/>
  <c r="C544" i="34"/>
  <c r="B544" i="34" s="1"/>
  <c r="C543" i="34"/>
  <c r="B543" i="34" s="1"/>
  <c r="C542" i="34"/>
  <c r="B542" i="34" s="1"/>
  <c r="C541" i="34"/>
  <c r="B541" i="34" s="1"/>
  <c r="C552" i="34"/>
  <c r="B552" i="34" s="1"/>
  <c r="C551" i="34"/>
  <c r="B551" i="34" s="1"/>
  <c r="C550" i="34"/>
  <c r="B550" i="34" s="1"/>
  <c r="C549" i="34"/>
  <c r="B549" i="34" s="1"/>
  <c r="C607" i="34"/>
  <c r="B607" i="34" s="1"/>
  <c r="C606" i="34"/>
  <c r="B606" i="34" s="1"/>
  <c r="C554" i="34"/>
  <c r="B554" i="34" s="1"/>
  <c r="C553" i="34"/>
  <c r="B553" i="34" s="1"/>
  <c r="A13" i="12"/>
  <c r="A14" i="12"/>
  <c r="C344" i="34"/>
  <c r="B344" i="34" s="1"/>
  <c r="C343" i="34"/>
  <c r="B343" i="34" s="1"/>
  <c r="C341" i="34"/>
  <c r="B341" i="34" s="1"/>
  <c r="C340" i="34"/>
  <c r="B340" i="34" s="1"/>
  <c r="C346" i="34"/>
  <c r="B346" i="34" s="1"/>
  <c r="C345" i="34"/>
  <c r="B345" i="34" s="1"/>
  <c r="P345" i="34" l="1"/>
  <c r="Q345" i="34"/>
  <c r="U345" i="34"/>
  <c r="Z345" i="34"/>
  <c r="O345" i="34"/>
  <c r="A345" i="34"/>
  <c r="Q541" i="34"/>
  <c r="U541" i="34"/>
  <c r="Z541" i="34"/>
  <c r="O541" i="34"/>
  <c r="P541" i="34"/>
  <c r="A541" i="34"/>
  <c r="Q599" i="34"/>
  <c r="U599" i="34"/>
  <c r="Z599" i="34"/>
  <c r="O599" i="34"/>
  <c r="P599" i="34"/>
  <c r="A599" i="34"/>
  <c r="P340" i="34"/>
  <c r="Q340" i="34"/>
  <c r="U340" i="34"/>
  <c r="Z340" i="34"/>
  <c r="O340" i="34"/>
  <c r="A340" i="34"/>
  <c r="Q551" i="34"/>
  <c r="U551" i="34"/>
  <c r="Z551" i="34"/>
  <c r="O551" i="34"/>
  <c r="P551" i="34"/>
  <c r="A551" i="34"/>
  <c r="Q547" i="34"/>
  <c r="U547" i="34"/>
  <c r="Z547" i="34"/>
  <c r="O547" i="34"/>
  <c r="P547" i="34"/>
  <c r="A547" i="34"/>
  <c r="O564" i="34"/>
  <c r="P564" i="34"/>
  <c r="Q564" i="34"/>
  <c r="U564" i="34"/>
  <c r="Z564" i="34"/>
  <c r="A564" i="34"/>
  <c r="Q538" i="34"/>
  <c r="U538" i="34"/>
  <c r="Z538" i="34"/>
  <c r="O538" i="34"/>
  <c r="P538" i="34"/>
  <c r="A538" i="34"/>
  <c r="Q592" i="34"/>
  <c r="U592" i="34"/>
  <c r="Z592" i="34"/>
  <c r="O592" i="34"/>
  <c r="P592" i="34"/>
  <c r="A592" i="34"/>
  <c r="P341" i="34"/>
  <c r="Q341" i="34"/>
  <c r="U341" i="34"/>
  <c r="Z341" i="34"/>
  <c r="O341" i="34"/>
  <c r="A341" i="34"/>
  <c r="Q607" i="34"/>
  <c r="U607" i="34"/>
  <c r="Z607" i="34"/>
  <c r="O607" i="34"/>
  <c r="P607" i="34"/>
  <c r="A607" i="34"/>
  <c r="Q552" i="34"/>
  <c r="U552" i="34"/>
  <c r="Z552" i="34"/>
  <c r="P552" i="34"/>
  <c r="O552" i="34"/>
  <c r="A552" i="34"/>
  <c r="Q544" i="34"/>
  <c r="U544" i="34"/>
  <c r="Z544" i="34"/>
  <c r="P544" i="34"/>
  <c r="O544" i="34"/>
  <c r="A544" i="34"/>
  <c r="Q548" i="34"/>
  <c r="U548" i="34"/>
  <c r="Z548" i="34"/>
  <c r="P548" i="34"/>
  <c r="O548" i="34"/>
  <c r="A548" i="34"/>
  <c r="Q555" i="34"/>
  <c r="U555" i="34"/>
  <c r="Z555" i="34"/>
  <c r="O555" i="34"/>
  <c r="P555" i="34"/>
  <c r="A555" i="34"/>
  <c r="O566" i="34"/>
  <c r="P566" i="34"/>
  <c r="Q566" i="34"/>
  <c r="U566" i="34"/>
  <c r="Z566" i="34"/>
  <c r="A566" i="34"/>
  <c r="Q535" i="34"/>
  <c r="U535" i="34"/>
  <c r="Z535" i="34"/>
  <c r="O535" i="34"/>
  <c r="P535" i="34"/>
  <c r="A535" i="34"/>
  <c r="Q539" i="34"/>
  <c r="U539" i="34"/>
  <c r="Z539" i="34"/>
  <c r="O539" i="34"/>
  <c r="P539" i="34"/>
  <c r="A539" i="34"/>
  <c r="Q605" i="34"/>
  <c r="U605" i="34"/>
  <c r="Z605" i="34"/>
  <c r="P605" i="34"/>
  <c r="O605" i="34"/>
  <c r="A605" i="34"/>
  <c r="Q603" i="34"/>
  <c r="U603" i="34"/>
  <c r="Z603" i="34"/>
  <c r="O603" i="34"/>
  <c r="P603" i="34"/>
  <c r="A603" i="34"/>
  <c r="Q593" i="34"/>
  <c r="U593" i="34"/>
  <c r="Z593" i="34"/>
  <c r="P593" i="34"/>
  <c r="O593" i="34"/>
  <c r="A593" i="34"/>
  <c r="Q597" i="34"/>
  <c r="U597" i="34"/>
  <c r="Z597" i="34"/>
  <c r="P597" i="34"/>
  <c r="O597" i="34"/>
  <c r="A597" i="34"/>
  <c r="O578" i="34"/>
  <c r="P578" i="34"/>
  <c r="Q578" i="34"/>
  <c r="U578" i="34"/>
  <c r="Z578" i="34"/>
  <c r="A578" i="34"/>
  <c r="O582" i="34"/>
  <c r="P582" i="34"/>
  <c r="Q582" i="34"/>
  <c r="U582" i="34"/>
  <c r="Z582" i="34"/>
  <c r="A582" i="34"/>
  <c r="O586" i="34"/>
  <c r="P586" i="34"/>
  <c r="Q586" i="34"/>
  <c r="U586" i="34"/>
  <c r="Z586" i="34"/>
  <c r="A586" i="34"/>
  <c r="Q556" i="34"/>
  <c r="U556" i="34"/>
  <c r="Z556" i="34"/>
  <c r="P556" i="34"/>
  <c r="O556" i="34"/>
  <c r="A556" i="34"/>
  <c r="Q562" i="34"/>
  <c r="O562" i="34"/>
  <c r="P562" i="34"/>
  <c r="U562" i="34"/>
  <c r="Z562" i="34"/>
  <c r="A562" i="34"/>
  <c r="O568" i="34"/>
  <c r="P568" i="34"/>
  <c r="Q568" i="34"/>
  <c r="U568" i="34"/>
  <c r="Z568" i="34"/>
  <c r="A568" i="34"/>
  <c r="O572" i="34"/>
  <c r="P572" i="34"/>
  <c r="Q572" i="34"/>
  <c r="U572" i="34"/>
  <c r="Z572" i="34"/>
  <c r="A572" i="34"/>
  <c r="P343" i="34"/>
  <c r="Q343" i="34"/>
  <c r="U343" i="34"/>
  <c r="Z343" i="34"/>
  <c r="O343" i="34"/>
  <c r="A343" i="34"/>
  <c r="Q533" i="34"/>
  <c r="U533" i="34"/>
  <c r="Z533" i="34"/>
  <c r="O533" i="34"/>
  <c r="P533" i="34"/>
  <c r="A533" i="34"/>
  <c r="Q598" i="34"/>
  <c r="U598" i="34"/>
  <c r="Z598" i="34"/>
  <c r="O598" i="34"/>
  <c r="P598" i="34"/>
  <c r="A598" i="34"/>
  <c r="Q594" i="34"/>
  <c r="U594" i="34"/>
  <c r="Z594" i="34"/>
  <c r="O594" i="34"/>
  <c r="P594" i="34"/>
  <c r="A594" i="34"/>
  <c r="O579" i="34"/>
  <c r="P579" i="34"/>
  <c r="Q579" i="34"/>
  <c r="U579" i="34"/>
  <c r="Z579" i="34"/>
  <c r="A579" i="34"/>
  <c r="O587" i="34"/>
  <c r="P587" i="34"/>
  <c r="Q587" i="34"/>
  <c r="U587" i="34"/>
  <c r="Z587" i="34"/>
  <c r="A587" i="34"/>
  <c r="O563" i="34"/>
  <c r="P563" i="34"/>
  <c r="Q563" i="34"/>
  <c r="U563" i="34"/>
  <c r="Z563" i="34"/>
  <c r="A563" i="34"/>
  <c r="O569" i="34"/>
  <c r="P569" i="34"/>
  <c r="Q569" i="34"/>
  <c r="U569" i="34"/>
  <c r="Z569" i="34"/>
  <c r="A569" i="34"/>
  <c r="Q553" i="34"/>
  <c r="U553" i="34"/>
  <c r="Z553" i="34"/>
  <c r="O553" i="34"/>
  <c r="P553" i="34"/>
  <c r="A553" i="34"/>
  <c r="Q545" i="34"/>
  <c r="U545" i="34"/>
  <c r="Z545" i="34"/>
  <c r="O545" i="34"/>
  <c r="P545" i="34"/>
  <c r="A545" i="34"/>
  <c r="Q536" i="34"/>
  <c r="U536" i="34"/>
  <c r="Z536" i="34"/>
  <c r="P536" i="34"/>
  <c r="O536" i="34"/>
  <c r="A536" i="34"/>
  <c r="Q590" i="34"/>
  <c r="U590" i="34"/>
  <c r="Z590" i="34"/>
  <c r="O590" i="34"/>
  <c r="P590" i="34"/>
  <c r="A590" i="34"/>
  <c r="O575" i="34"/>
  <c r="P575" i="34"/>
  <c r="Q575" i="34"/>
  <c r="U575" i="34"/>
  <c r="Z575" i="34"/>
  <c r="A575" i="34"/>
  <c r="O583" i="34"/>
  <c r="P583" i="34"/>
  <c r="Q583" i="34"/>
  <c r="U583" i="34"/>
  <c r="Z583" i="34"/>
  <c r="A583" i="34"/>
  <c r="Q557" i="34"/>
  <c r="U557" i="34"/>
  <c r="Z557" i="34"/>
  <c r="O557" i="34"/>
  <c r="P557" i="34"/>
  <c r="A557" i="34"/>
  <c r="O573" i="34"/>
  <c r="P573" i="34"/>
  <c r="Q573" i="34"/>
  <c r="U573" i="34"/>
  <c r="Z573" i="34"/>
  <c r="A573" i="34"/>
  <c r="P346" i="34"/>
  <c r="Q346" i="34"/>
  <c r="U346" i="34"/>
  <c r="Z346" i="34"/>
  <c r="O346" i="34"/>
  <c r="A346" i="34"/>
  <c r="P344" i="34"/>
  <c r="Q344" i="34"/>
  <c r="U344" i="34"/>
  <c r="Z344" i="34"/>
  <c r="O344" i="34"/>
  <c r="A344" i="34"/>
  <c r="Q554" i="34"/>
  <c r="U554" i="34"/>
  <c r="Z554" i="34"/>
  <c r="O554" i="34"/>
  <c r="P554" i="34"/>
  <c r="A554" i="34"/>
  <c r="Q550" i="34"/>
  <c r="U550" i="34"/>
  <c r="Z550" i="34"/>
  <c r="O550" i="34"/>
  <c r="P550" i="34"/>
  <c r="A550" i="34"/>
  <c r="Q542" i="34"/>
  <c r="U542" i="34"/>
  <c r="Z542" i="34"/>
  <c r="O542" i="34"/>
  <c r="P542" i="34"/>
  <c r="A542" i="34"/>
  <c r="Q546" i="34"/>
  <c r="U546" i="34"/>
  <c r="Z546" i="34"/>
  <c r="O546" i="34"/>
  <c r="P546" i="34"/>
  <c r="A546" i="34"/>
  <c r="Q534" i="34"/>
  <c r="U534" i="34"/>
  <c r="Z534" i="34"/>
  <c r="O534" i="34"/>
  <c r="P534" i="34"/>
  <c r="A534" i="34"/>
  <c r="Q560" i="34"/>
  <c r="U560" i="34"/>
  <c r="Z560" i="34"/>
  <c r="P560" i="34"/>
  <c r="O560" i="34"/>
  <c r="A560" i="34"/>
  <c r="Q600" i="34"/>
  <c r="U600" i="34"/>
  <c r="Z600" i="34"/>
  <c r="O600" i="34"/>
  <c r="P600" i="34"/>
  <c r="A600" i="34"/>
  <c r="Q537" i="34"/>
  <c r="U537" i="34"/>
  <c r="Z537" i="34"/>
  <c r="O537" i="34"/>
  <c r="P537" i="34"/>
  <c r="A537" i="34"/>
  <c r="Q601" i="34"/>
  <c r="U601" i="34"/>
  <c r="Z601" i="34"/>
  <c r="P601" i="34"/>
  <c r="O601" i="34"/>
  <c r="A601" i="34"/>
  <c r="Q591" i="34"/>
  <c r="U591" i="34"/>
  <c r="Z591" i="34"/>
  <c r="O591" i="34"/>
  <c r="P591" i="34"/>
  <c r="A591" i="34"/>
  <c r="Q595" i="34"/>
  <c r="U595" i="34"/>
  <c r="Z595" i="34"/>
  <c r="O595" i="34"/>
  <c r="P595" i="34"/>
  <c r="A595" i="34"/>
  <c r="O576" i="34"/>
  <c r="P576" i="34"/>
  <c r="Q576" i="34"/>
  <c r="U576" i="34"/>
  <c r="Z576" i="34"/>
  <c r="A576" i="34"/>
  <c r="O580" i="34"/>
  <c r="P580" i="34"/>
  <c r="Q580" i="34"/>
  <c r="U580" i="34"/>
  <c r="Z580" i="34"/>
  <c r="A580" i="34"/>
  <c r="O584" i="34"/>
  <c r="P584" i="34"/>
  <c r="Q584" i="34"/>
  <c r="U584" i="34"/>
  <c r="Z584" i="34"/>
  <c r="A584" i="34"/>
  <c r="O588" i="34"/>
  <c r="P588" i="34"/>
  <c r="Q588" i="34"/>
  <c r="U588" i="34"/>
  <c r="Z588" i="34"/>
  <c r="A588" i="34"/>
  <c r="Q558" i="34"/>
  <c r="U558" i="34"/>
  <c r="Z558" i="34"/>
  <c r="O558" i="34"/>
  <c r="P558" i="34"/>
  <c r="A558" i="34"/>
  <c r="O565" i="34"/>
  <c r="P565" i="34"/>
  <c r="Q565" i="34"/>
  <c r="U565" i="34"/>
  <c r="Z565" i="34"/>
  <c r="A565" i="34"/>
  <c r="O570" i="34"/>
  <c r="P570" i="34"/>
  <c r="Q570" i="34"/>
  <c r="U570" i="34"/>
  <c r="Z570" i="34"/>
  <c r="A570" i="34"/>
  <c r="O574" i="34"/>
  <c r="P574" i="34"/>
  <c r="Q574" i="34"/>
  <c r="U574" i="34"/>
  <c r="Z574" i="34"/>
  <c r="A574" i="34"/>
  <c r="Q549" i="34"/>
  <c r="U549" i="34"/>
  <c r="Z549" i="34"/>
  <c r="O549" i="34"/>
  <c r="P549" i="34"/>
  <c r="A549" i="34"/>
  <c r="Q559" i="34"/>
  <c r="U559" i="34"/>
  <c r="Z559" i="34"/>
  <c r="O559" i="34"/>
  <c r="P559" i="34"/>
  <c r="A559" i="34"/>
  <c r="Q606" i="34"/>
  <c r="U606" i="34"/>
  <c r="Z606" i="34"/>
  <c r="O606" i="34"/>
  <c r="P606" i="34"/>
  <c r="A606" i="34"/>
  <c r="Q543" i="34"/>
  <c r="U543" i="34"/>
  <c r="Z543" i="34"/>
  <c r="O543" i="34"/>
  <c r="P543" i="34"/>
  <c r="A543" i="34"/>
  <c r="Q540" i="34"/>
  <c r="U540" i="34"/>
  <c r="Z540" i="34"/>
  <c r="P540" i="34"/>
  <c r="O540" i="34"/>
  <c r="A540" i="34"/>
  <c r="Q608" i="34"/>
  <c r="U608" i="34"/>
  <c r="Z608" i="34"/>
  <c r="O608" i="34"/>
  <c r="P608" i="34"/>
  <c r="A608" i="34"/>
  <c r="Q604" i="34"/>
  <c r="U604" i="34"/>
  <c r="Z604" i="34"/>
  <c r="O604" i="34"/>
  <c r="P604" i="34"/>
  <c r="A604" i="34"/>
  <c r="Q602" i="34"/>
  <c r="U602" i="34"/>
  <c r="Z602" i="34"/>
  <c r="O602" i="34"/>
  <c r="P602" i="34"/>
  <c r="A602" i="34"/>
  <c r="Q596" i="34"/>
  <c r="U596" i="34"/>
  <c r="Z596" i="34"/>
  <c r="O596" i="34"/>
  <c r="P596" i="34"/>
  <c r="A596" i="34"/>
  <c r="O577" i="34"/>
  <c r="P577" i="34"/>
  <c r="Q577" i="34"/>
  <c r="U577" i="34"/>
  <c r="Z577" i="34"/>
  <c r="A577" i="34"/>
  <c r="O581" i="34"/>
  <c r="P581" i="34"/>
  <c r="Q581" i="34"/>
  <c r="U581" i="34"/>
  <c r="Z581" i="34"/>
  <c r="A581" i="34"/>
  <c r="O585" i="34"/>
  <c r="P585" i="34"/>
  <c r="Q585" i="34"/>
  <c r="U585" i="34"/>
  <c r="Z585" i="34"/>
  <c r="A585" i="34"/>
  <c r="Q589" i="34"/>
  <c r="U589" i="34"/>
  <c r="Z589" i="34"/>
  <c r="P589" i="34"/>
  <c r="O589" i="34"/>
  <c r="A589" i="34"/>
  <c r="Q561" i="34"/>
  <c r="U561" i="34"/>
  <c r="Z561" i="34"/>
  <c r="O561" i="34"/>
  <c r="P561" i="34"/>
  <c r="A561" i="34"/>
  <c r="O567" i="34"/>
  <c r="P567" i="34"/>
  <c r="Q567" i="34"/>
  <c r="U567" i="34"/>
  <c r="Z567" i="34"/>
  <c r="A567" i="34"/>
  <c r="O571" i="34"/>
  <c r="P571" i="34"/>
  <c r="Q571" i="34"/>
  <c r="U571" i="34"/>
  <c r="Z571" i="34"/>
  <c r="A571" i="34"/>
  <c r="K910" i="34"/>
  <c r="K3273" i="34"/>
  <c r="C3273" i="34"/>
  <c r="B3273" i="34" s="1"/>
  <c r="C2690" i="34"/>
  <c r="B2690" i="34" s="1"/>
  <c r="K2689" i="34"/>
  <c r="C2689" i="34"/>
  <c r="B2689" i="34" s="1"/>
  <c r="C2629" i="34"/>
  <c r="B2629" i="34" s="1"/>
  <c r="K2628" i="34"/>
  <c r="C2628" i="34"/>
  <c r="B2628" i="34" s="1"/>
  <c r="O142" i="60"/>
  <c r="C142" i="60" s="1"/>
  <c r="L142" i="60"/>
  <c r="C2635" i="34"/>
  <c r="B2635" i="34" s="1"/>
  <c r="K2634" i="34"/>
  <c r="C2634" i="34"/>
  <c r="B2634" i="34" s="1"/>
  <c r="K2633" i="34"/>
  <c r="C2633" i="34"/>
  <c r="B2633" i="34" s="1"/>
  <c r="P2634" i="34" l="1"/>
  <c r="Q2634" i="34"/>
  <c r="U2634" i="34"/>
  <c r="Z2634" i="34"/>
  <c r="O2634" i="34"/>
  <c r="A2634" i="34"/>
  <c r="P2633" i="34"/>
  <c r="Q2633" i="34"/>
  <c r="U2633" i="34"/>
  <c r="Z2633" i="34"/>
  <c r="O2633" i="34"/>
  <c r="A2633" i="34"/>
  <c r="P2635" i="34"/>
  <c r="Q2635" i="34"/>
  <c r="U2635" i="34"/>
  <c r="Z2635" i="34"/>
  <c r="O2635" i="34"/>
  <c r="A2635" i="34"/>
  <c r="P2690" i="34"/>
  <c r="Q2690" i="34"/>
  <c r="U2690" i="34"/>
  <c r="Z2690" i="34"/>
  <c r="O2690" i="34"/>
  <c r="A2690" i="34"/>
  <c r="Q3273" i="34"/>
  <c r="U3273" i="34"/>
  <c r="Z3273" i="34"/>
  <c r="O3273" i="34"/>
  <c r="P3273" i="34"/>
  <c r="A3273" i="34"/>
  <c r="P2629" i="34"/>
  <c r="Q2629" i="34"/>
  <c r="U2629" i="34"/>
  <c r="Z2629" i="34"/>
  <c r="O2629" i="34"/>
  <c r="A2629" i="34"/>
  <c r="P2689" i="34"/>
  <c r="Q2689" i="34"/>
  <c r="U2689" i="34"/>
  <c r="Z2689" i="34"/>
  <c r="O2689" i="34"/>
  <c r="A2689" i="34"/>
  <c r="P2628" i="34"/>
  <c r="Q2628" i="34"/>
  <c r="U2628" i="34"/>
  <c r="Z2628" i="34"/>
  <c r="O2628" i="34"/>
  <c r="A2628" i="34"/>
  <c r="C234" i="34"/>
  <c r="B234" i="34" s="1"/>
  <c r="A148" i="60"/>
  <c r="C3254" i="34"/>
  <c r="B3254" i="34" s="1"/>
  <c r="C3253" i="34"/>
  <c r="B3253" i="34" s="1"/>
  <c r="C3252" i="34"/>
  <c r="B3252" i="34" s="1"/>
  <c r="C3251" i="34"/>
  <c r="B3251" i="34" s="1"/>
  <c r="C3250" i="34"/>
  <c r="B3250" i="34" s="1"/>
  <c r="C3249" i="34"/>
  <c r="B3249" i="34" s="1"/>
  <c r="C3248" i="34"/>
  <c r="B3248" i="34" s="1"/>
  <c r="C3247" i="34"/>
  <c r="B3247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257" i="34"/>
  <c r="C3257" i="34"/>
  <c r="B3257" i="34" s="1"/>
  <c r="K3256" i="34"/>
  <c r="C3256" i="34"/>
  <c r="B3256" i="34" s="1"/>
  <c r="C3255" i="34"/>
  <c r="B3255" i="34" s="1"/>
  <c r="K3266" i="34"/>
  <c r="C3266" i="34"/>
  <c r="B3266" i="34" s="1"/>
  <c r="K3265" i="34"/>
  <c r="C3265" i="34"/>
  <c r="B3265" i="34" s="1"/>
  <c r="K3264" i="34"/>
  <c r="C3264" i="34"/>
  <c r="B3264" i="34" s="1"/>
  <c r="K3263" i="34"/>
  <c r="C3263" i="34"/>
  <c r="B3263" i="34" s="1"/>
  <c r="K3238" i="34"/>
  <c r="C3238" i="34"/>
  <c r="B3238" i="34" s="1"/>
  <c r="K3237" i="34"/>
  <c r="C3237" i="34"/>
  <c r="B3237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C3229" i="34"/>
  <c r="B3229" i="34" s="1"/>
  <c r="C3228" i="34"/>
  <c r="B3228" i="34" s="1"/>
  <c r="C3227" i="34"/>
  <c r="B3227" i="34" s="1"/>
  <c r="C3226" i="34"/>
  <c r="B3226" i="34" s="1"/>
  <c r="C3225" i="34"/>
  <c r="B3225" i="34" s="1"/>
  <c r="C3224" i="34"/>
  <c r="B3224" i="34" s="1"/>
  <c r="C3223" i="34"/>
  <c r="B3223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240" i="34"/>
  <c r="C3240" i="34"/>
  <c r="B3240" i="34" s="1"/>
  <c r="K3239" i="34"/>
  <c r="C3239" i="34"/>
  <c r="B3239" i="34" s="1"/>
  <c r="K3221" i="34"/>
  <c r="C3221" i="34"/>
  <c r="B3221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O127" i="60"/>
  <c r="C127" i="60" s="1"/>
  <c r="L127" i="60"/>
  <c r="G125" i="60"/>
  <c r="O118" i="60"/>
  <c r="C118" i="60" s="1"/>
  <c r="L118" i="60"/>
  <c r="O122" i="60"/>
  <c r="C122" i="60" s="1"/>
  <c r="L122" i="60"/>
  <c r="O121" i="60"/>
  <c r="C121" i="60" s="1"/>
  <c r="L121" i="60"/>
  <c r="O120" i="60"/>
  <c r="C120" i="60" s="1"/>
  <c r="L120" i="60"/>
  <c r="O119" i="60"/>
  <c r="C119" i="60" s="1"/>
  <c r="L119" i="60"/>
  <c r="O124" i="60"/>
  <c r="C124" i="60" s="1"/>
  <c r="L124" i="60"/>
  <c r="O123" i="60"/>
  <c r="C123" i="60" s="1"/>
  <c r="L123" i="60"/>
  <c r="O126" i="60"/>
  <c r="C126" i="60" s="1"/>
  <c r="L126" i="60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G112" i="60"/>
  <c r="G114" i="60"/>
  <c r="G115" i="60"/>
  <c r="O111" i="60"/>
  <c r="C111" i="60" s="1"/>
  <c r="L111" i="60"/>
  <c r="O110" i="60"/>
  <c r="C110" i="60" s="1"/>
  <c r="L110" i="60"/>
  <c r="O113" i="60"/>
  <c r="C113" i="60" s="1"/>
  <c r="L113" i="60"/>
  <c r="O112" i="60"/>
  <c r="C112" i="60" s="1"/>
  <c r="L112" i="60"/>
  <c r="O114" i="60"/>
  <c r="C114" i="60" s="1"/>
  <c r="L114" i="60"/>
  <c r="K3201" i="34"/>
  <c r="C3201" i="34"/>
  <c r="B3201" i="34" s="1"/>
  <c r="K3203" i="34"/>
  <c r="C3203" i="34"/>
  <c r="B3203" i="34" s="1"/>
  <c r="K3202" i="34"/>
  <c r="C3202" i="34"/>
  <c r="B3202" i="34" s="1"/>
  <c r="K3200" i="34"/>
  <c r="C3200" i="34"/>
  <c r="B3200" i="34" s="1"/>
  <c r="Q3200" i="34" l="1"/>
  <c r="U3200" i="34"/>
  <c r="Z3200" i="34"/>
  <c r="O3200" i="34"/>
  <c r="P3200" i="34"/>
  <c r="A3200" i="34"/>
  <c r="Q3203" i="34"/>
  <c r="U3203" i="34"/>
  <c r="Z3203" i="34"/>
  <c r="P3203" i="34"/>
  <c r="O3203" i="34"/>
  <c r="A3203" i="34"/>
  <c r="Q3213" i="34"/>
  <c r="U3213" i="34"/>
  <c r="Z3213" i="34"/>
  <c r="O3213" i="34"/>
  <c r="P3213" i="34"/>
  <c r="A3213" i="34"/>
  <c r="Q3215" i="34"/>
  <c r="U3215" i="34"/>
  <c r="Z3215" i="34"/>
  <c r="P3215" i="34"/>
  <c r="O3215" i="34"/>
  <c r="A3215" i="34"/>
  <c r="Q3217" i="34"/>
  <c r="U3217" i="34"/>
  <c r="Z3217" i="34"/>
  <c r="O3217" i="34"/>
  <c r="P3217" i="34"/>
  <c r="A3217" i="34"/>
  <c r="Q3219" i="34"/>
  <c r="U3219" i="34"/>
  <c r="Z3219" i="34"/>
  <c r="P3219" i="34"/>
  <c r="O3219" i="34"/>
  <c r="A3219" i="34"/>
  <c r="Q3221" i="34"/>
  <c r="U3221" i="34"/>
  <c r="Z3221" i="34"/>
  <c r="O3221" i="34"/>
  <c r="P3221" i="34"/>
  <c r="A3221" i="34"/>
  <c r="Q3240" i="34"/>
  <c r="U3240" i="34"/>
  <c r="Z3240" i="34"/>
  <c r="O3240" i="34"/>
  <c r="P3240" i="34"/>
  <c r="A3240" i="34"/>
  <c r="Q3242" i="34"/>
  <c r="U3242" i="34"/>
  <c r="Z3242" i="34"/>
  <c r="O3242" i="34"/>
  <c r="P3242" i="34"/>
  <c r="A3242" i="34"/>
  <c r="Q3244" i="34"/>
  <c r="U3244" i="34"/>
  <c r="Z3244" i="34"/>
  <c r="O3244" i="34"/>
  <c r="P3244" i="34"/>
  <c r="A3244" i="34"/>
  <c r="Q3246" i="34"/>
  <c r="U3246" i="34"/>
  <c r="Z3246" i="34"/>
  <c r="O3246" i="34"/>
  <c r="P3246" i="34"/>
  <c r="A3246" i="34"/>
  <c r="Q3225" i="34"/>
  <c r="U3225" i="34"/>
  <c r="Z3225" i="34"/>
  <c r="O3225" i="34"/>
  <c r="P3225" i="34"/>
  <c r="A3225" i="34"/>
  <c r="Q3229" i="34"/>
  <c r="U3229" i="34"/>
  <c r="Z3229" i="34"/>
  <c r="O3229" i="34"/>
  <c r="P3229" i="34"/>
  <c r="A3229" i="34"/>
  <c r="Q3256" i="34"/>
  <c r="U3256" i="34"/>
  <c r="Z3256" i="34"/>
  <c r="O3256" i="34"/>
  <c r="P3256" i="34"/>
  <c r="A3256" i="34"/>
  <c r="Q3258" i="34"/>
  <c r="U3258" i="34"/>
  <c r="Z3258" i="34"/>
  <c r="O3258" i="34"/>
  <c r="P3258" i="34"/>
  <c r="A3258" i="34"/>
  <c r="Q3260" i="34"/>
  <c r="U3260" i="34"/>
  <c r="Z3260" i="34"/>
  <c r="O3260" i="34"/>
  <c r="P3260" i="34"/>
  <c r="A3260" i="34"/>
  <c r="Q3262" i="34"/>
  <c r="U3262" i="34"/>
  <c r="Z3262" i="34"/>
  <c r="O3262" i="34"/>
  <c r="P3262" i="34"/>
  <c r="A3262" i="34"/>
  <c r="Q3249" i="34"/>
  <c r="U3249" i="34"/>
  <c r="Z3249" i="34"/>
  <c r="O3249" i="34"/>
  <c r="P3249" i="34"/>
  <c r="A3249" i="34"/>
  <c r="Q3253" i="34"/>
  <c r="U3253" i="34"/>
  <c r="Z3253" i="34"/>
  <c r="O3253" i="34"/>
  <c r="P3253" i="34"/>
  <c r="A3253" i="34"/>
  <c r="Q3205" i="34"/>
  <c r="U3205" i="34"/>
  <c r="Z3205" i="34"/>
  <c r="O3205" i="34"/>
  <c r="P3205" i="34"/>
  <c r="A3205" i="34"/>
  <c r="Q3207" i="34"/>
  <c r="U3207" i="34"/>
  <c r="Z3207" i="34"/>
  <c r="P3207" i="34"/>
  <c r="O3207" i="34"/>
  <c r="A3207" i="34"/>
  <c r="Q3209" i="34"/>
  <c r="U3209" i="34"/>
  <c r="Z3209" i="34"/>
  <c r="O3209" i="34"/>
  <c r="P3209" i="34"/>
  <c r="A3209" i="34"/>
  <c r="Q3226" i="34"/>
  <c r="U3226" i="34"/>
  <c r="Z3226" i="34"/>
  <c r="O3226" i="34"/>
  <c r="P3226" i="34"/>
  <c r="A3226" i="34"/>
  <c r="Q3230" i="34"/>
  <c r="U3230" i="34"/>
  <c r="Z3230" i="34"/>
  <c r="O3230" i="34"/>
  <c r="P3230" i="34"/>
  <c r="A3230" i="34"/>
  <c r="Q3232" i="34"/>
  <c r="U3232" i="34"/>
  <c r="Z3232" i="34"/>
  <c r="O3232" i="34"/>
  <c r="P3232" i="34"/>
  <c r="A3232" i="34"/>
  <c r="Q3234" i="34"/>
  <c r="U3234" i="34"/>
  <c r="Z3234" i="34"/>
  <c r="O3234" i="34"/>
  <c r="P3234" i="34"/>
  <c r="A3234" i="34"/>
  <c r="Q3236" i="34"/>
  <c r="U3236" i="34"/>
  <c r="Z3236" i="34"/>
  <c r="O3236" i="34"/>
  <c r="P3236" i="34"/>
  <c r="A3236" i="34"/>
  <c r="Q3238" i="34"/>
  <c r="U3238" i="34"/>
  <c r="Z3238" i="34"/>
  <c r="O3238" i="34"/>
  <c r="P3238" i="34"/>
  <c r="A3238" i="34"/>
  <c r="Q3264" i="34"/>
  <c r="U3264" i="34"/>
  <c r="Z3264" i="34"/>
  <c r="O3264" i="34"/>
  <c r="P3264" i="34"/>
  <c r="A3264" i="34"/>
  <c r="Q3266" i="34"/>
  <c r="U3266" i="34"/>
  <c r="Z3266" i="34"/>
  <c r="O3266" i="34"/>
  <c r="P3266" i="34"/>
  <c r="A3266" i="34"/>
  <c r="Q3250" i="34"/>
  <c r="U3250" i="34"/>
  <c r="Z3250" i="34"/>
  <c r="O3250" i="34"/>
  <c r="P3250" i="34"/>
  <c r="A3250" i="34"/>
  <c r="Q3254" i="34"/>
  <c r="U3254" i="34"/>
  <c r="Z3254" i="34"/>
  <c r="O3254" i="34"/>
  <c r="P3254" i="34"/>
  <c r="A3254" i="34"/>
  <c r="Q3202" i="34"/>
  <c r="U3202" i="34"/>
  <c r="Z3202" i="34"/>
  <c r="O3202" i="34"/>
  <c r="P3202" i="34"/>
  <c r="A3202" i="34"/>
  <c r="Q3201" i="34"/>
  <c r="U3201" i="34"/>
  <c r="Z3201" i="34"/>
  <c r="O3201" i="34"/>
  <c r="P3201" i="34"/>
  <c r="A3201" i="34"/>
  <c r="Q3214" i="34"/>
  <c r="U3214" i="34"/>
  <c r="Z3214" i="34"/>
  <c r="O3214" i="34"/>
  <c r="P3214" i="34"/>
  <c r="A3214" i="34"/>
  <c r="Q3216" i="34"/>
  <c r="U3216" i="34"/>
  <c r="Z3216" i="34"/>
  <c r="O3216" i="34"/>
  <c r="P3216" i="34"/>
  <c r="A3216" i="34"/>
  <c r="Q3218" i="34"/>
  <c r="U3218" i="34"/>
  <c r="Z3218" i="34"/>
  <c r="O3218" i="34"/>
  <c r="P3218" i="34"/>
  <c r="A3218" i="34"/>
  <c r="Q3220" i="34"/>
  <c r="U3220" i="34"/>
  <c r="Z3220" i="34"/>
  <c r="O3220" i="34"/>
  <c r="P3220" i="34"/>
  <c r="A3220" i="34"/>
  <c r="Q3239" i="34"/>
  <c r="U3239" i="34"/>
  <c r="Z3239" i="34"/>
  <c r="P3239" i="34"/>
  <c r="O3239" i="34"/>
  <c r="A3239" i="34"/>
  <c r="Q3241" i="34"/>
  <c r="U3241" i="34"/>
  <c r="Z3241" i="34"/>
  <c r="O3241" i="34"/>
  <c r="P3241" i="34"/>
  <c r="A3241" i="34"/>
  <c r="Q3243" i="34"/>
  <c r="U3243" i="34"/>
  <c r="Z3243" i="34"/>
  <c r="P3243" i="34"/>
  <c r="O3243" i="34"/>
  <c r="A3243" i="34"/>
  <c r="Q3245" i="34"/>
  <c r="U3245" i="34"/>
  <c r="Z3245" i="34"/>
  <c r="O3245" i="34"/>
  <c r="P3245" i="34"/>
  <c r="A3245" i="34"/>
  <c r="Q3223" i="34"/>
  <c r="U3223" i="34"/>
  <c r="Z3223" i="34"/>
  <c r="P3223" i="34"/>
  <c r="O3223" i="34"/>
  <c r="A3223" i="34"/>
  <c r="Q3227" i="34"/>
  <c r="U3227" i="34"/>
  <c r="Z3227" i="34"/>
  <c r="P3227" i="34"/>
  <c r="O3227" i="34"/>
  <c r="A3227" i="34"/>
  <c r="Q3257" i="34"/>
  <c r="U3257" i="34"/>
  <c r="Z3257" i="34"/>
  <c r="O3257" i="34"/>
  <c r="P3257" i="34"/>
  <c r="A3257" i="34"/>
  <c r="Q3259" i="34"/>
  <c r="U3259" i="34"/>
  <c r="Z3259" i="34"/>
  <c r="P3259" i="34"/>
  <c r="O3259" i="34"/>
  <c r="A3259" i="34"/>
  <c r="Q3261" i="34"/>
  <c r="U3261" i="34"/>
  <c r="Z3261" i="34"/>
  <c r="O3261" i="34"/>
  <c r="P3261" i="34"/>
  <c r="A3261" i="34"/>
  <c r="Q3247" i="34"/>
  <c r="U3247" i="34"/>
  <c r="Z3247" i="34"/>
  <c r="P3247" i="34"/>
  <c r="O3247" i="34"/>
  <c r="A3247" i="34"/>
  <c r="Q3251" i="34"/>
  <c r="U3251" i="34"/>
  <c r="Z3251" i="34"/>
  <c r="P3251" i="34"/>
  <c r="O3251" i="34"/>
  <c r="A3251" i="34"/>
  <c r="Q3206" i="34"/>
  <c r="U3206" i="34"/>
  <c r="Z3206" i="34"/>
  <c r="O3206" i="34"/>
  <c r="P3206" i="34"/>
  <c r="A3206" i="34"/>
  <c r="Q3208" i="34"/>
  <c r="U3208" i="34"/>
  <c r="Z3208" i="34"/>
  <c r="O3208" i="34"/>
  <c r="P3208" i="34"/>
  <c r="A3208" i="34"/>
  <c r="Q3210" i="34"/>
  <c r="U3210" i="34"/>
  <c r="Z3210" i="34"/>
  <c r="O3210" i="34"/>
  <c r="P3210" i="34"/>
  <c r="A3210" i="34"/>
  <c r="Q3224" i="34"/>
  <c r="U3224" i="34"/>
  <c r="Z3224" i="34"/>
  <c r="O3224" i="34"/>
  <c r="P3224" i="34"/>
  <c r="A3224" i="34"/>
  <c r="Q3228" i="34"/>
  <c r="U3228" i="34"/>
  <c r="Z3228" i="34"/>
  <c r="O3228" i="34"/>
  <c r="P3228" i="34"/>
  <c r="A3228" i="34"/>
  <c r="Q3231" i="34"/>
  <c r="U3231" i="34"/>
  <c r="Z3231" i="34"/>
  <c r="P3231" i="34"/>
  <c r="O3231" i="34"/>
  <c r="A3231" i="34"/>
  <c r="Q3233" i="34"/>
  <c r="U3233" i="34"/>
  <c r="Z3233" i="34"/>
  <c r="O3233" i="34"/>
  <c r="P3233" i="34"/>
  <c r="A3233" i="34"/>
  <c r="Q3235" i="34"/>
  <c r="U3235" i="34"/>
  <c r="Z3235" i="34"/>
  <c r="P3235" i="34"/>
  <c r="O3235" i="34"/>
  <c r="A3235" i="34"/>
  <c r="Q3237" i="34"/>
  <c r="U3237" i="34"/>
  <c r="Z3237" i="34"/>
  <c r="O3237" i="34"/>
  <c r="P3237" i="34"/>
  <c r="A3237" i="34"/>
  <c r="Q3263" i="34"/>
  <c r="U3263" i="34"/>
  <c r="Z3263" i="34"/>
  <c r="P3263" i="34"/>
  <c r="O3263" i="34"/>
  <c r="A3263" i="34"/>
  <c r="Q3265" i="34"/>
  <c r="U3265" i="34"/>
  <c r="Z3265" i="34"/>
  <c r="O3265" i="34"/>
  <c r="P3265" i="34"/>
  <c r="A3265" i="34"/>
  <c r="Q3255" i="34"/>
  <c r="U3255" i="34"/>
  <c r="Z3255" i="34"/>
  <c r="P3255" i="34"/>
  <c r="O3255" i="34"/>
  <c r="A3255" i="34"/>
  <c r="Q3248" i="34"/>
  <c r="U3248" i="34"/>
  <c r="Z3248" i="34"/>
  <c r="O3248" i="34"/>
  <c r="P3248" i="34"/>
  <c r="A3248" i="34"/>
  <c r="Q3252" i="34"/>
  <c r="U3252" i="34"/>
  <c r="Z3252" i="34"/>
  <c r="O3252" i="34"/>
  <c r="P3252" i="34"/>
  <c r="A3252" i="34"/>
  <c r="Q234" i="34"/>
  <c r="U234" i="34"/>
  <c r="Z234" i="34"/>
  <c r="O234" i="34"/>
  <c r="P234" i="34"/>
  <c r="A234" i="34"/>
  <c r="G107" i="60"/>
  <c r="G108" i="60"/>
  <c r="G105" i="60"/>
  <c r="O106" i="60"/>
  <c r="C106" i="60" s="1"/>
  <c r="L106" i="60"/>
  <c r="O105" i="60"/>
  <c r="C105" i="60" s="1"/>
  <c r="L105" i="60"/>
  <c r="O107" i="60"/>
  <c r="C107" i="60" s="1"/>
  <c r="L107" i="60"/>
  <c r="K3095" i="34"/>
  <c r="C3095" i="34"/>
  <c r="B3095" i="34" s="1"/>
  <c r="K3094" i="34"/>
  <c r="C3094" i="34"/>
  <c r="B3094" i="34" s="1"/>
  <c r="K3093" i="34"/>
  <c r="C3093" i="34"/>
  <c r="B3093" i="34" s="1"/>
  <c r="K3042" i="34"/>
  <c r="C3042" i="34"/>
  <c r="B3042" i="34" s="1"/>
  <c r="K3041" i="34"/>
  <c r="C3041" i="34"/>
  <c r="B3041" i="34" s="1"/>
  <c r="K3040" i="34"/>
  <c r="C3040" i="34"/>
  <c r="B3040" i="34" s="1"/>
  <c r="K2989" i="34"/>
  <c r="C2989" i="34"/>
  <c r="B2989" i="34" s="1"/>
  <c r="K2988" i="34"/>
  <c r="C2988" i="34"/>
  <c r="B2988" i="34" s="1"/>
  <c r="K2987" i="34"/>
  <c r="C2987" i="34"/>
  <c r="B2987" i="34" s="1"/>
  <c r="O83" i="60"/>
  <c r="C83" i="60" s="1"/>
  <c r="L83" i="60"/>
  <c r="O82" i="60"/>
  <c r="C82" i="60" s="1"/>
  <c r="L82" i="60"/>
  <c r="L84" i="60"/>
  <c r="L108" i="60"/>
  <c r="L115" i="60"/>
  <c r="L125" i="60"/>
  <c r="Q2987" i="34" l="1"/>
  <c r="U2987" i="34"/>
  <c r="Z2987" i="34"/>
  <c r="P2987" i="34"/>
  <c r="O2987" i="34"/>
  <c r="A2987" i="34"/>
  <c r="Q2989" i="34"/>
  <c r="U2989" i="34"/>
  <c r="Z2989" i="34"/>
  <c r="O2989" i="34"/>
  <c r="P2989" i="34"/>
  <c r="A2989" i="34"/>
  <c r="Q3041" i="34"/>
  <c r="U3041" i="34"/>
  <c r="Z3041" i="34"/>
  <c r="O3041" i="34"/>
  <c r="P3041" i="34"/>
  <c r="A3041" i="34"/>
  <c r="Q3093" i="34"/>
  <c r="U3093" i="34"/>
  <c r="Z3093" i="34"/>
  <c r="O3093" i="34"/>
  <c r="P3093" i="34"/>
  <c r="A3093" i="34"/>
  <c r="Q3095" i="34"/>
  <c r="U3095" i="34"/>
  <c r="Z3095" i="34"/>
  <c r="P3095" i="34"/>
  <c r="O3095" i="34"/>
  <c r="A3095" i="34"/>
  <c r="Q2988" i="34"/>
  <c r="U2988" i="34"/>
  <c r="Z2988" i="34"/>
  <c r="O2988" i="34"/>
  <c r="P2988" i="34"/>
  <c r="A2988" i="34"/>
  <c r="Q3040" i="34"/>
  <c r="U3040" i="34"/>
  <c r="Z3040" i="34"/>
  <c r="O3040" i="34"/>
  <c r="P3040" i="34"/>
  <c r="A3040" i="34"/>
  <c r="Q3042" i="34"/>
  <c r="U3042" i="34"/>
  <c r="Z3042" i="34"/>
  <c r="O3042" i="34"/>
  <c r="P3042" i="34"/>
  <c r="A3042" i="34"/>
  <c r="Q3094" i="34"/>
  <c r="U3094" i="34"/>
  <c r="Z3094" i="34"/>
  <c r="O3094" i="34"/>
  <c r="P3094" i="34"/>
  <c r="A3094" i="34"/>
  <c r="G149" i="60"/>
  <c r="A357" i="55"/>
  <c r="A399" i="55"/>
  <c r="A541" i="55"/>
  <c r="A505" i="55"/>
  <c r="A208" i="55"/>
  <c r="A469" i="55"/>
  <c r="A591" i="55"/>
  <c r="A627" i="55"/>
  <c r="A274" i="55"/>
  <c r="A72" i="55"/>
  <c r="A501" i="55"/>
  <c r="A493" i="55"/>
  <c r="A292" i="55"/>
  <c r="A214" i="55"/>
  <c r="A581" i="55"/>
  <c r="A610" i="55"/>
  <c r="A506" i="55"/>
  <c r="A659" i="55"/>
  <c r="A425" i="55"/>
  <c r="A356" i="55"/>
  <c r="A420" i="55"/>
  <c r="A344" i="55"/>
  <c r="A410" i="55"/>
  <c r="A365" i="55"/>
  <c r="A353" i="55"/>
  <c r="A460" i="55"/>
  <c r="A279" i="55"/>
  <c r="A237" i="55"/>
  <c r="A685" i="55"/>
  <c r="A686" i="55"/>
  <c r="C3274" i="34"/>
  <c r="C3275" i="34"/>
  <c r="C3276" i="34"/>
  <c r="C3277" i="34"/>
  <c r="C3278" i="34"/>
  <c r="C3279" i="34"/>
  <c r="C3280" i="34"/>
  <c r="C3281" i="34"/>
  <c r="C3282" i="34"/>
  <c r="C3283" i="34"/>
  <c r="C3284" i="34"/>
  <c r="C3285" i="34"/>
  <c r="C3286" i="34"/>
  <c r="C3287" i="34"/>
  <c r="C3288" i="34"/>
  <c r="C3289" i="34"/>
  <c r="C3290" i="34"/>
  <c r="C3291" i="34"/>
  <c r="C3292" i="34"/>
  <c r="C3293" i="34"/>
  <c r="C3294" i="34"/>
  <c r="C3295" i="34"/>
  <c r="C3296" i="34"/>
  <c r="C3297" i="34"/>
  <c r="C3298" i="34"/>
  <c r="C3299" i="34"/>
  <c r="C3300" i="34"/>
  <c r="C3301" i="34"/>
  <c r="C3302" i="34"/>
  <c r="C3303" i="34"/>
  <c r="C3304" i="34"/>
  <c r="C3305" i="34"/>
  <c r="C3306" i="34"/>
  <c r="C3307" i="34"/>
  <c r="C3308" i="34"/>
  <c r="C3309" i="34"/>
  <c r="C3310" i="34"/>
  <c r="C3311" i="34"/>
  <c r="C3312" i="34"/>
  <c r="C3313" i="34"/>
  <c r="C3314" i="34"/>
  <c r="C3315" i="34"/>
  <c r="C3316" i="34"/>
  <c r="C3317" i="34"/>
  <c r="C3318" i="34"/>
  <c r="C3319" i="34"/>
  <c r="C3320" i="34"/>
  <c r="C3321" i="34"/>
  <c r="C3322" i="34"/>
  <c r="C3323" i="34"/>
  <c r="C3324" i="34"/>
  <c r="C3325" i="34"/>
  <c r="C3326" i="34"/>
  <c r="C3327" i="34"/>
  <c r="C3328" i="34"/>
  <c r="C3329" i="34"/>
  <c r="C3330" i="34"/>
  <c r="C3331" i="34"/>
  <c r="C3332" i="34"/>
  <c r="C3333" i="34"/>
  <c r="C3334" i="34"/>
  <c r="C3335" i="34"/>
  <c r="C3336" i="34"/>
  <c r="C3337" i="34"/>
  <c r="C3338" i="34"/>
  <c r="C3339" i="34"/>
  <c r="C3340" i="34"/>
  <c r="C3341" i="34"/>
  <c r="C3342" i="34"/>
  <c r="C3343" i="34"/>
  <c r="C3344" i="34"/>
  <c r="C3345" i="34"/>
  <c r="C3346" i="34"/>
  <c r="C3347" i="34"/>
  <c r="C3348" i="34"/>
  <c r="C3349" i="34"/>
  <c r="C3350" i="34"/>
  <c r="C3351" i="34"/>
  <c r="C3352" i="34"/>
  <c r="C3353" i="34"/>
  <c r="C3354" i="34"/>
  <c r="C3355" i="34"/>
  <c r="C3356" i="34"/>
  <c r="C3357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49" i="34"/>
  <c r="K3350" i="34"/>
  <c r="K3351" i="34"/>
  <c r="K3352" i="34"/>
  <c r="K3353" i="34"/>
  <c r="K3354" i="34"/>
  <c r="K3355" i="34"/>
  <c r="K3356" i="34"/>
  <c r="K3357" i="34"/>
  <c r="C909" i="34"/>
  <c r="B909" i="34" s="1"/>
  <c r="C908" i="34"/>
  <c r="B908" i="34" s="1"/>
  <c r="C2658" i="34"/>
  <c r="B2658" i="34" s="1"/>
  <c r="C2726" i="34"/>
  <c r="B2726" i="34" s="1"/>
  <c r="P2658" i="34" l="1"/>
  <c r="Q2658" i="34"/>
  <c r="U2658" i="34"/>
  <c r="Z2658" i="34"/>
  <c r="O2658" i="34"/>
  <c r="A2658" i="34"/>
  <c r="P909" i="34"/>
  <c r="Q909" i="34"/>
  <c r="U909" i="34"/>
  <c r="Z909" i="34"/>
  <c r="O909" i="34"/>
  <c r="A909" i="34"/>
  <c r="P908" i="34"/>
  <c r="Q908" i="34"/>
  <c r="U908" i="34"/>
  <c r="Z908" i="34"/>
  <c r="O908" i="34"/>
  <c r="A908" i="34"/>
  <c r="Q2726" i="34"/>
  <c r="U2726" i="34"/>
  <c r="Z2726" i="34"/>
  <c r="O2726" i="34"/>
  <c r="P2726" i="34"/>
  <c r="A2726" i="34"/>
  <c r="E143" i="60"/>
  <c r="E144" i="60"/>
  <c r="E145" i="60"/>
  <c r="E142" i="60"/>
  <c r="K2694" i="34"/>
  <c r="C2694" i="34"/>
  <c r="B2694" i="34" s="1"/>
  <c r="K2693" i="34"/>
  <c r="C2693" i="34"/>
  <c r="B2693" i="34" s="1"/>
  <c r="K2692" i="34"/>
  <c r="C2692" i="34"/>
  <c r="B2692" i="34" s="1"/>
  <c r="K2691" i="34"/>
  <c r="C2691" i="34"/>
  <c r="B2691" i="34" s="1"/>
  <c r="K2714" i="34"/>
  <c r="C2714" i="34"/>
  <c r="B2714" i="34" s="1"/>
  <c r="K2713" i="34"/>
  <c r="C2713" i="34"/>
  <c r="B2713" i="34" s="1"/>
  <c r="K2712" i="34"/>
  <c r="C2712" i="34"/>
  <c r="B2712" i="34" s="1"/>
  <c r="K2711" i="34"/>
  <c r="C2711" i="34"/>
  <c r="B2711" i="34" s="1"/>
  <c r="K2710" i="34"/>
  <c r="C2710" i="34"/>
  <c r="B2710" i="34" s="1"/>
  <c r="K2709" i="34"/>
  <c r="C2709" i="34"/>
  <c r="B2709" i="34" s="1"/>
  <c r="K2708" i="34"/>
  <c r="C2708" i="34"/>
  <c r="B2708" i="34" s="1"/>
  <c r="K2707" i="34"/>
  <c r="C2707" i="34"/>
  <c r="B2707" i="34" s="1"/>
  <c r="K2706" i="34"/>
  <c r="C2706" i="34"/>
  <c r="B2706" i="34" s="1"/>
  <c r="K2705" i="34"/>
  <c r="C2705" i="34"/>
  <c r="B2705" i="34" s="1"/>
  <c r="K2704" i="34"/>
  <c r="C2704" i="34"/>
  <c r="B2704" i="34" s="1"/>
  <c r="K2703" i="34"/>
  <c r="C2703" i="34"/>
  <c r="B2703" i="34" s="1"/>
  <c r="K2702" i="34"/>
  <c r="C2702" i="34"/>
  <c r="B2702" i="34" s="1"/>
  <c r="K2701" i="34"/>
  <c r="C2701" i="34"/>
  <c r="B2701" i="34" s="1"/>
  <c r="K2700" i="34"/>
  <c r="C2700" i="34"/>
  <c r="B2700" i="34" s="1"/>
  <c r="K2699" i="34"/>
  <c r="C2699" i="34"/>
  <c r="B2699" i="34" s="1"/>
  <c r="K2698" i="34"/>
  <c r="C2698" i="34"/>
  <c r="B2698" i="34" s="1"/>
  <c r="K2697" i="34"/>
  <c r="C2697" i="34"/>
  <c r="B2697" i="34" s="1"/>
  <c r="K2696" i="34"/>
  <c r="C2696" i="34"/>
  <c r="B2696" i="34" s="1"/>
  <c r="K2695" i="34"/>
  <c r="C2695" i="34"/>
  <c r="B2695" i="34" s="1"/>
  <c r="K2646" i="34"/>
  <c r="C2646" i="34"/>
  <c r="B2646" i="34" s="1"/>
  <c r="K2645" i="34"/>
  <c r="C2645" i="34"/>
  <c r="B2645" i="34" s="1"/>
  <c r="K2644" i="34"/>
  <c r="C2644" i="34"/>
  <c r="B2644" i="34" s="1"/>
  <c r="K2643" i="34"/>
  <c r="C2643" i="34"/>
  <c r="B2643" i="34" s="1"/>
  <c r="K2642" i="34"/>
  <c r="C2642" i="34"/>
  <c r="B2642" i="34" s="1"/>
  <c r="K2641" i="34"/>
  <c r="C2641" i="34"/>
  <c r="B2641" i="34" s="1"/>
  <c r="K2640" i="34"/>
  <c r="C2640" i="34"/>
  <c r="B2640" i="34" s="1"/>
  <c r="K2639" i="34"/>
  <c r="C2639" i="34"/>
  <c r="B2639" i="34" s="1"/>
  <c r="K2638" i="34"/>
  <c r="C2638" i="34"/>
  <c r="B2638" i="34" s="1"/>
  <c r="K2725" i="34"/>
  <c r="C2725" i="34"/>
  <c r="B2725" i="34" s="1"/>
  <c r="K2724" i="34"/>
  <c r="C2724" i="34"/>
  <c r="B2724" i="34" s="1"/>
  <c r="K2723" i="34"/>
  <c r="C2723" i="34"/>
  <c r="B2723" i="34" s="1"/>
  <c r="K2722" i="34"/>
  <c r="C2722" i="34"/>
  <c r="B2722" i="34" s="1"/>
  <c r="K2721" i="34"/>
  <c r="C2721" i="34"/>
  <c r="B2721" i="34" s="1"/>
  <c r="K2720" i="34"/>
  <c r="C2720" i="34"/>
  <c r="B2720" i="34" s="1"/>
  <c r="K2719" i="34"/>
  <c r="C2719" i="34"/>
  <c r="B2719" i="34" s="1"/>
  <c r="K2718" i="34"/>
  <c r="C2718" i="34"/>
  <c r="B2718" i="34" s="1"/>
  <c r="K2717" i="34"/>
  <c r="C2717" i="34"/>
  <c r="B2717" i="34" s="1"/>
  <c r="K2716" i="34"/>
  <c r="C2716" i="34"/>
  <c r="B2716" i="34" s="1"/>
  <c r="K2715" i="34"/>
  <c r="C2715" i="34"/>
  <c r="B2715" i="34" s="1"/>
  <c r="K2667" i="34"/>
  <c r="C2667" i="34"/>
  <c r="B2667" i="34" s="1"/>
  <c r="K2666" i="34"/>
  <c r="C2666" i="34"/>
  <c r="B2666" i="34" s="1"/>
  <c r="K2665" i="34"/>
  <c r="C2665" i="34"/>
  <c r="B2665" i="34" s="1"/>
  <c r="K2664" i="34"/>
  <c r="C2664" i="34"/>
  <c r="B2664" i="34" s="1"/>
  <c r="K2663" i="34"/>
  <c r="C2663" i="34"/>
  <c r="B2663" i="34" s="1"/>
  <c r="K2662" i="34"/>
  <c r="C2662" i="34"/>
  <c r="B2662" i="34" s="1"/>
  <c r="K2661" i="34"/>
  <c r="C2661" i="34"/>
  <c r="B2661" i="34" s="1"/>
  <c r="K2660" i="34"/>
  <c r="C2660" i="34"/>
  <c r="B2660" i="34" s="1"/>
  <c r="K2659" i="34"/>
  <c r="C2659" i="34"/>
  <c r="B2659" i="34" s="1"/>
  <c r="K2657" i="34"/>
  <c r="C2657" i="34"/>
  <c r="B2657" i="34" s="1"/>
  <c r="K2656" i="34"/>
  <c r="C2656" i="34"/>
  <c r="B2656" i="34" s="1"/>
  <c r="K2655" i="34"/>
  <c r="C2655" i="34"/>
  <c r="B2655" i="34" s="1"/>
  <c r="K2654" i="34"/>
  <c r="C2654" i="34"/>
  <c r="B2654" i="34" s="1"/>
  <c r="K2653" i="34"/>
  <c r="C2653" i="34"/>
  <c r="B2653" i="34" s="1"/>
  <c r="K2652" i="34"/>
  <c r="C2652" i="34"/>
  <c r="B2652" i="34" s="1"/>
  <c r="K2651" i="34"/>
  <c r="C2651" i="34"/>
  <c r="B2651" i="34" s="1"/>
  <c r="K2650" i="34"/>
  <c r="C2650" i="34"/>
  <c r="B2650" i="34" s="1"/>
  <c r="K2649" i="34"/>
  <c r="C2649" i="34"/>
  <c r="B2649" i="34" s="1"/>
  <c r="K2648" i="34"/>
  <c r="C2648" i="34"/>
  <c r="B2648" i="34" s="1"/>
  <c r="K2647" i="34"/>
  <c r="C2647" i="34"/>
  <c r="B2647" i="34" s="1"/>
  <c r="K2671" i="34"/>
  <c r="C2671" i="34"/>
  <c r="B2671" i="34" s="1"/>
  <c r="K2670" i="34"/>
  <c r="C2670" i="34"/>
  <c r="B2670" i="34" s="1"/>
  <c r="K2669" i="34"/>
  <c r="C2669" i="34"/>
  <c r="B2669" i="34" s="1"/>
  <c r="K2668" i="34"/>
  <c r="C2668" i="34"/>
  <c r="B2668" i="34" s="1"/>
  <c r="K2679" i="34"/>
  <c r="C2679" i="34"/>
  <c r="B2679" i="34" s="1"/>
  <c r="K2678" i="34"/>
  <c r="C2678" i="34"/>
  <c r="B2678" i="34" s="1"/>
  <c r="K2677" i="34"/>
  <c r="C2677" i="34"/>
  <c r="B2677" i="34" s="1"/>
  <c r="K2676" i="34"/>
  <c r="C2676" i="34"/>
  <c r="B2676" i="34" s="1"/>
  <c r="K2675" i="34"/>
  <c r="C2675" i="34"/>
  <c r="B2675" i="34" s="1"/>
  <c r="K2674" i="34"/>
  <c r="C2674" i="34"/>
  <c r="B2674" i="34" s="1"/>
  <c r="K2673" i="34"/>
  <c r="C2673" i="34"/>
  <c r="B2673" i="34" s="1"/>
  <c r="K2672" i="34"/>
  <c r="C2672" i="34"/>
  <c r="B2672" i="34" s="1"/>
  <c r="K2683" i="34"/>
  <c r="C2683" i="34"/>
  <c r="B2683" i="34" s="1"/>
  <c r="K2682" i="34"/>
  <c r="C2682" i="34"/>
  <c r="B2682" i="34" s="1"/>
  <c r="K2681" i="34"/>
  <c r="C2681" i="34"/>
  <c r="B2681" i="34" s="1"/>
  <c r="K2680" i="34"/>
  <c r="C2680" i="34"/>
  <c r="B2680" i="34" s="1"/>
  <c r="K2685" i="34"/>
  <c r="C2685" i="34"/>
  <c r="B2685" i="34" s="1"/>
  <c r="K2684" i="34"/>
  <c r="C2684" i="34"/>
  <c r="B2684" i="34" s="1"/>
  <c r="K2686" i="34"/>
  <c r="C2686" i="34"/>
  <c r="B2686" i="34" s="1"/>
  <c r="P2684" i="34" l="1"/>
  <c r="Q2684" i="34"/>
  <c r="U2684" i="34"/>
  <c r="Z2684" i="34"/>
  <c r="O2684" i="34"/>
  <c r="A2684" i="34"/>
  <c r="P2682" i="34"/>
  <c r="Q2682" i="34"/>
  <c r="U2682" i="34"/>
  <c r="Z2682" i="34"/>
  <c r="O2682" i="34"/>
  <c r="A2682" i="34"/>
  <c r="P2672" i="34"/>
  <c r="Q2672" i="34"/>
  <c r="U2672" i="34"/>
  <c r="Z2672" i="34"/>
  <c r="O2672" i="34"/>
  <c r="A2672" i="34"/>
  <c r="P2674" i="34"/>
  <c r="Q2674" i="34"/>
  <c r="U2674" i="34"/>
  <c r="Z2674" i="34"/>
  <c r="O2674" i="34"/>
  <c r="A2674" i="34"/>
  <c r="P2676" i="34"/>
  <c r="Q2676" i="34"/>
  <c r="U2676" i="34"/>
  <c r="Z2676" i="34"/>
  <c r="O2676" i="34"/>
  <c r="A2676" i="34"/>
  <c r="P2678" i="34"/>
  <c r="Q2678" i="34"/>
  <c r="U2678" i="34"/>
  <c r="Z2678" i="34"/>
  <c r="O2678" i="34"/>
  <c r="A2678" i="34"/>
  <c r="P2668" i="34"/>
  <c r="Q2668" i="34"/>
  <c r="U2668" i="34"/>
  <c r="Z2668" i="34"/>
  <c r="O2668" i="34"/>
  <c r="A2668" i="34"/>
  <c r="P2670" i="34"/>
  <c r="Q2670" i="34"/>
  <c r="U2670" i="34"/>
  <c r="Z2670" i="34"/>
  <c r="O2670" i="34"/>
  <c r="A2670" i="34"/>
  <c r="P2647" i="34"/>
  <c r="Q2647" i="34"/>
  <c r="U2647" i="34"/>
  <c r="Z2647" i="34"/>
  <c r="O2647" i="34"/>
  <c r="A2647" i="34"/>
  <c r="P2649" i="34"/>
  <c r="Q2649" i="34"/>
  <c r="U2649" i="34"/>
  <c r="Z2649" i="34"/>
  <c r="O2649" i="34"/>
  <c r="A2649" i="34"/>
  <c r="P2651" i="34"/>
  <c r="Q2651" i="34"/>
  <c r="U2651" i="34"/>
  <c r="Z2651" i="34"/>
  <c r="O2651" i="34"/>
  <c r="A2651" i="34"/>
  <c r="P2653" i="34"/>
  <c r="Q2653" i="34"/>
  <c r="U2653" i="34"/>
  <c r="Z2653" i="34"/>
  <c r="O2653" i="34"/>
  <c r="A2653" i="34"/>
  <c r="P2655" i="34"/>
  <c r="Q2655" i="34"/>
  <c r="U2655" i="34"/>
  <c r="Z2655" i="34"/>
  <c r="O2655" i="34"/>
  <c r="A2655" i="34"/>
  <c r="P2657" i="34"/>
  <c r="Q2657" i="34"/>
  <c r="U2657" i="34"/>
  <c r="Z2657" i="34"/>
  <c r="O2657" i="34"/>
  <c r="A2657" i="34"/>
  <c r="P2660" i="34"/>
  <c r="Q2660" i="34"/>
  <c r="U2660" i="34"/>
  <c r="Z2660" i="34"/>
  <c r="O2660" i="34"/>
  <c r="A2660" i="34"/>
  <c r="P2662" i="34"/>
  <c r="Q2662" i="34"/>
  <c r="U2662" i="34"/>
  <c r="Z2662" i="34"/>
  <c r="O2662" i="34"/>
  <c r="A2662" i="34"/>
  <c r="P2664" i="34"/>
  <c r="Q2664" i="34"/>
  <c r="U2664" i="34"/>
  <c r="Z2664" i="34"/>
  <c r="O2664" i="34"/>
  <c r="A2664" i="34"/>
  <c r="P2666" i="34"/>
  <c r="Q2666" i="34"/>
  <c r="U2666" i="34"/>
  <c r="Z2666" i="34"/>
  <c r="O2666" i="34"/>
  <c r="A2666" i="34"/>
  <c r="Q2715" i="34"/>
  <c r="U2715" i="34"/>
  <c r="Z2715" i="34"/>
  <c r="P2715" i="34"/>
  <c r="O2715" i="34"/>
  <c r="A2715" i="34"/>
  <c r="Q2717" i="34"/>
  <c r="U2717" i="34"/>
  <c r="Z2717" i="34"/>
  <c r="O2717" i="34"/>
  <c r="P2717" i="34"/>
  <c r="A2717" i="34"/>
  <c r="Q2719" i="34"/>
  <c r="U2719" i="34"/>
  <c r="Z2719" i="34"/>
  <c r="P2719" i="34"/>
  <c r="O2719" i="34"/>
  <c r="A2719" i="34"/>
  <c r="Q2721" i="34"/>
  <c r="U2721" i="34"/>
  <c r="Z2721" i="34"/>
  <c r="O2721" i="34"/>
  <c r="P2721" i="34"/>
  <c r="A2721" i="34"/>
  <c r="Q2723" i="34"/>
  <c r="U2723" i="34"/>
  <c r="Z2723" i="34"/>
  <c r="P2723" i="34"/>
  <c r="O2723" i="34"/>
  <c r="A2723" i="34"/>
  <c r="Q2725" i="34"/>
  <c r="U2725" i="34"/>
  <c r="Z2725" i="34"/>
  <c r="O2725" i="34"/>
  <c r="P2725" i="34"/>
  <c r="A2725" i="34"/>
  <c r="P2639" i="34"/>
  <c r="Q2639" i="34"/>
  <c r="U2639" i="34"/>
  <c r="Z2639" i="34"/>
  <c r="O2639" i="34"/>
  <c r="A2639" i="34"/>
  <c r="P2641" i="34"/>
  <c r="Q2641" i="34"/>
  <c r="U2641" i="34"/>
  <c r="Z2641" i="34"/>
  <c r="O2641" i="34"/>
  <c r="A2641" i="34"/>
  <c r="P2643" i="34"/>
  <c r="Q2643" i="34"/>
  <c r="U2643" i="34"/>
  <c r="Z2643" i="34"/>
  <c r="O2643" i="34"/>
  <c r="A2643" i="34"/>
  <c r="P2645" i="34"/>
  <c r="Q2645" i="34"/>
  <c r="U2645" i="34"/>
  <c r="Z2645" i="34"/>
  <c r="O2645" i="34"/>
  <c r="A2645" i="34"/>
  <c r="P2695" i="34"/>
  <c r="Q2695" i="34"/>
  <c r="U2695" i="34"/>
  <c r="Z2695" i="34"/>
  <c r="O2695" i="34"/>
  <c r="A2695" i="34"/>
  <c r="P2697" i="34"/>
  <c r="Q2697" i="34"/>
  <c r="U2697" i="34"/>
  <c r="Z2697" i="34"/>
  <c r="O2697" i="34"/>
  <c r="A2697" i="34"/>
  <c r="P2699" i="34"/>
  <c r="Q2699" i="34"/>
  <c r="U2699" i="34"/>
  <c r="Z2699" i="34"/>
  <c r="O2699" i="34"/>
  <c r="A2699" i="34"/>
  <c r="P2701" i="34"/>
  <c r="Q2701" i="34"/>
  <c r="U2701" i="34"/>
  <c r="Z2701" i="34"/>
  <c r="O2701" i="34"/>
  <c r="A2701" i="34"/>
  <c r="P2703" i="34"/>
  <c r="Q2703" i="34"/>
  <c r="U2703" i="34"/>
  <c r="Z2703" i="34"/>
  <c r="O2703" i="34"/>
  <c r="A2703" i="34"/>
  <c r="P2705" i="34"/>
  <c r="Q2705" i="34"/>
  <c r="U2705" i="34"/>
  <c r="Z2705" i="34"/>
  <c r="O2705" i="34"/>
  <c r="A2705" i="34"/>
  <c r="P2707" i="34"/>
  <c r="Q2707" i="34"/>
  <c r="U2707" i="34"/>
  <c r="Z2707" i="34"/>
  <c r="O2707" i="34"/>
  <c r="A2707" i="34"/>
  <c r="P2709" i="34"/>
  <c r="Q2709" i="34"/>
  <c r="U2709" i="34"/>
  <c r="Z2709" i="34"/>
  <c r="O2709" i="34"/>
  <c r="A2709" i="34"/>
  <c r="Q2711" i="34"/>
  <c r="U2711" i="34"/>
  <c r="Z2711" i="34"/>
  <c r="P2711" i="34"/>
  <c r="O2711" i="34"/>
  <c r="A2711" i="34"/>
  <c r="Q2713" i="34"/>
  <c r="U2713" i="34"/>
  <c r="Z2713" i="34"/>
  <c r="O2713" i="34"/>
  <c r="P2713" i="34"/>
  <c r="A2713" i="34"/>
  <c r="P2691" i="34"/>
  <c r="Q2691" i="34"/>
  <c r="U2691" i="34"/>
  <c r="Z2691" i="34"/>
  <c r="O2691" i="34"/>
  <c r="A2691" i="34"/>
  <c r="P2693" i="34"/>
  <c r="Q2693" i="34"/>
  <c r="U2693" i="34"/>
  <c r="Z2693" i="34"/>
  <c r="O2693" i="34"/>
  <c r="A2693" i="34"/>
  <c r="P2680" i="34"/>
  <c r="Q2680" i="34"/>
  <c r="U2680" i="34"/>
  <c r="Z2680" i="34"/>
  <c r="O2680" i="34"/>
  <c r="A2680" i="34"/>
  <c r="P2686" i="34"/>
  <c r="Q2686" i="34"/>
  <c r="U2686" i="34"/>
  <c r="Z2686" i="34"/>
  <c r="O2686" i="34"/>
  <c r="A2686" i="34"/>
  <c r="P2681" i="34"/>
  <c r="Q2681" i="34"/>
  <c r="U2681" i="34"/>
  <c r="Z2681" i="34"/>
  <c r="O2681" i="34"/>
  <c r="A2681" i="34"/>
  <c r="P2683" i="34"/>
  <c r="Q2683" i="34"/>
  <c r="U2683" i="34"/>
  <c r="Z2683" i="34"/>
  <c r="O2683" i="34"/>
  <c r="A2683" i="34"/>
  <c r="P2673" i="34"/>
  <c r="Q2673" i="34"/>
  <c r="U2673" i="34"/>
  <c r="Z2673" i="34"/>
  <c r="O2673" i="34"/>
  <c r="A2673" i="34"/>
  <c r="P2675" i="34"/>
  <c r="Q2675" i="34"/>
  <c r="U2675" i="34"/>
  <c r="Z2675" i="34"/>
  <c r="O2675" i="34"/>
  <c r="A2675" i="34"/>
  <c r="P2677" i="34"/>
  <c r="Q2677" i="34"/>
  <c r="U2677" i="34"/>
  <c r="Z2677" i="34"/>
  <c r="O2677" i="34"/>
  <c r="A2677" i="34"/>
  <c r="P2679" i="34"/>
  <c r="Q2679" i="34"/>
  <c r="U2679" i="34"/>
  <c r="Z2679" i="34"/>
  <c r="O2679" i="34"/>
  <c r="A2679" i="34"/>
  <c r="P2669" i="34"/>
  <c r="Q2669" i="34"/>
  <c r="U2669" i="34"/>
  <c r="Z2669" i="34"/>
  <c r="O2669" i="34"/>
  <c r="A2669" i="34"/>
  <c r="P2671" i="34"/>
  <c r="Q2671" i="34"/>
  <c r="U2671" i="34"/>
  <c r="Z2671" i="34"/>
  <c r="O2671" i="34"/>
  <c r="A2671" i="34"/>
  <c r="P2648" i="34"/>
  <c r="Q2648" i="34"/>
  <c r="U2648" i="34"/>
  <c r="Z2648" i="34"/>
  <c r="O2648" i="34"/>
  <c r="A2648" i="34"/>
  <c r="P2650" i="34"/>
  <c r="Q2650" i="34"/>
  <c r="U2650" i="34"/>
  <c r="Z2650" i="34"/>
  <c r="O2650" i="34"/>
  <c r="A2650" i="34"/>
  <c r="P2652" i="34"/>
  <c r="Q2652" i="34"/>
  <c r="U2652" i="34"/>
  <c r="Z2652" i="34"/>
  <c r="O2652" i="34"/>
  <c r="A2652" i="34"/>
  <c r="P2654" i="34"/>
  <c r="Q2654" i="34"/>
  <c r="U2654" i="34"/>
  <c r="Z2654" i="34"/>
  <c r="O2654" i="34"/>
  <c r="A2654" i="34"/>
  <c r="P2656" i="34"/>
  <c r="Q2656" i="34"/>
  <c r="U2656" i="34"/>
  <c r="Z2656" i="34"/>
  <c r="O2656" i="34"/>
  <c r="A2656" i="34"/>
  <c r="P2659" i="34"/>
  <c r="Q2659" i="34"/>
  <c r="U2659" i="34"/>
  <c r="Z2659" i="34"/>
  <c r="O2659" i="34"/>
  <c r="A2659" i="34"/>
  <c r="P2661" i="34"/>
  <c r="Q2661" i="34"/>
  <c r="U2661" i="34"/>
  <c r="Z2661" i="34"/>
  <c r="O2661" i="34"/>
  <c r="A2661" i="34"/>
  <c r="P2663" i="34"/>
  <c r="Q2663" i="34"/>
  <c r="U2663" i="34"/>
  <c r="Z2663" i="34"/>
  <c r="O2663" i="34"/>
  <c r="A2663" i="34"/>
  <c r="P2665" i="34"/>
  <c r="Q2665" i="34"/>
  <c r="U2665" i="34"/>
  <c r="Z2665" i="34"/>
  <c r="O2665" i="34"/>
  <c r="A2665" i="34"/>
  <c r="P2667" i="34"/>
  <c r="Q2667" i="34"/>
  <c r="U2667" i="34"/>
  <c r="Z2667" i="34"/>
  <c r="O2667" i="34"/>
  <c r="A2667" i="34"/>
  <c r="Q2716" i="34"/>
  <c r="U2716" i="34"/>
  <c r="Z2716" i="34"/>
  <c r="O2716" i="34"/>
  <c r="P2716" i="34"/>
  <c r="A2716" i="34"/>
  <c r="Q2718" i="34"/>
  <c r="U2718" i="34"/>
  <c r="Z2718" i="34"/>
  <c r="O2718" i="34"/>
  <c r="P2718" i="34"/>
  <c r="A2718" i="34"/>
  <c r="Q2720" i="34"/>
  <c r="U2720" i="34"/>
  <c r="Z2720" i="34"/>
  <c r="O2720" i="34"/>
  <c r="P2720" i="34"/>
  <c r="A2720" i="34"/>
  <c r="Q2722" i="34"/>
  <c r="U2722" i="34"/>
  <c r="Z2722" i="34"/>
  <c r="O2722" i="34"/>
  <c r="P2722" i="34"/>
  <c r="A2722" i="34"/>
  <c r="Q2724" i="34"/>
  <c r="U2724" i="34"/>
  <c r="Z2724" i="34"/>
  <c r="O2724" i="34"/>
  <c r="P2724" i="34"/>
  <c r="A2724" i="34"/>
  <c r="P2638" i="34"/>
  <c r="Q2638" i="34"/>
  <c r="U2638" i="34"/>
  <c r="Z2638" i="34"/>
  <c r="O2638" i="34"/>
  <c r="A2638" i="34"/>
  <c r="P2640" i="34"/>
  <c r="Q2640" i="34"/>
  <c r="U2640" i="34"/>
  <c r="Z2640" i="34"/>
  <c r="O2640" i="34"/>
  <c r="A2640" i="34"/>
  <c r="P2642" i="34"/>
  <c r="Q2642" i="34"/>
  <c r="U2642" i="34"/>
  <c r="Z2642" i="34"/>
  <c r="O2642" i="34"/>
  <c r="A2642" i="34"/>
  <c r="P2644" i="34"/>
  <c r="Q2644" i="34"/>
  <c r="U2644" i="34"/>
  <c r="Z2644" i="34"/>
  <c r="O2644" i="34"/>
  <c r="A2644" i="34"/>
  <c r="P2646" i="34"/>
  <c r="Q2646" i="34"/>
  <c r="U2646" i="34"/>
  <c r="Z2646" i="34"/>
  <c r="O2646" i="34"/>
  <c r="A2646" i="34"/>
  <c r="P2696" i="34"/>
  <c r="Q2696" i="34"/>
  <c r="U2696" i="34"/>
  <c r="Z2696" i="34"/>
  <c r="O2696" i="34"/>
  <c r="A2696" i="34"/>
  <c r="P2698" i="34"/>
  <c r="Q2698" i="34"/>
  <c r="U2698" i="34"/>
  <c r="Z2698" i="34"/>
  <c r="O2698" i="34"/>
  <c r="A2698" i="34"/>
  <c r="P2700" i="34"/>
  <c r="Q2700" i="34"/>
  <c r="U2700" i="34"/>
  <c r="Z2700" i="34"/>
  <c r="O2700" i="34"/>
  <c r="A2700" i="34"/>
  <c r="P2702" i="34"/>
  <c r="Q2702" i="34"/>
  <c r="U2702" i="34"/>
  <c r="Z2702" i="34"/>
  <c r="O2702" i="34"/>
  <c r="A2702" i="34"/>
  <c r="P2704" i="34"/>
  <c r="Q2704" i="34"/>
  <c r="U2704" i="34"/>
  <c r="Z2704" i="34"/>
  <c r="O2704" i="34"/>
  <c r="A2704" i="34"/>
  <c r="P2706" i="34"/>
  <c r="Q2706" i="34"/>
  <c r="U2706" i="34"/>
  <c r="Z2706" i="34"/>
  <c r="O2706" i="34"/>
  <c r="A2706" i="34"/>
  <c r="P2708" i="34"/>
  <c r="Q2708" i="34"/>
  <c r="U2708" i="34"/>
  <c r="Z2708" i="34"/>
  <c r="O2708" i="34"/>
  <c r="A2708" i="34"/>
  <c r="P2710" i="34"/>
  <c r="Q2710" i="34"/>
  <c r="U2710" i="34"/>
  <c r="Z2710" i="34"/>
  <c r="O2710" i="34"/>
  <c r="A2710" i="34"/>
  <c r="Q2712" i="34"/>
  <c r="U2712" i="34"/>
  <c r="Z2712" i="34"/>
  <c r="O2712" i="34"/>
  <c r="P2712" i="34"/>
  <c r="A2712" i="34"/>
  <c r="Q2714" i="34"/>
  <c r="U2714" i="34"/>
  <c r="Z2714" i="34"/>
  <c r="O2714" i="34"/>
  <c r="P2714" i="34"/>
  <c r="A2714" i="34"/>
  <c r="P2692" i="34"/>
  <c r="Q2692" i="34"/>
  <c r="U2692" i="34"/>
  <c r="Z2692" i="34"/>
  <c r="O2692" i="34"/>
  <c r="A2692" i="34"/>
  <c r="P2694" i="34"/>
  <c r="Q2694" i="34"/>
  <c r="U2694" i="34"/>
  <c r="Z2694" i="34"/>
  <c r="O2694" i="34"/>
  <c r="A2694" i="34"/>
  <c r="P2685" i="34"/>
  <c r="Q2685" i="34"/>
  <c r="U2685" i="34"/>
  <c r="Z2685" i="34"/>
  <c r="O2685" i="34"/>
  <c r="A2685" i="34"/>
  <c r="F143" i="60"/>
  <c r="H143" i="60" s="1"/>
  <c r="F145" i="60"/>
  <c r="H145" i="60" s="1"/>
  <c r="F144" i="60"/>
  <c r="H144" i="60" s="1"/>
  <c r="F142" i="60"/>
  <c r="H142" i="60" s="1"/>
  <c r="H344" i="55" l="1" a="1"/>
  <c r="H344" i="55" s="1"/>
  <c r="F344" i="55" a="1"/>
  <c r="F344" i="55" s="1"/>
  <c r="H420" i="55" a="1"/>
  <c r="H420" i="55" s="1"/>
  <c r="F420" i="55" a="1"/>
  <c r="F420" i="55" s="1"/>
  <c r="H356" i="55" a="1"/>
  <c r="H356" i="55" s="1"/>
  <c r="F356" i="55" a="1"/>
  <c r="F356" i="55" s="1"/>
  <c r="H425" i="55" a="1"/>
  <c r="H425" i="55" s="1"/>
  <c r="F425" i="55" a="1"/>
  <c r="F425" i="55" s="1"/>
  <c r="H460" i="55" a="1"/>
  <c r="H460" i="55" s="1"/>
  <c r="F460" i="55" a="1"/>
  <c r="F460" i="55" s="1"/>
  <c r="H353" i="55" a="1"/>
  <c r="H353" i="55" s="1"/>
  <c r="F353" i="55" a="1"/>
  <c r="F353" i="55" s="1"/>
  <c r="H365" i="55" a="1"/>
  <c r="H365" i="55" s="1"/>
  <c r="F365" i="55" a="1"/>
  <c r="F365" i="55" s="1"/>
  <c r="H410" i="55" a="1"/>
  <c r="H410" i="55" s="1"/>
  <c r="F410" i="55" a="1"/>
  <c r="F410" i="55" s="1"/>
  <c r="H610" i="55" a="1"/>
  <c r="H610" i="55" s="1"/>
  <c r="F610" i="55" a="1"/>
  <c r="F610" i="55" s="1"/>
  <c r="H581" i="55" a="1"/>
  <c r="H581" i="55" s="1"/>
  <c r="F581" i="55" a="1"/>
  <c r="F581" i="55" s="1"/>
  <c r="H214" i="55" a="1"/>
  <c r="H214" i="55" s="1"/>
  <c r="F214" i="55" a="1"/>
  <c r="F214" i="55" s="1"/>
  <c r="H292" i="55" a="1"/>
  <c r="H292" i="55" s="1"/>
  <c r="F292" i="55" a="1"/>
  <c r="F292" i="55" s="1"/>
  <c r="H493" i="55" a="1"/>
  <c r="H493" i="55" s="1"/>
  <c r="F493" i="55" a="1"/>
  <c r="F493" i="55" s="1"/>
  <c r="H501" i="55" a="1"/>
  <c r="H501" i="55" s="1"/>
  <c r="F501" i="55" a="1"/>
  <c r="F501" i="55" s="1"/>
  <c r="H659" i="55" a="1"/>
  <c r="H659" i="55" s="1"/>
  <c r="F659" i="55" a="1"/>
  <c r="F659" i="55" s="1"/>
  <c r="H506" i="55" a="1"/>
  <c r="H506" i="55" s="1"/>
  <c r="F506" i="55" a="1"/>
  <c r="F506" i="55" s="1"/>
  <c r="F357" i="55" a="1"/>
  <c r="F357" i="55" s="1"/>
  <c r="H357" i="55" a="1"/>
  <c r="H357" i="55" s="1"/>
  <c r="F399" i="55" a="1"/>
  <c r="F399" i="55" s="1"/>
  <c r="H399" i="55" a="1"/>
  <c r="H399" i="55" s="1"/>
  <c r="F541" i="55" a="1"/>
  <c r="F541" i="55" s="1"/>
  <c r="H541" i="55" a="1"/>
  <c r="H541" i="55" s="1"/>
  <c r="F505" i="55" a="1"/>
  <c r="F505" i="55" s="1"/>
  <c r="H505" i="55" a="1"/>
  <c r="H505" i="55" s="1"/>
  <c r="F208" i="55" a="1"/>
  <c r="F208" i="55" s="1"/>
  <c r="H208" i="55" a="1"/>
  <c r="H208" i="55" s="1"/>
  <c r="F469" i="55" a="1"/>
  <c r="F469" i="55" s="1"/>
  <c r="H469" i="55" a="1"/>
  <c r="H469" i="55" s="1"/>
  <c r="F591" i="55" a="1"/>
  <c r="F591" i="55" s="1"/>
  <c r="H591" i="55" a="1"/>
  <c r="H591" i="55" s="1"/>
  <c r="F627" i="55" a="1"/>
  <c r="F627" i="55" s="1"/>
  <c r="H627" i="55" a="1"/>
  <c r="H627" i="55" s="1"/>
  <c r="F274" i="55" a="1"/>
  <c r="F274" i="55" s="1"/>
  <c r="H274" i="55" a="1"/>
  <c r="H274" i="55" s="1"/>
  <c r="F72" i="55" a="1"/>
  <c r="F72" i="55" s="1"/>
  <c r="H72" i="55" a="1"/>
  <c r="H72" i="55" s="1"/>
  <c r="F279" i="55" a="1"/>
  <c r="F279" i="55" s="1"/>
  <c r="H279" i="55" a="1"/>
  <c r="H279" i="55" s="1"/>
  <c r="F237" i="55" a="1"/>
  <c r="F237" i="55" s="1"/>
  <c r="H237" i="55" a="1"/>
  <c r="H237" i="55" s="1"/>
  <c r="F685" i="55" a="1"/>
  <c r="F685" i="55" s="1"/>
  <c r="H685" i="55" a="1"/>
  <c r="H685" i="55" s="1"/>
  <c r="K2729" i="34"/>
  <c r="C2729" i="34"/>
  <c r="B2729" i="34" s="1"/>
  <c r="K2752" i="34"/>
  <c r="C2752" i="34"/>
  <c r="B2752" i="34" s="1"/>
  <c r="K2751" i="34"/>
  <c r="C2751" i="34"/>
  <c r="B2751" i="34" s="1"/>
  <c r="K2750" i="34"/>
  <c r="C2750" i="34"/>
  <c r="B2750" i="34" s="1"/>
  <c r="K2749" i="34"/>
  <c r="C2749" i="34"/>
  <c r="B2749" i="34" s="1"/>
  <c r="K2748" i="34"/>
  <c r="C2748" i="34"/>
  <c r="B2748" i="34" s="1"/>
  <c r="K2747" i="34"/>
  <c r="C2747" i="34"/>
  <c r="B2747" i="34" s="1"/>
  <c r="K2746" i="34"/>
  <c r="C2746" i="34"/>
  <c r="B2746" i="34" s="1"/>
  <c r="K2745" i="34"/>
  <c r="C2745" i="34"/>
  <c r="B2745" i="34" s="1"/>
  <c r="K2744" i="34"/>
  <c r="C2744" i="34"/>
  <c r="B2744" i="34" s="1"/>
  <c r="K2743" i="34"/>
  <c r="C2743" i="34"/>
  <c r="B2743" i="34" s="1"/>
  <c r="K2742" i="34"/>
  <c r="C2742" i="34"/>
  <c r="B2742" i="34" s="1"/>
  <c r="K2741" i="34"/>
  <c r="C2741" i="34"/>
  <c r="B2741" i="34" s="1"/>
  <c r="K2740" i="34"/>
  <c r="C2740" i="34"/>
  <c r="B2740" i="34" s="1"/>
  <c r="K2739" i="34"/>
  <c r="C2739" i="34"/>
  <c r="B2739" i="34" s="1"/>
  <c r="K2738" i="34"/>
  <c r="C2738" i="34"/>
  <c r="B2738" i="34" s="1"/>
  <c r="K2737" i="34"/>
  <c r="C2737" i="34"/>
  <c r="B2737" i="34" s="1"/>
  <c r="K2736" i="34"/>
  <c r="C2736" i="34"/>
  <c r="B2736" i="34" s="1"/>
  <c r="K2735" i="34"/>
  <c r="C2735" i="34"/>
  <c r="B2735" i="34" s="1"/>
  <c r="K2734" i="34"/>
  <c r="C2734" i="34"/>
  <c r="B2734" i="34" s="1"/>
  <c r="K2733" i="34"/>
  <c r="C2733" i="34"/>
  <c r="B2733" i="34" s="1"/>
  <c r="K2772" i="34"/>
  <c r="C2772" i="34"/>
  <c r="B2772" i="34" s="1"/>
  <c r="K2771" i="34"/>
  <c r="C2771" i="34"/>
  <c r="B2771" i="34" s="1"/>
  <c r="K2770" i="34"/>
  <c r="C2770" i="34"/>
  <c r="B2770" i="34" s="1"/>
  <c r="K2769" i="34"/>
  <c r="C2769" i="34"/>
  <c r="B2769" i="34" s="1"/>
  <c r="K2768" i="34"/>
  <c r="C2768" i="34"/>
  <c r="B2768" i="34" s="1"/>
  <c r="K2767" i="34"/>
  <c r="C2767" i="34"/>
  <c r="B2767" i="34" s="1"/>
  <c r="K2766" i="34"/>
  <c r="C2766" i="34"/>
  <c r="B2766" i="34" s="1"/>
  <c r="K2765" i="34"/>
  <c r="C2765" i="34"/>
  <c r="B2765" i="34" s="1"/>
  <c r="K2764" i="34"/>
  <c r="C2764" i="34"/>
  <c r="B2764" i="34" s="1"/>
  <c r="K2763" i="34"/>
  <c r="C2763" i="34"/>
  <c r="B2763" i="34" s="1"/>
  <c r="K2762" i="34"/>
  <c r="C2762" i="34"/>
  <c r="B2762" i="34" s="1"/>
  <c r="K2761" i="34"/>
  <c r="C2761" i="34"/>
  <c r="B2761" i="34" s="1"/>
  <c r="K2760" i="34"/>
  <c r="C2760" i="34"/>
  <c r="B2760" i="34" s="1"/>
  <c r="K2759" i="34"/>
  <c r="C2759" i="34"/>
  <c r="B2759" i="34" s="1"/>
  <c r="K2758" i="34"/>
  <c r="C2758" i="34"/>
  <c r="B2758" i="34" s="1"/>
  <c r="K2757" i="34"/>
  <c r="C2757" i="34"/>
  <c r="B2757" i="34" s="1"/>
  <c r="K2756" i="34"/>
  <c r="C2756" i="34"/>
  <c r="B2756" i="34" s="1"/>
  <c r="K2755" i="34"/>
  <c r="C2755" i="34"/>
  <c r="B2755" i="34" s="1"/>
  <c r="K2754" i="34"/>
  <c r="C2754" i="34"/>
  <c r="B2754" i="34" s="1"/>
  <c r="K2753" i="34"/>
  <c r="C2753" i="34"/>
  <c r="B2753" i="34" s="1"/>
  <c r="K2792" i="34"/>
  <c r="C2792" i="34"/>
  <c r="B2792" i="34" s="1"/>
  <c r="K2791" i="34"/>
  <c r="C2791" i="34"/>
  <c r="B2791" i="34" s="1"/>
  <c r="K2790" i="34"/>
  <c r="C2790" i="34"/>
  <c r="B2790" i="34" s="1"/>
  <c r="K2789" i="34"/>
  <c r="C2789" i="34"/>
  <c r="B2789" i="34" s="1"/>
  <c r="K2788" i="34"/>
  <c r="C2788" i="34"/>
  <c r="B2788" i="34" s="1"/>
  <c r="K2787" i="34"/>
  <c r="C2787" i="34"/>
  <c r="B2787" i="34" s="1"/>
  <c r="K2786" i="34"/>
  <c r="C2786" i="34"/>
  <c r="B2786" i="34" s="1"/>
  <c r="K2785" i="34"/>
  <c r="C2785" i="34"/>
  <c r="B2785" i="34" s="1"/>
  <c r="K2784" i="34"/>
  <c r="C2784" i="34"/>
  <c r="B2784" i="34" s="1"/>
  <c r="K2783" i="34"/>
  <c r="C2783" i="34"/>
  <c r="B2783" i="34" s="1"/>
  <c r="K2782" i="34"/>
  <c r="C2782" i="34"/>
  <c r="B2782" i="34" s="1"/>
  <c r="K2781" i="34"/>
  <c r="C2781" i="34"/>
  <c r="B2781" i="34" s="1"/>
  <c r="K2780" i="34"/>
  <c r="C2780" i="34"/>
  <c r="B2780" i="34" s="1"/>
  <c r="K2779" i="34"/>
  <c r="C2779" i="34"/>
  <c r="B2779" i="34" s="1"/>
  <c r="K2778" i="34"/>
  <c r="C2778" i="34"/>
  <c r="B2778" i="34" s="1"/>
  <c r="K2777" i="34"/>
  <c r="C2777" i="34"/>
  <c r="B2777" i="34" s="1"/>
  <c r="K2776" i="34"/>
  <c r="C2776" i="34"/>
  <c r="B2776" i="34" s="1"/>
  <c r="K2775" i="34"/>
  <c r="C2775" i="34"/>
  <c r="B2775" i="34" s="1"/>
  <c r="K2774" i="34"/>
  <c r="C2774" i="34"/>
  <c r="B2774" i="34" s="1"/>
  <c r="K2773" i="34"/>
  <c r="C2773" i="34"/>
  <c r="B2773" i="34" s="1"/>
  <c r="Q2773" i="34" l="1"/>
  <c r="U2773" i="34"/>
  <c r="Z2773" i="34"/>
  <c r="O2773" i="34"/>
  <c r="P2773" i="34"/>
  <c r="A2773" i="34"/>
  <c r="Q2775" i="34"/>
  <c r="U2775" i="34"/>
  <c r="Z2775" i="34"/>
  <c r="P2775" i="34"/>
  <c r="O2775" i="34"/>
  <c r="A2775" i="34"/>
  <c r="Q2777" i="34"/>
  <c r="U2777" i="34"/>
  <c r="Z2777" i="34"/>
  <c r="O2777" i="34"/>
  <c r="P2777" i="34"/>
  <c r="A2777" i="34"/>
  <c r="Q2779" i="34"/>
  <c r="U2779" i="34"/>
  <c r="Z2779" i="34"/>
  <c r="P2779" i="34"/>
  <c r="O2779" i="34"/>
  <c r="A2779" i="34"/>
  <c r="Q2781" i="34"/>
  <c r="U2781" i="34"/>
  <c r="Z2781" i="34"/>
  <c r="O2781" i="34"/>
  <c r="P2781" i="34"/>
  <c r="A2781" i="34"/>
  <c r="Q2783" i="34"/>
  <c r="U2783" i="34"/>
  <c r="Z2783" i="34"/>
  <c r="P2783" i="34"/>
  <c r="O2783" i="34"/>
  <c r="A2783" i="34"/>
  <c r="Q2785" i="34"/>
  <c r="U2785" i="34"/>
  <c r="Z2785" i="34"/>
  <c r="O2785" i="34"/>
  <c r="P2785" i="34"/>
  <c r="A2785" i="34"/>
  <c r="Q2787" i="34"/>
  <c r="U2787" i="34"/>
  <c r="Z2787" i="34"/>
  <c r="P2787" i="34"/>
  <c r="O2787" i="34"/>
  <c r="A2787" i="34"/>
  <c r="Q2789" i="34"/>
  <c r="U2789" i="34"/>
  <c r="Z2789" i="34"/>
  <c r="O2789" i="34"/>
  <c r="P2789" i="34"/>
  <c r="A2789" i="34"/>
  <c r="Q2791" i="34"/>
  <c r="U2791" i="34"/>
  <c r="Z2791" i="34"/>
  <c r="P2791" i="34"/>
  <c r="O2791" i="34"/>
  <c r="A2791" i="34"/>
  <c r="Q2753" i="34"/>
  <c r="U2753" i="34"/>
  <c r="Z2753" i="34"/>
  <c r="O2753" i="34"/>
  <c r="P2753" i="34"/>
  <c r="A2753" i="34"/>
  <c r="Q2755" i="34"/>
  <c r="U2755" i="34"/>
  <c r="Z2755" i="34"/>
  <c r="P2755" i="34"/>
  <c r="O2755" i="34"/>
  <c r="A2755" i="34"/>
  <c r="Q2757" i="34"/>
  <c r="U2757" i="34"/>
  <c r="Z2757" i="34"/>
  <c r="O2757" i="34"/>
  <c r="P2757" i="34"/>
  <c r="A2757" i="34"/>
  <c r="Q2759" i="34"/>
  <c r="U2759" i="34"/>
  <c r="Z2759" i="34"/>
  <c r="P2759" i="34"/>
  <c r="O2759" i="34"/>
  <c r="A2759" i="34"/>
  <c r="Q2761" i="34"/>
  <c r="U2761" i="34"/>
  <c r="Z2761" i="34"/>
  <c r="O2761" i="34"/>
  <c r="P2761" i="34"/>
  <c r="A2761" i="34"/>
  <c r="Q2763" i="34"/>
  <c r="U2763" i="34"/>
  <c r="Z2763" i="34"/>
  <c r="P2763" i="34"/>
  <c r="O2763" i="34"/>
  <c r="A2763" i="34"/>
  <c r="Q2765" i="34"/>
  <c r="U2765" i="34"/>
  <c r="Z2765" i="34"/>
  <c r="O2765" i="34"/>
  <c r="P2765" i="34"/>
  <c r="A2765" i="34"/>
  <c r="Q2767" i="34"/>
  <c r="U2767" i="34"/>
  <c r="Z2767" i="34"/>
  <c r="P2767" i="34"/>
  <c r="O2767" i="34"/>
  <c r="A2767" i="34"/>
  <c r="Q2769" i="34"/>
  <c r="U2769" i="34"/>
  <c r="Z2769" i="34"/>
  <c r="O2769" i="34"/>
  <c r="P2769" i="34"/>
  <c r="A2769" i="34"/>
  <c r="Q2771" i="34"/>
  <c r="U2771" i="34"/>
  <c r="Z2771" i="34"/>
  <c r="P2771" i="34"/>
  <c r="O2771" i="34"/>
  <c r="A2771" i="34"/>
  <c r="Q2733" i="34"/>
  <c r="U2733" i="34"/>
  <c r="Z2733" i="34"/>
  <c r="O2733" i="34"/>
  <c r="P2733" i="34"/>
  <c r="A2733" i="34"/>
  <c r="Q2735" i="34"/>
  <c r="U2735" i="34"/>
  <c r="Z2735" i="34"/>
  <c r="P2735" i="34"/>
  <c r="O2735" i="34"/>
  <c r="A2735" i="34"/>
  <c r="Q2737" i="34"/>
  <c r="U2737" i="34"/>
  <c r="Z2737" i="34"/>
  <c r="O2737" i="34"/>
  <c r="P2737" i="34"/>
  <c r="A2737" i="34"/>
  <c r="Q2739" i="34"/>
  <c r="U2739" i="34"/>
  <c r="Z2739" i="34"/>
  <c r="P2739" i="34"/>
  <c r="O2739" i="34"/>
  <c r="A2739" i="34"/>
  <c r="Q2741" i="34"/>
  <c r="U2741" i="34"/>
  <c r="Z2741" i="34"/>
  <c r="O2741" i="34"/>
  <c r="P2741" i="34"/>
  <c r="A2741" i="34"/>
  <c r="Q2743" i="34"/>
  <c r="U2743" i="34"/>
  <c r="Z2743" i="34"/>
  <c r="P2743" i="34"/>
  <c r="O2743" i="34"/>
  <c r="A2743" i="34"/>
  <c r="Q2745" i="34"/>
  <c r="U2745" i="34"/>
  <c r="Z2745" i="34"/>
  <c r="O2745" i="34"/>
  <c r="P2745" i="34"/>
  <c r="A2745" i="34"/>
  <c r="Q2747" i="34"/>
  <c r="U2747" i="34"/>
  <c r="Z2747" i="34"/>
  <c r="P2747" i="34"/>
  <c r="O2747" i="34"/>
  <c r="A2747" i="34"/>
  <c r="Q2749" i="34"/>
  <c r="U2749" i="34"/>
  <c r="Z2749" i="34"/>
  <c r="O2749" i="34"/>
  <c r="P2749" i="34"/>
  <c r="A2749" i="34"/>
  <c r="Q2751" i="34"/>
  <c r="U2751" i="34"/>
  <c r="Z2751" i="34"/>
  <c r="P2751" i="34"/>
  <c r="O2751" i="34"/>
  <c r="A2751" i="34"/>
  <c r="Q2729" i="34"/>
  <c r="U2729" i="34"/>
  <c r="Z2729" i="34"/>
  <c r="O2729" i="34"/>
  <c r="P2729" i="34"/>
  <c r="A2729" i="34"/>
  <c r="Q2774" i="34"/>
  <c r="U2774" i="34"/>
  <c r="Z2774" i="34"/>
  <c r="O2774" i="34"/>
  <c r="P2774" i="34"/>
  <c r="A2774" i="34"/>
  <c r="Q2776" i="34"/>
  <c r="U2776" i="34"/>
  <c r="Z2776" i="34"/>
  <c r="O2776" i="34"/>
  <c r="P2776" i="34"/>
  <c r="A2776" i="34"/>
  <c r="Q2778" i="34"/>
  <c r="U2778" i="34"/>
  <c r="Z2778" i="34"/>
  <c r="O2778" i="34"/>
  <c r="P2778" i="34"/>
  <c r="A2778" i="34"/>
  <c r="Q2780" i="34"/>
  <c r="U2780" i="34"/>
  <c r="Z2780" i="34"/>
  <c r="O2780" i="34"/>
  <c r="P2780" i="34"/>
  <c r="A2780" i="34"/>
  <c r="Q2782" i="34"/>
  <c r="U2782" i="34"/>
  <c r="Z2782" i="34"/>
  <c r="O2782" i="34"/>
  <c r="P2782" i="34"/>
  <c r="A2782" i="34"/>
  <c r="Q2784" i="34"/>
  <c r="U2784" i="34"/>
  <c r="Z2784" i="34"/>
  <c r="O2784" i="34"/>
  <c r="P2784" i="34"/>
  <c r="A2784" i="34"/>
  <c r="Q2786" i="34"/>
  <c r="U2786" i="34"/>
  <c r="Z2786" i="34"/>
  <c r="O2786" i="34"/>
  <c r="P2786" i="34"/>
  <c r="A2786" i="34"/>
  <c r="Q2788" i="34"/>
  <c r="U2788" i="34"/>
  <c r="Z2788" i="34"/>
  <c r="O2788" i="34"/>
  <c r="P2788" i="34"/>
  <c r="A2788" i="34"/>
  <c r="Q2790" i="34"/>
  <c r="U2790" i="34"/>
  <c r="Z2790" i="34"/>
  <c r="O2790" i="34"/>
  <c r="P2790" i="34"/>
  <c r="A2790" i="34"/>
  <c r="Q2792" i="34"/>
  <c r="U2792" i="34"/>
  <c r="Z2792" i="34"/>
  <c r="O2792" i="34"/>
  <c r="P2792" i="34"/>
  <c r="A2792" i="34"/>
  <c r="Q2754" i="34"/>
  <c r="U2754" i="34"/>
  <c r="Z2754" i="34"/>
  <c r="O2754" i="34"/>
  <c r="P2754" i="34"/>
  <c r="A2754" i="34"/>
  <c r="Q2756" i="34"/>
  <c r="U2756" i="34"/>
  <c r="Z2756" i="34"/>
  <c r="O2756" i="34"/>
  <c r="P2756" i="34"/>
  <c r="A2756" i="34"/>
  <c r="Q2758" i="34"/>
  <c r="U2758" i="34"/>
  <c r="Z2758" i="34"/>
  <c r="O2758" i="34"/>
  <c r="P2758" i="34"/>
  <c r="A2758" i="34"/>
  <c r="Q2760" i="34"/>
  <c r="U2760" i="34"/>
  <c r="Z2760" i="34"/>
  <c r="O2760" i="34"/>
  <c r="P2760" i="34"/>
  <c r="A2760" i="34"/>
  <c r="Q2762" i="34"/>
  <c r="U2762" i="34"/>
  <c r="Z2762" i="34"/>
  <c r="O2762" i="34"/>
  <c r="P2762" i="34"/>
  <c r="A2762" i="34"/>
  <c r="Q2764" i="34"/>
  <c r="U2764" i="34"/>
  <c r="Z2764" i="34"/>
  <c r="O2764" i="34"/>
  <c r="P2764" i="34"/>
  <c r="A2764" i="34"/>
  <c r="Q2766" i="34"/>
  <c r="U2766" i="34"/>
  <c r="Z2766" i="34"/>
  <c r="O2766" i="34"/>
  <c r="P2766" i="34"/>
  <c r="A2766" i="34"/>
  <c r="Q2768" i="34"/>
  <c r="U2768" i="34"/>
  <c r="Z2768" i="34"/>
  <c r="O2768" i="34"/>
  <c r="P2768" i="34"/>
  <c r="A2768" i="34"/>
  <c r="Q2770" i="34"/>
  <c r="U2770" i="34"/>
  <c r="Z2770" i="34"/>
  <c r="O2770" i="34"/>
  <c r="P2770" i="34"/>
  <c r="A2770" i="34"/>
  <c r="Q2772" i="34"/>
  <c r="U2772" i="34"/>
  <c r="Z2772" i="34"/>
  <c r="O2772" i="34"/>
  <c r="P2772" i="34"/>
  <c r="A2772" i="34"/>
  <c r="Q2734" i="34"/>
  <c r="U2734" i="34"/>
  <c r="Z2734" i="34"/>
  <c r="O2734" i="34"/>
  <c r="P2734" i="34"/>
  <c r="A2734" i="34"/>
  <c r="Q2736" i="34"/>
  <c r="U2736" i="34"/>
  <c r="Z2736" i="34"/>
  <c r="O2736" i="34"/>
  <c r="P2736" i="34"/>
  <c r="A2736" i="34"/>
  <c r="Q2738" i="34"/>
  <c r="U2738" i="34"/>
  <c r="Z2738" i="34"/>
  <c r="O2738" i="34"/>
  <c r="P2738" i="34"/>
  <c r="A2738" i="34"/>
  <c r="Q2740" i="34"/>
  <c r="U2740" i="34"/>
  <c r="Z2740" i="34"/>
  <c r="O2740" i="34"/>
  <c r="P2740" i="34"/>
  <c r="A2740" i="34"/>
  <c r="Q2742" i="34"/>
  <c r="U2742" i="34"/>
  <c r="Z2742" i="34"/>
  <c r="O2742" i="34"/>
  <c r="P2742" i="34"/>
  <c r="A2742" i="34"/>
  <c r="Q2744" i="34"/>
  <c r="U2744" i="34"/>
  <c r="Z2744" i="34"/>
  <c r="O2744" i="34"/>
  <c r="P2744" i="34"/>
  <c r="A2744" i="34"/>
  <c r="Q2746" i="34"/>
  <c r="U2746" i="34"/>
  <c r="Z2746" i="34"/>
  <c r="O2746" i="34"/>
  <c r="P2746" i="34"/>
  <c r="A2746" i="34"/>
  <c r="Q2748" i="34"/>
  <c r="U2748" i="34"/>
  <c r="Z2748" i="34"/>
  <c r="O2748" i="34"/>
  <c r="P2748" i="34"/>
  <c r="A2748" i="34"/>
  <c r="Q2750" i="34"/>
  <c r="U2750" i="34"/>
  <c r="Z2750" i="34"/>
  <c r="O2750" i="34"/>
  <c r="P2750" i="34"/>
  <c r="A2750" i="34"/>
  <c r="Q2752" i="34"/>
  <c r="U2752" i="34"/>
  <c r="Z2752" i="34"/>
  <c r="O2752" i="34"/>
  <c r="P2752" i="34"/>
  <c r="A2752" i="34"/>
  <c r="J425" i="55"/>
  <c r="J356" i="55"/>
  <c r="J420" i="55"/>
  <c r="J344" i="55"/>
  <c r="J410" i="55"/>
  <c r="J365" i="55"/>
  <c r="J353" i="55"/>
  <c r="J460" i="55"/>
  <c r="J501" i="55"/>
  <c r="J493" i="55"/>
  <c r="J292" i="55"/>
  <c r="J214" i="55"/>
  <c r="J581" i="55"/>
  <c r="J610" i="55"/>
  <c r="J685" i="55"/>
  <c r="J237" i="55"/>
  <c r="J279" i="55"/>
  <c r="J208" i="55"/>
  <c r="J506" i="55"/>
  <c r="J659" i="55"/>
  <c r="J72" i="55"/>
  <c r="J274" i="55"/>
  <c r="J627" i="55"/>
  <c r="J591" i="55"/>
  <c r="J469" i="55"/>
  <c r="J505" i="55"/>
  <c r="J541" i="55"/>
  <c r="J399" i="55"/>
  <c r="J357" i="55"/>
  <c r="C2688" i="34" l="1"/>
  <c r="B2688" i="34" s="1"/>
  <c r="K2687" i="34"/>
  <c r="C2687" i="34"/>
  <c r="B2687" i="34" s="1"/>
  <c r="K2798" i="34"/>
  <c r="C2798" i="34"/>
  <c r="B2798" i="34" s="1"/>
  <c r="K2797" i="34"/>
  <c r="C2797" i="34"/>
  <c r="B2797" i="34" s="1"/>
  <c r="K2796" i="34"/>
  <c r="C2796" i="34"/>
  <c r="B2796" i="34" s="1"/>
  <c r="K2795" i="34"/>
  <c r="C2795" i="34"/>
  <c r="B2795" i="34" s="1"/>
  <c r="K2794" i="34"/>
  <c r="C2794" i="34"/>
  <c r="B2794" i="34" s="1"/>
  <c r="K2793" i="34"/>
  <c r="C2793" i="34"/>
  <c r="B2793" i="34" s="1"/>
  <c r="K2732" i="34"/>
  <c r="C2732" i="34"/>
  <c r="B2732" i="34" s="1"/>
  <c r="K2731" i="34"/>
  <c r="C2731" i="34"/>
  <c r="B2731" i="34" s="1"/>
  <c r="K2730" i="34"/>
  <c r="C2730" i="34"/>
  <c r="B2730" i="34" s="1"/>
  <c r="K2805" i="34"/>
  <c r="C2805" i="34"/>
  <c r="B2805" i="34" s="1"/>
  <c r="K2804" i="34"/>
  <c r="C2804" i="34"/>
  <c r="B2804" i="34" s="1"/>
  <c r="K2803" i="34"/>
  <c r="C2803" i="34"/>
  <c r="B2803" i="34" s="1"/>
  <c r="K2802" i="34"/>
  <c r="C2802" i="34"/>
  <c r="B2802" i="34" s="1"/>
  <c r="K2801" i="34"/>
  <c r="C2801" i="34"/>
  <c r="B2801" i="34" s="1"/>
  <c r="K2800" i="34"/>
  <c r="C2800" i="34"/>
  <c r="B2800" i="34" s="1"/>
  <c r="K2799" i="34"/>
  <c r="C2799" i="34"/>
  <c r="B2799" i="34" s="1"/>
  <c r="K2620" i="34"/>
  <c r="K2531" i="34"/>
  <c r="K2455" i="34"/>
  <c r="C2621" i="34"/>
  <c r="B2621" i="34" s="1"/>
  <c r="C2620" i="34"/>
  <c r="B2620" i="34" s="1"/>
  <c r="C2532" i="34"/>
  <c r="B2532" i="34" s="1"/>
  <c r="C2531" i="34"/>
  <c r="B2531" i="34" s="1"/>
  <c r="C2456" i="34"/>
  <c r="B2456" i="34" s="1"/>
  <c r="C2455" i="34"/>
  <c r="B2455" i="34" s="1"/>
  <c r="C2047" i="34"/>
  <c r="B2047" i="34" s="1"/>
  <c r="K2046" i="34"/>
  <c r="C2046" i="34"/>
  <c r="B2046" i="34" s="1"/>
  <c r="K2809" i="34"/>
  <c r="C2809" i="34"/>
  <c r="B2809" i="34" s="1"/>
  <c r="K2808" i="34"/>
  <c r="C2808" i="34"/>
  <c r="B2808" i="34" s="1"/>
  <c r="K2807" i="34"/>
  <c r="C2807" i="34"/>
  <c r="B2807" i="34" s="1"/>
  <c r="K2806" i="34"/>
  <c r="C2806" i="34"/>
  <c r="B2806" i="34" s="1"/>
  <c r="K2811" i="34"/>
  <c r="C2811" i="34"/>
  <c r="B2811" i="34" s="1"/>
  <c r="K2810" i="34"/>
  <c r="C2810" i="34"/>
  <c r="B2810" i="34" s="1"/>
  <c r="K2812" i="34"/>
  <c r="C2812" i="34"/>
  <c r="B2812" i="34" s="1"/>
  <c r="Q2455" i="34" l="1"/>
  <c r="U2455" i="34"/>
  <c r="Z2455" i="34"/>
  <c r="O2455" i="34"/>
  <c r="P2455" i="34"/>
  <c r="A2455" i="34"/>
  <c r="P2620" i="34"/>
  <c r="Q2620" i="34"/>
  <c r="U2620" i="34"/>
  <c r="Z2620" i="34"/>
  <c r="O2620" i="34"/>
  <c r="A2620" i="34"/>
  <c r="Q2810" i="34"/>
  <c r="U2810" i="34"/>
  <c r="Z2810" i="34"/>
  <c r="O2810" i="34"/>
  <c r="P2810" i="34"/>
  <c r="A2810" i="34"/>
  <c r="Q2806" i="34"/>
  <c r="U2806" i="34"/>
  <c r="Z2806" i="34"/>
  <c r="O2806" i="34"/>
  <c r="P2806" i="34"/>
  <c r="A2806" i="34"/>
  <c r="Q2808" i="34"/>
  <c r="U2808" i="34"/>
  <c r="Z2808" i="34"/>
  <c r="O2808" i="34"/>
  <c r="P2808" i="34"/>
  <c r="A2808" i="34"/>
  <c r="Q2046" i="34"/>
  <c r="U2046" i="34"/>
  <c r="Z2046" i="34"/>
  <c r="O2046" i="34"/>
  <c r="P2046" i="34"/>
  <c r="A2046" i="34"/>
  <c r="Q2456" i="34"/>
  <c r="U2456" i="34"/>
  <c r="Z2456" i="34"/>
  <c r="P2456" i="34"/>
  <c r="O2456" i="34"/>
  <c r="A2456" i="34"/>
  <c r="P2621" i="34"/>
  <c r="Q2621" i="34"/>
  <c r="U2621" i="34"/>
  <c r="Z2621" i="34"/>
  <c r="O2621" i="34"/>
  <c r="A2621" i="34"/>
  <c r="Q2799" i="34"/>
  <c r="U2799" i="34"/>
  <c r="Z2799" i="34"/>
  <c r="P2799" i="34"/>
  <c r="O2799" i="34"/>
  <c r="A2799" i="34"/>
  <c r="Q2801" i="34"/>
  <c r="U2801" i="34"/>
  <c r="Z2801" i="34"/>
  <c r="O2801" i="34"/>
  <c r="P2801" i="34"/>
  <c r="A2801" i="34"/>
  <c r="Q2803" i="34"/>
  <c r="U2803" i="34"/>
  <c r="Z2803" i="34"/>
  <c r="P2803" i="34"/>
  <c r="O2803" i="34"/>
  <c r="A2803" i="34"/>
  <c r="Q2805" i="34"/>
  <c r="U2805" i="34"/>
  <c r="Z2805" i="34"/>
  <c r="O2805" i="34"/>
  <c r="P2805" i="34"/>
  <c r="A2805" i="34"/>
  <c r="Q2731" i="34"/>
  <c r="U2731" i="34"/>
  <c r="Z2731" i="34"/>
  <c r="P2731" i="34"/>
  <c r="O2731" i="34"/>
  <c r="A2731" i="34"/>
  <c r="Q2793" i="34"/>
  <c r="U2793" i="34"/>
  <c r="Z2793" i="34"/>
  <c r="O2793" i="34"/>
  <c r="P2793" i="34"/>
  <c r="A2793" i="34"/>
  <c r="Q2795" i="34"/>
  <c r="U2795" i="34"/>
  <c r="Z2795" i="34"/>
  <c r="P2795" i="34"/>
  <c r="O2795" i="34"/>
  <c r="A2795" i="34"/>
  <c r="Q2797" i="34"/>
  <c r="U2797" i="34"/>
  <c r="Z2797" i="34"/>
  <c r="O2797" i="34"/>
  <c r="P2797" i="34"/>
  <c r="A2797" i="34"/>
  <c r="P2687" i="34"/>
  <c r="Q2687" i="34"/>
  <c r="U2687" i="34"/>
  <c r="Z2687" i="34"/>
  <c r="O2687" i="34"/>
  <c r="A2687" i="34"/>
  <c r="Q2812" i="34"/>
  <c r="U2812" i="34"/>
  <c r="Z2812" i="34"/>
  <c r="O2812" i="34"/>
  <c r="P2812" i="34"/>
  <c r="A2812" i="34"/>
  <c r="P2531" i="34"/>
  <c r="Q2531" i="34"/>
  <c r="U2531" i="34"/>
  <c r="Z2531" i="34"/>
  <c r="O2531" i="34"/>
  <c r="A2531" i="34"/>
  <c r="Q2811" i="34"/>
  <c r="U2811" i="34"/>
  <c r="Z2811" i="34"/>
  <c r="P2811" i="34"/>
  <c r="O2811" i="34"/>
  <c r="A2811" i="34"/>
  <c r="Q2807" i="34"/>
  <c r="U2807" i="34"/>
  <c r="Z2807" i="34"/>
  <c r="P2807" i="34"/>
  <c r="O2807" i="34"/>
  <c r="A2807" i="34"/>
  <c r="Q2809" i="34"/>
  <c r="U2809" i="34"/>
  <c r="Z2809" i="34"/>
  <c r="O2809" i="34"/>
  <c r="P2809" i="34"/>
  <c r="A2809" i="34"/>
  <c r="Q2047" i="34"/>
  <c r="U2047" i="34"/>
  <c r="Z2047" i="34"/>
  <c r="P2047" i="34"/>
  <c r="O2047" i="34"/>
  <c r="A2047" i="34"/>
  <c r="P2532" i="34"/>
  <c r="Q2532" i="34"/>
  <c r="U2532" i="34"/>
  <c r="Z2532" i="34"/>
  <c r="O2532" i="34"/>
  <c r="A2532" i="34"/>
  <c r="Q2800" i="34"/>
  <c r="U2800" i="34"/>
  <c r="Z2800" i="34"/>
  <c r="O2800" i="34"/>
  <c r="P2800" i="34"/>
  <c r="A2800" i="34"/>
  <c r="Q2802" i="34"/>
  <c r="U2802" i="34"/>
  <c r="Z2802" i="34"/>
  <c r="O2802" i="34"/>
  <c r="P2802" i="34"/>
  <c r="A2802" i="34"/>
  <c r="Q2804" i="34"/>
  <c r="U2804" i="34"/>
  <c r="Z2804" i="34"/>
  <c r="O2804" i="34"/>
  <c r="P2804" i="34"/>
  <c r="A2804" i="34"/>
  <c r="Q2730" i="34"/>
  <c r="U2730" i="34"/>
  <c r="Z2730" i="34"/>
  <c r="O2730" i="34"/>
  <c r="P2730" i="34"/>
  <c r="A2730" i="34"/>
  <c r="Q2732" i="34"/>
  <c r="U2732" i="34"/>
  <c r="Z2732" i="34"/>
  <c r="O2732" i="34"/>
  <c r="P2732" i="34"/>
  <c r="A2732" i="34"/>
  <c r="Q2794" i="34"/>
  <c r="U2794" i="34"/>
  <c r="Z2794" i="34"/>
  <c r="O2794" i="34"/>
  <c r="P2794" i="34"/>
  <c r="A2794" i="34"/>
  <c r="Q2796" i="34"/>
  <c r="U2796" i="34"/>
  <c r="Z2796" i="34"/>
  <c r="O2796" i="34"/>
  <c r="P2796" i="34"/>
  <c r="A2796" i="34"/>
  <c r="Q2798" i="34"/>
  <c r="U2798" i="34"/>
  <c r="Z2798" i="34"/>
  <c r="O2798" i="34"/>
  <c r="P2798" i="34"/>
  <c r="A2798" i="34"/>
  <c r="P2688" i="34"/>
  <c r="Q2688" i="34"/>
  <c r="U2688" i="34"/>
  <c r="Z2688" i="34"/>
  <c r="O2688" i="34"/>
  <c r="A2688" i="34"/>
  <c r="C238" i="34"/>
  <c r="B238" i="34" s="1"/>
  <c r="C237" i="34"/>
  <c r="B237" i="34" s="1"/>
  <c r="C236" i="34"/>
  <c r="B236" i="34" s="1"/>
  <c r="C235" i="34"/>
  <c r="B235" i="34" s="1"/>
  <c r="C342" i="34"/>
  <c r="B342" i="34" s="1"/>
  <c r="C336" i="34"/>
  <c r="B336" i="34" s="1"/>
  <c r="C327" i="34"/>
  <c r="B327" i="34" s="1"/>
  <c r="C326" i="34"/>
  <c r="B326" i="34" s="1"/>
  <c r="C323" i="34"/>
  <c r="B323" i="34" s="1"/>
  <c r="C319" i="34"/>
  <c r="B319" i="34" s="1"/>
  <c r="C316" i="34"/>
  <c r="B316" i="34" s="1"/>
  <c r="C315" i="34"/>
  <c r="B315" i="34" s="1"/>
  <c r="C314" i="34"/>
  <c r="B314" i="34" s="1"/>
  <c r="C311" i="34"/>
  <c r="B311" i="34" s="1"/>
  <c r="C309" i="34"/>
  <c r="B309" i="34" s="1"/>
  <c r="C308" i="34"/>
  <c r="B308" i="34" s="1"/>
  <c r="C304" i="34"/>
  <c r="B304" i="34" s="1"/>
  <c r="C301" i="34"/>
  <c r="B301" i="34" s="1"/>
  <c r="C293" i="34"/>
  <c r="B293" i="34" s="1"/>
  <c r="C291" i="34"/>
  <c r="B291" i="34" s="1"/>
  <c r="C289" i="34"/>
  <c r="B289" i="34" s="1"/>
  <c r="C283" i="34"/>
  <c r="B283" i="34" s="1"/>
  <c r="C282" i="34"/>
  <c r="B282" i="34" s="1"/>
  <c r="C280" i="34"/>
  <c r="B280" i="34" s="1"/>
  <c r="C279" i="34"/>
  <c r="B279" i="34" s="1"/>
  <c r="C277" i="34"/>
  <c r="B277" i="34" s="1"/>
  <c r="C271" i="34"/>
  <c r="B271" i="34" s="1"/>
  <c r="C267" i="34"/>
  <c r="B267" i="34" s="1"/>
  <c r="C261" i="34"/>
  <c r="B261" i="34" s="1"/>
  <c r="C260" i="34"/>
  <c r="B260" i="34" s="1"/>
  <c r="C254" i="34"/>
  <c r="B254" i="34" s="1"/>
  <c r="C247" i="34"/>
  <c r="B247" i="34" s="1"/>
  <c r="C246" i="34"/>
  <c r="B246" i="34" s="1"/>
  <c r="C243" i="34"/>
  <c r="B243" i="34" s="1"/>
  <c r="C242" i="34"/>
  <c r="B242" i="34" s="1"/>
  <c r="C241" i="34"/>
  <c r="B241" i="34" s="1"/>
  <c r="C290" i="34"/>
  <c r="B290" i="34" s="1"/>
  <c r="C288" i="34"/>
  <c r="B288" i="34" s="1"/>
  <c r="C287" i="34"/>
  <c r="B287" i="34" s="1"/>
  <c r="C286" i="34"/>
  <c r="B286" i="34" s="1"/>
  <c r="C285" i="34"/>
  <c r="B285" i="34" s="1"/>
  <c r="C284" i="34"/>
  <c r="B284" i="34" s="1"/>
  <c r="C281" i="34"/>
  <c r="B281" i="34" s="1"/>
  <c r="C278" i="34"/>
  <c r="B278" i="34" s="1"/>
  <c r="C276" i="34"/>
  <c r="B276" i="34" s="1"/>
  <c r="C275" i="34"/>
  <c r="B275" i="34" s="1"/>
  <c r="C274" i="34"/>
  <c r="B274" i="34" s="1"/>
  <c r="C273" i="34"/>
  <c r="B273" i="34" s="1"/>
  <c r="C272" i="34"/>
  <c r="B272" i="34" s="1"/>
  <c r="C270" i="34"/>
  <c r="B270" i="34" s="1"/>
  <c r="C269" i="34"/>
  <c r="B269" i="34" s="1"/>
  <c r="C268" i="34"/>
  <c r="B268" i="34" s="1"/>
  <c r="C266" i="34"/>
  <c r="B266" i="34" s="1"/>
  <c r="C265" i="34"/>
  <c r="B265" i="34" s="1"/>
  <c r="C264" i="34"/>
  <c r="B264" i="34" s="1"/>
  <c r="C263" i="34"/>
  <c r="B263" i="34" s="1"/>
  <c r="C262" i="34"/>
  <c r="B262" i="34" s="1"/>
  <c r="C259" i="34"/>
  <c r="B259" i="34" s="1"/>
  <c r="C258" i="34"/>
  <c r="B258" i="34" s="1"/>
  <c r="C257" i="34"/>
  <c r="B257" i="34" s="1"/>
  <c r="C256" i="34"/>
  <c r="B256" i="34" s="1"/>
  <c r="C255" i="34"/>
  <c r="B255" i="34" s="1"/>
  <c r="C253" i="34"/>
  <c r="B253" i="34" s="1"/>
  <c r="C252" i="34"/>
  <c r="B252" i="34" s="1"/>
  <c r="C251" i="34"/>
  <c r="B251" i="34" s="1"/>
  <c r="C250" i="34"/>
  <c r="B250" i="34" s="1"/>
  <c r="C249" i="34"/>
  <c r="B249" i="34" s="1"/>
  <c r="C248" i="34"/>
  <c r="B248" i="34" s="1"/>
  <c r="C245" i="34"/>
  <c r="B245" i="34" s="1"/>
  <c r="C244" i="34"/>
  <c r="B244" i="34" s="1"/>
  <c r="C240" i="34"/>
  <c r="B240" i="34" s="1"/>
  <c r="C239" i="34"/>
  <c r="B239" i="34" s="1"/>
  <c r="Q244" i="34" l="1"/>
  <c r="U244" i="34"/>
  <c r="Z244" i="34"/>
  <c r="O244" i="34"/>
  <c r="P244" i="34"/>
  <c r="A244" i="34"/>
  <c r="Q255" i="34"/>
  <c r="U255" i="34"/>
  <c r="Z255" i="34"/>
  <c r="P255" i="34"/>
  <c r="O255" i="34"/>
  <c r="A255" i="34"/>
  <c r="O265" i="34"/>
  <c r="P265" i="34"/>
  <c r="Q265" i="34"/>
  <c r="U265" i="34"/>
  <c r="Z265" i="34"/>
  <c r="A265" i="34"/>
  <c r="Q275" i="34"/>
  <c r="U275" i="34"/>
  <c r="Z275" i="34"/>
  <c r="O275" i="34"/>
  <c r="P275" i="34"/>
  <c r="A275" i="34"/>
  <c r="Q288" i="34"/>
  <c r="U288" i="34"/>
  <c r="Z288" i="34"/>
  <c r="O288" i="34"/>
  <c r="P288" i="34"/>
  <c r="A288" i="34"/>
  <c r="Q277" i="34"/>
  <c r="U277" i="34"/>
  <c r="Z277" i="34"/>
  <c r="P277" i="34"/>
  <c r="O277" i="34"/>
  <c r="A277" i="34"/>
  <c r="P301" i="34"/>
  <c r="Q301" i="34"/>
  <c r="U301" i="34"/>
  <c r="Z301" i="34"/>
  <c r="O301" i="34"/>
  <c r="A301" i="34"/>
  <c r="P336" i="34"/>
  <c r="Q336" i="34"/>
  <c r="U336" i="34"/>
  <c r="Z336" i="34"/>
  <c r="O336" i="34"/>
  <c r="A336" i="34"/>
  <c r="Q248" i="34"/>
  <c r="U248" i="34"/>
  <c r="Z248" i="34"/>
  <c r="O248" i="34"/>
  <c r="P248" i="34"/>
  <c r="A248" i="34"/>
  <c r="Q250" i="34"/>
  <c r="U250" i="34"/>
  <c r="Z250" i="34"/>
  <c r="O250" i="34"/>
  <c r="P250" i="34"/>
  <c r="A250" i="34"/>
  <c r="O259" i="34"/>
  <c r="P259" i="34"/>
  <c r="Q259" i="34"/>
  <c r="U259" i="34"/>
  <c r="Z259" i="34"/>
  <c r="A259" i="34"/>
  <c r="O270" i="34"/>
  <c r="P270" i="34"/>
  <c r="Q270" i="34"/>
  <c r="U270" i="34"/>
  <c r="Z270" i="34"/>
  <c r="A270" i="34"/>
  <c r="Q284" i="34"/>
  <c r="U284" i="34"/>
  <c r="Z284" i="34"/>
  <c r="O284" i="34"/>
  <c r="P284" i="34"/>
  <c r="A284" i="34"/>
  <c r="Q243" i="34"/>
  <c r="U243" i="34"/>
  <c r="Z243" i="34"/>
  <c r="P243" i="34"/>
  <c r="O243" i="34"/>
  <c r="A243" i="34"/>
  <c r="O260" i="34"/>
  <c r="P260" i="34"/>
  <c r="Q260" i="34"/>
  <c r="U260" i="34"/>
  <c r="Z260" i="34"/>
  <c r="A260" i="34"/>
  <c r="Q283" i="34"/>
  <c r="U283" i="34"/>
  <c r="Z283" i="34"/>
  <c r="O283" i="34"/>
  <c r="P283" i="34"/>
  <c r="A283" i="34"/>
  <c r="P311" i="34"/>
  <c r="Q311" i="34"/>
  <c r="U311" i="34"/>
  <c r="Z311" i="34"/>
  <c r="O311" i="34"/>
  <c r="A311" i="34"/>
  <c r="P319" i="34"/>
  <c r="Q319" i="34"/>
  <c r="U319" i="34"/>
  <c r="Z319" i="34"/>
  <c r="O319" i="34"/>
  <c r="A319" i="34"/>
  <c r="Q237" i="34"/>
  <c r="U237" i="34"/>
  <c r="Z237" i="34"/>
  <c r="O237" i="34"/>
  <c r="P237" i="34"/>
  <c r="A237" i="34"/>
  <c r="Q245" i="34"/>
  <c r="U245" i="34"/>
  <c r="Z245" i="34"/>
  <c r="O245" i="34"/>
  <c r="P245" i="34"/>
  <c r="A245" i="34"/>
  <c r="Q251" i="34"/>
  <c r="U251" i="34"/>
  <c r="Z251" i="34"/>
  <c r="P251" i="34"/>
  <c r="O251" i="34"/>
  <c r="A251" i="34"/>
  <c r="O256" i="34"/>
  <c r="P256" i="34"/>
  <c r="Q256" i="34"/>
  <c r="U256" i="34"/>
  <c r="Z256" i="34"/>
  <c r="A256" i="34"/>
  <c r="O262" i="34"/>
  <c r="P262" i="34"/>
  <c r="Q262" i="34"/>
  <c r="U262" i="34"/>
  <c r="Z262" i="34"/>
  <c r="A262" i="34"/>
  <c r="O266" i="34"/>
  <c r="P266" i="34"/>
  <c r="Q266" i="34"/>
  <c r="U266" i="34"/>
  <c r="Z266" i="34"/>
  <c r="A266" i="34"/>
  <c r="Q272" i="34"/>
  <c r="U272" i="34"/>
  <c r="Z272" i="34"/>
  <c r="O272" i="34"/>
  <c r="P272" i="34"/>
  <c r="A272" i="34"/>
  <c r="Q276" i="34"/>
  <c r="U276" i="34"/>
  <c r="Z276" i="34"/>
  <c r="O276" i="34"/>
  <c r="P276" i="34"/>
  <c r="A276" i="34"/>
  <c r="Q285" i="34"/>
  <c r="U285" i="34"/>
  <c r="Z285" i="34"/>
  <c r="P285" i="34"/>
  <c r="O285" i="34"/>
  <c r="A285" i="34"/>
  <c r="Q290" i="34"/>
  <c r="U290" i="34"/>
  <c r="Z290" i="34"/>
  <c r="O290" i="34"/>
  <c r="P290" i="34"/>
  <c r="A290" i="34"/>
  <c r="Q246" i="34"/>
  <c r="U246" i="34"/>
  <c r="Z246" i="34"/>
  <c r="O246" i="34"/>
  <c r="P246" i="34"/>
  <c r="A246" i="34"/>
  <c r="O261" i="34"/>
  <c r="P261" i="34"/>
  <c r="Q261" i="34"/>
  <c r="U261" i="34"/>
  <c r="Z261" i="34"/>
  <c r="A261" i="34"/>
  <c r="Q279" i="34"/>
  <c r="U279" i="34"/>
  <c r="Z279" i="34"/>
  <c r="O279" i="34"/>
  <c r="P279" i="34"/>
  <c r="A279" i="34"/>
  <c r="Q289" i="34"/>
  <c r="U289" i="34"/>
  <c r="Z289" i="34"/>
  <c r="P289" i="34"/>
  <c r="O289" i="34"/>
  <c r="A289" i="34"/>
  <c r="P304" i="34"/>
  <c r="Q304" i="34"/>
  <c r="U304" i="34"/>
  <c r="Z304" i="34"/>
  <c r="O304" i="34"/>
  <c r="A304" i="34"/>
  <c r="P314" i="34"/>
  <c r="Q314" i="34"/>
  <c r="U314" i="34"/>
  <c r="Z314" i="34"/>
  <c r="O314" i="34"/>
  <c r="A314" i="34"/>
  <c r="P323" i="34"/>
  <c r="Q323" i="34"/>
  <c r="U323" i="34"/>
  <c r="Z323" i="34"/>
  <c r="O323" i="34"/>
  <c r="A323" i="34"/>
  <c r="P342" i="34"/>
  <c r="Q342" i="34"/>
  <c r="U342" i="34"/>
  <c r="Z342" i="34"/>
  <c r="O342" i="34"/>
  <c r="A342" i="34"/>
  <c r="Q238" i="34"/>
  <c r="U238" i="34"/>
  <c r="Z238" i="34"/>
  <c r="O238" i="34"/>
  <c r="P238" i="34"/>
  <c r="A238" i="34"/>
  <c r="Q252" i="34"/>
  <c r="U252" i="34"/>
  <c r="Z252" i="34"/>
  <c r="O252" i="34"/>
  <c r="P252" i="34"/>
  <c r="A252" i="34"/>
  <c r="O263" i="34"/>
  <c r="P263" i="34"/>
  <c r="Q263" i="34"/>
  <c r="U263" i="34"/>
  <c r="Z263" i="34"/>
  <c r="A263" i="34"/>
  <c r="Q273" i="34"/>
  <c r="U273" i="34"/>
  <c r="Z273" i="34"/>
  <c r="P273" i="34"/>
  <c r="O273" i="34"/>
  <c r="A273" i="34"/>
  <c r="Q241" i="34"/>
  <c r="U241" i="34"/>
  <c r="Z241" i="34"/>
  <c r="O241" i="34"/>
  <c r="P241" i="34"/>
  <c r="A241" i="34"/>
  <c r="O267" i="34"/>
  <c r="P267" i="34"/>
  <c r="Q267" i="34"/>
  <c r="U267" i="34"/>
  <c r="Z267" i="34"/>
  <c r="A267" i="34"/>
  <c r="P308" i="34"/>
  <c r="Q308" i="34"/>
  <c r="U308" i="34"/>
  <c r="Z308" i="34"/>
  <c r="O308" i="34"/>
  <c r="A308" i="34"/>
  <c r="Q239" i="34"/>
  <c r="U239" i="34"/>
  <c r="Z239" i="34"/>
  <c r="P239" i="34"/>
  <c r="O239" i="34"/>
  <c r="A239" i="34"/>
  <c r="O257" i="34"/>
  <c r="P257" i="34"/>
  <c r="Q257" i="34"/>
  <c r="U257" i="34"/>
  <c r="Z257" i="34"/>
  <c r="A257" i="34"/>
  <c r="O268" i="34"/>
  <c r="P268" i="34"/>
  <c r="Q268" i="34"/>
  <c r="U268" i="34"/>
  <c r="Z268" i="34"/>
  <c r="A268" i="34"/>
  <c r="Q278" i="34"/>
  <c r="U278" i="34"/>
  <c r="Z278" i="34"/>
  <c r="O278" i="34"/>
  <c r="P278" i="34"/>
  <c r="A278" i="34"/>
  <c r="Q286" i="34"/>
  <c r="U286" i="34"/>
  <c r="Z286" i="34"/>
  <c r="O286" i="34"/>
  <c r="P286" i="34"/>
  <c r="A286" i="34"/>
  <c r="Q247" i="34"/>
  <c r="U247" i="34"/>
  <c r="Z247" i="34"/>
  <c r="P247" i="34"/>
  <c r="O247" i="34"/>
  <c r="A247" i="34"/>
  <c r="Q280" i="34"/>
  <c r="U280" i="34"/>
  <c r="Z280" i="34"/>
  <c r="O280" i="34"/>
  <c r="P280" i="34"/>
  <c r="A280" i="34"/>
  <c r="Q291" i="34"/>
  <c r="U291" i="34"/>
  <c r="Z291" i="34"/>
  <c r="O291" i="34"/>
  <c r="P291" i="34"/>
  <c r="A291" i="34"/>
  <c r="P315" i="34"/>
  <c r="Q315" i="34"/>
  <c r="U315" i="34"/>
  <c r="Z315" i="34"/>
  <c r="O315" i="34"/>
  <c r="A315" i="34"/>
  <c r="P326" i="34"/>
  <c r="Q326" i="34"/>
  <c r="U326" i="34"/>
  <c r="Z326" i="34"/>
  <c r="O326" i="34"/>
  <c r="A326" i="34"/>
  <c r="Q235" i="34"/>
  <c r="U235" i="34"/>
  <c r="Z235" i="34"/>
  <c r="P235" i="34"/>
  <c r="O235" i="34"/>
  <c r="A235" i="34"/>
  <c r="Q240" i="34"/>
  <c r="U240" i="34"/>
  <c r="Z240" i="34"/>
  <c r="O240" i="34"/>
  <c r="P240" i="34"/>
  <c r="A240" i="34"/>
  <c r="Q249" i="34"/>
  <c r="U249" i="34"/>
  <c r="Z249" i="34"/>
  <c r="O249" i="34"/>
  <c r="P249" i="34"/>
  <c r="A249" i="34"/>
  <c r="Q253" i="34"/>
  <c r="U253" i="34"/>
  <c r="Z253" i="34"/>
  <c r="O253" i="34"/>
  <c r="P253" i="34"/>
  <c r="A253" i="34"/>
  <c r="O258" i="34"/>
  <c r="P258" i="34"/>
  <c r="Q258" i="34"/>
  <c r="U258" i="34"/>
  <c r="Z258" i="34"/>
  <c r="A258" i="34"/>
  <c r="O264" i="34"/>
  <c r="P264" i="34"/>
  <c r="Q264" i="34"/>
  <c r="U264" i="34"/>
  <c r="Z264" i="34"/>
  <c r="A264" i="34"/>
  <c r="O269" i="34"/>
  <c r="P269" i="34"/>
  <c r="Q269" i="34"/>
  <c r="U269" i="34"/>
  <c r="Z269" i="34"/>
  <c r="A269" i="34"/>
  <c r="Q274" i="34"/>
  <c r="U274" i="34"/>
  <c r="Z274" i="34"/>
  <c r="O274" i="34"/>
  <c r="P274" i="34"/>
  <c r="A274" i="34"/>
  <c r="Q281" i="34"/>
  <c r="U281" i="34"/>
  <c r="Z281" i="34"/>
  <c r="P281" i="34"/>
  <c r="O281" i="34"/>
  <c r="A281" i="34"/>
  <c r="Q287" i="34"/>
  <c r="U287" i="34"/>
  <c r="Z287" i="34"/>
  <c r="O287" i="34"/>
  <c r="P287" i="34"/>
  <c r="A287" i="34"/>
  <c r="Q242" i="34"/>
  <c r="U242" i="34"/>
  <c r="Z242" i="34"/>
  <c r="O242" i="34"/>
  <c r="P242" i="34"/>
  <c r="A242" i="34"/>
  <c r="Q254" i="34"/>
  <c r="U254" i="34"/>
  <c r="Z254" i="34"/>
  <c r="O254" i="34"/>
  <c r="P254" i="34"/>
  <c r="A254" i="34"/>
  <c r="O271" i="34"/>
  <c r="P271" i="34"/>
  <c r="Q271" i="34"/>
  <c r="U271" i="34"/>
  <c r="Z271" i="34"/>
  <c r="A271" i="34"/>
  <c r="Q282" i="34"/>
  <c r="U282" i="34"/>
  <c r="Z282" i="34"/>
  <c r="O282" i="34"/>
  <c r="P282" i="34"/>
  <c r="A282" i="34"/>
  <c r="Q293" i="34"/>
  <c r="U293" i="34"/>
  <c r="Z293" i="34"/>
  <c r="P293" i="34"/>
  <c r="O293" i="34"/>
  <c r="A293" i="34"/>
  <c r="P309" i="34"/>
  <c r="Q309" i="34"/>
  <c r="U309" i="34"/>
  <c r="Z309" i="34"/>
  <c r="O309" i="34"/>
  <c r="A309" i="34"/>
  <c r="P316" i="34"/>
  <c r="Q316" i="34"/>
  <c r="U316" i="34"/>
  <c r="Z316" i="34"/>
  <c r="O316" i="34"/>
  <c r="A316" i="34"/>
  <c r="P327" i="34"/>
  <c r="Q327" i="34"/>
  <c r="U327" i="34"/>
  <c r="Z327" i="34"/>
  <c r="O327" i="34"/>
  <c r="A327" i="34"/>
  <c r="Q236" i="34"/>
  <c r="U236" i="34"/>
  <c r="Z236" i="34"/>
  <c r="O236" i="34"/>
  <c r="P236" i="34"/>
  <c r="A236" i="34"/>
  <c r="A669" i="55"/>
  <c r="A190" i="55"/>
  <c r="A192" i="55"/>
  <c r="A540" i="55"/>
  <c r="A432" i="55"/>
  <c r="A407" i="55"/>
  <c r="A508" i="55"/>
  <c r="A381" i="55"/>
  <c r="F190" i="55" a="1"/>
  <c r="F190" i="55" s="1"/>
  <c r="H190" i="55" a="1"/>
  <c r="H190" i="55" s="1"/>
  <c r="F192" i="55" a="1"/>
  <c r="F192" i="55" s="1"/>
  <c r="H192" i="55" a="1"/>
  <c r="H192" i="55" s="1"/>
  <c r="F540" i="55" a="1"/>
  <c r="F540" i="55" s="1"/>
  <c r="H540" i="55" a="1"/>
  <c r="H540" i="55" s="1"/>
  <c r="F432" i="55" a="1"/>
  <c r="F432" i="55" s="1"/>
  <c r="H432" i="55" a="1"/>
  <c r="H432" i="55" s="1"/>
  <c r="F407" i="55" a="1"/>
  <c r="F407" i="55" s="1"/>
  <c r="H407" i="55" a="1"/>
  <c r="H407" i="55" s="1"/>
  <c r="F508" i="55" a="1"/>
  <c r="F508" i="55" s="1"/>
  <c r="H508" i="55" a="1"/>
  <c r="H508" i="55" s="1"/>
  <c r="F381" i="55" a="1"/>
  <c r="F381" i="55" s="1"/>
  <c r="H381" i="55" a="1"/>
  <c r="H381" i="55" s="1"/>
  <c r="K905" i="34"/>
  <c r="K904" i="34"/>
  <c r="K895" i="34"/>
  <c r="K894" i="34"/>
  <c r="K885" i="34"/>
  <c r="K884" i="34"/>
  <c r="J508" i="55" l="1"/>
  <c r="J407" i="55"/>
  <c r="J432" i="55"/>
  <c r="J540" i="55"/>
  <c r="J192" i="55"/>
  <c r="J190" i="55"/>
  <c r="J381" i="55"/>
  <c r="K3384" i="34"/>
  <c r="K3385" i="34"/>
  <c r="K3386" i="34"/>
  <c r="K3387" i="34"/>
  <c r="K3388" i="34"/>
  <c r="K3389" i="34"/>
  <c r="K3394" i="34"/>
  <c r="K3395" i="34"/>
  <c r="K3396" i="34"/>
  <c r="K3397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2538" i="34"/>
  <c r="K110" i="34" l="1"/>
  <c r="K112" i="34" s="1"/>
  <c r="K109" i="34"/>
  <c r="K111" i="34" s="1"/>
  <c r="K108" i="34"/>
  <c r="K107" i="34"/>
  <c r="K106" i="34"/>
  <c r="K105" i="34"/>
  <c r="K104" i="34"/>
  <c r="K103" i="34"/>
  <c r="K102" i="34"/>
  <c r="K101" i="34"/>
  <c r="K95" i="34"/>
  <c r="K97" i="34" s="1"/>
  <c r="K94" i="34"/>
  <c r="K96" i="34" s="1"/>
  <c r="K93" i="34"/>
  <c r="K92" i="34"/>
  <c r="K91" i="34"/>
  <c r="K90" i="34"/>
  <c r="K89" i="34"/>
  <c r="K88" i="34"/>
  <c r="K87" i="34"/>
  <c r="K86" i="34"/>
  <c r="K80" i="34"/>
  <c r="K82" i="34" s="1"/>
  <c r="K79" i="34"/>
  <c r="K81" i="34" s="1"/>
  <c r="K78" i="34"/>
  <c r="K77" i="34"/>
  <c r="K76" i="34"/>
  <c r="K75" i="34"/>
  <c r="K74" i="34"/>
  <c r="K73" i="34"/>
  <c r="K72" i="34"/>
  <c r="K71" i="34"/>
  <c r="K65" i="34"/>
  <c r="K67" i="34" s="1"/>
  <c r="K64" i="34"/>
  <c r="K66" i="34" s="1"/>
  <c r="K63" i="34"/>
  <c r="K62" i="34"/>
  <c r="K61" i="34"/>
  <c r="K60" i="34"/>
  <c r="K59" i="34"/>
  <c r="K58" i="34"/>
  <c r="K57" i="34"/>
  <c r="K56" i="34"/>
  <c r="K44" i="34"/>
  <c r="K43" i="34"/>
  <c r="K42" i="34"/>
  <c r="K41" i="34"/>
  <c r="K50" i="34"/>
  <c r="K52" i="34" s="1"/>
  <c r="K49" i="34"/>
  <c r="K51" i="34" s="1"/>
  <c r="K48" i="34"/>
  <c r="K47" i="34"/>
  <c r="K46" i="34"/>
  <c r="K45" i="34"/>
  <c r="K35" i="34"/>
  <c r="K37" i="34" s="1"/>
  <c r="K34" i="34"/>
  <c r="K36" i="34" s="1"/>
  <c r="K33" i="34"/>
  <c r="K32" i="34"/>
  <c r="K31" i="34"/>
  <c r="K30" i="34"/>
  <c r="K29" i="34"/>
  <c r="K28" i="34"/>
  <c r="K27" i="34"/>
  <c r="K26" i="34"/>
  <c r="K903" i="34" l="1"/>
  <c r="K902" i="34"/>
  <c r="K893" i="34"/>
  <c r="K892" i="34"/>
  <c r="K883" i="34"/>
  <c r="K882" i="34"/>
  <c r="K875" i="34"/>
  <c r="K874" i="34"/>
  <c r="K865" i="34"/>
  <c r="K864" i="34"/>
  <c r="C875" i="34"/>
  <c r="B875" i="34" s="1"/>
  <c r="C874" i="34"/>
  <c r="B874" i="34" s="1"/>
  <c r="C865" i="34"/>
  <c r="B865" i="34" s="1"/>
  <c r="C864" i="34"/>
  <c r="B864" i="34" s="1"/>
  <c r="C903" i="34"/>
  <c r="B903" i="34" s="1"/>
  <c r="C902" i="34"/>
  <c r="B902" i="34" s="1"/>
  <c r="C893" i="34"/>
  <c r="B893" i="34" s="1"/>
  <c r="C892" i="34"/>
  <c r="B892" i="34" s="1"/>
  <c r="C883" i="34"/>
  <c r="B883" i="34" s="1"/>
  <c r="C882" i="34"/>
  <c r="B882" i="34" s="1"/>
  <c r="P902" i="34" l="1"/>
  <c r="Q902" i="34"/>
  <c r="U902" i="34"/>
  <c r="Z902" i="34"/>
  <c r="O902" i="34"/>
  <c r="A902" i="34"/>
  <c r="P874" i="34"/>
  <c r="Q874" i="34"/>
  <c r="U874" i="34"/>
  <c r="Z874" i="34"/>
  <c r="O874" i="34"/>
  <c r="A874" i="34"/>
  <c r="P903" i="34"/>
  <c r="Q903" i="34"/>
  <c r="U903" i="34"/>
  <c r="Z903" i="34"/>
  <c r="O903" i="34"/>
  <c r="A903" i="34"/>
  <c r="P875" i="34"/>
  <c r="Q875" i="34"/>
  <c r="U875" i="34"/>
  <c r="Z875" i="34"/>
  <c r="O875" i="34"/>
  <c r="A875" i="34"/>
  <c r="P883" i="34"/>
  <c r="Q883" i="34"/>
  <c r="U883" i="34"/>
  <c r="Z883" i="34"/>
  <c r="O883" i="34"/>
  <c r="A883" i="34"/>
  <c r="P892" i="34"/>
  <c r="Q892" i="34"/>
  <c r="U892" i="34"/>
  <c r="Z892" i="34"/>
  <c r="O892" i="34"/>
  <c r="A892" i="34"/>
  <c r="P864" i="34"/>
  <c r="Q864" i="34"/>
  <c r="U864" i="34"/>
  <c r="Z864" i="34"/>
  <c r="O864" i="34"/>
  <c r="A864" i="34"/>
  <c r="P882" i="34"/>
  <c r="Q882" i="34"/>
  <c r="U882" i="34"/>
  <c r="Z882" i="34"/>
  <c r="O882" i="34"/>
  <c r="A882" i="34"/>
  <c r="P893" i="34"/>
  <c r="Q893" i="34"/>
  <c r="U893" i="34"/>
  <c r="Z893" i="34"/>
  <c r="O893" i="34"/>
  <c r="A893" i="34"/>
  <c r="P865" i="34"/>
  <c r="Q865" i="34"/>
  <c r="U865" i="34"/>
  <c r="Z865" i="34"/>
  <c r="O865" i="34"/>
  <c r="A865" i="34"/>
  <c r="C905" i="34"/>
  <c r="B905" i="34" s="1"/>
  <c r="C904" i="34"/>
  <c r="B904" i="34" s="1"/>
  <c r="C895" i="34"/>
  <c r="B895" i="34" s="1"/>
  <c r="C894" i="34"/>
  <c r="B894" i="34" s="1"/>
  <c r="C885" i="34"/>
  <c r="B885" i="34" s="1"/>
  <c r="C884" i="34"/>
  <c r="B884" i="34" s="1"/>
  <c r="P885" i="34" l="1"/>
  <c r="Q885" i="34"/>
  <c r="U885" i="34"/>
  <c r="Z885" i="34"/>
  <c r="O885" i="34"/>
  <c r="A885" i="34"/>
  <c r="P905" i="34"/>
  <c r="Q905" i="34"/>
  <c r="U905" i="34"/>
  <c r="Z905" i="34"/>
  <c r="O905" i="34"/>
  <c r="A905" i="34"/>
  <c r="P894" i="34"/>
  <c r="Q894" i="34"/>
  <c r="U894" i="34"/>
  <c r="Z894" i="34"/>
  <c r="O894" i="34"/>
  <c r="A894" i="34"/>
  <c r="P895" i="34"/>
  <c r="Q895" i="34"/>
  <c r="U895" i="34"/>
  <c r="Z895" i="34"/>
  <c r="O895" i="34"/>
  <c r="A895" i="34"/>
  <c r="P884" i="34"/>
  <c r="Q884" i="34"/>
  <c r="U884" i="34"/>
  <c r="Z884" i="34"/>
  <c r="O884" i="34"/>
  <c r="A884" i="34"/>
  <c r="P904" i="34"/>
  <c r="Q904" i="34"/>
  <c r="U904" i="34"/>
  <c r="Z904" i="34"/>
  <c r="O904" i="34"/>
  <c r="A904" i="34"/>
  <c r="C112" i="34"/>
  <c r="B112" i="34" s="1"/>
  <c r="C111" i="34"/>
  <c r="B111" i="34" s="1"/>
  <c r="C110" i="34"/>
  <c r="B110" i="34" s="1"/>
  <c r="C109" i="34"/>
  <c r="B109" i="34" s="1"/>
  <c r="C108" i="34"/>
  <c r="B108" i="34" s="1"/>
  <c r="C107" i="34"/>
  <c r="B107" i="34" s="1"/>
  <c r="C106" i="34"/>
  <c r="B106" i="34" s="1"/>
  <c r="C105" i="34"/>
  <c r="B105" i="34" s="1"/>
  <c r="C104" i="34"/>
  <c r="B104" i="34" s="1"/>
  <c r="C103" i="34"/>
  <c r="B103" i="34" s="1"/>
  <c r="C102" i="34"/>
  <c r="B102" i="34" s="1"/>
  <c r="C101" i="34"/>
  <c r="B101" i="34" s="1"/>
  <c r="C100" i="34"/>
  <c r="B100" i="34" s="1"/>
  <c r="C99" i="34"/>
  <c r="B99" i="34" s="1"/>
  <c r="C98" i="34"/>
  <c r="B98" i="34" s="1"/>
  <c r="C97" i="34"/>
  <c r="B97" i="34" s="1"/>
  <c r="C96" i="34"/>
  <c r="B96" i="34" s="1"/>
  <c r="C95" i="34"/>
  <c r="B95" i="34" s="1"/>
  <c r="C94" i="34"/>
  <c r="B94" i="34" s="1"/>
  <c r="C93" i="34"/>
  <c r="B93" i="34" s="1"/>
  <c r="C92" i="34"/>
  <c r="B92" i="34" s="1"/>
  <c r="C91" i="34"/>
  <c r="B91" i="34" s="1"/>
  <c r="C90" i="34"/>
  <c r="B90" i="34" s="1"/>
  <c r="C89" i="34"/>
  <c r="B89" i="34" s="1"/>
  <c r="C88" i="34"/>
  <c r="B88" i="34" s="1"/>
  <c r="C87" i="34"/>
  <c r="B87" i="34" s="1"/>
  <c r="C86" i="34"/>
  <c r="B86" i="34" s="1"/>
  <c r="C85" i="34"/>
  <c r="B85" i="34" s="1"/>
  <c r="C84" i="34"/>
  <c r="B84" i="34" s="1"/>
  <c r="C83" i="34"/>
  <c r="B83" i="34" s="1"/>
  <c r="C82" i="34"/>
  <c r="B82" i="34" s="1"/>
  <c r="C81" i="34"/>
  <c r="B81" i="34" s="1"/>
  <c r="C80" i="34"/>
  <c r="B80" i="34" s="1"/>
  <c r="C79" i="34"/>
  <c r="B79" i="34" s="1"/>
  <c r="C78" i="34"/>
  <c r="B78" i="34" s="1"/>
  <c r="C77" i="34"/>
  <c r="B77" i="34" s="1"/>
  <c r="C76" i="34"/>
  <c r="B76" i="34" s="1"/>
  <c r="C75" i="34"/>
  <c r="B75" i="34" s="1"/>
  <c r="C74" i="34"/>
  <c r="B74" i="34" s="1"/>
  <c r="C73" i="34"/>
  <c r="B73" i="34" s="1"/>
  <c r="C72" i="34"/>
  <c r="B72" i="34" s="1"/>
  <c r="C71" i="34"/>
  <c r="B71" i="34" s="1"/>
  <c r="C70" i="34"/>
  <c r="B70" i="34" s="1"/>
  <c r="C69" i="34"/>
  <c r="B69" i="34" s="1"/>
  <c r="C68" i="34"/>
  <c r="B68" i="34" s="1"/>
  <c r="C3378" i="34"/>
  <c r="C3379" i="34"/>
  <c r="C3380" i="34"/>
  <c r="C3381" i="34"/>
  <c r="C3382" i="34"/>
  <c r="C3383" i="34"/>
  <c r="C3384" i="34"/>
  <c r="C3385" i="34"/>
  <c r="C3386" i="34"/>
  <c r="C3387" i="34"/>
  <c r="C3388" i="34"/>
  <c r="C3389" i="34"/>
  <c r="C3394" i="34"/>
  <c r="C3395" i="34"/>
  <c r="C3396" i="34"/>
  <c r="C3397" i="34"/>
  <c r="K3415" i="34"/>
  <c r="C3415" i="34"/>
  <c r="B3415" i="34" s="1"/>
  <c r="K3414" i="34"/>
  <c r="C3414" i="34"/>
  <c r="B3414" i="34" s="1"/>
  <c r="K3409" i="34"/>
  <c r="C3409" i="34"/>
  <c r="B3409" i="34" s="1"/>
  <c r="C3408" i="34"/>
  <c r="B3408" i="34" s="1"/>
  <c r="C3407" i="34"/>
  <c r="B3407" i="34" s="1"/>
  <c r="C3406" i="34"/>
  <c r="B3406" i="34" s="1"/>
  <c r="C3405" i="34"/>
  <c r="B3405" i="34" s="1"/>
  <c r="C3404" i="34"/>
  <c r="B3404" i="34" s="1"/>
  <c r="C3403" i="34"/>
  <c r="B3403" i="34" s="1"/>
  <c r="C3402" i="34"/>
  <c r="B3402" i="34" s="1"/>
  <c r="C3401" i="34"/>
  <c r="B3401" i="34" s="1"/>
  <c r="C3400" i="34"/>
  <c r="B3400" i="34" s="1"/>
  <c r="C3399" i="34"/>
  <c r="B3399" i="34" s="1"/>
  <c r="C3398" i="34"/>
  <c r="B3398" i="34" s="1"/>
  <c r="K3417" i="34"/>
  <c r="C3417" i="34"/>
  <c r="B3417" i="34" s="1"/>
  <c r="K3416" i="34"/>
  <c r="C3416" i="34"/>
  <c r="B3416" i="34" s="1"/>
  <c r="K3269" i="34"/>
  <c r="C3269" i="34"/>
  <c r="B3269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O135" i="60"/>
  <c r="C135" i="60" s="1"/>
  <c r="L135" i="60"/>
  <c r="O134" i="60"/>
  <c r="C134" i="60" s="1"/>
  <c r="L134" i="60"/>
  <c r="O133" i="60"/>
  <c r="C133" i="60" s="1"/>
  <c r="L133" i="60"/>
  <c r="O132" i="60"/>
  <c r="C132" i="60" s="1"/>
  <c r="L132" i="60"/>
  <c r="O131" i="60"/>
  <c r="C131" i="60" s="1"/>
  <c r="L131" i="60"/>
  <c r="O130" i="60"/>
  <c r="C130" i="60" s="1"/>
  <c r="L130" i="60"/>
  <c r="O129" i="60"/>
  <c r="C129" i="60" s="1"/>
  <c r="L129" i="60"/>
  <c r="O139" i="60"/>
  <c r="C139" i="60" s="1"/>
  <c r="L139" i="60"/>
  <c r="O138" i="60"/>
  <c r="C138" i="60" s="1"/>
  <c r="L138" i="60"/>
  <c r="O137" i="60"/>
  <c r="C137" i="60" s="1"/>
  <c r="L137" i="60"/>
  <c r="O136" i="60"/>
  <c r="C136" i="60" s="1"/>
  <c r="L136" i="60"/>
  <c r="O141" i="60"/>
  <c r="C141" i="60" s="1"/>
  <c r="L141" i="60"/>
  <c r="O140" i="60"/>
  <c r="C140" i="60" s="1"/>
  <c r="L140" i="60"/>
  <c r="Q3370" i="34" l="1"/>
  <c r="U3370" i="34"/>
  <c r="Z3370" i="34"/>
  <c r="O3370" i="34"/>
  <c r="P3370" i="34"/>
  <c r="A3370" i="34"/>
  <c r="Q3372" i="34"/>
  <c r="U3372" i="34"/>
  <c r="Z3372" i="34"/>
  <c r="O3372" i="34"/>
  <c r="P3372" i="34"/>
  <c r="A3372" i="34"/>
  <c r="Q3360" i="34"/>
  <c r="U3360" i="34"/>
  <c r="Z3360" i="34"/>
  <c r="O3360" i="34"/>
  <c r="P3360" i="34"/>
  <c r="A3360" i="34"/>
  <c r="Q3362" i="34"/>
  <c r="U3362" i="34"/>
  <c r="Z3362" i="34"/>
  <c r="O3362" i="34"/>
  <c r="P3362" i="34"/>
  <c r="A3362" i="34"/>
  <c r="Q3364" i="34"/>
  <c r="U3364" i="34"/>
  <c r="Z3364" i="34"/>
  <c r="O3364" i="34"/>
  <c r="P3364" i="34"/>
  <c r="A3364" i="34"/>
  <c r="Q3366" i="34"/>
  <c r="U3366" i="34"/>
  <c r="Z3366" i="34"/>
  <c r="O3366" i="34"/>
  <c r="P3366" i="34"/>
  <c r="A3366" i="34"/>
  <c r="Q3368" i="34"/>
  <c r="U3368" i="34"/>
  <c r="Z3368" i="34"/>
  <c r="O3368" i="34"/>
  <c r="P3368" i="34"/>
  <c r="A3368" i="34"/>
  <c r="Q3269" i="34"/>
  <c r="U3269" i="34"/>
  <c r="Z3269" i="34"/>
  <c r="O3269" i="34"/>
  <c r="P3269" i="34"/>
  <c r="A3269" i="34"/>
  <c r="Q3417" i="34"/>
  <c r="U3417" i="34"/>
  <c r="Z3417" i="34"/>
  <c r="O3417" i="34"/>
  <c r="P3417" i="34"/>
  <c r="A3417" i="34"/>
  <c r="Q3400" i="34"/>
  <c r="U3400" i="34"/>
  <c r="Z3400" i="34"/>
  <c r="O3400" i="34"/>
  <c r="P3400" i="34"/>
  <c r="A3400" i="34"/>
  <c r="Q3404" i="34"/>
  <c r="U3404" i="34"/>
  <c r="Z3404" i="34"/>
  <c r="O3404" i="34"/>
  <c r="P3404" i="34"/>
  <c r="A3404" i="34"/>
  <c r="Q3408" i="34"/>
  <c r="U3408" i="34"/>
  <c r="Z3408" i="34"/>
  <c r="P3408" i="34"/>
  <c r="O3408" i="34"/>
  <c r="A3408" i="34"/>
  <c r="O69" i="34"/>
  <c r="Q69" i="34"/>
  <c r="U69" i="34"/>
  <c r="Z69" i="34"/>
  <c r="P69" i="34"/>
  <c r="A69" i="34"/>
  <c r="O73" i="34"/>
  <c r="Q73" i="34"/>
  <c r="U73" i="34"/>
  <c r="Z73" i="34"/>
  <c r="P73" i="34"/>
  <c r="A73" i="34"/>
  <c r="Q77" i="34"/>
  <c r="U77" i="34"/>
  <c r="Z77" i="34"/>
  <c r="P77" i="34"/>
  <c r="O77" i="34"/>
  <c r="A77" i="34"/>
  <c r="Q81" i="34"/>
  <c r="U81" i="34"/>
  <c r="Z81" i="34"/>
  <c r="P81" i="34"/>
  <c r="O81" i="34"/>
  <c r="A81" i="34"/>
  <c r="Q85" i="34"/>
  <c r="U85" i="34"/>
  <c r="Z85" i="34"/>
  <c r="P85" i="34"/>
  <c r="O85" i="34"/>
  <c r="A85" i="34"/>
  <c r="Q89" i="34"/>
  <c r="U89" i="34"/>
  <c r="Z89" i="34"/>
  <c r="P89" i="34"/>
  <c r="O89" i="34"/>
  <c r="A89" i="34"/>
  <c r="P93" i="34"/>
  <c r="Q93" i="34"/>
  <c r="U93" i="34"/>
  <c r="Z93" i="34"/>
  <c r="O93" i="34"/>
  <c r="A93" i="34"/>
  <c r="P97" i="34"/>
  <c r="Q97" i="34"/>
  <c r="U97" i="34"/>
  <c r="Z97" i="34"/>
  <c r="O97" i="34"/>
  <c r="A97" i="34"/>
  <c r="P101" i="34"/>
  <c r="Q101" i="34"/>
  <c r="U101" i="34"/>
  <c r="Z101" i="34"/>
  <c r="O101" i="34"/>
  <c r="A101" i="34"/>
  <c r="Q105" i="34"/>
  <c r="U105" i="34"/>
  <c r="Z105" i="34"/>
  <c r="O105" i="34"/>
  <c r="P105" i="34"/>
  <c r="A105" i="34"/>
  <c r="Q109" i="34"/>
  <c r="U109" i="34"/>
  <c r="Z109" i="34"/>
  <c r="O109" i="34"/>
  <c r="P109" i="34"/>
  <c r="A109" i="34"/>
  <c r="Q3401" i="34"/>
  <c r="U3401" i="34"/>
  <c r="Z3401" i="34"/>
  <c r="O3401" i="34"/>
  <c r="P3401" i="34"/>
  <c r="A3401" i="34"/>
  <c r="Q3405" i="34"/>
  <c r="U3405" i="34"/>
  <c r="Z3405" i="34"/>
  <c r="O3405" i="34"/>
  <c r="P3405" i="34"/>
  <c r="A3405" i="34"/>
  <c r="Q3409" i="34"/>
  <c r="U3409" i="34"/>
  <c r="Z3409" i="34"/>
  <c r="P3409" i="34"/>
  <c r="O3409" i="34"/>
  <c r="A3409" i="34"/>
  <c r="Q3415" i="34"/>
  <c r="U3415" i="34"/>
  <c r="Z3415" i="34"/>
  <c r="O3415" i="34"/>
  <c r="P3415" i="34"/>
  <c r="A3415" i="34"/>
  <c r="O70" i="34"/>
  <c r="Q70" i="34"/>
  <c r="U70" i="34"/>
  <c r="Z70" i="34"/>
  <c r="P70" i="34"/>
  <c r="A70" i="34"/>
  <c r="O74" i="34"/>
  <c r="Q74" i="34"/>
  <c r="U74" i="34"/>
  <c r="Z74" i="34"/>
  <c r="P74" i="34"/>
  <c r="A74" i="34"/>
  <c r="Q78" i="34"/>
  <c r="U78" i="34"/>
  <c r="Z78" i="34"/>
  <c r="O78" i="34"/>
  <c r="P78" i="34"/>
  <c r="A78" i="34"/>
  <c r="Q82" i="34"/>
  <c r="U82" i="34"/>
  <c r="Z82" i="34"/>
  <c r="O82" i="34"/>
  <c r="P82" i="34"/>
  <c r="A82" i="34"/>
  <c r="Q86" i="34"/>
  <c r="U86" i="34"/>
  <c r="Z86" i="34"/>
  <c r="O86" i="34"/>
  <c r="P86" i="34"/>
  <c r="A86" i="34"/>
  <c r="Q90" i="34"/>
  <c r="U90" i="34"/>
  <c r="Z90" i="34"/>
  <c r="O90" i="34"/>
  <c r="P90" i="34"/>
  <c r="A90" i="34"/>
  <c r="P94" i="34"/>
  <c r="Q94" i="34"/>
  <c r="U94" i="34"/>
  <c r="Z94" i="34"/>
  <c r="O94" i="34"/>
  <c r="A94" i="34"/>
  <c r="P98" i="34"/>
  <c r="Q98" i="34"/>
  <c r="U98" i="34"/>
  <c r="Z98" i="34"/>
  <c r="O98" i="34"/>
  <c r="A98" i="34"/>
  <c r="P102" i="34"/>
  <c r="Q102" i="34"/>
  <c r="U102" i="34"/>
  <c r="Z102" i="34"/>
  <c r="O102" i="34"/>
  <c r="A102" i="34"/>
  <c r="Q106" i="34"/>
  <c r="U106" i="34"/>
  <c r="Z106" i="34"/>
  <c r="O106" i="34"/>
  <c r="P106" i="34"/>
  <c r="A106" i="34"/>
  <c r="Q110" i="34"/>
  <c r="U110" i="34"/>
  <c r="Z110" i="34"/>
  <c r="O110" i="34"/>
  <c r="P110" i="34"/>
  <c r="A110" i="34"/>
  <c r="Q3371" i="34"/>
  <c r="U3371" i="34"/>
  <c r="Z3371" i="34"/>
  <c r="P3371" i="34"/>
  <c r="O3371" i="34"/>
  <c r="A3371" i="34"/>
  <c r="Q3373" i="34"/>
  <c r="U3373" i="34"/>
  <c r="Z3373" i="34"/>
  <c r="P3373" i="34"/>
  <c r="O3373" i="34"/>
  <c r="A3373" i="34"/>
  <c r="Q3361" i="34"/>
  <c r="U3361" i="34"/>
  <c r="Z3361" i="34"/>
  <c r="O3361" i="34"/>
  <c r="P3361" i="34"/>
  <c r="A3361" i="34"/>
  <c r="Q3363" i="34"/>
  <c r="U3363" i="34"/>
  <c r="Z3363" i="34"/>
  <c r="P3363" i="34"/>
  <c r="O3363" i="34"/>
  <c r="A3363" i="34"/>
  <c r="Q3365" i="34"/>
  <c r="U3365" i="34"/>
  <c r="Z3365" i="34"/>
  <c r="O3365" i="34"/>
  <c r="P3365" i="34"/>
  <c r="A3365" i="34"/>
  <c r="Q3367" i="34"/>
  <c r="U3367" i="34"/>
  <c r="Z3367" i="34"/>
  <c r="P3367" i="34"/>
  <c r="O3367" i="34"/>
  <c r="A3367" i="34"/>
  <c r="Q3369" i="34"/>
  <c r="U3369" i="34"/>
  <c r="Z3369" i="34"/>
  <c r="P3369" i="34"/>
  <c r="O3369" i="34"/>
  <c r="A3369" i="34"/>
  <c r="Q3416" i="34"/>
  <c r="U3416" i="34"/>
  <c r="Z3416" i="34"/>
  <c r="P3416" i="34"/>
  <c r="O3416" i="34"/>
  <c r="A3416" i="34"/>
  <c r="Q3398" i="34"/>
  <c r="U3398" i="34"/>
  <c r="Z3398" i="34"/>
  <c r="O3398" i="34"/>
  <c r="P3398" i="34"/>
  <c r="A3398" i="34"/>
  <c r="Q3402" i="34"/>
  <c r="U3402" i="34"/>
  <c r="Z3402" i="34"/>
  <c r="O3402" i="34"/>
  <c r="P3402" i="34"/>
  <c r="A3402" i="34"/>
  <c r="Q3406" i="34"/>
  <c r="U3406" i="34"/>
  <c r="Z3406" i="34"/>
  <c r="O3406" i="34"/>
  <c r="P3406" i="34"/>
  <c r="A3406" i="34"/>
  <c r="O71" i="34"/>
  <c r="Q71" i="34"/>
  <c r="U71" i="34"/>
  <c r="Z71" i="34"/>
  <c r="P71" i="34"/>
  <c r="A71" i="34"/>
  <c r="O75" i="34"/>
  <c r="Q75" i="34"/>
  <c r="U75" i="34"/>
  <c r="Z75" i="34"/>
  <c r="P75" i="34"/>
  <c r="A75" i="34"/>
  <c r="Q79" i="34"/>
  <c r="U79" i="34"/>
  <c r="Z79" i="34"/>
  <c r="O79" i="34"/>
  <c r="P79" i="34"/>
  <c r="A79" i="34"/>
  <c r="Q83" i="34"/>
  <c r="U83" i="34"/>
  <c r="Z83" i="34"/>
  <c r="O83" i="34"/>
  <c r="P83" i="34"/>
  <c r="A83" i="34"/>
  <c r="Q87" i="34"/>
  <c r="U87" i="34"/>
  <c r="Z87" i="34"/>
  <c r="O87" i="34"/>
  <c r="P87" i="34"/>
  <c r="A87" i="34"/>
  <c r="Q91" i="34"/>
  <c r="U91" i="34"/>
  <c r="Z91" i="34"/>
  <c r="O91" i="34"/>
  <c r="P91" i="34"/>
  <c r="A91" i="34"/>
  <c r="P95" i="34"/>
  <c r="Q95" i="34"/>
  <c r="U95" i="34"/>
  <c r="Z95" i="34"/>
  <c r="O95" i="34"/>
  <c r="A95" i="34"/>
  <c r="P99" i="34"/>
  <c r="Q99" i="34"/>
  <c r="U99" i="34"/>
  <c r="Z99" i="34"/>
  <c r="O99" i="34"/>
  <c r="A99" i="34"/>
  <c r="Q103" i="34"/>
  <c r="U103" i="34"/>
  <c r="Z103" i="34"/>
  <c r="O103" i="34"/>
  <c r="P103" i="34"/>
  <c r="A103" i="34"/>
  <c r="Q107" i="34"/>
  <c r="U107" i="34"/>
  <c r="Z107" i="34"/>
  <c r="O107" i="34"/>
  <c r="P107" i="34"/>
  <c r="A107" i="34"/>
  <c r="Q111" i="34"/>
  <c r="U111" i="34"/>
  <c r="Z111" i="34"/>
  <c r="O111" i="34"/>
  <c r="P111" i="34"/>
  <c r="A111" i="34"/>
  <c r="Q3399" i="34"/>
  <c r="U3399" i="34"/>
  <c r="Z3399" i="34"/>
  <c r="O3399" i="34"/>
  <c r="P3399" i="34"/>
  <c r="A3399" i="34"/>
  <c r="Q3403" i="34"/>
  <c r="U3403" i="34"/>
  <c r="Z3403" i="34"/>
  <c r="O3403" i="34"/>
  <c r="P3403" i="34"/>
  <c r="A3403" i="34"/>
  <c r="Q3407" i="34"/>
  <c r="U3407" i="34"/>
  <c r="Z3407" i="34"/>
  <c r="P3407" i="34"/>
  <c r="O3407" i="34"/>
  <c r="A3407" i="34"/>
  <c r="Q3414" i="34"/>
  <c r="U3414" i="34"/>
  <c r="Z3414" i="34"/>
  <c r="O3414" i="34"/>
  <c r="P3414" i="34"/>
  <c r="A3414" i="34"/>
  <c r="O68" i="34"/>
  <c r="Q68" i="34"/>
  <c r="U68" i="34"/>
  <c r="Z68" i="34"/>
  <c r="P68" i="34"/>
  <c r="A68" i="34"/>
  <c r="O72" i="34"/>
  <c r="Q72" i="34"/>
  <c r="U72" i="34"/>
  <c r="Z72" i="34"/>
  <c r="P72" i="34"/>
  <c r="A72" i="34"/>
  <c r="Q76" i="34"/>
  <c r="U76" i="34"/>
  <c r="Z76" i="34"/>
  <c r="O76" i="34"/>
  <c r="P76" i="34"/>
  <c r="A76" i="34"/>
  <c r="Q80" i="34"/>
  <c r="U80" i="34"/>
  <c r="Z80" i="34"/>
  <c r="O80" i="34"/>
  <c r="P80" i="34"/>
  <c r="A80" i="34"/>
  <c r="Q84" i="34"/>
  <c r="U84" i="34"/>
  <c r="Z84" i="34"/>
  <c r="O84" i="34"/>
  <c r="P84" i="34"/>
  <c r="A84" i="34"/>
  <c r="Q88" i="34"/>
  <c r="U88" i="34"/>
  <c r="Z88" i="34"/>
  <c r="O88" i="34"/>
  <c r="P88" i="34"/>
  <c r="A88" i="34"/>
  <c r="Q92" i="34"/>
  <c r="U92" i="34"/>
  <c r="Z92" i="34"/>
  <c r="O92" i="34"/>
  <c r="P92" i="34"/>
  <c r="A92" i="34"/>
  <c r="P96" i="34"/>
  <c r="Q96" i="34"/>
  <c r="U96" i="34"/>
  <c r="Z96" i="34"/>
  <c r="O96" i="34"/>
  <c r="A96" i="34"/>
  <c r="P100" i="34"/>
  <c r="Q100" i="34"/>
  <c r="U100" i="34"/>
  <c r="Z100" i="34"/>
  <c r="O100" i="34"/>
  <c r="A100" i="34"/>
  <c r="Q104" i="34"/>
  <c r="U104" i="34"/>
  <c r="Z104" i="34"/>
  <c r="O104" i="34"/>
  <c r="P104" i="34"/>
  <c r="A104" i="34"/>
  <c r="Q108" i="34"/>
  <c r="U108" i="34"/>
  <c r="Z108" i="34"/>
  <c r="O108" i="34"/>
  <c r="P108" i="34"/>
  <c r="A108" i="34"/>
  <c r="Q112" i="34"/>
  <c r="U112" i="34"/>
  <c r="Z112" i="34"/>
  <c r="O112" i="34"/>
  <c r="P112" i="34"/>
  <c r="A112" i="34"/>
  <c r="L109" i="60"/>
  <c r="L116" i="60"/>
  <c r="O109" i="60"/>
  <c r="C109" i="60" s="1"/>
  <c r="C2506" i="34"/>
  <c r="B2506" i="34" s="1"/>
  <c r="K2505" i="34"/>
  <c r="C2505" i="34"/>
  <c r="B2505" i="34" s="1"/>
  <c r="L117" i="60"/>
  <c r="L128" i="60"/>
  <c r="L146" i="60"/>
  <c r="L147" i="60"/>
  <c r="P2506" i="34" l="1"/>
  <c r="Q2506" i="34"/>
  <c r="U2506" i="34"/>
  <c r="Z2506" i="34"/>
  <c r="O2506" i="34"/>
  <c r="A2506" i="34"/>
  <c r="P2505" i="34"/>
  <c r="Q2505" i="34"/>
  <c r="U2505" i="34"/>
  <c r="Z2505" i="34"/>
  <c r="O2505" i="34"/>
  <c r="A2505" i="34"/>
  <c r="K3272" i="34"/>
  <c r="C3272" i="34"/>
  <c r="B3272" i="34" s="1"/>
  <c r="K3271" i="34"/>
  <c r="C3271" i="34"/>
  <c r="B3271" i="34" s="1"/>
  <c r="J473" i="74"/>
  <c r="K473" i="74" s="1"/>
  <c r="J474" i="74"/>
  <c r="K474" i="74" s="1"/>
  <c r="J475" i="74"/>
  <c r="K475" i="74" s="1"/>
  <c r="J476" i="74"/>
  <c r="K476" i="74" s="1"/>
  <c r="J477" i="74"/>
  <c r="K477" i="74" s="1"/>
  <c r="J478" i="74"/>
  <c r="K478" i="74" s="1"/>
  <c r="A41" i="70"/>
  <c r="A42" i="70"/>
  <c r="A46" i="70"/>
  <c r="K2631" i="34"/>
  <c r="C2631" i="34"/>
  <c r="B2631" i="34" s="1"/>
  <c r="K2630" i="34"/>
  <c r="C2630" i="34"/>
  <c r="B2630" i="34" s="1"/>
  <c r="C2625" i="34"/>
  <c r="B2625" i="34" s="1"/>
  <c r="K2624" i="34"/>
  <c r="C2624" i="34"/>
  <c r="B2624" i="34" s="1"/>
  <c r="C2623" i="34"/>
  <c r="B2623" i="34" s="1"/>
  <c r="K2622" i="34"/>
  <c r="C2622" i="34"/>
  <c r="B2622" i="34" s="1"/>
  <c r="C2813" i="34"/>
  <c r="B2813" i="34" s="1"/>
  <c r="C2728" i="34"/>
  <c r="B2728" i="34" s="1"/>
  <c r="K2727" i="34"/>
  <c r="C2727" i="34"/>
  <c r="B2727" i="34" s="1"/>
  <c r="C2637" i="34"/>
  <c r="B2637" i="34" s="1"/>
  <c r="K2636" i="34"/>
  <c r="C2636" i="34"/>
  <c r="B2636" i="34" s="1"/>
  <c r="C2632" i="34"/>
  <c r="B2632" i="34" s="1"/>
  <c r="C2627" i="34"/>
  <c r="B2627" i="34" s="1"/>
  <c r="K2626" i="34"/>
  <c r="C2626" i="34"/>
  <c r="B2626" i="34" s="1"/>
  <c r="K3116" i="34"/>
  <c r="C3116" i="34"/>
  <c r="B3116" i="34" s="1"/>
  <c r="H460" i="74"/>
  <c r="J461" i="74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5" i="34"/>
  <c r="C3115" i="34"/>
  <c r="B3115" i="34" s="1"/>
  <c r="K3061" i="34"/>
  <c r="C3061" i="34"/>
  <c r="B3061" i="34" s="1"/>
  <c r="K3060" i="34"/>
  <c r="C3060" i="34"/>
  <c r="B3060" i="34" s="1"/>
  <c r="C3059" i="34"/>
  <c r="B3059" i="34" s="1"/>
  <c r="C3058" i="34"/>
  <c r="B3058" i="34" s="1"/>
  <c r="C3057" i="34"/>
  <c r="B3057" i="34" s="1"/>
  <c r="C3056" i="34"/>
  <c r="B3056" i="34" s="1"/>
  <c r="C3055" i="34"/>
  <c r="B3055" i="34" s="1"/>
  <c r="C3054" i="34"/>
  <c r="B3054" i="34" s="1"/>
  <c r="C3053" i="34"/>
  <c r="B3053" i="34" s="1"/>
  <c r="C3052" i="34"/>
  <c r="B3052" i="34" s="1"/>
  <c r="C3051" i="34"/>
  <c r="B3051" i="34" s="1"/>
  <c r="C3050" i="34"/>
  <c r="B3050" i="34" s="1"/>
  <c r="C3049" i="34"/>
  <c r="B3049" i="34" s="1"/>
  <c r="C3048" i="34"/>
  <c r="B3048" i="34" s="1"/>
  <c r="C3047" i="34"/>
  <c r="B3047" i="34" s="1"/>
  <c r="C3046" i="34"/>
  <c r="B3046" i="34" s="1"/>
  <c r="C3045" i="34"/>
  <c r="B3045" i="34" s="1"/>
  <c r="C3044" i="34"/>
  <c r="B3044" i="34" s="1"/>
  <c r="C3043" i="34"/>
  <c r="B3043" i="34" s="1"/>
  <c r="C3039" i="34"/>
  <c r="B3039" i="34" s="1"/>
  <c r="C3038" i="34"/>
  <c r="B3038" i="34" s="1"/>
  <c r="C3037" i="34"/>
  <c r="B3037" i="34" s="1"/>
  <c r="C3036" i="34"/>
  <c r="B3036" i="34" s="1"/>
  <c r="C3035" i="34"/>
  <c r="B3035" i="34" s="1"/>
  <c r="C3034" i="34"/>
  <c r="B3034" i="34" s="1"/>
  <c r="C3033" i="34"/>
  <c r="B3033" i="34" s="1"/>
  <c r="C3032" i="34"/>
  <c r="B3032" i="34" s="1"/>
  <c r="C3031" i="34"/>
  <c r="B3031" i="34" s="1"/>
  <c r="C3030" i="34"/>
  <c r="B3030" i="34" s="1"/>
  <c r="C3029" i="34"/>
  <c r="B3029" i="34" s="1"/>
  <c r="C3028" i="34"/>
  <c r="B3028" i="34" s="1"/>
  <c r="C3027" i="34"/>
  <c r="B3027" i="34" s="1"/>
  <c r="C3026" i="34"/>
  <c r="B3026" i="34" s="1"/>
  <c r="C3025" i="34"/>
  <c r="B3025" i="34" s="1"/>
  <c r="C3024" i="34"/>
  <c r="B3024" i="34" s="1"/>
  <c r="C3023" i="34"/>
  <c r="B3023" i="34" s="1"/>
  <c r="C3022" i="34"/>
  <c r="B3022" i="34" s="1"/>
  <c r="C3021" i="34"/>
  <c r="B3021" i="34" s="1"/>
  <c r="C3020" i="34"/>
  <c r="B3020" i="34" s="1"/>
  <c r="C3019" i="34"/>
  <c r="B3019" i="34" s="1"/>
  <c r="C3018" i="34"/>
  <c r="B3018" i="34" s="1"/>
  <c r="C3017" i="34"/>
  <c r="B3017" i="34" s="1"/>
  <c r="C3016" i="34"/>
  <c r="B3016" i="34" s="1"/>
  <c r="C3015" i="34"/>
  <c r="B3015" i="34" s="1"/>
  <c r="C3014" i="34"/>
  <c r="B3014" i="34" s="1"/>
  <c r="C3013" i="34"/>
  <c r="B3013" i="34" s="1"/>
  <c r="C3012" i="34"/>
  <c r="B3012" i="34" s="1"/>
  <c r="C3011" i="34"/>
  <c r="B3011" i="34" s="1"/>
  <c r="C3010" i="34"/>
  <c r="B3010" i="34" s="1"/>
  <c r="C3009" i="34"/>
  <c r="B3009" i="34" s="1"/>
  <c r="C3071" i="34"/>
  <c r="B3071" i="34" s="1"/>
  <c r="C3070" i="34"/>
  <c r="B3070" i="34" s="1"/>
  <c r="C3069" i="34"/>
  <c r="B3069" i="34" s="1"/>
  <c r="C3068" i="34"/>
  <c r="B3068" i="34" s="1"/>
  <c r="C3067" i="34"/>
  <c r="B3067" i="34" s="1"/>
  <c r="C3066" i="34"/>
  <c r="B3066" i="34" s="1"/>
  <c r="C3065" i="34"/>
  <c r="B3065" i="34" s="1"/>
  <c r="C3064" i="34"/>
  <c r="B3064" i="34" s="1"/>
  <c r="C3063" i="34"/>
  <c r="B3063" i="34" s="1"/>
  <c r="C3062" i="34"/>
  <c r="B306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K3086" i="34"/>
  <c r="C3086" i="34"/>
  <c r="B3086" i="34" s="1"/>
  <c r="K3085" i="34"/>
  <c r="C3085" i="34"/>
  <c r="B3085" i="34" s="1"/>
  <c r="K3084" i="34"/>
  <c r="C3084" i="34"/>
  <c r="B3084" i="34" s="1"/>
  <c r="K3083" i="34"/>
  <c r="C3083" i="34"/>
  <c r="B3083" i="34" s="1"/>
  <c r="K3082" i="34"/>
  <c r="C3082" i="34"/>
  <c r="B3082" i="34" s="1"/>
  <c r="K3081" i="34"/>
  <c r="C3081" i="34"/>
  <c r="B3081" i="34" s="1"/>
  <c r="K3080" i="34"/>
  <c r="C3080" i="34"/>
  <c r="B3080" i="34" s="1"/>
  <c r="K3079" i="34"/>
  <c r="C3079" i="34"/>
  <c r="B3079" i="34" s="1"/>
  <c r="K3078" i="34"/>
  <c r="C3078" i="34"/>
  <c r="B3078" i="34" s="1"/>
  <c r="K3077" i="34"/>
  <c r="C3077" i="34"/>
  <c r="B3077" i="34" s="1"/>
  <c r="K3076" i="34"/>
  <c r="C3076" i="34"/>
  <c r="B3076" i="34" s="1"/>
  <c r="K3075" i="34"/>
  <c r="C3075" i="34"/>
  <c r="B3075" i="34" s="1"/>
  <c r="C3074" i="34"/>
  <c r="B3074" i="34" s="1"/>
  <c r="C3073" i="34"/>
  <c r="B3073" i="34" s="1"/>
  <c r="C3072" i="34"/>
  <c r="B3072" i="34" s="1"/>
  <c r="K3113" i="34"/>
  <c r="C3113" i="34"/>
  <c r="B3113" i="34" s="1"/>
  <c r="Q3073" i="34" l="1"/>
  <c r="U3073" i="34"/>
  <c r="Z3073" i="34"/>
  <c r="O3073" i="34"/>
  <c r="P3073" i="34"/>
  <c r="A3073" i="34"/>
  <c r="Q3076" i="34"/>
  <c r="U3076" i="34"/>
  <c r="Z3076" i="34"/>
  <c r="O3076" i="34"/>
  <c r="P3076" i="34"/>
  <c r="A3076" i="34"/>
  <c r="Q3078" i="34"/>
  <c r="U3078" i="34"/>
  <c r="Z3078" i="34"/>
  <c r="O3078" i="34"/>
  <c r="P3078" i="34"/>
  <c r="A3078" i="34"/>
  <c r="Q3080" i="34"/>
  <c r="U3080" i="34"/>
  <c r="Z3080" i="34"/>
  <c r="O3080" i="34"/>
  <c r="P3080" i="34"/>
  <c r="A3080" i="34"/>
  <c r="Q3082" i="34"/>
  <c r="U3082" i="34"/>
  <c r="Z3082" i="34"/>
  <c r="O3082" i="34"/>
  <c r="P3082" i="34"/>
  <c r="A3082" i="34"/>
  <c r="Q3084" i="34"/>
  <c r="U3084" i="34"/>
  <c r="Z3084" i="34"/>
  <c r="O3084" i="34"/>
  <c r="P3084" i="34"/>
  <c r="A3084" i="34"/>
  <c r="Q3086" i="34"/>
  <c r="U3086" i="34"/>
  <c r="Z3086" i="34"/>
  <c r="O3086" i="34"/>
  <c r="P3086" i="34"/>
  <c r="A3086" i="34"/>
  <c r="Q3088" i="34"/>
  <c r="U3088" i="34"/>
  <c r="Z3088" i="34"/>
  <c r="O3088" i="34"/>
  <c r="P3088" i="34"/>
  <c r="A3088" i="34"/>
  <c r="Q3090" i="34"/>
  <c r="U3090" i="34"/>
  <c r="Z3090" i="34"/>
  <c r="O3090" i="34"/>
  <c r="P3090" i="34"/>
  <c r="A3090" i="34"/>
  <c r="Q3062" i="34"/>
  <c r="U3062" i="34"/>
  <c r="Z3062" i="34"/>
  <c r="O3062" i="34"/>
  <c r="P3062" i="34"/>
  <c r="A3062" i="34"/>
  <c r="Q3066" i="34"/>
  <c r="U3066" i="34"/>
  <c r="Z3066" i="34"/>
  <c r="O3066" i="34"/>
  <c r="P3066" i="34"/>
  <c r="A3066" i="34"/>
  <c r="Q3070" i="34"/>
  <c r="U3070" i="34"/>
  <c r="Z3070" i="34"/>
  <c r="O3070" i="34"/>
  <c r="P3070" i="34"/>
  <c r="A3070" i="34"/>
  <c r="Q3011" i="34"/>
  <c r="U3011" i="34"/>
  <c r="Z3011" i="34"/>
  <c r="P3011" i="34"/>
  <c r="O3011" i="34"/>
  <c r="A3011" i="34"/>
  <c r="Q3015" i="34"/>
  <c r="U3015" i="34"/>
  <c r="Z3015" i="34"/>
  <c r="P3015" i="34"/>
  <c r="O3015" i="34"/>
  <c r="A3015" i="34"/>
  <c r="Q3019" i="34"/>
  <c r="U3019" i="34"/>
  <c r="Z3019" i="34"/>
  <c r="P3019" i="34"/>
  <c r="O3019" i="34"/>
  <c r="A3019" i="34"/>
  <c r="Q3023" i="34"/>
  <c r="U3023" i="34"/>
  <c r="Z3023" i="34"/>
  <c r="P3023" i="34"/>
  <c r="O3023" i="34"/>
  <c r="A3023" i="34"/>
  <c r="Q3027" i="34"/>
  <c r="U3027" i="34"/>
  <c r="Z3027" i="34"/>
  <c r="P3027" i="34"/>
  <c r="O3027" i="34"/>
  <c r="A3027" i="34"/>
  <c r="Q3031" i="34"/>
  <c r="U3031" i="34"/>
  <c r="Z3031" i="34"/>
  <c r="P3031" i="34"/>
  <c r="O3031" i="34"/>
  <c r="A3031" i="34"/>
  <c r="Q3035" i="34"/>
  <c r="U3035" i="34"/>
  <c r="Z3035" i="34"/>
  <c r="P3035" i="34"/>
  <c r="O3035" i="34"/>
  <c r="A3035" i="34"/>
  <c r="Q3039" i="34"/>
  <c r="U3039" i="34"/>
  <c r="Z3039" i="34"/>
  <c r="P3039" i="34"/>
  <c r="O3039" i="34"/>
  <c r="A3039" i="34"/>
  <c r="Q3046" i="34"/>
  <c r="U3046" i="34"/>
  <c r="Z3046" i="34"/>
  <c r="O3046" i="34"/>
  <c r="P3046" i="34"/>
  <c r="A3046" i="34"/>
  <c r="Q3050" i="34"/>
  <c r="U3050" i="34"/>
  <c r="Z3050" i="34"/>
  <c r="O3050" i="34"/>
  <c r="P3050" i="34"/>
  <c r="A3050" i="34"/>
  <c r="Q3054" i="34"/>
  <c r="U3054" i="34"/>
  <c r="Z3054" i="34"/>
  <c r="O3054" i="34"/>
  <c r="P3054" i="34"/>
  <c r="A3054" i="34"/>
  <c r="Q3058" i="34"/>
  <c r="U3058" i="34"/>
  <c r="Z3058" i="34"/>
  <c r="O3058" i="34"/>
  <c r="P3058" i="34"/>
  <c r="A3058" i="34"/>
  <c r="Q3061" i="34"/>
  <c r="U3061" i="34"/>
  <c r="Z3061" i="34"/>
  <c r="O3061" i="34"/>
  <c r="P3061" i="34"/>
  <c r="A3061" i="34"/>
  <c r="Q3117" i="34"/>
  <c r="U3117" i="34"/>
  <c r="Z3117" i="34"/>
  <c r="O3117" i="34"/>
  <c r="P3117" i="34"/>
  <c r="A3117" i="34"/>
  <c r="Q3119" i="34"/>
  <c r="U3119" i="34"/>
  <c r="Z3119" i="34"/>
  <c r="P3119" i="34"/>
  <c r="O3119" i="34"/>
  <c r="A3119" i="34"/>
  <c r="Q3121" i="34"/>
  <c r="U3121" i="34"/>
  <c r="Z3121" i="34"/>
  <c r="O3121" i="34"/>
  <c r="P3121" i="34"/>
  <c r="A3121" i="34"/>
  <c r="Q3123" i="34"/>
  <c r="U3123" i="34"/>
  <c r="Z3123" i="34"/>
  <c r="P3123" i="34"/>
  <c r="O3123" i="34"/>
  <c r="A3123" i="34"/>
  <c r="Q3125" i="34"/>
  <c r="U3125" i="34"/>
  <c r="Z3125" i="34"/>
  <c r="O3125" i="34"/>
  <c r="P3125" i="34"/>
  <c r="A3125" i="34"/>
  <c r="Q3116" i="34"/>
  <c r="U3116" i="34"/>
  <c r="Z3116" i="34"/>
  <c r="O3116" i="34"/>
  <c r="P3116" i="34"/>
  <c r="A3116" i="34"/>
  <c r="P2627" i="34"/>
  <c r="Q2627" i="34"/>
  <c r="U2627" i="34"/>
  <c r="Z2627" i="34"/>
  <c r="O2627" i="34"/>
  <c r="A2627" i="34"/>
  <c r="P2637" i="34"/>
  <c r="Q2637" i="34"/>
  <c r="U2637" i="34"/>
  <c r="Z2637" i="34"/>
  <c r="O2637" i="34"/>
  <c r="A2637" i="34"/>
  <c r="Q2813" i="34"/>
  <c r="U2813" i="34"/>
  <c r="Z2813" i="34"/>
  <c r="O2813" i="34"/>
  <c r="P2813" i="34"/>
  <c r="A2813" i="34"/>
  <c r="P2624" i="34"/>
  <c r="Q2624" i="34"/>
  <c r="U2624" i="34"/>
  <c r="Z2624" i="34"/>
  <c r="O2624" i="34"/>
  <c r="A2624" i="34"/>
  <c r="Q3271" i="34"/>
  <c r="U3271" i="34"/>
  <c r="Z3271" i="34"/>
  <c r="P3271" i="34"/>
  <c r="O3271" i="34"/>
  <c r="A3271" i="34"/>
  <c r="Q3113" i="34"/>
  <c r="U3113" i="34"/>
  <c r="Z3113" i="34"/>
  <c r="O3113" i="34"/>
  <c r="P3113" i="34"/>
  <c r="A3113" i="34"/>
  <c r="Q3074" i="34"/>
  <c r="U3074" i="34"/>
  <c r="Z3074" i="34"/>
  <c r="O3074" i="34"/>
  <c r="P3074" i="34"/>
  <c r="A3074" i="34"/>
  <c r="Q3063" i="34"/>
  <c r="U3063" i="34"/>
  <c r="Z3063" i="34"/>
  <c r="P3063" i="34"/>
  <c r="O3063" i="34"/>
  <c r="A3063" i="34"/>
  <c r="Q3067" i="34"/>
  <c r="U3067" i="34"/>
  <c r="Z3067" i="34"/>
  <c r="P3067" i="34"/>
  <c r="O3067" i="34"/>
  <c r="A3067" i="34"/>
  <c r="Q3071" i="34"/>
  <c r="U3071" i="34"/>
  <c r="Z3071" i="34"/>
  <c r="P3071" i="34"/>
  <c r="O3071" i="34"/>
  <c r="A3071" i="34"/>
  <c r="Q3012" i="34"/>
  <c r="U3012" i="34"/>
  <c r="Z3012" i="34"/>
  <c r="O3012" i="34"/>
  <c r="P3012" i="34"/>
  <c r="A3012" i="34"/>
  <c r="Q3016" i="34"/>
  <c r="U3016" i="34"/>
  <c r="Z3016" i="34"/>
  <c r="O3016" i="34"/>
  <c r="P3016" i="34"/>
  <c r="A3016" i="34"/>
  <c r="Q3020" i="34"/>
  <c r="U3020" i="34"/>
  <c r="Z3020" i="34"/>
  <c r="O3020" i="34"/>
  <c r="P3020" i="34"/>
  <c r="A3020" i="34"/>
  <c r="Q3024" i="34"/>
  <c r="U3024" i="34"/>
  <c r="Z3024" i="34"/>
  <c r="O3024" i="34"/>
  <c r="P3024" i="34"/>
  <c r="A3024" i="34"/>
  <c r="Q3028" i="34"/>
  <c r="U3028" i="34"/>
  <c r="Z3028" i="34"/>
  <c r="O3028" i="34"/>
  <c r="P3028" i="34"/>
  <c r="A3028" i="34"/>
  <c r="Q3032" i="34"/>
  <c r="U3032" i="34"/>
  <c r="Z3032" i="34"/>
  <c r="O3032" i="34"/>
  <c r="P3032" i="34"/>
  <c r="A3032" i="34"/>
  <c r="Q3036" i="34"/>
  <c r="U3036" i="34"/>
  <c r="Z3036" i="34"/>
  <c r="O3036" i="34"/>
  <c r="P3036" i="34"/>
  <c r="A3036" i="34"/>
  <c r="Q3043" i="34"/>
  <c r="U3043" i="34"/>
  <c r="Z3043" i="34"/>
  <c r="P3043" i="34"/>
  <c r="O3043" i="34"/>
  <c r="A3043" i="34"/>
  <c r="Q3047" i="34"/>
  <c r="U3047" i="34"/>
  <c r="Z3047" i="34"/>
  <c r="P3047" i="34"/>
  <c r="O3047" i="34"/>
  <c r="A3047" i="34"/>
  <c r="Q3051" i="34"/>
  <c r="U3051" i="34"/>
  <c r="Z3051" i="34"/>
  <c r="P3051" i="34"/>
  <c r="O3051" i="34"/>
  <c r="A3051" i="34"/>
  <c r="Q3055" i="34"/>
  <c r="U3055" i="34"/>
  <c r="Z3055" i="34"/>
  <c r="P3055" i="34"/>
  <c r="O3055" i="34"/>
  <c r="A3055" i="34"/>
  <c r="Q3059" i="34"/>
  <c r="U3059" i="34"/>
  <c r="Z3059" i="34"/>
  <c r="P3059" i="34"/>
  <c r="O3059" i="34"/>
  <c r="A3059" i="34"/>
  <c r="P2632" i="34"/>
  <c r="Q2632" i="34"/>
  <c r="U2632" i="34"/>
  <c r="Z2632" i="34"/>
  <c r="O2632" i="34"/>
  <c r="A2632" i="34"/>
  <c r="Q2727" i="34"/>
  <c r="U2727" i="34"/>
  <c r="Z2727" i="34"/>
  <c r="P2727" i="34"/>
  <c r="O2727" i="34"/>
  <c r="A2727" i="34"/>
  <c r="P2622" i="34"/>
  <c r="Q2622" i="34"/>
  <c r="U2622" i="34"/>
  <c r="Z2622" i="34"/>
  <c r="O2622" i="34"/>
  <c r="A2622" i="34"/>
  <c r="P2631" i="34"/>
  <c r="Q2631" i="34"/>
  <c r="U2631" i="34"/>
  <c r="Z2631" i="34"/>
  <c r="O2631" i="34"/>
  <c r="A2631" i="34"/>
  <c r="Q3075" i="34"/>
  <c r="U3075" i="34"/>
  <c r="Z3075" i="34"/>
  <c r="P3075" i="34"/>
  <c r="O3075" i="34"/>
  <c r="A3075" i="34"/>
  <c r="Q3077" i="34"/>
  <c r="U3077" i="34"/>
  <c r="Z3077" i="34"/>
  <c r="O3077" i="34"/>
  <c r="P3077" i="34"/>
  <c r="A3077" i="34"/>
  <c r="Q3079" i="34"/>
  <c r="U3079" i="34"/>
  <c r="Z3079" i="34"/>
  <c r="P3079" i="34"/>
  <c r="O3079" i="34"/>
  <c r="A3079" i="34"/>
  <c r="Q3081" i="34"/>
  <c r="U3081" i="34"/>
  <c r="Z3081" i="34"/>
  <c r="O3081" i="34"/>
  <c r="P3081" i="34"/>
  <c r="A3081" i="34"/>
  <c r="Q3083" i="34"/>
  <c r="U3083" i="34"/>
  <c r="Z3083" i="34"/>
  <c r="P3083" i="34"/>
  <c r="O3083" i="34"/>
  <c r="A3083" i="34"/>
  <c r="Q3085" i="34"/>
  <c r="U3085" i="34"/>
  <c r="Z3085" i="34"/>
  <c r="O3085" i="34"/>
  <c r="P3085" i="34"/>
  <c r="A3085" i="34"/>
  <c r="Q3087" i="34"/>
  <c r="U3087" i="34"/>
  <c r="Z3087" i="34"/>
  <c r="P3087" i="34"/>
  <c r="O3087" i="34"/>
  <c r="A3087" i="34"/>
  <c r="Q3089" i="34"/>
  <c r="U3089" i="34"/>
  <c r="Z3089" i="34"/>
  <c r="O3089" i="34"/>
  <c r="P3089" i="34"/>
  <c r="A3089" i="34"/>
  <c r="Q3091" i="34"/>
  <c r="U3091" i="34"/>
  <c r="Z3091" i="34"/>
  <c r="P3091" i="34"/>
  <c r="O3091" i="34"/>
  <c r="A3091" i="34"/>
  <c r="Q3064" i="34"/>
  <c r="U3064" i="34"/>
  <c r="Z3064" i="34"/>
  <c r="O3064" i="34"/>
  <c r="P3064" i="34"/>
  <c r="A3064" i="34"/>
  <c r="Q3068" i="34"/>
  <c r="U3068" i="34"/>
  <c r="Z3068" i="34"/>
  <c r="O3068" i="34"/>
  <c r="P3068" i="34"/>
  <c r="A3068" i="34"/>
  <c r="Q3009" i="34"/>
  <c r="U3009" i="34"/>
  <c r="Z3009" i="34"/>
  <c r="O3009" i="34"/>
  <c r="P3009" i="34"/>
  <c r="A3009" i="34"/>
  <c r="Q3013" i="34"/>
  <c r="U3013" i="34"/>
  <c r="Z3013" i="34"/>
  <c r="O3013" i="34"/>
  <c r="P3013" i="34"/>
  <c r="A3013" i="34"/>
  <c r="Q3017" i="34"/>
  <c r="U3017" i="34"/>
  <c r="Z3017" i="34"/>
  <c r="O3017" i="34"/>
  <c r="P3017" i="34"/>
  <c r="A3017" i="34"/>
  <c r="Q3021" i="34"/>
  <c r="U3021" i="34"/>
  <c r="Z3021" i="34"/>
  <c r="O3021" i="34"/>
  <c r="P3021" i="34"/>
  <c r="A3021" i="34"/>
  <c r="Q3025" i="34"/>
  <c r="U3025" i="34"/>
  <c r="Z3025" i="34"/>
  <c r="O3025" i="34"/>
  <c r="P3025" i="34"/>
  <c r="A3025" i="34"/>
  <c r="Q3029" i="34"/>
  <c r="U3029" i="34"/>
  <c r="Z3029" i="34"/>
  <c r="O3029" i="34"/>
  <c r="P3029" i="34"/>
  <c r="A3029" i="34"/>
  <c r="Q3033" i="34"/>
  <c r="U3033" i="34"/>
  <c r="Z3033" i="34"/>
  <c r="O3033" i="34"/>
  <c r="P3033" i="34"/>
  <c r="A3033" i="34"/>
  <c r="Q3037" i="34"/>
  <c r="U3037" i="34"/>
  <c r="Z3037" i="34"/>
  <c r="O3037" i="34"/>
  <c r="P3037" i="34"/>
  <c r="A3037" i="34"/>
  <c r="Q3044" i="34"/>
  <c r="U3044" i="34"/>
  <c r="Z3044" i="34"/>
  <c r="O3044" i="34"/>
  <c r="P3044" i="34"/>
  <c r="A3044" i="34"/>
  <c r="Q3048" i="34"/>
  <c r="U3048" i="34"/>
  <c r="Z3048" i="34"/>
  <c r="O3048" i="34"/>
  <c r="P3048" i="34"/>
  <c r="A3048" i="34"/>
  <c r="Q3052" i="34"/>
  <c r="U3052" i="34"/>
  <c r="Z3052" i="34"/>
  <c r="O3052" i="34"/>
  <c r="P3052" i="34"/>
  <c r="A3052" i="34"/>
  <c r="Q3056" i="34"/>
  <c r="U3056" i="34"/>
  <c r="Z3056" i="34"/>
  <c r="O3056" i="34"/>
  <c r="P3056" i="34"/>
  <c r="A3056" i="34"/>
  <c r="Q3060" i="34"/>
  <c r="U3060" i="34"/>
  <c r="Z3060" i="34"/>
  <c r="O3060" i="34"/>
  <c r="P3060" i="34"/>
  <c r="A3060" i="34"/>
  <c r="Q3115" i="34"/>
  <c r="U3115" i="34"/>
  <c r="Z3115" i="34"/>
  <c r="P3115" i="34"/>
  <c r="O3115" i="34"/>
  <c r="A3115" i="34"/>
  <c r="Q3118" i="34"/>
  <c r="U3118" i="34"/>
  <c r="Z3118" i="34"/>
  <c r="O3118" i="34"/>
  <c r="P3118" i="34"/>
  <c r="A3118" i="34"/>
  <c r="Q3120" i="34"/>
  <c r="U3120" i="34"/>
  <c r="Z3120" i="34"/>
  <c r="O3120" i="34"/>
  <c r="P3120" i="34"/>
  <c r="A3120" i="34"/>
  <c r="Q3122" i="34"/>
  <c r="U3122" i="34"/>
  <c r="Z3122" i="34"/>
  <c r="O3122" i="34"/>
  <c r="P3122" i="34"/>
  <c r="A3122" i="34"/>
  <c r="Q3124" i="34"/>
  <c r="U3124" i="34"/>
  <c r="Z3124" i="34"/>
  <c r="O3124" i="34"/>
  <c r="P3124" i="34"/>
  <c r="A3124" i="34"/>
  <c r="P2626" i="34"/>
  <c r="Q2626" i="34"/>
  <c r="U2626" i="34"/>
  <c r="Z2626" i="34"/>
  <c r="O2626" i="34"/>
  <c r="A2626" i="34"/>
  <c r="P2636" i="34"/>
  <c r="Q2636" i="34"/>
  <c r="U2636" i="34"/>
  <c r="Z2636" i="34"/>
  <c r="O2636" i="34"/>
  <c r="A2636" i="34"/>
  <c r="P2625" i="34"/>
  <c r="Q2625" i="34"/>
  <c r="U2625" i="34"/>
  <c r="Z2625" i="34"/>
  <c r="O2625" i="34"/>
  <c r="A2625" i="34"/>
  <c r="Q3272" i="34"/>
  <c r="U3272" i="34"/>
  <c r="Z3272" i="34"/>
  <c r="O3272" i="34"/>
  <c r="P3272" i="34"/>
  <c r="A3272" i="34"/>
  <c r="Q3072" i="34"/>
  <c r="U3072" i="34"/>
  <c r="Z3072" i="34"/>
  <c r="O3072" i="34"/>
  <c r="P3072" i="34"/>
  <c r="A3072" i="34"/>
  <c r="Q3065" i="34"/>
  <c r="U3065" i="34"/>
  <c r="Z3065" i="34"/>
  <c r="O3065" i="34"/>
  <c r="P3065" i="34"/>
  <c r="A3065" i="34"/>
  <c r="Q3069" i="34"/>
  <c r="U3069" i="34"/>
  <c r="Z3069" i="34"/>
  <c r="O3069" i="34"/>
  <c r="P3069" i="34"/>
  <c r="A3069" i="34"/>
  <c r="Q3010" i="34"/>
  <c r="U3010" i="34"/>
  <c r="Z3010" i="34"/>
  <c r="O3010" i="34"/>
  <c r="P3010" i="34"/>
  <c r="A3010" i="34"/>
  <c r="Q3014" i="34"/>
  <c r="U3014" i="34"/>
  <c r="Z3014" i="34"/>
  <c r="O3014" i="34"/>
  <c r="P3014" i="34"/>
  <c r="A3014" i="34"/>
  <c r="Q3018" i="34"/>
  <c r="U3018" i="34"/>
  <c r="Z3018" i="34"/>
  <c r="O3018" i="34"/>
  <c r="P3018" i="34"/>
  <c r="A3018" i="34"/>
  <c r="Q3022" i="34"/>
  <c r="U3022" i="34"/>
  <c r="Z3022" i="34"/>
  <c r="O3022" i="34"/>
  <c r="P3022" i="34"/>
  <c r="A3022" i="34"/>
  <c r="Q3026" i="34"/>
  <c r="U3026" i="34"/>
  <c r="Z3026" i="34"/>
  <c r="O3026" i="34"/>
  <c r="P3026" i="34"/>
  <c r="A3026" i="34"/>
  <c r="Q3030" i="34"/>
  <c r="U3030" i="34"/>
  <c r="Z3030" i="34"/>
  <c r="O3030" i="34"/>
  <c r="P3030" i="34"/>
  <c r="A3030" i="34"/>
  <c r="Q3034" i="34"/>
  <c r="U3034" i="34"/>
  <c r="Z3034" i="34"/>
  <c r="O3034" i="34"/>
  <c r="P3034" i="34"/>
  <c r="A3034" i="34"/>
  <c r="Q3038" i="34"/>
  <c r="U3038" i="34"/>
  <c r="Z3038" i="34"/>
  <c r="O3038" i="34"/>
  <c r="P3038" i="34"/>
  <c r="A3038" i="34"/>
  <c r="Q3045" i="34"/>
  <c r="U3045" i="34"/>
  <c r="Z3045" i="34"/>
  <c r="O3045" i="34"/>
  <c r="P3045" i="34"/>
  <c r="A3045" i="34"/>
  <c r="Q3049" i="34"/>
  <c r="U3049" i="34"/>
  <c r="Z3049" i="34"/>
  <c r="O3049" i="34"/>
  <c r="P3049" i="34"/>
  <c r="A3049" i="34"/>
  <c r="Q3053" i="34"/>
  <c r="U3053" i="34"/>
  <c r="Z3053" i="34"/>
  <c r="O3053" i="34"/>
  <c r="P3053" i="34"/>
  <c r="A3053" i="34"/>
  <c r="Q3057" i="34"/>
  <c r="U3057" i="34"/>
  <c r="Z3057" i="34"/>
  <c r="O3057" i="34"/>
  <c r="P3057" i="34"/>
  <c r="A3057" i="34"/>
  <c r="Q2728" i="34"/>
  <c r="U2728" i="34"/>
  <c r="Z2728" i="34"/>
  <c r="O2728" i="34"/>
  <c r="P2728" i="34"/>
  <c r="A2728" i="34"/>
  <c r="P2623" i="34"/>
  <c r="Q2623" i="34"/>
  <c r="U2623" i="34"/>
  <c r="Z2623" i="34"/>
  <c r="O2623" i="34"/>
  <c r="A2623" i="34"/>
  <c r="P2630" i="34"/>
  <c r="Q2630" i="34"/>
  <c r="U2630" i="34"/>
  <c r="Z2630" i="34"/>
  <c r="O2630" i="34"/>
  <c r="A2630" i="34"/>
  <c r="A51" i="60"/>
  <c r="K3114" i="34"/>
  <c r="C3114" i="34"/>
  <c r="B3114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105" i="34"/>
  <c r="C3105" i="34"/>
  <c r="B3105" i="34" s="1"/>
  <c r="K3104" i="34"/>
  <c r="C3104" i="34"/>
  <c r="B3104" i="34" s="1"/>
  <c r="K3103" i="34"/>
  <c r="C3103" i="34"/>
  <c r="B3103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2" i="34"/>
  <c r="C3092" i="34"/>
  <c r="B3092" i="34" s="1"/>
  <c r="K3270" i="34"/>
  <c r="C3270" i="34"/>
  <c r="B3270" i="34" s="1"/>
  <c r="K3268" i="34"/>
  <c r="C3268" i="34"/>
  <c r="B3268" i="34" s="1"/>
  <c r="K3267" i="34"/>
  <c r="C3267" i="34"/>
  <c r="B3267" i="34" s="1"/>
  <c r="S477" i="74"/>
  <c r="Q477" i="74"/>
  <c r="R477" i="74" s="1"/>
  <c r="S476" i="74"/>
  <c r="Q476" i="74"/>
  <c r="R476" i="74" s="1"/>
  <c r="S475" i="74"/>
  <c r="Q475" i="74"/>
  <c r="R475" i="74" s="1"/>
  <c r="S474" i="74"/>
  <c r="Q474" i="74"/>
  <c r="R474" i="74" s="1"/>
  <c r="S473" i="74"/>
  <c r="Q473" i="74"/>
  <c r="R473" i="74" s="1"/>
  <c r="S472" i="74"/>
  <c r="Q472" i="74"/>
  <c r="S471" i="74"/>
  <c r="Q471" i="74"/>
  <c r="S459" i="74"/>
  <c r="Q459" i="74"/>
  <c r="K3198" i="34"/>
  <c r="K3199" i="34"/>
  <c r="K3204" i="34"/>
  <c r="K3211" i="34"/>
  <c r="K3212" i="34"/>
  <c r="K3358" i="34"/>
  <c r="K3359" i="34"/>
  <c r="C3198" i="34"/>
  <c r="C3199" i="34"/>
  <c r="C3204" i="34"/>
  <c r="C3211" i="34"/>
  <c r="C3212" i="34"/>
  <c r="C3358" i="34"/>
  <c r="C3359" i="34"/>
  <c r="L104" i="60"/>
  <c r="J480" i="74"/>
  <c r="H462" i="74"/>
  <c r="J462" i="74" s="1"/>
  <c r="J459" i="74"/>
  <c r="K459" i="74" s="1"/>
  <c r="J460" i="74"/>
  <c r="J463" i="74"/>
  <c r="K463" i="74" s="1"/>
  <c r="J464" i="74"/>
  <c r="K464" i="74" s="1"/>
  <c r="J465" i="74"/>
  <c r="K465" i="74" s="1"/>
  <c r="J466" i="74"/>
  <c r="J467" i="74"/>
  <c r="J468" i="74"/>
  <c r="J469" i="74"/>
  <c r="J470" i="74"/>
  <c r="J471" i="74"/>
  <c r="K471" i="74" s="1"/>
  <c r="J472" i="74"/>
  <c r="K472" i="7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K3172" i="34"/>
  <c r="C3172" i="34"/>
  <c r="B3172" i="34" s="1"/>
  <c r="K3171" i="34"/>
  <c r="C3171" i="34"/>
  <c r="B3171" i="34" s="1"/>
  <c r="K3170" i="34"/>
  <c r="C3170" i="34"/>
  <c r="B3170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153" i="34"/>
  <c r="C3153" i="34"/>
  <c r="B3153" i="34" s="1"/>
  <c r="K3152" i="34"/>
  <c r="C3152" i="34"/>
  <c r="B3152" i="34" s="1"/>
  <c r="K3151" i="34"/>
  <c r="C3151" i="34"/>
  <c r="B3151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2515" i="34"/>
  <c r="C2515" i="34"/>
  <c r="B2515" i="34" s="1"/>
  <c r="K2514" i="34"/>
  <c r="C2514" i="34"/>
  <c r="B2514" i="34" s="1"/>
  <c r="K2513" i="34"/>
  <c r="C2513" i="34"/>
  <c r="B2513" i="34" s="1"/>
  <c r="K2512" i="34"/>
  <c r="C2512" i="34"/>
  <c r="B2512" i="34" s="1"/>
  <c r="K2519" i="34"/>
  <c r="C2519" i="34"/>
  <c r="B2519" i="34" s="1"/>
  <c r="K2518" i="34"/>
  <c r="C2518" i="34"/>
  <c r="B2518" i="34" s="1"/>
  <c r="K2517" i="34"/>
  <c r="C2517" i="34"/>
  <c r="B2517" i="34" s="1"/>
  <c r="K2516" i="34"/>
  <c r="C2516" i="34"/>
  <c r="B2516" i="34" s="1"/>
  <c r="K2521" i="34"/>
  <c r="C2521" i="34"/>
  <c r="B2521" i="34" s="1"/>
  <c r="K2520" i="34"/>
  <c r="C2520" i="34"/>
  <c r="B2520" i="34" s="1"/>
  <c r="K2522" i="34"/>
  <c r="C2522" i="34"/>
  <c r="B2522" i="34" s="1"/>
  <c r="K2474" i="34"/>
  <c r="C2474" i="34"/>
  <c r="B2474" i="34" s="1"/>
  <c r="K2473" i="34"/>
  <c r="C2473" i="34"/>
  <c r="B2473" i="34" s="1"/>
  <c r="K2472" i="34"/>
  <c r="C2472" i="34"/>
  <c r="B2472" i="34" s="1"/>
  <c r="K2471" i="34"/>
  <c r="C2471" i="34"/>
  <c r="B2471" i="34" s="1"/>
  <c r="K2470" i="34"/>
  <c r="C2470" i="34"/>
  <c r="B2470" i="34" s="1"/>
  <c r="K2469" i="34"/>
  <c r="C2469" i="34"/>
  <c r="B2469" i="34" s="1"/>
  <c r="K2468" i="34"/>
  <c r="C2468" i="34"/>
  <c r="B2468" i="34" s="1"/>
  <c r="K2467" i="34"/>
  <c r="C2467" i="34"/>
  <c r="B2467" i="34" s="1"/>
  <c r="K2466" i="34"/>
  <c r="C2466" i="34"/>
  <c r="B2466" i="34" s="1"/>
  <c r="K2465" i="34"/>
  <c r="C2465" i="34"/>
  <c r="B2465" i="34" s="1"/>
  <c r="K2484" i="34"/>
  <c r="C2484" i="34"/>
  <c r="B2484" i="34" s="1"/>
  <c r="K2483" i="34"/>
  <c r="C2483" i="34"/>
  <c r="B2483" i="34" s="1"/>
  <c r="K2482" i="34"/>
  <c r="C2482" i="34"/>
  <c r="B2482" i="34" s="1"/>
  <c r="K2481" i="34"/>
  <c r="C2481" i="34"/>
  <c r="B2481" i="34" s="1"/>
  <c r="K2480" i="34"/>
  <c r="C2480" i="34"/>
  <c r="B2480" i="34" s="1"/>
  <c r="K2479" i="34"/>
  <c r="C2479" i="34"/>
  <c r="B2479" i="34" s="1"/>
  <c r="K2478" i="34"/>
  <c r="C2478" i="34"/>
  <c r="B2478" i="34" s="1"/>
  <c r="K2477" i="34"/>
  <c r="C2477" i="34"/>
  <c r="B2477" i="34" s="1"/>
  <c r="K2476" i="34"/>
  <c r="C2476" i="34"/>
  <c r="B2476" i="34" s="1"/>
  <c r="K2475" i="34"/>
  <c r="C2475" i="34"/>
  <c r="B2475" i="34" s="1"/>
  <c r="Q2483" i="34" l="1"/>
  <c r="U2483" i="34"/>
  <c r="Z2483" i="34"/>
  <c r="O2483" i="34"/>
  <c r="P2483" i="34"/>
  <c r="A2483" i="34"/>
  <c r="Q2469" i="34"/>
  <c r="U2469" i="34"/>
  <c r="Z2469" i="34"/>
  <c r="O2469" i="34"/>
  <c r="P2469" i="34"/>
  <c r="A2469" i="34"/>
  <c r="P2521" i="34"/>
  <c r="Q2521" i="34"/>
  <c r="U2521" i="34"/>
  <c r="Z2521" i="34"/>
  <c r="O2521" i="34"/>
  <c r="A2521" i="34"/>
  <c r="P2519" i="34"/>
  <c r="Q2519" i="34"/>
  <c r="U2519" i="34"/>
  <c r="Z2519" i="34"/>
  <c r="O2519" i="34"/>
  <c r="A2519" i="34"/>
  <c r="Q3127" i="34"/>
  <c r="U3127" i="34"/>
  <c r="Z3127" i="34"/>
  <c r="P3127" i="34"/>
  <c r="O3127" i="34"/>
  <c r="A3127" i="34"/>
  <c r="Q3131" i="34"/>
  <c r="U3131" i="34"/>
  <c r="Z3131" i="34"/>
  <c r="P3131" i="34"/>
  <c r="O3131" i="34"/>
  <c r="A3131" i="34"/>
  <c r="Q3135" i="34"/>
  <c r="U3135" i="34"/>
  <c r="Z3135" i="34"/>
  <c r="P3135" i="34"/>
  <c r="O3135" i="34"/>
  <c r="A3135" i="34"/>
  <c r="Q3139" i="34"/>
  <c r="U3139" i="34"/>
  <c r="Z3139" i="34"/>
  <c r="P3139" i="34"/>
  <c r="O3139" i="34"/>
  <c r="A3139" i="34"/>
  <c r="Q3143" i="34"/>
  <c r="U3143" i="34"/>
  <c r="Z3143" i="34"/>
  <c r="P3143" i="34"/>
  <c r="O3143" i="34"/>
  <c r="A3143" i="34"/>
  <c r="Q3147" i="34"/>
  <c r="U3147" i="34"/>
  <c r="Z3147" i="34"/>
  <c r="P3147" i="34"/>
  <c r="O3147" i="34"/>
  <c r="A3147" i="34"/>
  <c r="Q3151" i="34"/>
  <c r="U3151" i="34"/>
  <c r="Z3151" i="34"/>
  <c r="P3151" i="34"/>
  <c r="O3151" i="34"/>
  <c r="A3151" i="34"/>
  <c r="Q3155" i="34"/>
  <c r="U3155" i="34"/>
  <c r="Z3155" i="34"/>
  <c r="P3155" i="34"/>
  <c r="O3155" i="34"/>
  <c r="A3155" i="34"/>
  <c r="Q3159" i="34"/>
  <c r="U3159" i="34"/>
  <c r="Z3159" i="34"/>
  <c r="P3159" i="34"/>
  <c r="O3159" i="34"/>
  <c r="A3159" i="34"/>
  <c r="Q3163" i="34"/>
  <c r="U3163" i="34"/>
  <c r="Z3163" i="34"/>
  <c r="P3163" i="34"/>
  <c r="O3163" i="34"/>
  <c r="A3163" i="34"/>
  <c r="Q3167" i="34"/>
  <c r="U3167" i="34"/>
  <c r="Z3167" i="34"/>
  <c r="P3167" i="34"/>
  <c r="O3167" i="34"/>
  <c r="A3167" i="34"/>
  <c r="Q3171" i="34"/>
  <c r="U3171" i="34"/>
  <c r="Z3171" i="34"/>
  <c r="P3171" i="34"/>
  <c r="O3171" i="34"/>
  <c r="A3171" i="34"/>
  <c r="Q3175" i="34"/>
  <c r="U3175" i="34"/>
  <c r="Z3175" i="34"/>
  <c r="P3175" i="34"/>
  <c r="O3175" i="34"/>
  <c r="A3175" i="34"/>
  <c r="Q3179" i="34"/>
  <c r="U3179" i="34"/>
  <c r="Z3179" i="34"/>
  <c r="P3179" i="34"/>
  <c r="O3179" i="34"/>
  <c r="A3179" i="34"/>
  <c r="Q3183" i="34"/>
  <c r="U3183" i="34"/>
  <c r="Z3183" i="34"/>
  <c r="P3183" i="34"/>
  <c r="O3183" i="34"/>
  <c r="A3183" i="34"/>
  <c r="Q3187" i="34"/>
  <c r="U3187" i="34"/>
  <c r="Z3187" i="34"/>
  <c r="P3187" i="34"/>
  <c r="O3187" i="34"/>
  <c r="A3187" i="34"/>
  <c r="Q3191" i="34"/>
  <c r="U3191" i="34"/>
  <c r="Z3191" i="34"/>
  <c r="P3191" i="34"/>
  <c r="O3191" i="34"/>
  <c r="A3191" i="34"/>
  <c r="Q3195" i="34"/>
  <c r="U3195" i="34"/>
  <c r="Z3195" i="34"/>
  <c r="P3195" i="34"/>
  <c r="O3195" i="34"/>
  <c r="A3195" i="34"/>
  <c r="Q2479" i="34"/>
  <c r="U2479" i="34"/>
  <c r="Z2479" i="34"/>
  <c r="O2479" i="34"/>
  <c r="P2479" i="34"/>
  <c r="A2479" i="34"/>
  <c r="Q2467" i="34"/>
  <c r="U2467" i="34"/>
  <c r="Z2467" i="34"/>
  <c r="O2467" i="34"/>
  <c r="P2467" i="34"/>
  <c r="A2467" i="34"/>
  <c r="P2522" i="34"/>
  <c r="Q2522" i="34"/>
  <c r="U2522" i="34"/>
  <c r="Z2522" i="34"/>
  <c r="O2522" i="34"/>
  <c r="A2522" i="34"/>
  <c r="P2517" i="34"/>
  <c r="Q2517" i="34"/>
  <c r="U2517" i="34"/>
  <c r="Z2517" i="34"/>
  <c r="O2517" i="34"/>
  <c r="A2517" i="34"/>
  <c r="P2513" i="34"/>
  <c r="Q2513" i="34"/>
  <c r="U2513" i="34"/>
  <c r="Z2513" i="34"/>
  <c r="O2513" i="34"/>
  <c r="A2513" i="34"/>
  <c r="P2515" i="34"/>
  <c r="Q2515" i="34"/>
  <c r="U2515" i="34"/>
  <c r="Z2515" i="34"/>
  <c r="O2515" i="34"/>
  <c r="A2515" i="34"/>
  <c r="Q3129" i="34"/>
  <c r="U3129" i="34"/>
  <c r="Z3129" i="34"/>
  <c r="O3129" i="34"/>
  <c r="P3129" i="34"/>
  <c r="A3129" i="34"/>
  <c r="Q3133" i="34"/>
  <c r="U3133" i="34"/>
  <c r="Z3133" i="34"/>
  <c r="O3133" i="34"/>
  <c r="P3133" i="34"/>
  <c r="A3133" i="34"/>
  <c r="Q3137" i="34"/>
  <c r="U3137" i="34"/>
  <c r="Z3137" i="34"/>
  <c r="O3137" i="34"/>
  <c r="P3137" i="34"/>
  <c r="A3137" i="34"/>
  <c r="Q3141" i="34"/>
  <c r="U3141" i="34"/>
  <c r="Z3141" i="34"/>
  <c r="O3141" i="34"/>
  <c r="P3141" i="34"/>
  <c r="A3141" i="34"/>
  <c r="Q3145" i="34"/>
  <c r="U3145" i="34"/>
  <c r="Z3145" i="34"/>
  <c r="O3145" i="34"/>
  <c r="P3145" i="34"/>
  <c r="A3145" i="34"/>
  <c r="Q3149" i="34"/>
  <c r="U3149" i="34"/>
  <c r="Z3149" i="34"/>
  <c r="O3149" i="34"/>
  <c r="P3149" i="34"/>
  <c r="A3149" i="34"/>
  <c r="Q3153" i="34"/>
  <c r="U3153" i="34"/>
  <c r="Z3153" i="34"/>
  <c r="O3153" i="34"/>
  <c r="P3153" i="34"/>
  <c r="A3153" i="34"/>
  <c r="Q3157" i="34"/>
  <c r="U3157" i="34"/>
  <c r="Z3157" i="34"/>
  <c r="O3157" i="34"/>
  <c r="P3157" i="34"/>
  <c r="A3157" i="34"/>
  <c r="Q3161" i="34"/>
  <c r="U3161" i="34"/>
  <c r="Z3161" i="34"/>
  <c r="O3161" i="34"/>
  <c r="P3161" i="34"/>
  <c r="A3161" i="34"/>
  <c r="Q3165" i="34"/>
  <c r="U3165" i="34"/>
  <c r="Z3165" i="34"/>
  <c r="O3165" i="34"/>
  <c r="P3165" i="34"/>
  <c r="A3165" i="34"/>
  <c r="Q3169" i="34"/>
  <c r="U3169" i="34"/>
  <c r="Z3169" i="34"/>
  <c r="O3169" i="34"/>
  <c r="P3169" i="34"/>
  <c r="A3169" i="34"/>
  <c r="Q3173" i="34"/>
  <c r="U3173" i="34"/>
  <c r="Z3173" i="34"/>
  <c r="O3173" i="34"/>
  <c r="P3173" i="34"/>
  <c r="A3173" i="34"/>
  <c r="Q3177" i="34"/>
  <c r="U3177" i="34"/>
  <c r="Z3177" i="34"/>
  <c r="O3177" i="34"/>
  <c r="P3177" i="34"/>
  <c r="A3177" i="34"/>
  <c r="Q3181" i="34"/>
  <c r="U3181" i="34"/>
  <c r="Z3181" i="34"/>
  <c r="O3181" i="34"/>
  <c r="P3181" i="34"/>
  <c r="A3181" i="34"/>
  <c r="Q3185" i="34"/>
  <c r="U3185" i="34"/>
  <c r="Z3185" i="34"/>
  <c r="O3185" i="34"/>
  <c r="P3185" i="34"/>
  <c r="A3185" i="34"/>
  <c r="Q3189" i="34"/>
  <c r="U3189" i="34"/>
  <c r="Z3189" i="34"/>
  <c r="O3189" i="34"/>
  <c r="P3189" i="34"/>
  <c r="A3189" i="34"/>
  <c r="Q3193" i="34"/>
  <c r="U3193" i="34"/>
  <c r="Z3193" i="34"/>
  <c r="O3193" i="34"/>
  <c r="P3193" i="34"/>
  <c r="A3193" i="34"/>
  <c r="Q3197" i="34"/>
  <c r="U3197" i="34"/>
  <c r="Z3197" i="34"/>
  <c r="O3197" i="34"/>
  <c r="P3197" i="34"/>
  <c r="A3197" i="34"/>
  <c r="Q3268" i="34"/>
  <c r="U3268" i="34"/>
  <c r="Z3268" i="34"/>
  <c r="O3268" i="34"/>
  <c r="P3268" i="34"/>
  <c r="A3268" i="34"/>
  <c r="Q3092" i="34"/>
  <c r="U3092" i="34"/>
  <c r="Z3092" i="34"/>
  <c r="O3092" i="34"/>
  <c r="P3092" i="34"/>
  <c r="A3092" i="34"/>
  <c r="Q3097" i="34"/>
  <c r="U3097" i="34"/>
  <c r="Z3097" i="34"/>
  <c r="O3097" i="34"/>
  <c r="P3097" i="34"/>
  <c r="A3097" i="34"/>
  <c r="Q3099" i="34"/>
  <c r="U3099" i="34"/>
  <c r="Z3099" i="34"/>
  <c r="P3099" i="34"/>
  <c r="O3099" i="34"/>
  <c r="A3099" i="34"/>
  <c r="Q3101" i="34"/>
  <c r="U3101" i="34"/>
  <c r="Z3101" i="34"/>
  <c r="O3101" i="34"/>
  <c r="P3101" i="34"/>
  <c r="A3101" i="34"/>
  <c r="Q3103" i="34"/>
  <c r="U3103" i="34"/>
  <c r="Z3103" i="34"/>
  <c r="P3103" i="34"/>
  <c r="O3103" i="34"/>
  <c r="A3103" i="34"/>
  <c r="Q3105" i="34"/>
  <c r="U3105" i="34"/>
  <c r="Z3105" i="34"/>
  <c r="O3105" i="34"/>
  <c r="P3105" i="34"/>
  <c r="A3105" i="34"/>
  <c r="Q3107" i="34"/>
  <c r="U3107" i="34"/>
  <c r="Z3107" i="34"/>
  <c r="P3107" i="34"/>
  <c r="O3107" i="34"/>
  <c r="A3107" i="34"/>
  <c r="Q3109" i="34"/>
  <c r="U3109" i="34"/>
  <c r="Z3109" i="34"/>
  <c r="O3109" i="34"/>
  <c r="P3109" i="34"/>
  <c r="A3109" i="34"/>
  <c r="Q3111" i="34"/>
  <c r="U3111" i="34"/>
  <c r="Z3111" i="34"/>
  <c r="P3111" i="34"/>
  <c r="O3111" i="34"/>
  <c r="A3111" i="34"/>
  <c r="Q3114" i="34"/>
  <c r="U3114" i="34"/>
  <c r="Z3114" i="34"/>
  <c r="O3114" i="34"/>
  <c r="P3114" i="34"/>
  <c r="A3114" i="34"/>
  <c r="Q2477" i="34"/>
  <c r="U2477" i="34"/>
  <c r="Z2477" i="34"/>
  <c r="O2477" i="34"/>
  <c r="P2477" i="34"/>
  <c r="A2477" i="34"/>
  <c r="Q2465" i="34"/>
  <c r="U2465" i="34"/>
  <c r="Z2465" i="34"/>
  <c r="O2465" i="34"/>
  <c r="P2465" i="34"/>
  <c r="A2465" i="34"/>
  <c r="Q2473" i="34"/>
  <c r="U2473" i="34"/>
  <c r="Z2473" i="34"/>
  <c r="O2473" i="34"/>
  <c r="P2473" i="34"/>
  <c r="A2473" i="34"/>
  <c r="Q2478" i="34"/>
  <c r="U2478" i="34"/>
  <c r="Z2478" i="34"/>
  <c r="O2478" i="34"/>
  <c r="P2478" i="34"/>
  <c r="A2478" i="34"/>
  <c r="Q2482" i="34"/>
  <c r="U2482" i="34"/>
  <c r="Z2482" i="34"/>
  <c r="O2482" i="34"/>
  <c r="P2482" i="34"/>
  <c r="A2482" i="34"/>
  <c r="Q2466" i="34"/>
  <c r="U2466" i="34"/>
  <c r="Z2466" i="34"/>
  <c r="O2466" i="34"/>
  <c r="P2466" i="34"/>
  <c r="A2466" i="34"/>
  <c r="Q2470" i="34"/>
  <c r="U2470" i="34"/>
  <c r="Z2470" i="34"/>
  <c r="O2470" i="34"/>
  <c r="P2470" i="34"/>
  <c r="A2470" i="34"/>
  <c r="Q2474" i="34"/>
  <c r="U2474" i="34"/>
  <c r="Z2474" i="34"/>
  <c r="O2474" i="34"/>
  <c r="P2474" i="34"/>
  <c r="A2474" i="34"/>
  <c r="P2516" i="34"/>
  <c r="Q2516" i="34"/>
  <c r="U2516" i="34"/>
  <c r="Z2516" i="34"/>
  <c r="O2516" i="34"/>
  <c r="A2516" i="34"/>
  <c r="P2514" i="34"/>
  <c r="Q2514" i="34"/>
  <c r="U2514" i="34"/>
  <c r="Z2514" i="34"/>
  <c r="O2514" i="34"/>
  <c r="A2514" i="34"/>
  <c r="Q3130" i="34"/>
  <c r="U3130" i="34"/>
  <c r="Z3130" i="34"/>
  <c r="O3130" i="34"/>
  <c r="P3130" i="34"/>
  <c r="A3130" i="34"/>
  <c r="Q3134" i="34"/>
  <c r="U3134" i="34"/>
  <c r="Z3134" i="34"/>
  <c r="O3134" i="34"/>
  <c r="P3134" i="34"/>
  <c r="A3134" i="34"/>
  <c r="Q3140" i="34"/>
  <c r="U3140" i="34"/>
  <c r="Z3140" i="34"/>
  <c r="O3140" i="34"/>
  <c r="P3140" i="34"/>
  <c r="A3140" i="34"/>
  <c r="Q3144" i="34"/>
  <c r="U3144" i="34"/>
  <c r="Z3144" i="34"/>
  <c r="O3144" i="34"/>
  <c r="P3144" i="34"/>
  <c r="A3144" i="34"/>
  <c r="Q3148" i="34"/>
  <c r="U3148" i="34"/>
  <c r="Z3148" i="34"/>
  <c r="O3148" i="34"/>
  <c r="P3148" i="34"/>
  <c r="A3148" i="34"/>
  <c r="Q3152" i="34"/>
  <c r="U3152" i="34"/>
  <c r="Z3152" i="34"/>
  <c r="O3152" i="34"/>
  <c r="P3152" i="34"/>
  <c r="A3152" i="34"/>
  <c r="Q3156" i="34"/>
  <c r="U3156" i="34"/>
  <c r="Z3156" i="34"/>
  <c r="O3156" i="34"/>
  <c r="P3156" i="34"/>
  <c r="A3156" i="34"/>
  <c r="Q3160" i="34"/>
  <c r="U3160" i="34"/>
  <c r="Z3160" i="34"/>
  <c r="O3160" i="34"/>
  <c r="P3160" i="34"/>
  <c r="A3160" i="34"/>
  <c r="Q3166" i="34"/>
  <c r="U3166" i="34"/>
  <c r="Z3166" i="34"/>
  <c r="O3166" i="34"/>
  <c r="P3166" i="34"/>
  <c r="A3166" i="34"/>
  <c r="Q3168" i="34"/>
  <c r="U3168" i="34"/>
  <c r="Z3168" i="34"/>
  <c r="O3168" i="34"/>
  <c r="P3168" i="34"/>
  <c r="A3168" i="34"/>
  <c r="Q3174" i="34"/>
  <c r="U3174" i="34"/>
  <c r="Z3174" i="34"/>
  <c r="O3174" i="34"/>
  <c r="P3174" i="34"/>
  <c r="A3174" i="34"/>
  <c r="Q3178" i="34"/>
  <c r="U3178" i="34"/>
  <c r="Z3178" i="34"/>
  <c r="O3178" i="34"/>
  <c r="P3178" i="34"/>
  <c r="A3178" i="34"/>
  <c r="Q3182" i="34"/>
  <c r="U3182" i="34"/>
  <c r="Z3182" i="34"/>
  <c r="O3182" i="34"/>
  <c r="P3182" i="34"/>
  <c r="A3182" i="34"/>
  <c r="Q3186" i="34"/>
  <c r="U3186" i="34"/>
  <c r="Z3186" i="34"/>
  <c r="O3186" i="34"/>
  <c r="P3186" i="34"/>
  <c r="A3186" i="34"/>
  <c r="Q3190" i="34"/>
  <c r="U3190" i="34"/>
  <c r="Z3190" i="34"/>
  <c r="O3190" i="34"/>
  <c r="P3190" i="34"/>
  <c r="A3190" i="34"/>
  <c r="Q3194" i="34"/>
  <c r="U3194" i="34"/>
  <c r="Z3194" i="34"/>
  <c r="O3194" i="34"/>
  <c r="P3194" i="34"/>
  <c r="A3194" i="34"/>
  <c r="Q2475" i="34"/>
  <c r="U2475" i="34"/>
  <c r="Z2475" i="34"/>
  <c r="O2475" i="34"/>
  <c r="P2475" i="34"/>
  <c r="A2475" i="34"/>
  <c r="Q2481" i="34"/>
  <c r="U2481" i="34"/>
  <c r="Z2481" i="34"/>
  <c r="O2481" i="34"/>
  <c r="P2481" i="34"/>
  <c r="A2481" i="34"/>
  <c r="Q2471" i="34"/>
  <c r="U2471" i="34"/>
  <c r="Z2471" i="34"/>
  <c r="O2471" i="34"/>
  <c r="P2471" i="34"/>
  <c r="A2471" i="34"/>
  <c r="Q2476" i="34"/>
  <c r="U2476" i="34"/>
  <c r="Z2476" i="34"/>
  <c r="P2476" i="34"/>
  <c r="O2476" i="34"/>
  <c r="A2476" i="34"/>
  <c r="Q2480" i="34"/>
  <c r="U2480" i="34"/>
  <c r="Z2480" i="34"/>
  <c r="P2480" i="34"/>
  <c r="O2480" i="34"/>
  <c r="A2480" i="34"/>
  <c r="Q2484" i="34"/>
  <c r="U2484" i="34"/>
  <c r="Z2484" i="34"/>
  <c r="P2484" i="34"/>
  <c r="O2484" i="34"/>
  <c r="A2484" i="34"/>
  <c r="Q2468" i="34"/>
  <c r="U2468" i="34"/>
  <c r="Z2468" i="34"/>
  <c r="P2468" i="34"/>
  <c r="O2468" i="34"/>
  <c r="A2468" i="34"/>
  <c r="Q2472" i="34"/>
  <c r="U2472" i="34"/>
  <c r="Z2472" i="34"/>
  <c r="P2472" i="34"/>
  <c r="O2472" i="34"/>
  <c r="A2472" i="34"/>
  <c r="P2520" i="34"/>
  <c r="Q2520" i="34"/>
  <c r="U2520" i="34"/>
  <c r="Z2520" i="34"/>
  <c r="O2520" i="34"/>
  <c r="A2520" i="34"/>
  <c r="P2518" i="34"/>
  <c r="Q2518" i="34"/>
  <c r="U2518" i="34"/>
  <c r="Z2518" i="34"/>
  <c r="O2518" i="34"/>
  <c r="A2518" i="34"/>
  <c r="P2512" i="34"/>
  <c r="Q2512" i="34"/>
  <c r="U2512" i="34"/>
  <c r="Z2512" i="34"/>
  <c r="O2512" i="34"/>
  <c r="A2512" i="34"/>
  <c r="Q3126" i="34"/>
  <c r="U3126" i="34"/>
  <c r="Z3126" i="34"/>
  <c r="O3126" i="34"/>
  <c r="P3126" i="34"/>
  <c r="A3126" i="34"/>
  <c r="Q3128" i="34"/>
  <c r="U3128" i="34"/>
  <c r="Z3128" i="34"/>
  <c r="O3128" i="34"/>
  <c r="P3128" i="34"/>
  <c r="A3128" i="34"/>
  <c r="Q3132" i="34"/>
  <c r="U3132" i="34"/>
  <c r="Z3132" i="34"/>
  <c r="O3132" i="34"/>
  <c r="P3132" i="34"/>
  <c r="A3132" i="34"/>
  <c r="Q3136" i="34"/>
  <c r="U3136" i="34"/>
  <c r="Z3136" i="34"/>
  <c r="O3136" i="34"/>
  <c r="P3136" i="34"/>
  <c r="A3136" i="34"/>
  <c r="Q3138" i="34"/>
  <c r="U3138" i="34"/>
  <c r="Z3138" i="34"/>
  <c r="O3138" i="34"/>
  <c r="P3138" i="34"/>
  <c r="A3138" i="34"/>
  <c r="Q3142" i="34"/>
  <c r="U3142" i="34"/>
  <c r="Z3142" i="34"/>
  <c r="O3142" i="34"/>
  <c r="P3142" i="34"/>
  <c r="A3142" i="34"/>
  <c r="Q3146" i="34"/>
  <c r="U3146" i="34"/>
  <c r="Z3146" i="34"/>
  <c r="O3146" i="34"/>
  <c r="P3146" i="34"/>
  <c r="A3146" i="34"/>
  <c r="Q3150" i="34"/>
  <c r="U3150" i="34"/>
  <c r="Z3150" i="34"/>
  <c r="O3150" i="34"/>
  <c r="P3150" i="34"/>
  <c r="A3150" i="34"/>
  <c r="Q3154" i="34"/>
  <c r="U3154" i="34"/>
  <c r="Z3154" i="34"/>
  <c r="O3154" i="34"/>
  <c r="P3154" i="34"/>
  <c r="A3154" i="34"/>
  <c r="Q3158" i="34"/>
  <c r="U3158" i="34"/>
  <c r="Z3158" i="34"/>
  <c r="O3158" i="34"/>
  <c r="P3158" i="34"/>
  <c r="A3158" i="34"/>
  <c r="Q3162" i="34"/>
  <c r="U3162" i="34"/>
  <c r="Z3162" i="34"/>
  <c r="O3162" i="34"/>
  <c r="P3162" i="34"/>
  <c r="A3162" i="34"/>
  <c r="Q3164" i="34"/>
  <c r="U3164" i="34"/>
  <c r="Z3164" i="34"/>
  <c r="O3164" i="34"/>
  <c r="P3164" i="34"/>
  <c r="A3164" i="34"/>
  <c r="Q3170" i="34"/>
  <c r="U3170" i="34"/>
  <c r="Z3170" i="34"/>
  <c r="O3170" i="34"/>
  <c r="P3170" i="34"/>
  <c r="A3170" i="34"/>
  <c r="Q3172" i="34"/>
  <c r="U3172" i="34"/>
  <c r="Z3172" i="34"/>
  <c r="O3172" i="34"/>
  <c r="P3172" i="34"/>
  <c r="A3172" i="34"/>
  <c r="Q3176" i="34"/>
  <c r="U3176" i="34"/>
  <c r="Z3176" i="34"/>
  <c r="O3176" i="34"/>
  <c r="P3176" i="34"/>
  <c r="A3176" i="34"/>
  <c r="Q3180" i="34"/>
  <c r="U3180" i="34"/>
  <c r="Z3180" i="34"/>
  <c r="O3180" i="34"/>
  <c r="P3180" i="34"/>
  <c r="A3180" i="34"/>
  <c r="Q3184" i="34"/>
  <c r="U3184" i="34"/>
  <c r="Z3184" i="34"/>
  <c r="O3184" i="34"/>
  <c r="P3184" i="34"/>
  <c r="A3184" i="34"/>
  <c r="Q3188" i="34"/>
  <c r="U3188" i="34"/>
  <c r="Z3188" i="34"/>
  <c r="O3188" i="34"/>
  <c r="P3188" i="34"/>
  <c r="A3188" i="34"/>
  <c r="Q3192" i="34"/>
  <c r="U3192" i="34"/>
  <c r="Z3192" i="34"/>
  <c r="O3192" i="34"/>
  <c r="P3192" i="34"/>
  <c r="A3192" i="34"/>
  <c r="Q3196" i="34"/>
  <c r="U3196" i="34"/>
  <c r="Z3196" i="34"/>
  <c r="O3196" i="34"/>
  <c r="P3196" i="34"/>
  <c r="A3196" i="34"/>
  <c r="Q3267" i="34"/>
  <c r="U3267" i="34"/>
  <c r="Z3267" i="34"/>
  <c r="P3267" i="34"/>
  <c r="O3267" i="34"/>
  <c r="A3267" i="34"/>
  <c r="Q3270" i="34"/>
  <c r="U3270" i="34"/>
  <c r="Z3270" i="34"/>
  <c r="O3270" i="34"/>
  <c r="P3270" i="34"/>
  <c r="A3270" i="34"/>
  <c r="Q3096" i="34"/>
  <c r="U3096" i="34"/>
  <c r="Z3096" i="34"/>
  <c r="O3096" i="34"/>
  <c r="P3096" i="34"/>
  <c r="A3096" i="34"/>
  <c r="Q3098" i="34"/>
  <c r="U3098" i="34"/>
  <c r="Z3098" i="34"/>
  <c r="O3098" i="34"/>
  <c r="P3098" i="34"/>
  <c r="A3098" i="34"/>
  <c r="Q3100" i="34"/>
  <c r="U3100" i="34"/>
  <c r="Z3100" i="34"/>
  <c r="O3100" i="34"/>
  <c r="P3100" i="34"/>
  <c r="A3100" i="34"/>
  <c r="Q3102" i="34"/>
  <c r="U3102" i="34"/>
  <c r="Z3102" i="34"/>
  <c r="O3102" i="34"/>
  <c r="P3102" i="34"/>
  <c r="A3102" i="34"/>
  <c r="Q3104" i="34"/>
  <c r="U3104" i="34"/>
  <c r="Z3104" i="34"/>
  <c r="O3104" i="34"/>
  <c r="P3104" i="34"/>
  <c r="A3104" i="34"/>
  <c r="Q3106" i="34"/>
  <c r="U3106" i="34"/>
  <c r="Z3106" i="34"/>
  <c r="O3106" i="34"/>
  <c r="P3106" i="34"/>
  <c r="A3106" i="34"/>
  <c r="Q3108" i="34"/>
  <c r="U3108" i="34"/>
  <c r="Z3108" i="34"/>
  <c r="O3108" i="34"/>
  <c r="P3108" i="34"/>
  <c r="A3108" i="34"/>
  <c r="Q3110" i="34"/>
  <c r="U3110" i="34"/>
  <c r="Z3110" i="34"/>
  <c r="O3110" i="34"/>
  <c r="P3110" i="34"/>
  <c r="A3110" i="34"/>
  <c r="Q3112" i="34"/>
  <c r="U3112" i="34"/>
  <c r="Z3112" i="34"/>
  <c r="O3112" i="34"/>
  <c r="P3112" i="34"/>
  <c r="A3112" i="34"/>
  <c r="R459" i="74"/>
  <c r="R472" i="74"/>
  <c r="R471" i="74"/>
  <c r="K2486" i="34"/>
  <c r="C2486" i="34"/>
  <c r="B2486" i="34" s="1"/>
  <c r="K2485" i="34"/>
  <c r="C2485" i="34"/>
  <c r="B2485" i="34" s="1"/>
  <c r="K2490" i="34"/>
  <c r="C2490" i="34"/>
  <c r="B2490" i="34" s="1"/>
  <c r="K2489" i="34"/>
  <c r="C2489" i="34"/>
  <c r="B2489" i="34" s="1"/>
  <c r="K2488" i="34"/>
  <c r="C2488" i="34"/>
  <c r="B2488" i="34" s="1"/>
  <c r="K2487" i="34"/>
  <c r="C2487" i="34"/>
  <c r="B2487" i="34" s="1"/>
  <c r="K2492" i="34"/>
  <c r="C2492" i="34"/>
  <c r="B2492" i="34" s="1"/>
  <c r="K2491" i="34"/>
  <c r="C2491" i="34"/>
  <c r="B2491" i="34" s="1"/>
  <c r="K2493" i="34"/>
  <c r="C2493" i="34"/>
  <c r="B2493" i="34" s="1"/>
  <c r="K2429" i="34"/>
  <c r="C2429" i="34"/>
  <c r="B2429" i="34" s="1"/>
  <c r="K2428" i="34"/>
  <c r="C2428" i="34"/>
  <c r="B2428" i="34" s="1"/>
  <c r="K2427" i="34"/>
  <c r="C2427" i="34"/>
  <c r="B2427" i="34" s="1"/>
  <c r="K2426" i="34"/>
  <c r="C2426" i="34"/>
  <c r="B2426" i="34" s="1"/>
  <c r="K2425" i="34"/>
  <c r="C2425" i="34"/>
  <c r="B2425" i="34" s="1"/>
  <c r="K2424" i="34"/>
  <c r="C2424" i="34"/>
  <c r="B2424" i="34" s="1"/>
  <c r="K2423" i="34"/>
  <c r="C2423" i="34"/>
  <c r="B2423" i="34" s="1"/>
  <c r="K2422" i="34"/>
  <c r="C2422" i="34"/>
  <c r="B2422" i="34" s="1"/>
  <c r="K2437" i="34"/>
  <c r="C2437" i="34"/>
  <c r="B2437" i="34" s="1"/>
  <c r="K2436" i="34"/>
  <c r="C2436" i="34"/>
  <c r="B2436" i="34" s="1"/>
  <c r="K2435" i="34"/>
  <c r="C2435" i="34"/>
  <c r="B2435" i="34" s="1"/>
  <c r="K2434" i="34"/>
  <c r="C2434" i="34"/>
  <c r="B2434" i="34" s="1"/>
  <c r="K2433" i="34"/>
  <c r="C2433" i="34"/>
  <c r="B2433" i="34" s="1"/>
  <c r="K2432" i="34"/>
  <c r="C2432" i="34"/>
  <c r="B2432" i="34" s="1"/>
  <c r="K2431" i="34"/>
  <c r="C2431" i="34"/>
  <c r="B2431" i="34" s="1"/>
  <c r="K2430" i="34"/>
  <c r="C2430" i="34"/>
  <c r="B2430" i="34" s="1"/>
  <c r="K2445" i="34"/>
  <c r="C2445" i="34"/>
  <c r="B2445" i="34" s="1"/>
  <c r="K2444" i="34"/>
  <c r="C2444" i="34"/>
  <c r="B2444" i="34" s="1"/>
  <c r="K2443" i="34"/>
  <c r="C2443" i="34"/>
  <c r="B2443" i="34" s="1"/>
  <c r="K2442" i="34"/>
  <c r="C2442" i="34"/>
  <c r="B2442" i="34" s="1"/>
  <c r="K2441" i="34"/>
  <c r="C2441" i="34"/>
  <c r="B2441" i="34" s="1"/>
  <c r="K2440" i="34"/>
  <c r="C2440" i="34"/>
  <c r="B2440" i="34" s="1"/>
  <c r="K2439" i="34"/>
  <c r="C2439" i="34"/>
  <c r="B2439" i="34" s="1"/>
  <c r="K2438" i="34"/>
  <c r="C2438" i="34"/>
  <c r="B2438" i="34" s="1"/>
  <c r="K2449" i="34"/>
  <c r="C2449" i="34"/>
  <c r="B2449" i="34" s="1"/>
  <c r="K2448" i="34"/>
  <c r="C2448" i="34"/>
  <c r="B2448" i="34" s="1"/>
  <c r="K2447" i="34"/>
  <c r="C2447" i="34"/>
  <c r="B2447" i="34" s="1"/>
  <c r="K2446" i="34"/>
  <c r="C2446" i="34"/>
  <c r="B2446" i="34" s="1"/>
  <c r="K2451" i="34"/>
  <c r="C2451" i="34"/>
  <c r="B2451" i="34" s="1"/>
  <c r="K2450" i="34"/>
  <c r="C2450" i="34"/>
  <c r="B2450" i="34" s="1"/>
  <c r="K2452" i="34"/>
  <c r="C2452" i="34"/>
  <c r="B2452" i="34" s="1"/>
  <c r="K2584" i="34"/>
  <c r="C2584" i="34"/>
  <c r="B2584" i="34" s="1"/>
  <c r="K2583" i="34"/>
  <c r="C2583" i="34"/>
  <c r="B2583" i="34" s="1"/>
  <c r="K2582" i="34"/>
  <c r="C2582" i="34"/>
  <c r="B2582" i="34" s="1"/>
  <c r="K2581" i="34"/>
  <c r="C2581" i="34"/>
  <c r="B2581" i="34" s="1"/>
  <c r="K2580" i="34"/>
  <c r="C2580" i="34"/>
  <c r="B2580" i="34" s="1"/>
  <c r="K2579" i="34"/>
  <c r="C2579" i="34"/>
  <c r="B2579" i="34" s="1"/>
  <c r="K2578" i="34"/>
  <c r="C2578" i="34"/>
  <c r="B2578" i="34" s="1"/>
  <c r="K2577" i="34"/>
  <c r="C2577" i="34"/>
  <c r="B2577" i="34" s="1"/>
  <c r="K2576" i="34"/>
  <c r="C2576" i="34"/>
  <c r="B2576" i="34" s="1"/>
  <c r="K2575" i="34"/>
  <c r="C2575" i="34"/>
  <c r="B2575" i="34" s="1"/>
  <c r="K2574" i="34"/>
  <c r="C2574" i="34"/>
  <c r="B2574" i="34" s="1"/>
  <c r="K2573" i="34"/>
  <c r="C2573" i="34"/>
  <c r="B2573" i="34" s="1"/>
  <c r="K2572" i="34"/>
  <c r="C2572" i="34"/>
  <c r="B2572" i="34" s="1"/>
  <c r="K2571" i="34"/>
  <c r="C2571" i="34"/>
  <c r="B2571" i="34" s="1"/>
  <c r="K2570" i="34"/>
  <c r="C2570" i="34"/>
  <c r="B2570" i="34" s="1"/>
  <c r="K2569" i="34"/>
  <c r="C2569" i="34"/>
  <c r="B2569" i="34" s="1"/>
  <c r="K2568" i="34"/>
  <c r="C2568" i="34"/>
  <c r="B2568" i="34" s="1"/>
  <c r="K2567" i="34"/>
  <c r="C2567" i="34"/>
  <c r="B2567" i="34" s="1"/>
  <c r="K2566" i="34"/>
  <c r="C2566" i="34"/>
  <c r="B2566" i="34" s="1"/>
  <c r="K2565" i="34"/>
  <c r="C2565" i="34"/>
  <c r="B2565" i="34" s="1"/>
  <c r="K2564" i="34"/>
  <c r="C2564" i="34"/>
  <c r="B2564" i="34" s="1"/>
  <c r="K2563" i="34"/>
  <c r="C2563" i="34"/>
  <c r="B2563" i="34" s="1"/>
  <c r="K2562" i="34"/>
  <c r="C2562" i="34"/>
  <c r="B2562" i="34" s="1"/>
  <c r="K2561" i="34"/>
  <c r="C2561" i="34"/>
  <c r="B2561" i="34" s="1"/>
  <c r="K2560" i="34"/>
  <c r="C2560" i="34"/>
  <c r="B2560" i="34" s="1"/>
  <c r="K2559" i="34"/>
  <c r="C2559" i="34"/>
  <c r="B2559" i="34" s="1"/>
  <c r="K2558" i="34"/>
  <c r="C2558" i="34"/>
  <c r="B2558" i="34" s="1"/>
  <c r="K2557" i="34"/>
  <c r="C2557" i="34"/>
  <c r="B2557" i="34" s="1"/>
  <c r="K2556" i="34"/>
  <c r="C2556" i="34"/>
  <c r="B2556" i="34" s="1"/>
  <c r="K2555" i="34"/>
  <c r="C2555" i="34"/>
  <c r="B2555" i="34" s="1"/>
  <c r="K2554" i="34"/>
  <c r="C2554" i="34"/>
  <c r="B2554" i="34" s="1"/>
  <c r="K2553" i="34"/>
  <c r="C2553" i="34"/>
  <c r="B2553" i="34" s="1"/>
  <c r="K2552" i="34"/>
  <c r="C2552" i="34"/>
  <c r="B2552" i="34" s="1"/>
  <c r="K2551" i="34"/>
  <c r="C2551" i="34"/>
  <c r="B2551" i="34" s="1"/>
  <c r="K2550" i="34"/>
  <c r="C2550" i="34"/>
  <c r="B2550" i="34" s="1"/>
  <c r="K2549" i="34"/>
  <c r="C2549" i="34"/>
  <c r="B2549" i="34" s="1"/>
  <c r="K2548" i="34"/>
  <c r="C2548" i="34"/>
  <c r="B2548" i="34" s="1"/>
  <c r="K2547" i="34"/>
  <c r="C2547" i="34"/>
  <c r="B2547" i="34" s="1"/>
  <c r="K2618" i="34"/>
  <c r="C2618" i="34"/>
  <c r="B2618" i="34" s="1"/>
  <c r="K2617" i="34"/>
  <c r="C2617" i="34"/>
  <c r="B2617" i="34" s="1"/>
  <c r="K2616" i="34"/>
  <c r="C2616" i="34"/>
  <c r="B2616" i="34" s="1"/>
  <c r="K2615" i="34"/>
  <c r="C2615" i="34"/>
  <c r="B2615" i="34" s="1"/>
  <c r="K2614" i="34"/>
  <c r="C2614" i="34"/>
  <c r="B2614" i="34" s="1"/>
  <c r="K2613" i="34"/>
  <c r="C2613" i="34"/>
  <c r="B2613" i="34" s="1"/>
  <c r="K2612" i="34"/>
  <c r="C2612" i="34"/>
  <c r="B2612" i="34" s="1"/>
  <c r="K2611" i="34"/>
  <c r="C2611" i="34"/>
  <c r="B2611" i="34" s="1"/>
  <c r="K2610" i="34"/>
  <c r="C2610" i="34"/>
  <c r="B2610" i="34" s="1"/>
  <c r="K2609" i="34"/>
  <c r="C2609" i="34"/>
  <c r="B2609" i="34" s="1"/>
  <c r="K2608" i="34"/>
  <c r="C2608" i="34"/>
  <c r="B2608" i="34" s="1"/>
  <c r="K2607" i="34"/>
  <c r="C2607" i="34"/>
  <c r="B2607" i="34" s="1"/>
  <c r="K2606" i="34"/>
  <c r="C2606" i="34"/>
  <c r="B2606" i="34" s="1"/>
  <c r="K2605" i="34"/>
  <c r="C2605" i="34"/>
  <c r="B2605" i="34" s="1"/>
  <c r="K2604" i="34"/>
  <c r="C2604" i="34"/>
  <c r="B2604" i="34" s="1"/>
  <c r="K2603" i="34"/>
  <c r="C2603" i="34"/>
  <c r="B2603" i="34" s="1"/>
  <c r="K2602" i="34"/>
  <c r="C2602" i="34"/>
  <c r="B2602" i="34" s="1"/>
  <c r="K2601" i="34"/>
  <c r="C2601" i="34"/>
  <c r="B2601" i="34" s="1"/>
  <c r="K2600" i="34"/>
  <c r="C2600" i="34"/>
  <c r="B2600" i="34" s="1"/>
  <c r="K2599" i="34"/>
  <c r="C2599" i="34"/>
  <c r="B2599" i="34" s="1"/>
  <c r="K2598" i="34"/>
  <c r="C2598" i="34"/>
  <c r="B2598" i="34" s="1"/>
  <c r="K2597" i="34"/>
  <c r="C2597" i="34"/>
  <c r="B2597" i="34" s="1"/>
  <c r="K2596" i="34"/>
  <c r="C2596" i="34"/>
  <c r="B2596" i="34" s="1"/>
  <c r="K2595" i="34"/>
  <c r="C2595" i="34"/>
  <c r="B2595" i="34" s="1"/>
  <c r="K2594" i="34"/>
  <c r="C2594" i="34"/>
  <c r="B2594" i="34" s="1"/>
  <c r="K2593" i="34"/>
  <c r="C2593" i="34"/>
  <c r="B2593" i="34" s="1"/>
  <c r="K2592" i="34"/>
  <c r="C2592" i="34"/>
  <c r="B2592" i="34" s="1"/>
  <c r="K2591" i="34"/>
  <c r="C2591" i="34"/>
  <c r="B2591" i="34" s="1"/>
  <c r="K2590" i="34"/>
  <c r="C2590" i="34"/>
  <c r="B2590" i="34" s="1"/>
  <c r="K2589" i="34"/>
  <c r="C2589" i="34"/>
  <c r="B2589" i="34" s="1"/>
  <c r="K2588" i="34"/>
  <c r="C2588" i="34"/>
  <c r="B2588" i="34" s="1"/>
  <c r="K2587" i="34"/>
  <c r="C2587" i="34"/>
  <c r="B2587" i="34" s="1"/>
  <c r="K2586" i="34"/>
  <c r="C2586" i="34"/>
  <c r="B2586" i="34" s="1"/>
  <c r="K2585" i="34"/>
  <c r="C2585" i="34"/>
  <c r="B2585" i="34" s="1"/>
  <c r="P2586" i="34" l="1"/>
  <c r="Q2586" i="34"/>
  <c r="U2586" i="34"/>
  <c r="Z2586" i="34"/>
  <c r="O2586" i="34"/>
  <c r="A2586" i="34"/>
  <c r="P2588" i="34"/>
  <c r="Q2588" i="34"/>
  <c r="U2588" i="34"/>
  <c r="Z2588" i="34"/>
  <c r="O2588" i="34"/>
  <c r="A2588" i="34"/>
  <c r="P2590" i="34"/>
  <c r="Q2590" i="34"/>
  <c r="U2590" i="34"/>
  <c r="Z2590" i="34"/>
  <c r="O2590" i="34"/>
  <c r="A2590" i="34"/>
  <c r="P2592" i="34"/>
  <c r="Q2592" i="34"/>
  <c r="U2592" i="34"/>
  <c r="Z2592" i="34"/>
  <c r="O2592" i="34"/>
  <c r="A2592" i="34"/>
  <c r="P2594" i="34"/>
  <c r="Q2594" i="34"/>
  <c r="U2594" i="34"/>
  <c r="Z2594" i="34"/>
  <c r="O2594" i="34"/>
  <c r="A2594" i="34"/>
  <c r="P2596" i="34"/>
  <c r="Q2596" i="34"/>
  <c r="U2596" i="34"/>
  <c r="Z2596" i="34"/>
  <c r="O2596" i="34"/>
  <c r="A2596" i="34"/>
  <c r="P2598" i="34"/>
  <c r="Q2598" i="34"/>
  <c r="U2598" i="34"/>
  <c r="Z2598" i="34"/>
  <c r="O2598" i="34"/>
  <c r="A2598" i="34"/>
  <c r="P2600" i="34"/>
  <c r="Q2600" i="34"/>
  <c r="U2600" i="34"/>
  <c r="Z2600" i="34"/>
  <c r="O2600" i="34"/>
  <c r="A2600" i="34"/>
  <c r="P2602" i="34"/>
  <c r="Q2602" i="34"/>
  <c r="U2602" i="34"/>
  <c r="Z2602" i="34"/>
  <c r="O2602" i="34"/>
  <c r="A2602" i="34"/>
  <c r="P2604" i="34"/>
  <c r="Q2604" i="34"/>
  <c r="U2604" i="34"/>
  <c r="Z2604" i="34"/>
  <c r="O2604" i="34"/>
  <c r="A2604" i="34"/>
  <c r="P2606" i="34"/>
  <c r="Q2606" i="34"/>
  <c r="U2606" i="34"/>
  <c r="Z2606" i="34"/>
  <c r="O2606" i="34"/>
  <c r="A2606" i="34"/>
  <c r="P2608" i="34"/>
  <c r="Q2608" i="34"/>
  <c r="U2608" i="34"/>
  <c r="Z2608" i="34"/>
  <c r="O2608" i="34"/>
  <c r="A2608" i="34"/>
  <c r="P2610" i="34"/>
  <c r="Q2610" i="34"/>
  <c r="U2610" i="34"/>
  <c r="Z2610" i="34"/>
  <c r="O2610" i="34"/>
  <c r="A2610" i="34"/>
  <c r="P2612" i="34"/>
  <c r="Q2612" i="34"/>
  <c r="U2612" i="34"/>
  <c r="Z2612" i="34"/>
  <c r="O2612" i="34"/>
  <c r="A2612" i="34"/>
  <c r="P2614" i="34"/>
  <c r="Q2614" i="34"/>
  <c r="U2614" i="34"/>
  <c r="Z2614" i="34"/>
  <c r="O2614" i="34"/>
  <c r="A2614" i="34"/>
  <c r="P2616" i="34"/>
  <c r="Q2616" i="34"/>
  <c r="U2616" i="34"/>
  <c r="Z2616" i="34"/>
  <c r="O2616" i="34"/>
  <c r="A2616" i="34"/>
  <c r="P2618" i="34"/>
  <c r="Q2618" i="34"/>
  <c r="U2618" i="34"/>
  <c r="Z2618" i="34"/>
  <c r="O2618" i="34"/>
  <c r="A2618" i="34"/>
  <c r="P2548" i="34"/>
  <c r="Q2548" i="34"/>
  <c r="U2548" i="34"/>
  <c r="Z2548" i="34"/>
  <c r="O2548" i="34"/>
  <c r="A2548" i="34"/>
  <c r="P2550" i="34"/>
  <c r="Q2550" i="34"/>
  <c r="U2550" i="34"/>
  <c r="Z2550" i="34"/>
  <c r="O2550" i="34"/>
  <c r="A2550" i="34"/>
  <c r="P2552" i="34"/>
  <c r="Q2552" i="34"/>
  <c r="U2552" i="34"/>
  <c r="Z2552" i="34"/>
  <c r="O2552" i="34"/>
  <c r="A2552" i="34"/>
  <c r="P2554" i="34"/>
  <c r="Q2554" i="34"/>
  <c r="U2554" i="34"/>
  <c r="Z2554" i="34"/>
  <c r="O2554" i="34"/>
  <c r="A2554" i="34"/>
  <c r="P2556" i="34"/>
  <c r="Q2556" i="34"/>
  <c r="U2556" i="34"/>
  <c r="Z2556" i="34"/>
  <c r="O2556" i="34"/>
  <c r="A2556" i="34"/>
  <c r="P2558" i="34"/>
  <c r="Q2558" i="34"/>
  <c r="U2558" i="34"/>
  <c r="Z2558" i="34"/>
  <c r="O2558" i="34"/>
  <c r="A2558" i="34"/>
  <c r="P2560" i="34"/>
  <c r="Q2560" i="34"/>
  <c r="U2560" i="34"/>
  <c r="Z2560" i="34"/>
  <c r="O2560" i="34"/>
  <c r="A2560" i="34"/>
  <c r="P2562" i="34"/>
  <c r="Q2562" i="34"/>
  <c r="U2562" i="34"/>
  <c r="Z2562" i="34"/>
  <c r="O2562" i="34"/>
  <c r="A2562" i="34"/>
  <c r="P2564" i="34"/>
  <c r="Q2564" i="34"/>
  <c r="U2564" i="34"/>
  <c r="Z2564" i="34"/>
  <c r="O2564" i="34"/>
  <c r="A2564" i="34"/>
  <c r="P2566" i="34"/>
  <c r="Q2566" i="34"/>
  <c r="U2566" i="34"/>
  <c r="Z2566" i="34"/>
  <c r="O2566" i="34"/>
  <c r="A2566" i="34"/>
  <c r="P2568" i="34"/>
  <c r="Q2568" i="34"/>
  <c r="U2568" i="34"/>
  <c r="Z2568" i="34"/>
  <c r="O2568" i="34"/>
  <c r="A2568" i="34"/>
  <c r="P2570" i="34"/>
  <c r="Q2570" i="34"/>
  <c r="U2570" i="34"/>
  <c r="Z2570" i="34"/>
  <c r="O2570" i="34"/>
  <c r="A2570" i="34"/>
  <c r="P2572" i="34"/>
  <c r="Q2572" i="34"/>
  <c r="U2572" i="34"/>
  <c r="Z2572" i="34"/>
  <c r="O2572" i="34"/>
  <c r="A2572" i="34"/>
  <c r="P2574" i="34"/>
  <c r="Q2574" i="34"/>
  <c r="U2574" i="34"/>
  <c r="Z2574" i="34"/>
  <c r="O2574" i="34"/>
  <c r="A2574" i="34"/>
  <c r="P2576" i="34"/>
  <c r="Q2576" i="34"/>
  <c r="U2576" i="34"/>
  <c r="Z2576" i="34"/>
  <c r="O2576" i="34"/>
  <c r="A2576" i="34"/>
  <c r="P2578" i="34"/>
  <c r="Q2578" i="34"/>
  <c r="U2578" i="34"/>
  <c r="Z2578" i="34"/>
  <c r="O2578" i="34"/>
  <c r="A2578" i="34"/>
  <c r="P2580" i="34"/>
  <c r="Q2580" i="34"/>
  <c r="U2580" i="34"/>
  <c r="Z2580" i="34"/>
  <c r="O2580" i="34"/>
  <c r="A2580" i="34"/>
  <c r="P2582" i="34"/>
  <c r="Q2582" i="34"/>
  <c r="U2582" i="34"/>
  <c r="Z2582" i="34"/>
  <c r="O2582" i="34"/>
  <c r="A2582" i="34"/>
  <c r="P2584" i="34"/>
  <c r="Q2584" i="34"/>
  <c r="U2584" i="34"/>
  <c r="Z2584" i="34"/>
  <c r="O2584" i="34"/>
  <c r="A2584" i="34"/>
  <c r="Q2450" i="34"/>
  <c r="U2450" i="34"/>
  <c r="Z2450" i="34"/>
  <c r="O2450" i="34"/>
  <c r="P2450" i="34"/>
  <c r="A2450" i="34"/>
  <c r="Q2446" i="34"/>
  <c r="U2446" i="34"/>
  <c r="Z2446" i="34"/>
  <c r="O2446" i="34"/>
  <c r="P2446" i="34"/>
  <c r="A2446" i="34"/>
  <c r="Q2448" i="34"/>
  <c r="U2448" i="34"/>
  <c r="Z2448" i="34"/>
  <c r="P2448" i="34"/>
  <c r="O2448" i="34"/>
  <c r="A2448" i="34"/>
  <c r="Q2438" i="34"/>
  <c r="U2438" i="34"/>
  <c r="Z2438" i="34"/>
  <c r="O2438" i="34"/>
  <c r="P2438" i="34"/>
  <c r="A2438" i="34"/>
  <c r="Q2440" i="34"/>
  <c r="U2440" i="34"/>
  <c r="Z2440" i="34"/>
  <c r="P2440" i="34"/>
  <c r="O2440" i="34"/>
  <c r="A2440" i="34"/>
  <c r="Q2442" i="34"/>
  <c r="U2442" i="34"/>
  <c r="Z2442" i="34"/>
  <c r="O2442" i="34"/>
  <c r="P2442" i="34"/>
  <c r="A2442" i="34"/>
  <c r="Q2444" i="34"/>
  <c r="U2444" i="34"/>
  <c r="Z2444" i="34"/>
  <c r="P2444" i="34"/>
  <c r="O2444" i="34"/>
  <c r="A2444" i="34"/>
  <c r="Q2430" i="34"/>
  <c r="U2430" i="34"/>
  <c r="Z2430" i="34"/>
  <c r="O2430" i="34"/>
  <c r="P2430" i="34"/>
  <c r="A2430" i="34"/>
  <c r="Q2432" i="34"/>
  <c r="U2432" i="34"/>
  <c r="Z2432" i="34"/>
  <c r="P2432" i="34"/>
  <c r="O2432" i="34"/>
  <c r="A2432" i="34"/>
  <c r="Q2434" i="34"/>
  <c r="U2434" i="34"/>
  <c r="Z2434" i="34"/>
  <c r="O2434" i="34"/>
  <c r="P2434" i="34"/>
  <c r="A2434" i="34"/>
  <c r="Q2436" i="34"/>
  <c r="U2436" i="34"/>
  <c r="Z2436" i="34"/>
  <c r="P2436" i="34"/>
  <c r="O2436" i="34"/>
  <c r="A2436" i="34"/>
  <c r="Q2422" i="34"/>
  <c r="U2422" i="34"/>
  <c r="Z2422" i="34"/>
  <c r="O2422" i="34"/>
  <c r="P2422" i="34"/>
  <c r="A2422" i="34"/>
  <c r="Q2424" i="34"/>
  <c r="U2424" i="34"/>
  <c r="Z2424" i="34"/>
  <c r="P2424" i="34"/>
  <c r="O2424" i="34"/>
  <c r="A2424" i="34"/>
  <c r="Q2426" i="34"/>
  <c r="U2426" i="34"/>
  <c r="Z2426" i="34"/>
  <c r="O2426" i="34"/>
  <c r="P2426" i="34"/>
  <c r="A2426" i="34"/>
  <c r="Q2428" i="34"/>
  <c r="U2428" i="34"/>
  <c r="Z2428" i="34"/>
  <c r="P2428" i="34"/>
  <c r="O2428" i="34"/>
  <c r="A2428" i="34"/>
  <c r="Q2493" i="34"/>
  <c r="U2493" i="34"/>
  <c r="Z2493" i="34"/>
  <c r="O2493" i="34"/>
  <c r="P2493" i="34"/>
  <c r="A2493" i="34"/>
  <c r="Q2492" i="34"/>
  <c r="U2492" i="34"/>
  <c r="Z2492" i="34"/>
  <c r="P2492" i="34"/>
  <c r="O2492" i="34"/>
  <c r="A2492" i="34"/>
  <c r="Q2488" i="34"/>
  <c r="U2488" i="34"/>
  <c r="Z2488" i="34"/>
  <c r="P2488" i="34"/>
  <c r="O2488" i="34"/>
  <c r="A2488" i="34"/>
  <c r="Q2490" i="34"/>
  <c r="U2490" i="34"/>
  <c r="Z2490" i="34"/>
  <c r="O2490" i="34"/>
  <c r="P2490" i="34"/>
  <c r="A2490" i="34"/>
  <c r="Q2486" i="34"/>
  <c r="U2486" i="34"/>
  <c r="Z2486" i="34"/>
  <c r="O2486" i="34"/>
  <c r="P2486" i="34"/>
  <c r="A2486" i="34"/>
  <c r="P2585" i="34"/>
  <c r="Q2585" i="34"/>
  <c r="U2585" i="34"/>
  <c r="Z2585" i="34"/>
  <c r="O2585" i="34"/>
  <c r="A2585" i="34"/>
  <c r="P2587" i="34"/>
  <c r="Q2587" i="34"/>
  <c r="U2587" i="34"/>
  <c r="Z2587" i="34"/>
  <c r="O2587" i="34"/>
  <c r="A2587" i="34"/>
  <c r="P2589" i="34"/>
  <c r="Q2589" i="34"/>
  <c r="U2589" i="34"/>
  <c r="Z2589" i="34"/>
  <c r="O2589" i="34"/>
  <c r="A2589" i="34"/>
  <c r="P2591" i="34"/>
  <c r="Q2591" i="34"/>
  <c r="U2591" i="34"/>
  <c r="Z2591" i="34"/>
  <c r="O2591" i="34"/>
  <c r="A2591" i="34"/>
  <c r="P2593" i="34"/>
  <c r="Q2593" i="34"/>
  <c r="U2593" i="34"/>
  <c r="Z2593" i="34"/>
  <c r="O2593" i="34"/>
  <c r="A2593" i="34"/>
  <c r="P2595" i="34"/>
  <c r="Q2595" i="34"/>
  <c r="U2595" i="34"/>
  <c r="Z2595" i="34"/>
  <c r="O2595" i="34"/>
  <c r="A2595" i="34"/>
  <c r="P2597" i="34"/>
  <c r="Q2597" i="34"/>
  <c r="U2597" i="34"/>
  <c r="Z2597" i="34"/>
  <c r="O2597" i="34"/>
  <c r="A2597" i="34"/>
  <c r="P2599" i="34"/>
  <c r="Q2599" i="34"/>
  <c r="U2599" i="34"/>
  <c r="Z2599" i="34"/>
  <c r="O2599" i="34"/>
  <c r="A2599" i="34"/>
  <c r="P2601" i="34"/>
  <c r="Q2601" i="34"/>
  <c r="U2601" i="34"/>
  <c r="Z2601" i="34"/>
  <c r="O2601" i="34"/>
  <c r="A2601" i="34"/>
  <c r="P2603" i="34"/>
  <c r="Q2603" i="34"/>
  <c r="U2603" i="34"/>
  <c r="Z2603" i="34"/>
  <c r="O2603" i="34"/>
  <c r="A2603" i="34"/>
  <c r="P2605" i="34"/>
  <c r="Q2605" i="34"/>
  <c r="U2605" i="34"/>
  <c r="Z2605" i="34"/>
  <c r="O2605" i="34"/>
  <c r="A2605" i="34"/>
  <c r="P2607" i="34"/>
  <c r="Q2607" i="34"/>
  <c r="U2607" i="34"/>
  <c r="Z2607" i="34"/>
  <c r="O2607" i="34"/>
  <c r="A2607" i="34"/>
  <c r="P2609" i="34"/>
  <c r="Q2609" i="34"/>
  <c r="U2609" i="34"/>
  <c r="Z2609" i="34"/>
  <c r="O2609" i="34"/>
  <c r="A2609" i="34"/>
  <c r="P2611" i="34"/>
  <c r="Q2611" i="34"/>
  <c r="U2611" i="34"/>
  <c r="Z2611" i="34"/>
  <c r="O2611" i="34"/>
  <c r="A2611" i="34"/>
  <c r="P2613" i="34"/>
  <c r="Q2613" i="34"/>
  <c r="U2613" i="34"/>
  <c r="Z2613" i="34"/>
  <c r="O2613" i="34"/>
  <c r="A2613" i="34"/>
  <c r="P2615" i="34"/>
  <c r="Q2615" i="34"/>
  <c r="U2615" i="34"/>
  <c r="Z2615" i="34"/>
  <c r="O2615" i="34"/>
  <c r="A2615" i="34"/>
  <c r="P2617" i="34"/>
  <c r="Q2617" i="34"/>
  <c r="U2617" i="34"/>
  <c r="Z2617" i="34"/>
  <c r="O2617" i="34"/>
  <c r="A2617" i="34"/>
  <c r="P2547" i="34"/>
  <c r="Q2547" i="34"/>
  <c r="U2547" i="34"/>
  <c r="Z2547" i="34"/>
  <c r="O2547" i="34"/>
  <c r="A2547" i="34"/>
  <c r="P2549" i="34"/>
  <c r="Q2549" i="34"/>
  <c r="U2549" i="34"/>
  <c r="Z2549" i="34"/>
  <c r="O2549" i="34"/>
  <c r="A2549" i="34"/>
  <c r="P2551" i="34"/>
  <c r="Q2551" i="34"/>
  <c r="U2551" i="34"/>
  <c r="Z2551" i="34"/>
  <c r="O2551" i="34"/>
  <c r="A2551" i="34"/>
  <c r="P2553" i="34"/>
  <c r="Q2553" i="34"/>
  <c r="U2553" i="34"/>
  <c r="Z2553" i="34"/>
  <c r="O2553" i="34"/>
  <c r="A2553" i="34"/>
  <c r="P2555" i="34"/>
  <c r="Q2555" i="34"/>
  <c r="U2555" i="34"/>
  <c r="Z2555" i="34"/>
  <c r="O2555" i="34"/>
  <c r="A2555" i="34"/>
  <c r="P2557" i="34"/>
  <c r="Q2557" i="34"/>
  <c r="U2557" i="34"/>
  <c r="Z2557" i="34"/>
  <c r="O2557" i="34"/>
  <c r="A2557" i="34"/>
  <c r="P2559" i="34"/>
  <c r="Q2559" i="34"/>
  <c r="U2559" i="34"/>
  <c r="Z2559" i="34"/>
  <c r="O2559" i="34"/>
  <c r="A2559" i="34"/>
  <c r="P2561" i="34"/>
  <c r="Q2561" i="34"/>
  <c r="U2561" i="34"/>
  <c r="Z2561" i="34"/>
  <c r="O2561" i="34"/>
  <c r="A2561" i="34"/>
  <c r="P2563" i="34"/>
  <c r="Q2563" i="34"/>
  <c r="U2563" i="34"/>
  <c r="Z2563" i="34"/>
  <c r="O2563" i="34"/>
  <c r="A2563" i="34"/>
  <c r="P2565" i="34"/>
  <c r="Q2565" i="34"/>
  <c r="U2565" i="34"/>
  <c r="Z2565" i="34"/>
  <c r="O2565" i="34"/>
  <c r="A2565" i="34"/>
  <c r="P2567" i="34"/>
  <c r="Q2567" i="34"/>
  <c r="U2567" i="34"/>
  <c r="Z2567" i="34"/>
  <c r="O2567" i="34"/>
  <c r="A2567" i="34"/>
  <c r="P2569" i="34"/>
  <c r="Q2569" i="34"/>
  <c r="U2569" i="34"/>
  <c r="Z2569" i="34"/>
  <c r="O2569" i="34"/>
  <c r="A2569" i="34"/>
  <c r="P2571" i="34"/>
  <c r="Q2571" i="34"/>
  <c r="U2571" i="34"/>
  <c r="Z2571" i="34"/>
  <c r="O2571" i="34"/>
  <c r="A2571" i="34"/>
  <c r="P2573" i="34"/>
  <c r="Q2573" i="34"/>
  <c r="U2573" i="34"/>
  <c r="Z2573" i="34"/>
  <c r="O2573" i="34"/>
  <c r="A2573" i="34"/>
  <c r="P2575" i="34"/>
  <c r="Q2575" i="34"/>
  <c r="U2575" i="34"/>
  <c r="Z2575" i="34"/>
  <c r="O2575" i="34"/>
  <c r="A2575" i="34"/>
  <c r="P2577" i="34"/>
  <c r="Q2577" i="34"/>
  <c r="U2577" i="34"/>
  <c r="Z2577" i="34"/>
  <c r="O2577" i="34"/>
  <c r="A2577" i="34"/>
  <c r="P2579" i="34"/>
  <c r="Q2579" i="34"/>
  <c r="U2579" i="34"/>
  <c r="Z2579" i="34"/>
  <c r="O2579" i="34"/>
  <c r="A2579" i="34"/>
  <c r="P2581" i="34"/>
  <c r="Q2581" i="34"/>
  <c r="U2581" i="34"/>
  <c r="Z2581" i="34"/>
  <c r="O2581" i="34"/>
  <c r="A2581" i="34"/>
  <c r="P2583" i="34"/>
  <c r="Q2583" i="34"/>
  <c r="U2583" i="34"/>
  <c r="Z2583" i="34"/>
  <c r="O2583" i="34"/>
  <c r="A2583" i="34"/>
  <c r="Q2452" i="34"/>
  <c r="U2452" i="34"/>
  <c r="Z2452" i="34"/>
  <c r="P2452" i="34"/>
  <c r="O2452" i="34"/>
  <c r="A2452" i="34"/>
  <c r="Q2451" i="34"/>
  <c r="U2451" i="34"/>
  <c r="Z2451" i="34"/>
  <c r="O2451" i="34"/>
  <c r="P2451" i="34"/>
  <c r="A2451" i="34"/>
  <c r="Q2447" i="34"/>
  <c r="U2447" i="34"/>
  <c r="Z2447" i="34"/>
  <c r="O2447" i="34"/>
  <c r="P2447" i="34"/>
  <c r="A2447" i="34"/>
  <c r="Q2449" i="34"/>
  <c r="U2449" i="34"/>
  <c r="Z2449" i="34"/>
  <c r="O2449" i="34"/>
  <c r="P2449" i="34"/>
  <c r="A2449" i="34"/>
  <c r="Q2439" i="34"/>
  <c r="U2439" i="34"/>
  <c r="Z2439" i="34"/>
  <c r="O2439" i="34"/>
  <c r="P2439" i="34"/>
  <c r="A2439" i="34"/>
  <c r="Q2441" i="34"/>
  <c r="U2441" i="34"/>
  <c r="Z2441" i="34"/>
  <c r="O2441" i="34"/>
  <c r="P2441" i="34"/>
  <c r="A2441" i="34"/>
  <c r="Q2443" i="34"/>
  <c r="U2443" i="34"/>
  <c r="Z2443" i="34"/>
  <c r="O2443" i="34"/>
  <c r="P2443" i="34"/>
  <c r="A2443" i="34"/>
  <c r="Q2445" i="34"/>
  <c r="U2445" i="34"/>
  <c r="Z2445" i="34"/>
  <c r="O2445" i="34"/>
  <c r="P2445" i="34"/>
  <c r="A2445" i="34"/>
  <c r="Q2431" i="34"/>
  <c r="U2431" i="34"/>
  <c r="Z2431" i="34"/>
  <c r="O2431" i="34"/>
  <c r="P2431" i="34"/>
  <c r="A2431" i="34"/>
  <c r="Q2433" i="34"/>
  <c r="U2433" i="34"/>
  <c r="Z2433" i="34"/>
  <c r="O2433" i="34"/>
  <c r="P2433" i="34"/>
  <c r="A2433" i="34"/>
  <c r="Q2435" i="34"/>
  <c r="U2435" i="34"/>
  <c r="Z2435" i="34"/>
  <c r="O2435" i="34"/>
  <c r="P2435" i="34"/>
  <c r="A2435" i="34"/>
  <c r="Q2437" i="34"/>
  <c r="U2437" i="34"/>
  <c r="Z2437" i="34"/>
  <c r="O2437" i="34"/>
  <c r="P2437" i="34"/>
  <c r="A2437" i="34"/>
  <c r="Q2423" i="34"/>
  <c r="U2423" i="34"/>
  <c r="Z2423" i="34"/>
  <c r="O2423" i="34"/>
  <c r="P2423" i="34"/>
  <c r="A2423" i="34"/>
  <c r="Q2425" i="34"/>
  <c r="U2425" i="34"/>
  <c r="Z2425" i="34"/>
  <c r="O2425" i="34"/>
  <c r="P2425" i="34"/>
  <c r="A2425" i="34"/>
  <c r="Q2427" i="34"/>
  <c r="U2427" i="34"/>
  <c r="Z2427" i="34"/>
  <c r="O2427" i="34"/>
  <c r="P2427" i="34"/>
  <c r="A2427" i="34"/>
  <c r="Q2429" i="34"/>
  <c r="U2429" i="34"/>
  <c r="Z2429" i="34"/>
  <c r="O2429" i="34"/>
  <c r="P2429" i="34"/>
  <c r="A2429" i="34"/>
  <c r="Q2491" i="34"/>
  <c r="U2491" i="34"/>
  <c r="Z2491" i="34"/>
  <c r="O2491" i="34"/>
  <c r="P2491" i="34"/>
  <c r="A2491" i="34"/>
  <c r="Q2487" i="34"/>
  <c r="U2487" i="34"/>
  <c r="Z2487" i="34"/>
  <c r="O2487" i="34"/>
  <c r="P2487" i="34"/>
  <c r="A2487" i="34"/>
  <c r="Q2489" i="34"/>
  <c r="U2489" i="34"/>
  <c r="Z2489" i="34"/>
  <c r="O2489" i="34"/>
  <c r="P2489" i="34"/>
  <c r="A2489" i="34"/>
  <c r="Q2485" i="34"/>
  <c r="U2485" i="34"/>
  <c r="Z2485" i="34"/>
  <c r="O2485" i="34"/>
  <c r="P2485" i="34"/>
  <c r="A2485" i="34"/>
  <c r="K2463" i="34"/>
  <c r="K2453" i="34"/>
  <c r="K2459" i="34"/>
  <c r="K2460" i="34"/>
  <c r="K2462" i="34"/>
  <c r="K2494" i="34"/>
  <c r="K2507" i="34"/>
  <c r="K2508" i="34"/>
  <c r="K2509" i="34"/>
  <c r="K2510" i="34"/>
  <c r="K2523" i="34"/>
  <c r="K2533" i="34"/>
  <c r="K2496" i="34"/>
  <c r="K2497" i="34"/>
  <c r="K2192" i="34"/>
  <c r="K2193" i="34"/>
  <c r="K2535" i="34"/>
  <c r="K2536" i="34"/>
  <c r="K2418" i="34"/>
  <c r="C2510" i="34"/>
  <c r="B2510" i="34" s="1"/>
  <c r="C2509" i="34"/>
  <c r="B2509" i="34" s="1"/>
  <c r="C2508" i="34"/>
  <c r="B2508" i="34" s="1"/>
  <c r="C2507" i="34"/>
  <c r="B2507" i="34" s="1"/>
  <c r="C2495" i="34"/>
  <c r="B2495" i="34" s="1"/>
  <c r="C2494" i="34"/>
  <c r="B2494" i="34" s="1"/>
  <c r="C2464" i="34"/>
  <c r="B2464" i="34" s="1"/>
  <c r="C2463" i="34"/>
  <c r="B2463" i="34" s="1"/>
  <c r="C2462" i="34"/>
  <c r="B2462" i="34" s="1"/>
  <c r="C2461" i="34"/>
  <c r="B2461" i="34" s="1"/>
  <c r="C2460" i="34"/>
  <c r="B2460" i="34" s="1"/>
  <c r="C2459" i="34"/>
  <c r="B2459" i="34" s="1"/>
  <c r="C2454" i="34"/>
  <c r="B2454" i="34" s="1"/>
  <c r="C2453" i="34"/>
  <c r="B2453" i="34" s="1"/>
  <c r="C2419" i="34"/>
  <c r="B2419" i="34" s="1"/>
  <c r="C2418" i="34"/>
  <c r="B2418" i="34" s="1"/>
  <c r="C2498" i="34"/>
  <c r="B2498" i="34" s="1"/>
  <c r="C2497" i="34"/>
  <c r="B2497" i="34" s="1"/>
  <c r="C2496" i="34"/>
  <c r="B2496" i="34" s="1"/>
  <c r="C2534" i="34"/>
  <c r="B2534" i="34" s="1"/>
  <c r="C2533" i="34"/>
  <c r="B2533" i="34" s="1"/>
  <c r="C2524" i="34"/>
  <c r="B2524" i="34" s="1"/>
  <c r="C2523" i="34"/>
  <c r="B2523" i="34" s="1"/>
  <c r="C2511" i="34"/>
  <c r="B2511" i="34" s="1"/>
  <c r="C2537" i="34"/>
  <c r="B2537" i="34" s="1"/>
  <c r="C2536" i="34"/>
  <c r="B2536" i="34" s="1"/>
  <c r="C2535" i="34"/>
  <c r="B2535" i="34" s="1"/>
  <c r="C2194" i="34"/>
  <c r="B2194" i="34" s="1"/>
  <c r="C2193" i="34"/>
  <c r="B2193" i="34" s="1"/>
  <c r="C2192" i="34"/>
  <c r="B2192" i="34" s="1"/>
  <c r="D53" i="70"/>
  <c r="A14" i="70"/>
  <c r="A39" i="70"/>
  <c r="A40" i="70"/>
  <c r="C2546" i="34"/>
  <c r="B2546" i="34" s="1"/>
  <c r="K2545" i="34"/>
  <c r="C2545" i="34"/>
  <c r="B2545" i="34" s="1"/>
  <c r="K2544" i="34"/>
  <c r="C2544" i="34"/>
  <c r="B2544" i="34" s="1"/>
  <c r="C2543" i="34"/>
  <c r="B2543" i="34" s="1"/>
  <c r="C2542" i="34"/>
  <c r="B2542" i="34" s="1"/>
  <c r="C2541" i="34"/>
  <c r="B2541" i="34" s="1"/>
  <c r="C2540" i="34"/>
  <c r="B2540" i="34" s="1"/>
  <c r="C2539" i="34"/>
  <c r="B2539" i="34" s="1"/>
  <c r="C2538" i="34"/>
  <c r="B2538" i="34" s="1"/>
  <c r="C2530" i="34"/>
  <c r="B2530" i="34" s="1"/>
  <c r="K2529" i="34"/>
  <c r="C2529" i="34"/>
  <c r="B2529" i="34" s="1"/>
  <c r="K2528" i="34"/>
  <c r="C2528" i="34"/>
  <c r="B2528" i="34" s="1"/>
  <c r="K2527" i="34"/>
  <c r="C2527" i="34"/>
  <c r="B2527" i="34" s="1"/>
  <c r="C2526" i="34"/>
  <c r="B2526" i="34" s="1"/>
  <c r="K2525" i="34"/>
  <c r="C2525" i="34"/>
  <c r="B2525" i="34" s="1"/>
  <c r="C2504" i="34"/>
  <c r="B2504" i="34" s="1"/>
  <c r="K2503" i="34"/>
  <c r="C2503" i="34"/>
  <c r="B2503" i="34" s="1"/>
  <c r="K2502" i="34"/>
  <c r="C2502" i="34"/>
  <c r="B2502" i="34" s="1"/>
  <c r="C2501" i="34"/>
  <c r="B2501" i="34" s="1"/>
  <c r="K2500" i="34"/>
  <c r="C2500" i="34"/>
  <c r="B2500" i="34" s="1"/>
  <c r="K2499" i="34"/>
  <c r="C2499" i="34"/>
  <c r="B2499" i="34" s="1"/>
  <c r="C2458" i="34"/>
  <c r="B2458" i="34" s="1"/>
  <c r="C2457" i="34"/>
  <c r="B2457" i="34" s="1"/>
  <c r="C2421" i="34"/>
  <c r="B2421" i="34" s="1"/>
  <c r="K2420" i="34"/>
  <c r="C2420" i="34"/>
  <c r="B2420" i="34" s="1"/>
  <c r="C2619" i="34"/>
  <c r="B2619" i="34" s="1"/>
  <c r="C318" i="34"/>
  <c r="B318" i="34" s="1"/>
  <c r="C317" i="34"/>
  <c r="B317" i="34" s="1"/>
  <c r="C313" i="34"/>
  <c r="B313" i="34" s="1"/>
  <c r="C312" i="34"/>
  <c r="B312" i="34" s="1"/>
  <c r="C310" i="34"/>
  <c r="B310" i="34" s="1"/>
  <c r="C307" i="34"/>
  <c r="B307" i="34" s="1"/>
  <c r="C306" i="34"/>
  <c r="B306" i="34" s="1"/>
  <c r="C305" i="34"/>
  <c r="B305" i="34" s="1"/>
  <c r="C303" i="34"/>
  <c r="B303" i="34" s="1"/>
  <c r="C302" i="34"/>
  <c r="B302" i="34" s="1"/>
  <c r="C300" i="34"/>
  <c r="B300" i="34" s="1"/>
  <c r="C299" i="34"/>
  <c r="B299" i="34" s="1"/>
  <c r="C298" i="34"/>
  <c r="B298" i="34" s="1"/>
  <c r="C297" i="34"/>
  <c r="B297" i="34" s="1"/>
  <c r="C296" i="34"/>
  <c r="B296" i="34" s="1"/>
  <c r="C295" i="34"/>
  <c r="B295" i="34" s="1"/>
  <c r="C294" i="34"/>
  <c r="B294" i="34" s="1"/>
  <c r="C292" i="34"/>
  <c r="B292" i="34" s="1"/>
  <c r="C347" i="34"/>
  <c r="B347" i="34" s="1"/>
  <c r="C339" i="34"/>
  <c r="B339" i="34" s="1"/>
  <c r="C338" i="34"/>
  <c r="B338" i="34" s="1"/>
  <c r="C337" i="34"/>
  <c r="B337" i="34" s="1"/>
  <c r="C335" i="34"/>
  <c r="B335" i="34" s="1"/>
  <c r="C334" i="34"/>
  <c r="B334" i="34" s="1"/>
  <c r="C333" i="34"/>
  <c r="B333" i="34" s="1"/>
  <c r="C332" i="34"/>
  <c r="B332" i="34" s="1"/>
  <c r="C331" i="34"/>
  <c r="B331" i="34" s="1"/>
  <c r="C330" i="34"/>
  <c r="B330" i="34" s="1"/>
  <c r="C329" i="34"/>
  <c r="B329" i="34" s="1"/>
  <c r="C328" i="34"/>
  <c r="B328" i="34" s="1"/>
  <c r="C325" i="34"/>
  <c r="B325" i="34" s="1"/>
  <c r="C324" i="34"/>
  <c r="B324" i="34" s="1"/>
  <c r="C322" i="34"/>
  <c r="B322" i="34" s="1"/>
  <c r="C321" i="34"/>
  <c r="B321" i="34" s="1"/>
  <c r="C320" i="34"/>
  <c r="B320" i="34" s="1"/>
  <c r="C907" i="34"/>
  <c r="B907" i="34" s="1"/>
  <c r="C906" i="34"/>
  <c r="B906" i="34" s="1"/>
  <c r="C899" i="34"/>
  <c r="B899" i="34" s="1"/>
  <c r="C898" i="34"/>
  <c r="B898" i="34" s="1"/>
  <c r="C897" i="34"/>
  <c r="B897" i="34" s="1"/>
  <c r="C896" i="34"/>
  <c r="B896" i="34" s="1"/>
  <c r="C889" i="34"/>
  <c r="B889" i="34" s="1"/>
  <c r="C888" i="34"/>
  <c r="B888" i="34" s="1"/>
  <c r="K900" i="34"/>
  <c r="K880" i="34"/>
  <c r="C911" i="34"/>
  <c r="B911" i="34" s="1"/>
  <c r="C910" i="34"/>
  <c r="B910" i="34" s="1"/>
  <c r="C901" i="34"/>
  <c r="B901" i="34" s="1"/>
  <c r="C900" i="34"/>
  <c r="B900" i="34" s="1"/>
  <c r="C891" i="34"/>
  <c r="B891" i="34" s="1"/>
  <c r="C890" i="34"/>
  <c r="B890" i="34" s="1"/>
  <c r="P911" i="34" l="1"/>
  <c r="Q911" i="34"/>
  <c r="U911" i="34"/>
  <c r="Z911" i="34"/>
  <c r="O911" i="34"/>
  <c r="A911" i="34"/>
  <c r="P332" i="34"/>
  <c r="Q332" i="34"/>
  <c r="U332" i="34"/>
  <c r="Z332" i="34"/>
  <c r="O332" i="34"/>
  <c r="A332" i="34"/>
  <c r="Q297" i="34"/>
  <c r="U297" i="34"/>
  <c r="Z297" i="34"/>
  <c r="P297" i="34"/>
  <c r="O297" i="34"/>
  <c r="A297" i="34"/>
  <c r="P307" i="34"/>
  <c r="Q307" i="34"/>
  <c r="U307" i="34"/>
  <c r="Z307" i="34"/>
  <c r="O307" i="34"/>
  <c r="A307" i="34"/>
  <c r="P317" i="34"/>
  <c r="Q317" i="34"/>
  <c r="U317" i="34"/>
  <c r="Z317" i="34"/>
  <c r="O317" i="34"/>
  <c r="A317" i="34"/>
  <c r="P2499" i="34"/>
  <c r="Q2499" i="34"/>
  <c r="U2499" i="34"/>
  <c r="Z2499" i="34"/>
  <c r="O2499" i="34"/>
  <c r="A2499" i="34"/>
  <c r="P2501" i="34"/>
  <c r="Q2501" i="34"/>
  <c r="U2501" i="34"/>
  <c r="Z2501" i="34"/>
  <c r="O2501" i="34"/>
  <c r="A2501" i="34"/>
  <c r="P2526" i="34"/>
  <c r="Q2526" i="34"/>
  <c r="U2526" i="34"/>
  <c r="Z2526" i="34"/>
  <c r="O2526" i="34"/>
  <c r="A2526" i="34"/>
  <c r="P2538" i="34"/>
  <c r="Q2538" i="34"/>
  <c r="U2538" i="34"/>
  <c r="Z2538" i="34"/>
  <c r="O2538" i="34"/>
  <c r="A2538" i="34"/>
  <c r="P2542" i="34"/>
  <c r="Q2542" i="34"/>
  <c r="U2542" i="34"/>
  <c r="Z2542" i="34"/>
  <c r="O2542" i="34"/>
  <c r="A2542" i="34"/>
  <c r="P2545" i="34"/>
  <c r="Q2545" i="34"/>
  <c r="U2545" i="34"/>
  <c r="Z2545" i="34"/>
  <c r="O2545" i="34"/>
  <c r="A2545" i="34"/>
  <c r="O2193" i="34"/>
  <c r="P2193" i="34"/>
  <c r="Q2193" i="34"/>
  <c r="U2193" i="34"/>
  <c r="Z2193" i="34"/>
  <c r="A2193" i="34"/>
  <c r="P2537" i="34"/>
  <c r="Q2537" i="34"/>
  <c r="U2537" i="34"/>
  <c r="Z2537" i="34"/>
  <c r="O2537" i="34"/>
  <c r="A2537" i="34"/>
  <c r="P2533" i="34"/>
  <c r="Q2533" i="34"/>
  <c r="U2533" i="34"/>
  <c r="Z2533" i="34"/>
  <c r="O2533" i="34"/>
  <c r="A2533" i="34"/>
  <c r="P2498" i="34"/>
  <c r="Q2498" i="34"/>
  <c r="U2498" i="34"/>
  <c r="Z2498" i="34"/>
  <c r="O2498" i="34"/>
  <c r="A2498" i="34"/>
  <c r="Q2454" i="34"/>
  <c r="U2454" i="34"/>
  <c r="Z2454" i="34"/>
  <c r="O2454" i="34"/>
  <c r="P2454" i="34"/>
  <c r="A2454" i="34"/>
  <c r="Q2462" i="34"/>
  <c r="U2462" i="34"/>
  <c r="Z2462" i="34"/>
  <c r="O2462" i="34"/>
  <c r="P2462" i="34"/>
  <c r="A2462" i="34"/>
  <c r="Q2495" i="34"/>
  <c r="U2495" i="34"/>
  <c r="Z2495" i="34"/>
  <c r="O2495" i="34"/>
  <c r="P2495" i="34"/>
  <c r="A2495" i="34"/>
  <c r="P2510" i="34"/>
  <c r="Q2510" i="34"/>
  <c r="U2510" i="34"/>
  <c r="Z2510" i="34"/>
  <c r="O2510" i="34"/>
  <c r="A2510" i="34"/>
  <c r="P891" i="34"/>
  <c r="Q891" i="34"/>
  <c r="U891" i="34"/>
  <c r="Z891" i="34"/>
  <c r="O891" i="34"/>
  <c r="A891" i="34"/>
  <c r="P321" i="34"/>
  <c r="Q321" i="34"/>
  <c r="U321" i="34"/>
  <c r="Z321" i="34"/>
  <c r="O321" i="34"/>
  <c r="A321" i="34"/>
  <c r="P337" i="34"/>
  <c r="Q337" i="34"/>
  <c r="U337" i="34"/>
  <c r="Z337" i="34"/>
  <c r="O337" i="34"/>
  <c r="A337" i="34"/>
  <c r="P302" i="34"/>
  <c r="Q302" i="34"/>
  <c r="U302" i="34"/>
  <c r="Z302" i="34"/>
  <c r="O302" i="34"/>
  <c r="A302" i="34"/>
  <c r="P900" i="34"/>
  <c r="Q900" i="34"/>
  <c r="U900" i="34"/>
  <c r="Z900" i="34"/>
  <c r="O900" i="34"/>
  <c r="A900" i="34"/>
  <c r="P896" i="34"/>
  <c r="Q896" i="34"/>
  <c r="U896" i="34"/>
  <c r="Z896" i="34"/>
  <c r="O896" i="34"/>
  <c r="A896" i="34"/>
  <c r="P906" i="34"/>
  <c r="Q906" i="34"/>
  <c r="U906" i="34"/>
  <c r="Z906" i="34"/>
  <c r="O906" i="34"/>
  <c r="A906" i="34"/>
  <c r="P322" i="34"/>
  <c r="Q322" i="34"/>
  <c r="U322" i="34"/>
  <c r="Z322" i="34"/>
  <c r="O322" i="34"/>
  <c r="A322" i="34"/>
  <c r="P329" i="34"/>
  <c r="Q329" i="34"/>
  <c r="U329" i="34"/>
  <c r="Z329" i="34"/>
  <c r="O329" i="34"/>
  <c r="A329" i="34"/>
  <c r="P333" i="34"/>
  <c r="Q333" i="34"/>
  <c r="U333" i="34"/>
  <c r="Z333" i="34"/>
  <c r="O333" i="34"/>
  <c r="A333" i="34"/>
  <c r="P338" i="34"/>
  <c r="Q338" i="34"/>
  <c r="U338" i="34"/>
  <c r="Z338" i="34"/>
  <c r="O338" i="34"/>
  <c r="A338" i="34"/>
  <c r="Q294" i="34"/>
  <c r="U294" i="34"/>
  <c r="Z294" i="34"/>
  <c r="O294" i="34"/>
  <c r="P294" i="34"/>
  <c r="A294" i="34"/>
  <c r="Q298" i="34"/>
  <c r="O298" i="34"/>
  <c r="P298" i="34"/>
  <c r="U298" i="34"/>
  <c r="Z298" i="34"/>
  <c r="A298" i="34"/>
  <c r="P303" i="34"/>
  <c r="Q303" i="34"/>
  <c r="U303" i="34"/>
  <c r="Z303" i="34"/>
  <c r="O303" i="34"/>
  <c r="A303" i="34"/>
  <c r="P310" i="34"/>
  <c r="Q310" i="34"/>
  <c r="U310" i="34"/>
  <c r="Z310" i="34"/>
  <c r="O310" i="34"/>
  <c r="A310" i="34"/>
  <c r="P318" i="34"/>
  <c r="Q318" i="34"/>
  <c r="U318" i="34"/>
  <c r="Z318" i="34"/>
  <c r="O318" i="34"/>
  <c r="A318" i="34"/>
  <c r="Q2421" i="34"/>
  <c r="U2421" i="34"/>
  <c r="Z2421" i="34"/>
  <c r="O2421" i="34"/>
  <c r="P2421" i="34"/>
  <c r="A2421" i="34"/>
  <c r="P2502" i="34"/>
  <c r="Q2502" i="34"/>
  <c r="U2502" i="34"/>
  <c r="Z2502" i="34"/>
  <c r="O2502" i="34"/>
  <c r="A2502" i="34"/>
  <c r="P2504" i="34"/>
  <c r="Q2504" i="34"/>
  <c r="U2504" i="34"/>
  <c r="Z2504" i="34"/>
  <c r="O2504" i="34"/>
  <c r="A2504" i="34"/>
  <c r="P2527" i="34"/>
  <c r="Q2527" i="34"/>
  <c r="U2527" i="34"/>
  <c r="Z2527" i="34"/>
  <c r="O2527" i="34"/>
  <c r="A2527" i="34"/>
  <c r="P2529" i="34"/>
  <c r="Q2529" i="34"/>
  <c r="U2529" i="34"/>
  <c r="Z2529" i="34"/>
  <c r="O2529" i="34"/>
  <c r="A2529" i="34"/>
  <c r="P2539" i="34"/>
  <c r="Q2539" i="34"/>
  <c r="U2539" i="34"/>
  <c r="Z2539" i="34"/>
  <c r="O2539" i="34"/>
  <c r="A2539" i="34"/>
  <c r="P2543" i="34"/>
  <c r="Q2543" i="34"/>
  <c r="U2543" i="34"/>
  <c r="Z2543" i="34"/>
  <c r="O2543" i="34"/>
  <c r="A2543" i="34"/>
  <c r="O2194" i="34"/>
  <c r="P2194" i="34"/>
  <c r="Q2194" i="34"/>
  <c r="U2194" i="34"/>
  <c r="Z2194" i="34"/>
  <c r="A2194" i="34"/>
  <c r="P2511" i="34"/>
  <c r="Q2511" i="34"/>
  <c r="U2511" i="34"/>
  <c r="Z2511" i="34"/>
  <c r="O2511" i="34"/>
  <c r="A2511" i="34"/>
  <c r="P2534" i="34"/>
  <c r="Q2534" i="34"/>
  <c r="U2534" i="34"/>
  <c r="Z2534" i="34"/>
  <c r="O2534" i="34"/>
  <c r="A2534" i="34"/>
  <c r="Q2418" i="34"/>
  <c r="U2418" i="34"/>
  <c r="Z2418" i="34"/>
  <c r="O2418" i="34"/>
  <c r="P2418" i="34"/>
  <c r="A2418" i="34"/>
  <c r="Q2459" i="34"/>
  <c r="U2459" i="34"/>
  <c r="Z2459" i="34"/>
  <c r="O2459" i="34"/>
  <c r="P2459" i="34"/>
  <c r="A2459" i="34"/>
  <c r="Q2463" i="34"/>
  <c r="U2463" i="34"/>
  <c r="Z2463" i="34"/>
  <c r="O2463" i="34"/>
  <c r="P2463" i="34"/>
  <c r="A2463" i="34"/>
  <c r="P2507" i="34"/>
  <c r="Q2507" i="34"/>
  <c r="U2507" i="34"/>
  <c r="Z2507" i="34"/>
  <c r="O2507" i="34"/>
  <c r="A2507" i="34"/>
  <c r="P899" i="34"/>
  <c r="Q899" i="34"/>
  <c r="U899" i="34"/>
  <c r="Z899" i="34"/>
  <c r="O899" i="34"/>
  <c r="A899" i="34"/>
  <c r="Q292" i="34"/>
  <c r="U292" i="34"/>
  <c r="Z292" i="34"/>
  <c r="O292" i="34"/>
  <c r="P292" i="34"/>
  <c r="A292" i="34"/>
  <c r="P907" i="34"/>
  <c r="Q907" i="34"/>
  <c r="U907" i="34"/>
  <c r="Z907" i="34"/>
  <c r="O907" i="34"/>
  <c r="A907" i="34"/>
  <c r="P324" i="34"/>
  <c r="Q324" i="34"/>
  <c r="U324" i="34"/>
  <c r="Z324" i="34"/>
  <c r="O324" i="34"/>
  <c r="A324" i="34"/>
  <c r="P334" i="34"/>
  <c r="Q334" i="34"/>
  <c r="U334" i="34"/>
  <c r="Z334" i="34"/>
  <c r="O334" i="34"/>
  <c r="A334" i="34"/>
  <c r="P339" i="34"/>
  <c r="Q339" i="34"/>
  <c r="U339" i="34"/>
  <c r="Z339" i="34"/>
  <c r="O339" i="34"/>
  <c r="A339" i="34"/>
  <c r="Q295" i="34"/>
  <c r="U295" i="34"/>
  <c r="Z295" i="34"/>
  <c r="O295" i="34"/>
  <c r="P295" i="34"/>
  <c r="A295" i="34"/>
  <c r="P299" i="34"/>
  <c r="Q299" i="34"/>
  <c r="U299" i="34"/>
  <c r="Z299" i="34"/>
  <c r="O299" i="34"/>
  <c r="A299" i="34"/>
  <c r="P305" i="34"/>
  <c r="Q305" i="34"/>
  <c r="U305" i="34"/>
  <c r="Z305" i="34"/>
  <c r="O305" i="34"/>
  <c r="A305" i="34"/>
  <c r="P312" i="34"/>
  <c r="Q312" i="34"/>
  <c r="U312" i="34"/>
  <c r="Z312" i="34"/>
  <c r="O312" i="34"/>
  <c r="A312" i="34"/>
  <c r="P2619" i="34"/>
  <c r="Q2619" i="34"/>
  <c r="U2619" i="34"/>
  <c r="Z2619" i="34"/>
  <c r="O2619" i="34"/>
  <c r="A2619" i="34"/>
  <c r="Q2457" i="34"/>
  <c r="U2457" i="34"/>
  <c r="Z2457" i="34"/>
  <c r="O2457" i="34"/>
  <c r="P2457" i="34"/>
  <c r="A2457" i="34"/>
  <c r="P2500" i="34"/>
  <c r="Q2500" i="34"/>
  <c r="U2500" i="34"/>
  <c r="Z2500" i="34"/>
  <c r="O2500" i="34"/>
  <c r="A2500" i="34"/>
  <c r="P2525" i="34"/>
  <c r="Q2525" i="34"/>
  <c r="U2525" i="34"/>
  <c r="Z2525" i="34"/>
  <c r="O2525" i="34"/>
  <c r="A2525" i="34"/>
  <c r="P2540" i="34"/>
  <c r="Q2540" i="34"/>
  <c r="U2540" i="34"/>
  <c r="Z2540" i="34"/>
  <c r="O2540" i="34"/>
  <c r="A2540" i="34"/>
  <c r="P2544" i="34"/>
  <c r="Q2544" i="34"/>
  <c r="U2544" i="34"/>
  <c r="Z2544" i="34"/>
  <c r="O2544" i="34"/>
  <c r="A2544" i="34"/>
  <c r="P2546" i="34"/>
  <c r="Q2546" i="34"/>
  <c r="U2546" i="34"/>
  <c r="Z2546" i="34"/>
  <c r="O2546" i="34"/>
  <c r="A2546" i="34"/>
  <c r="P2535" i="34"/>
  <c r="Q2535" i="34"/>
  <c r="U2535" i="34"/>
  <c r="Z2535" i="34"/>
  <c r="O2535" i="34"/>
  <c r="A2535" i="34"/>
  <c r="P2523" i="34"/>
  <c r="Q2523" i="34"/>
  <c r="U2523" i="34"/>
  <c r="Z2523" i="34"/>
  <c r="O2523" i="34"/>
  <c r="A2523" i="34"/>
  <c r="P2496" i="34"/>
  <c r="Q2496" i="34"/>
  <c r="U2496" i="34"/>
  <c r="Z2496" i="34"/>
  <c r="O2496" i="34"/>
  <c r="A2496" i="34"/>
  <c r="Q2419" i="34"/>
  <c r="U2419" i="34"/>
  <c r="Z2419" i="34"/>
  <c r="O2419" i="34"/>
  <c r="P2419" i="34"/>
  <c r="A2419" i="34"/>
  <c r="Q2460" i="34"/>
  <c r="U2460" i="34"/>
  <c r="Z2460" i="34"/>
  <c r="P2460" i="34"/>
  <c r="O2460" i="34"/>
  <c r="A2460" i="34"/>
  <c r="Q2464" i="34"/>
  <c r="U2464" i="34"/>
  <c r="Z2464" i="34"/>
  <c r="P2464" i="34"/>
  <c r="O2464" i="34"/>
  <c r="A2464" i="34"/>
  <c r="P2508" i="34"/>
  <c r="Q2508" i="34"/>
  <c r="U2508" i="34"/>
  <c r="Z2508" i="34"/>
  <c r="O2508" i="34"/>
  <c r="A2508" i="34"/>
  <c r="P889" i="34"/>
  <c r="Q889" i="34"/>
  <c r="U889" i="34"/>
  <c r="Z889" i="34"/>
  <c r="O889" i="34"/>
  <c r="A889" i="34"/>
  <c r="P328" i="34"/>
  <c r="Q328" i="34"/>
  <c r="U328" i="34"/>
  <c r="Z328" i="34"/>
  <c r="O328" i="34"/>
  <c r="A328" i="34"/>
  <c r="P901" i="34"/>
  <c r="Q901" i="34"/>
  <c r="U901" i="34"/>
  <c r="Z901" i="34"/>
  <c r="O901" i="34"/>
  <c r="A901" i="34"/>
  <c r="P897" i="34"/>
  <c r="Q897" i="34"/>
  <c r="U897" i="34"/>
  <c r="Z897" i="34"/>
  <c r="O897" i="34"/>
  <c r="A897" i="34"/>
  <c r="P330" i="34"/>
  <c r="Q330" i="34"/>
  <c r="U330" i="34"/>
  <c r="Z330" i="34"/>
  <c r="O330" i="34"/>
  <c r="A330" i="34"/>
  <c r="P890" i="34"/>
  <c r="Q890" i="34"/>
  <c r="U890" i="34"/>
  <c r="Z890" i="34"/>
  <c r="O890" i="34"/>
  <c r="A890" i="34"/>
  <c r="P910" i="34"/>
  <c r="Q910" i="34"/>
  <c r="U910" i="34"/>
  <c r="Z910" i="34"/>
  <c r="O910" i="34"/>
  <c r="A910" i="34"/>
  <c r="P888" i="34"/>
  <c r="Q888" i="34"/>
  <c r="U888" i="34"/>
  <c r="Z888" i="34"/>
  <c r="O888" i="34"/>
  <c r="A888" i="34"/>
  <c r="P898" i="34"/>
  <c r="Q898" i="34"/>
  <c r="U898" i="34"/>
  <c r="Z898" i="34"/>
  <c r="O898" i="34"/>
  <c r="A898" i="34"/>
  <c r="P320" i="34"/>
  <c r="Q320" i="34"/>
  <c r="U320" i="34"/>
  <c r="Z320" i="34"/>
  <c r="O320" i="34"/>
  <c r="A320" i="34"/>
  <c r="P325" i="34"/>
  <c r="Q325" i="34"/>
  <c r="U325" i="34"/>
  <c r="Z325" i="34"/>
  <c r="O325" i="34"/>
  <c r="A325" i="34"/>
  <c r="P331" i="34"/>
  <c r="Q331" i="34"/>
  <c r="U331" i="34"/>
  <c r="Z331" i="34"/>
  <c r="O331" i="34"/>
  <c r="A331" i="34"/>
  <c r="P335" i="34"/>
  <c r="Q335" i="34"/>
  <c r="U335" i="34"/>
  <c r="Z335" i="34"/>
  <c r="O335" i="34"/>
  <c r="A335" i="34"/>
  <c r="P347" i="34"/>
  <c r="Q347" i="34"/>
  <c r="U347" i="34"/>
  <c r="Z347" i="34"/>
  <c r="O347" i="34"/>
  <c r="A347" i="34"/>
  <c r="Q296" i="34"/>
  <c r="U296" i="34"/>
  <c r="Z296" i="34"/>
  <c r="O296" i="34"/>
  <c r="P296" i="34"/>
  <c r="A296" i="34"/>
  <c r="P300" i="34"/>
  <c r="Q300" i="34"/>
  <c r="U300" i="34"/>
  <c r="Z300" i="34"/>
  <c r="O300" i="34"/>
  <c r="A300" i="34"/>
  <c r="P306" i="34"/>
  <c r="Q306" i="34"/>
  <c r="U306" i="34"/>
  <c r="Z306" i="34"/>
  <c r="O306" i="34"/>
  <c r="A306" i="34"/>
  <c r="P313" i="34"/>
  <c r="Q313" i="34"/>
  <c r="U313" i="34"/>
  <c r="Z313" i="34"/>
  <c r="O313" i="34"/>
  <c r="A313" i="34"/>
  <c r="Q2420" i="34"/>
  <c r="U2420" i="34"/>
  <c r="Z2420" i="34"/>
  <c r="P2420" i="34"/>
  <c r="O2420" i="34"/>
  <c r="A2420" i="34"/>
  <c r="Q2458" i="34"/>
  <c r="U2458" i="34"/>
  <c r="Z2458" i="34"/>
  <c r="O2458" i="34"/>
  <c r="P2458" i="34"/>
  <c r="A2458" i="34"/>
  <c r="P2503" i="34"/>
  <c r="Q2503" i="34"/>
  <c r="U2503" i="34"/>
  <c r="Z2503" i="34"/>
  <c r="O2503" i="34"/>
  <c r="A2503" i="34"/>
  <c r="P2528" i="34"/>
  <c r="Q2528" i="34"/>
  <c r="U2528" i="34"/>
  <c r="Z2528" i="34"/>
  <c r="O2528" i="34"/>
  <c r="A2528" i="34"/>
  <c r="P2530" i="34"/>
  <c r="Q2530" i="34"/>
  <c r="U2530" i="34"/>
  <c r="Z2530" i="34"/>
  <c r="O2530" i="34"/>
  <c r="A2530" i="34"/>
  <c r="P2541" i="34"/>
  <c r="Q2541" i="34"/>
  <c r="U2541" i="34"/>
  <c r="Z2541" i="34"/>
  <c r="O2541" i="34"/>
  <c r="A2541" i="34"/>
  <c r="O2192" i="34"/>
  <c r="P2192" i="34"/>
  <c r="Q2192" i="34"/>
  <c r="U2192" i="34"/>
  <c r="Z2192" i="34"/>
  <c r="A2192" i="34"/>
  <c r="P2536" i="34"/>
  <c r="Q2536" i="34"/>
  <c r="U2536" i="34"/>
  <c r="Z2536" i="34"/>
  <c r="O2536" i="34"/>
  <c r="A2536" i="34"/>
  <c r="P2524" i="34"/>
  <c r="Q2524" i="34"/>
  <c r="U2524" i="34"/>
  <c r="Z2524" i="34"/>
  <c r="O2524" i="34"/>
  <c r="A2524" i="34"/>
  <c r="P2497" i="34"/>
  <c r="Q2497" i="34"/>
  <c r="U2497" i="34"/>
  <c r="Z2497" i="34"/>
  <c r="O2497" i="34"/>
  <c r="A2497" i="34"/>
  <c r="Q2453" i="34"/>
  <c r="U2453" i="34"/>
  <c r="Z2453" i="34"/>
  <c r="O2453" i="34"/>
  <c r="P2453" i="34"/>
  <c r="A2453" i="34"/>
  <c r="Q2461" i="34"/>
  <c r="U2461" i="34"/>
  <c r="Z2461" i="34"/>
  <c r="O2461" i="34"/>
  <c r="P2461" i="34"/>
  <c r="A2461" i="34"/>
  <c r="Q2494" i="34"/>
  <c r="U2494" i="34"/>
  <c r="Z2494" i="34"/>
  <c r="O2494" i="34"/>
  <c r="P2494" i="34"/>
  <c r="A2494" i="34"/>
  <c r="P2509" i="34"/>
  <c r="Q2509" i="34"/>
  <c r="U2509" i="34"/>
  <c r="Z2509" i="34"/>
  <c r="O2509" i="34"/>
  <c r="A2509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L85" i="60"/>
  <c r="O101" i="60"/>
  <c r="C101" i="60" s="1"/>
  <c r="O100" i="60"/>
  <c r="C100" i="60" s="1"/>
  <c r="O99" i="60"/>
  <c r="C99" i="60" s="1"/>
  <c r="O98" i="60"/>
  <c r="C98" i="60" s="1"/>
  <c r="O97" i="60"/>
  <c r="C97" i="60" s="1"/>
  <c r="O96" i="60"/>
  <c r="C96" i="60" s="1"/>
  <c r="O95" i="60"/>
  <c r="C95" i="60" s="1"/>
  <c r="O94" i="60"/>
  <c r="C94" i="60" s="1"/>
  <c r="O93" i="60"/>
  <c r="C93" i="60" s="1"/>
  <c r="O92" i="60"/>
  <c r="C92" i="60" s="1"/>
  <c r="O91" i="60"/>
  <c r="C91" i="60" s="1"/>
  <c r="O89" i="60"/>
  <c r="C89" i="60" s="1"/>
  <c r="O88" i="60"/>
  <c r="C88" i="60" s="1"/>
  <c r="O87" i="60"/>
  <c r="C87" i="60" s="1"/>
  <c r="O86" i="60"/>
  <c r="C86" i="60" s="1"/>
  <c r="O85" i="60"/>
  <c r="C85" i="60" s="1"/>
  <c r="O90" i="60"/>
  <c r="C90" i="60" s="1"/>
  <c r="L102" i="60"/>
  <c r="L103" i="60"/>
  <c r="K2825" i="34"/>
  <c r="C2825" i="34"/>
  <c r="B2825" i="34" s="1"/>
  <c r="K2945" i="34"/>
  <c r="C2945" i="34"/>
  <c r="B2945" i="34" s="1"/>
  <c r="K2983" i="34"/>
  <c r="C2983" i="34"/>
  <c r="B2983" i="34" s="1"/>
  <c r="K2980" i="34"/>
  <c r="K2981" i="34"/>
  <c r="K2982" i="34"/>
  <c r="K2984" i="34"/>
  <c r="K2985" i="34"/>
  <c r="K2986" i="34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51" i="60"/>
  <c r="S443" i="74"/>
  <c r="S436" i="74"/>
  <c r="S434" i="74"/>
  <c r="S433" i="74"/>
  <c r="S419" i="74"/>
  <c r="S399" i="74"/>
  <c r="S375" i="74"/>
  <c r="S370" i="74"/>
  <c r="S356" i="74"/>
  <c r="S353" i="74"/>
  <c r="S351" i="74"/>
  <c r="S333" i="74"/>
  <c r="S329" i="74"/>
  <c r="S324" i="74"/>
  <c r="S322" i="74"/>
  <c r="S319" i="74"/>
  <c r="S317" i="74"/>
  <c r="S316" i="74"/>
  <c r="S313" i="74"/>
  <c r="S312" i="74"/>
  <c r="S311" i="74"/>
  <c r="S310" i="74"/>
  <c r="S303" i="74"/>
  <c r="S302" i="74"/>
  <c r="S301" i="74"/>
  <c r="S300" i="74"/>
  <c r="S298" i="74"/>
  <c r="S297" i="74"/>
  <c r="S295" i="74"/>
  <c r="S294" i="74"/>
  <c r="S293" i="74"/>
  <c r="Q443" i="74"/>
  <c r="Q436" i="74"/>
  <c r="Q434" i="74"/>
  <c r="Q433" i="74"/>
  <c r="Q419" i="74"/>
  <c r="Q399" i="74"/>
  <c r="Q375" i="74"/>
  <c r="Q370" i="74"/>
  <c r="Q356" i="74"/>
  <c r="Q353" i="74"/>
  <c r="Q351" i="74"/>
  <c r="Q333" i="74"/>
  <c r="Q329" i="74"/>
  <c r="Q324" i="74"/>
  <c r="Q322" i="74"/>
  <c r="Q319" i="74"/>
  <c r="Q317" i="74"/>
  <c r="Q316" i="74"/>
  <c r="Q313" i="74"/>
  <c r="Q312" i="74"/>
  <c r="Q311" i="74"/>
  <c r="Q310" i="74"/>
  <c r="Q303" i="74"/>
  <c r="Q302" i="74"/>
  <c r="Q301" i="74"/>
  <c r="Q300" i="74"/>
  <c r="Q298" i="74"/>
  <c r="Q297" i="74"/>
  <c r="Q295" i="74"/>
  <c r="Q294" i="74"/>
  <c r="Q293" i="7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48" i="34"/>
  <c r="K2947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4" i="34"/>
  <c r="C2985" i="34"/>
  <c r="C2986" i="34"/>
  <c r="C2990" i="34"/>
  <c r="C2991" i="34"/>
  <c r="C2992" i="34"/>
  <c r="K2816" i="34"/>
  <c r="K2817" i="34"/>
  <c r="K2818" i="34"/>
  <c r="K2819" i="34"/>
  <c r="K2820" i="34"/>
  <c r="K2821" i="34"/>
  <c r="K2822" i="34"/>
  <c r="K2823" i="34"/>
  <c r="K2824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6" i="34"/>
  <c r="K2815" i="34"/>
  <c r="K2814" i="34"/>
  <c r="J316" i="74"/>
  <c r="K316" i="74" s="1"/>
  <c r="H318" i="74"/>
  <c r="J318" i="74" s="1"/>
  <c r="K318" i="74" s="1"/>
  <c r="C325" i="74"/>
  <c r="J325" i="74" s="1"/>
  <c r="C305" i="74"/>
  <c r="C304" i="74"/>
  <c r="J304" i="74" s="1"/>
  <c r="AH4787" i="34"/>
  <c r="AH4785" i="34"/>
  <c r="J292" i="74"/>
  <c r="K292" i="74" s="1"/>
  <c r="J293" i="74"/>
  <c r="K293" i="74" s="1"/>
  <c r="J294" i="74"/>
  <c r="K294" i="74" s="1"/>
  <c r="J295" i="74"/>
  <c r="K295" i="74" s="1"/>
  <c r="J296" i="74"/>
  <c r="J297" i="74"/>
  <c r="K297" i="74" s="1"/>
  <c r="J298" i="74"/>
  <c r="K298" i="74" s="1"/>
  <c r="J299" i="74"/>
  <c r="K299" i="74" s="1"/>
  <c r="J300" i="74"/>
  <c r="K300" i="74" s="1"/>
  <c r="J301" i="74"/>
  <c r="K301" i="74" s="1"/>
  <c r="J302" i="74"/>
  <c r="K302" i="74" s="1"/>
  <c r="J303" i="74"/>
  <c r="K303" i="74" s="1"/>
  <c r="J305" i="74"/>
  <c r="J306" i="74"/>
  <c r="K306" i="74" s="1"/>
  <c r="J307" i="74"/>
  <c r="K307" i="74" s="1"/>
  <c r="J308" i="74"/>
  <c r="K308" i="74" s="1"/>
  <c r="J309" i="74"/>
  <c r="K309" i="74" s="1"/>
  <c r="J310" i="74"/>
  <c r="K310" i="74" s="1"/>
  <c r="J311" i="74"/>
  <c r="K311" i="74" s="1"/>
  <c r="J312" i="74"/>
  <c r="K312" i="74" s="1"/>
  <c r="J313" i="74"/>
  <c r="K313" i="74" s="1"/>
  <c r="J314" i="74"/>
  <c r="K314" i="74" s="1"/>
  <c r="J315" i="74"/>
  <c r="K315" i="74" s="1"/>
  <c r="J317" i="74"/>
  <c r="K317" i="74" s="1"/>
  <c r="J319" i="74"/>
  <c r="K319" i="74" s="1"/>
  <c r="J320" i="74"/>
  <c r="J321" i="74"/>
  <c r="K321" i="74" s="1"/>
  <c r="J322" i="74"/>
  <c r="K322" i="74" s="1"/>
  <c r="J323" i="74"/>
  <c r="K323" i="74" s="1"/>
  <c r="J324" i="74"/>
  <c r="K324" i="74" s="1"/>
  <c r="J326" i="74"/>
  <c r="K326" i="74" s="1"/>
  <c r="J327" i="74"/>
  <c r="K327" i="74" s="1"/>
  <c r="J328" i="74"/>
  <c r="K328" i="74" s="1"/>
  <c r="J329" i="74"/>
  <c r="K329" i="74" s="1"/>
  <c r="J330" i="74"/>
  <c r="K330" i="74" s="1"/>
  <c r="J331" i="74"/>
  <c r="K331" i="74" s="1"/>
  <c r="J332" i="74"/>
  <c r="K332" i="74" s="1"/>
  <c r="J333" i="74"/>
  <c r="K333" i="74" s="1"/>
  <c r="J334" i="74"/>
  <c r="K334" i="74" s="1"/>
  <c r="J335" i="74"/>
  <c r="K335" i="74" s="1"/>
  <c r="J336" i="74"/>
  <c r="K336" i="74" s="1"/>
  <c r="J337" i="74"/>
  <c r="K337" i="74" s="1"/>
  <c r="J338" i="74"/>
  <c r="K338" i="74" s="1"/>
  <c r="J339" i="74"/>
  <c r="K339" i="74" s="1"/>
  <c r="J340" i="74"/>
  <c r="K340" i="74" s="1"/>
  <c r="J341" i="74"/>
  <c r="K341" i="74" s="1"/>
  <c r="J342" i="74"/>
  <c r="K342" i="74" s="1"/>
  <c r="J343" i="74"/>
  <c r="K343" i="74" s="1"/>
  <c r="J344" i="74"/>
  <c r="K344" i="74" s="1"/>
  <c r="J345" i="74"/>
  <c r="K345" i="74" s="1"/>
  <c r="J346" i="74"/>
  <c r="K346" i="74" s="1"/>
  <c r="J347" i="74"/>
  <c r="K347" i="74" s="1"/>
  <c r="J348" i="74"/>
  <c r="K348" i="74" s="1"/>
  <c r="J349" i="74"/>
  <c r="K349" i="74" s="1"/>
  <c r="J350" i="74"/>
  <c r="K350" i="74" s="1"/>
  <c r="J351" i="74"/>
  <c r="K351" i="74" s="1"/>
  <c r="J352" i="74"/>
  <c r="K352" i="74" s="1"/>
  <c r="J353" i="74"/>
  <c r="K353" i="74" s="1"/>
  <c r="J354" i="74"/>
  <c r="K354" i="74" s="1"/>
  <c r="J355" i="74"/>
  <c r="K355" i="74" s="1"/>
  <c r="J356" i="74"/>
  <c r="K356" i="74" s="1"/>
  <c r="J357" i="74"/>
  <c r="K357" i="74" s="1"/>
  <c r="J358" i="74"/>
  <c r="K358" i="74" s="1"/>
  <c r="J359" i="74"/>
  <c r="K359" i="74" s="1"/>
  <c r="J360" i="74"/>
  <c r="K360" i="74" s="1"/>
  <c r="J361" i="74"/>
  <c r="K361" i="74" s="1"/>
  <c r="J362" i="74"/>
  <c r="K362" i="74" s="1"/>
  <c r="J363" i="74"/>
  <c r="K363" i="74" s="1"/>
  <c r="J364" i="74"/>
  <c r="K364" i="74" s="1"/>
  <c r="J365" i="74"/>
  <c r="K365" i="74" s="1"/>
  <c r="J366" i="74"/>
  <c r="K366" i="74" s="1"/>
  <c r="J367" i="74"/>
  <c r="K367" i="74" s="1"/>
  <c r="J368" i="74"/>
  <c r="K368" i="74" s="1"/>
  <c r="J369" i="74"/>
  <c r="K369" i="74" s="1"/>
  <c r="J370" i="74"/>
  <c r="K370" i="74" s="1"/>
  <c r="J371" i="74"/>
  <c r="K371" i="74" s="1"/>
  <c r="J372" i="74"/>
  <c r="K372" i="74" s="1"/>
  <c r="J373" i="74"/>
  <c r="K373" i="74" s="1"/>
  <c r="J374" i="74"/>
  <c r="K374" i="74" s="1"/>
  <c r="J375" i="74"/>
  <c r="K375" i="74" s="1"/>
  <c r="J376" i="74"/>
  <c r="K376" i="74" s="1"/>
  <c r="J377" i="74"/>
  <c r="K377" i="74" s="1"/>
  <c r="J378" i="74"/>
  <c r="K378" i="74" s="1"/>
  <c r="J379" i="74"/>
  <c r="K379" i="74" s="1"/>
  <c r="J380" i="74"/>
  <c r="K380" i="74" s="1"/>
  <c r="J381" i="74"/>
  <c r="K381" i="74" s="1"/>
  <c r="J382" i="74"/>
  <c r="K382" i="74" s="1"/>
  <c r="J383" i="74"/>
  <c r="K383" i="74" s="1"/>
  <c r="J384" i="74"/>
  <c r="K384" i="74" s="1"/>
  <c r="J385" i="74"/>
  <c r="K385" i="74" s="1"/>
  <c r="J386" i="74"/>
  <c r="K386" i="74" s="1"/>
  <c r="J387" i="74"/>
  <c r="K387" i="74" s="1"/>
  <c r="J388" i="74"/>
  <c r="K388" i="74" s="1"/>
  <c r="J389" i="74"/>
  <c r="K389" i="74" s="1"/>
  <c r="J390" i="74"/>
  <c r="K390" i="74" s="1"/>
  <c r="J391" i="74"/>
  <c r="K391" i="74" s="1"/>
  <c r="J392" i="74"/>
  <c r="K392" i="74" s="1"/>
  <c r="J393" i="74"/>
  <c r="K393" i="74" s="1"/>
  <c r="J394" i="74"/>
  <c r="K394" i="74" s="1"/>
  <c r="J395" i="74"/>
  <c r="K395" i="74" s="1"/>
  <c r="J396" i="74"/>
  <c r="K396" i="74" s="1"/>
  <c r="J397" i="74"/>
  <c r="K397" i="74" s="1"/>
  <c r="J398" i="74"/>
  <c r="J399" i="74"/>
  <c r="K399" i="74" s="1"/>
  <c r="J400" i="74"/>
  <c r="J401" i="74"/>
  <c r="K401" i="74" s="1"/>
  <c r="J402" i="74"/>
  <c r="K402" i="74" s="1"/>
  <c r="J403" i="74"/>
  <c r="K403" i="74" s="1"/>
  <c r="J404" i="74"/>
  <c r="K404" i="74" s="1"/>
  <c r="J405" i="74"/>
  <c r="K405" i="74" s="1"/>
  <c r="J406" i="74"/>
  <c r="K406" i="74" s="1"/>
  <c r="J407" i="74"/>
  <c r="K407" i="74" s="1"/>
  <c r="J408" i="74"/>
  <c r="K408" i="74" s="1"/>
  <c r="J409" i="74"/>
  <c r="K409" i="74" s="1"/>
  <c r="J410" i="74"/>
  <c r="K410" i="74" s="1"/>
  <c r="J411" i="74"/>
  <c r="K411" i="74" s="1"/>
  <c r="J412" i="74"/>
  <c r="K412" i="74" s="1"/>
  <c r="J413" i="74"/>
  <c r="K413" i="74" s="1"/>
  <c r="J414" i="74"/>
  <c r="K414" i="74" s="1"/>
  <c r="J415" i="74"/>
  <c r="K415" i="74" s="1"/>
  <c r="J416" i="74"/>
  <c r="K416" i="74" s="1"/>
  <c r="J417" i="74"/>
  <c r="K417" i="74" s="1"/>
  <c r="J418" i="74"/>
  <c r="K418" i="74" s="1"/>
  <c r="J419" i="74"/>
  <c r="K419" i="74" s="1"/>
  <c r="J420" i="74"/>
  <c r="K420" i="74" s="1"/>
  <c r="J421" i="74"/>
  <c r="K421" i="74" s="1"/>
  <c r="J422" i="74"/>
  <c r="K422" i="74" s="1"/>
  <c r="J423" i="74"/>
  <c r="K423" i="74" s="1"/>
  <c r="J424" i="74"/>
  <c r="K424" i="74" s="1"/>
  <c r="J425" i="74"/>
  <c r="K425" i="74" s="1"/>
  <c r="J426" i="74"/>
  <c r="K426" i="74" s="1"/>
  <c r="J427" i="74"/>
  <c r="K427" i="74" s="1"/>
  <c r="J428" i="74"/>
  <c r="K428" i="74" s="1"/>
  <c r="J429" i="74"/>
  <c r="K429" i="74" s="1"/>
  <c r="J430" i="74"/>
  <c r="K430" i="74" s="1"/>
  <c r="J431" i="74"/>
  <c r="J432" i="74"/>
  <c r="K432" i="74" s="1"/>
  <c r="J433" i="74"/>
  <c r="K433" i="74" s="1"/>
  <c r="J434" i="74"/>
  <c r="K434" i="74" s="1"/>
  <c r="J435" i="74"/>
  <c r="K435" i="74" s="1"/>
  <c r="J436" i="74"/>
  <c r="K436" i="74" s="1"/>
  <c r="J437" i="74"/>
  <c r="K437" i="74" s="1"/>
  <c r="J438" i="74"/>
  <c r="K438" i="74" s="1"/>
  <c r="J439" i="74"/>
  <c r="K439" i="74" s="1"/>
  <c r="J440" i="74"/>
  <c r="K440" i="74" s="1"/>
  <c r="J441" i="74"/>
  <c r="K441" i="74" s="1"/>
  <c r="J442" i="74"/>
  <c r="K442" i="74" s="1"/>
  <c r="J443" i="74"/>
  <c r="K443" i="74" s="1"/>
  <c r="J444" i="74"/>
  <c r="K444" i="74" s="1"/>
  <c r="J445" i="74"/>
  <c r="K445" i="74" s="1"/>
  <c r="J446" i="74"/>
  <c r="K446" i="74" s="1"/>
  <c r="J447" i="74"/>
  <c r="K447" i="74" s="1"/>
  <c r="J448" i="74"/>
  <c r="K448" i="74" s="1"/>
  <c r="J449" i="74"/>
  <c r="K449" i="74" s="1"/>
  <c r="J450" i="74"/>
  <c r="K450" i="74" s="1"/>
  <c r="J451" i="74"/>
  <c r="K451" i="74" s="1"/>
  <c r="J452" i="74"/>
  <c r="K452" i="74" s="1"/>
  <c r="J453" i="74"/>
  <c r="K453" i="74" s="1"/>
  <c r="J454" i="74"/>
  <c r="K454" i="74" s="1"/>
  <c r="J455" i="74"/>
  <c r="K455" i="74" s="1"/>
  <c r="J456" i="74"/>
  <c r="K456" i="74" s="1"/>
  <c r="J457" i="74"/>
  <c r="K457" i="74" s="1"/>
  <c r="J458" i="74"/>
  <c r="K458" i="74" s="1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Q2983" i="34" l="1"/>
  <c r="U2983" i="34"/>
  <c r="Z2983" i="34"/>
  <c r="P2983" i="34"/>
  <c r="O2983" i="34"/>
  <c r="A2983" i="34"/>
  <c r="Q2825" i="34"/>
  <c r="U2825" i="34"/>
  <c r="Z2825" i="34"/>
  <c r="O2825" i="34"/>
  <c r="P2825" i="34"/>
  <c r="A2825" i="34"/>
  <c r="Q2945" i="34"/>
  <c r="U2945" i="34"/>
  <c r="Z2945" i="34"/>
  <c r="O2945" i="34"/>
  <c r="P2945" i="34"/>
  <c r="A2945" i="34"/>
  <c r="R302" i="74"/>
  <c r="R294" i="74"/>
  <c r="R297" i="74"/>
  <c r="R312" i="74"/>
  <c r="R333" i="74"/>
  <c r="R370" i="74"/>
  <c r="R293" i="74"/>
  <c r="R298" i="74"/>
  <c r="R295" i="74"/>
  <c r="R311" i="74"/>
  <c r="R317" i="74"/>
  <c r="R329" i="74"/>
  <c r="R356" i="74"/>
  <c r="R419" i="74"/>
  <c r="R443" i="74"/>
  <c r="R319" i="74"/>
  <c r="R433" i="74"/>
  <c r="R303" i="74"/>
  <c r="R313" i="74"/>
  <c r="R322" i="74"/>
  <c r="R351" i="74"/>
  <c r="R375" i="74"/>
  <c r="R434" i="74"/>
  <c r="R301" i="74"/>
  <c r="R300" i="74"/>
  <c r="R310" i="74"/>
  <c r="R316" i="74"/>
  <c r="R324" i="74"/>
  <c r="R353" i="74"/>
  <c r="R399" i="74"/>
  <c r="R436" i="74"/>
  <c r="C2184" i="34"/>
  <c r="C2185" i="34"/>
  <c r="C2186" i="34"/>
  <c r="C2187" i="34"/>
  <c r="C2188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37" i="34"/>
  <c r="C2238" i="34"/>
  <c r="C2239" i="34"/>
  <c r="C2240" i="34"/>
  <c r="C2241" i="34"/>
  <c r="C2242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H317" i="55" a="1"/>
  <c r="H317" i="55" s="1"/>
  <c r="F317" i="55" a="1"/>
  <c r="F317" i="55" s="1"/>
  <c r="A317" i="55"/>
  <c r="H363" i="55" a="1"/>
  <c r="H363" i="55" s="1"/>
  <c r="F363" i="55" a="1"/>
  <c r="F363" i="55" s="1"/>
  <c r="A363" i="55"/>
  <c r="H355" i="55" a="1"/>
  <c r="H355" i="55" s="1"/>
  <c r="F355" i="55" a="1"/>
  <c r="F355" i="55" s="1"/>
  <c r="A355" i="55"/>
  <c r="H437" i="55" a="1"/>
  <c r="H437" i="55" s="1"/>
  <c r="F437" i="55" a="1"/>
  <c r="F437" i="55" s="1"/>
  <c r="A437" i="55"/>
  <c r="H306" i="55" a="1"/>
  <c r="H306" i="55" s="1"/>
  <c r="F306" i="55" a="1"/>
  <c r="F306" i="55" s="1"/>
  <c r="A306" i="55"/>
  <c r="H511" i="55" a="1"/>
  <c r="H511" i="55" s="1"/>
  <c r="F511" i="55" a="1"/>
  <c r="F511" i="55" s="1"/>
  <c r="A511" i="55"/>
  <c r="H243" i="55" a="1"/>
  <c r="H243" i="55" s="1"/>
  <c r="F243" i="55" a="1"/>
  <c r="F243" i="55" s="1"/>
  <c r="A243" i="55"/>
  <c r="H132" i="55" a="1"/>
  <c r="H132" i="55" s="1"/>
  <c r="F132" i="55" a="1"/>
  <c r="F132" i="55" s="1"/>
  <c r="A132" i="55"/>
  <c r="H331" i="55" a="1"/>
  <c r="H331" i="55" s="1"/>
  <c r="F331" i="55" a="1"/>
  <c r="F331" i="55" s="1"/>
  <c r="A331" i="55"/>
  <c r="H332" i="55" a="1"/>
  <c r="H332" i="55" s="1"/>
  <c r="F332" i="55" a="1"/>
  <c r="F332" i="55" s="1"/>
  <c r="A332" i="55"/>
  <c r="H401" i="55" a="1"/>
  <c r="H401" i="55" s="1"/>
  <c r="F401" i="55" a="1"/>
  <c r="F401" i="55" s="1"/>
  <c r="A401" i="55"/>
  <c r="H73" i="55" a="1"/>
  <c r="H73" i="55" s="1"/>
  <c r="F73" i="55" a="1"/>
  <c r="F73" i="55" s="1"/>
  <c r="A73" i="55"/>
  <c r="H174" i="55" a="1"/>
  <c r="H174" i="55" s="1"/>
  <c r="F174" i="55" a="1"/>
  <c r="F174" i="55" s="1"/>
  <c r="A174" i="55"/>
  <c r="H358" i="55" a="1"/>
  <c r="H358" i="55" s="1"/>
  <c r="F358" i="55" a="1"/>
  <c r="F358" i="55" s="1"/>
  <c r="A358" i="55"/>
  <c r="H201" i="55" a="1"/>
  <c r="H201" i="55" s="1"/>
  <c r="F201" i="55" a="1"/>
  <c r="F201" i="55" s="1"/>
  <c r="A201" i="55"/>
  <c r="H62" i="55" a="1"/>
  <c r="H62" i="55" s="1"/>
  <c r="F62" i="55" a="1"/>
  <c r="F62" i="55" s="1"/>
  <c r="A62" i="55"/>
  <c r="H647" i="55" a="1"/>
  <c r="H647" i="55" s="1"/>
  <c r="F647" i="55" a="1"/>
  <c r="F647" i="55" s="1"/>
  <c r="A647" i="55"/>
  <c r="H503" i="55" a="1"/>
  <c r="H503" i="55" s="1"/>
  <c r="F503" i="55" a="1"/>
  <c r="F503" i="55" s="1"/>
  <c r="A503" i="55"/>
  <c r="H478" i="55" a="1"/>
  <c r="H478" i="55" s="1"/>
  <c r="F478" i="55" a="1"/>
  <c r="F478" i="55" s="1"/>
  <c r="A478" i="55"/>
  <c r="H593" i="55" a="1"/>
  <c r="H593" i="55" s="1"/>
  <c r="F593" i="55" a="1"/>
  <c r="F593" i="55" s="1"/>
  <c r="A593" i="55"/>
  <c r="H412" i="55" a="1"/>
  <c r="H412" i="55" s="1"/>
  <c r="F412" i="55" a="1"/>
  <c r="F412" i="55" s="1"/>
  <c r="A412" i="55"/>
  <c r="K2043" i="34"/>
  <c r="K2044" i="34"/>
  <c r="K2048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042" i="34"/>
  <c r="K2041" i="34"/>
  <c r="J478" i="55" l="1"/>
  <c r="J243" i="55"/>
  <c r="J332" i="55"/>
  <c r="J511" i="55"/>
  <c r="J358" i="55"/>
  <c r="J132" i="55"/>
  <c r="J363" i="55"/>
  <c r="J174" i="55"/>
  <c r="J306" i="55"/>
  <c r="J412" i="55"/>
  <c r="J401" i="55"/>
  <c r="J437" i="55"/>
  <c r="J593" i="55"/>
  <c r="J62" i="55"/>
  <c r="J73" i="55"/>
  <c r="J331" i="55"/>
  <c r="J317" i="55"/>
  <c r="J355" i="55"/>
  <c r="J503" i="55"/>
  <c r="J647" i="55"/>
  <c r="J201" i="55"/>
  <c r="H640" i="55" a="1"/>
  <c r="H640" i="55" s="1"/>
  <c r="F640" i="55" a="1"/>
  <c r="F640" i="55" s="1"/>
  <c r="A640" i="55"/>
  <c r="H294" i="55" a="1"/>
  <c r="H294" i="55" s="1"/>
  <c r="F294" i="55" a="1"/>
  <c r="F294" i="55" s="1"/>
  <c r="A294" i="55"/>
  <c r="H376" i="55" a="1"/>
  <c r="H376" i="55" s="1"/>
  <c r="F376" i="55" a="1"/>
  <c r="F376" i="55" s="1"/>
  <c r="A376" i="55"/>
  <c r="H653" i="55" a="1"/>
  <c r="H653" i="55" s="1"/>
  <c r="F653" i="55" a="1"/>
  <c r="F653" i="55" s="1"/>
  <c r="A653" i="55"/>
  <c r="H609" i="55" a="1"/>
  <c r="H609" i="55" s="1"/>
  <c r="F609" i="55" a="1"/>
  <c r="F609" i="55" s="1"/>
  <c r="A609" i="55"/>
  <c r="H340" i="55" a="1"/>
  <c r="H340" i="55" s="1"/>
  <c r="F340" i="55" a="1"/>
  <c r="F340" i="55" s="1"/>
  <c r="A340" i="55"/>
  <c r="H244" i="55" a="1"/>
  <c r="H244" i="55" s="1"/>
  <c r="F244" i="55" a="1"/>
  <c r="F244" i="55" s="1"/>
  <c r="A244" i="55"/>
  <c r="H660" i="55" a="1"/>
  <c r="H660" i="55" s="1"/>
  <c r="F660" i="55" a="1"/>
  <c r="F660" i="55" s="1"/>
  <c r="A660" i="55"/>
  <c r="H497" i="55" a="1"/>
  <c r="H497" i="55" s="1"/>
  <c r="F497" i="55" a="1"/>
  <c r="F497" i="55" s="1"/>
  <c r="A497" i="55"/>
  <c r="H242" i="55" a="1"/>
  <c r="H242" i="55" s="1"/>
  <c r="F242" i="55" a="1"/>
  <c r="F242" i="55" s="1"/>
  <c r="A242" i="55"/>
  <c r="H206" i="55" a="1"/>
  <c r="H206" i="55" s="1"/>
  <c r="F206" i="55" a="1"/>
  <c r="F206" i="55" s="1"/>
  <c r="A206" i="55"/>
  <c r="H491" i="55" a="1"/>
  <c r="H491" i="55" s="1"/>
  <c r="F491" i="55" a="1"/>
  <c r="F491" i="55" s="1"/>
  <c r="A491" i="55"/>
  <c r="H256" i="55" a="1"/>
  <c r="H256" i="55" s="1"/>
  <c r="F256" i="55" a="1"/>
  <c r="F256" i="55" s="1"/>
  <c r="A256" i="55"/>
  <c r="H494" i="55" a="1"/>
  <c r="H494" i="55" s="1"/>
  <c r="F494" i="55" a="1"/>
  <c r="F494" i="55" s="1"/>
  <c r="A494" i="55"/>
  <c r="H207" i="55" a="1"/>
  <c r="H207" i="55" s="1"/>
  <c r="F207" i="55" a="1"/>
  <c r="F207" i="55" s="1"/>
  <c r="A207" i="55"/>
  <c r="H129" i="55" a="1"/>
  <c r="H129" i="55" s="1"/>
  <c r="F129" i="55" a="1"/>
  <c r="F129" i="55" s="1"/>
  <c r="A129" i="55"/>
  <c r="H127" i="55" a="1"/>
  <c r="H127" i="55" s="1"/>
  <c r="F127" i="55" a="1"/>
  <c r="F127" i="55" s="1"/>
  <c r="A127" i="55"/>
  <c r="H133" i="55" a="1"/>
  <c r="H133" i="55" s="1"/>
  <c r="F133" i="55" a="1"/>
  <c r="F133" i="55" s="1"/>
  <c r="A133" i="55"/>
  <c r="H141" i="55" a="1"/>
  <c r="H141" i="55" s="1"/>
  <c r="F141" i="55" a="1"/>
  <c r="F141" i="55" s="1"/>
  <c r="A141" i="55"/>
  <c r="H41" i="55" a="1"/>
  <c r="H41" i="55" s="1"/>
  <c r="F41" i="55" a="1"/>
  <c r="F41" i="55" s="1"/>
  <c r="A41" i="55"/>
  <c r="H154" i="55" a="1"/>
  <c r="H154" i="55" s="1"/>
  <c r="F154" i="55" a="1"/>
  <c r="F154" i="55" s="1"/>
  <c r="A154" i="55"/>
  <c r="H144" i="55" a="1"/>
  <c r="H144" i="55" s="1"/>
  <c r="F144" i="55" a="1"/>
  <c r="F144" i="55" s="1"/>
  <c r="A144" i="55"/>
  <c r="H222" i="55" a="1"/>
  <c r="H222" i="55" s="1"/>
  <c r="F222" i="55" a="1"/>
  <c r="F222" i="55" s="1"/>
  <c r="A222" i="55"/>
  <c r="H459" i="55" a="1"/>
  <c r="H459" i="55" s="1"/>
  <c r="F459" i="55" a="1"/>
  <c r="F459" i="55" s="1"/>
  <c r="A459" i="55"/>
  <c r="H530" i="55" a="1"/>
  <c r="H530" i="55" s="1"/>
  <c r="F530" i="55" a="1"/>
  <c r="F530" i="55" s="1"/>
  <c r="A530" i="55"/>
  <c r="H150" i="55" a="1"/>
  <c r="H150" i="55" s="1"/>
  <c r="F150" i="55" a="1"/>
  <c r="F150" i="55" s="1"/>
  <c r="A150" i="55"/>
  <c r="H638" i="55" a="1"/>
  <c r="H638" i="55" s="1"/>
  <c r="F638" i="55" a="1"/>
  <c r="F638" i="55" s="1"/>
  <c r="A638" i="55"/>
  <c r="H555" i="55" a="1"/>
  <c r="H555" i="55" s="1"/>
  <c r="F555" i="55" a="1"/>
  <c r="F555" i="55" s="1"/>
  <c r="A555" i="55"/>
  <c r="H345" i="55" a="1"/>
  <c r="H345" i="55" s="1"/>
  <c r="F345" i="55" a="1"/>
  <c r="F345" i="55" s="1"/>
  <c r="A345" i="55"/>
  <c r="H191" i="55" a="1"/>
  <c r="H191" i="55" s="1"/>
  <c r="F191" i="55" a="1"/>
  <c r="F191" i="55" s="1"/>
  <c r="A191" i="55"/>
  <c r="H193" i="55" a="1"/>
  <c r="H193" i="55" s="1"/>
  <c r="F193" i="55" a="1"/>
  <c r="F193" i="55" s="1"/>
  <c r="A193" i="55"/>
  <c r="H576" i="55" a="1"/>
  <c r="H576" i="55" s="1"/>
  <c r="F576" i="55" a="1"/>
  <c r="F576" i="55" s="1"/>
  <c r="A576" i="55"/>
  <c r="H577" i="55" a="1"/>
  <c r="H577" i="55" s="1"/>
  <c r="F577" i="55" a="1"/>
  <c r="F577" i="55" s="1"/>
  <c r="A577" i="55"/>
  <c r="H408" i="55" a="1"/>
  <c r="H408" i="55" s="1"/>
  <c r="F408" i="55" a="1"/>
  <c r="F408" i="55" s="1"/>
  <c r="A408" i="55"/>
  <c r="H477" i="55" a="1"/>
  <c r="H477" i="55" s="1"/>
  <c r="F477" i="55" a="1"/>
  <c r="F477" i="55" s="1"/>
  <c r="A477" i="55"/>
  <c r="H580" i="55" a="1"/>
  <c r="H580" i="55" s="1"/>
  <c r="F580" i="55" a="1"/>
  <c r="F580" i="55" s="1"/>
  <c r="A580" i="55"/>
  <c r="H582" i="55" a="1"/>
  <c r="H582" i="55" s="1"/>
  <c r="F582" i="55" a="1"/>
  <c r="F582" i="55" s="1"/>
  <c r="A582" i="55"/>
  <c r="H483" i="55" a="1"/>
  <c r="H483" i="55" s="1"/>
  <c r="F483" i="55" a="1"/>
  <c r="F483" i="55" s="1"/>
  <c r="A483" i="55"/>
  <c r="H487" i="55" a="1"/>
  <c r="H487" i="55" s="1"/>
  <c r="F487" i="55" a="1"/>
  <c r="F487" i="55" s="1"/>
  <c r="A487" i="55"/>
  <c r="H482" i="55" a="1"/>
  <c r="H482" i="55" s="1"/>
  <c r="F482" i="55" a="1"/>
  <c r="F482" i="55" s="1"/>
  <c r="A482" i="55"/>
  <c r="H592" i="55" a="1"/>
  <c r="H592" i="55" s="1"/>
  <c r="F592" i="55" a="1"/>
  <c r="F592" i="55" s="1"/>
  <c r="A592" i="55"/>
  <c r="H617" i="55" a="1"/>
  <c r="H617" i="55" s="1"/>
  <c r="F617" i="55" a="1"/>
  <c r="F617" i="55" s="1"/>
  <c r="A617" i="55"/>
  <c r="H646" i="55" a="1"/>
  <c r="H646" i="55" s="1"/>
  <c r="F646" i="55" a="1"/>
  <c r="F646" i="55" s="1"/>
  <c r="A646" i="55"/>
  <c r="H652" i="55" a="1"/>
  <c r="H652" i="55" s="1"/>
  <c r="F652" i="55" a="1"/>
  <c r="F652" i="55" s="1"/>
  <c r="A652" i="55"/>
  <c r="H368" i="55" a="1"/>
  <c r="H368" i="55" s="1"/>
  <c r="F368" i="55" a="1"/>
  <c r="F368" i="55" s="1"/>
  <c r="A368" i="55"/>
  <c r="H599" i="55" a="1"/>
  <c r="H599" i="55" s="1"/>
  <c r="F599" i="55" a="1"/>
  <c r="F599" i="55" s="1"/>
  <c r="A599" i="55"/>
  <c r="H409" i="55" a="1"/>
  <c r="H409" i="55" s="1"/>
  <c r="F409" i="55" a="1"/>
  <c r="F409" i="55" s="1"/>
  <c r="A409" i="55"/>
  <c r="H490" i="55" a="1"/>
  <c r="H490" i="55" s="1"/>
  <c r="F490" i="55" a="1"/>
  <c r="F490" i="55" s="1"/>
  <c r="A490" i="55"/>
  <c r="H392" i="55" a="1"/>
  <c r="H392" i="55" s="1"/>
  <c r="F392" i="55" a="1"/>
  <c r="F392" i="55" s="1"/>
  <c r="A392" i="55"/>
  <c r="H403" i="55" a="1"/>
  <c r="H403" i="55" s="1"/>
  <c r="F403" i="55" a="1"/>
  <c r="F403" i="55" s="1"/>
  <c r="A403" i="55"/>
  <c r="H578" i="55" a="1"/>
  <c r="H578" i="55" s="1"/>
  <c r="F578" i="55" a="1"/>
  <c r="F578" i="55" s="1"/>
  <c r="A578" i="55"/>
  <c r="H595" i="55" a="1"/>
  <c r="H595" i="55" s="1"/>
  <c r="F595" i="55" a="1"/>
  <c r="F595" i="55" s="1"/>
  <c r="A595" i="55"/>
  <c r="H542" i="55" a="1"/>
  <c r="H542" i="55" s="1"/>
  <c r="F542" i="55" a="1"/>
  <c r="F542" i="55" s="1"/>
  <c r="A542" i="55"/>
  <c r="H443" i="55" a="1"/>
  <c r="H443" i="55" s="1"/>
  <c r="F443" i="55" a="1"/>
  <c r="F443" i="55" s="1"/>
  <c r="A443" i="55"/>
  <c r="A421" i="55"/>
  <c r="A180" i="55"/>
  <c r="A641" i="55"/>
  <c r="A266" i="55"/>
  <c r="A428" i="55"/>
  <c r="A205" i="55"/>
  <c r="A556" i="55"/>
  <c r="A552" i="55"/>
  <c r="A603" i="55"/>
  <c r="A574" i="55"/>
  <c r="A390" i="55"/>
  <c r="A557" i="55"/>
  <c r="A604" i="55"/>
  <c r="A400" i="55"/>
  <c r="A397" i="55"/>
  <c r="A572" i="55"/>
  <c r="A361" i="55"/>
  <c r="A430" i="55"/>
  <c r="A236" i="55"/>
  <c r="A532" i="55"/>
  <c r="A417" i="55"/>
  <c r="A413" i="55"/>
  <c r="A433" i="55"/>
  <c r="A395" i="55"/>
  <c r="A504" i="55"/>
  <c r="A362" i="55"/>
  <c r="A13" i="55"/>
  <c r="A15" i="55"/>
  <c r="E687" i="55"/>
  <c r="D687" i="55"/>
  <c r="F641" i="55" a="1"/>
  <c r="F641" i="55" s="1"/>
  <c r="H641" i="55" a="1"/>
  <c r="H641" i="55" s="1"/>
  <c r="F266" i="55" a="1"/>
  <c r="F266" i="55" s="1"/>
  <c r="H266" i="55" a="1"/>
  <c r="H266" i="55" s="1"/>
  <c r="F428" i="55" a="1"/>
  <c r="F428" i="55" s="1"/>
  <c r="H428" i="55" a="1"/>
  <c r="H428" i="55" s="1"/>
  <c r="F205" i="55" a="1"/>
  <c r="F205" i="55" s="1"/>
  <c r="H205" i="55" a="1"/>
  <c r="H205" i="55" s="1"/>
  <c r="F556" i="55" a="1"/>
  <c r="F556" i="55" s="1"/>
  <c r="H556" i="55" a="1"/>
  <c r="H556" i="55" s="1"/>
  <c r="F552" i="55" a="1"/>
  <c r="F552" i="55" s="1"/>
  <c r="H552" i="55" a="1"/>
  <c r="H552" i="55" s="1"/>
  <c r="F603" i="55" a="1"/>
  <c r="F603" i="55" s="1"/>
  <c r="H603" i="55" a="1"/>
  <c r="H603" i="55" s="1"/>
  <c r="F574" i="55" a="1"/>
  <c r="F574" i="55" s="1"/>
  <c r="H574" i="55" a="1"/>
  <c r="H574" i="55" s="1"/>
  <c r="F390" i="55" a="1"/>
  <c r="F390" i="55" s="1"/>
  <c r="H390" i="55" a="1"/>
  <c r="H390" i="55" s="1"/>
  <c r="F557" i="55" a="1"/>
  <c r="F557" i="55" s="1"/>
  <c r="H557" i="55" a="1"/>
  <c r="H557" i="55" s="1"/>
  <c r="F604" i="55" a="1"/>
  <c r="F604" i="55" s="1"/>
  <c r="H604" i="55" a="1"/>
  <c r="H604" i="55" s="1"/>
  <c r="F400" i="55" a="1"/>
  <c r="F400" i="55" s="1"/>
  <c r="H400" i="55" a="1"/>
  <c r="H400" i="55" s="1"/>
  <c r="F397" i="55" a="1"/>
  <c r="F397" i="55" s="1"/>
  <c r="H397" i="55" a="1"/>
  <c r="H397" i="55" s="1"/>
  <c r="F572" i="55" a="1"/>
  <c r="F572" i="55" s="1"/>
  <c r="H572" i="55" a="1"/>
  <c r="H572" i="55" s="1"/>
  <c r="F361" i="55" a="1"/>
  <c r="F361" i="55" s="1"/>
  <c r="H361" i="55" a="1"/>
  <c r="H361" i="55" s="1"/>
  <c r="F430" i="55" a="1"/>
  <c r="F430" i="55" s="1"/>
  <c r="H430" i="55" a="1"/>
  <c r="H430" i="55" s="1"/>
  <c r="F236" i="55" a="1"/>
  <c r="F236" i="55" s="1"/>
  <c r="H236" i="55" a="1"/>
  <c r="H236" i="55" s="1"/>
  <c r="F532" i="55" a="1"/>
  <c r="F532" i="55" s="1"/>
  <c r="H532" i="55" a="1"/>
  <c r="H532" i="55" s="1"/>
  <c r="F417" i="55" a="1"/>
  <c r="F417" i="55" s="1"/>
  <c r="H417" i="55" a="1"/>
  <c r="H417" i="55" s="1"/>
  <c r="F413" i="55" a="1"/>
  <c r="F413" i="55" s="1"/>
  <c r="H413" i="55" a="1"/>
  <c r="H413" i="55" s="1"/>
  <c r="F433" i="55" a="1"/>
  <c r="F433" i="55" s="1"/>
  <c r="H433" i="55" a="1"/>
  <c r="H433" i="55" s="1"/>
  <c r="F395" i="55" a="1"/>
  <c r="F395" i="55" s="1"/>
  <c r="H395" i="55" a="1"/>
  <c r="H395" i="55" s="1"/>
  <c r="F504" i="55" a="1"/>
  <c r="F504" i="55" s="1"/>
  <c r="H504" i="55" a="1"/>
  <c r="H504" i="55" s="1"/>
  <c r="F362" i="55" a="1"/>
  <c r="F362" i="55" s="1"/>
  <c r="H362" i="55" a="1"/>
  <c r="H362" i="55" s="1"/>
  <c r="F13" i="55" a="1"/>
  <c r="F13" i="55" s="1"/>
  <c r="H13" i="55" a="1"/>
  <c r="H13" i="55" s="1"/>
  <c r="F15" i="55" a="1"/>
  <c r="F15" i="55" s="1"/>
  <c r="H15" i="55" a="1"/>
  <c r="H15" i="55" s="1"/>
  <c r="K2177" i="34"/>
  <c r="K2178" i="34"/>
  <c r="K2179" i="34"/>
  <c r="K2180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146" i="34"/>
  <c r="K2147" i="34"/>
  <c r="K2106" i="34"/>
  <c r="K2107" i="34"/>
  <c r="K2114" i="34"/>
  <c r="K2115" i="34"/>
  <c r="K2128" i="34"/>
  <c r="K2129" i="34"/>
  <c r="K2208" i="34"/>
  <c r="K2050" i="34"/>
  <c r="K2189" i="34"/>
  <c r="K2190" i="34"/>
  <c r="K2102" i="34"/>
  <c r="K2103" i="34"/>
  <c r="K2104" i="34"/>
  <c r="K2279" i="34"/>
  <c r="K2243" i="34"/>
  <c r="K2244" i="34"/>
  <c r="K2229" i="34"/>
  <c r="K2230" i="34"/>
  <c r="K2231" i="34"/>
  <c r="K2232" i="34"/>
  <c r="K2233" i="34"/>
  <c r="K2234" i="34"/>
  <c r="K2235" i="34"/>
  <c r="K1991" i="34"/>
  <c r="K1992" i="34"/>
  <c r="K1993" i="34"/>
  <c r="K1994" i="34"/>
  <c r="K1995" i="34"/>
  <c r="K1996" i="34"/>
  <c r="K1997" i="34"/>
  <c r="K2119" i="34"/>
  <c r="K2120" i="34"/>
  <c r="K2121" i="34"/>
  <c r="K2122" i="34"/>
  <c r="K2123" i="34"/>
  <c r="K2124" i="34"/>
  <c r="K2125" i="34"/>
  <c r="K2126" i="34"/>
  <c r="K2052" i="34"/>
  <c r="K2054" i="34"/>
  <c r="K2095" i="34"/>
  <c r="K2096" i="34"/>
  <c r="K2097" i="34"/>
  <c r="K2098" i="34"/>
  <c r="K2099" i="34"/>
  <c r="K2117" i="34"/>
  <c r="K2149" i="34"/>
  <c r="K2182" i="34"/>
  <c r="K2183" i="34"/>
  <c r="K2184" i="34"/>
  <c r="K2185" i="34"/>
  <c r="K2195" i="34"/>
  <c r="K2196" i="34"/>
  <c r="K2197" i="34"/>
  <c r="K2198" i="34"/>
  <c r="K2199" i="34"/>
  <c r="K2200" i="34"/>
  <c r="K2203" i="34"/>
  <c r="K2204" i="34"/>
  <c r="K2205" i="34"/>
  <c r="K2206" i="34"/>
  <c r="K2237" i="34"/>
  <c r="K2238" i="34"/>
  <c r="K2239" i="34"/>
  <c r="K2241" i="34"/>
  <c r="K2281" i="34"/>
  <c r="K2282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146" i="34"/>
  <c r="C2147" i="34"/>
  <c r="C2148" i="34"/>
  <c r="C2106" i="34"/>
  <c r="C2107" i="34"/>
  <c r="C2108" i="34"/>
  <c r="C2114" i="34"/>
  <c r="C2115" i="34"/>
  <c r="C2116" i="34"/>
  <c r="C2128" i="34"/>
  <c r="C2129" i="34"/>
  <c r="C2130" i="34"/>
  <c r="C2208" i="34"/>
  <c r="C2209" i="34"/>
  <c r="C2050" i="34"/>
  <c r="C2051" i="34"/>
  <c r="C2189" i="34"/>
  <c r="C2190" i="34"/>
  <c r="C2191" i="34"/>
  <c r="C2102" i="34"/>
  <c r="C2103" i="34"/>
  <c r="C2104" i="34"/>
  <c r="C2105" i="34"/>
  <c r="C2279" i="34"/>
  <c r="C2280" i="34"/>
  <c r="C2243" i="34"/>
  <c r="C2244" i="34"/>
  <c r="C2245" i="34"/>
  <c r="C2229" i="34"/>
  <c r="C2230" i="34"/>
  <c r="C2231" i="34"/>
  <c r="C2232" i="34"/>
  <c r="C2233" i="34"/>
  <c r="C2234" i="34"/>
  <c r="C2235" i="34"/>
  <c r="C2236" i="34"/>
  <c r="C1991" i="34"/>
  <c r="C1992" i="34"/>
  <c r="C1993" i="34"/>
  <c r="C1994" i="34"/>
  <c r="C1995" i="34"/>
  <c r="C1996" i="34"/>
  <c r="C1997" i="34"/>
  <c r="C1998" i="34"/>
  <c r="C2119" i="34"/>
  <c r="C2120" i="34"/>
  <c r="C2121" i="34"/>
  <c r="C2122" i="34"/>
  <c r="C2123" i="34"/>
  <c r="C2124" i="34"/>
  <c r="C2125" i="34"/>
  <c r="C2126" i="34"/>
  <c r="C2127" i="34"/>
  <c r="C2041" i="34"/>
  <c r="C2042" i="34"/>
  <c r="C2043" i="34"/>
  <c r="C2044" i="34"/>
  <c r="C2045" i="34"/>
  <c r="C2048" i="34"/>
  <c r="C2049" i="34"/>
  <c r="C2052" i="34"/>
  <c r="C2053" i="34"/>
  <c r="C2054" i="34"/>
  <c r="C2055" i="34"/>
  <c r="C2095" i="34"/>
  <c r="C2096" i="34"/>
  <c r="C2097" i="34"/>
  <c r="C2098" i="34"/>
  <c r="C2099" i="34"/>
  <c r="C2100" i="34"/>
  <c r="C2101" i="34"/>
  <c r="C2112" i="34"/>
  <c r="C2113" i="34"/>
  <c r="C2117" i="34"/>
  <c r="C2118" i="34"/>
  <c r="C2149" i="34"/>
  <c r="C2150" i="34"/>
  <c r="C2182" i="34"/>
  <c r="C2183" i="34"/>
  <c r="C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J497" i="55" l="1"/>
  <c r="J340" i="55"/>
  <c r="J244" i="55"/>
  <c r="J640" i="55"/>
  <c r="J494" i="55"/>
  <c r="J206" i="55"/>
  <c r="J127" i="55"/>
  <c r="J491" i="55"/>
  <c r="J660" i="55"/>
  <c r="J294" i="55"/>
  <c r="J207" i="55"/>
  <c r="J242" i="55"/>
  <c r="J653" i="55"/>
  <c r="J577" i="55"/>
  <c r="J609" i="55"/>
  <c r="J256" i="55"/>
  <c r="J376" i="55"/>
  <c r="J459" i="55"/>
  <c r="J41" i="55"/>
  <c r="J154" i="55"/>
  <c r="J141" i="55"/>
  <c r="J129" i="55"/>
  <c r="J144" i="55"/>
  <c r="J133" i="55"/>
  <c r="J617" i="55"/>
  <c r="J638" i="55"/>
  <c r="J150" i="55"/>
  <c r="J222" i="55"/>
  <c r="J530" i="55"/>
  <c r="J490" i="55"/>
  <c r="J368" i="55"/>
  <c r="J592" i="55"/>
  <c r="J576" i="55"/>
  <c r="J483" i="55"/>
  <c r="J652" i="55"/>
  <c r="J599" i="55"/>
  <c r="J555" i="55"/>
  <c r="J191" i="55"/>
  <c r="J582" i="55"/>
  <c r="J477" i="55"/>
  <c r="J408" i="55"/>
  <c r="J580" i="55"/>
  <c r="J482" i="55"/>
  <c r="J487" i="55"/>
  <c r="J193" i="55"/>
  <c r="J595" i="55"/>
  <c r="J345" i="55"/>
  <c r="J403" i="55"/>
  <c r="J392" i="55"/>
  <c r="J409" i="55"/>
  <c r="J646" i="55"/>
  <c r="J443" i="55"/>
  <c r="J578" i="55"/>
  <c r="J542" i="55"/>
  <c r="J15" i="55"/>
  <c r="J13" i="55"/>
  <c r="J504" i="55"/>
  <c r="J395" i="55"/>
  <c r="J413" i="55"/>
  <c r="J532" i="55"/>
  <c r="J362" i="55"/>
  <c r="J433" i="55"/>
  <c r="J417" i="55"/>
  <c r="J236" i="55"/>
  <c r="J430" i="55"/>
  <c r="J361" i="55"/>
  <c r="J572" i="55"/>
  <c r="J397" i="55"/>
  <c r="J400" i="55"/>
  <c r="J604" i="55"/>
  <c r="J557" i="55"/>
  <c r="J390" i="55"/>
  <c r="J574" i="55"/>
  <c r="J603" i="55"/>
  <c r="J552" i="55"/>
  <c r="J556" i="55"/>
  <c r="J205" i="55"/>
  <c r="J428" i="55"/>
  <c r="J266" i="55"/>
  <c r="J641" i="55"/>
  <c r="K1949" i="34" l="1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K1955" i="34"/>
  <c r="C1955" i="34"/>
  <c r="B1955" i="34" s="1"/>
  <c r="K1954" i="34"/>
  <c r="C1954" i="34"/>
  <c r="B1954" i="34" s="1"/>
  <c r="K1953" i="34"/>
  <c r="C1953" i="34"/>
  <c r="B1953" i="34" s="1"/>
  <c r="K1952" i="34"/>
  <c r="C1952" i="34"/>
  <c r="B1952" i="34" s="1"/>
  <c r="K1951" i="34"/>
  <c r="C1951" i="34"/>
  <c r="B1951" i="34" s="1"/>
  <c r="K1950" i="34"/>
  <c r="C1950" i="34"/>
  <c r="B1950" i="34" s="1"/>
  <c r="C1949" i="34"/>
  <c r="B1949" i="34" s="1"/>
  <c r="K1948" i="34"/>
  <c r="C1948" i="34"/>
  <c r="B1948" i="34" s="1"/>
  <c r="M37" i="60"/>
  <c r="K1812" i="34"/>
  <c r="C1812" i="34"/>
  <c r="B1812" i="34" s="1"/>
  <c r="K1811" i="34"/>
  <c r="C1811" i="34"/>
  <c r="B1811" i="34" s="1"/>
  <c r="K1810" i="34"/>
  <c r="C1810" i="34"/>
  <c r="B1810" i="34" s="1"/>
  <c r="K1809" i="34"/>
  <c r="C1809" i="34"/>
  <c r="B1809" i="34" s="1"/>
  <c r="K1808" i="34"/>
  <c r="C1808" i="34"/>
  <c r="B1808" i="34" s="1"/>
  <c r="K1807" i="34"/>
  <c r="C1807" i="34"/>
  <c r="B1807" i="34" s="1"/>
  <c r="K1806" i="34"/>
  <c r="C1806" i="34"/>
  <c r="B1806" i="34" s="1"/>
  <c r="K1805" i="34"/>
  <c r="C1805" i="34"/>
  <c r="B1805" i="34" s="1"/>
  <c r="K1804" i="34"/>
  <c r="C1804" i="34"/>
  <c r="B1804" i="34" s="1"/>
  <c r="K1803" i="34"/>
  <c r="C1803" i="34"/>
  <c r="B1803" i="34" s="1"/>
  <c r="K1802" i="34"/>
  <c r="C1802" i="34"/>
  <c r="B1802" i="34" s="1"/>
  <c r="K1801" i="34"/>
  <c r="C1801" i="34"/>
  <c r="B1801" i="34" s="1"/>
  <c r="K1787" i="34"/>
  <c r="C1787" i="34"/>
  <c r="B1787" i="34" s="1"/>
  <c r="M30" i="60"/>
  <c r="M20" i="60"/>
  <c r="K1774" i="34"/>
  <c r="C1774" i="34"/>
  <c r="B1774" i="34" s="1"/>
  <c r="M15" i="60"/>
  <c r="K1727" i="34"/>
  <c r="C1727" i="34"/>
  <c r="B1727" i="34" s="1"/>
  <c r="K1726" i="34"/>
  <c r="C1726" i="34"/>
  <c r="B1726" i="34" s="1"/>
  <c r="K1725" i="34"/>
  <c r="C1725" i="34"/>
  <c r="B1725" i="34" s="1"/>
  <c r="K1724" i="34"/>
  <c r="C1724" i="34"/>
  <c r="B1724" i="34" s="1"/>
  <c r="K1723" i="34"/>
  <c r="C1723" i="34"/>
  <c r="B1723" i="34" s="1"/>
  <c r="K1722" i="34"/>
  <c r="C1722" i="34"/>
  <c r="B1722" i="34" s="1"/>
  <c r="K1721" i="34"/>
  <c r="C1721" i="34"/>
  <c r="B1721" i="34" s="1"/>
  <c r="K1720" i="34"/>
  <c r="C1720" i="34"/>
  <c r="B1720" i="34" s="1"/>
  <c r="K1719" i="34"/>
  <c r="C1719" i="34"/>
  <c r="B1719" i="34" s="1"/>
  <c r="K1974" i="34"/>
  <c r="C1974" i="34"/>
  <c r="B1974" i="34" s="1"/>
  <c r="K1973" i="34"/>
  <c r="C1973" i="34"/>
  <c r="B1973" i="34" s="1"/>
  <c r="K1972" i="34"/>
  <c r="C1972" i="34"/>
  <c r="B1972" i="34" s="1"/>
  <c r="K1971" i="34"/>
  <c r="C1971" i="34"/>
  <c r="B1971" i="34" s="1"/>
  <c r="K1970" i="34"/>
  <c r="C1970" i="34"/>
  <c r="B1970" i="34" s="1"/>
  <c r="K1969" i="34"/>
  <c r="C1969" i="34"/>
  <c r="B1969" i="34" s="1"/>
  <c r="K1968" i="34"/>
  <c r="C1968" i="34"/>
  <c r="B1968" i="34" s="1"/>
  <c r="K1967" i="34"/>
  <c r="C1967" i="34"/>
  <c r="B1967" i="34" s="1"/>
  <c r="K1966" i="34"/>
  <c r="C1966" i="34"/>
  <c r="B1966" i="34" s="1"/>
  <c r="K1965" i="34"/>
  <c r="C1965" i="34"/>
  <c r="B1965" i="34" s="1"/>
  <c r="K1964" i="34"/>
  <c r="C1964" i="34"/>
  <c r="B1964" i="34" s="1"/>
  <c r="K1963" i="34"/>
  <c r="C1963" i="34"/>
  <c r="B1963" i="34" s="1"/>
  <c r="K1962" i="34"/>
  <c r="C1962" i="34"/>
  <c r="B1962" i="34" s="1"/>
  <c r="K1961" i="34"/>
  <c r="C1961" i="34"/>
  <c r="B1961" i="34" s="1"/>
  <c r="K1960" i="34"/>
  <c r="C1960" i="34"/>
  <c r="B1960" i="34" s="1"/>
  <c r="K1959" i="34"/>
  <c r="C1959" i="34"/>
  <c r="B1959" i="34" s="1"/>
  <c r="K1800" i="34"/>
  <c r="C1800" i="34"/>
  <c r="B1800" i="34" s="1"/>
  <c r="K1799" i="34"/>
  <c r="C1799" i="34"/>
  <c r="B1799" i="34" s="1"/>
  <c r="K1798" i="34"/>
  <c r="C1798" i="34"/>
  <c r="B1798" i="34" s="1"/>
  <c r="K1797" i="34"/>
  <c r="C1797" i="34"/>
  <c r="B1797" i="34" s="1"/>
  <c r="K1796" i="34"/>
  <c r="C1796" i="34"/>
  <c r="B1796" i="34" s="1"/>
  <c r="K1795" i="34"/>
  <c r="C1795" i="34"/>
  <c r="B1795" i="34" s="1"/>
  <c r="K1794" i="34"/>
  <c r="C1794" i="34"/>
  <c r="B1794" i="34" s="1"/>
  <c r="K1793" i="34"/>
  <c r="C1793" i="34"/>
  <c r="B1793" i="34" s="1"/>
  <c r="K1792" i="34"/>
  <c r="C1792" i="34"/>
  <c r="B1792" i="34" s="1"/>
  <c r="K1791" i="34"/>
  <c r="C1791" i="34"/>
  <c r="B1791" i="34" s="1"/>
  <c r="K1790" i="34"/>
  <c r="C1790" i="34"/>
  <c r="B1790" i="34" s="1"/>
  <c r="K1789" i="34"/>
  <c r="C1789" i="34"/>
  <c r="B1789" i="34" s="1"/>
  <c r="K1717" i="34"/>
  <c r="C1717" i="34"/>
  <c r="B1717" i="34" s="1"/>
  <c r="K1716" i="34"/>
  <c r="C1716" i="34"/>
  <c r="B1716" i="34" s="1"/>
  <c r="K1715" i="34"/>
  <c r="C1715" i="34"/>
  <c r="B1715" i="34" s="1"/>
  <c r="K1714" i="34"/>
  <c r="C1714" i="34"/>
  <c r="B1714" i="34" s="1"/>
  <c r="K1713" i="34"/>
  <c r="C1713" i="34"/>
  <c r="B1713" i="34" s="1"/>
  <c r="K1712" i="34"/>
  <c r="C1712" i="34"/>
  <c r="B1712" i="34" s="1"/>
  <c r="K1711" i="34"/>
  <c r="C1711" i="34"/>
  <c r="B1711" i="34" s="1"/>
  <c r="K1710" i="34"/>
  <c r="C1710" i="34"/>
  <c r="B1710" i="34" s="1"/>
  <c r="K1718" i="34"/>
  <c r="C1718" i="34"/>
  <c r="B1718" i="34" s="1"/>
  <c r="K1958" i="34"/>
  <c r="C1958" i="34"/>
  <c r="B1958" i="34" s="1"/>
  <c r="K1957" i="34"/>
  <c r="C1957" i="34"/>
  <c r="B1957" i="34" s="1"/>
  <c r="K1956" i="34"/>
  <c r="C1956" i="34"/>
  <c r="B1956" i="34" s="1"/>
  <c r="K1788" i="34"/>
  <c r="C1788" i="34"/>
  <c r="B1788" i="34" s="1"/>
  <c r="K1786" i="34"/>
  <c r="C1786" i="34"/>
  <c r="B1786" i="34" s="1"/>
  <c r="K1785" i="34"/>
  <c r="C1785" i="34"/>
  <c r="B1785" i="34" s="1"/>
  <c r="K1784" i="34"/>
  <c r="C1784" i="34"/>
  <c r="B1784" i="34" s="1"/>
  <c r="K1783" i="34"/>
  <c r="C1783" i="34"/>
  <c r="B1783" i="34" s="1"/>
  <c r="K1782" i="34"/>
  <c r="C1782" i="34"/>
  <c r="B1782" i="34" s="1"/>
  <c r="K1781" i="34"/>
  <c r="C1781" i="34"/>
  <c r="B1781" i="34" s="1"/>
  <c r="K1705" i="34"/>
  <c r="C1705" i="34"/>
  <c r="B1705" i="34" s="1"/>
  <c r="K1704" i="34"/>
  <c r="C1704" i="34"/>
  <c r="B1704" i="34" s="1"/>
  <c r="K1703" i="34"/>
  <c r="C1703" i="34"/>
  <c r="B1703" i="34" s="1"/>
  <c r="K1702" i="34"/>
  <c r="C1702" i="34"/>
  <c r="B1702" i="34" s="1"/>
  <c r="K1701" i="34"/>
  <c r="C1701" i="34"/>
  <c r="B1701" i="34" s="1"/>
  <c r="K1709" i="34"/>
  <c r="C1709" i="34"/>
  <c r="B1709" i="34" s="1"/>
  <c r="K1708" i="34"/>
  <c r="C1708" i="34"/>
  <c r="B1708" i="34" s="1"/>
  <c r="K1707" i="34"/>
  <c r="C1707" i="34"/>
  <c r="B1707" i="34" s="1"/>
  <c r="K1706" i="34"/>
  <c r="C1706" i="34"/>
  <c r="B1706" i="34" s="1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6" i="60"/>
  <c r="Q1707" i="34" l="1"/>
  <c r="U1707" i="34"/>
  <c r="Z1707" i="34"/>
  <c r="O1707" i="34"/>
  <c r="P1707" i="34"/>
  <c r="A1707" i="34"/>
  <c r="Q1709" i="34"/>
  <c r="U1709" i="34"/>
  <c r="Z1709" i="34"/>
  <c r="O1709" i="34"/>
  <c r="P1709" i="34"/>
  <c r="A1709" i="34"/>
  <c r="Q1702" i="34"/>
  <c r="U1702" i="34"/>
  <c r="Z1702" i="34"/>
  <c r="O1702" i="34"/>
  <c r="P1702" i="34"/>
  <c r="A1702" i="34"/>
  <c r="Q1704" i="34"/>
  <c r="U1704" i="34"/>
  <c r="Z1704" i="34"/>
  <c r="P1704" i="34"/>
  <c r="O1704" i="34"/>
  <c r="A1704" i="34"/>
  <c r="Q1781" i="34"/>
  <c r="U1781" i="34"/>
  <c r="Z1781" i="34"/>
  <c r="O1781" i="34"/>
  <c r="P1781" i="34"/>
  <c r="A1781" i="34"/>
  <c r="Q1783" i="34"/>
  <c r="U1783" i="34"/>
  <c r="Z1783" i="34"/>
  <c r="O1783" i="34"/>
  <c r="P1783" i="34"/>
  <c r="A1783" i="34"/>
  <c r="Q1785" i="34"/>
  <c r="U1785" i="34"/>
  <c r="Z1785" i="34"/>
  <c r="O1785" i="34"/>
  <c r="P1785" i="34"/>
  <c r="A1785" i="34"/>
  <c r="Q1788" i="34"/>
  <c r="U1788" i="34"/>
  <c r="Z1788" i="34"/>
  <c r="P1788" i="34"/>
  <c r="O1788" i="34"/>
  <c r="A1788" i="34"/>
  <c r="Q1957" i="34"/>
  <c r="U1957" i="34"/>
  <c r="Z1957" i="34"/>
  <c r="O1957" i="34"/>
  <c r="P1957" i="34"/>
  <c r="A1957" i="34"/>
  <c r="Q1718" i="34"/>
  <c r="U1718" i="34"/>
  <c r="Z1718" i="34"/>
  <c r="O1718" i="34"/>
  <c r="P1718" i="34"/>
  <c r="A1718" i="34"/>
  <c r="Q1711" i="34"/>
  <c r="U1711" i="34"/>
  <c r="Z1711" i="34"/>
  <c r="O1711" i="34"/>
  <c r="P1711" i="34"/>
  <c r="A1711" i="34"/>
  <c r="Q1713" i="34"/>
  <c r="U1713" i="34"/>
  <c r="Z1713" i="34"/>
  <c r="O1713" i="34"/>
  <c r="P1713" i="34"/>
  <c r="A1713" i="34"/>
  <c r="Q1715" i="34"/>
  <c r="U1715" i="34"/>
  <c r="Z1715" i="34"/>
  <c r="O1715" i="34"/>
  <c r="P1715" i="34"/>
  <c r="A1715" i="34"/>
  <c r="Q1717" i="34"/>
  <c r="U1717" i="34"/>
  <c r="Z1717" i="34"/>
  <c r="O1717" i="34"/>
  <c r="P1717" i="34"/>
  <c r="A1717" i="34"/>
  <c r="Q1790" i="34"/>
  <c r="U1790" i="34"/>
  <c r="Z1790" i="34"/>
  <c r="O1790" i="34"/>
  <c r="P1790" i="34"/>
  <c r="A1790" i="34"/>
  <c r="Q1792" i="34"/>
  <c r="U1792" i="34"/>
  <c r="Z1792" i="34"/>
  <c r="P1792" i="34"/>
  <c r="O1792" i="34"/>
  <c r="A1792" i="34"/>
  <c r="Q1794" i="34"/>
  <c r="U1794" i="34"/>
  <c r="Z1794" i="34"/>
  <c r="O1794" i="34"/>
  <c r="P1794" i="34"/>
  <c r="A1794" i="34"/>
  <c r="Q1796" i="34"/>
  <c r="U1796" i="34"/>
  <c r="Z1796" i="34"/>
  <c r="P1796" i="34"/>
  <c r="O1796" i="34"/>
  <c r="A1796" i="34"/>
  <c r="Q1798" i="34"/>
  <c r="U1798" i="34"/>
  <c r="Z1798" i="34"/>
  <c r="O1798" i="34"/>
  <c r="P1798" i="34"/>
  <c r="A1798" i="34"/>
  <c r="Q1800" i="34"/>
  <c r="U1800" i="34"/>
  <c r="Z1800" i="34"/>
  <c r="P1800" i="34"/>
  <c r="O1800" i="34"/>
  <c r="A1800" i="34"/>
  <c r="Q1960" i="34"/>
  <c r="U1960" i="34"/>
  <c r="Z1960" i="34"/>
  <c r="P1960" i="34"/>
  <c r="O1960" i="34"/>
  <c r="A1960" i="34"/>
  <c r="Q1962" i="34"/>
  <c r="U1962" i="34"/>
  <c r="Z1962" i="34"/>
  <c r="O1962" i="34"/>
  <c r="P1962" i="34"/>
  <c r="A1962" i="34"/>
  <c r="Q1964" i="34"/>
  <c r="U1964" i="34"/>
  <c r="Z1964" i="34"/>
  <c r="P1964" i="34"/>
  <c r="O1964" i="34"/>
  <c r="A1964" i="34"/>
  <c r="Q1966" i="34"/>
  <c r="U1966" i="34"/>
  <c r="Z1966" i="34"/>
  <c r="O1966" i="34"/>
  <c r="P1966" i="34"/>
  <c r="A1966" i="34"/>
  <c r="Q1968" i="34"/>
  <c r="U1968" i="34"/>
  <c r="Z1968" i="34"/>
  <c r="P1968" i="34"/>
  <c r="O1968" i="34"/>
  <c r="A1968" i="34"/>
  <c r="Q1970" i="34"/>
  <c r="U1970" i="34"/>
  <c r="Z1970" i="34"/>
  <c r="O1970" i="34"/>
  <c r="P1970" i="34"/>
  <c r="A1970" i="34"/>
  <c r="Q1972" i="34"/>
  <c r="U1972" i="34"/>
  <c r="Z1972" i="34"/>
  <c r="P1972" i="34"/>
  <c r="O1972" i="34"/>
  <c r="A1972" i="34"/>
  <c r="Q1974" i="34"/>
  <c r="U1974" i="34"/>
  <c r="Z1974" i="34"/>
  <c r="O1974" i="34"/>
  <c r="P1974" i="34"/>
  <c r="A1974" i="34"/>
  <c r="Q1720" i="34"/>
  <c r="U1720" i="34"/>
  <c r="Z1720" i="34"/>
  <c r="P1720" i="34"/>
  <c r="O1720" i="34"/>
  <c r="A1720" i="34"/>
  <c r="Q1722" i="34"/>
  <c r="U1722" i="34"/>
  <c r="Z1722" i="34"/>
  <c r="O1722" i="34"/>
  <c r="P1722" i="34"/>
  <c r="A1722" i="34"/>
  <c r="Q1724" i="34"/>
  <c r="U1724" i="34"/>
  <c r="Z1724" i="34"/>
  <c r="P1724" i="34"/>
  <c r="O1724" i="34"/>
  <c r="A1724" i="34"/>
  <c r="Q1726" i="34"/>
  <c r="U1726" i="34"/>
  <c r="Z1726" i="34"/>
  <c r="O1726" i="34"/>
  <c r="P1726" i="34"/>
  <c r="A1726" i="34"/>
  <c r="Q1948" i="34"/>
  <c r="U1948" i="34"/>
  <c r="Z1948" i="34"/>
  <c r="P1948" i="34"/>
  <c r="O1948" i="34"/>
  <c r="A1948" i="34"/>
  <c r="Q1774" i="34"/>
  <c r="U1774" i="34"/>
  <c r="Z1774" i="34"/>
  <c r="O1774" i="34"/>
  <c r="P1774" i="34"/>
  <c r="A1774" i="34"/>
  <c r="Q1787" i="34"/>
  <c r="U1787" i="34"/>
  <c r="Z1787" i="34"/>
  <c r="O1787" i="34"/>
  <c r="P1787" i="34"/>
  <c r="A1787" i="34"/>
  <c r="Q1802" i="34"/>
  <c r="U1802" i="34"/>
  <c r="Z1802" i="34"/>
  <c r="O1802" i="34"/>
  <c r="P1802" i="34"/>
  <c r="A1802" i="34"/>
  <c r="Q1804" i="34"/>
  <c r="U1804" i="34"/>
  <c r="Z1804" i="34"/>
  <c r="P1804" i="34"/>
  <c r="O1804" i="34"/>
  <c r="A1804" i="34"/>
  <c r="Q1806" i="34"/>
  <c r="U1806" i="34"/>
  <c r="Z1806" i="34"/>
  <c r="O1806" i="34"/>
  <c r="P1806" i="34"/>
  <c r="A1806" i="34"/>
  <c r="Q1808" i="34"/>
  <c r="U1808" i="34"/>
  <c r="Z1808" i="34"/>
  <c r="P1808" i="34"/>
  <c r="O1808" i="34"/>
  <c r="A1808" i="34"/>
  <c r="Q1810" i="34"/>
  <c r="U1810" i="34"/>
  <c r="Z1810" i="34"/>
  <c r="O1810" i="34"/>
  <c r="P1810" i="34"/>
  <c r="A1810" i="34"/>
  <c r="Q1812" i="34"/>
  <c r="U1812" i="34"/>
  <c r="Z1812" i="34"/>
  <c r="P1812" i="34"/>
  <c r="O1812" i="34"/>
  <c r="A1812" i="34"/>
  <c r="Q1951" i="34"/>
  <c r="U1951" i="34"/>
  <c r="Z1951" i="34"/>
  <c r="O1951" i="34"/>
  <c r="P1951" i="34"/>
  <c r="A1951" i="34"/>
  <c r="Q1953" i="34"/>
  <c r="U1953" i="34"/>
  <c r="Z1953" i="34"/>
  <c r="O1953" i="34"/>
  <c r="P1953" i="34"/>
  <c r="A1953" i="34"/>
  <c r="Q1955" i="34"/>
  <c r="U1955" i="34"/>
  <c r="Z1955" i="34"/>
  <c r="O1955" i="34"/>
  <c r="P1955" i="34"/>
  <c r="A1955" i="34"/>
  <c r="Q1706" i="34"/>
  <c r="U1706" i="34"/>
  <c r="Z1706" i="34"/>
  <c r="O1706" i="34"/>
  <c r="P1706" i="34"/>
  <c r="A1706" i="34"/>
  <c r="Q1708" i="34"/>
  <c r="U1708" i="34"/>
  <c r="Z1708" i="34"/>
  <c r="P1708" i="34"/>
  <c r="O1708" i="34"/>
  <c r="A1708" i="34"/>
  <c r="Q1701" i="34"/>
  <c r="U1701" i="34"/>
  <c r="Z1701" i="34"/>
  <c r="O1701" i="34"/>
  <c r="P1701" i="34"/>
  <c r="A1701" i="34"/>
  <c r="Q1703" i="34"/>
  <c r="U1703" i="34"/>
  <c r="Z1703" i="34"/>
  <c r="O1703" i="34"/>
  <c r="P1703" i="34"/>
  <c r="A1703" i="34"/>
  <c r="Q1705" i="34"/>
  <c r="U1705" i="34"/>
  <c r="Z1705" i="34"/>
  <c r="O1705" i="34"/>
  <c r="P1705" i="34"/>
  <c r="A1705" i="34"/>
  <c r="Q1782" i="34"/>
  <c r="U1782" i="34"/>
  <c r="Z1782" i="34"/>
  <c r="O1782" i="34"/>
  <c r="P1782" i="34"/>
  <c r="A1782" i="34"/>
  <c r="Q1784" i="34"/>
  <c r="U1784" i="34"/>
  <c r="Z1784" i="34"/>
  <c r="P1784" i="34"/>
  <c r="O1784" i="34"/>
  <c r="A1784" i="34"/>
  <c r="Q1786" i="34"/>
  <c r="U1786" i="34"/>
  <c r="Z1786" i="34"/>
  <c r="O1786" i="34"/>
  <c r="P1786" i="34"/>
  <c r="A1786" i="34"/>
  <c r="Q1956" i="34"/>
  <c r="U1956" i="34"/>
  <c r="Z1956" i="34"/>
  <c r="P1956" i="34"/>
  <c r="O1956" i="34"/>
  <c r="A1956" i="34"/>
  <c r="Q1958" i="34"/>
  <c r="U1958" i="34"/>
  <c r="Z1958" i="34"/>
  <c r="O1958" i="34"/>
  <c r="P1958" i="34"/>
  <c r="A1958" i="34"/>
  <c r="Q1710" i="34"/>
  <c r="U1710" i="34"/>
  <c r="Z1710" i="34"/>
  <c r="O1710" i="34"/>
  <c r="P1710" i="34"/>
  <c r="A1710" i="34"/>
  <c r="Q1712" i="34"/>
  <c r="U1712" i="34"/>
  <c r="Z1712" i="34"/>
  <c r="P1712" i="34"/>
  <c r="O1712" i="34"/>
  <c r="A1712" i="34"/>
  <c r="Q1714" i="34"/>
  <c r="U1714" i="34"/>
  <c r="Z1714" i="34"/>
  <c r="O1714" i="34"/>
  <c r="P1714" i="34"/>
  <c r="A1714" i="34"/>
  <c r="Q1716" i="34"/>
  <c r="U1716" i="34"/>
  <c r="Z1716" i="34"/>
  <c r="P1716" i="34"/>
  <c r="O1716" i="34"/>
  <c r="A1716" i="34"/>
  <c r="Q1789" i="34"/>
  <c r="U1789" i="34"/>
  <c r="Z1789" i="34"/>
  <c r="O1789" i="34"/>
  <c r="P1789" i="34"/>
  <c r="A1789" i="34"/>
  <c r="Q1791" i="34"/>
  <c r="U1791" i="34"/>
  <c r="Z1791" i="34"/>
  <c r="O1791" i="34"/>
  <c r="P1791" i="34"/>
  <c r="A1791" i="34"/>
  <c r="Q1793" i="34"/>
  <c r="U1793" i="34"/>
  <c r="Z1793" i="34"/>
  <c r="O1793" i="34"/>
  <c r="P1793" i="34"/>
  <c r="A1793" i="34"/>
  <c r="Q1795" i="34"/>
  <c r="U1795" i="34"/>
  <c r="Z1795" i="34"/>
  <c r="O1795" i="34"/>
  <c r="P1795" i="34"/>
  <c r="A1795" i="34"/>
  <c r="Q1797" i="34"/>
  <c r="U1797" i="34"/>
  <c r="Z1797" i="34"/>
  <c r="O1797" i="34"/>
  <c r="P1797" i="34"/>
  <c r="A1797" i="34"/>
  <c r="Q1799" i="34"/>
  <c r="U1799" i="34"/>
  <c r="Z1799" i="34"/>
  <c r="O1799" i="34"/>
  <c r="P1799" i="34"/>
  <c r="A1799" i="34"/>
  <c r="Q1959" i="34"/>
  <c r="U1959" i="34"/>
  <c r="Z1959" i="34"/>
  <c r="O1959" i="34"/>
  <c r="P1959" i="34"/>
  <c r="A1959" i="34"/>
  <c r="Q1961" i="34"/>
  <c r="U1961" i="34"/>
  <c r="Z1961" i="34"/>
  <c r="O1961" i="34"/>
  <c r="P1961" i="34"/>
  <c r="A1961" i="34"/>
  <c r="Q1963" i="34"/>
  <c r="U1963" i="34"/>
  <c r="Z1963" i="34"/>
  <c r="O1963" i="34"/>
  <c r="P1963" i="34"/>
  <c r="A1963" i="34"/>
  <c r="Q1965" i="34"/>
  <c r="U1965" i="34"/>
  <c r="Z1965" i="34"/>
  <c r="O1965" i="34"/>
  <c r="P1965" i="34"/>
  <c r="A1965" i="34"/>
  <c r="Q1967" i="34"/>
  <c r="U1967" i="34"/>
  <c r="Z1967" i="34"/>
  <c r="O1967" i="34"/>
  <c r="P1967" i="34"/>
  <c r="A1967" i="34"/>
  <c r="Q1969" i="34"/>
  <c r="U1969" i="34"/>
  <c r="Z1969" i="34"/>
  <c r="O1969" i="34"/>
  <c r="P1969" i="34"/>
  <c r="A1969" i="34"/>
  <c r="Q1971" i="34"/>
  <c r="U1971" i="34"/>
  <c r="Z1971" i="34"/>
  <c r="O1971" i="34"/>
  <c r="P1971" i="34"/>
  <c r="A1971" i="34"/>
  <c r="Q1973" i="34"/>
  <c r="U1973" i="34"/>
  <c r="Z1973" i="34"/>
  <c r="O1973" i="34"/>
  <c r="P1973" i="34"/>
  <c r="A1973" i="34"/>
  <c r="Q1719" i="34"/>
  <c r="U1719" i="34"/>
  <c r="Z1719" i="34"/>
  <c r="O1719" i="34"/>
  <c r="P1719" i="34"/>
  <c r="A1719" i="34"/>
  <c r="Q1721" i="34"/>
  <c r="U1721" i="34"/>
  <c r="Z1721" i="34"/>
  <c r="O1721" i="34"/>
  <c r="P1721" i="34"/>
  <c r="A1721" i="34"/>
  <c r="Q1723" i="34"/>
  <c r="U1723" i="34"/>
  <c r="Z1723" i="34"/>
  <c r="O1723" i="34"/>
  <c r="P1723" i="34"/>
  <c r="A1723" i="34"/>
  <c r="Q1725" i="34"/>
  <c r="U1725" i="34"/>
  <c r="Z1725" i="34"/>
  <c r="O1725" i="34"/>
  <c r="P1725" i="34"/>
  <c r="A1725" i="34"/>
  <c r="Q1727" i="34"/>
  <c r="U1727" i="34"/>
  <c r="Z1727" i="34"/>
  <c r="O1727" i="34"/>
  <c r="P1727" i="34"/>
  <c r="A1727" i="34"/>
  <c r="Q1949" i="34"/>
  <c r="U1949" i="34"/>
  <c r="Z1949" i="34"/>
  <c r="O1949" i="34"/>
  <c r="P1949" i="34"/>
  <c r="A1949" i="34"/>
  <c r="Q1801" i="34"/>
  <c r="U1801" i="34"/>
  <c r="Z1801" i="34"/>
  <c r="O1801" i="34"/>
  <c r="P1801" i="34"/>
  <c r="A1801" i="34"/>
  <c r="Q1803" i="34"/>
  <c r="U1803" i="34"/>
  <c r="Z1803" i="34"/>
  <c r="O1803" i="34"/>
  <c r="P1803" i="34"/>
  <c r="A1803" i="34"/>
  <c r="Q1805" i="34"/>
  <c r="U1805" i="34"/>
  <c r="Z1805" i="34"/>
  <c r="O1805" i="34"/>
  <c r="P1805" i="34"/>
  <c r="A1805" i="34"/>
  <c r="Q1807" i="34"/>
  <c r="U1807" i="34"/>
  <c r="Z1807" i="34"/>
  <c r="O1807" i="34"/>
  <c r="P1807" i="34"/>
  <c r="A1807" i="34"/>
  <c r="Q1809" i="34"/>
  <c r="U1809" i="34"/>
  <c r="Z1809" i="34"/>
  <c r="O1809" i="34"/>
  <c r="P1809" i="34"/>
  <c r="A1809" i="34"/>
  <c r="Q1811" i="34"/>
  <c r="U1811" i="34"/>
  <c r="Z1811" i="34"/>
  <c r="O1811" i="34"/>
  <c r="P1811" i="34"/>
  <c r="A1811" i="34"/>
  <c r="Q1950" i="34"/>
  <c r="U1950" i="34"/>
  <c r="Z1950" i="34"/>
  <c r="O1950" i="34"/>
  <c r="P1950" i="34"/>
  <c r="A1950" i="34"/>
  <c r="Q1952" i="34"/>
  <c r="U1952" i="34"/>
  <c r="Z1952" i="34"/>
  <c r="P1952" i="34"/>
  <c r="O1952" i="34"/>
  <c r="A1952" i="34"/>
  <c r="Q1954" i="34"/>
  <c r="U1954" i="34"/>
  <c r="Z1954" i="34"/>
  <c r="O1954" i="34"/>
  <c r="P1954" i="34"/>
  <c r="A1954" i="34"/>
  <c r="K1975" i="34"/>
  <c r="K1976" i="34"/>
  <c r="T237" i="74"/>
  <c r="T236" i="74"/>
  <c r="T217" i="74"/>
  <c r="T192" i="74"/>
  <c r="T174" i="74"/>
  <c r="T172" i="74"/>
  <c r="T170" i="74"/>
  <c r="T169" i="74"/>
  <c r="T168" i="74"/>
  <c r="T167" i="74"/>
  <c r="T164" i="74"/>
  <c r="T163" i="74"/>
  <c r="T161" i="74"/>
  <c r="T160" i="74"/>
  <c r="T158" i="74"/>
  <c r="T150" i="74"/>
  <c r="C67" i="34" l="1"/>
  <c r="B67" i="34" s="1"/>
  <c r="C66" i="34"/>
  <c r="B66" i="34" s="1"/>
  <c r="C65" i="34"/>
  <c r="B65" i="34" s="1"/>
  <c r="C64" i="34"/>
  <c r="B64" i="34" s="1"/>
  <c r="C63" i="34"/>
  <c r="B63" i="34" s="1"/>
  <c r="C62" i="34"/>
  <c r="B62" i="34" s="1"/>
  <c r="C61" i="34"/>
  <c r="B61" i="34" s="1"/>
  <c r="C60" i="34"/>
  <c r="B60" i="34" s="1"/>
  <c r="C59" i="34"/>
  <c r="B59" i="34" s="1"/>
  <c r="C58" i="34"/>
  <c r="B58" i="34" s="1"/>
  <c r="C57" i="34"/>
  <c r="B57" i="34" s="1"/>
  <c r="C56" i="34"/>
  <c r="B56" i="34" s="1"/>
  <c r="C55" i="34"/>
  <c r="B55" i="34" s="1"/>
  <c r="C54" i="34"/>
  <c r="B54" i="34" s="1"/>
  <c r="C53" i="34"/>
  <c r="B53" i="34" s="1"/>
  <c r="C52" i="34"/>
  <c r="B52" i="34" s="1"/>
  <c r="C51" i="34"/>
  <c r="B51" i="34" s="1"/>
  <c r="C50" i="34"/>
  <c r="B50" i="34" s="1"/>
  <c r="C49" i="34"/>
  <c r="B49" i="34" s="1"/>
  <c r="C48" i="34"/>
  <c r="B48" i="34" s="1"/>
  <c r="C47" i="34"/>
  <c r="B47" i="34" s="1"/>
  <c r="C46" i="34"/>
  <c r="B46" i="34" s="1"/>
  <c r="C45" i="34"/>
  <c r="B45" i="34" s="1"/>
  <c r="C44" i="34"/>
  <c r="B44" i="34" s="1"/>
  <c r="C43" i="34"/>
  <c r="B43" i="34" s="1"/>
  <c r="C42" i="34"/>
  <c r="B42" i="34" s="1"/>
  <c r="C41" i="34"/>
  <c r="B41" i="34" s="1"/>
  <c r="C40" i="34"/>
  <c r="B40" i="34" s="1"/>
  <c r="C39" i="34"/>
  <c r="B39" i="34" s="1"/>
  <c r="C38" i="34"/>
  <c r="B38" i="34" s="1"/>
  <c r="C37" i="34"/>
  <c r="B37" i="34" s="1"/>
  <c r="C36" i="34"/>
  <c r="B36" i="34" s="1"/>
  <c r="C35" i="34"/>
  <c r="B35" i="34" s="1"/>
  <c r="C34" i="34"/>
  <c r="B34" i="34" s="1"/>
  <c r="C33" i="34"/>
  <c r="B33" i="34" s="1"/>
  <c r="C32" i="34"/>
  <c r="B32" i="34" s="1"/>
  <c r="C31" i="34"/>
  <c r="B31" i="34" s="1"/>
  <c r="C30" i="34"/>
  <c r="B30" i="34" s="1"/>
  <c r="C29" i="34"/>
  <c r="B29" i="34" s="1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P24" i="34" l="1"/>
  <c r="Q24" i="34"/>
  <c r="U24" i="34"/>
  <c r="Z24" i="34"/>
  <c r="O24" i="34"/>
  <c r="A24" i="34"/>
  <c r="Q28" i="34"/>
  <c r="U28" i="34"/>
  <c r="Z28" i="34"/>
  <c r="O28" i="34"/>
  <c r="P28" i="34"/>
  <c r="A28" i="34"/>
  <c r="Q32" i="34"/>
  <c r="U32" i="34"/>
  <c r="Z32" i="34"/>
  <c r="O32" i="34"/>
  <c r="P32" i="34"/>
  <c r="A32" i="34"/>
  <c r="Q36" i="34"/>
  <c r="U36" i="34"/>
  <c r="Z36" i="34"/>
  <c r="O36" i="34"/>
  <c r="P36" i="34"/>
  <c r="A36" i="34"/>
  <c r="Q40" i="34"/>
  <c r="O40" i="34"/>
  <c r="P40" i="34"/>
  <c r="U40" i="34"/>
  <c r="Z40" i="34"/>
  <c r="A40" i="34"/>
  <c r="O44" i="34"/>
  <c r="P44" i="34"/>
  <c r="Q44" i="34"/>
  <c r="U44" i="34"/>
  <c r="Z44" i="34"/>
  <c r="A44" i="34"/>
  <c r="O48" i="34"/>
  <c r="P48" i="34"/>
  <c r="Q48" i="34"/>
  <c r="U48" i="34"/>
  <c r="Z48" i="34"/>
  <c r="A48" i="34"/>
  <c r="O52" i="34"/>
  <c r="P52" i="34"/>
  <c r="Q52" i="34"/>
  <c r="U52" i="34"/>
  <c r="Z52" i="34"/>
  <c r="A52" i="34"/>
  <c r="P56" i="34"/>
  <c r="Q56" i="34"/>
  <c r="U56" i="34"/>
  <c r="Z56" i="34"/>
  <c r="O56" i="34"/>
  <c r="A56" i="34"/>
  <c r="Q60" i="34"/>
  <c r="U60" i="34"/>
  <c r="Z60" i="34"/>
  <c r="O60" i="34"/>
  <c r="P60" i="34"/>
  <c r="A60" i="34"/>
  <c r="Q64" i="34"/>
  <c r="U64" i="34"/>
  <c r="Z64" i="34"/>
  <c r="O64" i="34"/>
  <c r="P64" i="34"/>
  <c r="A64" i="34"/>
  <c r="P25" i="34"/>
  <c r="Q25" i="34"/>
  <c r="U25" i="34"/>
  <c r="Z25" i="34"/>
  <c r="O25" i="34"/>
  <c r="A25" i="34"/>
  <c r="Q29" i="34"/>
  <c r="U29" i="34"/>
  <c r="Z29" i="34"/>
  <c r="O29" i="34"/>
  <c r="P29" i="34"/>
  <c r="A29" i="34"/>
  <c r="Q33" i="34"/>
  <c r="U33" i="34"/>
  <c r="Z33" i="34"/>
  <c r="O33" i="34"/>
  <c r="P33" i="34"/>
  <c r="A33" i="34"/>
  <c r="Q37" i="34"/>
  <c r="U37" i="34"/>
  <c r="Z37" i="34"/>
  <c r="O37" i="34"/>
  <c r="P37" i="34"/>
  <c r="A37" i="34"/>
  <c r="O41" i="34"/>
  <c r="P41" i="34"/>
  <c r="Q41" i="34"/>
  <c r="U41" i="34"/>
  <c r="Z41" i="34"/>
  <c r="A41" i="34"/>
  <c r="O45" i="34"/>
  <c r="P45" i="34"/>
  <c r="Q45" i="34"/>
  <c r="U45" i="34"/>
  <c r="Z45" i="34"/>
  <c r="A45" i="34"/>
  <c r="O49" i="34"/>
  <c r="P49" i="34"/>
  <c r="Q49" i="34"/>
  <c r="U49" i="34"/>
  <c r="Z49" i="34"/>
  <c r="A49" i="34"/>
  <c r="O53" i="34"/>
  <c r="P53" i="34"/>
  <c r="Q53" i="34"/>
  <c r="U53" i="34"/>
  <c r="Z53" i="34"/>
  <c r="A53" i="34"/>
  <c r="P57" i="34"/>
  <c r="Q57" i="34"/>
  <c r="U57" i="34"/>
  <c r="Z57" i="34"/>
  <c r="O57" i="34"/>
  <c r="A57" i="34"/>
  <c r="Q61" i="34"/>
  <c r="U61" i="34"/>
  <c r="Z61" i="34"/>
  <c r="O61" i="34"/>
  <c r="P61" i="34"/>
  <c r="A61" i="34"/>
  <c r="Q65" i="34"/>
  <c r="U65" i="34"/>
  <c r="Z65" i="34"/>
  <c r="O65" i="34"/>
  <c r="P65" i="34"/>
  <c r="A65" i="34"/>
  <c r="Q26" i="34"/>
  <c r="U26" i="34"/>
  <c r="Z26" i="34"/>
  <c r="P26" i="34"/>
  <c r="O26" i="34"/>
  <c r="A26" i="34"/>
  <c r="Q30" i="34"/>
  <c r="U30" i="34"/>
  <c r="Z30" i="34"/>
  <c r="P30" i="34"/>
  <c r="O30" i="34"/>
  <c r="A30" i="34"/>
  <c r="Q34" i="34"/>
  <c r="U34" i="34"/>
  <c r="Z34" i="34"/>
  <c r="P34" i="34"/>
  <c r="O34" i="34"/>
  <c r="A34" i="34"/>
  <c r="Q38" i="34"/>
  <c r="U38" i="34"/>
  <c r="Z38" i="34"/>
  <c r="P38" i="34"/>
  <c r="O38" i="34"/>
  <c r="A38" i="34"/>
  <c r="O42" i="34"/>
  <c r="P42" i="34"/>
  <c r="Q42" i="34"/>
  <c r="U42" i="34"/>
  <c r="Z42" i="34"/>
  <c r="A42" i="34"/>
  <c r="O46" i="34"/>
  <c r="P46" i="34"/>
  <c r="Q46" i="34"/>
  <c r="U46" i="34"/>
  <c r="Z46" i="34"/>
  <c r="A46" i="34"/>
  <c r="O50" i="34"/>
  <c r="P50" i="34"/>
  <c r="Q50" i="34"/>
  <c r="U50" i="34"/>
  <c r="Z50" i="34"/>
  <c r="A50" i="34"/>
  <c r="O54" i="34"/>
  <c r="P54" i="34"/>
  <c r="Q54" i="34"/>
  <c r="U54" i="34"/>
  <c r="Z54" i="34"/>
  <c r="A54" i="34"/>
  <c r="Q58" i="34"/>
  <c r="U58" i="34"/>
  <c r="Z58" i="34"/>
  <c r="O58" i="34"/>
  <c r="P58" i="34"/>
  <c r="A58" i="34"/>
  <c r="Q62" i="34"/>
  <c r="U62" i="34"/>
  <c r="Z62" i="34"/>
  <c r="P62" i="34"/>
  <c r="O62" i="34"/>
  <c r="A62" i="34"/>
  <c r="Q66" i="34"/>
  <c r="P66" i="34"/>
  <c r="U66" i="34"/>
  <c r="Z66" i="34"/>
  <c r="O66" i="34"/>
  <c r="A66" i="34"/>
  <c r="P23" i="34"/>
  <c r="Q23" i="34"/>
  <c r="U23" i="34"/>
  <c r="Z23" i="34"/>
  <c r="O23" i="34"/>
  <c r="A23" i="34"/>
  <c r="Q27" i="34"/>
  <c r="U27" i="34"/>
  <c r="Z27" i="34"/>
  <c r="O27" i="34"/>
  <c r="P27" i="34"/>
  <c r="A27" i="34"/>
  <c r="Q31" i="34"/>
  <c r="U31" i="34"/>
  <c r="Z31" i="34"/>
  <c r="O31" i="34"/>
  <c r="P31" i="34"/>
  <c r="A31" i="34"/>
  <c r="Q35" i="34"/>
  <c r="U35" i="34"/>
  <c r="Z35" i="34"/>
  <c r="O35" i="34"/>
  <c r="P35" i="34"/>
  <c r="A35" i="34"/>
  <c r="Q39" i="34"/>
  <c r="U39" i="34"/>
  <c r="Z39" i="34"/>
  <c r="O39" i="34"/>
  <c r="P39" i="34"/>
  <c r="A39" i="34"/>
  <c r="O43" i="34"/>
  <c r="P43" i="34"/>
  <c r="Q43" i="34"/>
  <c r="U43" i="34"/>
  <c r="Z43" i="34"/>
  <c r="A43" i="34"/>
  <c r="O47" i="34"/>
  <c r="P47" i="34"/>
  <c r="Q47" i="34"/>
  <c r="U47" i="34"/>
  <c r="Z47" i="34"/>
  <c r="A47" i="34"/>
  <c r="O51" i="34"/>
  <c r="P51" i="34"/>
  <c r="Q51" i="34"/>
  <c r="U51" i="34"/>
  <c r="Z51" i="34"/>
  <c r="A51" i="34"/>
  <c r="O55" i="34"/>
  <c r="P55" i="34"/>
  <c r="Q55" i="34"/>
  <c r="U55" i="34"/>
  <c r="Z55" i="34"/>
  <c r="A55" i="34"/>
  <c r="Q59" i="34"/>
  <c r="U59" i="34"/>
  <c r="Z59" i="34"/>
  <c r="P59" i="34"/>
  <c r="O59" i="34"/>
  <c r="A59" i="34"/>
  <c r="Q63" i="34"/>
  <c r="U63" i="34"/>
  <c r="Z63" i="34"/>
  <c r="P63" i="34"/>
  <c r="O63" i="34"/>
  <c r="A63" i="34"/>
  <c r="O67" i="34"/>
  <c r="Q67" i="34"/>
  <c r="U67" i="34"/>
  <c r="Z67" i="34"/>
  <c r="P67" i="34"/>
  <c r="A67" i="34"/>
  <c r="S3" i="74"/>
  <c r="S4" i="74"/>
  <c r="S5" i="74"/>
  <c r="S6" i="74"/>
  <c r="S7" i="74"/>
  <c r="S8" i="74"/>
  <c r="S9" i="74"/>
  <c r="S10" i="74"/>
  <c r="S11" i="74"/>
  <c r="S12" i="74"/>
  <c r="S13" i="74"/>
  <c r="S14" i="74"/>
  <c r="S15" i="74"/>
  <c r="S16" i="74"/>
  <c r="S17" i="74"/>
  <c r="S18" i="74"/>
  <c r="S19" i="74"/>
  <c r="S20" i="74"/>
  <c r="S21" i="74"/>
  <c r="S22" i="74"/>
  <c r="S23" i="74"/>
  <c r="S24" i="74"/>
  <c r="S25" i="74"/>
  <c r="S26" i="74"/>
  <c r="S27" i="74"/>
  <c r="S28" i="74"/>
  <c r="S29" i="74"/>
  <c r="S30" i="74"/>
  <c r="S31" i="74"/>
  <c r="S32" i="74"/>
  <c r="S33" i="74"/>
  <c r="S34" i="74"/>
  <c r="S35" i="74"/>
  <c r="S36" i="74"/>
  <c r="S37" i="74"/>
  <c r="S38" i="74"/>
  <c r="S39" i="74"/>
  <c r="S40" i="74"/>
  <c r="S41" i="74"/>
  <c r="S42" i="74"/>
  <c r="S43" i="74"/>
  <c r="S44" i="74"/>
  <c r="S45" i="74"/>
  <c r="S46" i="74"/>
  <c r="S47" i="74"/>
  <c r="S48" i="74"/>
  <c r="S49" i="74"/>
  <c r="S50" i="74"/>
  <c r="S51" i="74"/>
  <c r="S52" i="74"/>
  <c r="S53" i="74"/>
  <c r="S54" i="74"/>
  <c r="S55" i="74"/>
  <c r="S56" i="74"/>
  <c r="S57" i="74"/>
  <c r="S58" i="74"/>
  <c r="S59" i="74"/>
  <c r="S60" i="74"/>
  <c r="S61" i="74"/>
  <c r="S62" i="74"/>
  <c r="S63" i="74"/>
  <c r="S64" i="74"/>
  <c r="S65" i="74"/>
  <c r="S66" i="74"/>
  <c r="S67" i="74"/>
  <c r="S68" i="74"/>
  <c r="S69" i="74"/>
  <c r="S70" i="74"/>
  <c r="S71" i="74"/>
  <c r="S72" i="74"/>
  <c r="S73" i="74"/>
  <c r="S74" i="74"/>
  <c r="S75" i="74"/>
  <c r="S76" i="74"/>
  <c r="S77" i="74"/>
  <c r="S78" i="74"/>
  <c r="S79" i="74"/>
  <c r="S80" i="74"/>
  <c r="S81" i="74"/>
  <c r="S82" i="74"/>
  <c r="S83" i="74"/>
  <c r="S84" i="74"/>
  <c r="S85" i="74"/>
  <c r="S86" i="74"/>
  <c r="S87" i="74"/>
  <c r="S88" i="74"/>
  <c r="S89" i="74"/>
  <c r="S90" i="74"/>
  <c r="S91" i="74"/>
  <c r="S92" i="74"/>
  <c r="S93" i="74"/>
  <c r="S94" i="74"/>
  <c r="S95" i="74"/>
  <c r="S96" i="74"/>
  <c r="S97" i="74"/>
  <c r="S98" i="74"/>
  <c r="S99" i="74"/>
  <c r="S100" i="74"/>
  <c r="S101" i="74"/>
  <c r="S102" i="74"/>
  <c r="S103" i="74"/>
  <c r="S104" i="74"/>
  <c r="S105" i="74"/>
  <c r="S106" i="74"/>
  <c r="S107" i="74"/>
  <c r="S108" i="74"/>
  <c r="S109" i="74"/>
  <c r="S110" i="74"/>
  <c r="S111" i="74"/>
  <c r="S112" i="74"/>
  <c r="S113" i="74"/>
  <c r="S114" i="74"/>
  <c r="S115" i="74"/>
  <c r="S116" i="74"/>
  <c r="S117" i="74"/>
  <c r="S118" i="74"/>
  <c r="S119" i="74"/>
  <c r="S120" i="74"/>
  <c r="S121" i="74"/>
  <c r="S122" i="74"/>
  <c r="S123" i="74"/>
  <c r="S124" i="74"/>
  <c r="S125" i="74"/>
  <c r="S126" i="74"/>
  <c r="S127" i="74"/>
  <c r="S128" i="74"/>
  <c r="S129" i="74"/>
  <c r="S130" i="74"/>
  <c r="S131" i="74"/>
  <c r="S132" i="74"/>
  <c r="S133" i="74"/>
  <c r="S134" i="74"/>
  <c r="S135" i="74"/>
  <c r="S136" i="74"/>
  <c r="S137" i="74"/>
  <c r="S138" i="74"/>
  <c r="S139" i="74"/>
  <c r="S140" i="74"/>
  <c r="S141" i="74"/>
  <c r="S142" i="74"/>
  <c r="S143" i="74"/>
  <c r="S144" i="74"/>
  <c r="S145" i="74"/>
  <c r="S146" i="74"/>
  <c r="S147" i="74"/>
  <c r="S148" i="74"/>
  <c r="S149" i="74"/>
  <c r="S150" i="74"/>
  <c r="S151" i="74"/>
  <c r="S152" i="74"/>
  <c r="S153" i="74"/>
  <c r="S154" i="74"/>
  <c r="S155" i="74"/>
  <c r="S156" i="74"/>
  <c r="S157" i="74"/>
  <c r="S158" i="74"/>
  <c r="S159" i="74"/>
  <c r="S160" i="74"/>
  <c r="S161" i="74"/>
  <c r="S162" i="74"/>
  <c r="S163" i="74"/>
  <c r="S164" i="74"/>
  <c r="S165" i="74"/>
  <c r="S166" i="74"/>
  <c r="S167" i="74"/>
  <c r="S168" i="74"/>
  <c r="S169" i="74"/>
  <c r="S170" i="74"/>
  <c r="S171" i="74"/>
  <c r="S172" i="74"/>
  <c r="S173" i="74"/>
  <c r="S174" i="74"/>
  <c r="S175" i="74"/>
  <c r="S176" i="74"/>
  <c r="S177" i="74"/>
  <c r="S178" i="74"/>
  <c r="S179" i="74"/>
  <c r="S180" i="74"/>
  <c r="S181" i="74"/>
  <c r="S182" i="74"/>
  <c r="S183" i="74"/>
  <c r="S184" i="74"/>
  <c r="S185" i="74"/>
  <c r="S186" i="74"/>
  <c r="S187" i="74"/>
  <c r="S188" i="74"/>
  <c r="S189" i="74"/>
  <c r="S190" i="74"/>
  <c r="S191" i="74"/>
  <c r="S192" i="74"/>
  <c r="S193" i="74"/>
  <c r="S194" i="74"/>
  <c r="S195" i="74"/>
  <c r="S196" i="74"/>
  <c r="S197" i="74"/>
  <c r="S198" i="74"/>
  <c r="S199" i="74"/>
  <c r="S200" i="74"/>
  <c r="S201" i="74"/>
  <c r="S202" i="74"/>
  <c r="S203" i="74"/>
  <c r="S204" i="74"/>
  <c r="S205" i="74"/>
  <c r="S206" i="74"/>
  <c r="S207" i="74"/>
  <c r="S208" i="74"/>
  <c r="S209" i="74"/>
  <c r="S210" i="74"/>
  <c r="S211" i="74"/>
  <c r="S212" i="74"/>
  <c r="S213" i="74"/>
  <c r="S214" i="74"/>
  <c r="S215" i="74"/>
  <c r="S216" i="74"/>
  <c r="S217" i="74"/>
  <c r="S218" i="74"/>
  <c r="S219" i="74"/>
  <c r="S220" i="74"/>
  <c r="S221" i="74"/>
  <c r="S222" i="74"/>
  <c r="S223" i="74"/>
  <c r="S224" i="74"/>
  <c r="S225" i="74"/>
  <c r="S226" i="74"/>
  <c r="S227" i="74"/>
  <c r="S228" i="74"/>
  <c r="S229" i="74"/>
  <c r="S230" i="74"/>
  <c r="S231" i="74"/>
  <c r="S232" i="74"/>
  <c r="S233" i="74"/>
  <c r="S234" i="74"/>
  <c r="S235" i="74"/>
  <c r="S236" i="74"/>
  <c r="S237" i="74"/>
  <c r="S238" i="74"/>
  <c r="S239" i="74"/>
  <c r="S240" i="74"/>
  <c r="S241" i="74"/>
  <c r="S242" i="74"/>
  <c r="S243" i="74"/>
  <c r="S244" i="74"/>
  <c r="S245" i="74"/>
  <c r="S246" i="74"/>
  <c r="S247" i="74"/>
  <c r="S248" i="74"/>
  <c r="S249" i="74"/>
  <c r="S250" i="74"/>
  <c r="S251" i="74"/>
  <c r="S252" i="74"/>
  <c r="S253" i="74"/>
  <c r="S254" i="74"/>
  <c r="S255" i="74"/>
  <c r="S256" i="74"/>
  <c r="S257" i="74"/>
  <c r="S258" i="74"/>
  <c r="S259" i="74"/>
  <c r="S260" i="74"/>
  <c r="S261" i="74"/>
  <c r="S262" i="74"/>
  <c r="S263" i="74"/>
  <c r="S264" i="74"/>
  <c r="S265" i="74"/>
  <c r="S266" i="74"/>
  <c r="S267" i="74"/>
  <c r="S268" i="74"/>
  <c r="S269" i="74"/>
  <c r="S270" i="74"/>
  <c r="S271" i="74"/>
  <c r="S272" i="74"/>
  <c r="S273" i="74"/>
  <c r="S274" i="74"/>
  <c r="S275" i="74"/>
  <c r="S276" i="74"/>
  <c r="S277" i="74"/>
  <c r="S278" i="74"/>
  <c r="S279" i="74"/>
  <c r="S280" i="74"/>
  <c r="S281" i="74"/>
  <c r="S282" i="74"/>
  <c r="S283" i="74"/>
  <c r="S284" i="74"/>
  <c r="S285" i="74"/>
  <c r="S286" i="74"/>
  <c r="S287" i="74"/>
  <c r="S288" i="74"/>
  <c r="S289" i="74"/>
  <c r="S290" i="74"/>
  <c r="S2" i="74"/>
  <c r="J290" i="74"/>
  <c r="I13" i="71"/>
  <c r="H13" i="71"/>
  <c r="S291" i="74" l="1"/>
  <c r="K866" i="34"/>
  <c r="C881" i="34"/>
  <c r="B881" i="34" s="1"/>
  <c r="C880" i="34"/>
  <c r="B880" i="34" s="1"/>
  <c r="C867" i="34"/>
  <c r="B867" i="34" s="1"/>
  <c r="C866" i="34"/>
  <c r="B866" i="34" s="1"/>
  <c r="K850" i="34"/>
  <c r="C851" i="34"/>
  <c r="B851" i="34" s="1"/>
  <c r="C850" i="34"/>
  <c r="B850" i="34" s="1"/>
  <c r="P880" i="34" l="1"/>
  <c r="Q880" i="34"/>
  <c r="U880" i="34"/>
  <c r="Z880" i="34"/>
  <c r="O880" i="34"/>
  <c r="A880" i="34"/>
  <c r="P881" i="34"/>
  <c r="Q881" i="34"/>
  <c r="U881" i="34"/>
  <c r="Z881" i="34"/>
  <c r="O881" i="34"/>
  <c r="A881" i="34"/>
  <c r="P851" i="34"/>
  <c r="Q851" i="34"/>
  <c r="U851" i="34"/>
  <c r="Z851" i="34"/>
  <c r="O851" i="34"/>
  <c r="A851" i="34"/>
  <c r="P866" i="34"/>
  <c r="Q866" i="34"/>
  <c r="U866" i="34"/>
  <c r="Z866" i="34"/>
  <c r="O866" i="34"/>
  <c r="A866" i="34"/>
  <c r="P850" i="34"/>
  <c r="Q850" i="34"/>
  <c r="U850" i="34"/>
  <c r="Z850" i="34"/>
  <c r="O850" i="34"/>
  <c r="A850" i="34"/>
  <c r="P867" i="34"/>
  <c r="Q867" i="34"/>
  <c r="U867" i="34"/>
  <c r="Z867" i="34"/>
  <c r="O867" i="34"/>
  <c r="A867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863" i="34"/>
  <c r="K862" i="34"/>
  <c r="C863" i="34"/>
  <c r="B863" i="34" s="1"/>
  <c r="C862" i="34"/>
  <c r="B862" i="34" s="1"/>
  <c r="K871" i="34"/>
  <c r="K870" i="34"/>
  <c r="K855" i="34"/>
  <c r="K854" i="34"/>
  <c r="C871" i="34"/>
  <c r="B871" i="34" s="1"/>
  <c r="C870" i="34"/>
  <c r="B870" i="34" s="1"/>
  <c r="C855" i="34"/>
  <c r="B855" i="34" s="1"/>
  <c r="C854" i="34"/>
  <c r="B854" i="34" s="1"/>
  <c r="K847" i="34"/>
  <c r="K846" i="34"/>
  <c r="C847" i="34"/>
  <c r="B847" i="34" s="1"/>
  <c r="C846" i="34"/>
  <c r="B846" i="34" s="1"/>
  <c r="C879" i="34"/>
  <c r="B879" i="34" s="1"/>
  <c r="C878" i="34"/>
  <c r="B878" i="34" s="1"/>
  <c r="C877" i="34"/>
  <c r="B877" i="34" s="1"/>
  <c r="C876" i="34"/>
  <c r="B876" i="34" s="1"/>
  <c r="C873" i="34"/>
  <c r="B873" i="34" s="1"/>
  <c r="C872" i="34"/>
  <c r="B872" i="34" s="1"/>
  <c r="C869" i="34"/>
  <c r="B869" i="34" s="1"/>
  <c r="C868" i="34"/>
  <c r="B868" i="34" s="1"/>
  <c r="C861" i="34"/>
  <c r="B861" i="34" s="1"/>
  <c r="C860" i="34"/>
  <c r="B860" i="34" s="1"/>
  <c r="C859" i="34"/>
  <c r="B859" i="34" s="1"/>
  <c r="C858" i="34"/>
  <c r="B858" i="34" s="1"/>
  <c r="C857" i="34"/>
  <c r="B857" i="34" s="1"/>
  <c r="C856" i="34"/>
  <c r="B856" i="34" s="1"/>
  <c r="C466" i="34"/>
  <c r="B466" i="34" s="1"/>
  <c r="C465" i="34"/>
  <c r="B465" i="34" s="1"/>
  <c r="C464" i="34"/>
  <c r="B464" i="34" s="1"/>
  <c r="C463" i="34"/>
  <c r="B463" i="34" s="1"/>
  <c r="C462" i="34"/>
  <c r="B462" i="34" s="1"/>
  <c r="C461" i="34"/>
  <c r="B461" i="34" s="1"/>
  <c r="C460" i="34"/>
  <c r="B460" i="34" s="1"/>
  <c r="C459" i="34"/>
  <c r="B459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52" i="34"/>
  <c r="B452" i="34" s="1"/>
  <c r="C451" i="34"/>
  <c r="B451" i="34" s="1"/>
  <c r="C450" i="34"/>
  <c r="B450" i="34" s="1"/>
  <c r="C449" i="34"/>
  <c r="B449" i="34" s="1"/>
  <c r="C448" i="34"/>
  <c r="B448" i="34" s="1"/>
  <c r="C447" i="34"/>
  <c r="B447" i="34" s="1"/>
  <c r="C446" i="34"/>
  <c r="B446" i="34" s="1"/>
  <c r="C445" i="34"/>
  <c r="B445" i="34" s="1"/>
  <c r="C444" i="34"/>
  <c r="B444" i="34" s="1"/>
  <c r="C443" i="34"/>
  <c r="B443" i="34" s="1"/>
  <c r="C442" i="34"/>
  <c r="B442" i="34" s="1"/>
  <c r="C441" i="34"/>
  <c r="B441" i="34" s="1"/>
  <c r="X11" i="34"/>
  <c r="X10" i="34"/>
  <c r="H9" i="78"/>
  <c r="A30" i="78"/>
  <c r="I15" i="78"/>
  <c r="H15" i="78"/>
  <c r="A8" i="78"/>
  <c r="A2" i="78"/>
  <c r="A1" i="78"/>
  <c r="A18" i="77"/>
  <c r="A11" i="77"/>
  <c r="A4" i="77"/>
  <c r="A8" i="77"/>
  <c r="A7" i="77"/>
  <c r="A6" i="77"/>
  <c r="A5" i="77"/>
  <c r="C480" i="34"/>
  <c r="B480" i="34" s="1"/>
  <c r="C479" i="34"/>
  <c r="B479" i="34" s="1"/>
  <c r="C478" i="34"/>
  <c r="B478" i="34" s="1"/>
  <c r="C477" i="34"/>
  <c r="B477" i="34" s="1"/>
  <c r="C476" i="34"/>
  <c r="B476" i="34" s="1"/>
  <c r="C475" i="34"/>
  <c r="B475" i="34" s="1"/>
  <c r="C474" i="34"/>
  <c r="B474" i="34" s="1"/>
  <c r="C473" i="34"/>
  <c r="B473" i="34" s="1"/>
  <c r="C472" i="34"/>
  <c r="B472" i="34" s="1"/>
  <c r="C471" i="34"/>
  <c r="B471" i="34" s="1"/>
  <c r="C470" i="34"/>
  <c r="B470" i="34" s="1"/>
  <c r="C469" i="34"/>
  <c r="B469" i="34" s="1"/>
  <c r="C468" i="34"/>
  <c r="B468" i="34" s="1"/>
  <c r="C467" i="34"/>
  <c r="B467" i="34" s="1"/>
  <c r="C440" i="34"/>
  <c r="B440" i="34" s="1"/>
  <c r="C439" i="34"/>
  <c r="B439" i="34" s="1"/>
  <c r="C438" i="34"/>
  <c r="B438" i="34" s="1"/>
  <c r="C437" i="34"/>
  <c r="B437" i="34" s="1"/>
  <c r="C436" i="34"/>
  <c r="B436" i="34" s="1"/>
  <c r="C435" i="34"/>
  <c r="B435" i="34" s="1"/>
  <c r="C434" i="34"/>
  <c r="B434" i="34" s="1"/>
  <c r="C433" i="34"/>
  <c r="B433" i="34" s="1"/>
  <c r="C432" i="34"/>
  <c r="B432" i="34" s="1"/>
  <c r="C431" i="34"/>
  <c r="B431" i="34" s="1"/>
  <c r="C430" i="34"/>
  <c r="B430" i="34" s="1"/>
  <c r="C429" i="34"/>
  <c r="B429" i="34" s="1"/>
  <c r="C428" i="34"/>
  <c r="B428" i="34" s="1"/>
  <c r="C427" i="34"/>
  <c r="B427" i="34" s="1"/>
  <c r="C426" i="34"/>
  <c r="B426" i="34" s="1"/>
  <c r="C425" i="34"/>
  <c r="B425" i="34" s="1"/>
  <c r="C424" i="34"/>
  <c r="B424" i="34" s="1"/>
  <c r="C423" i="34"/>
  <c r="B423" i="34" s="1"/>
  <c r="C422" i="34"/>
  <c r="B422" i="34" s="1"/>
  <c r="C421" i="34"/>
  <c r="B421" i="34" s="1"/>
  <c r="C489" i="34"/>
  <c r="B489" i="34" s="1"/>
  <c r="C488" i="34"/>
  <c r="B488" i="34" s="1"/>
  <c r="C487" i="34"/>
  <c r="B487" i="34" s="1"/>
  <c r="C486" i="34"/>
  <c r="B486" i="34" s="1"/>
  <c r="C483" i="34"/>
  <c r="B483" i="34" s="1"/>
  <c r="C482" i="34"/>
  <c r="B482" i="34" s="1"/>
  <c r="C481" i="34"/>
  <c r="B481" i="34" s="1"/>
  <c r="C217" i="34"/>
  <c r="B217" i="34" s="1"/>
  <c r="C207" i="34"/>
  <c r="B207" i="34" s="1"/>
  <c r="C206" i="34"/>
  <c r="B206" i="34" s="1"/>
  <c r="C204" i="34"/>
  <c r="B204" i="34" s="1"/>
  <c r="C203" i="34"/>
  <c r="B203" i="34" s="1"/>
  <c r="C208" i="34"/>
  <c r="B208" i="34" s="1"/>
  <c r="C216" i="34"/>
  <c r="B216" i="34" s="1"/>
  <c r="C215" i="34"/>
  <c r="B215" i="34" s="1"/>
  <c r="C214" i="34"/>
  <c r="B214" i="34" s="1"/>
  <c r="C213" i="34"/>
  <c r="B213" i="34" s="1"/>
  <c r="C212" i="34"/>
  <c r="B212" i="34" s="1"/>
  <c r="C211" i="34"/>
  <c r="B211" i="34" s="1"/>
  <c r="C210" i="34"/>
  <c r="B210" i="34" s="1"/>
  <c r="C209" i="34"/>
  <c r="B209" i="34" s="1"/>
  <c r="C205" i="34"/>
  <c r="B205" i="34" s="1"/>
  <c r="C202" i="34"/>
  <c r="B202" i="34" s="1"/>
  <c r="C201" i="34"/>
  <c r="B201" i="34" s="1"/>
  <c r="C228" i="34"/>
  <c r="B228" i="34" s="1"/>
  <c r="C227" i="34"/>
  <c r="B227" i="34" s="1"/>
  <c r="C226" i="34"/>
  <c r="B226" i="34" s="1"/>
  <c r="C225" i="34"/>
  <c r="B225" i="34" s="1"/>
  <c r="C224" i="34"/>
  <c r="B224" i="34" s="1"/>
  <c r="C223" i="34"/>
  <c r="B223" i="34" s="1"/>
  <c r="C222" i="34"/>
  <c r="B222" i="34" s="1"/>
  <c r="C221" i="34"/>
  <c r="B221" i="34" s="1"/>
  <c r="C220" i="34"/>
  <c r="B220" i="34" s="1"/>
  <c r="C219" i="34"/>
  <c r="B219" i="34" s="1"/>
  <c r="C218" i="34"/>
  <c r="B218" i="34" s="1"/>
  <c r="C233" i="34"/>
  <c r="B233" i="34" s="1"/>
  <c r="C232" i="34"/>
  <c r="B232" i="34" s="1"/>
  <c r="C231" i="34"/>
  <c r="B231" i="34" s="1"/>
  <c r="C230" i="34"/>
  <c r="B230" i="34" s="1"/>
  <c r="C229" i="34"/>
  <c r="B229" i="34" s="1"/>
  <c r="C1397" i="34"/>
  <c r="B1397" i="34" s="1"/>
  <c r="K1396" i="34"/>
  <c r="C1396" i="34"/>
  <c r="B1396" i="34" s="1"/>
  <c r="K1483" i="34"/>
  <c r="C1483" i="34"/>
  <c r="B1483" i="34" s="1"/>
  <c r="K1482" i="34"/>
  <c r="C1482" i="34"/>
  <c r="B1482" i="34" s="1"/>
  <c r="C1603" i="34"/>
  <c r="B1603" i="34" s="1"/>
  <c r="C1602" i="34"/>
  <c r="B1602" i="34" s="1"/>
  <c r="C1601" i="34"/>
  <c r="B1601" i="34" s="1"/>
  <c r="C1600" i="34"/>
  <c r="B1600" i="34" s="1"/>
  <c r="C1599" i="34"/>
  <c r="B1599" i="34" s="1"/>
  <c r="C1598" i="34"/>
  <c r="B1598" i="34" s="1"/>
  <c r="C1597" i="34"/>
  <c r="B1597" i="34" s="1"/>
  <c r="C1596" i="34"/>
  <c r="B1596" i="34" s="1"/>
  <c r="C1595" i="34"/>
  <c r="B1595" i="34" s="1"/>
  <c r="C1594" i="34"/>
  <c r="B1594" i="34" s="1"/>
  <c r="C1593" i="34"/>
  <c r="B1593" i="34" s="1"/>
  <c r="C1592" i="34"/>
  <c r="B1592" i="34" s="1"/>
  <c r="C1591" i="34"/>
  <c r="B1591" i="34" s="1"/>
  <c r="C1590" i="34"/>
  <c r="B1590" i="34" s="1"/>
  <c r="C1589" i="34"/>
  <c r="B1589" i="34" s="1"/>
  <c r="C1588" i="34"/>
  <c r="B1588" i="34" s="1"/>
  <c r="C1587" i="34"/>
  <c r="B1587" i="34" s="1"/>
  <c r="C1586" i="34"/>
  <c r="B1586" i="34" s="1"/>
  <c r="C1585" i="34"/>
  <c r="B1585" i="34" s="1"/>
  <c r="C1584" i="34"/>
  <c r="B1584" i="34" s="1"/>
  <c r="C1583" i="34"/>
  <c r="B1583" i="34" s="1"/>
  <c r="C1582" i="34"/>
  <c r="B1582" i="34" s="1"/>
  <c r="C1581" i="34"/>
  <c r="B1581" i="34" s="1"/>
  <c r="C1580" i="34"/>
  <c r="B1580" i="34" s="1"/>
  <c r="C1579" i="34"/>
  <c r="B1579" i="34" s="1"/>
  <c r="C1578" i="34"/>
  <c r="B1578" i="34" s="1"/>
  <c r="C1577" i="34"/>
  <c r="B1577" i="34" s="1"/>
  <c r="C1576" i="34"/>
  <c r="B1576" i="34" s="1"/>
  <c r="C1575" i="34"/>
  <c r="B1575" i="34" s="1"/>
  <c r="C1574" i="34"/>
  <c r="B1574" i="34" s="1"/>
  <c r="C1573" i="34"/>
  <c r="B1573" i="34" s="1"/>
  <c r="K1572" i="34"/>
  <c r="C1572" i="34"/>
  <c r="B1572" i="34" s="1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9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B1905" i="34" s="1"/>
  <c r="C1906" i="34"/>
  <c r="C1907" i="34"/>
  <c r="C1908" i="34"/>
  <c r="C1909" i="34"/>
  <c r="B1909" i="34" s="1"/>
  <c r="C1910" i="34"/>
  <c r="C1911" i="34"/>
  <c r="C1912" i="34"/>
  <c r="C1913" i="34"/>
  <c r="B1913" i="34" s="1"/>
  <c r="C1914" i="34"/>
  <c r="C1915" i="34"/>
  <c r="C1916" i="34"/>
  <c r="C1917" i="34"/>
  <c r="B1917" i="34" s="1"/>
  <c r="C1918" i="34"/>
  <c r="C1919" i="34"/>
  <c r="C1920" i="34"/>
  <c r="C1921" i="34"/>
  <c r="B1921" i="34" s="1"/>
  <c r="C1922" i="34"/>
  <c r="C1923" i="34"/>
  <c r="C1924" i="34"/>
  <c r="C1925" i="34"/>
  <c r="B1925" i="34" s="1"/>
  <c r="C1926" i="34"/>
  <c r="C1927" i="34"/>
  <c r="C1928" i="34"/>
  <c r="C1929" i="34"/>
  <c r="B1929" i="34" s="1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B1941" i="34" s="1"/>
  <c r="C1942" i="34"/>
  <c r="C1943" i="34"/>
  <c r="C1944" i="34"/>
  <c r="C1945" i="34"/>
  <c r="C1946" i="34"/>
  <c r="C1947" i="34"/>
  <c r="J186" i="74"/>
  <c r="K186" i="74" s="1"/>
  <c r="J227" i="74"/>
  <c r="K227" i="74" s="1"/>
  <c r="J213" i="74"/>
  <c r="K213" i="74" s="1"/>
  <c r="J279" i="74"/>
  <c r="K279" i="74" s="1"/>
  <c r="J222" i="74"/>
  <c r="K222" i="74" s="1"/>
  <c r="J225" i="74"/>
  <c r="K225" i="74" s="1"/>
  <c r="J220" i="74"/>
  <c r="K220" i="74" s="1"/>
  <c r="J230" i="74"/>
  <c r="K230" i="74" s="1"/>
  <c r="J147" i="74"/>
  <c r="K147" i="74" s="1"/>
  <c r="J148" i="74"/>
  <c r="K148" i="74" s="1"/>
  <c r="J149" i="74"/>
  <c r="K149" i="74" s="1"/>
  <c r="J150" i="74"/>
  <c r="K150" i="74" s="1"/>
  <c r="J151" i="74"/>
  <c r="J152" i="74"/>
  <c r="J153" i="74"/>
  <c r="K153" i="74" s="1"/>
  <c r="J154" i="74"/>
  <c r="J155" i="74"/>
  <c r="K155" i="74" s="1"/>
  <c r="J156" i="74"/>
  <c r="K156" i="74" s="1"/>
  <c r="J157" i="74"/>
  <c r="K157" i="74" s="1"/>
  <c r="J158" i="74"/>
  <c r="K158" i="74" s="1"/>
  <c r="J159" i="74"/>
  <c r="K159" i="74" s="1"/>
  <c r="J160" i="74"/>
  <c r="K160" i="74" s="1"/>
  <c r="J161" i="74"/>
  <c r="K161" i="74" s="1"/>
  <c r="J162" i="74"/>
  <c r="J163" i="74"/>
  <c r="K163" i="74" s="1"/>
  <c r="J164" i="74"/>
  <c r="K164" i="74" s="1"/>
  <c r="J165" i="74"/>
  <c r="J166" i="74"/>
  <c r="J167" i="74"/>
  <c r="K167" i="74" s="1"/>
  <c r="J168" i="74"/>
  <c r="K168" i="74" s="1"/>
  <c r="J169" i="74"/>
  <c r="K169" i="74" s="1"/>
  <c r="J170" i="74"/>
  <c r="K170" i="74" s="1"/>
  <c r="J171" i="74"/>
  <c r="K171" i="74" s="1"/>
  <c r="J172" i="74"/>
  <c r="K172" i="74" s="1"/>
  <c r="J173" i="74"/>
  <c r="K173" i="74" s="1"/>
  <c r="J174" i="74"/>
  <c r="K174" i="74" s="1"/>
  <c r="J175" i="74"/>
  <c r="K175" i="74" s="1"/>
  <c r="J176" i="74"/>
  <c r="K176" i="74" s="1"/>
  <c r="J177" i="74"/>
  <c r="K177" i="74" s="1"/>
  <c r="J178" i="74"/>
  <c r="K178" i="74" s="1"/>
  <c r="J179" i="74"/>
  <c r="K179" i="74" s="1"/>
  <c r="J180" i="74"/>
  <c r="K180" i="74" s="1"/>
  <c r="J181" i="74"/>
  <c r="K181" i="74" s="1"/>
  <c r="J182" i="74"/>
  <c r="K182" i="74" s="1"/>
  <c r="J183" i="74"/>
  <c r="K183" i="74" s="1"/>
  <c r="J184" i="74"/>
  <c r="K184" i="74" s="1"/>
  <c r="J185" i="74"/>
  <c r="K185" i="74" s="1"/>
  <c r="J187" i="74"/>
  <c r="K187" i="74" s="1"/>
  <c r="J188" i="74"/>
  <c r="K188" i="74" s="1"/>
  <c r="J189" i="74"/>
  <c r="K189" i="74" s="1"/>
  <c r="J190" i="74"/>
  <c r="K190" i="74" s="1"/>
  <c r="J191" i="74"/>
  <c r="K191" i="74" s="1"/>
  <c r="J192" i="74"/>
  <c r="K192" i="74" s="1"/>
  <c r="J193" i="74"/>
  <c r="K193" i="74" s="1"/>
  <c r="J194" i="74"/>
  <c r="K194" i="74" s="1"/>
  <c r="J195" i="74"/>
  <c r="K195" i="74" s="1"/>
  <c r="J196" i="74"/>
  <c r="K196" i="74" s="1"/>
  <c r="J197" i="74"/>
  <c r="K197" i="74" s="1"/>
  <c r="J198" i="74"/>
  <c r="K198" i="74" s="1"/>
  <c r="J199" i="74"/>
  <c r="K199" i="74" s="1"/>
  <c r="J200" i="74"/>
  <c r="K200" i="74" s="1"/>
  <c r="J201" i="74"/>
  <c r="K201" i="74" s="1"/>
  <c r="J202" i="74"/>
  <c r="K202" i="74" s="1"/>
  <c r="J203" i="74"/>
  <c r="K203" i="74" s="1"/>
  <c r="J204" i="74"/>
  <c r="K204" i="74" s="1"/>
  <c r="J205" i="74"/>
  <c r="K205" i="74" s="1"/>
  <c r="J206" i="74"/>
  <c r="K206" i="74" s="1"/>
  <c r="J207" i="74"/>
  <c r="K207" i="74" s="1"/>
  <c r="J208" i="74"/>
  <c r="K208" i="74" s="1"/>
  <c r="J209" i="74"/>
  <c r="K209" i="74" s="1"/>
  <c r="J210" i="74"/>
  <c r="K210" i="74" s="1"/>
  <c r="J211" i="74"/>
  <c r="K211" i="74" s="1"/>
  <c r="J212" i="74"/>
  <c r="K212" i="74" s="1"/>
  <c r="J214" i="74"/>
  <c r="K214" i="74" s="1"/>
  <c r="J215" i="74"/>
  <c r="K215" i="74" s="1"/>
  <c r="J216" i="74"/>
  <c r="K216" i="74" s="1"/>
  <c r="J217" i="74"/>
  <c r="K217" i="74" s="1"/>
  <c r="J218" i="74"/>
  <c r="K218" i="74" s="1"/>
  <c r="J219" i="74"/>
  <c r="K219" i="74" s="1"/>
  <c r="J221" i="74"/>
  <c r="K221" i="74" s="1"/>
  <c r="J223" i="74"/>
  <c r="K223" i="74" s="1"/>
  <c r="J224" i="74"/>
  <c r="K224" i="74" s="1"/>
  <c r="J226" i="74"/>
  <c r="K226" i="74" s="1"/>
  <c r="J228" i="74"/>
  <c r="K228" i="74" s="1"/>
  <c r="J229" i="74"/>
  <c r="K229" i="74" s="1"/>
  <c r="J231" i="74"/>
  <c r="K231" i="74" s="1"/>
  <c r="J232" i="74"/>
  <c r="K232" i="74" s="1"/>
  <c r="J233" i="74"/>
  <c r="K233" i="74" s="1"/>
  <c r="J234" i="74"/>
  <c r="K234" i="74" s="1"/>
  <c r="J235" i="74"/>
  <c r="K235" i="74" s="1"/>
  <c r="J236" i="74"/>
  <c r="K236" i="74" s="1"/>
  <c r="J237" i="74"/>
  <c r="K237" i="74" s="1"/>
  <c r="J238" i="74"/>
  <c r="K238" i="74" s="1"/>
  <c r="J239" i="74"/>
  <c r="K239" i="74" s="1"/>
  <c r="J240" i="74"/>
  <c r="K240" i="74" s="1"/>
  <c r="J241" i="74"/>
  <c r="K241" i="74" s="1"/>
  <c r="J242" i="74"/>
  <c r="K242" i="74" s="1"/>
  <c r="J243" i="74"/>
  <c r="K243" i="74" s="1"/>
  <c r="J244" i="74"/>
  <c r="K244" i="74" s="1"/>
  <c r="J245" i="74"/>
  <c r="K245" i="74" s="1"/>
  <c r="J246" i="74"/>
  <c r="K246" i="74" s="1"/>
  <c r="J247" i="74"/>
  <c r="K247" i="74" s="1"/>
  <c r="J248" i="74"/>
  <c r="K248" i="74" s="1"/>
  <c r="J249" i="74"/>
  <c r="K249" i="74" s="1"/>
  <c r="J250" i="74"/>
  <c r="K250" i="74" s="1"/>
  <c r="J251" i="74"/>
  <c r="K251" i="74" s="1"/>
  <c r="J252" i="74"/>
  <c r="K252" i="74" s="1"/>
  <c r="J253" i="74"/>
  <c r="K253" i="74" s="1"/>
  <c r="J254" i="74"/>
  <c r="K254" i="74" s="1"/>
  <c r="J255" i="74"/>
  <c r="K255" i="74" s="1"/>
  <c r="J256" i="74"/>
  <c r="K256" i="74" s="1"/>
  <c r="J257" i="74"/>
  <c r="K257" i="74" s="1"/>
  <c r="J258" i="74"/>
  <c r="K258" i="74" s="1"/>
  <c r="J259" i="74"/>
  <c r="K259" i="74" s="1"/>
  <c r="J260" i="74"/>
  <c r="K260" i="74" s="1"/>
  <c r="J261" i="74"/>
  <c r="K261" i="74" s="1"/>
  <c r="J262" i="74"/>
  <c r="K262" i="74" s="1"/>
  <c r="J263" i="74"/>
  <c r="K263" i="74" s="1"/>
  <c r="J264" i="74"/>
  <c r="K264" i="74" s="1"/>
  <c r="J265" i="74"/>
  <c r="K265" i="74" s="1"/>
  <c r="J266" i="74"/>
  <c r="K266" i="74" s="1"/>
  <c r="J267" i="74"/>
  <c r="K267" i="74" s="1"/>
  <c r="J268" i="74"/>
  <c r="K268" i="74" s="1"/>
  <c r="J269" i="74"/>
  <c r="K269" i="74" s="1"/>
  <c r="J270" i="74"/>
  <c r="K270" i="74" s="1"/>
  <c r="J271" i="74"/>
  <c r="K271" i="74" s="1"/>
  <c r="J272" i="74"/>
  <c r="K272" i="74" s="1"/>
  <c r="J273" i="74"/>
  <c r="K273" i="74" s="1"/>
  <c r="J274" i="74"/>
  <c r="K274" i="74" s="1"/>
  <c r="J275" i="74"/>
  <c r="K275" i="74" s="1"/>
  <c r="J276" i="74"/>
  <c r="K276" i="74" s="1"/>
  <c r="J277" i="74"/>
  <c r="K277" i="74" s="1"/>
  <c r="J278" i="74"/>
  <c r="K278" i="74" s="1"/>
  <c r="J280" i="74"/>
  <c r="K280" i="74" s="1"/>
  <c r="J281" i="74"/>
  <c r="K281" i="74" s="1"/>
  <c r="J282" i="74"/>
  <c r="K282" i="74" s="1"/>
  <c r="J283" i="74"/>
  <c r="K283" i="74" s="1"/>
  <c r="J284" i="74"/>
  <c r="K284" i="74" s="1"/>
  <c r="J285" i="74"/>
  <c r="K285" i="74" s="1"/>
  <c r="J286" i="74"/>
  <c r="K286" i="74" s="1"/>
  <c r="J287" i="74"/>
  <c r="K287" i="74" s="1"/>
  <c r="J288" i="74"/>
  <c r="K288" i="74" s="1"/>
  <c r="J289" i="74"/>
  <c r="K289" i="74" s="1"/>
  <c r="J23" i="74"/>
  <c r="K23" i="74" s="1"/>
  <c r="J24" i="74"/>
  <c r="K24" i="74" s="1"/>
  <c r="J25" i="74"/>
  <c r="K25" i="74" s="1"/>
  <c r="J26" i="74"/>
  <c r="K26" i="74" s="1"/>
  <c r="J27" i="74"/>
  <c r="K27" i="74" s="1"/>
  <c r="J28" i="74"/>
  <c r="K28" i="74" s="1"/>
  <c r="J29" i="74"/>
  <c r="K29" i="74" s="1"/>
  <c r="J30" i="74"/>
  <c r="K30" i="74" s="1"/>
  <c r="J31" i="74"/>
  <c r="K31" i="74" s="1"/>
  <c r="J32" i="74"/>
  <c r="K32" i="74" s="1"/>
  <c r="J33" i="74"/>
  <c r="K33" i="74" s="1"/>
  <c r="J34" i="74"/>
  <c r="K34" i="74" s="1"/>
  <c r="J35" i="74"/>
  <c r="K35" i="74" s="1"/>
  <c r="J36" i="74"/>
  <c r="K36" i="74" s="1"/>
  <c r="J37" i="74"/>
  <c r="K37" i="74" s="1"/>
  <c r="J38" i="74"/>
  <c r="K38" i="74" s="1"/>
  <c r="J39" i="74"/>
  <c r="K39" i="74" s="1"/>
  <c r="J40" i="74"/>
  <c r="K40" i="74" s="1"/>
  <c r="J41" i="74"/>
  <c r="K41" i="74" s="1"/>
  <c r="J42" i="74"/>
  <c r="K42" i="74" s="1"/>
  <c r="J43" i="74"/>
  <c r="K43" i="74" s="1"/>
  <c r="J44" i="74"/>
  <c r="K44" i="74" s="1"/>
  <c r="J45" i="74"/>
  <c r="K45" i="74" s="1"/>
  <c r="J46" i="74"/>
  <c r="K46" i="74" s="1"/>
  <c r="J47" i="74"/>
  <c r="K47" i="74" s="1"/>
  <c r="J48" i="74"/>
  <c r="K48" i="74" s="1"/>
  <c r="J49" i="74"/>
  <c r="K49" i="74" s="1"/>
  <c r="J50" i="74"/>
  <c r="K50" i="74" s="1"/>
  <c r="J51" i="74"/>
  <c r="K51" i="74" s="1"/>
  <c r="J52" i="74"/>
  <c r="K52" i="74" s="1"/>
  <c r="J53" i="74"/>
  <c r="K53" i="74" s="1"/>
  <c r="J54" i="74"/>
  <c r="K54" i="74" s="1"/>
  <c r="J55" i="74"/>
  <c r="K55" i="74" s="1"/>
  <c r="J56" i="74"/>
  <c r="K56" i="74" s="1"/>
  <c r="J57" i="74"/>
  <c r="K57" i="74" s="1"/>
  <c r="J58" i="74"/>
  <c r="K58" i="74" s="1"/>
  <c r="J59" i="74"/>
  <c r="K59" i="74" s="1"/>
  <c r="J60" i="74"/>
  <c r="K60" i="74" s="1"/>
  <c r="J61" i="74"/>
  <c r="K61" i="74" s="1"/>
  <c r="J62" i="74"/>
  <c r="K62" i="74" s="1"/>
  <c r="J63" i="74"/>
  <c r="K63" i="74" s="1"/>
  <c r="J64" i="74"/>
  <c r="K64" i="74" s="1"/>
  <c r="J65" i="74"/>
  <c r="K65" i="74" s="1"/>
  <c r="J66" i="74"/>
  <c r="K66" i="74" s="1"/>
  <c r="J67" i="74"/>
  <c r="K67" i="74" s="1"/>
  <c r="J68" i="74"/>
  <c r="K68" i="74" s="1"/>
  <c r="J69" i="74"/>
  <c r="K69" i="74" s="1"/>
  <c r="J70" i="74"/>
  <c r="K70" i="74" s="1"/>
  <c r="J71" i="74"/>
  <c r="K71" i="74" s="1"/>
  <c r="J72" i="74"/>
  <c r="K72" i="74" s="1"/>
  <c r="J73" i="74"/>
  <c r="K73" i="74" s="1"/>
  <c r="J74" i="74"/>
  <c r="K74" i="74" s="1"/>
  <c r="J75" i="74"/>
  <c r="K75" i="74" s="1"/>
  <c r="J76" i="74"/>
  <c r="K76" i="74" s="1"/>
  <c r="J77" i="74"/>
  <c r="K77" i="74" s="1"/>
  <c r="J78" i="74"/>
  <c r="K78" i="74" s="1"/>
  <c r="J79" i="74"/>
  <c r="K79" i="74" s="1"/>
  <c r="J80" i="74"/>
  <c r="K80" i="74" s="1"/>
  <c r="J81" i="74"/>
  <c r="K81" i="74" s="1"/>
  <c r="J82" i="74"/>
  <c r="K82" i="74" s="1"/>
  <c r="J83" i="74"/>
  <c r="K83" i="74" s="1"/>
  <c r="J84" i="74"/>
  <c r="K84" i="74" s="1"/>
  <c r="J85" i="74"/>
  <c r="K85" i="74" s="1"/>
  <c r="J86" i="74"/>
  <c r="K86" i="74" s="1"/>
  <c r="J87" i="74"/>
  <c r="K87" i="74" s="1"/>
  <c r="J88" i="74"/>
  <c r="K88" i="74" s="1"/>
  <c r="J89" i="74"/>
  <c r="K89" i="74" s="1"/>
  <c r="J90" i="74"/>
  <c r="K90" i="74" s="1"/>
  <c r="J91" i="74"/>
  <c r="K91" i="74" s="1"/>
  <c r="J92" i="74"/>
  <c r="K92" i="74" s="1"/>
  <c r="J93" i="74"/>
  <c r="K93" i="74" s="1"/>
  <c r="J94" i="74"/>
  <c r="K94" i="74" s="1"/>
  <c r="J95" i="74"/>
  <c r="K95" i="74" s="1"/>
  <c r="J96" i="74"/>
  <c r="K96" i="74" s="1"/>
  <c r="J97" i="74"/>
  <c r="J98" i="74"/>
  <c r="K98" i="74" s="1"/>
  <c r="J99" i="74"/>
  <c r="K99" i="74" s="1"/>
  <c r="J100" i="74"/>
  <c r="J101" i="74"/>
  <c r="J102" i="74"/>
  <c r="J103" i="74"/>
  <c r="J104" i="74"/>
  <c r="J105" i="74"/>
  <c r="J106" i="74"/>
  <c r="J107" i="74"/>
  <c r="J108" i="74"/>
  <c r="K108" i="74" s="1"/>
  <c r="J109" i="74"/>
  <c r="K109" i="74" s="1"/>
  <c r="J110" i="74"/>
  <c r="K110" i="74" s="1"/>
  <c r="J111" i="74"/>
  <c r="K111" i="74" s="1"/>
  <c r="J112" i="74"/>
  <c r="J113" i="74"/>
  <c r="J114" i="74"/>
  <c r="J115" i="74"/>
  <c r="K115" i="74" s="1"/>
  <c r="J116" i="74"/>
  <c r="K116" i="74" s="1"/>
  <c r="J117" i="74"/>
  <c r="K117" i="74" s="1"/>
  <c r="J118" i="74"/>
  <c r="K118" i="74" s="1"/>
  <c r="J119" i="74"/>
  <c r="K119" i="74" s="1"/>
  <c r="J120" i="74"/>
  <c r="K120" i="74" s="1"/>
  <c r="J121" i="74"/>
  <c r="K121" i="74" s="1"/>
  <c r="J122" i="74"/>
  <c r="K122" i="74" s="1"/>
  <c r="J123" i="74"/>
  <c r="K123" i="74" s="1"/>
  <c r="J124" i="74"/>
  <c r="K124" i="74" s="1"/>
  <c r="J125" i="74"/>
  <c r="K125" i="74" s="1"/>
  <c r="J126" i="74"/>
  <c r="K126" i="74" s="1"/>
  <c r="J127" i="74"/>
  <c r="K127" i="74" s="1"/>
  <c r="J128" i="74"/>
  <c r="K128" i="74" s="1"/>
  <c r="J129" i="74"/>
  <c r="K129" i="74" s="1"/>
  <c r="J130" i="74"/>
  <c r="K130" i="74" s="1"/>
  <c r="J131" i="74"/>
  <c r="J132" i="74"/>
  <c r="K132" i="74" s="1"/>
  <c r="J133" i="74"/>
  <c r="K133" i="74" s="1"/>
  <c r="J134" i="74"/>
  <c r="K134" i="74" s="1"/>
  <c r="J135" i="74"/>
  <c r="J136" i="74"/>
  <c r="K136" i="74" s="1"/>
  <c r="J137" i="74"/>
  <c r="J138" i="74"/>
  <c r="K138" i="74" s="1"/>
  <c r="J139" i="74"/>
  <c r="K139" i="74" s="1"/>
  <c r="J140" i="74"/>
  <c r="K140" i="74" s="1"/>
  <c r="J141" i="74"/>
  <c r="K141" i="74" s="1"/>
  <c r="J142" i="74"/>
  <c r="K142" i="74" s="1"/>
  <c r="J143" i="74"/>
  <c r="K143" i="74" s="1"/>
  <c r="J144" i="74"/>
  <c r="K144" i="74" s="1"/>
  <c r="J145" i="74"/>
  <c r="K145" i="74" s="1"/>
  <c r="J146" i="74"/>
  <c r="K146" i="74" s="1"/>
  <c r="K1481" i="34"/>
  <c r="C1481" i="34"/>
  <c r="B1481" i="34" s="1"/>
  <c r="K1480" i="34"/>
  <c r="C1480" i="34"/>
  <c r="B1480" i="34" s="1"/>
  <c r="K1479" i="34"/>
  <c r="C1479" i="34"/>
  <c r="B1479" i="34" s="1"/>
  <c r="K1478" i="34"/>
  <c r="C1478" i="34"/>
  <c r="B1478" i="34" s="1"/>
  <c r="K1477" i="34"/>
  <c r="C1477" i="34"/>
  <c r="B1477" i="34" s="1"/>
  <c r="K1476" i="34"/>
  <c r="C1476" i="34"/>
  <c r="B1476" i="34" s="1"/>
  <c r="K1475" i="34"/>
  <c r="C1475" i="34"/>
  <c r="B1475" i="34" s="1"/>
  <c r="C1610" i="34"/>
  <c r="B1610" i="34" s="1"/>
  <c r="K1609" i="34"/>
  <c r="C1609" i="34"/>
  <c r="B1609" i="34" s="1"/>
  <c r="K1608" i="34"/>
  <c r="C1608" i="34"/>
  <c r="B1608" i="34" s="1"/>
  <c r="K1607" i="34"/>
  <c r="C1607" i="34"/>
  <c r="B1607" i="34" s="1"/>
  <c r="K1606" i="34"/>
  <c r="C1606" i="34"/>
  <c r="B1606" i="34" s="1"/>
  <c r="K1605" i="34"/>
  <c r="C1605" i="34"/>
  <c r="B1605" i="34" s="1"/>
  <c r="K1604" i="34"/>
  <c r="C1604" i="34"/>
  <c r="B1604" i="34" s="1"/>
  <c r="K1485" i="34"/>
  <c r="C1485" i="34"/>
  <c r="B1485" i="34" s="1"/>
  <c r="K1484" i="34"/>
  <c r="C1484" i="34"/>
  <c r="B1484" i="34" s="1"/>
  <c r="K1488" i="34"/>
  <c r="C1488" i="34"/>
  <c r="B1488" i="34" s="1"/>
  <c r="K1487" i="34"/>
  <c r="C1487" i="34"/>
  <c r="B1487" i="34" s="1"/>
  <c r="K1486" i="34"/>
  <c r="C1486" i="34"/>
  <c r="B1486" i="34" s="1"/>
  <c r="C1491" i="34"/>
  <c r="B1491" i="34" s="1"/>
  <c r="K1490" i="34"/>
  <c r="C1490" i="34"/>
  <c r="B1490" i="34" s="1"/>
  <c r="K1489" i="34"/>
  <c r="C1489" i="34"/>
  <c r="B1489" i="34" s="1"/>
  <c r="C1778" i="34"/>
  <c r="C1779" i="34"/>
  <c r="C1780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M146" i="74"/>
  <c r="M139" i="74"/>
  <c r="M132" i="74"/>
  <c r="M128" i="74"/>
  <c r="M116" i="74"/>
  <c r="M111" i="74"/>
  <c r="M110" i="74"/>
  <c r="M109" i="74"/>
  <c r="M108" i="74"/>
  <c r="M99" i="74"/>
  <c r="M98" i="74"/>
  <c r="M96" i="74"/>
  <c r="M138" i="74"/>
  <c r="K1426" i="34"/>
  <c r="C1426" i="34"/>
  <c r="B1426" i="34" s="1"/>
  <c r="K1425" i="34"/>
  <c r="C1425" i="34"/>
  <c r="B1425" i="34" s="1"/>
  <c r="K1424" i="34"/>
  <c r="C1424" i="34"/>
  <c r="B1424" i="34" s="1"/>
  <c r="C1422" i="34"/>
  <c r="B1422" i="34" s="1"/>
  <c r="K1421" i="34"/>
  <c r="C1421" i="34"/>
  <c r="B1421" i="34" s="1"/>
  <c r="C1617" i="34"/>
  <c r="B1617" i="34" s="1"/>
  <c r="C1618" i="34"/>
  <c r="C1619" i="34"/>
  <c r="C1620" i="34"/>
  <c r="C1621" i="34"/>
  <c r="B1621" i="34" s="1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B1673" i="34" s="1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28" i="34"/>
  <c r="B1728" i="34" s="1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B1744" i="34" s="1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B1760" i="34" s="1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5" i="34"/>
  <c r="C1776" i="34"/>
  <c r="C1777" i="34"/>
  <c r="C1611" i="34"/>
  <c r="C1612" i="34"/>
  <c r="C1613" i="34"/>
  <c r="C1614" i="34"/>
  <c r="C1615" i="34"/>
  <c r="C1616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5" i="34"/>
  <c r="K1776" i="34"/>
  <c r="K1777" i="34"/>
  <c r="K1778" i="34"/>
  <c r="K1779" i="34"/>
  <c r="K1780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611" i="34"/>
  <c r="Q92" i="74"/>
  <c r="Q21" i="74"/>
  <c r="Q18" i="74"/>
  <c r="Q15" i="74"/>
  <c r="Q14" i="74"/>
  <c r="Q8" i="74"/>
  <c r="Q4" i="74"/>
  <c r="Q3" i="74"/>
  <c r="Q2" i="74"/>
  <c r="J2" i="74"/>
  <c r="P4" i="74"/>
  <c r="P92" i="74"/>
  <c r="P21" i="74"/>
  <c r="P18" i="74"/>
  <c r="P15" i="74"/>
  <c r="P14" i="74"/>
  <c r="P8" i="74"/>
  <c r="P3" i="74"/>
  <c r="J21" i="74"/>
  <c r="K21" i="74" s="1"/>
  <c r="P2" i="74"/>
  <c r="K1296" i="34"/>
  <c r="C1296" i="34"/>
  <c r="B1296" i="34" s="1"/>
  <c r="C1297" i="34"/>
  <c r="B1297" i="34" s="1"/>
  <c r="K1295" i="34"/>
  <c r="C1295" i="34"/>
  <c r="B1295" i="34" s="1"/>
  <c r="K1294" i="34"/>
  <c r="C1294" i="34"/>
  <c r="B1294" i="34" s="1"/>
  <c r="K1203" i="34"/>
  <c r="C1203" i="34"/>
  <c r="B1203" i="34" s="1"/>
  <c r="K1202" i="34"/>
  <c r="C1202" i="34"/>
  <c r="B1202" i="34" s="1"/>
  <c r="K1201" i="34"/>
  <c r="C1201" i="34"/>
  <c r="B1201" i="34" s="1"/>
  <c r="K1200" i="34"/>
  <c r="C1200" i="34"/>
  <c r="B1200" i="34" s="1"/>
  <c r="K1199" i="34"/>
  <c r="C1199" i="34"/>
  <c r="B1199" i="34" s="1"/>
  <c r="K1198" i="34"/>
  <c r="C1198" i="34"/>
  <c r="B1198" i="34" s="1"/>
  <c r="K1197" i="34"/>
  <c r="C1197" i="34"/>
  <c r="B1197" i="34" s="1"/>
  <c r="K1196" i="34"/>
  <c r="C1196" i="34"/>
  <c r="B1196" i="34" s="1"/>
  <c r="K1195" i="34"/>
  <c r="C1195" i="34"/>
  <c r="B1195" i="34" s="1"/>
  <c r="K1194" i="34"/>
  <c r="C1194" i="34"/>
  <c r="B1194" i="34" s="1"/>
  <c r="K1213" i="34"/>
  <c r="C1213" i="34"/>
  <c r="B1213" i="34" s="1"/>
  <c r="K1212" i="34"/>
  <c r="C1212" i="34"/>
  <c r="B1212" i="34" s="1"/>
  <c r="K1211" i="34"/>
  <c r="C1211" i="34"/>
  <c r="B1211" i="34" s="1"/>
  <c r="K1210" i="34"/>
  <c r="C1210" i="34"/>
  <c r="B1210" i="34" s="1"/>
  <c r="K1209" i="34"/>
  <c r="C1209" i="34"/>
  <c r="B1209" i="34" s="1"/>
  <c r="K1208" i="34"/>
  <c r="C1208" i="34"/>
  <c r="B1208" i="34" s="1"/>
  <c r="K1207" i="34"/>
  <c r="C1207" i="34"/>
  <c r="B1207" i="34" s="1"/>
  <c r="K1206" i="34"/>
  <c r="C1206" i="34"/>
  <c r="B1206" i="34" s="1"/>
  <c r="K1205" i="34"/>
  <c r="C1205" i="34"/>
  <c r="B1205" i="34" s="1"/>
  <c r="K1204" i="34"/>
  <c r="C1204" i="34"/>
  <c r="B1204" i="34" s="1"/>
  <c r="K1223" i="34"/>
  <c r="C1223" i="34"/>
  <c r="B1223" i="34" s="1"/>
  <c r="K1222" i="34"/>
  <c r="C1222" i="34"/>
  <c r="B1222" i="34" s="1"/>
  <c r="K1221" i="34"/>
  <c r="C1221" i="34"/>
  <c r="B1221" i="34" s="1"/>
  <c r="K1220" i="34"/>
  <c r="C1220" i="34"/>
  <c r="B1220" i="34" s="1"/>
  <c r="K1219" i="34"/>
  <c r="C1219" i="34"/>
  <c r="B1219" i="34" s="1"/>
  <c r="K1218" i="34"/>
  <c r="C1218" i="34"/>
  <c r="B1218" i="34" s="1"/>
  <c r="K1217" i="34"/>
  <c r="C1217" i="34"/>
  <c r="B1217" i="34" s="1"/>
  <c r="K1216" i="34"/>
  <c r="C1216" i="34"/>
  <c r="B1216" i="34" s="1"/>
  <c r="K1215" i="34"/>
  <c r="C1215" i="34"/>
  <c r="B1215" i="34" s="1"/>
  <c r="K1214" i="34"/>
  <c r="C1214" i="34"/>
  <c r="B1214" i="34" s="1"/>
  <c r="K1233" i="34"/>
  <c r="C1233" i="34"/>
  <c r="B1233" i="34" s="1"/>
  <c r="K1232" i="34"/>
  <c r="C1232" i="34"/>
  <c r="B1232" i="34" s="1"/>
  <c r="K1231" i="34"/>
  <c r="C1231" i="34"/>
  <c r="B1231" i="34" s="1"/>
  <c r="K1230" i="34"/>
  <c r="C1230" i="34"/>
  <c r="B1230" i="34" s="1"/>
  <c r="K1229" i="34"/>
  <c r="C1229" i="34"/>
  <c r="B1229" i="34" s="1"/>
  <c r="K1228" i="34"/>
  <c r="C1228" i="34"/>
  <c r="B1228" i="34" s="1"/>
  <c r="K1227" i="34"/>
  <c r="C1227" i="34"/>
  <c r="B1227" i="34" s="1"/>
  <c r="K1226" i="34"/>
  <c r="C1226" i="34"/>
  <c r="B1226" i="34" s="1"/>
  <c r="K1225" i="34"/>
  <c r="C1225" i="34"/>
  <c r="B1225" i="34" s="1"/>
  <c r="K1224" i="34"/>
  <c r="C1224" i="34"/>
  <c r="B1224" i="34" s="1"/>
  <c r="K1243" i="34"/>
  <c r="C1243" i="34"/>
  <c r="B1243" i="34" s="1"/>
  <c r="K1242" i="34"/>
  <c r="C1242" i="34"/>
  <c r="B1242" i="34" s="1"/>
  <c r="K1241" i="34"/>
  <c r="C1241" i="34"/>
  <c r="B1241" i="34" s="1"/>
  <c r="K1240" i="34"/>
  <c r="C1240" i="34"/>
  <c r="B1240" i="34" s="1"/>
  <c r="K1239" i="34"/>
  <c r="C1239" i="34"/>
  <c r="B1239" i="34" s="1"/>
  <c r="K1238" i="34"/>
  <c r="C1238" i="34"/>
  <c r="B1238" i="34" s="1"/>
  <c r="K1237" i="34"/>
  <c r="C1237" i="34"/>
  <c r="B1237" i="34" s="1"/>
  <c r="K1236" i="34"/>
  <c r="C1236" i="34"/>
  <c r="B1236" i="34" s="1"/>
  <c r="K1235" i="34"/>
  <c r="C1235" i="34"/>
  <c r="B1235" i="34" s="1"/>
  <c r="K1234" i="34"/>
  <c r="C1234" i="34"/>
  <c r="B1234" i="34" s="1"/>
  <c r="K1253" i="34"/>
  <c r="C1253" i="34"/>
  <c r="B1253" i="34" s="1"/>
  <c r="K1252" i="34"/>
  <c r="C1252" i="34"/>
  <c r="B1252" i="34" s="1"/>
  <c r="K1251" i="34"/>
  <c r="C1251" i="34"/>
  <c r="B1251" i="34" s="1"/>
  <c r="K1250" i="34"/>
  <c r="C1250" i="34"/>
  <c r="B1250" i="34" s="1"/>
  <c r="K1249" i="34"/>
  <c r="C1249" i="34"/>
  <c r="B1249" i="34" s="1"/>
  <c r="K1248" i="34"/>
  <c r="C1248" i="34"/>
  <c r="B1248" i="34" s="1"/>
  <c r="K1247" i="34"/>
  <c r="C1247" i="34"/>
  <c r="B1247" i="34" s="1"/>
  <c r="K1246" i="34"/>
  <c r="C1246" i="34"/>
  <c r="B1246" i="34" s="1"/>
  <c r="K1245" i="34"/>
  <c r="C1245" i="34"/>
  <c r="B1245" i="34" s="1"/>
  <c r="K1244" i="34"/>
  <c r="C1244" i="34"/>
  <c r="B1244" i="34" s="1"/>
  <c r="K1263" i="34"/>
  <c r="C1263" i="34"/>
  <c r="B1263" i="34" s="1"/>
  <c r="K1262" i="34"/>
  <c r="C1262" i="34"/>
  <c r="B1262" i="34" s="1"/>
  <c r="K1261" i="34"/>
  <c r="C1261" i="34"/>
  <c r="B1261" i="34" s="1"/>
  <c r="K1260" i="34"/>
  <c r="C1260" i="34"/>
  <c r="B1260" i="34" s="1"/>
  <c r="K1259" i="34"/>
  <c r="C1259" i="34"/>
  <c r="B1259" i="34" s="1"/>
  <c r="K1258" i="34"/>
  <c r="C1258" i="34"/>
  <c r="B1258" i="34" s="1"/>
  <c r="K1257" i="34"/>
  <c r="C1257" i="34"/>
  <c r="B1257" i="34" s="1"/>
  <c r="K1256" i="34"/>
  <c r="C1256" i="34"/>
  <c r="B1256" i="34" s="1"/>
  <c r="K1255" i="34"/>
  <c r="C1255" i="34"/>
  <c r="B1255" i="34" s="1"/>
  <c r="K1254" i="34"/>
  <c r="C1254" i="34"/>
  <c r="B1254" i="34" s="1"/>
  <c r="K1273" i="34"/>
  <c r="C1273" i="34"/>
  <c r="B1273" i="34" s="1"/>
  <c r="K1272" i="34"/>
  <c r="C1272" i="34"/>
  <c r="B1272" i="34" s="1"/>
  <c r="K1271" i="34"/>
  <c r="C1271" i="34"/>
  <c r="B1271" i="34" s="1"/>
  <c r="K1270" i="34"/>
  <c r="C1270" i="34"/>
  <c r="B1270" i="34" s="1"/>
  <c r="K1269" i="34"/>
  <c r="C1269" i="34"/>
  <c r="B1269" i="34" s="1"/>
  <c r="K1268" i="34"/>
  <c r="C1268" i="34"/>
  <c r="B1268" i="34" s="1"/>
  <c r="K1267" i="34"/>
  <c r="C1267" i="34"/>
  <c r="B1267" i="34" s="1"/>
  <c r="K1266" i="34"/>
  <c r="C1266" i="34"/>
  <c r="B1266" i="34" s="1"/>
  <c r="K1265" i="34"/>
  <c r="C1265" i="34"/>
  <c r="B1265" i="34" s="1"/>
  <c r="K1264" i="34"/>
  <c r="C1264" i="34"/>
  <c r="B1264" i="34" s="1"/>
  <c r="K1283" i="34"/>
  <c r="C1283" i="34"/>
  <c r="B1283" i="34" s="1"/>
  <c r="K1282" i="34"/>
  <c r="C1282" i="34"/>
  <c r="B1282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77" i="34"/>
  <c r="C1277" i="34"/>
  <c r="B1277" i="34" s="1"/>
  <c r="K1276" i="34"/>
  <c r="C1276" i="34"/>
  <c r="B1276" i="34" s="1"/>
  <c r="K1275" i="34"/>
  <c r="C1275" i="34"/>
  <c r="B1275" i="34" s="1"/>
  <c r="K1274" i="34"/>
  <c r="C1274" i="34"/>
  <c r="B1274" i="34" s="1"/>
  <c r="K1291" i="34"/>
  <c r="C1291" i="34"/>
  <c r="B1291" i="34" s="1"/>
  <c r="K1290" i="34"/>
  <c r="C1290" i="34"/>
  <c r="B1290" i="34" s="1"/>
  <c r="K1289" i="34"/>
  <c r="C1289" i="34"/>
  <c r="B1289" i="34" s="1"/>
  <c r="K1288" i="34"/>
  <c r="C1288" i="34"/>
  <c r="B1288" i="34" s="1"/>
  <c r="K1287" i="34"/>
  <c r="C1287" i="34"/>
  <c r="B1287" i="34" s="1"/>
  <c r="K1286" i="34"/>
  <c r="C1286" i="34"/>
  <c r="B1286" i="34" s="1"/>
  <c r="K1285" i="34"/>
  <c r="C1285" i="34"/>
  <c r="B1285" i="34" s="1"/>
  <c r="K1284" i="34"/>
  <c r="C1284" i="34"/>
  <c r="B1284" i="34" s="1"/>
  <c r="C1299" i="34"/>
  <c r="B1299" i="34" s="1"/>
  <c r="K1298" i="34"/>
  <c r="C1298" i="34"/>
  <c r="B1298" i="34" s="1"/>
  <c r="K1293" i="34"/>
  <c r="C1293" i="34"/>
  <c r="B1293" i="34" s="1"/>
  <c r="K1292" i="34"/>
  <c r="C1292" i="34"/>
  <c r="B1292" i="34" s="1"/>
  <c r="C1134" i="34"/>
  <c r="B1134" i="34" s="1"/>
  <c r="K1133" i="34"/>
  <c r="C1133" i="34"/>
  <c r="B1133" i="34" s="1"/>
  <c r="K1417" i="34"/>
  <c r="C1417" i="34"/>
  <c r="B1417" i="34" s="1"/>
  <c r="K1418" i="34"/>
  <c r="C1418" i="34"/>
  <c r="B1418" i="34" s="1"/>
  <c r="C1420" i="34"/>
  <c r="B1420" i="34" s="1"/>
  <c r="K1419" i="34"/>
  <c r="C1419" i="34"/>
  <c r="B1419" i="34" s="1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23" i="34"/>
  <c r="C1454" i="34"/>
  <c r="B1454" i="34" s="1"/>
  <c r="C1453" i="34"/>
  <c r="B1453" i="34" s="1"/>
  <c r="C1452" i="34"/>
  <c r="B1452" i="34" s="1"/>
  <c r="C1451" i="34"/>
  <c r="B1451" i="34" s="1"/>
  <c r="C1450" i="34"/>
  <c r="B1450" i="34" s="1"/>
  <c r="C1449" i="34"/>
  <c r="B1449" i="34" s="1"/>
  <c r="C1448" i="34"/>
  <c r="B1448" i="34" s="1"/>
  <c r="C1447" i="34"/>
  <c r="B1447" i="34" s="1"/>
  <c r="C1446" i="34"/>
  <c r="B1446" i="34" s="1"/>
  <c r="C1445" i="34"/>
  <c r="B1445" i="34" s="1"/>
  <c r="C1444" i="34"/>
  <c r="B1444" i="34" s="1"/>
  <c r="C1443" i="34"/>
  <c r="B1443" i="34" s="1"/>
  <c r="C1442" i="34"/>
  <c r="B1442" i="34" s="1"/>
  <c r="C1441" i="34"/>
  <c r="B1441" i="34" s="1"/>
  <c r="C1440" i="34"/>
  <c r="B1440" i="34" s="1"/>
  <c r="C1439" i="34"/>
  <c r="B1439" i="34" s="1"/>
  <c r="C1438" i="34"/>
  <c r="B1438" i="34" s="1"/>
  <c r="C1437" i="34"/>
  <c r="B1437" i="34" s="1"/>
  <c r="C1436" i="34"/>
  <c r="B1436" i="34" s="1"/>
  <c r="C1435" i="34"/>
  <c r="B1435" i="34" s="1"/>
  <c r="C1434" i="34"/>
  <c r="B1434" i="34" s="1"/>
  <c r="C1433" i="34"/>
  <c r="B1433" i="34" s="1"/>
  <c r="C1432" i="34"/>
  <c r="B1432" i="34" s="1"/>
  <c r="C1431" i="34"/>
  <c r="B1431" i="34" s="1"/>
  <c r="C1430" i="34"/>
  <c r="B1430" i="34" s="1"/>
  <c r="C1429" i="34"/>
  <c r="B1429" i="34" s="1"/>
  <c r="C1428" i="34"/>
  <c r="B1428" i="34" s="1"/>
  <c r="C1427" i="34"/>
  <c r="B1427" i="34" s="1"/>
  <c r="C1423" i="34"/>
  <c r="B1423" i="34" s="1"/>
  <c r="K1405" i="34"/>
  <c r="C1406" i="34"/>
  <c r="B1406" i="34" s="1"/>
  <c r="C1405" i="34"/>
  <c r="B1405" i="34" s="1"/>
  <c r="K2" i="74"/>
  <c r="J3" i="74"/>
  <c r="K3" i="74" s="1"/>
  <c r="J4" i="74"/>
  <c r="K4" i="74" s="1"/>
  <c r="J5" i="74"/>
  <c r="K5" i="74" s="1"/>
  <c r="J6" i="74"/>
  <c r="K6" i="74" s="1"/>
  <c r="J7" i="74"/>
  <c r="J8" i="74"/>
  <c r="K8" i="74" s="1"/>
  <c r="J9" i="74"/>
  <c r="J10" i="74"/>
  <c r="J11" i="74"/>
  <c r="K11" i="74" s="1"/>
  <c r="J12" i="74"/>
  <c r="J13" i="74"/>
  <c r="J14" i="74"/>
  <c r="K14" i="74" s="1"/>
  <c r="J15" i="74"/>
  <c r="K15" i="74" s="1"/>
  <c r="J16" i="74"/>
  <c r="J17" i="74"/>
  <c r="J18" i="74"/>
  <c r="K18" i="74" s="1"/>
  <c r="J19" i="74"/>
  <c r="J20" i="74"/>
  <c r="J22" i="74"/>
  <c r="K22" i="74" s="1"/>
  <c r="C142" i="34"/>
  <c r="B142" i="34" s="1"/>
  <c r="C141" i="34"/>
  <c r="B141" i="34" s="1"/>
  <c r="C1191" i="34"/>
  <c r="B1191" i="34" s="1"/>
  <c r="C1190" i="34"/>
  <c r="B1190" i="34" s="1"/>
  <c r="K1187" i="34"/>
  <c r="C1187" i="34"/>
  <c r="B1187" i="34" s="1"/>
  <c r="C1193" i="34"/>
  <c r="B1193" i="34" s="1"/>
  <c r="C1192" i="34"/>
  <c r="B1192" i="34" s="1"/>
  <c r="C1189" i="34"/>
  <c r="B1189" i="34" s="1"/>
  <c r="C1188" i="34"/>
  <c r="B1188" i="34" s="1"/>
  <c r="K987" i="34"/>
  <c r="C987" i="34"/>
  <c r="B987" i="34" s="1"/>
  <c r="K997" i="34"/>
  <c r="C997" i="34"/>
  <c r="B997" i="34" s="1"/>
  <c r="K996" i="34"/>
  <c r="C996" i="34"/>
  <c r="B996" i="34" s="1"/>
  <c r="K995" i="34"/>
  <c r="C995" i="34"/>
  <c r="B995" i="34" s="1"/>
  <c r="K994" i="34"/>
  <c r="C994" i="34"/>
  <c r="B994" i="34" s="1"/>
  <c r="K993" i="34"/>
  <c r="C993" i="34"/>
  <c r="B993" i="34" s="1"/>
  <c r="K992" i="34"/>
  <c r="C992" i="34"/>
  <c r="B992" i="34" s="1"/>
  <c r="K991" i="34"/>
  <c r="C991" i="34"/>
  <c r="B991" i="34" s="1"/>
  <c r="K990" i="34"/>
  <c r="C990" i="34"/>
  <c r="B990" i="34" s="1"/>
  <c r="K989" i="34"/>
  <c r="C989" i="34"/>
  <c r="B989" i="34" s="1"/>
  <c r="K988" i="34"/>
  <c r="C988" i="34"/>
  <c r="B988" i="34" s="1"/>
  <c r="K1007" i="34"/>
  <c r="C1007" i="34"/>
  <c r="B1007" i="34" s="1"/>
  <c r="K1006" i="34"/>
  <c r="C1006" i="34"/>
  <c r="B1006" i="34" s="1"/>
  <c r="K1005" i="34"/>
  <c r="C1005" i="34"/>
  <c r="B1005" i="34" s="1"/>
  <c r="K1004" i="34"/>
  <c r="C1004" i="34"/>
  <c r="B1004" i="34" s="1"/>
  <c r="K1003" i="34"/>
  <c r="C1003" i="34"/>
  <c r="B1003" i="34" s="1"/>
  <c r="K1002" i="34"/>
  <c r="C1002" i="34"/>
  <c r="B1002" i="34" s="1"/>
  <c r="K1001" i="34"/>
  <c r="C1001" i="34"/>
  <c r="B1001" i="34" s="1"/>
  <c r="K1000" i="34"/>
  <c r="C1000" i="34"/>
  <c r="B1000" i="34" s="1"/>
  <c r="K999" i="34"/>
  <c r="C999" i="34"/>
  <c r="B999" i="34" s="1"/>
  <c r="K998" i="34"/>
  <c r="C998" i="34"/>
  <c r="B998" i="34" s="1"/>
  <c r="K1017" i="34"/>
  <c r="C1017" i="34"/>
  <c r="B1017" i="34" s="1"/>
  <c r="K1016" i="34"/>
  <c r="C1016" i="34"/>
  <c r="B1016" i="34" s="1"/>
  <c r="K1015" i="34"/>
  <c r="C1015" i="34"/>
  <c r="B1015" i="34" s="1"/>
  <c r="K1014" i="34"/>
  <c r="C1014" i="34"/>
  <c r="B1014" i="34" s="1"/>
  <c r="K1013" i="34"/>
  <c r="C1013" i="34"/>
  <c r="B1013" i="34" s="1"/>
  <c r="K1012" i="34"/>
  <c r="C1012" i="34"/>
  <c r="B1012" i="34" s="1"/>
  <c r="K1011" i="34"/>
  <c r="C1011" i="34"/>
  <c r="B1011" i="34" s="1"/>
  <c r="K1010" i="34"/>
  <c r="C1010" i="34"/>
  <c r="B1010" i="34" s="1"/>
  <c r="K1009" i="34"/>
  <c r="C1009" i="34"/>
  <c r="B1009" i="34" s="1"/>
  <c r="K1008" i="34"/>
  <c r="C1008" i="34"/>
  <c r="B1008" i="34" s="1"/>
  <c r="K1027" i="34"/>
  <c r="C1027" i="34"/>
  <c r="B1027" i="34" s="1"/>
  <c r="K1026" i="34"/>
  <c r="C1026" i="34"/>
  <c r="B1026" i="34" s="1"/>
  <c r="K1025" i="34"/>
  <c r="C1025" i="34"/>
  <c r="B1025" i="34" s="1"/>
  <c r="K1024" i="34"/>
  <c r="C1024" i="34"/>
  <c r="B1024" i="34" s="1"/>
  <c r="K1023" i="34"/>
  <c r="C1023" i="34"/>
  <c r="B1023" i="34" s="1"/>
  <c r="K1022" i="34"/>
  <c r="C1022" i="34"/>
  <c r="B1022" i="34" s="1"/>
  <c r="K1021" i="34"/>
  <c r="C1021" i="34"/>
  <c r="B1021" i="34" s="1"/>
  <c r="K1020" i="34"/>
  <c r="C1020" i="34"/>
  <c r="B1020" i="34" s="1"/>
  <c r="K1019" i="34"/>
  <c r="C1019" i="34"/>
  <c r="B1019" i="34" s="1"/>
  <c r="K1018" i="34"/>
  <c r="C1018" i="34"/>
  <c r="B1018" i="34" s="1"/>
  <c r="K1037" i="34"/>
  <c r="C1037" i="34"/>
  <c r="B1037" i="34" s="1"/>
  <c r="K1036" i="34"/>
  <c r="C1036" i="34"/>
  <c r="B1036" i="34" s="1"/>
  <c r="K1035" i="34"/>
  <c r="C1035" i="34"/>
  <c r="B1035" i="34" s="1"/>
  <c r="K1034" i="34"/>
  <c r="C1034" i="34"/>
  <c r="B1034" i="34" s="1"/>
  <c r="K1033" i="34"/>
  <c r="C1033" i="34"/>
  <c r="B1033" i="34" s="1"/>
  <c r="K1032" i="34"/>
  <c r="C1032" i="34"/>
  <c r="B1032" i="34" s="1"/>
  <c r="K1031" i="34"/>
  <c r="C1031" i="34"/>
  <c r="B1031" i="34" s="1"/>
  <c r="K1030" i="34"/>
  <c r="C1030" i="34"/>
  <c r="B1030" i="34" s="1"/>
  <c r="K1029" i="34"/>
  <c r="C1029" i="34"/>
  <c r="B1029" i="34" s="1"/>
  <c r="K1028" i="34"/>
  <c r="C1028" i="34"/>
  <c r="B1028" i="34" s="1"/>
  <c r="K1047" i="34"/>
  <c r="C1047" i="34"/>
  <c r="B1047" i="34" s="1"/>
  <c r="K1046" i="34"/>
  <c r="C1046" i="34"/>
  <c r="B1046" i="34" s="1"/>
  <c r="K1045" i="34"/>
  <c r="C1045" i="34"/>
  <c r="B1045" i="34" s="1"/>
  <c r="K1044" i="34"/>
  <c r="C1044" i="34"/>
  <c r="B1044" i="34" s="1"/>
  <c r="K1043" i="34"/>
  <c r="C1043" i="34"/>
  <c r="B1043" i="34" s="1"/>
  <c r="K1042" i="34"/>
  <c r="C1042" i="34"/>
  <c r="B1042" i="34" s="1"/>
  <c r="K1041" i="34"/>
  <c r="C1041" i="34"/>
  <c r="B1041" i="34" s="1"/>
  <c r="K1040" i="34"/>
  <c r="C1040" i="34"/>
  <c r="B1040" i="34" s="1"/>
  <c r="K1039" i="34"/>
  <c r="C1039" i="34"/>
  <c r="B1039" i="34" s="1"/>
  <c r="K1038" i="34"/>
  <c r="C1038" i="34"/>
  <c r="B1038" i="34" s="1"/>
  <c r="K1049" i="34"/>
  <c r="K1050" i="34"/>
  <c r="K1051" i="34"/>
  <c r="K1052" i="34"/>
  <c r="K1053" i="34"/>
  <c r="K1054" i="34"/>
  <c r="K1055" i="34"/>
  <c r="K1056" i="34"/>
  <c r="K1057" i="34"/>
  <c r="K1048" i="34"/>
  <c r="C1049" i="34"/>
  <c r="B1049" i="34" s="1"/>
  <c r="C1048" i="34"/>
  <c r="B1048" i="34" s="1"/>
  <c r="C1053" i="34"/>
  <c r="B1053" i="34" s="1"/>
  <c r="C1052" i="34"/>
  <c r="B1052" i="34" s="1"/>
  <c r="C1051" i="34"/>
  <c r="B1051" i="34" s="1"/>
  <c r="C1050" i="34"/>
  <c r="B1050" i="34" s="1"/>
  <c r="C1055" i="34"/>
  <c r="B1055" i="34" s="1"/>
  <c r="C1054" i="34"/>
  <c r="B1054" i="34" s="1"/>
  <c r="C1056" i="34"/>
  <c r="B1056" i="34" s="1"/>
  <c r="K1151" i="34"/>
  <c r="K1152" i="34"/>
  <c r="K1153" i="34"/>
  <c r="K1154" i="34"/>
  <c r="K1150" i="34"/>
  <c r="C1150" i="34"/>
  <c r="B1150" i="34" s="1"/>
  <c r="C1152" i="34"/>
  <c r="B1152" i="34" s="1"/>
  <c r="C1151" i="34"/>
  <c r="B1151" i="34" s="1"/>
  <c r="C1153" i="34"/>
  <c r="B1153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102" i="34"/>
  <c r="C1102" i="34"/>
  <c r="B1102" i="34" s="1"/>
  <c r="K1101" i="34"/>
  <c r="C1101" i="34"/>
  <c r="B1101" i="34" s="1"/>
  <c r="K1100" i="34"/>
  <c r="C1100" i="34"/>
  <c r="B1100" i="34" s="1"/>
  <c r="K1099" i="34"/>
  <c r="C1099" i="34"/>
  <c r="B1099" i="34" s="1"/>
  <c r="K1098" i="34"/>
  <c r="C1098" i="34"/>
  <c r="B1098" i="34" s="1"/>
  <c r="K1116" i="34"/>
  <c r="C1116" i="34"/>
  <c r="B1116" i="34" s="1"/>
  <c r="K1115" i="34"/>
  <c r="C1115" i="34"/>
  <c r="B1115" i="34" s="1"/>
  <c r="K1114" i="34"/>
  <c r="C1114" i="34"/>
  <c r="B1114" i="34" s="1"/>
  <c r="K1113" i="34"/>
  <c r="C1113" i="34"/>
  <c r="B1113" i="34" s="1"/>
  <c r="K1112" i="34"/>
  <c r="C1112" i="34"/>
  <c r="B1112" i="34" s="1"/>
  <c r="K1111" i="34"/>
  <c r="C1111" i="34"/>
  <c r="B1111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18" i="34"/>
  <c r="K1119" i="34"/>
  <c r="K1120" i="34"/>
  <c r="K1121" i="34"/>
  <c r="K1122" i="34"/>
  <c r="K1123" i="34"/>
  <c r="K1124" i="34"/>
  <c r="K1125" i="34"/>
  <c r="K1126" i="34"/>
  <c r="K1117" i="34"/>
  <c r="C1118" i="34"/>
  <c r="B1118" i="34" s="1"/>
  <c r="C1117" i="34"/>
  <c r="B1117" i="34" s="1"/>
  <c r="C1122" i="34"/>
  <c r="B1122" i="34" s="1"/>
  <c r="C1121" i="34"/>
  <c r="B1121" i="34" s="1"/>
  <c r="C1120" i="34"/>
  <c r="B1120" i="34" s="1"/>
  <c r="C1119" i="34"/>
  <c r="B1119" i="34" s="1"/>
  <c r="C1124" i="34"/>
  <c r="B1124" i="34" s="1"/>
  <c r="C1123" i="34"/>
  <c r="B1123" i="34" s="1"/>
  <c r="C1125" i="34"/>
  <c r="B1125" i="34" s="1"/>
  <c r="H318" i="55" a="1"/>
  <c r="H318" i="55" s="1"/>
  <c r="F318" i="55" a="1"/>
  <c r="F318" i="55" s="1"/>
  <c r="A318" i="55"/>
  <c r="H411" i="55" a="1"/>
  <c r="H411" i="55" s="1"/>
  <c r="F411" i="55" a="1"/>
  <c r="F411" i="55" s="1"/>
  <c r="A411" i="55"/>
  <c r="H588" i="55" a="1"/>
  <c r="H588" i="55" s="1"/>
  <c r="F588" i="55" a="1"/>
  <c r="F588" i="55" s="1"/>
  <c r="A588" i="55"/>
  <c r="H367" i="55" a="1"/>
  <c r="H367" i="55" s="1"/>
  <c r="F367" i="55" a="1"/>
  <c r="F367" i="55" s="1"/>
  <c r="A367" i="55"/>
  <c r="H456" i="55" a="1"/>
  <c r="H456" i="55" s="1"/>
  <c r="F456" i="55" a="1"/>
  <c r="F456" i="55" s="1"/>
  <c r="A456" i="55"/>
  <c r="H596" i="55" a="1"/>
  <c r="H596" i="55" s="1"/>
  <c r="F596" i="55" a="1"/>
  <c r="F596" i="55" s="1"/>
  <c r="A596" i="55"/>
  <c r="H228" i="55" a="1"/>
  <c r="H228" i="55" s="1"/>
  <c r="F228" i="55" a="1"/>
  <c r="F228" i="55" s="1"/>
  <c r="A228" i="55"/>
  <c r="H204" i="55" a="1"/>
  <c r="H204" i="55" s="1"/>
  <c r="F204" i="55" a="1"/>
  <c r="F204" i="55" s="1"/>
  <c r="A204" i="55"/>
  <c r="H625" i="55" a="1"/>
  <c r="H625" i="55" s="1"/>
  <c r="F625" i="55" a="1"/>
  <c r="F625" i="55" s="1"/>
  <c r="A625" i="55"/>
  <c r="H245" i="55" a="1"/>
  <c r="H245" i="55" s="1"/>
  <c r="F245" i="55" a="1"/>
  <c r="F245" i="55" s="1"/>
  <c r="A245" i="55"/>
  <c r="H66" i="55" a="1"/>
  <c r="H66" i="55" s="1"/>
  <c r="F66" i="55" a="1"/>
  <c r="F66" i="55" s="1"/>
  <c r="A66" i="55"/>
  <c r="H226" i="55" a="1"/>
  <c r="H226" i="55" s="1"/>
  <c r="F226" i="55" a="1"/>
  <c r="F226" i="55" s="1"/>
  <c r="A226" i="55"/>
  <c r="H632" i="55" a="1"/>
  <c r="H632" i="55" s="1"/>
  <c r="F632" i="55" a="1"/>
  <c r="F632" i="55" s="1"/>
  <c r="A632" i="55"/>
  <c r="H438" i="55" a="1"/>
  <c r="H438" i="55" s="1"/>
  <c r="F438" i="55" a="1"/>
  <c r="F438" i="55" s="1"/>
  <c r="A438" i="55"/>
  <c r="H584" i="55" a="1"/>
  <c r="H584" i="55" s="1"/>
  <c r="F584" i="55" a="1"/>
  <c r="F584" i="55" s="1"/>
  <c r="A584" i="55"/>
  <c r="H481" i="55" a="1"/>
  <c r="H481" i="55" s="1"/>
  <c r="F481" i="55" a="1"/>
  <c r="F481" i="55" s="1"/>
  <c r="A481" i="55"/>
  <c r="H495" i="55" a="1"/>
  <c r="H495" i="55" s="1"/>
  <c r="F495" i="55" a="1"/>
  <c r="F495" i="55" s="1"/>
  <c r="A495" i="55"/>
  <c r="H513" i="55" a="1"/>
  <c r="H513" i="55" s="1"/>
  <c r="F513" i="55" a="1"/>
  <c r="F513" i="55" s="1"/>
  <c r="A513" i="55"/>
  <c r="H606" i="55" a="1"/>
  <c r="H606" i="55" s="1"/>
  <c r="F606" i="55" a="1"/>
  <c r="F606" i="55" s="1"/>
  <c r="A606" i="55"/>
  <c r="H558" i="55" a="1"/>
  <c r="H558" i="55" s="1"/>
  <c r="F558" i="55" a="1"/>
  <c r="F558" i="55" s="1"/>
  <c r="A558" i="55"/>
  <c r="H330" i="55" a="1"/>
  <c r="H330" i="55" s="1"/>
  <c r="F330" i="55" a="1"/>
  <c r="F330" i="55" s="1"/>
  <c r="A330" i="55"/>
  <c r="H325" i="55" a="1"/>
  <c r="H325" i="55" s="1"/>
  <c r="F325" i="55" a="1"/>
  <c r="F325" i="55" s="1"/>
  <c r="A325" i="55"/>
  <c r="H527" i="55" a="1"/>
  <c r="H527" i="55" s="1"/>
  <c r="F527" i="55" a="1"/>
  <c r="F527" i="55" s="1"/>
  <c r="A527" i="55"/>
  <c r="H423" i="55" a="1"/>
  <c r="H423" i="55" s="1"/>
  <c r="F423" i="55" a="1"/>
  <c r="F423" i="55" s="1"/>
  <c r="A423" i="55"/>
  <c r="H523" i="55" a="1"/>
  <c r="H523" i="55" s="1"/>
  <c r="F523" i="55" a="1"/>
  <c r="F523" i="55" s="1"/>
  <c r="A523" i="55"/>
  <c r="H561" i="55" a="1"/>
  <c r="H561" i="55" s="1"/>
  <c r="F561" i="55" a="1"/>
  <c r="F561" i="55" s="1"/>
  <c r="A561" i="55"/>
  <c r="H655" i="55" a="1"/>
  <c r="H655" i="55" s="1"/>
  <c r="F655" i="55" a="1"/>
  <c r="F655" i="55" s="1"/>
  <c r="A655" i="55"/>
  <c r="H429" i="55" a="1"/>
  <c r="H429" i="55" s="1"/>
  <c r="F429" i="55" a="1"/>
  <c r="F429" i="55" s="1"/>
  <c r="A429" i="55"/>
  <c r="H426" i="55" a="1"/>
  <c r="H426" i="55" s="1"/>
  <c r="F426" i="55" a="1"/>
  <c r="F426" i="55" s="1"/>
  <c r="A426" i="55"/>
  <c r="H221" i="55" a="1"/>
  <c r="H221" i="55" s="1"/>
  <c r="F221" i="55" a="1"/>
  <c r="F221" i="55" s="1"/>
  <c r="A221" i="55"/>
  <c r="H662" i="55" a="1"/>
  <c r="H662" i="55" s="1"/>
  <c r="F662" i="55" a="1"/>
  <c r="F662" i="55" s="1"/>
  <c r="A662" i="55"/>
  <c r="H534" i="55" a="1"/>
  <c r="H534" i="55" s="1"/>
  <c r="F534" i="55" a="1"/>
  <c r="F534" i="55" s="1"/>
  <c r="A534" i="55"/>
  <c r="H360" i="55" a="1"/>
  <c r="H360" i="55" s="1"/>
  <c r="F360" i="55" a="1"/>
  <c r="F360" i="55" s="1"/>
  <c r="A360" i="55"/>
  <c r="H402" i="55" a="1"/>
  <c r="H402" i="55" s="1"/>
  <c r="F402" i="55" a="1"/>
  <c r="F402" i="55" s="1"/>
  <c r="A402" i="55"/>
  <c r="H248" i="55" a="1"/>
  <c r="H248" i="55" s="1"/>
  <c r="F248" i="55" a="1"/>
  <c r="F248" i="55" s="1"/>
  <c r="A248" i="55"/>
  <c r="H270" i="55" a="1"/>
  <c r="H270" i="55" s="1"/>
  <c r="F270" i="55" a="1"/>
  <c r="F270" i="55" s="1"/>
  <c r="A270" i="55"/>
  <c r="H648" i="55" a="1"/>
  <c r="H648" i="55" s="1"/>
  <c r="F648" i="55" a="1"/>
  <c r="F648" i="55" s="1"/>
  <c r="A648" i="55"/>
  <c r="H524" i="55" a="1"/>
  <c r="H524" i="55" s="1"/>
  <c r="F524" i="55" a="1"/>
  <c r="F524" i="55" s="1"/>
  <c r="A524" i="55"/>
  <c r="H663" i="55" a="1"/>
  <c r="H663" i="55" s="1"/>
  <c r="F663" i="55" a="1"/>
  <c r="F663" i="55" s="1"/>
  <c r="A663" i="55"/>
  <c r="H656" i="55" a="1"/>
  <c r="H656" i="55" s="1"/>
  <c r="F656" i="55" a="1"/>
  <c r="F656" i="55" s="1"/>
  <c r="A656" i="55"/>
  <c r="H223" i="55" a="1"/>
  <c r="H223" i="55" s="1"/>
  <c r="F223" i="55" a="1"/>
  <c r="F223" i="55" s="1"/>
  <c r="A223" i="55"/>
  <c r="H301" i="55" a="1"/>
  <c r="H301" i="55" s="1"/>
  <c r="F301" i="55" a="1"/>
  <c r="F301" i="55" s="1"/>
  <c r="A301" i="55"/>
  <c r="H447" i="55" a="1"/>
  <c r="H447" i="55" s="1"/>
  <c r="F447" i="55" a="1"/>
  <c r="F447" i="55" s="1"/>
  <c r="A447" i="55"/>
  <c r="H199" i="55" a="1"/>
  <c r="H199" i="55" s="1"/>
  <c r="F199" i="55" a="1"/>
  <c r="F199" i="55" s="1"/>
  <c r="A199" i="55"/>
  <c r="H373" i="55" a="1"/>
  <c r="H373" i="55" s="1"/>
  <c r="F373" i="55" a="1"/>
  <c r="F373" i="55" s="1"/>
  <c r="A373" i="55"/>
  <c r="H645" i="55" a="1"/>
  <c r="H645" i="55" s="1"/>
  <c r="F645" i="55" a="1"/>
  <c r="F645" i="55" s="1"/>
  <c r="A645" i="55"/>
  <c r="H346" i="55" a="1"/>
  <c r="H346" i="55" s="1"/>
  <c r="F346" i="55" a="1"/>
  <c r="F346" i="55" s="1"/>
  <c r="A346" i="55"/>
  <c r="H184" i="55" a="1"/>
  <c r="H184" i="55" s="1"/>
  <c r="F184" i="55" a="1"/>
  <c r="F184" i="55" s="1"/>
  <c r="A184" i="55"/>
  <c r="H185" i="55" a="1"/>
  <c r="H185" i="55" s="1"/>
  <c r="F185" i="55" a="1"/>
  <c r="F185" i="55" s="1"/>
  <c r="A185" i="55"/>
  <c r="H347" i="55" a="1"/>
  <c r="H347" i="55" s="1"/>
  <c r="F347" i="55" a="1"/>
  <c r="F347" i="55" s="1"/>
  <c r="A347" i="55"/>
  <c r="H472" i="55" a="1"/>
  <c r="H472" i="55" s="1"/>
  <c r="F472" i="55" a="1"/>
  <c r="F472" i="55" s="1"/>
  <c r="A472" i="55"/>
  <c r="H415" i="55" a="1"/>
  <c r="H415" i="55" s="1"/>
  <c r="F415" i="55" a="1"/>
  <c r="F415" i="55" s="1"/>
  <c r="A415" i="55"/>
  <c r="H180" i="55" a="1"/>
  <c r="H180" i="55" s="1"/>
  <c r="F180" i="55" a="1"/>
  <c r="F180" i="55" s="1"/>
  <c r="H115" i="55" a="1"/>
  <c r="H115" i="55" s="1"/>
  <c r="F115" i="55" a="1"/>
  <c r="F115" i="55" s="1"/>
  <c r="A115" i="55"/>
  <c r="H70" i="55" a="1"/>
  <c r="H70" i="55" s="1"/>
  <c r="F70" i="55" a="1"/>
  <c r="F70" i="55" s="1"/>
  <c r="A70" i="55"/>
  <c r="H181" i="55" a="1"/>
  <c r="H181" i="55" s="1"/>
  <c r="F181" i="55" a="1"/>
  <c r="F181" i="55" s="1"/>
  <c r="A181" i="55"/>
  <c r="H547" i="55" a="1"/>
  <c r="H547" i="55" s="1"/>
  <c r="F547" i="55" a="1"/>
  <c r="F547" i="55" s="1"/>
  <c r="A547" i="55"/>
  <c r="H336" i="55" a="1"/>
  <c r="H336" i="55" s="1"/>
  <c r="F336" i="55" a="1"/>
  <c r="F336" i="55" s="1"/>
  <c r="A336" i="55"/>
  <c r="H337" i="55" a="1"/>
  <c r="H337" i="55" s="1"/>
  <c r="F337" i="55" a="1"/>
  <c r="F337" i="55" s="1"/>
  <c r="A337" i="55"/>
  <c r="H319" i="55" a="1"/>
  <c r="H319" i="55" s="1"/>
  <c r="F319" i="55" a="1"/>
  <c r="F319" i="55" s="1"/>
  <c r="A319" i="55"/>
  <c r="H316" i="55" a="1"/>
  <c r="H316" i="55" s="1"/>
  <c r="F316" i="55" a="1"/>
  <c r="F316" i="55" s="1"/>
  <c r="A316" i="55"/>
  <c r="H545" i="55" a="1"/>
  <c r="H545" i="55" s="1"/>
  <c r="F545" i="55" a="1"/>
  <c r="F545" i="55" s="1"/>
  <c r="A545" i="55"/>
  <c r="H444" i="55" a="1"/>
  <c r="H444" i="55" s="1"/>
  <c r="F444" i="55" a="1"/>
  <c r="F444" i="55" s="1"/>
  <c r="A444" i="55"/>
  <c r="H451" i="55" a="1"/>
  <c r="H451" i="55" s="1"/>
  <c r="F451" i="55" a="1"/>
  <c r="F451" i="55" s="1"/>
  <c r="A451" i="55"/>
  <c r="H468" i="55" a="1"/>
  <c r="H468" i="55" s="1"/>
  <c r="F468" i="55" a="1"/>
  <c r="F468" i="55" s="1"/>
  <c r="A468" i="55"/>
  <c r="H422" i="55" a="1"/>
  <c r="H422" i="55" s="1"/>
  <c r="F422" i="55" a="1"/>
  <c r="F422" i="55" s="1"/>
  <c r="A422" i="55"/>
  <c r="H526" i="55" a="1"/>
  <c r="H526" i="55" s="1"/>
  <c r="F526" i="55" a="1"/>
  <c r="F526" i="55" s="1"/>
  <c r="A526" i="55"/>
  <c r="H418" i="55" a="1"/>
  <c r="H418" i="55" s="1"/>
  <c r="F418" i="55" a="1"/>
  <c r="F418" i="55" s="1"/>
  <c r="A418" i="55"/>
  <c r="H519" i="55" a="1"/>
  <c r="H519" i="55" s="1"/>
  <c r="F519" i="55" a="1"/>
  <c r="F519" i="55" s="1"/>
  <c r="A519" i="55"/>
  <c r="H396" i="55" a="1"/>
  <c r="H396" i="55" s="1"/>
  <c r="F396" i="55" a="1"/>
  <c r="F396" i="55" s="1"/>
  <c r="A396" i="55"/>
  <c r="H394" i="55" a="1"/>
  <c r="H394" i="55" s="1"/>
  <c r="F394" i="55" a="1"/>
  <c r="F394" i="55" s="1"/>
  <c r="A394" i="55"/>
  <c r="H452" i="55" a="1"/>
  <c r="H452" i="55" s="1"/>
  <c r="F452" i="55" a="1"/>
  <c r="F452" i="55" s="1"/>
  <c r="A452" i="55"/>
  <c r="H414" i="55" a="1"/>
  <c r="H414" i="55" s="1"/>
  <c r="F414" i="55" a="1"/>
  <c r="F414" i="55" s="1"/>
  <c r="A414" i="55"/>
  <c r="H218" i="55" a="1"/>
  <c r="H218" i="55" s="1"/>
  <c r="F218" i="55" a="1"/>
  <c r="F218" i="55" s="1"/>
  <c r="A218" i="55"/>
  <c r="H338" i="55" a="1"/>
  <c r="H338" i="55" s="1"/>
  <c r="F338" i="55" a="1"/>
  <c r="F338" i="55" s="1"/>
  <c r="A338" i="55"/>
  <c r="H442" i="55" a="1"/>
  <c r="H442" i="55" s="1"/>
  <c r="F442" i="55" a="1"/>
  <c r="F442" i="55" s="1"/>
  <c r="A442" i="55"/>
  <c r="H489" i="55" a="1"/>
  <c r="H489" i="55" s="1"/>
  <c r="F489" i="55" a="1"/>
  <c r="F489" i="55" s="1"/>
  <c r="A489" i="55"/>
  <c r="H335" i="55" a="1"/>
  <c r="H335" i="55" s="1"/>
  <c r="F335" i="55" a="1"/>
  <c r="F335" i="55" s="1"/>
  <c r="A335" i="55"/>
  <c r="H480" i="55" a="1"/>
  <c r="H480" i="55" s="1"/>
  <c r="F480" i="55" a="1"/>
  <c r="F480" i="55" s="1"/>
  <c r="A480" i="55"/>
  <c r="H320" i="55" a="1"/>
  <c r="H320" i="55" s="1"/>
  <c r="F320" i="55" a="1"/>
  <c r="F320" i="55" s="1"/>
  <c r="A320" i="55"/>
  <c r="H630" i="55" a="1"/>
  <c r="H630" i="55" s="1"/>
  <c r="F630" i="55" a="1"/>
  <c r="F630" i="55" s="1"/>
  <c r="A630" i="55"/>
  <c r="H386" i="55" a="1"/>
  <c r="H386" i="55" s="1"/>
  <c r="F386" i="55" a="1"/>
  <c r="F386" i="55" s="1"/>
  <c r="A386" i="55"/>
  <c r="H624" i="55" a="1"/>
  <c r="H624" i="55" s="1"/>
  <c r="F624" i="55" a="1"/>
  <c r="F624" i="55" s="1"/>
  <c r="A624" i="55"/>
  <c r="H366" i="55" a="1"/>
  <c r="H366" i="55" s="1"/>
  <c r="F366" i="55" a="1"/>
  <c r="F366" i="55" s="1"/>
  <c r="A366" i="55"/>
  <c r="H492" i="55" a="1"/>
  <c r="H492" i="55" s="1"/>
  <c r="F492" i="55" a="1"/>
  <c r="F492" i="55" s="1"/>
  <c r="A492" i="55"/>
  <c r="H239" i="55" a="1"/>
  <c r="H239" i="55" s="1"/>
  <c r="F239" i="55" a="1"/>
  <c r="F239" i="55" s="1"/>
  <c r="A239" i="55"/>
  <c r="H628" i="55" a="1"/>
  <c r="H628" i="55" s="1"/>
  <c r="F628" i="55" a="1"/>
  <c r="F628" i="55" s="1"/>
  <c r="A628" i="55"/>
  <c r="H253" i="55" a="1"/>
  <c r="H253" i="55" s="1"/>
  <c r="F253" i="55" a="1"/>
  <c r="F253" i="55" s="1"/>
  <c r="A253" i="55"/>
  <c r="H354" i="55" a="1"/>
  <c r="H354" i="55" s="1"/>
  <c r="F354" i="55" a="1"/>
  <c r="F354" i="55" s="1"/>
  <c r="A354" i="55"/>
  <c r="H352" i="55" a="1"/>
  <c r="H352" i="55" s="1"/>
  <c r="F352" i="55" a="1"/>
  <c r="F352" i="55" s="1"/>
  <c r="A352" i="55"/>
  <c r="H611" i="55" a="1"/>
  <c r="H611" i="55" s="1"/>
  <c r="F611" i="55" a="1"/>
  <c r="F611" i="55" s="1"/>
  <c r="A611" i="55"/>
  <c r="H364" i="55" a="1"/>
  <c r="H364" i="55" s="1"/>
  <c r="F364" i="55" a="1"/>
  <c r="F364" i="55" s="1"/>
  <c r="A364" i="55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492" i="34"/>
  <c r="C1501" i="34"/>
  <c r="B1501" i="34" s="1"/>
  <c r="C1500" i="34"/>
  <c r="B1500" i="34" s="1"/>
  <c r="C1499" i="34"/>
  <c r="B1499" i="34" s="1"/>
  <c r="C1498" i="34"/>
  <c r="B1498" i="34" s="1"/>
  <c r="C1497" i="34"/>
  <c r="B1497" i="34" s="1"/>
  <c r="C1496" i="34"/>
  <c r="B1496" i="34" s="1"/>
  <c r="C1495" i="34"/>
  <c r="B1495" i="34" s="1"/>
  <c r="C1494" i="34"/>
  <c r="B1494" i="34" s="1"/>
  <c r="C1493" i="34"/>
  <c r="B1493" i="34" s="1"/>
  <c r="C1492" i="34"/>
  <c r="B1492" i="34" s="1"/>
  <c r="C1511" i="34"/>
  <c r="B1511" i="34" s="1"/>
  <c r="C1510" i="34"/>
  <c r="B1510" i="34" s="1"/>
  <c r="C1509" i="34"/>
  <c r="B1509" i="34" s="1"/>
  <c r="C1508" i="34"/>
  <c r="B1508" i="34" s="1"/>
  <c r="C1507" i="34"/>
  <c r="B1507" i="34" s="1"/>
  <c r="C1506" i="34"/>
  <c r="B1506" i="34" s="1"/>
  <c r="C1505" i="34"/>
  <c r="B1505" i="34" s="1"/>
  <c r="C1504" i="34"/>
  <c r="B1504" i="34" s="1"/>
  <c r="C1503" i="34"/>
  <c r="B1503" i="34" s="1"/>
  <c r="C1502" i="34"/>
  <c r="B1502" i="34" s="1"/>
  <c r="C1521" i="34"/>
  <c r="B1521" i="34" s="1"/>
  <c r="C1520" i="34"/>
  <c r="B1520" i="34" s="1"/>
  <c r="C1519" i="34"/>
  <c r="B1519" i="34" s="1"/>
  <c r="C1518" i="34"/>
  <c r="B1518" i="34" s="1"/>
  <c r="C1517" i="34"/>
  <c r="B1517" i="34" s="1"/>
  <c r="C1516" i="34"/>
  <c r="B1516" i="34" s="1"/>
  <c r="C1515" i="34"/>
  <c r="B1515" i="34" s="1"/>
  <c r="C1514" i="34"/>
  <c r="B1514" i="34" s="1"/>
  <c r="C1513" i="34"/>
  <c r="B1513" i="34" s="1"/>
  <c r="C1512" i="34"/>
  <c r="B1512" i="34" s="1"/>
  <c r="C1531" i="34"/>
  <c r="B1531" i="34" s="1"/>
  <c r="C1530" i="34"/>
  <c r="B1530" i="34" s="1"/>
  <c r="C1529" i="34"/>
  <c r="B1529" i="34" s="1"/>
  <c r="C1528" i="34"/>
  <c r="B1528" i="34" s="1"/>
  <c r="C1527" i="34"/>
  <c r="B1527" i="34" s="1"/>
  <c r="C1526" i="34"/>
  <c r="B1526" i="34" s="1"/>
  <c r="C1525" i="34"/>
  <c r="B1525" i="34" s="1"/>
  <c r="C1524" i="34"/>
  <c r="B1524" i="34" s="1"/>
  <c r="C1523" i="34"/>
  <c r="B1523" i="34" s="1"/>
  <c r="C1522" i="34"/>
  <c r="B1522" i="34" s="1"/>
  <c r="C1541" i="34"/>
  <c r="B1541" i="34" s="1"/>
  <c r="C1540" i="34"/>
  <c r="B1540" i="34" s="1"/>
  <c r="C1539" i="34"/>
  <c r="B1539" i="34" s="1"/>
  <c r="C1538" i="34"/>
  <c r="B1538" i="34" s="1"/>
  <c r="C1537" i="34"/>
  <c r="B1537" i="34" s="1"/>
  <c r="C1536" i="34"/>
  <c r="B1536" i="34" s="1"/>
  <c r="C1535" i="34"/>
  <c r="B1535" i="34" s="1"/>
  <c r="C1534" i="34"/>
  <c r="B1534" i="34" s="1"/>
  <c r="C1533" i="34"/>
  <c r="B1533" i="34" s="1"/>
  <c r="C1532" i="34"/>
  <c r="B1532" i="34" s="1"/>
  <c r="C1551" i="34"/>
  <c r="B1551" i="34" s="1"/>
  <c r="C1550" i="34"/>
  <c r="B1550" i="34" s="1"/>
  <c r="C1549" i="34"/>
  <c r="B1549" i="34" s="1"/>
  <c r="C1548" i="34"/>
  <c r="B1548" i="34" s="1"/>
  <c r="C1547" i="34"/>
  <c r="B1547" i="34" s="1"/>
  <c r="C1546" i="34"/>
  <c r="B1546" i="34" s="1"/>
  <c r="C1545" i="34"/>
  <c r="B1545" i="34" s="1"/>
  <c r="C1544" i="34"/>
  <c r="B1544" i="34" s="1"/>
  <c r="C1543" i="34"/>
  <c r="B1543" i="34" s="1"/>
  <c r="C1542" i="34"/>
  <c r="B1542" i="34" s="1"/>
  <c r="C1561" i="34"/>
  <c r="B1561" i="34" s="1"/>
  <c r="C1560" i="34"/>
  <c r="B1560" i="34" s="1"/>
  <c r="C1559" i="34"/>
  <c r="B1559" i="34" s="1"/>
  <c r="C1558" i="34"/>
  <c r="B1558" i="34" s="1"/>
  <c r="C1557" i="34"/>
  <c r="B1557" i="34" s="1"/>
  <c r="C1556" i="34"/>
  <c r="B1556" i="34" s="1"/>
  <c r="C1555" i="34"/>
  <c r="B1555" i="34" s="1"/>
  <c r="C1554" i="34"/>
  <c r="B1554" i="34" s="1"/>
  <c r="C1553" i="34"/>
  <c r="B1553" i="34" s="1"/>
  <c r="C1552" i="34"/>
  <c r="B1552" i="34" s="1"/>
  <c r="C1570" i="34"/>
  <c r="B1570" i="34" s="1"/>
  <c r="C1569" i="34"/>
  <c r="B1569" i="34" s="1"/>
  <c r="C1568" i="34"/>
  <c r="B1568" i="34" s="1"/>
  <c r="C1567" i="34"/>
  <c r="B1567" i="34" s="1"/>
  <c r="C1566" i="34"/>
  <c r="B1566" i="34" s="1"/>
  <c r="C1565" i="34"/>
  <c r="B1565" i="34" s="1"/>
  <c r="C1564" i="34"/>
  <c r="B1564" i="34" s="1"/>
  <c r="C1563" i="34"/>
  <c r="B1563" i="34" s="1"/>
  <c r="C1562" i="34"/>
  <c r="B1562" i="34" s="1"/>
  <c r="K1393" i="34"/>
  <c r="C1393" i="34"/>
  <c r="B1393" i="34" s="1"/>
  <c r="H211" i="55" a="1"/>
  <c r="H211" i="55" s="1"/>
  <c r="F211" i="55" a="1"/>
  <c r="F211" i="55" s="1"/>
  <c r="A211" i="55"/>
  <c r="H250" i="55" a="1"/>
  <c r="H250" i="55" s="1"/>
  <c r="F250" i="55" a="1"/>
  <c r="F250" i="55" s="1"/>
  <c r="A250" i="55"/>
  <c r="H289" i="55" a="1"/>
  <c r="H289" i="55" s="1"/>
  <c r="F289" i="55" a="1"/>
  <c r="F289" i="55" s="1"/>
  <c r="A289" i="55"/>
  <c r="H384" i="55" a="1"/>
  <c r="H384" i="55" s="1"/>
  <c r="F384" i="55" a="1"/>
  <c r="F384" i="55" s="1"/>
  <c r="A384" i="55"/>
  <c r="H238" i="55" a="1"/>
  <c r="H238" i="55" s="1"/>
  <c r="F238" i="55" a="1"/>
  <c r="F238" i="55" s="1"/>
  <c r="A238" i="55"/>
  <c r="H257" i="55" a="1"/>
  <c r="H257" i="55" s="1"/>
  <c r="F257" i="55" a="1"/>
  <c r="F257" i="55" s="1"/>
  <c r="A257" i="55"/>
  <c r="H255" i="55" a="1"/>
  <c r="H255" i="55" s="1"/>
  <c r="F255" i="55" a="1"/>
  <c r="F255" i="55" s="1"/>
  <c r="A255" i="55"/>
  <c r="H196" i="55" a="1"/>
  <c r="H196" i="55" s="1"/>
  <c r="F196" i="55" a="1"/>
  <c r="F196" i="55" s="1"/>
  <c r="A196" i="55"/>
  <c r="H254" i="55" a="1"/>
  <c r="H254" i="55" s="1"/>
  <c r="F254" i="55" a="1"/>
  <c r="F254" i="55" s="1"/>
  <c r="A254" i="55"/>
  <c r="H272" i="55" a="1"/>
  <c r="H272" i="55" s="1"/>
  <c r="F272" i="55" a="1"/>
  <c r="F272" i="55" s="1"/>
  <c r="A272" i="55"/>
  <c r="H260" i="55" a="1"/>
  <c r="H260" i="55" s="1"/>
  <c r="F260" i="55" a="1"/>
  <c r="F260" i="55" s="1"/>
  <c r="A260" i="55"/>
  <c r="H528" i="55" a="1"/>
  <c r="H528" i="55" s="1"/>
  <c r="F528" i="55" a="1"/>
  <c r="F528" i="55" s="1"/>
  <c r="A528" i="55"/>
  <c r="H521" i="55" a="1"/>
  <c r="H521" i="55" s="1"/>
  <c r="F521" i="55" a="1"/>
  <c r="F521" i="55" s="1"/>
  <c r="A521" i="55"/>
  <c r="H267" i="55" a="1"/>
  <c r="H267" i="55" s="1"/>
  <c r="F267" i="55" a="1"/>
  <c r="F267" i="55" s="1"/>
  <c r="A267" i="55"/>
  <c r="H427" i="55" a="1"/>
  <c r="H427" i="55" s="1"/>
  <c r="F427" i="55" a="1"/>
  <c r="F427" i="55" s="1"/>
  <c r="A427" i="55"/>
  <c r="H608" i="55" a="1"/>
  <c r="H608" i="55" s="1"/>
  <c r="F608" i="55" a="1"/>
  <c r="F608" i="55" s="1"/>
  <c r="A608" i="55"/>
  <c r="H517" i="55" a="1"/>
  <c r="H517" i="55" s="1"/>
  <c r="F517" i="55" a="1"/>
  <c r="F517" i="55" s="1"/>
  <c r="A517" i="55"/>
  <c r="H299" i="55" a="1"/>
  <c r="H299" i="55" s="1"/>
  <c r="F299" i="55" a="1"/>
  <c r="F299" i="55" s="1"/>
  <c r="A299" i="55"/>
  <c r="H529" i="55" a="1"/>
  <c r="H529" i="55" s="1"/>
  <c r="F529" i="55" a="1"/>
  <c r="F529" i="55" s="1"/>
  <c r="A529" i="55"/>
  <c r="H419" i="55" a="1"/>
  <c r="H419" i="55" s="1"/>
  <c r="F419" i="55" a="1"/>
  <c r="F419" i="55" s="1"/>
  <c r="A419" i="55"/>
  <c r="H629" i="55" a="1"/>
  <c r="H629" i="55" s="1"/>
  <c r="F629" i="55" a="1"/>
  <c r="F629" i="55" s="1"/>
  <c r="A629" i="55"/>
  <c r="H587" i="55" a="1"/>
  <c r="H587" i="55" s="1"/>
  <c r="F587" i="55" a="1"/>
  <c r="F587" i="55" s="1"/>
  <c r="A587" i="55"/>
  <c r="H594" i="55" a="1"/>
  <c r="H594" i="55" s="1"/>
  <c r="F594" i="55" a="1"/>
  <c r="F594" i="55" s="1"/>
  <c r="A594" i="55"/>
  <c r="H323" i="55" a="1"/>
  <c r="H323" i="55" s="1"/>
  <c r="F323" i="55" a="1"/>
  <c r="F323" i="55" s="1"/>
  <c r="A323" i="55"/>
  <c r="H620" i="55" a="1"/>
  <c r="H620" i="55" s="1"/>
  <c r="F620" i="55" a="1"/>
  <c r="F620" i="55" s="1"/>
  <c r="A620" i="55"/>
  <c r="H383" i="55" a="1"/>
  <c r="H383" i="55" s="1"/>
  <c r="F383" i="55" a="1"/>
  <c r="F383" i="55" s="1"/>
  <c r="A383" i="55"/>
  <c r="H322" i="55" a="1"/>
  <c r="H322" i="55" s="1"/>
  <c r="F322" i="55" a="1"/>
  <c r="F322" i="55" s="1"/>
  <c r="A322" i="55"/>
  <c r="H342" i="55" a="1"/>
  <c r="H342" i="55" s="1"/>
  <c r="F342" i="55" a="1"/>
  <c r="F342" i="55" s="1"/>
  <c r="A342" i="55"/>
  <c r="H321" i="55" a="1"/>
  <c r="H321" i="55" s="1"/>
  <c r="F321" i="55" a="1"/>
  <c r="F321" i="55" s="1"/>
  <c r="A321" i="55"/>
  <c r="H348" i="55" a="1"/>
  <c r="H348" i="55" s="1"/>
  <c r="F348" i="55" a="1"/>
  <c r="F348" i="55" s="1"/>
  <c r="A348" i="55"/>
  <c r="H535" i="55" a="1"/>
  <c r="H535" i="55" s="1"/>
  <c r="F535" i="55" a="1"/>
  <c r="F535" i="55" s="1"/>
  <c r="A535" i="55"/>
  <c r="H372" i="55" a="1"/>
  <c r="H372" i="55" s="1"/>
  <c r="F372" i="55" a="1"/>
  <c r="F372" i="55" s="1"/>
  <c r="A372" i="55"/>
  <c r="H343" i="55" a="1"/>
  <c r="H343" i="55" s="1"/>
  <c r="F343" i="55" a="1"/>
  <c r="F343" i="55" s="1"/>
  <c r="A343" i="55"/>
  <c r="H461" i="55" a="1"/>
  <c r="H461" i="55" s="1"/>
  <c r="F461" i="55" a="1"/>
  <c r="F461" i="55" s="1"/>
  <c r="A461" i="55"/>
  <c r="H467" i="55" a="1"/>
  <c r="H467" i="55" s="1"/>
  <c r="F467" i="55" a="1"/>
  <c r="F467" i="55" s="1"/>
  <c r="A467" i="55"/>
  <c r="H615" i="55" a="1"/>
  <c r="H615" i="55" s="1"/>
  <c r="F615" i="55" a="1"/>
  <c r="F615" i="55" s="1"/>
  <c r="A615" i="55"/>
  <c r="H589" i="55" a="1"/>
  <c r="H589" i="55" s="1"/>
  <c r="F589" i="55" a="1"/>
  <c r="F589" i="55" s="1"/>
  <c r="A589" i="55"/>
  <c r="H264" i="55" a="1"/>
  <c r="H264" i="55" s="1"/>
  <c r="F264" i="55" a="1"/>
  <c r="F264" i="55" s="1"/>
  <c r="A264" i="55"/>
  <c r="H597" i="55" a="1"/>
  <c r="H597" i="55" s="1"/>
  <c r="F597" i="55" a="1"/>
  <c r="F597" i="55" s="1"/>
  <c r="A597" i="55"/>
  <c r="H573" i="55" a="1"/>
  <c r="H573" i="55" s="1"/>
  <c r="F573" i="55" a="1"/>
  <c r="F573" i="55" s="1"/>
  <c r="A573" i="55"/>
  <c r="H498" i="55" a="1"/>
  <c r="H498" i="55" s="1"/>
  <c r="F498" i="55" a="1"/>
  <c r="F498" i="55" s="1"/>
  <c r="A498" i="55"/>
  <c r="H636" i="55" a="1"/>
  <c r="H636" i="55" s="1"/>
  <c r="F636" i="55" a="1"/>
  <c r="F636" i="55" s="1"/>
  <c r="A636" i="55"/>
  <c r="H531" i="55" a="1"/>
  <c r="H531" i="55" s="1"/>
  <c r="F531" i="55" a="1"/>
  <c r="F531" i="55" s="1"/>
  <c r="A531" i="55"/>
  <c r="H485" i="55" a="1"/>
  <c r="H485" i="55" s="1"/>
  <c r="F485" i="55" a="1"/>
  <c r="F485" i="55" s="1"/>
  <c r="A485" i="55"/>
  <c r="H499" i="55" a="1"/>
  <c r="H499" i="55" s="1"/>
  <c r="F499" i="55" a="1"/>
  <c r="F499" i="55" s="1"/>
  <c r="A499" i="55"/>
  <c r="H393" i="55" a="1"/>
  <c r="H393" i="55" s="1"/>
  <c r="F393" i="55" a="1"/>
  <c r="F393" i="55" s="1"/>
  <c r="A393" i="55"/>
  <c r="H230" i="55" a="1"/>
  <c r="H230" i="55" s="1"/>
  <c r="F230" i="55" a="1"/>
  <c r="F230" i="55" s="1"/>
  <c r="A230" i="55"/>
  <c r="H669" i="55" a="1"/>
  <c r="H669" i="55" s="1"/>
  <c r="F669" i="55" a="1"/>
  <c r="F669" i="55" s="1"/>
  <c r="H590" i="55" a="1"/>
  <c r="H590" i="55" s="1"/>
  <c r="F590" i="55" a="1"/>
  <c r="F590" i="55" s="1"/>
  <c r="A590" i="55"/>
  <c r="H626" i="55" a="1"/>
  <c r="H626" i="55" s="1"/>
  <c r="F626" i="55" a="1"/>
  <c r="F626" i="55" s="1"/>
  <c r="A626" i="55"/>
  <c r="H295" i="55" a="1"/>
  <c r="H295" i="55" s="1"/>
  <c r="F295" i="55" a="1"/>
  <c r="F295" i="55" s="1"/>
  <c r="A295" i="55"/>
  <c r="H525" i="55" a="1"/>
  <c r="H525" i="55" s="1"/>
  <c r="F525" i="55" a="1"/>
  <c r="F525" i="55" s="1"/>
  <c r="A525" i="55"/>
  <c r="A479" i="55"/>
  <c r="F479" i="55" a="1"/>
  <c r="F479" i="55" s="1"/>
  <c r="H479" i="55" a="1"/>
  <c r="H479" i="55" s="1"/>
  <c r="A441" i="55"/>
  <c r="F441" i="55" a="1"/>
  <c r="F441" i="55" s="1"/>
  <c r="H441" i="55" a="1"/>
  <c r="H441" i="55" s="1"/>
  <c r="A350" i="55"/>
  <c r="F350" i="55" a="1"/>
  <c r="F350" i="55" s="1"/>
  <c r="H350" i="55" a="1"/>
  <c r="H350" i="55" s="1"/>
  <c r="A371" i="55"/>
  <c r="F371" i="55" a="1"/>
  <c r="F371" i="55" s="1"/>
  <c r="H371" i="55" a="1"/>
  <c r="H371" i="55" s="1"/>
  <c r="A405" i="55"/>
  <c r="F405" i="55" a="1"/>
  <c r="F405" i="55" s="1"/>
  <c r="H405" i="55" a="1"/>
  <c r="H405" i="55" s="1"/>
  <c r="A349" i="55"/>
  <c r="F349" i="55" a="1"/>
  <c r="F349" i="55" s="1"/>
  <c r="H349" i="55" a="1"/>
  <c r="H349" i="55" s="1"/>
  <c r="A261" i="55"/>
  <c r="F261" i="55" a="1"/>
  <c r="F261" i="55" s="1"/>
  <c r="H261" i="55" a="1"/>
  <c r="H261" i="55" s="1"/>
  <c r="A198" i="55"/>
  <c r="F198" i="55" a="1"/>
  <c r="F198" i="55" s="1"/>
  <c r="H198" i="55" a="1"/>
  <c r="H198" i="55" s="1"/>
  <c r="A522" i="55"/>
  <c r="F522" i="55" a="1"/>
  <c r="F522" i="55" s="1"/>
  <c r="H522" i="55" a="1"/>
  <c r="H522" i="55" s="1"/>
  <c r="A287" i="55"/>
  <c r="F287" i="55" a="1"/>
  <c r="F287" i="55" s="1"/>
  <c r="H287" i="55" a="1"/>
  <c r="H287" i="55" s="1"/>
  <c r="A515" i="55"/>
  <c r="F515" i="55" a="1"/>
  <c r="F515" i="55" s="1"/>
  <c r="H515" i="55" a="1"/>
  <c r="H515" i="55" s="1"/>
  <c r="A296" i="55"/>
  <c r="F296" i="55" a="1"/>
  <c r="F296" i="55" s="1"/>
  <c r="H296" i="55" a="1"/>
  <c r="H296" i="55" s="1"/>
  <c r="A516" i="55"/>
  <c r="F516" i="55" a="1"/>
  <c r="F516" i="55" s="1"/>
  <c r="H516" i="55" a="1"/>
  <c r="H516" i="55" s="1"/>
  <c r="A311" i="55"/>
  <c r="F311" i="55" a="1"/>
  <c r="F311" i="55" s="1"/>
  <c r="H311" i="55" a="1"/>
  <c r="H311" i="55" s="1"/>
  <c r="A607" i="55"/>
  <c r="F607" i="55" a="1"/>
  <c r="F607" i="55" s="1"/>
  <c r="H607" i="55" a="1"/>
  <c r="H607" i="55" s="1"/>
  <c r="A326" i="55"/>
  <c r="F326" i="55" a="1"/>
  <c r="F326" i="55" s="1"/>
  <c r="H326" i="55" a="1"/>
  <c r="H326" i="55" s="1"/>
  <c r="A616" i="55"/>
  <c r="F616" i="55" a="1"/>
  <c r="F616" i="55" s="1"/>
  <c r="H616" i="55" a="1"/>
  <c r="H616" i="55" s="1"/>
  <c r="A651" i="55"/>
  <c r="F651" i="55" a="1"/>
  <c r="F651" i="55" s="1"/>
  <c r="H651" i="55" a="1"/>
  <c r="H651" i="55" s="1"/>
  <c r="A579" i="55"/>
  <c r="F579" i="55" a="1"/>
  <c r="F579" i="55" s="1"/>
  <c r="H579" i="55" a="1"/>
  <c r="H579" i="55" s="1"/>
  <c r="A293" i="55"/>
  <c r="F293" i="55" a="1"/>
  <c r="F293" i="55" s="1"/>
  <c r="H293" i="55" a="1"/>
  <c r="H293" i="55" s="1"/>
  <c r="A271" i="55"/>
  <c r="F271" i="55" a="1"/>
  <c r="F271" i="55" s="1"/>
  <c r="H271" i="55" a="1"/>
  <c r="H271" i="55" s="1"/>
  <c r="A475" i="55"/>
  <c r="F475" i="55" a="1"/>
  <c r="F475" i="55" s="1"/>
  <c r="H475" i="55" a="1"/>
  <c r="H475" i="55" s="1"/>
  <c r="A209" i="55"/>
  <c r="F209" i="55" a="1"/>
  <c r="F209" i="55" s="1"/>
  <c r="H209" i="55" a="1"/>
  <c r="H209" i="55" s="1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C1384" i="34"/>
  <c r="B1384" i="34" s="1"/>
  <c r="C1383" i="34"/>
  <c r="B1383" i="34" s="1"/>
  <c r="C1382" i="34"/>
  <c r="B1382" i="34" s="1"/>
  <c r="C1381" i="34"/>
  <c r="B1381" i="34" s="1"/>
  <c r="C1380" i="34"/>
  <c r="B1380" i="34" s="1"/>
  <c r="C1379" i="34"/>
  <c r="B1379" i="34" s="1"/>
  <c r="C1378" i="34"/>
  <c r="B1378" i="34" s="1"/>
  <c r="C1377" i="34"/>
  <c r="B1377" i="34" s="1"/>
  <c r="C1376" i="34"/>
  <c r="B1376" i="34" s="1"/>
  <c r="C1375" i="34"/>
  <c r="B1375" i="34" s="1"/>
  <c r="C1374" i="34"/>
  <c r="B1374" i="34" s="1"/>
  <c r="C1373" i="34"/>
  <c r="B1373" i="34" s="1"/>
  <c r="C1372" i="34"/>
  <c r="B1372" i="34" s="1"/>
  <c r="C1371" i="34"/>
  <c r="B1371" i="34" s="1"/>
  <c r="C1370" i="34"/>
  <c r="B1370" i="34" s="1"/>
  <c r="C1369" i="34"/>
  <c r="B1369" i="34" s="1"/>
  <c r="C1368" i="34"/>
  <c r="B1368" i="34" s="1"/>
  <c r="C1367" i="34"/>
  <c r="B1367" i="34" s="1"/>
  <c r="C1366" i="34"/>
  <c r="B1366" i="34" s="1"/>
  <c r="C1365" i="34"/>
  <c r="B1365" i="34" s="1"/>
  <c r="C1364" i="34"/>
  <c r="B1364" i="34" s="1"/>
  <c r="C1363" i="34"/>
  <c r="B1363" i="34" s="1"/>
  <c r="C1362" i="34"/>
  <c r="B1362" i="34" s="1"/>
  <c r="C1361" i="34"/>
  <c r="B1361" i="34" s="1"/>
  <c r="C1360" i="34"/>
  <c r="B1360" i="34" s="1"/>
  <c r="C1359" i="34"/>
  <c r="B1359" i="34" s="1"/>
  <c r="C1358" i="34"/>
  <c r="B1358" i="34" s="1"/>
  <c r="C1357" i="34"/>
  <c r="B1357" i="34" s="1"/>
  <c r="C1356" i="34"/>
  <c r="B1356" i="34" s="1"/>
  <c r="C1355" i="34"/>
  <c r="B1355" i="34" s="1"/>
  <c r="C1354" i="34"/>
  <c r="B1354" i="34" s="1"/>
  <c r="C1353" i="34"/>
  <c r="B1353" i="34" s="1"/>
  <c r="C1352" i="34"/>
  <c r="B1352" i="34" s="1"/>
  <c r="C1351" i="34"/>
  <c r="B1351" i="34" s="1"/>
  <c r="C1350" i="34"/>
  <c r="B1350" i="34" s="1"/>
  <c r="C1349" i="34"/>
  <c r="B1349" i="34" s="1"/>
  <c r="C1348" i="34"/>
  <c r="B1348" i="34" s="1"/>
  <c r="C1347" i="34"/>
  <c r="B1347" i="34" s="1"/>
  <c r="C1346" i="34"/>
  <c r="B1346" i="34" s="1"/>
  <c r="C1345" i="34"/>
  <c r="B1345" i="34" s="1"/>
  <c r="C1344" i="34"/>
  <c r="B1344" i="34" s="1"/>
  <c r="C1343" i="34"/>
  <c r="B1343" i="34" s="1"/>
  <c r="C1342" i="34"/>
  <c r="B1342" i="34" s="1"/>
  <c r="C1341" i="34"/>
  <c r="B1341" i="34" s="1"/>
  <c r="C1340" i="34"/>
  <c r="B1340" i="34" s="1"/>
  <c r="C1339" i="34"/>
  <c r="B1339" i="34" s="1"/>
  <c r="C1338" i="34"/>
  <c r="B1338" i="34" s="1"/>
  <c r="C1337" i="34"/>
  <c r="B1337" i="34" s="1"/>
  <c r="C1336" i="34"/>
  <c r="B1336" i="34" s="1"/>
  <c r="C1335" i="34"/>
  <c r="B1335" i="34" s="1"/>
  <c r="C1334" i="34"/>
  <c r="B1334" i="34" s="1"/>
  <c r="C1333" i="34"/>
  <c r="B1333" i="34" s="1"/>
  <c r="C1332" i="34"/>
  <c r="B1332" i="34" s="1"/>
  <c r="C1331" i="34"/>
  <c r="B1331" i="34" s="1"/>
  <c r="C1330" i="34"/>
  <c r="B1330" i="34" s="1"/>
  <c r="C1329" i="34"/>
  <c r="B1329" i="34" s="1"/>
  <c r="C1328" i="34"/>
  <c r="B1328" i="34" s="1"/>
  <c r="C1327" i="34"/>
  <c r="B1327" i="34" s="1"/>
  <c r="C1326" i="34"/>
  <c r="B1326" i="34" s="1"/>
  <c r="C1325" i="34"/>
  <c r="B1325" i="34" s="1"/>
  <c r="C1324" i="34"/>
  <c r="B1324" i="34" s="1"/>
  <c r="C1323" i="34"/>
  <c r="B1323" i="34" s="1"/>
  <c r="C1322" i="34"/>
  <c r="B1322" i="34" s="1"/>
  <c r="K1321" i="34"/>
  <c r="C1321" i="34"/>
  <c r="B1321" i="34" s="1"/>
  <c r="C1390" i="34"/>
  <c r="B1390" i="34" s="1"/>
  <c r="C1389" i="34"/>
  <c r="B1389" i="34" s="1"/>
  <c r="C1388" i="34"/>
  <c r="B1388" i="34" s="1"/>
  <c r="C1387" i="34"/>
  <c r="B1387" i="34" s="1"/>
  <c r="C1386" i="34"/>
  <c r="B1386" i="34" s="1"/>
  <c r="C1385" i="34"/>
  <c r="B1385" i="34" s="1"/>
  <c r="A382" i="55"/>
  <c r="A457" i="55"/>
  <c r="A186" i="55"/>
  <c r="A569" i="55"/>
  <c r="A324" i="55"/>
  <c r="A378" i="55"/>
  <c r="A12" i="55"/>
  <c r="A14" i="55"/>
  <c r="A16" i="55"/>
  <c r="A633" i="55"/>
  <c r="A379" i="55"/>
  <c r="A215" i="55"/>
  <c r="A47" i="55"/>
  <c r="A40" i="55"/>
  <c r="A559" i="55"/>
  <c r="A220" i="55"/>
  <c r="A334" i="55"/>
  <c r="A76" i="55"/>
  <c r="A637" i="55"/>
  <c r="A562" i="55"/>
  <c r="A543" i="55"/>
  <c r="A568" i="55"/>
  <c r="A602" i="55"/>
  <c r="A553" i="55"/>
  <c r="A539" i="55"/>
  <c r="A544" i="55"/>
  <c r="A187" i="55"/>
  <c r="A162" i="55"/>
  <c r="A110" i="55"/>
  <c r="A88" i="55"/>
  <c r="A164" i="55"/>
  <c r="A122" i="55"/>
  <c r="A80" i="55"/>
  <c r="A151" i="55"/>
  <c r="A142" i="55"/>
  <c r="A91" i="55"/>
  <c r="A104" i="55"/>
  <c r="A445" i="55"/>
  <c r="A631" i="55"/>
  <c r="A649" i="55"/>
  <c r="A391" i="55"/>
  <c r="A570" i="55"/>
  <c r="A329" i="55"/>
  <c r="A583" i="55"/>
  <c r="A227" i="55"/>
  <c r="A374" i="55"/>
  <c r="H559" i="55" a="1"/>
  <c r="H559" i="55" s="1"/>
  <c r="F559" i="55" a="1"/>
  <c r="F559" i="55" s="1"/>
  <c r="H40" i="55" a="1"/>
  <c r="H40" i="55" s="1"/>
  <c r="F40" i="55" a="1"/>
  <c r="F40" i="55" s="1"/>
  <c r="H47" i="55" a="1"/>
  <c r="H47" i="55" s="1"/>
  <c r="F47" i="55" a="1"/>
  <c r="F47" i="55" s="1"/>
  <c r="H215" i="55" a="1"/>
  <c r="H215" i="55" s="1"/>
  <c r="F215" i="55" a="1"/>
  <c r="F215" i="55" s="1"/>
  <c r="H379" i="55" a="1"/>
  <c r="H379" i="55" s="1"/>
  <c r="F379" i="55" a="1"/>
  <c r="F379" i="55" s="1"/>
  <c r="H633" i="55" a="1"/>
  <c r="H633" i="55" s="1"/>
  <c r="F633" i="55" a="1"/>
  <c r="F633" i="55" s="1"/>
  <c r="H16" i="55" a="1"/>
  <c r="H16" i="55" s="1"/>
  <c r="F16" i="55" a="1"/>
  <c r="F16" i="55" s="1"/>
  <c r="H14" i="55" a="1"/>
  <c r="H14" i="55" s="1"/>
  <c r="F14" i="55" a="1"/>
  <c r="F14" i="55" s="1"/>
  <c r="H12" i="55" a="1"/>
  <c r="H12" i="55" s="1"/>
  <c r="F12" i="55" a="1"/>
  <c r="F12" i="55" s="1"/>
  <c r="H378" i="55" a="1"/>
  <c r="H378" i="55" s="1"/>
  <c r="F378" i="55" a="1"/>
  <c r="F378" i="55" s="1"/>
  <c r="H324" i="55" a="1"/>
  <c r="H324" i="55" s="1"/>
  <c r="F324" i="55" a="1"/>
  <c r="F324" i="55" s="1"/>
  <c r="H569" i="55" a="1"/>
  <c r="H569" i="55" s="1"/>
  <c r="F569" i="55" a="1"/>
  <c r="F569" i="55" s="1"/>
  <c r="H186" i="55" a="1"/>
  <c r="H186" i="55" s="1"/>
  <c r="F186" i="55" a="1"/>
  <c r="F186" i="55" s="1"/>
  <c r="H457" i="55" a="1"/>
  <c r="H457" i="55" s="1"/>
  <c r="F457" i="55" a="1"/>
  <c r="F457" i="55" s="1"/>
  <c r="H382" i="55" a="1"/>
  <c r="H382" i="55" s="1"/>
  <c r="F382" i="55" a="1"/>
  <c r="F382" i="55" s="1"/>
  <c r="H164" i="55" a="1"/>
  <c r="H164" i="55" s="1"/>
  <c r="F164" i="55" a="1"/>
  <c r="F164" i="55" s="1"/>
  <c r="H88" i="55" a="1"/>
  <c r="H88" i="55" s="1"/>
  <c r="F88" i="55" a="1"/>
  <c r="F88" i="55" s="1"/>
  <c r="H110" i="55" a="1"/>
  <c r="H110" i="55" s="1"/>
  <c r="F110" i="55" a="1"/>
  <c r="F110" i="55" s="1"/>
  <c r="H162" i="55" a="1"/>
  <c r="H162" i="55" s="1"/>
  <c r="F162" i="55" a="1"/>
  <c r="F162" i="55" s="1"/>
  <c r="H187" i="55" a="1"/>
  <c r="H187" i="55" s="1"/>
  <c r="F187" i="55" a="1"/>
  <c r="F187" i="55" s="1"/>
  <c r="H544" i="55" a="1"/>
  <c r="H544" i="55" s="1"/>
  <c r="F544" i="55" a="1"/>
  <c r="F544" i="55" s="1"/>
  <c r="H539" i="55" a="1"/>
  <c r="H539" i="55" s="1"/>
  <c r="F539" i="55" a="1"/>
  <c r="F539" i="55" s="1"/>
  <c r="H553" i="55" a="1"/>
  <c r="H553" i="55" s="1"/>
  <c r="F553" i="55" a="1"/>
  <c r="F553" i="55" s="1"/>
  <c r="H602" i="55" a="1"/>
  <c r="H602" i="55" s="1"/>
  <c r="F602" i="55" a="1"/>
  <c r="F602" i="55" s="1"/>
  <c r="H568" i="55" a="1"/>
  <c r="H568" i="55" s="1"/>
  <c r="F568" i="55" a="1"/>
  <c r="F568" i="55" s="1"/>
  <c r="H543" i="55" a="1"/>
  <c r="H543" i="55" s="1"/>
  <c r="F543" i="55" a="1"/>
  <c r="F543" i="55" s="1"/>
  <c r="H562" i="55" a="1"/>
  <c r="H562" i="55" s="1"/>
  <c r="F562" i="55" a="1"/>
  <c r="F562" i="55" s="1"/>
  <c r="H637" i="55" a="1"/>
  <c r="H637" i="55" s="1"/>
  <c r="F637" i="55" a="1"/>
  <c r="F637" i="55" s="1"/>
  <c r="H76" i="55" a="1"/>
  <c r="H76" i="55" s="1"/>
  <c r="F76" i="55" a="1"/>
  <c r="F76" i="55" s="1"/>
  <c r="H334" i="55" a="1"/>
  <c r="H334" i="55" s="1"/>
  <c r="F334" i="55" a="1"/>
  <c r="F334" i="55" s="1"/>
  <c r="H220" i="55" a="1"/>
  <c r="H220" i="55" s="1"/>
  <c r="F220" i="55" a="1"/>
  <c r="F220" i="55" s="1"/>
  <c r="J521" i="55"/>
  <c r="J629" i="55"/>
  <c r="J517" i="55"/>
  <c r="J250" i="55"/>
  <c r="J267" i="55"/>
  <c r="J238" i="55"/>
  <c r="C1301" i="34"/>
  <c r="B1301" i="34" s="1"/>
  <c r="C1302" i="34"/>
  <c r="B1302" i="34" s="1"/>
  <c r="C1303" i="34"/>
  <c r="B1303" i="34" s="1"/>
  <c r="C1304" i="34"/>
  <c r="B1304" i="34" s="1"/>
  <c r="C1305" i="34"/>
  <c r="B1305" i="34" s="1"/>
  <c r="C1314" i="34"/>
  <c r="B1314" i="34" s="1"/>
  <c r="C1315" i="34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91" i="34"/>
  <c r="B1391" i="34" s="1"/>
  <c r="C1407" i="34"/>
  <c r="B1407" i="34" s="1"/>
  <c r="C1408" i="34"/>
  <c r="C1409" i="34"/>
  <c r="B1409" i="34" s="1"/>
  <c r="C1410" i="34"/>
  <c r="B1410" i="34" s="1"/>
  <c r="C1411" i="34"/>
  <c r="B1411" i="34" s="1"/>
  <c r="C1412" i="34"/>
  <c r="B1412" i="34" s="1"/>
  <c r="C1413" i="34"/>
  <c r="B1413" i="34" s="1"/>
  <c r="C1414" i="34"/>
  <c r="B1414" i="34" s="1"/>
  <c r="C1571" i="34"/>
  <c r="B1571" i="34" s="1"/>
  <c r="C1455" i="34"/>
  <c r="B1455" i="34" s="1"/>
  <c r="C1392" i="34"/>
  <c r="B1392" i="34" s="1"/>
  <c r="C1394" i="34"/>
  <c r="B1394" i="34" s="1"/>
  <c r="C1395" i="34"/>
  <c r="B1395" i="34" s="1"/>
  <c r="K1301" i="34"/>
  <c r="K1302" i="34"/>
  <c r="K1303" i="34"/>
  <c r="K1304" i="34"/>
  <c r="K1314" i="34"/>
  <c r="K1315" i="34"/>
  <c r="K1316" i="34"/>
  <c r="K1317" i="34"/>
  <c r="K1318" i="34"/>
  <c r="K1319" i="34"/>
  <c r="K1407" i="34"/>
  <c r="K1408" i="34"/>
  <c r="K1409" i="34"/>
  <c r="K1410" i="34"/>
  <c r="K1411" i="34"/>
  <c r="K1412" i="34"/>
  <c r="K1413" i="34"/>
  <c r="K1392" i="34"/>
  <c r="K1394" i="34"/>
  <c r="C1309" i="34"/>
  <c r="B1309" i="34" s="1"/>
  <c r="C1310" i="34"/>
  <c r="B1310" i="34" s="1"/>
  <c r="C1308" i="34"/>
  <c r="B1308" i="34" s="1"/>
  <c r="C1300" i="34"/>
  <c r="B1300" i="34" s="1"/>
  <c r="K1460" i="34"/>
  <c r="K1461" i="34"/>
  <c r="K1462" i="34"/>
  <c r="K1463" i="34"/>
  <c r="K1464" i="34"/>
  <c r="K1470" i="34"/>
  <c r="K1471" i="34"/>
  <c r="K1466" i="34"/>
  <c r="K1467" i="34"/>
  <c r="K1468" i="34"/>
  <c r="K1473" i="34"/>
  <c r="K1306" i="34"/>
  <c r="K1307" i="34"/>
  <c r="K1309" i="34"/>
  <c r="K1308" i="34"/>
  <c r="K1300" i="34"/>
  <c r="K1398" i="34"/>
  <c r="C1398" i="34"/>
  <c r="B1398" i="34" s="1"/>
  <c r="K1403" i="34"/>
  <c r="K1415" i="34"/>
  <c r="K1456" i="34"/>
  <c r="K1457" i="34"/>
  <c r="K1458" i="34"/>
  <c r="K1459" i="34"/>
  <c r="C187" i="34"/>
  <c r="B187" i="34" s="1"/>
  <c r="C186" i="34"/>
  <c r="B186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200" i="34"/>
  <c r="B200" i="34" s="1"/>
  <c r="C199" i="34"/>
  <c r="B199" i="34" s="1"/>
  <c r="C198" i="34"/>
  <c r="B198" i="34" s="1"/>
  <c r="C197" i="34"/>
  <c r="B197" i="34" s="1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90" i="34"/>
  <c r="B190" i="34" s="1"/>
  <c r="C189" i="34"/>
  <c r="B189" i="34" s="1"/>
  <c r="C188" i="34"/>
  <c r="B188" i="34" s="1"/>
  <c r="C173" i="34"/>
  <c r="B173" i="34" s="1"/>
  <c r="C172" i="34"/>
  <c r="B172" i="34" s="1"/>
  <c r="C171" i="34"/>
  <c r="B171" i="34" s="1"/>
  <c r="C170" i="34"/>
  <c r="B170" i="34" s="1"/>
  <c r="C169" i="34"/>
  <c r="B169" i="34" s="1"/>
  <c r="C168" i="34"/>
  <c r="B168" i="34" s="1"/>
  <c r="C167" i="34"/>
  <c r="B167" i="34" s="1"/>
  <c r="C174" i="34"/>
  <c r="B174" i="34" s="1"/>
  <c r="C166" i="34"/>
  <c r="B166" i="34" s="1"/>
  <c r="A28" i="70"/>
  <c r="A36" i="70"/>
  <c r="A32" i="70"/>
  <c r="A34" i="70"/>
  <c r="A26" i="70"/>
  <c r="A24" i="70"/>
  <c r="A29" i="70"/>
  <c r="A25" i="70"/>
  <c r="C33" i="70"/>
  <c r="C53" i="70" s="1"/>
  <c r="D54" i="70" s="1"/>
  <c r="K1172" i="34"/>
  <c r="C1172" i="34"/>
  <c r="B1172" i="34" s="1"/>
  <c r="K1171" i="34"/>
  <c r="C1171" i="34"/>
  <c r="B1171" i="34" s="1"/>
  <c r="C1132" i="34"/>
  <c r="B1132" i="34" s="1"/>
  <c r="K1131" i="34"/>
  <c r="C1131" i="34"/>
  <c r="B1131" i="34" s="1"/>
  <c r="K1130" i="34"/>
  <c r="C1130" i="34"/>
  <c r="B1130" i="34" s="1"/>
  <c r="C1129" i="34"/>
  <c r="B1129" i="34" s="1"/>
  <c r="C1128" i="34"/>
  <c r="B1128" i="34" s="1"/>
  <c r="C1127" i="34"/>
  <c r="B1127" i="34" s="1"/>
  <c r="C1126" i="34"/>
  <c r="B1126" i="34" s="1"/>
  <c r="C1097" i="34"/>
  <c r="B1097" i="34" s="1"/>
  <c r="K1096" i="34"/>
  <c r="C1096" i="34"/>
  <c r="B1096" i="34" s="1"/>
  <c r="K1095" i="34"/>
  <c r="C1095" i="34"/>
  <c r="B1095" i="34" s="1"/>
  <c r="K1094" i="34"/>
  <c r="C1094" i="34"/>
  <c r="B1094" i="34" s="1"/>
  <c r="C1093" i="34"/>
  <c r="B1093" i="34" s="1"/>
  <c r="K1092" i="34"/>
  <c r="C1092" i="34"/>
  <c r="B1092" i="34" s="1"/>
  <c r="K1091" i="34"/>
  <c r="C1091" i="34"/>
  <c r="B1091" i="34" s="1"/>
  <c r="K1090" i="34"/>
  <c r="C1090" i="34"/>
  <c r="B1090" i="34" s="1"/>
  <c r="K1089" i="34"/>
  <c r="C1089" i="34"/>
  <c r="B1089" i="34" s="1"/>
  <c r="C1088" i="34"/>
  <c r="B1088" i="34" s="1"/>
  <c r="C1087" i="34"/>
  <c r="B1087" i="34" s="1"/>
  <c r="C1086" i="34"/>
  <c r="B1086" i="34" s="1"/>
  <c r="K1085" i="34"/>
  <c r="C1085" i="34"/>
  <c r="B1085" i="34" s="1"/>
  <c r="C1084" i="34"/>
  <c r="B1084" i="34" s="1"/>
  <c r="K1083" i="34"/>
  <c r="C1083" i="34"/>
  <c r="B1083" i="34" s="1"/>
  <c r="C1082" i="34"/>
  <c r="B1082" i="34" s="1"/>
  <c r="K1081" i="34"/>
  <c r="C1081" i="34"/>
  <c r="B1081" i="34" s="1"/>
  <c r="C1080" i="34"/>
  <c r="B1080" i="34" s="1"/>
  <c r="K1079" i="34"/>
  <c r="C1079" i="34"/>
  <c r="B1079" i="34" s="1"/>
  <c r="C1078" i="34"/>
  <c r="B1078" i="34" s="1"/>
  <c r="K1077" i="34"/>
  <c r="C1077" i="34"/>
  <c r="B1077" i="34" s="1"/>
  <c r="K1076" i="34"/>
  <c r="C1076" i="34"/>
  <c r="B1076" i="34" s="1"/>
  <c r="K1075" i="34"/>
  <c r="C1075" i="34"/>
  <c r="B1075" i="34" s="1"/>
  <c r="C1074" i="34"/>
  <c r="B1074" i="34" s="1"/>
  <c r="K1073" i="34"/>
  <c r="C1073" i="34"/>
  <c r="B1073" i="34" s="1"/>
  <c r="C1072" i="34"/>
  <c r="B1072" i="34" s="1"/>
  <c r="C1071" i="34"/>
  <c r="B1071" i="34" s="1"/>
  <c r="C1070" i="34"/>
  <c r="B1070" i="34" s="1"/>
  <c r="K1069" i="34"/>
  <c r="C1069" i="34"/>
  <c r="B1069" i="34" s="1"/>
  <c r="C1068" i="34"/>
  <c r="B1068" i="34" s="1"/>
  <c r="K1067" i="34"/>
  <c r="C1067" i="34"/>
  <c r="B1067" i="34" s="1"/>
  <c r="C1066" i="34"/>
  <c r="B1066" i="34" s="1"/>
  <c r="K1065" i="34"/>
  <c r="C1065" i="34"/>
  <c r="B1065" i="34" s="1"/>
  <c r="C1064" i="34"/>
  <c r="B1064" i="34" s="1"/>
  <c r="K1063" i="34"/>
  <c r="C1063" i="34"/>
  <c r="B1063" i="34" s="1"/>
  <c r="C1062" i="34"/>
  <c r="B1062" i="34" s="1"/>
  <c r="K1061" i="34"/>
  <c r="C1061" i="34"/>
  <c r="B1061" i="34" s="1"/>
  <c r="K1060" i="34"/>
  <c r="C1060" i="34"/>
  <c r="B1060" i="34" s="1"/>
  <c r="K1059" i="34"/>
  <c r="C1059" i="34"/>
  <c r="B1059" i="34" s="1"/>
  <c r="K1167" i="34"/>
  <c r="C1167" i="34"/>
  <c r="B1167" i="34" s="1"/>
  <c r="K1166" i="34"/>
  <c r="C1166" i="34"/>
  <c r="B1166" i="34" s="1"/>
  <c r="K1165" i="34"/>
  <c r="C1165" i="34"/>
  <c r="B1165" i="34" s="1"/>
  <c r="C1164" i="34"/>
  <c r="B1164" i="34" s="1"/>
  <c r="K1163" i="34"/>
  <c r="C1163" i="34"/>
  <c r="B1163" i="34" s="1"/>
  <c r="K1162" i="34"/>
  <c r="C1162" i="34"/>
  <c r="B1162" i="34" s="1"/>
  <c r="K1161" i="34"/>
  <c r="C1161" i="34"/>
  <c r="B1161" i="34" s="1"/>
  <c r="K1160" i="34"/>
  <c r="C1160" i="34"/>
  <c r="B1160" i="34" s="1"/>
  <c r="C1159" i="34"/>
  <c r="B1159" i="34" s="1"/>
  <c r="C1158" i="34"/>
  <c r="B1158" i="34" s="1"/>
  <c r="C1155" i="34"/>
  <c r="B1155" i="34" s="1"/>
  <c r="C1154" i="34"/>
  <c r="B1154" i="34" s="1"/>
  <c r="C1149" i="34"/>
  <c r="B1149" i="34" s="1"/>
  <c r="K1148" i="34"/>
  <c r="C1148" i="34"/>
  <c r="B1148" i="34" s="1"/>
  <c r="K1147" i="34"/>
  <c r="C1147" i="34"/>
  <c r="B1147" i="34" s="1"/>
  <c r="C1144" i="34"/>
  <c r="B1144" i="34" s="1"/>
  <c r="K1143" i="34"/>
  <c r="C1143" i="34"/>
  <c r="B1143" i="34" s="1"/>
  <c r="C1140" i="34"/>
  <c r="B1140" i="34" s="1"/>
  <c r="K1139" i="34"/>
  <c r="C1139" i="34"/>
  <c r="B1139" i="34" s="1"/>
  <c r="C1138" i="34"/>
  <c r="B1138" i="34" s="1"/>
  <c r="K1137" i="34"/>
  <c r="C1137" i="34"/>
  <c r="B1137" i="34" s="1"/>
  <c r="C1136" i="34"/>
  <c r="B1136" i="34" s="1"/>
  <c r="K1135" i="34"/>
  <c r="C1135" i="34"/>
  <c r="B1135" i="34" s="1"/>
  <c r="C1173" i="34"/>
  <c r="B1173" i="34" s="1"/>
  <c r="K1145" i="34"/>
  <c r="C1145" i="34"/>
  <c r="B1145" i="34" s="1"/>
  <c r="C1142" i="34"/>
  <c r="B1142" i="34" s="1"/>
  <c r="K1141" i="34"/>
  <c r="C1141" i="34"/>
  <c r="B1141" i="34" s="1"/>
  <c r="C1181" i="34"/>
  <c r="B1181" i="34" s="1"/>
  <c r="C1180" i="34"/>
  <c r="B1180" i="34" s="1"/>
  <c r="C1179" i="34"/>
  <c r="B1179" i="34" s="1"/>
  <c r="C1178" i="34"/>
  <c r="B1178" i="34" s="1"/>
  <c r="C1175" i="34"/>
  <c r="B1175" i="34" s="1"/>
  <c r="C1174" i="34"/>
  <c r="B1174" i="34" s="1"/>
  <c r="C1170" i="34"/>
  <c r="B1170" i="34" s="1"/>
  <c r="K1169" i="34"/>
  <c r="C1169" i="34"/>
  <c r="B1169" i="34" s="1"/>
  <c r="K1168" i="34"/>
  <c r="C1168" i="34"/>
  <c r="B1168" i="34" s="1"/>
  <c r="K1182" i="34"/>
  <c r="C1182" i="34"/>
  <c r="B1182" i="34" s="1"/>
  <c r="C1177" i="34"/>
  <c r="B1177" i="34" s="1"/>
  <c r="K1176" i="34"/>
  <c r="C1176" i="34"/>
  <c r="B1176" i="34" s="1"/>
  <c r="C1157" i="34"/>
  <c r="B1157" i="34" s="1"/>
  <c r="K1156" i="34"/>
  <c r="C1156" i="34"/>
  <c r="B1156" i="34" s="1"/>
  <c r="C1146" i="34"/>
  <c r="B1146" i="34" s="1"/>
  <c r="K1185" i="34"/>
  <c r="C1185" i="34"/>
  <c r="B1185" i="34" s="1"/>
  <c r="K1184" i="34"/>
  <c r="C1184" i="34"/>
  <c r="B1184" i="34" s="1"/>
  <c r="K1183" i="34"/>
  <c r="C1183" i="34"/>
  <c r="B1183" i="34" s="1"/>
  <c r="K1312" i="34"/>
  <c r="K1399" i="34"/>
  <c r="K1400" i="34"/>
  <c r="K1401" i="34"/>
  <c r="K1311" i="34"/>
  <c r="C848" i="34"/>
  <c r="B848" i="34" s="1"/>
  <c r="C849" i="34"/>
  <c r="B849" i="34" s="1"/>
  <c r="C852" i="34"/>
  <c r="B852" i="34" s="1"/>
  <c r="C853" i="34"/>
  <c r="B853" i="34" s="1"/>
  <c r="C1311" i="34"/>
  <c r="B1311" i="34" s="1"/>
  <c r="C1312" i="34"/>
  <c r="B1312" i="34" s="1"/>
  <c r="C1313" i="34"/>
  <c r="B1313" i="34" s="1"/>
  <c r="C1399" i="34"/>
  <c r="B1399" i="34" s="1"/>
  <c r="C1400" i="34"/>
  <c r="B1400" i="34" s="1"/>
  <c r="C1401" i="34"/>
  <c r="B1401" i="34" s="1"/>
  <c r="C1402" i="34"/>
  <c r="B1402" i="34" s="1"/>
  <c r="C1403" i="34"/>
  <c r="B1403" i="34" s="1"/>
  <c r="C1404" i="34"/>
  <c r="B1404" i="34" s="1"/>
  <c r="C1415" i="34"/>
  <c r="B1415" i="34" s="1"/>
  <c r="C1416" i="34"/>
  <c r="C1456" i="34"/>
  <c r="B1456" i="34" s="1"/>
  <c r="C1457" i="34"/>
  <c r="B1457" i="34" s="1"/>
  <c r="C1458" i="34"/>
  <c r="B1458" i="34" s="1"/>
  <c r="C1459" i="34"/>
  <c r="B1459" i="34" s="1"/>
  <c r="C1460" i="34"/>
  <c r="B1460" i="34" s="1"/>
  <c r="C1461" i="34"/>
  <c r="B1461" i="34" s="1"/>
  <c r="C1462" i="34"/>
  <c r="B1462" i="34" s="1"/>
  <c r="C1463" i="34"/>
  <c r="B1463" i="34" s="1"/>
  <c r="C1464" i="34"/>
  <c r="B1464" i="34" s="1"/>
  <c r="C1465" i="34"/>
  <c r="B1465" i="34" s="1"/>
  <c r="C1470" i="34"/>
  <c r="B1470" i="34" s="1"/>
  <c r="C1471" i="34"/>
  <c r="B1471" i="34" s="1"/>
  <c r="C1472" i="34"/>
  <c r="B1472" i="34" s="1"/>
  <c r="C1466" i="34"/>
  <c r="B1466" i="34" s="1"/>
  <c r="C1467" i="34"/>
  <c r="B1467" i="34" s="1"/>
  <c r="C1468" i="34"/>
  <c r="B1468" i="34" s="1"/>
  <c r="C1469" i="34"/>
  <c r="B1469" i="34" s="1"/>
  <c r="C1473" i="34"/>
  <c r="B1473" i="34" s="1"/>
  <c r="C1474" i="34"/>
  <c r="B1474" i="34" s="1"/>
  <c r="C1306" i="34"/>
  <c r="B1306" i="34" s="1"/>
  <c r="C1307" i="34"/>
  <c r="B1307" i="34" s="1"/>
  <c r="K972" i="34"/>
  <c r="K958" i="34"/>
  <c r="K960" i="34"/>
  <c r="K962" i="34"/>
  <c r="K964" i="34"/>
  <c r="K968" i="34"/>
  <c r="K974" i="34"/>
  <c r="K975" i="34"/>
  <c r="K976" i="34"/>
  <c r="K977" i="34"/>
  <c r="K979" i="34"/>
  <c r="K981" i="34"/>
  <c r="K983" i="34"/>
  <c r="K948" i="34"/>
  <c r="K949" i="34"/>
  <c r="K951" i="34"/>
  <c r="K952" i="34"/>
  <c r="K954" i="34"/>
  <c r="K946" i="34"/>
  <c r="C946" i="34"/>
  <c r="B946" i="34" s="1"/>
  <c r="C947" i="34"/>
  <c r="B947" i="34" s="1"/>
  <c r="C948" i="34"/>
  <c r="B948" i="34" s="1"/>
  <c r="C949" i="34"/>
  <c r="B949" i="34" s="1"/>
  <c r="C950" i="34"/>
  <c r="B950" i="34" s="1"/>
  <c r="C951" i="34"/>
  <c r="B951" i="34" s="1"/>
  <c r="C952" i="34"/>
  <c r="B952" i="34" s="1"/>
  <c r="C953" i="34"/>
  <c r="B953" i="34" s="1"/>
  <c r="C954" i="34"/>
  <c r="B954" i="34" s="1"/>
  <c r="C955" i="34"/>
  <c r="C956" i="34"/>
  <c r="B956" i="34" s="1"/>
  <c r="C957" i="34"/>
  <c r="B957" i="34" s="1"/>
  <c r="C958" i="34"/>
  <c r="B958" i="34" s="1"/>
  <c r="C959" i="34"/>
  <c r="B959" i="34" s="1"/>
  <c r="C960" i="34"/>
  <c r="B960" i="34" s="1"/>
  <c r="C961" i="34"/>
  <c r="B961" i="34" s="1"/>
  <c r="C962" i="34"/>
  <c r="B962" i="34" s="1"/>
  <c r="C963" i="34"/>
  <c r="B963" i="34" s="1"/>
  <c r="C964" i="34"/>
  <c r="B964" i="34" s="1"/>
  <c r="C965" i="34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C982" i="34"/>
  <c r="B982" i="34" s="1"/>
  <c r="C983" i="34"/>
  <c r="B983" i="34" s="1"/>
  <c r="C984" i="34"/>
  <c r="B984" i="34" s="1"/>
  <c r="C985" i="34"/>
  <c r="B985" i="34" s="1"/>
  <c r="C986" i="34"/>
  <c r="B986" i="34" s="1"/>
  <c r="C1057" i="34"/>
  <c r="B1057" i="34" s="1"/>
  <c r="C1058" i="34"/>
  <c r="B1058" i="34" s="1"/>
  <c r="C1186" i="34"/>
  <c r="C163" i="34"/>
  <c r="B163" i="34" s="1"/>
  <c r="K159" i="34"/>
  <c r="K16" i="34" s="1"/>
  <c r="C157" i="34"/>
  <c r="B157" i="34" s="1"/>
  <c r="C158" i="34"/>
  <c r="B158" i="34" s="1"/>
  <c r="C159" i="34"/>
  <c r="B159" i="34" s="1"/>
  <c r="C160" i="34"/>
  <c r="B160" i="34" s="1"/>
  <c r="C161" i="34"/>
  <c r="B161" i="34" s="1"/>
  <c r="C162" i="34"/>
  <c r="B162" i="34" s="1"/>
  <c r="C164" i="34"/>
  <c r="B164" i="34" s="1"/>
  <c r="C165" i="34"/>
  <c r="B165" i="34" s="1"/>
  <c r="C143" i="34"/>
  <c r="B143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49" i="34"/>
  <c r="B149" i="34" s="1"/>
  <c r="C150" i="34"/>
  <c r="B150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29" i="34"/>
  <c r="B129" i="34" s="1"/>
  <c r="C130" i="34"/>
  <c r="B130" i="34" s="1"/>
  <c r="C131" i="34"/>
  <c r="B131" i="34" s="1"/>
  <c r="C132" i="34"/>
  <c r="B132" i="34" s="1"/>
  <c r="C133" i="34"/>
  <c r="B133" i="34" s="1"/>
  <c r="C134" i="34"/>
  <c r="B134" i="34" s="1"/>
  <c r="C135" i="34"/>
  <c r="B135" i="34" s="1"/>
  <c r="C136" i="34"/>
  <c r="B136" i="34" s="1"/>
  <c r="C137" i="34"/>
  <c r="B137" i="34" s="1"/>
  <c r="C138" i="34"/>
  <c r="B138" i="34" s="1"/>
  <c r="C139" i="34"/>
  <c r="B139" i="34" s="1"/>
  <c r="C140" i="34"/>
  <c r="B140" i="34" s="1"/>
  <c r="C128" i="34"/>
  <c r="B128" i="34" s="1"/>
  <c r="C43" i="15"/>
  <c r="D43" i="15"/>
  <c r="C41" i="15"/>
  <c r="D41" i="15"/>
  <c r="C38" i="15"/>
  <c r="D38" i="15"/>
  <c r="D59" i="15" s="1"/>
  <c r="C46" i="15"/>
  <c r="D46" i="15"/>
  <c r="A208" i="60"/>
  <c r="K11" i="34"/>
  <c r="K13" i="34"/>
  <c r="K21" i="34" s="1"/>
  <c r="K14" i="34"/>
  <c r="K10" i="34"/>
  <c r="K17" i="34"/>
  <c r="K18" i="34"/>
  <c r="K20" i="34"/>
  <c r="B4495" i="34"/>
  <c r="B4494" i="34"/>
  <c r="B4493" i="34"/>
  <c r="P3" i="56"/>
  <c r="Q3" i="56"/>
  <c r="D7" i="56"/>
  <c r="E6" i="43"/>
  <c r="A5" i="43"/>
  <c r="Y7" i="34"/>
  <c r="B3476" i="34"/>
  <c r="B4509" i="34"/>
  <c r="B1740" i="34"/>
  <c r="B2887" i="34"/>
  <c r="B4340" i="34"/>
  <c r="B3922" i="34"/>
  <c r="B2071" i="34"/>
  <c r="B1622" i="34"/>
  <c r="B2881" i="34"/>
  <c r="B4370" i="34"/>
  <c r="B2065" i="34"/>
  <c r="B2030" i="34"/>
  <c r="B2021" i="34"/>
  <c r="B2016" i="34"/>
  <c r="B1989" i="34"/>
  <c r="B3290" i="34"/>
  <c r="B4343" i="34"/>
  <c r="B4619" i="34"/>
  <c r="B4517" i="34"/>
  <c r="B4516" i="34"/>
  <c r="B2300" i="34"/>
  <c r="B1991" i="34"/>
  <c r="B4515" i="34"/>
  <c r="B4514" i="34"/>
  <c r="B4513" i="34"/>
  <c r="B4512" i="34"/>
  <c r="B4511" i="34"/>
  <c r="B4510" i="34"/>
  <c r="B4496" i="34"/>
  <c r="B4463" i="34"/>
  <c r="B4462" i="34"/>
  <c r="B3929" i="34"/>
  <c r="B3928" i="34"/>
  <c r="B3918" i="34"/>
  <c r="B3917" i="34"/>
  <c r="B3473" i="34"/>
  <c r="B3456" i="34"/>
  <c r="B3455" i="34"/>
  <c r="B3359" i="34"/>
  <c r="B3358" i="34"/>
  <c r="B2900" i="34"/>
  <c r="B2313" i="34"/>
  <c r="B2312" i="34"/>
  <c r="B2311" i="34"/>
  <c r="B2310" i="34"/>
  <c r="B2309" i="34"/>
  <c r="B2308" i="34"/>
  <c r="B2307" i="34"/>
  <c r="B2299" i="34"/>
  <c r="B2298" i="34"/>
  <c r="B2297" i="34"/>
  <c r="B2296" i="34"/>
  <c r="B1940" i="34"/>
  <c r="B1939" i="34"/>
  <c r="B1935" i="34"/>
  <c r="B1628" i="34"/>
  <c r="A153" i="55"/>
  <c r="A560" i="55"/>
  <c r="A176" i="55"/>
  <c r="A116" i="55"/>
  <c r="F153" i="55" a="1"/>
  <c r="F153" i="55" s="1"/>
  <c r="H153" i="55" a="1"/>
  <c r="H153" i="55" s="1"/>
  <c r="F560" i="55" a="1"/>
  <c r="F560" i="55" s="1"/>
  <c r="H560" i="55" a="1"/>
  <c r="H560" i="55" s="1"/>
  <c r="F80" i="55" a="1"/>
  <c r="F80" i="55" s="1"/>
  <c r="H80" i="55" a="1"/>
  <c r="H80" i="55" s="1"/>
  <c r="F176" i="55" a="1"/>
  <c r="F176" i="55" s="1"/>
  <c r="H176" i="55" a="1"/>
  <c r="H176" i="55" s="1"/>
  <c r="F116" i="55" a="1"/>
  <c r="F116" i="55" s="1"/>
  <c r="H116" i="55" a="1"/>
  <c r="H116" i="55" s="1"/>
  <c r="V10" i="34"/>
  <c r="V11" i="34"/>
  <c r="A209" i="60"/>
  <c r="A210" i="60"/>
  <c r="O267" i="60"/>
  <c r="C267" i="60" s="1"/>
  <c r="G269" i="60"/>
  <c r="O266" i="60"/>
  <c r="C266" i="60" s="1"/>
  <c r="O265" i="60"/>
  <c r="C265" i="60" s="1"/>
  <c r="O264" i="60"/>
  <c r="C264" i="60" s="1"/>
  <c r="O263" i="60"/>
  <c r="C263" i="60" s="1"/>
  <c r="O262" i="60"/>
  <c r="C262" i="60" s="1"/>
  <c r="O261" i="60"/>
  <c r="C261" i="60" s="1"/>
  <c r="O260" i="60"/>
  <c r="C260" i="60" s="1"/>
  <c r="O259" i="60"/>
  <c r="C259" i="60" s="1"/>
  <c r="O258" i="60"/>
  <c r="C258" i="60" s="1"/>
  <c r="O257" i="60"/>
  <c r="C257" i="60" s="1"/>
  <c r="O256" i="60"/>
  <c r="C256" i="60" s="1"/>
  <c r="O255" i="60"/>
  <c r="C255" i="60" s="1"/>
  <c r="O254" i="60"/>
  <c r="C254" i="60" s="1"/>
  <c r="O253" i="60"/>
  <c r="C253" i="60" s="1"/>
  <c r="D269" i="60"/>
  <c r="O232" i="60"/>
  <c r="C232" i="60" s="1"/>
  <c r="O231" i="60"/>
  <c r="C231" i="60" s="1"/>
  <c r="O230" i="60"/>
  <c r="C230" i="60" s="1"/>
  <c r="O229" i="60"/>
  <c r="C229" i="60" s="1"/>
  <c r="O228" i="60"/>
  <c r="C228" i="60" s="1"/>
  <c r="O227" i="60"/>
  <c r="C227" i="60" s="1"/>
  <c r="O226" i="60"/>
  <c r="C226" i="60" s="1"/>
  <c r="O225" i="60"/>
  <c r="C225" i="60" s="1"/>
  <c r="O224" i="60"/>
  <c r="C224" i="60" s="1"/>
  <c r="O223" i="60"/>
  <c r="C223" i="60" s="1"/>
  <c r="O222" i="60"/>
  <c r="C222" i="60" s="1"/>
  <c r="O221" i="60"/>
  <c r="C221" i="60" s="1"/>
  <c r="O220" i="60"/>
  <c r="C220" i="60" s="1"/>
  <c r="O219" i="60"/>
  <c r="C219" i="60" s="1"/>
  <c r="O218" i="60"/>
  <c r="C218" i="60" s="1"/>
  <c r="O217" i="60"/>
  <c r="C217" i="60" s="1"/>
  <c r="O216" i="60"/>
  <c r="C216" i="60" s="1"/>
  <c r="O215" i="60"/>
  <c r="C215" i="60" s="1"/>
  <c r="O250" i="60"/>
  <c r="C250" i="60" s="1"/>
  <c r="O249" i="60"/>
  <c r="C249" i="60" s="1"/>
  <c r="O248" i="60"/>
  <c r="C248" i="60" s="1"/>
  <c r="O247" i="60"/>
  <c r="C247" i="60" s="1"/>
  <c r="O246" i="60"/>
  <c r="C246" i="60" s="1"/>
  <c r="O245" i="60"/>
  <c r="C245" i="60" s="1"/>
  <c r="O244" i="60"/>
  <c r="C244" i="60" s="1"/>
  <c r="O243" i="60"/>
  <c r="C243" i="60" s="1"/>
  <c r="O242" i="60"/>
  <c r="C242" i="60" s="1"/>
  <c r="O241" i="60"/>
  <c r="C241" i="60" s="1"/>
  <c r="O240" i="60"/>
  <c r="C240" i="60" s="1"/>
  <c r="O239" i="60"/>
  <c r="C239" i="60" s="1"/>
  <c r="O238" i="60"/>
  <c r="C238" i="60" s="1"/>
  <c r="O237" i="60"/>
  <c r="C237" i="60" s="1"/>
  <c r="O236" i="60"/>
  <c r="C236" i="60" s="1"/>
  <c r="O235" i="60"/>
  <c r="C235" i="60" s="1"/>
  <c r="O234" i="60"/>
  <c r="C234" i="60" s="1"/>
  <c r="O233" i="60"/>
  <c r="C233" i="60" s="1"/>
  <c r="H29" i="55" a="1"/>
  <c r="H29" i="55" s="1"/>
  <c r="F29" i="55" a="1"/>
  <c r="F29" i="55" s="1"/>
  <c r="A29" i="55"/>
  <c r="H31" i="55" a="1"/>
  <c r="H31" i="55" s="1"/>
  <c r="F31" i="55" a="1"/>
  <c r="F31" i="55" s="1"/>
  <c r="A31" i="55"/>
  <c r="H160" i="55" a="1"/>
  <c r="H160" i="55" s="1"/>
  <c r="F160" i="55" a="1"/>
  <c r="F160" i="55" s="1"/>
  <c r="A160" i="55"/>
  <c r="H172" i="55" a="1"/>
  <c r="H172" i="55" s="1"/>
  <c r="F172" i="55" a="1"/>
  <c r="F172" i="55" s="1"/>
  <c r="A172" i="55"/>
  <c r="H81" i="55" a="1"/>
  <c r="H81" i="55" s="1"/>
  <c r="F81" i="55" a="1"/>
  <c r="F81" i="55" s="1"/>
  <c r="A81" i="55"/>
  <c r="H82" i="55" a="1"/>
  <c r="H82" i="55" s="1"/>
  <c r="F82" i="55" a="1"/>
  <c r="F82" i="55" s="1"/>
  <c r="A82" i="55"/>
  <c r="H169" i="55" a="1"/>
  <c r="H169" i="55" s="1"/>
  <c r="F169" i="55" a="1"/>
  <c r="F169" i="55" s="1"/>
  <c r="A169" i="55"/>
  <c r="H165" i="55" a="1"/>
  <c r="H165" i="55" s="1"/>
  <c r="F165" i="55" a="1"/>
  <c r="F165" i="55" s="1"/>
  <c r="A165" i="55"/>
  <c r="H91" i="55" a="1"/>
  <c r="H91" i="55" s="1"/>
  <c r="F91" i="55" a="1"/>
  <c r="F91" i="55" s="1"/>
  <c r="H421" i="55" a="1"/>
  <c r="H421" i="55" s="1"/>
  <c r="F421" i="55" a="1"/>
  <c r="F421" i="55" s="1"/>
  <c r="H644" i="55" a="1"/>
  <c r="H644" i="55" s="1"/>
  <c r="F644" i="55" a="1"/>
  <c r="F644" i="55" s="1"/>
  <c r="A644" i="55"/>
  <c r="H374" i="55" a="1"/>
  <c r="H374" i="55" s="1"/>
  <c r="F374" i="55" a="1"/>
  <c r="F374" i="55" s="1"/>
  <c r="H156" i="55" a="1"/>
  <c r="H156" i="55" s="1"/>
  <c r="F156" i="55" a="1"/>
  <c r="F156" i="55" s="1"/>
  <c r="A156" i="55"/>
  <c r="H329" i="55" a="1"/>
  <c r="H329" i="55" s="1"/>
  <c r="F329" i="55" a="1"/>
  <c r="F329" i="55" s="1"/>
  <c r="A11" i="70"/>
  <c r="A37" i="70"/>
  <c r="A6" i="70"/>
  <c r="A152" i="55"/>
  <c r="F152" i="55" a="1"/>
  <c r="F152" i="55" s="1"/>
  <c r="H152" i="55" a="1"/>
  <c r="H152" i="55" s="1"/>
  <c r="F227" i="55" a="1"/>
  <c r="F227" i="55" s="1"/>
  <c r="H227" i="55" a="1"/>
  <c r="H227" i="55" s="1"/>
  <c r="A159" i="55"/>
  <c r="F159" i="55" a="1"/>
  <c r="F159" i="55" s="1"/>
  <c r="H159" i="55" a="1"/>
  <c r="H159" i="55" s="1"/>
  <c r="A173" i="55"/>
  <c r="F173" i="55" a="1"/>
  <c r="F173" i="55" s="1"/>
  <c r="H173" i="55" a="1"/>
  <c r="H173" i="55" s="1"/>
  <c r="A157" i="55"/>
  <c r="F157" i="55" a="1"/>
  <c r="F157" i="55" s="1"/>
  <c r="H157" i="55" a="1"/>
  <c r="H157" i="55" s="1"/>
  <c r="A171" i="55"/>
  <c r="F171" i="55" a="1"/>
  <c r="F171" i="55" s="1"/>
  <c r="H171" i="55" a="1"/>
  <c r="H171" i="55" s="1"/>
  <c r="A170" i="55"/>
  <c r="F170" i="55" a="1"/>
  <c r="F170" i="55" s="1"/>
  <c r="H170" i="55" a="1"/>
  <c r="H170" i="55" s="1"/>
  <c r="O199" i="60"/>
  <c r="C199" i="60" s="1"/>
  <c r="O197" i="60"/>
  <c r="C197" i="60" s="1"/>
  <c r="O185" i="60"/>
  <c r="C185" i="60" s="1"/>
  <c r="O186" i="60"/>
  <c r="C186" i="60" s="1"/>
  <c r="O187" i="60"/>
  <c r="O188" i="60"/>
  <c r="C188" i="60" s="1"/>
  <c r="O189" i="60"/>
  <c r="C189" i="60" s="1"/>
  <c r="O190" i="60"/>
  <c r="C190" i="60" s="1"/>
  <c r="O191" i="60"/>
  <c r="C191" i="60" s="1"/>
  <c r="O193" i="60"/>
  <c r="C193" i="60" s="1"/>
  <c r="O194" i="60"/>
  <c r="C194" i="60" s="1"/>
  <c r="O195" i="60"/>
  <c r="C195" i="60" s="1"/>
  <c r="O198" i="60"/>
  <c r="C198" i="60" s="1"/>
  <c r="O184" i="60"/>
  <c r="C184" i="60" s="1"/>
  <c r="O181" i="60"/>
  <c r="C181" i="60" s="1"/>
  <c r="O182" i="60"/>
  <c r="C182" i="60" s="1"/>
  <c r="O183" i="60"/>
  <c r="C183" i="60" s="1"/>
  <c r="O192" i="60"/>
  <c r="C192" i="60" s="1"/>
  <c r="O196" i="60"/>
  <c r="C196" i="60" s="1"/>
  <c r="O200" i="60"/>
  <c r="C200" i="60" s="1"/>
  <c r="O172" i="60"/>
  <c r="C172" i="60" s="1"/>
  <c r="O173" i="60"/>
  <c r="C173" i="60" s="1"/>
  <c r="O174" i="60"/>
  <c r="C174" i="60" s="1"/>
  <c r="O175" i="60"/>
  <c r="C175" i="60" s="1"/>
  <c r="O176" i="60"/>
  <c r="C176" i="60" s="1"/>
  <c r="O177" i="60"/>
  <c r="C177" i="60" s="1"/>
  <c r="O178" i="60"/>
  <c r="C178" i="60" s="1"/>
  <c r="O179" i="60"/>
  <c r="C179" i="60" s="1"/>
  <c r="O180" i="60"/>
  <c r="C180" i="60" s="1"/>
  <c r="A102" i="55"/>
  <c r="F102" i="55" a="1"/>
  <c r="F102" i="55" s="1"/>
  <c r="H102" i="55" a="1"/>
  <c r="H102" i="55" s="1"/>
  <c r="B4465" i="34"/>
  <c r="B4464" i="34"/>
  <c r="B3395" i="34"/>
  <c r="B3394" i="34"/>
  <c r="B1692" i="34"/>
  <c r="B1691" i="34"/>
  <c r="B4451" i="34"/>
  <c r="B4450" i="34"/>
  <c r="D202" i="60"/>
  <c r="B2333" i="34"/>
  <c r="D44" i="60"/>
  <c r="B4604" i="34"/>
  <c r="B4603" i="34"/>
  <c r="B4602" i="34"/>
  <c r="B4550" i="34"/>
  <c r="B4549" i="34"/>
  <c r="H89" i="55" a="1"/>
  <c r="H89" i="55" s="1"/>
  <c r="F89" i="55" a="1"/>
  <c r="F89" i="55" s="1"/>
  <c r="A89" i="55"/>
  <c r="A16" i="70"/>
  <c r="A31" i="70"/>
  <c r="A33" i="70"/>
  <c r="A35" i="70"/>
  <c r="A52" i="70"/>
  <c r="H65" i="55" a="1"/>
  <c r="H65" i="55" s="1"/>
  <c r="F65" i="55" a="1"/>
  <c r="F65" i="55" s="1"/>
  <c r="A65" i="55"/>
  <c r="H103" i="55" a="1"/>
  <c r="H103" i="55" s="1"/>
  <c r="F103" i="55" a="1"/>
  <c r="F103" i="55" s="1"/>
  <c r="A103" i="55"/>
  <c r="H34" i="55" a="1"/>
  <c r="H34" i="55" s="1"/>
  <c r="F34" i="55" a="1"/>
  <c r="F34" i="55" s="1"/>
  <c r="A34" i="55"/>
  <c r="H35" i="55" a="1"/>
  <c r="H35" i="55" s="1"/>
  <c r="F35" i="55" a="1"/>
  <c r="F35" i="55" s="1"/>
  <c r="A35" i="55"/>
  <c r="H78" i="55" a="1"/>
  <c r="H78" i="55" s="1"/>
  <c r="F78" i="55" a="1"/>
  <c r="F78" i="55" s="1"/>
  <c r="A78" i="55"/>
  <c r="H106" i="55" a="1"/>
  <c r="H106" i="55" s="1"/>
  <c r="F106" i="55" a="1"/>
  <c r="F106" i="55" s="1"/>
  <c r="A106" i="55"/>
  <c r="H50" i="55" a="1"/>
  <c r="H50" i="55" s="1"/>
  <c r="F50" i="55" a="1"/>
  <c r="F50" i="55" s="1"/>
  <c r="A50" i="55"/>
  <c r="H126" i="55" a="1"/>
  <c r="H126" i="55" s="1"/>
  <c r="F126" i="55" a="1"/>
  <c r="F126" i="55" s="1"/>
  <c r="A126" i="55"/>
  <c r="H36" i="55" a="1"/>
  <c r="H36" i="55" s="1"/>
  <c r="F36" i="55" a="1"/>
  <c r="F36" i="55" s="1"/>
  <c r="A36" i="55"/>
  <c r="H49" i="55" a="1"/>
  <c r="H49" i="55" s="1"/>
  <c r="F49" i="55" a="1"/>
  <c r="F49" i="55" s="1"/>
  <c r="A49" i="55"/>
  <c r="H119" i="55" a="1"/>
  <c r="H119" i="55" s="1"/>
  <c r="F119" i="55" a="1"/>
  <c r="F119" i="55" s="1"/>
  <c r="A119" i="55"/>
  <c r="H120" i="55" a="1"/>
  <c r="H120" i="55" s="1"/>
  <c r="F120" i="55" a="1"/>
  <c r="F120" i="55" s="1"/>
  <c r="A120" i="55"/>
  <c r="H125" i="55" a="1"/>
  <c r="H125" i="55" s="1"/>
  <c r="F125" i="55" a="1"/>
  <c r="F125" i="55" s="1"/>
  <c r="A125" i="55"/>
  <c r="H48" i="55" a="1"/>
  <c r="H48" i="55" s="1"/>
  <c r="F48" i="55" a="1"/>
  <c r="F48" i="55" s="1"/>
  <c r="A48" i="55"/>
  <c r="H97" i="55" a="1"/>
  <c r="H97" i="55" s="1"/>
  <c r="F97" i="55" a="1"/>
  <c r="F97" i="55" s="1"/>
  <c r="A97" i="55"/>
  <c r="H118" i="55" a="1"/>
  <c r="H118" i="55" s="1"/>
  <c r="F118" i="55" a="1"/>
  <c r="F118" i="55" s="1"/>
  <c r="A118" i="55"/>
  <c r="H96" i="55" a="1"/>
  <c r="H96" i="55" s="1"/>
  <c r="F96" i="55" a="1"/>
  <c r="F96" i="55" s="1"/>
  <c r="A96" i="55"/>
  <c r="H105" i="55" a="1"/>
  <c r="H105" i="55" s="1"/>
  <c r="F105" i="55" a="1"/>
  <c r="F105" i="55" s="1"/>
  <c r="A105" i="55"/>
  <c r="H64" i="55" a="1"/>
  <c r="H64" i="55" s="1"/>
  <c r="F64" i="55" a="1"/>
  <c r="F64" i="55" s="1"/>
  <c r="A64" i="55"/>
  <c r="H61" i="55" a="1"/>
  <c r="H61" i="55" s="1"/>
  <c r="F61" i="55" a="1"/>
  <c r="F61" i="55" s="1"/>
  <c r="A61" i="55"/>
  <c r="H44" i="55" a="1"/>
  <c r="H44" i="55" s="1"/>
  <c r="F44" i="55" a="1"/>
  <c r="F44" i="55" s="1"/>
  <c r="A44" i="55"/>
  <c r="H43" i="55" a="1"/>
  <c r="H43" i="55" s="1"/>
  <c r="F43" i="55" a="1"/>
  <c r="F43" i="55" s="1"/>
  <c r="A43" i="55"/>
  <c r="H46" i="55" a="1"/>
  <c r="H46" i="55" s="1"/>
  <c r="F46" i="55" a="1"/>
  <c r="F46" i="55" s="1"/>
  <c r="A46" i="55"/>
  <c r="H38" i="55" a="1"/>
  <c r="H38" i="55" s="1"/>
  <c r="F38" i="55" a="1"/>
  <c r="F38" i="55" s="1"/>
  <c r="A38" i="55"/>
  <c r="H60" i="55" a="1"/>
  <c r="H60" i="55" s="1"/>
  <c r="F60" i="55" a="1"/>
  <c r="F60" i="55" s="1"/>
  <c r="A60" i="55"/>
  <c r="H99" i="55" a="1"/>
  <c r="H99" i="55" s="1"/>
  <c r="F99" i="55" a="1"/>
  <c r="F99" i="55" s="1"/>
  <c r="A99" i="55"/>
  <c r="H28" i="55" a="1"/>
  <c r="H28" i="55" s="1"/>
  <c r="F28" i="55" a="1"/>
  <c r="F28" i="55" s="1"/>
  <c r="A28" i="55"/>
  <c r="B4601" i="34"/>
  <c r="B4600" i="34"/>
  <c r="B4579" i="34"/>
  <c r="B4578" i="34"/>
  <c r="B4577" i="34"/>
  <c r="B4576" i="34"/>
  <c r="B4575" i="34"/>
  <c r="B4574" i="34"/>
  <c r="B4573" i="34"/>
  <c r="B4572" i="34"/>
  <c r="B4571" i="34"/>
  <c r="B4570" i="34"/>
  <c r="B4569" i="34"/>
  <c r="B4568" i="34"/>
  <c r="B4567" i="34"/>
  <c r="B4566" i="34"/>
  <c r="B4565" i="34"/>
  <c r="B4564" i="34"/>
  <c r="B4563" i="34"/>
  <c r="B4562" i="34"/>
  <c r="B4561" i="34"/>
  <c r="B4560" i="34"/>
  <c r="B4589" i="34"/>
  <c r="B4588" i="34"/>
  <c r="B4587" i="34"/>
  <c r="B4586" i="34"/>
  <c r="B4585" i="34"/>
  <c r="B4584" i="34"/>
  <c r="B4583" i="34"/>
  <c r="B4582" i="34"/>
  <c r="B4581" i="34"/>
  <c r="B4580" i="34"/>
  <c r="B4469" i="34"/>
  <c r="B4468" i="34"/>
  <c r="B4605" i="34"/>
  <c r="B4543" i="34"/>
  <c r="B4542" i="34"/>
  <c r="B4541" i="34"/>
  <c r="B4540" i="34"/>
  <c r="B4539" i="34"/>
  <c r="B4538" i="34"/>
  <c r="B4537" i="34"/>
  <c r="B4591" i="34"/>
  <c r="B4590" i="34"/>
  <c r="B4478" i="34"/>
  <c r="B4477" i="34"/>
  <c r="B4476" i="34"/>
  <c r="B4475" i="34"/>
  <c r="B4474" i="34"/>
  <c r="B4473" i="34"/>
  <c r="B4472" i="34"/>
  <c r="B4471" i="34"/>
  <c r="B4470" i="34"/>
  <c r="B4596" i="34"/>
  <c r="B4595" i="34"/>
  <c r="B4594" i="34"/>
  <c r="B4593" i="34"/>
  <c r="B4592" i="34"/>
  <c r="B4536" i="34"/>
  <c r="B4599" i="34"/>
  <c r="B4598" i="34"/>
  <c r="B4597" i="34"/>
  <c r="H151" i="55" a="1"/>
  <c r="H151" i="55" s="1"/>
  <c r="F151" i="55" a="1"/>
  <c r="F151" i="55" s="1"/>
  <c r="H583" i="55" a="1"/>
  <c r="H583" i="55" s="1"/>
  <c r="F583" i="55" a="1"/>
  <c r="F583" i="55" s="1"/>
  <c r="H177" i="55" a="1"/>
  <c r="H177" i="55" s="1"/>
  <c r="F177" i="55" a="1"/>
  <c r="F177" i="55" s="1"/>
  <c r="A177" i="55"/>
  <c r="H166" i="55" a="1"/>
  <c r="H166" i="55" s="1"/>
  <c r="F166" i="55" a="1"/>
  <c r="F166" i="55" s="1"/>
  <c r="A166" i="55"/>
  <c r="H79" i="55" a="1"/>
  <c r="H79" i="55" s="1"/>
  <c r="F79" i="55" a="1"/>
  <c r="F79" i="55" s="1"/>
  <c r="A79" i="55"/>
  <c r="H142" i="55" a="1"/>
  <c r="H142" i="55" s="1"/>
  <c r="F142" i="55" a="1"/>
  <c r="F142" i="55" s="1"/>
  <c r="H134" i="55" a="1"/>
  <c r="H134" i="55" s="1"/>
  <c r="F134" i="55" a="1"/>
  <c r="F134" i="55" s="1"/>
  <c r="A134" i="55"/>
  <c r="H155" i="55" a="1"/>
  <c r="H155" i="55" s="1"/>
  <c r="F155" i="55" a="1"/>
  <c r="F155" i="55" s="1"/>
  <c r="A155" i="55"/>
  <c r="H122" i="55" a="1"/>
  <c r="H122" i="55" s="1"/>
  <c r="F122" i="55" a="1"/>
  <c r="F122" i="55" s="1"/>
  <c r="H37" i="55" a="1"/>
  <c r="H37" i="55" s="1"/>
  <c r="F37" i="55" a="1"/>
  <c r="F37" i="55" s="1"/>
  <c r="A37" i="55"/>
  <c r="H123" i="55" a="1"/>
  <c r="H123" i="55" s="1"/>
  <c r="F123" i="55" a="1"/>
  <c r="F123" i="55" s="1"/>
  <c r="A123" i="55"/>
  <c r="H98" i="55" a="1"/>
  <c r="H98" i="55" s="1"/>
  <c r="F98" i="55" a="1"/>
  <c r="F98" i="55" s="1"/>
  <c r="A98" i="55"/>
  <c r="H63" i="55" a="1"/>
  <c r="H63" i="55" s="1"/>
  <c r="F63" i="55" a="1"/>
  <c r="F63" i="55" s="1"/>
  <c r="A63" i="55"/>
  <c r="B4691" i="34"/>
  <c r="B4690" i="34"/>
  <c r="B4689" i="34"/>
  <c r="B4688" i="34"/>
  <c r="B4687" i="34"/>
  <c r="B4686" i="34"/>
  <c r="B4685" i="34"/>
  <c r="B4684" i="34"/>
  <c r="B4683" i="34"/>
  <c r="B4682" i="34"/>
  <c r="B4681" i="34"/>
  <c r="B4680" i="34"/>
  <c r="B4679" i="34"/>
  <c r="B4678" i="34"/>
  <c r="B4677" i="34"/>
  <c r="B4676" i="34"/>
  <c r="B4675" i="34"/>
  <c r="B4674" i="34"/>
  <c r="B4673" i="34"/>
  <c r="B4672" i="34"/>
  <c r="B4671" i="34"/>
  <c r="B4670" i="34"/>
  <c r="B4669" i="34"/>
  <c r="B4668" i="34"/>
  <c r="B4667" i="34"/>
  <c r="B4666" i="34"/>
  <c r="B4665" i="34"/>
  <c r="B4664" i="34"/>
  <c r="B4663" i="34"/>
  <c r="B4662" i="34"/>
  <c r="B4661" i="34"/>
  <c r="B4660" i="34"/>
  <c r="B4659" i="34"/>
  <c r="B4658" i="34"/>
  <c r="B4657" i="34"/>
  <c r="B4656" i="34"/>
  <c r="B4655" i="34"/>
  <c r="B4654" i="34"/>
  <c r="B4653" i="34"/>
  <c r="B4652" i="34"/>
  <c r="B4651" i="34"/>
  <c r="B4650" i="34"/>
  <c r="B4649" i="34"/>
  <c r="B4648" i="34"/>
  <c r="B4647" i="34"/>
  <c r="B4646" i="34"/>
  <c r="B4645" i="34"/>
  <c r="B4644" i="34"/>
  <c r="B4643" i="34"/>
  <c r="B4642" i="34"/>
  <c r="B4641" i="34"/>
  <c r="B4640" i="34"/>
  <c r="B4639" i="34"/>
  <c r="B4638" i="34"/>
  <c r="B4637" i="34"/>
  <c r="B4636" i="34"/>
  <c r="B4635" i="34"/>
  <c r="B4634" i="34"/>
  <c r="B4633" i="34"/>
  <c r="B4632" i="34"/>
  <c r="B4631" i="34"/>
  <c r="B4630" i="34"/>
  <c r="B4629" i="34"/>
  <c r="B4628" i="34"/>
  <c r="B4627" i="34"/>
  <c r="B4626" i="34"/>
  <c r="B4625" i="34"/>
  <c r="B4624" i="34"/>
  <c r="B4623" i="34"/>
  <c r="B4622" i="34"/>
  <c r="B4621" i="34"/>
  <c r="B4620" i="34"/>
  <c r="B4754" i="34"/>
  <c r="B4753" i="34"/>
  <c r="B4752" i="34"/>
  <c r="B4751" i="34"/>
  <c r="B4750" i="34"/>
  <c r="B4749" i="34"/>
  <c r="B4748" i="34"/>
  <c r="B4747" i="34"/>
  <c r="B4746" i="34"/>
  <c r="B4745" i="34"/>
  <c r="B4744" i="34"/>
  <c r="B4743" i="34"/>
  <c r="B4742" i="34"/>
  <c r="B4741" i="34"/>
  <c r="B4740" i="34"/>
  <c r="B4739" i="34"/>
  <c r="B4738" i="34"/>
  <c r="B4737" i="34"/>
  <c r="B4736" i="34"/>
  <c r="B4735" i="34"/>
  <c r="B4734" i="34"/>
  <c r="B4733" i="34"/>
  <c r="B4732" i="34"/>
  <c r="B4731" i="34"/>
  <c r="B4730" i="34"/>
  <c r="B4729" i="34"/>
  <c r="B4728" i="34"/>
  <c r="B4727" i="34"/>
  <c r="B4726" i="34"/>
  <c r="B4725" i="34"/>
  <c r="B4724" i="34"/>
  <c r="B4723" i="34"/>
  <c r="B4722" i="34"/>
  <c r="B4721" i="34"/>
  <c r="B4720" i="34"/>
  <c r="B4719" i="34"/>
  <c r="B4718" i="34"/>
  <c r="B4717" i="34"/>
  <c r="B4716" i="34"/>
  <c r="B4715" i="34"/>
  <c r="B4714" i="34"/>
  <c r="B4713" i="34"/>
  <c r="B4712" i="34"/>
  <c r="B4711" i="34"/>
  <c r="B4710" i="34"/>
  <c r="B4709" i="34"/>
  <c r="B4708" i="34"/>
  <c r="B4707" i="34"/>
  <c r="B4706" i="34"/>
  <c r="B4705" i="34"/>
  <c r="B4704" i="34"/>
  <c r="B4703" i="34"/>
  <c r="B4702" i="34"/>
  <c r="B4701" i="34"/>
  <c r="B4700" i="34"/>
  <c r="B4699" i="34"/>
  <c r="B4698" i="34"/>
  <c r="B4697" i="34"/>
  <c r="B4696" i="34"/>
  <c r="B4695" i="34"/>
  <c r="B4694" i="34"/>
  <c r="B4693" i="34"/>
  <c r="B4692" i="34"/>
  <c r="B4618" i="34"/>
  <c r="B4617" i="34"/>
  <c r="B4616" i="34"/>
  <c r="B4615" i="34"/>
  <c r="B4614" i="34"/>
  <c r="B4613" i="34"/>
  <c r="B4612" i="34"/>
  <c r="B4609" i="34"/>
  <c r="B4608" i="34"/>
  <c r="B4607" i="34"/>
  <c r="B4606" i="34"/>
  <c r="B4547" i="34"/>
  <c r="B4546" i="34"/>
  <c r="B4545" i="34"/>
  <c r="B4544" i="34"/>
  <c r="H25" i="55" a="1"/>
  <c r="H25" i="55" s="1"/>
  <c r="F25" i="55" a="1"/>
  <c r="F25" i="55" s="1"/>
  <c r="A25" i="55"/>
  <c r="H143" i="55" a="1"/>
  <c r="H143" i="55" s="1"/>
  <c r="F143" i="55" a="1"/>
  <c r="F143" i="55" s="1"/>
  <c r="A143" i="55"/>
  <c r="A20" i="70"/>
  <c r="B4481" i="34"/>
  <c r="B4500" i="34"/>
  <c r="B4499" i="34"/>
  <c r="B4498" i="34"/>
  <c r="B4497" i="34"/>
  <c r="B4490" i="34"/>
  <c r="B4489" i="34"/>
  <c r="B4488" i="34"/>
  <c r="B4487" i="34"/>
  <c r="B4486" i="34"/>
  <c r="B4508" i="34"/>
  <c r="B4507" i="34"/>
  <c r="B4501" i="34"/>
  <c r="B4480" i="34"/>
  <c r="B4479" i="34"/>
  <c r="B4533" i="34"/>
  <c r="B4532" i="34"/>
  <c r="B4531" i="34"/>
  <c r="B4520" i="34"/>
  <c r="B4519" i="34"/>
  <c r="B4518" i="34"/>
  <c r="B4456" i="34"/>
  <c r="B4455" i="34"/>
  <c r="B4454" i="34"/>
  <c r="B4453" i="34"/>
  <c r="B4452" i="34"/>
  <c r="B4449" i="34"/>
  <c r="B4448" i="34"/>
  <c r="B4559" i="34"/>
  <c r="B4558" i="34"/>
  <c r="B3512" i="34"/>
  <c r="B3511" i="34"/>
  <c r="B3513" i="34"/>
  <c r="B4556" i="34"/>
  <c r="B4524" i="34"/>
  <c r="B4523" i="34"/>
  <c r="B4535" i="34"/>
  <c r="B4530" i="34"/>
  <c r="B4526" i="34"/>
  <c r="B4553" i="34"/>
  <c r="B4461" i="34"/>
  <c r="B4447" i="34"/>
  <c r="B4457" i="34"/>
  <c r="B4483" i="34"/>
  <c r="B4446" i="34"/>
  <c r="B4484" i="34"/>
  <c r="B4504" i="34"/>
  <c r="B4525" i="34"/>
  <c r="B4610" i="34"/>
  <c r="B2327" i="34"/>
  <c r="B2326" i="34"/>
  <c r="B2291" i="34"/>
  <c r="B2290" i="34"/>
  <c r="B2289" i="34"/>
  <c r="B4770" i="34"/>
  <c r="B4769" i="34"/>
  <c r="B4768" i="34"/>
  <c r="B4767" i="34"/>
  <c r="B4766" i="34"/>
  <c r="B4765" i="34"/>
  <c r="B4764" i="34"/>
  <c r="B4763" i="34"/>
  <c r="B4762" i="34"/>
  <c r="B4761" i="34"/>
  <c r="B4760" i="34"/>
  <c r="B4759" i="34"/>
  <c r="B4758" i="34"/>
  <c r="B4757" i="34"/>
  <c r="B4756" i="34"/>
  <c r="B4755" i="34"/>
  <c r="B1625" i="34"/>
  <c r="B1624" i="34"/>
  <c r="B1623" i="34"/>
  <c r="B1938" i="34"/>
  <c r="B1937" i="34"/>
  <c r="B1936" i="34"/>
  <c r="B2325" i="34"/>
  <c r="B2915" i="34"/>
  <c r="B2914" i="34"/>
  <c r="B2913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4346" i="34"/>
  <c r="B4347" i="34"/>
  <c r="B4348" i="34"/>
  <c r="B4349" i="34"/>
  <c r="B4350" i="34"/>
  <c r="B4351" i="34"/>
  <c r="B4352" i="34"/>
  <c r="B4353" i="34"/>
  <c r="B4354" i="34"/>
  <c r="B4355" i="34"/>
  <c r="B4356" i="34"/>
  <c r="B4357" i="34"/>
  <c r="B4358" i="34"/>
  <c r="B4345" i="34"/>
  <c r="B4344" i="34"/>
  <c r="D149" i="60"/>
  <c r="O59" i="60"/>
  <c r="C59" i="60" s="1"/>
  <c r="O68" i="60"/>
  <c r="C68" i="60" s="1"/>
  <c r="O73" i="60"/>
  <c r="C73" i="60" s="1"/>
  <c r="O67" i="60"/>
  <c r="C67" i="60" s="1"/>
  <c r="O66" i="60"/>
  <c r="C66" i="60" s="1"/>
  <c r="O65" i="60"/>
  <c r="C65" i="60" s="1"/>
  <c r="O64" i="60"/>
  <c r="C64" i="60" s="1"/>
  <c r="O63" i="60"/>
  <c r="C63" i="60" s="1"/>
  <c r="O62" i="60"/>
  <c r="C62" i="60" s="1"/>
  <c r="O61" i="60"/>
  <c r="C61" i="60" s="1"/>
  <c r="O60" i="60"/>
  <c r="C60" i="60" s="1"/>
  <c r="O58" i="60"/>
  <c r="C58" i="60" s="1"/>
  <c r="O57" i="60"/>
  <c r="C57" i="60" s="1"/>
  <c r="O56" i="60"/>
  <c r="C56" i="60" s="1"/>
  <c r="O79" i="60"/>
  <c r="C79" i="60" s="1"/>
  <c r="O78" i="60"/>
  <c r="C78" i="60" s="1"/>
  <c r="O77" i="60"/>
  <c r="C77" i="60" s="1"/>
  <c r="O76" i="60"/>
  <c r="C76" i="60" s="1"/>
  <c r="O75" i="60"/>
  <c r="C75" i="60" s="1"/>
  <c r="O74" i="60"/>
  <c r="C74" i="60" s="1"/>
  <c r="O72" i="60"/>
  <c r="C72" i="60" s="1"/>
  <c r="O71" i="60"/>
  <c r="C71" i="60" s="1"/>
  <c r="O70" i="60"/>
  <c r="C70" i="60" s="1"/>
  <c r="O69" i="60"/>
  <c r="C69" i="60" s="1"/>
  <c r="O147" i="60"/>
  <c r="C147" i="60" s="1"/>
  <c r="O146" i="60"/>
  <c r="C146" i="60" s="1"/>
  <c r="O128" i="60"/>
  <c r="C128" i="60" s="1"/>
  <c r="O117" i="60"/>
  <c r="C117" i="60" s="1"/>
  <c r="O116" i="60"/>
  <c r="C116" i="60" s="1"/>
  <c r="O104" i="60"/>
  <c r="C104" i="60" s="1"/>
  <c r="O103" i="60"/>
  <c r="C103" i="60" s="1"/>
  <c r="O102" i="60"/>
  <c r="C102" i="60" s="1"/>
  <c r="O81" i="60"/>
  <c r="C81" i="60" s="1"/>
  <c r="O80" i="60"/>
  <c r="C80" i="60" s="1"/>
  <c r="O125" i="60"/>
  <c r="C125" i="60" s="1"/>
  <c r="O115" i="60"/>
  <c r="C115" i="60" s="1"/>
  <c r="O108" i="60"/>
  <c r="C108" i="60" s="1"/>
  <c r="O84" i="60"/>
  <c r="C84" i="60" s="1"/>
  <c r="O14" i="60"/>
  <c r="C14" i="60" s="1"/>
  <c r="O15" i="60"/>
  <c r="O16" i="60"/>
  <c r="C16" i="60" s="1"/>
  <c r="O17" i="60"/>
  <c r="C17" i="60" s="1"/>
  <c r="O18" i="60"/>
  <c r="C18" i="60" s="1"/>
  <c r="O19" i="60"/>
  <c r="C19" i="60" s="1"/>
  <c r="O20" i="60"/>
  <c r="C20" i="60" s="1"/>
  <c r="O21" i="60"/>
  <c r="C21" i="60" s="1"/>
  <c r="O22" i="60"/>
  <c r="C22" i="60" s="1"/>
  <c r="O23" i="60"/>
  <c r="C23" i="60" s="1"/>
  <c r="O24" i="60"/>
  <c r="C24" i="60" s="1"/>
  <c r="O25" i="60"/>
  <c r="C25" i="60" s="1"/>
  <c r="O26" i="60"/>
  <c r="C26" i="60" s="1"/>
  <c r="O27" i="60"/>
  <c r="C27" i="60" s="1"/>
  <c r="O28" i="60"/>
  <c r="C28" i="60" s="1"/>
  <c r="O29" i="60"/>
  <c r="C29" i="60" s="1"/>
  <c r="O30" i="60"/>
  <c r="C30" i="60" s="1"/>
  <c r="O31" i="60"/>
  <c r="C31" i="60" s="1"/>
  <c r="O32" i="60"/>
  <c r="C32" i="60" s="1"/>
  <c r="O33" i="60"/>
  <c r="C33" i="60" s="1"/>
  <c r="O34" i="60"/>
  <c r="C34" i="60" s="1"/>
  <c r="O35" i="60"/>
  <c r="C35" i="60" s="1"/>
  <c r="O36" i="60"/>
  <c r="C36" i="60" s="1"/>
  <c r="O37" i="60"/>
  <c r="C37" i="60" s="1"/>
  <c r="O38" i="60"/>
  <c r="C38" i="60" s="1"/>
  <c r="O39" i="60"/>
  <c r="C39" i="60" s="1"/>
  <c r="O40" i="60"/>
  <c r="C40" i="60" s="1"/>
  <c r="O41" i="60"/>
  <c r="C41" i="60" s="1"/>
  <c r="O42" i="60"/>
  <c r="C42" i="60" s="1"/>
  <c r="O8" i="60"/>
  <c r="C8" i="60" s="1"/>
  <c r="O9" i="60"/>
  <c r="C9" i="60" s="1"/>
  <c r="O10" i="60"/>
  <c r="C10" i="60" s="1"/>
  <c r="O11" i="60"/>
  <c r="C11" i="60" s="1"/>
  <c r="O12" i="60"/>
  <c r="C12" i="60" s="1"/>
  <c r="O13" i="60"/>
  <c r="C13" i="60" s="1"/>
  <c r="B3298" i="34"/>
  <c r="B3297" i="34"/>
  <c r="B3296" i="34"/>
  <c r="B3295" i="34"/>
  <c r="B3302" i="34"/>
  <c r="B3301" i="34"/>
  <c r="B3300" i="34"/>
  <c r="B3299" i="34"/>
  <c r="B3306" i="34"/>
  <c r="B3305" i="34"/>
  <c r="B3304" i="34"/>
  <c r="B3303" i="34"/>
  <c r="B3294" i="34"/>
  <c r="B3293" i="34"/>
  <c r="B3292" i="34"/>
  <c r="A33" i="55"/>
  <c r="F33" i="55" a="1"/>
  <c r="F33" i="55" s="1"/>
  <c r="H33" i="55" a="1"/>
  <c r="H33" i="55" s="1"/>
  <c r="B3481" i="34"/>
  <c r="B3439" i="34"/>
  <c r="B3387" i="34"/>
  <c r="B2899" i="34"/>
  <c r="B3517" i="34"/>
  <c r="B3514" i="34"/>
  <c r="B1891" i="34"/>
  <c r="B1894" i="34"/>
  <c r="B1830" i="34"/>
  <c r="B1820" i="34"/>
  <c r="B1755" i="34"/>
  <c r="B1688" i="34"/>
  <c r="B1916" i="34"/>
  <c r="B1915" i="34"/>
  <c r="B1914" i="34"/>
  <c r="B1912" i="34"/>
  <c r="B1911" i="34"/>
  <c r="B1910" i="34"/>
  <c r="B1908" i="34"/>
  <c r="B1907" i="34"/>
  <c r="B1906" i="34"/>
  <c r="B1904" i="34"/>
  <c r="B1903" i="34"/>
  <c r="B1902" i="34"/>
  <c r="B1924" i="34"/>
  <c r="B1923" i="34"/>
  <c r="B1922" i="34"/>
  <c r="B1920" i="34"/>
  <c r="B1919" i="34"/>
  <c r="B1918" i="34"/>
  <c r="B1928" i="34"/>
  <c r="B1927" i="34"/>
  <c r="B1926" i="34"/>
  <c r="B1931" i="34"/>
  <c r="B1930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53" i="34"/>
  <c r="B1652" i="34"/>
  <c r="B1651" i="34"/>
  <c r="B1650" i="34"/>
  <c r="B1649" i="34"/>
  <c r="B1648" i="34"/>
  <c r="B1647" i="34"/>
  <c r="B1646" i="34"/>
  <c r="B1657" i="34"/>
  <c r="B1656" i="34"/>
  <c r="B1655" i="34"/>
  <c r="B1654" i="34"/>
  <c r="B1658" i="34"/>
  <c r="B1745" i="34"/>
  <c r="B1746" i="34"/>
  <c r="B1613" i="34"/>
  <c r="B1614" i="34"/>
  <c r="B1629" i="34"/>
  <c r="B1866" i="34"/>
  <c r="B1867" i="34"/>
  <c r="B1843" i="34"/>
  <c r="B1667" i="34"/>
  <c r="B1668" i="34"/>
  <c r="B1669" i="34"/>
  <c r="B1671" i="34"/>
  <c r="B1672" i="34"/>
  <c r="B1675" i="34"/>
  <c r="B1676" i="34"/>
  <c r="B1677" i="34"/>
  <c r="B1679" i="34"/>
  <c r="B1680" i="34"/>
  <c r="B1681" i="34"/>
  <c r="B1682" i="34"/>
  <c r="B1684" i="34"/>
  <c r="B1729" i="34"/>
  <c r="B1731" i="34"/>
  <c r="B1732" i="34"/>
  <c r="B1733" i="34"/>
  <c r="B1735" i="34"/>
  <c r="B1761" i="34"/>
  <c r="B1762" i="34"/>
  <c r="B1763" i="34"/>
  <c r="B1764" i="34"/>
  <c r="B1765" i="34"/>
  <c r="B1766" i="34"/>
  <c r="B1767" i="34"/>
  <c r="B1768" i="34"/>
  <c r="B1845" i="34"/>
  <c r="B1846" i="34"/>
  <c r="B1848" i="34"/>
  <c r="B1849" i="34"/>
  <c r="B1850" i="34"/>
  <c r="B1852" i="34"/>
  <c r="B1895" i="34"/>
  <c r="B1896" i="34"/>
  <c r="B1854" i="34"/>
  <c r="B1855" i="34"/>
  <c r="B1856" i="34"/>
  <c r="B1858" i="34"/>
  <c r="B1859" i="34"/>
  <c r="B1862" i="34"/>
  <c r="B1863" i="34"/>
  <c r="B1611" i="34"/>
  <c r="B1612" i="34"/>
  <c r="B1615" i="34"/>
  <c r="B1616" i="34"/>
  <c r="B1618" i="34"/>
  <c r="B1620" i="34"/>
  <c r="B1659" i="34"/>
  <c r="B1661" i="34"/>
  <c r="B1689" i="34"/>
  <c r="B1690" i="34"/>
  <c r="B1694" i="34"/>
  <c r="B1699" i="34"/>
  <c r="B1739" i="34"/>
  <c r="B1741" i="34"/>
  <c r="B1742" i="34"/>
  <c r="B1748" i="34"/>
  <c r="B1749" i="34"/>
  <c r="B1750" i="34"/>
  <c r="B1752" i="34"/>
  <c r="B1753" i="34"/>
  <c r="B1756" i="34"/>
  <c r="B1758" i="34"/>
  <c r="B1759" i="34"/>
  <c r="B1775" i="34"/>
  <c r="B1777" i="34"/>
  <c r="B1778" i="34"/>
  <c r="B1813" i="34"/>
  <c r="B1814" i="34"/>
  <c r="B1815" i="34"/>
  <c r="B1827" i="34"/>
  <c r="B1828" i="34"/>
  <c r="B1897" i="34"/>
  <c r="B1898" i="34"/>
  <c r="B1899" i="34"/>
  <c r="B1901" i="34"/>
  <c r="B1932" i="34"/>
  <c r="B3291" i="34"/>
  <c r="B3307" i="34"/>
  <c r="B3008" i="34"/>
  <c r="B2292" i="34"/>
  <c r="B2293" i="34"/>
  <c r="B1664" i="34"/>
  <c r="B1665" i="34"/>
  <c r="B1889" i="34"/>
  <c r="B1890" i="34"/>
  <c r="B1892" i="34"/>
  <c r="B1893" i="34"/>
  <c r="B1626" i="34"/>
  <c r="B1627" i="34"/>
  <c r="B1685" i="34"/>
  <c r="B1743" i="34"/>
  <c r="B1817" i="34"/>
  <c r="B1824" i="34"/>
  <c r="B1887" i="34"/>
  <c r="B1663" i="34"/>
  <c r="B1687" i="34"/>
  <c r="B1754" i="34"/>
  <c r="B1819" i="34"/>
  <c r="B1822" i="34"/>
  <c r="B1823" i="34"/>
  <c r="B1826" i="34"/>
  <c r="B1829" i="34"/>
  <c r="B2348" i="34"/>
  <c r="B2349" i="34"/>
  <c r="B2350" i="34"/>
  <c r="B2351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5" i="34"/>
  <c r="B2376" i="34"/>
  <c r="B2377" i="34"/>
  <c r="B2378" i="34"/>
  <c r="B2379" i="34"/>
  <c r="B2380" i="34"/>
  <c r="B2381" i="34"/>
  <c r="B2382" i="34"/>
  <c r="B2383" i="34"/>
  <c r="B2384" i="34"/>
  <c r="B2385" i="34"/>
  <c r="B2386" i="34"/>
  <c r="B2387" i="34"/>
  <c r="B2388" i="34"/>
  <c r="B2389" i="34"/>
  <c r="B2390" i="34"/>
  <c r="B2391" i="34"/>
  <c r="B2392" i="34"/>
  <c r="B2393" i="34"/>
  <c r="B2394" i="34"/>
  <c r="B2395" i="34"/>
  <c r="B2396" i="34"/>
  <c r="B2397" i="34"/>
  <c r="B2398" i="34"/>
  <c r="B2399" i="34"/>
  <c r="B2400" i="34"/>
  <c r="B2401" i="34"/>
  <c r="B2402" i="34"/>
  <c r="B2403" i="34"/>
  <c r="B2404" i="34"/>
  <c r="B2405" i="34"/>
  <c r="B2406" i="34"/>
  <c r="B2407" i="34"/>
  <c r="B2408" i="34"/>
  <c r="B2409" i="34"/>
  <c r="B2410" i="34"/>
  <c r="B2411" i="34"/>
  <c r="B2412" i="34"/>
  <c r="B2413" i="34"/>
  <c r="B2414" i="34"/>
  <c r="B2415" i="34"/>
  <c r="B2416" i="34"/>
  <c r="B2417" i="34"/>
  <c r="B2814" i="34"/>
  <c r="B2815" i="34"/>
  <c r="B2816" i="34"/>
  <c r="B2817" i="34"/>
  <c r="B2818" i="34"/>
  <c r="B2819" i="34"/>
  <c r="B2820" i="34"/>
  <c r="B2821" i="34"/>
  <c r="B2822" i="34"/>
  <c r="B2823" i="34"/>
  <c r="B2824" i="34"/>
  <c r="B2826" i="34"/>
  <c r="B2827" i="34"/>
  <c r="B2828" i="34"/>
  <c r="B2829" i="34"/>
  <c r="B2830" i="34"/>
  <c r="B2831" i="34"/>
  <c r="B2832" i="34"/>
  <c r="B2833" i="34"/>
  <c r="B2834" i="34"/>
  <c r="B2835" i="34"/>
  <c r="B2836" i="34"/>
  <c r="B2837" i="34"/>
  <c r="B2838" i="34"/>
  <c r="B2839" i="34"/>
  <c r="B2840" i="34"/>
  <c r="B2841" i="34"/>
  <c r="B2842" i="34"/>
  <c r="B2843" i="34"/>
  <c r="B2844" i="34"/>
  <c r="B2845" i="34"/>
  <c r="B2846" i="34"/>
  <c r="B2847" i="34"/>
  <c r="B2848" i="34"/>
  <c r="B2849" i="34"/>
  <c r="B2850" i="34"/>
  <c r="B2851" i="34"/>
  <c r="B2852" i="34"/>
  <c r="B2853" i="34"/>
  <c r="B2854" i="34"/>
  <c r="B2855" i="34"/>
  <c r="B2856" i="34"/>
  <c r="B2857" i="34"/>
  <c r="B2858" i="34"/>
  <c r="B2859" i="34"/>
  <c r="B2860" i="34"/>
  <c r="B2861" i="34"/>
  <c r="B2862" i="34"/>
  <c r="B2863" i="34"/>
  <c r="B2864" i="34"/>
  <c r="B2865" i="34"/>
  <c r="B2866" i="34"/>
  <c r="B2867" i="34"/>
  <c r="B3930" i="34"/>
  <c r="B3943" i="34"/>
  <c r="B3944" i="34"/>
  <c r="B3945" i="34"/>
  <c r="B3946" i="34"/>
  <c r="B3947" i="34"/>
  <c r="B3948" i="34"/>
  <c r="B3949" i="34"/>
  <c r="B3950" i="34"/>
  <c r="B3951" i="34"/>
  <c r="B3952" i="34"/>
  <c r="B3953" i="34"/>
  <c r="B3954" i="34"/>
  <c r="B3955" i="34"/>
  <c r="B3956" i="34"/>
  <c r="B3957" i="34"/>
  <c r="B3958" i="34"/>
  <c r="B3959" i="34"/>
  <c r="B3960" i="34"/>
  <c r="B3961" i="34"/>
  <c r="B3962" i="34"/>
  <c r="B3963" i="34"/>
  <c r="B4096" i="34"/>
  <c r="B4097" i="34"/>
  <c r="B4098" i="34"/>
  <c r="B4099" i="34"/>
  <c r="B4100" i="34"/>
  <c r="B4101" i="34"/>
  <c r="B4102" i="34"/>
  <c r="B4103" i="34"/>
  <c r="B4104" i="34"/>
  <c r="B4105" i="34"/>
  <c r="B4106" i="34"/>
  <c r="B4107" i="34"/>
  <c r="B4108" i="34"/>
  <c r="B4114" i="34"/>
  <c r="B4244" i="34"/>
  <c r="B4245" i="34"/>
  <c r="B4246" i="34"/>
  <c r="B4247" i="34"/>
  <c r="B4248" i="34"/>
  <c r="B4249" i="34"/>
  <c r="B4250" i="34"/>
  <c r="B4251" i="34"/>
  <c r="B4252" i="34"/>
  <c r="B4253" i="34"/>
  <c r="B4254" i="34"/>
  <c r="B4255" i="34"/>
  <c r="B4256" i="34"/>
  <c r="B4257" i="34"/>
  <c r="B4258" i="34"/>
  <c r="B4259" i="34"/>
  <c r="B4260" i="34"/>
  <c r="B4261" i="34"/>
  <c r="B4262" i="34"/>
  <c r="B4263" i="34"/>
  <c r="B4264" i="34"/>
  <c r="B4265" i="34"/>
  <c r="B4266" i="34"/>
  <c r="B4267" i="34"/>
  <c r="B4268" i="34"/>
  <c r="B4269" i="34"/>
  <c r="B4270" i="34"/>
  <c r="B4271" i="34"/>
  <c r="B4272" i="34"/>
  <c r="B4273" i="34"/>
  <c r="B4274" i="34"/>
  <c r="B4275" i="34"/>
  <c r="B4276" i="34"/>
  <c r="B4277" i="34"/>
  <c r="B4278" i="34"/>
  <c r="B4279" i="34"/>
  <c r="B4280" i="34"/>
  <c r="B4281" i="34"/>
  <c r="B4282" i="34"/>
  <c r="B4283" i="34"/>
  <c r="B4284" i="34"/>
  <c r="B4285" i="34"/>
  <c r="B4286" i="34"/>
  <c r="B4288" i="34"/>
  <c r="B4289" i="34"/>
  <c r="B4290" i="34"/>
  <c r="B4291" i="34"/>
  <c r="B4292" i="34"/>
  <c r="B4293" i="34"/>
  <c r="B4294" i="34"/>
  <c r="B4295" i="34"/>
  <c r="B4296" i="34"/>
  <c r="B4297" i="34"/>
  <c r="B4298" i="34"/>
  <c r="B4299" i="34"/>
  <c r="B4300" i="34"/>
  <c r="B4301" i="34"/>
  <c r="B4302" i="34"/>
  <c r="B4303" i="34"/>
  <c r="B4304" i="34"/>
  <c r="B4305" i="34"/>
  <c r="B4320" i="34"/>
  <c r="B4321" i="34"/>
  <c r="B4322" i="34"/>
  <c r="B4323" i="34"/>
  <c r="B4324" i="34"/>
  <c r="B4325" i="34"/>
  <c r="B4326" i="34"/>
  <c r="B4327" i="34"/>
  <c r="B4328" i="34"/>
  <c r="B4329" i="34"/>
  <c r="B4330" i="34"/>
  <c r="B3419" i="34"/>
  <c r="B3422" i="34"/>
  <c r="B3423" i="34"/>
  <c r="B3420" i="34"/>
  <c r="B3421" i="34"/>
  <c r="B3424" i="34"/>
  <c r="B3425" i="34"/>
  <c r="B3426" i="34"/>
  <c r="B3427" i="34"/>
  <c r="B3428" i="34"/>
  <c r="B3429" i="34"/>
  <c r="B3430" i="34"/>
  <c r="B3431" i="34"/>
  <c r="B3432" i="34"/>
  <c r="B3382" i="34"/>
  <c r="B3378" i="34"/>
  <c r="B3379" i="34"/>
  <c r="B3380" i="34"/>
  <c r="B3381" i="34"/>
  <c r="B3433" i="34"/>
  <c r="A68" i="55"/>
  <c r="F68" i="55" a="1"/>
  <c r="F68" i="55" s="1"/>
  <c r="H68" i="55" a="1"/>
  <c r="H68" i="55" s="1"/>
  <c r="A77" i="55"/>
  <c r="F77" i="55" a="1"/>
  <c r="F77" i="55" s="1"/>
  <c r="H77" i="55" a="1"/>
  <c r="H77" i="55" s="1"/>
  <c r="A51" i="55"/>
  <c r="F51" i="55" a="1"/>
  <c r="F51" i="55" s="1"/>
  <c r="H51" i="55" a="1"/>
  <c r="H51" i="55" s="1"/>
  <c r="A87" i="55"/>
  <c r="F87" i="55" a="1"/>
  <c r="F87" i="55" s="1"/>
  <c r="H87" i="55" a="1"/>
  <c r="H87" i="55" s="1"/>
  <c r="A90" i="55"/>
  <c r="F90" i="55" a="1"/>
  <c r="F90" i="55" s="1"/>
  <c r="H90" i="55" a="1"/>
  <c r="H90" i="55" s="1"/>
  <c r="A136" i="55"/>
  <c r="F136" i="55" a="1"/>
  <c r="F136" i="55" s="1"/>
  <c r="H136" i="55" a="1"/>
  <c r="H136" i="55" s="1"/>
  <c r="A167" i="55"/>
  <c r="F167" i="55" a="1"/>
  <c r="F167" i="55" s="1"/>
  <c r="H167" i="55" a="1"/>
  <c r="H167" i="55" s="1"/>
  <c r="A148" i="55"/>
  <c r="F148" i="55" a="1"/>
  <c r="F148" i="55" s="1"/>
  <c r="H148" i="55" a="1"/>
  <c r="H148" i="55" s="1"/>
  <c r="A94" i="55"/>
  <c r="F94" i="55" a="1"/>
  <c r="F94" i="55" s="1"/>
  <c r="H94" i="55" a="1"/>
  <c r="H94" i="55" s="1"/>
  <c r="A95" i="55"/>
  <c r="F95" i="55" a="1"/>
  <c r="F95" i="55" s="1"/>
  <c r="H95" i="55" a="1"/>
  <c r="H95" i="55" s="1"/>
  <c r="A100" i="55"/>
  <c r="F100" i="55" a="1"/>
  <c r="F100" i="55" s="1"/>
  <c r="H100" i="55" a="1"/>
  <c r="H100" i="55" s="1"/>
  <c r="A56" i="55"/>
  <c r="F56" i="55" a="1"/>
  <c r="F56" i="55" s="1"/>
  <c r="H56" i="55" a="1"/>
  <c r="H56" i="55" s="1"/>
  <c r="A112" i="55"/>
  <c r="F112" i="55" a="1"/>
  <c r="F112" i="55" s="1"/>
  <c r="H112" i="55" a="1"/>
  <c r="H112" i="55" s="1"/>
  <c r="A111" i="55"/>
  <c r="F111" i="55" a="1"/>
  <c r="F111" i="55" s="1"/>
  <c r="H111" i="55" a="1"/>
  <c r="H111" i="55" s="1"/>
  <c r="A101" i="55"/>
  <c r="F101" i="55" a="1"/>
  <c r="F101" i="55" s="1"/>
  <c r="H101" i="55" a="1"/>
  <c r="H101" i="55" s="1"/>
  <c r="A117" i="55"/>
  <c r="F117" i="55" a="1"/>
  <c r="F117" i="55" s="1"/>
  <c r="H117" i="55" a="1"/>
  <c r="H117" i="55" s="1"/>
  <c r="A145" i="55"/>
  <c r="F145" i="55" a="1"/>
  <c r="F145" i="55" s="1"/>
  <c r="H145" i="55" a="1"/>
  <c r="H145" i="55" s="1"/>
  <c r="A67" i="55"/>
  <c r="F67" i="55" a="1"/>
  <c r="F67" i="55" s="1"/>
  <c r="H67" i="55" a="1"/>
  <c r="H67" i="55" s="1"/>
  <c r="A75" i="55"/>
  <c r="F75" i="55" a="1"/>
  <c r="F75" i="55" s="1"/>
  <c r="H75" i="55" a="1"/>
  <c r="H75" i="55" s="1"/>
  <c r="A74" i="55"/>
  <c r="F74" i="55" a="1"/>
  <c r="F74" i="55" s="1"/>
  <c r="H74" i="55" a="1"/>
  <c r="H74" i="55" s="1"/>
  <c r="A86" i="55"/>
  <c r="F86" i="55" a="1"/>
  <c r="F86" i="55" s="1"/>
  <c r="H86" i="55" a="1"/>
  <c r="H86" i="55" s="1"/>
  <c r="A130" i="55"/>
  <c r="F130" i="55" a="1"/>
  <c r="F130" i="55" s="1"/>
  <c r="H130" i="55" a="1"/>
  <c r="H130" i="55" s="1"/>
  <c r="A83" i="55"/>
  <c r="F83" i="55" a="1"/>
  <c r="F83" i="55" s="1"/>
  <c r="H83" i="55" a="1"/>
  <c r="H83" i="55" s="1"/>
  <c r="A84" i="55"/>
  <c r="F84" i="55" a="1"/>
  <c r="F84" i="55" s="1"/>
  <c r="H84" i="55" a="1"/>
  <c r="H84" i="55" s="1"/>
  <c r="A71" i="55"/>
  <c r="F71" i="55" a="1"/>
  <c r="F71" i="55" s="1"/>
  <c r="H71" i="55" a="1"/>
  <c r="H71" i="55" s="1"/>
  <c r="F445" i="55" a="1"/>
  <c r="F445" i="55" s="1"/>
  <c r="H445" i="55" a="1"/>
  <c r="H445" i="55" s="1"/>
  <c r="F104" i="55" a="1"/>
  <c r="F104" i="55" s="1"/>
  <c r="H104" i="55" a="1"/>
  <c r="H104" i="55" s="1"/>
  <c r="A139" i="55"/>
  <c r="F139" i="55" a="1"/>
  <c r="F139" i="55" s="1"/>
  <c r="H139" i="55" a="1"/>
  <c r="H139" i="55" s="1"/>
  <c r="A138" i="55"/>
  <c r="F138" i="55" a="1"/>
  <c r="F138" i="55" s="1"/>
  <c r="H138" i="55" a="1"/>
  <c r="H138" i="55" s="1"/>
  <c r="A161" i="55"/>
  <c r="F161" i="55" a="1"/>
  <c r="F161" i="55" s="1"/>
  <c r="H161" i="55" a="1"/>
  <c r="H161" i="55" s="1"/>
  <c r="A131" i="55"/>
  <c r="F131" i="55" a="1"/>
  <c r="F131" i="55" s="1"/>
  <c r="H131" i="55" a="1"/>
  <c r="H131" i="55" s="1"/>
  <c r="A57" i="55"/>
  <c r="F57" i="55" a="1"/>
  <c r="F57" i="55" s="1"/>
  <c r="H57" i="55" a="1"/>
  <c r="H57" i="55" s="1"/>
  <c r="A93" i="55"/>
  <c r="F93" i="55" a="1"/>
  <c r="F93" i="55" s="1"/>
  <c r="H93" i="55" a="1"/>
  <c r="H93" i="55" s="1"/>
  <c r="A137" i="55"/>
  <c r="F137" i="55" a="1"/>
  <c r="F137" i="55" s="1"/>
  <c r="H137" i="55" a="1"/>
  <c r="H137" i="55" s="1"/>
  <c r="A55" i="55"/>
  <c r="F55" i="55" a="1"/>
  <c r="F55" i="55" s="1"/>
  <c r="H55" i="55" a="1"/>
  <c r="H55" i="55" s="1"/>
  <c r="F649" i="55" a="1"/>
  <c r="F649" i="55" s="1"/>
  <c r="H649" i="55" a="1"/>
  <c r="H649" i="55" s="1"/>
  <c r="A135" i="55"/>
  <c r="F135" i="55" a="1"/>
  <c r="F135" i="55" s="1"/>
  <c r="H135" i="55" a="1"/>
  <c r="H135" i="55" s="1"/>
  <c r="F18" i="55" a="1"/>
  <c r="F18" i="55" s="1"/>
  <c r="H18" i="55" a="1"/>
  <c r="H18" i="55" s="1"/>
  <c r="F30" i="55" a="1"/>
  <c r="F30" i="55" s="1"/>
  <c r="H30" i="55" a="1"/>
  <c r="H30" i="55" s="1"/>
  <c r="F39" i="55" a="1"/>
  <c r="F39" i="55" s="1"/>
  <c r="H39" i="55" a="1"/>
  <c r="H39" i="55" s="1"/>
  <c r="F42" i="55" a="1"/>
  <c r="F42" i="55" s="1"/>
  <c r="H42" i="55" a="1"/>
  <c r="H42" i="55" s="1"/>
  <c r="F52" i="55" a="1"/>
  <c r="F52" i="55" s="1"/>
  <c r="H52" i="55" a="1"/>
  <c r="H52" i="55" s="1"/>
  <c r="F53" i="55" a="1"/>
  <c r="F53" i="55" s="1"/>
  <c r="H53" i="55" a="1"/>
  <c r="H53" i="55" s="1"/>
  <c r="F54" i="55" a="1"/>
  <c r="F54" i="55" s="1"/>
  <c r="H54" i="55" a="1"/>
  <c r="H54" i="55" s="1"/>
  <c r="F59" i="55" a="1"/>
  <c r="F59" i="55" s="1"/>
  <c r="H59" i="55" a="1"/>
  <c r="H59" i="55" s="1"/>
  <c r="F85" i="55" a="1"/>
  <c r="F85" i="55" s="1"/>
  <c r="H85" i="55" a="1"/>
  <c r="H85" i="55" s="1"/>
  <c r="F107" i="55" a="1"/>
  <c r="F107" i="55" s="1"/>
  <c r="H107" i="55" a="1"/>
  <c r="H107" i="55" s="1"/>
  <c r="F109" i="55" a="1"/>
  <c r="F109" i="55" s="1"/>
  <c r="H109" i="55" a="1"/>
  <c r="H109" i="55" s="1"/>
  <c r="F113" i="55" a="1"/>
  <c r="F113" i="55" s="1"/>
  <c r="H113" i="55" a="1"/>
  <c r="H113" i="55" s="1"/>
  <c r="F121" i="55" a="1"/>
  <c r="F121" i="55" s="1"/>
  <c r="H121" i="55" a="1"/>
  <c r="H121" i="55" s="1"/>
  <c r="F124" i="55" a="1"/>
  <c r="F124" i="55" s="1"/>
  <c r="H124" i="55" a="1"/>
  <c r="H124" i="55" s="1"/>
  <c r="F140" i="55" a="1"/>
  <c r="F140" i="55" s="1"/>
  <c r="H140" i="55" a="1"/>
  <c r="H140" i="55" s="1"/>
  <c r="F146" i="55" a="1"/>
  <c r="F146" i="55" s="1"/>
  <c r="H146" i="55" a="1"/>
  <c r="H146" i="55" s="1"/>
  <c r="F147" i="55" a="1"/>
  <c r="F147" i="55" s="1"/>
  <c r="H147" i="55" a="1"/>
  <c r="H147" i="55" s="1"/>
  <c r="F149" i="55" a="1"/>
  <c r="F149" i="55" s="1"/>
  <c r="H149" i="55" a="1"/>
  <c r="H149" i="55" s="1"/>
  <c r="F168" i="55" a="1"/>
  <c r="F168" i="55" s="1"/>
  <c r="H168" i="55" a="1"/>
  <c r="H168" i="55" s="1"/>
  <c r="F631" i="55" a="1"/>
  <c r="F631" i="55" s="1"/>
  <c r="H631" i="55" a="1"/>
  <c r="H631" i="55" s="1"/>
  <c r="F391" i="55" a="1"/>
  <c r="F391" i="55" s="1"/>
  <c r="H391" i="55" a="1"/>
  <c r="H391" i="55" s="1"/>
  <c r="F570" i="55" a="1"/>
  <c r="F570" i="55" s="1"/>
  <c r="H570" i="55" a="1"/>
  <c r="H570" i="55" s="1"/>
  <c r="F158" i="55" a="1"/>
  <c r="F158" i="55" s="1"/>
  <c r="H158" i="55" a="1"/>
  <c r="H158" i="55" s="1"/>
  <c r="F163" i="55" a="1"/>
  <c r="F163" i="55" s="1"/>
  <c r="H163" i="55" a="1"/>
  <c r="H163" i="55" s="1"/>
  <c r="F32" i="55" a="1"/>
  <c r="F32" i="55" s="1"/>
  <c r="H32" i="55" a="1"/>
  <c r="H32" i="55" s="1"/>
  <c r="F108" i="55" a="1"/>
  <c r="F108" i="55" s="1"/>
  <c r="H108" i="55" a="1"/>
  <c r="H108" i="55" s="1"/>
  <c r="F92" i="55" a="1"/>
  <c r="F92" i="55" s="1"/>
  <c r="H92" i="55" a="1"/>
  <c r="H92" i="55" s="1"/>
  <c r="F128" i="55" a="1"/>
  <c r="F128" i="55" s="1"/>
  <c r="H128" i="55" a="1"/>
  <c r="H128" i="55" s="1"/>
  <c r="H17" i="55" a="1"/>
  <c r="H17" i="55" s="1"/>
  <c r="F17" i="55" a="1"/>
  <c r="F17" i="55" s="1"/>
  <c r="A18" i="55"/>
  <c r="A30" i="55"/>
  <c r="A39" i="55"/>
  <c r="A42" i="55"/>
  <c r="A52" i="55"/>
  <c r="A53" i="55"/>
  <c r="A54" i="55"/>
  <c r="A59" i="55"/>
  <c r="A85" i="55"/>
  <c r="A107" i="55"/>
  <c r="A109" i="55"/>
  <c r="A113" i="55"/>
  <c r="A121" i="55"/>
  <c r="A124" i="55"/>
  <c r="A140" i="55"/>
  <c r="A146" i="55"/>
  <c r="A147" i="55"/>
  <c r="A149" i="55"/>
  <c r="A168" i="55"/>
  <c r="A158" i="55"/>
  <c r="A163" i="55"/>
  <c r="A32" i="55"/>
  <c r="A108" i="55"/>
  <c r="A92" i="55"/>
  <c r="A128" i="55"/>
  <c r="A17" i="55"/>
  <c r="B2340" i="34"/>
  <c r="B2339" i="34"/>
  <c r="B2338" i="34"/>
  <c r="B2337" i="34"/>
  <c r="B2336" i="34"/>
  <c r="B2335" i="34"/>
  <c r="B2341" i="34"/>
  <c r="B2334" i="34"/>
  <c r="B2868" i="34"/>
  <c r="B4331" i="34"/>
  <c r="B3518" i="34"/>
  <c r="B3287" i="34"/>
  <c r="B3308" i="34"/>
  <c r="B3309" i="34"/>
  <c r="B3438" i="34"/>
  <c r="B3448" i="34"/>
  <c r="B3449" i="34"/>
  <c r="B3478" i="34"/>
  <c r="B3479" i="34"/>
  <c r="B3480" i="34"/>
  <c r="B3496" i="34"/>
  <c r="B3497" i="34"/>
  <c r="B3498" i="34"/>
  <c r="B2084" i="34"/>
  <c r="B2080" i="34"/>
  <c r="B2034" i="34"/>
  <c r="B2009" i="34"/>
  <c r="B2952" i="34"/>
  <c r="G49" i="15"/>
  <c r="H49" i="15"/>
  <c r="B2891" i="34"/>
  <c r="B2892" i="34"/>
  <c r="C18" i="34"/>
  <c r="B18" i="34" s="1"/>
  <c r="A7" i="70"/>
  <c r="A27" i="70"/>
  <c r="A23" i="70"/>
  <c r="A13" i="70"/>
  <c r="A30" i="70"/>
  <c r="A10" i="70"/>
  <c r="B2997" i="34"/>
  <c r="B2994" i="34"/>
  <c r="B2933" i="34"/>
  <c r="B2916" i="34"/>
  <c r="B2935" i="34"/>
  <c r="B2942" i="34"/>
  <c r="B2932" i="34"/>
  <c r="B2984" i="34"/>
  <c r="B2971" i="34"/>
  <c r="B2947" i="34"/>
  <c r="B2940" i="34"/>
  <c r="B2941" i="34"/>
  <c r="B2955" i="34"/>
  <c r="B2996" i="34"/>
  <c r="B2948" i="34"/>
  <c r="B3001" i="34"/>
  <c r="B2969" i="34"/>
  <c r="B3002" i="34"/>
  <c r="B2934" i="34"/>
  <c r="B2992" i="34"/>
  <c r="B2964" i="34"/>
  <c r="B2977" i="34"/>
  <c r="B2978" i="34"/>
  <c r="B2949" i="34"/>
  <c r="B2943" i="34"/>
  <c r="B2946" i="34"/>
  <c r="B2931" i="34"/>
  <c r="B2951" i="34"/>
  <c r="B2967" i="34"/>
  <c r="B2975" i="34"/>
  <c r="B2966" i="34"/>
  <c r="B2950" i="34"/>
  <c r="B3005" i="34"/>
  <c r="B2925" i="34"/>
  <c r="B2986" i="34"/>
  <c r="B2990" i="34"/>
  <c r="B2981" i="34"/>
  <c r="B2918" i="34"/>
  <c r="B2999" i="34"/>
  <c r="B2972" i="34"/>
  <c r="B2953" i="34"/>
  <c r="B2926" i="34"/>
  <c r="B3006" i="34"/>
  <c r="B2922" i="34"/>
  <c r="B2957" i="34"/>
  <c r="B2973" i="34"/>
  <c r="B2998" i="34"/>
  <c r="B3003" i="34"/>
  <c r="B2956" i="34"/>
  <c r="B2965" i="34"/>
  <c r="B2980" i="34"/>
  <c r="B2979" i="34"/>
  <c r="B2923" i="34"/>
  <c r="B2936" i="34"/>
  <c r="B2970" i="34"/>
  <c r="B2968" i="34"/>
  <c r="B2993" i="34"/>
  <c r="B2937" i="34"/>
  <c r="B2930" i="34"/>
  <c r="B2928" i="34"/>
  <c r="B2959" i="34"/>
  <c r="B2982" i="34"/>
  <c r="B2938" i="34"/>
  <c r="B2962" i="34"/>
  <c r="B3007" i="34"/>
  <c r="B3383" i="34"/>
  <c r="B3384" i="34"/>
  <c r="B3396" i="34"/>
  <c r="B3397" i="34"/>
  <c r="B3274" i="34"/>
  <c r="B3275" i="34"/>
  <c r="B3276" i="34"/>
  <c r="B3277" i="34"/>
  <c r="B3278" i="34"/>
  <c r="B3279" i="34"/>
  <c r="B3280" i="34"/>
  <c r="B3281" i="34"/>
  <c r="B3282" i="34"/>
  <c r="B3283" i="34"/>
  <c r="B3284" i="34"/>
  <c r="B3288" i="34"/>
  <c r="B3289" i="34"/>
  <c r="B3310" i="34"/>
  <c r="B3311" i="34"/>
  <c r="B3312" i="34"/>
  <c r="B3313" i="34"/>
  <c r="B3314" i="34"/>
  <c r="B3315" i="34"/>
  <c r="B3316" i="34"/>
  <c r="B3317" i="34"/>
  <c r="B3318" i="34"/>
  <c r="B3319" i="34"/>
  <c r="B3320" i="34"/>
  <c r="B3321" i="34"/>
  <c r="B3322" i="34"/>
  <c r="B3323" i="34"/>
  <c r="B3324" i="34"/>
  <c r="B3325" i="34"/>
  <c r="B3326" i="34"/>
  <c r="B3327" i="34"/>
  <c r="B3328" i="34"/>
  <c r="B3329" i="34"/>
  <c r="B3330" i="34"/>
  <c r="B3331" i="34"/>
  <c r="B3332" i="34"/>
  <c r="B3333" i="34"/>
  <c r="B3334" i="34"/>
  <c r="B3335" i="34"/>
  <c r="B3336" i="34"/>
  <c r="B3337" i="34"/>
  <c r="B3338" i="34"/>
  <c r="B3339" i="34"/>
  <c r="B3340" i="34"/>
  <c r="B3341" i="34"/>
  <c r="B3342" i="34"/>
  <c r="B3343" i="34"/>
  <c r="B3344" i="34"/>
  <c r="B3345" i="34"/>
  <c r="B3346" i="34"/>
  <c r="B3347" i="34"/>
  <c r="B3348" i="34"/>
  <c r="B3349" i="34"/>
  <c r="B3350" i="34"/>
  <c r="B3351" i="34"/>
  <c r="B3352" i="34"/>
  <c r="B3353" i="34"/>
  <c r="B3354" i="34"/>
  <c r="B3355" i="34"/>
  <c r="B3356" i="34"/>
  <c r="B3357" i="34"/>
  <c r="B3418" i="34"/>
  <c r="B3436" i="34"/>
  <c r="B3437" i="34"/>
  <c r="B3434" i="34"/>
  <c r="B3435" i="34"/>
  <c r="B3440" i="34"/>
  <c r="B3443" i="34"/>
  <c r="B3450" i="34"/>
  <c r="B3451" i="34"/>
  <c r="B3452" i="34"/>
  <c r="B3457" i="34"/>
  <c r="B3458" i="34"/>
  <c r="B3459" i="34"/>
  <c r="B3453" i="34"/>
  <c r="B3454" i="34"/>
  <c r="B3477" i="34"/>
  <c r="B3486" i="34"/>
  <c r="B3487" i="34"/>
  <c r="B3492" i="34"/>
  <c r="B3493" i="34"/>
  <c r="B3919" i="34"/>
  <c r="B3920" i="34"/>
  <c r="B3921" i="34"/>
  <c r="B3923" i="34"/>
  <c r="B3924" i="34"/>
  <c r="B3925" i="34"/>
  <c r="B3926" i="34"/>
  <c r="B3927" i="34"/>
  <c r="B4332" i="34"/>
  <c r="B4333" i="34"/>
  <c r="B4338" i="34"/>
  <c r="B4339" i="34"/>
  <c r="B4341" i="34"/>
  <c r="B4342" i="34"/>
  <c r="B4362" i="34"/>
  <c r="B4363" i="34"/>
  <c r="B4364" i="34"/>
  <c r="B4365" i="34"/>
  <c r="B4366" i="34"/>
  <c r="B4367" i="34"/>
  <c r="B4368" i="34"/>
  <c r="B4369" i="34"/>
  <c r="B4371" i="34"/>
  <c r="B4372" i="34"/>
  <c r="B4373" i="34"/>
  <c r="B4393" i="34"/>
  <c r="B4395" i="34"/>
  <c r="B4400" i="34"/>
  <c r="B4391" i="34"/>
  <c r="B4401" i="34"/>
  <c r="B4398" i="34"/>
  <c r="B4402" i="34"/>
  <c r="B4416" i="34"/>
  <c r="B4389" i="34"/>
  <c r="B4390" i="34"/>
  <c r="B4396" i="34"/>
  <c r="B4410" i="34"/>
  <c r="B4407" i="34"/>
  <c r="B4414" i="34"/>
  <c r="B4392" i="34"/>
  <c r="B4397" i="34"/>
  <c r="B4394" i="34"/>
  <c r="B4418" i="34"/>
  <c r="B4399" i="34"/>
  <c r="B4408" i="34"/>
  <c r="B4424" i="34"/>
  <c r="B4409" i="34"/>
  <c r="B4411" i="34"/>
  <c r="B4425" i="34"/>
  <c r="B4432" i="34"/>
  <c r="B4377" i="34"/>
  <c r="B4380" i="34"/>
  <c r="B4383" i="34"/>
  <c r="B4429" i="34"/>
  <c r="B4426" i="34"/>
  <c r="B4437" i="34"/>
  <c r="B4385" i="34"/>
  <c r="B4412" i="34"/>
  <c r="B4387" i="34"/>
  <c r="B4427" i="34"/>
  <c r="B4386" i="34"/>
  <c r="B4430" i="34"/>
  <c r="B4431" i="34"/>
  <c r="B4417" i="34"/>
  <c r="B4423" i="34"/>
  <c r="B4403" i="34"/>
  <c r="B4405" i="34"/>
  <c r="B4381" i="34"/>
  <c r="B4420" i="34"/>
  <c r="B4382" i="34"/>
  <c r="B4419" i="34"/>
  <c r="B4378" i="34"/>
  <c r="B4406" i="34"/>
  <c r="B4415" i="34"/>
  <c r="B4421" i="34"/>
  <c r="B4438" i="34"/>
  <c r="B4442" i="34"/>
  <c r="B4441" i="34"/>
  <c r="B4375" i="34"/>
  <c r="B4428" i="34"/>
  <c r="B4376" i="34"/>
  <c r="B4404" i="34"/>
  <c r="B4434" i="34"/>
  <c r="B4422" i="34"/>
  <c r="B4379" i="34"/>
  <c r="B4439" i="34"/>
  <c r="B4388" i="34"/>
  <c r="B4436" i="34"/>
  <c r="B4384" i="34"/>
  <c r="B4433" i="34"/>
  <c r="B4440" i="34"/>
  <c r="B4413" i="34"/>
  <c r="B4435" i="34"/>
  <c r="B4374" i="34"/>
  <c r="B4443" i="34"/>
  <c r="B1984" i="34"/>
  <c r="B2005" i="34"/>
  <c r="B2006" i="34"/>
  <c r="B2031" i="34"/>
  <c r="B2072" i="34"/>
  <c r="B2077" i="34"/>
  <c r="B2078" i="34"/>
  <c r="B2279" i="34"/>
  <c r="B2304" i="34"/>
  <c r="B2305" i="34"/>
  <c r="B2322" i="34"/>
  <c r="B2323" i="34"/>
  <c r="B2869" i="34"/>
  <c r="B2876" i="34"/>
  <c r="B2897" i="34"/>
  <c r="B1990" i="34"/>
  <c r="B2007" i="34"/>
  <c r="B2008" i="34"/>
  <c r="B2032" i="34"/>
  <c r="B2033" i="34"/>
  <c r="B2079" i="34"/>
  <c r="B2081" i="34"/>
  <c r="B2082" i="34"/>
  <c r="B2083" i="34"/>
  <c r="B2280" i="34"/>
  <c r="B2243" i="34"/>
  <c r="B2244" i="34"/>
  <c r="B2303" i="34"/>
  <c r="B2306" i="34"/>
  <c r="B2324" i="34"/>
  <c r="B2328" i="34"/>
  <c r="B2329" i="34"/>
  <c r="B2330" i="34"/>
  <c r="B2331" i="34"/>
  <c r="B2332" i="34"/>
  <c r="B2870" i="34"/>
  <c r="B2871" i="34"/>
  <c r="B2877" i="34"/>
  <c r="B2878" i="34"/>
  <c r="B2898" i="34"/>
  <c r="B3211" i="34"/>
  <c r="B3385" i="34"/>
  <c r="B3285" i="34"/>
  <c r="B3286" i="34"/>
  <c r="B3441" i="34"/>
  <c r="B3474" i="34"/>
  <c r="B3475" i="34"/>
  <c r="B3494" i="34"/>
  <c r="B3495" i="34"/>
  <c r="B3212" i="34"/>
  <c r="B3386" i="34"/>
  <c r="T8" i="43"/>
  <c r="B2920" i="34"/>
  <c r="B2919" i="34"/>
  <c r="B2960" i="34"/>
  <c r="B2958" i="34"/>
  <c r="B2924" i="34"/>
  <c r="B2944" i="34"/>
  <c r="B2929" i="34"/>
  <c r="B2927" i="34"/>
  <c r="B2963" i="34"/>
  <c r="B2939" i="34"/>
  <c r="B2985" i="34"/>
  <c r="B2921" i="34"/>
  <c r="B3000" i="34"/>
  <c r="B2917" i="34"/>
  <c r="B3004" i="34"/>
  <c r="B2961" i="34"/>
  <c r="B2974" i="34"/>
  <c r="B2991" i="34"/>
  <c r="B2976" i="34"/>
  <c r="B2995" i="34"/>
  <c r="B2954" i="34"/>
  <c r="B2894" i="34"/>
  <c r="B2893" i="34"/>
  <c r="B2886" i="34"/>
  <c r="B2885" i="34"/>
  <c r="B2884" i="34"/>
  <c r="B2890" i="34"/>
  <c r="B2889" i="34"/>
  <c r="B2888" i="34"/>
  <c r="B2883" i="34"/>
  <c r="B2882" i="34"/>
  <c r="B2880" i="34"/>
  <c r="B2879" i="34"/>
  <c r="B2875" i="34"/>
  <c r="B2874" i="34"/>
  <c r="B2347" i="34"/>
  <c r="B2346" i="34"/>
  <c r="B2345" i="34"/>
  <c r="B2344" i="34"/>
  <c r="B2343" i="34"/>
  <c r="B2342" i="34"/>
  <c r="B2315" i="34"/>
  <c r="B2314" i="34"/>
  <c r="B2234" i="34"/>
  <c r="B2233" i="34"/>
  <c r="B2232" i="34"/>
  <c r="B2231" i="34"/>
  <c r="B2230" i="34"/>
  <c r="B2236" i="34"/>
  <c r="B2235" i="34"/>
  <c r="B2288" i="34"/>
  <c r="B2241" i="34"/>
  <c r="B1994" i="34"/>
  <c r="B2120" i="34"/>
  <c r="B1998" i="34"/>
  <c r="B2055" i="34"/>
  <c r="B2113" i="34"/>
  <c r="B2054" i="34"/>
  <c r="B2149" i="34"/>
  <c r="B2053" i="34"/>
  <c r="B2097" i="34"/>
  <c r="B2096" i="34"/>
  <c r="B2095" i="34"/>
  <c r="B2205" i="34"/>
  <c r="B2202" i="34"/>
  <c r="B2203" i="34"/>
  <c r="B2099" i="34"/>
  <c r="B2188" i="34"/>
  <c r="B2045" i="34"/>
  <c r="B2048" i="34"/>
  <c r="B2049" i="34"/>
  <c r="B2041" i="34"/>
  <c r="B2044" i="34"/>
  <c r="B2207" i="34"/>
  <c r="B2052" i="34"/>
  <c r="B2196" i="34"/>
  <c r="B2286" i="34"/>
  <c r="B2237" i="34"/>
  <c r="B2281" i="34"/>
  <c r="B2185" i="34"/>
  <c r="B2195" i="34"/>
  <c r="B2184" i="34"/>
  <c r="B2206" i="34"/>
  <c r="B2127" i="34"/>
  <c r="B2183" i="34"/>
  <c r="B2100" i="34"/>
  <c r="B2098" i="34"/>
  <c r="B2119" i="34"/>
  <c r="B2126" i="34"/>
  <c r="B2121" i="34"/>
  <c r="B2122" i="34"/>
  <c r="B2112" i="34"/>
  <c r="B2124" i="34"/>
  <c r="B2200" i="34"/>
  <c r="B1996" i="34"/>
  <c r="B2284" i="34"/>
  <c r="B2240" i="34"/>
  <c r="B2239" i="34"/>
  <c r="B2043" i="34"/>
  <c r="B2285" i="34"/>
  <c r="B2201" i="34"/>
  <c r="B2101" i="34"/>
  <c r="B2283" i="34"/>
  <c r="B2123" i="34"/>
  <c r="B1997" i="34"/>
  <c r="B2199" i="34"/>
  <c r="B2125" i="34"/>
  <c r="B2204" i="34"/>
  <c r="B2150" i="34"/>
  <c r="B2242" i="34"/>
  <c r="B2118" i="34"/>
  <c r="B2238" i="34"/>
  <c r="B2117" i="34"/>
  <c r="B2042" i="34"/>
  <c r="B2282" i="34"/>
  <c r="B2187" i="34"/>
  <c r="B2186" i="34"/>
  <c r="B2198" i="34"/>
  <c r="B2197" i="34"/>
  <c r="B2182" i="34"/>
  <c r="B2287" i="34"/>
  <c r="B1995" i="34"/>
  <c r="B1993" i="34"/>
  <c r="B1992" i="34"/>
  <c r="B2229" i="34"/>
  <c r="B2245" i="34"/>
  <c r="B2105" i="34"/>
  <c r="B2104" i="34"/>
  <c r="B2103" i="34"/>
  <c r="B2102" i="34"/>
  <c r="B2191" i="34"/>
  <c r="B2190" i="34"/>
  <c r="B2189" i="34"/>
  <c r="B2051" i="34"/>
  <c r="B2050" i="34"/>
  <c r="B2070" i="34"/>
  <c r="B2069" i="34"/>
  <c r="B2068" i="34"/>
  <c r="B2067" i="34"/>
  <c r="B2066" i="34"/>
  <c r="B2064" i="34"/>
  <c r="B2063" i="34"/>
  <c r="B2029" i="34"/>
  <c r="B2028" i="34"/>
  <c r="B2027" i="34"/>
  <c r="B2026" i="34"/>
  <c r="B2025" i="34"/>
  <c r="B2024" i="34"/>
  <c r="B2023" i="34"/>
  <c r="B2022" i="34"/>
  <c r="B2020" i="34"/>
  <c r="B2019" i="34"/>
  <c r="B2018" i="34"/>
  <c r="B2017" i="34"/>
  <c r="B2015" i="34"/>
  <c r="B2014" i="34"/>
  <c r="B2013" i="34"/>
  <c r="B2012" i="34"/>
  <c r="B2011" i="34"/>
  <c r="B2010" i="34"/>
  <c r="B2004" i="34"/>
  <c r="B2003" i="34"/>
  <c r="B2002" i="34"/>
  <c r="B2001" i="34"/>
  <c r="B2000" i="34"/>
  <c r="B1999" i="34"/>
  <c r="B1988" i="34"/>
  <c r="B1987" i="34"/>
  <c r="B1983" i="34"/>
  <c r="B1982" i="34"/>
  <c r="B1981" i="34"/>
  <c r="B1980" i="34"/>
  <c r="B1946" i="34"/>
  <c r="B1945" i="34"/>
  <c r="B2321" i="34"/>
  <c r="B2320" i="34"/>
  <c r="B2057" i="34"/>
  <c r="B2056" i="34"/>
  <c r="B2319" i="34"/>
  <c r="B2318" i="34"/>
  <c r="B2040" i="34"/>
  <c r="B2039" i="34"/>
  <c r="B2076" i="34"/>
  <c r="B2075" i="34"/>
  <c r="B2038" i="34"/>
  <c r="B2037" i="34"/>
  <c r="B2873" i="34"/>
  <c r="B2872" i="34"/>
  <c r="B2074" i="34"/>
  <c r="B2073" i="34"/>
  <c r="B2302" i="34"/>
  <c r="B2301" i="34"/>
  <c r="B1986" i="34"/>
  <c r="B1985" i="34"/>
  <c r="B2896" i="34"/>
  <c r="B2895" i="34"/>
  <c r="B2317" i="34"/>
  <c r="B2316" i="34"/>
  <c r="B2036" i="34"/>
  <c r="B2035" i="34"/>
  <c r="B4337" i="34"/>
  <c r="B3442" i="34"/>
  <c r="B2209" i="34"/>
  <c r="B2208" i="34"/>
  <c r="B2130" i="34"/>
  <c r="B2129" i="34"/>
  <c r="B2128" i="34"/>
  <c r="B2116" i="34"/>
  <c r="B2115" i="34"/>
  <c r="B2114" i="34"/>
  <c r="B2108" i="34"/>
  <c r="B2107" i="34"/>
  <c r="B2106" i="34"/>
  <c r="B2148" i="34"/>
  <c r="B2147" i="34"/>
  <c r="B2146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094" i="34"/>
  <c r="B2093" i="34"/>
  <c r="B2092" i="34"/>
  <c r="B2091" i="34"/>
  <c r="B2090" i="34"/>
  <c r="B2089" i="34"/>
  <c r="B2088" i="34"/>
  <c r="B2087" i="34"/>
  <c r="B2086" i="34"/>
  <c r="B2085" i="34"/>
  <c r="B2062" i="34"/>
  <c r="B2061" i="34"/>
  <c r="B2060" i="34"/>
  <c r="B2059" i="34"/>
  <c r="B2058" i="34"/>
  <c r="B1976" i="34"/>
  <c r="B1975" i="34"/>
  <c r="B1947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773" i="34"/>
  <c r="B1772" i="34"/>
  <c r="B1771" i="34"/>
  <c r="B1770" i="34"/>
  <c r="B1769" i="34"/>
  <c r="B1698" i="34"/>
  <c r="B1697" i="34"/>
  <c r="B1696" i="34"/>
  <c r="B1695" i="34"/>
  <c r="B4361" i="34"/>
  <c r="B4360" i="34"/>
  <c r="B4359" i="34"/>
  <c r="B3510" i="34"/>
  <c r="B3502" i="34"/>
  <c r="B3501" i="34"/>
  <c r="B3500" i="34"/>
  <c r="B3499" i="34"/>
  <c r="B3472" i="34"/>
  <c r="B3389" i="34"/>
  <c r="B3388" i="34"/>
  <c r="B3204" i="34"/>
  <c r="B3199" i="34"/>
  <c r="B1979" i="34"/>
  <c r="B1978" i="34"/>
  <c r="B1977" i="34"/>
  <c r="B1737" i="34"/>
  <c r="B1736" i="34"/>
  <c r="B2295" i="34"/>
  <c r="B2294" i="34"/>
  <c r="B1944" i="34"/>
  <c r="B1943" i="34"/>
  <c r="A2" i="55"/>
  <c r="A6" i="12"/>
  <c r="A7" i="12"/>
  <c r="A8" i="12"/>
  <c r="A10" i="12"/>
  <c r="A9" i="12"/>
  <c r="A12" i="12"/>
  <c r="A11" i="12"/>
  <c r="A38" i="70"/>
  <c r="A8" i="70"/>
  <c r="A15" i="70"/>
  <c r="A22" i="70"/>
  <c r="A17" i="70"/>
  <c r="A21" i="70"/>
  <c r="A18" i="70"/>
  <c r="A19" i="70"/>
  <c r="A12" i="70"/>
  <c r="A9" i="70"/>
  <c r="A2" i="12"/>
  <c r="A1" i="12"/>
  <c r="A2" i="70"/>
  <c r="A1" i="70"/>
  <c r="A204" i="60"/>
  <c r="A153" i="60"/>
  <c r="A47" i="60"/>
  <c r="A2" i="60"/>
  <c r="C14" i="34"/>
  <c r="B14" i="34" s="1"/>
  <c r="C11" i="34"/>
  <c r="B11" i="34" s="1"/>
  <c r="Z11" i="34" s="1"/>
  <c r="C12" i="34"/>
  <c r="B12" i="34" s="1"/>
  <c r="C13" i="34"/>
  <c r="B13" i="34" s="1"/>
  <c r="C15" i="34"/>
  <c r="B15" i="34" s="1"/>
  <c r="C16" i="34"/>
  <c r="B16" i="34" s="1"/>
  <c r="C17" i="34"/>
  <c r="B17" i="34" s="1"/>
  <c r="C19" i="34"/>
  <c r="B19" i="34" s="1"/>
  <c r="C20" i="34"/>
  <c r="B20" i="34" s="1"/>
  <c r="C21" i="34"/>
  <c r="B21" i="34" s="1"/>
  <c r="C22" i="34"/>
  <c r="B22" i="34" s="1"/>
  <c r="C10" i="34"/>
  <c r="L3" i="39"/>
  <c r="L2" i="39"/>
  <c r="B1686" i="34"/>
  <c r="B1851" i="34"/>
  <c r="B1847" i="34"/>
  <c r="B1678" i="34"/>
  <c r="B1674" i="34"/>
  <c r="B955" i="34"/>
  <c r="B1315" i="34"/>
  <c r="B981" i="34"/>
  <c r="B1888" i="34"/>
  <c r="B4773" i="34"/>
  <c r="B4527" i="34"/>
  <c r="B4528" i="34"/>
  <c r="B4557" i="34"/>
  <c r="B4771" i="34"/>
  <c r="B4772" i="34"/>
  <c r="B4444" i="34"/>
  <c r="B4458" i="34"/>
  <c r="B4466" i="34"/>
  <c r="O252" i="60"/>
  <c r="C252" i="60" s="1"/>
  <c r="O251" i="60"/>
  <c r="C251" i="60" s="1"/>
  <c r="O214" i="60"/>
  <c r="C214" i="60" s="1"/>
  <c r="B1865" i="34"/>
  <c r="B1864" i="34"/>
  <c r="B1861" i="34"/>
  <c r="B1670" i="34"/>
  <c r="B1666" i="34"/>
  <c r="B1844" i="34"/>
  <c r="B1408" i="34"/>
  <c r="B1416" i="34"/>
  <c r="B4611" i="34"/>
  <c r="B4555" i="34"/>
  <c r="B4552" i="34"/>
  <c r="B4534" i="34"/>
  <c r="B4529" i="34"/>
  <c r="B4522" i="34"/>
  <c r="B1780" i="34"/>
  <c r="B1779" i="34"/>
  <c r="B1776" i="34"/>
  <c r="B1757" i="34"/>
  <c r="B1751" i="34"/>
  <c r="B1747" i="34"/>
  <c r="B1738" i="34"/>
  <c r="B1700" i="34"/>
  <c r="B1693" i="34"/>
  <c r="B1660" i="34"/>
  <c r="B1619" i="34"/>
  <c r="B1662" i="34"/>
  <c r="B965" i="34"/>
  <c r="B1683" i="34"/>
  <c r="B1630" i="34"/>
  <c r="B1860" i="34"/>
  <c r="B1857" i="34"/>
  <c r="B1853" i="34"/>
  <c r="B1734" i="34"/>
  <c r="B1730" i="34"/>
  <c r="B4482" i="34"/>
  <c r="B4554" i="34"/>
  <c r="B4551" i="34"/>
  <c r="B4548" i="34"/>
  <c r="B4521" i="34"/>
  <c r="B4506" i="34"/>
  <c r="B4505" i="34"/>
  <c r="B4503" i="34"/>
  <c r="B4492" i="34"/>
  <c r="B4485" i="34"/>
  <c r="B4467" i="34"/>
  <c r="B4460" i="34"/>
  <c r="B4459" i="34"/>
  <c r="B4445" i="34"/>
  <c r="B4502" i="34"/>
  <c r="B4491" i="34"/>
  <c r="E688" i="55"/>
  <c r="O169" i="60"/>
  <c r="C169" i="60" s="1"/>
  <c r="O168" i="60"/>
  <c r="C168" i="60" s="1"/>
  <c r="O170" i="60"/>
  <c r="C170" i="60" s="1"/>
  <c r="O163" i="60"/>
  <c r="C163" i="60" s="1"/>
  <c r="O161" i="60"/>
  <c r="C161" i="60" s="1"/>
  <c r="O164" i="60"/>
  <c r="C164" i="60" s="1"/>
  <c r="O162" i="60"/>
  <c r="C162" i="60" s="1"/>
  <c r="O165" i="60"/>
  <c r="C165" i="60" s="1"/>
  <c r="O166" i="60"/>
  <c r="C166" i="60" s="1"/>
  <c r="O167" i="60"/>
  <c r="C167" i="60" s="1"/>
  <c r="O171" i="60"/>
  <c r="C171" i="60" s="1"/>
  <c r="B1933" i="34"/>
  <c r="I6" i="12"/>
  <c r="I7" i="12"/>
  <c r="I8" i="12"/>
  <c r="I10" i="12"/>
  <c r="I9" i="12"/>
  <c r="I12" i="12"/>
  <c r="I17" i="12"/>
  <c r="I11" i="12"/>
  <c r="B1942" i="34"/>
  <c r="B3198" i="34"/>
  <c r="B1934" i="34"/>
  <c r="B1900" i="34"/>
  <c r="B1886" i="34"/>
  <c r="B1885" i="34"/>
  <c r="B1816" i="34"/>
  <c r="B1825" i="34"/>
  <c r="B1818" i="34"/>
  <c r="B1821" i="34"/>
  <c r="B1186" i="34"/>
  <c r="O52" i="60"/>
  <c r="C52" i="60" s="1"/>
  <c r="O55" i="60"/>
  <c r="C55" i="60" s="1"/>
  <c r="O54" i="60"/>
  <c r="C54" i="60" s="1"/>
  <c r="N11" i="34"/>
  <c r="N10" i="34"/>
  <c r="O53" i="60"/>
  <c r="C53" i="60" s="1"/>
  <c r="O51" i="60"/>
  <c r="C51" i="60" s="1"/>
  <c r="O209" i="60"/>
  <c r="C209" i="60" s="1"/>
  <c r="O211" i="60"/>
  <c r="C211" i="60" s="1"/>
  <c r="O210" i="60"/>
  <c r="C210" i="60" s="1"/>
  <c r="O212" i="60"/>
  <c r="C212" i="60" s="1"/>
  <c r="O213" i="60"/>
  <c r="C213" i="60" s="1"/>
  <c r="O268" i="60"/>
  <c r="O159" i="60"/>
  <c r="C159" i="60" s="1"/>
  <c r="O160" i="60"/>
  <c r="C160" i="60" s="1"/>
  <c r="O201" i="60"/>
  <c r="M44" i="60"/>
  <c r="O7" i="60"/>
  <c r="C7" i="60" s="1"/>
  <c r="A157" i="60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O6" i="60"/>
  <c r="C6" i="60" s="1"/>
  <c r="O157" i="60"/>
  <c r="C157" i="60" s="1"/>
  <c r="O158" i="60"/>
  <c r="C158" i="60" s="1"/>
  <c r="O208" i="60"/>
  <c r="C208" i="60" s="1"/>
  <c r="I9" i="70"/>
  <c r="I38" i="70"/>
  <c r="I8" i="70"/>
  <c r="I15" i="70"/>
  <c r="I52" i="70"/>
  <c r="R11" i="34"/>
  <c r="S11" i="34"/>
  <c r="T11" i="34"/>
  <c r="W11" i="34"/>
  <c r="S10" i="34"/>
  <c r="A3" i="15"/>
  <c r="A2" i="15"/>
  <c r="N8" i="73"/>
  <c r="M8" i="73"/>
  <c r="A2" i="73"/>
  <c r="A1" i="73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O11" i="42"/>
  <c r="N11" i="42"/>
  <c r="T10" i="34"/>
  <c r="R10" i="34"/>
  <c r="O8" i="43"/>
  <c r="N8" i="43"/>
  <c r="I6" i="43"/>
  <c r="A17" i="12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D18" i="12"/>
  <c r="C18" i="12"/>
  <c r="G202" i="60"/>
  <c r="A201" i="60"/>
  <c r="G44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D19" i="58" s="1"/>
  <c r="H230" i="60"/>
  <c r="E219" i="60"/>
  <c r="E229" i="60"/>
  <c r="H225" i="60"/>
  <c r="E224" i="60"/>
  <c r="E235" i="60"/>
  <c r="E244" i="60"/>
  <c r="E236" i="60"/>
  <c r="H239" i="60"/>
  <c r="E247" i="60"/>
  <c r="H247" i="60"/>
  <c r="E241" i="60"/>
  <c r="E212" i="60"/>
  <c r="G2" i="56"/>
  <c r="F15" i="56"/>
  <c r="H218" i="60"/>
  <c r="H240" i="60"/>
  <c r="H235" i="60"/>
  <c r="H212" i="60"/>
  <c r="A11" i="56"/>
  <c r="F36" i="56"/>
  <c r="A12" i="56"/>
  <c r="F35" i="56"/>
  <c r="H243" i="60"/>
  <c r="H221" i="60"/>
  <c r="H229" i="60"/>
  <c r="H237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H250" i="60"/>
  <c r="H255" i="60"/>
  <c r="E254" i="60"/>
  <c r="E256" i="60"/>
  <c r="H256" i="60"/>
  <c r="H265" i="60"/>
  <c r="E253" i="60"/>
  <c r="H259" i="60"/>
  <c r="H262" i="60"/>
  <c r="E265" i="60"/>
  <c r="E165" i="60"/>
  <c r="M9" i="39"/>
  <c r="G2" i="55"/>
  <c r="H254" i="60"/>
  <c r="H260" i="60"/>
  <c r="H188" i="60"/>
  <c r="H257" i="60"/>
  <c r="H199" i="60"/>
  <c r="H171" i="60"/>
  <c r="H197" i="60"/>
  <c r="K12" i="34"/>
  <c r="G17" i="78"/>
  <c r="B20" i="78"/>
  <c r="G21" i="78"/>
  <c r="D22" i="78"/>
  <c r="A23" i="78"/>
  <c r="E23" i="78"/>
  <c r="B24" i="78"/>
  <c r="F24" i="78"/>
  <c r="E16" i="78"/>
  <c r="A16" i="78"/>
  <c r="D17" i="78"/>
  <c r="A18" i="78"/>
  <c r="E18" i="78"/>
  <c r="B19" i="78"/>
  <c r="F19" i="78"/>
  <c r="C20" i="78"/>
  <c r="G20" i="78"/>
  <c r="D21" i="78"/>
  <c r="A22" i="78"/>
  <c r="E22" i="78"/>
  <c r="B23" i="78"/>
  <c r="F23" i="78"/>
  <c r="C24" i="78"/>
  <c r="G24" i="78"/>
  <c r="D16" i="78"/>
  <c r="A17" i="78"/>
  <c r="E17" i="78"/>
  <c r="B18" i="78"/>
  <c r="F18" i="78"/>
  <c r="C19" i="78"/>
  <c r="G19" i="78"/>
  <c r="D20" i="78"/>
  <c r="A21" i="78"/>
  <c r="E21" i="78"/>
  <c r="B22" i="78"/>
  <c r="F22" i="78"/>
  <c r="C23" i="78"/>
  <c r="G23" i="78"/>
  <c r="D24" i="78"/>
  <c r="G16" i="78"/>
  <c r="C16" i="78"/>
  <c r="B17" i="78"/>
  <c r="F17" i="78"/>
  <c r="C18" i="78"/>
  <c r="G18" i="78"/>
  <c r="D19" i="78"/>
  <c r="A20" i="78"/>
  <c r="E20" i="78"/>
  <c r="B21" i="78"/>
  <c r="F21" i="78"/>
  <c r="C22" i="78"/>
  <c r="G22" i="78"/>
  <c r="D23" i="78"/>
  <c r="A24" i="78"/>
  <c r="E24" i="78"/>
  <c r="F16" i="78"/>
  <c r="B16" i="78"/>
  <c r="E7" i="60"/>
  <c r="E11" i="60"/>
  <c r="E37" i="60"/>
  <c r="E17" i="60"/>
  <c r="E32" i="60"/>
  <c r="E23" i="60"/>
  <c r="J34" i="55"/>
  <c r="J169" i="55"/>
  <c r="J31" i="55"/>
  <c r="I33" i="57"/>
  <c r="D26" i="57"/>
  <c r="E33" i="57"/>
  <c r="B23" i="57"/>
  <c r="G18" i="57"/>
  <c r="E34" i="57"/>
  <c r="F35" i="57"/>
  <c r="I26" i="57"/>
  <c r="E27" i="57"/>
  <c r="C21" i="57"/>
  <c r="G41" i="57"/>
  <c r="E31" i="57"/>
  <c r="E18" i="57"/>
  <c r="G22" i="57"/>
  <c r="C38" i="57"/>
  <c r="E19" i="57"/>
  <c r="F28" i="57"/>
  <c r="G34" i="57"/>
  <c r="E15" i="57"/>
  <c r="E146" i="60"/>
  <c r="H213" i="60"/>
  <c r="H209" i="60"/>
  <c r="H266" i="60"/>
  <c r="O149" i="60"/>
  <c r="E80" i="60"/>
  <c r="H232" i="60"/>
  <c r="E51" i="60"/>
  <c r="E66" i="60"/>
  <c r="E62" i="60"/>
  <c r="E58" i="60"/>
  <c r="E78" i="60"/>
  <c r="E74" i="60"/>
  <c r="E70" i="60"/>
  <c r="E128" i="60"/>
  <c r="E147" i="60"/>
  <c r="E81" i="60"/>
  <c r="E84" i="60"/>
  <c r="E52" i="60"/>
  <c r="E55" i="60"/>
  <c r="E65" i="60"/>
  <c r="E60" i="60"/>
  <c r="E76" i="60"/>
  <c r="E71" i="60"/>
  <c r="E116" i="60"/>
  <c r="E108" i="60"/>
  <c r="E125" i="60"/>
  <c r="E67" i="60"/>
  <c r="E59" i="60"/>
  <c r="E79" i="60"/>
  <c r="E72" i="60"/>
  <c r="E104" i="60"/>
  <c r="E53" i="60"/>
  <c r="E63" i="60"/>
  <c r="E73" i="60"/>
  <c r="E117" i="60"/>
  <c r="E54" i="60"/>
  <c r="E61" i="60"/>
  <c r="E69" i="60"/>
  <c r="E103" i="60"/>
  <c r="E115" i="60"/>
  <c r="E57" i="60"/>
  <c r="E68" i="60"/>
  <c r="E56" i="60"/>
  <c r="E77" i="60"/>
  <c r="D23" i="57"/>
  <c r="E102" i="60"/>
  <c r="E75" i="60"/>
  <c r="E64" i="60"/>
  <c r="G42" i="57"/>
  <c r="H211" i="60"/>
  <c r="H210" i="60"/>
  <c r="H242" i="60"/>
  <c r="H219" i="60"/>
  <c r="H222" i="60"/>
  <c r="H236" i="60"/>
  <c r="E16" i="60"/>
  <c r="E30" i="60"/>
  <c r="E19" i="60"/>
  <c r="E25" i="60"/>
  <c r="E40" i="60"/>
  <c r="E39" i="60"/>
  <c r="E41" i="60"/>
  <c r="E9" i="60"/>
  <c r="E13" i="60"/>
  <c r="E8" i="60"/>
  <c r="E12" i="60"/>
  <c r="E6" i="60"/>
  <c r="E267" i="60"/>
  <c r="H267" i="60"/>
  <c r="H228" i="60"/>
  <c r="H224" i="60"/>
  <c r="H216" i="60"/>
  <c r="E220" i="60"/>
  <c r="E231" i="60"/>
  <c r="H231" i="60"/>
  <c r="E226" i="60"/>
  <c r="H226" i="60"/>
  <c r="E217" i="60"/>
  <c r="H217" i="60"/>
  <c r="H227" i="60"/>
  <c r="H223" i="60"/>
  <c r="H215" i="60"/>
  <c r="H248" i="60"/>
  <c r="H244" i="60"/>
  <c r="E234" i="60"/>
  <c r="H234" i="60"/>
  <c r="E246" i="60"/>
  <c r="H246" i="60"/>
  <c r="E238" i="60"/>
  <c r="H238" i="60"/>
  <c r="H249" i="60"/>
  <c r="H241" i="60"/>
  <c r="H233" i="60"/>
  <c r="E245" i="60"/>
  <c r="H245" i="60"/>
  <c r="I38" i="57"/>
  <c r="J80" i="55"/>
  <c r="H253" i="60"/>
  <c r="H190" i="60"/>
  <c r="C187" i="60"/>
  <c r="H187" i="60"/>
  <c r="O202" i="60"/>
  <c r="H214" i="60"/>
  <c r="H252" i="60"/>
  <c r="H264" i="60"/>
  <c r="H177" i="60"/>
  <c r="H173" i="60"/>
  <c r="H192" i="60"/>
  <c r="H184" i="60"/>
  <c r="H193" i="60"/>
  <c r="H189" i="60"/>
  <c r="H186" i="60"/>
  <c r="H180" i="60"/>
  <c r="H176" i="60"/>
  <c r="H172" i="60"/>
  <c r="H183" i="60"/>
  <c r="H198" i="60"/>
  <c r="H191" i="60"/>
  <c r="H185" i="60"/>
  <c r="H179" i="60"/>
  <c r="H175" i="60"/>
  <c r="H200" i="60"/>
  <c r="H182" i="60"/>
  <c r="H195" i="60"/>
  <c r="H251" i="60"/>
  <c r="H178" i="60"/>
  <c r="H174" i="60"/>
  <c r="H196" i="60"/>
  <c r="H181" i="60"/>
  <c r="H194" i="60"/>
  <c r="H208" i="60"/>
  <c r="H261" i="60"/>
  <c r="H263" i="60"/>
  <c r="H258" i="60"/>
  <c r="K15" i="34"/>
  <c r="H220" i="60"/>
  <c r="Y820" i="34" l="1"/>
  <c r="Y819" i="34"/>
  <c r="Y818" i="34"/>
  <c r="Y817" i="34"/>
  <c r="Y816" i="34"/>
  <c r="Y815" i="34"/>
  <c r="Y814" i="34"/>
  <c r="Y813" i="34"/>
  <c r="Y812" i="34"/>
  <c r="Y811" i="34"/>
  <c r="Y810" i="34"/>
  <c r="Y809" i="34"/>
  <c r="Y808" i="34"/>
  <c r="Y807" i="34"/>
  <c r="Y806" i="34"/>
  <c r="Y805" i="34"/>
  <c r="Y804" i="34"/>
  <c r="Y823" i="34"/>
  <c r="Y822" i="34"/>
  <c r="Y821" i="34"/>
  <c r="Y803" i="34"/>
  <c r="Y802" i="34"/>
  <c r="Y801" i="34"/>
  <c r="Y800" i="34"/>
  <c r="Y830" i="34"/>
  <c r="Y829" i="34"/>
  <c r="Y828" i="34"/>
  <c r="Y827" i="34"/>
  <c r="Y826" i="34"/>
  <c r="Y825" i="34"/>
  <c r="Y824" i="34"/>
  <c r="Y792" i="34"/>
  <c r="Y791" i="34"/>
  <c r="Y794" i="34"/>
  <c r="Y790" i="34"/>
  <c r="Y793" i="34"/>
  <c r="Y789" i="34"/>
  <c r="T789" i="34"/>
  <c r="S789" i="34"/>
  <c r="R789" i="34"/>
  <c r="R780" i="34"/>
  <c r="R779" i="34"/>
  <c r="R778" i="34"/>
  <c r="R777" i="34"/>
  <c r="T733" i="34"/>
  <c r="T792" i="34"/>
  <c r="S790" i="34"/>
  <c r="S794" i="34"/>
  <c r="R794" i="34"/>
  <c r="T791" i="34"/>
  <c r="R781" i="34"/>
  <c r="R782" i="34"/>
  <c r="S768" i="34"/>
  <c r="S772" i="34"/>
  <c r="S776" i="34"/>
  <c r="T768" i="34"/>
  <c r="T770" i="34"/>
  <c r="T772" i="34"/>
  <c r="T774" i="34"/>
  <c r="T776" i="34"/>
  <c r="R770" i="34"/>
  <c r="R774" i="34"/>
  <c r="S778" i="34"/>
  <c r="S782" i="34"/>
  <c r="S786" i="34"/>
  <c r="T778" i="34"/>
  <c r="T780" i="34"/>
  <c r="T782" i="34"/>
  <c r="T784" i="34"/>
  <c r="T786" i="34"/>
  <c r="R785" i="34"/>
  <c r="S787" i="34"/>
  <c r="S795" i="34"/>
  <c r="R787" i="34"/>
  <c r="R764" i="34"/>
  <c r="R762" i="34"/>
  <c r="S761" i="34"/>
  <c r="R759" i="34"/>
  <c r="S744" i="34"/>
  <c r="S748" i="34"/>
  <c r="S752" i="34"/>
  <c r="T744" i="34"/>
  <c r="T746" i="34"/>
  <c r="T748" i="34"/>
  <c r="T750" i="34"/>
  <c r="T752" i="34"/>
  <c r="T754" i="34"/>
  <c r="R745" i="34"/>
  <c r="R749" i="34"/>
  <c r="R753" i="34"/>
  <c r="S755" i="34"/>
  <c r="T755" i="34"/>
  <c r="T757" i="34"/>
  <c r="R756" i="34"/>
  <c r="R733" i="34"/>
  <c r="R734" i="34"/>
  <c r="T715" i="34"/>
  <c r="T713" i="34"/>
  <c r="R714" i="34"/>
  <c r="S709" i="34"/>
  <c r="S719" i="34"/>
  <c r="T711" i="34"/>
  <c r="T716" i="34"/>
  <c r="R711" i="34"/>
  <c r="S720" i="34"/>
  <c r="R723" i="34"/>
  <c r="R731" i="34"/>
  <c r="S741" i="34"/>
  <c r="R739" i="34"/>
  <c r="R741" i="34"/>
  <c r="S714" i="34"/>
  <c r="S765" i="34"/>
  <c r="T790" i="34"/>
  <c r="R790" i="34"/>
  <c r="S767" i="34"/>
  <c r="S771" i="34"/>
  <c r="S775" i="34"/>
  <c r="R767" i="34"/>
  <c r="R771" i="34"/>
  <c r="R775" i="34"/>
  <c r="S777" i="34"/>
  <c r="S781" i="34"/>
  <c r="S785" i="34"/>
  <c r="R786" i="34"/>
  <c r="T787" i="34"/>
  <c r="T795" i="34"/>
  <c r="R788" i="34"/>
  <c r="S762" i="34"/>
  <c r="T762" i="34"/>
  <c r="S764" i="34"/>
  <c r="T759" i="34"/>
  <c r="R760" i="34"/>
  <c r="R758" i="34"/>
  <c r="S747" i="34"/>
  <c r="S751" i="34"/>
  <c r="R746" i="34"/>
  <c r="R750" i="34"/>
  <c r="R754" i="34"/>
  <c r="R757" i="34"/>
  <c r="T734" i="34"/>
  <c r="T735" i="34"/>
  <c r="R715" i="34"/>
  <c r="R713" i="34"/>
  <c r="T714" i="34"/>
  <c r="S708" i="34"/>
  <c r="S712" i="34"/>
  <c r="S718" i="34"/>
  <c r="R708" i="34"/>
  <c r="R712" i="34"/>
  <c r="R719" i="34"/>
  <c r="S723" i="34"/>
  <c r="S727" i="34"/>
  <c r="S731" i="34"/>
  <c r="T721" i="34"/>
  <c r="T723" i="34"/>
  <c r="T725" i="34"/>
  <c r="T727" i="34"/>
  <c r="T729" i="34"/>
  <c r="T731" i="34"/>
  <c r="R724" i="34"/>
  <c r="R728" i="34"/>
  <c r="S736" i="34"/>
  <c r="S740" i="34"/>
  <c r="T732" i="34"/>
  <c r="T737" i="34"/>
  <c r="T739" i="34"/>
  <c r="T741" i="34"/>
  <c r="R736" i="34"/>
  <c r="R737" i="34"/>
  <c r="S734" i="34"/>
  <c r="S793" i="34"/>
  <c r="T793" i="34"/>
  <c r="T794" i="34"/>
  <c r="S792" i="34"/>
  <c r="R791" i="34"/>
  <c r="R783" i="34"/>
  <c r="S770" i="34"/>
  <c r="S774" i="34"/>
  <c r="T767" i="34"/>
  <c r="T769" i="34"/>
  <c r="T771" i="34"/>
  <c r="T773" i="34"/>
  <c r="T775" i="34"/>
  <c r="R768" i="34"/>
  <c r="R772" i="34"/>
  <c r="R776" i="34"/>
  <c r="S780" i="34"/>
  <c r="S784" i="34"/>
  <c r="T777" i="34"/>
  <c r="T779" i="34"/>
  <c r="T781" i="34"/>
  <c r="T783" i="34"/>
  <c r="T785" i="34"/>
  <c r="R795" i="34"/>
  <c r="R763" i="34"/>
  <c r="R765" i="34"/>
  <c r="T761" i="34"/>
  <c r="T758" i="34"/>
  <c r="S746" i="34"/>
  <c r="S750" i="34"/>
  <c r="S754" i="34"/>
  <c r="T745" i="34"/>
  <c r="T747" i="34"/>
  <c r="T749" i="34"/>
  <c r="T751" i="34"/>
  <c r="T753" i="34"/>
  <c r="R747" i="34"/>
  <c r="R751" i="34"/>
  <c r="S757" i="34"/>
  <c r="T756" i="34"/>
  <c r="R735" i="34"/>
  <c r="S715" i="34"/>
  <c r="S713" i="34"/>
  <c r="S711" i="34"/>
  <c r="S717" i="34"/>
  <c r="T708" i="34"/>
  <c r="T710" i="34"/>
  <c r="T712" i="34"/>
  <c r="T717" i="34"/>
  <c r="T719" i="34"/>
  <c r="R709" i="34"/>
  <c r="R716" i="34"/>
  <c r="S722" i="34"/>
  <c r="S726" i="34"/>
  <c r="S730" i="34"/>
  <c r="R721" i="34"/>
  <c r="R725" i="34"/>
  <c r="R729" i="34"/>
  <c r="S739" i="34"/>
  <c r="T764" i="34"/>
  <c r="S759" i="34"/>
  <c r="R793" i="34"/>
  <c r="R792" i="34"/>
  <c r="S791" i="34"/>
  <c r="S769" i="34"/>
  <c r="S773" i="34"/>
  <c r="R769" i="34"/>
  <c r="R773" i="34"/>
  <c r="S779" i="34"/>
  <c r="S783" i="34"/>
  <c r="R784" i="34"/>
  <c r="S788" i="34"/>
  <c r="S796" i="34"/>
  <c r="T788" i="34"/>
  <c r="T796" i="34"/>
  <c r="R796" i="34"/>
  <c r="T765" i="34"/>
  <c r="S763" i="34"/>
  <c r="T763" i="34"/>
  <c r="R761" i="34"/>
  <c r="S760" i="34"/>
  <c r="T760" i="34"/>
  <c r="S758" i="34"/>
  <c r="S745" i="34"/>
  <c r="S749" i="34"/>
  <c r="S753" i="34"/>
  <c r="R744" i="34"/>
  <c r="R748" i="34"/>
  <c r="R752" i="34"/>
  <c r="S756" i="34"/>
  <c r="R755" i="34"/>
  <c r="S735" i="34"/>
  <c r="S733" i="34"/>
  <c r="R720" i="34"/>
  <c r="S710" i="34"/>
  <c r="S716" i="34"/>
  <c r="R710" i="34"/>
  <c r="R717" i="34"/>
  <c r="S721" i="34"/>
  <c r="S725" i="34"/>
  <c r="S729" i="34"/>
  <c r="T720" i="34"/>
  <c r="T722" i="34"/>
  <c r="T724" i="34"/>
  <c r="T726" i="34"/>
  <c r="T728" i="34"/>
  <c r="T730" i="34"/>
  <c r="R722" i="34"/>
  <c r="R726" i="34"/>
  <c r="R730" i="34"/>
  <c r="S732" i="34"/>
  <c r="S738" i="34"/>
  <c r="S742" i="34"/>
  <c r="T736" i="34"/>
  <c r="T738" i="34"/>
  <c r="T740" i="34"/>
  <c r="T742" i="34"/>
  <c r="R738" i="34"/>
  <c r="R742" i="34"/>
  <c r="T709" i="34"/>
  <c r="T718" i="34"/>
  <c r="R718" i="34"/>
  <c r="S724" i="34"/>
  <c r="S728" i="34"/>
  <c r="R727" i="34"/>
  <c r="S737" i="34"/>
  <c r="R732" i="34"/>
  <c r="R740" i="34"/>
  <c r="T766" i="34"/>
  <c r="R693" i="34"/>
  <c r="S692" i="34"/>
  <c r="R707" i="34"/>
  <c r="S707" i="34"/>
  <c r="T706" i="34"/>
  <c r="R689" i="34"/>
  <c r="R743" i="34"/>
  <c r="S694" i="34"/>
  <c r="T684" i="34"/>
  <c r="T695" i="34"/>
  <c r="T688" i="34"/>
  <c r="R685" i="34"/>
  <c r="R700" i="34"/>
  <c r="R702" i="34"/>
  <c r="R704" i="34"/>
  <c r="T693" i="34"/>
  <c r="S685" i="34"/>
  <c r="T691" i="34"/>
  <c r="R690" i="34"/>
  <c r="S699" i="34"/>
  <c r="R701" i="34"/>
  <c r="R703" i="34"/>
  <c r="T696" i="34"/>
  <c r="R766" i="34"/>
  <c r="S798" i="34"/>
  <c r="R798" i="34"/>
  <c r="S705" i="34"/>
  <c r="T689" i="34"/>
  <c r="T743" i="34"/>
  <c r="R694" i="34"/>
  <c r="S684" i="34"/>
  <c r="R797" i="34"/>
  <c r="S690" i="34"/>
  <c r="T690" i="34"/>
  <c r="S698" i="34"/>
  <c r="S700" i="34"/>
  <c r="S702" i="34"/>
  <c r="S704" i="34"/>
  <c r="R695" i="34"/>
  <c r="R686" i="34"/>
  <c r="S695" i="34"/>
  <c r="T697" i="34"/>
  <c r="S701" i="34"/>
  <c r="S703" i="34"/>
  <c r="S696" i="34"/>
  <c r="S766" i="34"/>
  <c r="S693" i="34"/>
  <c r="S687" i="34"/>
  <c r="S706" i="34"/>
  <c r="T705" i="34"/>
  <c r="S689" i="34"/>
  <c r="S743" i="34"/>
  <c r="T694" i="34"/>
  <c r="R684" i="34"/>
  <c r="T686" i="34"/>
  <c r="R691" i="34"/>
  <c r="S691" i="34"/>
  <c r="R698" i="34"/>
  <c r="T797" i="34"/>
  <c r="R687" i="34"/>
  <c r="T685" i="34"/>
  <c r="S697" i="34"/>
  <c r="R697" i="34"/>
  <c r="T699" i="34"/>
  <c r="S688" i="34"/>
  <c r="T707" i="34"/>
  <c r="R706" i="34"/>
  <c r="R705" i="34"/>
  <c r="R692" i="34"/>
  <c r="T687" i="34"/>
  <c r="S797" i="34"/>
  <c r="T698" i="34"/>
  <c r="T700" i="34"/>
  <c r="T702" i="34"/>
  <c r="T704" i="34"/>
  <c r="T692" i="34"/>
  <c r="T798" i="34"/>
  <c r="R688" i="34"/>
  <c r="S686" i="34"/>
  <c r="R699" i="34"/>
  <c r="T701" i="34"/>
  <c r="T703" i="34"/>
  <c r="R696" i="34"/>
  <c r="R633" i="34"/>
  <c r="S618" i="34"/>
  <c r="R667" i="34"/>
  <c r="S609" i="34"/>
  <c r="S616" i="34"/>
  <c r="R624" i="34"/>
  <c r="S652" i="34"/>
  <c r="S660" i="34"/>
  <c r="S834" i="34"/>
  <c r="S668" i="34"/>
  <c r="R632" i="34"/>
  <c r="T636" i="34"/>
  <c r="S613" i="34"/>
  <c r="R617" i="34"/>
  <c r="T621" i="34"/>
  <c r="S649" i="34"/>
  <c r="T653" i="34"/>
  <c r="S657" i="34"/>
  <c r="S641" i="34"/>
  <c r="S670" i="34"/>
  <c r="R670" i="34"/>
  <c r="T799" i="34"/>
  <c r="R799" i="34"/>
  <c r="T661" i="34"/>
  <c r="S626" i="34"/>
  <c r="R642" i="34"/>
  <c r="S676" i="34"/>
  <c r="S629" i="34"/>
  <c r="T614" i="34"/>
  <c r="S650" i="34"/>
  <c r="S646" i="34"/>
  <c r="S671" i="34"/>
  <c r="R675" i="34"/>
  <c r="T666" i="34"/>
  <c r="S630" i="34"/>
  <c r="R634" i="34"/>
  <c r="T662" i="34"/>
  <c r="S615" i="34"/>
  <c r="R615" i="34"/>
  <c r="T623" i="34"/>
  <c r="S651" i="34"/>
  <c r="T655" i="34"/>
  <c r="S643" i="34"/>
  <c r="R643" i="34"/>
  <c r="T833" i="34"/>
  <c r="R833" i="34"/>
  <c r="R672" i="34"/>
  <c r="S682" i="34"/>
  <c r="T680" i="34"/>
  <c r="R680" i="34"/>
  <c r="T669" i="34"/>
  <c r="S610" i="34"/>
  <c r="R622" i="34"/>
  <c r="T663" i="34"/>
  <c r="T836" i="34"/>
  <c r="R836" i="34"/>
  <c r="R612" i="34"/>
  <c r="T620" i="34"/>
  <c r="R656" i="34"/>
  <c r="R640" i="34"/>
  <c r="S677" i="34"/>
  <c r="S633" i="34"/>
  <c r="T618" i="34"/>
  <c r="S654" i="34"/>
  <c r="R654" i="34"/>
  <c r="S667" i="34"/>
  <c r="S631" i="34"/>
  <c r="R631" i="34"/>
  <c r="S624" i="34"/>
  <c r="S644" i="34"/>
  <c r="T664" i="34"/>
  <c r="T837" i="34"/>
  <c r="R837" i="34"/>
  <c r="S632" i="34"/>
  <c r="R636" i="34"/>
  <c r="S617" i="34"/>
  <c r="R621" i="34"/>
  <c r="T625" i="34"/>
  <c r="S653" i="34"/>
  <c r="T657" i="34"/>
  <c r="T637" i="34"/>
  <c r="S645" i="34"/>
  <c r="S674" i="34"/>
  <c r="R674" i="34"/>
  <c r="T678" i="34"/>
  <c r="R678" i="34"/>
  <c r="R665" i="34"/>
  <c r="T626" i="34"/>
  <c r="S642" i="34"/>
  <c r="T679" i="34"/>
  <c r="R679" i="34"/>
  <c r="T650" i="34"/>
  <c r="S658" i="34"/>
  <c r="R658" i="34"/>
  <c r="S675" i="34"/>
  <c r="S831" i="34"/>
  <c r="T835" i="34"/>
  <c r="R835" i="34"/>
  <c r="T630" i="34"/>
  <c r="S634" i="34"/>
  <c r="T611" i="34"/>
  <c r="S619" i="34"/>
  <c r="R619" i="34"/>
  <c r="T627" i="34"/>
  <c r="T651" i="34"/>
  <c r="R655" i="34"/>
  <c r="T659" i="34"/>
  <c r="T639" i="34"/>
  <c r="R647" i="34"/>
  <c r="S647" i="34"/>
  <c r="S672" i="34"/>
  <c r="S832" i="34"/>
  <c r="T610" i="34"/>
  <c r="S622" i="34"/>
  <c r="R638" i="34"/>
  <c r="R663" i="34"/>
  <c r="T635" i="34"/>
  <c r="S612" i="34"/>
  <c r="R620" i="34"/>
  <c r="T628" i="34"/>
  <c r="S656" i="34"/>
  <c r="S640" i="34"/>
  <c r="R648" i="34"/>
  <c r="S648" i="34"/>
  <c r="R673" i="34"/>
  <c r="T683" i="34"/>
  <c r="R683" i="34"/>
  <c r="S681" i="34"/>
  <c r="T609" i="34"/>
  <c r="T616" i="34"/>
  <c r="T652" i="34"/>
  <c r="T660" i="34"/>
  <c r="T834" i="34"/>
  <c r="R834" i="34"/>
  <c r="R664" i="34"/>
  <c r="T668" i="34"/>
  <c r="S636" i="34"/>
  <c r="T613" i="34"/>
  <c r="S621" i="34"/>
  <c r="R625" i="34"/>
  <c r="R649" i="34"/>
  <c r="R637" i="34"/>
  <c r="T641" i="34"/>
  <c r="T670" i="34"/>
  <c r="S799" i="34"/>
  <c r="S665" i="34"/>
  <c r="R661" i="34"/>
  <c r="T642" i="34"/>
  <c r="T676" i="34"/>
  <c r="T629" i="34"/>
  <c r="R614" i="34"/>
  <c r="R646" i="34"/>
  <c r="T646" i="34"/>
  <c r="T671" i="34"/>
  <c r="S666" i="34"/>
  <c r="R666" i="34"/>
  <c r="T634" i="34"/>
  <c r="S662" i="34"/>
  <c r="R662" i="34"/>
  <c r="T615" i="34"/>
  <c r="S623" i="34"/>
  <c r="R623" i="34"/>
  <c r="S655" i="34"/>
  <c r="R659" i="34"/>
  <c r="T643" i="34"/>
  <c r="S833" i="34"/>
  <c r="T682" i="34"/>
  <c r="R682" i="34"/>
  <c r="S680" i="34"/>
  <c r="R669" i="34"/>
  <c r="T622" i="34"/>
  <c r="S638" i="34"/>
  <c r="S663" i="34"/>
  <c r="S836" i="34"/>
  <c r="S620" i="34"/>
  <c r="R628" i="34"/>
  <c r="S673" i="34"/>
  <c r="R681" i="34"/>
  <c r="T633" i="34"/>
  <c r="R618" i="34"/>
  <c r="T654" i="34"/>
  <c r="T667" i="34"/>
  <c r="T631" i="34"/>
  <c r="R609" i="34"/>
  <c r="R616" i="34"/>
  <c r="T624" i="34"/>
  <c r="R652" i="34"/>
  <c r="R660" i="34"/>
  <c r="R644" i="34"/>
  <c r="T644" i="34"/>
  <c r="S664" i="34"/>
  <c r="R668" i="34"/>
  <c r="S837" i="34"/>
  <c r="T632" i="34"/>
  <c r="R613" i="34"/>
  <c r="T617" i="34"/>
  <c r="S625" i="34"/>
  <c r="T649" i="34"/>
  <c r="R653" i="34"/>
  <c r="R657" i="34"/>
  <c r="S637" i="34"/>
  <c r="R641" i="34"/>
  <c r="R645" i="34"/>
  <c r="T645" i="34"/>
  <c r="T674" i="34"/>
  <c r="S678" i="34"/>
  <c r="T665" i="34"/>
  <c r="S661" i="34"/>
  <c r="R626" i="34"/>
  <c r="R676" i="34"/>
  <c r="S679" i="34"/>
  <c r="R629" i="34"/>
  <c r="S614" i="34"/>
  <c r="R650" i="34"/>
  <c r="T658" i="34"/>
  <c r="R671" i="34"/>
  <c r="T675" i="34"/>
  <c r="T831" i="34"/>
  <c r="R831" i="34"/>
  <c r="S835" i="34"/>
  <c r="R630" i="34"/>
  <c r="S611" i="34"/>
  <c r="R611" i="34"/>
  <c r="T619" i="34"/>
  <c r="S627" i="34"/>
  <c r="R627" i="34"/>
  <c r="R651" i="34"/>
  <c r="S659" i="34"/>
  <c r="S639" i="34"/>
  <c r="R639" i="34"/>
  <c r="T647" i="34"/>
  <c r="T672" i="34"/>
  <c r="T832" i="34"/>
  <c r="R832" i="34"/>
  <c r="S669" i="34"/>
  <c r="R610" i="34"/>
  <c r="T638" i="34"/>
  <c r="S635" i="34"/>
  <c r="R635" i="34"/>
  <c r="T612" i="34"/>
  <c r="S628" i="34"/>
  <c r="T656" i="34"/>
  <c r="T640" i="34"/>
  <c r="T648" i="34"/>
  <c r="T673" i="34"/>
  <c r="S683" i="34"/>
  <c r="T677" i="34"/>
  <c r="R677" i="34"/>
  <c r="T681" i="34"/>
  <c r="T495" i="34"/>
  <c r="R493" i="34"/>
  <c r="S493" i="34"/>
  <c r="S504" i="34"/>
  <c r="R508" i="34"/>
  <c r="T512" i="34"/>
  <c r="S498" i="34"/>
  <c r="S524" i="34"/>
  <c r="R516" i="34"/>
  <c r="T520" i="34"/>
  <c r="R525" i="34"/>
  <c r="T501" i="34"/>
  <c r="S505" i="34"/>
  <c r="R509" i="34"/>
  <c r="T526" i="34"/>
  <c r="S484" i="34"/>
  <c r="S521" i="34"/>
  <c r="R513" i="34"/>
  <c r="S527" i="34"/>
  <c r="R490" i="34"/>
  <c r="S506" i="34"/>
  <c r="R506" i="34"/>
  <c r="T530" i="34"/>
  <c r="T485" i="34"/>
  <c r="T522" i="34"/>
  <c r="S518" i="34"/>
  <c r="R518" i="34"/>
  <c r="R491" i="34"/>
  <c r="S503" i="34"/>
  <c r="R507" i="34"/>
  <c r="T511" i="34"/>
  <c r="R523" i="34"/>
  <c r="T515" i="34"/>
  <c r="T529" i="34"/>
  <c r="R529" i="34"/>
  <c r="T493" i="34"/>
  <c r="T500" i="34"/>
  <c r="S508" i="34"/>
  <c r="R512" i="34"/>
  <c r="T498" i="34"/>
  <c r="S516" i="34"/>
  <c r="R520" i="34"/>
  <c r="S525" i="34"/>
  <c r="R494" i="34"/>
  <c r="T505" i="34"/>
  <c r="S509" i="34"/>
  <c r="T521" i="34"/>
  <c r="S513" i="34"/>
  <c r="R517" i="34"/>
  <c r="S490" i="34"/>
  <c r="T532" i="34"/>
  <c r="R496" i="34"/>
  <c r="T502" i="34"/>
  <c r="S510" i="34"/>
  <c r="R510" i="34"/>
  <c r="R485" i="34"/>
  <c r="T514" i="34"/>
  <c r="T528" i="34"/>
  <c r="T491" i="34"/>
  <c r="S492" i="34"/>
  <c r="R492" i="34"/>
  <c r="R499" i="34"/>
  <c r="S507" i="34"/>
  <c r="R511" i="34"/>
  <c r="T531" i="34"/>
  <c r="S523" i="34"/>
  <c r="R515" i="34"/>
  <c r="T519" i="34"/>
  <c r="S515" i="34"/>
  <c r="R495" i="34"/>
  <c r="R500" i="34"/>
  <c r="T504" i="34"/>
  <c r="S512" i="34"/>
  <c r="T524" i="34"/>
  <c r="S520" i="34"/>
  <c r="T525" i="34"/>
  <c r="S494" i="34"/>
  <c r="R501" i="34"/>
  <c r="T509" i="34"/>
  <c r="S526" i="34"/>
  <c r="R526" i="34"/>
  <c r="R484" i="34"/>
  <c r="T513" i="34"/>
  <c r="S517" i="34"/>
  <c r="T527" i="34"/>
  <c r="T490" i="34"/>
  <c r="R532" i="34"/>
  <c r="S496" i="34"/>
  <c r="T496" i="34"/>
  <c r="T506" i="34"/>
  <c r="S530" i="34"/>
  <c r="R530" i="34"/>
  <c r="S522" i="34"/>
  <c r="R522" i="34"/>
  <c r="T518" i="34"/>
  <c r="R528" i="34"/>
  <c r="S491" i="34"/>
  <c r="T492" i="34"/>
  <c r="S499" i="34"/>
  <c r="T503" i="34"/>
  <c r="S511" i="34"/>
  <c r="R531" i="34"/>
  <c r="R519" i="34"/>
  <c r="S495" i="34"/>
  <c r="S500" i="34"/>
  <c r="R504" i="34"/>
  <c r="T508" i="34"/>
  <c r="R498" i="34"/>
  <c r="R524" i="34"/>
  <c r="T516" i="34"/>
  <c r="T494" i="34"/>
  <c r="S501" i="34"/>
  <c r="R505" i="34"/>
  <c r="T484" i="34"/>
  <c r="R521" i="34"/>
  <c r="T517" i="34"/>
  <c r="R527" i="34"/>
  <c r="S532" i="34"/>
  <c r="S502" i="34"/>
  <c r="R502" i="34"/>
  <c r="T510" i="34"/>
  <c r="S485" i="34"/>
  <c r="S514" i="34"/>
  <c r="R514" i="34"/>
  <c r="S528" i="34"/>
  <c r="T499" i="34"/>
  <c r="R503" i="34"/>
  <c r="T507" i="34"/>
  <c r="S531" i="34"/>
  <c r="R497" i="34"/>
  <c r="T497" i="34"/>
  <c r="T523" i="34"/>
  <c r="S519" i="34"/>
  <c r="S529" i="34"/>
  <c r="S497" i="34"/>
  <c r="R541" i="34"/>
  <c r="T599" i="34"/>
  <c r="T551" i="34"/>
  <c r="S538" i="34"/>
  <c r="R538" i="34"/>
  <c r="T592" i="34"/>
  <c r="S607" i="34"/>
  <c r="R607" i="34"/>
  <c r="S544" i="34"/>
  <c r="R548" i="34"/>
  <c r="R555" i="34"/>
  <c r="S539" i="34"/>
  <c r="T605" i="34"/>
  <c r="S593" i="34"/>
  <c r="R597" i="34"/>
  <c r="T578" i="34"/>
  <c r="R578" i="34"/>
  <c r="S586" i="34"/>
  <c r="R556" i="34"/>
  <c r="T562" i="34"/>
  <c r="R562" i="34"/>
  <c r="S572" i="34"/>
  <c r="R533" i="34"/>
  <c r="T594" i="34"/>
  <c r="T579" i="34"/>
  <c r="R579" i="34"/>
  <c r="S563" i="34"/>
  <c r="S553" i="34"/>
  <c r="R545" i="34"/>
  <c r="S536" i="34"/>
  <c r="T590" i="34"/>
  <c r="T575" i="34"/>
  <c r="R575" i="34"/>
  <c r="S554" i="34"/>
  <c r="R554" i="34"/>
  <c r="T542" i="34"/>
  <c r="S534" i="34"/>
  <c r="R534" i="34"/>
  <c r="T537" i="34"/>
  <c r="T601" i="34"/>
  <c r="T595" i="34"/>
  <c r="T580" i="34"/>
  <c r="R580" i="34"/>
  <c r="S588" i="34"/>
  <c r="T565" i="34"/>
  <c r="R565" i="34"/>
  <c r="S574" i="34"/>
  <c r="T549" i="34"/>
  <c r="R559" i="34"/>
  <c r="R606" i="34"/>
  <c r="R540" i="34"/>
  <c r="R608" i="34"/>
  <c r="T604" i="34"/>
  <c r="S596" i="34"/>
  <c r="T577" i="34"/>
  <c r="R577" i="34"/>
  <c r="S585" i="34"/>
  <c r="R589" i="34"/>
  <c r="S561" i="34"/>
  <c r="T561" i="34"/>
  <c r="R571" i="34"/>
  <c r="S541" i="34"/>
  <c r="R551" i="34"/>
  <c r="T547" i="34"/>
  <c r="S564" i="34"/>
  <c r="R592" i="34"/>
  <c r="T552" i="34"/>
  <c r="S548" i="34"/>
  <c r="S555" i="34"/>
  <c r="T566" i="34"/>
  <c r="R566" i="34"/>
  <c r="T535" i="34"/>
  <c r="R605" i="34"/>
  <c r="S603" i="34"/>
  <c r="R603" i="34"/>
  <c r="S597" i="34"/>
  <c r="T582" i="34"/>
  <c r="R582" i="34"/>
  <c r="S556" i="34"/>
  <c r="T568" i="34"/>
  <c r="R568" i="34"/>
  <c r="S533" i="34"/>
  <c r="R598" i="34"/>
  <c r="T587" i="34"/>
  <c r="R587" i="34"/>
  <c r="S569" i="34"/>
  <c r="T553" i="34"/>
  <c r="S545" i="34"/>
  <c r="T583" i="34"/>
  <c r="R583" i="34"/>
  <c r="R557" i="34"/>
  <c r="S573" i="34"/>
  <c r="S550" i="34"/>
  <c r="R550" i="34"/>
  <c r="T546" i="34"/>
  <c r="T560" i="34"/>
  <c r="T600" i="34"/>
  <c r="R601" i="34"/>
  <c r="S591" i="34"/>
  <c r="R591" i="34"/>
  <c r="S576" i="34"/>
  <c r="T584" i="34"/>
  <c r="R584" i="34"/>
  <c r="T558" i="34"/>
  <c r="T570" i="34"/>
  <c r="R570" i="34"/>
  <c r="S559" i="34"/>
  <c r="S606" i="34"/>
  <c r="T543" i="34"/>
  <c r="S540" i="34"/>
  <c r="S608" i="34"/>
  <c r="R604" i="34"/>
  <c r="R602" i="34"/>
  <c r="T581" i="34"/>
  <c r="R581" i="34"/>
  <c r="S589" i="34"/>
  <c r="R567" i="34"/>
  <c r="T541" i="34"/>
  <c r="S599" i="34"/>
  <c r="R599" i="34"/>
  <c r="S551" i="34"/>
  <c r="R547" i="34"/>
  <c r="T538" i="34"/>
  <c r="S592" i="34"/>
  <c r="T607" i="34"/>
  <c r="R552" i="34"/>
  <c r="T544" i="34"/>
  <c r="R535" i="34"/>
  <c r="T539" i="34"/>
  <c r="S605" i="34"/>
  <c r="T593" i="34"/>
  <c r="S578" i="34"/>
  <c r="T586" i="34"/>
  <c r="R586" i="34"/>
  <c r="S562" i="34"/>
  <c r="T572" i="34"/>
  <c r="R572" i="34"/>
  <c r="T533" i="34"/>
  <c r="S598" i="34"/>
  <c r="R594" i="34"/>
  <c r="S579" i="34"/>
  <c r="T563" i="34"/>
  <c r="R563" i="34"/>
  <c r="T545" i="34"/>
  <c r="T536" i="34"/>
  <c r="R590" i="34"/>
  <c r="S575" i="34"/>
  <c r="S557" i="34"/>
  <c r="T554" i="34"/>
  <c r="S542" i="34"/>
  <c r="R542" i="34"/>
  <c r="T534" i="34"/>
  <c r="R560" i="34"/>
  <c r="R600" i="34"/>
  <c r="R537" i="34"/>
  <c r="S601" i="34"/>
  <c r="S595" i="34"/>
  <c r="R595" i="34"/>
  <c r="S580" i="34"/>
  <c r="T588" i="34"/>
  <c r="R588" i="34"/>
  <c r="S565" i="34"/>
  <c r="T574" i="34"/>
  <c r="R574" i="34"/>
  <c r="R549" i="34"/>
  <c r="T606" i="34"/>
  <c r="R543" i="34"/>
  <c r="S604" i="34"/>
  <c r="S602" i="34"/>
  <c r="T596" i="34"/>
  <c r="S577" i="34"/>
  <c r="T585" i="34"/>
  <c r="R585" i="34"/>
  <c r="T571" i="34"/>
  <c r="S547" i="34"/>
  <c r="T564" i="34"/>
  <c r="R564" i="34"/>
  <c r="S552" i="34"/>
  <c r="R544" i="34"/>
  <c r="T548" i="34"/>
  <c r="T555" i="34"/>
  <c r="S566" i="34"/>
  <c r="S535" i="34"/>
  <c r="R539" i="34"/>
  <c r="T603" i="34"/>
  <c r="R593" i="34"/>
  <c r="T597" i="34"/>
  <c r="S582" i="34"/>
  <c r="T556" i="34"/>
  <c r="S568" i="34"/>
  <c r="T598" i="34"/>
  <c r="S594" i="34"/>
  <c r="S587" i="34"/>
  <c r="T569" i="34"/>
  <c r="R569" i="34"/>
  <c r="R553" i="34"/>
  <c r="R536" i="34"/>
  <c r="S590" i="34"/>
  <c r="S583" i="34"/>
  <c r="T557" i="34"/>
  <c r="T573" i="34"/>
  <c r="R573" i="34"/>
  <c r="T550" i="34"/>
  <c r="S546" i="34"/>
  <c r="R546" i="34"/>
  <c r="S560" i="34"/>
  <c r="S600" i="34"/>
  <c r="S537" i="34"/>
  <c r="T591" i="34"/>
  <c r="T576" i="34"/>
  <c r="R576" i="34"/>
  <c r="S584" i="34"/>
  <c r="S558" i="34"/>
  <c r="R558" i="34"/>
  <c r="S570" i="34"/>
  <c r="S549" i="34"/>
  <c r="T559" i="34"/>
  <c r="S543" i="34"/>
  <c r="T540" i="34"/>
  <c r="T608" i="34"/>
  <c r="T602" i="34"/>
  <c r="R596" i="34"/>
  <c r="S581" i="34"/>
  <c r="T589" i="34"/>
  <c r="R561" i="34"/>
  <c r="S567" i="34"/>
  <c r="S571" i="34"/>
  <c r="T567" i="34"/>
  <c r="Y776" i="34"/>
  <c r="Y775" i="34"/>
  <c r="Y774" i="34"/>
  <c r="Y773" i="34"/>
  <c r="Y772" i="34"/>
  <c r="Y771" i="34"/>
  <c r="Y770" i="34"/>
  <c r="Y769" i="34"/>
  <c r="Y768" i="34"/>
  <c r="Y767" i="34"/>
  <c r="Y786" i="34"/>
  <c r="Y785" i="34"/>
  <c r="Y784" i="34"/>
  <c r="Y783" i="34"/>
  <c r="Y782" i="34"/>
  <c r="Y781" i="34"/>
  <c r="Y780" i="34"/>
  <c r="Y779" i="34"/>
  <c r="Y778" i="34"/>
  <c r="Y777" i="34"/>
  <c r="Y766" i="34"/>
  <c r="Y762" i="34"/>
  <c r="Y758" i="34"/>
  <c r="Y796" i="34"/>
  <c r="Y795" i="34"/>
  <c r="Y788" i="34"/>
  <c r="Y787" i="34"/>
  <c r="Y765" i="34"/>
  <c r="Y761" i="34"/>
  <c r="Y764" i="34"/>
  <c r="Y760" i="34"/>
  <c r="Y763" i="34"/>
  <c r="Y759" i="34"/>
  <c r="Y754" i="34"/>
  <c r="Y753" i="34"/>
  <c r="Y752" i="34"/>
  <c r="Y751" i="34"/>
  <c r="Y750" i="34"/>
  <c r="Y749" i="34"/>
  <c r="Y748" i="34"/>
  <c r="Y747" i="34"/>
  <c r="Y746" i="34"/>
  <c r="Y745" i="34"/>
  <c r="Y744" i="34"/>
  <c r="Y735" i="34"/>
  <c r="Y757" i="34"/>
  <c r="Y756" i="34"/>
  <c r="Y755" i="34"/>
  <c r="Y734" i="34"/>
  <c r="Y733" i="34"/>
  <c r="Y715" i="34"/>
  <c r="Y714" i="34"/>
  <c r="Y713" i="34"/>
  <c r="Y719" i="34"/>
  <c r="Y718" i="34"/>
  <c r="Y717" i="34"/>
  <c r="Y716" i="34"/>
  <c r="Y712" i="34"/>
  <c r="Y711" i="34"/>
  <c r="Y710" i="34"/>
  <c r="Y709" i="34"/>
  <c r="Y708" i="34"/>
  <c r="Y731" i="34"/>
  <c r="Y730" i="34"/>
  <c r="Y729" i="34"/>
  <c r="Y728" i="34"/>
  <c r="Y727" i="34"/>
  <c r="Y726" i="34"/>
  <c r="Y725" i="34"/>
  <c r="Y724" i="34"/>
  <c r="Y723" i="34"/>
  <c r="Y722" i="34"/>
  <c r="Y721" i="34"/>
  <c r="Y720" i="34"/>
  <c r="Y707" i="34"/>
  <c r="Y699" i="34"/>
  <c r="Y742" i="34"/>
  <c r="Y741" i="34"/>
  <c r="Y740" i="34"/>
  <c r="Y739" i="34"/>
  <c r="Y738" i="34"/>
  <c r="Y737" i="34"/>
  <c r="Y736" i="34"/>
  <c r="Y732" i="34"/>
  <c r="Y706" i="34"/>
  <c r="Y702" i="34"/>
  <c r="Y698" i="34"/>
  <c r="Y705" i="34"/>
  <c r="Y701" i="34"/>
  <c r="Y697" i="34"/>
  <c r="Y703" i="34"/>
  <c r="Y704" i="34"/>
  <c r="Y700" i="34"/>
  <c r="Y696" i="34"/>
  <c r="C59" i="15"/>
  <c r="Y691" i="34"/>
  <c r="Y690" i="34"/>
  <c r="Y689" i="34"/>
  <c r="Y688" i="34"/>
  <c r="Y687" i="34"/>
  <c r="Y686" i="34"/>
  <c r="Y685" i="34"/>
  <c r="Y684" i="34"/>
  <c r="Y798" i="34"/>
  <c r="Y797" i="34"/>
  <c r="Y743" i="34"/>
  <c r="Y695" i="34"/>
  <c r="Y694" i="34"/>
  <c r="Y693" i="34"/>
  <c r="Y692" i="34"/>
  <c r="Y414" i="34"/>
  <c r="Y411" i="34"/>
  <c r="Y403" i="34"/>
  <c r="Y413" i="34"/>
  <c r="Y410" i="34"/>
  <c r="Y406" i="34"/>
  <c r="Y405" i="34"/>
  <c r="Y402" i="34"/>
  <c r="Y412" i="34"/>
  <c r="Y404" i="34"/>
  <c r="Y409" i="34"/>
  <c r="Y408" i="34"/>
  <c r="Y407" i="34"/>
  <c r="Y401" i="34"/>
  <c r="Y390" i="34"/>
  <c r="Y415" i="34"/>
  <c r="Y400" i="34"/>
  <c r="Y396" i="34"/>
  <c r="Y399" i="34"/>
  <c r="Y398" i="34"/>
  <c r="Y395" i="34"/>
  <c r="Y397" i="34"/>
  <c r="Y394" i="34"/>
  <c r="Y391" i="34"/>
  <c r="Y393" i="34"/>
  <c r="Y392" i="34"/>
  <c r="Y416" i="34"/>
  <c r="Y385" i="34"/>
  <c r="Y384" i="34"/>
  <c r="Y383" i="34"/>
  <c r="Y382" i="34"/>
  <c r="Y381" i="34"/>
  <c r="Y380" i="34"/>
  <c r="Y379" i="34"/>
  <c r="Y378" i="34"/>
  <c r="Y389" i="34"/>
  <c r="Y388" i="34"/>
  <c r="Y387" i="34"/>
  <c r="Y386" i="34"/>
  <c r="Y418" i="34"/>
  <c r="Y417" i="34"/>
  <c r="Y943" i="34"/>
  <c r="Y942" i="34"/>
  <c r="Y939" i="34"/>
  <c r="Y938" i="34"/>
  <c r="Y933" i="34"/>
  <c r="Y932" i="34"/>
  <c r="Y931" i="34"/>
  <c r="Y930" i="34"/>
  <c r="Y925" i="34"/>
  <c r="Y924" i="34"/>
  <c r="Y923" i="34"/>
  <c r="Y922" i="34"/>
  <c r="Y921" i="34"/>
  <c r="Y920" i="34"/>
  <c r="Y919" i="34"/>
  <c r="Y918" i="34"/>
  <c r="Y917" i="34"/>
  <c r="Y916" i="34"/>
  <c r="Y3840" i="34"/>
  <c r="Y3838" i="34"/>
  <c r="Y3836" i="34"/>
  <c r="Y3834" i="34"/>
  <c r="Y3832" i="34"/>
  <c r="Y3830" i="34"/>
  <c r="Y3828" i="34"/>
  <c r="Y3826" i="34"/>
  <c r="Y3824" i="34"/>
  <c r="Y3823" i="34"/>
  <c r="Y3841" i="34"/>
  <c r="Y3839" i="34"/>
  <c r="Y3837" i="34"/>
  <c r="Y3835" i="34"/>
  <c r="Y3833" i="34"/>
  <c r="Y3831" i="34"/>
  <c r="Y3829" i="34"/>
  <c r="Y3827" i="34"/>
  <c r="Y3825" i="34"/>
  <c r="Y3860" i="34"/>
  <c r="Y3858" i="34"/>
  <c r="Y3856" i="34"/>
  <c r="Y3854" i="34"/>
  <c r="Y3852" i="34"/>
  <c r="Y3850" i="34"/>
  <c r="Y3848" i="34"/>
  <c r="Y3846" i="34"/>
  <c r="Y3844" i="34"/>
  <c r="Y3842" i="34"/>
  <c r="Y3853" i="34"/>
  <c r="Y3849" i="34"/>
  <c r="Y3845" i="34"/>
  <c r="Y3861" i="34"/>
  <c r="Y3859" i="34"/>
  <c r="Y3857" i="34"/>
  <c r="Y3855" i="34"/>
  <c r="Y3851" i="34"/>
  <c r="Y3847" i="34"/>
  <c r="Y3843" i="34"/>
  <c r="Y3880" i="34"/>
  <c r="Y3878" i="34"/>
  <c r="Y3876" i="34"/>
  <c r="Y3874" i="34"/>
  <c r="Y3872" i="34"/>
  <c r="Y3866" i="34"/>
  <c r="Y3877" i="34"/>
  <c r="Y3873" i="34"/>
  <c r="Y3869" i="34"/>
  <c r="Y3865" i="34"/>
  <c r="Y3864" i="34"/>
  <c r="Y3881" i="34"/>
  <c r="Y3879" i="34"/>
  <c r="Y3875" i="34"/>
  <c r="Y3871" i="34"/>
  <c r="Y3867" i="34"/>
  <c r="Y3863" i="34"/>
  <c r="Y3862" i="34"/>
  <c r="Y3870" i="34"/>
  <c r="Y3868" i="34"/>
  <c r="Y3886" i="34"/>
  <c r="Y3884" i="34"/>
  <c r="Y3882" i="34"/>
  <c r="Y3885" i="34"/>
  <c r="Y3887" i="34"/>
  <c r="Y3883" i="34"/>
  <c r="Y3889" i="34"/>
  <c r="Y3892" i="34"/>
  <c r="Y3890" i="34"/>
  <c r="Y3888" i="34"/>
  <c r="Y3894" i="34"/>
  <c r="Y3893" i="34"/>
  <c r="Y3891" i="34"/>
  <c r="Y3904" i="34"/>
  <c r="Y3903" i="34"/>
  <c r="Y3902" i="34"/>
  <c r="Y3901" i="34"/>
  <c r="Y3899" i="34"/>
  <c r="Y3897" i="34"/>
  <c r="Y3895" i="34"/>
  <c r="Y3900" i="34"/>
  <c r="Y3898" i="34"/>
  <c r="Y3896" i="34"/>
  <c r="Y3822" i="34"/>
  <c r="Y3816" i="34"/>
  <c r="Y3814" i="34"/>
  <c r="Y3812" i="34"/>
  <c r="Y3817" i="34"/>
  <c r="Y3815" i="34"/>
  <c r="Y3813" i="34"/>
  <c r="Y3811" i="34"/>
  <c r="Y3820" i="34"/>
  <c r="Y3818" i="34"/>
  <c r="Y3809" i="34"/>
  <c r="Y3804" i="34"/>
  <c r="Y3808" i="34"/>
  <c r="Y3806" i="34"/>
  <c r="Y3803" i="34"/>
  <c r="Y3800" i="34"/>
  <c r="Y3798" i="34"/>
  <c r="Y3796" i="34"/>
  <c r="Y3821" i="34"/>
  <c r="Y3819" i="34"/>
  <c r="Y3802" i="34"/>
  <c r="Y3810" i="34"/>
  <c r="Y3807" i="34"/>
  <c r="Y3805" i="34"/>
  <c r="Y3801" i="34"/>
  <c r="Y3799" i="34"/>
  <c r="Y3797" i="34"/>
  <c r="Y3794" i="34"/>
  <c r="Y3795" i="34"/>
  <c r="Y3790" i="34"/>
  <c r="Y3785" i="34"/>
  <c r="Y3793" i="34"/>
  <c r="Y3789" i="34"/>
  <c r="Y3781" i="34"/>
  <c r="Y3776" i="34"/>
  <c r="Y3771" i="34"/>
  <c r="Y3788" i="34"/>
  <c r="Y3786" i="34"/>
  <c r="Y3784" i="34"/>
  <c r="Y3780" i="34"/>
  <c r="Y3770" i="34"/>
  <c r="Y3791" i="34"/>
  <c r="Y3783" i="34"/>
  <c r="Y3769" i="34"/>
  <c r="Y3787" i="34"/>
  <c r="Y3782" i="34"/>
  <c r="Y3779" i="34"/>
  <c r="Y3768" i="34"/>
  <c r="Y3778" i="34"/>
  <c r="Y3777" i="34"/>
  <c r="Y3773" i="34"/>
  <c r="Y3774" i="34"/>
  <c r="Y3775" i="34"/>
  <c r="Y3772" i="34"/>
  <c r="Y3759" i="34"/>
  <c r="Y3767" i="34"/>
  <c r="Y3762" i="34"/>
  <c r="Y3757" i="34"/>
  <c r="Y3764" i="34"/>
  <c r="Y3760" i="34"/>
  <c r="Y3758" i="34"/>
  <c r="Y3756" i="34"/>
  <c r="Y3765" i="34"/>
  <c r="Y3763" i="34"/>
  <c r="Y3761" i="34"/>
  <c r="Y3792" i="34"/>
  <c r="Y3766" i="34"/>
  <c r="Y3755" i="34"/>
  <c r="Y3754" i="34"/>
  <c r="Y4193" i="34"/>
  <c r="Y4191" i="34"/>
  <c r="Y4189" i="34"/>
  <c r="Y4187" i="34"/>
  <c r="Y4194" i="34"/>
  <c r="Y4192" i="34"/>
  <c r="Y4190" i="34"/>
  <c r="Y4188" i="34"/>
  <c r="Y4186" i="34"/>
  <c r="Y4209" i="34"/>
  <c r="Y4207" i="34"/>
  <c r="Y4205" i="34"/>
  <c r="Y4201" i="34"/>
  <c r="Y4197" i="34"/>
  <c r="Y4210" i="34"/>
  <c r="Y4208" i="34"/>
  <c r="Y4206" i="34"/>
  <c r="Y4204" i="34"/>
  <c r="Y4202" i="34"/>
  <c r="Y4200" i="34"/>
  <c r="Y4198" i="34"/>
  <c r="Y4196" i="34"/>
  <c r="Y4203" i="34"/>
  <c r="Y4199" i="34"/>
  <c r="Y4195" i="34"/>
  <c r="Y4223" i="34"/>
  <c r="Y4219" i="34"/>
  <c r="Y4215" i="34"/>
  <c r="Y4211" i="34"/>
  <c r="Y4216" i="34"/>
  <c r="Y4212" i="34"/>
  <c r="Y4226" i="34"/>
  <c r="Y4224" i="34"/>
  <c r="Y4222" i="34"/>
  <c r="Y4220" i="34"/>
  <c r="Y4218" i="34"/>
  <c r="Y4214" i="34"/>
  <c r="Y4225" i="34"/>
  <c r="Y4221" i="34"/>
  <c r="Y4217" i="34"/>
  <c r="Y4213" i="34"/>
  <c r="Y4231" i="34"/>
  <c r="Y4232" i="34"/>
  <c r="Y4228" i="34"/>
  <c r="Y4234" i="34"/>
  <c r="Y4230" i="34"/>
  <c r="Y4227" i="34"/>
  <c r="Y4233" i="34"/>
  <c r="Y4229" i="34"/>
  <c r="Y4131" i="34"/>
  <c r="Y4129" i="34"/>
  <c r="Y4128" i="34"/>
  <c r="Y4127" i="34"/>
  <c r="Y4132" i="34"/>
  <c r="Y4130" i="34"/>
  <c r="Y4137" i="34"/>
  <c r="Y4140" i="34"/>
  <c r="Y4136" i="34"/>
  <c r="Y4134" i="34"/>
  <c r="Y4133" i="34"/>
  <c r="Y4138" i="34"/>
  <c r="Y4139" i="34"/>
  <c r="Y4135" i="34"/>
  <c r="Y4013" i="34"/>
  <c r="Y4011" i="34"/>
  <c r="Y4009" i="34"/>
  <c r="Y4007" i="34"/>
  <c r="Y4005" i="34"/>
  <c r="Y4014" i="34"/>
  <c r="Y4012" i="34"/>
  <c r="Y4010" i="34"/>
  <c r="Y4008" i="34"/>
  <c r="Y4006" i="34"/>
  <c r="Y4033" i="34"/>
  <c r="Y4031" i="34"/>
  <c r="Y4029" i="34"/>
  <c r="Y4027" i="34"/>
  <c r="Y4025" i="34"/>
  <c r="Y4023" i="34"/>
  <c r="Y4021" i="34"/>
  <c r="Y4019" i="34"/>
  <c r="Y4017" i="34"/>
  <c r="Y4015" i="34"/>
  <c r="Y4034" i="34"/>
  <c r="Y4032" i="34"/>
  <c r="Y4030" i="34"/>
  <c r="Y4028" i="34"/>
  <c r="Y4026" i="34"/>
  <c r="Y4024" i="34"/>
  <c r="Y4022" i="34"/>
  <c r="Y4020" i="34"/>
  <c r="Y4018" i="34"/>
  <c r="Y4016" i="34"/>
  <c r="Y4053" i="34"/>
  <c r="Y4051" i="34"/>
  <c r="Y4049" i="34"/>
  <c r="Y4047" i="34"/>
  <c r="Y4045" i="34"/>
  <c r="Y4043" i="34"/>
  <c r="Y4041" i="34"/>
  <c r="Y4039" i="34"/>
  <c r="Y4037" i="34"/>
  <c r="Y4035" i="34"/>
  <c r="Y4054" i="34"/>
  <c r="Y4052" i="34"/>
  <c r="Y4050" i="34"/>
  <c r="Y4048" i="34"/>
  <c r="Y4046" i="34"/>
  <c r="Y4044" i="34"/>
  <c r="Y4042" i="34"/>
  <c r="Y4040" i="34"/>
  <c r="Y4038" i="34"/>
  <c r="Y4036" i="34"/>
  <c r="Y4073" i="34"/>
  <c r="Y4071" i="34"/>
  <c r="Y4069" i="34"/>
  <c r="Y4067" i="34"/>
  <c r="Y4065" i="34"/>
  <c r="Y4063" i="34"/>
  <c r="Y4061" i="34"/>
  <c r="Y4059" i="34"/>
  <c r="Y4057" i="34"/>
  <c r="Y4055" i="34"/>
  <c r="Y4062" i="34"/>
  <c r="Y4058" i="34"/>
  <c r="Y4074" i="34"/>
  <c r="Y4072" i="34"/>
  <c r="Y4070" i="34"/>
  <c r="Y4068" i="34"/>
  <c r="Y4066" i="34"/>
  <c r="Y4064" i="34"/>
  <c r="Y4060" i="34"/>
  <c r="Y4056" i="34"/>
  <c r="Y4093" i="34"/>
  <c r="Y4091" i="34"/>
  <c r="Y4089" i="34"/>
  <c r="Y4087" i="34"/>
  <c r="Y4083" i="34"/>
  <c r="Y4079" i="34"/>
  <c r="Y4086" i="34"/>
  <c r="Y4082" i="34"/>
  <c r="Y4078" i="34"/>
  <c r="Y4094" i="34"/>
  <c r="Y4092" i="34"/>
  <c r="Y4090" i="34"/>
  <c r="Y4088" i="34"/>
  <c r="Y4084" i="34"/>
  <c r="Y4080" i="34"/>
  <c r="Y4076" i="34"/>
  <c r="Y4075" i="34"/>
  <c r="Y4085" i="34"/>
  <c r="Y4081" i="34"/>
  <c r="Y4077" i="34"/>
  <c r="Y4111" i="34"/>
  <c r="Y4109" i="34"/>
  <c r="Y4110" i="34"/>
  <c r="Y4113" i="34"/>
  <c r="Y4112" i="34"/>
  <c r="Y4237" i="34"/>
  <c r="Y4235" i="34"/>
  <c r="Y4243" i="34"/>
  <c r="Y4238" i="34"/>
  <c r="Y4236" i="34"/>
  <c r="Y4185" i="34"/>
  <c r="Y4183" i="34"/>
  <c r="Y4181" i="34"/>
  <c r="Y4179" i="34"/>
  <c r="Y4184" i="34"/>
  <c r="Y4182" i="34"/>
  <c r="Y4180" i="34"/>
  <c r="Y4239" i="34"/>
  <c r="Y4240" i="34"/>
  <c r="Y4166" i="34"/>
  <c r="Y4178" i="34"/>
  <c r="Y4171" i="34"/>
  <c r="Y4162" i="34"/>
  <c r="Y4169" i="34"/>
  <c r="Y4167" i="34"/>
  <c r="Y4165" i="34"/>
  <c r="Y4163" i="34"/>
  <c r="Y4161" i="34"/>
  <c r="Y4159" i="34"/>
  <c r="Y4170" i="34"/>
  <c r="Y4168" i="34"/>
  <c r="Y4164" i="34"/>
  <c r="Y4160" i="34"/>
  <c r="Y4174" i="34"/>
  <c r="Y4173" i="34"/>
  <c r="Y4158" i="34"/>
  <c r="Y4175" i="34"/>
  <c r="Y4172" i="34"/>
  <c r="Y4154" i="34"/>
  <c r="Y4151" i="34"/>
  <c r="Y4145" i="34"/>
  <c r="Y4141" i="34"/>
  <c r="Y4148" i="34"/>
  <c r="Y4144" i="34"/>
  <c r="Y4152" i="34"/>
  <c r="Y4150" i="34"/>
  <c r="Y4146" i="34"/>
  <c r="Y4142" i="34"/>
  <c r="Y4149" i="34"/>
  <c r="Y4147" i="34"/>
  <c r="Y4143" i="34"/>
  <c r="Y4155" i="34"/>
  <c r="Y4156" i="34"/>
  <c r="Y4157" i="34"/>
  <c r="Y4153" i="34"/>
  <c r="Y4126" i="34"/>
  <c r="Y4125" i="34"/>
  <c r="Y4177" i="34"/>
  <c r="Y4242" i="34"/>
  <c r="Y4176" i="34"/>
  <c r="Y4241" i="34"/>
  <c r="Y4124" i="34"/>
  <c r="Y4120" i="34"/>
  <c r="Y4116" i="34"/>
  <c r="Y4123" i="34"/>
  <c r="Y4119" i="34"/>
  <c r="Y4115" i="34"/>
  <c r="Y4122" i="34"/>
  <c r="Y4118" i="34"/>
  <c r="Y4121" i="34"/>
  <c r="Y4117" i="34"/>
  <c r="Y3967" i="34"/>
  <c r="Y3970" i="34"/>
  <c r="Y3968" i="34"/>
  <c r="Y3964" i="34"/>
  <c r="Y3965" i="34"/>
  <c r="Y3966" i="34"/>
  <c r="Y3969" i="34"/>
  <c r="Y3980" i="34"/>
  <c r="Y3979" i="34"/>
  <c r="Y3978" i="34"/>
  <c r="Y3982" i="34"/>
  <c r="Y3983" i="34"/>
  <c r="Y3977" i="34"/>
  <c r="Y3973" i="34"/>
  <c r="Y3986" i="34"/>
  <c r="Y3976" i="34"/>
  <c r="Y3972" i="34"/>
  <c r="Y3985" i="34"/>
  <c r="Y3981" i="34"/>
  <c r="Y3975" i="34"/>
  <c r="Y3971" i="34"/>
  <c r="Y3984" i="34"/>
  <c r="Y3974" i="34"/>
  <c r="Y3995" i="34"/>
  <c r="Y3991" i="34"/>
  <c r="Y3987" i="34"/>
  <c r="Y3998" i="34"/>
  <c r="Y3994" i="34"/>
  <c r="Y3990" i="34"/>
  <c r="Y3997" i="34"/>
  <c r="Y3993" i="34"/>
  <c r="Y3989" i="34"/>
  <c r="Y3996" i="34"/>
  <c r="Y3992" i="34"/>
  <c r="Y3988" i="34"/>
  <c r="Y4002" i="34"/>
  <c r="Y4095" i="34"/>
  <c r="Y4001" i="34"/>
  <c r="Y4004" i="34"/>
  <c r="Y4000" i="34"/>
  <c r="Y4003" i="34"/>
  <c r="Y3999" i="34"/>
  <c r="Y3940" i="34"/>
  <c r="Y3938" i="34"/>
  <c r="Y3942" i="34"/>
  <c r="Y3941" i="34"/>
  <c r="Y3939" i="34"/>
  <c r="Y3931" i="34"/>
  <c r="Y3932" i="34"/>
  <c r="Y3933" i="34"/>
  <c r="Y3934" i="34"/>
  <c r="Y3935" i="34"/>
  <c r="Y3937" i="34"/>
  <c r="Y3936" i="34"/>
  <c r="Y3914" i="34"/>
  <c r="Y3916" i="34"/>
  <c r="Y3915" i="34"/>
  <c r="Y3907" i="34"/>
  <c r="Y3905" i="34"/>
  <c r="Y3908" i="34"/>
  <c r="Y3906" i="34"/>
  <c r="Y3909" i="34"/>
  <c r="Y3913" i="34"/>
  <c r="Y3912" i="34"/>
  <c r="Y3911" i="34"/>
  <c r="Y3910" i="34"/>
  <c r="Q1821" i="34"/>
  <c r="U1821" i="34"/>
  <c r="Z1821" i="34"/>
  <c r="O1821" i="34"/>
  <c r="P1821" i="34"/>
  <c r="A1821" i="34"/>
  <c r="Q1885" i="34"/>
  <c r="U1885" i="34"/>
  <c r="Z1885" i="34"/>
  <c r="O1885" i="34"/>
  <c r="P1885" i="34"/>
  <c r="A1885" i="34"/>
  <c r="Q3198" i="34"/>
  <c r="U3198" i="34"/>
  <c r="Z3198" i="34"/>
  <c r="O3198" i="34"/>
  <c r="P3198" i="34"/>
  <c r="A3198" i="34"/>
  <c r="Q4502" i="34"/>
  <c r="U4502" i="34"/>
  <c r="Z4502" i="34"/>
  <c r="P4502" i="34"/>
  <c r="A4502" i="34"/>
  <c r="O4502" i="34"/>
  <c r="Q4467" i="34"/>
  <c r="U4467" i="34"/>
  <c r="Z4467" i="34"/>
  <c r="O4467" i="34"/>
  <c r="P4467" i="34"/>
  <c r="A4467" i="34"/>
  <c r="Q4505" i="34"/>
  <c r="U4505" i="34"/>
  <c r="Z4505" i="34"/>
  <c r="A4505" i="34"/>
  <c r="O4505" i="34"/>
  <c r="P4505" i="34"/>
  <c r="Q4551" i="34"/>
  <c r="U4551" i="34"/>
  <c r="Z4551" i="34"/>
  <c r="O4551" i="34"/>
  <c r="P4551" i="34"/>
  <c r="A4551" i="34"/>
  <c r="Q1734" i="34"/>
  <c r="U1734" i="34"/>
  <c r="Z1734" i="34"/>
  <c r="O1734" i="34"/>
  <c r="P1734" i="34"/>
  <c r="A1734" i="34"/>
  <c r="P1630" i="34"/>
  <c r="Q1630" i="34"/>
  <c r="U1630" i="34"/>
  <c r="Z1630" i="34"/>
  <c r="O1630" i="34"/>
  <c r="A1630" i="34"/>
  <c r="P1619" i="34"/>
  <c r="Q1619" i="34"/>
  <c r="U1619" i="34"/>
  <c r="Z1619" i="34"/>
  <c r="O1619" i="34"/>
  <c r="A1619" i="34"/>
  <c r="Q1738" i="34"/>
  <c r="U1738" i="34"/>
  <c r="Z1738" i="34"/>
  <c r="O1738" i="34"/>
  <c r="P1738" i="34"/>
  <c r="A1738" i="34"/>
  <c r="Q1776" i="34"/>
  <c r="U1776" i="34"/>
  <c r="Z1776" i="34"/>
  <c r="P1776" i="34"/>
  <c r="O1776" i="34"/>
  <c r="A1776" i="34"/>
  <c r="Q4529" i="34"/>
  <c r="U4529" i="34"/>
  <c r="Z4529" i="34"/>
  <c r="A4529" i="34"/>
  <c r="O4529" i="34"/>
  <c r="P4529" i="34"/>
  <c r="Q4611" i="34"/>
  <c r="U4611" i="34"/>
  <c r="Z4611" i="34"/>
  <c r="O4611" i="34"/>
  <c r="P4611" i="34"/>
  <c r="A4611" i="34"/>
  <c r="Q1666" i="34"/>
  <c r="U1666" i="34"/>
  <c r="Z1666" i="34"/>
  <c r="O1666" i="34"/>
  <c r="P1666" i="34"/>
  <c r="A1666" i="34"/>
  <c r="Q1865" i="34"/>
  <c r="U1865" i="34"/>
  <c r="Z1865" i="34"/>
  <c r="O1865" i="34"/>
  <c r="P1865" i="34"/>
  <c r="A1865" i="34"/>
  <c r="Q4466" i="34"/>
  <c r="U4466" i="34"/>
  <c r="Z4466" i="34"/>
  <c r="P4466" i="34"/>
  <c r="A4466" i="34"/>
  <c r="O4466" i="34"/>
  <c r="P955" i="34"/>
  <c r="Q955" i="34"/>
  <c r="U955" i="34"/>
  <c r="Z955" i="34"/>
  <c r="O955" i="34"/>
  <c r="A955" i="34"/>
  <c r="Q1851" i="34"/>
  <c r="U1851" i="34"/>
  <c r="Z1851" i="34"/>
  <c r="O1851" i="34"/>
  <c r="P1851" i="34"/>
  <c r="A1851" i="34"/>
  <c r="P19" i="34"/>
  <c r="Q19" i="34"/>
  <c r="U19" i="34"/>
  <c r="Z19" i="34"/>
  <c r="O19" i="34"/>
  <c r="A19" i="34"/>
  <c r="A13" i="34"/>
  <c r="P13" i="34"/>
  <c r="Q13" i="34"/>
  <c r="U13" i="34"/>
  <c r="Z13" i="34"/>
  <c r="O13" i="34"/>
  <c r="O2294" i="34"/>
  <c r="P2294" i="34"/>
  <c r="Q2294" i="34"/>
  <c r="U2294" i="34"/>
  <c r="Z2294" i="34"/>
  <c r="A2294" i="34"/>
  <c r="Q1977" i="34"/>
  <c r="U1977" i="34"/>
  <c r="Z1977" i="34"/>
  <c r="O1977" i="34"/>
  <c r="P1977" i="34"/>
  <c r="A1977" i="34"/>
  <c r="Q3204" i="34"/>
  <c r="U3204" i="34"/>
  <c r="Z3204" i="34"/>
  <c r="O3204" i="34"/>
  <c r="P3204" i="34"/>
  <c r="A3204" i="34"/>
  <c r="O3499" i="34"/>
  <c r="P3499" i="34"/>
  <c r="Q3499" i="34"/>
  <c r="U3499" i="34"/>
  <c r="Z3499" i="34"/>
  <c r="A3499" i="34"/>
  <c r="O3510" i="34"/>
  <c r="P3510" i="34"/>
  <c r="Q3510" i="34"/>
  <c r="U3510" i="34"/>
  <c r="Z3510" i="34"/>
  <c r="A3510" i="34"/>
  <c r="Q1695" i="34"/>
  <c r="U1695" i="34"/>
  <c r="Z1695" i="34"/>
  <c r="O1695" i="34"/>
  <c r="P1695" i="34"/>
  <c r="A1695" i="34"/>
  <c r="Q1769" i="34"/>
  <c r="U1769" i="34"/>
  <c r="Z1769" i="34"/>
  <c r="O1769" i="34"/>
  <c r="P1769" i="34"/>
  <c r="A1769" i="34"/>
  <c r="Q1773" i="34"/>
  <c r="U1773" i="34"/>
  <c r="Z1773" i="34"/>
  <c r="O1773" i="34"/>
  <c r="P1773" i="34"/>
  <c r="A1773" i="34"/>
  <c r="Q1834" i="34"/>
  <c r="U1834" i="34"/>
  <c r="Z1834" i="34"/>
  <c r="O1834" i="34"/>
  <c r="P1834" i="34"/>
  <c r="A1834" i="34"/>
  <c r="Q1838" i="34"/>
  <c r="U1838" i="34"/>
  <c r="Z1838" i="34"/>
  <c r="O1838" i="34"/>
  <c r="P1838" i="34"/>
  <c r="A1838" i="34"/>
  <c r="Q1842" i="34"/>
  <c r="U1842" i="34"/>
  <c r="Z1842" i="34"/>
  <c r="O1842" i="34"/>
  <c r="P1842" i="34"/>
  <c r="A1842" i="34"/>
  <c r="Q1871" i="34"/>
  <c r="U1871" i="34"/>
  <c r="Z1871" i="34"/>
  <c r="O1871" i="34"/>
  <c r="P1871" i="34"/>
  <c r="A1871" i="34"/>
  <c r="Q1875" i="34"/>
  <c r="U1875" i="34"/>
  <c r="Z1875" i="34"/>
  <c r="O1875" i="34"/>
  <c r="P1875" i="34"/>
  <c r="A1875" i="34"/>
  <c r="Q1879" i="34"/>
  <c r="U1879" i="34"/>
  <c r="Z1879" i="34"/>
  <c r="O1879" i="34"/>
  <c r="P1879" i="34"/>
  <c r="A1879" i="34"/>
  <c r="Q1883" i="34"/>
  <c r="U1883" i="34"/>
  <c r="Z1883" i="34"/>
  <c r="O1883" i="34"/>
  <c r="P1883" i="34"/>
  <c r="A1883" i="34"/>
  <c r="Q1976" i="34"/>
  <c r="U1976" i="34"/>
  <c r="Z1976" i="34"/>
  <c r="P1976" i="34"/>
  <c r="O1976" i="34"/>
  <c r="A1976" i="34"/>
  <c r="O2061" i="34"/>
  <c r="P2061" i="34"/>
  <c r="Q2061" i="34"/>
  <c r="U2061" i="34"/>
  <c r="Z2061" i="34"/>
  <c r="A2061" i="34"/>
  <c r="O2087" i="34"/>
  <c r="P2087" i="34"/>
  <c r="Q2087" i="34"/>
  <c r="U2087" i="34"/>
  <c r="Z2087" i="34"/>
  <c r="A2087" i="34"/>
  <c r="O2091" i="34"/>
  <c r="P2091" i="34"/>
  <c r="Q2091" i="34"/>
  <c r="U2091" i="34"/>
  <c r="Z2091" i="34"/>
  <c r="A2091" i="34"/>
  <c r="O2131" i="34"/>
  <c r="P2131" i="34"/>
  <c r="Q2131" i="34"/>
  <c r="U2131" i="34"/>
  <c r="Z2131" i="34"/>
  <c r="A2131" i="34"/>
  <c r="O2135" i="34"/>
  <c r="P2135" i="34"/>
  <c r="Q2135" i="34"/>
  <c r="U2135" i="34"/>
  <c r="Z2135" i="34"/>
  <c r="A2135" i="34"/>
  <c r="O2139" i="34"/>
  <c r="P2139" i="34"/>
  <c r="Q2139" i="34"/>
  <c r="U2139" i="34"/>
  <c r="Z2139" i="34"/>
  <c r="A2139" i="34"/>
  <c r="O2143" i="34"/>
  <c r="P2143" i="34"/>
  <c r="Q2143" i="34"/>
  <c r="U2143" i="34"/>
  <c r="Z2143" i="34"/>
  <c r="A2143" i="34"/>
  <c r="O2152" i="34"/>
  <c r="P2152" i="34"/>
  <c r="Q2152" i="34"/>
  <c r="U2152" i="34"/>
  <c r="Z2152" i="34"/>
  <c r="A2152" i="34"/>
  <c r="O2156" i="34"/>
  <c r="P2156" i="34"/>
  <c r="Q2156" i="34"/>
  <c r="U2156" i="34"/>
  <c r="Z2156" i="34"/>
  <c r="A2156" i="34"/>
  <c r="O2160" i="34"/>
  <c r="P2160" i="34"/>
  <c r="Q2160" i="34"/>
  <c r="U2160" i="34"/>
  <c r="Z2160" i="34"/>
  <c r="A2160" i="34"/>
  <c r="O2164" i="34"/>
  <c r="P2164" i="34"/>
  <c r="Q2164" i="34"/>
  <c r="U2164" i="34"/>
  <c r="Z2164" i="34"/>
  <c r="A2164" i="34"/>
  <c r="O2168" i="34"/>
  <c r="P2168" i="34"/>
  <c r="Q2168" i="34"/>
  <c r="U2168" i="34"/>
  <c r="Z2168" i="34"/>
  <c r="A2168" i="34"/>
  <c r="O2172" i="34"/>
  <c r="P2172" i="34"/>
  <c r="Q2172" i="34"/>
  <c r="U2172" i="34"/>
  <c r="Z2172" i="34"/>
  <c r="A2172" i="34"/>
  <c r="O2176" i="34"/>
  <c r="P2176" i="34"/>
  <c r="Q2176" i="34"/>
  <c r="U2176" i="34"/>
  <c r="Z2176" i="34"/>
  <c r="A2176" i="34"/>
  <c r="O2180" i="34"/>
  <c r="P2180" i="34"/>
  <c r="Q2180" i="34"/>
  <c r="U2180" i="34"/>
  <c r="Z2180" i="34"/>
  <c r="A2180" i="34"/>
  <c r="O2212" i="34"/>
  <c r="P2212" i="34"/>
  <c r="Q2212" i="34"/>
  <c r="U2212" i="34"/>
  <c r="Z2212" i="34"/>
  <c r="A2212" i="34"/>
  <c r="O2216" i="34"/>
  <c r="P2216" i="34"/>
  <c r="Q2216" i="34"/>
  <c r="U2216" i="34"/>
  <c r="Z2216" i="34"/>
  <c r="A2216" i="34"/>
  <c r="O2220" i="34"/>
  <c r="P2220" i="34"/>
  <c r="Q2220" i="34"/>
  <c r="U2220" i="34"/>
  <c r="Z2220" i="34"/>
  <c r="A2220" i="34"/>
  <c r="O2224" i="34"/>
  <c r="P2224" i="34"/>
  <c r="Q2224" i="34"/>
  <c r="U2224" i="34"/>
  <c r="Z2224" i="34"/>
  <c r="A2224" i="34"/>
  <c r="O2228" i="34"/>
  <c r="P2228" i="34"/>
  <c r="Q2228" i="34"/>
  <c r="U2228" i="34"/>
  <c r="Z2228" i="34"/>
  <c r="A2228" i="34"/>
  <c r="O2249" i="34"/>
  <c r="P2249" i="34"/>
  <c r="Q2249" i="34"/>
  <c r="U2249" i="34"/>
  <c r="Z2249" i="34"/>
  <c r="A2249" i="34"/>
  <c r="O2253" i="34"/>
  <c r="P2253" i="34"/>
  <c r="Q2253" i="34"/>
  <c r="U2253" i="34"/>
  <c r="Z2253" i="34"/>
  <c r="A2253" i="34"/>
  <c r="O2257" i="34"/>
  <c r="P2257" i="34"/>
  <c r="Q2257" i="34"/>
  <c r="U2257" i="34"/>
  <c r="Z2257" i="34"/>
  <c r="A2257" i="34"/>
  <c r="O2261" i="34"/>
  <c r="P2261" i="34"/>
  <c r="Q2261" i="34"/>
  <c r="U2261" i="34"/>
  <c r="Z2261" i="34"/>
  <c r="A2261" i="34"/>
  <c r="O2265" i="34"/>
  <c r="P2265" i="34"/>
  <c r="Q2265" i="34"/>
  <c r="U2265" i="34"/>
  <c r="Z2265" i="34"/>
  <c r="A2265" i="34"/>
  <c r="O2269" i="34"/>
  <c r="P2269" i="34"/>
  <c r="Q2269" i="34"/>
  <c r="U2269" i="34"/>
  <c r="Z2269" i="34"/>
  <c r="A2269" i="34"/>
  <c r="O2273" i="34"/>
  <c r="P2273" i="34"/>
  <c r="Q2273" i="34"/>
  <c r="U2273" i="34"/>
  <c r="Z2273" i="34"/>
  <c r="A2273" i="34"/>
  <c r="O2277" i="34"/>
  <c r="P2277" i="34"/>
  <c r="Q2277" i="34"/>
  <c r="U2277" i="34"/>
  <c r="Z2277" i="34"/>
  <c r="A2277" i="34"/>
  <c r="O2148" i="34"/>
  <c r="P2148" i="34"/>
  <c r="Q2148" i="34"/>
  <c r="U2148" i="34"/>
  <c r="Z2148" i="34"/>
  <c r="A2148" i="34"/>
  <c r="O2114" i="34"/>
  <c r="P2114" i="34"/>
  <c r="Q2114" i="34"/>
  <c r="U2114" i="34"/>
  <c r="Z2114" i="34"/>
  <c r="A2114" i="34"/>
  <c r="O2129" i="34"/>
  <c r="P2129" i="34"/>
  <c r="Q2129" i="34"/>
  <c r="U2129" i="34"/>
  <c r="Z2129" i="34"/>
  <c r="A2129" i="34"/>
  <c r="Q3442" i="34"/>
  <c r="U3442" i="34"/>
  <c r="Z3442" i="34"/>
  <c r="O3442" i="34"/>
  <c r="P3442" i="34"/>
  <c r="A3442" i="34"/>
  <c r="O2316" i="34"/>
  <c r="Q2316" i="34"/>
  <c r="U2316" i="34"/>
  <c r="Z2316" i="34"/>
  <c r="P2316" i="34"/>
  <c r="A2316" i="34"/>
  <c r="Q1985" i="34"/>
  <c r="U1985" i="34"/>
  <c r="Z1985" i="34"/>
  <c r="O1985" i="34"/>
  <c r="P1985" i="34"/>
  <c r="A1985" i="34"/>
  <c r="O2073" i="34"/>
  <c r="P2073" i="34"/>
  <c r="Q2073" i="34"/>
  <c r="U2073" i="34"/>
  <c r="Z2073" i="34"/>
  <c r="A2073" i="34"/>
  <c r="Q2037" i="34"/>
  <c r="U2037" i="34"/>
  <c r="Z2037" i="34"/>
  <c r="O2037" i="34"/>
  <c r="P2037" i="34"/>
  <c r="A2037" i="34"/>
  <c r="Q2039" i="34"/>
  <c r="U2039" i="34"/>
  <c r="Z2039" i="34"/>
  <c r="P2039" i="34"/>
  <c r="O2039" i="34"/>
  <c r="A2039" i="34"/>
  <c r="O2056" i="34"/>
  <c r="P2056" i="34"/>
  <c r="Q2056" i="34"/>
  <c r="U2056" i="34"/>
  <c r="Z2056" i="34"/>
  <c r="A2056" i="34"/>
  <c r="Q1945" i="34"/>
  <c r="U1945" i="34"/>
  <c r="Z1945" i="34"/>
  <c r="O1945" i="34"/>
  <c r="P1945" i="34"/>
  <c r="A1945" i="34"/>
  <c r="Q1982" i="34"/>
  <c r="U1982" i="34"/>
  <c r="Z1982" i="34"/>
  <c r="O1982" i="34"/>
  <c r="P1982" i="34"/>
  <c r="A1982" i="34"/>
  <c r="Q1999" i="34"/>
  <c r="U1999" i="34"/>
  <c r="Z1999" i="34"/>
  <c r="P1999" i="34"/>
  <c r="O1999" i="34"/>
  <c r="A1999" i="34"/>
  <c r="Q2003" i="34"/>
  <c r="U2003" i="34"/>
  <c r="Z2003" i="34"/>
  <c r="P2003" i="34"/>
  <c r="O2003" i="34"/>
  <c r="A2003" i="34"/>
  <c r="Q2012" i="34"/>
  <c r="U2012" i="34"/>
  <c r="Z2012" i="34"/>
  <c r="O2012" i="34"/>
  <c r="P2012" i="34"/>
  <c r="A2012" i="34"/>
  <c r="Q2017" i="34"/>
  <c r="U2017" i="34"/>
  <c r="Z2017" i="34"/>
  <c r="O2017" i="34"/>
  <c r="P2017" i="34"/>
  <c r="A2017" i="34"/>
  <c r="Q2022" i="34"/>
  <c r="U2022" i="34"/>
  <c r="Z2022" i="34"/>
  <c r="O2022" i="34"/>
  <c r="P2022" i="34"/>
  <c r="A2022" i="34"/>
  <c r="Q2026" i="34"/>
  <c r="U2026" i="34"/>
  <c r="Z2026" i="34"/>
  <c r="O2026" i="34"/>
  <c r="P2026" i="34"/>
  <c r="A2026" i="34"/>
  <c r="O2063" i="34"/>
  <c r="P2063" i="34"/>
  <c r="Q2063" i="34"/>
  <c r="U2063" i="34"/>
  <c r="Z2063" i="34"/>
  <c r="A2063" i="34"/>
  <c r="O2068" i="34"/>
  <c r="P2068" i="34"/>
  <c r="Q2068" i="34"/>
  <c r="U2068" i="34"/>
  <c r="Z2068" i="34"/>
  <c r="A2068" i="34"/>
  <c r="Q2051" i="34"/>
  <c r="U2051" i="34"/>
  <c r="Z2051" i="34"/>
  <c r="P2051" i="34"/>
  <c r="O2051" i="34"/>
  <c r="A2051" i="34"/>
  <c r="O2102" i="34"/>
  <c r="P2102" i="34"/>
  <c r="Q2102" i="34"/>
  <c r="U2102" i="34"/>
  <c r="Z2102" i="34"/>
  <c r="A2102" i="34"/>
  <c r="O2245" i="34"/>
  <c r="P2245" i="34"/>
  <c r="Q2245" i="34"/>
  <c r="U2245" i="34"/>
  <c r="Z2245" i="34"/>
  <c r="A2245" i="34"/>
  <c r="Q1995" i="34"/>
  <c r="U1995" i="34"/>
  <c r="Z1995" i="34"/>
  <c r="O1995" i="34"/>
  <c r="P1995" i="34"/>
  <c r="A1995" i="34"/>
  <c r="O2198" i="34"/>
  <c r="P2198" i="34"/>
  <c r="Q2198" i="34"/>
  <c r="U2198" i="34"/>
  <c r="Z2198" i="34"/>
  <c r="A2198" i="34"/>
  <c r="Q2042" i="34"/>
  <c r="U2042" i="34"/>
  <c r="Z2042" i="34"/>
  <c r="O2042" i="34"/>
  <c r="P2042" i="34"/>
  <c r="A2042" i="34"/>
  <c r="O2242" i="34"/>
  <c r="P2242" i="34"/>
  <c r="Q2242" i="34"/>
  <c r="U2242" i="34"/>
  <c r="Z2242" i="34"/>
  <c r="A2242" i="34"/>
  <c r="O2199" i="34"/>
  <c r="P2199" i="34"/>
  <c r="Q2199" i="34"/>
  <c r="U2199" i="34"/>
  <c r="Z2199" i="34"/>
  <c r="A2199" i="34"/>
  <c r="O2101" i="34"/>
  <c r="P2101" i="34"/>
  <c r="Q2101" i="34"/>
  <c r="U2101" i="34"/>
  <c r="Z2101" i="34"/>
  <c r="A2101" i="34"/>
  <c r="O2239" i="34"/>
  <c r="P2239" i="34"/>
  <c r="Q2239" i="34"/>
  <c r="U2239" i="34"/>
  <c r="Z2239" i="34"/>
  <c r="A2239" i="34"/>
  <c r="O2200" i="34"/>
  <c r="P2200" i="34"/>
  <c r="Q2200" i="34"/>
  <c r="U2200" i="34"/>
  <c r="Z2200" i="34"/>
  <c r="A2200" i="34"/>
  <c r="O2121" i="34"/>
  <c r="P2121" i="34"/>
  <c r="Q2121" i="34"/>
  <c r="U2121" i="34"/>
  <c r="Z2121" i="34"/>
  <c r="A2121" i="34"/>
  <c r="O2100" i="34"/>
  <c r="P2100" i="34"/>
  <c r="Q2100" i="34"/>
  <c r="U2100" i="34"/>
  <c r="Z2100" i="34"/>
  <c r="A2100" i="34"/>
  <c r="O2184" i="34"/>
  <c r="P2184" i="34"/>
  <c r="Q2184" i="34"/>
  <c r="U2184" i="34"/>
  <c r="Z2184" i="34"/>
  <c r="A2184" i="34"/>
  <c r="O2237" i="34"/>
  <c r="P2237" i="34"/>
  <c r="Q2237" i="34"/>
  <c r="U2237" i="34"/>
  <c r="Z2237" i="34"/>
  <c r="A2237" i="34"/>
  <c r="O2207" i="34"/>
  <c r="P2207" i="34"/>
  <c r="Q2207" i="34"/>
  <c r="U2207" i="34"/>
  <c r="Z2207" i="34"/>
  <c r="A2207" i="34"/>
  <c r="Q2048" i="34"/>
  <c r="U2048" i="34"/>
  <c r="Z2048" i="34"/>
  <c r="O2048" i="34"/>
  <c r="P2048" i="34"/>
  <c r="A2048" i="34"/>
  <c r="O2203" i="34"/>
  <c r="P2203" i="34"/>
  <c r="Q2203" i="34"/>
  <c r="U2203" i="34"/>
  <c r="Z2203" i="34"/>
  <c r="A2203" i="34"/>
  <c r="O2096" i="34"/>
  <c r="P2096" i="34"/>
  <c r="Q2096" i="34"/>
  <c r="U2096" i="34"/>
  <c r="Z2096" i="34"/>
  <c r="A2096" i="34"/>
  <c r="O2054" i="34"/>
  <c r="P2054" i="34"/>
  <c r="Q2054" i="34"/>
  <c r="U2054" i="34"/>
  <c r="Z2054" i="34"/>
  <c r="A2054" i="34"/>
  <c r="O2120" i="34"/>
  <c r="P2120" i="34"/>
  <c r="Q2120" i="34"/>
  <c r="U2120" i="34"/>
  <c r="Z2120" i="34"/>
  <c r="A2120" i="34"/>
  <c r="O2235" i="34"/>
  <c r="P2235" i="34"/>
  <c r="Q2235" i="34"/>
  <c r="U2235" i="34"/>
  <c r="Z2235" i="34"/>
  <c r="A2235" i="34"/>
  <c r="O2232" i="34"/>
  <c r="P2232" i="34"/>
  <c r="Q2232" i="34"/>
  <c r="U2232" i="34"/>
  <c r="Z2232" i="34"/>
  <c r="A2232" i="34"/>
  <c r="O2315" i="34"/>
  <c r="P2315" i="34"/>
  <c r="Q2315" i="34"/>
  <c r="U2315" i="34"/>
  <c r="Z2315" i="34"/>
  <c r="A2315" i="34"/>
  <c r="Q2345" i="34"/>
  <c r="U2345" i="34"/>
  <c r="Z2345" i="34"/>
  <c r="O2345" i="34"/>
  <c r="P2345" i="34"/>
  <c r="A2345" i="34"/>
  <c r="Q2875" i="34"/>
  <c r="U2875" i="34"/>
  <c r="Z2875" i="34"/>
  <c r="P2875" i="34"/>
  <c r="O2875" i="34"/>
  <c r="A2875" i="34"/>
  <c r="Q2883" i="34"/>
  <c r="U2883" i="34"/>
  <c r="Z2883" i="34"/>
  <c r="P2883" i="34"/>
  <c r="O2883" i="34"/>
  <c r="A2883" i="34"/>
  <c r="Q2884" i="34"/>
  <c r="U2884" i="34"/>
  <c r="Z2884" i="34"/>
  <c r="O2884" i="34"/>
  <c r="P2884" i="34"/>
  <c r="A2884" i="34"/>
  <c r="Q2894" i="34"/>
  <c r="U2894" i="34"/>
  <c r="Z2894" i="34"/>
  <c r="O2894" i="34"/>
  <c r="P2894" i="34"/>
  <c r="A2894" i="34"/>
  <c r="Q2991" i="34"/>
  <c r="U2991" i="34"/>
  <c r="Z2991" i="34"/>
  <c r="P2991" i="34"/>
  <c r="O2991" i="34"/>
  <c r="A2991" i="34"/>
  <c r="Q2917" i="34"/>
  <c r="U2917" i="34"/>
  <c r="Z2917" i="34"/>
  <c r="O2917" i="34"/>
  <c r="P2917" i="34"/>
  <c r="A2917" i="34"/>
  <c r="Q2939" i="34"/>
  <c r="U2939" i="34"/>
  <c r="Z2939" i="34"/>
  <c r="P2939" i="34"/>
  <c r="O2939" i="34"/>
  <c r="A2939" i="34"/>
  <c r="Q2944" i="34"/>
  <c r="U2944" i="34"/>
  <c r="Z2944" i="34"/>
  <c r="O2944" i="34"/>
  <c r="P2944" i="34"/>
  <c r="A2944" i="34"/>
  <c r="Q2919" i="34"/>
  <c r="U2919" i="34"/>
  <c r="Z2919" i="34"/>
  <c r="P2919" i="34"/>
  <c r="O2919" i="34"/>
  <c r="A2919" i="34"/>
  <c r="Q3212" i="34"/>
  <c r="U3212" i="34"/>
  <c r="Z3212" i="34"/>
  <c r="O3212" i="34"/>
  <c r="P3212" i="34"/>
  <c r="A3212" i="34"/>
  <c r="Q3474" i="34"/>
  <c r="U3474" i="34"/>
  <c r="Z3474" i="34"/>
  <c r="O3474" i="34"/>
  <c r="P3474" i="34"/>
  <c r="A3474" i="34"/>
  <c r="Q3385" i="34"/>
  <c r="U3385" i="34"/>
  <c r="Z3385" i="34"/>
  <c r="O3385" i="34"/>
  <c r="P3385" i="34"/>
  <c r="A3385" i="34"/>
  <c r="Q2877" i="34"/>
  <c r="U2877" i="34"/>
  <c r="Z2877" i="34"/>
  <c r="O2877" i="34"/>
  <c r="P2877" i="34"/>
  <c r="A2877" i="34"/>
  <c r="Q2331" i="34"/>
  <c r="U2331" i="34"/>
  <c r="Z2331" i="34"/>
  <c r="O2331" i="34"/>
  <c r="P2331" i="34"/>
  <c r="A2331" i="34"/>
  <c r="Q2324" i="34"/>
  <c r="U2324" i="34"/>
  <c r="Z2324" i="34"/>
  <c r="P2324" i="34"/>
  <c r="O2324" i="34"/>
  <c r="A2324" i="34"/>
  <c r="O2243" i="34"/>
  <c r="P2243" i="34"/>
  <c r="Q2243" i="34"/>
  <c r="U2243" i="34"/>
  <c r="Z2243" i="34"/>
  <c r="A2243" i="34"/>
  <c r="O2081" i="34"/>
  <c r="P2081" i="34"/>
  <c r="Q2081" i="34"/>
  <c r="U2081" i="34"/>
  <c r="Z2081" i="34"/>
  <c r="A2081" i="34"/>
  <c r="Q2008" i="34"/>
  <c r="U2008" i="34"/>
  <c r="Z2008" i="34"/>
  <c r="O2008" i="34"/>
  <c r="P2008" i="34"/>
  <c r="A2008" i="34"/>
  <c r="Q2876" i="34"/>
  <c r="U2876" i="34"/>
  <c r="Z2876" i="34"/>
  <c r="O2876" i="34"/>
  <c r="P2876" i="34"/>
  <c r="A2876" i="34"/>
  <c r="O2305" i="34"/>
  <c r="P2305" i="34"/>
  <c r="Q2305" i="34"/>
  <c r="U2305" i="34"/>
  <c r="Z2305" i="34"/>
  <c r="A2305" i="34"/>
  <c r="O2077" i="34"/>
  <c r="P2077" i="34"/>
  <c r="Q2077" i="34"/>
  <c r="U2077" i="34"/>
  <c r="Z2077" i="34"/>
  <c r="A2077" i="34"/>
  <c r="Q2005" i="34"/>
  <c r="U2005" i="34"/>
  <c r="Z2005" i="34"/>
  <c r="O2005" i="34"/>
  <c r="P2005" i="34"/>
  <c r="A2005" i="34"/>
  <c r="Q4435" i="34"/>
  <c r="U4435" i="34"/>
  <c r="Z4435" i="34"/>
  <c r="O4435" i="34"/>
  <c r="P4435" i="34"/>
  <c r="A4435" i="34"/>
  <c r="Q4384" i="34"/>
  <c r="U4384" i="34"/>
  <c r="Z4384" i="34"/>
  <c r="O4384" i="34"/>
  <c r="P4384" i="34"/>
  <c r="A4384" i="34"/>
  <c r="Q4379" i="34"/>
  <c r="U4379" i="34"/>
  <c r="Z4379" i="34"/>
  <c r="O4379" i="34"/>
  <c r="P4379" i="34"/>
  <c r="A4379" i="34"/>
  <c r="Q4376" i="34"/>
  <c r="U4376" i="34"/>
  <c r="Z4376" i="34"/>
  <c r="O4376" i="34"/>
  <c r="P4376" i="34"/>
  <c r="A4376" i="34"/>
  <c r="Q4442" i="34"/>
  <c r="U4442" i="34"/>
  <c r="Z4442" i="34"/>
  <c r="P4442" i="34"/>
  <c r="A4442" i="34"/>
  <c r="O4442" i="34"/>
  <c r="Q4406" i="34"/>
  <c r="U4406" i="34"/>
  <c r="Z4406" i="34"/>
  <c r="P4406" i="34"/>
  <c r="A4406" i="34"/>
  <c r="O4406" i="34"/>
  <c r="Q4420" i="34"/>
  <c r="U4420" i="34"/>
  <c r="Z4420" i="34"/>
  <c r="O4420" i="34"/>
  <c r="P4420" i="34"/>
  <c r="A4420" i="34"/>
  <c r="Q4423" i="34"/>
  <c r="U4423" i="34"/>
  <c r="Z4423" i="34"/>
  <c r="O4423" i="34"/>
  <c r="P4423" i="34"/>
  <c r="A4423" i="34"/>
  <c r="Q4386" i="34"/>
  <c r="U4386" i="34"/>
  <c r="Z4386" i="34"/>
  <c r="P4386" i="34"/>
  <c r="A4386" i="34"/>
  <c r="O4386" i="34"/>
  <c r="Q4385" i="34"/>
  <c r="U4385" i="34"/>
  <c r="Z4385" i="34"/>
  <c r="A4385" i="34"/>
  <c r="O4385" i="34"/>
  <c r="P4385" i="34"/>
  <c r="Q4383" i="34"/>
  <c r="U4383" i="34"/>
  <c r="Z4383" i="34"/>
  <c r="O4383" i="34"/>
  <c r="P4383" i="34"/>
  <c r="A4383" i="34"/>
  <c r="Q4425" i="34"/>
  <c r="U4425" i="34"/>
  <c r="Z4425" i="34"/>
  <c r="A4425" i="34"/>
  <c r="O4425" i="34"/>
  <c r="P4425" i="34"/>
  <c r="Q4408" i="34"/>
  <c r="U4408" i="34"/>
  <c r="Z4408" i="34"/>
  <c r="O4408" i="34"/>
  <c r="P4408" i="34"/>
  <c r="A4408" i="34"/>
  <c r="Q4397" i="34"/>
  <c r="U4397" i="34"/>
  <c r="Z4397" i="34"/>
  <c r="A4397" i="34"/>
  <c r="O4397" i="34"/>
  <c r="P4397" i="34"/>
  <c r="Q4410" i="34"/>
  <c r="U4410" i="34"/>
  <c r="Z4410" i="34"/>
  <c r="P4410" i="34"/>
  <c r="A4410" i="34"/>
  <c r="O4410" i="34"/>
  <c r="Q4416" i="34"/>
  <c r="U4416" i="34"/>
  <c r="Z4416" i="34"/>
  <c r="O4416" i="34"/>
  <c r="P4416" i="34"/>
  <c r="A4416" i="34"/>
  <c r="Q4391" i="34"/>
  <c r="U4391" i="34"/>
  <c r="Z4391" i="34"/>
  <c r="O4391" i="34"/>
  <c r="P4391" i="34"/>
  <c r="A4391" i="34"/>
  <c r="Q4373" i="34"/>
  <c r="U4373" i="34"/>
  <c r="Z4373" i="34"/>
  <c r="A4373" i="34"/>
  <c r="O4373" i="34"/>
  <c r="P4373" i="34"/>
  <c r="Q4368" i="34"/>
  <c r="U4368" i="34"/>
  <c r="Z4368" i="34"/>
  <c r="O4368" i="34"/>
  <c r="P4368" i="34"/>
  <c r="A4368" i="34"/>
  <c r="Q4364" i="34"/>
  <c r="U4364" i="34"/>
  <c r="Z4364" i="34"/>
  <c r="O4364" i="34"/>
  <c r="P4364" i="34"/>
  <c r="A4364" i="34"/>
  <c r="O4341" i="34"/>
  <c r="P4341" i="34"/>
  <c r="Q4341" i="34"/>
  <c r="U4341" i="34"/>
  <c r="Z4341" i="34"/>
  <c r="A4341" i="34"/>
  <c r="O4332" i="34"/>
  <c r="P4332" i="34"/>
  <c r="Q4332" i="34"/>
  <c r="U4332" i="34"/>
  <c r="Z4332" i="34"/>
  <c r="A4332" i="34"/>
  <c r="O3924" i="34"/>
  <c r="P3924" i="34"/>
  <c r="Q3924" i="34"/>
  <c r="U3924" i="34"/>
  <c r="Z3924" i="34"/>
  <c r="A3924" i="34"/>
  <c r="O3919" i="34"/>
  <c r="P3919" i="34"/>
  <c r="Q3919" i="34"/>
  <c r="U3919" i="34"/>
  <c r="Z3919" i="34"/>
  <c r="A3919" i="34"/>
  <c r="Q3486" i="34"/>
  <c r="U3486" i="34"/>
  <c r="Z3486" i="34"/>
  <c r="O3486" i="34"/>
  <c r="P3486" i="34"/>
  <c r="A3486" i="34"/>
  <c r="Q3459" i="34"/>
  <c r="U3459" i="34"/>
  <c r="Z3459" i="34"/>
  <c r="O3459" i="34"/>
  <c r="P3459" i="34"/>
  <c r="A3459" i="34"/>
  <c r="Q3451" i="34"/>
  <c r="U3451" i="34"/>
  <c r="Z3451" i="34"/>
  <c r="O3451" i="34"/>
  <c r="P3451" i="34"/>
  <c r="A3451" i="34"/>
  <c r="Q3435" i="34"/>
  <c r="U3435" i="34"/>
  <c r="Z3435" i="34"/>
  <c r="O3435" i="34"/>
  <c r="P3435" i="34"/>
  <c r="A3435" i="34"/>
  <c r="Q3418" i="34"/>
  <c r="U3418" i="34"/>
  <c r="Z3418" i="34"/>
  <c r="O3418" i="34"/>
  <c r="P3418" i="34"/>
  <c r="A3418" i="34"/>
  <c r="Q3354" i="34"/>
  <c r="U3354" i="34"/>
  <c r="Z3354" i="34"/>
  <c r="O3354" i="34"/>
  <c r="P3354" i="34"/>
  <c r="A3354" i="34"/>
  <c r="Q3350" i="34"/>
  <c r="U3350" i="34"/>
  <c r="Z3350" i="34"/>
  <c r="O3350" i="34"/>
  <c r="P3350" i="34"/>
  <c r="A3350" i="34"/>
  <c r="Q3346" i="34"/>
  <c r="U3346" i="34"/>
  <c r="Z3346" i="34"/>
  <c r="O3346" i="34"/>
  <c r="P3346" i="34"/>
  <c r="A3346" i="34"/>
  <c r="Q3342" i="34"/>
  <c r="U3342" i="34"/>
  <c r="Z3342" i="34"/>
  <c r="O3342" i="34"/>
  <c r="P3342" i="34"/>
  <c r="A3342" i="34"/>
  <c r="Q3338" i="34"/>
  <c r="U3338" i="34"/>
  <c r="Z3338" i="34"/>
  <c r="O3338" i="34"/>
  <c r="P3338" i="34"/>
  <c r="A3338" i="34"/>
  <c r="Q3334" i="34"/>
  <c r="U3334" i="34"/>
  <c r="Z3334" i="34"/>
  <c r="O3334" i="34"/>
  <c r="P3334" i="34"/>
  <c r="A3334" i="34"/>
  <c r="Q3330" i="34"/>
  <c r="U3330" i="34"/>
  <c r="Z3330" i="34"/>
  <c r="O3330" i="34"/>
  <c r="P3330" i="34"/>
  <c r="A3330" i="34"/>
  <c r="Q3326" i="34"/>
  <c r="U3326" i="34"/>
  <c r="Z3326" i="34"/>
  <c r="O3326" i="34"/>
  <c r="P3326" i="34"/>
  <c r="A3326" i="34"/>
  <c r="Q3322" i="34"/>
  <c r="U3322" i="34"/>
  <c r="Z3322" i="34"/>
  <c r="O3322" i="34"/>
  <c r="P3322" i="34"/>
  <c r="A3322" i="34"/>
  <c r="Q3318" i="34"/>
  <c r="U3318" i="34"/>
  <c r="Z3318" i="34"/>
  <c r="O3318" i="34"/>
  <c r="P3318" i="34"/>
  <c r="A3318" i="34"/>
  <c r="Q3314" i="34"/>
  <c r="U3314" i="34"/>
  <c r="Z3314" i="34"/>
  <c r="O3314" i="34"/>
  <c r="P3314" i="34"/>
  <c r="A3314" i="34"/>
  <c r="Q3310" i="34"/>
  <c r="U3310" i="34"/>
  <c r="Z3310" i="34"/>
  <c r="O3310" i="34"/>
  <c r="P3310" i="34"/>
  <c r="A3310" i="34"/>
  <c r="Q3283" i="34"/>
  <c r="U3283" i="34"/>
  <c r="Z3283" i="34"/>
  <c r="P3283" i="34"/>
  <c r="O3283" i="34"/>
  <c r="A3283" i="34"/>
  <c r="Q3279" i="34"/>
  <c r="U3279" i="34"/>
  <c r="Z3279" i="34"/>
  <c r="P3279" i="34"/>
  <c r="O3279" i="34"/>
  <c r="A3279" i="34"/>
  <c r="Q3275" i="34"/>
  <c r="U3275" i="34"/>
  <c r="Z3275" i="34"/>
  <c r="P3275" i="34"/>
  <c r="O3275" i="34"/>
  <c r="A3275" i="34"/>
  <c r="Q3384" i="34"/>
  <c r="U3384" i="34"/>
  <c r="Z3384" i="34"/>
  <c r="O3384" i="34"/>
  <c r="P3384" i="34"/>
  <c r="A3384" i="34"/>
  <c r="Q2938" i="34"/>
  <c r="U2938" i="34"/>
  <c r="Z2938" i="34"/>
  <c r="O2938" i="34"/>
  <c r="P2938" i="34"/>
  <c r="A2938" i="34"/>
  <c r="Q2930" i="34"/>
  <c r="U2930" i="34"/>
  <c r="Z2930" i="34"/>
  <c r="O2930" i="34"/>
  <c r="P2930" i="34"/>
  <c r="A2930" i="34"/>
  <c r="Q2970" i="34"/>
  <c r="U2970" i="34"/>
  <c r="Z2970" i="34"/>
  <c r="O2970" i="34"/>
  <c r="P2970" i="34"/>
  <c r="A2970" i="34"/>
  <c r="Q2980" i="34"/>
  <c r="U2980" i="34"/>
  <c r="Z2980" i="34"/>
  <c r="O2980" i="34"/>
  <c r="P2980" i="34"/>
  <c r="A2980" i="34"/>
  <c r="Q2998" i="34"/>
  <c r="U2998" i="34"/>
  <c r="Z2998" i="34"/>
  <c r="O2998" i="34"/>
  <c r="P2998" i="34"/>
  <c r="A2998" i="34"/>
  <c r="Q3006" i="34"/>
  <c r="U3006" i="34"/>
  <c r="Z3006" i="34"/>
  <c r="O3006" i="34"/>
  <c r="P3006" i="34"/>
  <c r="A3006" i="34"/>
  <c r="Q2999" i="34"/>
  <c r="U2999" i="34"/>
  <c r="Z2999" i="34"/>
  <c r="P2999" i="34"/>
  <c r="O2999" i="34"/>
  <c r="A2999" i="34"/>
  <c r="Q2986" i="34"/>
  <c r="U2986" i="34"/>
  <c r="Z2986" i="34"/>
  <c r="O2986" i="34"/>
  <c r="P2986" i="34"/>
  <c r="A2986" i="34"/>
  <c r="Q2966" i="34"/>
  <c r="U2966" i="34"/>
  <c r="Z2966" i="34"/>
  <c r="O2966" i="34"/>
  <c r="P2966" i="34"/>
  <c r="A2966" i="34"/>
  <c r="Q2931" i="34"/>
  <c r="U2931" i="34"/>
  <c r="Z2931" i="34"/>
  <c r="P2931" i="34"/>
  <c r="O2931" i="34"/>
  <c r="A2931" i="34"/>
  <c r="Q2978" i="34"/>
  <c r="U2978" i="34"/>
  <c r="Z2978" i="34"/>
  <c r="O2978" i="34"/>
  <c r="P2978" i="34"/>
  <c r="A2978" i="34"/>
  <c r="Q2934" i="34"/>
  <c r="U2934" i="34"/>
  <c r="Z2934" i="34"/>
  <c r="O2934" i="34"/>
  <c r="P2934" i="34"/>
  <c r="A2934" i="34"/>
  <c r="Q2948" i="34"/>
  <c r="U2948" i="34"/>
  <c r="Z2948" i="34"/>
  <c r="O2948" i="34"/>
  <c r="P2948" i="34"/>
  <c r="A2948" i="34"/>
  <c r="Q2940" i="34"/>
  <c r="U2940" i="34"/>
  <c r="Z2940" i="34"/>
  <c r="O2940" i="34"/>
  <c r="P2940" i="34"/>
  <c r="A2940" i="34"/>
  <c r="Q2932" i="34"/>
  <c r="U2932" i="34"/>
  <c r="Z2932" i="34"/>
  <c r="O2932" i="34"/>
  <c r="P2932" i="34"/>
  <c r="A2932" i="34"/>
  <c r="Q2933" i="34"/>
  <c r="U2933" i="34"/>
  <c r="Z2933" i="34"/>
  <c r="O2933" i="34"/>
  <c r="P2933" i="34"/>
  <c r="A2933" i="34"/>
  <c r="Q2034" i="34"/>
  <c r="U2034" i="34"/>
  <c r="Z2034" i="34"/>
  <c r="O2034" i="34"/>
  <c r="P2034" i="34"/>
  <c r="A2034" i="34"/>
  <c r="O3497" i="34"/>
  <c r="P3497" i="34"/>
  <c r="Q3497" i="34"/>
  <c r="U3497" i="34"/>
  <c r="Z3497" i="34"/>
  <c r="A3497" i="34"/>
  <c r="Q3478" i="34"/>
  <c r="U3478" i="34"/>
  <c r="Z3478" i="34"/>
  <c r="O3478" i="34"/>
  <c r="P3478" i="34"/>
  <c r="A3478" i="34"/>
  <c r="Q3309" i="34"/>
  <c r="U3309" i="34"/>
  <c r="Z3309" i="34"/>
  <c r="O3309" i="34"/>
  <c r="P3309" i="34"/>
  <c r="A3309" i="34"/>
  <c r="O4331" i="34"/>
  <c r="P4331" i="34"/>
  <c r="Q4331" i="34"/>
  <c r="U4331" i="34"/>
  <c r="Z4331" i="34"/>
  <c r="A4331" i="34"/>
  <c r="Q2335" i="34"/>
  <c r="U2335" i="34"/>
  <c r="Z2335" i="34"/>
  <c r="O2335" i="34"/>
  <c r="P2335" i="34"/>
  <c r="A2335" i="34"/>
  <c r="Q2339" i="34"/>
  <c r="U2339" i="34"/>
  <c r="Z2339" i="34"/>
  <c r="O2339" i="34"/>
  <c r="P2339" i="34"/>
  <c r="A2339" i="34"/>
  <c r="Q3380" i="34"/>
  <c r="U3380" i="34"/>
  <c r="Z3380" i="34"/>
  <c r="O3380" i="34"/>
  <c r="P3380" i="34"/>
  <c r="A3380" i="34"/>
  <c r="Q3432" i="34"/>
  <c r="U3432" i="34"/>
  <c r="Z3432" i="34"/>
  <c r="P3432" i="34"/>
  <c r="O3432" i="34"/>
  <c r="A3432" i="34"/>
  <c r="Q3428" i="34"/>
  <c r="U3428" i="34"/>
  <c r="Z3428" i="34"/>
  <c r="P3428" i="34"/>
  <c r="O3428" i="34"/>
  <c r="A3428" i="34"/>
  <c r="Q3424" i="34"/>
  <c r="U3424" i="34"/>
  <c r="Z3424" i="34"/>
  <c r="P3424" i="34"/>
  <c r="O3424" i="34"/>
  <c r="A3424" i="34"/>
  <c r="Q3422" i="34"/>
  <c r="U3422" i="34"/>
  <c r="Z3422" i="34"/>
  <c r="O3422" i="34"/>
  <c r="P3422" i="34"/>
  <c r="A3422" i="34"/>
  <c r="O4328" i="34"/>
  <c r="P4328" i="34"/>
  <c r="Q4328" i="34"/>
  <c r="U4328" i="34"/>
  <c r="Z4328" i="34"/>
  <c r="A4328" i="34"/>
  <c r="O4324" i="34"/>
  <c r="P4324" i="34"/>
  <c r="Q4324" i="34"/>
  <c r="U4324" i="34"/>
  <c r="Z4324" i="34"/>
  <c r="A4324" i="34"/>
  <c r="O4320" i="34"/>
  <c r="P4320" i="34"/>
  <c r="Q4320" i="34"/>
  <c r="U4320" i="34"/>
  <c r="Z4320" i="34"/>
  <c r="A4320" i="34"/>
  <c r="O4302" i="34"/>
  <c r="P4302" i="34"/>
  <c r="Q4302" i="34"/>
  <c r="U4302" i="34"/>
  <c r="Z4302" i="34"/>
  <c r="A4302" i="34"/>
  <c r="O4298" i="34"/>
  <c r="P4298" i="34"/>
  <c r="Q4298" i="34"/>
  <c r="U4298" i="34"/>
  <c r="Z4298" i="34"/>
  <c r="A4298" i="34"/>
  <c r="O4294" i="34"/>
  <c r="P4294" i="34"/>
  <c r="Q4294" i="34"/>
  <c r="U4294" i="34"/>
  <c r="Z4294" i="34"/>
  <c r="A4294" i="34"/>
  <c r="O4290" i="34"/>
  <c r="P4290" i="34"/>
  <c r="Q4290" i="34"/>
  <c r="U4290" i="34"/>
  <c r="Z4290" i="34"/>
  <c r="A4290" i="34"/>
  <c r="O4285" i="34"/>
  <c r="P4285" i="34"/>
  <c r="Q4285" i="34"/>
  <c r="U4285" i="34"/>
  <c r="Z4285" i="34"/>
  <c r="A4285" i="34"/>
  <c r="O4281" i="34"/>
  <c r="P4281" i="34"/>
  <c r="Q4281" i="34"/>
  <c r="U4281" i="34"/>
  <c r="Z4281" i="34"/>
  <c r="A4281" i="34"/>
  <c r="O4277" i="34"/>
  <c r="P4277" i="34"/>
  <c r="Q4277" i="34"/>
  <c r="U4277" i="34"/>
  <c r="Z4277" i="34"/>
  <c r="A4277" i="34"/>
  <c r="O4273" i="34"/>
  <c r="P4273" i="34"/>
  <c r="Q4273" i="34"/>
  <c r="U4273" i="34"/>
  <c r="Z4273" i="34"/>
  <c r="A4273" i="34"/>
  <c r="O4269" i="34"/>
  <c r="P4269" i="34"/>
  <c r="Q4269" i="34"/>
  <c r="U4269" i="34"/>
  <c r="Z4269" i="34"/>
  <c r="A4269" i="34"/>
  <c r="O4265" i="34"/>
  <c r="P4265" i="34"/>
  <c r="Q4265" i="34"/>
  <c r="U4265" i="34"/>
  <c r="Z4265" i="34"/>
  <c r="A4265" i="34"/>
  <c r="O4261" i="34"/>
  <c r="P4261" i="34"/>
  <c r="Q4261" i="34"/>
  <c r="U4261" i="34"/>
  <c r="Z4261" i="34"/>
  <c r="A4261" i="34"/>
  <c r="O4257" i="34"/>
  <c r="P4257" i="34"/>
  <c r="Q4257" i="34"/>
  <c r="U4257" i="34"/>
  <c r="Z4257" i="34"/>
  <c r="A4257" i="34"/>
  <c r="O4253" i="34"/>
  <c r="P4253" i="34"/>
  <c r="Q4253" i="34"/>
  <c r="U4253" i="34"/>
  <c r="Z4253" i="34"/>
  <c r="A4253" i="34"/>
  <c r="O4249" i="34"/>
  <c r="P4249" i="34"/>
  <c r="Q4249" i="34"/>
  <c r="U4249" i="34"/>
  <c r="Z4249" i="34"/>
  <c r="A4249" i="34"/>
  <c r="O4245" i="34"/>
  <c r="P4245" i="34"/>
  <c r="Q4245" i="34"/>
  <c r="U4245" i="34"/>
  <c r="Z4245" i="34"/>
  <c r="A4245" i="34"/>
  <c r="O4106" i="34"/>
  <c r="P4106" i="34"/>
  <c r="Q4106" i="34"/>
  <c r="U4106" i="34"/>
  <c r="Z4106" i="34"/>
  <c r="A4106" i="34"/>
  <c r="O4102" i="34"/>
  <c r="P4102" i="34"/>
  <c r="Q4102" i="34"/>
  <c r="U4102" i="34"/>
  <c r="Z4102" i="34"/>
  <c r="A4102" i="34"/>
  <c r="O4098" i="34"/>
  <c r="P4098" i="34"/>
  <c r="Q4098" i="34"/>
  <c r="U4098" i="34"/>
  <c r="Z4098" i="34"/>
  <c r="A4098" i="34"/>
  <c r="O3961" i="34"/>
  <c r="P3961" i="34"/>
  <c r="Q3961" i="34"/>
  <c r="U3961" i="34"/>
  <c r="Z3961" i="34"/>
  <c r="A3961" i="34"/>
  <c r="O3957" i="34"/>
  <c r="P3957" i="34"/>
  <c r="Q3957" i="34"/>
  <c r="U3957" i="34"/>
  <c r="Z3957" i="34"/>
  <c r="A3957" i="34"/>
  <c r="O3953" i="34"/>
  <c r="P3953" i="34"/>
  <c r="Q3953" i="34"/>
  <c r="U3953" i="34"/>
  <c r="Z3953" i="34"/>
  <c r="A3953" i="34"/>
  <c r="O3949" i="34"/>
  <c r="P3949" i="34"/>
  <c r="Q3949" i="34"/>
  <c r="U3949" i="34"/>
  <c r="Z3949" i="34"/>
  <c r="A3949" i="34"/>
  <c r="O3945" i="34"/>
  <c r="P3945" i="34"/>
  <c r="Q3945" i="34"/>
  <c r="U3945" i="34"/>
  <c r="Z3945" i="34"/>
  <c r="A3945" i="34"/>
  <c r="Q2867" i="34"/>
  <c r="U2867" i="34"/>
  <c r="Z2867" i="34"/>
  <c r="P2867" i="34"/>
  <c r="O2867" i="34"/>
  <c r="A2867" i="34"/>
  <c r="Q2863" i="34"/>
  <c r="U2863" i="34"/>
  <c r="Z2863" i="34"/>
  <c r="P2863" i="34"/>
  <c r="O2863" i="34"/>
  <c r="A2863" i="34"/>
  <c r="Q2859" i="34"/>
  <c r="U2859" i="34"/>
  <c r="Z2859" i="34"/>
  <c r="P2859" i="34"/>
  <c r="O2859" i="34"/>
  <c r="A2859" i="34"/>
  <c r="Q2855" i="34"/>
  <c r="U2855" i="34"/>
  <c r="Z2855" i="34"/>
  <c r="P2855" i="34"/>
  <c r="O2855" i="34"/>
  <c r="A2855" i="34"/>
  <c r="Q2851" i="34"/>
  <c r="U2851" i="34"/>
  <c r="Z2851" i="34"/>
  <c r="P2851" i="34"/>
  <c r="O2851" i="34"/>
  <c r="A2851" i="34"/>
  <c r="Q2847" i="34"/>
  <c r="U2847" i="34"/>
  <c r="Z2847" i="34"/>
  <c r="P2847" i="34"/>
  <c r="O2847" i="34"/>
  <c r="A2847" i="34"/>
  <c r="Q2843" i="34"/>
  <c r="U2843" i="34"/>
  <c r="Z2843" i="34"/>
  <c r="P2843" i="34"/>
  <c r="O2843" i="34"/>
  <c r="A2843" i="34"/>
  <c r="Q2839" i="34"/>
  <c r="U2839" i="34"/>
  <c r="Z2839" i="34"/>
  <c r="P2839" i="34"/>
  <c r="O2839" i="34"/>
  <c r="A2839" i="34"/>
  <c r="Q2835" i="34"/>
  <c r="U2835" i="34"/>
  <c r="Z2835" i="34"/>
  <c r="P2835" i="34"/>
  <c r="O2835" i="34"/>
  <c r="A2835" i="34"/>
  <c r="Q2831" i="34"/>
  <c r="U2831" i="34"/>
  <c r="Z2831" i="34"/>
  <c r="P2831" i="34"/>
  <c r="O2831" i="34"/>
  <c r="A2831" i="34"/>
  <c r="Q2827" i="34"/>
  <c r="U2827" i="34"/>
  <c r="Z2827" i="34"/>
  <c r="P2827" i="34"/>
  <c r="O2827" i="34"/>
  <c r="A2827" i="34"/>
  <c r="Q2822" i="34"/>
  <c r="U2822" i="34"/>
  <c r="Z2822" i="34"/>
  <c r="O2822" i="34"/>
  <c r="P2822" i="34"/>
  <c r="A2822" i="34"/>
  <c r="Q2818" i="34"/>
  <c r="U2818" i="34"/>
  <c r="Z2818" i="34"/>
  <c r="O2818" i="34"/>
  <c r="P2818" i="34"/>
  <c r="A2818" i="34"/>
  <c r="Q2814" i="34"/>
  <c r="U2814" i="34"/>
  <c r="Z2814" i="34"/>
  <c r="O2814" i="34"/>
  <c r="P2814" i="34"/>
  <c r="A2814" i="34"/>
  <c r="Q2414" i="34"/>
  <c r="U2414" i="34"/>
  <c r="Z2414" i="34"/>
  <c r="O2414" i="34"/>
  <c r="P2414" i="34"/>
  <c r="A2414" i="34"/>
  <c r="Q2410" i="34"/>
  <c r="U2410" i="34"/>
  <c r="Z2410" i="34"/>
  <c r="O2410" i="34"/>
  <c r="P2410" i="34"/>
  <c r="A2410" i="34"/>
  <c r="Q2406" i="34"/>
  <c r="U2406" i="34"/>
  <c r="Z2406" i="34"/>
  <c r="O2406" i="34"/>
  <c r="P2406" i="34"/>
  <c r="A2406" i="34"/>
  <c r="Q2402" i="34"/>
  <c r="U2402" i="34"/>
  <c r="Z2402" i="34"/>
  <c r="O2402" i="34"/>
  <c r="P2402" i="34"/>
  <c r="A2402" i="34"/>
  <c r="Q2398" i="34"/>
  <c r="U2398" i="34"/>
  <c r="Z2398" i="34"/>
  <c r="O2398" i="34"/>
  <c r="P2398" i="34"/>
  <c r="A2398" i="34"/>
  <c r="Q2394" i="34"/>
  <c r="U2394" i="34"/>
  <c r="Z2394" i="34"/>
  <c r="O2394" i="34"/>
  <c r="P2394" i="34"/>
  <c r="A2394" i="34"/>
  <c r="Q2390" i="34"/>
  <c r="U2390" i="34"/>
  <c r="Z2390" i="34"/>
  <c r="O2390" i="34"/>
  <c r="P2390" i="34"/>
  <c r="A2390" i="34"/>
  <c r="Q2386" i="34"/>
  <c r="U2386" i="34"/>
  <c r="Z2386" i="34"/>
  <c r="O2386" i="34"/>
  <c r="P2386" i="34"/>
  <c r="A2386" i="34"/>
  <c r="Q2382" i="34"/>
  <c r="U2382" i="34"/>
  <c r="Z2382" i="34"/>
  <c r="O2382" i="34"/>
  <c r="P2382" i="34"/>
  <c r="A2382" i="34"/>
  <c r="Q2378" i="34"/>
  <c r="U2378" i="34"/>
  <c r="Z2378" i="34"/>
  <c r="O2378" i="34"/>
  <c r="P2378" i="34"/>
  <c r="A2378" i="34"/>
  <c r="Q2374" i="34"/>
  <c r="U2374" i="34"/>
  <c r="Z2374" i="34"/>
  <c r="O2374" i="34"/>
  <c r="P2374" i="34"/>
  <c r="A2374" i="34"/>
  <c r="Q2370" i="34"/>
  <c r="U2370" i="34"/>
  <c r="Z2370" i="34"/>
  <c r="O2370" i="34"/>
  <c r="P2370" i="34"/>
  <c r="A2370" i="34"/>
  <c r="Q2366" i="34"/>
  <c r="U2366" i="34"/>
  <c r="Z2366" i="34"/>
  <c r="O2366" i="34"/>
  <c r="P2366" i="34"/>
  <c r="A2366" i="34"/>
  <c r="Q2362" i="34"/>
  <c r="U2362" i="34"/>
  <c r="Z2362" i="34"/>
  <c r="O2362" i="34"/>
  <c r="P2362" i="34"/>
  <c r="A2362" i="34"/>
  <c r="Q2358" i="34"/>
  <c r="U2358" i="34"/>
  <c r="Z2358" i="34"/>
  <c r="O2358" i="34"/>
  <c r="P2358" i="34"/>
  <c r="A2358" i="34"/>
  <c r="Q2354" i="34"/>
  <c r="U2354" i="34"/>
  <c r="Z2354" i="34"/>
  <c r="O2354" i="34"/>
  <c r="P2354" i="34"/>
  <c r="A2354" i="34"/>
  <c r="Q2350" i="34"/>
  <c r="U2350" i="34"/>
  <c r="Z2350" i="34"/>
  <c r="O2350" i="34"/>
  <c r="P2350" i="34"/>
  <c r="A2350" i="34"/>
  <c r="Q1826" i="34"/>
  <c r="U1826" i="34"/>
  <c r="Z1826" i="34"/>
  <c r="O1826" i="34"/>
  <c r="P1826" i="34"/>
  <c r="A1826" i="34"/>
  <c r="Q1754" i="34"/>
  <c r="U1754" i="34"/>
  <c r="Z1754" i="34"/>
  <c r="O1754" i="34"/>
  <c r="P1754" i="34"/>
  <c r="A1754" i="34"/>
  <c r="Q1824" i="34"/>
  <c r="U1824" i="34"/>
  <c r="Z1824" i="34"/>
  <c r="P1824" i="34"/>
  <c r="O1824" i="34"/>
  <c r="A1824" i="34"/>
  <c r="P1627" i="34"/>
  <c r="Q1627" i="34"/>
  <c r="U1627" i="34"/>
  <c r="Z1627" i="34"/>
  <c r="O1627" i="34"/>
  <c r="A1627" i="34"/>
  <c r="Q1890" i="34"/>
  <c r="U1890" i="34"/>
  <c r="Z1890" i="34"/>
  <c r="O1890" i="34"/>
  <c r="P1890" i="34"/>
  <c r="A1890" i="34"/>
  <c r="O2293" i="34"/>
  <c r="P2293" i="34"/>
  <c r="Q2293" i="34"/>
  <c r="U2293" i="34"/>
  <c r="Z2293" i="34"/>
  <c r="A2293" i="34"/>
  <c r="Q3291" i="34"/>
  <c r="U3291" i="34"/>
  <c r="Z3291" i="34"/>
  <c r="P3291" i="34"/>
  <c r="O3291" i="34"/>
  <c r="A3291" i="34"/>
  <c r="Q1898" i="34"/>
  <c r="U1898" i="34"/>
  <c r="Z1898" i="34"/>
  <c r="O1898" i="34"/>
  <c r="P1898" i="34"/>
  <c r="A1898" i="34"/>
  <c r="Q1815" i="34"/>
  <c r="U1815" i="34"/>
  <c r="Z1815" i="34"/>
  <c r="O1815" i="34"/>
  <c r="P1815" i="34"/>
  <c r="A1815" i="34"/>
  <c r="Q1777" i="34"/>
  <c r="U1777" i="34"/>
  <c r="Z1777" i="34"/>
  <c r="O1777" i="34"/>
  <c r="P1777" i="34"/>
  <c r="A1777" i="34"/>
  <c r="Q1756" i="34"/>
  <c r="U1756" i="34"/>
  <c r="Z1756" i="34"/>
  <c r="P1756" i="34"/>
  <c r="O1756" i="34"/>
  <c r="A1756" i="34"/>
  <c r="Q1749" i="34"/>
  <c r="U1749" i="34"/>
  <c r="Z1749" i="34"/>
  <c r="O1749" i="34"/>
  <c r="P1749" i="34"/>
  <c r="A1749" i="34"/>
  <c r="Q1739" i="34"/>
  <c r="U1739" i="34"/>
  <c r="Z1739" i="34"/>
  <c r="O1739" i="34"/>
  <c r="P1739" i="34"/>
  <c r="A1739" i="34"/>
  <c r="Q1689" i="34"/>
  <c r="U1689" i="34"/>
  <c r="Z1689" i="34"/>
  <c r="O1689" i="34"/>
  <c r="P1689" i="34"/>
  <c r="A1689" i="34"/>
  <c r="P1618" i="34"/>
  <c r="Q1618" i="34"/>
  <c r="U1618" i="34"/>
  <c r="Z1618" i="34"/>
  <c r="O1618" i="34"/>
  <c r="A1618" i="34"/>
  <c r="P1611" i="34"/>
  <c r="Q1611" i="34"/>
  <c r="U1611" i="34"/>
  <c r="Z1611" i="34"/>
  <c r="O1611" i="34"/>
  <c r="A1611" i="34"/>
  <c r="Q1858" i="34"/>
  <c r="U1858" i="34"/>
  <c r="Z1858" i="34"/>
  <c r="O1858" i="34"/>
  <c r="P1858" i="34"/>
  <c r="A1858" i="34"/>
  <c r="Q1896" i="34"/>
  <c r="U1896" i="34"/>
  <c r="Z1896" i="34"/>
  <c r="P1896" i="34"/>
  <c r="O1896" i="34"/>
  <c r="A1896" i="34"/>
  <c r="Q1849" i="34"/>
  <c r="U1849" i="34"/>
  <c r="Z1849" i="34"/>
  <c r="O1849" i="34"/>
  <c r="P1849" i="34"/>
  <c r="A1849" i="34"/>
  <c r="Q1768" i="34"/>
  <c r="U1768" i="34"/>
  <c r="Z1768" i="34"/>
  <c r="P1768" i="34"/>
  <c r="O1768" i="34"/>
  <c r="A1768" i="34"/>
  <c r="Q1764" i="34"/>
  <c r="U1764" i="34"/>
  <c r="Z1764" i="34"/>
  <c r="P1764" i="34"/>
  <c r="O1764" i="34"/>
  <c r="A1764" i="34"/>
  <c r="Q1735" i="34"/>
  <c r="U1735" i="34"/>
  <c r="Z1735" i="34"/>
  <c r="O1735" i="34"/>
  <c r="P1735" i="34"/>
  <c r="A1735" i="34"/>
  <c r="Q1729" i="34"/>
  <c r="U1729" i="34"/>
  <c r="Z1729" i="34"/>
  <c r="O1729" i="34"/>
  <c r="P1729" i="34"/>
  <c r="A1729" i="34"/>
  <c r="Q1680" i="34"/>
  <c r="U1680" i="34"/>
  <c r="Z1680" i="34"/>
  <c r="P1680" i="34"/>
  <c r="O1680" i="34"/>
  <c r="A1680" i="34"/>
  <c r="Q1675" i="34"/>
  <c r="U1675" i="34"/>
  <c r="Z1675" i="34"/>
  <c r="O1675" i="34"/>
  <c r="P1675" i="34"/>
  <c r="A1675" i="34"/>
  <c r="Q1668" i="34"/>
  <c r="U1668" i="34"/>
  <c r="Z1668" i="34"/>
  <c r="P1668" i="34"/>
  <c r="O1668" i="34"/>
  <c r="A1668" i="34"/>
  <c r="Q1866" i="34"/>
  <c r="U1866" i="34"/>
  <c r="Z1866" i="34"/>
  <c r="O1866" i="34"/>
  <c r="P1866" i="34"/>
  <c r="A1866" i="34"/>
  <c r="Q1746" i="34"/>
  <c r="U1746" i="34"/>
  <c r="Z1746" i="34"/>
  <c r="O1746" i="34"/>
  <c r="P1746" i="34"/>
  <c r="A1746" i="34"/>
  <c r="Q1655" i="34"/>
  <c r="U1655" i="34"/>
  <c r="Z1655" i="34"/>
  <c r="O1655" i="34"/>
  <c r="P1655" i="34"/>
  <c r="A1655" i="34"/>
  <c r="P1647" i="34"/>
  <c r="Q1647" i="34"/>
  <c r="U1647" i="34"/>
  <c r="Z1647" i="34"/>
  <c r="O1647" i="34"/>
  <c r="A1647" i="34"/>
  <c r="P1651" i="34"/>
  <c r="Q1651" i="34"/>
  <c r="U1651" i="34"/>
  <c r="Z1651" i="34"/>
  <c r="O1651" i="34"/>
  <c r="A1651" i="34"/>
  <c r="P1632" i="34"/>
  <c r="Q1632" i="34"/>
  <c r="U1632" i="34"/>
  <c r="Z1632" i="34"/>
  <c r="O1632" i="34"/>
  <c r="A1632" i="34"/>
  <c r="P1636" i="34"/>
  <c r="Q1636" i="34"/>
  <c r="U1636" i="34"/>
  <c r="Z1636" i="34"/>
  <c r="O1636" i="34"/>
  <c r="A1636" i="34"/>
  <c r="P1640" i="34"/>
  <c r="Q1640" i="34"/>
  <c r="U1640" i="34"/>
  <c r="Z1640" i="34"/>
  <c r="O1640" i="34"/>
  <c r="A1640" i="34"/>
  <c r="P1644" i="34"/>
  <c r="Q1644" i="34"/>
  <c r="U1644" i="34"/>
  <c r="Z1644" i="34"/>
  <c r="O1644" i="34"/>
  <c r="A1644" i="34"/>
  <c r="Q1926" i="34"/>
  <c r="U1926" i="34"/>
  <c r="Z1926" i="34"/>
  <c r="O1926" i="34"/>
  <c r="P1926" i="34"/>
  <c r="A1926" i="34"/>
  <c r="Q1919" i="34"/>
  <c r="U1919" i="34"/>
  <c r="Z1919" i="34"/>
  <c r="O1919" i="34"/>
  <c r="P1919" i="34"/>
  <c r="A1919" i="34"/>
  <c r="Q1924" i="34"/>
  <c r="U1924" i="34"/>
  <c r="Z1924" i="34"/>
  <c r="P1924" i="34"/>
  <c r="O1924" i="34"/>
  <c r="A1924" i="34"/>
  <c r="Q1906" i="34"/>
  <c r="U1906" i="34"/>
  <c r="Z1906" i="34"/>
  <c r="O1906" i="34"/>
  <c r="P1906" i="34"/>
  <c r="A1906" i="34"/>
  <c r="Q1911" i="34"/>
  <c r="U1911" i="34"/>
  <c r="Z1911" i="34"/>
  <c r="O1911" i="34"/>
  <c r="P1911" i="34"/>
  <c r="A1911" i="34"/>
  <c r="Q1916" i="34"/>
  <c r="U1916" i="34"/>
  <c r="Z1916" i="34"/>
  <c r="P1916" i="34"/>
  <c r="O1916" i="34"/>
  <c r="A1916" i="34"/>
  <c r="Q1830" i="34"/>
  <c r="U1830" i="34"/>
  <c r="Z1830" i="34"/>
  <c r="O1830" i="34"/>
  <c r="P1830" i="34"/>
  <c r="A1830" i="34"/>
  <c r="O3517" i="34"/>
  <c r="P3517" i="34"/>
  <c r="Q3517" i="34"/>
  <c r="U3517" i="34"/>
  <c r="Z3517" i="34"/>
  <c r="A3517" i="34"/>
  <c r="Q3481" i="34"/>
  <c r="U3481" i="34"/>
  <c r="Z3481" i="34"/>
  <c r="O3481" i="34"/>
  <c r="P3481" i="34"/>
  <c r="A3481" i="34"/>
  <c r="Q3292" i="34"/>
  <c r="U3292" i="34"/>
  <c r="Z3292" i="34"/>
  <c r="O3292" i="34"/>
  <c r="P3292" i="34"/>
  <c r="A3292" i="34"/>
  <c r="Q3304" i="34"/>
  <c r="U3304" i="34"/>
  <c r="Z3304" i="34"/>
  <c r="O3304" i="34"/>
  <c r="P3304" i="34"/>
  <c r="A3304" i="34"/>
  <c r="Q3300" i="34"/>
  <c r="U3300" i="34"/>
  <c r="Z3300" i="34"/>
  <c r="O3300" i="34"/>
  <c r="P3300" i="34"/>
  <c r="A3300" i="34"/>
  <c r="Q3296" i="34"/>
  <c r="U3296" i="34"/>
  <c r="Z3296" i="34"/>
  <c r="O3296" i="34"/>
  <c r="P3296" i="34"/>
  <c r="A3296" i="34"/>
  <c r="O4357" i="34"/>
  <c r="Q4357" i="34"/>
  <c r="U4357" i="34"/>
  <c r="Z4357" i="34"/>
  <c r="A4357" i="34"/>
  <c r="P4357" i="34"/>
  <c r="O4353" i="34"/>
  <c r="P4353" i="34"/>
  <c r="Q4353" i="34"/>
  <c r="U4353" i="34"/>
  <c r="Z4353" i="34"/>
  <c r="A4353" i="34"/>
  <c r="O4349" i="34"/>
  <c r="P4349" i="34"/>
  <c r="Q4349" i="34"/>
  <c r="U4349" i="34"/>
  <c r="Z4349" i="34"/>
  <c r="A4349" i="34"/>
  <c r="Q2901" i="34"/>
  <c r="U2901" i="34"/>
  <c r="Z2901" i="34"/>
  <c r="O2901" i="34"/>
  <c r="P2901" i="34"/>
  <c r="A2901" i="34"/>
  <c r="Q2905" i="34"/>
  <c r="U2905" i="34"/>
  <c r="Z2905" i="34"/>
  <c r="O2905" i="34"/>
  <c r="P2905" i="34"/>
  <c r="A2905" i="34"/>
  <c r="Q2909" i="34"/>
  <c r="U2909" i="34"/>
  <c r="Z2909" i="34"/>
  <c r="O2909" i="34"/>
  <c r="P2909" i="34"/>
  <c r="A2909" i="34"/>
  <c r="Q2913" i="34"/>
  <c r="U2913" i="34"/>
  <c r="Z2913" i="34"/>
  <c r="O2913" i="34"/>
  <c r="P2913" i="34"/>
  <c r="A2913" i="34"/>
  <c r="Q1936" i="34"/>
  <c r="U1936" i="34"/>
  <c r="Z1936" i="34"/>
  <c r="P1936" i="34"/>
  <c r="O1936" i="34"/>
  <c r="A1936" i="34"/>
  <c r="P1624" i="34"/>
  <c r="Q1624" i="34"/>
  <c r="U1624" i="34"/>
  <c r="Z1624" i="34"/>
  <c r="O1624" i="34"/>
  <c r="A1624" i="34"/>
  <c r="Q4757" i="34"/>
  <c r="U4757" i="34"/>
  <c r="Z4757" i="34"/>
  <c r="O4757" i="34"/>
  <c r="P4757" i="34"/>
  <c r="O2291" i="34"/>
  <c r="P2291" i="34"/>
  <c r="Q2291" i="34"/>
  <c r="U2291" i="34"/>
  <c r="Z2291" i="34"/>
  <c r="A2291" i="34"/>
  <c r="Q4525" i="34"/>
  <c r="U4525" i="34"/>
  <c r="Z4525" i="34"/>
  <c r="A4525" i="34"/>
  <c r="O4525" i="34"/>
  <c r="P4525" i="34"/>
  <c r="Q4483" i="34"/>
  <c r="U4483" i="34"/>
  <c r="Z4483" i="34"/>
  <c r="O4483" i="34"/>
  <c r="P4483" i="34"/>
  <c r="A4483" i="34"/>
  <c r="Q4553" i="34"/>
  <c r="U4553" i="34"/>
  <c r="Z4553" i="34"/>
  <c r="A4553" i="34"/>
  <c r="O4553" i="34"/>
  <c r="P4553" i="34"/>
  <c r="Q4523" i="34"/>
  <c r="U4523" i="34"/>
  <c r="Z4523" i="34"/>
  <c r="O4523" i="34"/>
  <c r="P4523" i="34"/>
  <c r="A4523" i="34"/>
  <c r="O3511" i="34"/>
  <c r="P3511" i="34"/>
  <c r="Q3511" i="34"/>
  <c r="U3511" i="34"/>
  <c r="Z3511" i="34"/>
  <c r="A3511" i="34"/>
  <c r="Q4448" i="34"/>
  <c r="U4448" i="34"/>
  <c r="Z4448" i="34"/>
  <c r="O4448" i="34"/>
  <c r="P4448" i="34"/>
  <c r="A4448" i="34"/>
  <c r="Q4454" i="34"/>
  <c r="U4454" i="34"/>
  <c r="Z4454" i="34"/>
  <c r="P4454" i="34"/>
  <c r="A4454" i="34"/>
  <c r="O4454" i="34"/>
  <c r="Q4519" i="34"/>
  <c r="U4519" i="34"/>
  <c r="Z4519" i="34"/>
  <c r="O4519" i="34"/>
  <c r="P4519" i="34"/>
  <c r="A4519" i="34"/>
  <c r="Q4533" i="34"/>
  <c r="U4533" i="34"/>
  <c r="Z4533" i="34"/>
  <c r="A4533" i="34"/>
  <c r="O4533" i="34"/>
  <c r="P4533" i="34"/>
  <c r="Q4507" i="34"/>
  <c r="U4507" i="34"/>
  <c r="Z4507" i="34"/>
  <c r="O4507" i="34"/>
  <c r="P4507" i="34"/>
  <c r="A4507" i="34"/>
  <c r="Q4488" i="34"/>
  <c r="U4488" i="34"/>
  <c r="Z4488" i="34"/>
  <c r="O4488" i="34"/>
  <c r="P4488" i="34"/>
  <c r="A4488" i="34"/>
  <c r="Q4498" i="34"/>
  <c r="U4498" i="34"/>
  <c r="Z4498" i="34"/>
  <c r="P4498" i="34"/>
  <c r="A4498" i="34"/>
  <c r="O4498" i="34"/>
  <c r="Q4545" i="34"/>
  <c r="U4545" i="34"/>
  <c r="Z4545" i="34"/>
  <c r="A4545" i="34"/>
  <c r="O4545" i="34"/>
  <c r="P4545" i="34"/>
  <c r="Q4607" i="34"/>
  <c r="U4607" i="34"/>
  <c r="Z4607" i="34"/>
  <c r="O4607" i="34"/>
  <c r="P4607" i="34"/>
  <c r="A4607" i="34"/>
  <c r="Q4613" i="34"/>
  <c r="U4613" i="34"/>
  <c r="Z4613" i="34"/>
  <c r="A4613" i="34"/>
  <c r="O4613" i="34"/>
  <c r="P4613" i="34"/>
  <c r="Q4617" i="34"/>
  <c r="U4617" i="34"/>
  <c r="Z4617" i="34"/>
  <c r="A4617" i="34"/>
  <c r="O4617" i="34"/>
  <c r="P4617" i="34"/>
  <c r="Q4694" i="34"/>
  <c r="U4694" i="34"/>
  <c r="Z4694" i="34"/>
  <c r="P4694" i="34"/>
  <c r="A4694" i="34"/>
  <c r="O4694" i="34"/>
  <c r="Q4698" i="34"/>
  <c r="U4698" i="34"/>
  <c r="Z4698" i="34"/>
  <c r="P4698" i="34"/>
  <c r="A4698" i="34"/>
  <c r="O4698" i="34"/>
  <c r="Q4702" i="34"/>
  <c r="U4702" i="34"/>
  <c r="Z4702" i="34"/>
  <c r="P4702" i="34"/>
  <c r="A4702" i="34"/>
  <c r="O4702" i="34"/>
  <c r="Q4706" i="34"/>
  <c r="U4706" i="34"/>
  <c r="Z4706" i="34"/>
  <c r="P4706" i="34"/>
  <c r="A4706" i="34"/>
  <c r="O4706" i="34"/>
  <c r="Q4710" i="34"/>
  <c r="U4710" i="34"/>
  <c r="Z4710" i="34"/>
  <c r="P4710" i="34"/>
  <c r="A4710" i="34"/>
  <c r="O4710" i="34"/>
  <c r="Q4714" i="34"/>
  <c r="U4714" i="34"/>
  <c r="Z4714" i="34"/>
  <c r="P4714" i="34"/>
  <c r="A4714" i="34"/>
  <c r="O4714" i="34"/>
  <c r="Q4718" i="34"/>
  <c r="U4718" i="34"/>
  <c r="Z4718" i="34"/>
  <c r="P4718" i="34"/>
  <c r="A4718" i="34"/>
  <c r="O4718" i="34"/>
  <c r="Q4722" i="34"/>
  <c r="U4722" i="34"/>
  <c r="Z4722" i="34"/>
  <c r="P4722" i="34"/>
  <c r="A4722" i="34"/>
  <c r="O4722" i="34"/>
  <c r="Q4726" i="34"/>
  <c r="U4726" i="34"/>
  <c r="Z4726" i="34"/>
  <c r="P4726" i="34"/>
  <c r="A4726" i="34"/>
  <c r="O4726" i="34"/>
  <c r="Q4730" i="34"/>
  <c r="U4730" i="34"/>
  <c r="Z4730" i="34"/>
  <c r="P4730" i="34"/>
  <c r="A4730" i="34"/>
  <c r="O4730" i="34"/>
  <c r="Q4734" i="34"/>
  <c r="U4734" i="34"/>
  <c r="Z4734" i="34"/>
  <c r="P4734" i="34"/>
  <c r="A4734" i="34"/>
  <c r="O4734" i="34"/>
  <c r="Q4738" i="34"/>
  <c r="U4738" i="34"/>
  <c r="Z4738" i="34"/>
  <c r="P4738" i="34"/>
  <c r="A4738" i="34"/>
  <c r="O4738" i="34"/>
  <c r="Q4742" i="34"/>
  <c r="U4742" i="34"/>
  <c r="Z4742" i="34"/>
  <c r="P4742" i="34"/>
  <c r="O4742" i="34"/>
  <c r="Q4746" i="34"/>
  <c r="U4746" i="34"/>
  <c r="Z4746" i="34"/>
  <c r="P4746" i="34"/>
  <c r="O4746" i="34"/>
  <c r="Q4750" i="34"/>
  <c r="U4750" i="34"/>
  <c r="Z4750" i="34"/>
  <c r="P4750" i="34"/>
  <c r="O4750" i="34"/>
  <c r="Q4754" i="34"/>
  <c r="U4754" i="34"/>
  <c r="Z4754" i="34"/>
  <c r="P4754" i="34"/>
  <c r="O4754" i="34"/>
  <c r="Q4623" i="34"/>
  <c r="U4623" i="34"/>
  <c r="Z4623" i="34"/>
  <c r="O4623" i="34"/>
  <c r="P4623" i="34"/>
  <c r="A4623" i="34"/>
  <c r="Q4627" i="34"/>
  <c r="U4627" i="34"/>
  <c r="Z4627" i="34"/>
  <c r="O4627" i="34"/>
  <c r="P4627" i="34"/>
  <c r="A4627" i="34"/>
  <c r="Q4631" i="34"/>
  <c r="U4631" i="34"/>
  <c r="Z4631" i="34"/>
  <c r="O4631" i="34"/>
  <c r="P4631" i="34"/>
  <c r="A4631" i="34"/>
  <c r="Q4635" i="34"/>
  <c r="U4635" i="34"/>
  <c r="Z4635" i="34"/>
  <c r="O4635" i="34"/>
  <c r="P4635" i="34"/>
  <c r="A4635" i="34"/>
  <c r="Q4639" i="34"/>
  <c r="U4639" i="34"/>
  <c r="Z4639" i="34"/>
  <c r="O4639" i="34"/>
  <c r="P4639" i="34"/>
  <c r="A4639" i="34"/>
  <c r="Q4643" i="34"/>
  <c r="U4643" i="34"/>
  <c r="Z4643" i="34"/>
  <c r="O4643" i="34"/>
  <c r="P4643" i="34"/>
  <c r="A4643" i="34"/>
  <c r="Q4647" i="34"/>
  <c r="U4647" i="34"/>
  <c r="Z4647" i="34"/>
  <c r="O4647" i="34"/>
  <c r="P4647" i="34"/>
  <c r="A4647" i="34"/>
  <c r="Q4651" i="34"/>
  <c r="U4651" i="34"/>
  <c r="Z4651" i="34"/>
  <c r="O4651" i="34"/>
  <c r="P4651" i="34"/>
  <c r="A4651" i="34"/>
  <c r="Q4655" i="34"/>
  <c r="U4655" i="34"/>
  <c r="Z4655" i="34"/>
  <c r="O4655" i="34"/>
  <c r="P4655" i="34"/>
  <c r="A4655" i="34"/>
  <c r="Q4659" i="34"/>
  <c r="U4659" i="34"/>
  <c r="Z4659" i="34"/>
  <c r="O4659" i="34"/>
  <c r="P4659" i="34"/>
  <c r="A4659" i="34"/>
  <c r="Q4663" i="34"/>
  <c r="U4663" i="34"/>
  <c r="Z4663" i="34"/>
  <c r="O4663" i="34"/>
  <c r="P4663" i="34"/>
  <c r="A4663" i="34"/>
  <c r="Q4667" i="34"/>
  <c r="U4667" i="34"/>
  <c r="Z4667" i="34"/>
  <c r="O4667" i="34"/>
  <c r="P4667" i="34"/>
  <c r="A4667" i="34"/>
  <c r="Q4671" i="34"/>
  <c r="U4671" i="34"/>
  <c r="Z4671" i="34"/>
  <c r="O4671" i="34"/>
  <c r="P4671" i="34"/>
  <c r="A4671" i="34"/>
  <c r="Q4675" i="34"/>
  <c r="U4675" i="34"/>
  <c r="Z4675" i="34"/>
  <c r="O4675" i="34"/>
  <c r="P4675" i="34"/>
  <c r="A4675" i="34"/>
  <c r="Q4679" i="34"/>
  <c r="U4679" i="34"/>
  <c r="Z4679" i="34"/>
  <c r="O4679" i="34"/>
  <c r="P4679" i="34"/>
  <c r="A4679" i="34"/>
  <c r="Q4683" i="34"/>
  <c r="U4683" i="34"/>
  <c r="Z4683" i="34"/>
  <c r="O4683" i="34"/>
  <c r="A4683" i="34"/>
  <c r="P4683" i="34"/>
  <c r="Q4687" i="34"/>
  <c r="U4687" i="34"/>
  <c r="Z4687" i="34"/>
  <c r="O4687" i="34"/>
  <c r="P4687" i="34"/>
  <c r="A4687" i="34"/>
  <c r="Q4691" i="34"/>
  <c r="U4691" i="34"/>
  <c r="Z4691" i="34"/>
  <c r="O4691" i="34"/>
  <c r="P4691" i="34"/>
  <c r="A4691" i="34"/>
  <c r="Q4597" i="34"/>
  <c r="U4597" i="34"/>
  <c r="Z4597" i="34"/>
  <c r="A4597" i="34"/>
  <c r="O4597" i="34"/>
  <c r="P4597" i="34"/>
  <c r="Q4592" i="34"/>
  <c r="U4592" i="34"/>
  <c r="Z4592" i="34"/>
  <c r="O4592" i="34"/>
  <c r="P4592" i="34"/>
  <c r="A4592" i="34"/>
  <c r="Q4596" i="34"/>
  <c r="U4596" i="34"/>
  <c r="Z4596" i="34"/>
  <c r="O4596" i="34"/>
  <c r="P4596" i="34"/>
  <c r="A4596" i="34"/>
  <c r="Q4473" i="34"/>
  <c r="U4473" i="34"/>
  <c r="Z4473" i="34"/>
  <c r="A4473" i="34"/>
  <c r="O4473" i="34"/>
  <c r="P4473" i="34"/>
  <c r="Q4477" i="34"/>
  <c r="U4477" i="34"/>
  <c r="Z4477" i="34"/>
  <c r="A4477" i="34"/>
  <c r="O4477" i="34"/>
  <c r="P4477" i="34"/>
  <c r="Q4537" i="34"/>
  <c r="U4537" i="34"/>
  <c r="Z4537" i="34"/>
  <c r="A4537" i="34"/>
  <c r="O4537" i="34"/>
  <c r="P4537" i="34"/>
  <c r="Q4541" i="34"/>
  <c r="U4541" i="34"/>
  <c r="Z4541" i="34"/>
  <c r="A4541" i="34"/>
  <c r="O4541" i="34"/>
  <c r="P4541" i="34"/>
  <c r="Q4468" i="34"/>
  <c r="U4468" i="34"/>
  <c r="Z4468" i="34"/>
  <c r="O4468" i="34"/>
  <c r="P4468" i="34"/>
  <c r="A4468" i="34"/>
  <c r="Q4582" i="34"/>
  <c r="U4582" i="34"/>
  <c r="Z4582" i="34"/>
  <c r="P4582" i="34"/>
  <c r="A4582" i="34"/>
  <c r="O4582" i="34"/>
  <c r="Q4586" i="34"/>
  <c r="U4586" i="34"/>
  <c r="Z4586" i="34"/>
  <c r="P4586" i="34"/>
  <c r="A4586" i="34"/>
  <c r="O4586" i="34"/>
  <c r="Q4560" i="34"/>
  <c r="U4560" i="34"/>
  <c r="Z4560" i="34"/>
  <c r="O4560" i="34"/>
  <c r="P4560" i="34"/>
  <c r="A4560" i="34"/>
  <c r="Q4564" i="34"/>
  <c r="U4564" i="34"/>
  <c r="Z4564" i="34"/>
  <c r="O4564" i="34"/>
  <c r="P4564" i="34"/>
  <c r="A4564" i="34"/>
  <c r="Q4568" i="34"/>
  <c r="U4568" i="34"/>
  <c r="Z4568" i="34"/>
  <c r="O4568" i="34"/>
  <c r="P4568" i="34"/>
  <c r="A4568" i="34"/>
  <c r="Q4572" i="34"/>
  <c r="U4572" i="34"/>
  <c r="Z4572" i="34"/>
  <c r="O4572" i="34"/>
  <c r="P4572" i="34"/>
  <c r="A4572" i="34"/>
  <c r="Q4576" i="34"/>
  <c r="U4576" i="34"/>
  <c r="Z4576" i="34"/>
  <c r="O4576" i="34"/>
  <c r="P4576" i="34"/>
  <c r="A4576" i="34"/>
  <c r="Q4600" i="34"/>
  <c r="U4600" i="34"/>
  <c r="Z4600" i="34"/>
  <c r="O4600" i="34"/>
  <c r="P4600" i="34"/>
  <c r="A4600" i="34"/>
  <c r="Q4550" i="34"/>
  <c r="U4550" i="34"/>
  <c r="Z4550" i="34"/>
  <c r="P4550" i="34"/>
  <c r="A4550" i="34"/>
  <c r="O4550" i="34"/>
  <c r="Q4451" i="34"/>
  <c r="U4451" i="34"/>
  <c r="Z4451" i="34"/>
  <c r="O4451" i="34"/>
  <c r="P4451" i="34"/>
  <c r="A4451" i="34"/>
  <c r="Q3395" i="34"/>
  <c r="U3395" i="34"/>
  <c r="Z3395" i="34"/>
  <c r="O3395" i="34"/>
  <c r="P3395" i="34"/>
  <c r="A3395" i="34"/>
  <c r="Q1935" i="34"/>
  <c r="U1935" i="34"/>
  <c r="Z1935" i="34"/>
  <c r="O1935" i="34"/>
  <c r="P1935" i="34"/>
  <c r="A1935" i="34"/>
  <c r="O2297" i="34"/>
  <c r="P2297" i="34"/>
  <c r="Q2297" i="34"/>
  <c r="U2297" i="34"/>
  <c r="Z2297" i="34"/>
  <c r="A2297" i="34"/>
  <c r="O2308" i="34"/>
  <c r="P2308" i="34"/>
  <c r="Q2308" i="34"/>
  <c r="U2308" i="34"/>
  <c r="Z2308" i="34"/>
  <c r="A2308" i="34"/>
  <c r="O2312" i="34"/>
  <c r="P2312" i="34"/>
  <c r="Q2312" i="34"/>
  <c r="U2312" i="34"/>
  <c r="Z2312" i="34"/>
  <c r="A2312" i="34"/>
  <c r="Q3359" i="34"/>
  <c r="U3359" i="34"/>
  <c r="Z3359" i="34"/>
  <c r="P3359" i="34"/>
  <c r="O3359" i="34"/>
  <c r="A3359" i="34"/>
  <c r="O3917" i="34"/>
  <c r="P3917" i="34"/>
  <c r="Q3917" i="34"/>
  <c r="U3917" i="34"/>
  <c r="Z3917" i="34"/>
  <c r="A3917" i="34"/>
  <c r="Q4462" i="34"/>
  <c r="U4462" i="34"/>
  <c r="Z4462" i="34"/>
  <c r="P4462" i="34"/>
  <c r="A4462" i="34"/>
  <c r="O4462" i="34"/>
  <c r="Q4511" i="34"/>
  <c r="U4511" i="34"/>
  <c r="Z4511" i="34"/>
  <c r="O4511" i="34"/>
  <c r="P4511" i="34"/>
  <c r="A4511" i="34"/>
  <c r="Q4515" i="34"/>
  <c r="U4515" i="34"/>
  <c r="Z4515" i="34"/>
  <c r="O4515" i="34"/>
  <c r="P4515" i="34"/>
  <c r="A4515" i="34"/>
  <c r="Q4517" i="34"/>
  <c r="U4517" i="34"/>
  <c r="Z4517" i="34"/>
  <c r="A4517" i="34"/>
  <c r="O4517" i="34"/>
  <c r="P4517" i="34"/>
  <c r="Q1989" i="34"/>
  <c r="U1989" i="34"/>
  <c r="Z1989" i="34"/>
  <c r="O1989" i="34"/>
  <c r="P1989" i="34"/>
  <c r="A1989" i="34"/>
  <c r="O2065" i="34"/>
  <c r="P2065" i="34"/>
  <c r="Q2065" i="34"/>
  <c r="U2065" i="34"/>
  <c r="Z2065" i="34"/>
  <c r="A2065" i="34"/>
  <c r="O2071" i="34"/>
  <c r="P2071" i="34"/>
  <c r="Q2071" i="34"/>
  <c r="U2071" i="34"/>
  <c r="Z2071" i="34"/>
  <c r="A2071" i="34"/>
  <c r="Q1740" i="34"/>
  <c r="U1740" i="34"/>
  <c r="Z1740" i="34"/>
  <c r="P1740" i="34"/>
  <c r="O1740" i="34"/>
  <c r="A1740" i="34"/>
  <c r="Q128" i="34"/>
  <c r="U128" i="34"/>
  <c r="Z128" i="34"/>
  <c r="O128" i="34"/>
  <c r="P128" i="34"/>
  <c r="A128" i="34"/>
  <c r="Q137" i="34"/>
  <c r="U137" i="34"/>
  <c r="Z137" i="34"/>
  <c r="O137" i="34"/>
  <c r="P137" i="34"/>
  <c r="A137" i="34"/>
  <c r="Q133" i="34"/>
  <c r="U133" i="34"/>
  <c r="Z133" i="34"/>
  <c r="O133" i="34"/>
  <c r="P133" i="34"/>
  <c r="A133" i="34"/>
  <c r="Q129" i="34"/>
  <c r="U129" i="34"/>
  <c r="Z129" i="34"/>
  <c r="O129" i="34"/>
  <c r="P129" i="34"/>
  <c r="A129" i="34"/>
  <c r="P153" i="34"/>
  <c r="Q153" i="34"/>
  <c r="U153" i="34"/>
  <c r="Z153" i="34"/>
  <c r="O153" i="34"/>
  <c r="A153" i="34"/>
  <c r="P149" i="34"/>
  <c r="Q149" i="34"/>
  <c r="U149" i="34"/>
  <c r="Z149" i="34"/>
  <c r="O149" i="34"/>
  <c r="A149" i="34"/>
  <c r="Q145" i="34"/>
  <c r="U145" i="34"/>
  <c r="Z145" i="34"/>
  <c r="O145" i="34"/>
  <c r="P145" i="34"/>
  <c r="A145" i="34"/>
  <c r="P164" i="34"/>
  <c r="Q164" i="34"/>
  <c r="U164" i="34"/>
  <c r="Z164" i="34"/>
  <c r="O164" i="34"/>
  <c r="A164" i="34"/>
  <c r="P159" i="34"/>
  <c r="Q159" i="34"/>
  <c r="U159" i="34"/>
  <c r="Z159" i="34"/>
  <c r="O159" i="34"/>
  <c r="A159" i="34"/>
  <c r="P163" i="34"/>
  <c r="Q163" i="34"/>
  <c r="U163" i="34"/>
  <c r="Z163" i="34"/>
  <c r="O163" i="34"/>
  <c r="A163" i="34"/>
  <c r="P986" i="34"/>
  <c r="Q986" i="34"/>
  <c r="U986" i="34"/>
  <c r="Z986" i="34"/>
  <c r="O986" i="34"/>
  <c r="A986" i="34"/>
  <c r="P982" i="34"/>
  <c r="Q982" i="34"/>
  <c r="U982" i="34"/>
  <c r="Z982" i="34"/>
  <c r="O982" i="34"/>
  <c r="A982" i="34"/>
  <c r="P978" i="34"/>
  <c r="Q978" i="34"/>
  <c r="U978" i="34"/>
  <c r="Z978" i="34"/>
  <c r="O978" i="34"/>
  <c r="A978" i="34"/>
  <c r="P974" i="34"/>
  <c r="Q974" i="34"/>
  <c r="U974" i="34"/>
  <c r="Z974" i="34"/>
  <c r="O974" i="34"/>
  <c r="A974" i="34"/>
  <c r="P970" i="34"/>
  <c r="Q970" i="34"/>
  <c r="U970" i="34"/>
  <c r="Z970" i="34"/>
  <c r="O970" i="34"/>
  <c r="A970" i="34"/>
  <c r="P966" i="34"/>
  <c r="Q966" i="34"/>
  <c r="U966" i="34"/>
  <c r="Z966" i="34"/>
  <c r="O966" i="34"/>
  <c r="A966" i="34"/>
  <c r="P962" i="34"/>
  <c r="Q962" i="34"/>
  <c r="U962" i="34"/>
  <c r="Z962" i="34"/>
  <c r="O962" i="34"/>
  <c r="A962" i="34"/>
  <c r="P958" i="34"/>
  <c r="Q958" i="34"/>
  <c r="U958" i="34"/>
  <c r="Z958" i="34"/>
  <c r="O958" i="34"/>
  <c r="A958" i="34"/>
  <c r="P954" i="34"/>
  <c r="Q954" i="34"/>
  <c r="U954" i="34"/>
  <c r="Z954" i="34"/>
  <c r="O954" i="34"/>
  <c r="A954" i="34"/>
  <c r="P950" i="34"/>
  <c r="Q950" i="34"/>
  <c r="U950" i="34"/>
  <c r="Z950" i="34"/>
  <c r="O950" i="34"/>
  <c r="A950" i="34"/>
  <c r="P946" i="34"/>
  <c r="Q946" i="34"/>
  <c r="U946" i="34"/>
  <c r="Z946" i="34"/>
  <c r="O946" i="34"/>
  <c r="A946" i="34"/>
  <c r="P1307" i="34"/>
  <c r="Q1307" i="34"/>
  <c r="U1307" i="34"/>
  <c r="Z1307" i="34"/>
  <c r="O1307" i="34"/>
  <c r="A1307" i="34"/>
  <c r="Q1469" i="34"/>
  <c r="U1469" i="34"/>
  <c r="Z1469" i="34"/>
  <c r="P1469" i="34"/>
  <c r="O1469" i="34"/>
  <c r="A1469" i="34"/>
  <c r="Q1472" i="34"/>
  <c r="U1472" i="34"/>
  <c r="Z1472" i="34"/>
  <c r="O1472" i="34"/>
  <c r="P1472" i="34"/>
  <c r="A1472" i="34"/>
  <c r="Q1464" i="34"/>
  <c r="U1464" i="34"/>
  <c r="Z1464" i="34"/>
  <c r="O1464" i="34"/>
  <c r="P1464" i="34"/>
  <c r="A1464" i="34"/>
  <c r="Q1460" i="34"/>
  <c r="U1460" i="34"/>
  <c r="Z1460" i="34"/>
  <c r="O1460" i="34"/>
  <c r="P1460" i="34"/>
  <c r="A1460" i="34"/>
  <c r="Q1456" i="34"/>
  <c r="U1456" i="34"/>
  <c r="Z1456" i="34"/>
  <c r="O1456" i="34"/>
  <c r="P1456" i="34"/>
  <c r="A1456" i="34"/>
  <c r="P1403" i="34"/>
  <c r="Q1403" i="34"/>
  <c r="U1403" i="34"/>
  <c r="Z1403" i="34"/>
  <c r="O1403" i="34"/>
  <c r="A1403" i="34"/>
  <c r="O1399" i="34"/>
  <c r="P1399" i="34"/>
  <c r="Q1399" i="34"/>
  <c r="U1399" i="34"/>
  <c r="Z1399" i="34"/>
  <c r="A1399" i="34"/>
  <c r="P853" i="34"/>
  <c r="Q853" i="34"/>
  <c r="U853" i="34"/>
  <c r="Z853" i="34"/>
  <c r="O853" i="34"/>
  <c r="A853" i="34"/>
  <c r="Q1156" i="34"/>
  <c r="U1156" i="34"/>
  <c r="Z1156" i="34"/>
  <c r="P1156" i="34"/>
  <c r="O1156" i="34"/>
  <c r="A1156" i="34"/>
  <c r="Q1168" i="34"/>
  <c r="U1168" i="34"/>
  <c r="Z1168" i="34"/>
  <c r="P1168" i="34"/>
  <c r="O1168" i="34"/>
  <c r="A1168" i="34"/>
  <c r="Q1170" i="34"/>
  <c r="U1170" i="34"/>
  <c r="Z1170" i="34"/>
  <c r="O1170" i="34"/>
  <c r="P1170" i="34"/>
  <c r="A1170" i="34"/>
  <c r="Q1179" i="34"/>
  <c r="U1179" i="34"/>
  <c r="Z1179" i="34"/>
  <c r="O1179" i="34"/>
  <c r="P1179" i="34"/>
  <c r="A1179" i="34"/>
  <c r="Q1173" i="34"/>
  <c r="U1173" i="34"/>
  <c r="Z1173" i="34"/>
  <c r="O1173" i="34"/>
  <c r="P1173" i="34"/>
  <c r="A1173" i="34"/>
  <c r="Q1137" i="34"/>
  <c r="U1137" i="34"/>
  <c r="Z1137" i="34"/>
  <c r="O1137" i="34"/>
  <c r="P1137" i="34"/>
  <c r="A1137" i="34"/>
  <c r="Q1144" i="34"/>
  <c r="U1144" i="34"/>
  <c r="Z1144" i="34"/>
  <c r="P1144" i="34"/>
  <c r="O1144" i="34"/>
  <c r="A1144" i="34"/>
  <c r="Q1158" i="34"/>
  <c r="U1158" i="34"/>
  <c r="Z1158" i="34"/>
  <c r="O1158" i="34"/>
  <c r="P1158" i="34"/>
  <c r="A1158" i="34"/>
  <c r="Q1161" i="34"/>
  <c r="U1161" i="34"/>
  <c r="Z1161" i="34"/>
  <c r="O1161" i="34"/>
  <c r="P1161" i="34"/>
  <c r="A1161" i="34"/>
  <c r="Q1163" i="34"/>
  <c r="U1163" i="34"/>
  <c r="Z1163" i="34"/>
  <c r="O1163" i="34"/>
  <c r="P1163" i="34"/>
  <c r="A1163" i="34"/>
  <c r="Q1063" i="34"/>
  <c r="U1063" i="34"/>
  <c r="Z1063" i="34"/>
  <c r="O1063" i="34"/>
  <c r="P1063" i="34"/>
  <c r="A1063" i="34"/>
  <c r="Q1068" i="34"/>
  <c r="U1068" i="34"/>
  <c r="Z1068" i="34"/>
  <c r="P1068" i="34"/>
  <c r="O1068" i="34"/>
  <c r="A1068" i="34"/>
  <c r="Q1071" i="34"/>
  <c r="U1071" i="34"/>
  <c r="Z1071" i="34"/>
  <c r="O1071" i="34"/>
  <c r="P1071" i="34"/>
  <c r="A1071" i="34"/>
  <c r="Q1074" i="34"/>
  <c r="U1074" i="34"/>
  <c r="Z1074" i="34"/>
  <c r="O1074" i="34"/>
  <c r="P1074" i="34"/>
  <c r="A1074" i="34"/>
  <c r="Q1079" i="34"/>
  <c r="U1079" i="34"/>
  <c r="Z1079" i="34"/>
  <c r="O1079" i="34"/>
  <c r="P1079" i="34"/>
  <c r="A1079" i="34"/>
  <c r="Q1084" i="34"/>
  <c r="U1084" i="34"/>
  <c r="Z1084" i="34"/>
  <c r="P1084" i="34"/>
  <c r="O1084" i="34"/>
  <c r="A1084" i="34"/>
  <c r="Q1087" i="34"/>
  <c r="U1087" i="34"/>
  <c r="Z1087" i="34"/>
  <c r="O1087" i="34"/>
  <c r="P1087" i="34"/>
  <c r="A1087" i="34"/>
  <c r="Q1090" i="34"/>
  <c r="U1090" i="34"/>
  <c r="Z1090" i="34"/>
  <c r="O1090" i="34"/>
  <c r="P1090" i="34"/>
  <c r="A1090" i="34"/>
  <c r="Q1092" i="34"/>
  <c r="U1092" i="34"/>
  <c r="Z1092" i="34"/>
  <c r="P1092" i="34"/>
  <c r="O1092" i="34"/>
  <c r="A1092" i="34"/>
  <c r="Q1128" i="34"/>
  <c r="U1128" i="34"/>
  <c r="Z1128" i="34"/>
  <c r="P1128" i="34"/>
  <c r="O1128" i="34"/>
  <c r="A1128" i="34"/>
  <c r="Q1131" i="34"/>
  <c r="U1131" i="34"/>
  <c r="Z1131" i="34"/>
  <c r="O1131" i="34"/>
  <c r="P1131" i="34"/>
  <c r="A1131" i="34"/>
  <c r="P166" i="34"/>
  <c r="Q166" i="34"/>
  <c r="U166" i="34"/>
  <c r="Z166" i="34"/>
  <c r="O166" i="34"/>
  <c r="A166" i="34"/>
  <c r="P169" i="34"/>
  <c r="Q169" i="34"/>
  <c r="U169" i="34"/>
  <c r="Z169" i="34"/>
  <c r="O169" i="34"/>
  <c r="A169" i="34"/>
  <c r="P173" i="34"/>
  <c r="Q173" i="34"/>
  <c r="U173" i="34"/>
  <c r="Z173" i="34"/>
  <c r="O173" i="34"/>
  <c r="A173" i="34"/>
  <c r="Q191" i="34"/>
  <c r="U191" i="34"/>
  <c r="Z191" i="34"/>
  <c r="P191" i="34"/>
  <c r="O191" i="34"/>
  <c r="A191" i="34"/>
  <c r="Q195" i="34"/>
  <c r="U195" i="34"/>
  <c r="Z195" i="34"/>
  <c r="P195" i="34"/>
  <c r="O195" i="34"/>
  <c r="A195" i="34"/>
  <c r="Q199" i="34"/>
  <c r="U199" i="34"/>
  <c r="Z199" i="34"/>
  <c r="P199" i="34"/>
  <c r="O199" i="34"/>
  <c r="A199" i="34"/>
  <c r="P177" i="34"/>
  <c r="Q177" i="34"/>
  <c r="U177" i="34"/>
  <c r="Z177" i="34"/>
  <c r="O177" i="34"/>
  <c r="A177" i="34"/>
  <c r="P181" i="34"/>
  <c r="Q181" i="34"/>
  <c r="U181" i="34"/>
  <c r="Z181" i="34"/>
  <c r="O181" i="34"/>
  <c r="A181" i="34"/>
  <c r="Q185" i="34"/>
  <c r="U185" i="34"/>
  <c r="Z185" i="34"/>
  <c r="O185" i="34"/>
  <c r="P185" i="34"/>
  <c r="A185" i="34"/>
  <c r="P1308" i="34"/>
  <c r="Q1308" i="34"/>
  <c r="U1308" i="34"/>
  <c r="Z1308" i="34"/>
  <c r="O1308" i="34"/>
  <c r="A1308" i="34"/>
  <c r="O1392" i="34"/>
  <c r="P1392" i="34"/>
  <c r="Q1392" i="34"/>
  <c r="U1392" i="34"/>
  <c r="Z1392" i="34"/>
  <c r="A1392" i="34"/>
  <c r="Q1413" i="34"/>
  <c r="U1413" i="34"/>
  <c r="Z1413" i="34"/>
  <c r="P1413" i="34"/>
  <c r="O1413" i="34"/>
  <c r="A1413" i="34"/>
  <c r="Q1409" i="34"/>
  <c r="U1409" i="34"/>
  <c r="Z1409" i="34"/>
  <c r="P1409" i="34"/>
  <c r="O1409" i="34"/>
  <c r="A1409" i="34"/>
  <c r="P1320" i="34"/>
  <c r="Q1320" i="34"/>
  <c r="U1320" i="34"/>
  <c r="Z1320" i="34"/>
  <c r="O1320" i="34"/>
  <c r="A1320" i="34"/>
  <c r="P1316" i="34"/>
  <c r="Q1316" i="34"/>
  <c r="U1316" i="34"/>
  <c r="Z1316" i="34"/>
  <c r="O1316" i="34"/>
  <c r="A1316" i="34"/>
  <c r="P1304" i="34"/>
  <c r="Q1304" i="34"/>
  <c r="U1304" i="34"/>
  <c r="Z1304" i="34"/>
  <c r="O1304" i="34"/>
  <c r="A1304" i="34"/>
  <c r="O1387" i="34"/>
  <c r="P1387" i="34"/>
  <c r="Q1387" i="34"/>
  <c r="U1387" i="34"/>
  <c r="Z1387" i="34"/>
  <c r="A1387" i="34"/>
  <c r="P1321" i="34"/>
  <c r="Q1321" i="34"/>
  <c r="U1321" i="34"/>
  <c r="Z1321" i="34"/>
  <c r="O1321" i="34"/>
  <c r="A1321" i="34"/>
  <c r="Q1324" i="34"/>
  <c r="U1324" i="34"/>
  <c r="Z1324" i="34"/>
  <c r="O1324" i="34"/>
  <c r="P1324" i="34"/>
  <c r="A1324" i="34"/>
  <c r="Q1328" i="34"/>
  <c r="U1328" i="34"/>
  <c r="Z1328" i="34"/>
  <c r="O1328" i="34"/>
  <c r="P1328" i="34"/>
  <c r="A1328" i="34"/>
  <c r="Q1332" i="34"/>
  <c r="U1332" i="34"/>
  <c r="Z1332" i="34"/>
  <c r="O1332" i="34"/>
  <c r="P1332" i="34"/>
  <c r="A1332" i="34"/>
  <c r="Q1336" i="34"/>
  <c r="U1336" i="34"/>
  <c r="Z1336" i="34"/>
  <c r="O1336" i="34"/>
  <c r="P1336" i="34"/>
  <c r="A1336" i="34"/>
  <c r="Q1340" i="34"/>
  <c r="U1340" i="34"/>
  <c r="Z1340" i="34"/>
  <c r="O1340" i="34"/>
  <c r="P1340" i="34"/>
  <c r="A1340" i="34"/>
  <c r="Q1344" i="34"/>
  <c r="U1344" i="34"/>
  <c r="Z1344" i="34"/>
  <c r="O1344" i="34"/>
  <c r="P1344" i="34"/>
  <c r="A1344" i="34"/>
  <c r="Q1348" i="34"/>
  <c r="U1348" i="34"/>
  <c r="Z1348" i="34"/>
  <c r="O1348" i="34"/>
  <c r="P1348" i="34"/>
  <c r="A1348" i="34"/>
  <c r="Q1352" i="34"/>
  <c r="U1352" i="34"/>
  <c r="Z1352" i="34"/>
  <c r="O1352" i="34"/>
  <c r="P1352" i="34"/>
  <c r="A1352" i="34"/>
  <c r="Q1356" i="34"/>
  <c r="U1356" i="34"/>
  <c r="O1356" i="34"/>
  <c r="Z1356" i="34"/>
  <c r="P1356" i="34"/>
  <c r="A1356" i="34"/>
  <c r="O1360" i="34"/>
  <c r="P1360" i="34"/>
  <c r="Q1360" i="34"/>
  <c r="U1360" i="34"/>
  <c r="Z1360" i="34"/>
  <c r="A1360" i="34"/>
  <c r="O1364" i="34"/>
  <c r="P1364" i="34"/>
  <c r="Q1364" i="34"/>
  <c r="U1364" i="34"/>
  <c r="Z1364" i="34"/>
  <c r="A1364" i="34"/>
  <c r="O1368" i="34"/>
  <c r="P1368" i="34"/>
  <c r="Q1368" i="34"/>
  <c r="U1368" i="34"/>
  <c r="Z1368" i="34"/>
  <c r="A1368" i="34"/>
  <c r="O1372" i="34"/>
  <c r="P1372" i="34"/>
  <c r="Q1372" i="34"/>
  <c r="U1372" i="34"/>
  <c r="Z1372" i="34"/>
  <c r="A1372" i="34"/>
  <c r="O1376" i="34"/>
  <c r="P1376" i="34"/>
  <c r="Q1376" i="34"/>
  <c r="U1376" i="34"/>
  <c r="Z1376" i="34"/>
  <c r="A1376" i="34"/>
  <c r="O1380" i="34"/>
  <c r="P1380" i="34"/>
  <c r="Q1380" i="34"/>
  <c r="U1380" i="34"/>
  <c r="Z1380" i="34"/>
  <c r="A1380" i="34"/>
  <c r="O1384" i="34"/>
  <c r="P1384" i="34"/>
  <c r="Q1384" i="34"/>
  <c r="U1384" i="34"/>
  <c r="Z1384" i="34"/>
  <c r="A1384" i="34"/>
  <c r="Q1562" i="34"/>
  <c r="U1562" i="34"/>
  <c r="Z1562" i="34"/>
  <c r="O1562" i="34"/>
  <c r="P1562" i="34"/>
  <c r="A1562" i="34"/>
  <c r="Q1566" i="34"/>
  <c r="U1566" i="34"/>
  <c r="Z1566" i="34"/>
  <c r="O1566" i="34"/>
  <c r="P1566" i="34"/>
  <c r="A1566" i="34"/>
  <c r="Q1570" i="34"/>
  <c r="O1570" i="34"/>
  <c r="P1570" i="34"/>
  <c r="U1570" i="34"/>
  <c r="Z1570" i="34"/>
  <c r="A1570" i="34"/>
  <c r="Q1555" i="34"/>
  <c r="U1555" i="34"/>
  <c r="Z1555" i="34"/>
  <c r="O1555" i="34"/>
  <c r="P1555" i="34"/>
  <c r="A1555" i="34"/>
  <c r="Q1559" i="34"/>
  <c r="U1559" i="34"/>
  <c r="Z1559" i="34"/>
  <c r="O1559" i="34"/>
  <c r="P1559" i="34"/>
  <c r="A1559" i="34"/>
  <c r="Q1543" i="34"/>
  <c r="U1543" i="34"/>
  <c r="Z1543" i="34"/>
  <c r="O1543" i="34"/>
  <c r="P1543" i="34"/>
  <c r="A1543" i="34"/>
  <c r="Q1547" i="34"/>
  <c r="U1547" i="34"/>
  <c r="Z1547" i="34"/>
  <c r="O1547" i="34"/>
  <c r="P1547" i="34"/>
  <c r="A1547" i="34"/>
  <c r="Q1551" i="34"/>
  <c r="U1551" i="34"/>
  <c r="Z1551" i="34"/>
  <c r="O1551" i="34"/>
  <c r="P1551" i="34"/>
  <c r="A1551" i="34"/>
  <c r="Q1535" i="34"/>
  <c r="U1535" i="34"/>
  <c r="Z1535" i="34"/>
  <c r="O1535" i="34"/>
  <c r="P1535" i="34"/>
  <c r="A1535" i="34"/>
  <c r="Q1539" i="34"/>
  <c r="U1539" i="34"/>
  <c r="Z1539" i="34"/>
  <c r="O1539" i="34"/>
  <c r="P1539" i="34"/>
  <c r="A1539" i="34"/>
  <c r="Q1523" i="34"/>
  <c r="U1523" i="34"/>
  <c r="Z1523" i="34"/>
  <c r="O1523" i="34"/>
  <c r="P1523" i="34"/>
  <c r="A1523" i="34"/>
  <c r="Q1527" i="34"/>
  <c r="U1527" i="34"/>
  <c r="Z1527" i="34"/>
  <c r="O1527" i="34"/>
  <c r="P1527" i="34"/>
  <c r="A1527" i="34"/>
  <c r="Q1531" i="34"/>
  <c r="U1531" i="34"/>
  <c r="Z1531" i="34"/>
  <c r="O1531" i="34"/>
  <c r="P1531" i="34"/>
  <c r="A1531" i="34"/>
  <c r="Q1515" i="34"/>
  <c r="U1515" i="34"/>
  <c r="Z1515" i="34"/>
  <c r="O1515" i="34"/>
  <c r="P1515" i="34"/>
  <c r="A1515" i="34"/>
  <c r="Q1519" i="34"/>
  <c r="U1519" i="34"/>
  <c r="Z1519" i="34"/>
  <c r="O1519" i="34"/>
  <c r="P1519" i="34"/>
  <c r="A1519" i="34"/>
  <c r="Q1503" i="34"/>
  <c r="U1503" i="34"/>
  <c r="Z1503" i="34"/>
  <c r="O1503" i="34"/>
  <c r="P1503" i="34"/>
  <c r="A1503" i="34"/>
  <c r="Q1507" i="34"/>
  <c r="U1507" i="34"/>
  <c r="Z1507" i="34"/>
  <c r="O1507" i="34"/>
  <c r="P1507" i="34"/>
  <c r="A1507" i="34"/>
  <c r="Q1511" i="34"/>
  <c r="U1511" i="34"/>
  <c r="Z1511" i="34"/>
  <c r="O1511" i="34"/>
  <c r="P1511" i="34"/>
  <c r="A1511" i="34"/>
  <c r="Q1495" i="34"/>
  <c r="U1495" i="34"/>
  <c r="Z1495" i="34"/>
  <c r="O1495" i="34"/>
  <c r="P1495" i="34"/>
  <c r="A1495" i="34"/>
  <c r="Q1499" i="34"/>
  <c r="U1499" i="34"/>
  <c r="Z1499" i="34"/>
  <c r="O1499" i="34"/>
  <c r="P1499" i="34"/>
  <c r="A1499" i="34"/>
  <c r="Q1119" i="34"/>
  <c r="U1119" i="34"/>
  <c r="Z1119" i="34"/>
  <c r="O1119" i="34"/>
  <c r="P1119" i="34"/>
  <c r="A1119" i="34"/>
  <c r="Q1117" i="34"/>
  <c r="U1117" i="34"/>
  <c r="Z1117" i="34"/>
  <c r="O1117" i="34"/>
  <c r="P1117" i="34"/>
  <c r="A1117" i="34"/>
  <c r="Q1107" i="34"/>
  <c r="U1107" i="34"/>
  <c r="Z1107" i="34"/>
  <c r="O1107" i="34"/>
  <c r="P1107" i="34"/>
  <c r="A1107" i="34"/>
  <c r="Q1109" i="34"/>
  <c r="U1109" i="34"/>
  <c r="Z1109" i="34"/>
  <c r="O1109" i="34"/>
  <c r="P1109" i="34"/>
  <c r="A1109" i="34"/>
  <c r="Q1111" i="34"/>
  <c r="U1111" i="34"/>
  <c r="Z1111" i="34"/>
  <c r="O1111" i="34"/>
  <c r="P1111" i="34"/>
  <c r="A1111" i="34"/>
  <c r="Q1113" i="34"/>
  <c r="U1113" i="34"/>
  <c r="Z1113" i="34"/>
  <c r="O1113" i="34"/>
  <c r="P1113" i="34"/>
  <c r="A1113" i="34"/>
  <c r="Q1115" i="34"/>
  <c r="U1115" i="34"/>
  <c r="Z1115" i="34"/>
  <c r="O1115" i="34"/>
  <c r="P1115" i="34"/>
  <c r="A1115" i="34"/>
  <c r="Q1098" i="34"/>
  <c r="U1098" i="34"/>
  <c r="Z1098" i="34"/>
  <c r="O1098" i="34"/>
  <c r="P1098" i="34"/>
  <c r="A1098" i="34"/>
  <c r="Q1100" i="34"/>
  <c r="U1100" i="34"/>
  <c r="Z1100" i="34"/>
  <c r="P1100" i="34"/>
  <c r="O1100" i="34"/>
  <c r="A1100" i="34"/>
  <c r="Q1102" i="34"/>
  <c r="U1102" i="34"/>
  <c r="Z1102" i="34"/>
  <c r="O1102" i="34"/>
  <c r="P1102" i="34"/>
  <c r="A1102" i="34"/>
  <c r="Q1104" i="34"/>
  <c r="U1104" i="34"/>
  <c r="Z1104" i="34"/>
  <c r="P1104" i="34"/>
  <c r="O1104" i="34"/>
  <c r="A1104" i="34"/>
  <c r="Q1106" i="34"/>
  <c r="U1106" i="34"/>
  <c r="Z1106" i="34"/>
  <c r="O1106" i="34"/>
  <c r="P1106" i="34"/>
  <c r="A1106" i="34"/>
  <c r="Q1152" i="34"/>
  <c r="U1152" i="34"/>
  <c r="Z1152" i="34"/>
  <c r="P1152" i="34"/>
  <c r="O1152" i="34"/>
  <c r="A1152" i="34"/>
  <c r="Q1054" i="34"/>
  <c r="U1054" i="34"/>
  <c r="Z1054" i="34"/>
  <c r="O1054" i="34"/>
  <c r="P1054" i="34"/>
  <c r="A1054" i="34"/>
  <c r="Q1052" i="34"/>
  <c r="U1052" i="34"/>
  <c r="Z1052" i="34"/>
  <c r="P1052" i="34"/>
  <c r="O1052" i="34"/>
  <c r="A1052" i="34"/>
  <c r="Q1039" i="34"/>
  <c r="U1039" i="34"/>
  <c r="Z1039" i="34"/>
  <c r="O1039" i="34"/>
  <c r="P1039" i="34"/>
  <c r="A1039" i="34"/>
  <c r="Q1041" i="34"/>
  <c r="U1041" i="34"/>
  <c r="Z1041" i="34"/>
  <c r="O1041" i="34"/>
  <c r="P1041" i="34"/>
  <c r="A1041" i="34"/>
  <c r="Q1043" i="34"/>
  <c r="U1043" i="34"/>
  <c r="Z1043" i="34"/>
  <c r="O1043" i="34"/>
  <c r="P1043" i="34"/>
  <c r="A1043" i="34"/>
  <c r="Q1045" i="34"/>
  <c r="U1045" i="34"/>
  <c r="Z1045" i="34"/>
  <c r="O1045" i="34"/>
  <c r="P1045" i="34"/>
  <c r="A1045" i="34"/>
  <c r="Q1047" i="34"/>
  <c r="U1047" i="34"/>
  <c r="Z1047" i="34"/>
  <c r="O1047" i="34"/>
  <c r="P1047" i="34"/>
  <c r="A1047" i="34"/>
  <c r="Q1029" i="34"/>
  <c r="U1029" i="34"/>
  <c r="Z1029" i="34"/>
  <c r="O1029" i="34"/>
  <c r="P1029" i="34"/>
  <c r="A1029" i="34"/>
  <c r="Q1031" i="34"/>
  <c r="U1031" i="34"/>
  <c r="Z1031" i="34"/>
  <c r="O1031" i="34"/>
  <c r="P1031" i="34"/>
  <c r="A1031" i="34"/>
  <c r="Q1033" i="34"/>
  <c r="U1033" i="34"/>
  <c r="Z1033" i="34"/>
  <c r="O1033" i="34"/>
  <c r="P1033" i="34"/>
  <c r="A1033" i="34"/>
  <c r="Q1035" i="34"/>
  <c r="U1035" i="34"/>
  <c r="Z1035" i="34"/>
  <c r="O1035" i="34"/>
  <c r="P1035" i="34"/>
  <c r="A1035" i="34"/>
  <c r="Q1037" i="34"/>
  <c r="U1037" i="34"/>
  <c r="Z1037" i="34"/>
  <c r="O1037" i="34"/>
  <c r="P1037" i="34"/>
  <c r="A1037" i="34"/>
  <c r="Q1019" i="34"/>
  <c r="U1019" i="34"/>
  <c r="Z1019" i="34"/>
  <c r="O1019" i="34"/>
  <c r="P1019" i="34"/>
  <c r="A1019" i="34"/>
  <c r="Q1021" i="34"/>
  <c r="U1021" i="34"/>
  <c r="Z1021" i="34"/>
  <c r="O1021" i="34"/>
  <c r="P1021" i="34"/>
  <c r="A1021" i="34"/>
  <c r="Q1023" i="34"/>
  <c r="U1023" i="34"/>
  <c r="Z1023" i="34"/>
  <c r="O1023" i="34"/>
  <c r="P1023" i="34"/>
  <c r="A1023" i="34"/>
  <c r="Q1025" i="34"/>
  <c r="U1025" i="34"/>
  <c r="Z1025" i="34"/>
  <c r="O1025" i="34"/>
  <c r="P1025" i="34"/>
  <c r="A1025" i="34"/>
  <c r="Q1027" i="34"/>
  <c r="U1027" i="34"/>
  <c r="Z1027" i="34"/>
  <c r="O1027" i="34"/>
  <c r="P1027" i="34"/>
  <c r="A1027" i="34"/>
  <c r="Q1009" i="34"/>
  <c r="U1009" i="34"/>
  <c r="Z1009" i="34"/>
  <c r="O1009" i="34"/>
  <c r="P1009" i="34"/>
  <c r="A1009" i="34"/>
  <c r="Q1011" i="34"/>
  <c r="U1011" i="34"/>
  <c r="Z1011" i="34"/>
  <c r="O1011" i="34"/>
  <c r="P1011" i="34"/>
  <c r="A1011" i="34"/>
  <c r="Q1013" i="34"/>
  <c r="U1013" i="34"/>
  <c r="Z1013" i="34"/>
  <c r="O1013" i="34"/>
  <c r="P1013" i="34"/>
  <c r="A1013" i="34"/>
  <c r="Q1015" i="34"/>
  <c r="U1015" i="34"/>
  <c r="Z1015" i="34"/>
  <c r="O1015" i="34"/>
  <c r="P1015" i="34"/>
  <c r="A1015" i="34"/>
  <c r="Q1017" i="34"/>
  <c r="U1017" i="34"/>
  <c r="Z1017" i="34"/>
  <c r="O1017" i="34"/>
  <c r="P1017" i="34"/>
  <c r="A1017" i="34"/>
  <c r="Q999" i="34"/>
  <c r="U999" i="34"/>
  <c r="Z999" i="34"/>
  <c r="O999" i="34"/>
  <c r="P999" i="34"/>
  <c r="A999" i="34"/>
  <c r="Q1001" i="34"/>
  <c r="U1001" i="34"/>
  <c r="Z1001" i="34"/>
  <c r="O1001" i="34"/>
  <c r="P1001" i="34"/>
  <c r="A1001" i="34"/>
  <c r="Q1003" i="34"/>
  <c r="U1003" i="34"/>
  <c r="Z1003" i="34"/>
  <c r="O1003" i="34"/>
  <c r="P1003" i="34"/>
  <c r="A1003" i="34"/>
  <c r="Q1005" i="34"/>
  <c r="U1005" i="34"/>
  <c r="Z1005" i="34"/>
  <c r="O1005" i="34"/>
  <c r="P1005" i="34"/>
  <c r="A1005" i="34"/>
  <c r="Q1007" i="34"/>
  <c r="U1007" i="34"/>
  <c r="Z1007" i="34"/>
  <c r="O1007" i="34"/>
  <c r="P1007" i="34"/>
  <c r="A1007" i="34"/>
  <c r="P989" i="34"/>
  <c r="Q989" i="34"/>
  <c r="U989" i="34"/>
  <c r="Z989" i="34"/>
  <c r="O989" i="34"/>
  <c r="A989" i="34"/>
  <c r="P991" i="34"/>
  <c r="Q991" i="34"/>
  <c r="U991" i="34"/>
  <c r="Z991" i="34"/>
  <c r="O991" i="34"/>
  <c r="A991" i="34"/>
  <c r="P993" i="34"/>
  <c r="Q993" i="34"/>
  <c r="U993" i="34"/>
  <c r="Z993" i="34"/>
  <c r="O993" i="34"/>
  <c r="A993" i="34"/>
  <c r="P995" i="34"/>
  <c r="Q995" i="34"/>
  <c r="U995" i="34"/>
  <c r="Z995" i="34"/>
  <c r="O995" i="34"/>
  <c r="A995" i="34"/>
  <c r="Q997" i="34"/>
  <c r="U997" i="34"/>
  <c r="Z997" i="34"/>
  <c r="O997" i="34"/>
  <c r="P997" i="34"/>
  <c r="A997" i="34"/>
  <c r="Q1188" i="34"/>
  <c r="U1188" i="34"/>
  <c r="Z1188" i="34"/>
  <c r="P1188" i="34"/>
  <c r="O1188" i="34"/>
  <c r="A1188" i="34"/>
  <c r="Q1187" i="34"/>
  <c r="U1187" i="34"/>
  <c r="Z1187" i="34"/>
  <c r="O1187" i="34"/>
  <c r="P1187" i="34"/>
  <c r="A1187" i="34"/>
  <c r="Q141" i="34"/>
  <c r="U141" i="34"/>
  <c r="Z141" i="34"/>
  <c r="O141" i="34"/>
  <c r="P141" i="34"/>
  <c r="A141" i="34"/>
  <c r="Q1429" i="34"/>
  <c r="U1429" i="34"/>
  <c r="Z1429" i="34"/>
  <c r="P1429" i="34"/>
  <c r="O1429" i="34"/>
  <c r="A1429" i="34"/>
  <c r="Q1433" i="34"/>
  <c r="U1433" i="34"/>
  <c r="Z1433" i="34"/>
  <c r="P1433" i="34"/>
  <c r="O1433" i="34"/>
  <c r="A1433" i="34"/>
  <c r="Q1437" i="34"/>
  <c r="U1437" i="34"/>
  <c r="Z1437" i="34"/>
  <c r="P1437" i="34"/>
  <c r="O1437" i="34"/>
  <c r="A1437" i="34"/>
  <c r="Q1441" i="34"/>
  <c r="U1441" i="34"/>
  <c r="Z1441" i="34"/>
  <c r="P1441" i="34"/>
  <c r="O1441" i="34"/>
  <c r="A1441" i="34"/>
  <c r="Q1445" i="34"/>
  <c r="U1445" i="34"/>
  <c r="Z1445" i="34"/>
  <c r="P1445" i="34"/>
  <c r="O1445" i="34"/>
  <c r="A1445" i="34"/>
  <c r="Q1449" i="34"/>
  <c r="U1449" i="34"/>
  <c r="Z1449" i="34"/>
  <c r="P1449" i="34"/>
  <c r="O1449" i="34"/>
  <c r="A1449" i="34"/>
  <c r="Q1453" i="34"/>
  <c r="U1453" i="34"/>
  <c r="Z1453" i="34"/>
  <c r="P1453" i="34"/>
  <c r="O1453" i="34"/>
  <c r="A1453" i="34"/>
  <c r="Q1417" i="34"/>
  <c r="U1417" i="34"/>
  <c r="Z1417" i="34"/>
  <c r="P1417" i="34"/>
  <c r="O1417" i="34"/>
  <c r="A1417" i="34"/>
  <c r="Q1134" i="34"/>
  <c r="U1134" i="34"/>
  <c r="Z1134" i="34"/>
  <c r="O1134" i="34"/>
  <c r="P1134" i="34"/>
  <c r="A1134" i="34"/>
  <c r="Q1284" i="34"/>
  <c r="U1284" i="34"/>
  <c r="Z1284" i="34"/>
  <c r="P1284" i="34"/>
  <c r="O1284" i="34"/>
  <c r="A1284" i="34"/>
  <c r="Q1286" i="34"/>
  <c r="U1286" i="34"/>
  <c r="Z1286" i="34"/>
  <c r="O1286" i="34"/>
  <c r="P1286" i="34"/>
  <c r="A1286" i="34"/>
  <c r="Q1288" i="34"/>
  <c r="U1288" i="34"/>
  <c r="Z1288" i="34"/>
  <c r="P1288" i="34"/>
  <c r="O1288" i="34"/>
  <c r="A1288" i="34"/>
  <c r="Q1290" i="34"/>
  <c r="U1290" i="34"/>
  <c r="Z1290" i="34"/>
  <c r="O1290" i="34"/>
  <c r="P1290" i="34"/>
  <c r="A1290" i="34"/>
  <c r="Q1274" i="34"/>
  <c r="U1274" i="34"/>
  <c r="Z1274" i="34"/>
  <c r="O1274" i="34"/>
  <c r="P1274" i="34"/>
  <c r="A1274" i="34"/>
  <c r="Q1276" i="34"/>
  <c r="U1276" i="34"/>
  <c r="Z1276" i="34"/>
  <c r="P1276" i="34"/>
  <c r="O1276" i="34"/>
  <c r="A1276" i="34"/>
  <c r="Q1278" i="34"/>
  <c r="U1278" i="34"/>
  <c r="Z1278" i="34"/>
  <c r="O1278" i="34"/>
  <c r="P1278" i="34"/>
  <c r="A1278" i="34"/>
  <c r="Q1280" i="34"/>
  <c r="U1280" i="34"/>
  <c r="Z1280" i="34"/>
  <c r="P1280" i="34"/>
  <c r="O1280" i="34"/>
  <c r="A1280" i="34"/>
  <c r="Q1282" i="34"/>
  <c r="U1282" i="34"/>
  <c r="Z1282" i="34"/>
  <c r="O1282" i="34"/>
  <c r="P1282" i="34"/>
  <c r="A1282" i="34"/>
  <c r="Q1264" i="34"/>
  <c r="U1264" i="34"/>
  <c r="Z1264" i="34"/>
  <c r="P1264" i="34"/>
  <c r="O1264" i="34"/>
  <c r="A1264" i="34"/>
  <c r="Q1266" i="34"/>
  <c r="U1266" i="34"/>
  <c r="Z1266" i="34"/>
  <c r="O1266" i="34"/>
  <c r="P1266" i="34"/>
  <c r="A1266" i="34"/>
  <c r="Q1268" i="34"/>
  <c r="U1268" i="34"/>
  <c r="Z1268" i="34"/>
  <c r="P1268" i="34"/>
  <c r="O1268" i="34"/>
  <c r="A1268" i="34"/>
  <c r="Q1270" i="34"/>
  <c r="U1270" i="34"/>
  <c r="Z1270" i="34"/>
  <c r="O1270" i="34"/>
  <c r="P1270" i="34"/>
  <c r="A1270" i="34"/>
  <c r="Q1272" i="34"/>
  <c r="U1272" i="34"/>
  <c r="Z1272" i="34"/>
  <c r="P1272" i="34"/>
  <c r="O1272" i="34"/>
  <c r="A1272" i="34"/>
  <c r="Q1254" i="34"/>
  <c r="U1254" i="34"/>
  <c r="Z1254" i="34"/>
  <c r="O1254" i="34"/>
  <c r="P1254" i="34"/>
  <c r="A1254" i="34"/>
  <c r="Q1256" i="34"/>
  <c r="U1256" i="34"/>
  <c r="Z1256" i="34"/>
  <c r="P1256" i="34"/>
  <c r="O1256" i="34"/>
  <c r="A1256" i="34"/>
  <c r="Q1258" i="34"/>
  <c r="U1258" i="34"/>
  <c r="Z1258" i="34"/>
  <c r="O1258" i="34"/>
  <c r="P1258" i="34"/>
  <c r="A1258" i="34"/>
  <c r="Q1260" i="34"/>
  <c r="U1260" i="34"/>
  <c r="Z1260" i="34"/>
  <c r="P1260" i="34"/>
  <c r="O1260" i="34"/>
  <c r="A1260" i="34"/>
  <c r="Q1262" i="34"/>
  <c r="U1262" i="34"/>
  <c r="Z1262" i="34"/>
  <c r="O1262" i="34"/>
  <c r="P1262" i="34"/>
  <c r="A1262" i="34"/>
  <c r="Q1244" i="34"/>
  <c r="U1244" i="34"/>
  <c r="Z1244" i="34"/>
  <c r="P1244" i="34"/>
  <c r="O1244" i="34"/>
  <c r="A1244" i="34"/>
  <c r="Q1246" i="34"/>
  <c r="U1246" i="34"/>
  <c r="Z1246" i="34"/>
  <c r="O1246" i="34"/>
  <c r="P1246" i="34"/>
  <c r="A1246" i="34"/>
  <c r="Q1248" i="34"/>
  <c r="U1248" i="34"/>
  <c r="Z1248" i="34"/>
  <c r="P1248" i="34"/>
  <c r="O1248" i="34"/>
  <c r="A1248" i="34"/>
  <c r="Q1250" i="34"/>
  <c r="U1250" i="34"/>
  <c r="Z1250" i="34"/>
  <c r="O1250" i="34"/>
  <c r="P1250" i="34"/>
  <c r="A1250" i="34"/>
  <c r="Q1252" i="34"/>
  <c r="U1252" i="34"/>
  <c r="Z1252" i="34"/>
  <c r="P1252" i="34"/>
  <c r="O1252" i="34"/>
  <c r="A1252" i="34"/>
  <c r="Q1234" i="34"/>
  <c r="U1234" i="34"/>
  <c r="Z1234" i="34"/>
  <c r="O1234" i="34"/>
  <c r="P1234" i="34"/>
  <c r="A1234" i="34"/>
  <c r="Q1236" i="34"/>
  <c r="U1236" i="34"/>
  <c r="Z1236" i="34"/>
  <c r="P1236" i="34"/>
  <c r="O1236" i="34"/>
  <c r="A1236" i="34"/>
  <c r="Q1238" i="34"/>
  <c r="U1238" i="34"/>
  <c r="Z1238" i="34"/>
  <c r="O1238" i="34"/>
  <c r="P1238" i="34"/>
  <c r="A1238" i="34"/>
  <c r="Q1240" i="34"/>
  <c r="U1240" i="34"/>
  <c r="Z1240" i="34"/>
  <c r="P1240" i="34"/>
  <c r="O1240" i="34"/>
  <c r="A1240" i="34"/>
  <c r="Q1242" i="34"/>
  <c r="U1242" i="34"/>
  <c r="Z1242" i="34"/>
  <c r="O1242" i="34"/>
  <c r="P1242" i="34"/>
  <c r="A1242" i="34"/>
  <c r="Q1224" i="34"/>
  <c r="U1224" i="34"/>
  <c r="Z1224" i="34"/>
  <c r="P1224" i="34"/>
  <c r="O1224" i="34"/>
  <c r="A1224" i="34"/>
  <c r="Q1226" i="34"/>
  <c r="U1226" i="34"/>
  <c r="Z1226" i="34"/>
  <c r="O1226" i="34"/>
  <c r="P1226" i="34"/>
  <c r="A1226" i="34"/>
  <c r="Q1228" i="34"/>
  <c r="U1228" i="34"/>
  <c r="Z1228" i="34"/>
  <c r="P1228" i="34"/>
  <c r="O1228" i="34"/>
  <c r="A1228" i="34"/>
  <c r="Q1230" i="34"/>
  <c r="U1230" i="34"/>
  <c r="Z1230" i="34"/>
  <c r="O1230" i="34"/>
  <c r="P1230" i="34"/>
  <c r="A1230" i="34"/>
  <c r="Q1232" i="34"/>
  <c r="U1232" i="34"/>
  <c r="Z1232" i="34"/>
  <c r="P1232" i="34"/>
  <c r="O1232" i="34"/>
  <c r="A1232" i="34"/>
  <c r="Q1214" i="34"/>
  <c r="U1214" i="34"/>
  <c r="Z1214" i="34"/>
  <c r="O1214" i="34"/>
  <c r="P1214" i="34"/>
  <c r="A1214" i="34"/>
  <c r="Q1216" i="34"/>
  <c r="U1216" i="34"/>
  <c r="Z1216" i="34"/>
  <c r="P1216" i="34"/>
  <c r="O1216" i="34"/>
  <c r="A1216" i="34"/>
  <c r="Q1218" i="34"/>
  <c r="U1218" i="34"/>
  <c r="Z1218" i="34"/>
  <c r="O1218" i="34"/>
  <c r="P1218" i="34"/>
  <c r="A1218" i="34"/>
  <c r="Q1220" i="34"/>
  <c r="U1220" i="34"/>
  <c r="Z1220" i="34"/>
  <c r="P1220" i="34"/>
  <c r="O1220" i="34"/>
  <c r="A1220" i="34"/>
  <c r="Q1222" i="34"/>
  <c r="U1222" i="34"/>
  <c r="Z1222" i="34"/>
  <c r="O1222" i="34"/>
  <c r="P1222" i="34"/>
  <c r="A1222" i="34"/>
  <c r="Q1204" i="34"/>
  <c r="U1204" i="34"/>
  <c r="Z1204" i="34"/>
  <c r="P1204" i="34"/>
  <c r="O1204" i="34"/>
  <c r="A1204" i="34"/>
  <c r="Q1206" i="34"/>
  <c r="U1206" i="34"/>
  <c r="Z1206" i="34"/>
  <c r="O1206" i="34"/>
  <c r="P1206" i="34"/>
  <c r="A1206" i="34"/>
  <c r="Q1208" i="34"/>
  <c r="U1208" i="34"/>
  <c r="Z1208" i="34"/>
  <c r="P1208" i="34"/>
  <c r="O1208" i="34"/>
  <c r="A1208" i="34"/>
  <c r="Q1210" i="34"/>
  <c r="U1210" i="34"/>
  <c r="Z1210" i="34"/>
  <c r="O1210" i="34"/>
  <c r="P1210" i="34"/>
  <c r="A1210" i="34"/>
  <c r="Q1212" i="34"/>
  <c r="U1212" i="34"/>
  <c r="Z1212" i="34"/>
  <c r="P1212" i="34"/>
  <c r="O1212" i="34"/>
  <c r="A1212" i="34"/>
  <c r="Q1194" i="34"/>
  <c r="U1194" i="34"/>
  <c r="Z1194" i="34"/>
  <c r="O1194" i="34"/>
  <c r="P1194" i="34"/>
  <c r="A1194" i="34"/>
  <c r="Q1196" i="34"/>
  <c r="U1196" i="34"/>
  <c r="Z1196" i="34"/>
  <c r="P1196" i="34"/>
  <c r="O1196" i="34"/>
  <c r="A1196" i="34"/>
  <c r="Q1198" i="34"/>
  <c r="U1198" i="34"/>
  <c r="Z1198" i="34"/>
  <c r="O1198" i="34"/>
  <c r="P1198" i="34"/>
  <c r="A1198" i="34"/>
  <c r="Q1200" i="34"/>
  <c r="U1200" i="34"/>
  <c r="Z1200" i="34"/>
  <c r="P1200" i="34"/>
  <c r="O1200" i="34"/>
  <c r="A1200" i="34"/>
  <c r="Q1202" i="34"/>
  <c r="U1202" i="34"/>
  <c r="Z1202" i="34"/>
  <c r="O1202" i="34"/>
  <c r="P1202" i="34"/>
  <c r="A1202" i="34"/>
  <c r="Q1294" i="34"/>
  <c r="U1294" i="34"/>
  <c r="Z1294" i="34"/>
  <c r="O1294" i="34"/>
  <c r="P1294" i="34"/>
  <c r="A1294" i="34"/>
  <c r="Q1297" i="34"/>
  <c r="U1297" i="34"/>
  <c r="Z1297" i="34"/>
  <c r="O1297" i="34"/>
  <c r="P1297" i="34"/>
  <c r="A1297" i="34"/>
  <c r="Q1422" i="34"/>
  <c r="U1422" i="34"/>
  <c r="Z1422" i="34"/>
  <c r="O1422" i="34"/>
  <c r="P1422" i="34"/>
  <c r="A1422" i="34"/>
  <c r="Q1487" i="34"/>
  <c r="U1487" i="34"/>
  <c r="Z1487" i="34"/>
  <c r="O1487" i="34"/>
  <c r="P1487" i="34"/>
  <c r="A1487" i="34"/>
  <c r="Q1484" i="34"/>
  <c r="U1484" i="34"/>
  <c r="Z1484" i="34"/>
  <c r="O1484" i="34"/>
  <c r="P1484" i="34"/>
  <c r="A1484" i="34"/>
  <c r="P1604" i="34"/>
  <c r="Q1604" i="34"/>
  <c r="U1604" i="34"/>
  <c r="Z1604" i="34"/>
  <c r="O1604" i="34"/>
  <c r="A1604" i="34"/>
  <c r="P1606" i="34"/>
  <c r="Q1606" i="34"/>
  <c r="U1606" i="34"/>
  <c r="Z1606" i="34"/>
  <c r="O1606" i="34"/>
  <c r="A1606" i="34"/>
  <c r="P1608" i="34"/>
  <c r="Q1608" i="34"/>
  <c r="U1608" i="34"/>
  <c r="Z1608" i="34"/>
  <c r="O1608" i="34"/>
  <c r="A1608" i="34"/>
  <c r="P1610" i="34"/>
  <c r="Q1610" i="34"/>
  <c r="U1610" i="34"/>
  <c r="Z1610" i="34"/>
  <c r="O1610" i="34"/>
  <c r="A1610" i="34"/>
  <c r="Q1941" i="34"/>
  <c r="U1941" i="34"/>
  <c r="Z1941" i="34"/>
  <c r="O1941" i="34"/>
  <c r="P1941" i="34"/>
  <c r="A1941" i="34"/>
  <c r="Q1929" i="34"/>
  <c r="U1929" i="34"/>
  <c r="Z1929" i="34"/>
  <c r="O1929" i="34"/>
  <c r="P1929" i="34"/>
  <c r="A1929" i="34"/>
  <c r="Q1925" i="34"/>
  <c r="U1925" i="34"/>
  <c r="Z1925" i="34"/>
  <c r="O1925" i="34"/>
  <c r="P1925" i="34"/>
  <c r="A1925" i="34"/>
  <c r="Q1921" i="34"/>
  <c r="U1921" i="34"/>
  <c r="Z1921" i="34"/>
  <c r="O1921" i="34"/>
  <c r="P1921" i="34"/>
  <c r="A1921" i="34"/>
  <c r="Q1917" i="34"/>
  <c r="U1917" i="34"/>
  <c r="Z1917" i="34"/>
  <c r="O1917" i="34"/>
  <c r="P1917" i="34"/>
  <c r="A1917" i="34"/>
  <c r="Q1913" i="34"/>
  <c r="U1913" i="34"/>
  <c r="Z1913" i="34"/>
  <c r="O1913" i="34"/>
  <c r="P1913" i="34"/>
  <c r="A1913" i="34"/>
  <c r="Q1909" i="34"/>
  <c r="U1909" i="34"/>
  <c r="Z1909" i="34"/>
  <c r="O1909" i="34"/>
  <c r="P1909" i="34"/>
  <c r="A1909" i="34"/>
  <c r="Q1905" i="34"/>
  <c r="U1905" i="34"/>
  <c r="Z1905" i="34"/>
  <c r="O1905" i="34"/>
  <c r="P1905" i="34"/>
  <c r="A1905" i="34"/>
  <c r="P1576" i="34"/>
  <c r="Q1576" i="34"/>
  <c r="U1576" i="34"/>
  <c r="Z1576" i="34"/>
  <c r="O1576" i="34"/>
  <c r="A1576" i="34"/>
  <c r="P1580" i="34"/>
  <c r="Q1580" i="34"/>
  <c r="U1580" i="34"/>
  <c r="Z1580" i="34"/>
  <c r="O1580" i="34"/>
  <c r="A1580" i="34"/>
  <c r="P1584" i="34"/>
  <c r="Q1584" i="34"/>
  <c r="U1584" i="34"/>
  <c r="Z1584" i="34"/>
  <c r="O1584" i="34"/>
  <c r="A1584" i="34"/>
  <c r="P1588" i="34"/>
  <c r="Q1588" i="34"/>
  <c r="U1588" i="34"/>
  <c r="Z1588" i="34"/>
  <c r="O1588" i="34"/>
  <c r="A1588" i="34"/>
  <c r="P1592" i="34"/>
  <c r="Q1592" i="34"/>
  <c r="U1592" i="34"/>
  <c r="Z1592" i="34"/>
  <c r="O1592" i="34"/>
  <c r="A1592" i="34"/>
  <c r="P1596" i="34"/>
  <c r="Q1596" i="34"/>
  <c r="U1596" i="34"/>
  <c r="Z1596" i="34"/>
  <c r="O1596" i="34"/>
  <c r="A1596" i="34"/>
  <c r="P1600" i="34"/>
  <c r="Q1600" i="34"/>
  <c r="U1600" i="34"/>
  <c r="Z1600" i="34"/>
  <c r="O1600" i="34"/>
  <c r="A1600" i="34"/>
  <c r="Q1482" i="34"/>
  <c r="U1482" i="34"/>
  <c r="Z1482" i="34"/>
  <c r="O1482" i="34"/>
  <c r="P1482" i="34"/>
  <c r="A1482" i="34"/>
  <c r="O1396" i="34"/>
  <c r="P1396" i="34"/>
  <c r="Q1396" i="34"/>
  <c r="U1396" i="34"/>
  <c r="Z1396" i="34"/>
  <c r="A1396" i="34"/>
  <c r="Q230" i="34"/>
  <c r="U230" i="34"/>
  <c r="Z230" i="34"/>
  <c r="O230" i="34"/>
  <c r="P230" i="34"/>
  <c r="A230" i="34"/>
  <c r="Q218" i="34"/>
  <c r="U218" i="34"/>
  <c r="Z218" i="34"/>
  <c r="O218" i="34"/>
  <c r="P218" i="34"/>
  <c r="A218" i="34"/>
  <c r="Q222" i="34"/>
  <c r="U222" i="34"/>
  <c r="Z222" i="34"/>
  <c r="O222" i="34"/>
  <c r="P222" i="34"/>
  <c r="A222" i="34"/>
  <c r="Q226" i="34"/>
  <c r="U226" i="34"/>
  <c r="Z226" i="34"/>
  <c r="O226" i="34"/>
  <c r="P226" i="34"/>
  <c r="A226" i="34"/>
  <c r="Q202" i="34"/>
  <c r="U202" i="34"/>
  <c r="Z202" i="34"/>
  <c r="O202" i="34"/>
  <c r="P202" i="34"/>
  <c r="A202" i="34"/>
  <c r="Q211" i="34"/>
  <c r="U211" i="34"/>
  <c r="Z211" i="34"/>
  <c r="P211" i="34"/>
  <c r="O211" i="34"/>
  <c r="A211" i="34"/>
  <c r="Q215" i="34"/>
  <c r="U215" i="34"/>
  <c r="Z215" i="34"/>
  <c r="P215" i="34"/>
  <c r="O215" i="34"/>
  <c r="A215" i="34"/>
  <c r="Q204" i="34"/>
  <c r="U204" i="34"/>
  <c r="Z204" i="34"/>
  <c r="O204" i="34"/>
  <c r="P204" i="34"/>
  <c r="A204" i="34"/>
  <c r="Q481" i="34"/>
  <c r="U481" i="34"/>
  <c r="Z481" i="34"/>
  <c r="S481" i="34"/>
  <c r="O481" i="34"/>
  <c r="T481" i="34"/>
  <c r="R481" i="34"/>
  <c r="P481" i="34"/>
  <c r="A481" i="34"/>
  <c r="Q487" i="34"/>
  <c r="U487" i="34"/>
  <c r="Z487" i="34"/>
  <c r="O487" i="34"/>
  <c r="T487" i="34"/>
  <c r="R487" i="34"/>
  <c r="S487" i="34"/>
  <c r="P487" i="34"/>
  <c r="A487" i="34"/>
  <c r="Q422" i="34"/>
  <c r="U422" i="34"/>
  <c r="Z422" i="34"/>
  <c r="R422" i="34"/>
  <c r="S422" i="34"/>
  <c r="O422" i="34"/>
  <c r="T422" i="34"/>
  <c r="P422" i="34"/>
  <c r="A422" i="34"/>
  <c r="Q426" i="34"/>
  <c r="U426" i="34"/>
  <c r="Z426" i="34"/>
  <c r="R426" i="34"/>
  <c r="S426" i="34"/>
  <c r="O426" i="34"/>
  <c r="T426" i="34"/>
  <c r="P426" i="34"/>
  <c r="A426" i="34"/>
  <c r="Q430" i="34"/>
  <c r="U430" i="34"/>
  <c r="Z430" i="34"/>
  <c r="R430" i="34"/>
  <c r="S430" i="34"/>
  <c r="O430" i="34"/>
  <c r="T430" i="34"/>
  <c r="P430" i="34"/>
  <c r="A430" i="34"/>
  <c r="Q434" i="34"/>
  <c r="U434" i="34"/>
  <c r="Z434" i="34"/>
  <c r="R434" i="34"/>
  <c r="S434" i="34"/>
  <c r="O434" i="34"/>
  <c r="T434" i="34"/>
  <c r="P434" i="34"/>
  <c r="A434" i="34"/>
  <c r="Q438" i="34"/>
  <c r="U438" i="34"/>
  <c r="Z438" i="34"/>
  <c r="R438" i="34"/>
  <c r="S438" i="34"/>
  <c r="O438" i="34"/>
  <c r="T438" i="34"/>
  <c r="P438" i="34"/>
  <c r="A438" i="34"/>
  <c r="Q468" i="34"/>
  <c r="U468" i="34"/>
  <c r="Z468" i="34"/>
  <c r="O468" i="34"/>
  <c r="T468" i="34"/>
  <c r="P468" i="34"/>
  <c r="R468" i="34"/>
  <c r="S468" i="34"/>
  <c r="A468" i="34"/>
  <c r="Q472" i="34"/>
  <c r="U472" i="34"/>
  <c r="Z472" i="34"/>
  <c r="O472" i="34"/>
  <c r="T472" i="34"/>
  <c r="P472" i="34"/>
  <c r="R472" i="34"/>
  <c r="S472" i="34"/>
  <c r="A472" i="34"/>
  <c r="Q476" i="34"/>
  <c r="U476" i="34"/>
  <c r="Z476" i="34"/>
  <c r="O476" i="34"/>
  <c r="T476" i="34"/>
  <c r="P476" i="34"/>
  <c r="R476" i="34"/>
  <c r="S476" i="34"/>
  <c r="A476" i="34"/>
  <c r="Q480" i="34"/>
  <c r="U480" i="34"/>
  <c r="Z480" i="34"/>
  <c r="O480" i="34"/>
  <c r="T480" i="34"/>
  <c r="P480" i="34"/>
  <c r="S480" i="34"/>
  <c r="R480" i="34"/>
  <c r="A480" i="34"/>
  <c r="Q444" i="34"/>
  <c r="U444" i="34"/>
  <c r="Z444" i="34"/>
  <c r="O444" i="34"/>
  <c r="T444" i="34"/>
  <c r="P444" i="34"/>
  <c r="R444" i="34"/>
  <c r="S444" i="34"/>
  <c r="A444" i="34"/>
  <c r="Q448" i="34"/>
  <c r="U448" i="34"/>
  <c r="Z448" i="34"/>
  <c r="O448" i="34"/>
  <c r="T448" i="34"/>
  <c r="P448" i="34"/>
  <c r="R448" i="34"/>
  <c r="S448" i="34"/>
  <c r="A448" i="34"/>
  <c r="Q452" i="34"/>
  <c r="U452" i="34"/>
  <c r="Z452" i="34"/>
  <c r="O452" i="34"/>
  <c r="T452" i="34"/>
  <c r="P452" i="34"/>
  <c r="R452" i="34"/>
  <c r="S452" i="34"/>
  <c r="A452" i="34"/>
  <c r="Q456" i="34"/>
  <c r="U456" i="34"/>
  <c r="Z456" i="34"/>
  <c r="O456" i="34"/>
  <c r="T456" i="34"/>
  <c r="P456" i="34"/>
  <c r="R456" i="34"/>
  <c r="S456" i="34"/>
  <c r="A456" i="34"/>
  <c r="Q460" i="34"/>
  <c r="U460" i="34"/>
  <c r="Z460" i="34"/>
  <c r="O460" i="34"/>
  <c r="T460" i="34"/>
  <c r="P460" i="34"/>
  <c r="R460" i="34"/>
  <c r="S460" i="34"/>
  <c r="A460" i="34"/>
  <c r="Q464" i="34"/>
  <c r="U464" i="34"/>
  <c r="Z464" i="34"/>
  <c r="O464" i="34"/>
  <c r="T464" i="34"/>
  <c r="P464" i="34"/>
  <c r="R464" i="34"/>
  <c r="S464" i="34"/>
  <c r="A464" i="34"/>
  <c r="P857" i="34"/>
  <c r="Q857" i="34"/>
  <c r="U857" i="34"/>
  <c r="Z857" i="34"/>
  <c r="O857" i="34"/>
  <c r="A857" i="34"/>
  <c r="P861" i="34"/>
  <c r="Q861" i="34"/>
  <c r="U861" i="34"/>
  <c r="Z861" i="34"/>
  <c r="O861" i="34"/>
  <c r="A861" i="34"/>
  <c r="P873" i="34"/>
  <c r="Q873" i="34"/>
  <c r="U873" i="34"/>
  <c r="Z873" i="34"/>
  <c r="O873" i="34"/>
  <c r="A873" i="34"/>
  <c r="P879" i="34"/>
  <c r="Q879" i="34"/>
  <c r="U879" i="34"/>
  <c r="Z879" i="34"/>
  <c r="O879" i="34"/>
  <c r="A879" i="34"/>
  <c r="P871" i="34"/>
  <c r="Q871" i="34"/>
  <c r="U871" i="34"/>
  <c r="Z871" i="34"/>
  <c r="O871" i="34"/>
  <c r="A871" i="34"/>
  <c r="Q1818" i="34"/>
  <c r="U1818" i="34"/>
  <c r="Z1818" i="34"/>
  <c r="O1818" i="34"/>
  <c r="P1818" i="34"/>
  <c r="A1818" i="34"/>
  <c r="Q1886" i="34"/>
  <c r="U1886" i="34"/>
  <c r="Z1886" i="34"/>
  <c r="O1886" i="34"/>
  <c r="P1886" i="34"/>
  <c r="A1886" i="34"/>
  <c r="Q1942" i="34"/>
  <c r="U1942" i="34"/>
  <c r="Z1942" i="34"/>
  <c r="O1942" i="34"/>
  <c r="P1942" i="34"/>
  <c r="A1942" i="34"/>
  <c r="Q4445" i="34"/>
  <c r="U4445" i="34"/>
  <c r="Z4445" i="34"/>
  <c r="A4445" i="34"/>
  <c r="O4445" i="34"/>
  <c r="P4445" i="34"/>
  <c r="Q4485" i="34"/>
  <c r="U4485" i="34"/>
  <c r="Z4485" i="34"/>
  <c r="A4485" i="34"/>
  <c r="O4485" i="34"/>
  <c r="P4485" i="34"/>
  <c r="Q4506" i="34"/>
  <c r="U4506" i="34"/>
  <c r="Z4506" i="34"/>
  <c r="P4506" i="34"/>
  <c r="A4506" i="34"/>
  <c r="O4506" i="34"/>
  <c r="Q4554" i="34"/>
  <c r="U4554" i="34"/>
  <c r="Z4554" i="34"/>
  <c r="P4554" i="34"/>
  <c r="A4554" i="34"/>
  <c r="O4554" i="34"/>
  <c r="Q1853" i="34"/>
  <c r="U1853" i="34"/>
  <c r="Z1853" i="34"/>
  <c r="O1853" i="34"/>
  <c r="P1853" i="34"/>
  <c r="A1853" i="34"/>
  <c r="Q1683" i="34"/>
  <c r="U1683" i="34"/>
  <c r="Z1683" i="34"/>
  <c r="O1683" i="34"/>
  <c r="P1683" i="34"/>
  <c r="A1683" i="34"/>
  <c r="Q1660" i="34"/>
  <c r="U1660" i="34"/>
  <c r="Z1660" i="34"/>
  <c r="O1660" i="34"/>
  <c r="P1660" i="34"/>
  <c r="A1660" i="34"/>
  <c r="Q1747" i="34"/>
  <c r="U1747" i="34"/>
  <c r="Z1747" i="34"/>
  <c r="O1747" i="34"/>
  <c r="P1747" i="34"/>
  <c r="A1747" i="34"/>
  <c r="Q1779" i="34"/>
  <c r="U1779" i="34"/>
  <c r="Z1779" i="34"/>
  <c r="O1779" i="34"/>
  <c r="P1779" i="34"/>
  <c r="A1779" i="34"/>
  <c r="Q4534" i="34"/>
  <c r="U4534" i="34"/>
  <c r="Z4534" i="34"/>
  <c r="P4534" i="34"/>
  <c r="A4534" i="34"/>
  <c r="O4534" i="34"/>
  <c r="Q1416" i="34"/>
  <c r="U1416" i="34"/>
  <c r="Z1416" i="34"/>
  <c r="O1416" i="34"/>
  <c r="P1416" i="34"/>
  <c r="A1416" i="34"/>
  <c r="Q1670" i="34"/>
  <c r="U1670" i="34"/>
  <c r="Z1670" i="34"/>
  <c r="O1670" i="34"/>
  <c r="P1670" i="34"/>
  <c r="A1670" i="34"/>
  <c r="Q4458" i="34"/>
  <c r="U4458" i="34"/>
  <c r="Z4458" i="34"/>
  <c r="P4458" i="34"/>
  <c r="A4458" i="34"/>
  <c r="O4458" i="34"/>
  <c r="Q4557" i="34"/>
  <c r="U4557" i="34"/>
  <c r="Z4557" i="34"/>
  <c r="A4557" i="34"/>
  <c r="O4557" i="34"/>
  <c r="P4557" i="34"/>
  <c r="Q1888" i="34"/>
  <c r="U1888" i="34"/>
  <c r="Z1888" i="34"/>
  <c r="P1888" i="34"/>
  <c r="O1888" i="34"/>
  <c r="A1888" i="34"/>
  <c r="Q1674" i="34"/>
  <c r="U1674" i="34"/>
  <c r="Z1674" i="34"/>
  <c r="O1674" i="34"/>
  <c r="P1674" i="34"/>
  <c r="A1674" i="34"/>
  <c r="Q1686" i="34"/>
  <c r="U1686" i="34"/>
  <c r="Z1686" i="34"/>
  <c r="O1686" i="34"/>
  <c r="P1686" i="34"/>
  <c r="A1686" i="34"/>
  <c r="P22" i="34"/>
  <c r="Q22" i="34"/>
  <c r="U22" i="34"/>
  <c r="Z22" i="34"/>
  <c r="O22" i="34"/>
  <c r="A22" i="34"/>
  <c r="P17" i="34"/>
  <c r="Q17" i="34"/>
  <c r="U17" i="34"/>
  <c r="Z17" i="34"/>
  <c r="O17" i="34"/>
  <c r="A17" i="34"/>
  <c r="A12" i="34"/>
  <c r="P12" i="34"/>
  <c r="Q12" i="34"/>
  <c r="U12" i="34"/>
  <c r="Z12" i="34"/>
  <c r="O12" i="34"/>
  <c r="O2295" i="34"/>
  <c r="P2295" i="34"/>
  <c r="Q2295" i="34"/>
  <c r="U2295" i="34"/>
  <c r="Z2295" i="34"/>
  <c r="A2295" i="34"/>
  <c r="Q1978" i="34"/>
  <c r="U1978" i="34"/>
  <c r="Z1978" i="34"/>
  <c r="O1978" i="34"/>
  <c r="P1978" i="34"/>
  <c r="A1978" i="34"/>
  <c r="Q3388" i="34"/>
  <c r="U3388" i="34"/>
  <c r="Z3388" i="34"/>
  <c r="O3388" i="34"/>
  <c r="P3388" i="34"/>
  <c r="A3388" i="34"/>
  <c r="O3500" i="34"/>
  <c r="P3500" i="34"/>
  <c r="Q3500" i="34"/>
  <c r="U3500" i="34"/>
  <c r="Z3500" i="34"/>
  <c r="A3500" i="34"/>
  <c r="O4359" i="34"/>
  <c r="Q4359" i="34"/>
  <c r="U4359" i="34"/>
  <c r="Z4359" i="34"/>
  <c r="P4359" i="34"/>
  <c r="A4359" i="34"/>
  <c r="Q1696" i="34"/>
  <c r="U1696" i="34"/>
  <c r="Z1696" i="34"/>
  <c r="P1696" i="34"/>
  <c r="O1696" i="34"/>
  <c r="A1696" i="34"/>
  <c r="Q1770" i="34"/>
  <c r="U1770" i="34"/>
  <c r="Z1770" i="34"/>
  <c r="O1770" i="34"/>
  <c r="P1770" i="34"/>
  <c r="A1770" i="34"/>
  <c r="Q1831" i="34"/>
  <c r="U1831" i="34"/>
  <c r="Z1831" i="34"/>
  <c r="O1831" i="34"/>
  <c r="P1831" i="34"/>
  <c r="A1831" i="34"/>
  <c r="Q1835" i="34"/>
  <c r="U1835" i="34"/>
  <c r="Z1835" i="34"/>
  <c r="O1835" i="34"/>
  <c r="P1835" i="34"/>
  <c r="A1835" i="34"/>
  <c r="Q1839" i="34"/>
  <c r="U1839" i="34"/>
  <c r="Z1839" i="34"/>
  <c r="O1839" i="34"/>
  <c r="P1839" i="34"/>
  <c r="A1839" i="34"/>
  <c r="Q1868" i="34"/>
  <c r="U1868" i="34"/>
  <c r="Z1868" i="34"/>
  <c r="P1868" i="34"/>
  <c r="O1868" i="34"/>
  <c r="A1868" i="34"/>
  <c r="Q1872" i="34"/>
  <c r="U1872" i="34"/>
  <c r="Z1872" i="34"/>
  <c r="P1872" i="34"/>
  <c r="O1872" i="34"/>
  <c r="A1872" i="34"/>
  <c r="Q1876" i="34"/>
  <c r="U1876" i="34"/>
  <c r="Z1876" i="34"/>
  <c r="P1876" i="34"/>
  <c r="O1876" i="34"/>
  <c r="A1876" i="34"/>
  <c r="Q1880" i="34"/>
  <c r="U1880" i="34"/>
  <c r="Z1880" i="34"/>
  <c r="P1880" i="34"/>
  <c r="O1880" i="34"/>
  <c r="A1880" i="34"/>
  <c r="Q1884" i="34"/>
  <c r="U1884" i="34"/>
  <c r="Z1884" i="34"/>
  <c r="P1884" i="34"/>
  <c r="O1884" i="34"/>
  <c r="A1884" i="34"/>
  <c r="O2058" i="34"/>
  <c r="P2058" i="34"/>
  <c r="Q2058" i="34"/>
  <c r="U2058" i="34"/>
  <c r="Z2058" i="34"/>
  <c r="A2058" i="34"/>
  <c r="O2062" i="34"/>
  <c r="P2062" i="34"/>
  <c r="Q2062" i="34"/>
  <c r="U2062" i="34"/>
  <c r="Z2062" i="34"/>
  <c r="A2062" i="34"/>
  <c r="O2088" i="34"/>
  <c r="P2088" i="34"/>
  <c r="Q2088" i="34"/>
  <c r="U2088" i="34"/>
  <c r="Z2088" i="34"/>
  <c r="A2088" i="34"/>
  <c r="O2092" i="34"/>
  <c r="P2092" i="34"/>
  <c r="Q2092" i="34"/>
  <c r="U2092" i="34"/>
  <c r="Z2092" i="34"/>
  <c r="A2092" i="34"/>
  <c r="O2132" i="34"/>
  <c r="P2132" i="34"/>
  <c r="Q2132" i="34"/>
  <c r="U2132" i="34"/>
  <c r="Z2132" i="34"/>
  <c r="A2132" i="34"/>
  <c r="O2136" i="34"/>
  <c r="P2136" i="34"/>
  <c r="Q2136" i="34"/>
  <c r="U2136" i="34"/>
  <c r="Z2136" i="34"/>
  <c r="A2136" i="34"/>
  <c r="O2140" i="34"/>
  <c r="P2140" i="34"/>
  <c r="Q2140" i="34"/>
  <c r="U2140" i="34"/>
  <c r="Z2140" i="34"/>
  <c r="A2140" i="34"/>
  <c r="O2144" i="34"/>
  <c r="P2144" i="34"/>
  <c r="Q2144" i="34"/>
  <c r="U2144" i="34"/>
  <c r="Z2144" i="34"/>
  <c r="A2144" i="34"/>
  <c r="O2153" i="34"/>
  <c r="P2153" i="34"/>
  <c r="Q2153" i="34"/>
  <c r="U2153" i="34"/>
  <c r="Z2153" i="34"/>
  <c r="A2153" i="34"/>
  <c r="O2157" i="34"/>
  <c r="P2157" i="34"/>
  <c r="Q2157" i="34"/>
  <c r="U2157" i="34"/>
  <c r="Z2157" i="34"/>
  <c r="A2157" i="34"/>
  <c r="O2161" i="34"/>
  <c r="P2161" i="34"/>
  <c r="Q2161" i="34"/>
  <c r="U2161" i="34"/>
  <c r="Z2161" i="34"/>
  <c r="A2161" i="34"/>
  <c r="O2165" i="34"/>
  <c r="P2165" i="34"/>
  <c r="Q2165" i="34"/>
  <c r="U2165" i="34"/>
  <c r="Z2165" i="34"/>
  <c r="A2165" i="34"/>
  <c r="O2169" i="34"/>
  <c r="P2169" i="34"/>
  <c r="Q2169" i="34"/>
  <c r="U2169" i="34"/>
  <c r="Z2169" i="34"/>
  <c r="A2169" i="34"/>
  <c r="O2173" i="34"/>
  <c r="P2173" i="34"/>
  <c r="Q2173" i="34"/>
  <c r="U2173" i="34"/>
  <c r="Z2173" i="34"/>
  <c r="A2173" i="34"/>
  <c r="O2177" i="34"/>
  <c r="P2177" i="34"/>
  <c r="Q2177" i="34"/>
  <c r="U2177" i="34"/>
  <c r="Z2177" i="34"/>
  <c r="A2177" i="34"/>
  <c r="O2181" i="34"/>
  <c r="P2181" i="34"/>
  <c r="Q2181" i="34"/>
  <c r="U2181" i="34"/>
  <c r="Z2181" i="34"/>
  <c r="A2181" i="34"/>
  <c r="O2213" i="34"/>
  <c r="P2213" i="34"/>
  <c r="Q2213" i="34"/>
  <c r="U2213" i="34"/>
  <c r="Z2213" i="34"/>
  <c r="A2213" i="34"/>
  <c r="O2217" i="34"/>
  <c r="P2217" i="34"/>
  <c r="Q2217" i="34"/>
  <c r="U2217" i="34"/>
  <c r="Z2217" i="34"/>
  <c r="A2217" i="34"/>
  <c r="O2221" i="34"/>
  <c r="P2221" i="34"/>
  <c r="Q2221" i="34"/>
  <c r="U2221" i="34"/>
  <c r="Z2221" i="34"/>
  <c r="A2221" i="34"/>
  <c r="O2225" i="34"/>
  <c r="P2225" i="34"/>
  <c r="Q2225" i="34"/>
  <c r="U2225" i="34"/>
  <c r="Z2225" i="34"/>
  <c r="A2225" i="34"/>
  <c r="O2246" i="34"/>
  <c r="P2246" i="34"/>
  <c r="Q2246" i="34"/>
  <c r="U2246" i="34"/>
  <c r="Z2246" i="34"/>
  <c r="A2246" i="34"/>
  <c r="O2250" i="34"/>
  <c r="P2250" i="34"/>
  <c r="Q2250" i="34"/>
  <c r="U2250" i="34"/>
  <c r="Z2250" i="34"/>
  <c r="A2250" i="34"/>
  <c r="O2254" i="34"/>
  <c r="P2254" i="34"/>
  <c r="Q2254" i="34"/>
  <c r="U2254" i="34"/>
  <c r="Z2254" i="34"/>
  <c r="A2254" i="34"/>
  <c r="O2258" i="34"/>
  <c r="P2258" i="34"/>
  <c r="Q2258" i="34"/>
  <c r="U2258" i="34"/>
  <c r="Z2258" i="34"/>
  <c r="A2258" i="34"/>
  <c r="O2262" i="34"/>
  <c r="P2262" i="34"/>
  <c r="Q2262" i="34"/>
  <c r="U2262" i="34"/>
  <c r="Z2262" i="34"/>
  <c r="A2262" i="34"/>
  <c r="O2266" i="34"/>
  <c r="P2266" i="34"/>
  <c r="Q2266" i="34"/>
  <c r="U2266" i="34"/>
  <c r="Z2266" i="34"/>
  <c r="A2266" i="34"/>
  <c r="O2270" i="34"/>
  <c r="P2270" i="34"/>
  <c r="Q2270" i="34"/>
  <c r="U2270" i="34"/>
  <c r="Z2270" i="34"/>
  <c r="A2270" i="34"/>
  <c r="O2274" i="34"/>
  <c r="P2274" i="34"/>
  <c r="Q2274" i="34"/>
  <c r="U2274" i="34"/>
  <c r="Z2274" i="34"/>
  <c r="A2274" i="34"/>
  <c r="O2278" i="34"/>
  <c r="P2278" i="34"/>
  <c r="Q2278" i="34"/>
  <c r="U2278" i="34"/>
  <c r="Z2278" i="34"/>
  <c r="A2278" i="34"/>
  <c r="O2106" i="34"/>
  <c r="P2106" i="34"/>
  <c r="Q2106" i="34"/>
  <c r="U2106" i="34"/>
  <c r="Z2106" i="34"/>
  <c r="A2106" i="34"/>
  <c r="O2115" i="34"/>
  <c r="P2115" i="34"/>
  <c r="Q2115" i="34"/>
  <c r="U2115" i="34"/>
  <c r="Z2115" i="34"/>
  <c r="A2115" i="34"/>
  <c r="O2130" i="34"/>
  <c r="P2130" i="34"/>
  <c r="Q2130" i="34"/>
  <c r="U2130" i="34"/>
  <c r="Z2130" i="34"/>
  <c r="A2130" i="34"/>
  <c r="O4337" i="34"/>
  <c r="P4337" i="34"/>
  <c r="Q4337" i="34"/>
  <c r="U4337" i="34"/>
  <c r="Z4337" i="34"/>
  <c r="A4337" i="34"/>
  <c r="O2317" i="34"/>
  <c r="Q2317" i="34"/>
  <c r="U2317" i="34"/>
  <c r="Z2317" i="34"/>
  <c r="P2317" i="34"/>
  <c r="A2317" i="34"/>
  <c r="Q1986" i="34"/>
  <c r="U1986" i="34"/>
  <c r="Z1986" i="34"/>
  <c r="O1986" i="34"/>
  <c r="P1986" i="34"/>
  <c r="A1986" i="34"/>
  <c r="O2074" i="34"/>
  <c r="P2074" i="34"/>
  <c r="Q2074" i="34"/>
  <c r="U2074" i="34"/>
  <c r="Z2074" i="34"/>
  <c r="A2074" i="34"/>
  <c r="Q2038" i="34"/>
  <c r="U2038" i="34"/>
  <c r="Z2038" i="34"/>
  <c r="O2038" i="34"/>
  <c r="P2038" i="34"/>
  <c r="A2038" i="34"/>
  <c r="Q2040" i="34"/>
  <c r="U2040" i="34"/>
  <c r="Z2040" i="34"/>
  <c r="O2040" i="34"/>
  <c r="P2040" i="34"/>
  <c r="A2040" i="34"/>
  <c r="O2057" i="34"/>
  <c r="P2057" i="34"/>
  <c r="Q2057" i="34"/>
  <c r="U2057" i="34"/>
  <c r="Z2057" i="34"/>
  <c r="A2057" i="34"/>
  <c r="Q1946" i="34"/>
  <c r="U1946" i="34"/>
  <c r="Z1946" i="34"/>
  <c r="O1946" i="34"/>
  <c r="P1946" i="34"/>
  <c r="A1946" i="34"/>
  <c r="Q1983" i="34"/>
  <c r="U1983" i="34"/>
  <c r="Z1983" i="34"/>
  <c r="P1983" i="34"/>
  <c r="O1983" i="34"/>
  <c r="A1983" i="34"/>
  <c r="Q2000" i="34"/>
  <c r="U2000" i="34"/>
  <c r="Z2000" i="34"/>
  <c r="O2000" i="34"/>
  <c r="P2000" i="34"/>
  <c r="A2000" i="34"/>
  <c r="Q2004" i="34"/>
  <c r="U2004" i="34"/>
  <c r="Z2004" i="34"/>
  <c r="O2004" i="34"/>
  <c r="P2004" i="34"/>
  <c r="A2004" i="34"/>
  <c r="Q2013" i="34"/>
  <c r="U2013" i="34"/>
  <c r="Z2013" i="34"/>
  <c r="O2013" i="34"/>
  <c r="P2013" i="34"/>
  <c r="A2013" i="34"/>
  <c r="Q2018" i="34"/>
  <c r="U2018" i="34"/>
  <c r="Z2018" i="34"/>
  <c r="O2018" i="34"/>
  <c r="P2018" i="34"/>
  <c r="A2018" i="34"/>
  <c r="Q2023" i="34"/>
  <c r="U2023" i="34"/>
  <c r="Z2023" i="34"/>
  <c r="P2023" i="34"/>
  <c r="O2023" i="34"/>
  <c r="A2023" i="34"/>
  <c r="Q2027" i="34"/>
  <c r="U2027" i="34"/>
  <c r="Z2027" i="34"/>
  <c r="P2027" i="34"/>
  <c r="O2027" i="34"/>
  <c r="A2027" i="34"/>
  <c r="O2064" i="34"/>
  <c r="P2064" i="34"/>
  <c r="Q2064" i="34"/>
  <c r="U2064" i="34"/>
  <c r="Z2064" i="34"/>
  <c r="A2064" i="34"/>
  <c r="O2069" i="34"/>
  <c r="P2069" i="34"/>
  <c r="Q2069" i="34"/>
  <c r="U2069" i="34"/>
  <c r="Z2069" i="34"/>
  <c r="A2069" i="34"/>
  <c r="O2189" i="34"/>
  <c r="P2189" i="34"/>
  <c r="Q2189" i="34"/>
  <c r="U2189" i="34"/>
  <c r="Z2189" i="34"/>
  <c r="A2189" i="34"/>
  <c r="O2103" i="34"/>
  <c r="P2103" i="34"/>
  <c r="Q2103" i="34"/>
  <c r="U2103" i="34"/>
  <c r="Z2103" i="34"/>
  <c r="A2103" i="34"/>
  <c r="O2229" i="34"/>
  <c r="P2229" i="34"/>
  <c r="Q2229" i="34"/>
  <c r="U2229" i="34"/>
  <c r="Z2229" i="34"/>
  <c r="A2229" i="34"/>
  <c r="O2287" i="34"/>
  <c r="P2287" i="34"/>
  <c r="Q2287" i="34"/>
  <c r="U2287" i="34"/>
  <c r="Z2287" i="34"/>
  <c r="A2287" i="34"/>
  <c r="O2186" i="34"/>
  <c r="P2186" i="34"/>
  <c r="Q2186" i="34"/>
  <c r="U2186" i="34"/>
  <c r="Z2186" i="34"/>
  <c r="A2186" i="34"/>
  <c r="O2117" i="34"/>
  <c r="P2117" i="34"/>
  <c r="Q2117" i="34"/>
  <c r="U2117" i="34"/>
  <c r="Z2117" i="34"/>
  <c r="A2117" i="34"/>
  <c r="O2150" i="34"/>
  <c r="P2150" i="34"/>
  <c r="Q2150" i="34"/>
  <c r="U2150" i="34"/>
  <c r="Z2150" i="34"/>
  <c r="A2150" i="34"/>
  <c r="Q1997" i="34"/>
  <c r="U1997" i="34"/>
  <c r="O1997" i="34"/>
  <c r="Z1997" i="34"/>
  <c r="P1997" i="34"/>
  <c r="A1997" i="34"/>
  <c r="O2201" i="34"/>
  <c r="P2201" i="34"/>
  <c r="Q2201" i="34"/>
  <c r="U2201" i="34"/>
  <c r="Z2201" i="34"/>
  <c r="A2201" i="34"/>
  <c r="O2240" i="34"/>
  <c r="P2240" i="34"/>
  <c r="Q2240" i="34"/>
  <c r="U2240" i="34"/>
  <c r="Z2240" i="34"/>
  <c r="A2240" i="34"/>
  <c r="O2124" i="34"/>
  <c r="P2124" i="34"/>
  <c r="Q2124" i="34"/>
  <c r="U2124" i="34"/>
  <c r="Z2124" i="34"/>
  <c r="A2124" i="34"/>
  <c r="O2126" i="34"/>
  <c r="P2126" i="34"/>
  <c r="Q2126" i="34"/>
  <c r="U2126" i="34"/>
  <c r="Z2126" i="34"/>
  <c r="A2126" i="34"/>
  <c r="O2183" i="34"/>
  <c r="P2183" i="34"/>
  <c r="Q2183" i="34"/>
  <c r="U2183" i="34"/>
  <c r="Z2183" i="34"/>
  <c r="A2183" i="34"/>
  <c r="O2195" i="34"/>
  <c r="P2195" i="34"/>
  <c r="Q2195" i="34"/>
  <c r="U2195" i="34"/>
  <c r="Z2195" i="34"/>
  <c r="A2195" i="34"/>
  <c r="O2286" i="34"/>
  <c r="P2286" i="34"/>
  <c r="Q2286" i="34"/>
  <c r="U2286" i="34"/>
  <c r="Z2286" i="34"/>
  <c r="A2286" i="34"/>
  <c r="Q2044" i="34"/>
  <c r="U2044" i="34"/>
  <c r="Z2044" i="34"/>
  <c r="O2044" i="34"/>
  <c r="P2044" i="34"/>
  <c r="A2044" i="34"/>
  <c r="Q2045" i="34"/>
  <c r="U2045" i="34"/>
  <c r="Z2045" i="34"/>
  <c r="O2045" i="34"/>
  <c r="P2045" i="34"/>
  <c r="A2045" i="34"/>
  <c r="O2202" i="34"/>
  <c r="P2202" i="34"/>
  <c r="Q2202" i="34"/>
  <c r="U2202" i="34"/>
  <c r="Z2202" i="34"/>
  <c r="A2202" i="34"/>
  <c r="O2097" i="34"/>
  <c r="P2097" i="34"/>
  <c r="Q2097" i="34"/>
  <c r="U2097" i="34"/>
  <c r="Z2097" i="34"/>
  <c r="A2097" i="34"/>
  <c r="O2113" i="34"/>
  <c r="P2113" i="34"/>
  <c r="Q2113" i="34"/>
  <c r="U2113" i="34"/>
  <c r="Z2113" i="34"/>
  <c r="A2113" i="34"/>
  <c r="Q1994" i="34"/>
  <c r="U1994" i="34"/>
  <c r="Z1994" i="34"/>
  <c r="O1994" i="34"/>
  <c r="P1994" i="34"/>
  <c r="A1994" i="34"/>
  <c r="O2236" i="34"/>
  <c r="P2236" i="34"/>
  <c r="Q2236" i="34"/>
  <c r="U2236" i="34"/>
  <c r="Z2236" i="34"/>
  <c r="A2236" i="34"/>
  <c r="O2233" i="34"/>
  <c r="P2233" i="34"/>
  <c r="Q2233" i="34"/>
  <c r="U2233" i="34"/>
  <c r="Z2233" i="34"/>
  <c r="A2233" i="34"/>
  <c r="Q2342" i="34"/>
  <c r="U2342" i="34"/>
  <c r="Z2342" i="34"/>
  <c r="O2342" i="34"/>
  <c r="P2342" i="34"/>
  <c r="A2342" i="34"/>
  <c r="Q2346" i="34"/>
  <c r="U2346" i="34"/>
  <c r="Z2346" i="34"/>
  <c r="O2346" i="34"/>
  <c r="P2346" i="34"/>
  <c r="A2346" i="34"/>
  <c r="Q2879" i="34"/>
  <c r="U2879" i="34"/>
  <c r="Z2879" i="34"/>
  <c r="P2879" i="34"/>
  <c r="O2879" i="34"/>
  <c r="A2879" i="34"/>
  <c r="Q2888" i="34"/>
  <c r="U2888" i="34"/>
  <c r="Z2888" i="34"/>
  <c r="O2888" i="34"/>
  <c r="P2888" i="34"/>
  <c r="A2888" i="34"/>
  <c r="Q2885" i="34"/>
  <c r="U2885" i="34"/>
  <c r="Z2885" i="34"/>
  <c r="O2885" i="34"/>
  <c r="P2885" i="34"/>
  <c r="A2885" i="34"/>
  <c r="Q2954" i="34"/>
  <c r="U2954" i="34"/>
  <c r="Z2954" i="34"/>
  <c r="O2954" i="34"/>
  <c r="P2954" i="34"/>
  <c r="A2954" i="34"/>
  <c r="Q2974" i="34"/>
  <c r="U2974" i="34"/>
  <c r="Z2974" i="34"/>
  <c r="O2974" i="34"/>
  <c r="P2974" i="34"/>
  <c r="A2974" i="34"/>
  <c r="Q3000" i="34"/>
  <c r="U3000" i="34"/>
  <c r="Z3000" i="34"/>
  <c r="O3000" i="34"/>
  <c r="P3000" i="34"/>
  <c r="A3000" i="34"/>
  <c r="Q2963" i="34"/>
  <c r="U2963" i="34"/>
  <c r="Z2963" i="34"/>
  <c r="P2963" i="34"/>
  <c r="O2963" i="34"/>
  <c r="A2963" i="34"/>
  <c r="Q2924" i="34"/>
  <c r="U2924" i="34"/>
  <c r="Z2924" i="34"/>
  <c r="O2924" i="34"/>
  <c r="P2924" i="34"/>
  <c r="A2924" i="34"/>
  <c r="Q2920" i="34"/>
  <c r="U2920" i="34"/>
  <c r="Z2920" i="34"/>
  <c r="O2920" i="34"/>
  <c r="P2920" i="34"/>
  <c r="A2920" i="34"/>
  <c r="O3495" i="34"/>
  <c r="P3495" i="34"/>
  <c r="Q3495" i="34"/>
  <c r="U3495" i="34"/>
  <c r="Z3495" i="34"/>
  <c r="A3495" i="34"/>
  <c r="Q3441" i="34"/>
  <c r="U3441" i="34"/>
  <c r="Z3441" i="34"/>
  <c r="O3441" i="34"/>
  <c r="P3441" i="34"/>
  <c r="A3441" i="34"/>
  <c r="Q3211" i="34"/>
  <c r="U3211" i="34"/>
  <c r="Z3211" i="34"/>
  <c r="P3211" i="34"/>
  <c r="O3211" i="34"/>
  <c r="A3211" i="34"/>
  <c r="Q2871" i="34"/>
  <c r="U2871" i="34"/>
  <c r="Z2871" i="34"/>
  <c r="P2871" i="34"/>
  <c r="O2871" i="34"/>
  <c r="A2871" i="34"/>
  <c r="Q2330" i="34"/>
  <c r="U2330" i="34"/>
  <c r="Z2330" i="34"/>
  <c r="O2330" i="34"/>
  <c r="P2330" i="34"/>
  <c r="A2330" i="34"/>
  <c r="O2306" i="34"/>
  <c r="P2306" i="34"/>
  <c r="Q2306" i="34"/>
  <c r="U2306" i="34"/>
  <c r="Z2306" i="34"/>
  <c r="A2306" i="34"/>
  <c r="O2280" i="34"/>
  <c r="P2280" i="34"/>
  <c r="Q2280" i="34"/>
  <c r="U2280" i="34"/>
  <c r="Z2280" i="34"/>
  <c r="A2280" i="34"/>
  <c r="O2079" i="34"/>
  <c r="P2079" i="34"/>
  <c r="Q2079" i="34"/>
  <c r="U2079" i="34"/>
  <c r="Z2079" i="34"/>
  <c r="A2079" i="34"/>
  <c r="Q2007" i="34"/>
  <c r="U2007" i="34"/>
  <c r="Z2007" i="34"/>
  <c r="P2007" i="34"/>
  <c r="O2007" i="34"/>
  <c r="A2007" i="34"/>
  <c r="Q2869" i="34"/>
  <c r="U2869" i="34"/>
  <c r="Z2869" i="34"/>
  <c r="O2869" i="34"/>
  <c r="P2869" i="34"/>
  <c r="A2869" i="34"/>
  <c r="O2304" i="34"/>
  <c r="P2304" i="34"/>
  <c r="Q2304" i="34"/>
  <c r="U2304" i="34"/>
  <c r="Z2304" i="34"/>
  <c r="A2304" i="34"/>
  <c r="O2072" i="34"/>
  <c r="P2072" i="34"/>
  <c r="Q2072" i="34"/>
  <c r="U2072" i="34"/>
  <c r="Z2072" i="34"/>
  <c r="A2072" i="34"/>
  <c r="Q1984" i="34"/>
  <c r="U1984" i="34"/>
  <c r="Z1984" i="34"/>
  <c r="P1984" i="34"/>
  <c r="O1984" i="34"/>
  <c r="A1984" i="34"/>
  <c r="Q4413" i="34"/>
  <c r="U4413" i="34"/>
  <c r="Z4413" i="34"/>
  <c r="A4413" i="34"/>
  <c r="O4413" i="34"/>
  <c r="P4413" i="34"/>
  <c r="Q4436" i="34"/>
  <c r="U4436" i="34"/>
  <c r="Z4436" i="34"/>
  <c r="O4436" i="34"/>
  <c r="P4436" i="34"/>
  <c r="A4436" i="34"/>
  <c r="Q4422" i="34"/>
  <c r="U4422" i="34"/>
  <c r="Z4422" i="34"/>
  <c r="P4422" i="34"/>
  <c r="A4422" i="34"/>
  <c r="O4422" i="34"/>
  <c r="Q4428" i="34"/>
  <c r="U4428" i="34"/>
  <c r="Z4428" i="34"/>
  <c r="O4428" i="34"/>
  <c r="P4428" i="34"/>
  <c r="A4428" i="34"/>
  <c r="Q4438" i="34"/>
  <c r="U4438" i="34"/>
  <c r="Z4438" i="34"/>
  <c r="P4438" i="34"/>
  <c r="A4438" i="34"/>
  <c r="O4438" i="34"/>
  <c r="Q4378" i="34"/>
  <c r="U4378" i="34"/>
  <c r="Z4378" i="34"/>
  <c r="P4378" i="34"/>
  <c r="A4378" i="34"/>
  <c r="O4378" i="34"/>
  <c r="Q4381" i="34"/>
  <c r="U4381" i="34"/>
  <c r="Z4381" i="34"/>
  <c r="A4381" i="34"/>
  <c r="O4381" i="34"/>
  <c r="P4381" i="34"/>
  <c r="Q4417" i="34"/>
  <c r="U4417" i="34"/>
  <c r="Z4417" i="34"/>
  <c r="A4417" i="34"/>
  <c r="O4417" i="34"/>
  <c r="P4417" i="34"/>
  <c r="Q4427" i="34"/>
  <c r="U4427" i="34"/>
  <c r="Z4427" i="34"/>
  <c r="O4427" i="34"/>
  <c r="P4427" i="34"/>
  <c r="A4427" i="34"/>
  <c r="Q4437" i="34"/>
  <c r="U4437" i="34"/>
  <c r="Z4437" i="34"/>
  <c r="A4437" i="34"/>
  <c r="O4437" i="34"/>
  <c r="P4437" i="34"/>
  <c r="Q4380" i="34"/>
  <c r="U4380" i="34"/>
  <c r="Z4380" i="34"/>
  <c r="O4380" i="34"/>
  <c r="P4380" i="34"/>
  <c r="A4380" i="34"/>
  <c r="Q4411" i="34"/>
  <c r="U4411" i="34"/>
  <c r="Z4411" i="34"/>
  <c r="O4411" i="34"/>
  <c r="P4411" i="34"/>
  <c r="A4411" i="34"/>
  <c r="Q4399" i="34"/>
  <c r="U4399" i="34"/>
  <c r="Z4399" i="34"/>
  <c r="O4399" i="34"/>
  <c r="P4399" i="34"/>
  <c r="A4399" i="34"/>
  <c r="Q4392" i="34"/>
  <c r="U4392" i="34"/>
  <c r="Z4392" i="34"/>
  <c r="O4392" i="34"/>
  <c r="P4392" i="34"/>
  <c r="A4392" i="34"/>
  <c r="Q4396" i="34"/>
  <c r="U4396" i="34"/>
  <c r="Z4396" i="34"/>
  <c r="O4396" i="34"/>
  <c r="P4396" i="34"/>
  <c r="A4396" i="34"/>
  <c r="Q4402" i="34"/>
  <c r="U4402" i="34"/>
  <c r="Z4402" i="34"/>
  <c r="P4402" i="34"/>
  <c r="A4402" i="34"/>
  <c r="O4402" i="34"/>
  <c r="Q4400" i="34"/>
  <c r="U4400" i="34"/>
  <c r="Z4400" i="34"/>
  <c r="O4400" i="34"/>
  <c r="P4400" i="34"/>
  <c r="A4400" i="34"/>
  <c r="Q4372" i="34"/>
  <c r="U4372" i="34"/>
  <c r="Z4372" i="34"/>
  <c r="O4372" i="34"/>
  <c r="P4372" i="34"/>
  <c r="A4372" i="34"/>
  <c r="Q4367" i="34"/>
  <c r="U4367" i="34"/>
  <c r="Z4367" i="34"/>
  <c r="O4367" i="34"/>
  <c r="P4367" i="34"/>
  <c r="A4367" i="34"/>
  <c r="Q4363" i="34"/>
  <c r="U4363" i="34"/>
  <c r="Z4363" i="34"/>
  <c r="O4363" i="34"/>
  <c r="P4363" i="34"/>
  <c r="A4363" i="34"/>
  <c r="O4339" i="34"/>
  <c r="P4339" i="34"/>
  <c r="Q4339" i="34"/>
  <c r="U4339" i="34"/>
  <c r="Z4339" i="34"/>
  <c r="A4339" i="34"/>
  <c r="O3927" i="34"/>
  <c r="P3927" i="34"/>
  <c r="Q3927" i="34"/>
  <c r="U3927" i="34"/>
  <c r="Z3927" i="34"/>
  <c r="A3927" i="34"/>
  <c r="O3923" i="34"/>
  <c r="P3923" i="34"/>
  <c r="Q3923" i="34"/>
  <c r="U3923" i="34"/>
  <c r="Z3923" i="34"/>
  <c r="A3923" i="34"/>
  <c r="O3493" i="34"/>
  <c r="P3493" i="34"/>
  <c r="Q3493" i="34"/>
  <c r="U3493" i="34"/>
  <c r="Z3493" i="34"/>
  <c r="A3493" i="34"/>
  <c r="Q3477" i="34"/>
  <c r="U3477" i="34"/>
  <c r="Z3477" i="34"/>
  <c r="O3477" i="34"/>
  <c r="P3477" i="34"/>
  <c r="A3477" i="34"/>
  <c r="Q3458" i="34"/>
  <c r="U3458" i="34"/>
  <c r="Z3458" i="34"/>
  <c r="O3458" i="34"/>
  <c r="P3458" i="34"/>
  <c r="A3458" i="34"/>
  <c r="Q3450" i="34"/>
  <c r="U3450" i="34"/>
  <c r="Z3450" i="34"/>
  <c r="O3450" i="34"/>
  <c r="P3450" i="34"/>
  <c r="A3450" i="34"/>
  <c r="Q3434" i="34"/>
  <c r="U3434" i="34"/>
  <c r="Z3434" i="34"/>
  <c r="O3434" i="34"/>
  <c r="P3434" i="34"/>
  <c r="A3434" i="34"/>
  <c r="Q3357" i="34"/>
  <c r="U3357" i="34"/>
  <c r="Z3357" i="34"/>
  <c r="O3357" i="34"/>
  <c r="P3357" i="34"/>
  <c r="A3357" i="34"/>
  <c r="Q3353" i="34"/>
  <c r="U3353" i="34"/>
  <c r="Z3353" i="34"/>
  <c r="O3353" i="34"/>
  <c r="P3353" i="34"/>
  <c r="A3353" i="34"/>
  <c r="Q3349" i="34"/>
  <c r="U3349" i="34"/>
  <c r="Z3349" i="34"/>
  <c r="O3349" i="34"/>
  <c r="P3349" i="34"/>
  <c r="A3349" i="34"/>
  <c r="Q3345" i="34"/>
  <c r="U3345" i="34"/>
  <c r="Z3345" i="34"/>
  <c r="O3345" i="34"/>
  <c r="P3345" i="34"/>
  <c r="A3345" i="34"/>
  <c r="Q3341" i="34"/>
  <c r="U3341" i="34"/>
  <c r="Z3341" i="34"/>
  <c r="O3341" i="34"/>
  <c r="P3341" i="34"/>
  <c r="A3341" i="34"/>
  <c r="Q3337" i="34"/>
  <c r="U3337" i="34"/>
  <c r="Z3337" i="34"/>
  <c r="O3337" i="34"/>
  <c r="P3337" i="34"/>
  <c r="A3337" i="34"/>
  <c r="Q3333" i="34"/>
  <c r="U3333" i="34"/>
  <c r="Z3333" i="34"/>
  <c r="O3333" i="34"/>
  <c r="P3333" i="34"/>
  <c r="A3333" i="34"/>
  <c r="Q3329" i="34"/>
  <c r="U3329" i="34"/>
  <c r="Z3329" i="34"/>
  <c r="O3329" i="34"/>
  <c r="P3329" i="34"/>
  <c r="A3329" i="34"/>
  <c r="Q3325" i="34"/>
  <c r="U3325" i="34"/>
  <c r="Z3325" i="34"/>
  <c r="O3325" i="34"/>
  <c r="P3325" i="34"/>
  <c r="A3325" i="34"/>
  <c r="Q3321" i="34"/>
  <c r="U3321" i="34"/>
  <c r="Z3321" i="34"/>
  <c r="O3321" i="34"/>
  <c r="P3321" i="34"/>
  <c r="A3321" i="34"/>
  <c r="Q3317" i="34"/>
  <c r="U3317" i="34"/>
  <c r="Z3317" i="34"/>
  <c r="O3317" i="34"/>
  <c r="P3317" i="34"/>
  <c r="A3317" i="34"/>
  <c r="Q3313" i="34"/>
  <c r="U3313" i="34"/>
  <c r="Z3313" i="34"/>
  <c r="O3313" i="34"/>
  <c r="P3313" i="34"/>
  <c r="A3313" i="34"/>
  <c r="Q3289" i="34"/>
  <c r="U3289" i="34"/>
  <c r="Z3289" i="34"/>
  <c r="O3289" i="34"/>
  <c r="P3289" i="34"/>
  <c r="A3289" i="34"/>
  <c r="Q3282" i="34"/>
  <c r="U3282" i="34"/>
  <c r="Z3282" i="34"/>
  <c r="O3282" i="34"/>
  <c r="P3282" i="34"/>
  <c r="A3282" i="34"/>
  <c r="Q3278" i="34"/>
  <c r="U3278" i="34"/>
  <c r="Z3278" i="34"/>
  <c r="O3278" i="34"/>
  <c r="P3278" i="34"/>
  <c r="A3278" i="34"/>
  <c r="Q3274" i="34"/>
  <c r="U3274" i="34"/>
  <c r="Z3274" i="34"/>
  <c r="O3274" i="34"/>
  <c r="P3274" i="34"/>
  <c r="A3274" i="34"/>
  <c r="Q3383" i="34"/>
  <c r="U3383" i="34"/>
  <c r="Z3383" i="34"/>
  <c r="O3383" i="34"/>
  <c r="P3383" i="34"/>
  <c r="A3383" i="34"/>
  <c r="Q2982" i="34"/>
  <c r="U2982" i="34"/>
  <c r="Z2982" i="34"/>
  <c r="O2982" i="34"/>
  <c r="P2982" i="34"/>
  <c r="A2982" i="34"/>
  <c r="Q2937" i="34"/>
  <c r="U2937" i="34"/>
  <c r="Z2937" i="34"/>
  <c r="O2937" i="34"/>
  <c r="P2937" i="34"/>
  <c r="A2937" i="34"/>
  <c r="Q2936" i="34"/>
  <c r="U2936" i="34"/>
  <c r="Z2936" i="34"/>
  <c r="O2936" i="34"/>
  <c r="P2936" i="34"/>
  <c r="A2936" i="34"/>
  <c r="Q2965" i="34"/>
  <c r="U2965" i="34"/>
  <c r="Z2965" i="34"/>
  <c r="O2965" i="34"/>
  <c r="P2965" i="34"/>
  <c r="A2965" i="34"/>
  <c r="Q2973" i="34"/>
  <c r="U2973" i="34"/>
  <c r="Z2973" i="34"/>
  <c r="O2973" i="34"/>
  <c r="P2973" i="34"/>
  <c r="A2973" i="34"/>
  <c r="Q2926" i="34"/>
  <c r="U2926" i="34"/>
  <c r="Z2926" i="34"/>
  <c r="O2926" i="34"/>
  <c r="P2926" i="34"/>
  <c r="A2926" i="34"/>
  <c r="Q2918" i="34"/>
  <c r="U2918" i="34"/>
  <c r="Z2918" i="34"/>
  <c r="O2918" i="34"/>
  <c r="P2918" i="34"/>
  <c r="A2918" i="34"/>
  <c r="Q2925" i="34"/>
  <c r="U2925" i="34"/>
  <c r="Z2925" i="34"/>
  <c r="O2925" i="34"/>
  <c r="P2925" i="34"/>
  <c r="A2925" i="34"/>
  <c r="Q2975" i="34"/>
  <c r="U2975" i="34"/>
  <c r="Z2975" i="34"/>
  <c r="P2975" i="34"/>
  <c r="O2975" i="34"/>
  <c r="A2975" i="34"/>
  <c r="Q2946" i="34"/>
  <c r="U2946" i="34"/>
  <c r="Z2946" i="34"/>
  <c r="O2946" i="34"/>
  <c r="P2946" i="34"/>
  <c r="A2946" i="34"/>
  <c r="Q2977" i="34"/>
  <c r="U2977" i="34"/>
  <c r="Z2977" i="34"/>
  <c r="O2977" i="34"/>
  <c r="P2977" i="34"/>
  <c r="A2977" i="34"/>
  <c r="Q3002" i="34"/>
  <c r="U3002" i="34"/>
  <c r="Z3002" i="34"/>
  <c r="O3002" i="34"/>
  <c r="P3002" i="34"/>
  <c r="A3002" i="34"/>
  <c r="Q2996" i="34"/>
  <c r="U2996" i="34"/>
  <c r="Z2996" i="34"/>
  <c r="O2996" i="34"/>
  <c r="P2996" i="34"/>
  <c r="A2996" i="34"/>
  <c r="Q2947" i="34"/>
  <c r="U2947" i="34"/>
  <c r="Z2947" i="34"/>
  <c r="P2947" i="34"/>
  <c r="O2947" i="34"/>
  <c r="A2947" i="34"/>
  <c r="Q2942" i="34"/>
  <c r="U2942" i="34"/>
  <c r="Z2942" i="34"/>
  <c r="O2942" i="34"/>
  <c r="P2942" i="34"/>
  <c r="A2942" i="34"/>
  <c r="Q2994" i="34"/>
  <c r="U2994" i="34"/>
  <c r="Z2994" i="34"/>
  <c r="O2994" i="34"/>
  <c r="P2994" i="34"/>
  <c r="A2994" i="34"/>
  <c r="P18" i="34"/>
  <c r="Q18" i="34"/>
  <c r="U18" i="34"/>
  <c r="Z18" i="34"/>
  <c r="O18" i="34"/>
  <c r="A18" i="34"/>
  <c r="O2080" i="34"/>
  <c r="P2080" i="34"/>
  <c r="Q2080" i="34"/>
  <c r="U2080" i="34"/>
  <c r="Z2080" i="34"/>
  <c r="A2080" i="34"/>
  <c r="O3496" i="34"/>
  <c r="P3496" i="34"/>
  <c r="Q3496" i="34"/>
  <c r="U3496" i="34"/>
  <c r="Z3496" i="34"/>
  <c r="A3496" i="34"/>
  <c r="Q3449" i="34"/>
  <c r="U3449" i="34"/>
  <c r="Z3449" i="34"/>
  <c r="O3449" i="34"/>
  <c r="P3449" i="34"/>
  <c r="A3449" i="34"/>
  <c r="Q3308" i="34"/>
  <c r="U3308" i="34"/>
  <c r="Z3308" i="34"/>
  <c r="O3308" i="34"/>
  <c r="P3308" i="34"/>
  <c r="A3308" i="34"/>
  <c r="Q2868" i="34"/>
  <c r="U2868" i="34"/>
  <c r="Z2868" i="34"/>
  <c r="O2868" i="34"/>
  <c r="P2868" i="34"/>
  <c r="A2868" i="34"/>
  <c r="Q2336" i="34"/>
  <c r="U2336" i="34"/>
  <c r="Z2336" i="34"/>
  <c r="P2336" i="34"/>
  <c r="O2336" i="34"/>
  <c r="A2336" i="34"/>
  <c r="Q2340" i="34"/>
  <c r="U2340" i="34"/>
  <c r="Z2340" i="34"/>
  <c r="P2340" i="34"/>
  <c r="O2340" i="34"/>
  <c r="A2340" i="34"/>
  <c r="Q3379" i="34"/>
  <c r="U3379" i="34"/>
  <c r="Z3379" i="34"/>
  <c r="O3379" i="34"/>
  <c r="P3379" i="34"/>
  <c r="A3379" i="34"/>
  <c r="Q3431" i="34"/>
  <c r="U3431" i="34"/>
  <c r="Z3431" i="34"/>
  <c r="O3431" i="34"/>
  <c r="P3431" i="34"/>
  <c r="A3431" i="34"/>
  <c r="Q3427" i="34"/>
  <c r="U3427" i="34"/>
  <c r="Z3427" i="34"/>
  <c r="O3427" i="34"/>
  <c r="P3427" i="34"/>
  <c r="A3427" i="34"/>
  <c r="Q3421" i="34"/>
  <c r="U3421" i="34"/>
  <c r="Z3421" i="34"/>
  <c r="O3421" i="34"/>
  <c r="P3421" i="34"/>
  <c r="A3421" i="34"/>
  <c r="Q3419" i="34"/>
  <c r="U3419" i="34"/>
  <c r="Z3419" i="34"/>
  <c r="O3419" i="34"/>
  <c r="P3419" i="34"/>
  <c r="A3419" i="34"/>
  <c r="O4327" i="34"/>
  <c r="P4327" i="34"/>
  <c r="Q4327" i="34"/>
  <c r="U4327" i="34"/>
  <c r="Z4327" i="34"/>
  <c r="A4327" i="34"/>
  <c r="O4323" i="34"/>
  <c r="P4323" i="34"/>
  <c r="Q4323" i="34"/>
  <c r="U4323" i="34"/>
  <c r="Z4323" i="34"/>
  <c r="A4323" i="34"/>
  <c r="O4305" i="34"/>
  <c r="P4305" i="34"/>
  <c r="Q4305" i="34"/>
  <c r="U4305" i="34"/>
  <c r="Z4305" i="34"/>
  <c r="A4305" i="34"/>
  <c r="O4301" i="34"/>
  <c r="P4301" i="34"/>
  <c r="Q4301" i="34"/>
  <c r="U4301" i="34"/>
  <c r="Z4301" i="34"/>
  <c r="A4301" i="34"/>
  <c r="O4297" i="34"/>
  <c r="P4297" i="34"/>
  <c r="Q4297" i="34"/>
  <c r="U4297" i="34"/>
  <c r="Z4297" i="34"/>
  <c r="A4297" i="34"/>
  <c r="O4293" i="34"/>
  <c r="P4293" i="34"/>
  <c r="Q4293" i="34"/>
  <c r="U4293" i="34"/>
  <c r="Z4293" i="34"/>
  <c r="A4293" i="34"/>
  <c r="O4289" i="34"/>
  <c r="P4289" i="34"/>
  <c r="Q4289" i="34"/>
  <c r="U4289" i="34"/>
  <c r="Z4289" i="34"/>
  <c r="A4289" i="34"/>
  <c r="O4284" i="34"/>
  <c r="P4284" i="34"/>
  <c r="Q4284" i="34"/>
  <c r="U4284" i="34"/>
  <c r="Z4284" i="34"/>
  <c r="A4284" i="34"/>
  <c r="O4280" i="34"/>
  <c r="P4280" i="34"/>
  <c r="Q4280" i="34"/>
  <c r="U4280" i="34"/>
  <c r="Z4280" i="34"/>
  <c r="A4280" i="34"/>
  <c r="O4276" i="34"/>
  <c r="P4276" i="34"/>
  <c r="Q4276" i="34"/>
  <c r="U4276" i="34"/>
  <c r="Z4276" i="34"/>
  <c r="A4276" i="34"/>
  <c r="O4272" i="34"/>
  <c r="P4272" i="34"/>
  <c r="Q4272" i="34"/>
  <c r="U4272" i="34"/>
  <c r="Z4272" i="34"/>
  <c r="A4272" i="34"/>
  <c r="O4268" i="34"/>
  <c r="P4268" i="34"/>
  <c r="Q4268" i="34"/>
  <c r="U4268" i="34"/>
  <c r="Z4268" i="34"/>
  <c r="A4268" i="34"/>
  <c r="O4264" i="34"/>
  <c r="P4264" i="34"/>
  <c r="Q4264" i="34"/>
  <c r="U4264" i="34"/>
  <c r="Z4264" i="34"/>
  <c r="A4264" i="34"/>
  <c r="O4260" i="34"/>
  <c r="P4260" i="34"/>
  <c r="Q4260" i="34"/>
  <c r="U4260" i="34"/>
  <c r="Z4260" i="34"/>
  <c r="A4260" i="34"/>
  <c r="O4256" i="34"/>
  <c r="P4256" i="34"/>
  <c r="Q4256" i="34"/>
  <c r="U4256" i="34"/>
  <c r="Z4256" i="34"/>
  <c r="A4256" i="34"/>
  <c r="O4252" i="34"/>
  <c r="P4252" i="34"/>
  <c r="Q4252" i="34"/>
  <c r="U4252" i="34"/>
  <c r="Z4252" i="34"/>
  <c r="A4252" i="34"/>
  <c r="O4248" i="34"/>
  <c r="P4248" i="34"/>
  <c r="Q4248" i="34"/>
  <c r="U4248" i="34"/>
  <c r="Z4248" i="34"/>
  <c r="A4248" i="34"/>
  <c r="O4244" i="34"/>
  <c r="P4244" i="34"/>
  <c r="Q4244" i="34"/>
  <c r="U4244" i="34"/>
  <c r="Z4244" i="34"/>
  <c r="A4244" i="34"/>
  <c r="O4105" i="34"/>
  <c r="P4105" i="34"/>
  <c r="Q4105" i="34"/>
  <c r="U4105" i="34"/>
  <c r="Z4105" i="34"/>
  <c r="A4105" i="34"/>
  <c r="O4101" i="34"/>
  <c r="P4101" i="34"/>
  <c r="Q4101" i="34"/>
  <c r="U4101" i="34"/>
  <c r="Z4101" i="34"/>
  <c r="A4101" i="34"/>
  <c r="O4097" i="34"/>
  <c r="P4097" i="34"/>
  <c r="Q4097" i="34"/>
  <c r="U4097" i="34"/>
  <c r="Z4097" i="34"/>
  <c r="A4097" i="34"/>
  <c r="O3960" i="34"/>
  <c r="P3960" i="34"/>
  <c r="Q3960" i="34"/>
  <c r="U3960" i="34"/>
  <c r="Z3960" i="34"/>
  <c r="A3960" i="34"/>
  <c r="O3956" i="34"/>
  <c r="P3956" i="34"/>
  <c r="Q3956" i="34"/>
  <c r="U3956" i="34"/>
  <c r="Z3956" i="34"/>
  <c r="A3956" i="34"/>
  <c r="O3952" i="34"/>
  <c r="P3952" i="34"/>
  <c r="Q3952" i="34"/>
  <c r="U3952" i="34"/>
  <c r="Z3952" i="34"/>
  <c r="A3952" i="34"/>
  <c r="O3948" i="34"/>
  <c r="P3948" i="34"/>
  <c r="Q3948" i="34"/>
  <c r="U3948" i="34"/>
  <c r="Z3948" i="34"/>
  <c r="A3948" i="34"/>
  <c r="O3944" i="34"/>
  <c r="P3944" i="34"/>
  <c r="Q3944" i="34"/>
  <c r="U3944" i="34"/>
  <c r="Z3944" i="34"/>
  <c r="A3944" i="34"/>
  <c r="Q2866" i="34"/>
  <c r="U2866" i="34"/>
  <c r="Z2866" i="34"/>
  <c r="O2866" i="34"/>
  <c r="P2866" i="34"/>
  <c r="A2866" i="34"/>
  <c r="Q2862" i="34"/>
  <c r="U2862" i="34"/>
  <c r="Z2862" i="34"/>
  <c r="O2862" i="34"/>
  <c r="P2862" i="34"/>
  <c r="A2862" i="34"/>
  <c r="Q2858" i="34"/>
  <c r="U2858" i="34"/>
  <c r="Z2858" i="34"/>
  <c r="O2858" i="34"/>
  <c r="P2858" i="34"/>
  <c r="A2858" i="34"/>
  <c r="Q2854" i="34"/>
  <c r="U2854" i="34"/>
  <c r="Z2854" i="34"/>
  <c r="O2854" i="34"/>
  <c r="P2854" i="34"/>
  <c r="A2854" i="34"/>
  <c r="Q2850" i="34"/>
  <c r="U2850" i="34"/>
  <c r="Z2850" i="34"/>
  <c r="O2850" i="34"/>
  <c r="P2850" i="34"/>
  <c r="A2850" i="34"/>
  <c r="Q2846" i="34"/>
  <c r="U2846" i="34"/>
  <c r="Z2846" i="34"/>
  <c r="O2846" i="34"/>
  <c r="P2846" i="34"/>
  <c r="A2846" i="34"/>
  <c r="Q2842" i="34"/>
  <c r="U2842" i="34"/>
  <c r="Z2842" i="34"/>
  <c r="O2842" i="34"/>
  <c r="P2842" i="34"/>
  <c r="A2842" i="34"/>
  <c r="Q2838" i="34"/>
  <c r="U2838" i="34"/>
  <c r="Z2838" i="34"/>
  <c r="O2838" i="34"/>
  <c r="P2838" i="34"/>
  <c r="A2838" i="34"/>
  <c r="Q2834" i="34"/>
  <c r="U2834" i="34"/>
  <c r="Z2834" i="34"/>
  <c r="O2834" i="34"/>
  <c r="P2834" i="34"/>
  <c r="A2834" i="34"/>
  <c r="Q2830" i="34"/>
  <c r="U2830" i="34"/>
  <c r="Z2830" i="34"/>
  <c r="O2830" i="34"/>
  <c r="P2830" i="34"/>
  <c r="A2830" i="34"/>
  <c r="Q2826" i="34"/>
  <c r="U2826" i="34"/>
  <c r="Z2826" i="34"/>
  <c r="O2826" i="34"/>
  <c r="P2826" i="34"/>
  <c r="A2826" i="34"/>
  <c r="Q2821" i="34"/>
  <c r="U2821" i="34"/>
  <c r="Z2821" i="34"/>
  <c r="O2821" i="34"/>
  <c r="P2821" i="34"/>
  <c r="A2821" i="34"/>
  <c r="Q2817" i="34"/>
  <c r="U2817" i="34"/>
  <c r="Z2817" i="34"/>
  <c r="O2817" i="34"/>
  <c r="P2817" i="34"/>
  <c r="A2817" i="34"/>
  <c r="Q2417" i="34"/>
  <c r="U2417" i="34"/>
  <c r="Z2417" i="34"/>
  <c r="O2417" i="34"/>
  <c r="P2417" i="34"/>
  <c r="A2417" i="34"/>
  <c r="Q2413" i="34"/>
  <c r="U2413" i="34"/>
  <c r="Z2413" i="34"/>
  <c r="O2413" i="34"/>
  <c r="P2413" i="34"/>
  <c r="A2413" i="34"/>
  <c r="Q2409" i="34"/>
  <c r="U2409" i="34"/>
  <c r="Z2409" i="34"/>
  <c r="O2409" i="34"/>
  <c r="P2409" i="34"/>
  <c r="A2409" i="34"/>
  <c r="Q2405" i="34"/>
  <c r="U2405" i="34"/>
  <c r="Z2405" i="34"/>
  <c r="O2405" i="34"/>
  <c r="P2405" i="34"/>
  <c r="A2405" i="34"/>
  <c r="Q2401" i="34"/>
  <c r="U2401" i="34"/>
  <c r="Z2401" i="34"/>
  <c r="O2401" i="34"/>
  <c r="P2401" i="34"/>
  <c r="A2401" i="34"/>
  <c r="Q2397" i="34"/>
  <c r="U2397" i="34"/>
  <c r="Z2397" i="34"/>
  <c r="O2397" i="34"/>
  <c r="P2397" i="34"/>
  <c r="A2397" i="34"/>
  <c r="Q2393" i="34"/>
  <c r="U2393" i="34"/>
  <c r="Z2393" i="34"/>
  <c r="O2393" i="34"/>
  <c r="P2393" i="34"/>
  <c r="A2393" i="34"/>
  <c r="Q2389" i="34"/>
  <c r="U2389" i="34"/>
  <c r="Z2389" i="34"/>
  <c r="O2389" i="34"/>
  <c r="P2389" i="34"/>
  <c r="A2389" i="34"/>
  <c r="Q2385" i="34"/>
  <c r="U2385" i="34"/>
  <c r="Z2385" i="34"/>
  <c r="O2385" i="34"/>
  <c r="P2385" i="34"/>
  <c r="A2385" i="34"/>
  <c r="Q2381" i="34"/>
  <c r="U2381" i="34"/>
  <c r="Z2381" i="34"/>
  <c r="O2381" i="34"/>
  <c r="P2381" i="34"/>
  <c r="A2381" i="34"/>
  <c r="Q2377" i="34"/>
  <c r="U2377" i="34"/>
  <c r="Z2377" i="34"/>
  <c r="O2377" i="34"/>
  <c r="P2377" i="34"/>
  <c r="A2377" i="34"/>
  <c r="Q2373" i="34"/>
  <c r="U2373" i="34"/>
  <c r="Z2373" i="34"/>
  <c r="O2373" i="34"/>
  <c r="P2373" i="34"/>
  <c r="A2373" i="34"/>
  <c r="Q2369" i="34"/>
  <c r="U2369" i="34"/>
  <c r="Z2369" i="34"/>
  <c r="O2369" i="34"/>
  <c r="P2369" i="34"/>
  <c r="A2369" i="34"/>
  <c r="Q2365" i="34"/>
  <c r="U2365" i="34"/>
  <c r="Z2365" i="34"/>
  <c r="O2365" i="34"/>
  <c r="P2365" i="34"/>
  <c r="A2365" i="34"/>
  <c r="Q2361" i="34"/>
  <c r="U2361" i="34"/>
  <c r="Z2361" i="34"/>
  <c r="O2361" i="34"/>
  <c r="P2361" i="34"/>
  <c r="A2361" i="34"/>
  <c r="Q2357" i="34"/>
  <c r="U2357" i="34"/>
  <c r="Z2357" i="34"/>
  <c r="O2357" i="34"/>
  <c r="P2357" i="34"/>
  <c r="A2357" i="34"/>
  <c r="Q2353" i="34"/>
  <c r="U2353" i="34"/>
  <c r="Z2353" i="34"/>
  <c r="O2353" i="34"/>
  <c r="P2353" i="34"/>
  <c r="A2353" i="34"/>
  <c r="Q2349" i="34"/>
  <c r="U2349" i="34"/>
  <c r="Z2349" i="34"/>
  <c r="O2349" i="34"/>
  <c r="P2349" i="34"/>
  <c r="A2349" i="34"/>
  <c r="Q1823" i="34"/>
  <c r="U1823" i="34"/>
  <c r="Z1823" i="34"/>
  <c r="O1823" i="34"/>
  <c r="P1823" i="34"/>
  <c r="A1823" i="34"/>
  <c r="Q1687" i="34"/>
  <c r="U1687" i="34"/>
  <c r="Z1687" i="34"/>
  <c r="O1687" i="34"/>
  <c r="P1687" i="34"/>
  <c r="A1687" i="34"/>
  <c r="Q1817" i="34"/>
  <c r="U1817" i="34"/>
  <c r="Z1817" i="34"/>
  <c r="O1817" i="34"/>
  <c r="P1817" i="34"/>
  <c r="A1817" i="34"/>
  <c r="P1626" i="34"/>
  <c r="Q1626" i="34"/>
  <c r="U1626" i="34"/>
  <c r="Z1626" i="34"/>
  <c r="O1626" i="34"/>
  <c r="A1626" i="34"/>
  <c r="Q1889" i="34"/>
  <c r="U1889" i="34"/>
  <c r="Z1889" i="34"/>
  <c r="O1889" i="34"/>
  <c r="P1889" i="34"/>
  <c r="A1889" i="34"/>
  <c r="O2292" i="34"/>
  <c r="P2292" i="34"/>
  <c r="Q2292" i="34"/>
  <c r="U2292" i="34"/>
  <c r="Z2292" i="34"/>
  <c r="A2292" i="34"/>
  <c r="Q1932" i="34"/>
  <c r="U1932" i="34"/>
  <c r="Z1932" i="34"/>
  <c r="P1932" i="34"/>
  <c r="O1932" i="34"/>
  <c r="A1932" i="34"/>
  <c r="Q1897" i="34"/>
  <c r="U1897" i="34"/>
  <c r="Z1897" i="34"/>
  <c r="O1897" i="34"/>
  <c r="P1897" i="34"/>
  <c r="A1897" i="34"/>
  <c r="Q1814" i="34"/>
  <c r="U1814" i="34"/>
  <c r="Z1814" i="34"/>
  <c r="O1814" i="34"/>
  <c r="P1814" i="34"/>
  <c r="A1814" i="34"/>
  <c r="Q1775" i="34"/>
  <c r="U1775" i="34"/>
  <c r="Z1775" i="34"/>
  <c r="O1775" i="34"/>
  <c r="P1775" i="34"/>
  <c r="A1775" i="34"/>
  <c r="Q1753" i="34"/>
  <c r="U1753" i="34"/>
  <c r="Z1753" i="34"/>
  <c r="O1753" i="34"/>
  <c r="P1753" i="34"/>
  <c r="A1753" i="34"/>
  <c r="Q1748" i="34"/>
  <c r="U1748" i="34"/>
  <c r="Z1748" i="34"/>
  <c r="P1748" i="34"/>
  <c r="O1748" i="34"/>
  <c r="A1748" i="34"/>
  <c r="Q1699" i="34"/>
  <c r="U1699" i="34"/>
  <c r="Z1699" i="34"/>
  <c r="O1699" i="34"/>
  <c r="P1699" i="34"/>
  <c r="A1699" i="34"/>
  <c r="Q1661" i="34"/>
  <c r="U1661" i="34"/>
  <c r="Z1661" i="34"/>
  <c r="O1661" i="34"/>
  <c r="P1661" i="34"/>
  <c r="A1661" i="34"/>
  <c r="P1616" i="34"/>
  <c r="Q1616" i="34"/>
  <c r="U1616" i="34"/>
  <c r="Z1616" i="34"/>
  <c r="O1616" i="34"/>
  <c r="A1616" i="34"/>
  <c r="Q1863" i="34"/>
  <c r="U1863" i="34"/>
  <c r="Z1863" i="34"/>
  <c r="O1863" i="34"/>
  <c r="P1863" i="34"/>
  <c r="A1863" i="34"/>
  <c r="Q1856" i="34"/>
  <c r="U1856" i="34"/>
  <c r="Z1856" i="34"/>
  <c r="P1856" i="34"/>
  <c r="O1856" i="34"/>
  <c r="A1856" i="34"/>
  <c r="Q1895" i="34"/>
  <c r="U1895" i="34"/>
  <c r="Z1895" i="34"/>
  <c r="O1895" i="34"/>
  <c r="P1895" i="34"/>
  <c r="A1895" i="34"/>
  <c r="Q1848" i="34"/>
  <c r="U1848" i="34"/>
  <c r="Z1848" i="34"/>
  <c r="P1848" i="34"/>
  <c r="O1848" i="34"/>
  <c r="A1848" i="34"/>
  <c r="Q1767" i="34"/>
  <c r="U1767" i="34"/>
  <c r="Z1767" i="34"/>
  <c r="O1767" i="34"/>
  <c r="P1767" i="34"/>
  <c r="A1767" i="34"/>
  <c r="Q1763" i="34"/>
  <c r="U1763" i="34"/>
  <c r="Z1763" i="34"/>
  <c r="O1763" i="34"/>
  <c r="P1763" i="34"/>
  <c r="A1763" i="34"/>
  <c r="Q1733" i="34"/>
  <c r="U1733" i="34"/>
  <c r="Z1733" i="34"/>
  <c r="O1733" i="34"/>
  <c r="P1733" i="34"/>
  <c r="A1733" i="34"/>
  <c r="Q1684" i="34"/>
  <c r="U1684" i="34"/>
  <c r="Z1684" i="34"/>
  <c r="P1684" i="34"/>
  <c r="O1684" i="34"/>
  <c r="A1684" i="34"/>
  <c r="Q1679" i="34"/>
  <c r="U1679" i="34"/>
  <c r="Z1679" i="34"/>
  <c r="O1679" i="34"/>
  <c r="P1679" i="34"/>
  <c r="A1679" i="34"/>
  <c r="Q1672" i="34"/>
  <c r="U1672" i="34"/>
  <c r="Z1672" i="34"/>
  <c r="P1672" i="34"/>
  <c r="O1672" i="34"/>
  <c r="A1672" i="34"/>
  <c r="Q1667" i="34"/>
  <c r="U1667" i="34"/>
  <c r="Z1667" i="34"/>
  <c r="O1667" i="34"/>
  <c r="P1667" i="34"/>
  <c r="A1667" i="34"/>
  <c r="P1629" i="34"/>
  <c r="Q1629" i="34"/>
  <c r="U1629" i="34"/>
  <c r="Z1629" i="34"/>
  <c r="O1629" i="34"/>
  <c r="A1629" i="34"/>
  <c r="Q1745" i="34"/>
  <c r="U1745" i="34"/>
  <c r="Z1745" i="34"/>
  <c r="O1745" i="34"/>
  <c r="P1745" i="34"/>
  <c r="A1745" i="34"/>
  <c r="Q1656" i="34"/>
  <c r="U1656" i="34"/>
  <c r="Z1656" i="34"/>
  <c r="O1656" i="34"/>
  <c r="P1656" i="34"/>
  <c r="A1656" i="34"/>
  <c r="P1648" i="34"/>
  <c r="Q1648" i="34"/>
  <c r="U1648" i="34"/>
  <c r="Z1648" i="34"/>
  <c r="O1648" i="34"/>
  <c r="A1648" i="34"/>
  <c r="P1652" i="34"/>
  <c r="Q1652" i="34"/>
  <c r="U1652" i="34"/>
  <c r="Z1652" i="34"/>
  <c r="O1652" i="34"/>
  <c r="A1652" i="34"/>
  <c r="P1633" i="34"/>
  <c r="Q1633" i="34"/>
  <c r="U1633" i="34"/>
  <c r="Z1633" i="34"/>
  <c r="O1633" i="34"/>
  <c r="A1633" i="34"/>
  <c r="P1637" i="34"/>
  <c r="Q1637" i="34"/>
  <c r="U1637" i="34"/>
  <c r="Z1637" i="34"/>
  <c r="O1637" i="34"/>
  <c r="A1637" i="34"/>
  <c r="P1641" i="34"/>
  <c r="Q1641" i="34"/>
  <c r="U1641" i="34"/>
  <c r="Z1641" i="34"/>
  <c r="O1641" i="34"/>
  <c r="A1641" i="34"/>
  <c r="P1645" i="34"/>
  <c r="Q1645" i="34"/>
  <c r="U1645" i="34"/>
  <c r="Z1645" i="34"/>
  <c r="O1645" i="34"/>
  <c r="A1645" i="34"/>
  <c r="Q1927" i="34"/>
  <c r="U1927" i="34"/>
  <c r="Z1927" i="34"/>
  <c r="O1927" i="34"/>
  <c r="P1927" i="34"/>
  <c r="A1927" i="34"/>
  <c r="Q1920" i="34"/>
  <c r="U1920" i="34"/>
  <c r="Z1920" i="34"/>
  <c r="P1920" i="34"/>
  <c r="O1920" i="34"/>
  <c r="A1920" i="34"/>
  <c r="Q1902" i="34"/>
  <c r="U1902" i="34"/>
  <c r="Z1902" i="34"/>
  <c r="O1902" i="34"/>
  <c r="P1902" i="34"/>
  <c r="A1902" i="34"/>
  <c r="Q1907" i="34"/>
  <c r="U1907" i="34"/>
  <c r="Z1907" i="34"/>
  <c r="O1907" i="34"/>
  <c r="P1907" i="34"/>
  <c r="A1907" i="34"/>
  <c r="Q1912" i="34"/>
  <c r="U1912" i="34"/>
  <c r="Z1912" i="34"/>
  <c r="P1912" i="34"/>
  <c r="O1912" i="34"/>
  <c r="A1912" i="34"/>
  <c r="Q1688" i="34"/>
  <c r="U1688" i="34"/>
  <c r="Z1688" i="34"/>
  <c r="P1688" i="34"/>
  <c r="O1688" i="34"/>
  <c r="A1688" i="34"/>
  <c r="Q1894" i="34"/>
  <c r="U1894" i="34"/>
  <c r="Z1894" i="34"/>
  <c r="O1894" i="34"/>
  <c r="P1894" i="34"/>
  <c r="A1894" i="34"/>
  <c r="Q2899" i="34"/>
  <c r="U2899" i="34"/>
  <c r="Z2899" i="34"/>
  <c r="P2899" i="34"/>
  <c r="O2899" i="34"/>
  <c r="A2899" i="34"/>
  <c r="Q3293" i="34"/>
  <c r="U3293" i="34"/>
  <c r="Z3293" i="34"/>
  <c r="O3293" i="34"/>
  <c r="P3293" i="34"/>
  <c r="A3293" i="34"/>
  <c r="Q3305" i="34"/>
  <c r="U3305" i="34"/>
  <c r="Z3305" i="34"/>
  <c r="O3305" i="34"/>
  <c r="P3305" i="34"/>
  <c r="A3305" i="34"/>
  <c r="Q3301" i="34"/>
  <c r="U3301" i="34"/>
  <c r="Z3301" i="34"/>
  <c r="O3301" i="34"/>
  <c r="P3301" i="34"/>
  <c r="A3301" i="34"/>
  <c r="Q3297" i="34"/>
  <c r="U3297" i="34"/>
  <c r="Z3297" i="34"/>
  <c r="O3297" i="34"/>
  <c r="P3297" i="34"/>
  <c r="A3297" i="34"/>
  <c r="O4344" i="34"/>
  <c r="P4344" i="34"/>
  <c r="Q4344" i="34"/>
  <c r="U4344" i="34"/>
  <c r="Z4344" i="34"/>
  <c r="A4344" i="34"/>
  <c r="O4356" i="34"/>
  <c r="Q4356" i="34"/>
  <c r="U4356" i="34"/>
  <c r="Z4356" i="34"/>
  <c r="P4356" i="34"/>
  <c r="A4356" i="34"/>
  <c r="O4352" i="34"/>
  <c r="P4352" i="34"/>
  <c r="Q4352" i="34"/>
  <c r="U4352" i="34"/>
  <c r="Z4352" i="34"/>
  <c r="A4352" i="34"/>
  <c r="O4348" i="34"/>
  <c r="P4348" i="34"/>
  <c r="Q4348" i="34"/>
  <c r="U4348" i="34"/>
  <c r="Z4348" i="34"/>
  <c r="A4348" i="34"/>
  <c r="Q2902" i="34"/>
  <c r="U2902" i="34"/>
  <c r="Z2902" i="34"/>
  <c r="O2902" i="34"/>
  <c r="P2902" i="34"/>
  <c r="A2902" i="34"/>
  <c r="Q2906" i="34"/>
  <c r="U2906" i="34"/>
  <c r="Z2906" i="34"/>
  <c r="O2906" i="34"/>
  <c r="P2906" i="34"/>
  <c r="A2906" i="34"/>
  <c r="Q2910" i="34"/>
  <c r="U2910" i="34"/>
  <c r="Z2910" i="34"/>
  <c r="O2910" i="34"/>
  <c r="P2910" i="34"/>
  <c r="A2910" i="34"/>
  <c r="Q2914" i="34"/>
  <c r="U2914" i="34"/>
  <c r="Z2914" i="34"/>
  <c r="O2914" i="34"/>
  <c r="P2914" i="34"/>
  <c r="A2914" i="34"/>
  <c r="Q1937" i="34"/>
  <c r="U1937" i="34"/>
  <c r="Z1937" i="34"/>
  <c r="O1937" i="34"/>
  <c r="P1937" i="34"/>
  <c r="A1937" i="34"/>
  <c r="P1625" i="34"/>
  <c r="Q1625" i="34"/>
  <c r="U1625" i="34"/>
  <c r="Z1625" i="34"/>
  <c r="O1625" i="34"/>
  <c r="A1625" i="34"/>
  <c r="Q4758" i="34"/>
  <c r="U4758" i="34"/>
  <c r="Z4758" i="34"/>
  <c r="P4758" i="34"/>
  <c r="O4758" i="34"/>
  <c r="Q2326" i="34"/>
  <c r="U2326" i="34"/>
  <c r="Z2326" i="34"/>
  <c r="O2326" i="34"/>
  <c r="P2326" i="34"/>
  <c r="A2326" i="34"/>
  <c r="Q4504" i="34"/>
  <c r="U4504" i="34"/>
  <c r="Z4504" i="34"/>
  <c r="O4504" i="34"/>
  <c r="P4504" i="34"/>
  <c r="A4504" i="34"/>
  <c r="Q4457" i="34"/>
  <c r="U4457" i="34"/>
  <c r="Z4457" i="34"/>
  <c r="A4457" i="34"/>
  <c r="O4457" i="34"/>
  <c r="P4457" i="34"/>
  <c r="Q4526" i="34"/>
  <c r="U4526" i="34"/>
  <c r="Z4526" i="34"/>
  <c r="P4526" i="34"/>
  <c r="A4526" i="34"/>
  <c r="O4526" i="34"/>
  <c r="Q4524" i="34"/>
  <c r="U4524" i="34"/>
  <c r="Z4524" i="34"/>
  <c r="O4524" i="34"/>
  <c r="P4524" i="34"/>
  <c r="A4524" i="34"/>
  <c r="O3512" i="34"/>
  <c r="P3512" i="34"/>
  <c r="Q3512" i="34"/>
  <c r="U3512" i="34"/>
  <c r="Z3512" i="34"/>
  <c r="A3512" i="34"/>
  <c r="Q4449" i="34"/>
  <c r="U4449" i="34"/>
  <c r="Z4449" i="34"/>
  <c r="A4449" i="34"/>
  <c r="O4449" i="34"/>
  <c r="P4449" i="34"/>
  <c r="Q4455" i="34"/>
  <c r="U4455" i="34"/>
  <c r="Z4455" i="34"/>
  <c r="O4455" i="34"/>
  <c r="P4455" i="34"/>
  <c r="A4455" i="34"/>
  <c r="Q4520" i="34"/>
  <c r="U4520" i="34"/>
  <c r="Z4520" i="34"/>
  <c r="O4520" i="34"/>
  <c r="P4520" i="34"/>
  <c r="A4520" i="34"/>
  <c r="Q4479" i="34"/>
  <c r="U4479" i="34"/>
  <c r="Z4479" i="34"/>
  <c r="O4479" i="34"/>
  <c r="P4479" i="34"/>
  <c r="A4479" i="34"/>
  <c r="Q4508" i="34"/>
  <c r="U4508" i="34"/>
  <c r="Z4508" i="34"/>
  <c r="O4508" i="34"/>
  <c r="P4508" i="34"/>
  <c r="A4508" i="34"/>
  <c r="Q4489" i="34"/>
  <c r="U4489" i="34"/>
  <c r="Z4489" i="34"/>
  <c r="A4489" i="34"/>
  <c r="O4489" i="34"/>
  <c r="P4489" i="34"/>
  <c r="Q4499" i="34"/>
  <c r="U4499" i="34"/>
  <c r="Z4499" i="34"/>
  <c r="O4499" i="34"/>
  <c r="P4499" i="34"/>
  <c r="A4499" i="34"/>
  <c r="Q4546" i="34"/>
  <c r="U4546" i="34"/>
  <c r="Z4546" i="34"/>
  <c r="P4546" i="34"/>
  <c r="A4546" i="34"/>
  <c r="O4546" i="34"/>
  <c r="Q4608" i="34"/>
  <c r="U4608" i="34"/>
  <c r="Z4608" i="34"/>
  <c r="O4608" i="34"/>
  <c r="P4608" i="34"/>
  <c r="A4608" i="34"/>
  <c r="Q4614" i="34"/>
  <c r="U4614" i="34"/>
  <c r="Z4614" i="34"/>
  <c r="P4614" i="34"/>
  <c r="A4614" i="34"/>
  <c r="O4614" i="34"/>
  <c r="Q4618" i="34"/>
  <c r="U4618" i="34"/>
  <c r="Z4618" i="34"/>
  <c r="P4618" i="34"/>
  <c r="A4618" i="34"/>
  <c r="O4618" i="34"/>
  <c r="Q4695" i="34"/>
  <c r="U4695" i="34"/>
  <c r="Z4695" i="34"/>
  <c r="O4695" i="34"/>
  <c r="A4695" i="34"/>
  <c r="P4695" i="34"/>
  <c r="Q4699" i="34"/>
  <c r="U4699" i="34"/>
  <c r="Z4699" i="34"/>
  <c r="O4699" i="34"/>
  <c r="P4699" i="34"/>
  <c r="A4699" i="34"/>
  <c r="Q4703" i="34"/>
  <c r="U4703" i="34"/>
  <c r="Z4703" i="34"/>
  <c r="O4703" i="34"/>
  <c r="A4703" i="34"/>
  <c r="P4703" i="34"/>
  <c r="Q4707" i="34"/>
  <c r="U4707" i="34"/>
  <c r="Z4707" i="34"/>
  <c r="O4707" i="34"/>
  <c r="P4707" i="34"/>
  <c r="A4707" i="34"/>
  <c r="Q4711" i="34"/>
  <c r="U4711" i="34"/>
  <c r="Z4711" i="34"/>
  <c r="O4711" i="34"/>
  <c r="A4711" i="34"/>
  <c r="P4711" i="34"/>
  <c r="Q4715" i="34"/>
  <c r="U4715" i="34"/>
  <c r="Z4715" i="34"/>
  <c r="O4715" i="34"/>
  <c r="P4715" i="34"/>
  <c r="A4715" i="34"/>
  <c r="Q4719" i="34"/>
  <c r="U4719" i="34"/>
  <c r="Z4719" i="34"/>
  <c r="O4719" i="34"/>
  <c r="P4719" i="34"/>
  <c r="A4719" i="34"/>
  <c r="Q4723" i="34"/>
  <c r="U4723" i="34"/>
  <c r="Z4723" i="34"/>
  <c r="O4723" i="34"/>
  <c r="A4723" i="34"/>
  <c r="P4723" i="34"/>
  <c r="Q4727" i="34"/>
  <c r="U4727" i="34"/>
  <c r="Z4727" i="34"/>
  <c r="O4727" i="34"/>
  <c r="P4727" i="34"/>
  <c r="A4727" i="34"/>
  <c r="Q4731" i="34"/>
  <c r="U4731" i="34"/>
  <c r="Z4731" i="34"/>
  <c r="O4731" i="34"/>
  <c r="P4731" i="34"/>
  <c r="A4731" i="34"/>
  <c r="Q4735" i="34"/>
  <c r="U4735" i="34"/>
  <c r="Z4735" i="34"/>
  <c r="O4735" i="34"/>
  <c r="A4735" i="34"/>
  <c r="P4735" i="34"/>
  <c r="Q4739" i="34"/>
  <c r="U4739" i="34"/>
  <c r="Z4739" i="34"/>
  <c r="O4739" i="34"/>
  <c r="P4739" i="34"/>
  <c r="A4739" i="34"/>
  <c r="Q4743" i="34"/>
  <c r="U4743" i="34"/>
  <c r="Z4743" i="34"/>
  <c r="O4743" i="34"/>
  <c r="P4743" i="34"/>
  <c r="Q4747" i="34"/>
  <c r="U4747" i="34"/>
  <c r="Z4747" i="34"/>
  <c r="O4747" i="34"/>
  <c r="P4747" i="34"/>
  <c r="Q4751" i="34"/>
  <c r="U4751" i="34"/>
  <c r="Z4751" i="34"/>
  <c r="O4751" i="34"/>
  <c r="P4751" i="34"/>
  <c r="Q4620" i="34"/>
  <c r="U4620" i="34"/>
  <c r="Z4620" i="34"/>
  <c r="O4620" i="34"/>
  <c r="P4620" i="34"/>
  <c r="A4620" i="34"/>
  <c r="Q4624" i="34"/>
  <c r="U4624" i="34"/>
  <c r="Z4624" i="34"/>
  <c r="O4624" i="34"/>
  <c r="P4624" i="34"/>
  <c r="A4624" i="34"/>
  <c r="Q4628" i="34"/>
  <c r="U4628" i="34"/>
  <c r="Z4628" i="34"/>
  <c r="O4628" i="34"/>
  <c r="P4628" i="34"/>
  <c r="A4628" i="34"/>
  <c r="Q4632" i="34"/>
  <c r="U4632" i="34"/>
  <c r="Z4632" i="34"/>
  <c r="O4632" i="34"/>
  <c r="P4632" i="34"/>
  <c r="A4632" i="34"/>
  <c r="Q4636" i="34"/>
  <c r="U4636" i="34"/>
  <c r="Z4636" i="34"/>
  <c r="O4636" i="34"/>
  <c r="P4636" i="34"/>
  <c r="A4636" i="34"/>
  <c r="Q4640" i="34"/>
  <c r="U4640" i="34"/>
  <c r="Z4640" i="34"/>
  <c r="O4640" i="34"/>
  <c r="P4640" i="34"/>
  <c r="A4640" i="34"/>
  <c r="Q4644" i="34"/>
  <c r="U4644" i="34"/>
  <c r="Z4644" i="34"/>
  <c r="O4644" i="34"/>
  <c r="P4644" i="34"/>
  <c r="A4644" i="34"/>
  <c r="Q4648" i="34"/>
  <c r="U4648" i="34"/>
  <c r="Z4648" i="34"/>
  <c r="O4648" i="34"/>
  <c r="P4648" i="34"/>
  <c r="A4648" i="34"/>
  <c r="Q4652" i="34"/>
  <c r="U4652" i="34"/>
  <c r="Z4652" i="34"/>
  <c r="O4652" i="34"/>
  <c r="P4652" i="34"/>
  <c r="A4652" i="34"/>
  <c r="Q4656" i="34"/>
  <c r="U4656" i="34"/>
  <c r="Z4656" i="34"/>
  <c r="O4656" i="34"/>
  <c r="P4656" i="34"/>
  <c r="A4656" i="34"/>
  <c r="Q4660" i="34"/>
  <c r="U4660" i="34"/>
  <c r="Z4660" i="34"/>
  <c r="O4660" i="34"/>
  <c r="P4660" i="34"/>
  <c r="A4660" i="34"/>
  <c r="Q4664" i="34"/>
  <c r="U4664" i="34"/>
  <c r="Z4664" i="34"/>
  <c r="O4664" i="34"/>
  <c r="P4664" i="34"/>
  <c r="A4664" i="34"/>
  <c r="Q4668" i="34"/>
  <c r="U4668" i="34"/>
  <c r="Z4668" i="34"/>
  <c r="O4668" i="34"/>
  <c r="P4668" i="34"/>
  <c r="A4668" i="34"/>
  <c r="Q4672" i="34"/>
  <c r="U4672" i="34"/>
  <c r="Z4672" i="34"/>
  <c r="O4672" i="34"/>
  <c r="P4672" i="34"/>
  <c r="A4672" i="34"/>
  <c r="Q4676" i="34"/>
  <c r="U4676" i="34"/>
  <c r="Z4676" i="34"/>
  <c r="O4676" i="34"/>
  <c r="P4676" i="34"/>
  <c r="A4676" i="34"/>
  <c r="Q4680" i="34"/>
  <c r="U4680" i="34"/>
  <c r="Z4680" i="34"/>
  <c r="O4680" i="34"/>
  <c r="P4680" i="34"/>
  <c r="A4680" i="34"/>
  <c r="Q4684" i="34"/>
  <c r="U4684" i="34"/>
  <c r="Z4684" i="34"/>
  <c r="O4684" i="34"/>
  <c r="P4684" i="34"/>
  <c r="A4684" i="34"/>
  <c r="Q4688" i="34"/>
  <c r="U4688" i="34"/>
  <c r="Z4688" i="34"/>
  <c r="O4688" i="34"/>
  <c r="P4688" i="34"/>
  <c r="A4688" i="34"/>
  <c r="Q4598" i="34"/>
  <c r="U4598" i="34"/>
  <c r="Z4598" i="34"/>
  <c r="P4598" i="34"/>
  <c r="A4598" i="34"/>
  <c r="O4598" i="34"/>
  <c r="Q4593" i="34"/>
  <c r="U4593" i="34"/>
  <c r="Z4593" i="34"/>
  <c r="A4593" i="34"/>
  <c r="O4593" i="34"/>
  <c r="P4593" i="34"/>
  <c r="Q4470" i="34"/>
  <c r="U4470" i="34"/>
  <c r="Z4470" i="34"/>
  <c r="P4470" i="34"/>
  <c r="A4470" i="34"/>
  <c r="O4470" i="34"/>
  <c r="Q4474" i="34"/>
  <c r="U4474" i="34"/>
  <c r="Z4474" i="34"/>
  <c r="P4474" i="34"/>
  <c r="A4474" i="34"/>
  <c r="O4474" i="34"/>
  <c r="Q4478" i="34"/>
  <c r="U4478" i="34"/>
  <c r="Z4478" i="34"/>
  <c r="P4478" i="34"/>
  <c r="A4478" i="34"/>
  <c r="O4478" i="34"/>
  <c r="Q4538" i="34"/>
  <c r="U4538" i="34"/>
  <c r="Z4538" i="34"/>
  <c r="P4538" i="34"/>
  <c r="A4538" i="34"/>
  <c r="O4538" i="34"/>
  <c r="Q4542" i="34"/>
  <c r="U4542" i="34"/>
  <c r="Z4542" i="34"/>
  <c r="P4542" i="34"/>
  <c r="A4542" i="34"/>
  <c r="O4542" i="34"/>
  <c r="Q4469" i="34"/>
  <c r="U4469" i="34"/>
  <c r="Z4469" i="34"/>
  <c r="A4469" i="34"/>
  <c r="O4469" i="34"/>
  <c r="P4469" i="34"/>
  <c r="Q4583" i="34"/>
  <c r="U4583" i="34"/>
  <c r="Z4583" i="34"/>
  <c r="O4583" i="34"/>
  <c r="P4583" i="34"/>
  <c r="A4583" i="34"/>
  <c r="Q4587" i="34"/>
  <c r="U4587" i="34"/>
  <c r="Z4587" i="34"/>
  <c r="O4587" i="34"/>
  <c r="P4587" i="34"/>
  <c r="A4587" i="34"/>
  <c r="Q4561" i="34"/>
  <c r="U4561" i="34"/>
  <c r="Z4561" i="34"/>
  <c r="A4561" i="34"/>
  <c r="O4561" i="34"/>
  <c r="P4561" i="34"/>
  <c r="Q4565" i="34"/>
  <c r="U4565" i="34"/>
  <c r="Z4565" i="34"/>
  <c r="A4565" i="34"/>
  <c r="O4565" i="34"/>
  <c r="P4565" i="34"/>
  <c r="Q4569" i="34"/>
  <c r="U4569" i="34"/>
  <c r="Z4569" i="34"/>
  <c r="A4569" i="34"/>
  <c r="O4569" i="34"/>
  <c r="P4569" i="34"/>
  <c r="Q4573" i="34"/>
  <c r="U4573" i="34"/>
  <c r="Z4573" i="34"/>
  <c r="A4573" i="34"/>
  <c r="O4573" i="34"/>
  <c r="P4573" i="34"/>
  <c r="Q4577" i="34"/>
  <c r="U4577" i="34"/>
  <c r="Z4577" i="34"/>
  <c r="A4577" i="34"/>
  <c r="O4577" i="34"/>
  <c r="P4577" i="34"/>
  <c r="Q4601" i="34"/>
  <c r="U4601" i="34"/>
  <c r="Z4601" i="34"/>
  <c r="A4601" i="34"/>
  <c r="O4601" i="34"/>
  <c r="P4601" i="34"/>
  <c r="Q4602" i="34"/>
  <c r="U4602" i="34"/>
  <c r="Z4602" i="34"/>
  <c r="P4602" i="34"/>
  <c r="A4602" i="34"/>
  <c r="O4602" i="34"/>
  <c r="Q2333" i="34"/>
  <c r="U2333" i="34"/>
  <c r="Z2333" i="34"/>
  <c r="O2333" i="34"/>
  <c r="P2333" i="34"/>
  <c r="A2333" i="34"/>
  <c r="Q1691" i="34"/>
  <c r="U1691" i="34"/>
  <c r="Z1691" i="34"/>
  <c r="O1691" i="34"/>
  <c r="P1691" i="34"/>
  <c r="A1691" i="34"/>
  <c r="Q4464" i="34"/>
  <c r="U4464" i="34"/>
  <c r="Z4464" i="34"/>
  <c r="O4464" i="34"/>
  <c r="P4464" i="34"/>
  <c r="A4464" i="34"/>
  <c r="Q1939" i="34"/>
  <c r="U1939" i="34"/>
  <c r="Z1939" i="34"/>
  <c r="O1939" i="34"/>
  <c r="P1939" i="34"/>
  <c r="A1939" i="34"/>
  <c r="O2298" i="34"/>
  <c r="P2298" i="34"/>
  <c r="Q2298" i="34"/>
  <c r="U2298" i="34"/>
  <c r="Z2298" i="34"/>
  <c r="A2298" i="34"/>
  <c r="O2309" i="34"/>
  <c r="P2309" i="34"/>
  <c r="Q2309" i="34"/>
  <c r="U2309" i="34"/>
  <c r="Z2309" i="34"/>
  <c r="A2309" i="34"/>
  <c r="O2313" i="34"/>
  <c r="P2313" i="34"/>
  <c r="Q2313" i="34"/>
  <c r="U2313" i="34"/>
  <c r="Z2313" i="34"/>
  <c r="A2313" i="34"/>
  <c r="Q3455" i="34"/>
  <c r="U3455" i="34"/>
  <c r="Z3455" i="34"/>
  <c r="O3455" i="34"/>
  <c r="P3455" i="34"/>
  <c r="A3455" i="34"/>
  <c r="O3918" i="34"/>
  <c r="P3918" i="34"/>
  <c r="Q3918" i="34"/>
  <c r="U3918" i="34"/>
  <c r="Z3918" i="34"/>
  <c r="A3918" i="34"/>
  <c r="Q4463" i="34"/>
  <c r="U4463" i="34"/>
  <c r="Z4463" i="34"/>
  <c r="O4463" i="34"/>
  <c r="P4463" i="34"/>
  <c r="A4463" i="34"/>
  <c r="Q4512" i="34"/>
  <c r="U4512" i="34"/>
  <c r="Z4512" i="34"/>
  <c r="O4512" i="34"/>
  <c r="P4512" i="34"/>
  <c r="A4512" i="34"/>
  <c r="Q1991" i="34"/>
  <c r="U1991" i="34"/>
  <c r="Z1991" i="34"/>
  <c r="P1991" i="34"/>
  <c r="O1991" i="34"/>
  <c r="A1991" i="34"/>
  <c r="Q4619" i="34"/>
  <c r="U4619" i="34"/>
  <c r="Z4619" i="34"/>
  <c r="O4619" i="34"/>
  <c r="P4619" i="34"/>
  <c r="A4619" i="34"/>
  <c r="Q2016" i="34"/>
  <c r="U2016" i="34"/>
  <c r="Z2016" i="34"/>
  <c r="O2016" i="34"/>
  <c r="P2016" i="34"/>
  <c r="A2016" i="34"/>
  <c r="Q4370" i="34"/>
  <c r="U4370" i="34"/>
  <c r="Z4370" i="34"/>
  <c r="P4370" i="34"/>
  <c r="A4370" i="34"/>
  <c r="O4370" i="34"/>
  <c r="O3922" i="34"/>
  <c r="P3922" i="34"/>
  <c r="Q3922" i="34"/>
  <c r="U3922" i="34"/>
  <c r="Z3922" i="34"/>
  <c r="A3922" i="34"/>
  <c r="Q4509" i="34"/>
  <c r="U4509" i="34"/>
  <c r="Z4509" i="34"/>
  <c r="A4509" i="34"/>
  <c r="O4509" i="34"/>
  <c r="P4509" i="34"/>
  <c r="Q4493" i="34"/>
  <c r="U4493" i="34"/>
  <c r="Z4493" i="34"/>
  <c r="A4493" i="34"/>
  <c r="O4493" i="34"/>
  <c r="P4493" i="34"/>
  <c r="Q140" i="34"/>
  <c r="U140" i="34"/>
  <c r="Z140" i="34"/>
  <c r="O140" i="34"/>
  <c r="P140" i="34"/>
  <c r="A140" i="34"/>
  <c r="Q136" i="34"/>
  <c r="U136" i="34"/>
  <c r="Z136" i="34"/>
  <c r="O136" i="34"/>
  <c r="P136" i="34"/>
  <c r="A136" i="34"/>
  <c r="Q132" i="34"/>
  <c r="U132" i="34"/>
  <c r="Z132" i="34"/>
  <c r="O132" i="34"/>
  <c r="P132" i="34"/>
  <c r="A132" i="34"/>
  <c r="P156" i="34"/>
  <c r="Q156" i="34"/>
  <c r="U156" i="34"/>
  <c r="Z156" i="34"/>
  <c r="O156" i="34"/>
  <c r="A156" i="34"/>
  <c r="P152" i="34"/>
  <c r="Q152" i="34"/>
  <c r="U152" i="34"/>
  <c r="Z152" i="34"/>
  <c r="O152" i="34"/>
  <c r="A152" i="34"/>
  <c r="P148" i="34"/>
  <c r="Q148" i="34"/>
  <c r="U148" i="34"/>
  <c r="Z148" i="34"/>
  <c r="O148" i="34"/>
  <c r="A148" i="34"/>
  <c r="Q144" i="34"/>
  <c r="U144" i="34"/>
  <c r="Z144" i="34"/>
  <c r="O144" i="34"/>
  <c r="P144" i="34"/>
  <c r="A144" i="34"/>
  <c r="P162" i="34"/>
  <c r="Q162" i="34"/>
  <c r="U162" i="34"/>
  <c r="Z162" i="34"/>
  <c r="O162" i="34"/>
  <c r="A162" i="34"/>
  <c r="P158" i="34"/>
  <c r="Q158" i="34"/>
  <c r="U158" i="34"/>
  <c r="Z158" i="34"/>
  <c r="O158" i="34"/>
  <c r="A158" i="34"/>
  <c r="P985" i="34"/>
  <c r="Q985" i="34"/>
  <c r="U985" i="34"/>
  <c r="Z985" i="34"/>
  <c r="O985" i="34"/>
  <c r="A985" i="34"/>
  <c r="P977" i="34"/>
  <c r="Q977" i="34"/>
  <c r="U977" i="34"/>
  <c r="Z977" i="34"/>
  <c r="O977" i="34"/>
  <c r="A977" i="34"/>
  <c r="P973" i="34"/>
  <c r="Q973" i="34"/>
  <c r="U973" i="34"/>
  <c r="Z973" i="34"/>
  <c r="O973" i="34"/>
  <c r="A973" i="34"/>
  <c r="P969" i="34"/>
  <c r="Q969" i="34"/>
  <c r="U969" i="34"/>
  <c r="Z969" i="34"/>
  <c r="O969" i="34"/>
  <c r="A969" i="34"/>
  <c r="P961" i="34"/>
  <c r="Q961" i="34"/>
  <c r="U961" i="34"/>
  <c r="Z961" i="34"/>
  <c r="O961" i="34"/>
  <c r="A961" i="34"/>
  <c r="P957" i="34"/>
  <c r="Q957" i="34"/>
  <c r="U957" i="34"/>
  <c r="Z957" i="34"/>
  <c r="O957" i="34"/>
  <c r="A957" i="34"/>
  <c r="P953" i="34"/>
  <c r="Q953" i="34"/>
  <c r="U953" i="34"/>
  <c r="Z953" i="34"/>
  <c r="O953" i="34"/>
  <c r="A953" i="34"/>
  <c r="P949" i="34"/>
  <c r="Q949" i="34"/>
  <c r="U949" i="34"/>
  <c r="Z949" i="34"/>
  <c r="O949" i="34"/>
  <c r="A949" i="34"/>
  <c r="P1306" i="34"/>
  <c r="Q1306" i="34"/>
  <c r="U1306" i="34"/>
  <c r="Z1306" i="34"/>
  <c r="O1306" i="34"/>
  <c r="A1306" i="34"/>
  <c r="Q1468" i="34"/>
  <c r="U1468" i="34"/>
  <c r="Z1468" i="34"/>
  <c r="O1468" i="34"/>
  <c r="P1468" i="34"/>
  <c r="A1468" i="34"/>
  <c r="Q1471" i="34"/>
  <c r="U1471" i="34"/>
  <c r="Z1471" i="34"/>
  <c r="O1471" i="34"/>
  <c r="P1471" i="34"/>
  <c r="A1471" i="34"/>
  <c r="Q1463" i="34"/>
  <c r="U1463" i="34"/>
  <c r="Z1463" i="34"/>
  <c r="O1463" i="34"/>
  <c r="P1463" i="34"/>
  <c r="A1463" i="34"/>
  <c r="Q1459" i="34"/>
  <c r="U1459" i="34"/>
  <c r="Z1459" i="34"/>
  <c r="O1459" i="34"/>
  <c r="P1459" i="34"/>
  <c r="A1459" i="34"/>
  <c r="O1402" i="34"/>
  <c r="P1402" i="34"/>
  <c r="Q1402" i="34"/>
  <c r="U1402" i="34"/>
  <c r="Z1402" i="34"/>
  <c r="A1402" i="34"/>
  <c r="P1313" i="34"/>
  <c r="Q1313" i="34"/>
  <c r="U1313" i="34"/>
  <c r="Z1313" i="34"/>
  <c r="O1313" i="34"/>
  <c r="A1313" i="34"/>
  <c r="P852" i="34"/>
  <c r="Q852" i="34"/>
  <c r="U852" i="34"/>
  <c r="Z852" i="34"/>
  <c r="O852" i="34"/>
  <c r="A852" i="34"/>
  <c r="Q1183" i="34"/>
  <c r="U1183" i="34"/>
  <c r="Z1183" i="34"/>
  <c r="O1183" i="34"/>
  <c r="P1183" i="34"/>
  <c r="A1183" i="34"/>
  <c r="Q1185" i="34"/>
  <c r="U1185" i="34"/>
  <c r="Z1185" i="34"/>
  <c r="O1185" i="34"/>
  <c r="P1185" i="34"/>
  <c r="A1185" i="34"/>
  <c r="Q1177" i="34"/>
  <c r="U1177" i="34"/>
  <c r="Z1177" i="34"/>
  <c r="O1177" i="34"/>
  <c r="P1177" i="34"/>
  <c r="A1177" i="34"/>
  <c r="Q1174" i="34"/>
  <c r="U1174" i="34"/>
  <c r="Z1174" i="34"/>
  <c r="O1174" i="34"/>
  <c r="P1174" i="34"/>
  <c r="A1174" i="34"/>
  <c r="Q1180" i="34"/>
  <c r="U1180" i="34"/>
  <c r="Z1180" i="34"/>
  <c r="P1180" i="34"/>
  <c r="O1180" i="34"/>
  <c r="A1180" i="34"/>
  <c r="Q1142" i="34"/>
  <c r="U1142" i="34"/>
  <c r="Z1142" i="34"/>
  <c r="O1142" i="34"/>
  <c r="P1142" i="34"/>
  <c r="A1142" i="34"/>
  <c r="Q1135" i="34"/>
  <c r="U1135" i="34"/>
  <c r="Z1135" i="34"/>
  <c r="O1135" i="34"/>
  <c r="P1135" i="34"/>
  <c r="A1135" i="34"/>
  <c r="Q1140" i="34"/>
  <c r="U1140" i="34"/>
  <c r="Z1140" i="34"/>
  <c r="P1140" i="34"/>
  <c r="O1140" i="34"/>
  <c r="A1140" i="34"/>
  <c r="Q1147" i="34"/>
  <c r="U1147" i="34"/>
  <c r="Z1147" i="34"/>
  <c r="O1147" i="34"/>
  <c r="P1147" i="34"/>
  <c r="A1147" i="34"/>
  <c r="Q1149" i="34"/>
  <c r="U1149" i="34"/>
  <c r="Z1149" i="34"/>
  <c r="O1149" i="34"/>
  <c r="P1149" i="34"/>
  <c r="A1149" i="34"/>
  <c r="Q1159" i="34"/>
  <c r="U1159" i="34"/>
  <c r="Z1159" i="34"/>
  <c r="O1159" i="34"/>
  <c r="P1159" i="34"/>
  <c r="A1159" i="34"/>
  <c r="Q1166" i="34"/>
  <c r="U1166" i="34"/>
  <c r="Z1166" i="34"/>
  <c r="O1166" i="34"/>
  <c r="P1166" i="34"/>
  <c r="A1166" i="34"/>
  <c r="Q1059" i="34"/>
  <c r="U1059" i="34"/>
  <c r="Z1059" i="34"/>
  <c r="O1059" i="34"/>
  <c r="P1059" i="34"/>
  <c r="A1059" i="34"/>
  <c r="Q1061" i="34"/>
  <c r="U1061" i="34"/>
  <c r="Z1061" i="34"/>
  <c r="O1061" i="34"/>
  <c r="P1061" i="34"/>
  <c r="A1061" i="34"/>
  <c r="Q1066" i="34"/>
  <c r="U1066" i="34"/>
  <c r="Z1066" i="34"/>
  <c r="O1066" i="34"/>
  <c r="P1066" i="34"/>
  <c r="A1066" i="34"/>
  <c r="Q1069" i="34"/>
  <c r="U1069" i="34"/>
  <c r="Z1069" i="34"/>
  <c r="O1069" i="34"/>
  <c r="P1069" i="34"/>
  <c r="A1069" i="34"/>
  <c r="Q1072" i="34"/>
  <c r="U1072" i="34"/>
  <c r="Z1072" i="34"/>
  <c r="P1072" i="34"/>
  <c r="O1072" i="34"/>
  <c r="A1072" i="34"/>
  <c r="Q1075" i="34"/>
  <c r="U1075" i="34"/>
  <c r="Z1075" i="34"/>
  <c r="O1075" i="34"/>
  <c r="P1075" i="34"/>
  <c r="A1075" i="34"/>
  <c r="Q1077" i="34"/>
  <c r="U1077" i="34"/>
  <c r="Z1077" i="34"/>
  <c r="O1077" i="34"/>
  <c r="P1077" i="34"/>
  <c r="A1077" i="34"/>
  <c r="Q1082" i="34"/>
  <c r="U1082" i="34"/>
  <c r="Z1082" i="34"/>
  <c r="O1082" i="34"/>
  <c r="P1082" i="34"/>
  <c r="A1082" i="34"/>
  <c r="Q1085" i="34"/>
  <c r="U1085" i="34"/>
  <c r="Z1085" i="34"/>
  <c r="O1085" i="34"/>
  <c r="P1085" i="34"/>
  <c r="A1085" i="34"/>
  <c r="Q1088" i="34"/>
  <c r="U1088" i="34"/>
  <c r="Z1088" i="34"/>
  <c r="P1088" i="34"/>
  <c r="O1088" i="34"/>
  <c r="A1088" i="34"/>
  <c r="Q1095" i="34"/>
  <c r="U1095" i="34"/>
  <c r="Z1095" i="34"/>
  <c r="O1095" i="34"/>
  <c r="P1095" i="34"/>
  <c r="A1095" i="34"/>
  <c r="Q1097" i="34"/>
  <c r="U1097" i="34"/>
  <c r="Z1097" i="34"/>
  <c r="O1097" i="34"/>
  <c r="P1097" i="34"/>
  <c r="A1097" i="34"/>
  <c r="Q1129" i="34"/>
  <c r="U1129" i="34"/>
  <c r="Z1129" i="34"/>
  <c r="O1129" i="34"/>
  <c r="P1129" i="34"/>
  <c r="A1129" i="34"/>
  <c r="Q1172" i="34"/>
  <c r="U1172" i="34"/>
  <c r="Z1172" i="34"/>
  <c r="P1172" i="34"/>
  <c r="O1172" i="34"/>
  <c r="A1172" i="34"/>
  <c r="P174" i="34"/>
  <c r="Q174" i="34"/>
  <c r="U174" i="34"/>
  <c r="Z174" i="34"/>
  <c r="O174" i="34"/>
  <c r="A174" i="34"/>
  <c r="P170" i="34"/>
  <c r="Q170" i="34"/>
  <c r="U170" i="34"/>
  <c r="Z170" i="34"/>
  <c r="O170" i="34"/>
  <c r="A170" i="34"/>
  <c r="Q188" i="34"/>
  <c r="U188" i="34"/>
  <c r="Z188" i="34"/>
  <c r="O188" i="34"/>
  <c r="P188" i="34"/>
  <c r="A188" i="34"/>
  <c r="Q192" i="34"/>
  <c r="U192" i="34"/>
  <c r="Z192" i="34"/>
  <c r="O192" i="34"/>
  <c r="P192" i="34"/>
  <c r="A192" i="34"/>
  <c r="Q196" i="34"/>
  <c r="U196" i="34"/>
  <c r="Z196" i="34"/>
  <c r="O196" i="34"/>
  <c r="P196" i="34"/>
  <c r="A196" i="34"/>
  <c r="Q200" i="34"/>
  <c r="U200" i="34"/>
  <c r="Z200" i="34"/>
  <c r="O200" i="34"/>
  <c r="P200" i="34"/>
  <c r="A200" i="34"/>
  <c r="P178" i="34"/>
  <c r="Q178" i="34"/>
  <c r="U178" i="34"/>
  <c r="Z178" i="34"/>
  <c r="O178" i="34"/>
  <c r="A178" i="34"/>
  <c r="Q182" i="34"/>
  <c r="U182" i="34"/>
  <c r="Z182" i="34"/>
  <c r="O182" i="34"/>
  <c r="P182" i="34"/>
  <c r="A182" i="34"/>
  <c r="Q186" i="34"/>
  <c r="U186" i="34"/>
  <c r="Z186" i="34"/>
  <c r="O186" i="34"/>
  <c r="P186" i="34"/>
  <c r="A186" i="34"/>
  <c r="O1398" i="34"/>
  <c r="P1398" i="34"/>
  <c r="Q1398" i="34"/>
  <c r="U1398" i="34"/>
  <c r="Z1398" i="34"/>
  <c r="A1398" i="34"/>
  <c r="P1310" i="34"/>
  <c r="Q1310" i="34"/>
  <c r="U1310" i="34"/>
  <c r="Z1310" i="34"/>
  <c r="O1310" i="34"/>
  <c r="A1310" i="34"/>
  <c r="Q1455" i="34"/>
  <c r="U1455" i="34"/>
  <c r="Z1455" i="34"/>
  <c r="O1455" i="34"/>
  <c r="P1455" i="34"/>
  <c r="A1455" i="34"/>
  <c r="Q1412" i="34"/>
  <c r="U1412" i="34"/>
  <c r="Z1412" i="34"/>
  <c r="O1412" i="34"/>
  <c r="P1412" i="34"/>
  <c r="A1412" i="34"/>
  <c r="P1319" i="34"/>
  <c r="Q1319" i="34"/>
  <c r="U1319" i="34"/>
  <c r="Z1319" i="34"/>
  <c r="O1319" i="34"/>
  <c r="A1319" i="34"/>
  <c r="P1303" i="34"/>
  <c r="Q1303" i="34"/>
  <c r="U1303" i="34"/>
  <c r="Z1303" i="34"/>
  <c r="O1303" i="34"/>
  <c r="A1303" i="34"/>
  <c r="O1388" i="34"/>
  <c r="P1388" i="34"/>
  <c r="Q1388" i="34"/>
  <c r="U1388" i="34"/>
  <c r="Z1388" i="34"/>
  <c r="A1388" i="34"/>
  <c r="Q1325" i="34"/>
  <c r="U1325" i="34"/>
  <c r="Z1325" i="34"/>
  <c r="P1325" i="34"/>
  <c r="O1325" i="34"/>
  <c r="A1325" i="34"/>
  <c r="Q1329" i="34"/>
  <c r="U1329" i="34"/>
  <c r="Z1329" i="34"/>
  <c r="P1329" i="34"/>
  <c r="O1329" i="34"/>
  <c r="A1329" i="34"/>
  <c r="Q1333" i="34"/>
  <c r="U1333" i="34"/>
  <c r="Z1333" i="34"/>
  <c r="P1333" i="34"/>
  <c r="O1333" i="34"/>
  <c r="A1333" i="34"/>
  <c r="Q1337" i="34"/>
  <c r="U1337" i="34"/>
  <c r="Z1337" i="34"/>
  <c r="P1337" i="34"/>
  <c r="O1337" i="34"/>
  <c r="A1337" i="34"/>
  <c r="Q1341" i="34"/>
  <c r="U1341" i="34"/>
  <c r="Z1341" i="34"/>
  <c r="P1341" i="34"/>
  <c r="O1341" i="34"/>
  <c r="A1341" i="34"/>
  <c r="Q1345" i="34"/>
  <c r="U1345" i="34"/>
  <c r="Z1345" i="34"/>
  <c r="P1345" i="34"/>
  <c r="O1345" i="34"/>
  <c r="A1345" i="34"/>
  <c r="Q1349" i="34"/>
  <c r="U1349" i="34"/>
  <c r="Z1349" i="34"/>
  <c r="P1349" i="34"/>
  <c r="O1349" i="34"/>
  <c r="A1349" i="34"/>
  <c r="Q1353" i="34"/>
  <c r="U1353" i="34"/>
  <c r="Z1353" i="34"/>
  <c r="P1353" i="34"/>
  <c r="O1353" i="34"/>
  <c r="A1353" i="34"/>
  <c r="O1357" i="34"/>
  <c r="P1357" i="34"/>
  <c r="Q1357" i="34"/>
  <c r="U1357" i="34"/>
  <c r="Z1357" i="34"/>
  <c r="A1357" i="34"/>
  <c r="O1361" i="34"/>
  <c r="P1361" i="34"/>
  <c r="Q1361" i="34"/>
  <c r="U1361" i="34"/>
  <c r="Z1361" i="34"/>
  <c r="A1361" i="34"/>
  <c r="O1365" i="34"/>
  <c r="P1365" i="34"/>
  <c r="Q1365" i="34"/>
  <c r="U1365" i="34"/>
  <c r="Z1365" i="34"/>
  <c r="A1365" i="34"/>
  <c r="O1369" i="34"/>
  <c r="P1369" i="34"/>
  <c r="Q1369" i="34"/>
  <c r="U1369" i="34"/>
  <c r="Z1369" i="34"/>
  <c r="A1369" i="34"/>
  <c r="O1373" i="34"/>
  <c r="P1373" i="34"/>
  <c r="Q1373" i="34"/>
  <c r="U1373" i="34"/>
  <c r="Z1373" i="34"/>
  <c r="A1373" i="34"/>
  <c r="O1377" i="34"/>
  <c r="P1377" i="34"/>
  <c r="Q1377" i="34"/>
  <c r="U1377" i="34"/>
  <c r="Z1377" i="34"/>
  <c r="A1377" i="34"/>
  <c r="O1381" i="34"/>
  <c r="P1381" i="34"/>
  <c r="Q1381" i="34"/>
  <c r="U1381" i="34"/>
  <c r="Z1381" i="34"/>
  <c r="A1381" i="34"/>
  <c r="Q1563" i="34"/>
  <c r="U1563" i="34"/>
  <c r="Z1563" i="34"/>
  <c r="O1563" i="34"/>
  <c r="P1563" i="34"/>
  <c r="A1563" i="34"/>
  <c r="Q1567" i="34"/>
  <c r="U1567" i="34"/>
  <c r="Z1567" i="34"/>
  <c r="O1567" i="34"/>
  <c r="P1567" i="34"/>
  <c r="A1567" i="34"/>
  <c r="Q1552" i="34"/>
  <c r="U1552" i="34"/>
  <c r="Z1552" i="34"/>
  <c r="O1552" i="34"/>
  <c r="P1552" i="34"/>
  <c r="A1552" i="34"/>
  <c r="Q1556" i="34"/>
  <c r="U1556" i="34"/>
  <c r="Z1556" i="34"/>
  <c r="O1556" i="34"/>
  <c r="P1556" i="34"/>
  <c r="A1556" i="34"/>
  <c r="Q1560" i="34"/>
  <c r="U1560" i="34"/>
  <c r="Z1560" i="34"/>
  <c r="O1560" i="34"/>
  <c r="P1560" i="34"/>
  <c r="A1560" i="34"/>
  <c r="Q1544" i="34"/>
  <c r="U1544" i="34"/>
  <c r="Z1544" i="34"/>
  <c r="O1544" i="34"/>
  <c r="P1544" i="34"/>
  <c r="A1544" i="34"/>
  <c r="Q1548" i="34"/>
  <c r="U1548" i="34"/>
  <c r="Z1548" i="34"/>
  <c r="O1548" i="34"/>
  <c r="P1548" i="34"/>
  <c r="A1548" i="34"/>
  <c r="Q1532" i="34"/>
  <c r="U1532" i="34"/>
  <c r="Z1532" i="34"/>
  <c r="O1532" i="34"/>
  <c r="P1532" i="34"/>
  <c r="A1532" i="34"/>
  <c r="Q1536" i="34"/>
  <c r="U1536" i="34"/>
  <c r="Z1536" i="34"/>
  <c r="O1536" i="34"/>
  <c r="P1536" i="34"/>
  <c r="A1536" i="34"/>
  <c r="Q1540" i="34"/>
  <c r="U1540" i="34"/>
  <c r="Z1540" i="34"/>
  <c r="O1540" i="34"/>
  <c r="P1540" i="34"/>
  <c r="A1540" i="34"/>
  <c r="Q1524" i="34"/>
  <c r="U1524" i="34"/>
  <c r="Z1524" i="34"/>
  <c r="O1524" i="34"/>
  <c r="P1524" i="34"/>
  <c r="A1524" i="34"/>
  <c r="Q1528" i="34"/>
  <c r="U1528" i="34"/>
  <c r="Z1528" i="34"/>
  <c r="O1528" i="34"/>
  <c r="P1528" i="34"/>
  <c r="A1528" i="34"/>
  <c r="Q1512" i="34"/>
  <c r="U1512" i="34"/>
  <c r="Z1512" i="34"/>
  <c r="O1512" i="34"/>
  <c r="P1512" i="34"/>
  <c r="A1512" i="34"/>
  <c r="Q1516" i="34"/>
  <c r="U1516" i="34"/>
  <c r="Z1516" i="34"/>
  <c r="O1516" i="34"/>
  <c r="P1516" i="34"/>
  <c r="A1516" i="34"/>
  <c r="Q1520" i="34"/>
  <c r="U1520" i="34"/>
  <c r="Z1520" i="34"/>
  <c r="O1520" i="34"/>
  <c r="P1520" i="34"/>
  <c r="A1520" i="34"/>
  <c r="Q1504" i="34"/>
  <c r="U1504" i="34"/>
  <c r="Z1504" i="34"/>
  <c r="O1504" i="34"/>
  <c r="P1504" i="34"/>
  <c r="A1504" i="34"/>
  <c r="Q1508" i="34"/>
  <c r="U1508" i="34"/>
  <c r="Z1508" i="34"/>
  <c r="O1508" i="34"/>
  <c r="P1508" i="34"/>
  <c r="A1508" i="34"/>
  <c r="Q1492" i="34"/>
  <c r="U1492" i="34"/>
  <c r="Z1492" i="34"/>
  <c r="O1492" i="34"/>
  <c r="P1492" i="34"/>
  <c r="A1492" i="34"/>
  <c r="Q1496" i="34"/>
  <c r="U1496" i="34"/>
  <c r="Z1496" i="34"/>
  <c r="O1496" i="34"/>
  <c r="P1496" i="34"/>
  <c r="A1496" i="34"/>
  <c r="Q1500" i="34"/>
  <c r="U1500" i="34"/>
  <c r="Z1500" i="34"/>
  <c r="O1500" i="34"/>
  <c r="P1500" i="34"/>
  <c r="A1500" i="34"/>
  <c r="Q1125" i="34"/>
  <c r="U1125" i="34"/>
  <c r="Z1125" i="34"/>
  <c r="O1125" i="34"/>
  <c r="P1125" i="34"/>
  <c r="A1125" i="34"/>
  <c r="Q1120" i="34"/>
  <c r="U1120" i="34"/>
  <c r="Z1120" i="34"/>
  <c r="P1120" i="34"/>
  <c r="O1120" i="34"/>
  <c r="A1120" i="34"/>
  <c r="Q1118" i="34"/>
  <c r="U1118" i="34"/>
  <c r="Z1118" i="34"/>
  <c r="O1118" i="34"/>
  <c r="P1118" i="34"/>
  <c r="A1118" i="34"/>
  <c r="Q1150" i="34"/>
  <c r="U1150" i="34"/>
  <c r="Z1150" i="34"/>
  <c r="O1150" i="34"/>
  <c r="P1150" i="34"/>
  <c r="A1150" i="34"/>
  <c r="Q1055" i="34"/>
  <c r="U1055" i="34"/>
  <c r="Z1055" i="34"/>
  <c r="O1055" i="34"/>
  <c r="P1055" i="34"/>
  <c r="A1055" i="34"/>
  <c r="Q1053" i="34"/>
  <c r="U1053" i="34"/>
  <c r="Z1053" i="34"/>
  <c r="O1053" i="34"/>
  <c r="P1053" i="34"/>
  <c r="A1053" i="34"/>
  <c r="Q1189" i="34"/>
  <c r="U1189" i="34"/>
  <c r="Z1189" i="34"/>
  <c r="O1189" i="34"/>
  <c r="P1189" i="34"/>
  <c r="A1189" i="34"/>
  <c r="Q142" i="34"/>
  <c r="U142" i="34"/>
  <c r="Z142" i="34"/>
  <c r="O142" i="34"/>
  <c r="P142" i="34"/>
  <c r="A142" i="34"/>
  <c r="Q1423" i="34"/>
  <c r="U1423" i="34"/>
  <c r="Z1423" i="34"/>
  <c r="O1423" i="34"/>
  <c r="P1423" i="34"/>
  <c r="A1423" i="34"/>
  <c r="Q1430" i="34"/>
  <c r="U1430" i="34"/>
  <c r="Z1430" i="34"/>
  <c r="O1430" i="34"/>
  <c r="P1430" i="34"/>
  <c r="A1430" i="34"/>
  <c r="Q1434" i="34"/>
  <c r="U1434" i="34"/>
  <c r="Z1434" i="34"/>
  <c r="O1434" i="34"/>
  <c r="P1434" i="34"/>
  <c r="A1434" i="34"/>
  <c r="Q1438" i="34"/>
  <c r="U1438" i="34"/>
  <c r="Z1438" i="34"/>
  <c r="O1438" i="34"/>
  <c r="P1438" i="34"/>
  <c r="A1438" i="34"/>
  <c r="Q1442" i="34"/>
  <c r="U1442" i="34"/>
  <c r="Z1442" i="34"/>
  <c r="O1442" i="34"/>
  <c r="P1442" i="34"/>
  <c r="A1442" i="34"/>
  <c r="Q1446" i="34"/>
  <c r="U1446" i="34"/>
  <c r="Z1446" i="34"/>
  <c r="O1446" i="34"/>
  <c r="P1446" i="34"/>
  <c r="A1446" i="34"/>
  <c r="Q1450" i="34"/>
  <c r="U1450" i="34"/>
  <c r="Z1450" i="34"/>
  <c r="O1450" i="34"/>
  <c r="P1450" i="34"/>
  <c r="A1450" i="34"/>
  <c r="Q1454" i="34"/>
  <c r="U1454" i="34"/>
  <c r="Z1454" i="34"/>
  <c r="O1454" i="34"/>
  <c r="P1454" i="34"/>
  <c r="A1454" i="34"/>
  <c r="Q1420" i="34"/>
  <c r="U1420" i="34"/>
  <c r="Z1420" i="34"/>
  <c r="O1420" i="34"/>
  <c r="P1420" i="34"/>
  <c r="A1420" i="34"/>
  <c r="Q1292" i="34"/>
  <c r="U1292" i="34"/>
  <c r="Z1292" i="34"/>
  <c r="P1292" i="34"/>
  <c r="O1292" i="34"/>
  <c r="A1292" i="34"/>
  <c r="Q1298" i="34"/>
  <c r="U1298" i="34"/>
  <c r="Z1298" i="34"/>
  <c r="O1298" i="34"/>
  <c r="P1298" i="34"/>
  <c r="A1298" i="34"/>
  <c r="Q1296" i="34"/>
  <c r="U1296" i="34"/>
  <c r="Z1296" i="34"/>
  <c r="P1296" i="34"/>
  <c r="O1296" i="34"/>
  <c r="A1296" i="34"/>
  <c r="Q1760" i="34"/>
  <c r="U1760" i="34"/>
  <c r="Z1760" i="34"/>
  <c r="P1760" i="34"/>
  <c r="O1760" i="34"/>
  <c r="A1760" i="34"/>
  <c r="Q1744" i="34"/>
  <c r="U1744" i="34"/>
  <c r="Z1744" i="34"/>
  <c r="P1744" i="34"/>
  <c r="O1744" i="34"/>
  <c r="A1744" i="34"/>
  <c r="Q1728" i="34"/>
  <c r="U1728" i="34"/>
  <c r="Z1728" i="34"/>
  <c r="P1728" i="34"/>
  <c r="O1728" i="34"/>
  <c r="A1728" i="34"/>
  <c r="Q1673" i="34"/>
  <c r="U1673" i="34"/>
  <c r="Z1673" i="34"/>
  <c r="O1673" i="34"/>
  <c r="P1673" i="34"/>
  <c r="A1673" i="34"/>
  <c r="P1621" i="34"/>
  <c r="Q1621" i="34"/>
  <c r="U1621" i="34"/>
  <c r="Z1621" i="34"/>
  <c r="O1621" i="34"/>
  <c r="A1621" i="34"/>
  <c r="P1617" i="34"/>
  <c r="Q1617" i="34"/>
  <c r="U1617" i="34"/>
  <c r="Z1617" i="34"/>
  <c r="O1617" i="34"/>
  <c r="A1617" i="34"/>
  <c r="Q1424" i="34"/>
  <c r="U1424" i="34"/>
  <c r="Z1424" i="34"/>
  <c r="O1424" i="34"/>
  <c r="P1424" i="34"/>
  <c r="A1424" i="34"/>
  <c r="Q1426" i="34"/>
  <c r="U1426" i="34"/>
  <c r="Z1426" i="34"/>
  <c r="O1426" i="34"/>
  <c r="P1426" i="34"/>
  <c r="A1426" i="34"/>
  <c r="Q1489" i="34"/>
  <c r="U1489" i="34"/>
  <c r="Z1489" i="34"/>
  <c r="P1489" i="34"/>
  <c r="O1489" i="34"/>
  <c r="A1489" i="34"/>
  <c r="Q1491" i="34"/>
  <c r="U1491" i="34"/>
  <c r="Z1491" i="34"/>
  <c r="O1491" i="34"/>
  <c r="P1491" i="34"/>
  <c r="A1491" i="34"/>
  <c r="Q1475" i="34"/>
  <c r="U1475" i="34"/>
  <c r="Z1475" i="34"/>
  <c r="O1475" i="34"/>
  <c r="P1475" i="34"/>
  <c r="A1475" i="34"/>
  <c r="Q1477" i="34"/>
  <c r="U1477" i="34"/>
  <c r="Z1477" i="34"/>
  <c r="P1477" i="34"/>
  <c r="O1477" i="34"/>
  <c r="A1477" i="34"/>
  <c r="Q1479" i="34"/>
  <c r="U1479" i="34"/>
  <c r="Z1479" i="34"/>
  <c r="O1479" i="34"/>
  <c r="P1479" i="34"/>
  <c r="A1479" i="34"/>
  <c r="Q1481" i="34"/>
  <c r="U1481" i="34"/>
  <c r="Z1481" i="34"/>
  <c r="P1481" i="34"/>
  <c r="O1481" i="34"/>
  <c r="A1481" i="34"/>
  <c r="P1573" i="34"/>
  <c r="Q1573" i="34"/>
  <c r="U1573" i="34"/>
  <c r="Z1573" i="34"/>
  <c r="O1573" i="34"/>
  <c r="A1573" i="34"/>
  <c r="P1577" i="34"/>
  <c r="Q1577" i="34"/>
  <c r="U1577" i="34"/>
  <c r="Z1577" i="34"/>
  <c r="O1577" i="34"/>
  <c r="A1577" i="34"/>
  <c r="P1581" i="34"/>
  <c r="Q1581" i="34"/>
  <c r="U1581" i="34"/>
  <c r="Z1581" i="34"/>
  <c r="O1581" i="34"/>
  <c r="A1581" i="34"/>
  <c r="P1585" i="34"/>
  <c r="Q1585" i="34"/>
  <c r="U1585" i="34"/>
  <c r="Z1585" i="34"/>
  <c r="O1585" i="34"/>
  <c r="A1585" i="34"/>
  <c r="P1589" i="34"/>
  <c r="Q1589" i="34"/>
  <c r="U1589" i="34"/>
  <c r="Z1589" i="34"/>
  <c r="O1589" i="34"/>
  <c r="A1589" i="34"/>
  <c r="P1593" i="34"/>
  <c r="Q1593" i="34"/>
  <c r="U1593" i="34"/>
  <c r="Z1593" i="34"/>
  <c r="O1593" i="34"/>
  <c r="A1593" i="34"/>
  <c r="P1597" i="34"/>
  <c r="Q1597" i="34"/>
  <c r="U1597" i="34"/>
  <c r="Z1597" i="34"/>
  <c r="O1597" i="34"/>
  <c r="A1597" i="34"/>
  <c r="P1601" i="34"/>
  <c r="Q1601" i="34"/>
  <c r="U1601" i="34"/>
  <c r="Z1601" i="34"/>
  <c r="O1601" i="34"/>
  <c r="A1601" i="34"/>
  <c r="Q231" i="34"/>
  <c r="U231" i="34"/>
  <c r="Z231" i="34"/>
  <c r="P231" i="34"/>
  <c r="O231" i="34"/>
  <c r="A231" i="34"/>
  <c r="Q219" i="34"/>
  <c r="U219" i="34"/>
  <c r="Z219" i="34"/>
  <c r="P219" i="34"/>
  <c r="O219" i="34"/>
  <c r="A219" i="34"/>
  <c r="Q223" i="34"/>
  <c r="U223" i="34"/>
  <c r="Z223" i="34"/>
  <c r="P223" i="34"/>
  <c r="O223" i="34"/>
  <c r="A223" i="34"/>
  <c r="Q227" i="34"/>
  <c r="U227" i="34"/>
  <c r="Z227" i="34"/>
  <c r="P227" i="34"/>
  <c r="O227" i="34"/>
  <c r="A227" i="34"/>
  <c r="Q205" i="34"/>
  <c r="U205" i="34"/>
  <c r="Z205" i="34"/>
  <c r="O205" i="34"/>
  <c r="P205" i="34"/>
  <c r="A205" i="34"/>
  <c r="Q212" i="34"/>
  <c r="U212" i="34"/>
  <c r="Z212" i="34"/>
  <c r="O212" i="34"/>
  <c r="P212" i="34"/>
  <c r="A212" i="34"/>
  <c r="Q216" i="34"/>
  <c r="U216" i="34"/>
  <c r="Z216" i="34"/>
  <c r="O216" i="34"/>
  <c r="P216" i="34"/>
  <c r="A216" i="34"/>
  <c r="Q206" i="34"/>
  <c r="U206" i="34"/>
  <c r="Z206" i="34"/>
  <c r="O206" i="34"/>
  <c r="P206" i="34"/>
  <c r="A206" i="34"/>
  <c r="Q482" i="34"/>
  <c r="U482" i="34"/>
  <c r="Z482" i="34"/>
  <c r="R482" i="34"/>
  <c r="S482" i="34"/>
  <c r="P482" i="34"/>
  <c r="O482" i="34"/>
  <c r="T482" i="34"/>
  <c r="A482" i="34"/>
  <c r="Q488" i="34"/>
  <c r="U488" i="34"/>
  <c r="Z488" i="34"/>
  <c r="S488" i="34"/>
  <c r="R488" i="34"/>
  <c r="T488" i="34"/>
  <c r="O488" i="34"/>
  <c r="P488" i="34"/>
  <c r="A488" i="34"/>
  <c r="Q423" i="34"/>
  <c r="U423" i="34"/>
  <c r="Z423" i="34"/>
  <c r="P423" i="34"/>
  <c r="R423" i="34"/>
  <c r="S423" i="34"/>
  <c r="O423" i="34"/>
  <c r="T423" i="34"/>
  <c r="A423" i="34"/>
  <c r="Q427" i="34"/>
  <c r="U427" i="34"/>
  <c r="Z427" i="34"/>
  <c r="P427" i="34"/>
  <c r="R427" i="34"/>
  <c r="S427" i="34"/>
  <c r="O427" i="34"/>
  <c r="T427" i="34"/>
  <c r="A427" i="34"/>
  <c r="Q431" i="34"/>
  <c r="U431" i="34"/>
  <c r="Z431" i="34"/>
  <c r="P431" i="34"/>
  <c r="R431" i="34"/>
  <c r="S431" i="34"/>
  <c r="O431" i="34"/>
  <c r="T431" i="34"/>
  <c r="A431" i="34"/>
  <c r="Q435" i="34"/>
  <c r="U435" i="34"/>
  <c r="Z435" i="34"/>
  <c r="P435" i="34"/>
  <c r="R435" i="34"/>
  <c r="S435" i="34"/>
  <c r="O435" i="34"/>
  <c r="T435" i="34"/>
  <c r="A435" i="34"/>
  <c r="Q439" i="34"/>
  <c r="U439" i="34"/>
  <c r="Z439" i="34"/>
  <c r="P439" i="34"/>
  <c r="R439" i="34"/>
  <c r="S439" i="34"/>
  <c r="O439" i="34"/>
  <c r="T439" i="34"/>
  <c r="A439" i="34"/>
  <c r="Q469" i="34"/>
  <c r="U469" i="34"/>
  <c r="Z469" i="34"/>
  <c r="S469" i="34"/>
  <c r="O469" i="34"/>
  <c r="T469" i="34"/>
  <c r="P469" i="34"/>
  <c r="R469" i="34"/>
  <c r="A469" i="34"/>
  <c r="Q473" i="34"/>
  <c r="U473" i="34"/>
  <c r="Z473" i="34"/>
  <c r="S473" i="34"/>
  <c r="O473" i="34"/>
  <c r="T473" i="34"/>
  <c r="P473" i="34"/>
  <c r="R473" i="34"/>
  <c r="A473" i="34"/>
  <c r="Q477" i="34"/>
  <c r="U477" i="34"/>
  <c r="Z477" i="34"/>
  <c r="S477" i="34"/>
  <c r="O477" i="34"/>
  <c r="T477" i="34"/>
  <c r="R477" i="34"/>
  <c r="P477" i="34"/>
  <c r="A477" i="34"/>
  <c r="Q441" i="34"/>
  <c r="U441" i="34"/>
  <c r="Z441" i="34"/>
  <c r="S441" i="34"/>
  <c r="O441" i="34"/>
  <c r="T441" i="34"/>
  <c r="P441" i="34"/>
  <c r="R441" i="34"/>
  <c r="A441" i="34"/>
  <c r="Q445" i="34"/>
  <c r="U445" i="34"/>
  <c r="Z445" i="34"/>
  <c r="S445" i="34"/>
  <c r="O445" i="34"/>
  <c r="T445" i="34"/>
  <c r="P445" i="34"/>
  <c r="R445" i="34"/>
  <c r="A445" i="34"/>
  <c r="Q449" i="34"/>
  <c r="U449" i="34"/>
  <c r="Z449" i="34"/>
  <c r="S449" i="34"/>
  <c r="O449" i="34"/>
  <c r="T449" i="34"/>
  <c r="P449" i="34"/>
  <c r="R449" i="34"/>
  <c r="A449" i="34"/>
  <c r="Q453" i="34"/>
  <c r="U453" i="34"/>
  <c r="Z453" i="34"/>
  <c r="S453" i="34"/>
  <c r="O453" i="34"/>
  <c r="T453" i="34"/>
  <c r="P453" i="34"/>
  <c r="R453" i="34"/>
  <c r="A453" i="34"/>
  <c r="Q457" i="34"/>
  <c r="U457" i="34"/>
  <c r="Z457" i="34"/>
  <c r="S457" i="34"/>
  <c r="O457" i="34"/>
  <c r="T457" i="34"/>
  <c r="P457" i="34"/>
  <c r="R457" i="34"/>
  <c r="A457" i="34"/>
  <c r="Q461" i="34"/>
  <c r="U461" i="34"/>
  <c r="Z461" i="34"/>
  <c r="S461" i="34"/>
  <c r="O461" i="34"/>
  <c r="T461" i="34"/>
  <c r="P461" i="34"/>
  <c r="R461" i="34"/>
  <c r="A461" i="34"/>
  <c r="Q465" i="34"/>
  <c r="U465" i="34"/>
  <c r="Z465" i="34"/>
  <c r="S465" i="34"/>
  <c r="O465" i="34"/>
  <c r="T465" i="34"/>
  <c r="P465" i="34"/>
  <c r="R465" i="34"/>
  <c r="A465" i="34"/>
  <c r="P858" i="34"/>
  <c r="Q858" i="34"/>
  <c r="U858" i="34"/>
  <c r="Z858" i="34"/>
  <c r="O858" i="34"/>
  <c r="A858" i="34"/>
  <c r="P868" i="34"/>
  <c r="Q868" i="34"/>
  <c r="U868" i="34"/>
  <c r="Z868" i="34"/>
  <c r="O868" i="34"/>
  <c r="A868" i="34"/>
  <c r="P876" i="34"/>
  <c r="Q876" i="34"/>
  <c r="U876" i="34"/>
  <c r="Z876" i="34"/>
  <c r="O876" i="34"/>
  <c r="A876" i="34"/>
  <c r="P846" i="34"/>
  <c r="Q846" i="34"/>
  <c r="U846" i="34"/>
  <c r="Z846" i="34"/>
  <c r="O846" i="34"/>
  <c r="A846" i="34"/>
  <c r="P854" i="34"/>
  <c r="Q854" i="34"/>
  <c r="U854" i="34"/>
  <c r="Z854" i="34"/>
  <c r="O854" i="34"/>
  <c r="A854" i="34"/>
  <c r="P862" i="34"/>
  <c r="Q862" i="34"/>
  <c r="U862" i="34"/>
  <c r="Z862" i="34"/>
  <c r="O862" i="34"/>
  <c r="A862" i="34"/>
  <c r="Q1825" i="34"/>
  <c r="U1825" i="34"/>
  <c r="Z1825" i="34"/>
  <c r="O1825" i="34"/>
  <c r="P1825" i="34"/>
  <c r="A1825" i="34"/>
  <c r="Q1900" i="34"/>
  <c r="U1900" i="34"/>
  <c r="Z1900" i="34"/>
  <c r="P1900" i="34"/>
  <c r="O1900" i="34"/>
  <c r="A1900" i="34"/>
  <c r="Q1933" i="34"/>
  <c r="U1933" i="34"/>
  <c r="Z1933" i="34"/>
  <c r="O1933" i="34"/>
  <c r="P1933" i="34"/>
  <c r="A1933" i="34"/>
  <c r="Q4459" i="34"/>
  <c r="U4459" i="34"/>
  <c r="Z4459" i="34"/>
  <c r="O4459" i="34"/>
  <c r="P4459" i="34"/>
  <c r="A4459" i="34"/>
  <c r="Q4492" i="34"/>
  <c r="U4492" i="34"/>
  <c r="Z4492" i="34"/>
  <c r="O4492" i="34"/>
  <c r="P4492" i="34"/>
  <c r="A4492" i="34"/>
  <c r="Q4521" i="34"/>
  <c r="U4521" i="34"/>
  <c r="Z4521" i="34"/>
  <c r="A4521" i="34"/>
  <c r="O4521" i="34"/>
  <c r="P4521" i="34"/>
  <c r="Q4482" i="34"/>
  <c r="U4482" i="34"/>
  <c r="Z4482" i="34"/>
  <c r="P4482" i="34"/>
  <c r="A4482" i="34"/>
  <c r="O4482" i="34"/>
  <c r="Q1857" i="34"/>
  <c r="U1857" i="34"/>
  <c r="Z1857" i="34"/>
  <c r="O1857" i="34"/>
  <c r="P1857" i="34"/>
  <c r="A1857" i="34"/>
  <c r="P965" i="34"/>
  <c r="Q965" i="34"/>
  <c r="U965" i="34"/>
  <c r="Z965" i="34"/>
  <c r="O965" i="34"/>
  <c r="A965" i="34"/>
  <c r="Q1693" i="34"/>
  <c r="U1693" i="34"/>
  <c r="Z1693" i="34"/>
  <c r="O1693" i="34"/>
  <c r="P1693" i="34"/>
  <c r="A1693" i="34"/>
  <c r="Q1751" i="34"/>
  <c r="U1751" i="34"/>
  <c r="Z1751" i="34"/>
  <c r="O1751" i="34"/>
  <c r="P1751" i="34"/>
  <c r="A1751" i="34"/>
  <c r="Q1780" i="34"/>
  <c r="U1780" i="34"/>
  <c r="Z1780" i="34"/>
  <c r="P1780" i="34"/>
  <c r="O1780" i="34"/>
  <c r="A1780" i="34"/>
  <c r="Q4552" i="34"/>
  <c r="U4552" i="34"/>
  <c r="Z4552" i="34"/>
  <c r="O4552" i="34"/>
  <c r="P4552" i="34"/>
  <c r="A4552" i="34"/>
  <c r="Q1408" i="34"/>
  <c r="U1408" i="34"/>
  <c r="Z1408" i="34"/>
  <c r="O1408" i="34"/>
  <c r="P1408" i="34"/>
  <c r="A1408" i="34"/>
  <c r="Q1861" i="34"/>
  <c r="U1861" i="34"/>
  <c r="Z1861" i="34"/>
  <c r="O1861" i="34"/>
  <c r="P1861" i="34"/>
  <c r="A1861" i="34"/>
  <c r="Q4444" i="34"/>
  <c r="U4444" i="34"/>
  <c r="Z4444" i="34"/>
  <c r="O4444" i="34"/>
  <c r="P4444" i="34"/>
  <c r="A4444" i="34"/>
  <c r="Q4528" i="34"/>
  <c r="U4528" i="34"/>
  <c r="Z4528" i="34"/>
  <c r="O4528" i="34"/>
  <c r="P4528" i="34"/>
  <c r="A4528" i="34"/>
  <c r="P981" i="34"/>
  <c r="Q981" i="34"/>
  <c r="U981" i="34"/>
  <c r="Z981" i="34"/>
  <c r="O981" i="34"/>
  <c r="A981" i="34"/>
  <c r="Q1678" i="34"/>
  <c r="U1678" i="34"/>
  <c r="Z1678" i="34"/>
  <c r="O1678" i="34"/>
  <c r="P1678" i="34"/>
  <c r="A1678" i="34"/>
  <c r="P21" i="34"/>
  <c r="Q21" i="34"/>
  <c r="U21" i="34"/>
  <c r="Z21" i="34"/>
  <c r="O21" i="34"/>
  <c r="A21" i="34"/>
  <c r="P16" i="34"/>
  <c r="Q16" i="34"/>
  <c r="U16" i="34"/>
  <c r="Z16" i="34"/>
  <c r="O16" i="34"/>
  <c r="A16" i="34"/>
  <c r="Q1943" i="34"/>
  <c r="U1943" i="34"/>
  <c r="Z1943" i="34"/>
  <c r="O1943" i="34"/>
  <c r="P1943" i="34"/>
  <c r="A1943" i="34"/>
  <c r="Q1736" i="34"/>
  <c r="U1736" i="34"/>
  <c r="Z1736" i="34"/>
  <c r="P1736" i="34"/>
  <c r="O1736" i="34"/>
  <c r="A1736" i="34"/>
  <c r="Q1979" i="34"/>
  <c r="U1979" i="34"/>
  <c r="Z1979" i="34"/>
  <c r="P1979" i="34"/>
  <c r="O1979" i="34"/>
  <c r="A1979" i="34"/>
  <c r="Q3389" i="34"/>
  <c r="U3389" i="34"/>
  <c r="Z3389" i="34"/>
  <c r="O3389" i="34"/>
  <c r="P3389" i="34"/>
  <c r="A3389" i="34"/>
  <c r="O3501" i="34"/>
  <c r="P3501" i="34"/>
  <c r="Q3501" i="34"/>
  <c r="U3501" i="34"/>
  <c r="Z3501" i="34"/>
  <c r="A3501" i="34"/>
  <c r="Q4360" i="34"/>
  <c r="U4360" i="34"/>
  <c r="Z4360" i="34"/>
  <c r="O4360" i="34"/>
  <c r="P4360" i="34"/>
  <c r="A4360" i="34"/>
  <c r="Q1697" i="34"/>
  <c r="U1697" i="34"/>
  <c r="Z1697" i="34"/>
  <c r="O1697" i="34"/>
  <c r="P1697" i="34"/>
  <c r="A1697" i="34"/>
  <c r="Q1771" i="34"/>
  <c r="U1771" i="34"/>
  <c r="Z1771" i="34"/>
  <c r="O1771" i="34"/>
  <c r="P1771" i="34"/>
  <c r="A1771" i="34"/>
  <c r="Q1832" i="34"/>
  <c r="U1832" i="34"/>
  <c r="Z1832" i="34"/>
  <c r="P1832" i="34"/>
  <c r="O1832" i="34"/>
  <c r="A1832" i="34"/>
  <c r="Q1836" i="34"/>
  <c r="U1836" i="34"/>
  <c r="Z1836" i="34"/>
  <c r="P1836" i="34"/>
  <c r="O1836" i="34"/>
  <c r="A1836" i="34"/>
  <c r="Q1840" i="34"/>
  <c r="U1840" i="34"/>
  <c r="Z1840" i="34"/>
  <c r="P1840" i="34"/>
  <c r="O1840" i="34"/>
  <c r="A1840" i="34"/>
  <c r="Q1869" i="34"/>
  <c r="U1869" i="34"/>
  <c r="Z1869" i="34"/>
  <c r="O1869" i="34"/>
  <c r="P1869" i="34"/>
  <c r="A1869" i="34"/>
  <c r="Q1873" i="34"/>
  <c r="U1873" i="34"/>
  <c r="Z1873" i="34"/>
  <c r="O1873" i="34"/>
  <c r="P1873" i="34"/>
  <c r="A1873" i="34"/>
  <c r="Q1877" i="34"/>
  <c r="U1877" i="34"/>
  <c r="Z1877" i="34"/>
  <c r="O1877" i="34"/>
  <c r="P1877" i="34"/>
  <c r="A1877" i="34"/>
  <c r="Q1881" i="34"/>
  <c r="U1881" i="34"/>
  <c r="Z1881" i="34"/>
  <c r="O1881" i="34"/>
  <c r="P1881" i="34"/>
  <c r="A1881" i="34"/>
  <c r="Q1947" i="34"/>
  <c r="U1947" i="34"/>
  <c r="Z1947" i="34"/>
  <c r="O1947" i="34"/>
  <c r="P1947" i="34"/>
  <c r="A1947" i="34"/>
  <c r="O2059" i="34"/>
  <c r="P2059" i="34"/>
  <c r="Q2059" i="34"/>
  <c r="U2059" i="34"/>
  <c r="Z2059" i="34"/>
  <c r="A2059" i="34"/>
  <c r="O2085" i="34"/>
  <c r="P2085" i="34"/>
  <c r="Q2085" i="34"/>
  <c r="U2085" i="34"/>
  <c r="Z2085" i="34"/>
  <c r="A2085" i="34"/>
  <c r="O2089" i="34"/>
  <c r="P2089" i="34"/>
  <c r="Q2089" i="34"/>
  <c r="U2089" i="34"/>
  <c r="Z2089" i="34"/>
  <c r="A2089" i="34"/>
  <c r="O2093" i="34"/>
  <c r="P2093" i="34"/>
  <c r="Q2093" i="34"/>
  <c r="U2093" i="34"/>
  <c r="Z2093" i="34"/>
  <c r="A2093" i="34"/>
  <c r="O2133" i="34"/>
  <c r="P2133" i="34"/>
  <c r="Q2133" i="34"/>
  <c r="U2133" i="34"/>
  <c r="Z2133" i="34"/>
  <c r="A2133" i="34"/>
  <c r="O2137" i="34"/>
  <c r="P2137" i="34"/>
  <c r="Q2137" i="34"/>
  <c r="U2137" i="34"/>
  <c r="Z2137" i="34"/>
  <c r="A2137" i="34"/>
  <c r="O2141" i="34"/>
  <c r="P2141" i="34"/>
  <c r="Q2141" i="34"/>
  <c r="U2141" i="34"/>
  <c r="Z2141" i="34"/>
  <c r="A2141" i="34"/>
  <c r="O2145" i="34"/>
  <c r="P2145" i="34"/>
  <c r="Q2145" i="34"/>
  <c r="U2145" i="34"/>
  <c r="Z2145" i="34"/>
  <c r="A2145" i="34"/>
  <c r="O2154" i="34"/>
  <c r="P2154" i="34"/>
  <c r="Q2154" i="34"/>
  <c r="U2154" i="34"/>
  <c r="Z2154" i="34"/>
  <c r="A2154" i="34"/>
  <c r="O2158" i="34"/>
  <c r="P2158" i="34"/>
  <c r="Q2158" i="34"/>
  <c r="U2158" i="34"/>
  <c r="Z2158" i="34"/>
  <c r="A2158" i="34"/>
  <c r="O2162" i="34"/>
  <c r="P2162" i="34"/>
  <c r="Q2162" i="34"/>
  <c r="U2162" i="34"/>
  <c r="Z2162" i="34"/>
  <c r="A2162" i="34"/>
  <c r="O2166" i="34"/>
  <c r="P2166" i="34"/>
  <c r="Q2166" i="34"/>
  <c r="U2166" i="34"/>
  <c r="Z2166" i="34"/>
  <c r="A2166" i="34"/>
  <c r="O2170" i="34"/>
  <c r="P2170" i="34"/>
  <c r="Q2170" i="34"/>
  <c r="U2170" i="34"/>
  <c r="Z2170" i="34"/>
  <c r="A2170" i="34"/>
  <c r="O2174" i="34"/>
  <c r="P2174" i="34"/>
  <c r="Q2174" i="34"/>
  <c r="U2174" i="34"/>
  <c r="Z2174" i="34"/>
  <c r="A2174" i="34"/>
  <c r="O2178" i="34"/>
  <c r="P2178" i="34"/>
  <c r="Q2178" i="34"/>
  <c r="U2178" i="34"/>
  <c r="Z2178" i="34"/>
  <c r="A2178" i="34"/>
  <c r="O2210" i="34"/>
  <c r="P2210" i="34"/>
  <c r="Q2210" i="34"/>
  <c r="U2210" i="34"/>
  <c r="Z2210" i="34"/>
  <c r="A2210" i="34"/>
  <c r="O2214" i="34"/>
  <c r="P2214" i="34"/>
  <c r="Q2214" i="34"/>
  <c r="U2214" i="34"/>
  <c r="Z2214" i="34"/>
  <c r="A2214" i="34"/>
  <c r="O2218" i="34"/>
  <c r="P2218" i="34"/>
  <c r="Q2218" i="34"/>
  <c r="U2218" i="34"/>
  <c r="Z2218" i="34"/>
  <c r="A2218" i="34"/>
  <c r="O2222" i="34"/>
  <c r="P2222" i="34"/>
  <c r="Q2222" i="34"/>
  <c r="U2222" i="34"/>
  <c r="Z2222" i="34"/>
  <c r="A2222" i="34"/>
  <c r="O2226" i="34"/>
  <c r="P2226" i="34"/>
  <c r="Q2226" i="34"/>
  <c r="U2226" i="34"/>
  <c r="Z2226" i="34"/>
  <c r="A2226" i="34"/>
  <c r="O2247" i="34"/>
  <c r="P2247" i="34"/>
  <c r="Q2247" i="34"/>
  <c r="U2247" i="34"/>
  <c r="Z2247" i="34"/>
  <c r="A2247" i="34"/>
  <c r="O2251" i="34"/>
  <c r="P2251" i="34"/>
  <c r="Q2251" i="34"/>
  <c r="U2251" i="34"/>
  <c r="Z2251" i="34"/>
  <c r="A2251" i="34"/>
  <c r="O2255" i="34"/>
  <c r="P2255" i="34"/>
  <c r="Q2255" i="34"/>
  <c r="U2255" i="34"/>
  <c r="Z2255" i="34"/>
  <c r="A2255" i="34"/>
  <c r="O2259" i="34"/>
  <c r="P2259" i="34"/>
  <c r="Q2259" i="34"/>
  <c r="U2259" i="34"/>
  <c r="Z2259" i="34"/>
  <c r="A2259" i="34"/>
  <c r="O2263" i="34"/>
  <c r="P2263" i="34"/>
  <c r="Q2263" i="34"/>
  <c r="U2263" i="34"/>
  <c r="Z2263" i="34"/>
  <c r="A2263" i="34"/>
  <c r="O2267" i="34"/>
  <c r="P2267" i="34"/>
  <c r="Q2267" i="34"/>
  <c r="U2267" i="34"/>
  <c r="Z2267" i="34"/>
  <c r="A2267" i="34"/>
  <c r="O2271" i="34"/>
  <c r="P2271" i="34"/>
  <c r="Q2271" i="34"/>
  <c r="U2271" i="34"/>
  <c r="Z2271" i="34"/>
  <c r="A2271" i="34"/>
  <c r="O2275" i="34"/>
  <c r="P2275" i="34"/>
  <c r="Q2275" i="34"/>
  <c r="U2275" i="34"/>
  <c r="Z2275" i="34"/>
  <c r="A2275" i="34"/>
  <c r="O2146" i="34"/>
  <c r="P2146" i="34"/>
  <c r="Q2146" i="34"/>
  <c r="U2146" i="34"/>
  <c r="Z2146" i="34"/>
  <c r="A2146" i="34"/>
  <c r="O2107" i="34"/>
  <c r="P2107" i="34"/>
  <c r="Q2107" i="34"/>
  <c r="U2107" i="34"/>
  <c r="Z2107" i="34"/>
  <c r="A2107" i="34"/>
  <c r="O2116" i="34"/>
  <c r="P2116" i="34"/>
  <c r="Q2116" i="34"/>
  <c r="U2116" i="34"/>
  <c r="Z2116" i="34"/>
  <c r="A2116" i="34"/>
  <c r="O2208" i="34"/>
  <c r="P2208" i="34"/>
  <c r="Q2208" i="34"/>
  <c r="U2208" i="34"/>
  <c r="Z2208" i="34"/>
  <c r="A2208" i="34"/>
  <c r="Q2035" i="34"/>
  <c r="U2035" i="34"/>
  <c r="Z2035" i="34"/>
  <c r="P2035" i="34"/>
  <c r="O2035" i="34"/>
  <c r="A2035" i="34"/>
  <c r="Q2895" i="34"/>
  <c r="U2895" i="34"/>
  <c r="Z2895" i="34"/>
  <c r="P2895" i="34"/>
  <c r="O2895" i="34"/>
  <c r="A2895" i="34"/>
  <c r="O2301" i="34"/>
  <c r="P2301" i="34"/>
  <c r="Q2301" i="34"/>
  <c r="U2301" i="34"/>
  <c r="Z2301" i="34"/>
  <c r="A2301" i="34"/>
  <c r="Q2872" i="34"/>
  <c r="U2872" i="34"/>
  <c r="Z2872" i="34"/>
  <c r="O2872" i="34"/>
  <c r="P2872" i="34"/>
  <c r="A2872" i="34"/>
  <c r="O2075" i="34"/>
  <c r="P2075" i="34"/>
  <c r="Q2075" i="34"/>
  <c r="U2075" i="34"/>
  <c r="Z2075" i="34"/>
  <c r="A2075" i="34"/>
  <c r="O2318" i="34"/>
  <c r="Q2318" i="34"/>
  <c r="U2318" i="34"/>
  <c r="Z2318" i="34"/>
  <c r="P2318" i="34"/>
  <c r="A2318" i="34"/>
  <c r="Q2320" i="34"/>
  <c r="U2320" i="34"/>
  <c r="Z2320" i="34"/>
  <c r="P2320" i="34"/>
  <c r="O2320" i="34"/>
  <c r="A2320" i="34"/>
  <c r="Q1980" i="34"/>
  <c r="U1980" i="34"/>
  <c r="Z1980" i="34"/>
  <c r="P1980" i="34"/>
  <c r="O1980" i="34"/>
  <c r="A1980" i="34"/>
  <c r="Q1987" i="34"/>
  <c r="U1987" i="34"/>
  <c r="Z1987" i="34"/>
  <c r="P1987" i="34"/>
  <c r="O1987" i="34"/>
  <c r="A1987" i="34"/>
  <c r="Q2001" i="34"/>
  <c r="U2001" i="34"/>
  <c r="Z2001" i="34"/>
  <c r="O2001" i="34"/>
  <c r="P2001" i="34"/>
  <c r="A2001" i="34"/>
  <c r="Q2010" i="34"/>
  <c r="U2010" i="34"/>
  <c r="Z2010" i="34"/>
  <c r="O2010" i="34"/>
  <c r="P2010" i="34"/>
  <c r="A2010" i="34"/>
  <c r="Q2014" i="34"/>
  <c r="U2014" i="34"/>
  <c r="Z2014" i="34"/>
  <c r="O2014" i="34"/>
  <c r="P2014" i="34"/>
  <c r="A2014" i="34"/>
  <c r="Q2019" i="34"/>
  <c r="U2019" i="34"/>
  <c r="Z2019" i="34"/>
  <c r="P2019" i="34"/>
  <c r="O2019" i="34"/>
  <c r="A2019" i="34"/>
  <c r="Q2024" i="34"/>
  <c r="U2024" i="34"/>
  <c r="Z2024" i="34"/>
  <c r="O2024" i="34"/>
  <c r="P2024" i="34"/>
  <c r="A2024" i="34"/>
  <c r="Q2028" i="34"/>
  <c r="U2028" i="34"/>
  <c r="Z2028" i="34"/>
  <c r="O2028" i="34"/>
  <c r="P2028" i="34"/>
  <c r="A2028" i="34"/>
  <c r="O2066" i="34"/>
  <c r="P2066" i="34"/>
  <c r="Q2066" i="34"/>
  <c r="U2066" i="34"/>
  <c r="Z2066" i="34"/>
  <c r="A2066" i="34"/>
  <c r="O2070" i="34"/>
  <c r="P2070" i="34"/>
  <c r="Q2070" i="34"/>
  <c r="U2070" i="34"/>
  <c r="Z2070" i="34"/>
  <c r="A2070" i="34"/>
  <c r="O2190" i="34"/>
  <c r="P2190" i="34"/>
  <c r="Q2190" i="34"/>
  <c r="U2190" i="34"/>
  <c r="Z2190" i="34"/>
  <c r="A2190" i="34"/>
  <c r="O2104" i="34"/>
  <c r="P2104" i="34"/>
  <c r="Q2104" i="34"/>
  <c r="U2104" i="34"/>
  <c r="Z2104" i="34"/>
  <c r="A2104" i="34"/>
  <c r="Q1992" i="34"/>
  <c r="U1992" i="34"/>
  <c r="Z1992" i="34"/>
  <c r="P1992" i="34"/>
  <c r="O1992" i="34"/>
  <c r="A1992" i="34"/>
  <c r="O2182" i="34"/>
  <c r="P2182" i="34"/>
  <c r="Q2182" i="34"/>
  <c r="U2182" i="34"/>
  <c r="Z2182" i="34"/>
  <c r="A2182" i="34"/>
  <c r="O2187" i="34"/>
  <c r="P2187" i="34"/>
  <c r="Q2187" i="34"/>
  <c r="U2187" i="34"/>
  <c r="Z2187" i="34"/>
  <c r="A2187" i="34"/>
  <c r="O2238" i="34"/>
  <c r="P2238" i="34"/>
  <c r="Q2238" i="34"/>
  <c r="U2238" i="34"/>
  <c r="Z2238" i="34"/>
  <c r="A2238" i="34"/>
  <c r="O2204" i="34"/>
  <c r="P2204" i="34"/>
  <c r="Q2204" i="34"/>
  <c r="U2204" i="34"/>
  <c r="Z2204" i="34"/>
  <c r="A2204" i="34"/>
  <c r="O2123" i="34"/>
  <c r="P2123" i="34"/>
  <c r="Q2123" i="34"/>
  <c r="U2123" i="34"/>
  <c r="Z2123" i="34"/>
  <c r="A2123" i="34"/>
  <c r="O2285" i="34"/>
  <c r="P2285" i="34"/>
  <c r="Q2285" i="34"/>
  <c r="U2285" i="34"/>
  <c r="Z2285" i="34"/>
  <c r="A2285" i="34"/>
  <c r="O2284" i="34"/>
  <c r="P2284" i="34"/>
  <c r="Q2284" i="34"/>
  <c r="U2284" i="34"/>
  <c r="Z2284" i="34"/>
  <c r="A2284" i="34"/>
  <c r="O2112" i="34"/>
  <c r="P2112" i="34"/>
  <c r="Q2112" i="34"/>
  <c r="U2112" i="34"/>
  <c r="Z2112" i="34"/>
  <c r="A2112" i="34"/>
  <c r="O2119" i="34"/>
  <c r="P2119" i="34"/>
  <c r="Q2119" i="34"/>
  <c r="U2119" i="34"/>
  <c r="Z2119" i="34"/>
  <c r="A2119" i="34"/>
  <c r="O2127" i="34"/>
  <c r="P2127" i="34"/>
  <c r="Q2127" i="34"/>
  <c r="U2127" i="34"/>
  <c r="Z2127" i="34"/>
  <c r="A2127" i="34"/>
  <c r="O2185" i="34"/>
  <c r="P2185" i="34"/>
  <c r="Q2185" i="34"/>
  <c r="U2185" i="34"/>
  <c r="Z2185" i="34"/>
  <c r="A2185" i="34"/>
  <c r="O2196" i="34"/>
  <c r="P2196" i="34"/>
  <c r="Q2196" i="34"/>
  <c r="U2196" i="34"/>
  <c r="Z2196" i="34"/>
  <c r="A2196" i="34"/>
  <c r="Q2041" i="34"/>
  <c r="U2041" i="34"/>
  <c r="Z2041" i="34"/>
  <c r="O2041" i="34"/>
  <c r="P2041" i="34"/>
  <c r="A2041" i="34"/>
  <c r="O2188" i="34"/>
  <c r="P2188" i="34"/>
  <c r="Q2188" i="34"/>
  <c r="U2188" i="34"/>
  <c r="Z2188" i="34"/>
  <c r="A2188" i="34"/>
  <c r="O2205" i="34"/>
  <c r="P2205" i="34"/>
  <c r="Q2205" i="34"/>
  <c r="U2205" i="34"/>
  <c r="Z2205" i="34"/>
  <c r="A2205" i="34"/>
  <c r="O2053" i="34"/>
  <c r="P2053" i="34"/>
  <c r="Q2053" i="34"/>
  <c r="U2053" i="34"/>
  <c r="Z2053" i="34"/>
  <c r="A2053" i="34"/>
  <c r="O2055" i="34"/>
  <c r="P2055" i="34"/>
  <c r="Q2055" i="34"/>
  <c r="U2055" i="34"/>
  <c r="Z2055" i="34"/>
  <c r="A2055" i="34"/>
  <c r="O2241" i="34"/>
  <c r="P2241" i="34"/>
  <c r="Q2241" i="34"/>
  <c r="U2241" i="34"/>
  <c r="Z2241" i="34"/>
  <c r="A2241" i="34"/>
  <c r="O2230" i="34"/>
  <c r="P2230" i="34"/>
  <c r="Q2230" i="34"/>
  <c r="U2230" i="34"/>
  <c r="Z2230" i="34"/>
  <c r="A2230" i="34"/>
  <c r="O2234" i="34"/>
  <c r="P2234" i="34"/>
  <c r="Q2234" i="34"/>
  <c r="U2234" i="34"/>
  <c r="Z2234" i="34"/>
  <c r="A2234" i="34"/>
  <c r="Q2343" i="34"/>
  <c r="U2343" i="34"/>
  <c r="Z2343" i="34"/>
  <c r="O2343" i="34"/>
  <c r="P2343" i="34"/>
  <c r="A2343" i="34"/>
  <c r="Q2347" i="34"/>
  <c r="U2347" i="34"/>
  <c r="Z2347" i="34"/>
  <c r="O2347" i="34"/>
  <c r="P2347" i="34"/>
  <c r="A2347" i="34"/>
  <c r="Q2880" i="34"/>
  <c r="U2880" i="34"/>
  <c r="Z2880" i="34"/>
  <c r="O2880" i="34"/>
  <c r="P2880" i="34"/>
  <c r="A2880" i="34"/>
  <c r="Q2889" i="34"/>
  <c r="U2889" i="34"/>
  <c r="Z2889" i="34"/>
  <c r="O2889" i="34"/>
  <c r="P2889" i="34"/>
  <c r="A2889" i="34"/>
  <c r="Q2886" i="34"/>
  <c r="U2886" i="34"/>
  <c r="Z2886" i="34"/>
  <c r="O2886" i="34"/>
  <c r="P2886" i="34"/>
  <c r="A2886" i="34"/>
  <c r="Q2995" i="34"/>
  <c r="U2995" i="34"/>
  <c r="Z2995" i="34"/>
  <c r="P2995" i="34"/>
  <c r="O2995" i="34"/>
  <c r="A2995" i="34"/>
  <c r="Q2961" i="34"/>
  <c r="U2961" i="34"/>
  <c r="Z2961" i="34"/>
  <c r="O2961" i="34"/>
  <c r="P2961" i="34"/>
  <c r="A2961" i="34"/>
  <c r="Q2921" i="34"/>
  <c r="U2921" i="34"/>
  <c r="Z2921" i="34"/>
  <c r="O2921" i="34"/>
  <c r="P2921" i="34"/>
  <c r="A2921" i="34"/>
  <c r="Q2927" i="34"/>
  <c r="U2927" i="34"/>
  <c r="Z2927" i="34"/>
  <c r="P2927" i="34"/>
  <c r="O2927" i="34"/>
  <c r="A2927" i="34"/>
  <c r="Q2958" i="34"/>
  <c r="U2958" i="34"/>
  <c r="Z2958" i="34"/>
  <c r="O2958" i="34"/>
  <c r="P2958" i="34"/>
  <c r="A2958" i="34"/>
  <c r="O3494" i="34"/>
  <c r="P3494" i="34"/>
  <c r="Q3494" i="34"/>
  <c r="U3494" i="34"/>
  <c r="Z3494" i="34"/>
  <c r="A3494" i="34"/>
  <c r="Q3286" i="34"/>
  <c r="U3286" i="34"/>
  <c r="Z3286" i="34"/>
  <c r="O3286" i="34"/>
  <c r="P3286" i="34"/>
  <c r="A3286" i="34"/>
  <c r="Q2898" i="34"/>
  <c r="U2898" i="34"/>
  <c r="Z2898" i="34"/>
  <c r="O2898" i="34"/>
  <c r="P2898" i="34"/>
  <c r="A2898" i="34"/>
  <c r="Q2870" i="34"/>
  <c r="U2870" i="34"/>
  <c r="Z2870" i="34"/>
  <c r="O2870" i="34"/>
  <c r="P2870" i="34"/>
  <c r="A2870" i="34"/>
  <c r="Q2329" i="34"/>
  <c r="U2329" i="34"/>
  <c r="Z2329" i="34"/>
  <c r="O2329" i="34"/>
  <c r="P2329" i="34"/>
  <c r="A2329" i="34"/>
  <c r="O2303" i="34"/>
  <c r="P2303" i="34"/>
  <c r="Q2303" i="34"/>
  <c r="U2303" i="34"/>
  <c r="Z2303" i="34"/>
  <c r="A2303" i="34"/>
  <c r="O2083" i="34"/>
  <c r="P2083" i="34"/>
  <c r="Q2083" i="34"/>
  <c r="U2083" i="34"/>
  <c r="Z2083" i="34"/>
  <c r="A2083" i="34"/>
  <c r="Q2033" i="34"/>
  <c r="U2033" i="34"/>
  <c r="Z2033" i="34"/>
  <c r="O2033" i="34"/>
  <c r="P2033" i="34"/>
  <c r="A2033" i="34"/>
  <c r="Q1990" i="34"/>
  <c r="U1990" i="34"/>
  <c r="Z1990" i="34"/>
  <c r="O1990" i="34"/>
  <c r="P1990" i="34"/>
  <c r="A1990" i="34"/>
  <c r="Q2323" i="34"/>
  <c r="U2323" i="34"/>
  <c r="Z2323" i="34"/>
  <c r="O2323" i="34"/>
  <c r="P2323" i="34"/>
  <c r="A2323" i="34"/>
  <c r="O2279" i="34"/>
  <c r="P2279" i="34"/>
  <c r="Q2279" i="34"/>
  <c r="U2279" i="34"/>
  <c r="Z2279" i="34"/>
  <c r="A2279" i="34"/>
  <c r="Q2031" i="34"/>
  <c r="U2031" i="34"/>
  <c r="Z2031" i="34"/>
  <c r="P2031" i="34"/>
  <c r="O2031" i="34"/>
  <c r="A2031" i="34"/>
  <c r="Q4443" i="34"/>
  <c r="U4443" i="34"/>
  <c r="Z4443" i="34"/>
  <c r="O4443" i="34"/>
  <c r="P4443" i="34"/>
  <c r="A4443" i="34"/>
  <c r="Q4440" i="34"/>
  <c r="U4440" i="34"/>
  <c r="Z4440" i="34"/>
  <c r="O4440" i="34"/>
  <c r="P4440" i="34"/>
  <c r="A4440" i="34"/>
  <c r="Q4388" i="34"/>
  <c r="U4388" i="34"/>
  <c r="Z4388" i="34"/>
  <c r="O4388" i="34"/>
  <c r="P4388" i="34"/>
  <c r="A4388" i="34"/>
  <c r="Q4434" i="34"/>
  <c r="U4434" i="34"/>
  <c r="Z4434" i="34"/>
  <c r="P4434" i="34"/>
  <c r="A4434" i="34"/>
  <c r="O4434" i="34"/>
  <c r="Q4375" i="34"/>
  <c r="U4375" i="34"/>
  <c r="Z4375" i="34"/>
  <c r="O4375" i="34"/>
  <c r="P4375" i="34"/>
  <c r="A4375" i="34"/>
  <c r="Q4421" i="34"/>
  <c r="U4421" i="34"/>
  <c r="Z4421" i="34"/>
  <c r="A4421" i="34"/>
  <c r="O4421" i="34"/>
  <c r="P4421" i="34"/>
  <c r="Q4419" i="34"/>
  <c r="U4419" i="34"/>
  <c r="Z4419" i="34"/>
  <c r="O4419" i="34"/>
  <c r="P4419" i="34"/>
  <c r="A4419" i="34"/>
  <c r="Q4405" i="34"/>
  <c r="U4405" i="34"/>
  <c r="Z4405" i="34"/>
  <c r="A4405" i="34"/>
  <c r="O4405" i="34"/>
  <c r="P4405" i="34"/>
  <c r="Q4431" i="34"/>
  <c r="U4431" i="34"/>
  <c r="Z4431" i="34"/>
  <c r="O4431" i="34"/>
  <c r="P4431" i="34"/>
  <c r="A4431" i="34"/>
  <c r="Q4387" i="34"/>
  <c r="U4387" i="34"/>
  <c r="Z4387" i="34"/>
  <c r="O4387" i="34"/>
  <c r="P4387" i="34"/>
  <c r="A4387" i="34"/>
  <c r="Q4426" i="34"/>
  <c r="U4426" i="34"/>
  <c r="Z4426" i="34"/>
  <c r="P4426" i="34"/>
  <c r="A4426" i="34"/>
  <c r="O4426" i="34"/>
  <c r="Q4377" i="34"/>
  <c r="U4377" i="34"/>
  <c r="Z4377" i="34"/>
  <c r="A4377" i="34"/>
  <c r="O4377" i="34"/>
  <c r="P4377" i="34"/>
  <c r="Q4409" i="34"/>
  <c r="U4409" i="34"/>
  <c r="Z4409" i="34"/>
  <c r="A4409" i="34"/>
  <c r="O4409" i="34"/>
  <c r="P4409" i="34"/>
  <c r="Q4418" i="34"/>
  <c r="U4418" i="34"/>
  <c r="Z4418" i="34"/>
  <c r="P4418" i="34"/>
  <c r="A4418" i="34"/>
  <c r="O4418" i="34"/>
  <c r="Q4414" i="34"/>
  <c r="U4414" i="34"/>
  <c r="Z4414" i="34"/>
  <c r="P4414" i="34"/>
  <c r="A4414" i="34"/>
  <c r="O4414" i="34"/>
  <c r="Q4390" i="34"/>
  <c r="U4390" i="34"/>
  <c r="Z4390" i="34"/>
  <c r="P4390" i="34"/>
  <c r="A4390" i="34"/>
  <c r="O4390" i="34"/>
  <c r="Q4398" i="34"/>
  <c r="U4398" i="34"/>
  <c r="Z4398" i="34"/>
  <c r="P4398" i="34"/>
  <c r="A4398" i="34"/>
  <c r="O4398" i="34"/>
  <c r="Q4395" i="34"/>
  <c r="U4395" i="34"/>
  <c r="Z4395" i="34"/>
  <c r="O4395" i="34"/>
  <c r="P4395" i="34"/>
  <c r="A4395" i="34"/>
  <c r="Q4371" i="34"/>
  <c r="U4371" i="34"/>
  <c r="Z4371" i="34"/>
  <c r="O4371" i="34"/>
  <c r="P4371" i="34"/>
  <c r="A4371" i="34"/>
  <c r="Q4366" i="34"/>
  <c r="U4366" i="34"/>
  <c r="Z4366" i="34"/>
  <c r="P4366" i="34"/>
  <c r="A4366" i="34"/>
  <c r="O4366" i="34"/>
  <c r="Q4362" i="34"/>
  <c r="U4362" i="34"/>
  <c r="Z4362" i="34"/>
  <c r="P4362" i="34"/>
  <c r="A4362" i="34"/>
  <c r="O4362" i="34"/>
  <c r="O4338" i="34"/>
  <c r="P4338" i="34"/>
  <c r="Q4338" i="34"/>
  <c r="U4338" i="34"/>
  <c r="Z4338" i="34"/>
  <c r="A4338" i="34"/>
  <c r="O3926" i="34"/>
  <c r="P3926" i="34"/>
  <c r="Q3926" i="34"/>
  <c r="U3926" i="34"/>
  <c r="Z3926" i="34"/>
  <c r="A3926" i="34"/>
  <c r="O3921" i="34"/>
  <c r="P3921" i="34"/>
  <c r="Q3921" i="34"/>
  <c r="U3921" i="34"/>
  <c r="Z3921" i="34"/>
  <c r="A3921" i="34"/>
  <c r="Q3492" i="34"/>
  <c r="U3492" i="34"/>
  <c r="P3492" i="34"/>
  <c r="O3492" i="34"/>
  <c r="Z3492" i="34"/>
  <c r="A3492" i="34"/>
  <c r="Q3454" i="34"/>
  <c r="U3454" i="34"/>
  <c r="Z3454" i="34"/>
  <c r="O3454" i="34"/>
  <c r="P3454" i="34"/>
  <c r="A3454" i="34"/>
  <c r="Q3457" i="34"/>
  <c r="U3457" i="34"/>
  <c r="Z3457" i="34"/>
  <c r="O3457" i="34"/>
  <c r="P3457" i="34"/>
  <c r="A3457" i="34"/>
  <c r="Q3443" i="34"/>
  <c r="U3443" i="34"/>
  <c r="Z3443" i="34"/>
  <c r="O3443" i="34"/>
  <c r="P3443" i="34"/>
  <c r="A3443" i="34"/>
  <c r="Q3437" i="34"/>
  <c r="U3437" i="34"/>
  <c r="Z3437" i="34"/>
  <c r="O3437" i="34"/>
  <c r="P3437" i="34"/>
  <c r="A3437" i="34"/>
  <c r="Q3356" i="34"/>
  <c r="U3356" i="34"/>
  <c r="Z3356" i="34"/>
  <c r="O3356" i="34"/>
  <c r="P3356" i="34"/>
  <c r="A3356" i="34"/>
  <c r="Q3352" i="34"/>
  <c r="U3352" i="34"/>
  <c r="Z3352" i="34"/>
  <c r="O3352" i="34"/>
  <c r="P3352" i="34"/>
  <c r="A3352" i="34"/>
  <c r="Q3348" i="34"/>
  <c r="U3348" i="34"/>
  <c r="Z3348" i="34"/>
  <c r="O3348" i="34"/>
  <c r="P3348" i="34"/>
  <c r="A3348" i="34"/>
  <c r="Q3344" i="34"/>
  <c r="U3344" i="34"/>
  <c r="Z3344" i="34"/>
  <c r="O3344" i="34"/>
  <c r="P3344" i="34"/>
  <c r="A3344" i="34"/>
  <c r="Q3340" i="34"/>
  <c r="U3340" i="34"/>
  <c r="Z3340" i="34"/>
  <c r="O3340" i="34"/>
  <c r="P3340" i="34"/>
  <c r="A3340" i="34"/>
  <c r="Q3336" i="34"/>
  <c r="U3336" i="34"/>
  <c r="Z3336" i="34"/>
  <c r="O3336" i="34"/>
  <c r="P3336" i="34"/>
  <c r="A3336" i="34"/>
  <c r="Q3332" i="34"/>
  <c r="U3332" i="34"/>
  <c r="Z3332" i="34"/>
  <c r="O3332" i="34"/>
  <c r="P3332" i="34"/>
  <c r="A3332" i="34"/>
  <c r="Q3328" i="34"/>
  <c r="U3328" i="34"/>
  <c r="Z3328" i="34"/>
  <c r="O3328" i="34"/>
  <c r="P3328" i="34"/>
  <c r="A3328" i="34"/>
  <c r="Q3324" i="34"/>
  <c r="U3324" i="34"/>
  <c r="Z3324" i="34"/>
  <c r="O3324" i="34"/>
  <c r="P3324" i="34"/>
  <c r="A3324" i="34"/>
  <c r="Q3320" i="34"/>
  <c r="U3320" i="34"/>
  <c r="Z3320" i="34"/>
  <c r="O3320" i="34"/>
  <c r="P3320" i="34"/>
  <c r="A3320" i="34"/>
  <c r="Q3316" i="34"/>
  <c r="U3316" i="34"/>
  <c r="Z3316" i="34"/>
  <c r="O3316" i="34"/>
  <c r="P3316" i="34"/>
  <c r="A3316" i="34"/>
  <c r="Q3312" i="34"/>
  <c r="U3312" i="34"/>
  <c r="Z3312" i="34"/>
  <c r="O3312" i="34"/>
  <c r="P3312" i="34"/>
  <c r="A3312" i="34"/>
  <c r="Q3288" i="34"/>
  <c r="U3288" i="34"/>
  <c r="Z3288" i="34"/>
  <c r="O3288" i="34"/>
  <c r="P3288" i="34"/>
  <c r="A3288" i="34"/>
  <c r="Q3281" i="34"/>
  <c r="U3281" i="34"/>
  <c r="Z3281" i="34"/>
  <c r="O3281" i="34"/>
  <c r="P3281" i="34"/>
  <c r="A3281" i="34"/>
  <c r="Q3277" i="34"/>
  <c r="U3277" i="34"/>
  <c r="Z3277" i="34"/>
  <c r="O3277" i="34"/>
  <c r="P3277" i="34"/>
  <c r="A3277" i="34"/>
  <c r="Q3397" i="34"/>
  <c r="U3397" i="34"/>
  <c r="Z3397" i="34"/>
  <c r="O3397" i="34"/>
  <c r="P3397" i="34"/>
  <c r="A3397" i="34"/>
  <c r="Q3007" i="34"/>
  <c r="U3007" i="34"/>
  <c r="Z3007" i="34"/>
  <c r="P3007" i="34"/>
  <c r="O3007" i="34"/>
  <c r="A3007" i="34"/>
  <c r="Q2959" i="34"/>
  <c r="U2959" i="34"/>
  <c r="Z2959" i="34"/>
  <c r="P2959" i="34"/>
  <c r="O2959" i="34"/>
  <c r="A2959" i="34"/>
  <c r="Q2993" i="34"/>
  <c r="U2993" i="34"/>
  <c r="Z2993" i="34"/>
  <c r="O2993" i="34"/>
  <c r="P2993" i="34"/>
  <c r="A2993" i="34"/>
  <c r="Q2923" i="34"/>
  <c r="U2923" i="34"/>
  <c r="Z2923" i="34"/>
  <c r="P2923" i="34"/>
  <c r="O2923" i="34"/>
  <c r="A2923" i="34"/>
  <c r="Q2956" i="34"/>
  <c r="U2956" i="34"/>
  <c r="Z2956" i="34"/>
  <c r="O2956" i="34"/>
  <c r="P2956" i="34"/>
  <c r="A2956" i="34"/>
  <c r="Q2957" i="34"/>
  <c r="U2957" i="34"/>
  <c r="Z2957" i="34"/>
  <c r="O2957" i="34"/>
  <c r="P2957" i="34"/>
  <c r="A2957" i="34"/>
  <c r="Q2953" i="34"/>
  <c r="U2953" i="34"/>
  <c r="Z2953" i="34"/>
  <c r="O2953" i="34"/>
  <c r="P2953" i="34"/>
  <c r="A2953" i="34"/>
  <c r="Q2981" i="34"/>
  <c r="U2981" i="34"/>
  <c r="Z2981" i="34"/>
  <c r="O2981" i="34"/>
  <c r="P2981" i="34"/>
  <c r="A2981" i="34"/>
  <c r="Q3005" i="34"/>
  <c r="U3005" i="34"/>
  <c r="Z3005" i="34"/>
  <c r="O3005" i="34"/>
  <c r="P3005" i="34"/>
  <c r="A3005" i="34"/>
  <c r="Q2967" i="34"/>
  <c r="U2967" i="34"/>
  <c r="Z2967" i="34"/>
  <c r="P2967" i="34"/>
  <c r="O2967" i="34"/>
  <c r="A2967" i="34"/>
  <c r="Q2943" i="34"/>
  <c r="U2943" i="34"/>
  <c r="Z2943" i="34"/>
  <c r="P2943" i="34"/>
  <c r="O2943" i="34"/>
  <c r="A2943" i="34"/>
  <c r="Q2964" i="34"/>
  <c r="U2964" i="34"/>
  <c r="Z2964" i="34"/>
  <c r="O2964" i="34"/>
  <c r="P2964" i="34"/>
  <c r="A2964" i="34"/>
  <c r="Q2969" i="34"/>
  <c r="U2969" i="34"/>
  <c r="Z2969" i="34"/>
  <c r="O2969" i="34"/>
  <c r="P2969" i="34"/>
  <c r="A2969" i="34"/>
  <c r="Q2955" i="34"/>
  <c r="U2955" i="34"/>
  <c r="Z2955" i="34"/>
  <c r="P2955" i="34"/>
  <c r="O2955" i="34"/>
  <c r="A2955" i="34"/>
  <c r="Q2971" i="34"/>
  <c r="U2971" i="34"/>
  <c r="Z2971" i="34"/>
  <c r="P2971" i="34"/>
  <c r="O2971" i="34"/>
  <c r="A2971" i="34"/>
  <c r="Q2935" i="34"/>
  <c r="U2935" i="34"/>
  <c r="Z2935" i="34"/>
  <c r="P2935" i="34"/>
  <c r="O2935" i="34"/>
  <c r="A2935" i="34"/>
  <c r="Q2997" i="34"/>
  <c r="U2997" i="34"/>
  <c r="Z2997" i="34"/>
  <c r="O2997" i="34"/>
  <c r="P2997" i="34"/>
  <c r="A2997" i="34"/>
  <c r="Q2892" i="34"/>
  <c r="U2892" i="34"/>
  <c r="Z2892" i="34"/>
  <c r="O2892" i="34"/>
  <c r="P2892" i="34"/>
  <c r="A2892" i="34"/>
  <c r="Q2952" i="34"/>
  <c r="U2952" i="34"/>
  <c r="Z2952" i="34"/>
  <c r="O2952" i="34"/>
  <c r="P2952" i="34"/>
  <c r="A2952" i="34"/>
  <c r="O2084" i="34"/>
  <c r="P2084" i="34"/>
  <c r="Q2084" i="34"/>
  <c r="U2084" i="34"/>
  <c r="Z2084" i="34"/>
  <c r="A2084" i="34"/>
  <c r="Q3480" i="34"/>
  <c r="U3480" i="34"/>
  <c r="Z3480" i="34"/>
  <c r="P3480" i="34"/>
  <c r="O3480" i="34"/>
  <c r="A3480" i="34"/>
  <c r="Q3448" i="34"/>
  <c r="U3448" i="34"/>
  <c r="Z3448" i="34"/>
  <c r="P3448" i="34"/>
  <c r="O3448" i="34"/>
  <c r="A3448" i="34"/>
  <c r="Q3287" i="34"/>
  <c r="U3287" i="34"/>
  <c r="Z3287" i="34"/>
  <c r="P3287" i="34"/>
  <c r="O3287" i="34"/>
  <c r="A3287" i="34"/>
  <c r="Q2334" i="34"/>
  <c r="U2334" i="34"/>
  <c r="Z2334" i="34"/>
  <c r="O2334" i="34"/>
  <c r="P2334" i="34"/>
  <c r="A2334" i="34"/>
  <c r="Q2337" i="34"/>
  <c r="U2337" i="34"/>
  <c r="Z2337" i="34"/>
  <c r="O2337" i="34"/>
  <c r="P2337" i="34"/>
  <c r="A2337" i="34"/>
  <c r="Q3433" i="34"/>
  <c r="U3433" i="34"/>
  <c r="Z3433" i="34"/>
  <c r="O3433" i="34"/>
  <c r="P3433" i="34"/>
  <c r="A3433" i="34"/>
  <c r="Q3378" i="34"/>
  <c r="U3378" i="34"/>
  <c r="Z3378" i="34"/>
  <c r="O3378" i="34"/>
  <c r="P3378" i="34"/>
  <c r="A3378" i="34"/>
  <c r="Q3430" i="34"/>
  <c r="U3430" i="34"/>
  <c r="Z3430" i="34"/>
  <c r="O3430" i="34"/>
  <c r="P3430" i="34"/>
  <c r="A3430" i="34"/>
  <c r="Q3426" i="34"/>
  <c r="U3426" i="34"/>
  <c r="Z3426" i="34"/>
  <c r="O3426" i="34"/>
  <c r="P3426" i="34"/>
  <c r="A3426" i="34"/>
  <c r="Q3420" i="34"/>
  <c r="U3420" i="34"/>
  <c r="Z3420" i="34"/>
  <c r="P3420" i="34"/>
  <c r="O3420" i="34"/>
  <c r="A3420" i="34"/>
  <c r="O4330" i="34"/>
  <c r="P4330" i="34"/>
  <c r="Q4330" i="34"/>
  <c r="U4330" i="34"/>
  <c r="Z4330" i="34"/>
  <c r="A4330" i="34"/>
  <c r="O4326" i="34"/>
  <c r="P4326" i="34"/>
  <c r="Q4326" i="34"/>
  <c r="U4326" i="34"/>
  <c r="Z4326" i="34"/>
  <c r="A4326" i="34"/>
  <c r="O4322" i="34"/>
  <c r="P4322" i="34"/>
  <c r="Q4322" i="34"/>
  <c r="U4322" i="34"/>
  <c r="Z4322" i="34"/>
  <c r="A4322" i="34"/>
  <c r="O4304" i="34"/>
  <c r="P4304" i="34"/>
  <c r="Q4304" i="34"/>
  <c r="U4304" i="34"/>
  <c r="Z4304" i="34"/>
  <c r="A4304" i="34"/>
  <c r="O4300" i="34"/>
  <c r="P4300" i="34"/>
  <c r="Q4300" i="34"/>
  <c r="U4300" i="34"/>
  <c r="Z4300" i="34"/>
  <c r="A4300" i="34"/>
  <c r="O4296" i="34"/>
  <c r="P4296" i="34"/>
  <c r="Q4296" i="34"/>
  <c r="U4296" i="34"/>
  <c r="Z4296" i="34"/>
  <c r="A4296" i="34"/>
  <c r="O4292" i="34"/>
  <c r="P4292" i="34"/>
  <c r="Q4292" i="34"/>
  <c r="U4292" i="34"/>
  <c r="Z4292" i="34"/>
  <c r="A4292" i="34"/>
  <c r="O4288" i="34"/>
  <c r="P4288" i="34"/>
  <c r="Q4288" i="34"/>
  <c r="U4288" i="34"/>
  <c r="Z4288" i="34"/>
  <c r="A4288" i="34"/>
  <c r="O4283" i="34"/>
  <c r="P4283" i="34"/>
  <c r="Q4283" i="34"/>
  <c r="U4283" i="34"/>
  <c r="Z4283" i="34"/>
  <c r="A4283" i="34"/>
  <c r="O4279" i="34"/>
  <c r="P4279" i="34"/>
  <c r="Q4279" i="34"/>
  <c r="U4279" i="34"/>
  <c r="Z4279" i="34"/>
  <c r="A4279" i="34"/>
  <c r="O4275" i="34"/>
  <c r="P4275" i="34"/>
  <c r="Q4275" i="34"/>
  <c r="U4275" i="34"/>
  <c r="Z4275" i="34"/>
  <c r="A4275" i="34"/>
  <c r="O4271" i="34"/>
  <c r="P4271" i="34"/>
  <c r="Q4271" i="34"/>
  <c r="U4271" i="34"/>
  <c r="Z4271" i="34"/>
  <c r="A4271" i="34"/>
  <c r="O4267" i="34"/>
  <c r="P4267" i="34"/>
  <c r="Q4267" i="34"/>
  <c r="U4267" i="34"/>
  <c r="Z4267" i="34"/>
  <c r="A4267" i="34"/>
  <c r="O4263" i="34"/>
  <c r="P4263" i="34"/>
  <c r="Q4263" i="34"/>
  <c r="U4263" i="34"/>
  <c r="Z4263" i="34"/>
  <c r="A4263" i="34"/>
  <c r="O4259" i="34"/>
  <c r="P4259" i="34"/>
  <c r="Q4259" i="34"/>
  <c r="U4259" i="34"/>
  <c r="Z4259" i="34"/>
  <c r="A4259" i="34"/>
  <c r="O4255" i="34"/>
  <c r="P4255" i="34"/>
  <c r="Q4255" i="34"/>
  <c r="U4255" i="34"/>
  <c r="Z4255" i="34"/>
  <c r="A4255" i="34"/>
  <c r="O4251" i="34"/>
  <c r="P4251" i="34"/>
  <c r="Q4251" i="34"/>
  <c r="U4251" i="34"/>
  <c r="Z4251" i="34"/>
  <c r="A4251" i="34"/>
  <c r="O4247" i="34"/>
  <c r="P4247" i="34"/>
  <c r="Q4247" i="34"/>
  <c r="U4247" i="34"/>
  <c r="Z4247" i="34"/>
  <c r="A4247" i="34"/>
  <c r="O4114" i="34"/>
  <c r="P4114" i="34"/>
  <c r="Q4114" i="34"/>
  <c r="U4114" i="34"/>
  <c r="Z4114" i="34"/>
  <c r="A4114" i="34"/>
  <c r="O4108" i="34"/>
  <c r="P4108" i="34"/>
  <c r="Q4108" i="34"/>
  <c r="U4108" i="34"/>
  <c r="Z4108" i="34"/>
  <c r="A4108" i="34"/>
  <c r="O4104" i="34"/>
  <c r="P4104" i="34"/>
  <c r="Q4104" i="34"/>
  <c r="U4104" i="34"/>
  <c r="Z4104" i="34"/>
  <c r="A4104" i="34"/>
  <c r="O4100" i="34"/>
  <c r="P4100" i="34"/>
  <c r="Q4100" i="34"/>
  <c r="U4100" i="34"/>
  <c r="Z4100" i="34"/>
  <c r="A4100" i="34"/>
  <c r="O4096" i="34"/>
  <c r="P4096" i="34"/>
  <c r="Q4096" i="34"/>
  <c r="U4096" i="34"/>
  <c r="Z4096" i="34"/>
  <c r="A4096" i="34"/>
  <c r="O3959" i="34"/>
  <c r="P3959" i="34"/>
  <c r="Q3959" i="34"/>
  <c r="U3959" i="34"/>
  <c r="Z3959" i="34"/>
  <c r="A3959" i="34"/>
  <c r="O3955" i="34"/>
  <c r="P3955" i="34"/>
  <c r="Q3955" i="34"/>
  <c r="U3955" i="34"/>
  <c r="Z3955" i="34"/>
  <c r="A3955" i="34"/>
  <c r="O3951" i="34"/>
  <c r="P3951" i="34"/>
  <c r="Q3951" i="34"/>
  <c r="U3951" i="34"/>
  <c r="Z3951" i="34"/>
  <c r="A3951" i="34"/>
  <c r="O3947" i="34"/>
  <c r="P3947" i="34"/>
  <c r="Q3947" i="34"/>
  <c r="U3947" i="34"/>
  <c r="Z3947" i="34"/>
  <c r="A3947" i="34"/>
  <c r="O3943" i="34"/>
  <c r="P3943" i="34"/>
  <c r="Q3943" i="34"/>
  <c r="U3943" i="34"/>
  <c r="Z3943" i="34"/>
  <c r="A3943" i="34"/>
  <c r="Q2865" i="34"/>
  <c r="U2865" i="34"/>
  <c r="Z2865" i="34"/>
  <c r="O2865" i="34"/>
  <c r="P2865" i="34"/>
  <c r="A2865" i="34"/>
  <c r="Q2861" i="34"/>
  <c r="U2861" i="34"/>
  <c r="Z2861" i="34"/>
  <c r="O2861" i="34"/>
  <c r="P2861" i="34"/>
  <c r="A2861" i="34"/>
  <c r="Q2857" i="34"/>
  <c r="U2857" i="34"/>
  <c r="Z2857" i="34"/>
  <c r="O2857" i="34"/>
  <c r="P2857" i="34"/>
  <c r="A2857" i="34"/>
  <c r="Q2853" i="34"/>
  <c r="U2853" i="34"/>
  <c r="Z2853" i="34"/>
  <c r="O2853" i="34"/>
  <c r="P2853" i="34"/>
  <c r="A2853" i="34"/>
  <c r="Q2849" i="34"/>
  <c r="U2849" i="34"/>
  <c r="Z2849" i="34"/>
  <c r="O2849" i="34"/>
  <c r="P2849" i="34"/>
  <c r="A2849" i="34"/>
  <c r="Q2845" i="34"/>
  <c r="U2845" i="34"/>
  <c r="Z2845" i="34"/>
  <c r="O2845" i="34"/>
  <c r="P2845" i="34"/>
  <c r="A2845" i="34"/>
  <c r="Q2841" i="34"/>
  <c r="U2841" i="34"/>
  <c r="Z2841" i="34"/>
  <c r="O2841" i="34"/>
  <c r="P2841" i="34"/>
  <c r="A2841" i="34"/>
  <c r="Q2837" i="34"/>
  <c r="U2837" i="34"/>
  <c r="Z2837" i="34"/>
  <c r="O2837" i="34"/>
  <c r="P2837" i="34"/>
  <c r="A2837" i="34"/>
  <c r="Q2833" i="34"/>
  <c r="U2833" i="34"/>
  <c r="Z2833" i="34"/>
  <c r="O2833" i="34"/>
  <c r="P2833" i="34"/>
  <c r="A2833" i="34"/>
  <c r="Q2829" i="34"/>
  <c r="U2829" i="34"/>
  <c r="Z2829" i="34"/>
  <c r="O2829" i="34"/>
  <c r="P2829" i="34"/>
  <c r="A2829" i="34"/>
  <c r="Q2824" i="34"/>
  <c r="U2824" i="34"/>
  <c r="Z2824" i="34"/>
  <c r="O2824" i="34"/>
  <c r="P2824" i="34"/>
  <c r="A2824" i="34"/>
  <c r="Q2820" i="34"/>
  <c r="U2820" i="34"/>
  <c r="Z2820" i="34"/>
  <c r="O2820" i="34"/>
  <c r="P2820" i="34"/>
  <c r="A2820" i="34"/>
  <c r="Q2816" i="34"/>
  <c r="U2816" i="34"/>
  <c r="Z2816" i="34"/>
  <c r="O2816" i="34"/>
  <c r="P2816" i="34"/>
  <c r="A2816" i="34"/>
  <c r="Q2416" i="34"/>
  <c r="U2416" i="34"/>
  <c r="Z2416" i="34"/>
  <c r="P2416" i="34"/>
  <c r="O2416" i="34"/>
  <c r="A2416" i="34"/>
  <c r="Q2412" i="34"/>
  <c r="U2412" i="34"/>
  <c r="Z2412" i="34"/>
  <c r="P2412" i="34"/>
  <c r="O2412" i="34"/>
  <c r="A2412" i="34"/>
  <c r="Q2408" i="34"/>
  <c r="U2408" i="34"/>
  <c r="Z2408" i="34"/>
  <c r="P2408" i="34"/>
  <c r="O2408" i="34"/>
  <c r="A2408" i="34"/>
  <c r="Q2404" i="34"/>
  <c r="U2404" i="34"/>
  <c r="Z2404" i="34"/>
  <c r="P2404" i="34"/>
  <c r="O2404" i="34"/>
  <c r="A2404" i="34"/>
  <c r="Q2400" i="34"/>
  <c r="U2400" i="34"/>
  <c r="Z2400" i="34"/>
  <c r="P2400" i="34"/>
  <c r="O2400" i="34"/>
  <c r="A2400" i="34"/>
  <c r="Q2396" i="34"/>
  <c r="U2396" i="34"/>
  <c r="Z2396" i="34"/>
  <c r="P2396" i="34"/>
  <c r="O2396" i="34"/>
  <c r="A2396" i="34"/>
  <c r="Q2392" i="34"/>
  <c r="U2392" i="34"/>
  <c r="Z2392" i="34"/>
  <c r="P2392" i="34"/>
  <c r="O2392" i="34"/>
  <c r="A2392" i="34"/>
  <c r="Q2388" i="34"/>
  <c r="U2388" i="34"/>
  <c r="Z2388" i="34"/>
  <c r="P2388" i="34"/>
  <c r="O2388" i="34"/>
  <c r="A2388" i="34"/>
  <c r="Q2384" i="34"/>
  <c r="U2384" i="34"/>
  <c r="Z2384" i="34"/>
  <c r="P2384" i="34"/>
  <c r="O2384" i="34"/>
  <c r="A2384" i="34"/>
  <c r="Q2380" i="34"/>
  <c r="U2380" i="34"/>
  <c r="Z2380" i="34"/>
  <c r="P2380" i="34"/>
  <c r="O2380" i="34"/>
  <c r="A2380" i="34"/>
  <c r="Q2376" i="34"/>
  <c r="U2376" i="34"/>
  <c r="Z2376" i="34"/>
  <c r="P2376" i="34"/>
  <c r="O2376" i="34"/>
  <c r="A2376" i="34"/>
  <c r="Q2372" i="34"/>
  <c r="U2372" i="34"/>
  <c r="Z2372" i="34"/>
  <c r="P2372" i="34"/>
  <c r="O2372" i="34"/>
  <c r="A2372" i="34"/>
  <c r="Q2368" i="34"/>
  <c r="U2368" i="34"/>
  <c r="Z2368" i="34"/>
  <c r="P2368" i="34"/>
  <c r="O2368" i="34"/>
  <c r="A2368" i="34"/>
  <c r="Q2364" i="34"/>
  <c r="U2364" i="34"/>
  <c r="Z2364" i="34"/>
  <c r="P2364" i="34"/>
  <c r="O2364" i="34"/>
  <c r="A2364" i="34"/>
  <c r="Q2360" i="34"/>
  <c r="U2360" i="34"/>
  <c r="Z2360" i="34"/>
  <c r="P2360" i="34"/>
  <c r="O2360" i="34"/>
  <c r="A2360" i="34"/>
  <c r="Q2356" i="34"/>
  <c r="U2356" i="34"/>
  <c r="Z2356" i="34"/>
  <c r="P2356" i="34"/>
  <c r="O2356" i="34"/>
  <c r="A2356" i="34"/>
  <c r="Q2352" i="34"/>
  <c r="U2352" i="34"/>
  <c r="Z2352" i="34"/>
  <c r="P2352" i="34"/>
  <c r="O2352" i="34"/>
  <c r="A2352" i="34"/>
  <c r="Q2348" i="34"/>
  <c r="U2348" i="34"/>
  <c r="Z2348" i="34"/>
  <c r="P2348" i="34"/>
  <c r="O2348" i="34"/>
  <c r="A2348" i="34"/>
  <c r="Q1822" i="34"/>
  <c r="U1822" i="34"/>
  <c r="Z1822" i="34"/>
  <c r="O1822" i="34"/>
  <c r="P1822" i="34"/>
  <c r="A1822" i="34"/>
  <c r="Q1663" i="34"/>
  <c r="U1663" i="34"/>
  <c r="Z1663" i="34"/>
  <c r="O1663" i="34"/>
  <c r="P1663" i="34"/>
  <c r="A1663" i="34"/>
  <c r="Q1743" i="34"/>
  <c r="U1743" i="34"/>
  <c r="Z1743" i="34"/>
  <c r="O1743" i="34"/>
  <c r="P1743" i="34"/>
  <c r="A1743" i="34"/>
  <c r="Q1893" i="34"/>
  <c r="U1893" i="34"/>
  <c r="Z1893" i="34"/>
  <c r="O1893" i="34"/>
  <c r="P1893" i="34"/>
  <c r="A1893" i="34"/>
  <c r="Q1665" i="34"/>
  <c r="U1665" i="34"/>
  <c r="Z1665" i="34"/>
  <c r="O1665" i="34"/>
  <c r="P1665" i="34"/>
  <c r="A1665" i="34"/>
  <c r="Q3008" i="34"/>
  <c r="U3008" i="34"/>
  <c r="Z3008" i="34"/>
  <c r="O3008" i="34"/>
  <c r="P3008" i="34"/>
  <c r="A3008" i="34"/>
  <c r="Q1901" i="34"/>
  <c r="U1901" i="34"/>
  <c r="Z1901" i="34"/>
  <c r="O1901" i="34"/>
  <c r="P1901" i="34"/>
  <c r="A1901" i="34"/>
  <c r="Q1828" i="34"/>
  <c r="U1828" i="34"/>
  <c r="Z1828" i="34"/>
  <c r="P1828" i="34"/>
  <c r="O1828" i="34"/>
  <c r="A1828" i="34"/>
  <c r="Q1813" i="34"/>
  <c r="U1813" i="34"/>
  <c r="Z1813" i="34"/>
  <c r="O1813" i="34"/>
  <c r="P1813" i="34"/>
  <c r="A1813" i="34"/>
  <c r="Q1759" i="34"/>
  <c r="U1759" i="34"/>
  <c r="Z1759" i="34"/>
  <c r="O1759" i="34"/>
  <c r="P1759" i="34"/>
  <c r="A1759" i="34"/>
  <c r="Q1752" i="34"/>
  <c r="U1752" i="34"/>
  <c r="Z1752" i="34"/>
  <c r="P1752" i="34"/>
  <c r="O1752" i="34"/>
  <c r="A1752" i="34"/>
  <c r="Q1742" i="34"/>
  <c r="U1742" i="34"/>
  <c r="Z1742" i="34"/>
  <c r="O1742" i="34"/>
  <c r="P1742" i="34"/>
  <c r="A1742" i="34"/>
  <c r="Q1694" i="34"/>
  <c r="U1694" i="34"/>
  <c r="Z1694" i="34"/>
  <c r="O1694" i="34"/>
  <c r="P1694" i="34"/>
  <c r="A1694" i="34"/>
  <c r="Q1659" i="34"/>
  <c r="U1659" i="34"/>
  <c r="Z1659" i="34"/>
  <c r="O1659" i="34"/>
  <c r="P1659" i="34"/>
  <c r="A1659" i="34"/>
  <c r="P1615" i="34"/>
  <c r="Q1615" i="34"/>
  <c r="U1615" i="34"/>
  <c r="Z1615" i="34"/>
  <c r="O1615" i="34"/>
  <c r="A1615" i="34"/>
  <c r="Q1862" i="34"/>
  <c r="U1862" i="34"/>
  <c r="Z1862" i="34"/>
  <c r="O1862" i="34"/>
  <c r="P1862" i="34"/>
  <c r="A1862" i="34"/>
  <c r="Q1855" i="34"/>
  <c r="U1855" i="34"/>
  <c r="Z1855" i="34"/>
  <c r="O1855" i="34"/>
  <c r="P1855" i="34"/>
  <c r="A1855" i="34"/>
  <c r="Q1852" i="34"/>
  <c r="U1852" i="34"/>
  <c r="Z1852" i="34"/>
  <c r="P1852" i="34"/>
  <c r="O1852" i="34"/>
  <c r="A1852" i="34"/>
  <c r="Q1846" i="34"/>
  <c r="U1846" i="34"/>
  <c r="Z1846" i="34"/>
  <c r="O1846" i="34"/>
  <c r="P1846" i="34"/>
  <c r="A1846" i="34"/>
  <c r="Q1766" i="34"/>
  <c r="U1766" i="34"/>
  <c r="Z1766" i="34"/>
  <c r="O1766" i="34"/>
  <c r="P1766" i="34"/>
  <c r="A1766" i="34"/>
  <c r="Q1762" i="34"/>
  <c r="U1762" i="34"/>
  <c r="Z1762" i="34"/>
  <c r="O1762" i="34"/>
  <c r="P1762" i="34"/>
  <c r="A1762" i="34"/>
  <c r="Q1732" i="34"/>
  <c r="U1732" i="34"/>
  <c r="Z1732" i="34"/>
  <c r="P1732" i="34"/>
  <c r="O1732" i="34"/>
  <c r="A1732" i="34"/>
  <c r="Q1682" i="34"/>
  <c r="U1682" i="34"/>
  <c r="Z1682" i="34"/>
  <c r="O1682" i="34"/>
  <c r="P1682" i="34"/>
  <c r="A1682" i="34"/>
  <c r="Q1677" i="34"/>
  <c r="U1677" i="34"/>
  <c r="Z1677" i="34"/>
  <c r="O1677" i="34"/>
  <c r="P1677" i="34"/>
  <c r="A1677" i="34"/>
  <c r="Q1671" i="34"/>
  <c r="U1671" i="34"/>
  <c r="Z1671" i="34"/>
  <c r="O1671" i="34"/>
  <c r="P1671" i="34"/>
  <c r="A1671" i="34"/>
  <c r="Q1843" i="34"/>
  <c r="U1843" i="34"/>
  <c r="Z1843" i="34"/>
  <c r="O1843" i="34"/>
  <c r="P1843" i="34"/>
  <c r="A1843" i="34"/>
  <c r="P1614" i="34"/>
  <c r="Q1614" i="34"/>
  <c r="U1614" i="34"/>
  <c r="Z1614" i="34"/>
  <c r="O1614" i="34"/>
  <c r="A1614" i="34"/>
  <c r="Q1658" i="34"/>
  <c r="U1658" i="34"/>
  <c r="Z1658" i="34"/>
  <c r="O1658" i="34"/>
  <c r="P1658" i="34"/>
  <c r="A1658" i="34"/>
  <c r="Q1657" i="34"/>
  <c r="U1657" i="34"/>
  <c r="Z1657" i="34"/>
  <c r="O1657" i="34"/>
  <c r="P1657" i="34"/>
  <c r="A1657" i="34"/>
  <c r="P1649" i="34"/>
  <c r="Q1649" i="34"/>
  <c r="U1649" i="34"/>
  <c r="Z1649" i="34"/>
  <c r="O1649" i="34"/>
  <c r="A1649" i="34"/>
  <c r="P1653" i="34"/>
  <c r="Q1653" i="34"/>
  <c r="U1653" i="34"/>
  <c r="Z1653" i="34"/>
  <c r="O1653" i="34"/>
  <c r="A1653" i="34"/>
  <c r="P1634" i="34"/>
  <c r="Q1634" i="34"/>
  <c r="U1634" i="34"/>
  <c r="Z1634" i="34"/>
  <c r="O1634" i="34"/>
  <c r="A1634" i="34"/>
  <c r="P1638" i="34"/>
  <c r="Q1638" i="34"/>
  <c r="U1638" i="34"/>
  <c r="Z1638" i="34"/>
  <c r="O1638" i="34"/>
  <c r="A1638" i="34"/>
  <c r="P1642" i="34"/>
  <c r="Q1642" i="34"/>
  <c r="U1642" i="34"/>
  <c r="Z1642" i="34"/>
  <c r="O1642" i="34"/>
  <c r="A1642" i="34"/>
  <c r="Q1930" i="34"/>
  <c r="U1930" i="34"/>
  <c r="Z1930" i="34"/>
  <c r="O1930" i="34"/>
  <c r="P1930" i="34"/>
  <c r="A1930" i="34"/>
  <c r="Q1928" i="34"/>
  <c r="U1928" i="34"/>
  <c r="Z1928" i="34"/>
  <c r="P1928" i="34"/>
  <c r="O1928" i="34"/>
  <c r="A1928" i="34"/>
  <c r="Q1922" i="34"/>
  <c r="U1922" i="34"/>
  <c r="Z1922" i="34"/>
  <c r="O1922" i="34"/>
  <c r="P1922" i="34"/>
  <c r="A1922" i="34"/>
  <c r="Q1903" i="34"/>
  <c r="U1903" i="34"/>
  <c r="Z1903" i="34"/>
  <c r="O1903" i="34"/>
  <c r="P1903" i="34"/>
  <c r="A1903" i="34"/>
  <c r="Q1908" i="34"/>
  <c r="U1908" i="34"/>
  <c r="Z1908" i="34"/>
  <c r="P1908" i="34"/>
  <c r="O1908" i="34"/>
  <c r="A1908" i="34"/>
  <c r="Q1914" i="34"/>
  <c r="U1914" i="34"/>
  <c r="Z1914" i="34"/>
  <c r="O1914" i="34"/>
  <c r="P1914" i="34"/>
  <c r="A1914" i="34"/>
  <c r="Q1755" i="34"/>
  <c r="U1755" i="34"/>
  <c r="Z1755" i="34"/>
  <c r="O1755" i="34"/>
  <c r="P1755" i="34"/>
  <c r="A1755" i="34"/>
  <c r="Q1891" i="34"/>
  <c r="U1891" i="34"/>
  <c r="Z1891" i="34"/>
  <c r="O1891" i="34"/>
  <c r="P1891" i="34"/>
  <c r="A1891" i="34"/>
  <c r="Q3387" i="34"/>
  <c r="U3387" i="34"/>
  <c r="Z3387" i="34"/>
  <c r="O3387" i="34"/>
  <c r="P3387" i="34"/>
  <c r="A3387" i="34"/>
  <c r="Q3294" i="34"/>
  <c r="U3294" i="34"/>
  <c r="Z3294" i="34"/>
  <c r="O3294" i="34"/>
  <c r="P3294" i="34"/>
  <c r="A3294" i="34"/>
  <c r="Q3306" i="34"/>
  <c r="U3306" i="34"/>
  <c r="Z3306" i="34"/>
  <c r="O3306" i="34"/>
  <c r="P3306" i="34"/>
  <c r="A3306" i="34"/>
  <c r="Q3302" i="34"/>
  <c r="U3302" i="34"/>
  <c r="Z3302" i="34"/>
  <c r="O3302" i="34"/>
  <c r="P3302" i="34"/>
  <c r="A3302" i="34"/>
  <c r="Q3298" i="34"/>
  <c r="U3298" i="34"/>
  <c r="Z3298" i="34"/>
  <c r="O3298" i="34"/>
  <c r="P3298" i="34"/>
  <c r="A3298" i="34"/>
  <c r="O4345" i="34"/>
  <c r="P4345" i="34"/>
  <c r="Q4345" i="34"/>
  <c r="U4345" i="34"/>
  <c r="Z4345" i="34"/>
  <c r="A4345" i="34"/>
  <c r="O4355" i="34"/>
  <c r="Q4355" i="34"/>
  <c r="U4355" i="34"/>
  <c r="Z4355" i="34"/>
  <c r="P4355" i="34"/>
  <c r="A4355" i="34"/>
  <c r="O4351" i="34"/>
  <c r="P4351" i="34"/>
  <c r="Q4351" i="34"/>
  <c r="U4351" i="34"/>
  <c r="Z4351" i="34"/>
  <c r="A4351" i="34"/>
  <c r="O4347" i="34"/>
  <c r="P4347" i="34"/>
  <c r="Q4347" i="34"/>
  <c r="U4347" i="34"/>
  <c r="Z4347" i="34"/>
  <c r="A4347" i="34"/>
  <c r="Q2903" i="34"/>
  <c r="U2903" i="34"/>
  <c r="Z2903" i="34"/>
  <c r="P2903" i="34"/>
  <c r="O2903" i="34"/>
  <c r="A2903" i="34"/>
  <c r="Q2907" i="34"/>
  <c r="U2907" i="34"/>
  <c r="Z2907" i="34"/>
  <c r="P2907" i="34"/>
  <c r="O2907" i="34"/>
  <c r="A2907" i="34"/>
  <c r="Q2911" i="34"/>
  <c r="U2911" i="34"/>
  <c r="Z2911" i="34"/>
  <c r="P2911" i="34"/>
  <c r="O2911" i="34"/>
  <c r="A2911" i="34"/>
  <c r="Q2915" i="34"/>
  <c r="U2915" i="34"/>
  <c r="Z2915" i="34"/>
  <c r="P2915" i="34"/>
  <c r="O2915" i="34"/>
  <c r="A2915" i="34"/>
  <c r="Q1938" i="34"/>
  <c r="U1938" i="34"/>
  <c r="Z1938" i="34"/>
  <c r="O1938" i="34"/>
  <c r="P1938" i="34"/>
  <c r="A1938" i="34"/>
  <c r="Q4755" i="34"/>
  <c r="U4755" i="34"/>
  <c r="Z4755" i="34"/>
  <c r="O4755" i="34"/>
  <c r="P4755" i="34"/>
  <c r="Q4759" i="34"/>
  <c r="U4759" i="34"/>
  <c r="Z4759" i="34"/>
  <c r="O4759" i="34"/>
  <c r="P4759" i="34"/>
  <c r="O2289" i="34"/>
  <c r="P2289" i="34"/>
  <c r="Q2289" i="34"/>
  <c r="U2289" i="34"/>
  <c r="Z2289" i="34"/>
  <c r="A2289" i="34"/>
  <c r="Q2327" i="34"/>
  <c r="U2327" i="34"/>
  <c r="Z2327" i="34"/>
  <c r="O2327" i="34"/>
  <c r="P2327" i="34"/>
  <c r="A2327" i="34"/>
  <c r="Q4484" i="34"/>
  <c r="U4484" i="34"/>
  <c r="Z4484" i="34"/>
  <c r="O4484" i="34"/>
  <c r="P4484" i="34"/>
  <c r="A4484" i="34"/>
  <c r="Q4447" i="34"/>
  <c r="U4447" i="34"/>
  <c r="Z4447" i="34"/>
  <c r="O4447" i="34"/>
  <c r="P4447" i="34"/>
  <c r="A4447" i="34"/>
  <c r="Q4530" i="34"/>
  <c r="U4530" i="34"/>
  <c r="Z4530" i="34"/>
  <c r="P4530" i="34"/>
  <c r="A4530" i="34"/>
  <c r="O4530" i="34"/>
  <c r="Q4556" i="34"/>
  <c r="U4556" i="34"/>
  <c r="Z4556" i="34"/>
  <c r="O4556" i="34"/>
  <c r="P4556" i="34"/>
  <c r="A4556" i="34"/>
  <c r="Q4558" i="34"/>
  <c r="U4558" i="34"/>
  <c r="Z4558" i="34"/>
  <c r="P4558" i="34"/>
  <c r="A4558" i="34"/>
  <c r="O4558" i="34"/>
  <c r="Q4452" i="34"/>
  <c r="U4452" i="34"/>
  <c r="Z4452" i="34"/>
  <c r="O4452" i="34"/>
  <c r="P4452" i="34"/>
  <c r="A4452" i="34"/>
  <c r="Q4456" i="34"/>
  <c r="U4456" i="34"/>
  <c r="Z4456" i="34"/>
  <c r="O4456" i="34"/>
  <c r="P4456" i="34"/>
  <c r="A4456" i="34"/>
  <c r="Q4531" i="34"/>
  <c r="U4531" i="34"/>
  <c r="Z4531" i="34"/>
  <c r="O4531" i="34"/>
  <c r="P4531" i="34"/>
  <c r="A4531" i="34"/>
  <c r="Q4480" i="34"/>
  <c r="U4480" i="34"/>
  <c r="Z4480" i="34"/>
  <c r="O4480" i="34"/>
  <c r="P4480" i="34"/>
  <c r="A4480" i="34"/>
  <c r="Q4486" i="34"/>
  <c r="U4486" i="34"/>
  <c r="Z4486" i="34"/>
  <c r="P4486" i="34"/>
  <c r="A4486" i="34"/>
  <c r="O4486" i="34"/>
  <c r="Q4490" i="34"/>
  <c r="U4490" i="34"/>
  <c r="Z4490" i="34"/>
  <c r="P4490" i="34"/>
  <c r="A4490" i="34"/>
  <c r="O4490" i="34"/>
  <c r="Q4500" i="34"/>
  <c r="U4500" i="34"/>
  <c r="Z4500" i="34"/>
  <c r="O4500" i="34"/>
  <c r="P4500" i="34"/>
  <c r="A4500" i="34"/>
  <c r="Q4547" i="34"/>
  <c r="U4547" i="34"/>
  <c r="Z4547" i="34"/>
  <c r="O4547" i="34"/>
  <c r="P4547" i="34"/>
  <c r="A4547" i="34"/>
  <c r="Q4609" i="34"/>
  <c r="U4609" i="34"/>
  <c r="Z4609" i="34"/>
  <c r="A4609" i="34"/>
  <c r="O4609" i="34"/>
  <c r="P4609" i="34"/>
  <c r="Q4615" i="34"/>
  <c r="U4615" i="34"/>
  <c r="Z4615" i="34"/>
  <c r="O4615" i="34"/>
  <c r="P4615" i="34"/>
  <c r="A4615" i="34"/>
  <c r="Q4692" i="34"/>
  <c r="U4692" i="34"/>
  <c r="Z4692" i="34"/>
  <c r="O4692" i="34"/>
  <c r="P4692" i="34"/>
  <c r="A4692" i="34"/>
  <c r="Q4696" i="34"/>
  <c r="U4696" i="34"/>
  <c r="Z4696" i="34"/>
  <c r="O4696" i="34"/>
  <c r="P4696" i="34"/>
  <c r="A4696" i="34"/>
  <c r="Q4700" i="34"/>
  <c r="U4700" i="34"/>
  <c r="Z4700" i="34"/>
  <c r="O4700" i="34"/>
  <c r="P4700" i="34"/>
  <c r="A4700" i="34"/>
  <c r="Q4704" i="34"/>
  <c r="U4704" i="34"/>
  <c r="Z4704" i="34"/>
  <c r="O4704" i="34"/>
  <c r="P4704" i="34"/>
  <c r="A4704" i="34"/>
  <c r="Q4708" i="34"/>
  <c r="U4708" i="34"/>
  <c r="Z4708" i="34"/>
  <c r="A4708" i="34"/>
  <c r="O4708" i="34"/>
  <c r="P4708" i="34"/>
  <c r="Q4712" i="34"/>
  <c r="U4712" i="34"/>
  <c r="Z4712" i="34"/>
  <c r="O4712" i="34"/>
  <c r="A4712" i="34"/>
  <c r="P4712" i="34"/>
  <c r="Q4716" i="34"/>
  <c r="U4716" i="34"/>
  <c r="Z4716" i="34"/>
  <c r="O4716" i="34"/>
  <c r="P4716" i="34"/>
  <c r="A4716" i="34"/>
  <c r="Q4720" i="34"/>
  <c r="U4720" i="34"/>
  <c r="Z4720" i="34"/>
  <c r="A4720" i="34"/>
  <c r="O4720" i="34"/>
  <c r="P4720" i="34"/>
  <c r="Q4724" i="34"/>
  <c r="U4724" i="34"/>
  <c r="Z4724" i="34"/>
  <c r="O4724" i="34"/>
  <c r="A4724" i="34"/>
  <c r="P4724" i="34"/>
  <c r="Q4728" i="34"/>
  <c r="U4728" i="34"/>
  <c r="Z4728" i="34"/>
  <c r="O4728" i="34"/>
  <c r="P4728" i="34"/>
  <c r="A4728" i="34"/>
  <c r="Q4732" i="34"/>
  <c r="U4732" i="34"/>
  <c r="Z4732" i="34"/>
  <c r="A4732" i="34"/>
  <c r="O4732" i="34"/>
  <c r="P4732" i="34"/>
  <c r="Q4736" i="34"/>
  <c r="U4736" i="34"/>
  <c r="Z4736" i="34"/>
  <c r="O4736" i="34"/>
  <c r="P4736" i="34"/>
  <c r="A4736" i="34"/>
  <c r="Q4740" i="34"/>
  <c r="U4740" i="34"/>
  <c r="Z4740" i="34"/>
  <c r="O4740" i="34"/>
  <c r="P4740" i="34"/>
  <c r="Q4744" i="34"/>
  <c r="U4744" i="34"/>
  <c r="Z4744" i="34"/>
  <c r="O4744" i="34"/>
  <c r="P4744" i="34"/>
  <c r="Q4748" i="34"/>
  <c r="U4748" i="34"/>
  <c r="Z4748" i="34"/>
  <c r="O4748" i="34"/>
  <c r="P4748" i="34"/>
  <c r="Q4752" i="34"/>
  <c r="U4752" i="34"/>
  <c r="Z4752" i="34"/>
  <c r="O4752" i="34"/>
  <c r="P4752" i="34"/>
  <c r="Q4621" i="34"/>
  <c r="U4621" i="34"/>
  <c r="Z4621" i="34"/>
  <c r="A4621" i="34"/>
  <c r="O4621" i="34"/>
  <c r="P4621" i="34"/>
  <c r="Q4625" i="34"/>
  <c r="U4625" i="34"/>
  <c r="Z4625" i="34"/>
  <c r="A4625" i="34"/>
  <c r="O4625" i="34"/>
  <c r="P4625" i="34"/>
  <c r="Q4629" i="34"/>
  <c r="U4629" i="34"/>
  <c r="Z4629" i="34"/>
  <c r="A4629" i="34"/>
  <c r="O4629" i="34"/>
  <c r="P4629" i="34"/>
  <c r="Q4633" i="34"/>
  <c r="U4633" i="34"/>
  <c r="Z4633" i="34"/>
  <c r="A4633" i="34"/>
  <c r="O4633" i="34"/>
  <c r="P4633" i="34"/>
  <c r="Q4637" i="34"/>
  <c r="U4637" i="34"/>
  <c r="Z4637" i="34"/>
  <c r="A4637" i="34"/>
  <c r="O4637" i="34"/>
  <c r="P4637" i="34"/>
  <c r="Q4641" i="34"/>
  <c r="U4641" i="34"/>
  <c r="Z4641" i="34"/>
  <c r="A4641" i="34"/>
  <c r="O4641" i="34"/>
  <c r="P4641" i="34"/>
  <c r="Q4645" i="34"/>
  <c r="U4645" i="34"/>
  <c r="Z4645" i="34"/>
  <c r="A4645" i="34"/>
  <c r="O4645" i="34"/>
  <c r="P4645" i="34"/>
  <c r="Q4649" i="34"/>
  <c r="U4649" i="34"/>
  <c r="Z4649" i="34"/>
  <c r="A4649" i="34"/>
  <c r="O4649" i="34"/>
  <c r="P4649" i="34"/>
  <c r="Q4653" i="34"/>
  <c r="U4653" i="34"/>
  <c r="Z4653" i="34"/>
  <c r="A4653" i="34"/>
  <c r="O4653" i="34"/>
  <c r="P4653" i="34"/>
  <c r="Q4657" i="34"/>
  <c r="U4657" i="34"/>
  <c r="Z4657" i="34"/>
  <c r="A4657" i="34"/>
  <c r="O4657" i="34"/>
  <c r="P4657" i="34"/>
  <c r="Q4661" i="34"/>
  <c r="U4661" i="34"/>
  <c r="Z4661" i="34"/>
  <c r="A4661" i="34"/>
  <c r="O4661" i="34"/>
  <c r="P4661" i="34"/>
  <c r="Q4665" i="34"/>
  <c r="U4665" i="34"/>
  <c r="Z4665" i="34"/>
  <c r="A4665" i="34"/>
  <c r="O4665" i="34"/>
  <c r="P4665" i="34"/>
  <c r="Q4669" i="34"/>
  <c r="U4669" i="34"/>
  <c r="Z4669" i="34"/>
  <c r="A4669" i="34"/>
  <c r="O4669" i="34"/>
  <c r="P4669" i="34"/>
  <c r="Q4673" i="34"/>
  <c r="U4673" i="34"/>
  <c r="Z4673" i="34"/>
  <c r="A4673" i="34"/>
  <c r="O4673" i="34"/>
  <c r="P4673" i="34"/>
  <c r="Q4677" i="34"/>
  <c r="U4677" i="34"/>
  <c r="Z4677" i="34"/>
  <c r="A4677" i="34"/>
  <c r="O4677" i="34"/>
  <c r="P4677" i="34"/>
  <c r="Q4681" i="34"/>
  <c r="U4681" i="34"/>
  <c r="Z4681" i="34"/>
  <c r="A4681" i="34"/>
  <c r="O4681" i="34"/>
  <c r="P4681" i="34"/>
  <c r="Q4685" i="34"/>
  <c r="U4685" i="34"/>
  <c r="Z4685" i="34"/>
  <c r="A4685" i="34"/>
  <c r="O4685" i="34"/>
  <c r="P4685" i="34"/>
  <c r="Q4689" i="34"/>
  <c r="U4689" i="34"/>
  <c r="Z4689" i="34"/>
  <c r="A4689" i="34"/>
  <c r="O4689" i="34"/>
  <c r="P4689" i="34"/>
  <c r="Q4599" i="34"/>
  <c r="U4599" i="34"/>
  <c r="Z4599" i="34"/>
  <c r="O4599" i="34"/>
  <c r="P4599" i="34"/>
  <c r="A4599" i="34"/>
  <c r="Q4594" i="34"/>
  <c r="U4594" i="34"/>
  <c r="Z4594" i="34"/>
  <c r="P4594" i="34"/>
  <c r="A4594" i="34"/>
  <c r="O4594" i="34"/>
  <c r="Q4471" i="34"/>
  <c r="U4471" i="34"/>
  <c r="Z4471" i="34"/>
  <c r="O4471" i="34"/>
  <c r="P4471" i="34"/>
  <c r="A4471" i="34"/>
  <c r="Q4475" i="34"/>
  <c r="U4475" i="34"/>
  <c r="Z4475" i="34"/>
  <c r="O4475" i="34"/>
  <c r="P4475" i="34"/>
  <c r="A4475" i="34"/>
  <c r="Q4590" i="34"/>
  <c r="U4590" i="34"/>
  <c r="Z4590" i="34"/>
  <c r="P4590" i="34"/>
  <c r="A4590" i="34"/>
  <c r="O4590" i="34"/>
  <c r="Q4539" i="34"/>
  <c r="U4539" i="34"/>
  <c r="Z4539" i="34"/>
  <c r="O4539" i="34"/>
  <c r="P4539" i="34"/>
  <c r="A4539" i="34"/>
  <c r="Q4543" i="34"/>
  <c r="U4543" i="34"/>
  <c r="Z4543" i="34"/>
  <c r="O4543" i="34"/>
  <c r="P4543" i="34"/>
  <c r="A4543" i="34"/>
  <c r="Q4580" i="34"/>
  <c r="U4580" i="34"/>
  <c r="Z4580" i="34"/>
  <c r="O4580" i="34"/>
  <c r="P4580" i="34"/>
  <c r="A4580" i="34"/>
  <c r="Q4584" i="34"/>
  <c r="U4584" i="34"/>
  <c r="Z4584" i="34"/>
  <c r="O4584" i="34"/>
  <c r="P4584" i="34"/>
  <c r="A4584" i="34"/>
  <c r="Q4588" i="34"/>
  <c r="U4588" i="34"/>
  <c r="Z4588" i="34"/>
  <c r="O4588" i="34"/>
  <c r="P4588" i="34"/>
  <c r="A4588" i="34"/>
  <c r="Q4562" i="34"/>
  <c r="U4562" i="34"/>
  <c r="Z4562" i="34"/>
  <c r="P4562" i="34"/>
  <c r="A4562" i="34"/>
  <c r="O4562" i="34"/>
  <c r="Q4566" i="34"/>
  <c r="U4566" i="34"/>
  <c r="Z4566" i="34"/>
  <c r="P4566" i="34"/>
  <c r="A4566" i="34"/>
  <c r="O4566" i="34"/>
  <c r="Q4570" i="34"/>
  <c r="U4570" i="34"/>
  <c r="Z4570" i="34"/>
  <c r="P4570" i="34"/>
  <c r="A4570" i="34"/>
  <c r="O4570" i="34"/>
  <c r="Q4574" i="34"/>
  <c r="U4574" i="34"/>
  <c r="Z4574" i="34"/>
  <c r="P4574" i="34"/>
  <c r="A4574" i="34"/>
  <c r="O4574" i="34"/>
  <c r="Q4578" i="34"/>
  <c r="U4578" i="34"/>
  <c r="Z4578" i="34"/>
  <c r="P4578" i="34"/>
  <c r="A4578" i="34"/>
  <c r="O4578" i="34"/>
  <c r="Q4603" i="34"/>
  <c r="U4603" i="34"/>
  <c r="Z4603" i="34"/>
  <c r="O4603" i="34"/>
  <c r="P4603" i="34"/>
  <c r="A4603" i="34"/>
  <c r="Q1692" i="34"/>
  <c r="U1692" i="34"/>
  <c r="Z1692" i="34"/>
  <c r="P1692" i="34"/>
  <c r="O1692" i="34"/>
  <c r="A1692" i="34"/>
  <c r="Q4465" i="34"/>
  <c r="U4465" i="34"/>
  <c r="Z4465" i="34"/>
  <c r="A4465" i="34"/>
  <c r="O4465" i="34"/>
  <c r="P4465" i="34"/>
  <c r="Q1940" i="34"/>
  <c r="U1940" i="34"/>
  <c r="Z1940" i="34"/>
  <c r="P1940" i="34"/>
  <c r="O1940" i="34"/>
  <c r="A1940" i="34"/>
  <c r="O2299" i="34"/>
  <c r="P2299" i="34"/>
  <c r="Q2299" i="34"/>
  <c r="U2299" i="34"/>
  <c r="Z2299" i="34"/>
  <c r="A2299" i="34"/>
  <c r="O2310" i="34"/>
  <c r="P2310" i="34"/>
  <c r="Q2310" i="34"/>
  <c r="U2310" i="34"/>
  <c r="Z2310" i="34"/>
  <c r="A2310" i="34"/>
  <c r="Q2900" i="34"/>
  <c r="U2900" i="34"/>
  <c r="Z2900" i="34"/>
  <c r="O2900" i="34"/>
  <c r="P2900" i="34"/>
  <c r="A2900" i="34"/>
  <c r="Q3456" i="34"/>
  <c r="U3456" i="34"/>
  <c r="Z3456" i="34"/>
  <c r="P3456" i="34"/>
  <c r="O3456" i="34"/>
  <c r="A3456" i="34"/>
  <c r="O3928" i="34"/>
  <c r="P3928" i="34"/>
  <c r="Q3928" i="34"/>
  <c r="U3928" i="34"/>
  <c r="Z3928" i="34"/>
  <c r="A3928" i="34"/>
  <c r="Q4496" i="34"/>
  <c r="U4496" i="34"/>
  <c r="Z4496" i="34"/>
  <c r="O4496" i="34"/>
  <c r="P4496" i="34"/>
  <c r="A4496" i="34"/>
  <c r="Q4513" i="34"/>
  <c r="U4513" i="34"/>
  <c r="Z4513" i="34"/>
  <c r="A4513" i="34"/>
  <c r="O4513" i="34"/>
  <c r="P4513" i="34"/>
  <c r="O2300" i="34"/>
  <c r="P2300" i="34"/>
  <c r="Q2300" i="34"/>
  <c r="U2300" i="34"/>
  <c r="Z2300" i="34"/>
  <c r="A2300" i="34"/>
  <c r="O4343" i="34"/>
  <c r="P4343" i="34"/>
  <c r="Q4343" i="34"/>
  <c r="U4343" i="34"/>
  <c r="Z4343" i="34"/>
  <c r="A4343" i="34"/>
  <c r="Q2021" i="34"/>
  <c r="U2021" i="34"/>
  <c r="Z2021" i="34"/>
  <c r="O2021" i="34"/>
  <c r="P2021" i="34"/>
  <c r="A2021" i="34"/>
  <c r="Q2881" i="34"/>
  <c r="U2881" i="34"/>
  <c r="Z2881" i="34"/>
  <c r="O2881" i="34"/>
  <c r="P2881" i="34"/>
  <c r="A2881" i="34"/>
  <c r="O4340" i="34"/>
  <c r="P4340" i="34"/>
  <c r="Q4340" i="34"/>
  <c r="U4340" i="34"/>
  <c r="Z4340" i="34"/>
  <c r="A4340" i="34"/>
  <c r="Q3476" i="34"/>
  <c r="U3476" i="34"/>
  <c r="Z3476" i="34"/>
  <c r="P3476" i="34"/>
  <c r="O3476" i="34"/>
  <c r="A3476" i="34"/>
  <c r="Q4494" i="34"/>
  <c r="U4494" i="34"/>
  <c r="Z4494" i="34"/>
  <c r="P4494" i="34"/>
  <c r="A4494" i="34"/>
  <c r="O4494" i="34"/>
  <c r="Q139" i="34"/>
  <c r="U139" i="34"/>
  <c r="Z139" i="34"/>
  <c r="P139" i="34"/>
  <c r="O139" i="34"/>
  <c r="A139" i="34"/>
  <c r="Q135" i="34"/>
  <c r="U135" i="34"/>
  <c r="Z135" i="34"/>
  <c r="P135" i="34"/>
  <c r="O135" i="34"/>
  <c r="A135" i="34"/>
  <c r="Q131" i="34"/>
  <c r="U131" i="34"/>
  <c r="Z131" i="34"/>
  <c r="P131" i="34"/>
  <c r="O131" i="34"/>
  <c r="A131" i="34"/>
  <c r="P155" i="34"/>
  <c r="Q155" i="34"/>
  <c r="U155" i="34"/>
  <c r="Z155" i="34"/>
  <c r="O155" i="34"/>
  <c r="A155" i="34"/>
  <c r="P151" i="34"/>
  <c r="Q151" i="34"/>
  <c r="U151" i="34"/>
  <c r="Z151" i="34"/>
  <c r="O151" i="34"/>
  <c r="A151" i="34"/>
  <c r="P147" i="34"/>
  <c r="Q147" i="34"/>
  <c r="U147" i="34"/>
  <c r="Z147" i="34"/>
  <c r="O147" i="34"/>
  <c r="A147" i="34"/>
  <c r="Q143" i="34"/>
  <c r="U143" i="34"/>
  <c r="Z143" i="34"/>
  <c r="P143" i="34"/>
  <c r="O143" i="34"/>
  <c r="A143" i="34"/>
  <c r="P161" i="34"/>
  <c r="Q161" i="34"/>
  <c r="U161" i="34"/>
  <c r="Z161" i="34"/>
  <c r="O161" i="34"/>
  <c r="A161" i="34"/>
  <c r="P157" i="34"/>
  <c r="Q157" i="34"/>
  <c r="U157" i="34"/>
  <c r="Z157" i="34"/>
  <c r="O157" i="34"/>
  <c r="A157" i="34"/>
  <c r="Q1058" i="34"/>
  <c r="U1058" i="34"/>
  <c r="Z1058" i="34"/>
  <c r="O1058" i="34"/>
  <c r="P1058" i="34"/>
  <c r="A1058" i="34"/>
  <c r="P984" i="34"/>
  <c r="Q984" i="34"/>
  <c r="U984" i="34"/>
  <c r="Z984" i="34"/>
  <c r="O984" i="34"/>
  <c r="A984" i="34"/>
  <c r="P980" i="34"/>
  <c r="Q980" i="34"/>
  <c r="U980" i="34"/>
  <c r="Z980" i="34"/>
  <c r="O980" i="34"/>
  <c r="A980" i="34"/>
  <c r="P976" i="34"/>
  <c r="Q976" i="34"/>
  <c r="U976" i="34"/>
  <c r="Z976" i="34"/>
  <c r="O976" i="34"/>
  <c r="A976" i="34"/>
  <c r="P972" i="34"/>
  <c r="Q972" i="34"/>
  <c r="U972" i="34"/>
  <c r="Z972" i="34"/>
  <c r="O972" i="34"/>
  <c r="A972" i="34"/>
  <c r="P968" i="34"/>
  <c r="Q968" i="34"/>
  <c r="U968" i="34"/>
  <c r="Z968" i="34"/>
  <c r="O968" i="34"/>
  <c r="A968" i="34"/>
  <c r="P964" i="34"/>
  <c r="Q964" i="34"/>
  <c r="U964" i="34"/>
  <c r="Z964" i="34"/>
  <c r="O964" i="34"/>
  <c r="A964" i="34"/>
  <c r="P960" i="34"/>
  <c r="Q960" i="34"/>
  <c r="U960" i="34"/>
  <c r="Z960" i="34"/>
  <c r="O960" i="34"/>
  <c r="A960" i="34"/>
  <c r="P956" i="34"/>
  <c r="Q956" i="34"/>
  <c r="U956" i="34"/>
  <c r="Z956" i="34"/>
  <c r="O956" i="34"/>
  <c r="A956" i="34"/>
  <c r="P952" i="34"/>
  <c r="Q952" i="34"/>
  <c r="U952" i="34"/>
  <c r="Z952" i="34"/>
  <c r="O952" i="34"/>
  <c r="A952" i="34"/>
  <c r="P948" i="34"/>
  <c r="Q948" i="34"/>
  <c r="U948" i="34"/>
  <c r="Z948" i="34"/>
  <c r="O948" i="34"/>
  <c r="A948" i="34"/>
  <c r="Q1474" i="34"/>
  <c r="U1474" i="34"/>
  <c r="Z1474" i="34"/>
  <c r="O1474" i="34"/>
  <c r="P1474" i="34"/>
  <c r="A1474" i="34"/>
  <c r="Q1467" i="34"/>
  <c r="U1467" i="34"/>
  <c r="Z1467" i="34"/>
  <c r="O1467" i="34"/>
  <c r="P1467" i="34"/>
  <c r="A1467" i="34"/>
  <c r="Q1470" i="34"/>
  <c r="U1470" i="34"/>
  <c r="Z1470" i="34"/>
  <c r="O1470" i="34"/>
  <c r="P1470" i="34"/>
  <c r="A1470" i="34"/>
  <c r="Q1462" i="34"/>
  <c r="U1462" i="34"/>
  <c r="Z1462" i="34"/>
  <c r="O1462" i="34"/>
  <c r="P1462" i="34"/>
  <c r="A1462" i="34"/>
  <c r="Q1458" i="34"/>
  <c r="U1458" i="34"/>
  <c r="Z1458" i="34"/>
  <c r="O1458" i="34"/>
  <c r="P1458" i="34"/>
  <c r="A1458" i="34"/>
  <c r="Q1415" i="34"/>
  <c r="U1415" i="34"/>
  <c r="Z1415" i="34"/>
  <c r="O1415" i="34"/>
  <c r="P1415" i="34"/>
  <c r="A1415" i="34"/>
  <c r="O1401" i="34"/>
  <c r="P1401" i="34"/>
  <c r="Q1401" i="34"/>
  <c r="U1401" i="34"/>
  <c r="Z1401" i="34"/>
  <c r="A1401" i="34"/>
  <c r="P1312" i="34"/>
  <c r="Q1312" i="34"/>
  <c r="U1312" i="34"/>
  <c r="Z1312" i="34"/>
  <c r="O1312" i="34"/>
  <c r="A1312" i="34"/>
  <c r="P849" i="34"/>
  <c r="Q849" i="34"/>
  <c r="U849" i="34"/>
  <c r="Z849" i="34"/>
  <c r="O849" i="34"/>
  <c r="A849" i="34"/>
  <c r="Q1157" i="34"/>
  <c r="U1157" i="34"/>
  <c r="Z1157" i="34"/>
  <c r="O1157" i="34"/>
  <c r="P1157" i="34"/>
  <c r="A1157" i="34"/>
  <c r="Q1182" i="34"/>
  <c r="U1182" i="34"/>
  <c r="Z1182" i="34"/>
  <c r="O1182" i="34"/>
  <c r="P1182" i="34"/>
  <c r="A1182" i="34"/>
  <c r="Q1169" i="34"/>
  <c r="U1169" i="34"/>
  <c r="Z1169" i="34"/>
  <c r="O1169" i="34"/>
  <c r="P1169" i="34"/>
  <c r="A1169" i="34"/>
  <c r="Q1175" i="34"/>
  <c r="U1175" i="34"/>
  <c r="Z1175" i="34"/>
  <c r="O1175" i="34"/>
  <c r="P1175" i="34"/>
  <c r="A1175" i="34"/>
  <c r="Q1181" i="34"/>
  <c r="U1181" i="34"/>
  <c r="Z1181" i="34"/>
  <c r="O1181" i="34"/>
  <c r="P1181" i="34"/>
  <c r="A1181" i="34"/>
  <c r="Q1145" i="34"/>
  <c r="U1145" i="34"/>
  <c r="Z1145" i="34"/>
  <c r="O1145" i="34"/>
  <c r="P1145" i="34"/>
  <c r="A1145" i="34"/>
  <c r="Q1138" i="34"/>
  <c r="U1138" i="34"/>
  <c r="Z1138" i="34"/>
  <c r="O1138" i="34"/>
  <c r="P1138" i="34"/>
  <c r="A1138" i="34"/>
  <c r="Q1143" i="34"/>
  <c r="U1143" i="34"/>
  <c r="Z1143" i="34"/>
  <c r="O1143" i="34"/>
  <c r="P1143" i="34"/>
  <c r="A1143" i="34"/>
  <c r="Q1154" i="34"/>
  <c r="U1154" i="34"/>
  <c r="Z1154" i="34"/>
  <c r="O1154" i="34"/>
  <c r="P1154" i="34"/>
  <c r="A1154" i="34"/>
  <c r="Q1160" i="34"/>
  <c r="U1160" i="34"/>
  <c r="Z1160" i="34"/>
  <c r="P1160" i="34"/>
  <c r="O1160" i="34"/>
  <c r="A1160" i="34"/>
  <c r="Q1162" i="34"/>
  <c r="U1162" i="34"/>
  <c r="Z1162" i="34"/>
  <c r="O1162" i="34"/>
  <c r="P1162" i="34"/>
  <c r="A1162" i="34"/>
  <c r="Q1164" i="34"/>
  <c r="U1164" i="34"/>
  <c r="Z1164" i="34"/>
  <c r="P1164" i="34"/>
  <c r="O1164" i="34"/>
  <c r="A1164" i="34"/>
  <c r="Q1064" i="34"/>
  <c r="U1064" i="34"/>
  <c r="Z1064" i="34"/>
  <c r="P1064" i="34"/>
  <c r="O1064" i="34"/>
  <c r="A1064" i="34"/>
  <c r="Q1067" i="34"/>
  <c r="U1067" i="34"/>
  <c r="Z1067" i="34"/>
  <c r="O1067" i="34"/>
  <c r="P1067" i="34"/>
  <c r="A1067" i="34"/>
  <c r="Q1073" i="34"/>
  <c r="U1073" i="34"/>
  <c r="Z1073" i="34"/>
  <c r="O1073" i="34"/>
  <c r="P1073" i="34"/>
  <c r="A1073" i="34"/>
  <c r="Q1080" i="34"/>
  <c r="U1080" i="34"/>
  <c r="Z1080" i="34"/>
  <c r="P1080" i="34"/>
  <c r="O1080" i="34"/>
  <c r="A1080" i="34"/>
  <c r="Q1083" i="34"/>
  <c r="U1083" i="34"/>
  <c r="Z1083" i="34"/>
  <c r="O1083" i="34"/>
  <c r="P1083" i="34"/>
  <c r="A1083" i="34"/>
  <c r="Q1089" i="34"/>
  <c r="U1089" i="34"/>
  <c r="Z1089" i="34"/>
  <c r="O1089" i="34"/>
  <c r="P1089" i="34"/>
  <c r="A1089" i="34"/>
  <c r="Q1091" i="34"/>
  <c r="U1091" i="34"/>
  <c r="Z1091" i="34"/>
  <c r="O1091" i="34"/>
  <c r="P1091" i="34"/>
  <c r="A1091" i="34"/>
  <c r="Q1093" i="34"/>
  <c r="U1093" i="34"/>
  <c r="Z1093" i="34"/>
  <c r="O1093" i="34"/>
  <c r="P1093" i="34"/>
  <c r="A1093" i="34"/>
  <c r="Q1126" i="34"/>
  <c r="U1126" i="34"/>
  <c r="Z1126" i="34"/>
  <c r="O1126" i="34"/>
  <c r="P1126" i="34"/>
  <c r="A1126" i="34"/>
  <c r="Q1130" i="34"/>
  <c r="U1130" i="34"/>
  <c r="Z1130" i="34"/>
  <c r="O1130" i="34"/>
  <c r="P1130" i="34"/>
  <c r="A1130" i="34"/>
  <c r="Q1132" i="34"/>
  <c r="U1132" i="34"/>
  <c r="Z1132" i="34"/>
  <c r="P1132" i="34"/>
  <c r="O1132" i="34"/>
  <c r="A1132" i="34"/>
  <c r="P167" i="34"/>
  <c r="Q167" i="34"/>
  <c r="U167" i="34"/>
  <c r="Z167" i="34"/>
  <c r="O167" i="34"/>
  <c r="A167" i="34"/>
  <c r="P171" i="34"/>
  <c r="Q171" i="34"/>
  <c r="U171" i="34"/>
  <c r="Z171" i="34"/>
  <c r="O171" i="34"/>
  <c r="A171" i="34"/>
  <c r="Q189" i="34"/>
  <c r="U189" i="34"/>
  <c r="Z189" i="34"/>
  <c r="O189" i="34"/>
  <c r="P189" i="34"/>
  <c r="A189" i="34"/>
  <c r="Q193" i="34"/>
  <c r="U193" i="34"/>
  <c r="Z193" i="34"/>
  <c r="O193" i="34"/>
  <c r="P193" i="34"/>
  <c r="A193" i="34"/>
  <c r="Q197" i="34"/>
  <c r="U197" i="34"/>
  <c r="Z197" i="34"/>
  <c r="O197" i="34"/>
  <c r="P197" i="34"/>
  <c r="A197" i="34"/>
  <c r="P175" i="34"/>
  <c r="Q175" i="34"/>
  <c r="U175" i="34"/>
  <c r="Z175" i="34"/>
  <c r="O175" i="34"/>
  <c r="A175" i="34"/>
  <c r="P179" i="34"/>
  <c r="Q179" i="34"/>
  <c r="U179" i="34"/>
  <c r="Z179" i="34"/>
  <c r="O179" i="34"/>
  <c r="A179" i="34"/>
  <c r="Q183" i="34"/>
  <c r="U183" i="34"/>
  <c r="Z183" i="34"/>
  <c r="P183" i="34"/>
  <c r="O183" i="34"/>
  <c r="A183" i="34"/>
  <c r="Q187" i="34"/>
  <c r="U187" i="34"/>
  <c r="Z187" i="34"/>
  <c r="P187" i="34"/>
  <c r="O187" i="34"/>
  <c r="A187" i="34"/>
  <c r="P1309" i="34"/>
  <c r="Q1309" i="34"/>
  <c r="U1309" i="34"/>
  <c r="Z1309" i="34"/>
  <c r="O1309" i="34"/>
  <c r="A1309" i="34"/>
  <c r="O1395" i="34"/>
  <c r="P1395" i="34"/>
  <c r="Q1395" i="34"/>
  <c r="U1395" i="34"/>
  <c r="Z1395" i="34"/>
  <c r="A1395" i="34"/>
  <c r="P1571" i="34"/>
  <c r="Q1571" i="34"/>
  <c r="U1571" i="34"/>
  <c r="Z1571" i="34"/>
  <c r="O1571" i="34"/>
  <c r="A1571" i="34"/>
  <c r="Q1411" i="34"/>
  <c r="U1411" i="34"/>
  <c r="Z1411" i="34"/>
  <c r="O1411" i="34"/>
  <c r="P1411" i="34"/>
  <c r="A1411" i="34"/>
  <c r="Q1407" i="34"/>
  <c r="U1407" i="34"/>
  <c r="Z1407" i="34"/>
  <c r="O1407" i="34"/>
  <c r="P1407" i="34"/>
  <c r="A1407" i="34"/>
  <c r="P1318" i="34"/>
  <c r="Q1318" i="34"/>
  <c r="U1318" i="34"/>
  <c r="Z1318" i="34"/>
  <c r="O1318" i="34"/>
  <c r="A1318" i="34"/>
  <c r="P1314" i="34"/>
  <c r="Q1314" i="34"/>
  <c r="U1314" i="34"/>
  <c r="Z1314" i="34"/>
  <c r="O1314" i="34"/>
  <c r="A1314" i="34"/>
  <c r="P1302" i="34"/>
  <c r="Q1302" i="34"/>
  <c r="U1302" i="34"/>
  <c r="Z1302" i="34"/>
  <c r="O1302" i="34"/>
  <c r="A1302" i="34"/>
  <c r="O1385" i="34"/>
  <c r="P1385" i="34"/>
  <c r="Q1385" i="34"/>
  <c r="U1385" i="34"/>
  <c r="Z1385" i="34"/>
  <c r="A1385" i="34"/>
  <c r="O1389" i="34"/>
  <c r="P1389" i="34"/>
  <c r="Q1389" i="34"/>
  <c r="U1389" i="34"/>
  <c r="Z1389" i="34"/>
  <c r="A1389" i="34"/>
  <c r="P1322" i="34"/>
  <c r="Q1322" i="34"/>
  <c r="U1322" i="34"/>
  <c r="Z1322" i="34"/>
  <c r="O1322" i="34"/>
  <c r="A1322" i="34"/>
  <c r="Q1326" i="34"/>
  <c r="U1326" i="34"/>
  <c r="Z1326" i="34"/>
  <c r="O1326" i="34"/>
  <c r="P1326" i="34"/>
  <c r="A1326" i="34"/>
  <c r="Q1330" i="34"/>
  <c r="U1330" i="34"/>
  <c r="Z1330" i="34"/>
  <c r="O1330" i="34"/>
  <c r="P1330" i="34"/>
  <c r="A1330" i="34"/>
  <c r="Q1334" i="34"/>
  <c r="U1334" i="34"/>
  <c r="Z1334" i="34"/>
  <c r="O1334" i="34"/>
  <c r="P1334" i="34"/>
  <c r="A1334" i="34"/>
  <c r="Q1338" i="34"/>
  <c r="U1338" i="34"/>
  <c r="Z1338" i="34"/>
  <c r="O1338" i="34"/>
  <c r="P1338" i="34"/>
  <c r="A1338" i="34"/>
  <c r="Q1342" i="34"/>
  <c r="U1342" i="34"/>
  <c r="Z1342" i="34"/>
  <c r="O1342" i="34"/>
  <c r="P1342" i="34"/>
  <c r="A1342" i="34"/>
  <c r="Q1346" i="34"/>
  <c r="U1346" i="34"/>
  <c r="Z1346" i="34"/>
  <c r="O1346" i="34"/>
  <c r="P1346" i="34"/>
  <c r="A1346" i="34"/>
  <c r="Q1350" i="34"/>
  <c r="U1350" i="34"/>
  <c r="Z1350" i="34"/>
  <c r="O1350" i="34"/>
  <c r="P1350" i="34"/>
  <c r="A1350" i="34"/>
  <c r="Q1354" i="34"/>
  <c r="U1354" i="34"/>
  <c r="Z1354" i="34"/>
  <c r="O1354" i="34"/>
  <c r="P1354" i="34"/>
  <c r="A1354" i="34"/>
  <c r="O1358" i="34"/>
  <c r="P1358" i="34"/>
  <c r="Q1358" i="34"/>
  <c r="U1358" i="34"/>
  <c r="Z1358" i="34"/>
  <c r="A1358" i="34"/>
  <c r="O1362" i="34"/>
  <c r="P1362" i="34"/>
  <c r="Q1362" i="34"/>
  <c r="U1362" i="34"/>
  <c r="Z1362" i="34"/>
  <c r="A1362" i="34"/>
  <c r="O1366" i="34"/>
  <c r="P1366" i="34"/>
  <c r="Q1366" i="34"/>
  <c r="U1366" i="34"/>
  <c r="Z1366" i="34"/>
  <c r="A1366" i="34"/>
  <c r="O1370" i="34"/>
  <c r="P1370" i="34"/>
  <c r="Q1370" i="34"/>
  <c r="U1370" i="34"/>
  <c r="Z1370" i="34"/>
  <c r="A1370" i="34"/>
  <c r="O1374" i="34"/>
  <c r="P1374" i="34"/>
  <c r="Q1374" i="34"/>
  <c r="U1374" i="34"/>
  <c r="Z1374" i="34"/>
  <c r="A1374" i="34"/>
  <c r="O1378" i="34"/>
  <c r="P1378" i="34"/>
  <c r="Q1378" i="34"/>
  <c r="U1378" i="34"/>
  <c r="Z1378" i="34"/>
  <c r="A1378" i="34"/>
  <c r="O1382" i="34"/>
  <c r="P1382" i="34"/>
  <c r="Q1382" i="34"/>
  <c r="U1382" i="34"/>
  <c r="Z1382" i="34"/>
  <c r="A1382" i="34"/>
  <c r="O1393" i="34"/>
  <c r="P1393" i="34"/>
  <c r="Q1393" i="34"/>
  <c r="U1393" i="34"/>
  <c r="Z1393" i="34"/>
  <c r="A1393" i="34"/>
  <c r="Q1564" i="34"/>
  <c r="U1564" i="34"/>
  <c r="Z1564" i="34"/>
  <c r="O1564" i="34"/>
  <c r="P1564" i="34"/>
  <c r="A1564" i="34"/>
  <c r="Q1568" i="34"/>
  <c r="U1568" i="34"/>
  <c r="Z1568" i="34"/>
  <c r="O1568" i="34"/>
  <c r="P1568" i="34"/>
  <c r="A1568" i="34"/>
  <c r="Q1553" i="34"/>
  <c r="U1553" i="34"/>
  <c r="Z1553" i="34"/>
  <c r="P1553" i="34"/>
  <c r="O1553" i="34"/>
  <c r="A1553" i="34"/>
  <c r="Q1557" i="34"/>
  <c r="U1557" i="34"/>
  <c r="Z1557" i="34"/>
  <c r="P1557" i="34"/>
  <c r="O1557" i="34"/>
  <c r="A1557" i="34"/>
  <c r="Q1561" i="34"/>
  <c r="U1561" i="34"/>
  <c r="Z1561" i="34"/>
  <c r="P1561" i="34"/>
  <c r="O1561" i="34"/>
  <c r="A1561" i="34"/>
  <c r="Q1545" i="34"/>
  <c r="U1545" i="34"/>
  <c r="Z1545" i="34"/>
  <c r="P1545" i="34"/>
  <c r="O1545" i="34"/>
  <c r="A1545" i="34"/>
  <c r="Q1549" i="34"/>
  <c r="U1549" i="34"/>
  <c r="Z1549" i="34"/>
  <c r="P1549" i="34"/>
  <c r="O1549" i="34"/>
  <c r="A1549" i="34"/>
  <c r="Q1533" i="34"/>
  <c r="U1533" i="34"/>
  <c r="Z1533" i="34"/>
  <c r="P1533" i="34"/>
  <c r="O1533" i="34"/>
  <c r="A1533" i="34"/>
  <c r="Q1537" i="34"/>
  <c r="U1537" i="34"/>
  <c r="Z1537" i="34"/>
  <c r="P1537" i="34"/>
  <c r="O1537" i="34"/>
  <c r="A1537" i="34"/>
  <c r="Q1541" i="34"/>
  <c r="U1541" i="34"/>
  <c r="Z1541" i="34"/>
  <c r="P1541" i="34"/>
  <c r="O1541" i="34"/>
  <c r="A1541" i="34"/>
  <c r="Q1525" i="34"/>
  <c r="U1525" i="34"/>
  <c r="Z1525" i="34"/>
  <c r="P1525" i="34"/>
  <c r="O1525" i="34"/>
  <c r="A1525" i="34"/>
  <c r="Q1529" i="34"/>
  <c r="U1529" i="34"/>
  <c r="Z1529" i="34"/>
  <c r="P1529" i="34"/>
  <c r="O1529" i="34"/>
  <c r="A1529" i="34"/>
  <c r="Q1513" i="34"/>
  <c r="U1513" i="34"/>
  <c r="Z1513" i="34"/>
  <c r="P1513" i="34"/>
  <c r="O1513" i="34"/>
  <c r="A1513" i="34"/>
  <c r="Q1517" i="34"/>
  <c r="U1517" i="34"/>
  <c r="Z1517" i="34"/>
  <c r="P1517" i="34"/>
  <c r="O1517" i="34"/>
  <c r="A1517" i="34"/>
  <c r="Q1521" i="34"/>
  <c r="U1521" i="34"/>
  <c r="Z1521" i="34"/>
  <c r="P1521" i="34"/>
  <c r="O1521" i="34"/>
  <c r="A1521" i="34"/>
  <c r="Q1505" i="34"/>
  <c r="U1505" i="34"/>
  <c r="Z1505" i="34"/>
  <c r="P1505" i="34"/>
  <c r="O1505" i="34"/>
  <c r="A1505" i="34"/>
  <c r="Q1509" i="34"/>
  <c r="U1509" i="34"/>
  <c r="Z1509" i="34"/>
  <c r="P1509" i="34"/>
  <c r="O1509" i="34"/>
  <c r="A1509" i="34"/>
  <c r="Q1493" i="34"/>
  <c r="U1493" i="34"/>
  <c r="Z1493" i="34"/>
  <c r="P1493" i="34"/>
  <c r="O1493" i="34"/>
  <c r="A1493" i="34"/>
  <c r="Q1497" i="34"/>
  <c r="U1497" i="34"/>
  <c r="Z1497" i="34"/>
  <c r="P1497" i="34"/>
  <c r="O1497" i="34"/>
  <c r="A1497" i="34"/>
  <c r="Q1501" i="34"/>
  <c r="U1501" i="34"/>
  <c r="Z1501" i="34"/>
  <c r="P1501" i="34"/>
  <c r="O1501" i="34"/>
  <c r="A1501" i="34"/>
  <c r="Q1123" i="34"/>
  <c r="U1123" i="34"/>
  <c r="Z1123" i="34"/>
  <c r="O1123" i="34"/>
  <c r="P1123" i="34"/>
  <c r="A1123" i="34"/>
  <c r="Q1121" i="34"/>
  <c r="U1121" i="34"/>
  <c r="Z1121" i="34"/>
  <c r="O1121" i="34"/>
  <c r="P1121" i="34"/>
  <c r="A1121" i="34"/>
  <c r="Q1108" i="34"/>
  <c r="U1108" i="34"/>
  <c r="Z1108" i="34"/>
  <c r="P1108" i="34"/>
  <c r="O1108" i="34"/>
  <c r="A1108" i="34"/>
  <c r="Q1110" i="34"/>
  <c r="U1110" i="34"/>
  <c r="Z1110" i="34"/>
  <c r="O1110" i="34"/>
  <c r="P1110" i="34"/>
  <c r="A1110" i="34"/>
  <c r="Q1112" i="34"/>
  <c r="U1112" i="34"/>
  <c r="Z1112" i="34"/>
  <c r="P1112" i="34"/>
  <c r="O1112" i="34"/>
  <c r="A1112" i="34"/>
  <c r="Q1114" i="34"/>
  <c r="U1114" i="34"/>
  <c r="Z1114" i="34"/>
  <c r="O1114" i="34"/>
  <c r="P1114" i="34"/>
  <c r="A1114" i="34"/>
  <c r="Q1116" i="34"/>
  <c r="U1116" i="34"/>
  <c r="Z1116" i="34"/>
  <c r="P1116" i="34"/>
  <c r="O1116" i="34"/>
  <c r="A1116" i="34"/>
  <c r="Q1099" i="34"/>
  <c r="U1099" i="34"/>
  <c r="Z1099" i="34"/>
  <c r="O1099" i="34"/>
  <c r="P1099" i="34"/>
  <c r="A1099" i="34"/>
  <c r="Q1101" i="34"/>
  <c r="U1101" i="34"/>
  <c r="Z1101" i="34"/>
  <c r="O1101" i="34"/>
  <c r="P1101" i="34"/>
  <c r="A1101" i="34"/>
  <c r="Q1103" i="34"/>
  <c r="U1103" i="34"/>
  <c r="Z1103" i="34"/>
  <c r="O1103" i="34"/>
  <c r="P1103" i="34"/>
  <c r="A1103" i="34"/>
  <c r="Q1105" i="34"/>
  <c r="U1105" i="34"/>
  <c r="Z1105" i="34"/>
  <c r="O1105" i="34"/>
  <c r="P1105" i="34"/>
  <c r="A1105" i="34"/>
  <c r="Q1153" i="34"/>
  <c r="U1153" i="34"/>
  <c r="Z1153" i="34"/>
  <c r="O1153" i="34"/>
  <c r="P1153" i="34"/>
  <c r="A1153" i="34"/>
  <c r="Q1050" i="34"/>
  <c r="U1050" i="34"/>
  <c r="Z1050" i="34"/>
  <c r="O1050" i="34"/>
  <c r="P1050" i="34"/>
  <c r="A1050" i="34"/>
  <c r="Q1048" i="34"/>
  <c r="U1048" i="34"/>
  <c r="Z1048" i="34"/>
  <c r="P1048" i="34"/>
  <c r="O1048" i="34"/>
  <c r="A1048" i="34"/>
  <c r="Q1038" i="34"/>
  <c r="U1038" i="34"/>
  <c r="Z1038" i="34"/>
  <c r="O1038" i="34"/>
  <c r="P1038" i="34"/>
  <c r="A1038" i="34"/>
  <c r="Q1040" i="34"/>
  <c r="U1040" i="34"/>
  <c r="Z1040" i="34"/>
  <c r="P1040" i="34"/>
  <c r="O1040" i="34"/>
  <c r="A1040" i="34"/>
  <c r="Q1042" i="34"/>
  <c r="U1042" i="34"/>
  <c r="Z1042" i="34"/>
  <c r="O1042" i="34"/>
  <c r="P1042" i="34"/>
  <c r="A1042" i="34"/>
  <c r="Q1044" i="34"/>
  <c r="U1044" i="34"/>
  <c r="Z1044" i="34"/>
  <c r="P1044" i="34"/>
  <c r="O1044" i="34"/>
  <c r="A1044" i="34"/>
  <c r="Q1046" i="34"/>
  <c r="U1046" i="34"/>
  <c r="Z1046" i="34"/>
  <c r="O1046" i="34"/>
  <c r="P1046" i="34"/>
  <c r="A1046" i="34"/>
  <c r="Q1028" i="34"/>
  <c r="U1028" i="34"/>
  <c r="Z1028" i="34"/>
  <c r="P1028" i="34"/>
  <c r="O1028" i="34"/>
  <c r="A1028" i="34"/>
  <c r="Q1030" i="34"/>
  <c r="U1030" i="34"/>
  <c r="Z1030" i="34"/>
  <c r="O1030" i="34"/>
  <c r="P1030" i="34"/>
  <c r="A1030" i="34"/>
  <c r="Q1032" i="34"/>
  <c r="U1032" i="34"/>
  <c r="Z1032" i="34"/>
  <c r="P1032" i="34"/>
  <c r="O1032" i="34"/>
  <c r="A1032" i="34"/>
  <c r="Q1034" i="34"/>
  <c r="U1034" i="34"/>
  <c r="Z1034" i="34"/>
  <c r="O1034" i="34"/>
  <c r="P1034" i="34"/>
  <c r="A1034" i="34"/>
  <c r="Q1036" i="34"/>
  <c r="U1036" i="34"/>
  <c r="Z1036" i="34"/>
  <c r="P1036" i="34"/>
  <c r="O1036" i="34"/>
  <c r="A1036" i="34"/>
  <c r="Q1018" i="34"/>
  <c r="U1018" i="34"/>
  <c r="Z1018" i="34"/>
  <c r="O1018" i="34"/>
  <c r="P1018" i="34"/>
  <c r="A1018" i="34"/>
  <c r="Q1020" i="34"/>
  <c r="U1020" i="34"/>
  <c r="Z1020" i="34"/>
  <c r="P1020" i="34"/>
  <c r="O1020" i="34"/>
  <c r="A1020" i="34"/>
  <c r="Q1022" i="34"/>
  <c r="U1022" i="34"/>
  <c r="Z1022" i="34"/>
  <c r="O1022" i="34"/>
  <c r="P1022" i="34"/>
  <c r="A1022" i="34"/>
  <c r="Q1024" i="34"/>
  <c r="U1024" i="34"/>
  <c r="Z1024" i="34"/>
  <c r="P1024" i="34"/>
  <c r="O1024" i="34"/>
  <c r="A1024" i="34"/>
  <c r="Q1026" i="34"/>
  <c r="U1026" i="34"/>
  <c r="Z1026" i="34"/>
  <c r="O1026" i="34"/>
  <c r="P1026" i="34"/>
  <c r="A1026" i="34"/>
  <c r="Q1008" i="34"/>
  <c r="U1008" i="34"/>
  <c r="Z1008" i="34"/>
  <c r="P1008" i="34"/>
  <c r="O1008" i="34"/>
  <c r="A1008" i="34"/>
  <c r="Q1010" i="34"/>
  <c r="U1010" i="34"/>
  <c r="Z1010" i="34"/>
  <c r="O1010" i="34"/>
  <c r="P1010" i="34"/>
  <c r="A1010" i="34"/>
  <c r="Q1012" i="34"/>
  <c r="U1012" i="34"/>
  <c r="Z1012" i="34"/>
  <c r="P1012" i="34"/>
  <c r="O1012" i="34"/>
  <c r="A1012" i="34"/>
  <c r="Q1014" i="34"/>
  <c r="U1014" i="34"/>
  <c r="Z1014" i="34"/>
  <c r="O1014" i="34"/>
  <c r="P1014" i="34"/>
  <c r="A1014" i="34"/>
  <c r="Q1016" i="34"/>
  <c r="U1016" i="34"/>
  <c r="Z1016" i="34"/>
  <c r="P1016" i="34"/>
  <c r="O1016" i="34"/>
  <c r="A1016" i="34"/>
  <c r="Q998" i="34"/>
  <c r="U998" i="34"/>
  <c r="Z998" i="34"/>
  <c r="O998" i="34"/>
  <c r="P998" i="34"/>
  <c r="A998" i="34"/>
  <c r="Q1000" i="34"/>
  <c r="U1000" i="34"/>
  <c r="Z1000" i="34"/>
  <c r="P1000" i="34"/>
  <c r="O1000" i="34"/>
  <c r="A1000" i="34"/>
  <c r="Q1002" i="34"/>
  <c r="U1002" i="34"/>
  <c r="Z1002" i="34"/>
  <c r="O1002" i="34"/>
  <c r="P1002" i="34"/>
  <c r="A1002" i="34"/>
  <c r="Q1004" i="34"/>
  <c r="U1004" i="34"/>
  <c r="Z1004" i="34"/>
  <c r="P1004" i="34"/>
  <c r="O1004" i="34"/>
  <c r="A1004" i="34"/>
  <c r="Q1006" i="34"/>
  <c r="U1006" i="34"/>
  <c r="Z1006" i="34"/>
  <c r="O1006" i="34"/>
  <c r="P1006" i="34"/>
  <c r="A1006" i="34"/>
  <c r="P988" i="34"/>
  <c r="Q988" i="34"/>
  <c r="U988" i="34"/>
  <c r="Z988" i="34"/>
  <c r="O988" i="34"/>
  <c r="A988" i="34"/>
  <c r="P990" i="34"/>
  <c r="Q990" i="34"/>
  <c r="U990" i="34"/>
  <c r="Z990" i="34"/>
  <c r="O990" i="34"/>
  <c r="A990" i="34"/>
  <c r="P992" i="34"/>
  <c r="Q992" i="34"/>
  <c r="U992" i="34"/>
  <c r="Z992" i="34"/>
  <c r="O992" i="34"/>
  <c r="A992" i="34"/>
  <c r="P994" i="34"/>
  <c r="Q994" i="34"/>
  <c r="U994" i="34"/>
  <c r="Z994" i="34"/>
  <c r="O994" i="34"/>
  <c r="A994" i="34"/>
  <c r="Q996" i="34"/>
  <c r="U996" i="34"/>
  <c r="Z996" i="34"/>
  <c r="P996" i="34"/>
  <c r="O996" i="34"/>
  <c r="A996" i="34"/>
  <c r="P987" i="34"/>
  <c r="Q987" i="34"/>
  <c r="U987" i="34"/>
  <c r="Z987" i="34"/>
  <c r="O987" i="34"/>
  <c r="A987" i="34"/>
  <c r="Q1192" i="34"/>
  <c r="U1192" i="34"/>
  <c r="Z1192" i="34"/>
  <c r="P1192" i="34"/>
  <c r="O1192" i="34"/>
  <c r="A1192" i="34"/>
  <c r="Q1190" i="34"/>
  <c r="U1190" i="34"/>
  <c r="Z1190" i="34"/>
  <c r="O1190" i="34"/>
  <c r="P1190" i="34"/>
  <c r="A1190" i="34"/>
  <c r="Q1405" i="34"/>
  <c r="U1405" i="34"/>
  <c r="Z1405" i="34"/>
  <c r="P1405" i="34"/>
  <c r="O1405" i="34"/>
  <c r="A1405" i="34"/>
  <c r="Q1427" i="34"/>
  <c r="U1427" i="34"/>
  <c r="Z1427" i="34"/>
  <c r="O1427" i="34"/>
  <c r="P1427" i="34"/>
  <c r="A1427" i="34"/>
  <c r="Q1431" i="34"/>
  <c r="U1431" i="34"/>
  <c r="Z1431" i="34"/>
  <c r="O1431" i="34"/>
  <c r="P1431" i="34"/>
  <c r="A1431" i="34"/>
  <c r="Q1435" i="34"/>
  <c r="U1435" i="34"/>
  <c r="Z1435" i="34"/>
  <c r="O1435" i="34"/>
  <c r="P1435" i="34"/>
  <c r="A1435" i="34"/>
  <c r="Q1439" i="34"/>
  <c r="U1439" i="34"/>
  <c r="Z1439" i="34"/>
  <c r="O1439" i="34"/>
  <c r="P1439" i="34"/>
  <c r="A1439" i="34"/>
  <c r="Q1443" i="34"/>
  <c r="U1443" i="34"/>
  <c r="Z1443" i="34"/>
  <c r="O1443" i="34"/>
  <c r="P1443" i="34"/>
  <c r="A1443" i="34"/>
  <c r="Q1447" i="34"/>
  <c r="U1447" i="34"/>
  <c r="Z1447" i="34"/>
  <c r="O1447" i="34"/>
  <c r="P1447" i="34"/>
  <c r="A1447" i="34"/>
  <c r="Q1451" i="34"/>
  <c r="U1451" i="34"/>
  <c r="Z1451" i="34"/>
  <c r="O1451" i="34"/>
  <c r="P1451" i="34"/>
  <c r="A1451" i="34"/>
  <c r="Q1418" i="34"/>
  <c r="U1418" i="34"/>
  <c r="Z1418" i="34"/>
  <c r="O1418" i="34"/>
  <c r="P1418" i="34"/>
  <c r="A1418" i="34"/>
  <c r="Q1133" i="34"/>
  <c r="U1133" i="34"/>
  <c r="Z1133" i="34"/>
  <c r="O1133" i="34"/>
  <c r="P1133" i="34"/>
  <c r="A1133" i="34"/>
  <c r="Q1285" i="34"/>
  <c r="U1285" i="34"/>
  <c r="Z1285" i="34"/>
  <c r="O1285" i="34"/>
  <c r="P1285" i="34"/>
  <c r="A1285" i="34"/>
  <c r="Q1287" i="34"/>
  <c r="U1287" i="34"/>
  <c r="Z1287" i="34"/>
  <c r="O1287" i="34"/>
  <c r="P1287" i="34"/>
  <c r="A1287" i="34"/>
  <c r="Q1289" i="34"/>
  <c r="U1289" i="34"/>
  <c r="Z1289" i="34"/>
  <c r="O1289" i="34"/>
  <c r="P1289" i="34"/>
  <c r="A1289" i="34"/>
  <c r="Q1291" i="34"/>
  <c r="U1291" i="34"/>
  <c r="Z1291" i="34"/>
  <c r="O1291" i="34"/>
  <c r="P1291" i="34"/>
  <c r="A1291" i="34"/>
  <c r="Q1275" i="34"/>
  <c r="U1275" i="34"/>
  <c r="Z1275" i="34"/>
  <c r="O1275" i="34"/>
  <c r="P1275" i="34"/>
  <c r="A1275" i="34"/>
  <c r="Q1277" i="34"/>
  <c r="U1277" i="34"/>
  <c r="Z1277" i="34"/>
  <c r="O1277" i="34"/>
  <c r="P1277" i="34"/>
  <c r="A1277" i="34"/>
  <c r="Q1279" i="34"/>
  <c r="U1279" i="34"/>
  <c r="Z1279" i="34"/>
  <c r="O1279" i="34"/>
  <c r="P1279" i="34"/>
  <c r="A1279" i="34"/>
  <c r="Q1281" i="34"/>
  <c r="U1281" i="34"/>
  <c r="Z1281" i="34"/>
  <c r="O1281" i="34"/>
  <c r="P1281" i="34"/>
  <c r="A1281" i="34"/>
  <c r="Q1283" i="34"/>
  <c r="U1283" i="34"/>
  <c r="Z1283" i="34"/>
  <c r="O1283" i="34"/>
  <c r="P1283" i="34"/>
  <c r="A1283" i="34"/>
  <c r="Q1265" i="34"/>
  <c r="U1265" i="34"/>
  <c r="Z1265" i="34"/>
  <c r="O1265" i="34"/>
  <c r="P1265" i="34"/>
  <c r="A1265" i="34"/>
  <c r="Q1267" i="34"/>
  <c r="U1267" i="34"/>
  <c r="Z1267" i="34"/>
  <c r="O1267" i="34"/>
  <c r="P1267" i="34"/>
  <c r="A1267" i="34"/>
  <c r="Q1269" i="34"/>
  <c r="U1269" i="34"/>
  <c r="Z1269" i="34"/>
  <c r="O1269" i="34"/>
  <c r="P1269" i="34"/>
  <c r="A1269" i="34"/>
  <c r="Q1271" i="34"/>
  <c r="U1271" i="34"/>
  <c r="Z1271" i="34"/>
  <c r="O1271" i="34"/>
  <c r="P1271" i="34"/>
  <c r="A1271" i="34"/>
  <c r="Q1273" i="34"/>
  <c r="U1273" i="34"/>
  <c r="Z1273" i="34"/>
  <c r="O1273" i="34"/>
  <c r="P1273" i="34"/>
  <c r="A1273" i="34"/>
  <c r="Q1255" i="34"/>
  <c r="U1255" i="34"/>
  <c r="Z1255" i="34"/>
  <c r="O1255" i="34"/>
  <c r="P1255" i="34"/>
  <c r="A1255" i="34"/>
  <c r="Q1257" i="34"/>
  <c r="U1257" i="34"/>
  <c r="Z1257" i="34"/>
  <c r="O1257" i="34"/>
  <c r="P1257" i="34"/>
  <c r="A1257" i="34"/>
  <c r="Q1259" i="34"/>
  <c r="U1259" i="34"/>
  <c r="Z1259" i="34"/>
  <c r="O1259" i="34"/>
  <c r="P1259" i="34"/>
  <c r="A1259" i="34"/>
  <c r="Q1261" i="34"/>
  <c r="U1261" i="34"/>
  <c r="Z1261" i="34"/>
  <c r="O1261" i="34"/>
  <c r="P1261" i="34"/>
  <c r="A1261" i="34"/>
  <c r="Q1263" i="34"/>
  <c r="U1263" i="34"/>
  <c r="Z1263" i="34"/>
  <c r="O1263" i="34"/>
  <c r="P1263" i="34"/>
  <c r="A1263" i="34"/>
  <c r="Q1245" i="34"/>
  <c r="U1245" i="34"/>
  <c r="Z1245" i="34"/>
  <c r="O1245" i="34"/>
  <c r="P1245" i="34"/>
  <c r="A1245" i="34"/>
  <c r="Q1247" i="34"/>
  <c r="U1247" i="34"/>
  <c r="Z1247" i="34"/>
  <c r="O1247" i="34"/>
  <c r="P1247" i="34"/>
  <c r="A1247" i="34"/>
  <c r="Q1249" i="34"/>
  <c r="U1249" i="34"/>
  <c r="Z1249" i="34"/>
  <c r="O1249" i="34"/>
  <c r="P1249" i="34"/>
  <c r="A1249" i="34"/>
  <c r="Q1251" i="34"/>
  <c r="U1251" i="34"/>
  <c r="Z1251" i="34"/>
  <c r="O1251" i="34"/>
  <c r="P1251" i="34"/>
  <c r="A1251" i="34"/>
  <c r="Q1253" i="34"/>
  <c r="U1253" i="34"/>
  <c r="Z1253" i="34"/>
  <c r="O1253" i="34"/>
  <c r="P1253" i="34"/>
  <c r="A1253" i="34"/>
  <c r="Q1235" i="34"/>
  <c r="U1235" i="34"/>
  <c r="Z1235" i="34"/>
  <c r="O1235" i="34"/>
  <c r="P1235" i="34"/>
  <c r="A1235" i="34"/>
  <c r="Q1237" i="34"/>
  <c r="U1237" i="34"/>
  <c r="Z1237" i="34"/>
  <c r="O1237" i="34"/>
  <c r="P1237" i="34"/>
  <c r="A1237" i="34"/>
  <c r="Q1239" i="34"/>
  <c r="U1239" i="34"/>
  <c r="Z1239" i="34"/>
  <c r="O1239" i="34"/>
  <c r="P1239" i="34"/>
  <c r="A1239" i="34"/>
  <c r="Q1241" i="34"/>
  <c r="U1241" i="34"/>
  <c r="Z1241" i="34"/>
  <c r="O1241" i="34"/>
  <c r="P1241" i="34"/>
  <c r="A1241" i="34"/>
  <c r="Q1243" i="34"/>
  <c r="U1243" i="34"/>
  <c r="Z1243" i="34"/>
  <c r="O1243" i="34"/>
  <c r="P1243" i="34"/>
  <c r="A1243" i="34"/>
  <c r="Q1225" i="34"/>
  <c r="U1225" i="34"/>
  <c r="Z1225" i="34"/>
  <c r="O1225" i="34"/>
  <c r="P1225" i="34"/>
  <c r="A1225" i="34"/>
  <c r="Q1227" i="34"/>
  <c r="U1227" i="34"/>
  <c r="Z1227" i="34"/>
  <c r="O1227" i="34"/>
  <c r="P1227" i="34"/>
  <c r="A1227" i="34"/>
  <c r="Q1229" i="34"/>
  <c r="U1229" i="34"/>
  <c r="Z1229" i="34"/>
  <c r="O1229" i="34"/>
  <c r="P1229" i="34"/>
  <c r="A1229" i="34"/>
  <c r="Q1231" i="34"/>
  <c r="U1231" i="34"/>
  <c r="Z1231" i="34"/>
  <c r="O1231" i="34"/>
  <c r="P1231" i="34"/>
  <c r="A1231" i="34"/>
  <c r="Q1233" i="34"/>
  <c r="U1233" i="34"/>
  <c r="Z1233" i="34"/>
  <c r="O1233" i="34"/>
  <c r="P1233" i="34"/>
  <c r="A1233" i="34"/>
  <c r="Q1215" i="34"/>
  <c r="U1215" i="34"/>
  <c r="Z1215" i="34"/>
  <c r="O1215" i="34"/>
  <c r="P1215" i="34"/>
  <c r="A1215" i="34"/>
  <c r="Q1217" i="34"/>
  <c r="U1217" i="34"/>
  <c r="Z1217" i="34"/>
  <c r="O1217" i="34"/>
  <c r="P1217" i="34"/>
  <c r="A1217" i="34"/>
  <c r="Q1219" i="34"/>
  <c r="U1219" i="34"/>
  <c r="Z1219" i="34"/>
  <c r="O1219" i="34"/>
  <c r="P1219" i="34"/>
  <c r="A1219" i="34"/>
  <c r="Q1221" i="34"/>
  <c r="U1221" i="34"/>
  <c r="Z1221" i="34"/>
  <c r="O1221" i="34"/>
  <c r="P1221" i="34"/>
  <c r="A1221" i="34"/>
  <c r="Q1223" i="34"/>
  <c r="U1223" i="34"/>
  <c r="Z1223" i="34"/>
  <c r="O1223" i="34"/>
  <c r="P1223" i="34"/>
  <c r="A1223" i="34"/>
  <c r="Q1205" i="34"/>
  <c r="U1205" i="34"/>
  <c r="Z1205" i="34"/>
  <c r="O1205" i="34"/>
  <c r="P1205" i="34"/>
  <c r="A1205" i="34"/>
  <c r="Q1207" i="34"/>
  <c r="U1207" i="34"/>
  <c r="Z1207" i="34"/>
  <c r="O1207" i="34"/>
  <c r="P1207" i="34"/>
  <c r="A1207" i="34"/>
  <c r="Q1209" i="34"/>
  <c r="U1209" i="34"/>
  <c r="Z1209" i="34"/>
  <c r="O1209" i="34"/>
  <c r="P1209" i="34"/>
  <c r="A1209" i="34"/>
  <c r="Q1211" i="34"/>
  <c r="U1211" i="34"/>
  <c r="Z1211" i="34"/>
  <c r="O1211" i="34"/>
  <c r="P1211" i="34"/>
  <c r="A1211" i="34"/>
  <c r="Q1213" i="34"/>
  <c r="U1213" i="34"/>
  <c r="Z1213" i="34"/>
  <c r="O1213" i="34"/>
  <c r="P1213" i="34"/>
  <c r="A1213" i="34"/>
  <c r="Q1195" i="34"/>
  <c r="U1195" i="34"/>
  <c r="Z1195" i="34"/>
  <c r="O1195" i="34"/>
  <c r="P1195" i="34"/>
  <c r="A1195" i="34"/>
  <c r="Q1197" i="34"/>
  <c r="U1197" i="34"/>
  <c r="Z1197" i="34"/>
  <c r="O1197" i="34"/>
  <c r="P1197" i="34"/>
  <c r="A1197" i="34"/>
  <c r="Q1199" i="34"/>
  <c r="U1199" i="34"/>
  <c r="Z1199" i="34"/>
  <c r="O1199" i="34"/>
  <c r="P1199" i="34"/>
  <c r="A1199" i="34"/>
  <c r="Q1201" i="34"/>
  <c r="U1201" i="34"/>
  <c r="Z1201" i="34"/>
  <c r="O1201" i="34"/>
  <c r="P1201" i="34"/>
  <c r="A1201" i="34"/>
  <c r="Q1203" i="34"/>
  <c r="U1203" i="34"/>
  <c r="Z1203" i="34"/>
  <c r="O1203" i="34"/>
  <c r="P1203" i="34"/>
  <c r="A1203" i="34"/>
  <c r="Q1295" i="34"/>
  <c r="U1295" i="34"/>
  <c r="Z1295" i="34"/>
  <c r="O1295" i="34"/>
  <c r="P1295" i="34"/>
  <c r="A1295" i="34"/>
  <c r="Q1421" i="34"/>
  <c r="U1421" i="34"/>
  <c r="Z1421" i="34"/>
  <c r="P1421" i="34"/>
  <c r="O1421" i="34"/>
  <c r="A1421" i="34"/>
  <c r="Q1486" i="34"/>
  <c r="U1486" i="34"/>
  <c r="Z1486" i="34"/>
  <c r="O1486" i="34"/>
  <c r="P1486" i="34"/>
  <c r="A1486" i="34"/>
  <c r="Q1488" i="34"/>
  <c r="U1488" i="34"/>
  <c r="Z1488" i="34"/>
  <c r="O1488" i="34"/>
  <c r="P1488" i="34"/>
  <c r="A1488" i="34"/>
  <c r="Q1485" i="34"/>
  <c r="U1485" i="34"/>
  <c r="Z1485" i="34"/>
  <c r="P1485" i="34"/>
  <c r="O1485" i="34"/>
  <c r="A1485" i="34"/>
  <c r="P1605" i="34"/>
  <c r="Q1605" i="34"/>
  <c r="U1605" i="34"/>
  <c r="Z1605" i="34"/>
  <c r="O1605" i="34"/>
  <c r="A1605" i="34"/>
  <c r="P1607" i="34"/>
  <c r="Q1607" i="34"/>
  <c r="U1607" i="34"/>
  <c r="Z1607" i="34"/>
  <c r="O1607" i="34"/>
  <c r="A1607" i="34"/>
  <c r="P1609" i="34"/>
  <c r="Q1609" i="34"/>
  <c r="U1609" i="34"/>
  <c r="Z1609" i="34"/>
  <c r="O1609" i="34"/>
  <c r="A1609" i="34"/>
  <c r="P1574" i="34"/>
  <c r="Q1574" i="34"/>
  <c r="U1574" i="34"/>
  <c r="Z1574" i="34"/>
  <c r="O1574" i="34"/>
  <c r="A1574" i="34"/>
  <c r="P1578" i="34"/>
  <c r="Q1578" i="34"/>
  <c r="U1578" i="34"/>
  <c r="Z1578" i="34"/>
  <c r="O1578" i="34"/>
  <c r="A1578" i="34"/>
  <c r="P1582" i="34"/>
  <c r="Q1582" i="34"/>
  <c r="U1582" i="34"/>
  <c r="Z1582" i="34"/>
  <c r="O1582" i="34"/>
  <c r="A1582" i="34"/>
  <c r="P1586" i="34"/>
  <c r="Q1586" i="34"/>
  <c r="U1586" i="34"/>
  <c r="Z1586" i="34"/>
  <c r="O1586" i="34"/>
  <c r="A1586" i="34"/>
  <c r="P1590" i="34"/>
  <c r="Q1590" i="34"/>
  <c r="U1590" i="34"/>
  <c r="Z1590" i="34"/>
  <c r="O1590" i="34"/>
  <c r="A1590" i="34"/>
  <c r="P1594" i="34"/>
  <c r="Q1594" i="34"/>
  <c r="U1594" i="34"/>
  <c r="Z1594" i="34"/>
  <c r="O1594" i="34"/>
  <c r="A1594" i="34"/>
  <c r="P1598" i="34"/>
  <c r="Q1598" i="34"/>
  <c r="U1598" i="34"/>
  <c r="Z1598" i="34"/>
  <c r="O1598" i="34"/>
  <c r="A1598" i="34"/>
  <c r="P1602" i="34"/>
  <c r="Q1602" i="34"/>
  <c r="U1602" i="34"/>
  <c r="Z1602" i="34"/>
  <c r="O1602" i="34"/>
  <c r="A1602" i="34"/>
  <c r="Q1483" i="34"/>
  <c r="U1483" i="34"/>
  <c r="Z1483" i="34"/>
  <c r="O1483" i="34"/>
  <c r="P1483" i="34"/>
  <c r="A1483" i="34"/>
  <c r="O1397" i="34"/>
  <c r="P1397" i="34"/>
  <c r="Q1397" i="34"/>
  <c r="U1397" i="34"/>
  <c r="Z1397" i="34"/>
  <c r="A1397" i="34"/>
  <c r="Q232" i="34"/>
  <c r="U232" i="34"/>
  <c r="Z232" i="34"/>
  <c r="O232" i="34"/>
  <c r="P232" i="34"/>
  <c r="A232" i="34"/>
  <c r="Q220" i="34"/>
  <c r="U220" i="34"/>
  <c r="Z220" i="34"/>
  <c r="O220" i="34"/>
  <c r="P220" i="34"/>
  <c r="A220" i="34"/>
  <c r="Q224" i="34"/>
  <c r="U224" i="34"/>
  <c r="Z224" i="34"/>
  <c r="O224" i="34"/>
  <c r="P224" i="34"/>
  <c r="A224" i="34"/>
  <c r="Q228" i="34"/>
  <c r="U228" i="34"/>
  <c r="Z228" i="34"/>
  <c r="O228" i="34"/>
  <c r="P228" i="34"/>
  <c r="A228" i="34"/>
  <c r="Q209" i="34"/>
  <c r="U209" i="34"/>
  <c r="Z209" i="34"/>
  <c r="O209" i="34"/>
  <c r="P209" i="34"/>
  <c r="A209" i="34"/>
  <c r="Q213" i="34"/>
  <c r="U213" i="34"/>
  <c r="Z213" i="34"/>
  <c r="O213" i="34"/>
  <c r="P213" i="34"/>
  <c r="A213" i="34"/>
  <c r="Q208" i="34"/>
  <c r="U208" i="34"/>
  <c r="Z208" i="34"/>
  <c r="O208" i="34"/>
  <c r="P208" i="34"/>
  <c r="A208" i="34"/>
  <c r="Q207" i="34"/>
  <c r="U207" i="34"/>
  <c r="Z207" i="34"/>
  <c r="P207" i="34"/>
  <c r="O207" i="34"/>
  <c r="A207" i="34"/>
  <c r="Q483" i="34"/>
  <c r="U483" i="34"/>
  <c r="Z483" i="34"/>
  <c r="P483" i="34"/>
  <c r="O483" i="34"/>
  <c r="T483" i="34"/>
  <c r="R483" i="34"/>
  <c r="S483" i="34"/>
  <c r="A483" i="34"/>
  <c r="Q489" i="34"/>
  <c r="U489" i="34"/>
  <c r="Z489" i="34"/>
  <c r="R489" i="34"/>
  <c r="S489" i="34"/>
  <c r="T489" i="34"/>
  <c r="O489" i="34"/>
  <c r="P489" i="34"/>
  <c r="A489" i="34"/>
  <c r="Q424" i="34"/>
  <c r="U424" i="34"/>
  <c r="Z424" i="34"/>
  <c r="O424" i="34"/>
  <c r="T424" i="34"/>
  <c r="P424" i="34"/>
  <c r="R424" i="34"/>
  <c r="S424" i="34"/>
  <c r="A424" i="34"/>
  <c r="Q428" i="34"/>
  <c r="U428" i="34"/>
  <c r="Z428" i="34"/>
  <c r="O428" i="34"/>
  <c r="T428" i="34"/>
  <c r="P428" i="34"/>
  <c r="R428" i="34"/>
  <c r="S428" i="34"/>
  <c r="A428" i="34"/>
  <c r="Q432" i="34"/>
  <c r="U432" i="34"/>
  <c r="Z432" i="34"/>
  <c r="O432" i="34"/>
  <c r="T432" i="34"/>
  <c r="P432" i="34"/>
  <c r="R432" i="34"/>
  <c r="S432" i="34"/>
  <c r="A432" i="34"/>
  <c r="Q436" i="34"/>
  <c r="U436" i="34"/>
  <c r="Z436" i="34"/>
  <c r="O436" i="34"/>
  <c r="T436" i="34"/>
  <c r="P436" i="34"/>
  <c r="R436" i="34"/>
  <c r="S436" i="34"/>
  <c r="A436" i="34"/>
  <c r="Q440" i="34"/>
  <c r="U440" i="34"/>
  <c r="Z440" i="34"/>
  <c r="O440" i="34"/>
  <c r="T440" i="34"/>
  <c r="P440" i="34"/>
  <c r="R440" i="34"/>
  <c r="S440" i="34"/>
  <c r="A440" i="34"/>
  <c r="Q470" i="34"/>
  <c r="U470" i="34"/>
  <c r="Z470" i="34"/>
  <c r="R470" i="34"/>
  <c r="S470" i="34"/>
  <c r="O470" i="34"/>
  <c r="T470" i="34"/>
  <c r="P470" i="34"/>
  <c r="A470" i="34"/>
  <c r="Q474" i="34"/>
  <c r="U474" i="34"/>
  <c r="Z474" i="34"/>
  <c r="R474" i="34"/>
  <c r="S474" i="34"/>
  <c r="O474" i="34"/>
  <c r="T474" i="34"/>
  <c r="P474" i="34"/>
  <c r="A474" i="34"/>
  <c r="Q478" i="34"/>
  <c r="U478" i="34"/>
  <c r="Z478" i="34"/>
  <c r="R478" i="34"/>
  <c r="S478" i="34"/>
  <c r="P478" i="34"/>
  <c r="T478" i="34"/>
  <c r="O478" i="34"/>
  <c r="A478" i="34"/>
  <c r="Q442" i="34"/>
  <c r="U442" i="34"/>
  <c r="Z442" i="34"/>
  <c r="R442" i="34"/>
  <c r="S442" i="34"/>
  <c r="O442" i="34"/>
  <c r="T442" i="34"/>
  <c r="P442" i="34"/>
  <c r="A442" i="34"/>
  <c r="Q446" i="34"/>
  <c r="U446" i="34"/>
  <c r="Z446" i="34"/>
  <c r="R446" i="34"/>
  <c r="S446" i="34"/>
  <c r="O446" i="34"/>
  <c r="T446" i="34"/>
  <c r="P446" i="34"/>
  <c r="A446" i="34"/>
  <c r="Q450" i="34"/>
  <c r="U450" i="34"/>
  <c r="Z450" i="34"/>
  <c r="R450" i="34"/>
  <c r="S450" i="34"/>
  <c r="O450" i="34"/>
  <c r="T450" i="34"/>
  <c r="P450" i="34"/>
  <c r="A450" i="34"/>
  <c r="Q454" i="34"/>
  <c r="U454" i="34"/>
  <c r="Z454" i="34"/>
  <c r="R454" i="34"/>
  <c r="S454" i="34"/>
  <c r="O454" i="34"/>
  <c r="T454" i="34"/>
  <c r="P454" i="34"/>
  <c r="A454" i="34"/>
  <c r="Q458" i="34"/>
  <c r="U458" i="34"/>
  <c r="Z458" i="34"/>
  <c r="R458" i="34"/>
  <c r="S458" i="34"/>
  <c r="O458" i="34"/>
  <c r="T458" i="34"/>
  <c r="P458" i="34"/>
  <c r="A458" i="34"/>
  <c r="Q462" i="34"/>
  <c r="U462" i="34"/>
  <c r="Z462" i="34"/>
  <c r="R462" i="34"/>
  <c r="S462" i="34"/>
  <c r="O462" i="34"/>
  <c r="T462" i="34"/>
  <c r="P462" i="34"/>
  <c r="A462" i="34"/>
  <c r="Q466" i="34"/>
  <c r="U466" i="34"/>
  <c r="Z466" i="34"/>
  <c r="R466" i="34"/>
  <c r="S466" i="34"/>
  <c r="O466" i="34"/>
  <c r="T466" i="34"/>
  <c r="P466" i="34"/>
  <c r="A466" i="34"/>
  <c r="P859" i="34"/>
  <c r="Q859" i="34"/>
  <c r="U859" i="34"/>
  <c r="Z859" i="34"/>
  <c r="O859" i="34"/>
  <c r="A859" i="34"/>
  <c r="P869" i="34"/>
  <c r="Q869" i="34"/>
  <c r="U869" i="34"/>
  <c r="Z869" i="34"/>
  <c r="O869" i="34"/>
  <c r="A869" i="34"/>
  <c r="P877" i="34"/>
  <c r="Q877" i="34"/>
  <c r="U877" i="34"/>
  <c r="Z877" i="34"/>
  <c r="O877" i="34"/>
  <c r="A877" i="34"/>
  <c r="P847" i="34"/>
  <c r="Q847" i="34"/>
  <c r="U847" i="34"/>
  <c r="Z847" i="34"/>
  <c r="O847" i="34"/>
  <c r="A847" i="34"/>
  <c r="P855" i="34"/>
  <c r="Q855" i="34"/>
  <c r="U855" i="34"/>
  <c r="Z855" i="34"/>
  <c r="O855" i="34"/>
  <c r="A855" i="34"/>
  <c r="P863" i="34"/>
  <c r="Q863" i="34"/>
  <c r="U863" i="34"/>
  <c r="Z863" i="34"/>
  <c r="O863" i="34"/>
  <c r="A863" i="34"/>
  <c r="Q1186" i="34"/>
  <c r="U1186" i="34"/>
  <c r="Z1186" i="34"/>
  <c r="O1186" i="34"/>
  <c r="P1186" i="34"/>
  <c r="A1186" i="34"/>
  <c r="Q1816" i="34"/>
  <c r="U1816" i="34"/>
  <c r="Z1816" i="34"/>
  <c r="P1816" i="34"/>
  <c r="O1816" i="34"/>
  <c r="A1816" i="34"/>
  <c r="Q1934" i="34"/>
  <c r="U1934" i="34"/>
  <c r="Z1934" i="34"/>
  <c r="O1934" i="34"/>
  <c r="P1934" i="34"/>
  <c r="A1934" i="34"/>
  <c r="Q4491" i="34"/>
  <c r="U4491" i="34"/>
  <c r="Z4491" i="34"/>
  <c r="O4491" i="34"/>
  <c r="P4491" i="34"/>
  <c r="A4491" i="34"/>
  <c r="Q4460" i="34"/>
  <c r="U4460" i="34"/>
  <c r="Z4460" i="34"/>
  <c r="O4460" i="34"/>
  <c r="P4460" i="34"/>
  <c r="A4460" i="34"/>
  <c r="Q4503" i="34"/>
  <c r="U4503" i="34"/>
  <c r="Z4503" i="34"/>
  <c r="O4503" i="34"/>
  <c r="P4503" i="34"/>
  <c r="A4503" i="34"/>
  <c r="Q4548" i="34"/>
  <c r="U4548" i="34"/>
  <c r="Z4548" i="34"/>
  <c r="O4548" i="34"/>
  <c r="P4548" i="34"/>
  <c r="A4548" i="34"/>
  <c r="Q1730" i="34"/>
  <c r="U1730" i="34"/>
  <c r="Z1730" i="34"/>
  <c r="O1730" i="34"/>
  <c r="P1730" i="34"/>
  <c r="A1730" i="34"/>
  <c r="Q1860" i="34"/>
  <c r="U1860" i="34"/>
  <c r="Z1860" i="34"/>
  <c r="P1860" i="34"/>
  <c r="O1860" i="34"/>
  <c r="A1860" i="34"/>
  <c r="Q1662" i="34"/>
  <c r="U1662" i="34"/>
  <c r="Z1662" i="34"/>
  <c r="O1662" i="34"/>
  <c r="P1662" i="34"/>
  <c r="A1662" i="34"/>
  <c r="Q1700" i="34"/>
  <c r="U1700" i="34"/>
  <c r="Z1700" i="34"/>
  <c r="P1700" i="34"/>
  <c r="O1700" i="34"/>
  <c r="A1700" i="34"/>
  <c r="Q1757" i="34"/>
  <c r="U1757" i="34"/>
  <c r="Z1757" i="34"/>
  <c r="O1757" i="34"/>
  <c r="P1757" i="34"/>
  <c r="A1757" i="34"/>
  <c r="Q4522" i="34"/>
  <c r="U4522" i="34"/>
  <c r="Z4522" i="34"/>
  <c r="P4522" i="34"/>
  <c r="A4522" i="34"/>
  <c r="O4522" i="34"/>
  <c r="Q4555" i="34"/>
  <c r="U4555" i="34"/>
  <c r="Z4555" i="34"/>
  <c r="O4555" i="34"/>
  <c r="P4555" i="34"/>
  <c r="A4555" i="34"/>
  <c r="Q1844" i="34"/>
  <c r="U1844" i="34"/>
  <c r="Z1844" i="34"/>
  <c r="P1844" i="34"/>
  <c r="O1844" i="34"/>
  <c r="A1844" i="34"/>
  <c r="Q1864" i="34"/>
  <c r="U1864" i="34"/>
  <c r="Z1864" i="34"/>
  <c r="P1864" i="34"/>
  <c r="O1864" i="34"/>
  <c r="A1864" i="34"/>
  <c r="Q4527" i="34"/>
  <c r="U4527" i="34"/>
  <c r="Z4527" i="34"/>
  <c r="O4527" i="34"/>
  <c r="P4527" i="34"/>
  <c r="A4527" i="34"/>
  <c r="P1315" i="34"/>
  <c r="Q1315" i="34"/>
  <c r="U1315" i="34"/>
  <c r="Z1315" i="34"/>
  <c r="O1315" i="34"/>
  <c r="A1315" i="34"/>
  <c r="Q1847" i="34"/>
  <c r="U1847" i="34"/>
  <c r="Z1847" i="34"/>
  <c r="O1847" i="34"/>
  <c r="P1847" i="34"/>
  <c r="A1847" i="34"/>
  <c r="P20" i="34"/>
  <c r="Q20" i="34"/>
  <c r="U20" i="34"/>
  <c r="Z20" i="34"/>
  <c r="O20" i="34"/>
  <c r="A20" i="34"/>
  <c r="P15" i="34"/>
  <c r="Q15" i="34"/>
  <c r="U15" i="34"/>
  <c r="Z15" i="34"/>
  <c r="O15" i="34"/>
  <c r="A15" i="34"/>
  <c r="P14" i="34"/>
  <c r="Q14" i="34"/>
  <c r="U14" i="34"/>
  <c r="Z14" i="34"/>
  <c r="O14" i="34"/>
  <c r="A14" i="34"/>
  <c r="Q1944" i="34"/>
  <c r="U1944" i="34"/>
  <c r="Z1944" i="34"/>
  <c r="P1944" i="34"/>
  <c r="O1944" i="34"/>
  <c r="A1944" i="34"/>
  <c r="Q1737" i="34"/>
  <c r="U1737" i="34"/>
  <c r="Z1737" i="34"/>
  <c r="O1737" i="34"/>
  <c r="P1737" i="34"/>
  <c r="A1737" i="34"/>
  <c r="Q3199" i="34"/>
  <c r="U3199" i="34"/>
  <c r="Z3199" i="34"/>
  <c r="P3199" i="34"/>
  <c r="O3199" i="34"/>
  <c r="A3199" i="34"/>
  <c r="Q3472" i="34"/>
  <c r="U3472" i="34"/>
  <c r="Z3472" i="34"/>
  <c r="P3472" i="34"/>
  <c r="O3472" i="34"/>
  <c r="A3472" i="34"/>
  <c r="O3502" i="34"/>
  <c r="P3502" i="34"/>
  <c r="Q3502" i="34"/>
  <c r="U3502" i="34"/>
  <c r="Z3502" i="34"/>
  <c r="A3502" i="34"/>
  <c r="Q4361" i="34"/>
  <c r="U4361" i="34"/>
  <c r="Z4361" i="34"/>
  <c r="A4361" i="34"/>
  <c r="O4361" i="34"/>
  <c r="P4361" i="34"/>
  <c r="Q1698" i="34"/>
  <c r="U1698" i="34"/>
  <c r="Z1698" i="34"/>
  <c r="O1698" i="34"/>
  <c r="P1698" i="34"/>
  <c r="A1698" i="34"/>
  <c r="Q1772" i="34"/>
  <c r="U1772" i="34"/>
  <c r="Z1772" i="34"/>
  <c r="P1772" i="34"/>
  <c r="O1772" i="34"/>
  <c r="A1772" i="34"/>
  <c r="Q1833" i="34"/>
  <c r="U1833" i="34"/>
  <c r="Z1833" i="34"/>
  <c r="O1833" i="34"/>
  <c r="P1833" i="34"/>
  <c r="A1833" i="34"/>
  <c r="Q1837" i="34"/>
  <c r="U1837" i="34"/>
  <c r="Z1837" i="34"/>
  <c r="O1837" i="34"/>
  <c r="P1837" i="34"/>
  <c r="A1837" i="34"/>
  <c r="Q1841" i="34"/>
  <c r="U1841" i="34"/>
  <c r="Z1841" i="34"/>
  <c r="O1841" i="34"/>
  <c r="P1841" i="34"/>
  <c r="A1841" i="34"/>
  <c r="Q1870" i="34"/>
  <c r="U1870" i="34"/>
  <c r="Z1870" i="34"/>
  <c r="O1870" i="34"/>
  <c r="P1870" i="34"/>
  <c r="A1870" i="34"/>
  <c r="Q1874" i="34"/>
  <c r="U1874" i="34"/>
  <c r="Z1874" i="34"/>
  <c r="O1874" i="34"/>
  <c r="P1874" i="34"/>
  <c r="A1874" i="34"/>
  <c r="Q1878" i="34"/>
  <c r="U1878" i="34"/>
  <c r="Z1878" i="34"/>
  <c r="O1878" i="34"/>
  <c r="P1878" i="34"/>
  <c r="A1878" i="34"/>
  <c r="Q1882" i="34"/>
  <c r="U1882" i="34"/>
  <c r="Z1882" i="34"/>
  <c r="O1882" i="34"/>
  <c r="P1882" i="34"/>
  <c r="A1882" i="34"/>
  <c r="Q1975" i="34"/>
  <c r="U1975" i="34"/>
  <c r="Z1975" i="34"/>
  <c r="P1975" i="34"/>
  <c r="O1975" i="34"/>
  <c r="A1975" i="34"/>
  <c r="O2060" i="34"/>
  <c r="P2060" i="34"/>
  <c r="Q2060" i="34"/>
  <c r="U2060" i="34"/>
  <c r="Z2060" i="34"/>
  <c r="A2060" i="34"/>
  <c r="O2086" i="34"/>
  <c r="P2086" i="34"/>
  <c r="Q2086" i="34"/>
  <c r="U2086" i="34"/>
  <c r="Z2086" i="34"/>
  <c r="A2086" i="34"/>
  <c r="O2090" i="34"/>
  <c r="P2090" i="34"/>
  <c r="Q2090" i="34"/>
  <c r="U2090" i="34"/>
  <c r="Z2090" i="34"/>
  <c r="A2090" i="34"/>
  <c r="O2094" i="34"/>
  <c r="P2094" i="34"/>
  <c r="Q2094" i="34"/>
  <c r="U2094" i="34"/>
  <c r="Z2094" i="34"/>
  <c r="A2094" i="34"/>
  <c r="O2134" i="34"/>
  <c r="P2134" i="34"/>
  <c r="Q2134" i="34"/>
  <c r="U2134" i="34"/>
  <c r="Z2134" i="34"/>
  <c r="A2134" i="34"/>
  <c r="O2138" i="34"/>
  <c r="P2138" i="34"/>
  <c r="Q2138" i="34"/>
  <c r="U2138" i="34"/>
  <c r="Z2138" i="34"/>
  <c r="A2138" i="34"/>
  <c r="O2142" i="34"/>
  <c r="P2142" i="34"/>
  <c r="Q2142" i="34"/>
  <c r="U2142" i="34"/>
  <c r="Z2142" i="34"/>
  <c r="A2142" i="34"/>
  <c r="O2151" i="34"/>
  <c r="P2151" i="34"/>
  <c r="Q2151" i="34"/>
  <c r="U2151" i="34"/>
  <c r="Z2151" i="34"/>
  <c r="A2151" i="34"/>
  <c r="O2155" i="34"/>
  <c r="P2155" i="34"/>
  <c r="Q2155" i="34"/>
  <c r="U2155" i="34"/>
  <c r="Z2155" i="34"/>
  <c r="A2155" i="34"/>
  <c r="O2159" i="34"/>
  <c r="P2159" i="34"/>
  <c r="Q2159" i="34"/>
  <c r="U2159" i="34"/>
  <c r="Z2159" i="34"/>
  <c r="A2159" i="34"/>
  <c r="O2163" i="34"/>
  <c r="P2163" i="34"/>
  <c r="Q2163" i="34"/>
  <c r="U2163" i="34"/>
  <c r="Z2163" i="34"/>
  <c r="A2163" i="34"/>
  <c r="O2167" i="34"/>
  <c r="P2167" i="34"/>
  <c r="Q2167" i="34"/>
  <c r="U2167" i="34"/>
  <c r="Z2167" i="34"/>
  <c r="A2167" i="34"/>
  <c r="O2171" i="34"/>
  <c r="P2171" i="34"/>
  <c r="Q2171" i="34"/>
  <c r="U2171" i="34"/>
  <c r="Z2171" i="34"/>
  <c r="A2171" i="34"/>
  <c r="O2175" i="34"/>
  <c r="P2175" i="34"/>
  <c r="Q2175" i="34"/>
  <c r="U2175" i="34"/>
  <c r="Z2175" i="34"/>
  <c r="A2175" i="34"/>
  <c r="O2179" i="34"/>
  <c r="P2179" i="34"/>
  <c r="Q2179" i="34"/>
  <c r="U2179" i="34"/>
  <c r="Z2179" i="34"/>
  <c r="A2179" i="34"/>
  <c r="O2211" i="34"/>
  <c r="P2211" i="34"/>
  <c r="Q2211" i="34"/>
  <c r="U2211" i="34"/>
  <c r="Z2211" i="34"/>
  <c r="A2211" i="34"/>
  <c r="O2215" i="34"/>
  <c r="P2215" i="34"/>
  <c r="Q2215" i="34"/>
  <c r="U2215" i="34"/>
  <c r="Z2215" i="34"/>
  <c r="A2215" i="34"/>
  <c r="O2219" i="34"/>
  <c r="P2219" i="34"/>
  <c r="Q2219" i="34"/>
  <c r="U2219" i="34"/>
  <c r="Z2219" i="34"/>
  <c r="A2219" i="34"/>
  <c r="O2223" i="34"/>
  <c r="P2223" i="34"/>
  <c r="Q2223" i="34"/>
  <c r="U2223" i="34"/>
  <c r="Z2223" i="34"/>
  <c r="A2223" i="34"/>
  <c r="O2227" i="34"/>
  <c r="P2227" i="34"/>
  <c r="Q2227" i="34"/>
  <c r="U2227" i="34"/>
  <c r="Z2227" i="34"/>
  <c r="A2227" i="34"/>
  <c r="O2248" i="34"/>
  <c r="P2248" i="34"/>
  <c r="Q2248" i="34"/>
  <c r="U2248" i="34"/>
  <c r="Z2248" i="34"/>
  <c r="A2248" i="34"/>
  <c r="O2252" i="34"/>
  <c r="P2252" i="34"/>
  <c r="Q2252" i="34"/>
  <c r="U2252" i="34"/>
  <c r="Z2252" i="34"/>
  <c r="A2252" i="34"/>
  <c r="O2256" i="34"/>
  <c r="P2256" i="34"/>
  <c r="Q2256" i="34"/>
  <c r="U2256" i="34"/>
  <c r="Z2256" i="34"/>
  <c r="A2256" i="34"/>
  <c r="O2260" i="34"/>
  <c r="P2260" i="34"/>
  <c r="Q2260" i="34"/>
  <c r="U2260" i="34"/>
  <c r="Z2260" i="34"/>
  <c r="A2260" i="34"/>
  <c r="O2264" i="34"/>
  <c r="P2264" i="34"/>
  <c r="Q2264" i="34"/>
  <c r="U2264" i="34"/>
  <c r="Z2264" i="34"/>
  <c r="A2264" i="34"/>
  <c r="O2268" i="34"/>
  <c r="P2268" i="34"/>
  <c r="Q2268" i="34"/>
  <c r="U2268" i="34"/>
  <c r="Z2268" i="34"/>
  <c r="A2268" i="34"/>
  <c r="O2272" i="34"/>
  <c r="P2272" i="34"/>
  <c r="Q2272" i="34"/>
  <c r="U2272" i="34"/>
  <c r="Z2272" i="34"/>
  <c r="A2272" i="34"/>
  <c r="O2276" i="34"/>
  <c r="P2276" i="34"/>
  <c r="Q2276" i="34"/>
  <c r="U2276" i="34"/>
  <c r="Z2276" i="34"/>
  <c r="A2276" i="34"/>
  <c r="O2147" i="34"/>
  <c r="P2147" i="34"/>
  <c r="Q2147" i="34"/>
  <c r="U2147" i="34"/>
  <c r="Z2147" i="34"/>
  <c r="A2147" i="34"/>
  <c r="O2108" i="34"/>
  <c r="P2108" i="34"/>
  <c r="Q2108" i="34"/>
  <c r="U2108" i="34"/>
  <c r="Z2108" i="34"/>
  <c r="A2108" i="34"/>
  <c r="O2128" i="34"/>
  <c r="P2128" i="34"/>
  <c r="Q2128" i="34"/>
  <c r="U2128" i="34"/>
  <c r="Z2128" i="34"/>
  <c r="A2128" i="34"/>
  <c r="O2209" i="34"/>
  <c r="P2209" i="34"/>
  <c r="Q2209" i="34"/>
  <c r="U2209" i="34"/>
  <c r="Z2209" i="34"/>
  <c r="A2209" i="34"/>
  <c r="Q2036" i="34"/>
  <c r="U2036" i="34"/>
  <c r="Z2036" i="34"/>
  <c r="O2036" i="34"/>
  <c r="P2036" i="34"/>
  <c r="A2036" i="34"/>
  <c r="Q2896" i="34"/>
  <c r="U2896" i="34"/>
  <c r="Z2896" i="34"/>
  <c r="O2896" i="34"/>
  <c r="P2896" i="34"/>
  <c r="A2896" i="34"/>
  <c r="O2302" i="34"/>
  <c r="P2302" i="34"/>
  <c r="Q2302" i="34"/>
  <c r="U2302" i="34"/>
  <c r="Z2302" i="34"/>
  <c r="A2302" i="34"/>
  <c r="Q2873" i="34"/>
  <c r="U2873" i="34"/>
  <c r="Z2873" i="34"/>
  <c r="O2873" i="34"/>
  <c r="P2873" i="34"/>
  <c r="A2873" i="34"/>
  <c r="O2076" i="34"/>
  <c r="P2076" i="34"/>
  <c r="Q2076" i="34"/>
  <c r="U2076" i="34"/>
  <c r="Z2076" i="34"/>
  <c r="A2076" i="34"/>
  <c r="Q2319" i="34"/>
  <c r="U2319" i="34"/>
  <c r="Z2319" i="34"/>
  <c r="O2319" i="34"/>
  <c r="P2319" i="34"/>
  <c r="A2319" i="34"/>
  <c r="Q2321" i="34"/>
  <c r="U2321" i="34"/>
  <c r="Z2321" i="34"/>
  <c r="O2321" i="34"/>
  <c r="P2321" i="34"/>
  <c r="A2321" i="34"/>
  <c r="Q1981" i="34"/>
  <c r="U1981" i="34"/>
  <c r="Z1981" i="34"/>
  <c r="O1981" i="34"/>
  <c r="P1981" i="34"/>
  <c r="A1981" i="34"/>
  <c r="Q1988" i="34"/>
  <c r="U1988" i="34"/>
  <c r="Z1988" i="34"/>
  <c r="P1988" i="34"/>
  <c r="O1988" i="34"/>
  <c r="A1988" i="34"/>
  <c r="Q2002" i="34"/>
  <c r="U2002" i="34"/>
  <c r="Z2002" i="34"/>
  <c r="O2002" i="34"/>
  <c r="P2002" i="34"/>
  <c r="A2002" i="34"/>
  <c r="Q2011" i="34"/>
  <c r="U2011" i="34"/>
  <c r="Z2011" i="34"/>
  <c r="P2011" i="34"/>
  <c r="O2011" i="34"/>
  <c r="A2011" i="34"/>
  <c r="Q2015" i="34"/>
  <c r="U2015" i="34"/>
  <c r="Z2015" i="34"/>
  <c r="P2015" i="34"/>
  <c r="O2015" i="34"/>
  <c r="A2015" i="34"/>
  <c r="Q2020" i="34"/>
  <c r="U2020" i="34"/>
  <c r="Z2020" i="34"/>
  <c r="O2020" i="34"/>
  <c r="P2020" i="34"/>
  <c r="A2020" i="34"/>
  <c r="Q2025" i="34"/>
  <c r="U2025" i="34"/>
  <c r="Z2025" i="34"/>
  <c r="O2025" i="34"/>
  <c r="P2025" i="34"/>
  <c r="A2025" i="34"/>
  <c r="Q2029" i="34"/>
  <c r="U2029" i="34"/>
  <c r="Z2029" i="34"/>
  <c r="O2029" i="34"/>
  <c r="P2029" i="34"/>
  <c r="A2029" i="34"/>
  <c r="O2067" i="34"/>
  <c r="P2067" i="34"/>
  <c r="Q2067" i="34"/>
  <c r="U2067" i="34"/>
  <c r="Z2067" i="34"/>
  <c r="A2067" i="34"/>
  <c r="Q2050" i="34"/>
  <c r="U2050" i="34"/>
  <c r="Z2050" i="34"/>
  <c r="O2050" i="34"/>
  <c r="P2050" i="34"/>
  <c r="A2050" i="34"/>
  <c r="O2191" i="34"/>
  <c r="P2191" i="34"/>
  <c r="Q2191" i="34"/>
  <c r="U2191" i="34"/>
  <c r="Z2191" i="34"/>
  <c r="A2191" i="34"/>
  <c r="O2105" i="34"/>
  <c r="P2105" i="34"/>
  <c r="Q2105" i="34"/>
  <c r="U2105" i="34"/>
  <c r="Z2105" i="34"/>
  <c r="A2105" i="34"/>
  <c r="Q1993" i="34"/>
  <c r="U1993" i="34"/>
  <c r="Z1993" i="34"/>
  <c r="O1993" i="34"/>
  <c r="P1993" i="34"/>
  <c r="A1993" i="34"/>
  <c r="O2197" i="34"/>
  <c r="P2197" i="34"/>
  <c r="Q2197" i="34"/>
  <c r="U2197" i="34"/>
  <c r="Z2197" i="34"/>
  <c r="A2197" i="34"/>
  <c r="O2282" i="34"/>
  <c r="P2282" i="34"/>
  <c r="Q2282" i="34"/>
  <c r="U2282" i="34"/>
  <c r="Z2282" i="34"/>
  <c r="A2282" i="34"/>
  <c r="O2118" i="34"/>
  <c r="P2118" i="34"/>
  <c r="Q2118" i="34"/>
  <c r="U2118" i="34"/>
  <c r="Z2118" i="34"/>
  <c r="A2118" i="34"/>
  <c r="O2125" i="34"/>
  <c r="P2125" i="34"/>
  <c r="Q2125" i="34"/>
  <c r="U2125" i="34"/>
  <c r="Z2125" i="34"/>
  <c r="A2125" i="34"/>
  <c r="O2283" i="34"/>
  <c r="P2283" i="34"/>
  <c r="Q2283" i="34"/>
  <c r="U2283" i="34"/>
  <c r="Z2283" i="34"/>
  <c r="A2283" i="34"/>
  <c r="Q2043" i="34"/>
  <c r="U2043" i="34"/>
  <c r="Z2043" i="34"/>
  <c r="P2043" i="34"/>
  <c r="O2043" i="34"/>
  <c r="A2043" i="34"/>
  <c r="Q1996" i="34"/>
  <c r="U1996" i="34"/>
  <c r="Z1996" i="34"/>
  <c r="P1996" i="34"/>
  <c r="O1996" i="34"/>
  <c r="A1996" i="34"/>
  <c r="O2122" i="34"/>
  <c r="P2122" i="34"/>
  <c r="Q2122" i="34"/>
  <c r="U2122" i="34"/>
  <c r="Z2122" i="34"/>
  <c r="A2122" i="34"/>
  <c r="O2098" i="34"/>
  <c r="P2098" i="34"/>
  <c r="Q2098" i="34"/>
  <c r="U2098" i="34"/>
  <c r="Z2098" i="34"/>
  <c r="A2098" i="34"/>
  <c r="O2206" i="34"/>
  <c r="P2206" i="34"/>
  <c r="Q2206" i="34"/>
  <c r="U2206" i="34"/>
  <c r="Z2206" i="34"/>
  <c r="A2206" i="34"/>
  <c r="O2281" i="34"/>
  <c r="P2281" i="34"/>
  <c r="Q2281" i="34"/>
  <c r="U2281" i="34"/>
  <c r="Z2281" i="34"/>
  <c r="A2281" i="34"/>
  <c r="O2052" i="34"/>
  <c r="P2052" i="34"/>
  <c r="Q2052" i="34"/>
  <c r="U2052" i="34"/>
  <c r="Z2052" i="34"/>
  <c r="A2052" i="34"/>
  <c r="Q2049" i="34"/>
  <c r="U2049" i="34"/>
  <c r="Z2049" i="34"/>
  <c r="O2049" i="34"/>
  <c r="P2049" i="34"/>
  <c r="A2049" i="34"/>
  <c r="O2099" i="34"/>
  <c r="P2099" i="34"/>
  <c r="Q2099" i="34"/>
  <c r="U2099" i="34"/>
  <c r="Z2099" i="34"/>
  <c r="A2099" i="34"/>
  <c r="O2095" i="34"/>
  <c r="P2095" i="34"/>
  <c r="Q2095" i="34"/>
  <c r="U2095" i="34"/>
  <c r="Z2095" i="34"/>
  <c r="A2095" i="34"/>
  <c r="O2149" i="34"/>
  <c r="P2149" i="34"/>
  <c r="Q2149" i="34"/>
  <c r="U2149" i="34"/>
  <c r="Z2149" i="34"/>
  <c r="A2149" i="34"/>
  <c r="Q1998" i="34"/>
  <c r="U1998" i="34"/>
  <c r="Z1998" i="34"/>
  <c r="O1998" i="34"/>
  <c r="P1998" i="34"/>
  <c r="A1998" i="34"/>
  <c r="O2288" i="34"/>
  <c r="P2288" i="34"/>
  <c r="Q2288" i="34"/>
  <c r="U2288" i="34"/>
  <c r="Z2288" i="34"/>
  <c r="A2288" i="34"/>
  <c r="O2231" i="34"/>
  <c r="P2231" i="34"/>
  <c r="Q2231" i="34"/>
  <c r="U2231" i="34"/>
  <c r="Z2231" i="34"/>
  <c r="A2231" i="34"/>
  <c r="O2314" i="34"/>
  <c r="P2314" i="34"/>
  <c r="Q2314" i="34"/>
  <c r="U2314" i="34"/>
  <c r="Z2314" i="34"/>
  <c r="A2314" i="34"/>
  <c r="Q2344" i="34"/>
  <c r="U2344" i="34"/>
  <c r="Z2344" i="34"/>
  <c r="P2344" i="34"/>
  <c r="O2344" i="34"/>
  <c r="A2344" i="34"/>
  <c r="Q2874" i="34"/>
  <c r="U2874" i="34"/>
  <c r="Z2874" i="34"/>
  <c r="O2874" i="34"/>
  <c r="P2874" i="34"/>
  <c r="A2874" i="34"/>
  <c r="Q2882" i="34"/>
  <c r="U2882" i="34"/>
  <c r="Z2882" i="34"/>
  <c r="O2882" i="34"/>
  <c r="P2882" i="34"/>
  <c r="A2882" i="34"/>
  <c r="Q2890" i="34"/>
  <c r="U2890" i="34"/>
  <c r="Z2890" i="34"/>
  <c r="O2890" i="34"/>
  <c r="P2890" i="34"/>
  <c r="A2890" i="34"/>
  <c r="Q2893" i="34"/>
  <c r="U2893" i="34"/>
  <c r="Z2893" i="34"/>
  <c r="O2893" i="34"/>
  <c r="P2893" i="34"/>
  <c r="A2893" i="34"/>
  <c r="Q2976" i="34"/>
  <c r="U2976" i="34"/>
  <c r="Z2976" i="34"/>
  <c r="O2976" i="34"/>
  <c r="P2976" i="34"/>
  <c r="A2976" i="34"/>
  <c r="Q3004" i="34"/>
  <c r="U3004" i="34"/>
  <c r="Z3004" i="34"/>
  <c r="O3004" i="34"/>
  <c r="P3004" i="34"/>
  <c r="A3004" i="34"/>
  <c r="Q2985" i="34"/>
  <c r="U2985" i="34"/>
  <c r="Z2985" i="34"/>
  <c r="O2985" i="34"/>
  <c r="P2985" i="34"/>
  <c r="A2985" i="34"/>
  <c r="Q2929" i="34"/>
  <c r="U2929" i="34"/>
  <c r="Z2929" i="34"/>
  <c r="O2929" i="34"/>
  <c r="P2929" i="34"/>
  <c r="A2929" i="34"/>
  <c r="Q2960" i="34"/>
  <c r="U2960" i="34"/>
  <c r="Z2960" i="34"/>
  <c r="O2960" i="34"/>
  <c r="P2960" i="34"/>
  <c r="A2960" i="34"/>
  <c r="Q3386" i="34"/>
  <c r="U3386" i="34"/>
  <c r="Z3386" i="34"/>
  <c r="O3386" i="34"/>
  <c r="P3386" i="34"/>
  <c r="A3386" i="34"/>
  <c r="Q3475" i="34"/>
  <c r="U3475" i="34"/>
  <c r="Z3475" i="34"/>
  <c r="O3475" i="34"/>
  <c r="P3475" i="34"/>
  <c r="A3475" i="34"/>
  <c r="Q3285" i="34"/>
  <c r="U3285" i="34"/>
  <c r="Z3285" i="34"/>
  <c r="O3285" i="34"/>
  <c r="P3285" i="34"/>
  <c r="A3285" i="34"/>
  <c r="Q2878" i="34"/>
  <c r="U2878" i="34"/>
  <c r="Z2878" i="34"/>
  <c r="O2878" i="34"/>
  <c r="P2878" i="34"/>
  <c r="A2878" i="34"/>
  <c r="Q2332" i="34"/>
  <c r="U2332" i="34"/>
  <c r="Z2332" i="34"/>
  <c r="P2332" i="34"/>
  <c r="O2332" i="34"/>
  <c r="A2332" i="34"/>
  <c r="Q2328" i="34"/>
  <c r="U2328" i="34"/>
  <c r="Z2328" i="34"/>
  <c r="P2328" i="34"/>
  <c r="O2328" i="34"/>
  <c r="A2328" i="34"/>
  <c r="O2244" i="34"/>
  <c r="P2244" i="34"/>
  <c r="Q2244" i="34"/>
  <c r="U2244" i="34"/>
  <c r="Z2244" i="34"/>
  <c r="A2244" i="34"/>
  <c r="O2082" i="34"/>
  <c r="P2082" i="34"/>
  <c r="Q2082" i="34"/>
  <c r="U2082" i="34"/>
  <c r="Z2082" i="34"/>
  <c r="A2082" i="34"/>
  <c r="Q2032" i="34"/>
  <c r="U2032" i="34"/>
  <c r="Z2032" i="34"/>
  <c r="O2032" i="34"/>
  <c r="P2032" i="34"/>
  <c r="A2032" i="34"/>
  <c r="Q2897" i="34"/>
  <c r="U2897" i="34"/>
  <c r="Z2897" i="34"/>
  <c r="O2897" i="34"/>
  <c r="P2897" i="34"/>
  <c r="A2897" i="34"/>
  <c r="Q2322" i="34"/>
  <c r="U2322" i="34"/>
  <c r="Z2322" i="34"/>
  <c r="O2322" i="34"/>
  <c r="P2322" i="34"/>
  <c r="A2322" i="34"/>
  <c r="O2078" i="34"/>
  <c r="P2078" i="34"/>
  <c r="Q2078" i="34"/>
  <c r="U2078" i="34"/>
  <c r="Z2078" i="34"/>
  <c r="A2078" i="34"/>
  <c r="Q2006" i="34"/>
  <c r="U2006" i="34"/>
  <c r="Z2006" i="34"/>
  <c r="O2006" i="34"/>
  <c r="P2006" i="34"/>
  <c r="A2006" i="34"/>
  <c r="Q4374" i="34"/>
  <c r="U4374" i="34"/>
  <c r="Z4374" i="34"/>
  <c r="P4374" i="34"/>
  <c r="A4374" i="34"/>
  <c r="O4374" i="34"/>
  <c r="Q4433" i="34"/>
  <c r="U4433" i="34"/>
  <c r="Z4433" i="34"/>
  <c r="A4433" i="34"/>
  <c r="O4433" i="34"/>
  <c r="P4433" i="34"/>
  <c r="Q4439" i="34"/>
  <c r="U4439" i="34"/>
  <c r="Z4439" i="34"/>
  <c r="O4439" i="34"/>
  <c r="P4439" i="34"/>
  <c r="A4439" i="34"/>
  <c r="Q4404" i="34"/>
  <c r="U4404" i="34"/>
  <c r="Z4404" i="34"/>
  <c r="O4404" i="34"/>
  <c r="P4404" i="34"/>
  <c r="A4404" i="34"/>
  <c r="Q4441" i="34"/>
  <c r="U4441" i="34"/>
  <c r="Z4441" i="34"/>
  <c r="A4441" i="34"/>
  <c r="O4441" i="34"/>
  <c r="P4441" i="34"/>
  <c r="Q4415" i="34"/>
  <c r="U4415" i="34"/>
  <c r="Z4415" i="34"/>
  <c r="O4415" i="34"/>
  <c r="P4415" i="34"/>
  <c r="A4415" i="34"/>
  <c r="Q4382" i="34"/>
  <c r="U4382" i="34"/>
  <c r="Z4382" i="34"/>
  <c r="P4382" i="34"/>
  <c r="A4382" i="34"/>
  <c r="O4382" i="34"/>
  <c r="Q4403" i="34"/>
  <c r="U4403" i="34"/>
  <c r="Z4403" i="34"/>
  <c r="O4403" i="34"/>
  <c r="P4403" i="34"/>
  <c r="A4403" i="34"/>
  <c r="Q4430" i="34"/>
  <c r="U4430" i="34"/>
  <c r="Z4430" i="34"/>
  <c r="P4430" i="34"/>
  <c r="A4430" i="34"/>
  <c r="O4430" i="34"/>
  <c r="Q4412" i="34"/>
  <c r="U4412" i="34"/>
  <c r="Z4412" i="34"/>
  <c r="O4412" i="34"/>
  <c r="P4412" i="34"/>
  <c r="A4412" i="34"/>
  <c r="Q4429" i="34"/>
  <c r="U4429" i="34"/>
  <c r="Z4429" i="34"/>
  <c r="A4429" i="34"/>
  <c r="O4429" i="34"/>
  <c r="P4429" i="34"/>
  <c r="Q4432" i="34"/>
  <c r="U4432" i="34"/>
  <c r="Z4432" i="34"/>
  <c r="O4432" i="34"/>
  <c r="P4432" i="34"/>
  <c r="A4432" i="34"/>
  <c r="Q4424" i="34"/>
  <c r="U4424" i="34"/>
  <c r="Z4424" i="34"/>
  <c r="O4424" i="34"/>
  <c r="P4424" i="34"/>
  <c r="A4424" i="34"/>
  <c r="Q4394" i="34"/>
  <c r="U4394" i="34"/>
  <c r="Z4394" i="34"/>
  <c r="P4394" i="34"/>
  <c r="A4394" i="34"/>
  <c r="O4394" i="34"/>
  <c r="Q4407" i="34"/>
  <c r="U4407" i="34"/>
  <c r="Z4407" i="34"/>
  <c r="O4407" i="34"/>
  <c r="P4407" i="34"/>
  <c r="A4407" i="34"/>
  <c r="Q4389" i="34"/>
  <c r="U4389" i="34"/>
  <c r="Z4389" i="34"/>
  <c r="A4389" i="34"/>
  <c r="O4389" i="34"/>
  <c r="P4389" i="34"/>
  <c r="Q4401" i="34"/>
  <c r="U4401" i="34"/>
  <c r="Z4401" i="34"/>
  <c r="A4401" i="34"/>
  <c r="O4401" i="34"/>
  <c r="P4401" i="34"/>
  <c r="Q4393" i="34"/>
  <c r="U4393" i="34"/>
  <c r="Z4393" i="34"/>
  <c r="A4393" i="34"/>
  <c r="O4393" i="34"/>
  <c r="P4393" i="34"/>
  <c r="Q4369" i="34"/>
  <c r="U4369" i="34"/>
  <c r="Z4369" i="34"/>
  <c r="A4369" i="34"/>
  <c r="O4369" i="34"/>
  <c r="P4369" i="34"/>
  <c r="Q4365" i="34"/>
  <c r="U4365" i="34"/>
  <c r="Z4365" i="34"/>
  <c r="A4365" i="34"/>
  <c r="O4365" i="34"/>
  <c r="P4365" i="34"/>
  <c r="O4342" i="34"/>
  <c r="P4342" i="34"/>
  <c r="Q4342" i="34"/>
  <c r="U4342" i="34"/>
  <c r="Z4342" i="34"/>
  <c r="A4342" i="34"/>
  <c r="O4333" i="34"/>
  <c r="P4333" i="34"/>
  <c r="Q4333" i="34"/>
  <c r="U4333" i="34"/>
  <c r="Z4333" i="34"/>
  <c r="A4333" i="34"/>
  <c r="O3925" i="34"/>
  <c r="P3925" i="34"/>
  <c r="Q3925" i="34"/>
  <c r="U3925" i="34"/>
  <c r="Z3925" i="34"/>
  <c r="A3925" i="34"/>
  <c r="O3920" i="34"/>
  <c r="P3920" i="34"/>
  <c r="Q3920" i="34"/>
  <c r="U3920" i="34"/>
  <c r="Z3920" i="34"/>
  <c r="A3920" i="34"/>
  <c r="Q3487" i="34"/>
  <c r="U3487" i="34"/>
  <c r="Z3487" i="34"/>
  <c r="O3487" i="34"/>
  <c r="P3487" i="34"/>
  <c r="A3487" i="34"/>
  <c r="Q3453" i="34"/>
  <c r="U3453" i="34"/>
  <c r="Z3453" i="34"/>
  <c r="O3453" i="34"/>
  <c r="P3453" i="34"/>
  <c r="A3453" i="34"/>
  <c r="Q3452" i="34"/>
  <c r="U3452" i="34"/>
  <c r="Z3452" i="34"/>
  <c r="P3452" i="34"/>
  <c r="O3452" i="34"/>
  <c r="A3452" i="34"/>
  <c r="Q3440" i="34"/>
  <c r="U3440" i="34"/>
  <c r="Z3440" i="34"/>
  <c r="P3440" i="34"/>
  <c r="O3440" i="34"/>
  <c r="A3440" i="34"/>
  <c r="Q3436" i="34"/>
  <c r="U3436" i="34"/>
  <c r="Z3436" i="34"/>
  <c r="P3436" i="34"/>
  <c r="O3436" i="34"/>
  <c r="A3436" i="34"/>
  <c r="Q3355" i="34"/>
  <c r="U3355" i="34"/>
  <c r="Z3355" i="34"/>
  <c r="P3355" i="34"/>
  <c r="O3355" i="34"/>
  <c r="A3355" i="34"/>
  <c r="Q3351" i="34"/>
  <c r="U3351" i="34"/>
  <c r="Z3351" i="34"/>
  <c r="P3351" i="34"/>
  <c r="O3351" i="34"/>
  <c r="A3351" i="34"/>
  <c r="Q3347" i="34"/>
  <c r="U3347" i="34"/>
  <c r="Z3347" i="34"/>
  <c r="P3347" i="34"/>
  <c r="O3347" i="34"/>
  <c r="A3347" i="34"/>
  <c r="Q3343" i="34"/>
  <c r="U3343" i="34"/>
  <c r="Z3343" i="34"/>
  <c r="P3343" i="34"/>
  <c r="O3343" i="34"/>
  <c r="A3343" i="34"/>
  <c r="Q3339" i="34"/>
  <c r="U3339" i="34"/>
  <c r="Z3339" i="34"/>
  <c r="P3339" i="34"/>
  <c r="O3339" i="34"/>
  <c r="A3339" i="34"/>
  <c r="Q3335" i="34"/>
  <c r="U3335" i="34"/>
  <c r="Z3335" i="34"/>
  <c r="P3335" i="34"/>
  <c r="O3335" i="34"/>
  <c r="A3335" i="34"/>
  <c r="Q3331" i="34"/>
  <c r="U3331" i="34"/>
  <c r="Z3331" i="34"/>
  <c r="P3331" i="34"/>
  <c r="O3331" i="34"/>
  <c r="A3331" i="34"/>
  <c r="Q3327" i="34"/>
  <c r="U3327" i="34"/>
  <c r="Z3327" i="34"/>
  <c r="P3327" i="34"/>
  <c r="O3327" i="34"/>
  <c r="A3327" i="34"/>
  <c r="Q3323" i="34"/>
  <c r="U3323" i="34"/>
  <c r="Z3323" i="34"/>
  <c r="P3323" i="34"/>
  <c r="O3323" i="34"/>
  <c r="A3323" i="34"/>
  <c r="Q3319" i="34"/>
  <c r="U3319" i="34"/>
  <c r="Z3319" i="34"/>
  <c r="P3319" i="34"/>
  <c r="O3319" i="34"/>
  <c r="A3319" i="34"/>
  <c r="Q3315" i="34"/>
  <c r="U3315" i="34"/>
  <c r="Z3315" i="34"/>
  <c r="P3315" i="34"/>
  <c r="O3315" i="34"/>
  <c r="A3315" i="34"/>
  <c r="Q3311" i="34"/>
  <c r="U3311" i="34"/>
  <c r="Z3311" i="34"/>
  <c r="P3311" i="34"/>
  <c r="O3311" i="34"/>
  <c r="A3311" i="34"/>
  <c r="Q3284" i="34"/>
  <c r="U3284" i="34"/>
  <c r="Z3284" i="34"/>
  <c r="O3284" i="34"/>
  <c r="P3284" i="34"/>
  <c r="A3284" i="34"/>
  <c r="Q3280" i="34"/>
  <c r="U3280" i="34"/>
  <c r="Z3280" i="34"/>
  <c r="O3280" i="34"/>
  <c r="P3280" i="34"/>
  <c r="A3280" i="34"/>
  <c r="Q3276" i="34"/>
  <c r="U3276" i="34"/>
  <c r="Z3276" i="34"/>
  <c r="O3276" i="34"/>
  <c r="P3276" i="34"/>
  <c r="A3276" i="34"/>
  <c r="Q3396" i="34"/>
  <c r="U3396" i="34"/>
  <c r="Z3396" i="34"/>
  <c r="O3396" i="34"/>
  <c r="P3396" i="34"/>
  <c r="A3396" i="34"/>
  <c r="Q2962" i="34"/>
  <c r="U2962" i="34"/>
  <c r="Z2962" i="34"/>
  <c r="O2962" i="34"/>
  <c r="P2962" i="34"/>
  <c r="A2962" i="34"/>
  <c r="Q2928" i="34"/>
  <c r="U2928" i="34"/>
  <c r="Z2928" i="34"/>
  <c r="O2928" i="34"/>
  <c r="P2928" i="34"/>
  <c r="A2928" i="34"/>
  <c r="Q2968" i="34"/>
  <c r="U2968" i="34"/>
  <c r="Z2968" i="34"/>
  <c r="O2968" i="34"/>
  <c r="P2968" i="34"/>
  <c r="A2968" i="34"/>
  <c r="Q2979" i="34"/>
  <c r="U2979" i="34"/>
  <c r="Z2979" i="34"/>
  <c r="P2979" i="34"/>
  <c r="O2979" i="34"/>
  <c r="A2979" i="34"/>
  <c r="Q3003" i="34"/>
  <c r="U3003" i="34"/>
  <c r="Z3003" i="34"/>
  <c r="P3003" i="34"/>
  <c r="O3003" i="34"/>
  <c r="A3003" i="34"/>
  <c r="Q2922" i="34"/>
  <c r="U2922" i="34"/>
  <c r="Z2922" i="34"/>
  <c r="O2922" i="34"/>
  <c r="P2922" i="34"/>
  <c r="A2922" i="34"/>
  <c r="Q2972" i="34"/>
  <c r="U2972" i="34"/>
  <c r="Z2972" i="34"/>
  <c r="O2972" i="34"/>
  <c r="P2972" i="34"/>
  <c r="A2972" i="34"/>
  <c r="Q2990" i="34"/>
  <c r="U2990" i="34"/>
  <c r="Z2990" i="34"/>
  <c r="O2990" i="34"/>
  <c r="P2990" i="34"/>
  <c r="A2990" i="34"/>
  <c r="Q2950" i="34"/>
  <c r="U2950" i="34"/>
  <c r="Z2950" i="34"/>
  <c r="O2950" i="34"/>
  <c r="P2950" i="34"/>
  <c r="A2950" i="34"/>
  <c r="Q2951" i="34"/>
  <c r="U2951" i="34"/>
  <c r="Z2951" i="34"/>
  <c r="P2951" i="34"/>
  <c r="O2951" i="34"/>
  <c r="A2951" i="34"/>
  <c r="Q2949" i="34"/>
  <c r="U2949" i="34"/>
  <c r="Z2949" i="34"/>
  <c r="O2949" i="34"/>
  <c r="P2949" i="34"/>
  <c r="A2949" i="34"/>
  <c r="Q2992" i="34"/>
  <c r="U2992" i="34"/>
  <c r="Z2992" i="34"/>
  <c r="O2992" i="34"/>
  <c r="P2992" i="34"/>
  <c r="A2992" i="34"/>
  <c r="Q3001" i="34"/>
  <c r="U3001" i="34"/>
  <c r="Z3001" i="34"/>
  <c r="O3001" i="34"/>
  <c r="P3001" i="34"/>
  <c r="A3001" i="34"/>
  <c r="Q2941" i="34"/>
  <c r="U2941" i="34"/>
  <c r="Z2941" i="34"/>
  <c r="O2941" i="34"/>
  <c r="P2941" i="34"/>
  <c r="A2941" i="34"/>
  <c r="Q2984" i="34"/>
  <c r="U2984" i="34"/>
  <c r="Z2984" i="34"/>
  <c r="O2984" i="34"/>
  <c r="P2984" i="34"/>
  <c r="A2984" i="34"/>
  <c r="Q2916" i="34"/>
  <c r="U2916" i="34"/>
  <c r="Z2916" i="34"/>
  <c r="O2916" i="34"/>
  <c r="P2916" i="34"/>
  <c r="A2916" i="34"/>
  <c r="Q2891" i="34"/>
  <c r="U2891" i="34"/>
  <c r="Z2891" i="34"/>
  <c r="P2891" i="34"/>
  <c r="O2891" i="34"/>
  <c r="A2891" i="34"/>
  <c r="Q2009" i="34"/>
  <c r="U2009" i="34"/>
  <c r="Z2009" i="34"/>
  <c r="O2009" i="34"/>
  <c r="P2009" i="34"/>
  <c r="A2009" i="34"/>
  <c r="O3498" i="34"/>
  <c r="P3498" i="34"/>
  <c r="Q3498" i="34"/>
  <c r="U3498" i="34"/>
  <c r="Z3498" i="34"/>
  <c r="A3498" i="34"/>
  <c r="Q3479" i="34"/>
  <c r="U3479" i="34"/>
  <c r="Z3479" i="34"/>
  <c r="O3479" i="34"/>
  <c r="P3479" i="34"/>
  <c r="A3479" i="34"/>
  <c r="Q3438" i="34"/>
  <c r="U3438" i="34"/>
  <c r="Z3438" i="34"/>
  <c r="O3438" i="34"/>
  <c r="P3438" i="34"/>
  <c r="A3438" i="34"/>
  <c r="O3518" i="34"/>
  <c r="P3518" i="34"/>
  <c r="Q3518" i="34"/>
  <c r="U3518" i="34"/>
  <c r="Z3518" i="34"/>
  <c r="A3518" i="34"/>
  <c r="Q2341" i="34"/>
  <c r="U2341" i="34"/>
  <c r="Z2341" i="34"/>
  <c r="O2341" i="34"/>
  <c r="P2341" i="34"/>
  <c r="A2341" i="34"/>
  <c r="Q2338" i="34"/>
  <c r="U2338" i="34"/>
  <c r="Z2338" i="34"/>
  <c r="O2338" i="34"/>
  <c r="P2338" i="34"/>
  <c r="A2338" i="34"/>
  <c r="Q3381" i="34"/>
  <c r="U3381" i="34"/>
  <c r="Z3381" i="34"/>
  <c r="O3381" i="34"/>
  <c r="P3381" i="34"/>
  <c r="A3381" i="34"/>
  <c r="Q3382" i="34"/>
  <c r="U3382" i="34"/>
  <c r="Z3382" i="34"/>
  <c r="O3382" i="34"/>
  <c r="P3382" i="34"/>
  <c r="A3382" i="34"/>
  <c r="Q3429" i="34"/>
  <c r="U3429" i="34"/>
  <c r="Z3429" i="34"/>
  <c r="O3429" i="34"/>
  <c r="P3429" i="34"/>
  <c r="A3429" i="34"/>
  <c r="Q3425" i="34"/>
  <c r="U3425" i="34"/>
  <c r="Z3425" i="34"/>
  <c r="O3425" i="34"/>
  <c r="P3425" i="34"/>
  <c r="A3425" i="34"/>
  <c r="Q3423" i="34"/>
  <c r="U3423" i="34"/>
  <c r="Z3423" i="34"/>
  <c r="O3423" i="34"/>
  <c r="P3423" i="34"/>
  <c r="A3423" i="34"/>
  <c r="O4329" i="34"/>
  <c r="P4329" i="34"/>
  <c r="Q4329" i="34"/>
  <c r="U4329" i="34"/>
  <c r="Z4329" i="34"/>
  <c r="A4329" i="34"/>
  <c r="O4325" i="34"/>
  <c r="P4325" i="34"/>
  <c r="Q4325" i="34"/>
  <c r="U4325" i="34"/>
  <c r="Z4325" i="34"/>
  <c r="A4325" i="34"/>
  <c r="O4321" i="34"/>
  <c r="P4321" i="34"/>
  <c r="Q4321" i="34"/>
  <c r="U4321" i="34"/>
  <c r="Z4321" i="34"/>
  <c r="A4321" i="34"/>
  <c r="O4303" i="34"/>
  <c r="P4303" i="34"/>
  <c r="Q4303" i="34"/>
  <c r="U4303" i="34"/>
  <c r="Z4303" i="34"/>
  <c r="A4303" i="34"/>
  <c r="O4299" i="34"/>
  <c r="P4299" i="34"/>
  <c r="Q4299" i="34"/>
  <c r="U4299" i="34"/>
  <c r="Z4299" i="34"/>
  <c r="A4299" i="34"/>
  <c r="O4295" i="34"/>
  <c r="P4295" i="34"/>
  <c r="Q4295" i="34"/>
  <c r="U4295" i="34"/>
  <c r="Z4295" i="34"/>
  <c r="A4295" i="34"/>
  <c r="O4291" i="34"/>
  <c r="P4291" i="34"/>
  <c r="Q4291" i="34"/>
  <c r="U4291" i="34"/>
  <c r="Z4291" i="34"/>
  <c r="A4291" i="34"/>
  <c r="O4286" i="34"/>
  <c r="P4286" i="34"/>
  <c r="Q4286" i="34"/>
  <c r="U4286" i="34"/>
  <c r="Z4286" i="34"/>
  <c r="A4286" i="34"/>
  <c r="O4282" i="34"/>
  <c r="P4282" i="34"/>
  <c r="Q4282" i="34"/>
  <c r="U4282" i="34"/>
  <c r="Z4282" i="34"/>
  <c r="A4282" i="34"/>
  <c r="O4278" i="34"/>
  <c r="P4278" i="34"/>
  <c r="Q4278" i="34"/>
  <c r="U4278" i="34"/>
  <c r="Z4278" i="34"/>
  <c r="A4278" i="34"/>
  <c r="O4274" i="34"/>
  <c r="P4274" i="34"/>
  <c r="Q4274" i="34"/>
  <c r="U4274" i="34"/>
  <c r="Z4274" i="34"/>
  <c r="A4274" i="34"/>
  <c r="O4270" i="34"/>
  <c r="P4270" i="34"/>
  <c r="Q4270" i="34"/>
  <c r="U4270" i="34"/>
  <c r="Z4270" i="34"/>
  <c r="A4270" i="34"/>
  <c r="O4266" i="34"/>
  <c r="P4266" i="34"/>
  <c r="Q4266" i="34"/>
  <c r="U4266" i="34"/>
  <c r="Z4266" i="34"/>
  <c r="A4266" i="34"/>
  <c r="O4262" i="34"/>
  <c r="P4262" i="34"/>
  <c r="Q4262" i="34"/>
  <c r="U4262" i="34"/>
  <c r="Z4262" i="34"/>
  <c r="A4262" i="34"/>
  <c r="O4258" i="34"/>
  <c r="P4258" i="34"/>
  <c r="Q4258" i="34"/>
  <c r="U4258" i="34"/>
  <c r="Z4258" i="34"/>
  <c r="A4258" i="34"/>
  <c r="O4254" i="34"/>
  <c r="P4254" i="34"/>
  <c r="Q4254" i="34"/>
  <c r="U4254" i="34"/>
  <c r="Z4254" i="34"/>
  <c r="A4254" i="34"/>
  <c r="O4250" i="34"/>
  <c r="P4250" i="34"/>
  <c r="Q4250" i="34"/>
  <c r="U4250" i="34"/>
  <c r="Z4250" i="34"/>
  <c r="A4250" i="34"/>
  <c r="O4246" i="34"/>
  <c r="P4246" i="34"/>
  <c r="Q4246" i="34"/>
  <c r="U4246" i="34"/>
  <c r="Z4246" i="34"/>
  <c r="A4246" i="34"/>
  <c r="O4107" i="34"/>
  <c r="P4107" i="34"/>
  <c r="Q4107" i="34"/>
  <c r="U4107" i="34"/>
  <c r="Z4107" i="34"/>
  <c r="A4107" i="34"/>
  <c r="O4103" i="34"/>
  <c r="P4103" i="34"/>
  <c r="Q4103" i="34"/>
  <c r="U4103" i="34"/>
  <c r="Z4103" i="34"/>
  <c r="A4103" i="34"/>
  <c r="O4099" i="34"/>
  <c r="P4099" i="34"/>
  <c r="Q4099" i="34"/>
  <c r="U4099" i="34"/>
  <c r="Z4099" i="34"/>
  <c r="A4099" i="34"/>
  <c r="O3963" i="34"/>
  <c r="P3963" i="34"/>
  <c r="Q3963" i="34"/>
  <c r="U3963" i="34"/>
  <c r="Z3963" i="34"/>
  <c r="A3963" i="34"/>
  <c r="O3962" i="34"/>
  <c r="P3962" i="34"/>
  <c r="Q3962" i="34"/>
  <c r="U3962" i="34"/>
  <c r="Z3962" i="34"/>
  <c r="A3962" i="34"/>
  <c r="O3958" i="34"/>
  <c r="P3958" i="34"/>
  <c r="Q3958" i="34"/>
  <c r="U3958" i="34"/>
  <c r="Z3958" i="34"/>
  <c r="A3958" i="34"/>
  <c r="O3954" i="34"/>
  <c r="P3954" i="34"/>
  <c r="Q3954" i="34"/>
  <c r="U3954" i="34"/>
  <c r="Z3954" i="34"/>
  <c r="A3954" i="34"/>
  <c r="O3950" i="34"/>
  <c r="P3950" i="34"/>
  <c r="Q3950" i="34"/>
  <c r="U3950" i="34"/>
  <c r="Z3950" i="34"/>
  <c r="A3950" i="34"/>
  <c r="O3946" i="34"/>
  <c r="P3946" i="34"/>
  <c r="Q3946" i="34"/>
  <c r="U3946" i="34"/>
  <c r="Z3946" i="34"/>
  <c r="A3946" i="34"/>
  <c r="O3930" i="34"/>
  <c r="P3930" i="34"/>
  <c r="Q3930" i="34"/>
  <c r="U3930" i="34"/>
  <c r="Z3930" i="34"/>
  <c r="A3930" i="34"/>
  <c r="Q2864" i="34"/>
  <c r="U2864" i="34"/>
  <c r="Z2864" i="34"/>
  <c r="O2864" i="34"/>
  <c r="P2864" i="34"/>
  <c r="A2864" i="34"/>
  <c r="Q2860" i="34"/>
  <c r="U2860" i="34"/>
  <c r="Z2860" i="34"/>
  <c r="O2860" i="34"/>
  <c r="P2860" i="34"/>
  <c r="A2860" i="34"/>
  <c r="Q2856" i="34"/>
  <c r="U2856" i="34"/>
  <c r="Z2856" i="34"/>
  <c r="O2856" i="34"/>
  <c r="P2856" i="34"/>
  <c r="A2856" i="34"/>
  <c r="Q2852" i="34"/>
  <c r="U2852" i="34"/>
  <c r="Z2852" i="34"/>
  <c r="O2852" i="34"/>
  <c r="P2852" i="34"/>
  <c r="A2852" i="34"/>
  <c r="Q2848" i="34"/>
  <c r="U2848" i="34"/>
  <c r="Z2848" i="34"/>
  <c r="O2848" i="34"/>
  <c r="P2848" i="34"/>
  <c r="A2848" i="34"/>
  <c r="Q2844" i="34"/>
  <c r="U2844" i="34"/>
  <c r="Z2844" i="34"/>
  <c r="O2844" i="34"/>
  <c r="P2844" i="34"/>
  <c r="A2844" i="34"/>
  <c r="Q2840" i="34"/>
  <c r="U2840" i="34"/>
  <c r="Z2840" i="34"/>
  <c r="O2840" i="34"/>
  <c r="P2840" i="34"/>
  <c r="A2840" i="34"/>
  <c r="Q2836" i="34"/>
  <c r="U2836" i="34"/>
  <c r="Z2836" i="34"/>
  <c r="O2836" i="34"/>
  <c r="P2836" i="34"/>
  <c r="A2836" i="34"/>
  <c r="Q2832" i="34"/>
  <c r="U2832" i="34"/>
  <c r="Z2832" i="34"/>
  <c r="O2832" i="34"/>
  <c r="P2832" i="34"/>
  <c r="A2832" i="34"/>
  <c r="Q2828" i="34"/>
  <c r="U2828" i="34"/>
  <c r="Z2828" i="34"/>
  <c r="O2828" i="34"/>
  <c r="P2828" i="34"/>
  <c r="A2828" i="34"/>
  <c r="Q2823" i="34"/>
  <c r="U2823" i="34"/>
  <c r="Z2823" i="34"/>
  <c r="P2823" i="34"/>
  <c r="O2823" i="34"/>
  <c r="A2823" i="34"/>
  <c r="Q2819" i="34"/>
  <c r="U2819" i="34"/>
  <c r="Z2819" i="34"/>
  <c r="P2819" i="34"/>
  <c r="O2819" i="34"/>
  <c r="A2819" i="34"/>
  <c r="Q2815" i="34"/>
  <c r="U2815" i="34"/>
  <c r="Z2815" i="34"/>
  <c r="P2815" i="34"/>
  <c r="O2815" i="34"/>
  <c r="A2815" i="34"/>
  <c r="Q2415" i="34"/>
  <c r="U2415" i="34"/>
  <c r="Z2415" i="34"/>
  <c r="O2415" i="34"/>
  <c r="P2415" i="34"/>
  <c r="A2415" i="34"/>
  <c r="Q2411" i="34"/>
  <c r="U2411" i="34"/>
  <c r="Z2411" i="34"/>
  <c r="O2411" i="34"/>
  <c r="P2411" i="34"/>
  <c r="A2411" i="34"/>
  <c r="Q2407" i="34"/>
  <c r="U2407" i="34"/>
  <c r="Z2407" i="34"/>
  <c r="O2407" i="34"/>
  <c r="P2407" i="34"/>
  <c r="A2407" i="34"/>
  <c r="Q2403" i="34"/>
  <c r="U2403" i="34"/>
  <c r="Z2403" i="34"/>
  <c r="O2403" i="34"/>
  <c r="P2403" i="34"/>
  <c r="A2403" i="34"/>
  <c r="Q2399" i="34"/>
  <c r="U2399" i="34"/>
  <c r="Z2399" i="34"/>
  <c r="O2399" i="34"/>
  <c r="P2399" i="34"/>
  <c r="A2399" i="34"/>
  <c r="Q2395" i="34"/>
  <c r="U2395" i="34"/>
  <c r="Z2395" i="34"/>
  <c r="O2395" i="34"/>
  <c r="P2395" i="34"/>
  <c r="A2395" i="34"/>
  <c r="Q2391" i="34"/>
  <c r="U2391" i="34"/>
  <c r="Z2391" i="34"/>
  <c r="O2391" i="34"/>
  <c r="P2391" i="34"/>
  <c r="A2391" i="34"/>
  <c r="Q2387" i="34"/>
  <c r="U2387" i="34"/>
  <c r="Z2387" i="34"/>
  <c r="O2387" i="34"/>
  <c r="P2387" i="34"/>
  <c r="A2387" i="34"/>
  <c r="Q2383" i="34"/>
  <c r="U2383" i="34"/>
  <c r="Z2383" i="34"/>
  <c r="O2383" i="34"/>
  <c r="P2383" i="34"/>
  <c r="A2383" i="34"/>
  <c r="Q2379" i="34"/>
  <c r="U2379" i="34"/>
  <c r="Z2379" i="34"/>
  <c r="O2379" i="34"/>
  <c r="P2379" i="34"/>
  <c r="A2379" i="34"/>
  <c r="Q2375" i="34"/>
  <c r="U2375" i="34"/>
  <c r="Z2375" i="34"/>
  <c r="O2375" i="34"/>
  <c r="P2375" i="34"/>
  <c r="A2375" i="34"/>
  <c r="Q2371" i="34"/>
  <c r="U2371" i="34"/>
  <c r="Z2371" i="34"/>
  <c r="O2371" i="34"/>
  <c r="P2371" i="34"/>
  <c r="A2371" i="34"/>
  <c r="Q2367" i="34"/>
  <c r="U2367" i="34"/>
  <c r="Z2367" i="34"/>
  <c r="O2367" i="34"/>
  <c r="P2367" i="34"/>
  <c r="A2367" i="34"/>
  <c r="Q2363" i="34"/>
  <c r="U2363" i="34"/>
  <c r="Z2363" i="34"/>
  <c r="O2363" i="34"/>
  <c r="P2363" i="34"/>
  <c r="A2363" i="34"/>
  <c r="Q2359" i="34"/>
  <c r="U2359" i="34"/>
  <c r="Z2359" i="34"/>
  <c r="O2359" i="34"/>
  <c r="P2359" i="34"/>
  <c r="A2359" i="34"/>
  <c r="Q2355" i="34"/>
  <c r="U2355" i="34"/>
  <c r="Z2355" i="34"/>
  <c r="O2355" i="34"/>
  <c r="P2355" i="34"/>
  <c r="A2355" i="34"/>
  <c r="Q2351" i="34"/>
  <c r="U2351" i="34"/>
  <c r="Z2351" i="34"/>
  <c r="O2351" i="34"/>
  <c r="P2351" i="34"/>
  <c r="A2351" i="34"/>
  <c r="Q1829" i="34"/>
  <c r="U1829" i="34"/>
  <c r="Z1829" i="34"/>
  <c r="O1829" i="34"/>
  <c r="P1829" i="34"/>
  <c r="A1829" i="34"/>
  <c r="Q1819" i="34"/>
  <c r="U1819" i="34"/>
  <c r="Z1819" i="34"/>
  <c r="O1819" i="34"/>
  <c r="P1819" i="34"/>
  <c r="A1819" i="34"/>
  <c r="Q1887" i="34"/>
  <c r="U1887" i="34"/>
  <c r="Z1887" i="34"/>
  <c r="O1887" i="34"/>
  <c r="P1887" i="34"/>
  <c r="A1887" i="34"/>
  <c r="Q1685" i="34"/>
  <c r="U1685" i="34"/>
  <c r="Z1685" i="34"/>
  <c r="O1685" i="34"/>
  <c r="P1685" i="34"/>
  <c r="A1685" i="34"/>
  <c r="Q1892" i="34"/>
  <c r="U1892" i="34"/>
  <c r="Z1892" i="34"/>
  <c r="P1892" i="34"/>
  <c r="O1892" i="34"/>
  <c r="A1892" i="34"/>
  <c r="Q1664" i="34"/>
  <c r="U1664" i="34"/>
  <c r="Z1664" i="34"/>
  <c r="O1664" i="34"/>
  <c r="P1664" i="34"/>
  <c r="A1664" i="34"/>
  <c r="Q3307" i="34"/>
  <c r="U3307" i="34"/>
  <c r="Z3307" i="34"/>
  <c r="P3307" i="34"/>
  <c r="O3307" i="34"/>
  <c r="A3307" i="34"/>
  <c r="Q1899" i="34"/>
  <c r="U1899" i="34"/>
  <c r="Z1899" i="34"/>
  <c r="O1899" i="34"/>
  <c r="P1899" i="34"/>
  <c r="A1899" i="34"/>
  <c r="Q1827" i="34"/>
  <c r="U1827" i="34"/>
  <c r="Z1827" i="34"/>
  <c r="O1827" i="34"/>
  <c r="P1827" i="34"/>
  <c r="A1827" i="34"/>
  <c r="Q1778" i="34"/>
  <c r="U1778" i="34"/>
  <c r="Z1778" i="34"/>
  <c r="O1778" i="34"/>
  <c r="P1778" i="34"/>
  <c r="A1778" i="34"/>
  <c r="Q1758" i="34"/>
  <c r="U1758" i="34"/>
  <c r="Z1758" i="34"/>
  <c r="O1758" i="34"/>
  <c r="P1758" i="34"/>
  <c r="A1758" i="34"/>
  <c r="Q1750" i="34"/>
  <c r="U1750" i="34"/>
  <c r="Z1750" i="34"/>
  <c r="O1750" i="34"/>
  <c r="P1750" i="34"/>
  <c r="A1750" i="34"/>
  <c r="Q1741" i="34"/>
  <c r="U1741" i="34"/>
  <c r="Z1741" i="34"/>
  <c r="O1741" i="34"/>
  <c r="P1741" i="34"/>
  <c r="A1741" i="34"/>
  <c r="Q1690" i="34"/>
  <c r="U1690" i="34"/>
  <c r="Z1690" i="34"/>
  <c r="O1690" i="34"/>
  <c r="P1690" i="34"/>
  <c r="A1690" i="34"/>
  <c r="P1620" i="34"/>
  <c r="Q1620" i="34"/>
  <c r="U1620" i="34"/>
  <c r="Z1620" i="34"/>
  <c r="O1620" i="34"/>
  <c r="A1620" i="34"/>
  <c r="P1612" i="34"/>
  <c r="Q1612" i="34"/>
  <c r="U1612" i="34"/>
  <c r="Z1612" i="34"/>
  <c r="O1612" i="34"/>
  <c r="A1612" i="34"/>
  <c r="Q1859" i="34"/>
  <c r="U1859" i="34"/>
  <c r="Z1859" i="34"/>
  <c r="O1859" i="34"/>
  <c r="P1859" i="34"/>
  <c r="A1859" i="34"/>
  <c r="Q1854" i="34"/>
  <c r="U1854" i="34"/>
  <c r="Z1854" i="34"/>
  <c r="O1854" i="34"/>
  <c r="P1854" i="34"/>
  <c r="A1854" i="34"/>
  <c r="Q1850" i="34"/>
  <c r="U1850" i="34"/>
  <c r="Z1850" i="34"/>
  <c r="O1850" i="34"/>
  <c r="P1850" i="34"/>
  <c r="A1850" i="34"/>
  <c r="Q1845" i="34"/>
  <c r="U1845" i="34"/>
  <c r="Z1845" i="34"/>
  <c r="O1845" i="34"/>
  <c r="P1845" i="34"/>
  <c r="A1845" i="34"/>
  <c r="Q1765" i="34"/>
  <c r="U1765" i="34"/>
  <c r="Z1765" i="34"/>
  <c r="O1765" i="34"/>
  <c r="P1765" i="34"/>
  <c r="A1765" i="34"/>
  <c r="Q1761" i="34"/>
  <c r="U1761" i="34"/>
  <c r="Z1761" i="34"/>
  <c r="O1761" i="34"/>
  <c r="P1761" i="34"/>
  <c r="A1761" i="34"/>
  <c r="Q1731" i="34"/>
  <c r="U1731" i="34"/>
  <c r="Z1731" i="34"/>
  <c r="O1731" i="34"/>
  <c r="P1731" i="34"/>
  <c r="A1731" i="34"/>
  <c r="Q1681" i="34"/>
  <c r="U1681" i="34"/>
  <c r="Z1681" i="34"/>
  <c r="O1681" i="34"/>
  <c r="P1681" i="34"/>
  <c r="A1681" i="34"/>
  <c r="Q1676" i="34"/>
  <c r="U1676" i="34"/>
  <c r="Z1676" i="34"/>
  <c r="P1676" i="34"/>
  <c r="O1676" i="34"/>
  <c r="A1676" i="34"/>
  <c r="Q1669" i="34"/>
  <c r="U1669" i="34"/>
  <c r="Z1669" i="34"/>
  <c r="O1669" i="34"/>
  <c r="P1669" i="34"/>
  <c r="A1669" i="34"/>
  <c r="Q1867" i="34"/>
  <c r="U1867" i="34"/>
  <c r="Z1867" i="34"/>
  <c r="O1867" i="34"/>
  <c r="P1867" i="34"/>
  <c r="A1867" i="34"/>
  <c r="P1613" i="34"/>
  <c r="Q1613" i="34"/>
  <c r="U1613" i="34"/>
  <c r="Z1613" i="34"/>
  <c r="O1613" i="34"/>
  <c r="A1613" i="34"/>
  <c r="Q1654" i="34"/>
  <c r="U1654" i="34"/>
  <c r="Z1654" i="34"/>
  <c r="O1654" i="34"/>
  <c r="P1654" i="34"/>
  <c r="A1654" i="34"/>
  <c r="P1646" i="34"/>
  <c r="Q1646" i="34"/>
  <c r="U1646" i="34"/>
  <c r="Z1646" i="34"/>
  <c r="O1646" i="34"/>
  <c r="A1646" i="34"/>
  <c r="P1650" i="34"/>
  <c r="Q1650" i="34"/>
  <c r="U1650" i="34"/>
  <c r="Z1650" i="34"/>
  <c r="O1650" i="34"/>
  <c r="A1650" i="34"/>
  <c r="P1631" i="34"/>
  <c r="Q1631" i="34"/>
  <c r="U1631" i="34"/>
  <c r="Z1631" i="34"/>
  <c r="O1631" i="34"/>
  <c r="A1631" i="34"/>
  <c r="P1635" i="34"/>
  <c r="Q1635" i="34"/>
  <c r="U1635" i="34"/>
  <c r="Z1635" i="34"/>
  <c r="O1635" i="34"/>
  <c r="A1635" i="34"/>
  <c r="P1639" i="34"/>
  <c r="Q1639" i="34"/>
  <c r="U1639" i="34"/>
  <c r="Z1639" i="34"/>
  <c r="O1639" i="34"/>
  <c r="A1639" i="34"/>
  <c r="P1643" i="34"/>
  <c r="Q1643" i="34"/>
  <c r="U1643" i="34"/>
  <c r="Z1643" i="34"/>
  <c r="O1643" i="34"/>
  <c r="A1643" i="34"/>
  <c r="Q1931" i="34"/>
  <c r="U1931" i="34"/>
  <c r="Z1931" i="34"/>
  <c r="O1931" i="34"/>
  <c r="P1931" i="34"/>
  <c r="A1931" i="34"/>
  <c r="Q1918" i="34"/>
  <c r="U1918" i="34"/>
  <c r="Z1918" i="34"/>
  <c r="O1918" i="34"/>
  <c r="P1918" i="34"/>
  <c r="A1918" i="34"/>
  <c r="Q1923" i="34"/>
  <c r="U1923" i="34"/>
  <c r="Z1923" i="34"/>
  <c r="O1923" i="34"/>
  <c r="P1923" i="34"/>
  <c r="A1923" i="34"/>
  <c r="Q1904" i="34"/>
  <c r="U1904" i="34"/>
  <c r="Z1904" i="34"/>
  <c r="P1904" i="34"/>
  <c r="O1904" i="34"/>
  <c r="A1904" i="34"/>
  <c r="Q1910" i="34"/>
  <c r="U1910" i="34"/>
  <c r="Z1910" i="34"/>
  <c r="O1910" i="34"/>
  <c r="P1910" i="34"/>
  <c r="A1910" i="34"/>
  <c r="Q1915" i="34"/>
  <c r="U1915" i="34"/>
  <c r="Z1915" i="34"/>
  <c r="O1915" i="34"/>
  <c r="P1915" i="34"/>
  <c r="A1915" i="34"/>
  <c r="Q1820" i="34"/>
  <c r="U1820" i="34"/>
  <c r="Z1820" i="34"/>
  <c r="P1820" i="34"/>
  <c r="O1820" i="34"/>
  <c r="A1820" i="34"/>
  <c r="O3514" i="34"/>
  <c r="P3514" i="34"/>
  <c r="Q3514" i="34"/>
  <c r="U3514" i="34"/>
  <c r="Z3514" i="34"/>
  <c r="A3514" i="34"/>
  <c r="Q3439" i="34"/>
  <c r="U3439" i="34"/>
  <c r="Z3439" i="34"/>
  <c r="O3439" i="34"/>
  <c r="P3439" i="34"/>
  <c r="A3439" i="34"/>
  <c r="Q3303" i="34"/>
  <c r="U3303" i="34"/>
  <c r="Z3303" i="34"/>
  <c r="P3303" i="34"/>
  <c r="O3303" i="34"/>
  <c r="A3303" i="34"/>
  <c r="Q3299" i="34"/>
  <c r="U3299" i="34"/>
  <c r="Z3299" i="34"/>
  <c r="P3299" i="34"/>
  <c r="O3299" i="34"/>
  <c r="A3299" i="34"/>
  <c r="Q3295" i="34"/>
  <c r="U3295" i="34"/>
  <c r="Z3295" i="34"/>
  <c r="P3295" i="34"/>
  <c r="O3295" i="34"/>
  <c r="A3295" i="34"/>
  <c r="O4358" i="34"/>
  <c r="Q4358" i="34"/>
  <c r="U4358" i="34"/>
  <c r="Z4358" i="34"/>
  <c r="P4358" i="34"/>
  <c r="A4358" i="34"/>
  <c r="O4354" i="34"/>
  <c r="P4354" i="34"/>
  <c r="Q4354" i="34"/>
  <c r="U4354" i="34"/>
  <c r="Z4354" i="34"/>
  <c r="A4354" i="34"/>
  <c r="O4350" i="34"/>
  <c r="P4350" i="34"/>
  <c r="Q4350" i="34"/>
  <c r="U4350" i="34"/>
  <c r="Z4350" i="34"/>
  <c r="A4350" i="34"/>
  <c r="O4346" i="34"/>
  <c r="P4346" i="34"/>
  <c r="Q4346" i="34"/>
  <c r="U4346" i="34"/>
  <c r="Z4346" i="34"/>
  <c r="A4346" i="34"/>
  <c r="Q2904" i="34"/>
  <c r="U2904" i="34"/>
  <c r="Z2904" i="34"/>
  <c r="O2904" i="34"/>
  <c r="P2904" i="34"/>
  <c r="A2904" i="34"/>
  <c r="Q2908" i="34"/>
  <c r="U2908" i="34"/>
  <c r="Z2908" i="34"/>
  <c r="O2908" i="34"/>
  <c r="P2908" i="34"/>
  <c r="A2908" i="34"/>
  <c r="Q2912" i="34"/>
  <c r="U2912" i="34"/>
  <c r="Z2912" i="34"/>
  <c r="O2912" i="34"/>
  <c r="P2912" i="34"/>
  <c r="A2912" i="34"/>
  <c r="Q2325" i="34"/>
  <c r="U2325" i="34"/>
  <c r="Z2325" i="34"/>
  <c r="O2325" i="34"/>
  <c r="P2325" i="34"/>
  <c r="A2325" i="34"/>
  <c r="P1623" i="34"/>
  <c r="Q1623" i="34"/>
  <c r="U1623" i="34"/>
  <c r="Z1623" i="34"/>
  <c r="O1623" i="34"/>
  <c r="A1623" i="34"/>
  <c r="Q4756" i="34"/>
  <c r="U4756" i="34"/>
  <c r="Z4756" i="34"/>
  <c r="O4756" i="34"/>
  <c r="P4756" i="34"/>
  <c r="Q4760" i="34"/>
  <c r="U4760" i="34"/>
  <c r="Z4760" i="34"/>
  <c r="O4760" i="34"/>
  <c r="P4760" i="34"/>
  <c r="O2290" i="34"/>
  <c r="P2290" i="34"/>
  <c r="Q2290" i="34"/>
  <c r="U2290" i="34"/>
  <c r="Z2290" i="34"/>
  <c r="A2290" i="34"/>
  <c r="Q4610" i="34"/>
  <c r="U4610" i="34"/>
  <c r="Z4610" i="34"/>
  <c r="P4610" i="34"/>
  <c r="A4610" i="34"/>
  <c r="O4610" i="34"/>
  <c r="Q4446" i="34"/>
  <c r="U4446" i="34"/>
  <c r="Z4446" i="34"/>
  <c r="P4446" i="34"/>
  <c r="A4446" i="34"/>
  <c r="O4446" i="34"/>
  <c r="Q4461" i="34"/>
  <c r="U4461" i="34"/>
  <c r="Z4461" i="34"/>
  <c r="A4461" i="34"/>
  <c r="O4461" i="34"/>
  <c r="P4461" i="34"/>
  <c r="Q4535" i="34"/>
  <c r="U4535" i="34"/>
  <c r="Z4535" i="34"/>
  <c r="O4535" i="34"/>
  <c r="P4535" i="34"/>
  <c r="A4535" i="34"/>
  <c r="O3513" i="34"/>
  <c r="P3513" i="34"/>
  <c r="Q3513" i="34"/>
  <c r="U3513" i="34"/>
  <c r="Z3513" i="34"/>
  <c r="A3513" i="34"/>
  <c r="Q4559" i="34"/>
  <c r="U4559" i="34"/>
  <c r="Z4559" i="34"/>
  <c r="O4559" i="34"/>
  <c r="P4559" i="34"/>
  <c r="A4559" i="34"/>
  <c r="Q4453" i="34"/>
  <c r="U4453" i="34"/>
  <c r="Z4453" i="34"/>
  <c r="A4453" i="34"/>
  <c r="O4453" i="34"/>
  <c r="P4453" i="34"/>
  <c r="Q4518" i="34"/>
  <c r="U4518" i="34"/>
  <c r="Z4518" i="34"/>
  <c r="P4518" i="34"/>
  <c r="A4518" i="34"/>
  <c r="O4518" i="34"/>
  <c r="Q4532" i="34"/>
  <c r="U4532" i="34"/>
  <c r="Z4532" i="34"/>
  <c r="O4532" i="34"/>
  <c r="P4532" i="34"/>
  <c r="A4532" i="34"/>
  <c r="Q4501" i="34"/>
  <c r="U4501" i="34"/>
  <c r="Z4501" i="34"/>
  <c r="A4501" i="34"/>
  <c r="O4501" i="34"/>
  <c r="P4501" i="34"/>
  <c r="Q4487" i="34"/>
  <c r="U4487" i="34"/>
  <c r="Z4487" i="34"/>
  <c r="O4487" i="34"/>
  <c r="P4487" i="34"/>
  <c r="A4487" i="34"/>
  <c r="Q4497" i="34"/>
  <c r="U4497" i="34"/>
  <c r="Z4497" i="34"/>
  <c r="A4497" i="34"/>
  <c r="O4497" i="34"/>
  <c r="P4497" i="34"/>
  <c r="Q4481" i="34"/>
  <c r="U4481" i="34"/>
  <c r="Z4481" i="34"/>
  <c r="A4481" i="34"/>
  <c r="O4481" i="34"/>
  <c r="P4481" i="34"/>
  <c r="Q4544" i="34"/>
  <c r="U4544" i="34"/>
  <c r="Z4544" i="34"/>
  <c r="O4544" i="34"/>
  <c r="P4544" i="34"/>
  <c r="A4544" i="34"/>
  <c r="Q4606" i="34"/>
  <c r="U4606" i="34"/>
  <c r="Z4606" i="34"/>
  <c r="P4606" i="34"/>
  <c r="A4606" i="34"/>
  <c r="O4606" i="34"/>
  <c r="Q4612" i="34"/>
  <c r="U4612" i="34"/>
  <c r="Z4612" i="34"/>
  <c r="O4612" i="34"/>
  <c r="P4612" i="34"/>
  <c r="A4612" i="34"/>
  <c r="Q4616" i="34"/>
  <c r="U4616" i="34"/>
  <c r="Z4616" i="34"/>
  <c r="O4616" i="34"/>
  <c r="P4616" i="34"/>
  <c r="A4616" i="34"/>
  <c r="Q4693" i="34"/>
  <c r="U4693" i="34"/>
  <c r="Z4693" i="34"/>
  <c r="A4693" i="34"/>
  <c r="O4693" i="34"/>
  <c r="P4693" i="34"/>
  <c r="Q4697" i="34"/>
  <c r="U4697" i="34"/>
  <c r="Z4697" i="34"/>
  <c r="A4697" i="34"/>
  <c r="O4697" i="34"/>
  <c r="P4697" i="34"/>
  <c r="Q4701" i="34"/>
  <c r="U4701" i="34"/>
  <c r="Z4701" i="34"/>
  <c r="A4701" i="34"/>
  <c r="O4701" i="34"/>
  <c r="P4701" i="34"/>
  <c r="Q4705" i="34"/>
  <c r="U4705" i="34"/>
  <c r="Z4705" i="34"/>
  <c r="A4705" i="34"/>
  <c r="O4705" i="34"/>
  <c r="P4705" i="34"/>
  <c r="Q4709" i="34"/>
  <c r="U4709" i="34"/>
  <c r="Z4709" i="34"/>
  <c r="A4709" i="34"/>
  <c r="O4709" i="34"/>
  <c r="P4709" i="34"/>
  <c r="Q4713" i="34"/>
  <c r="U4713" i="34"/>
  <c r="Z4713" i="34"/>
  <c r="A4713" i="34"/>
  <c r="O4713" i="34"/>
  <c r="P4713" i="34"/>
  <c r="Q4717" i="34"/>
  <c r="U4717" i="34"/>
  <c r="Z4717" i="34"/>
  <c r="A4717" i="34"/>
  <c r="O4717" i="34"/>
  <c r="P4717" i="34"/>
  <c r="Q4721" i="34"/>
  <c r="U4721" i="34"/>
  <c r="Z4721" i="34"/>
  <c r="A4721" i="34"/>
  <c r="O4721" i="34"/>
  <c r="P4721" i="34"/>
  <c r="Q4725" i="34"/>
  <c r="U4725" i="34"/>
  <c r="Z4725" i="34"/>
  <c r="A4725" i="34"/>
  <c r="O4725" i="34"/>
  <c r="P4725" i="34"/>
  <c r="Q4729" i="34"/>
  <c r="U4729" i="34"/>
  <c r="Z4729" i="34"/>
  <c r="A4729" i="34"/>
  <c r="O4729" i="34"/>
  <c r="P4729" i="34"/>
  <c r="Q4733" i="34"/>
  <c r="U4733" i="34"/>
  <c r="Z4733" i="34"/>
  <c r="A4733" i="34"/>
  <c r="O4733" i="34"/>
  <c r="P4733" i="34"/>
  <c r="Q4737" i="34"/>
  <c r="U4737" i="34"/>
  <c r="Z4737" i="34"/>
  <c r="A4737" i="34"/>
  <c r="O4737" i="34"/>
  <c r="P4737" i="34"/>
  <c r="Q4741" i="34"/>
  <c r="U4741" i="34"/>
  <c r="Z4741" i="34"/>
  <c r="O4741" i="34"/>
  <c r="P4741" i="34"/>
  <c r="Q4745" i="34"/>
  <c r="U4745" i="34"/>
  <c r="Z4745" i="34"/>
  <c r="O4745" i="34"/>
  <c r="P4745" i="34"/>
  <c r="Q4749" i="34"/>
  <c r="U4749" i="34"/>
  <c r="Z4749" i="34"/>
  <c r="O4749" i="34"/>
  <c r="P4749" i="34"/>
  <c r="Q4753" i="34"/>
  <c r="U4753" i="34"/>
  <c r="Z4753" i="34"/>
  <c r="O4753" i="34"/>
  <c r="P4753" i="34"/>
  <c r="Q4622" i="34"/>
  <c r="U4622" i="34"/>
  <c r="Z4622" i="34"/>
  <c r="P4622" i="34"/>
  <c r="A4622" i="34"/>
  <c r="O4622" i="34"/>
  <c r="Q4626" i="34"/>
  <c r="U4626" i="34"/>
  <c r="Z4626" i="34"/>
  <c r="P4626" i="34"/>
  <c r="A4626" i="34"/>
  <c r="O4626" i="34"/>
  <c r="Q4630" i="34"/>
  <c r="U4630" i="34"/>
  <c r="Z4630" i="34"/>
  <c r="P4630" i="34"/>
  <c r="A4630" i="34"/>
  <c r="O4630" i="34"/>
  <c r="Q4634" i="34"/>
  <c r="U4634" i="34"/>
  <c r="Z4634" i="34"/>
  <c r="P4634" i="34"/>
  <c r="A4634" i="34"/>
  <c r="O4634" i="34"/>
  <c r="Q4638" i="34"/>
  <c r="U4638" i="34"/>
  <c r="Z4638" i="34"/>
  <c r="P4638" i="34"/>
  <c r="A4638" i="34"/>
  <c r="O4638" i="34"/>
  <c r="Q4642" i="34"/>
  <c r="U4642" i="34"/>
  <c r="Z4642" i="34"/>
  <c r="P4642" i="34"/>
  <c r="A4642" i="34"/>
  <c r="O4642" i="34"/>
  <c r="Q4646" i="34"/>
  <c r="U4646" i="34"/>
  <c r="Z4646" i="34"/>
  <c r="P4646" i="34"/>
  <c r="A4646" i="34"/>
  <c r="O4646" i="34"/>
  <c r="Q4650" i="34"/>
  <c r="U4650" i="34"/>
  <c r="Z4650" i="34"/>
  <c r="P4650" i="34"/>
  <c r="A4650" i="34"/>
  <c r="O4650" i="34"/>
  <c r="Q4654" i="34"/>
  <c r="U4654" i="34"/>
  <c r="Z4654" i="34"/>
  <c r="P4654" i="34"/>
  <c r="A4654" i="34"/>
  <c r="O4654" i="34"/>
  <c r="Q4658" i="34"/>
  <c r="U4658" i="34"/>
  <c r="Z4658" i="34"/>
  <c r="P4658" i="34"/>
  <c r="A4658" i="34"/>
  <c r="O4658" i="34"/>
  <c r="Q4662" i="34"/>
  <c r="U4662" i="34"/>
  <c r="Z4662" i="34"/>
  <c r="P4662" i="34"/>
  <c r="A4662" i="34"/>
  <c r="O4662" i="34"/>
  <c r="Q4666" i="34"/>
  <c r="U4666" i="34"/>
  <c r="Z4666" i="34"/>
  <c r="P4666" i="34"/>
  <c r="A4666" i="34"/>
  <c r="O4666" i="34"/>
  <c r="Q4670" i="34"/>
  <c r="U4670" i="34"/>
  <c r="Z4670" i="34"/>
  <c r="P4670" i="34"/>
  <c r="A4670" i="34"/>
  <c r="O4670" i="34"/>
  <c r="Q4674" i="34"/>
  <c r="U4674" i="34"/>
  <c r="Z4674" i="34"/>
  <c r="P4674" i="34"/>
  <c r="A4674" i="34"/>
  <c r="O4674" i="34"/>
  <c r="Q4678" i="34"/>
  <c r="U4678" i="34"/>
  <c r="Z4678" i="34"/>
  <c r="P4678" i="34"/>
  <c r="A4678" i="34"/>
  <c r="O4678" i="34"/>
  <c r="Q4682" i="34"/>
  <c r="U4682" i="34"/>
  <c r="Z4682" i="34"/>
  <c r="P4682" i="34"/>
  <c r="A4682" i="34"/>
  <c r="O4682" i="34"/>
  <c r="Q4686" i="34"/>
  <c r="U4686" i="34"/>
  <c r="Z4686" i="34"/>
  <c r="P4686" i="34"/>
  <c r="A4686" i="34"/>
  <c r="O4686" i="34"/>
  <c r="Q4690" i="34"/>
  <c r="U4690" i="34"/>
  <c r="Z4690" i="34"/>
  <c r="P4690" i="34"/>
  <c r="A4690" i="34"/>
  <c r="O4690" i="34"/>
  <c r="Q4536" i="34"/>
  <c r="U4536" i="34"/>
  <c r="Z4536" i="34"/>
  <c r="O4536" i="34"/>
  <c r="P4536" i="34"/>
  <c r="A4536" i="34"/>
  <c r="Q4595" i="34"/>
  <c r="U4595" i="34"/>
  <c r="Z4595" i="34"/>
  <c r="O4595" i="34"/>
  <c r="P4595" i="34"/>
  <c r="A4595" i="34"/>
  <c r="Q4472" i="34"/>
  <c r="U4472" i="34"/>
  <c r="Z4472" i="34"/>
  <c r="O4472" i="34"/>
  <c r="P4472" i="34"/>
  <c r="A4472" i="34"/>
  <c r="Q4476" i="34"/>
  <c r="U4476" i="34"/>
  <c r="Z4476" i="34"/>
  <c r="O4476" i="34"/>
  <c r="P4476" i="34"/>
  <c r="A4476" i="34"/>
  <c r="Q4591" i="34"/>
  <c r="U4591" i="34"/>
  <c r="Z4591" i="34"/>
  <c r="O4591" i="34"/>
  <c r="P4591" i="34"/>
  <c r="A4591" i="34"/>
  <c r="Q4540" i="34"/>
  <c r="U4540" i="34"/>
  <c r="Z4540" i="34"/>
  <c r="O4540" i="34"/>
  <c r="P4540" i="34"/>
  <c r="A4540" i="34"/>
  <c r="Q4605" i="34"/>
  <c r="U4605" i="34"/>
  <c r="Z4605" i="34"/>
  <c r="A4605" i="34"/>
  <c r="O4605" i="34"/>
  <c r="P4605" i="34"/>
  <c r="Q4581" i="34"/>
  <c r="U4581" i="34"/>
  <c r="Z4581" i="34"/>
  <c r="A4581" i="34"/>
  <c r="O4581" i="34"/>
  <c r="P4581" i="34"/>
  <c r="Q4585" i="34"/>
  <c r="U4585" i="34"/>
  <c r="Z4585" i="34"/>
  <c r="A4585" i="34"/>
  <c r="O4585" i="34"/>
  <c r="P4585" i="34"/>
  <c r="Q4589" i="34"/>
  <c r="U4589" i="34"/>
  <c r="Z4589" i="34"/>
  <c r="A4589" i="34"/>
  <c r="O4589" i="34"/>
  <c r="P4589" i="34"/>
  <c r="Q4563" i="34"/>
  <c r="U4563" i="34"/>
  <c r="Z4563" i="34"/>
  <c r="O4563" i="34"/>
  <c r="P4563" i="34"/>
  <c r="A4563" i="34"/>
  <c r="Q4567" i="34"/>
  <c r="U4567" i="34"/>
  <c r="Z4567" i="34"/>
  <c r="O4567" i="34"/>
  <c r="P4567" i="34"/>
  <c r="A4567" i="34"/>
  <c r="Q4571" i="34"/>
  <c r="U4571" i="34"/>
  <c r="Z4571" i="34"/>
  <c r="O4571" i="34"/>
  <c r="P4571" i="34"/>
  <c r="A4571" i="34"/>
  <c r="Q4575" i="34"/>
  <c r="U4575" i="34"/>
  <c r="Z4575" i="34"/>
  <c r="O4575" i="34"/>
  <c r="P4575" i="34"/>
  <c r="A4575" i="34"/>
  <c r="Q4579" i="34"/>
  <c r="U4579" i="34"/>
  <c r="Z4579" i="34"/>
  <c r="O4579" i="34"/>
  <c r="P4579" i="34"/>
  <c r="A4579" i="34"/>
  <c r="Q4549" i="34"/>
  <c r="U4549" i="34"/>
  <c r="Z4549" i="34"/>
  <c r="A4549" i="34"/>
  <c r="O4549" i="34"/>
  <c r="P4549" i="34"/>
  <c r="Q4604" i="34"/>
  <c r="U4604" i="34"/>
  <c r="Z4604" i="34"/>
  <c r="O4604" i="34"/>
  <c r="P4604" i="34"/>
  <c r="A4604" i="34"/>
  <c r="Q4450" i="34"/>
  <c r="U4450" i="34"/>
  <c r="Z4450" i="34"/>
  <c r="P4450" i="34"/>
  <c r="A4450" i="34"/>
  <c r="O4450" i="34"/>
  <c r="Q3394" i="34"/>
  <c r="U3394" i="34"/>
  <c r="Z3394" i="34"/>
  <c r="O3394" i="34"/>
  <c r="P3394" i="34"/>
  <c r="A3394" i="34"/>
  <c r="P1628" i="34"/>
  <c r="Q1628" i="34"/>
  <c r="U1628" i="34"/>
  <c r="Z1628" i="34"/>
  <c r="O1628" i="34"/>
  <c r="A1628" i="34"/>
  <c r="O2296" i="34"/>
  <c r="P2296" i="34"/>
  <c r="Q2296" i="34"/>
  <c r="U2296" i="34"/>
  <c r="Z2296" i="34"/>
  <c r="A2296" i="34"/>
  <c r="O2307" i="34"/>
  <c r="P2307" i="34"/>
  <c r="Q2307" i="34"/>
  <c r="U2307" i="34"/>
  <c r="Z2307" i="34"/>
  <c r="A2307" i="34"/>
  <c r="O2311" i="34"/>
  <c r="P2311" i="34"/>
  <c r="Q2311" i="34"/>
  <c r="U2311" i="34"/>
  <c r="Z2311" i="34"/>
  <c r="A2311" i="34"/>
  <c r="Q3358" i="34"/>
  <c r="U3358" i="34"/>
  <c r="Z3358" i="34"/>
  <c r="O3358" i="34"/>
  <c r="P3358" i="34"/>
  <c r="A3358" i="34"/>
  <c r="Q3473" i="34"/>
  <c r="U3473" i="34"/>
  <c r="Z3473" i="34"/>
  <c r="O3473" i="34"/>
  <c r="P3473" i="34"/>
  <c r="A3473" i="34"/>
  <c r="O3929" i="34"/>
  <c r="P3929" i="34"/>
  <c r="Q3929" i="34"/>
  <c r="U3929" i="34"/>
  <c r="Z3929" i="34"/>
  <c r="A3929" i="34"/>
  <c r="Q4510" i="34"/>
  <c r="U4510" i="34"/>
  <c r="Z4510" i="34"/>
  <c r="P4510" i="34"/>
  <c r="A4510" i="34"/>
  <c r="O4510" i="34"/>
  <c r="Q4514" i="34"/>
  <c r="U4514" i="34"/>
  <c r="Z4514" i="34"/>
  <c r="P4514" i="34"/>
  <c r="A4514" i="34"/>
  <c r="O4514" i="34"/>
  <c r="Q4516" i="34"/>
  <c r="U4516" i="34"/>
  <c r="Z4516" i="34"/>
  <c r="O4516" i="34"/>
  <c r="P4516" i="34"/>
  <c r="A4516" i="34"/>
  <c r="Q3290" i="34"/>
  <c r="U3290" i="34"/>
  <c r="Z3290" i="34"/>
  <c r="O3290" i="34"/>
  <c r="P3290" i="34"/>
  <c r="A3290" i="34"/>
  <c r="Q2030" i="34"/>
  <c r="U2030" i="34"/>
  <c r="Z2030" i="34"/>
  <c r="O2030" i="34"/>
  <c r="P2030" i="34"/>
  <c r="A2030" i="34"/>
  <c r="P1622" i="34"/>
  <c r="Q1622" i="34"/>
  <c r="U1622" i="34"/>
  <c r="Z1622" i="34"/>
  <c r="O1622" i="34"/>
  <c r="A1622" i="34"/>
  <c r="Q2887" i="34"/>
  <c r="U2887" i="34"/>
  <c r="Z2887" i="34"/>
  <c r="P2887" i="34"/>
  <c r="O2887" i="34"/>
  <c r="A2887" i="34"/>
  <c r="Q4495" i="34"/>
  <c r="U4495" i="34"/>
  <c r="Z4495" i="34"/>
  <c r="O4495" i="34"/>
  <c r="P4495" i="34"/>
  <c r="A4495" i="34"/>
  <c r="Q138" i="34"/>
  <c r="U138" i="34"/>
  <c r="Z138" i="34"/>
  <c r="O138" i="34"/>
  <c r="P138" i="34"/>
  <c r="A138" i="34"/>
  <c r="Q134" i="34"/>
  <c r="U134" i="34"/>
  <c r="Z134" i="34"/>
  <c r="O134" i="34"/>
  <c r="P134" i="34"/>
  <c r="A134" i="34"/>
  <c r="Q130" i="34"/>
  <c r="U130" i="34"/>
  <c r="Z130" i="34"/>
  <c r="O130" i="34"/>
  <c r="P130" i="34"/>
  <c r="A130" i="34"/>
  <c r="P154" i="34"/>
  <c r="Q154" i="34"/>
  <c r="U154" i="34"/>
  <c r="Z154" i="34"/>
  <c r="O154" i="34"/>
  <c r="A154" i="34"/>
  <c r="P150" i="34"/>
  <c r="Q150" i="34"/>
  <c r="U150" i="34"/>
  <c r="Z150" i="34"/>
  <c r="O150" i="34"/>
  <c r="A150" i="34"/>
  <c r="Q146" i="34"/>
  <c r="U146" i="34"/>
  <c r="Z146" i="34"/>
  <c r="O146" i="34"/>
  <c r="P146" i="34"/>
  <c r="A146" i="34"/>
  <c r="P165" i="34"/>
  <c r="Q165" i="34"/>
  <c r="U165" i="34"/>
  <c r="Z165" i="34"/>
  <c r="O165" i="34"/>
  <c r="A165" i="34"/>
  <c r="P160" i="34"/>
  <c r="Q160" i="34"/>
  <c r="U160" i="34"/>
  <c r="Z160" i="34"/>
  <c r="O160" i="34"/>
  <c r="A160" i="34"/>
  <c r="Q1057" i="34"/>
  <c r="U1057" i="34"/>
  <c r="Z1057" i="34"/>
  <c r="O1057" i="34"/>
  <c r="P1057" i="34"/>
  <c r="A1057" i="34"/>
  <c r="P983" i="34"/>
  <c r="Q983" i="34"/>
  <c r="U983" i="34"/>
  <c r="Z983" i="34"/>
  <c r="O983" i="34"/>
  <c r="A983" i="34"/>
  <c r="P979" i="34"/>
  <c r="Q979" i="34"/>
  <c r="U979" i="34"/>
  <c r="Z979" i="34"/>
  <c r="O979" i="34"/>
  <c r="A979" i="34"/>
  <c r="P975" i="34"/>
  <c r="Q975" i="34"/>
  <c r="U975" i="34"/>
  <c r="Z975" i="34"/>
  <c r="O975" i="34"/>
  <c r="A975" i="34"/>
  <c r="P971" i="34"/>
  <c r="Q971" i="34"/>
  <c r="U971" i="34"/>
  <c r="Z971" i="34"/>
  <c r="O971" i="34"/>
  <c r="A971" i="34"/>
  <c r="P967" i="34"/>
  <c r="Q967" i="34"/>
  <c r="U967" i="34"/>
  <c r="Z967" i="34"/>
  <c r="O967" i="34"/>
  <c r="A967" i="34"/>
  <c r="P963" i="34"/>
  <c r="Q963" i="34"/>
  <c r="U963" i="34"/>
  <c r="Z963" i="34"/>
  <c r="O963" i="34"/>
  <c r="A963" i="34"/>
  <c r="P959" i="34"/>
  <c r="Q959" i="34"/>
  <c r="U959" i="34"/>
  <c r="Z959" i="34"/>
  <c r="O959" i="34"/>
  <c r="A959" i="34"/>
  <c r="P951" i="34"/>
  <c r="Q951" i="34"/>
  <c r="U951" i="34"/>
  <c r="Z951" i="34"/>
  <c r="O951" i="34"/>
  <c r="A951" i="34"/>
  <c r="P947" i="34"/>
  <c r="Q947" i="34"/>
  <c r="U947" i="34"/>
  <c r="Z947" i="34"/>
  <c r="O947" i="34"/>
  <c r="A947" i="34"/>
  <c r="Q1473" i="34"/>
  <c r="U1473" i="34"/>
  <c r="Z1473" i="34"/>
  <c r="P1473" i="34"/>
  <c r="O1473" i="34"/>
  <c r="A1473" i="34"/>
  <c r="Q1466" i="34"/>
  <c r="U1466" i="34"/>
  <c r="Z1466" i="34"/>
  <c r="O1466" i="34"/>
  <c r="P1466" i="34"/>
  <c r="A1466" i="34"/>
  <c r="Q1465" i="34"/>
  <c r="U1465" i="34"/>
  <c r="Z1465" i="34"/>
  <c r="P1465" i="34"/>
  <c r="O1465" i="34"/>
  <c r="A1465" i="34"/>
  <c r="Q1461" i="34"/>
  <c r="U1461" i="34"/>
  <c r="Z1461" i="34"/>
  <c r="P1461" i="34"/>
  <c r="O1461" i="34"/>
  <c r="A1461" i="34"/>
  <c r="Q1457" i="34"/>
  <c r="U1457" i="34"/>
  <c r="Z1457" i="34"/>
  <c r="P1457" i="34"/>
  <c r="O1457" i="34"/>
  <c r="A1457" i="34"/>
  <c r="P1404" i="34"/>
  <c r="Q1404" i="34"/>
  <c r="U1404" i="34"/>
  <c r="Z1404" i="34"/>
  <c r="O1404" i="34"/>
  <c r="A1404" i="34"/>
  <c r="O1400" i="34"/>
  <c r="P1400" i="34"/>
  <c r="Q1400" i="34"/>
  <c r="U1400" i="34"/>
  <c r="Z1400" i="34"/>
  <c r="A1400" i="34"/>
  <c r="P1311" i="34"/>
  <c r="Q1311" i="34"/>
  <c r="U1311" i="34"/>
  <c r="Z1311" i="34"/>
  <c r="O1311" i="34"/>
  <c r="A1311" i="34"/>
  <c r="P848" i="34"/>
  <c r="Q848" i="34"/>
  <c r="U848" i="34"/>
  <c r="Z848" i="34"/>
  <c r="O848" i="34"/>
  <c r="A848" i="34"/>
  <c r="Q1184" i="34"/>
  <c r="U1184" i="34"/>
  <c r="Z1184" i="34"/>
  <c r="P1184" i="34"/>
  <c r="O1184" i="34"/>
  <c r="A1184" i="34"/>
  <c r="Q1146" i="34"/>
  <c r="U1146" i="34"/>
  <c r="Z1146" i="34"/>
  <c r="O1146" i="34"/>
  <c r="P1146" i="34"/>
  <c r="A1146" i="34"/>
  <c r="Q1176" i="34"/>
  <c r="U1176" i="34"/>
  <c r="Z1176" i="34"/>
  <c r="P1176" i="34"/>
  <c r="O1176" i="34"/>
  <c r="A1176" i="34"/>
  <c r="Q1178" i="34"/>
  <c r="U1178" i="34"/>
  <c r="Z1178" i="34"/>
  <c r="O1178" i="34"/>
  <c r="P1178" i="34"/>
  <c r="A1178" i="34"/>
  <c r="Q1141" i="34"/>
  <c r="U1141" i="34"/>
  <c r="Z1141" i="34"/>
  <c r="O1141" i="34"/>
  <c r="P1141" i="34"/>
  <c r="A1141" i="34"/>
  <c r="Q1136" i="34"/>
  <c r="U1136" i="34"/>
  <c r="Z1136" i="34"/>
  <c r="P1136" i="34"/>
  <c r="O1136" i="34"/>
  <c r="A1136" i="34"/>
  <c r="Q1139" i="34"/>
  <c r="U1139" i="34"/>
  <c r="Z1139" i="34"/>
  <c r="O1139" i="34"/>
  <c r="P1139" i="34"/>
  <c r="A1139" i="34"/>
  <c r="Q1148" i="34"/>
  <c r="U1148" i="34"/>
  <c r="Z1148" i="34"/>
  <c r="P1148" i="34"/>
  <c r="O1148" i="34"/>
  <c r="A1148" i="34"/>
  <c r="Q1155" i="34"/>
  <c r="U1155" i="34"/>
  <c r="Z1155" i="34"/>
  <c r="O1155" i="34"/>
  <c r="P1155" i="34"/>
  <c r="A1155" i="34"/>
  <c r="Q1165" i="34"/>
  <c r="U1165" i="34"/>
  <c r="Z1165" i="34"/>
  <c r="O1165" i="34"/>
  <c r="P1165" i="34"/>
  <c r="A1165" i="34"/>
  <c r="Q1167" i="34"/>
  <c r="U1167" i="34"/>
  <c r="Z1167" i="34"/>
  <c r="O1167" i="34"/>
  <c r="P1167" i="34"/>
  <c r="A1167" i="34"/>
  <c r="Q1060" i="34"/>
  <c r="U1060" i="34"/>
  <c r="Z1060" i="34"/>
  <c r="P1060" i="34"/>
  <c r="O1060" i="34"/>
  <c r="A1060" i="34"/>
  <c r="Q1062" i="34"/>
  <c r="U1062" i="34"/>
  <c r="Z1062" i="34"/>
  <c r="O1062" i="34"/>
  <c r="P1062" i="34"/>
  <c r="A1062" i="34"/>
  <c r="Q1065" i="34"/>
  <c r="U1065" i="34"/>
  <c r="Z1065" i="34"/>
  <c r="O1065" i="34"/>
  <c r="P1065" i="34"/>
  <c r="A1065" i="34"/>
  <c r="Q1070" i="34"/>
  <c r="U1070" i="34"/>
  <c r="Z1070" i="34"/>
  <c r="O1070" i="34"/>
  <c r="P1070" i="34"/>
  <c r="A1070" i="34"/>
  <c r="Q1076" i="34"/>
  <c r="U1076" i="34"/>
  <c r="Z1076" i="34"/>
  <c r="P1076" i="34"/>
  <c r="O1076" i="34"/>
  <c r="A1076" i="34"/>
  <c r="Q1078" i="34"/>
  <c r="U1078" i="34"/>
  <c r="Z1078" i="34"/>
  <c r="O1078" i="34"/>
  <c r="P1078" i="34"/>
  <c r="A1078" i="34"/>
  <c r="Q1081" i="34"/>
  <c r="U1081" i="34"/>
  <c r="Z1081" i="34"/>
  <c r="O1081" i="34"/>
  <c r="P1081" i="34"/>
  <c r="A1081" i="34"/>
  <c r="Q1086" i="34"/>
  <c r="U1086" i="34"/>
  <c r="Z1086" i="34"/>
  <c r="O1086" i="34"/>
  <c r="P1086" i="34"/>
  <c r="A1086" i="34"/>
  <c r="Q1094" i="34"/>
  <c r="U1094" i="34"/>
  <c r="Z1094" i="34"/>
  <c r="O1094" i="34"/>
  <c r="P1094" i="34"/>
  <c r="A1094" i="34"/>
  <c r="Q1096" i="34"/>
  <c r="U1096" i="34"/>
  <c r="Z1096" i="34"/>
  <c r="P1096" i="34"/>
  <c r="O1096" i="34"/>
  <c r="A1096" i="34"/>
  <c r="Q1127" i="34"/>
  <c r="U1127" i="34"/>
  <c r="Z1127" i="34"/>
  <c r="O1127" i="34"/>
  <c r="P1127" i="34"/>
  <c r="A1127" i="34"/>
  <c r="Q1171" i="34"/>
  <c r="U1171" i="34"/>
  <c r="Z1171" i="34"/>
  <c r="O1171" i="34"/>
  <c r="P1171" i="34"/>
  <c r="A1171" i="34"/>
  <c r="P168" i="34"/>
  <c r="Q168" i="34"/>
  <c r="U168" i="34"/>
  <c r="Z168" i="34"/>
  <c r="O168" i="34"/>
  <c r="A168" i="34"/>
  <c r="P172" i="34"/>
  <c r="Q172" i="34"/>
  <c r="U172" i="34"/>
  <c r="Z172" i="34"/>
  <c r="O172" i="34"/>
  <c r="A172" i="34"/>
  <c r="Q190" i="34"/>
  <c r="U190" i="34"/>
  <c r="Z190" i="34"/>
  <c r="O190" i="34"/>
  <c r="P190" i="34"/>
  <c r="A190" i="34"/>
  <c r="Q194" i="34"/>
  <c r="U194" i="34"/>
  <c r="Z194" i="34"/>
  <c r="O194" i="34"/>
  <c r="P194" i="34"/>
  <c r="A194" i="34"/>
  <c r="Q198" i="34"/>
  <c r="U198" i="34"/>
  <c r="Z198" i="34"/>
  <c r="O198" i="34"/>
  <c r="P198" i="34"/>
  <c r="A198" i="34"/>
  <c r="P176" i="34"/>
  <c r="Q176" i="34"/>
  <c r="U176" i="34"/>
  <c r="Z176" i="34"/>
  <c r="O176" i="34"/>
  <c r="A176" i="34"/>
  <c r="P180" i="34"/>
  <c r="Q180" i="34"/>
  <c r="U180" i="34"/>
  <c r="Z180" i="34"/>
  <c r="O180" i="34"/>
  <c r="A180" i="34"/>
  <c r="Q184" i="34"/>
  <c r="U184" i="34"/>
  <c r="Z184" i="34"/>
  <c r="O184" i="34"/>
  <c r="P184" i="34"/>
  <c r="A184" i="34"/>
  <c r="P1300" i="34"/>
  <c r="Q1300" i="34"/>
  <c r="U1300" i="34"/>
  <c r="Z1300" i="34"/>
  <c r="O1300" i="34"/>
  <c r="A1300" i="34"/>
  <c r="O1394" i="34"/>
  <c r="P1394" i="34"/>
  <c r="Q1394" i="34"/>
  <c r="U1394" i="34"/>
  <c r="Z1394" i="34"/>
  <c r="A1394" i="34"/>
  <c r="Q1414" i="34"/>
  <c r="U1414" i="34"/>
  <c r="Z1414" i="34"/>
  <c r="O1414" i="34"/>
  <c r="P1414" i="34"/>
  <c r="A1414" i="34"/>
  <c r="Q1410" i="34"/>
  <c r="U1410" i="34"/>
  <c r="Z1410" i="34"/>
  <c r="O1410" i="34"/>
  <c r="P1410" i="34"/>
  <c r="A1410" i="34"/>
  <c r="O1391" i="34"/>
  <c r="P1391" i="34"/>
  <c r="Q1391" i="34"/>
  <c r="U1391" i="34"/>
  <c r="Z1391" i="34"/>
  <c r="A1391" i="34"/>
  <c r="P1317" i="34"/>
  <c r="Q1317" i="34"/>
  <c r="U1317" i="34"/>
  <c r="Z1317" i="34"/>
  <c r="O1317" i="34"/>
  <c r="A1317" i="34"/>
  <c r="P1305" i="34"/>
  <c r="Q1305" i="34"/>
  <c r="U1305" i="34"/>
  <c r="Z1305" i="34"/>
  <c r="O1305" i="34"/>
  <c r="A1305" i="34"/>
  <c r="P1301" i="34"/>
  <c r="Q1301" i="34"/>
  <c r="U1301" i="34"/>
  <c r="Z1301" i="34"/>
  <c r="O1301" i="34"/>
  <c r="A1301" i="34"/>
  <c r="O1386" i="34"/>
  <c r="P1386" i="34"/>
  <c r="Q1386" i="34"/>
  <c r="U1386" i="34"/>
  <c r="Z1386" i="34"/>
  <c r="A1386" i="34"/>
  <c r="O1390" i="34"/>
  <c r="P1390" i="34"/>
  <c r="Q1390" i="34"/>
  <c r="U1390" i="34"/>
  <c r="Z1390" i="34"/>
  <c r="A1390" i="34"/>
  <c r="P1323" i="34"/>
  <c r="Q1323" i="34"/>
  <c r="U1323" i="34"/>
  <c r="Z1323" i="34"/>
  <c r="O1323" i="34"/>
  <c r="A1323" i="34"/>
  <c r="Q1327" i="34"/>
  <c r="U1327" i="34"/>
  <c r="Z1327" i="34"/>
  <c r="O1327" i="34"/>
  <c r="P1327" i="34"/>
  <c r="A1327" i="34"/>
  <c r="Q1331" i="34"/>
  <c r="U1331" i="34"/>
  <c r="Z1331" i="34"/>
  <c r="O1331" i="34"/>
  <c r="P1331" i="34"/>
  <c r="A1331" i="34"/>
  <c r="Q1335" i="34"/>
  <c r="U1335" i="34"/>
  <c r="Z1335" i="34"/>
  <c r="O1335" i="34"/>
  <c r="P1335" i="34"/>
  <c r="A1335" i="34"/>
  <c r="Q1339" i="34"/>
  <c r="U1339" i="34"/>
  <c r="Z1339" i="34"/>
  <c r="O1339" i="34"/>
  <c r="P1339" i="34"/>
  <c r="A1339" i="34"/>
  <c r="Q1343" i="34"/>
  <c r="U1343" i="34"/>
  <c r="Z1343" i="34"/>
  <c r="O1343" i="34"/>
  <c r="P1343" i="34"/>
  <c r="A1343" i="34"/>
  <c r="Q1347" i="34"/>
  <c r="U1347" i="34"/>
  <c r="Z1347" i="34"/>
  <c r="O1347" i="34"/>
  <c r="P1347" i="34"/>
  <c r="A1347" i="34"/>
  <c r="Q1351" i="34"/>
  <c r="U1351" i="34"/>
  <c r="Z1351" i="34"/>
  <c r="O1351" i="34"/>
  <c r="P1351" i="34"/>
  <c r="A1351" i="34"/>
  <c r="Q1355" i="34"/>
  <c r="U1355" i="34"/>
  <c r="Z1355" i="34"/>
  <c r="O1355" i="34"/>
  <c r="P1355" i="34"/>
  <c r="A1355" i="34"/>
  <c r="O1359" i="34"/>
  <c r="P1359" i="34"/>
  <c r="Q1359" i="34"/>
  <c r="U1359" i="34"/>
  <c r="Z1359" i="34"/>
  <c r="A1359" i="34"/>
  <c r="O1363" i="34"/>
  <c r="P1363" i="34"/>
  <c r="Q1363" i="34"/>
  <c r="U1363" i="34"/>
  <c r="Z1363" i="34"/>
  <c r="A1363" i="34"/>
  <c r="O1367" i="34"/>
  <c r="P1367" i="34"/>
  <c r="Q1367" i="34"/>
  <c r="U1367" i="34"/>
  <c r="Z1367" i="34"/>
  <c r="A1367" i="34"/>
  <c r="O1371" i="34"/>
  <c r="P1371" i="34"/>
  <c r="Q1371" i="34"/>
  <c r="U1371" i="34"/>
  <c r="Z1371" i="34"/>
  <c r="A1371" i="34"/>
  <c r="O1375" i="34"/>
  <c r="P1375" i="34"/>
  <c r="Q1375" i="34"/>
  <c r="U1375" i="34"/>
  <c r="Z1375" i="34"/>
  <c r="A1375" i="34"/>
  <c r="O1379" i="34"/>
  <c r="P1379" i="34"/>
  <c r="Q1379" i="34"/>
  <c r="U1379" i="34"/>
  <c r="Z1379" i="34"/>
  <c r="A1379" i="34"/>
  <c r="O1383" i="34"/>
  <c r="P1383" i="34"/>
  <c r="Q1383" i="34"/>
  <c r="U1383" i="34"/>
  <c r="Z1383" i="34"/>
  <c r="A1383" i="34"/>
  <c r="Q1565" i="34"/>
  <c r="U1565" i="34"/>
  <c r="Z1565" i="34"/>
  <c r="P1565" i="34"/>
  <c r="O1565" i="34"/>
  <c r="A1565" i="34"/>
  <c r="Q1569" i="34"/>
  <c r="U1569" i="34"/>
  <c r="Z1569" i="34"/>
  <c r="P1569" i="34"/>
  <c r="O1569" i="34"/>
  <c r="A1569" i="34"/>
  <c r="Q1554" i="34"/>
  <c r="U1554" i="34"/>
  <c r="Z1554" i="34"/>
  <c r="O1554" i="34"/>
  <c r="P1554" i="34"/>
  <c r="A1554" i="34"/>
  <c r="Q1558" i="34"/>
  <c r="U1558" i="34"/>
  <c r="Z1558" i="34"/>
  <c r="O1558" i="34"/>
  <c r="P1558" i="34"/>
  <c r="A1558" i="34"/>
  <c r="Q1542" i="34"/>
  <c r="U1542" i="34"/>
  <c r="Z1542" i="34"/>
  <c r="O1542" i="34"/>
  <c r="P1542" i="34"/>
  <c r="A1542" i="34"/>
  <c r="Q1546" i="34"/>
  <c r="U1546" i="34"/>
  <c r="Z1546" i="34"/>
  <c r="O1546" i="34"/>
  <c r="P1546" i="34"/>
  <c r="A1546" i="34"/>
  <c r="Q1550" i="34"/>
  <c r="U1550" i="34"/>
  <c r="Z1550" i="34"/>
  <c r="O1550" i="34"/>
  <c r="P1550" i="34"/>
  <c r="A1550" i="34"/>
  <c r="Q1534" i="34"/>
  <c r="U1534" i="34"/>
  <c r="Z1534" i="34"/>
  <c r="O1534" i="34"/>
  <c r="P1534" i="34"/>
  <c r="A1534" i="34"/>
  <c r="Q1538" i="34"/>
  <c r="U1538" i="34"/>
  <c r="Z1538" i="34"/>
  <c r="O1538" i="34"/>
  <c r="P1538" i="34"/>
  <c r="A1538" i="34"/>
  <c r="Q1522" i="34"/>
  <c r="U1522" i="34"/>
  <c r="Z1522" i="34"/>
  <c r="O1522" i="34"/>
  <c r="P1522" i="34"/>
  <c r="A1522" i="34"/>
  <c r="Q1526" i="34"/>
  <c r="U1526" i="34"/>
  <c r="Z1526" i="34"/>
  <c r="O1526" i="34"/>
  <c r="P1526" i="34"/>
  <c r="A1526" i="34"/>
  <c r="Q1530" i="34"/>
  <c r="U1530" i="34"/>
  <c r="Z1530" i="34"/>
  <c r="O1530" i="34"/>
  <c r="P1530" i="34"/>
  <c r="A1530" i="34"/>
  <c r="Q1514" i="34"/>
  <c r="U1514" i="34"/>
  <c r="Z1514" i="34"/>
  <c r="O1514" i="34"/>
  <c r="P1514" i="34"/>
  <c r="A1514" i="34"/>
  <c r="Q1518" i="34"/>
  <c r="U1518" i="34"/>
  <c r="Z1518" i="34"/>
  <c r="O1518" i="34"/>
  <c r="P1518" i="34"/>
  <c r="A1518" i="34"/>
  <c r="Q1502" i="34"/>
  <c r="U1502" i="34"/>
  <c r="Z1502" i="34"/>
  <c r="O1502" i="34"/>
  <c r="P1502" i="34"/>
  <c r="A1502" i="34"/>
  <c r="Q1506" i="34"/>
  <c r="U1506" i="34"/>
  <c r="Z1506" i="34"/>
  <c r="O1506" i="34"/>
  <c r="P1506" i="34"/>
  <c r="A1506" i="34"/>
  <c r="Q1510" i="34"/>
  <c r="U1510" i="34"/>
  <c r="Z1510" i="34"/>
  <c r="O1510" i="34"/>
  <c r="P1510" i="34"/>
  <c r="A1510" i="34"/>
  <c r="Q1494" i="34"/>
  <c r="U1494" i="34"/>
  <c r="Z1494" i="34"/>
  <c r="O1494" i="34"/>
  <c r="P1494" i="34"/>
  <c r="A1494" i="34"/>
  <c r="Q1498" i="34"/>
  <c r="U1498" i="34"/>
  <c r="Z1498" i="34"/>
  <c r="O1498" i="34"/>
  <c r="P1498" i="34"/>
  <c r="A1498" i="34"/>
  <c r="Q1124" i="34"/>
  <c r="U1124" i="34"/>
  <c r="Z1124" i="34"/>
  <c r="P1124" i="34"/>
  <c r="O1124" i="34"/>
  <c r="A1124" i="34"/>
  <c r="Q1122" i="34"/>
  <c r="U1122" i="34"/>
  <c r="Z1122" i="34"/>
  <c r="O1122" i="34"/>
  <c r="P1122" i="34"/>
  <c r="A1122" i="34"/>
  <c r="Q1151" i="34"/>
  <c r="U1151" i="34"/>
  <c r="Z1151" i="34"/>
  <c r="O1151" i="34"/>
  <c r="P1151" i="34"/>
  <c r="A1151" i="34"/>
  <c r="Q1056" i="34"/>
  <c r="U1056" i="34"/>
  <c r="Z1056" i="34"/>
  <c r="P1056" i="34"/>
  <c r="O1056" i="34"/>
  <c r="A1056" i="34"/>
  <c r="Q1051" i="34"/>
  <c r="U1051" i="34"/>
  <c r="Z1051" i="34"/>
  <c r="O1051" i="34"/>
  <c r="P1051" i="34"/>
  <c r="A1051" i="34"/>
  <c r="Q1049" i="34"/>
  <c r="U1049" i="34"/>
  <c r="Z1049" i="34"/>
  <c r="O1049" i="34"/>
  <c r="P1049" i="34"/>
  <c r="A1049" i="34"/>
  <c r="Q1193" i="34"/>
  <c r="U1193" i="34"/>
  <c r="Z1193" i="34"/>
  <c r="O1193" i="34"/>
  <c r="P1193" i="34"/>
  <c r="A1193" i="34"/>
  <c r="Q1191" i="34"/>
  <c r="U1191" i="34"/>
  <c r="Z1191" i="34"/>
  <c r="O1191" i="34"/>
  <c r="P1191" i="34"/>
  <c r="A1191" i="34"/>
  <c r="Q1406" i="34"/>
  <c r="U1406" i="34"/>
  <c r="Z1406" i="34"/>
  <c r="O1406" i="34"/>
  <c r="P1406" i="34"/>
  <c r="A1406" i="34"/>
  <c r="Q1428" i="34"/>
  <c r="U1428" i="34"/>
  <c r="Z1428" i="34"/>
  <c r="O1428" i="34"/>
  <c r="P1428" i="34"/>
  <c r="A1428" i="34"/>
  <c r="Q1432" i="34"/>
  <c r="U1432" i="34"/>
  <c r="Z1432" i="34"/>
  <c r="O1432" i="34"/>
  <c r="P1432" i="34"/>
  <c r="A1432" i="34"/>
  <c r="Q1436" i="34"/>
  <c r="U1436" i="34"/>
  <c r="Z1436" i="34"/>
  <c r="O1436" i="34"/>
  <c r="P1436" i="34"/>
  <c r="A1436" i="34"/>
  <c r="Q1440" i="34"/>
  <c r="U1440" i="34"/>
  <c r="Z1440" i="34"/>
  <c r="O1440" i="34"/>
  <c r="P1440" i="34"/>
  <c r="A1440" i="34"/>
  <c r="Q1444" i="34"/>
  <c r="U1444" i="34"/>
  <c r="Z1444" i="34"/>
  <c r="O1444" i="34"/>
  <c r="P1444" i="34"/>
  <c r="A1444" i="34"/>
  <c r="Q1448" i="34"/>
  <c r="U1448" i="34"/>
  <c r="Z1448" i="34"/>
  <c r="O1448" i="34"/>
  <c r="P1448" i="34"/>
  <c r="A1448" i="34"/>
  <c r="Q1452" i="34"/>
  <c r="U1452" i="34"/>
  <c r="Z1452" i="34"/>
  <c r="O1452" i="34"/>
  <c r="P1452" i="34"/>
  <c r="A1452" i="34"/>
  <c r="Q1419" i="34"/>
  <c r="U1419" i="34"/>
  <c r="Z1419" i="34"/>
  <c r="O1419" i="34"/>
  <c r="P1419" i="34"/>
  <c r="A1419" i="34"/>
  <c r="Q1293" i="34"/>
  <c r="U1293" i="34"/>
  <c r="Z1293" i="34"/>
  <c r="O1293" i="34"/>
  <c r="P1293" i="34"/>
  <c r="A1293" i="34"/>
  <c r="Q1299" i="34"/>
  <c r="O1299" i="34"/>
  <c r="P1299" i="34"/>
  <c r="U1299" i="34"/>
  <c r="Z1299" i="34"/>
  <c r="A1299" i="34"/>
  <c r="Q1425" i="34"/>
  <c r="U1425" i="34"/>
  <c r="Z1425" i="34"/>
  <c r="P1425" i="34"/>
  <c r="O1425" i="34"/>
  <c r="A1425" i="34"/>
  <c r="Q1490" i="34"/>
  <c r="U1490" i="34"/>
  <c r="Z1490" i="34"/>
  <c r="O1490" i="34"/>
  <c r="P1490" i="34"/>
  <c r="A1490" i="34"/>
  <c r="Q1476" i="34"/>
  <c r="U1476" i="34"/>
  <c r="Z1476" i="34"/>
  <c r="O1476" i="34"/>
  <c r="P1476" i="34"/>
  <c r="A1476" i="34"/>
  <c r="Q1478" i="34"/>
  <c r="U1478" i="34"/>
  <c r="Z1478" i="34"/>
  <c r="O1478" i="34"/>
  <c r="P1478" i="34"/>
  <c r="A1478" i="34"/>
  <c r="Q1480" i="34"/>
  <c r="U1480" i="34"/>
  <c r="Z1480" i="34"/>
  <c r="O1480" i="34"/>
  <c r="P1480" i="34"/>
  <c r="A1480" i="34"/>
  <c r="P1572" i="34"/>
  <c r="Q1572" i="34"/>
  <c r="U1572" i="34"/>
  <c r="Z1572" i="34"/>
  <c r="O1572" i="34"/>
  <c r="A1572" i="34"/>
  <c r="P1575" i="34"/>
  <c r="Q1575" i="34"/>
  <c r="U1575" i="34"/>
  <c r="Z1575" i="34"/>
  <c r="O1575" i="34"/>
  <c r="A1575" i="34"/>
  <c r="P1579" i="34"/>
  <c r="Q1579" i="34"/>
  <c r="U1579" i="34"/>
  <c r="Z1579" i="34"/>
  <c r="O1579" i="34"/>
  <c r="A1579" i="34"/>
  <c r="P1583" i="34"/>
  <c r="Q1583" i="34"/>
  <c r="U1583" i="34"/>
  <c r="Z1583" i="34"/>
  <c r="O1583" i="34"/>
  <c r="A1583" i="34"/>
  <c r="P1587" i="34"/>
  <c r="Q1587" i="34"/>
  <c r="U1587" i="34"/>
  <c r="Z1587" i="34"/>
  <c r="O1587" i="34"/>
  <c r="A1587" i="34"/>
  <c r="P1591" i="34"/>
  <c r="Q1591" i="34"/>
  <c r="U1591" i="34"/>
  <c r="Z1591" i="34"/>
  <c r="O1591" i="34"/>
  <c r="A1591" i="34"/>
  <c r="P1595" i="34"/>
  <c r="Q1595" i="34"/>
  <c r="U1595" i="34"/>
  <c r="Z1595" i="34"/>
  <c r="O1595" i="34"/>
  <c r="A1595" i="34"/>
  <c r="P1599" i="34"/>
  <c r="Q1599" i="34"/>
  <c r="U1599" i="34"/>
  <c r="Z1599" i="34"/>
  <c r="O1599" i="34"/>
  <c r="A1599" i="34"/>
  <c r="P1603" i="34"/>
  <c r="Q1603" i="34"/>
  <c r="U1603" i="34"/>
  <c r="Z1603" i="34"/>
  <c r="O1603" i="34"/>
  <c r="A1603" i="34"/>
  <c r="Q229" i="34"/>
  <c r="U229" i="34"/>
  <c r="Z229" i="34"/>
  <c r="O229" i="34"/>
  <c r="P229" i="34"/>
  <c r="A229" i="34"/>
  <c r="Q233" i="34"/>
  <c r="U233" i="34"/>
  <c r="Z233" i="34"/>
  <c r="O233" i="34"/>
  <c r="P233" i="34"/>
  <c r="A233" i="34"/>
  <c r="Q221" i="34"/>
  <c r="U221" i="34"/>
  <c r="Z221" i="34"/>
  <c r="O221" i="34"/>
  <c r="P221" i="34"/>
  <c r="A221" i="34"/>
  <c r="Q225" i="34"/>
  <c r="U225" i="34"/>
  <c r="Z225" i="34"/>
  <c r="O225" i="34"/>
  <c r="P225" i="34"/>
  <c r="A225" i="34"/>
  <c r="Q201" i="34"/>
  <c r="U201" i="34"/>
  <c r="Z201" i="34"/>
  <c r="O201" i="34"/>
  <c r="P201" i="34"/>
  <c r="A201" i="34"/>
  <c r="Q210" i="34"/>
  <c r="U210" i="34"/>
  <c r="Z210" i="34"/>
  <c r="O210" i="34"/>
  <c r="P210" i="34"/>
  <c r="A210" i="34"/>
  <c r="Q214" i="34"/>
  <c r="U214" i="34"/>
  <c r="Z214" i="34"/>
  <c r="O214" i="34"/>
  <c r="P214" i="34"/>
  <c r="A214" i="34"/>
  <c r="Q203" i="34"/>
  <c r="U203" i="34"/>
  <c r="Z203" i="34"/>
  <c r="P203" i="34"/>
  <c r="O203" i="34"/>
  <c r="A203" i="34"/>
  <c r="Q217" i="34"/>
  <c r="U217" i="34"/>
  <c r="Z217" i="34"/>
  <c r="O217" i="34"/>
  <c r="P217" i="34"/>
  <c r="A217" i="34"/>
  <c r="Q486" i="34"/>
  <c r="U486" i="34"/>
  <c r="Z486" i="34"/>
  <c r="P486" i="34"/>
  <c r="R486" i="34"/>
  <c r="S486" i="34"/>
  <c r="T486" i="34"/>
  <c r="O486" i="34"/>
  <c r="A486" i="34"/>
  <c r="Q421" i="34"/>
  <c r="U421" i="34"/>
  <c r="Z421" i="34"/>
  <c r="S421" i="34"/>
  <c r="O421" i="34"/>
  <c r="T421" i="34"/>
  <c r="P421" i="34"/>
  <c r="R421" i="34"/>
  <c r="A421" i="34"/>
  <c r="Q425" i="34"/>
  <c r="U425" i="34"/>
  <c r="Z425" i="34"/>
  <c r="S425" i="34"/>
  <c r="O425" i="34"/>
  <c r="T425" i="34"/>
  <c r="P425" i="34"/>
  <c r="R425" i="34"/>
  <c r="A425" i="34"/>
  <c r="Q429" i="34"/>
  <c r="U429" i="34"/>
  <c r="Z429" i="34"/>
  <c r="S429" i="34"/>
  <c r="O429" i="34"/>
  <c r="T429" i="34"/>
  <c r="P429" i="34"/>
  <c r="R429" i="34"/>
  <c r="A429" i="34"/>
  <c r="Q433" i="34"/>
  <c r="U433" i="34"/>
  <c r="Z433" i="34"/>
  <c r="S433" i="34"/>
  <c r="O433" i="34"/>
  <c r="T433" i="34"/>
  <c r="P433" i="34"/>
  <c r="R433" i="34"/>
  <c r="A433" i="34"/>
  <c r="Q437" i="34"/>
  <c r="U437" i="34"/>
  <c r="Z437" i="34"/>
  <c r="S437" i="34"/>
  <c r="O437" i="34"/>
  <c r="T437" i="34"/>
  <c r="P437" i="34"/>
  <c r="R437" i="34"/>
  <c r="A437" i="34"/>
  <c r="Q467" i="34"/>
  <c r="U467" i="34"/>
  <c r="Z467" i="34"/>
  <c r="P467" i="34"/>
  <c r="R467" i="34"/>
  <c r="S467" i="34"/>
  <c r="O467" i="34"/>
  <c r="T467" i="34"/>
  <c r="A467" i="34"/>
  <c r="Q471" i="34"/>
  <c r="U471" i="34"/>
  <c r="Z471" i="34"/>
  <c r="P471" i="34"/>
  <c r="R471" i="34"/>
  <c r="S471" i="34"/>
  <c r="O471" i="34"/>
  <c r="T471" i="34"/>
  <c r="A471" i="34"/>
  <c r="Q475" i="34"/>
  <c r="U475" i="34"/>
  <c r="Z475" i="34"/>
  <c r="P475" i="34"/>
  <c r="R475" i="34"/>
  <c r="S475" i="34"/>
  <c r="O475" i="34"/>
  <c r="T475" i="34"/>
  <c r="A475" i="34"/>
  <c r="Q479" i="34"/>
  <c r="U479" i="34"/>
  <c r="Z479" i="34"/>
  <c r="P479" i="34"/>
  <c r="R479" i="34"/>
  <c r="O479" i="34"/>
  <c r="T479" i="34"/>
  <c r="S479" i="34"/>
  <c r="A479" i="34"/>
  <c r="Q443" i="34"/>
  <c r="U443" i="34"/>
  <c r="Z443" i="34"/>
  <c r="P443" i="34"/>
  <c r="R443" i="34"/>
  <c r="S443" i="34"/>
  <c r="O443" i="34"/>
  <c r="T443" i="34"/>
  <c r="A443" i="34"/>
  <c r="Q447" i="34"/>
  <c r="U447" i="34"/>
  <c r="Z447" i="34"/>
  <c r="P447" i="34"/>
  <c r="R447" i="34"/>
  <c r="S447" i="34"/>
  <c r="O447" i="34"/>
  <c r="T447" i="34"/>
  <c r="A447" i="34"/>
  <c r="Q451" i="34"/>
  <c r="U451" i="34"/>
  <c r="Z451" i="34"/>
  <c r="P451" i="34"/>
  <c r="R451" i="34"/>
  <c r="S451" i="34"/>
  <c r="O451" i="34"/>
  <c r="T451" i="34"/>
  <c r="A451" i="34"/>
  <c r="Q455" i="34"/>
  <c r="U455" i="34"/>
  <c r="Z455" i="34"/>
  <c r="P455" i="34"/>
  <c r="R455" i="34"/>
  <c r="S455" i="34"/>
  <c r="O455" i="34"/>
  <c r="T455" i="34"/>
  <c r="A455" i="34"/>
  <c r="Q459" i="34"/>
  <c r="U459" i="34"/>
  <c r="Z459" i="34"/>
  <c r="P459" i="34"/>
  <c r="R459" i="34"/>
  <c r="S459" i="34"/>
  <c r="O459" i="34"/>
  <c r="T459" i="34"/>
  <c r="A459" i="34"/>
  <c r="Q463" i="34"/>
  <c r="U463" i="34"/>
  <c r="Z463" i="34"/>
  <c r="P463" i="34"/>
  <c r="R463" i="34"/>
  <c r="S463" i="34"/>
  <c r="O463" i="34"/>
  <c r="T463" i="34"/>
  <c r="A463" i="34"/>
  <c r="P856" i="34"/>
  <c r="Q856" i="34"/>
  <c r="U856" i="34"/>
  <c r="Z856" i="34"/>
  <c r="O856" i="34"/>
  <c r="A856" i="34"/>
  <c r="P860" i="34"/>
  <c r="Q860" i="34"/>
  <c r="U860" i="34"/>
  <c r="Z860" i="34"/>
  <c r="O860" i="34"/>
  <c r="A860" i="34"/>
  <c r="P872" i="34"/>
  <c r="Q872" i="34"/>
  <c r="U872" i="34"/>
  <c r="Z872" i="34"/>
  <c r="O872" i="34"/>
  <c r="A872" i="34"/>
  <c r="P878" i="34"/>
  <c r="Q878" i="34"/>
  <c r="U878" i="34"/>
  <c r="Z878" i="34"/>
  <c r="O878" i="34"/>
  <c r="A878" i="34"/>
  <c r="P870" i="34"/>
  <c r="Q870" i="34"/>
  <c r="U870" i="34"/>
  <c r="Z870" i="34"/>
  <c r="O870" i="34"/>
  <c r="A870" i="34"/>
  <c r="Y941" i="34"/>
  <c r="Y940" i="34"/>
  <c r="Y929" i="34"/>
  <c r="Y928" i="34"/>
  <c r="Y915" i="34"/>
  <c r="Y914" i="34"/>
  <c r="Y937" i="34"/>
  <c r="Y936" i="34"/>
  <c r="Y927" i="34"/>
  <c r="Y926" i="34"/>
  <c r="Y913" i="34"/>
  <c r="Y912" i="34"/>
  <c r="Y945" i="34"/>
  <c r="Y944" i="34"/>
  <c r="Y12" i="34"/>
  <c r="Y16" i="34"/>
  <c r="Y20" i="34"/>
  <c r="Y24" i="34"/>
  <c r="Y28" i="34"/>
  <c r="Y32" i="34"/>
  <c r="Y36" i="34"/>
  <c r="Y40" i="34"/>
  <c r="Y44" i="34"/>
  <c r="Y48" i="34"/>
  <c r="Y52" i="34"/>
  <c r="Y56" i="34"/>
  <c r="Y60" i="34"/>
  <c r="Y64" i="34"/>
  <c r="Y68" i="34"/>
  <c r="Y72" i="34"/>
  <c r="Y76" i="34"/>
  <c r="Y80" i="34"/>
  <c r="Y84" i="34"/>
  <c r="Y88" i="34"/>
  <c r="Y92" i="34"/>
  <c r="Y96" i="34"/>
  <c r="Y100" i="34"/>
  <c r="Y104" i="34"/>
  <c r="Y108" i="34"/>
  <c r="Y112" i="34"/>
  <c r="Y116" i="34"/>
  <c r="Y120" i="34"/>
  <c r="Y124" i="34"/>
  <c r="Y128" i="34"/>
  <c r="Y132" i="34"/>
  <c r="Y136" i="34"/>
  <c r="Y140" i="34"/>
  <c r="Y144" i="34"/>
  <c r="Y148" i="34"/>
  <c r="Y152" i="34"/>
  <c r="Y156" i="34"/>
  <c r="Y160" i="34"/>
  <c r="Y164" i="34"/>
  <c r="Y168" i="34"/>
  <c r="Y172" i="34"/>
  <c r="Y176" i="34"/>
  <c r="Y180" i="34"/>
  <c r="Y184" i="34"/>
  <c r="Y188" i="34"/>
  <c r="Y192" i="34"/>
  <c r="Y196" i="34"/>
  <c r="Y200" i="34"/>
  <c r="Y204" i="34"/>
  <c r="Y208" i="34"/>
  <c r="Y212" i="34"/>
  <c r="Y216" i="34"/>
  <c r="Y220" i="34"/>
  <c r="Y224" i="34"/>
  <c r="Y228" i="34"/>
  <c r="Y232" i="34"/>
  <c r="Y236" i="34"/>
  <c r="Y240" i="34"/>
  <c r="Y244" i="34"/>
  <c r="Y248" i="34"/>
  <c r="Y252" i="34"/>
  <c r="Y256" i="34"/>
  <c r="Y260" i="34"/>
  <c r="Y264" i="34"/>
  <c r="Y268" i="34"/>
  <c r="Y272" i="34"/>
  <c r="Y276" i="34"/>
  <c r="Y280" i="34"/>
  <c r="Y284" i="34"/>
  <c r="Y288" i="34"/>
  <c r="Y292" i="34"/>
  <c r="Y296" i="34"/>
  <c r="Y300" i="34"/>
  <c r="Y304" i="34"/>
  <c r="Y308" i="34"/>
  <c r="Y312" i="34"/>
  <c r="Y316" i="34"/>
  <c r="Y320" i="34"/>
  <c r="Y324" i="34"/>
  <c r="Y935" i="34"/>
  <c r="Y934" i="34"/>
  <c r="Y13" i="34"/>
  <c r="Y17" i="34"/>
  <c r="Y21" i="34"/>
  <c r="Y25" i="34"/>
  <c r="Y29" i="34"/>
  <c r="Y33" i="34"/>
  <c r="Y37" i="34"/>
  <c r="Y41" i="34"/>
  <c r="Y45" i="34"/>
  <c r="Y49" i="34"/>
  <c r="Y53" i="34"/>
  <c r="Y57" i="34"/>
  <c r="Y61" i="34"/>
  <c r="Y65" i="34"/>
  <c r="Y69" i="34"/>
  <c r="Y73" i="34"/>
  <c r="Y77" i="34"/>
  <c r="Y81" i="34"/>
  <c r="Y85" i="34"/>
  <c r="Y89" i="34"/>
  <c r="Y93" i="34"/>
  <c r="Y97" i="34"/>
  <c r="Y101" i="34"/>
  <c r="Y105" i="34"/>
  <c r="Y109" i="34"/>
  <c r="Y113" i="34"/>
  <c r="Y117" i="34"/>
  <c r="Y121" i="34"/>
  <c r="Y125" i="34"/>
  <c r="Y129" i="34"/>
  <c r="Y133" i="34"/>
  <c r="Y137" i="34"/>
  <c r="Y141" i="34"/>
  <c r="Y145" i="34"/>
  <c r="Y149" i="34"/>
  <c r="Y153" i="34"/>
  <c r="Y157" i="34"/>
  <c r="Y161" i="34"/>
  <c r="Y165" i="34"/>
  <c r="Y169" i="34"/>
  <c r="Y173" i="34"/>
  <c r="Y177" i="34"/>
  <c r="Y181" i="34"/>
  <c r="Y185" i="34"/>
  <c r="Y189" i="34"/>
  <c r="Y193" i="34"/>
  <c r="Y197" i="34"/>
  <c r="Y201" i="34"/>
  <c r="Y205" i="34"/>
  <c r="Y209" i="34"/>
  <c r="Y213" i="34"/>
  <c r="Y217" i="34"/>
  <c r="Y221" i="34"/>
  <c r="Y225" i="34"/>
  <c r="Y229" i="34"/>
  <c r="Y233" i="34"/>
  <c r="Y237" i="34"/>
  <c r="Y241" i="34"/>
  <c r="Y245" i="34"/>
  <c r="Y249" i="34"/>
  <c r="Y253" i="34"/>
  <c r="Y257" i="34"/>
  <c r="Y261" i="34"/>
  <c r="Y265" i="34"/>
  <c r="Y269" i="34"/>
  <c r="Y273" i="34"/>
  <c r="Y277" i="34"/>
  <c r="Y281" i="34"/>
  <c r="Y285" i="34"/>
  <c r="Y289" i="34"/>
  <c r="Y293" i="34"/>
  <c r="Y297" i="34"/>
  <c r="Y301" i="34"/>
  <c r="Y305" i="34"/>
  <c r="Y309" i="34"/>
  <c r="Y313" i="34"/>
  <c r="Y317" i="34"/>
  <c r="Y321" i="34"/>
  <c r="Y325" i="34"/>
  <c r="Y14" i="34"/>
  <c r="Y18" i="34"/>
  <c r="Y22" i="34"/>
  <c r="Y26" i="34"/>
  <c r="Y30" i="34"/>
  <c r="Y34" i="34"/>
  <c r="Y38" i="34"/>
  <c r="Y42" i="34"/>
  <c r="Y46" i="34"/>
  <c r="Y50" i="34"/>
  <c r="Y54" i="34"/>
  <c r="Y58" i="34"/>
  <c r="Y62" i="34"/>
  <c r="Y66" i="34"/>
  <c r="Y70" i="34"/>
  <c r="Y74" i="34"/>
  <c r="Y78" i="34"/>
  <c r="Y82" i="34"/>
  <c r="Y86" i="34"/>
  <c r="Y90" i="34"/>
  <c r="Y94" i="34"/>
  <c r="Y98" i="34"/>
  <c r="Y102" i="34"/>
  <c r="Y106" i="34"/>
  <c r="Y110" i="34"/>
  <c r="Y114" i="34"/>
  <c r="Y118" i="34"/>
  <c r="Y122" i="34"/>
  <c r="Y126" i="34"/>
  <c r="Y130" i="34"/>
  <c r="Y134" i="34"/>
  <c r="Y138" i="34"/>
  <c r="Y142" i="34"/>
  <c r="Y146" i="34"/>
  <c r="Y150" i="34"/>
  <c r="Y154" i="34"/>
  <c r="Y158" i="34"/>
  <c r="Y162" i="34"/>
  <c r="Y166" i="34"/>
  <c r="Y170" i="34"/>
  <c r="Y174" i="34"/>
  <c r="Y178" i="34"/>
  <c r="Y182" i="34"/>
  <c r="Y186" i="34"/>
  <c r="Y190" i="34"/>
  <c r="Y194" i="34"/>
  <c r="Y198" i="34"/>
  <c r="Y202" i="34"/>
  <c r="Y206" i="34"/>
  <c r="Y210" i="34"/>
  <c r="Y214" i="34"/>
  <c r="Y218" i="34"/>
  <c r="Y222" i="34"/>
  <c r="Y226" i="34"/>
  <c r="Y230" i="34"/>
  <c r="Y234" i="34"/>
  <c r="Y238" i="34"/>
  <c r="Y242" i="34"/>
  <c r="Y246" i="34"/>
  <c r="Y250" i="34"/>
  <c r="Y254" i="34"/>
  <c r="Y258" i="34"/>
  <c r="Y262" i="34"/>
  <c r="Y266" i="34"/>
  <c r="Y270" i="34"/>
  <c r="Y274" i="34"/>
  <c r="Y278" i="34"/>
  <c r="Y282" i="34"/>
  <c r="Y286" i="34"/>
  <c r="Y290" i="34"/>
  <c r="Y294" i="34"/>
  <c r="Y298" i="34"/>
  <c r="Y302" i="34"/>
  <c r="Y306" i="34"/>
  <c r="Y310" i="34"/>
  <c r="Y314" i="34"/>
  <c r="Y318" i="34"/>
  <c r="Y15" i="34"/>
  <c r="Y19" i="34"/>
  <c r="Y23" i="34"/>
  <c r="Y27" i="34"/>
  <c r="Y31" i="34"/>
  <c r="Y35" i="34"/>
  <c r="Y39" i="34"/>
  <c r="Y43" i="34"/>
  <c r="Y47" i="34"/>
  <c r="Y51" i="34"/>
  <c r="Y55" i="34"/>
  <c r="Y59" i="34"/>
  <c r="Y63" i="34"/>
  <c r="Y67" i="34"/>
  <c r="Y71" i="34"/>
  <c r="Y75" i="34"/>
  <c r="Y79" i="34"/>
  <c r="Y83" i="34"/>
  <c r="Y87" i="34"/>
  <c r="Y91" i="34"/>
  <c r="Y95" i="34"/>
  <c r="Y99" i="34"/>
  <c r="Y103" i="34"/>
  <c r="Y107" i="34"/>
  <c r="Y111" i="34"/>
  <c r="Y115" i="34"/>
  <c r="Y119" i="34"/>
  <c r="Y123" i="34"/>
  <c r="Y127" i="34"/>
  <c r="Y131" i="34"/>
  <c r="Y135" i="34"/>
  <c r="Y139" i="34"/>
  <c r="Y143" i="34"/>
  <c r="Y147" i="34"/>
  <c r="Y151" i="34"/>
  <c r="Y155" i="34"/>
  <c r="Y159" i="34"/>
  <c r="Y163" i="34"/>
  <c r="Y167" i="34"/>
  <c r="Y171" i="34"/>
  <c r="Y175" i="34"/>
  <c r="Y179" i="34"/>
  <c r="Y183" i="34"/>
  <c r="Y187" i="34"/>
  <c r="Y191" i="34"/>
  <c r="Y195" i="34"/>
  <c r="Y199" i="34"/>
  <c r="Y203" i="34"/>
  <c r="Y207" i="34"/>
  <c r="Y211" i="34"/>
  <c r="Y215" i="34"/>
  <c r="Y219" i="34"/>
  <c r="Y223" i="34"/>
  <c r="Y227" i="34"/>
  <c r="Y231" i="34"/>
  <c r="Y235" i="34"/>
  <c r="Y239" i="34"/>
  <c r="Y243" i="34"/>
  <c r="Y247" i="34"/>
  <c r="Y251" i="34"/>
  <c r="Y255" i="34"/>
  <c r="Y259" i="34"/>
  <c r="Y263" i="34"/>
  <c r="Y267" i="34"/>
  <c r="Y271" i="34"/>
  <c r="Y275" i="34"/>
  <c r="Y279" i="34"/>
  <c r="Y283" i="34"/>
  <c r="Y287" i="34"/>
  <c r="Y291" i="34"/>
  <c r="Y295" i="34"/>
  <c r="Y299" i="34"/>
  <c r="Y303" i="34"/>
  <c r="Y307" i="34"/>
  <c r="Y311" i="34"/>
  <c r="Y315" i="34"/>
  <c r="Y319" i="34"/>
  <c r="Y323" i="34"/>
  <c r="Y328" i="34"/>
  <c r="Y332" i="34"/>
  <c r="Y336" i="34"/>
  <c r="Y340" i="34"/>
  <c r="Y344" i="34"/>
  <c r="Y348" i="34"/>
  <c r="Y352" i="34"/>
  <c r="Y356" i="34"/>
  <c r="Y360" i="34"/>
  <c r="Y364" i="34"/>
  <c r="Y368" i="34"/>
  <c r="Y372" i="34"/>
  <c r="Y376" i="34"/>
  <c r="Y421" i="34"/>
  <c r="Y425" i="34"/>
  <c r="Y429" i="34"/>
  <c r="Y433" i="34"/>
  <c r="Y437" i="34"/>
  <c r="Y441" i="34"/>
  <c r="Y445" i="34"/>
  <c r="Y449" i="34"/>
  <c r="Y453" i="34"/>
  <c r="Y457" i="34"/>
  <c r="Y461" i="34"/>
  <c r="Y465" i="34"/>
  <c r="Y469" i="34"/>
  <c r="Y473" i="34"/>
  <c r="Y477" i="34"/>
  <c r="Y481" i="34"/>
  <c r="Y485" i="34"/>
  <c r="Y489" i="34"/>
  <c r="Y493" i="34"/>
  <c r="Y497" i="34"/>
  <c r="Y501" i="34"/>
  <c r="Y505" i="34"/>
  <c r="Y509" i="34"/>
  <c r="Y513" i="34"/>
  <c r="Y517" i="34"/>
  <c r="Y521" i="34"/>
  <c r="Y525" i="34"/>
  <c r="Y529" i="34"/>
  <c r="Y533" i="34"/>
  <c r="Y537" i="34"/>
  <c r="Y541" i="34"/>
  <c r="Y545" i="34"/>
  <c r="Y549" i="34"/>
  <c r="Y553" i="34"/>
  <c r="Y557" i="34"/>
  <c r="Y561" i="34"/>
  <c r="Y565" i="34"/>
  <c r="Y569" i="34"/>
  <c r="Y573" i="34"/>
  <c r="Y577" i="34"/>
  <c r="Y581" i="34"/>
  <c r="Y585" i="34"/>
  <c r="Y589" i="34"/>
  <c r="Y593" i="34"/>
  <c r="Y597" i="34"/>
  <c r="Y601" i="34"/>
  <c r="Y605" i="34"/>
  <c r="Y609" i="34"/>
  <c r="Y613" i="34"/>
  <c r="Y617" i="34"/>
  <c r="Y621" i="34"/>
  <c r="Y625" i="34"/>
  <c r="Y629" i="34"/>
  <c r="Y633" i="34"/>
  <c r="Y637" i="34"/>
  <c r="Y641" i="34"/>
  <c r="Y645" i="34"/>
  <c r="Y649" i="34"/>
  <c r="Y653" i="34"/>
  <c r="Y657" i="34"/>
  <c r="Y661" i="34"/>
  <c r="Y665" i="34"/>
  <c r="Y669" i="34"/>
  <c r="Y673" i="34"/>
  <c r="Y677" i="34"/>
  <c r="Y681" i="34"/>
  <c r="Y831" i="34"/>
  <c r="Y835" i="34"/>
  <c r="Y839" i="34"/>
  <c r="Y843" i="34"/>
  <c r="Y847" i="34"/>
  <c r="Y851" i="34"/>
  <c r="Y322" i="34"/>
  <c r="Y329" i="34"/>
  <c r="Y333" i="34"/>
  <c r="Y337" i="34"/>
  <c r="Y341" i="34"/>
  <c r="Y345" i="34"/>
  <c r="Y349" i="34"/>
  <c r="Y353" i="34"/>
  <c r="Y357" i="34"/>
  <c r="Y361" i="34"/>
  <c r="Y365" i="34"/>
  <c r="Y369" i="34"/>
  <c r="Y373" i="34"/>
  <c r="Y377" i="34"/>
  <c r="Y422" i="34"/>
  <c r="Y426" i="34"/>
  <c r="Y430" i="34"/>
  <c r="Y434" i="34"/>
  <c r="Y438" i="34"/>
  <c r="Y442" i="34"/>
  <c r="Y446" i="34"/>
  <c r="Y450" i="34"/>
  <c r="Y454" i="34"/>
  <c r="Y458" i="34"/>
  <c r="Y462" i="34"/>
  <c r="Y466" i="34"/>
  <c r="Y470" i="34"/>
  <c r="Y474" i="34"/>
  <c r="Y478" i="34"/>
  <c r="Y482" i="34"/>
  <c r="Y486" i="34"/>
  <c r="Y490" i="34"/>
  <c r="Y494" i="34"/>
  <c r="Y498" i="34"/>
  <c r="Y502" i="34"/>
  <c r="Y506" i="34"/>
  <c r="Y510" i="34"/>
  <c r="Y514" i="34"/>
  <c r="Y518" i="34"/>
  <c r="Y522" i="34"/>
  <c r="Y526" i="34"/>
  <c r="Y530" i="34"/>
  <c r="Y534" i="34"/>
  <c r="Y538" i="34"/>
  <c r="Y542" i="34"/>
  <c r="Y546" i="34"/>
  <c r="Y550" i="34"/>
  <c r="Y554" i="34"/>
  <c r="Y558" i="34"/>
  <c r="Y562" i="34"/>
  <c r="Y566" i="34"/>
  <c r="Y570" i="34"/>
  <c r="Y574" i="34"/>
  <c r="Y578" i="34"/>
  <c r="Y582" i="34"/>
  <c r="Y586" i="34"/>
  <c r="Y590" i="34"/>
  <c r="Y594" i="34"/>
  <c r="Y598" i="34"/>
  <c r="Y602" i="34"/>
  <c r="Y606" i="34"/>
  <c r="Y610" i="34"/>
  <c r="Y614" i="34"/>
  <c r="Y618" i="34"/>
  <c r="Y622" i="34"/>
  <c r="Y626" i="34"/>
  <c r="Y630" i="34"/>
  <c r="Y634" i="34"/>
  <c r="Y638" i="34"/>
  <c r="Y642" i="34"/>
  <c r="Y646" i="34"/>
  <c r="Y650" i="34"/>
  <c r="Y654" i="34"/>
  <c r="Y658" i="34"/>
  <c r="Y662" i="34"/>
  <c r="Y666" i="34"/>
  <c r="Y670" i="34"/>
  <c r="Y674" i="34"/>
  <c r="Y678" i="34"/>
  <c r="Y682" i="34"/>
  <c r="Y832" i="34"/>
  <c r="Y836" i="34"/>
  <c r="Y840" i="34"/>
  <c r="Y844" i="34"/>
  <c r="Y326" i="34"/>
  <c r="Y330" i="34"/>
  <c r="Y334" i="34"/>
  <c r="Y338" i="34"/>
  <c r="Y342" i="34"/>
  <c r="Y346" i="34"/>
  <c r="Y350" i="34"/>
  <c r="Y354" i="34"/>
  <c r="Y358" i="34"/>
  <c r="Y362" i="34"/>
  <c r="Y366" i="34"/>
  <c r="Y370" i="34"/>
  <c r="Y374" i="34"/>
  <c r="Y419" i="34"/>
  <c r="Y423" i="34"/>
  <c r="Y427" i="34"/>
  <c r="Y431" i="34"/>
  <c r="Y435" i="34"/>
  <c r="Y439" i="34"/>
  <c r="Y443" i="34"/>
  <c r="Y447" i="34"/>
  <c r="Y451" i="34"/>
  <c r="Y455" i="34"/>
  <c r="Y459" i="34"/>
  <c r="Y463" i="34"/>
  <c r="Y467" i="34"/>
  <c r="Y471" i="34"/>
  <c r="Y475" i="34"/>
  <c r="Y479" i="34"/>
  <c r="Y483" i="34"/>
  <c r="Y487" i="34"/>
  <c r="Y491" i="34"/>
  <c r="Y495" i="34"/>
  <c r="Y499" i="34"/>
  <c r="Y503" i="34"/>
  <c r="Y507" i="34"/>
  <c r="Y511" i="34"/>
  <c r="Y515" i="34"/>
  <c r="Y519" i="34"/>
  <c r="Y523" i="34"/>
  <c r="Y527" i="34"/>
  <c r="Y531" i="34"/>
  <c r="Y535" i="34"/>
  <c r="Y539" i="34"/>
  <c r="Y543" i="34"/>
  <c r="Y547" i="34"/>
  <c r="Y551" i="34"/>
  <c r="Y555" i="34"/>
  <c r="Y559" i="34"/>
  <c r="Y563" i="34"/>
  <c r="Y567" i="34"/>
  <c r="Y571" i="34"/>
  <c r="Y575" i="34"/>
  <c r="Y579" i="34"/>
  <c r="Y583" i="34"/>
  <c r="Y587" i="34"/>
  <c r="Y591" i="34"/>
  <c r="Y595" i="34"/>
  <c r="Y599" i="34"/>
  <c r="Y603" i="34"/>
  <c r="Y607" i="34"/>
  <c r="Y611" i="34"/>
  <c r="Y615" i="34"/>
  <c r="Y619" i="34"/>
  <c r="Y623" i="34"/>
  <c r="Y627" i="34"/>
  <c r="Y631" i="34"/>
  <c r="Y635" i="34"/>
  <c r="Y639" i="34"/>
  <c r="Y643" i="34"/>
  <c r="Y647" i="34"/>
  <c r="Y651" i="34"/>
  <c r="Y655" i="34"/>
  <c r="Y659" i="34"/>
  <c r="Y663" i="34"/>
  <c r="Y667" i="34"/>
  <c r="Y671" i="34"/>
  <c r="Y675" i="34"/>
  <c r="Y679" i="34"/>
  <c r="Y683" i="34"/>
  <c r="Y833" i="34"/>
  <c r="Y837" i="34"/>
  <c r="Y841" i="34"/>
  <c r="Y845" i="34"/>
  <c r="Y327" i="34"/>
  <c r="Y331" i="34"/>
  <c r="Y335" i="34"/>
  <c r="Y339" i="34"/>
  <c r="Y343" i="34"/>
  <c r="Y347" i="34"/>
  <c r="Y351" i="34"/>
  <c r="Y355" i="34"/>
  <c r="Y359" i="34"/>
  <c r="Y363" i="34"/>
  <c r="Y367" i="34"/>
  <c r="Y371" i="34"/>
  <c r="Y375" i="34"/>
  <c r="Y420" i="34"/>
  <c r="Y424" i="34"/>
  <c r="Y428" i="34"/>
  <c r="Y432" i="34"/>
  <c r="Y436" i="34"/>
  <c r="Y440" i="34"/>
  <c r="Y444" i="34"/>
  <c r="Y448" i="34"/>
  <c r="Y452" i="34"/>
  <c r="Y456" i="34"/>
  <c r="Y460" i="34"/>
  <c r="Y464" i="34"/>
  <c r="Y468" i="34"/>
  <c r="Y472" i="34"/>
  <c r="Y476" i="34"/>
  <c r="Y480" i="34"/>
  <c r="Y484" i="34"/>
  <c r="Y488" i="34"/>
  <c r="Y492" i="34"/>
  <c r="Y496" i="34"/>
  <c r="Y500" i="34"/>
  <c r="Y504" i="34"/>
  <c r="Y508" i="34"/>
  <c r="Y512" i="34"/>
  <c r="Y516" i="34"/>
  <c r="Y520" i="34"/>
  <c r="Y524" i="34"/>
  <c r="Y528" i="34"/>
  <c r="Y532" i="34"/>
  <c r="Y536" i="34"/>
  <c r="Y540" i="34"/>
  <c r="Y544" i="34"/>
  <c r="Y548" i="34"/>
  <c r="Y552" i="34"/>
  <c r="Y556" i="34"/>
  <c r="Y560" i="34"/>
  <c r="Y564" i="34"/>
  <c r="Y568" i="34"/>
  <c r="Y572" i="34"/>
  <c r="Y576" i="34"/>
  <c r="Y580" i="34"/>
  <c r="Y584" i="34"/>
  <c r="Y588" i="34"/>
  <c r="Y592" i="34"/>
  <c r="Y596" i="34"/>
  <c r="Y600" i="34"/>
  <c r="Y604" i="34"/>
  <c r="Y608" i="34"/>
  <c r="Y612" i="34"/>
  <c r="Y616" i="34"/>
  <c r="Y620" i="34"/>
  <c r="Y624" i="34"/>
  <c r="Y628" i="34"/>
  <c r="Y632" i="34"/>
  <c r="Y636" i="34"/>
  <c r="Y640" i="34"/>
  <c r="Y644" i="34"/>
  <c r="Y648" i="34"/>
  <c r="Y652" i="34"/>
  <c r="Y656" i="34"/>
  <c r="Y660" i="34"/>
  <c r="Y664" i="34"/>
  <c r="Y668" i="34"/>
  <c r="Y672" i="34"/>
  <c r="Y676" i="34"/>
  <c r="Y680" i="34"/>
  <c r="Y799" i="34"/>
  <c r="Y834" i="34"/>
  <c r="Y838" i="34"/>
  <c r="Y842" i="34"/>
  <c r="Y846" i="34"/>
  <c r="Y852" i="34"/>
  <c r="Y856" i="34"/>
  <c r="Y860" i="34"/>
  <c r="Y864" i="34"/>
  <c r="Y868" i="34"/>
  <c r="Y872" i="34"/>
  <c r="Y876" i="34"/>
  <c r="Y880" i="34"/>
  <c r="Y884" i="34"/>
  <c r="Y888" i="34"/>
  <c r="Y892" i="34"/>
  <c r="Y896" i="34"/>
  <c r="Y900" i="34"/>
  <c r="Y904" i="34"/>
  <c r="Y908" i="34"/>
  <c r="Y946" i="34"/>
  <c r="Y950" i="34"/>
  <c r="Y954" i="34"/>
  <c r="Y958" i="34"/>
  <c r="Y962" i="34"/>
  <c r="Y966" i="34"/>
  <c r="Y970" i="34"/>
  <c r="Y974" i="34"/>
  <c r="Y978" i="34"/>
  <c r="Y982" i="34"/>
  <c r="Y986" i="34"/>
  <c r="Y990" i="34"/>
  <c r="Y994" i="34"/>
  <c r="Y998" i="34"/>
  <c r="Y1002" i="34"/>
  <c r="Y1006" i="34"/>
  <c r="Y1010" i="34"/>
  <c r="Y1014" i="34"/>
  <c r="Y1018" i="34"/>
  <c r="Y1022" i="34"/>
  <c r="Y1026" i="34"/>
  <c r="Y1030" i="34"/>
  <c r="Y1034" i="34"/>
  <c r="Y1038" i="34"/>
  <c r="Y1042" i="34"/>
  <c r="Y1046" i="34"/>
  <c r="Y1050" i="34"/>
  <c r="Y1054" i="34"/>
  <c r="Y1058" i="34"/>
  <c r="Y1062" i="34"/>
  <c r="Y1066" i="34"/>
  <c r="Y1070" i="34"/>
  <c r="Y1074" i="34"/>
  <c r="Y1078" i="34"/>
  <c r="Y1082" i="34"/>
  <c r="Y1086" i="34"/>
  <c r="Y1090" i="34"/>
  <c r="Y1094" i="34"/>
  <c r="Y1098" i="34"/>
  <c r="Y1102" i="34"/>
  <c r="Y1106" i="34"/>
  <c r="Y1110" i="34"/>
  <c r="Y1114" i="34"/>
  <c r="Y1118" i="34"/>
  <c r="Y1122" i="34"/>
  <c r="Y1126" i="34"/>
  <c r="Y1130" i="34"/>
  <c r="Y1134" i="34"/>
  <c r="Y1138" i="34"/>
  <c r="Y1142" i="34"/>
  <c r="Y1146" i="34"/>
  <c r="Y1150" i="34"/>
  <c r="Y1154" i="34"/>
  <c r="Y1158" i="34"/>
  <c r="Y1162" i="34"/>
  <c r="Y1166" i="34"/>
  <c r="Y1170" i="34"/>
  <c r="Y1174" i="34"/>
  <c r="Y1178" i="34"/>
  <c r="Y1182" i="34"/>
  <c r="Y1186" i="34"/>
  <c r="Y1190" i="34"/>
  <c r="Y1194" i="34"/>
  <c r="Y1198" i="34"/>
  <c r="Y1202" i="34"/>
  <c r="Y1206" i="34"/>
  <c r="Y1210" i="34"/>
  <c r="Y1214" i="34"/>
  <c r="Y1218" i="34"/>
  <c r="Y1222" i="34"/>
  <c r="Y1226" i="34"/>
  <c r="Y848" i="34"/>
  <c r="Y853" i="34"/>
  <c r="Y857" i="34"/>
  <c r="Y861" i="34"/>
  <c r="Y865" i="34"/>
  <c r="Y869" i="34"/>
  <c r="Y873" i="34"/>
  <c r="Y877" i="34"/>
  <c r="Y881" i="34"/>
  <c r="Y885" i="34"/>
  <c r="Y889" i="34"/>
  <c r="Y893" i="34"/>
  <c r="Y897" i="34"/>
  <c r="Y901" i="34"/>
  <c r="Y905" i="34"/>
  <c r="Y909" i="34"/>
  <c r="Y947" i="34"/>
  <c r="Y951" i="34"/>
  <c r="Y955" i="34"/>
  <c r="Y959" i="34"/>
  <c r="Y963" i="34"/>
  <c r="Y967" i="34"/>
  <c r="Y971" i="34"/>
  <c r="Y975" i="34"/>
  <c r="Y979" i="34"/>
  <c r="Y983" i="34"/>
  <c r="Y987" i="34"/>
  <c r="Y991" i="34"/>
  <c r="Y995" i="34"/>
  <c r="Y999" i="34"/>
  <c r="Y1003" i="34"/>
  <c r="Y1007" i="34"/>
  <c r="Y1011" i="34"/>
  <c r="Y1015" i="34"/>
  <c r="Y1019" i="34"/>
  <c r="Y1023" i="34"/>
  <c r="Y1027" i="34"/>
  <c r="Y1031" i="34"/>
  <c r="Y1035" i="34"/>
  <c r="Y1039" i="34"/>
  <c r="Y1043" i="34"/>
  <c r="Y1047" i="34"/>
  <c r="Y1051" i="34"/>
  <c r="Y1055" i="34"/>
  <c r="Y1059" i="34"/>
  <c r="Y1063" i="34"/>
  <c r="Y1067" i="34"/>
  <c r="Y1071" i="34"/>
  <c r="Y1075" i="34"/>
  <c r="Y1079" i="34"/>
  <c r="Y1083" i="34"/>
  <c r="Y1087" i="34"/>
  <c r="Y1091" i="34"/>
  <c r="Y1095" i="34"/>
  <c r="Y1099" i="34"/>
  <c r="Y1103" i="34"/>
  <c r="Y1107" i="34"/>
  <c r="Y1111" i="34"/>
  <c r="Y1115" i="34"/>
  <c r="Y1119" i="34"/>
  <c r="Y1123" i="34"/>
  <c r="Y1127" i="34"/>
  <c r="Y1131" i="34"/>
  <c r="Y1135" i="34"/>
  <c r="Y1139" i="34"/>
  <c r="Y1143" i="34"/>
  <c r="Y1147" i="34"/>
  <c r="Y1151" i="34"/>
  <c r="Y1155" i="34"/>
  <c r="Y1159" i="34"/>
  <c r="Y1163" i="34"/>
  <c r="Y1167" i="34"/>
  <c r="Y1171" i="34"/>
  <c r="Y1175" i="34"/>
  <c r="Y1179" i="34"/>
  <c r="Y1183" i="34"/>
  <c r="Y1187" i="34"/>
  <c r="Y1191" i="34"/>
  <c r="Y1195" i="34"/>
  <c r="Y1199" i="34"/>
  <c r="Y1203" i="34"/>
  <c r="Y1207" i="34"/>
  <c r="Y1211" i="34"/>
  <c r="Y849" i="34"/>
  <c r="Y854" i="34"/>
  <c r="Y858" i="34"/>
  <c r="Y862" i="34"/>
  <c r="Y866" i="34"/>
  <c r="Y870" i="34"/>
  <c r="Y874" i="34"/>
  <c r="Y878" i="34"/>
  <c r="Y882" i="34"/>
  <c r="Y886" i="34"/>
  <c r="Y890" i="34"/>
  <c r="Y894" i="34"/>
  <c r="Y898" i="34"/>
  <c r="Y902" i="34"/>
  <c r="Y906" i="34"/>
  <c r="Y910" i="34"/>
  <c r="Y948" i="34"/>
  <c r="Y952" i="34"/>
  <c r="Y956" i="34"/>
  <c r="Y960" i="34"/>
  <c r="Y964" i="34"/>
  <c r="Y968" i="34"/>
  <c r="Y972" i="34"/>
  <c r="Y976" i="34"/>
  <c r="Y980" i="34"/>
  <c r="Y984" i="34"/>
  <c r="Y988" i="34"/>
  <c r="Y992" i="34"/>
  <c r="Y996" i="34"/>
  <c r="Y1000" i="34"/>
  <c r="Y1004" i="34"/>
  <c r="Y1008" i="34"/>
  <c r="Y1012" i="34"/>
  <c r="Y1016" i="34"/>
  <c r="Y1020" i="34"/>
  <c r="Y1024" i="34"/>
  <c r="Y1028" i="34"/>
  <c r="Y1032" i="34"/>
  <c r="Y1036" i="34"/>
  <c r="Y1040" i="34"/>
  <c r="Y1044" i="34"/>
  <c r="Y1048" i="34"/>
  <c r="Y1052" i="34"/>
  <c r="Y1056" i="34"/>
  <c r="Y1060" i="34"/>
  <c r="Y1064" i="34"/>
  <c r="Y1068" i="34"/>
  <c r="Y1072" i="34"/>
  <c r="Y1076" i="34"/>
  <c r="Y1080" i="34"/>
  <c r="Y1084" i="34"/>
  <c r="Y1088" i="34"/>
  <c r="Y1092" i="34"/>
  <c r="Y1096" i="34"/>
  <c r="Y1100" i="34"/>
  <c r="Y1104" i="34"/>
  <c r="Y1108" i="34"/>
  <c r="Y1112" i="34"/>
  <c r="Y1116" i="34"/>
  <c r="Y1120" i="34"/>
  <c r="Y1124" i="34"/>
  <c r="Y1128" i="34"/>
  <c r="Y1132" i="34"/>
  <c r="Y1136" i="34"/>
  <c r="Y1140" i="34"/>
  <c r="Y1144" i="34"/>
  <c r="Y1148" i="34"/>
  <c r="Y1152" i="34"/>
  <c r="Y1156" i="34"/>
  <c r="Y1160" i="34"/>
  <c r="Y1164" i="34"/>
  <c r="Y1168" i="34"/>
  <c r="Y1172" i="34"/>
  <c r="Y1176" i="34"/>
  <c r="Y1180" i="34"/>
  <c r="Y1184" i="34"/>
  <c r="Y1188" i="34"/>
  <c r="Y1192" i="34"/>
  <c r="Y1196" i="34"/>
  <c r="Y1200" i="34"/>
  <c r="Y1204" i="34"/>
  <c r="Y1208" i="34"/>
  <c r="Y1212" i="34"/>
  <c r="Y1216" i="34"/>
  <c r="Y1220" i="34"/>
  <c r="Y850" i="34"/>
  <c r="Y855" i="34"/>
  <c r="Y859" i="34"/>
  <c r="Y863" i="34"/>
  <c r="Y867" i="34"/>
  <c r="Y871" i="34"/>
  <c r="Y875" i="34"/>
  <c r="Y879" i="34"/>
  <c r="Y883" i="34"/>
  <c r="Y887" i="34"/>
  <c r="Y891" i="34"/>
  <c r="Y895" i="34"/>
  <c r="Y899" i="34"/>
  <c r="Y903" i="34"/>
  <c r="Y907" i="34"/>
  <c r="Y911" i="34"/>
  <c r="Y949" i="34"/>
  <c r="Y953" i="34"/>
  <c r="Y957" i="34"/>
  <c r="Y961" i="34"/>
  <c r="Y965" i="34"/>
  <c r="Y969" i="34"/>
  <c r="Y973" i="34"/>
  <c r="Y977" i="34"/>
  <c r="Y981" i="34"/>
  <c r="Y985" i="34"/>
  <c r="Y989" i="34"/>
  <c r="Y993" i="34"/>
  <c r="Y997" i="34"/>
  <c r="Y1001" i="34"/>
  <c r="Y1005" i="34"/>
  <c r="Y1009" i="34"/>
  <c r="Y1013" i="34"/>
  <c r="Y1017" i="34"/>
  <c r="Y1021" i="34"/>
  <c r="Y1025" i="34"/>
  <c r="Y1029" i="34"/>
  <c r="Y1033" i="34"/>
  <c r="Y1037" i="34"/>
  <c r="Y1041" i="34"/>
  <c r="Y1045" i="34"/>
  <c r="Y1049" i="34"/>
  <c r="Y1053" i="34"/>
  <c r="Y1057" i="34"/>
  <c r="Y1061" i="34"/>
  <c r="Y1065" i="34"/>
  <c r="Y1069" i="34"/>
  <c r="Y1073" i="34"/>
  <c r="Y1077" i="34"/>
  <c r="Y1081" i="34"/>
  <c r="Y1085" i="34"/>
  <c r="Y1089" i="34"/>
  <c r="Y1093" i="34"/>
  <c r="Y1097" i="34"/>
  <c r="Y1101" i="34"/>
  <c r="Y1105" i="34"/>
  <c r="Y1109" i="34"/>
  <c r="Y1113" i="34"/>
  <c r="Y1117" i="34"/>
  <c r="Y1121" i="34"/>
  <c r="Y1125" i="34"/>
  <c r="Y1129" i="34"/>
  <c r="Y1133" i="34"/>
  <c r="Y1137" i="34"/>
  <c r="Y1141" i="34"/>
  <c r="Y1145" i="34"/>
  <c r="Y1149" i="34"/>
  <c r="Y1153" i="34"/>
  <c r="Y1157" i="34"/>
  <c r="Y1161" i="34"/>
  <c r="Y1165" i="34"/>
  <c r="Y1169" i="34"/>
  <c r="Y1173" i="34"/>
  <c r="Y1177" i="34"/>
  <c r="Y1181" i="34"/>
  <c r="Y1185" i="34"/>
  <c r="Y1189" i="34"/>
  <c r="Y1193" i="34"/>
  <c r="Y1197" i="34"/>
  <c r="Y1201" i="34"/>
  <c r="Y1205" i="34"/>
  <c r="Y1209" i="34"/>
  <c r="Y1213" i="34"/>
  <c r="Y1217" i="34"/>
  <c r="Y1221" i="34"/>
  <c r="Y1224" i="34"/>
  <c r="Y1229" i="34"/>
  <c r="Y1233" i="34"/>
  <c r="Y1237" i="34"/>
  <c r="Y1241" i="34"/>
  <c r="Y1245" i="34"/>
  <c r="Y1249" i="34"/>
  <c r="Y1253" i="34"/>
  <c r="Y1257" i="34"/>
  <c r="Y1261" i="34"/>
  <c r="Y1265" i="34"/>
  <c r="Y1269" i="34"/>
  <c r="Y1273" i="34"/>
  <c r="Y1277" i="34"/>
  <c r="Y1281" i="34"/>
  <c r="Y1285" i="34"/>
  <c r="Y1289" i="34"/>
  <c r="Y1293" i="34"/>
  <c r="Y1297" i="34"/>
  <c r="Y1301" i="34"/>
  <c r="Y1305" i="34"/>
  <c r="Y1309" i="34"/>
  <c r="Y1313" i="34"/>
  <c r="Y1317" i="34"/>
  <c r="Y1321" i="34"/>
  <c r="Y1325" i="34"/>
  <c r="Y1329" i="34"/>
  <c r="Y1333" i="34"/>
  <c r="Y1337" i="34"/>
  <c r="Y1341" i="34"/>
  <c r="Y1345" i="34"/>
  <c r="Y1349" i="34"/>
  <c r="Y1353" i="34"/>
  <c r="Y1357" i="34"/>
  <c r="Y1361" i="34"/>
  <c r="Y1365" i="34"/>
  <c r="Y1369" i="34"/>
  <c r="Y1373" i="34"/>
  <c r="Y1377" i="34"/>
  <c r="Y1381" i="34"/>
  <c r="Y1385" i="34"/>
  <c r="Y1389" i="34"/>
  <c r="Y1393" i="34"/>
  <c r="Y1397" i="34"/>
  <c r="Y1401" i="34"/>
  <c r="Y1405" i="34"/>
  <c r="Y1409" i="34"/>
  <c r="Y1413" i="34"/>
  <c r="Y1417" i="34"/>
  <c r="Y1421" i="34"/>
  <c r="Y1425" i="34"/>
  <c r="Y1429" i="34"/>
  <c r="Y1433" i="34"/>
  <c r="Y1437" i="34"/>
  <c r="Y1215" i="34"/>
  <c r="Y1225" i="34"/>
  <c r="Y1230" i="34"/>
  <c r="Y1234" i="34"/>
  <c r="Y1238" i="34"/>
  <c r="Y1242" i="34"/>
  <c r="Y1246" i="34"/>
  <c r="Y1250" i="34"/>
  <c r="Y1254" i="34"/>
  <c r="Y1258" i="34"/>
  <c r="Y1262" i="34"/>
  <c r="Y1266" i="34"/>
  <c r="Y1270" i="34"/>
  <c r="Y1274" i="34"/>
  <c r="Y1278" i="34"/>
  <c r="Y1282" i="34"/>
  <c r="Y1286" i="34"/>
  <c r="Y1290" i="34"/>
  <c r="Y1294" i="34"/>
  <c r="Y1298" i="34"/>
  <c r="Y1302" i="34"/>
  <c r="Y1306" i="34"/>
  <c r="Y1310" i="34"/>
  <c r="Y1314" i="34"/>
  <c r="Y1318" i="34"/>
  <c r="Y1322" i="34"/>
  <c r="Y1326" i="34"/>
  <c r="Y1330" i="34"/>
  <c r="Y1334" i="34"/>
  <c r="Y1338" i="34"/>
  <c r="Y1342" i="34"/>
  <c r="Y1346" i="34"/>
  <c r="Y1350" i="34"/>
  <c r="Y1354" i="34"/>
  <c r="Y1358" i="34"/>
  <c r="Y1362" i="34"/>
  <c r="Y1366" i="34"/>
  <c r="Y1370" i="34"/>
  <c r="Y1374" i="34"/>
  <c r="Y1378" i="34"/>
  <c r="Y1382" i="34"/>
  <c r="Y1386" i="34"/>
  <c r="Y1390" i="34"/>
  <c r="Y1394" i="34"/>
  <c r="Y1398" i="34"/>
  <c r="Y1402" i="34"/>
  <c r="Y1406" i="34"/>
  <c r="Y1410" i="34"/>
  <c r="Y1414" i="34"/>
  <c r="Y1418" i="34"/>
  <c r="Y1422" i="34"/>
  <c r="Y1426" i="34"/>
  <c r="Y1430" i="34"/>
  <c r="Y1434" i="34"/>
  <c r="Y1438" i="34"/>
  <c r="Y1442" i="34"/>
  <c r="Y1446" i="34"/>
  <c r="Y1450" i="34"/>
  <c r="Y1454" i="34"/>
  <c r="Y1458" i="34"/>
  <c r="Y1462" i="34"/>
  <c r="Y1466" i="34"/>
  <c r="Y1470" i="34"/>
  <c r="Y1474" i="34"/>
  <c r="Y1478" i="34"/>
  <c r="Y1482" i="34"/>
  <c r="Y1486" i="34"/>
  <c r="Y1490" i="34"/>
  <c r="Y1494" i="34"/>
  <c r="Y1498" i="34"/>
  <c r="Y1502" i="34"/>
  <c r="Y1506" i="34"/>
  <c r="Y1510" i="34"/>
  <c r="Y1514" i="34"/>
  <c r="Y1518" i="34"/>
  <c r="Y1522" i="34"/>
  <c r="Y1526" i="34"/>
  <c r="Y1530" i="34"/>
  <c r="Y1219" i="34"/>
  <c r="Y1227" i="34"/>
  <c r="Y1231" i="34"/>
  <c r="Y1235" i="34"/>
  <c r="Y1239" i="34"/>
  <c r="Y1243" i="34"/>
  <c r="Y1247" i="34"/>
  <c r="Y1251" i="34"/>
  <c r="Y1255" i="34"/>
  <c r="Y1259" i="34"/>
  <c r="Y1263" i="34"/>
  <c r="Y1267" i="34"/>
  <c r="Y1271" i="34"/>
  <c r="Y1275" i="34"/>
  <c r="Y1279" i="34"/>
  <c r="Y1283" i="34"/>
  <c r="Y1287" i="34"/>
  <c r="Y1291" i="34"/>
  <c r="Y1295" i="34"/>
  <c r="Y1299" i="34"/>
  <c r="Y1303" i="34"/>
  <c r="Y1307" i="34"/>
  <c r="Y1311" i="34"/>
  <c r="Y1315" i="34"/>
  <c r="Y1319" i="34"/>
  <c r="Y1323" i="34"/>
  <c r="Y1327" i="34"/>
  <c r="Y1331" i="34"/>
  <c r="Y1335" i="34"/>
  <c r="Y1339" i="34"/>
  <c r="Y1343" i="34"/>
  <c r="Y1347" i="34"/>
  <c r="Y1351" i="34"/>
  <c r="Y1355" i="34"/>
  <c r="Y1359" i="34"/>
  <c r="Y1363" i="34"/>
  <c r="Y1367" i="34"/>
  <c r="Y1371" i="34"/>
  <c r="Y1375" i="34"/>
  <c r="Y1379" i="34"/>
  <c r="Y1383" i="34"/>
  <c r="Y1387" i="34"/>
  <c r="Y1391" i="34"/>
  <c r="Y1395" i="34"/>
  <c r="Y1399" i="34"/>
  <c r="Y1403" i="34"/>
  <c r="Y1407" i="34"/>
  <c r="Y1411" i="34"/>
  <c r="Y1415" i="34"/>
  <c r="Y1419" i="34"/>
  <c r="Y1423" i="34"/>
  <c r="Y1427" i="34"/>
  <c r="Y1431" i="34"/>
  <c r="Y1435" i="34"/>
  <c r="Y1439" i="34"/>
  <c r="Y1443" i="34"/>
  <c r="Y1447" i="34"/>
  <c r="Y1451" i="34"/>
  <c r="Y1455" i="34"/>
  <c r="Y1459" i="34"/>
  <c r="Y1463" i="34"/>
  <c r="Y1467" i="34"/>
  <c r="Y1471" i="34"/>
  <c r="Y1475" i="34"/>
  <c r="Y1479" i="34"/>
  <c r="Y1483" i="34"/>
  <c r="Y1487" i="34"/>
  <c r="Y1491" i="34"/>
  <c r="Y1495" i="34"/>
  <c r="Y1499" i="34"/>
  <c r="Y1503" i="34"/>
  <c r="Y1507" i="34"/>
  <c r="Y1511" i="34"/>
  <c r="Y1515" i="34"/>
  <c r="Y1519" i="34"/>
  <c r="Y1523" i="34"/>
  <c r="Y1527" i="34"/>
  <c r="Y1531" i="34"/>
  <c r="Y1535" i="34"/>
  <c r="Y1539" i="34"/>
  <c r="Y1543" i="34"/>
  <c r="Y1547" i="34"/>
  <c r="Y1551" i="34"/>
  <c r="Y1555" i="34"/>
  <c r="Y1559" i="34"/>
  <c r="Y1223" i="34"/>
  <c r="Y1228" i="34"/>
  <c r="Y1232" i="34"/>
  <c r="Y1236" i="34"/>
  <c r="Y1240" i="34"/>
  <c r="Y1244" i="34"/>
  <c r="Y1248" i="34"/>
  <c r="Y1252" i="34"/>
  <c r="Y1256" i="34"/>
  <c r="Y1260" i="34"/>
  <c r="Y1264" i="34"/>
  <c r="Y1268" i="34"/>
  <c r="Y1272" i="34"/>
  <c r="Y1276" i="34"/>
  <c r="Y1280" i="34"/>
  <c r="Y1284" i="34"/>
  <c r="Y1288" i="34"/>
  <c r="Y1292" i="34"/>
  <c r="Y1296" i="34"/>
  <c r="Y1300" i="34"/>
  <c r="Y1304" i="34"/>
  <c r="Y1308" i="34"/>
  <c r="Y1312" i="34"/>
  <c r="Y1316" i="34"/>
  <c r="Y1320" i="34"/>
  <c r="Y1324" i="34"/>
  <c r="Y1328" i="34"/>
  <c r="Y1332" i="34"/>
  <c r="Y1336" i="34"/>
  <c r="Y1340" i="34"/>
  <c r="Y1344" i="34"/>
  <c r="Y1348" i="34"/>
  <c r="Y1352" i="34"/>
  <c r="Y1356" i="34"/>
  <c r="Y1360" i="34"/>
  <c r="Y1364" i="34"/>
  <c r="Y1368" i="34"/>
  <c r="Y1372" i="34"/>
  <c r="Y1376" i="34"/>
  <c r="Y1380" i="34"/>
  <c r="Y1384" i="34"/>
  <c r="Y1388" i="34"/>
  <c r="Y1392" i="34"/>
  <c r="Y1396" i="34"/>
  <c r="Y1400" i="34"/>
  <c r="Y1404" i="34"/>
  <c r="Y1408" i="34"/>
  <c r="Y1412" i="34"/>
  <c r="Y1416" i="34"/>
  <c r="Y1420" i="34"/>
  <c r="Y1424" i="34"/>
  <c r="Y1428" i="34"/>
  <c r="Y1432" i="34"/>
  <c r="Y1436" i="34"/>
  <c r="Y1440" i="34"/>
  <c r="Y1444" i="34"/>
  <c r="Y1448" i="34"/>
  <c r="Y1452" i="34"/>
  <c r="Y1456" i="34"/>
  <c r="Y1460" i="34"/>
  <c r="Y1464" i="34"/>
  <c r="Y1468" i="34"/>
  <c r="Y1472" i="34"/>
  <c r="Y1476" i="34"/>
  <c r="Y1480" i="34"/>
  <c r="Y1484" i="34"/>
  <c r="Y1488" i="34"/>
  <c r="Y1492" i="34"/>
  <c r="Y1496" i="34"/>
  <c r="Y1500" i="34"/>
  <c r="Y1504" i="34"/>
  <c r="Y1508" i="34"/>
  <c r="Y1512" i="34"/>
  <c r="Y1516" i="34"/>
  <c r="Y1520" i="34"/>
  <c r="Y1524" i="34"/>
  <c r="Y1528" i="34"/>
  <c r="Y1532" i="34"/>
  <c r="Y1536" i="34"/>
  <c r="Y1453" i="34"/>
  <c r="Y1469" i="34"/>
  <c r="Y1485" i="34"/>
  <c r="Y1501" i="34"/>
  <c r="Y1517" i="34"/>
  <c r="Y1533" i="34"/>
  <c r="Y1540" i="34"/>
  <c r="Y1545" i="34"/>
  <c r="Y1550" i="34"/>
  <c r="Y1556" i="34"/>
  <c r="Y1561" i="34"/>
  <c r="Y1565" i="34"/>
  <c r="Y1569" i="34"/>
  <c r="Y1573" i="34"/>
  <c r="Y1577" i="34"/>
  <c r="Y1581" i="34"/>
  <c r="Y1585" i="34"/>
  <c r="Y1589" i="34"/>
  <c r="Y1593" i="34"/>
  <c r="Y1597" i="34"/>
  <c r="Y1601" i="34"/>
  <c r="Y1605" i="34"/>
  <c r="Y1609" i="34"/>
  <c r="Y1613" i="34"/>
  <c r="Y1617" i="34"/>
  <c r="Y1621" i="34"/>
  <c r="Y1625" i="34"/>
  <c r="Y1629" i="34"/>
  <c r="Y1633" i="34"/>
  <c r="Y1637" i="34"/>
  <c r="Y1641" i="34"/>
  <c r="Y1645" i="34"/>
  <c r="Y1649" i="34"/>
  <c r="Y1653" i="34"/>
  <c r="Y1657" i="34"/>
  <c r="Y1661" i="34"/>
  <c r="Y1665" i="34"/>
  <c r="Y1669" i="34"/>
  <c r="Y1673" i="34"/>
  <c r="Y1677" i="34"/>
  <c r="Y1681" i="34"/>
  <c r="Y1685" i="34"/>
  <c r="Y1689" i="34"/>
  <c r="Y1693" i="34"/>
  <c r="Y1697" i="34"/>
  <c r="Y1701" i="34"/>
  <c r="Y1705" i="34"/>
  <c r="Y1709" i="34"/>
  <c r="Y1713" i="34"/>
  <c r="Y1717" i="34"/>
  <c r="Y1721" i="34"/>
  <c r="Y1725" i="34"/>
  <c r="Y1729" i="34"/>
  <c r="Y1733" i="34"/>
  <c r="Y1737" i="34"/>
  <c r="Y1741" i="34"/>
  <c r="Y1745" i="34"/>
  <c r="Y1749" i="34"/>
  <c r="Y1753" i="34"/>
  <c r="Y1757" i="34"/>
  <c r="Y1761" i="34"/>
  <c r="Y1765" i="34"/>
  <c r="Y1769" i="34"/>
  <c r="Y1773" i="34"/>
  <c r="Y1777" i="34"/>
  <c r="Y1781" i="34"/>
  <c r="Y1785" i="34"/>
  <c r="Y1789" i="34"/>
  <c r="Y1793" i="34"/>
  <c r="Y1797" i="34"/>
  <c r="Y1801" i="34"/>
  <c r="Y1805" i="34"/>
  <c r="Y1809" i="34"/>
  <c r="Y1813" i="34"/>
  <c r="Y1817" i="34"/>
  <c r="Y1821" i="34"/>
  <c r="Y1825" i="34"/>
  <c r="Y1829" i="34"/>
  <c r="Y1833" i="34"/>
  <c r="Y1837" i="34"/>
  <c r="Y1841" i="34"/>
  <c r="Y1845" i="34"/>
  <c r="Y1849" i="34"/>
  <c r="Y1853" i="34"/>
  <c r="Y1857" i="34"/>
  <c r="Y1861" i="34"/>
  <c r="Y1865" i="34"/>
  <c r="Y1869" i="34"/>
  <c r="Y1873" i="34"/>
  <c r="Y1877" i="34"/>
  <c r="Y1881" i="34"/>
  <c r="Y1885" i="34"/>
  <c r="Y1889" i="34"/>
  <c r="Y1893" i="34"/>
  <c r="Y1897" i="34"/>
  <c r="Y1901" i="34"/>
  <c r="Y1905" i="34"/>
  <c r="Y1909" i="34"/>
  <c r="Y1913" i="34"/>
  <c r="Y1917" i="34"/>
  <c r="Y1921" i="34"/>
  <c r="Y1925" i="34"/>
  <c r="Y1929" i="34"/>
  <c r="Y1933" i="34"/>
  <c r="Y1937" i="34"/>
  <c r="Y1941" i="34"/>
  <c r="Y1945" i="34"/>
  <c r="Y1949" i="34"/>
  <c r="Y1953" i="34"/>
  <c r="Y1957" i="34"/>
  <c r="Y1961" i="34"/>
  <c r="Y1965" i="34"/>
  <c r="Y1969" i="34"/>
  <c r="Y1973" i="34"/>
  <c r="Y1977" i="34"/>
  <c r="Y1981" i="34"/>
  <c r="Y1985" i="34"/>
  <c r="Y1989" i="34"/>
  <c r="Y1993" i="34"/>
  <c r="Y1997" i="34"/>
  <c r="Y2001" i="34"/>
  <c r="Y2005" i="34"/>
  <c r="Y2009" i="34"/>
  <c r="Y2013" i="34"/>
  <c r="Y2017" i="34"/>
  <c r="Y2021" i="34"/>
  <c r="Y2025" i="34"/>
  <c r="Y2029" i="34"/>
  <c r="Y2033" i="34"/>
  <c r="Y2037" i="34"/>
  <c r="Y2041" i="34"/>
  <c r="Y2045" i="34"/>
  <c r="Y2049" i="34"/>
  <c r="Y2053" i="34"/>
  <c r="Y2057" i="34"/>
  <c r="Y2061" i="34"/>
  <c r="Y2065" i="34"/>
  <c r="Y2069" i="34"/>
  <c r="Y2073" i="34"/>
  <c r="Y2077" i="34"/>
  <c r="Y2081" i="34"/>
  <c r="Y2085" i="34"/>
  <c r="Y2089" i="34"/>
  <c r="Y2093" i="34"/>
  <c r="Y2097" i="34"/>
  <c r="Y2101" i="34"/>
  <c r="Y2105" i="34"/>
  <c r="Y2109" i="34"/>
  <c r="Y2113" i="34"/>
  <c r="Y2117" i="34"/>
  <c r="Y2121" i="34"/>
  <c r="Y2125" i="34"/>
  <c r="Y2129" i="34"/>
  <c r="Y2133" i="34"/>
  <c r="Y2137" i="34"/>
  <c r="Y2141" i="34"/>
  <c r="Y2145" i="34"/>
  <c r="Y2149" i="34"/>
  <c r="Y2153" i="34"/>
  <c r="Y2157" i="34"/>
  <c r="Y2161" i="34"/>
  <c r="Y2165" i="34"/>
  <c r="Y2169" i="34"/>
  <c r="Y2173" i="34"/>
  <c r="Y2177" i="34"/>
  <c r="Y1441" i="34"/>
  <c r="Y1457" i="34"/>
  <c r="Y1473" i="34"/>
  <c r="Y1489" i="34"/>
  <c r="Y1505" i="34"/>
  <c r="Y1521" i="34"/>
  <c r="Y1534" i="34"/>
  <c r="Y1541" i="34"/>
  <c r="Y1546" i="34"/>
  <c r="Y1552" i="34"/>
  <c r="Y1557" i="34"/>
  <c r="Y1562" i="34"/>
  <c r="Y1566" i="34"/>
  <c r="Y1570" i="34"/>
  <c r="Y1574" i="34"/>
  <c r="Y1578" i="34"/>
  <c r="Y1582" i="34"/>
  <c r="Y1586" i="34"/>
  <c r="Y1590" i="34"/>
  <c r="Y1594" i="34"/>
  <c r="Y1598" i="34"/>
  <c r="Y1602" i="34"/>
  <c r="Y1606" i="34"/>
  <c r="Y1610" i="34"/>
  <c r="Y1614" i="34"/>
  <c r="Y1618" i="34"/>
  <c r="Y1622" i="34"/>
  <c r="Y1626" i="34"/>
  <c r="Y1630" i="34"/>
  <c r="Y1634" i="34"/>
  <c r="Y1638" i="34"/>
  <c r="Y1642" i="34"/>
  <c r="Y1646" i="34"/>
  <c r="Y1650" i="34"/>
  <c r="Y1654" i="34"/>
  <c r="Y1658" i="34"/>
  <c r="Y1662" i="34"/>
  <c r="Y1666" i="34"/>
  <c r="Y1670" i="34"/>
  <c r="Y1674" i="34"/>
  <c r="Y1678" i="34"/>
  <c r="Y1682" i="34"/>
  <c r="Y1686" i="34"/>
  <c r="Y1690" i="34"/>
  <c r="Y1694" i="34"/>
  <c r="Y1698" i="34"/>
  <c r="Y1702" i="34"/>
  <c r="Y1706" i="34"/>
  <c r="Y1710" i="34"/>
  <c r="Y1714" i="34"/>
  <c r="Y1718" i="34"/>
  <c r="Y1722" i="34"/>
  <c r="Y1726" i="34"/>
  <c r="Y1730" i="34"/>
  <c r="Y1734" i="34"/>
  <c r="Y1738" i="34"/>
  <c r="Y1742" i="34"/>
  <c r="Y1746" i="34"/>
  <c r="Y1750" i="34"/>
  <c r="Y1754" i="34"/>
  <c r="Y1758" i="34"/>
  <c r="Y1762" i="34"/>
  <c r="Y1766" i="34"/>
  <c r="Y1770" i="34"/>
  <c r="Y1774" i="34"/>
  <c r="Y1778" i="34"/>
  <c r="Y1782" i="34"/>
  <c r="Y1786" i="34"/>
  <c r="Y1790" i="34"/>
  <c r="Y1794" i="34"/>
  <c r="Y1798" i="34"/>
  <c r="Y1802" i="34"/>
  <c r="Y1806" i="34"/>
  <c r="Y1810" i="34"/>
  <c r="Y1814" i="34"/>
  <c r="Y1818" i="34"/>
  <c r="Y1822" i="34"/>
  <c r="Y1826" i="34"/>
  <c r="Y1830" i="34"/>
  <c r="Y1834" i="34"/>
  <c r="Y1838" i="34"/>
  <c r="Y1842" i="34"/>
  <c r="Y1846" i="34"/>
  <c r="Y1850" i="34"/>
  <c r="Y1854" i="34"/>
  <c r="Y1858" i="34"/>
  <c r="Y1862" i="34"/>
  <c r="Y1866" i="34"/>
  <c r="Y1870" i="34"/>
  <c r="Y1874" i="34"/>
  <c r="Y1878" i="34"/>
  <c r="Y1882" i="34"/>
  <c r="Y1886" i="34"/>
  <c r="Y1890" i="34"/>
  <c r="Y1894" i="34"/>
  <c r="Y1898" i="34"/>
  <c r="Y1902" i="34"/>
  <c r="Y1906" i="34"/>
  <c r="Y1910" i="34"/>
  <c r="Y1914" i="34"/>
  <c r="Y1918" i="34"/>
  <c r="Y1922" i="34"/>
  <c r="Y1926" i="34"/>
  <c r="Y1930" i="34"/>
  <c r="Y1934" i="34"/>
  <c r="Y1938" i="34"/>
  <c r="Y1942" i="34"/>
  <c r="Y1946" i="34"/>
  <c r="Y1950" i="34"/>
  <c r="Y1954" i="34"/>
  <c r="Y1958" i="34"/>
  <c r="Y1962" i="34"/>
  <c r="Y1966" i="34"/>
  <c r="Y1970" i="34"/>
  <c r="Y1974" i="34"/>
  <c r="Y1978" i="34"/>
  <c r="Y1982" i="34"/>
  <c r="Y1986" i="34"/>
  <c r="Y1990" i="34"/>
  <c r="Y1994" i="34"/>
  <c r="Y1998" i="34"/>
  <c r="Y2002" i="34"/>
  <c r="Y2006" i="34"/>
  <c r="Y2010" i="34"/>
  <c r="Y2014" i="34"/>
  <c r="Y2018" i="34"/>
  <c r="Y2022" i="34"/>
  <c r="Y2026" i="34"/>
  <c r="Y2030" i="34"/>
  <c r="Y2034" i="34"/>
  <c r="Y2038" i="34"/>
  <c r="Y2042" i="34"/>
  <c r="Y2046" i="34"/>
  <c r="Y2050" i="34"/>
  <c r="Y2054" i="34"/>
  <c r="Y2058" i="34"/>
  <c r="Y2062" i="34"/>
  <c r="Y2066" i="34"/>
  <c r="Y2070" i="34"/>
  <c r="Y2074" i="34"/>
  <c r="Y2078" i="34"/>
  <c r="Y2082" i="34"/>
  <c r="Y2086" i="34"/>
  <c r="Y2090" i="34"/>
  <c r="Y2094" i="34"/>
  <c r="Y2098" i="34"/>
  <c r="Y2102" i="34"/>
  <c r="Y2106" i="34"/>
  <c r="Y2110" i="34"/>
  <c r="Y2114" i="34"/>
  <c r="Y2118" i="34"/>
  <c r="Y2122" i="34"/>
  <c r="Y2126" i="34"/>
  <c r="Y2130" i="34"/>
  <c r="Y2134" i="34"/>
  <c r="Y2138" i="34"/>
  <c r="Y2142" i="34"/>
  <c r="Y2146" i="34"/>
  <c r="Y2150" i="34"/>
  <c r="Y2154" i="34"/>
  <c r="Y2158" i="34"/>
  <c r="Y2162" i="34"/>
  <c r="Y2166" i="34"/>
  <c r="Y2170" i="34"/>
  <c r="Y2174" i="34"/>
  <c r="Y2178" i="34"/>
  <c r="Y1445" i="34"/>
  <c r="Y1461" i="34"/>
  <c r="Y1477" i="34"/>
  <c r="Y1493" i="34"/>
  <c r="Y1509" i="34"/>
  <c r="Y1525" i="34"/>
  <c r="Y1537" i="34"/>
  <c r="Y1542" i="34"/>
  <c r="Y1548" i="34"/>
  <c r="Y1553" i="34"/>
  <c r="Y1558" i="34"/>
  <c r="Y1563" i="34"/>
  <c r="Y1567" i="34"/>
  <c r="Y1571" i="34"/>
  <c r="Y1575" i="34"/>
  <c r="Y1579" i="34"/>
  <c r="Y1583" i="34"/>
  <c r="Y1587" i="34"/>
  <c r="Y1591" i="34"/>
  <c r="Y1595" i="34"/>
  <c r="Y1599" i="34"/>
  <c r="Y1603" i="34"/>
  <c r="Y1607" i="34"/>
  <c r="Y1611" i="34"/>
  <c r="Y1615" i="34"/>
  <c r="Y1619" i="34"/>
  <c r="Y1623" i="34"/>
  <c r="Y1627" i="34"/>
  <c r="Y1631" i="34"/>
  <c r="Y1635" i="34"/>
  <c r="Y1639" i="34"/>
  <c r="Y1643" i="34"/>
  <c r="Y1647" i="34"/>
  <c r="Y1651" i="34"/>
  <c r="Y1655" i="34"/>
  <c r="Y1659" i="34"/>
  <c r="Y1663" i="34"/>
  <c r="Y1667" i="34"/>
  <c r="Y1671" i="34"/>
  <c r="Y1675" i="34"/>
  <c r="Y1679" i="34"/>
  <c r="Y1683" i="34"/>
  <c r="Y1687" i="34"/>
  <c r="Y1691" i="34"/>
  <c r="Y1695" i="34"/>
  <c r="Y1699" i="34"/>
  <c r="Y1703" i="34"/>
  <c r="Y1707" i="34"/>
  <c r="Y1711" i="34"/>
  <c r="Y1715" i="34"/>
  <c r="Y1719" i="34"/>
  <c r="Y1723" i="34"/>
  <c r="Y1727" i="34"/>
  <c r="Y1731" i="34"/>
  <c r="Y1735" i="34"/>
  <c r="Y1739" i="34"/>
  <c r="Y1743" i="34"/>
  <c r="Y1747" i="34"/>
  <c r="Y1751" i="34"/>
  <c r="Y1755" i="34"/>
  <c r="Y1759" i="34"/>
  <c r="Y1763" i="34"/>
  <c r="Y1767" i="34"/>
  <c r="Y1771" i="34"/>
  <c r="Y1775" i="34"/>
  <c r="Y1779" i="34"/>
  <c r="Y1783" i="34"/>
  <c r="Y1787" i="34"/>
  <c r="Y1791" i="34"/>
  <c r="Y1795" i="34"/>
  <c r="Y1799" i="34"/>
  <c r="Y1803" i="34"/>
  <c r="Y1807" i="34"/>
  <c r="Y1811" i="34"/>
  <c r="Y1815" i="34"/>
  <c r="Y1819" i="34"/>
  <c r="Y1823" i="34"/>
  <c r="Y1827" i="34"/>
  <c r="Y1831" i="34"/>
  <c r="Y1835" i="34"/>
  <c r="Y1839" i="34"/>
  <c r="Y1843" i="34"/>
  <c r="Y1847" i="34"/>
  <c r="Y1851" i="34"/>
  <c r="Y1855" i="34"/>
  <c r="Y1859" i="34"/>
  <c r="Y1863" i="34"/>
  <c r="Y1867" i="34"/>
  <c r="Y1871" i="34"/>
  <c r="Y1875" i="34"/>
  <c r="Y1879" i="34"/>
  <c r="Y1883" i="34"/>
  <c r="Y1887" i="34"/>
  <c r="Y1891" i="34"/>
  <c r="Y1895" i="34"/>
  <c r="Y1899" i="34"/>
  <c r="Y1903" i="34"/>
  <c r="Y1907" i="34"/>
  <c r="Y1911" i="34"/>
  <c r="Y1915" i="34"/>
  <c r="Y1919" i="34"/>
  <c r="Y1923" i="34"/>
  <c r="Y1927" i="34"/>
  <c r="Y1931" i="34"/>
  <c r="Y1935" i="34"/>
  <c r="Y1939" i="34"/>
  <c r="Y1943" i="34"/>
  <c r="Y1947" i="34"/>
  <c r="Y1951" i="34"/>
  <c r="Y1955" i="34"/>
  <c r="Y1959" i="34"/>
  <c r="Y1963" i="34"/>
  <c r="Y1967" i="34"/>
  <c r="Y1971" i="34"/>
  <c r="Y1975" i="34"/>
  <c r="Y1979" i="34"/>
  <c r="Y1983" i="34"/>
  <c r="Y1987" i="34"/>
  <c r="Y1991" i="34"/>
  <c r="Y1995" i="34"/>
  <c r="Y1999" i="34"/>
  <c r="Y2003" i="34"/>
  <c r="Y2007" i="34"/>
  <c r="Y2011" i="34"/>
  <c r="Y2015" i="34"/>
  <c r="Y2019" i="34"/>
  <c r="Y2023" i="34"/>
  <c r="Y2027" i="34"/>
  <c r="Y2031" i="34"/>
  <c r="Y2035" i="34"/>
  <c r="Y2039" i="34"/>
  <c r="Y2043" i="34"/>
  <c r="Y2047" i="34"/>
  <c r="Y2051" i="34"/>
  <c r="Y2055" i="34"/>
  <c r="Y2059" i="34"/>
  <c r="Y2063" i="34"/>
  <c r="Y2067" i="34"/>
  <c r="Y2071" i="34"/>
  <c r="Y2075" i="34"/>
  <c r="Y2079" i="34"/>
  <c r="Y2083" i="34"/>
  <c r="Y2087" i="34"/>
  <c r="Y2091" i="34"/>
  <c r="Y2095" i="34"/>
  <c r="Y2099" i="34"/>
  <c r="Y2103" i="34"/>
  <c r="Y2107" i="34"/>
  <c r="Y2111" i="34"/>
  <c r="Y2115" i="34"/>
  <c r="Y2119" i="34"/>
  <c r="Y2123" i="34"/>
  <c r="Y2127" i="34"/>
  <c r="Y2131" i="34"/>
  <c r="Y2135" i="34"/>
  <c r="Y2139" i="34"/>
  <c r="Y2143" i="34"/>
  <c r="Y2147" i="34"/>
  <c r="Y2151" i="34"/>
  <c r="Y2155" i="34"/>
  <c r="Y2159" i="34"/>
  <c r="Y2163" i="34"/>
  <c r="Y2167" i="34"/>
  <c r="Y2171" i="34"/>
  <c r="Y2175" i="34"/>
  <c r="Y2179" i="34"/>
  <c r="Y2183" i="34"/>
  <c r="Y1449" i="34"/>
  <c r="Y1465" i="34"/>
  <c r="Y1481" i="34"/>
  <c r="Y1497" i="34"/>
  <c r="Y1513" i="34"/>
  <c r="Y1529" i="34"/>
  <c r="Y1538" i="34"/>
  <c r="Y1544" i="34"/>
  <c r="Y1549" i="34"/>
  <c r="Y1554" i="34"/>
  <c r="Y1560" i="34"/>
  <c r="Y1564" i="34"/>
  <c r="Y1568" i="34"/>
  <c r="Y1572" i="34"/>
  <c r="Y1576" i="34"/>
  <c r="Y1580" i="34"/>
  <c r="Y1584" i="34"/>
  <c r="Y1588" i="34"/>
  <c r="Y1592" i="34"/>
  <c r="Y1596" i="34"/>
  <c r="Y1600" i="34"/>
  <c r="Y1604" i="34"/>
  <c r="Y1608" i="34"/>
  <c r="Y1612" i="34"/>
  <c r="Y1616" i="34"/>
  <c r="Y1620" i="34"/>
  <c r="Y1624" i="34"/>
  <c r="Y1628" i="34"/>
  <c r="Y1632" i="34"/>
  <c r="Y1636" i="34"/>
  <c r="Y1640" i="34"/>
  <c r="Y1644" i="34"/>
  <c r="Y1648" i="34"/>
  <c r="Y1652" i="34"/>
  <c r="Y1656" i="34"/>
  <c r="Y1660" i="34"/>
  <c r="Y1664" i="34"/>
  <c r="Y1668" i="34"/>
  <c r="Y1672" i="34"/>
  <c r="Y1676" i="34"/>
  <c r="Y1680" i="34"/>
  <c r="Y1684" i="34"/>
  <c r="Y1688" i="34"/>
  <c r="Y1692" i="34"/>
  <c r="Y1696" i="34"/>
  <c r="Y1700" i="34"/>
  <c r="Y1704" i="34"/>
  <c r="Y1708" i="34"/>
  <c r="Y1712" i="34"/>
  <c r="Y1716" i="34"/>
  <c r="Y1720" i="34"/>
  <c r="Y1724" i="34"/>
  <c r="Y1728" i="34"/>
  <c r="Y1732" i="34"/>
  <c r="Y1736" i="34"/>
  <c r="Y1740" i="34"/>
  <c r="Y1744" i="34"/>
  <c r="Y1748" i="34"/>
  <c r="Y1752" i="34"/>
  <c r="Y1756" i="34"/>
  <c r="Y1760" i="34"/>
  <c r="Y1764" i="34"/>
  <c r="Y1768" i="34"/>
  <c r="Y1772" i="34"/>
  <c r="Y1776" i="34"/>
  <c r="Y1780" i="34"/>
  <c r="Y1784" i="34"/>
  <c r="Y1788" i="34"/>
  <c r="Y1792" i="34"/>
  <c r="Y1796" i="34"/>
  <c r="Y1800" i="34"/>
  <c r="Y1804" i="34"/>
  <c r="Y1808" i="34"/>
  <c r="Y1812" i="34"/>
  <c r="Y1816" i="34"/>
  <c r="Y1820" i="34"/>
  <c r="Y1824" i="34"/>
  <c r="Y1828" i="34"/>
  <c r="Y1832" i="34"/>
  <c r="Y1836" i="34"/>
  <c r="Y1840" i="34"/>
  <c r="Y1844" i="34"/>
  <c r="Y1848" i="34"/>
  <c r="Y1852" i="34"/>
  <c r="Y1856" i="34"/>
  <c r="Y1860" i="34"/>
  <c r="Y1864" i="34"/>
  <c r="Y1868" i="34"/>
  <c r="Y1872" i="34"/>
  <c r="Y1876" i="34"/>
  <c r="Y1880" i="34"/>
  <c r="Y1884" i="34"/>
  <c r="Y1888" i="34"/>
  <c r="Y1892" i="34"/>
  <c r="Y1896" i="34"/>
  <c r="Y1900" i="34"/>
  <c r="Y1904" i="34"/>
  <c r="Y1908" i="34"/>
  <c r="Y1912" i="34"/>
  <c r="Y1916" i="34"/>
  <c r="Y1920" i="34"/>
  <c r="Y1924" i="34"/>
  <c r="Y1928" i="34"/>
  <c r="Y1932" i="34"/>
  <c r="Y1936" i="34"/>
  <c r="Y1940" i="34"/>
  <c r="Y1944" i="34"/>
  <c r="Y1948" i="34"/>
  <c r="Y1952" i="34"/>
  <c r="Y1956" i="34"/>
  <c r="Y1960" i="34"/>
  <c r="Y1964" i="34"/>
  <c r="Y1968" i="34"/>
  <c r="Y1972" i="34"/>
  <c r="Y1976" i="34"/>
  <c r="Y1980" i="34"/>
  <c r="Y1984" i="34"/>
  <c r="Y1988" i="34"/>
  <c r="Y1992" i="34"/>
  <c r="Y1996" i="34"/>
  <c r="Y2000" i="34"/>
  <c r="Y2004" i="34"/>
  <c r="Y2008" i="34"/>
  <c r="Y2012" i="34"/>
  <c r="Y2016" i="34"/>
  <c r="Y2020" i="34"/>
  <c r="Y2024" i="34"/>
  <c r="Y2028" i="34"/>
  <c r="Y2032" i="34"/>
  <c r="Y2036" i="34"/>
  <c r="Y2040" i="34"/>
  <c r="Y2044" i="34"/>
  <c r="Y2048" i="34"/>
  <c r="Y2052" i="34"/>
  <c r="Y2056" i="34"/>
  <c r="Y2060" i="34"/>
  <c r="Y2064" i="34"/>
  <c r="Y2068" i="34"/>
  <c r="Y2072" i="34"/>
  <c r="Y2076" i="34"/>
  <c r="Y2080" i="34"/>
  <c r="Y2084" i="34"/>
  <c r="Y2088" i="34"/>
  <c r="Y2092" i="34"/>
  <c r="Y2096" i="34"/>
  <c r="Y2100" i="34"/>
  <c r="Y2104" i="34"/>
  <c r="Y2108" i="34"/>
  <c r="Y2112" i="34"/>
  <c r="Y2116" i="34"/>
  <c r="Y2120" i="34"/>
  <c r="Y2124" i="34"/>
  <c r="Y2128" i="34"/>
  <c r="Y2132" i="34"/>
  <c r="Y2136" i="34"/>
  <c r="Y2140" i="34"/>
  <c r="Y2144" i="34"/>
  <c r="Y2148" i="34"/>
  <c r="Y2152" i="34"/>
  <c r="Y2156" i="34"/>
  <c r="Y2160" i="34"/>
  <c r="Y2164" i="34"/>
  <c r="Y2168" i="34"/>
  <c r="Y2172" i="34"/>
  <c r="Y2176" i="34"/>
  <c r="Y2180" i="34"/>
  <c r="Y2184" i="34"/>
  <c r="Y2188" i="34"/>
  <c r="Y2192" i="34"/>
  <c r="Y2196" i="34"/>
  <c r="Y2186" i="34"/>
  <c r="Y2191" i="34"/>
  <c r="Y2197" i="34"/>
  <c r="Y2201" i="34"/>
  <c r="Y2205" i="34"/>
  <c r="Y2209" i="34"/>
  <c r="Y2213" i="34"/>
  <c r="Y2217" i="34"/>
  <c r="Y2221" i="34"/>
  <c r="Y2225" i="34"/>
  <c r="Y2229" i="34"/>
  <c r="Y2233" i="34"/>
  <c r="Y2237" i="34"/>
  <c r="Y2241" i="34"/>
  <c r="Y2245" i="34"/>
  <c r="Y2249" i="34"/>
  <c r="Y2253" i="34"/>
  <c r="Y2257" i="34"/>
  <c r="Y2261" i="34"/>
  <c r="Y2265" i="34"/>
  <c r="Y2269" i="34"/>
  <c r="Y2273" i="34"/>
  <c r="Y2277" i="34"/>
  <c r="Y2281" i="34"/>
  <c r="Y2285" i="34"/>
  <c r="Y2289" i="34"/>
  <c r="Y2293" i="34"/>
  <c r="Y2297" i="34"/>
  <c r="Y2301" i="34"/>
  <c r="Y2305" i="34"/>
  <c r="Y2309" i="34"/>
  <c r="Y2313" i="34"/>
  <c r="Y2317" i="34"/>
  <c r="Y2321" i="34"/>
  <c r="Y2325" i="34"/>
  <c r="Y2329" i="34"/>
  <c r="Y2333" i="34"/>
  <c r="Y2337" i="34"/>
  <c r="Y2341" i="34"/>
  <c r="Y2345" i="34"/>
  <c r="Y2349" i="34"/>
  <c r="Y2353" i="34"/>
  <c r="Y2357" i="34"/>
  <c r="Y2361" i="34"/>
  <c r="Y2365" i="34"/>
  <c r="Y2369" i="34"/>
  <c r="Y2373" i="34"/>
  <c r="Y2377" i="34"/>
  <c r="Y2381" i="34"/>
  <c r="Y2385" i="34"/>
  <c r="Y2389" i="34"/>
  <c r="Y2393" i="34"/>
  <c r="Y2397" i="34"/>
  <c r="Y2401" i="34"/>
  <c r="Y2405" i="34"/>
  <c r="Y2409" i="34"/>
  <c r="Y2413" i="34"/>
  <c r="Y2417" i="34"/>
  <c r="Y2421" i="34"/>
  <c r="Y2425" i="34"/>
  <c r="Y2429" i="34"/>
  <c r="Y2433" i="34"/>
  <c r="Y2437" i="34"/>
  <c r="Y2441" i="34"/>
  <c r="Y2445" i="34"/>
  <c r="Y2449" i="34"/>
  <c r="Y2453" i="34"/>
  <c r="Y2457" i="34"/>
  <c r="Y2461" i="34"/>
  <c r="Y2465" i="34"/>
  <c r="Y2469" i="34"/>
  <c r="Y2473" i="34"/>
  <c r="Y2477" i="34"/>
  <c r="Y2481" i="34"/>
  <c r="Y2485" i="34"/>
  <c r="Y2489" i="34"/>
  <c r="Y2493" i="34"/>
  <c r="Y2497" i="34"/>
  <c r="Y2501" i="34"/>
  <c r="Y2505" i="34"/>
  <c r="Y2509" i="34"/>
  <c r="Y2513" i="34"/>
  <c r="Y2517" i="34"/>
  <c r="Y2521" i="34"/>
  <c r="Y2525" i="34"/>
  <c r="Y2529" i="34"/>
  <c r="Y2533" i="34"/>
  <c r="Y2537" i="34"/>
  <c r="Y2541" i="34"/>
  <c r="Y2545" i="34"/>
  <c r="Y2549" i="34"/>
  <c r="Y2553" i="34"/>
  <c r="Y2557" i="34"/>
  <c r="Y2561" i="34"/>
  <c r="Y2565" i="34"/>
  <c r="Y2569" i="34"/>
  <c r="Y2573" i="34"/>
  <c r="Y2577" i="34"/>
  <c r="Y2581" i="34"/>
  <c r="Y2585" i="34"/>
  <c r="Y2589" i="34"/>
  <c r="Y2593" i="34"/>
  <c r="Y2597" i="34"/>
  <c r="Y2601" i="34"/>
  <c r="Y2605" i="34"/>
  <c r="Y2609" i="34"/>
  <c r="Y2613" i="34"/>
  <c r="Y2617" i="34"/>
  <c r="Y2621" i="34"/>
  <c r="Y2625" i="34"/>
  <c r="Y2629" i="34"/>
  <c r="Y2633" i="34"/>
  <c r="Y2637" i="34"/>
  <c r="Y2641" i="34"/>
  <c r="Y2645" i="34"/>
  <c r="Y2649" i="34"/>
  <c r="Y2653" i="34"/>
  <c r="Y2657" i="34"/>
  <c r="Y2661" i="34"/>
  <c r="Y2665" i="34"/>
  <c r="Y2669" i="34"/>
  <c r="Y2673" i="34"/>
  <c r="Y2677" i="34"/>
  <c r="Y2681" i="34"/>
  <c r="Y2685" i="34"/>
  <c r="Y2689" i="34"/>
  <c r="Y2693" i="34"/>
  <c r="Y2697" i="34"/>
  <c r="Y2701" i="34"/>
  <c r="Y2705" i="34"/>
  <c r="Y2709" i="34"/>
  <c r="Y2713" i="34"/>
  <c r="Y2717" i="34"/>
  <c r="Y2721" i="34"/>
  <c r="Y2725" i="34"/>
  <c r="Y2729" i="34"/>
  <c r="Y2733" i="34"/>
  <c r="Y2737" i="34"/>
  <c r="Y2741" i="34"/>
  <c r="Y2745" i="34"/>
  <c r="Y2749" i="34"/>
  <c r="Y2753" i="34"/>
  <c r="Y2757" i="34"/>
  <c r="Y2761" i="34"/>
  <c r="Y2765" i="34"/>
  <c r="Y2769" i="34"/>
  <c r="Y2773" i="34"/>
  <c r="Y2777" i="34"/>
  <c r="Y2781" i="34"/>
  <c r="Y2785" i="34"/>
  <c r="Y2789" i="34"/>
  <c r="Y2793" i="34"/>
  <c r="Y2797" i="34"/>
  <c r="Y2801" i="34"/>
  <c r="Y2805" i="34"/>
  <c r="Y2809" i="34"/>
  <c r="Y2813" i="34"/>
  <c r="Y2817" i="34"/>
  <c r="Y2821" i="34"/>
  <c r="Y2825" i="34"/>
  <c r="Y2829" i="34"/>
  <c r="Y2833" i="34"/>
  <c r="Y2837" i="34"/>
  <c r="Y2841" i="34"/>
  <c r="Y2845" i="34"/>
  <c r="Y2849" i="34"/>
  <c r="Y2853" i="34"/>
  <c r="Y2857" i="34"/>
  <c r="Y2181" i="34"/>
  <c r="Y2187" i="34"/>
  <c r="Y2193" i="34"/>
  <c r="Y2198" i="34"/>
  <c r="Y2202" i="34"/>
  <c r="Y2206" i="34"/>
  <c r="Y2210" i="34"/>
  <c r="Y2214" i="34"/>
  <c r="Y2218" i="34"/>
  <c r="Y2222" i="34"/>
  <c r="Y2226" i="34"/>
  <c r="Y2230" i="34"/>
  <c r="Y2234" i="34"/>
  <c r="Y2238" i="34"/>
  <c r="Y2242" i="34"/>
  <c r="Y2246" i="34"/>
  <c r="Y2250" i="34"/>
  <c r="Y2254" i="34"/>
  <c r="Y2258" i="34"/>
  <c r="Y2262" i="34"/>
  <c r="Y2266" i="34"/>
  <c r="Y2270" i="34"/>
  <c r="Y2274" i="34"/>
  <c r="Y2278" i="34"/>
  <c r="Y2282" i="34"/>
  <c r="Y2286" i="34"/>
  <c r="Y2290" i="34"/>
  <c r="Y2294" i="34"/>
  <c r="Y2298" i="34"/>
  <c r="Y2302" i="34"/>
  <c r="Y2306" i="34"/>
  <c r="Y2310" i="34"/>
  <c r="Y2314" i="34"/>
  <c r="Y2318" i="34"/>
  <c r="Y2322" i="34"/>
  <c r="Y2326" i="34"/>
  <c r="Y2330" i="34"/>
  <c r="Y2334" i="34"/>
  <c r="Y2338" i="34"/>
  <c r="Y2342" i="34"/>
  <c r="Y2346" i="34"/>
  <c r="Y2350" i="34"/>
  <c r="Y2354" i="34"/>
  <c r="Y2358" i="34"/>
  <c r="Y2362" i="34"/>
  <c r="Y2366" i="34"/>
  <c r="Y2370" i="34"/>
  <c r="Y2374" i="34"/>
  <c r="Y2378" i="34"/>
  <c r="Y2382" i="34"/>
  <c r="Y2386" i="34"/>
  <c r="Y2390" i="34"/>
  <c r="Y2394" i="34"/>
  <c r="Y2398" i="34"/>
  <c r="Y2402" i="34"/>
  <c r="Y2406" i="34"/>
  <c r="Y2410" i="34"/>
  <c r="Y2414" i="34"/>
  <c r="Y2418" i="34"/>
  <c r="Y2422" i="34"/>
  <c r="Y2426" i="34"/>
  <c r="Y2430" i="34"/>
  <c r="Y2434" i="34"/>
  <c r="Y2438" i="34"/>
  <c r="Y2442" i="34"/>
  <c r="Y2446" i="34"/>
  <c r="Y2450" i="34"/>
  <c r="Y2454" i="34"/>
  <c r="Y2458" i="34"/>
  <c r="Y2462" i="34"/>
  <c r="Y2466" i="34"/>
  <c r="Y2470" i="34"/>
  <c r="Y2474" i="34"/>
  <c r="Y2478" i="34"/>
  <c r="Y2482" i="34"/>
  <c r="Y2486" i="34"/>
  <c r="Y2490" i="34"/>
  <c r="Y2494" i="34"/>
  <c r="Y2498" i="34"/>
  <c r="Y2502" i="34"/>
  <c r="Y2506" i="34"/>
  <c r="Y2510" i="34"/>
  <c r="Y2514" i="34"/>
  <c r="Y2518" i="34"/>
  <c r="Y2522" i="34"/>
  <c r="Y2526" i="34"/>
  <c r="Y2530" i="34"/>
  <c r="Y2534" i="34"/>
  <c r="Y2538" i="34"/>
  <c r="Y2542" i="34"/>
  <c r="Y2546" i="34"/>
  <c r="Y2550" i="34"/>
  <c r="Y2554" i="34"/>
  <c r="Y2558" i="34"/>
  <c r="Y2562" i="34"/>
  <c r="Y2566" i="34"/>
  <c r="Y2570" i="34"/>
  <c r="Y2574" i="34"/>
  <c r="Y2578" i="34"/>
  <c r="Y2582" i="34"/>
  <c r="Y2586" i="34"/>
  <c r="Y2590" i="34"/>
  <c r="Y2594" i="34"/>
  <c r="Y2598" i="34"/>
  <c r="Y2602" i="34"/>
  <c r="Y2606" i="34"/>
  <c r="Y2610" i="34"/>
  <c r="Y2614" i="34"/>
  <c r="Y2618" i="34"/>
  <c r="Y2622" i="34"/>
  <c r="Y2626" i="34"/>
  <c r="Y2630" i="34"/>
  <c r="Y2634" i="34"/>
  <c r="Y2638" i="34"/>
  <c r="Y2642" i="34"/>
  <c r="Y2646" i="34"/>
  <c r="Y2650" i="34"/>
  <c r="Y2654" i="34"/>
  <c r="Y2658" i="34"/>
  <c r="Y2662" i="34"/>
  <c r="Y2666" i="34"/>
  <c r="Y2670" i="34"/>
  <c r="Y2674" i="34"/>
  <c r="Y2678" i="34"/>
  <c r="Y2682" i="34"/>
  <c r="Y2686" i="34"/>
  <c r="Y2690" i="34"/>
  <c r="Y2694" i="34"/>
  <c r="Y2698" i="34"/>
  <c r="Y2702" i="34"/>
  <c r="Y2706" i="34"/>
  <c r="Y2710" i="34"/>
  <c r="Y2714" i="34"/>
  <c r="Y2718" i="34"/>
  <c r="Y2722" i="34"/>
  <c r="Y2726" i="34"/>
  <c r="Y2730" i="34"/>
  <c r="Y2734" i="34"/>
  <c r="Y2738" i="34"/>
  <c r="Y2742" i="34"/>
  <c r="Y2746" i="34"/>
  <c r="Y2750" i="34"/>
  <c r="Y2754" i="34"/>
  <c r="Y2758" i="34"/>
  <c r="Y2762" i="34"/>
  <c r="Y2766" i="34"/>
  <c r="Y2770" i="34"/>
  <c r="Y2774" i="34"/>
  <c r="Y2778" i="34"/>
  <c r="Y2782" i="34"/>
  <c r="Y2786" i="34"/>
  <c r="Y2790" i="34"/>
  <c r="Y2794" i="34"/>
  <c r="Y2798" i="34"/>
  <c r="Y2802" i="34"/>
  <c r="Y2806" i="34"/>
  <c r="Y2810" i="34"/>
  <c r="Y2814" i="34"/>
  <c r="Y2818" i="34"/>
  <c r="Y2822" i="34"/>
  <c r="Y2826" i="34"/>
  <c r="Y2830" i="34"/>
  <c r="Y2834" i="34"/>
  <c r="Y2838" i="34"/>
  <c r="Y2842" i="34"/>
  <c r="Y2846" i="34"/>
  <c r="Y2850" i="34"/>
  <c r="Y2182" i="34"/>
  <c r="Y2189" i="34"/>
  <c r="Y2194" i="34"/>
  <c r="Y2199" i="34"/>
  <c r="Y2203" i="34"/>
  <c r="Y2207" i="34"/>
  <c r="Y2211" i="34"/>
  <c r="Y2215" i="34"/>
  <c r="Y2219" i="34"/>
  <c r="Y2223" i="34"/>
  <c r="Y2227" i="34"/>
  <c r="Y2231" i="34"/>
  <c r="Y2235" i="34"/>
  <c r="Y2239" i="34"/>
  <c r="Y2243" i="34"/>
  <c r="Y2247" i="34"/>
  <c r="Y2251" i="34"/>
  <c r="Y2255" i="34"/>
  <c r="Y2259" i="34"/>
  <c r="Y2263" i="34"/>
  <c r="Y2267" i="34"/>
  <c r="Y2271" i="34"/>
  <c r="Y2275" i="34"/>
  <c r="Y2279" i="34"/>
  <c r="Y2283" i="34"/>
  <c r="Y2287" i="34"/>
  <c r="Y2291" i="34"/>
  <c r="Y2295" i="34"/>
  <c r="Y2299" i="34"/>
  <c r="Y2303" i="34"/>
  <c r="Y2307" i="34"/>
  <c r="Y2311" i="34"/>
  <c r="Y2315" i="34"/>
  <c r="Y2319" i="34"/>
  <c r="Y2323" i="34"/>
  <c r="Y2327" i="34"/>
  <c r="Y2331" i="34"/>
  <c r="Y2335" i="34"/>
  <c r="Y2339" i="34"/>
  <c r="Y2343" i="34"/>
  <c r="Y2347" i="34"/>
  <c r="Y2351" i="34"/>
  <c r="Y2355" i="34"/>
  <c r="Y2359" i="34"/>
  <c r="Y2363" i="34"/>
  <c r="Y2367" i="34"/>
  <c r="Y2371" i="34"/>
  <c r="Y2375" i="34"/>
  <c r="Y2379" i="34"/>
  <c r="Y2383" i="34"/>
  <c r="Y2387" i="34"/>
  <c r="Y2391" i="34"/>
  <c r="Y2395" i="34"/>
  <c r="Y2399" i="34"/>
  <c r="Y2403" i="34"/>
  <c r="Y2407" i="34"/>
  <c r="Y2411" i="34"/>
  <c r="Y2415" i="34"/>
  <c r="Y2419" i="34"/>
  <c r="Y2423" i="34"/>
  <c r="Y2427" i="34"/>
  <c r="Y2431" i="34"/>
  <c r="Y2435" i="34"/>
  <c r="Y2439" i="34"/>
  <c r="Y2443" i="34"/>
  <c r="Y2447" i="34"/>
  <c r="Y2451" i="34"/>
  <c r="Y2455" i="34"/>
  <c r="Y2459" i="34"/>
  <c r="Y2463" i="34"/>
  <c r="Y2467" i="34"/>
  <c r="Y2471" i="34"/>
  <c r="Y2475" i="34"/>
  <c r="Y2479" i="34"/>
  <c r="Y2483" i="34"/>
  <c r="Y2487" i="34"/>
  <c r="Y2491" i="34"/>
  <c r="Y2495" i="34"/>
  <c r="Y2499" i="34"/>
  <c r="Y2503" i="34"/>
  <c r="Y2507" i="34"/>
  <c r="Y2511" i="34"/>
  <c r="Y2515" i="34"/>
  <c r="Y2519" i="34"/>
  <c r="Y2523" i="34"/>
  <c r="Y2527" i="34"/>
  <c r="Y2531" i="34"/>
  <c r="Y2535" i="34"/>
  <c r="Y2539" i="34"/>
  <c r="Y2543" i="34"/>
  <c r="Y2547" i="34"/>
  <c r="Y2551" i="34"/>
  <c r="Y2555" i="34"/>
  <c r="Y2559" i="34"/>
  <c r="Y2563" i="34"/>
  <c r="Y2567" i="34"/>
  <c r="Y2571" i="34"/>
  <c r="Y2575" i="34"/>
  <c r="Y2579" i="34"/>
  <c r="Y2583" i="34"/>
  <c r="Y2587" i="34"/>
  <c r="Y2591" i="34"/>
  <c r="Y2595" i="34"/>
  <c r="Y2599" i="34"/>
  <c r="Y2603" i="34"/>
  <c r="Y2607" i="34"/>
  <c r="Y2611" i="34"/>
  <c r="Y2615" i="34"/>
  <c r="Y2619" i="34"/>
  <c r="Y2623" i="34"/>
  <c r="Y2627" i="34"/>
  <c r="Y2631" i="34"/>
  <c r="Y2635" i="34"/>
  <c r="Y2639" i="34"/>
  <c r="Y2643" i="34"/>
  <c r="Y2647" i="34"/>
  <c r="Y2651" i="34"/>
  <c r="Y2655" i="34"/>
  <c r="Y2659" i="34"/>
  <c r="Y2663" i="34"/>
  <c r="Y2667" i="34"/>
  <c r="Y2671" i="34"/>
  <c r="Y2675" i="34"/>
  <c r="Y2679" i="34"/>
  <c r="Y2683" i="34"/>
  <c r="Y2687" i="34"/>
  <c r="Y2691" i="34"/>
  <c r="Y2695" i="34"/>
  <c r="Y2699" i="34"/>
  <c r="Y2703" i="34"/>
  <c r="Y2707" i="34"/>
  <c r="Y2711" i="34"/>
  <c r="Y2715" i="34"/>
  <c r="Y2719" i="34"/>
  <c r="Y2723" i="34"/>
  <c r="Y2727" i="34"/>
  <c r="Y2731" i="34"/>
  <c r="Y2735" i="34"/>
  <c r="Y2739" i="34"/>
  <c r="Y2743" i="34"/>
  <c r="Y2747" i="34"/>
  <c r="Y2751" i="34"/>
  <c r="Y2755" i="34"/>
  <c r="Y2759" i="34"/>
  <c r="Y2763" i="34"/>
  <c r="Y2767" i="34"/>
  <c r="Y2771" i="34"/>
  <c r="Y2775" i="34"/>
  <c r="Y2779" i="34"/>
  <c r="Y2783" i="34"/>
  <c r="Y2787" i="34"/>
  <c r="Y2791" i="34"/>
  <c r="Y2795" i="34"/>
  <c r="Y2799" i="34"/>
  <c r="Y2803" i="34"/>
  <c r="Y2807" i="34"/>
  <c r="Y2811" i="34"/>
  <c r="Y2815" i="34"/>
  <c r="Y2819" i="34"/>
  <c r="Y2823" i="34"/>
  <c r="Y2827" i="34"/>
  <c r="Y2831" i="34"/>
  <c r="Y2835" i="34"/>
  <c r="Y2839" i="34"/>
  <c r="Y2843" i="34"/>
  <c r="Y2847" i="34"/>
  <c r="Y2851" i="34"/>
  <c r="Y2855" i="34"/>
  <c r="Y2859" i="34"/>
  <c r="Y2863" i="34"/>
  <c r="Y2185" i="34"/>
  <c r="Y2190" i="34"/>
  <c r="Y2195" i="34"/>
  <c r="Y2200" i="34"/>
  <c r="Y2204" i="34"/>
  <c r="Y2208" i="34"/>
  <c r="Y2212" i="34"/>
  <c r="Y2216" i="34"/>
  <c r="Y2220" i="34"/>
  <c r="Y2224" i="34"/>
  <c r="Y2228" i="34"/>
  <c r="Y2232" i="34"/>
  <c r="Y2236" i="34"/>
  <c r="Y2240" i="34"/>
  <c r="Y2244" i="34"/>
  <c r="Y2248" i="34"/>
  <c r="Y2252" i="34"/>
  <c r="Y2256" i="34"/>
  <c r="Y2260" i="34"/>
  <c r="Y2264" i="34"/>
  <c r="Y2268" i="34"/>
  <c r="Y2272" i="34"/>
  <c r="Y2276" i="34"/>
  <c r="Y2280" i="34"/>
  <c r="Y2284" i="34"/>
  <c r="Y2288" i="34"/>
  <c r="Y2292" i="34"/>
  <c r="Y2296" i="34"/>
  <c r="Y2300" i="34"/>
  <c r="Y2304" i="34"/>
  <c r="Y2308" i="34"/>
  <c r="Y2312" i="34"/>
  <c r="Y2316" i="34"/>
  <c r="Y2320" i="34"/>
  <c r="Y2324" i="34"/>
  <c r="Y2328" i="34"/>
  <c r="Y2332" i="34"/>
  <c r="Y2336" i="34"/>
  <c r="Y2340" i="34"/>
  <c r="Y2344" i="34"/>
  <c r="Y2348" i="34"/>
  <c r="Y2352" i="34"/>
  <c r="Y2356" i="34"/>
  <c r="Y2360" i="34"/>
  <c r="Y2364" i="34"/>
  <c r="Y2368" i="34"/>
  <c r="Y2372" i="34"/>
  <c r="Y2376" i="34"/>
  <c r="Y2380" i="34"/>
  <c r="Y2384" i="34"/>
  <c r="Y2388" i="34"/>
  <c r="Y2392" i="34"/>
  <c r="Y2396" i="34"/>
  <c r="Y2400" i="34"/>
  <c r="Y2404" i="34"/>
  <c r="Y2408" i="34"/>
  <c r="Y2412" i="34"/>
  <c r="Y2416" i="34"/>
  <c r="Y2420" i="34"/>
  <c r="Y2424" i="34"/>
  <c r="Y2428" i="34"/>
  <c r="Y2432" i="34"/>
  <c r="Y2436" i="34"/>
  <c r="Y2440" i="34"/>
  <c r="Y2444" i="34"/>
  <c r="Y2448" i="34"/>
  <c r="Y2452" i="34"/>
  <c r="Y2456" i="34"/>
  <c r="Y2460" i="34"/>
  <c r="Y2464" i="34"/>
  <c r="Y2468" i="34"/>
  <c r="Y2472" i="34"/>
  <c r="Y2476" i="34"/>
  <c r="Y2480" i="34"/>
  <c r="Y2484" i="34"/>
  <c r="Y2488" i="34"/>
  <c r="Y2492" i="34"/>
  <c r="Y2496" i="34"/>
  <c r="Y2500" i="34"/>
  <c r="Y2504" i="34"/>
  <c r="Y2508" i="34"/>
  <c r="Y2512" i="34"/>
  <c r="Y2516" i="34"/>
  <c r="Y2520" i="34"/>
  <c r="Y2524" i="34"/>
  <c r="Y2528" i="34"/>
  <c r="Y2532" i="34"/>
  <c r="Y2536" i="34"/>
  <c r="Y2540" i="34"/>
  <c r="Y2544" i="34"/>
  <c r="Y2548" i="34"/>
  <c r="Y2552" i="34"/>
  <c r="Y2556" i="34"/>
  <c r="Y2560" i="34"/>
  <c r="Y2564" i="34"/>
  <c r="Y2568" i="34"/>
  <c r="Y2572" i="34"/>
  <c r="Y2576" i="34"/>
  <c r="Y2580" i="34"/>
  <c r="Y2584" i="34"/>
  <c r="Y2588" i="34"/>
  <c r="Y2592" i="34"/>
  <c r="Y2596" i="34"/>
  <c r="Y2600" i="34"/>
  <c r="Y2604" i="34"/>
  <c r="Y2608" i="34"/>
  <c r="Y2612" i="34"/>
  <c r="Y2616" i="34"/>
  <c r="Y2620" i="34"/>
  <c r="Y2624" i="34"/>
  <c r="Y2628" i="34"/>
  <c r="Y2632" i="34"/>
  <c r="Y2636" i="34"/>
  <c r="Y2640" i="34"/>
  <c r="Y2644" i="34"/>
  <c r="Y2648" i="34"/>
  <c r="Y2652" i="34"/>
  <c r="Y2656" i="34"/>
  <c r="Y2660" i="34"/>
  <c r="Y2664" i="34"/>
  <c r="Y2668" i="34"/>
  <c r="Y2672" i="34"/>
  <c r="Y2676" i="34"/>
  <c r="Y2680" i="34"/>
  <c r="Y2684" i="34"/>
  <c r="Y2688" i="34"/>
  <c r="Y2692" i="34"/>
  <c r="Y2696" i="34"/>
  <c r="Y2700" i="34"/>
  <c r="Y2704" i="34"/>
  <c r="Y2708" i="34"/>
  <c r="Y2712" i="34"/>
  <c r="Y2716" i="34"/>
  <c r="Y2720" i="34"/>
  <c r="Y2724" i="34"/>
  <c r="Y2728" i="34"/>
  <c r="Y2732" i="34"/>
  <c r="Y2736" i="34"/>
  <c r="Y2740" i="34"/>
  <c r="Y2744" i="34"/>
  <c r="Y2748" i="34"/>
  <c r="Y2752" i="34"/>
  <c r="Y2756" i="34"/>
  <c r="Y2760" i="34"/>
  <c r="Y2764" i="34"/>
  <c r="Y2768" i="34"/>
  <c r="Y2772" i="34"/>
  <c r="Y2776" i="34"/>
  <c r="Y2780" i="34"/>
  <c r="Y2784" i="34"/>
  <c r="Y2788" i="34"/>
  <c r="Y2792" i="34"/>
  <c r="Y2796" i="34"/>
  <c r="Y2800" i="34"/>
  <c r="Y2804" i="34"/>
  <c r="Y2808" i="34"/>
  <c r="Y2812" i="34"/>
  <c r="Y2816" i="34"/>
  <c r="Y2820" i="34"/>
  <c r="Y2824" i="34"/>
  <c r="Y2828" i="34"/>
  <c r="Y2832" i="34"/>
  <c r="Y2836" i="34"/>
  <c r="Y2840" i="34"/>
  <c r="Y2844" i="34"/>
  <c r="Y2848" i="34"/>
  <c r="Y2852" i="34"/>
  <c r="Y2856" i="34"/>
  <c r="Y2860" i="34"/>
  <c r="Y2864" i="34"/>
  <c r="Y2868" i="34"/>
  <c r="Y2862" i="34"/>
  <c r="Y2869" i="34"/>
  <c r="Y2873" i="34"/>
  <c r="Y2877" i="34"/>
  <c r="Y2881" i="34"/>
  <c r="Y2885" i="34"/>
  <c r="Y2889" i="34"/>
  <c r="Y2893" i="34"/>
  <c r="Y2897" i="34"/>
  <c r="Y2901" i="34"/>
  <c r="Y2905" i="34"/>
  <c r="Y2909" i="34"/>
  <c r="Y2913" i="34"/>
  <c r="Y2917" i="34"/>
  <c r="Y2921" i="34"/>
  <c r="Y2925" i="34"/>
  <c r="Y2929" i="34"/>
  <c r="Y2933" i="34"/>
  <c r="Y2937" i="34"/>
  <c r="Y2941" i="34"/>
  <c r="Y2945" i="34"/>
  <c r="Y2949" i="34"/>
  <c r="Y2953" i="34"/>
  <c r="Y2957" i="34"/>
  <c r="Y2961" i="34"/>
  <c r="Y2965" i="34"/>
  <c r="Y2969" i="34"/>
  <c r="Y2973" i="34"/>
  <c r="Y2977" i="34"/>
  <c r="Y2981" i="34"/>
  <c r="Y2985" i="34"/>
  <c r="Y2989" i="34"/>
  <c r="Y2993" i="34"/>
  <c r="Y2997" i="34"/>
  <c r="Y3001" i="34"/>
  <c r="Y3005" i="34"/>
  <c r="Y3009" i="34"/>
  <c r="Y3013" i="34"/>
  <c r="Y3017" i="34"/>
  <c r="Y3021" i="34"/>
  <c r="Y3025" i="34"/>
  <c r="Y3029" i="34"/>
  <c r="Y3033" i="34"/>
  <c r="Y3037" i="34"/>
  <c r="Y3041" i="34"/>
  <c r="Y3045" i="34"/>
  <c r="Y3049" i="34"/>
  <c r="Y3053" i="34"/>
  <c r="Y3057" i="34"/>
  <c r="Y3061" i="34"/>
  <c r="Y3065" i="34"/>
  <c r="Y3069" i="34"/>
  <c r="Y3073" i="34"/>
  <c r="Y3077" i="34"/>
  <c r="Y3081" i="34"/>
  <c r="Y3085" i="34"/>
  <c r="Y3089" i="34"/>
  <c r="Y3093" i="34"/>
  <c r="Y3097" i="34"/>
  <c r="Y3101" i="34"/>
  <c r="Y3105" i="34"/>
  <c r="Y3109" i="34"/>
  <c r="Y3113" i="34"/>
  <c r="Y3117" i="34"/>
  <c r="Y3121" i="34"/>
  <c r="Y3125" i="34"/>
  <c r="Y3129" i="34"/>
  <c r="Y3133" i="34"/>
  <c r="Y3137" i="34"/>
  <c r="Y3141" i="34"/>
  <c r="Y3145" i="34"/>
  <c r="Y3149" i="34"/>
  <c r="Y3153" i="34"/>
  <c r="Y3157" i="34"/>
  <c r="Y3161" i="34"/>
  <c r="Y3165" i="34"/>
  <c r="Y3169" i="34"/>
  <c r="Y3173" i="34"/>
  <c r="Y3177" i="34"/>
  <c r="Y3181" i="34"/>
  <c r="Y3185" i="34"/>
  <c r="Y3189" i="34"/>
  <c r="Y3193" i="34"/>
  <c r="Y3197" i="34"/>
  <c r="Y3201" i="34"/>
  <c r="Y3205" i="34"/>
  <c r="Y3209" i="34"/>
  <c r="Y3213" i="34"/>
  <c r="Y3217" i="34"/>
  <c r="Y3221" i="34"/>
  <c r="Y3225" i="34"/>
  <c r="Y3229" i="34"/>
  <c r="Y3233" i="34"/>
  <c r="Y3237" i="34"/>
  <c r="Y3241" i="34"/>
  <c r="Y3245" i="34"/>
  <c r="Y3249" i="34"/>
  <c r="Y3253" i="34"/>
  <c r="Y3257" i="34"/>
  <c r="Y3261" i="34"/>
  <c r="Y3265" i="34"/>
  <c r="Y3269" i="34"/>
  <c r="Y3273" i="34"/>
  <c r="Y3277" i="34"/>
  <c r="Y3281" i="34"/>
  <c r="Y3285" i="34"/>
  <c r="Y3289" i="34"/>
  <c r="Y3293" i="34"/>
  <c r="Y3297" i="34"/>
  <c r="Y3301" i="34"/>
  <c r="Y3305" i="34"/>
  <c r="Y3309" i="34"/>
  <c r="Y3313" i="34"/>
  <c r="Y3317" i="34"/>
  <c r="Y3321" i="34"/>
  <c r="Y3325" i="34"/>
  <c r="Y3329" i="34"/>
  <c r="Y3333" i="34"/>
  <c r="Y3337" i="34"/>
  <c r="Y3341" i="34"/>
  <c r="Y3345" i="34"/>
  <c r="Y3349" i="34"/>
  <c r="Y3353" i="34"/>
  <c r="Y3357" i="34"/>
  <c r="Y3361" i="34"/>
  <c r="Y3365" i="34"/>
  <c r="Y3369" i="34"/>
  <c r="Y3373" i="34"/>
  <c r="Y3377" i="34"/>
  <c r="Y3381" i="34"/>
  <c r="Y3385" i="34"/>
  <c r="Y3389" i="34"/>
  <c r="Y3393" i="34"/>
  <c r="Y3397" i="34"/>
  <c r="Y3401" i="34"/>
  <c r="Y3405" i="34"/>
  <c r="Y3409" i="34"/>
  <c r="Y3413" i="34"/>
  <c r="Y3417" i="34"/>
  <c r="Y3421" i="34"/>
  <c r="Y3425" i="34"/>
  <c r="Y3429" i="34"/>
  <c r="Y3433" i="34"/>
  <c r="Y3437" i="34"/>
  <c r="Y3441" i="34"/>
  <c r="Y3445" i="34"/>
  <c r="Y3449" i="34"/>
  <c r="Y3453" i="34"/>
  <c r="Y3457" i="34"/>
  <c r="Y3461" i="34"/>
  <c r="Y3465" i="34"/>
  <c r="Y3469" i="34"/>
  <c r="Y3473" i="34"/>
  <c r="Y3477" i="34"/>
  <c r="Y3481" i="34"/>
  <c r="Y3485" i="34"/>
  <c r="Y3489" i="34"/>
  <c r="Y3493" i="34"/>
  <c r="Y3497" i="34"/>
  <c r="Y3501" i="34"/>
  <c r="Y3505" i="34"/>
  <c r="Y3509" i="34"/>
  <c r="Y3513" i="34"/>
  <c r="Y3517" i="34"/>
  <c r="Y3521" i="34"/>
  <c r="Y3525" i="34"/>
  <c r="Y3529" i="34"/>
  <c r="Y3533" i="34"/>
  <c r="Y3537" i="34"/>
  <c r="Y3541" i="34"/>
  <c r="Y2854" i="34"/>
  <c r="Y2865" i="34"/>
  <c r="Y2870" i="34"/>
  <c r="Y2874" i="34"/>
  <c r="Y2878" i="34"/>
  <c r="Y2882" i="34"/>
  <c r="Y2886" i="34"/>
  <c r="Y2890" i="34"/>
  <c r="Y2894" i="34"/>
  <c r="Y2898" i="34"/>
  <c r="Y2902" i="34"/>
  <c r="Y2906" i="34"/>
  <c r="Y2910" i="34"/>
  <c r="Y2914" i="34"/>
  <c r="Y2918" i="34"/>
  <c r="Y2922" i="34"/>
  <c r="Y2926" i="34"/>
  <c r="Y2930" i="34"/>
  <c r="Y2934" i="34"/>
  <c r="Y2938" i="34"/>
  <c r="Y2942" i="34"/>
  <c r="Y2946" i="34"/>
  <c r="Y2950" i="34"/>
  <c r="Y2954" i="34"/>
  <c r="Y2958" i="34"/>
  <c r="Y2962" i="34"/>
  <c r="Y2966" i="34"/>
  <c r="Y2970" i="34"/>
  <c r="Y2974" i="34"/>
  <c r="Y2978" i="34"/>
  <c r="Y2982" i="34"/>
  <c r="Y2986" i="34"/>
  <c r="Y2990" i="34"/>
  <c r="Y2994" i="34"/>
  <c r="Y2998" i="34"/>
  <c r="Y3002" i="34"/>
  <c r="Y3006" i="34"/>
  <c r="Y3010" i="34"/>
  <c r="Y3014" i="34"/>
  <c r="Y3018" i="34"/>
  <c r="Y3022" i="34"/>
  <c r="Y3026" i="34"/>
  <c r="Y3030" i="34"/>
  <c r="Y3034" i="34"/>
  <c r="Y3038" i="34"/>
  <c r="Y3042" i="34"/>
  <c r="Y3046" i="34"/>
  <c r="Y3050" i="34"/>
  <c r="Y3054" i="34"/>
  <c r="Y3058" i="34"/>
  <c r="Y3062" i="34"/>
  <c r="Y3066" i="34"/>
  <c r="Y3070" i="34"/>
  <c r="Y3074" i="34"/>
  <c r="Y3078" i="34"/>
  <c r="Y3082" i="34"/>
  <c r="Y3086" i="34"/>
  <c r="Y3090" i="34"/>
  <c r="Y3094" i="34"/>
  <c r="Y3098" i="34"/>
  <c r="Y3102" i="34"/>
  <c r="Y3106" i="34"/>
  <c r="Y3110" i="34"/>
  <c r="Y3114" i="34"/>
  <c r="Y3118" i="34"/>
  <c r="Y3122" i="34"/>
  <c r="Y3126" i="34"/>
  <c r="Y3130" i="34"/>
  <c r="Y3134" i="34"/>
  <c r="Y3138" i="34"/>
  <c r="Y3142" i="34"/>
  <c r="Y3146" i="34"/>
  <c r="Y3150" i="34"/>
  <c r="Y3154" i="34"/>
  <c r="Y3158" i="34"/>
  <c r="Y3162" i="34"/>
  <c r="Y3166" i="34"/>
  <c r="Y3170" i="34"/>
  <c r="Y3174" i="34"/>
  <c r="Y3178" i="34"/>
  <c r="Y3182" i="34"/>
  <c r="Y3186" i="34"/>
  <c r="Y3190" i="34"/>
  <c r="Y3194" i="34"/>
  <c r="Y3198" i="34"/>
  <c r="Y3202" i="34"/>
  <c r="Y3206" i="34"/>
  <c r="Y3210" i="34"/>
  <c r="Y3214" i="34"/>
  <c r="Y3218" i="34"/>
  <c r="Y3222" i="34"/>
  <c r="Y3226" i="34"/>
  <c r="Y3230" i="34"/>
  <c r="Y3234" i="34"/>
  <c r="Y3238" i="34"/>
  <c r="Y3242" i="34"/>
  <c r="Y3246" i="34"/>
  <c r="Y3250" i="34"/>
  <c r="Y3254" i="34"/>
  <c r="Y3258" i="34"/>
  <c r="Y3262" i="34"/>
  <c r="Y3266" i="34"/>
  <c r="Y3270" i="34"/>
  <c r="Y3274" i="34"/>
  <c r="Y3278" i="34"/>
  <c r="Y3282" i="34"/>
  <c r="Y3286" i="34"/>
  <c r="Y3290" i="34"/>
  <c r="Y3294" i="34"/>
  <c r="Y3298" i="34"/>
  <c r="Y3302" i="34"/>
  <c r="Y3306" i="34"/>
  <c r="Y3310" i="34"/>
  <c r="Y3314" i="34"/>
  <c r="Y3318" i="34"/>
  <c r="Y3322" i="34"/>
  <c r="Y3326" i="34"/>
  <c r="Y3330" i="34"/>
  <c r="Y3334" i="34"/>
  <c r="Y3338" i="34"/>
  <c r="Y3342" i="34"/>
  <c r="Y3346" i="34"/>
  <c r="Y3350" i="34"/>
  <c r="Y3354" i="34"/>
  <c r="Y3358" i="34"/>
  <c r="Y3362" i="34"/>
  <c r="Y3366" i="34"/>
  <c r="Y3370" i="34"/>
  <c r="Y3374" i="34"/>
  <c r="Y3378" i="34"/>
  <c r="Y3382" i="34"/>
  <c r="Y3386" i="34"/>
  <c r="Y3390" i="34"/>
  <c r="Y3394" i="34"/>
  <c r="Y3398" i="34"/>
  <c r="Y3402" i="34"/>
  <c r="Y3406" i="34"/>
  <c r="Y3410" i="34"/>
  <c r="Y3414" i="34"/>
  <c r="Y3418" i="34"/>
  <c r="Y3422" i="34"/>
  <c r="Y3426" i="34"/>
  <c r="Y3430" i="34"/>
  <c r="Y3434" i="34"/>
  <c r="Y3438" i="34"/>
  <c r="Y3442" i="34"/>
  <c r="Y3446" i="34"/>
  <c r="Y3450" i="34"/>
  <c r="Y3454" i="34"/>
  <c r="Y3458" i="34"/>
  <c r="Y3462" i="34"/>
  <c r="Y3466" i="34"/>
  <c r="Y3470" i="34"/>
  <c r="Y3474" i="34"/>
  <c r="Y3478" i="34"/>
  <c r="Y3482" i="34"/>
  <c r="Y3486" i="34"/>
  <c r="Y3490" i="34"/>
  <c r="Y3494" i="34"/>
  <c r="Y3498" i="34"/>
  <c r="Y3502" i="34"/>
  <c r="Y3506" i="34"/>
  <c r="Y3510" i="34"/>
  <c r="Y3514" i="34"/>
  <c r="Y3518" i="34"/>
  <c r="Y3522" i="34"/>
  <c r="Y3526" i="34"/>
  <c r="Y2858" i="34"/>
  <c r="Y2866" i="34"/>
  <c r="Y2871" i="34"/>
  <c r="Y2875" i="34"/>
  <c r="Y2879" i="34"/>
  <c r="Y2883" i="34"/>
  <c r="Y2887" i="34"/>
  <c r="Y2891" i="34"/>
  <c r="Y2895" i="34"/>
  <c r="Y2899" i="34"/>
  <c r="Y2903" i="34"/>
  <c r="Y2907" i="34"/>
  <c r="Y2911" i="34"/>
  <c r="Y2915" i="34"/>
  <c r="Y2919" i="34"/>
  <c r="Y2923" i="34"/>
  <c r="Y2927" i="34"/>
  <c r="Y2931" i="34"/>
  <c r="Y2935" i="34"/>
  <c r="Y2939" i="34"/>
  <c r="Y2943" i="34"/>
  <c r="Y2947" i="34"/>
  <c r="Y2951" i="34"/>
  <c r="Y2955" i="34"/>
  <c r="Y2959" i="34"/>
  <c r="Y2963" i="34"/>
  <c r="Y2967" i="34"/>
  <c r="Y2971" i="34"/>
  <c r="Y2975" i="34"/>
  <c r="Y2979" i="34"/>
  <c r="Y2983" i="34"/>
  <c r="Y2987" i="34"/>
  <c r="Y2991" i="34"/>
  <c r="Y2995" i="34"/>
  <c r="Y2999" i="34"/>
  <c r="Y3003" i="34"/>
  <c r="Y3007" i="34"/>
  <c r="Y3011" i="34"/>
  <c r="Y3015" i="34"/>
  <c r="Y3019" i="34"/>
  <c r="Y3023" i="34"/>
  <c r="Y3027" i="34"/>
  <c r="Y3031" i="34"/>
  <c r="Y3035" i="34"/>
  <c r="Y3039" i="34"/>
  <c r="Y3043" i="34"/>
  <c r="Y3047" i="34"/>
  <c r="Y3051" i="34"/>
  <c r="Y3055" i="34"/>
  <c r="Y3059" i="34"/>
  <c r="Y3063" i="34"/>
  <c r="Y3067" i="34"/>
  <c r="Y3071" i="34"/>
  <c r="Y3075" i="34"/>
  <c r="Y3079" i="34"/>
  <c r="Y3083" i="34"/>
  <c r="Y3087" i="34"/>
  <c r="Y3091" i="34"/>
  <c r="Y3095" i="34"/>
  <c r="Y3099" i="34"/>
  <c r="Y3103" i="34"/>
  <c r="Y3107" i="34"/>
  <c r="Y3111" i="34"/>
  <c r="Y3115" i="34"/>
  <c r="Y3119" i="34"/>
  <c r="Y3123" i="34"/>
  <c r="Y3127" i="34"/>
  <c r="Y3131" i="34"/>
  <c r="Y3135" i="34"/>
  <c r="Y3139" i="34"/>
  <c r="Y3143" i="34"/>
  <c r="Y3147" i="34"/>
  <c r="Y3151" i="34"/>
  <c r="Y3155" i="34"/>
  <c r="Y3159" i="34"/>
  <c r="Y3163" i="34"/>
  <c r="Y3167" i="34"/>
  <c r="Y3171" i="34"/>
  <c r="Y3175" i="34"/>
  <c r="Y3179" i="34"/>
  <c r="Y3183" i="34"/>
  <c r="Y3187" i="34"/>
  <c r="Y3191" i="34"/>
  <c r="Y3195" i="34"/>
  <c r="Y3199" i="34"/>
  <c r="Y3203" i="34"/>
  <c r="Y3207" i="34"/>
  <c r="Y3211" i="34"/>
  <c r="Y3215" i="34"/>
  <c r="Y3219" i="34"/>
  <c r="Y3223" i="34"/>
  <c r="Y3227" i="34"/>
  <c r="Y3231" i="34"/>
  <c r="Y3235" i="34"/>
  <c r="Y3239" i="34"/>
  <c r="Y3243" i="34"/>
  <c r="Y3247" i="34"/>
  <c r="Y3251" i="34"/>
  <c r="Y3255" i="34"/>
  <c r="Y3259" i="34"/>
  <c r="Y3263" i="34"/>
  <c r="Y3267" i="34"/>
  <c r="Y3271" i="34"/>
  <c r="Y3275" i="34"/>
  <c r="Y3279" i="34"/>
  <c r="Y3283" i="34"/>
  <c r="Y3287" i="34"/>
  <c r="Y3291" i="34"/>
  <c r="Y3295" i="34"/>
  <c r="Y3299" i="34"/>
  <c r="Y3303" i="34"/>
  <c r="Y3307" i="34"/>
  <c r="Y3311" i="34"/>
  <c r="Y3315" i="34"/>
  <c r="Y3319" i="34"/>
  <c r="Y3323" i="34"/>
  <c r="Y3327" i="34"/>
  <c r="Y3331" i="34"/>
  <c r="Y3335" i="34"/>
  <c r="Y3339" i="34"/>
  <c r="Y3343" i="34"/>
  <c r="Y3347" i="34"/>
  <c r="Y3351" i="34"/>
  <c r="Y3355" i="34"/>
  <c r="Y3359" i="34"/>
  <c r="Y3363" i="34"/>
  <c r="Y3367" i="34"/>
  <c r="Y3371" i="34"/>
  <c r="Y3375" i="34"/>
  <c r="Y3379" i="34"/>
  <c r="Y3383" i="34"/>
  <c r="Y3387" i="34"/>
  <c r="Y3391" i="34"/>
  <c r="Y3395" i="34"/>
  <c r="Y3399" i="34"/>
  <c r="Y3403" i="34"/>
  <c r="Y3407" i="34"/>
  <c r="Y3411" i="34"/>
  <c r="Y3415" i="34"/>
  <c r="Y3419" i="34"/>
  <c r="Y3423" i="34"/>
  <c r="Y3427" i="34"/>
  <c r="Y3431" i="34"/>
  <c r="Y3435" i="34"/>
  <c r="Y3439" i="34"/>
  <c r="Y3443" i="34"/>
  <c r="Y3447" i="34"/>
  <c r="Y3451" i="34"/>
  <c r="Y3455" i="34"/>
  <c r="Y3459" i="34"/>
  <c r="Y3463" i="34"/>
  <c r="Y3467" i="34"/>
  <c r="Y3471" i="34"/>
  <c r="Y3475" i="34"/>
  <c r="Y3479" i="34"/>
  <c r="Y3483" i="34"/>
  <c r="Y3487" i="34"/>
  <c r="Y3491" i="34"/>
  <c r="Y3495" i="34"/>
  <c r="Y3499" i="34"/>
  <c r="Y3503" i="34"/>
  <c r="Y3507" i="34"/>
  <c r="Y3511" i="34"/>
  <c r="Y3515" i="34"/>
  <c r="Y3519" i="34"/>
  <c r="Y3523" i="34"/>
  <c r="Y3527" i="34"/>
  <c r="Y3531" i="34"/>
  <c r="Y3535" i="34"/>
  <c r="Y2861" i="34"/>
  <c r="Y2867" i="34"/>
  <c r="Y2872" i="34"/>
  <c r="Y2876" i="34"/>
  <c r="Y2880" i="34"/>
  <c r="Y2884" i="34"/>
  <c r="Y2888" i="34"/>
  <c r="Y2892" i="34"/>
  <c r="Y2896" i="34"/>
  <c r="Y2900" i="34"/>
  <c r="Y2904" i="34"/>
  <c r="Y2908" i="34"/>
  <c r="Y2912" i="34"/>
  <c r="Y2916" i="34"/>
  <c r="Y2920" i="34"/>
  <c r="Y2924" i="34"/>
  <c r="Y2928" i="34"/>
  <c r="Y2932" i="34"/>
  <c r="Y2936" i="34"/>
  <c r="Y2940" i="34"/>
  <c r="Y2944" i="34"/>
  <c r="Y2948" i="34"/>
  <c r="Y2952" i="34"/>
  <c r="Y2956" i="34"/>
  <c r="Y2960" i="34"/>
  <c r="Y2964" i="34"/>
  <c r="Y2968" i="34"/>
  <c r="Y2972" i="34"/>
  <c r="Y2976" i="34"/>
  <c r="Y2980" i="34"/>
  <c r="Y2984" i="34"/>
  <c r="Y2988" i="34"/>
  <c r="Y2992" i="34"/>
  <c r="Y2996" i="34"/>
  <c r="Y3000" i="34"/>
  <c r="Y3004" i="34"/>
  <c r="Y3008" i="34"/>
  <c r="Y3012" i="34"/>
  <c r="Y3016" i="34"/>
  <c r="Y3020" i="34"/>
  <c r="Y3024" i="34"/>
  <c r="Y3028" i="34"/>
  <c r="Y3032" i="34"/>
  <c r="Y3036" i="34"/>
  <c r="Y3040" i="34"/>
  <c r="Y3044" i="34"/>
  <c r="Y3048" i="34"/>
  <c r="Y3052" i="34"/>
  <c r="Y3056" i="34"/>
  <c r="Y3060" i="34"/>
  <c r="Y3064" i="34"/>
  <c r="Y3068" i="34"/>
  <c r="Y3072" i="34"/>
  <c r="Y3076" i="34"/>
  <c r="Y3080" i="34"/>
  <c r="Y3084" i="34"/>
  <c r="Y3088" i="34"/>
  <c r="Y3092" i="34"/>
  <c r="Y3096" i="34"/>
  <c r="Y3100" i="34"/>
  <c r="Y3104" i="34"/>
  <c r="Y3108" i="34"/>
  <c r="Y3112" i="34"/>
  <c r="Y3116" i="34"/>
  <c r="Y3120" i="34"/>
  <c r="Y3124" i="34"/>
  <c r="Y3128" i="34"/>
  <c r="Y3132" i="34"/>
  <c r="Y3136" i="34"/>
  <c r="Y3140" i="34"/>
  <c r="Y3144" i="34"/>
  <c r="Y3148" i="34"/>
  <c r="Y3152" i="34"/>
  <c r="Y3156" i="34"/>
  <c r="Y3160" i="34"/>
  <c r="Y3164" i="34"/>
  <c r="Y3168" i="34"/>
  <c r="Y3172" i="34"/>
  <c r="Y3176" i="34"/>
  <c r="Y3180" i="34"/>
  <c r="Y3184" i="34"/>
  <c r="Y3188" i="34"/>
  <c r="Y3192" i="34"/>
  <c r="Y3196" i="34"/>
  <c r="Y3200" i="34"/>
  <c r="Y3204" i="34"/>
  <c r="Y3208" i="34"/>
  <c r="Y3212" i="34"/>
  <c r="Y3216" i="34"/>
  <c r="Y3220" i="34"/>
  <c r="Y3224" i="34"/>
  <c r="Y3228" i="34"/>
  <c r="Y3232" i="34"/>
  <c r="Y3236" i="34"/>
  <c r="Y3240" i="34"/>
  <c r="Y3244" i="34"/>
  <c r="Y3248" i="34"/>
  <c r="Y3252" i="34"/>
  <c r="Y3256" i="34"/>
  <c r="Y3260" i="34"/>
  <c r="Y3264" i="34"/>
  <c r="Y3268" i="34"/>
  <c r="Y3272" i="34"/>
  <c r="Y3276" i="34"/>
  <c r="Y3280" i="34"/>
  <c r="Y3284" i="34"/>
  <c r="Y3288" i="34"/>
  <c r="Y3292" i="34"/>
  <c r="Y3296" i="34"/>
  <c r="Y3300" i="34"/>
  <c r="Y3304" i="34"/>
  <c r="Y3308" i="34"/>
  <c r="Y3312" i="34"/>
  <c r="Y3316" i="34"/>
  <c r="Y3320" i="34"/>
  <c r="Y3324" i="34"/>
  <c r="Y3328" i="34"/>
  <c r="Y3332" i="34"/>
  <c r="Y3336" i="34"/>
  <c r="Y3340" i="34"/>
  <c r="Y3344" i="34"/>
  <c r="Y3348" i="34"/>
  <c r="Y3352" i="34"/>
  <c r="Y3356" i="34"/>
  <c r="Y3360" i="34"/>
  <c r="Y3364" i="34"/>
  <c r="Y3368" i="34"/>
  <c r="Y3372" i="34"/>
  <c r="Y3376" i="34"/>
  <c r="Y3380" i="34"/>
  <c r="Y3384" i="34"/>
  <c r="Y3388" i="34"/>
  <c r="Y3392" i="34"/>
  <c r="Y3396" i="34"/>
  <c r="Y3400" i="34"/>
  <c r="Y3404" i="34"/>
  <c r="Y3408" i="34"/>
  <c r="Y3412" i="34"/>
  <c r="Y3416" i="34"/>
  <c r="Y3420" i="34"/>
  <c r="Y3424" i="34"/>
  <c r="Y3428" i="34"/>
  <c r="Y3432" i="34"/>
  <c r="Y3436" i="34"/>
  <c r="Y3440" i="34"/>
  <c r="Y3444" i="34"/>
  <c r="Y3448" i="34"/>
  <c r="Y3452" i="34"/>
  <c r="Y3456" i="34"/>
  <c r="Y3460" i="34"/>
  <c r="Y3464" i="34"/>
  <c r="Y3468" i="34"/>
  <c r="Y3472" i="34"/>
  <c r="Y3476" i="34"/>
  <c r="Y3480" i="34"/>
  <c r="Y3484" i="34"/>
  <c r="Y3488" i="34"/>
  <c r="Y3492" i="34"/>
  <c r="Y3496" i="34"/>
  <c r="Y3500" i="34"/>
  <c r="Y3504" i="34"/>
  <c r="Y3508" i="34"/>
  <c r="Y3512" i="34"/>
  <c r="Y3516" i="34"/>
  <c r="Y3520" i="34"/>
  <c r="Y3524" i="34"/>
  <c r="Y3528" i="34"/>
  <c r="Y3532" i="34"/>
  <c r="Y3536" i="34"/>
  <c r="Y3540" i="34"/>
  <c r="Y3544" i="34"/>
  <c r="Y3539" i="34"/>
  <c r="Y3546" i="34"/>
  <c r="Y3550" i="34"/>
  <c r="Y3554" i="34"/>
  <c r="Y3558" i="34"/>
  <c r="Y3562" i="34"/>
  <c r="Y3566" i="34"/>
  <c r="Y3570" i="34"/>
  <c r="Y3574" i="34"/>
  <c r="Y3578" i="34"/>
  <c r="Y3582" i="34"/>
  <c r="Y3586" i="34"/>
  <c r="Y3590" i="34"/>
  <c r="Y3594" i="34"/>
  <c r="Y3598" i="34"/>
  <c r="Y3602" i="34"/>
  <c r="Y3606" i="34"/>
  <c r="Y3610" i="34"/>
  <c r="Y3614" i="34"/>
  <c r="Y3618" i="34"/>
  <c r="Y3622" i="34"/>
  <c r="Y3626" i="34"/>
  <c r="Y3630" i="34"/>
  <c r="Y3634" i="34"/>
  <c r="Y3638" i="34"/>
  <c r="Y3642" i="34"/>
  <c r="Y3646" i="34"/>
  <c r="Y3650" i="34"/>
  <c r="Y3654" i="34"/>
  <c r="Y3658" i="34"/>
  <c r="Y3662" i="34"/>
  <c r="Y3666" i="34"/>
  <c r="Y3670" i="34"/>
  <c r="Y3674" i="34"/>
  <c r="Y3678" i="34"/>
  <c r="Y3682" i="34"/>
  <c r="Y3686" i="34"/>
  <c r="Y3690" i="34"/>
  <c r="Y3694" i="34"/>
  <c r="Y3698" i="34"/>
  <c r="Y3702" i="34"/>
  <c r="Y3706" i="34"/>
  <c r="Y3710" i="34"/>
  <c r="Y3714" i="34"/>
  <c r="Y3718" i="34"/>
  <c r="Y3722" i="34"/>
  <c r="Y3726" i="34"/>
  <c r="Y3730" i="34"/>
  <c r="Y3734" i="34"/>
  <c r="Y3738" i="34"/>
  <c r="Y3742" i="34"/>
  <c r="Y3746" i="34"/>
  <c r="Y3750" i="34"/>
  <c r="Y3917" i="34"/>
  <c r="Y3921" i="34"/>
  <c r="Y3925" i="34"/>
  <c r="Y3929" i="34"/>
  <c r="Y3945" i="34"/>
  <c r="Y3949" i="34"/>
  <c r="Y3953" i="34"/>
  <c r="Y3957" i="34"/>
  <c r="Y3961" i="34"/>
  <c r="Y4097" i="34"/>
  <c r="Y4101" i="34"/>
  <c r="Y4105" i="34"/>
  <c r="Y4244" i="34"/>
  <c r="Y4248" i="34"/>
  <c r="Y4252" i="34"/>
  <c r="Y4256" i="34"/>
  <c r="Y4260" i="34"/>
  <c r="Y4264" i="34"/>
  <c r="Y4268" i="34"/>
  <c r="Y4272" i="34"/>
  <c r="Y4276" i="34"/>
  <c r="Y4280" i="34"/>
  <c r="Y4284" i="34"/>
  <c r="Y4288" i="34"/>
  <c r="Y4292" i="34"/>
  <c r="Y4296" i="34"/>
  <c r="Y4300" i="34"/>
  <c r="Y4304" i="34"/>
  <c r="Y4308" i="34"/>
  <c r="Y4312" i="34"/>
  <c r="Y4316" i="34"/>
  <c r="Y4320" i="34"/>
  <c r="Y4324" i="34"/>
  <c r="Y4328" i="34"/>
  <c r="Y4332" i="34"/>
  <c r="Y4336" i="34"/>
  <c r="Y4340" i="34"/>
  <c r="Y4344" i="34"/>
  <c r="Y4348" i="34"/>
  <c r="Y4352" i="34"/>
  <c r="Y4356" i="34"/>
  <c r="Y4360" i="34"/>
  <c r="Y4364" i="34"/>
  <c r="Y4368" i="34"/>
  <c r="Y4372" i="34"/>
  <c r="Y4376" i="34"/>
  <c r="Y4380" i="34"/>
  <c r="Y4384" i="34"/>
  <c r="Y4388" i="34"/>
  <c r="Y4392" i="34"/>
  <c r="Y4396" i="34"/>
  <c r="Y4400" i="34"/>
  <c r="Y4404" i="34"/>
  <c r="Y4408" i="34"/>
  <c r="Y4412" i="34"/>
  <c r="Y4416" i="34"/>
  <c r="Y4420" i="34"/>
  <c r="Y4424" i="34"/>
  <c r="Y4428" i="34"/>
  <c r="Y4432" i="34"/>
  <c r="Y4436" i="34"/>
  <c r="Y4440" i="34"/>
  <c r="Y4444" i="34"/>
  <c r="Y4448" i="34"/>
  <c r="Y4452" i="34"/>
  <c r="Y4456" i="34"/>
  <c r="Y4460" i="34"/>
  <c r="Y4464" i="34"/>
  <c r="Y4468" i="34"/>
  <c r="Y4472" i="34"/>
  <c r="Y4476" i="34"/>
  <c r="Y4480" i="34"/>
  <c r="Y4484" i="34"/>
  <c r="Y4488" i="34"/>
  <c r="Y4492" i="34"/>
  <c r="Y4496" i="34"/>
  <c r="Y4500" i="34"/>
  <c r="Y4504" i="34"/>
  <c r="Y4508" i="34"/>
  <c r="Y4512" i="34"/>
  <c r="Y4516" i="34"/>
  <c r="Y4520" i="34"/>
  <c r="Y4524" i="34"/>
  <c r="Y4528" i="34"/>
  <c r="Y4532" i="34"/>
  <c r="Y4536" i="34"/>
  <c r="Y4540" i="34"/>
  <c r="Y4544" i="34"/>
  <c r="Y4548" i="34"/>
  <c r="Y4552" i="34"/>
  <c r="Y4556" i="34"/>
  <c r="Y4560" i="34"/>
  <c r="Y4564" i="34"/>
  <c r="Y4568" i="34"/>
  <c r="Y4572" i="34"/>
  <c r="Y4576" i="34"/>
  <c r="Y4580" i="34"/>
  <c r="Y4584" i="34"/>
  <c r="Y4588" i="34"/>
  <c r="Y4592" i="34"/>
  <c r="Y4596" i="34"/>
  <c r="Y4600" i="34"/>
  <c r="Y4604" i="34"/>
  <c r="Y4608" i="34"/>
  <c r="Y4612" i="34"/>
  <c r="Y4616" i="34"/>
  <c r="Y4620" i="34"/>
  <c r="Y4624" i="34"/>
  <c r="Y4628" i="34"/>
  <c r="Y4632" i="34"/>
  <c r="Y4636" i="34"/>
  <c r="Y4640" i="34"/>
  <c r="Y4644" i="34"/>
  <c r="Y4648" i="34"/>
  <c r="Y4652" i="34"/>
  <c r="Y4656" i="34"/>
  <c r="Y4660" i="34"/>
  <c r="Y4664" i="34"/>
  <c r="Y4668" i="34"/>
  <c r="Y3530" i="34"/>
  <c r="Y3542" i="34"/>
  <c r="Y3547" i="34"/>
  <c r="Y3551" i="34"/>
  <c r="Y3555" i="34"/>
  <c r="Y3559" i="34"/>
  <c r="Y3563" i="34"/>
  <c r="Y3567" i="34"/>
  <c r="Y3571" i="34"/>
  <c r="Y3575" i="34"/>
  <c r="Y3579" i="34"/>
  <c r="Y3583" i="34"/>
  <c r="Y3587" i="34"/>
  <c r="Y3591" i="34"/>
  <c r="Y3595" i="34"/>
  <c r="Y3599" i="34"/>
  <c r="Y3603" i="34"/>
  <c r="Y3607" i="34"/>
  <c r="Y3611" i="34"/>
  <c r="Y3615" i="34"/>
  <c r="Y3619" i="34"/>
  <c r="Y3623" i="34"/>
  <c r="Y3627" i="34"/>
  <c r="Y3631" i="34"/>
  <c r="Y3635" i="34"/>
  <c r="Y3639" i="34"/>
  <c r="Y3643" i="34"/>
  <c r="Y3647" i="34"/>
  <c r="Y3651" i="34"/>
  <c r="Y3655" i="34"/>
  <c r="Y3659" i="34"/>
  <c r="Y3663" i="34"/>
  <c r="Y3667" i="34"/>
  <c r="Y3671" i="34"/>
  <c r="Y3675" i="34"/>
  <c r="Y3679" i="34"/>
  <c r="Y3683" i="34"/>
  <c r="Y3687" i="34"/>
  <c r="Y3691" i="34"/>
  <c r="Y3695" i="34"/>
  <c r="Y3699" i="34"/>
  <c r="Y3703" i="34"/>
  <c r="Y3707" i="34"/>
  <c r="Y3711" i="34"/>
  <c r="Y3715" i="34"/>
  <c r="Y3719" i="34"/>
  <c r="Y3723" i="34"/>
  <c r="Y3727" i="34"/>
  <c r="Y3731" i="34"/>
  <c r="Y3735" i="34"/>
  <c r="Y3739" i="34"/>
  <c r="Y3743" i="34"/>
  <c r="Y3747" i="34"/>
  <c r="Y3751" i="34"/>
  <c r="Y3918" i="34"/>
  <c r="Y3922" i="34"/>
  <c r="Y3926" i="34"/>
  <c r="Y3930" i="34"/>
  <c r="Y3946" i="34"/>
  <c r="Y3950" i="34"/>
  <c r="Y3954" i="34"/>
  <c r="Y3958" i="34"/>
  <c r="Y3962" i="34"/>
  <c r="Y4098" i="34"/>
  <c r="Y4102" i="34"/>
  <c r="Y4106" i="34"/>
  <c r="Y4245" i="34"/>
  <c r="Y4249" i="34"/>
  <c r="Y4253" i="34"/>
  <c r="Y4257" i="34"/>
  <c r="Y4261" i="34"/>
  <c r="Y4265" i="34"/>
  <c r="Y4269" i="34"/>
  <c r="Y4273" i="34"/>
  <c r="Y4277" i="34"/>
  <c r="Y4281" i="34"/>
  <c r="Y4285" i="34"/>
  <c r="Y4289" i="34"/>
  <c r="Y4293" i="34"/>
  <c r="Y4297" i="34"/>
  <c r="Y4301" i="34"/>
  <c r="Y4305" i="34"/>
  <c r="Y4309" i="34"/>
  <c r="Y4313" i="34"/>
  <c r="Y4317" i="34"/>
  <c r="Y4321" i="34"/>
  <c r="Y4325" i="34"/>
  <c r="Y4329" i="34"/>
  <c r="Y4333" i="34"/>
  <c r="Y4337" i="34"/>
  <c r="Y4341" i="34"/>
  <c r="Y4345" i="34"/>
  <c r="Y4349" i="34"/>
  <c r="Y4353" i="34"/>
  <c r="Y4357" i="34"/>
  <c r="Y4361" i="34"/>
  <c r="Y4365" i="34"/>
  <c r="Y4369" i="34"/>
  <c r="Y4373" i="34"/>
  <c r="Y4377" i="34"/>
  <c r="Y4381" i="34"/>
  <c r="Y4385" i="34"/>
  <c r="Y4389" i="34"/>
  <c r="Y4393" i="34"/>
  <c r="Y4397" i="34"/>
  <c r="Y4401" i="34"/>
  <c r="Y4405" i="34"/>
  <c r="Y4409" i="34"/>
  <c r="Y4413" i="34"/>
  <c r="Y4417" i="34"/>
  <c r="Y4421" i="34"/>
  <c r="Y4425" i="34"/>
  <c r="Y4429" i="34"/>
  <c r="Y4433" i="34"/>
  <c r="Y4437" i="34"/>
  <c r="Y4441" i="34"/>
  <c r="Y4445" i="34"/>
  <c r="Y4449" i="34"/>
  <c r="Y4453" i="34"/>
  <c r="Y4457" i="34"/>
  <c r="Y4461" i="34"/>
  <c r="Y4465" i="34"/>
  <c r="Y4469" i="34"/>
  <c r="Y4473" i="34"/>
  <c r="Y4477" i="34"/>
  <c r="Y4481" i="34"/>
  <c r="Y4485" i="34"/>
  <c r="Y4489" i="34"/>
  <c r="Y4493" i="34"/>
  <c r="Y4497" i="34"/>
  <c r="Y4501" i="34"/>
  <c r="Y4505" i="34"/>
  <c r="Y4509" i="34"/>
  <c r="Y4513" i="34"/>
  <c r="Y4517" i="34"/>
  <c r="Y4521" i="34"/>
  <c r="Y4525" i="34"/>
  <c r="Y4529" i="34"/>
  <c r="Y4533" i="34"/>
  <c r="Y4537" i="34"/>
  <c r="Y4541" i="34"/>
  <c r="Y4545" i="34"/>
  <c r="Y4549" i="34"/>
  <c r="Y4553" i="34"/>
  <c r="Y4557" i="34"/>
  <c r="Y4561" i="34"/>
  <c r="Y4565" i="34"/>
  <c r="Y4569" i="34"/>
  <c r="Y4573" i="34"/>
  <c r="Y4577" i="34"/>
  <c r="Y4581" i="34"/>
  <c r="Y4585" i="34"/>
  <c r="Y4589" i="34"/>
  <c r="Y4593" i="34"/>
  <c r="Y4597" i="34"/>
  <c r="Y4601" i="34"/>
  <c r="Y4605" i="34"/>
  <c r="Y4609" i="34"/>
  <c r="Y4613" i="34"/>
  <c r="Y4617" i="34"/>
  <c r="Y4621" i="34"/>
  <c r="Y4625" i="34"/>
  <c r="Y4629" i="34"/>
  <c r="Y4633" i="34"/>
  <c r="Y4637" i="34"/>
  <c r="Y4641" i="34"/>
  <c r="Y4645" i="34"/>
  <c r="Y4649" i="34"/>
  <c r="Y3534" i="34"/>
  <c r="Y3543" i="34"/>
  <c r="Y3548" i="34"/>
  <c r="Y3552" i="34"/>
  <c r="Y3556" i="34"/>
  <c r="Y3560" i="34"/>
  <c r="Y3564" i="34"/>
  <c r="Y3568" i="34"/>
  <c r="Y3572" i="34"/>
  <c r="Y3576" i="34"/>
  <c r="Y3580" i="34"/>
  <c r="Y3584" i="34"/>
  <c r="Y3588" i="34"/>
  <c r="Y3592" i="34"/>
  <c r="Y3596" i="34"/>
  <c r="Y3600" i="34"/>
  <c r="Y3604" i="34"/>
  <c r="Y3608" i="34"/>
  <c r="Y3612" i="34"/>
  <c r="Y3616" i="34"/>
  <c r="Y3620" i="34"/>
  <c r="Y3624" i="34"/>
  <c r="Y3628" i="34"/>
  <c r="Y3632" i="34"/>
  <c r="Y3636" i="34"/>
  <c r="Y3640" i="34"/>
  <c r="Y3644" i="34"/>
  <c r="Y3648" i="34"/>
  <c r="Y3652" i="34"/>
  <c r="Y3656" i="34"/>
  <c r="Y3660" i="34"/>
  <c r="Y3664" i="34"/>
  <c r="Y3668" i="34"/>
  <c r="Y3672" i="34"/>
  <c r="Y3676" i="34"/>
  <c r="Y3680" i="34"/>
  <c r="Y3684" i="34"/>
  <c r="Y3688" i="34"/>
  <c r="Y3692" i="34"/>
  <c r="Y3696" i="34"/>
  <c r="Y3700" i="34"/>
  <c r="Y3704" i="34"/>
  <c r="Y3708" i="34"/>
  <c r="Y3712" i="34"/>
  <c r="Y3716" i="34"/>
  <c r="Y3720" i="34"/>
  <c r="Y3724" i="34"/>
  <c r="Y3728" i="34"/>
  <c r="Y3732" i="34"/>
  <c r="Y3736" i="34"/>
  <c r="Y3740" i="34"/>
  <c r="Y3744" i="34"/>
  <c r="Y3748" i="34"/>
  <c r="Y3752" i="34"/>
  <c r="Y3919" i="34"/>
  <c r="Y3923" i="34"/>
  <c r="Y3927" i="34"/>
  <c r="Y3943" i="34"/>
  <c r="Y3947" i="34"/>
  <c r="Y3951" i="34"/>
  <c r="Y3955" i="34"/>
  <c r="Y3959" i="34"/>
  <c r="Y3963" i="34"/>
  <c r="Y4099" i="34"/>
  <c r="Y4103" i="34"/>
  <c r="Y4107" i="34"/>
  <c r="Y4246" i="34"/>
  <c r="Y4250" i="34"/>
  <c r="Y4254" i="34"/>
  <c r="Y4258" i="34"/>
  <c r="Y4262" i="34"/>
  <c r="Y4266" i="34"/>
  <c r="Y4270" i="34"/>
  <c r="Y4274" i="34"/>
  <c r="Y4278" i="34"/>
  <c r="Y4282" i="34"/>
  <c r="Y4286" i="34"/>
  <c r="Y4290" i="34"/>
  <c r="Y4294" i="34"/>
  <c r="Y4298" i="34"/>
  <c r="Y4302" i="34"/>
  <c r="Y4306" i="34"/>
  <c r="Y4310" i="34"/>
  <c r="Y4314" i="34"/>
  <c r="Y4318" i="34"/>
  <c r="Y4322" i="34"/>
  <c r="Y4326" i="34"/>
  <c r="Y4330" i="34"/>
  <c r="Y4334" i="34"/>
  <c r="Y4338" i="34"/>
  <c r="Y4342" i="34"/>
  <c r="Y4346" i="34"/>
  <c r="Y4350" i="34"/>
  <c r="Y4354" i="34"/>
  <c r="Y4358" i="34"/>
  <c r="Y4362" i="34"/>
  <c r="Y4366" i="34"/>
  <c r="Y4370" i="34"/>
  <c r="Y4374" i="34"/>
  <c r="Y4378" i="34"/>
  <c r="Y4382" i="34"/>
  <c r="Y4386" i="34"/>
  <c r="Y4390" i="34"/>
  <c r="Y4394" i="34"/>
  <c r="Y4398" i="34"/>
  <c r="Y4402" i="34"/>
  <c r="Y4406" i="34"/>
  <c r="Y4410" i="34"/>
  <c r="Y4414" i="34"/>
  <c r="Y4418" i="34"/>
  <c r="Y4422" i="34"/>
  <c r="Y4426" i="34"/>
  <c r="Y4430" i="34"/>
  <c r="Y4434" i="34"/>
  <c r="Y4438" i="34"/>
  <c r="Y4442" i="34"/>
  <c r="Y4446" i="34"/>
  <c r="Y4450" i="34"/>
  <c r="Y4454" i="34"/>
  <c r="Y4458" i="34"/>
  <c r="Y4462" i="34"/>
  <c r="Y4466" i="34"/>
  <c r="Y4470" i="34"/>
  <c r="Y4474" i="34"/>
  <c r="Y4478" i="34"/>
  <c r="Y4482" i="34"/>
  <c r="Y4486" i="34"/>
  <c r="Y4490" i="34"/>
  <c r="Y4494" i="34"/>
  <c r="Y4498" i="34"/>
  <c r="Y4502" i="34"/>
  <c r="Y4506" i="34"/>
  <c r="Y4510" i="34"/>
  <c r="Y4514" i="34"/>
  <c r="Y4518" i="34"/>
  <c r="Y4522" i="34"/>
  <c r="Y4526" i="34"/>
  <c r="Y4530" i="34"/>
  <c r="Y4534" i="34"/>
  <c r="Y4538" i="34"/>
  <c r="Y4542" i="34"/>
  <c r="Y4546" i="34"/>
  <c r="Y4550" i="34"/>
  <c r="Y4554" i="34"/>
  <c r="Y4558" i="34"/>
  <c r="Y4562" i="34"/>
  <c r="Y4566" i="34"/>
  <c r="Y4570" i="34"/>
  <c r="Y4574" i="34"/>
  <c r="Y4578" i="34"/>
  <c r="Y4582" i="34"/>
  <c r="Y4586" i="34"/>
  <c r="Y4590" i="34"/>
  <c r="Y4594" i="34"/>
  <c r="Y4598" i="34"/>
  <c r="Y4602" i="34"/>
  <c r="Y4606" i="34"/>
  <c r="Y4610" i="34"/>
  <c r="Y4614" i="34"/>
  <c r="Y4618" i="34"/>
  <c r="Y4622" i="34"/>
  <c r="Y4626" i="34"/>
  <c r="Y4630" i="34"/>
  <c r="Y4634" i="34"/>
  <c r="Y4638" i="34"/>
  <c r="Y4642" i="34"/>
  <c r="Y4646" i="34"/>
  <c r="Y3538" i="34"/>
  <c r="Y3545" i="34"/>
  <c r="Y3549" i="34"/>
  <c r="Y3553" i="34"/>
  <c r="Y3557" i="34"/>
  <c r="Y3561" i="34"/>
  <c r="Y3565" i="34"/>
  <c r="Y3569" i="34"/>
  <c r="Y3573" i="34"/>
  <c r="Y3577" i="34"/>
  <c r="Y3581" i="34"/>
  <c r="Y3585" i="34"/>
  <c r="Y3589" i="34"/>
  <c r="Y3593" i="34"/>
  <c r="Y3597" i="34"/>
  <c r="Y3601" i="34"/>
  <c r="Y3605" i="34"/>
  <c r="Y3609" i="34"/>
  <c r="Y3613" i="34"/>
  <c r="Y3617" i="34"/>
  <c r="Y3621" i="34"/>
  <c r="Y3625" i="34"/>
  <c r="Y3629" i="34"/>
  <c r="Y3633" i="34"/>
  <c r="Y3637" i="34"/>
  <c r="Y3641" i="34"/>
  <c r="Y3645" i="34"/>
  <c r="Y3649" i="34"/>
  <c r="Y3653" i="34"/>
  <c r="Y3657" i="34"/>
  <c r="Y3661" i="34"/>
  <c r="Y3665" i="34"/>
  <c r="Y3669" i="34"/>
  <c r="Y3673" i="34"/>
  <c r="Y3677" i="34"/>
  <c r="Y3681" i="34"/>
  <c r="Y3685" i="34"/>
  <c r="Y3689" i="34"/>
  <c r="Y3693" i="34"/>
  <c r="Y3697" i="34"/>
  <c r="Y3701" i="34"/>
  <c r="Y3705" i="34"/>
  <c r="Y3709" i="34"/>
  <c r="Y3713" i="34"/>
  <c r="Y3717" i="34"/>
  <c r="Y3721" i="34"/>
  <c r="Y3725" i="34"/>
  <c r="Y3729" i="34"/>
  <c r="Y3733" i="34"/>
  <c r="Y3737" i="34"/>
  <c r="Y3741" i="34"/>
  <c r="Y3745" i="34"/>
  <c r="Y3749" i="34"/>
  <c r="Y3753" i="34"/>
  <c r="Y3920" i="34"/>
  <c r="Y3924" i="34"/>
  <c r="Y3928" i="34"/>
  <c r="Y3944" i="34"/>
  <c r="Y3948" i="34"/>
  <c r="Y3952" i="34"/>
  <c r="Y3956" i="34"/>
  <c r="Y3960" i="34"/>
  <c r="Y4096" i="34"/>
  <c r="Y4100" i="34"/>
  <c r="Y4104" i="34"/>
  <c r="Y4108" i="34"/>
  <c r="Y4114" i="34"/>
  <c r="Y4247" i="34"/>
  <c r="Y4251" i="34"/>
  <c r="Y4255" i="34"/>
  <c r="Y4259" i="34"/>
  <c r="Y4263" i="34"/>
  <c r="Y4267" i="34"/>
  <c r="Y4271" i="34"/>
  <c r="Y4275" i="34"/>
  <c r="Y4279" i="34"/>
  <c r="Y4283" i="34"/>
  <c r="Y4287" i="34"/>
  <c r="Y4291" i="34"/>
  <c r="Y4295" i="34"/>
  <c r="Y4299" i="34"/>
  <c r="Y4303" i="34"/>
  <c r="Y4307" i="34"/>
  <c r="Y4311" i="34"/>
  <c r="Y4315" i="34"/>
  <c r="Y4319" i="34"/>
  <c r="Y4323" i="34"/>
  <c r="Y4327" i="34"/>
  <c r="Y4331" i="34"/>
  <c r="Y4335" i="34"/>
  <c r="Y4339" i="34"/>
  <c r="Y4343" i="34"/>
  <c r="Y4347" i="34"/>
  <c r="Y4351" i="34"/>
  <c r="Y4355" i="34"/>
  <c r="Y4359" i="34"/>
  <c r="Y4363" i="34"/>
  <c r="Y4367" i="34"/>
  <c r="Y4371" i="34"/>
  <c r="Y4375" i="34"/>
  <c r="Y4379" i="34"/>
  <c r="Y4383" i="34"/>
  <c r="Y4387" i="34"/>
  <c r="Y4391" i="34"/>
  <c r="Y4395" i="34"/>
  <c r="Y4399" i="34"/>
  <c r="Y4403" i="34"/>
  <c r="Y4407" i="34"/>
  <c r="Y4411" i="34"/>
  <c r="Y4415" i="34"/>
  <c r="Y4419" i="34"/>
  <c r="Y4423" i="34"/>
  <c r="Y4427" i="34"/>
  <c r="Y4431" i="34"/>
  <c r="Y4435" i="34"/>
  <c r="Y4439" i="34"/>
  <c r="Y4443" i="34"/>
  <c r="Y4447" i="34"/>
  <c r="Y4451" i="34"/>
  <c r="Y4455" i="34"/>
  <c r="Y4459" i="34"/>
  <c r="Y4463" i="34"/>
  <c r="Y4467" i="34"/>
  <c r="Y4471" i="34"/>
  <c r="Y4475" i="34"/>
  <c r="Y4479" i="34"/>
  <c r="Y4483" i="34"/>
  <c r="Y4487" i="34"/>
  <c r="Y4491" i="34"/>
  <c r="Y4495" i="34"/>
  <c r="Y4499" i="34"/>
  <c r="Y4503" i="34"/>
  <c r="Y4507" i="34"/>
  <c r="Y4511" i="34"/>
  <c r="Y4515" i="34"/>
  <c r="Y4519" i="34"/>
  <c r="Y4523" i="34"/>
  <c r="Y4527" i="34"/>
  <c r="Y4531" i="34"/>
  <c r="Y4535" i="34"/>
  <c r="Y4539" i="34"/>
  <c r="Y4543" i="34"/>
  <c r="Y4547" i="34"/>
  <c r="Y4551" i="34"/>
  <c r="Y4555" i="34"/>
  <c r="Y4559" i="34"/>
  <c r="Y4563" i="34"/>
  <c r="Y4567" i="34"/>
  <c r="Y4571" i="34"/>
  <c r="Y4575" i="34"/>
  <c r="Y4579" i="34"/>
  <c r="Y4583" i="34"/>
  <c r="Y4587" i="34"/>
  <c r="Y4591" i="34"/>
  <c r="Y4595" i="34"/>
  <c r="Y4599" i="34"/>
  <c r="Y4603" i="34"/>
  <c r="Y4607" i="34"/>
  <c r="Y4611" i="34"/>
  <c r="Y4615" i="34"/>
  <c r="Y4619" i="34"/>
  <c r="Y4623" i="34"/>
  <c r="Y4627" i="34"/>
  <c r="Y4631" i="34"/>
  <c r="Y4635" i="34"/>
  <c r="Y4639" i="34"/>
  <c r="Y4643" i="34"/>
  <c r="Y4647" i="34"/>
  <c r="Y4651" i="34"/>
  <c r="Y4655" i="34"/>
  <c r="Y4659" i="34"/>
  <c r="Y4663" i="34"/>
  <c r="Y4667" i="34"/>
  <c r="Y4671" i="34"/>
  <c r="Y4657" i="34"/>
  <c r="Y4665" i="34"/>
  <c r="Y4672" i="34"/>
  <c r="Y4676" i="34"/>
  <c r="Y4680" i="34"/>
  <c r="Y4684" i="34"/>
  <c r="Y4688" i="34"/>
  <c r="Y4692" i="34"/>
  <c r="Y4696" i="34"/>
  <c r="Y4700" i="34"/>
  <c r="Y4704" i="34"/>
  <c r="Y4708" i="34"/>
  <c r="Y4712" i="34"/>
  <c r="Y4716" i="34"/>
  <c r="Y4720" i="34"/>
  <c r="Y4724" i="34"/>
  <c r="Y4728" i="34"/>
  <c r="Y4732" i="34"/>
  <c r="Y4736" i="34"/>
  <c r="Y4740" i="34"/>
  <c r="Y4744" i="34"/>
  <c r="Y4748" i="34"/>
  <c r="Y4752" i="34"/>
  <c r="Y4756" i="34"/>
  <c r="Y4760" i="34"/>
  <c r="Y4650" i="34"/>
  <c r="Y4658" i="34"/>
  <c r="Y4666" i="34"/>
  <c r="Y4673" i="34"/>
  <c r="Y4677" i="34"/>
  <c r="Y4681" i="34"/>
  <c r="Y4685" i="34"/>
  <c r="Y4689" i="34"/>
  <c r="Y4693" i="34"/>
  <c r="Y4697" i="34"/>
  <c r="Y4701" i="34"/>
  <c r="Y4705" i="34"/>
  <c r="Y4709" i="34"/>
  <c r="Y4713" i="34"/>
  <c r="Y4717" i="34"/>
  <c r="Y4721" i="34"/>
  <c r="Y4725" i="34"/>
  <c r="Y4729" i="34"/>
  <c r="Y4733" i="34"/>
  <c r="Y4737" i="34"/>
  <c r="Y4741" i="34"/>
  <c r="Y4745" i="34"/>
  <c r="Y4749" i="34"/>
  <c r="Y4753" i="34"/>
  <c r="Y4757" i="34"/>
  <c r="Y4653" i="34"/>
  <c r="Y4661" i="34"/>
  <c r="Y4669" i="34"/>
  <c r="Y4674" i="34"/>
  <c r="Y4678" i="34"/>
  <c r="Y4682" i="34"/>
  <c r="Y4686" i="34"/>
  <c r="Y4690" i="34"/>
  <c r="Y4694" i="34"/>
  <c r="Y4698" i="34"/>
  <c r="Y4702" i="34"/>
  <c r="Y4706" i="34"/>
  <c r="Y4710" i="34"/>
  <c r="Y4714" i="34"/>
  <c r="Y4718" i="34"/>
  <c r="Y4722" i="34"/>
  <c r="Y4726" i="34"/>
  <c r="Y4730" i="34"/>
  <c r="Y4734" i="34"/>
  <c r="Y4738" i="34"/>
  <c r="Y4742" i="34"/>
  <c r="Y4746" i="34"/>
  <c r="Y4750" i="34"/>
  <c r="Y4754" i="34"/>
  <c r="Y4758" i="34"/>
  <c r="Y4654" i="34"/>
  <c r="Y4662" i="34"/>
  <c r="Y4670" i="34"/>
  <c r="Y4675" i="34"/>
  <c r="Y4679" i="34"/>
  <c r="Y4683" i="34"/>
  <c r="Y4687" i="34"/>
  <c r="Y4691" i="34"/>
  <c r="Y4695" i="34"/>
  <c r="Y4699" i="34"/>
  <c r="Y4703" i="34"/>
  <c r="Y4707" i="34"/>
  <c r="Y4711" i="34"/>
  <c r="Y4715" i="34"/>
  <c r="Y4719" i="34"/>
  <c r="Y4723" i="34"/>
  <c r="Y4727" i="34"/>
  <c r="Y4731" i="34"/>
  <c r="Y4735" i="34"/>
  <c r="Y4739" i="34"/>
  <c r="Y4743" i="34"/>
  <c r="Y4747" i="34"/>
  <c r="Y4751" i="34"/>
  <c r="Y4755" i="34"/>
  <c r="Y4759" i="34"/>
  <c r="A4772" i="34"/>
  <c r="O4772" i="34"/>
  <c r="P4772" i="34"/>
  <c r="Q4772" i="34"/>
  <c r="Z4772" i="34"/>
  <c r="A4755" i="34"/>
  <c r="A4759" i="34"/>
  <c r="A4763" i="34"/>
  <c r="O4763" i="34"/>
  <c r="P4763" i="34"/>
  <c r="Q4763" i="34"/>
  <c r="Z4763" i="34"/>
  <c r="A4767" i="34"/>
  <c r="O4767" i="34"/>
  <c r="P4767" i="34"/>
  <c r="Q4767" i="34"/>
  <c r="Z4767" i="34"/>
  <c r="A4740" i="34"/>
  <c r="A4744" i="34"/>
  <c r="A4748" i="34"/>
  <c r="A4752" i="34"/>
  <c r="A4771" i="34"/>
  <c r="O4771" i="34"/>
  <c r="P4771" i="34"/>
  <c r="Q4771" i="34"/>
  <c r="Z4771" i="34"/>
  <c r="A4773" i="34"/>
  <c r="O4773" i="34"/>
  <c r="P4773" i="34"/>
  <c r="Q4773" i="34"/>
  <c r="Z4773" i="34"/>
  <c r="A4756" i="34"/>
  <c r="A4760" i="34"/>
  <c r="A4764" i="34"/>
  <c r="O4764" i="34"/>
  <c r="P4764" i="34"/>
  <c r="Q4764" i="34"/>
  <c r="Z4764" i="34"/>
  <c r="A4768" i="34"/>
  <c r="O4768" i="34"/>
  <c r="P4768" i="34"/>
  <c r="Q4768" i="34"/>
  <c r="Z4768" i="34"/>
  <c r="A4741" i="34"/>
  <c r="A4745" i="34"/>
  <c r="A4749" i="34"/>
  <c r="A4753" i="34"/>
  <c r="Y4762" i="34"/>
  <c r="Y4764" i="34"/>
  <c r="Y4766" i="34"/>
  <c r="Y4769" i="34"/>
  <c r="Y4771" i="34"/>
  <c r="Y4761" i="34"/>
  <c r="Y4763" i="34"/>
  <c r="Y4765" i="34"/>
  <c r="Y4767" i="34"/>
  <c r="Y4768" i="34"/>
  <c r="Y4770" i="34"/>
  <c r="Y4772" i="34"/>
  <c r="Y4773" i="34"/>
  <c r="A4757" i="34"/>
  <c r="A4761" i="34"/>
  <c r="O4761" i="34"/>
  <c r="P4761" i="34"/>
  <c r="Q4761" i="34"/>
  <c r="Z4761" i="34"/>
  <c r="A4765" i="34"/>
  <c r="O4765" i="34"/>
  <c r="P4765" i="34"/>
  <c r="Q4765" i="34"/>
  <c r="Z4765" i="34"/>
  <c r="A4769" i="34"/>
  <c r="O4769" i="34"/>
  <c r="P4769" i="34"/>
  <c r="Q4769" i="34"/>
  <c r="Z4769" i="34"/>
  <c r="A4742" i="34"/>
  <c r="A4746" i="34"/>
  <c r="A4750" i="34"/>
  <c r="A4754" i="34"/>
  <c r="A4758" i="34"/>
  <c r="A4762" i="34"/>
  <c r="O4762" i="34"/>
  <c r="P4762" i="34"/>
  <c r="Q4762" i="34"/>
  <c r="Z4762" i="34"/>
  <c r="A4766" i="34"/>
  <c r="O4766" i="34"/>
  <c r="P4766" i="34"/>
  <c r="Q4766" i="34"/>
  <c r="Z4766" i="34"/>
  <c r="A4770" i="34"/>
  <c r="O4770" i="34"/>
  <c r="P4770" i="34"/>
  <c r="Q4770" i="34"/>
  <c r="Z4770" i="34"/>
  <c r="A4743" i="34"/>
  <c r="A4747" i="34"/>
  <c r="A4751" i="34"/>
  <c r="A10" i="56"/>
  <c r="U4766" i="34"/>
  <c r="U4770" i="34"/>
  <c r="U4771" i="34"/>
  <c r="U4763" i="34"/>
  <c r="U4764" i="34"/>
  <c r="U4768" i="34"/>
  <c r="U4772" i="34"/>
  <c r="U4761" i="34"/>
  <c r="U4765" i="34"/>
  <c r="U4769" i="34"/>
  <c r="U4773" i="34"/>
  <c r="U4762" i="34"/>
  <c r="U4767" i="34"/>
  <c r="E158" i="60"/>
  <c r="E180" i="60"/>
  <c r="A39" i="14"/>
  <c r="C41" i="14"/>
  <c r="E43" i="14"/>
  <c r="G45" i="14"/>
  <c r="B48" i="14"/>
  <c r="D50" i="14"/>
  <c r="F52" i="14"/>
  <c r="A55" i="14"/>
  <c r="C57" i="14"/>
  <c r="E59" i="14"/>
  <c r="G61" i="14"/>
  <c r="B64" i="14"/>
  <c r="D66" i="14"/>
  <c r="F68" i="14"/>
  <c r="A71" i="14"/>
  <c r="C73" i="14"/>
  <c r="E75" i="14"/>
  <c r="G77" i="14"/>
  <c r="B80" i="14"/>
  <c r="D82" i="14"/>
  <c r="E84" i="14"/>
  <c r="F39" i="14"/>
  <c r="A42" i="14"/>
  <c r="C44" i="14"/>
  <c r="E46" i="14"/>
  <c r="G48" i="14"/>
  <c r="B51" i="14"/>
  <c r="D53" i="14"/>
  <c r="F55" i="14"/>
  <c r="A58" i="14"/>
  <c r="C60" i="14"/>
  <c r="E62" i="14"/>
  <c r="G64" i="14"/>
  <c r="B67" i="14"/>
  <c r="D69" i="14"/>
  <c r="F71" i="14"/>
  <c r="A74" i="14"/>
  <c r="C76" i="14"/>
  <c r="E78" i="14"/>
  <c r="G80" i="14"/>
  <c r="C39" i="14"/>
  <c r="E41" i="14"/>
  <c r="G43" i="14"/>
  <c r="B46" i="14"/>
  <c r="D48" i="14"/>
  <c r="F50" i="14"/>
  <c r="A53" i="14"/>
  <c r="C55" i="14"/>
  <c r="E57" i="14"/>
  <c r="G59" i="14"/>
  <c r="B62" i="14"/>
  <c r="D64" i="14"/>
  <c r="F66" i="14"/>
  <c r="A69" i="14"/>
  <c r="C71" i="14"/>
  <c r="E73" i="14"/>
  <c r="G75" i="14"/>
  <c r="B78" i="14"/>
  <c r="D80" i="14"/>
  <c r="F82" i="14"/>
  <c r="B41" i="14"/>
  <c r="D43" i="14"/>
  <c r="F45" i="14"/>
  <c r="A48" i="14"/>
  <c r="C50" i="14"/>
  <c r="E52" i="14"/>
  <c r="G54" i="14"/>
  <c r="B57" i="14"/>
  <c r="D59" i="14"/>
  <c r="F61" i="14"/>
  <c r="A64" i="14"/>
  <c r="C66" i="14"/>
  <c r="E68" i="14"/>
  <c r="G70" i="14"/>
  <c r="B73" i="14"/>
  <c r="D75" i="14"/>
  <c r="F77" i="14"/>
  <c r="A80" i="14"/>
  <c r="C82" i="14"/>
  <c r="C85" i="14"/>
  <c r="G85" i="14"/>
  <c r="B88" i="14"/>
  <c r="A90" i="14"/>
  <c r="A93" i="14"/>
  <c r="F94" i="14"/>
  <c r="A86" i="14"/>
  <c r="C88" i="14"/>
  <c r="B90" i="14"/>
  <c r="C92" i="14"/>
  <c r="F83" i="14"/>
  <c r="G86" i="14"/>
  <c r="G89" i="14"/>
  <c r="D92" i="14"/>
  <c r="G94" i="14"/>
  <c r="G84" i="14"/>
  <c r="E87" i="14"/>
  <c r="D90" i="14"/>
  <c r="E92" i="14"/>
  <c r="F91" i="14"/>
  <c r="E95" i="14"/>
  <c r="E39" i="14"/>
  <c r="G41" i="14"/>
  <c r="B44" i="14"/>
  <c r="D46" i="14"/>
  <c r="F48" i="14"/>
  <c r="A51" i="14"/>
  <c r="C53" i="14"/>
  <c r="E55" i="14"/>
  <c r="G57" i="14"/>
  <c r="B60" i="14"/>
  <c r="D62" i="14"/>
  <c r="F64" i="14"/>
  <c r="A67" i="14"/>
  <c r="C69" i="14"/>
  <c r="E71" i="14"/>
  <c r="G73" i="14"/>
  <c r="B76" i="14"/>
  <c r="D78" i="14"/>
  <c r="F80" i="14"/>
  <c r="A83" i="14"/>
  <c r="D85" i="14"/>
  <c r="C40" i="14"/>
  <c r="E42" i="14"/>
  <c r="G44" i="14"/>
  <c r="B47" i="14"/>
  <c r="D49" i="14"/>
  <c r="F51" i="14"/>
  <c r="A54" i="14"/>
  <c r="C56" i="14"/>
  <c r="E58" i="14"/>
  <c r="G60" i="14"/>
  <c r="B63" i="14"/>
  <c r="D65" i="14"/>
  <c r="F67" i="14"/>
  <c r="A70" i="14"/>
  <c r="C72" i="14"/>
  <c r="E74" i="14"/>
  <c r="G76" i="14"/>
  <c r="B79" i="14"/>
  <c r="D81" i="14"/>
  <c r="G39" i="14"/>
  <c r="B42" i="14"/>
  <c r="D44" i="14"/>
  <c r="F46" i="14"/>
  <c r="A49" i="14"/>
  <c r="C51" i="14"/>
  <c r="E53" i="14"/>
  <c r="G55" i="14"/>
  <c r="B58" i="14"/>
  <c r="D60" i="14"/>
  <c r="F62" i="14"/>
  <c r="A65" i="14"/>
  <c r="C67" i="14"/>
  <c r="E69" i="14"/>
  <c r="G71" i="14"/>
  <c r="B74" i="14"/>
  <c r="D76" i="14"/>
  <c r="F78" i="14"/>
  <c r="A81" i="14"/>
  <c r="D39" i="14"/>
  <c r="F41" i="14"/>
  <c r="A44" i="14"/>
  <c r="C46" i="14"/>
  <c r="E48" i="14"/>
  <c r="G50" i="14"/>
  <c r="B53" i="14"/>
  <c r="D55" i="14"/>
  <c r="F57" i="14"/>
  <c r="A60" i="14"/>
  <c r="C62" i="14"/>
  <c r="E64" i="14"/>
  <c r="G66" i="14"/>
  <c r="B69" i="14"/>
  <c r="D71" i="14"/>
  <c r="F73" i="14"/>
  <c r="A76" i="14"/>
  <c r="C78" i="14"/>
  <c r="E80" i="14"/>
  <c r="G82" i="14"/>
  <c r="B83" i="14"/>
  <c r="E86" i="14"/>
  <c r="F88" i="14"/>
  <c r="E90" i="14"/>
  <c r="A94" i="14"/>
  <c r="C83" i="14"/>
  <c r="F86" i="14"/>
  <c r="G88" i="14"/>
  <c r="F90" i="14"/>
  <c r="G92" i="14"/>
  <c r="F84" i="14"/>
  <c r="D87" i="14"/>
  <c r="C90" i="14"/>
  <c r="C93" i="14"/>
  <c r="C95" i="14"/>
  <c r="F85" i="14"/>
  <c r="A88" i="14"/>
  <c r="A91" i="14"/>
  <c r="D93" i="14"/>
  <c r="F92" i="14"/>
  <c r="B94" i="14"/>
  <c r="B40" i="14"/>
  <c r="D42" i="14"/>
  <c r="F44" i="14"/>
  <c r="A47" i="14"/>
  <c r="C49" i="14"/>
  <c r="E51" i="14"/>
  <c r="G53" i="14"/>
  <c r="B56" i="14"/>
  <c r="D58" i="14"/>
  <c r="F60" i="14"/>
  <c r="A63" i="14"/>
  <c r="C65" i="14"/>
  <c r="E67" i="14"/>
  <c r="G69" i="14"/>
  <c r="B72" i="14"/>
  <c r="D74" i="14"/>
  <c r="F76" i="14"/>
  <c r="A79" i="14"/>
  <c r="C81" i="14"/>
  <c r="E83" i="14"/>
  <c r="D86" i="14"/>
  <c r="G40" i="14"/>
  <c r="B43" i="14"/>
  <c r="D45" i="14"/>
  <c r="F47" i="14"/>
  <c r="A50" i="14"/>
  <c r="C52" i="14"/>
  <c r="E54" i="14"/>
  <c r="G56" i="14"/>
  <c r="B59" i="14"/>
  <c r="D61" i="14"/>
  <c r="F63" i="14"/>
  <c r="A66" i="14"/>
  <c r="C68" i="14"/>
  <c r="E70" i="14"/>
  <c r="G72" i="14"/>
  <c r="B75" i="14"/>
  <c r="D77" i="14"/>
  <c r="F79" i="14"/>
  <c r="A82" i="14"/>
  <c r="D40" i="14"/>
  <c r="F42" i="14"/>
  <c r="A45" i="14"/>
  <c r="C47" i="14"/>
  <c r="E49" i="14"/>
  <c r="G51" i="14"/>
  <c r="B54" i="14"/>
  <c r="D56" i="14"/>
  <c r="F58" i="14"/>
  <c r="A61" i="14"/>
  <c r="C63" i="14"/>
  <c r="E65" i="14"/>
  <c r="G67" i="14"/>
  <c r="B70" i="14"/>
  <c r="D72" i="14"/>
  <c r="F74" i="14"/>
  <c r="A77" i="14"/>
  <c r="C79" i="14"/>
  <c r="E81" i="14"/>
  <c r="A40" i="14"/>
  <c r="C42" i="14"/>
  <c r="E44" i="14"/>
  <c r="G46" i="14"/>
  <c r="B49" i="14"/>
  <c r="D51" i="14"/>
  <c r="F53" i="14"/>
  <c r="A56" i="14"/>
  <c r="C58" i="14"/>
  <c r="E60" i="14"/>
  <c r="G62" i="14"/>
  <c r="B65" i="14"/>
  <c r="D67" i="14"/>
  <c r="F69" i="14"/>
  <c r="A72" i="14"/>
  <c r="C74" i="14"/>
  <c r="E76" i="14"/>
  <c r="G78" i="14"/>
  <c r="B81" i="14"/>
  <c r="D83" i="14"/>
  <c r="B84" i="14"/>
  <c r="B87" i="14"/>
  <c r="A89" i="14"/>
  <c r="B91" i="14"/>
  <c r="A95" i="14"/>
  <c r="C84" i="14"/>
  <c r="C87" i="14"/>
  <c r="B89" i="14"/>
  <c r="C91" i="14"/>
  <c r="F93" i="14"/>
  <c r="E85" i="14"/>
  <c r="D88" i="14"/>
  <c r="G90" i="14"/>
  <c r="G93" i="14"/>
  <c r="G95" i="14"/>
  <c r="C86" i="14"/>
  <c r="E88" i="14"/>
  <c r="E91" i="14"/>
  <c r="D94" i="14"/>
  <c r="E93" i="14"/>
  <c r="F95" i="14"/>
  <c r="F40" i="14"/>
  <c r="A43" i="14"/>
  <c r="C45" i="14"/>
  <c r="E47" i="14"/>
  <c r="G49" i="14"/>
  <c r="B52" i="14"/>
  <c r="D54" i="14"/>
  <c r="F56" i="14"/>
  <c r="A59" i="14"/>
  <c r="C61" i="14"/>
  <c r="E63" i="14"/>
  <c r="G65" i="14"/>
  <c r="B68" i="14"/>
  <c r="D70" i="14"/>
  <c r="F72" i="14"/>
  <c r="A75" i="14"/>
  <c r="C77" i="14"/>
  <c r="E79" i="14"/>
  <c r="G81" i="14"/>
  <c r="A84" i="14"/>
  <c r="B39" i="14"/>
  <c r="D41" i="14"/>
  <c r="F43" i="14"/>
  <c r="A46" i="14"/>
  <c r="C48" i="14"/>
  <c r="E50" i="14"/>
  <c r="G52" i="14"/>
  <c r="B55" i="14"/>
  <c r="D57" i="14"/>
  <c r="F59" i="14"/>
  <c r="A62" i="14"/>
  <c r="C64" i="14"/>
  <c r="E66" i="14"/>
  <c r="G68" i="14"/>
  <c r="B71" i="14"/>
  <c r="D73" i="14"/>
  <c r="F75" i="14"/>
  <c r="A78" i="14"/>
  <c r="C80" i="14"/>
  <c r="E82" i="14"/>
  <c r="A41" i="14"/>
  <c r="C43" i="14"/>
  <c r="E45" i="14"/>
  <c r="G47" i="14"/>
  <c r="B50" i="14"/>
  <c r="D52" i="14"/>
  <c r="F54" i="14"/>
  <c r="A57" i="14"/>
  <c r="C59" i="14"/>
  <c r="E61" i="14"/>
  <c r="G63" i="14"/>
  <c r="B66" i="14"/>
  <c r="D68" i="14"/>
  <c r="F70" i="14"/>
  <c r="A73" i="14"/>
  <c r="C75" i="14"/>
  <c r="E77" i="14"/>
  <c r="G79" i="14"/>
  <c r="B82" i="14"/>
  <c r="E40" i="14"/>
  <c r="G42" i="14"/>
  <c r="B45" i="14"/>
  <c r="D47" i="14"/>
  <c r="F49" i="14"/>
  <c r="A52" i="14"/>
  <c r="C54" i="14"/>
  <c r="E56" i="14"/>
  <c r="G58" i="14"/>
  <c r="B61" i="14"/>
  <c r="D63" i="14"/>
  <c r="F65" i="14"/>
  <c r="A68" i="14"/>
  <c r="C70" i="14"/>
  <c r="E72" i="14"/>
  <c r="G74" i="14"/>
  <c r="B77" i="14"/>
  <c r="D79" i="14"/>
  <c r="F81" i="14"/>
  <c r="D84" i="14"/>
  <c r="A85" i="14"/>
  <c r="F87" i="14"/>
  <c r="E89" i="14"/>
  <c r="B92" i="14"/>
  <c r="B93" i="14"/>
  <c r="B85" i="14"/>
  <c r="G87" i="14"/>
  <c r="F89" i="14"/>
  <c r="G91" i="14"/>
  <c r="B95" i="14"/>
  <c r="B86" i="14"/>
  <c r="C89" i="14"/>
  <c r="D91" i="14"/>
  <c r="C94" i="14"/>
  <c r="G83" i="14"/>
  <c r="A87" i="14"/>
  <c r="D89" i="14"/>
  <c r="A92" i="14"/>
  <c r="D95" i="14"/>
  <c r="E94" i="14"/>
  <c r="J81" i="55"/>
  <c r="J136" i="55"/>
  <c r="D40" i="71"/>
  <c r="I40" i="71" s="1"/>
  <c r="J529" i="55"/>
  <c r="J289" i="55"/>
  <c r="Q11" i="34"/>
  <c r="O11" i="34"/>
  <c r="J116" i="55"/>
  <c r="I24" i="57"/>
  <c r="G35" i="57"/>
  <c r="H35" i="57" s="1"/>
  <c r="G26" i="57"/>
  <c r="C26" i="57"/>
  <c r="C29" i="57"/>
  <c r="C34" i="57"/>
  <c r="D36" i="57"/>
  <c r="E20" i="57"/>
  <c r="C14" i="57"/>
  <c r="J63" i="57" s="1"/>
  <c r="G20" i="57"/>
  <c r="I15" i="57"/>
  <c r="D39" i="57"/>
  <c r="C25" i="57"/>
  <c r="C32" i="57"/>
  <c r="D17" i="57"/>
  <c r="F23" i="57"/>
  <c r="I42" i="57"/>
  <c r="G14" i="57"/>
  <c r="B32" i="57"/>
  <c r="D32" i="57"/>
  <c r="B16" i="57"/>
  <c r="G23" i="57"/>
  <c r="C41" i="57"/>
  <c r="E25" i="57"/>
  <c r="E16" i="57"/>
  <c r="G30" i="57"/>
  <c r="F41" i="57"/>
  <c r="H41" i="57" s="1"/>
  <c r="D33" i="57"/>
  <c r="B20" i="57"/>
  <c r="D27" i="57"/>
  <c r="B14" i="57"/>
  <c r="A14" i="57" s="1"/>
  <c r="E41" i="57"/>
  <c r="C23" i="57"/>
  <c r="G21" i="57"/>
  <c r="F17" i="57"/>
  <c r="B28" i="57"/>
  <c r="I16" i="57"/>
  <c r="F16" i="57"/>
  <c r="I34" i="57"/>
  <c r="I17" i="57"/>
  <c r="D41" i="57"/>
  <c r="F29" i="57"/>
  <c r="D35" i="57"/>
  <c r="F37" i="57"/>
  <c r="D19" i="57"/>
  <c r="C22" i="57"/>
  <c r="C15" i="57"/>
  <c r="G15" i="57"/>
  <c r="I37" i="57"/>
  <c r="D42" i="57"/>
  <c r="D30" i="57"/>
  <c r="C27" i="57"/>
  <c r="E21" i="57"/>
  <c r="C18" i="57"/>
  <c r="G31" i="57"/>
  <c r="C42" i="57"/>
  <c r="F36" i="57"/>
  <c r="D16" i="57"/>
  <c r="Y10" i="34"/>
  <c r="Y11" i="34"/>
  <c r="I30" i="57"/>
  <c r="I35" i="57"/>
  <c r="E17" i="57"/>
  <c r="E24" i="57"/>
  <c r="F39" i="57"/>
  <c r="E29" i="57"/>
  <c r="F42" i="57"/>
  <c r="G33" i="57"/>
  <c r="D22" i="57"/>
  <c r="D31" i="57"/>
  <c r="I28" i="57"/>
  <c r="D20" i="57"/>
  <c r="D37" i="57"/>
  <c r="G24" i="57"/>
  <c r="E23" i="57"/>
  <c r="E28" i="57"/>
  <c r="B19" i="57"/>
  <c r="C31" i="57"/>
  <c r="F25" i="57"/>
  <c r="G37" i="57"/>
  <c r="F22" i="57"/>
  <c r="F26" i="57"/>
  <c r="E36" i="57"/>
  <c r="I25" i="57"/>
  <c r="C35" i="57"/>
  <c r="I22" i="57"/>
  <c r="E39" i="57"/>
  <c r="F34" i="57"/>
  <c r="H34" i="57" s="1"/>
  <c r="G39" i="57"/>
  <c r="B25" i="57"/>
  <c r="B36" i="57"/>
  <c r="F21" i="57"/>
  <c r="I36" i="57"/>
  <c r="D28" i="57"/>
  <c r="B39" i="57"/>
  <c r="F15" i="57"/>
  <c r="D34" i="57"/>
  <c r="B41" i="57"/>
  <c r="B15" i="57"/>
  <c r="B26" i="57"/>
  <c r="I19" i="57"/>
  <c r="B21" i="57"/>
  <c r="C28" i="57"/>
  <c r="E42" i="57"/>
  <c r="I32" i="57"/>
  <c r="E22" i="57"/>
  <c r="F27" i="57"/>
  <c r="F40" i="57"/>
  <c r="G27" i="57"/>
  <c r="C36" i="57"/>
  <c r="E38" i="57"/>
  <c r="C37" i="57"/>
  <c r="F38" i="57"/>
  <c r="J38" i="57" s="1"/>
  <c r="G38" i="57"/>
  <c r="E30" i="57"/>
  <c r="C19" i="57"/>
  <c r="E26" i="57"/>
  <c r="I23" i="57"/>
  <c r="C24" i="57"/>
  <c r="D25" i="57"/>
  <c r="I39" i="57"/>
  <c r="B18" i="57"/>
  <c r="E35" i="57"/>
  <c r="I14" i="57"/>
  <c r="E14" i="57"/>
  <c r="E37" i="57"/>
  <c r="G16" i="57"/>
  <c r="C16" i="57"/>
  <c r="D14" i="57"/>
  <c r="D38" i="57"/>
  <c r="B42" i="57"/>
  <c r="G19" i="57"/>
  <c r="F14" i="57"/>
  <c r="D29" i="71"/>
  <c r="F36" i="71"/>
  <c r="E127" i="60"/>
  <c r="E118" i="60"/>
  <c r="E122" i="60"/>
  <c r="E120" i="60"/>
  <c r="E121" i="60"/>
  <c r="E119" i="60"/>
  <c r="E123" i="60"/>
  <c r="E124" i="60"/>
  <c r="E126" i="60"/>
  <c r="E111" i="60"/>
  <c r="E110" i="60"/>
  <c r="E113" i="60"/>
  <c r="E112" i="60"/>
  <c r="E114" i="60"/>
  <c r="E105" i="60"/>
  <c r="E106" i="60"/>
  <c r="E107" i="60"/>
  <c r="J89" i="55"/>
  <c r="F17" i="71"/>
  <c r="C149" i="60"/>
  <c r="E83" i="60"/>
  <c r="E82" i="60"/>
  <c r="F66" i="60"/>
  <c r="H66" i="60" s="1"/>
  <c r="J39" i="55"/>
  <c r="J18" i="55"/>
  <c r="B35" i="71"/>
  <c r="B40" i="71"/>
  <c r="C40" i="57"/>
  <c r="J176" i="55"/>
  <c r="J560" i="55"/>
  <c r="J608" i="55"/>
  <c r="J196" i="55"/>
  <c r="C28" i="58"/>
  <c r="D16" i="58"/>
  <c r="J71" i="55"/>
  <c r="J50" i="55"/>
  <c r="J172" i="55"/>
  <c r="G21" i="58"/>
  <c r="F20" i="57"/>
  <c r="G32" i="57"/>
  <c r="B40" i="57"/>
  <c r="D21" i="57"/>
  <c r="B27" i="57"/>
  <c r="F19" i="57"/>
  <c r="E32" i="57"/>
  <c r="I40" i="57"/>
  <c r="F30" i="57"/>
  <c r="I29" i="57"/>
  <c r="C17" i="57"/>
  <c r="B35" i="57"/>
  <c r="C33" i="57"/>
  <c r="C39" i="57"/>
  <c r="G29" i="57"/>
  <c r="B17" i="57"/>
  <c r="D18" i="57"/>
  <c r="F31" i="57"/>
  <c r="B29" i="57"/>
  <c r="I21" i="57"/>
  <c r="I20" i="57"/>
  <c r="B22" i="57"/>
  <c r="B38" i="57"/>
  <c r="D29" i="57"/>
  <c r="F33" i="57"/>
  <c r="J33" i="57" s="1"/>
  <c r="I31" i="57"/>
  <c r="J31" i="57" s="1"/>
  <c r="G17" i="57"/>
  <c r="F18" i="57"/>
  <c r="H18" i="57" s="1"/>
  <c r="B24" i="57"/>
  <c r="D15" i="57"/>
  <c r="B37" i="57"/>
  <c r="B34" i="57"/>
  <c r="C30" i="57"/>
  <c r="D40" i="57"/>
  <c r="I27" i="57"/>
  <c r="G25" i="57"/>
  <c r="I18" i="57"/>
  <c r="C20" i="57"/>
  <c r="F24" i="57"/>
  <c r="D24" i="57"/>
  <c r="B30" i="57"/>
  <c r="B31" i="57"/>
  <c r="F32" i="57"/>
  <c r="B33" i="57"/>
  <c r="E40" i="57"/>
  <c r="I41" i="57"/>
  <c r="G28" i="57"/>
  <c r="H28" i="57" s="1"/>
  <c r="G36" i="57"/>
  <c r="G40" i="57"/>
  <c r="C20" i="58"/>
  <c r="A11" i="34"/>
  <c r="C30" i="58"/>
  <c r="D24" i="58"/>
  <c r="B23" i="58"/>
  <c r="F23" i="58" s="1"/>
  <c r="J254" i="55"/>
  <c r="B16" i="58"/>
  <c r="F16" i="58" s="1"/>
  <c r="E16" i="58"/>
  <c r="G28" i="58"/>
  <c r="C14" i="58"/>
  <c r="H26" i="58"/>
  <c r="C22" i="58"/>
  <c r="E21" i="58"/>
  <c r="G20" i="58"/>
  <c r="P11" i="34"/>
  <c r="H28" i="58"/>
  <c r="J156" i="55"/>
  <c r="B24" i="58"/>
  <c r="F24" i="58" s="1"/>
  <c r="D27" i="58"/>
  <c r="C27" i="58"/>
  <c r="H14" i="58"/>
  <c r="H17" i="58"/>
  <c r="B10" i="34"/>
  <c r="O10" i="34" s="1"/>
  <c r="E31" i="60"/>
  <c r="E20" i="60"/>
  <c r="E33" i="60"/>
  <c r="F33" i="60" s="1"/>
  <c r="H33" i="60" s="1"/>
  <c r="E15" i="60"/>
  <c r="F9" i="60"/>
  <c r="H9" i="60" s="1"/>
  <c r="F11" i="60"/>
  <c r="H11" i="60" s="1"/>
  <c r="E10" i="60"/>
  <c r="E27" i="60"/>
  <c r="E22" i="60"/>
  <c r="E24" i="60"/>
  <c r="F24" i="60" s="1"/>
  <c r="H24" i="60" s="1"/>
  <c r="E21" i="60"/>
  <c r="E188" i="60"/>
  <c r="E29" i="60"/>
  <c r="E18" i="60"/>
  <c r="E34" i="60"/>
  <c r="E35" i="60"/>
  <c r="E38" i="60"/>
  <c r="E42" i="60"/>
  <c r="F42" i="60" s="1"/>
  <c r="H42" i="60" s="1"/>
  <c r="E130" i="60"/>
  <c r="E131" i="60"/>
  <c r="E135" i="60"/>
  <c r="E133" i="60"/>
  <c r="E129" i="60"/>
  <c r="F129" i="60" s="1"/>
  <c r="H129" i="60" s="1"/>
  <c r="E134" i="60"/>
  <c r="E132" i="60"/>
  <c r="E136" i="60"/>
  <c r="E139" i="60"/>
  <c r="E137" i="60"/>
  <c r="F137" i="60" s="1"/>
  <c r="H137" i="60" s="1"/>
  <c r="E138" i="60"/>
  <c r="E141" i="60"/>
  <c r="F141" i="60" s="1"/>
  <c r="H141" i="60" s="1"/>
  <c r="E140" i="60"/>
  <c r="E109" i="60"/>
  <c r="F109" i="60" s="1"/>
  <c r="H109" i="60" s="1"/>
  <c r="B59" i="57"/>
  <c r="A59" i="57" s="1"/>
  <c r="F59" i="57"/>
  <c r="D43" i="57"/>
  <c r="I43" i="57"/>
  <c r="E44" i="57"/>
  <c r="B45" i="57"/>
  <c r="F45" i="57"/>
  <c r="C46" i="57"/>
  <c r="G46" i="57"/>
  <c r="B47" i="57"/>
  <c r="A47" i="57" s="1"/>
  <c r="F47" i="57"/>
  <c r="C48" i="57"/>
  <c r="G48" i="57"/>
  <c r="B49" i="57"/>
  <c r="A49" i="57" s="1"/>
  <c r="F49" i="57"/>
  <c r="C50" i="57"/>
  <c r="G50" i="57"/>
  <c r="B51" i="57"/>
  <c r="A51" i="57" s="1"/>
  <c r="F51" i="57"/>
  <c r="B52" i="57"/>
  <c r="A52" i="57" s="1"/>
  <c r="F52" i="57"/>
  <c r="E53" i="57"/>
  <c r="E54" i="57"/>
  <c r="E55" i="57"/>
  <c r="D56" i="57"/>
  <c r="I56" i="57"/>
  <c r="D57" i="57"/>
  <c r="I57" i="57"/>
  <c r="E58" i="57"/>
  <c r="C59" i="57"/>
  <c r="G59" i="57"/>
  <c r="E43" i="57"/>
  <c r="B44" i="57"/>
  <c r="F44" i="57"/>
  <c r="C45" i="57"/>
  <c r="G45" i="57"/>
  <c r="D46" i="57"/>
  <c r="I46" i="57"/>
  <c r="C47" i="57"/>
  <c r="G47" i="57"/>
  <c r="D48" i="57"/>
  <c r="I48" i="57"/>
  <c r="C49" i="57"/>
  <c r="G49" i="57"/>
  <c r="D50" i="57"/>
  <c r="I50" i="57"/>
  <c r="C51" i="57"/>
  <c r="G51" i="57"/>
  <c r="C52" i="57"/>
  <c r="G52" i="57"/>
  <c r="B53" i="57"/>
  <c r="A53" i="57" s="1"/>
  <c r="F53" i="57"/>
  <c r="B54" i="57"/>
  <c r="A54" i="57" s="1"/>
  <c r="F54" i="57"/>
  <c r="B55" i="57"/>
  <c r="A55" i="57" s="1"/>
  <c r="F55" i="57"/>
  <c r="E56" i="57"/>
  <c r="E57" i="57"/>
  <c r="B58" i="57"/>
  <c r="A58" i="57" s="1"/>
  <c r="F58" i="57"/>
  <c r="D59" i="57"/>
  <c r="I59" i="57"/>
  <c r="B43" i="57"/>
  <c r="F43" i="57"/>
  <c r="C44" i="57"/>
  <c r="G44" i="57"/>
  <c r="D45" i="57"/>
  <c r="I45" i="57"/>
  <c r="E46" i="57"/>
  <c r="D47" i="57"/>
  <c r="I47" i="57"/>
  <c r="J47" i="57" s="1"/>
  <c r="E48" i="57"/>
  <c r="D49" i="57"/>
  <c r="I49" i="57"/>
  <c r="E50" i="57"/>
  <c r="D51" i="57"/>
  <c r="I51" i="57"/>
  <c r="D52" i="57"/>
  <c r="I52" i="57"/>
  <c r="C53" i="57"/>
  <c r="G53" i="57"/>
  <c r="C54" i="57"/>
  <c r="G54" i="57"/>
  <c r="C55" i="57"/>
  <c r="G55" i="57"/>
  <c r="B56" i="57"/>
  <c r="A56" i="57" s="1"/>
  <c r="F56" i="57"/>
  <c r="B57" i="57"/>
  <c r="A57" i="57" s="1"/>
  <c r="F57" i="57"/>
  <c r="C58" i="57"/>
  <c r="G58" i="57"/>
  <c r="E59" i="57"/>
  <c r="C43" i="57"/>
  <c r="G43" i="57"/>
  <c r="D44" i="57"/>
  <c r="I44" i="57"/>
  <c r="E45" i="57"/>
  <c r="B46" i="57"/>
  <c r="A46" i="57" s="1"/>
  <c r="F46" i="57"/>
  <c r="E47" i="57"/>
  <c r="B48" i="57"/>
  <c r="A48" i="57" s="1"/>
  <c r="F48" i="57"/>
  <c r="E49" i="57"/>
  <c r="B50" i="57"/>
  <c r="A50" i="57" s="1"/>
  <c r="F50" i="57"/>
  <c r="E51" i="57"/>
  <c r="E52" i="57"/>
  <c r="D53" i="57"/>
  <c r="I53" i="57"/>
  <c r="D54" i="57"/>
  <c r="I54" i="57"/>
  <c r="D55" i="57"/>
  <c r="I55" i="57"/>
  <c r="C56" i="57"/>
  <c r="G56" i="57"/>
  <c r="C57" i="57"/>
  <c r="G57" i="57"/>
  <c r="D58" i="57"/>
  <c r="I58" i="57"/>
  <c r="A41" i="71"/>
  <c r="E41" i="71"/>
  <c r="B41" i="71"/>
  <c r="F41" i="71"/>
  <c r="C41" i="71"/>
  <c r="G41" i="71"/>
  <c r="D41" i="71"/>
  <c r="E159" i="60"/>
  <c r="E177" i="60"/>
  <c r="E175" i="60"/>
  <c r="F41" i="60"/>
  <c r="H41" i="60" s="1"/>
  <c r="E36" i="60"/>
  <c r="F23" i="60"/>
  <c r="H23" i="60" s="1"/>
  <c r="E28" i="60"/>
  <c r="E264" i="60"/>
  <c r="E263" i="60"/>
  <c r="E257" i="60"/>
  <c r="E255" i="60"/>
  <c r="E208" i="60"/>
  <c r="E210" i="60"/>
  <c r="E251" i="60"/>
  <c r="E211" i="60"/>
  <c r="E242" i="60"/>
  <c r="E250" i="60"/>
  <c r="F236" i="60"/>
  <c r="F247" i="60"/>
  <c r="E237" i="60"/>
  <c r="E248" i="60"/>
  <c r="F217" i="60"/>
  <c r="E215" i="60"/>
  <c r="E230" i="60"/>
  <c r="E222" i="60"/>
  <c r="F253" i="60"/>
  <c r="E261" i="60"/>
  <c r="F261" i="60" s="1"/>
  <c r="E209" i="60"/>
  <c r="E214" i="60"/>
  <c r="E243" i="60"/>
  <c r="F240" i="60"/>
  <c r="E239" i="60"/>
  <c r="E249" i="60"/>
  <c r="F249" i="60" s="1"/>
  <c r="F235" i="60"/>
  <c r="F224" i="60"/>
  <c r="E216" i="60"/>
  <c r="F216" i="60" s="1"/>
  <c r="E225" i="60"/>
  <c r="E232" i="60"/>
  <c r="F232" i="60" s="1"/>
  <c r="E228" i="60"/>
  <c r="F219" i="60"/>
  <c r="A52" i="60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E14" i="60"/>
  <c r="F21" i="60"/>
  <c r="H21" i="60" s="1"/>
  <c r="E26" i="60"/>
  <c r="E262" i="60"/>
  <c r="E259" i="60"/>
  <c r="E266" i="60"/>
  <c r="E260" i="60"/>
  <c r="E258" i="60"/>
  <c r="F258" i="60" s="1"/>
  <c r="E252" i="60"/>
  <c r="F252" i="60" s="1"/>
  <c r="F212" i="60"/>
  <c r="E213" i="60"/>
  <c r="F244" i="60"/>
  <c r="E240" i="60"/>
  <c r="E233" i="60"/>
  <c r="F233" i="60" s="1"/>
  <c r="F241" i="60"/>
  <c r="F246" i="60"/>
  <c r="E223" i="60"/>
  <c r="F225" i="60"/>
  <c r="E221" i="60"/>
  <c r="E227" i="60"/>
  <c r="F227" i="60" s="1"/>
  <c r="E218" i="60"/>
  <c r="F12" i="60"/>
  <c r="H12" i="60" s="1"/>
  <c r="F25" i="60"/>
  <c r="H25" i="60" s="1"/>
  <c r="E99" i="60"/>
  <c r="E95" i="60"/>
  <c r="E92" i="60"/>
  <c r="E98" i="60"/>
  <c r="E94" i="60"/>
  <c r="E91" i="60"/>
  <c r="E101" i="60"/>
  <c r="F101" i="60" s="1"/>
  <c r="H101" i="60" s="1"/>
  <c r="E97" i="60"/>
  <c r="F97" i="60" s="1"/>
  <c r="H97" i="60" s="1"/>
  <c r="E100" i="60"/>
  <c r="E96" i="60"/>
  <c r="E93" i="60"/>
  <c r="F93" i="60" s="1"/>
  <c r="H93" i="60" s="1"/>
  <c r="E87" i="60"/>
  <c r="E86" i="60"/>
  <c r="E89" i="60"/>
  <c r="F89" i="60" s="1"/>
  <c r="H89" i="60" s="1"/>
  <c r="E85" i="60"/>
  <c r="F85" i="60" s="1"/>
  <c r="H85" i="60" s="1"/>
  <c r="E88" i="60"/>
  <c r="E90" i="60"/>
  <c r="F18" i="60"/>
  <c r="H18" i="60" s="1"/>
  <c r="F40" i="60"/>
  <c r="H40" i="60" s="1"/>
  <c r="G38" i="71"/>
  <c r="E33" i="71"/>
  <c r="G32" i="71"/>
  <c r="B32" i="71"/>
  <c r="E26" i="14"/>
  <c r="H36" i="56"/>
  <c r="U11" i="34"/>
  <c r="A15" i="14"/>
  <c r="C15" i="14"/>
  <c r="E14" i="71"/>
  <c r="D24" i="71"/>
  <c r="E38" i="71"/>
  <c r="F20" i="71"/>
  <c r="A27" i="14"/>
  <c r="C37" i="71"/>
  <c r="B22" i="58"/>
  <c r="F22" i="58" s="1"/>
  <c r="B26" i="58"/>
  <c r="F26" i="58" s="1"/>
  <c r="G22" i="58"/>
  <c r="G15" i="58"/>
  <c r="B24" i="71"/>
  <c r="F55" i="70"/>
  <c r="I690" i="55"/>
  <c r="C21" i="78"/>
  <c r="A19" i="78"/>
  <c r="H16" i="78"/>
  <c r="F20" i="78"/>
  <c r="F26" i="78" s="1"/>
  <c r="D18" i="78"/>
  <c r="E19" i="78"/>
  <c r="C17" i="78"/>
  <c r="C27" i="71"/>
  <c r="J105" i="55"/>
  <c r="J467" i="55"/>
  <c r="E14" i="14"/>
  <c r="C29" i="71"/>
  <c r="D36" i="71"/>
  <c r="A31" i="71"/>
  <c r="J85" i="55"/>
  <c r="F25" i="14"/>
  <c r="C15" i="60"/>
  <c r="O44" i="60"/>
  <c r="B19" i="71"/>
  <c r="A25" i="71"/>
  <c r="F20" i="14"/>
  <c r="E32" i="71"/>
  <c r="A32" i="71"/>
  <c r="B38" i="71"/>
  <c r="G23" i="14"/>
  <c r="A26" i="71"/>
  <c r="C16" i="71"/>
  <c r="G24" i="71"/>
  <c r="C14" i="14"/>
  <c r="F31" i="71"/>
  <c r="E34" i="71"/>
  <c r="G36" i="71"/>
  <c r="B21" i="14"/>
  <c r="B26" i="71"/>
  <c r="C24" i="14"/>
  <c r="B29" i="14"/>
  <c r="F27" i="14"/>
  <c r="E37" i="71"/>
  <c r="B34" i="71"/>
  <c r="F34" i="71"/>
  <c r="B37" i="71"/>
  <c r="E36" i="71"/>
  <c r="C31" i="71"/>
  <c r="F39" i="71"/>
  <c r="D34" i="71"/>
  <c r="B15" i="14"/>
  <c r="A20" i="71"/>
  <c r="C15" i="71"/>
  <c r="G18" i="71"/>
  <c r="F27" i="71"/>
  <c r="E29" i="14"/>
  <c r="D17" i="14"/>
  <c r="G34" i="71"/>
  <c r="D31" i="71"/>
  <c r="F38" i="71"/>
  <c r="A14" i="14"/>
  <c r="G2" i="14" s="1"/>
  <c r="C18" i="71"/>
  <c r="C27" i="14"/>
  <c r="D17" i="71"/>
  <c r="F24" i="71"/>
  <c r="C14" i="71"/>
  <c r="G29" i="14"/>
  <c r="A14" i="71"/>
  <c r="A46" i="71" s="1"/>
  <c r="C19" i="14"/>
  <c r="A20" i="14"/>
  <c r="G31" i="71"/>
  <c r="A36" i="71"/>
  <c r="F40" i="71"/>
  <c r="C39" i="71"/>
  <c r="C40" i="71"/>
  <c r="F32" i="71"/>
  <c r="F28" i="71"/>
  <c r="B27" i="71"/>
  <c r="D16" i="14"/>
  <c r="C23" i="14"/>
  <c r="G30" i="71"/>
  <c r="B18" i="71"/>
  <c r="C20" i="71"/>
  <c r="B23" i="71"/>
  <c r="A24" i="71"/>
  <c r="B28" i="71"/>
  <c r="B30" i="71"/>
  <c r="C17" i="71"/>
  <c r="E20" i="71"/>
  <c r="C28" i="14"/>
  <c r="G24" i="14"/>
  <c r="A19" i="14"/>
  <c r="A18" i="14"/>
  <c r="G16" i="14"/>
  <c r="C38" i="71"/>
  <c r="F35" i="71"/>
  <c r="D35" i="71"/>
  <c r="G37" i="71"/>
  <c r="F33" i="71"/>
  <c r="D32" i="71"/>
  <c r="G15" i="71"/>
  <c r="E19" i="14"/>
  <c r="F21" i="14"/>
  <c r="B22" i="14"/>
  <c r="A10" i="34"/>
  <c r="F25" i="71"/>
  <c r="D14" i="58"/>
  <c r="F32" i="60"/>
  <c r="H32" i="60" s="1"/>
  <c r="F226" i="60"/>
  <c r="F221" i="60"/>
  <c r="F267" i="60"/>
  <c r="F250" i="60"/>
  <c r="F220" i="60"/>
  <c r="F265" i="60"/>
  <c r="F238" i="60"/>
  <c r="F6" i="60"/>
  <c r="H6" i="60" s="1"/>
  <c r="F8" i="60"/>
  <c r="F7" i="60"/>
  <c r="H7" i="60" s="1"/>
  <c r="F251" i="60"/>
  <c r="F242" i="60"/>
  <c r="F248" i="60"/>
  <c r="F222" i="60"/>
  <c r="F228" i="60"/>
  <c r="F263" i="60"/>
  <c r="J57" i="55"/>
  <c r="J67" i="55"/>
  <c r="J166" i="55"/>
  <c r="J119" i="55"/>
  <c r="J170" i="55"/>
  <c r="J329" i="55"/>
  <c r="J131" i="55"/>
  <c r="J48" i="55"/>
  <c r="P10" i="34"/>
  <c r="E30" i="58"/>
  <c r="H15" i="58"/>
  <c r="G23" i="58"/>
  <c r="F20" i="12"/>
  <c r="E26" i="71"/>
  <c r="Z10" i="34"/>
  <c r="D15" i="58"/>
  <c r="D30" i="58"/>
  <c r="B30" i="58"/>
  <c r="F30" i="58" s="1"/>
  <c r="B19" i="58"/>
  <c r="F19" i="58" s="1"/>
  <c r="E22" i="58"/>
  <c r="H16" i="58"/>
  <c r="J134" i="55"/>
  <c r="J64" i="55"/>
  <c r="J97" i="55"/>
  <c r="J106" i="55"/>
  <c r="J103" i="55"/>
  <c r="J421" i="55"/>
  <c r="J160" i="55"/>
  <c r="J168" i="55"/>
  <c r="J52" i="55"/>
  <c r="J104" i="55"/>
  <c r="J130" i="55"/>
  <c r="I16" i="78"/>
  <c r="F15" i="14"/>
  <c r="A19" i="71"/>
  <c r="E23" i="71"/>
  <c r="B33" i="71"/>
  <c r="C21" i="14"/>
  <c r="D16" i="71"/>
  <c r="C34" i="71"/>
  <c r="G35" i="71"/>
  <c r="D37" i="71"/>
  <c r="A39" i="71"/>
  <c r="G29" i="58"/>
  <c r="H18" i="58"/>
  <c r="E24" i="58"/>
  <c r="E29" i="58"/>
  <c r="C19" i="58"/>
  <c r="H25" i="58"/>
  <c r="B15" i="58"/>
  <c r="F15" i="58" s="1"/>
  <c r="E39" i="71"/>
  <c r="D20" i="14"/>
  <c r="G27" i="14"/>
  <c r="G14" i="71"/>
  <c r="E17" i="71"/>
  <c r="C26" i="14"/>
  <c r="B16" i="71"/>
  <c r="G22" i="14"/>
  <c r="E23" i="14"/>
  <c r="F22" i="14"/>
  <c r="C19" i="71"/>
  <c r="E22" i="71"/>
  <c r="G20" i="71"/>
  <c r="B25" i="71"/>
  <c r="F26" i="71"/>
  <c r="G17" i="71"/>
  <c r="D15" i="71"/>
  <c r="D19" i="14"/>
  <c r="F19" i="14"/>
  <c r="B18" i="14"/>
  <c r="B39" i="71"/>
  <c r="E31" i="71"/>
  <c r="C33" i="71"/>
  <c r="C32" i="71"/>
  <c r="A34" i="71"/>
  <c r="E35" i="71"/>
  <c r="E14" i="58"/>
  <c r="D23" i="58"/>
  <c r="B28" i="58"/>
  <c r="F28" i="58" s="1"/>
  <c r="B20" i="58"/>
  <c r="F20" i="58" s="1"/>
  <c r="D18" i="58"/>
  <c r="C15" i="58"/>
  <c r="G21" i="71"/>
  <c r="E24" i="71"/>
  <c r="C36" i="71"/>
  <c r="E27" i="71"/>
  <c r="B28" i="14"/>
  <c r="A28" i="71"/>
  <c r="E24" i="14"/>
  <c r="F13" i="57"/>
  <c r="J86" i="55"/>
  <c r="J68" i="55"/>
  <c r="J33" i="55"/>
  <c r="J135" i="55"/>
  <c r="J649" i="55"/>
  <c r="J138" i="55"/>
  <c r="J167" i="55"/>
  <c r="J25" i="55"/>
  <c r="J122" i="55"/>
  <c r="J583" i="55"/>
  <c r="J44" i="55"/>
  <c r="J96" i="55"/>
  <c r="J118" i="55"/>
  <c r="J120" i="55"/>
  <c r="J35" i="55"/>
  <c r="J171" i="55"/>
  <c r="J159" i="55"/>
  <c r="J227" i="55"/>
  <c r="J374" i="55"/>
  <c r="J91" i="55"/>
  <c r="J82" i="55"/>
  <c r="J29" i="55"/>
  <c r="J594" i="55"/>
  <c r="H26" i="57"/>
  <c r="F38" i="60"/>
  <c r="H38" i="60" s="1"/>
  <c r="F28" i="60"/>
  <c r="H28" i="60" s="1"/>
  <c r="F22" i="60"/>
  <c r="H22" i="60" s="1"/>
  <c r="F15" i="60"/>
  <c r="H15" i="60" s="1"/>
  <c r="F36" i="60"/>
  <c r="H36" i="60" s="1"/>
  <c r="F20" i="60"/>
  <c r="H20" i="60" s="1"/>
  <c r="F17" i="60"/>
  <c r="H17" i="60" s="1"/>
  <c r="J28" i="57"/>
  <c r="J139" i="55"/>
  <c r="J146" i="55"/>
  <c r="J53" i="55"/>
  <c r="J42" i="55"/>
  <c r="J74" i="55"/>
  <c r="J148" i="55"/>
  <c r="D20" i="58"/>
  <c r="G18" i="58"/>
  <c r="E26" i="58"/>
  <c r="D26" i="58"/>
  <c r="H22" i="58"/>
  <c r="C25" i="58"/>
  <c r="G14" i="58"/>
  <c r="H27" i="58"/>
  <c r="H21" i="58"/>
  <c r="H22" i="57"/>
  <c r="G30" i="58"/>
  <c r="B14" i="58"/>
  <c r="I36" i="58" s="1"/>
  <c r="C21" i="58"/>
  <c r="E17" i="58"/>
  <c r="H24" i="58"/>
  <c r="C26" i="58"/>
  <c r="C29" i="58"/>
  <c r="C18" i="58"/>
  <c r="D17" i="58"/>
  <c r="B17" i="58"/>
  <c r="F17" i="58" s="1"/>
  <c r="D25" i="58"/>
  <c r="E27" i="58"/>
  <c r="H30" i="58"/>
  <c r="H20" i="58"/>
  <c r="G27" i="58"/>
  <c r="G17" i="58"/>
  <c r="G16" i="58"/>
  <c r="H19" i="58"/>
  <c r="D21" i="58"/>
  <c r="G26" i="58"/>
  <c r="G19" i="58"/>
  <c r="G25" i="58"/>
  <c r="E20" i="58"/>
  <c r="B18" i="58"/>
  <c r="F18" i="58" s="1"/>
  <c r="E18" i="58"/>
  <c r="K19" i="34"/>
  <c r="F58" i="15" s="1" a="1"/>
  <c r="F58" i="15" s="1"/>
  <c r="F211" i="60"/>
  <c r="C269" i="60"/>
  <c r="C44" i="60"/>
  <c r="F13" i="60"/>
  <c r="H13" i="60" s="1"/>
  <c r="F234" i="60"/>
  <c r="F30" i="60"/>
  <c r="H30" i="60" s="1"/>
  <c r="F34" i="60"/>
  <c r="H34" i="60" s="1"/>
  <c r="F255" i="60"/>
  <c r="F52" i="60"/>
  <c r="H52" i="60" s="1"/>
  <c r="F245" i="60"/>
  <c r="F231" i="60"/>
  <c r="F259" i="60"/>
  <c r="F260" i="60"/>
  <c r="F256" i="60"/>
  <c r="F254" i="60"/>
  <c r="F243" i="60"/>
  <c r="F239" i="60"/>
  <c r="F230" i="60"/>
  <c r="F229" i="60"/>
  <c r="J143" i="55"/>
  <c r="J321" i="55"/>
  <c r="Q10" i="34"/>
  <c r="J485" i="55"/>
  <c r="J348" i="55"/>
  <c r="J299" i="55"/>
  <c r="E17" i="14"/>
  <c r="E19" i="71"/>
  <c r="G19" i="14"/>
  <c r="A16" i="14"/>
  <c r="F23" i="71"/>
  <c r="D14" i="14"/>
  <c r="J111" i="55"/>
  <c r="J535" i="55"/>
  <c r="D29" i="58"/>
  <c r="D72" i="47"/>
  <c r="A16" i="71"/>
  <c r="J43" i="55"/>
  <c r="F51" i="60"/>
  <c r="H8" i="60"/>
  <c r="C202" i="60"/>
  <c r="E167" i="60"/>
  <c r="E184" i="60"/>
  <c r="E181" i="60"/>
  <c r="E173" i="60"/>
  <c r="F159" i="60"/>
  <c r="H159" i="60" s="1"/>
  <c r="F262" i="60"/>
  <c r="F257" i="60"/>
  <c r="O269" i="60"/>
  <c r="E166" i="60"/>
  <c r="E186" i="60"/>
  <c r="E191" i="60"/>
  <c r="E179" i="60"/>
  <c r="E196" i="60"/>
  <c r="E168" i="60"/>
  <c r="E164" i="60"/>
  <c r="E193" i="60"/>
  <c r="F218" i="60"/>
  <c r="E169" i="60"/>
  <c r="E185" i="60"/>
  <c r="E157" i="60"/>
  <c r="E176" i="60"/>
  <c r="E192" i="60"/>
  <c r="E163" i="60"/>
  <c r="E195" i="60"/>
  <c r="E183" i="60"/>
  <c r="F183" i="60" s="1"/>
  <c r="E162" i="60"/>
  <c r="E178" i="60"/>
  <c r="F188" i="60"/>
  <c r="E198" i="60"/>
  <c r="E190" i="60"/>
  <c r="E182" i="60"/>
  <c r="E174" i="60"/>
  <c r="E194" i="60"/>
  <c r="E170" i="60"/>
  <c r="F170" i="60" s="1"/>
  <c r="H170" i="60" s="1"/>
  <c r="E199" i="60"/>
  <c r="E187" i="60"/>
  <c r="E171" i="60"/>
  <c r="F171" i="60" s="1"/>
  <c r="E200" i="60"/>
  <c r="E172" i="60"/>
  <c r="E160" i="60"/>
  <c r="F160" i="60" s="1"/>
  <c r="H160" i="60" s="1"/>
  <c r="E197" i="60"/>
  <c r="E189" i="60"/>
  <c r="F189" i="60" s="1"/>
  <c r="E161" i="60"/>
  <c r="J87" i="55"/>
  <c r="J60" i="55"/>
  <c r="J125" i="55"/>
  <c r="J35" i="57"/>
  <c r="D30" i="14"/>
  <c r="A31" i="14"/>
  <c r="E31" i="14"/>
  <c r="B32" i="14"/>
  <c r="F32" i="14"/>
  <c r="C33" i="14"/>
  <c r="G33" i="14"/>
  <c r="D34" i="14"/>
  <c r="A35" i="14"/>
  <c r="E35" i="14"/>
  <c r="B36" i="14"/>
  <c r="F36" i="14"/>
  <c r="C37" i="14"/>
  <c r="G37" i="14"/>
  <c r="D38" i="14"/>
  <c r="C30" i="14"/>
  <c r="G30" i="14"/>
  <c r="D31" i="14"/>
  <c r="A32" i="14"/>
  <c r="E32" i="14"/>
  <c r="B33" i="14"/>
  <c r="F33" i="14"/>
  <c r="C34" i="14"/>
  <c r="G34" i="14"/>
  <c r="D35" i="14"/>
  <c r="A36" i="14"/>
  <c r="E36" i="14"/>
  <c r="B37" i="14"/>
  <c r="F37" i="14"/>
  <c r="C38" i="14"/>
  <c r="G38" i="14"/>
  <c r="B30" i="14"/>
  <c r="F30" i="14"/>
  <c r="C31" i="14"/>
  <c r="G31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D37" i="14"/>
  <c r="A38" i="14"/>
  <c r="E38" i="14"/>
  <c r="F24" i="14"/>
  <c r="F29" i="71"/>
  <c r="E21" i="14"/>
  <c r="G18" i="14"/>
  <c r="C18" i="14"/>
  <c r="A29" i="14"/>
  <c r="C24" i="71"/>
  <c r="G19" i="71"/>
  <c r="F30" i="71"/>
  <c r="G28" i="71"/>
  <c r="B15" i="71"/>
  <c r="C25" i="71"/>
  <c r="A28" i="14"/>
  <c r="D25" i="71"/>
  <c r="B26" i="14"/>
  <c r="G23" i="71"/>
  <c r="C23" i="71"/>
  <c r="E15" i="71"/>
  <c r="D24" i="14"/>
  <c r="F14" i="71"/>
  <c r="G16" i="71"/>
  <c r="D30" i="71"/>
  <c r="A21" i="14"/>
  <c r="D18" i="14"/>
  <c r="E18" i="14"/>
  <c r="E40" i="71"/>
  <c r="G40" i="71"/>
  <c r="A37" i="71"/>
  <c r="G39" i="71"/>
  <c r="A38" i="71"/>
  <c r="B36" i="71"/>
  <c r="D39" i="71"/>
  <c r="H39" i="71" s="1"/>
  <c r="G33" i="71"/>
  <c r="A40" i="71"/>
  <c r="C35" i="71"/>
  <c r="B31" i="71"/>
  <c r="D38" i="71"/>
  <c r="A30" i="71"/>
  <c r="C22" i="71"/>
  <c r="F26" i="14"/>
  <c r="D25" i="14"/>
  <c r="G15" i="14"/>
  <c r="A33" i="71"/>
  <c r="F16" i="14"/>
  <c r="A25" i="14"/>
  <c r="C20" i="14"/>
  <c r="A24" i="14"/>
  <c r="E20" i="14"/>
  <c r="D28" i="14"/>
  <c r="C30" i="71"/>
  <c r="E25" i="14"/>
  <c r="F37" i="71"/>
  <c r="B20" i="71"/>
  <c r="E30" i="71"/>
  <c r="E27" i="14"/>
  <c r="G25" i="14"/>
  <c r="B14" i="14"/>
  <c r="E25" i="71"/>
  <c r="D19" i="71"/>
  <c r="A21" i="71"/>
  <c r="G27" i="71"/>
  <c r="F14" i="14"/>
  <c r="F16" i="71"/>
  <c r="E18" i="71"/>
  <c r="A17" i="71"/>
  <c r="D33" i="71"/>
  <c r="A23" i="14"/>
  <c r="J98" i="55"/>
  <c r="J36" i="55"/>
  <c r="J157" i="55"/>
  <c r="J644" i="55"/>
  <c r="J165" i="55"/>
  <c r="E23" i="58"/>
  <c r="E28" i="58"/>
  <c r="H29" i="58"/>
  <c r="B29" i="58"/>
  <c r="F29" i="58" s="1"/>
  <c r="B21" i="58"/>
  <c r="F21" i="58" s="1"/>
  <c r="E19" i="58"/>
  <c r="C24" i="58"/>
  <c r="B25" i="58"/>
  <c r="F25" i="58" s="1"/>
  <c r="G24" i="58"/>
  <c r="C17" i="58"/>
  <c r="C23" i="58"/>
  <c r="C16" i="58"/>
  <c r="E15" i="58"/>
  <c r="D28" i="58"/>
  <c r="B27" i="58"/>
  <c r="F27" i="58" s="1"/>
  <c r="D22" i="58"/>
  <c r="H23" i="58"/>
  <c r="E25" i="58"/>
  <c r="A22" i="14"/>
  <c r="G25" i="71"/>
  <c r="E16" i="71"/>
  <c r="J92" i="55"/>
  <c r="J32" i="55"/>
  <c r="J95" i="55"/>
  <c r="J123" i="55"/>
  <c r="J37" i="55"/>
  <c r="J46" i="55"/>
  <c r="E21" i="71"/>
  <c r="E28" i="71"/>
  <c r="J93" i="55"/>
  <c r="J445" i="55"/>
  <c r="J83" i="55"/>
  <c r="J75" i="55"/>
  <c r="J101" i="55"/>
  <c r="J100" i="55"/>
  <c r="J61" i="55"/>
  <c r="J126" i="55"/>
  <c r="J173" i="55"/>
  <c r="J152" i="55"/>
  <c r="D29" i="14"/>
  <c r="B24" i="14"/>
  <c r="F19" i="71"/>
  <c r="F23" i="14"/>
  <c r="B29" i="71"/>
  <c r="E15" i="14"/>
  <c r="F17" i="14"/>
  <c r="G14" i="14"/>
  <c r="F28" i="14"/>
  <c r="C25" i="14"/>
  <c r="A27" i="71"/>
  <c r="C22" i="14"/>
  <c r="F18" i="14"/>
  <c r="C26" i="71"/>
  <c r="B20" i="14"/>
  <c r="D27" i="71"/>
  <c r="G22" i="71"/>
  <c r="A18" i="71"/>
  <c r="D21" i="71"/>
  <c r="A35" i="71"/>
  <c r="D18" i="71"/>
  <c r="F21" i="71"/>
  <c r="B17" i="14"/>
  <c r="A26" i="14"/>
  <c r="J84" i="55"/>
  <c r="J112" i="55"/>
  <c r="J94" i="55"/>
  <c r="J90" i="55"/>
  <c r="J63" i="55"/>
  <c r="J177" i="55"/>
  <c r="J151" i="55"/>
  <c r="J99" i="55"/>
  <c r="J49" i="55"/>
  <c r="H40" i="71"/>
  <c r="J155" i="55"/>
  <c r="J79" i="55"/>
  <c r="J56" i="55"/>
  <c r="J153" i="55"/>
  <c r="J113" i="55"/>
  <c r="J59" i="55"/>
  <c r="J161" i="55"/>
  <c r="J117" i="55"/>
  <c r="J142" i="55"/>
  <c r="J78" i="55"/>
  <c r="J65" i="55"/>
  <c r="J102" i="55"/>
  <c r="H42" i="57"/>
  <c r="H38" i="57"/>
  <c r="J145" i="55"/>
  <c r="J77" i="55"/>
  <c r="J55" i="55"/>
  <c r="J311" i="55"/>
  <c r="J441" i="55"/>
  <c r="J211" i="55"/>
  <c r="H32" i="57"/>
  <c r="J147" i="55"/>
  <c r="J121" i="55"/>
  <c r="J51" i="55"/>
  <c r="J28" i="55"/>
  <c r="J38" i="55"/>
  <c r="J293" i="55"/>
  <c r="J230" i="55"/>
  <c r="C28" i="71"/>
  <c r="B17" i="71"/>
  <c r="G26" i="71"/>
  <c r="D26" i="71"/>
  <c r="G21" i="14"/>
  <c r="B25" i="14"/>
  <c r="B27" i="14"/>
  <c r="A29" i="71"/>
  <c r="F22" i="71"/>
  <c r="E28" i="14"/>
  <c r="D22" i="71"/>
  <c r="D23" i="14"/>
  <c r="D28" i="71"/>
  <c r="B16" i="14"/>
  <c r="B19" i="14"/>
  <c r="F29" i="14"/>
  <c r="D14" i="71"/>
  <c r="E29" i="71"/>
  <c r="A15" i="71"/>
  <c r="G20" i="14"/>
  <c r="G29" i="71"/>
  <c r="C29" i="14"/>
  <c r="E22" i="14"/>
  <c r="D27" i="14"/>
  <c r="D20" i="71"/>
  <c r="A23" i="71"/>
  <c r="B22" i="71"/>
  <c r="B21" i="71"/>
  <c r="D21" i="14"/>
  <c r="G26" i="14"/>
  <c r="A22" i="71"/>
  <c r="D15" i="14"/>
  <c r="C17" i="14"/>
  <c r="E16" i="14"/>
  <c r="F18" i="71"/>
  <c r="A17" i="14"/>
  <c r="G28" i="14"/>
  <c r="D23" i="71"/>
  <c r="C21" i="71"/>
  <c r="J590" i="55"/>
  <c r="J589" i="55"/>
  <c r="J615" i="55"/>
  <c r="J322" i="55"/>
  <c r="J323" i="55"/>
  <c r="D22" i="14"/>
  <c r="F15" i="71"/>
  <c r="B14" i="71"/>
  <c r="G17" i="14"/>
  <c r="C16" i="14"/>
  <c r="D26" i="14"/>
  <c r="B23" i="14"/>
  <c r="J391" i="55"/>
  <c r="J140" i="55"/>
  <c r="J109" i="55"/>
  <c r="J516" i="55"/>
  <c r="J479" i="55"/>
  <c r="J525" i="55"/>
  <c r="J573" i="55"/>
  <c r="J342" i="55"/>
  <c r="J528" i="55"/>
  <c r="J364" i="55"/>
  <c r="J457" i="55"/>
  <c r="J559" i="55"/>
  <c r="J607" i="55"/>
  <c r="J295" i="55"/>
  <c r="J636" i="55"/>
  <c r="J383" i="55"/>
  <c r="J163" i="55"/>
  <c r="J16" i="55"/>
  <c r="J215" i="55"/>
  <c r="J626" i="55"/>
  <c r="J645" i="55"/>
  <c r="J296" i="55"/>
  <c r="J198" i="55"/>
  <c r="J620" i="55"/>
  <c r="J562" i="55"/>
  <c r="J568" i="55"/>
  <c r="J553" i="55"/>
  <c r="J544" i="55"/>
  <c r="J162" i="55"/>
  <c r="J88" i="55"/>
  <c r="J158" i="55"/>
  <c r="J149" i="55"/>
  <c r="J30" i="55"/>
  <c r="J334" i="55"/>
  <c r="J324" i="55"/>
  <c r="J12" i="55"/>
  <c r="J40" i="55"/>
  <c r="J444" i="55"/>
  <c r="J656" i="55"/>
  <c r="J257" i="55"/>
  <c r="J326" i="55"/>
  <c r="J515" i="55"/>
  <c r="J261" i="55"/>
  <c r="J350" i="55"/>
  <c r="J461" i="55"/>
  <c r="J343" i="55"/>
  <c r="J419" i="55"/>
  <c r="J386" i="55"/>
  <c r="J184" i="55"/>
  <c r="J107" i="55"/>
  <c r="J209" i="55"/>
  <c r="J405" i="55"/>
  <c r="J137" i="55"/>
  <c r="J637" i="55"/>
  <c r="J14" i="55"/>
  <c r="J633" i="55"/>
  <c r="J255" i="55"/>
  <c r="J128" i="55"/>
  <c r="J124" i="55"/>
  <c r="J54" i="55"/>
  <c r="J187" i="55"/>
  <c r="J110" i="55"/>
  <c r="J371" i="55"/>
  <c r="J597" i="55"/>
  <c r="J264" i="55"/>
  <c r="J366" i="55"/>
  <c r="J396" i="55"/>
  <c r="J347" i="55"/>
  <c r="J346" i="55"/>
  <c r="J301" i="55"/>
  <c r="J663" i="55"/>
  <c r="J352" i="55"/>
  <c r="J499" i="55"/>
  <c r="J498" i="55"/>
  <c r="J384" i="55"/>
  <c r="J218" i="55"/>
  <c r="J422" i="55"/>
  <c r="J270" i="55"/>
  <c r="J456" i="55"/>
  <c r="J602" i="55"/>
  <c r="J539" i="55"/>
  <c r="J382" i="55"/>
  <c r="J186" i="55"/>
  <c r="J569" i="55"/>
  <c r="J378" i="55"/>
  <c r="J287" i="55"/>
  <c r="J349" i="55"/>
  <c r="J669" i="55"/>
  <c r="J531" i="55"/>
  <c r="J427" i="55"/>
  <c r="J260" i="55"/>
  <c r="J272" i="55"/>
  <c r="J411" i="55"/>
  <c r="I10" i="73"/>
  <c r="H10" i="73"/>
  <c r="F687" i="55"/>
  <c r="J17" i="55"/>
  <c r="J631" i="55"/>
  <c r="J379" i="55"/>
  <c r="J47" i="55"/>
  <c r="J616" i="55"/>
  <c r="J164" i="55"/>
  <c r="J579" i="55"/>
  <c r="J570" i="55"/>
  <c r="J220" i="55"/>
  <c r="J76" i="55"/>
  <c r="J543" i="55"/>
  <c r="J271" i="55"/>
  <c r="J522" i="55"/>
  <c r="J372" i="55"/>
  <c r="J587" i="55"/>
  <c r="J475" i="55"/>
  <c r="J651" i="55"/>
  <c r="J185" i="55"/>
  <c r="J223" i="55"/>
  <c r="J354" i="55"/>
  <c r="J253" i="55"/>
  <c r="J492" i="55"/>
  <c r="J624" i="55"/>
  <c r="J630" i="55"/>
  <c r="J320" i="55"/>
  <c r="J480" i="55"/>
  <c r="J335" i="55"/>
  <c r="J489" i="55"/>
  <c r="J442" i="55"/>
  <c r="J338" i="55"/>
  <c r="J414" i="55"/>
  <c r="J452" i="55"/>
  <c r="J519" i="55"/>
  <c r="J418" i="55"/>
  <c r="J468" i="55"/>
  <c r="J451" i="55"/>
  <c r="J316" i="55"/>
  <c r="J319" i="55"/>
  <c r="J181" i="55"/>
  <c r="J70" i="55"/>
  <c r="J393" i="55"/>
  <c r="J373" i="55"/>
  <c r="J545" i="55"/>
  <c r="J547" i="55"/>
  <c r="J115" i="55"/>
  <c r="J180" i="55"/>
  <c r="J415" i="55"/>
  <c r="J472" i="55"/>
  <c r="J199" i="55"/>
  <c r="J447" i="55"/>
  <c r="J228" i="55"/>
  <c r="J367" i="55"/>
  <c r="J524" i="55"/>
  <c r="J648" i="55"/>
  <c r="J402" i="55"/>
  <c r="J360" i="55"/>
  <c r="J221" i="55"/>
  <c r="J426" i="55"/>
  <c r="J561" i="55"/>
  <c r="J523" i="55"/>
  <c r="J325" i="55"/>
  <c r="J330" i="55"/>
  <c r="J606" i="55"/>
  <c r="J513" i="55"/>
  <c r="J584" i="55"/>
  <c r="J438" i="55"/>
  <c r="J66" i="55"/>
  <c r="J245" i="55"/>
  <c r="J204" i="55"/>
  <c r="J248" i="55"/>
  <c r="J534" i="55"/>
  <c r="J662" i="55"/>
  <c r="J429" i="55"/>
  <c r="J655" i="55"/>
  <c r="J423" i="55"/>
  <c r="J527" i="55"/>
  <c r="J558" i="55"/>
  <c r="J495" i="55"/>
  <c r="J481" i="55"/>
  <c r="J632" i="55"/>
  <c r="J226" i="55"/>
  <c r="J596" i="55"/>
  <c r="J26" i="57"/>
  <c r="G26" i="78"/>
  <c r="J108" i="55"/>
  <c r="H687" i="55"/>
  <c r="J588" i="55"/>
  <c r="J611" i="55"/>
  <c r="J628" i="55"/>
  <c r="J239" i="55"/>
  <c r="J394" i="55"/>
  <c r="J526" i="55"/>
  <c r="J337" i="55"/>
  <c r="J336" i="55"/>
  <c r="J625" i="55"/>
  <c r="J318" i="55"/>
  <c r="A15" i="57"/>
  <c r="A16" i="57" s="1"/>
  <c r="A17" i="57" s="1"/>
  <c r="A18" i="57" s="1"/>
  <c r="A19" i="57" s="1"/>
  <c r="A20" i="57" s="1"/>
  <c r="A21" i="57" s="1"/>
  <c r="J23" i="57" l="1"/>
  <c r="J24" i="57"/>
  <c r="J22" i="57"/>
  <c r="J20" i="57"/>
  <c r="H14" i="57"/>
  <c r="H16" i="57"/>
  <c r="I60" i="57"/>
  <c r="H27" i="57"/>
  <c r="F26" i="60"/>
  <c r="H26" i="60" s="1"/>
  <c r="H39" i="57"/>
  <c r="J36" i="57"/>
  <c r="H36" i="57"/>
  <c r="B62" i="57"/>
  <c r="J3" i="57"/>
  <c r="J39" i="57"/>
  <c r="J41" i="57"/>
  <c r="J29" i="57"/>
  <c r="H20" i="57"/>
  <c r="H31" i="57"/>
  <c r="H11" i="43"/>
  <c r="U10" i="34"/>
  <c r="J15" i="57"/>
  <c r="J19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J40" i="57"/>
  <c r="H21" i="57"/>
  <c r="J25" i="57"/>
  <c r="J37" i="57"/>
  <c r="J17" i="57"/>
  <c r="H23" i="57"/>
  <c r="J34" i="57"/>
  <c r="J14" i="57"/>
  <c r="G2" i="71"/>
  <c r="F14" i="58"/>
  <c r="A22" i="57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E47" i="71"/>
  <c r="H25" i="57"/>
  <c r="H33" i="57"/>
  <c r="B116" i="43"/>
  <c r="F16" i="60"/>
  <c r="H16" i="60" s="1"/>
  <c r="F133" i="60"/>
  <c r="H133" i="60" s="1"/>
  <c r="F77" i="60"/>
  <c r="H77" i="60" s="1"/>
  <c r="F61" i="60"/>
  <c r="H61" i="60" s="1"/>
  <c r="H40" i="57"/>
  <c r="J42" i="57"/>
  <c r="D131" i="43"/>
  <c r="B129" i="43"/>
  <c r="G126" i="43"/>
  <c r="E124" i="43"/>
  <c r="C122" i="43"/>
  <c r="A120" i="43"/>
  <c r="F117" i="43"/>
  <c r="D115" i="43"/>
  <c r="B113" i="43"/>
  <c r="F110" i="43"/>
  <c r="C131" i="43"/>
  <c r="A129" i="43"/>
  <c r="F126" i="43"/>
  <c r="D124" i="43"/>
  <c r="B122" i="43"/>
  <c r="G119" i="43"/>
  <c r="E117" i="43"/>
  <c r="C115" i="43"/>
  <c r="A113" i="43"/>
  <c r="E110" i="43"/>
  <c r="B131" i="43"/>
  <c r="G128" i="43"/>
  <c r="E126" i="43"/>
  <c r="C124" i="43"/>
  <c r="A122" i="43"/>
  <c r="F119" i="43"/>
  <c r="D117" i="43"/>
  <c r="B115" i="43"/>
  <c r="G112" i="43"/>
  <c r="D110" i="43"/>
  <c r="A131" i="43"/>
  <c r="F128" i="43"/>
  <c r="D126" i="43"/>
  <c r="B124" i="43"/>
  <c r="C121" i="43"/>
  <c r="D118" i="43"/>
  <c r="G130" i="43"/>
  <c r="E128" i="43"/>
  <c r="C126" i="43"/>
  <c r="A124" i="43"/>
  <c r="F121" i="43"/>
  <c r="D119" i="43"/>
  <c r="B117" i="43"/>
  <c r="G114" i="43"/>
  <c r="E112" i="43"/>
  <c r="A110" i="43"/>
  <c r="F130" i="43"/>
  <c r="D128" i="43"/>
  <c r="B126" i="43"/>
  <c r="G123" i="43"/>
  <c r="E121" i="43"/>
  <c r="C119" i="43"/>
  <c r="A117" i="43"/>
  <c r="F114" i="43"/>
  <c r="D112" i="43"/>
  <c r="G109" i="43"/>
  <c r="E130" i="43"/>
  <c r="C128" i="43"/>
  <c r="A126" i="43"/>
  <c r="F123" i="43"/>
  <c r="D121" i="43"/>
  <c r="B119" i="43"/>
  <c r="G116" i="43"/>
  <c r="E114" i="43"/>
  <c r="C112" i="43"/>
  <c r="E109" i="43"/>
  <c r="D130" i="43"/>
  <c r="B128" i="43"/>
  <c r="G125" i="43"/>
  <c r="E123" i="43"/>
  <c r="F120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C45" i="43"/>
  <c r="E47" i="43"/>
  <c r="G49" i="43"/>
  <c r="B52" i="43"/>
  <c r="D54" i="43"/>
  <c r="F56" i="43"/>
  <c r="A59" i="43"/>
  <c r="C61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G44" i="43"/>
  <c r="B47" i="43"/>
  <c r="D49" i="43"/>
  <c r="F51" i="43"/>
  <c r="A54" i="43"/>
  <c r="C56" i="43"/>
  <c r="E58" i="43"/>
  <c r="G60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D44" i="43"/>
  <c r="F46" i="43"/>
  <c r="A49" i="43"/>
  <c r="C51" i="43"/>
  <c r="E53" i="43"/>
  <c r="G55" i="43"/>
  <c r="B58" i="43"/>
  <c r="D60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C46" i="43"/>
  <c r="E48" i="43"/>
  <c r="G50" i="43"/>
  <c r="B53" i="43"/>
  <c r="D55" i="43"/>
  <c r="F57" i="43"/>
  <c r="A60" i="43"/>
  <c r="C62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G45" i="43"/>
  <c r="B48" i="43"/>
  <c r="D50" i="43"/>
  <c r="F52" i="43"/>
  <c r="A55" i="43"/>
  <c r="C57" i="43"/>
  <c r="E59" i="43"/>
  <c r="G61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D45" i="43"/>
  <c r="F47" i="43"/>
  <c r="A50" i="43"/>
  <c r="C52" i="43"/>
  <c r="E54" i="43"/>
  <c r="G56" i="43"/>
  <c r="B59" i="43"/>
  <c r="D61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A45" i="43"/>
  <c r="C47" i="43"/>
  <c r="E49" i="43"/>
  <c r="G51" i="43"/>
  <c r="B54" i="43"/>
  <c r="D56" i="43"/>
  <c r="F58" i="43"/>
  <c r="A61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G46" i="43"/>
  <c r="B49" i="43"/>
  <c r="D51" i="43"/>
  <c r="F53" i="43"/>
  <c r="A56" i="43"/>
  <c r="C58" i="43"/>
  <c r="E60" i="43"/>
  <c r="D62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D46" i="43"/>
  <c r="F48" i="43"/>
  <c r="A51" i="43"/>
  <c r="C53" i="43"/>
  <c r="E55" i="43"/>
  <c r="G57" i="43"/>
  <c r="B60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A46" i="43"/>
  <c r="C48" i="43"/>
  <c r="E50" i="43"/>
  <c r="G52" i="43"/>
  <c r="B55" i="43"/>
  <c r="D57" i="43"/>
  <c r="F59" i="43"/>
  <c r="A62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E45" i="43"/>
  <c r="G47" i="43"/>
  <c r="B50" i="43"/>
  <c r="D52" i="43"/>
  <c r="F54" i="43"/>
  <c r="A57" i="43"/>
  <c r="C59" i="43"/>
  <c r="E61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B45" i="43"/>
  <c r="D47" i="43"/>
  <c r="F49" i="43"/>
  <c r="A52" i="43"/>
  <c r="C54" i="43"/>
  <c r="E56" i="43"/>
  <c r="G58" i="43"/>
  <c r="B61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47" i="43"/>
  <c r="C49" i="43"/>
  <c r="E51" i="43"/>
  <c r="G53" i="43"/>
  <c r="B56" i="43"/>
  <c r="D58" i="43"/>
  <c r="F60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E46" i="43"/>
  <c r="G48" i="43"/>
  <c r="B51" i="43"/>
  <c r="D53" i="43"/>
  <c r="F55" i="43"/>
  <c r="A58" i="43"/>
  <c r="C60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B46" i="43"/>
  <c r="D48" i="43"/>
  <c r="F50" i="43"/>
  <c r="A53" i="43"/>
  <c r="C55" i="43"/>
  <c r="E57" i="43"/>
  <c r="G59" i="43"/>
  <c r="B62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F45" i="43"/>
  <c r="A48" i="43"/>
  <c r="C50" i="43"/>
  <c r="E52" i="43"/>
  <c r="G54" i="43"/>
  <c r="B57" i="43"/>
  <c r="D59" i="43"/>
  <c r="E63" i="43"/>
  <c r="G65" i="43"/>
  <c r="B68" i="43"/>
  <c r="D70" i="43"/>
  <c r="F72" i="43"/>
  <c r="A75" i="43"/>
  <c r="C77" i="43"/>
  <c r="E79" i="43"/>
  <c r="G81" i="43"/>
  <c r="B84" i="43"/>
  <c r="D86" i="43"/>
  <c r="F88" i="43"/>
  <c r="A91" i="43"/>
  <c r="C93" i="43"/>
  <c r="E95" i="43"/>
  <c r="G97" i="43"/>
  <c r="B100" i="43"/>
  <c r="D102" i="43"/>
  <c r="F104" i="43"/>
  <c r="A107" i="43"/>
  <c r="C109" i="43"/>
  <c r="C64" i="43"/>
  <c r="E66" i="43"/>
  <c r="G68" i="43"/>
  <c r="B71" i="43"/>
  <c r="D73" i="43"/>
  <c r="F75" i="43"/>
  <c r="A78" i="43"/>
  <c r="C80" i="43"/>
  <c r="E82" i="43"/>
  <c r="G84" i="43"/>
  <c r="B87" i="43"/>
  <c r="D89" i="43"/>
  <c r="F91" i="43"/>
  <c r="A94" i="43"/>
  <c r="C96" i="43"/>
  <c r="E98" i="43"/>
  <c r="G100" i="43"/>
  <c r="B103" i="43"/>
  <c r="D105" i="43"/>
  <c r="F107" i="43"/>
  <c r="D64" i="43"/>
  <c r="F66" i="43"/>
  <c r="A69" i="43"/>
  <c r="C71" i="43"/>
  <c r="E73" i="43"/>
  <c r="G75" i="43"/>
  <c r="B78" i="43"/>
  <c r="D80" i="43"/>
  <c r="F82" i="43"/>
  <c r="A85" i="43"/>
  <c r="C87" i="43"/>
  <c r="E89" i="43"/>
  <c r="G91" i="43"/>
  <c r="B94" i="43"/>
  <c r="D96" i="43"/>
  <c r="F98" i="43"/>
  <c r="A101" i="43"/>
  <c r="C103" i="43"/>
  <c r="E105" i="43"/>
  <c r="G107" i="43"/>
  <c r="E64" i="43"/>
  <c r="G66" i="43"/>
  <c r="B69" i="43"/>
  <c r="D71" i="43"/>
  <c r="F73" i="43"/>
  <c r="A76" i="43"/>
  <c r="C78" i="43"/>
  <c r="E80" i="43"/>
  <c r="G82" i="43"/>
  <c r="B85" i="43"/>
  <c r="D87" i="43"/>
  <c r="F89" i="43"/>
  <c r="A92" i="43"/>
  <c r="C94" i="43"/>
  <c r="E96" i="43"/>
  <c r="G98" i="43"/>
  <c r="B101" i="43"/>
  <c r="D103" i="43"/>
  <c r="F105" i="43"/>
  <c r="A108" i="43"/>
  <c r="C110" i="43"/>
  <c r="B110" i="43"/>
  <c r="F112" i="43"/>
  <c r="A115" i="43"/>
  <c r="C117" i="43"/>
  <c r="E119" i="43"/>
  <c r="G121" i="43"/>
  <c r="B64" i="43"/>
  <c r="D66" i="43"/>
  <c r="F68" i="43"/>
  <c r="A71" i="43"/>
  <c r="C73" i="43"/>
  <c r="E75" i="43"/>
  <c r="G77" i="43"/>
  <c r="B80" i="43"/>
  <c r="D82" i="43"/>
  <c r="F84" i="43"/>
  <c r="A87" i="43"/>
  <c r="C89" i="43"/>
  <c r="E91" i="43"/>
  <c r="G93" i="43"/>
  <c r="B96" i="43"/>
  <c r="D98" i="43"/>
  <c r="F100" i="43"/>
  <c r="A103" i="43"/>
  <c r="C105" i="43"/>
  <c r="E107" i="43"/>
  <c r="E62" i="43"/>
  <c r="G64" i="43"/>
  <c r="B67" i="43"/>
  <c r="D69" i="43"/>
  <c r="F71" i="43"/>
  <c r="A74" i="43"/>
  <c r="C76" i="43"/>
  <c r="E78" i="43"/>
  <c r="G80" i="43"/>
  <c r="B83" i="43"/>
  <c r="D85" i="43"/>
  <c r="F87" i="43"/>
  <c r="A90" i="43"/>
  <c r="C92" i="43"/>
  <c r="E94" i="43"/>
  <c r="G96" i="43"/>
  <c r="B99" i="43"/>
  <c r="D101" i="43"/>
  <c r="F103" i="43"/>
  <c r="A106" i="43"/>
  <c r="F62" i="43"/>
  <c r="A65" i="43"/>
  <c r="C67" i="43"/>
  <c r="E69" i="43"/>
  <c r="G71" i="43"/>
  <c r="B74" i="43"/>
  <c r="D76" i="43"/>
  <c r="F78" i="43"/>
  <c r="A81" i="43"/>
  <c r="C83" i="43"/>
  <c r="E85" i="43"/>
  <c r="G87" i="43"/>
  <c r="B90" i="43"/>
  <c r="D92" i="43"/>
  <c r="F94" i="43"/>
  <c r="A97" i="43"/>
  <c r="C99" i="43"/>
  <c r="E101" i="43"/>
  <c r="G103" i="43"/>
  <c r="B106" i="43"/>
  <c r="G62" i="43"/>
  <c r="B65" i="43"/>
  <c r="D67" i="43"/>
  <c r="F69" i="43"/>
  <c r="A72" i="43"/>
  <c r="C74" i="43"/>
  <c r="E76" i="43"/>
  <c r="G78" i="43"/>
  <c r="B81" i="43"/>
  <c r="D83" i="43"/>
  <c r="F85" i="43"/>
  <c r="A88" i="43"/>
  <c r="C90" i="43"/>
  <c r="E92" i="43"/>
  <c r="G94" i="43"/>
  <c r="B97" i="43"/>
  <c r="D99" i="43"/>
  <c r="F101" i="43"/>
  <c r="A104" i="43"/>
  <c r="C106" i="43"/>
  <c r="E108" i="43"/>
  <c r="G110" i="43"/>
  <c r="A111" i="43"/>
  <c r="C113" i="43"/>
  <c r="E115" i="43"/>
  <c r="G117" i="43"/>
  <c r="F61" i="43"/>
  <c r="F64" i="43"/>
  <c r="A67" i="43"/>
  <c r="C69" i="43"/>
  <c r="E71" i="43"/>
  <c r="G73" i="43"/>
  <c r="B76" i="43"/>
  <c r="D78" i="43"/>
  <c r="F80" i="43"/>
  <c r="A83" i="43"/>
  <c r="C85" i="43"/>
  <c r="E87" i="43"/>
  <c r="G89" i="43"/>
  <c r="B92" i="43"/>
  <c r="D94" i="43"/>
  <c r="F96" i="43"/>
  <c r="A99" i="43"/>
  <c r="C101" i="43"/>
  <c r="E103" i="43"/>
  <c r="G105" i="43"/>
  <c r="B108" i="43"/>
  <c r="B63" i="43"/>
  <c r="D65" i="43"/>
  <c r="F67" i="43"/>
  <c r="A70" i="43"/>
  <c r="C72" i="43"/>
  <c r="E74" i="43"/>
  <c r="G76" i="43"/>
  <c r="B79" i="43"/>
  <c r="D81" i="43"/>
  <c r="F83" i="43"/>
  <c r="A86" i="43"/>
  <c r="C88" i="43"/>
  <c r="E90" i="43"/>
  <c r="G92" i="43"/>
  <c r="B95" i="43"/>
  <c r="D97" i="43"/>
  <c r="F99" i="43"/>
  <c r="A102" i="43"/>
  <c r="C104" i="43"/>
  <c r="E106" i="43"/>
  <c r="C63" i="43"/>
  <c r="E65" i="43"/>
  <c r="G67" i="43"/>
  <c r="B70" i="43"/>
  <c r="D72" i="43"/>
  <c r="F74" i="43"/>
  <c r="A77" i="43"/>
  <c r="C79" i="43"/>
  <c r="E81" i="43"/>
  <c r="G83" i="43"/>
  <c r="B86" i="43"/>
  <c r="D88" i="43"/>
  <c r="F90" i="43"/>
  <c r="A93" i="43"/>
  <c r="C95" i="43"/>
  <c r="E97" i="43"/>
  <c r="G99" i="43"/>
  <c r="B102" i="43"/>
  <c r="D104" i="43"/>
  <c r="F106" i="43"/>
  <c r="D63" i="43"/>
  <c r="F65" i="43"/>
  <c r="A68" i="43"/>
  <c r="C70" i="43"/>
  <c r="E72" i="43"/>
  <c r="G74" i="43"/>
  <c r="B77" i="43"/>
  <c r="D79" i="43"/>
  <c r="F81" i="43"/>
  <c r="A84" i="43"/>
  <c r="C86" i="43"/>
  <c r="E88" i="43"/>
  <c r="G90" i="43"/>
  <c r="B93" i="43"/>
  <c r="D95" i="43"/>
  <c r="F97" i="43"/>
  <c r="A100" i="43"/>
  <c r="C102" i="43"/>
  <c r="E104" i="43"/>
  <c r="G106" i="43"/>
  <c r="B109" i="43"/>
  <c r="C108" i="43"/>
  <c r="E111" i="43"/>
  <c r="G113" i="43"/>
  <c r="A63" i="43"/>
  <c r="C65" i="43"/>
  <c r="E67" i="43"/>
  <c r="G69" i="43"/>
  <c r="B72" i="43"/>
  <c r="D74" i="43"/>
  <c r="F76" i="43"/>
  <c r="A79" i="43"/>
  <c r="C81" i="43"/>
  <c r="E83" i="43"/>
  <c r="G85" i="43"/>
  <c r="B88" i="43"/>
  <c r="D90" i="43"/>
  <c r="F92" i="43"/>
  <c r="A95" i="43"/>
  <c r="C97" i="43"/>
  <c r="E99" i="43"/>
  <c r="G101" i="43"/>
  <c r="B104" i="43"/>
  <c r="D106" i="43"/>
  <c r="F108" i="43"/>
  <c r="F63" i="43"/>
  <c r="A66" i="43"/>
  <c r="C68" i="43"/>
  <c r="E70" i="43"/>
  <c r="G72" i="43"/>
  <c r="B75" i="43"/>
  <c r="D77" i="43"/>
  <c r="F79" i="43"/>
  <c r="A82" i="43"/>
  <c r="C84" i="43"/>
  <c r="E86" i="43"/>
  <c r="G88" i="43"/>
  <c r="B91" i="43"/>
  <c r="D93" i="43"/>
  <c r="F95" i="43"/>
  <c r="A98" i="43"/>
  <c r="C100" i="43"/>
  <c r="E102" i="43"/>
  <c r="G104" i="43"/>
  <c r="B107" i="43"/>
  <c r="G63" i="43"/>
  <c r="B66" i="43"/>
  <c r="D68" i="43"/>
  <c r="F70" i="43"/>
  <c r="A73" i="43"/>
  <c r="C75" i="43"/>
  <c r="E77" i="43"/>
  <c r="G79" i="43"/>
  <c r="B82" i="43"/>
  <c r="D84" i="43"/>
  <c r="F86" i="43"/>
  <c r="A89" i="43"/>
  <c r="C91" i="43"/>
  <c r="E93" i="43"/>
  <c r="G95" i="43"/>
  <c r="B98" i="43"/>
  <c r="D100" i="43"/>
  <c r="F102" i="43"/>
  <c r="A105" i="43"/>
  <c r="C107" i="43"/>
  <c r="A64" i="43"/>
  <c r="C66" i="43"/>
  <c r="E68" i="43"/>
  <c r="G70" i="43"/>
  <c r="B73" i="43"/>
  <c r="D75" i="43"/>
  <c r="F77" i="43"/>
  <c r="A80" i="43"/>
  <c r="C82" i="43"/>
  <c r="E84" i="43"/>
  <c r="G86" i="43"/>
  <c r="B89" i="43"/>
  <c r="D91" i="43"/>
  <c r="F93" i="43"/>
  <c r="A96" i="43"/>
  <c r="C98" i="43"/>
  <c r="E100" i="43"/>
  <c r="G102" i="43"/>
  <c r="B105" i="43"/>
  <c r="D107" i="43"/>
  <c r="F109" i="43"/>
  <c r="D109" i="43"/>
  <c r="B112" i="43"/>
  <c r="D114" i="43"/>
  <c r="F116" i="43"/>
  <c r="C130" i="43"/>
  <c r="A128" i="43"/>
  <c r="F125" i="43"/>
  <c r="D123" i="43"/>
  <c r="B121" i="43"/>
  <c r="G118" i="43"/>
  <c r="E116" i="43"/>
  <c r="C114" i="43"/>
  <c r="A112" i="43"/>
  <c r="A109" i="43"/>
  <c r="B130" i="43"/>
  <c r="G127" i="43"/>
  <c r="E125" i="43"/>
  <c r="C123" i="43"/>
  <c r="A121" i="43"/>
  <c r="F118" i="43"/>
  <c r="D116" i="43"/>
  <c r="B114" i="43"/>
  <c r="G111" i="43"/>
  <c r="G108" i="43"/>
  <c r="A130" i="43"/>
  <c r="F127" i="43"/>
  <c r="D125" i="43"/>
  <c r="B123" i="43"/>
  <c r="G120" i="43"/>
  <c r="E118" i="43"/>
  <c r="C116" i="43"/>
  <c r="A114" i="43"/>
  <c r="F111" i="43"/>
  <c r="D108" i="43"/>
  <c r="G129" i="43"/>
  <c r="E127" i="43"/>
  <c r="C125" i="43"/>
  <c r="A123" i="43"/>
  <c r="B120" i="43"/>
  <c r="F129" i="43"/>
  <c r="D127" i="43"/>
  <c r="B125" i="43"/>
  <c r="G122" i="43"/>
  <c r="E120" i="43"/>
  <c r="C118" i="43"/>
  <c r="A116" i="43"/>
  <c r="F113" i="43"/>
  <c r="D111" i="43"/>
  <c r="G131" i="43"/>
  <c r="E129" i="43"/>
  <c r="C127" i="43"/>
  <c r="A125" i="43"/>
  <c r="F122" i="43"/>
  <c r="D120" i="43"/>
  <c r="B118" i="43"/>
  <c r="G115" i="43"/>
  <c r="E113" i="43"/>
  <c r="C111" i="43"/>
  <c r="F131" i="43"/>
  <c r="D129" i="43"/>
  <c r="B127" i="43"/>
  <c r="G124" i="43"/>
  <c r="E122" i="43"/>
  <c r="C120" i="43"/>
  <c r="A118" i="43"/>
  <c r="F115" i="43"/>
  <c r="D113" i="43"/>
  <c r="B111" i="43"/>
  <c r="E131" i="43"/>
  <c r="C129" i="43"/>
  <c r="A127" i="43"/>
  <c r="F124" i="43"/>
  <c r="D122" i="43"/>
  <c r="A119" i="43"/>
  <c r="J30" i="57"/>
  <c r="J16" i="57"/>
  <c r="J32" i="57"/>
  <c r="G60" i="57"/>
  <c r="K60" i="57" s="1"/>
  <c r="H37" i="57"/>
  <c r="J21" i="57"/>
  <c r="H15" i="57"/>
  <c r="J27" i="57"/>
  <c r="H17" i="57"/>
  <c r="H29" i="57"/>
  <c r="H19" i="57"/>
  <c r="F123" i="60"/>
  <c r="H123" i="60" s="1"/>
  <c r="F121" i="60"/>
  <c r="H121" i="60" s="1"/>
  <c r="F264" i="60"/>
  <c r="F127" i="60"/>
  <c r="H127" i="60" s="1"/>
  <c r="F70" i="60"/>
  <c r="H70" i="60" s="1"/>
  <c r="F146" i="60"/>
  <c r="H146" i="60" s="1"/>
  <c r="F118" i="60"/>
  <c r="H118" i="60" s="1"/>
  <c r="F119" i="60"/>
  <c r="H119" i="60" s="1"/>
  <c r="F120" i="60"/>
  <c r="H120" i="60" s="1"/>
  <c r="F122" i="60"/>
  <c r="H122" i="60" s="1"/>
  <c r="F111" i="60"/>
  <c r="H111" i="60" s="1"/>
  <c r="F124" i="60"/>
  <c r="H124" i="60" s="1"/>
  <c r="F126" i="60"/>
  <c r="H126" i="60" s="1"/>
  <c r="F110" i="60"/>
  <c r="H110" i="60" s="1"/>
  <c r="F112" i="60"/>
  <c r="H112" i="60" s="1"/>
  <c r="F113" i="60"/>
  <c r="H113" i="60" s="1"/>
  <c r="F39" i="60"/>
  <c r="H39" i="60" s="1"/>
  <c r="F106" i="60"/>
  <c r="H106" i="60" s="1"/>
  <c r="F114" i="60"/>
  <c r="H114" i="60" s="1"/>
  <c r="F104" i="60"/>
  <c r="H104" i="60" s="1"/>
  <c r="F69" i="60"/>
  <c r="H69" i="60" s="1"/>
  <c r="F53" i="60"/>
  <c r="H53" i="60" s="1"/>
  <c r="F107" i="60"/>
  <c r="H107" i="60" s="1"/>
  <c r="F105" i="60"/>
  <c r="H105" i="60" s="1"/>
  <c r="F62" i="60"/>
  <c r="H62" i="60" s="1"/>
  <c r="F115" i="60"/>
  <c r="H115" i="60" s="1"/>
  <c r="F81" i="60"/>
  <c r="H81" i="60" s="1"/>
  <c r="F74" i="60"/>
  <c r="H74" i="60" s="1"/>
  <c r="F65" i="60"/>
  <c r="H65" i="60" s="1"/>
  <c r="F116" i="60"/>
  <c r="H116" i="60" s="1"/>
  <c r="F80" i="60"/>
  <c r="H80" i="60" s="1"/>
  <c r="F71" i="60"/>
  <c r="H71" i="60" s="1"/>
  <c r="F64" i="60"/>
  <c r="H64" i="60" s="1"/>
  <c r="F55" i="60"/>
  <c r="H55" i="60" s="1"/>
  <c r="F223" i="60"/>
  <c r="F83" i="60"/>
  <c r="H83" i="60" s="1"/>
  <c r="F31" i="60"/>
  <c r="H31" i="60" s="1"/>
  <c r="F29" i="60"/>
  <c r="H29" i="60" s="1"/>
  <c r="F37" i="60"/>
  <c r="H37" i="60" s="1"/>
  <c r="F19" i="60"/>
  <c r="H19" i="60" s="1"/>
  <c r="F82" i="60"/>
  <c r="F78" i="60"/>
  <c r="H78" i="60" s="1"/>
  <c r="F108" i="60"/>
  <c r="H108" i="60" s="1"/>
  <c r="F58" i="60"/>
  <c r="H58" i="60" s="1"/>
  <c r="F54" i="60"/>
  <c r="H54" i="60" s="1"/>
  <c r="F140" i="60"/>
  <c r="H140" i="60" s="1"/>
  <c r="F88" i="60"/>
  <c r="H88" i="60" s="1"/>
  <c r="F125" i="60"/>
  <c r="H125" i="60" s="1"/>
  <c r="F138" i="60"/>
  <c r="H138" i="60" s="1"/>
  <c r="F131" i="60"/>
  <c r="H131" i="60" s="1"/>
  <c r="F102" i="60"/>
  <c r="H102" i="60" s="1"/>
  <c r="F95" i="60"/>
  <c r="H95" i="60" s="1"/>
  <c r="F86" i="60"/>
  <c r="H86" i="60" s="1"/>
  <c r="F76" i="60"/>
  <c r="H76" i="60" s="1"/>
  <c r="F67" i="60"/>
  <c r="H67" i="60" s="1"/>
  <c r="F60" i="60"/>
  <c r="H60" i="60" s="1"/>
  <c r="F128" i="60"/>
  <c r="H128" i="60" s="1"/>
  <c r="F92" i="60"/>
  <c r="H92" i="60" s="1"/>
  <c r="F73" i="60"/>
  <c r="H73" i="60" s="1"/>
  <c r="F57" i="60"/>
  <c r="H57" i="60" s="1"/>
  <c r="H51" i="60"/>
  <c r="F136" i="60"/>
  <c r="H136" i="60" s="1"/>
  <c r="F100" i="60"/>
  <c r="H100" i="60" s="1"/>
  <c r="F147" i="60"/>
  <c r="H147" i="60" s="1"/>
  <c r="F134" i="60"/>
  <c r="H134" i="60" s="1"/>
  <c r="F117" i="60"/>
  <c r="H117" i="60" s="1"/>
  <c r="F98" i="60"/>
  <c r="H98" i="60" s="1"/>
  <c r="F91" i="60"/>
  <c r="H91" i="60" s="1"/>
  <c r="F79" i="60"/>
  <c r="H79" i="60" s="1"/>
  <c r="F72" i="60"/>
  <c r="H72" i="60" s="1"/>
  <c r="F63" i="60"/>
  <c r="H63" i="60" s="1"/>
  <c r="F56" i="60"/>
  <c r="H56" i="60" s="1"/>
  <c r="F84" i="60"/>
  <c r="H84" i="60" s="1"/>
  <c r="F132" i="60"/>
  <c r="H132" i="60" s="1"/>
  <c r="F96" i="60"/>
  <c r="H96" i="60" s="1"/>
  <c r="F135" i="60"/>
  <c r="H135" i="60" s="1"/>
  <c r="F99" i="60"/>
  <c r="H99" i="60" s="1"/>
  <c r="F90" i="60"/>
  <c r="H90" i="60" s="1"/>
  <c r="F139" i="60"/>
  <c r="H139" i="60" s="1"/>
  <c r="F130" i="60"/>
  <c r="H130" i="60" s="1"/>
  <c r="F103" i="60"/>
  <c r="H103" i="60" s="1"/>
  <c r="F94" i="60"/>
  <c r="H94" i="60" s="1"/>
  <c r="F87" i="60"/>
  <c r="H87" i="60" s="1"/>
  <c r="F75" i="60"/>
  <c r="H75" i="60" s="1"/>
  <c r="F68" i="60"/>
  <c r="H68" i="60" s="1"/>
  <c r="F59" i="60"/>
  <c r="H59" i="60" s="1"/>
  <c r="J18" i="57"/>
  <c r="E72" i="47"/>
  <c r="B71" i="47"/>
  <c r="A24" i="47"/>
  <c r="C26" i="47"/>
  <c r="E28" i="47"/>
  <c r="G30" i="47"/>
  <c r="B33" i="47"/>
  <c r="D35" i="47"/>
  <c r="F37" i="47"/>
  <c r="A40" i="47"/>
  <c r="C42" i="47"/>
  <c r="E44" i="47"/>
  <c r="G46" i="47"/>
  <c r="B49" i="47"/>
  <c r="D51" i="47"/>
  <c r="F53" i="47"/>
  <c r="A56" i="47"/>
  <c r="C58" i="47"/>
  <c r="E60" i="47"/>
  <c r="G62" i="47"/>
  <c r="B65" i="47"/>
  <c r="D67" i="47"/>
  <c r="F69" i="47"/>
  <c r="A72" i="47"/>
  <c r="G25" i="47"/>
  <c r="B28" i="47"/>
  <c r="D30" i="47"/>
  <c r="F32" i="47"/>
  <c r="A35" i="47"/>
  <c r="C37" i="47"/>
  <c r="E39" i="47"/>
  <c r="G41" i="47"/>
  <c r="B44" i="47"/>
  <c r="D46" i="47"/>
  <c r="F48" i="47"/>
  <c r="A51" i="47"/>
  <c r="C53" i="47"/>
  <c r="E55" i="47"/>
  <c r="G57" i="47"/>
  <c r="B60" i="47"/>
  <c r="D62" i="47"/>
  <c r="F64" i="47"/>
  <c r="A67" i="47"/>
  <c r="C69" i="47"/>
  <c r="E71" i="47"/>
  <c r="D25" i="47"/>
  <c r="F27" i="47"/>
  <c r="A30" i="47"/>
  <c r="C32" i="47"/>
  <c r="E34" i="47"/>
  <c r="G36" i="47"/>
  <c r="B39" i="47"/>
  <c r="D41" i="47"/>
  <c r="F43" i="47"/>
  <c r="A46" i="47"/>
  <c r="C48" i="47"/>
  <c r="E50" i="47"/>
  <c r="G52" i="47"/>
  <c r="B55" i="47"/>
  <c r="D57" i="47"/>
  <c r="F59" i="47"/>
  <c r="A62" i="47"/>
  <c r="C64" i="47"/>
  <c r="E66" i="47"/>
  <c r="G68" i="47"/>
  <c r="B26" i="47"/>
  <c r="D28" i="47"/>
  <c r="F30" i="47"/>
  <c r="A33" i="47"/>
  <c r="C35" i="47"/>
  <c r="E37" i="47"/>
  <c r="G39" i="47"/>
  <c r="B42" i="47"/>
  <c r="D44" i="47"/>
  <c r="F46" i="47"/>
  <c r="A49" i="47"/>
  <c r="C51" i="47"/>
  <c r="E53" i="47"/>
  <c r="G55" i="47"/>
  <c r="B58" i="47"/>
  <c r="D60" i="47"/>
  <c r="F62" i="47"/>
  <c r="A65" i="47"/>
  <c r="C67" i="47"/>
  <c r="E69" i="47"/>
  <c r="G71" i="47"/>
  <c r="A70" i="47"/>
  <c r="E24" i="47"/>
  <c r="G26" i="47"/>
  <c r="B29" i="47"/>
  <c r="D31" i="47"/>
  <c r="F33" i="47"/>
  <c r="A36" i="47"/>
  <c r="C38" i="47"/>
  <c r="E40" i="47"/>
  <c r="G42" i="47"/>
  <c r="B45" i="47"/>
  <c r="D47" i="47"/>
  <c r="F49" i="47"/>
  <c r="A52" i="47"/>
  <c r="C54" i="47"/>
  <c r="E56" i="47"/>
  <c r="G58" i="47"/>
  <c r="B61" i="47"/>
  <c r="D63" i="47"/>
  <c r="F65" i="47"/>
  <c r="A68" i="47"/>
  <c r="C70" i="47"/>
  <c r="B24" i="47"/>
  <c r="D26" i="47"/>
  <c r="F28" i="47"/>
  <c r="A31" i="47"/>
  <c r="C33" i="47"/>
  <c r="E35" i="47"/>
  <c r="G37" i="47"/>
  <c r="B40" i="47"/>
  <c r="D42" i="47"/>
  <c r="F44" i="47"/>
  <c r="A47" i="47"/>
  <c r="C49" i="47"/>
  <c r="E51" i="47"/>
  <c r="G53" i="47"/>
  <c r="B56" i="47"/>
  <c r="D58" i="47"/>
  <c r="F60" i="47"/>
  <c r="A63" i="47"/>
  <c r="C65" i="47"/>
  <c r="E67" i="47"/>
  <c r="G69" i="47"/>
  <c r="B72" i="47"/>
  <c r="A26" i="47"/>
  <c r="C28" i="47"/>
  <c r="E30" i="47"/>
  <c r="G32" i="47"/>
  <c r="B35" i="47"/>
  <c r="D37" i="47"/>
  <c r="F39" i="47"/>
  <c r="A42" i="47"/>
  <c r="C44" i="47"/>
  <c r="E46" i="47"/>
  <c r="G48" i="47"/>
  <c r="B51" i="47"/>
  <c r="D53" i="47"/>
  <c r="F55" i="47"/>
  <c r="A58" i="47"/>
  <c r="C60" i="47"/>
  <c r="E62" i="47"/>
  <c r="G64" i="47"/>
  <c r="B67" i="47"/>
  <c r="D24" i="47"/>
  <c r="F26" i="47"/>
  <c r="A29" i="47"/>
  <c r="C31" i="47"/>
  <c r="E33" i="47"/>
  <c r="G35" i="47"/>
  <c r="B38" i="47"/>
  <c r="D40" i="47"/>
  <c r="F42" i="47"/>
  <c r="A45" i="47"/>
  <c r="C47" i="47"/>
  <c r="E49" i="47"/>
  <c r="G51" i="47"/>
  <c r="B54" i="47"/>
  <c r="D56" i="47"/>
  <c r="F58" i="47"/>
  <c r="A61" i="47"/>
  <c r="C63" i="47"/>
  <c r="E65" i="47"/>
  <c r="G67" i="47"/>
  <c r="B70" i="47"/>
  <c r="D69" i="47"/>
  <c r="C72" i="47"/>
  <c r="B25" i="47"/>
  <c r="D27" i="47"/>
  <c r="F29" i="47"/>
  <c r="A32" i="47"/>
  <c r="C34" i="47"/>
  <c r="E36" i="47"/>
  <c r="G38" i="47"/>
  <c r="B41" i="47"/>
  <c r="D43" i="47"/>
  <c r="F45" i="47"/>
  <c r="A48" i="47"/>
  <c r="C50" i="47"/>
  <c r="E52" i="47"/>
  <c r="G54" i="47"/>
  <c r="B57" i="47"/>
  <c r="D59" i="47"/>
  <c r="F61" i="47"/>
  <c r="A64" i="47"/>
  <c r="C66" i="47"/>
  <c r="E68" i="47"/>
  <c r="G70" i="47"/>
  <c r="F24" i="47"/>
  <c r="A27" i="47"/>
  <c r="C29" i="47"/>
  <c r="E31" i="47"/>
  <c r="G33" i="47"/>
  <c r="B36" i="47"/>
  <c r="D38" i="47"/>
  <c r="F40" i="47"/>
  <c r="A43" i="47"/>
  <c r="C45" i="47"/>
  <c r="E47" i="47"/>
  <c r="G49" i="47"/>
  <c r="B52" i="47"/>
  <c r="D54" i="47"/>
  <c r="F56" i="47"/>
  <c r="A59" i="47"/>
  <c r="C61" i="47"/>
  <c r="E63" i="47"/>
  <c r="G65" i="47"/>
  <c r="B68" i="47"/>
  <c r="D70" i="47"/>
  <c r="C24" i="47"/>
  <c r="E26" i="47"/>
  <c r="G28" i="47"/>
  <c r="B31" i="47"/>
  <c r="D33" i="47"/>
  <c r="F35" i="47"/>
  <c r="A38" i="47"/>
  <c r="C40" i="47"/>
  <c r="E42" i="47"/>
  <c r="G44" i="47"/>
  <c r="B47" i="47"/>
  <c r="D49" i="47"/>
  <c r="F51" i="47"/>
  <c r="A54" i="47"/>
  <c r="C56" i="47"/>
  <c r="E58" i="47"/>
  <c r="G60" i="47"/>
  <c r="B63" i="47"/>
  <c r="D65" i="47"/>
  <c r="F67" i="47"/>
  <c r="A25" i="47"/>
  <c r="C27" i="47"/>
  <c r="E29" i="47"/>
  <c r="G31" i="47"/>
  <c r="B34" i="47"/>
  <c r="D36" i="47"/>
  <c r="F38" i="47"/>
  <c r="A41" i="47"/>
  <c r="C43" i="47"/>
  <c r="E45" i="47"/>
  <c r="G47" i="47"/>
  <c r="B50" i="47"/>
  <c r="D52" i="47"/>
  <c r="F54" i="47"/>
  <c r="A57" i="47"/>
  <c r="C59" i="47"/>
  <c r="E61" i="47"/>
  <c r="G63" i="47"/>
  <c r="B66" i="47"/>
  <c r="D68" i="47"/>
  <c r="F70" i="47"/>
  <c r="F71" i="47"/>
  <c r="F25" i="47"/>
  <c r="A28" i="47"/>
  <c r="C30" i="47"/>
  <c r="E32" i="47"/>
  <c r="G34" i="47"/>
  <c r="B37" i="47"/>
  <c r="D39" i="47"/>
  <c r="F41" i="47"/>
  <c r="A44" i="47"/>
  <c r="C46" i="47"/>
  <c r="E48" i="47"/>
  <c r="G50" i="47"/>
  <c r="B53" i="47"/>
  <c r="D55" i="47"/>
  <c r="F57" i="47"/>
  <c r="A60" i="47"/>
  <c r="C62" i="47"/>
  <c r="E64" i="47"/>
  <c r="G66" i="47"/>
  <c r="B69" i="47"/>
  <c r="D71" i="47"/>
  <c r="C25" i="47"/>
  <c r="E27" i="47"/>
  <c r="G29" i="47"/>
  <c r="B32" i="47"/>
  <c r="D34" i="47"/>
  <c r="F36" i="47"/>
  <c r="A39" i="47"/>
  <c r="C41" i="47"/>
  <c r="E43" i="47"/>
  <c r="G45" i="47"/>
  <c r="B48" i="47"/>
  <c r="D50" i="47"/>
  <c r="F52" i="47"/>
  <c r="A55" i="47"/>
  <c r="C57" i="47"/>
  <c r="E59" i="47"/>
  <c r="G61" i="47"/>
  <c r="B64" i="47"/>
  <c r="D66" i="47"/>
  <c r="F68" i="47"/>
  <c r="A71" i="47"/>
  <c r="G24" i="47"/>
  <c r="B27" i="47"/>
  <c r="D29" i="47"/>
  <c r="F31" i="47"/>
  <c r="A34" i="47"/>
  <c r="C36" i="47"/>
  <c r="E38" i="47"/>
  <c r="G40" i="47"/>
  <c r="B43" i="47"/>
  <c r="D45" i="47"/>
  <c r="F47" i="47"/>
  <c r="A50" i="47"/>
  <c r="C52" i="47"/>
  <c r="E54" i="47"/>
  <c r="G56" i="47"/>
  <c r="B59" i="47"/>
  <c r="D61" i="47"/>
  <c r="F63" i="47"/>
  <c r="A66" i="47"/>
  <c r="C68" i="47"/>
  <c r="E25" i="47"/>
  <c r="G27" i="47"/>
  <c r="B30" i="47"/>
  <c r="D32" i="47"/>
  <c r="F34" i="47"/>
  <c r="A37" i="47"/>
  <c r="C39" i="47"/>
  <c r="E41" i="47"/>
  <c r="G43" i="47"/>
  <c r="B46" i="47"/>
  <c r="D48" i="47"/>
  <c r="F50" i="47"/>
  <c r="A53" i="47"/>
  <c r="C55" i="47"/>
  <c r="E57" i="47"/>
  <c r="G59" i="47"/>
  <c r="B62" i="47"/>
  <c r="D64" i="47"/>
  <c r="F66" i="47"/>
  <c r="A69" i="47"/>
  <c r="C71" i="47"/>
  <c r="F72" i="47"/>
  <c r="E70" i="47"/>
  <c r="G72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H24" i="57"/>
  <c r="J44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H30" i="57"/>
  <c r="H27" i="7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F45" i="15" a="1"/>
  <c r="F45" i="15" s="1"/>
  <c r="A35" i="58"/>
  <c r="K4775" i="34"/>
  <c r="E45" i="15" a="1"/>
  <c r="E45" i="15" s="1"/>
  <c r="E5" i="58"/>
  <c r="F2" i="58"/>
  <c r="H17" i="78"/>
  <c r="I17" i="78"/>
  <c r="A100" i="14"/>
  <c r="E101" i="14"/>
  <c r="G32" i="58"/>
  <c r="F10" i="60"/>
  <c r="H10" i="60" s="1"/>
  <c r="F35" i="60"/>
  <c r="H35" i="60" s="1"/>
  <c r="F215" i="60"/>
  <c r="F266" i="60"/>
  <c r="F214" i="60"/>
  <c r="F27" i="60"/>
  <c r="H27" i="60" s="1"/>
  <c r="J49" i="57"/>
  <c r="F14" i="60"/>
  <c r="H14" i="60" s="1"/>
  <c r="K55" i="57"/>
  <c r="L55" i="57"/>
  <c r="L53" i="57"/>
  <c r="K53" i="57"/>
  <c r="L51" i="57"/>
  <c r="K51" i="57"/>
  <c r="H43" i="57"/>
  <c r="J58" i="57"/>
  <c r="H58" i="57"/>
  <c r="H55" i="57"/>
  <c r="J55" i="57"/>
  <c r="H53" i="57"/>
  <c r="J53" i="57"/>
  <c r="J43" i="57"/>
  <c r="H46" i="57"/>
  <c r="J46" i="57"/>
  <c r="J56" i="57"/>
  <c r="H56" i="57"/>
  <c r="L57" i="57"/>
  <c r="K57" i="57"/>
  <c r="J51" i="57"/>
  <c r="H51" i="57"/>
  <c r="H49" i="57"/>
  <c r="H47" i="57"/>
  <c r="H45" i="57"/>
  <c r="J45" i="57"/>
  <c r="K58" i="57"/>
  <c r="L58" i="57"/>
  <c r="K54" i="57"/>
  <c r="L54" i="57"/>
  <c r="H48" i="57"/>
  <c r="J48" i="57"/>
  <c r="L52" i="57"/>
  <c r="K52" i="57"/>
  <c r="L47" i="57"/>
  <c r="K47" i="57"/>
  <c r="J54" i="57"/>
  <c r="H54" i="57"/>
  <c r="H44" i="57"/>
  <c r="H59" i="57"/>
  <c r="J59" i="57"/>
  <c r="H50" i="57"/>
  <c r="J50" i="57"/>
  <c r="H57" i="57"/>
  <c r="J57" i="57"/>
  <c r="L49" i="57"/>
  <c r="K49" i="57"/>
  <c r="K59" i="57"/>
  <c r="L59" i="57"/>
  <c r="K50" i="57"/>
  <c r="L50" i="57"/>
  <c r="K48" i="57"/>
  <c r="L48" i="57"/>
  <c r="K46" i="57"/>
  <c r="L46" i="57"/>
  <c r="L56" i="57"/>
  <c r="K56" i="57"/>
  <c r="H52" i="57"/>
  <c r="J52" i="57"/>
  <c r="A43" i="57"/>
  <c r="A44" i="57" s="1"/>
  <c r="A45" i="57" s="1"/>
  <c r="I41" i="71"/>
  <c r="H41" i="71"/>
  <c r="F213" i="60"/>
  <c r="F237" i="60"/>
  <c r="F208" i="60"/>
  <c r="F210" i="60"/>
  <c r="F176" i="60"/>
  <c r="F196" i="60"/>
  <c r="F209" i="60"/>
  <c r="K39" i="57"/>
  <c r="K40" i="57" s="1"/>
  <c r="K41" i="57" s="1"/>
  <c r="K42" i="57" s="1"/>
  <c r="H14" i="71"/>
  <c r="D61" i="15"/>
  <c r="I14" i="14"/>
  <c r="F194" i="60"/>
  <c r="F162" i="60"/>
  <c r="H162" i="60" s="1"/>
  <c r="F164" i="60"/>
  <c r="H164" i="60" s="1"/>
  <c r="F172" i="60"/>
  <c r="F169" i="60"/>
  <c r="H169" i="60" s="1"/>
  <c r="I14" i="71"/>
  <c r="F200" i="60"/>
  <c r="F174" i="60"/>
  <c r="F165" i="60"/>
  <c r="H165" i="60" s="1"/>
  <c r="F198" i="60"/>
  <c r="F163" i="60"/>
  <c r="H163" i="60" s="1"/>
  <c r="F177" i="60"/>
  <c r="F180" i="60"/>
  <c r="F197" i="60"/>
  <c r="F199" i="60"/>
  <c r="F195" i="60"/>
  <c r="F157" i="60"/>
  <c r="H157" i="60" s="1"/>
  <c r="F158" i="60"/>
  <c r="H158" i="60" s="1"/>
  <c r="H32" i="58"/>
  <c r="F96" i="14"/>
  <c r="I39" i="71"/>
  <c r="F190" i="60"/>
  <c r="F192" i="60"/>
  <c r="F193" i="60"/>
  <c r="F186" i="60"/>
  <c r="F173" i="60"/>
  <c r="F161" i="60"/>
  <c r="H161" i="60" s="1"/>
  <c r="F178" i="60"/>
  <c r="F179" i="60"/>
  <c r="F191" i="60"/>
  <c r="F166" i="60"/>
  <c r="H166" i="60" s="1"/>
  <c r="F181" i="60"/>
  <c r="F167" i="60"/>
  <c r="H167" i="60" s="1"/>
  <c r="F175" i="60"/>
  <c r="F185" i="60"/>
  <c r="F187" i="60"/>
  <c r="F182" i="60"/>
  <c r="F168" i="60"/>
  <c r="H168" i="60" s="1"/>
  <c r="F184" i="60"/>
  <c r="H38" i="71"/>
  <c r="I38" i="71"/>
  <c r="H14" i="14"/>
  <c r="G42" i="71"/>
  <c r="F42" i="71"/>
  <c r="G96" i="14"/>
  <c r="G23" i="47"/>
  <c r="D21" i="47"/>
  <c r="F18" i="47"/>
  <c r="G19" i="47"/>
  <c r="B22" i="47"/>
  <c r="E22" i="47"/>
  <c r="C15" i="47"/>
  <c r="F15" i="47"/>
  <c r="B23" i="47"/>
  <c r="A17" i="47"/>
  <c r="A22" i="47"/>
  <c r="A18" i="47"/>
  <c r="D19" i="47"/>
  <c r="F20" i="47"/>
  <c r="E16" i="47"/>
  <c r="G15" i="47"/>
  <c r="A21" i="47"/>
  <c r="A23" i="47"/>
  <c r="G17" i="47"/>
  <c r="B19" i="47"/>
  <c r="E23" i="47"/>
  <c r="A20" i="47"/>
  <c r="G22" i="47"/>
  <c r="E19" i="47"/>
  <c r="B18" i="47"/>
  <c r="C16" i="47"/>
  <c r="G18" i="47"/>
  <c r="D18" i="47"/>
  <c r="F23" i="47"/>
  <c r="B16" i="47"/>
  <c r="C17" i="47"/>
  <c r="F17" i="47"/>
  <c r="C21" i="47"/>
  <c r="D15" i="47"/>
  <c r="C18" i="47"/>
  <c r="E21" i="47"/>
  <c r="B20" i="47"/>
  <c r="E20" i="47"/>
  <c r="F16" i="47"/>
  <c r="D20" i="47"/>
  <c r="D16" i="47"/>
  <c r="E17" i="47"/>
  <c r="C19" i="47"/>
  <c r="D23" i="47"/>
  <c r="G16" i="47"/>
  <c r="C22" i="47"/>
  <c r="E18" i="47"/>
  <c r="G20" i="47"/>
  <c r="C20" i="47"/>
  <c r="F22" i="47"/>
  <c r="A16" i="47"/>
  <c r="B17" i="47"/>
  <c r="F21" i="47"/>
  <c r="G21" i="47"/>
  <c r="F19" i="47"/>
  <c r="B15" i="47"/>
  <c r="B21" i="47"/>
  <c r="E15" i="47"/>
  <c r="D22" i="47"/>
  <c r="C23" i="47"/>
  <c r="D17" i="47"/>
  <c r="A19" i="47"/>
  <c r="A15" i="47"/>
  <c r="I27" i="78"/>
  <c r="D14" i="73"/>
  <c r="E14" i="73" s="1"/>
  <c r="I25" i="73"/>
  <c r="B14" i="73"/>
  <c r="C28" i="73"/>
  <c r="H15" i="73"/>
  <c r="F11" i="73"/>
  <c r="F26" i="73"/>
  <c r="I18" i="73"/>
  <c r="F28" i="73"/>
  <c r="A17" i="73"/>
  <c r="F23" i="73"/>
  <c r="F14" i="73"/>
  <c r="A14" i="73"/>
  <c r="H34" i="73" s="1"/>
  <c r="A27" i="73"/>
  <c r="D15" i="73"/>
  <c r="E15" i="73" s="1"/>
  <c r="C24" i="73"/>
  <c r="B25" i="73"/>
  <c r="H20" i="73"/>
  <c r="I29" i="73"/>
  <c r="B29" i="73"/>
  <c r="A30" i="73"/>
  <c r="D21" i="73"/>
  <c r="E21" i="73" s="1"/>
  <c r="C20" i="73"/>
  <c r="D20" i="73"/>
  <c r="E20" i="73" s="1"/>
  <c r="D12" i="73"/>
  <c r="E12" i="73" s="1"/>
  <c r="F18" i="73"/>
  <c r="D25" i="73"/>
  <c r="E25" i="73" s="1"/>
  <c r="G13" i="73"/>
  <c r="D27" i="73"/>
  <c r="E27" i="73" s="1"/>
  <c r="G28" i="73"/>
  <c r="B17" i="73"/>
  <c r="C30" i="73"/>
  <c r="A26" i="73"/>
  <c r="G17" i="73"/>
  <c r="G12" i="73"/>
  <c r="G27" i="73"/>
  <c r="C25" i="73"/>
  <c r="D18" i="73"/>
  <c r="E18" i="73" s="1"/>
  <c r="B20" i="73"/>
  <c r="A21" i="73"/>
  <c r="I28" i="73"/>
  <c r="G26" i="73"/>
  <c r="I15" i="73"/>
  <c r="F13" i="73"/>
  <c r="A18" i="73"/>
  <c r="D29" i="73"/>
  <c r="E29" i="73" s="1"/>
  <c r="G16" i="73"/>
  <c r="B23" i="73"/>
  <c r="D28" i="73"/>
  <c r="E28" i="73" s="1"/>
  <c r="D24" i="73"/>
  <c r="E24" i="73" s="1"/>
  <c r="I24" i="73"/>
  <c r="I17" i="73"/>
  <c r="G19" i="73"/>
  <c r="H23" i="73"/>
  <c r="B22" i="73"/>
  <c r="B11" i="73"/>
  <c r="D26" i="73"/>
  <c r="E26" i="73" s="1"/>
  <c r="F25" i="73"/>
  <c r="C13" i="73"/>
  <c r="I16" i="73"/>
  <c r="F19" i="73"/>
  <c r="D16" i="73"/>
  <c r="E16" i="73" s="1"/>
  <c r="A20" i="73"/>
  <c r="I11" i="73"/>
  <c r="A29" i="73"/>
  <c r="F24" i="73"/>
  <c r="I21" i="73"/>
  <c r="H21" i="73"/>
  <c r="C17" i="73"/>
  <c r="A13" i="73"/>
  <c r="F16" i="73"/>
  <c r="B28" i="73"/>
  <c r="B21" i="73"/>
  <c r="C19" i="73"/>
  <c r="B12" i="73"/>
  <c r="G24" i="73"/>
  <c r="B13" i="73"/>
  <c r="C14" i="73"/>
  <c r="B18" i="73"/>
  <c r="F29" i="73"/>
  <c r="I22" i="73"/>
  <c r="A11" i="73"/>
  <c r="H27" i="73"/>
  <c r="F27" i="73"/>
  <c r="F30" i="73"/>
  <c r="C22" i="73"/>
  <c r="C12" i="73"/>
  <c r="G15" i="73"/>
  <c r="G25" i="73"/>
  <c r="I23" i="73"/>
  <c r="H22" i="73"/>
  <c r="H17" i="73"/>
  <c r="D13" i="73"/>
  <c r="E13" i="73" s="1"/>
  <c r="A16" i="73"/>
  <c r="I12" i="73"/>
  <c r="D23" i="73"/>
  <c r="E23" i="73" s="1"/>
  <c r="H13" i="73"/>
  <c r="H30" i="73"/>
  <c r="B19" i="73"/>
  <c r="G22" i="73"/>
  <c r="H28" i="73"/>
  <c r="I26" i="73"/>
  <c r="I14" i="73"/>
  <c r="D11" i="73"/>
  <c r="E11" i="73" s="1"/>
  <c r="B15" i="73"/>
  <c r="B26" i="73"/>
  <c r="C11" i="73"/>
  <c r="H25" i="73"/>
  <c r="C29" i="73"/>
  <c r="A15" i="73"/>
  <c r="D22" i="73"/>
  <c r="E22" i="73" s="1"/>
  <c r="I13" i="73"/>
  <c r="F12" i="73"/>
  <c r="A22" i="73"/>
  <c r="C26" i="73"/>
  <c r="G18" i="73"/>
  <c r="D19" i="73"/>
  <c r="E19" i="73" s="1"/>
  <c r="A19" i="73"/>
  <c r="F17" i="73"/>
  <c r="F21" i="73"/>
  <c r="D30" i="73"/>
  <c r="E30" i="73" s="1"/>
  <c r="C15" i="73"/>
  <c r="H16" i="73"/>
  <c r="G14" i="73"/>
  <c r="B24" i="73"/>
  <c r="B27" i="73"/>
  <c r="H26" i="73"/>
  <c r="G11" i="73"/>
  <c r="B16" i="73"/>
  <c r="A12" i="73"/>
  <c r="G20" i="73"/>
  <c r="F15" i="73"/>
  <c r="I27" i="73"/>
  <c r="H24" i="73"/>
  <c r="D17" i="73"/>
  <c r="E17" i="73" s="1"/>
  <c r="H12" i="73"/>
  <c r="G21" i="73"/>
  <c r="C27" i="73"/>
  <c r="H14" i="73"/>
  <c r="C23" i="73"/>
  <c r="F22" i="73"/>
  <c r="A28" i="73"/>
  <c r="B30" i="73"/>
  <c r="C18" i="73"/>
  <c r="H19" i="73"/>
  <c r="H18" i="73"/>
  <c r="G29" i="73"/>
  <c r="A23" i="73"/>
  <c r="A24" i="73"/>
  <c r="F20" i="73"/>
  <c r="C16" i="73"/>
  <c r="I19" i="73"/>
  <c r="G23" i="73"/>
  <c r="A25" i="73"/>
  <c r="I20" i="73"/>
  <c r="G30" i="73"/>
  <c r="H29" i="73"/>
  <c r="C21" i="73"/>
  <c r="H11" i="73"/>
  <c r="I30" i="73"/>
  <c r="A12" i="43"/>
  <c r="C13" i="43"/>
  <c r="G12" i="43"/>
  <c r="B12" i="43"/>
  <c r="C12" i="43"/>
  <c r="F13" i="43"/>
  <c r="F12" i="43"/>
  <c r="D12" i="43"/>
  <c r="A13" i="43"/>
  <c r="D13" i="43"/>
  <c r="E12" i="43"/>
  <c r="E13" i="43"/>
  <c r="B13" i="43"/>
  <c r="G13" i="43"/>
  <c r="D13" i="39"/>
  <c r="H5" i="39"/>
  <c r="M16" i="39" s="1"/>
  <c r="C12" i="39"/>
  <c r="C10" i="39"/>
  <c r="C15" i="39"/>
  <c r="D29" i="42"/>
  <c r="A33" i="42"/>
  <c r="A41" i="42"/>
  <c r="A49" i="42"/>
  <c r="B36" i="42"/>
  <c r="B44" i="42"/>
  <c r="C31" i="42"/>
  <c r="C39" i="42"/>
  <c r="C47" i="42"/>
  <c r="D34" i="42"/>
  <c r="D42" i="42"/>
  <c r="D50" i="42"/>
  <c r="G28" i="42"/>
  <c r="D28" i="42"/>
  <c r="G21" i="42"/>
  <c r="H25" i="42"/>
  <c r="D26" i="42"/>
  <c r="B28" i="42"/>
  <c r="G20" i="42"/>
  <c r="F29" i="42"/>
  <c r="E35" i="42"/>
  <c r="E43" i="42"/>
  <c r="E51" i="42"/>
  <c r="I51" i="42" s="1"/>
  <c r="F38" i="42"/>
  <c r="F46" i="42"/>
  <c r="G33" i="42"/>
  <c r="G41" i="42"/>
  <c r="G49" i="42"/>
  <c r="H36" i="42"/>
  <c r="H44" i="42"/>
  <c r="H30" i="42"/>
  <c r="B30" i="42"/>
  <c r="F15" i="42"/>
  <c r="H24" i="42"/>
  <c r="F28" i="42"/>
  <c r="A23" i="42"/>
  <c r="C24" i="42"/>
  <c r="A29" i="42"/>
  <c r="H23" i="42"/>
  <c r="A32" i="42"/>
  <c r="A40" i="42"/>
  <c r="A48" i="42"/>
  <c r="B35" i="42"/>
  <c r="B43" i="42"/>
  <c r="B51" i="42"/>
  <c r="C38" i="42"/>
  <c r="C46" i="42"/>
  <c r="D33" i="42"/>
  <c r="D41" i="42"/>
  <c r="D49" i="42"/>
  <c r="A24" i="42"/>
  <c r="H21" i="42"/>
  <c r="B27" i="42"/>
  <c r="B23" i="42"/>
  <c r="H19" i="42"/>
  <c r="B18" i="42"/>
  <c r="A26" i="42"/>
  <c r="B21" i="42"/>
  <c r="E38" i="42"/>
  <c r="E46" i="42"/>
  <c r="F33" i="42"/>
  <c r="F41" i="42"/>
  <c r="F49" i="42"/>
  <c r="G36" i="42"/>
  <c r="G44" i="42"/>
  <c r="H31" i="42"/>
  <c r="H39" i="42"/>
  <c r="H47" i="42"/>
  <c r="D14" i="42"/>
  <c r="E19" i="42"/>
  <c r="G18" i="42"/>
  <c r="B20" i="42"/>
  <c r="C26" i="42"/>
  <c r="D22" i="42"/>
  <c r="E15" i="42"/>
  <c r="H26" i="42"/>
  <c r="G23" i="42"/>
  <c r="A35" i="42"/>
  <c r="A43" i="42"/>
  <c r="A51" i="42"/>
  <c r="B38" i="42"/>
  <c r="B46" i="42"/>
  <c r="C33" i="42"/>
  <c r="C41" i="42"/>
  <c r="C49" i="42"/>
  <c r="D36" i="42"/>
  <c r="D44" i="42"/>
  <c r="F23" i="42"/>
  <c r="E21" i="42"/>
  <c r="B29" i="42"/>
  <c r="H17" i="42"/>
  <c r="D16" i="42"/>
  <c r="B25" i="42"/>
  <c r="B22" i="42"/>
  <c r="A18" i="42"/>
  <c r="D23" i="42"/>
  <c r="E37" i="42"/>
  <c r="E45" i="42"/>
  <c r="F32" i="42"/>
  <c r="F40" i="42"/>
  <c r="F48" i="42"/>
  <c r="G35" i="42"/>
  <c r="G43" i="42"/>
  <c r="G51" i="42"/>
  <c r="H38" i="42"/>
  <c r="H46" i="42"/>
  <c r="D17" i="42"/>
  <c r="G25" i="42"/>
  <c r="G17" i="42"/>
  <c r="A27" i="42"/>
  <c r="A28" i="42"/>
  <c r="E24" i="42"/>
  <c r="F30" i="42"/>
  <c r="F21" i="42"/>
  <c r="C29" i="42"/>
  <c r="A34" i="42"/>
  <c r="A42" i="42"/>
  <c r="A50" i="42"/>
  <c r="B37" i="42"/>
  <c r="B45" i="42"/>
  <c r="C32" i="42"/>
  <c r="C40" i="42"/>
  <c r="C48" i="42"/>
  <c r="D35" i="42"/>
  <c r="D43" i="42"/>
  <c r="D51" i="42"/>
  <c r="B17" i="42"/>
  <c r="D27" i="42"/>
  <c r="C22" i="42"/>
  <c r="H27" i="42"/>
  <c r="E23" i="42"/>
  <c r="C27" i="42"/>
  <c r="B15" i="42"/>
  <c r="E18" i="42"/>
  <c r="E32" i="42"/>
  <c r="E40" i="42"/>
  <c r="E48" i="42"/>
  <c r="I48" i="42" s="1"/>
  <c r="F35" i="42"/>
  <c r="F43" i="42"/>
  <c r="F51" i="42"/>
  <c r="G38" i="42"/>
  <c r="G46" i="42"/>
  <c r="H33" i="42"/>
  <c r="H41" i="42"/>
  <c r="H49" i="42"/>
  <c r="F24" i="42"/>
  <c r="G15" i="42"/>
  <c r="A20" i="42"/>
  <c r="A15" i="42"/>
  <c r="F16" i="42"/>
  <c r="G24" i="42"/>
  <c r="G26" i="42"/>
  <c r="A31" i="42"/>
  <c r="A47" i="42"/>
  <c r="B42" i="42"/>
  <c r="C37" i="42"/>
  <c r="D32" i="42"/>
  <c r="D48" i="42"/>
  <c r="G27" i="42"/>
  <c r="D15" i="42"/>
  <c r="A16" i="42"/>
  <c r="H18" i="42"/>
  <c r="E41" i="42"/>
  <c r="F36" i="42"/>
  <c r="G31" i="42"/>
  <c r="G47" i="42"/>
  <c r="H42" i="42"/>
  <c r="G29" i="42"/>
  <c r="F25" i="42"/>
  <c r="H15" i="42"/>
  <c r="G30" i="42"/>
  <c r="C23" i="42"/>
  <c r="A46" i="42"/>
  <c r="B41" i="42"/>
  <c r="C36" i="42"/>
  <c r="D31" i="42"/>
  <c r="D47" i="42"/>
  <c r="A25" i="42"/>
  <c r="H28" i="42"/>
  <c r="C30" i="42"/>
  <c r="B14" i="42"/>
  <c r="E36" i="42"/>
  <c r="F31" i="42"/>
  <c r="F47" i="42"/>
  <c r="G42" i="42"/>
  <c r="H37" i="42"/>
  <c r="D30" i="42"/>
  <c r="B16" i="42"/>
  <c r="D21" i="42"/>
  <c r="F27" i="42"/>
  <c r="A37" i="42"/>
  <c r="B32" i="42"/>
  <c r="B48" i="42"/>
  <c r="C43" i="42"/>
  <c r="D38" i="42"/>
  <c r="H14" i="42"/>
  <c r="G16" i="42"/>
  <c r="D20" i="42"/>
  <c r="D25" i="42"/>
  <c r="E31" i="42"/>
  <c r="E47" i="42"/>
  <c r="I47" i="42" s="1"/>
  <c r="F42" i="42"/>
  <c r="G37" i="42"/>
  <c r="H32" i="42"/>
  <c r="H48" i="42"/>
  <c r="H16" i="42"/>
  <c r="E30" i="42"/>
  <c r="H20" i="42"/>
  <c r="C25" i="42"/>
  <c r="A36" i="42"/>
  <c r="B31" i="42"/>
  <c r="B47" i="42"/>
  <c r="C42" i="42"/>
  <c r="D37" i="42"/>
  <c r="F17" i="42"/>
  <c r="E27" i="42"/>
  <c r="E28" i="42"/>
  <c r="B19" i="42"/>
  <c r="F18" i="42"/>
  <c r="E42" i="42"/>
  <c r="F37" i="42"/>
  <c r="G32" i="42"/>
  <c r="G48" i="42"/>
  <c r="H43" i="42"/>
  <c r="E14" i="42"/>
  <c r="E20" i="42"/>
  <c r="E26" i="42"/>
  <c r="C19" i="42"/>
  <c r="A39" i="42"/>
  <c r="B34" i="42"/>
  <c r="B50" i="42"/>
  <c r="C45" i="42"/>
  <c r="D40" i="42"/>
  <c r="F14" i="42"/>
  <c r="C28" i="42"/>
  <c r="A17" i="42"/>
  <c r="F19" i="42"/>
  <c r="E33" i="42"/>
  <c r="E49" i="42"/>
  <c r="I49" i="42" s="1"/>
  <c r="F44" i="42"/>
  <c r="G39" i="42"/>
  <c r="H34" i="42"/>
  <c r="H50" i="42"/>
  <c r="B26" i="42"/>
  <c r="E29" i="42"/>
  <c r="D19" i="42"/>
  <c r="F26" i="42"/>
  <c r="A38" i="42"/>
  <c r="B33" i="42"/>
  <c r="B49" i="42"/>
  <c r="C44" i="42"/>
  <c r="D39" i="42"/>
  <c r="F22" i="42"/>
  <c r="A21" i="42"/>
  <c r="C15" i="42"/>
  <c r="E17" i="42"/>
  <c r="B24" i="42"/>
  <c r="E44" i="42"/>
  <c r="F39" i="42"/>
  <c r="G34" i="42"/>
  <c r="G50" i="42"/>
  <c r="H45" i="42"/>
  <c r="F20" i="42"/>
  <c r="D24" i="42"/>
  <c r="C17" i="42"/>
  <c r="H22" i="42"/>
  <c r="C14" i="42"/>
  <c r="A45" i="42"/>
  <c r="B40" i="42"/>
  <c r="C35" i="42"/>
  <c r="C51" i="42"/>
  <c r="D46" i="42"/>
  <c r="E25" i="42"/>
  <c r="E22" i="42"/>
  <c r="A30" i="42"/>
  <c r="C16" i="42"/>
  <c r="E39" i="42"/>
  <c r="F34" i="42"/>
  <c r="F50" i="42"/>
  <c r="G45" i="42"/>
  <c r="H40" i="42"/>
  <c r="H29" i="42"/>
  <c r="G22" i="42"/>
  <c r="E16" i="42"/>
  <c r="G14" i="42"/>
  <c r="A19" i="42"/>
  <c r="A44" i="42"/>
  <c r="B39" i="42"/>
  <c r="C34" i="42"/>
  <c r="C50" i="42"/>
  <c r="D45" i="42"/>
  <c r="D18" i="42"/>
  <c r="C18" i="42"/>
  <c r="A14" i="42"/>
  <c r="G19" i="42"/>
  <c r="E34" i="42"/>
  <c r="E50" i="42"/>
  <c r="I50" i="42" s="1"/>
  <c r="F45" i="42"/>
  <c r="G40" i="42"/>
  <c r="H35" i="42"/>
  <c r="H51" i="42"/>
  <c r="A22" i="42"/>
  <c r="C21" i="42"/>
  <c r="C20" i="42"/>
  <c r="J687" i="55"/>
  <c r="B23" i="56"/>
  <c r="F23" i="56"/>
  <c r="F25" i="56"/>
  <c r="F21" i="56"/>
  <c r="B25" i="56"/>
  <c r="B26" i="56"/>
  <c r="G25" i="56"/>
  <c r="G24" i="56"/>
  <c r="A33" i="56"/>
  <c r="F29" i="56"/>
  <c r="H29" i="56" s="1"/>
  <c r="B29" i="56"/>
  <c r="G18" i="56"/>
  <c r="B22" i="56"/>
  <c r="F27" i="56"/>
  <c r="G20" i="56"/>
  <c r="F17" i="56"/>
  <c r="G28" i="56"/>
  <c r="B17" i="56"/>
  <c r="G27" i="56"/>
  <c r="D6" i="56"/>
  <c r="G7" i="56"/>
  <c r="F28" i="56"/>
  <c r="G8" i="56"/>
  <c r="F24" i="56"/>
  <c r="H24" i="56" s="1"/>
  <c r="F18" i="56"/>
  <c r="G23" i="56"/>
  <c r="F22" i="56"/>
  <c r="F20" i="56"/>
  <c r="G19" i="56"/>
  <c r="G29" i="56"/>
  <c r="B28" i="56"/>
  <c r="B20" i="56"/>
  <c r="G22" i="56"/>
  <c r="B18" i="56"/>
  <c r="B24" i="56"/>
  <c r="B27" i="56"/>
  <c r="F26" i="56"/>
  <c r="B19" i="56"/>
  <c r="F19" i="56"/>
  <c r="A9" i="56"/>
  <c r="G17" i="56"/>
  <c r="B21" i="56"/>
  <c r="G21" i="56"/>
  <c r="G26" i="56"/>
  <c r="I13" i="42"/>
  <c r="H97" i="14"/>
  <c r="M8" i="39"/>
  <c r="C14" i="39"/>
  <c r="I14" i="42" l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G608" i="55" a="1"/>
  <c r="G608" i="55" s="1"/>
  <c r="G339" i="55" a="1"/>
  <c r="G339" i="55" s="1"/>
  <c r="G327" i="55" a="1"/>
  <c r="G327" i="55" s="1"/>
  <c r="I618" i="55" a="1"/>
  <c r="I618" i="55" s="1"/>
  <c r="G672" i="55" a="1"/>
  <c r="G672" i="55" s="1"/>
  <c r="G677" i="55" a="1"/>
  <c r="G677" i="55" s="1"/>
  <c r="G307" i="55" a="1"/>
  <c r="G307" i="55" s="1"/>
  <c r="I286" i="55" a="1"/>
  <c r="I286" i="55" s="1"/>
  <c r="I290" i="55" a="1"/>
  <c r="I290" i="55" s="1"/>
  <c r="G424" i="55" a="1"/>
  <c r="G424" i="55" s="1"/>
  <c r="I675" i="55" a="1"/>
  <c r="I675" i="55" s="1"/>
  <c r="I670" i="55" a="1"/>
  <c r="I670" i="55" s="1"/>
  <c r="I678" i="55" a="1"/>
  <c r="I678" i="55" s="1"/>
  <c r="I307" i="55" a="1"/>
  <c r="I307" i="55" s="1"/>
  <c r="I249" i="55" a="1"/>
  <c r="I249" i="55" s="1"/>
  <c r="I219" i="55" a="1"/>
  <c r="I219" i="55" s="1"/>
  <c r="G197" i="55" a="1"/>
  <c r="G197" i="55" s="1"/>
  <c r="G375" i="55" a="1"/>
  <c r="G375" i="55" s="1"/>
  <c r="I635" i="55" a="1"/>
  <c r="I635" i="55" s="1"/>
  <c r="I474" i="55" a="1"/>
  <c r="I474" i="55" s="1"/>
  <c r="I484" i="55" a="1"/>
  <c r="I484" i="55" s="1"/>
  <c r="I671" i="55" a="1"/>
  <c r="I671" i="55" s="1"/>
  <c r="I680" i="55" a="1"/>
  <c r="I680" i="55" s="1"/>
  <c r="I262" i="55" a="1"/>
  <c r="I262" i="55" s="1"/>
  <c r="I658" i="55" a="1"/>
  <c r="I658" i="55" s="1"/>
  <c r="I231" i="55" a="1"/>
  <c r="I231" i="55" s="1"/>
  <c r="I398" i="55" a="1"/>
  <c r="I398" i="55" s="1"/>
  <c r="G285" i="55" a="1"/>
  <c r="G285" i="55" s="1"/>
  <c r="I247" i="55" a="1"/>
  <c r="I247" i="55" s="1"/>
  <c r="I476" i="55" a="1"/>
  <c r="I476" i="55" s="1"/>
  <c r="G210" i="55" a="1"/>
  <c r="G210" i="55" s="1"/>
  <c r="G290" i="55" a="1"/>
  <c r="G290" i="55" s="1"/>
  <c r="K290" i="55" s="1"/>
  <c r="I200" i="55" a="1"/>
  <c r="I200" i="55" s="1"/>
  <c r="G674" i="55" a="1"/>
  <c r="G674" i="55" s="1"/>
  <c r="G661" i="55" a="1"/>
  <c r="G661" i="55" s="1"/>
  <c r="G676" i="55" a="1"/>
  <c r="G676" i="55" s="1"/>
  <c r="I339" i="55" a="1"/>
  <c r="I339" i="55" s="1"/>
  <c r="G484" i="55" a="1"/>
  <c r="G484" i="55" s="1"/>
  <c r="K484" i="55" s="1"/>
  <c r="G398" i="55" a="1"/>
  <c r="G398" i="55" s="1"/>
  <c r="K398" i="55" s="1"/>
  <c r="I674" i="55" a="1"/>
  <c r="I674" i="55" s="1"/>
  <c r="G679" i="55" a="1"/>
  <c r="G679" i="55" s="1"/>
  <c r="G240" i="55" a="1"/>
  <c r="G240" i="55" s="1"/>
  <c r="G302" i="55" a="1"/>
  <c r="G302" i="55" s="1"/>
  <c r="I424" i="55" a="1"/>
  <c r="I424" i="55" s="1"/>
  <c r="G670" i="55" a="1"/>
  <c r="G670" i="55" s="1"/>
  <c r="G678" i="55" a="1"/>
  <c r="G678" i="55" s="1"/>
  <c r="K678" i="55" s="1"/>
  <c r="I598" i="55" a="1"/>
  <c r="I598" i="55" s="1"/>
  <c r="I213" i="55" a="1"/>
  <c r="I213" i="55" s="1"/>
  <c r="G231" i="55" a="1"/>
  <c r="G231" i="55" s="1"/>
  <c r="K231" i="55" s="1"/>
  <c r="G453" i="55" a="1"/>
  <c r="G453" i="55" s="1"/>
  <c r="I375" i="55" a="1"/>
  <c r="I375" i="55" s="1"/>
  <c r="G635" i="55" a="1"/>
  <c r="G635" i="55" s="1"/>
  <c r="K635" i="55" s="1"/>
  <c r="G601" i="55" a="1"/>
  <c r="G601" i="55" s="1"/>
  <c r="I601" i="55" a="1"/>
  <c r="I601" i="55" s="1"/>
  <c r="G225" i="55" a="1"/>
  <c r="G225" i="55" s="1"/>
  <c r="G219" i="55" a="1"/>
  <c r="G219" i="55" s="1"/>
  <c r="K219" i="55" s="1"/>
  <c r="I673" i="55" a="1"/>
  <c r="I673" i="55" s="1"/>
  <c r="I585" i="55" a="1"/>
  <c r="I585" i="55" s="1"/>
  <c r="I613" i="55" a="1"/>
  <c r="I613" i="55" s="1"/>
  <c r="G213" i="55" a="1"/>
  <c r="G213" i="55" s="1"/>
  <c r="K213" i="55" s="1"/>
  <c r="I327" i="55" a="1"/>
  <c r="I327" i="55" s="1"/>
  <c r="G600" i="55" a="1"/>
  <c r="G600" i="55" s="1"/>
  <c r="I672" i="55" a="1"/>
  <c r="I672" i="55" s="1"/>
  <c r="I677" i="55" a="1"/>
  <c r="I677" i="55" s="1"/>
  <c r="G476" i="55" a="1"/>
  <c r="G476" i="55" s="1"/>
  <c r="K476" i="55" s="1"/>
  <c r="I252" i="55" a="1"/>
  <c r="I252" i="55" s="1"/>
  <c r="G675" i="55" a="1"/>
  <c r="G675" i="55" s="1"/>
  <c r="K675" i="55" s="1"/>
  <c r="I661" i="55" a="1"/>
  <c r="I661" i="55" s="1"/>
  <c r="I676" i="55" a="1"/>
  <c r="I676" i="55" s="1"/>
  <c r="G286" i="55" a="1"/>
  <c r="G286" i="55" s="1"/>
  <c r="G249" i="55" a="1"/>
  <c r="G249" i="55" s="1"/>
  <c r="K249" i="55" s="1"/>
  <c r="G200" i="55" a="1"/>
  <c r="G200" i="55" s="1"/>
  <c r="K200" i="55" s="1"/>
  <c r="I600" i="55" a="1"/>
  <c r="I600" i="55" s="1"/>
  <c r="I679" i="55" a="1"/>
  <c r="I679" i="55" s="1"/>
  <c r="I240" i="55" a="1"/>
  <c r="I240" i="55" s="1"/>
  <c r="G598" i="55" a="1"/>
  <c r="G598" i="55" s="1"/>
  <c r="K598" i="55" s="1"/>
  <c r="G474" i="55" a="1"/>
  <c r="G474" i="55" s="1"/>
  <c r="I302" i="55" a="1"/>
  <c r="I302" i="55" s="1"/>
  <c r="I453" i="55" a="1"/>
  <c r="I453" i="55" s="1"/>
  <c r="G671" i="55" a="1"/>
  <c r="G671" i="55" s="1"/>
  <c r="K671" i="55" s="1"/>
  <c r="G680" i="55" a="1"/>
  <c r="G680" i="55" s="1"/>
  <c r="K680" i="55" s="1"/>
  <c r="G262" i="55" a="1"/>
  <c r="G262" i="55" s="1"/>
  <c r="I225" i="55" a="1"/>
  <c r="I225" i="55" s="1"/>
  <c r="G618" i="55" a="1"/>
  <c r="G618" i="55" s="1"/>
  <c r="K618" i="55" s="1"/>
  <c r="I197" i="55" a="1"/>
  <c r="I197" i="55" s="1"/>
  <c r="I285" i="55" a="1"/>
  <c r="I285" i="55" s="1"/>
  <c r="G247" i="55" a="1"/>
  <c r="G247" i="55" s="1"/>
  <c r="K247" i="55" s="1"/>
  <c r="G658" i="55" a="1"/>
  <c r="G658" i="55" s="1"/>
  <c r="G252" i="55" a="1"/>
  <c r="G252" i="55" s="1"/>
  <c r="G673" i="55" a="1"/>
  <c r="G673" i="55" s="1"/>
  <c r="K673" i="55" s="1"/>
  <c r="G585" i="55" a="1"/>
  <c r="G585" i="55" s="1"/>
  <c r="K585" i="55" s="1"/>
  <c r="G613" i="55" a="1"/>
  <c r="G613" i="55" s="1"/>
  <c r="K613" i="55" s="1"/>
  <c r="I210" i="55" a="1"/>
  <c r="I210" i="55" s="1"/>
  <c r="G605" i="55" a="1"/>
  <c r="G605" i="55" s="1"/>
  <c r="I567" i="55" a="1"/>
  <c r="I567" i="55" s="1"/>
  <c r="I439" i="55" a="1"/>
  <c r="I439" i="55" s="1"/>
  <c r="G586" i="55" a="1"/>
  <c r="G586" i="55" s="1"/>
  <c r="I564" i="55" a="1"/>
  <c r="I564" i="55" s="1"/>
  <c r="I488" i="55" a="1"/>
  <c r="I488" i="55" s="1"/>
  <c r="G550" i="55" a="1"/>
  <c r="G550" i="55" s="1"/>
  <c r="G450" i="55" a="1"/>
  <c r="G450" i="55" s="1"/>
  <c r="I682" i="55" a="1"/>
  <c r="I682" i="55" s="1"/>
  <c r="G496" i="55" a="1"/>
  <c r="G496" i="55" s="1"/>
  <c r="G681" i="55" a="1"/>
  <c r="G681" i="55" s="1"/>
  <c r="I605" i="55" a="1"/>
  <c r="I605" i="55" s="1"/>
  <c r="I203" i="55" a="1"/>
  <c r="I203" i="55" s="1"/>
  <c r="G439" i="55" a="1"/>
  <c r="G439" i="55" s="1"/>
  <c r="I586" i="55" a="1"/>
  <c r="I586" i="55" s="1"/>
  <c r="I575" i="55" a="1"/>
  <c r="I575" i="55" s="1"/>
  <c r="G488" i="55" a="1"/>
  <c r="G488" i="55" s="1"/>
  <c r="G567" i="55" a="1"/>
  <c r="G567" i="55" s="1"/>
  <c r="K567" i="55" s="1"/>
  <c r="I450" i="55" a="1"/>
  <c r="I450" i="55" s="1"/>
  <c r="I683" i="55" a="1"/>
  <c r="I683" i="55" s="1"/>
  <c r="G564" i="55" a="1"/>
  <c r="G564" i="55" s="1"/>
  <c r="K564" i="55" s="1"/>
  <c r="I681" i="55" a="1"/>
  <c r="I681" i="55" s="1"/>
  <c r="I550" i="55" a="1"/>
  <c r="I550" i="55" s="1"/>
  <c r="G203" i="55" a="1"/>
  <c r="G203" i="55" s="1"/>
  <c r="G682" i="55" a="1"/>
  <c r="G682" i="55" s="1"/>
  <c r="K682" i="55" s="1"/>
  <c r="I496" i="55" a="1"/>
  <c r="I496" i="55" s="1"/>
  <c r="G575" i="55" a="1"/>
  <c r="G575" i="55" s="1"/>
  <c r="G683" i="55" a="1"/>
  <c r="G683" i="55" s="1"/>
  <c r="K683" i="55" s="1"/>
  <c r="E16" i="12" a="1"/>
  <c r="E16" i="12" s="1"/>
  <c r="F16" i="12" a="1"/>
  <c r="F16" i="12" s="1"/>
  <c r="E23" i="15" a="1"/>
  <c r="E23" i="15" s="1"/>
  <c r="F21" i="15" a="1"/>
  <c r="F21" i="15" s="1"/>
  <c r="F22" i="15" a="1"/>
  <c r="F22" i="15" s="1"/>
  <c r="E21" i="15" a="1"/>
  <c r="E21" i="15" s="1"/>
  <c r="E22" i="15" a="1"/>
  <c r="E22" i="15" s="1"/>
  <c r="F23" i="15" a="1"/>
  <c r="F23" i="15" s="1"/>
  <c r="E15" i="12" a="1"/>
  <c r="E15" i="12" s="1"/>
  <c r="F15" i="12" a="1"/>
  <c r="F15" i="12" s="1"/>
  <c r="I281" i="55" a="1"/>
  <c r="I281" i="55" s="1"/>
  <c r="G298" i="55" a="1"/>
  <c r="G298" i="55" s="1"/>
  <c r="G684" i="55" a="1"/>
  <c r="G684" i="55" s="1"/>
  <c r="I510" i="55" a="1"/>
  <c r="I510" i="55" s="1"/>
  <c r="G259" i="55" a="1"/>
  <c r="G259" i="55" s="1"/>
  <c r="G212" i="55" a="1"/>
  <c r="G212" i="55" s="1"/>
  <c r="G313" i="55" a="1"/>
  <c r="G313" i="55" s="1"/>
  <c r="I288" i="55" a="1"/>
  <c r="I288" i="55" s="1"/>
  <c r="I434" i="55" a="1"/>
  <c r="I434" i="55" s="1"/>
  <c r="I313" i="55" a="1"/>
  <c r="I313" i="55" s="1"/>
  <c r="I341" i="55" a="1"/>
  <c r="I341" i="55" s="1"/>
  <c r="G304" i="55" a="1"/>
  <c r="G304" i="55" s="1"/>
  <c r="I283" i="55" a="1"/>
  <c r="I283" i="55" s="1"/>
  <c r="G269" i="55" a="1"/>
  <c r="G269" i="55" s="1"/>
  <c r="I212" i="55" a="1"/>
  <c r="I212" i="55" s="1"/>
  <c r="G283" i="55" a="1"/>
  <c r="G283" i="55" s="1"/>
  <c r="G277" i="55" a="1"/>
  <c r="G277" i="55" s="1"/>
  <c r="G654" i="55" a="1"/>
  <c r="G654" i="55" s="1"/>
  <c r="I448" i="55" a="1"/>
  <c r="I448" i="55" s="1"/>
  <c r="I26" i="55" a="1"/>
  <c r="I26" i="55" s="1"/>
  <c r="G664" i="55" a="1"/>
  <c r="G664" i="55" s="1"/>
  <c r="I533" i="55" a="1"/>
  <c r="I533" i="55" s="1"/>
  <c r="I178" i="55" a="1"/>
  <c r="I178" i="55" s="1"/>
  <c r="G657" i="55" a="1"/>
  <c r="G657" i="55" s="1"/>
  <c r="I188" i="55" a="1"/>
  <c r="I188" i="55" s="1"/>
  <c r="G341" i="55" a="1"/>
  <c r="G341" i="55" s="1"/>
  <c r="G251" i="55" a="1"/>
  <c r="G251" i="55" s="1"/>
  <c r="G188" i="55" a="1"/>
  <c r="G188" i="55" s="1"/>
  <c r="G26" i="55" a="1"/>
  <c r="G26" i="55" s="1"/>
  <c r="I486" i="55" a="1"/>
  <c r="I486" i="55" s="1"/>
  <c r="G448" i="55" a="1"/>
  <c r="G448" i="55" s="1"/>
  <c r="K448" i="55" s="1"/>
  <c r="I277" i="55" a="1"/>
  <c r="I277" i="55" s="1"/>
  <c r="I657" i="55" a="1"/>
  <c r="I657" i="55" s="1"/>
  <c r="I314" i="55" a="1"/>
  <c r="I314" i="55" s="1"/>
  <c r="I27" i="55" a="1"/>
  <c r="I27" i="55" s="1"/>
  <c r="I664" i="55" a="1"/>
  <c r="I664" i="55" s="1"/>
  <c r="I684" i="55" a="1"/>
  <c r="I684" i="55" s="1"/>
  <c r="G45" i="55" a="1"/>
  <c r="G45" i="55" s="1"/>
  <c r="G486" i="55" a="1"/>
  <c r="G486" i="55" s="1"/>
  <c r="G385" i="55" a="1"/>
  <c r="G385" i="55" s="1"/>
  <c r="G21" i="55" a="1"/>
  <c r="G21" i="55" s="1"/>
  <c r="G310" i="55" a="1"/>
  <c r="G310" i="55" s="1"/>
  <c r="I333" i="55" a="1"/>
  <c r="I333" i="55" s="1"/>
  <c r="I19" i="55" a="1"/>
  <c r="I19" i="55" s="1"/>
  <c r="G315" i="55" a="1"/>
  <c r="G315" i="55" s="1"/>
  <c r="I471" i="55" a="1"/>
  <c r="I471" i="55" s="1"/>
  <c r="I282" i="55" a="1"/>
  <c r="I282" i="55" s="1"/>
  <c r="I642" i="55" a="1"/>
  <c r="I642" i="55" s="1"/>
  <c r="G314" i="55" a="1"/>
  <c r="G314" i="55" s="1"/>
  <c r="G27" i="55" a="1"/>
  <c r="G27" i="55" s="1"/>
  <c r="I654" i="55" a="1"/>
  <c r="I654" i="55" s="1"/>
  <c r="G333" i="55" a="1"/>
  <c r="G333" i="55" s="1"/>
  <c r="G19" i="55" a="1"/>
  <c r="G19" i="55" s="1"/>
  <c r="G258" i="55" a="1"/>
  <c r="G258" i="55" s="1"/>
  <c r="I385" i="55" a="1"/>
  <c r="I385" i="55" s="1"/>
  <c r="I21" i="55" a="1"/>
  <c r="I21" i="55" s="1"/>
  <c r="G642" i="55" a="1"/>
  <c r="G642" i="55" s="1"/>
  <c r="I224" i="55" a="1"/>
  <c r="I224" i="55" s="1"/>
  <c r="I308" i="55" a="1"/>
  <c r="I308" i="55" s="1"/>
  <c r="I315" i="55" a="1"/>
  <c r="I315" i="55" s="1"/>
  <c r="G533" i="55" a="1"/>
  <c r="G533" i="55" s="1"/>
  <c r="G178" i="55" a="1"/>
  <c r="G178" i="55" s="1"/>
  <c r="I258" i="55" a="1"/>
  <c r="I258" i="55" s="1"/>
  <c r="G406" i="55" a="1"/>
  <c r="G406" i="55" s="1"/>
  <c r="G281" i="55" a="1"/>
  <c r="G281" i="55" s="1"/>
  <c r="K281" i="55" s="1"/>
  <c r="G510" i="55" a="1"/>
  <c r="G510" i="55" s="1"/>
  <c r="I500" i="55" a="1"/>
  <c r="I500" i="55" s="1"/>
  <c r="G182" i="55" a="1"/>
  <c r="G182" i="55" s="1"/>
  <c r="I22" i="55" a="1"/>
  <c r="I22" i="55" s="1"/>
  <c r="I269" i="55" a="1"/>
  <c r="I269" i="55" s="1"/>
  <c r="I24" i="55" a="1"/>
  <c r="I24" i="55" s="1"/>
  <c r="G224" i="55" a="1"/>
  <c r="G224" i="55" s="1"/>
  <c r="G308" i="55" a="1"/>
  <c r="G308" i="55" s="1"/>
  <c r="I310" i="55" a="1"/>
  <c r="I310" i="55" s="1"/>
  <c r="G500" i="55" a="1"/>
  <c r="G500" i="55" s="1"/>
  <c r="K500" i="55" s="1"/>
  <c r="G284" i="55" a="1"/>
  <c r="G284" i="55" s="1"/>
  <c r="I23" i="55" a="1"/>
  <c r="I23" i="55" s="1"/>
  <c r="I406" i="55" a="1"/>
  <c r="I406" i="55" s="1"/>
  <c r="G282" i="55" a="1"/>
  <c r="G282" i="55" s="1"/>
  <c r="K282" i="55" s="1"/>
  <c r="G24" i="55" a="1"/>
  <c r="G24" i="55" s="1"/>
  <c r="I298" i="55" a="1"/>
  <c r="I298" i="55" s="1"/>
  <c r="I182" i="55" a="1"/>
  <c r="I182" i="55" s="1"/>
  <c r="G22" i="55" a="1"/>
  <c r="G22" i="55" s="1"/>
  <c r="G471" i="55" a="1"/>
  <c r="G471" i="55" s="1"/>
  <c r="I284" i="55" a="1"/>
  <c r="I284" i="55" s="1"/>
  <c r="G23" i="55" a="1"/>
  <c r="G23" i="55" s="1"/>
  <c r="G288" i="55" a="1"/>
  <c r="G288" i="55" s="1"/>
  <c r="I251" i="55" a="1"/>
  <c r="I251" i="55" s="1"/>
  <c r="G175" i="55" a="1"/>
  <c r="G175" i="55" s="1"/>
  <c r="I259" i="55" a="1"/>
  <c r="I259" i="55" s="1"/>
  <c r="I304" i="55" a="1"/>
  <c r="I304" i="55" s="1"/>
  <c r="I175" i="55" a="1"/>
  <c r="I175" i="55" s="1"/>
  <c r="I45" i="55" a="1"/>
  <c r="I45" i="55" s="1"/>
  <c r="G434" i="55" a="1"/>
  <c r="G434" i="55" s="1"/>
  <c r="I241" i="55" a="1"/>
  <c r="I241" i="55" s="1"/>
  <c r="I614" i="55" a="1"/>
  <c r="I614" i="55" s="1"/>
  <c r="G241" i="55" a="1"/>
  <c r="G241" i="55" s="1"/>
  <c r="G435" i="55" a="1"/>
  <c r="G435" i="55" s="1"/>
  <c r="G512" i="55" a="1"/>
  <c r="G512" i="55" s="1"/>
  <c r="G665" i="55" a="1"/>
  <c r="G665" i="55" s="1"/>
  <c r="I512" i="55" a="1"/>
  <c r="I512" i="55" s="1"/>
  <c r="I665" i="55" a="1"/>
  <c r="I665" i="55" s="1"/>
  <c r="I507" i="55" a="1"/>
  <c r="I507" i="55" s="1"/>
  <c r="I436" i="55" a="1"/>
  <c r="I436" i="55" s="1"/>
  <c r="I297" i="55" a="1"/>
  <c r="I297" i="55" s="1"/>
  <c r="I571" i="55" a="1"/>
  <c r="I571" i="55" s="1"/>
  <c r="G229" i="55" a="1"/>
  <c r="G229" i="55" s="1"/>
  <c r="G312" i="55" a="1"/>
  <c r="G312" i="55" s="1"/>
  <c r="I229" i="55" a="1"/>
  <c r="I229" i="55" s="1"/>
  <c r="I546" i="55" a="1"/>
  <c r="I546" i="55" s="1"/>
  <c r="G612" i="55" a="1"/>
  <c r="G612" i="55" s="1"/>
  <c r="I650" i="55" a="1"/>
  <c r="I650" i="55" s="1"/>
  <c r="I369" i="55" a="1"/>
  <c r="I369" i="55" s="1"/>
  <c r="G351" i="55" a="1"/>
  <c r="G351" i="55" s="1"/>
  <c r="G369" i="55" a="1"/>
  <c r="G369" i="55" s="1"/>
  <c r="G377" i="55" a="1"/>
  <c r="G377" i="55" s="1"/>
  <c r="G622" i="55" a="1"/>
  <c r="G622" i="55" s="1"/>
  <c r="G650" i="55" a="1"/>
  <c r="G650" i="55" s="1"/>
  <c r="I612" i="55" a="1"/>
  <c r="I612" i="55" s="1"/>
  <c r="I537" i="55" a="1"/>
  <c r="I537" i="55" s="1"/>
  <c r="I514" i="55" a="1"/>
  <c r="I514" i="55" s="1"/>
  <c r="G537" i="55" a="1"/>
  <c r="G537" i="55" s="1"/>
  <c r="G614" i="55" a="1"/>
  <c r="G614" i="55" s="1"/>
  <c r="G297" i="55" a="1"/>
  <c r="G297" i="55" s="1"/>
  <c r="G507" i="55" a="1"/>
  <c r="G507" i="55" s="1"/>
  <c r="G436" i="55" a="1"/>
  <c r="G436" i="55" s="1"/>
  <c r="I548" i="55" a="1"/>
  <c r="I548" i="55" s="1"/>
  <c r="G621" i="55" a="1"/>
  <c r="G621" i="55" s="1"/>
  <c r="G619" i="55" a="1"/>
  <c r="G619" i="55" s="1"/>
  <c r="I619" i="55" a="1"/>
  <c r="I619" i="55" s="1"/>
  <c r="I235" i="55" a="1"/>
  <c r="I235" i="55" s="1"/>
  <c r="I622" i="55" a="1"/>
  <c r="I622" i="55" s="1"/>
  <c r="I351" i="55" a="1"/>
  <c r="I351" i="55" s="1"/>
  <c r="I312" i="55" a="1"/>
  <c r="I312" i="55" s="1"/>
  <c r="I183" i="55" a="1"/>
  <c r="I183" i="55" s="1"/>
  <c r="I328" i="55" a="1"/>
  <c r="I328" i="55" s="1"/>
  <c r="I621" i="55" a="1"/>
  <c r="I621" i="55" s="1"/>
  <c r="I273" i="55" a="1"/>
  <c r="I273" i="55" s="1"/>
  <c r="I246" i="55" a="1"/>
  <c r="I246" i="55" s="1"/>
  <c r="G514" i="55" a="1"/>
  <c r="G514" i="55" s="1"/>
  <c r="G466" i="55" a="1"/>
  <c r="G466" i="55" s="1"/>
  <c r="G246" i="55" a="1"/>
  <c r="G246" i="55" s="1"/>
  <c r="I466" i="55" a="1"/>
  <c r="I466" i="55" s="1"/>
  <c r="G668" i="55" a="1"/>
  <c r="G668" i="55" s="1"/>
  <c r="G546" i="55" a="1"/>
  <c r="G546" i="55" s="1"/>
  <c r="G571" i="55" a="1"/>
  <c r="G571" i="55" s="1"/>
  <c r="K571" i="55" s="1"/>
  <c r="G235" i="55" a="1"/>
  <c r="G235" i="55" s="1"/>
  <c r="K235" i="55" s="1"/>
  <c r="I435" i="55" a="1"/>
  <c r="I435" i="55" s="1"/>
  <c r="G509" i="55" a="1"/>
  <c r="G509" i="55" s="1"/>
  <c r="I668" i="55" a="1"/>
  <c r="I668" i="55" s="1"/>
  <c r="I509" i="55" a="1"/>
  <c r="I509" i="55" s="1"/>
  <c r="I300" i="55" a="1"/>
  <c r="I300" i="55" s="1"/>
  <c r="I388" i="55" a="1"/>
  <c r="I388" i="55" s="1"/>
  <c r="G300" i="55" a="1"/>
  <c r="G300" i="55" s="1"/>
  <c r="G548" i="55" a="1"/>
  <c r="G548" i="55" s="1"/>
  <c r="K548" i="55" s="1"/>
  <c r="G183" i="55" a="1"/>
  <c r="G183" i="55" s="1"/>
  <c r="G328" i="55" a="1"/>
  <c r="G328" i="55" s="1"/>
  <c r="G273" i="55" a="1"/>
  <c r="G273" i="55" s="1"/>
  <c r="K273" i="55" s="1"/>
  <c r="G388" i="55" a="1"/>
  <c r="G388" i="55" s="1"/>
  <c r="I377" i="55" a="1"/>
  <c r="I377" i="55" s="1"/>
  <c r="F51" i="70" a="1"/>
  <c r="F51" i="70" s="1"/>
  <c r="E49" i="70" a="1"/>
  <c r="E49" i="70" s="1"/>
  <c r="F50" i="70" a="1"/>
  <c r="F50" i="70" s="1"/>
  <c r="E47" i="70" a="1"/>
  <c r="E47" i="70" s="1"/>
  <c r="F49" i="70" a="1"/>
  <c r="F49" i="70" s="1"/>
  <c r="E50" i="70" a="1"/>
  <c r="E50" i="70" s="1"/>
  <c r="F47" i="70" a="1"/>
  <c r="F47" i="70" s="1"/>
  <c r="F48" i="70" a="1"/>
  <c r="F48" i="70" s="1"/>
  <c r="E51" i="70" a="1"/>
  <c r="E51" i="70" s="1"/>
  <c r="G51" i="70" s="1"/>
  <c r="E48" i="70" a="1"/>
  <c r="E48" i="70" s="1"/>
  <c r="G359" i="55" a="1"/>
  <c r="G359" i="55" s="1"/>
  <c r="G195" i="55" a="1"/>
  <c r="G195" i="55" s="1"/>
  <c r="I465" i="55" a="1"/>
  <c r="I465" i="55" s="1"/>
  <c r="G194" i="55" a="1"/>
  <c r="G194" i="55" s="1"/>
  <c r="G463" i="55" a="1"/>
  <c r="G463" i="55" s="1"/>
  <c r="I195" i="55" a="1"/>
  <c r="I195" i="55" s="1"/>
  <c r="I566" i="55" a="1"/>
  <c r="I566" i="55" s="1"/>
  <c r="I194" i="55" a="1"/>
  <c r="I194" i="55" s="1"/>
  <c r="G520" i="55" a="1"/>
  <c r="G520" i="55" s="1"/>
  <c r="G216" i="55" a="1"/>
  <c r="G216" i="55" s="1"/>
  <c r="I463" i="55" a="1"/>
  <c r="I463" i="55" s="1"/>
  <c r="G565" i="55" a="1"/>
  <c r="G565" i="55" s="1"/>
  <c r="I359" i="55" a="1"/>
  <c r="I359" i="55" s="1"/>
  <c r="I216" i="55" a="1"/>
  <c r="I216" i="55" s="1"/>
  <c r="G465" i="55" a="1"/>
  <c r="G465" i="55" s="1"/>
  <c r="K465" i="55" s="1"/>
  <c r="G217" i="55" a="1"/>
  <c r="G217" i="55" s="1"/>
  <c r="I520" i="55" a="1"/>
  <c r="I520" i="55" s="1"/>
  <c r="I462" i="55" a="1"/>
  <c r="I462" i="55" s="1"/>
  <c r="I217" i="55" a="1"/>
  <c r="I217" i="55" s="1"/>
  <c r="G566" i="55" a="1"/>
  <c r="G566" i="55" s="1"/>
  <c r="G464" i="55" a="1"/>
  <c r="G464" i="55" s="1"/>
  <c r="I464" i="55" a="1"/>
  <c r="I464" i="55" s="1"/>
  <c r="G462" i="55" a="1"/>
  <c r="G462" i="55" s="1"/>
  <c r="I565" i="55" a="1"/>
  <c r="I565" i="55" s="1"/>
  <c r="I305" i="55" a="1"/>
  <c r="I305" i="55" s="1"/>
  <c r="G291" i="55" a="1"/>
  <c r="G291" i="55" s="1"/>
  <c r="G268" i="55" a="1"/>
  <c r="G268" i="55" s="1"/>
  <c r="I518" i="55" a="1"/>
  <c r="I518" i="55" s="1"/>
  <c r="G114" i="55" a="1"/>
  <c r="G114" i="55" s="1"/>
  <c r="G305" i="55" a="1"/>
  <c r="G305" i="55" s="1"/>
  <c r="I639" i="55" a="1"/>
  <c r="I639" i="55" s="1"/>
  <c r="G202" i="55" a="1"/>
  <c r="G202" i="55" s="1"/>
  <c r="I114" i="55" a="1"/>
  <c r="I114" i="55" s="1"/>
  <c r="G303" i="55" a="1"/>
  <c r="G303" i="55" s="1"/>
  <c r="I446" i="55" a="1"/>
  <c r="I446" i="55" s="1"/>
  <c r="G446" i="55" a="1"/>
  <c r="G446" i="55" s="1"/>
  <c r="I634" i="55" a="1"/>
  <c r="I634" i="55" s="1"/>
  <c r="I303" i="55" a="1"/>
  <c r="I303" i="55" s="1"/>
  <c r="I202" i="55" a="1"/>
  <c r="I202" i="55" s="1"/>
  <c r="I291" i="55" a="1"/>
  <c r="I291" i="55" s="1"/>
  <c r="I536" i="55" a="1"/>
  <c r="I536" i="55" s="1"/>
  <c r="G639" i="55" a="1"/>
  <c r="G639" i="55" s="1"/>
  <c r="G634" i="55" a="1"/>
  <c r="G634" i="55" s="1"/>
  <c r="G518" i="55" a="1"/>
  <c r="G518" i="55" s="1"/>
  <c r="G536" i="55" a="1"/>
  <c r="G536" i="55" s="1"/>
  <c r="K536" i="55" s="1"/>
  <c r="I268" i="55" a="1"/>
  <c r="I268" i="55" s="1"/>
  <c r="H26" i="56"/>
  <c r="H18" i="78"/>
  <c r="I370" i="55" a="1"/>
  <c r="I370" i="55" s="1"/>
  <c r="G389" i="55" a="1"/>
  <c r="G389" i="55" s="1"/>
  <c r="G370" i="55" a="1"/>
  <c r="G370" i="55" s="1"/>
  <c r="I666" i="55" a="1"/>
  <c r="I666" i="55" s="1"/>
  <c r="G233" i="55" a="1"/>
  <c r="G233" i="55" s="1"/>
  <c r="G58" i="55" a="1"/>
  <c r="G58" i="55" s="1"/>
  <c r="I473" i="55" a="1"/>
  <c r="I473" i="55" s="1"/>
  <c r="G538" i="55" a="1"/>
  <c r="G538" i="55" s="1"/>
  <c r="I538" i="55" a="1"/>
  <c r="I538" i="55" s="1"/>
  <c r="I455" i="55" a="1"/>
  <c r="I455" i="55" s="1"/>
  <c r="G387" i="55" a="1"/>
  <c r="G387" i="55" s="1"/>
  <c r="G454" i="55" a="1"/>
  <c r="G454" i="55" s="1"/>
  <c r="I387" i="55" a="1"/>
  <c r="I387" i="55" s="1"/>
  <c r="G554" i="55" a="1"/>
  <c r="G554" i="55" s="1"/>
  <c r="I234" i="55" a="1"/>
  <c r="I234" i="55" s="1"/>
  <c r="I233" i="55" a="1"/>
  <c r="I233" i="55" s="1"/>
  <c r="G69" i="55" a="1"/>
  <c r="G69" i="55" s="1"/>
  <c r="I263" i="55" a="1"/>
  <c r="I263" i="55" s="1"/>
  <c r="G551" i="55" a="1"/>
  <c r="G551" i="55" s="1"/>
  <c r="I404" i="55" a="1"/>
  <c r="I404" i="55" s="1"/>
  <c r="G440" i="55" a="1"/>
  <c r="G440" i="55" s="1"/>
  <c r="I549" i="55" a="1"/>
  <c r="I549" i="55" s="1"/>
  <c r="I389" i="55" a="1"/>
  <c r="I389" i="55" s="1"/>
  <c r="G667" i="55" a="1"/>
  <c r="G667" i="55" s="1"/>
  <c r="G666" i="55" a="1"/>
  <c r="G666" i="55" s="1"/>
  <c r="G234" i="55" a="1"/>
  <c r="G234" i="55" s="1"/>
  <c r="I232" i="55" a="1"/>
  <c r="I232" i="55" s="1"/>
  <c r="I502" i="55" a="1"/>
  <c r="I502" i="55" s="1"/>
  <c r="G265" i="55" a="1"/>
  <c r="G265" i="55" s="1"/>
  <c r="G549" i="55" a="1"/>
  <c r="G549" i="55" s="1"/>
  <c r="K549" i="55" s="1"/>
  <c r="I470" i="55" a="1"/>
  <c r="I470" i="55" s="1"/>
  <c r="G431" i="55" a="1"/>
  <c r="G431" i="55" s="1"/>
  <c r="G404" i="55" a="1"/>
  <c r="G404" i="55" s="1"/>
  <c r="I563" i="55" a="1"/>
  <c r="I563" i="55" s="1"/>
  <c r="I554" i="55" a="1"/>
  <c r="I554" i="55" s="1"/>
  <c r="I667" i="55" a="1"/>
  <c r="I667" i="55" s="1"/>
  <c r="G20" i="55" a="1"/>
  <c r="G20" i="55" s="1"/>
  <c r="G473" i="55" a="1"/>
  <c r="G473" i="55" s="1"/>
  <c r="G232" i="55" a="1"/>
  <c r="G232" i="55" s="1"/>
  <c r="K232" i="55" s="1"/>
  <c r="G263" i="55" a="1"/>
  <c r="G263" i="55" s="1"/>
  <c r="I265" i="55" a="1"/>
  <c r="I265" i="55" s="1"/>
  <c r="I431" i="55" a="1"/>
  <c r="I431" i="55" s="1"/>
  <c r="G455" i="55" a="1"/>
  <c r="G455" i="55" s="1"/>
  <c r="I440" i="55" a="1"/>
  <c r="I440" i="55" s="1"/>
  <c r="I454" i="55" a="1"/>
  <c r="I454" i="55" s="1"/>
  <c r="G416" i="55" a="1"/>
  <c r="G416" i="55" s="1"/>
  <c r="I416" i="55" a="1"/>
  <c r="I416" i="55" s="1"/>
  <c r="G563" i="55" a="1"/>
  <c r="G563" i="55" s="1"/>
  <c r="I58" i="55" a="1"/>
  <c r="I58" i="55" s="1"/>
  <c r="I69" i="55" a="1"/>
  <c r="I69" i="55" s="1"/>
  <c r="I20" i="55" a="1"/>
  <c r="I20" i="55" s="1"/>
  <c r="G502" i="55" a="1"/>
  <c r="G502" i="55" s="1"/>
  <c r="K502" i="55" s="1"/>
  <c r="I458" i="55" a="1"/>
  <c r="I458" i="55" s="1"/>
  <c r="I551" i="55" a="1"/>
  <c r="I551" i="55" s="1"/>
  <c r="G458" i="55" a="1"/>
  <c r="G458" i="55" s="1"/>
  <c r="G470" i="55" a="1"/>
  <c r="G470" i="55" s="1"/>
  <c r="G280" i="55" a="1"/>
  <c r="G280" i="55" s="1"/>
  <c r="I275" i="55" a="1"/>
  <c r="I275" i="55" s="1"/>
  <c r="G380" i="55" a="1"/>
  <c r="G380" i="55" s="1"/>
  <c r="I280" i="55" a="1"/>
  <c r="I280" i="55" s="1"/>
  <c r="G179" i="55" a="1"/>
  <c r="G179" i="55" s="1"/>
  <c r="G623" i="55" a="1"/>
  <c r="G623" i="55" s="1"/>
  <c r="G189" i="55" a="1"/>
  <c r="G189" i="55" s="1"/>
  <c r="G276" i="55" a="1"/>
  <c r="G276" i="55" s="1"/>
  <c r="I278" i="55" a="1"/>
  <c r="I278" i="55" s="1"/>
  <c r="I276" i="55" a="1"/>
  <c r="I276" i="55" s="1"/>
  <c r="G278" i="55" a="1"/>
  <c r="G278" i="55" s="1"/>
  <c r="I380" i="55" a="1"/>
  <c r="I380" i="55" s="1"/>
  <c r="I643" i="55" a="1"/>
  <c r="I643" i="55" s="1"/>
  <c r="G275" i="55" a="1"/>
  <c r="G275" i="55" s="1"/>
  <c r="K275" i="55" s="1"/>
  <c r="G309" i="55" a="1"/>
  <c r="G309" i="55" s="1"/>
  <c r="I623" i="55" a="1"/>
  <c r="I623" i="55" s="1"/>
  <c r="I449" i="55" a="1"/>
  <c r="I449" i="55" s="1"/>
  <c r="I189" i="55" a="1"/>
  <c r="I189" i="55" s="1"/>
  <c r="I179" i="55" a="1"/>
  <c r="I179" i="55" s="1"/>
  <c r="G643" i="55" a="1"/>
  <c r="G643" i="55" s="1"/>
  <c r="G449" i="55" a="1"/>
  <c r="G449" i="55" s="1"/>
  <c r="I309" i="55" a="1"/>
  <c r="I309" i="55" s="1"/>
  <c r="E45" i="70" a="1"/>
  <c r="E45" i="70" s="1"/>
  <c r="E44" i="70" a="1"/>
  <c r="E44" i="70" s="1"/>
  <c r="F43" i="70" a="1"/>
  <c r="F43" i="70" s="1"/>
  <c r="F45" i="70" a="1"/>
  <c r="F45" i="70" s="1"/>
  <c r="E43" i="70" a="1"/>
  <c r="E43" i="70" s="1"/>
  <c r="F44" i="70" a="1"/>
  <c r="F44" i="70" s="1"/>
  <c r="H44" i="70" s="1"/>
  <c r="I18" i="78"/>
  <c r="F14" i="77" a="1"/>
  <c r="F14" i="77" s="1"/>
  <c r="F16" i="77" a="1"/>
  <c r="F16" i="77" s="1"/>
  <c r="G9" i="77" a="1"/>
  <c r="G9" i="77" s="1"/>
  <c r="J9" i="77" s="1"/>
  <c r="G13" i="77" a="1"/>
  <c r="G13" i="77" s="1"/>
  <c r="J13" i="77" s="1"/>
  <c r="G14" i="77" a="1"/>
  <c r="G14" i="77" s="1"/>
  <c r="F18" i="77" a="1"/>
  <c r="F18" i="77" s="1"/>
  <c r="F12" i="77" a="1"/>
  <c r="F12" i="77" s="1"/>
  <c r="F10" i="77" a="1"/>
  <c r="F10" i="77" s="1"/>
  <c r="G17" i="77" a="1"/>
  <c r="G17" i="77" s="1"/>
  <c r="F13" i="77" a="1"/>
  <c r="F13" i="77" s="1"/>
  <c r="G16" i="77" a="1"/>
  <c r="G16" i="77" s="1"/>
  <c r="G12" i="77" a="1"/>
  <c r="G12" i="77" s="1"/>
  <c r="J12" i="77" s="1"/>
  <c r="G10" i="77" a="1"/>
  <c r="G10" i="77" s="1"/>
  <c r="J10" i="77" s="1"/>
  <c r="G15" i="77" a="1"/>
  <c r="G15" i="77" s="1"/>
  <c r="J15" i="77" s="1"/>
  <c r="G18" i="77" a="1"/>
  <c r="G18" i="77" s="1"/>
  <c r="F15" i="77" a="1"/>
  <c r="F15" i="77" s="1"/>
  <c r="F17" i="77" a="1"/>
  <c r="F17" i="77" s="1"/>
  <c r="H17" i="77" s="1"/>
  <c r="F9" i="77" a="1"/>
  <c r="F9" i="77" s="1"/>
  <c r="E13" i="12" a="1"/>
  <c r="E13" i="12" s="1"/>
  <c r="F13" i="12" a="1"/>
  <c r="F13" i="12" s="1"/>
  <c r="F14" i="12" a="1"/>
  <c r="F14" i="12" s="1"/>
  <c r="E14" i="12" a="1"/>
  <c r="E14" i="12" s="1"/>
  <c r="F149" i="60"/>
  <c r="F269" i="60"/>
  <c r="H82" i="60"/>
  <c r="I460" i="55" a="1"/>
  <c r="I460" i="55" s="1"/>
  <c r="G541" i="55" a="1"/>
  <c r="G541" i="55" s="1"/>
  <c r="G365" i="55" a="1"/>
  <c r="G365" i="55" s="1"/>
  <c r="I469" i="55" a="1"/>
  <c r="I469" i="55" s="1"/>
  <c r="I581" i="55" a="1"/>
  <c r="I581" i="55" s="1"/>
  <c r="G627" i="55" a="1"/>
  <c r="G627" i="55" s="1"/>
  <c r="G292" i="55" a="1"/>
  <c r="G292" i="55" s="1"/>
  <c r="I279" i="55" a="1"/>
  <c r="I279" i="55" s="1"/>
  <c r="G344" i="55" a="1"/>
  <c r="G344" i="55" s="1"/>
  <c r="G506" i="55" a="1"/>
  <c r="G506" i="55" s="1"/>
  <c r="I425" i="55" a="1"/>
  <c r="I425" i="55" s="1"/>
  <c r="G399" i="55" a="1"/>
  <c r="G399" i="55" s="1"/>
  <c r="G353" i="55" a="1"/>
  <c r="G353" i="55" s="1"/>
  <c r="I208" i="55" a="1"/>
  <c r="I208" i="55" s="1"/>
  <c r="I610" i="55" a="1"/>
  <c r="I610" i="55" s="1"/>
  <c r="G591" i="55" a="1"/>
  <c r="G591" i="55" s="1"/>
  <c r="G214" i="55" a="1"/>
  <c r="G214" i="55" s="1"/>
  <c r="I72" i="55" a="1"/>
  <c r="I72" i="55" s="1"/>
  <c r="I501" i="55" a="1"/>
  <c r="I501" i="55" s="1"/>
  <c r="G685" i="55" a="1"/>
  <c r="G685" i="55" s="1"/>
  <c r="G659" i="55" a="1"/>
  <c r="G659" i="55" s="1"/>
  <c r="I356" i="55" a="1"/>
  <c r="I356" i="55" s="1"/>
  <c r="G357" i="55" a="1"/>
  <c r="G357" i="55" s="1"/>
  <c r="G460" i="55" a="1"/>
  <c r="G460" i="55" s="1"/>
  <c r="I505" i="55" a="1"/>
  <c r="I505" i="55" s="1"/>
  <c r="I410" i="55" a="1"/>
  <c r="I410" i="55" s="1"/>
  <c r="G469" i="55" a="1"/>
  <c r="G469" i="55" s="1"/>
  <c r="G581" i="55" a="1"/>
  <c r="G581" i="55" s="1"/>
  <c r="I274" i="55" a="1"/>
  <c r="I274" i="55" s="1"/>
  <c r="I493" i="55" a="1"/>
  <c r="I493" i="55" s="1"/>
  <c r="G279" i="55" a="1"/>
  <c r="G279" i="55" s="1"/>
  <c r="I420" i="55" a="1"/>
  <c r="I420" i="55" s="1"/>
  <c r="G237" i="55" a="1"/>
  <c r="G237" i="55" s="1"/>
  <c r="G425" i="55" a="1"/>
  <c r="G425" i="55" s="1"/>
  <c r="I541" i="55" a="1"/>
  <c r="I541" i="55" s="1"/>
  <c r="I365" i="55" a="1"/>
  <c r="I365" i="55" s="1"/>
  <c r="G208" i="55" a="1"/>
  <c r="G208" i="55" s="1"/>
  <c r="G610" i="55" a="1"/>
  <c r="G610" i="55" s="1"/>
  <c r="I627" i="55" a="1"/>
  <c r="I627" i="55" s="1"/>
  <c r="I292" i="55" a="1"/>
  <c r="I292" i="55" s="1"/>
  <c r="G72" i="55" a="1"/>
  <c r="G72" i="55" s="1"/>
  <c r="G501" i="55" a="1"/>
  <c r="G501" i="55" s="1"/>
  <c r="I685" i="55" a="1"/>
  <c r="I685" i="55" s="1"/>
  <c r="I506" i="55" a="1"/>
  <c r="I506" i="55" s="1"/>
  <c r="G356" i="55" a="1"/>
  <c r="G356" i="55" s="1"/>
  <c r="I399" i="55" a="1"/>
  <c r="I399" i="55" s="1"/>
  <c r="I353" i="55" a="1"/>
  <c r="I353" i="55" s="1"/>
  <c r="G505" i="55" a="1"/>
  <c r="G505" i="55" s="1"/>
  <c r="G410" i="55" a="1"/>
  <c r="G410" i="55" s="1"/>
  <c r="I591" i="55" a="1"/>
  <c r="I591" i="55" s="1"/>
  <c r="I214" i="55" a="1"/>
  <c r="I214" i="55" s="1"/>
  <c r="G274" i="55" a="1"/>
  <c r="G274" i="55" s="1"/>
  <c r="G493" i="55" a="1"/>
  <c r="G493" i="55" s="1"/>
  <c r="I237" i="55" a="1"/>
  <c r="I237" i="55" s="1"/>
  <c r="I659" i="55" a="1"/>
  <c r="I659" i="55" s="1"/>
  <c r="G420" i="55" a="1"/>
  <c r="G420" i="55" s="1"/>
  <c r="K420" i="55" s="1"/>
  <c r="I357" i="55" a="1"/>
  <c r="I357" i="55" s="1"/>
  <c r="I344" i="55" a="1"/>
  <c r="I344" i="55" s="1"/>
  <c r="G615" i="55" a="1"/>
  <c r="G615" i="55" s="1"/>
  <c r="I196" i="55" a="1"/>
  <c r="I196" i="55" s="1"/>
  <c r="G345" i="55" a="1"/>
  <c r="G345" i="55" s="1"/>
  <c r="E56" i="15" a="1"/>
  <c r="E56" i="15" s="1"/>
  <c r="E6" i="12" a="1"/>
  <c r="E6" i="12" s="1"/>
  <c r="G238" i="55" a="1"/>
  <c r="G238" i="55" s="1"/>
  <c r="G529" i="55" a="1"/>
  <c r="G529" i="55" s="1"/>
  <c r="G76" i="55" a="1"/>
  <c r="G76" i="55" s="1"/>
  <c r="I631" i="55" a="1"/>
  <c r="I631" i="55" s="1"/>
  <c r="G228" i="55" a="1"/>
  <c r="G228" i="55" s="1"/>
  <c r="G607" i="55" a="1"/>
  <c r="G607" i="55" s="1"/>
  <c r="G508" i="55" a="1"/>
  <c r="G508" i="55" s="1"/>
  <c r="G381" i="55" a="1"/>
  <c r="G381" i="55" s="1"/>
  <c r="I432" i="55" a="1"/>
  <c r="I432" i="55" s="1"/>
  <c r="I192" i="55" a="1"/>
  <c r="I192" i="55" s="1"/>
  <c r="I540" i="55" a="1"/>
  <c r="I540" i="55" s="1"/>
  <c r="G190" i="55" a="1"/>
  <c r="G190" i="55" s="1"/>
  <c r="I407" i="55" a="1"/>
  <c r="I407" i="55" s="1"/>
  <c r="I508" i="55" a="1"/>
  <c r="I508" i="55" s="1"/>
  <c r="I381" i="55" a="1"/>
  <c r="I381" i="55" s="1"/>
  <c r="G407" i="55" a="1"/>
  <c r="G407" i="55" s="1"/>
  <c r="G52" i="55" a="1"/>
  <c r="G52" i="55" s="1"/>
  <c r="I456" i="55" a="1"/>
  <c r="I456" i="55" s="1"/>
  <c r="I467" i="55" a="1"/>
  <c r="I467" i="55" s="1"/>
  <c r="G347" i="55" a="1"/>
  <c r="G347" i="55" s="1"/>
  <c r="G423" i="55" a="1"/>
  <c r="G423" i="55" s="1"/>
  <c r="G364" i="55" a="1"/>
  <c r="G364" i="55" s="1"/>
  <c r="I319" i="55" a="1"/>
  <c r="I319" i="55" s="1"/>
  <c r="G45" i="15"/>
  <c r="G192" i="55" a="1"/>
  <c r="G192" i="55" s="1"/>
  <c r="G540" i="55" a="1"/>
  <c r="G540" i="55" s="1"/>
  <c r="G432" i="55" a="1"/>
  <c r="G432" i="55" s="1"/>
  <c r="I190" i="55" a="1"/>
  <c r="I190" i="55" s="1"/>
  <c r="H45" i="15"/>
  <c r="G123" i="55" a="1"/>
  <c r="G123" i="55" s="1"/>
  <c r="I166" i="55" a="1"/>
  <c r="I166" i="55" s="1"/>
  <c r="G25" i="55" a="1"/>
  <c r="G25" i="55" s="1"/>
  <c r="I105" i="55" a="1"/>
  <c r="I105" i="55" s="1"/>
  <c r="G65" i="55" a="1"/>
  <c r="G65" i="55" s="1"/>
  <c r="G560" i="55" a="1"/>
  <c r="G560" i="55" s="1"/>
  <c r="G29" i="55" a="1"/>
  <c r="G29" i="55" s="1"/>
  <c r="F6" i="12" a="1"/>
  <c r="F6" i="12" s="1"/>
  <c r="I59" i="55" a="1"/>
  <c r="I59" i="55" s="1"/>
  <c r="G250" i="55" a="1"/>
  <c r="G250" i="55" s="1"/>
  <c r="E39" i="15" a="1"/>
  <c r="E39" i="15" s="1"/>
  <c r="I163" i="55" a="1"/>
  <c r="I163" i="55" s="1"/>
  <c r="G81" i="55" a="1"/>
  <c r="G81" i="55" s="1"/>
  <c r="I321" i="55" a="1"/>
  <c r="I321" i="55" s="1"/>
  <c r="G142" i="55" a="1"/>
  <c r="G142" i="55" s="1"/>
  <c r="G79" i="55" a="1"/>
  <c r="G79" i="55" s="1"/>
  <c r="I145" i="55" a="1"/>
  <c r="I145" i="55" s="1"/>
  <c r="F32" i="15" a="1"/>
  <c r="F32" i="15" s="1"/>
  <c r="I421" i="55" a="1"/>
  <c r="I421" i="55" s="1"/>
  <c r="F42" i="15" a="1"/>
  <c r="F42" i="15" s="1"/>
  <c r="I131" i="55" a="1"/>
  <c r="I131" i="55" s="1"/>
  <c r="G172" i="55" a="1"/>
  <c r="G172" i="55" s="1"/>
  <c r="I169" i="55" a="1"/>
  <c r="I169" i="55" s="1"/>
  <c r="G177" i="55" a="1"/>
  <c r="G177" i="55" s="1"/>
  <c r="I264" i="55" a="1"/>
  <c r="I264" i="55" s="1"/>
  <c r="G48" i="55" a="1"/>
  <c r="G48" i="55" s="1"/>
  <c r="I90" i="55" a="1"/>
  <c r="I90" i="55" s="1"/>
  <c r="G34" i="55" a="1"/>
  <c r="G34" i="55" s="1"/>
  <c r="I87" i="55" a="1"/>
  <c r="I87" i="55" s="1"/>
  <c r="G68" i="55" a="1"/>
  <c r="G68" i="55" s="1"/>
  <c r="I102" i="55" a="1"/>
  <c r="I102" i="55" s="1"/>
  <c r="E26" i="15" a="1"/>
  <c r="E26" i="15" s="1"/>
  <c r="G67" i="55" a="1"/>
  <c r="G67" i="55" s="1"/>
  <c r="I597" i="55" a="1"/>
  <c r="I597" i="55" s="1"/>
  <c r="I157" i="55" a="1"/>
  <c r="I157" i="55" s="1"/>
  <c r="G570" i="55" a="1"/>
  <c r="G570" i="55" s="1"/>
  <c r="G126" i="55" a="1"/>
  <c r="G126" i="55" s="1"/>
  <c r="G102" i="55" a="1"/>
  <c r="G102" i="55" s="1"/>
  <c r="I136" i="55" a="1"/>
  <c r="I136" i="55" s="1"/>
  <c r="E53" i="15" a="1"/>
  <c r="E53" i="15" s="1"/>
  <c r="G51" i="55" a="1"/>
  <c r="G51" i="55" s="1"/>
  <c r="F35" i="15" a="1"/>
  <c r="F35" i="15" s="1"/>
  <c r="I134" i="55" a="1"/>
  <c r="I134" i="55" s="1"/>
  <c r="G106" i="55" a="1"/>
  <c r="G106" i="55" s="1"/>
  <c r="G211" i="55" a="1"/>
  <c r="G211" i="55" s="1"/>
  <c r="G173" i="55" a="1"/>
  <c r="G173" i="55" s="1"/>
  <c r="I126" i="55" a="1"/>
  <c r="I126" i="55" s="1"/>
  <c r="I75" i="55" a="1"/>
  <c r="I75" i="55" s="1"/>
  <c r="G130" i="55" a="1"/>
  <c r="G130" i="55" s="1"/>
  <c r="I35" i="55" a="1"/>
  <c r="I35" i="55" s="1"/>
  <c r="G35" i="55" a="1"/>
  <c r="G35" i="55" s="1"/>
  <c r="I148" i="55" a="1"/>
  <c r="I148" i="55" s="1"/>
  <c r="I161" i="55" a="1"/>
  <c r="I161" i="55" s="1"/>
  <c r="I43" i="55" a="1"/>
  <c r="I43" i="55" s="1"/>
  <c r="I97" i="55" a="1"/>
  <c r="I97" i="55" s="1"/>
  <c r="G17" i="55" a="1"/>
  <c r="G17" i="55" s="1"/>
  <c r="F12" i="15" a="1"/>
  <c r="F12" i="15" s="1"/>
  <c r="G108" i="55" a="1"/>
  <c r="G108" i="55" s="1"/>
  <c r="G50" i="55" a="1"/>
  <c r="G50" i="55" s="1"/>
  <c r="I128" i="55" a="1"/>
  <c r="I128" i="55" s="1"/>
  <c r="G91" i="55" a="1"/>
  <c r="G91" i="55" s="1"/>
  <c r="I38" i="55" a="1"/>
  <c r="I38" i="55" s="1"/>
  <c r="F57" i="15" a="1"/>
  <c r="F57" i="15" s="1"/>
  <c r="G128" i="55" a="1"/>
  <c r="G128" i="55" s="1"/>
  <c r="I46" i="55" a="1"/>
  <c r="I46" i="55" s="1"/>
  <c r="G644" i="55" a="1"/>
  <c r="G644" i="55" s="1"/>
  <c r="E58" i="15" a="1"/>
  <c r="E58" i="15" s="1"/>
  <c r="I58" i="15" s="1"/>
  <c r="G161" i="55" a="1"/>
  <c r="G161" i="55" s="1"/>
  <c r="G57" i="55" a="1"/>
  <c r="G57" i="55" s="1"/>
  <c r="G227" i="55" a="1"/>
  <c r="G227" i="55" s="1"/>
  <c r="E55" i="15" a="1"/>
  <c r="E55" i="15" s="1"/>
  <c r="G583" i="55" a="1"/>
  <c r="G583" i="55" s="1"/>
  <c r="I50" i="55" a="1"/>
  <c r="I50" i="55" s="1"/>
  <c r="I34" i="55" a="1"/>
  <c r="I34" i="55" s="1"/>
  <c r="I118" i="55" a="1"/>
  <c r="I118" i="55" s="1"/>
  <c r="G31" i="55" a="1"/>
  <c r="G31" i="55" s="1"/>
  <c r="G46" i="55" a="1"/>
  <c r="G46" i="55" s="1"/>
  <c r="G421" i="55" a="1"/>
  <c r="G421" i="55" s="1"/>
  <c r="I170" i="55" a="1"/>
  <c r="I170" i="55" s="1"/>
  <c r="I84" i="55" a="1"/>
  <c r="I84" i="55" s="1"/>
  <c r="I36" i="55" a="1"/>
  <c r="I36" i="55" s="1"/>
  <c r="E47" i="15" a="1"/>
  <c r="E47" i="15" s="1"/>
  <c r="E19" i="15" a="1"/>
  <c r="E19" i="15" s="1"/>
  <c r="F28" i="15" a="1"/>
  <c r="F28" i="15" s="1"/>
  <c r="G75" i="55" a="1"/>
  <c r="G75" i="55" s="1"/>
  <c r="E8" i="12" a="1"/>
  <c r="E8" i="12" s="1"/>
  <c r="I48" i="55" a="1"/>
  <c r="I48" i="55" s="1"/>
  <c r="I172" i="55" a="1"/>
  <c r="I172" i="55" s="1"/>
  <c r="G169" i="55" a="1"/>
  <c r="G169" i="55" s="1"/>
  <c r="I168" i="55" a="1"/>
  <c r="I168" i="55" s="1"/>
  <c r="I31" i="55" a="1"/>
  <c r="I31" i="55" s="1"/>
  <c r="I79" i="55" a="1"/>
  <c r="I79" i="55" s="1"/>
  <c r="I55" i="55" a="1"/>
  <c r="I55" i="55" s="1"/>
  <c r="G143" i="55" a="1"/>
  <c r="G143" i="55" s="1"/>
  <c r="I173" i="55" a="1"/>
  <c r="I173" i="55" s="1"/>
  <c r="I37" i="55" a="1"/>
  <c r="I37" i="55" s="1"/>
  <c r="F12" i="12" a="1"/>
  <c r="F12" i="12" s="1"/>
  <c r="I124" i="55" a="1"/>
  <c r="I124" i="55" s="1"/>
  <c r="I117" i="55" a="1"/>
  <c r="I117" i="55" s="1"/>
  <c r="E40" i="15" a="1"/>
  <c r="E40" i="15" s="1"/>
  <c r="G33" i="55" a="1"/>
  <c r="G33" i="55" s="1"/>
  <c r="G124" i="55" a="1"/>
  <c r="G124" i="55" s="1"/>
  <c r="I156" i="55" a="1"/>
  <c r="I156" i="55" s="1"/>
  <c r="I68" i="55" a="1"/>
  <c r="I68" i="55" s="1"/>
  <c r="I92" i="55" a="1"/>
  <c r="I92" i="55" s="1"/>
  <c r="E50" i="15" a="1"/>
  <c r="E50" i="15" s="1"/>
  <c r="G85" i="55" a="1"/>
  <c r="G85" i="55" s="1"/>
  <c r="G176" i="55" a="1"/>
  <c r="G176" i="55" s="1"/>
  <c r="F40" i="15" a="1"/>
  <c r="F40" i="15" s="1"/>
  <c r="G86" i="55" a="1"/>
  <c r="G86" i="55" s="1"/>
  <c r="G151" i="55" a="1"/>
  <c r="G151" i="55" s="1"/>
  <c r="G171" i="55" a="1"/>
  <c r="G171" i="55" s="1"/>
  <c r="F50" i="15" a="1"/>
  <c r="F50" i="15" s="1"/>
  <c r="E7" i="12" a="1"/>
  <c r="E7" i="12" s="1"/>
  <c r="I116" i="55" a="1"/>
  <c r="I116" i="55" s="1"/>
  <c r="G156" i="55" a="1"/>
  <c r="G156" i="55" s="1"/>
  <c r="I52" i="55" a="1"/>
  <c r="I52" i="55" s="1"/>
  <c r="I39" i="55" a="1"/>
  <c r="I39" i="55" s="1"/>
  <c r="G134" i="55" a="1"/>
  <c r="G134" i="55" s="1"/>
  <c r="G147" i="55" a="1"/>
  <c r="G147" i="55" s="1"/>
  <c r="G122" i="55" a="1"/>
  <c r="G122" i="55" s="1"/>
  <c r="I329" i="55" a="1"/>
  <c r="I329" i="55" s="1"/>
  <c r="I149" i="55" a="1"/>
  <c r="I149" i="55" s="1"/>
  <c r="E35" i="15" a="1"/>
  <c r="E35" i="15" s="1"/>
  <c r="G80" i="55" a="1"/>
  <c r="G80" i="55" s="1"/>
  <c r="I171" i="55" a="1"/>
  <c r="I171" i="55" s="1"/>
  <c r="G99" i="55" a="1"/>
  <c r="G99" i="55" s="1"/>
  <c r="I146" i="55" a="1"/>
  <c r="I146" i="55" s="1"/>
  <c r="G153" i="55" a="1"/>
  <c r="G153" i="55" s="1"/>
  <c r="F15" i="15" a="1"/>
  <c r="F15" i="15" s="1"/>
  <c r="G391" i="55" a="1"/>
  <c r="G391" i="55" s="1"/>
  <c r="I230" i="55" a="1"/>
  <c r="I230" i="55" s="1"/>
  <c r="I85" i="55" a="1"/>
  <c r="I85" i="55" s="1"/>
  <c r="I391" i="55" a="1"/>
  <c r="I391" i="55" s="1"/>
  <c r="G28" i="55" a="1"/>
  <c r="G28" i="55" s="1"/>
  <c r="G82" i="55" a="1"/>
  <c r="G82" i="55" s="1"/>
  <c r="G61" i="55" a="1"/>
  <c r="G61" i="55" s="1"/>
  <c r="I160" i="55" a="1"/>
  <c r="I160" i="55" s="1"/>
  <c r="I649" i="55" a="1"/>
  <c r="I649" i="55" s="1"/>
  <c r="G121" i="55" a="1"/>
  <c r="G121" i="55" s="1"/>
  <c r="F17" i="15" a="1"/>
  <c r="F17" i="15" s="1"/>
  <c r="E52" i="15" a="1"/>
  <c r="E52" i="15" s="1"/>
  <c r="I29" i="55" a="1"/>
  <c r="I29" i="55" s="1"/>
  <c r="I81" i="55" a="1"/>
  <c r="I81" i="55" s="1"/>
  <c r="G105" i="55" a="1"/>
  <c r="G105" i="55" s="1"/>
  <c r="F37" i="15" a="1"/>
  <c r="F37" i="15" s="1"/>
  <c r="I98" i="55" a="1"/>
  <c r="I98" i="55" s="1"/>
  <c r="G125" i="55" a="1"/>
  <c r="G125" i="55" s="1"/>
  <c r="G146" i="55" a="1"/>
  <c r="G146" i="55" s="1"/>
  <c r="G107" i="55" a="1"/>
  <c r="G107" i="55" s="1"/>
  <c r="I125" i="55" a="1"/>
  <c r="I125" i="55" s="1"/>
  <c r="I267" i="55" a="1"/>
  <c r="I267" i="55" s="1"/>
  <c r="I122" i="55" a="1"/>
  <c r="I122" i="55" s="1"/>
  <c r="I177" i="55" a="1"/>
  <c r="I177" i="55" s="1"/>
  <c r="E54" i="15" a="1"/>
  <c r="E54" i="15" s="1"/>
  <c r="I93" i="55" a="1"/>
  <c r="I93" i="55" s="1"/>
  <c r="G94" i="55" a="1"/>
  <c r="G94" i="55" s="1"/>
  <c r="I107" i="55" a="1"/>
  <c r="I107" i="55" s="1"/>
  <c r="G119" i="55" a="1"/>
  <c r="G119" i="55" s="1"/>
  <c r="F39" i="15" a="1"/>
  <c r="F39" i="15" s="1"/>
  <c r="G374" i="55" a="1"/>
  <c r="G374" i="55" s="1"/>
  <c r="I63" i="55" a="1"/>
  <c r="I63" i="55" s="1"/>
  <c r="I104" i="55" a="1"/>
  <c r="I104" i="55" s="1"/>
  <c r="I99" i="55" a="1"/>
  <c r="I99" i="55" s="1"/>
  <c r="I61" i="55" a="1"/>
  <c r="I61" i="55" s="1"/>
  <c r="F48" i="15" a="1"/>
  <c r="F48" i="15" s="1"/>
  <c r="G55" i="55" a="1"/>
  <c r="G55" i="55" s="1"/>
  <c r="I65" i="55" a="1"/>
  <c r="I65" i="55" s="1"/>
  <c r="G83" i="55" a="1"/>
  <c r="G83" i="55" s="1"/>
  <c r="G155" i="55" a="1"/>
  <c r="G155" i="55" s="1"/>
  <c r="G56" i="55" a="1"/>
  <c r="G56" i="55" s="1"/>
  <c r="G87" i="55" a="1"/>
  <c r="G87" i="55" s="1"/>
  <c r="I42" i="55" a="1"/>
  <c r="I42" i="55" s="1"/>
  <c r="I227" i="55" a="1"/>
  <c r="I227" i="55" s="1"/>
  <c r="G145" i="55" a="1"/>
  <c r="G145" i="55" s="1"/>
  <c r="G90" i="55" a="1"/>
  <c r="G90" i="55" s="1"/>
  <c r="I74" i="55" a="1"/>
  <c r="I74" i="55" s="1"/>
  <c r="I18" i="55" a="1"/>
  <c r="I18" i="55" s="1"/>
  <c r="G100" i="55" a="1"/>
  <c r="G100" i="55" s="1"/>
  <c r="I176" i="55" a="1"/>
  <c r="I176" i="55" s="1"/>
  <c r="I583" i="55" a="1"/>
  <c r="I583" i="55" s="1"/>
  <c r="I28" i="55" a="1"/>
  <c r="I28" i="55" s="1"/>
  <c r="I162" i="55" a="1"/>
  <c r="I162" i="55" s="1"/>
  <c r="G47" i="55" a="1"/>
  <c r="G47" i="55" s="1"/>
  <c r="G77" i="55" a="1"/>
  <c r="G77" i="55" s="1"/>
  <c r="G136" i="55" a="1"/>
  <c r="G136" i="55" s="1"/>
  <c r="G159" i="55" a="1"/>
  <c r="G159" i="55" s="1"/>
  <c r="I33" i="55" a="1"/>
  <c r="I33" i="55" s="1"/>
  <c r="I119" i="55" a="1"/>
  <c r="I119" i="55" s="1"/>
  <c r="I142" i="55" a="1"/>
  <c r="I142" i="55" s="1"/>
  <c r="I56" i="55" a="1"/>
  <c r="I56" i="55" s="1"/>
  <c r="G148" i="55" a="1"/>
  <c r="G148" i="55" s="1"/>
  <c r="I32" i="55" a="1"/>
  <c r="I32" i="55" s="1"/>
  <c r="G103" i="55" a="1"/>
  <c r="G103" i="55" s="1"/>
  <c r="I103" i="55" a="1"/>
  <c r="I103" i="55" s="1"/>
  <c r="I159" i="55" a="1"/>
  <c r="I159" i="55" s="1"/>
  <c r="I130" i="55" a="1"/>
  <c r="I130" i="55" s="1"/>
  <c r="I54" i="55" a="1"/>
  <c r="I54" i="55" s="1"/>
  <c r="G93" i="55" a="1"/>
  <c r="G93" i="55" s="1"/>
  <c r="I499" i="55" a="1"/>
  <c r="I499" i="55" s="1"/>
  <c r="G37" i="55" a="1"/>
  <c r="G37" i="55" s="1"/>
  <c r="G166" i="55" a="1"/>
  <c r="G166" i="55" s="1"/>
  <c r="G631" i="55" a="1"/>
  <c r="G631" i="55" s="1"/>
  <c r="G59" i="55" a="1"/>
  <c r="G59" i="55" s="1"/>
  <c r="G649" i="55" a="1"/>
  <c r="G649" i="55" s="1"/>
  <c r="I152" i="55" a="1"/>
  <c r="I152" i="55" s="1"/>
  <c r="I89" i="55" a="1"/>
  <c r="I89" i="55" s="1"/>
  <c r="G49" i="55" a="1"/>
  <c r="G49" i="55" s="1"/>
  <c r="G36" i="55" a="1"/>
  <c r="G36" i="55" s="1"/>
  <c r="G329" i="55" a="1"/>
  <c r="G329" i="55" s="1"/>
  <c r="I64" i="55" a="1"/>
  <c r="I64" i="55" s="1"/>
  <c r="I86" i="55" a="1"/>
  <c r="I86" i="55" s="1"/>
  <c r="G457" i="55" a="1"/>
  <c r="G457" i="55" s="1"/>
  <c r="G326" i="55" a="1"/>
  <c r="G326" i="55" s="1"/>
  <c r="I139" i="55" a="1"/>
  <c r="I139" i="55" s="1"/>
  <c r="G32" i="55" a="1"/>
  <c r="G32" i="55" s="1"/>
  <c r="G42" i="55" a="1"/>
  <c r="G42" i="55" s="1"/>
  <c r="I53" i="55" a="1"/>
  <c r="I53" i="55" s="1"/>
  <c r="F10" i="15" a="1"/>
  <c r="F10" i="15" s="1"/>
  <c r="F11" i="15" s="1"/>
  <c r="I82" i="55" a="1"/>
  <c r="I82" i="55" s="1"/>
  <c r="G116" i="55" a="1"/>
  <c r="G116" i="55" s="1"/>
  <c r="I560" i="55" a="1"/>
  <c r="I560" i="55" s="1"/>
  <c r="I374" i="55" a="1"/>
  <c r="I374" i="55" s="1"/>
  <c r="I78" i="55" a="1"/>
  <c r="I78" i="55" s="1"/>
  <c r="G137" i="55" a="1"/>
  <c r="G137" i="55" s="1"/>
  <c r="G165" i="55" a="1"/>
  <c r="G165" i="55" s="1"/>
  <c r="G158" i="55" a="1"/>
  <c r="G158" i="55" s="1"/>
  <c r="F10" i="12" a="1"/>
  <c r="F10" i="12" s="1"/>
  <c r="G382" i="55" a="1"/>
  <c r="G382" i="55" s="1"/>
  <c r="G88" i="55" a="1"/>
  <c r="G88" i="55" s="1"/>
  <c r="I108" i="55" a="1"/>
  <c r="I108" i="55" s="1"/>
  <c r="E10" i="15" a="1"/>
  <c r="E10" i="15" s="1"/>
  <c r="I158" i="55" a="1"/>
  <c r="I158" i="55" s="1"/>
  <c r="I80" i="55" a="1"/>
  <c r="I80" i="55" s="1"/>
  <c r="G157" i="55" a="1"/>
  <c r="G157" i="55" s="1"/>
  <c r="G43" i="55" a="1"/>
  <c r="G43" i="55" s="1"/>
  <c r="G54" i="55" a="1"/>
  <c r="G54" i="55" s="1"/>
  <c r="I91" i="55" a="1"/>
  <c r="I91" i="55" s="1"/>
  <c r="I44" i="55" a="1"/>
  <c r="I44" i="55" s="1"/>
  <c r="F8" i="12" a="1"/>
  <c r="F8" i="12" s="1"/>
  <c r="G89" i="55" a="1"/>
  <c r="G89" i="55" s="1"/>
  <c r="G84" i="55" a="1"/>
  <c r="G84" i="55" s="1"/>
  <c r="I138" i="55" a="1"/>
  <c r="I138" i="55" s="1"/>
  <c r="I17" i="55" a="1"/>
  <c r="I17" i="55" s="1"/>
  <c r="I51" i="55" a="1"/>
  <c r="I51" i="55" s="1"/>
  <c r="G215" i="55" a="1"/>
  <c r="G215" i="55" s="1"/>
  <c r="G14" i="55" a="1"/>
  <c r="G14" i="55" s="1"/>
  <c r="G467" i="55" a="1"/>
  <c r="G467" i="55" s="1"/>
  <c r="G378" i="55" a="1"/>
  <c r="G378" i="55" s="1"/>
  <c r="I147" i="55" a="1"/>
  <c r="I147" i="55" s="1"/>
  <c r="G152" i="55" a="1"/>
  <c r="G152" i="55" s="1"/>
  <c r="G78" i="55" a="1"/>
  <c r="G78" i="55" s="1"/>
  <c r="I96" i="55" a="1"/>
  <c r="I96" i="55" s="1"/>
  <c r="G118" i="55" a="1"/>
  <c r="G118" i="55" s="1"/>
  <c r="F7" i="12" a="1"/>
  <c r="F7" i="12" s="1"/>
  <c r="I49" i="55" a="1"/>
  <c r="I49" i="55" s="1"/>
  <c r="I151" i="55" a="1"/>
  <c r="I151" i="55" s="1"/>
  <c r="I60" i="55" a="1"/>
  <c r="I60" i="55" s="1"/>
  <c r="G98" i="55" a="1"/>
  <c r="G98" i="55" s="1"/>
  <c r="G60" i="55" a="1"/>
  <c r="G60" i="55" s="1"/>
  <c r="F25" i="15" a="1"/>
  <c r="F25" i="15" s="1"/>
  <c r="I633" i="55" a="1"/>
  <c r="I633" i="55" s="1"/>
  <c r="G267" i="55" a="1"/>
  <c r="G267" i="55" s="1"/>
  <c r="I220" i="55" a="1"/>
  <c r="I220" i="55" s="1"/>
  <c r="G669" i="55" a="1"/>
  <c r="G669" i="55" s="1"/>
  <c r="E9" i="12" a="1"/>
  <c r="E9" i="12" s="1"/>
  <c r="F9" i="12" a="1"/>
  <c r="F9" i="12" s="1"/>
  <c r="I587" i="55" a="1"/>
  <c r="I587" i="55" s="1"/>
  <c r="I112" i="55" a="1"/>
  <c r="I112" i="55" s="1"/>
  <c r="G163" i="55" a="1"/>
  <c r="G163" i="55" s="1"/>
  <c r="E25" i="15" a="1"/>
  <c r="E25" i="15" s="1"/>
  <c r="I120" i="55" a="1"/>
  <c r="I120" i="55" s="1"/>
  <c r="G96" i="55" a="1"/>
  <c r="G96" i="55" s="1"/>
  <c r="G63" i="55" a="1"/>
  <c r="G63" i="55" s="1"/>
  <c r="I155" i="55" a="1"/>
  <c r="I155" i="55" s="1"/>
  <c r="I143" i="55" a="1"/>
  <c r="I143" i="55" s="1"/>
  <c r="G95" i="55" a="1"/>
  <c r="G95" i="55" s="1"/>
  <c r="G117" i="55" a="1"/>
  <c r="G117" i="55" s="1"/>
  <c r="G109" i="55" a="1"/>
  <c r="G109" i="55" s="1"/>
  <c r="G164" i="55" a="1"/>
  <c r="G164" i="55" s="1"/>
  <c r="G499" i="55" a="1"/>
  <c r="G499" i="55" s="1"/>
  <c r="I539" i="55" a="1"/>
  <c r="I539" i="55" s="1"/>
  <c r="I602" i="55" a="1"/>
  <c r="I602" i="55" s="1"/>
  <c r="I427" i="55" a="1"/>
  <c r="I427" i="55" s="1"/>
  <c r="E17" i="15" a="1"/>
  <c r="E17" i="15" s="1"/>
  <c r="G110" i="55" a="1"/>
  <c r="G110" i="55" s="1"/>
  <c r="G135" i="55" a="1"/>
  <c r="G135" i="55" s="1"/>
  <c r="F51" i="15" a="1"/>
  <c r="F51" i="15" s="1"/>
  <c r="G167" i="55" a="1"/>
  <c r="G167" i="55" s="1"/>
  <c r="I94" i="55" a="1"/>
  <c r="I94" i="55" s="1"/>
  <c r="F14" i="15" a="1"/>
  <c r="F14" i="15" s="1"/>
  <c r="I113" i="55" a="1"/>
  <c r="I113" i="55" s="1"/>
  <c r="F11" i="12" a="1"/>
  <c r="F11" i="12" s="1"/>
  <c r="I379" i="55" a="1"/>
  <c r="I379" i="55" s="1"/>
  <c r="I350" i="55" a="1"/>
  <c r="I350" i="55" s="1"/>
  <c r="I257" i="55" a="1"/>
  <c r="I257" i="55" s="1"/>
  <c r="G544" i="55" a="1"/>
  <c r="G544" i="55" s="1"/>
  <c r="G16" i="55" a="1"/>
  <c r="G16" i="55" s="1"/>
  <c r="I651" i="55" a="1"/>
  <c r="I651" i="55" s="1"/>
  <c r="F27" i="15" a="1"/>
  <c r="F27" i="15" s="1"/>
  <c r="G97" i="55" a="1"/>
  <c r="G97" i="55" s="1"/>
  <c r="I644" i="55" a="1"/>
  <c r="I644" i="55" s="1"/>
  <c r="E48" i="15" a="1"/>
  <c r="E48" i="15" s="1"/>
  <c r="E14" i="15" a="1"/>
  <c r="E14" i="15" s="1"/>
  <c r="G196" i="55" a="1"/>
  <c r="G196" i="55" s="1"/>
  <c r="I637" i="55" a="1"/>
  <c r="I637" i="55" s="1"/>
  <c r="I164" i="55" a="1"/>
  <c r="I164" i="55" s="1"/>
  <c r="G539" i="55" a="1"/>
  <c r="G539" i="55" s="1"/>
  <c r="G384" i="55" a="1"/>
  <c r="G384" i="55" s="1"/>
  <c r="G253" i="55" a="1"/>
  <c r="G253" i="55" s="1"/>
  <c r="G187" i="55" a="1"/>
  <c r="G187" i="55" s="1"/>
  <c r="I334" i="55" a="1"/>
  <c r="I334" i="55" s="1"/>
  <c r="G521" i="55" a="1"/>
  <c r="G521" i="55" s="1"/>
  <c r="I616" i="55" a="1"/>
  <c r="I616" i="55" s="1"/>
  <c r="E6" i="70" a="1"/>
  <c r="E6" i="70" s="1"/>
  <c r="E28" i="15" a="1"/>
  <c r="E28" i="15" s="1"/>
  <c r="I12" i="55" a="1"/>
  <c r="I12" i="55" s="1"/>
  <c r="I109" i="55" a="1"/>
  <c r="I109" i="55" s="1"/>
  <c r="G71" i="55" a="1"/>
  <c r="G71" i="55" s="1"/>
  <c r="I140" i="55" a="1"/>
  <c r="I140" i="55" s="1"/>
  <c r="G92" i="55" a="1"/>
  <c r="G92" i="55" s="1"/>
  <c r="G569" i="55" a="1"/>
  <c r="G569" i="55" s="1"/>
  <c r="I47" i="55" a="1"/>
  <c r="I47" i="55" s="1"/>
  <c r="I366" i="55" a="1"/>
  <c r="I366" i="55" s="1"/>
  <c r="I67" i="55" a="1"/>
  <c r="I67" i="55" s="1"/>
  <c r="E44" i="15" a="1"/>
  <c r="E44" i="15" s="1"/>
  <c r="E46" i="15" s="1"/>
  <c r="I568" i="55" a="1"/>
  <c r="I568" i="55" s="1"/>
  <c r="I590" i="55" a="1"/>
  <c r="I590" i="55" s="1"/>
  <c r="G170" i="55" a="1"/>
  <c r="G170" i="55" s="1"/>
  <c r="I106" i="55" a="1"/>
  <c r="I106" i="55" s="1"/>
  <c r="G39" i="55" a="1"/>
  <c r="G39" i="55" s="1"/>
  <c r="G131" i="55" a="1"/>
  <c r="G131" i="55" s="1"/>
  <c r="E12" i="15" a="1"/>
  <c r="E12" i="15" s="1"/>
  <c r="E13" i="15" s="1"/>
  <c r="I543" i="55" a="1"/>
  <c r="I543" i="55" s="1"/>
  <c r="G254" i="55" a="1"/>
  <c r="G254" i="55" s="1"/>
  <c r="G348" i="55" a="1"/>
  <c r="G348" i="55" s="1"/>
  <c r="I323" i="55" a="1"/>
  <c r="I323" i="55" s="1"/>
  <c r="F54" i="15" a="1"/>
  <c r="F54" i="15" s="1"/>
  <c r="I54" i="15" s="1"/>
  <c r="F56" i="15" a="1"/>
  <c r="F56" i="15" s="1"/>
  <c r="E27" i="15" a="1"/>
  <c r="E27" i="15" s="1"/>
  <c r="G559" i="55" a="1"/>
  <c r="G559" i="55" s="1"/>
  <c r="I14" i="55" a="1"/>
  <c r="I14" i="55" s="1"/>
  <c r="G120" i="55" a="1"/>
  <c r="G120" i="55" s="1"/>
  <c r="G113" i="55" a="1"/>
  <c r="G113" i="55" s="1"/>
  <c r="I123" i="55" a="1"/>
  <c r="I123" i="55" s="1"/>
  <c r="G64" i="55" a="1"/>
  <c r="G64" i="55" s="1"/>
  <c r="F47" i="15" a="1"/>
  <c r="F47" i="15" s="1"/>
  <c r="G104" i="55" a="1"/>
  <c r="G104" i="55" s="1"/>
  <c r="F34" i="15" a="1"/>
  <c r="F34" i="15" s="1"/>
  <c r="G602" i="55" a="1"/>
  <c r="G602" i="55" s="1"/>
  <c r="G261" i="55" a="1"/>
  <c r="G261" i="55" s="1"/>
  <c r="E15" i="15" a="1"/>
  <c r="E15" i="15" s="1"/>
  <c r="E16" i="15" s="1"/>
  <c r="G535" i="55" a="1"/>
  <c r="G535" i="55" s="1"/>
  <c r="G528" i="55" a="1"/>
  <c r="G528" i="55" s="1"/>
  <c r="I553" i="55" a="1"/>
  <c r="I553" i="55" s="1"/>
  <c r="G324" i="55" a="1"/>
  <c r="G324" i="55" s="1"/>
  <c r="I187" i="55" a="1"/>
  <c r="I187" i="55" s="1"/>
  <c r="G160" i="55" a="1"/>
  <c r="G160" i="55" s="1"/>
  <c r="K160" i="55" s="1"/>
  <c r="G44" i="55" a="1"/>
  <c r="G44" i="55" s="1"/>
  <c r="I83" i="55" a="1"/>
  <c r="I83" i="55" s="1"/>
  <c r="G38" i="55" a="1"/>
  <c r="G38" i="55" s="1"/>
  <c r="I167" i="55" a="1"/>
  <c r="I167" i="55" s="1"/>
  <c r="I100" i="55" a="1"/>
  <c r="I100" i="55" s="1"/>
  <c r="G112" i="55" a="1"/>
  <c r="G112" i="55" s="1"/>
  <c r="F36" i="15" a="1"/>
  <c r="F36" i="15" s="1"/>
  <c r="E34" i="15" a="1"/>
  <c r="E34" i="15" s="1"/>
  <c r="F52" i="15" a="1"/>
  <c r="F52" i="15" s="1"/>
  <c r="E57" i="15" a="1"/>
  <c r="E57" i="15" s="1"/>
  <c r="I326" i="55" a="1"/>
  <c r="I326" i="55" s="1"/>
  <c r="G350" i="55" a="1"/>
  <c r="G350" i="55" s="1"/>
  <c r="G343" i="55" a="1"/>
  <c r="G343" i="55" s="1"/>
  <c r="E10" i="12" a="1"/>
  <c r="E10" i="12" s="1"/>
  <c r="G10" i="12" s="1"/>
  <c r="I589" i="55" a="1"/>
  <c r="I589" i="55" s="1"/>
  <c r="G628" i="55" a="1"/>
  <c r="G628" i="55" s="1"/>
  <c r="E42" i="15" a="1"/>
  <c r="E42" i="15" s="1"/>
  <c r="E43" i="15" s="1"/>
  <c r="E37" i="15" a="1"/>
  <c r="E37" i="15" s="1"/>
  <c r="G138" i="55" a="1"/>
  <c r="G138" i="55" s="1"/>
  <c r="I101" i="55" a="1"/>
  <c r="I101" i="55" s="1"/>
  <c r="E51" i="15" a="1"/>
  <c r="E51" i="15" s="1"/>
  <c r="G30" i="55" a="1"/>
  <c r="G30" i="55" s="1"/>
  <c r="F55" i="15" a="1"/>
  <c r="F55" i="15" s="1"/>
  <c r="G445" i="55" a="1"/>
  <c r="G445" i="55" s="1"/>
  <c r="I570" i="55" a="1"/>
  <c r="I570" i="55" s="1"/>
  <c r="I562" i="55" a="1"/>
  <c r="I562" i="55" s="1"/>
  <c r="I153" i="55" a="1"/>
  <c r="I153" i="55" s="1"/>
  <c r="K153" i="55" s="1"/>
  <c r="L153" i="55" s="1"/>
  <c r="I498" i="55" a="1"/>
  <c r="I498" i="55" s="1"/>
  <c r="I272" i="55" a="1"/>
  <c r="I272" i="55" s="1"/>
  <c r="I111" i="55" a="1"/>
  <c r="I111" i="55" s="1"/>
  <c r="G295" i="55" a="1"/>
  <c r="G295" i="55" s="1"/>
  <c r="G335" i="55" a="1"/>
  <c r="G335" i="55" s="1"/>
  <c r="I330" i="55" a="1"/>
  <c r="I330" i="55" s="1"/>
  <c r="G140" i="55" a="1"/>
  <c r="G140" i="55" s="1"/>
  <c r="K140" i="55" s="1"/>
  <c r="L140" i="55" s="1"/>
  <c r="I76" i="55" a="1"/>
  <c r="I76" i="55" s="1"/>
  <c r="K76" i="55" s="1"/>
  <c r="I451" i="55" a="1"/>
  <c r="I451" i="55" s="1"/>
  <c r="I516" i="55" a="1"/>
  <c r="I516" i="55" s="1"/>
  <c r="I25" i="55" a="1"/>
  <c r="I25" i="55" s="1"/>
  <c r="K25" i="55" s="1"/>
  <c r="I95" i="55" a="1"/>
  <c r="I95" i="55" s="1"/>
  <c r="G579" i="55" a="1"/>
  <c r="G579" i="55" s="1"/>
  <c r="G293" i="55" a="1"/>
  <c r="G293" i="55" s="1"/>
  <c r="I336" i="55" a="1"/>
  <c r="I336" i="55" s="1"/>
  <c r="I57" i="55" a="1"/>
  <c r="I57" i="55" s="1"/>
  <c r="K57" i="55" s="1"/>
  <c r="G139" i="55" a="1"/>
  <c r="G139" i="55" s="1"/>
  <c r="G633" i="55" a="1"/>
  <c r="G633" i="55" s="1"/>
  <c r="I624" i="55" a="1"/>
  <c r="I624" i="55" s="1"/>
  <c r="I338" i="55" a="1"/>
  <c r="I338" i="55" s="1"/>
  <c r="I361" i="55" a="1"/>
  <c r="I361" i="55" s="1"/>
  <c r="I186" i="55" a="1"/>
  <c r="I186" i="55" s="1"/>
  <c r="I517" i="55" a="1"/>
  <c r="I517" i="55" s="1"/>
  <c r="I371" i="55" a="1"/>
  <c r="I371" i="55" s="1"/>
  <c r="G321" i="55" a="1"/>
  <c r="G321" i="55" s="1"/>
  <c r="K321" i="55" s="1"/>
  <c r="G451" i="55" a="1"/>
  <c r="G451" i="55" s="1"/>
  <c r="I522" i="55" a="1"/>
  <c r="I522" i="55" s="1"/>
  <c r="G18" i="55" a="1"/>
  <c r="G18" i="55" s="1"/>
  <c r="K18" i="55" s="1"/>
  <c r="G414" i="55" a="1"/>
  <c r="G414" i="55" s="1"/>
  <c r="G461" i="55" a="1"/>
  <c r="G461" i="55" s="1"/>
  <c r="I324" i="55" a="1"/>
  <c r="I324" i="55" s="1"/>
  <c r="F20" i="15" a="1"/>
  <c r="F20" i="15" s="1"/>
  <c r="G584" i="55" a="1"/>
  <c r="G584" i="55" s="1"/>
  <c r="I524" i="55" a="1"/>
  <c r="I524" i="55" s="1"/>
  <c r="E20" i="15" a="1"/>
  <c r="E20" i="15" s="1"/>
  <c r="I364" i="55" a="1"/>
  <c r="I364" i="55" s="1"/>
  <c r="K364" i="55" s="1"/>
  <c r="I531" i="55" a="1"/>
  <c r="I531" i="55" s="1"/>
  <c r="I355" i="55" a="1"/>
  <c r="I355" i="55" s="1"/>
  <c r="E42" i="70" a="1"/>
  <c r="E42" i="70" s="1"/>
  <c r="G53" i="55" a="1"/>
  <c r="G53" i="55" s="1"/>
  <c r="K53" i="55" s="1"/>
  <c r="L53" i="55" s="1"/>
  <c r="I569" i="55" a="1"/>
  <c r="I569" i="55" s="1"/>
  <c r="I441" i="55" a="1"/>
  <c r="I441" i="55" s="1"/>
  <c r="G383" i="55" a="1"/>
  <c r="G383" i="55" s="1"/>
  <c r="I198" i="55" a="1"/>
  <c r="I198" i="55" s="1"/>
  <c r="I382" i="55" a="1"/>
  <c r="I382" i="55" s="1"/>
  <c r="I373" i="55" a="1"/>
  <c r="I373" i="55" s="1"/>
  <c r="G287" i="55" a="1"/>
  <c r="G287" i="55" s="1"/>
  <c r="I184" i="55" a="1"/>
  <c r="I184" i="55" s="1"/>
  <c r="I418" i="55" a="1"/>
  <c r="I418" i="55" s="1"/>
  <c r="I30" i="55" a="1"/>
  <c r="I30" i="55" s="1"/>
  <c r="G289" i="55" a="1"/>
  <c r="G289" i="55" s="1"/>
  <c r="I513" i="55" a="1"/>
  <c r="I513" i="55" s="1"/>
  <c r="I349" i="55" a="1"/>
  <c r="I349" i="55" s="1"/>
  <c r="G371" i="55" a="1"/>
  <c r="G371" i="55" s="1"/>
  <c r="G218" i="55" a="1"/>
  <c r="G218" i="55" s="1"/>
  <c r="G162" i="55" a="1"/>
  <c r="G162" i="55" s="1"/>
  <c r="K162" i="55" s="1"/>
  <c r="L162" i="55" s="1"/>
  <c r="F6" i="70" a="1"/>
  <c r="F6" i="70" s="1"/>
  <c r="G590" i="55" a="1"/>
  <c r="G590" i="55" s="1"/>
  <c r="I238" i="55" a="1"/>
  <c r="I238" i="55" s="1"/>
  <c r="I626" i="55" a="1"/>
  <c r="I626" i="55" s="1"/>
  <c r="G66" i="55" a="1"/>
  <c r="G66" i="55" s="1"/>
  <c r="G111" i="55" a="1"/>
  <c r="G111" i="55" s="1"/>
  <c r="I71" i="55" a="1"/>
  <c r="I71" i="55" s="1"/>
  <c r="G630" i="55" a="1"/>
  <c r="G630" i="55" s="1"/>
  <c r="G553" i="55" a="1"/>
  <c r="G553" i="55" s="1"/>
  <c r="I438" i="55" a="1"/>
  <c r="I438" i="55" s="1"/>
  <c r="G342" i="55" a="1"/>
  <c r="G342" i="55" s="1"/>
  <c r="I77" i="55" a="1"/>
  <c r="I77" i="55" s="1"/>
  <c r="G629" i="55" a="1"/>
  <c r="G629" i="55" s="1"/>
  <c r="I250" i="55" a="1"/>
  <c r="I250" i="55" s="1"/>
  <c r="I615" i="55" a="1"/>
  <c r="I615" i="55" s="1"/>
  <c r="I16" i="55" a="1"/>
  <c r="I16" i="55" s="1"/>
  <c r="K16" i="55" s="1"/>
  <c r="I629" i="55" a="1"/>
  <c r="I629" i="55" s="1"/>
  <c r="G101" i="55" a="1"/>
  <c r="G101" i="55" s="1"/>
  <c r="I185" i="55" a="1"/>
  <c r="I185" i="55" s="1"/>
  <c r="G426" i="55" a="1"/>
  <c r="G426" i="55" s="1"/>
  <c r="G573" i="55" a="1"/>
  <c r="G573" i="55" s="1"/>
  <c r="E12" i="12" a="1"/>
  <c r="E12" i="12" s="1"/>
  <c r="G475" i="55" a="1"/>
  <c r="G475" i="55" s="1"/>
  <c r="I534" i="55" a="1"/>
  <c r="I534" i="55" s="1"/>
  <c r="I121" i="55" a="1"/>
  <c r="I121" i="55" s="1"/>
  <c r="I135" i="55" a="1"/>
  <c r="I135" i="55" s="1"/>
  <c r="I594" i="55" a="1"/>
  <c r="I594" i="55" s="1"/>
  <c r="F19" i="15" a="1"/>
  <c r="F19" i="15" s="1"/>
  <c r="H19" i="15" s="1"/>
  <c r="G516" i="55" a="1"/>
  <c r="G516" i="55" s="1"/>
  <c r="I40" i="55" a="1"/>
  <c r="I40" i="55" s="1"/>
  <c r="I445" i="55" a="1"/>
  <c r="I445" i="55" s="1"/>
  <c r="G198" i="55" a="1"/>
  <c r="G198" i="55" s="1"/>
  <c r="K198" i="55" s="1"/>
  <c r="I669" i="55" a="1"/>
  <c r="I669" i="55" s="1"/>
  <c r="G320" i="55" a="1"/>
  <c r="G320" i="55" s="1"/>
  <c r="F44" i="15" a="1"/>
  <c r="F44" i="15" s="1"/>
  <c r="F46" i="15" s="1"/>
  <c r="G485" i="55" a="1"/>
  <c r="G485" i="55" s="1"/>
  <c r="I559" i="55" a="1"/>
  <c r="I559" i="55" s="1"/>
  <c r="G379" i="55" a="1"/>
  <c r="G379" i="55" s="1"/>
  <c r="G495" i="55" a="1"/>
  <c r="G495" i="55" s="1"/>
  <c r="E11" i="12" a="1"/>
  <c r="E11" i="12" s="1"/>
  <c r="I88" i="55" a="1"/>
  <c r="I88" i="55" s="1"/>
  <c r="I270" i="55" a="1"/>
  <c r="I270" i="55" s="1"/>
  <c r="I645" i="55" a="1"/>
  <c r="I645" i="55" s="1"/>
  <c r="G427" i="55" a="1"/>
  <c r="G427" i="55" s="1"/>
  <c r="K427" i="55" s="1"/>
  <c r="I423" i="55" a="1"/>
  <c r="I423" i="55" s="1"/>
  <c r="K423" i="55" s="1"/>
  <c r="I457" i="55" a="1"/>
  <c r="I457" i="55" s="1"/>
  <c r="I115" i="55" a="1"/>
  <c r="I115" i="55" s="1"/>
  <c r="I648" i="55" a="1"/>
  <c r="I648" i="55" s="1"/>
  <c r="I137" i="55" a="1"/>
  <c r="I137" i="55" s="1"/>
  <c r="G12" i="55" a="1"/>
  <c r="G12" i="55" s="1"/>
  <c r="G620" i="55" a="1"/>
  <c r="G620" i="55" s="1"/>
  <c r="G334" i="55" a="1"/>
  <c r="G334" i="55" s="1"/>
  <c r="G522" i="55" a="1"/>
  <c r="G522" i="55" s="1"/>
  <c r="G534" i="55" a="1"/>
  <c r="G534" i="55" s="1"/>
  <c r="G74" i="55" a="1"/>
  <c r="G74" i="55" s="1"/>
  <c r="K74" i="55" s="1"/>
  <c r="G568" i="55" a="1"/>
  <c r="G568" i="55" s="1"/>
  <c r="G545" i="55" a="1"/>
  <c r="G545" i="55" s="1"/>
  <c r="I607" i="55" a="1"/>
  <c r="I607" i="55" s="1"/>
  <c r="G513" i="55" a="1"/>
  <c r="G513" i="55" s="1"/>
  <c r="I495" i="55" a="1"/>
  <c r="I495" i="55" s="1"/>
  <c r="G393" i="55" a="1"/>
  <c r="G393" i="55" s="1"/>
  <c r="G186" i="55" a="1"/>
  <c r="G186" i="55" s="1"/>
  <c r="G7" i="77" a="1"/>
  <c r="G7" i="77" s="1"/>
  <c r="J7" i="77" s="1"/>
  <c r="I529" i="55" a="1"/>
  <c r="I529" i="55" s="1"/>
  <c r="K529" i="55" s="1"/>
  <c r="G456" i="55" a="1"/>
  <c r="G456" i="55" s="1"/>
  <c r="K456" i="55" s="1"/>
  <c r="G422" i="55" a="1"/>
  <c r="G422" i="55" s="1"/>
  <c r="I372" i="55" a="1"/>
  <c r="I372" i="55" s="1"/>
  <c r="I255" i="55" a="1"/>
  <c r="I255" i="55" s="1"/>
  <c r="G40" i="55" a="1"/>
  <c r="G40" i="55" s="1"/>
  <c r="G257" i="55" a="1"/>
  <c r="G257" i="55" s="1"/>
  <c r="G523" i="55" a="1"/>
  <c r="G523" i="55" s="1"/>
  <c r="E29" i="15" a="1"/>
  <c r="E29" i="15" s="1"/>
  <c r="E30" i="15" s="1"/>
  <c r="G525" i="55" a="1"/>
  <c r="G525" i="55" s="1"/>
  <c r="G594" i="55" a="1"/>
  <c r="G594" i="55" s="1"/>
  <c r="G498" i="55" a="1"/>
  <c r="G498" i="55" s="1"/>
  <c r="I525" i="55" a="1"/>
  <c r="I525" i="55" s="1"/>
  <c r="G386" i="55" a="1"/>
  <c r="G386" i="55" s="1"/>
  <c r="G558" i="55" a="1"/>
  <c r="G558" i="55" s="1"/>
  <c r="I335" i="55" a="1"/>
  <c r="I335" i="55" s="1"/>
  <c r="G442" i="55" a="1"/>
  <c r="G442" i="55" s="1"/>
  <c r="I628" i="55" a="1"/>
  <c r="I628" i="55" s="1"/>
  <c r="I239" i="55" a="1"/>
  <c r="I239" i="55" s="1"/>
  <c r="F29" i="15" a="1"/>
  <c r="F29" i="15" s="1"/>
  <c r="G597" i="55" a="1"/>
  <c r="G597" i="55" s="1"/>
  <c r="K597" i="55" s="1"/>
  <c r="G479" i="55" a="1"/>
  <c r="G479" i="55" s="1"/>
  <c r="I180" i="55" a="1"/>
  <c r="I180" i="55" s="1"/>
  <c r="F26" i="15" a="1"/>
  <c r="F26" i="15" s="1"/>
  <c r="I215" i="55" a="1"/>
  <c r="I215" i="55" s="1"/>
  <c r="G543" i="55" a="1"/>
  <c r="G543" i="55" s="1"/>
  <c r="K543" i="55" s="1"/>
  <c r="I209" i="55" a="1"/>
  <c r="I209" i="55" s="1"/>
  <c r="G349" i="55" a="1"/>
  <c r="G349" i="55" s="1"/>
  <c r="I393" i="55" a="1"/>
  <c r="I393" i="55" s="1"/>
  <c r="I293" i="55" a="1"/>
  <c r="I293" i="55" s="1"/>
  <c r="K293" i="55" s="1"/>
  <c r="F11" i="77" a="1"/>
  <c r="F11" i="77" s="1"/>
  <c r="I663" i="55" a="1"/>
  <c r="I663" i="55" s="1"/>
  <c r="I608" i="55" a="1"/>
  <c r="I608" i="55" s="1"/>
  <c r="K608" i="55" s="1"/>
  <c r="I318" i="55" a="1"/>
  <c r="I318" i="55" s="1"/>
  <c r="G489" i="55" a="1"/>
  <c r="G489" i="55" s="1"/>
  <c r="G637" i="55" a="1"/>
  <c r="G637" i="55" s="1"/>
  <c r="G589" i="55" a="1"/>
  <c r="G589" i="55" s="1"/>
  <c r="I411" i="55" a="1"/>
  <c r="I411" i="55" s="1"/>
  <c r="I261" i="55" a="1"/>
  <c r="I261" i="55" s="1"/>
  <c r="G220" i="55" a="1"/>
  <c r="G220" i="55" s="1"/>
  <c r="I367" i="55" a="1"/>
  <c r="I367" i="55" s="1"/>
  <c r="G472" i="55" a="1"/>
  <c r="G472" i="55" s="1"/>
  <c r="G149" i="55" a="1"/>
  <c r="G149" i="55" s="1"/>
  <c r="K149" i="55" s="1"/>
  <c r="L149" i="55" s="1"/>
  <c r="I110" i="55" a="1"/>
  <c r="I110" i="55" s="1"/>
  <c r="G360" i="55" a="1"/>
  <c r="G360" i="55" s="1"/>
  <c r="G223" i="55" a="1"/>
  <c r="G223" i="55" s="1"/>
  <c r="I199" i="55" a="1"/>
  <c r="I199" i="55" s="1"/>
  <c r="I226" i="55" a="1"/>
  <c r="I226" i="55" s="1"/>
  <c r="G255" i="55" a="1"/>
  <c r="G255" i="55" s="1"/>
  <c r="K255" i="55" s="1"/>
  <c r="E32" i="15" a="1"/>
  <c r="E32" i="15" s="1"/>
  <c r="E33" i="15" s="1"/>
  <c r="G264" i="55" a="1"/>
  <c r="G264" i="55" s="1"/>
  <c r="G524" i="55" a="1"/>
  <c r="G524" i="55" s="1"/>
  <c r="I468" i="55" a="1"/>
  <c r="I468" i="55" s="1"/>
  <c r="G168" i="55" a="1"/>
  <c r="G168" i="55" s="1"/>
  <c r="K168" i="55" s="1"/>
  <c r="L168" i="55" s="1"/>
  <c r="I515" i="55" a="1"/>
  <c r="I515" i="55" s="1"/>
  <c r="I295" i="55" a="1"/>
  <c r="I295" i="55" s="1"/>
  <c r="I316" i="55" a="1"/>
  <c r="I316" i="55" s="1"/>
  <c r="I271" i="55" a="1"/>
  <c r="I271" i="55" s="1"/>
  <c r="G319" i="55" a="1"/>
  <c r="G319" i="55" s="1"/>
  <c r="K319" i="55" s="1"/>
  <c r="I636" i="55" a="1"/>
  <c r="I636" i="55" s="1"/>
  <c r="I596" i="55" a="1"/>
  <c r="I596" i="55" s="1"/>
  <c r="I479" i="55" a="1"/>
  <c r="I479" i="55" s="1"/>
  <c r="G418" i="55" a="1"/>
  <c r="G418" i="55" s="1"/>
  <c r="G338" i="55" a="1"/>
  <c r="G338" i="55" s="1"/>
  <c r="G562" i="55" a="1"/>
  <c r="G562" i="55" s="1"/>
  <c r="I384" i="55" a="1"/>
  <c r="I384" i="55" s="1"/>
  <c r="G311" i="55" a="1"/>
  <c r="G311" i="55" s="1"/>
  <c r="G515" i="55" a="1"/>
  <c r="G515" i="55" s="1"/>
  <c r="I545" i="55" a="1"/>
  <c r="I545" i="55" s="1"/>
  <c r="G323" i="55" a="1"/>
  <c r="G323" i="55" s="1"/>
  <c r="I181" i="55" a="1"/>
  <c r="I181" i="55" s="1"/>
  <c r="I352" i="55" a="1"/>
  <c r="I352" i="55" s="1"/>
  <c r="I337" i="55" a="1"/>
  <c r="I337" i="55" s="1"/>
  <c r="G204" i="55" a="1"/>
  <c r="G204" i="55" s="1"/>
  <c r="F53" i="15" a="1"/>
  <c r="F53" i="15" s="1"/>
  <c r="I378" i="55" a="1"/>
  <c r="I378" i="55" s="1"/>
  <c r="K378" i="55" s="1"/>
  <c r="I348" i="55" a="1"/>
  <c r="I348" i="55" s="1"/>
  <c r="G405" i="55" a="1"/>
  <c r="G405" i="55" s="1"/>
  <c r="G209" i="55" a="1"/>
  <c r="G209" i="55" s="1"/>
  <c r="K209" i="55" s="1"/>
  <c r="I299" i="55" a="1"/>
  <c r="I299" i="55" s="1"/>
  <c r="I66" i="55" a="1"/>
  <c r="I66" i="55" s="1"/>
  <c r="I632" i="55" a="1"/>
  <c r="I632" i="55" s="1"/>
  <c r="I402" i="55" a="1"/>
  <c r="I402" i="55" s="1"/>
  <c r="G624" i="55" a="1"/>
  <c r="G624" i="55" s="1"/>
  <c r="K624" i="55" s="1"/>
  <c r="G346" i="55" a="1"/>
  <c r="G346" i="55" s="1"/>
  <c r="G245" i="55" a="1"/>
  <c r="G245" i="55" s="1"/>
  <c r="I492" i="55" a="1"/>
  <c r="I492" i="55" s="1"/>
  <c r="E36" i="15" a="1"/>
  <c r="E36" i="15" s="1"/>
  <c r="H36" i="15" s="1"/>
  <c r="I204" i="55" a="1"/>
  <c r="I204" i="55" s="1"/>
  <c r="G373" i="55" a="1"/>
  <c r="G373" i="55" s="1"/>
  <c r="K373" i="55" s="1"/>
  <c r="G199" i="55" a="1"/>
  <c r="G199" i="55" s="1"/>
  <c r="I289" i="55" a="1"/>
  <c r="I289" i="55" s="1"/>
  <c r="K289" i="55" s="1"/>
  <c r="I347" i="55" a="1"/>
  <c r="I347" i="55" s="1"/>
  <c r="K347" i="55" s="1"/>
  <c r="I625" i="55" a="1"/>
  <c r="I625" i="55" s="1"/>
  <c r="G531" i="55" a="1"/>
  <c r="G531" i="55" s="1"/>
  <c r="G636" i="55" a="1"/>
  <c r="G636" i="55" s="1"/>
  <c r="K636" i="55" s="1"/>
  <c r="I311" i="55" a="1"/>
  <c r="I311" i="55" s="1"/>
  <c r="G318" i="55" a="1"/>
  <c r="G318" i="55" s="1"/>
  <c r="K318" i="55" s="1"/>
  <c r="I296" i="55" a="1"/>
  <c r="I296" i="55" s="1"/>
  <c r="I573" i="55" a="1"/>
  <c r="I573" i="55" s="1"/>
  <c r="G402" i="55" a="1"/>
  <c r="G402" i="55" s="1"/>
  <c r="I489" i="55" a="1"/>
  <c r="I489" i="55" s="1"/>
  <c r="I561" i="55" a="1"/>
  <c r="I561" i="55" s="1"/>
  <c r="G481" i="55" a="1"/>
  <c r="G481" i="55" s="1"/>
  <c r="I342" i="55" a="1"/>
  <c r="I342" i="55" s="1"/>
  <c r="K342" i="55" s="1"/>
  <c r="G181" i="55" a="1"/>
  <c r="G181" i="55" s="1"/>
  <c r="G419" i="55" a="1"/>
  <c r="G419" i="55" s="1"/>
  <c r="G447" i="55" a="1"/>
  <c r="G447" i="55" s="1"/>
  <c r="I579" i="55" a="1"/>
  <c r="I579" i="55" s="1"/>
  <c r="K579" i="55" s="1"/>
  <c r="G655" i="55" a="1"/>
  <c r="G655" i="55" s="1"/>
  <c r="G4" i="77" a="1"/>
  <c r="G4" i="77" s="1"/>
  <c r="I322" i="55" a="1"/>
  <c r="I322" i="55" s="1"/>
  <c r="I544" i="55" a="1"/>
  <c r="I544" i="55" s="1"/>
  <c r="G648" i="55" a="1"/>
  <c r="G648" i="55" s="1"/>
  <c r="G337" i="55" a="1"/>
  <c r="G337" i="55" s="1"/>
  <c r="G330" i="55" a="1"/>
  <c r="G330" i="55" s="1"/>
  <c r="I461" i="55" a="1"/>
  <c r="I461" i="55" s="1"/>
  <c r="G5" i="77" a="1"/>
  <c r="G5" i="77" s="1"/>
  <c r="J5" i="77" s="1"/>
  <c r="I127" i="55" a="1"/>
  <c r="I127" i="55" s="1"/>
  <c r="G299" i="55" a="1"/>
  <c r="G299" i="55" s="1"/>
  <c r="K299" i="55" s="1"/>
  <c r="G372" i="55" a="1"/>
  <c r="G372" i="55" s="1"/>
  <c r="G645" i="55" a="1"/>
  <c r="G645" i="55" s="1"/>
  <c r="I535" i="55" a="1"/>
  <c r="I535" i="55" s="1"/>
  <c r="I519" i="55" a="1"/>
  <c r="I519" i="55" s="1"/>
  <c r="G651" i="55" a="1"/>
  <c r="G651" i="55" s="1"/>
  <c r="K651" i="55" s="1"/>
  <c r="I426" i="55" a="1"/>
  <c r="I426" i="55" s="1"/>
  <c r="G415" i="55" a="1"/>
  <c r="G415" i="55" s="1"/>
  <c r="G184" i="55" a="1"/>
  <c r="G184" i="55" s="1"/>
  <c r="G367" i="55" a="1"/>
  <c r="G367" i="55" s="1"/>
  <c r="K367" i="55" s="1"/>
  <c r="G587" i="55" a="1"/>
  <c r="G587" i="55" s="1"/>
  <c r="K587" i="55" s="1"/>
  <c r="I606" i="55" a="1"/>
  <c r="I606" i="55" s="1"/>
  <c r="I588" i="55" a="1"/>
  <c r="I588" i="55" s="1"/>
  <c r="G441" i="55" a="1"/>
  <c r="G441" i="55" s="1"/>
  <c r="K441" i="55" s="1"/>
  <c r="G492" i="55" a="1"/>
  <c r="G492" i="55" s="1"/>
  <c r="G625" i="55" a="1"/>
  <c r="G625" i="55" s="1"/>
  <c r="I530" i="55" a="1"/>
  <c r="I530" i="55" s="1"/>
  <c r="I485" i="55" a="1"/>
  <c r="I485" i="55" s="1"/>
  <c r="I584" i="55" a="1"/>
  <c r="I584" i="55" s="1"/>
  <c r="K584" i="55" s="1"/>
  <c r="G596" i="55" a="1"/>
  <c r="G596" i="55" s="1"/>
  <c r="I414" i="55" a="1"/>
  <c r="I414" i="55" s="1"/>
  <c r="G656" i="55" a="1"/>
  <c r="G656" i="55" s="1"/>
  <c r="G396" i="55" a="1"/>
  <c r="G396" i="55" s="1"/>
  <c r="I346" i="55" a="1"/>
  <c r="I346" i="55" s="1"/>
  <c r="G354" i="55" a="1"/>
  <c r="G354" i="55" s="1"/>
  <c r="I218" i="55" a="1"/>
  <c r="I218" i="55" s="1"/>
  <c r="K218" i="55" s="1"/>
  <c r="I419" i="55" a="1"/>
  <c r="I419" i="55" s="1"/>
  <c r="I480" i="55" a="1"/>
  <c r="I480" i="55" s="1"/>
  <c r="I211" i="55" a="1"/>
  <c r="I211" i="55" s="1"/>
  <c r="K211" i="55" s="1"/>
  <c r="I390" i="55" a="1"/>
  <c r="I390" i="55" s="1"/>
  <c r="G260" i="55" a="1"/>
  <c r="G260" i="55" s="1"/>
  <c r="I475" i="55" a="1"/>
  <c r="I475" i="55" s="1"/>
  <c r="I386" i="55" a="1"/>
  <c r="I386" i="55" s="1"/>
  <c r="I343" i="55" a="1"/>
  <c r="I343" i="55" s="1"/>
  <c r="K343" i="55" s="1"/>
  <c r="I248" i="55" a="1"/>
  <c r="I248" i="55" s="1"/>
  <c r="I547" i="55" a="1"/>
  <c r="I547" i="55" s="1"/>
  <c r="I396" i="55" a="1"/>
  <c r="I396" i="55" s="1"/>
  <c r="G611" i="55" a="1"/>
  <c r="G611" i="55" s="1"/>
  <c r="G616" i="55" a="1"/>
  <c r="G616" i="55" s="1"/>
  <c r="K616" i="55" s="1"/>
  <c r="G226" i="55" a="1"/>
  <c r="G226" i="55" s="1"/>
  <c r="G452" i="55" a="1"/>
  <c r="G452" i="55" s="1"/>
  <c r="I360" i="55" a="1"/>
  <c r="I360" i="55" s="1"/>
  <c r="K360" i="55" s="1"/>
  <c r="G270" i="55" a="1"/>
  <c r="G270" i="55" s="1"/>
  <c r="K270" i="55" s="1"/>
  <c r="G632" i="55" a="1"/>
  <c r="G632" i="55" s="1"/>
  <c r="G336" i="55" a="1"/>
  <c r="G336" i="55" s="1"/>
  <c r="K336" i="55" s="1"/>
  <c r="G150" i="55" a="1"/>
  <c r="G150" i="55" s="1"/>
  <c r="G394" i="55" a="1"/>
  <c r="G394" i="55" s="1"/>
  <c r="G526" i="55" a="1"/>
  <c r="G526" i="55" s="1"/>
  <c r="I253" i="55" a="1"/>
  <c r="I253" i="55" s="1"/>
  <c r="G271" i="55" a="1"/>
  <c r="G271" i="55" s="1"/>
  <c r="G663" i="55" a="1"/>
  <c r="G663" i="55" s="1"/>
  <c r="I254" i="55" a="1"/>
  <c r="I254" i="55" s="1"/>
  <c r="K254" i="55" s="1"/>
  <c r="I245" i="55" a="1"/>
  <c r="I245" i="55" s="1"/>
  <c r="I442" i="55" a="1"/>
  <c r="I442" i="55" s="1"/>
  <c r="K442" i="55" s="1"/>
  <c r="G115" i="55" a="1"/>
  <c r="G115" i="55" s="1"/>
  <c r="I481" i="55" a="1"/>
  <c r="I481" i="55" s="1"/>
  <c r="I656" i="55" a="1"/>
  <c r="I656" i="55" s="1"/>
  <c r="G411" i="55" a="1"/>
  <c r="G411" i="55" s="1"/>
  <c r="G316" i="55" a="1"/>
  <c r="G316" i="55" s="1"/>
  <c r="I576" i="55" a="1"/>
  <c r="I576" i="55" s="1"/>
  <c r="I395" i="55" a="1"/>
  <c r="I395" i="55" s="1"/>
  <c r="G429" i="55" a="1"/>
  <c r="G429" i="55" s="1"/>
  <c r="G366" i="55" a="1"/>
  <c r="G366" i="55" s="1"/>
  <c r="F5" i="77" a="1"/>
  <c r="F5" i="77" s="1"/>
  <c r="I528" i="55" a="1"/>
  <c r="I528" i="55" s="1"/>
  <c r="G239" i="55" a="1"/>
  <c r="G239" i="55" s="1"/>
  <c r="I405" i="55" a="1"/>
  <c r="I405" i="55" s="1"/>
  <c r="K405" i="55" s="1"/>
  <c r="G527" i="55" a="1"/>
  <c r="G527" i="55" s="1"/>
  <c r="I472" i="55" a="1"/>
  <c r="I472" i="55" s="1"/>
  <c r="I444" i="55" a="1"/>
  <c r="I444" i="55" s="1"/>
  <c r="I287" i="55" a="1"/>
  <c r="I287" i="55" s="1"/>
  <c r="G325" i="55" a="1"/>
  <c r="G325" i="55" s="1"/>
  <c r="I429" i="55" a="1"/>
  <c r="I429" i="55" s="1"/>
  <c r="I527" i="55" a="1"/>
  <c r="I527" i="55" s="1"/>
  <c r="G468" i="55" a="1"/>
  <c r="G468" i="55" s="1"/>
  <c r="F7" i="77" a="1"/>
  <c r="F7" i="77" s="1"/>
  <c r="I320" i="55" a="1"/>
  <c r="I320" i="55" s="1"/>
  <c r="I592" i="55" a="1"/>
  <c r="I592" i="55" s="1"/>
  <c r="I557" i="55" a="1"/>
  <c r="I557" i="55" s="1"/>
  <c r="G8" i="77" a="1"/>
  <c r="G8" i="77" s="1"/>
  <c r="J8" i="77" s="1"/>
  <c r="G70" i="55" a="1"/>
  <c r="G70" i="55" s="1"/>
  <c r="I521" i="55" a="1"/>
  <c r="I521" i="55" s="1"/>
  <c r="K521" i="55" s="1"/>
  <c r="G248" i="55" a="1"/>
  <c r="G248" i="55" s="1"/>
  <c r="G444" i="55" a="1"/>
  <c r="G444" i="55" s="1"/>
  <c r="G438" i="55" a="1"/>
  <c r="G438" i="55" s="1"/>
  <c r="I447" i="55" a="1"/>
  <c r="I447" i="55" s="1"/>
  <c r="I620" i="55" a="1"/>
  <c r="I620" i="55" s="1"/>
  <c r="I526" i="55" a="1"/>
  <c r="I526" i="55" s="1"/>
  <c r="I415" i="55" a="1"/>
  <c r="I415" i="55" s="1"/>
  <c r="I662" i="55" a="1"/>
  <c r="I662" i="55" s="1"/>
  <c r="G301" i="55" a="1"/>
  <c r="G301" i="55" s="1"/>
  <c r="F8" i="77" a="1"/>
  <c r="F8" i="77" s="1"/>
  <c r="G413" i="55" a="1"/>
  <c r="G413" i="55" s="1"/>
  <c r="I362" i="55" a="1"/>
  <c r="I362" i="55" s="1"/>
  <c r="G592" i="55" a="1"/>
  <c r="G592" i="55" s="1"/>
  <c r="I260" i="55" a="1"/>
  <c r="I260" i="55" s="1"/>
  <c r="I558" i="55" a="1"/>
  <c r="I558" i="55" s="1"/>
  <c r="I383" i="55" a="1"/>
  <c r="I383" i="55" s="1"/>
  <c r="G606" i="55" a="1"/>
  <c r="G606" i="55" s="1"/>
  <c r="I655" i="55" a="1"/>
  <c r="I655" i="55" s="1"/>
  <c r="G322" i="55" a="1"/>
  <c r="G322" i="55" s="1"/>
  <c r="I394" i="55" a="1"/>
  <c r="I394" i="55" s="1"/>
  <c r="I221" i="55" a="1"/>
  <c r="I221" i="55" s="1"/>
  <c r="I611" i="55" a="1"/>
  <c r="I611" i="55" s="1"/>
  <c r="G519" i="55" a="1"/>
  <c r="G519" i="55" s="1"/>
  <c r="G6" i="77" a="1"/>
  <c r="G6" i="77" s="1"/>
  <c r="J6" i="77" s="1"/>
  <c r="G480" i="55" a="1"/>
  <c r="G480" i="55" s="1"/>
  <c r="G400" i="55" a="1"/>
  <c r="G400" i="55" s="1"/>
  <c r="I408" i="55" a="1"/>
  <c r="I408" i="55" s="1"/>
  <c r="G390" i="55" a="1"/>
  <c r="G390" i="55" s="1"/>
  <c r="I494" i="55" a="1"/>
  <c r="I494" i="55" s="1"/>
  <c r="I630" i="55" a="1"/>
  <c r="I630" i="55" s="1"/>
  <c r="I228" i="55" a="1"/>
  <c r="I228" i="55" s="1"/>
  <c r="K228" i="55" s="1"/>
  <c r="I422" i="55" a="1"/>
  <c r="I422" i="55" s="1"/>
  <c r="G11" i="77" a="1"/>
  <c r="G11" i="77" s="1"/>
  <c r="J11" i="77" s="1"/>
  <c r="G296" i="55" a="1"/>
  <c r="G296" i="55" s="1"/>
  <c r="K296" i="55" s="1"/>
  <c r="G517" i="55" a="1"/>
  <c r="G517" i="55" s="1"/>
  <c r="K517" i="55" s="1"/>
  <c r="L517" i="55" s="1"/>
  <c r="G561" i="55" a="1"/>
  <c r="G561" i="55" s="1"/>
  <c r="G180" i="55" a="1"/>
  <c r="G180" i="55" s="1"/>
  <c r="K180" i="55" s="1"/>
  <c r="I223" i="55" a="1"/>
  <c r="I223" i="55" s="1"/>
  <c r="G230" i="55" a="1"/>
  <c r="G230" i="55" s="1"/>
  <c r="K230" i="55" s="1"/>
  <c r="F6" i="77" a="1"/>
  <c r="F6" i="77" s="1"/>
  <c r="G185" i="55" a="1"/>
  <c r="G185" i="55" s="1"/>
  <c r="G430" i="55" a="1"/>
  <c r="G430" i="55" s="1"/>
  <c r="I376" i="55" a="1"/>
  <c r="I376" i="55" s="1"/>
  <c r="G141" i="55" a="1"/>
  <c r="G141" i="55" s="1"/>
  <c r="G609" i="55" a="1"/>
  <c r="G609" i="55" s="1"/>
  <c r="I368" i="55" a="1"/>
  <c r="I368" i="55" s="1"/>
  <c r="F4" i="77" a="1"/>
  <c r="F4" i="77" s="1"/>
  <c r="G272" i="55" a="1"/>
  <c r="G272" i="55" s="1"/>
  <c r="I325" i="55" a="1"/>
  <c r="I325" i="55" s="1"/>
  <c r="I354" i="55" a="1"/>
  <c r="I354" i="55" s="1"/>
  <c r="G547" i="55" a="1"/>
  <c r="G547" i="55" s="1"/>
  <c r="I482" i="55" a="1"/>
  <c r="I482" i="55" s="1"/>
  <c r="I242" i="55" a="1"/>
  <c r="I242" i="55" s="1"/>
  <c r="I150" i="55" a="1"/>
  <c r="I150" i="55" s="1"/>
  <c r="I129" i="55" a="1"/>
  <c r="I129" i="55" s="1"/>
  <c r="I433" i="55" a="1"/>
  <c r="I433" i="55" s="1"/>
  <c r="G577" i="55" a="1"/>
  <c r="G577" i="55" s="1"/>
  <c r="I236" i="55" a="1"/>
  <c r="I236" i="55" s="1"/>
  <c r="I165" i="55" a="1"/>
  <c r="I165" i="55" s="1"/>
  <c r="K165" i="55" s="1"/>
  <c r="L165" i="55" s="1"/>
  <c r="I452" i="55" a="1"/>
  <c r="I452" i="55" s="1"/>
  <c r="G662" i="55" a="1"/>
  <c r="G662" i="55" s="1"/>
  <c r="I523" i="55" a="1"/>
  <c r="I523" i="55" s="1"/>
  <c r="I301" i="55" a="1"/>
  <c r="I301" i="55" s="1"/>
  <c r="G588" i="55" a="1"/>
  <c r="G588" i="55" s="1"/>
  <c r="I497" i="55" a="1"/>
  <c r="I497" i="55" s="1"/>
  <c r="I490" i="55" a="1"/>
  <c r="I490" i="55" s="1"/>
  <c r="I294" i="55" a="1"/>
  <c r="I294" i="55" s="1"/>
  <c r="I417" i="55" a="1"/>
  <c r="I417" i="55" s="1"/>
  <c r="I617" i="55" a="1"/>
  <c r="I617" i="55" s="1"/>
  <c r="I487" i="55" a="1"/>
  <c r="I487" i="55" s="1"/>
  <c r="G397" i="55" a="1"/>
  <c r="G397" i="55" s="1"/>
  <c r="G652" i="55" a="1"/>
  <c r="G652" i="55" s="1"/>
  <c r="G532" i="55" a="1"/>
  <c r="G532" i="55" s="1"/>
  <c r="I638" i="55" a="1"/>
  <c r="I638" i="55" s="1"/>
  <c r="I70" i="55" a="1"/>
  <c r="I70" i="55" s="1"/>
  <c r="K70" i="55" s="1"/>
  <c r="G352" i="55" a="1"/>
  <c r="G352" i="55" s="1"/>
  <c r="G221" i="55" a="1"/>
  <c r="G221" i="55" s="1"/>
  <c r="K221" i="55" s="1"/>
  <c r="I459" i="55" a="1"/>
  <c r="I459" i="55" s="1"/>
  <c r="G205" i="55" a="1"/>
  <c r="G205" i="55" s="1"/>
  <c r="I532" i="55" a="1"/>
  <c r="I532" i="55" s="1"/>
  <c r="I577" i="55" a="1"/>
  <c r="I577" i="55" s="1"/>
  <c r="K577" i="55" s="1"/>
  <c r="I206" i="55" a="1"/>
  <c r="I206" i="55" s="1"/>
  <c r="I556" i="55" a="1"/>
  <c r="I556" i="55" s="1"/>
  <c r="I193" i="55" a="1"/>
  <c r="I193" i="55" s="1"/>
  <c r="G617" i="55" a="1"/>
  <c r="G617" i="55" s="1"/>
  <c r="K617" i="55" s="1"/>
  <c r="G638" i="55" a="1"/>
  <c r="G638" i="55" s="1"/>
  <c r="K638" i="55" s="1"/>
  <c r="I552" i="55" a="1"/>
  <c r="I552" i="55" s="1"/>
  <c r="I580" i="55" a="1"/>
  <c r="I580" i="55" s="1"/>
  <c r="I604" i="55" a="1"/>
  <c r="I604" i="55" s="1"/>
  <c r="G409" i="55" a="1"/>
  <c r="G409" i="55" s="1"/>
  <c r="F22" i="70" a="1"/>
  <c r="F22" i="70" s="1"/>
  <c r="G574" i="55" a="1"/>
  <c r="G574" i="55" s="1"/>
  <c r="G362" i="55" a="1"/>
  <c r="G362" i="55" s="1"/>
  <c r="I133" i="55" a="1"/>
  <c r="I133" i="55" s="1"/>
  <c r="I392" i="55" a="1"/>
  <c r="I392" i="55" s="1"/>
  <c r="I141" i="55" a="1"/>
  <c r="I141" i="55" s="1"/>
  <c r="I641" i="55" a="1"/>
  <c r="I641" i="55" s="1"/>
  <c r="I660" i="55" a="1"/>
  <c r="I660" i="55" s="1"/>
  <c r="I409" i="55" a="1"/>
  <c r="I409" i="55" s="1"/>
  <c r="G641" i="55" a="1"/>
  <c r="G641" i="55" s="1"/>
  <c r="G653" i="55" a="1"/>
  <c r="G653" i="55" s="1"/>
  <c r="G555" i="55" a="1"/>
  <c r="G555" i="55" s="1"/>
  <c r="G133" i="55" a="1"/>
  <c r="G133" i="55" s="1"/>
  <c r="I595" i="55" a="1"/>
  <c r="I595" i="55" s="1"/>
  <c r="I244" i="55" a="1"/>
  <c r="I244" i="55" s="1"/>
  <c r="G604" i="55" a="1"/>
  <c r="G604" i="55" s="1"/>
  <c r="I401" i="55" a="1"/>
  <c r="I401" i="55" s="1"/>
  <c r="E34" i="70" a="1"/>
  <c r="E34" i="70" s="1"/>
  <c r="I403" i="55" a="1"/>
  <c r="I403" i="55" s="1"/>
  <c r="I397" i="55" a="1"/>
  <c r="I397" i="55" s="1"/>
  <c r="I222" i="55" a="1"/>
  <c r="I222" i="55" s="1"/>
  <c r="G206" i="55" a="1"/>
  <c r="G206" i="55" s="1"/>
  <c r="G403" i="55" a="1"/>
  <c r="G403" i="55" s="1"/>
  <c r="G236" i="55" a="1"/>
  <c r="G236" i="55" s="1"/>
  <c r="K236" i="55" s="1"/>
  <c r="G646" i="55" a="1"/>
  <c r="G646" i="55" s="1"/>
  <c r="G580" i="55" a="1"/>
  <c r="G580" i="55" s="1"/>
  <c r="K580" i="55" s="1"/>
  <c r="G294" i="55" a="1"/>
  <c r="G294" i="55" s="1"/>
  <c r="I41" i="55" a="1"/>
  <c r="I41" i="55" s="1"/>
  <c r="G395" i="55" a="1"/>
  <c r="G395" i="55" s="1"/>
  <c r="K395" i="55" s="1"/>
  <c r="I191" i="55" a="1"/>
  <c r="I191" i="55" s="1"/>
  <c r="G483" i="55" a="1"/>
  <c r="G483" i="55" s="1"/>
  <c r="I205" i="55" a="1"/>
  <c r="I205" i="55" s="1"/>
  <c r="G243" i="55" a="1"/>
  <c r="G243" i="55" s="1"/>
  <c r="F20" i="70" a="1"/>
  <c r="F20" i="70" s="1"/>
  <c r="G13" i="55" a="1"/>
  <c r="G13" i="55" s="1"/>
  <c r="G477" i="55" a="1"/>
  <c r="G477" i="55" s="1"/>
  <c r="G256" i="55" a="1"/>
  <c r="G256" i="55" s="1"/>
  <c r="I266" i="55" a="1"/>
  <c r="I266" i="55" s="1"/>
  <c r="G242" i="55" a="1"/>
  <c r="G242" i="55" s="1"/>
  <c r="K242" i="55" s="1"/>
  <c r="I609" i="55" a="1"/>
  <c r="I609" i="55" s="1"/>
  <c r="G572" i="55" a="1"/>
  <c r="G572" i="55" s="1"/>
  <c r="I345" i="55" a="1"/>
  <c r="I345" i="55" s="1"/>
  <c r="K345" i="55" s="1"/>
  <c r="I483" i="55" a="1"/>
  <c r="I483" i="55" s="1"/>
  <c r="G191" i="55" a="1"/>
  <c r="G191" i="55" s="1"/>
  <c r="G487" i="55" a="1"/>
  <c r="G487" i="55" s="1"/>
  <c r="G368" i="55" a="1"/>
  <c r="G368" i="55" s="1"/>
  <c r="E40" i="70" a="1"/>
  <c r="E40" i="70" s="1"/>
  <c r="E22" i="70" a="1"/>
  <c r="E22" i="70" s="1"/>
  <c r="F41" i="70" a="1"/>
  <c r="F41" i="70" s="1"/>
  <c r="G376" i="55" a="1"/>
  <c r="G376" i="55" s="1"/>
  <c r="G408" i="55" a="1"/>
  <c r="G408" i="55" s="1"/>
  <c r="G556" i="55" a="1"/>
  <c r="G556" i="55" s="1"/>
  <c r="G433" i="55" a="1"/>
  <c r="G433" i="55" s="1"/>
  <c r="G491" i="55" a="1"/>
  <c r="G491" i="55" s="1"/>
  <c r="G578" i="55" a="1"/>
  <c r="G578" i="55" s="1"/>
  <c r="G41" i="55" a="1"/>
  <c r="G41" i="55" s="1"/>
  <c r="K41" i="55" s="1"/>
  <c r="G595" i="55" a="1"/>
  <c r="G595" i="55" s="1"/>
  <c r="I572" i="55" a="1"/>
  <c r="I572" i="55" s="1"/>
  <c r="G530" i="55" a="1"/>
  <c r="G530" i="55" s="1"/>
  <c r="I256" i="55" a="1"/>
  <c r="I256" i="55" s="1"/>
  <c r="G266" i="55" a="1"/>
  <c r="G266" i="55" s="1"/>
  <c r="I340" i="55" a="1"/>
  <c r="I340" i="55" s="1"/>
  <c r="I13" i="55" a="1"/>
  <c r="I13" i="55" s="1"/>
  <c r="K13" i="55" s="1"/>
  <c r="L13" i="55" s="1"/>
  <c r="I599" i="55" a="1"/>
  <c r="I599" i="55" s="1"/>
  <c r="I578" i="55" a="1"/>
  <c r="I578" i="55" s="1"/>
  <c r="G417" i="55" a="1"/>
  <c r="G417" i="55" s="1"/>
  <c r="K417" i="55" s="1"/>
  <c r="G459" i="55" a="1"/>
  <c r="G459" i="55" s="1"/>
  <c r="G358" i="55" a="1"/>
  <c r="G358" i="55" s="1"/>
  <c r="G317" i="55" a="1"/>
  <c r="G317" i="55" s="1"/>
  <c r="E29" i="70" a="1"/>
  <c r="E29" i="70" s="1"/>
  <c r="G392" i="55" a="1"/>
  <c r="G392" i="55" s="1"/>
  <c r="I555" i="55" a="1"/>
  <c r="I555" i="55" s="1"/>
  <c r="K555" i="55" s="1"/>
  <c r="G552" i="55" a="1"/>
  <c r="G552" i="55" s="1"/>
  <c r="K552" i="55" s="1"/>
  <c r="I504" i="55" a="1"/>
  <c r="I504" i="55" s="1"/>
  <c r="I582" i="55" a="1"/>
  <c r="I582" i="55" s="1"/>
  <c r="I207" i="55" a="1"/>
  <c r="I207" i="55" s="1"/>
  <c r="I603" i="55" a="1"/>
  <c r="I603" i="55" s="1"/>
  <c r="I477" i="55" a="1"/>
  <c r="I477" i="55" s="1"/>
  <c r="G599" i="55" a="1"/>
  <c r="G599" i="55" s="1"/>
  <c r="G129" i="55" a="1"/>
  <c r="G129" i="55" s="1"/>
  <c r="G482" i="55" a="1"/>
  <c r="G482" i="55" s="1"/>
  <c r="G363" i="55" a="1"/>
  <c r="G363" i="55" s="1"/>
  <c r="G401" i="55" a="1"/>
  <c r="G401" i="55" s="1"/>
  <c r="E25" i="70" a="1"/>
  <c r="E25" i="70" s="1"/>
  <c r="F35" i="70" a="1"/>
  <c r="F35" i="70" s="1"/>
  <c r="I652" i="55" a="1"/>
  <c r="I652" i="55" s="1"/>
  <c r="G557" i="55" a="1"/>
  <c r="G557" i="55" s="1"/>
  <c r="G15" i="55" a="1"/>
  <c r="G15" i="55" s="1"/>
  <c r="I154" i="55" a="1"/>
  <c r="I154" i="55" s="1"/>
  <c r="I542" i="55" a="1"/>
  <c r="I542" i="55" s="1"/>
  <c r="I144" i="55" a="1"/>
  <c r="I144" i="55" s="1"/>
  <c r="I443" i="55" a="1"/>
  <c r="I443" i="55" s="1"/>
  <c r="I491" i="55" a="1"/>
  <c r="I491" i="55" s="1"/>
  <c r="G244" i="55" a="1"/>
  <c r="G244" i="55" s="1"/>
  <c r="G603" i="55" a="1"/>
  <c r="G603" i="55" s="1"/>
  <c r="G660" i="55" a="1"/>
  <c r="G660" i="55" s="1"/>
  <c r="I430" i="55" a="1"/>
  <c r="I430" i="55" s="1"/>
  <c r="I413" i="55" a="1"/>
  <c r="I413" i="55" s="1"/>
  <c r="G132" i="55" a="1"/>
  <c r="G132" i="55" s="1"/>
  <c r="I201" i="55" a="1"/>
  <c r="I201" i="55" s="1"/>
  <c r="I363" i="55" a="1"/>
  <c r="I363" i="55" s="1"/>
  <c r="E35" i="70" a="1"/>
  <c r="E35" i="70" s="1"/>
  <c r="F26" i="70" a="1"/>
  <c r="F26" i="70" s="1"/>
  <c r="G207" i="55" a="1"/>
  <c r="G207" i="55" s="1"/>
  <c r="G428" i="55" a="1"/>
  <c r="G428" i="55" s="1"/>
  <c r="G504" i="55" a="1"/>
  <c r="G504" i="55" s="1"/>
  <c r="G222" i="55" a="1"/>
  <c r="G222" i="55" s="1"/>
  <c r="G127" i="55" a="1"/>
  <c r="G127" i="55" s="1"/>
  <c r="I400" i="55" a="1"/>
  <c r="I400" i="55" s="1"/>
  <c r="G542" i="55" a="1"/>
  <c r="G542" i="55" s="1"/>
  <c r="K542" i="55" s="1"/>
  <c r="G647" i="55" a="1"/>
  <c r="G647" i="55" s="1"/>
  <c r="I437" i="55" a="1"/>
  <c r="I437" i="55" s="1"/>
  <c r="G437" i="55" a="1"/>
  <c r="G437" i="55" s="1"/>
  <c r="F13" i="70" a="1"/>
  <c r="F13" i="70" s="1"/>
  <c r="F7" i="70" a="1"/>
  <c r="F7" i="70" s="1"/>
  <c r="F39" i="70" a="1"/>
  <c r="F39" i="70" s="1"/>
  <c r="I428" i="55" a="1"/>
  <c r="I428" i="55" s="1"/>
  <c r="I653" i="55" a="1"/>
  <c r="I653" i="55" s="1"/>
  <c r="I646" i="55" a="1"/>
  <c r="I646" i="55" s="1"/>
  <c r="G144" i="55" a="1"/>
  <c r="G144" i="55" s="1"/>
  <c r="G443" i="55" a="1"/>
  <c r="G443" i="55" s="1"/>
  <c r="G361" i="55" a="1"/>
  <c r="G361" i="55" s="1"/>
  <c r="K361" i="55" s="1"/>
  <c r="I15" i="55" a="1"/>
  <c r="I15" i="55" s="1"/>
  <c r="G193" i="55" a="1"/>
  <c r="G193" i="55" s="1"/>
  <c r="G497" i="55" a="1"/>
  <c r="G497" i="55" s="1"/>
  <c r="G490" i="55" a="1"/>
  <c r="G490" i="55" s="1"/>
  <c r="G494" i="55" a="1"/>
  <c r="G494" i="55" s="1"/>
  <c r="I62" i="55" a="1"/>
  <c r="I62" i="55" s="1"/>
  <c r="G355" i="55" a="1"/>
  <c r="G355" i="55" s="1"/>
  <c r="K355" i="55" s="1"/>
  <c r="I332" i="55" a="1"/>
  <c r="I332" i="55" s="1"/>
  <c r="G174" i="55" a="1"/>
  <c r="G174" i="55" s="1"/>
  <c r="I503" i="55" a="1"/>
  <c r="I503" i="55" s="1"/>
  <c r="F15" i="70" a="1"/>
  <c r="F15" i="70" s="1"/>
  <c r="F33" i="70" a="1"/>
  <c r="F33" i="70" s="1"/>
  <c r="F27" i="70" a="1"/>
  <c r="F27" i="70" s="1"/>
  <c r="F21" i="70" a="1"/>
  <c r="F21" i="70" s="1"/>
  <c r="G640" i="55" a="1"/>
  <c r="G640" i="55" s="1"/>
  <c r="G576" i="55" a="1"/>
  <c r="G576" i="55" s="1"/>
  <c r="I574" i="55" a="1"/>
  <c r="I574" i="55" s="1"/>
  <c r="G154" i="55" a="1"/>
  <c r="G154" i="55" s="1"/>
  <c r="I640" i="55" a="1"/>
  <c r="I640" i="55" s="1"/>
  <c r="I306" i="55" a="1"/>
  <c r="I306" i="55" s="1"/>
  <c r="G306" i="55" a="1"/>
  <c r="G306" i="55" s="1"/>
  <c r="I478" i="55" a="1"/>
  <c r="I478" i="55" s="1"/>
  <c r="I511" i="55" a="1"/>
  <c r="I511" i="55" s="1"/>
  <c r="G62" i="55" a="1"/>
  <c r="G62" i="55" s="1"/>
  <c r="I174" i="55" a="1"/>
  <c r="I174" i="55" s="1"/>
  <c r="E16" i="70" a="1"/>
  <c r="E16" i="70" s="1"/>
  <c r="F8" i="70" a="1"/>
  <c r="F8" i="70" s="1"/>
  <c r="F9" i="70" a="1"/>
  <c r="F9" i="70" s="1"/>
  <c r="F29" i="70" a="1"/>
  <c r="F29" i="70" s="1"/>
  <c r="G340" i="55" a="1"/>
  <c r="G340" i="55" s="1"/>
  <c r="G582" i="55" a="1"/>
  <c r="G582" i="55" s="1"/>
  <c r="G332" i="55" a="1"/>
  <c r="G332" i="55" s="1"/>
  <c r="I412" i="55" a="1"/>
  <c r="I412" i="55" s="1"/>
  <c r="I243" i="55" a="1"/>
  <c r="I243" i="55" s="1"/>
  <c r="G503" i="55" a="1"/>
  <c r="G503" i="55" s="1"/>
  <c r="G331" i="55" a="1"/>
  <c r="G331" i="55" s="1"/>
  <c r="G412" i="55" a="1"/>
  <c r="G412" i="55" s="1"/>
  <c r="I647" i="55" a="1"/>
  <c r="I647" i="55" s="1"/>
  <c r="I331" i="55" a="1"/>
  <c r="I331" i="55" s="1"/>
  <c r="I317" i="55" a="1"/>
  <c r="I317" i="55" s="1"/>
  <c r="E7" i="70" a="1"/>
  <c r="E7" i="70" s="1"/>
  <c r="F38" i="70" a="1"/>
  <c r="F38" i="70" s="1"/>
  <c r="E9" i="70" a="1"/>
  <c r="E9" i="70" s="1"/>
  <c r="E21" i="70" a="1"/>
  <c r="E21" i="70" s="1"/>
  <c r="E20" i="70" a="1"/>
  <c r="E20" i="70" s="1"/>
  <c r="F12" i="70" a="1"/>
  <c r="F12" i="70" s="1"/>
  <c r="E38" i="70" a="1"/>
  <c r="E38" i="70" s="1"/>
  <c r="E46" i="70" a="1"/>
  <c r="E46" i="70" s="1"/>
  <c r="I593" i="55" a="1"/>
  <c r="I593" i="55" s="1"/>
  <c r="G73" i="55" a="1"/>
  <c r="G73" i="55" s="1"/>
  <c r="G201" i="55" a="1"/>
  <c r="G201" i="55" s="1"/>
  <c r="G511" i="55" a="1"/>
  <c r="G511" i="55" s="1"/>
  <c r="E14" i="70" a="1"/>
  <c r="E14" i="70" s="1"/>
  <c r="E24" i="70" a="1"/>
  <c r="E24" i="70" s="1"/>
  <c r="E19" i="70" a="1"/>
  <c r="E19" i="70" s="1"/>
  <c r="F14" i="70" a="1"/>
  <c r="F14" i="70" s="1"/>
  <c r="F24" i="70" a="1"/>
  <c r="F24" i="70" s="1"/>
  <c r="F19" i="70" a="1"/>
  <c r="F19" i="70" s="1"/>
  <c r="E28" i="70" a="1"/>
  <c r="E28" i="70" s="1"/>
  <c r="E15" i="70" a="1"/>
  <c r="E15" i="70" s="1"/>
  <c r="E13" i="70" a="1"/>
  <c r="E13" i="70" s="1"/>
  <c r="F36" i="70" a="1"/>
  <c r="F36" i="70" s="1"/>
  <c r="F46" i="70" a="1"/>
  <c r="F46" i="70" s="1"/>
  <c r="G478" i="55" a="1"/>
  <c r="G478" i="55" s="1"/>
  <c r="I358" i="55" a="1"/>
  <c r="I358" i="55" s="1"/>
  <c r="E17" i="70" a="1"/>
  <c r="E17" i="70" s="1"/>
  <c r="F23" i="70" a="1"/>
  <c r="F23" i="70" s="1"/>
  <c r="E10" i="70" a="1"/>
  <c r="E10" i="70" s="1"/>
  <c r="F17" i="70" a="1"/>
  <c r="F17" i="70" s="1"/>
  <c r="E26" i="70" a="1"/>
  <c r="E26" i="70" s="1"/>
  <c r="F32" i="70" a="1"/>
  <c r="F32" i="70" s="1"/>
  <c r="E37" i="70" a="1"/>
  <c r="E37" i="70" s="1"/>
  <c r="E11" i="70" a="1"/>
  <c r="E11" i="70" s="1"/>
  <c r="F18" i="70" a="1"/>
  <c r="F18" i="70" s="1"/>
  <c r="E23" i="70" a="1"/>
  <c r="E23" i="70" s="1"/>
  <c r="E39" i="70" a="1"/>
  <c r="E39" i="70" s="1"/>
  <c r="F11" i="70" a="1"/>
  <c r="F11" i="70" s="1"/>
  <c r="E8" i="70" a="1"/>
  <c r="E8" i="70" s="1"/>
  <c r="F42" i="70" a="1"/>
  <c r="F42" i="70" s="1"/>
  <c r="I32" i="58"/>
  <c r="I73" i="55" a="1"/>
  <c r="I73" i="55" s="1"/>
  <c r="I132" i="55" a="1"/>
  <c r="I132" i="55" s="1"/>
  <c r="G593" i="55" a="1"/>
  <c r="G593" i="55" s="1"/>
  <c r="E33" i="70" a="1"/>
  <c r="E33" i="70" s="1"/>
  <c r="F31" i="70" a="1"/>
  <c r="F31" i="70" s="1"/>
  <c r="E32" i="70" a="1"/>
  <c r="E32" i="70" s="1"/>
  <c r="F30" i="70" a="1"/>
  <c r="F30" i="70" s="1"/>
  <c r="E27" i="70" a="1"/>
  <c r="E27" i="70" s="1"/>
  <c r="F25" i="70" a="1"/>
  <c r="F25" i="70" s="1"/>
  <c r="E18" i="70" a="1"/>
  <c r="E18" i="70" s="1"/>
  <c r="F16" i="70" a="1"/>
  <c r="F16" i="70" s="1"/>
  <c r="E12" i="70" a="1"/>
  <c r="E12" i="70" s="1"/>
  <c r="F10" i="70" a="1"/>
  <c r="F10" i="70" s="1"/>
  <c r="F40" i="70" a="1"/>
  <c r="F40" i="70" s="1"/>
  <c r="E36" i="70" a="1"/>
  <c r="E36" i="70" s="1"/>
  <c r="F34" i="70" a="1"/>
  <c r="F34" i="70" s="1"/>
  <c r="E31" i="70" a="1"/>
  <c r="E31" i="70" s="1"/>
  <c r="F37" i="70" a="1"/>
  <c r="F37" i="70" s="1"/>
  <c r="E30" i="70" a="1"/>
  <c r="E30" i="70" s="1"/>
  <c r="F28" i="70" a="1"/>
  <c r="F28" i="70" s="1"/>
  <c r="E41" i="70" a="1"/>
  <c r="E41" i="70" s="1"/>
  <c r="L24" i="57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K137" i="55"/>
  <c r="L137" i="55" s="1"/>
  <c r="K215" i="55"/>
  <c r="K570" i="55"/>
  <c r="G626" i="55" a="1"/>
  <c r="G626" i="55" s="1"/>
  <c r="K338" i="55"/>
  <c r="K250" i="55"/>
  <c r="K147" i="55"/>
  <c r="K633" i="55"/>
  <c r="K220" i="55"/>
  <c r="K644" i="55"/>
  <c r="L644" i="55" s="1"/>
  <c r="I55" i="15"/>
  <c r="K88" i="55"/>
  <c r="K562" i="55"/>
  <c r="I52" i="15"/>
  <c r="K379" i="55"/>
  <c r="K573" i="55"/>
  <c r="K199" i="55"/>
  <c r="F44" i="60"/>
  <c r="I97" i="14"/>
  <c r="E31" i="15"/>
  <c r="H60" i="57"/>
  <c r="J60" i="57"/>
  <c r="K43" i="57"/>
  <c r="K44" i="57" s="1"/>
  <c r="K45" i="57" s="1"/>
  <c r="H28" i="15"/>
  <c r="K33" i="55"/>
  <c r="I50" i="15"/>
  <c r="K348" i="55"/>
  <c r="K295" i="55"/>
  <c r="K151" i="55"/>
  <c r="K68" i="55"/>
  <c r="G15" i="15"/>
  <c r="L15" i="15" s="1"/>
  <c r="K607" i="55"/>
  <c r="K498" i="55"/>
  <c r="K77" i="55"/>
  <c r="L77" i="55" s="1"/>
  <c r="K104" i="55"/>
  <c r="K631" i="55"/>
  <c r="K135" i="55"/>
  <c r="L135" i="55" s="1"/>
  <c r="K589" i="55"/>
  <c r="K139" i="55"/>
  <c r="K186" i="55"/>
  <c r="K130" i="55"/>
  <c r="L130" i="55" s="1"/>
  <c r="K12" i="55"/>
  <c r="K261" i="55"/>
  <c r="K335" i="55"/>
  <c r="K123" i="55"/>
  <c r="K196" i="55"/>
  <c r="K334" i="55"/>
  <c r="L334" i="55" s="1"/>
  <c r="K628" i="55"/>
  <c r="K445" i="55"/>
  <c r="H18" i="56"/>
  <c r="H28" i="56"/>
  <c r="H27" i="56"/>
  <c r="H20" i="56"/>
  <c r="H21" i="56"/>
  <c r="H23" i="56"/>
  <c r="H22" i="56"/>
  <c r="H25" i="56"/>
  <c r="I15" i="71"/>
  <c r="H19" i="56"/>
  <c r="H17" i="56"/>
  <c r="K553" i="55"/>
  <c r="H15" i="14"/>
  <c r="H15" i="71"/>
  <c r="I15" i="14"/>
  <c r="K350" i="55"/>
  <c r="K101" i="55"/>
  <c r="K67" i="55"/>
  <c r="K590" i="55"/>
  <c r="K457" i="55"/>
  <c r="K83" i="55"/>
  <c r="L83" i="55" s="1"/>
  <c r="K71" i="55"/>
  <c r="K106" i="55"/>
  <c r="K602" i="55"/>
  <c r="I56" i="15"/>
  <c r="K111" i="55"/>
  <c r="K14" i="55"/>
  <c r="L14" i="55" s="1"/>
  <c r="K142" i="55"/>
  <c r="K51" i="55"/>
  <c r="F202" i="60"/>
  <c r="K82" i="55"/>
  <c r="L82" i="55" s="1"/>
  <c r="K61" i="55"/>
  <c r="K146" i="55"/>
  <c r="K65" i="55"/>
  <c r="K86" i="55"/>
  <c r="K109" i="55"/>
  <c r="K95" i="55"/>
  <c r="L95" i="55" s="1"/>
  <c r="K326" i="55"/>
  <c r="K382" i="55"/>
  <c r="K100" i="55"/>
  <c r="K108" i="55"/>
  <c r="L108" i="55" s="1"/>
  <c r="K28" i="55"/>
  <c r="K583" i="55"/>
  <c r="K94" i="55"/>
  <c r="L94" i="55" s="1"/>
  <c r="K17" i="55"/>
  <c r="L17" i="55" s="1"/>
  <c r="K91" i="55"/>
  <c r="K615" i="55"/>
  <c r="K238" i="55"/>
  <c r="F30" i="15"/>
  <c r="F31" i="15" s="1"/>
  <c r="H29" i="15"/>
  <c r="H30" i="15" s="1"/>
  <c r="K324" i="55"/>
  <c r="K47" i="55"/>
  <c r="H43" i="71"/>
  <c r="K92" i="55"/>
  <c r="K167" i="55"/>
  <c r="L167" i="55" s="1"/>
  <c r="K559" i="55"/>
  <c r="K467" i="55"/>
  <c r="I43" i="71"/>
  <c r="K52" i="55"/>
  <c r="K30" i="55"/>
  <c r="K560" i="55"/>
  <c r="L560" i="55" s="1"/>
  <c r="K176" i="55"/>
  <c r="K629" i="55"/>
  <c r="K79" i="55"/>
  <c r="L79" i="55" s="1"/>
  <c r="H20" i="15"/>
  <c r="K125" i="55"/>
  <c r="K187" i="55"/>
  <c r="K451" i="55"/>
  <c r="K569" i="55"/>
  <c r="K34" i="55"/>
  <c r="K80" i="55"/>
  <c r="L80" i="55" s="1"/>
  <c r="K374" i="55"/>
  <c r="I51" i="15"/>
  <c r="K48" i="55"/>
  <c r="K172" i="55"/>
  <c r="L172" i="55" s="1"/>
  <c r="K122" i="55"/>
  <c r="K54" i="55"/>
  <c r="G25" i="15"/>
  <c r="G34" i="15"/>
  <c r="H34" i="15"/>
  <c r="K267" i="55"/>
  <c r="G40" i="15"/>
  <c r="K143" i="55"/>
  <c r="K102" i="55"/>
  <c r="K134" i="55"/>
  <c r="K49" i="55"/>
  <c r="K96" i="55"/>
  <c r="L96" i="55" s="1"/>
  <c r="K539" i="55"/>
  <c r="G27" i="15"/>
  <c r="K161" i="55"/>
  <c r="K75" i="55"/>
  <c r="K158" i="55"/>
  <c r="L158" i="55" s="1"/>
  <c r="K421" i="55"/>
  <c r="L421" i="55" s="1"/>
  <c r="K227" i="55"/>
  <c r="K119" i="55"/>
  <c r="K99" i="55"/>
  <c r="K159" i="55"/>
  <c r="K103" i="55"/>
  <c r="K78" i="55"/>
  <c r="K173" i="55"/>
  <c r="L173" i="55" s="1"/>
  <c r="K128" i="55"/>
  <c r="K35" i="55"/>
  <c r="K85" i="55"/>
  <c r="L85" i="55" s="1"/>
  <c r="K87" i="55"/>
  <c r="K177" i="55"/>
  <c r="K166" i="55"/>
  <c r="L166" i="55" s="1"/>
  <c r="K148" i="55"/>
  <c r="L148" i="55" s="1"/>
  <c r="K59" i="55"/>
  <c r="L59" i="55" s="1"/>
  <c r="K55" i="55"/>
  <c r="K157" i="55"/>
  <c r="K43" i="55"/>
  <c r="K391" i="55"/>
  <c r="K44" i="55"/>
  <c r="K38" i="55"/>
  <c r="K138" i="55"/>
  <c r="L138" i="55" s="1"/>
  <c r="K39" i="55"/>
  <c r="K112" i="55"/>
  <c r="L112" i="55" s="1"/>
  <c r="K126" i="55"/>
  <c r="K169" i="55"/>
  <c r="L169" i="55" s="1"/>
  <c r="K105" i="55"/>
  <c r="K136" i="55"/>
  <c r="L136" i="55" s="1"/>
  <c r="K145" i="55"/>
  <c r="K90" i="55"/>
  <c r="K649" i="55"/>
  <c r="K116" i="55"/>
  <c r="K36" i="55"/>
  <c r="K93" i="55"/>
  <c r="K97" i="55"/>
  <c r="L97" i="55" s="1"/>
  <c r="I48" i="15"/>
  <c r="K46" i="55"/>
  <c r="K124" i="55"/>
  <c r="H40" i="15"/>
  <c r="K32" i="55"/>
  <c r="K171" i="55"/>
  <c r="L171" i="55" s="1"/>
  <c r="K152" i="55"/>
  <c r="L152" i="55" s="1"/>
  <c r="K329" i="55"/>
  <c r="K31" i="55"/>
  <c r="K63" i="55"/>
  <c r="K98" i="55"/>
  <c r="K155" i="55"/>
  <c r="L155" i="55" s="1"/>
  <c r="K60" i="55"/>
  <c r="H25" i="15"/>
  <c r="K56" i="55"/>
  <c r="G28" i="15"/>
  <c r="K120" i="55"/>
  <c r="K170" i="55"/>
  <c r="L170" i="55" s="1"/>
  <c r="K64" i="55"/>
  <c r="K131" i="55"/>
  <c r="L131" i="55" s="1"/>
  <c r="K29" i="55"/>
  <c r="K156" i="55"/>
  <c r="K42" i="55"/>
  <c r="K107" i="55"/>
  <c r="K50" i="55"/>
  <c r="K118" i="55"/>
  <c r="K163" i="55"/>
  <c r="K89" i="55"/>
  <c r="K84" i="55"/>
  <c r="K117" i="55"/>
  <c r="K164" i="55"/>
  <c r="L164" i="55" s="1"/>
  <c r="K499" i="55"/>
  <c r="K37" i="55"/>
  <c r="K113" i="55"/>
  <c r="L113" i="55" s="1"/>
  <c r="F49" i="15"/>
  <c r="F43" i="15"/>
  <c r="G42" i="15"/>
  <c r="H42" i="15"/>
  <c r="E41" i="15"/>
  <c r="G39" i="15"/>
  <c r="G6" i="12"/>
  <c r="H6" i="12"/>
  <c r="I47" i="15"/>
  <c r="E49" i="15"/>
  <c r="I53" i="15"/>
  <c r="J54" i="15"/>
  <c r="F38" i="15"/>
  <c r="H35" i="15"/>
  <c r="H26" i="15"/>
  <c r="G26" i="15"/>
  <c r="H17" i="15"/>
  <c r="F18" i="15"/>
  <c r="G35" i="15"/>
  <c r="E38" i="15"/>
  <c r="F13" i="15"/>
  <c r="H12" i="15"/>
  <c r="H13" i="15" s="1"/>
  <c r="H39" i="15"/>
  <c r="F41" i="15"/>
  <c r="F33" i="15"/>
  <c r="H37" i="15"/>
  <c r="G37" i="15"/>
  <c r="H10" i="15"/>
  <c r="H11" i="15" s="1"/>
  <c r="G10" i="15"/>
  <c r="G11" i="15" s="1"/>
  <c r="E11" i="15"/>
  <c r="H15" i="15"/>
  <c r="H16" i="15" s="1"/>
  <c r="F16" i="15"/>
  <c r="G14" i="15"/>
  <c r="H14" i="15"/>
  <c r="E18" i="15"/>
  <c r="G17" i="15"/>
  <c r="H44" i="15"/>
  <c r="H46" i="15" s="1"/>
  <c r="G44" i="15"/>
  <c r="G46" i="15" s="1"/>
  <c r="H27" i="15"/>
  <c r="G36" i="15"/>
  <c r="G73" i="47"/>
  <c r="F73" i="47"/>
  <c r="E78" i="47"/>
  <c r="G3" i="47"/>
  <c r="C77" i="47"/>
  <c r="H15" i="47"/>
  <c r="I15" i="47"/>
  <c r="H52" i="42"/>
  <c r="G132" i="43"/>
  <c r="I31" i="73"/>
  <c r="G52" i="42"/>
  <c r="H31" i="73"/>
  <c r="D21" i="56"/>
  <c r="D19" i="56"/>
  <c r="D27" i="56"/>
  <c r="D24" i="56"/>
  <c r="D18" i="56"/>
  <c r="D20" i="56"/>
  <c r="D28" i="56"/>
  <c r="G3" i="56"/>
  <c r="G4" i="56"/>
  <c r="F34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D17" i="56"/>
  <c r="D22" i="56"/>
  <c r="D29" i="56"/>
  <c r="A29" i="56"/>
  <c r="D26" i="56"/>
  <c r="D25" i="56"/>
  <c r="D23" i="56"/>
  <c r="I57" i="42"/>
  <c r="A56" i="42"/>
  <c r="G2" i="42"/>
  <c r="A6" i="42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F132" i="43"/>
  <c r="F2" i="43"/>
  <c r="G136" i="43"/>
  <c r="A135" i="43"/>
  <c r="A33" i="73"/>
  <c r="D6" i="73"/>
  <c r="F2" i="73"/>
  <c r="H49" i="70" l="1"/>
  <c r="K568" i="55"/>
  <c r="K514" i="55"/>
  <c r="K297" i="55"/>
  <c r="K262" i="55"/>
  <c r="K286" i="55"/>
  <c r="K434" i="55"/>
  <c r="K474" i="55"/>
  <c r="I14" i="77"/>
  <c r="J14" i="77"/>
  <c r="K670" i="55"/>
  <c r="K516" i="55"/>
  <c r="K439" i="55"/>
  <c r="K634" i="55"/>
  <c r="K488" i="55"/>
  <c r="K658" i="55"/>
  <c r="K252" i="55"/>
  <c r="K676" i="55"/>
  <c r="K285" i="55"/>
  <c r="K225" i="55"/>
  <c r="K302" i="55"/>
  <c r="K661" i="55"/>
  <c r="K210" i="55"/>
  <c r="K307" i="55"/>
  <c r="K327" i="55"/>
  <c r="K600" i="55"/>
  <c r="K453" i="55"/>
  <c r="K240" i="55"/>
  <c r="K674" i="55"/>
  <c r="K375" i="55"/>
  <c r="K424" i="55"/>
  <c r="K677" i="55"/>
  <c r="K339" i="55"/>
  <c r="K203" i="55"/>
  <c r="K601" i="55"/>
  <c r="K679" i="55"/>
  <c r="K672" i="55"/>
  <c r="K197" i="55"/>
  <c r="H23" i="15"/>
  <c r="K575" i="55"/>
  <c r="K450" i="55"/>
  <c r="K586" i="55"/>
  <c r="K681" i="55"/>
  <c r="K550" i="55"/>
  <c r="K496" i="55"/>
  <c r="K605" i="55"/>
  <c r="K440" i="55"/>
  <c r="H16" i="12"/>
  <c r="G16" i="12"/>
  <c r="G31" i="70"/>
  <c r="K23" i="55"/>
  <c r="G22" i="15"/>
  <c r="H32" i="15"/>
  <c r="G21" i="15"/>
  <c r="H21" i="15"/>
  <c r="H22" i="15"/>
  <c r="E24" i="15"/>
  <c r="E59" i="15" s="1"/>
  <c r="G23" i="15"/>
  <c r="H15" i="12"/>
  <c r="F24" i="15"/>
  <c r="F59" i="15" s="1"/>
  <c r="K311" i="55"/>
  <c r="K545" i="55"/>
  <c r="K485" i="55"/>
  <c r="G20" i="15"/>
  <c r="K371" i="55"/>
  <c r="G6" i="70"/>
  <c r="K264" i="55"/>
  <c r="K546" i="55"/>
  <c r="K533" i="55"/>
  <c r="G19" i="15"/>
  <c r="G29" i="15"/>
  <c r="G30" i="15" s="1"/>
  <c r="G31" i="15" s="1"/>
  <c r="K426" i="55"/>
  <c r="K323" i="55"/>
  <c r="K384" i="55"/>
  <c r="K669" i="55"/>
  <c r="K121" i="55"/>
  <c r="K471" i="55"/>
  <c r="K639" i="55"/>
  <c r="K22" i="55"/>
  <c r="K314" i="55"/>
  <c r="K224" i="55"/>
  <c r="K486" i="55"/>
  <c r="K370" i="55"/>
  <c r="G15" i="12"/>
  <c r="K614" i="55"/>
  <c r="K288" i="55"/>
  <c r="K528" i="55"/>
  <c r="K253" i="55"/>
  <c r="K184" i="55"/>
  <c r="K110" i="55"/>
  <c r="K637" i="55"/>
  <c r="K436" i="55"/>
  <c r="K510" i="55"/>
  <c r="G32" i="15"/>
  <c r="K648" i="55"/>
  <c r="K470" i="55"/>
  <c r="K24" i="55"/>
  <c r="K333" i="55"/>
  <c r="K188" i="55"/>
  <c r="K283" i="55"/>
  <c r="K81" i="55"/>
  <c r="L81" i="55" s="1"/>
  <c r="K473" i="55"/>
  <c r="K178" i="55"/>
  <c r="K27" i="55"/>
  <c r="K341" i="55"/>
  <c r="K630" i="55"/>
  <c r="K535" i="55"/>
  <c r="K308" i="55"/>
  <c r="K650" i="55"/>
  <c r="K642" i="55"/>
  <c r="K19" i="55"/>
  <c r="K26" i="55"/>
  <c r="K507" i="55"/>
  <c r="K284" i="55"/>
  <c r="K234" i="55"/>
  <c r="K663" i="55"/>
  <c r="K182" i="55"/>
  <c r="K406" i="55"/>
  <c r="K385" i="55"/>
  <c r="K657" i="55"/>
  <c r="K304" i="55"/>
  <c r="K251" i="55"/>
  <c r="K313" i="55"/>
  <c r="K684" i="55"/>
  <c r="K258" i="55"/>
  <c r="K310" i="55"/>
  <c r="K45" i="55"/>
  <c r="K654" i="55"/>
  <c r="K269" i="55"/>
  <c r="K212" i="55"/>
  <c r="K298" i="55"/>
  <c r="K175" i="55"/>
  <c r="K315" i="55"/>
  <c r="K21" i="55"/>
  <c r="K664" i="55"/>
  <c r="K277" i="55"/>
  <c r="K259" i="55"/>
  <c r="K466" i="55"/>
  <c r="K509" i="55"/>
  <c r="K246" i="55"/>
  <c r="K328" i="55"/>
  <c r="H30" i="70"/>
  <c r="K241" i="55"/>
  <c r="G48" i="70"/>
  <c r="K300" i="55"/>
  <c r="G50" i="70"/>
  <c r="K183" i="55"/>
  <c r="H7" i="12"/>
  <c r="K537" i="55"/>
  <c r="H47" i="70"/>
  <c r="H6" i="70"/>
  <c r="G7" i="12"/>
  <c r="K351" i="55"/>
  <c r="K435" i="55"/>
  <c r="K619" i="55"/>
  <c r="K622" i="55"/>
  <c r="K668" i="55"/>
  <c r="K621" i="55"/>
  <c r="K377" i="55"/>
  <c r="K312" i="55"/>
  <c r="K665" i="55"/>
  <c r="K388" i="55"/>
  <c r="K369" i="55"/>
  <c r="K612" i="55"/>
  <c r="K229" i="55"/>
  <c r="K512" i="55"/>
  <c r="K462" i="55"/>
  <c r="H48" i="70"/>
  <c r="G49" i="70"/>
  <c r="G47" i="70"/>
  <c r="H50" i="70"/>
  <c r="H51" i="70"/>
  <c r="K566" i="55"/>
  <c r="K518" i="55"/>
  <c r="K305" i="55"/>
  <c r="K217" i="55"/>
  <c r="K565" i="55"/>
  <c r="K194" i="55"/>
  <c r="K216" i="55"/>
  <c r="K195" i="55"/>
  <c r="K464" i="55"/>
  <c r="K520" i="55"/>
  <c r="K463" i="55"/>
  <c r="K359" i="55"/>
  <c r="K20" i="55"/>
  <c r="K446" i="55"/>
  <c r="K202" i="55"/>
  <c r="K268" i="55"/>
  <c r="K303" i="55"/>
  <c r="K291" i="55"/>
  <c r="K114" i="55"/>
  <c r="G12" i="12"/>
  <c r="I19" i="78"/>
  <c r="K233" i="55"/>
  <c r="H19" i="78"/>
  <c r="K667" i="55"/>
  <c r="K404" i="55"/>
  <c r="K454" i="55"/>
  <c r="K666" i="55"/>
  <c r="K643" i="55"/>
  <c r="K431" i="55"/>
  <c r="K330" i="55"/>
  <c r="K524" i="55"/>
  <c r="L12" i="55"/>
  <c r="K263" i="55"/>
  <c r="K554" i="55"/>
  <c r="G32" i="70"/>
  <c r="K581" i="55"/>
  <c r="K460" i="55"/>
  <c r="K563" i="55"/>
  <c r="K455" i="55"/>
  <c r="H45" i="70"/>
  <c r="K349" i="55"/>
  <c r="K274" i="55"/>
  <c r="K505" i="55"/>
  <c r="K458" i="55"/>
  <c r="K410" i="55"/>
  <c r="K356" i="55"/>
  <c r="K72" i="55"/>
  <c r="K208" i="55"/>
  <c r="K493" i="55"/>
  <c r="H13" i="77"/>
  <c r="K265" i="55"/>
  <c r="K387" i="55"/>
  <c r="K538" i="55"/>
  <c r="K416" i="55"/>
  <c r="K551" i="55"/>
  <c r="K69" i="55"/>
  <c r="K58" i="55"/>
  <c r="K389" i="55"/>
  <c r="K501" i="55"/>
  <c r="K610" i="55"/>
  <c r="K425" i="55"/>
  <c r="K279" i="55"/>
  <c r="K469" i="55"/>
  <c r="K449" i="55"/>
  <c r="K278" i="55"/>
  <c r="K309" i="55"/>
  <c r="K189" i="55"/>
  <c r="K623" i="55"/>
  <c r="K380" i="55"/>
  <c r="G43" i="70"/>
  <c r="K276" i="55"/>
  <c r="K179" i="55"/>
  <c r="K280" i="55"/>
  <c r="K40" i="55"/>
  <c r="K513" i="55"/>
  <c r="K363" i="55"/>
  <c r="K656" i="55"/>
  <c r="K495" i="55"/>
  <c r="K204" i="55"/>
  <c r="K393" i="55"/>
  <c r="H43" i="70"/>
  <c r="G44" i="70"/>
  <c r="K402" i="55"/>
  <c r="G45" i="70"/>
  <c r="K372" i="55"/>
  <c r="K66" i="55"/>
  <c r="K244" i="55"/>
  <c r="K557" i="55"/>
  <c r="K523" i="55"/>
  <c r="K223" i="55"/>
  <c r="K632" i="55"/>
  <c r="K475" i="55"/>
  <c r="K418" i="55"/>
  <c r="K257" i="55"/>
  <c r="K383" i="55"/>
  <c r="K415" i="55"/>
  <c r="K127" i="55"/>
  <c r="K558" i="55"/>
  <c r="K438" i="55"/>
  <c r="K320" i="55"/>
  <c r="K414" i="55"/>
  <c r="K272" i="55"/>
  <c r="K422" i="55"/>
  <c r="K239" i="55"/>
  <c r="K461" i="55"/>
  <c r="I18" i="77"/>
  <c r="I16" i="77"/>
  <c r="I10" i="77"/>
  <c r="G8" i="12"/>
  <c r="H9" i="77"/>
  <c r="H9" i="12"/>
  <c r="H10" i="12"/>
  <c r="F18" i="12"/>
  <c r="F19" i="12" s="1"/>
  <c r="H12" i="12"/>
  <c r="H8" i="12"/>
  <c r="G9" i="12"/>
  <c r="K394" i="55"/>
  <c r="K354" i="55"/>
  <c r="I12" i="77"/>
  <c r="K606" i="55"/>
  <c r="I15" i="77"/>
  <c r="G11" i="12"/>
  <c r="H13" i="12"/>
  <c r="H15" i="77"/>
  <c r="H10" i="77"/>
  <c r="I13" i="77"/>
  <c r="H12" i="77"/>
  <c r="I9" i="77"/>
  <c r="H18" i="77"/>
  <c r="H16" i="77"/>
  <c r="K480" i="55"/>
  <c r="K419" i="55"/>
  <c r="K625" i="55"/>
  <c r="I17" i="77"/>
  <c r="H14" i="77"/>
  <c r="G19" i="77"/>
  <c r="K592" i="55"/>
  <c r="F19" i="77"/>
  <c r="H8" i="77"/>
  <c r="H14" i="12"/>
  <c r="H42" i="70"/>
  <c r="G14" i="12"/>
  <c r="G13" i="12"/>
  <c r="E18" i="12"/>
  <c r="E19" i="12" s="1"/>
  <c r="H11" i="12"/>
  <c r="K141" i="55"/>
  <c r="K386" i="55"/>
  <c r="K390" i="55"/>
  <c r="K429" i="55"/>
  <c r="K396" i="55"/>
  <c r="K472" i="55"/>
  <c r="K479" i="55"/>
  <c r="K525" i="55"/>
  <c r="K411" i="55"/>
  <c r="K271" i="55"/>
  <c r="K544" i="55"/>
  <c r="K260" i="55"/>
  <c r="K185" i="55"/>
  <c r="K620" i="55"/>
  <c r="K287" i="55"/>
  <c r="K366" i="55"/>
  <c r="K531" i="55"/>
  <c r="I57" i="15"/>
  <c r="K490" i="55"/>
  <c r="G40" i="70"/>
  <c r="G20" i="70"/>
  <c r="K192" i="55"/>
  <c r="K611" i="55"/>
  <c r="K646" i="55"/>
  <c r="K193" i="55"/>
  <c r="K432" i="55"/>
  <c r="K357" i="55"/>
  <c r="K540" i="55"/>
  <c r="K237" i="55"/>
  <c r="K506" i="55"/>
  <c r="K292" i="55"/>
  <c r="K365" i="55"/>
  <c r="K659" i="55"/>
  <c r="K214" i="55"/>
  <c r="K353" i="55"/>
  <c r="K344" i="55"/>
  <c r="K627" i="55"/>
  <c r="K541" i="55"/>
  <c r="K15" i="55"/>
  <c r="K685" i="55"/>
  <c r="K591" i="55"/>
  <c r="K399" i="55"/>
  <c r="K497" i="55"/>
  <c r="K481" i="55"/>
  <c r="K352" i="55"/>
  <c r="L352" i="55" s="1"/>
  <c r="K322" i="55"/>
  <c r="K530" i="55"/>
  <c r="K226" i="55"/>
  <c r="K576" i="55"/>
  <c r="K115" i="55"/>
  <c r="K519" i="55"/>
  <c r="K482" i="55"/>
  <c r="G33" i="70"/>
  <c r="K407" i="55"/>
  <c r="K190" i="55"/>
  <c r="K381" i="55"/>
  <c r="H12" i="70"/>
  <c r="K133" i="55"/>
  <c r="L133" i="55" s="1"/>
  <c r="K508" i="55"/>
  <c r="K468" i="55"/>
  <c r="K413" i="55"/>
  <c r="K652" i="55"/>
  <c r="K316" i="55"/>
  <c r="G41" i="70"/>
  <c r="K647" i="55"/>
  <c r="H28" i="70"/>
  <c r="H36" i="70"/>
  <c r="H21" i="70"/>
  <c r="K129" i="55"/>
  <c r="L129" i="55" s="1"/>
  <c r="K556" i="55"/>
  <c r="K150" i="55"/>
  <c r="L150" i="55" s="1"/>
  <c r="K266" i="55"/>
  <c r="K433" i="55"/>
  <c r="K301" i="55"/>
  <c r="K205" i="55"/>
  <c r="L205" i="55" s="1"/>
  <c r="K397" i="55"/>
  <c r="K408" i="55"/>
  <c r="K294" i="55"/>
  <c r="K362" i="55"/>
  <c r="K358" i="55"/>
  <c r="K459" i="55"/>
  <c r="K400" i="55"/>
  <c r="K588" i="55"/>
  <c r="K561" i="55"/>
  <c r="K645" i="55"/>
  <c r="L645" i="55" s="1"/>
  <c r="K522" i="55"/>
  <c r="K578" i="55"/>
  <c r="K604" i="55"/>
  <c r="K477" i="55"/>
  <c r="K572" i="55"/>
  <c r="K376" i="55"/>
  <c r="K368" i="55"/>
  <c r="K206" i="55"/>
  <c r="K403" i="55"/>
  <c r="K191" i="55"/>
  <c r="K494" i="55"/>
  <c r="K409" i="55"/>
  <c r="K532" i="55"/>
  <c r="K595" i="55"/>
  <c r="K641" i="55"/>
  <c r="K487" i="55"/>
  <c r="G34" i="70"/>
  <c r="K243" i="55"/>
  <c r="K609" i="55"/>
  <c r="K660" i="55"/>
  <c r="K256" i="55"/>
  <c r="H22" i="70"/>
  <c r="K443" i="55"/>
  <c r="G35" i="70"/>
  <c r="K401" i="55"/>
  <c r="K392" i="55"/>
  <c r="K325" i="55"/>
  <c r="K596" i="55"/>
  <c r="K594" i="55"/>
  <c r="K430" i="55"/>
  <c r="K452" i="55"/>
  <c r="K447" i="55"/>
  <c r="K489" i="55"/>
  <c r="K483" i="55"/>
  <c r="K653" i="55"/>
  <c r="K655" i="55"/>
  <c r="H35" i="70"/>
  <c r="G25" i="70"/>
  <c r="K599" i="55"/>
  <c r="K317" i="55"/>
  <c r="K491" i="55"/>
  <c r="K492" i="55"/>
  <c r="K222" i="55"/>
  <c r="K245" i="55"/>
  <c r="K547" i="55"/>
  <c r="K428" i="55"/>
  <c r="K574" i="55"/>
  <c r="G12" i="15"/>
  <c r="G13" i="15" s="1"/>
  <c r="K662" i="55"/>
  <c r="K248" i="55"/>
  <c r="K346" i="55"/>
  <c r="K337" i="55"/>
  <c r="K534" i="55"/>
  <c r="K181" i="55"/>
  <c r="K504" i="55"/>
  <c r="K201" i="55"/>
  <c r="K603" i="55"/>
  <c r="K526" i="55"/>
  <c r="H26" i="70"/>
  <c r="K412" i="55"/>
  <c r="K503" i="55"/>
  <c r="G29" i="70"/>
  <c r="K207" i="55"/>
  <c r="K332" i="55"/>
  <c r="K144" i="55"/>
  <c r="L144" i="55" s="1"/>
  <c r="G27" i="70"/>
  <c r="K340" i="55"/>
  <c r="G22" i="70"/>
  <c r="K515" i="55"/>
  <c r="K640" i="55"/>
  <c r="H15" i="70"/>
  <c r="K582" i="55"/>
  <c r="K154" i="55"/>
  <c r="K437" i="55"/>
  <c r="H29" i="70"/>
  <c r="H13" i="70"/>
  <c r="G39" i="70"/>
  <c r="K331" i="55"/>
  <c r="G9" i="70"/>
  <c r="K132" i="55"/>
  <c r="L132" i="55" s="1"/>
  <c r="K478" i="55"/>
  <c r="H17" i="70"/>
  <c r="K593" i="55"/>
  <c r="H7" i="70"/>
  <c r="K306" i="55"/>
  <c r="H9" i="70"/>
  <c r="K444" i="55"/>
  <c r="K62" i="55"/>
  <c r="G21" i="70"/>
  <c r="K174" i="55"/>
  <c r="H8" i="70"/>
  <c r="I7" i="77"/>
  <c r="H7" i="77"/>
  <c r="K527" i="55"/>
  <c r="H5" i="77"/>
  <c r="I5" i="77"/>
  <c r="H11" i="70"/>
  <c r="I8" i="77"/>
  <c r="G7" i="70"/>
  <c r="H20" i="70"/>
  <c r="G15" i="70"/>
  <c r="G38" i="70"/>
  <c r="G46" i="70"/>
  <c r="G16" i="70"/>
  <c r="H11" i="77"/>
  <c r="I11" i="77"/>
  <c r="H14" i="70"/>
  <c r="I6" i="77"/>
  <c r="H6" i="77"/>
  <c r="H38" i="70"/>
  <c r="H46" i="70"/>
  <c r="G14" i="70"/>
  <c r="H4" i="77"/>
  <c r="I4" i="77"/>
  <c r="H24" i="70"/>
  <c r="H33" i="70"/>
  <c r="K511" i="55"/>
  <c r="G11" i="70"/>
  <c r="G18" i="70"/>
  <c r="G17" i="70"/>
  <c r="G8" i="70"/>
  <c r="H23" i="70"/>
  <c r="H27" i="70"/>
  <c r="G687" i="55"/>
  <c r="G688" i="55" s="1"/>
  <c r="G13" i="70"/>
  <c r="G26" i="70"/>
  <c r="G23" i="70"/>
  <c r="H10" i="70"/>
  <c r="H32" i="70"/>
  <c r="G42" i="70"/>
  <c r="G12" i="70"/>
  <c r="H25" i="70"/>
  <c r="G28" i="70"/>
  <c r="H34" i="70"/>
  <c r="H19" i="70"/>
  <c r="G24" i="70"/>
  <c r="K73" i="55"/>
  <c r="G36" i="70"/>
  <c r="I687" i="55"/>
  <c r="I688" i="55" s="1"/>
  <c r="F53" i="70"/>
  <c r="F54" i="70" s="1"/>
  <c r="H16" i="70"/>
  <c r="H39" i="70"/>
  <c r="G10" i="70"/>
  <c r="H18" i="70"/>
  <c r="G19" i="70"/>
  <c r="H40" i="70"/>
  <c r="H31" i="70"/>
  <c r="G37" i="70"/>
  <c r="E53" i="70"/>
  <c r="E54" i="70" s="1"/>
  <c r="H41" i="70"/>
  <c r="H37" i="70"/>
  <c r="G30" i="70"/>
  <c r="K626" i="55"/>
  <c r="L60" i="57"/>
  <c r="I16" i="71"/>
  <c r="L39" i="57"/>
  <c r="L40" i="57" s="1"/>
  <c r="L41" i="57" s="1"/>
  <c r="L42" i="57" s="1"/>
  <c r="G16" i="15"/>
  <c r="H30" i="56"/>
  <c r="H16" i="14"/>
  <c r="I16" i="14"/>
  <c r="H16" i="71"/>
  <c r="J38" i="15"/>
  <c r="G41" i="15"/>
  <c r="I74" i="47"/>
  <c r="G18" i="15"/>
  <c r="J46" i="15"/>
  <c r="H74" i="47"/>
  <c r="H33" i="15"/>
  <c r="G33" i="15"/>
  <c r="G38" i="15"/>
  <c r="H41" i="15"/>
  <c r="I53" i="42"/>
  <c r="H18" i="15"/>
  <c r="H38" i="15"/>
  <c r="I16" i="47"/>
  <c r="H31" i="15"/>
  <c r="I49" i="15"/>
  <c r="G43" i="15"/>
  <c r="H43" i="15"/>
  <c r="H16" i="47"/>
  <c r="H132" i="43"/>
  <c r="H133" i="43" s="1"/>
  <c r="A32" i="56"/>
  <c r="H24" i="15" l="1"/>
  <c r="H59" i="15" s="1"/>
  <c r="G24" i="15"/>
  <c r="G59" i="15" s="1"/>
  <c r="H20" i="78"/>
  <c r="I20" i="78"/>
  <c r="H18" i="12"/>
  <c r="H19" i="77"/>
  <c r="I19" i="77"/>
  <c r="G18" i="12"/>
  <c r="K687" i="55"/>
  <c r="K688" i="55" s="1"/>
  <c r="H53" i="70"/>
  <c r="G53" i="70"/>
  <c r="L43" i="57"/>
  <c r="L44" i="57" s="1"/>
  <c r="L45" i="57" s="1"/>
  <c r="I17" i="71"/>
  <c r="F61" i="15"/>
  <c r="I17" i="14"/>
  <c r="H17" i="14"/>
  <c r="H17" i="71"/>
  <c r="H17" i="47"/>
  <c r="I17" i="47"/>
  <c r="I21" i="78" l="1"/>
  <c r="H21" i="78"/>
  <c r="H18" i="71"/>
  <c r="L61" i="15"/>
  <c r="H61" i="15"/>
  <c r="I18" i="14"/>
  <c r="H18" i="14"/>
  <c r="I18" i="71"/>
  <c r="H18" i="47"/>
  <c r="I18" i="47"/>
  <c r="H22" i="78" l="1"/>
  <c r="I22" i="78"/>
  <c r="I19" i="71"/>
  <c r="H19" i="14"/>
  <c r="I19" i="14"/>
  <c r="H19" i="71"/>
  <c r="I19" i="47"/>
  <c r="H19" i="47"/>
  <c r="I23" i="78" l="1"/>
  <c r="H23" i="78"/>
  <c r="H24" i="78" s="1"/>
  <c r="H20" i="71"/>
  <c r="H20" i="14"/>
  <c r="I20" i="14"/>
  <c r="I20" i="71"/>
  <c r="H20" i="47"/>
  <c r="I20" i="47"/>
  <c r="I24" i="78" l="1"/>
  <c r="I21" i="71"/>
  <c r="I21" i="14"/>
  <c r="H21" i="14"/>
  <c r="H21" i="71"/>
  <c r="I21" i="47"/>
  <c r="H21" i="47"/>
  <c r="H22" i="71" l="1"/>
  <c r="H22" i="14"/>
  <c r="I22" i="14"/>
  <c r="I22" i="71"/>
  <c r="H22" i="47"/>
  <c r="I22" i="47"/>
  <c r="I23" i="71" l="1"/>
  <c r="H23" i="71"/>
  <c r="H23" i="14"/>
  <c r="I23" i="14"/>
  <c r="I23" i="47"/>
  <c r="H23" i="47"/>
  <c r="H24" i="71" l="1"/>
  <c r="I24" i="71"/>
  <c r="H24" i="47"/>
  <c r="I24" i="47"/>
  <c r="H24" i="14"/>
  <c r="I24" i="14"/>
  <c r="I25" i="71" l="1"/>
  <c r="H25" i="71"/>
  <c r="I25" i="47"/>
  <c r="H25" i="47"/>
  <c r="I25" i="14"/>
  <c r="H25" i="14"/>
  <c r="H26" i="71" l="1"/>
  <c r="I26" i="71"/>
  <c r="H26" i="47"/>
  <c r="I26" i="47"/>
  <c r="H26" i="14"/>
  <c r="I26" i="14"/>
  <c r="H27" i="71" l="1"/>
  <c r="I27" i="71"/>
  <c r="I27" i="47"/>
  <c r="H27" i="47"/>
  <c r="I27" i="14"/>
  <c r="H27" i="14"/>
  <c r="I28" i="71" l="1"/>
  <c r="H28" i="71"/>
  <c r="H28" i="47"/>
  <c r="I28" i="47"/>
  <c r="I28" i="14"/>
  <c r="H28" i="14"/>
  <c r="I29" i="71" l="1"/>
  <c r="H29" i="71"/>
  <c r="I29" i="47"/>
  <c r="H29" i="47"/>
  <c r="H29" i="14"/>
  <c r="I29" i="14"/>
  <c r="I30" i="71" l="1"/>
  <c r="H30" i="71"/>
  <c r="H30" i="47"/>
  <c r="I30" i="47"/>
  <c r="H30" i="14"/>
  <c r="I30" i="14"/>
  <c r="I31" i="71" l="1"/>
  <c r="H31" i="71"/>
  <c r="I31" i="47"/>
  <c r="H31" i="47"/>
  <c r="H31" i="14"/>
  <c r="I31" i="14"/>
  <c r="I32" i="71" l="1"/>
  <c r="H32" i="71"/>
  <c r="H32" i="47"/>
  <c r="I32" i="47"/>
  <c r="H32" i="14"/>
  <c r="I32" i="14"/>
  <c r="H33" i="71" l="1"/>
  <c r="I33" i="71"/>
  <c r="I34" i="71" s="1"/>
  <c r="I33" i="47"/>
  <c r="H33" i="47"/>
  <c r="I33" i="14"/>
  <c r="H33" i="14"/>
  <c r="H34" i="71"/>
  <c r="I35" i="71" s="1"/>
  <c r="H34" i="47" l="1"/>
  <c r="I34" i="47"/>
  <c r="H34" i="14"/>
  <c r="I34" i="14"/>
  <c r="H35" i="71"/>
  <c r="H36" i="71" s="1"/>
  <c r="I35" i="47" l="1"/>
  <c r="H35" i="47"/>
  <c r="I35" i="14"/>
  <c r="H35" i="14"/>
  <c r="I36" i="71"/>
  <c r="I37" i="71" s="1"/>
  <c r="H37" i="71" l="1"/>
  <c r="H36" i="47"/>
  <c r="I36" i="47"/>
  <c r="H36" i="14"/>
  <c r="I36" i="14"/>
  <c r="I37" i="47" l="1"/>
  <c r="I37" i="14"/>
  <c r="H37" i="47"/>
  <c r="H37" i="14"/>
  <c r="H38" i="47" l="1"/>
  <c r="H38" i="14"/>
  <c r="I38" i="47"/>
  <c r="I38" i="14"/>
  <c r="I39" i="14" l="1"/>
  <c r="H39" i="14"/>
  <c r="I39" i="47"/>
  <c r="H39" i="47"/>
  <c r="H40" i="14" l="1"/>
  <c r="I40" i="14"/>
  <c r="H40" i="47"/>
  <c r="I40" i="47"/>
  <c r="I41" i="14" l="1"/>
  <c r="H41" i="14"/>
  <c r="I41" i="47"/>
  <c r="H41" i="47"/>
  <c r="H42" i="14" l="1"/>
  <c r="H42" i="47"/>
  <c r="I42" i="14"/>
  <c r="I42" i="47"/>
  <c r="I43" i="14" l="1"/>
  <c r="I43" i="47"/>
  <c r="H43" i="14"/>
  <c r="H43" i="47"/>
  <c r="H44" i="47" l="1"/>
  <c r="H44" i="14"/>
  <c r="I44" i="14"/>
  <c r="I44" i="47"/>
  <c r="I45" i="47" s="1"/>
  <c r="I45" i="14" l="1"/>
  <c r="H45" i="14"/>
  <c r="H45" i="47"/>
  <c r="H46" i="47" s="1"/>
  <c r="H46" i="14" l="1"/>
  <c r="I46" i="14"/>
  <c r="I46" i="47"/>
  <c r="I47" i="47" s="1"/>
  <c r="I47" i="14" l="1"/>
  <c r="H47" i="14"/>
  <c r="H47" i="47"/>
  <c r="H48" i="47" s="1"/>
  <c r="H48" i="14" l="1"/>
  <c r="I48" i="14"/>
  <c r="I48" i="47"/>
  <c r="I49" i="47" s="1"/>
  <c r="I49" i="14" l="1"/>
  <c r="H49" i="14"/>
  <c r="H49" i="47"/>
  <c r="H50" i="47" s="1"/>
  <c r="H50" i="14" l="1"/>
  <c r="I50" i="14"/>
  <c r="I50" i="47"/>
  <c r="I51" i="47" s="1"/>
  <c r="I51" i="14" l="1"/>
  <c r="H51" i="14"/>
  <c r="H51" i="47"/>
  <c r="H52" i="47" s="1"/>
  <c r="H52" i="14" l="1"/>
  <c r="I52" i="14"/>
  <c r="I53" i="14" s="1"/>
  <c r="I52" i="47"/>
  <c r="I53" i="47" s="1"/>
  <c r="H53" i="14" l="1"/>
  <c r="H54" i="14" s="1"/>
  <c r="H53" i="47"/>
  <c r="H54" i="47" s="1"/>
  <c r="I54" i="14" l="1"/>
  <c r="I55" i="14" s="1"/>
  <c r="I54" i="47"/>
  <c r="I55" i="47" s="1"/>
  <c r="H55" i="14" l="1"/>
  <c r="H56" i="14" s="1"/>
  <c r="H55" i="47"/>
  <c r="H56" i="47" s="1"/>
  <c r="I56" i="14" l="1"/>
  <c r="I57" i="14" s="1"/>
  <c r="I56" i="47"/>
  <c r="I57" i="47" s="1"/>
  <c r="H57" i="14" l="1"/>
  <c r="H58" i="14" s="1"/>
  <c r="H57" i="47"/>
  <c r="H58" i="47" s="1"/>
  <c r="I58" i="14" l="1"/>
  <c r="I59" i="14" s="1"/>
  <c r="I58" i="47"/>
  <c r="I59" i="47" s="1"/>
  <c r="H59" i="14" l="1"/>
  <c r="H60" i="14" s="1"/>
  <c r="H59" i="47"/>
  <c r="H60" i="47" s="1"/>
  <c r="I60" i="14" l="1"/>
  <c r="I61" i="14" s="1"/>
  <c r="I60" i="47"/>
  <c r="I61" i="47" s="1"/>
  <c r="H61" i="14" l="1"/>
  <c r="H62" i="14" s="1"/>
  <c r="H61" i="47"/>
  <c r="H62" i="47" s="1"/>
  <c r="I62" i="14" l="1"/>
  <c r="I63" i="14" s="1"/>
  <c r="I62" i="47"/>
  <c r="I63" i="47" s="1"/>
  <c r="H63" i="14" l="1"/>
  <c r="H64" i="14" s="1"/>
  <c r="H63" i="47"/>
  <c r="H64" i="47" s="1"/>
  <c r="I64" i="14" l="1"/>
  <c r="I65" i="14" s="1"/>
  <c r="I64" i="47"/>
  <c r="I65" i="47" s="1"/>
  <c r="H65" i="14" l="1"/>
  <c r="H66" i="14" s="1"/>
  <c r="H65" i="47"/>
  <c r="H66" i="47" s="1"/>
  <c r="I66" i="14" l="1"/>
  <c r="I67" i="14" s="1"/>
  <c r="I66" i="47"/>
  <c r="I67" i="47" s="1"/>
  <c r="H67" i="14" l="1"/>
  <c r="H68" i="14" s="1"/>
  <c r="H67" i="47"/>
  <c r="H68" i="47" s="1"/>
  <c r="I68" i="14" l="1"/>
  <c r="I69" i="14" s="1"/>
  <c r="I68" i="47"/>
  <c r="I69" i="47" s="1"/>
  <c r="H69" i="47" l="1"/>
  <c r="H70" i="47" s="1"/>
  <c r="H69" i="14"/>
  <c r="H70" i="14" s="1"/>
  <c r="I70" i="47" l="1"/>
  <c r="I71" i="47" s="1"/>
  <c r="I70" i="14"/>
  <c r="I71" i="14" s="1"/>
  <c r="H71" i="47" l="1"/>
  <c r="H72" i="47" s="1"/>
  <c r="H71" i="14"/>
  <c r="H72" i="14" s="1"/>
  <c r="I72" i="47" l="1"/>
  <c r="I72" i="14"/>
  <c r="I73" i="14" s="1"/>
  <c r="H73" i="14" l="1"/>
  <c r="H74" i="14" s="1"/>
  <c r="I74" i="14" l="1"/>
  <c r="I75" i="14" s="1"/>
  <c r="H75" i="14" l="1"/>
  <c r="H76" i="14" s="1"/>
  <c r="I76" i="14" l="1"/>
  <c r="I77" i="14" s="1"/>
  <c r="H77" i="14" l="1"/>
  <c r="H78" i="14" s="1"/>
  <c r="I78" i="14" l="1"/>
  <c r="I79" i="14" s="1"/>
  <c r="H79" i="14" l="1"/>
  <c r="H80" i="14" s="1"/>
  <c r="I80" i="14" l="1"/>
  <c r="I81" i="14" s="1"/>
  <c r="H81" i="14" l="1"/>
  <c r="H82" i="14" s="1"/>
  <c r="I82" i="14" l="1"/>
  <c r="I83" i="14" s="1"/>
  <c r="H83" i="14" l="1"/>
  <c r="H84" i="14" s="1"/>
  <c r="I84" i="14" l="1"/>
  <c r="I85" i="14" s="1"/>
  <c r="H85" i="14" l="1"/>
  <c r="H86" i="14" s="1"/>
  <c r="I86" i="14" l="1"/>
  <c r="I87" i="14" s="1"/>
  <c r="H87" i="14" l="1"/>
  <c r="H88" i="14" s="1"/>
  <c r="I88" i="14" l="1"/>
  <c r="I89" i="14" s="1"/>
  <c r="H89" i="14" l="1"/>
  <c r="H90" i="14" s="1"/>
  <c r="I90" i="14" l="1"/>
  <c r="I91" i="14" s="1"/>
  <c r="H91" i="14" l="1"/>
  <c r="H92" i="14" s="1"/>
  <c r="I92" i="14" l="1"/>
  <c r="I93" i="14" s="1"/>
  <c r="H93" i="14" l="1"/>
  <c r="H94" i="14" s="1"/>
  <c r="I94" i="14" l="1"/>
  <c r="I95" i="14" s="1"/>
  <c r="H95" i="14" l="1"/>
</calcChain>
</file>

<file path=xl/sharedStrings.xml><?xml version="1.0" encoding="utf-8"?>
<sst xmlns="http://schemas.openxmlformats.org/spreadsheetml/2006/main" count="29509" uniqueCount="1727">
  <si>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</si>
  <si>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</si>
  <si>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</si>
  <si>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</si>
  <si>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</si>
  <si>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</si>
  <si>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</si>
  <si>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</si>
  <si>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</si>
  <si>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</si>
  <si>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</si>
  <si>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</si>
  <si>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</si>
  <si>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</si>
  <si>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</si>
  <si>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</si>
  <si>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</si>
  <si>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</si>
  <si>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</si>
  <si>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</si>
  <si>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</si>
  <si>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</si>
  <si>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</si>
  <si>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</si>
  <si>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</si>
  <si>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</si>
  <si>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</si>
  <si>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</si>
  <si>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</si>
  <si>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</si>
  <si>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</si>
  <si>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</si>
  <si>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</si>
  <si>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</si>
  <si>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</si>
  <si>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</si>
  <si>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</si>
  <si>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</si>
  <si>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</si>
  <si>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</si>
  <si>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</si>
  <si>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</si>
  <si>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</si>
  <si>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</si>
  <si>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</si>
  <si>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</si>
  <si>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</si>
  <si>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</si>
  <si>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</si>
  <si>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</si>
  <si>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</si>
  <si>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</si>
  <si>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</si>
  <si>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</si>
  <si>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</si>
  <si>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</si>
  <si>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</si>
  <si>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</si>
  <si>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</si>
  <si>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</si>
  <si>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</si>
  <si>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</si>
  <si>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</si>
  <si>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</si>
  <si>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</si>
  <si>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</si>
  <si>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</si>
  <si>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</si>
  <si>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</si>
  <si>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</si>
  <si>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</si>
  <si>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</si>
  <si>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</si>
  <si>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</si>
  <si>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</si>
  <si>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</si>
  <si>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</si>
  <si>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</si>
  <si>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</si>
  <si>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</si>
  <si>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</si>
  <si>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</si>
  <si>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</si>
  <si>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</si>
  <si>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</si>
  <si>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</si>
  <si>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</si>
  <si>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</si>
  <si>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</si>
  <si>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</si>
  <si>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</si>
  <si>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</si>
  <si>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</si>
  <si>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</si>
  <si>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</si>
  <si>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</si>
  <si>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</si>
  <si>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</si>
  <si>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</si>
  <si>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</si>
  <si>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</si>
  <si>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</si>
  <si>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</si>
  <si>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</si>
  <si>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</si>
  <si>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</si>
  <si>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</si>
  <si>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</si>
  <si>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</si>
  <si>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</si>
  <si>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</si>
  <si>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</si>
  <si>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</si>
  <si>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</si>
  <si>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</si>
  <si>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</si>
  <si>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</si>
  <si>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</si>
  <si>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</si>
  <si>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</si>
  <si>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</si>
  <si>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</si>
  <si>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</si>
  <si>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</si>
  <si>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</si>
  <si>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</si>
  <si>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</si>
  <si>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</si>
  <si>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</si>
  <si>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</si>
  <si>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</si>
  <si>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</si>
  <si>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</si>
  <si>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</si>
  <si>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</si>
  <si>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</si>
  <si>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</si>
  <si>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</si>
  <si>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</si>
  <si>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</si>
  <si>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</si>
  <si>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</si>
  <si>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</si>
  <si>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</si>
  <si>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</si>
  <si>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</si>
  <si>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</si>
  <si>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</si>
  <si>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</si>
  <si>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</si>
  <si>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</si>
  <si>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</si>
  <si>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</si>
  <si>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</si>
  <si>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</si>
  <si>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</si>
  <si>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</si>
  <si>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</si>
  <si>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</si>
  <si>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</si>
  <si>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</si>
  <si>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</si>
  <si>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</si>
  <si>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</si>
  <si>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</si>
  <si>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</si>
  <si>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</si>
  <si>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</si>
  <si>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</si>
  <si>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</si>
  <si>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</si>
  <si>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</si>
  <si>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</si>
  <si>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</si>
  <si>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</si>
  <si>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</si>
  <si>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</si>
  <si>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</si>
  <si>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</si>
  <si>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</si>
  <si>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</si>
  <si>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</si>
  <si>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</si>
  <si>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</si>
  <si>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</si>
  <si>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</si>
  <si>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</si>
  <si>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</si>
  <si>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</si>
  <si>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</si>
  <si>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</si>
  <si>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</si>
  <si>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</si>
  <si>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</si>
  <si>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</si>
  <si>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</si>
  <si>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</si>
  <si>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</si>
  <si>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</si>
  <si>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</si>
  <si>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</si>
  <si>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</si>
  <si>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</si>
  <si>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</si>
  <si>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</si>
  <si>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</si>
  <si>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</si>
  <si>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</si>
  <si>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</si>
  <si>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</si>
  <si>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</si>
  <si>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</si>
  <si>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</si>
  <si>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</si>
  <si>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</si>
  <si>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</si>
  <si>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</si>
  <si>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</si>
  <si>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TỔNG CPSXC</t>
  </si>
  <si>
    <t>ĐƠN GIÁ</t>
  </si>
  <si>
    <t>TT</t>
  </si>
  <si>
    <t>CỘNG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</si>
  <si>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</si>
  <si>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</si>
  <si>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</si>
  <si>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</si>
  <si>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</si>
  <si>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</si>
  <si>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</si>
  <si>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</si>
  <si>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</si>
  <si>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</si>
  <si>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</si>
  <si>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</si>
  <si>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</si>
  <si>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</si>
  <si>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</si>
  <si>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</si>
  <si>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</si>
  <si>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</si>
  <si>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</si>
  <si>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</si>
  <si>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</si>
  <si>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</si>
  <si>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</si>
  <si>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</si>
  <si>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</si>
  <si>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</si>
  <si>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</si>
  <si>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</si>
  <si>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</si>
  <si>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</si>
  <si>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</si>
  <si>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</si>
  <si>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</si>
  <si>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</si>
  <si>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</si>
  <si>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</si>
  <si>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</si>
  <si>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</si>
  <si>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</si>
  <si>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</si>
  <si>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</si>
  <si>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</si>
  <si>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</si>
  <si>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</si>
  <si>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</si>
  <si>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</si>
  <si>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</si>
  <si>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</si>
  <si>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</si>
  <si>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</si>
  <si>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</si>
  <si>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</si>
  <si>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</si>
  <si>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</si>
  <si>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</si>
  <si>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</si>
  <si>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</si>
  <si>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</si>
  <si>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</si>
  <si>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K/C  Doanh Thu cung cấp dịch vụ</t>
  </si>
  <si>
    <t>K/C  Doanh thu bán hàng</t>
  </si>
  <si>
    <t>Cty TNHH Đồ Gỗ Thanh Thư</t>
  </si>
  <si>
    <t>Cty TNHH Đá Xanh</t>
  </si>
  <si>
    <t>Cty TNHH Khang Yến</t>
  </si>
  <si>
    <t>Cty TNHH Jong Jin Vina</t>
  </si>
  <si>
    <t>Cty TNHH MTV Thương Mại Tông A Dũng</t>
  </si>
  <si>
    <t>Cty TNHH MTV Bao Bì Hoà Thắng</t>
  </si>
  <si>
    <t>Cty TNHH MTV TM Tô Nga Dũng</t>
  </si>
  <si>
    <t>VCB</t>
  </si>
  <si>
    <t>Cty TNHH Chemtech</t>
  </si>
  <si>
    <t>156</t>
  </si>
  <si>
    <t>Hàng hóa</t>
  </si>
  <si>
    <t>Cty TNHH Tân Phước</t>
  </si>
  <si>
    <t>Giấy tấm 1450x1400</t>
  </si>
  <si>
    <t>Giấy tấm 2500x1400</t>
  </si>
  <si>
    <t>Giấy tấm 2 lớp 110x130</t>
  </si>
  <si>
    <t>Cty TNHH Asia Polytec</t>
  </si>
  <si>
    <t>Cty Cổ Phần SunMen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</si>
  <si>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</si>
  <si>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</si>
  <si>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</si>
  <si>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</si>
  <si>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</si>
  <si>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</si>
  <si>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</si>
  <si>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</si>
  <si>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</si>
  <si>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</si>
  <si>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</si>
  <si>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</si>
  <si>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</si>
  <si>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</si>
  <si>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</si>
  <si>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</si>
  <si>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</si>
  <si>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</si>
  <si>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</si>
  <si>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</si>
  <si>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</si>
  <si>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</si>
  <si>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</si>
  <si>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</si>
  <si>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</si>
  <si>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</si>
  <si>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</si>
  <si>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</si>
  <si>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</si>
  <si>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</si>
  <si>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</si>
  <si>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</si>
  <si>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</si>
  <si>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</si>
  <si>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</si>
  <si>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</si>
  <si>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</si>
  <si>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</si>
  <si>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</si>
  <si>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</si>
  <si>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</si>
  <si>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</si>
  <si>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</si>
  <si>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</si>
  <si>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</si>
  <si>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</si>
  <si>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</si>
  <si>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</si>
  <si>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</si>
  <si>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</si>
  <si>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</si>
  <si>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</si>
  <si>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</si>
  <si>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</si>
  <si>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</si>
  <si>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</si>
  <si>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</si>
  <si>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</si>
  <si>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</si>
  <si>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</si>
  <si>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</si>
  <si>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</si>
  <si>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</si>
  <si>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</si>
  <si>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</si>
  <si>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</si>
  <si>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</si>
  <si>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</si>
  <si>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</si>
  <si>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</si>
  <si>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</si>
  <si>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</si>
  <si>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</si>
  <si>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Guhring Việt Nam</t>
  </si>
  <si>
    <t>Cty TNHH Mai Oanh</t>
  </si>
  <si>
    <t>Cty TNHH Thủy Tuấn</t>
  </si>
  <si>
    <t>NTP</t>
  </si>
  <si>
    <t>Giấy tấm 90x160</t>
  </si>
  <si>
    <t>Cty TNHH Quần Thái</t>
  </si>
  <si>
    <t>Cty TNHH TM &amp; SX Greensink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</si>
  <si>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</si>
  <si>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</si>
  <si>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</si>
  <si>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</si>
  <si>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</si>
  <si>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</si>
  <si>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</si>
  <si>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</si>
  <si>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</si>
  <si>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</si>
  <si>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</si>
  <si>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</si>
  <si>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</si>
  <si>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</si>
  <si>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Cổ Phần BM Windows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</si>
  <si>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</si>
  <si>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</si>
  <si>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</si>
  <si>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</si>
  <si>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</si>
  <si>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</si>
  <si>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</si>
  <si>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</si>
  <si>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</si>
  <si>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</si>
  <si>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</si>
  <si>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</si>
  <si>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</si>
  <si>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</si>
  <si>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</si>
  <si>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</si>
  <si>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</si>
  <si>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</si>
  <si>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</si>
  <si>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</si>
  <si>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</si>
  <si>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</si>
  <si>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</si>
  <si>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</si>
  <si>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Giấy tấm 1700x1620</t>
  </si>
  <si>
    <t>Cty TNHH Bao Bì Giấy Kim Dung Phát</t>
  </si>
  <si>
    <t>kg</t>
  </si>
  <si>
    <t>Cty TNHH TMSX Giày Dép Phong Thái An</t>
  </si>
  <si>
    <t>VNPT: 0919111342; 0919403089;0943428203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</si>
  <si>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</si>
  <si>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</si>
  <si>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</si>
  <si>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</si>
  <si>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</si>
  <si>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</si>
  <si>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</si>
  <si>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</si>
  <si>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</si>
  <si>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</si>
  <si>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</si>
  <si>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</si>
  <si>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</si>
  <si>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</si>
  <si>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</si>
  <si>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</si>
  <si>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</si>
  <si>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</si>
  <si>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</si>
  <si>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</si>
  <si>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</si>
  <si>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</si>
  <si>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</si>
  <si>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</si>
  <si>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</si>
  <si>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</si>
  <si>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</si>
  <si>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</si>
  <si>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</si>
  <si>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</si>
  <si>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</si>
  <si>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</si>
  <si>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</si>
  <si>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</si>
  <si>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</si>
  <si>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</si>
  <si>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</si>
  <si>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</si>
  <si>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</si>
  <si>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</si>
  <si>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</si>
  <si>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</si>
  <si>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</si>
  <si>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</si>
  <si>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</si>
  <si>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</si>
  <si>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</si>
  <si>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</si>
  <si>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</si>
  <si>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</si>
  <si>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</si>
  <si>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</si>
  <si>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</si>
  <si>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</si>
  <si>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</si>
  <si>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</si>
  <si>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</si>
  <si>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</si>
  <si>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</si>
  <si>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</si>
  <si>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</si>
  <si>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</si>
  <si>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</si>
  <si>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</si>
  <si>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</si>
  <si>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</si>
  <si>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</si>
  <si>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</si>
  <si>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</si>
  <si>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</si>
  <si>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</si>
  <si>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>Thùng 49x49x30</t>
  </si>
  <si>
    <t>Lót 50x90</t>
  </si>
  <si>
    <t>Thùng 61x61x33.5</t>
  </si>
  <si>
    <t>Thùng 29.5x29.5x31.5</t>
  </si>
  <si>
    <t>VAT Giấy cuộn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</si>
  <si>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</si>
  <si>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</si>
  <si>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</si>
  <si>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</si>
  <si>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</si>
  <si>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</si>
  <si>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</si>
  <si>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</si>
  <si>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</si>
  <si>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</si>
  <si>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</si>
  <si>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</si>
  <si>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</si>
  <si>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</si>
  <si>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</si>
  <si>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</si>
  <si>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</si>
  <si>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</si>
  <si>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</si>
  <si>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</si>
  <si>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</si>
  <si>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</si>
  <si>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</si>
  <si>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</si>
  <si>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</si>
  <si>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</si>
  <si>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</si>
  <si>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</si>
  <si>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</si>
  <si>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</si>
  <si>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</si>
  <si>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</si>
  <si>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</si>
  <si>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</si>
  <si>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</si>
  <si>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</si>
  <si>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</si>
  <si>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</si>
  <si>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</si>
  <si>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</si>
  <si>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</si>
  <si>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</si>
  <si>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</si>
  <si>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</si>
  <si>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</si>
  <si>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</si>
  <si>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</si>
  <si>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</si>
  <si>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</si>
  <si>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</si>
  <si>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</si>
  <si>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</si>
  <si>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</si>
  <si>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</si>
  <si>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</si>
  <si>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</si>
  <si>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</si>
  <si>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</si>
  <si>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</si>
  <si>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</si>
  <si>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</si>
  <si>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</si>
  <si>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</si>
  <si>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</si>
  <si>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</si>
  <si>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</si>
  <si>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</si>
  <si>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</si>
  <si>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</si>
  <si>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</si>
  <si>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</si>
  <si>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</si>
  <si>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</si>
  <si>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</si>
  <si>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</si>
  <si>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</si>
  <si>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</si>
  <si>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</si>
  <si>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</si>
  <si>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</si>
  <si>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</si>
  <si>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</si>
  <si>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</si>
  <si>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</si>
  <si>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</si>
  <si>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</si>
  <si>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</si>
  <si>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</si>
  <si>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</si>
  <si>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</si>
  <si>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</si>
  <si>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</si>
  <si>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</si>
  <si>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</si>
  <si>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</si>
  <si>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</si>
  <si>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</si>
  <si>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</si>
  <si>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</si>
  <si>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</si>
  <si>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</si>
  <si>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</si>
  <si>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</si>
  <si>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</si>
  <si>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</si>
  <si>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</si>
  <si>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</si>
  <si>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</si>
  <si>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</si>
  <si>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</si>
  <si>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</si>
  <si>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</si>
  <si>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</si>
  <si>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</si>
  <si>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</si>
  <si>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</si>
  <si>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</si>
  <si>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</si>
  <si>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</si>
  <si>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</si>
  <si>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</si>
  <si>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</si>
  <si>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</si>
  <si>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</si>
  <si>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</si>
  <si>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</si>
  <si>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</si>
  <si>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</si>
  <si>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</si>
  <si>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</si>
  <si>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</si>
  <si>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</si>
  <si>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</si>
  <si>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</si>
  <si>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</si>
  <si>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</si>
  <si>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</si>
  <si>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</si>
  <si>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</si>
  <si>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</si>
  <si>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</si>
  <si>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</si>
  <si>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</si>
  <si>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</si>
  <si>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</si>
  <si>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</si>
  <si>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</si>
  <si>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</si>
  <si>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</si>
  <si>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</si>
  <si>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</si>
  <si>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</si>
  <si>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</si>
  <si>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</si>
  <si>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</si>
  <si>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</si>
  <si>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</si>
  <si>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</si>
  <si>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</si>
  <si>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</si>
  <si>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</si>
  <si>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</si>
  <si>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</si>
  <si>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</si>
  <si>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</si>
  <si>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</si>
  <si>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</si>
  <si>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</si>
  <si>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</si>
  <si>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</si>
  <si>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</si>
  <si>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</si>
  <si>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</si>
  <si>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</si>
  <si>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</si>
  <si>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</si>
  <si>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</si>
  <si>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</si>
  <si>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</si>
  <si>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</si>
  <si>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</si>
  <si>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</si>
  <si>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</si>
  <si>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</si>
  <si>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</si>
  <si>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</si>
  <si>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</si>
  <si>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</si>
  <si>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</si>
  <si>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</si>
  <si>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</si>
  <si>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</si>
  <si>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</si>
  <si>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</si>
  <si>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</si>
  <si>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</si>
  <si>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</si>
  <si>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</si>
  <si>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</si>
  <si>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</si>
  <si>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</si>
  <si>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</si>
  <si>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</si>
  <si>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</si>
  <si>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</si>
  <si>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</si>
  <si>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</si>
  <si>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</si>
  <si>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</si>
  <si>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</si>
  <si>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</si>
  <si>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</si>
  <si>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</si>
  <si>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</si>
  <si>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</si>
  <si>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</si>
  <si>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</si>
  <si>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</si>
  <si>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</si>
  <si>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</si>
  <si>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</si>
  <si>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</si>
  <si>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</si>
  <si>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</si>
  <si>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</si>
  <si>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</si>
  <si>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</si>
  <si>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</si>
  <si>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</si>
  <si>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</si>
  <si>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</si>
  <si>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</si>
  <si>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</si>
  <si>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</si>
  <si>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</si>
  <si>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</si>
  <si>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</si>
  <si>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</si>
  <si>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</si>
  <si>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</si>
  <si>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</si>
  <si>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</si>
  <si>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</si>
  <si>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</si>
  <si>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</si>
  <si>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</si>
  <si>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</si>
  <si>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</si>
  <si>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</si>
  <si>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</si>
  <si>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</si>
  <si>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</si>
  <si>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</si>
  <si>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</si>
  <si>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</si>
  <si>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</si>
  <si>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</si>
  <si>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</si>
  <si>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</si>
  <si>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</si>
  <si>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</si>
  <si>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</si>
  <si>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</si>
  <si>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</si>
  <si>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</si>
  <si>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</si>
  <si>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</si>
  <si>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</si>
  <si>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</si>
  <si>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</si>
  <si>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</si>
  <si>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</si>
  <si>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</si>
  <si>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</si>
  <si>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</si>
  <si>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</si>
  <si>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</si>
  <si>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</si>
  <si>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</si>
  <si>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</si>
  <si>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</si>
  <si>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</si>
  <si>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</si>
  <si>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</si>
  <si>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</si>
  <si>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</si>
  <si>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</si>
  <si>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</si>
  <si>
    <t>0000785</t>
  </si>
  <si>
    <t>0000811</t>
  </si>
  <si>
    <t>Thùng 40x40x49</t>
  </si>
  <si>
    <t>Thùng 105x105x50</t>
  </si>
  <si>
    <t>Thùng 47x47x69</t>
  </si>
  <si>
    <t>Thùng 206x106x13</t>
  </si>
  <si>
    <t>Thùng 125x45x77</t>
  </si>
  <si>
    <t>Thùng 86x86x18</t>
  </si>
  <si>
    <t>Thùng 95x79x27</t>
  </si>
  <si>
    <t>Thùng 55x55x37</t>
  </si>
  <si>
    <t>Thùng 82x82x23</t>
  </si>
  <si>
    <t>Thùng 170x53x21</t>
  </si>
  <si>
    <t>Xuất bán</t>
  </si>
  <si>
    <t>Xuất sản xuất</t>
  </si>
  <si>
    <t>Khuôn bế</t>
  </si>
  <si>
    <t>Phí kiểm đếm</t>
  </si>
  <si>
    <t>VAT Phí kiểm đếm</t>
  </si>
  <si>
    <t>Đóng bhxh</t>
  </si>
  <si>
    <t>Phí SDTM trong 2 ngày</t>
  </si>
  <si>
    <t>VAT Phí SDTM trong 2 ngày</t>
  </si>
  <si>
    <t>Vay ngân hàng</t>
  </si>
  <si>
    <t>Nộp tiền tại máy CDM</t>
  </si>
  <si>
    <t>Vay bổ sung ngân hàng</t>
  </si>
  <si>
    <t>Nộp tiền nặt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</si>
  <si>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</si>
  <si>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</si>
  <si>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</si>
  <si>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</si>
  <si>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</si>
  <si>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</si>
  <si>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</si>
  <si>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</si>
  <si>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</si>
  <si>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</si>
  <si>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</si>
  <si>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</si>
  <si>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</si>
  <si>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</si>
  <si>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</si>
  <si>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Rút tiền mặt ATM</t>
  </si>
  <si>
    <t>Thu lãi vay</t>
  </si>
  <si>
    <t>Thu gốc</t>
  </si>
  <si>
    <t>LD1613000757</t>
  </si>
  <si>
    <t>Thu nợ thẻ tín dụng</t>
  </si>
  <si>
    <t>Thẻ tín dụng 5..9079</t>
  </si>
  <si>
    <t>Phí rà soát theo yêu cầu</t>
  </si>
  <si>
    <t>VAT Phí rà soát theo yêu cầu</t>
  </si>
  <si>
    <t>Bil-VN0010261</t>
  </si>
  <si>
    <t>0000812</t>
  </si>
  <si>
    <t>Giấy tấm 1400x2170</t>
  </si>
  <si>
    <t>Giấy tấm 1650x1860</t>
  </si>
  <si>
    <t>0001849</t>
  </si>
  <si>
    <t>Cty TNHH MTV Kinh Doanh Ăn Uống Hữu Đạt</t>
  </si>
  <si>
    <t>0009832</t>
  </si>
  <si>
    <t>0003758</t>
  </si>
  <si>
    <t>DNTN Petat</t>
  </si>
  <si>
    <t>0006012</t>
  </si>
  <si>
    <t>Cty TNHH Vi Tính 3 Mắt</t>
  </si>
  <si>
    <t>Ổ Cứng máy vi tính</t>
  </si>
  <si>
    <t>VAT Ổ Cứng máy vi tính</t>
  </si>
  <si>
    <t>0000422</t>
  </si>
  <si>
    <t>0006137</t>
  </si>
  <si>
    <t>0000005</t>
  </si>
  <si>
    <t>0000449</t>
  </si>
  <si>
    <t>Trung Tâm Kinh Doanh VNPT - Bình Dương</t>
  </si>
  <si>
    <t>VAT Cước dịch vụ viễn thông</t>
  </si>
  <si>
    <t>Cước dịch vụ viễn thông T12/2016</t>
  </si>
  <si>
    <t>1596273;1596272;1596283</t>
  </si>
  <si>
    <t>1596273;1596272;1596284</t>
  </si>
  <si>
    <t>Cước dịch vụ viễn thông T01/2017</t>
  </si>
  <si>
    <t>Cước dịch vụ viễn thông T02/2017</t>
  </si>
  <si>
    <t>1620104;1620105;1620115</t>
  </si>
  <si>
    <t>1620104;1620105;1620116</t>
  </si>
  <si>
    <t>0085521;0085522;0085532</t>
  </si>
  <si>
    <t>0085521;0085522;0085533</t>
  </si>
  <si>
    <t>Viettel Bình Dương - CN TĐ Viễn Thông Quân Đội</t>
  </si>
  <si>
    <t>6274442;0705628;7454774</t>
  </si>
  <si>
    <t>6274442;0705628;7454775</t>
  </si>
  <si>
    <t>0000030</t>
  </si>
  <si>
    <t>Cước sử dụng đường bộ</t>
  </si>
  <si>
    <t>VAT Cước sử dụng đường bộ</t>
  </si>
  <si>
    <t>0000393</t>
  </si>
  <si>
    <t>Lương bộ phận quản lý</t>
  </si>
  <si>
    <t>Lương bộ phận sản xuất</t>
  </si>
  <si>
    <t>C12</t>
  </si>
  <si>
    <t>BHXH khấu trừ Văn Phòng</t>
  </si>
  <si>
    <t>8%</t>
  </si>
  <si>
    <t>BHXH khấu trừ CN</t>
  </si>
  <si>
    <t>BHXH phải trả cho Văn Phòng</t>
  </si>
  <si>
    <t>18%</t>
  </si>
  <si>
    <t>BHXH phải trả cho CN</t>
  </si>
  <si>
    <t>BHYT khấu trừ Văn Phòng</t>
  </si>
  <si>
    <t>1.5%</t>
  </si>
  <si>
    <t>BHYT khấu trừ CN</t>
  </si>
  <si>
    <t>BHYT phải trả cho Văn Phòng</t>
  </si>
  <si>
    <t>3%</t>
  </si>
  <si>
    <t>BHYT phải trả cho CN</t>
  </si>
  <si>
    <t>BHTN khấu trừ Văn Phòng</t>
  </si>
  <si>
    <t>1%</t>
  </si>
  <si>
    <t>BHTN khấu trừ  CN</t>
  </si>
  <si>
    <t>BHTN phải trả cho Văn Phòng</t>
  </si>
  <si>
    <t>BHTN phải trả cho CN</t>
  </si>
  <si>
    <t>Thanh toán lương T01/2017</t>
  </si>
  <si>
    <t>Thanh toán lương T02/2017</t>
  </si>
  <si>
    <t>Thanh toán lương T03/2017</t>
  </si>
  <si>
    <t>Nhập thành phẩm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</si>
  <si>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</si>
  <si>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</si>
  <si>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</si>
  <si>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</si>
  <si>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</si>
  <si>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</si>
  <si>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</si>
  <si>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</si>
  <si>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</si>
  <si>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</si>
  <si>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</si>
  <si>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</si>
  <si>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</si>
  <si>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</si>
  <si>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</si>
  <si>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</si>
  <si>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</si>
  <si>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</si>
  <si>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</si>
  <si>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</si>
  <si>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</si>
  <si>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</si>
  <si>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</si>
  <si>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</si>
  <si>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</si>
  <si>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</si>
  <si>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</si>
  <si>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</si>
  <si>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</si>
  <si>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</si>
  <si>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</si>
  <si>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</si>
  <si>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</si>
  <si>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</si>
  <si>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</si>
  <si>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</si>
  <si>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</si>
  <si>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</si>
  <si>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</si>
  <si>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</si>
  <si>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</si>
  <si>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</si>
  <si>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</si>
  <si>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</si>
  <si>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</si>
  <si>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</si>
  <si>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</si>
  <si>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</si>
  <si>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</si>
  <si>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</si>
  <si>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</si>
  <si>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</si>
  <si>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</si>
  <si>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</si>
  <si>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</si>
  <si>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</si>
  <si>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</si>
  <si>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</si>
  <si>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</si>
  <si>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</si>
  <si>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</si>
  <si>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</si>
  <si>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</si>
  <si>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</si>
  <si>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</si>
  <si>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</si>
  <si>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</si>
  <si>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</si>
  <si>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</si>
  <si>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</si>
  <si>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</si>
  <si>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</si>
  <si>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</si>
  <si>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</si>
  <si>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</si>
  <si>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</si>
  <si>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</si>
  <si>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</si>
  <si>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</si>
  <si>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</si>
  <si>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</si>
  <si>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</si>
  <si>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</si>
  <si>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</si>
  <si>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</si>
  <si>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</si>
  <si>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</si>
  <si>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</si>
  <si>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</si>
  <si>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</si>
  <si>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</si>
  <si>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</si>
  <si>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</si>
  <si>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</si>
  <si>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</si>
  <si>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</si>
  <si>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</si>
  <si>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</si>
  <si>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</si>
  <si>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</si>
  <si>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</si>
  <si>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</si>
  <si>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XTP</t>
  </si>
  <si>
    <t>XSX</t>
  </si>
  <si>
    <t>Thùng 75x75x35</t>
  </si>
  <si>
    <t>Thùng 165x40x52</t>
  </si>
  <si>
    <t>Thùng 45x45x79</t>
  </si>
  <si>
    <t>Thùng 112x112x55</t>
  </si>
  <si>
    <t>VAT Thùng</t>
  </si>
  <si>
    <t>0000036</t>
  </si>
  <si>
    <t>Thùng 58.5x37.5x25.5</t>
  </si>
  <si>
    <t>Thùng 57x18x12</t>
  </si>
  <si>
    <t>Thùng 64x33.5x21.5</t>
  </si>
  <si>
    <t>Thùng 62.5x16x10</t>
  </si>
  <si>
    <t>Thùng 42x30.5x17</t>
  </si>
  <si>
    <t>Thùng 58.5x37.5x27.5</t>
  </si>
  <si>
    <t>Thùng 64x33.5x23.5</t>
  </si>
  <si>
    <t>Thùng 43x17x6</t>
  </si>
  <si>
    <t>0000046</t>
  </si>
  <si>
    <t>Thùng 42x42x56</t>
  </si>
  <si>
    <t>Thùng 61x61x72</t>
  </si>
  <si>
    <t>Thùng 36x36x49</t>
  </si>
  <si>
    <t>Thùng 45x45x99</t>
  </si>
  <si>
    <t>Thùng 135x80x50</t>
  </si>
  <si>
    <t>Thùng 55x55x60</t>
  </si>
  <si>
    <t>Thùng 45x42x48</t>
  </si>
  <si>
    <t>Thùng 44x44x48</t>
  </si>
  <si>
    <t>Thùng 46x46x12</t>
  </si>
  <si>
    <t>Thùng 42x42x49</t>
  </si>
  <si>
    <t>Thùng 68x68x68</t>
  </si>
  <si>
    <t>Thùng 62x62x67</t>
  </si>
  <si>
    <t>Thùng 52x47x60</t>
  </si>
  <si>
    <t>Thùng 52x52x133</t>
  </si>
  <si>
    <t>Thùng 52x52x106</t>
  </si>
  <si>
    <t>Thùng 62x62x102</t>
  </si>
  <si>
    <t>0000063</t>
  </si>
  <si>
    <t>Thùng 62x47x25</t>
  </si>
  <si>
    <t>Thùng 52x18x37</t>
  </si>
  <si>
    <t>Thùng 44x14x34</t>
  </si>
  <si>
    <t>Thùng 62x32x57</t>
  </si>
  <si>
    <t>Thùng 62x32x44</t>
  </si>
  <si>
    <t>Tấm lót 55x28</t>
  </si>
  <si>
    <t>Tấm lót 42x28</t>
  </si>
  <si>
    <t>Thùng 34x27x28</t>
  </si>
  <si>
    <t>Thùng 58.5x29.5x39.5</t>
  </si>
  <si>
    <t>Thùng 75x30x28</t>
  </si>
  <si>
    <t>0000095</t>
  </si>
  <si>
    <t>Thùng 43x43x49</t>
  </si>
  <si>
    <t>Thùng 42x42x38</t>
  </si>
  <si>
    <t>Thùng 52x52x35</t>
  </si>
  <si>
    <t>Thùng 44x44x31</t>
  </si>
  <si>
    <t>Thùng 63x56x31</t>
  </si>
  <si>
    <t>Thùng 39x39x31</t>
  </si>
  <si>
    <t>Thùng 82x82x9</t>
  </si>
  <si>
    <t>Thùng 82x82x12</t>
  </si>
  <si>
    <t>Thùng 47x47x49</t>
  </si>
  <si>
    <t>Thùng 56x30x24</t>
  </si>
  <si>
    <t>0000104</t>
  </si>
  <si>
    <t>Thùng 62x62x79</t>
  </si>
  <si>
    <t>Thùng 62x37x79</t>
  </si>
  <si>
    <t>0000115</t>
  </si>
  <si>
    <t>Thùng 112x84x32</t>
  </si>
  <si>
    <t>Thùng 52x52x59</t>
  </si>
  <si>
    <t>Thùng 155x56x24</t>
  </si>
  <si>
    <t>Thùng 52x52x46</t>
  </si>
  <si>
    <t>Thùng 112x37x49</t>
  </si>
  <si>
    <t>Thùng 142x37x49</t>
  </si>
  <si>
    <t>Thùng 52x52x62</t>
  </si>
  <si>
    <t>Thùng 92x92x54</t>
  </si>
  <si>
    <t>Thùng 142x82x54</t>
  </si>
  <si>
    <t>Thùng 32x32x59</t>
  </si>
  <si>
    <t>Thùng 65x55x27</t>
  </si>
  <si>
    <t>Thùng 85x79x27</t>
  </si>
  <si>
    <t>Thùng 40x40x77</t>
  </si>
  <si>
    <t>Thùng 192x37x49</t>
  </si>
  <si>
    <t>Thùng 75x57x27</t>
  </si>
  <si>
    <t>0000129</t>
  </si>
  <si>
    <t>Cty TNHH SX TM Bao Bì Lộc Phát</t>
  </si>
  <si>
    <t>0000318</t>
  </si>
  <si>
    <t>VAT giấy</t>
  </si>
  <si>
    <t>0000315</t>
  </si>
  <si>
    <t>0000316</t>
  </si>
  <si>
    <t>0000320</t>
  </si>
  <si>
    <t>0000313</t>
  </si>
  <si>
    <t>0000314</t>
  </si>
  <si>
    <t>0000319</t>
  </si>
  <si>
    <t>0003822</t>
  </si>
  <si>
    <t>0003710</t>
  </si>
  <si>
    <t>Giấy tấm 1900x2120</t>
  </si>
  <si>
    <t>Giấy tấm 1200x1200</t>
  </si>
  <si>
    <t>Giấy tấm 1800x1620</t>
  </si>
  <si>
    <t>0003554</t>
  </si>
  <si>
    <t>Giấy tấm 1750x2520</t>
  </si>
  <si>
    <t>Giấy tấm 1750x1680</t>
  </si>
  <si>
    <t>0002464</t>
  </si>
  <si>
    <t>Giấy tấm 1700x2490</t>
  </si>
  <si>
    <t>Giấy tấm 1700x2530</t>
  </si>
  <si>
    <t>Giấy tấm 1850x1390</t>
  </si>
  <si>
    <t>0003160</t>
  </si>
  <si>
    <t>Cty TNHH Ngân Đại Sơn</t>
  </si>
  <si>
    <t>0000815</t>
  </si>
  <si>
    <t>0000816</t>
  </si>
  <si>
    <t>0000818</t>
  </si>
  <si>
    <t>0000819</t>
  </si>
  <si>
    <t>0000822</t>
  </si>
  <si>
    <t>Cước vận chuyển</t>
  </si>
  <si>
    <t>0000824</t>
  </si>
  <si>
    <t>Cty CP Chế Tạo Máy Dĩ An</t>
  </si>
  <si>
    <t>VAT Cước vận chuyển</t>
  </si>
  <si>
    <t>0000825</t>
  </si>
  <si>
    <t>0000828</t>
  </si>
  <si>
    <t>0000829</t>
  </si>
  <si>
    <t>0000830</t>
  </si>
  <si>
    <t>Cty TNHH Quốc Tế Nhựa Việt Hoa</t>
  </si>
  <si>
    <t>0000832</t>
  </si>
  <si>
    <t>0000833</t>
  </si>
  <si>
    <t>0000835</t>
  </si>
  <si>
    <t>Cty TNHH SXTM DV Hồng Lam</t>
  </si>
  <si>
    <t>0000836</t>
  </si>
  <si>
    <t>0000838</t>
  </si>
  <si>
    <t>Thùng 36x24x18.5</t>
  </si>
  <si>
    <t>0000839</t>
  </si>
  <si>
    <t>0000841</t>
  </si>
  <si>
    <t>Nước khoáng tiếp khách</t>
  </si>
  <si>
    <t>VAT Nước khoáng tiếp khách</t>
  </si>
  <si>
    <t>0004608</t>
  </si>
  <si>
    <t>Cty TNHH Lâm Thuận</t>
  </si>
  <si>
    <t>0000210</t>
  </si>
  <si>
    <t>Cty TNHH Vua Sushi</t>
  </si>
  <si>
    <t>0006313</t>
  </si>
  <si>
    <t>0006453</t>
  </si>
  <si>
    <t>0000842</t>
  </si>
  <si>
    <t>0000844</t>
  </si>
  <si>
    <t>Cty TNHH Martoyo Applied Materials</t>
  </si>
  <si>
    <t>0000845</t>
  </si>
  <si>
    <t>0000846</t>
  </si>
  <si>
    <t>Giấy tấm 70x120</t>
  </si>
  <si>
    <t>0000848</t>
  </si>
  <si>
    <t>Giấy tấm 140x270</t>
  </si>
  <si>
    <t>0000849</t>
  </si>
  <si>
    <t>Cty TNHH TMDV Vĩnh Nguyên</t>
  </si>
  <si>
    <t>0000854</t>
  </si>
  <si>
    <t>0000855</t>
  </si>
  <si>
    <t>0000856</t>
  </si>
  <si>
    <t>Cty CP Chuyển Phát Nhanh Vietstar</t>
  </si>
  <si>
    <t>0000857</t>
  </si>
  <si>
    <t>Cty TNHH SXKD Bai Bì Carton Gấp Nếp Vina Toyo</t>
  </si>
  <si>
    <t>0000859</t>
  </si>
  <si>
    <t>Cty TNHH TM Ngân Phát Tài</t>
  </si>
  <si>
    <t>0000348</t>
  </si>
  <si>
    <t>0000361</t>
  </si>
  <si>
    <t>0000409</t>
  </si>
  <si>
    <t>0000410</t>
  </si>
  <si>
    <t>0000408</t>
  </si>
  <si>
    <t>0000418</t>
  </si>
  <si>
    <t>Thùng 43x25x23</t>
  </si>
  <si>
    <t>Thùng 31x25x21</t>
  </si>
  <si>
    <t>Thùng 31x25x18</t>
  </si>
  <si>
    <t>0000419</t>
  </si>
  <si>
    <t>0000423</t>
  </si>
  <si>
    <t>0074418</t>
  </si>
  <si>
    <t>0074417</t>
  </si>
  <si>
    <t>0005671</t>
  </si>
  <si>
    <t>Giấy tấm 1750x1250</t>
  </si>
  <si>
    <t>Tấm lót 41x25</t>
  </si>
  <si>
    <t>Tấm lót 45x32</t>
  </si>
  <si>
    <t>Thùng 142x47x37</t>
  </si>
  <si>
    <t>Thùng 54x50x65</t>
  </si>
  <si>
    <t>Thùng 212x112x28</t>
  </si>
  <si>
    <t>Thùng 46x46x68</t>
  </si>
  <si>
    <t>giấy 2 lớp</t>
  </si>
  <si>
    <t>Thùng 35x35x61</t>
  </si>
  <si>
    <t>Thùng 37x37x26</t>
  </si>
  <si>
    <t>Thùng 26x26x30</t>
  </si>
  <si>
    <t>Thùng 44x44x45</t>
  </si>
  <si>
    <t>Thùng 62x62x68</t>
  </si>
  <si>
    <t>Thùng 52x24x24</t>
  </si>
  <si>
    <t>Thùng 53x53x24</t>
  </si>
  <si>
    <t>Thùng 82x82x14</t>
  </si>
  <si>
    <t>Giấy tấm 130x243</t>
  </si>
  <si>
    <t>Thùng 105x45x55</t>
  </si>
  <si>
    <t>Thùng 55x55x56</t>
  </si>
  <si>
    <t>Thùng 50x22x22</t>
  </si>
  <si>
    <t>Thùng 125x45x53</t>
  </si>
  <si>
    <t>Thùng 53x53x25</t>
  </si>
  <si>
    <t>Thùng 37x33x49</t>
  </si>
  <si>
    <t>N</t>
  </si>
  <si>
    <t>X</t>
  </si>
  <si>
    <t>Giấy 2 lớp (L)</t>
  </si>
  <si>
    <t>Giấy 3 lớp (L)</t>
  </si>
  <si>
    <t>Nhập TP</t>
  </si>
  <si>
    <t>0000432</t>
  </si>
  <si>
    <t>0000861</t>
  </si>
  <si>
    <t>0000862</t>
  </si>
  <si>
    <t>0000863</t>
  </si>
  <si>
    <t>Thùng 56x28x34</t>
  </si>
  <si>
    <t>0000865</t>
  </si>
  <si>
    <t>Thùng 46.5x32.5x35.5</t>
  </si>
  <si>
    <t>0000867</t>
  </si>
  <si>
    <t>Cty TNHH HFP Viet Nam</t>
  </si>
  <si>
    <t>0000847</t>
  </si>
  <si>
    <t>Thanh toán lương T04/2017</t>
  </si>
  <si>
    <t>Thanh toán lương T05/2017</t>
  </si>
  <si>
    <t>Thanh toán lương T06/2017</t>
  </si>
  <si>
    <t>Cước dịch vụ viễn thông T03/2017</t>
  </si>
  <si>
    <t>Cước dịch vụ viễn thông T04/2017</t>
  </si>
  <si>
    <t>Cước dịch vụ viễn thông T05/2017</t>
  </si>
  <si>
    <t>VAT Cước internet &amp; điện thoại</t>
  </si>
  <si>
    <t>Cước internet &amp; điện thoại T03/2017</t>
  </si>
  <si>
    <t>Cước internet &amp; điện thoại T04/2017</t>
  </si>
  <si>
    <t>Cước internet &amp; điện thoại T05/2017</t>
  </si>
  <si>
    <t>Cước điện thoại T12/2016 &amp; 01/2017</t>
  </si>
  <si>
    <t>VAT Cước điện thoại T12/2016 &amp; 01/2017</t>
  </si>
  <si>
    <t>Cước internet T12/2016 &amp; 01/2017</t>
  </si>
  <si>
    <t>VAT Cước internet T12/2016 &amp; 01/2017</t>
  </si>
  <si>
    <t>Cước internet &amp; điện thoại T02/2017</t>
  </si>
  <si>
    <t>7454482;0705430;0941842</t>
  </si>
  <si>
    <t>4611979;4352405</t>
  </si>
  <si>
    <t>8087589;8087380</t>
  </si>
  <si>
    <t>2709417;2709330</t>
  </si>
  <si>
    <t>6686603;6686576</t>
  </si>
  <si>
    <t>00250284;0250285;0250288</t>
  </si>
  <si>
    <t>0416670;0416671;0416674</t>
  </si>
  <si>
    <t>Thùng 50x29.5x19</t>
  </si>
  <si>
    <t>Cty TNHH Hải Sản An Lạc</t>
  </si>
  <si>
    <t>0000813</t>
  </si>
  <si>
    <t>0000843</t>
  </si>
  <si>
    <t>0000850</t>
  </si>
  <si>
    <t>0000858</t>
  </si>
  <si>
    <t>Thùng 44.5x44.5x85</t>
  </si>
  <si>
    <t>Thùng 54.5x54.5x105</t>
  </si>
  <si>
    <t>Thùng 41.5x41.5x49</t>
  </si>
  <si>
    <t>Thùng 36.5x36.5x49</t>
  </si>
  <si>
    <t>Thùng 43.5x43.5x45</t>
  </si>
  <si>
    <t>Thùng 56x29.5x24</t>
  </si>
  <si>
    <t>Thùng 53x53x27</t>
  </si>
  <si>
    <t>Thùng 112x84x37</t>
  </si>
  <si>
    <t>Thùng 50x50x60</t>
  </si>
  <si>
    <t>Thùng 62x62x62.5</t>
  </si>
  <si>
    <t>Thùng 72x42x87</t>
  </si>
  <si>
    <t>Thùng 182x47x59</t>
  </si>
  <si>
    <t>Giấy tấm 140x240</t>
  </si>
  <si>
    <t>Thùng 52x52x92</t>
  </si>
  <si>
    <t>Thùng 52x52x58</t>
  </si>
  <si>
    <t>Thùng 188x51x36</t>
  </si>
  <si>
    <t>Thùng 117x76x23</t>
  </si>
  <si>
    <t>Thùng 62x60x59</t>
  </si>
  <si>
    <t>Thùng 65x58x27</t>
  </si>
  <si>
    <t>Thùng 53x53x59</t>
  </si>
  <si>
    <t>Thùng 92x92x25</t>
  </si>
  <si>
    <t>Thùng 45x45x54</t>
  </si>
  <si>
    <t>Thùng 36.5x32.5x48</t>
  </si>
  <si>
    <t>Thùng 45x45x48</t>
  </si>
  <si>
    <t>Thùng 34.5x16.5x13</t>
  </si>
  <si>
    <t>Thùng 44x44x32</t>
  </si>
  <si>
    <t>Thùng 38x38x31</t>
  </si>
  <si>
    <t>Thùng 35x35x43</t>
  </si>
  <si>
    <t>0000866</t>
  </si>
  <si>
    <t>DNTN Trạm Xăng Dầu Hiệp Phát</t>
  </si>
  <si>
    <t>0004582</t>
  </si>
  <si>
    <t>0000864</t>
  </si>
  <si>
    <t>Thùng 56x36x25</t>
  </si>
  <si>
    <t>0000487</t>
  </si>
  <si>
    <t>0000530</t>
  </si>
  <si>
    <t>0000540</t>
  </si>
  <si>
    <t>0000518</t>
  </si>
  <si>
    <t>0000522</t>
  </si>
  <si>
    <t>0582443;0582444;0582447</t>
  </si>
  <si>
    <t>Phí sử dụng tiền trong 2 ngày</t>
  </si>
  <si>
    <t>VAT Phí sử dụng tiền trong 2 ngày</t>
  </si>
  <si>
    <t>Quý II</t>
  </si>
  <si>
    <t>Nộp tiền mặt</t>
  </si>
  <si>
    <t>KU SME/BDG/17/0024/HDHM/08</t>
  </si>
  <si>
    <t>VAT Phí thường niên thẻ 4393</t>
  </si>
  <si>
    <t>Phí thường niên thẻ 4393</t>
  </si>
  <si>
    <t>Phí thường niên thẻ 2797</t>
  </si>
  <si>
    <t>VAT Phí thường niên thẻ 2797</t>
  </si>
  <si>
    <t>KU SME/BDG/17/0024/HDHM/01-LD1705900636</t>
  </si>
  <si>
    <t>KU SME/BDG/17/0024/HDHM/02-LD1706001552</t>
  </si>
  <si>
    <t>KU SME/BDG/17/0024/HDHM/03-LD1707900634</t>
  </si>
  <si>
    <t>KU SME/BDG/17/0024/HDHM/04-LD1708801575</t>
  </si>
  <si>
    <t>KU SME/BDG/17/0024/HDHM/05-LD1710701653</t>
  </si>
  <si>
    <t>KU SME/BDG/17/0024/HDHM/06-LD1711702265</t>
  </si>
  <si>
    <t>Lãi quá hạn</t>
  </si>
  <si>
    <t>Cty TNHH MTV Bao Bì Xanh Bình Dương</t>
  </si>
  <si>
    <t>0074413</t>
  </si>
  <si>
    <t>Phí rút tiền</t>
  </si>
  <si>
    <t>VAT Phí rút tiền</t>
  </si>
  <si>
    <t>Thanh toán tiền tiếp khách</t>
  </si>
  <si>
    <t>KU SME/BDG/17/0024/HDHM/07-LD1714301250</t>
  </si>
  <si>
    <t>0201510</t>
  </si>
  <si>
    <t>Cty TNHH MTV Xăng Dầu Bà Rịa Vũng Tàu</t>
  </si>
  <si>
    <t xml:space="preserve">Thùng </t>
  </si>
  <si>
    <t>0000868</t>
  </si>
  <si>
    <t>0000869</t>
  </si>
  <si>
    <t>0000870</t>
  </si>
  <si>
    <t>Thùng 41.5x30x17.5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</si>
  <si>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</si>
  <si>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</si>
  <si>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</si>
  <si>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</si>
  <si>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</si>
  <si>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</si>
  <si>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</si>
  <si>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</si>
  <si>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</si>
  <si>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0000882</t>
  </si>
  <si>
    <t>0000880</t>
  </si>
  <si>
    <t>0000885</t>
  </si>
  <si>
    <t>Cty TNHH Shinwa Viet Nam</t>
  </si>
  <si>
    <t>Thùng 48x24x23</t>
  </si>
  <si>
    <t>Hộp Duplex 22x15x6.5</t>
  </si>
  <si>
    <t>Lót hộp 14.8x21.8</t>
  </si>
  <si>
    <t>0000890</t>
  </si>
  <si>
    <t>Thùng 183x15.9x10</t>
  </si>
  <si>
    <t>CN Cty TNHH NL Gỗ Sài Gòn Tại Bình Dương</t>
  </si>
  <si>
    <t>0000892</t>
  </si>
  <si>
    <t>0000889</t>
  </si>
  <si>
    <t>Thùng 226.5x149x128</t>
  </si>
  <si>
    <t>Thùng 725x255x190</t>
  </si>
  <si>
    <t>Thùng 815x330x190</t>
  </si>
  <si>
    <t>0000894</t>
  </si>
  <si>
    <t>Thùng 183x19.2x8.2</t>
  </si>
  <si>
    <t>0000895</t>
  </si>
  <si>
    <t>0000896</t>
  </si>
  <si>
    <t>0000897</t>
  </si>
  <si>
    <t>VAT Giấy tấm</t>
  </si>
  <si>
    <t>Thùng 183x12.9x11.4</t>
  </si>
  <si>
    <t>0000901</t>
  </si>
  <si>
    <t>0000905</t>
  </si>
  <si>
    <t>Thùng 183x19.2x6.7</t>
  </si>
  <si>
    <t>0000906</t>
  </si>
  <si>
    <t>0000907</t>
  </si>
  <si>
    <t>0000908</t>
  </si>
  <si>
    <t>Thùng 42.9x42.9x53.6</t>
  </si>
  <si>
    <t>Thùng 42.2x42.2x51.2</t>
  </si>
  <si>
    <t>Thùng 43x43x54</t>
  </si>
  <si>
    <t>Thùng 49.2x49.2x51.2</t>
  </si>
  <si>
    <t>Thùng 56x56x56</t>
  </si>
  <si>
    <t>Thùng 46.2x46.2x54.2</t>
  </si>
  <si>
    <t>Thùng 47.2x47.2x54.2</t>
  </si>
  <si>
    <t>Thùng 51.2x51.2x54.2</t>
  </si>
  <si>
    <t>Thùng 50.2x50.2x54.2</t>
  </si>
  <si>
    <t>Thùng 49.2x49.2x54.2</t>
  </si>
  <si>
    <t>Thùng 56.3x56.3x22</t>
  </si>
  <si>
    <t>Thùng 57.5x57.5x23</t>
  </si>
  <si>
    <t>Thùng 183.5x19.8x10</t>
  </si>
  <si>
    <t>0000909</t>
  </si>
  <si>
    <t>0000910</t>
  </si>
  <si>
    <t>Thùng 164x164x14</t>
  </si>
  <si>
    <t>Thùng 165x165x15</t>
  </si>
  <si>
    <t>Thùng 134x134x14</t>
  </si>
  <si>
    <t>Thùng 135x135x15</t>
  </si>
  <si>
    <t>Thùng 45.8x45.8x49.6</t>
  </si>
  <si>
    <t>Thùng 96x96x18</t>
  </si>
  <si>
    <t>Thùng 98x98x19</t>
  </si>
  <si>
    <t>Thùng 57x57x21</t>
  </si>
  <si>
    <t>Thùng 59x59x22</t>
  </si>
  <si>
    <t>Thanh toán lương T07/2017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</si>
  <si>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</si>
  <si>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</si>
  <si>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</si>
  <si>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</si>
  <si>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</si>
  <si>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</si>
  <si>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</si>
  <si>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</si>
  <si>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</si>
  <si>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</si>
  <si>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</si>
  <si>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</si>
  <si>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</si>
  <si>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</si>
  <si>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</si>
  <si>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</si>
  <si>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</si>
  <si>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</si>
  <si>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</si>
  <si>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0000911</t>
  </si>
  <si>
    <t>0000881</t>
  </si>
  <si>
    <t>Cty TNHH Bao Bì Tân Nguyên</t>
  </si>
  <si>
    <t>Thùng 40x30x50</t>
  </si>
  <si>
    <t>Thùng 51x50x58</t>
  </si>
  <si>
    <t>Giấy tấm 100x120</t>
  </si>
  <si>
    <t>0000899</t>
  </si>
  <si>
    <t>Giấy tấm 1400x1650</t>
  </si>
  <si>
    <t>0000900</t>
  </si>
  <si>
    <t>Giấy tấm 1300x1600</t>
  </si>
  <si>
    <t>Giấy tấm 1650x1800</t>
  </si>
  <si>
    <t>0000903</t>
  </si>
  <si>
    <t>0000904</t>
  </si>
  <si>
    <t>Thùng 55x33x80</t>
  </si>
  <si>
    <t>Thùng 105x79x27</t>
  </si>
  <si>
    <t>Thùng 165x75x16</t>
  </si>
  <si>
    <t>Thùng 75x35x43</t>
  </si>
  <si>
    <t>Thùng 55x55x79</t>
  </si>
  <si>
    <t>Thùng 47x47x60</t>
  </si>
  <si>
    <t>Thùng 73x35x43</t>
  </si>
  <si>
    <t>Thùng 206x96x14</t>
  </si>
  <si>
    <t>Thùng 206x206x13</t>
  </si>
  <si>
    <t>Thùng 185x41x52</t>
  </si>
  <si>
    <t>Thùng 52x52x61</t>
  </si>
  <si>
    <t>0000912</t>
  </si>
  <si>
    <t>Thùng 100x121x4</t>
  </si>
  <si>
    <t>Thùng 100x12x4</t>
  </si>
  <si>
    <t>Thùng 120x12x4</t>
  </si>
  <si>
    <t>0000913</t>
  </si>
  <si>
    <t>0000914</t>
  </si>
  <si>
    <t>0000915</t>
  </si>
  <si>
    <t>0000916</t>
  </si>
  <si>
    <t>0000917</t>
  </si>
  <si>
    <t>0000918</t>
  </si>
  <si>
    <t>Thùng 60x60x100</t>
  </si>
  <si>
    <t>Thùng 60x60x121</t>
  </si>
  <si>
    <t>Thùng 50x50x101</t>
  </si>
  <si>
    <t>Thùng 50x50x122</t>
  </si>
  <si>
    <t>Thùng 50x50x31</t>
  </si>
  <si>
    <t>Thùng 50x50x40</t>
  </si>
  <si>
    <t>Thùng 120x12x2</t>
  </si>
  <si>
    <t>Cty TNHH SXTM DV TMK</t>
  </si>
  <si>
    <t>Thùng 36x30x19.5</t>
  </si>
  <si>
    <t>0000920</t>
  </si>
  <si>
    <t>0000921</t>
  </si>
  <si>
    <t>0000922</t>
  </si>
  <si>
    <t>0000923</t>
  </si>
  <si>
    <t>0000924</t>
  </si>
  <si>
    <t>0000925</t>
  </si>
  <si>
    <t>Thùng 55x55x100</t>
  </si>
  <si>
    <t>0000926</t>
  </si>
  <si>
    <t>0000927</t>
  </si>
  <si>
    <t>Thùng 53x40x61</t>
  </si>
  <si>
    <t>0000928</t>
  </si>
  <si>
    <t>0000929</t>
  </si>
  <si>
    <t>0000930</t>
  </si>
  <si>
    <t>Lót 23x17</t>
  </si>
  <si>
    <t>Cty TNHH Dragon Precision</t>
  </si>
  <si>
    <t>0000931</t>
  </si>
  <si>
    <t>Cty TNHH Nhãn Thời Gian Việt Tiến</t>
  </si>
  <si>
    <t>Thùng 35x35x35</t>
  </si>
  <si>
    <t>Thùng 70x35x35</t>
  </si>
  <si>
    <t>0000933</t>
  </si>
  <si>
    <t>Thùng 42.5x31.5x20.5</t>
  </si>
  <si>
    <t>Thùng 18.3x19.7x9.7</t>
  </si>
  <si>
    <t>Thùng 72.5x25.5x19</t>
  </si>
  <si>
    <t>Thùng 72.5x25.5x15.9</t>
  </si>
  <si>
    <t>0000934</t>
  </si>
  <si>
    <t>0000935</t>
  </si>
  <si>
    <t>0000936</t>
  </si>
  <si>
    <t>Cty TNHH Vina Capital Việt Nam</t>
  </si>
  <si>
    <t>Thùng 41.5x27.5x21.5</t>
  </si>
  <si>
    <t>Thùng 30x30x40</t>
  </si>
  <si>
    <t>0000937</t>
  </si>
  <si>
    <t>0000938</t>
  </si>
  <si>
    <t>Thùng 39x39x72</t>
  </si>
  <si>
    <t>Thùng 142x92x55</t>
  </si>
  <si>
    <t>Thùng 82x82x53</t>
  </si>
  <si>
    <t>Thùng 205x105x11</t>
  </si>
  <si>
    <t>Thùng 132x132x55</t>
  </si>
  <si>
    <t>Thùng 205x76x25</t>
  </si>
  <si>
    <t>Thùng 46x46x52</t>
  </si>
  <si>
    <t>Thùng 98x98x42</t>
  </si>
  <si>
    <t>Thùng 46x46x53</t>
  </si>
  <si>
    <t>Thùng 61x61x62</t>
  </si>
  <si>
    <t>Thùng 54x44x59</t>
  </si>
  <si>
    <t>Thùng 135x240x</t>
  </si>
  <si>
    <t>Thùng 56x32x80</t>
  </si>
  <si>
    <t>Thùng 56x56x34</t>
  </si>
  <si>
    <t>Thùng 246x126x12</t>
  </si>
  <si>
    <t>Thùng 66x27x80</t>
  </si>
  <si>
    <t>Thùng 96x80x28</t>
  </si>
  <si>
    <t>Thùng 54x54x102</t>
  </si>
  <si>
    <t>Thùng 141x81x12</t>
  </si>
  <si>
    <t>Thùng 66x36x47</t>
  </si>
  <si>
    <t>Thùng 54.2x54.2x54.4</t>
  </si>
  <si>
    <t>Thùng 50x50x41.5</t>
  </si>
  <si>
    <t>Thùng 55.1x55.1x52</t>
  </si>
  <si>
    <t>Thùng 56.2x56.2x44.4</t>
  </si>
  <si>
    <t>Thùng 134.5x75x16</t>
  </si>
  <si>
    <t>Thùng 136.5x77x18</t>
  </si>
  <si>
    <t>Thùng 145x45x78</t>
  </si>
  <si>
    <t>Thùng 125x45x78</t>
  </si>
  <si>
    <t>Thùng 206x96x13</t>
  </si>
  <si>
    <t>Thùng 51.5x51.5x40</t>
  </si>
  <si>
    <t>Thùng 89.5x89.5x40</t>
  </si>
  <si>
    <t>Thùng 44.5x44.5x49</t>
  </si>
  <si>
    <t>Thùng 32.5x32.5x47</t>
  </si>
  <si>
    <t>Thùng 55x55x63</t>
  </si>
  <si>
    <t>Thùng 115x115x31</t>
  </si>
  <si>
    <t>Thùng 41x41x48</t>
  </si>
  <si>
    <t>Thùng 25x25x22</t>
  </si>
  <si>
    <t>Thùng 46x46x32</t>
  </si>
  <si>
    <t>Thùng 26x26x24</t>
  </si>
  <si>
    <t>Thùng 32x32x9</t>
  </si>
  <si>
    <t>Thùng 157x91x9</t>
  </si>
  <si>
    <t>Thùng 157x92x22</t>
  </si>
  <si>
    <t>Thùng 75x75x36</t>
  </si>
  <si>
    <t>Thùng 165x95x14</t>
  </si>
  <si>
    <t>Thùng 85x79x28</t>
  </si>
  <si>
    <t>Thùng 185x105x14</t>
  </si>
  <si>
    <t>Thùng 95x79x28</t>
  </si>
  <si>
    <t>Thùng 205x105x14</t>
  </si>
  <si>
    <t>Thùng 52x52x87</t>
  </si>
  <si>
    <t>Thùng 52x52x113</t>
  </si>
  <si>
    <t>Thùng 54x49x66</t>
  </si>
  <si>
    <t>Phí sử dụng tiền trong ngày</t>
  </si>
  <si>
    <t>VAT Phí sử dụng tiền trong ngày</t>
  </si>
  <si>
    <t>KU SME/BDG/17/0024/HDHM/09</t>
  </si>
  <si>
    <t>Cty TNHH TM DV VT Hoàng Hà Việt Nam</t>
  </si>
  <si>
    <t>0000016</t>
  </si>
  <si>
    <t>0000052</t>
  </si>
  <si>
    <t>0000044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</si>
  <si>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</si>
  <si>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</si>
  <si>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</si>
  <si>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</si>
  <si>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</si>
  <si>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</si>
  <si>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</si>
  <si>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</si>
  <si>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Máy xả dao dĩa</t>
  </si>
  <si>
    <t>VAT Máy xả dao dĩa</t>
  </si>
  <si>
    <t>0000039</t>
  </si>
  <si>
    <t>Máy xả trục tròn</t>
  </si>
  <si>
    <t>Máy chạp tay</t>
  </si>
  <si>
    <t>VAT Máy xả trục tròn, Máy chạp tay</t>
  </si>
  <si>
    <t>0000050</t>
  </si>
  <si>
    <t>Máy đóng phim</t>
  </si>
  <si>
    <t>Máy cột dây</t>
  </si>
  <si>
    <t>VAT Máy đóng phim, Máy cột dây</t>
  </si>
  <si>
    <t>000064</t>
  </si>
  <si>
    <t>Mẫu số S21-DN</t>
  </si>
  <si>
    <t xml:space="preserve">(Ban hành theo Thông tư số 200/2014/TT-BTC </t>
  </si>
  <si>
    <t>Ngày 22/12/2014 của Bộ Tài chính)</t>
  </si>
  <si>
    <t>SỔ TÀI SẢN CỐ ĐỊNH</t>
  </si>
  <si>
    <t xml:space="preserve">Loại tài sản: Tài Sản Cố Định Hữu Hình 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</si>
  <si>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</si>
  <si>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</si>
  <si>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</si>
  <si>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</si>
  <si>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</si>
  <si>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</si>
  <si>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</si>
  <si>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</si>
  <si>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</si>
  <si>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</si>
  <si>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</si>
  <si>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</si>
  <si>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</si>
  <si>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</si>
  <si>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</si>
  <si>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</si>
  <si>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</si>
  <si>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</si>
  <si>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</si>
  <si>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</si>
  <si>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</si>
  <si>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II</t>
  </si>
  <si>
    <t>Máy móc, thiết bị :</t>
  </si>
  <si>
    <t>SX 02/10</t>
  </si>
  <si>
    <t>SX 06/10</t>
  </si>
  <si>
    <t>SX 12/14</t>
  </si>
  <si>
    <t>SX 13/14</t>
  </si>
  <si>
    <t>SX 14/14</t>
  </si>
  <si>
    <t>Cộng</t>
  </si>
  <si>
    <t>Sổ này có 1 trang, đánh số từ trang 1 đến trang 1.</t>
  </si>
  <si>
    <t>Kế Toán Trưởng</t>
  </si>
  <si>
    <t>0000064</t>
  </si>
  <si>
    <t>07/2017</t>
  </si>
  <si>
    <t>2017/01</t>
  </si>
  <si>
    <t>2017/02</t>
  </si>
  <si>
    <t>2017/03</t>
  </si>
  <si>
    <t>2017/04</t>
  </si>
  <si>
    <t>2017/05</t>
  </si>
  <si>
    <t>Ngày 31 tháng 12 Năm 2017</t>
  </si>
  <si>
    <t>Ngày mở sổ: 01/01/2017</t>
  </si>
  <si>
    <t>Năm 2017</t>
  </si>
  <si>
    <t>Viettel: 02746271106</t>
  </si>
  <si>
    <t>Cước internet &amp; điện thoại T06/2017</t>
  </si>
  <si>
    <t>Cước internet &amp; điện thoại T07/2017</t>
  </si>
  <si>
    <t>Cước internet &amp; điện thoại T08/2017</t>
  </si>
  <si>
    <t>1799231;1799043</t>
  </si>
  <si>
    <t>4264456;4264308</t>
  </si>
  <si>
    <t>8454915;8454884</t>
  </si>
  <si>
    <t>Cước dịch vụ viễn thông T06/2017</t>
  </si>
  <si>
    <t>Cước dịch vụ viễn thông T07/2017</t>
  </si>
  <si>
    <t>Cước dịch vụ viễn thông T08/2017</t>
  </si>
  <si>
    <t>0747807;0747806;0747809</t>
  </si>
  <si>
    <t>0008454</t>
  </si>
  <si>
    <t>Giấy tấm 1000x1760</t>
  </si>
  <si>
    <t>Giấy tấm 975x1730</t>
  </si>
  <si>
    <t>Giấy tấm 1025x2010</t>
  </si>
  <si>
    <t>Giấy tấm 1025x1890</t>
  </si>
  <si>
    <t>Giấy tấm 1050x1930</t>
  </si>
  <si>
    <t>Giấy tấm 1075x2090</t>
  </si>
  <si>
    <t>Giấy tấm 1075x2050</t>
  </si>
  <si>
    <t>Giấy tấm 1050x2010</t>
  </si>
  <si>
    <t>0008537</t>
  </si>
  <si>
    <t>Giấy tấm 1200x2280</t>
  </si>
  <si>
    <t>0000054</t>
  </si>
  <si>
    <t>0000075</t>
  </si>
  <si>
    <t>Thùng 183x129x114</t>
  </si>
  <si>
    <t>Thùng 183x192x82</t>
  </si>
  <si>
    <t>Thùng 183x192x8.2</t>
  </si>
  <si>
    <t>Thùng 183x192x6.7</t>
  </si>
  <si>
    <t>0000080</t>
  </si>
  <si>
    <t>0000109</t>
  </si>
  <si>
    <t>Thùng 22x15x6.5</t>
  </si>
  <si>
    <t>0000153</t>
  </si>
  <si>
    <t>0000206</t>
  </si>
  <si>
    <t>0000230</t>
  </si>
  <si>
    <t>0000231</t>
  </si>
  <si>
    <t>0000246</t>
  </si>
  <si>
    <t>0000267</t>
  </si>
  <si>
    <t>0000283</t>
  </si>
  <si>
    <t>0000211</t>
  </si>
  <si>
    <t>0000195</t>
  </si>
  <si>
    <t>0001833</t>
  </si>
  <si>
    <t>Thùng 24x18x17</t>
  </si>
  <si>
    <t>Cty TNHH TM SX SNK Tiến Thành Đạt</t>
  </si>
  <si>
    <t>0001842</t>
  </si>
  <si>
    <t>0001846</t>
  </si>
  <si>
    <t>0001861</t>
  </si>
  <si>
    <t>Thùng 215x60x111.5</t>
  </si>
  <si>
    <t>Lót 60x214</t>
  </si>
  <si>
    <t>Lót 100x150</t>
  </si>
  <si>
    <t>0001880</t>
  </si>
  <si>
    <t>Giấy tấm 70x220</t>
  </si>
  <si>
    <t>0001898</t>
  </si>
  <si>
    <t>Thùng 480x300x570</t>
  </si>
  <si>
    <t>0001931</t>
  </si>
  <si>
    <t>0001945</t>
  </si>
  <si>
    <t>0001955</t>
  </si>
  <si>
    <t>0001961</t>
  </si>
  <si>
    <t>Thùng 11.4x12.9x183</t>
  </si>
  <si>
    <t>Thùng 102x50x47</t>
  </si>
  <si>
    <t>0001969</t>
  </si>
  <si>
    <t>0001977</t>
  </si>
  <si>
    <t>Thùng 62.5x62.5x55</t>
  </si>
  <si>
    <t>Thùng 61.4x59.3x54.4</t>
  </si>
  <si>
    <t>Thùng 60.2x46.7x54.4</t>
  </si>
  <si>
    <t>Thùng 57.2x57.2x61.4</t>
  </si>
  <si>
    <t>Thùng 113x113x55</t>
  </si>
  <si>
    <t>Thùng 63x63x88</t>
  </si>
  <si>
    <t>Thùng 183x93x58</t>
  </si>
  <si>
    <t>Thùng 51x51x60</t>
  </si>
  <si>
    <t>Thùng 63x38x87</t>
  </si>
  <si>
    <t>Thùng 213x89x33</t>
  </si>
  <si>
    <t>Thùng 140x89x56</t>
  </si>
  <si>
    <t>Thùng 163x48x60</t>
  </si>
  <si>
    <t>Thùng 73x43x54</t>
  </si>
  <si>
    <t>Thùng 66x28x79</t>
  </si>
  <si>
    <t>Thùng 143x93x55</t>
  </si>
  <si>
    <t>Thùng 48x32x89</t>
  </si>
  <si>
    <t>Thùng 64x54x25</t>
  </si>
  <si>
    <t>Thùng 62x62x110</t>
  </si>
  <si>
    <t>Thùng 46x46x78</t>
  </si>
  <si>
    <t>Thùng 52x52x134</t>
  </si>
  <si>
    <t>Thùng 63x63x63</t>
  </si>
  <si>
    <t>Thùng 48x48x59</t>
  </si>
  <si>
    <t>Thùng 42x42x72</t>
  </si>
  <si>
    <t>Thùng 123x123x18</t>
  </si>
  <si>
    <t>Thùng 68x68x84</t>
  </si>
  <si>
    <t>Thùng 105x105x51</t>
  </si>
  <si>
    <t>Thùng 45x45x53</t>
  </si>
  <si>
    <t>Thùng 133x133x55</t>
  </si>
  <si>
    <t>Thùng 306x116x12</t>
  </si>
  <si>
    <t>Thùng 52x52x107</t>
  </si>
  <si>
    <t>Thùng 145x45x46</t>
  </si>
  <si>
    <t>Thùng 145x45x79</t>
  </si>
  <si>
    <t>Thùng 206x106x14</t>
  </si>
  <si>
    <t>Thùng 125x45x79</t>
  </si>
  <si>
    <t>Thùng 115x115x32</t>
  </si>
  <si>
    <t>Thùng 185x40x53</t>
  </si>
  <si>
    <t>Thùng 51x51x40</t>
  </si>
  <si>
    <t>Thùng 89x89x40</t>
  </si>
  <si>
    <t>Thùng 32x32x47</t>
  </si>
  <si>
    <t>Thùng 62x62x11</t>
  </si>
  <si>
    <t>Thùng 40x40x72</t>
  </si>
  <si>
    <t>Thùng 93x86x18</t>
  </si>
  <si>
    <t>Thùng 183x93x57</t>
  </si>
  <si>
    <t>0000939</t>
  </si>
  <si>
    <t>0000940</t>
  </si>
  <si>
    <t>0000943</t>
  </si>
  <si>
    <t>0000944</t>
  </si>
  <si>
    <t>0000945</t>
  </si>
  <si>
    <t>Thùng 183x19.7x9.7</t>
  </si>
  <si>
    <t>0000946</t>
  </si>
  <si>
    <t>0000947</t>
  </si>
  <si>
    <t>0000948</t>
  </si>
  <si>
    <t>Phí vận chuyển</t>
  </si>
  <si>
    <t>Cty TNHH Nippon Rika Việt Nam</t>
  </si>
  <si>
    <t>0000949</t>
  </si>
  <si>
    <t>0000950</t>
  </si>
  <si>
    <t>0000951</t>
  </si>
  <si>
    <t>0000952</t>
  </si>
  <si>
    <t>0000954</t>
  </si>
  <si>
    <t>Cty TNHH Choice Protech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</si>
  <si>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</si>
  <si>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</si>
  <si>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</si>
  <si>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</si>
  <si>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</si>
  <si>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</si>
  <si>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</si>
  <si>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</si>
  <si>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</si>
  <si>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</si>
  <si>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0000967</t>
  </si>
  <si>
    <t>0000968</t>
  </si>
  <si>
    <t>0000969</t>
  </si>
  <si>
    <t>0000970</t>
  </si>
  <si>
    <t>0000199</t>
  </si>
  <si>
    <t>Cty Cp TM&amp;DV Hội Nghị Tiệc Cưới Trường Thịnh</t>
  </si>
  <si>
    <t>0006685</t>
  </si>
  <si>
    <t>0135276</t>
  </si>
  <si>
    <t>0158890</t>
  </si>
  <si>
    <t>Cty Xăng Dầu Phúc Khánh</t>
  </si>
  <si>
    <t>0002756</t>
  </si>
  <si>
    <t>Cty TNHH Hiệp Hòa</t>
  </si>
  <si>
    <t>DNTN Dịch Vụ Ăn Uống Cúc Phương</t>
  </si>
  <si>
    <t>0003933</t>
  </si>
  <si>
    <t>0006863</t>
  </si>
  <si>
    <t>Văn phòng phẩm</t>
  </si>
  <si>
    <t>VAT Văn phòng phẩm</t>
  </si>
  <si>
    <t>0000245</t>
  </si>
  <si>
    <t>Cty TNHH MTV XD TM Hoàng Đại Dũng</t>
  </si>
  <si>
    <t>0001662</t>
  </si>
  <si>
    <t>Thiết bị mạng</t>
  </si>
  <si>
    <t>VAT Thiết bị mạng</t>
  </si>
  <si>
    <t>KU SME/BDG/17/0024/HDHM/10</t>
  </si>
  <si>
    <t>KU SME/BDG/17/0024/HDHM/11</t>
  </si>
  <si>
    <t>thanh toan tien hang</t>
  </si>
  <si>
    <t>thu tien hang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</si>
</sst>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Times New Roman"/>
      <family val="1"/>
    </font>
    <font>
      <b/>
      <sz val="14"/>
      <name val="Times New Roman"/>
      <family val="1"/>
    </font>
    <font>
      <sz val="10"/>
      <color indexed="12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  <font>
      <sz val="11"/>
      <color theme="9" tint="-0.499984740745262"/>
      <name val="Times New Roman"/>
      <family val="1"/>
    </font>
    <font>
      <sz val="11"/>
      <color theme="9" tint="-0.499984740745262"/>
      <name val="Arial"/>
      <family val="2"/>
    </font>
    <font>
      <sz val="11"/>
      <color rgb="FF0070C0"/>
      <name val="Times New Roman"/>
      <family val="1"/>
    </font>
    <font>
      <sz val="11"/>
      <color rgb="FF0070C0"/>
      <name val="Arial"/>
      <family val="2"/>
    </font>
    <font>
      <sz val="13"/>
      <name val="Times New Roman"/>
      <family val="1"/>
    </font>
    <font>
      <b/>
      <sz val="13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0"/>
      <color rgb="FF0000FF"/>
      <name val="Times New Roman"/>
      <family val="1"/>
    </font>
    <font>
      <sz val="13"/>
      <color rgb="FF0000FF"/>
      <name val="Times New Roman"/>
      <family val="1"/>
    </font>
    <font>
      <b/>
      <sz val="10"/>
      <color rgb="FF0000FF"/>
      <name val="Times New Roman"/>
      <family val="1"/>
    </font>
    <font>
      <b/>
      <i/>
      <sz val="10"/>
      <color rgb="FF0000FF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3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2" fillId="0" borderId="0"/>
    <xf numFmtId="0" fontId="3" fillId="0" borderId="0"/>
    <xf numFmtId="0" fontId="37" fillId="0" borderId="0"/>
    <xf numFmtId="43" fontId="3" fillId="0" borderId="0" applyFont="0" applyFill="0" applyBorder="0" applyAlignment="0" applyProtection="0"/>
    <xf numFmtId="0" fontId="3" fillId="0" borderId="0"/>
  </cellStyleXfs>
  <cellXfs count="994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41" fontId="36" fillId="28" borderId="0" xfId="95" applyNumberFormat="1" applyFont="1" applyFill="1" applyAlignment="1">
      <alignment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3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4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4" fillId="0" borderId="0" xfId="80" applyFont="1" applyAlignment="1" applyProtection="1">
      <alignment horizontal="center" vertical="center"/>
      <protection hidden="1"/>
    </xf>
    <xf numFmtId="0" fontId="65" fillId="0" borderId="0" xfId="80" applyFont="1" applyFill="1" applyBorder="1" applyAlignment="1" applyProtection="1">
      <alignment vertical="center"/>
      <protection hidden="1"/>
    </xf>
    <xf numFmtId="164" fontId="66" fillId="0" borderId="0" xfId="77" applyNumberFormat="1" applyFont="1" applyBorder="1" applyAlignment="1" applyProtection="1">
      <alignment vertical="center"/>
      <protection hidden="1"/>
    </xf>
    <xf numFmtId="0" fontId="64" fillId="0" borderId="0" xfId="80" applyFont="1" applyAlignment="1" applyProtection="1">
      <alignment vertical="center"/>
      <protection hidden="1"/>
    </xf>
    <xf numFmtId="0" fontId="65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3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7" fillId="0" borderId="23" xfId="74" quotePrefix="1" applyNumberFormat="1" applyFont="1" applyBorder="1" applyAlignment="1">
      <alignment horizontal="center"/>
    </xf>
    <xf numFmtId="164" fontId="68" fillId="0" borderId="23" xfId="74" applyNumberFormat="1" applyFont="1" applyBorder="1" applyAlignment="1">
      <alignment horizontal="center"/>
    </xf>
    <xf numFmtId="164" fontId="67" fillId="0" borderId="25" xfId="74" applyNumberFormat="1" applyFont="1" applyBorder="1"/>
    <xf numFmtId="164" fontId="67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69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0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69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69" fillId="0" borderId="16" xfId="0" applyFont="1" applyFill="1" applyBorder="1" applyAlignment="1">
      <alignment horizontal="center"/>
    </xf>
    <xf numFmtId="0" fontId="69" fillId="0" borderId="16" xfId="77" applyNumberFormat="1" applyFont="1" applyFill="1" applyBorder="1" applyAlignment="1">
      <alignment horizontal="center" vertical="center"/>
    </xf>
    <xf numFmtId="14" fontId="69" fillId="0" borderId="16" xfId="76" applyNumberFormat="1" applyFont="1" applyFill="1" applyBorder="1" applyAlignment="1">
      <alignment horizontal="center" vertical="center"/>
    </xf>
    <xf numFmtId="164" fontId="69" fillId="0" borderId="16" xfId="76" applyNumberFormat="1" applyFont="1" applyFill="1" applyBorder="1" applyAlignment="1">
      <alignment horizontal="left" vertical="center"/>
    </xf>
    <xf numFmtId="164" fontId="69" fillId="0" borderId="16" xfId="76" applyNumberFormat="1" applyFont="1" applyFill="1" applyBorder="1" applyAlignment="1">
      <alignment horizontal="center" vertical="center"/>
    </xf>
    <xf numFmtId="49" fontId="69" fillId="0" borderId="16" xfId="76" applyNumberFormat="1" applyFont="1" applyFill="1" applyBorder="1" applyAlignment="1">
      <alignment horizontal="left" vertical="center"/>
    </xf>
    <xf numFmtId="164" fontId="69" fillId="0" borderId="16" xfId="29" applyNumberFormat="1" applyFont="1" applyFill="1" applyBorder="1" applyAlignment="1">
      <alignment horizontal="left" vertical="center"/>
    </xf>
    <xf numFmtId="164" fontId="69" fillId="0" borderId="16" xfId="77" applyNumberFormat="1" applyFont="1" applyFill="1" applyBorder="1" applyAlignment="1">
      <alignment vertical="center"/>
    </xf>
    <xf numFmtId="0" fontId="69" fillId="0" borderId="16" xfId="76" quotePrefix="1" applyNumberFormat="1" applyFont="1" applyFill="1" applyBorder="1" applyAlignment="1">
      <alignment horizontal="center" vertical="center"/>
    </xf>
    <xf numFmtId="0" fontId="69" fillId="0" borderId="0" xfId="76" quotePrefix="1" applyNumberFormat="1" applyFont="1" applyFill="1" applyBorder="1" applyAlignment="1">
      <alignment horizontal="center" vertical="center"/>
    </xf>
    <xf numFmtId="0" fontId="72" fillId="0" borderId="0" xfId="0" applyFont="1" applyFill="1" applyAlignment="1"/>
    <xf numFmtId="1" fontId="69" fillId="0" borderId="16" xfId="76" quotePrefix="1" applyNumberFormat="1" applyFont="1" applyFill="1" applyBorder="1" applyAlignment="1">
      <alignment horizontal="center" vertical="center"/>
    </xf>
    <xf numFmtId="49" fontId="69" fillId="0" borderId="16" xfId="76" quotePrefix="1" applyNumberFormat="1" applyFont="1" applyFill="1" applyBorder="1" applyAlignment="1">
      <alignment horizontal="left" vertical="center"/>
    </xf>
    <xf numFmtId="164" fontId="69" fillId="0" borderId="16" xfId="29" quotePrefix="1" applyNumberFormat="1" applyFont="1" applyFill="1" applyBorder="1" applyAlignment="1">
      <alignment horizontal="left" vertic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0" fillId="0" borderId="0" xfId="29" applyNumberFormat="1" applyFont="1"/>
    <xf numFmtId="0" fontId="73" fillId="0" borderId="16" xfId="77" applyNumberFormat="1" applyFont="1" applyFill="1" applyBorder="1" applyAlignment="1">
      <alignment horizontal="center" vertical="center"/>
    </xf>
    <xf numFmtId="14" fontId="73" fillId="0" borderId="16" xfId="90" applyNumberFormat="1" applyFont="1" applyFill="1" applyBorder="1" applyAlignment="1">
      <alignment horizontal="center" vertical="center"/>
    </xf>
    <xf numFmtId="164" fontId="73" fillId="0" borderId="16" xfId="90" applyNumberFormat="1" applyFont="1" applyFill="1" applyBorder="1" applyAlignment="1">
      <alignment horizontal="left" vertical="center"/>
    </xf>
    <xf numFmtId="164" fontId="73" fillId="0" borderId="16" xfId="90" quotePrefix="1" applyNumberFormat="1" applyFont="1" applyFill="1" applyBorder="1" applyAlignment="1">
      <alignment horizontal="center" vertical="center"/>
    </xf>
    <xf numFmtId="49" fontId="73" fillId="0" borderId="16" xfId="90" applyNumberFormat="1" applyFont="1" applyFill="1" applyBorder="1" applyAlignment="1">
      <alignment horizontal="left" vertical="center"/>
    </xf>
    <xf numFmtId="164" fontId="73" fillId="0" borderId="16" xfId="29" applyNumberFormat="1" applyFont="1" applyFill="1" applyBorder="1" applyAlignment="1">
      <alignment horizontal="left" vertical="center"/>
    </xf>
    <xf numFmtId="164" fontId="73" fillId="0" borderId="16" xfId="0" applyNumberFormat="1" applyFont="1" applyFill="1" applyBorder="1" applyAlignment="1">
      <alignment vertical="center"/>
    </xf>
    <xf numFmtId="0" fontId="73" fillId="0" borderId="0" xfId="76" quotePrefix="1" applyNumberFormat="1" applyFont="1" applyFill="1" applyBorder="1" applyAlignment="1">
      <alignment horizontal="center" vertical="center"/>
    </xf>
    <xf numFmtId="0" fontId="74" fillId="0" borderId="0" xfId="0" applyFont="1" applyFill="1"/>
    <xf numFmtId="14" fontId="69" fillId="0" borderId="16" xfId="90" applyNumberFormat="1" applyFont="1" applyFill="1" applyBorder="1" applyAlignment="1">
      <alignment horizontal="center" vertical="center"/>
    </xf>
    <xf numFmtId="164" fontId="69" fillId="0" borderId="16" xfId="90" applyNumberFormat="1" applyFont="1" applyFill="1" applyBorder="1" applyAlignment="1">
      <alignment horizontal="left" vertical="center"/>
    </xf>
    <xf numFmtId="164" fontId="69" fillId="0" borderId="16" xfId="90" quotePrefix="1" applyNumberFormat="1" applyFont="1" applyFill="1" applyBorder="1" applyAlignment="1">
      <alignment horizontal="center" vertical="center"/>
    </xf>
    <xf numFmtId="49" fontId="69" fillId="0" borderId="16" xfId="90" applyNumberFormat="1" applyFont="1" applyFill="1" applyBorder="1" applyAlignment="1">
      <alignment horizontal="left" vertical="center"/>
    </xf>
    <xf numFmtId="164" fontId="69" fillId="0" borderId="16" xfId="0" applyNumberFormat="1" applyFont="1" applyFill="1" applyBorder="1" applyAlignment="1">
      <alignment vertical="center"/>
    </xf>
    <xf numFmtId="0" fontId="72" fillId="0" borderId="0" xfId="0" applyFont="1" applyFill="1"/>
    <xf numFmtId="164" fontId="69" fillId="0" borderId="16" xfId="54" applyNumberFormat="1" applyFont="1" applyFill="1" applyBorder="1" applyAlignment="1">
      <alignment horizontal="left" vertical="center"/>
    </xf>
    <xf numFmtId="14" fontId="69" fillId="0" borderId="21" xfId="90" applyNumberFormat="1" applyFont="1" applyFill="1" applyBorder="1" applyAlignment="1">
      <alignment horizontal="center" vertical="center"/>
    </xf>
    <xf numFmtId="164" fontId="69" fillId="0" borderId="16" xfId="54" quotePrefix="1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vertical="center"/>
    </xf>
    <xf numFmtId="164" fontId="0" fillId="0" borderId="0" xfId="0" applyNumberFormat="1"/>
    <xf numFmtId="164" fontId="34" fillId="0" borderId="16" xfId="29" applyNumberFormat="1" applyFont="1" applyBorder="1" applyAlignment="1">
      <alignment horizontal="center" vertical="center"/>
    </xf>
    <xf numFmtId="14" fontId="34" fillId="0" borderId="21" xfId="46" applyNumberFormat="1" applyFont="1" applyBorder="1" applyAlignment="1">
      <alignment horizontal="center" vertical="center"/>
    </xf>
    <xf numFmtId="14" fontId="34" fillId="0" borderId="16" xfId="46" applyNumberFormat="1" applyFont="1" applyBorder="1" applyAlignment="1">
      <alignment horizontal="center" vertical="center"/>
    </xf>
    <xf numFmtId="14" fontId="73" fillId="0" borderId="16" xfId="76" applyNumberFormat="1" applyFont="1" applyFill="1" applyBorder="1" applyAlignment="1">
      <alignment horizontal="center" vertical="center"/>
    </xf>
    <xf numFmtId="14" fontId="73" fillId="0" borderId="21" xfId="76" applyNumberFormat="1" applyFont="1" applyFill="1" applyBorder="1" applyAlignment="1">
      <alignment horizontal="center" vertical="center"/>
    </xf>
    <xf numFmtId="164" fontId="73" fillId="0" borderId="16" xfId="76" quotePrefix="1" applyNumberFormat="1" applyFont="1" applyFill="1" applyBorder="1" applyAlignment="1">
      <alignment horizontal="center" vertical="center"/>
    </xf>
    <xf numFmtId="1" fontId="73" fillId="0" borderId="16" xfId="54" quotePrefix="1" applyNumberFormat="1" applyFont="1" applyFill="1" applyBorder="1" applyAlignment="1">
      <alignment horizontal="center" vertical="center"/>
    </xf>
    <xf numFmtId="0" fontId="74" fillId="0" borderId="0" xfId="0" applyFont="1" applyFill="1" applyAlignment="1"/>
    <xf numFmtId="14" fontId="69" fillId="0" borderId="21" xfId="54" applyNumberFormat="1" applyFont="1" applyFill="1" applyBorder="1" applyAlignment="1">
      <alignment horizontal="center" vertical="center"/>
    </xf>
    <xf numFmtId="1" fontId="69" fillId="0" borderId="16" xfId="54" quotePrefix="1" applyNumberFormat="1" applyFont="1" applyFill="1" applyBorder="1" applyAlignment="1">
      <alignment horizontal="center" vertical="center"/>
    </xf>
    <xf numFmtId="43" fontId="0" fillId="0" borderId="0" xfId="29" applyNumberFormat="1" applyFont="1"/>
    <xf numFmtId="14" fontId="73" fillId="0" borderId="21" xfId="90" applyNumberFormat="1" applyFont="1" applyFill="1" applyBorder="1" applyAlignment="1">
      <alignment horizontal="center" vertical="center"/>
    </xf>
    <xf numFmtId="0" fontId="73" fillId="0" borderId="21" xfId="97" applyFont="1" applyBorder="1" applyAlignment="1">
      <alignment vertical="center"/>
    </xf>
    <xf numFmtId="0" fontId="73" fillId="0" borderId="16" xfId="0" applyFont="1" applyBorder="1" applyAlignment="1">
      <alignment vertical="center"/>
    </xf>
    <xf numFmtId="164" fontId="73" fillId="0" borderId="21" xfId="29" applyNumberFormat="1" applyFont="1" applyBorder="1" applyAlignment="1">
      <alignment vertical="center"/>
    </xf>
    <xf numFmtId="164" fontId="73" fillId="0" borderId="21" xfId="29" applyNumberFormat="1" applyFont="1" applyFill="1" applyBorder="1" applyAlignment="1">
      <alignment vertical="center"/>
    </xf>
    <xf numFmtId="164" fontId="73" fillId="0" borderId="16" xfId="29" applyNumberFormat="1" applyFont="1" applyFill="1" applyBorder="1" applyAlignment="1">
      <alignment vertical="center"/>
    </xf>
    <xf numFmtId="164" fontId="73" fillId="0" borderId="0" xfId="29" applyNumberFormat="1" applyFont="1" applyFill="1" applyBorder="1" applyAlignment="1">
      <alignment horizontal="left" vertical="center"/>
    </xf>
    <xf numFmtId="43" fontId="73" fillId="0" borderId="0" xfId="29" applyFont="1" applyFill="1" applyBorder="1" applyAlignment="1">
      <alignment horizontal="left" vertical="center"/>
    </xf>
    <xf numFmtId="0" fontId="73" fillId="0" borderId="39" xfId="93" applyFont="1" applyBorder="1" applyAlignment="1">
      <alignment vertical="center"/>
    </xf>
    <xf numFmtId="14" fontId="73" fillId="0" borderId="21" xfId="29" applyNumberFormat="1" applyFont="1" applyBorder="1" applyAlignment="1">
      <alignment horizontal="center" vertical="center"/>
    </xf>
    <xf numFmtId="173" fontId="73" fillId="0" borderId="39" xfId="29" applyNumberFormat="1" applyFont="1" applyBorder="1" applyAlignment="1">
      <alignment horizontal="center" vertical="center"/>
    </xf>
    <xf numFmtId="164" fontId="73" fillId="0" borderId="39" xfId="29" applyNumberFormat="1" applyFont="1" applyBorder="1" applyAlignment="1">
      <alignment horizontal="center" vertical="center"/>
    </xf>
    <xf numFmtId="164" fontId="73" fillId="0" borderId="16" xfId="29" applyNumberFormat="1" applyFont="1" applyBorder="1" applyAlignment="1">
      <alignment vertical="center"/>
    </xf>
    <xf numFmtId="14" fontId="73" fillId="0" borderId="16" xfId="29" applyNumberFormat="1" applyFont="1" applyBorder="1" applyAlignment="1">
      <alignment horizontal="center" vertical="center"/>
    </xf>
    <xf numFmtId="0" fontId="75" fillId="0" borderId="0" xfId="0" applyFont="1"/>
    <xf numFmtId="43" fontId="33" fillId="0" borderId="0" xfId="29" applyNumberFormat="1" applyFont="1" applyAlignment="1">
      <alignment vertical="center"/>
    </xf>
    <xf numFmtId="164" fontId="69" fillId="0" borderId="21" xfId="90" applyNumberFormat="1" applyFont="1" applyFill="1" applyBorder="1" applyAlignment="1">
      <alignment horizontal="left" vertical="center"/>
    </xf>
    <xf numFmtId="164" fontId="56" fillId="0" borderId="0" xfId="0" applyNumberFormat="1" applyFont="1"/>
    <xf numFmtId="43" fontId="56" fillId="0" borderId="0" xfId="0" applyNumberFormat="1" applyFont="1"/>
    <xf numFmtId="164" fontId="33" fillId="0" borderId="12" xfId="29" applyNumberFormat="1" applyFont="1" applyFill="1" applyBorder="1" applyAlignment="1">
      <alignment horizontal="left" vertical="center"/>
    </xf>
    <xf numFmtId="164" fontId="76" fillId="0" borderId="12" xfId="29" applyNumberFormat="1" applyFont="1" applyBorder="1" applyAlignment="1">
      <alignment vertical="center"/>
    </xf>
    <xf numFmtId="164" fontId="76" fillId="0" borderId="16" xfId="29" applyNumberFormat="1" applyFont="1" applyBorder="1" applyAlignment="1">
      <alignment vertical="center"/>
    </xf>
    <xf numFmtId="14" fontId="69" fillId="0" borderId="16" xfId="29" applyNumberFormat="1" applyFont="1" applyBorder="1" applyAlignment="1">
      <alignment horizontal="center" vertical="center"/>
    </xf>
    <xf numFmtId="164" fontId="69" fillId="0" borderId="16" xfId="76" quotePrefix="1" applyNumberFormat="1" applyFont="1" applyFill="1" applyBorder="1" applyAlignment="1">
      <alignment horizontal="center" vertical="center"/>
    </xf>
    <xf numFmtId="0" fontId="26" fillId="0" borderId="0" xfId="53" applyFont="1" applyAlignment="1">
      <alignment vertical="center"/>
    </xf>
    <xf numFmtId="0" fontId="34" fillId="0" borderId="0" xfId="53" applyFont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horizontal="center" vertical="center"/>
    </xf>
    <xf numFmtId="49" fontId="34" fillId="0" borderId="16" xfId="90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54" applyNumberFormat="1" applyFont="1" applyFill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0" fontId="38" fillId="0" borderId="0" xfId="54" applyFont="1" applyAlignment="1">
      <alignment horizontal="left" vertical="center"/>
    </xf>
    <xf numFmtId="164" fontId="38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17" xfId="52" applyFont="1" applyBorder="1" applyAlignment="1">
      <alignment horizontal="center" vertical="center" wrapText="1" shrinkToFit="1"/>
    </xf>
    <xf numFmtId="0" fontId="34" fillId="0" borderId="20" xfId="100" applyFont="1" applyBorder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center"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78" fillId="0" borderId="0" xfId="52" applyFont="1" applyAlignment="1">
      <alignment vertical="center"/>
    </xf>
    <xf numFmtId="14" fontId="78" fillId="0" borderId="16" xfId="54" applyNumberFormat="1" applyFont="1" applyFill="1" applyBorder="1" applyAlignment="1">
      <alignment horizontal="center" vertical="center"/>
    </xf>
    <xf numFmtId="0" fontId="78" fillId="0" borderId="16" xfId="52" applyFont="1" applyBorder="1" applyAlignment="1">
      <alignment horizontal="left" vertical="center"/>
    </xf>
    <xf numFmtId="0" fontId="78" fillId="0" borderId="16" xfId="52" quotePrefix="1" applyFont="1" applyBorder="1" applyAlignment="1">
      <alignment horizontal="center" vertical="center"/>
    </xf>
    <xf numFmtId="0" fontId="78" fillId="0" borderId="16" xfId="52" applyFont="1" applyBorder="1" applyAlignment="1">
      <alignment vertical="center"/>
    </xf>
    <xf numFmtId="164" fontId="78" fillId="0" borderId="16" xfId="29" applyNumberFormat="1" applyFont="1" applyBorder="1" applyAlignment="1">
      <alignment vertical="center"/>
    </xf>
    <xf numFmtId="0" fontId="34" fillId="0" borderId="16" xfId="52" quotePrefix="1" applyFont="1" applyBorder="1" applyAlignment="1">
      <alignment vertical="center"/>
    </xf>
    <xf numFmtId="0" fontId="34" fillId="0" borderId="16" xfId="52" applyFont="1" applyBorder="1" applyAlignment="1">
      <alignment horizontal="center"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49" fillId="0" borderId="0" xfId="52" applyFont="1" applyAlignment="1">
      <alignment vertical="center"/>
    </xf>
    <xf numFmtId="0" fontId="49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14" fontId="79" fillId="0" borderId="16" xfId="90" applyNumberFormat="1" applyFont="1" applyFill="1" applyBorder="1" applyAlignment="1">
      <alignment horizontal="center" vertical="center"/>
    </xf>
    <xf numFmtId="14" fontId="79" fillId="0" borderId="21" xfId="90" applyNumberFormat="1" applyFont="1" applyFill="1" applyBorder="1" applyAlignment="1">
      <alignment horizontal="center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54" quotePrefix="1" applyNumberFormat="1" applyFont="1" applyFill="1" applyBorder="1" applyAlignment="1">
      <alignment horizontal="center" vertical="center"/>
    </xf>
    <xf numFmtId="49" fontId="79" fillId="0" borderId="16" xfId="90" applyNumberFormat="1" applyFont="1" applyFill="1" applyBorder="1" applyAlignment="1">
      <alignment horizontal="left" vertical="center"/>
    </xf>
    <xf numFmtId="164" fontId="79" fillId="0" borderId="16" xfId="29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54" applyNumberFormat="1" applyFont="1" applyFill="1" applyBorder="1" applyAlignment="1">
      <alignment horizontal="center" vertical="center"/>
    </xf>
    <xf numFmtId="0" fontId="79" fillId="0" borderId="16" xfId="54" quotePrefix="1" applyNumberFormat="1" applyFont="1" applyFill="1" applyBorder="1" applyAlignment="1">
      <alignment horizontal="center" vertical="center"/>
    </xf>
    <xf numFmtId="1" fontId="79" fillId="0" borderId="16" xfId="54" applyNumberFormat="1" applyFont="1" applyFill="1" applyBorder="1" applyAlignment="1">
      <alignment horizontal="center" vertical="center"/>
    </xf>
    <xf numFmtId="14" fontId="69" fillId="0" borderId="21" xfId="29" applyNumberFormat="1" applyFont="1" applyBorder="1" applyAlignment="1">
      <alignment horizontal="center" vertical="center"/>
    </xf>
    <xf numFmtId="164" fontId="69" fillId="0" borderId="16" xfId="29" applyNumberFormat="1" applyFont="1" applyFill="1" applyBorder="1" applyAlignment="1">
      <alignment horizontal="left" vertical="center" wrapText="1"/>
    </xf>
    <xf numFmtId="164" fontId="69" fillId="0" borderId="16" xfId="0" quotePrefix="1" applyNumberFormat="1" applyFont="1" applyFill="1" applyBorder="1" applyAlignment="1">
      <alignment horizontal="center" vertical="center"/>
    </xf>
    <xf numFmtId="0" fontId="79" fillId="0" borderId="16" xfId="77" applyNumberFormat="1" applyFont="1" applyFill="1" applyBorder="1" applyAlignment="1">
      <alignment horizontal="center" vertical="center"/>
    </xf>
    <xf numFmtId="164" fontId="79" fillId="0" borderId="16" xfId="90" quotePrefix="1" applyNumberFormat="1" applyFont="1" applyFill="1" applyBorder="1" applyAlignment="1">
      <alignment horizontal="center" vertical="center"/>
    </xf>
    <xf numFmtId="0" fontId="79" fillId="0" borderId="0" xfId="76" quotePrefix="1" applyNumberFormat="1" applyFont="1" applyFill="1" applyBorder="1" applyAlignment="1">
      <alignment horizontal="center" vertical="center"/>
    </xf>
    <xf numFmtId="0" fontId="80" fillId="0" borderId="0" xfId="0" applyFont="1" applyFill="1" applyAlignment="1"/>
    <xf numFmtId="0" fontId="80" fillId="0" borderId="0" xfId="0" applyFont="1" applyFill="1"/>
    <xf numFmtId="164" fontId="75" fillId="0" borderId="0" xfId="29" applyNumberFormat="1" applyFont="1"/>
    <xf numFmtId="164" fontId="56" fillId="0" borderId="0" xfId="29" applyNumberFormat="1" applyFont="1"/>
    <xf numFmtId="14" fontId="69" fillId="0" borderId="16" xfId="54" applyNumberFormat="1" applyFont="1" applyFill="1" applyBorder="1" applyAlignment="1">
      <alignment horizontal="center" vertical="center"/>
    </xf>
    <xf numFmtId="0" fontId="69" fillId="0" borderId="0" xfId="90" quotePrefix="1" applyNumberFormat="1" applyFont="1" applyFill="1" applyBorder="1" applyAlignment="1">
      <alignment horizontal="center" vertical="center"/>
    </xf>
    <xf numFmtId="49" fontId="81" fillId="0" borderId="16" xfId="90" applyNumberFormat="1" applyFont="1" applyFill="1" applyBorder="1" applyAlignment="1">
      <alignment horizontal="left" vertical="center"/>
    </xf>
    <xf numFmtId="164" fontId="81" fillId="0" borderId="16" xfId="29" applyNumberFormat="1" applyFont="1" applyFill="1" applyBorder="1" applyAlignment="1">
      <alignment horizontal="left" vertical="center"/>
    </xf>
    <xf numFmtId="164" fontId="81" fillId="0" borderId="16" xfId="0" applyNumberFormat="1" applyFont="1" applyFill="1" applyBorder="1" applyAlignment="1">
      <alignment vertical="center"/>
    </xf>
    <xf numFmtId="1" fontId="81" fillId="0" borderId="16" xfId="54" quotePrefix="1" applyNumberFormat="1" applyFont="1" applyFill="1" applyBorder="1" applyAlignment="1">
      <alignment horizontal="center" vertical="center"/>
    </xf>
    <xf numFmtId="0" fontId="81" fillId="0" borderId="16" xfId="77" applyNumberFormat="1" applyFont="1" applyFill="1" applyBorder="1" applyAlignment="1">
      <alignment horizontal="center" vertical="center"/>
    </xf>
    <xf numFmtId="14" fontId="81" fillId="0" borderId="16" xfId="90" applyNumberFormat="1" applyFont="1" applyFill="1" applyBorder="1" applyAlignment="1">
      <alignment horizontal="center" vertical="center"/>
    </xf>
    <xf numFmtId="164" fontId="81" fillId="0" borderId="16" xfId="90" applyNumberFormat="1" applyFont="1" applyFill="1" applyBorder="1" applyAlignment="1">
      <alignment horizontal="left" vertical="center"/>
    </xf>
    <xf numFmtId="164" fontId="81" fillId="0" borderId="16" xfId="90" quotePrefix="1" applyNumberFormat="1" applyFont="1" applyFill="1" applyBorder="1" applyAlignment="1">
      <alignment horizontal="center" vertical="center"/>
    </xf>
    <xf numFmtId="0" fontId="81" fillId="0" borderId="0" xfId="76" quotePrefix="1" applyNumberFormat="1" applyFont="1" applyFill="1" applyBorder="1" applyAlignment="1">
      <alignment horizontal="center" vertical="center"/>
    </xf>
    <xf numFmtId="0" fontId="82" fillId="0" borderId="0" xfId="0" applyFont="1" applyFill="1" applyAlignment="1"/>
    <xf numFmtId="0" fontId="82" fillId="0" borderId="0" xfId="0" applyFont="1" applyFill="1"/>
    <xf numFmtId="164" fontId="81" fillId="0" borderId="16" xfId="29" applyNumberFormat="1" applyFont="1" applyFill="1" applyBorder="1" applyAlignment="1">
      <alignment vertical="center"/>
    </xf>
    <xf numFmtId="164" fontId="81" fillId="0" borderId="16" xfId="54" applyNumberFormat="1" applyFont="1" applyFill="1" applyBorder="1" applyAlignment="1">
      <alignment horizontal="left" vertical="center"/>
    </xf>
    <xf numFmtId="164" fontId="81" fillId="0" borderId="16" xfId="76" applyNumberFormat="1" applyFont="1" applyFill="1" applyBorder="1" applyAlignment="1">
      <alignment horizontal="left" vertical="center"/>
    </xf>
    <xf numFmtId="164" fontId="81" fillId="0" borderId="16" xfId="29" applyNumberFormat="1" applyFont="1" applyFill="1" applyBorder="1" applyAlignment="1">
      <alignment horizontal="left" vertical="center" wrapText="1"/>
    </xf>
    <xf numFmtId="0" fontId="81" fillId="0" borderId="16" xfId="0" applyFont="1" applyBorder="1" applyAlignment="1">
      <alignment vertical="center"/>
    </xf>
    <xf numFmtId="164" fontId="33" fillId="0" borderId="0" xfId="97" applyNumberFormat="1" applyFont="1" applyAlignment="1">
      <alignment vertical="center"/>
    </xf>
    <xf numFmtId="43" fontId="81" fillId="0" borderId="16" xfId="29" applyFont="1" applyFill="1" applyBorder="1" applyAlignment="1">
      <alignment horizontal="left" vertical="center"/>
    </xf>
    <xf numFmtId="164" fontId="73" fillId="0" borderId="16" xfId="76" applyNumberFormat="1" applyFont="1" applyFill="1" applyBorder="1" applyAlignment="1">
      <alignment horizontal="left" vertical="center"/>
    </xf>
    <xf numFmtId="0" fontId="73" fillId="0" borderId="16" xfId="76" quotePrefix="1" applyNumberFormat="1" applyFont="1" applyFill="1" applyBorder="1" applyAlignment="1">
      <alignment horizontal="center" vertical="center"/>
    </xf>
    <xf numFmtId="164" fontId="33" fillId="0" borderId="23" xfId="29" applyNumberFormat="1" applyFont="1" applyFill="1" applyBorder="1" applyAlignment="1">
      <alignment horizontal="left" vertical="center"/>
    </xf>
    <xf numFmtId="14" fontId="81" fillId="0" borderId="16" xfId="54" applyNumberFormat="1" applyFont="1" applyFill="1" applyBorder="1" applyAlignment="1">
      <alignment horizontal="center" vertical="center"/>
    </xf>
    <xf numFmtId="164" fontId="81" fillId="0" borderId="16" xfId="54" quotePrefix="1" applyNumberFormat="1" applyFont="1" applyFill="1" applyBorder="1" applyAlignment="1">
      <alignment horizontal="center" vertical="center"/>
    </xf>
    <xf numFmtId="14" fontId="81" fillId="0" borderId="16" xfId="29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76" applyNumberFormat="1" applyFont="1" applyFill="1" applyBorder="1" applyAlignment="1">
      <alignment horizontal="left" vertical="center"/>
    </xf>
    <xf numFmtId="0" fontId="33" fillId="0" borderId="16" xfId="93" quotePrefix="1" applyFont="1" applyBorder="1" applyAlignment="1">
      <alignment vertical="center"/>
    </xf>
    <xf numFmtId="164" fontId="79" fillId="0" borderId="21" xfId="54" applyNumberFormat="1" applyFont="1" applyFill="1" applyBorder="1" applyAlignment="1">
      <alignment horizontal="left" vertical="center"/>
    </xf>
    <xf numFmtId="164" fontId="73" fillId="0" borderId="16" xfId="54" applyNumberFormat="1" applyFont="1" applyFill="1" applyBorder="1" applyAlignment="1">
      <alignment horizontal="left" vertical="center"/>
    </xf>
    <xf numFmtId="164" fontId="73" fillId="0" borderId="16" xfId="29" applyNumberFormat="1" applyFont="1" applyFill="1" applyBorder="1" applyAlignment="1">
      <alignment horizontal="center" vertical="center"/>
    </xf>
    <xf numFmtId="173" fontId="73" fillId="0" borderId="21" xfId="29" applyNumberFormat="1" applyFont="1" applyBorder="1" applyAlignment="1">
      <alignment horizontal="center" vertical="center"/>
    </xf>
    <xf numFmtId="164" fontId="73" fillId="0" borderId="16" xfId="29" quotePrefix="1" applyNumberFormat="1" applyFont="1" applyFill="1" applyBorder="1" applyAlignment="1">
      <alignment horizontal="left" vertical="center"/>
    </xf>
    <xf numFmtId="43" fontId="56" fillId="0" borderId="0" xfId="0" applyNumberFormat="1" applyFont="1" applyFill="1"/>
    <xf numFmtId="164" fontId="73" fillId="0" borderId="39" xfId="29" applyNumberFormat="1" applyFont="1" applyFill="1" applyBorder="1" applyAlignment="1">
      <alignment horizontal="center" vertical="center"/>
    </xf>
    <xf numFmtId="164" fontId="69" fillId="0" borderId="16" xfId="29" applyNumberFormat="1" applyFont="1" applyFill="1" applyBorder="1" applyAlignment="1">
      <alignment vertical="center"/>
    </xf>
    <xf numFmtId="164" fontId="3" fillId="0" borderId="0" xfId="29" applyNumberFormat="1" applyFont="1"/>
    <xf numFmtId="0" fontId="3" fillId="0" borderId="0" xfId="0" applyFont="1"/>
    <xf numFmtId="14" fontId="34" fillId="0" borderId="16" xfId="29" applyNumberFormat="1" applyFont="1" applyBorder="1" applyAlignment="1">
      <alignment horizontal="center" vertical="center"/>
    </xf>
    <xf numFmtId="3" fontId="73" fillId="0" borderId="16" xfId="46" applyFont="1" applyBorder="1" applyAlignment="1">
      <alignment vertical="center"/>
    </xf>
    <xf numFmtId="164" fontId="79" fillId="0" borderId="21" xfId="90" applyNumberFormat="1" applyFont="1" applyFill="1" applyBorder="1" applyAlignment="1">
      <alignment horizontal="left" vertical="center"/>
    </xf>
    <xf numFmtId="0" fontId="83" fillId="0" borderId="16" xfId="77" applyNumberFormat="1" applyFont="1" applyFill="1" applyBorder="1" applyAlignment="1">
      <alignment horizontal="center" vertical="center"/>
    </xf>
    <xf numFmtId="14" fontId="83" fillId="0" borderId="16" xfId="90" applyNumberFormat="1" applyFont="1" applyFill="1" applyBorder="1" applyAlignment="1">
      <alignment horizontal="center" vertical="center"/>
    </xf>
    <xf numFmtId="14" fontId="83" fillId="0" borderId="16" xfId="76" applyNumberFormat="1" applyFont="1" applyFill="1" applyBorder="1" applyAlignment="1">
      <alignment horizontal="center" vertical="center"/>
    </xf>
    <xf numFmtId="164" fontId="83" fillId="0" borderId="16" xfId="90" applyNumberFormat="1" applyFont="1" applyFill="1" applyBorder="1" applyAlignment="1">
      <alignment horizontal="left" vertical="center"/>
    </xf>
    <xf numFmtId="164" fontId="83" fillId="0" borderId="16" xfId="54" quotePrefix="1" applyNumberFormat="1" applyFont="1" applyFill="1" applyBorder="1" applyAlignment="1">
      <alignment horizontal="center" vertical="center"/>
    </xf>
    <xf numFmtId="49" fontId="83" fillId="0" borderId="16" xfId="90" applyNumberFormat="1" applyFont="1" applyFill="1" applyBorder="1" applyAlignment="1">
      <alignment horizontal="left" vertical="center"/>
    </xf>
    <xf numFmtId="164" fontId="83" fillId="0" borderId="16" xfId="29" applyNumberFormat="1" applyFont="1" applyFill="1" applyBorder="1" applyAlignment="1">
      <alignment horizontal="left" vertical="center"/>
    </xf>
    <xf numFmtId="164" fontId="83" fillId="0" borderId="16" xfId="0" applyNumberFormat="1" applyFont="1" applyFill="1" applyBorder="1" applyAlignment="1">
      <alignment vertical="center"/>
    </xf>
    <xf numFmtId="1" fontId="83" fillId="0" borderId="16" xfId="54" quotePrefix="1" applyNumberFormat="1" applyFont="1" applyFill="1" applyBorder="1" applyAlignment="1">
      <alignment horizontal="center" vertical="center"/>
    </xf>
    <xf numFmtId="0" fontId="83" fillId="0" borderId="0" xfId="76" quotePrefix="1" applyNumberFormat="1" applyFont="1" applyFill="1" applyBorder="1" applyAlignment="1">
      <alignment horizontal="center" vertical="center"/>
    </xf>
    <xf numFmtId="0" fontId="84" fillId="0" borderId="0" xfId="0" applyFont="1" applyFill="1" applyAlignment="1"/>
    <xf numFmtId="0" fontId="84" fillId="0" borderId="0" xfId="0" applyFont="1" applyFill="1"/>
    <xf numFmtId="164" fontId="83" fillId="0" borderId="16" xfId="76" applyNumberFormat="1" applyFont="1" applyFill="1" applyBorder="1" applyAlignment="1">
      <alignment horizontal="left" vertical="center"/>
    </xf>
    <xf numFmtId="164" fontId="83" fillId="0" borderId="16" xfId="54" applyNumberFormat="1" applyFont="1" applyFill="1" applyBorder="1" applyAlignment="1">
      <alignment horizontal="left" vertical="center"/>
    </xf>
    <xf numFmtId="164" fontId="83" fillId="0" borderId="16" xfId="90" quotePrefix="1" applyNumberFormat="1" applyFont="1" applyFill="1" applyBorder="1" applyAlignment="1">
      <alignment horizontal="center" vertical="center"/>
    </xf>
    <xf numFmtId="164" fontId="26" fillId="0" borderId="25" xfId="74" quotePrefix="1" applyNumberFormat="1" applyFont="1" applyBorder="1" applyAlignment="1">
      <alignment horizontal="right"/>
    </xf>
    <xf numFmtId="164" fontId="35" fillId="0" borderId="25" xfId="74" applyNumberFormat="1" applyFont="1" applyBorder="1" applyAlignment="1">
      <alignment horizontal="center"/>
    </xf>
    <xf numFmtId="164" fontId="67" fillId="0" borderId="23" xfId="29" applyNumberFormat="1" applyFont="1" applyBorder="1"/>
    <xf numFmtId="164" fontId="26" fillId="0" borderId="23" xfId="74" quotePrefix="1" applyNumberFormat="1" applyFont="1" applyBorder="1" applyAlignment="1">
      <alignment horizontal="right"/>
    </xf>
    <xf numFmtId="164" fontId="35" fillId="0" borderId="23" xfId="74" applyNumberFormat="1" applyFont="1" applyBorder="1" applyAlignment="1">
      <alignment horizontal="center"/>
    </xf>
    <xf numFmtId="164" fontId="23" fillId="0" borderId="10" xfId="74" applyNumberFormat="1" applyFont="1" applyBorder="1" applyAlignment="1">
      <alignment horizontal="left"/>
    </xf>
    <xf numFmtId="0" fontId="69" fillId="32" borderId="16" xfId="77" applyNumberFormat="1" applyFont="1" applyFill="1" applyBorder="1" applyAlignment="1">
      <alignment horizontal="center" vertical="center"/>
    </xf>
    <xf numFmtId="14" fontId="69" fillId="32" borderId="16" xfId="90" applyNumberFormat="1" applyFont="1" applyFill="1" applyBorder="1" applyAlignment="1">
      <alignment horizontal="center" vertical="center"/>
    </xf>
    <xf numFmtId="14" fontId="69" fillId="32" borderId="16" xfId="76" applyNumberFormat="1" applyFont="1" applyFill="1" applyBorder="1" applyAlignment="1">
      <alignment horizontal="center" vertical="center"/>
    </xf>
    <xf numFmtId="164" fontId="69" fillId="32" borderId="16" xfId="90" applyNumberFormat="1" applyFont="1" applyFill="1" applyBorder="1" applyAlignment="1">
      <alignment horizontal="left" vertical="center"/>
    </xf>
    <xf numFmtId="164" fontId="69" fillId="32" borderId="16" xfId="90" quotePrefix="1" applyNumberFormat="1" applyFont="1" applyFill="1" applyBorder="1" applyAlignment="1">
      <alignment horizontal="center" vertical="center"/>
    </xf>
    <xf numFmtId="49" fontId="69" fillId="32" borderId="16" xfId="90" applyNumberFormat="1" applyFont="1" applyFill="1" applyBorder="1" applyAlignment="1">
      <alignment horizontal="left" vertical="center"/>
    </xf>
    <xf numFmtId="164" fontId="69" fillId="32" borderId="16" xfId="29" applyNumberFormat="1" applyFont="1" applyFill="1" applyBorder="1" applyAlignment="1">
      <alignment horizontal="left" vertical="center"/>
    </xf>
    <xf numFmtId="164" fontId="69" fillId="32" borderId="16" xfId="0" applyNumberFormat="1" applyFont="1" applyFill="1" applyBorder="1" applyAlignment="1">
      <alignment vertical="center"/>
    </xf>
    <xf numFmtId="1" fontId="69" fillId="32" borderId="16" xfId="54" quotePrefix="1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8" fillId="0" borderId="0" xfId="94" applyNumberFormat="1" applyFont="1" applyAlignment="1">
      <alignment vertical="center"/>
    </xf>
    <xf numFmtId="164" fontId="38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5" fillId="0" borderId="0" xfId="93" applyFont="1" applyAlignment="1">
      <alignment vertical="center"/>
    </xf>
    <xf numFmtId="0" fontId="38" fillId="0" borderId="0" xfId="93" applyFont="1" applyAlignment="1">
      <alignment vertical="center" wrapText="1"/>
    </xf>
    <xf numFmtId="0" fontId="38" fillId="0" borderId="2" xfId="93" applyFont="1" applyBorder="1" applyAlignment="1">
      <alignment horizontal="center" vertical="center" wrapText="1"/>
    </xf>
    <xf numFmtId="0" fontId="87" fillId="0" borderId="2" xfId="93" applyFont="1" applyBorder="1" applyAlignment="1">
      <alignment horizontal="center" vertical="center"/>
    </xf>
    <xf numFmtId="164" fontId="87" fillId="0" borderId="2" xfId="94" applyNumberFormat="1" applyFont="1" applyBorder="1" applyAlignment="1">
      <alignment horizontal="center" vertical="center"/>
    </xf>
    <xf numFmtId="0" fontId="87" fillId="0" borderId="0" xfId="93" applyFont="1" applyAlignment="1">
      <alignment vertical="center"/>
    </xf>
    <xf numFmtId="0" fontId="34" fillId="0" borderId="16" xfId="93" applyFont="1" applyBorder="1" applyAlignment="1">
      <alignment horizontal="center"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3" fontId="34" fillId="0" borderId="16" xfId="46" applyFont="1" applyFill="1" applyBorder="1" applyAlignment="1">
      <alignment vertical="center"/>
    </xf>
    <xf numFmtId="0" fontId="34" fillId="0" borderId="16" xfId="93" applyFont="1" applyBorder="1" applyAlignment="1">
      <alignment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16" xfId="46" applyNumberFormat="1" applyFont="1" applyFill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vertical="center"/>
    </xf>
    <xf numFmtId="43" fontId="34" fillId="0" borderId="16" xfId="29" applyFont="1" applyBorder="1" applyAlignment="1">
      <alignment vertical="center"/>
    </xf>
    <xf numFmtId="43" fontId="34" fillId="0" borderId="0" xfId="93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0" fontId="87" fillId="0" borderId="16" xfId="93" applyFont="1" applyBorder="1" applyAlignment="1">
      <alignment horizontal="center" vertical="center"/>
    </xf>
    <xf numFmtId="0" fontId="87" fillId="0" borderId="16" xfId="93" applyFont="1" applyBorder="1" applyAlignment="1">
      <alignment horizontal="left" vertical="center"/>
    </xf>
    <xf numFmtId="164" fontId="87" fillId="0" borderId="16" xfId="29" applyNumberFormat="1" applyFont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0" fontId="34" fillId="0" borderId="39" xfId="93" applyFont="1" applyBorder="1" applyAlignment="1">
      <alignment vertical="center"/>
    </xf>
    <xf numFmtId="164" fontId="34" fillId="0" borderId="39" xfId="29" applyNumberFormat="1" applyFont="1" applyFill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8" fillId="0" borderId="2" xfId="93" applyFont="1" applyBorder="1" applyAlignment="1">
      <alignment horizontal="center" vertical="center"/>
    </xf>
    <xf numFmtId="0" fontId="38" fillId="0" borderId="2" xfId="93" applyFont="1" applyBorder="1" applyAlignment="1">
      <alignment vertical="center"/>
    </xf>
    <xf numFmtId="164" fontId="38" fillId="0" borderId="2" xfId="29" applyNumberFormat="1" applyFont="1" applyBorder="1" applyAlignment="1">
      <alignment vertical="center"/>
    </xf>
    <xf numFmtId="0" fontId="38" fillId="0" borderId="0" xfId="93" applyFont="1" applyAlignment="1">
      <alignment vertical="center"/>
    </xf>
    <xf numFmtId="0" fontId="34" fillId="0" borderId="0" xfId="93" applyFont="1" applyBorder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43" fontId="34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60" fillId="0" borderId="0" xfId="94" applyNumberFormat="1" applyFont="1" applyAlignment="1">
      <alignment horizontal="center" vertical="center"/>
    </xf>
    <xf numFmtId="0" fontId="38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5" fillId="0" borderId="0" xfId="94" applyNumberFormat="1" applyFont="1" applyBorder="1" applyAlignment="1">
      <alignment vertical="center"/>
    </xf>
    <xf numFmtId="0" fontId="60" fillId="0" borderId="0" xfId="93" applyFont="1" applyAlignment="1">
      <alignment vertical="center"/>
    </xf>
    <xf numFmtId="0" fontId="60" fillId="0" borderId="0" xfId="93" applyFont="1" applyAlignment="1">
      <alignment horizontal="center" vertical="center"/>
    </xf>
    <xf numFmtId="164" fontId="88" fillId="0" borderId="0" xfId="94" applyNumberFormat="1" applyFont="1" applyBorder="1" applyAlignment="1">
      <alignment vertical="center"/>
    </xf>
    <xf numFmtId="164" fontId="60" fillId="0" borderId="0" xfId="94" applyNumberFormat="1" applyFont="1" applyAlignment="1">
      <alignment vertical="center"/>
    </xf>
    <xf numFmtId="17" fontId="34" fillId="0" borderId="16" xfId="46" quotePrefix="1" applyNumberFormat="1" applyFont="1" applyFill="1" applyBorder="1" applyAlignment="1">
      <alignment horizontal="center" vertical="center"/>
    </xf>
    <xf numFmtId="0" fontId="89" fillId="0" borderId="0" xfId="93" applyFont="1" applyAlignment="1">
      <alignment vertical="center"/>
    </xf>
    <xf numFmtId="0" fontId="90" fillId="0" borderId="0" xfId="93" applyFont="1" applyAlignment="1">
      <alignment vertical="center"/>
    </xf>
    <xf numFmtId="0" fontId="91" fillId="0" borderId="0" xfId="93" applyFont="1" applyAlignment="1">
      <alignment vertical="center" wrapText="1"/>
    </xf>
    <xf numFmtId="0" fontId="92" fillId="0" borderId="0" xfId="93" applyFont="1" applyAlignment="1">
      <alignment vertical="center"/>
    </xf>
    <xf numFmtId="0" fontId="33" fillId="0" borderId="16" xfId="0" applyFont="1" applyBorder="1" applyAlignment="1">
      <alignment horizontal="center" vertical="center"/>
    </xf>
    <xf numFmtId="0" fontId="73" fillId="0" borderId="16" xfId="0" applyFont="1" applyFill="1" applyBorder="1" applyAlignment="1">
      <alignment horizontal="center"/>
    </xf>
    <xf numFmtId="49" fontId="33" fillId="0" borderId="16" xfId="93" applyNumberFormat="1" applyFont="1" applyBorder="1" applyAlignment="1">
      <alignment horizontal="left" vertical="center" wrapText="1"/>
    </xf>
    <xf numFmtId="49" fontId="33" fillId="0" borderId="16" xfId="93" applyNumberFormat="1" applyFont="1" applyBorder="1" applyAlignment="1">
      <alignment horizontal="left" vertical="center"/>
    </xf>
    <xf numFmtId="164" fontId="33" fillId="0" borderId="16" xfId="0" quotePrefix="1" applyNumberFormat="1" applyFont="1" applyFill="1" applyBorder="1" applyAlignment="1">
      <alignment vertical="center"/>
    </xf>
    <xf numFmtId="43" fontId="26" fillId="0" borderId="0" xfId="29" applyFont="1" applyAlignment="1">
      <alignment vertical="center"/>
    </xf>
    <xf numFmtId="43" fontId="34" fillId="0" borderId="0" xfId="29" applyFont="1" applyAlignment="1">
      <alignment vertical="center"/>
    </xf>
    <xf numFmtId="43" fontId="34" fillId="21" borderId="0" xfId="29" applyFont="1" applyFill="1" applyAlignment="1">
      <alignment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0" xfId="52" applyFont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77" fillId="0" borderId="22" xfId="58" applyFont="1" applyBorder="1" applyAlignment="1">
      <alignment horizontal="center" vertical="center"/>
    </xf>
    <xf numFmtId="0" fontId="38" fillId="21" borderId="2" xfId="53" applyFont="1" applyFill="1" applyBorder="1" applyAlignment="1">
      <alignment horizontal="center" vertical="center"/>
    </xf>
    <xf numFmtId="0" fontId="38" fillId="21" borderId="2" xfId="34" applyFont="1" applyBorder="1" applyAlignment="1">
      <alignment horizontal="center" vertical="center" wrapText="1"/>
    </xf>
    <xf numFmtId="0" fontId="38" fillId="21" borderId="5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4" fillId="0" borderId="0" xfId="52" applyFont="1" applyAlignment="1">
      <alignment horizontal="center" vertical="center"/>
    </xf>
    <xf numFmtId="0" fontId="34" fillId="0" borderId="22" xfId="52" applyFont="1" applyBorder="1" applyAlignment="1">
      <alignment horizontal="right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28" borderId="0" xfId="99" applyFont="1" applyFill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77" fillId="0" borderId="0" xfId="52" applyFont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65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 vertical="center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8" fillId="0" borderId="17" xfId="93" applyFont="1" applyBorder="1" applyAlignment="1">
      <alignment horizontal="center" vertical="center" wrapText="1"/>
    </xf>
    <xf numFmtId="0" fontId="38" fillId="0" borderId="18" xfId="93" applyFont="1" applyBorder="1" applyAlignment="1">
      <alignment horizontal="center" vertical="center" wrapText="1"/>
    </xf>
    <xf numFmtId="0" fontId="38" fillId="0" borderId="24" xfId="93" applyFont="1" applyBorder="1" applyAlignment="1">
      <alignment horizontal="center" vertical="center" wrapText="1"/>
    </xf>
    <xf numFmtId="0" fontId="38" fillId="0" borderId="20" xfId="93" applyFont="1" applyBorder="1" applyAlignment="1">
      <alignment horizontal="center" vertical="center" wrapText="1"/>
    </xf>
    <xf numFmtId="164" fontId="38" fillId="0" borderId="17" xfId="94" applyNumberFormat="1" applyFont="1" applyBorder="1" applyAlignment="1">
      <alignment horizontal="center" vertical="center" wrapText="1"/>
    </xf>
    <xf numFmtId="164" fontId="38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86" fillId="0" borderId="0" xfId="78" applyFont="1" applyAlignment="1">
      <alignment horizontal="center" vertical="center"/>
    </xf>
    <xf numFmtId="0" fontId="86" fillId="0" borderId="0" xfId="93" applyFont="1" applyAlignment="1">
      <alignment horizontal="center" vertical="center"/>
    </xf>
    <xf numFmtId="0" fontId="38" fillId="0" borderId="23" xfId="93" applyFont="1" applyBorder="1" applyAlignment="1">
      <alignment horizontal="center" vertical="center" wrapText="1"/>
    </xf>
    <xf numFmtId="0" fontId="38" fillId="0" borderId="5" xfId="93" applyFont="1" applyBorder="1" applyAlignment="1">
      <alignment horizontal="center" vertical="center" wrapText="1"/>
    </xf>
    <xf numFmtId="0" fontId="38" fillId="0" borderId="2" xfId="93" applyFont="1" applyBorder="1" applyAlignment="1">
      <alignment horizontal="center" vertical="center" wrapText="1"/>
    </xf>
  </cellXfs>
  <cellStyles count="10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 9" xfId="101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2 2 2" xfId="102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AN-LAC-LA\SO%20SACH\2017\NKSC%20-%2017%20-%20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  <sheetName val="CDPS"/>
      <sheetName val="SC-I"/>
      <sheetName val="SC-II"/>
      <sheetName val="SC-III"/>
      <sheetName val="SC-IV"/>
      <sheetName val="CTTK"/>
      <sheetName val="IN-TC"/>
      <sheetName val="111"/>
      <sheetName val="112"/>
      <sheetName val="331"/>
      <sheetName val="331-CT"/>
      <sheetName val="131"/>
      <sheetName val="131-CT"/>
      <sheetName val="131-CT (2)"/>
      <sheetName val="NXT"/>
      <sheetName val="152-CT"/>
      <sheetName val="341"/>
      <sheetName val="341-CT"/>
      <sheetName val="411"/>
      <sheetName val="IN-NX"/>
      <sheetName val="TK"/>
      <sheetName val="BTGT"/>
      <sheetName val="THEGT"/>
      <sheetName val="BK-NL"/>
      <sheetName val="SO-TS"/>
      <sheetName val="THE-TS"/>
    </sheetNames>
    <sheetDataSet>
      <sheetData sheetId="0">
        <row r="7">
          <cell r="X7" t="str">
            <v>1331</v>
          </cell>
          <cell r="Y7" t="str">
            <v>131</v>
          </cell>
        </row>
        <row r="9">
          <cell r="X9">
            <v>27</v>
          </cell>
        </row>
        <row r="10">
          <cell r="X10" t="str">
            <v/>
          </cell>
          <cell r="Y10" t="str">
            <v/>
          </cell>
        </row>
        <row r="11">
          <cell r="X11" t="str">
            <v>x</v>
          </cell>
          <cell r="Y11" t="str">
            <v/>
          </cell>
        </row>
        <row r="12">
          <cell r="X12" t="str">
            <v>x</v>
          </cell>
          <cell r="Y12" t="str">
            <v/>
          </cell>
        </row>
        <row r="13">
          <cell r="X13" t="str">
            <v>x</v>
          </cell>
          <cell r="Y13" t="str">
            <v/>
          </cell>
        </row>
        <row r="14">
          <cell r="X14" t="str">
            <v>x</v>
          </cell>
          <cell r="Y14" t="str">
            <v/>
          </cell>
        </row>
        <row r="15">
          <cell r="X15" t="str">
            <v>x</v>
          </cell>
          <cell r="Y15" t="str">
            <v/>
          </cell>
        </row>
        <row r="16">
          <cell r="X16" t="str">
            <v>x</v>
          </cell>
          <cell r="Y16" t="str">
            <v/>
          </cell>
        </row>
        <row r="17">
          <cell r="X17" t="str">
            <v>x</v>
          </cell>
          <cell r="Y17" t="str">
            <v/>
          </cell>
        </row>
        <row r="18">
          <cell r="X18" t="str">
            <v>x</v>
          </cell>
          <cell r="Y18" t="str">
            <v/>
          </cell>
        </row>
        <row r="19">
          <cell r="X19" t="str">
            <v/>
          </cell>
          <cell r="Y19" t="str">
            <v/>
          </cell>
        </row>
        <row r="20">
          <cell r="X20" t="str">
            <v/>
          </cell>
          <cell r="Y20" t="str">
            <v/>
          </cell>
        </row>
        <row r="21">
          <cell r="X21" t="str">
            <v/>
          </cell>
          <cell r="Y21" t="str">
            <v/>
          </cell>
        </row>
        <row r="22">
          <cell r="X22" t="str">
            <v/>
          </cell>
          <cell r="Y22" t="str">
            <v/>
          </cell>
        </row>
        <row r="23">
          <cell r="X23" t="str">
            <v/>
          </cell>
          <cell r="Y23" t="str">
            <v/>
          </cell>
        </row>
        <row r="24">
          <cell r="X24" t="str">
            <v/>
          </cell>
          <cell r="Y24" t="str">
            <v/>
          </cell>
        </row>
        <row r="25">
          <cell r="X25" t="str">
            <v/>
          </cell>
          <cell r="Y25" t="str">
            <v/>
          </cell>
        </row>
        <row r="26">
          <cell r="X26" t="str">
            <v/>
          </cell>
          <cell r="Y26" t="str">
            <v/>
          </cell>
        </row>
        <row r="27">
          <cell r="X27" t="str">
            <v/>
          </cell>
          <cell r="Y27" t="str">
            <v/>
          </cell>
        </row>
        <row r="28">
          <cell r="X28" t="str">
            <v/>
          </cell>
          <cell r="Y28" t="str">
            <v/>
          </cell>
        </row>
        <row r="29">
          <cell r="X29" t="str">
            <v/>
          </cell>
          <cell r="Y29" t="str">
            <v/>
          </cell>
        </row>
        <row r="30">
          <cell r="X30" t="str">
            <v/>
          </cell>
          <cell r="Y30" t="str">
            <v/>
          </cell>
        </row>
        <row r="31">
          <cell r="X31" t="str">
            <v/>
          </cell>
          <cell r="Y31" t="str">
            <v/>
          </cell>
        </row>
        <row r="32">
          <cell r="X32" t="str">
            <v/>
          </cell>
          <cell r="Y32" t="str">
            <v/>
          </cell>
        </row>
        <row r="33">
          <cell r="X33" t="str">
            <v/>
          </cell>
          <cell r="Y33" t="str">
            <v/>
          </cell>
        </row>
        <row r="34">
          <cell r="X34" t="str">
            <v/>
          </cell>
          <cell r="Y34" t="str">
            <v/>
          </cell>
        </row>
        <row r="35">
          <cell r="X35" t="str">
            <v/>
          </cell>
          <cell r="Y35" t="str">
            <v/>
          </cell>
        </row>
        <row r="36">
          <cell r="X36" t="str">
            <v/>
          </cell>
          <cell r="Y36" t="str">
            <v/>
          </cell>
        </row>
        <row r="37">
          <cell r="X37" t="str">
            <v/>
          </cell>
          <cell r="Y37" t="str">
            <v/>
          </cell>
        </row>
        <row r="38">
          <cell r="X38" t="str">
            <v/>
          </cell>
          <cell r="Y38" t="str">
            <v/>
          </cell>
        </row>
        <row r="39">
          <cell r="X39" t="str">
            <v/>
          </cell>
          <cell r="Y39" t="str">
            <v/>
          </cell>
        </row>
        <row r="40">
          <cell r="X40" t="str">
            <v/>
          </cell>
          <cell r="Y40" t="str">
            <v/>
          </cell>
        </row>
        <row r="41">
          <cell r="X41" t="str">
            <v/>
          </cell>
          <cell r="Y41" t="str">
            <v/>
          </cell>
        </row>
        <row r="42">
          <cell r="X42" t="str">
            <v/>
          </cell>
          <cell r="Y42" t="str">
            <v/>
          </cell>
        </row>
        <row r="43">
          <cell r="X43" t="str">
            <v/>
          </cell>
          <cell r="Y43" t="str">
            <v/>
          </cell>
        </row>
        <row r="44">
          <cell r="X44" t="str">
            <v/>
          </cell>
          <cell r="Y44" t="str">
            <v/>
          </cell>
        </row>
        <row r="45">
          <cell r="X45" t="str">
            <v/>
          </cell>
          <cell r="Y45" t="str">
            <v/>
          </cell>
        </row>
        <row r="46">
          <cell r="X46" t="str">
            <v/>
          </cell>
          <cell r="Y46" t="str">
            <v/>
          </cell>
        </row>
        <row r="47">
          <cell r="X47" t="str">
            <v/>
          </cell>
          <cell r="Y47" t="str">
            <v/>
          </cell>
        </row>
        <row r="48">
          <cell r="X48" t="str">
            <v/>
          </cell>
          <cell r="Y48" t="str">
            <v/>
          </cell>
        </row>
        <row r="49">
          <cell r="X49" t="str">
            <v/>
          </cell>
          <cell r="Y49" t="str">
            <v/>
          </cell>
        </row>
        <row r="50">
          <cell r="X50" t="str">
            <v/>
          </cell>
          <cell r="Y50" t="str">
            <v/>
          </cell>
        </row>
        <row r="51">
          <cell r="X51" t="str">
            <v/>
          </cell>
          <cell r="Y51" t="str">
            <v/>
          </cell>
        </row>
        <row r="52">
          <cell r="X52" t="str">
            <v/>
          </cell>
          <cell r="Y52" t="str">
            <v/>
          </cell>
        </row>
        <row r="53">
          <cell r="X53" t="str">
            <v/>
          </cell>
          <cell r="Y53" t="str">
            <v/>
          </cell>
        </row>
        <row r="54">
          <cell r="X54" t="str">
            <v/>
          </cell>
          <cell r="Y54" t="str">
            <v/>
          </cell>
        </row>
        <row r="55">
          <cell r="X55" t="str">
            <v/>
          </cell>
          <cell r="Y55" t="str">
            <v/>
          </cell>
        </row>
        <row r="56">
          <cell r="X56" t="str">
            <v/>
          </cell>
          <cell r="Y56" t="str">
            <v/>
          </cell>
        </row>
        <row r="57">
          <cell r="X57" t="str">
            <v/>
          </cell>
          <cell r="Y57" t="str">
            <v/>
          </cell>
        </row>
        <row r="58">
          <cell r="X58" t="str">
            <v/>
          </cell>
          <cell r="Y58" t="str">
            <v/>
          </cell>
        </row>
        <row r="59">
          <cell r="X59" t="str">
            <v/>
          </cell>
          <cell r="Y59" t="str">
            <v/>
          </cell>
        </row>
        <row r="60">
          <cell r="X60" t="str">
            <v/>
          </cell>
          <cell r="Y60" t="str">
            <v/>
          </cell>
        </row>
        <row r="61">
          <cell r="X61" t="str">
            <v/>
          </cell>
          <cell r="Y61" t="str">
            <v/>
          </cell>
        </row>
        <row r="62">
          <cell r="X62" t="str">
            <v/>
          </cell>
          <cell r="Y62" t="str">
            <v/>
          </cell>
        </row>
        <row r="63">
          <cell r="X63" t="str">
            <v/>
          </cell>
          <cell r="Y63" t="str">
            <v/>
          </cell>
        </row>
        <row r="64">
          <cell r="X64" t="str">
            <v/>
          </cell>
          <cell r="Y64" t="str">
            <v/>
          </cell>
        </row>
        <row r="65">
          <cell r="X65" t="str">
            <v/>
          </cell>
          <cell r="Y65" t="str">
            <v/>
          </cell>
        </row>
        <row r="66">
          <cell r="X66" t="str">
            <v/>
          </cell>
          <cell r="Y66" t="str">
            <v/>
          </cell>
        </row>
        <row r="67">
          <cell r="X67" t="str">
            <v/>
          </cell>
          <cell r="Y67" t="str">
            <v/>
          </cell>
        </row>
        <row r="68">
          <cell r="X68" t="str">
            <v/>
          </cell>
          <cell r="Y68" t="str">
            <v/>
          </cell>
        </row>
        <row r="69">
          <cell r="X69" t="str">
            <v/>
          </cell>
          <cell r="Y69" t="str">
            <v/>
          </cell>
        </row>
        <row r="70">
          <cell r="X70" t="str">
            <v/>
          </cell>
          <cell r="Y70" t="str">
            <v/>
          </cell>
        </row>
        <row r="71">
          <cell r="X71" t="str">
            <v/>
          </cell>
          <cell r="Y71" t="str">
            <v/>
          </cell>
        </row>
        <row r="72">
          <cell r="X72" t="str">
            <v/>
          </cell>
          <cell r="Y72" t="str">
            <v/>
          </cell>
        </row>
        <row r="73">
          <cell r="X73" t="str">
            <v/>
          </cell>
          <cell r="Y73" t="str">
            <v/>
          </cell>
        </row>
        <row r="74">
          <cell r="X74" t="str">
            <v/>
          </cell>
          <cell r="Y74" t="str">
            <v/>
          </cell>
        </row>
        <row r="75">
          <cell r="X75" t="str">
            <v/>
          </cell>
          <cell r="Y75" t="str">
            <v/>
          </cell>
        </row>
        <row r="76">
          <cell r="X76" t="str">
            <v/>
          </cell>
          <cell r="Y76" t="str">
            <v/>
          </cell>
        </row>
        <row r="77">
          <cell r="X77" t="str">
            <v/>
          </cell>
          <cell r="Y77" t="str">
            <v/>
          </cell>
        </row>
        <row r="78">
          <cell r="X78" t="str">
            <v/>
          </cell>
          <cell r="Y78" t="str">
            <v/>
          </cell>
        </row>
        <row r="79">
          <cell r="X79" t="str">
            <v/>
          </cell>
          <cell r="Y79" t="str">
            <v/>
          </cell>
        </row>
        <row r="80">
          <cell r="X80" t="str">
            <v/>
          </cell>
          <cell r="Y80" t="str">
            <v/>
          </cell>
        </row>
        <row r="81">
          <cell r="X81" t="str">
            <v/>
          </cell>
          <cell r="Y81" t="str">
            <v/>
          </cell>
        </row>
        <row r="82">
          <cell r="X82" t="str">
            <v/>
          </cell>
          <cell r="Y82" t="str">
            <v/>
          </cell>
        </row>
        <row r="83">
          <cell r="X83" t="str">
            <v/>
          </cell>
          <cell r="Y83" t="str">
            <v/>
          </cell>
        </row>
        <row r="84">
          <cell r="X84" t="str">
            <v/>
          </cell>
          <cell r="Y84" t="str">
            <v/>
          </cell>
        </row>
        <row r="85">
          <cell r="X85" t="str">
            <v/>
          </cell>
          <cell r="Y85" t="str">
            <v/>
          </cell>
        </row>
        <row r="86">
          <cell r="X86" t="str">
            <v/>
          </cell>
          <cell r="Y86" t="str">
            <v/>
          </cell>
        </row>
        <row r="87">
          <cell r="X87" t="str">
            <v/>
          </cell>
          <cell r="Y87" t="str">
            <v/>
          </cell>
        </row>
        <row r="88">
          <cell r="X88" t="str">
            <v/>
          </cell>
          <cell r="Y88" t="str">
            <v/>
          </cell>
        </row>
        <row r="89">
          <cell r="X89" t="str">
            <v/>
          </cell>
          <cell r="Y89" t="str">
            <v/>
          </cell>
        </row>
        <row r="90">
          <cell r="X90" t="str">
            <v/>
          </cell>
          <cell r="Y90" t="str">
            <v/>
          </cell>
        </row>
        <row r="91">
          <cell r="X91" t="str">
            <v/>
          </cell>
          <cell r="Y91" t="str">
            <v/>
          </cell>
        </row>
        <row r="92">
          <cell r="X92" t="str">
            <v/>
          </cell>
          <cell r="Y92" t="str">
            <v/>
          </cell>
        </row>
        <row r="93">
          <cell r="X93" t="str">
            <v/>
          </cell>
          <cell r="Y93" t="str">
            <v/>
          </cell>
        </row>
        <row r="94">
          <cell r="X94" t="str">
            <v/>
          </cell>
          <cell r="Y94" t="str">
            <v/>
          </cell>
        </row>
        <row r="95">
          <cell r="X95" t="str">
            <v/>
          </cell>
          <cell r="Y95" t="str">
            <v/>
          </cell>
        </row>
        <row r="96">
          <cell r="X96" t="str">
            <v/>
          </cell>
          <cell r="Y96" t="str">
            <v/>
          </cell>
        </row>
        <row r="97">
          <cell r="X97" t="str">
            <v/>
          </cell>
          <cell r="Y97" t="str">
            <v/>
          </cell>
        </row>
        <row r="98">
          <cell r="X98" t="str">
            <v/>
          </cell>
          <cell r="Y98" t="str">
            <v/>
          </cell>
        </row>
        <row r="99">
          <cell r="X99" t="str">
            <v/>
          </cell>
          <cell r="Y99" t="str">
            <v/>
          </cell>
        </row>
        <row r="100">
          <cell r="X100" t="str">
            <v/>
          </cell>
          <cell r="Y100" t="str">
            <v/>
          </cell>
        </row>
        <row r="101">
          <cell r="X101" t="str">
            <v/>
          </cell>
          <cell r="Y101" t="str">
            <v/>
          </cell>
        </row>
        <row r="102">
          <cell r="X102" t="str">
            <v/>
          </cell>
          <cell r="Y102" t="str">
            <v/>
          </cell>
        </row>
        <row r="103">
          <cell r="X103" t="str">
            <v/>
          </cell>
          <cell r="Y103" t="str">
            <v/>
          </cell>
        </row>
        <row r="104">
          <cell r="X104" t="str">
            <v/>
          </cell>
          <cell r="Y104" t="str">
            <v/>
          </cell>
        </row>
        <row r="105">
          <cell r="X105" t="str">
            <v/>
          </cell>
          <cell r="Y105" t="str">
            <v/>
          </cell>
        </row>
        <row r="106">
          <cell r="X106" t="str">
            <v/>
          </cell>
          <cell r="Y106" t="str">
            <v/>
          </cell>
        </row>
        <row r="107">
          <cell r="X107" t="str">
            <v/>
          </cell>
          <cell r="Y107" t="str">
            <v/>
          </cell>
        </row>
        <row r="108">
          <cell r="X108" t="str">
            <v/>
          </cell>
          <cell r="Y108" t="str">
            <v/>
          </cell>
        </row>
        <row r="109">
          <cell r="X109" t="str">
            <v/>
          </cell>
          <cell r="Y109" t="str">
            <v/>
          </cell>
        </row>
        <row r="110">
          <cell r="X110" t="str">
            <v/>
          </cell>
          <cell r="Y110" t="str">
            <v/>
          </cell>
        </row>
        <row r="111">
          <cell r="X111" t="str">
            <v/>
          </cell>
          <cell r="Y111" t="str">
            <v/>
          </cell>
        </row>
        <row r="112">
          <cell r="X112" t="str">
            <v/>
          </cell>
          <cell r="Y112" t="str">
            <v/>
          </cell>
        </row>
        <row r="113">
          <cell r="X113" t="str">
            <v/>
          </cell>
          <cell r="Y113" t="str">
            <v/>
          </cell>
        </row>
        <row r="114">
          <cell r="X114" t="str">
            <v/>
          </cell>
          <cell r="Y114" t="str">
            <v/>
          </cell>
        </row>
        <row r="115">
          <cell r="X115" t="str">
            <v/>
          </cell>
          <cell r="Y115" t="str">
            <v/>
          </cell>
        </row>
        <row r="116">
          <cell r="X116" t="str">
            <v/>
          </cell>
          <cell r="Y116" t="str">
            <v/>
          </cell>
        </row>
        <row r="117">
          <cell r="X117" t="str">
            <v/>
          </cell>
          <cell r="Y117" t="str">
            <v/>
          </cell>
        </row>
        <row r="118">
          <cell r="X118" t="str">
            <v/>
          </cell>
          <cell r="Y118" t="str">
            <v/>
          </cell>
        </row>
        <row r="119">
          <cell r="X119" t="str">
            <v/>
          </cell>
          <cell r="Y119" t="str">
            <v/>
          </cell>
        </row>
        <row r="120">
          <cell r="X120" t="str">
            <v/>
          </cell>
          <cell r="Y120" t="str">
            <v/>
          </cell>
        </row>
        <row r="121">
          <cell r="X121" t="str">
            <v/>
          </cell>
          <cell r="Y121" t="str">
            <v/>
          </cell>
        </row>
        <row r="122">
          <cell r="X122" t="str">
            <v/>
          </cell>
          <cell r="Y122" t="str">
            <v/>
          </cell>
        </row>
        <row r="123">
          <cell r="X123" t="str">
            <v/>
          </cell>
          <cell r="Y123" t="str">
            <v/>
          </cell>
        </row>
        <row r="124">
          <cell r="X124" t="str">
            <v/>
          </cell>
          <cell r="Y124" t="str">
            <v/>
          </cell>
        </row>
        <row r="125">
          <cell r="X125" t="str">
            <v/>
          </cell>
          <cell r="Y125" t="str">
            <v/>
          </cell>
        </row>
        <row r="126">
          <cell r="X126" t="str">
            <v/>
          </cell>
          <cell r="Y126" t="str">
            <v/>
          </cell>
        </row>
        <row r="127">
          <cell r="X127" t="str">
            <v/>
          </cell>
          <cell r="Y127" t="str">
            <v/>
          </cell>
        </row>
        <row r="128">
          <cell r="X128" t="str">
            <v/>
          </cell>
          <cell r="Y128" t="str">
            <v/>
          </cell>
        </row>
        <row r="129">
          <cell r="X129" t="str">
            <v/>
          </cell>
          <cell r="Y129" t="str">
            <v/>
          </cell>
        </row>
        <row r="130">
          <cell r="X130" t="str">
            <v/>
          </cell>
          <cell r="Y130" t="str">
            <v/>
          </cell>
        </row>
        <row r="131">
          <cell r="X131" t="str">
            <v/>
          </cell>
          <cell r="Y131" t="str">
            <v/>
          </cell>
        </row>
        <row r="132">
          <cell r="X132" t="str">
            <v/>
          </cell>
          <cell r="Y132" t="str">
            <v/>
          </cell>
        </row>
        <row r="133">
          <cell r="X133" t="str">
            <v/>
          </cell>
          <cell r="Y133" t="str">
            <v/>
          </cell>
        </row>
        <row r="134">
          <cell r="X134" t="str">
            <v/>
          </cell>
          <cell r="Y134" t="str">
            <v/>
          </cell>
        </row>
        <row r="135">
          <cell r="X135" t="str">
            <v/>
          </cell>
          <cell r="Y135" t="str">
            <v/>
          </cell>
        </row>
        <row r="136">
          <cell r="X136" t="str">
            <v/>
          </cell>
          <cell r="Y136" t="str">
            <v/>
          </cell>
        </row>
        <row r="137">
          <cell r="X137" t="str">
            <v/>
          </cell>
          <cell r="Y137" t="str">
            <v/>
          </cell>
        </row>
        <row r="138">
          <cell r="X138" t="str">
            <v/>
          </cell>
          <cell r="Y138" t="str">
            <v/>
          </cell>
        </row>
        <row r="139">
          <cell r="X139" t="str">
            <v/>
          </cell>
          <cell r="Y139" t="str">
            <v/>
          </cell>
        </row>
        <row r="140">
          <cell r="X140" t="str">
            <v/>
          </cell>
          <cell r="Y140" t="str">
            <v/>
          </cell>
        </row>
        <row r="141">
          <cell r="X141" t="str">
            <v/>
          </cell>
          <cell r="Y141" t="str">
            <v/>
          </cell>
        </row>
        <row r="142">
          <cell r="X142" t="str">
            <v/>
          </cell>
          <cell r="Y142" t="str">
            <v/>
          </cell>
        </row>
        <row r="143">
          <cell r="X143" t="str">
            <v/>
          </cell>
          <cell r="Y143" t="str">
            <v/>
          </cell>
        </row>
        <row r="144">
          <cell r="X144" t="str">
            <v/>
          </cell>
          <cell r="Y144" t="str">
            <v/>
          </cell>
        </row>
        <row r="145">
          <cell r="X145" t="str">
            <v/>
          </cell>
          <cell r="Y145" t="str">
            <v/>
          </cell>
        </row>
        <row r="146">
          <cell r="X146" t="str">
            <v/>
          </cell>
          <cell r="Y146" t="str">
            <v/>
          </cell>
        </row>
        <row r="147">
          <cell r="X147" t="str">
            <v/>
          </cell>
          <cell r="Y147" t="str">
            <v/>
          </cell>
        </row>
        <row r="148">
          <cell r="X148" t="str">
            <v/>
          </cell>
          <cell r="Y148" t="str">
            <v/>
          </cell>
        </row>
        <row r="149">
          <cell r="X149" t="str">
            <v/>
          </cell>
          <cell r="Y149" t="str">
            <v/>
          </cell>
        </row>
        <row r="150">
          <cell r="X150" t="str">
            <v/>
          </cell>
          <cell r="Y150" t="str">
            <v/>
          </cell>
        </row>
        <row r="151">
          <cell r="X151" t="str">
            <v/>
          </cell>
          <cell r="Y151" t="str">
            <v/>
          </cell>
        </row>
        <row r="152">
          <cell r="X152" t="str">
            <v/>
          </cell>
          <cell r="Y152" t="str">
            <v/>
          </cell>
        </row>
        <row r="153">
          <cell r="X153" t="str">
            <v/>
          </cell>
          <cell r="Y153" t="str">
            <v/>
          </cell>
        </row>
        <row r="154">
          <cell r="X154" t="str">
            <v/>
          </cell>
          <cell r="Y154" t="str">
            <v/>
          </cell>
        </row>
        <row r="155">
          <cell r="X155" t="str">
            <v/>
          </cell>
          <cell r="Y155" t="str">
            <v/>
          </cell>
        </row>
        <row r="156">
          <cell r="X156" t="str">
            <v/>
          </cell>
          <cell r="Y156" t="str">
            <v/>
          </cell>
        </row>
        <row r="157">
          <cell r="X157" t="str">
            <v/>
          </cell>
          <cell r="Y157" t="str">
            <v/>
          </cell>
        </row>
        <row r="158">
          <cell r="X158" t="str">
            <v/>
          </cell>
          <cell r="Y158" t="str">
            <v/>
          </cell>
        </row>
        <row r="159">
          <cell r="X159" t="str">
            <v/>
          </cell>
          <cell r="Y159" t="str">
            <v/>
          </cell>
        </row>
        <row r="160">
          <cell r="X160" t="str">
            <v/>
          </cell>
          <cell r="Y160" t="str">
            <v/>
          </cell>
        </row>
        <row r="161">
          <cell r="X161" t="str">
            <v/>
          </cell>
          <cell r="Y161" t="str">
            <v/>
          </cell>
        </row>
        <row r="162">
          <cell r="X162" t="str">
            <v/>
          </cell>
          <cell r="Y162" t="str">
            <v/>
          </cell>
        </row>
        <row r="163">
          <cell r="X163" t="str">
            <v/>
          </cell>
          <cell r="Y163" t="str">
            <v/>
          </cell>
        </row>
        <row r="164">
          <cell r="X164" t="str">
            <v/>
          </cell>
          <cell r="Y164" t="str">
            <v/>
          </cell>
        </row>
        <row r="165">
          <cell r="X165" t="str">
            <v/>
          </cell>
          <cell r="Y165" t="str">
            <v/>
          </cell>
        </row>
        <row r="166">
          <cell r="X166" t="str">
            <v/>
          </cell>
          <cell r="Y166" t="str">
            <v/>
          </cell>
        </row>
        <row r="167">
          <cell r="X167" t="str">
            <v/>
          </cell>
          <cell r="Y167" t="str">
            <v/>
          </cell>
        </row>
        <row r="168">
          <cell r="X168" t="str">
            <v/>
          </cell>
          <cell r="Y168" t="str">
            <v/>
          </cell>
        </row>
        <row r="169">
          <cell r="X169" t="str">
            <v/>
          </cell>
          <cell r="Y169" t="str">
            <v/>
          </cell>
        </row>
        <row r="170">
          <cell r="X170" t="str">
            <v/>
          </cell>
          <cell r="Y170" t="str">
            <v/>
          </cell>
        </row>
        <row r="171">
          <cell r="X171" t="str">
            <v/>
          </cell>
          <cell r="Y171" t="str">
            <v/>
          </cell>
        </row>
        <row r="172">
          <cell r="X172" t="str">
            <v/>
          </cell>
          <cell r="Y172" t="str">
            <v/>
          </cell>
        </row>
        <row r="173">
          <cell r="X173" t="str">
            <v/>
          </cell>
          <cell r="Y173" t="str">
            <v/>
          </cell>
        </row>
        <row r="174">
          <cell r="X174" t="str">
            <v/>
          </cell>
          <cell r="Y174" t="str">
            <v/>
          </cell>
        </row>
        <row r="175">
          <cell r="X175" t="str">
            <v/>
          </cell>
          <cell r="Y175" t="str">
            <v/>
          </cell>
        </row>
        <row r="176">
          <cell r="X176" t="str">
            <v/>
          </cell>
          <cell r="Y176" t="str">
            <v/>
          </cell>
        </row>
        <row r="177">
          <cell r="X177" t="str">
            <v/>
          </cell>
          <cell r="Y177" t="str">
            <v/>
          </cell>
        </row>
        <row r="178">
          <cell r="X178" t="str">
            <v/>
          </cell>
          <cell r="Y178" t="str">
            <v/>
          </cell>
        </row>
        <row r="179">
          <cell r="X179" t="str">
            <v/>
          </cell>
          <cell r="Y179" t="str">
            <v/>
          </cell>
        </row>
        <row r="180">
          <cell r="X180" t="str">
            <v/>
          </cell>
          <cell r="Y180" t="str">
            <v/>
          </cell>
        </row>
        <row r="181">
          <cell r="X181" t="str">
            <v/>
          </cell>
          <cell r="Y181" t="str">
            <v/>
          </cell>
        </row>
        <row r="182">
          <cell r="X182" t="str">
            <v/>
          </cell>
          <cell r="Y182" t="str">
            <v/>
          </cell>
        </row>
        <row r="183">
          <cell r="X183" t="str">
            <v/>
          </cell>
          <cell r="Y183" t="str">
            <v/>
          </cell>
        </row>
        <row r="184">
          <cell r="X184" t="str">
            <v/>
          </cell>
          <cell r="Y184" t="str">
            <v/>
          </cell>
        </row>
        <row r="185">
          <cell r="X185" t="str">
            <v/>
          </cell>
          <cell r="Y185" t="str">
            <v/>
          </cell>
        </row>
        <row r="186">
          <cell r="X186" t="str">
            <v/>
          </cell>
          <cell r="Y186" t="str">
            <v/>
          </cell>
        </row>
        <row r="187">
          <cell r="X187" t="str">
            <v/>
          </cell>
          <cell r="Y187" t="str">
            <v/>
          </cell>
        </row>
        <row r="188">
          <cell r="X188" t="str">
            <v/>
          </cell>
          <cell r="Y188" t="str">
            <v/>
          </cell>
        </row>
        <row r="189">
          <cell r="X189" t="str">
            <v/>
          </cell>
          <cell r="Y189" t="str">
            <v/>
          </cell>
        </row>
        <row r="190">
          <cell r="X190" t="str">
            <v/>
          </cell>
          <cell r="Y190" t="str">
            <v/>
          </cell>
        </row>
        <row r="191">
          <cell r="X191" t="str">
            <v/>
          </cell>
          <cell r="Y191" t="str">
            <v/>
          </cell>
        </row>
        <row r="192">
          <cell r="X192" t="str">
            <v/>
          </cell>
          <cell r="Y192" t="str">
            <v/>
          </cell>
        </row>
        <row r="193">
          <cell r="X193" t="str">
            <v/>
          </cell>
          <cell r="Y193" t="str">
            <v/>
          </cell>
        </row>
        <row r="194">
          <cell r="X194" t="str">
            <v/>
          </cell>
          <cell r="Y194" t="str">
            <v/>
          </cell>
        </row>
        <row r="195">
          <cell r="X195" t="str">
            <v/>
          </cell>
          <cell r="Y195" t="str">
            <v/>
          </cell>
        </row>
        <row r="196">
          <cell r="X196" t="str">
            <v/>
          </cell>
          <cell r="Y196" t="str">
            <v/>
          </cell>
        </row>
        <row r="197">
          <cell r="X197" t="str">
            <v/>
          </cell>
          <cell r="Y197" t="str">
            <v/>
          </cell>
        </row>
        <row r="198">
          <cell r="X198" t="str">
            <v/>
          </cell>
          <cell r="Y198" t="str">
            <v/>
          </cell>
        </row>
        <row r="199">
          <cell r="X199" t="str">
            <v/>
          </cell>
          <cell r="Y199" t="str">
            <v/>
          </cell>
        </row>
        <row r="200">
          <cell r="X200" t="str">
            <v/>
          </cell>
          <cell r="Y200" t="str">
            <v/>
          </cell>
        </row>
        <row r="201">
          <cell r="X201" t="str">
            <v/>
          </cell>
          <cell r="Y201" t="str">
            <v/>
          </cell>
        </row>
        <row r="202">
          <cell r="X202" t="str">
            <v/>
          </cell>
          <cell r="Y202" t="str">
            <v/>
          </cell>
        </row>
        <row r="203">
          <cell r="X203" t="str">
            <v/>
          </cell>
          <cell r="Y203" t="str">
            <v/>
          </cell>
        </row>
        <row r="204">
          <cell r="X204" t="str">
            <v/>
          </cell>
          <cell r="Y204" t="str">
            <v/>
          </cell>
        </row>
        <row r="205">
          <cell r="X205" t="str">
            <v/>
          </cell>
          <cell r="Y205" t="str">
            <v/>
          </cell>
        </row>
        <row r="206">
          <cell r="X206" t="str">
            <v/>
          </cell>
          <cell r="Y206" t="str">
            <v/>
          </cell>
        </row>
        <row r="207">
          <cell r="X207" t="str">
            <v/>
          </cell>
          <cell r="Y207" t="str">
            <v/>
          </cell>
        </row>
        <row r="208">
          <cell r="X208" t="str">
            <v/>
          </cell>
          <cell r="Y208" t="str">
            <v/>
          </cell>
        </row>
        <row r="209">
          <cell r="X209" t="str">
            <v/>
          </cell>
          <cell r="Y209" t="str">
            <v/>
          </cell>
        </row>
        <row r="210">
          <cell r="X210" t="str">
            <v/>
          </cell>
          <cell r="Y210" t="str">
            <v/>
          </cell>
        </row>
        <row r="211">
          <cell r="X211" t="str">
            <v/>
          </cell>
          <cell r="Y211" t="str">
            <v/>
          </cell>
        </row>
        <row r="212">
          <cell r="X212" t="str">
            <v/>
          </cell>
          <cell r="Y212" t="str">
            <v/>
          </cell>
        </row>
        <row r="213">
          <cell r="X213" t="str">
            <v/>
          </cell>
          <cell r="Y213" t="str">
            <v/>
          </cell>
        </row>
        <row r="214">
          <cell r="X214" t="str">
            <v/>
          </cell>
          <cell r="Y214" t="str">
            <v/>
          </cell>
        </row>
        <row r="215">
          <cell r="X215" t="str">
            <v/>
          </cell>
          <cell r="Y215" t="str">
            <v/>
          </cell>
        </row>
        <row r="216">
          <cell r="X216" t="str">
            <v/>
          </cell>
          <cell r="Y216" t="str">
            <v/>
          </cell>
        </row>
        <row r="217">
          <cell r="X217" t="str">
            <v/>
          </cell>
          <cell r="Y217" t="str">
            <v/>
          </cell>
        </row>
        <row r="218">
          <cell r="X218" t="str">
            <v/>
          </cell>
          <cell r="Y218" t="str">
            <v/>
          </cell>
        </row>
        <row r="219">
          <cell r="X219" t="str">
            <v/>
          </cell>
          <cell r="Y219" t="str">
            <v/>
          </cell>
        </row>
        <row r="220">
          <cell r="X220" t="str">
            <v/>
          </cell>
          <cell r="Y220" t="str">
            <v/>
          </cell>
        </row>
        <row r="221">
          <cell r="X221" t="str">
            <v/>
          </cell>
          <cell r="Y221" t="str">
            <v/>
          </cell>
        </row>
        <row r="222">
          <cell r="X222" t="str">
            <v/>
          </cell>
          <cell r="Y222" t="str">
            <v/>
          </cell>
        </row>
        <row r="223">
          <cell r="X223" t="str">
            <v/>
          </cell>
          <cell r="Y223" t="str">
            <v/>
          </cell>
        </row>
        <row r="224">
          <cell r="X224" t="str">
            <v/>
          </cell>
          <cell r="Y224" t="str">
            <v/>
          </cell>
        </row>
        <row r="225">
          <cell r="X225" t="str">
            <v/>
          </cell>
          <cell r="Y225" t="str">
            <v/>
          </cell>
        </row>
        <row r="226">
          <cell r="X226" t="str">
            <v/>
          </cell>
          <cell r="Y226" t="str">
            <v/>
          </cell>
        </row>
        <row r="227">
          <cell r="X227" t="str">
            <v/>
          </cell>
          <cell r="Y227" t="str">
            <v/>
          </cell>
        </row>
        <row r="228">
          <cell r="X228" t="str">
            <v/>
          </cell>
          <cell r="Y228" t="str">
            <v/>
          </cell>
        </row>
        <row r="229">
          <cell r="X229" t="str">
            <v/>
          </cell>
          <cell r="Y229" t="str">
            <v/>
          </cell>
        </row>
        <row r="230">
          <cell r="X230" t="str">
            <v/>
          </cell>
          <cell r="Y230" t="str">
            <v/>
          </cell>
        </row>
        <row r="231">
          <cell r="X231" t="str">
            <v/>
          </cell>
          <cell r="Y231" t="str">
            <v/>
          </cell>
        </row>
        <row r="232">
          <cell r="X232" t="str">
            <v/>
          </cell>
          <cell r="Y232" t="str">
            <v/>
          </cell>
        </row>
        <row r="233">
          <cell r="X233" t="str">
            <v/>
          </cell>
          <cell r="Y233" t="str">
            <v/>
          </cell>
        </row>
        <row r="234">
          <cell r="X234" t="str">
            <v/>
          </cell>
          <cell r="Y234" t="str">
            <v/>
          </cell>
        </row>
        <row r="235">
          <cell r="X235" t="str">
            <v/>
          </cell>
          <cell r="Y235" t="str">
            <v/>
          </cell>
        </row>
        <row r="236">
          <cell r="X236" t="str">
            <v/>
          </cell>
          <cell r="Y236" t="str">
            <v/>
          </cell>
        </row>
        <row r="237">
          <cell r="X237" t="str">
            <v/>
          </cell>
          <cell r="Y237" t="str">
            <v/>
          </cell>
        </row>
        <row r="238">
          <cell r="X238" t="str">
            <v/>
          </cell>
          <cell r="Y238" t="str">
            <v/>
          </cell>
        </row>
        <row r="239">
          <cell r="X239" t="str">
            <v/>
          </cell>
          <cell r="Y239" t="str">
            <v/>
          </cell>
        </row>
        <row r="240">
          <cell r="X240" t="str">
            <v/>
          </cell>
          <cell r="Y240" t="str">
            <v/>
          </cell>
        </row>
        <row r="241">
          <cell r="X241" t="str">
            <v/>
          </cell>
          <cell r="Y241" t="str">
            <v/>
          </cell>
        </row>
        <row r="242">
          <cell r="X242" t="str">
            <v/>
          </cell>
          <cell r="Y242" t="str">
            <v/>
          </cell>
        </row>
        <row r="243">
          <cell r="X243" t="str">
            <v/>
          </cell>
          <cell r="Y243" t="str">
            <v/>
          </cell>
        </row>
        <row r="244">
          <cell r="X244" t="str">
            <v/>
          </cell>
          <cell r="Y244" t="str">
            <v/>
          </cell>
        </row>
        <row r="245">
          <cell r="X245" t="str">
            <v/>
          </cell>
          <cell r="Y245" t="str">
            <v/>
          </cell>
        </row>
        <row r="246">
          <cell r="X246" t="str">
            <v/>
          </cell>
          <cell r="Y246" t="str">
            <v/>
          </cell>
        </row>
        <row r="247">
          <cell r="X247" t="str">
            <v/>
          </cell>
          <cell r="Y247" t="str">
            <v/>
          </cell>
        </row>
        <row r="248">
          <cell r="X248" t="str">
            <v/>
          </cell>
          <cell r="Y248" t="str">
            <v/>
          </cell>
        </row>
        <row r="249">
          <cell r="X249" t="str">
            <v/>
          </cell>
          <cell r="Y249" t="str">
            <v/>
          </cell>
        </row>
        <row r="250">
          <cell r="X250" t="str">
            <v/>
          </cell>
          <cell r="Y250" t="str">
            <v/>
          </cell>
        </row>
        <row r="251">
          <cell r="X251" t="str">
            <v/>
          </cell>
          <cell r="Y251" t="str">
            <v/>
          </cell>
        </row>
        <row r="252">
          <cell r="X252" t="str">
            <v/>
          </cell>
          <cell r="Y252" t="str">
            <v/>
          </cell>
        </row>
        <row r="253">
          <cell r="X253" t="str">
            <v/>
          </cell>
          <cell r="Y253" t="str">
            <v/>
          </cell>
        </row>
        <row r="254">
          <cell r="X254" t="str">
            <v/>
          </cell>
          <cell r="Y254" t="str">
            <v/>
          </cell>
        </row>
        <row r="255">
          <cell r="X255" t="str">
            <v/>
          </cell>
          <cell r="Y255" t="str">
            <v/>
          </cell>
        </row>
        <row r="256">
          <cell r="X256" t="str">
            <v/>
          </cell>
          <cell r="Y256" t="str">
            <v/>
          </cell>
        </row>
        <row r="257">
          <cell r="X257" t="str">
            <v/>
          </cell>
          <cell r="Y257" t="str">
            <v/>
          </cell>
        </row>
        <row r="258">
          <cell r="X258" t="str">
            <v/>
          </cell>
          <cell r="Y258" t="str">
            <v/>
          </cell>
        </row>
        <row r="259">
          <cell r="X259" t="str">
            <v/>
          </cell>
          <cell r="Y259" t="str">
            <v/>
          </cell>
        </row>
        <row r="260">
          <cell r="X260" t="str">
            <v/>
          </cell>
          <cell r="Y260" t="str">
            <v/>
          </cell>
        </row>
        <row r="261">
          <cell r="X261" t="str">
            <v/>
          </cell>
          <cell r="Y261" t="str">
            <v/>
          </cell>
        </row>
        <row r="262">
          <cell r="X262" t="str">
            <v/>
          </cell>
          <cell r="Y262" t="str">
            <v/>
          </cell>
        </row>
        <row r="263">
          <cell r="X263" t="str">
            <v/>
          </cell>
          <cell r="Y263" t="str">
            <v/>
          </cell>
        </row>
        <row r="264">
          <cell r="X264" t="str">
            <v/>
          </cell>
          <cell r="Y264" t="str">
            <v/>
          </cell>
        </row>
        <row r="265">
          <cell r="X265" t="str">
            <v/>
          </cell>
          <cell r="Y265" t="str">
            <v/>
          </cell>
        </row>
        <row r="266">
          <cell r="X266" t="str">
            <v/>
          </cell>
          <cell r="Y266" t="str">
            <v/>
          </cell>
        </row>
        <row r="267">
          <cell r="X267" t="str">
            <v/>
          </cell>
          <cell r="Y267" t="str">
            <v/>
          </cell>
        </row>
        <row r="268">
          <cell r="X268" t="str">
            <v/>
          </cell>
          <cell r="Y268" t="str">
            <v/>
          </cell>
        </row>
        <row r="269">
          <cell r="X269" t="str">
            <v/>
          </cell>
          <cell r="Y269" t="str">
            <v/>
          </cell>
        </row>
        <row r="270">
          <cell r="X270" t="str">
            <v/>
          </cell>
          <cell r="Y270" t="str">
            <v/>
          </cell>
        </row>
        <row r="271">
          <cell r="X271" t="str">
            <v/>
          </cell>
          <cell r="Y271" t="str">
            <v/>
          </cell>
        </row>
        <row r="272">
          <cell r="X272" t="str">
            <v/>
          </cell>
          <cell r="Y272" t="str">
            <v/>
          </cell>
        </row>
        <row r="273">
          <cell r="X273" t="str">
            <v/>
          </cell>
          <cell r="Y273" t="str">
            <v/>
          </cell>
        </row>
        <row r="274">
          <cell r="X274" t="str">
            <v/>
          </cell>
          <cell r="Y274" t="str">
            <v/>
          </cell>
        </row>
        <row r="275">
          <cell r="X275" t="str">
            <v/>
          </cell>
          <cell r="Y275" t="str">
            <v/>
          </cell>
        </row>
        <row r="276">
          <cell r="X276" t="str">
            <v/>
          </cell>
          <cell r="Y276" t="str">
            <v/>
          </cell>
        </row>
        <row r="277">
          <cell r="X277" t="str">
            <v/>
          </cell>
          <cell r="Y277" t="str">
            <v/>
          </cell>
        </row>
        <row r="278">
          <cell r="X278" t="str">
            <v/>
          </cell>
          <cell r="Y278" t="str">
            <v/>
          </cell>
        </row>
        <row r="279">
          <cell r="X279" t="str">
            <v/>
          </cell>
          <cell r="Y279" t="str">
            <v/>
          </cell>
        </row>
        <row r="280">
          <cell r="X280" t="str">
            <v/>
          </cell>
          <cell r="Y280" t="str">
            <v/>
          </cell>
        </row>
        <row r="281">
          <cell r="X281" t="str">
            <v/>
          </cell>
          <cell r="Y281" t="str">
            <v/>
          </cell>
        </row>
        <row r="282">
          <cell r="X282" t="str">
            <v/>
          </cell>
          <cell r="Y282" t="str">
            <v/>
          </cell>
        </row>
        <row r="283">
          <cell r="X283" t="str">
            <v/>
          </cell>
          <cell r="Y283" t="str">
            <v/>
          </cell>
        </row>
        <row r="284">
          <cell r="X284" t="str">
            <v/>
          </cell>
          <cell r="Y284" t="str">
            <v/>
          </cell>
        </row>
        <row r="285">
          <cell r="X285" t="str">
            <v/>
          </cell>
          <cell r="Y285" t="str">
            <v/>
          </cell>
        </row>
        <row r="286">
          <cell r="X286" t="str">
            <v/>
          </cell>
          <cell r="Y286" t="str">
            <v/>
          </cell>
        </row>
        <row r="287">
          <cell r="X287" t="str">
            <v/>
          </cell>
          <cell r="Y287" t="str">
            <v/>
          </cell>
        </row>
        <row r="288">
          <cell r="X288" t="str">
            <v/>
          </cell>
          <cell r="Y288" t="str">
            <v/>
          </cell>
        </row>
        <row r="289">
          <cell r="X289" t="str">
            <v/>
          </cell>
          <cell r="Y289" t="str">
            <v/>
          </cell>
        </row>
        <row r="290">
          <cell r="X290" t="str">
            <v/>
          </cell>
          <cell r="Y290" t="str">
            <v/>
          </cell>
        </row>
        <row r="291">
          <cell r="X291" t="str">
            <v/>
          </cell>
          <cell r="Y291" t="str">
            <v/>
          </cell>
        </row>
        <row r="292">
          <cell r="X292" t="str">
            <v/>
          </cell>
          <cell r="Y292" t="str">
            <v/>
          </cell>
        </row>
        <row r="293">
          <cell r="X293" t="str">
            <v/>
          </cell>
          <cell r="Y293" t="str">
            <v/>
          </cell>
        </row>
        <row r="294">
          <cell r="X294" t="str">
            <v/>
          </cell>
          <cell r="Y294" t="str">
            <v/>
          </cell>
        </row>
        <row r="295">
          <cell r="X295" t="str">
            <v/>
          </cell>
          <cell r="Y295" t="str">
            <v/>
          </cell>
        </row>
        <row r="296">
          <cell r="X296" t="str">
            <v/>
          </cell>
          <cell r="Y296" t="str">
            <v/>
          </cell>
        </row>
        <row r="297">
          <cell r="X297" t="str">
            <v/>
          </cell>
          <cell r="Y297" t="str">
            <v/>
          </cell>
        </row>
        <row r="298">
          <cell r="X298" t="str">
            <v/>
          </cell>
          <cell r="Y298" t="str">
            <v/>
          </cell>
        </row>
        <row r="299">
          <cell r="X299" t="str">
            <v/>
          </cell>
          <cell r="Y299" t="str">
            <v/>
          </cell>
        </row>
        <row r="300">
          <cell r="X300" t="str">
            <v/>
          </cell>
          <cell r="Y300" t="str">
            <v/>
          </cell>
        </row>
        <row r="301">
          <cell r="X301" t="str">
            <v/>
          </cell>
          <cell r="Y301" t="str">
            <v/>
          </cell>
        </row>
        <row r="302">
          <cell r="X302" t="str">
            <v/>
          </cell>
          <cell r="Y302" t="str">
            <v/>
          </cell>
        </row>
        <row r="303">
          <cell r="X303" t="str">
            <v/>
          </cell>
          <cell r="Y303" t="str">
            <v/>
          </cell>
        </row>
        <row r="304">
          <cell r="X304" t="str">
            <v/>
          </cell>
          <cell r="Y304" t="str">
            <v/>
          </cell>
        </row>
        <row r="305">
          <cell r="X305" t="str">
            <v/>
          </cell>
          <cell r="Y305" t="str">
            <v/>
          </cell>
        </row>
        <row r="306">
          <cell r="X306" t="str">
            <v/>
          </cell>
          <cell r="Y306" t="str">
            <v/>
          </cell>
        </row>
        <row r="307">
          <cell r="X307" t="str">
            <v/>
          </cell>
          <cell r="Y307" t="str">
            <v/>
          </cell>
        </row>
        <row r="308">
          <cell r="X308" t="str">
            <v/>
          </cell>
          <cell r="Y308" t="str">
            <v/>
          </cell>
        </row>
        <row r="309">
          <cell r="X309" t="str">
            <v/>
          </cell>
          <cell r="Y309" t="str">
            <v/>
          </cell>
        </row>
        <row r="310">
          <cell r="X310" t="str">
            <v/>
          </cell>
          <cell r="Y310" t="str">
            <v/>
          </cell>
        </row>
        <row r="311">
          <cell r="X311" t="str">
            <v/>
          </cell>
          <cell r="Y311" t="str">
            <v/>
          </cell>
        </row>
        <row r="312">
          <cell r="X312" t="str">
            <v/>
          </cell>
          <cell r="Y312" t="str">
            <v/>
          </cell>
        </row>
        <row r="313">
          <cell r="X313" t="str">
            <v/>
          </cell>
          <cell r="Y313" t="str">
            <v/>
          </cell>
        </row>
        <row r="314">
          <cell r="X314" t="str">
            <v/>
          </cell>
          <cell r="Y314" t="str">
            <v/>
          </cell>
        </row>
        <row r="315">
          <cell r="X315" t="str">
            <v/>
          </cell>
          <cell r="Y315" t="str">
            <v/>
          </cell>
        </row>
        <row r="316">
          <cell r="X316" t="str">
            <v/>
          </cell>
          <cell r="Y316" t="str">
            <v/>
          </cell>
        </row>
        <row r="317">
          <cell r="X317" t="str">
            <v/>
          </cell>
          <cell r="Y317" t="str">
            <v/>
          </cell>
        </row>
        <row r="318">
          <cell r="X318" t="str">
            <v/>
          </cell>
          <cell r="Y318" t="str">
            <v/>
          </cell>
        </row>
        <row r="319">
          <cell r="X319" t="str">
            <v/>
          </cell>
          <cell r="Y319" t="str">
            <v/>
          </cell>
        </row>
        <row r="320">
          <cell r="X320" t="str">
            <v/>
          </cell>
          <cell r="Y320" t="str">
            <v/>
          </cell>
        </row>
        <row r="321">
          <cell r="X321" t="str">
            <v/>
          </cell>
          <cell r="Y321" t="str">
            <v/>
          </cell>
        </row>
        <row r="322">
          <cell r="X322" t="str">
            <v/>
          </cell>
          <cell r="Y322" t="str">
            <v/>
          </cell>
        </row>
        <row r="323">
          <cell r="X323" t="str">
            <v/>
          </cell>
          <cell r="Y323" t="str">
            <v/>
          </cell>
        </row>
        <row r="324">
          <cell r="X324" t="str">
            <v/>
          </cell>
          <cell r="Y324" t="str">
            <v/>
          </cell>
        </row>
        <row r="325">
          <cell r="X325" t="str">
            <v/>
          </cell>
          <cell r="Y325" t="str">
            <v/>
          </cell>
        </row>
        <row r="326">
          <cell r="X326" t="str">
            <v/>
          </cell>
          <cell r="Y326" t="str">
            <v/>
          </cell>
        </row>
        <row r="327">
          <cell r="X327" t="str">
            <v/>
          </cell>
          <cell r="Y327" t="str">
            <v/>
          </cell>
        </row>
        <row r="328">
          <cell r="X328" t="str">
            <v/>
          </cell>
          <cell r="Y328" t="str">
            <v/>
          </cell>
        </row>
        <row r="329">
          <cell r="X329" t="str">
            <v/>
          </cell>
          <cell r="Y329" t="str">
            <v/>
          </cell>
        </row>
        <row r="330">
          <cell r="X330" t="str">
            <v/>
          </cell>
          <cell r="Y330" t="str">
            <v/>
          </cell>
        </row>
        <row r="331">
          <cell r="X331" t="str">
            <v/>
          </cell>
          <cell r="Y331" t="str">
            <v/>
          </cell>
        </row>
        <row r="332">
          <cell r="X332" t="str">
            <v/>
          </cell>
          <cell r="Y332" t="str">
            <v/>
          </cell>
        </row>
        <row r="333">
          <cell r="X333" t="str">
            <v/>
          </cell>
          <cell r="Y333" t="str">
            <v/>
          </cell>
        </row>
        <row r="334">
          <cell r="X334" t="str">
            <v/>
          </cell>
          <cell r="Y334" t="str">
            <v/>
          </cell>
        </row>
        <row r="335">
          <cell r="X335" t="str">
            <v/>
          </cell>
          <cell r="Y335" t="str">
            <v/>
          </cell>
        </row>
        <row r="336">
          <cell r="X336" t="str">
            <v/>
          </cell>
          <cell r="Y336" t="str">
            <v/>
          </cell>
        </row>
        <row r="337">
          <cell r="X337" t="str">
            <v/>
          </cell>
          <cell r="Y337" t="str">
            <v/>
          </cell>
        </row>
        <row r="338">
          <cell r="X338" t="str">
            <v/>
          </cell>
          <cell r="Y338" t="str">
            <v/>
          </cell>
        </row>
        <row r="339">
          <cell r="X339" t="str">
            <v/>
          </cell>
          <cell r="Y339" t="str">
            <v/>
          </cell>
        </row>
        <row r="340">
          <cell r="X340" t="str">
            <v/>
          </cell>
          <cell r="Y340" t="str">
            <v/>
          </cell>
        </row>
        <row r="341">
          <cell r="X341" t="str">
            <v/>
          </cell>
          <cell r="Y341" t="str">
            <v/>
          </cell>
        </row>
        <row r="342">
          <cell r="X342" t="str">
            <v/>
          </cell>
          <cell r="Y342" t="str">
            <v/>
          </cell>
        </row>
        <row r="343">
          <cell r="X343" t="str">
            <v/>
          </cell>
          <cell r="Y343" t="str">
            <v/>
          </cell>
        </row>
        <row r="344">
          <cell r="X344" t="str">
            <v/>
          </cell>
          <cell r="Y344" t="str">
            <v/>
          </cell>
        </row>
        <row r="345">
          <cell r="X345" t="str">
            <v/>
          </cell>
          <cell r="Y345" t="str">
            <v/>
          </cell>
        </row>
        <row r="346">
          <cell r="X346" t="str">
            <v/>
          </cell>
          <cell r="Y346" t="str">
            <v/>
          </cell>
        </row>
        <row r="347">
          <cell r="X347" t="str">
            <v/>
          </cell>
          <cell r="Y347" t="str">
            <v/>
          </cell>
        </row>
        <row r="348">
          <cell r="X348" t="str">
            <v/>
          </cell>
          <cell r="Y348" t="str">
            <v/>
          </cell>
        </row>
        <row r="349">
          <cell r="X349" t="str">
            <v/>
          </cell>
          <cell r="Y349" t="str">
            <v/>
          </cell>
        </row>
        <row r="350">
          <cell r="X350" t="str">
            <v/>
          </cell>
          <cell r="Y350" t="str">
            <v/>
          </cell>
        </row>
        <row r="351">
          <cell r="X351" t="str">
            <v/>
          </cell>
          <cell r="Y351" t="str">
            <v/>
          </cell>
        </row>
        <row r="352">
          <cell r="X352" t="str">
            <v/>
          </cell>
          <cell r="Y352" t="str">
            <v/>
          </cell>
        </row>
        <row r="353">
          <cell r="X353" t="str">
            <v/>
          </cell>
          <cell r="Y353" t="str">
            <v/>
          </cell>
        </row>
        <row r="354">
          <cell r="X354" t="str">
            <v/>
          </cell>
          <cell r="Y354" t="str">
            <v/>
          </cell>
        </row>
        <row r="355">
          <cell r="X355" t="str">
            <v/>
          </cell>
          <cell r="Y355" t="str">
            <v/>
          </cell>
        </row>
        <row r="356">
          <cell r="X356" t="str">
            <v/>
          </cell>
          <cell r="Y356" t="str">
            <v/>
          </cell>
        </row>
        <row r="357">
          <cell r="X357" t="str">
            <v/>
          </cell>
          <cell r="Y357" t="str">
            <v/>
          </cell>
        </row>
        <row r="358">
          <cell r="X358" t="str">
            <v/>
          </cell>
          <cell r="Y358" t="str">
            <v/>
          </cell>
        </row>
        <row r="359">
          <cell r="X359" t="str">
            <v/>
          </cell>
          <cell r="Y359" t="str">
            <v/>
          </cell>
        </row>
        <row r="360">
          <cell r="X360" t="str">
            <v/>
          </cell>
          <cell r="Y360" t="str">
            <v/>
          </cell>
        </row>
        <row r="361">
          <cell r="X361" t="str">
            <v/>
          </cell>
          <cell r="Y361" t="str">
            <v/>
          </cell>
        </row>
        <row r="362">
          <cell r="X362" t="str">
            <v/>
          </cell>
          <cell r="Y362" t="str">
            <v/>
          </cell>
        </row>
        <row r="363">
          <cell r="X363" t="str">
            <v/>
          </cell>
          <cell r="Y363" t="str">
            <v/>
          </cell>
        </row>
        <row r="364">
          <cell r="X364" t="str">
            <v/>
          </cell>
          <cell r="Y364" t="str">
            <v/>
          </cell>
        </row>
        <row r="365">
          <cell r="X365" t="str">
            <v/>
          </cell>
          <cell r="Y365" t="str">
            <v/>
          </cell>
        </row>
        <row r="366">
          <cell r="X366" t="str">
            <v/>
          </cell>
          <cell r="Y366" t="str">
            <v/>
          </cell>
        </row>
        <row r="367">
          <cell r="X367" t="str">
            <v/>
          </cell>
          <cell r="Y367" t="str">
            <v/>
          </cell>
        </row>
        <row r="368">
          <cell r="X368" t="str">
            <v/>
          </cell>
          <cell r="Y368" t="str">
            <v/>
          </cell>
        </row>
        <row r="369">
          <cell r="X369" t="str">
            <v/>
          </cell>
          <cell r="Y369" t="str">
            <v/>
          </cell>
        </row>
        <row r="370">
          <cell r="X370" t="str">
            <v/>
          </cell>
          <cell r="Y370" t="str">
            <v/>
          </cell>
        </row>
        <row r="371">
          <cell r="X371" t="str">
            <v/>
          </cell>
          <cell r="Y371" t="str">
            <v/>
          </cell>
        </row>
        <row r="372">
          <cell r="X372" t="str">
            <v/>
          </cell>
          <cell r="Y372" t="str">
            <v/>
          </cell>
        </row>
        <row r="373">
          <cell r="X373" t="str">
            <v/>
          </cell>
          <cell r="Y373" t="str">
            <v/>
          </cell>
        </row>
        <row r="374">
          <cell r="X374" t="str">
            <v/>
          </cell>
          <cell r="Y374" t="str">
            <v/>
          </cell>
        </row>
        <row r="375">
          <cell r="X375" t="str">
            <v/>
          </cell>
          <cell r="Y375" t="str">
            <v/>
          </cell>
        </row>
        <row r="376">
          <cell r="X376" t="str">
            <v/>
          </cell>
          <cell r="Y376" t="str">
            <v/>
          </cell>
        </row>
        <row r="377">
          <cell r="X377" t="str">
            <v/>
          </cell>
          <cell r="Y377" t="str">
            <v/>
          </cell>
        </row>
        <row r="378">
          <cell r="X378" t="str">
            <v/>
          </cell>
          <cell r="Y378" t="str">
            <v/>
          </cell>
        </row>
        <row r="379">
          <cell r="X379" t="str">
            <v/>
          </cell>
          <cell r="Y379" t="str">
            <v/>
          </cell>
        </row>
        <row r="380">
          <cell r="X380" t="str">
            <v/>
          </cell>
          <cell r="Y380" t="str">
            <v/>
          </cell>
        </row>
        <row r="381">
          <cell r="X381" t="str">
            <v/>
          </cell>
          <cell r="Y381" t="str">
            <v/>
          </cell>
        </row>
        <row r="382">
          <cell r="X382" t="str">
            <v/>
          </cell>
          <cell r="Y382" t="str">
            <v/>
          </cell>
        </row>
        <row r="383">
          <cell r="X383" t="str">
            <v/>
          </cell>
          <cell r="Y383" t="str">
            <v/>
          </cell>
        </row>
        <row r="384">
          <cell r="X384" t="str">
            <v/>
          </cell>
          <cell r="Y384" t="str">
            <v/>
          </cell>
        </row>
        <row r="385">
          <cell r="X385" t="str">
            <v/>
          </cell>
          <cell r="Y385" t="str">
            <v/>
          </cell>
        </row>
        <row r="386">
          <cell r="X386" t="str">
            <v/>
          </cell>
          <cell r="Y386" t="str">
            <v/>
          </cell>
        </row>
        <row r="387">
          <cell r="X387" t="str">
            <v/>
          </cell>
          <cell r="Y387" t="str">
            <v/>
          </cell>
        </row>
        <row r="388">
          <cell r="X388" t="str">
            <v/>
          </cell>
          <cell r="Y388" t="str">
            <v/>
          </cell>
        </row>
        <row r="389">
          <cell r="X389" t="str">
            <v/>
          </cell>
          <cell r="Y389" t="str">
            <v/>
          </cell>
        </row>
        <row r="390">
          <cell r="X390" t="str">
            <v/>
          </cell>
          <cell r="Y390" t="str">
            <v/>
          </cell>
        </row>
        <row r="391">
          <cell r="X391" t="str">
            <v/>
          </cell>
          <cell r="Y391" t="str">
            <v/>
          </cell>
        </row>
        <row r="392">
          <cell r="X392" t="str">
            <v/>
          </cell>
          <cell r="Y392" t="str">
            <v/>
          </cell>
        </row>
        <row r="393">
          <cell r="X393" t="str">
            <v/>
          </cell>
          <cell r="Y393" t="str">
            <v/>
          </cell>
        </row>
        <row r="394">
          <cell r="X394" t="str">
            <v/>
          </cell>
          <cell r="Y394" t="str">
            <v/>
          </cell>
        </row>
        <row r="395">
          <cell r="X395" t="str">
            <v/>
          </cell>
          <cell r="Y395" t="str">
            <v/>
          </cell>
        </row>
        <row r="396">
          <cell r="X396" t="str">
            <v/>
          </cell>
          <cell r="Y396" t="str">
            <v/>
          </cell>
        </row>
        <row r="397">
          <cell r="X397" t="str">
            <v/>
          </cell>
          <cell r="Y397" t="str">
            <v/>
          </cell>
        </row>
        <row r="398">
          <cell r="X398" t="str">
            <v/>
          </cell>
          <cell r="Y398" t="str">
            <v/>
          </cell>
        </row>
        <row r="399">
          <cell r="X399" t="str">
            <v/>
          </cell>
          <cell r="Y399" t="str">
            <v/>
          </cell>
        </row>
        <row r="400">
          <cell r="X400" t="str">
            <v/>
          </cell>
          <cell r="Y400" t="str">
            <v/>
          </cell>
        </row>
        <row r="401">
          <cell r="X401" t="str">
            <v/>
          </cell>
          <cell r="Y401" t="str">
            <v/>
          </cell>
        </row>
        <row r="402">
          <cell r="X402" t="str">
            <v/>
          </cell>
          <cell r="Y402" t="str">
            <v/>
          </cell>
        </row>
        <row r="403">
          <cell r="X403" t="str">
            <v/>
          </cell>
          <cell r="Y403" t="str">
            <v/>
          </cell>
        </row>
        <row r="404">
          <cell r="X404" t="str">
            <v/>
          </cell>
          <cell r="Y404" t="str">
            <v/>
          </cell>
        </row>
        <row r="405">
          <cell r="X405" t="str">
            <v/>
          </cell>
          <cell r="Y405" t="str">
            <v/>
          </cell>
        </row>
        <row r="406">
          <cell r="X406" t="str">
            <v/>
          </cell>
          <cell r="Y406" t="str">
            <v/>
          </cell>
        </row>
        <row r="407">
          <cell r="X407" t="str">
            <v/>
          </cell>
          <cell r="Y407" t="str">
            <v/>
          </cell>
        </row>
        <row r="408">
          <cell r="X408" t="str">
            <v/>
          </cell>
          <cell r="Y408" t="str">
            <v/>
          </cell>
        </row>
        <row r="409">
          <cell r="X409" t="str">
            <v/>
          </cell>
          <cell r="Y409" t="str">
            <v/>
          </cell>
        </row>
        <row r="410">
          <cell r="X410" t="str">
            <v/>
          </cell>
          <cell r="Y410" t="str">
            <v/>
          </cell>
        </row>
        <row r="411">
          <cell r="X411" t="str">
            <v/>
          </cell>
          <cell r="Y411" t="str">
            <v/>
          </cell>
        </row>
        <row r="412">
          <cell r="X412" t="str">
            <v/>
          </cell>
          <cell r="Y412" t="str">
            <v/>
          </cell>
        </row>
        <row r="413">
          <cell r="X413" t="str">
            <v/>
          </cell>
          <cell r="Y413" t="str">
            <v/>
          </cell>
        </row>
        <row r="414">
          <cell r="X414" t="str">
            <v/>
          </cell>
          <cell r="Y414" t="str">
            <v/>
          </cell>
        </row>
        <row r="415">
          <cell r="X415" t="str">
            <v/>
          </cell>
          <cell r="Y415" t="str">
            <v/>
          </cell>
        </row>
        <row r="416">
          <cell r="X416" t="str">
            <v/>
          </cell>
          <cell r="Y416" t="str">
            <v/>
          </cell>
        </row>
        <row r="417">
          <cell r="X417" t="str">
            <v/>
          </cell>
          <cell r="Y417" t="str">
            <v/>
          </cell>
        </row>
        <row r="418">
          <cell r="X418" t="str">
            <v/>
          </cell>
          <cell r="Y418" t="str">
            <v/>
          </cell>
        </row>
        <row r="419">
          <cell r="X419" t="str">
            <v/>
          </cell>
          <cell r="Y419" t="str">
            <v/>
          </cell>
        </row>
        <row r="420">
          <cell r="X420" t="str">
            <v/>
          </cell>
          <cell r="Y420" t="str">
            <v/>
          </cell>
        </row>
        <row r="421">
          <cell r="X421" t="str">
            <v/>
          </cell>
          <cell r="Y421" t="str">
            <v/>
          </cell>
        </row>
        <row r="422">
          <cell r="X422" t="str">
            <v/>
          </cell>
          <cell r="Y422" t="str">
            <v/>
          </cell>
        </row>
        <row r="423">
          <cell r="X423" t="str">
            <v/>
          </cell>
          <cell r="Y423" t="str">
            <v/>
          </cell>
        </row>
        <row r="424">
          <cell r="X424" t="str">
            <v/>
          </cell>
          <cell r="Y424" t="str">
            <v/>
          </cell>
        </row>
        <row r="425">
          <cell r="X425" t="str">
            <v/>
          </cell>
          <cell r="Y425" t="str">
            <v/>
          </cell>
        </row>
        <row r="426">
          <cell r="X426" t="str">
            <v/>
          </cell>
          <cell r="Y426" t="str">
            <v/>
          </cell>
        </row>
        <row r="427">
          <cell r="X427" t="str">
            <v/>
          </cell>
          <cell r="Y427" t="str">
            <v/>
          </cell>
        </row>
        <row r="428">
          <cell r="X428" t="str">
            <v/>
          </cell>
          <cell r="Y428" t="str">
            <v/>
          </cell>
        </row>
        <row r="429">
          <cell r="X429" t="str">
            <v/>
          </cell>
          <cell r="Y429" t="str">
            <v/>
          </cell>
        </row>
        <row r="430">
          <cell r="X430" t="str">
            <v/>
          </cell>
          <cell r="Y430" t="str">
            <v/>
          </cell>
        </row>
        <row r="431">
          <cell r="X431" t="str">
            <v/>
          </cell>
          <cell r="Y431" t="str">
            <v/>
          </cell>
        </row>
        <row r="432">
          <cell r="X432" t="str">
            <v/>
          </cell>
          <cell r="Y432" t="str">
            <v/>
          </cell>
        </row>
        <row r="433">
          <cell r="X433" t="str">
            <v/>
          </cell>
          <cell r="Y433" t="str">
            <v/>
          </cell>
        </row>
        <row r="434">
          <cell r="X434" t="str">
            <v/>
          </cell>
          <cell r="Y434" t="str">
            <v/>
          </cell>
        </row>
        <row r="435">
          <cell r="X435" t="str">
            <v/>
          </cell>
          <cell r="Y435" t="str">
            <v/>
          </cell>
        </row>
        <row r="436">
          <cell r="X436" t="str">
            <v/>
          </cell>
          <cell r="Y436" t="str">
            <v/>
          </cell>
        </row>
        <row r="437">
          <cell r="X437" t="str">
            <v/>
          </cell>
          <cell r="Y437" t="str">
            <v/>
          </cell>
        </row>
        <row r="438">
          <cell r="X438" t="str">
            <v/>
          </cell>
          <cell r="Y438" t="str">
            <v/>
          </cell>
        </row>
        <row r="439">
          <cell r="X439" t="str">
            <v/>
          </cell>
          <cell r="Y439" t="str">
            <v/>
          </cell>
        </row>
        <row r="440">
          <cell r="X440" t="str">
            <v/>
          </cell>
          <cell r="Y440" t="str">
            <v/>
          </cell>
        </row>
        <row r="441">
          <cell r="X441" t="str">
            <v/>
          </cell>
          <cell r="Y441" t="str">
            <v/>
          </cell>
        </row>
        <row r="442">
          <cell r="X442" t="str">
            <v/>
          </cell>
          <cell r="Y442" t="str">
            <v/>
          </cell>
        </row>
        <row r="443">
          <cell r="X443" t="str">
            <v/>
          </cell>
          <cell r="Y443" t="str">
            <v/>
          </cell>
        </row>
        <row r="444">
          <cell r="X444" t="str">
            <v/>
          </cell>
          <cell r="Y444" t="str">
            <v/>
          </cell>
        </row>
        <row r="445">
          <cell r="X445" t="str">
            <v/>
          </cell>
          <cell r="Y445" t="str">
            <v/>
          </cell>
        </row>
        <row r="446">
          <cell r="X446" t="str">
            <v/>
          </cell>
          <cell r="Y446" t="str">
            <v/>
          </cell>
        </row>
        <row r="447">
          <cell r="X447" t="str">
            <v/>
          </cell>
          <cell r="Y447" t="str">
            <v/>
          </cell>
        </row>
        <row r="448">
          <cell r="X448" t="str">
            <v/>
          </cell>
          <cell r="Y448" t="str">
            <v/>
          </cell>
        </row>
        <row r="449">
          <cell r="X449" t="str">
            <v/>
          </cell>
          <cell r="Y449" t="str">
            <v/>
          </cell>
        </row>
        <row r="450">
          <cell r="X450" t="str">
            <v/>
          </cell>
          <cell r="Y450" t="str">
            <v/>
          </cell>
        </row>
        <row r="451">
          <cell r="X451" t="str">
            <v/>
          </cell>
          <cell r="Y451" t="str">
            <v/>
          </cell>
        </row>
        <row r="452">
          <cell r="X452" t="str">
            <v/>
          </cell>
          <cell r="Y452" t="str">
            <v/>
          </cell>
        </row>
        <row r="453">
          <cell r="X453" t="str">
            <v/>
          </cell>
          <cell r="Y453" t="str">
            <v/>
          </cell>
        </row>
        <row r="454">
          <cell r="X454" t="str">
            <v/>
          </cell>
          <cell r="Y454" t="str">
            <v/>
          </cell>
        </row>
        <row r="455">
          <cell r="X455" t="str">
            <v/>
          </cell>
          <cell r="Y455" t="str">
            <v/>
          </cell>
        </row>
        <row r="456">
          <cell r="X456" t="str">
            <v/>
          </cell>
          <cell r="Y456" t="str">
            <v/>
          </cell>
        </row>
        <row r="457">
          <cell r="X457" t="str">
            <v/>
          </cell>
          <cell r="Y457" t="str">
            <v/>
          </cell>
        </row>
        <row r="458">
          <cell r="X458" t="str">
            <v/>
          </cell>
          <cell r="Y458" t="str">
            <v/>
          </cell>
        </row>
        <row r="459">
          <cell r="X459" t="str">
            <v/>
          </cell>
          <cell r="Y459" t="str">
            <v/>
          </cell>
        </row>
        <row r="460">
          <cell r="X460" t="str">
            <v/>
          </cell>
          <cell r="Y460" t="str">
            <v/>
          </cell>
        </row>
        <row r="461">
          <cell r="X461" t="str">
            <v/>
          </cell>
          <cell r="Y461" t="str">
            <v/>
          </cell>
        </row>
        <row r="462">
          <cell r="X462" t="str">
            <v/>
          </cell>
          <cell r="Y462" t="str">
            <v/>
          </cell>
        </row>
        <row r="463">
          <cell r="X463" t="str">
            <v/>
          </cell>
          <cell r="Y463" t="str">
            <v/>
          </cell>
        </row>
        <row r="464">
          <cell r="X464" t="str">
            <v/>
          </cell>
          <cell r="Y464" t="str">
            <v/>
          </cell>
        </row>
        <row r="465">
          <cell r="X465" t="str">
            <v/>
          </cell>
          <cell r="Y465" t="str">
            <v/>
          </cell>
        </row>
        <row r="466">
          <cell r="X466" t="str">
            <v/>
          </cell>
          <cell r="Y466" t="str">
            <v/>
          </cell>
        </row>
        <row r="467">
          <cell r="X467" t="str">
            <v/>
          </cell>
          <cell r="Y467" t="str">
            <v/>
          </cell>
        </row>
        <row r="468">
          <cell r="X468" t="str">
            <v/>
          </cell>
          <cell r="Y468" t="str">
            <v/>
          </cell>
        </row>
        <row r="469">
          <cell r="X469" t="str">
            <v/>
          </cell>
          <cell r="Y469" t="str">
            <v/>
          </cell>
        </row>
        <row r="470">
          <cell r="X470" t="str">
            <v/>
          </cell>
          <cell r="Y470" t="str">
            <v/>
          </cell>
        </row>
        <row r="471">
          <cell r="X471" t="str">
            <v/>
          </cell>
          <cell r="Y471" t="str">
            <v/>
          </cell>
        </row>
        <row r="472">
          <cell r="X472" t="str">
            <v/>
          </cell>
          <cell r="Y472" t="str">
            <v/>
          </cell>
        </row>
        <row r="473">
          <cell r="X473" t="str">
            <v/>
          </cell>
          <cell r="Y473" t="str">
            <v/>
          </cell>
        </row>
        <row r="474">
          <cell r="X474" t="str">
            <v/>
          </cell>
          <cell r="Y474" t="str">
            <v/>
          </cell>
        </row>
        <row r="475">
          <cell r="X475" t="str">
            <v/>
          </cell>
          <cell r="Y475" t="str">
            <v/>
          </cell>
        </row>
        <row r="476">
          <cell r="X476" t="str">
            <v/>
          </cell>
          <cell r="Y476" t="str">
            <v/>
          </cell>
        </row>
        <row r="477">
          <cell r="X477" t="str">
            <v/>
          </cell>
          <cell r="Y477" t="str">
            <v/>
          </cell>
        </row>
        <row r="478">
          <cell r="X478" t="str">
            <v/>
          </cell>
          <cell r="Y478" t="str">
            <v/>
          </cell>
        </row>
        <row r="479">
          <cell r="X479" t="str">
            <v/>
          </cell>
          <cell r="Y479" t="str">
            <v/>
          </cell>
        </row>
        <row r="480">
          <cell r="X480" t="str">
            <v/>
          </cell>
          <cell r="Y480" t="str">
            <v/>
          </cell>
        </row>
        <row r="481">
          <cell r="X481" t="str">
            <v/>
          </cell>
          <cell r="Y481" t="str">
            <v/>
          </cell>
        </row>
        <row r="482">
          <cell r="X482" t="str">
            <v/>
          </cell>
          <cell r="Y482" t="str">
            <v/>
          </cell>
        </row>
        <row r="483">
          <cell r="X483" t="str">
            <v/>
          </cell>
          <cell r="Y483" t="str">
            <v/>
          </cell>
        </row>
        <row r="484">
          <cell r="X484" t="str">
            <v/>
          </cell>
          <cell r="Y484" t="str">
            <v/>
          </cell>
        </row>
        <row r="485">
          <cell r="X485" t="str">
            <v/>
          </cell>
          <cell r="Y485" t="str">
            <v/>
          </cell>
        </row>
        <row r="486">
          <cell r="X486" t="str">
            <v/>
          </cell>
          <cell r="Y486" t="str">
            <v/>
          </cell>
        </row>
        <row r="487">
          <cell r="X487" t="str">
            <v/>
          </cell>
          <cell r="Y487" t="str">
            <v/>
          </cell>
        </row>
        <row r="488">
          <cell r="X488" t="str">
            <v/>
          </cell>
          <cell r="Y488" t="str">
            <v/>
          </cell>
        </row>
        <row r="489">
          <cell r="X489" t="str">
            <v/>
          </cell>
          <cell r="Y489" t="str">
            <v/>
          </cell>
        </row>
        <row r="490">
          <cell r="X490" t="str">
            <v/>
          </cell>
          <cell r="Y490" t="str">
            <v/>
          </cell>
        </row>
        <row r="491">
          <cell r="X491" t="str">
            <v/>
          </cell>
          <cell r="Y491" t="str">
            <v/>
          </cell>
        </row>
        <row r="492">
          <cell r="X492" t="str">
            <v/>
          </cell>
          <cell r="Y492" t="str">
            <v/>
          </cell>
        </row>
        <row r="493">
          <cell r="X493" t="str">
            <v/>
          </cell>
          <cell r="Y493" t="str">
            <v/>
          </cell>
        </row>
        <row r="494">
          <cell r="X494" t="str">
            <v/>
          </cell>
          <cell r="Y494" t="str">
            <v/>
          </cell>
        </row>
        <row r="495">
          <cell r="X495" t="str">
            <v/>
          </cell>
          <cell r="Y495" t="str">
            <v/>
          </cell>
        </row>
        <row r="496">
          <cell r="X496" t="str">
            <v/>
          </cell>
          <cell r="Y496" t="str">
            <v/>
          </cell>
        </row>
        <row r="497">
          <cell r="X497" t="str">
            <v/>
          </cell>
          <cell r="Y497" t="str">
            <v/>
          </cell>
        </row>
        <row r="498">
          <cell r="X498" t="str">
            <v/>
          </cell>
          <cell r="Y498" t="str">
            <v/>
          </cell>
        </row>
        <row r="499">
          <cell r="X499" t="str">
            <v/>
          </cell>
          <cell r="Y499" t="str">
            <v/>
          </cell>
        </row>
        <row r="500">
          <cell r="X500" t="str">
            <v/>
          </cell>
          <cell r="Y500" t="str">
            <v/>
          </cell>
        </row>
        <row r="501">
          <cell r="X501" t="str">
            <v/>
          </cell>
          <cell r="Y501" t="str">
            <v/>
          </cell>
        </row>
        <row r="502">
          <cell r="X502" t="str">
            <v/>
          </cell>
          <cell r="Y502" t="str">
            <v/>
          </cell>
        </row>
        <row r="503">
          <cell r="X503" t="str">
            <v/>
          </cell>
          <cell r="Y503" t="str">
            <v/>
          </cell>
        </row>
        <row r="504">
          <cell r="X504" t="str">
            <v/>
          </cell>
          <cell r="Y504" t="str">
            <v/>
          </cell>
        </row>
        <row r="505">
          <cell r="X505" t="str">
            <v/>
          </cell>
          <cell r="Y505" t="str">
            <v/>
          </cell>
        </row>
        <row r="506">
          <cell r="X506" t="str">
            <v/>
          </cell>
          <cell r="Y506" t="str">
            <v/>
          </cell>
        </row>
        <row r="507">
          <cell r="X507" t="str">
            <v/>
          </cell>
          <cell r="Y507" t="str">
            <v/>
          </cell>
        </row>
        <row r="508">
          <cell r="X508" t="str">
            <v/>
          </cell>
          <cell r="Y508" t="str">
            <v/>
          </cell>
        </row>
        <row r="509">
          <cell r="X509" t="str">
            <v/>
          </cell>
          <cell r="Y509" t="str">
            <v/>
          </cell>
        </row>
        <row r="510">
          <cell r="X510" t="str">
            <v/>
          </cell>
          <cell r="Y510" t="str">
            <v/>
          </cell>
        </row>
        <row r="511">
          <cell r="X511" t="str">
            <v/>
          </cell>
          <cell r="Y511" t="str">
            <v/>
          </cell>
        </row>
        <row r="512">
          <cell r="X512" t="str">
            <v/>
          </cell>
          <cell r="Y512" t="str">
            <v/>
          </cell>
        </row>
        <row r="513">
          <cell r="X513" t="str">
            <v/>
          </cell>
          <cell r="Y513" t="str">
            <v/>
          </cell>
        </row>
        <row r="514">
          <cell r="X514" t="str">
            <v/>
          </cell>
          <cell r="Y514" t="str">
            <v/>
          </cell>
        </row>
        <row r="515">
          <cell r="X515" t="str">
            <v/>
          </cell>
          <cell r="Y515" t="str">
            <v/>
          </cell>
        </row>
        <row r="516">
          <cell r="X516" t="str">
            <v/>
          </cell>
          <cell r="Y516" t="str">
            <v/>
          </cell>
        </row>
        <row r="517">
          <cell r="X517" t="str">
            <v/>
          </cell>
          <cell r="Y517" t="str">
            <v/>
          </cell>
        </row>
        <row r="518">
          <cell r="X518" t="str">
            <v/>
          </cell>
          <cell r="Y518" t="str">
            <v/>
          </cell>
        </row>
        <row r="519">
          <cell r="X519" t="str">
            <v/>
          </cell>
          <cell r="Y519" t="str">
            <v/>
          </cell>
        </row>
        <row r="520">
          <cell r="X520" t="str">
            <v/>
          </cell>
          <cell r="Y520" t="str">
            <v/>
          </cell>
        </row>
        <row r="521">
          <cell r="X521" t="str">
            <v/>
          </cell>
          <cell r="Y521" t="str">
            <v/>
          </cell>
        </row>
        <row r="522">
          <cell r="X522" t="str">
            <v/>
          </cell>
          <cell r="Y522" t="str">
            <v/>
          </cell>
        </row>
        <row r="523">
          <cell r="X523" t="str">
            <v/>
          </cell>
          <cell r="Y523" t="str">
            <v/>
          </cell>
        </row>
        <row r="524">
          <cell r="X524" t="str">
            <v/>
          </cell>
          <cell r="Y524" t="str">
            <v/>
          </cell>
        </row>
        <row r="525">
          <cell r="X525" t="str">
            <v/>
          </cell>
          <cell r="Y525" t="str">
            <v/>
          </cell>
        </row>
        <row r="526">
          <cell r="X526" t="str">
            <v/>
          </cell>
          <cell r="Y526" t="str">
            <v/>
          </cell>
        </row>
        <row r="527">
          <cell r="X527" t="str">
            <v/>
          </cell>
          <cell r="Y527" t="str">
            <v/>
          </cell>
        </row>
        <row r="528">
          <cell r="X528" t="str">
            <v/>
          </cell>
          <cell r="Y528" t="str">
            <v/>
          </cell>
        </row>
        <row r="529">
          <cell r="X529" t="str">
            <v/>
          </cell>
          <cell r="Y529" t="str">
            <v/>
          </cell>
        </row>
        <row r="530">
          <cell r="X530" t="str">
            <v/>
          </cell>
          <cell r="Y530" t="str">
            <v/>
          </cell>
        </row>
        <row r="531">
          <cell r="X531" t="str">
            <v/>
          </cell>
          <cell r="Y531" t="str">
            <v/>
          </cell>
        </row>
        <row r="532">
          <cell r="X532" t="str">
            <v/>
          </cell>
          <cell r="Y532" t="str">
            <v/>
          </cell>
        </row>
        <row r="533">
          <cell r="X533" t="str">
            <v/>
          </cell>
          <cell r="Y533" t="str">
            <v/>
          </cell>
        </row>
        <row r="534">
          <cell r="X534" t="str">
            <v/>
          </cell>
          <cell r="Y534" t="str">
            <v/>
          </cell>
        </row>
        <row r="535">
          <cell r="X535" t="str">
            <v/>
          </cell>
          <cell r="Y535" t="str">
            <v/>
          </cell>
        </row>
        <row r="536">
          <cell r="X536" t="str">
            <v/>
          </cell>
          <cell r="Y536" t="str">
            <v/>
          </cell>
        </row>
        <row r="537">
          <cell r="X537" t="str">
            <v/>
          </cell>
          <cell r="Y537" t="str">
            <v/>
          </cell>
        </row>
        <row r="538">
          <cell r="X538" t="str">
            <v/>
          </cell>
          <cell r="Y538" t="str">
            <v/>
          </cell>
        </row>
        <row r="539">
          <cell r="X539" t="str">
            <v/>
          </cell>
          <cell r="Y539" t="str">
            <v/>
          </cell>
        </row>
        <row r="540">
          <cell r="X540" t="str">
            <v/>
          </cell>
          <cell r="Y540" t="str">
            <v/>
          </cell>
        </row>
        <row r="541">
          <cell r="X541" t="str">
            <v/>
          </cell>
          <cell r="Y541" t="str">
            <v/>
          </cell>
        </row>
        <row r="542">
          <cell r="X542" t="str">
            <v/>
          </cell>
          <cell r="Y542" t="str">
            <v/>
          </cell>
        </row>
        <row r="543">
          <cell r="X543" t="str">
            <v/>
          </cell>
          <cell r="Y543" t="str">
            <v/>
          </cell>
        </row>
        <row r="544">
          <cell r="X544" t="str">
            <v/>
          </cell>
          <cell r="Y544" t="str">
            <v/>
          </cell>
        </row>
        <row r="545">
          <cell r="X545" t="str">
            <v/>
          </cell>
          <cell r="Y545" t="str">
            <v/>
          </cell>
        </row>
        <row r="546">
          <cell r="X546" t="str">
            <v/>
          </cell>
          <cell r="Y546" t="str">
            <v/>
          </cell>
        </row>
        <row r="547">
          <cell r="X547" t="str">
            <v/>
          </cell>
          <cell r="Y547" t="str">
            <v/>
          </cell>
        </row>
        <row r="548">
          <cell r="X548" t="str">
            <v/>
          </cell>
          <cell r="Y548" t="str">
            <v/>
          </cell>
        </row>
        <row r="549">
          <cell r="X549" t="str">
            <v/>
          </cell>
          <cell r="Y549" t="str">
            <v/>
          </cell>
        </row>
        <row r="550">
          <cell r="X550" t="str">
            <v/>
          </cell>
          <cell r="Y550" t="str">
            <v/>
          </cell>
        </row>
        <row r="551">
          <cell r="X551" t="str">
            <v/>
          </cell>
          <cell r="Y551" t="str">
            <v/>
          </cell>
        </row>
        <row r="552">
          <cell r="X552" t="str">
            <v/>
          </cell>
          <cell r="Y552" t="str">
            <v/>
          </cell>
        </row>
        <row r="553">
          <cell r="X553" t="str">
            <v/>
          </cell>
          <cell r="Y553" t="str">
            <v/>
          </cell>
        </row>
        <row r="554">
          <cell r="X554" t="str">
            <v/>
          </cell>
          <cell r="Y554" t="str">
            <v/>
          </cell>
        </row>
        <row r="555">
          <cell r="X555" t="str">
            <v/>
          </cell>
          <cell r="Y555" t="str">
            <v/>
          </cell>
        </row>
        <row r="556">
          <cell r="X556" t="str">
            <v/>
          </cell>
          <cell r="Y556" t="str">
            <v/>
          </cell>
        </row>
        <row r="557">
          <cell r="X557" t="str">
            <v/>
          </cell>
          <cell r="Y557" t="str">
            <v/>
          </cell>
        </row>
        <row r="558">
          <cell r="X558" t="str">
            <v/>
          </cell>
          <cell r="Y558" t="str">
            <v/>
          </cell>
        </row>
        <row r="559">
          <cell r="X559" t="str">
            <v/>
          </cell>
          <cell r="Y559" t="str">
            <v/>
          </cell>
        </row>
        <row r="560">
          <cell r="X560" t="str">
            <v/>
          </cell>
          <cell r="Y560" t="str">
            <v/>
          </cell>
        </row>
        <row r="561">
          <cell r="X561" t="str">
            <v/>
          </cell>
          <cell r="Y561" t="str">
            <v/>
          </cell>
        </row>
        <row r="562">
          <cell r="X562" t="str">
            <v/>
          </cell>
          <cell r="Y562" t="str">
            <v/>
          </cell>
        </row>
        <row r="563">
          <cell r="X563" t="str">
            <v/>
          </cell>
          <cell r="Y563" t="str">
            <v/>
          </cell>
        </row>
        <row r="564">
          <cell r="X564" t="str">
            <v/>
          </cell>
          <cell r="Y564" t="str">
            <v/>
          </cell>
        </row>
        <row r="565">
          <cell r="X565" t="str">
            <v/>
          </cell>
          <cell r="Y565" t="str">
            <v/>
          </cell>
        </row>
        <row r="566">
          <cell r="X566" t="str">
            <v/>
          </cell>
          <cell r="Y566" t="str">
            <v/>
          </cell>
        </row>
        <row r="567">
          <cell r="X567" t="str">
            <v/>
          </cell>
          <cell r="Y567" t="str">
            <v/>
          </cell>
        </row>
        <row r="568">
          <cell r="X568" t="str">
            <v/>
          </cell>
          <cell r="Y568" t="str">
            <v/>
          </cell>
        </row>
        <row r="569">
          <cell r="X569" t="str">
            <v/>
          </cell>
          <cell r="Y569" t="str">
            <v/>
          </cell>
        </row>
        <row r="570">
          <cell r="X570" t="str">
            <v/>
          </cell>
          <cell r="Y570" t="str">
            <v/>
          </cell>
        </row>
        <row r="571">
          <cell r="X571" t="str">
            <v/>
          </cell>
          <cell r="Y571" t="str">
            <v/>
          </cell>
        </row>
        <row r="572">
          <cell r="X572" t="str">
            <v/>
          </cell>
          <cell r="Y572" t="str">
            <v/>
          </cell>
        </row>
        <row r="573">
          <cell r="X573" t="str">
            <v/>
          </cell>
          <cell r="Y573" t="str">
            <v/>
          </cell>
        </row>
        <row r="574">
          <cell r="X574" t="str">
            <v/>
          </cell>
          <cell r="Y574" t="str">
            <v/>
          </cell>
        </row>
        <row r="575">
          <cell r="X575" t="str">
            <v/>
          </cell>
          <cell r="Y575" t="str">
            <v/>
          </cell>
        </row>
        <row r="576">
          <cell r="X576" t="str">
            <v/>
          </cell>
          <cell r="Y576" t="str">
            <v/>
          </cell>
        </row>
        <row r="577">
          <cell r="X577" t="str">
            <v/>
          </cell>
          <cell r="Y577" t="str">
            <v/>
          </cell>
        </row>
        <row r="578">
          <cell r="X578" t="str">
            <v/>
          </cell>
          <cell r="Y578" t="str">
            <v/>
          </cell>
        </row>
        <row r="579">
          <cell r="X579" t="str">
            <v/>
          </cell>
          <cell r="Y579" t="str">
            <v/>
          </cell>
        </row>
        <row r="580">
          <cell r="X580" t="str">
            <v/>
          </cell>
          <cell r="Y580" t="str">
            <v/>
          </cell>
        </row>
        <row r="581">
          <cell r="X581" t="str">
            <v/>
          </cell>
          <cell r="Y581" t="str">
            <v/>
          </cell>
        </row>
        <row r="582">
          <cell r="X582" t="str">
            <v/>
          </cell>
          <cell r="Y582" t="str">
            <v/>
          </cell>
        </row>
        <row r="583">
          <cell r="X583" t="str">
            <v/>
          </cell>
          <cell r="Y583" t="str">
            <v/>
          </cell>
        </row>
        <row r="584">
          <cell r="X584" t="str">
            <v/>
          </cell>
          <cell r="Y584" t="str">
            <v/>
          </cell>
        </row>
        <row r="585">
          <cell r="X585" t="str">
            <v/>
          </cell>
          <cell r="Y585" t="str">
            <v/>
          </cell>
        </row>
        <row r="586">
          <cell r="X586" t="str">
            <v/>
          </cell>
          <cell r="Y586" t="str">
            <v/>
          </cell>
        </row>
        <row r="587">
          <cell r="X587" t="str">
            <v/>
          </cell>
          <cell r="Y587" t="str">
            <v/>
          </cell>
        </row>
        <row r="588">
          <cell r="X588" t="str">
            <v/>
          </cell>
          <cell r="Y588" t="str">
            <v/>
          </cell>
        </row>
        <row r="589">
          <cell r="X589" t="str">
            <v/>
          </cell>
          <cell r="Y589" t="str">
            <v/>
          </cell>
        </row>
        <row r="590">
          <cell r="X590" t="str">
            <v/>
          </cell>
          <cell r="Y590" t="str">
            <v/>
          </cell>
        </row>
        <row r="591">
          <cell r="X591" t="str">
            <v/>
          </cell>
          <cell r="Y591" t="str">
            <v/>
          </cell>
        </row>
        <row r="592">
          <cell r="X592" t="str">
            <v/>
          </cell>
          <cell r="Y592" t="str">
            <v/>
          </cell>
        </row>
        <row r="593">
          <cell r="X593" t="str">
            <v/>
          </cell>
          <cell r="Y593" t="str">
            <v/>
          </cell>
        </row>
        <row r="594">
          <cell r="X594" t="str">
            <v/>
          </cell>
          <cell r="Y594" t="str">
            <v/>
          </cell>
        </row>
        <row r="595">
          <cell r="X595" t="str">
            <v/>
          </cell>
          <cell r="Y595" t="str">
            <v/>
          </cell>
        </row>
        <row r="596">
          <cell r="X596" t="str">
            <v/>
          </cell>
          <cell r="Y596" t="str">
            <v/>
          </cell>
        </row>
        <row r="597">
          <cell r="X597" t="str">
            <v/>
          </cell>
          <cell r="Y597" t="str">
            <v/>
          </cell>
        </row>
        <row r="598">
          <cell r="X598" t="str">
            <v/>
          </cell>
          <cell r="Y598" t="str">
            <v/>
          </cell>
        </row>
        <row r="599">
          <cell r="X599" t="str">
            <v/>
          </cell>
          <cell r="Y599" t="str">
            <v/>
          </cell>
        </row>
        <row r="600">
          <cell r="X600" t="str">
            <v/>
          </cell>
          <cell r="Y600" t="str">
            <v/>
          </cell>
        </row>
        <row r="601">
          <cell r="X601" t="str">
            <v/>
          </cell>
          <cell r="Y601" t="str">
            <v/>
          </cell>
        </row>
        <row r="602">
          <cell r="X602" t="str">
            <v/>
          </cell>
          <cell r="Y602" t="str">
            <v/>
          </cell>
        </row>
        <row r="603">
          <cell r="X603" t="str">
            <v/>
          </cell>
          <cell r="Y603" t="str">
            <v/>
          </cell>
        </row>
        <row r="604">
          <cell r="X604" t="str">
            <v/>
          </cell>
          <cell r="Y604" t="str">
            <v/>
          </cell>
        </row>
        <row r="605">
          <cell r="X605" t="str">
            <v/>
          </cell>
          <cell r="Y605" t="str">
            <v/>
          </cell>
        </row>
        <row r="606">
          <cell r="X606" t="str">
            <v/>
          </cell>
          <cell r="Y606" t="str">
            <v/>
          </cell>
        </row>
        <row r="607">
          <cell r="X607" t="str">
            <v/>
          </cell>
          <cell r="Y607" t="str">
            <v/>
          </cell>
        </row>
        <row r="608">
          <cell r="X608" t="str">
            <v/>
          </cell>
          <cell r="Y608" t="str">
            <v/>
          </cell>
        </row>
        <row r="609">
          <cell r="X609" t="str">
            <v/>
          </cell>
          <cell r="Y609" t="str">
            <v/>
          </cell>
        </row>
        <row r="610">
          <cell r="X610" t="str">
            <v/>
          </cell>
          <cell r="Y610" t="str">
            <v/>
          </cell>
        </row>
        <row r="611">
          <cell r="X611" t="str">
            <v/>
          </cell>
          <cell r="Y611" t="str">
            <v/>
          </cell>
        </row>
        <row r="612">
          <cell r="X612" t="str">
            <v/>
          </cell>
          <cell r="Y612" t="str">
            <v/>
          </cell>
        </row>
        <row r="613">
          <cell r="X613" t="str">
            <v/>
          </cell>
          <cell r="Y613" t="str">
            <v/>
          </cell>
        </row>
        <row r="614">
          <cell r="X614" t="str">
            <v/>
          </cell>
          <cell r="Y614" t="str">
            <v/>
          </cell>
        </row>
        <row r="615">
          <cell r="X615" t="str">
            <v/>
          </cell>
          <cell r="Y615" t="str">
            <v/>
          </cell>
        </row>
        <row r="616">
          <cell r="X616" t="str">
            <v/>
          </cell>
          <cell r="Y616" t="str">
            <v/>
          </cell>
        </row>
        <row r="617">
          <cell r="X617" t="str">
            <v/>
          </cell>
          <cell r="Y617" t="str">
            <v/>
          </cell>
        </row>
        <row r="618">
          <cell r="X618" t="str">
            <v/>
          </cell>
          <cell r="Y618" t="str">
            <v/>
          </cell>
        </row>
        <row r="619">
          <cell r="X619" t="str">
            <v/>
          </cell>
          <cell r="Y619" t="str">
            <v/>
          </cell>
        </row>
        <row r="620">
          <cell r="X620" t="str">
            <v/>
          </cell>
          <cell r="Y620" t="str">
            <v/>
          </cell>
        </row>
        <row r="621">
          <cell r="X621" t="str">
            <v/>
          </cell>
          <cell r="Y621" t="str">
            <v/>
          </cell>
        </row>
        <row r="622">
          <cell r="X622" t="str">
            <v/>
          </cell>
          <cell r="Y622" t="str">
            <v/>
          </cell>
        </row>
        <row r="623">
          <cell r="X623" t="str">
            <v/>
          </cell>
          <cell r="Y623" t="str">
            <v/>
          </cell>
        </row>
        <row r="624">
          <cell r="X624" t="str">
            <v/>
          </cell>
          <cell r="Y624" t="str">
            <v/>
          </cell>
        </row>
        <row r="625">
          <cell r="X625" t="str">
            <v/>
          </cell>
          <cell r="Y625" t="str">
            <v/>
          </cell>
        </row>
        <row r="626">
          <cell r="X626" t="str">
            <v/>
          </cell>
          <cell r="Y626" t="str">
            <v/>
          </cell>
        </row>
        <row r="627">
          <cell r="X627" t="str">
            <v/>
          </cell>
          <cell r="Y627" t="str">
            <v/>
          </cell>
        </row>
        <row r="628">
          <cell r="X628" t="str">
            <v/>
          </cell>
          <cell r="Y628" t="str">
            <v/>
          </cell>
        </row>
        <row r="629">
          <cell r="X629" t="str">
            <v/>
          </cell>
          <cell r="Y629" t="str">
            <v/>
          </cell>
        </row>
        <row r="630">
          <cell r="X630" t="str">
            <v/>
          </cell>
          <cell r="Y630" t="str">
            <v/>
          </cell>
        </row>
        <row r="631">
          <cell r="X631" t="str">
            <v/>
          </cell>
          <cell r="Y631" t="str">
            <v/>
          </cell>
        </row>
        <row r="632">
          <cell r="X632" t="str">
            <v/>
          </cell>
          <cell r="Y632" t="str">
            <v/>
          </cell>
        </row>
        <row r="633">
          <cell r="X633" t="str">
            <v/>
          </cell>
          <cell r="Y633" t="str">
            <v/>
          </cell>
        </row>
        <row r="634">
          <cell r="X634" t="str">
            <v/>
          </cell>
          <cell r="Y634" t="str">
            <v/>
          </cell>
        </row>
        <row r="635">
          <cell r="X635" t="str">
            <v/>
          </cell>
          <cell r="Y635" t="str">
            <v/>
          </cell>
        </row>
        <row r="636">
          <cell r="X636" t="str">
            <v/>
          </cell>
          <cell r="Y636" t="str">
            <v/>
          </cell>
        </row>
        <row r="637">
          <cell r="X637" t="str">
            <v/>
          </cell>
          <cell r="Y637" t="str">
            <v/>
          </cell>
        </row>
        <row r="638">
          <cell r="X638" t="str">
            <v/>
          </cell>
          <cell r="Y638" t="str">
            <v/>
          </cell>
        </row>
        <row r="639">
          <cell r="X639" t="str">
            <v/>
          </cell>
          <cell r="Y639" t="str">
            <v/>
          </cell>
        </row>
        <row r="640">
          <cell r="X640" t="str">
            <v/>
          </cell>
          <cell r="Y640" t="str">
            <v/>
          </cell>
        </row>
        <row r="641">
          <cell r="X641" t="str">
            <v/>
          </cell>
          <cell r="Y641" t="str">
            <v/>
          </cell>
        </row>
        <row r="642">
          <cell r="X642" t="str">
            <v/>
          </cell>
          <cell r="Y642" t="str">
            <v/>
          </cell>
        </row>
        <row r="643">
          <cell r="X643" t="str">
            <v/>
          </cell>
          <cell r="Y643" t="str">
            <v/>
          </cell>
        </row>
        <row r="644">
          <cell r="X644" t="str">
            <v/>
          </cell>
          <cell r="Y644" t="str">
            <v/>
          </cell>
        </row>
        <row r="645">
          <cell r="X645" t="str">
            <v/>
          </cell>
          <cell r="Y645" t="str">
            <v/>
          </cell>
        </row>
        <row r="646">
          <cell r="X646" t="str">
            <v/>
          </cell>
          <cell r="Y646" t="str">
            <v/>
          </cell>
        </row>
        <row r="647">
          <cell r="X647" t="str">
            <v/>
          </cell>
          <cell r="Y647" t="str">
            <v/>
          </cell>
        </row>
        <row r="648">
          <cell r="X648" t="str">
            <v/>
          </cell>
          <cell r="Y648" t="str">
            <v/>
          </cell>
        </row>
        <row r="649">
          <cell r="X649" t="str">
            <v/>
          </cell>
          <cell r="Y649" t="str">
            <v/>
          </cell>
        </row>
        <row r="650">
          <cell r="X650" t="str">
            <v/>
          </cell>
          <cell r="Y650" t="str">
            <v/>
          </cell>
        </row>
        <row r="651">
          <cell r="X651" t="str">
            <v/>
          </cell>
          <cell r="Y651" t="str">
            <v/>
          </cell>
        </row>
        <row r="652">
          <cell r="X652" t="str">
            <v/>
          </cell>
          <cell r="Y652" t="str">
            <v/>
          </cell>
        </row>
        <row r="653">
          <cell r="X653" t="str">
            <v/>
          </cell>
          <cell r="Y653" t="str">
            <v/>
          </cell>
        </row>
        <row r="654">
          <cell r="X654" t="str">
            <v/>
          </cell>
          <cell r="Y654" t="str">
            <v/>
          </cell>
        </row>
        <row r="655">
          <cell r="X655" t="str">
            <v/>
          </cell>
          <cell r="Y655" t="str">
            <v/>
          </cell>
        </row>
        <row r="656">
          <cell r="X656" t="str">
            <v/>
          </cell>
          <cell r="Y656" t="str">
            <v/>
          </cell>
        </row>
        <row r="657">
          <cell r="X657" t="str">
            <v/>
          </cell>
          <cell r="Y657" t="str">
            <v/>
          </cell>
        </row>
        <row r="658">
          <cell r="X658" t="str">
            <v/>
          </cell>
          <cell r="Y658" t="str">
            <v/>
          </cell>
        </row>
        <row r="659">
          <cell r="X659" t="str">
            <v/>
          </cell>
          <cell r="Y659" t="str">
            <v/>
          </cell>
        </row>
        <row r="660">
          <cell r="X660" t="str">
            <v/>
          </cell>
          <cell r="Y660" t="str">
            <v/>
          </cell>
        </row>
        <row r="661">
          <cell r="X661" t="str">
            <v/>
          </cell>
          <cell r="Y661" t="str">
            <v/>
          </cell>
        </row>
        <row r="662">
          <cell r="X662" t="str">
            <v/>
          </cell>
          <cell r="Y662" t="str">
            <v/>
          </cell>
        </row>
        <row r="663">
          <cell r="X663" t="str">
            <v/>
          </cell>
          <cell r="Y663" t="str">
            <v/>
          </cell>
        </row>
        <row r="664">
          <cell r="X664" t="str">
            <v/>
          </cell>
          <cell r="Y664" t="str">
            <v/>
          </cell>
        </row>
        <row r="665">
          <cell r="X665" t="str">
            <v/>
          </cell>
          <cell r="Y665" t="str">
            <v/>
          </cell>
        </row>
        <row r="666">
          <cell r="X666" t="str">
            <v/>
          </cell>
          <cell r="Y666" t="str">
            <v/>
          </cell>
        </row>
        <row r="667">
          <cell r="X667" t="str">
            <v/>
          </cell>
          <cell r="Y667" t="str">
            <v/>
          </cell>
        </row>
        <row r="668">
          <cell r="X668" t="str">
            <v/>
          </cell>
          <cell r="Y668" t="str">
            <v/>
          </cell>
        </row>
        <row r="669">
          <cell r="X669" t="str">
            <v/>
          </cell>
          <cell r="Y669" t="str">
            <v/>
          </cell>
        </row>
        <row r="670">
          <cell r="X670" t="str">
            <v/>
          </cell>
          <cell r="Y670" t="str">
            <v/>
          </cell>
        </row>
        <row r="671">
          <cell r="X671" t="str">
            <v/>
          </cell>
          <cell r="Y671" t="str">
            <v/>
          </cell>
        </row>
        <row r="672">
          <cell r="X672" t="str">
            <v/>
          </cell>
          <cell r="Y672" t="str">
            <v/>
          </cell>
        </row>
        <row r="673">
          <cell r="X673" t="str">
            <v/>
          </cell>
          <cell r="Y673" t="str">
            <v/>
          </cell>
        </row>
        <row r="674">
          <cell r="X674" t="str">
            <v/>
          </cell>
          <cell r="Y674" t="str">
            <v/>
          </cell>
        </row>
        <row r="675">
          <cell r="X675" t="str">
            <v/>
          </cell>
          <cell r="Y675" t="str">
            <v/>
          </cell>
        </row>
        <row r="676">
          <cell r="X676" t="str">
            <v/>
          </cell>
          <cell r="Y676" t="str">
            <v/>
          </cell>
        </row>
        <row r="677">
          <cell r="X677" t="str">
            <v/>
          </cell>
          <cell r="Y677" t="str">
            <v/>
          </cell>
        </row>
        <row r="678">
          <cell r="X678" t="str">
            <v/>
          </cell>
          <cell r="Y678" t="str">
            <v/>
          </cell>
        </row>
        <row r="679">
          <cell r="X679" t="str">
            <v/>
          </cell>
          <cell r="Y679" t="str">
            <v/>
          </cell>
        </row>
        <row r="680">
          <cell r="X680" t="str">
            <v/>
          </cell>
          <cell r="Y680" t="str">
            <v/>
          </cell>
        </row>
        <row r="681">
          <cell r="X681" t="str">
            <v/>
          </cell>
          <cell r="Y681" t="str">
            <v/>
          </cell>
        </row>
        <row r="682">
          <cell r="X682" t="str">
            <v/>
          </cell>
          <cell r="Y682" t="str">
            <v/>
          </cell>
        </row>
        <row r="683">
          <cell r="X683" t="str">
            <v/>
          </cell>
          <cell r="Y683" t="str">
            <v/>
          </cell>
        </row>
        <row r="684">
          <cell r="X684" t="str">
            <v/>
          </cell>
          <cell r="Y684" t="str">
            <v/>
          </cell>
        </row>
        <row r="685">
          <cell r="X685" t="str">
            <v/>
          </cell>
          <cell r="Y685" t="str">
            <v/>
          </cell>
        </row>
        <row r="686">
          <cell r="X686" t="str">
            <v/>
          </cell>
          <cell r="Y686" t="str">
            <v/>
          </cell>
        </row>
        <row r="687">
          <cell r="X687" t="str">
            <v/>
          </cell>
          <cell r="Y687" t="str">
            <v/>
          </cell>
        </row>
        <row r="688">
          <cell r="X688" t="str">
            <v/>
          </cell>
          <cell r="Y688" t="str">
            <v/>
          </cell>
        </row>
        <row r="689">
          <cell r="X689" t="str">
            <v/>
          </cell>
          <cell r="Y689" t="str">
            <v/>
          </cell>
        </row>
        <row r="690">
          <cell r="X690" t="str">
            <v/>
          </cell>
          <cell r="Y690" t="str">
            <v/>
          </cell>
        </row>
        <row r="691">
          <cell r="X691" t="str">
            <v/>
          </cell>
          <cell r="Y691" t="str">
            <v/>
          </cell>
        </row>
        <row r="692">
          <cell r="X692" t="str">
            <v/>
          </cell>
          <cell r="Y692" t="str">
            <v/>
          </cell>
        </row>
        <row r="693">
          <cell r="X693" t="str">
            <v/>
          </cell>
          <cell r="Y693" t="str">
            <v/>
          </cell>
        </row>
        <row r="694">
          <cell r="X694" t="str">
            <v/>
          </cell>
          <cell r="Y694" t="str">
            <v/>
          </cell>
        </row>
        <row r="695">
          <cell r="X695" t="str">
            <v/>
          </cell>
          <cell r="Y695" t="str">
            <v/>
          </cell>
        </row>
        <row r="696">
          <cell r="X696" t="str">
            <v/>
          </cell>
          <cell r="Y696" t="str">
            <v/>
          </cell>
        </row>
        <row r="697">
          <cell r="X697" t="str">
            <v/>
          </cell>
          <cell r="Y697" t="str">
            <v/>
          </cell>
        </row>
        <row r="698">
          <cell r="X698" t="str">
            <v/>
          </cell>
          <cell r="Y698" t="str">
            <v/>
          </cell>
        </row>
        <row r="699">
          <cell r="X699" t="str">
            <v/>
          </cell>
          <cell r="Y699" t="str">
            <v/>
          </cell>
        </row>
        <row r="700">
          <cell r="X700" t="str">
            <v/>
          </cell>
          <cell r="Y700" t="str">
            <v/>
          </cell>
        </row>
        <row r="701">
          <cell r="X701" t="str">
            <v/>
          </cell>
          <cell r="Y701" t="str">
            <v/>
          </cell>
        </row>
        <row r="702">
          <cell r="X702" t="str">
            <v/>
          </cell>
          <cell r="Y702" t="str">
            <v/>
          </cell>
        </row>
        <row r="703">
          <cell r="X703" t="str">
            <v/>
          </cell>
          <cell r="Y703" t="str">
            <v/>
          </cell>
        </row>
        <row r="704">
          <cell r="X704" t="str">
            <v/>
          </cell>
          <cell r="Y704" t="str">
            <v/>
          </cell>
        </row>
        <row r="705">
          <cell r="X705" t="str">
            <v/>
          </cell>
          <cell r="Y705" t="str">
            <v/>
          </cell>
        </row>
        <row r="706">
          <cell r="X706" t="str">
            <v/>
          </cell>
          <cell r="Y706" t="str">
            <v/>
          </cell>
        </row>
        <row r="707">
          <cell r="X707" t="str">
            <v/>
          </cell>
          <cell r="Y707" t="str">
            <v/>
          </cell>
        </row>
        <row r="708">
          <cell r="X708" t="str">
            <v/>
          </cell>
          <cell r="Y708" t="str">
            <v/>
          </cell>
        </row>
        <row r="709">
          <cell r="X709" t="str">
            <v/>
          </cell>
          <cell r="Y709" t="str">
            <v/>
          </cell>
        </row>
        <row r="710">
          <cell r="X710" t="str">
            <v/>
          </cell>
          <cell r="Y710" t="str">
            <v/>
          </cell>
        </row>
        <row r="711">
          <cell r="X711" t="str">
            <v/>
          </cell>
          <cell r="Y711" t="str">
            <v/>
          </cell>
        </row>
        <row r="712">
          <cell r="X712" t="str">
            <v/>
          </cell>
          <cell r="Y712" t="str">
            <v/>
          </cell>
        </row>
        <row r="713">
          <cell r="X713" t="str">
            <v/>
          </cell>
          <cell r="Y713" t="str">
            <v/>
          </cell>
        </row>
        <row r="714">
          <cell r="X714" t="str">
            <v/>
          </cell>
          <cell r="Y714" t="str">
            <v/>
          </cell>
        </row>
        <row r="715">
          <cell r="X715" t="str">
            <v/>
          </cell>
          <cell r="Y715" t="str">
            <v/>
          </cell>
        </row>
        <row r="716">
          <cell r="X716" t="str">
            <v/>
          </cell>
          <cell r="Y716" t="str">
            <v/>
          </cell>
        </row>
        <row r="717">
          <cell r="X717" t="str">
            <v/>
          </cell>
          <cell r="Y717" t="str">
            <v/>
          </cell>
        </row>
        <row r="718">
          <cell r="X718" t="str">
            <v/>
          </cell>
          <cell r="Y718" t="str">
            <v/>
          </cell>
        </row>
        <row r="719">
          <cell r="X719" t="str">
            <v/>
          </cell>
          <cell r="Y719" t="str">
            <v/>
          </cell>
        </row>
        <row r="720">
          <cell r="X720" t="str">
            <v/>
          </cell>
          <cell r="Y720" t="str">
            <v/>
          </cell>
        </row>
        <row r="721">
          <cell r="X721" t="str">
            <v/>
          </cell>
          <cell r="Y721" t="str">
            <v/>
          </cell>
        </row>
        <row r="722">
          <cell r="X722" t="str">
            <v/>
          </cell>
          <cell r="Y722" t="str">
            <v/>
          </cell>
        </row>
        <row r="723">
          <cell r="X723" t="str">
            <v/>
          </cell>
          <cell r="Y723" t="str">
            <v/>
          </cell>
        </row>
        <row r="724">
          <cell r="X724" t="str">
            <v/>
          </cell>
          <cell r="Y724" t="str">
            <v/>
          </cell>
        </row>
        <row r="725">
          <cell r="X725" t="str">
            <v/>
          </cell>
          <cell r="Y725" t="str">
            <v/>
          </cell>
        </row>
        <row r="726">
          <cell r="X726" t="str">
            <v/>
          </cell>
          <cell r="Y726" t="str">
            <v/>
          </cell>
        </row>
        <row r="727">
          <cell r="X727" t="str">
            <v/>
          </cell>
          <cell r="Y727" t="str">
            <v/>
          </cell>
        </row>
        <row r="728">
          <cell r="X728" t="str">
            <v/>
          </cell>
          <cell r="Y728" t="str">
            <v/>
          </cell>
        </row>
        <row r="729">
          <cell r="X729" t="str">
            <v/>
          </cell>
          <cell r="Y729" t="str">
            <v/>
          </cell>
        </row>
        <row r="730">
          <cell r="X730" t="str">
            <v/>
          </cell>
          <cell r="Y730" t="str">
            <v/>
          </cell>
        </row>
        <row r="731">
          <cell r="X731" t="str">
            <v/>
          </cell>
          <cell r="Y731" t="str">
            <v/>
          </cell>
        </row>
        <row r="732">
          <cell r="X732" t="str">
            <v/>
          </cell>
          <cell r="Y732" t="str">
            <v/>
          </cell>
        </row>
        <row r="733">
          <cell r="X733" t="str">
            <v/>
          </cell>
          <cell r="Y733" t="str">
            <v/>
          </cell>
        </row>
        <row r="734">
          <cell r="X734" t="str">
            <v/>
          </cell>
          <cell r="Y734" t="str">
            <v/>
          </cell>
        </row>
        <row r="735">
          <cell r="X735" t="str">
            <v/>
          </cell>
          <cell r="Y735" t="str">
            <v/>
          </cell>
        </row>
        <row r="736">
          <cell r="X736" t="str">
            <v/>
          </cell>
          <cell r="Y736" t="str">
            <v/>
          </cell>
        </row>
        <row r="737">
          <cell r="X737" t="str">
            <v/>
          </cell>
          <cell r="Y737" t="str">
            <v/>
          </cell>
        </row>
        <row r="738">
          <cell r="X738" t="str">
            <v/>
          </cell>
          <cell r="Y738" t="str">
            <v/>
          </cell>
        </row>
        <row r="739">
          <cell r="X739" t="str">
            <v/>
          </cell>
          <cell r="Y739" t="str">
            <v/>
          </cell>
        </row>
        <row r="740">
          <cell r="X740" t="str">
            <v/>
          </cell>
          <cell r="Y740" t="str">
            <v/>
          </cell>
        </row>
        <row r="741">
          <cell r="X741" t="str">
            <v/>
          </cell>
          <cell r="Y741" t="str">
            <v/>
          </cell>
        </row>
        <row r="742">
          <cell r="X742" t="str">
            <v/>
          </cell>
          <cell r="Y742" t="str">
            <v/>
          </cell>
        </row>
        <row r="743">
          <cell r="X743" t="str">
            <v/>
          </cell>
          <cell r="Y743" t="str">
            <v/>
          </cell>
        </row>
        <row r="744">
          <cell r="X744" t="str">
            <v/>
          </cell>
          <cell r="Y744" t="str">
            <v/>
          </cell>
        </row>
        <row r="745">
          <cell r="X745" t="str">
            <v/>
          </cell>
          <cell r="Y745" t="str">
            <v/>
          </cell>
        </row>
        <row r="746">
          <cell r="X746" t="str">
            <v/>
          </cell>
          <cell r="Y746" t="str">
            <v/>
          </cell>
        </row>
        <row r="747">
          <cell r="X747" t="str">
            <v/>
          </cell>
          <cell r="Y747" t="str">
            <v/>
          </cell>
        </row>
        <row r="748">
          <cell r="X748" t="str">
            <v/>
          </cell>
          <cell r="Y748" t="str">
            <v/>
          </cell>
        </row>
        <row r="749">
          <cell r="X749" t="str">
            <v/>
          </cell>
          <cell r="Y749" t="str">
            <v/>
          </cell>
        </row>
        <row r="750">
          <cell r="X750" t="str">
            <v/>
          </cell>
          <cell r="Y750" t="str">
            <v/>
          </cell>
        </row>
        <row r="751">
          <cell r="X751" t="str">
            <v/>
          </cell>
          <cell r="Y751" t="str">
            <v/>
          </cell>
        </row>
        <row r="752">
          <cell r="X752" t="str">
            <v/>
          </cell>
          <cell r="Y752" t="str">
            <v/>
          </cell>
        </row>
        <row r="753">
          <cell r="X753" t="str">
            <v/>
          </cell>
          <cell r="Y753" t="str">
            <v/>
          </cell>
        </row>
        <row r="754">
          <cell r="X754" t="str">
            <v/>
          </cell>
          <cell r="Y754" t="str">
            <v/>
          </cell>
        </row>
        <row r="755">
          <cell r="X755" t="str">
            <v/>
          </cell>
          <cell r="Y755" t="str">
            <v/>
          </cell>
        </row>
        <row r="756">
          <cell r="X756" t="str">
            <v/>
          </cell>
          <cell r="Y756" t="str">
            <v/>
          </cell>
        </row>
        <row r="757">
          <cell r="X757" t="str">
            <v/>
          </cell>
          <cell r="Y757" t="str">
            <v/>
          </cell>
        </row>
        <row r="758">
          <cell r="X758" t="str">
            <v/>
          </cell>
          <cell r="Y758" t="str">
            <v/>
          </cell>
        </row>
        <row r="759">
          <cell r="X759" t="str">
            <v/>
          </cell>
          <cell r="Y759" t="str">
            <v/>
          </cell>
        </row>
        <row r="760">
          <cell r="X760" t="str">
            <v/>
          </cell>
          <cell r="Y760" t="str">
            <v/>
          </cell>
        </row>
        <row r="761">
          <cell r="X761" t="str">
            <v/>
          </cell>
          <cell r="Y761" t="str">
            <v/>
          </cell>
        </row>
        <row r="762">
          <cell r="X762" t="str">
            <v/>
          </cell>
          <cell r="Y762" t="str">
            <v/>
          </cell>
        </row>
        <row r="763">
          <cell r="X763" t="str">
            <v/>
          </cell>
          <cell r="Y763" t="str">
            <v/>
          </cell>
        </row>
        <row r="764">
          <cell r="X764" t="str">
            <v/>
          </cell>
          <cell r="Y764" t="str">
            <v/>
          </cell>
        </row>
        <row r="765">
          <cell r="X765" t="str">
            <v/>
          </cell>
          <cell r="Y765" t="str">
            <v/>
          </cell>
        </row>
        <row r="766">
          <cell r="X766" t="str">
            <v/>
          </cell>
          <cell r="Y766" t="str">
            <v/>
          </cell>
        </row>
        <row r="767">
          <cell r="X767" t="str">
            <v/>
          </cell>
          <cell r="Y767" t="str">
            <v/>
          </cell>
        </row>
        <row r="768">
          <cell r="X768" t="str">
            <v/>
          </cell>
          <cell r="Y768" t="str">
            <v/>
          </cell>
        </row>
        <row r="769">
          <cell r="X769" t="str">
            <v/>
          </cell>
          <cell r="Y769" t="str">
            <v/>
          </cell>
        </row>
        <row r="770">
          <cell r="X770" t="str">
            <v/>
          </cell>
          <cell r="Y770" t="str">
            <v/>
          </cell>
        </row>
        <row r="771">
          <cell r="X771" t="str">
            <v/>
          </cell>
          <cell r="Y771" t="str">
            <v/>
          </cell>
        </row>
        <row r="772">
          <cell r="X772" t="str">
            <v/>
          </cell>
          <cell r="Y772" t="str">
            <v/>
          </cell>
        </row>
        <row r="773">
          <cell r="X773" t="str">
            <v/>
          </cell>
          <cell r="Y773" t="str">
            <v/>
          </cell>
        </row>
        <row r="774">
          <cell r="X774" t="str">
            <v/>
          </cell>
          <cell r="Y774" t="str">
            <v/>
          </cell>
        </row>
        <row r="775">
          <cell r="X775" t="str">
            <v/>
          </cell>
          <cell r="Y775" t="str">
            <v/>
          </cell>
        </row>
        <row r="776">
          <cell r="X776" t="str">
            <v/>
          </cell>
          <cell r="Y776" t="str">
            <v/>
          </cell>
        </row>
        <row r="777">
          <cell r="X777" t="str">
            <v/>
          </cell>
          <cell r="Y777" t="str">
            <v/>
          </cell>
        </row>
        <row r="778">
          <cell r="X778" t="str">
            <v/>
          </cell>
          <cell r="Y778" t="str">
            <v/>
          </cell>
        </row>
        <row r="779">
          <cell r="X779" t="str">
            <v/>
          </cell>
          <cell r="Y779" t="str">
            <v/>
          </cell>
        </row>
        <row r="780">
          <cell r="X780" t="str">
            <v/>
          </cell>
          <cell r="Y780" t="str">
            <v/>
          </cell>
        </row>
        <row r="781">
          <cell r="X781" t="str">
            <v/>
          </cell>
          <cell r="Y781" t="str">
            <v/>
          </cell>
        </row>
        <row r="782">
          <cell r="X782" t="str">
            <v/>
          </cell>
          <cell r="Y782" t="str">
            <v/>
          </cell>
        </row>
        <row r="783">
          <cell r="X783" t="str">
            <v/>
          </cell>
          <cell r="Y783" t="str">
            <v/>
          </cell>
        </row>
        <row r="784">
          <cell r="X784" t="str">
            <v/>
          </cell>
          <cell r="Y784" t="str">
            <v/>
          </cell>
        </row>
        <row r="785">
          <cell r="X785" t="str">
            <v/>
          </cell>
          <cell r="Y785" t="str">
            <v/>
          </cell>
        </row>
        <row r="786">
          <cell r="X786" t="str">
            <v/>
          </cell>
          <cell r="Y786" t="str">
            <v/>
          </cell>
        </row>
        <row r="787">
          <cell r="X787" t="str">
            <v/>
          </cell>
          <cell r="Y787" t="str">
            <v/>
          </cell>
        </row>
        <row r="788">
          <cell r="X788" t="str">
            <v/>
          </cell>
          <cell r="Y788" t="str">
            <v/>
          </cell>
        </row>
        <row r="789">
          <cell r="X789" t="str">
            <v/>
          </cell>
          <cell r="Y789" t="str">
            <v/>
          </cell>
        </row>
        <row r="790">
          <cell r="X790" t="str">
            <v/>
          </cell>
          <cell r="Y790" t="str">
            <v/>
          </cell>
        </row>
        <row r="791">
          <cell r="X791" t="str">
            <v/>
          </cell>
          <cell r="Y791" t="str">
            <v/>
          </cell>
        </row>
        <row r="792">
          <cell r="X792" t="str">
            <v/>
          </cell>
          <cell r="Y792" t="str">
            <v/>
          </cell>
        </row>
        <row r="793">
          <cell r="X793" t="str">
            <v/>
          </cell>
          <cell r="Y793" t="str">
            <v/>
          </cell>
        </row>
        <row r="794">
          <cell r="X794" t="str">
            <v/>
          </cell>
          <cell r="Y794" t="str">
            <v/>
          </cell>
        </row>
        <row r="795">
          <cell r="X795" t="str">
            <v/>
          </cell>
          <cell r="Y795" t="str">
            <v/>
          </cell>
        </row>
        <row r="796">
          <cell r="X796" t="str">
            <v/>
          </cell>
          <cell r="Y796" t="str">
            <v/>
          </cell>
        </row>
        <row r="797">
          <cell r="X797" t="str">
            <v/>
          </cell>
          <cell r="Y797" t="str">
            <v/>
          </cell>
        </row>
        <row r="798">
          <cell r="X798" t="str">
            <v/>
          </cell>
          <cell r="Y798" t="str">
            <v/>
          </cell>
        </row>
        <row r="799">
          <cell r="X799" t="str">
            <v/>
          </cell>
          <cell r="Y799" t="str">
            <v/>
          </cell>
        </row>
        <row r="800">
          <cell r="X800" t="str">
            <v/>
          </cell>
          <cell r="Y800" t="str">
            <v/>
          </cell>
        </row>
        <row r="801">
          <cell r="X801" t="str">
            <v/>
          </cell>
          <cell r="Y801" t="str">
            <v/>
          </cell>
        </row>
        <row r="802">
          <cell r="X802" t="str">
            <v/>
          </cell>
          <cell r="Y802" t="str">
            <v/>
          </cell>
        </row>
        <row r="803">
          <cell r="X803" t="str">
            <v/>
          </cell>
          <cell r="Y803" t="str">
            <v/>
          </cell>
        </row>
        <row r="804">
          <cell r="X804" t="str">
            <v/>
          </cell>
          <cell r="Y804" t="str">
            <v/>
          </cell>
        </row>
        <row r="805">
          <cell r="X805" t="str">
            <v/>
          </cell>
          <cell r="Y805" t="str">
            <v/>
          </cell>
        </row>
        <row r="806">
          <cell r="X806" t="str">
            <v/>
          </cell>
          <cell r="Y806" t="str">
            <v/>
          </cell>
        </row>
        <row r="807">
          <cell r="X807" t="str">
            <v/>
          </cell>
          <cell r="Y807" t="str">
            <v/>
          </cell>
        </row>
        <row r="808">
          <cell r="X808" t="str">
            <v/>
          </cell>
          <cell r="Y808" t="str">
            <v/>
          </cell>
        </row>
        <row r="809">
          <cell r="X809" t="str">
            <v/>
          </cell>
          <cell r="Y809" t="str">
            <v/>
          </cell>
        </row>
        <row r="810">
          <cell r="X810" t="str">
            <v/>
          </cell>
          <cell r="Y810" t="str">
            <v/>
          </cell>
        </row>
        <row r="811">
          <cell r="X811" t="str">
            <v/>
          </cell>
          <cell r="Y811" t="str">
            <v/>
          </cell>
        </row>
        <row r="812">
          <cell r="X812" t="str">
            <v/>
          </cell>
          <cell r="Y812" t="str">
            <v/>
          </cell>
        </row>
        <row r="813">
          <cell r="X813" t="str">
            <v/>
          </cell>
          <cell r="Y813" t="str">
            <v/>
          </cell>
        </row>
        <row r="814">
          <cell r="X814" t="str">
            <v/>
          </cell>
          <cell r="Y814" t="str">
            <v/>
          </cell>
        </row>
        <row r="815">
          <cell r="X815" t="str">
            <v/>
          </cell>
          <cell r="Y815" t="str">
            <v/>
          </cell>
        </row>
        <row r="816">
          <cell r="X816" t="str">
            <v/>
          </cell>
          <cell r="Y816" t="str">
            <v/>
          </cell>
        </row>
        <row r="817">
          <cell r="X817" t="str">
            <v/>
          </cell>
          <cell r="Y817" t="str">
            <v/>
          </cell>
        </row>
        <row r="818">
          <cell r="X818" t="str">
            <v/>
          </cell>
          <cell r="Y818" t="str">
            <v/>
          </cell>
        </row>
        <row r="819">
          <cell r="X819" t="str">
            <v/>
          </cell>
          <cell r="Y819" t="str">
            <v/>
          </cell>
        </row>
        <row r="820">
          <cell r="X820" t="str">
            <v/>
          </cell>
          <cell r="Y820" t="str">
            <v/>
          </cell>
        </row>
        <row r="821">
          <cell r="X821" t="str">
            <v/>
          </cell>
          <cell r="Y821" t="str">
            <v/>
          </cell>
        </row>
        <row r="822">
          <cell r="X822" t="str">
            <v/>
          </cell>
          <cell r="Y822" t="str">
            <v/>
          </cell>
        </row>
        <row r="823">
          <cell r="X823" t="str">
            <v/>
          </cell>
          <cell r="Y823" t="str">
            <v/>
          </cell>
        </row>
        <row r="824">
          <cell r="X824" t="str">
            <v/>
          </cell>
          <cell r="Y824" t="str">
            <v/>
          </cell>
        </row>
        <row r="825">
          <cell r="X825" t="str">
            <v/>
          </cell>
          <cell r="Y825" t="str">
            <v/>
          </cell>
        </row>
        <row r="826">
          <cell r="X826" t="str">
            <v/>
          </cell>
          <cell r="Y826" t="str">
            <v/>
          </cell>
        </row>
        <row r="827">
          <cell r="X827" t="str">
            <v/>
          </cell>
          <cell r="Y827" t="str">
            <v/>
          </cell>
        </row>
        <row r="828">
          <cell r="X828" t="str">
            <v/>
          </cell>
          <cell r="Y828" t="str">
            <v/>
          </cell>
        </row>
        <row r="829">
          <cell r="X829" t="str">
            <v/>
          </cell>
          <cell r="Y829" t="str">
            <v/>
          </cell>
        </row>
        <row r="830">
          <cell r="X830" t="str">
            <v/>
          </cell>
          <cell r="Y830" t="str">
            <v/>
          </cell>
        </row>
        <row r="831">
          <cell r="X831" t="str">
            <v/>
          </cell>
          <cell r="Y831" t="str">
            <v/>
          </cell>
        </row>
        <row r="832">
          <cell r="X832" t="str">
            <v/>
          </cell>
          <cell r="Y832" t="str">
            <v/>
          </cell>
        </row>
        <row r="833">
          <cell r="X833" t="str">
            <v/>
          </cell>
          <cell r="Y833" t="str">
            <v/>
          </cell>
        </row>
        <row r="834">
          <cell r="X834" t="str">
            <v/>
          </cell>
          <cell r="Y834" t="str">
            <v/>
          </cell>
        </row>
        <row r="835">
          <cell r="X835" t="str">
            <v/>
          </cell>
          <cell r="Y835" t="str">
            <v/>
          </cell>
        </row>
        <row r="836">
          <cell r="X836" t="str">
            <v/>
          </cell>
          <cell r="Y836" t="str">
            <v/>
          </cell>
        </row>
        <row r="837">
          <cell r="X837" t="str">
            <v/>
          </cell>
          <cell r="Y837" t="str">
            <v/>
          </cell>
        </row>
        <row r="838">
          <cell r="X838" t="str">
            <v/>
          </cell>
          <cell r="Y838" t="str">
            <v/>
          </cell>
        </row>
        <row r="839">
          <cell r="X839" t="str">
            <v/>
          </cell>
          <cell r="Y839" t="str">
            <v/>
          </cell>
        </row>
        <row r="840">
          <cell r="X840" t="str">
            <v/>
          </cell>
          <cell r="Y840" t="str">
            <v/>
          </cell>
        </row>
        <row r="841">
          <cell r="X841" t="str">
            <v/>
          </cell>
          <cell r="Y841" t="str">
            <v/>
          </cell>
        </row>
        <row r="842">
          <cell r="X842" t="str">
            <v/>
          </cell>
          <cell r="Y842" t="str">
            <v/>
          </cell>
        </row>
        <row r="843">
          <cell r="X843" t="str">
            <v/>
          </cell>
          <cell r="Y843" t="str">
            <v/>
          </cell>
        </row>
        <row r="844">
          <cell r="X844" t="str">
            <v/>
          </cell>
          <cell r="Y844" t="str">
            <v/>
          </cell>
        </row>
        <row r="845">
          <cell r="X845" t="str">
            <v/>
          </cell>
          <cell r="Y845" t="str">
            <v/>
          </cell>
        </row>
        <row r="846">
          <cell r="X846" t="str">
            <v/>
          </cell>
          <cell r="Y846" t="str">
            <v/>
          </cell>
        </row>
        <row r="847">
          <cell r="X847" t="str">
            <v/>
          </cell>
          <cell r="Y847" t="str">
            <v/>
          </cell>
        </row>
        <row r="848">
          <cell r="X848" t="str">
            <v/>
          </cell>
          <cell r="Y848" t="str">
            <v/>
          </cell>
        </row>
        <row r="849">
          <cell r="X849" t="str">
            <v/>
          </cell>
          <cell r="Y849" t="str">
            <v/>
          </cell>
        </row>
        <row r="850">
          <cell r="X850" t="str">
            <v/>
          </cell>
          <cell r="Y850" t="str">
            <v/>
          </cell>
        </row>
        <row r="851">
          <cell r="X851" t="str">
            <v/>
          </cell>
          <cell r="Y851" t="str">
            <v/>
          </cell>
        </row>
        <row r="852">
          <cell r="X852" t="str">
            <v/>
          </cell>
          <cell r="Y852" t="str">
            <v/>
          </cell>
        </row>
        <row r="853">
          <cell r="X853" t="str">
            <v/>
          </cell>
          <cell r="Y853" t="str">
            <v/>
          </cell>
        </row>
        <row r="854">
          <cell r="X854" t="str">
            <v/>
          </cell>
          <cell r="Y854" t="str">
            <v/>
          </cell>
        </row>
        <row r="855">
          <cell r="X855" t="str">
            <v/>
          </cell>
          <cell r="Y855" t="str">
            <v/>
          </cell>
        </row>
        <row r="856">
          <cell r="X856" t="str">
            <v/>
          </cell>
          <cell r="Y856" t="str">
            <v/>
          </cell>
        </row>
        <row r="857">
          <cell r="X857" t="str">
            <v/>
          </cell>
          <cell r="Y857" t="str">
            <v/>
          </cell>
        </row>
        <row r="858">
          <cell r="X858" t="str">
            <v/>
          </cell>
          <cell r="Y858" t="str">
            <v/>
          </cell>
        </row>
        <row r="859">
          <cell r="X859" t="str">
            <v/>
          </cell>
          <cell r="Y859" t="str">
            <v/>
          </cell>
        </row>
        <row r="860">
          <cell r="X860" t="str">
            <v/>
          </cell>
          <cell r="Y860" t="str">
            <v/>
          </cell>
        </row>
        <row r="861">
          <cell r="X861" t="str">
            <v/>
          </cell>
          <cell r="Y861" t="str">
            <v/>
          </cell>
        </row>
        <row r="862">
          <cell r="X862" t="str">
            <v/>
          </cell>
          <cell r="Y862" t="str">
            <v/>
          </cell>
        </row>
        <row r="863">
          <cell r="X863" t="str">
            <v/>
          </cell>
          <cell r="Y863" t="str">
            <v/>
          </cell>
        </row>
        <row r="864">
          <cell r="X864" t="str">
            <v/>
          </cell>
          <cell r="Y864" t="str">
            <v/>
          </cell>
        </row>
        <row r="865">
          <cell r="X865" t="str">
            <v/>
          </cell>
          <cell r="Y865" t="str">
            <v/>
          </cell>
        </row>
        <row r="866">
          <cell r="X866" t="str">
            <v/>
          </cell>
          <cell r="Y866" t="str">
            <v/>
          </cell>
        </row>
        <row r="867">
          <cell r="X867" t="str">
            <v/>
          </cell>
          <cell r="Y867" t="str">
            <v/>
          </cell>
        </row>
        <row r="868">
          <cell r="X868" t="str">
            <v/>
          </cell>
          <cell r="Y868" t="str">
            <v/>
          </cell>
        </row>
        <row r="869">
          <cell r="X869" t="str">
            <v/>
          </cell>
          <cell r="Y869" t="str">
            <v/>
          </cell>
        </row>
        <row r="870">
          <cell r="X870" t="str">
            <v/>
          </cell>
          <cell r="Y870" t="str">
            <v/>
          </cell>
        </row>
        <row r="871">
          <cell r="X871" t="str">
            <v/>
          </cell>
          <cell r="Y871" t="str">
            <v/>
          </cell>
        </row>
        <row r="872">
          <cell r="X872" t="str">
            <v/>
          </cell>
          <cell r="Y872" t="str">
            <v/>
          </cell>
        </row>
        <row r="873">
          <cell r="X873" t="str">
            <v/>
          </cell>
          <cell r="Y873" t="str">
            <v/>
          </cell>
        </row>
        <row r="874">
          <cell r="X874" t="str">
            <v/>
          </cell>
          <cell r="Y874" t="str">
            <v/>
          </cell>
        </row>
        <row r="875">
          <cell r="X875" t="str">
            <v/>
          </cell>
          <cell r="Y875" t="str">
            <v/>
          </cell>
        </row>
        <row r="876">
          <cell r="X876" t="str">
            <v/>
          </cell>
          <cell r="Y876" t="str">
            <v/>
          </cell>
        </row>
        <row r="877">
          <cell r="X877" t="str">
            <v/>
          </cell>
          <cell r="Y877" t="str">
            <v/>
          </cell>
        </row>
        <row r="878">
          <cell r="X878" t="str">
            <v/>
          </cell>
          <cell r="Y878" t="str">
            <v/>
          </cell>
        </row>
        <row r="879">
          <cell r="X879" t="str">
            <v/>
          </cell>
          <cell r="Y879" t="str">
            <v/>
          </cell>
        </row>
        <row r="880">
          <cell r="X880" t="str">
            <v/>
          </cell>
          <cell r="Y880" t="str">
            <v/>
          </cell>
        </row>
        <row r="881">
          <cell r="X881" t="str">
            <v/>
          </cell>
          <cell r="Y881" t="str">
            <v/>
          </cell>
        </row>
        <row r="882">
          <cell r="X882" t="str">
            <v/>
          </cell>
          <cell r="Y882" t="str">
            <v/>
          </cell>
        </row>
        <row r="883">
          <cell r="X883" t="str">
            <v/>
          </cell>
          <cell r="Y883" t="str">
            <v/>
          </cell>
        </row>
        <row r="884">
          <cell r="X884" t="str">
            <v/>
          </cell>
          <cell r="Y884" t="str">
            <v/>
          </cell>
        </row>
        <row r="885">
          <cell r="X885" t="str">
            <v/>
          </cell>
          <cell r="Y885" t="str">
            <v/>
          </cell>
        </row>
        <row r="886">
          <cell r="X886" t="str">
            <v/>
          </cell>
          <cell r="Y886" t="str">
            <v/>
          </cell>
        </row>
        <row r="887">
          <cell r="X887" t="str">
            <v/>
          </cell>
          <cell r="Y887" t="str">
            <v/>
          </cell>
        </row>
        <row r="888">
          <cell r="X888" t="str">
            <v/>
          </cell>
          <cell r="Y888" t="str">
            <v/>
          </cell>
        </row>
        <row r="889">
          <cell r="X889" t="str">
            <v/>
          </cell>
          <cell r="Y889" t="str">
            <v/>
          </cell>
        </row>
        <row r="890">
          <cell r="X890" t="str">
            <v/>
          </cell>
          <cell r="Y890" t="str">
            <v/>
          </cell>
        </row>
        <row r="891">
          <cell r="X891" t="str">
            <v/>
          </cell>
          <cell r="Y891" t="str">
            <v/>
          </cell>
        </row>
        <row r="892">
          <cell r="X892" t="str">
            <v/>
          </cell>
          <cell r="Y892" t="str">
            <v/>
          </cell>
        </row>
        <row r="893">
          <cell r="X893" t="str">
            <v/>
          </cell>
          <cell r="Y893" t="str">
            <v/>
          </cell>
        </row>
        <row r="894">
          <cell r="X894" t="str">
            <v/>
          </cell>
          <cell r="Y894" t="str">
            <v/>
          </cell>
        </row>
        <row r="895">
          <cell r="X895" t="str">
            <v/>
          </cell>
          <cell r="Y895" t="str">
            <v/>
          </cell>
        </row>
        <row r="896">
          <cell r="X896" t="str">
            <v/>
          </cell>
          <cell r="Y896" t="str">
            <v/>
          </cell>
        </row>
        <row r="897">
          <cell r="X897" t="str">
            <v/>
          </cell>
          <cell r="Y897" t="str">
            <v/>
          </cell>
        </row>
        <row r="898">
          <cell r="X898" t="str">
            <v/>
          </cell>
          <cell r="Y898" t="str">
            <v/>
          </cell>
        </row>
        <row r="899">
          <cell r="X899" t="str">
            <v/>
          </cell>
          <cell r="Y899" t="str">
            <v/>
          </cell>
        </row>
        <row r="900">
          <cell r="X900" t="str">
            <v/>
          </cell>
          <cell r="Y900" t="str">
            <v/>
          </cell>
        </row>
        <row r="901">
          <cell r="X901" t="str">
            <v/>
          </cell>
          <cell r="Y901" t="str">
            <v/>
          </cell>
        </row>
        <row r="902">
          <cell r="X902" t="str">
            <v/>
          </cell>
          <cell r="Y902" t="str">
            <v/>
          </cell>
        </row>
        <row r="903">
          <cell r="X903" t="str">
            <v/>
          </cell>
          <cell r="Y903" t="str">
            <v/>
          </cell>
        </row>
        <row r="904">
          <cell r="X904" t="str">
            <v/>
          </cell>
          <cell r="Y904" t="str">
            <v/>
          </cell>
        </row>
        <row r="905">
          <cell r="X905" t="str">
            <v/>
          </cell>
          <cell r="Y905" t="str">
            <v/>
          </cell>
        </row>
        <row r="906">
          <cell r="X906" t="str">
            <v/>
          </cell>
          <cell r="Y906" t="str">
            <v/>
          </cell>
        </row>
        <row r="907">
          <cell r="X907" t="str">
            <v/>
          </cell>
          <cell r="Y907" t="str">
            <v/>
          </cell>
        </row>
        <row r="908">
          <cell r="X908" t="str">
            <v/>
          </cell>
          <cell r="Y908" t="str">
            <v/>
          </cell>
        </row>
        <row r="909">
          <cell r="X909" t="str">
            <v/>
          </cell>
          <cell r="Y909" t="str">
            <v/>
          </cell>
        </row>
        <row r="910">
          <cell r="X910" t="str">
            <v/>
          </cell>
          <cell r="Y910" t="str">
            <v/>
          </cell>
        </row>
        <row r="911">
          <cell r="X911" t="str">
            <v/>
          </cell>
          <cell r="Y911" t="str">
            <v/>
          </cell>
        </row>
        <row r="912">
          <cell r="X912" t="str">
            <v/>
          </cell>
          <cell r="Y912" t="str">
            <v/>
          </cell>
        </row>
        <row r="913">
          <cell r="X913" t="str">
            <v/>
          </cell>
          <cell r="Y913" t="str">
            <v/>
          </cell>
        </row>
        <row r="914">
          <cell r="X914" t="str">
            <v/>
          </cell>
          <cell r="Y914" t="str">
            <v/>
          </cell>
        </row>
        <row r="915">
          <cell r="X915" t="str">
            <v/>
          </cell>
          <cell r="Y915" t="str">
            <v/>
          </cell>
        </row>
        <row r="916">
          <cell r="X916" t="str">
            <v/>
          </cell>
          <cell r="Y916" t="str">
            <v/>
          </cell>
        </row>
        <row r="917">
          <cell r="X917" t="str">
            <v/>
          </cell>
          <cell r="Y917" t="str">
            <v/>
          </cell>
        </row>
        <row r="918">
          <cell r="X918" t="str">
            <v/>
          </cell>
          <cell r="Y918" t="str">
            <v/>
          </cell>
        </row>
        <row r="919">
          <cell r="X919" t="str">
            <v/>
          </cell>
          <cell r="Y919" t="str">
            <v/>
          </cell>
        </row>
        <row r="920">
          <cell r="X920" t="str">
            <v/>
          </cell>
          <cell r="Y920" t="str">
            <v/>
          </cell>
        </row>
        <row r="921">
          <cell r="X921" t="str">
            <v/>
          </cell>
          <cell r="Y921" t="str">
            <v/>
          </cell>
        </row>
        <row r="922">
          <cell r="X922" t="str">
            <v/>
          </cell>
          <cell r="Y922" t="str">
            <v/>
          </cell>
        </row>
        <row r="923">
          <cell r="X923" t="str">
            <v/>
          </cell>
          <cell r="Y923" t="str">
            <v/>
          </cell>
        </row>
        <row r="924">
          <cell r="X924" t="str">
            <v/>
          </cell>
          <cell r="Y924" t="str">
            <v/>
          </cell>
        </row>
        <row r="925">
          <cell r="X925" t="str">
            <v/>
          </cell>
          <cell r="Y925" t="str">
            <v/>
          </cell>
        </row>
        <row r="926">
          <cell r="X926" t="str">
            <v/>
          </cell>
          <cell r="Y926" t="str">
            <v/>
          </cell>
        </row>
        <row r="927">
          <cell r="X927" t="str">
            <v/>
          </cell>
          <cell r="Y927" t="str">
            <v/>
          </cell>
        </row>
        <row r="928">
          <cell r="X928" t="str">
            <v/>
          </cell>
          <cell r="Y928" t="str">
            <v/>
          </cell>
        </row>
        <row r="929">
          <cell r="X929" t="str">
            <v/>
          </cell>
          <cell r="Y929" t="str">
            <v/>
          </cell>
        </row>
        <row r="930">
          <cell r="X930" t="str">
            <v/>
          </cell>
          <cell r="Y930" t="str">
            <v/>
          </cell>
        </row>
        <row r="931">
          <cell r="X931" t="str">
            <v/>
          </cell>
          <cell r="Y931" t="str">
            <v/>
          </cell>
        </row>
        <row r="932">
          <cell r="X932" t="str">
            <v/>
          </cell>
          <cell r="Y932" t="str">
            <v/>
          </cell>
        </row>
        <row r="933">
          <cell r="X933" t="str">
            <v/>
          </cell>
          <cell r="Y933" t="str">
            <v/>
          </cell>
        </row>
        <row r="934">
          <cell r="X934" t="str">
            <v/>
          </cell>
          <cell r="Y934" t="str">
            <v/>
          </cell>
        </row>
        <row r="935">
          <cell r="X935" t="str">
            <v/>
          </cell>
          <cell r="Y935" t="str">
            <v/>
          </cell>
        </row>
        <row r="936">
          <cell r="X936" t="str">
            <v/>
          </cell>
          <cell r="Y936" t="str">
            <v/>
          </cell>
        </row>
        <row r="937">
          <cell r="X937" t="str">
            <v/>
          </cell>
          <cell r="Y937" t="str">
            <v/>
          </cell>
        </row>
        <row r="938">
          <cell r="X938" t="str">
            <v/>
          </cell>
          <cell r="Y938" t="str">
            <v/>
          </cell>
        </row>
        <row r="939">
          <cell r="X939" t="str">
            <v/>
          </cell>
          <cell r="Y939" t="str">
            <v/>
          </cell>
        </row>
        <row r="940">
          <cell r="X940" t="str">
            <v/>
          </cell>
          <cell r="Y940" t="str">
            <v/>
          </cell>
        </row>
        <row r="941">
          <cell r="X941" t="str">
            <v/>
          </cell>
          <cell r="Y941" t="str">
            <v/>
          </cell>
        </row>
        <row r="942">
          <cell r="X942" t="str">
            <v/>
          </cell>
          <cell r="Y942" t="str">
            <v/>
          </cell>
        </row>
        <row r="943">
          <cell r="X943" t="str">
            <v/>
          </cell>
          <cell r="Y943" t="str">
            <v/>
          </cell>
        </row>
        <row r="944">
          <cell r="X944" t="str">
            <v/>
          </cell>
          <cell r="Y944" t="str">
            <v/>
          </cell>
        </row>
        <row r="945">
          <cell r="X945" t="str">
            <v/>
          </cell>
          <cell r="Y945" t="str">
            <v/>
          </cell>
        </row>
        <row r="946">
          <cell r="X946" t="str">
            <v/>
          </cell>
          <cell r="Y946" t="str">
            <v/>
          </cell>
        </row>
        <row r="947">
          <cell r="X947" t="str">
            <v/>
          </cell>
          <cell r="Y947" t="str">
            <v/>
          </cell>
        </row>
        <row r="948">
          <cell r="X948" t="str">
            <v/>
          </cell>
          <cell r="Y948" t="str">
            <v/>
          </cell>
        </row>
        <row r="949">
          <cell r="X949" t="str">
            <v/>
          </cell>
          <cell r="Y949" t="str">
            <v/>
          </cell>
        </row>
        <row r="950">
          <cell r="X950" t="str">
            <v/>
          </cell>
          <cell r="Y950" t="str">
            <v/>
          </cell>
        </row>
        <row r="951">
          <cell r="X951" t="str">
            <v/>
          </cell>
          <cell r="Y951" t="str">
            <v/>
          </cell>
        </row>
        <row r="952">
          <cell r="X952" t="str">
            <v/>
          </cell>
          <cell r="Y952" t="str">
            <v/>
          </cell>
        </row>
        <row r="953">
          <cell r="X953" t="str">
            <v/>
          </cell>
          <cell r="Y953" t="str">
            <v/>
          </cell>
        </row>
        <row r="954">
          <cell r="X954" t="str">
            <v/>
          </cell>
          <cell r="Y954" t="str">
            <v/>
          </cell>
        </row>
        <row r="955">
          <cell r="X955" t="str">
            <v/>
          </cell>
          <cell r="Y955" t="str">
            <v/>
          </cell>
        </row>
        <row r="956">
          <cell r="X956" t="str">
            <v/>
          </cell>
          <cell r="Y956" t="str">
            <v/>
          </cell>
        </row>
        <row r="957">
          <cell r="X957" t="str">
            <v/>
          </cell>
          <cell r="Y957" t="str">
            <v/>
          </cell>
        </row>
        <row r="958">
          <cell r="X958" t="str">
            <v/>
          </cell>
          <cell r="Y958" t="str">
            <v/>
          </cell>
        </row>
        <row r="959">
          <cell r="X959" t="str">
            <v/>
          </cell>
          <cell r="Y959" t="str">
            <v/>
          </cell>
        </row>
        <row r="960">
          <cell r="X960" t="str">
            <v/>
          </cell>
          <cell r="Y960" t="str">
            <v/>
          </cell>
        </row>
        <row r="961">
          <cell r="X961" t="str">
            <v/>
          </cell>
          <cell r="Y961" t="str">
            <v/>
          </cell>
        </row>
        <row r="962">
          <cell r="X962" t="str">
            <v/>
          </cell>
          <cell r="Y962" t="str">
            <v/>
          </cell>
        </row>
        <row r="963">
          <cell r="X963" t="str">
            <v/>
          </cell>
          <cell r="Y963" t="str">
            <v/>
          </cell>
        </row>
        <row r="964">
          <cell r="X964" t="str">
            <v/>
          </cell>
          <cell r="Y964" t="str">
            <v/>
          </cell>
        </row>
        <row r="965">
          <cell r="X965" t="str">
            <v/>
          </cell>
          <cell r="Y965" t="str">
            <v/>
          </cell>
        </row>
        <row r="966">
          <cell r="X966" t="str">
            <v/>
          </cell>
          <cell r="Y966" t="str">
            <v/>
          </cell>
        </row>
        <row r="967">
          <cell r="X967" t="str">
            <v/>
          </cell>
          <cell r="Y967" t="str">
            <v/>
          </cell>
        </row>
        <row r="968">
          <cell r="X968" t="str">
            <v/>
          </cell>
          <cell r="Y968" t="str">
            <v/>
          </cell>
        </row>
        <row r="969">
          <cell r="X969" t="str">
            <v/>
          </cell>
          <cell r="Y969" t="str">
            <v/>
          </cell>
        </row>
        <row r="970">
          <cell r="X970" t="str">
            <v/>
          </cell>
          <cell r="Y970" t="str">
            <v/>
          </cell>
        </row>
        <row r="971">
          <cell r="X971" t="str">
            <v/>
          </cell>
          <cell r="Y971" t="str">
            <v/>
          </cell>
        </row>
        <row r="972">
          <cell r="X972" t="str">
            <v/>
          </cell>
          <cell r="Y972" t="str">
            <v/>
          </cell>
        </row>
        <row r="973">
          <cell r="X973" t="str">
            <v/>
          </cell>
          <cell r="Y973" t="str">
            <v/>
          </cell>
        </row>
        <row r="974">
          <cell r="X974" t="str">
            <v/>
          </cell>
          <cell r="Y974" t="str">
            <v/>
          </cell>
        </row>
        <row r="975">
          <cell r="X975" t="str">
            <v/>
          </cell>
          <cell r="Y975" t="str">
            <v/>
          </cell>
        </row>
        <row r="976">
          <cell r="X976" t="str">
            <v/>
          </cell>
          <cell r="Y976" t="str">
            <v/>
          </cell>
        </row>
        <row r="977">
          <cell r="X977" t="str">
            <v/>
          </cell>
          <cell r="Y977" t="str">
            <v/>
          </cell>
        </row>
        <row r="978">
          <cell r="X978" t="str">
            <v/>
          </cell>
          <cell r="Y978" t="str">
            <v/>
          </cell>
        </row>
        <row r="979">
          <cell r="X979" t="str">
            <v/>
          </cell>
          <cell r="Y979" t="str">
            <v/>
          </cell>
        </row>
        <row r="980">
          <cell r="X980" t="str">
            <v/>
          </cell>
          <cell r="Y980" t="str">
            <v/>
          </cell>
        </row>
        <row r="981">
          <cell r="X981" t="str">
            <v/>
          </cell>
          <cell r="Y981" t="str">
            <v/>
          </cell>
        </row>
        <row r="982">
          <cell r="X982" t="str">
            <v/>
          </cell>
          <cell r="Y982" t="str">
            <v/>
          </cell>
        </row>
        <row r="983">
          <cell r="X983" t="str">
            <v/>
          </cell>
          <cell r="Y983" t="str">
            <v/>
          </cell>
        </row>
        <row r="984">
          <cell r="X984" t="str">
            <v/>
          </cell>
          <cell r="Y984" t="str">
            <v/>
          </cell>
        </row>
        <row r="985">
          <cell r="X985" t="str">
            <v/>
          </cell>
          <cell r="Y985" t="str">
            <v/>
          </cell>
        </row>
        <row r="986">
          <cell r="X986" t="str">
            <v/>
          </cell>
          <cell r="Y986" t="str">
            <v/>
          </cell>
        </row>
        <row r="987">
          <cell r="X987" t="str">
            <v/>
          </cell>
          <cell r="Y987" t="str">
            <v/>
          </cell>
        </row>
        <row r="988">
          <cell r="X988" t="str">
            <v/>
          </cell>
          <cell r="Y988" t="str">
            <v/>
          </cell>
        </row>
        <row r="989">
          <cell r="X989" t="str">
            <v/>
          </cell>
          <cell r="Y989" t="str">
            <v/>
          </cell>
        </row>
        <row r="990">
          <cell r="X990" t="str">
            <v/>
          </cell>
          <cell r="Y990" t="str">
            <v/>
          </cell>
        </row>
        <row r="991">
          <cell r="X991" t="str">
            <v/>
          </cell>
          <cell r="Y991" t="str">
            <v/>
          </cell>
        </row>
        <row r="992">
          <cell r="X992" t="str">
            <v/>
          </cell>
          <cell r="Y992" t="str">
            <v/>
          </cell>
        </row>
        <row r="993">
          <cell r="X993" t="str">
            <v/>
          </cell>
          <cell r="Y993" t="str">
            <v/>
          </cell>
        </row>
        <row r="994">
          <cell r="X994" t="str">
            <v/>
          </cell>
          <cell r="Y994" t="str">
            <v/>
          </cell>
        </row>
        <row r="995">
          <cell r="X995" t="str">
            <v/>
          </cell>
          <cell r="Y995" t="str">
            <v/>
          </cell>
        </row>
        <row r="996">
          <cell r="X996" t="str">
            <v/>
          </cell>
          <cell r="Y996" t="str">
            <v/>
          </cell>
        </row>
        <row r="997">
          <cell r="X997" t="str">
            <v/>
          </cell>
          <cell r="Y997" t="str">
            <v/>
          </cell>
        </row>
        <row r="998">
          <cell r="X998" t="str">
            <v/>
          </cell>
          <cell r="Y998" t="str">
            <v/>
          </cell>
        </row>
        <row r="999">
          <cell r="X999" t="str">
            <v/>
          </cell>
          <cell r="Y999" t="str">
            <v/>
          </cell>
        </row>
        <row r="1000">
          <cell r="X1000" t="str">
            <v/>
          </cell>
          <cell r="Y1000" t="str">
            <v/>
          </cell>
        </row>
        <row r="1001">
          <cell r="X1001" t="str">
            <v/>
          </cell>
          <cell r="Y1001" t="str">
            <v/>
          </cell>
        </row>
        <row r="1002">
          <cell r="X1002" t="str">
            <v/>
          </cell>
          <cell r="Y1002" t="str">
            <v/>
          </cell>
        </row>
        <row r="1003">
          <cell r="X1003" t="str">
            <v/>
          </cell>
          <cell r="Y1003" t="str">
            <v/>
          </cell>
        </row>
        <row r="1004">
          <cell r="X1004" t="str">
            <v/>
          </cell>
          <cell r="Y1004" t="str">
            <v/>
          </cell>
        </row>
        <row r="1005">
          <cell r="X1005" t="str">
            <v/>
          </cell>
          <cell r="Y1005" t="str">
            <v/>
          </cell>
        </row>
        <row r="1006">
          <cell r="X1006" t="str">
            <v/>
          </cell>
          <cell r="Y1006" t="str">
            <v/>
          </cell>
        </row>
        <row r="1007">
          <cell r="X1007" t="str">
            <v/>
          </cell>
          <cell r="Y1007" t="str">
            <v/>
          </cell>
        </row>
        <row r="1008">
          <cell r="X1008" t="str">
            <v/>
          </cell>
          <cell r="Y1008" t="str">
            <v/>
          </cell>
        </row>
        <row r="1009">
          <cell r="X1009" t="str">
            <v/>
          </cell>
          <cell r="Y1009" t="str">
            <v/>
          </cell>
        </row>
        <row r="1010">
          <cell r="X1010" t="str">
            <v/>
          </cell>
          <cell r="Y1010" t="str">
            <v/>
          </cell>
        </row>
        <row r="1011">
          <cell r="X1011" t="str">
            <v/>
          </cell>
          <cell r="Y1011" t="str">
            <v/>
          </cell>
        </row>
        <row r="1012">
          <cell r="X1012" t="str">
            <v/>
          </cell>
          <cell r="Y1012" t="str">
            <v/>
          </cell>
        </row>
        <row r="1013">
          <cell r="X1013" t="str">
            <v/>
          </cell>
          <cell r="Y1013" t="str">
            <v/>
          </cell>
        </row>
        <row r="1014">
          <cell r="X1014" t="str">
            <v/>
          </cell>
          <cell r="Y1014" t="str">
            <v/>
          </cell>
        </row>
        <row r="1015">
          <cell r="X1015" t="str">
            <v/>
          </cell>
          <cell r="Y1015" t="str">
            <v/>
          </cell>
        </row>
        <row r="1016">
          <cell r="X1016" t="str">
            <v/>
          </cell>
          <cell r="Y1016" t="str">
            <v/>
          </cell>
        </row>
        <row r="1017">
          <cell r="X1017" t="str">
            <v/>
          </cell>
          <cell r="Y1017" t="str">
            <v/>
          </cell>
        </row>
        <row r="1018">
          <cell r="X1018" t="str">
            <v/>
          </cell>
          <cell r="Y1018" t="str">
            <v/>
          </cell>
        </row>
        <row r="1019">
          <cell r="X1019" t="str">
            <v/>
          </cell>
          <cell r="Y1019" t="str">
            <v/>
          </cell>
        </row>
        <row r="1020">
          <cell r="X1020" t="str">
            <v/>
          </cell>
          <cell r="Y1020" t="str">
            <v/>
          </cell>
        </row>
        <row r="1021">
          <cell r="X1021" t="str">
            <v/>
          </cell>
          <cell r="Y1021" t="str">
            <v/>
          </cell>
        </row>
        <row r="1022">
          <cell r="X1022" t="str">
            <v/>
          </cell>
          <cell r="Y1022" t="str">
            <v/>
          </cell>
        </row>
        <row r="1023">
          <cell r="X1023" t="str">
            <v/>
          </cell>
          <cell r="Y1023" t="str">
            <v/>
          </cell>
        </row>
        <row r="1024">
          <cell r="X1024" t="str">
            <v/>
          </cell>
          <cell r="Y1024" t="str">
            <v/>
          </cell>
        </row>
        <row r="1025">
          <cell r="X1025" t="str">
            <v/>
          </cell>
          <cell r="Y1025" t="str">
            <v/>
          </cell>
        </row>
        <row r="1026">
          <cell r="X1026" t="str">
            <v/>
          </cell>
          <cell r="Y1026" t="str">
            <v/>
          </cell>
        </row>
        <row r="1027">
          <cell r="X1027" t="str">
            <v/>
          </cell>
          <cell r="Y1027" t="str">
            <v/>
          </cell>
        </row>
        <row r="1028">
          <cell r="X1028" t="str">
            <v/>
          </cell>
          <cell r="Y1028" t="str">
            <v/>
          </cell>
        </row>
        <row r="1029">
          <cell r="X1029" t="str">
            <v/>
          </cell>
          <cell r="Y1029" t="str">
            <v/>
          </cell>
        </row>
        <row r="1030">
          <cell r="X1030" t="str">
            <v/>
          </cell>
          <cell r="Y1030" t="str">
            <v/>
          </cell>
        </row>
        <row r="1031">
          <cell r="X1031" t="str">
            <v/>
          </cell>
          <cell r="Y1031" t="str">
            <v/>
          </cell>
        </row>
        <row r="1032">
          <cell r="X1032" t="str">
            <v/>
          </cell>
          <cell r="Y1032" t="str">
            <v/>
          </cell>
        </row>
        <row r="1033">
          <cell r="X1033" t="str">
            <v/>
          </cell>
          <cell r="Y1033" t="str">
            <v/>
          </cell>
        </row>
        <row r="1034">
          <cell r="X1034" t="str">
            <v/>
          </cell>
          <cell r="Y1034" t="str">
            <v/>
          </cell>
        </row>
        <row r="1035">
          <cell r="X1035" t="str">
            <v/>
          </cell>
          <cell r="Y1035" t="str">
            <v/>
          </cell>
        </row>
        <row r="1036">
          <cell r="X1036" t="str">
            <v/>
          </cell>
          <cell r="Y1036" t="str">
            <v/>
          </cell>
        </row>
        <row r="1037">
          <cell r="X1037" t="str">
            <v/>
          </cell>
          <cell r="Y1037" t="str">
            <v/>
          </cell>
        </row>
        <row r="1038">
          <cell r="X1038" t="str">
            <v/>
          </cell>
          <cell r="Y1038" t="str">
            <v/>
          </cell>
        </row>
        <row r="1039">
          <cell r="X1039" t="str">
            <v/>
          </cell>
          <cell r="Y1039" t="str">
            <v/>
          </cell>
        </row>
        <row r="1040">
          <cell r="X1040" t="str">
            <v/>
          </cell>
          <cell r="Y1040" t="str">
            <v/>
          </cell>
        </row>
        <row r="1041">
          <cell r="X1041" t="str">
            <v/>
          </cell>
          <cell r="Y1041" t="str">
            <v/>
          </cell>
        </row>
        <row r="1042">
          <cell r="X1042" t="str">
            <v/>
          </cell>
          <cell r="Y1042" t="str">
            <v/>
          </cell>
        </row>
        <row r="1043">
          <cell r="X1043" t="str">
            <v/>
          </cell>
          <cell r="Y1043" t="str">
            <v/>
          </cell>
        </row>
        <row r="1044">
          <cell r="X1044" t="str">
            <v/>
          </cell>
          <cell r="Y1044" t="str">
            <v/>
          </cell>
        </row>
        <row r="1045">
          <cell r="X1045" t="str">
            <v/>
          </cell>
          <cell r="Y1045" t="str">
            <v/>
          </cell>
        </row>
        <row r="1046">
          <cell r="X1046" t="str">
            <v/>
          </cell>
          <cell r="Y1046" t="str">
            <v/>
          </cell>
        </row>
        <row r="1047">
          <cell r="X1047" t="str">
            <v/>
          </cell>
          <cell r="Y1047" t="str">
            <v/>
          </cell>
        </row>
        <row r="1048">
          <cell r="X1048" t="str">
            <v/>
          </cell>
          <cell r="Y1048" t="str">
            <v/>
          </cell>
        </row>
        <row r="1049">
          <cell r="X1049" t="str">
            <v/>
          </cell>
          <cell r="Y1049" t="str">
            <v/>
          </cell>
        </row>
        <row r="1050">
          <cell r="X1050" t="str">
            <v/>
          </cell>
          <cell r="Y1050" t="str">
            <v/>
          </cell>
        </row>
        <row r="1051">
          <cell r="X1051" t="str">
            <v/>
          </cell>
          <cell r="Y1051" t="str">
            <v/>
          </cell>
        </row>
        <row r="1052">
          <cell r="X1052" t="str">
            <v/>
          </cell>
          <cell r="Y1052" t="str">
            <v/>
          </cell>
        </row>
        <row r="1053">
          <cell r="X1053" t="str">
            <v/>
          </cell>
          <cell r="Y1053" t="str">
            <v/>
          </cell>
        </row>
        <row r="1054">
          <cell r="X1054" t="str">
            <v/>
          </cell>
          <cell r="Y1054" t="str">
            <v/>
          </cell>
        </row>
        <row r="1055">
          <cell r="X1055" t="str">
            <v/>
          </cell>
          <cell r="Y1055" t="str">
            <v/>
          </cell>
        </row>
        <row r="1056">
          <cell r="X1056" t="str">
            <v/>
          </cell>
          <cell r="Y1056" t="str">
            <v/>
          </cell>
        </row>
        <row r="1057">
          <cell r="X1057" t="str">
            <v/>
          </cell>
          <cell r="Y1057" t="str">
            <v/>
          </cell>
        </row>
        <row r="1058">
          <cell r="X1058" t="str">
            <v/>
          </cell>
          <cell r="Y1058" t="str">
            <v/>
          </cell>
        </row>
        <row r="1059">
          <cell r="X1059" t="str">
            <v/>
          </cell>
          <cell r="Y1059" t="str">
            <v/>
          </cell>
        </row>
        <row r="1060">
          <cell r="X1060" t="str">
            <v/>
          </cell>
          <cell r="Y1060" t="str">
            <v/>
          </cell>
        </row>
        <row r="1061">
          <cell r="X1061" t="str">
            <v/>
          </cell>
          <cell r="Y1061" t="str">
            <v/>
          </cell>
        </row>
        <row r="1062">
          <cell r="X1062" t="str">
            <v/>
          </cell>
          <cell r="Y1062" t="str">
            <v/>
          </cell>
        </row>
        <row r="1063">
          <cell r="X1063" t="str">
            <v/>
          </cell>
          <cell r="Y1063" t="str">
            <v/>
          </cell>
        </row>
        <row r="1064">
          <cell r="X1064" t="str">
            <v/>
          </cell>
          <cell r="Y1064" t="str">
            <v/>
          </cell>
        </row>
        <row r="1065">
          <cell r="X1065" t="str">
            <v/>
          </cell>
          <cell r="Y1065" t="str">
            <v/>
          </cell>
        </row>
        <row r="1066">
          <cell r="X1066" t="str">
            <v/>
          </cell>
          <cell r="Y1066" t="str">
            <v/>
          </cell>
        </row>
        <row r="1067">
          <cell r="X1067" t="str">
            <v/>
          </cell>
          <cell r="Y1067" t="str">
            <v/>
          </cell>
        </row>
        <row r="1068">
          <cell r="X1068" t="str">
            <v/>
          </cell>
          <cell r="Y1068" t="str">
            <v/>
          </cell>
        </row>
        <row r="1069">
          <cell r="X1069" t="str">
            <v/>
          </cell>
          <cell r="Y1069" t="str">
            <v/>
          </cell>
        </row>
        <row r="1070">
          <cell r="X1070" t="str">
            <v/>
          </cell>
          <cell r="Y1070" t="str">
            <v/>
          </cell>
        </row>
        <row r="1071">
          <cell r="X1071" t="str">
            <v/>
          </cell>
          <cell r="Y1071" t="str">
            <v/>
          </cell>
        </row>
        <row r="1072">
          <cell r="X1072" t="str">
            <v/>
          </cell>
          <cell r="Y1072" t="str">
            <v/>
          </cell>
        </row>
        <row r="1073">
          <cell r="X1073" t="str">
            <v/>
          </cell>
          <cell r="Y1073" t="str">
            <v/>
          </cell>
        </row>
        <row r="1074">
          <cell r="X1074" t="str">
            <v/>
          </cell>
          <cell r="Y1074" t="str">
            <v/>
          </cell>
        </row>
        <row r="1075">
          <cell r="X1075" t="str">
            <v/>
          </cell>
          <cell r="Y1075" t="str">
            <v/>
          </cell>
        </row>
        <row r="1076">
          <cell r="X1076" t="str">
            <v/>
          </cell>
          <cell r="Y1076" t="str">
            <v/>
          </cell>
        </row>
        <row r="1077">
          <cell r="X1077" t="str">
            <v/>
          </cell>
          <cell r="Y1077" t="str">
            <v/>
          </cell>
        </row>
        <row r="1078">
          <cell r="X1078" t="str">
            <v/>
          </cell>
          <cell r="Y1078" t="str">
            <v/>
          </cell>
        </row>
        <row r="1079">
          <cell r="X1079" t="str">
            <v/>
          </cell>
          <cell r="Y1079" t="str">
            <v/>
          </cell>
        </row>
        <row r="1080">
          <cell r="X1080" t="str">
            <v/>
          </cell>
          <cell r="Y1080" t="str">
            <v/>
          </cell>
        </row>
        <row r="1081">
          <cell r="X1081" t="str">
            <v/>
          </cell>
          <cell r="Y1081" t="str">
            <v/>
          </cell>
        </row>
        <row r="1082">
          <cell r="X1082" t="str">
            <v/>
          </cell>
          <cell r="Y1082" t="str">
            <v/>
          </cell>
        </row>
        <row r="1083">
          <cell r="X1083" t="str">
            <v/>
          </cell>
          <cell r="Y1083" t="str">
            <v/>
          </cell>
        </row>
        <row r="1084">
          <cell r="X1084" t="str">
            <v/>
          </cell>
          <cell r="Y1084" t="str">
            <v/>
          </cell>
        </row>
        <row r="1085">
          <cell r="X1085" t="str">
            <v/>
          </cell>
          <cell r="Y1085" t="str">
            <v/>
          </cell>
        </row>
        <row r="1086">
          <cell r="X1086" t="str">
            <v/>
          </cell>
          <cell r="Y1086" t="str">
            <v/>
          </cell>
        </row>
        <row r="1087">
          <cell r="X1087" t="str">
            <v/>
          </cell>
          <cell r="Y1087" t="str">
            <v/>
          </cell>
        </row>
        <row r="1088">
          <cell r="X1088" t="str">
            <v/>
          </cell>
          <cell r="Y1088" t="str">
            <v/>
          </cell>
        </row>
        <row r="1089">
          <cell r="X1089" t="str">
            <v/>
          </cell>
          <cell r="Y1089" t="str">
            <v/>
          </cell>
        </row>
        <row r="1090">
          <cell r="X1090" t="str">
            <v/>
          </cell>
          <cell r="Y1090" t="str">
            <v/>
          </cell>
        </row>
        <row r="1091">
          <cell r="X1091" t="str">
            <v/>
          </cell>
          <cell r="Y1091" t="str">
            <v/>
          </cell>
        </row>
        <row r="1092">
          <cell r="X1092" t="str">
            <v/>
          </cell>
          <cell r="Y1092" t="str">
            <v/>
          </cell>
        </row>
        <row r="1093">
          <cell r="X1093" t="str">
            <v/>
          </cell>
          <cell r="Y1093" t="str">
            <v/>
          </cell>
        </row>
        <row r="1094">
          <cell r="X1094" t="str">
            <v/>
          </cell>
          <cell r="Y1094" t="str">
            <v/>
          </cell>
        </row>
        <row r="1095">
          <cell r="X1095" t="str">
            <v/>
          </cell>
          <cell r="Y1095" t="str">
            <v/>
          </cell>
        </row>
        <row r="1096">
          <cell r="X1096" t="str">
            <v/>
          </cell>
          <cell r="Y1096" t="str">
            <v/>
          </cell>
        </row>
        <row r="1097">
          <cell r="X1097" t="str">
            <v/>
          </cell>
          <cell r="Y1097" t="str">
            <v/>
          </cell>
        </row>
        <row r="1098">
          <cell r="X1098" t="str">
            <v/>
          </cell>
          <cell r="Y1098" t="str">
            <v/>
          </cell>
        </row>
        <row r="1099">
          <cell r="X1099" t="str">
            <v/>
          </cell>
          <cell r="Y1099" t="str">
            <v/>
          </cell>
        </row>
        <row r="1100">
          <cell r="X1100" t="str">
            <v/>
          </cell>
          <cell r="Y1100" t="str">
            <v/>
          </cell>
        </row>
        <row r="1101">
          <cell r="X1101" t="str">
            <v/>
          </cell>
          <cell r="Y1101" t="str">
            <v/>
          </cell>
        </row>
        <row r="1102">
          <cell r="X1102" t="str">
            <v/>
          </cell>
          <cell r="Y1102" t="str">
            <v/>
          </cell>
        </row>
        <row r="1103">
          <cell r="X1103" t="str">
            <v/>
          </cell>
          <cell r="Y1103" t="str">
            <v/>
          </cell>
        </row>
        <row r="1104">
          <cell r="X1104" t="str">
            <v/>
          </cell>
          <cell r="Y1104" t="str">
            <v/>
          </cell>
        </row>
        <row r="1105">
          <cell r="X1105" t="str">
            <v/>
          </cell>
          <cell r="Y1105" t="str">
            <v/>
          </cell>
        </row>
        <row r="1106">
          <cell r="X1106" t="str">
            <v/>
          </cell>
          <cell r="Y1106" t="str">
            <v/>
          </cell>
        </row>
        <row r="1107">
          <cell r="X1107" t="str">
            <v/>
          </cell>
          <cell r="Y1107" t="str">
            <v/>
          </cell>
        </row>
        <row r="1108">
          <cell r="X1108" t="str">
            <v/>
          </cell>
          <cell r="Y1108" t="str">
            <v/>
          </cell>
        </row>
        <row r="1109">
          <cell r="X1109" t="str">
            <v/>
          </cell>
          <cell r="Y1109" t="str">
            <v/>
          </cell>
        </row>
        <row r="1110">
          <cell r="X1110" t="str">
            <v/>
          </cell>
          <cell r="Y1110" t="str">
            <v/>
          </cell>
        </row>
        <row r="1111">
          <cell r="X1111" t="str">
            <v/>
          </cell>
          <cell r="Y1111" t="str">
            <v/>
          </cell>
        </row>
        <row r="1112">
          <cell r="X1112" t="str">
            <v/>
          </cell>
          <cell r="Y1112" t="str">
            <v/>
          </cell>
        </row>
        <row r="1113">
          <cell r="X1113" t="str">
            <v/>
          </cell>
          <cell r="Y1113" t="str">
            <v/>
          </cell>
        </row>
        <row r="1114">
          <cell r="X1114" t="str">
            <v/>
          </cell>
          <cell r="Y1114" t="str">
            <v/>
          </cell>
        </row>
        <row r="1115">
          <cell r="X1115" t="str">
            <v/>
          </cell>
          <cell r="Y1115" t="str">
            <v/>
          </cell>
        </row>
        <row r="1116">
          <cell r="X1116" t="str">
            <v/>
          </cell>
          <cell r="Y1116" t="str">
            <v/>
          </cell>
        </row>
        <row r="1117">
          <cell r="X1117" t="str">
            <v/>
          </cell>
          <cell r="Y1117" t="str">
            <v/>
          </cell>
        </row>
        <row r="1118">
          <cell r="X1118" t="str">
            <v/>
          </cell>
          <cell r="Y1118" t="str">
            <v/>
          </cell>
        </row>
        <row r="1119">
          <cell r="X1119" t="str">
            <v/>
          </cell>
          <cell r="Y1119" t="str">
            <v/>
          </cell>
        </row>
        <row r="1120">
          <cell r="X1120" t="str">
            <v/>
          </cell>
          <cell r="Y1120" t="str">
            <v/>
          </cell>
        </row>
        <row r="1121">
          <cell r="X1121" t="str">
            <v/>
          </cell>
          <cell r="Y1121" t="str">
            <v/>
          </cell>
        </row>
        <row r="1122">
          <cell r="X1122" t="str">
            <v/>
          </cell>
          <cell r="Y1122" t="str">
            <v/>
          </cell>
        </row>
        <row r="1123">
          <cell r="X1123" t="str">
            <v/>
          </cell>
          <cell r="Y1123" t="str">
            <v/>
          </cell>
        </row>
        <row r="1124">
          <cell r="X1124" t="str">
            <v/>
          </cell>
          <cell r="Y1124" t="str">
            <v/>
          </cell>
        </row>
        <row r="1125">
          <cell r="X1125" t="str">
            <v/>
          </cell>
          <cell r="Y1125" t="str">
            <v/>
          </cell>
        </row>
        <row r="1126">
          <cell r="X1126" t="str">
            <v/>
          </cell>
          <cell r="Y1126" t="str">
            <v/>
          </cell>
        </row>
        <row r="1127">
          <cell r="X1127" t="str">
            <v/>
          </cell>
          <cell r="Y1127" t="str">
            <v/>
          </cell>
        </row>
        <row r="1128">
          <cell r="X1128" t="str">
            <v/>
          </cell>
          <cell r="Y1128" t="str">
            <v/>
          </cell>
        </row>
        <row r="1129">
          <cell r="X1129" t="str">
            <v/>
          </cell>
          <cell r="Y1129" t="str">
            <v/>
          </cell>
        </row>
        <row r="1130">
          <cell r="X1130" t="str">
            <v/>
          </cell>
          <cell r="Y1130" t="str">
            <v/>
          </cell>
        </row>
        <row r="1131">
          <cell r="X1131" t="str">
            <v/>
          </cell>
          <cell r="Y1131" t="str">
            <v/>
          </cell>
        </row>
        <row r="1132">
          <cell r="X1132" t="str">
            <v/>
          </cell>
          <cell r="Y1132" t="str">
            <v/>
          </cell>
        </row>
        <row r="1133">
          <cell r="X1133" t="str">
            <v/>
          </cell>
          <cell r="Y1133" t="str">
            <v/>
          </cell>
        </row>
        <row r="1134">
          <cell r="X1134" t="str">
            <v/>
          </cell>
          <cell r="Y1134" t="str">
            <v/>
          </cell>
        </row>
        <row r="1135">
          <cell r="X1135" t="str">
            <v/>
          </cell>
          <cell r="Y1135" t="str">
            <v/>
          </cell>
        </row>
        <row r="1136">
          <cell r="X1136" t="str">
            <v/>
          </cell>
          <cell r="Y1136" t="str">
            <v/>
          </cell>
        </row>
        <row r="1137">
          <cell r="X1137" t="str">
            <v/>
          </cell>
          <cell r="Y1137" t="str">
            <v/>
          </cell>
        </row>
        <row r="1138">
          <cell r="X1138" t="str">
            <v/>
          </cell>
          <cell r="Y1138" t="str">
            <v/>
          </cell>
        </row>
        <row r="1139">
          <cell r="X1139" t="str">
            <v/>
          </cell>
          <cell r="Y1139" t="str">
            <v/>
          </cell>
        </row>
        <row r="1140">
          <cell r="X1140" t="str">
            <v/>
          </cell>
          <cell r="Y1140" t="str">
            <v/>
          </cell>
        </row>
        <row r="1141">
          <cell r="X1141" t="str">
            <v/>
          </cell>
          <cell r="Y1141" t="str">
            <v/>
          </cell>
        </row>
        <row r="1142">
          <cell r="X1142" t="str">
            <v/>
          </cell>
          <cell r="Y1142" t="str">
            <v/>
          </cell>
        </row>
        <row r="1143">
          <cell r="X1143" t="str">
            <v/>
          </cell>
          <cell r="Y1143" t="str">
            <v/>
          </cell>
        </row>
        <row r="1144">
          <cell r="X1144" t="str">
            <v/>
          </cell>
          <cell r="Y1144" t="str">
            <v/>
          </cell>
        </row>
        <row r="1145">
          <cell r="X1145" t="str">
            <v/>
          </cell>
          <cell r="Y1145" t="str">
            <v/>
          </cell>
        </row>
        <row r="1146">
          <cell r="X1146" t="str">
            <v/>
          </cell>
          <cell r="Y1146" t="str">
            <v/>
          </cell>
        </row>
        <row r="1147">
          <cell r="X1147" t="str">
            <v/>
          </cell>
          <cell r="Y1147" t="str">
            <v/>
          </cell>
        </row>
        <row r="1148">
          <cell r="X1148" t="str">
            <v/>
          </cell>
          <cell r="Y1148" t="str">
            <v/>
          </cell>
        </row>
        <row r="1149">
          <cell r="X1149" t="str">
            <v/>
          </cell>
          <cell r="Y1149" t="str">
            <v/>
          </cell>
        </row>
        <row r="1150">
          <cell r="X1150" t="str">
            <v/>
          </cell>
          <cell r="Y1150" t="str">
            <v/>
          </cell>
        </row>
        <row r="1151">
          <cell r="X1151" t="str">
            <v/>
          </cell>
          <cell r="Y1151" t="str">
            <v/>
          </cell>
        </row>
        <row r="1152">
          <cell r="X1152" t="str">
            <v/>
          </cell>
          <cell r="Y1152" t="str">
            <v/>
          </cell>
        </row>
        <row r="1153">
          <cell r="X1153" t="str">
            <v/>
          </cell>
          <cell r="Y1153" t="str">
            <v/>
          </cell>
        </row>
        <row r="1154">
          <cell r="X1154" t="str">
            <v/>
          </cell>
          <cell r="Y1154" t="str">
            <v/>
          </cell>
        </row>
        <row r="1155">
          <cell r="X1155" t="str">
            <v/>
          </cell>
          <cell r="Y1155" t="str">
            <v/>
          </cell>
        </row>
        <row r="1156">
          <cell r="X1156" t="str">
            <v/>
          </cell>
          <cell r="Y1156" t="str">
            <v/>
          </cell>
        </row>
        <row r="1157">
          <cell r="X1157" t="str">
            <v/>
          </cell>
          <cell r="Y1157" t="str">
            <v/>
          </cell>
        </row>
        <row r="1158">
          <cell r="X1158" t="str">
            <v/>
          </cell>
          <cell r="Y1158" t="str">
            <v/>
          </cell>
        </row>
        <row r="1159">
          <cell r="X1159" t="str">
            <v/>
          </cell>
          <cell r="Y1159" t="str">
            <v/>
          </cell>
        </row>
        <row r="1160">
          <cell r="X1160" t="str">
            <v/>
          </cell>
          <cell r="Y1160" t="str">
            <v/>
          </cell>
        </row>
        <row r="1161">
          <cell r="X1161" t="str">
            <v/>
          </cell>
          <cell r="Y1161" t="str">
            <v/>
          </cell>
        </row>
        <row r="1162">
          <cell r="X1162" t="str">
            <v/>
          </cell>
          <cell r="Y1162" t="str">
            <v/>
          </cell>
        </row>
        <row r="1163">
          <cell r="X1163" t="str">
            <v/>
          </cell>
          <cell r="Y1163" t="str">
            <v/>
          </cell>
        </row>
        <row r="1164">
          <cell r="X1164" t="str">
            <v/>
          </cell>
          <cell r="Y1164" t="str">
            <v/>
          </cell>
        </row>
        <row r="1165">
          <cell r="X1165" t="str">
            <v/>
          </cell>
          <cell r="Y1165" t="str">
            <v/>
          </cell>
        </row>
        <row r="1166">
          <cell r="X1166" t="str">
            <v/>
          </cell>
          <cell r="Y1166" t="str">
            <v/>
          </cell>
        </row>
        <row r="1167">
          <cell r="X1167" t="str">
            <v/>
          </cell>
          <cell r="Y1167" t="str">
            <v/>
          </cell>
        </row>
        <row r="1168">
          <cell r="X1168" t="str">
            <v/>
          </cell>
          <cell r="Y1168" t="str">
            <v/>
          </cell>
        </row>
        <row r="1169">
          <cell r="X1169" t="str">
            <v/>
          </cell>
          <cell r="Y1169" t="str">
            <v/>
          </cell>
        </row>
        <row r="1170">
          <cell r="X1170" t="str">
            <v/>
          </cell>
          <cell r="Y1170" t="str">
            <v/>
          </cell>
        </row>
        <row r="1171">
          <cell r="X1171" t="str">
            <v/>
          </cell>
          <cell r="Y1171" t="str">
            <v/>
          </cell>
        </row>
        <row r="1172">
          <cell r="X1172" t="str">
            <v/>
          </cell>
          <cell r="Y1172" t="str">
            <v/>
          </cell>
        </row>
        <row r="1173">
          <cell r="X1173" t="str">
            <v/>
          </cell>
          <cell r="Y1173" t="str">
            <v/>
          </cell>
        </row>
        <row r="1174">
          <cell r="X1174" t="str">
            <v/>
          </cell>
          <cell r="Y1174" t="str">
            <v/>
          </cell>
        </row>
        <row r="1175">
          <cell r="X1175" t="str">
            <v/>
          </cell>
          <cell r="Y1175" t="str">
            <v/>
          </cell>
        </row>
        <row r="1176">
          <cell r="X1176" t="str">
            <v/>
          </cell>
          <cell r="Y1176" t="str">
            <v/>
          </cell>
        </row>
        <row r="1177">
          <cell r="X1177" t="str">
            <v/>
          </cell>
          <cell r="Y1177" t="str">
            <v/>
          </cell>
        </row>
        <row r="1178">
          <cell r="X1178" t="str">
            <v/>
          </cell>
          <cell r="Y1178" t="str">
            <v/>
          </cell>
        </row>
        <row r="1179">
          <cell r="X1179" t="str">
            <v/>
          </cell>
          <cell r="Y1179" t="str">
            <v/>
          </cell>
        </row>
        <row r="1180">
          <cell r="X1180" t="str">
            <v/>
          </cell>
          <cell r="Y1180" t="str">
            <v/>
          </cell>
        </row>
        <row r="1181">
          <cell r="X1181" t="str">
            <v/>
          </cell>
          <cell r="Y1181" t="str">
            <v/>
          </cell>
        </row>
        <row r="1182">
          <cell r="X1182" t="str">
            <v/>
          </cell>
          <cell r="Y1182" t="str">
            <v/>
          </cell>
        </row>
        <row r="1183">
          <cell r="X1183" t="str">
            <v/>
          </cell>
          <cell r="Y1183" t="str">
            <v/>
          </cell>
        </row>
        <row r="1184">
          <cell r="X1184" t="str">
            <v/>
          </cell>
          <cell r="Y1184" t="str">
            <v/>
          </cell>
        </row>
        <row r="1185">
          <cell r="X1185" t="str">
            <v/>
          </cell>
          <cell r="Y1185" t="str">
            <v/>
          </cell>
        </row>
        <row r="1186">
          <cell r="X1186" t="str">
            <v/>
          </cell>
          <cell r="Y1186" t="str">
            <v/>
          </cell>
        </row>
        <row r="1187">
          <cell r="X1187" t="str">
            <v/>
          </cell>
          <cell r="Y1187" t="str">
            <v/>
          </cell>
        </row>
        <row r="1188">
          <cell r="X1188" t="str">
            <v/>
          </cell>
          <cell r="Y1188" t="str">
            <v/>
          </cell>
        </row>
        <row r="1189">
          <cell r="X1189" t="str">
            <v/>
          </cell>
          <cell r="Y1189" t="str">
            <v/>
          </cell>
        </row>
        <row r="1190">
          <cell r="X1190" t="str">
            <v/>
          </cell>
          <cell r="Y1190" t="str">
            <v/>
          </cell>
        </row>
        <row r="1191">
          <cell r="X1191" t="str">
            <v/>
          </cell>
          <cell r="Y1191" t="str">
            <v/>
          </cell>
        </row>
        <row r="1192">
          <cell r="X1192" t="str">
            <v/>
          </cell>
          <cell r="Y1192" t="str">
            <v/>
          </cell>
        </row>
        <row r="1193">
          <cell r="X1193" t="str">
            <v/>
          </cell>
          <cell r="Y1193" t="str">
            <v/>
          </cell>
        </row>
        <row r="1194">
          <cell r="X1194" t="str">
            <v/>
          </cell>
          <cell r="Y1194" t="str">
            <v/>
          </cell>
        </row>
        <row r="1195">
          <cell r="X1195" t="str">
            <v/>
          </cell>
          <cell r="Y1195" t="str">
            <v/>
          </cell>
        </row>
        <row r="1196">
          <cell r="X1196" t="str">
            <v/>
          </cell>
          <cell r="Y1196" t="str">
            <v/>
          </cell>
        </row>
        <row r="1197">
          <cell r="X1197" t="str">
            <v/>
          </cell>
          <cell r="Y1197" t="str">
            <v/>
          </cell>
        </row>
        <row r="1198">
          <cell r="X1198" t="str">
            <v/>
          </cell>
          <cell r="Y1198" t="str">
            <v/>
          </cell>
        </row>
        <row r="1199">
          <cell r="X1199" t="str">
            <v/>
          </cell>
          <cell r="Y1199" t="str">
            <v/>
          </cell>
        </row>
        <row r="1200">
          <cell r="X1200" t="str">
            <v/>
          </cell>
          <cell r="Y1200" t="str">
            <v/>
          </cell>
        </row>
        <row r="1201">
          <cell r="X1201" t="str">
            <v/>
          </cell>
          <cell r="Y1201" t="str">
            <v/>
          </cell>
        </row>
        <row r="1202">
          <cell r="X1202" t="str">
            <v/>
          </cell>
          <cell r="Y1202" t="str">
            <v/>
          </cell>
        </row>
        <row r="1203">
          <cell r="X1203" t="str">
            <v/>
          </cell>
          <cell r="Y1203" t="str">
            <v/>
          </cell>
        </row>
        <row r="1204">
          <cell r="X1204" t="str">
            <v/>
          </cell>
          <cell r="Y1204" t="str">
            <v/>
          </cell>
        </row>
        <row r="1205">
          <cell r="X1205" t="str">
            <v/>
          </cell>
          <cell r="Y1205" t="str">
            <v/>
          </cell>
        </row>
        <row r="1206">
          <cell r="X1206" t="str">
            <v/>
          </cell>
          <cell r="Y1206" t="str">
            <v/>
          </cell>
        </row>
        <row r="1207">
          <cell r="X1207" t="str">
            <v/>
          </cell>
          <cell r="Y1207" t="str">
            <v/>
          </cell>
        </row>
        <row r="1208">
          <cell r="X1208" t="str">
            <v/>
          </cell>
          <cell r="Y1208" t="str">
            <v/>
          </cell>
        </row>
        <row r="1209">
          <cell r="X1209" t="str">
            <v/>
          </cell>
          <cell r="Y1209" t="str">
            <v/>
          </cell>
        </row>
        <row r="1210">
          <cell r="X1210" t="str">
            <v/>
          </cell>
          <cell r="Y1210" t="str">
            <v/>
          </cell>
        </row>
        <row r="1211">
          <cell r="X1211" t="str">
            <v/>
          </cell>
          <cell r="Y1211" t="str">
            <v/>
          </cell>
        </row>
        <row r="1212">
          <cell r="X1212" t="str">
            <v/>
          </cell>
          <cell r="Y1212" t="str">
            <v/>
          </cell>
        </row>
        <row r="1213">
          <cell r="X1213" t="str">
            <v/>
          </cell>
          <cell r="Y1213" t="str">
            <v/>
          </cell>
        </row>
        <row r="1214">
          <cell r="X1214" t="str">
            <v/>
          </cell>
          <cell r="Y1214" t="str">
            <v/>
          </cell>
        </row>
        <row r="1215">
          <cell r="X1215" t="str">
            <v/>
          </cell>
          <cell r="Y1215" t="str">
            <v/>
          </cell>
        </row>
        <row r="1216">
          <cell r="X1216" t="str">
            <v/>
          </cell>
          <cell r="Y1216" t="str">
            <v/>
          </cell>
        </row>
        <row r="1217">
          <cell r="X1217" t="str">
            <v/>
          </cell>
          <cell r="Y1217" t="str">
            <v/>
          </cell>
        </row>
        <row r="1218">
          <cell r="X1218" t="str">
            <v/>
          </cell>
          <cell r="Y1218" t="str">
            <v/>
          </cell>
        </row>
        <row r="1219">
          <cell r="X1219" t="str">
            <v/>
          </cell>
          <cell r="Y1219" t="str">
            <v/>
          </cell>
        </row>
        <row r="1220">
          <cell r="X1220" t="str">
            <v/>
          </cell>
          <cell r="Y1220" t="str">
            <v/>
          </cell>
        </row>
        <row r="1221">
          <cell r="X1221" t="str">
            <v/>
          </cell>
          <cell r="Y1221" t="str">
            <v/>
          </cell>
        </row>
        <row r="1222">
          <cell r="X1222" t="str">
            <v/>
          </cell>
          <cell r="Y1222" t="str">
            <v/>
          </cell>
        </row>
        <row r="1223">
          <cell r="X1223" t="str">
            <v/>
          </cell>
          <cell r="Y1223" t="str">
            <v/>
          </cell>
        </row>
        <row r="1224">
          <cell r="X1224" t="str">
            <v/>
          </cell>
          <cell r="Y1224" t="str">
            <v/>
          </cell>
        </row>
        <row r="1225">
          <cell r="X1225" t="str">
            <v/>
          </cell>
          <cell r="Y1225" t="str">
            <v/>
          </cell>
        </row>
        <row r="1226">
          <cell r="X1226" t="str">
            <v/>
          </cell>
          <cell r="Y1226" t="str">
            <v/>
          </cell>
        </row>
        <row r="1227">
          <cell r="X1227" t="str">
            <v/>
          </cell>
          <cell r="Y1227" t="str">
            <v/>
          </cell>
        </row>
        <row r="1228">
          <cell r="X1228" t="str">
            <v/>
          </cell>
          <cell r="Y1228" t="str">
            <v/>
          </cell>
        </row>
        <row r="1229">
          <cell r="X1229" t="str">
            <v/>
          </cell>
          <cell r="Y1229" t="str">
            <v/>
          </cell>
        </row>
        <row r="1230">
          <cell r="X1230" t="str">
            <v/>
          </cell>
          <cell r="Y1230" t="str">
            <v/>
          </cell>
        </row>
        <row r="1231">
          <cell r="X1231" t="str">
            <v/>
          </cell>
          <cell r="Y1231" t="str">
            <v/>
          </cell>
        </row>
        <row r="1232">
          <cell r="X1232" t="str">
            <v/>
          </cell>
          <cell r="Y1232" t="str">
            <v/>
          </cell>
        </row>
        <row r="1233">
          <cell r="X1233" t="str">
            <v/>
          </cell>
          <cell r="Y1233" t="str">
            <v/>
          </cell>
        </row>
        <row r="1234">
          <cell r="X1234" t="str">
            <v/>
          </cell>
          <cell r="Y1234" t="str">
            <v/>
          </cell>
        </row>
        <row r="1235">
          <cell r="X1235" t="str">
            <v/>
          </cell>
          <cell r="Y1235" t="str">
            <v/>
          </cell>
        </row>
        <row r="1236">
          <cell r="X1236" t="str">
            <v/>
          </cell>
          <cell r="Y1236" t="str">
            <v/>
          </cell>
        </row>
        <row r="1237">
          <cell r="X1237" t="str">
            <v/>
          </cell>
          <cell r="Y1237" t="str">
            <v/>
          </cell>
        </row>
        <row r="1238">
          <cell r="X1238" t="str">
            <v/>
          </cell>
          <cell r="Y1238" t="str">
            <v/>
          </cell>
        </row>
        <row r="1239">
          <cell r="X1239" t="str">
            <v/>
          </cell>
          <cell r="Y1239" t="str">
            <v/>
          </cell>
        </row>
        <row r="1240">
          <cell r="X1240" t="str">
            <v/>
          </cell>
          <cell r="Y1240" t="str">
            <v/>
          </cell>
        </row>
        <row r="1241">
          <cell r="X1241" t="str">
            <v/>
          </cell>
          <cell r="Y1241" t="str">
            <v/>
          </cell>
        </row>
        <row r="1242">
          <cell r="X1242" t="str">
            <v/>
          </cell>
          <cell r="Y1242" t="str">
            <v/>
          </cell>
        </row>
        <row r="1243">
          <cell r="X1243" t="str">
            <v/>
          </cell>
          <cell r="Y1243" t="str">
            <v/>
          </cell>
        </row>
        <row r="1244">
          <cell r="X1244" t="str">
            <v/>
          </cell>
          <cell r="Y1244" t="str">
            <v/>
          </cell>
        </row>
        <row r="1245">
          <cell r="X1245" t="str">
            <v/>
          </cell>
          <cell r="Y1245" t="str">
            <v/>
          </cell>
        </row>
        <row r="1246">
          <cell r="X1246" t="str">
            <v/>
          </cell>
          <cell r="Y1246" t="str">
            <v/>
          </cell>
        </row>
        <row r="1247">
          <cell r="X1247" t="str">
            <v/>
          </cell>
          <cell r="Y1247" t="str">
            <v/>
          </cell>
        </row>
        <row r="1248">
          <cell r="X1248" t="str">
            <v/>
          </cell>
          <cell r="Y1248" t="str">
            <v/>
          </cell>
        </row>
        <row r="1249">
          <cell r="X1249" t="str">
            <v/>
          </cell>
          <cell r="Y1249" t="str">
            <v/>
          </cell>
        </row>
        <row r="1250">
          <cell r="X1250" t="str">
            <v/>
          </cell>
          <cell r="Y1250" t="str">
            <v/>
          </cell>
        </row>
        <row r="1251">
          <cell r="X1251" t="str">
            <v/>
          </cell>
          <cell r="Y1251" t="str">
            <v/>
          </cell>
        </row>
        <row r="1252">
          <cell r="X1252" t="str">
            <v/>
          </cell>
          <cell r="Y1252" t="str">
            <v/>
          </cell>
        </row>
        <row r="1253">
          <cell r="X1253" t="str">
            <v/>
          </cell>
          <cell r="Y1253" t="str">
            <v/>
          </cell>
        </row>
        <row r="1254">
          <cell r="X1254" t="str">
            <v/>
          </cell>
          <cell r="Y1254" t="str">
            <v/>
          </cell>
        </row>
        <row r="1255">
          <cell r="X1255" t="str">
            <v/>
          </cell>
          <cell r="Y1255" t="str">
            <v/>
          </cell>
        </row>
        <row r="1256">
          <cell r="X1256" t="str">
            <v/>
          </cell>
          <cell r="Y1256" t="str">
            <v/>
          </cell>
        </row>
        <row r="1257">
          <cell r="X1257" t="str">
            <v/>
          </cell>
          <cell r="Y1257" t="str">
            <v/>
          </cell>
        </row>
        <row r="1258">
          <cell r="X1258" t="str">
            <v/>
          </cell>
          <cell r="Y1258" t="str">
            <v/>
          </cell>
        </row>
        <row r="1259">
          <cell r="X1259" t="str">
            <v/>
          </cell>
          <cell r="Y1259" t="str">
            <v/>
          </cell>
        </row>
        <row r="1260">
          <cell r="X1260" t="str">
            <v/>
          </cell>
          <cell r="Y1260" t="str">
            <v/>
          </cell>
        </row>
        <row r="1261">
          <cell r="X1261" t="str">
            <v/>
          </cell>
          <cell r="Y1261" t="str">
            <v/>
          </cell>
        </row>
        <row r="1262">
          <cell r="X1262" t="str">
            <v/>
          </cell>
          <cell r="Y1262" t="str">
            <v/>
          </cell>
        </row>
        <row r="1263">
          <cell r="X1263" t="str">
            <v/>
          </cell>
          <cell r="Y1263" t="str">
            <v/>
          </cell>
        </row>
        <row r="1264">
          <cell r="X1264" t="str">
            <v/>
          </cell>
          <cell r="Y1264" t="str">
            <v/>
          </cell>
        </row>
        <row r="1265">
          <cell r="X1265" t="str">
            <v/>
          </cell>
          <cell r="Y1265" t="str">
            <v/>
          </cell>
        </row>
        <row r="1266">
          <cell r="X1266" t="str">
            <v/>
          </cell>
          <cell r="Y1266" t="str">
            <v/>
          </cell>
        </row>
        <row r="1267">
          <cell r="X1267" t="str">
            <v/>
          </cell>
          <cell r="Y1267" t="str">
            <v/>
          </cell>
        </row>
        <row r="1268">
          <cell r="X1268" t="str">
            <v/>
          </cell>
          <cell r="Y1268" t="str">
            <v/>
          </cell>
        </row>
        <row r="1269">
          <cell r="X1269" t="str">
            <v/>
          </cell>
          <cell r="Y1269" t="str">
            <v/>
          </cell>
        </row>
        <row r="1270">
          <cell r="X1270" t="str">
            <v/>
          </cell>
          <cell r="Y1270" t="str">
            <v/>
          </cell>
        </row>
        <row r="1271">
          <cell r="X1271" t="str">
            <v/>
          </cell>
          <cell r="Y1271" t="str">
            <v/>
          </cell>
        </row>
        <row r="1272">
          <cell r="X1272" t="str">
            <v/>
          </cell>
          <cell r="Y1272" t="str">
            <v/>
          </cell>
        </row>
        <row r="1273">
          <cell r="X1273" t="str">
            <v/>
          </cell>
          <cell r="Y1273" t="str">
            <v/>
          </cell>
        </row>
        <row r="1274">
          <cell r="K1274">
            <v>277622.8</v>
          </cell>
          <cell r="X1274" t="str">
            <v/>
          </cell>
          <cell r="Y1274" t="str">
            <v/>
          </cell>
        </row>
        <row r="1275">
          <cell r="K1275">
            <v>42240</v>
          </cell>
          <cell r="X1275" t="str">
            <v/>
          </cell>
          <cell r="Y1275" t="str">
            <v>x</v>
          </cell>
        </row>
        <row r="1276">
          <cell r="K1276">
            <v>19936</v>
          </cell>
          <cell r="X1276" t="str">
            <v/>
          </cell>
          <cell r="Y1276" t="str">
            <v/>
          </cell>
        </row>
        <row r="1277">
          <cell r="K1277">
            <v>23465</v>
          </cell>
          <cell r="X1277" t="str">
            <v/>
          </cell>
          <cell r="Y1277" t="str">
            <v/>
          </cell>
        </row>
        <row r="1278">
          <cell r="K1278">
            <v>108000</v>
          </cell>
          <cell r="X1278" t="str">
            <v/>
          </cell>
          <cell r="Y1278" t="str">
            <v>x</v>
          </cell>
        </row>
        <row r="1279">
          <cell r="K1279">
            <v>41760</v>
          </cell>
          <cell r="X1279" t="str">
            <v/>
          </cell>
          <cell r="Y1279" t="str">
            <v/>
          </cell>
        </row>
        <row r="1280">
          <cell r="K1280">
            <v>72000</v>
          </cell>
          <cell r="X1280" t="str">
            <v/>
          </cell>
          <cell r="Y1280" t="str">
            <v/>
          </cell>
        </row>
        <row r="1281">
          <cell r="X1281" t="str">
            <v/>
          </cell>
          <cell r="Y1281" t="str">
            <v/>
          </cell>
        </row>
        <row r="1282">
          <cell r="X1282" t="str">
            <v/>
          </cell>
          <cell r="Y1282" t="str">
            <v/>
          </cell>
        </row>
        <row r="1283">
          <cell r="X1283" t="str">
            <v/>
          </cell>
          <cell r="Y1283" t="str">
            <v/>
          </cell>
        </row>
        <row r="1284">
          <cell r="X1284" t="str">
            <v/>
          </cell>
          <cell r="Y1284" t="str">
            <v/>
          </cell>
        </row>
        <row r="1285">
          <cell r="X1285" t="str">
            <v/>
          </cell>
          <cell r="Y1285" t="str">
            <v/>
          </cell>
        </row>
        <row r="1286">
          <cell r="X1286" t="str">
            <v/>
          </cell>
          <cell r="Y1286" t="str">
            <v/>
          </cell>
        </row>
        <row r="1287">
          <cell r="X1287" t="str">
            <v/>
          </cell>
          <cell r="Y1287" t="str">
            <v/>
          </cell>
        </row>
        <row r="1288">
          <cell r="X1288" t="str">
            <v/>
          </cell>
          <cell r="Y1288" t="str">
            <v/>
          </cell>
        </row>
        <row r="1289">
          <cell r="X1289" t="str">
            <v/>
          </cell>
          <cell r="Y1289" t="str">
            <v/>
          </cell>
        </row>
        <row r="1290">
          <cell r="K1290">
            <v>25055.999999999996</v>
          </cell>
          <cell r="X1290" t="str">
            <v/>
          </cell>
          <cell r="Y1290" t="str">
            <v/>
          </cell>
        </row>
        <row r="1291">
          <cell r="X1291" t="str">
            <v/>
          </cell>
          <cell r="Y1291" t="str">
            <v/>
          </cell>
        </row>
        <row r="1292">
          <cell r="X1292" t="str">
            <v/>
          </cell>
          <cell r="Y1292" t="str">
            <v/>
          </cell>
        </row>
        <row r="1293">
          <cell r="K1293">
            <v>1464</v>
          </cell>
          <cell r="X1293" t="str">
            <v/>
          </cell>
          <cell r="Y1293" t="str">
            <v/>
          </cell>
        </row>
        <row r="1294">
          <cell r="K1294">
            <v>1968</v>
          </cell>
          <cell r="X1294" t="str">
            <v/>
          </cell>
          <cell r="Y1294" t="str">
            <v/>
          </cell>
        </row>
        <row r="1295">
          <cell r="K1295">
            <v>1968</v>
          </cell>
          <cell r="X1295" t="str">
            <v/>
          </cell>
          <cell r="Y1295" t="str">
            <v/>
          </cell>
        </row>
        <row r="1296">
          <cell r="K1296">
            <v>418946.45</v>
          </cell>
          <cell r="X1296" t="str">
            <v/>
          </cell>
          <cell r="Y1296" t="str">
            <v/>
          </cell>
        </row>
        <row r="1297">
          <cell r="K1297">
            <v>348255.05</v>
          </cell>
          <cell r="X1297" t="str">
            <v/>
          </cell>
          <cell r="Y1297" t="str">
            <v/>
          </cell>
        </row>
        <row r="1298">
          <cell r="K1298">
            <v>449685.6</v>
          </cell>
          <cell r="X1298" t="str">
            <v/>
          </cell>
          <cell r="Y1298" t="str">
            <v/>
          </cell>
        </row>
        <row r="1299">
          <cell r="X1299" t="str">
            <v/>
          </cell>
          <cell r="Y1299" t="str">
            <v/>
          </cell>
        </row>
        <row r="1300">
          <cell r="X1300" t="str">
            <v/>
          </cell>
          <cell r="Y1300" t="str">
            <v/>
          </cell>
        </row>
        <row r="1301">
          <cell r="X1301" t="str">
            <v/>
          </cell>
          <cell r="Y1301" t="str">
            <v/>
          </cell>
        </row>
        <row r="1302">
          <cell r="X1302" t="str">
            <v/>
          </cell>
          <cell r="Y1302" t="str">
            <v/>
          </cell>
        </row>
        <row r="1303">
          <cell r="X1303" t="str">
            <v/>
          </cell>
          <cell r="Y1303" t="str">
            <v/>
          </cell>
        </row>
        <row r="1304">
          <cell r="X1304" t="str">
            <v/>
          </cell>
          <cell r="Y1304" t="str">
            <v/>
          </cell>
        </row>
        <row r="1305">
          <cell r="K1305">
            <v>444935.4</v>
          </cell>
          <cell r="X1305" t="str">
            <v/>
          </cell>
          <cell r="Y1305" t="str">
            <v/>
          </cell>
        </row>
        <row r="1306">
          <cell r="X1306" t="str">
            <v/>
          </cell>
          <cell r="Y1306" t="str">
            <v/>
          </cell>
        </row>
        <row r="1307">
          <cell r="X1307" t="str">
            <v/>
          </cell>
          <cell r="Y1307" t="str">
            <v/>
          </cell>
        </row>
        <row r="1308">
          <cell r="X1308" t="str">
            <v/>
          </cell>
          <cell r="Y1308" t="str">
            <v/>
          </cell>
        </row>
        <row r="1309">
          <cell r="X1309" t="str">
            <v/>
          </cell>
          <cell r="Y1309" t="str">
            <v/>
          </cell>
        </row>
        <row r="1310">
          <cell r="X1310" t="str">
            <v/>
          </cell>
          <cell r="Y1310" t="str">
            <v/>
          </cell>
        </row>
        <row r="1311">
          <cell r="X1311" t="str">
            <v/>
          </cell>
          <cell r="Y1311" t="str">
            <v/>
          </cell>
        </row>
        <row r="1312">
          <cell r="K1312">
            <v>444935.4</v>
          </cell>
          <cell r="X1312" t="str">
            <v/>
          </cell>
          <cell r="Y1312" t="str">
            <v/>
          </cell>
        </row>
        <row r="1313">
          <cell r="K1313">
            <v>286067.59999999998</v>
          </cell>
          <cell r="X1313" t="str">
            <v/>
          </cell>
          <cell r="Y1313" t="str">
            <v/>
          </cell>
        </row>
        <row r="1314">
          <cell r="K1314">
            <v>115800</v>
          </cell>
          <cell r="X1314" t="str">
            <v/>
          </cell>
          <cell r="Y1314" t="str">
            <v>x</v>
          </cell>
        </row>
        <row r="1315">
          <cell r="K1315">
            <v>50141</v>
          </cell>
          <cell r="X1315" t="str">
            <v/>
          </cell>
          <cell r="Y1315" t="str">
            <v/>
          </cell>
        </row>
        <row r="1316">
          <cell r="K1316">
            <v>50726.2</v>
          </cell>
          <cell r="X1316" t="str">
            <v/>
          </cell>
          <cell r="Y1316" t="str">
            <v/>
          </cell>
        </row>
        <row r="1317">
          <cell r="K1317">
            <v>443352</v>
          </cell>
          <cell r="X1317" t="str">
            <v/>
          </cell>
          <cell r="Y1317" t="str">
            <v/>
          </cell>
        </row>
        <row r="1318">
          <cell r="X1318" t="str">
            <v/>
          </cell>
          <cell r="Y1318" t="str">
            <v/>
          </cell>
        </row>
        <row r="1319">
          <cell r="X1319" t="str">
            <v/>
          </cell>
          <cell r="Y1319" t="str">
            <v/>
          </cell>
        </row>
        <row r="1320">
          <cell r="K1320">
            <v>443352</v>
          </cell>
          <cell r="X1320" t="str">
            <v/>
          </cell>
          <cell r="Y1320" t="str">
            <v/>
          </cell>
        </row>
        <row r="1321">
          <cell r="K1321">
            <v>30700</v>
          </cell>
          <cell r="X1321" t="str">
            <v/>
          </cell>
          <cell r="Y1321" t="str">
            <v/>
          </cell>
        </row>
        <row r="1322">
          <cell r="K1322">
            <v>19000</v>
          </cell>
          <cell r="X1322" t="str">
            <v/>
          </cell>
          <cell r="Y1322" t="str">
            <v/>
          </cell>
        </row>
        <row r="1323">
          <cell r="K1323">
            <v>43800</v>
          </cell>
          <cell r="X1323" t="str">
            <v/>
          </cell>
          <cell r="Y1323" t="str">
            <v/>
          </cell>
        </row>
        <row r="1324">
          <cell r="K1324">
            <v>39000</v>
          </cell>
          <cell r="X1324" t="str">
            <v/>
          </cell>
          <cell r="Y1324" t="str">
            <v/>
          </cell>
        </row>
        <row r="1325">
          <cell r="K1325">
            <v>419601</v>
          </cell>
          <cell r="X1325" t="str">
            <v/>
          </cell>
          <cell r="Y1325" t="str">
            <v/>
          </cell>
        </row>
        <row r="1326">
          <cell r="K1326">
            <v>37945.600000000006</v>
          </cell>
          <cell r="X1326" t="str">
            <v/>
          </cell>
          <cell r="Y1326" t="str">
            <v/>
          </cell>
        </row>
        <row r="1327">
          <cell r="K1327">
            <v>419601</v>
          </cell>
          <cell r="X1327" t="str">
            <v/>
          </cell>
          <cell r="Y1327" t="str">
            <v/>
          </cell>
        </row>
        <row r="1328">
          <cell r="K1328">
            <v>419601</v>
          </cell>
          <cell r="X1328" t="str">
            <v/>
          </cell>
          <cell r="Y1328" t="str">
            <v/>
          </cell>
        </row>
        <row r="1329">
          <cell r="K1329">
            <v>419601</v>
          </cell>
          <cell r="X1329" t="str">
            <v/>
          </cell>
          <cell r="Y1329" t="str">
            <v/>
          </cell>
        </row>
        <row r="1330">
          <cell r="K1330">
            <v>24000</v>
          </cell>
          <cell r="X1330" t="str">
            <v/>
          </cell>
          <cell r="Y1330" t="str">
            <v/>
          </cell>
        </row>
        <row r="1331">
          <cell r="K1331">
            <v>28650.000000000004</v>
          </cell>
          <cell r="X1331" t="str">
            <v/>
          </cell>
          <cell r="Y1331" t="str">
            <v/>
          </cell>
        </row>
        <row r="1332">
          <cell r="X1332" t="str">
            <v/>
          </cell>
          <cell r="Y1332" t="str">
            <v/>
          </cell>
        </row>
        <row r="1333">
          <cell r="X1333" t="str">
            <v/>
          </cell>
          <cell r="Y1333" t="str">
            <v/>
          </cell>
        </row>
        <row r="1334">
          <cell r="K1334">
            <v>419601</v>
          </cell>
          <cell r="X1334" t="str">
            <v/>
          </cell>
          <cell r="Y1334" t="str">
            <v/>
          </cell>
        </row>
        <row r="1335">
          <cell r="K1335">
            <v>279734</v>
          </cell>
          <cell r="X1335" t="str">
            <v/>
          </cell>
          <cell r="Y1335" t="str">
            <v/>
          </cell>
        </row>
        <row r="1336">
          <cell r="K1336">
            <v>279734</v>
          </cell>
          <cell r="X1336" t="str">
            <v/>
          </cell>
          <cell r="Y1336" t="str">
            <v/>
          </cell>
        </row>
        <row r="1337">
          <cell r="K1337">
            <v>3000</v>
          </cell>
          <cell r="X1337" t="str">
            <v/>
          </cell>
          <cell r="Y1337" t="str">
            <v/>
          </cell>
        </row>
        <row r="1338">
          <cell r="K1338">
            <v>3000</v>
          </cell>
          <cell r="X1338" t="str">
            <v/>
          </cell>
          <cell r="Y1338" t="str">
            <v/>
          </cell>
        </row>
        <row r="1339">
          <cell r="K1339">
            <v>3000</v>
          </cell>
          <cell r="X1339" t="str">
            <v/>
          </cell>
          <cell r="Y1339" t="str">
            <v/>
          </cell>
        </row>
        <row r="1340">
          <cell r="K1340">
            <v>279734</v>
          </cell>
          <cell r="X1340" t="str">
            <v/>
          </cell>
          <cell r="Y1340" t="str">
            <v/>
          </cell>
        </row>
        <row r="1341">
          <cell r="K1341">
            <v>68760</v>
          </cell>
          <cell r="X1341" t="str">
            <v/>
          </cell>
          <cell r="Y1341" t="str">
            <v/>
          </cell>
        </row>
        <row r="1342">
          <cell r="K1342">
            <v>16500</v>
          </cell>
          <cell r="X1342" t="str">
            <v/>
          </cell>
          <cell r="Y1342" t="str">
            <v/>
          </cell>
        </row>
        <row r="1343">
          <cell r="X1343" t="str">
            <v/>
          </cell>
          <cell r="Y1343" t="str">
            <v/>
          </cell>
        </row>
        <row r="1344">
          <cell r="X1344" t="str">
            <v/>
          </cell>
          <cell r="Y1344" t="str">
            <v/>
          </cell>
        </row>
        <row r="1345">
          <cell r="X1345" t="str">
            <v/>
          </cell>
          <cell r="Y1345" t="str">
            <v/>
          </cell>
        </row>
        <row r="1346">
          <cell r="X1346" t="str">
            <v/>
          </cell>
          <cell r="Y1346" t="str">
            <v/>
          </cell>
        </row>
        <row r="1347">
          <cell r="X1347" t="str">
            <v/>
          </cell>
          <cell r="Y1347" t="str">
            <v/>
          </cell>
        </row>
        <row r="1348">
          <cell r="X1348" t="str">
            <v/>
          </cell>
          <cell r="Y1348" t="str">
            <v/>
          </cell>
        </row>
        <row r="1349">
          <cell r="X1349" t="str">
            <v/>
          </cell>
          <cell r="Y1349" t="str">
            <v/>
          </cell>
        </row>
        <row r="1350">
          <cell r="X1350" t="str">
            <v/>
          </cell>
          <cell r="Y1350" t="str">
            <v/>
          </cell>
        </row>
        <row r="1351">
          <cell r="X1351" t="str">
            <v/>
          </cell>
          <cell r="Y1351" t="str">
            <v/>
          </cell>
        </row>
        <row r="1352">
          <cell r="X1352" t="str">
            <v/>
          </cell>
          <cell r="Y1352" t="str">
            <v/>
          </cell>
        </row>
        <row r="1353">
          <cell r="X1353" t="str">
            <v/>
          </cell>
          <cell r="Y1353" t="str">
            <v/>
          </cell>
        </row>
        <row r="1354">
          <cell r="X1354" t="str">
            <v/>
          </cell>
          <cell r="Y1354" t="str">
            <v/>
          </cell>
        </row>
        <row r="1355">
          <cell r="X1355" t="str">
            <v/>
          </cell>
          <cell r="Y1355" t="str">
            <v/>
          </cell>
        </row>
        <row r="1356">
          <cell r="X1356" t="str">
            <v/>
          </cell>
          <cell r="Y1356" t="str">
            <v/>
          </cell>
        </row>
        <row r="1357">
          <cell r="X1357" t="str">
            <v/>
          </cell>
          <cell r="Y1357" t="str">
            <v/>
          </cell>
        </row>
        <row r="1358">
          <cell r="K1358">
            <v>139867</v>
          </cell>
          <cell r="X1358" t="str">
            <v/>
          </cell>
          <cell r="Y1358" t="str">
            <v/>
          </cell>
        </row>
        <row r="1359">
          <cell r="K1359">
            <v>5544</v>
          </cell>
          <cell r="X1359" t="str">
            <v/>
          </cell>
          <cell r="Y1359" t="str">
            <v/>
          </cell>
        </row>
        <row r="1360">
          <cell r="K1360">
            <v>1710</v>
          </cell>
          <cell r="X1360" t="str">
            <v/>
          </cell>
          <cell r="Y1360" t="str">
            <v/>
          </cell>
        </row>
        <row r="1361">
          <cell r="K1361">
            <v>5040</v>
          </cell>
          <cell r="X1361" t="str">
            <v/>
          </cell>
          <cell r="Y1361" t="str">
            <v/>
          </cell>
        </row>
        <row r="1362">
          <cell r="K1362">
            <v>15455.999999999998</v>
          </cell>
          <cell r="X1362" t="str">
            <v/>
          </cell>
          <cell r="Y1362" t="str">
            <v/>
          </cell>
        </row>
        <row r="1363">
          <cell r="K1363">
            <v>30200</v>
          </cell>
          <cell r="X1363" t="str">
            <v/>
          </cell>
          <cell r="Y1363" t="str">
            <v/>
          </cell>
        </row>
        <row r="1364">
          <cell r="K1364">
            <v>26300</v>
          </cell>
          <cell r="X1364" t="str">
            <v/>
          </cell>
          <cell r="Y1364" t="str">
            <v/>
          </cell>
        </row>
        <row r="1365">
          <cell r="K1365">
            <v>14240</v>
          </cell>
          <cell r="X1365" t="str">
            <v/>
          </cell>
          <cell r="Y1365" t="str">
            <v/>
          </cell>
        </row>
        <row r="1366">
          <cell r="K1366">
            <v>59100</v>
          </cell>
          <cell r="X1366" t="str">
            <v/>
          </cell>
          <cell r="Y1366" t="str">
            <v>x</v>
          </cell>
        </row>
        <row r="1367">
          <cell r="K1367">
            <v>13650</v>
          </cell>
          <cell r="X1367" t="str">
            <v/>
          </cell>
          <cell r="Y1367" t="str">
            <v/>
          </cell>
        </row>
        <row r="1368">
          <cell r="K1368">
            <v>290290</v>
          </cell>
          <cell r="X1368" t="str">
            <v/>
          </cell>
          <cell r="Y1368" t="str">
            <v/>
          </cell>
        </row>
        <row r="1369">
          <cell r="K1369">
            <v>427518</v>
          </cell>
          <cell r="X1369" t="str">
            <v/>
          </cell>
          <cell r="Y1369" t="str">
            <v/>
          </cell>
        </row>
        <row r="1370">
          <cell r="K1370">
            <v>64000</v>
          </cell>
          <cell r="X1370" t="str">
            <v/>
          </cell>
          <cell r="Y1370" t="str">
            <v/>
          </cell>
        </row>
        <row r="1371">
          <cell r="K1371">
            <v>443352</v>
          </cell>
          <cell r="X1371" t="str">
            <v/>
          </cell>
          <cell r="Y1371" t="str">
            <v/>
          </cell>
        </row>
        <row r="1372">
          <cell r="K1372">
            <v>295568</v>
          </cell>
          <cell r="X1372" t="str">
            <v/>
          </cell>
          <cell r="Y1372" t="str">
            <v/>
          </cell>
        </row>
        <row r="1373">
          <cell r="K1373">
            <v>443352</v>
          </cell>
          <cell r="X1373" t="str">
            <v/>
          </cell>
          <cell r="Y1373" t="str">
            <v/>
          </cell>
        </row>
        <row r="1374">
          <cell r="K1374">
            <v>443352</v>
          </cell>
          <cell r="X1374" t="str">
            <v/>
          </cell>
          <cell r="Y1374" t="str">
            <v/>
          </cell>
        </row>
        <row r="1375">
          <cell r="K1375">
            <v>58115</v>
          </cell>
          <cell r="X1375" t="str">
            <v/>
          </cell>
          <cell r="Y1375" t="str">
            <v>x</v>
          </cell>
        </row>
        <row r="1376">
          <cell r="K1376">
            <v>31800</v>
          </cell>
          <cell r="X1376" t="str">
            <v/>
          </cell>
          <cell r="Y1376" t="str">
            <v/>
          </cell>
        </row>
        <row r="1377">
          <cell r="K1377">
            <v>427518</v>
          </cell>
          <cell r="X1377" t="str">
            <v/>
          </cell>
          <cell r="Y1377" t="str">
            <v/>
          </cell>
        </row>
        <row r="1378">
          <cell r="K1378">
            <v>427518</v>
          </cell>
          <cell r="X1378" t="str">
            <v/>
          </cell>
          <cell r="Y1378" t="str">
            <v/>
          </cell>
        </row>
        <row r="1379">
          <cell r="X1379" t="str">
            <v/>
          </cell>
          <cell r="Y1379" t="str">
            <v/>
          </cell>
        </row>
        <row r="1380">
          <cell r="X1380" t="str">
            <v/>
          </cell>
          <cell r="Y1380" t="str">
            <v/>
          </cell>
        </row>
        <row r="1381">
          <cell r="X1381" t="str">
            <v/>
          </cell>
          <cell r="Y1381" t="str">
            <v/>
          </cell>
        </row>
        <row r="1382">
          <cell r="X1382" t="str">
            <v/>
          </cell>
          <cell r="Y1382" t="str">
            <v/>
          </cell>
        </row>
        <row r="1383">
          <cell r="X1383" t="str">
            <v/>
          </cell>
          <cell r="Y1383" t="str">
            <v/>
          </cell>
        </row>
        <row r="1384">
          <cell r="X1384" t="str">
            <v/>
          </cell>
          <cell r="Y1384" t="str">
            <v/>
          </cell>
        </row>
        <row r="1385">
          <cell r="X1385" t="str">
            <v/>
          </cell>
          <cell r="Y1385" t="str">
            <v/>
          </cell>
        </row>
        <row r="1386">
          <cell r="X1386" t="str">
            <v/>
          </cell>
          <cell r="Y1386" t="str">
            <v/>
          </cell>
        </row>
        <row r="1387">
          <cell r="X1387" t="str">
            <v/>
          </cell>
          <cell r="Y1387" t="str">
            <v/>
          </cell>
        </row>
        <row r="1388">
          <cell r="X1388" t="str">
            <v/>
          </cell>
          <cell r="Y1388" t="str">
            <v/>
          </cell>
        </row>
        <row r="1389">
          <cell r="X1389" t="str">
            <v/>
          </cell>
          <cell r="Y1389" t="str">
            <v/>
          </cell>
        </row>
        <row r="1390">
          <cell r="X1390" t="str">
            <v/>
          </cell>
          <cell r="Y1390" t="str">
            <v/>
          </cell>
        </row>
        <row r="1391">
          <cell r="X1391" t="str">
            <v/>
          </cell>
          <cell r="Y1391" t="str">
            <v/>
          </cell>
        </row>
        <row r="1392">
          <cell r="X1392" t="str">
            <v/>
          </cell>
          <cell r="Y1392" t="str">
            <v/>
          </cell>
        </row>
        <row r="1393">
          <cell r="X1393" t="str">
            <v/>
          </cell>
          <cell r="Y1393" t="str">
            <v/>
          </cell>
        </row>
        <row r="1394">
          <cell r="K1394">
            <v>58058.000000000007</v>
          </cell>
          <cell r="X1394" t="str">
            <v/>
          </cell>
          <cell r="Y1394" t="str">
            <v/>
          </cell>
        </row>
        <row r="1395">
          <cell r="K1395">
            <v>117000</v>
          </cell>
          <cell r="X1395" t="str">
            <v/>
          </cell>
          <cell r="Y1395" t="str">
            <v>x</v>
          </cell>
        </row>
        <row r="1396">
          <cell r="K1396">
            <v>58058.000000000007</v>
          </cell>
          <cell r="X1396" t="str">
            <v/>
          </cell>
          <cell r="Y1396" t="str">
            <v/>
          </cell>
        </row>
        <row r="1397">
          <cell r="K1397">
            <v>58058.000000000007</v>
          </cell>
          <cell r="X1397" t="str">
            <v/>
          </cell>
          <cell r="Y1397" t="str">
            <v/>
          </cell>
        </row>
        <row r="1398">
          <cell r="K1398">
            <v>45000</v>
          </cell>
          <cell r="X1398" t="str">
            <v/>
          </cell>
          <cell r="Y1398" t="str">
            <v/>
          </cell>
        </row>
        <row r="1399">
          <cell r="K1399">
            <v>39200</v>
          </cell>
          <cell r="X1399" t="str">
            <v/>
          </cell>
          <cell r="Y1399" t="str">
            <v/>
          </cell>
        </row>
        <row r="1400">
          <cell r="K1400">
            <v>58058.000000000007</v>
          </cell>
          <cell r="X1400" t="str">
            <v/>
          </cell>
          <cell r="Y1400" t="str">
            <v/>
          </cell>
        </row>
        <row r="1401">
          <cell r="K1401">
            <v>134589</v>
          </cell>
          <cell r="X1401" t="str">
            <v/>
          </cell>
          <cell r="Y1401" t="str">
            <v/>
          </cell>
        </row>
        <row r="1402">
          <cell r="K1402">
            <v>58058.000000000007</v>
          </cell>
          <cell r="X1402" t="str">
            <v/>
          </cell>
          <cell r="Y1402" t="str">
            <v/>
          </cell>
        </row>
        <row r="1403">
          <cell r="K1403">
            <v>134589</v>
          </cell>
          <cell r="X1403" t="str">
            <v/>
          </cell>
          <cell r="Y1403" t="str">
            <v/>
          </cell>
        </row>
        <row r="1404">
          <cell r="K1404">
            <v>50827.999999999993</v>
          </cell>
          <cell r="X1404" t="str">
            <v/>
          </cell>
          <cell r="Y1404" t="str">
            <v/>
          </cell>
        </row>
        <row r="1405">
          <cell r="K1405">
            <v>58609.2</v>
          </cell>
          <cell r="X1405" t="str">
            <v/>
          </cell>
          <cell r="Y1405" t="str">
            <v/>
          </cell>
        </row>
        <row r="1406">
          <cell r="K1406">
            <v>174174</v>
          </cell>
          <cell r="X1406" t="str">
            <v/>
          </cell>
          <cell r="Y1406" t="str">
            <v/>
          </cell>
        </row>
        <row r="1407">
          <cell r="K1407">
            <v>174174</v>
          </cell>
          <cell r="X1407" t="str">
            <v/>
          </cell>
          <cell r="Y1407" t="str">
            <v/>
          </cell>
        </row>
        <row r="1408">
          <cell r="K1408">
            <v>127727.59999999999</v>
          </cell>
          <cell r="X1408" t="str">
            <v/>
          </cell>
          <cell r="Y1408" t="str">
            <v/>
          </cell>
        </row>
        <row r="1409">
          <cell r="K1409">
            <v>174174</v>
          </cell>
          <cell r="X1409" t="str">
            <v/>
          </cell>
          <cell r="Y1409" t="str">
            <v/>
          </cell>
        </row>
        <row r="1410">
          <cell r="K1410">
            <v>383182.8</v>
          </cell>
          <cell r="X1410" t="str">
            <v/>
          </cell>
          <cell r="Y1410" t="str">
            <v/>
          </cell>
        </row>
        <row r="1411">
          <cell r="K1411">
            <v>127727.59999999999</v>
          </cell>
          <cell r="X1411" t="str">
            <v/>
          </cell>
          <cell r="Y1411" t="str">
            <v/>
          </cell>
        </row>
        <row r="1412">
          <cell r="K1412">
            <v>255455.19999999998</v>
          </cell>
          <cell r="X1412" t="str">
            <v/>
          </cell>
          <cell r="Y1412" t="str">
            <v/>
          </cell>
        </row>
        <row r="1413">
          <cell r="X1413" t="str">
            <v/>
          </cell>
          <cell r="Y1413" t="str">
            <v/>
          </cell>
        </row>
        <row r="1414">
          <cell r="K1414">
            <v>10998</v>
          </cell>
          <cell r="X1414" t="str">
            <v/>
          </cell>
          <cell r="Y1414" t="str">
            <v/>
          </cell>
        </row>
        <row r="1415">
          <cell r="K1415">
            <v>10998</v>
          </cell>
          <cell r="X1415" t="str">
            <v/>
          </cell>
          <cell r="Y1415" t="str">
            <v/>
          </cell>
        </row>
        <row r="1416">
          <cell r="X1416" t="str">
            <v/>
          </cell>
          <cell r="Y1416" t="str">
            <v/>
          </cell>
        </row>
        <row r="1417">
          <cell r="K1417">
            <v>39000</v>
          </cell>
          <cell r="X1417" t="str">
            <v/>
          </cell>
          <cell r="Y1417" t="str">
            <v/>
          </cell>
        </row>
        <row r="1418">
          <cell r="K1418">
            <v>39000</v>
          </cell>
          <cell r="X1418" t="str">
            <v/>
          </cell>
          <cell r="Y1418" t="str">
            <v/>
          </cell>
        </row>
        <row r="1419">
          <cell r="K1419">
            <v>15000</v>
          </cell>
          <cell r="X1419" t="str">
            <v/>
          </cell>
          <cell r="Y1419" t="str">
            <v/>
          </cell>
        </row>
        <row r="1420">
          <cell r="K1420">
            <v>0</v>
          </cell>
          <cell r="X1420" t="str">
            <v>x</v>
          </cell>
          <cell r="Y1420" t="str">
            <v/>
          </cell>
        </row>
        <row r="1421">
          <cell r="X1421" t="str">
            <v/>
          </cell>
          <cell r="Y1421" t="str">
            <v/>
          </cell>
        </row>
        <row r="1422">
          <cell r="X1422" t="str">
            <v/>
          </cell>
          <cell r="Y1422" t="str">
            <v/>
          </cell>
        </row>
        <row r="1423">
          <cell r="X1423" t="str">
            <v/>
          </cell>
          <cell r="Y1423" t="str">
            <v/>
          </cell>
        </row>
        <row r="1424">
          <cell r="X1424" t="str">
            <v/>
          </cell>
          <cell r="Y1424" t="str">
            <v/>
          </cell>
        </row>
        <row r="1425">
          <cell r="X1425" t="str">
            <v/>
          </cell>
          <cell r="Y1425" t="str">
            <v/>
          </cell>
        </row>
        <row r="1426">
          <cell r="X1426" t="str">
            <v/>
          </cell>
          <cell r="Y1426" t="str">
            <v/>
          </cell>
        </row>
        <row r="1427">
          <cell r="X1427" t="str">
            <v/>
          </cell>
          <cell r="Y1427" t="str">
            <v/>
          </cell>
        </row>
        <row r="1428">
          <cell r="X1428" t="str">
            <v/>
          </cell>
          <cell r="Y1428" t="str">
            <v/>
          </cell>
        </row>
        <row r="1429">
          <cell r="X1429" t="str">
            <v/>
          </cell>
          <cell r="Y1429" t="str">
            <v/>
          </cell>
        </row>
        <row r="1430">
          <cell r="X1430" t="str">
            <v/>
          </cell>
          <cell r="Y1430" t="str">
            <v/>
          </cell>
        </row>
        <row r="1431">
          <cell r="X1431" t="str">
            <v/>
          </cell>
          <cell r="Y1431" t="str">
            <v/>
          </cell>
        </row>
        <row r="1432">
          <cell r="X1432" t="str">
            <v/>
          </cell>
          <cell r="Y1432" t="str">
            <v/>
          </cell>
        </row>
        <row r="1433">
          <cell r="X1433" t="str">
            <v/>
          </cell>
          <cell r="Y1433" t="str">
            <v/>
          </cell>
        </row>
        <row r="1434">
          <cell r="X1434" t="str">
            <v/>
          </cell>
          <cell r="Y1434" t="str">
            <v/>
          </cell>
        </row>
        <row r="1435">
          <cell r="X1435" t="str">
            <v/>
          </cell>
          <cell r="Y1435" t="str">
            <v/>
          </cell>
        </row>
        <row r="1436">
          <cell r="X1436" t="str">
            <v/>
          </cell>
          <cell r="Y1436" t="str">
            <v/>
          </cell>
        </row>
        <row r="1437">
          <cell r="X1437" t="str">
            <v/>
          </cell>
          <cell r="Y1437" t="str">
            <v/>
          </cell>
        </row>
        <row r="1438">
          <cell r="X1438" t="str">
            <v/>
          </cell>
          <cell r="Y1438" t="str">
            <v/>
          </cell>
        </row>
        <row r="1439">
          <cell r="X1439" t="str">
            <v/>
          </cell>
          <cell r="Y1439" t="str">
            <v/>
          </cell>
        </row>
        <row r="1440">
          <cell r="X1440" t="str">
            <v/>
          </cell>
          <cell r="Y1440" t="str">
            <v/>
          </cell>
        </row>
        <row r="1441">
          <cell r="X1441" t="str">
            <v/>
          </cell>
          <cell r="Y1441" t="str">
            <v/>
          </cell>
        </row>
        <row r="1442">
          <cell r="X1442" t="str">
            <v/>
          </cell>
          <cell r="Y1442" t="str">
            <v/>
          </cell>
        </row>
        <row r="1443">
          <cell r="X1443" t="str">
            <v/>
          </cell>
          <cell r="Y1443" t="str">
            <v/>
          </cell>
        </row>
        <row r="1444">
          <cell r="X1444" t="str">
            <v/>
          </cell>
          <cell r="Y1444" t="str">
            <v/>
          </cell>
        </row>
        <row r="1445">
          <cell r="X1445" t="str">
            <v/>
          </cell>
          <cell r="Y1445" t="str">
            <v/>
          </cell>
        </row>
        <row r="1446">
          <cell r="X1446" t="str">
            <v/>
          </cell>
          <cell r="Y1446" t="str">
            <v/>
          </cell>
        </row>
        <row r="1447">
          <cell r="X1447" t="str">
            <v/>
          </cell>
          <cell r="Y1447" t="str">
            <v/>
          </cell>
        </row>
        <row r="1448">
          <cell r="X1448" t="str">
            <v/>
          </cell>
          <cell r="Y1448" t="str">
            <v/>
          </cell>
        </row>
        <row r="1449">
          <cell r="X1449" t="str">
            <v/>
          </cell>
          <cell r="Y1449" t="str">
            <v/>
          </cell>
        </row>
        <row r="1450">
          <cell r="X1450" t="str">
            <v/>
          </cell>
          <cell r="Y1450" t="str">
            <v/>
          </cell>
        </row>
        <row r="1451">
          <cell r="X1451" t="str">
            <v/>
          </cell>
          <cell r="Y1451" t="str">
            <v/>
          </cell>
        </row>
        <row r="1452">
          <cell r="X1452" t="str">
            <v/>
          </cell>
          <cell r="Y1452" t="str">
            <v/>
          </cell>
        </row>
        <row r="1453">
          <cell r="X1453" t="str">
            <v/>
          </cell>
          <cell r="Y1453" t="str">
            <v/>
          </cell>
        </row>
        <row r="1454">
          <cell r="X1454" t="str">
            <v/>
          </cell>
          <cell r="Y1454" t="str">
            <v/>
          </cell>
        </row>
        <row r="1455">
          <cell r="X1455" t="str">
            <v/>
          </cell>
          <cell r="Y1455" t="str">
            <v/>
          </cell>
        </row>
        <row r="1456">
          <cell r="X1456" t="str">
            <v/>
          </cell>
          <cell r="Y1456" t="str">
            <v/>
          </cell>
        </row>
        <row r="1457">
          <cell r="X1457" t="str">
            <v/>
          </cell>
          <cell r="Y1457" t="str">
            <v/>
          </cell>
        </row>
        <row r="1458">
          <cell r="X1458" t="str">
            <v/>
          </cell>
          <cell r="Y1458" t="str">
            <v/>
          </cell>
        </row>
        <row r="1459">
          <cell r="X1459" t="str">
            <v/>
          </cell>
          <cell r="Y1459" t="str">
            <v/>
          </cell>
        </row>
        <row r="1460">
          <cell r="X1460" t="str">
            <v/>
          </cell>
          <cell r="Y1460" t="str">
            <v/>
          </cell>
        </row>
        <row r="1461">
          <cell r="X1461" t="str">
            <v/>
          </cell>
          <cell r="Y1461" t="str">
            <v/>
          </cell>
        </row>
        <row r="1462">
          <cell r="X1462" t="str">
            <v/>
          </cell>
          <cell r="Y1462" t="str">
            <v/>
          </cell>
        </row>
        <row r="1463">
          <cell r="X1463" t="str">
            <v/>
          </cell>
          <cell r="Y1463" t="str">
            <v/>
          </cell>
        </row>
        <row r="1464">
          <cell r="X1464" t="str">
            <v/>
          </cell>
          <cell r="Y1464" t="str">
            <v/>
          </cell>
        </row>
        <row r="1465">
          <cell r="X1465" t="str">
            <v/>
          </cell>
          <cell r="Y1465" t="str">
            <v/>
          </cell>
        </row>
        <row r="1466">
          <cell r="X1466" t="str">
            <v/>
          </cell>
          <cell r="Y1466" t="str">
            <v/>
          </cell>
        </row>
        <row r="1467">
          <cell r="X1467" t="str">
            <v/>
          </cell>
          <cell r="Y1467" t="str">
            <v/>
          </cell>
        </row>
        <row r="1468">
          <cell r="X1468" t="str">
            <v/>
          </cell>
          <cell r="Y1468" t="str">
            <v/>
          </cell>
        </row>
        <row r="1469">
          <cell r="X1469" t="str">
            <v/>
          </cell>
          <cell r="Y1469" t="str">
            <v/>
          </cell>
        </row>
        <row r="1470">
          <cell r="X1470" t="str">
            <v/>
          </cell>
          <cell r="Y1470" t="str">
            <v/>
          </cell>
        </row>
        <row r="1471">
          <cell r="X1471" t="str">
            <v/>
          </cell>
          <cell r="Y1471" t="str">
            <v/>
          </cell>
        </row>
        <row r="1472">
          <cell r="X1472" t="str">
            <v/>
          </cell>
          <cell r="Y1472" t="str">
            <v/>
          </cell>
        </row>
        <row r="1473">
          <cell r="X1473" t="str">
            <v/>
          </cell>
          <cell r="Y1473" t="str">
            <v/>
          </cell>
        </row>
        <row r="1474">
          <cell r="X1474" t="str">
            <v/>
          </cell>
          <cell r="Y1474" t="str">
            <v/>
          </cell>
        </row>
        <row r="1475">
          <cell r="X1475" t="str">
            <v/>
          </cell>
          <cell r="Y1475" t="str">
            <v/>
          </cell>
        </row>
        <row r="1476">
          <cell r="X1476" t="str">
            <v/>
          </cell>
          <cell r="Y1476" t="str">
            <v/>
          </cell>
        </row>
        <row r="1477">
          <cell r="X1477" t="str">
            <v/>
          </cell>
          <cell r="Y1477" t="str">
            <v/>
          </cell>
        </row>
        <row r="1478">
          <cell r="X1478" t="str">
            <v/>
          </cell>
          <cell r="Y1478" t="str">
            <v/>
          </cell>
        </row>
        <row r="1479">
          <cell r="X1479" t="str">
            <v/>
          </cell>
          <cell r="Y1479" t="str">
            <v/>
          </cell>
        </row>
        <row r="1480">
          <cell r="X1480" t="str">
            <v/>
          </cell>
          <cell r="Y1480" t="str">
            <v/>
          </cell>
        </row>
        <row r="1481">
          <cell r="X1481" t="str">
            <v/>
          </cell>
          <cell r="Y1481" t="str">
            <v/>
          </cell>
        </row>
        <row r="1482">
          <cell r="X1482" t="str">
            <v/>
          </cell>
          <cell r="Y1482" t="str">
            <v/>
          </cell>
        </row>
        <row r="1483">
          <cell r="X1483" t="str">
            <v/>
          </cell>
          <cell r="Y1483" t="str">
            <v/>
          </cell>
        </row>
        <row r="1484">
          <cell r="X1484" t="str">
            <v/>
          </cell>
          <cell r="Y1484" t="str">
            <v/>
          </cell>
        </row>
        <row r="1485">
          <cell r="X1485" t="str">
            <v/>
          </cell>
          <cell r="Y1485" t="str">
            <v/>
          </cell>
        </row>
        <row r="1486">
          <cell r="X1486" t="str">
            <v/>
          </cell>
          <cell r="Y1486" t="str">
            <v/>
          </cell>
        </row>
        <row r="1487">
          <cell r="X1487" t="str">
            <v/>
          </cell>
          <cell r="Y1487" t="str">
            <v/>
          </cell>
        </row>
        <row r="1488">
          <cell r="X1488" t="str">
            <v/>
          </cell>
          <cell r="Y1488" t="str">
            <v/>
          </cell>
        </row>
        <row r="1489">
          <cell r="X1489" t="str">
            <v/>
          </cell>
          <cell r="Y1489" t="str">
            <v/>
          </cell>
        </row>
        <row r="1490">
          <cell r="X1490" t="str">
            <v/>
          </cell>
          <cell r="Y1490" t="str">
            <v/>
          </cell>
        </row>
        <row r="1491">
          <cell r="X1491" t="str">
            <v/>
          </cell>
          <cell r="Y1491" t="str">
            <v/>
          </cell>
        </row>
        <row r="1492">
          <cell r="X1492" t="str">
            <v/>
          </cell>
          <cell r="Y1492" t="str">
            <v/>
          </cell>
        </row>
        <row r="1493">
          <cell r="X1493" t="str">
            <v/>
          </cell>
          <cell r="Y1493" t="str">
            <v/>
          </cell>
        </row>
        <row r="1494">
          <cell r="X1494" t="str">
            <v/>
          </cell>
          <cell r="Y1494" t="str">
            <v/>
          </cell>
        </row>
        <row r="1495">
          <cell r="X1495" t="str">
            <v/>
          </cell>
          <cell r="Y1495" t="str">
            <v/>
          </cell>
        </row>
        <row r="1496">
          <cell r="X1496" t="str">
            <v/>
          </cell>
          <cell r="Y1496" t="str">
            <v/>
          </cell>
        </row>
        <row r="1497">
          <cell r="X1497" t="str">
            <v/>
          </cell>
          <cell r="Y1497" t="str">
            <v/>
          </cell>
        </row>
        <row r="1498">
          <cell r="X1498" t="str">
            <v/>
          </cell>
          <cell r="Y1498" t="str">
            <v/>
          </cell>
        </row>
        <row r="1499">
          <cell r="X1499" t="str">
            <v/>
          </cell>
          <cell r="Y1499" t="str">
            <v/>
          </cell>
        </row>
        <row r="1500">
          <cell r="X1500" t="str">
            <v/>
          </cell>
          <cell r="Y1500" t="str">
            <v/>
          </cell>
        </row>
        <row r="1501">
          <cell r="X1501" t="str">
            <v/>
          </cell>
          <cell r="Y1501" t="str">
            <v/>
          </cell>
        </row>
        <row r="1502">
          <cell r="X1502" t="str">
            <v/>
          </cell>
          <cell r="Y1502" t="str">
            <v/>
          </cell>
        </row>
        <row r="1503">
          <cell r="X1503" t="str">
            <v/>
          </cell>
          <cell r="Y1503" t="str">
            <v/>
          </cell>
        </row>
        <row r="1504">
          <cell r="X1504" t="str">
            <v/>
          </cell>
          <cell r="Y1504" t="str">
            <v/>
          </cell>
        </row>
        <row r="1505">
          <cell r="X1505" t="str">
            <v/>
          </cell>
          <cell r="Y1505" t="str">
            <v/>
          </cell>
        </row>
        <row r="1506">
          <cell r="X1506" t="str">
            <v/>
          </cell>
          <cell r="Y1506" t="str">
            <v/>
          </cell>
        </row>
        <row r="1507">
          <cell r="X1507" t="str">
            <v/>
          </cell>
          <cell r="Y1507" t="str">
            <v/>
          </cell>
        </row>
        <row r="1508">
          <cell r="X1508" t="str">
            <v/>
          </cell>
          <cell r="Y1508" t="str">
            <v/>
          </cell>
        </row>
        <row r="1509">
          <cell r="X1509" t="str">
            <v/>
          </cell>
          <cell r="Y1509" t="str">
            <v/>
          </cell>
        </row>
        <row r="1510">
          <cell r="X1510" t="str">
            <v/>
          </cell>
          <cell r="Y1510" t="str">
            <v/>
          </cell>
        </row>
        <row r="1511">
          <cell r="X1511" t="str">
            <v/>
          </cell>
          <cell r="Y1511" t="str">
            <v/>
          </cell>
        </row>
        <row r="1512">
          <cell r="X1512" t="str">
            <v/>
          </cell>
          <cell r="Y1512" t="str">
            <v/>
          </cell>
        </row>
        <row r="1513">
          <cell r="X1513" t="str">
            <v/>
          </cell>
          <cell r="Y1513" t="str">
            <v/>
          </cell>
        </row>
        <row r="1514">
          <cell r="X1514" t="str">
            <v/>
          </cell>
          <cell r="Y1514" t="str">
            <v/>
          </cell>
        </row>
        <row r="1515">
          <cell r="X1515" t="str">
            <v/>
          </cell>
          <cell r="Y1515" t="str">
            <v/>
          </cell>
        </row>
        <row r="1516">
          <cell r="X1516" t="str">
            <v/>
          </cell>
          <cell r="Y1516" t="str">
            <v/>
          </cell>
        </row>
        <row r="1517">
          <cell r="X1517" t="str">
            <v/>
          </cell>
          <cell r="Y1517" t="str">
            <v/>
          </cell>
        </row>
        <row r="1518">
          <cell r="X1518" t="str">
            <v/>
          </cell>
          <cell r="Y1518" t="str">
            <v/>
          </cell>
        </row>
        <row r="1519">
          <cell r="X1519" t="str">
            <v/>
          </cell>
          <cell r="Y1519" t="str">
            <v/>
          </cell>
        </row>
        <row r="1520">
          <cell r="X1520" t="str">
            <v/>
          </cell>
          <cell r="Y1520" t="str">
            <v/>
          </cell>
        </row>
        <row r="1521">
          <cell r="X1521" t="str">
            <v/>
          </cell>
          <cell r="Y1521" t="str">
            <v/>
          </cell>
        </row>
        <row r="1522">
          <cell r="X1522" t="str">
            <v/>
          </cell>
          <cell r="Y1522" t="str">
            <v/>
          </cell>
        </row>
        <row r="1523">
          <cell r="X1523" t="str">
            <v/>
          </cell>
          <cell r="Y1523" t="str">
            <v/>
          </cell>
        </row>
        <row r="1524">
          <cell r="X1524" t="str">
            <v/>
          </cell>
          <cell r="Y1524" t="str">
            <v/>
          </cell>
        </row>
        <row r="1525">
          <cell r="X1525" t="str">
            <v/>
          </cell>
          <cell r="Y1525" t="str">
            <v/>
          </cell>
        </row>
        <row r="1526">
          <cell r="X1526" t="str">
            <v/>
          </cell>
          <cell r="Y1526" t="str">
            <v/>
          </cell>
        </row>
        <row r="1527">
          <cell r="X1527" t="str">
            <v/>
          </cell>
          <cell r="Y1527" t="str">
            <v/>
          </cell>
        </row>
        <row r="1528">
          <cell r="X1528" t="str">
            <v/>
          </cell>
          <cell r="Y1528" t="str">
            <v/>
          </cell>
        </row>
        <row r="1529">
          <cell r="X1529" t="str">
            <v/>
          </cell>
          <cell r="Y1529" t="str">
            <v/>
          </cell>
        </row>
        <row r="1530">
          <cell r="X1530" t="str">
            <v/>
          </cell>
          <cell r="Y1530" t="str">
            <v/>
          </cell>
        </row>
        <row r="1531">
          <cell r="X1531" t="str">
            <v/>
          </cell>
          <cell r="Y1531" t="str">
            <v/>
          </cell>
        </row>
        <row r="1532">
          <cell r="X1532" t="str">
            <v/>
          </cell>
          <cell r="Y1532" t="str">
            <v/>
          </cell>
        </row>
        <row r="1533">
          <cell r="X1533" t="str">
            <v/>
          </cell>
          <cell r="Y1533" t="str">
            <v/>
          </cell>
        </row>
        <row r="1534">
          <cell r="X1534" t="str">
            <v/>
          </cell>
          <cell r="Y1534" t="str">
            <v/>
          </cell>
        </row>
        <row r="1535">
          <cell r="X1535" t="str">
            <v/>
          </cell>
          <cell r="Y1535" t="str">
            <v/>
          </cell>
        </row>
        <row r="1536">
          <cell r="X1536" t="str">
            <v/>
          </cell>
          <cell r="Y1536" t="str">
            <v/>
          </cell>
        </row>
        <row r="1537">
          <cell r="X1537" t="str">
            <v/>
          </cell>
          <cell r="Y1537" t="str">
            <v/>
          </cell>
        </row>
        <row r="1538">
          <cell r="X1538" t="str">
            <v/>
          </cell>
          <cell r="Y1538" t="str">
            <v/>
          </cell>
        </row>
        <row r="1539">
          <cell r="X1539" t="str">
            <v/>
          </cell>
          <cell r="Y1539" t="str">
            <v/>
          </cell>
        </row>
        <row r="1540">
          <cell r="X1540" t="str">
            <v/>
          </cell>
          <cell r="Y1540" t="str">
            <v/>
          </cell>
        </row>
        <row r="1541">
          <cell r="X1541" t="str">
            <v/>
          </cell>
          <cell r="Y1541" t="str">
            <v/>
          </cell>
        </row>
        <row r="1542">
          <cell r="X1542" t="str">
            <v/>
          </cell>
          <cell r="Y1542" t="str">
            <v/>
          </cell>
        </row>
        <row r="1543">
          <cell r="X1543" t="str">
            <v/>
          </cell>
          <cell r="Y1543" t="str">
            <v/>
          </cell>
        </row>
        <row r="1544">
          <cell r="X1544" t="str">
            <v/>
          </cell>
          <cell r="Y1544" t="str">
            <v/>
          </cell>
        </row>
        <row r="1545">
          <cell r="X1545" t="str">
            <v/>
          </cell>
          <cell r="Y1545" t="str">
            <v/>
          </cell>
        </row>
        <row r="1546">
          <cell r="X1546" t="str">
            <v/>
          </cell>
          <cell r="Y1546" t="str">
            <v/>
          </cell>
        </row>
        <row r="1547">
          <cell r="X1547" t="str">
            <v/>
          </cell>
          <cell r="Y1547" t="str">
            <v/>
          </cell>
        </row>
        <row r="1548">
          <cell r="X1548" t="str">
            <v/>
          </cell>
          <cell r="Y1548" t="str">
            <v/>
          </cell>
        </row>
        <row r="1549">
          <cell r="X1549" t="str">
            <v/>
          </cell>
          <cell r="Y1549" t="str">
            <v/>
          </cell>
        </row>
        <row r="1550">
          <cell r="X1550" t="str">
            <v/>
          </cell>
          <cell r="Y1550" t="str">
            <v/>
          </cell>
        </row>
        <row r="1551">
          <cell r="X1551" t="str">
            <v/>
          </cell>
          <cell r="Y1551" t="str">
            <v/>
          </cell>
        </row>
        <row r="1552">
          <cell r="X1552" t="str">
            <v/>
          </cell>
          <cell r="Y1552" t="str">
            <v/>
          </cell>
        </row>
        <row r="1553">
          <cell r="X1553" t="str">
            <v/>
          </cell>
          <cell r="Y1553" t="str">
            <v/>
          </cell>
        </row>
        <row r="1554">
          <cell r="X1554" t="str">
            <v/>
          </cell>
          <cell r="Y1554" t="str">
            <v/>
          </cell>
        </row>
        <row r="1555">
          <cell r="X1555" t="str">
            <v/>
          </cell>
          <cell r="Y1555" t="str">
            <v/>
          </cell>
        </row>
        <row r="1556">
          <cell r="X1556" t="str">
            <v/>
          </cell>
          <cell r="Y1556" t="str">
            <v/>
          </cell>
        </row>
        <row r="1557">
          <cell r="X1557" t="str">
            <v/>
          </cell>
          <cell r="Y1557" t="str">
            <v/>
          </cell>
        </row>
        <row r="1558">
          <cell r="X1558" t="str">
            <v/>
          </cell>
          <cell r="Y1558" t="str">
            <v/>
          </cell>
        </row>
        <row r="1559">
          <cell r="X1559" t="str">
            <v/>
          </cell>
          <cell r="Y1559" t="str">
            <v/>
          </cell>
        </row>
        <row r="1560">
          <cell r="X1560" t="str">
            <v/>
          </cell>
          <cell r="Y1560" t="str">
            <v/>
          </cell>
        </row>
        <row r="1561">
          <cell r="X1561" t="str">
            <v/>
          </cell>
          <cell r="Y1561" t="str">
            <v/>
          </cell>
        </row>
        <row r="1562">
          <cell r="X1562" t="str">
            <v/>
          </cell>
          <cell r="Y1562" t="str">
            <v/>
          </cell>
        </row>
        <row r="1563">
          <cell r="X1563" t="str">
            <v/>
          </cell>
          <cell r="Y1563" t="str">
            <v/>
          </cell>
        </row>
        <row r="1564">
          <cell r="X1564" t="str">
            <v/>
          </cell>
          <cell r="Y1564" t="str">
            <v/>
          </cell>
        </row>
        <row r="1565">
          <cell r="X1565" t="str">
            <v/>
          </cell>
          <cell r="Y1565" t="str">
            <v/>
          </cell>
        </row>
        <row r="1566">
          <cell r="X1566" t="str">
            <v/>
          </cell>
          <cell r="Y1566" t="str">
            <v/>
          </cell>
        </row>
        <row r="1567">
          <cell r="X1567" t="str">
            <v/>
          </cell>
          <cell r="Y1567" t="str">
            <v/>
          </cell>
        </row>
        <row r="1568">
          <cell r="X1568" t="str">
            <v/>
          </cell>
          <cell r="Y1568" t="str">
            <v/>
          </cell>
        </row>
        <row r="1569">
          <cell r="X1569" t="str">
            <v/>
          </cell>
          <cell r="Y1569" t="str">
            <v/>
          </cell>
        </row>
        <row r="1570">
          <cell r="X1570" t="str">
            <v/>
          </cell>
          <cell r="Y1570" t="str">
            <v/>
          </cell>
        </row>
        <row r="1571">
          <cell r="X1571" t="str">
            <v/>
          </cell>
          <cell r="Y1571" t="str">
            <v/>
          </cell>
        </row>
        <row r="1572">
          <cell r="X1572" t="str">
            <v/>
          </cell>
          <cell r="Y1572" t="str">
            <v/>
          </cell>
        </row>
        <row r="1573">
          <cell r="X1573" t="str">
            <v/>
          </cell>
          <cell r="Y1573" t="str">
            <v/>
          </cell>
        </row>
        <row r="1574">
          <cell r="X1574" t="str">
            <v/>
          </cell>
          <cell r="Y1574" t="str">
            <v/>
          </cell>
        </row>
        <row r="1575">
          <cell r="X1575" t="str">
            <v/>
          </cell>
          <cell r="Y1575" t="str">
            <v/>
          </cell>
        </row>
        <row r="1576">
          <cell r="X1576" t="str">
            <v/>
          </cell>
          <cell r="Y1576" t="str">
            <v/>
          </cell>
        </row>
        <row r="1577">
          <cell r="X1577" t="str">
            <v/>
          </cell>
          <cell r="Y1577" t="str">
            <v/>
          </cell>
        </row>
        <row r="1578">
          <cell r="X1578" t="str">
            <v/>
          </cell>
          <cell r="Y1578" t="str">
            <v/>
          </cell>
        </row>
        <row r="1579">
          <cell r="X1579" t="str">
            <v/>
          </cell>
          <cell r="Y1579" t="str">
            <v/>
          </cell>
        </row>
        <row r="1580">
          <cell r="X1580" t="str">
            <v/>
          </cell>
          <cell r="Y1580" t="str">
            <v/>
          </cell>
        </row>
        <row r="1581">
          <cell r="X1581" t="str">
            <v/>
          </cell>
          <cell r="Y1581" t="str">
            <v/>
          </cell>
        </row>
        <row r="1582">
          <cell r="X1582" t="str">
            <v/>
          </cell>
          <cell r="Y1582" t="str">
            <v/>
          </cell>
        </row>
        <row r="1583">
          <cell r="X1583" t="str">
            <v/>
          </cell>
          <cell r="Y1583" t="str">
            <v/>
          </cell>
        </row>
        <row r="1584">
          <cell r="X1584" t="str">
            <v/>
          </cell>
          <cell r="Y1584" t="str">
            <v/>
          </cell>
        </row>
        <row r="1585">
          <cell r="X1585" t="str">
            <v/>
          </cell>
          <cell r="Y1585" t="str">
            <v/>
          </cell>
        </row>
        <row r="1586">
          <cell r="X1586" t="str">
            <v/>
          </cell>
          <cell r="Y1586" t="str">
            <v/>
          </cell>
        </row>
        <row r="1587">
          <cell r="X1587" t="str">
            <v/>
          </cell>
          <cell r="Y1587" t="str">
            <v/>
          </cell>
        </row>
        <row r="1588">
          <cell r="X1588" t="str">
            <v/>
          </cell>
          <cell r="Y1588" t="str">
            <v/>
          </cell>
        </row>
        <row r="1589">
          <cell r="X1589" t="str">
            <v/>
          </cell>
          <cell r="Y1589" t="str">
            <v/>
          </cell>
        </row>
        <row r="1590">
          <cell r="X1590" t="str">
            <v/>
          </cell>
          <cell r="Y1590" t="str">
            <v/>
          </cell>
        </row>
        <row r="1591">
          <cell r="X1591" t="str">
            <v/>
          </cell>
          <cell r="Y1591" t="str">
            <v/>
          </cell>
        </row>
        <row r="1592">
          <cell r="X1592" t="str">
            <v/>
          </cell>
          <cell r="Y1592" t="str">
            <v/>
          </cell>
        </row>
        <row r="1593">
          <cell r="X1593" t="str">
            <v/>
          </cell>
          <cell r="Y1593" t="str">
            <v/>
          </cell>
        </row>
        <row r="1594">
          <cell r="X1594" t="str">
            <v/>
          </cell>
          <cell r="Y1594" t="str">
            <v/>
          </cell>
        </row>
        <row r="1595">
          <cell r="X1595" t="str">
            <v/>
          </cell>
          <cell r="Y1595" t="str">
            <v/>
          </cell>
        </row>
        <row r="1596">
          <cell r="X1596" t="str">
            <v/>
          </cell>
          <cell r="Y1596" t="str">
            <v/>
          </cell>
        </row>
        <row r="1597">
          <cell r="X1597" t="str">
            <v/>
          </cell>
          <cell r="Y1597" t="str">
            <v/>
          </cell>
        </row>
        <row r="1598">
          <cell r="X1598" t="str">
            <v/>
          </cell>
          <cell r="Y1598" t="str">
            <v/>
          </cell>
        </row>
        <row r="1599">
          <cell r="X1599" t="str">
            <v/>
          </cell>
          <cell r="Y1599" t="str">
            <v/>
          </cell>
        </row>
        <row r="1600">
          <cell r="X1600" t="str">
            <v/>
          </cell>
          <cell r="Y1600" t="str">
            <v/>
          </cell>
        </row>
        <row r="1601">
          <cell r="X1601" t="str">
            <v/>
          </cell>
          <cell r="Y1601" t="str">
            <v/>
          </cell>
        </row>
        <row r="1602">
          <cell r="X1602" t="str">
            <v/>
          </cell>
          <cell r="Y1602" t="str">
            <v/>
          </cell>
        </row>
        <row r="1603">
          <cell r="X1603" t="str">
            <v/>
          </cell>
          <cell r="Y1603" t="str">
            <v/>
          </cell>
        </row>
        <row r="1604">
          <cell r="X1604" t="str">
            <v/>
          </cell>
          <cell r="Y1604" t="str">
            <v/>
          </cell>
        </row>
        <row r="1605">
          <cell r="X1605" t="str">
            <v/>
          </cell>
          <cell r="Y1605" t="str">
            <v/>
          </cell>
        </row>
        <row r="1606">
          <cell r="X1606" t="str">
            <v/>
          </cell>
          <cell r="Y1606" t="str">
            <v/>
          </cell>
        </row>
        <row r="1607">
          <cell r="X1607" t="str">
            <v/>
          </cell>
          <cell r="Y1607" t="str">
            <v/>
          </cell>
        </row>
        <row r="1608">
          <cell r="X1608" t="str">
            <v/>
          </cell>
          <cell r="Y1608" t="str">
            <v/>
          </cell>
        </row>
        <row r="1609">
          <cell r="X1609" t="str">
            <v/>
          </cell>
          <cell r="Y1609" t="str">
            <v/>
          </cell>
        </row>
        <row r="1610">
          <cell r="X1610" t="str">
            <v/>
          </cell>
          <cell r="Y1610" t="str">
            <v/>
          </cell>
        </row>
        <row r="1611">
          <cell r="X1611" t="str">
            <v/>
          </cell>
          <cell r="Y1611" t="str">
            <v/>
          </cell>
        </row>
        <row r="1612">
          <cell r="X1612" t="str">
            <v/>
          </cell>
          <cell r="Y1612" t="str">
            <v/>
          </cell>
        </row>
        <row r="1613">
          <cell r="X1613" t="str">
            <v/>
          </cell>
          <cell r="Y1613" t="str">
            <v/>
          </cell>
        </row>
        <row r="1614">
          <cell r="X1614" t="str">
            <v/>
          </cell>
          <cell r="Y1614" t="str">
            <v/>
          </cell>
        </row>
        <row r="1615">
          <cell r="X1615" t="str">
            <v/>
          </cell>
          <cell r="Y1615" t="str">
            <v/>
          </cell>
        </row>
        <row r="1616">
          <cell r="X1616" t="str">
            <v/>
          </cell>
          <cell r="Y1616" t="str">
            <v/>
          </cell>
        </row>
        <row r="1617">
          <cell r="X1617" t="str">
            <v/>
          </cell>
          <cell r="Y1617" t="str">
            <v/>
          </cell>
        </row>
        <row r="1618">
          <cell r="X1618" t="str">
            <v/>
          </cell>
          <cell r="Y1618" t="str">
            <v/>
          </cell>
        </row>
        <row r="1619">
          <cell r="X1619" t="str">
            <v/>
          </cell>
          <cell r="Y1619" t="str">
            <v/>
          </cell>
        </row>
        <row r="1620">
          <cell r="X1620" t="str">
            <v/>
          </cell>
          <cell r="Y1620" t="str">
            <v/>
          </cell>
        </row>
        <row r="1621">
          <cell r="X1621" t="str">
            <v/>
          </cell>
          <cell r="Y1621" t="str">
            <v/>
          </cell>
        </row>
        <row r="1622">
          <cell r="X1622" t="str">
            <v/>
          </cell>
          <cell r="Y1622" t="str">
            <v/>
          </cell>
        </row>
        <row r="1623">
          <cell r="X1623" t="str">
            <v/>
          </cell>
          <cell r="Y1623" t="str">
            <v/>
          </cell>
        </row>
        <row r="1624">
          <cell r="X1624" t="str">
            <v/>
          </cell>
          <cell r="Y1624" t="str">
            <v/>
          </cell>
        </row>
        <row r="1625">
          <cell r="X1625" t="str">
            <v/>
          </cell>
          <cell r="Y1625" t="str">
            <v/>
          </cell>
        </row>
        <row r="1626">
          <cell r="X1626" t="str">
            <v/>
          </cell>
          <cell r="Y1626" t="str">
            <v/>
          </cell>
        </row>
        <row r="1627">
          <cell r="X1627" t="str">
            <v/>
          </cell>
          <cell r="Y1627" t="str">
            <v/>
          </cell>
        </row>
        <row r="1628">
          <cell r="X1628" t="str">
            <v/>
          </cell>
          <cell r="Y1628" t="str">
            <v/>
          </cell>
        </row>
        <row r="1629">
          <cell r="X1629" t="str">
            <v/>
          </cell>
          <cell r="Y1629" t="str">
            <v/>
          </cell>
        </row>
        <row r="1630">
          <cell r="X1630" t="str">
            <v/>
          </cell>
          <cell r="Y1630" t="str">
            <v/>
          </cell>
        </row>
        <row r="1631">
          <cell r="X1631" t="str">
            <v/>
          </cell>
          <cell r="Y1631" t="str">
            <v/>
          </cell>
        </row>
        <row r="1632">
          <cell r="X1632" t="str">
            <v/>
          </cell>
          <cell r="Y1632" t="str">
            <v/>
          </cell>
        </row>
        <row r="1633">
          <cell r="X1633" t="str">
            <v/>
          </cell>
          <cell r="Y1633" t="str">
            <v/>
          </cell>
        </row>
        <row r="1634">
          <cell r="X1634" t="str">
            <v/>
          </cell>
          <cell r="Y1634" t="str">
            <v/>
          </cell>
        </row>
        <row r="1635">
          <cell r="X1635" t="str">
            <v/>
          </cell>
          <cell r="Y1635" t="str">
            <v/>
          </cell>
        </row>
        <row r="1636">
          <cell r="X1636" t="str">
            <v/>
          </cell>
          <cell r="Y1636" t="str">
            <v/>
          </cell>
        </row>
        <row r="1637">
          <cell r="X1637" t="str">
            <v/>
          </cell>
          <cell r="Y1637" t="str">
            <v/>
          </cell>
        </row>
        <row r="1638">
          <cell r="X1638" t="str">
            <v/>
          </cell>
          <cell r="Y1638" t="str">
            <v/>
          </cell>
        </row>
        <row r="1639">
          <cell r="X1639" t="str">
            <v/>
          </cell>
          <cell r="Y1639" t="str">
            <v/>
          </cell>
        </row>
        <row r="1640">
          <cell r="X1640" t="str">
            <v/>
          </cell>
          <cell r="Y1640" t="str">
            <v/>
          </cell>
        </row>
        <row r="1641">
          <cell r="X1641" t="str">
            <v/>
          </cell>
          <cell r="Y1641" t="str">
            <v/>
          </cell>
        </row>
        <row r="1642">
          <cell r="X1642" t="str">
            <v/>
          </cell>
          <cell r="Y1642" t="str">
            <v/>
          </cell>
        </row>
        <row r="1643">
          <cell r="X1643" t="str">
            <v/>
          </cell>
          <cell r="Y1643" t="str">
            <v/>
          </cell>
        </row>
        <row r="1644">
          <cell r="X1644" t="str">
            <v/>
          </cell>
          <cell r="Y1644" t="str">
            <v/>
          </cell>
        </row>
        <row r="1645">
          <cell r="X1645" t="str">
            <v/>
          </cell>
          <cell r="Y1645" t="str">
            <v/>
          </cell>
        </row>
        <row r="1646">
          <cell r="X1646" t="str">
            <v/>
          </cell>
          <cell r="Y1646" t="str">
            <v/>
          </cell>
        </row>
        <row r="1647">
          <cell r="X1647" t="str">
            <v/>
          </cell>
          <cell r="Y1647" t="str">
            <v/>
          </cell>
        </row>
        <row r="1648">
          <cell r="X1648" t="str">
            <v/>
          </cell>
          <cell r="Y1648" t="str">
            <v/>
          </cell>
        </row>
        <row r="1649">
          <cell r="X1649" t="str">
            <v/>
          </cell>
          <cell r="Y1649" t="str">
            <v/>
          </cell>
        </row>
        <row r="1650">
          <cell r="X1650" t="str">
            <v/>
          </cell>
          <cell r="Y1650" t="str">
            <v/>
          </cell>
        </row>
        <row r="1651">
          <cell r="X1651" t="str">
            <v/>
          </cell>
          <cell r="Y1651" t="str">
            <v/>
          </cell>
        </row>
        <row r="1652">
          <cell r="X1652" t="str">
            <v/>
          </cell>
          <cell r="Y1652" t="str">
            <v/>
          </cell>
        </row>
        <row r="1653">
          <cell r="X1653" t="str">
            <v/>
          </cell>
          <cell r="Y1653" t="str">
            <v/>
          </cell>
        </row>
        <row r="1654">
          <cell r="X1654" t="str">
            <v/>
          </cell>
          <cell r="Y1654" t="str">
            <v/>
          </cell>
        </row>
        <row r="1655">
          <cell r="X1655" t="str">
            <v/>
          </cell>
          <cell r="Y1655" t="str">
            <v/>
          </cell>
        </row>
        <row r="1656">
          <cell r="X1656" t="str">
            <v/>
          </cell>
          <cell r="Y1656" t="str">
            <v/>
          </cell>
        </row>
        <row r="1657">
          <cell r="X1657" t="str">
            <v/>
          </cell>
          <cell r="Y1657" t="str">
            <v/>
          </cell>
        </row>
        <row r="1658">
          <cell r="X1658" t="str">
            <v/>
          </cell>
          <cell r="Y1658" t="str">
            <v/>
          </cell>
        </row>
        <row r="1659">
          <cell r="X1659" t="str">
            <v/>
          </cell>
          <cell r="Y1659" t="str">
            <v/>
          </cell>
        </row>
        <row r="1660">
          <cell r="X1660" t="str">
            <v/>
          </cell>
          <cell r="Y1660" t="str">
            <v/>
          </cell>
        </row>
        <row r="1661">
          <cell r="X1661" t="str">
            <v/>
          </cell>
          <cell r="Y1661" t="str">
            <v/>
          </cell>
        </row>
        <row r="1662">
          <cell r="X1662" t="str">
            <v/>
          </cell>
          <cell r="Y1662" t="str">
            <v/>
          </cell>
        </row>
        <row r="1663">
          <cell r="X1663" t="str">
            <v/>
          </cell>
          <cell r="Y1663" t="str">
            <v/>
          </cell>
        </row>
        <row r="1664">
          <cell r="X1664" t="str">
            <v/>
          </cell>
          <cell r="Y1664" t="str">
            <v/>
          </cell>
        </row>
        <row r="1665">
          <cell r="X1665" t="str">
            <v/>
          </cell>
          <cell r="Y1665" t="str">
            <v/>
          </cell>
        </row>
        <row r="1666">
          <cell r="X1666" t="str">
            <v/>
          </cell>
          <cell r="Y1666" t="str">
            <v/>
          </cell>
        </row>
        <row r="1667">
          <cell r="X1667" t="str">
            <v/>
          </cell>
          <cell r="Y1667" t="str">
            <v/>
          </cell>
        </row>
        <row r="1668">
          <cell r="X1668" t="str">
            <v/>
          </cell>
          <cell r="Y1668" t="str">
            <v/>
          </cell>
        </row>
        <row r="1669">
          <cell r="X1669" t="str">
            <v/>
          </cell>
          <cell r="Y1669" t="str">
            <v/>
          </cell>
        </row>
        <row r="1670">
          <cell r="X1670" t="str">
            <v/>
          </cell>
          <cell r="Y1670" t="str">
            <v/>
          </cell>
        </row>
        <row r="1671">
          <cell r="X1671" t="str">
            <v/>
          </cell>
          <cell r="Y1671" t="str">
            <v/>
          </cell>
        </row>
        <row r="1672">
          <cell r="X1672" t="str">
            <v/>
          </cell>
          <cell r="Y1672" t="str">
            <v/>
          </cell>
        </row>
        <row r="1673">
          <cell r="X1673" t="str">
            <v/>
          </cell>
          <cell r="Y1673" t="str">
            <v/>
          </cell>
        </row>
        <row r="1674">
          <cell r="X1674" t="str">
            <v/>
          </cell>
          <cell r="Y1674" t="str">
            <v/>
          </cell>
        </row>
        <row r="1675">
          <cell r="X1675" t="str">
            <v/>
          </cell>
          <cell r="Y1675" t="str">
            <v/>
          </cell>
        </row>
        <row r="1676">
          <cell r="X1676" t="str">
            <v/>
          </cell>
          <cell r="Y1676" t="str">
            <v/>
          </cell>
        </row>
        <row r="1677">
          <cell r="X1677" t="str">
            <v/>
          </cell>
          <cell r="Y1677" t="str">
            <v/>
          </cell>
        </row>
        <row r="1678">
          <cell r="X1678" t="str">
            <v/>
          </cell>
          <cell r="Y1678" t="str">
            <v/>
          </cell>
        </row>
        <row r="1679">
          <cell r="X1679" t="str">
            <v/>
          </cell>
          <cell r="Y1679" t="str">
            <v/>
          </cell>
        </row>
        <row r="1680">
          <cell r="X1680" t="str">
            <v/>
          </cell>
          <cell r="Y1680" t="str">
            <v/>
          </cell>
        </row>
        <row r="1681">
          <cell r="X1681" t="str">
            <v/>
          </cell>
          <cell r="Y1681" t="str">
            <v/>
          </cell>
        </row>
        <row r="1682">
          <cell r="X1682" t="str">
            <v/>
          </cell>
          <cell r="Y1682" t="str">
            <v/>
          </cell>
        </row>
        <row r="1683">
          <cell r="X1683" t="str">
            <v/>
          </cell>
          <cell r="Y1683" t="str">
            <v/>
          </cell>
        </row>
        <row r="1684">
          <cell r="X1684" t="str">
            <v/>
          </cell>
          <cell r="Y1684" t="str">
            <v/>
          </cell>
        </row>
        <row r="1685">
          <cell r="X1685" t="str">
            <v/>
          </cell>
          <cell r="Y1685" t="str">
            <v/>
          </cell>
        </row>
        <row r="1686">
          <cell r="X1686" t="str">
            <v/>
          </cell>
          <cell r="Y1686" t="str">
            <v/>
          </cell>
        </row>
        <row r="1687">
          <cell r="X1687" t="str">
            <v/>
          </cell>
          <cell r="Y1687" t="str">
            <v/>
          </cell>
        </row>
        <row r="1688">
          <cell r="X1688" t="str">
            <v/>
          </cell>
          <cell r="Y1688" t="str">
            <v/>
          </cell>
        </row>
        <row r="1689">
          <cell r="X1689" t="str">
            <v/>
          </cell>
          <cell r="Y1689" t="str">
            <v/>
          </cell>
        </row>
        <row r="1690">
          <cell r="X1690" t="str">
            <v/>
          </cell>
          <cell r="Y1690" t="str">
            <v/>
          </cell>
        </row>
        <row r="1691">
          <cell r="X1691" t="str">
            <v/>
          </cell>
          <cell r="Y1691" t="str">
            <v/>
          </cell>
        </row>
        <row r="1692">
          <cell r="X1692" t="str">
            <v/>
          </cell>
          <cell r="Y1692" t="str">
            <v/>
          </cell>
        </row>
        <row r="1693">
          <cell r="X1693" t="str">
            <v/>
          </cell>
          <cell r="Y1693" t="str">
            <v/>
          </cell>
        </row>
        <row r="1694">
          <cell r="X1694" t="str">
            <v/>
          </cell>
          <cell r="Y1694" t="str">
            <v/>
          </cell>
        </row>
        <row r="1695">
          <cell r="X1695" t="str">
            <v/>
          </cell>
          <cell r="Y1695" t="str">
            <v/>
          </cell>
        </row>
        <row r="1696">
          <cell r="X1696" t="str">
            <v/>
          </cell>
          <cell r="Y1696" t="str">
            <v/>
          </cell>
        </row>
        <row r="1697">
          <cell r="X1697" t="str">
            <v/>
          </cell>
          <cell r="Y1697" t="str">
            <v/>
          </cell>
        </row>
        <row r="1698">
          <cell r="X1698" t="str">
            <v/>
          </cell>
          <cell r="Y1698" t="str">
            <v/>
          </cell>
        </row>
        <row r="1699">
          <cell r="X1699" t="str">
            <v/>
          </cell>
          <cell r="Y1699" t="str">
            <v/>
          </cell>
        </row>
        <row r="1700">
          <cell r="X1700" t="str">
            <v/>
          </cell>
          <cell r="Y1700" t="str">
            <v/>
          </cell>
        </row>
        <row r="1701">
          <cell r="X1701" t="str">
            <v/>
          </cell>
          <cell r="Y1701" t="str">
            <v/>
          </cell>
        </row>
        <row r="1702">
          <cell r="X1702" t="str">
            <v/>
          </cell>
          <cell r="Y1702" t="str">
            <v/>
          </cell>
        </row>
        <row r="1703">
          <cell r="X1703" t="str">
            <v/>
          </cell>
          <cell r="Y1703" t="str">
            <v/>
          </cell>
        </row>
        <row r="1704">
          <cell r="X1704" t="str">
            <v/>
          </cell>
          <cell r="Y1704" t="str">
            <v/>
          </cell>
        </row>
        <row r="1705">
          <cell r="X1705" t="str">
            <v/>
          </cell>
          <cell r="Y1705" t="str">
            <v/>
          </cell>
        </row>
        <row r="1706">
          <cell r="X1706" t="str">
            <v/>
          </cell>
          <cell r="Y1706" t="str">
            <v/>
          </cell>
        </row>
        <row r="1707">
          <cell r="X1707" t="str">
            <v/>
          </cell>
          <cell r="Y1707" t="str">
            <v/>
          </cell>
        </row>
        <row r="1708">
          <cell r="X1708" t="str">
            <v/>
          </cell>
          <cell r="Y1708" t="str">
            <v/>
          </cell>
        </row>
        <row r="1709">
          <cell r="X1709" t="str">
            <v/>
          </cell>
          <cell r="Y1709" t="str">
            <v/>
          </cell>
        </row>
        <row r="1710">
          <cell r="X1710" t="str">
            <v/>
          </cell>
          <cell r="Y1710" t="str">
            <v/>
          </cell>
        </row>
        <row r="1711">
          <cell r="X1711" t="str">
            <v/>
          </cell>
          <cell r="Y1711" t="str">
            <v/>
          </cell>
        </row>
        <row r="1712">
          <cell r="X1712" t="str">
            <v/>
          </cell>
          <cell r="Y1712" t="str">
            <v/>
          </cell>
        </row>
        <row r="1713">
          <cell r="X1713" t="str">
            <v/>
          </cell>
          <cell r="Y1713" t="str">
            <v/>
          </cell>
        </row>
        <row r="1714">
          <cell r="X1714" t="str">
            <v/>
          </cell>
          <cell r="Y1714" t="str">
            <v/>
          </cell>
        </row>
        <row r="1715">
          <cell r="X1715" t="str">
            <v/>
          </cell>
          <cell r="Y1715" t="str">
            <v/>
          </cell>
        </row>
        <row r="1716">
          <cell r="X1716" t="str">
            <v/>
          </cell>
          <cell r="Y1716" t="str">
            <v/>
          </cell>
        </row>
        <row r="1717">
          <cell r="X1717" t="str">
            <v/>
          </cell>
          <cell r="Y1717" t="str">
            <v/>
          </cell>
        </row>
        <row r="1718">
          <cell r="X1718" t="str">
            <v/>
          </cell>
          <cell r="Y1718" t="str">
            <v/>
          </cell>
        </row>
        <row r="1719">
          <cell r="X1719" t="str">
            <v/>
          </cell>
          <cell r="Y1719" t="str">
            <v/>
          </cell>
        </row>
        <row r="1720">
          <cell r="X1720" t="str">
            <v/>
          </cell>
          <cell r="Y1720" t="str">
            <v/>
          </cell>
        </row>
        <row r="1721">
          <cell r="X1721" t="str">
            <v/>
          </cell>
          <cell r="Y1721" t="str">
            <v/>
          </cell>
        </row>
        <row r="1722">
          <cell r="X1722" t="str">
            <v/>
          </cell>
          <cell r="Y1722" t="str">
            <v/>
          </cell>
        </row>
        <row r="1723">
          <cell r="X1723" t="str">
            <v/>
          </cell>
          <cell r="Y1723" t="str">
            <v/>
          </cell>
        </row>
        <row r="1724">
          <cell r="X1724" t="str">
            <v/>
          </cell>
          <cell r="Y1724" t="str">
            <v/>
          </cell>
        </row>
        <row r="1725">
          <cell r="X1725" t="str">
            <v/>
          </cell>
          <cell r="Y1725" t="str">
            <v/>
          </cell>
        </row>
        <row r="1726">
          <cell r="X1726" t="str">
            <v/>
          </cell>
          <cell r="Y1726" t="str">
            <v/>
          </cell>
        </row>
        <row r="1727">
          <cell r="X1727" t="str">
            <v/>
          </cell>
          <cell r="Y1727" t="str">
            <v/>
          </cell>
        </row>
        <row r="1728">
          <cell r="X1728" t="str">
            <v/>
          </cell>
          <cell r="Y1728" t="str">
            <v/>
          </cell>
        </row>
        <row r="1729">
          <cell r="X1729" t="str">
            <v/>
          </cell>
          <cell r="Y1729" t="str">
            <v/>
          </cell>
        </row>
        <row r="1730">
          <cell r="X1730" t="str">
            <v/>
          </cell>
          <cell r="Y1730" t="str">
            <v/>
          </cell>
        </row>
        <row r="1731">
          <cell r="X1731" t="str">
            <v/>
          </cell>
          <cell r="Y1731" t="str">
            <v/>
          </cell>
        </row>
        <row r="1732">
          <cell r="X1732" t="str">
            <v/>
          </cell>
          <cell r="Y1732" t="str">
            <v/>
          </cell>
        </row>
        <row r="1733">
          <cell r="X1733" t="str">
            <v/>
          </cell>
          <cell r="Y1733" t="str">
            <v/>
          </cell>
        </row>
        <row r="1734">
          <cell r="X1734" t="str">
            <v/>
          </cell>
          <cell r="Y1734" t="str">
            <v/>
          </cell>
        </row>
        <row r="1735">
          <cell r="X1735" t="str">
            <v/>
          </cell>
          <cell r="Y1735" t="str">
            <v/>
          </cell>
        </row>
        <row r="1736">
          <cell r="X1736" t="str">
            <v/>
          </cell>
          <cell r="Y1736" t="str">
            <v/>
          </cell>
        </row>
        <row r="1737">
          <cell r="X1737" t="str">
            <v/>
          </cell>
          <cell r="Y1737" t="str">
            <v/>
          </cell>
        </row>
        <row r="1738">
          <cell r="X1738" t="str">
            <v/>
          </cell>
          <cell r="Y1738" t="str">
            <v/>
          </cell>
        </row>
        <row r="1739">
          <cell r="X1739" t="str">
            <v/>
          </cell>
          <cell r="Y1739" t="str">
            <v/>
          </cell>
        </row>
        <row r="1740">
          <cell r="X1740" t="str">
            <v/>
          </cell>
          <cell r="Y1740" t="str">
            <v/>
          </cell>
        </row>
        <row r="1741">
          <cell r="X1741" t="str">
            <v/>
          </cell>
          <cell r="Y1741" t="str">
            <v/>
          </cell>
        </row>
        <row r="1742">
          <cell r="X1742" t="str">
            <v/>
          </cell>
          <cell r="Y1742" t="str">
            <v/>
          </cell>
        </row>
        <row r="1743">
          <cell r="X1743" t="str">
            <v/>
          </cell>
          <cell r="Y1743" t="str">
            <v/>
          </cell>
        </row>
        <row r="1744">
          <cell r="X1744" t="str">
            <v/>
          </cell>
          <cell r="Y1744" t="str">
            <v/>
          </cell>
        </row>
        <row r="1745">
          <cell r="X1745" t="str">
            <v/>
          </cell>
          <cell r="Y1745" t="str">
            <v/>
          </cell>
        </row>
        <row r="1746">
          <cell r="X1746" t="str">
            <v/>
          </cell>
          <cell r="Y1746" t="str">
            <v/>
          </cell>
        </row>
        <row r="1747">
          <cell r="X1747" t="str">
            <v/>
          </cell>
          <cell r="Y1747" t="str">
            <v/>
          </cell>
        </row>
        <row r="1748">
          <cell r="X1748" t="str">
            <v/>
          </cell>
          <cell r="Y1748" t="str">
            <v/>
          </cell>
        </row>
        <row r="1749">
          <cell r="X1749" t="str">
            <v/>
          </cell>
          <cell r="Y1749" t="str">
            <v/>
          </cell>
        </row>
        <row r="1750">
          <cell r="X1750" t="str">
            <v/>
          </cell>
          <cell r="Y1750" t="str">
            <v/>
          </cell>
        </row>
        <row r="1751">
          <cell r="X1751" t="str">
            <v/>
          </cell>
          <cell r="Y1751" t="str">
            <v/>
          </cell>
        </row>
        <row r="1752">
          <cell r="X1752" t="str">
            <v/>
          </cell>
          <cell r="Y1752" t="str">
            <v/>
          </cell>
        </row>
        <row r="1753">
          <cell r="X1753" t="str">
            <v/>
          </cell>
          <cell r="Y1753" t="str">
            <v/>
          </cell>
        </row>
        <row r="1754">
          <cell r="X1754" t="str">
            <v/>
          </cell>
          <cell r="Y1754" t="str">
            <v/>
          </cell>
        </row>
        <row r="1755">
          <cell r="X1755" t="str">
            <v/>
          </cell>
          <cell r="Y1755" t="str">
            <v/>
          </cell>
        </row>
        <row r="1756">
          <cell r="X1756" t="str">
            <v/>
          </cell>
          <cell r="Y1756" t="str">
            <v/>
          </cell>
        </row>
        <row r="1757">
          <cell r="X1757" t="str">
            <v/>
          </cell>
          <cell r="Y1757" t="str">
            <v/>
          </cell>
        </row>
        <row r="1758">
          <cell r="X1758" t="str">
            <v/>
          </cell>
          <cell r="Y1758" t="str">
            <v/>
          </cell>
        </row>
        <row r="1759">
          <cell r="X1759" t="str">
            <v/>
          </cell>
          <cell r="Y1759" t="str">
            <v/>
          </cell>
        </row>
        <row r="1760">
          <cell r="X1760" t="str">
            <v/>
          </cell>
          <cell r="Y1760" t="str">
            <v/>
          </cell>
        </row>
        <row r="1761">
          <cell r="X1761" t="str">
            <v/>
          </cell>
          <cell r="Y1761" t="str">
            <v/>
          </cell>
        </row>
        <row r="1762">
          <cell r="X1762" t="str">
            <v/>
          </cell>
          <cell r="Y1762" t="str">
            <v/>
          </cell>
        </row>
        <row r="1763">
          <cell r="X1763" t="str">
            <v/>
          </cell>
          <cell r="Y1763" t="str">
            <v/>
          </cell>
        </row>
        <row r="1764">
          <cell r="X1764" t="str">
            <v/>
          </cell>
          <cell r="Y1764" t="str">
            <v/>
          </cell>
        </row>
        <row r="1765">
          <cell r="X1765" t="str">
            <v/>
          </cell>
          <cell r="Y1765" t="str">
            <v/>
          </cell>
        </row>
        <row r="1766">
          <cell r="X1766" t="str">
            <v/>
          </cell>
          <cell r="Y1766" t="str">
            <v/>
          </cell>
        </row>
        <row r="1767">
          <cell r="X1767" t="str">
            <v/>
          </cell>
          <cell r="Y1767" t="str">
            <v/>
          </cell>
        </row>
        <row r="1768">
          <cell r="X1768" t="str">
            <v/>
          </cell>
          <cell r="Y1768" t="str">
            <v/>
          </cell>
        </row>
        <row r="1769">
          <cell r="X1769" t="str">
            <v/>
          </cell>
          <cell r="Y1769" t="str">
            <v/>
          </cell>
        </row>
        <row r="1770">
          <cell r="X1770" t="str">
            <v/>
          </cell>
          <cell r="Y1770" t="str">
            <v/>
          </cell>
        </row>
        <row r="1771">
          <cell r="X1771" t="str">
            <v/>
          </cell>
          <cell r="Y1771" t="str">
            <v/>
          </cell>
        </row>
        <row r="1772">
          <cell r="X1772" t="str">
            <v/>
          </cell>
          <cell r="Y1772" t="str">
            <v/>
          </cell>
        </row>
        <row r="1773">
          <cell r="X1773" t="str">
            <v/>
          </cell>
          <cell r="Y1773" t="str">
            <v/>
          </cell>
        </row>
        <row r="1774">
          <cell r="X1774" t="str">
            <v/>
          </cell>
          <cell r="Y1774" t="str">
            <v/>
          </cell>
        </row>
        <row r="1775">
          <cell r="X1775" t="str">
            <v/>
          </cell>
          <cell r="Y1775" t="str">
            <v/>
          </cell>
        </row>
        <row r="1776">
          <cell r="X1776" t="str">
            <v/>
          </cell>
          <cell r="Y1776" t="str">
            <v/>
          </cell>
        </row>
        <row r="1777">
          <cell r="X1777" t="str">
            <v/>
          </cell>
          <cell r="Y1777" t="str">
            <v/>
          </cell>
        </row>
        <row r="1778">
          <cell r="X1778" t="str">
            <v/>
          </cell>
          <cell r="Y1778" t="str">
            <v/>
          </cell>
        </row>
        <row r="1779">
          <cell r="X1779" t="str">
            <v/>
          </cell>
          <cell r="Y1779" t="str">
            <v/>
          </cell>
        </row>
        <row r="1780">
          <cell r="X1780" t="str">
            <v/>
          </cell>
          <cell r="Y1780" t="str">
            <v/>
          </cell>
        </row>
        <row r="1781">
          <cell r="X1781" t="str">
            <v/>
          </cell>
          <cell r="Y1781" t="str">
            <v/>
          </cell>
        </row>
        <row r="1782">
          <cell r="X1782" t="str">
            <v/>
          </cell>
          <cell r="Y1782" t="str">
            <v/>
          </cell>
        </row>
        <row r="1783">
          <cell r="X1783" t="str">
            <v/>
          </cell>
          <cell r="Y1783" t="str">
            <v/>
          </cell>
        </row>
        <row r="1784">
          <cell r="X1784" t="str">
            <v/>
          </cell>
          <cell r="Y1784" t="str">
            <v/>
          </cell>
        </row>
        <row r="1785">
          <cell r="X1785" t="str">
            <v/>
          </cell>
          <cell r="Y1785" t="str">
            <v/>
          </cell>
        </row>
        <row r="1786">
          <cell r="X1786" t="str">
            <v/>
          </cell>
          <cell r="Y1786" t="str">
            <v/>
          </cell>
        </row>
        <row r="1787">
          <cell r="X1787" t="str">
            <v/>
          </cell>
          <cell r="Y1787" t="str">
            <v/>
          </cell>
        </row>
        <row r="1788">
          <cell r="X1788" t="str">
            <v/>
          </cell>
          <cell r="Y1788" t="str">
            <v/>
          </cell>
        </row>
        <row r="1789">
          <cell r="X1789" t="str">
            <v/>
          </cell>
          <cell r="Y1789" t="str">
            <v/>
          </cell>
        </row>
        <row r="1790">
          <cell r="X1790" t="str">
            <v/>
          </cell>
          <cell r="Y1790" t="str">
            <v/>
          </cell>
        </row>
        <row r="1791">
          <cell r="X1791" t="str">
            <v/>
          </cell>
          <cell r="Y1791" t="str">
            <v/>
          </cell>
        </row>
        <row r="1792">
          <cell r="X1792" t="str">
            <v/>
          </cell>
          <cell r="Y1792" t="str">
            <v/>
          </cell>
        </row>
        <row r="1793">
          <cell r="X1793" t="str">
            <v/>
          </cell>
          <cell r="Y1793" t="str">
            <v/>
          </cell>
        </row>
        <row r="1794">
          <cell r="X1794" t="str">
            <v/>
          </cell>
          <cell r="Y1794" t="str">
            <v/>
          </cell>
        </row>
        <row r="1795">
          <cell r="X1795" t="str">
            <v/>
          </cell>
          <cell r="Y1795" t="str">
            <v/>
          </cell>
        </row>
        <row r="1796">
          <cell r="X1796" t="str">
            <v/>
          </cell>
          <cell r="Y1796" t="str">
            <v/>
          </cell>
        </row>
        <row r="1797">
          <cell r="X1797" t="str">
            <v/>
          </cell>
          <cell r="Y1797" t="str">
            <v/>
          </cell>
        </row>
        <row r="1798">
          <cell r="X1798" t="str">
            <v/>
          </cell>
          <cell r="Y1798" t="str">
            <v/>
          </cell>
        </row>
        <row r="1799">
          <cell r="X1799" t="str">
            <v/>
          </cell>
          <cell r="Y1799" t="str">
            <v/>
          </cell>
        </row>
        <row r="1800">
          <cell r="X1800" t="str">
            <v/>
          </cell>
          <cell r="Y1800" t="str">
            <v/>
          </cell>
        </row>
        <row r="1801">
          <cell r="X1801" t="str">
            <v/>
          </cell>
          <cell r="Y1801" t="str">
            <v/>
          </cell>
        </row>
        <row r="1802">
          <cell r="X1802" t="str">
            <v/>
          </cell>
          <cell r="Y1802" t="str">
            <v/>
          </cell>
        </row>
        <row r="1803">
          <cell r="X1803" t="str">
            <v/>
          </cell>
          <cell r="Y1803" t="str">
            <v/>
          </cell>
        </row>
        <row r="1804">
          <cell r="X1804" t="str">
            <v/>
          </cell>
          <cell r="Y1804" t="str">
            <v/>
          </cell>
        </row>
        <row r="1805">
          <cell r="X1805" t="str">
            <v/>
          </cell>
          <cell r="Y1805" t="str">
            <v/>
          </cell>
        </row>
        <row r="1806">
          <cell r="X1806" t="str">
            <v>x</v>
          </cell>
          <cell r="Y1806" t="str">
            <v/>
          </cell>
        </row>
        <row r="1807">
          <cell r="X1807" t="str">
            <v/>
          </cell>
          <cell r="Y1807" t="str">
            <v/>
          </cell>
        </row>
        <row r="1808">
          <cell r="X1808" t="str">
            <v/>
          </cell>
          <cell r="Y1808" t="str">
            <v/>
          </cell>
        </row>
        <row r="1809">
          <cell r="X1809" t="str">
            <v>x</v>
          </cell>
          <cell r="Y1809" t="str">
            <v/>
          </cell>
        </row>
        <row r="1810">
          <cell r="X1810" t="str">
            <v/>
          </cell>
          <cell r="Y1810" t="str">
            <v/>
          </cell>
        </row>
        <row r="1811">
          <cell r="X1811" t="str">
            <v/>
          </cell>
          <cell r="Y1811" t="str">
            <v/>
          </cell>
        </row>
        <row r="1812">
          <cell r="X1812" t="str">
            <v>x</v>
          </cell>
          <cell r="Y1812" t="str">
            <v/>
          </cell>
        </row>
        <row r="1813">
          <cell r="X1813" t="str">
            <v/>
          </cell>
          <cell r="Y1813" t="str">
            <v/>
          </cell>
        </row>
        <row r="1814">
          <cell r="X1814" t="str">
            <v/>
          </cell>
          <cell r="Y1814" t="str">
            <v/>
          </cell>
        </row>
        <row r="1815">
          <cell r="X1815" t="str">
            <v>x</v>
          </cell>
          <cell r="Y1815" t="str">
            <v/>
          </cell>
        </row>
        <row r="1816">
          <cell r="X1816" t="str">
            <v/>
          </cell>
          <cell r="Y1816" t="str">
            <v/>
          </cell>
        </row>
        <row r="1817">
          <cell r="X1817" t="str">
            <v/>
          </cell>
          <cell r="Y1817" t="str">
            <v/>
          </cell>
        </row>
        <row r="1818">
          <cell r="X1818" t="str">
            <v>x</v>
          </cell>
          <cell r="Y1818" t="str">
            <v/>
          </cell>
        </row>
        <row r="1819">
          <cell r="X1819" t="str">
            <v/>
          </cell>
          <cell r="Y1819" t="str">
            <v/>
          </cell>
        </row>
        <row r="1820">
          <cell r="X1820" t="str">
            <v/>
          </cell>
          <cell r="Y1820" t="str">
            <v/>
          </cell>
        </row>
        <row r="1821">
          <cell r="X1821" t="str">
            <v>x</v>
          </cell>
          <cell r="Y1821" t="str">
            <v/>
          </cell>
        </row>
        <row r="1822">
          <cell r="X1822" t="str">
            <v/>
          </cell>
          <cell r="Y1822" t="str">
            <v/>
          </cell>
        </row>
        <row r="1823">
          <cell r="X1823" t="str">
            <v/>
          </cell>
          <cell r="Y1823" t="str">
            <v/>
          </cell>
        </row>
        <row r="1824">
          <cell r="X1824" t="str">
            <v>x</v>
          </cell>
          <cell r="Y1824" t="str">
            <v/>
          </cell>
        </row>
        <row r="1825">
          <cell r="X1825" t="str">
            <v/>
          </cell>
          <cell r="Y1825" t="str">
            <v/>
          </cell>
        </row>
        <row r="1826">
          <cell r="X1826" t="str">
            <v/>
          </cell>
          <cell r="Y1826" t="str">
            <v/>
          </cell>
        </row>
        <row r="1827">
          <cell r="X1827" t="str">
            <v>x</v>
          </cell>
          <cell r="Y1827" t="str">
            <v/>
          </cell>
        </row>
        <row r="1828">
          <cell r="X1828" t="str">
            <v/>
          </cell>
          <cell r="Y1828" t="str">
            <v/>
          </cell>
        </row>
        <row r="1829">
          <cell r="X1829" t="str">
            <v/>
          </cell>
          <cell r="Y1829" t="str">
            <v/>
          </cell>
        </row>
        <row r="1830">
          <cell r="X1830" t="str">
            <v/>
          </cell>
          <cell r="Y1830" t="str">
            <v/>
          </cell>
        </row>
        <row r="1831">
          <cell r="X1831" t="str">
            <v/>
          </cell>
          <cell r="Y1831" t="str">
            <v/>
          </cell>
        </row>
        <row r="1832">
          <cell r="X1832" t="str">
            <v/>
          </cell>
          <cell r="Y1832" t="str">
            <v/>
          </cell>
        </row>
        <row r="1833">
          <cell r="X1833" t="str">
            <v>x</v>
          </cell>
          <cell r="Y1833" t="str">
            <v/>
          </cell>
        </row>
        <row r="1834">
          <cell r="X1834" t="str">
            <v/>
          </cell>
          <cell r="Y1834" t="str">
            <v/>
          </cell>
        </row>
        <row r="1835">
          <cell r="X1835" t="str">
            <v>x</v>
          </cell>
          <cell r="Y1835" t="str">
            <v/>
          </cell>
        </row>
        <row r="1836">
          <cell r="X1836" t="str">
            <v/>
          </cell>
          <cell r="Y1836" t="str">
            <v/>
          </cell>
        </row>
        <row r="1837">
          <cell r="X1837" t="str">
            <v>x</v>
          </cell>
          <cell r="Y1837" t="str">
            <v/>
          </cell>
        </row>
        <row r="1838">
          <cell r="X1838" t="str">
            <v>x</v>
          </cell>
          <cell r="Y1838" t="str">
            <v/>
          </cell>
        </row>
        <row r="1839">
          <cell r="X1839" t="str">
            <v/>
          </cell>
          <cell r="Y1839" t="str">
            <v/>
          </cell>
        </row>
        <row r="1840">
          <cell r="X1840" t="str">
            <v>x</v>
          </cell>
          <cell r="Y1840" t="str">
            <v/>
          </cell>
        </row>
        <row r="1841">
          <cell r="X1841" t="str">
            <v/>
          </cell>
          <cell r="Y1841" t="str">
            <v/>
          </cell>
        </row>
        <row r="1842">
          <cell r="X1842" t="str">
            <v>x</v>
          </cell>
          <cell r="Y1842" t="str">
            <v/>
          </cell>
        </row>
        <row r="1843">
          <cell r="X1843" t="str">
            <v/>
          </cell>
          <cell r="Y1843" t="str">
            <v/>
          </cell>
        </row>
        <row r="1844">
          <cell r="X1844" t="str">
            <v>x</v>
          </cell>
          <cell r="Y1844" t="str">
            <v/>
          </cell>
        </row>
        <row r="1845">
          <cell r="X1845" t="str">
            <v/>
          </cell>
          <cell r="Y1845" t="str">
            <v/>
          </cell>
        </row>
        <row r="1846">
          <cell r="X1846" t="str">
            <v>x</v>
          </cell>
          <cell r="Y1846" t="str">
            <v/>
          </cell>
        </row>
        <row r="1847">
          <cell r="X1847" t="str">
            <v/>
          </cell>
          <cell r="Y1847" t="str">
            <v/>
          </cell>
        </row>
        <row r="1848">
          <cell r="X1848" t="str">
            <v/>
          </cell>
          <cell r="Y1848" t="str">
            <v/>
          </cell>
        </row>
        <row r="1849">
          <cell r="X1849" t="str">
            <v>x</v>
          </cell>
          <cell r="Y1849" t="str">
            <v/>
          </cell>
        </row>
        <row r="1850">
          <cell r="X1850" t="str">
            <v/>
          </cell>
          <cell r="Y1850" t="str">
            <v/>
          </cell>
        </row>
        <row r="1851">
          <cell r="X1851" t="str">
            <v>x</v>
          </cell>
          <cell r="Y1851" t="str">
            <v/>
          </cell>
        </row>
        <row r="1852">
          <cell r="X1852" t="str">
            <v/>
          </cell>
          <cell r="Y1852" t="str">
            <v/>
          </cell>
        </row>
        <row r="1853">
          <cell r="X1853" t="str">
            <v>x</v>
          </cell>
          <cell r="Y1853" t="str">
            <v/>
          </cell>
        </row>
        <row r="1854">
          <cell r="X1854" t="str">
            <v/>
          </cell>
          <cell r="Y1854" t="str">
            <v/>
          </cell>
        </row>
        <row r="1855">
          <cell r="X1855" t="str">
            <v>x</v>
          </cell>
          <cell r="Y1855" t="str">
            <v/>
          </cell>
        </row>
        <row r="1856">
          <cell r="X1856" t="str">
            <v/>
          </cell>
          <cell r="Y1856" t="str">
            <v/>
          </cell>
        </row>
        <row r="1857">
          <cell r="X1857" t="str">
            <v>x</v>
          </cell>
          <cell r="Y1857" t="str">
            <v/>
          </cell>
        </row>
        <row r="1858">
          <cell r="X1858" t="str">
            <v/>
          </cell>
          <cell r="Y1858" t="str">
            <v/>
          </cell>
        </row>
        <row r="1859">
          <cell r="X1859" t="str">
            <v/>
          </cell>
          <cell r="Y1859" t="str">
            <v/>
          </cell>
        </row>
        <row r="1860">
          <cell r="X1860" t="str">
            <v/>
          </cell>
          <cell r="Y1860" t="str">
            <v/>
          </cell>
        </row>
        <row r="1861">
          <cell r="X1861" t="str">
            <v>x</v>
          </cell>
          <cell r="Y1861" t="str">
            <v/>
          </cell>
        </row>
        <row r="1862">
          <cell r="X1862" t="str">
            <v/>
          </cell>
          <cell r="Y1862" t="str">
            <v/>
          </cell>
        </row>
        <row r="1863">
          <cell r="X1863" t="str">
            <v/>
          </cell>
          <cell r="Y1863" t="str">
            <v/>
          </cell>
        </row>
        <row r="1864">
          <cell r="X1864" t="str">
            <v>x</v>
          </cell>
          <cell r="Y1864" t="str">
            <v/>
          </cell>
        </row>
        <row r="1865">
          <cell r="X1865" t="str">
            <v/>
          </cell>
          <cell r="Y1865" t="str">
            <v/>
          </cell>
        </row>
        <row r="1866">
          <cell r="X1866" t="str">
            <v/>
          </cell>
          <cell r="Y1866" t="str">
            <v/>
          </cell>
        </row>
        <row r="1867">
          <cell r="X1867" t="str">
            <v>x</v>
          </cell>
          <cell r="Y1867" t="str">
            <v/>
          </cell>
        </row>
        <row r="1868">
          <cell r="X1868" t="str">
            <v/>
          </cell>
          <cell r="Y1868" t="str">
            <v/>
          </cell>
        </row>
        <row r="1869">
          <cell r="X1869" t="str">
            <v/>
          </cell>
          <cell r="Y1869" t="str">
            <v/>
          </cell>
        </row>
        <row r="1870">
          <cell r="X1870" t="str">
            <v>x</v>
          </cell>
          <cell r="Y1870" t="str">
            <v/>
          </cell>
        </row>
        <row r="1871">
          <cell r="X1871" t="str">
            <v/>
          </cell>
          <cell r="Y1871" t="str">
            <v/>
          </cell>
        </row>
        <row r="1872">
          <cell r="X1872" t="str">
            <v/>
          </cell>
          <cell r="Y1872" t="str">
            <v/>
          </cell>
        </row>
        <row r="1873">
          <cell r="X1873" t="str">
            <v>x</v>
          </cell>
          <cell r="Y1873" t="str">
            <v/>
          </cell>
        </row>
        <row r="1874">
          <cell r="X1874" t="str">
            <v/>
          </cell>
          <cell r="Y1874" t="str">
            <v/>
          </cell>
        </row>
        <row r="1875">
          <cell r="X1875" t="str">
            <v>x</v>
          </cell>
          <cell r="Y1875" t="str">
            <v/>
          </cell>
        </row>
        <row r="1876">
          <cell r="X1876" t="str">
            <v/>
          </cell>
          <cell r="Y1876" t="str">
            <v/>
          </cell>
        </row>
        <row r="1877">
          <cell r="X1877" t="str">
            <v>x</v>
          </cell>
          <cell r="Y1877" t="str">
            <v/>
          </cell>
        </row>
        <row r="1878">
          <cell r="X1878" t="str">
            <v/>
          </cell>
          <cell r="Y1878" t="str">
            <v/>
          </cell>
        </row>
        <row r="1879">
          <cell r="X1879" t="str">
            <v>x</v>
          </cell>
          <cell r="Y1879" t="str">
            <v/>
          </cell>
        </row>
        <row r="1880">
          <cell r="X1880" t="str">
            <v/>
          </cell>
          <cell r="Y1880" t="str">
            <v/>
          </cell>
        </row>
        <row r="1881">
          <cell r="X1881" t="str">
            <v>x</v>
          </cell>
          <cell r="Y1881" t="str">
            <v/>
          </cell>
        </row>
        <row r="1882">
          <cell r="X1882" t="str">
            <v/>
          </cell>
          <cell r="Y1882" t="str">
            <v/>
          </cell>
        </row>
        <row r="1883">
          <cell r="X1883" t="str">
            <v>x</v>
          </cell>
          <cell r="Y1883" t="str">
            <v/>
          </cell>
        </row>
        <row r="1884">
          <cell r="X1884" t="str">
            <v/>
          </cell>
          <cell r="Y1884" t="str">
            <v/>
          </cell>
        </row>
        <row r="1885">
          <cell r="X1885" t="str">
            <v>x</v>
          </cell>
          <cell r="Y1885" t="str">
            <v/>
          </cell>
        </row>
        <row r="1886">
          <cell r="X1886" t="str">
            <v/>
          </cell>
          <cell r="Y1886" t="str">
            <v/>
          </cell>
        </row>
        <row r="1887">
          <cell r="X1887" t="str">
            <v>x</v>
          </cell>
          <cell r="Y1887" t="str">
            <v/>
          </cell>
        </row>
        <row r="1888">
          <cell r="X1888" t="str">
            <v/>
          </cell>
          <cell r="Y1888" t="str">
            <v/>
          </cell>
        </row>
        <row r="1889">
          <cell r="X1889" t="str">
            <v>x</v>
          </cell>
          <cell r="Y1889" t="str">
            <v/>
          </cell>
        </row>
        <row r="1890">
          <cell r="X1890" t="str">
            <v/>
          </cell>
          <cell r="Y1890" t="str">
            <v/>
          </cell>
        </row>
        <row r="1891">
          <cell r="X1891" t="str">
            <v/>
          </cell>
          <cell r="Y1891" t="str">
            <v/>
          </cell>
        </row>
        <row r="1892">
          <cell r="X1892" t="str">
            <v>x</v>
          </cell>
          <cell r="Y1892" t="str">
            <v/>
          </cell>
        </row>
        <row r="1893">
          <cell r="X1893" t="str">
            <v/>
          </cell>
          <cell r="Y1893" t="str">
            <v/>
          </cell>
        </row>
        <row r="1894">
          <cell r="X1894" t="str">
            <v>x</v>
          </cell>
          <cell r="Y1894" t="str">
            <v/>
          </cell>
        </row>
        <row r="1895">
          <cell r="X1895" t="str">
            <v/>
          </cell>
          <cell r="Y1895" t="str">
            <v/>
          </cell>
        </row>
        <row r="1896">
          <cell r="X1896" t="str">
            <v>x</v>
          </cell>
          <cell r="Y1896" t="str">
            <v/>
          </cell>
        </row>
        <row r="1897">
          <cell r="X1897" t="str">
            <v/>
          </cell>
          <cell r="Y1897" t="str">
            <v/>
          </cell>
        </row>
        <row r="1898">
          <cell r="X1898" t="str">
            <v/>
          </cell>
          <cell r="Y1898" t="str">
            <v/>
          </cell>
        </row>
        <row r="1899">
          <cell r="X1899" t="str">
            <v>x</v>
          </cell>
          <cell r="Y1899" t="str">
            <v/>
          </cell>
        </row>
        <row r="1900">
          <cell r="X1900" t="str">
            <v/>
          </cell>
          <cell r="Y1900" t="str">
            <v/>
          </cell>
        </row>
        <row r="1901">
          <cell r="X1901" t="str">
            <v/>
          </cell>
          <cell r="Y1901" t="str">
            <v/>
          </cell>
        </row>
        <row r="1902">
          <cell r="X1902" t="str">
            <v>x</v>
          </cell>
          <cell r="Y1902" t="str">
            <v/>
          </cell>
        </row>
        <row r="1903">
          <cell r="X1903" t="str">
            <v/>
          </cell>
          <cell r="Y1903" t="str">
            <v/>
          </cell>
        </row>
        <row r="1904">
          <cell r="X1904" t="str">
            <v/>
          </cell>
          <cell r="Y1904" t="str">
            <v/>
          </cell>
        </row>
        <row r="1905">
          <cell r="X1905" t="str">
            <v>x</v>
          </cell>
          <cell r="Y1905" t="str">
            <v/>
          </cell>
        </row>
        <row r="1906">
          <cell r="X1906" t="str">
            <v/>
          </cell>
          <cell r="Y1906" t="str">
            <v/>
          </cell>
        </row>
        <row r="1907">
          <cell r="X1907" t="str">
            <v/>
          </cell>
          <cell r="Y1907" t="str">
            <v/>
          </cell>
        </row>
        <row r="1908">
          <cell r="X1908" t="str">
            <v>x</v>
          </cell>
          <cell r="Y1908" t="str">
            <v/>
          </cell>
        </row>
        <row r="1909">
          <cell r="X1909" t="str">
            <v/>
          </cell>
          <cell r="Y1909" t="str">
            <v/>
          </cell>
        </row>
        <row r="1910">
          <cell r="X1910" t="str">
            <v/>
          </cell>
          <cell r="Y1910" t="str">
            <v/>
          </cell>
        </row>
        <row r="1911">
          <cell r="X1911" t="str">
            <v>x</v>
          </cell>
          <cell r="Y1911" t="str">
            <v/>
          </cell>
        </row>
        <row r="1912">
          <cell r="X1912" t="str">
            <v/>
          </cell>
          <cell r="Y1912" t="str">
            <v/>
          </cell>
        </row>
        <row r="1913">
          <cell r="X1913" t="str">
            <v>x</v>
          </cell>
          <cell r="Y1913" t="str">
            <v/>
          </cell>
        </row>
        <row r="1914">
          <cell r="X1914" t="str">
            <v/>
          </cell>
          <cell r="Y1914" t="str">
            <v/>
          </cell>
        </row>
        <row r="1915">
          <cell r="X1915" t="str">
            <v>x</v>
          </cell>
          <cell r="Y1915" t="str">
            <v/>
          </cell>
        </row>
        <row r="1916">
          <cell r="X1916" t="str">
            <v/>
          </cell>
          <cell r="Y1916" t="str">
            <v/>
          </cell>
        </row>
        <row r="1917">
          <cell r="X1917" t="str">
            <v>x</v>
          </cell>
          <cell r="Y1917" t="str">
            <v/>
          </cell>
        </row>
        <row r="1918">
          <cell r="X1918" t="str">
            <v/>
          </cell>
          <cell r="Y1918" t="str">
            <v/>
          </cell>
        </row>
        <row r="1919">
          <cell r="X1919" t="str">
            <v>x</v>
          </cell>
          <cell r="Y1919" t="str">
            <v/>
          </cell>
        </row>
        <row r="1920">
          <cell r="X1920" t="str">
            <v/>
          </cell>
          <cell r="Y1920" t="str">
            <v/>
          </cell>
        </row>
        <row r="1921">
          <cell r="X1921" t="str">
            <v>x</v>
          </cell>
          <cell r="Y1921" t="str">
            <v/>
          </cell>
        </row>
        <row r="1922">
          <cell r="X1922" t="str">
            <v/>
          </cell>
          <cell r="Y1922" t="str">
            <v/>
          </cell>
        </row>
        <row r="1923">
          <cell r="X1923" t="str">
            <v>x</v>
          </cell>
          <cell r="Y1923" t="str">
            <v/>
          </cell>
        </row>
        <row r="1924">
          <cell r="X1924" t="str">
            <v/>
          </cell>
          <cell r="Y1924" t="str">
            <v/>
          </cell>
        </row>
        <row r="1925">
          <cell r="X1925" t="str">
            <v>x</v>
          </cell>
          <cell r="Y1925" t="str">
            <v/>
          </cell>
        </row>
        <row r="1926">
          <cell r="X1926" t="str">
            <v/>
          </cell>
          <cell r="Y1926" t="str">
            <v/>
          </cell>
        </row>
        <row r="1927">
          <cell r="X1927" t="str">
            <v>x</v>
          </cell>
          <cell r="Y1927" t="str">
            <v/>
          </cell>
        </row>
        <row r="1928">
          <cell r="X1928" t="str">
            <v/>
          </cell>
          <cell r="Y1928" t="str">
            <v/>
          </cell>
        </row>
        <row r="1929">
          <cell r="X1929" t="str">
            <v/>
          </cell>
          <cell r="Y1929" t="str">
            <v/>
          </cell>
        </row>
        <row r="1930">
          <cell r="X1930" t="str">
            <v/>
          </cell>
          <cell r="Y1930" t="str">
            <v/>
          </cell>
        </row>
        <row r="1931">
          <cell r="X1931" t="str">
            <v/>
          </cell>
          <cell r="Y1931" t="str">
            <v/>
          </cell>
        </row>
        <row r="1932">
          <cell r="X1932" t="str">
            <v/>
          </cell>
          <cell r="Y1932" t="str">
            <v/>
          </cell>
        </row>
        <row r="1933">
          <cell r="X1933" t="str">
            <v>x</v>
          </cell>
          <cell r="Y1933" t="str">
            <v/>
          </cell>
        </row>
        <row r="1934">
          <cell r="X1934" t="str">
            <v/>
          </cell>
          <cell r="Y1934" t="str">
            <v/>
          </cell>
        </row>
        <row r="1935">
          <cell r="X1935" t="str">
            <v/>
          </cell>
          <cell r="Y1935" t="str">
            <v/>
          </cell>
        </row>
        <row r="1936">
          <cell r="X1936" t="str">
            <v>x</v>
          </cell>
          <cell r="Y1936" t="str">
            <v/>
          </cell>
        </row>
        <row r="1937">
          <cell r="X1937" t="str">
            <v/>
          </cell>
          <cell r="Y1937" t="str">
            <v/>
          </cell>
        </row>
        <row r="1938">
          <cell r="X1938" t="str">
            <v/>
          </cell>
          <cell r="Y1938" t="str">
            <v/>
          </cell>
        </row>
        <row r="1939">
          <cell r="X1939" t="str">
            <v/>
          </cell>
          <cell r="Y1939" t="str">
            <v/>
          </cell>
        </row>
        <row r="1940">
          <cell r="X1940" t="str">
            <v>x</v>
          </cell>
          <cell r="Y1940" t="str">
            <v/>
          </cell>
        </row>
        <row r="1941">
          <cell r="X1941" t="str">
            <v/>
          </cell>
          <cell r="Y1941" t="str">
            <v/>
          </cell>
        </row>
        <row r="1942">
          <cell r="X1942" t="str">
            <v>x</v>
          </cell>
          <cell r="Y1942" t="str">
            <v/>
          </cell>
        </row>
        <row r="1943">
          <cell r="X1943" t="str">
            <v/>
          </cell>
          <cell r="Y1943" t="str">
            <v/>
          </cell>
        </row>
        <row r="1944">
          <cell r="X1944" t="str">
            <v>x</v>
          </cell>
          <cell r="Y1944" t="str">
            <v/>
          </cell>
        </row>
        <row r="1945">
          <cell r="X1945" t="str">
            <v/>
          </cell>
          <cell r="Y1945" t="str">
            <v/>
          </cell>
        </row>
        <row r="1946">
          <cell r="X1946" t="str">
            <v>x</v>
          </cell>
          <cell r="Y1946" t="str">
            <v/>
          </cell>
        </row>
        <row r="1947">
          <cell r="X1947" t="str">
            <v/>
          </cell>
          <cell r="Y1947" t="str">
            <v/>
          </cell>
        </row>
        <row r="1948">
          <cell r="X1948" t="str">
            <v>x</v>
          </cell>
          <cell r="Y1948" t="str">
            <v/>
          </cell>
        </row>
        <row r="1949">
          <cell r="X1949" t="str">
            <v/>
          </cell>
          <cell r="Y1949" t="str">
            <v/>
          </cell>
        </row>
        <row r="1950">
          <cell r="X1950" t="str">
            <v/>
          </cell>
          <cell r="Y1950" t="str">
            <v/>
          </cell>
        </row>
        <row r="1951">
          <cell r="X1951" t="str">
            <v>x</v>
          </cell>
          <cell r="Y1951" t="str">
            <v/>
          </cell>
        </row>
        <row r="1952">
          <cell r="X1952" t="str">
            <v/>
          </cell>
          <cell r="Y1952" t="str">
            <v/>
          </cell>
        </row>
        <row r="1953">
          <cell r="X1953" t="str">
            <v/>
          </cell>
          <cell r="Y1953" t="str">
            <v/>
          </cell>
        </row>
        <row r="1954">
          <cell r="X1954" t="str">
            <v>x</v>
          </cell>
          <cell r="Y1954" t="str">
            <v/>
          </cell>
        </row>
        <row r="1955">
          <cell r="X1955" t="str">
            <v/>
          </cell>
          <cell r="Y1955" t="str">
            <v/>
          </cell>
        </row>
        <row r="1956">
          <cell r="X1956" t="str">
            <v/>
          </cell>
          <cell r="Y1956" t="str">
            <v/>
          </cell>
        </row>
        <row r="1957">
          <cell r="X1957" t="str">
            <v>x</v>
          </cell>
          <cell r="Y1957" t="str">
            <v/>
          </cell>
        </row>
        <row r="1958">
          <cell r="X1958" t="str">
            <v/>
          </cell>
          <cell r="Y1958" t="str">
            <v/>
          </cell>
        </row>
        <row r="1959">
          <cell r="X1959" t="str">
            <v/>
          </cell>
          <cell r="Y1959" t="str">
            <v/>
          </cell>
        </row>
        <row r="1960">
          <cell r="X1960" t="str">
            <v>x</v>
          </cell>
          <cell r="Y1960" t="str">
            <v/>
          </cell>
        </row>
        <row r="1961">
          <cell r="X1961" t="str">
            <v/>
          </cell>
          <cell r="Y1961" t="str">
            <v/>
          </cell>
        </row>
        <row r="1962">
          <cell r="X1962" t="str">
            <v/>
          </cell>
          <cell r="Y1962" t="str">
            <v/>
          </cell>
        </row>
        <row r="1963">
          <cell r="X1963" t="str">
            <v>x</v>
          </cell>
          <cell r="Y1963" t="str">
            <v/>
          </cell>
        </row>
        <row r="1964">
          <cell r="X1964" t="str">
            <v/>
          </cell>
          <cell r="Y1964" t="str">
            <v/>
          </cell>
        </row>
        <row r="1965">
          <cell r="X1965" t="str">
            <v/>
          </cell>
          <cell r="Y1965" t="str">
            <v/>
          </cell>
        </row>
        <row r="1966">
          <cell r="X1966" t="str">
            <v>x</v>
          </cell>
          <cell r="Y1966" t="str">
            <v/>
          </cell>
        </row>
        <row r="1967">
          <cell r="X1967" t="str">
            <v/>
          </cell>
          <cell r="Y1967" t="str">
            <v/>
          </cell>
        </row>
        <row r="1968">
          <cell r="X1968" t="str">
            <v/>
          </cell>
          <cell r="Y1968" t="str">
            <v/>
          </cell>
        </row>
        <row r="1969">
          <cell r="X1969" t="str">
            <v>x</v>
          </cell>
          <cell r="Y1969" t="str">
            <v/>
          </cell>
        </row>
        <row r="1970">
          <cell r="X1970" t="str">
            <v/>
          </cell>
          <cell r="Y1970" t="str">
            <v/>
          </cell>
        </row>
        <row r="1971">
          <cell r="X1971" t="str">
            <v>x</v>
          </cell>
          <cell r="Y1971" t="str">
            <v/>
          </cell>
        </row>
        <row r="1972">
          <cell r="X1972" t="str">
            <v/>
          </cell>
          <cell r="Y1972" t="str">
            <v/>
          </cell>
        </row>
        <row r="1973">
          <cell r="X1973" t="str">
            <v>x</v>
          </cell>
          <cell r="Y1973" t="str">
            <v/>
          </cell>
        </row>
        <row r="1974">
          <cell r="X1974" t="str">
            <v>x</v>
          </cell>
          <cell r="Y1974" t="str">
            <v/>
          </cell>
        </row>
        <row r="1975">
          <cell r="X1975" t="str">
            <v/>
          </cell>
          <cell r="Y1975" t="str">
            <v/>
          </cell>
        </row>
        <row r="1976">
          <cell r="X1976" t="str">
            <v/>
          </cell>
          <cell r="Y1976" t="str">
            <v/>
          </cell>
        </row>
        <row r="1977">
          <cell r="X1977" t="str">
            <v>x</v>
          </cell>
          <cell r="Y1977" t="str">
            <v/>
          </cell>
        </row>
        <row r="1978">
          <cell r="X1978" t="str">
            <v/>
          </cell>
          <cell r="Y1978" t="str">
            <v/>
          </cell>
        </row>
        <row r="1979">
          <cell r="X1979" t="str">
            <v>x</v>
          </cell>
          <cell r="Y1979" t="str">
            <v/>
          </cell>
        </row>
        <row r="1980">
          <cell r="X1980" t="str">
            <v/>
          </cell>
          <cell r="Y1980" t="str">
            <v/>
          </cell>
        </row>
        <row r="1981">
          <cell r="X1981" t="str">
            <v>x</v>
          </cell>
          <cell r="Y1981" t="str">
            <v/>
          </cell>
        </row>
        <row r="1982">
          <cell r="X1982" t="str">
            <v/>
          </cell>
          <cell r="Y1982" t="str">
            <v/>
          </cell>
        </row>
        <row r="1983">
          <cell r="X1983" t="str">
            <v>x</v>
          </cell>
          <cell r="Y1983" t="str">
            <v/>
          </cell>
        </row>
        <row r="1984">
          <cell r="X1984" t="str">
            <v/>
          </cell>
          <cell r="Y1984" t="str">
            <v/>
          </cell>
        </row>
        <row r="1985">
          <cell r="X1985" t="str">
            <v/>
          </cell>
          <cell r="Y1985" t="str">
            <v/>
          </cell>
        </row>
        <row r="1986">
          <cell r="X1986" t="str">
            <v>x</v>
          </cell>
          <cell r="Y1986" t="str">
            <v/>
          </cell>
        </row>
        <row r="1987">
          <cell r="X1987" t="str">
            <v/>
          </cell>
          <cell r="Y1987" t="str">
            <v/>
          </cell>
        </row>
        <row r="1988">
          <cell r="X1988" t="str">
            <v/>
          </cell>
          <cell r="Y1988" t="str">
            <v/>
          </cell>
        </row>
        <row r="1989">
          <cell r="X1989" t="str">
            <v/>
          </cell>
          <cell r="Y1989" t="str">
            <v/>
          </cell>
        </row>
        <row r="1990">
          <cell r="X1990" t="str">
            <v>x</v>
          </cell>
          <cell r="Y1990" t="str">
            <v/>
          </cell>
        </row>
        <row r="1991">
          <cell r="X1991" t="str">
            <v/>
          </cell>
          <cell r="Y1991" t="str">
            <v/>
          </cell>
        </row>
        <row r="1992">
          <cell r="X1992" t="str">
            <v>x</v>
          </cell>
          <cell r="Y1992" t="str">
            <v/>
          </cell>
        </row>
        <row r="1993">
          <cell r="X1993" t="str">
            <v/>
          </cell>
          <cell r="Y1993" t="str">
            <v/>
          </cell>
        </row>
        <row r="1994">
          <cell r="X1994" t="str">
            <v>x</v>
          </cell>
          <cell r="Y1994" t="str">
            <v/>
          </cell>
        </row>
        <row r="1995">
          <cell r="X1995" t="str">
            <v/>
          </cell>
          <cell r="Y1995" t="str">
            <v/>
          </cell>
        </row>
        <row r="1996">
          <cell r="X1996" t="str">
            <v/>
          </cell>
          <cell r="Y1996" t="str">
            <v/>
          </cell>
        </row>
        <row r="1997">
          <cell r="X1997" t="str">
            <v>x</v>
          </cell>
          <cell r="Y1997" t="str">
            <v/>
          </cell>
        </row>
        <row r="1998">
          <cell r="X1998" t="str">
            <v/>
          </cell>
          <cell r="Y1998" t="str">
            <v/>
          </cell>
        </row>
        <row r="1999">
          <cell r="X1999" t="str">
            <v/>
          </cell>
          <cell r="Y1999" t="str">
            <v/>
          </cell>
        </row>
        <row r="2000">
          <cell r="X2000" t="str">
            <v/>
          </cell>
          <cell r="Y2000" t="str">
            <v/>
          </cell>
        </row>
        <row r="2001">
          <cell r="X2001" t="str">
            <v>x</v>
          </cell>
          <cell r="Y2001" t="str">
            <v/>
          </cell>
        </row>
        <row r="2002">
          <cell r="X2002" t="str">
            <v/>
          </cell>
          <cell r="Y2002" t="str">
            <v/>
          </cell>
        </row>
        <row r="2003">
          <cell r="X2003" t="str">
            <v>x</v>
          </cell>
          <cell r="Y2003" t="str">
            <v/>
          </cell>
        </row>
        <row r="2004">
          <cell r="X2004" t="str">
            <v/>
          </cell>
          <cell r="Y2004" t="str">
            <v/>
          </cell>
        </row>
        <row r="2005">
          <cell r="X2005" t="str">
            <v/>
          </cell>
          <cell r="Y2005" t="str">
            <v/>
          </cell>
        </row>
        <row r="2006">
          <cell r="X2006" t="str">
            <v>x</v>
          </cell>
          <cell r="Y2006" t="str">
            <v/>
          </cell>
        </row>
        <row r="2007">
          <cell r="X2007" t="str">
            <v/>
          </cell>
          <cell r="Y2007" t="str">
            <v/>
          </cell>
        </row>
        <row r="2008">
          <cell r="X2008" t="str">
            <v/>
          </cell>
          <cell r="Y2008" t="str">
            <v/>
          </cell>
        </row>
        <row r="2009">
          <cell r="X2009" t="str">
            <v>x</v>
          </cell>
          <cell r="Y2009" t="str">
            <v/>
          </cell>
        </row>
        <row r="2010">
          <cell r="X2010" t="str">
            <v/>
          </cell>
          <cell r="Y2010" t="str">
            <v/>
          </cell>
        </row>
        <row r="2011">
          <cell r="X2011" t="str">
            <v/>
          </cell>
          <cell r="Y2011" t="str">
            <v/>
          </cell>
        </row>
        <row r="2012">
          <cell r="X2012" t="str">
            <v>x</v>
          </cell>
          <cell r="Y2012" t="str">
            <v/>
          </cell>
        </row>
        <row r="2013">
          <cell r="X2013" t="str">
            <v/>
          </cell>
          <cell r="Y2013" t="str">
            <v/>
          </cell>
        </row>
        <row r="2014">
          <cell r="X2014" t="str">
            <v/>
          </cell>
          <cell r="Y2014" t="str">
            <v/>
          </cell>
        </row>
        <row r="2015">
          <cell r="X2015" t="str">
            <v>x</v>
          </cell>
          <cell r="Y2015" t="str">
            <v/>
          </cell>
        </row>
        <row r="2016">
          <cell r="X2016" t="str">
            <v/>
          </cell>
          <cell r="Y2016" t="str">
            <v/>
          </cell>
        </row>
        <row r="2017">
          <cell r="X2017" t="str">
            <v>x</v>
          </cell>
          <cell r="Y2017" t="str">
            <v/>
          </cell>
        </row>
        <row r="2018">
          <cell r="X2018" t="str">
            <v/>
          </cell>
          <cell r="Y2018" t="str">
            <v/>
          </cell>
        </row>
        <row r="2019">
          <cell r="X2019" t="str">
            <v>x</v>
          </cell>
          <cell r="Y2019" t="str">
            <v/>
          </cell>
        </row>
        <row r="2020">
          <cell r="X2020" t="str">
            <v/>
          </cell>
          <cell r="Y2020" t="str">
            <v/>
          </cell>
        </row>
        <row r="2021">
          <cell r="X2021" t="str">
            <v>x</v>
          </cell>
          <cell r="Y2021" t="str">
            <v/>
          </cell>
        </row>
        <row r="2022">
          <cell r="X2022" t="str">
            <v/>
          </cell>
          <cell r="Y2022" t="str">
            <v/>
          </cell>
        </row>
        <row r="2023">
          <cell r="X2023" t="str">
            <v>x</v>
          </cell>
          <cell r="Y2023" t="str">
            <v/>
          </cell>
        </row>
        <row r="2024">
          <cell r="X2024" t="str">
            <v/>
          </cell>
          <cell r="Y2024" t="str">
            <v/>
          </cell>
        </row>
        <row r="2025">
          <cell r="X2025" t="str">
            <v>x</v>
          </cell>
          <cell r="Y2025" t="str">
            <v/>
          </cell>
        </row>
        <row r="2026">
          <cell r="X2026" t="str">
            <v/>
          </cell>
          <cell r="Y2026" t="str">
            <v/>
          </cell>
        </row>
        <row r="2027">
          <cell r="X2027" t="str">
            <v/>
          </cell>
          <cell r="Y2027" t="str">
            <v/>
          </cell>
        </row>
        <row r="2028">
          <cell r="X2028" t="str">
            <v>x</v>
          </cell>
          <cell r="Y2028" t="str">
            <v/>
          </cell>
        </row>
        <row r="2029">
          <cell r="X2029" t="str">
            <v/>
          </cell>
          <cell r="Y2029" t="str">
            <v/>
          </cell>
        </row>
        <row r="2030">
          <cell r="X2030" t="str">
            <v>x</v>
          </cell>
          <cell r="Y2030" t="str">
            <v/>
          </cell>
        </row>
        <row r="2031">
          <cell r="X2031" t="str">
            <v/>
          </cell>
          <cell r="Y2031" t="str">
            <v/>
          </cell>
        </row>
        <row r="2032">
          <cell r="X2032" t="str">
            <v>x</v>
          </cell>
          <cell r="Y2032" t="str">
            <v/>
          </cell>
        </row>
        <row r="2033">
          <cell r="X2033" t="str">
            <v/>
          </cell>
          <cell r="Y2033" t="str">
            <v/>
          </cell>
        </row>
        <row r="2034">
          <cell r="X2034" t="str">
            <v>x</v>
          </cell>
          <cell r="Y2034" t="str">
            <v/>
          </cell>
        </row>
        <row r="2035">
          <cell r="X2035" t="str">
            <v/>
          </cell>
          <cell r="Y2035" t="str">
            <v/>
          </cell>
        </row>
        <row r="2036">
          <cell r="X2036" t="str">
            <v/>
          </cell>
          <cell r="Y2036" t="str">
            <v/>
          </cell>
        </row>
        <row r="2037">
          <cell r="X2037" t="str">
            <v>x</v>
          </cell>
          <cell r="Y2037" t="str">
            <v/>
          </cell>
        </row>
        <row r="2038">
          <cell r="X2038" t="str">
            <v/>
          </cell>
          <cell r="Y2038" t="str">
            <v/>
          </cell>
        </row>
        <row r="2039">
          <cell r="X2039" t="str">
            <v>x</v>
          </cell>
          <cell r="Y2039" t="str">
            <v/>
          </cell>
        </row>
        <row r="2040">
          <cell r="X2040" t="str">
            <v/>
          </cell>
          <cell r="Y2040" t="str">
            <v/>
          </cell>
        </row>
        <row r="2041">
          <cell r="X2041" t="str">
            <v>x</v>
          </cell>
          <cell r="Y2041" t="str">
            <v/>
          </cell>
        </row>
        <row r="2042">
          <cell r="X2042" t="str">
            <v/>
          </cell>
          <cell r="Y2042" t="str">
            <v/>
          </cell>
        </row>
        <row r="2043">
          <cell r="X2043" t="str">
            <v>x</v>
          </cell>
          <cell r="Y2043" t="str">
            <v/>
          </cell>
        </row>
        <row r="2044">
          <cell r="X2044" t="str">
            <v/>
          </cell>
          <cell r="Y2044" t="str">
            <v/>
          </cell>
        </row>
        <row r="2045">
          <cell r="X2045" t="str">
            <v/>
          </cell>
          <cell r="Y2045" t="str">
            <v/>
          </cell>
        </row>
        <row r="2046">
          <cell r="X2046" t="str">
            <v/>
          </cell>
          <cell r="Y2046" t="str">
            <v/>
          </cell>
        </row>
        <row r="2047">
          <cell r="X2047" t="str">
            <v/>
          </cell>
          <cell r="Y2047" t="str">
            <v/>
          </cell>
        </row>
        <row r="2048">
          <cell r="X2048" t="str">
            <v>x</v>
          </cell>
          <cell r="Y2048" t="str">
            <v/>
          </cell>
        </row>
        <row r="2049">
          <cell r="X2049" t="str">
            <v/>
          </cell>
          <cell r="Y2049" t="str">
            <v/>
          </cell>
        </row>
        <row r="2050">
          <cell r="X2050" t="str">
            <v>x</v>
          </cell>
          <cell r="Y2050" t="str">
            <v/>
          </cell>
        </row>
        <row r="2051">
          <cell r="X2051" t="str">
            <v/>
          </cell>
          <cell r="Y2051" t="str">
            <v/>
          </cell>
        </row>
        <row r="2052">
          <cell r="X2052" t="str">
            <v/>
          </cell>
          <cell r="Y2052" t="str">
            <v/>
          </cell>
        </row>
        <row r="2053">
          <cell r="X2053" t="str">
            <v/>
          </cell>
          <cell r="Y2053" t="str">
            <v/>
          </cell>
        </row>
        <row r="2054">
          <cell r="X2054" t="str">
            <v>x</v>
          </cell>
          <cell r="Y2054" t="str">
            <v/>
          </cell>
        </row>
        <row r="2055">
          <cell r="X2055" t="str">
            <v/>
          </cell>
          <cell r="Y2055" t="str">
            <v/>
          </cell>
        </row>
        <row r="2056">
          <cell r="X2056" t="str">
            <v/>
          </cell>
          <cell r="Y2056" t="str">
            <v/>
          </cell>
        </row>
        <row r="2057">
          <cell r="X2057" t="str">
            <v>x</v>
          </cell>
          <cell r="Y2057" t="str">
            <v/>
          </cell>
        </row>
        <row r="2058">
          <cell r="X2058" t="str">
            <v/>
          </cell>
          <cell r="Y2058" t="str">
            <v/>
          </cell>
        </row>
        <row r="2059">
          <cell r="X2059" t="str">
            <v/>
          </cell>
          <cell r="Y2059" t="str">
            <v/>
          </cell>
        </row>
        <row r="2060">
          <cell r="X2060" t="str">
            <v>x</v>
          </cell>
          <cell r="Y2060" t="str">
            <v/>
          </cell>
        </row>
        <row r="2061">
          <cell r="X2061" t="str">
            <v/>
          </cell>
          <cell r="Y2061" t="str">
            <v/>
          </cell>
        </row>
        <row r="2062">
          <cell r="X2062" t="str">
            <v/>
          </cell>
          <cell r="Y2062" t="str">
            <v/>
          </cell>
        </row>
        <row r="2063">
          <cell r="X2063" t="str">
            <v>x</v>
          </cell>
          <cell r="Y2063" t="str">
            <v/>
          </cell>
        </row>
        <row r="2064">
          <cell r="X2064" t="str">
            <v/>
          </cell>
          <cell r="Y2064" t="str">
            <v/>
          </cell>
        </row>
        <row r="2065">
          <cell r="X2065" t="str">
            <v/>
          </cell>
          <cell r="Y2065" t="str">
            <v/>
          </cell>
        </row>
        <row r="2066">
          <cell r="X2066" t="str">
            <v>x</v>
          </cell>
          <cell r="Y2066" t="str">
            <v/>
          </cell>
        </row>
        <row r="2067">
          <cell r="X2067" t="str">
            <v/>
          </cell>
          <cell r="Y2067" t="str">
            <v/>
          </cell>
        </row>
        <row r="2068">
          <cell r="X2068" t="str">
            <v/>
          </cell>
          <cell r="Y2068" t="str">
            <v/>
          </cell>
        </row>
        <row r="2069">
          <cell r="X2069" t="str">
            <v>x</v>
          </cell>
          <cell r="Y2069" t="str">
            <v/>
          </cell>
        </row>
        <row r="2070">
          <cell r="X2070" t="str">
            <v/>
          </cell>
          <cell r="Y2070" t="str">
            <v/>
          </cell>
        </row>
        <row r="2071">
          <cell r="X2071" t="str">
            <v>x</v>
          </cell>
          <cell r="Y2071" t="str">
            <v/>
          </cell>
        </row>
        <row r="2072">
          <cell r="X2072" t="str">
            <v/>
          </cell>
          <cell r="Y2072" t="str">
            <v/>
          </cell>
        </row>
        <row r="2073">
          <cell r="X2073" t="str">
            <v>x</v>
          </cell>
          <cell r="Y2073" t="str">
            <v/>
          </cell>
        </row>
        <row r="2074">
          <cell r="X2074" t="str">
            <v/>
          </cell>
          <cell r="Y2074" t="str">
            <v/>
          </cell>
        </row>
        <row r="2075">
          <cell r="X2075" t="str">
            <v>x</v>
          </cell>
          <cell r="Y2075" t="str">
            <v/>
          </cell>
        </row>
        <row r="2076">
          <cell r="X2076" t="str">
            <v/>
          </cell>
          <cell r="Y2076" t="str">
            <v/>
          </cell>
        </row>
        <row r="2077">
          <cell r="X2077" t="str">
            <v>x</v>
          </cell>
          <cell r="Y2077" t="str">
            <v/>
          </cell>
        </row>
        <row r="2078">
          <cell r="X2078" t="str">
            <v/>
          </cell>
          <cell r="Y2078" t="str">
            <v/>
          </cell>
        </row>
        <row r="2079">
          <cell r="X2079" t="str">
            <v/>
          </cell>
          <cell r="Y2079" t="str">
            <v/>
          </cell>
        </row>
        <row r="2080">
          <cell r="X2080" t="str">
            <v>x</v>
          </cell>
          <cell r="Y2080" t="str">
            <v/>
          </cell>
        </row>
        <row r="2081">
          <cell r="X2081" t="str">
            <v/>
          </cell>
          <cell r="Y2081" t="str">
            <v/>
          </cell>
        </row>
        <row r="2082">
          <cell r="X2082" t="str">
            <v/>
          </cell>
          <cell r="Y2082" t="str">
            <v/>
          </cell>
        </row>
        <row r="2083">
          <cell r="X2083" t="str">
            <v>x</v>
          </cell>
          <cell r="Y2083" t="str">
            <v/>
          </cell>
        </row>
        <row r="2084">
          <cell r="X2084" t="str">
            <v/>
          </cell>
          <cell r="Y2084" t="str">
            <v/>
          </cell>
        </row>
        <row r="2085">
          <cell r="X2085" t="str">
            <v>x</v>
          </cell>
          <cell r="Y2085" t="str">
            <v/>
          </cell>
        </row>
        <row r="2086">
          <cell r="X2086" t="str">
            <v/>
          </cell>
          <cell r="Y2086" t="str">
            <v/>
          </cell>
        </row>
        <row r="2087">
          <cell r="X2087" t="str">
            <v>x</v>
          </cell>
          <cell r="Y2087" t="str">
            <v/>
          </cell>
        </row>
        <row r="2088">
          <cell r="X2088" t="str">
            <v/>
          </cell>
          <cell r="Y2088" t="str">
            <v/>
          </cell>
        </row>
        <row r="2089">
          <cell r="X2089" t="str">
            <v>x</v>
          </cell>
          <cell r="Y2089" t="str">
            <v/>
          </cell>
        </row>
        <row r="2090">
          <cell r="X2090" t="str">
            <v/>
          </cell>
          <cell r="Y2090" t="str">
            <v/>
          </cell>
        </row>
        <row r="2091">
          <cell r="X2091" t="str">
            <v>x</v>
          </cell>
          <cell r="Y2091" t="str">
            <v/>
          </cell>
        </row>
        <row r="2092">
          <cell r="X2092" t="str">
            <v/>
          </cell>
          <cell r="Y2092" t="str">
            <v/>
          </cell>
        </row>
        <row r="2093">
          <cell r="X2093" t="str">
            <v>x</v>
          </cell>
          <cell r="Y2093" t="str">
            <v/>
          </cell>
        </row>
        <row r="2094">
          <cell r="X2094" t="str">
            <v/>
          </cell>
          <cell r="Y2094" t="str">
            <v/>
          </cell>
        </row>
        <row r="2095">
          <cell r="X2095" t="str">
            <v>x</v>
          </cell>
          <cell r="Y2095" t="str">
            <v/>
          </cell>
        </row>
        <row r="2096">
          <cell r="X2096" t="str">
            <v/>
          </cell>
          <cell r="Y2096" t="str">
            <v/>
          </cell>
        </row>
        <row r="2097">
          <cell r="X2097" t="str">
            <v/>
          </cell>
          <cell r="Y2097" t="str">
            <v/>
          </cell>
        </row>
        <row r="2098">
          <cell r="X2098" t="str">
            <v>x</v>
          </cell>
          <cell r="Y2098" t="str">
            <v/>
          </cell>
        </row>
        <row r="2099">
          <cell r="X2099" t="str">
            <v/>
          </cell>
          <cell r="Y2099" t="str">
            <v/>
          </cell>
        </row>
        <row r="2100">
          <cell r="X2100" t="str">
            <v/>
          </cell>
          <cell r="Y2100" t="str">
            <v/>
          </cell>
        </row>
        <row r="2101">
          <cell r="X2101" t="str">
            <v>x</v>
          </cell>
          <cell r="Y2101" t="str">
            <v/>
          </cell>
        </row>
        <row r="2102">
          <cell r="X2102" t="str">
            <v/>
          </cell>
          <cell r="Y2102" t="str">
            <v/>
          </cell>
        </row>
        <row r="2103">
          <cell r="X2103" t="str">
            <v/>
          </cell>
          <cell r="Y2103" t="str">
            <v/>
          </cell>
        </row>
        <row r="2104">
          <cell r="X2104" t="str">
            <v>x</v>
          </cell>
          <cell r="Y2104" t="str">
            <v/>
          </cell>
        </row>
        <row r="2105">
          <cell r="X2105" t="str">
            <v/>
          </cell>
          <cell r="Y2105" t="str">
            <v/>
          </cell>
        </row>
        <row r="2106">
          <cell r="X2106" t="str">
            <v/>
          </cell>
          <cell r="Y2106" t="str">
            <v/>
          </cell>
        </row>
        <row r="2107">
          <cell r="X2107" t="str">
            <v>x</v>
          </cell>
          <cell r="Y2107" t="str">
            <v/>
          </cell>
        </row>
        <row r="2108">
          <cell r="X2108" t="str">
            <v/>
          </cell>
          <cell r="Y2108" t="str">
            <v/>
          </cell>
        </row>
        <row r="2109">
          <cell r="X2109" t="str">
            <v/>
          </cell>
          <cell r="Y2109" t="str">
            <v/>
          </cell>
        </row>
        <row r="2110">
          <cell r="X2110" t="str">
            <v>x</v>
          </cell>
          <cell r="Y2110" t="str">
            <v/>
          </cell>
        </row>
        <row r="2111">
          <cell r="X2111" t="str">
            <v/>
          </cell>
          <cell r="Y2111" t="str">
            <v/>
          </cell>
        </row>
        <row r="2112">
          <cell r="X2112" t="str">
            <v>x</v>
          </cell>
          <cell r="Y2112" t="str">
            <v/>
          </cell>
        </row>
        <row r="2113">
          <cell r="X2113" t="str">
            <v/>
          </cell>
          <cell r="Y2113" t="str">
            <v/>
          </cell>
        </row>
        <row r="2114">
          <cell r="X2114" t="str">
            <v>x</v>
          </cell>
          <cell r="Y2114" t="str">
            <v/>
          </cell>
        </row>
        <row r="2115">
          <cell r="X2115" t="str">
            <v/>
          </cell>
          <cell r="Y2115" t="str">
            <v/>
          </cell>
        </row>
        <row r="2116">
          <cell r="X2116" t="str">
            <v>x</v>
          </cell>
          <cell r="Y2116" t="str">
            <v/>
          </cell>
        </row>
        <row r="2117">
          <cell r="X2117" t="str">
            <v/>
          </cell>
          <cell r="Y2117" t="str">
            <v/>
          </cell>
        </row>
        <row r="2118">
          <cell r="K2118">
            <v>15000</v>
          </cell>
          <cell r="X2118" t="str">
            <v/>
          </cell>
          <cell r="Y2118" t="str">
            <v/>
          </cell>
        </row>
        <row r="2119">
          <cell r="X2119" t="str">
            <v>x</v>
          </cell>
          <cell r="Y2119" t="str">
            <v/>
          </cell>
        </row>
        <row r="2120">
          <cell r="X2120" t="str">
            <v/>
          </cell>
          <cell r="Y2120" t="str">
            <v/>
          </cell>
        </row>
        <row r="2121">
          <cell r="X2121" t="str">
            <v/>
          </cell>
          <cell r="Y2121" t="str">
            <v/>
          </cell>
        </row>
        <row r="2122">
          <cell r="X2122" t="str">
            <v>x</v>
          </cell>
          <cell r="Y2122" t="str">
            <v/>
          </cell>
        </row>
        <row r="2123">
          <cell r="X2123" t="str">
            <v/>
          </cell>
          <cell r="Y2123" t="str">
            <v/>
          </cell>
        </row>
        <row r="2124">
          <cell r="X2124" t="str">
            <v/>
          </cell>
          <cell r="Y2124" t="str">
            <v/>
          </cell>
        </row>
        <row r="2125">
          <cell r="X2125" t="str">
            <v/>
          </cell>
          <cell r="Y2125" t="str">
            <v/>
          </cell>
        </row>
        <row r="2126">
          <cell r="X2126" t="str">
            <v>x</v>
          </cell>
          <cell r="Y2126" t="str">
            <v/>
          </cell>
        </row>
        <row r="2127">
          <cell r="X2127" t="str">
            <v/>
          </cell>
          <cell r="Y2127" t="str">
            <v/>
          </cell>
        </row>
        <row r="2128">
          <cell r="X2128" t="str">
            <v/>
          </cell>
          <cell r="Y2128" t="str">
            <v/>
          </cell>
        </row>
        <row r="2129">
          <cell r="X2129" t="str">
            <v>x</v>
          </cell>
          <cell r="Y2129" t="str">
            <v/>
          </cell>
        </row>
        <row r="2130">
          <cell r="X2130" t="str">
            <v/>
          </cell>
          <cell r="Y2130" t="str">
            <v/>
          </cell>
        </row>
        <row r="2131">
          <cell r="X2131" t="str">
            <v/>
          </cell>
          <cell r="Y2131" t="str">
            <v/>
          </cell>
        </row>
        <row r="2132">
          <cell r="X2132" t="str">
            <v>x</v>
          </cell>
          <cell r="Y2132" t="str">
            <v/>
          </cell>
        </row>
        <row r="2133">
          <cell r="X2133" t="str">
            <v/>
          </cell>
          <cell r="Y2133" t="str">
            <v/>
          </cell>
        </row>
        <row r="2134">
          <cell r="X2134" t="str">
            <v/>
          </cell>
          <cell r="Y2134" t="str">
            <v/>
          </cell>
        </row>
        <row r="2135">
          <cell r="X2135" t="str">
            <v>x</v>
          </cell>
          <cell r="Y2135" t="str">
            <v/>
          </cell>
        </row>
        <row r="2136">
          <cell r="X2136" t="str">
            <v/>
          </cell>
          <cell r="Y2136" t="str">
            <v/>
          </cell>
        </row>
        <row r="2137">
          <cell r="X2137" t="str">
            <v/>
          </cell>
          <cell r="Y2137" t="str">
            <v/>
          </cell>
        </row>
        <row r="2138">
          <cell r="X2138" t="str">
            <v>x</v>
          </cell>
          <cell r="Y2138" t="str">
            <v/>
          </cell>
        </row>
        <row r="2139">
          <cell r="X2139" t="str">
            <v/>
          </cell>
          <cell r="Y2139" t="str">
            <v/>
          </cell>
        </row>
        <row r="2140">
          <cell r="X2140" t="str">
            <v/>
          </cell>
          <cell r="Y2140" t="str">
            <v/>
          </cell>
        </row>
        <row r="2141">
          <cell r="X2141" t="str">
            <v>x</v>
          </cell>
          <cell r="Y2141" t="str">
            <v/>
          </cell>
        </row>
        <row r="2142">
          <cell r="X2142" t="str">
            <v/>
          </cell>
          <cell r="Y2142" t="str">
            <v/>
          </cell>
        </row>
        <row r="2143">
          <cell r="X2143" t="str">
            <v/>
          </cell>
          <cell r="Y2143" t="str">
            <v/>
          </cell>
        </row>
        <row r="2144">
          <cell r="X2144" t="str">
            <v>x</v>
          </cell>
          <cell r="Y2144" t="str">
            <v/>
          </cell>
        </row>
        <row r="2145">
          <cell r="X2145" t="str">
            <v/>
          </cell>
          <cell r="Y2145" t="str">
            <v/>
          </cell>
        </row>
        <row r="2146">
          <cell r="X2146" t="str">
            <v/>
          </cell>
          <cell r="Y2146" t="str">
            <v/>
          </cell>
        </row>
        <row r="2147">
          <cell r="X2147" t="str">
            <v>x</v>
          </cell>
          <cell r="Y2147" t="str">
            <v/>
          </cell>
        </row>
        <row r="2148">
          <cell r="X2148" t="str">
            <v/>
          </cell>
          <cell r="Y2148" t="str">
            <v/>
          </cell>
        </row>
        <row r="2149">
          <cell r="X2149" t="str">
            <v/>
          </cell>
          <cell r="Y2149" t="str">
            <v/>
          </cell>
        </row>
        <row r="2150">
          <cell r="X2150" t="str">
            <v>x</v>
          </cell>
          <cell r="Y2150" t="str">
            <v/>
          </cell>
        </row>
        <row r="2151">
          <cell r="X2151" t="str">
            <v/>
          </cell>
          <cell r="Y2151" t="str">
            <v/>
          </cell>
        </row>
        <row r="2152">
          <cell r="X2152" t="str">
            <v/>
          </cell>
          <cell r="Y2152" t="str">
            <v/>
          </cell>
        </row>
        <row r="2153">
          <cell r="X2153" t="str">
            <v>x</v>
          </cell>
          <cell r="Y2153" t="str">
            <v/>
          </cell>
        </row>
        <row r="2154">
          <cell r="X2154" t="str">
            <v/>
          </cell>
          <cell r="Y2154" t="str">
            <v/>
          </cell>
        </row>
        <row r="2155">
          <cell r="X2155" t="str">
            <v/>
          </cell>
          <cell r="Y2155" t="str">
            <v/>
          </cell>
        </row>
        <row r="2156">
          <cell r="X2156" t="str">
            <v>x</v>
          </cell>
          <cell r="Y2156" t="str">
            <v/>
          </cell>
        </row>
        <row r="2157">
          <cell r="X2157" t="str">
            <v/>
          </cell>
          <cell r="Y2157" t="str">
            <v/>
          </cell>
        </row>
        <row r="2158">
          <cell r="X2158" t="str">
            <v/>
          </cell>
          <cell r="Y2158" t="str">
            <v/>
          </cell>
        </row>
        <row r="2159">
          <cell r="X2159" t="str">
            <v/>
          </cell>
          <cell r="Y2159" t="str">
            <v/>
          </cell>
        </row>
        <row r="2160">
          <cell r="X2160" t="str">
            <v>x</v>
          </cell>
          <cell r="Y2160" t="str">
            <v/>
          </cell>
        </row>
        <row r="2161">
          <cell r="X2161" t="str">
            <v/>
          </cell>
          <cell r="Y2161" t="str">
            <v/>
          </cell>
        </row>
        <row r="2162">
          <cell r="X2162" t="str">
            <v>x</v>
          </cell>
          <cell r="Y2162" t="str">
            <v/>
          </cell>
        </row>
        <row r="2163">
          <cell r="X2163" t="str">
            <v/>
          </cell>
          <cell r="Y2163" t="str">
            <v/>
          </cell>
        </row>
        <row r="2164">
          <cell r="X2164" t="str">
            <v>x</v>
          </cell>
          <cell r="Y2164" t="str">
            <v/>
          </cell>
        </row>
        <row r="2165">
          <cell r="X2165" t="str">
            <v/>
          </cell>
          <cell r="Y2165" t="str">
            <v/>
          </cell>
        </row>
        <row r="2166">
          <cell r="X2166" t="str">
            <v>x</v>
          </cell>
          <cell r="Y2166" t="str">
            <v/>
          </cell>
        </row>
        <row r="2167">
          <cell r="X2167" t="str">
            <v/>
          </cell>
          <cell r="Y2167" t="str">
            <v/>
          </cell>
        </row>
        <row r="2168">
          <cell r="X2168" t="str">
            <v>x</v>
          </cell>
          <cell r="Y2168" t="str">
            <v/>
          </cell>
        </row>
        <row r="2169">
          <cell r="X2169" t="str">
            <v/>
          </cell>
          <cell r="Y2169" t="str">
            <v/>
          </cell>
        </row>
        <row r="2170">
          <cell r="X2170" t="str">
            <v>x</v>
          </cell>
          <cell r="Y2170" t="str">
            <v/>
          </cell>
        </row>
        <row r="2171">
          <cell r="X2171" t="str">
            <v/>
          </cell>
          <cell r="Y2171" t="str">
            <v/>
          </cell>
        </row>
        <row r="2172">
          <cell r="X2172" t="str">
            <v>x</v>
          </cell>
          <cell r="Y2172" t="str">
            <v/>
          </cell>
        </row>
        <row r="2173">
          <cell r="X2173" t="str">
            <v/>
          </cell>
          <cell r="Y2173" t="str">
            <v/>
          </cell>
        </row>
        <row r="2174">
          <cell r="X2174" t="str">
            <v>x</v>
          </cell>
          <cell r="Y2174" t="str">
            <v/>
          </cell>
        </row>
        <row r="2175">
          <cell r="X2175" t="str">
            <v/>
          </cell>
          <cell r="Y2175" t="str">
            <v/>
          </cell>
        </row>
        <row r="2176">
          <cell r="X2176" t="str">
            <v>x</v>
          </cell>
          <cell r="Y2176" t="str">
            <v/>
          </cell>
        </row>
        <row r="2177">
          <cell r="X2177" t="str">
            <v/>
          </cell>
          <cell r="Y2177" t="str">
            <v/>
          </cell>
        </row>
        <row r="2178">
          <cell r="X2178" t="str">
            <v>x</v>
          </cell>
          <cell r="Y2178" t="str">
            <v/>
          </cell>
        </row>
        <row r="2179">
          <cell r="X2179" t="str">
            <v/>
          </cell>
          <cell r="Y2179" t="str">
            <v/>
          </cell>
        </row>
        <row r="2180">
          <cell r="X2180" t="str">
            <v>x</v>
          </cell>
          <cell r="Y2180" t="str">
            <v/>
          </cell>
        </row>
        <row r="2181">
          <cell r="X2181" t="str">
            <v/>
          </cell>
          <cell r="Y2181" t="str">
            <v/>
          </cell>
        </row>
        <row r="2182">
          <cell r="X2182" t="str">
            <v>x</v>
          </cell>
          <cell r="Y2182" t="str">
            <v/>
          </cell>
        </row>
        <row r="2183">
          <cell r="X2183" t="str">
            <v/>
          </cell>
          <cell r="Y2183" t="str">
            <v/>
          </cell>
        </row>
        <row r="2184">
          <cell r="X2184" t="str">
            <v/>
          </cell>
          <cell r="Y2184" t="str">
            <v/>
          </cell>
        </row>
        <row r="2185">
          <cell r="X2185" t="str">
            <v/>
          </cell>
          <cell r="Y2185" t="str">
            <v/>
          </cell>
        </row>
        <row r="2186">
          <cell r="X2186" t="str">
            <v/>
          </cell>
          <cell r="Y2186" t="str">
            <v/>
          </cell>
        </row>
        <row r="2187">
          <cell r="X2187" t="str">
            <v>x</v>
          </cell>
          <cell r="Y2187" t="str">
            <v/>
          </cell>
        </row>
        <row r="2188">
          <cell r="X2188" t="str">
            <v/>
          </cell>
          <cell r="Y2188" t="str">
            <v/>
          </cell>
        </row>
        <row r="2189">
          <cell r="X2189" t="str">
            <v>x</v>
          </cell>
          <cell r="Y2189" t="str">
            <v/>
          </cell>
        </row>
        <row r="2190">
          <cell r="X2190" t="str">
            <v/>
          </cell>
          <cell r="Y2190" t="str">
            <v/>
          </cell>
        </row>
        <row r="2191">
          <cell r="X2191" t="str">
            <v>x</v>
          </cell>
          <cell r="Y2191" t="str">
            <v/>
          </cell>
        </row>
        <row r="2192">
          <cell r="X2192" t="str">
            <v/>
          </cell>
          <cell r="Y2192" t="str">
            <v/>
          </cell>
        </row>
        <row r="2193">
          <cell r="X2193" t="str">
            <v>x</v>
          </cell>
          <cell r="Y2193" t="str">
            <v/>
          </cell>
        </row>
        <row r="2194">
          <cell r="X2194" t="str">
            <v/>
          </cell>
          <cell r="Y2194" t="str">
            <v/>
          </cell>
        </row>
        <row r="2195">
          <cell r="X2195" t="str">
            <v>x</v>
          </cell>
          <cell r="Y2195" t="str">
            <v/>
          </cell>
        </row>
        <row r="2196">
          <cell r="X2196" t="str">
            <v/>
          </cell>
          <cell r="Y2196" t="str">
            <v/>
          </cell>
        </row>
        <row r="2197">
          <cell r="X2197" t="str">
            <v>x</v>
          </cell>
          <cell r="Y2197" t="str">
            <v/>
          </cell>
        </row>
        <row r="2198">
          <cell r="X2198" t="str">
            <v/>
          </cell>
          <cell r="Y2198" t="str">
            <v/>
          </cell>
        </row>
        <row r="2199">
          <cell r="X2199" t="str">
            <v>x</v>
          </cell>
          <cell r="Y2199" t="str">
            <v/>
          </cell>
        </row>
        <row r="2200">
          <cell r="X2200" t="str">
            <v/>
          </cell>
          <cell r="Y2200" t="str">
            <v/>
          </cell>
        </row>
        <row r="2201">
          <cell r="X2201" t="str">
            <v>x</v>
          </cell>
          <cell r="Y2201" t="str">
            <v/>
          </cell>
        </row>
        <row r="2202">
          <cell r="X2202" t="str">
            <v/>
          </cell>
          <cell r="Y2202" t="str">
            <v/>
          </cell>
        </row>
        <row r="2203">
          <cell r="X2203" t="str">
            <v>x</v>
          </cell>
          <cell r="Y2203" t="str">
            <v/>
          </cell>
        </row>
        <row r="2204">
          <cell r="X2204" t="str">
            <v/>
          </cell>
          <cell r="Y2204" t="str">
            <v/>
          </cell>
        </row>
        <row r="2205">
          <cell r="X2205" t="str">
            <v>x</v>
          </cell>
          <cell r="Y2205" t="str">
            <v/>
          </cell>
        </row>
        <row r="2206">
          <cell r="X2206" t="str">
            <v/>
          </cell>
          <cell r="Y2206" t="str">
            <v/>
          </cell>
        </row>
        <row r="2207">
          <cell r="X2207" t="str">
            <v>x</v>
          </cell>
          <cell r="Y2207" t="str">
            <v/>
          </cell>
        </row>
        <row r="2208">
          <cell r="X2208" t="str">
            <v/>
          </cell>
          <cell r="Y2208" t="str">
            <v/>
          </cell>
        </row>
        <row r="2209">
          <cell r="X2209" t="str">
            <v>x</v>
          </cell>
          <cell r="Y2209" t="str">
            <v/>
          </cell>
        </row>
        <row r="2210">
          <cell r="X2210" t="str">
            <v/>
          </cell>
          <cell r="Y2210" t="str">
            <v/>
          </cell>
        </row>
        <row r="2211">
          <cell r="X2211" t="str">
            <v/>
          </cell>
          <cell r="Y2211" t="str">
            <v/>
          </cell>
        </row>
        <row r="2212">
          <cell r="X2212" t="str">
            <v>x</v>
          </cell>
          <cell r="Y2212" t="str">
            <v/>
          </cell>
        </row>
        <row r="2213">
          <cell r="X2213" t="str">
            <v/>
          </cell>
          <cell r="Y2213" t="str">
            <v/>
          </cell>
        </row>
        <row r="2214">
          <cell r="X2214" t="str">
            <v>x</v>
          </cell>
          <cell r="Y2214" t="str">
            <v/>
          </cell>
        </row>
        <row r="2215">
          <cell r="X2215" t="str">
            <v/>
          </cell>
          <cell r="Y2215" t="str">
            <v/>
          </cell>
        </row>
        <row r="2216">
          <cell r="X2216" t="str">
            <v>x</v>
          </cell>
          <cell r="Y2216" t="str">
            <v/>
          </cell>
        </row>
        <row r="2217">
          <cell r="X2217" t="str">
            <v/>
          </cell>
          <cell r="Y2217" t="str">
            <v/>
          </cell>
        </row>
        <row r="2218">
          <cell r="X2218" t="str">
            <v>x</v>
          </cell>
          <cell r="Y2218" t="str">
            <v/>
          </cell>
        </row>
        <row r="2219">
          <cell r="X2219" t="str">
            <v/>
          </cell>
          <cell r="Y2219" t="str">
            <v/>
          </cell>
        </row>
        <row r="2220">
          <cell r="X2220" t="str">
            <v>x</v>
          </cell>
          <cell r="Y2220" t="str">
            <v/>
          </cell>
        </row>
        <row r="2221">
          <cell r="X2221" t="str">
            <v/>
          </cell>
          <cell r="Y2221" t="str">
            <v/>
          </cell>
        </row>
        <row r="2222">
          <cell r="X2222" t="str">
            <v>x</v>
          </cell>
          <cell r="Y2222" t="str">
            <v/>
          </cell>
        </row>
        <row r="2223">
          <cell r="X2223" t="str">
            <v/>
          </cell>
          <cell r="Y2223" t="str">
            <v/>
          </cell>
        </row>
        <row r="2224">
          <cell r="X2224" t="str">
            <v>x</v>
          </cell>
          <cell r="Y2224" t="str">
            <v/>
          </cell>
        </row>
        <row r="2225">
          <cell r="X2225" t="str">
            <v/>
          </cell>
          <cell r="Y2225" t="str">
            <v/>
          </cell>
        </row>
        <row r="2226">
          <cell r="X2226" t="str">
            <v>x</v>
          </cell>
          <cell r="Y2226" t="str">
            <v/>
          </cell>
        </row>
        <row r="2227">
          <cell r="X2227" t="str">
            <v/>
          </cell>
          <cell r="Y2227" t="str">
            <v/>
          </cell>
        </row>
        <row r="2228">
          <cell r="X2228" t="str">
            <v/>
          </cell>
          <cell r="Y2228" t="str">
            <v/>
          </cell>
        </row>
        <row r="2229">
          <cell r="X2229" t="str">
            <v>x</v>
          </cell>
          <cell r="Y2229" t="str">
            <v/>
          </cell>
        </row>
        <row r="2230">
          <cell r="X2230" t="str">
            <v/>
          </cell>
          <cell r="Y2230" t="str">
            <v/>
          </cell>
        </row>
        <row r="2231">
          <cell r="X2231" t="str">
            <v>x</v>
          </cell>
          <cell r="Y2231" t="str">
            <v/>
          </cell>
        </row>
        <row r="2232">
          <cell r="X2232" t="str">
            <v/>
          </cell>
          <cell r="Y2232" t="str">
            <v/>
          </cell>
        </row>
        <row r="2233">
          <cell r="X2233" t="str">
            <v>x</v>
          </cell>
          <cell r="Y2233" t="str">
            <v/>
          </cell>
        </row>
        <row r="2234">
          <cell r="X2234" t="str">
            <v/>
          </cell>
          <cell r="Y2234" t="str">
            <v/>
          </cell>
        </row>
        <row r="2235">
          <cell r="X2235" t="str">
            <v>x</v>
          </cell>
          <cell r="Y2235" t="str">
            <v/>
          </cell>
        </row>
        <row r="2236">
          <cell r="X2236" t="str">
            <v/>
          </cell>
          <cell r="Y2236" t="str">
            <v/>
          </cell>
        </row>
        <row r="2237">
          <cell r="X2237" t="str">
            <v>x</v>
          </cell>
          <cell r="Y2237" t="str">
            <v/>
          </cell>
        </row>
        <row r="2238">
          <cell r="X2238" t="str">
            <v/>
          </cell>
          <cell r="Y2238" t="str">
            <v/>
          </cell>
        </row>
        <row r="2239">
          <cell r="X2239" t="str">
            <v>x</v>
          </cell>
          <cell r="Y2239" t="str">
            <v/>
          </cell>
        </row>
        <row r="2240">
          <cell r="X2240" t="str">
            <v/>
          </cell>
          <cell r="Y2240" t="str">
            <v/>
          </cell>
        </row>
        <row r="2241">
          <cell r="X2241" t="str">
            <v>x</v>
          </cell>
          <cell r="Y2241" t="str">
            <v/>
          </cell>
        </row>
        <row r="2242">
          <cell r="X2242" t="str">
            <v/>
          </cell>
          <cell r="Y2242" t="str">
            <v/>
          </cell>
        </row>
        <row r="2243">
          <cell r="X2243" t="str">
            <v>x</v>
          </cell>
          <cell r="Y2243" t="str">
            <v/>
          </cell>
        </row>
        <row r="2244">
          <cell r="X2244" t="str">
            <v/>
          </cell>
          <cell r="Y2244" t="str">
            <v/>
          </cell>
        </row>
        <row r="2245">
          <cell r="X2245" t="str">
            <v>x</v>
          </cell>
          <cell r="Y2245" t="str">
            <v/>
          </cell>
        </row>
        <row r="2246">
          <cell r="X2246" t="str">
            <v/>
          </cell>
          <cell r="Y2246" t="str">
            <v/>
          </cell>
        </row>
        <row r="2247">
          <cell r="X2247" t="str">
            <v>x</v>
          </cell>
          <cell r="Y2247" t="str">
            <v/>
          </cell>
        </row>
        <row r="2248">
          <cell r="X2248" t="str">
            <v/>
          </cell>
          <cell r="Y2248" t="str">
            <v/>
          </cell>
        </row>
        <row r="2249">
          <cell r="X2249" t="str">
            <v/>
          </cell>
          <cell r="Y2249" t="str">
            <v/>
          </cell>
        </row>
        <row r="2250">
          <cell r="X2250" t="str">
            <v>x</v>
          </cell>
          <cell r="Y2250" t="str">
            <v/>
          </cell>
        </row>
        <row r="2251">
          <cell r="X2251" t="str">
            <v/>
          </cell>
          <cell r="Y2251" t="str">
            <v/>
          </cell>
        </row>
        <row r="2252">
          <cell r="X2252" t="str">
            <v>x</v>
          </cell>
          <cell r="Y2252" t="str">
            <v/>
          </cell>
        </row>
        <row r="2253">
          <cell r="X2253" t="str">
            <v/>
          </cell>
          <cell r="Y2253" t="str">
            <v/>
          </cell>
        </row>
        <row r="2254">
          <cell r="X2254" t="str">
            <v>x</v>
          </cell>
          <cell r="Y2254" t="str">
            <v/>
          </cell>
        </row>
        <row r="2255">
          <cell r="X2255" t="str">
            <v/>
          </cell>
          <cell r="Y2255" t="str">
            <v/>
          </cell>
        </row>
        <row r="2256">
          <cell r="X2256" t="str">
            <v>x</v>
          </cell>
          <cell r="Y2256" t="str">
            <v/>
          </cell>
        </row>
        <row r="2257">
          <cell r="X2257" t="str">
            <v/>
          </cell>
          <cell r="Y2257" t="str">
            <v/>
          </cell>
        </row>
        <row r="2258">
          <cell r="X2258" t="str">
            <v>x</v>
          </cell>
          <cell r="Y2258" t="str">
            <v/>
          </cell>
        </row>
        <row r="2259">
          <cell r="X2259" t="str">
            <v/>
          </cell>
          <cell r="Y2259" t="str">
            <v/>
          </cell>
        </row>
        <row r="2260">
          <cell r="X2260" t="str">
            <v>x</v>
          </cell>
          <cell r="Y2260" t="str">
            <v/>
          </cell>
        </row>
        <row r="2261">
          <cell r="X2261" t="str">
            <v/>
          </cell>
          <cell r="Y2261" t="str">
            <v/>
          </cell>
        </row>
        <row r="2262">
          <cell r="X2262" t="str">
            <v>x</v>
          </cell>
          <cell r="Y2262" t="str">
            <v/>
          </cell>
        </row>
        <row r="2263">
          <cell r="X2263" t="str">
            <v/>
          </cell>
          <cell r="Y2263" t="str">
            <v/>
          </cell>
        </row>
        <row r="2264">
          <cell r="X2264" t="str">
            <v>x</v>
          </cell>
          <cell r="Y2264" t="str">
            <v/>
          </cell>
        </row>
        <row r="2265">
          <cell r="X2265" t="str">
            <v/>
          </cell>
          <cell r="Y2265" t="str">
            <v/>
          </cell>
        </row>
        <row r="2266">
          <cell r="X2266" t="str">
            <v>x</v>
          </cell>
          <cell r="Y2266" t="str">
            <v/>
          </cell>
        </row>
        <row r="2267">
          <cell r="X2267" t="str">
            <v/>
          </cell>
          <cell r="Y2267" t="str">
            <v/>
          </cell>
        </row>
        <row r="2268">
          <cell r="X2268" t="str">
            <v>x</v>
          </cell>
          <cell r="Y2268" t="str">
            <v/>
          </cell>
        </row>
        <row r="2269">
          <cell r="K2269">
            <v>6600</v>
          </cell>
          <cell r="X2269" t="str">
            <v/>
          </cell>
          <cell r="Y2269" t="str">
            <v/>
          </cell>
        </row>
        <row r="2270">
          <cell r="X2270" t="str">
            <v>x</v>
          </cell>
          <cell r="Y2270" t="str">
            <v/>
          </cell>
        </row>
        <row r="2271">
          <cell r="X2271" t="str">
            <v/>
          </cell>
          <cell r="Y2271" t="str">
            <v/>
          </cell>
        </row>
        <row r="2272">
          <cell r="X2272" t="str">
            <v/>
          </cell>
          <cell r="Y2272" t="str">
            <v/>
          </cell>
        </row>
        <row r="2273">
          <cell r="X2273" t="str">
            <v/>
          </cell>
          <cell r="Y2273" t="str">
            <v/>
          </cell>
        </row>
        <row r="2274">
          <cell r="X2274" t="str">
            <v/>
          </cell>
          <cell r="Y2274" t="str">
            <v/>
          </cell>
        </row>
        <row r="2275">
          <cell r="X2275" t="str">
            <v/>
          </cell>
          <cell r="Y2275" t="str">
            <v/>
          </cell>
        </row>
        <row r="2276">
          <cell r="X2276" t="str">
            <v/>
          </cell>
          <cell r="Y2276" t="str">
            <v/>
          </cell>
        </row>
        <row r="2277">
          <cell r="X2277" t="str">
            <v/>
          </cell>
          <cell r="Y2277" t="str">
            <v/>
          </cell>
        </row>
        <row r="2278">
          <cell r="X2278" t="str">
            <v>x</v>
          </cell>
          <cell r="Y2278" t="str">
            <v/>
          </cell>
        </row>
        <row r="2279">
          <cell r="X2279" t="str">
            <v/>
          </cell>
          <cell r="Y2279" t="str">
            <v/>
          </cell>
        </row>
        <row r="2280">
          <cell r="X2280" t="str">
            <v>x</v>
          </cell>
          <cell r="Y2280" t="str">
            <v/>
          </cell>
        </row>
        <row r="2281">
          <cell r="X2281" t="str">
            <v/>
          </cell>
          <cell r="Y2281" t="str">
            <v/>
          </cell>
        </row>
        <row r="2282">
          <cell r="X2282" t="str">
            <v>x</v>
          </cell>
          <cell r="Y2282" t="str">
            <v/>
          </cell>
        </row>
        <row r="2283">
          <cell r="X2283" t="str">
            <v/>
          </cell>
          <cell r="Y2283" t="str">
            <v/>
          </cell>
        </row>
        <row r="2284">
          <cell r="X2284" t="str">
            <v>x</v>
          </cell>
          <cell r="Y2284" t="str">
            <v/>
          </cell>
        </row>
        <row r="2285">
          <cell r="X2285" t="str">
            <v/>
          </cell>
          <cell r="Y2285" t="str">
            <v/>
          </cell>
        </row>
        <row r="2286">
          <cell r="X2286" t="str">
            <v>x</v>
          </cell>
          <cell r="Y2286" t="str">
            <v/>
          </cell>
        </row>
        <row r="2287">
          <cell r="X2287" t="str">
            <v/>
          </cell>
          <cell r="Y2287" t="str">
            <v/>
          </cell>
        </row>
        <row r="2288">
          <cell r="X2288" t="str">
            <v>x</v>
          </cell>
          <cell r="Y2288" t="str">
            <v/>
          </cell>
        </row>
        <row r="2289">
          <cell r="X2289" t="str">
            <v/>
          </cell>
          <cell r="Y2289" t="str">
            <v/>
          </cell>
        </row>
        <row r="2290">
          <cell r="X2290" t="str">
            <v>x</v>
          </cell>
          <cell r="Y2290" t="str">
            <v/>
          </cell>
        </row>
        <row r="2291">
          <cell r="X2291" t="str">
            <v/>
          </cell>
          <cell r="Y2291" t="str">
            <v/>
          </cell>
        </row>
        <row r="2292">
          <cell r="X2292" t="str">
            <v>x</v>
          </cell>
          <cell r="Y2292" t="str">
            <v/>
          </cell>
        </row>
        <row r="2293">
          <cell r="X2293" t="str">
            <v/>
          </cell>
          <cell r="Y2293" t="str">
            <v/>
          </cell>
        </row>
        <row r="2294">
          <cell r="X2294" t="str">
            <v>x</v>
          </cell>
          <cell r="Y2294" t="str">
            <v/>
          </cell>
        </row>
        <row r="2295">
          <cell r="X2295" t="str">
            <v/>
          </cell>
          <cell r="Y2295" t="str">
            <v/>
          </cell>
        </row>
        <row r="2296">
          <cell r="X2296" t="str">
            <v>x</v>
          </cell>
          <cell r="Y2296" t="str">
            <v/>
          </cell>
        </row>
        <row r="2297">
          <cell r="X2297" t="str">
            <v/>
          </cell>
          <cell r="Y2297" t="str">
            <v/>
          </cell>
        </row>
        <row r="2298">
          <cell r="X2298" t="str">
            <v>x</v>
          </cell>
          <cell r="Y2298" t="str">
            <v/>
          </cell>
        </row>
        <row r="2299">
          <cell r="X2299" t="str">
            <v/>
          </cell>
          <cell r="Y2299" t="str">
            <v/>
          </cell>
        </row>
        <row r="2300">
          <cell r="X2300" t="str">
            <v>x</v>
          </cell>
          <cell r="Y2300" t="str">
            <v/>
          </cell>
        </row>
        <row r="2301">
          <cell r="X2301" t="str">
            <v/>
          </cell>
          <cell r="Y2301" t="str">
            <v/>
          </cell>
        </row>
        <row r="2302">
          <cell r="X2302" t="str">
            <v>x</v>
          </cell>
          <cell r="Y2302" t="str">
            <v/>
          </cell>
        </row>
        <row r="2303">
          <cell r="X2303" t="str">
            <v/>
          </cell>
          <cell r="Y2303" t="str">
            <v/>
          </cell>
        </row>
        <row r="2304">
          <cell r="X2304" t="str">
            <v>x</v>
          </cell>
          <cell r="Y2304" t="str">
            <v/>
          </cell>
        </row>
        <row r="2305">
          <cell r="X2305" t="str">
            <v/>
          </cell>
          <cell r="Y2305" t="str">
            <v/>
          </cell>
        </row>
        <row r="2306">
          <cell r="X2306" t="str">
            <v>x</v>
          </cell>
          <cell r="Y2306" t="str">
            <v/>
          </cell>
        </row>
        <row r="2307">
          <cell r="X2307" t="str">
            <v/>
          </cell>
          <cell r="Y2307" t="str">
            <v/>
          </cell>
        </row>
        <row r="2308">
          <cell r="X2308" t="str">
            <v>x</v>
          </cell>
          <cell r="Y2308" t="str">
            <v/>
          </cell>
        </row>
        <row r="2309">
          <cell r="X2309" t="str">
            <v/>
          </cell>
          <cell r="Y2309" t="str">
            <v/>
          </cell>
        </row>
        <row r="2310">
          <cell r="X2310" t="str">
            <v/>
          </cell>
          <cell r="Y2310" t="str">
            <v/>
          </cell>
        </row>
        <row r="2311">
          <cell r="X2311" t="str">
            <v>x</v>
          </cell>
          <cell r="Y2311" t="str">
            <v/>
          </cell>
        </row>
        <row r="2312">
          <cell r="X2312" t="str">
            <v/>
          </cell>
          <cell r="Y2312" t="str">
            <v/>
          </cell>
        </row>
        <row r="2313">
          <cell r="X2313" t="str">
            <v>x</v>
          </cell>
          <cell r="Y2313" t="str">
            <v/>
          </cell>
        </row>
        <row r="2314">
          <cell r="X2314" t="str">
            <v/>
          </cell>
          <cell r="Y2314" t="str">
            <v/>
          </cell>
        </row>
        <row r="2315">
          <cell r="X2315" t="str">
            <v>x</v>
          </cell>
          <cell r="Y2315" t="str">
            <v/>
          </cell>
        </row>
        <row r="2316">
          <cell r="X2316" t="str">
            <v/>
          </cell>
          <cell r="Y2316" t="str">
            <v/>
          </cell>
        </row>
        <row r="2317">
          <cell r="X2317" t="str">
            <v>x</v>
          </cell>
          <cell r="Y2317" t="str">
            <v/>
          </cell>
        </row>
        <row r="2318">
          <cell r="X2318" t="str">
            <v/>
          </cell>
          <cell r="Y2318" t="str">
            <v/>
          </cell>
        </row>
        <row r="2319">
          <cell r="X2319" t="str">
            <v>x</v>
          </cell>
          <cell r="Y2319" t="str">
            <v/>
          </cell>
        </row>
        <row r="2320">
          <cell r="X2320" t="str">
            <v/>
          </cell>
          <cell r="Y2320" t="str">
            <v/>
          </cell>
        </row>
        <row r="2321">
          <cell r="X2321" t="str">
            <v>x</v>
          </cell>
          <cell r="Y2321" t="str">
            <v/>
          </cell>
        </row>
        <row r="2322">
          <cell r="X2322" t="str">
            <v/>
          </cell>
          <cell r="Y2322" t="str">
            <v/>
          </cell>
        </row>
        <row r="2323">
          <cell r="X2323" t="str">
            <v>x</v>
          </cell>
          <cell r="Y2323" t="str">
            <v/>
          </cell>
        </row>
        <row r="2324">
          <cell r="X2324" t="str">
            <v/>
          </cell>
          <cell r="Y2324" t="str">
            <v/>
          </cell>
        </row>
        <row r="2325">
          <cell r="X2325" t="str">
            <v>x</v>
          </cell>
          <cell r="Y2325" t="str">
            <v/>
          </cell>
        </row>
        <row r="2326">
          <cell r="X2326" t="str">
            <v/>
          </cell>
          <cell r="Y2326" t="str">
            <v/>
          </cell>
        </row>
        <row r="2327">
          <cell r="X2327" t="str">
            <v>x</v>
          </cell>
          <cell r="Y2327" t="str">
            <v/>
          </cell>
        </row>
        <row r="2328">
          <cell r="X2328" t="str">
            <v/>
          </cell>
          <cell r="Y2328" t="str">
            <v/>
          </cell>
        </row>
        <row r="2329">
          <cell r="X2329" t="str">
            <v>x</v>
          </cell>
          <cell r="Y2329" t="str">
            <v/>
          </cell>
        </row>
        <row r="2330">
          <cell r="X2330" t="str">
            <v/>
          </cell>
          <cell r="Y2330" t="str">
            <v/>
          </cell>
        </row>
        <row r="2331">
          <cell r="X2331" t="str">
            <v>x</v>
          </cell>
          <cell r="Y2331" t="str">
            <v/>
          </cell>
        </row>
        <row r="2332">
          <cell r="X2332" t="str">
            <v/>
          </cell>
          <cell r="Y2332" t="str">
            <v/>
          </cell>
        </row>
        <row r="2333">
          <cell r="X2333" t="str">
            <v>x</v>
          </cell>
          <cell r="Y2333" t="str">
            <v/>
          </cell>
        </row>
        <row r="2334">
          <cell r="X2334" t="str">
            <v/>
          </cell>
          <cell r="Y2334" t="str">
            <v/>
          </cell>
        </row>
        <row r="2335">
          <cell r="X2335" t="str">
            <v>x</v>
          </cell>
          <cell r="Y2335" t="str">
            <v/>
          </cell>
        </row>
        <row r="2336">
          <cell r="X2336" t="str">
            <v/>
          </cell>
          <cell r="Y2336" t="str">
            <v/>
          </cell>
        </row>
        <row r="2337">
          <cell r="X2337" t="str">
            <v>x</v>
          </cell>
          <cell r="Y2337" t="str">
            <v/>
          </cell>
        </row>
        <row r="2338">
          <cell r="X2338" t="str">
            <v/>
          </cell>
          <cell r="Y2338" t="str">
            <v/>
          </cell>
        </row>
        <row r="2339">
          <cell r="X2339" t="str">
            <v>x</v>
          </cell>
          <cell r="Y2339" t="str">
            <v/>
          </cell>
        </row>
        <row r="2340">
          <cell r="X2340" t="str">
            <v/>
          </cell>
          <cell r="Y2340" t="str">
            <v/>
          </cell>
        </row>
        <row r="2341">
          <cell r="X2341" t="str">
            <v>x</v>
          </cell>
          <cell r="Y2341" t="str">
            <v/>
          </cell>
        </row>
        <row r="2342">
          <cell r="X2342" t="str">
            <v/>
          </cell>
          <cell r="Y2342" t="str">
            <v/>
          </cell>
        </row>
        <row r="2343">
          <cell r="X2343" t="str">
            <v>x</v>
          </cell>
          <cell r="Y2343" t="str">
            <v/>
          </cell>
        </row>
        <row r="2344">
          <cell r="X2344" t="str">
            <v/>
          </cell>
          <cell r="Y2344" t="str">
            <v/>
          </cell>
        </row>
        <row r="2345">
          <cell r="X2345" t="str">
            <v>x</v>
          </cell>
          <cell r="Y2345" t="str">
            <v/>
          </cell>
        </row>
        <row r="2346">
          <cell r="X2346" t="str">
            <v/>
          </cell>
          <cell r="Y2346" t="str">
            <v/>
          </cell>
        </row>
        <row r="2347">
          <cell r="X2347" t="str">
            <v/>
          </cell>
          <cell r="Y2347" t="str">
            <v/>
          </cell>
        </row>
        <row r="2348">
          <cell r="X2348" t="str">
            <v/>
          </cell>
          <cell r="Y2348" t="str">
            <v/>
          </cell>
        </row>
        <row r="2349">
          <cell r="X2349" t="str">
            <v/>
          </cell>
          <cell r="Y2349" t="str">
            <v/>
          </cell>
        </row>
        <row r="2350">
          <cell r="X2350" t="str">
            <v>x</v>
          </cell>
          <cell r="Y2350" t="str">
            <v/>
          </cell>
        </row>
        <row r="2351">
          <cell r="X2351" t="str">
            <v/>
          </cell>
          <cell r="Y2351" t="str">
            <v/>
          </cell>
        </row>
        <row r="2352">
          <cell r="X2352" t="str">
            <v>x</v>
          </cell>
          <cell r="Y2352" t="str">
            <v/>
          </cell>
        </row>
        <row r="2353">
          <cell r="X2353" t="str">
            <v/>
          </cell>
          <cell r="Y2353" t="str">
            <v/>
          </cell>
        </row>
        <row r="2354">
          <cell r="X2354" t="str">
            <v>x</v>
          </cell>
          <cell r="Y2354" t="str">
            <v/>
          </cell>
        </row>
        <row r="2355">
          <cell r="X2355" t="str">
            <v/>
          </cell>
          <cell r="Y2355" t="str">
            <v/>
          </cell>
        </row>
        <row r="2356">
          <cell r="X2356" t="str">
            <v>x</v>
          </cell>
          <cell r="Y2356" t="str">
            <v/>
          </cell>
        </row>
        <row r="2357">
          <cell r="X2357" t="str">
            <v/>
          </cell>
          <cell r="Y2357" t="str">
            <v/>
          </cell>
        </row>
        <row r="2358">
          <cell r="X2358" t="str">
            <v/>
          </cell>
          <cell r="Y2358" t="str">
            <v/>
          </cell>
        </row>
        <row r="2359">
          <cell r="X2359" t="str">
            <v/>
          </cell>
          <cell r="Y2359" t="str">
            <v/>
          </cell>
        </row>
        <row r="2360">
          <cell r="X2360" t="str">
            <v/>
          </cell>
          <cell r="Y2360" t="str">
            <v/>
          </cell>
        </row>
        <row r="2361">
          <cell r="X2361" t="str">
            <v/>
          </cell>
          <cell r="Y2361" t="str">
            <v/>
          </cell>
        </row>
        <row r="2362">
          <cell r="X2362" t="str">
            <v>x</v>
          </cell>
          <cell r="Y2362" t="str">
            <v/>
          </cell>
        </row>
        <row r="2363">
          <cell r="X2363" t="str">
            <v/>
          </cell>
          <cell r="Y2363" t="str">
            <v/>
          </cell>
        </row>
        <row r="2364">
          <cell r="X2364" t="str">
            <v>x</v>
          </cell>
          <cell r="Y2364" t="str">
            <v/>
          </cell>
        </row>
        <row r="2365">
          <cell r="X2365" t="str">
            <v/>
          </cell>
          <cell r="Y2365" t="str">
            <v/>
          </cell>
        </row>
        <row r="2366">
          <cell r="X2366" t="str">
            <v>x</v>
          </cell>
          <cell r="Y2366" t="str">
            <v/>
          </cell>
        </row>
        <row r="2367">
          <cell r="X2367" t="str">
            <v/>
          </cell>
          <cell r="Y2367" t="str">
            <v/>
          </cell>
        </row>
        <row r="2368">
          <cell r="X2368" t="str">
            <v>x</v>
          </cell>
          <cell r="Y2368" t="str">
            <v/>
          </cell>
        </row>
        <row r="2369">
          <cell r="X2369" t="str">
            <v/>
          </cell>
          <cell r="Y2369" t="str">
            <v/>
          </cell>
        </row>
        <row r="2370">
          <cell r="X2370" t="str">
            <v>x</v>
          </cell>
          <cell r="Y2370" t="str">
            <v/>
          </cell>
        </row>
        <row r="2371">
          <cell r="X2371" t="str">
            <v/>
          </cell>
          <cell r="Y2371" t="str">
            <v/>
          </cell>
        </row>
        <row r="2372">
          <cell r="X2372" t="str">
            <v>x</v>
          </cell>
          <cell r="Y2372" t="str">
            <v/>
          </cell>
        </row>
        <row r="2373">
          <cell r="X2373" t="str">
            <v/>
          </cell>
          <cell r="Y2373" t="str">
            <v/>
          </cell>
        </row>
        <row r="2374">
          <cell r="X2374" t="str">
            <v>x</v>
          </cell>
          <cell r="Y2374" t="str">
            <v/>
          </cell>
        </row>
        <row r="2375">
          <cell r="X2375" t="str">
            <v/>
          </cell>
          <cell r="Y2375" t="str">
            <v/>
          </cell>
        </row>
        <row r="2376">
          <cell r="X2376" t="str">
            <v>x</v>
          </cell>
          <cell r="Y2376" t="str">
            <v/>
          </cell>
        </row>
        <row r="2377">
          <cell r="X2377" t="str">
            <v/>
          </cell>
          <cell r="Y2377" t="str">
            <v/>
          </cell>
        </row>
        <row r="2378">
          <cell r="X2378" t="str">
            <v>x</v>
          </cell>
          <cell r="Y2378" t="str">
            <v/>
          </cell>
        </row>
        <row r="2379">
          <cell r="X2379" t="str">
            <v/>
          </cell>
          <cell r="Y2379" t="str">
            <v/>
          </cell>
        </row>
        <row r="2380">
          <cell r="X2380" t="str">
            <v/>
          </cell>
          <cell r="Y2380" t="str">
            <v/>
          </cell>
        </row>
        <row r="2381">
          <cell r="X2381" t="str">
            <v/>
          </cell>
          <cell r="Y2381" t="str">
            <v/>
          </cell>
        </row>
        <row r="2382">
          <cell r="X2382" t="str">
            <v>x</v>
          </cell>
          <cell r="Y2382" t="str">
            <v/>
          </cell>
        </row>
        <row r="2383">
          <cell r="X2383" t="str">
            <v/>
          </cell>
          <cell r="Y2383" t="str">
            <v/>
          </cell>
        </row>
        <row r="2384">
          <cell r="X2384" t="str">
            <v>x</v>
          </cell>
          <cell r="Y2384" t="str">
            <v/>
          </cell>
        </row>
        <row r="2385">
          <cell r="X2385" t="str">
            <v/>
          </cell>
          <cell r="Y2385" t="str">
            <v/>
          </cell>
        </row>
        <row r="2386">
          <cell r="X2386" t="str">
            <v>x</v>
          </cell>
          <cell r="Y2386" t="str">
            <v/>
          </cell>
        </row>
        <row r="2387">
          <cell r="X2387" t="str">
            <v/>
          </cell>
          <cell r="Y2387" t="str">
            <v/>
          </cell>
        </row>
        <row r="2388">
          <cell r="X2388" t="str">
            <v/>
          </cell>
          <cell r="Y2388" t="str">
            <v/>
          </cell>
        </row>
        <row r="2389">
          <cell r="X2389" t="str">
            <v>x</v>
          </cell>
          <cell r="Y2389" t="str">
            <v/>
          </cell>
        </row>
        <row r="2390">
          <cell r="X2390" t="str">
            <v/>
          </cell>
          <cell r="Y2390" t="str">
            <v/>
          </cell>
        </row>
        <row r="2391">
          <cell r="X2391" t="str">
            <v>x</v>
          </cell>
          <cell r="Y2391" t="str">
            <v/>
          </cell>
        </row>
        <row r="2392">
          <cell r="X2392" t="str">
            <v/>
          </cell>
          <cell r="Y2392" t="str">
            <v/>
          </cell>
        </row>
        <row r="2393">
          <cell r="X2393" t="str">
            <v>x</v>
          </cell>
          <cell r="Y2393" t="str">
            <v/>
          </cell>
        </row>
        <row r="2394">
          <cell r="X2394" t="str">
            <v/>
          </cell>
          <cell r="Y2394" t="str">
            <v/>
          </cell>
        </row>
        <row r="2395">
          <cell r="X2395" t="str">
            <v>x</v>
          </cell>
          <cell r="Y2395" t="str">
            <v/>
          </cell>
        </row>
        <row r="2396">
          <cell r="X2396" t="str">
            <v/>
          </cell>
          <cell r="Y2396" t="str">
            <v/>
          </cell>
        </row>
        <row r="2397">
          <cell r="X2397" t="str">
            <v>x</v>
          </cell>
          <cell r="Y2397" t="str">
            <v/>
          </cell>
        </row>
        <row r="2398">
          <cell r="X2398" t="str">
            <v/>
          </cell>
          <cell r="Y2398" t="str">
            <v/>
          </cell>
        </row>
        <row r="2399">
          <cell r="X2399" t="str">
            <v/>
          </cell>
          <cell r="Y2399" t="str">
            <v/>
          </cell>
        </row>
        <row r="2400">
          <cell r="X2400" t="str">
            <v/>
          </cell>
          <cell r="Y2400" t="str">
            <v/>
          </cell>
        </row>
        <row r="2401">
          <cell r="X2401" t="str">
            <v>x</v>
          </cell>
          <cell r="Y2401" t="str">
            <v/>
          </cell>
        </row>
        <row r="2402">
          <cell r="X2402" t="str">
            <v/>
          </cell>
          <cell r="Y2402" t="str">
            <v/>
          </cell>
        </row>
        <row r="2403">
          <cell r="X2403" t="str">
            <v>x</v>
          </cell>
          <cell r="Y2403" t="str">
            <v/>
          </cell>
        </row>
        <row r="2404">
          <cell r="X2404" t="str">
            <v/>
          </cell>
          <cell r="Y2404" t="str">
            <v/>
          </cell>
        </row>
        <row r="2405">
          <cell r="X2405" t="str">
            <v>x</v>
          </cell>
          <cell r="Y2405" t="str">
            <v/>
          </cell>
        </row>
        <row r="2406">
          <cell r="X2406" t="str">
            <v/>
          </cell>
          <cell r="Y2406" t="str">
            <v/>
          </cell>
        </row>
        <row r="2407">
          <cell r="X2407" t="str">
            <v>x</v>
          </cell>
          <cell r="Y2407" t="str">
            <v/>
          </cell>
        </row>
        <row r="2408">
          <cell r="X2408" t="str">
            <v/>
          </cell>
          <cell r="Y2408" t="str">
            <v/>
          </cell>
        </row>
        <row r="2409">
          <cell r="X2409" t="str">
            <v>x</v>
          </cell>
          <cell r="Y2409" t="str">
            <v/>
          </cell>
        </row>
        <row r="2410">
          <cell r="X2410" t="str">
            <v/>
          </cell>
          <cell r="Y2410" t="str">
            <v/>
          </cell>
        </row>
        <row r="2411">
          <cell r="X2411" t="str">
            <v>x</v>
          </cell>
          <cell r="Y2411" t="str">
            <v/>
          </cell>
        </row>
        <row r="2412">
          <cell r="X2412" t="str">
            <v/>
          </cell>
          <cell r="Y2412" t="str">
            <v/>
          </cell>
        </row>
        <row r="2413">
          <cell r="X2413" t="str">
            <v>x</v>
          </cell>
          <cell r="Y2413" t="str">
            <v/>
          </cell>
        </row>
        <row r="2414">
          <cell r="X2414" t="str">
            <v/>
          </cell>
          <cell r="Y2414" t="str">
            <v/>
          </cell>
        </row>
        <row r="2415">
          <cell r="X2415" t="str">
            <v/>
          </cell>
          <cell r="Y2415" t="str">
            <v/>
          </cell>
        </row>
        <row r="2416">
          <cell r="X2416" t="str">
            <v/>
          </cell>
          <cell r="Y2416" t="str">
            <v/>
          </cell>
        </row>
        <row r="2417">
          <cell r="X2417" t="str">
            <v/>
          </cell>
          <cell r="Y2417" t="str">
            <v/>
          </cell>
        </row>
        <row r="2418">
          <cell r="X2418" t="str">
            <v>x</v>
          </cell>
          <cell r="Y2418" t="str">
            <v/>
          </cell>
        </row>
        <row r="2419">
          <cell r="X2419" t="str">
            <v/>
          </cell>
          <cell r="Y2419" t="str">
            <v/>
          </cell>
        </row>
        <row r="2420">
          <cell r="X2420" t="str">
            <v>x</v>
          </cell>
          <cell r="Y2420" t="str">
            <v/>
          </cell>
        </row>
        <row r="2421">
          <cell r="X2421" t="str">
            <v/>
          </cell>
          <cell r="Y2421" t="str">
            <v/>
          </cell>
        </row>
        <row r="2422">
          <cell r="X2422" t="str">
            <v>x</v>
          </cell>
          <cell r="Y2422" t="str">
            <v/>
          </cell>
        </row>
        <row r="2423">
          <cell r="X2423" t="str">
            <v/>
          </cell>
          <cell r="Y2423" t="str">
            <v/>
          </cell>
        </row>
        <row r="2424">
          <cell r="X2424" t="str">
            <v>x</v>
          </cell>
          <cell r="Y2424" t="str">
            <v/>
          </cell>
        </row>
        <row r="2425">
          <cell r="X2425" t="str">
            <v/>
          </cell>
          <cell r="Y2425" t="str">
            <v/>
          </cell>
        </row>
        <row r="2426">
          <cell r="X2426" t="str">
            <v>x</v>
          </cell>
          <cell r="Y2426" t="str">
            <v/>
          </cell>
        </row>
        <row r="2427">
          <cell r="X2427" t="str">
            <v/>
          </cell>
          <cell r="Y2427" t="str">
            <v/>
          </cell>
        </row>
        <row r="2428">
          <cell r="X2428" t="str">
            <v>x</v>
          </cell>
          <cell r="Y2428" t="str">
            <v/>
          </cell>
        </row>
        <row r="2429">
          <cell r="X2429" t="str">
            <v/>
          </cell>
          <cell r="Y2429" t="str">
            <v/>
          </cell>
        </row>
        <row r="2430">
          <cell r="X2430" t="str">
            <v>x</v>
          </cell>
          <cell r="Y2430" t="str">
            <v/>
          </cell>
        </row>
        <row r="2431">
          <cell r="X2431" t="str">
            <v/>
          </cell>
          <cell r="Y2431" t="str">
            <v/>
          </cell>
        </row>
        <row r="2432">
          <cell r="X2432" t="str">
            <v>x</v>
          </cell>
          <cell r="Y2432" t="str">
            <v/>
          </cell>
        </row>
        <row r="2433">
          <cell r="X2433" t="str">
            <v/>
          </cell>
          <cell r="Y2433" t="str">
            <v/>
          </cell>
        </row>
        <row r="2434">
          <cell r="X2434" t="str">
            <v>x</v>
          </cell>
          <cell r="Y2434" t="str">
            <v/>
          </cell>
        </row>
        <row r="2435">
          <cell r="X2435" t="str">
            <v/>
          </cell>
          <cell r="Y2435" t="str">
            <v/>
          </cell>
        </row>
        <row r="2436">
          <cell r="X2436" t="str">
            <v>x</v>
          </cell>
          <cell r="Y2436" t="str">
            <v/>
          </cell>
        </row>
        <row r="2437">
          <cell r="X2437" t="str">
            <v/>
          </cell>
          <cell r="Y2437" t="str">
            <v/>
          </cell>
        </row>
        <row r="2438">
          <cell r="X2438" t="str">
            <v>x</v>
          </cell>
          <cell r="Y2438" t="str">
            <v/>
          </cell>
        </row>
        <row r="2439">
          <cell r="X2439" t="str">
            <v/>
          </cell>
          <cell r="Y2439" t="str">
            <v/>
          </cell>
        </row>
        <row r="2440">
          <cell r="X2440" t="str">
            <v>x</v>
          </cell>
          <cell r="Y2440" t="str">
            <v/>
          </cell>
        </row>
        <row r="2441">
          <cell r="X2441" t="str">
            <v/>
          </cell>
          <cell r="Y2441" t="str">
            <v/>
          </cell>
        </row>
        <row r="2442">
          <cell r="X2442" t="str">
            <v>x</v>
          </cell>
          <cell r="Y2442" t="str">
            <v/>
          </cell>
        </row>
        <row r="2443">
          <cell r="X2443" t="str">
            <v/>
          </cell>
          <cell r="Y2443" t="str">
            <v/>
          </cell>
        </row>
        <row r="2444">
          <cell r="X2444" t="str">
            <v>x</v>
          </cell>
          <cell r="Y2444" t="str">
            <v/>
          </cell>
        </row>
        <row r="2445">
          <cell r="X2445" t="str">
            <v/>
          </cell>
          <cell r="Y2445" t="str">
            <v/>
          </cell>
        </row>
        <row r="2446">
          <cell r="X2446" t="str">
            <v>x</v>
          </cell>
          <cell r="Y2446" t="str">
            <v/>
          </cell>
        </row>
        <row r="2447">
          <cell r="X2447" t="str">
            <v/>
          </cell>
          <cell r="Y2447" t="str">
            <v/>
          </cell>
        </row>
        <row r="2448">
          <cell r="X2448" t="str">
            <v>x</v>
          </cell>
          <cell r="Y2448" t="str">
            <v/>
          </cell>
        </row>
        <row r="2449">
          <cell r="X2449" t="str">
            <v/>
          </cell>
          <cell r="Y2449" t="str">
            <v/>
          </cell>
        </row>
        <row r="2450">
          <cell r="X2450" t="str">
            <v>x</v>
          </cell>
          <cell r="Y2450" t="str">
            <v/>
          </cell>
        </row>
        <row r="2451">
          <cell r="X2451" t="str">
            <v/>
          </cell>
          <cell r="Y2451" t="str">
            <v/>
          </cell>
        </row>
        <row r="2452">
          <cell r="X2452" t="str">
            <v/>
          </cell>
          <cell r="Y2452" t="str">
            <v/>
          </cell>
        </row>
        <row r="2453">
          <cell r="X2453" t="str">
            <v/>
          </cell>
          <cell r="Y2453" t="str">
            <v/>
          </cell>
        </row>
        <row r="2454">
          <cell r="X2454" t="str">
            <v/>
          </cell>
          <cell r="Y2454" t="str">
            <v/>
          </cell>
        </row>
        <row r="2455">
          <cell r="X2455" t="str">
            <v/>
          </cell>
          <cell r="Y2455" t="str">
            <v/>
          </cell>
        </row>
        <row r="2456">
          <cell r="X2456" t="str">
            <v/>
          </cell>
          <cell r="Y2456" t="str">
            <v/>
          </cell>
        </row>
        <row r="2457">
          <cell r="X2457" t="str">
            <v/>
          </cell>
          <cell r="Y2457" t="str">
            <v/>
          </cell>
        </row>
        <row r="2458">
          <cell r="X2458" t="str">
            <v/>
          </cell>
          <cell r="Y2458" t="str">
            <v/>
          </cell>
        </row>
        <row r="2459">
          <cell r="X2459" t="str">
            <v/>
          </cell>
          <cell r="Y2459" t="str">
            <v/>
          </cell>
        </row>
        <row r="2460">
          <cell r="X2460" t="str">
            <v/>
          </cell>
          <cell r="Y2460" t="str">
            <v/>
          </cell>
        </row>
        <row r="2461">
          <cell r="X2461" t="str">
            <v/>
          </cell>
          <cell r="Y2461" t="str">
            <v/>
          </cell>
        </row>
        <row r="2462">
          <cell r="X2462" t="str">
            <v/>
          </cell>
          <cell r="Y2462" t="str">
            <v/>
          </cell>
        </row>
        <row r="2463">
          <cell r="X2463" t="str">
            <v/>
          </cell>
          <cell r="Y2463" t="str">
            <v/>
          </cell>
        </row>
        <row r="2464">
          <cell r="X2464" t="str">
            <v/>
          </cell>
          <cell r="Y2464" t="str">
            <v/>
          </cell>
        </row>
        <row r="2465">
          <cell r="X2465" t="str">
            <v/>
          </cell>
          <cell r="Y2465" t="str">
            <v/>
          </cell>
        </row>
        <row r="2466">
          <cell r="X2466" t="str">
            <v/>
          </cell>
          <cell r="Y2466" t="str">
            <v/>
          </cell>
        </row>
        <row r="2467">
          <cell r="X2467" t="str">
            <v/>
          </cell>
          <cell r="Y2467" t="str">
            <v/>
          </cell>
        </row>
        <row r="2468">
          <cell r="X2468" t="str">
            <v/>
          </cell>
          <cell r="Y2468" t="str">
            <v/>
          </cell>
        </row>
        <row r="2469">
          <cell r="X2469" t="str">
            <v/>
          </cell>
          <cell r="Y2469" t="str">
            <v/>
          </cell>
        </row>
        <row r="2470">
          <cell r="X2470" t="str">
            <v/>
          </cell>
          <cell r="Y2470" t="str">
            <v/>
          </cell>
        </row>
        <row r="2471">
          <cell r="X2471" t="str">
            <v/>
          </cell>
          <cell r="Y2471" t="str">
            <v/>
          </cell>
        </row>
        <row r="2472">
          <cell r="X2472" t="str">
            <v/>
          </cell>
          <cell r="Y2472" t="str">
            <v/>
          </cell>
        </row>
        <row r="2473">
          <cell r="X2473" t="str">
            <v/>
          </cell>
          <cell r="Y2473" t="str">
            <v/>
          </cell>
        </row>
        <row r="2474">
          <cell r="X2474" t="str">
            <v/>
          </cell>
          <cell r="Y2474" t="str">
            <v/>
          </cell>
        </row>
        <row r="2475">
          <cell r="X2475" t="str">
            <v/>
          </cell>
          <cell r="Y2475" t="str">
            <v/>
          </cell>
        </row>
        <row r="2476">
          <cell r="X2476" t="str">
            <v/>
          </cell>
          <cell r="Y2476" t="str">
            <v/>
          </cell>
        </row>
        <row r="2477">
          <cell r="X2477" t="str">
            <v/>
          </cell>
          <cell r="Y2477" t="str">
            <v/>
          </cell>
        </row>
        <row r="2478">
          <cell r="X2478" t="str">
            <v/>
          </cell>
          <cell r="Y2478" t="str">
            <v/>
          </cell>
        </row>
        <row r="2479">
          <cell r="X2479" t="str">
            <v/>
          </cell>
          <cell r="Y2479" t="str">
            <v/>
          </cell>
        </row>
        <row r="2480">
          <cell r="X2480" t="str">
            <v/>
          </cell>
          <cell r="Y2480" t="str">
            <v/>
          </cell>
        </row>
        <row r="2481">
          <cell r="X2481" t="str">
            <v/>
          </cell>
          <cell r="Y2481" t="str">
            <v/>
          </cell>
        </row>
        <row r="2482">
          <cell r="X2482" t="str">
            <v/>
          </cell>
          <cell r="Y2482" t="str">
            <v/>
          </cell>
        </row>
        <row r="2483">
          <cell r="X2483" t="str">
            <v/>
          </cell>
          <cell r="Y2483" t="str">
            <v/>
          </cell>
        </row>
        <row r="2484">
          <cell r="X2484" t="str">
            <v/>
          </cell>
          <cell r="Y2484" t="str">
            <v/>
          </cell>
        </row>
        <row r="2485">
          <cell r="X2485" t="str">
            <v/>
          </cell>
          <cell r="Y2485" t="str">
            <v/>
          </cell>
        </row>
        <row r="2486">
          <cell r="X2486" t="str">
            <v/>
          </cell>
          <cell r="Y2486" t="str">
            <v/>
          </cell>
        </row>
        <row r="2487">
          <cell r="X2487" t="str">
            <v/>
          </cell>
          <cell r="Y2487" t="str">
            <v/>
          </cell>
        </row>
        <row r="2488">
          <cell r="X2488" t="str">
            <v/>
          </cell>
          <cell r="Y2488" t="str">
            <v/>
          </cell>
        </row>
        <row r="2489">
          <cell r="X2489" t="str">
            <v/>
          </cell>
          <cell r="Y2489" t="str">
            <v/>
          </cell>
        </row>
        <row r="2490">
          <cell r="X2490" t="str">
            <v/>
          </cell>
          <cell r="Y2490" t="str">
            <v/>
          </cell>
        </row>
        <row r="2491">
          <cell r="X2491" t="str">
            <v/>
          </cell>
          <cell r="Y2491" t="str">
            <v/>
          </cell>
        </row>
        <row r="2492">
          <cell r="X2492" t="str">
            <v/>
          </cell>
          <cell r="Y2492" t="str">
            <v/>
          </cell>
        </row>
        <row r="2493">
          <cell r="X2493" t="str">
            <v/>
          </cell>
          <cell r="Y2493" t="str">
            <v/>
          </cell>
        </row>
        <row r="2494">
          <cell r="X2494" t="str">
            <v/>
          </cell>
          <cell r="Y2494" t="str">
            <v/>
          </cell>
        </row>
        <row r="2495">
          <cell r="X2495" t="str">
            <v/>
          </cell>
          <cell r="Y2495" t="str">
            <v/>
          </cell>
        </row>
        <row r="2496">
          <cell r="X2496" t="str">
            <v/>
          </cell>
          <cell r="Y2496" t="str">
            <v/>
          </cell>
        </row>
        <row r="2497">
          <cell r="X2497" t="str">
            <v/>
          </cell>
          <cell r="Y2497" t="str">
            <v/>
          </cell>
        </row>
        <row r="2498">
          <cell r="X2498" t="str">
            <v/>
          </cell>
          <cell r="Y2498" t="str">
            <v/>
          </cell>
        </row>
        <row r="2499">
          <cell r="X2499" t="str">
            <v/>
          </cell>
          <cell r="Y2499" t="str">
            <v/>
          </cell>
        </row>
        <row r="2500">
          <cell r="X2500" t="str">
            <v/>
          </cell>
          <cell r="Y2500" t="str">
            <v/>
          </cell>
        </row>
        <row r="2501">
          <cell r="X2501" t="str">
            <v/>
          </cell>
          <cell r="Y2501" t="str">
            <v/>
          </cell>
        </row>
        <row r="2502">
          <cell r="X2502" t="str">
            <v/>
          </cell>
          <cell r="Y2502" t="str">
            <v/>
          </cell>
        </row>
        <row r="2503">
          <cell r="X2503" t="str">
            <v/>
          </cell>
          <cell r="Y2503" t="str">
            <v/>
          </cell>
        </row>
        <row r="2504">
          <cell r="X2504" t="str">
            <v/>
          </cell>
          <cell r="Y2504" t="str">
            <v/>
          </cell>
        </row>
        <row r="2505">
          <cell r="X2505" t="str">
            <v/>
          </cell>
          <cell r="Y2505" t="str">
            <v/>
          </cell>
        </row>
        <row r="2506">
          <cell r="X2506" t="str">
            <v/>
          </cell>
          <cell r="Y2506" t="str">
            <v/>
          </cell>
        </row>
        <row r="2507">
          <cell r="X2507" t="str">
            <v/>
          </cell>
          <cell r="Y2507" t="str">
            <v/>
          </cell>
        </row>
        <row r="2508">
          <cell r="X2508" t="str">
            <v/>
          </cell>
          <cell r="Y2508" t="str">
            <v/>
          </cell>
        </row>
        <row r="2509">
          <cell r="X2509" t="str">
            <v/>
          </cell>
          <cell r="Y2509" t="str">
            <v/>
          </cell>
        </row>
        <row r="2510">
          <cell r="X2510" t="str">
            <v/>
          </cell>
          <cell r="Y2510" t="str">
            <v/>
          </cell>
        </row>
        <row r="2511">
          <cell r="X2511" t="str">
            <v/>
          </cell>
          <cell r="Y2511" t="str">
            <v/>
          </cell>
        </row>
        <row r="2512">
          <cell r="X2512" t="str">
            <v/>
          </cell>
          <cell r="Y2512" t="str">
            <v/>
          </cell>
        </row>
        <row r="2513">
          <cell r="X2513" t="str">
            <v/>
          </cell>
          <cell r="Y2513" t="str">
            <v/>
          </cell>
        </row>
        <row r="2514">
          <cell r="X2514" t="str">
            <v/>
          </cell>
          <cell r="Y2514" t="str">
            <v/>
          </cell>
        </row>
        <row r="2515">
          <cell r="X2515" t="str">
            <v/>
          </cell>
          <cell r="Y2515" t="str">
            <v/>
          </cell>
        </row>
        <row r="2516">
          <cell r="X2516" t="str">
            <v/>
          </cell>
          <cell r="Y2516" t="str">
            <v/>
          </cell>
        </row>
        <row r="2517">
          <cell r="X2517" t="str">
            <v/>
          </cell>
          <cell r="Y2517" t="str">
            <v/>
          </cell>
        </row>
        <row r="2518">
          <cell r="X2518" t="str">
            <v/>
          </cell>
          <cell r="Y2518" t="str">
            <v/>
          </cell>
        </row>
        <row r="2519">
          <cell r="X2519" t="str">
            <v/>
          </cell>
          <cell r="Y2519" t="str">
            <v/>
          </cell>
        </row>
        <row r="2520">
          <cell r="X2520" t="str">
            <v/>
          </cell>
          <cell r="Y2520" t="str">
            <v/>
          </cell>
        </row>
        <row r="2521">
          <cell r="X2521" t="str">
            <v/>
          </cell>
          <cell r="Y2521" t="str">
            <v/>
          </cell>
        </row>
        <row r="2522">
          <cell r="X2522" t="str">
            <v/>
          </cell>
          <cell r="Y2522" t="str">
            <v/>
          </cell>
        </row>
        <row r="2523">
          <cell r="X2523" t="str">
            <v/>
          </cell>
          <cell r="Y2523" t="str">
            <v/>
          </cell>
        </row>
        <row r="2524">
          <cell r="X2524" t="str">
            <v/>
          </cell>
          <cell r="Y2524" t="str">
            <v/>
          </cell>
        </row>
        <row r="2525">
          <cell r="X2525" t="str">
            <v/>
          </cell>
          <cell r="Y2525" t="str">
            <v/>
          </cell>
        </row>
        <row r="2526">
          <cell r="X2526" t="str">
            <v/>
          </cell>
          <cell r="Y2526" t="str">
            <v/>
          </cell>
        </row>
        <row r="2527">
          <cell r="X2527" t="str">
            <v/>
          </cell>
          <cell r="Y2527" t="str">
            <v/>
          </cell>
        </row>
        <row r="2528">
          <cell r="X2528" t="str">
            <v/>
          </cell>
          <cell r="Y2528" t="str">
            <v/>
          </cell>
        </row>
        <row r="2529">
          <cell r="X2529" t="str">
            <v/>
          </cell>
          <cell r="Y2529" t="str">
            <v/>
          </cell>
        </row>
        <row r="2530">
          <cell r="X2530" t="str">
            <v/>
          </cell>
          <cell r="Y2530" t="str">
            <v/>
          </cell>
        </row>
        <row r="2531">
          <cell r="X2531" t="str">
            <v/>
          </cell>
          <cell r="Y2531" t="str">
            <v/>
          </cell>
        </row>
        <row r="2532">
          <cell r="X2532" t="str">
            <v/>
          </cell>
          <cell r="Y2532" t="str">
            <v/>
          </cell>
        </row>
        <row r="2533">
          <cell r="X2533" t="str">
            <v/>
          </cell>
          <cell r="Y2533" t="str">
            <v/>
          </cell>
        </row>
        <row r="2534">
          <cell r="X2534" t="str">
            <v/>
          </cell>
          <cell r="Y2534" t="str">
            <v/>
          </cell>
        </row>
        <row r="2535">
          <cell r="X2535" t="str">
            <v/>
          </cell>
          <cell r="Y2535" t="str">
            <v/>
          </cell>
        </row>
        <row r="2536">
          <cell r="X2536" t="str">
            <v/>
          </cell>
          <cell r="Y2536" t="str">
            <v/>
          </cell>
        </row>
        <row r="2537">
          <cell r="X2537" t="str">
            <v/>
          </cell>
          <cell r="Y2537" t="str">
            <v/>
          </cell>
        </row>
        <row r="2538">
          <cell r="X2538" t="str">
            <v/>
          </cell>
          <cell r="Y2538" t="str">
            <v/>
          </cell>
        </row>
        <row r="2539">
          <cell r="X2539" t="str">
            <v/>
          </cell>
          <cell r="Y2539" t="str">
            <v/>
          </cell>
        </row>
        <row r="2540">
          <cell r="X2540" t="str">
            <v/>
          </cell>
          <cell r="Y2540" t="str">
            <v/>
          </cell>
        </row>
        <row r="2541">
          <cell r="X2541" t="str">
            <v/>
          </cell>
          <cell r="Y2541" t="str">
            <v/>
          </cell>
        </row>
        <row r="2542">
          <cell r="X2542" t="str">
            <v/>
          </cell>
          <cell r="Y2542" t="str">
            <v/>
          </cell>
        </row>
        <row r="2543">
          <cell r="X2543" t="str">
            <v/>
          </cell>
          <cell r="Y2543" t="str">
            <v/>
          </cell>
        </row>
        <row r="2544">
          <cell r="X2544" t="str">
            <v/>
          </cell>
          <cell r="Y2544" t="str">
            <v/>
          </cell>
        </row>
        <row r="2545">
          <cell r="X2545" t="str">
            <v/>
          </cell>
          <cell r="Y2545" t="str">
            <v/>
          </cell>
        </row>
        <row r="2546">
          <cell r="X2546" t="str">
            <v/>
          </cell>
          <cell r="Y2546" t="str">
            <v/>
          </cell>
        </row>
        <row r="2547">
          <cell r="X2547" t="str">
            <v/>
          </cell>
          <cell r="Y2547" t="str">
            <v/>
          </cell>
        </row>
        <row r="2548">
          <cell r="X2548" t="str">
            <v/>
          </cell>
          <cell r="Y2548" t="str">
            <v/>
          </cell>
        </row>
        <row r="2549">
          <cell r="X2549" t="str">
            <v/>
          </cell>
          <cell r="Y2549" t="str">
            <v/>
          </cell>
        </row>
        <row r="2550">
          <cell r="X2550" t="str">
            <v/>
          </cell>
          <cell r="Y2550" t="str">
            <v/>
          </cell>
        </row>
        <row r="2551">
          <cell r="X2551" t="str">
            <v/>
          </cell>
          <cell r="Y2551" t="str">
            <v/>
          </cell>
        </row>
        <row r="2552">
          <cell r="X2552" t="str">
            <v/>
          </cell>
          <cell r="Y2552" t="str">
            <v/>
          </cell>
        </row>
        <row r="2553">
          <cell r="X2553" t="str">
            <v/>
          </cell>
          <cell r="Y2553" t="str">
            <v/>
          </cell>
        </row>
        <row r="2554">
          <cell r="X2554" t="str">
            <v/>
          </cell>
          <cell r="Y2554" t="str">
            <v/>
          </cell>
        </row>
        <row r="2555">
          <cell r="X2555" t="str">
            <v/>
          </cell>
          <cell r="Y2555" t="str">
            <v/>
          </cell>
        </row>
        <row r="2556">
          <cell r="X2556" t="str">
            <v/>
          </cell>
          <cell r="Y2556" t="str">
            <v/>
          </cell>
        </row>
        <row r="2557">
          <cell r="X2557" t="str">
            <v/>
          </cell>
          <cell r="Y2557" t="str">
            <v/>
          </cell>
        </row>
        <row r="2558">
          <cell r="X2558" t="str">
            <v/>
          </cell>
          <cell r="Y2558" t="str">
            <v/>
          </cell>
        </row>
        <row r="2559">
          <cell r="X2559" t="str">
            <v/>
          </cell>
          <cell r="Y2559" t="str">
            <v/>
          </cell>
        </row>
        <row r="2560">
          <cell r="X2560" t="str">
            <v/>
          </cell>
          <cell r="Y2560" t="str">
            <v/>
          </cell>
        </row>
        <row r="2561">
          <cell r="X2561" t="str">
            <v/>
          </cell>
          <cell r="Y2561" t="str">
            <v/>
          </cell>
        </row>
        <row r="2562">
          <cell r="X2562" t="str">
            <v/>
          </cell>
          <cell r="Y2562" t="str">
            <v/>
          </cell>
        </row>
        <row r="2563">
          <cell r="X2563" t="str">
            <v/>
          </cell>
          <cell r="Y2563" t="str">
            <v/>
          </cell>
        </row>
        <row r="2564">
          <cell r="X2564" t="str">
            <v/>
          </cell>
          <cell r="Y2564" t="str">
            <v/>
          </cell>
        </row>
        <row r="2565">
          <cell r="X2565" t="str">
            <v/>
          </cell>
          <cell r="Y2565" t="str">
            <v/>
          </cell>
        </row>
        <row r="2566">
          <cell r="X2566" t="str">
            <v/>
          </cell>
          <cell r="Y2566" t="str">
            <v/>
          </cell>
        </row>
        <row r="2567">
          <cell r="X2567" t="str">
            <v/>
          </cell>
          <cell r="Y2567" t="str">
            <v/>
          </cell>
        </row>
        <row r="2568">
          <cell r="X2568" t="str">
            <v/>
          </cell>
          <cell r="Y2568" t="str">
            <v/>
          </cell>
        </row>
        <row r="2569">
          <cell r="X2569" t="str">
            <v/>
          </cell>
          <cell r="Y2569" t="str">
            <v/>
          </cell>
        </row>
        <row r="2570">
          <cell r="X2570" t="str">
            <v/>
          </cell>
          <cell r="Y2570" t="str">
            <v/>
          </cell>
        </row>
        <row r="2571">
          <cell r="X2571" t="str">
            <v/>
          </cell>
          <cell r="Y2571" t="str">
            <v/>
          </cell>
        </row>
        <row r="2572">
          <cell r="X2572" t="str">
            <v/>
          </cell>
          <cell r="Y2572" t="str">
            <v/>
          </cell>
        </row>
        <row r="2573">
          <cell r="X2573" t="str">
            <v/>
          </cell>
          <cell r="Y2573" t="str">
            <v/>
          </cell>
        </row>
        <row r="2574">
          <cell r="X2574" t="str">
            <v/>
          </cell>
          <cell r="Y2574" t="str">
            <v/>
          </cell>
        </row>
        <row r="2575">
          <cell r="X2575" t="str">
            <v/>
          </cell>
          <cell r="Y2575" t="str">
            <v/>
          </cell>
        </row>
        <row r="2576">
          <cell r="X2576" t="str">
            <v/>
          </cell>
          <cell r="Y2576" t="str">
            <v/>
          </cell>
        </row>
        <row r="2577">
          <cell r="X2577" t="str">
            <v/>
          </cell>
          <cell r="Y2577" t="str">
            <v/>
          </cell>
        </row>
        <row r="2578">
          <cell r="X2578" t="str">
            <v/>
          </cell>
          <cell r="Y2578" t="str">
            <v/>
          </cell>
        </row>
        <row r="2579">
          <cell r="X2579" t="str">
            <v/>
          </cell>
          <cell r="Y2579" t="str">
            <v/>
          </cell>
        </row>
        <row r="2580">
          <cell r="X2580" t="str">
            <v/>
          </cell>
          <cell r="Y2580" t="str">
            <v/>
          </cell>
        </row>
        <row r="2581">
          <cell r="X2581" t="str">
            <v/>
          </cell>
          <cell r="Y2581" t="str">
            <v/>
          </cell>
        </row>
        <row r="2582">
          <cell r="X2582" t="str">
            <v/>
          </cell>
          <cell r="Y2582" t="str">
            <v/>
          </cell>
        </row>
        <row r="2583">
          <cell r="X2583" t="str">
            <v/>
          </cell>
          <cell r="Y2583" t="str">
            <v/>
          </cell>
        </row>
        <row r="2584">
          <cell r="X2584" t="str">
            <v/>
          </cell>
          <cell r="Y2584" t="str">
            <v/>
          </cell>
        </row>
        <row r="2585">
          <cell r="X2585" t="str">
            <v/>
          </cell>
          <cell r="Y2585" t="str">
            <v/>
          </cell>
        </row>
        <row r="2586">
          <cell r="X2586" t="str">
            <v/>
          </cell>
          <cell r="Y2586" t="str">
            <v/>
          </cell>
        </row>
        <row r="2587">
          <cell r="X2587" t="str">
            <v/>
          </cell>
          <cell r="Y2587" t="str">
            <v/>
          </cell>
        </row>
        <row r="2588">
          <cell r="X2588" t="str">
            <v/>
          </cell>
          <cell r="Y2588" t="str">
            <v/>
          </cell>
        </row>
        <row r="2589">
          <cell r="X2589" t="str">
            <v/>
          </cell>
          <cell r="Y2589" t="str">
            <v/>
          </cell>
        </row>
        <row r="2590">
          <cell r="X2590" t="str">
            <v/>
          </cell>
          <cell r="Y2590" t="str">
            <v/>
          </cell>
        </row>
        <row r="2591">
          <cell r="X2591" t="str">
            <v/>
          </cell>
          <cell r="Y2591" t="str">
            <v/>
          </cell>
        </row>
        <row r="2592">
          <cell r="X2592" t="str">
            <v/>
          </cell>
          <cell r="Y2592" t="str">
            <v/>
          </cell>
        </row>
        <row r="2593">
          <cell r="X2593" t="str">
            <v/>
          </cell>
          <cell r="Y2593" t="str">
            <v/>
          </cell>
        </row>
        <row r="2594">
          <cell r="X2594" t="str">
            <v/>
          </cell>
          <cell r="Y2594" t="str">
            <v/>
          </cell>
        </row>
        <row r="2595">
          <cell r="X2595" t="str">
            <v/>
          </cell>
          <cell r="Y2595" t="str">
            <v/>
          </cell>
        </row>
        <row r="2596">
          <cell r="X2596" t="str">
            <v/>
          </cell>
          <cell r="Y2596" t="str">
            <v/>
          </cell>
        </row>
        <row r="2597">
          <cell r="X2597" t="str">
            <v/>
          </cell>
          <cell r="Y2597" t="str">
            <v/>
          </cell>
        </row>
        <row r="2598">
          <cell r="X2598" t="str">
            <v/>
          </cell>
          <cell r="Y2598" t="str">
            <v/>
          </cell>
        </row>
        <row r="2599">
          <cell r="X2599" t="str">
            <v/>
          </cell>
          <cell r="Y2599" t="str">
            <v/>
          </cell>
        </row>
        <row r="2600">
          <cell r="X2600" t="str">
            <v/>
          </cell>
          <cell r="Y2600" t="str">
            <v/>
          </cell>
        </row>
        <row r="2601">
          <cell r="X2601" t="str">
            <v/>
          </cell>
          <cell r="Y2601" t="str">
            <v/>
          </cell>
        </row>
        <row r="2602">
          <cell r="X2602" t="str">
            <v/>
          </cell>
          <cell r="Y2602" t="str">
            <v/>
          </cell>
        </row>
        <row r="2603">
          <cell r="X2603" t="str">
            <v/>
          </cell>
          <cell r="Y2603" t="str">
            <v/>
          </cell>
        </row>
        <row r="2604">
          <cell r="X2604" t="str">
            <v/>
          </cell>
          <cell r="Y2604" t="str">
            <v/>
          </cell>
        </row>
        <row r="2605">
          <cell r="X2605" t="str">
            <v/>
          </cell>
          <cell r="Y2605" t="str">
            <v/>
          </cell>
        </row>
        <row r="2606">
          <cell r="X2606" t="str">
            <v/>
          </cell>
          <cell r="Y2606" t="str">
            <v/>
          </cell>
        </row>
        <row r="2607">
          <cell r="X2607" t="str">
            <v/>
          </cell>
          <cell r="Y2607" t="str">
            <v/>
          </cell>
        </row>
        <row r="2608">
          <cell r="X2608" t="str">
            <v/>
          </cell>
          <cell r="Y2608" t="str">
            <v/>
          </cell>
        </row>
        <row r="2609">
          <cell r="X2609" t="str">
            <v/>
          </cell>
          <cell r="Y2609" t="str">
            <v/>
          </cell>
        </row>
        <row r="2610">
          <cell r="X2610" t="str">
            <v/>
          </cell>
          <cell r="Y2610" t="str">
            <v/>
          </cell>
        </row>
        <row r="2611">
          <cell r="X2611" t="str">
            <v/>
          </cell>
          <cell r="Y2611" t="str">
            <v/>
          </cell>
        </row>
        <row r="2612">
          <cell r="X2612" t="str">
            <v/>
          </cell>
          <cell r="Y2612" t="str">
            <v/>
          </cell>
        </row>
        <row r="2613">
          <cell r="X2613" t="str">
            <v/>
          </cell>
          <cell r="Y2613" t="str">
            <v/>
          </cell>
        </row>
        <row r="2614">
          <cell r="X2614" t="str">
            <v/>
          </cell>
          <cell r="Y2614" t="str">
            <v/>
          </cell>
        </row>
        <row r="2615">
          <cell r="X2615" t="str">
            <v/>
          </cell>
          <cell r="Y2615" t="str">
            <v/>
          </cell>
        </row>
        <row r="2616">
          <cell r="X2616" t="str">
            <v/>
          </cell>
          <cell r="Y2616" t="str">
            <v/>
          </cell>
        </row>
        <row r="2617">
          <cell r="X2617" t="str">
            <v/>
          </cell>
          <cell r="Y2617" t="str">
            <v/>
          </cell>
        </row>
        <row r="2618">
          <cell r="X2618" t="str">
            <v>x</v>
          </cell>
          <cell r="Y2618" t="str">
            <v/>
          </cell>
        </row>
        <row r="2619">
          <cell r="X2619" t="str">
            <v/>
          </cell>
          <cell r="Y2619" t="str">
            <v/>
          </cell>
        </row>
        <row r="2620">
          <cell r="X2620" t="str">
            <v>x</v>
          </cell>
          <cell r="Y2620" t="str">
            <v/>
          </cell>
        </row>
        <row r="2621">
          <cell r="X2621" t="str">
            <v/>
          </cell>
          <cell r="Y2621" t="str">
            <v/>
          </cell>
        </row>
        <row r="2622">
          <cell r="X2622" t="str">
            <v/>
          </cell>
          <cell r="Y2622" t="str">
            <v/>
          </cell>
        </row>
        <row r="2623">
          <cell r="X2623" t="str">
            <v>x</v>
          </cell>
          <cell r="Y2623" t="str">
            <v/>
          </cell>
        </row>
        <row r="2624">
          <cell r="X2624" t="str">
            <v/>
          </cell>
          <cell r="Y2624" t="str">
            <v/>
          </cell>
        </row>
        <row r="2625">
          <cell r="X2625" t="str">
            <v/>
          </cell>
          <cell r="Y2625" t="str">
            <v/>
          </cell>
        </row>
        <row r="2626">
          <cell r="X2626" t="str">
            <v>x</v>
          </cell>
          <cell r="Y2626" t="str">
            <v/>
          </cell>
        </row>
        <row r="2627">
          <cell r="X2627" t="str">
            <v/>
          </cell>
          <cell r="Y2627" t="str">
            <v/>
          </cell>
        </row>
        <row r="2628">
          <cell r="X2628" t="str">
            <v/>
          </cell>
          <cell r="Y2628" t="str">
            <v/>
          </cell>
        </row>
        <row r="2629">
          <cell r="X2629" t="str">
            <v/>
          </cell>
          <cell r="Y2629" t="str">
            <v/>
          </cell>
        </row>
        <row r="2630">
          <cell r="X2630" t="str">
            <v>x</v>
          </cell>
          <cell r="Y2630" t="str">
            <v/>
          </cell>
        </row>
        <row r="2631">
          <cell r="X2631" t="str">
            <v/>
          </cell>
          <cell r="Y2631" t="str">
            <v/>
          </cell>
        </row>
        <row r="2632">
          <cell r="X2632" t="str">
            <v>x</v>
          </cell>
          <cell r="Y2632" t="str">
            <v/>
          </cell>
        </row>
        <row r="2633">
          <cell r="X2633" t="str">
            <v/>
          </cell>
          <cell r="Y2633" t="str">
            <v/>
          </cell>
        </row>
        <row r="2634">
          <cell r="X2634" t="str">
            <v/>
          </cell>
          <cell r="Y2634" t="str">
            <v/>
          </cell>
        </row>
        <row r="2635">
          <cell r="X2635" t="str">
            <v/>
          </cell>
          <cell r="Y2635" t="str">
            <v/>
          </cell>
        </row>
        <row r="2636">
          <cell r="X2636" t="str">
            <v/>
          </cell>
          <cell r="Y2636" t="str">
            <v/>
          </cell>
        </row>
        <row r="2637">
          <cell r="X2637" t="str">
            <v>x</v>
          </cell>
          <cell r="Y2637" t="str">
            <v/>
          </cell>
        </row>
        <row r="2638">
          <cell r="X2638" t="str">
            <v/>
          </cell>
          <cell r="Y2638" t="str">
            <v/>
          </cell>
        </row>
        <row r="2639">
          <cell r="X2639" t="str">
            <v>x</v>
          </cell>
          <cell r="Y2639" t="str">
            <v/>
          </cell>
        </row>
        <row r="2640">
          <cell r="X2640" t="str">
            <v/>
          </cell>
          <cell r="Y2640" t="str">
            <v/>
          </cell>
        </row>
        <row r="2641">
          <cell r="X2641" t="str">
            <v>x</v>
          </cell>
          <cell r="Y2641" t="str">
            <v/>
          </cell>
        </row>
        <row r="2642">
          <cell r="X2642" t="str">
            <v/>
          </cell>
          <cell r="Y2642" t="str">
            <v/>
          </cell>
        </row>
        <row r="2643">
          <cell r="X2643" t="str">
            <v>x</v>
          </cell>
          <cell r="Y2643" t="str">
            <v/>
          </cell>
        </row>
        <row r="2644">
          <cell r="X2644" t="str">
            <v/>
          </cell>
          <cell r="Y2644" t="str">
            <v/>
          </cell>
        </row>
        <row r="2645">
          <cell r="X2645" t="str">
            <v>x</v>
          </cell>
          <cell r="Y2645" t="str">
            <v/>
          </cell>
        </row>
        <row r="2646">
          <cell r="X2646" t="str">
            <v/>
          </cell>
          <cell r="Y2646" t="str">
            <v/>
          </cell>
        </row>
        <row r="2647">
          <cell r="X2647" t="str">
            <v/>
          </cell>
          <cell r="Y2647" t="str">
            <v/>
          </cell>
        </row>
        <row r="2648">
          <cell r="X2648" t="str">
            <v>x</v>
          </cell>
          <cell r="Y2648" t="str">
            <v/>
          </cell>
        </row>
        <row r="2649">
          <cell r="X2649" t="str">
            <v/>
          </cell>
          <cell r="Y2649" t="str">
            <v/>
          </cell>
        </row>
        <row r="2650">
          <cell r="X2650" t="str">
            <v/>
          </cell>
          <cell r="Y2650" t="str">
            <v/>
          </cell>
        </row>
        <row r="2651">
          <cell r="X2651" t="str">
            <v/>
          </cell>
          <cell r="Y2651" t="str">
            <v/>
          </cell>
        </row>
        <row r="2652">
          <cell r="X2652" t="str">
            <v/>
          </cell>
          <cell r="Y2652" t="str">
            <v/>
          </cell>
        </row>
        <row r="2653">
          <cell r="X2653" t="str">
            <v>x</v>
          </cell>
          <cell r="Y2653" t="str">
            <v/>
          </cell>
        </row>
        <row r="2654">
          <cell r="X2654" t="str">
            <v/>
          </cell>
          <cell r="Y2654" t="str">
            <v/>
          </cell>
        </row>
        <row r="2655">
          <cell r="X2655" t="str">
            <v/>
          </cell>
          <cell r="Y2655" t="str">
            <v/>
          </cell>
        </row>
        <row r="2656">
          <cell r="X2656" t="str">
            <v/>
          </cell>
          <cell r="Y2656" t="str">
            <v/>
          </cell>
        </row>
        <row r="2657">
          <cell r="X2657" t="str">
            <v>x</v>
          </cell>
          <cell r="Y2657" t="str">
            <v/>
          </cell>
        </row>
        <row r="2658">
          <cell r="X2658" t="str">
            <v/>
          </cell>
          <cell r="Y2658" t="str">
            <v/>
          </cell>
        </row>
        <row r="2659">
          <cell r="X2659" t="str">
            <v>x</v>
          </cell>
          <cell r="Y2659" t="str">
            <v/>
          </cell>
        </row>
        <row r="2660">
          <cell r="X2660" t="str">
            <v/>
          </cell>
          <cell r="Y2660" t="str">
            <v/>
          </cell>
        </row>
        <row r="2661">
          <cell r="X2661" t="str">
            <v/>
          </cell>
          <cell r="Y2661" t="str">
            <v/>
          </cell>
        </row>
        <row r="2662">
          <cell r="X2662" t="str">
            <v/>
          </cell>
          <cell r="Y2662" t="str">
            <v/>
          </cell>
        </row>
        <row r="2663">
          <cell r="X2663" t="str">
            <v>x</v>
          </cell>
          <cell r="Y2663" t="str">
            <v/>
          </cell>
        </row>
        <row r="2664">
          <cell r="X2664" t="str">
            <v/>
          </cell>
          <cell r="Y2664" t="str">
            <v/>
          </cell>
        </row>
        <row r="2665">
          <cell r="X2665" t="str">
            <v>x</v>
          </cell>
          <cell r="Y2665" t="str">
            <v/>
          </cell>
        </row>
        <row r="2666">
          <cell r="X2666" t="str">
            <v/>
          </cell>
          <cell r="Y2666" t="str">
            <v/>
          </cell>
        </row>
        <row r="2667">
          <cell r="X2667" t="str">
            <v>x</v>
          </cell>
          <cell r="Y2667" t="str">
            <v/>
          </cell>
        </row>
        <row r="2668">
          <cell r="X2668" t="str">
            <v/>
          </cell>
          <cell r="Y2668" t="str">
            <v/>
          </cell>
        </row>
        <row r="2669">
          <cell r="X2669" t="str">
            <v>x</v>
          </cell>
          <cell r="Y2669" t="str">
            <v/>
          </cell>
        </row>
        <row r="2670">
          <cell r="X2670" t="str">
            <v/>
          </cell>
          <cell r="Y2670" t="str">
            <v/>
          </cell>
        </row>
        <row r="2671">
          <cell r="X2671" t="str">
            <v>x</v>
          </cell>
          <cell r="Y2671" t="str">
            <v/>
          </cell>
        </row>
        <row r="2672">
          <cell r="X2672" t="str">
            <v/>
          </cell>
          <cell r="Y2672" t="str">
            <v/>
          </cell>
        </row>
        <row r="2673">
          <cell r="X2673" t="str">
            <v/>
          </cell>
          <cell r="Y2673" t="str">
            <v/>
          </cell>
        </row>
        <row r="2674">
          <cell r="X2674" t="str">
            <v/>
          </cell>
          <cell r="Y2674" t="str">
            <v/>
          </cell>
        </row>
        <row r="2675">
          <cell r="X2675" t="str">
            <v>x</v>
          </cell>
          <cell r="Y2675" t="str">
            <v/>
          </cell>
        </row>
        <row r="2676">
          <cell r="X2676" t="str">
            <v/>
          </cell>
          <cell r="Y2676" t="str">
            <v/>
          </cell>
        </row>
        <row r="2677">
          <cell r="X2677" t="str">
            <v>x</v>
          </cell>
          <cell r="Y2677" t="str">
            <v/>
          </cell>
        </row>
        <row r="2678">
          <cell r="X2678" t="str">
            <v/>
          </cell>
          <cell r="Y2678" t="str">
            <v/>
          </cell>
        </row>
        <row r="2679">
          <cell r="X2679" t="str">
            <v/>
          </cell>
          <cell r="Y2679" t="str">
            <v/>
          </cell>
        </row>
        <row r="2680">
          <cell r="X2680" t="str">
            <v/>
          </cell>
          <cell r="Y2680" t="str">
            <v/>
          </cell>
        </row>
        <row r="2681">
          <cell r="X2681" t="str">
            <v/>
          </cell>
          <cell r="Y2681" t="str">
            <v/>
          </cell>
        </row>
        <row r="2682">
          <cell r="X2682" t="str">
            <v/>
          </cell>
          <cell r="Y2682" t="str">
            <v/>
          </cell>
        </row>
        <row r="2683">
          <cell r="X2683" t="str">
            <v/>
          </cell>
          <cell r="Y2683" t="str">
            <v/>
          </cell>
        </row>
        <row r="2684">
          <cell r="X2684" t="str">
            <v/>
          </cell>
          <cell r="Y2684" t="str">
            <v/>
          </cell>
        </row>
        <row r="2685">
          <cell r="X2685" t="str">
            <v/>
          </cell>
          <cell r="Y2685" t="str">
            <v/>
          </cell>
        </row>
        <row r="2686">
          <cell r="X2686" t="str">
            <v/>
          </cell>
          <cell r="Y2686" t="str">
            <v/>
          </cell>
        </row>
        <row r="2687">
          <cell r="X2687" t="str">
            <v/>
          </cell>
          <cell r="Y2687" t="str">
            <v/>
          </cell>
        </row>
        <row r="2688">
          <cell r="X2688" t="str">
            <v>x</v>
          </cell>
          <cell r="Y2688" t="str">
            <v/>
          </cell>
        </row>
        <row r="2689">
          <cell r="X2689" t="str">
            <v/>
          </cell>
          <cell r="Y2689" t="str">
            <v/>
          </cell>
        </row>
        <row r="2690">
          <cell r="X2690" t="str">
            <v>x</v>
          </cell>
          <cell r="Y2690" t="str">
            <v/>
          </cell>
        </row>
        <row r="2691">
          <cell r="X2691" t="str">
            <v/>
          </cell>
          <cell r="Y2691" t="str">
            <v/>
          </cell>
        </row>
        <row r="2692">
          <cell r="X2692" t="str">
            <v>x</v>
          </cell>
          <cell r="Y2692" t="str">
            <v/>
          </cell>
        </row>
        <row r="2693">
          <cell r="X2693" t="str">
            <v/>
          </cell>
          <cell r="Y2693" t="str">
            <v/>
          </cell>
        </row>
        <row r="2694">
          <cell r="X2694" t="str">
            <v>x</v>
          </cell>
          <cell r="Y2694" t="str">
            <v/>
          </cell>
        </row>
        <row r="2695">
          <cell r="X2695" t="str">
            <v/>
          </cell>
          <cell r="Y2695" t="str">
            <v/>
          </cell>
        </row>
        <row r="2696">
          <cell r="X2696" t="str">
            <v>x</v>
          </cell>
          <cell r="Y2696" t="str">
            <v/>
          </cell>
        </row>
        <row r="2697">
          <cell r="X2697" t="str">
            <v/>
          </cell>
          <cell r="Y2697" t="str">
            <v/>
          </cell>
        </row>
        <row r="2698">
          <cell r="X2698" t="str">
            <v>x</v>
          </cell>
          <cell r="Y2698" t="str">
            <v/>
          </cell>
        </row>
        <row r="2699">
          <cell r="X2699" t="str">
            <v/>
          </cell>
          <cell r="Y2699" t="str">
            <v/>
          </cell>
        </row>
        <row r="2700">
          <cell r="X2700" t="str">
            <v>x</v>
          </cell>
          <cell r="Y2700" t="str">
            <v/>
          </cell>
        </row>
        <row r="2701">
          <cell r="X2701" t="str">
            <v/>
          </cell>
          <cell r="Y2701" t="str">
            <v/>
          </cell>
        </row>
        <row r="2702">
          <cell r="X2702" t="str">
            <v>x</v>
          </cell>
          <cell r="Y2702" t="str">
            <v/>
          </cell>
        </row>
        <row r="2703">
          <cell r="X2703" t="str">
            <v/>
          </cell>
          <cell r="Y2703" t="str">
            <v/>
          </cell>
        </row>
        <row r="2704">
          <cell r="X2704" t="str">
            <v>x</v>
          </cell>
          <cell r="Y2704" t="str">
            <v/>
          </cell>
        </row>
        <row r="2705">
          <cell r="X2705" t="str">
            <v/>
          </cell>
          <cell r="Y2705" t="str">
            <v/>
          </cell>
        </row>
        <row r="2706">
          <cell r="X2706" t="str">
            <v>x</v>
          </cell>
          <cell r="Y2706" t="str">
            <v/>
          </cell>
        </row>
        <row r="2707">
          <cell r="X2707" t="str">
            <v/>
          </cell>
          <cell r="Y2707" t="str">
            <v/>
          </cell>
        </row>
        <row r="2708">
          <cell r="X2708" t="str">
            <v/>
          </cell>
          <cell r="Y2708" t="str">
            <v/>
          </cell>
        </row>
        <row r="2709">
          <cell r="X2709" t="str">
            <v>x</v>
          </cell>
          <cell r="Y2709" t="str">
            <v/>
          </cell>
        </row>
        <row r="2710">
          <cell r="X2710" t="str">
            <v/>
          </cell>
          <cell r="Y2710" t="str">
            <v/>
          </cell>
        </row>
        <row r="2711">
          <cell r="X2711" t="str">
            <v/>
          </cell>
          <cell r="Y2711" t="str">
            <v/>
          </cell>
        </row>
        <row r="2712">
          <cell r="X2712" t="str">
            <v>x</v>
          </cell>
          <cell r="Y2712" t="str">
            <v/>
          </cell>
        </row>
        <row r="2713">
          <cell r="X2713" t="str">
            <v/>
          </cell>
          <cell r="Y2713" t="str">
            <v/>
          </cell>
        </row>
        <row r="2714">
          <cell r="X2714" t="str">
            <v>x</v>
          </cell>
          <cell r="Y2714" t="str">
            <v/>
          </cell>
        </row>
        <row r="2715">
          <cell r="X2715" t="str">
            <v/>
          </cell>
          <cell r="Y2715" t="str">
            <v/>
          </cell>
        </row>
        <row r="2716">
          <cell r="X2716" t="str">
            <v/>
          </cell>
          <cell r="Y2716" t="str">
            <v/>
          </cell>
        </row>
        <row r="2717">
          <cell r="X2717" t="str">
            <v/>
          </cell>
          <cell r="Y2717" t="str">
            <v/>
          </cell>
        </row>
        <row r="2718">
          <cell r="X2718" t="str">
            <v>x</v>
          </cell>
          <cell r="Y2718" t="str">
            <v/>
          </cell>
        </row>
        <row r="2719">
          <cell r="X2719" t="str">
            <v/>
          </cell>
          <cell r="Y2719" t="str">
            <v/>
          </cell>
        </row>
        <row r="2720">
          <cell r="X2720" t="str">
            <v/>
          </cell>
          <cell r="Y2720" t="str">
            <v/>
          </cell>
        </row>
        <row r="2721">
          <cell r="X2721" t="str">
            <v>x</v>
          </cell>
          <cell r="Y2721" t="str">
            <v/>
          </cell>
        </row>
        <row r="2722">
          <cell r="X2722" t="str">
            <v/>
          </cell>
          <cell r="Y2722" t="str">
            <v/>
          </cell>
        </row>
        <row r="2723">
          <cell r="X2723" t="str">
            <v/>
          </cell>
          <cell r="Y2723" t="str">
            <v/>
          </cell>
        </row>
        <row r="2724">
          <cell r="X2724" t="str">
            <v>x</v>
          </cell>
          <cell r="Y2724" t="str">
            <v/>
          </cell>
        </row>
        <row r="2725">
          <cell r="X2725" t="str">
            <v/>
          </cell>
          <cell r="Y2725" t="str">
            <v/>
          </cell>
        </row>
        <row r="2726">
          <cell r="X2726" t="str">
            <v/>
          </cell>
          <cell r="Y2726" t="str">
            <v/>
          </cell>
        </row>
        <row r="2727">
          <cell r="X2727" t="str">
            <v>x</v>
          </cell>
          <cell r="Y2727" t="str">
            <v/>
          </cell>
        </row>
        <row r="2728">
          <cell r="X2728" t="str">
            <v/>
          </cell>
          <cell r="Y2728" t="str">
            <v/>
          </cell>
        </row>
        <row r="2729">
          <cell r="X2729" t="str">
            <v>x</v>
          </cell>
          <cell r="Y2729" t="str">
            <v/>
          </cell>
        </row>
        <row r="2730">
          <cell r="X2730" t="str">
            <v/>
          </cell>
          <cell r="Y2730" t="str">
            <v/>
          </cell>
        </row>
        <row r="2731">
          <cell r="X2731" t="str">
            <v>x</v>
          </cell>
          <cell r="Y2731" t="str">
            <v/>
          </cell>
        </row>
        <row r="2732">
          <cell r="X2732" t="str">
            <v/>
          </cell>
          <cell r="Y2732" t="str">
            <v/>
          </cell>
        </row>
        <row r="2733">
          <cell r="X2733" t="str">
            <v/>
          </cell>
          <cell r="Y2733" t="str">
            <v/>
          </cell>
        </row>
        <row r="2734">
          <cell r="X2734" t="str">
            <v/>
          </cell>
          <cell r="Y2734" t="str">
            <v/>
          </cell>
        </row>
        <row r="2735">
          <cell r="X2735" t="str">
            <v/>
          </cell>
          <cell r="Y2735" t="str">
            <v/>
          </cell>
        </row>
        <row r="2736">
          <cell r="X2736" t="str">
            <v/>
          </cell>
          <cell r="Y2736" t="str">
            <v/>
          </cell>
        </row>
        <row r="2737">
          <cell r="X2737" t="str">
            <v/>
          </cell>
          <cell r="Y2737" t="str">
            <v/>
          </cell>
        </row>
        <row r="2738">
          <cell r="X2738" t="str">
            <v>x</v>
          </cell>
          <cell r="Y2738" t="str">
            <v/>
          </cell>
        </row>
        <row r="2739">
          <cell r="X2739" t="str">
            <v/>
          </cell>
          <cell r="Y2739" t="str">
            <v/>
          </cell>
        </row>
        <row r="2740">
          <cell r="X2740" t="str">
            <v/>
          </cell>
          <cell r="Y2740" t="str">
            <v/>
          </cell>
        </row>
        <row r="2741">
          <cell r="X2741" t="str">
            <v/>
          </cell>
          <cell r="Y2741" t="str">
            <v/>
          </cell>
        </row>
        <row r="2742">
          <cell r="X2742" t="str">
            <v/>
          </cell>
          <cell r="Y2742" t="str">
            <v/>
          </cell>
        </row>
        <row r="2743">
          <cell r="X2743" t="str">
            <v>x</v>
          </cell>
          <cell r="Y2743" t="str">
            <v/>
          </cell>
        </row>
        <row r="2744">
          <cell r="X2744" t="str">
            <v/>
          </cell>
          <cell r="Y2744" t="str">
            <v/>
          </cell>
        </row>
        <row r="2745">
          <cell r="X2745" t="str">
            <v/>
          </cell>
          <cell r="Y2745" t="str">
            <v/>
          </cell>
        </row>
        <row r="2746">
          <cell r="X2746" t="str">
            <v/>
          </cell>
          <cell r="Y2746" t="str">
            <v/>
          </cell>
        </row>
        <row r="2747">
          <cell r="X2747" t="str">
            <v/>
          </cell>
          <cell r="Y2747" t="str">
            <v/>
          </cell>
        </row>
        <row r="2748">
          <cell r="X2748" t="str">
            <v>x</v>
          </cell>
          <cell r="Y2748" t="str">
            <v/>
          </cell>
        </row>
        <row r="2749">
          <cell r="X2749" t="str">
            <v/>
          </cell>
          <cell r="Y2749" t="str">
            <v/>
          </cell>
        </row>
        <row r="2750">
          <cell r="X2750" t="str">
            <v/>
          </cell>
          <cell r="Y2750" t="str">
            <v/>
          </cell>
        </row>
        <row r="2751">
          <cell r="X2751" t="str">
            <v>x</v>
          </cell>
          <cell r="Y2751" t="str">
            <v/>
          </cell>
        </row>
        <row r="2752">
          <cell r="X2752" t="str">
            <v/>
          </cell>
          <cell r="Y2752" t="str">
            <v/>
          </cell>
        </row>
        <row r="2753">
          <cell r="X2753" t="str">
            <v/>
          </cell>
          <cell r="Y2753" t="str">
            <v/>
          </cell>
        </row>
        <row r="2754">
          <cell r="X2754" t="str">
            <v>x</v>
          </cell>
          <cell r="Y2754" t="str">
            <v/>
          </cell>
        </row>
        <row r="2755">
          <cell r="X2755" t="str">
            <v/>
          </cell>
          <cell r="Y2755" t="str">
            <v/>
          </cell>
        </row>
        <row r="2756">
          <cell r="X2756" t="str">
            <v/>
          </cell>
          <cell r="Y2756" t="str">
            <v/>
          </cell>
        </row>
        <row r="2757">
          <cell r="X2757" t="str">
            <v>x</v>
          </cell>
          <cell r="Y2757" t="str">
            <v/>
          </cell>
        </row>
        <row r="2758">
          <cell r="X2758" t="str">
            <v/>
          </cell>
          <cell r="Y2758" t="str">
            <v/>
          </cell>
        </row>
        <row r="2759">
          <cell r="X2759" t="str">
            <v/>
          </cell>
          <cell r="Y2759" t="str">
            <v/>
          </cell>
        </row>
        <row r="2760">
          <cell r="X2760" t="str">
            <v>x</v>
          </cell>
          <cell r="Y2760" t="str">
            <v/>
          </cell>
        </row>
        <row r="2761">
          <cell r="X2761" t="str">
            <v/>
          </cell>
          <cell r="Y2761" t="str">
            <v/>
          </cell>
        </row>
        <row r="2762">
          <cell r="X2762" t="str">
            <v/>
          </cell>
          <cell r="Y2762" t="str">
            <v/>
          </cell>
        </row>
        <row r="2763">
          <cell r="X2763" t="str">
            <v>x</v>
          </cell>
          <cell r="Y2763" t="str">
            <v/>
          </cell>
        </row>
        <row r="2764">
          <cell r="X2764" t="str">
            <v/>
          </cell>
          <cell r="Y2764" t="str">
            <v/>
          </cell>
        </row>
        <row r="2765">
          <cell r="X2765" t="str">
            <v/>
          </cell>
          <cell r="Y2765" t="str">
            <v/>
          </cell>
        </row>
        <row r="2766">
          <cell r="X2766" t="str">
            <v/>
          </cell>
          <cell r="Y2766" t="str">
            <v/>
          </cell>
        </row>
        <row r="2767">
          <cell r="X2767" t="str">
            <v/>
          </cell>
          <cell r="Y2767" t="str">
            <v/>
          </cell>
        </row>
        <row r="2768">
          <cell r="X2768" t="str">
            <v/>
          </cell>
          <cell r="Y2768" t="str">
            <v/>
          </cell>
        </row>
        <row r="2769">
          <cell r="X2769" t="str">
            <v/>
          </cell>
          <cell r="Y2769" t="str">
            <v/>
          </cell>
        </row>
        <row r="2770">
          <cell r="X2770" t="str">
            <v/>
          </cell>
          <cell r="Y2770" t="str">
            <v/>
          </cell>
        </row>
        <row r="2771">
          <cell r="X2771" t="str">
            <v>x</v>
          </cell>
          <cell r="Y2771" t="str">
            <v/>
          </cell>
        </row>
        <row r="2772">
          <cell r="X2772" t="str">
            <v/>
          </cell>
          <cell r="Y2772" t="str">
            <v/>
          </cell>
        </row>
        <row r="2773">
          <cell r="X2773" t="str">
            <v/>
          </cell>
          <cell r="Y2773" t="str">
            <v/>
          </cell>
        </row>
        <row r="2774">
          <cell r="X2774" t="str">
            <v/>
          </cell>
          <cell r="Y2774" t="str">
            <v/>
          </cell>
        </row>
        <row r="2775">
          <cell r="X2775" t="str">
            <v>x</v>
          </cell>
          <cell r="Y2775" t="str">
            <v/>
          </cell>
        </row>
        <row r="2776">
          <cell r="X2776" t="str">
            <v/>
          </cell>
          <cell r="Y2776" t="str">
            <v/>
          </cell>
        </row>
        <row r="2777">
          <cell r="X2777" t="str">
            <v/>
          </cell>
          <cell r="Y2777" t="str">
            <v/>
          </cell>
        </row>
        <row r="2778">
          <cell r="X2778" t="str">
            <v/>
          </cell>
          <cell r="Y2778" t="str">
            <v/>
          </cell>
        </row>
        <row r="2779">
          <cell r="X2779" t="str">
            <v/>
          </cell>
          <cell r="Y2779" t="str">
            <v/>
          </cell>
        </row>
        <row r="2780">
          <cell r="X2780" t="str">
            <v/>
          </cell>
          <cell r="Y2780" t="str">
            <v/>
          </cell>
        </row>
        <row r="2781">
          <cell r="X2781" t="str">
            <v/>
          </cell>
          <cell r="Y2781" t="str">
            <v/>
          </cell>
        </row>
        <row r="2782">
          <cell r="X2782" t="str">
            <v/>
          </cell>
          <cell r="Y2782" t="str">
            <v/>
          </cell>
        </row>
        <row r="2783">
          <cell r="X2783" t="str">
            <v/>
          </cell>
          <cell r="Y2783" t="str">
            <v/>
          </cell>
        </row>
        <row r="2784">
          <cell r="X2784" t="str">
            <v/>
          </cell>
          <cell r="Y2784" t="str">
            <v/>
          </cell>
        </row>
        <row r="2785">
          <cell r="X2785" t="str">
            <v/>
          </cell>
          <cell r="Y2785" t="str">
            <v/>
          </cell>
        </row>
        <row r="2786">
          <cell r="X2786" t="str">
            <v/>
          </cell>
          <cell r="Y2786" t="str">
            <v/>
          </cell>
        </row>
        <row r="2787">
          <cell r="X2787" t="str">
            <v/>
          </cell>
          <cell r="Y2787" t="str">
            <v/>
          </cell>
        </row>
        <row r="2788">
          <cell r="X2788" t="str">
            <v/>
          </cell>
          <cell r="Y2788" t="str">
            <v/>
          </cell>
        </row>
        <row r="2789">
          <cell r="X2789" t="str">
            <v/>
          </cell>
          <cell r="Y2789" t="str">
            <v/>
          </cell>
        </row>
        <row r="2790">
          <cell r="X2790" t="str">
            <v/>
          </cell>
          <cell r="Y2790" t="str">
            <v/>
          </cell>
        </row>
        <row r="2791">
          <cell r="X2791" t="str">
            <v>x</v>
          </cell>
          <cell r="Y2791" t="str">
            <v/>
          </cell>
        </row>
        <row r="2792">
          <cell r="X2792" t="str">
            <v/>
          </cell>
          <cell r="Y2792" t="str">
            <v/>
          </cell>
        </row>
        <row r="2793">
          <cell r="X2793" t="str">
            <v/>
          </cell>
          <cell r="Y2793" t="str">
            <v/>
          </cell>
        </row>
        <row r="2794">
          <cell r="X2794" t="str">
            <v>x</v>
          </cell>
          <cell r="Y2794" t="str">
            <v/>
          </cell>
        </row>
        <row r="2795">
          <cell r="X2795" t="str">
            <v/>
          </cell>
          <cell r="Y2795" t="str">
            <v/>
          </cell>
        </row>
        <row r="2796">
          <cell r="X2796" t="str">
            <v>x</v>
          </cell>
          <cell r="Y2796" t="str">
            <v/>
          </cell>
        </row>
        <row r="2797">
          <cell r="X2797" t="str">
            <v/>
          </cell>
          <cell r="Y2797" t="str">
            <v/>
          </cell>
        </row>
        <row r="2798">
          <cell r="X2798" t="str">
            <v>x</v>
          </cell>
          <cell r="Y2798" t="str">
            <v/>
          </cell>
        </row>
        <row r="2799">
          <cell r="X2799" t="str">
            <v/>
          </cell>
          <cell r="Y2799" t="str">
            <v/>
          </cell>
        </row>
        <row r="2800">
          <cell r="X2800" t="str">
            <v/>
          </cell>
          <cell r="Y2800" t="str">
            <v/>
          </cell>
        </row>
        <row r="2801">
          <cell r="X2801" t="str">
            <v/>
          </cell>
          <cell r="Y2801" t="str">
            <v/>
          </cell>
        </row>
        <row r="2802">
          <cell r="X2802" t="str">
            <v/>
          </cell>
          <cell r="Y2802" t="str">
            <v/>
          </cell>
        </row>
        <row r="2803">
          <cell r="X2803" t="str">
            <v>x</v>
          </cell>
          <cell r="Y2803" t="str">
            <v/>
          </cell>
        </row>
        <row r="2804">
          <cell r="X2804" t="str">
            <v/>
          </cell>
          <cell r="Y2804" t="str">
            <v/>
          </cell>
        </row>
        <row r="2805">
          <cell r="X2805" t="str">
            <v/>
          </cell>
          <cell r="Y2805" t="str">
            <v/>
          </cell>
        </row>
        <row r="2806">
          <cell r="X2806" t="str">
            <v/>
          </cell>
          <cell r="Y2806" t="str">
            <v/>
          </cell>
        </row>
        <row r="2807">
          <cell r="X2807" t="str">
            <v/>
          </cell>
          <cell r="Y2807" t="str">
            <v/>
          </cell>
        </row>
        <row r="2808">
          <cell r="X2808" t="str">
            <v/>
          </cell>
          <cell r="Y2808" t="str">
            <v/>
          </cell>
        </row>
        <row r="2809">
          <cell r="X2809" t="str">
            <v/>
          </cell>
          <cell r="Y2809" t="str">
            <v/>
          </cell>
        </row>
        <row r="2810">
          <cell r="X2810" t="str">
            <v>x</v>
          </cell>
          <cell r="Y2810" t="str">
            <v/>
          </cell>
        </row>
        <row r="2811">
          <cell r="X2811" t="str">
            <v/>
          </cell>
          <cell r="Y2811" t="str">
            <v/>
          </cell>
        </row>
        <row r="2812">
          <cell r="X2812" t="str">
            <v>x</v>
          </cell>
          <cell r="Y2812" t="str">
            <v/>
          </cell>
        </row>
        <row r="2813">
          <cell r="X2813" t="str">
            <v/>
          </cell>
          <cell r="Y2813" t="str">
            <v/>
          </cell>
        </row>
        <row r="2814">
          <cell r="X2814" t="str">
            <v/>
          </cell>
          <cell r="Y2814" t="str">
            <v/>
          </cell>
        </row>
        <row r="2815">
          <cell r="X2815" t="str">
            <v/>
          </cell>
          <cell r="Y2815" t="str">
            <v/>
          </cell>
        </row>
        <row r="2816">
          <cell r="X2816" t="str">
            <v/>
          </cell>
          <cell r="Y2816" t="str">
            <v/>
          </cell>
        </row>
        <row r="2817">
          <cell r="X2817" t="str">
            <v/>
          </cell>
          <cell r="Y2817" t="str">
            <v/>
          </cell>
        </row>
        <row r="2818">
          <cell r="X2818" t="str">
            <v/>
          </cell>
          <cell r="Y2818" t="str">
            <v/>
          </cell>
        </row>
        <row r="2819">
          <cell r="X2819" t="str">
            <v>x</v>
          </cell>
          <cell r="Y2819" t="str">
            <v/>
          </cell>
        </row>
        <row r="2820">
          <cell r="X2820" t="str">
            <v/>
          </cell>
          <cell r="Y2820" t="str">
            <v/>
          </cell>
        </row>
        <row r="2821">
          <cell r="X2821" t="str">
            <v/>
          </cell>
          <cell r="Y2821" t="str">
            <v/>
          </cell>
        </row>
        <row r="2822">
          <cell r="X2822" t="str">
            <v>x</v>
          </cell>
          <cell r="Y2822" t="str">
            <v/>
          </cell>
        </row>
        <row r="2823">
          <cell r="X2823" t="str">
            <v/>
          </cell>
          <cell r="Y2823" t="str">
            <v/>
          </cell>
        </row>
        <row r="2824">
          <cell r="X2824" t="str">
            <v>x</v>
          </cell>
          <cell r="Y2824" t="str">
            <v/>
          </cell>
        </row>
        <row r="2825">
          <cell r="X2825" t="str">
            <v/>
          </cell>
          <cell r="Y2825" t="str">
            <v/>
          </cell>
        </row>
        <row r="2826">
          <cell r="X2826" t="str">
            <v/>
          </cell>
          <cell r="Y2826" t="str">
            <v/>
          </cell>
        </row>
        <row r="2827">
          <cell r="X2827" t="str">
            <v/>
          </cell>
          <cell r="Y2827" t="str">
            <v/>
          </cell>
        </row>
        <row r="2828">
          <cell r="X2828" t="str">
            <v/>
          </cell>
          <cell r="Y2828" t="str">
            <v/>
          </cell>
        </row>
        <row r="2829">
          <cell r="X2829" t="str">
            <v/>
          </cell>
          <cell r="Y2829" t="str">
            <v/>
          </cell>
        </row>
        <row r="2830">
          <cell r="X2830" t="str">
            <v>x</v>
          </cell>
          <cell r="Y2830" t="str">
            <v/>
          </cell>
        </row>
        <row r="2831">
          <cell r="X2831" t="str">
            <v/>
          </cell>
          <cell r="Y2831" t="str">
            <v/>
          </cell>
        </row>
        <row r="2832">
          <cell r="X2832" t="str">
            <v/>
          </cell>
          <cell r="Y2832" t="str">
            <v/>
          </cell>
        </row>
        <row r="2833">
          <cell r="X2833" t="str">
            <v>x</v>
          </cell>
          <cell r="Y2833" t="str">
            <v/>
          </cell>
        </row>
        <row r="2834">
          <cell r="X2834" t="str">
            <v/>
          </cell>
          <cell r="Y2834" t="str">
            <v/>
          </cell>
        </row>
        <row r="2835">
          <cell r="X2835" t="str">
            <v/>
          </cell>
          <cell r="Y2835" t="str">
            <v/>
          </cell>
        </row>
        <row r="2836">
          <cell r="X2836" t="str">
            <v>x</v>
          </cell>
          <cell r="Y2836" t="str">
            <v/>
          </cell>
        </row>
        <row r="2837">
          <cell r="X2837" t="str">
            <v/>
          </cell>
          <cell r="Y2837" t="str">
            <v/>
          </cell>
        </row>
        <row r="2838">
          <cell r="X2838" t="str">
            <v/>
          </cell>
          <cell r="Y2838" t="str">
            <v/>
          </cell>
        </row>
        <row r="2839">
          <cell r="X2839" t="str">
            <v>x</v>
          </cell>
          <cell r="Y2839" t="str">
            <v/>
          </cell>
        </row>
        <row r="2840">
          <cell r="X2840" t="str">
            <v/>
          </cell>
          <cell r="Y2840" t="str">
            <v/>
          </cell>
        </row>
        <row r="2841">
          <cell r="X2841" t="str">
            <v>x</v>
          </cell>
          <cell r="Y2841" t="str">
            <v/>
          </cell>
        </row>
        <row r="2842">
          <cell r="X2842" t="str">
            <v/>
          </cell>
          <cell r="Y2842" t="str">
            <v/>
          </cell>
        </row>
        <row r="2843">
          <cell r="X2843" t="str">
            <v/>
          </cell>
          <cell r="Y2843" t="str">
            <v/>
          </cell>
        </row>
        <row r="2844">
          <cell r="X2844" t="str">
            <v/>
          </cell>
          <cell r="Y2844" t="str">
            <v/>
          </cell>
        </row>
        <row r="2845">
          <cell r="X2845" t="str">
            <v/>
          </cell>
          <cell r="Y2845" t="str">
            <v/>
          </cell>
        </row>
        <row r="2846">
          <cell r="X2846" t="str">
            <v/>
          </cell>
          <cell r="Y2846" t="str">
            <v/>
          </cell>
        </row>
        <row r="2847">
          <cell r="X2847" t="str">
            <v/>
          </cell>
          <cell r="Y2847" t="str">
            <v/>
          </cell>
        </row>
        <row r="2848">
          <cell r="X2848" t="str">
            <v/>
          </cell>
          <cell r="Y2848" t="str">
            <v/>
          </cell>
        </row>
        <row r="2849">
          <cell r="X2849" t="str">
            <v>x</v>
          </cell>
          <cell r="Y2849" t="str">
            <v/>
          </cell>
        </row>
        <row r="2850">
          <cell r="X2850" t="str">
            <v/>
          </cell>
          <cell r="Y2850" t="str">
            <v/>
          </cell>
        </row>
        <row r="2851">
          <cell r="X2851" t="str">
            <v/>
          </cell>
          <cell r="Y2851" t="str">
            <v/>
          </cell>
        </row>
        <row r="2852">
          <cell r="X2852" t="str">
            <v/>
          </cell>
          <cell r="Y2852" t="str">
            <v/>
          </cell>
        </row>
        <row r="2853">
          <cell r="X2853" t="str">
            <v/>
          </cell>
          <cell r="Y2853" t="str">
            <v/>
          </cell>
        </row>
        <row r="2854">
          <cell r="X2854" t="str">
            <v/>
          </cell>
          <cell r="Y2854" t="str">
            <v/>
          </cell>
        </row>
        <row r="2855">
          <cell r="X2855" t="str">
            <v/>
          </cell>
          <cell r="Y2855" t="str">
            <v/>
          </cell>
        </row>
        <row r="2856">
          <cell r="X2856" t="str">
            <v/>
          </cell>
          <cell r="Y2856" t="str">
            <v/>
          </cell>
        </row>
        <row r="2857">
          <cell r="X2857" t="str">
            <v/>
          </cell>
          <cell r="Y2857" t="str">
            <v/>
          </cell>
        </row>
        <row r="2858">
          <cell r="X2858" t="str">
            <v/>
          </cell>
          <cell r="Y2858" t="str">
            <v/>
          </cell>
        </row>
        <row r="2859">
          <cell r="X2859" t="str">
            <v/>
          </cell>
          <cell r="Y2859" t="str">
            <v/>
          </cell>
        </row>
        <row r="2860">
          <cell r="X2860" t="str">
            <v/>
          </cell>
          <cell r="Y2860" t="str">
            <v/>
          </cell>
        </row>
        <row r="2861">
          <cell r="X2861" t="str">
            <v/>
          </cell>
          <cell r="Y2861" t="str">
            <v/>
          </cell>
        </row>
        <row r="2862">
          <cell r="X2862" t="str">
            <v/>
          </cell>
          <cell r="Y2862" t="str">
            <v/>
          </cell>
        </row>
        <row r="2863">
          <cell r="X2863" t="str">
            <v/>
          </cell>
          <cell r="Y2863" t="str">
            <v/>
          </cell>
        </row>
        <row r="2864">
          <cell r="X2864" t="str">
            <v>x</v>
          </cell>
          <cell r="Y2864" t="str">
            <v/>
          </cell>
        </row>
        <row r="2865">
          <cell r="X2865" t="str">
            <v/>
          </cell>
          <cell r="Y2865" t="str">
            <v/>
          </cell>
        </row>
        <row r="2866">
          <cell r="X2866" t="str">
            <v/>
          </cell>
          <cell r="Y2866" t="str">
            <v/>
          </cell>
        </row>
        <row r="2867">
          <cell r="X2867" t="str">
            <v>x</v>
          </cell>
          <cell r="Y2867" t="str">
            <v/>
          </cell>
        </row>
        <row r="2868">
          <cell r="X2868" t="str">
            <v/>
          </cell>
          <cell r="Y2868" t="str">
            <v/>
          </cell>
        </row>
        <row r="2869">
          <cell r="X2869" t="str">
            <v/>
          </cell>
          <cell r="Y2869" t="str">
            <v/>
          </cell>
        </row>
        <row r="2870">
          <cell r="X2870" t="str">
            <v>x</v>
          </cell>
          <cell r="Y2870" t="str">
            <v/>
          </cell>
        </row>
        <row r="2871">
          <cell r="X2871" t="str">
            <v/>
          </cell>
          <cell r="Y2871" t="str">
            <v/>
          </cell>
        </row>
        <row r="2872">
          <cell r="X2872" t="str">
            <v>x</v>
          </cell>
          <cell r="Y2872" t="str">
            <v/>
          </cell>
        </row>
        <row r="2873">
          <cell r="X2873" t="str">
            <v/>
          </cell>
          <cell r="Y2873" t="str">
            <v/>
          </cell>
        </row>
        <row r="2874">
          <cell r="X2874" t="str">
            <v>x</v>
          </cell>
          <cell r="Y2874" t="str">
            <v/>
          </cell>
        </row>
        <row r="2875">
          <cell r="X2875" t="str">
            <v/>
          </cell>
          <cell r="Y2875" t="str">
            <v/>
          </cell>
        </row>
        <row r="2876">
          <cell r="X2876" t="str">
            <v/>
          </cell>
          <cell r="Y2876" t="str">
            <v/>
          </cell>
        </row>
        <row r="2877">
          <cell r="X2877" t="str">
            <v/>
          </cell>
          <cell r="Y2877" t="str">
            <v/>
          </cell>
        </row>
        <row r="2878">
          <cell r="X2878" t="str">
            <v/>
          </cell>
          <cell r="Y2878" t="str">
            <v/>
          </cell>
        </row>
        <row r="2879">
          <cell r="X2879" t="str">
            <v/>
          </cell>
          <cell r="Y2879" t="str">
            <v/>
          </cell>
        </row>
        <row r="2880">
          <cell r="X2880" t="str">
            <v/>
          </cell>
          <cell r="Y2880" t="str">
            <v/>
          </cell>
        </row>
        <row r="2881">
          <cell r="X2881" t="str">
            <v/>
          </cell>
          <cell r="Y2881" t="str">
            <v/>
          </cell>
        </row>
        <row r="2882">
          <cell r="X2882" t="str">
            <v>x</v>
          </cell>
          <cell r="Y2882" t="str">
            <v/>
          </cell>
        </row>
        <row r="2883">
          <cell r="X2883" t="str">
            <v/>
          </cell>
          <cell r="Y2883" t="str">
            <v/>
          </cell>
        </row>
        <row r="2884">
          <cell r="X2884" t="str">
            <v>x</v>
          </cell>
          <cell r="Y2884" t="str">
            <v/>
          </cell>
        </row>
        <row r="2885">
          <cell r="X2885" t="str">
            <v/>
          </cell>
          <cell r="Y2885" t="str">
            <v/>
          </cell>
        </row>
        <row r="2886">
          <cell r="X2886" t="str">
            <v>x</v>
          </cell>
          <cell r="Y2886" t="str">
            <v/>
          </cell>
        </row>
        <row r="2887">
          <cell r="X2887" t="str">
            <v/>
          </cell>
          <cell r="Y2887" t="str">
            <v/>
          </cell>
        </row>
        <row r="2888">
          <cell r="X2888" t="str">
            <v>x</v>
          </cell>
          <cell r="Y2888" t="str">
            <v/>
          </cell>
        </row>
        <row r="2889">
          <cell r="X2889" t="str">
            <v/>
          </cell>
          <cell r="Y2889" t="str">
            <v/>
          </cell>
        </row>
        <row r="2890">
          <cell r="X2890" t="str">
            <v>x</v>
          </cell>
          <cell r="Y2890" t="str">
            <v/>
          </cell>
        </row>
        <row r="2891">
          <cell r="X2891" t="str">
            <v/>
          </cell>
          <cell r="Y2891" t="str">
            <v/>
          </cell>
        </row>
        <row r="2892">
          <cell r="X2892" t="str">
            <v/>
          </cell>
          <cell r="Y2892" t="str">
            <v/>
          </cell>
        </row>
        <row r="2893">
          <cell r="X2893" t="str">
            <v/>
          </cell>
          <cell r="Y2893" t="str">
            <v/>
          </cell>
        </row>
        <row r="2894">
          <cell r="X2894" t="str">
            <v>x</v>
          </cell>
          <cell r="Y2894" t="str">
            <v/>
          </cell>
        </row>
        <row r="2895">
          <cell r="X2895" t="str">
            <v/>
          </cell>
          <cell r="Y2895" t="str">
            <v/>
          </cell>
        </row>
        <row r="2896">
          <cell r="X2896" t="str">
            <v>x</v>
          </cell>
          <cell r="Y2896" t="str">
            <v/>
          </cell>
        </row>
        <row r="2897">
          <cell r="X2897" t="str">
            <v/>
          </cell>
          <cell r="Y2897" t="str">
            <v/>
          </cell>
        </row>
        <row r="2898">
          <cell r="X2898" t="str">
            <v>x</v>
          </cell>
          <cell r="Y2898" t="str">
            <v/>
          </cell>
        </row>
        <row r="2899">
          <cell r="X2899" t="str">
            <v/>
          </cell>
          <cell r="Y2899" t="str">
            <v/>
          </cell>
        </row>
        <row r="2900">
          <cell r="X2900" t="str">
            <v/>
          </cell>
          <cell r="Y2900" t="str">
            <v/>
          </cell>
        </row>
        <row r="2901">
          <cell r="X2901" t="str">
            <v>x</v>
          </cell>
          <cell r="Y2901" t="str">
            <v/>
          </cell>
        </row>
        <row r="2902">
          <cell r="X2902" t="str">
            <v/>
          </cell>
          <cell r="Y2902" t="str">
            <v/>
          </cell>
        </row>
        <row r="2903">
          <cell r="X2903" t="str">
            <v>x</v>
          </cell>
          <cell r="Y2903" t="str">
            <v/>
          </cell>
        </row>
        <row r="2904">
          <cell r="X2904" t="str">
            <v/>
          </cell>
          <cell r="Y2904" t="str">
            <v/>
          </cell>
        </row>
        <row r="2905">
          <cell r="X2905" t="str">
            <v/>
          </cell>
          <cell r="Y2905" t="str">
            <v/>
          </cell>
        </row>
        <row r="2906">
          <cell r="X2906" t="str">
            <v>x</v>
          </cell>
          <cell r="Y2906" t="str">
            <v/>
          </cell>
        </row>
        <row r="2907">
          <cell r="X2907" t="str">
            <v/>
          </cell>
          <cell r="Y2907" t="str">
            <v/>
          </cell>
        </row>
        <row r="2908">
          <cell r="X2908" t="str">
            <v>x</v>
          </cell>
          <cell r="Y2908" t="str">
            <v/>
          </cell>
        </row>
        <row r="2909">
          <cell r="X2909" t="str">
            <v/>
          </cell>
          <cell r="Y2909" t="str">
            <v/>
          </cell>
        </row>
        <row r="2910">
          <cell r="X2910" t="str">
            <v>x</v>
          </cell>
          <cell r="Y2910" t="str">
            <v/>
          </cell>
        </row>
        <row r="2911">
          <cell r="X2911" t="str">
            <v/>
          </cell>
          <cell r="Y2911" t="str">
            <v/>
          </cell>
        </row>
        <row r="2912">
          <cell r="X2912" t="str">
            <v/>
          </cell>
          <cell r="Y2912" t="str">
            <v/>
          </cell>
        </row>
        <row r="2913">
          <cell r="X2913" t="str">
            <v/>
          </cell>
          <cell r="Y2913" t="str">
            <v/>
          </cell>
        </row>
        <row r="2914">
          <cell r="X2914" t="str">
            <v/>
          </cell>
          <cell r="Y2914" t="str">
            <v/>
          </cell>
        </row>
        <row r="2915">
          <cell r="X2915" t="str">
            <v>x</v>
          </cell>
          <cell r="Y2915" t="str">
            <v/>
          </cell>
        </row>
        <row r="2916">
          <cell r="X2916" t="str">
            <v/>
          </cell>
          <cell r="Y2916" t="str">
            <v/>
          </cell>
        </row>
        <row r="2917">
          <cell r="X2917" t="str">
            <v>x</v>
          </cell>
          <cell r="Y2917" t="str">
            <v/>
          </cell>
        </row>
        <row r="2918">
          <cell r="X2918" t="str">
            <v/>
          </cell>
          <cell r="Y2918" t="str">
            <v/>
          </cell>
        </row>
        <row r="2919">
          <cell r="X2919" t="str">
            <v/>
          </cell>
          <cell r="Y2919" t="str">
            <v/>
          </cell>
        </row>
        <row r="2920">
          <cell r="X2920" t="str">
            <v>x</v>
          </cell>
          <cell r="Y2920" t="str">
            <v/>
          </cell>
        </row>
        <row r="2921">
          <cell r="X2921" t="str">
            <v/>
          </cell>
          <cell r="Y2921" t="str">
            <v/>
          </cell>
        </row>
        <row r="2922">
          <cell r="X2922" t="str">
            <v/>
          </cell>
          <cell r="Y2922" t="str">
            <v/>
          </cell>
        </row>
        <row r="2923">
          <cell r="X2923" t="str">
            <v/>
          </cell>
          <cell r="Y2923" t="str">
            <v/>
          </cell>
        </row>
        <row r="2924">
          <cell r="X2924" t="str">
            <v>x</v>
          </cell>
          <cell r="Y2924" t="str">
            <v/>
          </cell>
        </row>
        <row r="2925">
          <cell r="X2925" t="str">
            <v/>
          </cell>
          <cell r="Y2925" t="str">
            <v/>
          </cell>
        </row>
        <row r="2926">
          <cell r="X2926" t="str">
            <v/>
          </cell>
          <cell r="Y2926" t="str">
            <v/>
          </cell>
        </row>
        <row r="2927">
          <cell r="X2927" t="str">
            <v>x</v>
          </cell>
          <cell r="Y2927" t="str">
            <v/>
          </cell>
        </row>
        <row r="2928">
          <cell r="X2928" t="str">
            <v/>
          </cell>
          <cell r="Y2928" t="str">
            <v/>
          </cell>
        </row>
        <row r="2929">
          <cell r="X2929" t="str">
            <v/>
          </cell>
          <cell r="Y2929" t="str">
            <v/>
          </cell>
        </row>
        <row r="2930">
          <cell r="X2930" t="str">
            <v>x</v>
          </cell>
          <cell r="Y2930" t="str">
            <v/>
          </cell>
        </row>
        <row r="2931">
          <cell r="X2931" t="str">
            <v/>
          </cell>
          <cell r="Y2931" t="str">
            <v/>
          </cell>
        </row>
        <row r="2932">
          <cell r="X2932" t="str">
            <v/>
          </cell>
          <cell r="Y2932" t="str">
            <v/>
          </cell>
        </row>
        <row r="2933">
          <cell r="X2933" t="str">
            <v/>
          </cell>
          <cell r="Y2933" t="str">
            <v/>
          </cell>
        </row>
        <row r="2934">
          <cell r="X2934" t="str">
            <v/>
          </cell>
          <cell r="Y2934" t="str">
            <v/>
          </cell>
        </row>
        <row r="2935">
          <cell r="X2935" t="str">
            <v>x</v>
          </cell>
          <cell r="Y2935" t="str">
            <v/>
          </cell>
        </row>
        <row r="2936">
          <cell r="X2936" t="str">
            <v/>
          </cell>
          <cell r="Y2936" t="str">
            <v/>
          </cell>
        </row>
        <row r="2937">
          <cell r="X2937" t="str">
            <v/>
          </cell>
          <cell r="Y2937" t="str">
            <v/>
          </cell>
        </row>
        <row r="2938">
          <cell r="X2938" t="str">
            <v/>
          </cell>
          <cell r="Y2938" t="str">
            <v/>
          </cell>
        </row>
        <row r="2939">
          <cell r="X2939" t="str">
            <v>x</v>
          </cell>
          <cell r="Y2939" t="str">
            <v/>
          </cell>
        </row>
        <row r="2940">
          <cell r="X2940" t="str">
            <v/>
          </cell>
          <cell r="Y2940" t="str">
            <v/>
          </cell>
        </row>
        <row r="2941">
          <cell r="X2941" t="str">
            <v>x</v>
          </cell>
          <cell r="Y2941" t="str">
            <v/>
          </cell>
        </row>
        <row r="2942">
          <cell r="X2942" t="str">
            <v/>
          </cell>
          <cell r="Y2942" t="str">
            <v/>
          </cell>
        </row>
        <row r="2943">
          <cell r="X2943" t="str">
            <v/>
          </cell>
          <cell r="Y2943" t="str">
            <v/>
          </cell>
        </row>
        <row r="2944">
          <cell r="X2944" t="str">
            <v>x</v>
          </cell>
          <cell r="Y2944" t="str">
            <v/>
          </cell>
        </row>
        <row r="2945">
          <cell r="X2945" t="str">
            <v/>
          </cell>
          <cell r="Y2945" t="str">
            <v/>
          </cell>
        </row>
        <row r="2946">
          <cell r="X2946" t="str">
            <v/>
          </cell>
          <cell r="Y2946" t="str">
            <v/>
          </cell>
        </row>
        <row r="2947">
          <cell r="X2947" t="str">
            <v/>
          </cell>
          <cell r="Y2947" t="str">
            <v/>
          </cell>
        </row>
        <row r="2948">
          <cell r="X2948" t="str">
            <v/>
          </cell>
          <cell r="Y2948" t="str">
            <v/>
          </cell>
        </row>
        <row r="2949">
          <cell r="X2949" t="str">
            <v/>
          </cell>
          <cell r="Y2949" t="str">
            <v/>
          </cell>
        </row>
        <row r="2950">
          <cell r="X2950" t="str">
            <v/>
          </cell>
          <cell r="Y2950" t="str">
            <v/>
          </cell>
        </row>
        <row r="2951">
          <cell r="X2951" t="str">
            <v/>
          </cell>
          <cell r="Y2951" t="str">
            <v/>
          </cell>
        </row>
        <row r="2952">
          <cell r="X2952" t="str">
            <v/>
          </cell>
          <cell r="Y2952" t="str">
            <v/>
          </cell>
        </row>
        <row r="2953">
          <cell r="X2953" t="str">
            <v/>
          </cell>
          <cell r="Y2953" t="str">
            <v/>
          </cell>
        </row>
        <row r="2954">
          <cell r="X2954" t="str">
            <v/>
          </cell>
          <cell r="Y2954" t="str">
            <v/>
          </cell>
        </row>
        <row r="2955">
          <cell r="X2955" t="str">
            <v>x</v>
          </cell>
          <cell r="Y2955" t="str">
            <v/>
          </cell>
        </row>
        <row r="2956">
          <cell r="X2956" t="str">
            <v/>
          </cell>
          <cell r="Y2956" t="str">
            <v/>
          </cell>
        </row>
        <row r="2957">
          <cell r="X2957" t="str">
            <v/>
          </cell>
          <cell r="Y2957" t="str">
            <v/>
          </cell>
        </row>
        <row r="2958">
          <cell r="X2958" t="str">
            <v/>
          </cell>
          <cell r="Y2958" t="str">
            <v/>
          </cell>
        </row>
        <row r="2959">
          <cell r="X2959" t="str">
            <v>x</v>
          </cell>
          <cell r="Y2959" t="str">
            <v/>
          </cell>
        </row>
        <row r="2960">
          <cell r="X2960" t="str">
            <v/>
          </cell>
          <cell r="Y2960" t="str">
            <v/>
          </cell>
        </row>
        <row r="2961">
          <cell r="X2961" t="str">
            <v/>
          </cell>
          <cell r="Y2961" t="str">
            <v/>
          </cell>
        </row>
        <row r="2962">
          <cell r="X2962" t="str">
            <v>x</v>
          </cell>
          <cell r="Y2962" t="str">
            <v/>
          </cell>
        </row>
        <row r="2963">
          <cell r="X2963" t="str">
            <v/>
          </cell>
          <cell r="Y2963" t="str">
            <v/>
          </cell>
        </row>
        <row r="2964">
          <cell r="X2964" t="str">
            <v>x</v>
          </cell>
          <cell r="Y2964" t="str">
            <v/>
          </cell>
        </row>
        <row r="2965">
          <cell r="X2965" t="str">
            <v/>
          </cell>
          <cell r="Y2965" t="str">
            <v/>
          </cell>
        </row>
        <row r="2966">
          <cell r="X2966" t="str">
            <v>x</v>
          </cell>
          <cell r="Y2966" t="str">
            <v/>
          </cell>
        </row>
        <row r="2967">
          <cell r="X2967" t="str">
            <v/>
          </cell>
          <cell r="Y2967" t="str">
            <v/>
          </cell>
        </row>
        <row r="2968">
          <cell r="X2968" t="str">
            <v/>
          </cell>
          <cell r="Y2968" t="str">
            <v/>
          </cell>
        </row>
        <row r="2969">
          <cell r="X2969" t="str">
            <v/>
          </cell>
          <cell r="Y2969" t="str">
            <v/>
          </cell>
        </row>
        <row r="2970">
          <cell r="X2970" t="str">
            <v/>
          </cell>
          <cell r="Y2970" t="str">
            <v/>
          </cell>
        </row>
        <row r="2971">
          <cell r="X2971" t="str">
            <v>x</v>
          </cell>
          <cell r="Y2971" t="str">
            <v/>
          </cell>
        </row>
        <row r="2972">
          <cell r="X2972" t="str">
            <v/>
          </cell>
          <cell r="Y2972" t="str">
            <v/>
          </cell>
        </row>
        <row r="2973">
          <cell r="X2973" t="str">
            <v/>
          </cell>
          <cell r="Y2973" t="str">
            <v/>
          </cell>
        </row>
        <row r="2974">
          <cell r="X2974" t="str">
            <v>x</v>
          </cell>
          <cell r="Y2974" t="str">
            <v/>
          </cell>
        </row>
        <row r="2975">
          <cell r="X2975" t="str">
            <v/>
          </cell>
          <cell r="Y2975" t="str">
            <v/>
          </cell>
        </row>
        <row r="2976">
          <cell r="X2976" t="str">
            <v/>
          </cell>
          <cell r="Y2976" t="str">
            <v/>
          </cell>
        </row>
        <row r="2977">
          <cell r="X2977" t="str">
            <v>x</v>
          </cell>
          <cell r="Y2977" t="str">
            <v/>
          </cell>
        </row>
        <row r="2978">
          <cell r="X2978" t="str">
            <v/>
          </cell>
          <cell r="Y2978" t="str">
            <v/>
          </cell>
        </row>
        <row r="2979">
          <cell r="X2979" t="str">
            <v/>
          </cell>
          <cell r="Y2979" t="str">
            <v/>
          </cell>
        </row>
        <row r="2980">
          <cell r="X2980" t="str">
            <v>x</v>
          </cell>
          <cell r="Y2980" t="str">
            <v/>
          </cell>
        </row>
        <row r="2981">
          <cell r="X2981" t="str">
            <v/>
          </cell>
          <cell r="Y2981" t="str">
            <v/>
          </cell>
        </row>
        <row r="2982">
          <cell r="X2982" t="str">
            <v/>
          </cell>
          <cell r="Y2982" t="str">
            <v/>
          </cell>
        </row>
        <row r="2983">
          <cell r="X2983" t="str">
            <v/>
          </cell>
          <cell r="Y2983" t="str">
            <v/>
          </cell>
        </row>
        <row r="2984">
          <cell r="X2984" t="str">
            <v/>
          </cell>
          <cell r="Y2984" t="str">
            <v/>
          </cell>
        </row>
        <row r="2985">
          <cell r="X2985" t="str">
            <v>x</v>
          </cell>
          <cell r="Y2985" t="str">
            <v/>
          </cell>
        </row>
        <row r="2986">
          <cell r="X2986" t="str">
            <v/>
          </cell>
          <cell r="Y2986" t="str">
            <v/>
          </cell>
        </row>
        <row r="2987">
          <cell r="X2987" t="str">
            <v/>
          </cell>
          <cell r="Y2987" t="str">
            <v/>
          </cell>
        </row>
        <row r="2988">
          <cell r="X2988" t="str">
            <v/>
          </cell>
          <cell r="Y2988" t="str">
            <v/>
          </cell>
        </row>
        <row r="2989">
          <cell r="X2989" t="str">
            <v/>
          </cell>
          <cell r="Y2989" t="str">
            <v/>
          </cell>
        </row>
        <row r="2990">
          <cell r="X2990" t="str">
            <v/>
          </cell>
          <cell r="Y2990" t="str">
            <v/>
          </cell>
        </row>
        <row r="2991">
          <cell r="X2991" t="str">
            <v>x</v>
          </cell>
          <cell r="Y2991" t="str">
            <v/>
          </cell>
        </row>
        <row r="2992">
          <cell r="X2992" t="str">
            <v/>
          </cell>
          <cell r="Y2992" t="str">
            <v/>
          </cell>
        </row>
        <row r="2993">
          <cell r="X2993" t="str">
            <v/>
          </cell>
          <cell r="Y2993" t="str">
            <v/>
          </cell>
        </row>
        <row r="2994">
          <cell r="X2994" t="str">
            <v>x</v>
          </cell>
          <cell r="Y2994" t="str">
            <v/>
          </cell>
        </row>
        <row r="2995">
          <cell r="X2995" t="str">
            <v/>
          </cell>
          <cell r="Y2995" t="str">
            <v/>
          </cell>
        </row>
        <row r="2996">
          <cell r="X2996" t="str">
            <v/>
          </cell>
          <cell r="Y2996" t="str">
            <v/>
          </cell>
        </row>
        <row r="2997">
          <cell r="X2997" t="str">
            <v>x</v>
          </cell>
          <cell r="Y2997" t="str">
            <v/>
          </cell>
        </row>
        <row r="2998">
          <cell r="X2998" t="str">
            <v/>
          </cell>
          <cell r="Y2998" t="str">
            <v/>
          </cell>
        </row>
        <row r="2999">
          <cell r="X2999" t="str">
            <v/>
          </cell>
          <cell r="Y2999" t="str">
            <v/>
          </cell>
        </row>
        <row r="3000">
          <cell r="X3000" t="str">
            <v>x</v>
          </cell>
          <cell r="Y3000" t="str">
            <v/>
          </cell>
        </row>
        <row r="3001">
          <cell r="X3001" t="str">
            <v/>
          </cell>
          <cell r="Y3001" t="str">
            <v/>
          </cell>
        </row>
        <row r="3002">
          <cell r="X3002" t="str">
            <v/>
          </cell>
          <cell r="Y3002" t="str">
            <v/>
          </cell>
        </row>
        <row r="3003">
          <cell r="X3003" t="str">
            <v>x</v>
          </cell>
          <cell r="Y3003" t="str">
            <v/>
          </cell>
        </row>
        <row r="3004">
          <cell r="X3004" t="str">
            <v/>
          </cell>
          <cell r="Y3004" t="str">
            <v/>
          </cell>
        </row>
        <row r="3005">
          <cell r="X3005" t="str">
            <v>x</v>
          </cell>
          <cell r="Y3005" t="str">
            <v/>
          </cell>
        </row>
        <row r="3006">
          <cell r="X3006" t="str">
            <v/>
          </cell>
          <cell r="Y3006" t="str">
            <v/>
          </cell>
        </row>
        <row r="3007">
          <cell r="X3007" t="str">
            <v/>
          </cell>
          <cell r="Y3007" t="str">
            <v/>
          </cell>
        </row>
        <row r="3008">
          <cell r="X3008" t="str">
            <v/>
          </cell>
          <cell r="Y3008" t="str">
            <v/>
          </cell>
        </row>
        <row r="3009">
          <cell r="X3009" t="str">
            <v/>
          </cell>
          <cell r="Y3009" t="str">
            <v/>
          </cell>
        </row>
        <row r="3010">
          <cell r="X3010" t="str">
            <v/>
          </cell>
          <cell r="Y3010" t="str">
            <v/>
          </cell>
        </row>
        <row r="3011">
          <cell r="X3011" t="str">
            <v>x</v>
          </cell>
          <cell r="Y3011" t="str">
            <v/>
          </cell>
        </row>
        <row r="3012">
          <cell r="X3012" t="str">
            <v/>
          </cell>
          <cell r="Y3012" t="str">
            <v/>
          </cell>
        </row>
        <row r="3013">
          <cell r="X3013" t="str">
            <v/>
          </cell>
          <cell r="Y3013" t="str">
            <v/>
          </cell>
        </row>
        <row r="3014">
          <cell r="X3014" t="str">
            <v/>
          </cell>
          <cell r="Y3014" t="str">
            <v/>
          </cell>
        </row>
        <row r="3015">
          <cell r="X3015" t="str">
            <v>x</v>
          </cell>
          <cell r="Y3015" t="str">
            <v/>
          </cell>
        </row>
        <row r="3016">
          <cell r="X3016" t="str">
            <v/>
          </cell>
          <cell r="Y3016" t="str">
            <v/>
          </cell>
        </row>
        <row r="3017">
          <cell r="X3017" t="str">
            <v/>
          </cell>
          <cell r="Y3017" t="str">
            <v/>
          </cell>
        </row>
        <row r="3018">
          <cell r="X3018" t="str">
            <v>x</v>
          </cell>
          <cell r="Y3018" t="str">
            <v/>
          </cell>
        </row>
        <row r="3019">
          <cell r="X3019" t="str">
            <v/>
          </cell>
          <cell r="Y3019" t="str">
            <v/>
          </cell>
        </row>
        <row r="3020">
          <cell r="X3020" t="str">
            <v>x</v>
          </cell>
          <cell r="Y3020" t="str">
            <v/>
          </cell>
        </row>
        <row r="3021">
          <cell r="X3021" t="str">
            <v/>
          </cell>
          <cell r="Y3021" t="str">
            <v/>
          </cell>
        </row>
        <row r="3022">
          <cell r="X3022" t="str">
            <v>x</v>
          </cell>
          <cell r="Y3022" t="str">
            <v/>
          </cell>
        </row>
        <row r="3023">
          <cell r="X3023" t="str">
            <v/>
          </cell>
          <cell r="Y3023" t="str">
            <v/>
          </cell>
        </row>
        <row r="3024">
          <cell r="X3024" t="str">
            <v/>
          </cell>
          <cell r="Y3024" t="str">
            <v/>
          </cell>
        </row>
        <row r="3025">
          <cell r="X3025" t="str">
            <v>x</v>
          </cell>
          <cell r="Y3025" t="str">
            <v/>
          </cell>
        </row>
        <row r="3026">
          <cell r="X3026" t="str">
            <v/>
          </cell>
          <cell r="Y3026" t="str">
            <v/>
          </cell>
        </row>
        <row r="3027">
          <cell r="X3027" t="str">
            <v/>
          </cell>
          <cell r="Y3027" t="str">
            <v/>
          </cell>
        </row>
        <row r="3028">
          <cell r="X3028" t="str">
            <v/>
          </cell>
          <cell r="Y3028" t="str">
            <v/>
          </cell>
        </row>
        <row r="3029">
          <cell r="X3029" t="str">
            <v/>
          </cell>
          <cell r="Y3029" t="str">
            <v/>
          </cell>
        </row>
        <row r="3030">
          <cell r="X3030" t="str">
            <v/>
          </cell>
          <cell r="Y3030" t="str">
            <v/>
          </cell>
        </row>
        <row r="3031">
          <cell r="X3031" t="str">
            <v/>
          </cell>
          <cell r="Y3031" t="str">
            <v/>
          </cell>
        </row>
        <row r="3032">
          <cell r="X3032" t="str">
            <v/>
          </cell>
          <cell r="Y3032" t="str">
            <v/>
          </cell>
        </row>
        <row r="3033">
          <cell r="X3033" t="str">
            <v/>
          </cell>
          <cell r="Y3033" t="str">
            <v/>
          </cell>
        </row>
        <row r="3034">
          <cell r="X3034" t="str">
            <v/>
          </cell>
          <cell r="Y3034" t="str">
            <v/>
          </cell>
        </row>
        <row r="3035">
          <cell r="X3035" t="str">
            <v/>
          </cell>
          <cell r="Y3035" t="str">
            <v/>
          </cell>
        </row>
        <row r="3036">
          <cell r="X3036" t="str">
            <v>x</v>
          </cell>
          <cell r="Y3036" t="str">
            <v/>
          </cell>
        </row>
        <row r="3037">
          <cell r="X3037" t="str">
            <v/>
          </cell>
          <cell r="Y3037" t="str">
            <v/>
          </cell>
        </row>
        <row r="3038">
          <cell r="X3038" t="str">
            <v/>
          </cell>
          <cell r="Y3038" t="str">
            <v/>
          </cell>
        </row>
        <row r="3039">
          <cell r="X3039" t="str">
            <v/>
          </cell>
          <cell r="Y3039" t="str">
            <v/>
          </cell>
        </row>
        <row r="3040">
          <cell r="X3040" t="str">
            <v>x</v>
          </cell>
          <cell r="Y3040" t="str">
            <v/>
          </cell>
        </row>
        <row r="3041">
          <cell r="X3041" t="str">
            <v/>
          </cell>
          <cell r="Y3041" t="str">
            <v/>
          </cell>
        </row>
        <row r="3042">
          <cell r="X3042" t="str">
            <v/>
          </cell>
          <cell r="Y3042" t="str">
            <v/>
          </cell>
        </row>
        <row r="3043">
          <cell r="X3043" t="str">
            <v/>
          </cell>
          <cell r="Y3043" t="str">
            <v/>
          </cell>
        </row>
        <row r="3044">
          <cell r="X3044" t="str">
            <v/>
          </cell>
          <cell r="Y3044" t="str">
            <v/>
          </cell>
        </row>
        <row r="3045">
          <cell r="X3045" t="str">
            <v/>
          </cell>
          <cell r="Y3045" t="str">
            <v/>
          </cell>
        </row>
        <row r="3046">
          <cell r="X3046" t="str">
            <v/>
          </cell>
          <cell r="Y3046" t="str">
            <v/>
          </cell>
        </row>
        <row r="3047">
          <cell r="X3047" t="str">
            <v>x</v>
          </cell>
          <cell r="Y3047" t="str">
            <v/>
          </cell>
        </row>
        <row r="3048">
          <cell r="X3048" t="str">
            <v/>
          </cell>
          <cell r="Y3048" t="str">
            <v/>
          </cell>
        </row>
        <row r="3049">
          <cell r="X3049" t="str">
            <v>x</v>
          </cell>
          <cell r="Y3049" t="str">
            <v/>
          </cell>
        </row>
        <row r="3050">
          <cell r="X3050" t="str">
            <v/>
          </cell>
          <cell r="Y3050" t="str">
            <v/>
          </cell>
        </row>
        <row r="3051">
          <cell r="X3051" t="str">
            <v/>
          </cell>
          <cell r="Y3051" t="str">
            <v/>
          </cell>
        </row>
        <row r="3052">
          <cell r="X3052" t="str">
            <v>x</v>
          </cell>
          <cell r="Y3052" t="str">
            <v/>
          </cell>
        </row>
        <row r="3053">
          <cell r="X3053" t="str">
            <v/>
          </cell>
          <cell r="Y3053" t="str">
            <v/>
          </cell>
        </row>
        <row r="3054">
          <cell r="X3054" t="str">
            <v/>
          </cell>
          <cell r="Y3054" t="str">
            <v/>
          </cell>
        </row>
        <row r="3055">
          <cell r="X3055" t="str">
            <v/>
          </cell>
          <cell r="Y3055" t="str">
            <v/>
          </cell>
        </row>
        <row r="3056">
          <cell r="X3056" t="str">
            <v>x</v>
          </cell>
          <cell r="Y3056" t="str">
            <v/>
          </cell>
        </row>
        <row r="3057">
          <cell r="X3057" t="str">
            <v/>
          </cell>
          <cell r="Y3057" t="str">
            <v/>
          </cell>
        </row>
        <row r="3058">
          <cell r="X3058" t="str">
            <v/>
          </cell>
          <cell r="Y3058" t="str">
            <v/>
          </cell>
        </row>
        <row r="3059">
          <cell r="X3059" t="str">
            <v/>
          </cell>
          <cell r="Y3059" t="str">
            <v/>
          </cell>
        </row>
        <row r="3060">
          <cell r="X3060" t="str">
            <v/>
          </cell>
          <cell r="Y3060" t="str">
            <v/>
          </cell>
        </row>
        <row r="3061">
          <cell r="X3061" t="str">
            <v/>
          </cell>
          <cell r="Y3061" t="str">
            <v/>
          </cell>
        </row>
        <row r="3062">
          <cell r="X3062" t="str">
            <v/>
          </cell>
          <cell r="Y3062" t="str">
            <v/>
          </cell>
        </row>
        <row r="3063">
          <cell r="X3063" t="str">
            <v/>
          </cell>
          <cell r="Y3063" t="str">
            <v/>
          </cell>
        </row>
        <row r="3064">
          <cell r="X3064" t="str">
            <v/>
          </cell>
          <cell r="Y3064" t="str">
            <v/>
          </cell>
        </row>
        <row r="3065">
          <cell r="X3065" t="str">
            <v/>
          </cell>
          <cell r="Y3065" t="str">
            <v/>
          </cell>
        </row>
        <row r="3066">
          <cell r="X3066" t="str">
            <v/>
          </cell>
          <cell r="Y3066" t="str">
            <v/>
          </cell>
        </row>
        <row r="3067">
          <cell r="X3067" t="str">
            <v/>
          </cell>
          <cell r="Y3067" t="str">
            <v/>
          </cell>
        </row>
        <row r="3068">
          <cell r="X3068" t="str">
            <v/>
          </cell>
          <cell r="Y3068" t="str">
            <v/>
          </cell>
        </row>
        <row r="3069">
          <cell r="X3069" t="str">
            <v/>
          </cell>
          <cell r="Y3069" t="str">
            <v/>
          </cell>
        </row>
        <row r="3070">
          <cell r="X3070" t="str">
            <v>x</v>
          </cell>
          <cell r="Y3070" t="str">
            <v/>
          </cell>
        </row>
        <row r="3071">
          <cell r="X3071" t="str">
            <v/>
          </cell>
          <cell r="Y3071" t="str">
            <v/>
          </cell>
        </row>
        <row r="3072">
          <cell r="X3072" t="str">
            <v>x</v>
          </cell>
          <cell r="Y3072" t="str">
            <v/>
          </cell>
        </row>
        <row r="3073">
          <cell r="X3073" t="str">
            <v/>
          </cell>
          <cell r="Y3073" t="str">
            <v/>
          </cell>
        </row>
        <row r="3074">
          <cell r="X3074" t="str">
            <v/>
          </cell>
          <cell r="Y3074" t="str">
            <v/>
          </cell>
        </row>
        <row r="3075">
          <cell r="X3075" t="str">
            <v>x</v>
          </cell>
          <cell r="Y3075" t="str">
            <v/>
          </cell>
        </row>
        <row r="3076">
          <cell r="X3076" t="str">
            <v/>
          </cell>
          <cell r="Y3076" t="str">
            <v/>
          </cell>
        </row>
        <row r="3077">
          <cell r="X3077" t="str">
            <v>x</v>
          </cell>
          <cell r="Y3077" t="str">
            <v/>
          </cell>
        </row>
        <row r="3078">
          <cell r="X3078" t="str">
            <v/>
          </cell>
          <cell r="Y3078" t="str">
            <v/>
          </cell>
        </row>
        <row r="3079">
          <cell r="X3079" t="str">
            <v>x</v>
          </cell>
          <cell r="Y3079" t="str">
            <v/>
          </cell>
        </row>
        <row r="3080">
          <cell r="X3080" t="str">
            <v/>
          </cell>
          <cell r="Y3080" t="str">
            <v/>
          </cell>
        </row>
        <row r="3081">
          <cell r="X3081" t="str">
            <v>x</v>
          </cell>
          <cell r="Y3081" t="str">
            <v/>
          </cell>
        </row>
        <row r="3082">
          <cell r="X3082" t="str">
            <v/>
          </cell>
          <cell r="Y3082" t="str">
            <v/>
          </cell>
        </row>
        <row r="3083">
          <cell r="X3083" t="str">
            <v/>
          </cell>
          <cell r="Y3083" t="str">
            <v/>
          </cell>
        </row>
        <row r="3084">
          <cell r="X3084" t="str">
            <v>x</v>
          </cell>
          <cell r="Y3084" t="str">
            <v/>
          </cell>
        </row>
        <row r="3085">
          <cell r="X3085" t="str">
            <v/>
          </cell>
          <cell r="Y3085" t="str">
            <v/>
          </cell>
        </row>
        <row r="3086">
          <cell r="X3086" t="str">
            <v>x</v>
          </cell>
          <cell r="Y3086" t="str">
            <v/>
          </cell>
        </row>
        <row r="3087">
          <cell r="X3087" t="str">
            <v/>
          </cell>
          <cell r="Y3087" t="str">
            <v/>
          </cell>
        </row>
        <row r="3088">
          <cell r="X3088" t="str">
            <v>x</v>
          </cell>
          <cell r="Y3088" t="str">
            <v/>
          </cell>
        </row>
        <row r="3089">
          <cell r="X3089" t="str">
            <v/>
          </cell>
          <cell r="Y3089" t="str">
            <v/>
          </cell>
        </row>
        <row r="3090">
          <cell r="X3090" t="str">
            <v>x</v>
          </cell>
          <cell r="Y3090" t="str">
            <v/>
          </cell>
        </row>
        <row r="3091">
          <cell r="X3091" t="str">
            <v/>
          </cell>
          <cell r="Y3091" t="str">
            <v/>
          </cell>
        </row>
        <row r="3092">
          <cell r="X3092" t="str">
            <v/>
          </cell>
          <cell r="Y3092" t="str">
            <v/>
          </cell>
        </row>
        <row r="3093">
          <cell r="X3093" t="str">
            <v>x</v>
          </cell>
          <cell r="Y3093" t="str">
            <v/>
          </cell>
        </row>
        <row r="3094">
          <cell r="X3094" t="str">
            <v/>
          </cell>
          <cell r="Y3094" t="str">
            <v/>
          </cell>
        </row>
        <row r="3095">
          <cell r="X3095" t="str">
            <v/>
          </cell>
          <cell r="Y3095" t="str">
            <v/>
          </cell>
        </row>
        <row r="3096">
          <cell r="X3096" t="str">
            <v>x</v>
          </cell>
          <cell r="Y3096" t="str">
            <v/>
          </cell>
        </row>
        <row r="3097">
          <cell r="X3097" t="str">
            <v/>
          </cell>
          <cell r="Y3097" t="str">
            <v/>
          </cell>
        </row>
        <row r="3098">
          <cell r="X3098" t="str">
            <v/>
          </cell>
          <cell r="Y3098" t="str">
            <v/>
          </cell>
        </row>
        <row r="3099">
          <cell r="X3099" t="str">
            <v/>
          </cell>
          <cell r="Y3099" t="str">
            <v/>
          </cell>
        </row>
        <row r="3100">
          <cell r="X3100" t="str">
            <v>x</v>
          </cell>
          <cell r="Y3100" t="str">
            <v/>
          </cell>
        </row>
        <row r="3101">
          <cell r="X3101" t="str">
            <v/>
          </cell>
          <cell r="Y3101" t="str">
            <v/>
          </cell>
        </row>
        <row r="3102">
          <cell r="X3102" t="str">
            <v>x</v>
          </cell>
          <cell r="Y3102" t="str">
            <v/>
          </cell>
        </row>
        <row r="3103">
          <cell r="X3103" t="str">
            <v/>
          </cell>
          <cell r="Y3103" t="str">
            <v/>
          </cell>
        </row>
        <row r="3104">
          <cell r="X3104" t="str">
            <v/>
          </cell>
          <cell r="Y3104" t="str">
            <v/>
          </cell>
        </row>
        <row r="3105">
          <cell r="X3105" t="str">
            <v>x</v>
          </cell>
          <cell r="Y3105" t="str">
            <v/>
          </cell>
        </row>
        <row r="3106">
          <cell r="X3106" t="str">
            <v/>
          </cell>
          <cell r="Y3106" t="str">
            <v/>
          </cell>
        </row>
        <row r="3107">
          <cell r="X3107" t="str">
            <v/>
          </cell>
          <cell r="Y3107" t="str">
            <v/>
          </cell>
        </row>
        <row r="3108">
          <cell r="X3108" t="str">
            <v>x</v>
          </cell>
          <cell r="Y3108" t="str">
            <v/>
          </cell>
        </row>
        <row r="3109">
          <cell r="X3109" t="str">
            <v/>
          </cell>
          <cell r="Y3109" t="str">
            <v/>
          </cell>
        </row>
        <row r="3110">
          <cell r="X3110" t="str">
            <v/>
          </cell>
          <cell r="Y3110" t="str">
            <v/>
          </cell>
        </row>
        <row r="3111">
          <cell r="X3111" t="str">
            <v>x</v>
          </cell>
          <cell r="Y3111" t="str">
            <v/>
          </cell>
        </row>
        <row r="3112">
          <cell r="X3112" t="str">
            <v/>
          </cell>
          <cell r="Y3112" t="str">
            <v/>
          </cell>
        </row>
        <row r="3113">
          <cell r="X3113" t="str">
            <v/>
          </cell>
          <cell r="Y3113" t="str">
            <v/>
          </cell>
        </row>
        <row r="3114">
          <cell r="X3114" t="str">
            <v>x</v>
          </cell>
          <cell r="Y3114" t="str">
            <v/>
          </cell>
        </row>
        <row r="3115">
          <cell r="X3115" t="str">
            <v/>
          </cell>
          <cell r="Y3115" t="str">
            <v/>
          </cell>
        </row>
        <row r="3116">
          <cell r="X3116" t="str">
            <v/>
          </cell>
          <cell r="Y3116" t="str">
            <v/>
          </cell>
        </row>
        <row r="3117">
          <cell r="X3117" t="str">
            <v>x</v>
          </cell>
          <cell r="Y3117" t="str">
            <v/>
          </cell>
        </row>
        <row r="3118">
          <cell r="X3118" t="str">
            <v/>
          </cell>
          <cell r="Y3118" t="str">
            <v/>
          </cell>
        </row>
        <row r="3119">
          <cell r="X3119" t="str">
            <v>x</v>
          </cell>
          <cell r="Y3119" t="str">
            <v/>
          </cell>
        </row>
        <row r="3120">
          <cell r="X3120" t="str">
            <v/>
          </cell>
          <cell r="Y3120" t="str">
            <v/>
          </cell>
        </row>
        <row r="3121">
          <cell r="X3121" t="str">
            <v/>
          </cell>
          <cell r="Y3121" t="str">
            <v/>
          </cell>
        </row>
        <row r="3122">
          <cell r="X3122" t="str">
            <v>x</v>
          </cell>
          <cell r="Y3122" t="str">
            <v/>
          </cell>
        </row>
        <row r="3123">
          <cell r="X3123" t="str">
            <v/>
          </cell>
          <cell r="Y3123" t="str">
            <v/>
          </cell>
        </row>
        <row r="3124">
          <cell r="X3124" t="str">
            <v>x</v>
          </cell>
          <cell r="Y3124" t="str">
            <v/>
          </cell>
        </row>
        <row r="3125">
          <cell r="X3125" t="str">
            <v/>
          </cell>
          <cell r="Y3125" t="str">
            <v/>
          </cell>
        </row>
        <row r="3126">
          <cell r="X3126" t="str">
            <v/>
          </cell>
          <cell r="Y3126" t="str">
            <v/>
          </cell>
        </row>
        <row r="3127">
          <cell r="X3127" t="str">
            <v/>
          </cell>
          <cell r="Y3127" t="str">
            <v/>
          </cell>
        </row>
        <row r="3128">
          <cell r="X3128" t="str">
            <v/>
          </cell>
          <cell r="Y3128" t="str">
            <v/>
          </cell>
        </row>
        <row r="3129">
          <cell r="X3129" t="str">
            <v/>
          </cell>
          <cell r="Y3129" t="str">
            <v/>
          </cell>
        </row>
        <row r="3130">
          <cell r="X3130" t="str">
            <v/>
          </cell>
          <cell r="Y3130" t="str">
            <v/>
          </cell>
        </row>
        <row r="3131">
          <cell r="X3131" t="str">
            <v/>
          </cell>
          <cell r="Y3131" t="str">
            <v/>
          </cell>
        </row>
        <row r="3132">
          <cell r="X3132" t="str">
            <v/>
          </cell>
          <cell r="Y3132" t="str">
            <v/>
          </cell>
        </row>
        <row r="3133">
          <cell r="X3133" t="str">
            <v/>
          </cell>
          <cell r="Y3133" t="str">
            <v/>
          </cell>
        </row>
        <row r="3134">
          <cell r="X3134" t="str">
            <v/>
          </cell>
          <cell r="Y3134" t="str">
            <v/>
          </cell>
        </row>
        <row r="3135">
          <cell r="X3135" t="str">
            <v/>
          </cell>
          <cell r="Y3135" t="str">
            <v/>
          </cell>
        </row>
        <row r="3136">
          <cell r="X3136" t="str">
            <v/>
          </cell>
          <cell r="Y3136" t="str">
            <v/>
          </cell>
        </row>
        <row r="3137">
          <cell r="X3137" t="str">
            <v/>
          </cell>
          <cell r="Y3137" t="str">
            <v/>
          </cell>
        </row>
        <row r="3138">
          <cell r="X3138" t="str">
            <v>x</v>
          </cell>
          <cell r="Y3138" t="str">
            <v/>
          </cell>
        </row>
        <row r="3139">
          <cell r="X3139" t="str">
            <v/>
          </cell>
          <cell r="Y3139" t="str">
            <v/>
          </cell>
        </row>
        <row r="3140">
          <cell r="X3140" t="str">
            <v/>
          </cell>
          <cell r="Y3140" t="str">
            <v/>
          </cell>
        </row>
        <row r="3141">
          <cell r="X3141" t="str">
            <v>x</v>
          </cell>
          <cell r="Y3141" t="str">
            <v/>
          </cell>
        </row>
        <row r="3142">
          <cell r="X3142" t="str">
            <v/>
          </cell>
          <cell r="Y3142" t="str">
            <v/>
          </cell>
        </row>
        <row r="3143">
          <cell r="X3143" t="str">
            <v/>
          </cell>
          <cell r="Y3143" t="str">
            <v/>
          </cell>
        </row>
        <row r="3144">
          <cell r="X3144" t="str">
            <v>x</v>
          </cell>
          <cell r="Y3144" t="str">
            <v/>
          </cell>
        </row>
        <row r="3145">
          <cell r="X3145" t="str">
            <v/>
          </cell>
          <cell r="Y3145" t="str">
            <v/>
          </cell>
        </row>
        <row r="3146">
          <cell r="X3146" t="str">
            <v>x</v>
          </cell>
          <cell r="Y3146" t="str">
            <v/>
          </cell>
        </row>
        <row r="3147">
          <cell r="X3147" t="str">
            <v/>
          </cell>
          <cell r="Y3147" t="str">
            <v/>
          </cell>
        </row>
        <row r="3148">
          <cell r="X3148" t="str">
            <v/>
          </cell>
          <cell r="Y3148" t="str">
            <v/>
          </cell>
        </row>
        <row r="3149">
          <cell r="X3149" t="str">
            <v>x</v>
          </cell>
          <cell r="Y3149" t="str">
            <v/>
          </cell>
        </row>
        <row r="3150">
          <cell r="X3150" t="str">
            <v/>
          </cell>
          <cell r="Y3150" t="str">
            <v/>
          </cell>
        </row>
        <row r="3151">
          <cell r="X3151" t="str">
            <v>x</v>
          </cell>
          <cell r="Y3151" t="str">
            <v/>
          </cell>
        </row>
        <row r="3152">
          <cell r="X3152" t="str">
            <v/>
          </cell>
          <cell r="Y3152" t="str">
            <v/>
          </cell>
        </row>
        <row r="3153">
          <cell r="X3153" t="str">
            <v>x</v>
          </cell>
          <cell r="Y3153" t="str">
            <v/>
          </cell>
        </row>
        <row r="3154">
          <cell r="X3154" t="str">
            <v/>
          </cell>
          <cell r="Y3154" t="str">
            <v/>
          </cell>
        </row>
        <row r="3155">
          <cell r="X3155" t="str">
            <v>x</v>
          </cell>
          <cell r="Y3155" t="str">
            <v/>
          </cell>
        </row>
        <row r="3156">
          <cell r="X3156" t="str">
            <v/>
          </cell>
          <cell r="Y3156" t="str">
            <v/>
          </cell>
        </row>
        <row r="3157">
          <cell r="X3157" t="str">
            <v>x</v>
          </cell>
          <cell r="Y3157" t="str">
            <v/>
          </cell>
        </row>
        <row r="3158">
          <cell r="X3158" t="str">
            <v/>
          </cell>
          <cell r="Y3158" t="str">
            <v/>
          </cell>
        </row>
        <row r="3159">
          <cell r="X3159" t="str">
            <v/>
          </cell>
          <cell r="Y3159" t="str">
            <v/>
          </cell>
        </row>
        <row r="3160">
          <cell r="X3160" t="str">
            <v>x</v>
          </cell>
          <cell r="Y3160" t="str">
            <v/>
          </cell>
        </row>
        <row r="3161">
          <cell r="X3161" t="str">
            <v/>
          </cell>
          <cell r="Y3161" t="str">
            <v/>
          </cell>
        </row>
        <row r="3162">
          <cell r="X3162" t="str">
            <v/>
          </cell>
          <cell r="Y3162" t="str">
            <v/>
          </cell>
        </row>
        <row r="3163">
          <cell r="X3163" t="str">
            <v>x</v>
          </cell>
          <cell r="Y3163" t="str">
            <v/>
          </cell>
        </row>
        <row r="3164">
          <cell r="X3164" t="str">
            <v/>
          </cell>
          <cell r="Y3164" t="str">
            <v/>
          </cell>
        </row>
        <row r="3165">
          <cell r="X3165" t="str">
            <v/>
          </cell>
          <cell r="Y3165" t="str">
            <v/>
          </cell>
        </row>
        <row r="3166">
          <cell r="X3166" t="str">
            <v/>
          </cell>
          <cell r="Y3166" t="str">
            <v/>
          </cell>
        </row>
        <row r="3167">
          <cell r="X3167" t="str">
            <v/>
          </cell>
          <cell r="Y3167" t="str">
            <v/>
          </cell>
        </row>
        <row r="3168">
          <cell r="X3168" t="str">
            <v/>
          </cell>
          <cell r="Y3168" t="str">
            <v/>
          </cell>
        </row>
        <row r="3169">
          <cell r="X3169" t="str">
            <v>x</v>
          </cell>
          <cell r="Y3169" t="str">
            <v/>
          </cell>
        </row>
        <row r="3170">
          <cell r="X3170" t="str">
            <v/>
          </cell>
          <cell r="Y3170" t="str">
            <v/>
          </cell>
        </row>
        <row r="3171">
          <cell r="X3171" t="str">
            <v/>
          </cell>
          <cell r="Y3171" t="str">
            <v/>
          </cell>
        </row>
        <row r="3172">
          <cell r="X3172" t="str">
            <v>x</v>
          </cell>
          <cell r="Y3172" t="str">
            <v/>
          </cell>
        </row>
        <row r="3173">
          <cell r="X3173" t="str">
            <v/>
          </cell>
          <cell r="Y3173" t="str">
            <v/>
          </cell>
        </row>
        <row r="3174">
          <cell r="X3174" t="str">
            <v/>
          </cell>
          <cell r="Y3174" t="str">
            <v/>
          </cell>
        </row>
        <row r="3175">
          <cell r="X3175" t="str">
            <v>x</v>
          </cell>
          <cell r="Y3175" t="str">
            <v/>
          </cell>
        </row>
        <row r="3176">
          <cell r="X3176" t="str">
            <v/>
          </cell>
          <cell r="Y3176" t="str">
            <v/>
          </cell>
        </row>
        <row r="3177">
          <cell r="X3177" t="str">
            <v/>
          </cell>
          <cell r="Y3177" t="str">
            <v/>
          </cell>
        </row>
        <row r="3178">
          <cell r="X3178" t="str">
            <v/>
          </cell>
          <cell r="Y3178" t="str">
            <v/>
          </cell>
        </row>
        <row r="3179">
          <cell r="X3179" t="str">
            <v/>
          </cell>
          <cell r="Y3179" t="str">
            <v/>
          </cell>
        </row>
        <row r="3180">
          <cell r="X3180" t="str">
            <v>x</v>
          </cell>
          <cell r="Y3180" t="str">
            <v/>
          </cell>
        </row>
        <row r="3181">
          <cell r="X3181" t="str">
            <v/>
          </cell>
          <cell r="Y3181" t="str">
            <v/>
          </cell>
        </row>
        <row r="3182">
          <cell r="X3182" t="str">
            <v/>
          </cell>
          <cell r="Y3182" t="str">
            <v/>
          </cell>
        </row>
        <row r="3183">
          <cell r="X3183" t="str">
            <v>x</v>
          </cell>
          <cell r="Y3183" t="str">
            <v/>
          </cell>
        </row>
        <row r="3184">
          <cell r="X3184" t="str">
            <v/>
          </cell>
          <cell r="Y3184" t="str">
            <v/>
          </cell>
        </row>
        <row r="3185">
          <cell r="X3185" t="str">
            <v>x</v>
          </cell>
          <cell r="Y3185" t="str">
            <v/>
          </cell>
        </row>
        <row r="3186">
          <cell r="X3186" t="str">
            <v/>
          </cell>
          <cell r="Y3186" t="str">
            <v/>
          </cell>
        </row>
        <row r="3187">
          <cell r="X3187" t="str">
            <v>x</v>
          </cell>
          <cell r="Y3187" t="str">
            <v/>
          </cell>
        </row>
        <row r="3188">
          <cell r="X3188" t="str">
            <v/>
          </cell>
          <cell r="Y3188" t="str">
            <v/>
          </cell>
        </row>
        <row r="3189">
          <cell r="X3189" t="str">
            <v>x</v>
          </cell>
          <cell r="Y3189" t="str">
            <v/>
          </cell>
        </row>
        <row r="3190">
          <cell r="X3190" t="str">
            <v/>
          </cell>
          <cell r="Y3190" t="str">
            <v/>
          </cell>
        </row>
        <row r="3191">
          <cell r="X3191" t="str">
            <v/>
          </cell>
          <cell r="Y3191" t="str">
            <v/>
          </cell>
        </row>
        <row r="3192">
          <cell r="X3192" t="str">
            <v/>
          </cell>
          <cell r="Y3192" t="str">
            <v/>
          </cell>
        </row>
        <row r="3193">
          <cell r="X3193" t="str">
            <v>x</v>
          </cell>
          <cell r="Y3193" t="str">
            <v/>
          </cell>
        </row>
        <row r="3194">
          <cell r="X3194" t="str">
            <v/>
          </cell>
          <cell r="Y3194" t="str">
            <v/>
          </cell>
        </row>
        <row r="3195">
          <cell r="X3195" t="str">
            <v/>
          </cell>
          <cell r="Y3195" t="str">
            <v/>
          </cell>
        </row>
        <row r="3196">
          <cell r="X3196" t="str">
            <v>x</v>
          </cell>
          <cell r="Y3196" t="str">
            <v/>
          </cell>
        </row>
        <row r="3197">
          <cell r="X3197" t="str">
            <v/>
          </cell>
          <cell r="Y3197" t="str">
            <v/>
          </cell>
        </row>
        <row r="3198">
          <cell r="X3198" t="str">
            <v/>
          </cell>
          <cell r="Y3198" t="str">
            <v/>
          </cell>
        </row>
        <row r="3199">
          <cell r="X3199" t="str">
            <v/>
          </cell>
          <cell r="Y3199" t="str">
            <v/>
          </cell>
        </row>
        <row r="3200">
          <cell r="X3200" t="str">
            <v>x</v>
          </cell>
          <cell r="Y3200" t="str">
            <v/>
          </cell>
        </row>
        <row r="3201">
          <cell r="X3201" t="str">
            <v/>
          </cell>
          <cell r="Y3201" t="str">
            <v/>
          </cell>
        </row>
        <row r="3202">
          <cell r="X3202" t="str">
            <v>x</v>
          </cell>
          <cell r="Y3202" t="str">
            <v/>
          </cell>
        </row>
        <row r="3203">
          <cell r="X3203" t="str">
            <v/>
          </cell>
          <cell r="Y3203" t="str">
            <v/>
          </cell>
        </row>
        <row r="3204">
          <cell r="X3204" t="str">
            <v/>
          </cell>
          <cell r="Y3204" t="str">
            <v/>
          </cell>
        </row>
        <row r="3205">
          <cell r="X3205" t="str">
            <v>x</v>
          </cell>
          <cell r="Y3205" t="str">
            <v/>
          </cell>
        </row>
        <row r="3206">
          <cell r="X3206" t="str">
            <v/>
          </cell>
          <cell r="Y3206" t="str">
            <v/>
          </cell>
        </row>
        <row r="3207">
          <cell r="X3207" t="str">
            <v/>
          </cell>
          <cell r="Y3207" t="str">
            <v/>
          </cell>
        </row>
        <row r="3208">
          <cell r="X3208" t="str">
            <v>x</v>
          </cell>
          <cell r="Y3208" t="str">
            <v/>
          </cell>
        </row>
        <row r="3209">
          <cell r="X3209" t="str">
            <v/>
          </cell>
          <cell r="Y3209" t="str">
            <v/>
          </cell>
        </row>
        <row r="3210">
          <cell r="X3210" t="str">
            <v>x</v>
          </cell>
          <cell r="Y3210" t="str">
            <v/>
          </cell>
        </row>
        <row r="3211">
          <cell r="X3211" t="str">
            <v/>
          </cell>
          <cell r="Y3211" t="str">
            <v/>
          </cell>
        </row>
        <row r="3212">
          <cell r="X3212" t="str">
            <v/>
          </cell>
          <cell r="Y3212" t="str">
            <v/>
          </cell>
        </row>
        <row r="3213">
          <cell r="X3213" t="str">
            <v>x</v>
          </cell>
          <cell r="Y3213" t="str">
            <v/>
          </cell>
        </row>
        <row r="3214">
          <cell r="X3214" t="str">
            <v/>
          </cell>
          <cell r="Y3214" t="str">
            <v/>
          </cell>
        </row>
        <row r="3215">
          <cell r="X3215" t="str">
            <v>x</v>
          </cell>
          <cell r="Y3215" t="str">
            <v/>
          </cell>
        </row>
        <row r="3216">
          <cell r="X3216" t="str">
            <v/>
          </cell>
          <cell r="Y3216" t="str">
            <v/>
          </cell>
        </row>
        <row r="3217">
          <cell r="X3217" t="str">
            <v/>
          </cell>
          <cell r="Y3217" t="str">
            <v/>
          </cell>
        </row>
        <row r="3218">
          <cell r="X3218" t="str">
            <v/>
          </cell>
          <cell r="Y3218" t="str">
            <v/>
          </cell>
        </row>
        <row r="3219">
          <cell r="X3219" t="str">
            <v/>
          </cell>
          <cell r="Y3219" t="str">
            <v/>
          </cell>
        </row>
        <row r="3220">
          <cell r="X3220" t="str">
            <v/>
          </cell>
          <cell r="Y3220" t="str">
            <v/>
          </cell>
        </row>
        <row r="3221">
          <cell r="X3221" t="str">
            <v/>
          </cell>
          <cell r="Y3221" t="str">
            <v/>
          </cell>
        </row>
        <row r="3222">
          <cell r="X3222" t="str">
            <v/>
          </cell>
          <cell r="Y3222" t="str">
            <v/>
          </cell>
        </row>
        <row r="3223">
          <cell r="X3223" t="str">
            <v/>
          </cell>
          <cell r="Y3223" t="str">
            <v/>
          </cell>
        </row>
        <row r="3224">
          <cell r="X3224" t="str">
            <v/>
          </cell>
          <cell r="Y3224" t="str">
            <v/>
          </cell>
        </row>
        <row r="3225">
          <cell r="X3225" t="str">
            <v/>
          </cell>
          <cell r="Y3225" t="str">
            <v/>
          </cell>
        </row>
        <row r="3226">
          <cell r="X3226" t="str">
            <v/>
          </cell>
          <cell r="Y3226" t="str">
            <v/>
          </cell>
        </row>
        <row r="3227">
          <cell r="X3227" t="str">
            <v>x</v>
          </cell>
          <cell r="Y3227" t="str">
            <v/>
          </cell>
        </row>
        <row r="3228">
          <cell r="X3228" t="str">
            <v/>
          </cell>
          <cell r="Y3228" t="str">
            <v/>
          </cell>
        </row>
        <row r="3229">
          <cell r="X3229" t="str">
            <v>x</v>
          </cell>
          <cell r="Y3229" t="str">
            <v/>
          </cell>
        </row>
        <row r="3230">
          <cell r="X3230" t="str">
            <v/>
          </cell>
          <cell r="Y3230" t="str">
            <v/>
          </cell>
        </row>
        <row r="3231">
          <cell r="X3231" t="str">
            <v>x</v>
          </cell>
          <cell r="Y3231" t="str">
            <v/>
          </cell>
        </row>
        <row r="3232">
          <cell r="X3232" t="str">
            <v/>
          </cell>
          <cell r="Y3232" t="str">
            <v/>
          </cell>
        </row>
        <row r="3233">
          <cell r="X3233" t="str">
            <v>x</v>
          </cell>
          <cell r="Y3233" t="str">
            <v/>
          </cell>
        </row>
        <row r="3234">
          <cell r="X3234" t="str">
            <v/>
          </cell>
          <cell r="Y3234" t="str">
            <v/>
          </cell>
        </row>
        <row r="3235">
          <cell r="X3235" t="str">
            <v>x</v>
          </cell>
          <cell r="Y3235" t="str">
            <v/>
          </cell>
        </row>
        <row r="3236">
          <cell r="X3236" t="str">
            <v/>
          </cell>
          <cell r="Y3236" t="str">
            <v/>
          </cell>
        </row>
        <row r="3237">
          <cell r="X3237" t="str">
            <v/>
          </cell>
          <cell r="Y3237" t="str">
            <v/>
          </cell>
        </row>
        <row r="3238">
          <cell r="X3238" t="str">
            <v>x</v>
          </cell>
          <cell r="Y3238" t="str">
            <v/>
          </cell>
        </row>
        <row r="3239">
          <cell r="X3239" t="str">
            <v/>
          </cell>
          <cell r="Y3239" t="str">
            <v/>
          </cell>
        </row>
        <row r="3240">
          <cell r="X3240" t="str">
            <v/>
          </cell>
          <cell r="Y3240" t="str">
            <v/>
          </cell>
        </row>
        <row r="3241">
          <cell r="X3241" t="str">
            <v>x</v>
          </cell>
          <cell r="Y3241" t="str">
            <v/>
          </cell>
        </row>
        <row r="3242">
          <cell r="X3242" t="str">
            <v/>
          </cell>
          <cell r="Y3242" t="str">
            <v/>
          </cell>
        </row>
        <row r="3243">
          <cell r="X3243" t="str">
            <v>x</v>
          </cell>
          <cell r="Y3243" t="str">
            <v/>
          </cell>
        </row>
        <row r="3244">
          <cell r="X3244" t="str">
            <v/>
          </cell>
          <cell r="Y3244" t="str">
            <v/>
          </cell>
        </row>
        <row r="3245">
          <cell r="X3245" t="str">
            <v>x</v>
          </cell>
          <cell r="Y3245" t="str">
            <v/>
          </cell>
        </row>
        <row r="3246">
          <cell r="X3246" t="str">
            <v/>
          </cell>
          <cell r="Y3246" t="str">
            <v/>
          </cell>
        </row>
        <row r="3247">
          <cell r="X3247" t="str">
            <v>x</v>
          </cell>
          <cell r="Y3247" t="str">
            <v/>
          </cell>
        </row>
        <row r="3248">
          <cell r="X3248" t="str">
            <v/>
          </cell>
          <cell r="Y3248" t="str">
            <v/>
          </cell>
        </row>
        <row r="3249">
          <cell r="X3249" t="str">
            <v>x</v>
          </cell>
          <cell r="Y3249" t="str">
            <v/>
          </cell>
        </row>
        <row r="3250">
          <cell r="X3250" t="str">
            <v/>
          </cell>
          <cell r="Y3250" t="str">
            <v/>
          </cell>
        </row>
        <row r="3251">
          <cell r="X3251" t="str">
            <v/>
          </cell>
          <cell r="Y3251" t="str">
            <v/>
          </cell>
        </row>
        <row r="3252">
          <cell r="X3252" t="str">
            <v/>
          </cell>
          <cell r="Y3252" t="str">
            <v/>
          </cell>
        </row>
        <row r="3253">
          <cell r="X3253" t="str">
            <v/>
          </cell>
          <cell r="Y3253" t="str">
            <v/>
          </cell>
        </row>
        <row r="3254">
          <cell r="X3254" t="str">
            <v>x</v>
          </cell>
          <cell r="Y3254" t="str">
            <v/>
          </cell>
        </row>
        <row r="3255">
          <cell r="X3255" t="str">
            <v/>
          </cell>
          <cell r="Y3255" t="str">
            <v/>
          </cell>
        </row>
        <row r="3256">
          <cell r="X3256" t="str">
            <v>x</v>
          </cell>
          <cell r="Y3256" t="str">
            <v/>
          </cell>
        </row>
        <row r="3257">
          <cell r="X3257" t="str">
            <v/>
          </cell>
          <cell r="Y3257" t="str">
            <v/>
          </cell>
        </row>
        <row r="3258">
          <cell r="X3258" t="str">
            <v/>
          </cell>
          <cell r="Y3258" t="str">
            <v/>
          </cell>
        </row>
        <row r="3259">
          <cell r="X3259" t="str">
            <v/>
          </cell>
          <cell r="Y3259" t="str">
            <v/>
          </cell>
        </row>
        <row r="3260">
          <cell r="X3260" t="str">
            <v>x</v>
          </cell>
          <cell r="Y3260" t="str">
            <v/>
          </cell>
        </row>
        <row r="3261">
          <cell r="X3261" t="str">
            <v/>
          </cell>
          <cell r="Y3261" t="str">
            <v/>
          </cell>
        </row>
        <row r="3262">
          <cell r="X3262" t="str">
            <v>x</v>
          </cell>
          <cell r="Y3262" t="str">
            <v/>
          </cell>
        </row>
        <row r="3263">
          <cell r="X3263" t="str">
            <v/>
          </cell>
          <cell r="Y3263" t="str">
            <v/>
          </cell>
        </row>
        <row r="3264">
          <cell r="X3264" t="str">
            <v/>
          </cell>
          <cell r="Y3264" t="str">
            <v/>
          </cell>
        </row>
        <row r="3265">
          <cell r="X3265" t="str">
            <v>x</v>
          </cell>
          <cell r="Y3265" t="str">
            <v/>
          </cell>
        </row>
        <row r="3266">
          <cell r="X3266" t="str">
            <v/>
          </cell>
          <cell r="Y3266" t="str">
            <v/>
          </cell>
        </row>
        <row r="3267">
          <cell r="X3267" t="str">
            <v>x</v>
          </cell>
          <cell r="Y3267" t="str">
            <v/>
          </cell>
        </row>
        <row r="3268">
          <cell r="X3268" t="str">
            <v/>
          </cell>
          <cell r="Y3268" t="str">
            <v/>
          </cell>
        </row>
        <row r="3269">
          <cell r="X3269" t="str">
            <v/>
          </cell>
          <cell r="Y3269" t="str">
            <v/>
          </cell>
        </row>
        <row r="3270">
          <cell r="X3270" t="str">
            <v>x</v>
          </cell>
          <cell r="Y3270" t="str">
            <v/>
          </cell>
        </row>
        <row r="3271">
          <cell r="X3271" t="str">
            <v/>
          </cell>
          <cell r="Y3271" t="str">
            <v/>
          </cell>
        </row>
        <row r="3272">
          <cell r="X3272" t="str">
            <v/>
          </cell>
          <cell r="Y3272" t="str">
            <v/>
          </cell>
        </row>
        <row r="3273">
          <cell r="X3273" t="str">
            <v>x</v>
          </cell>
          <cell r="Y3273" t="str">
            <v/>
          </cell>
        </row>
        <row r="3274">
          <cell r="X3274" t="str">
            <v/>
          </cell>
          <cell r="Y3274" t="str">
            <v/>
          </cell>
        </row>
        <row r="3275">
          <cell r="X3275" t="str">
            <v>x</v>
          </cell>
          <cell r="Y3275" t="str">
            <v/>
          </cell>
        </row>
        <row r="3276">
          <cell r="X3276" t="str">
            <v/>
          </cell>
          <cell r="Y3276" t="str">
            <v/>
          </cell>
        </row>
        <row r="3277">
          <cell r="X3277" t="str">
            <v>x</v>
          </cell>
          <cell r="Y3277" t="str">
            <v/>
          </cell>
        </row>
        <row r="3278">
          <cell r="X3278" t="str">
            <v/>
          </cell>
          <cell r="Y3278" t="str">
            <v/>
          </cell>
        </row>
        <row r="3279">
          <cell r="X3279" t="str">
            <v>x</v>
          </cell>
          <cell r="Y3279" t="str">
            <v/>
          </cell>
        </row>
        <row r="3280">
          <cell r="X3280" t="str">
            <v/>
          </cell>
          <cell r="Y3280" t="str">
            <v/>
          </cell>
        </row>
        <row r="3281">
          <cell r="X3281" t="str">
            <v>x</v>
          </cell>
          <cell r="Y3281" t="str">
            <v/>
          </cell>
        </row>
        <row r="3282">
          <cell r="X3282" t="str">
            <v/>
          </cell>
          <cell r="Y3282" t="str">
            <v/>
          </cell>
        </row>
        <row r="3283">
          <cell r="X3283" t="str">
            <v>x</v>
          </cell>
          <cell r="Y3283" t="str">
            <v/>
          </cell>
        </row>
        <row r="3284">
          <cell r="X3284" t="str">
            <v/>
          </cell>
          <cell r="Y3284" t="str">
            <v/>
          </cell>
        </row>
        <row r="3285">
          <cell r="X3285" t="str">
            <v/>
          </cell>
          <cell r="Y3285" t="str">
            <v/>
          </cell>
        </row>
        <row r="3286">
          <cell r="X3286" t="str">
            <v>x</v>
          </cell>
          <cell r="Y3286" t="str">
            <v/>
          </cell>
        </row>
        <row r="3287">
          <cell r="X3287" t="str">
            <v/>
          </cell>
          <cell r="Y3287" t="str">
            <v/>
          </cell>
        </row>
        <row r="3288">
          <cell r="X3288" t="str">
            <v/>
          </cell>
          <cell r="Y3288" t="str">
            <v/>
          </cell>
        </row>
        <row r="3289">
          <cell r="X3289" t="str">
            <v>x</v>
          </cell>
          <cell r="Y3289" t="str">
            <v/>
          </cell>
        </row>
        <row r="3290">
          <cell r="X3290" t="str">
            <v/>
          </cell>
          <cell r="Y3290" t="str">
            <v/>
          </cell>
        </row>
        <row r="3291">
          <cell r="X3291" t="str">
            <v>x</v>
          </cell>
          <cell r="Y3291" t="str">
            <v/>
          </cell>
        </row>
        <row r="3292">
          <cell r="X3292" t="str">
            <v/>
          </cell>
          <cell r="Y3292" t="str">
            <v/>
          </cell>
        </row>
        <row r="3293">
          <cell r="X3293" t="str">
            <v>x</v>
          </cell>
          <cell r="Y3293" t="str">
            <v/>
          </cell>
        </row>
        <row r="3294">
          <cell r="X3294" t="str">
            <v/>
          </cell>
          <cell r="Y3294" t="str">
            <v/>
          </cell>
        </row>
        <row r="3295">
          <cell r="X3295" t="str">
            <v>x</v>
          </cell>
          <cell r="Y3295" t="str">
            <v/>
          </cell>
        </row>
        <row r="3296">
          <cell r="X3296" t="str">
            <v/>
          </cell>
          <cell r="Y3296" t="str">
            <v/>
          </cell>
        </row>
        <row r="3297">
          <cell r="X3297" t="str">
            <v/>
          </cell>
          <cell r="Y3297" t="str">
            <v/>
          </cell>
        </row>
        <row r="3298">
          <cell r="X3298" t="str">
            <v>x</v>
          </cell>
          <cell r="Y3298" t="str">
            <v/>
          </cell>
        </row>
        <row r="3299">
          <cell r="X3299" t="str">
            <v/>
          </cell>
          <cell r="Y3299" t="str">
            <v/>
          </cell>
        </row>
        <row r="3300">
          <cell r="X3300" t="str">
            <v/>
          </cell>
          <cell r="Y3300" t="str">
            <v/>
          </cell>
        </row>
        <row r="3301">
          <cell r="X3301" t="str">
            <v/>
          </cell>
          <cell r="Y3301" t="str">
            <v/>
          </cell>
        </row>
        <row r="3302">
          <cell r="X3302" t="str">
            <v/>
          </cell>
          <cell r="Y3302" t="str">
            <v/>
          </cell>
        </row>
        <row r="3303">
          <cell r="X3303" t="str">
            <v/>
          </cell>
          <cell r="Y3303" t="str">
            <v/>
          </cell>
        </row>
        <row r="3304">
          <cell r="X3304" t="str">
            <v/>
          </cell>
          <cell r="Y3304" t="str">
            <v/>
          </cell>
        </row>
        <row r="3305">
          <cell r="X3305" t="str">
            <v/>
          </cell>
          <cell r="Y3305" t="str">
            <v/>
          </cell>
        </row>
        <row r="3306">
          <cell r="X3306" t="str">
            <v/>
          </cell>
          <cell r="Y3306" t="str">
            <v/>
          </cell>
        </row>
        <row r="3307">
          <cell r="X3307" t="str">
            <v/>
          </cell>
          <cell r="Y3307" t="str">
            <v/>
          </cell>
        </row>
        <row r="3308">
          <cell r="X3308" t="str">
            <v/>
          </cell>
          <cell r="Y3308" t="str">
            <v/>
          </cell>
        </row>
        <row r="3309">
          <cell r="X3309" t="str">
            <v/>
          </cell>
          <cell r="Y3309" t="str">
            <v/>
          </cell>
        </row>
        <row r="3310">
          <cell r="X3310" t="str">
            <v/>
          </cell>
          <cell r="Y3310" t="str">
            <v/>
          </cell>
        </row>
        <row r="3311">
          <cell r="X3311" t="str">
            <v/>
          </cell>
          <cell r="Y3311" t="str">
            <v/>
          </cell>
        </row>
        <row r="3312">
          <cell r="X3312" t="str">
            <v/>
          </cell>
          <cell r="Y3312" t="str">
            <v/>
          </cell>
        </row>
        <row r="3313">
          <cell r="X3313" t="str">
            <v/>
          </cell>
          <cell r="Y3313" t="str">
            <v/>
          </cell>
        </row>
        <row r="3314">
          <cell r="X3314" t="str">
            <v/>
          </cell>
          <cell r="Y3314" t="str">
            <v/>
          </cell>
        </row>
        <row r="3315">
          <cell r="X3315" t="str">
            <v/>
          </cell>
          <cell r="Y3315" t="str">
            <v/>
          </cell>
        </row>
        <row r="3316">
          <cell r="X3316" t="str">
            <v/>
          </cell>
          <cell r="Y3316" t="str">
            <v/>
          </cell>
        </row>
        <row r="3317">
          <cell r="X3317" t="str">
            <v/>
          </cell>
          <cell r="Y3317" t="str">
            <v/>
          </cell>
        </row>
        <row r="3318">
          <cell r="X3318" t="str">
            <v/>
          </cell>
          <cell r="Y3318" t="str">
            <v/>
          </cell>
        </row>
        <row r="3319">
          <cell r="X3319" t="str">
            <v/>
          </cell>
          <cell r="Y3319" t="str">
            <v/>
          </cell>
        </row>
        <row r="3320">
          <cell r="X3320" t="str">
            <v/>
          </cell>
          <cell r="Y3320" t="str">
            <v/>
          </cell>
        </row>
        <row r="3321">
          <cell r="X3321" t="str">
            <v/>
          </cell>
          <cell r="Y3321" t="str">
            <v/>
          </cell>
        </row>
        <row r="3322">
          <cell r="X3322" t="str">
            <v/>
          </cell>
          <cell r="Y3322" t="str">
            <v/>
          </cell>
        </row>
        <row r="3323">
          <cell r="X3323" t="str">
            <v/>
          </cell>
          <cell r="Y3323" t="str">
            <v/>
          </cell>
        </row>
        <row r="3324">
          <cell r="X3324" t="str">
            <v/>
          </cell>
          <cell r="Y3324" t="str">
            <v/>
          </cell>
        </row>
        <row r="3325">
          <cell r="X3325" t="str">
            <v/>
          </cell>
          <cell r="Y3325" t="str">
            <v/>
          </cell>
        </row>
        <row r="3326">
          <cell r="X3326" t="str">
            <v/>
          </cell>
          <cell r="Y3326" t="str">
            <v/>
          </cell>
        </row>
        <row r="3327">
          <cell r="X3327" t="str">
            <v/>
          </cell>
          <cell r="Y3327" t="str">
            <v/>
          </cell>
        </row>
        <row r="3328">
          <cell r="X3328" t="str">
            <v/>
          </cell>
          <cell r="Y3328" t="str">
            <v/>
          </cell>
        </row>
        <row r="3329">
          <cell r="X3329" t="str">
            <v/>
          </cell>
          <cell r="Y3329" t="str">
            <v/>
          </cell>
        </row>
        <row r="3330">
          <cell r="X3330" t="str">
            <v/>
          </cell>
          <cell r="Y3330" t="str">
            <v/>
          </cell>
        </row>
        <row r="3331">
          <cell r="X3331" t="str">
            <v>x</v>
          </cell>
          <cell r="Y3331" t="str">
            <v/>
          </cell>
        </row>
        <row r="3332">
          <cell r="X3332" t="str">
            <v/>
          </cell>
          <cell r="Y3332" t="str">
            <v/>
          </cell>
        </row>
        <row r="3333">
          <cell r="X3333" t="str">
            <v/>
          </cell>
          <cell r="Y3333" t="str">
            <v/>
          </cell>
        </row>
        <row r="3334">
          <cell r="X3334" t="str">
            <v>x</v>
          </cell>
          <cell r="Y3334" t="str">
            <v/>
          </cell>
        </row>
        <row r="3335">
          <cell r="X3335" t="str">
            <v/>
          </cell>
          <cell r="Y3335" t="str">
            <v/>
          </cell>
        </row>
        <row r="3336">
          <cell r="K3336">
            <v>11000</v>
          </cell>
          <cell r="X3336" t="str">
            <v/>
          </cell>
          <cell r="Y3336" t="str">
            <v/>
          </cell>
        </row>
        <row r="3337">
          <cell r="K3337">
            <v>93000</v>
          </cell>
          <cell r="X3337" t="str">
            <v/>
          </cell>
          <cell r="Y3337" t="str">
            <v/>
          </cell>
        </row>
        <row r="3338">
          <cell r="X3338" t="str">
            <v/>
          </cell>
          <cell r="Y3338" t="str">
            <v/>
          </cell>
        </row>
        <row r="3339">
          <cell r="X3339" t="str">
            <v/>
          </cell>
          <cell r="Y3339" t="str">
            <v/>
          </cell>
        </row>
        <row r="3340">
          <cell r="K3340">
            <v>294900</v>
          </cell>
          <cell r="X3340" t="str">
            <v/>
          </cell>
          <cell r="Y3340" t="str">
            <v/>
          </cell>
        </row>
        <row r="3341">
          <cell r="X3341" t="str">
            <v/>
          </cell>
          <cell r="Y3341" t="str">
            <v/>
          </cell>
        </row>
        <row r="3342">
          <cell r="X3342" t="str">
            <v/>
          </cell>
          <cell r="Y3342" t="str">
            <v/>
          </cell>
        </row>
        <row r="3343">
          <cell r="X3343" t="str">
            <v>x</v>
          </cell>
          <cell r="Y3343" t="str">
            <v/>
          </cell>
        </row>
        <row r="3344">
          <cell r="K3344">
            <v>40000</v>
          </cell>
          <cell r="X3344" t="str">
            <v/>
          </cell>
          <cell r="Y3344" t="str">
            <v/>
          </cell>
        </row>
        <row r="3345">
          <cell r="X3345" t="str">
            <v/>
          </cell>
          <cell r="Y3345" t="str">
            <v/>
          </cell>
        </row>
        <row r="3346">
          <cell r="K3346">
            <v>102600</v>
          </cell>
          <cell r="X3346" t="str">
            <v/>
          </cell>
          <cell r="Y3346" t="str">
            <v/>
          </cell>
        </row>
        <row r="3347">
          <cell r="X3347" t="str">
            <v/>
          </cell>
          <cell r="Y3347" t="str">
            <v/>
          </cell>
        </row>
        <row r="3348">
          <cell r="X3348" t="str">
            <v/>
          </cell>
          <cell r="Y3348" t="str">
            <v/>
          </cell>
        </row>
        <row r="3349">
          <cell r="X3349" t="str">
            <v/>
          </cell>
          <cell r="Y3349" t="str">
            <v/>
          </cell>
        </row>
        <row r="3350">
          <cell r="K3350">
            <v>41200</v>
          </cell>
          <cell r="X3350" t="str">
            <v/>
          </cell>
          <cell r="Y3350" t="str">
            <v/>
          </cell>
        </row>
        <row r="3351">
          <cell r="K3351">
            <v>37584</v>
          </cell>
          <cell r="X3351" t="str">
            <v/>
          </cell>
          <cell r="Y3351" t="str">
            <v/>
          </cell>
        </row>
        <row r="3352">
          <cell r="X3352" t="str">
            <v/>
          </cell>
          <cell r="Y3352" t="str">
            <v/>
          </cell>
        </row>
        <row r="3353">
          <cell r="X3353" t="str">
            <v/>
          </cell>
          <cell r="Y3353" t="str">
            <v/>
          </cell>
        </row>
        <row r="3354">
          <cell r="X3354" t="str">
            <v>x</v>
          </cell>
          <cell r="Y3354" t="str">
            <v/>
          </cell>
        </row>
        <row r="3355">
          <cell r="X3355" t="str">
            <v/>
          </cell>
          <cell r="Y3355" t="str">
            <v/>
          </cell>
        </row>
        <row r="3356">
          <cell r="X3356" t="str">
            <v/>
          </cell>
          <cell r="Y3356" t="str">
            <v/>
          </cell>
        </row>
        <row r="3357">
          <cell r="X3357" t="str">
            <v>x</v>
          </cell>
          <cell r="Y3357" t="str">
            <v/>
          </cell>
        </row>
        <row r="3358">
          <cell r="X3358" t="str">
            <v/>
          </cell>
          <cell r="Y3358" t="str">
            <v/>
          </cell>
        </row>
        <row r="3359">
          <cell r="X3359" t="str">
            <v/>
          </cell>
          <cell r="Y3359" t="str">
            <v/>
          </cell>
        </row>
        <row r="3360">
          <cell r="X3360" t="str">
            <v>x</v>
          </cell>
          <cell r="Y3360" t="str">
            <v/>
          </cell>
        </row>
        <row r="3361">
          <cell r="K3361">
            <v>51100</v>
          </cell>
          <cell r="X3361" t="str">
            <v/>
          </cell>
          <cell r="Y3361" t="str">
            <v/>
          </cell>
        </row>
        <row r="3362">
          <cell r="X3362" t="str">
            <v/>
          </cell>
          <cell r="Y3362" t="str">
            <v/>
          </cell>
        </row>
        <row r="3363">
          <cell r="X3363" t="str">
            <v/>
          </cell>
          <cell r="Y3363" t="str">
            <v/>
          </cell>
        </row>
        <row r="3364">
          <cell r="X3364" t="str">
            <v>x</v>
          </cell>
          <cell r="Y3364" t="str">
            <v/>
          </cell>
        </row>
        <row r="3365">
          <cell r="X3365" t="str">
            <v/>
          </cell>
          <cell r="Y3365" t="str">
            <v/>
          </cell>
        </row>
        <row r="3366">
          <cell r="X3366" t="str">
            <v/>
          </cell>
          <cell r="Y3366" t="str">
            <v/>
          </cell>
        </row>
        <row r="3367">
          <cell r="X3367" t="str">
            <v>x</v>
          </cell>
          <cell r="Y3367" t="str">
            <v/>
          </cell>
        </row>
        <row r="3368">
          <cell r="X3368" t="str">
            <v/>
          </cell>
          <cell r="Y3368" t="str">
            <v/>
          </cell>
        </row>
        <row r="3369">
          <cell r="X3369" t="str">
            <v/>
          </cell>
          <cell r="Y3369" t="str">
            <v/>
          </cell>
        </row>
        <row r="3370">
          <cell r="X3370" t="str">
            <v>x</v>
          </cell>
          <cell r="Y3370" t="str">
            <v/>
          </cell>
        </row>
        <row r="3371">
          <cell r="X3371" t="str">
            <v/>
          </cell>
          <cell r="Y3371" t="str">
            <v/>
          </cell>
        </row>
        <row r="3372">
          <cell r="X3372" t="str">
            <v/>
          </cell>
          <cell r="Y3372" t="str">
            <v/>
          </cell>
        </row>
        <row r="3373">
          <cell r="X3373" t="str">
            <v/>
          </cell>
          <cell r="Y3373" t="str">
            <v/>
          </cell>
        </row>
        <row r="3374">
          <cell r="K3374">
            <v>17000</v>
          </cell>
          <cell r="X3374" t="str">
            <v/>
          </cell>
          <cell r="Y3374" t="str">
            <v/>
          </cell>
        </row>
        <row r="3375">
          <cell r="K3375">
            <v>103.84</v>
          </cell>
          <cell r="X3375" t="str">
            <v/>
          </cell>
          <cell r="Y3375" t="str">
            <v/>
          </cell>
        </row>
        <row r="3376">
          <cell r="K3376">
            <v>76.510000000000005</v>
          </cell>
          <cell r="X3376" t="str">
            <v/>
          </cell>
          <cell r="Y3376" t="str">
            <v/>
          </cell>
        </row>
        <row r="3377">
          <cell r="K3377">
            <v>144188.68</v>
          </cell>
          <cell r="X3377" t="str">
            <v/>
          </cell>
          <cell r="Y3377" t="str">
            <v/>
          </cell>
        </row>
        <row r="3378">
          <cell r="K3378">
            <v>12</v>
          </cell>
          <cell r="X3378" t="str">
            <v/>
          </cell>
          <cell r="Y3378" t="str">
            <v/>
          </cell>
        </row>
        <row r="3379">
          <cell r="K3379">
            <v>43500</v>
          </cell>
          <cell r="X3379" t="str">
            <v/>
          </cell>
          <cell r="Y3379" t="str">
            <v/>
          </cell>
        </row>
        <row r="3380">
          <cell r="K3380">
            <v>3</v>
          </cell>
          <cell r="X3380" t="str">
            <v/>
          </cell>
          <cell r="Y3380" t="str">
            <v/>
          </cell>
        </row>
        <row r="3381">
          <cell r="K3381">
            <v>0.3</v>
          </cell>
          <cell r="X3381" t="str">
            <v>x</v>
          </cell>
          <cell r="Y3381" t="str">
            <v/>
          </cell>
        </row>
        <row r="3382">
          <cell r="K3382">
            <v>88934.61</v>
          </cell>
          <cell r="X3382" t="str">
            <v/>
          </cell>
          <cell r="Y3382" t="str">
            <v/>
          </cell>
        </row>
        <row r="3383">
          <cell r="K3383">
            <v>65.39</v>
          </cell>
          <cell r="X3383" t="str">
            <v/>
          </cell>
          <cell r="Y3383" t="str">
            <v/>
          </cell>
        </row>
        <row r="3384">
          <cell r="X3384" t="str">
            <v/>
          </cell>
          <cell r="Y3384" t="str">
            <v/>
          </cell>
        </row>
        <row r="3385">
          <cell r="K3385">
            <v>10</v>
          </cell>
          <cell r="X3385" t="str">
            <v/>
          </cell>
          <cell r="Y3385" t="str">
            <v/>
          </cell>
        </row>
        <row r="3386">
          <cell r="K3386">
            <v>294308</v>
          </cell>
          <cell r="X3386" t="str">
            <v/>
          </cell>
          <cell r="Y3386" t="str">
            <v/>
          </cell>
        </row>
        <row r="3387">
          <cell r="K3387">
            <v>12</v>
          </cell>
          <cell r="X3387" t="str">
            <v/>
          </cell>
          <cell r="Y3387" t="str">
            <v/>
          </cell>
        </row>
        <row r="3388">
          <cell r="K3388">
            <v>110</v>
          </cell>
          <cell r="X3388" t="str">
            <v/>
          </cell>
          <cell r="Y3388" t="str">
            <v/>
          </cell>
        </row>
        <row r="3389">
          <cell r="K3389">
            <v>38.770000000000003</v>
          </cell>
          <cell r="X3389" t="str">
            <v/>
          </cell>
          <cell r="Y3389" t="str">
            <v/>
          </cell>
        </row>
        <row r="3390">
          <cell r="K3390">
            <v>42100</v>
          </cell>
          <cell r="X3390" t="str">
            <v/>
          </cell>
          <cell r="Y3390" t="str">
            <v>x</v>
          </cell>
        </row>
        <row r="3391">
          <cell r="K3391">
            <v>140</v>
          </cell>
          <cell r="X3391" t="str">
            <v/>
          </cell>
          <cell r="Y3391" t="str">
            <v>x</v>
          </cell>
        </row>
        <row r="3392">
          <cell r="X3392" t="str">
            <v/>
          </cell>
          <cell r="Y3392" t="str">
            <v>x</v>
          </cell>
        </row>
        <row r="3393">
          <cell r="K3393">
            <v>40000</v>
          </cell>
          <cell r="X3393" t="str">
            <v/>
          </cell>
          <cell r="Y3393" t="str">
            <v/>
          </cell>
        </row>
        <row r="3394">
          <cell r="K3394">
            <v>40.01</v>
          </cell>
          <cell r="X3394" t="str">
            <v/>
          </cell>
          <cell r="Y3394" t="str">
            <v/>
          </cell>
        </row>
        <row r="3395">
          <cell r="X3395" t="str">
            <v/>
          </cell>
          <cell r="Y3395" t="str">
            <v/>
          </cell>
        </row>
        <row r="3396">
          <cell r="K3396">
            <v>51400</v>
          </cell>
          <cell r="X3396" t="str">
            <v/>
          </cell>
          <cell r="Y3396" t="str">
            <v/>
          </cell>
        </row>
        <row r="3397">
          <cell r="K3397">
            <v>50400</v>
          </cell>
          <cell r="X3397" t="str">
            <v/>
          </cell>
          <cell r="Y3397" t="str">
            <v/>
          </cell>
        </row>
        <row r="3398">
          <cell r="K3398">
            <v>142.83000000000001</v>
          </cell>
          <cell r="X3398" t="str">
            <v/>
          </cell>
          <cell r="Y3398" t="str">
            <v/>
          </cell>
        </row>
        <row r="3399">
          <cell r="X3399" t="str">
            <v/>
          </cell>
          <cell r="Y3399" t="str">
            <v/>
          </cell>
        </row>
        <row r="3400">
          <cell r="K3400">
            <v>192.44</v>
          </cell>
          <cell r="X3400" t="str">
            <v/>
          </cell>
          <cell r="Y3400" t="str">
            <v/>
          </cell>
        </row>
        <row r="3401">
          <cell r="K3401">
            <v>162.75</v>
          </cell>
          <cell r="X3401" t="str">
            <v/>
          </cell>
          <cell r="Y3401" t="str">
            <v/>
          </cell>
        </row>
        <row r="3402">
          <cell r="K3402">
            <v>229.91</v>
          </cell>
          <cell r="X3402" t="str">
            <v/>
          </cell>
          <cell r="Y3402" t="str">
            <v/>
          </cell>
        </row>
        <row r="3403">
          <cell r="K3403">
            <v>211.83</v>
          </cell>
          <cell r="X3403" t="str">
            <v/>
          </cell>
          <cell r="Y3403" t="str">
            <v/>
          </cell>
        </row>
        <row r="3404">
          <cell r="K3404">
            <v>248</v>
          </cell>
          <cell r="X3404" t="str">
            <v/>
          </cell>
          <cell r="Y3404" t="str">
            <v/>
          </cell>
        </row>
        <row r="3405">
          <cell r="K3405">
            <v>227.34</v>
          </cell>
          <cell r="X3405" t="str">
            <v/>
          </cell>
          <cell r="Y3405" t="str">
            <v/>
          </cell>
        </row>
        <row r="3406">
          <cell r="K3406">
            <v>248</v>
          </cell>
          <cell r="X3406" t="str">
            <v/>
          </cell>
          <cell r="Y3406" t="str">
            <v/>
          </cell>
        </row>
        <row r="3407">
          <cell r="K3407">
            <v>124</v>
          </cell>
          <cell r="X3407" t="str">
            <v/>
          </cell>
          <cell r="Y3407" t="str">
            <v/>
          </cell>
        </row>
        <row r="3408">
          <cell r="K3408">
            <v>170</v>
          </cell>
          <cell r="X3408" t="str">
            <v/>
          </cell>
          <cell r="Y3408" t="str">
            <v/>
          </cell>
        </row>
        <row r="3409">
          <cell r="K3409">
            <v>353.92</v>
          </cell>
          <cell r="X3409" t="str">
            <v/>
          </cell>
          <cell r="Y3409" t="str">
            <v/>
          </cell>
        </row>
        <row r="3410">
          <cell r="K3410">
            <v>43000</v>
          </cell>
          <cell r="X3410" t="str">
            <v/>
          </cell>
          <cell r="Y3410" t="str">
            <v/>
          </cell>
        </row>
        <row r="3411">
          <cell r="X3411" t="str">
            <v/>
          </cell>
          <cell r="Y3411" t="str">
            <v/>
          </cell>
        </row>
        <row r="3412">
          <cell r="X3412" t="str">
            <v>x</v>
          </cell>
          <cell r="Y3412" t="str">
            <v/>
          </cell>
        </row>
        <row r="3413">
          <cell r="X3413" t="str">
            <v/>
          </cell>
          <cell r="Y3413" t="str">
            <v/>
          </cell>
        </row>
        <row r="3414">
          <cell r="X3414" t="str">
            <v/>
          </cell>
          <cell r="Y3414" t="str">
            <v/>
          </cell>
        </row>
        <row r="3415">
          <cell r="X3415" t="str">
            <v>x</v>
          </cell>
          <cell r="Y3415" t="str">
            <v/>
          </cell>
        </row>
        <row r="3416">
          <cell r="X3416" t="str">
            <v/>
          </cell>
          <cell r="Y3416" t="str">
            <v/>
          </cell>
        </row>
        <row r="3417">
          <cell r="X3417" t="str">
            <v/>
          </cell>
          <cell r="Y3417" t="str">
            <v/>
          </cell>
        </row>
        <row r="3418">
          <cell r="X3418" t="str">
            <v>x</v>
          </cell>
          <cell r="Y3418" t="str">
            <v/>
          </cell>
        </row>
        <row r="3419">
          <cell r="X3419" t="str">
            <v/>
          </cell>
          <cell r="Y3419" t="str">
            <v/>
          </cell>
        </row>
        <row r="3420">
          <cell r="X3420" t="str">
            <v/>
          </cell>
          <cell r="Y3420" t="str">
            <v/>
          </cell>
        </row>
        <row r="3421">
          <cell r="X3421" t="str">
            <v>x</v>
          </cell>
          <cell r="Y3421" t="str">
            <v/>
          </cell>
        </row>
        <row r="3422">
          <cell r="X3422" t="str">
            <v/>
          </cell>
          <cell r="Y3422" t="str">
            <v/>
          </cell>
        </row>
        <row r="3423">
          <cell r="X3423" t="str">
            <v/>
          </cell>
          <cell r="Y3423" t="str">
            <v/>
          </cell>
        </row>
        <row r="3424">
          <cell r="X3424" t="str">
            <v/>
          </cell>
          <cell r="Y3424" t="str">
            <v/>
          </cell>
        </row>
        <row r="3425">
          <cell r="X3425" t="str">
            <v>x</v>
          </cell>
          <cell r="Y3425" t="str">
            <v/>
          </cell>
        </row>
        <row r="3426">
          <cell r="X3426" t="str">
            <v/>
          </cell>
          <cell r="Y3426" t="str">
            <v/>
          </cell>
        </row>
        <row r="3427">
          <cell r="X3427" t="str">
            <v/>
          </cell>
          <cell r="Y3427" t="str">
            <v/>
          </cell>
        </row>
        <row r="3428">
          <cell r="X3428" t="str">
            <v>x</v>
          </cell>
          <cell r="Y3428" t="str">
            <v/>
          </cell>
        </row>
        <row r="3429">
          <cell r="X3429" t="str">
            <v/>
          </cell>
          <cell r="Y3429" t="str">
            <v/>
          </cell>
        </row>
        <row r="3430">
          <cell r="X3430" t="str">
            <v/>
          </cell>
          <cell r="Y3430" t="str">
            <v/>
          </cell>
        </row>
        <row r="3431">
          <cell r="K3431">
            <v>43000</v>
          </cell>
          <cell r="X3431" t="str">
            <v/>
          </cell>
          <cell r="Y3431" t="str">
            <v/>
          </cell>
        </row>
        <row r="3432">
          <cell r="K3432">
            <v>82.42</v>
          </cell>
          <cell r="X3432" t="str">
            <v/>
          </cell>
          <cell r="Y3432" t="str">
            <v/>
          </cell>
        </row>
        <row r="3433">
          <cell r="X3433" t="str">
            <v/>
          </cell>
          <cell r="Y3433" t="str">
            <v/>
          </cell>
        </row>
        <row r="3434">
          <cell r="K3434">
            <v>135.25</v>
          </cell>
          <cell r="X3434" t="str">
            <v/>
          </cell>
          <cell r="Y3434" t="str">
            <v/>
          </cell>
        </row>
        <row r="3435">
          <cell r="K3435">
            <v>156.80000000000001</v>
          </cell>
          <cell r="X3435" t="str">
            <v/>
          </cell>
          <cell r="Y3435" t="str">
            <v/>
          </cell>
        </row>
        <row r="3436">
          <cell r="K3436">
            <v>100</v>
          </cell>
          <cell r="X3436" t="str">
            <v/>
          </cell>
          <cell r="Y3436" t="str">
            <v/>
          </cell>
        </row>
        <row r="3437">
          <cell r="X3437" t="str">
            <v/>
          </cell>
          <cell r="Y3437" t="str">
            <v/>
          </cell>
        </row>
        <row r="3438">
          <cell r="X3438" t="str">
            <v/>
          </cell>
          <cell r="Y3438" t="str">
            <v/>
          </cell>
        </row>
        <row r="3439">
          <cell r="K3439">
            <v>52300</v>
          </cell>
          <cell r="X3439" t="str">
            <v/>
          </cell>
          <cell r="Y3439" t="str">
            <v/>
          </cell>
        </row>
        <row r="3440">
          <cell r="X3440" t="str">
            <v/>
          </cell>
          <cell r="Y3440" t="str">
            <v/>
          </cell>
        </row>
        <row r="3441">
          <cell r="X3441" t="str">
            <v/>
          </cell>
          <cell r="Y3441" t="str">
            <v/>
          </cell>
        </row>
        <row r="3442">
          <cell r="X3442" t="str">
            <v>x</v>
          </cell>
          <cell r="Y3442" t="str">
            <v/>
          </cell>
        </row>
        <row r="3443">
          <cell r="X3443" t="str">
            <v/>
          </cell>
          <cell r="Y3443" t="str">
            <v/>
          </cell>
        </row>
        <row r="3444">
          <cell r="X3444" t="str">
            <v/>
          </cell>
          <cell r="Y3444" t="str">
            <v/>
          </cell>
        </row>
        <row r="3445">
          <cell r="X3445" t="str">
            <v/>
          </cell>
          <cell r="Y3445" t="str">
            <v/>
          </cell>
        </row>
        <row r="3446">
          <cell r="X3446" t="str">
            <v/>
          </cell>
          <cell r="Y3446" t="str">
            <v/>
          </cell>
        </row>
        <row r="3447">
          <cell r="X3447" t="str">
            <v/>
          </cell>
          <cell r="Y3447" t="str">
            <v/>
          </cell>
        </row>
        <row r="3448">
          <cell r="X3448" t="str">
            <v>x</v>
          </cell>
          <cell r="Y3448" t="str">
            <v/>
          </cell>
        </row>
        <row r="3449">
          <cell r="X3449" t="str">
            <v/>
          </cell>
          <cell r="Y3449" t="str">
            <v/>
          </cell>
        </row>
        <row r="3450">
          <cell r="X3450" t="str">
            <v/>
          </cell>
          <cell r="Y3450" t="str">
            <v/>
          </cell>
        </row>
        <row r="3451">
          <cell r="X3451" t="str">
            <v>x</v>
          </cell>
          <cell r="Y3451" t="str">
            <v/>
          </cell>
        </row>
        <row r="3452">
          <cell r="X3452" t="str">
            <v/>
          </cell>
          <cell r="Y3452" t="str">
            <v/>
          </cell>
        </row>
        <row r="3453">
          <cell r="X3453" t="str">
            <v>x</v>
          </cell>
          <cell r="Y3453" t="str">
            <v/>
          </cell>
        </row>
        <row r="3454">
          <cell r="X3454" t="str">
            <v/>
          </cell>
          <cell r="Y3454" t="str">
            <v/>
          </cell>
        </row>
        <row r="3455">
          <cell r="X3455" t="str">
            <v>x</v>
          </cell>
          <cell r="Y3455" t="str">
            <v/>
          </cell>
        </row>
        <row r="3456">
          <cell r="X3456" t="str">
            <v/>
          </cell>
          <cell r="Y3456" t="str">
            <v/>
          </cell>
        </row>
        <row r="3457">
          <cell r="X3457" t="str">
            <v/>
          </cell>
          <cell r="Y3457" t="str">
            <v/>
          </cell>
        </row>
        <row r="3458">
          <cell r="X3458" t="str">
            <v/>
          </cell>
          <cell r="Y3458" t="str">
            <v/>
          </cell>
        </row>
        <row r="3459">
          <cell r="X3459" t="str">
            <v/>
          </cell>
          <cell r="Y3459" t="str">
            <v/>
          </cell>
        </row>
        <row r="3460">
          <cell r="K3460">
            <v>450000</v>
          </cell>
          <cell r="X3460" t="str">
            <v/>
          </cell>
          <cell r="Y3460" t="str">
            <v/>
          </cell>
        </row>
        <row r="3461">
          <cell r="X3461" t="str">
            <v/>
          </cell>
          <cell r="Y3461" t="str">
            <v/>
          </cell>
        </row>
        <row r="3462">
          <cell r="X3462" t="str">
            <v/>
          </cell>
          <cell r="Y3462" t="str">
            <v/>
          </cell>
        </row>
        <row r="3463">
          <cell r="X3463" t="str">
            <v/>
          </cell>
          <cell r="Y3463" t="str">
            <v/>
          </cell>
        </row>
        <row r="3464">
          <cell r="X3464" t="str">
            <v>x</v>
          </cell>
          <cell r="Y3464" t="str">
            <v/>
          </cell>
        </row>
        <row r="3465">
          <cell r="X3465" t="str">
            <v/>
          </cell>
          <cell r="Y3465" t="str">
            <v/>
          </cell>
        </row>
        <row r="3466">
          <cell r="X3466" t="str">
            <v>x</v>
          </cell>
          <cell r="Y3466" t="str">
            <v/>
          </cell>
        </row>
        <row r="3467">
          <cell r="K3467">
            <v>52300</v>
          </cell>
          <cell r="X3467" t="str">
            <v/>
          </cell>
          <cell r="Y3467" t="str">
            <v/>
          </cell>
        </row>
        <row r="3468">
          <cell r="K3468">
            <v>111.14</v>
          </cell>
          <cell r="X3468" t="str">
            <v/>
          </cell>
          <cell r="Y3468" t="str">
            <v/>
          </cell>
        </row>
        <row r="3469">
          <cell r="X3469" t="str">
            <v/>
          </cell>
          <cell r="Y3469" t="str">
            <v/>
          </cell>
        </row>
        <row r="3470">
          <cell r="K3470">
            <v>240.25</v>
          </cell>
          <cell r="X3470" t="str">
            <v/>
          </cell>
          <cell r="Y3470" t="str">
            <v/>
          </cell>
        </row>
        <row r="3471">
          <cell r="K3471">
            <v>151.77000000000001</v>
          </cell>
          <cell r="X3471" t="str">
            <v/>
          </cell>
          <cell r="Y3471" t="str">
            <v/>
          </cell>
        </row>
        <row r="3472">
          <cell r="K3472">
            <v>116.46</v>
          </cell>
          <cell r="X3472" t="str">
            <v/>
          </cell>
          <cell r="Y3472" t="str">
            <v/>
          </cell>
        </row>
        <row r="3473">
          <cell r="X3473" t="str">
            <v/>
          </cell>
          <cell r="Y3473" t="str">
            <v/>
          </cell>
        </row>
        <row r="3474">
          <cell r="X3474" t="str">
            <v>x</v>
          </cell>
          <cell r="Y3474" t="str">
            <v/>
          </cell>
        </row>
        <row r="3475">
          <cell r="X3475" t="str">
            <v/>
          </cell>
          <cell r="Y3475" t="str">
            <v/>
          </cell>
        </row>
        <row r="3476">
          <cell r="X3476" t="str">
            <v>x</v>
          </cell>
          <cell r="Y3476" t="str">
            <v/>
          </cell>
        </row>
        <row r="3477">
          <cell r="X3477" t="str">
            <v/>
          </cell>
          <cell r="Y3477" t="str">
            <v/>
          </cell>
        </row>
        <row r="3478">
          <cell r="X3478" t="str">
            <v>x</v>
          </cell>
          <cell r="Y3478" t="str">
            <v/>
          </cell>
        </row>
        <row r="3479">
          <cell r="X3479" t="str">
            <v/>
          </cell>
          <cell r="Y3479" t="str">
            <v/>
          </cell>
        </row>
        <row r="3480">
          <cell r="X3480" t="str">
            <v/>
          </cell>
          <cell r="Y3480" t="str">
            <v/>
          </cell>
        </row>
        <row r="3481">
          <cell r="X3481" t="str">
            <v>x</v>
          </cell>
          <cell r="Y3481" t="str">
            <v/>
          </cell>
        </row>
        <row r="3482">
          <cell r="X3482" t="str">
            <v/>
          </cell>
          <cell r="Y3482" t="str">
            <v/>
          </cell>
        </row>
        <row r="3483">
          <cell r="X3483" t="str">
            <v/>
          </cell>
          <cell r="Y3483" t="str">
            <v/>
          </cell>
        </row>
        <row r="3484">
          <cell r="X3484" t="str">
            <v>x</v>
          </cell>
          <cell r="Y3484" t="str">
            <v/>
          </cell>
        </row>
        <row r="3485">
          <cell r="X3485" t="str">
            <v/>
          </cell>
          <cell r="Y3485" t="str">
            <v/>
          </cell>
        </row>
        <row r="3486">
          <cell r="X3486" t="str">
            <v/>
          </cell>
          <cell r="Y3486" t="str">
            <v/>
          </cell>
        </row>
        <row r="3487">
          <cell r="X3487" t="str">
            <v>x</v>
          </cell>
          <cell r="Y3487" t="str">
            <v/>
          </cell>
        </row>
        <row r="3488">
          <cell r="X3488" t="str">
            <v/>
          </cell>
          <cell r="Y3488" t="str">
            <v/>
          </cell>
        </row>
        <row r="3489">
          <cell r="X3489" t="str">
            <v/>
          </cell>
          <cell r="Y3489" t="str">
            <v/>
          </cell>
        </row>
        <row r="3490">
          <cell r="X3490" t="str">
            <v>x</v>
          </cell>
          <cell r="Y3490" t="str">
            <v/>
          </cell>
        </row>
        <row r="3491">
          <cell r="X3491" t="str">
            <v/>
          </cell>
          <cell r="Y3491" t="str">
            <v/>
          </cell>
        </row>
        <row r="3492">
          <cell r="X3492" t="str">
            <v/>
          </cell>
          <cell r="Y3492" t="str">
            <v/>
          </cell>
        </row>
        <row r="3493">
          <cell r="X3493" t="str">
            <v>x</v>
          </cell>
          <cell r="Y3493" t="str">
            <v/>
          </cell>
        </row>
        <row r="3494">
          <cell r="K3494">
            <v>48500</v>
          </cell>
          <cell r="X3494" t="str">
            <v/>
          </cell>
          <cell r="Y3494" t="str">
            <v/>
          </cell>
        </row>
        <row r="3495">
          <cell r="K3495">
            <v>63000</v>
          </cell>
          <cell r="X3495" t="str">
            <v/>
          </cell>
          <cell r="Y3495" t="str">
            <v/>
          </cell>
        </row>
        <row r="3496">
          <cell r="X3496" t="str">
            <v/>
          </cell>
          <cell r="Y3496" t="str">
            <v/>
          </cell>
        </row>
        <row r="3497">
          <cell r="K3497">
            <v>277600</v>
          </cell>
          <cell r="X3497" t="str">
            <v/>
          </cell>
          <cell r="Y3497" t="str">
            <v/>
          </cell>
        </row>
        <row r="3498">
          <cell r="X3498" t="str">
            <v/>
          </cell>
          <cell r="Y3498" t="str">
            <v/>
          </cell>
        </row>
        <row r="3499">
          <cell r="X3499" t="str">
            <v/>
          </cell>
          <cell r="Y3499" t="str">
            <v/>
          </cell>
        </row>
        <row r="3500">
          <cell r="X3500" t="str">
            <v>x</v>
          </cell>
          <cell r="Y3500" t="str">
            <v/>
          </cell>
        </row>
        <row r="3501">
          <cell r="X3501" t="str">
            <v/>
          </cell>
          <cell r="Y3501" t="str">
            <v/>
          </cell>
        </row>
        <row r="3502">
          <cell r="K3502">
            <v>441500</v>
          </cell>
          <cell r="X3502" t="str">
            <v/>
          </cell>
          <cell r="Y3502" t="str">
            <v/>
          </cell>
        </row>
        <row r="3503">
          <cell r="K3503">
            <v>356000</v>
          </cell>
          <cell r="X3503" t="str">
            <v/>
          </cell>
          <cell r="Y3503" t="str">
            <v/>
          </cell>
        </row>
        <row r="3504">
          <cell r="K3504">
            <v>83500</v>
          </cell>
          <cell r="X3504" t="str">
            <v/>
          </cell>
          <cell r="Y3504" t="str">
            <v/>
          </cell>
        </row>
        <row r="3505">
          <cell r="X3505" t="str">
            <v/>
          </cell>
          <cell r="Y3505" t="str">
            <v/>
          </cell>
        </row>
        <row r="3506">
          <cell r="X3506" t="str">
            <v>x</v>
          </cell>
          <cell r="Y3506" t="str">
            <v/>
          </cell>
        </row>
        <row r="3507">
          <cell r="X3507" t="str">
            <v/>
          </cell>
          <cell r="Y3507" t="str">
            <v/>
          </cell>
        </row>
        <row r="3508">
          <cell r="K3508">
            <v>43317</v>
          </cell>
          <cell r="X3508" t="str">
            <v/>
          </cell>
          <cell r="Y3508" t="str">
            <v/>
          </cell>
        </row>
        <row r="3509">
          <cell r="K3509">
            <v>84</v>
          </cell>
          <cell r="X3509" t="str">
            <v/>
          </cell>
          <cell r="Y3509" t="str">
            <v/>
          </cell>
        </row>
        <row r="3510">
          <cell r="X3510" t="str">
            <v/>
          </cell>
          <cell r="Y3510" t="str">
            <v/>
          </cell>
        </row>
        <row r="3511">
          <cell r="K3511">
            <v>107860</v>
          </cell>
          <cell r="X3511" t="str">
            <v/>
          </cell>
          <cell r="Y3511" t="str">
            <v>x</v>
          </cell>
        </row>
        <row r="3512">
          <cell r="K3512">
            <v>140</v>
          </cell>
          <cell r="X3512" t="str">
            <v/>
          </cell>
          <cell r="Y3512" t="str">
            <v>x</v>
          </cell>
        </row>
        <row r="3513">
          <cell r="X3513" t="str">
            <v/>
          </cell>
          <cell r="Y3513" t="str">
            <v>x</v>
          </cell>
        </row>
        <row r="3514">
          <cell r="K3514">
            <v>41588</v>
          </cell>
          <cell r="X3514" t="str">
            <v/>
          </cell>
          <cell r="Y3514" t="str">
            <v/>
          </cell>
        </row>
        <row r="3515">
          <cell r="K3515">
            <v>172</v>
          </cell>
          <cell r="X3515" t="str">
            <v/>
          </cell>
          <cell r="Y3515" t="str">
            <v/>
          </cell>
        </row>
        <row r="3516">
          <cell r="X3516" t="str">
            <v/>
          </cell>
          <cell r="Y3516" t="str">
            <v/>
          </cell>
        </row>
        <row r="3517">
          <cell r="K3517">
            <v>41200</v>
          </cell>
          <cell r="X3517" t="str">
            <v/>
          </cell>
          <cell r="Y3517" t="str">
            <v/>
          </cell>
        </row>
        <row r="3518">
          <cell r="K3518">
            <v>48.07</v>
          </cell>
          <cell r="X3518" t="str">
            <v/>
          </cell>
          <cell r="Y3518" t="str">
            <v/>
          </cell>
        </row>
        <row r="3519">
          <cell r="X3519" t="str">
            <v/>
          </cell>
          <cell r="Y3519" t="str">
            <v/>
          </cell>
        </row>
        <row r="3520">
          <cell r="K3520">
            <v>102600</v>
          </cell>
          <cell r="X3520" t="str">
            <v/>
          </cell>
          <cell r="Y3520" t="str">
            <v/>
          </cell>
        </row>
        <row r="3521">
          <cell r="K3521">
            <v>145.35000000000582</v>
          </cell>
          <cell r="X3521" t="str">
            <v/>
          </cell>
          <cell r="Y3521" t="str">
            <v/>
          </cell>
        </row>
        <row r="3522">
          <cell r="X3522" t="str">
            <v/>
          </cell>
          <cell r="Y3522" t="str">
            <v/>
          </cell>
        </row>
        <row r="3523">
          <cell r="K3523">
            <v>37584</v>
          </cell>
          <cell r="X3523" t="str">
            <v/>
          </cell>
          <cell r="Y3523" t="str">
            <v/>
          </cell>
        </row>
        <row r="3524">
          <cell r="K3524">
            <v>43.849999999998545</v>
          </cell>
          <cell r="X3524" t="str">
            <v/>
          </cell>
          <cell r="Y3524" t="str">
            <v/>
          </cell>
        </row>
        <row r="3525">
          <cell r="X3525" t="str">
            <v/>
          </cell>
          <cell r="Y3525" t="str">
            <v/>
          </cell>
        </row>
        <row r="3526">
          <cell r="K3526">
            <v>149355.4</v>
          </cell>
          <cell r="X3526" t="str">
            <v/>
          </cell>
          <cell r="Y3526" t="str">
            <v/>
          </cell>
        </row>
        <row r="3527">
          <cell r="K3527">
            <v>12</v>
          </cell>
          <cell r="X3527" t="str">
            <v/>
          </cell>
          <cell r="Y3527" t="str">
            <v/>
          </cell>
        </row>
        <row r="3528">
          <cell r="K3528">
            <v>71910</v>
          </cell>
          <cell r="X3528" t="str">
            <v/>
          </cell>
          <cell r="Y3528" t="str">
            <v/>
          </cell>
        </row>
        <row r="3529">
          <cell r="K3529">
            <v>90</v>
          </cell>
          <cell r="X3529" t="str">
            <v/>
          </cell>
          <cell r="Y3529" t="str">
            <v/>
          </cell>
        </row>
        <row r="3530">
          <cell r="X3530" t="str">
            <v/>
          </cell>
          <cell r="Y3530" t="str">
            <v/>
          </cell>
        </row>
        <row r="3531">
          <cell r="K3531">
            <v>53000</v>
          </cell>
          <cell r="X3531" t="str">
            <v/>
          </cell>
          <cell r="Y3531" t="str">
            <v/>
          </cell>
        </row>
        <row r="3532">
          <cell r="K3532">
            <v>3</v>
          </cell>
          <cell r="X3532" t="str">
            <v/>
          </cell>
          <cell r="Y3532" t="str">
            <v/>
          </cell>
        </row>
        <row r="3533">
          <cell r="K3533">
            <v>0.3</v>
          </cell>
          <cell r="X3533" t="str">
            <v>x</v>
          </cell>
          <cell r="Y3533" t="str">
            <v/>
          </cell>
        </row>
        <row r="3534">
          <cell r="K3534">
            <v>68400</v>
          </cell>
          <cell r="X3534" t="str">
            <v/>
          </cell>
          <cell r="Y3534" t="str">
            <v/>
          </cell>
        </row>
        <row r="3535">
          <cell r="K3535">
            <v>79.8</v>
          </cell>
          <cell r="X3535" t="str">
            <v/>
          </cell>
          <cell r="Y3535" t="str">
            <v/>
          </cell>
        </row>
        <row r="3536">
          <cell r="X3536" t="str">
            <v/>
          </cell>
          <cell r="Y3536" t="str">
            <v/>
          </cell>
        </row>
        <row r="3537">
          <cell r="K3537">
            <v>63000</v>
          </cell>
          <cell r="X3537" t="str">
            <v/>
          </cell>
          <cell r="Y3537" t="str">
            <v/>
          </cell>
        </row>
        <row r="3538">
          <cell r="K3538">
            <v>89.29</v>
          </cell>
          <cell r="X3538" t="str">
            <v/>
          </cell>
          <cell r="Y3538" t="str">
            <v/>
          </cell>
        </row>
        <row r="3539">
          <cell r="X3539" t="str">
            <v/>
          </cell>
          <cell r="Y3539" t="str">
            <v/>
          </cell>
        </row>
        <row r="3540">
          <cell r="K3540">
            <v>277610.8</v>
          </cell>
          <cell r="X3540" t="str">
            <v/>
          </cell>
          <cell r="Y3540" t="str">
            <v/>
          </cell>
        </row>
        <row r="3541">
          <cell r="K3541">
            <v>12</v>
          </cell>
          <cell r="X3541" t="str">
            <v/>
          </cell>
          <cell r="Y3541" t="str">
            <v/>
          </cell>
        </row>
        <row r="3542">
          <cell r="K3542">
            <v>441468</v>
          </cell>
          <cell r="X3542" t="str">
            <v/>
          </cell>
          <cell r="Y3542" t="str">
            <v/>
          </cell>
        </row>
        <row r="3543">
          <cell r="K3543">
            <v>12</v>
          </cell>
          <cell r="X3543" t="str">
            <v/>
          </cell>
          <cell r="Y3543" t="str">
            <v/>
          </cell>
        </row>
        <row r="3544">
          <cell r="K3544">
            <v>0.06</v>
          </cell>
          <cell r="X3544" t="str">
            <v/>
          </cell>
          <cell r="Y3544" t="str">
            <v/>
          </cell>
        </row>
        <row r="3545">
          <cell r="K3545">
            <v>0.06</v>
          </cell>
          <cell r="X3545" t="str">
            <v/>
          </cell>
          <cell r="Y3545" t="str">
            <v/>
          </cell>
        </row>
        <row r="3546">
          <cell r="K3546">
            <v>0.05</v>
          </cell>
          <cell r="X3546" t="str">
            <v/>
          </cell>
          <cell r="Y3546" t="str">
            <v/>
          </cell>
        </row>
        <row r="3547">
          <cell r="K3547">
            <v>0.06</v>
          </cell>
          <cell r="X3547" t="str">
            <v/>
          </cell>
          <cell r="Y3547" t="str">
            <v/>
          </cell>
        </row>
        <row r="3548">
          <cell r="K3548">
            <v>0.06</v>
          </cell>
          <cell r="X3548" t="str">
            <v/>
          </cell>
          <cell r="Y3548" t="str">
            <v/>
          </cell>
        </row>
        <row r="3549">
          <cell r="K3549">
            <v>0.05</v>
          </cell>
          <cell r="X3549" t="str">
            <v/>
          </cell>
          <cell r="Y3549" t="str">
            <v/>
          </cell>
        </row>
        <row r="3550">
          <cell r="K3550">
            <v>0.09</v>
          </cell>
          <cell r="X3550" t="str">
            <v/>
          </cell>
          <cell r="Y3550" t="str">
            <v/>
          </cell>
        </row>
        <row r="3551">
          <cell r="K3551">
            <v>0.04</v>
          </cell>
          <cell r="X3551" t="str">
            <v/>
          </cell>
          <cell r="Y3551" t="str">
            <v/>
          </cell>
        </row>
        <row r="3552">
          <cell r="K3552">
            <v>0.03</v>
          </cell>
          <cell r="X3552" t="str">
            <v/>
          </cell>
          <cell r="Y3552" t="str">
            <v/>
          </cell>
        </row>
        <row r="3553">
          <cell r="K3553">
            <v>448090.2</v>
          </cell>
          <cell r="X3553" t="str">
            <v/>
          </cell>
          <cell r="Y3553" t="str">
            <v/>
          </cell>
        </row>
        <row r="3554">
          <cell r="K3554">
            <v>12</v>
          </cell>
          <cell r="X3554" t="str">
            <v/>
          </cell>
          <cell r="Y3554" t="str">
            <v/>
          </cell>
        </row>
        <row r="3555">
          <cell r="K3555">
            <v>100</v>
          </cell>
          <cell r="X3555" t="str">
            <v/>
          </cell>
          <cell r="Y3555" t="str">
            <v/>
          </cell>
        </row>
        <row r="3556">
          <cell r="K3556">
            <v>10</v>
          </cell>
          <cell r="X3556" t="str">
            <v>x</v>
          </cell>
          <cell r="Y3556" t="str">
            <v/>
          </cell>
        </row>
        <row r="3557">
          <cell r="K3557">
            <v>29.83</v>
          </cell>
          <cell r="X3557" t="str">
            <v/>
          </cell>
          <cell r="Y3557" t="str">
            <v/>
          </cell>
        </row>
        <row r="3558">
          <cell r="K3558">
            <v>89500</v>
          </cell>
          <cell r="X3558" t="str">
            <v/>
          </cell>
          <cell r="Y3558" t="str">
            <v/>
          </cell>
        </row>
        <row r="3559">
          <cell r="X3559" t="str">
            <v/>
          </cell>
          <cell r="Y3559" t="str">
            <v/>
          </cell>
        </row>
        <row r="3560">
          <cell r="K3560">
            <v>201.37</v>
          </cell>
          <cell r="X3560" t="str">
            <v/>
          </cell>
          <cell r="Y3560" t="str">
            <v/>
          </cell>
        </row>
        <row r="3561">
          <cell r="K3561">
            <v>216</v>
          </cell>
          <cell r="X3561" t="str">
            <v/>
          </cell>
          <cell r="Y3561" t="str">
            <v/>
          </cell>
        </row>
        <row r="3562">
          <cell r="K3562">
            <v>127.75</v>
          </cell>
          <cell r="X3562" t="str">
            <v/>
          </cell>
          <cell r="Y3562" t="str">
            <v/>
          </cell>
        </row>
        <row r="3563">
          <cell r="K3563">
            <v>191.25</v>
          </cell>
          <cell r="X3563" t="str">
            <v/>
          </cell>
          <cell r="Y3563" t="str">
            <v/>
          </cell>
        </row>
        <row r="3564">
          <cell r="K3564">
            <v>308.25</v>
          </cell>
          <cell r="X3564" t="str">
            <v/>
          </cell>
          <cell r="Y3564" t="str">
            <v/>
          </cell>
        </row>
        <row r="3565">
          <cell r="K3565">
            <v>198</v>
          </cell>
          <cell r="X3565" t="str">
            <v/>
          </cell>
          <cell r="Y3565" t="str">
            <v/>
          </cell>
        </row>
        <row r="3566">
          <cell r="K3566">
            <v>200.25</v>
          </cell>
          <cell r="X3566" t="str">
            <v/>
          </cell>
          <cell r="Y3566" t="str">
            <v/>
          </cell>
        </row>
        <row r="3567">
          <cell r="K3567">
            <v>52.5</v>
          </cell>
          <cell r="X3567" t="str">
            <v/>
          </cell>
          <cell r="Y3567" t="str">
            <v/>
          </cell>
        </row>
        <row r="3568">
          <cell r="K3568">
            <v>216</v>
          </cell>
          <cell r="X3568" t="str">
            <v/>
          </cell>
          <cell r="Y3568" t="str">
            <v/>
          </cell>
        </row>
        <row r="3569">
          <cell r="K3569">
            <v>184.5</v>
          </cell>
          <cell r="X3569" t="str">
            <v/>
          </cell>
          <cell r="Y3569" t="str">
            <v/>
          </cell>
        </row>
        <row r="3570">
          <cell r="K3570">
            <v>209.25</v>
          </cell>
          <cell r="X3570" t="str">
            <v/>
          </cell>
          <cell r="Y3570" t="str">
            <v/>
          </cell>
        </row>
        <row r="3571">
          <cell r="K3571">
            <v>32</v>
          </cell>
          <cell r="X3571" t="str">
            <v/>
          </cell>
          <cell r="Y3571" t="str">
            <v/>
          </cell>
        </row>
        <row r="3572">
          <cell r="K3572">
            <v>21</v>
          </cell>
          <cell r="X3572" t="str">
            <v/>
          </cell>
          <cell r="Y3572" t="str">
            <v/>
          </cell>
        </row>
        <row r="3573">
          <cell r="K3573">
            <v>45.67</v>
          </cell>
          <cell r="X3573" t="str">
            <v/>
          </cell>
          <cell r="Y3573" t="str">
            <v/>
          </cell>
        </row>
        <row r="3574">
          <cell r="K3574">
            <v>31</v>
          </cell>
          <cell r="X3574" t="str">
            <v/>
          </cell>
          <cell r="Y3574" t="str">
            <v/>
          </cell>
        </row>
        <row r="3575">
          <cell r="K3575">
            <v>29.67</v>
          </cell>
          <cell r="X3575" t="str">
            <v/>
          </cell>
          <cell r="Y3575" t="str">
            <v/>
          </cell>
        </row>
        <row r="3576">
          <cell r="K3576">
            <v>32</v>
          </cell>
          <cell r="X3576" t="str">
            <v/>
          </cell>
          <cell r="Y3576" t="str">
            <v/>
          </cell>
        </row>
        <row r="3577">
          <cell r="K3577">
            <v>28.33</v>
          </cell>
          <cell r="X3577" t="str">
            <v/>
          </cell>
          <cell r="Y3577" t="str">
            <v/>
          </cell>
        </row>
        <row r="3578">
          <cell r="K3578">
            <v>27.33</v>
          </cell>
          <cell r="X3578" t="str">
            <v/>
          </cell>
          <cell r="Y3578" t="str">
            <v/>
          </cell>
        </row>
        <row r="3579">
          <cell r="K3579">
            <v>17.03</v>
          </cell>
          <cell r="X3579" t="str">
            <v/>
          </cell>
          <cell r="Y3579" t="str">
            <v/>
          </cell>
        </row>
        <row r="3580">
          <cell r="K3580">
            <v>29.33</v>
          </cell>
          <cell r="X3580" t="str">
            <v/>
          </cell>
          <cell r="Y3580" t="str">
            <v/>
          </cell>
        </row>
        <row r="3581">
          <cell r="K3581">
            <v>450229.68</v>
          </cell>
          <cell r="X3581" t="str">
            <v/>
          </cell>
          <cell r="Y3581" t="str">
            <v/>
          </cell>
        </row>
        <row r="3582">
          <cell r="K3582">
            <v>12</v>
          </cell>
          <cell r="X3582" t="str">
            <v/>
          </cell>
          <cell r="Y3582" t="str">
            <v/>
          </cell>
        </row>
        <row r="3583">
          <cell r="K3583">
            <v>3</v>
          </cell>
          <cell r="X3583" t="str">
            <v/>
          </cell>
          <cell r="Y3583" t="str">
            <v/>
          </cell>
        </row>
        <row r="3584">
          <cell r="K3584">
            <v>0.3</v>
          </cell>
          <cell r="X3584" t="str">
            <v>x</v>
          </cell>
          <cell r="Y3584" t="str">
            <v/>
          </cell>
        </row>
        <row r="3585">
          <cell r="K3585">
            <v>450000</v>
          </cell>
          <cell r="X3585" t="str">
            <v/>
          </cell>
          <cell r="Y3585" t="str">
            <v/>
          </cell>
        </row>
        <row r="3586">
          <cell r="K3586">
            <v>448090.2</v>
          </cell>
          <cell r="X3586" t="str">
            <v/>
          </cell>
          <cell r="Y3586" t="str">
            <v/>
          </cell>
        </row>
        <row r="3587">
          <cell r="K3587">
            <v>12</v>
          </cell>
          <cell r="X3587" t="str">
            <v/>
          </cell>
          <cell r="Y3587" t="str">
            <v/>
          </cell>
        </row>
        <row r="3588">
          <cell r="X3588" t="str">
            <v/>
          </cell>
          <cell r="Y3588" t="str">
            <v/>
          </cell>
        </row>
        <row r="3589">
          <cell r="K3589">
            <v>58.67</v>
          </cell>
          <cell r="X3589" t="str">
            <v/>
          </cell>
          <cell r="Y3589" t="str">
            <v/>
          </cell>
        </row>
        <row r="3590">
          <cell r="K3590">
            <v>88000</v>
          </cell>
          <cell r="X3590" t="str">
            <v/>
          </cell>
          <cell r="Y3590" t="str">
            <v/>
          </cell>
        </row>
        <row r="3591">
          <cell r="X3591" t="str">
            <v/>
          </cell>
          <cell r="Y3591" t="str">
            <v/>
          </cell>
        </row>
        <row r="3592">
          <cell r="K3592">
            <v>360300</v>
          </cell>
          <cell r="X3592" t="str">
            <v/>
          </cell>
          <cell r="Y3592" t="str">
            <v/>
          </cell>
        </row>
        <row r="3593">
          <cell r="K3593">
            <v>14964.08</v>
          </cell>
          <cell r="X3593" t="str">
            <v/>
          </cell>
          <cell r="Y3593" t="str">
            <v/>
          </cell>
        </row>
        <row r="3594">
          <cell r="K3594">
            <v>15000</v>
          </cell>
          <cell r="X3594" t="str">
            <v/>
          </cell>
          <cell r="Y3594" t="str">
            <v/>
          </cell>
        </row>
        <row r="3595">
          <cell r="K3595">
            <v>24972</v>
          </cell>
          <cell r="X3595" t="str">
            <v/>
          </cell>
          <cell r="Y3595" t="str">
            <v/>
          </cell>
        </row>
        <row r="3596">
          <cell r="K3596">
            <v>84</v>
          </cell>
          <cell r="X3596" t="str">
            <v/>
          </cell>
          <cell r="Y3596" t="str">
            <v/>
          </cell>
        </row>
        <row r="3597">
          <cell r="X3597" t="str">
            <v/>
          </cell>
          <cell r="Y3597" t="str">
            <v/>
          </cell>
        </row>
        <row r="3598">
          <cell r="K3598">
            <v>11.9</v>
          </cell>
          <cell r="X3598" t="str">
            <v/>
          </cell>
          <cell r="Y3598" t="str">
            <v/>
          </cell>
        </row>
        <row r="3599">
          <cell r="K3599">
            <v>23800</v>
          </cell>
          <cell r="X3599" t="str">
            <v/>
          </cell>
          <cell r="Y3599" t="str">
            <v/>
          </cell>
        </row>
        <row r="3600">
          <cell r="X3600" t="str">
            <v/>
          </cell>
          <cell r="Y3600" t="str">
            <v/>
          </cell>
        </row>
        <row r="3601">
          <cell r="K3601">
            <v>108.29</v>
          </cell>
          <cell r="X3601" t="str">
            <v/>
          </cell>
          <cell r="Y3601" t="str">
            <v/>
          </cell>
        </row>
        <row r="3602">
          <cell r="K3602">
            <v>194.83</v>
          </cell>
          <cell r="X3602" t="str">
            <v/>
          </cell>
          <cell r="Y3602" t="str">
            <v/>
          </cell>
        </row>
        <row r="3603">
          <cell r="K3603">
            <v>138.54</v>
          </cell>
          <cell r="X3603" t="str">
            <v/>
          </cell>
          <cell r="Y3603" t="str">
            <v/>
          </cell>
        </row>
        <row r="3604">
          <cell r="K3604">
            <v>191.33</v>
          </cell>
          <cell r="X3604" t="str">
            <v/>
          </cell>
          <cell r="Y3604" t="str">
            <v/>
          </cell>
        </row>
        <row r="3605">
          <cell r="K3605">
            <v>217</v>
          </cell>
          <cell r="X3605" t="str">
            <v/>
          </cell>
          <cell r="Y3605" t="str">
            <v/>
          </cell>
        </row>
        <row r="3606">
          <cell r="K3606">
            <v>224</v>
          </cell>
          <cell r="X3606" t="str">
            <v/>
          </cell>
          <cell r="Y3606" t="str">
            <v/>
          </cell>
        </row>
        <row r="3607">
          <cell r="K3607">
            <v>224</v>
          </cell>
          <cell r="X3607" t="str">
            <v/>
          </cell>
          <cell r="Y3607" t="str">
            <v/>
          </cell>
        </row>
        <row r="3608">
          <cell r="K3608">
            <v>11882.6</v>
          </cell>
          <cell r="X3608" t="str">
            <v/>
          </cell>
          <cell r="Y3608" t="str">
            <v/>
          </cell>
        </row>
        <row r="3609">
          <cell r="K3609">
            <v>10998</v>
          </cell>
          <cell r="X3609" t="str">
            <v/>
          </cell>
          <cell r="Y3609" t="str">
            <v/>
          </cell>
        </row>
        <row r="3610">
          <cell r="X3610" t="str">
            <v/>
          </cell>
          <cell r="Y3610" t="str">
            <v/>
          </cell>
        </row>
        <row r="3611">
          <cell r="K3611">
            <v>0.36</v>
          </cell>
          <cell r="X3611" t="str">
            <v/>
          </cell>
          <cell r="Y3611" t="str">
            <v/>
          </cell>
        </row>
        <row r="3612">
          <cell r="K3612">
            <v>319.67</v>
          </cell>
          <cell r="X3612" t="str">
            <v/>
          </cell>
          <cell r="Y3612" t="str">
            <v/>
          </cell>
        </row>
        <row r="3613">
          <cell r="K3613">
            <v>0.23</v>
          </cell>
          <cell r="X3613" t="str">
            <v/>
          </cell>
          <cell r="Y3613" t="str">
            <v/>
          </cell>
        </row>
        <row r="3614">
          <cell r="K3614">
            <v>207.67</v>
          </cell>
          <cell r="X3614" t="str">
            <v/>
          </cell>
          <cell r="Y3614" t="str">
            <v/>
          </cell>
        </row>
        <row r="3615">
          <cell r="K3615">
            <v>0.22</v>
          </cell>
          <cell r="X3615" t="str">
            <v/>
          </cell>
          <cell r="Y3615" t="str">
            <v/>
          </cell>
        </row>
        <row r="3616">
          <cell r="K3616">
            <v>198.33</v>
          </cell>
          <cell r="X3616" t="str">
            <v/>
          </cell>
          <cell r="Y3616" t="str">
            <v/>
          </cell>
        </row>
        <row r="3617">
          <cell r="K3617">
            <v>0.04</v>
          </cell>
          <cell r="X3617" t="str">
            <v/>
          </cell>
          <cell r="Y3617" t="str">
            <v/>
          </cell>
        </row>
        <row r="3618">
          <cell r="K3618">
            <v>38.71</v>
          </cell>
          <cell r="X3618" t="str">
            <v/>
          </cell>
          <cell r="Y3618" t="str">
            <v/>
          </cell>
        </row>
        <row r="3619">
          <cell r="K3619">
            <v>0.13</v>
          </cell>
          <cell r="X3619" t="str">
            <v/>
          </cell>
          <cell r="Y3619" t="str">
            <v/>
          </cell>
        </row>
        <row r="3620">
          <cell r="K3620">
            <v>119.23</v>
          </cell>
          <cell r="X3620" t="str">
            <v/>
          </cell>
          <cell r="Y3620" t="str">
            <v/>
          </cell>
        </row>
        <row r="3621">
          <cell r="X3621" t="str">
            <v/>
          </cell>
          <cell r="Y3621" t="str">
            <v/>
          </cell>
        </row>
        <row r="3622">
          <cell r="K3622">
            <v>87500</v>
          </cell>
          <cell r="X3622" t="str">
            <v/>
          </cell>
          <cell r="Y3622" t="str">
            <v/>
          </cell>
        </row>
        <row r="3623">
          <cell r="X3623" t="str">
            <v/>
          </cell>
          <cell r="Y3623" t="str">
            <v/>
          </cell>
        </row>
        <row r="3624">
          <cell r="K3624">
            <v>23800</v>
          </cell>
          <cell r="X3624" t="str">
            <v/>
          </cell>
          <cell r="Y3624" t="str">
            <v/>
          </cell>
        </row>
        <row r="3625">
          <cell r="X3625" t="str">
            <v/>
          </cell>
          <cell r="Y3625" t="str">
            <v/>
          </cell>
        </row>
        <row r="3626">
          <cell r="X3626" t="str">
            <v/>
          </cell>
          <cell r="Y3626" t="str">
            <v/>
          </cell>
        </row>
        <row r="3627">
          <cell r="X3627" t="str">
            <v/>
          </cell>
          <cell r="Y3627" t="str">
            <v/>
          </cell>
        </row>
        <row r="3628">
          <cell r="X3628" t="str">
            <v>x</v>
          </cell>
          <cell r="Y3628" t="str">
            <v/>
          </cell>
        </row>
        <row r="3629">
          <cell r="X3629" t="str">
            <v/>
          </cell>
          <cell r="Y3629" t="str">
            <v/>
          </cell>
        </row>
        <row r="3630">
          <cell r="X3630" t="str">
            <v/>
          </cell>
          <cell r="Y3630" t="str">
            <v/>
          </cell>
        </row>
        <row r="3631">
          <cell r="X3631" t="str">
            <v>x</v>
          </cell>
          <cell r="Y3631" t="str">
            <v/>
          </cell>
        </row>
        <row r="3632">
          <cell r="X3632" t="str">
            <v/>
          </cell>
          <cell r="Y3632" t="str">
            <v/>
          </cell>
        </row>
        <row r="3633">
          <cell r="X3633" t="str">
            <v/>
          </cell>
          <cell r="Y3633" t="str">
            <v/>
          </cell>
        </row>
        <row r="3634">
          <cell r="X3634" t="str">
            <v>x</v>
          </cell>
          <cell r="Y3634" t="str">
            <v/>
          </cell>
        </row>
        <row r="3635">
          <cell r="X3635" t="str">
            <v/>
          </cell>
          <cell r="Y3635" t="str">
            <v/>
          </cell>
        </row>
        <row r="3636">
          <cell r="X3636" t="str">
            <v>x</v>
          </cell>
          <cell r="Y3636" t="str">
            <v/>
          </cell>
        </row>
        <row r="3637">
          <cell r="X3637" t="str">
            <v/>
          </cell>
          <cell r="Y3637" t="str">
            <v/>
          </cell>
        </row>
        <row r="3638">
          <cell r="X3638" t="str">
            <v/>
          </cell>
          <cell r="Y3638" t="str">
            <v/>
          </cell>
        </row>
        <row r="3639">
          <cell r="X3639" t="str">
            <v/>
          </cell>
          <cell r="Y3639" t="str">
            <v/>
          </cell>
        </row>
        <row r="3640">
          <cell r="K3640">
            <v>33700</v>
          </cell>
          <cell r="X3640" t="str">
            <v/>
          </cell>
          <cell r="Y3640" t="str">
            <v/>
          </cell>
        </row>
        <row r="3641">
          <cell r="X3641" t="str">
            <v/>
          </cell>
          <cell r="Y3641" t="str">
            <v/>
          </cell>
        </row>
        <row r="3642">
          <cell r="X3642" t="str">
            <v/>
          </cell>
          <cell r="Y3642" t="str">
            <v/>
          </cell>
        </row>
        <row r="3643">
          <cell r="X3643" t="str">
            <v>x</v>
          </cell>
          <cell r="Y3643" t="str">
            <v/>
          </cell>
        </row>
        <row r="3644">
          <cell r="X3644" t="str">
            <v/>
          </cell>
          <cell r="Y3644" t="str">
            <v/>
          </cell>
        </row>
        <row r="3645">
          <cell r="X3645" t="str">
            <v>x</v>
          </cell>
          <cell r="Y3645" t="str">
            <v/>
          </cell>
        </row>
        <row r="3646">
          <cell r="X3646" t="str">
            <v/>
          </cell>
          <cell r="Y3646" t="str">
            <v/>
          </cell>
        </row>
        <row r="3647">
          <cell r="X3647" t="str">
            <v/>
          </cell>
          <cell r="Y3647" t="str">
            <v/>
          </cell>
        </row>
        <row r="3648">
          <cell r="X3648" t="str">
            <v/>
          </cell>
          <cell r="Y3648" t="str">
            <v/>
          </cell>
        </row>
        <row r="3649">
          <cell r="X3649" t="str">
            <v/>
          </cell>
          <cell r="Y3649" t="str">
            <v/>
          </cell>
        </row>
        <row r="3650">
          <cell r="X3650" t="str">
            <v/>
          </cell>
          <cell r="Y3650" t="str">
            <v/>
          </cell>
        </row>
        <row r="3651">
          <cell r="X3651" t="str">
            <v/>
          </cell>
          <cell r="Y3651" t="str">
            <v/>
          </cell>
        </row>
        <row r="3652">
          <cell r="X3652" t="str">
            <v/>
          </cell>
          <cell r="Y3652" t="str">
            <v/>
          </cell>
        </row>
        <row r="3653">
          <cell r="X3653" t="str">
            <v/>
          </cell>
          <cell r="Y3653" t="str">
            <v/>
          </cell>
        </row>
        <row r="3654">
          <cell r="X3654" t="str">
            <v>x</v>
          </cell>
          <cell r="Y3654" t="str">
            <v/>
          </cell>
        </row>
        <row r="3655">
          <cell r="X3655" t="str">
            <v/>
          </cell>
          <cell r="Y3655" t="str">
            <v/>
          </cell>
        </row>
        <row r="3656">
          <cell r="X3656" t="str">
            <v/>
          </cell>
          <cell r="Y3656" t="str">
            <v/>
          </cell>
        </row>
        <row r="3657">
          <cell r="X3657" t="str">
            <v>x</v>
          </cell>
          <cell r="Y3657" t="str">
            <v/>
          </cell>
        </row>
        <row r="3658">
          <cell r="X3658" t="str">
            <v/>
          </cell>
          <cell r="Y3658" t="str">
            <v/>
          </cell>
        </row>
        <row r="3659">
          <cell r="X3659" t="str">
            <v/>
          </cell>
          <cell r="Y3659" t="str">
            <v/>
          </cell>
        </row>
        <row r="3660">
          <cell r="X3660" t="str">
            <v>x</v>
          </cell>
          <cell r="Y3660" t="str">
            <v/>
          </cell>
        </row>
        <row r="3661">
          <cell r="X3661" t="str">
            <v/>
          </cell>
          <cell r="Y3661" t="str">
            <v/>
          </cell>
        </row>
        <row r="3662">
          <cell r="X3662" t="str">
            <v/>
          </cell>
          <cell r="Y3662" t="str">
            <v/>
          </cell>
        </row>
        <row r="3663">
          <cell r="X3663" t="str">
            <v>x</v>
          </cell>
          <cell r="Y3663" t="str">
            <v/>
          </cell>
        </row>
        <row r="3664">
          <cell r="X3664" t="str">
            <v/>
          </cell>
          <cell r="Y3664" t="str">
            <v/>
          </cell>
        </row>
        <row r="3665">
          <cell r="X3665" t="str">
            <v/>
          </cell>
          <cell r="Y3665" t="str">
            <v/>
          </cell>
        </row>
        <row r="3666">
          <cell r="X3666" t="str">
            <v>x</v>
          </cell>
          <cell r="Y3666" t="str">
            <v/>
          </cell>
        </row>
        <row r="3667">
          <cell r="X3667" t="str">
            <v/>
          </cell>
          <cell r="Y3667" t="str">
            <v/>
          </cell>
        </row>
        <row r="3668">
          <cell r="X3668" t="str">
            <v/>
          </cell>
          <cell r="Y3668" t="str">
            <v/>
          </cell>
        </row>
        <row r="3669">
          <cell r="X3669" t="str">
            <v/>
          </cell>
          <cell r="Y3669" t="str">
            <v/>
          </cell>
        </row>
        <row r="3670">
          <cell r="X3670" t="str">
            <v/>
          </cell>
          <cell r="Y3670" t="str">
            <v/>
          </cell>
        </row>
        <row r="3671">
          <cell r="X3671" t="str">
            <v>x</v>
          </cell>
          <cell r="Y3671" t="str">
            <v/>
          </cell>
        </row>
        <row r="3672">
          <cell r="X3672" t="str">
            <v/>
          </cell>
          <cell r="Y3672" t="str">
            <v/>
          </cell>
        </row>
        <row r="3673">
          <cell r="X3673" t="str">
            <v/>
          </cell>
          <cell r="Y3673" t="str">
            <v/>
          </cell>
        </row>
        <row r="3674">
          <cell r="X3674" t="str">
            <v/>
          </cell>
          <cell r="Y3674" t="str">
            <v/>
          </cell>
        </row>
        <row r="3675">
          <cell r="X3675" t="str">
            <v/>
          </cell>
          <cell r="Y3675" t="str">
            <v/>
          </cell>
        </row>
        <row r="3676">
          <cell r="X3676" t="str">
            <v>x</v>
          </cell>
          <cell r="Y3676" t="str">
            <v/>
          </cell>
        </row>
        <row r="3677">
          <cell r="X3677" t="str">
            <v/>
          </cell>
          <cell r="Y3677" t="str">
            <v/>
          </cell>
        </row>
        <row r="3678">
          <cell r="X3678" t="str">
            <v>x</v>
          </cell>
          <cell r="Y3678" t="str">
            <v/>
          </cell>
        </row>
        <row r="3679">
          <cell r="X3679" t="str">
            <v/>
          </cell>
          <cell r="Y3679" t="str">
            <v/>
          </cell>
        </row>
        <row r="3680">
          <cell r="X3680" t="str">
            <v/>
          </cell>
          <cell r="Y3680" t="str">
            <v/>
          </cell>
        </row>
        <row r="3681">
          <cell r="X3681" t="str">
            <v/>
          </cell>
          <cell r="Y3681" t="str">
            <v/>
          </cell>
        </row>
        <row r="3682">
          <cell r="X3682" t="str">
            <v/>
          </cell>
          <cell r="Y3682" t="str">
            <v/>
          </cell>
        </row>
        <row r="3683">
          <cell r="X3683" t="str">
            <v/>
          </cell>
          <cell r="Y3683" t="str">
            <v/>
          </cell>
        </row>
        <row r="3684">
          <cell r="X3684" t="str">
            <v>x</v>
          </cell>
          <cell r="Y3684" t="str">
            <v/>
          </cell>
        </row>
        <row r="3685">
          <cell r="X3685" t="str">
            <v/>
          </cell>
          <cell r="Y3685" t="str">
            <v/>
          </cell>
        </row>
        <row r="3686">
          <cell r="X3686" t="str">
            <v/>
          </cell>
          <cell r="Y3686" t="str">
            <v/>
          </cell>
        </row>
        <row r="3687">
          <cell r="X3687" t="str">
            <v/>
          </cell>
          <cell r="Y3687" t="str">
            <v/>
          </cell>
        </row>
        <row r="3688">
          <cell r="X3688" t="str">
            <v/>
          </cell>
          <cell r="Y3688" t="str">
            <v/>
          </cell>
        </row>
        <row r="3689">
          <cell r="X3689" t="str">
            <v/>
          </cell>
          <cell r="Y3689" t="str">
            <v/>
          </cell>
        </row>
        <row r="3690">
          <cell r="X3690" t="str">
            <v/>
          </cell>
          <cell r="Y3690" t="str">
            <v/>
          </cell>
        </row>
        <row r="3691">
          <cell r="K3691">
            <v>83.62</v>
          </cell>
          <cell r="X3691" t="str">
            <v/>
          </cell>
          <cell r="Y3691" t="str">
            <v/>
          </cell>
        </row>
        <row r="3692">
          <cell r="X3692" t="str">
            <v/>
          </cell>
          <cell r="Y3692" t="str">
            <v/>
          </cell>
        </row>
        <row r="3693">
          <cell r="K3693">
            <v>322500</v>
          </cell>
          <cell r="X3693" t="str">
            <v/>
          </cell>
          <cell r="Y3693" t="str">
            <v/>
          </cell>
        </row>
        <row r="3694">
          <cell r="X3694" t="str">
            <v/>
          </cell>
          <cell r="Y3694" t="str">
            <v/>
          </cell>
        </row>
        <row r="3695">
          <cell r="X3695" t="str">
            <v/>
          </cell>
          <cell r="Y3695" t="str">
            <v/>
          </cell>
        </row>
        <row r="3696">
          <cell r="X3696" t="str">
            <v>x</v>
          </cell>
          <cell r="Y3696" t="str">
            <v/>
          </cell>
        </row>
        <row r="3697">
          <cell r="K3697">
            <v>96000</v>
          </cell>
          <cell r="X3697" t="str">
            <v/>
          </cell>
          <cell r="Y3697" t="str">
            <v/>
          </cell>
        </row>
        <row r="3698">
          <cell r="X3698" t="str">
            <v/>
          </cell>
          <cell r="Y3698" t="str">
            <v/>
          </cell>
        </row>
        <row r="3699">
          <cell r="X3699" t="str">
            <v/>
          </cell>
          <cell r="Y3699" t="str">
            <v/>
          </cell>
        </row>
        <row r="3700">
          <cell r="X3700" t="str">
            <v/>
          </cell>
          <cell r="Y3700" t="str">
            <v/>
          </cell>
        </row>
        <row r="3701">
          <cell r="X3701" t="str">
            <v>x</v>
          </cell>
          <cell r="Y3701" t="str">
            <v/>
          </cell>
        </row>
        <row r="3702">
          <cell r="X3702" t="str">
            <v/>
          </cell>
          <cell r="Y3702" t="str">
            <v/>
          </cell>
        </row>
        <row r="3703">
          <cell r="X3703" t="str">
            <v/>
          </cell>
          <cell r="Y3703" t="str">
            <v/>
          </cell>
        </row>
        <row r="3704">
          <cell r="X3704" t="str">
            <v>x</v>
          </cell>
          <cell r="Y3704" t="str">
            <v/>
          </cell>
        </row>
        <row r="3705">
          <cell r="X3705" t="str">
            <v/>
          </cell>
          <cell r="Y3705" t="str">
            <v/>
          </cell>
        </row>
        <row r="3706">
          <cell r="X3706" t="str">
            <v/>
          </cell>
          <cell r="Y3706" t="str">
            <v/>
          </cell>
        </row>
        <row r="3707">
          <cell r="X3707" t="str">
            <v>x</v>
          </cell>
          <cell r="Y3707" t="str">
            <v/>
          </cell>
        </row>
        <row r="3708">
          <cell r="X3708" t="str">
            <v/>
          </cell>
          <cell r="Y3708" t="str">
            <v/>
          </cell>
        </row>
        <row r="3709">
          <cell r="X3709" t="str">
            <v/>
          </cell>
          <cell r="Y3709" t="str">
            <v/>
          </cell>
        </row>
        <row r="3710">
          <cell r="X3710" t="str">
            <v>x</v>
          </cell>
          <cell r="Y3710" t="str">
            <v/>
          </cell>
        </row>
        <row r="3711">
          <cell r="X3711" t="str">
            <v/>
          </cell>
          <cell r="Y3711" t="str">
            <v/>
          </cell>
        </row>
        <row r="3712">
          <cell r="X3712" t="str">
            <v/>
          </cell>
          <cell r="Y3712" t="str">
            <v/>
          </cell>
        </row>
        <row r="3713">
          <cell r="X3713" t="str">
            <v>x</v>
          </cell>
          <cell r="Y3713" t="str">
            <v/>
          </cell>
        </row>
        <row r="3714">
          <cell r="X3714" t="str">
            <v/>
          </cell>
          <cell r="Y3714" t="str">
            <v/>
          </cell>
        </row>
        <row r="3715">
          <cell r="X3715" t="str">
            <v/>
          </cell>
          <cell r="Y3715" t="str">
            <v/>
          </cell>
        </row>
        <row r="3716">
          <cell r="X3716" t="str">
            <v>x</v>
          </cell>
          <cell r="Y3716" t="str">
            <v/>
          </cell>
        </row>
        <row r="3717">
          <cell r="X3717" t="str">
            <v/>
          </cell>
          <cell r="Y3717" t="str">
            <v/>
          </cell>
        </row>
        <row r="3718">
          <cell r="X3718" t="str">
            <v>x</v>
          </cell>
          <cell r="Y3718" t="str">
            <v/>
          </cell>
        </row>
        <row r="3719">
          <cell r="X3719" t="str">
            <v/>
          </cell>
          <cell r="Y3719" t="str">
            <v/>
          </cell>
        </row>
        <row r="3720">
          <cell r="X3720" t="str">
            <v/>
          </cell>
          <cell r="Y3720" t="str">
            <v/>
          </cell>
        </row>
        <row r="3721">
          <cell r="X3721" t="str">
            <v>x</v>
          </cell>
          <cell r="Y3721" t="str">
            <v/>
          </cell>
        </row>
        <row r="3722">
          <cell r="X3722" t="str">
            <v/>
          </cell>
          <cell r="Y3722" t="str">
            <v/>
          </cell>
        </row>
        <row r="3723">
          <cell r="K3723">
            <v>82200</v>
          </cell>
          <cell r="X3723" t="str">
            <v/>
          </cell>
          <cell r="Y3723" t="str">
            <v/>
          </cell>
        </row>
        <row r="3724">
          <cell r="K3724">
            <v>20530.46</v>
          </cell>
          <cell r="X3724" t="str">
            <v/>
          </cell>
          <cell r="Y3724" t="str">
            <v/>
          </cell>
        </row>
        <row r="3725">
          <cell r="X3725" t="str">
            <v/>
          </cell>
          <cell r="Y3725" t="str">
            <v/>
          </cell>
        </row>
        <row r="3726">
          <cell r="X3726" t="str">
            <v/>
          </cell>
          <cell r="Y3726" t="str">
            <v/>
          </cell>
        </row>
        <row r="3727">
          <cell r="X3727" t="str">
            <v>x</v>
          </cell>
          <cell r="Y3727" t="str">
            <v/>
          </cell>
        </row>
        <row r="3728">
          <cell r="X3728" t="str">
            <v/>
          </cell>
          <cell r="Y3728" t="str">
            <v/>
          </cell>
        </row>
        <row r="3729">
          <cell r="X3729" t="str">
            <v/>
          </cell>
          <cell r="Y3729" t="str">
            <v/>
          </cell>
        </row>
        <row r="3730">
          <cell r="X3730" t="str">
            <v>x</v>
          </cell>
          <cell r="Y3730" t="str">
            <v/>
          </cell>
        </row>
        <row r="3731">
          <cell r="X3731" t="str">
            <v/>
          </cell>
          <cell r="Y3731" t="str">
            <v/>
          </cell>
        </row>
        <row r="3732">
          <cell r="X3732" t="str">
            <v>x</v>
          </cell>
          <cell r="Y3732" t="str">
            <v/>
          </cell>
        </row>
        <row r="3733">
          <cell r="K3733">
            <v>265441.05355575064</v>
          </cell>
          <cell r="X3733" t="str">
            <v/>
          </cell>
          <cell r="Y3733" t="str">
            <v/>
          </cell>
        </row>
        <row r="3734">
          <cell r="X3734" t="str">
            <v/>
          </cell>
          <cell r="Y3734" t="str">
            <v/>
          </cell>
        </row>
        <row r="3735">
          <cell r="X3735" t="str">
            <v>x</v>
          </cell>
          <cell r="Y3735" t="str">
            <v/>
          </cell>
        </row>
        <row r="3736">
          <cell r="X3736" t="str">
            <v/>
          </cell>
          <cell r="Y3736" t="str">
            <v/>
          </cell>
        </row>
        <row r="3737">
          <cell r="X3737" t="str">
            <v/>
          </cell>
          <cell r="Y3737" t="str">
            <v/>
          </cell>
        </row>
        <row r="3738">
          <cell r="X3738" t="str">
            <v>x</v>
          </cell>
          <cell r="Y3738" t="str">
            <v/>
          </cell>
        </row>
        <row r="3739">
          <cell r="X3739" t="str">
            <v/>
          </cell>
          <cell r="Y3739" t="str">
            <v/>
          </cell>
        </row>
        <row r="3740">
          <cell r="X3740" t="str">
            <v/>
          </cell>
          <cell r="Y3740" t="str">
            <v/>
          </cell>
        </row>
        <row r="3741">
          <cell r="X3741" t="str">
            <v>x</v>
          </cell>
          <cell r="Y3741" t="str">
            <v/>
          </cell>
        </row>
        <row r="3742">
          <cell r="X3742" t="str">
            <v/>
          </cell>
          <cell r="Y3742" t="str">
            <v/>
          </cell>
        </row>
        <row r="3743">
          <cell r="X3743" t="str">
            <v/>
          </cell>
          <cell r="Y3743" t="str">
            <v/>
          </cell>
        </row>
        <row r="3744">
          <cell r="X3744" t="str">
            <v>x</v>
          </cell>
          <cell r="Y3744" t="str">
            <v/>
          </cell>
        </row>
        <row r="3745">
          <cell r="X3745" t="str">
            <v/>
          </cell>
          <cell r="Y3745" t="str">
            <v/>
          </cell>
        </row>
        <row r="3746">
          <cell r="X3746" t="str">
            <v/>
          </cell>
          <cell r="Y3746" t="str">
            <v/>
          </cell>
        </row>
        <row r="3747">
          <cell r="K3747">
            <v>23500</v>
          </cell>
          <cell r="X3747" t="str">
            <v/>
          </cell>
          <cell r="Y3747" t="str">
            <v/>
          </cell>
        </row>
        <row r="3748">
          <cell r="K3748">
            <v>413000</v>
          </cell>
          <cell r="X3748" t="str">
            <v/>
          </cell>
          <cell r="Y3748" t="str">
            <v/>
          </cell>
        </row>
        <row r="3749">
          <cell r="X3749" t="str">
            <v/>
          </cell>
          <cell r="Y3749" t="str">
            <v/>
          </cell>
        </row>
        <row r="3750">
          <cell r="X3750" t="str">
            <v/>
          </cell>
          <cell r="Y3750" t="str">
            <v/>
          </cell>
        </row>
        <row r="3751">
          <cell r="X3751" t="str">
            <v/>
          </cell>
          <cell r="Y3751" t="str">
            <v/>
          </cell>
        </row>
        <row r="3752">
          <cell r="X3752" t="str">
            <v>x</v>
          </cell>
          <cell r="Y3752" t="str">
            <v/>
          </cell>
        </row>
        <row r="3753">
          <cell r="K3753">
            <v>40000</v>
          </cell>
          <cell r="X3753" t="str">
            <v/>
          </cell>
          <cell r="Y3753" t="str">
            <v/>
          </cell>
        </row>
        <row r="3754">
          <cell r="K3754">
            <v>110000</v>
          </cell>
          <cell r="X3754" t="str">
            <v/>
          </cell>
          <cell r="Y3754" t="str">
            <v/>
          </cell>
        </row>
        <row r="3755">
          <cell r="X3755" t="str">
            <v/>
          </cell>
          <cell r="Y3755" t="str">
            <v/>
          </cell>
        </row>
        <row r="3756">
          <cell r="X3756" t="str">
            <v>x</v>
          </cell>
          <cell r="Y3756" t="str">
            <v/>
          </cell>
        </row>
        <row r="3757">
          <cell r="X3757" t="str">
            <v/>
          </cell>
          <cell r="Y3757" t="str">
            <v/>
          </cell>
        </row>
        <row r="3758">
          <cell r="X3758" t="str">
            <v>x</v>
          </cell>
          <cell r="Y3758" t="str">
            <v/>
          </cell>
        </row>
        <row r="3759">
          <cell r="K3759">
            <v>40000</v>
          </cell>
          <cell r="X3759" t="str">
            <v/>
          </cell>
          <cell r="Y3759" t="str">
            <v/>
          </cell>
        </row>
        <row r="3760">
          <cell r="X3760" t="str">
            <v/>
          </cell>
          <cell r="Y3760" t="str">
            <v/>
          </cell>
        </row>
        <row r="3761">
          <cell r="X3761" t="str">
            <v/>
          </cell>
          <cell r="Y3761" t="str">
            <v/>
          </cell>
        </row>
        <row r="3762">
          <cell r="X3762" t="str">
            <v>x</v>
          </cell>
          <cell r="Y3762" t="str">
            <v/>
          </cell>
        </row>
        <row r="3763">
          <cell r="X3763" t="str">
            <v/>
          </cell>
          <cell r="Y3763" t="str">
            <v/>
          </cell>
        </row>
        <row r="3764">
          <cell r="X3764" t="str">
            <v/>
          </cell>
          <cell r="Y3764" t="str">
            <v/>
          </cell>
        </row>
        <row r="3765">
          <cell r="X3765" t="str">
            <v>x</v>
          </cell>
          <cell r="Y3765" t="str">
            <v/>
          </cell>
        </row>
        <row r="3766">
          <cell r="X3766" t="str">
            <v/>
          </cell>
          <cell r="Y3766" t="str">
            <v/>
          </cell>
        </row>
        <row r="3767">
          <cell r="X3767" t="str">
            <v/>
          </cell>
          <cell r="Y3767" t="str">
            <v/>
          </cell>
        </row>
        <row r="3768">
          <cell r="X3768" t="str">
            <v>x</v>
          </cell>
          <cell r="Y3768" t="str">
            <v/>
          </cell>
        </row>
        <row r="3769">
          <cell r="X3769" t="str">
            <v/>
          </cell>
          <cell r="Y3769" t="str">
            <v/>
          </cell>
        </row>
        <row r="3770">
          <cell r="X3770" t="str">
            <v/>
          </cell>
          <cell r="Y3770" t="str">
            <v/>
          </cell>
        </row>
        <row r="3771">
          <cell r="X3771" t="str">
            <v>x</v>
          </cell>
          <cell r="Y3771" t="str">
            <v/>
          </cell>
        </row>
        <row r="3772">
          <cell r="X3772" t="str">
            <v/>
          </cell>
          <cell r="Y3772" t="str">
            <v/>
          </cell>
        </row>
        <row r="3773">
          <cell r="X3773" t="str">
            <v/>
          </cell>
          <cell r="Y3773" t="str">
            <v/>
          </cell>
        </row>
        <row r="3774">
          <cell r="X3774" t="str">
            <v>x</v>
          </cell>
          <cell r="Y3774" t="str">
            <v/>
          </cell>
        </row>
        <row r="3775">
          <cell r="X3775" t="str">
            <v/>
          </cell>
          <cell r="Y3775" t="str">
            <v/>
          </cell>
        </row>
        <row r="3776">
          <cell r="X3776" t="str">
            <v/>
          </cell>
          <cell r="Y3776" t="str">
            <v/>
          </cell>
        </row>
        <row r="3777">
          <cell r="X3777" t="str">
            <v>x</v>
          </cell>
          <cell r="Y3777" t="str">
            <v/>
          </cell>
        </row>
        <row r="3778">
          <cell r="X3778" t="str">
            <v/>
          </cell>
          <cell r="Y3778" t="str">
            <v/>
          </cell>
        </row>
        <row r="3779">
          <cell r="X3779" t="str">
            <v/>
          </cell>
          <cell r="Y3779" t="str">
            <v/>
          </cell>
        </row>
        <row r="3780">
          <cell r="X3780" t="str">
            <v>x</v>
          </cell>
          <cell r="Y3780" t="str">
            <v/>
          </cell>
        </row>
        <row r="3781">
          <cell r="K3781">
            <v>418934.45</v>
          </cell>
          <cell r="X3781" t="str">
            <v/>
          </cell>
          <cell r="Y3781" t="str">
            <v/>
          </cell>
        </row>
        <row r="3782">
          <cell r="K3782">
            <v>12</v>
          </cell>
          <cell r="X3782" t="str">
            <v/>
          </cell>
          <cell r="Y3782" t="str">
            <v/>
          </cell>
        </row>
        <row r="3783">
          <cell r="X3783" t="str">
            <v/>
          </cell>
          <cell r="Y3783" t="str">
            <v/>
          </cell>
        </row>
        <row r="3784">
          <cell r="K3784">
            <v>96000</v>
          </cell>
          <cell r="X3784" t="str">
            <v/>
          </cell>
          <cell r="Y3784" t="str">
            <v/>
          </cell>
        </row>
        <row r="3785">
          <cell r="K3785">
            <v>96</v>
          </cell>
          <cell r="X3785" t="str">
            <v/>
          </cell>
          <cell r="Y3785" t="str">
            <v/>
          </cell>
        </row>
        <row r="3786">
          <cell r="X3786" t="str">
            <v/>
          </cell>
          <cell r="Y3786" t="str">
            <v/>
          </cell>
        </row>
        <row r="3787">
          <cell r="K3787">
            <v>88600</v>
          </cell>
          <cell r="X3787" t="str">
            <v/>
          </cell>
          <cell r="Y3787" t="str">
            <v/>
          </cell>
        </row>
        <row r="3788">
          <cell r="K3788">
            <v>3</v>
          </cell>
          <cell r="X3788" t="str">
            <v/>
          </cell>
          <cell r="Y3788" t="str">
            <v/>
          </cell>
        </row>
        <row r="3789">
          <cell r="K3789">
            <v>0.3</v>
          </cell>
          <cell r="X3789" t="str">
            <v>x</v>
          </cell>
          <cell r="Y3789" t="str">
            <v/>
          </cell>
        </row>
        <row r="3790">
          <cell r="K3790">
            <v>208</v>
          </cell>
          <cell r="X3790" t="str">
            <v/>
          </cell>
          <cell r="Y3790" t="str">
            <v/>
          </cell>
        </row>
        <row r="3791">
          <cell r="K3791">
            <v>6530.46</v>
          </cell>
          <cell r="X3791" t="str">
            <v/>
          </cell>
          <cell r="Y3791" t="str">
            <v/>
          </cell>
        </row>
        <row r="3792">
          <cell r="K3792">
            <v>89469.54</v>
          </cell>
          <cell r="X3792" t="str">
            <v/>
          </cell>
          <cell r="Y3792" t="str">
            <v/>
          </cell>
        </row>
        <row r="3793">
          <cell r="K3793">
            <v>11.18</v>
          </cell>
          <cell r="X3793" t="str">
            <v/>
          </cell>
          <cell r="Y3793" t="str">
            <v/>
          </cell>
        </row>
        <row r="3794">
          <cell r="K3794">
            <v>89458.36</v>
          </cell>
          <cell r="X3794" t="str">
            <v/>
          </cell>
          <cell r="Y3794" t="str">
            <v/>
          </cell>
        </row>
        <row r="3795">
          <cell r="X3795" t="str">
            <v/>
          </cell>
          <cell r="Y3795" t="str">
            <v/>
          </cell>
        </row>
        <row r="3796">
          <cell r="K3796">
            <v>23963.86</v>
          </cell>
          <cell r="X3796" t="str">
            <v/>
          </cell>
          <cell r="Y3796" t="str">
            <v/>
          </cell>
        </row>
        <row r="3797">
          <cell r="K3797">
            <v>348138.05</v>
          </cell>
          <cell r="X3797" t="str">
            <v/>
          </cell>
          <cell r="Y3797" t="str">
            <v/>
          </cell>
        </row>
        <row r="3798">
          <cell r="K3798">
            <v>117</v>
          </cell>
          <cell r="X3798" t="str">
            <v/>
          </cell>
          <cell r="Y3798" t="str">
            <v/>
          </cell>
        </row>
        <row r="3799">
          <cell r="K3799">
            <v>449673.6</v>
          </cell>
          <cell r="X3799" t="str">
            <v/>
          </cell>
          <cell r="Y3799" t="str">
            <v/>
          </cell>
        </row>
        <row r="3800">
          <cell r="K3800">
            <v>12</v>
          </cell>
          <cell r="X3800" t="str">
            <v/>
          </cell>
          <cell r="Y3800" t="str">
            <v/>
          </cell>
        </row>
        <row r="3801">
          <cell r="K3801">
            <v>33700</v>
          </cell>
          <cell r="X3801" t="str">
            <v/>
          </cell>
          <cell r="Y3801" t="str">
            <v/>
          </cell>
        </row>
        <row r="3802">
          <cell r="K3802">
            <v>5.62</v>
          </cell>
          <cell r="X3802" t="str">
            <v/>
          </cell>
          <cell r="Y3802" t="str">
            <v/>
          </cell>
        </row>
        <row r="3803">
          <cell r="K3803">
            <v>11.19</v>
          </cell>
          <cell r="X3803" t="str">
            <v/>
          </cell>
          <cell r="Y3803" t="str">
            <v/>
          </cell>
        </row>
        <row r="3804">
          <cell r="K3804">
            <v>226.1</v>
          </cell>
          <cell r="X3804" t="str">
            <v/>
          </cell>
          <cell r="Y3804" t="str">
            <v/>
          </cell>
        </row>
        <row r="3805">
          <cell r="K3805">
            <v>219.63</v>
          </cell>
          <cell r="X3805" t="str">
            <v/>
          </cell>
          <cell r="Y3805" t="str">
            <v/>
          </cell>
        </row>
        <row r="3806">
          <cell r="K3806">
            <v>190.06</v>
          </cell>
          <cell r="X3806" t="str">
            <v/>
          </cell>
          <cell r="Y3806" t="str">
            <v/>
          </cell>
        </row>
        <row r="3807">
          <cell r="K3807">
            <v>240.31</v>
          </cell>
          <cell r="X3807" t="str">
            <v/>
          </cell>
          <cell r="Y3807" t="str">
            <v/>
          </cell>
        </row>
        <row r="3808">
          <cell r="K3808">
            <v>229.98</v>
          </cell>
          <cell r="X3808" t="str">
            <v/>
          </cell>
          <cell r="Y3808" t="str">
            <v/>
          </cell>
        </row>
        <row r="3809">
          <cell r="K3809">
            <v>132.04</v>
          </cell>
          <cell r="X3809" t="str">
            <v/>
          </cell>
          <cell r="Y3809" t="str">
            <v/>
          </cell>
        </row>
        <row r="3810">
          <cell r="K3810">
            <v>162.79</v>
          </cell>
          <cell r="X3810" t="str">
            <v/>
          </cell>
          <cell r="Y3810" t="str">
            <v/>
          </cell>
        </row>
        <row r="3811">
          <cell r="K3811">
            <v>211.88</v>
          </cell>
          <cell r="X3811" t="str">
            <v/>
          </cell>
          <cell r="Y3811" t="str">
            <v/>
          </cell>
        </row>
        <row r="3812">
          <cell r="K3812">
            <v>92.7</v>
          </cell>
          <cell r="X3812" t="str">
            <v/>
          </cell>
          <cell r="Y3812" t="str">
            <v/>
          </cell>
        </row>
        <row r="3813">
          <cell r="K3813">
            <v>215.76</v>
          </cell>
          <cell r="X3813" t="str">
            <v/>
          </cell>
          <cell r="Y3813" t="str">
            <v/>
          </cell>
        </row>
        <row r="3814">
          <cell r="K3814">
            <v>354.01</v>
          </cell>
          <cell r="X3814" t="str">
            <v/>
          </cell>
          <cell r="Y3814" t="str">
            <v/>
          </cell>
        </row>
        <row r="3815">
          <cell r="K3815">
            <v>10</v>
          </cell>
          <cell r="X3815" t="str">
            <v/>
          </cell>
          <cell r="Y3815" t="str">
            <v/>
          </cell>
        </row>
        <row r="3816">
          <cell r="K3816">
            <v>115660</v>
          </cell>
          <cell r="X3816" t="str">
            <v/>
          </cell>
          <cell r="Y3816" t="str">
            <v>x</v>
          </cell>
        </row>
        <row r="3817">
          <cell r="K3817">
            <v>140</v>
          </cell>
          <cell r="X3817" t="str">
            <v/>
          </cell>
          <cell r="Y3817" t="str">
            <v>x</v>
          </cell>
        </row>
        <row r="3818">
          <cell r="X3818" t="str">
            <v/>
          </cell>
          <cell r="Y3818" t="str">
            <v>x</v>
          </cell>
        </row>
        <row r="3819">
          <cell r="K3819">
            <v>110000</v>
          </cell>
          <cell r="X3819" t="str">
            <v/>
          </cell>
          <cell r="Y3819" t="str">
            <v/>
          </cell>
        </row>
        <row r="3820">
          <cell r="K3820">
            <v>114.58</v>
          </cell>
          <cell r="X3820" t="str">
            <v/>
          </cell>
          <cell r="Y3820" t="str">
            <v/>
          </cell>
        </row>
        <row r="3821">
          <cell r="X3821" t="str">
            <v/>
          </cell>
          <cell r="Y3821" t="str">
            <v/>
          </cell>
        </row>
        <row r="3822">
          <cell r="X3822" t="str">
            <v/>
          </cell>
          <cell r="Y3822" t="str">
            <v/>
          </cell>
        </row>
        <row r="3823">
          <cell r="X3823" t="str">
            <v/>
          </cell>
          <cell r="Y3823" t="str">
            <v/>
          </cell>
        </row>
        <row r="3824">
          <cell r="K3824">
            <v>93000</v>
          </cell>
          <cell r="X3824" t="str">
            <v/>
          </cell>
          <cell r="Y3824" t="str">
            <v/>
          </cell>
        </row>
        <row r="3825">
          <cell r="K3825">
            <v>298.45</v>
          </cell>
          <cell r="X3825" t="str">
            <v/>
          </cell>
          <cell r="Y3825" t="str">
            <v/>
          </cell>
        </row>
        <row r="3826">
          <cell r="X3826" t="str">
            <v/>
          </cell>
          <cell r="Y3826" t="str">
            <v/>
          </cell>
        </row>
        <row r="3827">
          <cell r="K3827">
            <v>70500</v>
          </cell>
          <cell r="X3827" t="str">
            <v/>
          </cell>
          <cell r="Y3827" t="str">
            <v/>
          </cell>
        </row>
        <row r="3828">
          <cell r="K3828">
            <v>193.93</v>
          </cell>
          <cell r="X3828" t="str">
            <v/>
          </cell>
          <cell r="Y3828" t="str">
            <v/>
          </cell>
        </row>
        <row r="3829">
          <cell r="X3829" t="str">
            <v/>
          </cell>
          <cell r="Y3829" t="str">
            <v/>
          </cell>
        </row>
        <row r="3830">
          <cell r="K3830">
            <v>43000</v>
          </cell>
          <cell r="X3830" t="str">
            <v/>
          </cell>
          <cell r="Y3830" t="str">
            <v/>
          </cell>
        </row>
        <row r="3831">
          <cell r="K3831">
            <v>104.55</v>
          </cell>
          <cell r="X3831" t="str">
            <v/>
          </cell>
          <cell r="Y3831" t="str">
            <v/>
          </cell>
        </row>
        <row r="3832">
          <cell r="X3832" t="str">
            <v/>
          </cell>
          <cell r="Y3832" t="str">
            <v/>
          </cell>
        </row>
        <row r="3833">
          <cell r="K3833">
            <v>52300</v>
          </cell>
          <cell r="X3833" t="str">
            <v/>
          </cell>
          <cell r="Y3833" t="str">
            <v/>
          </cell>
        </row>
        <row r="3834">
          <cell r="K3834">
            <v>119.87</v>
          </cell>
          <cell r="X3834" t="str">
            <v/>
          </cell>
          <cell r="Y3834" t="str">
            <v/>
          </cell>
        </row>
        <row r="3835">
          <cell r="X3835" t="str">
            <v/>
          </cell>
          <cell r="Y3835" t="str">
            <v/>
          </cell>
        </row>
        <row r="3836">
          <cell r="X3836" t="str">
            <v/>
          </cell>
          <cell r="Y3836" t="str">
            <v/>
          </cell>
        </row>
        <row r="3837">
          <cell r="X3837" t="str">
            <v/>
          </cell>
          <cell r="Y3837" t="str">
            <v/>
          </cell>
        </row>
        <row r="3838">
          <cell r="X3838" t="str">
            <v/>
          </cell>
          <cell r="Y3838" t="str">
            <v/>
          </cell>
        </row>
        <row r="3839">
          <cell r="X3839" t="str">
            <v/>
          </cell>
          <cell r="Y3839" t="str">
            <v/>
          </cell>
        </row>
        <row r="3840">
          <cell r="X3840" t="str">
            <v/>
          </cell>
          <cell r="Y3840" t="str">
            <v/>
          </cell>
        </row>
        <row r="3841">
          <cell r="X3841" t="str">
            <v>x</v>
          </cell>
          <cell r="Y3841" t="str">
            <v/>
          </cell>
        </row>
        <row r="3842">
          <cell r="X3842" t="str">
            <v/>
          </cell>
          <cell r="Y3842" t="str">
            <v/>
          </cell>
        </row>
        <row r="3843">
          <cell r="X3843" t="str">
            <v>x</v>
          </cell>
          <cell r="Y3843" t="str">
            <v/>
          </cell>
        </row>
        <row r="3844">
          <cell r="X3844" t="str">
            <v/>
          </cell>
          <cell r="Y3844" t="str">
            <v/>
          </cell>
        </row>
        <row r="3845">
          <cell r="X3845" t="str">
            <v>x</v>
          </cell>
          <cell r="Y3845" t="str">
            <v/>
          </cell>
        </row>
        <row r="3846">
          <cell r="X3846" t="str">
            <v/>
          </cell>
          <cell r="Y3846" t="str">
            <v/>
          </cell>
        </row>
        <row r="3847">
          <cell r="X3847" t="str">
            <v>x</v>
          </cell>
          <cell r="Y3847" t="str">
            <v/>
          </cell>
        </row>
        <row r="3848">
          <cell r="K3848">
            <v>2.2000000000000002</v>
          </cell>
          <cell r="X3848" t="str">
            <v/>
          </cell>
          <cell r="Y3848" t="str">
            <v/>
          </cell>
        </row>
        <row r="3849">
          <cell r="K3849">
            <v>2.2000000000000002</v>
          </cell>
          <cell r="X3849" t="str">
            <v/>
          </cell>
          <cell r="Y3849" t="str">
            <v/>
          </cell>
        </row>
        <row r="3850">
          <cell r="X3850" t="str">
            <v/>
          </cell>
          <cell r="Y3850" t="str">
            <v/>
          </cell>
        </row>
        <row r="3851">
          <cell r="X3851" t="str">
            <v/>
          </cell>
          <cell r="Y3851" t="str">
            <v/>
          </cell>
        </row>
        <row r="3852">
          <cell r="X3852" t="str">
            <v/>
          </cell>
          <cell r="Y3852" t="str">
            <v/>
          </cell>
        </row>
        <row r="3853">
          <cell r="X3853" t="str">
            <v/>
          </cell>
          <cell r="Y3853" t="str">
            <v/>
          </cell>
        </row>
        <row r="3854">
          <cell r="X3854" t="str">
            <v/>
          </cell>
          <cell r="Y3854" t="str">
            <v/>
          </cell>
        </row>
        <row r="3855">
          <cell r="X3855" t="str">
            <v>x</v>
          </cell>
          <cell r="Y3855" t="str">
            <v/>
          </cell>
        </row>
        <row r="3856">
          <cell r="K3856">
            <v>355800</v>
          </cell>
          <cell r="X3856" t="str">
            <v/>
          </cell>
          <cell r="Y3856" t="str">
            <v/>
          </cell>
        </row>
        <row r="3857">
          <cell r="X3857" t="str">
            <v/>
          </cell>
          <cell r="Y3857" t="str">
            <v/>
          </cell>
        </row>
        <row r="3858">
          <cell r="X3858" t="str">
            <v/>
          </cell>
          <cell r="Y3858" t="str">
            <v/>
          </cell>
        </row>
        <row r="3859">
          <cell r="X3859" t="str">
            <v/>
          </cell>
          <cell r="Y3859" t="str">
            <v/>
          </cell>
        </row>
        <row r="3860">
          <cell r="X3860" t="str">
            <v/>
          </cell>
          <cell r="Y3860" t="str">
            <v/>
          </cell>
        </row>
        <row r="3861">
          <cell r="X3861" t="str">
            <v>x</v>
          </cell>
          <cell r="Y3861" t="str">
            <v/>
          </cell>
        </row>
        <row r="3862">
          <cell r="X3862" t="str">
            <v/>
          </cell>
          <cell r="Y3862" t="str">
            <v/>
          </cell>
        </row>
        <row r="3863">
          <cell r="X3863" t="str">
            <v/>
          </cell>
          <cell r="Y3863" t="str">
            <v/>
          </cell>
        </row>
        <row r="3864">
          <cell r="X3864" t="str">
            <v>x</v>
          </cell>
          <cell r="Y3864" t="str">
            <v/>
          </cell>
        </row>
        <row r="3865">
          <cell r="X3865" t="str">
            <v/>
          </cell>
          <cell r="Y3865" t="str">
            <v/>
          </cell>
        </row>
        <row r="3866">
          <cell r="X3866" t="str">
            <v/>
          </cell>
          <cell r="Y3866" t="str">
            <v/>
          </cell>
        </row>
        <row r="3867">
          <cell r="X3867" t="str">
            <v>x</v>
          </cell>
          <cell r="Y3867" t="str">
            <v/>
          </cell>
        </row>
        <row r="3868">
          <cell r="X3868" t="str">
            <v/>
          </cell>
          <cell r="Y3868" t="str">
            <v/>
          </cell>
        </row>
        <row r="3869">
          <cell r="X3869" t="str">
            <v>x</v>
          </cell>
          <cell r="Y3869" t="str">
            <v/>
          </cell>
        </row>
        <row r="3870">
          <cell r="X3870" t="str">
            <v/>
          </cell>
          <cell r="Y3870" t="str">
            <v/>
          </cell>
        </row>
        <row r="3871">
          <cell r="X3871" t="str">
            <v>x</v>
          </cell>
          <cell r="Y3871" t="str">
            <v/>
          </cell>
        </row>
        <row r="3872">
          <cell r="K3872">
            <v>355800</v>
          </cell>
          <cell r="X3872" t="str">
            <v/>
          </cell>
          <cell r="Y3872" t="str">
            <v/>
          </cell>
        </row>
        <row r="3873">
          <cell r="X3873" t="str">
            <v/>
          </cell>
          <cell r="Y3873" t="str">
            <v/>
          </cell>
        </row>
        <row r="3874">
          <cell r="K3874">
            <v>21400</v>
          </cell>
          <cell r="X3874" t="str">
            <v/>
          </cell>
          <cell r="Y3874" t="str">
            <v/>
          </cell>
        </row>
        <row r="3875">
          <cell r="X3875" t="str">
            <v/>
          </cell>
          <cell r="Y3875" t="str">
            <v/>
          </cell>
        </row>
        <row r="3876">
          <cell r="X3876" t="str">
            <v/>
          </cell>
          <cell r="Y3876" t="str">
            <v/>
          </cell>
        </row>
        <row r="3877">
          <cell r="X3877" t="str">
            <v>x</v>
          </cell>
          <cell r="Y3877" t="str">
            <v/>
          </cell>
        </row>
        <row r="3878">
          <cell r="X3878" t="str">
            <v/>
          </cell>
          <cell r="Y3878" t="str">
            <v/>
          </cell>
        </row>
        <row r="3879">
          <cell r="X3879" t="str">
            <v/>
          </cell>
          <cell r="Y3879" t="str">
            <v/>
          </cell>
        </row>
        <row r="3880">
          <cell r="K3880">
            <v>204000</v>
          </cell>
          <cell r="X3880" t="str">
            <v/>
          </cell>
          <cell r="Y3880" t="str">
            <v/>
          </cell>
        </row>
        <row r="3881">
          <cell r="X3881" t="str">
            <v/>
          </cell>
          <cell r="Y3881" t="str">
            <v/>
          </cell>
        </row>
        <row r="3882">
          <cell r="X3882" t="str">
            <v/>
          </cell>
          <cell r="Y3882" t="str">
            <v/>
          </cell>
        </row>
        <row r="3883">
          <cell r="X3883" t="str">
            <v>x</v>
          </cell>
          <cell r="Y3883" t="str">
            <v/>
          </cell>
        </row>
        <row r="3884">
          <cell r="K3884">
            <v>82000</v>
          </cell>
          <cell r="X3884" t="str">
            <v/>
          </cell>
          <cell r="Y3884" t="str">
            <v/>
          </cell>
        </row>
        <row r="3885">
          <cell r="X3885" t="str">
            <v/>
          </cell>
          <cell r="Y3885" t="str">
            <v/>
          </cell>
        </row>
        <row r="3886">
          <cell r="X3886" t="str">
            <v/>
          </cell>
          <cell r="Y3886" t="str">
            <v/>
          </cell>
        </row>
        <row r="3887">
          <cell r="X3887" t="str">
            <v/>
          </cell>
          <cell r="Y3887" t="str">
            <v/>
          </cell>
        </row>
        <row r="3888">
          <cell r="K3888">
            <v>89000</v>
          </cell>
          <cell r="X3888" t="str">
            <v/>
          </cell>
          <cell r="Y3888" t="str">
            <v/>
          </cell>
        </row>
        <row r="3889">
          <cell r="X3889" t="str">
            <v/>
          </cell>
          <cell r="Y3889" t="str">
            <v/>
          </cell>
        </row>
        <row r="3890">
          <cell r="X3890" t="str">
            <v/>
          </cell>
          <cell r="Y3890" t="str">
            <v/>
          </cell>
        </row>
        <row r="3891">
          <cell r="X3891" t="str">
            <v/>
          </cell>
          <cell r="Y3891" t="str">
            <v/>
          </cell>
        </row>
        <row r="3892">
          <cell r="K3892">
            <v>27400</v>
          </cell>
          <cell r="X3892" t="str">
            <v/>
          </cell>
          <cell r="Y3892" t="str">
            <v/>
          </cell>
        </row>
        <row r="3893">
          <cell r="K3893">
            <v>36000</v>
          </cell>
          <cell r="X3893" t="str">
            <v/>
          </cell>
          <cell r="Y3893" t="str">
            <v/>
          </cell>
        </row>
        <row r="3894">
          <cell r="X3894" t="str">
            <v/>
          </cell>
          <cell r="Y3894" t="str">
            <v/>
          </cell>
        </row>
        <row r="3895">
          <cell r="X3895" t="str">
            <v/>
          </cell>
          <cell r="Y3895" t="str">
            <v/>
          </cell>
        </row>
        <row r="3896">
          <cell r="X3896" t="str">
            <v/>
          </cell>
          <cell r="Y3896" t="str">
            <v/>
          </cell>
        </row>
        <row r="3897">
          <cell r="K3897">
            <v>185000</v>
          </cell>
          <cell r="X3897" t="str">
            <v/>
          </cell>
          <cell r="Y3897" t="str">
            <v/>
          </cell>
        </row>
        <row r="3898">
          <cell r="X3898" t="str">
            <v/>
          </cell>
          <cell r="Y3898" t="str">
            <v/>
          </cell>
        </row>
        <row r="3899">
          <cell r="X3899" t="str">
            <v/>
          </cell>
          <cell r="Y3899" t="str">
            <v/>
          </cell>
        </row>
        <row r="3900">
          <cell r="X3900" t="str">
            <v>x</v>
          </cell>
          <cell r="Y3900" t="str">
            <v/>
          </cell>
        </row>
        <row r="3901">
          <cell r="K3901">
            <v>41000</v>
          </cell>
          <cell r="X3901" t="str">
            <v/>
          </cell>
          <cell r="Y3901" t="str">
            <v/>
          </cell>
        </row>
        <row r="3902">
          <cell r="X3902" t="str">
            <v/>
          </cell>
          <cell r="Y3902" t="str">
            <v/>
          </cell>
        </row>
        <row r="3903">
          <cell r="X3903" t="str">
            <v/>
          </cell>
          <cell r="Y3903" t="str">
            <v/>
          </cell>
        </row>
        <row r="3904">
          <cell r="X3904" t="str">
            <v>x</v>
          </cell>
          <cell r="Y3904" t="str">
            <v/>
          </cell>
        </row>
        <row r="3905">
          <cell r="X3905" t="str">
            <v/>
          </cell>
          <cell r="Y3905" t="str">
            <v/>
          </cell>
        </row>
        <row r="3906">
          <cell r="X3906" t="str">
            <v/>
          </cell>
          <cell r="Y3906" t="str">
            <v/>
          </cell>
        </row>
        <row r="3907">
          <cell r="X3907" t="str">
            <v>x</v>
          </cell>
          <cell r="Y3907" t="str">
            <v/>
          </cell>
        </row>
        <row r="3908">
          <cell r="X3908" t="str">
            <v/>
          </cell>
          <cell r="Y3908" t="str">
            <v/>
          </cell>
        </row>
        <row r="3909">
          <cell r="X3909" t="str">
            <v/>
          </cell>
          <cell r="Y3909" t="str">
            <v/>
          </cell>
        </row>
        <row r="3910">
          <cell r="X3910" t="str">
            <v>x</v>
          </cell>
          <cell r="Y3910" t="str">
            <v/>
          </cell>
        </row>
        <row r="3911">
          <cell r="X3911" t="str">
            <v/>
          </cell>
          <cell r="Y3911" t="str">
            <v/>
          </cell>
        </row>
        <row r="3912">
          <cell r="X3912" t="str">
            <v/>
          </cell>
          <cell r="Y3912" t="str">
            <v/>
          </cell>
        </row>
        <row r="3913">
          <cell r="X3913" t="str">
            <v>x</v>
          </cell>
          <cell r="Y3913" t="str">
            <v/>
          </cell>
        </row>
        <row r="3914">
          <cell r="X3914" t="str">
            <v/>
          </cell>
          <cell r="Y3914" t="str">
            <v/>
          </cell>
        </row>
        <row r="3915">
          <cell r="X3915" t="str">
            <v>x</v>
          </cell>
          <cell r="Y3915" t="str">
            <v/>
          </cell>
        </row>
        <row r="3916">
          <cell r="X3916" t="str">
            <v/>
          </cell>
          <cell r="Y3916" t="str">
            <v/>
          </cell>
        </row>
        <row r="3917">
          <cell r="X3917" t="str">
            <v>x</v>
          </cell>
          <cell r="Y3917" t="str">
            <v/>
          </cell>
        </row>
        <row r="3918">
          <cell r="X3918" t="str">
            <v/>
          </cell>
          <cell r="Y3918" t="str">
            <v/>
          </cell>
        </row>
        <row r="3919">
          <cell r="X3919" t="str">
            <v/>
          </cell>
          <cell r="Y3919" t="str">
            <v/>
          </cell>
        </row>
        <row r="3920">
          <cell r="K3920">
            <v>50000</v>
          </cell>
          <cell r="X3920" t="str">
            <v/>
          </cell>
          <cell r="Y3920" t="str">
            <v/>
          </cell>
        </row>
        <row r="3921">
          <cell r="X3921" t="str">
            <v/>
          </cell>
          <cell r="Y3921" t="str">
            <v/>
          </cell>
        </row>
        <row r="3922">
          <cell r="X3922" t="str">
            <v>x</v>
          </cell>
          <cell r="Y3922" t="str">
            <v/>
          </cell>
        </row>
        <row r="3923">
          <cell r="X3923" t="str">
            <v/>
          </cell>
          <cell r="Y3923" t="str">
            <v/>
          </cell>
        </row>
        <row r="3924">
          <cell r="X3924" t="str">
            <v>x</v>
          </cell>
          <cell r="Y3924" t="str">
            <v/>
          </cell>
        </row>
        <row r="3925">
          <cell r="X3925" t="str">
            <v/>
          </cell>
          <cell r="Y3925" t="str">
            <v/>
          </cell>
        </row>
        <row r="3926">
          <cell r="X3926" t="str">
            <v>x</v>
          </cell>
          <cell r="Y3926" t="str">
            <v/>
          </cell>
        </row>
        <row r="3927">
          <cell r="X3927" t="str">
            <v/>
          </cell>
          <cell r="Y3927" t="str">
            <v/>
          </cell>
        </row>
        <row r="3928">
          <cell r="X3928" t="str">
            <v>x</v>
          </cell>
          <cell r="Y3928" t="str">
            <v/>
          </cell>
        </row>
        <row r="3929">
          <cell r="X3929" t="str">
            <v/>
          </cell>
          <cell r="Y3929" t="str">
            <v/>
          </cell>
        </row>
        <row r="3930">
          <cell r="X3930" t="str">
            <v>x</v>
          </cell>
          <cell r="Y3930" t="str">
            <v/>
          </cell>
        </row>
        <row r="3931">
          <cell r="K3931">
            <v>5500</v>
          </cell>
          <cell r="X3931" t="str">
            <v/>
          </cell>
          <cell r="Y3931" t="str">
            <v/>
          </cell>
        </row>
        <row r="3932">
          <cell r="X3932" t="str">
            <v/>
          </cell>
          <cell r="Y3932" t="str">
            <v/>
          </cell>
        </row>
        <row r="3933">
          <cell r="K3933">
            <v>14900</v>
          </cell>
          <cell r="X3933" t="str">
            <v/>
          </cell>
          <cell r="Y3933" t="str">
            <v/>
          </cell>
        </row>
        <row r="3934">
          <cell r="K3934">
            <v>14939.78</v>
          </cell>
          <cell r="X3934" t="str">
            <v/>
          </cell>
          <cell r="Y3934" t="str">
            <v/>
          </cell>
        </row>
        <row r="3935">
          <cell r="K3935">
            <v>286055.59999999998</v>
          </cell>
          <cell r="X3935" t="str">
            <v/>
          </cell>
          <cell r="Y3935" t="str">
            <v/>
          </cell>
        </row>
        <row r="3936">
          <cell r="K3936">
            <v>12</v>
          </cell>
          <cell r="X3936" t="str">
            <v/>
          </cell>
          <cell r="Y3936" t="str">
            <v/>
          </cell>
        </row>
        <row r="3937">
          <cell r="X3937" t="str">
            <v/>
          </cell>
          <cell r="Y3937" t="str">
            <v/>
          </cell>
        </row>
        <row r="3938">
          <cell r="K3938">
            <v>109.33</v>
          </cell>
          <cell r="X3938" t="str">
            <v/>
          </cell>
          <cell r="Y3938" t="str">
            <v/>
          </cell>
        </row>
        <row r="3939">
          <cell r="K3939">
            <v>82000</v>
          </cell>
          <cell r="X3939" t="str">
            <v/>
          </cell>
          <cell r="Y3939" t="str">
            <v/>
          </cell>
        </row>
        <row r="3940">
          <cell r="X3940" t="str">
            <v/>
          </cell>
          <cell r="Y3940" t="str">
            <v/>
          </cell>
        </row>
        <row r="3941">
          <cell r="K3941">
            <v>444923.4</v>
          </cell>
          <cell r="X3941" t="str">
            <v/>
          </cell>
          <cell r="Y3941" t="str">
            <v/>
          </cell>
        </row>
        <row r="3942">
          <cell r="K3942">
            <v>12</v>
          </cell>
          <cell r="X3942" t="str">
            <v/>
          </cell>
          <cell r="Y3942" t="str">
            <v/>
          </cell>
        </row>
        <row r="3943">
          <cell r="X3943" t="str">
            <v/>
          </cell>
          <cell r="Y3943" t="str">
            <v/>
          </cell>
        </row>
        <row r="3944">
          <cell r="K3944">
            <v>89000</v>
          </cell>
          <cell r="X3944" t="str">
            <v/>
          </cell>
          <cell r="Y3944" t="str">
            <v/>
          </cell>
        </row>
        <row r="3945">
          <cell r="K3945">
            <v>140.91999999999999</v>
          </cell>
          <cell r="X3945" t="str">
            <v/>
          </cell>
          <cell r="Y3945" t="str">
            <v/>
          </cell>
        </row>
        <row r="3946">
          <cell r="X3946" t="str">
            <v/>
          </cell>
          <cell r="Y3946" t="str">
            <v/>
          </cell>
        </row>
        <row r="3947">
          <cell r="K3947">
            <v>3</v>
          </cell>
          <cell r="X3947" t="str">
            <v/>
          </cell>
          <cell r="Y3947" t="str">
            <v/>
          </cell>
        </row>
        <row r="3948">
          <cell r="K3948">
            <v>0.3</v>
          </cell>
          <cell r="X3948" t="str">
            <v>x</v>
          </cell>
          <cell r="Y3948" t="str">
            <v/>
          </cell>
        </row>
        <row r="3949">
          <cell r="K3949">
            <v>6.46</v>
          </cell>
          <cell r="X3949" t="str">
            <v/>
          </cell>
          <cell r="Y3949" t="str">
            <v/>
          </cell>
        </row>
        <row r="3950">
          <cell r="K3950">
            <v>174747.2</v>
          </cell>
          <cell r="X3950" t="str">
            <v/>
          </cell>
          <cell r="Y3950" t="str">
            <v/>
          </cell>
        </row>
        <row r="3951">
          <cell r="K3951">
            <v>12</v>
          </cell>
          <cell r="X3951" t="str">
            <v/>
          </cell>
          <cell r="Y3951" t="str">
            <v/>
          </cell>
        </row>
        <row r="3952">
          <cell r="K3952">
            <v>10663.29</v>
          </cell>
          <cell r="X3952" t="str">
            <v/>
          </cell>
          <cell r="Y3952" t="str">
            <v/>
          </cell>
        </row>
        <row r="3953">
          <cell r="K3953">
            <v>208.75</v>
          </cell>
          <cell r="X3953" t="str">
            <v/>
          </cell>
          <cell r="Y3953" t="str">
            <v/>
          </cell>
        </row>
        <row r="3954">
          <cell r="K3954">
            <v>119.58</v>
          </cell>
          <cell r="X3954" t="str">
            <v/>
          </cell>
          <cell r="Y3954" t="str">
            <v/>
          </cell>
        </row>
        <row r="3955">
          <cell r="K3955">
            <v>212.5</v>
          </cell>
          <cell r="X3955" t="str">
            <v/>
          </cell>
          <cell r="Y3955" t="str">
            <v/>
          </cell>
        </row>
        <row r="3956">
          <cell r="K3956">
            <v>9.24</v>
          </cell>
          <cell r="X3956" t="str">
            <v/>
          </cell>
          <cell r="Y3956" t="str">
            <v/>
          </cell>
        </row>
        <row r="3957">
          <cell r="K3957">
            <v>82680</v>
          </cell>
          <cell r="X3957" t="str">
            <v/>
          </cell>
          <cell r="Y3957" t="str">
            <v/>
          </cell>
        </row>
        <row r="3958">
          <cell r="K3958">
            <v>120</v>
          </cell>
          <cell r="X3958" t="str">
            <v/>
          </cell>
          <cell r="Y3958" t="str">
            <v/>
          </cell>
        </row>
        <row r="3959">
          <cell r="X3959" t="str">
            <v/>
          </cell>
          <cell r="Y3959" t="str">
            <v/>
          </cell>
        </row>
        <row r="3960">
          <cell r="K3960">
            <v>53.49</v>
          </cell>
          <cell r="X3960" t="str">
            <v/>
          </cell>
          <cell r="Y3960" t="str">
            <v/>
          </cell>
        </row>
        <row r="3961">
          <cell r="K3961">
            <v>78600</v>
          </cell>
          <cell r="X3961" t="str">
            <v/>
          </cell>
          <cell r="Y3961" t="str">
            <v/>
          </cell>
        </row>
        <row r="3962">
          <cell r="K3962">
            <v>300.08999999999997</v>
          </cell>
          <cell r="X3962" t="str">
            <v/>
          </cell>
          <cell r="Y3962" t="str">
            <v/>
          </cell>
        </row>
        <row r="3963">
          <cell r="K3963">
            <v>342.59</v>
          </cell>
          <cell r="X3963" t="str">
            <v/>
          </cell>
          <cell r="Y3963" t="str">
            <v/>
          </cell>
        </row>
        <row r="3964">
          <cell r="K3964">
            <v>232.56</v>
          </cell>
          <cell r="X3964" t="str">
            <v/>
          </cell>
          <cell r="Y3964" t="str">
            <v/>
          </cell>
        </row>
        <row r="3965">
          <cell r="K3965">
            <v>148.30000000000001</v>
          </cell>
          <cell r="X3965" t="str">
            <v/>
          </cell>
          <cell r="Y3965" t="str">
            <v/>
          </cell>
        </row>
        <row r="3966">
          <cell r="K3966">
            <v>108.36</v>
          </cell>
          <cell r="X3966" t="str">
            <v/>
          </cell>
          <cell r="Y3966" t="str">
            <v/>
          </cell>
        </row>
        <row r="3967">
          <cell r="K3967">
            <v>286.55</v>
          </cell>
          <cell r="X3967" t="str">
            <v/>
          </cell>
          <cell r="Y3967" t="str">
            <v/>
          </cell>
        </row>
        <row r="3968">
          <cell r="K3968">
            <v>100.03</v>
          </cell>
          <cell r="X3968" t="str">
            <v/>
          </cell>
          <cell r="Y3968" t="str">
            <v/>
          </cell>
        </row>
        <row r="3969">
          <cell r="K3969">
            <v>218.8</v>
          </cell>
          <cell r="X3969" t="str">
            <v/>
          </cell>
          <cell r="Y3969" t="str">
            <v/>
          </cell>
        </row>
        <row r="3970">
          <cell r="K3970">
            <v>910.28</v>
          </cell>
          <cell r="X3970" t="str">
            <v/>
          </cell>
          <cell r="Y3970" t="str">
            <v/>
          </cell>
        </row>
        <row r="3971">
          <cell r="K3971">
            <v>37785.599999999999</v>
          </cell>
          <cell r="X3971" t="str">
            <v/>
          </cell>
          <cell r="Y3971" t="str">
            <v/>
          </cell>
        </row>
        <row r="3972">
          <cell r="K3972">
            <v>160</v>
          </cell>
          <cell r="X3972" t="str">
            <v/>
          </cell>
          <cell r="Y3972" t="str">
            <v/>
          </cell>
        </row>
        <row r="3973">
          <cell r="X3973" t="str">
            <v/>
          </cell>
          <cell r="Y3973" t="str">
            <v/>
          </cell>
        </row>
        <row r="3974">
          <cell r="K3974">
            <v>42</v>
          </cell>
          <cell r="X3974" t="str">
            <v/>
          </cell>
          <cell r="Y3974" t="str">
            <v/>
          </cell>
        </row>
        <row r="3975">
          <cell r="K3975">
            <v>36000</v>
          </cell>
          <cell r="X3975" t="str">
            <v/>
          </cell>
          <cell r="Y3975" t="str">
            <v/>
          </cell>
        </row>
        <row r="3976">
          <cell r="X3976" t="str">
            <v/>
          </cell>
          <cell r="Y3976" t="str">
            <v/>
          </cell>
        </row>
        <row r="3977">
          <cell r="K3977">
            <v>52530</v>
          </cell>
          <cell r="X3977" t="str">
            <v/>
          </cell>
          <cell r="Y3977" t="str">
            <v/>
          </cell>
        </row>
        <row r="3978">
          <cell r="K3978">
            <v>120</v>
          </cell>
          <cell r="X3978" t="str">
            <v/>
          </cell>
          <cell r="Y3978" t="str">
            <v/>
          </cell>
        </row>
        <row r="3979">
          <cell r="X3979" t="str">
            <v/>
          </cell>
          <cell r="Y3979" t="str">
            <v/>
          </cell>
        </row>
        <row r="3980">
          <cell r="K3980">
            <v>24.31</v>
          </cell>
          <cell r="X3980" t="str">
            <v/>
          </cell>
          <cell r="Y3980" t="str">
            <v/>
          </cell>
        </row>
        <row r="3981">
          <cell r="K3981">
            <v>50000</v>
          </cell>
          <cell r="X3981" t="str">
            <v/>
          </cell>
          <cell r="Y3981" t="str">
            <v/>
          </cell>
        </row>
        <row r="3982">
          <cell r="X3982" t="str">
            <v/>
          </cell>
          <cell r="Y3982" t="str">
            <v/>
          </cell>
        </row>
        <row r="3983">
          <cell r="K3983">
            <v>14961.26</v>
          </cell>
          <cell r="X3983" t="str">
            <v/>
          </cell>
          <cell r="Y3983" t="str">
            <v/>
          </cell>
        </row>
        <row r="3984">
          <cell r="X3984" t="str">
            <v/>
          </cell>
          <cell r="Y3984" t="str">
            <v/>
          </cell>
        </row>
        <row r="3985">
          <cell r="X3985" t="str">
            <v/>
          </cell>
          <cell r="Y3985" t="str">
            <v/>
          </cell>
        </row>
        <row r="3986">
          <cell r="X3986" t="str">
            <v>x</v>
          </cell>
          <cell r="Y3986" t="str">
            <v/>
          </cell>
        </row>
        <row r="3987">
          <cell r="X3987" t="str">
            <v/>
          </cell>
          <cell r="Y3987" t="str">
            <v/>
          </cell>
        </row>
        <row r="3988">
          <cell r="X3988" t="str">
            <v/>
          </cell>
          <cell r="Y3988" t="str">
            <v/>
          </cell>
        </row>
        <row r="3989">
          <cell r="X3989" t="str">
            <v/>
          </cell>
          <cell r="Y3989" t="str">
            <v/>
          </cell>
        </row>
        <row r="3990">
          <cell r="X3990" t="str">
            <v/>
          </cell>
          <cell r="Y3990" t="str">
            <v/>
          </cell>
        </row>
        <row r="3991">
          <cell r="X3991" t="str">
            <v>x</v>
          </cell>
          <cell r="Y3991" t="str">
            <v/>
          </cell>
        </row>
        <row r="3992">
          <cell r="X3992" t="str">
            <v/>
          </cell>
          <cell r="Y3992" t="str">
            <v/>
          </cell>
        </row>
        <row r="3993">
          <cell r="X3993" t="str">
            <v/>
          </cell>
          <cell r="Y3993" t="str">
            <v/>
          </cell>
        </row>
        <row r="3994">
          <cell r="X3994" t="str">
            <v>x</v>
          </cell>
          <cell r="Y3994" t="str">
            <v/>
          </cell>
        </row>
        <row r="3995">
          <cell r="X3995" t="str">
            <v/>
          </cell>
          <cell r="Y3995" t="str">
            <v/>
          </cell>
        </row>
        <row r="3996">
          <cell r="X3996" t="str">
            <v/>
          </cell>
          <cell r="Y3996" t="str">
            <v/>
          </cell>
        </row>
        <row r="3997">
          <cell r="X3997" t="str">
            <v>x</v>
          </cell>
          <cell r="Y3997" t="str">
            <v/>
          </cell>
        </row>
        <row r="3998">
          <cell r="X3998" t="str">
            <v/>
          </cell>
          <cell r="Y3998" t="str">
            <v/>
          </cell>
        </row>
        <row r="3999">
          <cell r="X3999" t="str">
            <v/>
          </cell>
          <cell r="Y3999" t="str">
            <v/>
          </cell>
        </row>
        <row r="4000">
          <cell r="X4000" t="str">
            <v>x</v>
          </cell>
          <cell r="Y4000" t="str">
            <v/>
          </cell>
        </row>
        <row r="4001">
          <cell r="X4001" t="str">
            <v/>
          </cell>
          <cell r="Y4001" t="str">
            <v/>
          </cell>
        </row>
        <row r="4002">
          <cell r="X4002" t="str">
            <v>x</v>
          </cell>
          <cell r="Y4002" t="str">
            <v/>
          </cell>
        </row>
        <row r="4003">
          <cell r="X4003" t="str">
            <v/>
          </cell>
          <cell r="Y4003" t="str">
            <v/>
          </cell>
        </row>
        <row r="4004">
          <cell r="X4004" t="str">
            <v>x</v>
          </cell>
          <cell r="Y4004" t="str">
            <v/>
          </cell>
        </row>
        <row r="4005">
          <cell r="X4005" t="str">
            <v/>
          </cell>
          <cell r="Y4005" t="str">
            <v/>
          </cell>
        </row>
        <row r="4006">
          <cell r="X4006" t="str">
            <v/>
          </cell>
          <cell r="Y4006" t="str">
            <v/>
          </cell>
        </row>
        <row r="4007">
          <cell r="X4007" t="str">
            <v>x</v>
          </cell>
          <cell r="Y4007" t="str">
            <v/>
          </cell>
        </row>
        <row r="4008">
          <cell r="K4008">
            <v>67200</v>
          </cell>
          <cell r="X4008" t="str">
            <v/>
          </cell>
          <cell r="Y4008" t="str">
            <v/>
          </cell>
        </row>
        <row r="4009">
          <cell r="X4009" t="str">
            <v/>
          </cell>
          <cell r="Y4009" t="str">
            <v/>
          </cell>
        </row>
        <row r="4010">
          <cell r="X4010" t="str">
            <v/>
          </cell>
          <cell r="Y4010" t="str">
            <v/>
          </cell>
        </row>
        <row r="4011">
          <cell r="X4011" t="str">
            <v>x</v>
          </cell>
          <cell r="Y4011" t="str">
            <v/>
          </cell>
        </row>
        <row r="4012">
          <cell r="X4012" t="str">
            <v/>
          </cell>
          <cell r="Y4012" t="str">
            <v/>
          </cell>
        </row>
        <row r="4013">
          <cell r="X4013" t="str">
            <v/>
          </cell>
          <cell r="Y4013" t="str">
            <v/>
          </cell>
        </row>
        <row r="4014">
          <cell r="X4014" t="str">
            <v/>
          </cell>
          <cell r="Y4014" t="str">
            <v/>
          </cell>
        </row>
        <row r="4015">
          <cell r="X4015" t="str">
            <v>x</v>
          </cell>
          <cell r="Y4015" t="str">
            <v/>
          </cell>
        </row>
        <row r="4016">
          <cell r="X4016" t="str">
            <v/>
          </cell>
          <cell r="Y4016" t="str">
            <v/>
          </cell>
        </row>
        <row r="4017">
          <cell r="X4017" t="str">
            <v/>
          </cell>
          <cell r="Y4017" t="str">
            <v/>
          </cell>
        </row>
        <row r="4018">
          <cell r="X4018" t="str">
            <v>x</v>
          </cell>
          <cell r="Y4018" t="str">
            <v/>
          </cell>
        </row>
        <row r="4019">
          <cell r="X4019" t="str">
            <v/>
          </cell>
          <cell r="Y4019" t="str">
            <v/>
          </cell>
        </row>
        <row r="4020">
          <cell r="X4020" t="str">
            <v/>
          </cell>
          <cell r="Y4020" t="str">
            <v/>
          </cell>
        </row>
        <row r="4021">
          <cell r="X4021" t="str">
            <v>x</v>
          </cell>
          <cell r="Y4021" t="str">
            <v/>
          </cell>
        </row>
        <row r="4022">
          <cell r="X4022" t="str">
            <v/>
          </cell>
          <cell r="Y4022" t="str">
            <v/>
          </cell>
        </row>
        <row r="4023">
          <cell r="X4023" t="str">
            <v/>
          </cell>
          <cell r="Y4023" t="str">
            <v/>
          </cell>
        </row>
        <row r="4024">
          <cell r="X4024" t="str">
            <v>x</v>
          </cell>
          <cell r="Y4024" t="str">
            <v/>
          </cell>
        </row>
        <row r="4025">
          <cell r="K4025">
            <v>56100</v>
          </cell>
          <cell r="X4025" t="str">
            <v/>
          </cell>
          <cell r="Y4025" t="str">
            <v>x</v>
          </cell>
        </row>
        <row r="4026">
          <cell r="X4026" t="str">
            <v/>
          </cell>
          <cell r="Y4026" t="str">
            <v/>
          </cell>
        </row>
        <row r="4027">
          <cell r="X4027" t="str">
            <v/>
          </cell>
          <cell r="Y4027" t="str">
            <v/>
          </cell>
        </row>
        <row r="4028">
          <cell r="X4028" t="str">
            <v/>
          </cell>
          <cell r="Y4028" t="str">
            <v/>
          </cell>
        </row>
        <row r="4029">
          <cell r="X4029" t="str">
            <v/>
          </cell>
          <cell r="Y4029" t="str">
            <v/>
          </cell>
        </row>
        <row r="4030">
          <cell r="K4030">
            <v>299000</v>
          </cell>
          <cell r="X4030" t="str">
            <v/>
          </cell>
          <cell r="Y4030" t="str">
            <v/>
          </cell>
        </row>
        <row r="4031">
          <cell r="X4031" t="str">
            <v/>
          </cell>
          <cell r="Y4031" t="str">
            <v/>
          </cell>
        </row>
        <row r="4032">
          <cell r="X4032" t="str">
            <v/>
          </cell>
          <cell r="Y4032" t="str">
            <v/>
          </cell>
        </row>
        <row r="4033">
          <cell r="X4033" t="str">
            <v>x</v>
          </cell>
          <cell r="Y4033" t="str">
            <v/>
          </cell>
        </row>
        <row r="4034">
          <cell r="K4034">
            <v>70000</v>
          </cell>
          <cell r="X4034" t="str">
            <v/>
          </cell>
          <cell r="Y4034" t="str">
            <v/>
          </cell>
        </row>
        <row r="4035">
          <cell r="X4035" t="str">
            <v/>
          </cell>
          <cell r="Y4035" t="str">
            <v/>
          </cell>
        </row>
        <row r="4036">
          <cell r="X4036" t="str">
            <v/>
          </cell>
          <cell r="Y4036" t="str">
            <v/>
          </cell>
        </row>
        <row r="4037">
          <cell r="K4037">
            <v>13900</v>
          </cell>
          <cell r="X4037" t="str">
            <v/>
          </cell>
          <cell r="Y4037" t="str">
            <v/>
          </cell>
        </row>
        <row r="4038">
          <cell r="K4038">
            <v>67000</v>
          </cell>
          <cell r="X4038" t="str">
            <v/>
          </cell>
          <cell r="Y4038" t="str">
            <v/>
          </cell>
        </row>
        <row r="4039">
          <cell r="X4039" t="str">
            <v/>
          </cell>
          <cell r="Y4039" t="str">
            <v/>
          </cell>
        </row>
        <row r="4040">
          <cell r="X4040" t="str">
            <v/>
          </cell>
          <cell r="Y4040" t="str">
            <v/>
          </cell>
        </row>
        <row r="4041">
          <cell r="X4041" t="str">
            <v/>
          </cell>
          <cell r="Y4041" t="str">
            <v/>
          </cell>
        </row>
        <row r="4042">
          <cell r="X4042" t="str">
            <v>x</v>
          </cell>
          <cell r="Y4042" t="str">
            <v/>
          </cell>
        </row>
        <row r="4043">
          <cell r="X4043" t="str">
            <v/>
          </cell>
          <cell r="Y4043" t="str">
            <v/>
          </cell>
        </row>
        <row r="4044">
          <cell r="X4044" t="str">
            <v/>
          </cell>
          <cell r="Y4044" t="str">
            <v/>
          </cell>
        </row>
        <row r="4045">
          <cell r="X4045" t="str">
            <v/>
          </cell>
          <cell r="Y4045" t="str">
            <v/>
          </cell>
        </row>
        <row r="4046">
          <cell r="K4046">
            <v>328200</v>
          </cell>
          <cell r="X4046" t="str">
            <v/>
          </cell>
          <cell r="Y4046" t="str">
            <v/>
          </cell>
        </row>
        <row r="4047">
          <cell r="X4047" t="str">
            <v/>
          </cell>
          <cell r="Y4047" t="str">
            <v/>
          </cell>
        </row>
        <row r="4048">
          <cell r="X4048" t="str">
            <v/>
          </cell>
          <cell r="Y4048" t="str">
            <v/>
          </cell>
        </row>
        <row r="4049">
          <cell r="X4049" t="str">
            <v>x</v>
          </cell>
          <cell r="Y4049" t="str">
            <v/>
          </cell>
        </row>
        <row r="4050">
          <cell r="X4050" t="str">
            <v/>
          </cell>
          <cell r="Y4050" t="str">
            <v/>
          </cell>
        </row>
        <row r="4051">
          <cell r="K4051">
            <v>200000</v>
          </cell>
          <cell r="X4051" t="str">
            <v/>
          </cell>
          <cell r="Y4051" t="str">
            <v/>
          </cell>
        </row>
        <row r="4052">
          <cell r="X4052" t="str">
            <v/>
          </cell>
          <cell r="Y4052" t="str">
            <v/>
          </cell>
        </row>
        <row r="4053">
          <cell r="X4053" t="str">
            <v/>
          </cell>
          <cell r="Y4053" t="str">
            <v/>
          </cell>
        </row>
        <row r="4054">
          <cell r="X4054" t="str">
            <v/>
          </cell>
          <cell r="Y4054" t="str">
            <v/>
          </cell>
        </row>
        <row r="4055">
          <cell r="X4055" t="str">
            <v>x</v>
          </cell>
          <cell r="Y4055" t="str">
            <v/>
          </cell>
        </row>
        <row r="4056">
          <cell r="X4056" t="str">
            <v/>
          </cell>
          <cell r="Y4056" t="str">
            <v/>
          </cell>
        </row>
        <row r="4057">
          <cell r="X4057" t="str">
            <v/>
          </cell>
          <cell r="Y4057" t="str">
            <v/>
          </cell>
        </row>
        <row r="4058">
          <cell r="X4058" t="str">
            <v>x</v>
          </cell>
          <cell r="Y4058" t="str">
            <v/>
          </cell>
        </row>
        <row r="4059">
          <cell r="X4059" t="str">
            <v/>
          </cell>
          <cell r="Y4059" t="str">
            <v/>
          </cell>
        </row>
        <row r="4060">
          <cell r="X4060" t="str">
            <v/>
          </cell>
          <cell r="Y4060" t="str">
            <v/>
          </cell>
        </row>
        <row r="4061">
          <cell r="X4061" t="str">
            <v>x</v>
          </cell>
          <cell r="Y4061" t="str">
            <v/>
          </cell>
        </row>
        <row r="4062">
          <cell r="X4062" t="str">
            <v/>
          </cell>
          <cell r="Y4062" t="str">
            <v/>
          </cell>
        </row>
        <row r="4063">
          <cell r="X4063" t="str">
            <v/>
          </cell>
          <cell r="Y4063" t="str">
            <v/>
          </cell>
        </row>
        <row r="4064">
          <cell r="X4064" t="str">
            <v>x</v>
          </cell>
          <cell r="Y4064" t="str">
            <v/>
          </cell>
        </row>
        <row r="4065">
          <cell r="X4065" t="str">
            <v/>
          </cell>
          <cell r="Y4065" t="str">
            <v/>
          </cell>
        </row>
        <row r="4066">
          <cell r="X4066" t="str">
            <v/>
          </cell>
          <cell r="Y4066" t="str">
            <v/>
          </cell>
        </row>
        <row r="4067">
          <cell r="X4067" t="str">
            <v>x</v>
          </cell>
          <cell r="Y4067" t="str">
            <v/>
          </cell>
        </row>
        <row r="4068">
          <cell r="X4068" t="str">
            <v/>
          </cell>
          <cell r="Y4068" t="str">
            <v/>
          </cell>
        </row>
        <row r="4069">
          <cell r="X4069" t="str">
            <v/>
          </cell>
          <cell r="Y4069" t="str">
            <v/>
          </cell>
        </row>
        <row r="4070">
          <cell r="X4070" t="str">
            <v>x</v>
          </cell>
          <cell r="Y4070" t="str">
            <v/>
          </cell>
        </row>
        <row r="4071">
          <cell r="K4071">
            <v>61700</v>
          </cell>
          <cell r="X4071" t="str">
            <v/>
          </cell>
          <cell r="Y4071" t="str">
            <v/>
          </cell>
        </row>
        <row r="4072">
          <cell r="X4072" t="str">
            <v/>
          </cell>
          <cell r="Y4072" t="str">
            <v/>
          </cell>
        </row>
        <row r="4073">
          <cell r="K4073">
            <v>84000</v>
          </cell>
          <cell r="X4073" t="str">
            <v/>
          </cell>
          <cell r="Y4073" t="str">
            <v/>
          </cell>
        </row>
        <row r="4074">
          <cell r="X4074" t="str">
            <v/>
          </cell>
          <cell r="Y4074" t="str">
            <v/>
          </cell>
        </row>
        <row r="4075">
          <cell r="K4075">
            <v>369448</v>
          </cell>
          <cell r="X4075" t="str">
            <v/>
          </cell>
          <cell r="Y4075" t="str">
            <v/>
          </cell>
        </row>
        <row r="4076">
          <cell r="K4076">
            <v>12</v>
          </cell>
          <cell r="X4076" t="str">
            <v/>
          </cell>
          <cell r="Y4076" t="str">
            <v/>
          </cell>
        </row>
        <row r="4077">
          <cell r="X4077" t="str">
            <v/>
          </cell>
          <cell r="Y4077" t="str">
            <v/>
          </cell>
        </row>
        <row r="4078">
          <cell r="K4078">
            <v>70000</v>
          </cell>
          <cell r="X4078" t="str">
            <v/>
          </cell>
          <cell r="Y4078" t="str">
            <v/>
          </cell>
        </row>
        <row r="4079">
          <cell r="K4079">
            <v>67000</v>
          </cell>
          <cell r="X4079" t="str">
            <v/>
          </cell>
          <cell r="Y4079" t="str">
            <v/>
          </cell>
        </row>
        <row r="4080">
          <cell r="K4080">
            <v>210.33</v>
          </cell>
          <cell r="X4080" t="str">
            <v/>
          </cell>
          <cell r="Y4080" t="str">
            <v/>
          </cell>
        </row>
        <row r="4081">
          <cell r="K4081">
            <v>67000</v>
          </cell>
          <cell r="X4081" t="str">
            <v/>
          </cell>
          <cell r="Y4081" t="str">
            <v/>
          </cell>
        </row>
        <row r="4082">
          <cell r="X4082" t="str">
            <v/>
          </cell>
          <cell r="Y4082" t="str">
            <v/>
          </cell>
        </row>
        <row r="4083">
          <cell r="K4083">
            <v>427.17</v>
          </cell>
          <cell r="X4083" t="str">
            <v/>
          </cell>
          <cell r="Y4083" t="str">
            <v/>
          </cell>
        </row>
        <row r="4084">
          <cell r="K4084">
            <v>9568.5</v>
          </cell>
          <cell r="X4084" t="str">
            <v/>
          </cell>
          <cell r="Y4084" t="str">
            <v/>
          </cell>
        </row>
        <row r="4085">
          <cell r="K4085">
            <v>31.5</v>
          </cell>
          <cell r="X4085" t="str">
            <v/>
          </cell>
          <cell r="Y4085" t="str">
            <v/>
          </cell>
        </row>
        <row r="4086">
          <cell r="K4086">
            <v>9568.5</v>
          </cell>
          <cell r="X4086" t="str">
            <v/>
          </cell>
          <cell r="Y4086" t="str">
            <v/>
          </cell>
        </row>
        <row r="4087">
          <cell r="K4087">
            <v>444923.4</v>
          </cell>
          <cell r="X4087" t="str">
            <v/>
          </cell>
          <cell r="Y4087" t="str">
            <v/>
          </cell>
        </row>
        <row r="4088">
          <cell r="K4088">
            <v>12</v>
          </cell>
          <cell r="X4088" t="str">
            <v/>
          </cell>
          <cell r="Y4088" t="str">
            <v/>
          </cell>
        </row>
        <row r="4089">
          <cell r="X4089" t="str">
            <v/>
          </cell>
          <cell r="Y4089" t="str">
            <v/>
          </cell>
        </row>
        <row r="4090">
          <cell r="K4090">
            <v>85030</v>
          </cell>
          <cell r="X4090" t="str">
            <v/>
          </cell>
          <cell r="Y4090" t="str">
            <v/>
          </cell>
        </row>
        <row r="4091">
          <cell r="K4091">
            <v>230</v>
          </cell>
          <cell r="X4091" t="str">
            <v/>
          </cell>
          <cell r="Y4091" t="str">
            <v/>
          </cell>
        </row>
        <row r="4092">
          <cell r="X4092" t="str">
            <v/>
          </cell>
          <cell r="Y4092" t="str">
            <v/>
          </cell>
        </row>
        <row r="4093">
          <cell r="K4093">
            <v>5</v>
          </cell>
          <cell r="X4093" t="str">
            <v/>
          </cell>
          <cell r="Y4093" t="str">
            <v/>
          </cell>
        </row>
        <row r="4094">
          <cell r="K4094">
            <v>0.5</v>
          </cell>
          <cell r="X4094" t="str">
            <v>x</v>
          </cell>
          <cell r="Y4094" t="str">
            <v/>
          </cell>
        </row>
        <row r="4095">
          <cell r="K4095">
            <v>102.31</v>
          </cell>
          <cell r="X4095" t="str">
            <v/>
          </cell>
          <cell r="Y4095" t="str">
            <v/>
          </cell>
        </row>
        <row r="4096">
          <cell r="K4096">
            <v>10.23</v>
          </cell>
          <cell r="X4096" t="str">
            <v>x</v>
          </cell>
          <cell r="Y4096" t="str">
            <v/>
          </cell>
        </row>
        <row r="4097">
          <cell r="K4097">
            <v>100</v>
          </cell>
          <cell r="X4097" t="str">
            <v/>
          </cell>
          <cell r="Y4097" t="str">
            <v/>
          </cell>
        </row>
        <row r="4098">
          <cell r="K4098">
            <v>10</v>
          </cell>
          <cell r="X4098" t="str">
            <v>x</v>
          </cell>
          <cell r="Y4098" t="str">
            <v/>
          </cell>
        </row>
        <row r="4099">
          <cell r="K4099">
            <v>0.05</v>
          </cell>
          <cell r="X4099" t="str">
            <v/>
          </cell>
          <cell r="Y4099" t="str">
            <v/>
          </cell>
        </row>
        <row r="4100">
          <cell r="K4100">
            <v>17.52</v>
          </cell>
          <cell r="X4100" t="str">
            <v/>
          </cell>
          <cell r="Y4100" t="str">
            <v/>
          </cell>
        </row>
        <row r="4101">
          <cell r="K4101">
            <v>115.31</v>
          </cell>
          <cell r="X4101" t="str">
            <v/>
          </cell>
          <cell r="Y4101" t="str">
            <v/>
          </cell>
        </row>
        <row r="4102">
          <cell r="K4102">
            <v>31004.33</v>
          </cell>
          <cell r="X4102" t="str">
            <v/>
          </cell>
          <cell r="Y4102" t="str">
            <v/>
          </cell>
        </row>
        <row r="4103">
          <cell r="X4103" t="str">
            <v/>
          </cell>
          <cell r="Y4103" t="str">
            <v/>
          </cell>
        </row>
        <row r="4104">
          <cell r="K4104">
            <v>62.92</v>
          </cell>
          <cell r="X4104" t="str">
            <v/>
          </cell>
          <cell r="Y4104" t="str">
            <v/>
          </cell>
        </row>
        <row r="4105">
          <cell r="K4105">
            <v>80900</v>
          </cell>
          <cell r="X4105" t="str">
            <v/>
          </cell>
          <cell r="Y4105" t="str">
            <v/>
          </cell>
        </row>
        <row r="4106">
          <cell r="X4106" t="str">
            <v/>
          </cell>
          <cell r="Y4106" t="str">
            <v/>
          </cell>
        </row>
        <row r="4107">
          <cell r="K4107">
            <v>212.5</v>
          </cell>
          <cell r="X4107" t="str">
            <v/>
          </cell>
          <cell r="Y4107" t="str">
            <v/>
          </cell>
        </row>
        <row r="4108">
          <cell r="K4108">
            <v>85000</v>
          </cell>
          <cell r="X4108" t="str">
            <v/>
          </cell>
          <cell r="Y4108" t="str">
            <v/>
          </cell>
        </row>
        <row r="4109">
          <cell r="X4109" t="str">
            <v/>
          </cell>
          <cell r="Y4109" t="str">
            <v/>
          </cell>
        </row>
        <row r="4110">
          <cell r="K4110">
            <v>264.79000000000002</v>
          </cell>
          <cell r="X4110" t="str">
            <v/>
          </cell>
          <cell r="Y4110" t="str">
            <v/>
          </cell>
        </row>
        <row r="4111">
          <cell r="K4111">
            <v>62.81</v>
          </cell>
          <cell r="X4111" t="str">
            <v/>
          </cell>
          <cell r="Y4111" t="str">
            <v/>
          </cell>
        </row>
        <row r="4112">
          <cell r="K4112">
            <v>355.21</v>
          </cell>
          <cell r="X4112" t="str">
            <v/>
          </cell>
          <cell r="Y4112" t="str">
            <v/>
          </cell>
        </row>
        <row r="4113">
          <cell r="K4113">
            <v>129.16999999999999</v>
          </cell>
          <cell r="X4113" t="str">
            <v/>
          </cell>
          <cell r="Y4113" t="str">
            <v/>
          </cell>
        </row>
        <row r="4114">
          <cell r="K4114">
            <v>240.25</v>
          </cell>
          <cell r="X4114" t="str">
            <v/>
          </cell>
          <cell r="Y4114" t="str">
            <v/>
          </cell>
        </row>
        <row r="4115">
          <cell r="K4115">
            <v>380.1</v>
          </cell>
          <cell r="X4115" t="str">
            <v/>
          </cell>
          <cell r="Y4115" t="str">
            <v/>
          </cell>
        </row>
        <row r="4116">
          <cell r="K4116">
            <v>310</v>
          </cell>
          <cell r="X4116" t="str">
            <v/>
          </cell>
          <cell r="Y4116" t="str">
            <v/>
          </cell>
        </row>
        <row r="4117">
          <cell r="K4117">
            <v>162.75</v>
          </cell>
          <cell r="X4117" t="str">
            <v/>
          </cell>
          <cell r="Y4117" t="str">
            <v/>
          </cell>
        </row>
        <row r="4118">
          <cell r="K4118">
            <v>116.67</v>
          </cell>
          <cell r="X4118" t="str">
            <v/>
          </cell>
          <cell r="Y4118" t="str">
            <v/>
          </cell>
        </row>
        <row r="4119">
          <cell r="K4119">
            <v>226.04</v>
          </cell>
          <cell r="X4119" t="str">
            <v/>
          </cell>
          <cell r="Y4119" t="str">
            <v/>
          </cell>
        </row>
        <row r="4120">
          <cell r="K4120">
            <v>129.16999999999999</v>
          </cell>
          <cell r="X4120" t="str">
            <v/>
          </cell>
          <cell r="Y4120" t="str">
            <v/>
          </cell>
        </row>
        <row r="4121">
          <cell r="K4121">
            <v>881.56</v>
          </cell>
          <cell r="X4121" t="str">
            <v/>
          </cell>
          <cell r="Y4121" t="str">
            <v/>
          </cell>
        </row>
        <row r="4122">
          <cell r="K4122">
            <v>215.71</v>
          </cell>
          <cell r="X4122" t="str">
            <v/>
          </cell>
          <cell r="Y4122" t="str">
            <v/>
          </cell>
        </row>
        <row r="4123">
          <cell r="K4123">
            <v>3</v>
          </cell>
          <cell r="X4123" t="str">
            <v/>
          </cell>
          <cell r="Y4123" t="str">
            <v/>
          </cell>
        </row>
        <row r="4124">
          <cell r="K4124">
            <v>0.3</v>
          </cell>
          <cell r="X4124" t="str">
            <v>x</v>
          </cell>
          <cell r="Y4124" t="str">
            <v/>
          </cell>
        </row>
        <row r="4125">
          <cell r="K4125">
            <v>100</v>
          </cell>
          <cell r="X4125" t="str">
            <v/>
          </cell>
          <cell r="Y4125" t="str">
            <v/>
          </cell>
        </row>
        <row r="4126">
          <cell r="K4126">
            <v>443340</v>
          </cell>
          <cell r="X4126" t="str">
            <v/>
          </cell>
          <cell r="Y4126" t="str">
            <v/>
          </cell>
        </row>
        <row r="4127">
          <cell r="K4127">
            <v>12</v>
          </cell>
          <cell r="X4127" t="str">
            <v/>
          </cell>
          <cell r="Y4127" t="str">
            <v/>
          </cell>
        </row>
        <row r="4128">
          <cell r="X4128" t="str">
            <v/>
          </cell>
          <cell r="Y4128" t="str">
            <v/>
          </cell>
        </row>
        <row r="4129">
          <cell r="K4129">
            <v>243800</v>
          </cell>
          <cell r="X4129" t="str">
            <v/>
          </cell>
          <cell r="Y4129" t="str">
            <v/>
          </cell>
        </row>
        <row r="4130">
          <cell r="K4130">
            <v>3</v>
          </cell>
          <cell r="X4130" t="str">
            <v/>
          </cell>
          <cell r="Y4130" t="str">
            <v/>
          </cell>
        </row>
        <row r="4131">
          <cell r="K4131">
            <v>0.3</v>
          </cell>
          <cell r="X4131" t="str">
            <v>x</v>
          </cell>
          <cell r="Y4131" t="str">
            <v/>
          </cell>
        </row>
        <row r="4132">
          <cell r="X4132" t="str">
            <v/>
          </cell>
          <cell r="Y4132" t="str">
            <v/>
          </cell>
        </row>
        <row r="4133">
          <cell r="K4133">
            <v>44000</v>
          </cell>
          <cell r="X4133" t="str">
            <v/>
          </cell>
          <cell r="Y4133" t="str">
            <v/>
          </cell>
        </row>
        <row r="4134">
          <cell r="X4134" t="str">
            <v/>
          </cell>
          <cell r="Y4134" t="str">
            <v/>
          </cell>
        </row>
        <row r="4135">
          <cell r="X4135" t="str">
            <v/>
          </cell>
          <cell r="Y4135" t="str">
            <v/>
          </cell>
        </row>
        <row r="4136">
          <cell r="K4136">
            <v>243800</v>
          </cell>
          <cell r="X4136" t="str">
            <v/>
          </cell>
          <cell r="Y4136" t="str">
            <v/>
          </cell>
        </row>
        <row r="4137">
          <cell r="X4137" t="str">
            <v/>
          </cell>
          <cell r="Y4137" t="str">
            <v/>
          </cell>
        </row>
        <row r="4138">
          <cell r="K4138">
            <v>12900</v>
          </cell>
          <cell r="X4138" t="str">
            <v/>
          </cell>
          <cell r="Y4138" t="str">
            <v/>
          </cell>
        </row>
        <row r="4139">
          <cell r="X4139" t="str">
            <v/>
          </cell>
          <cell r="Y4139" t="str">
            <v/>
          </cell>
        </row>
        <row r="4140">
          <cell r="K4140">
            <v>3144.94</v>
          </cell>
          <cell r="X4140" t="str">
            <v/>
          </cell>
          <cell r="Y4140" t="str">
            <v/>
          </cell>
        </row>
        <row r="4141">
          <cell r="K4141">
            <v>106.11</v>
          </cell>
          <cell r="X4141" t="str">
            <v/>
          </cell>
          <cell r="Y4141" t="str">
            <v/>
          </cell>
        </row>
        <row r="4142">
          <cell r="K4142">
            <v>10.61</v>
          </cell>
          <cell r="X4142" t="str">
            <v>x</v>
          </cell>
          <cell r="Y4142" t="str">
            <v/>
          </cell>
        </row>
        <row r="4143">
          <cell r="K4143">
            <v>29.22</v>
          </cell>
          <cell r="X4143" t="str">
            <v/>
          </cell>
          <cell r="Y4143" t="str">
            <v/>
          </cell>
        </row>
        <row r="4144">
          <cell r="K4144">
            <v>2.92</v>
          </cell>
          <cell r="X4144" t="str">
            <v>x</v>
          </cell>
          <cell r="Y4144" t="str">
            <v/>
          </cell>
        </row>
        <row r="4145">
          <cell r="K4145">
            <v>10</v>
          </cell>
          <cell r="X4145" t="str">
            <v/>
          </cell>
          <cell r="Y4145" t="str">
            <v/>
          </cell>
        </row>
        <row r="4146">
          <cell r="K4146">
            <v>1</v>
          </cell>
          <cell r="X4146" t="str">
            <v>x</v>
          </cell>
          <cell r="Y4146" t="str">
            <v/>
          </cell>
        </row>
        <row r="4147">
          <cell r="K4147">
            <v>67.2</v>
          </cell>
          <cell r="X4147" t="str">
            <v/>
          </cell>
          <cell r="Y4147" t="str">
            <v/>
          </cell>
        </row>
        <row r="4148">
          <cell r="K4148">
            <v>168</v>
          </cell>
          <cell r="X4148" t="str">
            <v/>
          </cell>
          <cell r="Y4148" t="str">
            <v/>
          </cell>
        </row>
        <row r="4149">
          <cell r="X4149" t="str">
            <v/>
          </cell>
          <cell r="Y4149" t="str">
            <v/>
          </cell>
        </row>
        <row r="4150">
          <cell r="K4150">
            <v>2681.21</v>
          </cell>
          <cell r="X4150" t="str">
            <v/>
          </cell>
          <cell r="Y4150" t="str">
            <v>x</v>
          </cell>
        </row>
        <row r="4151">
          <cell r="K4151">
            <v>88.65</v>
          </cell>
          <cell r="X4151" t="str">
            <v/>
          </cell>
          <cell r="Y4151" t="str">
            <v>x</v>
          </cell>
        </row>
        <row r="4152">
          <cell r="K4152">
            <v>8.8699999999999992</v>
          </cell>
          <cell r="X4152" t="str">
            <v>x</v>
          </cell>
          <cell r="Y4152" t="str">
            <v>x</v>
          </cell>
        </row>
        <row r="4153">
          <cell r="K4153">
            <v>24.22</v>
          </cell>
          <cell r="X4153" t="str">
            <v/>
          </cell>
          <cell r="Y4153" t="str">
            <v>x</v>
          </cell>
        </row>
        <row r="4154">
          <cell r="K4154">
            <v>2.42</v>
          </cell>
          <cell r="X4154" t="str">
            <v>x</v>
          </cell>
          <cell r="Y4154" t="str">
            <v>x</v>
          </cell>
        </row>
        <row r="4155">
          <cell r="K4155">
            <v>10</v>
          </cell>
          <cell r="X4155" t="str">
            <v/>
          </cell>
          <cell r="Y4155" t="str">
            <v>x</v>
          </cell>
        </row>
        <row r="4156">
          <cell r="K4156">
            <v>1</v>
          </cell>
          <cell r="X4156" t="str">
            <v>x</v>
          </cell>
          <cell r="Y4156" t="str">
            <v>x</v>
          </cell>
        </row>
        <row r="4157">
          <cell r="K4157">
            <v>43.63</v>
          </cell>
          <cell r="X4157" t="str">
            <v/>
          </cell>
          <cell r="Y4157" t="str">
            <v>x</v>
          </cell>
        </row>
        <row r="4158">
          <cell r="K4158">
            <v>140</v>
          </cell>
          <cell r="X4158" t="str">
            <v/>
          </cell>
          <cell r="Y4158" t="str">
            <v>x</v>
          </cell>
        </row>
        <row r="4159">
          <cell r="X4159" t="str">
            <v/>
          </cell>
          <cell r="Y4159" t="str">
            <v>x</v>
          </cell>
        </row>
        <row r="4160">
          <cell r="K4160">
            <v>566.26</v>
          </cell>
          <cell r="X4160" t="str">
            <v/>
          </cell>
          <cell r="Y4160" t="str">
            <v/>
          </cell>
        </row>
        <row r="4161">
          <cell r="K4161">
            <v>20.48</v>
          </cell>
          <cell r="X4161" t="str">
            <v/>
          </cell>
          <cell r="Y4161" t="str">
            <v/>
          </cell>
        </row>
        <row r="4162">
          <cell r="K4162">
            <v>2.0499999999999998</v>
          </cell>
          <cell r="X4162" t="str">
            <v>x</v>
          </cell>
          <cell r="Y4162" t="str">
            <v/>
          </cell>
        </row>
        <row r="4163">
          <cell r="K4163">
            <v>10</v>
          </cell>
          <cell r="X4163" t="str">
            <v/>
          </cell>
          <cell r="Y4163" t="str">
            <v/>
          </cell>
        </row>
        <row r="4164">
          <cell r="K4164">
            <v>1</v>
          </cell>
          <cell r="X4164" t="str">
            <v>x</v>
          </cell>
          <cell r="Y4164" t="str">
            <v/>
          </cell>
        </row>
        <row r="4165">
          <cell r="K4165">
            <v>29.22</v>
          </cell>
          <cell r="X4165" t="str">
            <v/>
          </cell>
          <cell r="Y4165" t="str">
            <v/>
          </cell>
        </row>
        <row r="4166">
          <cell r="K4166">
            <v>2.92</v>
          </cell>
          <cell r="X4166" t="str">
            <v>x</v>
          </cell>
          <cell r="Y4166" t="str">
            <v/>
          </cell>
        </row>
        <row r="4167">
          <cell r="K4167">
            <v>20.07</v>
          </cell>
          <cell r="X4167" t="str">
            <v/>
          </cell>
          <cell r="Y4167" t="str">
            <v/>
          </cell>
        </row>
        <row r="4168">
          <cell r="K4168">
            <v>98</v>
          </cell>
          <cell r="X4168" t="str">
            <v/>
          </cell>
          <cell r="Y4168" t="str">
            <v/>
          </cell>
        </row>
        <row r="4169">
          <cell r="X4169" t="str">
            <v/>
          </cell>
          <cell r="Y4169" t="str">
            <v/>
          </cell>
        </row>
        <row r="4170">
          <cell r="K4170">
            <v>3</v>
          </cell>
          <cell r="X4170" t="str">
            <v/>
          </cell>
          <cell r="Y4170" t="str">
            <v/>
          </cell>
        </row>
        <row r="4171">
          <cell r="K4171">
            <v>0.3</v>
          </cell>
          <cell r="X4171" t="str">
            <v>x</v>
          </cell>
          <cell r="Y4171" t="str">
            <v/>
          </cell>
        </row>
        <row r="4172">
          <cell r="K4172">
            <v>3</v>
          </cell>
          <cell r="X4172" t="str">
            <v/>
          </cell>
          <cell r="Y4172" t="str">
            <v/>
          </cell>
        </row>
        <row r="4173">
          <cell r="K4173">
            <v>0.3</v>
          </cell>
          <cell r="X4173" t="str">
            <v>x</v>
          </cell>
          <cell r="Y4173" t="str">
            <v/>
          </cell>
        </row>
        <row r="4174">
          <cell r="X4174" t="str">
            <v/>
          </cell>
          <cell r="Y4174" t="str">
            <v/>
          </cell>
        </row>
        <row r="4175">
          <cell r="X4175" t="str">
            <v>x</v>
          </cell>
          <cell r="Y4175" t="str">
            <v/>
          </cell>
        </row>
        <row r="4176">
          <cell r="X4176" t="str">
            <v/>
          </cell>
          <cell r="Y4176" t="str">
            <v/>
          </cell>
        </row>
        <row r="4177">
          <cell r="X4177" t="str">
            <v>x</v>
          </cell>
          <cell r="Y4177" t="str">
            <v/>
          </cell>
        </row>
        <row r="4178">
          <cell r="X4178" t="str">
            <v/>
          </cell>
          <cell r="Y4178" t="str">
            <v/>
          </cell>
        </row>
        <row r="4179">
          <cell r="K4179">
            <v>350000</v>
          </cell>
          <cell r="X4179" t="str">
            <v/>
          </cell>
          <cell r="Y4179" t="str">
            <v/>
          </cell>
        </row>
        <row r="4180">
          <cell r="K4180">
            <v>92500</v>
          </cell>
          <cell r="X4180" t="str">
            <v/>
          </cell>
          <cell r="Y4180" t="str">
            <v/>
          </cell>
        </row>
        <row r="4181">
          <cell r="X4181" t="str">
            <v/>
          </cell>
          <cell r="Y4181" t="str">
            <v/>
          </cell>
        </row>
        <row r="4182">
          <cell r="X4182" t="str">
            <v>x</v>
          </cell>
          <cell r="Y4182" t="str">
            <v/>
          </cell>
        </row>
        <row r="4183">
          <cell r="X4183" t="str">
            <v/>
          </cell>
          <cell r="Y4183" t="str">
            <v/>
          </cell>
        </row>
        <row r="4184">
          <cell r="X4184" t="str">
            <v/>
          </cell>
          <cell r="Y4184" t="str">
            <v/>
          </cell>
        </row>
        <row r="4185">
          <cell r="X4185" t="str">
            <v>x</v>
          </cell>
          <cell r="Y4185" t="str">
            <v/>
          </cell>
        </row>
        <row r="4186">
          <cell r="X4186" t="str">
            <v/>
          </cell>
          <cell r="Y4186" t="str">
            <v/>
          </cell>
        </row>
        <row r="4187">
          <cell r="X4187" t="str">
            <v/>
          </cell>
          <cell r="Y4187" t="str">
            <v/>
          </cell>
        </row>
        <row r="4188">
          <cell r="X4188" t="str">
            <v>x</v>
          </cell>
          <cell r="Y4188" t="str">
            <v/>
          </cell>
        </row>
        <row r="4189">
          <cell r="X4189" t="str">
            <v/>
          </cell>
          <cell r="Y4189" t="str">
            <v/>
          </cell>
        </row>
        <row r="4190">
          <cell r="X4190" t="str">
            <v/>
          </cell>
          <cell r="Y4190" t="str">
            <v/>
          </cell>
        </row>
        <row r="4191">
          <cell r="X4191" t="str">
            <v>x</v>
          </cell>
          <cell r="Y4191" t="str">
            <v/>
          </cell>
        </row>
        <row r="4192">
          <cell r="X4192" t="str">
            <v/>
          </cell>
          <cell r="Y4192" t="str">
            <v/>
          </cell>
        </row>
        <row r="4193">
          <cell r="X4193" t="str">
            <v/>
          </cell>
          <cell r="Y4193" t="str">
            <v/>
          </cell>
        </row>
        <row r="4194">
          <cell r="X4194" t="str">
            <v>x</v>
          </cell>
          <cell r="Y4194" t="str">
            <v/>
          </cell>
        </row>
        <row r="4195">
          <cell r="X4195" t="str">
            <v/>
          </cell>
          <cell r="Y4195" t="str">
            <v/>
          </cell>
        </row>
        <row r="4196">
          <cell r="K4196">
            <v>419000</v>
          </cell>
          <cell r="X4196" t="str">
            <v/>
          </cell>
          <cell r="Y4196" t="str">
            <v/>
          </cell>
        </row>
        <row r="4197">
          <cell r="X4197" t="str">
            <v/>
          </cell>
          <cell r="Y4197" t="str">
            <v/>
          </cell>
        </row>
        <row r="4198">
          <cell r="X4198" t="str">
            <v/>
          </cell>
          <cell r="Y4198" t="str">
            <v/>
          </cell>
        </row>
        <row r="4199">
          <cell r="X4199" t="str">
            <v/>
          </cell>
          <cell r="Y4199" t="str">
            <v/>
          </cell>
        </row>
        <row r="4200">
          <cell r="X4200" t="str">
            <v>x</v>
          </cell>
          <cell r="Y4200" t="str">
            <v/>
          </cell>
        </row>
        <row r="4201">
          <cell r="X4201" t="str">
            <v/>
          </cell>
          <cell r="Y4201" t="str">
            <v/>
          </cell>
        </row>
        <row r="4202">
          <cell r="X4202" t="str">
            <v/>
          </cell>
          <cell r="Y4202" t="str">
            <v/>
          </cell>
        </row>
        <row r="4203">
          <cell r="X4203" t="str">
            <v>x</v>
          </cell>
          <cell r="Y4203" t="str">
            <v/>
          </cell>
        </row>
        <row r="4204">
          <cell r="X4204" t="str">
            <v/>
          </cell>
          <cell r="Y4204" t="str">
            <v/>
          </cell>
        </row>
        <row r="4205">
          <cell r="X4205" t="str">
            <v/>
          </cell>
          <cell r="Y4205" t="str">
            <v/>
          </cell>
        </row>
        <row r="4206">
          <cell r="X4206" t="str">
            <v>x</v>
          </cell>
          <cell r="Y4206" t="str">
            <v/>
          </cell>
        </row>
        <row r="4207">
          <cell r="X4207" t="str">
            <v/>
          </cell>
          <cell r="Y4207" t="str">
            <v/>
          </cell>
        </row>
        <row r="4208">
          <cell r="X4208" t="str">
            <v/>
          </cell>
          <cell r="Y4208" t="str">
            <v/>
          </cell>
        </row>
        <row r="4209">
          <cell r="X4209" t="str">
            <v>x</v>
          </cell>
          <cell r="Y4209" t="str">
            <v/>
          </cell>
        </row>
        <row r="4210">
          <cell r="X4210" t="str">
            <v/>
          </cell>
          <cell r="Y4210" t="str">
            <v/>
          </cell>
        </row>
        <row r="4211">
          <cell r="X4211" t="str">
            <v/>
          </cell>
          <cell r="Y4211" t="str">
            <v/>
          </cell>
        </row>
        <row r="4212">
          <cell r="X4212" t="str">
            <v>x</v>
          </cell>
          <cell r="Y4212" t="str">
            <v/>
          </cell>
        </row>
        <row r="4213">
          <cell r="X4213" t="str">
            <v/>
          </cell>
          <cell r="Y4213" t="str">
            <v/>
          </cell>
        </row>
        <row r="4214">
          <cell r="X4214" t="str">
            <v/>
          </cell>
          <cell r="Y4214" t="str">
            <v/>
          </cell>
        </row>
        <row r="4215">
          <cell r="X4215" t="str">
            <v>x</v>
          </cell>
          <cell r="Y4215" t="str">
            <v/>
          </cell>
        </row>
        <row r="4216">
          <cell r="X4216" t="str">
            <v/>
          </cell>
          <cell r="Y4216" t="str">
            <v/>
          </cell>
        </row>
        <row r="4217">
          <cell r="K4217">
            <v>60800</v>
          </cell>
          <cell r="X4217" t="str">
            <v/>
          </cell>
          <cell r="Y4217" t="str">
            <v/>
          </cell>
        </row>
        <row r="4218">
          <cell r="X4218" t="str">
            <v/>
          </cell>
          <cell r="Y4218" t="str">
            <v/>
          </cell>
        </row>
        <row r="4219">
          <cell r="X4219" t="str">
            <v/>
          </cell>
          <cell r="Y4219" t="str">
            <v/>
          </cell>
        </row>
        <row r="4220">
          <cell r="X4220" t="str">
            <v/>
          </cell>
          <cell r="Y4220" t="str">
            <v/>
          </cell>
        </row>
        <row r="4221">
          <cell r="K4221">
            <v>419000</v>
          </cell>
          <cell r="X4221" t="str">
            <v/>
          </cell>
          <cell r="Y4221" t="str">
            <v/>
          </cell>
        </row>
        <row r="4222">
          <cell r="X4222" t="str">
            <v/>
          </cell>
          <cell r="Y4222" t="str">
            <v/>
          </cell>
        </row>
        <row r="4223">
          <cell r="X4223" t="str">
            <v/>
          </cell>
          <cell r="Y4223" t="str">
            <v/>
          </cell>
        </row>
        <row r="4224">
          <cell r="X4224" t="str">
            <v>x</v>
          </cell>
          <cell r="Y4224" t="str">
            <v/>
          </cell>
        </row>
        <row r="4225">
          <cell r="X4225" t="str">
            <v/>
          </cell>
          <cell r="Y4225" t="str">
            <v/>
          </cell>
        </row>
        <row r="4226">
          <cell r="X4226" t="str">
            <v/>
          </cell>
          <cell r="Y4226" t="str">
            <v/>
          </cell>
        </row>
        <row r="4227">
          <cell r="X4227" t="str">
            <v>x</v>
          </cell>
          <cell r="Y4227" t="str">
            <v/>
          </cell>
        </row>
        <row r="4228">
          <cell r="X4228" t="str">
            <v/>
          </cell>
          <cell r="Y4228" t="str">
            <v/>
          </cell>
        </row>
        <row r="4229">
          <cell r="K4229">
            <v>420000</v>
          </cell>
          <cell r="X4229" t="str">
            <v/>
          </cell>
          <cell r="Y4229" t="str">
            <v/>
          </cell>
        </row>
        <row r="4230">
          <cell r="X4230" t="str">
            <v/>
          </cell>
          <cell r="Y4230" t="str">
            <v/>
          </cell>
        </row>
        <row r="4231">
          <cell r="X4231" t="str">
            <v/>
          </cell>
          <cell r="Y4231" t="str">
            <v/>
          </cell>
        </row>
        <row r="4232">
          <cell r="X4232" t="str">
            <v>x</v>
          </cell>
          <cell r="Y4232" t="str">
            <v/>
          </cell>
        </row>
        <row r="4233">
          <cell r="X4233" t="str">
            <v/>
          </cell>
          <cell r="Y4233" t="str">
            <v/>
          </cell>
        </row>
        <row r="4234">
          <cell r="X4234" t="str">
            <v/>
          </cell>
          <cell r="Y4234" t="str">
            <v/>
          </cell>
        </row>
        <row r="4235">
          <cell r="X4235" t="str">
            <v>x</v>
          </cell>
          <cell r="Y4235" t="str">
            <v/>
          </cell>
        </row>
        <row r="4236">
          <cell r="X4236" t="str">
            <v/>
          </cell>
          <cell r="Y4236" t="str">
            <v/>
          </cell>
        </row>
        <row r="4237">
          <cell r="X4237" t="str">
            <v/>
          </cell>
          <cell r="Y4237" t="str">
            <v/>
          </cell>
        </row>
        <row r="4238">
          <cell r="X4238" t="str">
            <v>x</v>
          </cell>
          <cell r="Y4238" t="str">
            <v/>
          </cell>
        </row>
        <row r="4239">
          <cell r="X4239" t="str">
            <v/>
          </cell>
          <cell r="Y4239" t="str">
            <v/>
          </cell>
        </row>
        <row r="4240">
          <cell r="X4240" t="str">
            <v/>
          </cell>
          <cell r="Y4240" t="str">
            <v/>
          </cell>
        </row>
        <row r="4241">
          <cell r="X4241" t="str">
            <v>x</v>
          </cell>
          <cell r="Y4241" t="str">
            <v/>
          </cell>
        </row>
        <row r="4242">
          <cell r="X4242" t="str">
            <v/>
          </cell>
          <cell r="Y4242" t="str">
            <v/>
          </cell>
        </row>
        <row r="4243">
          <cell r="X4243" t="str">
            <v/>
          </cell>
          <cell r="Y4243" t="str">
            <v/>
          </cell>
        </row>
        <row r="4244">
          <cell r="K4244">
            <v>50000</v>
          </cell>
          <cell r="X4244" t="str">
            <v/>
          </cell>
          <cell r="Y4244" t="str">
            <v/>
          </cell>
        </row>
        <row r="4245">
          <cell r="X4245" t="str">
            <v/>
          </cell>
          <cell r="Y4245" t="str">
            <v/>
          </cell>
        </row>
        <row r="4246">
          <cell r="X4246" t="str">
            <v/>
          </cell>
          <cell r="Y4246" t="str">
            <v/>
          </cell>
        </row>
        <row r="4247">
          <cell r="X4247" t="str">
            <v>x</v>
          </cell>
          <cell r="Y4247" t="str">
            <v/>
          </cell>
        </row>
        <row r="4248">
          <cell r="X4248" t="str">
            <v/>
          </cell>
          <cell r="Y4248" t="str">
            <v/>
          </cell>
        </row>
        <row r="4249">
          <cell r="X4249" t="str">
            <v/>
          </cell>
          <cell r="Y4249" t="str">
            <v/>
          </cell>
        </row>
        <row r="4250">
          <cell r="X4250" t="str">
            <v>x</v>
          </cell>
          <cell r="Y4250" t="str">
            <v/>
          </cell>
        </row>
        <row r="4251">
          <cell r="X4251" t="str">
            <v/>
          </cell>
          <cell r="Y4251" t="str">
            <v/>
          </cell>
        </row>
        <row r="4252">
          <cell r="X4252" t="str">
            <v/>
          </cell>
          <cell r="Y4252" t="str">
            <v/>
          </cell>
        </row>
        <row r="4253">
          <cell r="X4253" t="str">
            <v>x</v>
          </cell>
          <cell r="Y4253" t="str">
            <v/>
          </cell>
        </row>
        <row r="4254">
          <cell r="X4254" t="str">
            <v/>
          </cell>
          <cell r="Y4254" t="str">
            <v/>
          </cell>
        </row>
        <row r="4255">
          <cell r="X4255" t="str">
            <v>x</v>
          </cell>
          <cell r="Y4255" t="str">
            <v/>
          </cell>
        </row>
        <row r="4256">
          <cell r="K4256">
            <v>376000</v>
          </cell>
          <cell r="X4256" t="str">
            <v/>
          </cell>
          <cell r="Y4256" t="str">
            <v/>
          </cell>
        </row>
        <row r="4257">
          <cell r="X4257" t="str">
            <v/>
          </cell>
          <cell r="Y4257" t="str">
            <v/>
          </cell>
        </row>
        <row r="4258">
          <cell r="X4258" t="str">
            <v/>
          </cell>
          <cell r="Y4258" t="str">
            <v/>
          </cell>
        </row>
        <row r="4259">
          <cell r="X4259" t="str">
            <v>x</v>
          </cell>
          <cell r="Y4259" t="str">
            <v/>
          </cell>
        </row>
        <row r="4260">
          <cell r="K4260">
            <v>30200</v>
          </cell>
          <cell r="X4260" t="str">
            <v/>
          </cell>
          <cell r="Y4260" t="str">
            <v/>
          </cell>
        </row>
        <row r="4261">
          <cell r="K4261">
            <v>55200</v>
          </cell>
          <cell r="X4261" t="str">
            <v/>
          </cell>
          <cell r="Y4261" t="str">
            <v/>
          </cell>
        </row>
        <row r="4262">
          <cell r="X4262" t="str">
            <v/>
          </cell>
          <cell r="Y4262" t="str">
            <v/>
          </cell>
        </row>
        <row r="4263">
          <cell r="X4263" t="str">
            <v/>
          </cell>
          <cell r="Y4263" t="str">
            <v/>
          </cell>
        </row>
        <row r="4264">
          <cell r="X4264" t="str">
            <v>x</v>
          </cell>
          <cell r="Y4264" t="str">
            <v/>
          </cell>
        </row>
        <row r="4265">
          <cell r="K4265">
            <v>27698</v>
          </cell>
          <cell r="X4265" t="str">
            <v/>
          </cell>
          <cell r="Y4265" t="str">
            <v/>
          </cell>
        </row>
        <row r="4266">
          <cell r="K4266">
            <v>52</v>
          </cell>
          <cell r="X4266" t="str">
            <v/>
          </cell>
          <cell r="Y4266" t="str">
            <v/>
          </cell>
        </row>
        <row r="4267">
          <cell r="X4267" t="str">
            <v/>
          </cell>
          <cell r="Y4267" t="str">
            <v/>
          </cell>
        </row>
        <row r="4268">
          <cell r="K4268">
            <v>419583.91</v>
          </cell>
          <cell r="X4268" t="str">
            <v/>
          </cell>
          <cell r="Y4268" t="str">
            <v/>
          </cell>
        </row>
        <row r="4269">
          <cell r="X4269" t="str">
            <v/>
          </cell>
          <cell r="Y4269" t="str">
            <v/>
          </cell>
        </row>
        <row r="4270">
          <cell r="X4270" t="str">
            <v/>
          </cell>
          <cell r="Y4270" t="str">
            <v/>
          </cell>
        </row>
        <row r="4271">
          <cell r="K4271">
            <v>100.75</v>
          </cell>
          <cell r="X4271" t="str">
            <v/>
          </cell>
          <cell r="Y4271" t="str">
            <v/>
          </cell>
        </row>
        <row r="4272">
          <cell r="K4272">
            <v>93000</v>
          </cell>
          <cell r="X4272" t="str">
            <v/>
          </cell>
          <cell r="Y4272" t="str">
            <v/>
          </cell>
        </row>
        <row r="4273">
          <cell r="X4273" t="str">
            <v/>
          </cell>
          <cell r="Y4273" t="str">
            <v/>
          </cell>
        </row>
        <row r="4274">
          <cell r="K4274">
            <v>419584.02</v>
          </cell>
          <cell r="X4274" t="str">
            <v/>
          </cell>
          <cell r="Y4274" t="str">
            <v/>
          </cell>
        </row>
        <row r="4275">
          <cell r="X4275" t="str">
            <v/>
          </cell>
          <cell r="Y4275" t="str">
            <v/>
          </cell>
        </row>
        <row r="4276">
          <cell r="X4276" t="str">
            <v/>
          </cell>
          <cell r="Y4276" t="str">
            <v/>
          </cell>
        </row>
        <row r="4277">
          <cell r="K4277">
            <v>419583.87</v>
          </cell>
          <cell r="X4277" t="str">
            <v/>
          </cell>
          <cell r="Y4277" t="str">
            <v/>
          </cell>
        </row>
        <row r="4278">
          <cell r="X4278" t="str">
            <v/>
          </cell>
          <cell r="Y4278" t="str">
            <v/>
          </cell>
        </row>
        <row r="4279">
          <cell r="X4279" t="str">
            <v/>
          </cell>
          <cell r="Y4279" t="str">
            <v/>
          </cell>
        </row>
        <row r="4280">
          <cell r="K4280">
            <v>419583.82</v>
          </cell>
          <cell r="X4280" t="str">
            <v/>
          </cell>
          <cell r="Y4280" t="str">
            <v/>
          </cell>
        </row>
        <row r="4281">
          <cell r="X4281" t="str">
            <v/>
          </cell>
          <cell r="Y4281" t="str">
            <v/>
          </cell>
        </row>
        <row r="4282">
          <cell r="X4282" t="str">
            <v/>
          </cell>
          <cell r="Y4282" t="str">
            <v/>
          </cell>
        </row>
        <row r="4283">
          <cell r="K4283">
            <v>419583.82</v>
          </cell>
          <cell r="X4283" t="str">
            <v/>
          </cell>
          <cell r="Y4283" t="str">
            <v/>
          </cell>
        </row>
        <row r="4284">
          <cell r="X4284" t="str">
            <v/>
          </cell>
          <cell r="Y4284" t="str">
            <v/>
          </cell>
        </row>
        <row r="4285">
          <cell r="X4285" t="str">
            <v/>
          </cell>
          <cell r="Y4285" t="str">
            <v/>
          </cell>
        </row>
        <row r="4286">
          <cell r="K4286">
            <v>201.25</v>
          </cell>
          <cell r="X4286" t="str">
            <v/>
          </cell>
          <cell r="Y4286" t="str">
            <v/>
          </cell>
        </row>
        <row r="4287">
          <cell r="K4287">
            <v>218.75</v>
          </cell>
          <cell r="X4287" t="str">
            <v/>
          </cell>
          <cell r="Y4287" t="str">
            <v/>
          </cell>
        </row>
        <row r="4288">
          <cell r="K4288">
            <v>154.25</v>
          </cell>
          <cell r="X4288" t="str">
            <v/>
          </cell>
          <cell r="Y4288" t="str">
            <v/>
          </cell>
        </row>
        <row r="4289">
          <cell r="K4289">
            <v>218.75</v>
          </cell>
          <cell r="X4289" t="str">
            <v/>
          </cell>
          <cell r="Y4289" t="str">
            <v/>
          </cell>
        </row>
        <row r="4290">
          <cell r="K4290">
            <v>209.38</v>
          </cell>
          <cell r="X4290" t="str">
            <v/>
          </cell>
          <cell r="Y4290" t="str">
            <v/>
          </cell>
        </row>
        <row r="4291">
          <cell r="K4291">
            <v>157.5</v>
          </cell>
          <cell r="X4291" t="str">
            <v/>
          </cell>
          <cell r="Y4291" t="str">
            <v/>
          </cell>
        </row>
        <row r="4292">
          <cell r="K4292">
            <v>208.75</v>
          </cell>
          <cell r="X4292" t="str">
            <v/>
          </cell>
          <cell r="Y4292" t="str">
            <v/>
          </cell>
        </row>
        <row r="4293">
          <cell r="K4293">
            <v>278.13</v>
          </cell>
          <cell r="X4293" t="str">
            <v/>
          </cell>
          <cell r="Y4293" t="str">
            <v/>
          </cell>
        </row>
        <row r="4294">
          <cell r="K4294">
            <v>163.80000000000001</v>
          </cell>
          <cell r="X4294" t="str">
            <v/>
          </cell>
          <cell r="Y4294" t="str">
            <v/>
          </cell>
        </row>
        <row r="4295">
          <cell r="K4295">
            <v>343.75</v>
          </cell>
          <cell r="X4295" t="str">
            <v/>
          </cell>
          <cell r="Y4295" t="str">
            <v/>
          </cell>
        </row>
        <row r="4296">
          <cell r="K4296">
            <v>125</v>
          </cell>
          <cell r="X4296" t="str">
            <v/>
          </cell>
          <cell r="Y4296" t="str">
            <v/>
          </cell>
        </row>
        <row r="4297">
          <cell r="K4297">
            <v>256.25</v>
          </cell>
          <cell r="X4297" t="str">
            <v/>
          </cell>
          <cell r="Y4297" t="str">
            <v/>
          </cell>
        </row>
        <row r="4298">
          <cell r="K4298">
            <v>314</v>
          </cell>
          <cell r="X4298" t="str">
            <v/>
          </cell>
          <cell r="Y4298" t="str">
            <v/>
          </cell>
        </row>
        <row r="4299">
          <cell r="K4299">
            <v>853.13</v>
          </cell>
          <cell r="X4299" t="str">
            <v/>
          </cell>
          <cell r="Y4299" t="str">
            <v/>
          </cell>
        </row>
        <row r="4300">
          <cell r="K4300">
            <v>125</v>
          </cell>
          <cell r="X4300" t="str">
            <v/>
          </cell>
          <cell r="Y4300" t="str">
            <v/>
          </cell>
        </row>
        <row r="4301">
          <cell r="K4301">
            <v>63838</v>
          </cell>
          <cell r="X4301" t="str">
            <v/>
          </cell>
          <cell r="Y4301" t="str">
            <v/>
          </cell>
        </row>
        <row r="4302">
          <cell r="K4302">
            <v>162</v>
          </cell>
          <cell r="X4302" t="str">
            <v/>
          </cell>
          <cell r="Y4302" t="str">
            <v/>
          </cell>
        </row>
        <row r="4303">
          <cell r="X4303" t="str">
            <v/>
          </cell>
          <cell r="Y4303" t="str">
            <v/>
          </cell>
        </row>
        <row r="4304">
          <cell r="K4304">
            <v>2300</v>
          </cell>
          <cell r="X4304" t="str">
            <v/>
          </cell>
          <cell r="Y4304" t="str">
            <v/>
          </cell>
        </row>
        <row r="4305">
          <cell r="K4305">
            <v>76.84</v>
          </cell>
          <cell r="X4305" t="str">
            <v/>
          </cell>
          <cell r="Y4305" t="str">
            <v/>
          </cell>
        </row>
        <row r="4306">
          <cell r="K4306">
            <v>60800</v>
          </cell>
          <cell r="X4306" t="str">
            <v/>
          </cell>
          <cell r="Y4306" t="str">
            <v/>
          </cell>
        </row>
        <row r="4307">
          <cell r="X4307" t="str">
            <v/>
          </cell>
          <cell r="Y4307" t="str">
            <v/>
          </cell>
        </row>
        <row r="4308">
          <cell r="K4308">
            <v>278500</v>
          </cell>
          <cell r="X4308" t="str">
            <v/>
          </cell>
          <cell r="Y4308" t="str">
            <v/>
          </cell>
        </row>
        <row r="4309">
          <cell r="X4309" t="str">
            <v/>
          </cell>
          <cell r="Y4309" t="str">
            <v/>
          </cell>
        </row>
        <row r="4310">
          <cell r="X4310" t="str">
            <v/>
          </cell>
          <cell r="Y4310" t="str">
            <v/>
          </cell>
        </row>
        <row r="4311">
          <cell r="X4311" t="str">
            <v>x</v>
          </cell>
          <cell r="Y4311" t="str">
            <v/>
          </cell>
        </row>
        <row r="4312">
          <cell r="X4312" t="str">
            <v/>
          </cell>
          <cell r="Y4312" t="str">
            <v/>
          </cell>
        </row>
        <row r="4313">
          <cell r="X4313" t="str">
            <v/>
          </cell>
          <cell r="Y4313" t="str">
            <v/>
          </cell>
        </row>
        <row r="4314">
          <cell r="X4314" t="str">
            <v>x</v>
          </cell>
          <cell r="Y4314" t="str">
            <v/>
          </cell>
        </row>
        <row r="4315">
          <cell r="X4315" t="str">
            <v/>
          </cell>
          <cell r="Y4315" t="str">
            <v/>
          </cell>
        </row>
        <row r="4316">
          <cell r="X4316" t="str">
            <v/>
          </cell>
          <cell r="Y4316" t="str">
            <v/>
          </cell>
        </row>
        <row r="4317">
          <cell r="X4317" t="str">
            <v>x</v>
          </cell>
          <cell r="Y4317" t="str">
            <v/>
          </cell>
        </row>
        <row r="4318">
          <cell r="K4318">
            <v>279734</v>
          </cell>
          <cell r="X4318" t="str">
            <v/>
          </cell>
          <cell r="Y4318" t="str">
            <v/>
          </cell>
        </row>
        <row r="4319">
          <cell r="K4319">
            <v>153.86000000000001</v>
          </cell>
          <cell r="X4319" t="str">
            <v/>
          </cell>
          <cell r="Y4319" t="str">
            <v/>
          </cell>
        </row>
        <row r="4320">
          <cell r="K4320">
            <v>4100</v>
          </cell>
          <cell r="X4320" t="str">
            <v/>
          </cell>
          <cell r="Y4320" t="str">
            <v/>
          </cell>
        </row>
        <row r="4321">
          <cell r="K4321">
            <v>3700</v>
          </cell>
          <cell r="X4321" t="str">
            <v/>
          </cell>
          <cell r="Y4321" t="str">
            <v/>
          </cell>
        </row>
        <row r="4322">
          <cell r="K4322">
            <v>330</v>
          </cell>
          <cell r="X4322" t="str">
            <v/>
          </cell>
          <cell r="Y4322" t="str">
            <v/>
          </cell>
        </row>
        <row r="4323">
          <cell r="X4323" t="str">
            <v/>
          </cell>
          <cell r="Y4323" t="str">
            <v/>
          </cell>
        </row>
        <row r="4324">
          <cell r="X4324" t="str">
            <v/>
          </cell>
          <cell r="Y4324" t="str">
            <v/>
          </cell>
        </row>
        <row r="4325">
          <cell r="X4325" t="str">
            <v/>
          </cell>
          <cell r="Y4325" t="str">
            <v/>
          </cell>
        </row>
        <row r="4326">
          <cell r="X4326" t="str">
            <v/>
          </cell>
          <cell r="Y4326" t="str">
            <v/>
          </cell>
        </row>
        <row r="4327">
          <cell r="X4327" t="str">
            <v>x</v>
          </cell>
          <cell r="Y4327" t="str">
            <v/>
          </cell>
        </row>
        <row r="4328">
          <cell r="X4328" t="str">
            <v/>
          </cell>
          <cell r="Y4328" t="str">
            <v/>
          </cell>
        </row>
        <row r="4329">
          <cell r="X4329" t="str">
            <v/>
          </cell>
          <cell r="Y4329" t="str">
            <v/>
          </cell>
        </row>
        <row r="4330">
          <cell r="X4330" t="str">
            <v>x</v>
          </cell>
          <cell r="Y4330" t="str">
            <v/>
          </cell>
        </row>
        <row r="4331">
          <cell r="X4331" t="str">
            <v/>
          </cell>
          <cell r="Y4331" t="str">
            <v/>
          </cell>
        </row>
        <row r="4332">
          <cell r="X4332" t="str">
            <v/>
          </cell>
          <cell r="Y4332" t="str">
            <v/>
          </cell>
        </row>
        <row r="4333">
          <cell r="X4333" t="str">
            <v>x</v>
          </cell>
          <cell r="Y4333" t="str">
            <v/>
          </cell>
        </row>
        <row r="4334">
          <cell r="X4334" t="str">
            <v/>
          </cell>
          <cell r="Y4334" t="str">
            <v/>
          </cell>
        </row>
        <row r="4335">
          <cell r="X4335" t="str">
            <v>x</v>
          </cell>
          <cell r="Y4335" t="str">
            <v/>
          </cell>
        </row>
        <row r="4336">
          <cell r="X4336" t="str">
            <v/>
          </cell>
          <cell r="Y4336" t="str">
            <v/>
          </cell>
        </row>
        <row r="4337">
          <cell r="X4337" t="str">
            <v/>
          </cell>
          <cell r="Y4337" t="str">
            <v/>
          </cell>
        </row>
        <row r="4338">
          <cell r="K4338">
            <v>216000</v>
          </cell>
          <cell r="X4338" t="str">
            <v/>
          </cell>
          <cell r="Y4338" t="str">
            <v/>
          </cell>
        </row>
        <row r="4339">
          <cell r="X4339" t="str">
            <v/>
          </cell>
          <cell r="Y4339" t="str">
            <v/>
          </cell>
        </row>
        <row r="4340">
          <cell r="X4340" t="str">
            <v>x</v>
          </cell>
          <cell r="Y4340" t="str">
            <v/>
          </cell>
        </row>
        <row r="4341">
          <cell r="X4341" t="str">
            <v/>
          </cell>
          <cell r="Y4341" t="str">
            <v/>
          </cell>
        </row>
        <row r="4342">
          <cell r="X4342" t="str">
            <v>x</v>
          </cell>
          <cell r="Y4342" t="str">
            <v/>
          </cell>
        </row>
        <row r="4343">
          <cell r="X4343" t="str">
            <v/>
          </cell>
          <cell r="Y4343" t="str">
            <v/>
          </cell>
        </row>
        <row r="4344">
          <cell r="X4344" t="str">
            <v/>
          </cell>
          <cell r="Y4344" t="str">
            <v/>
          </cell>
        </row>
        <row r="4345">
          <cell r="K4345">
            <v>63000</v>
          </cell>
          <cell r="X4345" t="str">
            <v/>
          </cell>
          <cell r="Y4345" t="str">
            <v/>
          </cell>
        </row>
        <row r="4346">
          <cell r="X4346" t="str">
            <v/>
          </cell>
          <cell r="Y4346" t="str">
            <v/>
          </cell>
        </row>
        <row r="4347">
          <cell r="X4347" t="str">
            <v>x</v>
          </cell>
          <cell r="Y4347" t="str">
            <v/>
          </cell>
        </row>
        <row r="4348">
          <cell r="X4348" t="str">
            <v/>
          </cell>
          <cell r="Y4348" t="str">
            <v/>
          </cell>
        </row>
        <row r="4349">
          <cell r="X4349" t="str">
            <v>x</v>
          </cell>
          <cell r="Y4349" t="str">
            <v/>
          </cell>
        </row>
        <row r="4350">
          <cell r="X4350" t="str">
            <v/>
          </cell>
          <cell r="Y4350" t="str">
            <v/>
          </cell>
        </row>
        <row r="4351">
          <cell r="X4351" t="str">
            <v/>
          </cell>
          <cell r="Y4351" t="str">
            <v/>
          </cell>
        </row>
        <row r="4352">
          <cell r="X4352" t="str">
            <v/>
          </cell>
          <cell r="Y4352" t="str">
            <v/>
          </cell>
        </row>
        <row r="4353">
          <cell r="X4353" t="str">
            <v>x</v>
          </cell>
          <cell r="Y4353" t="str">
            <v/>
          </cell>
        </row>
        <row r="4354">
          <cell r="X4354" t="str">
            <v/>
          </cell>
          <cell r="Y4354" t="str">
            <v/>
          </cell>
        </row>
        <row r="4355">
          <cell r="X4355" t="str">
            <v/>
          </cell>
          <cell r="Y4355" t="str">
            <v/>
          </cell>
        </row>
        <row r="4356">
          <cell r="X4356" t="str">
            <v>x</v>
          </cell>
          <cell r="Y4356" t="str">
            <v/>
          </cell>
        </row>
        <row r="4357">
          <cell r="X4357" t="str">
            <v/>
          </cell>
          <cell r="Y4357" t="str">
            <v/>
          </cell>
        </row>
        <row r="4358">
          <cell r="K4358">
            <v>83500</v>
          </cell>
          <cell r="X4358" t="str">
            <v/>
          </cell>
          <cell r="Y4358" t="str">
            <v/>
          </cell>
        </row>
        <row r="4359">
          <cell r="X4359" t="str">
            <v/>
          </cell>
          <cell r="Y4359" t="str">
            <v/>
          </cell>
        </row>
        <row r="4360">
          <cell r="X4360" t="str">
            <v/>
          </cell>
          <cell r="Y4360" t="str">
            <v/>
          </cell>
        </row>
        <row r="4361">
          <cell r="X4361" t="str">
            <v>x</v>
          </cell>
          <cell r="Y4361" t="str">
            <v/>
          </cell>
        </row>
        <row r="4362">
          <cell r="K4362">
            <v>200000</v>
          </cell>
          <cell r="X4362" t="str">
            <v/>
          </cell>
          <cell r="Y4362" t="str">
            <v/>
          </cell>
        </row>
        <row r="4363">
          <cell r="X4363" t="str">
            <v/>
          </cell>
          <cell r="Y4363" t="str">
            <v/>
          </cell>
        </row>
        <row r="4364">
          <cell r="X4364" t="str">
            <v/>
          </cell>
          <cell r="Y4364" t="str">
            <v/>
          </cell>
        </row>
        <row r="4365">
          <cell r="X4365" t="str">
            <v>x</v>
          </cell>
          <cell r="Y4365" t="str">
            <v/>
          </cell>
        </row>
        <row r="4366">
          <cell r="X4366" t="str">
            <v/>
          </cell>
          <cell r="Y4366" t="str">
            <v/>
          </cell>
        </row>
        <row r="4367">
          <cell r="X4367" t="str">
            <v/>
          </cell>
          <cell r="Y4367" t="str">
            <v/>
          </cell>
        </row>
        <row r="4368">
          <cell r="X4368" t="str">
            <v>x</v>
          </cell>
          <cell r="Y4368" t="str">
            <v/>
          </cell>
        </row>
        <row r="4369">
          <cell r="X4369" t="str">
            <v/>
          </cell>
          <cell r="Y4369" t="str">
            <v/>
          </cell>
        </row>
        <row r="4370">
          <cell r="X4370" t="str">
            <v/>
          </cell>
          <cell r="Y4370" t="str">
            <v/>
          </cell>
        </row>
        <row r="4371">
          <cell r="X4371" t="str">
            <v>x</v>
          </cell>
          <cell r="Y4371" t="str">
            <v/>
          </cell>
        </row>
        <row r="4372">
          <cell r="K4372">
            <v>111150</v>
          </cell>
          <cell r="X4372" t="str">
            <v/>
          </cell>
          <cell r="Y4372" t="str">
            <v/>
          </cell>
        </row>
        <row r="4373">
          <cell r="X4373" t="str">
            <v/>
          </cell>
          <cell r="Y4373" t="str">
            <v/>
          </cell>
        </row>
        <row r="4374">
          <cell r="X4374" t="str">
            <v/>
          </cell>
          <cell r="Y4374" t="str">
            <v/>
          </cell>
        </row>
        <row r="4375">
          <cell r="X4375" t="str">
            <v>x</v>
          </cell>
          <cell r="Y4375" t="str">
            <v/>
          </cell>
        </row>
        <row r="4376">
          <cell r="X4376" t="str">
            <v/>
          </cell>
          <cell r="Y4376" t="str">
            <v/>
          </cell>
        </row>
        <row r="4377">
          <cell r="X4377" t="str">
            <v/>
          </cell>
          <cell r="Y4377" t="str">
            <v/>
          </cell>
        </row>
        <row r="4378">
          <cell r="X4378" t="str">
            <v/>
          </cell>
          <cell r="Y4378" t="str">
            <v/>
          </cell>
        </row>
        <row r="4379">
          <cell r="X4379" t="str">
            <v>x</v>
          </cell>
          <cell r="Y4379" t="str">
            <v/>
          </cell>
        </row>
        <row r="4380">
          <cell r="X4380" t="str">
            <v/>
          </cell>
          <cell r="Y4380" t="str">
            <v/>
          </cell>
        </row>
        <row r="4381">
          <cell r="X4381" t="str">
            <v>x</v>
          </cell>
          <cell r="Y4381" t="str">
            <v/>
          </cell>
        </row>
        <row r="4382">
          <cell r="X4382" t="str">
            <v/>
          </cell>
          <cell r="Y4382" t="str">
            <v/>
          </cell>
        </row>
        <row r="4383">
          <cell r="X4383" t="str">
            <v/>
          </cell>
          <cell r="Y4383" t="str">
            <v/>
          </cell>
        </row>
        <row r="4384">
          <cell r="X4384" t="str">
            <v>x</v>
          </cell>
          <cell r="Y4384" t="str">
            <v/>
          </cell>
        </row>
        <row r="4385">
          <cell r="K4385">
            <v>5000</v>
          </cell>
          <cell r="X4385" t="str">
            <v/>
          </cell>
          <cell r="Y4385" t="str">
            <v/>
          </cell>
        </row>
        <row r="4386">
          <cell r="K4386">
            <v>279716.25</v>
          </cell>
          <cell r="X4386" t="str">
            <v/>
          </cell>
          <cell r="Y4386" t="str">
            <v/>
          </cell>
        </row>
        <row r="4387">
          <cell r="K4387">
            <v>84</v>
          </cell>
          <cell r="X4387" t="str">
            <v/>
          </cell>
          <cell r="Y4387" t="str">
            <v/>
          </cell>
        </row>
        <row r="4388">
          <cell r="K4388">
            <v>63000</v>
          </cell>
          <cell r="X4388" t="str">
            <v/>
          </cell>
          <cell r="Y4388" t="str">
            <v/>
          </cell>
        </row>
        <row r="4389">
          <cell r="X4389" t="str">
            <v/>
          </cell>
          <cell r="Y4389" t="str">
            <v/>
          </cell>
        </row>
        <row r="4390">
          <cell r="K4390">
            <v>31685</v>
          </cell>
          <cell r="X4390" t="str">
            <v/>
          </cell>
          <cell r="Y4390" t="str">
            <v/>
          </cell>
        </row>
        <row r="4391">
          <cell r="K4391">
            <v>115</v>
          </cell>
          <cell r="X4391" t="str">
            <v/>
          </cell>
          <cell r="Y4391" t="str">
            <v/>
          </cell>
        </row>
        <row r="4392">
          <cell r="X4392" t="str">
            <v/>
          </cell>
          <cell r="Y4392" t="str">
            <v/>
          </cell>
        </row>
        <row r="4393">
          <cell r="K4393">
            <v>32.299999999999997</v>
          </cell>
          <cell r="X4393" t="str">
            <v/>
          </cell>
          <cell r="Y4393" t="str">
            <v/>
          </cell>
        </row>
        <row r="4394">
          <cell r="K4394">
            <v>30200</v>
          </cell>
          <cell r="X4394" t="str">
            <v/>
          </cell>
          <cell r="Y4394" t="str">
            <v/>
          </cell>
        </row>
        <row r="4395">
          <cell r="K4395">
            <v>0</v>
          </cell>
          <cell r="X4395" t="str">
            <v/>
          </cell>
          <cell r="Y4395" t="str">
            <v/>
          </cell>
        </row>
        <row r="4396">
          <cell r="K4396">
            <v>57958</v>
          </cell>
          <cell r="X4396" t="str">
            <v/>
          </cell>
          <cell r="Y4396" t="str">
            <v>x</v>
          </cell>
        </row>
        <row r="4397">
          <cell r="K4397">
            <v>157</v>
          </cell>
          <cell r="X4397" t="str">
            <v/>
          </cell>
          <cell r="Y4397" t="str">
            <v>x</v>
          </cell>
        </row>
        <row r="4398">
          <cell r="X4398" t="str">
            <v/>
          </cell>
          <cell r="Y4398" t="str">
            <v>x</v>
          </cell>
        </row>
        <row r="4399">
          <cell r="K4399">
            <v>64.400000000000006</v>
          </cell>
          <cell r="X4399" t="str">
            <v/>
          </cell>
          <cell r="Y4399" t="str">
            <v/>
          </cell>
        </row>
        <row r="4400">
          <cell r="K4400">
            <v>55200</v>
          </cell>
          <cell r="X4400" t="str">
            <v/>
          </cell>
          <cell r="Y4400" t="str">
            <v/>
          </cell>
        </row>
        <row r="4401">
          <cell r="K4401">
            <v>0</v>
          </cell>
          <cell r="X4401" t="str">
            <v/>
          </cell>
          <cell r="Y4401" t="str">
            <v/>
          </cell>
        </row>
        <row r="4402">
          <cell r="K4402">
            <v>279716.36</v>
          </cell>
          <cell r="X4402" t="str">
            <v/>
          </cell>
          <cell r="Y4402" t="str">
            <v/>
          </cell>
        </row>
        <row r="4403">
          <cell r="K4403">
            <v>160.04</v>
          </cell>
          <cell r="X4403" t="str">
            <v/>
          </cell>
          <cell r="Y4403" t="str">
            <v/>
          </cell>
        </row>
        <row r="4404">
          <cell r="K4404">
            <v>83500</v>
          </cell>
          <cell r="X4404" t="str">
            <v/>
          </cell>
          <cell r="Y4404" t="str">
            <v/>
          </cell>
        </row>
        <row r="4405">
          <cell r="X4405" t="str">
            <v/>
          </cell>
          <cell r="Y4405" t="str">
            <v/>
          </cell>
        </row>
        <row r="4406">
          <cell r="K4406">
            <v>330.67</v>
          </cell>
          <cell r="X4406" t="str">
            <v/>
          </cell>
          <cell r="Y4406" t="str">
            <v/>
          </cell>
        </row>
        <row r="4407">
          <cell r="K4407">
            <v>371.25</v>
          </cell>
          <cell r="X4407" t="str">
            <v/>
          </cell>
          <cell r="Y4407" t="str">
            <v/>
          </cell>
        </row>
        <row r="4408">
          <cell r="K4408">
            <v>38.659999999999997</v>
          </cell>
          <cell r="X4408" t="str">
            <v/>
          </cell>
          <cell r="Y4408" t="str">
            <v/>
          </cell>
        </row>
        <row r="4409">
          <cell r="K4409">
            <v>216.35</v>
          </cell>
          <cell r="X4409" t="str">
            <v/>
          </cell>
          <cell r="Y4409" t="str">
            <v/>
          </cell>
        </row>
        <row r="4410">
          <cell r="K4410">
            <v>3105.7</v>
          </cell>
          <cell r="X4410" t="str">
            <v/>
          </cell>
          <cell r="Y4410" t="str">
            <v/>
          </cell>
        </row>
        <row r="4411">
          <cell r="K4411">
            <v>226.1</v>
          </cell>
          <cell r="X4411" t="str">
            <v/>
          </cell>
          <cell r="Y4411" t="str">
            <v/>
          </cell>
        </row>
        <row r="4412">
          <cell r="K4412">
            <v>135.05000000000001</v>
          </cell>
          <cell r="X4412" t="str">
            <v/>
          </cell>
          <cell r="Y4412" t="str">
            <v/>
          </cell>
        </row>
        <row r="4413">
          <cell r="K4413">
            <v>199.3</v>
          </cell>
          <cell r="X4413" t="str">
            <v/>
          </cell>
          <cell r="Y4413" t="str">
            <v/>
          </cell>
        </row>
        <row r="4414">
          <cell r="K4414">
            <v>261.81</v>
          </cell>
          <cell r="X4414" t="str">
            <v/>
          </cell>
          <cell r="Y4414" t="str">
            <v/>
          </cell>
        </row>
        <row r="4415">
          <cell r="K4415">
            <v>226.11</v>
          </cell>
          <cell r="X4415" t="str">
            <v/>
          </cell>
          <cell r="Y4415" t="str">
            <v/>
          </cell>
        </row>
        <row r="4416">
          <cell r="K4416">
            <v>276.83999999999997</v>
          </cell>
          <cell r="X4416" t="str">
            <v/>
          </cell>
          <cell r="Y4416" t="str">
            <v/>
          </cell>
        </row>
        <row r="4417">
          <cell r="K4417">
            <v>91.91</v>
          </cell>
          <cell r="X4417" t="str">
            <v/>
          </cell>
          <cell r="Y4417" t="str">
            <v/>
          </cell>
        </row>
        <row r="4418">
          <cell r="K4418">
            <v>60.91</v>
          </cell>
          <cell r="X4418" t="str">
            <v/>
          </cell>
          <cell r="Y4418" t="str">
            <v/>
          </cell>
        </row>
        <row r="4419">
          <cell r="K4419">
            <v>271.33</v>
          </cell>
          <cell r="X4419" t="str">
            <v/>
          </cell>
          <cell r="Y4419" t="str">
            <v/>
          </cell>
        </row>
        <row r="4420">
          <cell r="K4420">
            <v>298.79000000000002</v>
          </cell>
          <cell r="X4420" t="str">
            <v/>
          </cell>
          <cell r="Y4420" t="str">
            <v/>
          </cell>
        </row>
        <row r="4421">
          <cell r="K4421">
            <v>135.05000000000001</v>
          </cell>
          <cell r="X4421" t="str">
            <v/>
          </cell>
          <cell r="Y4421" t="str">
            <v/>
          </cell>
        </row>
        <row r="4422">
          <cell r="K4422">
            <v>921.69</v>
          </cell>
          <cell r="X4422" t="str">
            <v/>
          </cell>
          <cell r="Y4422" t="str">
            <v/>
          </cell>
        </row>
        <row r="4423">
          <cell r="K4423">
            <v>116843</v>
          </cell>
          <cell r="X4423" t="str">
            <v/>
          </cell>
          <cell r="Y4423" t="str">
            <v>x</v>
          </cell>
        </row>
        <row r="4424">
          <cell r="K4424">
            <v>157</v>
          </cell>
          <cell r="X4424" t="str">
            <v/>
          </cell>
          <cell r="Y4424" t="str">
            <v>x</v>
          </cell>
        </row>
        <row r="4425">
          <cell r="X4425" t="str">
            <v/>
          </cell>
          <cell r="Y4425" t="str">
            <v>x</v>
          </cell>
        </row>
        <row r="4426">
          <cell r="K4426">
            <v>86.45</v>
          </cell>
          <cell r="X4426" t="str">
            <v/>
          </cell>
          <cell r="Y4426" t="str">
            <v/>
          </cell>
        </row>
        <row r="4427">
          <cell r="K4427">
            <v>111150</v>
          </cell>
          <cell r="X4427" t="str">
            <v/>
          </cell>
          <cell r="Y4427" t="str">
            <v/>
          </cell>
        </row>
        <row r="4428">
          <cell r="K4428">
            <v>400</v>
          </cell>
          <cell r="X4428" t="str">
            <v/>
          </cell>
          <cell r="Y4428" t="str">
            <v/>
          </cell>
        </row>
        <row r="4429">
          <cell r="K4429">
            <v>3</v>
          </cell>
          <cell r="X4429" t="str">
            <v/>
          </cell>
          <cell r="Y4429" t="str">
            <v/>
          </cell>
        </row>
        <row r="4430">
          <cell r="K4430">
            <v>0.3</v>
          </cell>
          <cell r="X4430" t="str">
            <v>x</v>
          </cell>
          <cell r="Y4430" t="str">
            <v/>
          </cell>
        </row>
        <row r="4431">
          <cell r="K4431">
            <v>15000</v>
          </cell>
          <cell r="X4431" t="str">
            <v/>
          </cell>
          <cell r="Y4431" t="str">
            <v/>
          </cell>
        </row>
        <row r="4432">
          <cell r="X4432" t="str">
            <v/>
          </cell>
          <cell r="Y4432" t="str">
            <v/>
          </cell>
        </row>
        <row r="4433">
          <cell r="X4433" t="str">
            <v/>
          </cell>
          <cell r="Y4433" t="str">
            <v/>
          </cell>
        </row>
        <row r="4434">
          <cell r="X4434" t="str">
            <v>x</v>
          </cell>
          <cell r="Y4434" t="str">
            <v/>
          </cell>
        </row>
        <row r="4435">
          <cell r="X4435" t="str">
            <v/>
          </cell>
          <cell r="Y4435" t="str">
            <v/>
          </cell>
        </row>
        <row r="4436">
          <cell r="X4436" t="str">
            <v/>
          </cell>
          <cell r="Y4436" t="str">
            <v/>
          </cell>
        </row>
        <row r="4437">
          <cell r="X4437" t="str">
            <v>x</v>
          </cell>
          <cell r="Y4437" t="str">
            <v/>
          </cell>
        </row>
        <row r="4438">
          <cell r="X4438" t="str">
            <v/>
          </cell>
          <cell r="Y4438" t="str">
            <v/>
          </cell>
        </row>
        <row r="4439">
          <cell r="X4439" t="str">
            <v/>
          </cell>
          <cell r="Y4439" t="str">
            <v/>
          </cell>
        </row>
        <row r="4440">
          <cell r="X4440" t="str">
            <v>x</v>
          </cell>
          <cell r="Y4440" t="str">
            <v/>
          </cell>
        </row>
        <row r="4441">
          <cell r="X4441" t="str">
            <v/>
          </cell>
          <cell r="Y4441" t="str">
            <v/>
          </cell>
        </row>
        <row r="4442">
          <cell r="X4442" t="str">
            <v/>
          </cell>
          <cell r="Y4442" t="str">
            <v/>
          </cell>
        </row>
        <row r="4443">
          <cell r="X4443" t="str">
            <v>x</v>
          </cell>
          <cell r="Y4443" t="str">
            <v/>
          </cell>
        </row>
        <row r="4444">
          <cell r="K4444">
            <v>432565</v>
          </cell>
          <cell r="X4444" t="str">
            <v/>
          </cell>
          <cell r="Y4444" t="str">
            <v/>
          </cell>
        </row>
        <row r="4445">
          <cell r="X4445" t="str">
            <v/>
          </cell>
          <cell r="Y4445" t="str">
            <v/>
          </cell>
        </row>
        <row r="4446">
          <cell r="K4446">
            <v>423960</v>
          </cell>
          <cell r="X4446" t="str">
            <v/>
          </cell>
          <cell r="Y4446" t="str">
            <v/>
          </cell>
        </row>
        <row r="4447">
          <cell r="X4447" t="str">
            <v/>
          </cell>
          <cell r="Y4447" t="str">
            <v/>
          </cell>
        </row>
        <row r="4448">
          <cell r="X4448" t="str">
            <v/>
          </cell>
          <cell r="Y4448" t="str">
            <v/>
          </cell>
        </row>
        <row r="4449">
          <cell r="X4449" t="str">
            <v>x</v>
          </cell>
          <cell r="Y4449" t="str">
            <v/>
          </cell>
        </row>
        <row r="4450">
          <cell r="K4450">
            <v>427500</v>
          </cell>
          <cell r="X4450" t="str">
            <v/>
          </cell>
          <cell r="Y4450" t="str">
            <v/>
          </cell>
        </row>
        <row r="4451">
          <cell r="X4451" t="str">
            <v/>
          </cell>
          <cell r="Y4451" t="str">
            <v/>
          </cell>
        </row>
        <row r="4452">
          <cell r="X4452" t="str">
            <v/>
          </cell>
          <cell r="Y4452" t="str">
            <v/>
          </cell>
        </row>
        <row r="4453">
          <cell r="K4453">
            <v>435435</v>
          </cell>
          <cell r="X4453" t="str">
            <v/>
          </cell>
          <cell r="Y4453" t="str">
            <v/>
          </cell>
        </row>
        <row r="4454">
          <cell r="K4454">
            <v>220</v>
          </cell>
          <cell r="X4454" t="str">
            <v/>
          </cell>
          <cell r="Y4454" t="str">
            <v/>
          </cell>
        </row>
        <row r="4455">
          <cell r="K4455">
            <v>3700</v>
          </cell>
          <cell r="X4455" t="str">
            <v/>
          </cell>
          <cell r="Y4455" t="str">
            <v/>
          </cell>
        </row>
        <row r="4456">
          <cell r="K4456">
            <v>319.27</v>
          </cell>
          <cell r="X4456" t="str">
            <v/>
          </cell>
          <cell r="Y4456" t="str">
            <v/>
          </cell>
        </row>
        <row r="4457">
          <cell r="K4457">
            <v>427518</v>
          </cell>
          <cell r="X4457" t="str">
            <v/>
          </cell>
          <cell r="Y4457" t="str">
            <v/>
          </cell>
        </row>
        <row r="4458">
          <cell r="K4458">
            <v>44</v>
          </cell>
          <cell r="X4458" t="str">
            <v/>
          </cell>
          <cell r="Y4458" t="str">
            <v/>
          </cell>
        </row>
        <row r="4459">
          <cell r="X4459" t="str">
            <v/>
          </cell>
          <cell r="Y4459" t="str">
            <v/>
          </cell>
        </row>
        <row r="4460">
          <cell r="X4460" t="str">
            <v/>
          </cell>
          <cell r="Y4460" t="str">
            <v/>
          </cell>
        </row>
        <row r="4461">
          <cell r="X4461" t="str">
            <v/>
          </cell>
          <cell r="Y4461" t="str">
            <v/>
          </cell>
        </row>
        <row r="4462">
          <cell r="X4462" t="str">
            <v>x</v>
          </cell>
          <cell r="Y4462" t="str">
            <v/>
          </cell>
        </row>
        <row r="4463">
          <cell r="X4463" t="str">
            <v/>
          </cell>
          <cell r="Y4463" t="str">
            <v/>
          </cell>
        </row>
        <row r="4464">
          <cell r="X4464" t="str">
            <v>x</v>
          </cell>
          <cell r="Y4464" t="str">
            <v/>
          </cell>
        </row>
        <row r="4465">
          <cell r="X4465" t="str">
            <v/>
          </cell>
          <cell r="Y4465" t="str">
            <v/>
          </cell>
        </row>
        <row r="4466">
          <cell r="X4466" t="str">
            <v/>
          </cell>
          <cell r="Y4466" t="str">
            <v/>
          </cell>
        </row>
        <row r="4467">
          <cell r="X4467" t="str">
            <v>x</v>
          </cell>
          <cell r="Y4467" t="str">
            <v/>
          </cell>
        </row>
        <row r="4468">
          <cell r="X4468" t="str">
            <v/>
          </cell>
          <cell r="Y4468" t="str">
            <v/>
          </cell>
        </row>
        <row r="4469">
          <cell r="X4469" t="str">
            <v/>
          </cell>
          <cell r="Y4469" t="str">
            <v/>
          </cell>
        </row>
        <row r="4470">
          <cell r="X4470" t="str">
            <v/>
          </cell>
          <cell r="Y4470" t="str">
            <v/>
          </cell>
        </row>
        <row r="4471">
          <cell r="K4471">
            <v>2.2000000000000002</v>
          </cell>
          <cell r="X4471" t="str">
            <v/>
          </cell>
          <cell r="Y4471" t="str">
            <v/>
          </cell>
        </row>
        <row r="4472">
          <cell r="K4472">
            <v>18500</v>
          </cell>
          <cell r="X4472" t="str">
            <v/>
          </cell>
          <cell r="Y4472" t="str">
            <v/>
          </cell>
        </row>
        <row r="4473">
          <cell r="X4473" t="str">
            <v/>
          </cell>
          <cell r="Y4473" t="str">
            <v/>
          </cell>
        </row>
        <row r="4474">
          <cell r="X4474" t="str">
            <v/>
          </cell>
          <cell r="Y4474" t="str">
            <v/>
          </cell>
        </row>
        <row r="4475">
          <cell r="X4475" t="str">
            <v>x</v>
          </cell>
          <cell r="Y4475" t="str">
            <v/>
          </cell>
        </row>
        <row r="4476">
          <cell r="X4476" t="str">
            <v/>
          </cell>
          <cell r="Y4476" t="str">
            <v/>
          </cell>
        </row>
        <row r="4477">
          <cell r="X4477" t="str">
            <v/>
          </cell>
          <cell r="Y4477" t="str">
            <v/>
          </cell>
        </row>
        <row r="4478">
          <cell r="X4478" t="str">
            <v>x</v>
          </cell>
          <cell r="Y4478" t="str">
            <v/>
          </cell>
        </row>
        <row r="4479">
          <cell r="X4479" t="str">
            <v/>
          </cell>
          <cell r="Y4479" t="str">
            <v/>
          </cell>
        </row>
        <row r="4480">
          <cell r="K4480">
            <v>42900</v>
          </cell>
          <cell r="X4480" t="str">
            <v/>
          </cell>
          <cell r="Y4480" t="str">
            <v/>
          </cell>
        </row>
        <row r="4481">
          <cell r="X4481" t="str">
            <v/>
          </cell>
          <cell r="Y4481" t="str">
            <v/>
          </cell>
        </row>
        <row r="4482">
          <cell r="X4482" t="str">
            <v/>
          </cell>
          <cell r="Y4482" t="str">
            <v/>
          </cell>
        </row>
        <row r="4483">
          <cell r="K4483">
            <v>87500</v>
          </cell>
          <cell r="X4483" t="str">
            <v/>
          </cell>
          <cell r="Y4483" t="str">
            <v/>
          </cell>
        </row>
        <row r="4484">
          <cell r="X4484" t="str">
            <v/>
          </cell>
          <cell r="Y4484" t="str">
            <v/>
          </cell>
        </row>
        <row r="4485">
          <cell r="X4485" t="str">
            <v/>
          </cell>
          <cell r="Y4485" t="str">
            <v/>
          </cell>
        </row>
        <row r="4486">
          <cell r="X4486" t="str">
            <v/>
          </cell>
          <cell r="Y4486" t="str">
            <v/>
          </cell>
        </row>
        <row r="4487">
          <cell r="X4487" t="str">
            <v/>
          </cell>
          <cell r="Y4487" t="str">
            <v/>
          </cell>
        </row>
        <row r="4488">
          <cell r="X4488" t="str">
            <v/>
          </cell>
          <cell r="Y4488" t="str">
            <v/>
          </cell>
        </row>
        <row r="4489">
          <cell r="X4489" t="str">
            <v/>
          </cell>
          <cell r="Y4489" t="str">
            <v/>
          </cell>
        </row>
        <row r="4490">
          <cell r="X4490" t="str">
            <v/>
          </cell>
          <cell r="Y4490" t="str">
            <v/>
          </cell>
        </row>
        <row r="4491">
          <cell r="X4491" t="str">
            <v/>
          </cell>
          <cell r="Y4491" t="str">
            <v/>
          </cell>
        </row>
        <row r="4492">
          <cell r="X4492" t="str">
            <v/>
          </cell>
          <cell r="Y4492" t="str">
            <v/>
          </cell>
        </row>
        <row r="4493">
          <cell r="X4493" t="str">
            <v/>
          </cell>
          <cell r="Y4493" t="str">
            <v/>
          </cell>
        </row>
        <row r="4494">
          <cell r="X4494" t="str">
            <v/>
          </cell>
          <cell r="Y4494" t="str">
            <v/>
          </cell>
        </row>
        <row r="4495">
          <cell r="X4495" t="str">
            <v>x</v>
          </cell>
          <cell r="Y4495" t="str">
            <v/>
          </cell>
        </row>
        <row r="4496">
          <cell r="X4496" t="str">
            <v/>
          </cell>
          <cell r="Y4496" t="str">
            <v/>
          </cell>
        </row>
        <row r="4497">
          <cell r="X4497" t="str">
            <v/>
          </cell>
          <cell r="Y4497" t="str">
            <v/>
          </cell>
        </row>
        <row r="4498">
          <cell r="X4498" t="str">
            <v>x</v>
          </cell>
          <cell r="Y4498" t="str">
            <v/>
          </cell>
        </row>
        <row r="4499">
          <cell r="X4499" t="str">
            <v/>
          </cell>
          <cell r="Y4499" t="str">
            <v/>
          </cell>
        </row>
        <row r="4500">
          <cell r="X4500" t="str">
            <v/>
          </cell>
          <cell r="Y4500" t="str">
            <v/>
          </cell>
        </row>
        <row r="4501">
          <cell r="X4501" t="str">
            <v>x</v>
          </cell>
          <cell r="Y4501" t="str">
            <v/>
          </cell>
        </row>
        <row r="4502">
          <cell r="X4502" t="str">
            <v/>
          </cell>
          <cell r="Y4502" t="str">
            <v/>
          </cell>
        </row>
        <row r="4503">
          <cell r="X4503" t="str">
            <v/>
          </cell>
          <cell r="Y4503" t="str">
            <v/>
          </cell>
        </row>
        <row r="4504">
          <cell r="X4504" t="str">
            <v/>
          </cell>
          <cell r="Y4504" t="str">
            <v/>
          </cell>
        </row>
        <row r="4505">
          <cell r="X4505" t="str">
            <v>x</v>
          </cell>
          <cell r="Y4505" t="str">
            <v/>
          </cell>
        </row>
        <row r="4506">
          <cell r="X4506" t="str">
            <v/>
          </cell>
          <cell r="Y4506" t="str">
            <v/>
          </cell>
        </row>
        <row r="4507">
          <cell r="X4507" t="str">
            <v>x</v>
          </cell>
          <cell r="Y4507" t="str">
            <v/>
          </cell>
        </row>
        <row r="4508">
          <cell r="X4508" t="str">
            <v/>
          </cell>
          <cell r="Y4508" t="str">
            <v/>
          </cell>
        </row>
        <row r="4509">
          <cell r="X4509" t="str">
            <v>x</v>
          </cell>
          <cell r="Y4509" t="str">
            <v/>
          </cell>
        </row>
        <row r="4510">
          <cell r="X4510" t="str">
            <v/>
          </cell>
          <cell r="Y4510" t="str">
            <v/>
          </cell>
        </row>
        <row r="4511">
          <cell r="X4511" t="str">
            <v/>
          </cell>
          <cell r="Y4511" t="str">
            <v/>
          </cell>
        </row>
        <row r="4512">
          <cell r="X4512" t="str">
            <v/>
          </cell>
          <cell r="Y4512" t="str">
            <v/>
          </cell>
        </row>
        <row r="4513">
          <cell r="X4513" t="str">
            <v>x</v>
          </cell>
          <cell r="Y4513" t="str">
            <v/>
          </cell>
        </row>
        <row r="4514">
          <cell r="X4514" t="str">
            <v/>
          </cell>
          <cell r="Y4514" t="str">
            <v/>
          </cell>
        </row>
        <row r="4515">
          <cell r="X4515" t="str">
            <v/>
          </cell>
          <cell r="Y4515" t="str">
            <v/>
          </cell>
        </row>
        <row r="4516">
          <cell r="X4516" t="str">
            <v/>
          </cell>
          <cell r="Y4516" t="str">
            <v/>
          </cell>
        </row>
        <row r="4517">
          <cell r="X4517" t="str">
            <v/>
          </cell>
          <cell r="Y4517" t="str">
            <v/>
          </cell>
        </row>
        <row r="4518">
          <cell r="X4518" t="str">
            <v/>
          </cell>
          <cell r="Y4518" t="str">
            <v/>
          </cell>
        </row>
        <row r="4519">
          <cell r="X4519" t="str">
            <v/>
          </cell>
          <cell r="Y4519" t="str">
            <v/>
          </cell>
        </row>
        <row r="4520">
          <cell r="X4520" t="str">
            <v/>
          </cell>
          <cell r="Y4520" t="str">
            <v/>
          </cell>
        </row>
        <row r="4521">
          <cell r="X4521" t="str">
            <v/>
          </cell>
          <cell r="Y4521" t="str">
            <v/>
          </cell>
        </row>
        <row r="4522">
          <cell r="X4522" t="str">
            <v/>
          </cell>
          <cell r="Y4522" t="str">
            <v/>
          </cell>
        </row>
        <row r="4523">
          <cell r="X4523" t="str">
            <v/>
          </cell>
          <cell r="Y4523" t="str">
            <v/>
          </cell>
        </row>
        <row r="4524">
          <cell r="K4524">
            <v>84013</v>
          </cell>
          <cell r="X4524" t="str">
            <v/>
          </cell>
          <cell r="Y4524" t="str">
            <v/>
          </cell>
        </row>
        <row r="4525">
          <cell r="K4525">
            <v>187</v>
          </cell>
          <cell r="X4525" t="str">
            <v/>
          </cell>
          <cell r="Y4525" t="str">
            <v/>
          </cell>
        </row>
        <row r="4526">
          <cell r="X4526" t="str">
            <v/>
          </cell>
          <cell r="Y4526" t="str">
            <v/>
          </cell>
        </row>
        <row r="4527">
          <cell r="K4527">
            <v>5</v>
          </cell>
          <cell r="X4527" t="str">
            <v/>
          </cell>
          <cell r="Y4527" t="str">
            <v/>
          </cell>
        </row>
        <row r="4528">
          <cell r="K4528">
            <v>0.5</v>
          </cell>
          <cell r="X4528" t="str">
            <v>x</v>
          </cell>
          <cell r="Y4528" t="str">
            <v/>
          </cell>
        </row>
        <row r="4529">
          <cell r="K4529">
            <v>101.04</v>
          </cell>
          <cell r="X4529" t="str">
            <v/>
          </cell>
          <cell r="Y4529" t="str">
            <v/>
          </cell>
        </row>
        <row r="4530">
          <cell r="K4530">
            <v>10.1</v>
          </cell>
          <cell r="X4530" t="str">
            <v>x</v>
          </cell>
          <cell r="Y4530" t="str">
            <v/>
          </cell>
        </row>
        <row r="4531">
          <cell r="K4531">
            <v>62.21</v>
          </cell>
          <cell r="X4531" t="str">
            <v/>
          </cell>
          <cell r="Y4531" t="str">
            <v/>
          </cell>
        </row>
        <row r="4532">
          <cell r="K4532">
            <v>79990</v>
          </cell>
          <cell r="X4532" t="str">
            <v/>
          </cell>
          <cell r="Y4532" t="str">
            <v/>
          </cell>
        </row>
        <row r="4533">
          <cell r="K4533">
            <v>548.21</v>
          </cell>
          <cell r="X4533" t="str">
            <v/>
          </cell>
          <cell r="Y4533" t="str">
            <v/>
          </cell>
        </row>
        <row r="4534">
          <cell r="K4534">
            <v>58001.5</v>
          </cell>
          <cell r="X4534" t="str">
            <v/>
          </cell>
          <cell r="Y4534" t="str">
            <v/>
          </cell>
        </row>
        <row r="4535">
          <cell r="K4535">
            <v>56.5</v>
          </cell>
          <cell r="X4535" t="str">
            <v/>
          </cell>
          <cell r="Y4535" t="str">
            <v/>
          </cell>
        </row>
        <row r="4536">
          <cell r="X4536" t="str">
            <v/>
          </cell>
          <cell r="Y4536" t="str">
            <v/>
          </cell>
        </row>
        <row r="4537">
          <cell r="K4537">
            <v>15000</v>
          </cell>
          <cell r="X4537" t="str">
            <v/>
          </cell>
          <cell r="Y4537" t="str">
            <v/>
          </cell>
        </row>
        <row r="4538">
          <cell r="K4538">
            <v>101.5</v>
          </cell>
          <cell r="X4538" t="str">
            <v/>
          </cell>
          <cell r="Y4538" t="str">
            <v/>
          </cell>
        </row>
        <row r="4539">
          <cell r="K4539">
            <v>86988.6</v>
          </cell>
          <cell r="X4539" t="str">
            <v/>
          </cell>
          <cell r="Y4539" t="str">
            <v/>
          </cell>
        </row>
        <row r="4540">
          <cell r="K4540">
            <v>0.05</v>
          </cell>
          <cell r="X4540" t="str">
            <v/>
          </cell>
          <cell r="Y4540" t="str">
            <v/>
          </cell>
        </row>
        <row r="4541">
          <cell r="K4541">
            <v>43.47</v>
          </cell>
          <cell r="X4541" t="str">
            <v/>
          </cell>
          <cell r="Y4541" t="str">
            <v/>
          </cell>
        </row>
        <row r="4542">
          <cell r="K4542">
            <v>94.79</v>
          </cell>
          <cell r="X4542" t="str">
            <v/>
          </cell>
          <cell r="Y4542" t="str">
            <v/>
          </cell>
        </row>
        <row r="4543">
          <cell r="K4543">
            <v>86850.29</v>
          </cell>
          <cell r="X4543" t="str">
            <v/>
          </cell>
          <cell r="Y4543" t="str">
            <v/>
          </cell>
        </row>
        <row r="4544">
          <cell r="X4544" t="str">
            <v/>
          </cell>
          <cell r="Y4544" t="str">
            <v/>
          </cell>
        </row>
        <row r="4545">
          <cell r="K4545">
            <v>109210.2</v>
          </cell>
          <cell r="X4545" t="str">
            <v/>
          </cell>
          <cell r="Y4545" t="str">
            <v/>
          </cell>
        </row>
        <row r="4546">
          <cell r="K4546">
            <v>227</v>
          </cell>
          <cell r="X4546" t="str">
            <v/>
          </cell>
          <cell r="Y4546" t="str">
            <v/>
          </cell>
        </row>
        <row r="4547">
          <cell r="X4547" t="str">
            <v/>
          </cell>
          <cell r="Y4547" t="str">
            <v/>
          </cell>
        </row>
        <row r="4548">
          <cell r="K4548">
            <v>5</v>
          </cell>
          <cell r="X4548" t="str">
            <v/>
          </cell>
          <cell r="Y4548" t="str">
            <v/>
          </cell>
        </row>
        <row r="4549">
          <cell r="K4549">
            <v>0.5</v>
          </cell>
          <cell r="X4549" t="str">
            <v>x</v>
          </cell>
          <cell r="Y4549" t="str">
            <v/>
          </cell>
        </row>
        <row r="4550">
          <cell r="K4550">
            <v>131.32</v>
          </cell>
          <cell r="X4550" t="str">
            <v/>
          </cell>
          <cell r="Y4550" t="str">
            <v/>
          </cell>
        </row>
        <row r="4551">
          <cell r="K4551">
            <v>13.13</v>
          </cell>
          <cell r="X4551" t="str">
            <v>x</v>
          </cell>
          <cell r="Y4551" t="str">
            <v/>
          </cell>
        </row>
        <row r="4552">
          <cell r="K4552">
            <v>103900</v>
          </cell>
          <cell r="X4552" t="str">
            <v/>
          </cell>
          <cell r="Y4552" t="str">
            <v/>
          </cell>
        </row>
        <row r="4553">
          <cell r="K4553">
            <v>95000</v>
          </cell>
          <cell r="X4553" t="str">
            <v/>
          </cell>
          <cell r="Y4553" t="str">
            <v/>
          </cell>
        </row>
        <row r="4554">
          <cell r="K4554">
            <v>298</v>
          </cell>
          <cell r="X4554" t="str">
            <v/>
          </cell>
          <cell r="Y4554" t="str">
            <v/>
          </cell>
        </row>
        <row r="4555">
          <cell r="K4555">
            <v>96000</v>
          </cell>
          <cell r="X4555" t="str">
            <v/>
          </cell>
          <cell r="Y4555" t="str">
            <v/>
          </cell>
        </row>
        <row r="4556">
          <cell r="X4556" t="str">
            <v/>
          </cell>
          <cell r="Y4556" t="str">
            <v/>
          </cell>
        </row>
        <row r="4557">
          <cell r="X4557" t="str">
            <v/>
          </cell>
          <cell r="Y4557" t="str">
            <v/>
          </cell>
        </row>
        <row r="4558">
          <cell r="X4558" t="str">
            <v/>
          </cell>
          <cell r="Y4558" t="str">
            <v/>
          </cell>
        </row>
        <row r="4559">
          <cell r="X4559" t="str">
            <v/>
          </cell>
          <cell r="Y4559" t="str">
            <v/>
          </cell>
        </row>
        <row r="4560">
          <cell r="X4560" t="str">
            <v/>
          </cell>
          <cell r="Y4560" t="str">
            <v/>
          </cell>
        </row>
        <row r="4561">
          <cell r="X4561" t="str">
            <v/>
          </cell>
          <cell r="Y4561" t="str">
            <v/>
          </cell>
        </row>
        <row r="4562">
          <cell r="X4562" t="str">
            <v/>
          </cell>
          <cell r="Y4562" t="str">
            <v/>
          </cell>
        </row>
        <row r="4563">
          <cell r="X4563" t="str">
            <v/>
          </cell>
          <cell r="Y4563" t="str">
            <v/>
          </cell>
        </row>
        <row r="4564">
          <cell r="X4564" t="str">
            <v/>
          </cell>
          <cell r="Y4564" t="str">
            <v/>
          </cell>
        </row>
        <row r="4565">
          <cell r="X4565" t="str">
            <v/>
          </cell>
          <cell r="Y4565" t="str">
            <v/>
          </cell>
        </row>
        <row r="4566">
          <cell r="X4566" t="str">
            <v/>
          </cell>
          <cell r="Y4566" t="str">
            <v/>
          </cell>
        </row>
        <row r="4567">
          <cell r="X4567" t="str">
            <v/>
          </cell>
          <cell r="Y4567" t="str">
            <v/>
          </cell>
        </row>
        <row r="4568">
          <cell r="X4568" t="str">
            <v/>
          </cell>
          <cell r="Y4568" t="str">
            <v/>
          </cell>
        </row>
        <row r="4569">
          <cell r="X4569" t="str">
            <v/>
          </cell>
          <cell r="Y4569" t="str">
            <v/>
          </cell>
        </row>
        <row r="4570">
          <cell r="X4570" t="str">
            <v/>
          </cell>
          <cell r="Y4570" t="str">
            <v/>
          </cell>
        </row>
        <row r="4571">
          <cell r="X4571" t="str">
            <v/>
          </cell>
          <cell r="Y4571" t="str">
            <v/>
          </cell>
        </row>
        <row r="4572">
          <cell r="X4572" t="str">
            <v/>
          </cell>
          <cell r="Y4572" t="str">
            <v/>
          </cell>
        </row>
        <row r="4573">
          <cell r="X4573" t="str">
            <v/>
          </cell>
          <cell r="Y4573" t="str">
            <v/>
          </cell>
        </row>
        <row r="4574">
          <cell r="X4574" t="str">
            <v/>
          </cell>
          <cell r="Y4574" t="str">
            <v/>
          </cell>
        </row>
        <row r="4575">
          <cell r="X4575" t="str">
            <v/>
          </cell>
          <cell r="Y4575" t="str">
            <v/>
          </cell>
        </row>
        <row r="4576">
          <cell r="X4576" t="str">
            <v/>
          </cell>
          <cell r="Y4576" t="str">
            <v/>
          </cell>
        </row>
        <row r="4577">
          <cell r="X4577" t="str">
            <v/>
          </cell>
          <cell r="Y4577" t="str">
            <v/>
          </cell>
        </row>
        <row r="4578">
          <cell r="X4578" t="str">
            <v/>
          </cell>
          <cell r="Y4578" t="str">
            <v/>
          </cell>
        </row>
        <row r="4579">
          <cell r="X4579" t="str">
            <v/>
          </cell>
          <cell r="Y4579" t="str">
            <v/>
          </cell>
        </row>
        <row r="4580">
          <cell r="X4580" t="str">
            <v/>
          </cell>
          <cell r="Y4580" t="str">
            <v/>
          </cell>
        </row>
        <row r="4581">
          <cell r="X4581" t="str">
            <v/>
          </cell>
          <cell r="Y4581" t="str">
            <v/>
          </cell>
        </row>
        <row r="4582">
          <cell r="X4582" t="str">
            <v/>
          </cell>
          <cell r="Y4582" t="str">
            <v/>
          </cell>
        </row>
        <row r="4583">
          <cell r="X4583" t="str">
            <v/>
          </cell>
          <cell r="Y4583" t="str">
            <v/>
          </cell>
        </row>
        <row r="4584">
          <cell r="X4584" t="str">
            <v/>
          </cell>
          <cell r="Y4584" t="str">
            <v/>
          </cell>
        </row>
        <row r="4585">
          <cell r="X4585" t="str">
            <v/>
          </cell>
          <cell r="Y4585" t="str">
            <v/>
          </cell>
        </row>
        <row r="4586">
          <cell r="X4586" t="str">
            <v/>
          </cell>
          <cell r="Y4586" t="str">
            <v/>
          </cell>
        </row>
        <row r="4587">
          <cell r="X4587" t="str">
            <v/>
          </cell>
          <cell r="Y4587" t="str">
            <v/>
          </cell>
        </row>
        <row r="4588">
          <cell r="X4588" t="str">
            <v/>
          </cell>
          <cell r="Y4588" t="str">
            <v/>
          </cell>
        </row>
        <row r="4589">
          <cell r="X4589" t="str">
            <v/>
          </cell>
          <cell r="Y4589" t="str">
            <v/>
          </cell>
        </row>
        <row r="4590">
          <cell r="X4590" t="str">
            <v/>
          </cell>
          <cell r="Y4590" t="str">
            <v/>
          </cell>
        </row>
        <row r="4591">
          <cell r="X4591" t="str">
            <v/>
          </cell>
          <cell r="Y4591" t="str">
            <v/>
          </cell>
        </row>
        <row r="4592">
          <cell r="X4592" t="str">
            <v/>
          </cell>
          <cell r="Y4592" t="str">
            <v/>
          </cell>
        </row>
        <row r="4593">
          <cell r="X4593" t="str">
            <v/>
          </cell>
          <cell r="Y4593" t="str">
            <v/>
          </cell>
        </row>
        <row r="4594">
          <cell r="X4594" t="str">
            <v/>
          </cell>
          <cell r="Y4594" t="str">
            <v/>
          </cell>
        </row>
        <row r="4595">
          <cell r="X4595" t="str">
            <v/>
          </cell>
          <cell r="Y4595" t="str">
            <v/>
          </cell>
        </row>
        <row r="4596">
          <cell r="X4596" t="str">
            <v/>
          </cell>
          <cell r="Y4596" t="str">
            <v/>
          </cell>
        </row>
        <row r="4597">
          <cell r="X4597" t="str">
            <v/>
          </cell>
          <cell r="Y4597" t="str">
            <v/>
          </cell>
        </row>
        <row r="4598">
          <cell r="X4598" t="str">
            <v/>
          </cell>
          <cell r="Y4598" t="str">
            <v/>
          </cell>
        </row>
        <row r="4599">
          <cell r="X4599" t="str">
            <v/>
          </cell>
          <cell r="Y4599" t="str">
            <v/>
          </cell>
        </row>
        <row r="4600">
          <cell r="X4600" t="str">
            <v/>
          </cell>
          <cell r="Y4600" t="str">
            <v/>
          </cell>
        </row>
        <row r="4601">
          <cell r="X4601" t="str">
            <v/>
          </cell>
          <cell r="Y4601" t="str">
            <v/>
          </cell>
        </row>
        <row r="4602">
          <cell r="X4602" t="str">
            <v/>
          </cell>
          <cell r="Y4602" t="str">
            <v/>
          </cell>
        </row>
        <row r="4603">
          <cell r="X4603" t="str">
            <v/>
          </cell>
          <cell r="Y4603" t="str">
            <v/>
          </cell>
        </row>
        <row r="4604">
          <cell r="X4604" t="str">
            <v/>
          </cell>
          <cell r="Y4604" t="str">
            <v/>
          </cell>
        </row>
        <row r="4605">
          <cell r="X4605" t="str">
            <v/>
          </cell>
          <cell r="Y4605" t="str">
            <v/>
          </cell>
        </row>
        <row r="4606">
          <cell r="X4606" t="str">
            <v/>
          </cell>
          <cell r="Y4606" t="str">
            <v/>
          </cell>
        </row>
        <row r="4607">
          <cell r="X4607" t="str">
            <v/>
          </cell>
          <cell r="Y4607" t="str">
            <v/>
          </cell>
        </row>
        <row r="4608">
          <cell r="X4608" t="str">
            <v/>
          </cell>
          <cell r="Y4608" t="str">
            <v/>
          </cell>
        </row>
        <row r="4609">
          <cell r="X4609" t="str">
            <v/>
          </cell>
          <cell r="Y4609" t="str">
            <v/>
          </cell>
        </row>
        <row r="4610">
          <cell r="X4610" t="str">
            <v/>
          </cell>
          <cell r="Y4610" t="str">
            <v/>
          </cell>
        </row>
        <row r="4611">
          <cell r="X4611" t="str">
            <v/>
          </cell>
          <cell r="Y4611" t="str">
            <v/>
          </cell>
        </row>
        <row r="4612">
          <cell r="X4612" t="str">
            <v/>
          </cell>
          <cell r="Y4612" t="str">
            <v/>
          </cell>
        </row>
        <row r="4613">
          <cell r="X4613" t="str">
            <v/>
          </cell>
          <cell r="Y4613" t="str">
            <v/>
          </cell>
        </row>
        <row r="4614">
          <cell r="X4614" t="str">
            <v/>
          </cell>
          <cell r="Y4614" t="str">
            <v/>
          </cell>
        </row>
        <row r="4615">
          <cell r="X4615" t="str">
            <v/>
          </cell>
          <cell r="Y4615" t="str">
            <v/>
          </cell>
        </row>
        <row r="4616">
          <cell r="X4616" t="str">
            <v/>
          </cell>
          <cell r="Y4616" t="str">
            <v/>
          </cell>
        </row>
        <row r="4617">
          <cell r="X4617" t="str">
            <v/>
          </cell>
          <cell r="Y4617" t="str">
            <v/>
          </cell>
        </row>
        <row r="4618">
          <cell r="X4618" t="str">
            <v/>
          </cell>
          <cell r="Y4618" t="str">
            <v/>
          </cell>
        </row>
        <row r="4619">
          <cell r="X4619" t="str">
            <v/>
          </cell>
          <cell r="Y4619" t="str">
            <v/>
          </cell>
        </row>
        <row r="4620">
          <cell r="X4620" t="str">
            <v/>
          </cell>
          <cell r="Y4620" t="str">
            <v/>
          </cell>
        </row>
        <row r="4621">
          <cell r="X4621" t="str">
            <v/>
          </cell>
          <cell r="Y4621" t="str">
            <v/>
          </cell>
        </row>
        <row r="4622">
          <cell r="X4622" t="str">
            <v/>
          </cell>
          <cell r="Y4622" t="str">
            <v/>
          </cell>
        </row>
        <row r="4623">
          <cell r="X4623" t="str">
            <v/>
          </cell>
          <cell r="Y4623" t="str">
            <v/>
          </cell>
        </row>
        <row r="4624">
          <cell r="X4624" t="str">
            <v/>
          </cell>
          <cell r="Y4624" t="str">
            <v/>
          </cell>
        </row>
        <row r="4625">
          <cell r="X4625" t="str">
            <v/>
          </cell>
          <cell r="Y4625" t="str">
            <v/>
          </cell>
        </row>
        <row r="4626">
          <cell r="X4626" t="str">
            <v/>
          </cell>
          <cell r="Y4626" t="str">
            <v/>
          </cell>
        </row>
        <row r="4627">
          <cell r="X4627" t="str">
            <v/>
          </cell>
          <cell r="Y4627" t="str">
            <v/>
          </cell>
        </row>
        <row r="4628">
          <cell r="X4628" t="str">
            <v/>
          </cell>
          <cell r="Y4628" t="str">
            <v/>
          </cell>
        </row>
        <row r="4629">
          <cell r="X4629" t="str">
            <v/>
          </cell>
          <cell r="Y4629" t="str">
            <v/>
          </cell>
        </row>
        <row r="4630">
          <cell r="X4630" t="str">
            <v/>
          </cell>
          <cell r="Y4630" t="str">
            <v/>
          </cell>
        </row>
        <row r="4631">
          <cell r="X4631" t="str">
            <v/>
          </cell>
          <cell r="Y4631" t="str">
            <v/>
          </cell>
        </row>
        <row r="4632">
          <cell r="X4632" t="str">
            <v/>
          </cell>
          <cell r="Y4632" t="str">
            <v/>
          </cell>
        </row>
        <row r="4633">
          <cell r="X4633" t="str">
            <v/>
          </cell>
          <cell r="Y4633" t="str">
            <v/>
          </cell>
        </row>
        <row r="4634">
          <cell r="X4634" t="str">
            <v/>
          </cell>
          <cell r="Y4634" t="str">
            <v/>
          </cell>
        </row>
        <row r="4635">
          <cell r="X4635" t="str">
            <v/>
          </cell>
          <cell r="Y4635" t="str">
            <v/>
          </cell>
        </row>
        <row r="4636">
          <cell r="X4636" t="str">
            <v/>
          </cell>
          <cell r="Y4636" t="str">
            <v/>
          </cell>
        </row>
        <row r="4637">
          <cell r="X4637" t="str">
            <v/>
          </cell>
          <cell r="Y4637" t="str">
            <v/>
          </cell>
        </row>
        <row r="4638">
          <cell r="X4638" t="str">
            <v/>
          </cell>
          <cell r="Y4638" t="str">
            <v/>
          </cell>
        </row>
        <row r="4639">
          <cell r="X4639" t="str">
            <v/>
          </cell>
          <cell r="Y4639" t="str">
            <v/>
          </cell>
        </row>
        <row r="4640">
          <cell r="X4640" t="str">
            <v/>
          </cell>
          <cell r="Y4640" t="str">
            <v/>
          </cell>
        </row>
        <row r="4641">
          <cell r="X4641" t="str">
            <v/>
          </cell>
          <cell r="Y4641" t="str">
            <v/>
          </cell>
        </row>
        <row r="4642">
          <cell r="X4642" t="str">
            <v/>
          </cell>
          <cell r="Y4642" t="str">
            <v/>
          </cell>
        </row>
        <row r="4643">
          <cell r="X4643" t="str">
            <v/>
          </cell>
          <cell r="Y4643" t="str">
            <v/>
          </cell>
        </row>
        <row r="4644">
          <cell r="X4644" t="str">
            <v/>
          </cell>
          <cell r="Y4644" t="str">
            <v/>
          </cell>
        </row>
        <row r="4645">
          <cell r="X4645" t="str">
            <v/>
          </cell>
          <cell r="Y4645" t="str">
            <v/>
          </cell>
        </row>
        <row r="4646">
          <cell r="X4646" t="str">
            <v/>
          </cell>
          <cell r="Y4646" t="str">
            <v/>
          </cell>
        </row>
        <row r="4647">
          <cell r="X4647" t="str">
            <v/>
          </cell>
          <cell r="Y4647" t="str">
            <v/>
          </cell>
        </row>
        <row r="4648">
          <cell r="X4648" t="str">
            <v/>
          </cell>
          <cell r="Y4648" t="str">
            <v/>
          </cell>
        </row>
        <row r="4649">
          <cell r="X4649" t="str">
            <v/>
          </cell>
          <cell r="Y4649" t="str">
            <v/>
          </cell>
        </row>
        <row r="4650">
          <cell r="X4650" t="str">
            <v/>
          </cell>
          <cell r="Y4650" t="str">
            <v/>
          </cell>
        </row>
        <row r="4651">
          <cell r="X4651" t="str">
            <v/>
          </cell>
          <cell r="Y4651" t="str">
            <v/>
          </cell>
        </row>
        <row r="4652">
          <cell r="X4652" t="str">
            <v/>
          </cell>
          <cell r="Y4652" t="str">
            <v/>
          </cell>
        </row>
        <row r="4653">
          <cell r="X4653" t="str">
            <v/>
          </cell>
          <cell r="Y4653" t="str">
            <v/>
          </cell>
        </row>
        <row r="4654">
          <cell r="X4654" t="str">
            <v/>
          </cell>
          <cell r="Y4654" t="str">
            <v/>
          </cell>
        </row>
        <row r="4655">
          <cell r="X4655" t="str">
            <v/>
          </cell>
          <cell r="Y4655" t="str">
            <v/>
          </cell>
        </row>
        <row r="4656">
          <cell r="X4656" t="str">
            <v/>
          </cell>
          <cell r="Y4656" t="str">
            <v/>
          </cell>
        </row>
        <row r="4657">
          <cell r="X4657" t="str">
            <v/>
          </cell>
          <cell r="Y4657" t="str">
            <v/>
          </cell>
        </row>
        <row r="4658">
          <cell r="X4658" t="str">
            <v/>
          </cell>
          <cell r="Y4658" t="str">
            <v/>
          </cell>
        </row>
        <row r="4659">
          <cell r="X4659" t="str">
            <v/>
          </cell>
          <cell r="Y4659" t="str">
            <v/>
          </cell>
        </row>
        <row r="4660">
          <cell r="X4660" t="str">
            <v/>
          </cell>
          <cell r="Y4660" t="str">
            <v/>
          </cell>
        </row>
        <row r="4661">
          <cell r="X4661" t="str">
            <v/>
          </cell>
          <cell r="Y4661" t="str">
            <v/>
          </cell>
        </row>
        <row r="4662">
          <cell r="X4662" t="str">
            <v/>
          </cell>
          <cell r="Y4662" t="str">
            <v/>
          </cell>
        </row>
        <row r="4663">
          <cell r="X4663" t="str">
            <v/>
          </cell>
          <cell r="Y4663" t="str">
            <v/>
          </cell>
        </row>
        <row r="4664">
          <cell r="X4664" t="str">
            <v/>
          </cell>
          <cell r="Y4664" t="str">
            <v/>
          </cell>
        </row>
        <row r="4665">
          <cell r="X4665" t="str">
            <v/>
          </cell>
          <cell r="Y4665" t="str">
            <v/>
          </cell>
        </row>
        <row r="4666">
          <cell r="X4666" t="str">
            <v/>
          </cell>
          <cell r="Y4666" t="str">
            <v/>
          </cell>
        </row>
        <row r="4667">
          <cell r="X4667" t="str">
            <v/>
          </cell>
          <cell r="Y4667" t="str">
            <v/>
          </cell>
        </row>
        <row r="4668">
          <cell r="X4668" t="str">
            <v/>
          </cell>
          <cell r="Y4668" t="str">
            <v/>
          </cell>
        </row>
        <row r="4669">
          <cell r="X4669" t="str">
            <v/>
          </cell>
          <cell r="Y4669" t="str">
            <v/>
          </cell>
        </row>
        <row r="4670">
          <cell r="X4670" t="str">
            <v/>
          </cell>
          <cell r="Y4670" t="str">
            <v/>
          </cell>
        </row>
        <row r="4671">
          <cell r="X4671" t="str">
            <v/>
          </cell>
          <cell r="Y4671" t="str">
            <v/>
          </cell>
        </row>
        <row r="4672">
          <cell r="X4672" t="str">
            <v/>
          </cell>
          <cell r="Y4672" t="str">
            <v/>
          </cell>
        </row>
        <row r="4673">
          <cell r="X4673" t="str">
            <v/>
          </cell>
          <cell r="Y4673" t="str">
            <v/>
          </cell>
        </row>
        <row r="4674">
          <cell r="X4674" t="str">
            <v/>
          </cell>
          <cell r="Y4674" t="str">
            <v/>
          </cell>
        </row>
        <row r="4675">
          <cell r="X4675" t="str">
            <v/>
          </cell>
          <cell r="Y4675" t="str">
            <v/>
          </cell>
        </row>
        <row r="4676">
          <cell r="X4676" t="str">
            <v/>
          </cell>
          <cell r="Y4676" t="str">
            <v/>
          </cell>
        </row>
        <row r="4677">
          <cell r="X4677" t="str">
            <v/>
          </cell>
          <cell r="Y4677" t="str">
            <v/>
          </cell>
        </row>
        <row r="4678">
          <cell r="X4678" t="str">
            <v/>
          </cell>
          <cell r="Y4678" t="str">
            <v/>
          </cell>
        </row>
        <row r="4679">
          <cell r="X4679" t="str">
            <v/>
          </cell>
          <cell r="Y4679" t="str">
            <v/>
          </cell>
        </row>
        <row r="4680">
          <cell r="X4680" t="str">
            <v/>
          </cell>
          <cell r="Y4680" t="str">
            <v/>
          </cell>
        </row>
        <row r="4681">
          <cell r="X4681" t="str">
            <v/>
          </cell>
          <cell r="Y4681" t="str">
            <v/>
          </cell>
        </row>
        <row r="4682">
          <cell r="X4682" t="str">
            <v/>
          </cell>
          <cell r="Y4682" t="str">
            <v/>
          </cell>
        </row>
        <row r="4683">
          <cell r="X4683" t="str">
            <v/>
          </cell>
          <cell r="Y4683" t="str">
            <v/>
          </cell>
        </row>
        <row r="4684">
          <cell r="X4684" t="str">
            <v/>
          </cell>
          <cell r="Y4684" t="str">
            <v/>
          </cell>
        </row>
        <row r="4685">
          <cell r="X4685" t="str">
            <v/>
          </cell>
          <cell r="Y4685" t="str">
            <v/>
          </cell>
        </row>
        <row r="4686">
          <cell r="X4686" t="str">
            <v/>
          </cell>
          <cell r="Y4686" t="str">
            <v/>
          </cell>
        </row>
        <row r="4687">
          <cell r="X4687" t="str">
            <v/>
          </cell>
          <cell r="Y4687" t="str">
            <v/>
          </cell>
        </row>
        <row r="4688">
          <cell r="X4688" t="str">
            <v/>
          </cell>
          <cell r="Y4688" t="str">
            <v/>
          </cell>
        </row>
        <row r="4689">
          <cell r="X4689" t="str">
            <v/>
          </cell>
          <cell r="Y4689" t="str">
            <v/>
          </cell>
        </row>
        <row r="4690">
          <cell r="X4690" t="str">
            <v/>
          </cell>
          <cell r="Y4690" t="str">
            <v/>
          </cell>
        </row>
        <row r="4691">
          <cell r="X4691" t="str">
            <v/>
          </cell>
          <cell r="Y4691" t="str">
            <v/>
          </cell>
        </row>
        <row r="4692">
          <cell r="X4692" t="str">
            <v/>
          </cell>
          <cell r="Y4692" t="str">
            <v/>
          </cell>
        </row>
        <row r="4693">
          <cell r="X4693" t="str">
            <v/>
          </cell>
          <cell r="Y4693" t="str">
            <v/>
          </cell>
        </row>
        <row r="4694">
          <cell r="X4694" t="str">
            <v/>
          </cell>
          <cell r="Y4694" t="str">
            <v/>
          </cell>
        </row>
        <row r="4695">
          <cell r="X4695" t="str">
            <v/>
          </cell>
          <cell r="Y4695" t="str">
            <v/>
          </cell>
        </row>
        <row r="4696">
          <cell r="X4696" t="str">
            <v/>
          </cell>
          <cell r="Y4696" t="str">
            <v/>
          </cell>
        </row>
        <row r="4697">
          <cell r="X4697" t="str">
            <v/>
          </cell>
          <cell r="Y4697" t="str">
            <v/>
          </cell>
        </row>
        <row r="4698">
          <cell r="X4698" t="str">
            <v/>
          </cell>
          <cell r="Y4698" t="str">
            <v/>
          </cell>
        </row>
        <row r="4699">
          <cell r="X4699" t="str">
            <v/>
          </cell>
          <cell r="Y4699" t="str">
            <v/>
          </cell>
        </row>
        <row r="4700">
          <cell r="X4700" t="str">
            <v/>
          </cell>
          <cell r="Y4700" t="str">
            <v/>
          </cell>
        </row>
        <row r="4701">
          <cell r="X4701" t="str">
            <v/>
          </cell>
          <cell r="Y4701" t="str">
            <v/>
          </cell>
        </row>
        <row r="4702">
          <cell r="X4702" t="str">
            <v/>
          </cell>
          <cell r="Y4702" t="str">
            <v/>
          </cell>
        </row>
        <row r="4703">
          <cell r="X4703" t="str">
            <v/>
          </cell>
          <cell r="Y4703" t="str">
            <v/>
          </cell>
        </row>
        <row r="4704">
          <cell r="X4704" t="str">
            <v/>
          </cell>
          <cell r="Y4704" t="str">
            <v/>
          </cell>
        </row>
        <row r="4705">
          <cell r="X4705" t="str">
            <v/>
          </cell>
          <cell r="Y4705" t="str">
            <v/>
          </cell>
        </row>
        <row r="4706">
          <cell r="X4706" t="str">
            <v/>
          </cell>
          <cell r="Y4706" t="str">
            <v/>
          </cell>
        </row>
        <row r="4707">
          <cell r="X4707" t="str">
            <v/>
          </cell>
          <cell r="Y4707" t="str">
            <v/>
          </cell>
        </row>
        <row r="4708">
          <cell r="X4708" t="str">
            <v/>
          </cell>
          <cell r="Y4708" t="str">
            <v/>
          </cell>
        </row>
        <row r="4709">
          <cell r="X4709" t="str">
            <v/>
          </cell>
          <cell r="Y4709" t="str">
            <v/>
          </cell>
        </row>
        <row r="4710">
          <cell r="X4710" t="str">
            <v/>
          </cell>
          <cell r="Y4710" t="str">
            <v/>
          </cell>
        </row>
        <row r="4711">
          <cell r="X4711" t="str">
            <v/>
          </cell>
          <cell r="Y4711" t="str">
            <v/>
          </cell>
        </row>
        <row r="4712">
          <cell r="X4712" t="str">
            <v/>
          </cell>
          <cell r="Y4712" t="str">
            <v/>
          </cell>
        </row>
        <row r="4713">
          <cell r="X4713" t="str">
            <v/>
          </cell>
          <cell r="Y4713" t="str">
            <v/>
          </cell>
        </row>
        <row r="4714">
          <cell r="X4714" t="str">
            <v/>
          </cell>
          <cell r="Y4714" t="str">
            <v/>
          </cell>
        </row>
        <row r="4715">
          <cell r="X4715" t="str">
            <v/>
          </cell>
          <cell r="Y4715" t="str">
            <v/>
          </cell>
        </row>
        <row r="4716">
          <cell r="X4716" t="str">
            <v/>
          </cell>
          <cell r="Y4716" t="str">
            <v/>
          </cell>
        </row>
        <row r="4717">
          <cell r="X4717" t="str">
            <v/>
          </cell>
          <cell r="Y4717" t="str">
            <v/>
          </cell>
        </row>
        <row r="4718">
          <cell r="X4718" t="str">
            <v/>
          </cell>
          <cell r="Y4718" t="str">
            <v/>
          </cell>
        </row>
        <row r="4719">
          <cell r="X4719" t="str">
            <v/>
          </cell>
          <cell r="Y4719" t="str">
            <v/>
          </cell>
        </row>
        <row r="4720">
          <cell r="X4720" t="str">
            <v/>
          </cell>
          <cell r="Y4720" t="str">
            <v/>
          </cell>
        </row>
        <row r="4721">
          <cell r="X4721" t="str">
            <v/>
          </cell>
          <cell r="Y4721" t="str">
            <v/>
          </cell>
        </row>
        <row r="4722">
          <cell r="X4722" t="str">
            <v/>
          </cell>
          <cell r="Y4722" t="str">
            <v/>
          </cell>
        </row>
        <row r="4723">
          <cell r="X4723" t="str">
            <v/>
          </cell>
          <cell r="Y4723" t="str">
            <v/>
          </cell>
        </row>
        <row r="4724">
          <cell r="X4724" t="str">
            <v/>
          </cell>
          <cell r="Y4724" t="str">
            <v/>
          </cell>
        </row>
        <row r="4725">
          <cell r="X4725" t="str">
            <v/>
          </cell>
          <cell r="Y4725" t="str">
            <v/>
          </cell>
        </row>
        <row r="4726">
          <cell r="X4726" t="str">
            <v/>
          </cell>
          <cell r="Y4726" t="str">
            <v/>
          </cell>
        </row>
        <row r="4727">
          <cell r="X4727" t="str">
            <v/>
          </cell>
          <cell r="Y4727" t="str">
            <v/>
          </cell>
        </row>
        <row r="4728">
          <cell r="X4728" t="str">
            <v/>
          </cell>
          <cell r="Y4728" t="str">
            <v/>
          </cell>
        </row>
        <row r="4729">
          <cell r="X4729" t="str">
            <v/>
          </cell>
          <cell r="Y4729" t="str">
            <v/>
          </cell>
        </row>
        <row r="4730">
          <cell r="X4730" t="str">
            <v/>
          </cell>
          <cell r="Y4730" t="str">
            <v/>
          </cell>
        </row>
        <row r="4731">
          <cell r="X4731" t="str">
            <v/>
          </cell>
          <cell r="Y4731" t="str">
            <v/>
          </cell>
        </row>
        <row r="4732">
          <cell r="X4732" t="str">
            <v/>
          </cell>
          <cell r="Y4732" t="str">
            <v/>
          </cell>
        </row>
        <row r="4733">
          <cell r="X4733" t="str">
            <v/>
          </cell>
          <cell r="Y4733" t="str">
            <v/>
          </cell>
        </row>
        <row r="4734">
          <cell r="X4734" t="str">
            <v/>
          </cell>
          <cell r="Y4734" t="str">
            <v/>
          </cell>
        </row>
        <row r="4735">
          <cell r="X4735" t="str">
            <v/>
          </cell>
          <cell r="Y4735" t="str">
            <v/>
          </cell>
        </row>
        <row r="4736">
          <cell r="X4736" t="str">
            <v/>
          </cell>
          <cell r="Y4736" t="str">
            <v/>
          </cell>
        </row>
        <row r="4737">
          <cell r="X4737" t="str">
            <v/>
          </cell>
          <cell r="Y4737" t="str">
            <v/>
          </cell>
        </row>
        <row r="4738">
          <cell r="X4738" t="str">
            <v/>
          </cell>
          <cell r="Y4738" t="str">
            <v/>
          </cell>
        </row>
        <row r="4739">
          <cell r="X4739" t="str">
            <v/>
          </cell>
          <cell r="Y4739" t="str">
            <v/>
          </cell>
        </row>
        <row r="4740">
          <cell r="X4740" t="str">
            <v/>
          </cell>
          <cell r="Y4740" t="str">
            <v/>
          </cell>
        </row>
        <row r="4741">
          <cell r="X4741" t="str">
            <v/>
          </cell>
          <cell r="Y4741" t="str">
            <v/>
          </cell>
        </row>
        <row r="4742">
          <cell r="X4742" t="str">
            <v/>
          </cell>
          <cell r="Y4742" t="str">
            <v/>
          </cell>
        </row>
        <row r="4743">
          <cell r="X4743" t="str">
            <v/>
          </cell>
          <cell r="Y4743" t="str">
            <v/>
          </cell>
        </row>
        <row r="4744">
          <cell r="X4744" t="str">
            <v/>
          </cell>
          <cell r="Y4744" t="str">
            <v/>
          </cell>
        </row>
        <row r="4745">
          <cell r="X4745" t="str">
            <v/>
          </cell>
          <cell r="Y4745" t="str">
            <v/>
          </cell>
        </row>
        <row r="4746">
          <cell r="X4746" t="str">
            <v/>
          </cell>
          <cell r="Y4746" t="str">
            <v/>
          </cell>
        </row>
        <row r="4747">
          <cell r="X4747" t="str">
            <v/>
          </cell>
          <cell r="Y4747" t="str">
            <v/>
          </cell>
        </row>
        <row r="4748">
          <cell r="X4748" t="str">
            <v/>
          </cell>
          <cell r="Y4748" t="str">
            <v/>
          </cell>
        </row>
        <row r="4749">
          <cell r="X4749" t="str">
            <v/>
          </cell>
          <cell r="Y4749" t="str">
            <v/>
          </cell>
        </row>
        <row r="4750">
          <cell r="X4750" t="str">
            <v/>
          </cell>
          <cell r="Y4750" t="str">
            <v/>
          </cell>
        </row>
        <row r="4751">
          <cell r="X4751" t="str">
            <v/>
          </cell>
          <cell r="Y4751" t="str">
            <v/>
          </cell>
        </row>
        <row r="4752">
          <cell r="X4752" t="str">
            <v/>
          </cell>
          <cell r="Y4752" t="str">
            <v/>
          </cell>
        </row>
        <row r="4753">
          <cell r="X4753" t="str">
            <v/>
          </cell>
          <cell r="Y4753" t="str">
            <v/>
          </cell>
        </row>
        <row r="4754">
          <cell r="X4754" t="str">
            <v/>
          </cell>
          <cell r="Y4754" t="str">
            <v/>
          </cell>
        </row>
        <row r="4755">
          <cell r="X4755" t="str">
            <v/>
          </cell>
          <cell r="Y4755" t="str">
            <v/>
          </cell>
        </row>
        <row r="4756">
          <cell r="X4756" t="str">
            <v/>
          </cell>
          <cell r="Y4756" t="str">
            <v/>
          </cell>
        </row>
        <row r="4757">
          <cell r="X4757" t="str">
            <v/>
          </cell>
          <cell r="Y4757" t="str">
            <v/>
          </cell>
        </row>
        <row r="4758">
          <cell r="X4758" t="str">
            <v/>
          </cell>
          <cell r="Y4758" t="str">
            <v/>
          </cell>
        </row>
        <row r="4759">
          <cell r="X4759" t="str">
            <v/>
          </cell>
          <cell r="Y4759" t="str">
            <v/>
          </cell>
        </row>
        <row r="4760">
          <cell r="X4760" t="str">
            <v/>
          </cell>
          <cell r="Y4760" t="str">
            <v/>
          </cell>
        </row>
        <row r="4761">
          <cell r="X4761" t="str">
            <v/>
          </cell>
          <cell r="Y4761" t="str">
            <v/>
          </cell>
        </row>
        <row r="4762">
          <cell r="X4762" t="str">
            <v/>
          </cell>
          <cell r="Y4762" t="str">
            <v/>
          </cell>
        </row>
        <row r="4763">
          <cell r="X4763" t="str">
            <v/>
          </cell>
          <cell r="Y4763" t="str">
            <v/>
          </cell>
        </row>
        <row r="4764">
          <cell r="X4764" t="str">
            <v/>
          </cell>
          <cell r="Y4764" t="str">
            <v/>
          </cell>
        </row>
        <row r="4765">
          <cell r="X4765" t="str">
            <v/>
          </cell>
          <cell r="Y4765" t="str">
            <v/>
          </cell>
        </row>
        <row r="4766">
          <cell r="X4766" t="str">
            <v/>
          </cell>
          <cell r="Y4766" t="str">
            <v/>
          </cell>
        </row>
        <row r="4767">
          <cell r="X4767" t="str">
            <v/>
          </cell>
          <cell r="Y4767" t="str">
            <v/>
          </cell>
        </row>
        <row r="4768">
          <cell r="X4768" t="str">
            <v/>
          </cell>
          <cell r="Y4768" t="str">
            <v/>
          </cell>
        </row>
        <row r="4769">
          <cell r="X4769" t="str">
            <v/>
          </cell>
          <cell r="Y4769" t="str">
            <v/>
          </cell>
        </row>
        <row r="4770">
          <cell r="X4770" t="str">
            <v/>
          </cell>
          <cell r="Y4770" t="str">
            <v/>
          </cell>
        </row>
        <row r="4771">
          <cell r="X4771" t="str">
            <v/>
          </cell>
          <cell r="Y4771" t="str">
            <v/>
          </cell>
        </row>
        <row r="4772">
          <cell r="X4772" t="str">
            <v/>
          </cell>
          <cell r="Y4772" t="str">
            <v/>
          </cell>
        </row>
        <row r="4773">
          <cell r="X4773" t="str">
            <v/>
          </cell>
          <cell r="Y4773" t="str">
            <v/>
          </cell>
        </row>
        <row r="4774">
          <cell r="X4774" t="str">
            <v/>
          </cell>
          <cell r="Y4774" t="str">
            <v/>
          </cell>
        </row>
        <row r="4775">
          <cell r="X4775" t="str">
            <v/>
          </cell>
          <cell r="Y4775" t="str">
            <v/>
          </cell>
        </row>
        <row r="4776">
          <cell r="X4776" t="str">
            <v/>
          </cell>
          <cell r="Y4776" t="str">
            <v/>
          </cell>
        </row>
        <row r="4777">
          <cell r="X4777" t="str">
            <v/>
          </cell>
          <cell r="Y4777" t="str">
            <v/>
          </cell>
        </row>
        <row r="4778">
          <cell r="X4778" t="str">
            <v/>
          </cell>
          <cell r="Y4778" t="str">
            <v/>
          </cell>
        </row>
        <row r="4779">
          <cell r="X4779" t="str">
            <v/>
          </cell>
          <cell r="Y4779" t="str">
            <v/>
          </cell>
        </row>
        <row r="4780">
          <cell r="X4780" t="str">
            <v/>
          </cell>
          <cell r="Y4780" t="str">
            <v/>
          </cell>
        </row>
        <row r="4781">
          <cell r="X4781" t="str">
            <v/>
          </cell>
          <cell r="Y4781" t="str">
            <v/>
          </cell>
        </row>
        <row r="4782">
          <cell r="X4782" t="str">
            <v/>
          </cell>
          <cell r="Y4782" t="str">
            <v/>
          </cell>
        </row>
        <row r="4783">
          <cell r="X4783" t="str">
            <v/>
          </cell>
          <cell r="Y4783" t="str">
            <v/>
          </cell>
        </row>
        <row r="4784">
          <cell r="X4784" t="str">
            <v/>
          </cell>
          <cell r="Y4784" t="str">
            <v/>
          </cell>
        </row>
        <row r="4785">
          <cell r="X4785" t="str">
            <v/>
          </cell>
          <cell r="Y4785" t="str">
            <v/>
          </cell>
        </row>
        <row r="4786">
          <cell r="X4786" t="str">
            <v/>
          </cell>
          <cell r="Y4786" t="str">
            <v/>
          </cell>
        </row>
        <row r="4787">
          <cell r="X4787" t="str">
            <v/>
          </cell>
          <cell r="Y4787" t="str">
            <v/>
          </cell>
        </row>
        <row r="4788">
          <cell r="X4788" t="str">
            <v/>
          </cell>
          <cell r="Y4788" t="str">
            <v/>
          </cell>
        </row>
        <row r="4789">
          <cell r="X4789" t="str">
            <v/>
          </cell>
          <cell r="Y4789" t="str">
            <v/>
          </cell>
        </row>
        <row r="4790">
          <cell r="X4790" t="str">
            <v/>
          </cell>
          <cell r="Y4790" t="str">
            <v/>
          </cell>
        </row>
        <row r="4791">
          <cell r="X4791" t="str">
            <v/>
          </cell>
          <cell r="Y4791" t="str">
            <v/>
          </cell>
        </row>
        <row r="4792">
          <cell r="X4792" t="str">
            <v/>
          </cell>
          <cell r="Y4792" t="str">
            <v/>
          </cell>
        </row>
        <row r="4793">
          <cell r="X4793" t="str">
            <v/>
          </cell>
          <cell r="Y4793" t="str">
            <v/>
          </cell>
        </row>
        <row r="4794">
          <cell r="X4794" t="str">
            <v/>
          </cell>
          <cell r="Y4794" t="str">
            <v/>
          </cell>
        </row>
        <row r="4795">
          <cell r="X4795" t="str">
            <v/>
          </cell>
          <cell r="Y4795" t="str">
            <v/>
          </cell>
        </row>
        <row r="4796">
          <cell r="X4796" t="str">
            <v/>
          </cell>
          <cell r="Y4796" t="str">
            <v/>
          </cell>
        </row>
        <row r="4797">
          <cell r="X4797" t="str">
            <v/>
          </cell>
          <cell r="Y4797" t="str">
            <v/>
          </cell>
        </row>
        <row r="4798">
          <cell r="X4798" t="str">
            <v/>
          </cell>
          <cell r="Y4798" t="str">
            <v/>
          </cell>
        </row>
        <row r="4799">
          <cell r="X4799" t="str">
            <v/>
          </cell>
          <cell r="Y4799" t="str">
            <v/>
          </cell>
        </row>
        <row r="4800">
          <cell r="X4800" t="str">
            <v/>
          </cell>
          <cell r="Y4800" t="str">
            <v/>
          </cell>
        </row>
        <row r="4801">
          <cell r="X4801" t="str">
            <v/>
          </cell>
          <cell r="Y4801" t="str">
            <v/>
          </cell>
        </row>
        <row r="4802">
          <cell r="X4802" t="str">
            <v/>
          </cell>
          <cell r="Y4802" t="str">
            <v/>
          </cell>
        </row>
        <row r="4803">
          <cell r="X4803" t="str">
            <v/>
          </cell>
          <cell r="Y4803" t="str">
            <v/>
          </cell>
        </row>
        <row r="4804">
          <cell r="X4804" t="str">
            <v/>
          </cell>
          <cell r="Y4804" t="str">
            <v/>
          </cell>
        </row>
        <row r="4805">
          <cell r="X4805" t="str">
            <v/>
          </cell>
          <cell r="Y4805" t="str">
            <v/>
          </cell>
        </row>
        <row r="4806">
          <cell r="X4806" t="str">
            <v/>
          </cell>
          <cell r="Y4806" t="str">
            <v/>
          </cell>
        </row>
        <row r="4807">
          <cell r="X4807" t="str">
            <v/>
          </cell>
          <cell r="Y4807" t="str">
            <v/>
          </cell>
        </row>
        <row r="4808">
          <cell r="X4808" t="str">
            <v/>
          </cell>
          <cell r="Y4808" t="str">
            <v/>
          </cell>
        </row>
        <row r="4809">
          <cell r="X4809" t="str">
            <v/>
          </cell>
          <cell r="Y4809" t="str">
            <v/>
          </cell>
        </row>
        <row r="4810">
          <cell r="X4810" t="str">
            <v/>
          </cell>
          <cell r="Y4810" t="str">
            <v/>
          </cell>
        </row>
        <row r="4811">
          <cell r="X4811" t="str">
            <v/>
          </cell>
          <cell r="Y4811" t="str">
            <v/>
          </cell>
        </row>
        <row r="4812">
          <cell r="X4812" t="str">
            <v/>
          </cell>
          <cell r="Y4812" t="str">
            <v/>
          </cell>
        </row>
        <row r="4813">
          <cell r="X4813" t="str">
            <v/>
          </cell>
          <cell r="Y4813" t="str">
            <v/>
          </cell>
        </row>
        <row r="4814">
          <cell r="X4814" t="str">
            <v/>
          </cell>
          <cell r="Y4814" t="str">
            <v/>
          </cell>
        </row>
        <row r="4815">
          <cell r="X4815" t="str">
            <v/>
          </cell>
          <cell r="Y4815" t="str">
            <v/>
          </cell>
        </row>
        <row r="4816">
          <cell r="X4816" t="str">
            <v/>
          </cell>
          <cell r="Y4816" t="str">
            <v/>
          </cell>
        </row>
        <row r="4817">
          <cell r="X4817" t="str">
            <v/>
          </cell>
          <cell r="Y4817" t="str">
            <v/>
          </cell>
        </row>
        <row r="4818">
          <cell r="X4818" t="str">
            <v/>
          </cell>
          <cell r="Y4818" t="str">
            <v/>
          </cell>
        </row>
        <row r="4819">
          <cell r="X4819" t="str">
            <v/>
          </cell>
          <cell r="Y4819" t="str">
            <v/>
          </cell>
        </row>
        <row r="4820">
          <cell r="X4820" t="str">
            <v/>
          </cell>
          <cell r="Y4820" t="str">
            <v/>
          </cell>
        </row>
        <row r="4821">
          <cell r="X4821" t="str">
            <v/>
          </cell>
          <cell r="Y4821" t="str">
            <v/>
          </cell>
        </row>
        <row r="4822">
          <cell r="X4822" t="str">
            <v/>
          </cell>
          <cell r="Y4822" t="str">
            <v/>
          </cell>
        </row>
        <row r="4823">
          <cell r="X4823" t="str">
            <v/>
          </cell>
          <cell r="Y4823" t="str">
            <v/>
          </cell>
        </row>
        <row r="4824">
          <cell r="X4824" t="str">
            <v/>
          </cell>
          <cell r="Y4824" t="str">
            <v/>
          </cell>
        </row>
        <row r="4825">
          <cell r="X4825" t="str">
            <v/>
          </cell>
          <cell r="Y4825" t="str">
            <v/>
          </cell>
        </row>
        <row r="4826">
          <cell r="X4826" t="str">
            <v/>
          </cell>
          <cell r="Y4826" t="str">
            <v/>
          </cell>
        </row>
        <row r="4827">
          <cell r="X4827" t="str">
            <v/>
          </cell>
          <cell r="Y4827" t="str">
            <v/>
          </cell>
        </row>
        <row r="4828">
          <cell r="X4828" t="str">
            <v/>
          </cell>
          <cell r="Y4828" t="str">
            <v/>
          </cell>
        </row>
        <row r="4829">
          <cell r="X4829" t="str">
            <v/>
          </cell>
          <cell r="Y4829" t="str">
            <v/>
          </cell>
        </row>
        <row r="4830">
          <cell r="X4830" t="str">
            <v/>
          </cell>
          <cell r="Y4830" t="str">
            <v/>
          </cell>
        </row>
        <row r="4831">
          <cell r="X4831" t="str">
            <v/>
          </cell>
          <cell r="Y4831" t="str">
            <v/>
          </cell>
        </row>
        <row r="4832">
          <cell r="X4832" t="str">
            <v/>
          </cell>
          <cell r="Y4832" t="str">
            <v/>
          </cell>
        </row>
        <row r="4833">
          <cell r="X4833" t="str">
            <v/>
          </cell>
          <cell r="Y4833" t="str">
            <v/>
          </cell>
        </row>
        <row r="4834">
          <cell r="X4834" t="str">
            <v/>
          </cell>
          <cell r="Y4834" t="str">
            <v/>
          </cell>
        </row>
        <row r="4835">
          <cell r="X4835" t="str">
            <v/>
          </cell>
          <cell r="Y4835" t="str">
            <v/>
          </cell>
        </row>
        <row r="4836">
          <cell r="X4836" t="str">
            <v/>
          </cell>
          <cell r="Y4836" t="str">
            <v/>
          </cell>
        </row>
        <row r="4837">
          <cell r="X4837" t="str">
            <v/>
          </cell>
          <cell r="Y4837" t="str">
            <v/>
          </cell>
        </row>
        <row r="4838">
          <cell r="X4838" t="str">
            <v/>
          </cell>
          <cell r="Y4838" t="str">
            <v/>
          </cell>
        </row>
        <row r="4839">
          <cell r="X4839" t="str">
            <v/>
          </cell>
          <cell r="Y4839" t="str">
            <v/>
          </cell>
        </row>
        <row r="4840">
          <cell r="X4840" t="str">
            <v/>
          </cell>
          <cell r="Y4840" t="str">
            <v/>
          </cell>
        </row>
        <row r="4841">
          <cell r="X4841" t="str">
            <v/>
          </cell>
          <cell r="Y4841" t="str">
            <v/>
          </cell>
        </row>
        <row r="4842">
          <cell r="X4842" t="str">
            <v/>
          </cell>
          <cell r="Y4842" t="str">
            <v/>
          </cell>
        </row>
        <row r="4843">
          <cell r="X4843" t="str">
            <v/>
          </cell>
          <cell r="Y4843" t="str">
            <v/>
          </cell>
        </row>
        <row r="4844">
          <cell r="X4844" t="str">
            <v/>
          </cell>
          <cell r="Y4844" t="str">
            <v/>
          </cell>
        </row>
        <row r="4845">
          <cell r="X4845" t="str">
            <v/>
          </cell>
          <cell r="Y4845" t="str">
            <v/>
          </cell>
        </row>
        <row r="4846">
          <cell r="X4846" t="str">
            <v/>
          </cell>
          <cell r="Y4846" t="str">
            <v/>
          </cell>
        </row>
        <row r="4847">
          <cell r="X4847" t="str">
            <v/>
          </cell>
          <cell r="Y4847" t="str">
            <v/>
          </cell>
        </row>
        <row r="4848">
          <cell r="X4848" t="str">
            <v/>
          </cell>
          <cell r="Y4848" t="str">
            <v/>
          </cell>
        </row>
        <row r="4849">
          <cell r="X4849" t="str">
            <v/>
          </cell>
          <cell r="Y4849" t="str">
            <v/>
          </cell>
        </row>
        <row r="4850">
          <cell r="X4850" t="str">
            <v/>
          </cell>
          <cell r="Y4850" t="str">
            <v/>
          </cell>
        </row>
        <row r="4851">
          <cell r="X4851" t="str">
            <v/>
          </cell>
          <cell r="Y4851" t="str">
            <v/>
          </cell>
        </row>
        <row r="4852">
          <cell r="X4852" t="str">
            <v/>
          </cell>
          <cell r="Y4852" t="str">
            <v/>
          </cell>
        </row>
        <row r="4853">
          <cell r="X4853" t="str">
            <v/>
          </cell>
          <cell r="Y4853" t="str">
            <v/>
          </cell>
        </row>
        <row r="4854">
          <cell r="X4854" t="str">
            <v/>
          </cell>
          <cell r="Y4854" t="str">
            <v/>
          </cell>
        </row>
        <row r="4855">
          <cell r="X4855" t="str">
            <v/>
          </cell>
          <cell r="Y4855" t="str">
            <v/>
          </cell>
        </row>
        <row r="4856">
          <cell r="X4856" t="str">
            <v/>
          </cell>
          <cell r="Y4856" t="str">
            <v/>
          </cell>
        </row>
        <row r="4857">
          <cell r="X4857" t="str">
            <v/>
          </cell>
          <cell r="Y4857" t="str">
            <v/>
          </cell>
        </row>
        <row r="4858">
          <cell r="X4858" t="str">
            <v/>
          </cell>
          <cell r="Y4858" t="str">
            <v/>
          </cell>
        </row>
        <row r="4859">
          <cell r="X4859" t="str">
            <v/>
          </cell>
          <cell r="Y4859" t="str">
            <v/>
          </cell>
        </row>
        <row r="4860">
          <cell r="X4860" t="str">
            <v/>
          </cell>
          <cell r="Y4860" t="str">
            <v/>
          </cell>
        </row>
        <row r="4861">
          <cell r="X4861" t="str">
            <v/>
          </cell>
          <cell r="Y4861" t="str">
            <v/>
          </cell>
        </row>
        <row r="4862">
          <cell r="X4862" t="str">
            <v/>
          </cell>
          <cell r="Y4862" t="str">
            <v/>
          </cell>
        </row>
        <row r="4863">
          <cell r="X4863" t="str">
            <v/>
          </cell>
          <cell r="Y4863" t="str">
            <v/>
          </cell>
        </row>
        <row r="4864">
          <cell r="X4864" t="str">
            <v/>
          </cell>
          <cell r="Y4864" t="str">
            <v/>
          </cell>
        </row>
        <row r="4865">
          <cell r="X4865" t="str">
            <v/>
          </cell>
          <cell r="Y4865" t="str">
            <v/>
          </cell>
        </row>
        <row r="4866">
          <cell r="X4866" t="str">
            <v/>
          </cell>
          <cell r="Y4866" t="str">
            <v/>
          </cell>
        </row>
        <row r="4867">
          <cell r="X4867" t="str">
            <v/>
          </cell>
          <cell r="Y4867" t="str">
            <v/>
          </cell>
        </row>
        <row r="4868">
          <cell r="X4868" t="str">
            <v/>
          </cell>
          <cell r="Y4868" t="str">
            <v/>
          </cell>
        </row>
        <row r="4869">
          <cell r="X4869" t="str">
            <v/>
          </cell>
          <cell r="Y4869" t="str">
            <v/>
          </cell>
        </row>
        <row r="4870">
          <cell r="X4870" t="str">
            <v/>
          </cell>
          <cell r="Y4870" t="str">
            <v/>
          </cell>
        </row>
        <row r="4871">
          <cell r="X4871" t="str">
            <v/>
          </cell>
          <cell r="Y4871" t="str">
            <v/>
          </cell>
        </row>
        <row r="4872">
          <cell r="X4872" t="str">
            <v/>
          </cell>
          <cell r="Y4872" t="str">
            <v/>
          </cell>
        </row>
        <row r="4873">
          <cell r="X4873" t="str">
            <v/>
          </cell>
          <cell r="Y4873" t="str">
            <v/>
          </cell>
        </row>
        <row r="4874">
          <cell r="X4874" t="str">
            <v/>
          </cell>
          <cell r="Y4874" t="str">
            <v/>
          </cell>
        </row>
        <row r="4875">
          <cell r="X4875" t="str">
            <v/>
          </cell>
          <cell r="Y4875" t="str">
            <v/>
          </cell>
        </row>
        <row r="4876">
          <cell r="X4876" t="str">
            <v/>
          </cell>
          <cell r="Y4876" t="str">
            <v/>
          </cell>
        </row>
        <row r="4877">
          <cell r="X4877" t="str">
            <v/>
          </cell>
          <cell r="Y4877" t="str">
            <v/>
          </cell>
        </row>
        <row r="4878">
          <cell r="X4878" t="str">
            <v/>
          </cell>
          <cell r="Y4878" t="str">
            <v/>
          </cell>
        </row>
        <row r="4879">
          <cell r="X4879" t="str">
            <v/>
          </cell>
          <cell r="Y4879" t="str">
            <v/>
          </cell>
        </row>
        <row r="4880">
          <cell r="X4880" t="str">
            <v/>
          </cell>
          <cell r="Y4880" t="str">
            <v/>
          </cell>
        </row>
        <row r="4881">
          <cell r="X4881" t="str">
            <v/>
          </cell>
          <cell r="Y4881" t="str">
            <v/>
          </cell>
        </row>
        <row r="4882">
          <cell r="X4882" t="str">
            <v/>
          </cell>
          <cell r="Y4882" t="str">
            <v/>
          </cell>
        </row>
        <row r="4883">
          <cell r="X4883" t="str">
            <v/>
          </cell>
          <cell r="Y4883" t="str">
            <v/>
          </cell>
        </row>
        <row r="4884">
          <cell r="X4884" t="str">
            <v/>
          </cell>
          <cell r="Y4884" t="str">
            <v/>
          </cell>
        </row>
        <row r="4885">
          <cell r="X4885" t="str">
            <v/>
          </cell>
          <cell r="Y4885" t="str">
            <v/>
          </cell>
        </row>
        <row r="4886">
          <cell r="X4886" t="str">
            <v/>
          </cell>
          <cell r="Y4886" t="str">
            <v/>
          </cell>
        </row>
        <row r="4887">
          <cell r="X4887" t="str">
            <v/>
          </cell>
          <cell r="Y4887" t="str">
            <v/>
          </cell>
        </row>
        <row r="4888">
          <cell r="X4888" t="str">
            <v/>
          </cell>
          <cell r="Y4888" t="str">
            <v/>
          </cell>
        </row>
        <row r="4889">
          <cell r="X4889" t="str">
            <v/>
          </cell>
          <cell r="Y4889" t="str">
            <v/>
          </cell>
        </row>
        <row r="4890">
          <cell r="X4890" t="str">
            <v/>
          </cell>
          <cell r="Y4890" t="str">
            <v/>
          </cell>
        </row>
        <row r="4891">
          <cell r="X4891" t="str">
            <v/>
          </cell>
          <cell r="Y4891" t="str">
            <v/>
          </cell>
        </row>
        <row r="4892">
          <cell r="X4892" t="str">
            <v/>
          </cell>
          <cell r="Y4892" t="str">
            <v/>
          </cell>
        </row>
        <row r="4893">
          <cell r="X4893" t="str">
            <v/>
          </cell>
          <cell r="Y4893" t="str">
            <v/>
          </cell>
        </row>
        <row r="4894">
          <cell r="X4894" t="str">
            <v/>
          </cell>
          <cell r="Y4894" t="str">
            <v/>
          </cell>
        </row>
        <row r="4895">
          <cell r="X4895" t="str">
            <v/>
          </cell>
          <cell r="Y4895" t="str">
            <v/>
          </cell>
        </row>
        <row r="4896">
          <cell r="X4896" t="str">
            <v/>
          </cell>
          <cell r="Y4896" t="str">
            <v/>
          </cell>
        </row>
        <row r="4897">
          <cell r="X4897" t="str">
            <v/>
          </cell>
          <cell r="Y4897" t="str">
            <v/>
          </cell>
        </row>
        <row r="4898">
          <cell r="X4898" t="str">
            <v/>
          </cell>
          <cell r="Y4898" t="str">
            <v/>
          </cell>
        </row>
        <row r="4899">
          <cell r="X4899" t="str">
            <v/>
          </cell>
          <cell r="Y4899" t="str">
            <v/>
          </cell>
        </row>
        <row r="4900">
          <cell r="X4900" t="str">
            <v/>
          </cell>
          <cell r="Y4900" t="str">
            <v/>
          </cell>
        </row>
        <row r="4901">
          <cell r="X4901" t="str">
            <v/>
          </cell>
          <cell r="Y4901" t="str">
            <v/>
          </cell>
        </row>
        <row r="4902">
          <cell r="X4902" t="str">
            <v/>
          </cell>
          <cell r="Y4902" t="str">
            <v/>
          </cell>
        </row>
        <row r="4903">
          <cell r="X4903" t="str">
            <v/>
          </cell>
          <cell r="Y4903" t="str">
            <v/>
          </cell>
        </row>
        <row r="4904">
          <cell r="X4904" t="str">
            <v/>
          </cell>
          <cell r="Y4904" t="str">
            <v/>
          </cell>
        </row>
        <row r="4905">
          <cell r="X4905" t="str">
            <v/>
          </cell>
          <cell r="Y4905" t="str">
            <v/>
          </cell>
        </row>
        <row r="4906">
          <cell r="X4906" t="str">
            <v/>
          </cell>
          <cell r="Y4906" t="str">
            <v/>
          </cell>
        </row>
        <row r="4907">
          <cell r="X4907" t="str">
            <v/>
          </cell>
          <cell r="Y4907" t="str">
            <v/>
          </cell>
        </row>
        <row r="4908">
          <cell r="X4908" t="str">
            <v/>
          </cell>
          <cell r="Y4908" t="str">
            <v/>
          </cell>
        </row>
        <row r="4909">
          <cell r="X4909" t="str">
            <v/>
          </cell>
          <cell r="Y4909" t="str">
            <v/>
          </cell>
        </row>
        <row r="4910">
          <cell r="X4910" t="str">
            <v/>
          </cell>
          <cell r="Y4910" t="str">
            <v/>
          </cell>
        </row>
        <row r="4911">
          <cell r="X4911" t="str">
            <v/>
          </cell>
          <cell r="Y4911" t="str">
            <v/>
          </cell>
        </row>
        <row r="4912">
          <cell r="X4912" t="str">
            <v/>
          </cell>
          <cell r="Y4912" t="str">
            <v/>
          </cell>
        </row>
        <row r="4913">
          <cell r="X4913" t="str">
            <v/>
          </cell>
          <cell r="Y4913" t="str">
            <v/>
          </cell>
        </row>
        <row r="4914">
          <cell r="X4914" t="str">
            <v/>
          </cell>
          <cell r="Y4914" t="str">
            <v/>
          </cell>
        </row>
        <row r="4915">
          <cell r="X4915" t="str">
            <v/>
          </cell>
          <cell r="Y4915" t="str">
            <v/>
          </cell>
        </row>
        <row r="4916">
          <cell r="X4916" t="str">
            <v/>
          </cell>
          <cell r="Y4916" t="str">
            <v/>
          </cell>
        </row>
        <row r="4917">
          <cell r="X4917" t="str">
            <v/>
          </cell>
          <cell r="Y4917" t="str">
            <v/>
          </cell>
        </row>
        <row r="4918">
          <cell r="X4918" t="str">
            <v/>
          </cell>
          <cell r="Y4918" t="str">
            <v/>
          </cell>
        </row>
        <row r="4919">
          <cell r="X4919" t="str">
            <v/>
          </cell>
          <cell r="Y4919" t="str">
            <v/>
          </cell>
        </row>
        <row r="4920">
          <cell r="X4920" t="str">
            <v/>
          </cell>
          <cell r="Y4920" t="str">
            <v/>
          </cell>
        </row>
        <row r="4921">
          <cell r="X4921" t="str">
            <v/>
          </cell>
          <cell r="Y4921" t="str">
            <v/>
          </cell>
        </row>
        <row r="4922">
          <cell r="X4922" t="str">
            <v/>
          </cell>
          <cell r="Y4922" t="str">
            <v/>
          </cell>
        </row>
        <row r="4923">
          <cell r="X4923" t="str">
            <v/>
          </cell>
          <cell r="Y4923" t="str">
            <v/>
          </cell>
        </row>
        <row r="4924">
          <cell r="X4924" t="str">
            <v/>
          </cell>
          <cell r="Y4924" t="str">
            <v/>
          </cell>
        </row>
        <row r="4925">
          <cell r="X4925" t="str">
            <v/>
          </cell>
          <cell r="Y4925" t="str">
            <v/>
          </cell>
        </row>
        <row r="4926">
          <cell r="X4926" t="str">
            <v/>
          </cell>
          <cell r="Y4926" t="str">
            <v/>
          </cell>
        </row>
        <row r="4927">
          <cell r="X4927" t="str">
            <v/>
          </cell>
          <cell r="Y4927" t="str">
            <v/>
          </cell>
        </row>
        <row r="4928">
          <cell r="X4928" t="str">
            <v/>
          </cell>
          <cell r="Y4928" t="str">
            <v/>
          </cell>
        </row>
        <row r="4929">
          <cell r="X4929" t="str">
            <v/>
          </cell>
          <cell r="Y4929" t="str">
            <v/>
          </cell>
        </row>
        <row r="4930">
          <cell r="X4930" t="str">
            <v/>
          </cell>
          <cell r="Y4930" t="str">
            <v/>
          </cell>
        </row>
        <row r="4931">
          <cell r="X4931" t="str">
            <v/>
          </cell>
          <cell r="Y4931" t="str">
            <v/>
          </cell>
        </row>
        <row r="4932">
          <cell r="X4932" t="str">
            <v/>
          </cell>
          <cell r="Y4932" t="str">
            <v/>
          </cell>
        </row>
        <row r="4933">
          <cell r="X4933" t="str">
            <v/>
          </cell>
          <cell r="Y4933" t="str">
            <v/>
          </cell>
        </row>
        <row r="4934">
          <cell r="X4934" t="str">
            <v/>
          </cell>
          <cell r="Y4934" t="str">
            <v/>
          </cell>
        </row>
        <row r="4935">
          <cell r="X4935" t="str">
            <v/>
          </cell>
          <cell r="Y4935" t="str">
            <v/>
          </cell>
        </row>
        <row r="4936">
          <cell r="X4936" t="str">
            <v/>
          </cell>
          <cell r="Y4936" t="str">
            <v/>
          </cell>
        </row>
        <row r="4937">
          <cell r="X4937" t="str">
            <v/>
          </cell>
          <cell r="Y4937" t="str">
            <v/>
          </cell>
        </row>
        <row r="4938">
          <cell r="X4938" t="str">
            <v/>
          </cell>
          <cell r="Y4938" t="str">
            <v/>
          </cell>
        </row>
        <row r="4939">
          <cell r="X4939" t="str">
            <v/>
          </cell>
          <cell r="Y4939" t="str">
            <v/>
          </cell>
        </row>
        <row r="4940">
          <cell r="X4940" t="str">
            <v/>
          </cell>
          <cell r="Y4940" t="str">
            <v/>
          </cell>
        </row>
        <row r="4941">
          <cell r="X4941" t="str">
            <v/>
          </cell>
          <cell r="Y4941" t="str">
            <v/>
          </cell>
        </row>
        <row r="4942">
          <cell r="X4942" t="str">
            <v/>
          </cell>
          <cell r="Y4942" t="str">
            <v/>
          </cell>
        </row>
        <row r="4943">
          <cell r="X4943" t="str">
            <v/>
          </cell>
          <cell r="Y4943" t="str">
            <v/>
          </cell>
        </row>
        <row r="4944">
          <cell r="X4944" t="str">
            <v/>
          </cell>
          <cell r="Y4944" t="str">
            <v/>
          </cell>
        </row>
        <row r="4945">
          <cell r="X4945" t="str">
            <v/>
          </cell>
          <cell r="Y4945" t="str">
            <v/>
          </cell>
        </row>
        <row r="4946">
          <cell r="X4946" t="str">
            <v/>
          </cell>
          <cell r="Y4946" t="str">
            <v/>
          </cell>
        </row>
        <row r="4947">
          <cell r="X4947" t="str">
            <v/>
          </cell>
          <cell r="Y4947" t="str">
            <v/>
          </cell>
        </row>
        <row r="4948">
          <cell r="X4948" t="str">
            <v/>
          </cell>
          <cell r="Y4948" t="str">
            <v/>
          </cell>
        </row>
        <row r="4949">
          <cell r="X4949" t="str">
            <v/>
          </cell>
          <cell r="Y4949" t="str">
            <v/>
          </cell>
        </row>
        <row r="4950">
          <cell r="X4950" t="str">
            <v/>
          </cell>
          <cell r="Y4950" t="str">
            <v/>
          </cell>
        </row>
        <row r="4951">
          <cell r="X4951" t="str">
            <v/>
          </cell>
          <cell r="Y4951" t="str">
            <v/>
          </cell>
        </row>
        <row r="4952">
          <cell r="X4952" t="str">
            <v/>
          </cell>
          <cell r="Y4952" t="str">
            <v/>
          </cell>
        </row>
        <row r="4953">
          <cell r="X4953" t="str">
            <v/>
          </cell>
          <cell r="Y4953" t="str">
            <v/>
          </cell>
        </row>
        <row r="4954">
          <cell r="X4954" t="str">
            <v/>
          </cell>
          <cell r="Y4954" t="str">
            <v/>
          </cell>
        </row>
        <row r="4955">
          <cell r="X4955" t="str">
            <v/>
          </cell>
          <cell r="Y4955" t="str">
            <v/>
          </cell>
        </row>
        <row r="4956">
          <cell r="X4956" t="str">
            <v/>
          </cell>
          <cell r="Y4956" t="str">
            <v/>
          </cell>
        </row>
        <row r="4957">
          <cell r="X4957" t="str">
            <v/>
          </cell>
          <cell r="Y4957" t="str">
            <v/>
          </cell>
        </row>
        <row r="4958">
          <cell r="X4958" t="str">
            <v/>
          </cell>
          <cell r="Y4958" t="str">
            <v/>
          </cell>
        </row>
        <row r="4959">
          <cell r="X4959" t="str">
            <v/>
          </cell>
          <cell r="Y4959" t="str">
            <v/>
          </cell>
        </row>
        <row r="4960">
          <cell r="X4960" t="str">
            <v/>
          </cell>
          <cell r="Y4960" t="str">
            <v/>
          </cell>
        </row>
        <row r="4961">
          <cell r="X4961" t="str">
            <v/>
          </cell>
          <cell r="Y4961" t="str">
            <v/>
          </cell>
        </row>
        <row r="4962">
          <cell r="X4962" t="str">
            <v/>
          </cell>
          <cell r="Y4962" t="str">
            <v/>
          </cell>
        </row>
        <row r="4963">
          <cell r="X4963" t="str">
            <v/>
          </cell>
          <cell r="Y4963" t="str">
            <v/>
          </cell>
        </row>
        <row r="4964">
          <cell r="X4964" t="str">
            <v/>
          </cell>
          <cell r="Y4964" t="str">
            <v/>
          </cell>
        </row>
        <row r="4965">
          <cell r="X4965" t="str">
            <v/>
          </cell>
          <cell r="Y4965" t="str">
            <v/>
          </cell>
        </row>
        <row r="4966">
          <cell r="X4966" t="str">
            <v/>
          </cell>
          <cell r="Y4966" t="str">
            <v/>
          </cell>
        </row>
        <row r="4967">
          <cell r="X4967" t="str">
            <v/>
          </cell>
          <cell r="Y4967" t="str">
            <v/>
          </cell>
        </row>
        <row r="4968">
          <cell r="X4968" t="str">
            <v/>
          </cell>
          <cell r="Y4968" t="str">
            <v/>
          </cell>
        </row>
        <row r="4969">
          <cell r="X4969" t="str">
            <v/>
          </cell>
          <cell r="Y4969" t="str">
            <v/>
          </cell>
        </row>
        <row r="4970">
          <cell r="X4970" t="str">
            <v/>
          </cell>
          <cell r="Y4970" t="str">
            <v/>
          </cell>
        </row>
        <row r="4971">
          <cell r="X4971" t="str">
            <v/>
          </cell>
          <cell r="Y4971" t="str">
            <v/>
          </cell>
        </row>
        <row r="4972">
          <cell r="X4972" t="str">
            <v/>
          </cell>
          <cell r="Y4972" t="str">
            <v/>
          </cell>
        </row>
        <row r="4973">
          <cell r="X4973" t="str">
            <v/>
          </cell>
          <cell r="Y4973" t="str">
            <v/>
          </cell>
        </row>
        <row r="4974">
          <cell r="X4974" t="str">
            <v/>
          </cell>
          <cell r="Y4974" t="str">
            <v/>
          </cell>
        </row>
        <row r="4975">
          <cell r="X4975" t="str">
            <v/>
          </cell>
          <cell r="Y4975" t="str">
            <v/>
          </cell>
        </row>
        <row r="4976">
          <cell r="X4976" t="str">
            <v/>
          </cell>
          <cell r="Y4976" t="str">
            <v/>
          </cell>
        </row>
        <row r="4977">
          <cell r="X4977" t="str">
            <v/>
          </cell>
          <cell r="Y4977" t="str">
            <v/>
          </cell>
        </row>
        <row r="4978">
          <cell r="X4978" t="str">
            <v/>
          </cell>
          <cell r="Y4978" t="str">
            <v/>
          </cell>
        </row>
        <row r="4979">
          <cell r="X4979" t="str">
            <v/>
          </cell>
          <cell r="Y4979" t="str">
            <v/>
          </cell>
        </row>
        <row r="4980">
          <cell r="X4980" t="str">
            <v/>
          </cell>
          <cell r="Y4980" t="str">
            <v/>
          </cell>
        </row>
        <row r="4981">
          <cell r="X4981" t="str">
            <v/>
          </cell>
          <cell r="Y4981" t="str">
            <v/>
          </cell>
        </row>
        <row r="4982">
          <cell r="X4982" t="str">
            <v/>
          </cell>
          <cell r="Y4982" t="str">
            <v/>
          </cell>
        </row>
        <row r="4983">
          <cell r="X4983" t="str">
            <v/>
          </cell>
          <cell r="Y4983" t="str">
            <v/>
          </cell>
        </row>
        <row r="4984">
          <cell r="X4984" t="str">
            <v/>
          </cell>
          <cell r="Y4984" t="str">
            <v/>
          </cell>
        </row>
        <row r="4985">
          <cell r="X4985" t="str">
            <v/>
          </cell>
          <cell r="Y4985" t="str">
            <v/>
          </cell>
        </row>
        <row r="4986">
          <cell r="X4986" t="str">
            <v/>
          </cell>
          <cell r="Y4986" t="str">
            <v/>
          </cell>
        </row>
        <row r="4987">
          <cell r="X4987" t="str">
            <v/>
          </cell>
          <cell r="Y4987" t="str">
            <v/>
          </cell>
        </row>
        <row r="4988">
          <cell r="X4988" t="str">
            <v/>
          </cell>
          <cell r="Y4988" t="str">
            <v/>
          </cell>
        </row>
        <row r="4989">
          <cell r="X4989" t="str">
            <v/>
          </cell>
          <cell r="Y4989" t="str">
            <v/>
          </cell>
        </row>
        <row r="4990">
          <cell r="X4990" t="str">
            <v/>
          </cell>
          <cell r="Y4990" t="str">
            <v/>
          </cell>
        </row>
        <row r="4991">
          <cell r="X4991" t="str">
            <v/>
          </cell>
          <cell r="Y4991" t="str">
            <v/>
          </cell>
        </row>
        <row r="4992">
          <cell r="X4992" t="str">
            <v/>
          </cell>
          <cell r="Y4992" t="str">
            <v/>
          </cell>
        </row>
        <row r="4993">
          <cell r="X4993" t="str">
            <v/>
          </cell>
          <cell r="Y4993" t="str">
            <v/>
          </cell>
        </row>
        <row r="4994">
          <cell r="X4994" t="str">
            <v/>
          </cell>
          <cell r="Y4994" t="str">
            <v/>
          </cell>
        </row>
        <row r="4995">
          <cell r="X4995" t="str">
            <v/>
          </cell>
          <cell r="Y4995" t="str">
            <v/>
          </cell>
        </row>
        <row r="4996">
          <cell r="X4996" t="str">
            <v/>
          </cell>
          <cell r="Y4996" t="str">
            <v/>
          </cell>
        </row>
        <row r="4997">
          <cell r="X4997" t="str">
            <v/>
          </cell>
          <cell r="Y4997" t="str">
            <v/>
          </cell>
        </row>
        <row r="4998">
          <cell r="X4998" t="str">
            <v/>
          </cell>
          <cell r="Y4998" t="str">
            <v/>
          </cell>
        </row>
        <row r="4999">
          <cell r="X4999" t="str">
            <v/>
          </cell>
          <cell r="Y4999" t="str">
            <v/>
          </cell>
        </row>
        <row r="5000">
          <cell r="X5000" t="str">
            <v/>
          </cell>
          <cell r="Y5000" t="str">
            <v/>
          </cell>
        </row>
        <row r="5001">
          <cell r="X5001" t="str">
            <v/>
          </cell>
          <cell r="Y5001" t="str">
            <v/>
          </cell>
        </row>
        <row r="5002">
          <cell r="X5002" t="str">
            <v/>
          </cell>
          <cell r="Y5002" t="str">
            <v/>
          </cell>
        </row>
        <row r="5003">
          <cell r="X5003" t="str">
            <v/>
          </cell>
          <cell r="Y5003" t="str">
            <v/>
          </cell>
        </row>
        <row r="5004">
          <cell r="X5004" t="str">
            <v/>
          </cell>
          <cell r="Y5004" t="str">
            <v/>
          </cell>
        </row>
        <row r="5005">
          <cell r="X5005" t="str">
            <v/>
          </cell>
          <cell r="Y5005" t="str">
            <v/>
          </cell>
        </row>
        <row r="5006">
          <cell r="X5006" t="str">
            <v/>
          </cell>
          <cell r="Y5006" t="str">
            <v/>
          </cell>
        </row>
        <row r="5007">
          <cell r="X5007" t="str">
            <v/>
          </cell>
          <cell r="Y5007" t="str">
            <v/>
          </cell>
        </row>
        <row r="5008">
          <cell r="X5008" t="str">
            <v/>
          </cell>
          <cell r="Y5008" t="str">
            <v/>
          </cell>
        </row>
        <row r="5009">
          <cell r="X5009" t="str">
            <v/>
          </cell>
          <cell r="Y5009" t="str">
            <v/>
          </cell>
        </row>
        <row r="5010">
          <cell r="X5010" t="str">
            <v/>
          </cell>
          <cell r="Y5010" t="str">
            <v/>
          </cell>
        </row>
        <row r="5011">
          <cell r="X5011" t="str">
            <v/>
          </cell>
          <cell r="Y5011" t="str">
            <v/>
          </cell>
        </row>
        <row r="5012">
          <cell r="X5012" t="str">
            <v/>
          </cell>
          <cell r="Y5012" t="str">
            <v/>
          </cell>
        </row>
        <row r="5013">
          <cell r="X5013" t="str">
            <v/>
          </cell>
          <cell r="Y5013" t="str">
            <v/>
          </cell>
        </row>
        <row r="5014">
          <cell r="X5014" t="str">
            <v/>
          </cell>
          <cell r="Y5014" t="str">
            <v/>
          </cell>
        </row>
        <row r="5015">
          <cell r="X5015" t="str">
            <v/>
          </cell>
          <cell r="Y5015" t="str">
            <v/>
          </cell>
        </row>
        <row r="5016">
          <cell r="X5016" t="str">
            <v/>
          </cell>
          <cell r="Y5016" t="str">
            <v/>
          </cell>
        </row>
        <row r="5017">
          <cell r="X5017" t="str">
            <v/>
          </cell>
          <cell r="Y5017" t="str">
            <v/>
          </cell>
        </row>
        <row r="5018">
          <cell r="X5018" t="str">
            <v/>
          </cell>
          <cell r="Y5018" t="str">
            <v/>
          </cell>
        </row>
        <row r="5019">
          <cell r="X5019" t="str">
            <v/>
          </cell>
          <cell r="Y5019" t="str">
            <v/>
          </cell>
        </row>
        <row r="5020">
          <cell r="X5020" t="str">
            <v/>
          </cell>
          <cell r="Y5020" t="str">
            <v/>
          </cell>
        </row>
        <row r="5021">
          <cell r="X5021" t="str">
            <v/>
          </cell>
          <cell r="Y5021" t="str">
            <v/>
          </cell>
        </row>
        <row r="5022">
          <cell r="X5022" t="str">
            <v/>
          </cell>
          <cell r="Y5022" t="str">
            <v/>
          </cell>
        </row>
        <row r="5023">
          <cell r="X5023" t="str">
            <v/>
          </cell>
          <cell r="Y5023" t="str">
            <v/>
          </cell>
        </row>
        <row r="5024">
          <cell r="X5024" t="str">
            <v/>
          </cell>
          <cell r="Y5024" t="str">
            <v/>
          </cell>
        </row>
        <row r="5025">
          <cell r="X5025" t="str">
            <v/>
          </cell>
          <cell r="Y5025" t="str">
            <v/>
          </cell>
        </row>
        <row r="5026">
          <cell r="X5026" t="str">
            <v/>
          </cell>
          <cell r="Y5026" t="str">
            <v/>
          </cell>
        </row>
        <row r="5027">
          <cell r="X5027" t="str">
            <v/>
          </cell>
          <cell r="Y5027" t="str">
            <v/>
          </cell>
        </row>
        <row r="5028">
          <cell r="X5028" t="str">
            <v/>
          </cell>
          <cell r="Y5028" t="str">
            <v/>
          </cell>
        </row>
        <row r="5029">
          <cell r="X5029" t="str">
            <v/>
          </cell>
          <cell r="Y5029" t="str">
            <v/>
          </cell>
        </row>
        <row r="5030">
          <cell r="X5030" t="str">
            <v/>
          </cell>
          <cell r="Y5030" t="str">
            <v/>
          </cell>
        </row>
        <row r="5031">
          <cell r="X5031" t="str">
            <v/>
          </cell>
          <cell r="Y5031" t="str">
            <v/>
          </cell>
        </row>
        <row r="5032">
          <cell r="X5032" t="str">
            <v/>
          </cell>
          <cell r="Y5032" t="str">
            <v/>
          </cell>
        </row>
        <row r="5033">
          <cell r="X5033" t="str">
            <v/>
          </cell>
          <cell r="Y5033" t="str">
            <v/>
          </cell>
        </row>
        <row r="5034">
          <cell r="X5034" t="str">
            <v/>
          </cell>
          <cell r="Y5034" t="str">
            <v/>
          </cell>
        </row>
        <row r="5035">
          <cell r="X5035" t="str">
            <v/>
          </cell>
          <cell r="Y5035" t="str">
            <v/>
          </cell>
        </row>
        <row r="5036">
          <cell r="X5036" t="str">
            <v/>
          </cell>
          <cell r="Y5036" t="str">
            <v/>
          </cell>
        </row>
        <row r="5037">
          <cell r="X5037" t="str">
            <v/>
          </cell>
          <cell r="Y5037" t="str">
            <v/>
          </cell>
        </row>
        <row r="5038">
          <cell r="X5038" t="str">
            <v/>
          </cell>
          <cell r="Y5038" t="str">
            <v/>
          </cell>
        </row>
        <row r="5039">
          <cell r="X5039" t="str">
            <v/>
          </cell>
          <cell r="Y5039" t="str">
            <v/>
          </cell>
        </row>
        <row r="5040">
          <cell r="X5040" t="str">
            <v/>
          </cell>
          <cell r="Y5040" t="str">
            <v/>
          </cell>
        </row>
        <row r="5041">
          <cell r="X5041" t="str">
            <v/>
          </cell>
          <cell r="Y5041" t="str">
            <v/>
          </cell>
        </row>
        <row r="5042">
          <cell r="X5042" t="str">
            <v/>
          </cell>
          <cell r="Y5042" t="str">
            <v/>
          </cell>
        </row>
        <row r="5043">
          <cell r="X5043" t="str">
            <v/>
          </cell>
          <cell r="Y5043" t="str">
            <v/>
          </cell>
        </row>
        <row r="5044">
          <cell r="X5044" t="str">
            <v/>
          </cell>
          <cell r="Y5044" t="str">
            <v/>
          </cell>
        </row>
        <row r="5045">
          <cell r="X5045" t="str">
            <v/>
          </cell>
          <cell r="Y5045" t="str">
            <v/>
          </cell>
        </row>
        <row r="5046">
          <cell r="X5046" t="str">
            <v/>
          </cell>
          <cell r="Y5046" t="str">
            <v/>
          </cell>
        </row>
        <row r="5047">
          <cell r="X5047" t="str">
            <v/>
          </cell>
          <cell r="Y5047" t="str">
            <v/>
          </cell>
        </row>
        <row r="5048">
          <cell r="X5048" t="str">
            <v/>
          </cell>
          <cell r="Y5048" t="str">
            <v/>
          </cell>
        </row>
        <row r="5049">
          <cell r="X5049" t="str">
            <v/>
          </cell>
          <cell r="Y5049" t="str">
            <v/>
          </cell>
        </row>
        <row r="5050">
          <cell r="X5050" t="str">
            <v/>
          </cell>
          <cell r="Y5050" t="str">
            <v/>
          </cell>
        </row>
        <row r="5051">
          <cell r="X5051" t="str">
            <v/>
          </cell>
          <cell r="Y5051" t="str">
            <v/>
          </cell>
        </row>
        <row r="5052">
          <cell r="X5052" t="str">
            <v/>
          </cell>
          <cell r="Y5052" t="str">
            <v/>
          </cell>
        </row>
        <row r="5053">
          <cell r="X5053" t="str">
            <v/>
          </cell>
          <cell r="Y5053" t="str">
            <v/>
          </cell>
        </row>
        <row r="5054">
          <cell r="X5054" t="str">
            <v/>
          </cell>
          <cell r="Y5054" t="str">
            <v/>
          </cell>
        </row>
        <row r="5055">
          <cell r="X5055" t="str">
            <v/>
          </cell>
          <cell r="Y5055" t="str">
            <v/>
          </cell>
        </row>
        <row r="5056">
          <cell r="X5056" t="str">
            <v/>
          </cell>
          <cell r="Y5056" t="str">
            <v/>
          </cell>
        </row>
        <row r="5057">
          <cell r="X5057" t="str">
            <v/>
          </cell>
          <cell r="Y5057" t="str">
            <v/>
          </cell>
        </row>
        <row r="5058">
          <cell r="X5058" t="str">
            <v/>
          </cell>
          <cell r="Y5058" t="str">
            <v/>
          </cell>
        </row>
        <row r="5059">
          <cell r="X5059" t="str">
            <v/>
          </cell>
          <cell r="Y5059" t="str">
            <v/>
          </cell>
        </row>
        <row r="5060">
          <cell r="X5060" t="str">
            <v/>
          </cell>
          <cell r="Y5060" t="str">
            <v/>
          </cell>
        </row>
        <row r="5061">
          <cell r="X5061" t="str">
            <v/>
          </cell>
          <cell r="Y5061" t="str">
            <v/>
          </cell>
        </row>
        <row r="5062">
          <cell r="X5062" t="str">
            <v/>
          </cell>
          <cell r="Y5062" t="str">
            <v/>
          </cell>
        </row>
        <row r="5063">
          <cell r="X5063" t="str">
            <v/>
          </cell>
          <cell r="Y5063" t="str">
            <v/>
          </cell>
        </row>
        <row r="5064">
          <cell r="X5064" t="str">
            <v/>
          </cell>
          <cell r="Y5064" t="str">
            <v/>
          </cell>
        </row>
        <row r="5065">
          <cell r="X5065" t="str">
            <v/>
          </cell>
          <cell r="Y5065" t="str">
            <v/>
          </cell>
        </row>
        <row r="5066">
          <cell r="X5066" t="str">
            <v/>
          </cell>
          <cell r="Y5066" t="str">
            <v/>
          </cell>
        </row>
        <row r="5067">
          <cell r="X5067" t="str">
            <v/>
          </cell>
          <cell r="Y5067" t="str">
            <v/>
          </cell>
        </row>
        <row r="5068">
          <cell r="X5068" t="str">
            <v/>
          </cell>
          <cell r="Y5068" t="str">
            <v/>
          </cell>
        </row>
        <row r="5069">
          <cell r="X5069" t="str">
            <v/>
          </cell>
          <cell r="Y5069" t="str">
            <v/>
          </cell>
        </row>
        <row r="5070">
          <cell r="X5070" t="str">
            <v/>
          </cell>
          <cell r="Y5070" t="str">
            <v/>
          </cell>
        </row>
        <row r="5071">
          <cell r="X5071" t="str">
            <v/>
          </cell>
          <cell r="Y5071" t="str">
            <v/>
          </cell>
        </row>
        <row r="5072">
          <cell r="X5072" t="str">
            <v/>
          </cell>
          <cell r="Y5072" t="str">
            <v/>
          </cell>
        </row>
        <row r="5073">
          <cell r="X5073" t="str">
            <v/>
          </cell>
          <cell r="Y5073" t="str">
            <v/>
          </cell>
        </row>
        <row r="5074">
          <cell r="X5074" t="str">
            <v/>
          </cell>
          <cell r="Y5074" t="str">
            <v/>
          </cell>
        </row>
        <row r="5075">
          <cell r="X5075" t="str">
            <v/>
          </cell>
          <cell r="Y5075" t="str">
            <v/>
          </cell>
        </row>
        <row r="5076">
          <cell r="X5076" t="str">
            <v/>
          </cell>
          <cell r="Y5076" t="str">
            <v/>
          </cell>
        </row>
        <row r="5077">
          <cell r="X5077" t="str">
            <v/>
          </cell>
          <cell r="Y5077" t="str">
            <v/>
          </cell>
        </row>
        <row r="5078">
          <cell r="X5078" t="str">
            <v/>
          </cell>
          <cell r="Y5078" t="str">
            <v/>
          </cell>
        </row>
        <row r="5079">
          <cell r="X5079" t="str">
            <v/>
          </cell>
          <cell r="Y5079" t="str">
            <v/>
          </cell>
        </row>
        <row r="5080">
          <cell r="X5080" t="str">
            <v/>
          </cell>
          <cell r="Y5080" t="str">
            <v/>
          </cell>
        </row>
        <row r="5081">
          <cell r="X5081" t="str">
            <v/>
          </cell>
          <cell r="Y5081" t="str">
            <v/>
          </cell>
        </row>
        <row r="5082">
          <cell r="X5082" t="str">
            <v/>
          </cell>
          <cell r="Y5082" t="str">
            <v/>
          </cell>
        </row>
        <row r="5083">
          <cell r="X5083" t="str">
            <v/>
          </cell>
          <cell r="Y5083" t="str">
            <v/>
          </cell>
        </row>
        <row r="5084">
          <cell r="X5084" t="str">
            <v/>
          </cell>
          <cell r="Y5084" t="str">
            <v/>
          </cell>
        </row>
        <row r="5085">
          <cell r="X5085" t="str">
            <v/>
          </cell>
          <cell r="Y5085" t="str">
            <v/>
          </cell>
        </row>
        <row r="5086">
          <cell r="X5086" t="str">
            <v/>
          </cell>
          <cell r="Y5086" t="str">
            <v/>
          </cell>
        </row>
        <row r="5087">
          <cell r="X5087" t="str">
            <v/>
          </cell>
          <cell r="Y5087" t="str">
            <v/>
          </cell>
        </row>
        <row r="5088">
          <cell r="X5088" t="str">
            <v/>
          </cell>
          <cell r="Y5088" t="str">
            <v/>
          </cell>
        </row>
        <row r="5089">
          <cell r="X5089" t="str">
            <v/>
          </cell>
          <cell r="Y5089" t="str">
            <v/>
          </cell>
        </row>
        <row r="5090">
          <cell r="X5090" t="str">
            <v/>
          </cell>
          <cell r="Y5090" t="str">
            <v/>
          </cell>
        </row>
        <row r="5091">
          <cell r="X5091" t="str">
            <v/>
          </cell>
          <cell r="Y5091" t="str">
            <v/>
          </cell>
        </row>
        <row r="5092">
          <cell r="X5092" t="str">
            <v/>
          </cell>
          <cell r="Y5092" t="str">
            <v/>
          </cell>
        </row>
        <row r="5093">
          <cell r="X5093" t="str">
            <v/>
          </cell>
          <cell r="Y5093" t="str">
            <v/>
          </cell>
        </row>
        <row r="5094">
          <cell r="X5094" t="str">
            <v/>
          </cell>
          <cell r="Y5094" t="str">
            <v/>
          </cell>
        </row>
        <row r="5095">
          <cell r="X5095" t="str">
            <v/>
          </cell>
          <cell r="Y5095" t="str">
            <v/>
          </cell>
        </row>
        <row r="5096">
          <cell r="X5096" t="str">
            <v/>
          </cell>
          <cell r="Y5096" t="str">
            <v/>
          </cell>
        </row>
        <row r="5097">
          <cell r="X5097" t="str">
            <v/>
          </cell>
          <cell r="Y5097" t="str">
            <v/>
          </cell>
        </row>
        <row r="5098">
          <cell r="X5098" t="str">
            <v/>
          </cell>
          <cell r="Y5098" t="str">
            <v/>
          </cell>
        </row>
        <row r="5099">
          <cell r="X5099" t="str">
            <v/>
          </cell>
          <cell r="Y5099" t="str">
            <v/>
          </cell>
        </row>
        <row r="5100">
          <cell r="X5100" t="str">
            <v/>
          </cell>
          <cell r="Y5100" t="str">
            <v/>
          </cell>
        </row>
        <row r="5101">
          <cell r="X5101" t="str">
            <v/>
          </cell>
          <cell r="Y5101" t="str">
            <v/>
          </cell>
        </row>
        <row r="5102">
          <cell r="X5102" t="str">
            <v/>
          </cell>
          <cell r="Y5102" t="str">
            <v/>
          </cell>
        </row>
        <row r="5103">
          <cell r="X5103" t="str">
            <v/>
          </cell>
          <cell r="Y5103" t="str">
            <v/>
          </cell>
        </row>
        <row r="5104">
          <cell r="X5104" t="str">
            <v/>
          </cell>
          <cell r="Y5104" t="str">
            <v/>
          </cell>
        </row>
        <row r="5105">
          <cell r="X5105" t="str">
            <v/>
          </cell>
          <cell r="Y5105" t="str">
            <v/>
          </cell>
        </row>
        <row r="5106">
          <cell r="X5106" t="str">
            <v/>
          </cell>
          <cell r="Y5106" t="str">
            <v/>
          </cell>
        </row>
        <row r="5107">
          <cell r="X5107" t="str">
            <v/>
          </cell>
          <cell r="Y5107" t="str">
            <v/>
          </cell>
        </row>
        <row r="5108">
          <cell r="X5108" t="str">
            <v/>
          </cell>
          <cell r="Y5108" t="str">
            <v/>
          </cell>
        </row>
        <row r="5109">
          <cell r="X5109" t="str">
            <v/>
          </cell>
          <cell r="Y5109" t="str">
            <v/>
          </cell>
        </row>
        <row r="5110">
          <cell r="X5110" t="str">
            <v/>
          </cell>
          <cell r="Y5110" t="str">
            <v/>
          </cell>
        </row>
        <row r="5111">
          <cell r="X5111" t="str">
            <v/>
          </cell>
          <cell r="Y5111" t="str">
            <v/>
          </cell>
        </row>
        <row r="5112">
          <cell r="X5112" t="str">
            <v/>
          </cell>
          <cell r="Y5112" t="str">
            <v/>
          </cell>
        </row>
        <row r="5113">
          <cell r="X5113" t="str">
            <v/>
          </cell>
          <cell r="Y5113" t="str">
            <v/>
          </cell>
        </row>
        <row r="5114">
          <cell r="X5114" t="str">
            <v/>
          </cell>
          <cell r="Y5114" t="str">
            <v/>
          </cell>
        </row>
        <row r="5115">
          <cell r="X5115" t="str">
            <v/>
          </cell>
          <cell r="Y5115" t="str">
            <v/>
          </cell>
        </row>
        <row r="5116">
          <cell r="X5116" t="str">
            <v/>
          </cell>
          <cell r="Y5116" t="str">
            <v/>
          </cell>
        </row>
        <row r="5117">
          <cell r="X5117" t="str">
            <v/>
          </cell>
          <cell r="Y5117" t="str">
            <v/>
          </cell>
        </row>
        <row r="5118">
          <cell r="X5118" t="str">
            <v/>
          </cell>
          <cell r="Y5118" t="str">
            <v/>
          </cell>
        </row>
        <row r="5119">
          <cell r="X5119" t="str">
            <v/>
          </cell>
          <cell r="Y5119" t="str">
            <v/>
          </cell>
        </row>
        <row r="5120">
          <cell r="X5120" t="str">
            <v/>
          </cell>
          <cell r="Y5120" t="str">
            <v/>
          </cell>
        </row>
        <row r="5121">
          <cell r="X5121" t="str">
            <v/>
          </cell>
          <cell r="Y5121" t="str">
            <v/>
          </cell>
        </row>
        <row r="5122">
          <cell r="X5122" t="str">
            <v/>
          </cell>
          <cell r="Y5122" t="str">
            <v/>
          </cell>
        </row>
        <row r="5123">
          <cell r="X5123" t="str">
            <v/>
          </cell>
          <cell r="Y5123" t="str">
            <v/>
          </cell>
        </row>
        <row r="5124">
          <cell r="X5124" t="str">
            <v/>
          </cell>
          <cell r="Y5124" t="str">
            <v/>
          </cell>
        </row>
        <row r="5125">
          <cell r="X5125" t="str">
            <v/>
          </cell>
          <cell r="Y5125" t="str">
            <v/>
          </cell>
        </row>
        <row r="5126">
          <cell r="X5126" t="str">
            <v/>
          </cell>
          <cell r="Y5126" t="str">
            <v/>
          </cell>
        </row>
        <row r="5127">
          <cell r="X5127" t="str">
            <v/>
          </cell>
          <cell r="Y5127" t="str">
            <v/>
          </cell>
        </row>
        <row r="5128">
          <cell r="X5128" t="str">
            <v/>
          </cell>
          <cell r="Y5128" t="str">
            <v/>
          </cell>
        </row>
        <row r="5129">
          <cell r="X5129" t="str">
            <v/>
          </cell>
          <cell r="Y5129" t="str">
            <v/>
          </cell>
        </row>
        <row r="5130">
          <cell r="X5130" t="str">
            <v/>
          </cell>
          <cell r="Y5130" t="str">
            <v/>
          </cell>
        </row>
        <row r="5131">
          <cell r="X5131" t="str">
            <v/>
          </cell>
          <cell r="Y5131" t="str">
            <v/>
          </cell>
        </row>
        <row r="5132">
          <cell r="X5132" t="str">
            <v/>
          </cell>
          <cell r="Y5132" t="str">
            <v/>
          </cell>
        </row>
        <row r="5133">
          <cell r="X5133" t="str">
            <v/>
          </cell>
          <cell r="Y5133" t="str">
            <v/>
          </cell>
        </row>
        <row r="5134">
          <cell r="X5134" t="str">
            <v/>
          </cell>
          <cell r="Y5134" t="str">
            <v/>
          </cell>
        </row>
        <row r="5135">
          <cell r="X5135" t="str">
            <v/>
          </cell>
          <cell r="Y5135" t="str">
            <v/>
          </cell>
        </row>
        <row r="5136">
          <cell r="X5136" t="str">
            <v/>
          </cell>
          <cell r="Y5136" t="str">
            <v/>
          </cell>
        </row>
        <row r="5137">
          <cell r="X5137" t="str">
            <v/>
          </cell>
          <cell r="Y5137" t="str">
            <v/>
          </cell>
        </row>
        <row r="5138">
          <cell r="X5138" t="str">
            <v/>
          </cell>
          <cell r="Y5138" t="str">
            <v/>
          </cell>
        </row>
        <row r="5139">
          <cell r="X5139" t="str">
            <v/>
          </cell>
          <cell r="Y5139" t="str">
            <v/>
          </cell>
        </row>
        <row r="5140">
          <cell r="X5140" t="str">
            <v/>
          </cell>
          <cell r="Y5140" t="str">
            <v/>
          </cell>
        </row>
        <row r="5141">
          <cell r="X5141" t="str">
            <v/>
          </cell>
          <cell r="Y5141" t="str">
            <v/>
          </cell>
        </row>
        <row r="5142">
          <cell r="X5142" t="str">
            <v/>
          </cell>
          <cell r="Y5142" t="str">
            <v/>
          </cell>
        </row>
        <row r="5143">
          <cell r="X5143" t="str">
            <v/>
          </cell>
          <cell r="Y5143" t="str">
            <v/>
          </cell>
        </row>
        <row r="5144">
          <cell r="X5144" t="str">
            <v/>
          </cell>
          <cell r="Y5144" t="str">
            <v/>
          </cell>
        </row>
        <row r="5145">
          <cell r="X5145" t="str">
            <v/>
          </cell>
          <cell r="Y5145" t="str">
            <v/>
          </cell>
        </row>
        <row r="5146">
          <cell r="X5146" t="str">
            <v/>
          </cell>
          <cell r="Y5146" t="str">
            <v/>
          </cell>
        </row>
        <row r="5147">
          <cell r="X5147" t="str">
            <v/>
          </cell>
          <cell r="Y5147" t="str">
            <v/>
          </cell>
        </row>
        <row r="5148">
          <cell r="X5148" t="str">
            <v/>
          </cell>
          <cell r="Y5148" t="str">
            <v/>
          </cell>
        </row>
        <row r="5149">
          <cell r="X5149" t="str">
            <v/>
          </cell>
          <cell r="Y5149" t="str">
            <v/>
          </cell>
        </row>
        <row r="5150">
          <cell r="X5150" t="str">
            <v/>
          </cell>
          <cell r="Y5150" t="str">
            <v/>
          </cell>
        </row>
        <row r="5151">
          <cell r="X5151" t="str">
            <v/>
          </cell>
          <cell r="Y5151" t="str">
            <v/>
          </cell>
        </row>
        <row r="5152">
          <cell r="X5152" t="str">
            <v/>
          </cell>
          <cell r="Y5152" t="str">
            <v/>
          </cell>
        </row>
        <row r="5153">
          <cell r="X5153" t="str">
            <v/>
          </cell>
          <cell r="Y5153" t="str">
            <v/>
          </cell>
        </row>
        <row r="5154">
          <cell r="X5154" t="str">
            <v/>
          </cell>
          <cell r="Y5154" t="str">
            <v/>
          </cell>
        </row>
        <row r="5155">
          <cell r="X5155" t="str">
            <v/>
          </cell>
          <cell r="Y5155" t="str">
            <v/>
          </cell>
        </row>
        <row r="5156">
          <cell r="X5156" t="str">
            <v/>
          </cell>
          <cell r="Y5156" t="str">
            <v/>
          </cell>
        </row>
        <row r="5157">
          <cell r="X5157" t="str">
            <v/>
          </cell>
          <cell r="Y5157" t="str">
            <v/>
          </cell>
        </row>
        <row r="5158">
          <cell r="X5158" t="str">
            <v/>
          </cell>
          <cell r="Y5158" t="str">
            <v/>
          </cell>
        </row>
        <row r="5159">
          <cell r="X5159" t="str">
            <v/>
          </cell>
          <cell r="Y5159" t="str">
            <v/>
          </cell>
        </row>
        <row r="5160">
          <cell r="X5160" t="str">
            <v/>
          </cell>
          <cell r="Y5160" t="str">
            <v/>
          </cell>
        </row>
        <row r="5161">
          <cell r="X5161" t="str">
            <v/>
          </cell>
          <cell r="Y5161" t="str">
            <v/>
          </cell>
        </row>
        <row r="5162">
          <cell r="X5162" t="str">
            <v/>
          </cell>
          <cell r="Y5162" t="str">
            <v/>
          </cell>
        </row>
        <row r="5163">
          <cell r="X5163" t="str">
            <v/>
          </cell>
          <cell r="Y5163" t="str">
            <v/>
          </cell>
        </row>
        <row r="5164">
          <cell r="X5164" t="str">
            <v/>
          </cell>
          <cell r="Y5164" t="str">
            <v/>
          </cell>
        </row>
        <row r="5165">
          <cell r="X5165" t="str">
            <v/>
          </cell>
          <cell r="Y5165" t="str">
            <v/>
          </cell>
        </row>
        <row r="5166">
          <cell r="X5166" t="str">
            <v/>
          </cell>
          <cell r="Y5166" t="str">
            <v/>
          </cell>
        </row>
        <row r="5167">
          <cell r="X5167" t="str">
            <v/>
          </cell>
          <cell r="Y5167" t="str">
            <v/>
          </cell>
        </row>
        <row r="5168">
          <cell r="X5168" t="str">
            <v/>
          </cell>
          <cell r="Y5168" t="str">
            <v/>
          </cell>
        </row>
        <row r="5169">
          <cell r="X5169" t="str">
            <v/>
          </cell>
          <cell r="Y5169" t="str">
            <v/>
          </cell>
        </row>
        <row r="5170">
          <cell r="X5170" t="str">
            <v/>
          </cell>
          <cell r="Y5170" t="str">
            <v/>
          </cell>
        </row>
        <row r="5171">
          <cell r="X5171" t="str">
            <v/>
          </cell>
          <cell r="Y5171" t="str">
            <v/>
          </cell>
        </row>
        <row r="5172">
          <cell r="X5172" t="str">
            <v/>
          </cell>
          <cell r="Y5172" t="str">
            <v/>
          </cell>
        </row>
        <row r="5173">
          <cell r="X5173" t="str">
            <v/>
          </cell>
          <cell r="Y5173" t="str">
            <v/>
          </cell>
        </row>
        <row r="5174">
          <cell r="X5174" t="str">
            <v/>
          </cell>
          <cell r="Y5174" t="str">
            <v/>
          </cell>
        </row>
        <row r="5175">
          <cell r="X5175" t="str">
            <v/>
          </cell>
          <cell r="Y5175" t="str">
            <v/>
          </cell>
        </row>
        <row r="5176">
          <cell r="X5176" t="str">
            <v/>
          </cell>
          <cell r="Y5176" t="str">
            <v/>
          </cell>
        </row>
        <row r="5177">
          <cell r="X5177" t="str">
            <v/>
          </cell>
          <cell r="Y5177" t="str">
            <v/>
          </cell>
        </row>
        <row r="5178">
          <cell r="X5178" t="str">
            <v/>
          </cell>
          <cell r="Y5178" t="str">
            <v/>
          </cell>
        </row>
        <row r="5179">
          <cell r="X5179" t="str">
            <v/>
          </cell>
          <cell r="Y5179" t="str">
            <v/>
          </cell>
        </row>
        <row r="5180">
          <cell r="X5180" t="str">
            <v/>
          </cell>
          <cell r="Y5180" t="str">
            <v/>
          </cell>
        </row>
        <row r="5181">
          <cell r="X5181" t="str">
            <v/>
          </cell>
          <cell r="Y5181" t="str">
            <v/>
          </cell>
        </row>
        <row r="5182">
          <cell r="X5182" t="str">
            <v/>
          </cell>
          <cell r="Y5182" t="str">
            <v/>
          </cell>
        </row>
        <row r="5183">
          <cell r="X5183" t="str">
            <v/>
          </cell>
          <cell r="Y5183" t="str">
            <v/>
          </cell>
        </row>
        <row r="5184">
          <cell r="X5184" t="str">
            <v/>
          </cell>
          <cell r="Y5184" t="str">
            <v/>
          </cell>
        </row>
        <row r="5185">
          <cell r="X5185" t="str">
            <v/>
          </cell>
          <cell r="Y5185" t="str">
            <v/>
          </cell>
        </row>
        <row r="5186">
          <cell r="X5186" t="str">
            <v/>
          </cell>
          <cell r="Y5186" t="str">
            <v/>
          </cell>
        </row>
        <row r="5187">
          <cell r="X5187" t="str">
            <v/>
          </cell>
          <cell r="Y5187" t="str">
            <v/>
          </cell>
        </row>
        <row r="5188">
          <cell r="X5188" t="str">
            <v/>
          </cell>
          <cell r="Y5188" t="str">
            <v/>
          </cell>
        </row>
        <row r="5189">
          <cell r="X5189" t="str">
            <v/>
          </cell>
          <cell r="Y5189" t="str">
            <v/>
          </cell>
        </row>
        <row r="5190">
          <cell r="X5190" t="str">
            <v/>
          </cell>
          <cell r="Y5190" t="str">
            <v/>
          </cell>
        </row>
        <row r="5191">
          <cell r="X5191" t="str">
            <v/>
          </cell>
          <cell r="Y5191" t="str">
            <v/>
          </cell>
        </row>
        <row r="5192">
          <cell r="X5192" t="str">
            <v/>
          </cell>
          <cell r="Y5192" t="str">
            <v/>
          </cell>
        </row>
        <row r="5193">
          <cell r="X5193" t="str">
            <v/>
          </cell>
          <cell r="Y5193" t="str">
            <v/>
          </cell>
        </row>
        <row r="5194">
          <cell r="X5194" t="str">
            <v/>
          </cell>
          <cell r="Y5194" t="str">
            <v/>
          </cell>
        </row>
        <row r="5195">
          <cell r="X5195" t="str">
            <v/>
          </cell>
          <cell r="Y5195" t="str">
            <v/>
          </cell>
        </row>
        <row r="5196">
          <cell r="X5196" t="str">
            <v/>
          </cell>
          <cell r="Y5196" t="str">
            <v/>
          </cell>
        </row>
        <row r="5197">
          <cell r="X5197" t="str">
            <v/>
          </cell>
          <cell r="Y5197" t="str">
            <v/>
          </cell>
        </row>
        <row r="5198">
          <cell r="X5198" t="str">
            <v/>
          </cell>
          <cell r="Y5198" t="str">
            <v/>
          </cell>
        </row>
        <row r="5199">
          <cell r="X5199" t="str">
            <v/>
          </cell>
          <cell r="Y5199" t="str">
            <v/>
          </cell>
        </row>
        <row r="5200">
          <cell r="X5200" t="str">
            <v/>
          </cell>
          <cell r="Y5200" t="str">
            <v/>
          </cell>
        </row>
        <row r="5201">
          <cell r="X5201" t="str">
            <v/>
          </cell>
          <cell r="Y5201" t="str">
            <v/>
          </cell>
        </row>
        <row r="5202">
          <cell r="X5202" t="str">
            <v/>
          </cell>
          <cell r="Y5202" t="str">
            <v/>
          </cell>
        </row>
        <row r="5203">
          <cell r="X5203" t="str">
            <v/>
          </cell>
          <cell r="Y5203" t="str">
            <v/>
          </cell>
        </row>
        <row r="5204">
          <cell r="X5204" t="str">
            <v/>
          </cell>
          <cell r="Y5204" t="str">
            <v/>
          </cell>
        </row>
        <row r="5205">
          <cell r="X5205" t="str">
            <v/>
          </cell>
          <cell r="Y5205" t="str">
            <v/>
          </cell>
        </row>
        <row r="5206">
          <cell r="X5206" t="str">
            <v/>
          </cell>
          <cell r="Y5206" t="str">
            <v/>
          </cell>
        </row>
        <row r="5207">
          <cell r="X5207" t="str">
            <v/>
          </cell>
          <cell r="Y5207" t="str">
            <v/>
          </cell>
        </row>
        <row r="5208">
          <cell r="X5208" t="str">
            <v/>
          </cell>
          <cell r="Y5208" t="str">
            <v/>
          </cell>
        </row>
        <row r="5209">
          <cell r="X5209" t="str">
            <v/>
          </cell>
          <cell r="Y5209" t="str">
            <v/>
          </cell>
        </row>
        <row r="5210">
          <cell r="X5210" t="str">
            <v/>
          </cell>
          <cell r="Y5210" t="str">
            <v/>
          </cell>
        </row>
        <row r="5211">
          <cell r="X5211" t="str">
            <v/>
          </cell>
          <cell r="Y5211" t="str">
            <v/>
          </cell>
        </row>
        <row r="5212">
          <cell r="X5212" t="str">
            <v/>
          </cell>
          <cell r="Y5212" t="str">
            <v/>
          </cell>
        </row>
        <row r="5213">
          <cell r="X5213" t="str">
            <v/>
          </cell>
          <cell r="Y5213" t="str">
            <v/>
          </cell>
        </row>
        <row r="5214">
          <cell r="X5214" t="str">
            <v/>
          </cell>
          <cell r="Y5214" t="str">
            <v/>
          </cell>
        </row>
        <row r="5215">
          <cell r="X5215" t="str">
            <v/>
          </cell>
          <cell r="Y5215" t="str">
            <v/>
          </cell>
        </row>
        <row r="5216">
          <cell r="X5216" t="str">
            <v/>
          </cell>
          <cell r="Y5216" t="str">
            <v/>
          </cell>
        </row>
        <row r="5217">
          <cell r="X5217" t="str">
            <v/>
          </cell>
          <cell r="Y5217" t="str">
            <v/>
          </cell>
        </row>
        <row r="5218">
          <cell r="X5218" t="str">
            <v/>
          </cell>
          <cell r="Y5218" t="str">
            <v/>
          </cell>
        </row>
        <row r="5219">
          <cell r="X5219" t="str">
            <v/>
          </cell>
          <cell r="Y5219" t="str">
            <v/>
          </cell>
        </row>
        <row r="5220">
          <cell r="X5220" t="str">
            <v/>
          </cell>
          <cell r="Y5220" t="str">
            <v/>
          </cell>
        </row>
        <row r="5221">
          <cell r="X5221" t="str">
            <v/>
          </cell>
          <cell r="Y5221" t="str">
            <v/>
          </cell>
        </row>
        <row r="5222">
          <cell r="X5222" t="str">
            <v/>
          </cell>
          <cell r="Y5222" t="str">
            <v/>
          </cell>
        </row>
        <row r="5223">
          <cell r="X5223" t="str">
            <v/>
          </cell>
          <cell r="Y5223" t="str">
            <v/>
          </cell>
        </row>
        <row r="5224">
          <cell r="X5224" t="str">
            <v/>
          </cell>
          <cell r="Y5224" t="str">
            <v/>
          </cell>
        </row>
        <row r="5225">
          <cell r="X5225" t="str">
            <v/>
          </cell>
          <cell r="Y5225" t="str">
            <v/>
          </cell>
        </row>
        <row r="5226">
          <cell r="X5226" t="str">
            <v/>
          </cell>
          <cell r="Y5226" t="str">
            <v/>
          </cell>
        </row>
        <row r="5227">
          <cell r="X5227" t="str">
            <v/>
          </cell>
          <cell r="Y5227" t="str">
            <v/>
          </cell>
        </row>
        <row r="5228">
          <cell r="X5228" t="str">
            <v/>
          </cell>
          <cell r="Y5228" t="str">
            <v/>
          </cell>
        </row>
        <row r="5229">
          <cell r="X5229" t="str">
            <v/>
          </cell>
          <cell r="Y5229" t="str">
            <v/>
          </cell>
        </row>
        <row r="5230">
          <cell r="X5230" t="str">
            <v/>
          </cell>
          <cell r="Y5230" t="str">
            <v/>
          </cell>
        </row>
        <row r="5231">
          <cell r="X5231" t="str">
            <v/>
          </cell>
          <cell r="Y5231" t="str">
            <v/>
          </cell>
        </row>
        <row r="5232">
          <cell r="X5232" t="str">
            <v/>
          </cell>
          <cell r="Y5232" t="str">
            <v/>
          </cell>
        </row>
        <row r="5233">
          <cell r="X5233" t="str">
            <v/>
          </cell>
          <cell r="Y5233" t="str">
            <v/>
          </cell>
        </row>
        <row r="5234">
          <cell r="X5234" t="str">
            <v/>
          </cell>
          <cell r="Y5234" t="str">
            <v/>
          </cell>
        </row>
        <row r="5235">
          <cell r="X5235" t="str">
            <v/>
          </cell>
          <cell r="Y5235" t="str">
            <v/>
          </cell>
        </row>
        <row r="5236">
          <cell r="X5236" t="str">
            <v/>
          </cell>
          <cell r="Y5236" t="str">
            <v/>
          </cell>
        </row>
        <row r="5237">
          <cell r="X5237" t="str">
            <v/>
          </cell>
          <cell r="Y5237" t="str">
            <v/>
          </cell>
        </row>
        <row r="5238">
          <cell r="X5238" t="str">
            <v/>
          </cell>
          <cell r="Y5238" t="str">
            <v/>
          </cell>
        </row>
        <row r="5239">
          <cell r="X5239" t="str">
            <v/>
          </cell>
          <cell r="Y5239" t="str">
            <v/>
          </cell>
        </row>
        <row r="5240">
          <cell r="X5240" t="str">
            <v/>
          </cell>
          <cell r="Y5240" t="str">
            <v/>
          </cell>
        </row>
        <row r="5241">
          <cell r="X5241" t="str">
            <v/>
          </cell>
          <cell r="Y5241" t="str">
            <v/>
          </cell>
        </row>
        <row r="5242">
          <cell r="X5242" t="str">
            <v/>
          </cell>
          <cell r="Y5242" t="str">
            <v/>
          </cell>
        </row>
        <row r="5243">
          <cell r="X5243" t="str">
            <v/>
          </cell>
          <cell r="Y5243" t="str">
            <v/>
          </cell>
        </row>
        <row r="5244">
          <cell r="X5244" t="str">
            <v/>
          </cell>
          <cell r="Y5244" t="str">
            <v/>
          </cell>
        </row>
        <row r="5245">
          <cell r="X5245" t="str">
            <v/>
          </cell>
          <cell r="Y5245" t="str">
            <v/>
          </cell>
        </row>
        <row r="5246">
          <cell r="X5246" t="str">
            <v/>
          </cell>
          <cell r="Y5246" t="str">
            <v/>
          </cell>
        </row>
        <row r="5247">
          <cell r="X5247" t="str">
            <v/>
          </cell>
          <cell r="Y5247" t="str">
            <v/>
          </cell>
        </row>
        <row r="5248">
          <cell r="X5248" t="str">
            <v/>
          </cell>
          <cell r="Y5248" t="str">
            <v/>
          </cell>
        </row>
        <row r="5249">
          <cell r="X5249" t="str">
            <v/>
          </cell>
          <cell r="Y5249" t="str">
            <v/>
          </cell>
        </row>
        <row r="5250">
          <cell r="X5250" t="str">
            <v/>
          </cell>
          <cell r="Y5250" t="str">
            <v/>
          </cell>
        </row>
        <row r="5251">
          <cell r="X5251" t="str">
            <v/>
          </cell>
          <cell r="Y5251" t="str">
            <v/>
          </cell>
        </row>
        <row r="5252">
          <cell r="X5252" t="str">
            <v/>
          </cell>
          <cell r="Y5252" t="str">
            <v/>
          </cell>
        </row>
        <row r="5253">
          <cell r="X5253" t="str">
            <v/>
          </cell>
          <cell r="Y5253" t="str">
            <v/>
          </cell>
        </row>
        <row r="5254">
          <cell r="X5254" t="str">
            <v/>
          </cell>
          <cell r="Y5254" t="str">
            <v/>
          </cell>
        </row>
        <row r="5255">
          <cell r="X5255" t="str">
            <v/>
          </cell>
          <cell r="Y5255" t="str">
            <v/>
          </cell>
        </row>
        <row r="5256">
          <cell r="X5256" t="str">
            <v/>
          </cell>
          <cell r="Y5256" t="str">
            <v/>
          </cell>
        </row>
        <row r="5257">
          <cell r="X5257" t="str">
            <v/>
          </cell>
          <cell r="Y5257" t="str">
            <v/>
          </cell>
        </row>
        <row r="5258">
          <cell r="X5258" t="str">
            <v/>
          </cell>
          <cell r="Y5258" t="str">
            <v/>
          </cell>
        </row>
        <row r="5259">
          <cell r="X5259" t="str">
            <v/>
          </cell>
          <cell r="Y5259" t="str">
            <v/>
          </cell>
        </row>
        <row r="5260">
          <cell r="X5260" t="str">
            <v/>
          </cell>
          <cell r="Y5260" t="str">
            <v/>
          </cell>
        </row>
        <row r="5261">
          <cell r="X5261" t="str">
            <v/>
          </cell>
          <cell r="Y5261" t="str">
            <v/>
          </cell>
        </row>
        <row r="5262">
          <cell r="X5262" t="str">
            <v/>
          </cell>
          <cell r="Y5262" t="str">
            <v/>
          </cell>
        </row>
        <row r="5263">
          <cell r="X5263" t="str">
            <v/>
          </cell>
          <cell r="Y5263" t="str">
            <v/>
          </cell>
        </row>
        <row r="5264">
          <cell r="X5264" t="str">
            <v/>
          </cell>
          <cell r="Y5264" t="str">
            <v/>
          </cell>
        </row>
        <row r="5265">
          <cell r="X5265" t="str">
            <v/>
          </cell>
          <cell r="Y5265" t="str">
            <v/>
          </cell>
        </row>
        <row r="5266">
          <cell r="X5266" t="str">
            <v/>
          </cell>
          <cell r="Y5266" t="str">
            <v/>
          </cell>
        </row>
        <row r="5267">
          <cell r="X5267" t="str">
            <v/>
          </cell>
          <cell r="Y5267" t="str">
            <v/>
          </cell>
        </row>
        <row r="5268">
          <cell r="X5268" t="str">
            <v/>
          </cell>
          <cell r="Y5268" t="str">
            <v/>
          </cell>
        </row>
        <row r="5269">
          <cell r="X5269" t="str">
            <v/>
          </cell>
          <cell r="Y5269" t="str">
            <v/>
          </cell>
        </row>
        <row r="5270">
          <cell r="X5270" t="str">
            <v/>
          </cell>
          <cell r="Y5270" t="str">
            <v/>
          </cell>
        </row>
        <row r="5271">
          <cell r="X5271" t="str">
            <v/>
          </cell>
          <cell r="Y5271" t="str">
            <v/>
          </cell>
        </row>
        <row r="5272">
          <cell r="X5272" t="str">
            <v/>
          </cell>
          <cell r="Y5272" t="str">
            <v/>
          </cell>
        </row>
        <row r="5273">
          <cell r="X5273" t="str">
            <v/>
          </cell>
          <cell r="Y5273" t="str">
            <v/>
          </cell>
        </row>
        <row r="5274">
          <cell r="X5274" t="str">
            <v/>
          </cell>
          <cell r="Y5274" t="str">
            <v/>
          </cell>
        </row>
        <row r="5275">
          <cell r="X5275" t="str">
            <v/>
          </cell>
          <cell r="Y5275" t="str">
            <v/>
          </cell>
        </row>
        <row r="5276">
          <cell r="X5276" t="str">
            <v/>
          </cell>
          <cell r="Y5276" t="str">
            <v/>
          </cell>
        </row>
        <row r="5277">
          <cell r="X5277" t="str">
            <v/>
          </cell>
          <cell r="Y5277" t="str">
            <v/>
          </cell>
        </row>
        <row r="5278">
          <cell r="X5278" t="str">
            <v/>
          </cell>
          <cell r="Y5278" t="str">
            <v/>
          </cell>
        </row>
        <row r="5279">
          <cell r="X5279" t="str">
            <v/>
          </cell>
          <cell r="Y5279" t="str">
            <v/>
          </cell>
        </row>
        <row r="5280">
          <cell r="X5280" t="str">
            <v/>
          </cell>
          <cell r="Y5280" t="str">
            <v/>
          </cell>
        </row>
        <row r="5281">
          <cell r="X5281" t="str">
            <v/>
          </cell>
          <cell r="Y5281" t="str">
            <v/>
          </cell>
        </row>
        <row r="5282">
          <cell r="X5282" t="str">
            <v/>
          </cell>
          <cell r="Y5282" t="str">
            <v/>
          </cell>
        </row>
        <row r="5283">
          <cell r="X5283" t="str">
            <v/>
          </cell>
          <cell r="Y5283" t="str">
            <v/>
          </cell>
        </row>
        <row r="5284">
          <cell r="X5284" t="str">
            <v/>
          </cell>
          <cell r="Y5284" t="str">
            <v/>
          </cell>
        </row>
        <row r="5285">
          <cell r="X5285" t="str">
            <v/>
          </cell>
          <cell r="Y5285" t="str">
            <v/>
          </cell>
        </row>
        <row r="5286">
          <cell r="X5286" t="str">
            <v/>
          </cell>
          <cell r="Y5286" t="str">
            <v/>
          </cell>
        </row>
        <row r="5287">
          <cell r="X5287" t="str">
            <v/>
          </cell>
          <cell r="Y5287" t="str">
            <v/>
          </cell>
        </row>
        <row r="5288">
          <cell r="X5288" t="str">
            <v/>
          </cell>
          <cell r="Y5288" t="str">
            <v/>
          </cell>
        </row>
        <row r="5289">
          <cell r="X5289" t="str">
            <v/>
          </cell>
          <cell r="Y5289" t="str">
            <v/>
          </cell>
        </row>
        <row r="5290">
          <cell r="X5290" t="str">
            <v/>
          </cell>
          <cell r="Y5290" t="str">
            <v/>
          </cell>
        </row>
        <row r="5291">
          <cell r="X5291" t="str">
            <v/>
          </cell>
          <cell r="Y5291" t="str">
            <v/>
          </cell>
        </row>
        <row r="5292">
          <cell r="X5292" t="str">
            <v/>
          </cell>
          <cell r="Y5292" t="str">
            <v/>
          </cell>
        </row>
        <row r="5293">
          <cell r="X5293" t="str">
            <v/>
          </cell>
          <cell r="Y5293" t="str">
            <v/>
          </cell>
        </row>
        <row r="5294">
          <cell r="X5294" t="str">
            <v/>
          </cell>
          <cell r="Y5294" t="str">
            <v/>
          </cell>
        </row>
        <row r="5295">
          <cell r="X5295" t="str">
            <v/>
          </cell>
          <cell r="Y5295" t="str">
            <v/>
          </cell>
        </row>
        <row r="5296">
          <cell r="X5296" t="str">
            <v/>
          </cell>
          <cell r="Y5296" t="str">
            <v/>
          </cell>
        </row>
        <row r="5297">
          <cell r="X5297" t="str">
            <v/>
          </cell>
          <cell r="Y5297" t="str">
            <v/>
          </cell>
        </row>
        <row r="5298">
          <cell r="X5298" t="str">
            <v/>
          </cell>
          <cell r="Y5298" t="str">
            <v/>
          </cell>
        </row>
        <row r="5299">
          <cell r="X5299" t="str">
            <v/>
          </cell>
          <cell r="Y5299" t="str">
            <v/>
          </cell>
        </row>
        <row r="5300">
          <cell r="X5300" t="str">
            <v/>
          </cell>
          <cell r="Y5300" t="str">
            <v/>
          </cell>
        </row>
        <row r="5301">
          <cell r="X5301" t="str">
            <v/>
          </cell>
          <cell r="Y5301" t="str">
            <v/>
          </cell>
        </row>
        <row r="5302">
          <cell r="X5302" t="str">
            <v/>
          </cell>
          <cell r="Y5302" t="str">
            <v/>
          </cell>
        </row>
        <row r="5303">
          <cell r="X5303" t="str">
            <v/>
          </cell>
          <cell r="Y5303" t="str">
            <v/>
          </cell>
        </row>
        <row r="5304">
          <cell r="X5304" t="str">
            <v/>
          </cell>
          <cell r="Y5304" t="str">
            <v/>
          </cell>
        </row>
        <row r="5305">
          <cell r="X5305" t="str">
            <v/>
          </cell>
          <cell r="Y5305" t="str">
            <v/>
          </cell>
        </row>
        <row r="5306">
          <cell r="X5306" t="str">
            <v/>
          </cell>
          <cell r="Y5306" t="str">
            <v/>
          </cell>
        </row>
        <row r="5307">
          <cell r="X5307" t="str">
            <v/>
          </cell>
          <cell r="Y5307" t="str">
            <v/>
          </cell>
        </row>
        <row r="5308">
          <cell r="X5308" t="str">
            <v/>
          </cell>
          <cell r="Y5308" t="str">
            <v/>
          </cell>
        </row>
        <row r="5309">
          <cell r="X5309" t="str">
            <v/>
          </cell>
          <cell r="Y5309" t="str">
            <v/>
          </cell>
        </row>
        <row r="5310">
          <cell r="X5310" t="str">
            <v/>
          </cell>
          <cell r="Y5310" t="str">
            <v/>
          </cell>
        </row>
        <row r="5311">
          <cell r="X5311" t="str">
            <v/>
          </cell>
          <cell r="Y5311" t="str">
            <v/>
          </cell>
        </row>
        <row r="5312">
          <cell r="X5312" t="str">
            <v/>
          </cell>
          <cell r="Y5312" t="str">
            <v/>
          </cell>
        </row>
        <row r="5313">
          <cell r="X5313" t="str">
            <v/>
          </cell>
          <cell r="Y5313" t="str">
            <v/>
          </cell>
        </row>
        <row r="5314">
          <cell r="X5314" t="str">
            <v/>
          </cell>
          <cell r="Y5314" t="str">
            <v/>
          </cell>
        </row>
        <row r="5315">
          <cell r="X5315" t="str">
            <v/>
          </cell>
          <cell r="Y5315" t="str">
            <v/>
          </cell>
        </row>
        <row r="5316">
          <cell r="X5316" t="str">
            <v/>
          </cell>
          <cell r="Y5316" t="str">
            <v/>
          </cell>
        </row>
        <row r="5317">
          <cell r="X5317" t="str">
            <v/>
          </cell>
          <cell r="Y5317" t="str">
            <v/>
          </cell>
        </row>
        <row r="5318">
          <cell r="X5318" t="str">
            <v/>
          </cell>
          <cell r="Y5318" t="str">
            <v/>
          </cell>
        </row>
        <row r="5319">
          <cell r="X5319" t="str">
            <v/>
          </cell>
          <cell r="Y5319" t="str">
            <v/>
          </cell>
        </row>
        <row r="5320">
          <cell r="X5320" t="str">
            <v/>
          </cell>
          <cell r="Y5320" t="str">
            <v/>
          </cell>
        </row>
        <row r="5321">
          <cell r="X5321" t="str">
            <v/>
          </cell>
          <cell r="Y5321" t="str">
            <v/>
          </cell>
        </row>
        <row r="5322">
          <cell r="X5322" t="str">
            <v/>
          </cell>
          <cell r="Y5322" t="str">
            <v/>
          </cell>
        </row>
        <row r="5323">
          <cell r="X5323" t="str">
            <v/>
          </cell>
          <cell r="Y5323" t="str">
            <v/>
          </cell>
        </row>
        <row r="5324">
          <cell r="X5324" t="str">
            <v/>
          </cell>
          <cell r="Y5324" t="str">
            <v/>
          </cell>
        </row>
        <row r="5325">
          <cell r="X5325" t="str">
            <v/>
          </cell>
          <cell r="Y5325" t="str">
            <v/>
          </cell>
        </row>
        <row r="5326">
          <cell r="X5326" t="str">
            <v/>
          </cell>
          <cell r="Y5326" t="str">
            <v/>
          </cell>
        </row>
        <row r="5327">
          <cell r="X5327" t="str">
            <v/>
          </cell>
          <cell r="Y5327" t="str">
            <v/>
          </cell>
        </row>
        <row r="5328">
          <cell r="X5328" t="str">
            <v/>
          </cell>
          <cell r="Y5328" t="str">
            <v/>
          </cell>
        </row>
        <row r="5329">
          <cell r="X5329" t="str">
            <v/>
          </cell>
          <cell r="Y5329" t="str">
            <v/>
          </cell>
        </row>
        <row r="5330">
          <cell r="X5330" t="str">
            <v/>
          </cell>
          <cell r="Y5330" t="str">
            <v/>
          </cell>
        </row>
        <row r="5331">
          <cell r="X5331" t="str">
            <v/>
          </cell>
          <cell r="Y5331" t="str">
            <v/>
          </cell>
        </row>
        <row r="5332">
          <cell r="X5332" t="str">
            <v/>
          </cell>
          <cell r="Y5332" t="str">
            <v/>
          </cell>
        </row>
        <row r="5333">
          <cell r="X5333" t="str">
            <v/>
          </cell>
          <cell r="Y5333" t="str">
            <v/>
          </cell>
        </row>
        <row r="5334">
          <cell r="X5334" t="str">
            <v/>
          </cell>
          <cell r="Y5334" t="str">
            <v/>
          </cell>
        </row>
        <row r="5335">
          <cell r="X5335" t="str">
            <v/>
          </cell>
          <cell r="Y5335" t="str">
            <v/>
          </cell>
        </row>
        <row r="5336">
          <cell r="X5336" t="str">
            <v/>
          </cell>
          <cell r="Y5336" t="str">
            <v/>
          </cell>
        </row>
        <row r="5337">
          <cell r="X5337" t="str">
            <v/>
          </cell>
          <cell r="Y5337" t="str">
            <v/>
          </cell>
        </row>
        <row r="5338">
          <cell r="X5338" t="str">
            <v/>
          </cell>
          <cell r="Y5338" t="str">
            <v/>
          </cell>
        </row>
        <row r="5339">
          <cell r="X5339" t="str">
            <v/>
          </cell>
          <cell r="Y5339" t="str">
            <v/>
          </cell>
        </row>
        <row r="5340">
          <cell r="X5340" t="str">
            <v/>
          </cell>
          <cell r="Y5340" t="str">
            <v/>
          </cell>
        </row>
        <row r="5341">
          <cell r="X5341" t="str">
            <v/>
          </cell>
          <cell r="Y5341" t="str">
            <v/>
          </cell>
        </row>
        <row r="5342">
          <cell r="X5342" t="str">
            <v/>
          </cell>
          <cell r="Y5342" t="str">
            <v/>
          </cell>
        </row>
        <row r="5343">
          <cell r="X5343" t="str">
            <v/>
          </cell>
          <cell r="Y5343" t="str">
            <v/>
          </cell>
        </row>
        <row r="5344">
          <cell r="X5344" t="str">
            <v/>
          </cell>
          <cell r="Y5344" t="str">
            <v/>
          </cell>
        </row>
        <row r="5345">
          <cell r="X5345" t="str">
            <v/>
          </cell>
          <cell r="Y5345" t="str">
            <v/>
          </cell>
        </row>
        <row r="5346">
          <cell r="X5346" t="str">
            <v/>
          </cell>
          <cell r="Y5346" t="str">
            <v/>
          </cell>
        </row>
        <row r="5347">
          <cell r="X5347" t="str">
            <v/>
          </cell>
          <cell r="Y5347" t="str">
            <v/>
          </cell>
        </row>
        <row r="5348">
          <cell r="X5348" t="str">
            <v/>
          </cell>
          <cell r="Y5348" t="str">
            <v/>
          </cell>
        </row>
        <row r="5349">
          <cell r="X5349" t="str">
            <v/>
          </cell>
          <cell r="Y5349" t="str">
            <v/>
          </cell>
        </row>
        <row r="5350">
          <cell r="X5350" t="str">
            <v/>
          </cell>
          <cell r="Y5350" t="str">
            <v/>
          </cell>
        </row>
        <row r="5351">
          <cell r="X5351" t="str">
            <v/>
          </cell>
          <cell r="Y5351" t="str">
            <v/>
          </cell>
        </row>
        <row r="5352">
          <cell r="X5352" t="str">
            <v/>
          </cell>
          <cell r="Y5352" t="str">
            <v/>
          </cell>
        </row>
        <row r="5353">
          <cell r="X5353" t="str">
            <v/>
          </cell>
          <cell r="Y5353" t="str">
            <v/>
          </cell>
        </row>
        <row r="5354">
          <cell r="X5354" t="str">
            <v/>
          </cell>
          <cell r="Y5354" t="str">
            <v/>
          </cell>
        </row>
        <row r="5355">
          <cell r="X5355" t="str">
            <v/>
          </cell>
          <cell r="Y5355" t="str">
            <v/>
          </cell>
        </row>
        <row r="5356">
          <cell r="X5356" t="str">
            <v/>
          </cell>
          <cell r="Y5356" t="str">
            <v/>
          </cell>
        </row>
        <row r="5357">
          <cell r="X5357" t="str">
            <v/>
          </cell>
          <cell r="Y5357" t="str">
            <v/>
          </cell>
        </row>
        <row r="5358">
          <cell r="X5358" t="str">
            <v/>
          </cell>
          <cell r="Y5358" t="str">
            <v/>
          </cell>
        </row>
        <row r="5359">
          <cell r="X5359" t="str">
            <v/>
          </cell>
          <cell r="Y5359" t="str">
            <v/>
          </cell>
        </row>
        <row r="5360">
          <cell r="X5360" t="str">
            <v/>
          </cell>
          <cell r="Y5360" t="str">
            <v/>
          </cell>
        </row>
        <row r="5361">
          <cell r="X5361" t="str">
            <v/>
          </cell>
          <cell r="Y5361" t="str">
            <v/>
          </cell>
        </row>
        <row r="5362">
          <cell r="X5362" t="str">
            <v/>
          </cell>
          <cell r="Y5362" t="str">
            <v/>
          </cell>
        </row>
        <row r="5363">
          <cell r="X5363" t="str">
            <v/>
          </cell>
          <cell r="Y5363" t="str">
            <v/>
          </cell>
        </row>
        <row r="5364">
          <cell r="X5364" t="str">
            <v/>
          </cell>
          <cell r="Y5364" t="str">
            <v/>
          </cell>
        </row>
        <row r="5365">
          <cell r="X5365" t="str">
            <v/>
          </cell>
          <cell r="Y5365" t="str">
            <v/>
          </cell>
        </row>
        <row r="5366">
          <cell r="X5366" t="str">
            <v/>
          </cell>
          <cell r="Y5366" t="str">
            <v/>
          </cell>
        </row>
        <row r="5367">
          <cell r="X5367" t="str">
            <v/>
          </cell>
          <cell r="Y5367" t="str">
            <v/>
          </cell>
        </row>
        <row r="5368">
          <cell r="X5368" t="str">
            <v/>
          </cell>
          <cell r="Y5368" t="str">
            <v/>
          </cell>
        </row>
        <row r="5369">
          <cell r="X5369" t="str">
            <v/>
          </cell>
          <cell r="Y5369" t="str">
            <v/>
          </cell>
        </row>
        <row r="5370">
          <cell r="X5370" t="str">
            <v/>
          </cell>
          <cell r="Y5370" t="str">
            <v/>
          </cell>
        </row>
        <row r="5371">
          <cell r="X5371" t="str">
            <v/>
          </cell>
          <cell r="Y5371" t="str">
            <v/>
          </cell>
        </row>
        <row r="5372">
          <cell r="X5372" t="str">
            <v/>
          </cell>
          <cell r="Y5372" t="str">
            <v/>
          </cell>
        </row>
        <row r="5373">
          <cell r="X5373" t="str">
            <v/>
          </cell>
          <cell r="Y5373" t="str">
            <v/>
          </cell>
        </row>
        <row r="5374">
          <cell r="X5374" t="str">
            <v/>
          </cell>
          <cell r="Y5374" t="str">
            <v/>
          </cell>
        </row>
        <row r="5375">
          <cell r="X5375" t="str">
            <v/>
          </cell>
          <cell r="Y5375" t="str">
            <v/>
          </cell>
        </row>
        <row r="5376">
          <cell r="X5376" t="str">
            <v/>
          </cell>
          <cell r="Y5376" t="str">
            <v/>
          </cell>
        </row>
        <row r="5377">
          <cell r="X5377" t="str">
            <v/>
          </cell>
          <cell r="Y5377" t="str">
            <v/>
          </cell>
        </row>
        <row r="5378">
          <cell r="X5378" t="str">
            <v/>
          </cell>
          <cell r="Y5378" t="str">
            <v/>
          </cell>
        </row>
        <row r="5379">
          <cell r="X5379" t="str">
            <v/>
          </cell>
          <cell r="Y5379" t="str">
            <v/>
          </cell>
        </row>
        <row r="5380">
          <cell r="X5380" t="str">
            <v/>
          </cell>
          <cell r="Y5380" t="str">
            <v/>
          </cell>
        </row>
        <row r="5381">
          <cell r="X5381" t="str">
            <v/>
          </cell>
          <cell r="Y5381" t="str">
            <v/>
          </cell>
        </row>
        <row r="5382">
          <cell r="X5382" t="str">
            <v/>
          </cell>
          <cell r="Y5382" t="str">
            <v/>
          </cell>
        </row>
        <row r="5383">
          <cell r="X5383" t="str">
            <v/>
          </cell>
          <cell r="Y5383" t="str">
            <v/>
          </cell>
        </row>
        <row r="5384">
          <cell r="X5384" t="str">
            <v/>
          </cell>
          <cell r="Y5384" t="str">
            <v/>
          </cell>
        </row>
        <row r="5385">
          <cell r="X5385" t="str">
            <v/>
          </cell>
          <cell r="Y5385" t="str">
            <v/>
          </cell>
        </row>
        <row r="5386">
          <cell r="X5386" t="str">
            <v/>
          </cell>
          <cell r="Y5386" t="str">
            <v/>
          </cell>
        </row>
        <row r="5387">
          <cell r="X5387" t="str">
            <v/>
          </cell>
          <cell r="Y5387" t="str">
            <v/>
          </cell>
        </row>
        <row r="5388">
          <cell r="X5388" t="str">
            <v/>
          </cell>
          <cell r="Y5388" t="str">
            <v/>
          </cell>
        </row>
        <row r="5389">
          <cell r="X5389" t="str">
            <v/>
          </cell>
          <cell r="Y5389" t="str">
            <v/>
          </cell>
        </row>
        <row r="5390">
          <cell r="X5390" t="str">
            <v/>
          </cell>
          <cell r="Y5390" t="str">
            <v/>
          </cell>
        </row>
        <row r="5391">
          <cell r="X5391" t="str">
            <v/>
          </cell>
          <cell r="Y5391" t="str">
            <v/>
          </cell>
        </row>
        <row r="5392">
          <cell r="X5392" t="str">
            <v/>
          </cell>
          <cell r="Y5392" t="str">
            <v/>
          </cell>
        </row>
        <row r="5393">
          <cell r="X5393" t="str">
            <v/>
          </cell>
          <cell r="Y5393" t="str">
            <v/>
          </cell>
        </row>
        <row r="5394">
          <cell r="X5394" t="str">
            <v/>
          </cell>
          <cell r="Y5394" t="str">
            <v/>
          </cell>
        </row>
        <row r="5395">
          <cell r="X5395" t="str">
            <v/>
          </cell>
          <cell r="Y5395" t="str">
            <v/>
          </cell>
        </row>
        <row r="5396">
          <cell r="X5396" t="str">
            <v/>
          </cell>
          <cell r="Y5396" t="str">
            <v/>
          </cell>
        </row>
        <row r="5397">
          <cell r="X5397" t="str">
            <v/>
          </cell>
          <cell r="Y5397" t="str">
            <v/>
          </cell>
        </row>
        <row r="5398">
          <cell r="X5398" t="str">
            <v/>
          </cell>
          <cell r="Y5398" t="str">
            <v/>
          </cell>
        </row>
        <row r="5399">
          <cell r="X5399" t="str">
            <v/>
          </cell>
          <cell r="Y5399" t="str">
            <v/>
          </cell>
        </row>
        <row r="5400">
          <cell r="X5400" t="str">
            <v/>
          </cell>
          <cell r="Y5400" t="str">
            <v/>
          </cell>
        </row>
        <row r="5401">
          <cell r="X5401" t="str">
            <v/>
          </cell>
          <cell r="Y5401" t="str">
            <v/>
          </cell>
        </row>
        <row r="5402">
          <cell r="X5402" t="str">
            <v/>
          </cell>
          <cell r="Y5402" t="str">
            <v/>
          </cell>
        </row>
        <row r="5403">
          <cell r="X5403" t="str">
            <v/>
          </cell>
          <cell r="Y5403" t="str">
            <v/>
          </cell>
        </row>
        <row r="5404">
          <cell r="X5404" t="str">
            <v/>
          </cell>
          <cell r="Y5404" t="str">
            <v/>
          </cell>
        </row>
        <row r="5405">
          <cell r="X5405" t="str">
            <v/>
          </cell>
          <cell r="Y5405" t="str">
            <v/>
          </cell>
        </row>
        <row r="5406">
          <cell r="X5406" t="str">
            <v/>
          </cell>
          <cell r="Y5406" t="str">
            <v/>
          </cell>
        </row>
        <row r="5407">
          <cell r="X5407" t="str">
            <v/>
          </cell>
          <cell r="Y5407" t="str">
            <v/>
          </cell>
        </row>
        <row r="5408">
          <cell r="X5408" t="str">
            <v/>
          </cell>
          <cell r="Y5408" t="str">
            <v/>
          </cell>
        </row>
        <row r="5409">
          <cell r="X5409" t="str">
            <v/>
          </cell>
          <cell r="Y5409" t="str">
            <v/>
          </cell>
        </row>
        <row r="5410">
          <cell r="X5410" t="str">
            <v/>
          </cell>
          <cell r="Y5410" t="str">
            <v/>
          </cell>
        </row>
        <row r="5411">
          <cell r="X5411" t="str">
            <v/>
          </cell>
          <cell r="Y5411" t="str">
            <v/>
          </cell>
        </row>
        <row r="5412">
          <cell r="X5412" t="str">
            <v/>
          </cell>
          <cell r="Y5412" t="str">
            <v/>
          </cell>
        </row>
        <row r="5413">
          <cell r="X5413" t="str">
            <v/>
          </cell>
          <cell r="Y5413" t="str">
            <v/>
          </cell>
        </row>
        <row r="5414">
          <cell r="X5414" t="str">
            <v/>
          </cell>
          <cell r="Y5414" t="str">
            <v/>
          </cell>
        </row>
        <row r="5415">
          <cell r="X5415" t="str">
            <v/>
          </cell>
          <cell r="Y5415" t="str">
            <v/>
          </cell>
        </row>
        <row r="5416">
          <cell r="X5416" t="str">
            <v/>
          </cell>
          <cell r="Y5416" t="str">
            <v/>
          </cell>
        </row>
        <row r="5417">
          <cell r="X5417" t="str">
            <v/>
          </cell>
          <cell r="Y5417" t="str">
            <v/>
          </cell>
        </row>
        <row r="5418">
          <cell r="X5418" t="str">
            <v/>
          </cell>
          <cell r="Y5418" t="str">
            <v/>
          </cell>
        </row>
        <row r="5419">
          <cell r="X5419" t="str">
            <v/>
          </cell>
          <cell r="Y5419" t="str">
            <v/>
          </cell>
        </row>
        <row r="5420">
          <cell r="X5420" t="str">
            <v/>
          </cell>
          <cell r="Y5420" t="str">
            <v/>
          </cell>
        </row>
        <row r="5421">
          <cell r="X5421" t="str">
            <v/>
          </cell>
          <cell r="Y5421" t="str">
            <v/>
          </cell>
        </row>
        <row r="5422">
          <cell r="X5422" t="str">
            <v/>
          </cell>
          <cell r="Y5422" t="str">
            <v/>
          </cell>
        </row>
        <row r="5423">
          <cell r="X5423" t="str">
            <v/>
          </cell>
          <cell r="Y5423" t="str">
            <v/>
          </cell>
        </row>
        <row r="5424">
          <cell r="X5424" t="str">
            <v/>
          </cell>
          <cell r="Y5424" t="str">
            <v/>
          </cell>
        </row>
        <row r="5425">
          <cell r="X5425" t="str">
            <v/>
          </cell>
          <cell r="Y5425" t="str">
            <v/>
          </cell>
        </row>
        <row r="5426">
          <cell r="X5426" t="str">
            <v/>
          </cell>
          <cell r="Y5426" t="str">
            <v/>
          </cell>
        </row>
        <row r="5427">
          <cell r="X5427" t="str">
            <v/>
          </cell>
          <cell r="Y5427" t="str">
            <v/>
          </cell>
        </row>
        <row r="5428">
          <cell r="X5428" t="str">
            <v/>
          </cell>
          <cell r="Y5428" t="str">
            <v/>
          </cell>
        </row>
        <row r="5429">
          <cell r="X5429" t="str">
            <v/>
          </cell>
          <cell r="Y5429" t="str">
            <v/>
          </cell>
        </row>
        <row r="5430">
          <cell r="X5430" t="str">
            <v/>
          </cell>
          <cell r="Y5430" t="str">
            <v/>
          </cell>
        </row>
        <row r="5431">
          <cell r="X5431" t="str">
            <v/>
          </cell>
          <cell r="Y5431" t="str">
            <v/>
          </cell>
        </row>
        <row r="5432">
          <cell r="X5432" t="str">
            <v/>
          </cell>
          <cell r="Y5432" t="str">
            <v/>
          </cell>
        </row>
        <row r="5433">
          <cell r="X5433" t="str">
            <v/>
          </cell>
          <cell r="Y5433" t="str">
            <v/>
          </cell>
        </row>
        <row r="5434">
          <cell r="X5434" t="str">
            <v/>
          </cell>
          <cell r="Y5434" t="str">
            <v/>
          </cell>
        </row>
        <row r="5435">
          <cell r="X5435" t="str">
            <v/>
          </cell>
          <cell r="Y5435" t="str">
            <v/>
          </cell>
        </row>
        <row r="5436">
          <cell r="X5436" t="str">
            <v/>
          </cell>
          <cell r="Y5436" t="str">
            <v/>
          </cell>
        </row>
        <row r="5437">
          <cell r="X5437" t="str">
            <v/>
          </cell>
          <cell r="Y5437" t="str">
            <v/>
          </cell>
        </row>
        <row r="5438">
          <cell r="X5438" t="str">
            <v/>
          </cell>
          <cell r="Y5438" t="str">
            <v/>
          </cell>
        </row>
        <row r="5439">
          <cell r="X5439" t="str">
            <v/>
          </cell>
          <cell r="Y5439" t="str">
            <v/>
          </cell>
        </row>
        <row r="5440">
          <cell r="X5440" t="str">
            <v/>
          </cell>
          <cell r="Y5440" t="str">
            <v/>
          </cell>
        </row>
        <row r="5441">
          <cell r="X5441" t="str">
            <v/>
          </cell>
          <cell r="Y5441" t="str">
            <v/>
          </cell>
        </row>
        <row r="5442">
          <cell r="X5442" t="str">
            <v/>
          </cell>
          <cell r="Y5442" t="str">
            <v/>
          </cell>
        </row>
        <row r="5443">
          <cell r="X5443" t="str">
            <v/>
          </cell>
          <cell r="Y5443" t="str">
            <v/>
          </cell>
        </row>
        <row r="5444">
          <cell r="X5444" t="str">
            <v/>
          </cell>
          <cell r="Y5444" t="str">
            <v/>
          </cell>
        </row>
        <row r="5445">
          <cell r="X5445" t="str">
            <v/>
          </cell>
          <cell r="Y5445" t="str">
            <v/>
          </cell>
        </row>
        <row r="5446">
          <cell r="X5446" t="str">
            <v/>
          </cell>
          <cell r="Y5446" t="str">
            <v/>
          </cell>
        </row>
        <row r="5447">
          <cell r="X5447" t="str">
            <v/>
          </cell>
          <cell r="Y5447" t="str">
            <v/>
          </cell>
        </row>
        <row r="5448">
          <cell r="X5448" t="str">
            <v/>
          </cell>
          <cell r="Y5448" t="str">
            <v/>
          </cell>
        </row>
        <row r="5449">
          <cell r="X5449" t="str">
            <v/>
          </cell>
          <cell r="Y5449" t="str">
            <v/>
          </cell>
        </row>
        <row r="5450">
          <cell r="X5450" t="str">
            <v/>
          </cell>
          <cell r="Y5450" t="str">
            <v/>
          </cell>
        </row>
        <row r="5451">
          <cell r="X5451" t="str">
            <v/>
          </cell>
          <cell r="Y5451" t="str">
            <v/>
          </cell>
        </row>
        <row r="5452">
          <cell r="X5452" t="str">
            <v/>
          </cell>
          <cell r="Y5452" t="str">
            <v/>
          </cell>
        </row>
        <row r="5453">
          <cell r="X5453" t="str">
            <v/>
          </cell>
          <cell r="Y5453" t="str">
            <v/>
          </cell>
        </row>
        <row r="5454">
          <cell r="X5454" t="str">
            <v/>
          </cell>
          <cell r="Y5454" t="str">
            <v/>
          </cell>
        </row>
        <row r="5455">
          <cell r="X5455" t="str">
            <v/>
          </cell>
          <cell r="Y5455" t="str">
            <v/>
          </cell>
        </row>
        <row r="5456">
          <cell r="X5456" t="str">
            <v/>
          </cell>
          <cell r="Y5456" t="str">
            <v/>
          </cell>
        </row>
        <row r="5457">
          <cell r="X5457" t="str">
            <v/>
          </cell>
          <cell r="Y5457" t="str">
            <v/>
          </cell>
        </row>
        <row r="5458">
          <cell r="X5458" t="str">
            <v/>
          </cell>
          <cell r="Y5458" t="str">
            <v/>
          </cell>
        </row>
        <row r="5459">
          <cell r="X5459" t="str">
            <v/>
          </cell>
          <cell r="Y5459" t="str">
            <v/>
          </cell>
        </row>
        <row r="5460">
          <cell r="X5460" t="str">
            <v/>
          </cell>
          <cell r="Y5460" t="str">
            <v/>
          </cell>
        </row>
        <row r="5461">
          <cell r="X5461" t="str">
            <v/>
          </cell>
          <cell r="Y5461" t="str">
            <v/>
          </cell>
        </row>
        <row r="5462">
          <cell r="X5462" t="str">
            <v/>
          </cell>
          <cell r="Y5462" t="str">
            <v/>
          </cell>
        </row>
        <row r="5463">
          <cell r="X5463" t="str">
            <v/>
          </cell>
          <cell r="Y5463" t="str">
            <v/>
          </cell>
        </row>
        <row r="5464">
          <cell r="X5464" t="str">
            <v/>
          </cell>
          <cell r="Y5464" t="str">
            <v/>
          </cell>
        </row>
        <row r="5465">
          <cell r="X5465" t="str">
            <v/>
          </cell>
          <cell r="Y5465" t="str">
            <v/>
          </cell>
        </row>
        <row r="5466">
          <cell r="X5466" t="str">
            <v/>
          </cell>
          <cell r="Y5466" t="str">
            <v/>
          </cell>
        </row>
        <row r="5467">
          <cell r="X5467" t="str">
            <v/>
          </cell>
          <cell r="Y5467" t="str">
            <v/>
          </cell>
        </row>
        <row r="5468">
          <cell r="X5468" t="str">
            <v/>
          </cell>
          <cell r="Y5468" t="str">
            <v/>
          </cell>
        </row>
        <row r="5469">
          <cell r="X5469" t="str">
            <v/>
          </cell>
          <cell r="Y5469" t="str">
            <v/>
          </cell>
        </row>
        <row r="5470">
          <cell r="X5470" t="str">
            <v/>
          </cell>
          <cell r="Y5470" t="str">
            <v/>
          </cell>
        </row>
        <row r="5471">
          <cell r="X5471" t="str">
            <v/>
          </cell>
          <cell r="Y5471" t="str">
            <v/>
          </cell>
        </row>
        <row r="5472">
          <cell r="X5472" t="str">
            <v/>
          </cell>
          <cell r="Y5472" t="str">
            <v/>
          </cell>
        </row>
        <row r="5473">
          <cell r="X5473" t="str">
            <v/>
          </cell>
          <cell r="Y5473" t="str">
            <v/>
          </cell>
        </row>
        <row r="5474">
          <cell r="X5474" t="str">
            <v/>
          </cell>
          <cell r="Y5474" t="str">
            <v/>
          </cell>
        </row>
        <row r="5475">
          <cell r="X5475" t="str">
            <v/>
          </cell>
          <cell r="Y5475" t="str">
            <v/>
          </cell>
        </row>
        <row r="5476">
          <cell r="X5476" t="str">
            <v/>
          </cell>
          <cell r="Y5476" t="str">
            <v/>
          </cell>
        </row>
        <row r="5477">
          <cell r="X5477" t="str">
            <v/>
          </cell>
          <cell r="Y5477" t="str">
            <v/>
          </cell>
        </row>
        <row r="5478">
          <cell r="X5478" t="str">
            <v/>
          </cell>
          <cell r="Y5478" t="str">
            <v/>
          </cell>
        </row>
        <row r="5479">
          <cell r="X5479" t="str">
            <v/>
          </cell>
          <cell r="Y5479" t="str">
            <v/>
          </cell>
        </row>
        <row r="5480">
          <cell r="X5480" t="str">
            <v/>
          </cell>
          <cell r="Y5480" t="str">
            <v/>
          </cell>
        </row>
        <row r="5481">
          <cell r="X5481" t="str">
            <v/>
          </cell>
          <cell r="Y5481" t="str">
            <v/>
          </cell>
        </row>
        <row r="5482">
          <cell r="X5482" t="str">
            <v/>
          </cell>
          <cell r="Y5482" t="str">
            <v/>
          </cell>
        </row>
        <row r="5483">
          <cell r="X5483" t="str">
            <v/>
          </cell>
          <cell r="Y5483" t="str">
            <v/>
          </cell>
        </row>
        <row r="5484">
          <cell r="X5484" t="str">
            <v/>
          </cell>
          <cell r="Y5484" t="str">
            <v/>
          </cell>
        </row>
        <row r="5485">
          <cell r="X5485" t="str">
            <v/>
          </cell>
          <cell r="Y5485" t="str">
            <v/>
          </cell>
        </row>
        <row r="5486">
          <cell r="X5486" t="str">
            <v/>
          </cell>
          <cell r="Y5486" t="str">
            <v/>
          </cell>
        </row>
        <row r="5487">
          <cell r="X5487" t="str">
            <v/>
          </cell>
          <cell r="Y5487" t="str">
            <v/>
          </cell>
        </row>
        <row r="5488">
          <cell r="X5488" t="str">
            <v/>
          </cell>
          <cell r="Y5488" t="str">
            <v/>
          </cell>
        </row>
        <row r="5489">
          <cell r="X5489" t="str">
            <v/>
          </cell>
          <cell r="Y5489" t="str">
            <v/>
          </cell>
        </row>
        <row r="5490">
          <cell r="X5490" t="str">
            <v/>
          </cell>
          <cell r="Y5490" t="str">
            <v/>
          </cell>
        </row>
        <row r="5491">
          <cell r="X5491" t="str">
            <v/>
          </cell>
          <cell r="Y5491" t="str">
            <v/>
          </cell>
        </row>
        <row r="5492">
          <cell r="X5492" t="str">
            <v/>
          </cell>
          <cell r="Y5492" t="str">
            <v/>
          </cell>
        </row>
        <row r="5493">
          <cell r="X5493" t="str">
            <v/>
          </cell>
          <cell r="Y5493" t="str">
            <v/>
          </cell>
        </row>
        <row r="5494">
          <cell r="X5494" t="str">
            <v/>
          </cell>
          <cell r="Y5494" t="str">
            <v/>
          </cell>
        </row>
        <row r="5495">
          <cell r="X5495" t="str">
            <v/>
          </cell>
          <cell r="Y5495" t="str">
            <v/>
          </cell>
        </row>
        <row r="5496">
          <cell r="X5496" t="str">
            <v/>
          </cell>
          <cell r="Y5496" t="str">
            <v/>
          </cell>
        </row>
        <row r="5497">
          <cell r="X5497" t="str">
            <v/>
          </cell>
          <cell r="Y5497" t="str">
            <v/>
          </cell>
        </row>
        <row r="5498">
          <cell r="X5498" t="str">
            <v/>
          </cell>
          <cell r="Y5498" t="str">
            <v/>
          </cell>
        </row>
        <row r="5499">
          <cell r="X5499" t="str">
            <v/>
          </cell>
          <cell r="Y5499" t="str">
            <v/>
          </cell>
        </row>
        <row r="5500">
          <cell r="X5500" t="str">
            <v/>
          </cell>
          <cell r="Y5500" t="str">
            <v/>
          </cell>
        </row>
        <row r="5501">
          <cell r="X5501" t="str">
            <v/>
          </cell>
          <cell r="Y5501" t="str">
            <v/>
          </cell>
        </row>
        <row r="5502">
          <cell r="X5502" t="str">
            <v/>
          </cell>
          <cell r="Y5502" t="str">
            <v/>
          </cell>
        </row>
        <row r="5503">
          <cell r="X5503" t="str">
            <v/>
          </cell>
          <cell r="Y5503" t="str">
            <v/>
          </cell>
        </row>
        <row r="5504">
          <cell r="X5504" t="str">
            <v/>
          </cell>
          <cell r="Y5504" t="str">
            <v/>
          </cell>
        </row>
        <row r="5505">
          <cell r="X5505" t="str">
            <v/>
          </cell>
          <cell r="Y5505" t="str">
            <v/>
          </cell>
        </row>
        <row r="5506">
          <cell r="X5506" t="str">
            <v/>
          </cell>
          <cell r="Y5506" t="str">
            <v/>
          </cell>
        </row>
        <row r="5507">
          <cell r="X5507" t="str">
            <v/>
          </cell>
          <cell r="Y5507" t="str">
            <v/>
          </cell>
        </row>
        <row r="5508">
          <cell r="X5508" t="str">
            <v/>
          </cell>
          <cell r="Y5508" t="str">
            <v/>
          </cell>
        </row>
        <row r="5509">
          <cell r="X5509" t="str">
            <v/>
          </cell>
          <cell r="Y5509" t="str">
            <v/>
          </cell>
        </row>
        <row r="5510">
          <cell r="X5510" t="str">
            <v/>
          </cell>
          <cell r="Y5510" t="str">
            <v/>
          </cell>
        </row>
        <row r="5511">
          <cell r="X5511" t="str">
            <v/>
          </cell>
          <cell r="Y5511" t="str">
            <v/>
          </cell>
        </row>
        <row r="5512">
          <cell r="X5512" t="str">
            <v/>
          </cell>
          <cell r="Y5512" t="str">
            <v/>
          </cell>
        </row>
        <row r="5513">
          <cell r="X5513" t="str">
            <v/>
          </cell>
          <cell r="Y5513" t="str">
            <v/>
          </cell>
        </row>
        <row r="5514">
          <cell r="X5514" t="str">
            <v/>
          </cell>
          <cell r="Y5514" t="str">
            <v/>
          </cell>
        </row>
        <row r="5515">
          <cell r="X5515" t="str">
            <v/>
          </cell>
          <cell r="Y5515" t="str">
            <v/>
          </cell>
        </row>
        <row r="5516">
          <cell r="X5516" t="str">
            <v/>
          </cell>
          <cell r="Y5516" t="str">
            <v/>
          </cell>
        </row>
        <row r="5517">
          <cell r="X5517" t="str">
            <v/>
          </cell>
          <cell r="Y5517" t="str">
            <v/>
          </cell>
        </row>
        <row r="5518">
          <cell r="X5518" t="str">
            <v/>
          </cell>
          <cell r="Y5518" t="str">
            <v/>
          </cell>
        </row>
        <row r="5519">
          <cell r="X5519" t="str">
            <v/>
          </cell>
          <cell r="Y5519" t="str">
            <v/>
          </cell>
        </row>
        <row r="5520">
          <cell r="X5520" t="str">
            <v/>
          </cell>
          <cell r="Y5520" t="str">
            <v/>
          </cell>
        </row>
        <row r="5521">
          <cell r="X5521" t="str">
            <v/>
          </cell>
          <cell r="Y5521" t="str">
            <v/>
          </cell>
        </row>
        <row r="5522">
          <cell r="X5522" t="str">
            <v/>
          </cell>
          <cell r="Y5522" t="str">
            <v/>
          </cell>
        </row>
        <row r="5523">
          <cell r="X5523" t="str">
            <v/>
          </cell>
          <cell r="Y5523" t="str">
            <v/>
          </cell>
        </row>
        <row r="5524">
          <cell r="X5524" t="str">
            <v/>
          </cell>
          <cell r="Y5524" t="str">
            <v/>
          </cell>
        </row>
        <row r="5525">
          <cell r="X5525" t="str">
            <v/>
          </cell>
          <cell r="Y5525" t="str">
            <v/>
          </cell>
        </row>
        <row r="5526">
          <cell r="X5526" t="str">
            <v/>
          </cell>
          <cell r="Y5526" t="str">
            <v/>
          </cell>
        </row>
        <row r="5527">
          <cell r="X5527" t="str">
            <v/>
          </cell>
          <cell r="Y5527" t="str">
            <v/>
          </cell>
        </row>
        <row r="5528">
          <cell r="X5528" t="str">
            <v/>
          </cell>
          <cell r="Y5528" t="str">
            <v/>
          </cell>
        </row>
        <row r="5529">
          <cell r="X5529" t="str">
            <v/>
          </cell>
          <cell r="Y5529" t="str">
            <v/>
          </cell>
        </row>
        <row r="5530">
          <cell r="X5530" t="str">
            <v/>
          </cell>
          <cell r="Y5530" t="str">
            <v/>
          </cell>
        </row>
        <row r="5531">
          <cell r="X5531" t="str">
            <v/>
          </cell>
          <cell r="Y5531" t="str">
            <v/>
          </cell>
        </row>
        <row r="5532">
          <cell r="X5532" t="str">
            <v/>
          </cell>
          <cell r="Y5532" t="str">
            <v/>
          </cell>
        </row>
        <row r="5533">
          <cell r="X5533" t="str">
            <v/>
          </cell>
          <cell r="Y5533" t="str">
            <v/>
          </cell>
        </row>
        <row r="5534">
          <cell r="X5534" t="str">
            <v/>
          </cell>
          <cell r="Y5534" t="str">
            <v/>
          </cell>
        </row>
        <row r="5535">
          <cell r="X5535" t="str">
            <v/>
          </cell>
          <cell r="Y5535" t="str">
            <v/>
          </cell>
        </row>
        <row r="5536">
          <cell r="X5536" t="str">
            <v/>
          </cell>
          <cell r="Y5536" t="str">
            <v/>
          </cell>
        </row>
        <row r="5537">
          <cell r="X5537" t="str">
            <v/>
          </cell>
          <cell r="Y5537" t="str">
            <v/>
          </cell>
        </row>
        <row r="5538">
          <cell r="X5538" t="str">
            <v/>
          </cell>
          <cell r="Y5538" t="str">
            <v/>
          </cell>
        </row>
        <row r="5539">
          <cell r="X5539" t="str">
            <v/>
          </cell>
          <cell r="Y5539" t="str">
            <v/>
          </cell>
        </row>
        <row r="5540">
          <cell r="X5540" t="str">
            <v/>
          </cell>
          <cell r="Y5540" t="str">
            <v/>
          </cell>
        </row>
        <row r="5541">
          <cell r="X5541" t="str">
            <v/>
          </cell>
          <cell r="Y5541" t="str">
            <v/>
          </cell>
        </row>
        <row r="5542">
          <cell r="X5542" t="str">
            <v/>
          </cell>
          <cell r="Y5542" t="str">
            <v/>
          </cell>
        </row>
        <row r="5543">
          <cell r="X5543" t="str">
            <v/>
          </cell>
          <cell r="Y5543" t="str">
            <v/>
          </cell>
        </row>
        <row r="5544">
          <cell r="X5544" t="str">
            <v/>
          </cell>
          <cell r="Y5544" t="str">
            <v/>
          </cell>
        </row>
        <row r="5545">
          <cell r="X5545" t="str">
            <v/>
          </cell>
          <cell r="Y5545" t="str">
            <v/>
          </cell>
        </row>
        <row r="5546">
          <cell r="X5546" t="str">
            <v/>
          </cell>
          <cell r="Y5546" t="str">
            <v/>
          </cell>
        </row>
        <row r="5547">
          <cell r="X5547" t="str">
            <v/>
          </cell>
          <cell r="Y5547" t="str">
            <v/>
          </cell>
        </row>
        <row r="5548">
          <cell r="X5548" t="str">
            <v/>
          </cell>
          <cell r="Y5548" t="str">
            <v/>
          </cell>
        </row>
        <row r="5549">
          <cell r="X5549" t="str">
            <v/>
          </cell>
          <cell r="Y5549" t="str">
            <v/>
          </cell>
        </row>
        <row r="5550">
          <cell r="X5550" t="str">
            <v/>
          </cell>
          <cell r="Y5550" t="str">
            <v/>
          </cell>
        </row>
        <row r="5551">
          <cell r="X5551" t="str">
            <v/>
          </cell>
          <cell r="Y5551" t="str">
            <v/>
          </cell>
        </row>
        <row r="5552">
          <cell r="X5552" t="str">
            <v/>
          </cell>
          <cell r="Y5552" t="str">
            <v/>
          </cell>
        </row>
        <row r="5553">
          <cell r="X5553" t="str">
            <v/>
          </cell>
          <cell r="Y5553" t="str">
            <v/>
          </cell>
        </row>
        <row r="5554">
          <cell r="X5554" t="str">
            <v/>
          </cell>
          <cell r="Y5554" t="str">
            <v/>
          </cell>
        </row>
        <row r="5555">
          <cell r="X5555" t="str">
            <v/>
          </cell>
          <cell r="Y5555" t="str">
            <v/>
          </cell>
        </row>
        <row r="5556">
          <cell r="X5556" t="str">
            <v/>
          </cell>
          <cell r="Y5556" t="str">
            <v/>
          </cell>
        </row>
        <row r="5557">
          <cell r="X5557" t="str">
            <v/>
          </cell>
          <cell r="Y5557" t="str">
            <v/>
          </cell>
        </row>
        <row r="5558">
          <cell r="X5558" t="str">
            <v/>
          </cell>
          <cell r="Y5558" t="str">
            <v/>
          </cell>
        </row>
        <row r="5559">
          <cell r="X5559" t="str">
            <v/>
          </cell>
          <cell r="Y5559" t="str">
            <v/>
          </cell>
        </row>
        <row r="5560">
          <cell r="X5560" t="str">
            <v/>
          </cell>
          <cell r="Y5560" t="str">
            <v/>
          </cell>
        </row>
        <row r="5561">
          <cell r="X5561" t="str">
            <v/>
          </cell>
          <cell r="Y5561" t="str">
            <v/>
          </cell>
        </row>
        <row r="5562">
          <cell r="X5562" t="str">
            <v/>
          </cell>
          <cell r="Y5562" t="str">
            <v/>
          </cell>
        </row>
        <row r="5563">
          <cell r="X5563" t="str">
            <v/>
          </cell>
          <cell r="Y5563" t="str">
            <v/>
          </cell>
        </row>
        <row r="5564">
          <cell r="X5564" t="str">
            <v/>
          </cell>
          <cell r="Y5564" t="str">
            <v/>
          </cell>
        </row>
        <row r="5565">
          <cell r="X5565" t="str">
            <v/>
          </cell>
          <cell r="Y5565" t="str">
            <v/>
          </cell>
        </row>
        <row r="5566">
          <cell r="X5566" t="str">
            <v/>
          </cell>
          <cell r="Y5566" t="str">
            <v/>
          </cell>
        </row>
        <row r="5567">
          <cell r="X5567" t="str">
            <v/>
          </cell>
          <cell r="Y5567" t="str">
            <v/>
          </cell>
        </row>
        <row r="5568">
          <cell r="X5568" t="str">
            <v/>
          </cell>
          <cell r="Y5568" t="str">
            <v/>
          </cell>
        </row>
        <row r="5569">
          <cell r="X5569" t="str">
            <v/>
          </cell>
          <cell r="Y5569" t="str">
            <v/>
          </cell>
        </row>
        <row r="5570">
          <cell r="X5570" t="str">
            <v/>
          </cell>
          <cell r="Y5570" t="str">
            <v/>
          </cell>
        </row>
        <row r="5571">
          <cell r="X5571" t="str">
            <v/>
          </cell>
          <cell r="Y5571" t="str">
            <v/>
          </cell>
        </row>
        <row r="5572">
          <cell r="X5572" t="str">
            <v/>
          </cell>
          <cell r="Y5572" t="str">
            <v/>
          </cell>
        </row>
        <row r="5573">
          <cell r="X5573" t="str">
            <v/>
          </cell>
          <cell r="Y5573" t="str">
            <v/>
          </cell>
        </row>
        <row r="5574">
          <cell r="X5574" t="str">
            <v/>
          </cell>
          <cell r="Y5574" t="str">
            <v/>
          </cell>
        </row>
        <row r="5575">
          <cell r="X5575" t="str">
            <v/>
          </cell>
          <cell r="Y5575" t="str">
            <v/>
          </cell>
        </row>
        <row r="5576">
          <cell r="X5576" t="str">
            <v/>
          </cell>
          <cell r="Y5576" t="str">
            <v/>
          </cell>
        </row>
        <row r="5577">
          <cell r="X5577" t="str">
            <v/>
          </cell>
          <cell r="Y5577" t="str">
            <v/>
          </cell>
        </row>
        <row r="5578">
          <cell r="X5578" t="str">
            <v/>
          </cell>
          <cell r="Y5578" t="str">
            <v/>
          </cell>
        </row>
        <row r="5579">
          <cell r="X5579" t="str">
            <v/>
          </cell>
          <cell r="Y5579" t="str">
            <v/>
          </cell>
        </row>
        <row r="5580">
          <cell r="X5580" t="str">
            <v/>
          </cell>
          <cell r="Y5580" t="str">
            <v/>
          </cell>
        </row>
        <row r="5581">
          <cell r="X5581" t="str">
            <v/>
          </cell>
          <cell r="Y5581" t="str">
            <v/>
          </cell>
        </row>
        <row r="5582">
          <cell r="X5582" t="str">
            <v/>
          </cell>
          <cell r="Y5582" t="str">
            <v/>
          </cell>
        </row>
        <row r="5583">
          <cell r="X5583" t="str">
            <v/>
          </cell>
          <cell r="Y5583" t="str">
            <v/>
          </cell>
        </row>
        <row r="5584">
          <cell r="X5584" t="str">
            <v/>
          </cell>
          <cell r="Y5584" t="str">
            <v/>
          </cell>
        </row>
        <row r="5585">
          <cell r="X5585" t="str">
            <v/>
          </cell>
          <cell r="Y5585" t="str">
            <v/>
          </cell>
        </row>
        <row r="5586">
          <cell r="X5586" t="str">
            <v/>
          </cell>
          <cell r="Y5586" t="str">
            <v/>
          </cell>
        </row>
        <row r="5587">
          <cell r="X5587" t="str">
            <v/>
          </cell>
          <cell r="Y5587" t="str">
            <v/>
          </cell>
        </row>
        <row r="5588">
          <cell r="X5588" t="str">
            <v/>
          </cell>
          <cell r="Y5588" t="str">
            <v/>
          </cell>
        </row>
        <row r="5589">
          <cell r="X5589" t="str">
            <v/>
          </cell>
          <cell r="Y5589" t="str">
            <v/>
          </cell>
        </row>
        <row r="5590">
          <cell r="X5590" t="str">
            <v/>
          </cell>
          <cell r="Y5590" t="str">
            <v/>
          </cell>
        </row>
        <row r="5591">
          <cell r="X5591" t="str">
            <v/>
          </cell>
          <cell r="Y5591" t="str">
            <v/>
          </cell>
        </row>
        <row r="5592">
          <cell r="X5592" t="str">
            <v/>
          </cell>
          <cell r="Y5592" t="str">
            <v/>
          </cell>
        </row>
        <row r="5593">
          <cell r="X5593" t="str">
            <v/>
          </cell>
          <cell r="Y5593" t="str">
            <v/>
          </cell>
        </row>
        <row r="5594">
          <cell r="X5594" t="str">
            <v/>
          </cell>
          <cell r="Y5594" t="str">
            <v/>
          </cell>
        </row>
        <row r="5595">
          <cell r="X5595" t="str">
            <v/>
          </cell>
          <cell r="Y5595" t="str">
            <v/>
          </cell>
        </row>
        <row r="5596">
          <cell r="X5596" t="str">
            <v/>
          </cell>
          <cell r="Y5596" t="str">
            <v/>
          </cell>
        </row>
        <row r="5597">
          <cell r="X5597" t="str">
            <v/>
          </cell>
          <cell r="Y5597" t="str">
            <v/>
          </cell>
        </row>
        <row r="5598">
          <cell r="X5598" t="str">
            <v/>
          </cell>
          <cell r="Y5598" t="str">
            <v/>
          </cell>
        </row>
        <row r="5599">
          <cell r="X5599" t="str">
            <v/>
          </cell>
          <cell r="Y5599" t="str">
            <v/>
          </cell>
        </row>
        <row r="5600">
          <cell r="X5600" t="str">
            <v/>
          </cell>
          <cell r="Y5600" t="str">
            <v/>
          </cell>
        </row>
        <row r="5601">
          <cell r="X5601" t="str">
            <v/>
          </cell>
          <cell r="Y5601" t="str">
            <v/>
          </cell>
        </row>
        <row r="5602">
          <cell r="X5602" t="str">
            <v/>
          </cell>
          <cell r="Y5602" t="str">
            <v/>
          </cell>
        </row>
        <row r="5603">
          <cell r="X5603" t="str">
            <v/>
          </cell>
          <cell r="Y5603" t="str">
            <v/>
          </cell>
        </row>
        <row r="5604">
          <cell r="X5604" t="str">
            <v/>
          </cell>
          <cell r="Y5604" t="str">
            <v/>
          </cell>
        </row>
        <row r="5605">
          <cell r="X5605" t="str">
            <v/>
          </cell>
          <cell r="Y5605" t="str">
            <v/>
          </cell>
        </row>
        <row r="5606">
          <cell r="X5606" t="str">
            <v/>
          </cell>
          <cell r="Y5606" t="str">
            <v/>
          </cell>
        </row>
        <row r="5607">
          <cell r="X5607" t="str">
            <v/>
          </cell>
          <cell r="Y5607" t="str">
            <v/>
          </cell>
        </row>
        <row r="5608">
          <cell r="X5608" t="str">
            <v/>
          </cell>
          <cell r="Y5608" t="str">
            <v/>
          </cell>
        </row>
        <row r="5609">
          <cell r="X5609" t="str">
            <v/>
          </cell>
          <cell r="Y5609" t="str">
            <v/>
          </cell>
        </row>
        <row r="5610">
          <cell r="X5610" t="str">
            <v/>
          </cell>
          <cell r="Y5610" t="str">
            <v/>
          </cell>
        </row>
        <row r="5611">
          <cell r="X5611" t="str">
            <v/>
          </cell>
          <cell r="Y5611" t="str">
            <v/>
          </cell>
        </row>
        <row r="5612">
          <cell r="X5612" t="str">
            <v/>
          </cell>
          <cell r="Y5612" t="str">
            <v/>
          </cell>
        </row>
        <row r="5613">
          <cell r="X5613" t="str">
            <v/>
          </cell>
          <cell r="Y5613" t="str">
            <v/>
          </cell>
        </row>
        <row r="5614">
          <cell r="X5614" t="str">
            <v/>
          </cell>
          <cell r="Y5614" t="str">
            <v/>
          </cell>
        </row>
        <row r="5615">
          <cell r="X5615" t="str">
            <v/>
          </cell>
          <cell r="Y5615" t="str">
            <v/>
          </cell>
        </row>
        <row r="5616">
          <cell r="X5616" t="str">
            <v/>
          </cell>
          <cell r="Y5616" t="str">
            <v/>
          </cell>
        </row>
        <row r="5617">
          <cell r="X5617" t="str">
            <v/>
          </cell>
          <cell r="Y5617" t="str">
            <v/>
          </cell>
        </row>
        <row r="5618">
          <cell r="X5618" t="str">
            <v/>
          </cell>
          <cell r="Y5618" t="str">
            <v/>
          </cell>
        </row>
        <row r="5619">
          <cell r="X5619" t="str">
            <v/>
          </cell>
          <cell r="Y5619" t="str">
            <v/>
          </cell>
        </row>
        <row r="5620">
          <cell r="X5620" t="str">
            <v/>
          </cell>
          <cell r="Y5620" t="str">
            <v/>
          </cell>
        </row>
        <row r="5621">
          <cell r="X5621" t="str">
            <v/>
          </cell>
          <cell r="Y5621" t="str">
            <v/>
          </cell>
        </row>
        <row r="5622">
          <cell r="X5622" t="str">
            <v/>
          </cell>
          <cell r="Y5622" t="str">
            <v/>
          </cell>
        </row>
        <row r="5623">
          <cell r="X5623" t="str">
            <v/>
          </cell>
          <cell r="Y5623" t="str">
            <v/>
          </cell>
        </row>
        <row r="5624">
          <cell r="X5624" t="str">
            <v/>
          </cell>
          <cell r="Y5624" t="str">
            <v/>
          </cell>
        </row>
        <row r="5625">
          <cell r="X5625" t="str">
            <v/>
          </cell>
          <cell r="Y5625" t="str">
            <v/>
          </cell>
        </row>
        <row r="5626">
          <cell r="X5626" t="str">
            <v/>
          </cell>
          <cell r="Y5626" t="str">
            <v/>
          </cell>
        </row>
        <row r="5627">
          <cell r="X5627" t="str">
            <v/>
          </cell>
          <cell r="Y5627" t="str">
            <v/>
          </cell>
        </row>
        <row r="5628">
          <cell r="X5628" t="str">
            <v/>
          </cell>
          <cell r="Y5628" t="str">
            <v/>
          </cell>
        </row>
        <row r="5629">
          <cell r="X5629" t="str">
            <v/>
          </cell>
          <cell r="Y5629" t="str">
            <v/>
          </cell>
        </row>
        <row r="5630">
          <cell r="X5630" t="str">
            <v/>
          </cell>
          <cell r="Y5630" t="str">
            <v/>
          </cell>
        </row>
        <row r="5631">
          <cell r="X5631" t="str">
            <v/>
          </cell>
          <cell r="Y5631" t="str">
            <v/>
          </cell>
        </row>
        <row r="5632">
          <cell r="X5632" t="str">
            <v/>
          </cell>
          <cell r="Y5632" t="str">
            <v/>
          </cell>
        </row>
        <row r="5633">
          <cell r="X5633" t="str">
            <v/>
          </cell>
          <cell r="Y5633" t="str">
            <v/>
          </cell>
        </row>
        <row r="5634">
          <cell r="X5634" t="str">
            <v/>
          </cell>
          <cell r="Y5634" t="str">
            <v/>
          </cell>
        </row>
        <row r="5635">
          <cell r="X5635" t="str">
            <v/>
          </cell>
          <cell r="Y5635" t="str">
            <v/>
          </cell>
        </row>
        <row r="5636">
          <cell r="X5636" t="str">
            <v/>
          </cell>
          <cell r="Y5636" t="str">
            <v/>
          </cell>
        </row>
        <row r="5637">
          <cell r="X5637" t="str">
            <v/>
          </cell>
          <cell r="Y5637" t="str">
            <v/>
          </cell>
        </row>
        <row r="5638">
          <cell r="X5638" t="str">
            <v/>
          </cell>
          <cell r="Y5638" t="str">
            <v/>
          </cell>
        </row>
        <row r="5639">
          <cell r="X5639" t="str">
            <v/>
          </cell>
          <cell r="Y5639" t="str">
            <v/>
          </cell>
        </row>
        <row r="5640">
          <cell r="X5640" t="str">
            <v/>
          </cell>
          <cell r="Y5640" t="str">
            <v/>
          </cell>
        </row>
        <row r="5641">
          <cell r="X5641" t="str">
            <v/>
          </cell>
          <cell r="Y5641" t="str">
            <v/>
          </cell>
        </row>
        <row r="5642">
          <cell r="X5642" t="str">
            <v/>
          </cell>
          <cell r="Y5642" t="str">
            <v/>
          </cell>
        </row>
        <row r="5643">
          <cell r="X5643" t="str">
            <v/>
          </cell>
          <cell r="Y5643" t="str">
            <v/>
          </cell>
        </row>
        <row r="5644">
          <cell r="X5644" t="str">
            <v/>
          </cell>
          <cell r="Y5644" t="str">
            <v/>
          </cell>
        </row>
        <row r="5645">
          <cell r="X5645" t="str">
            <v/>
          </cell>
          <cell r="Y5645" t="str">
            <v/>
          </cell>
        </row>
        <row r="5646">
          <cell r="X5646" t="str">
            <v/>
          </cell>
          <cell r="Y5646" t="str">
            <v/>
          </cell>
        </row>
        <row r="5647">
          <cell r="X5647" t="str">
            <v/>
          </cell>
          <cell r="Y5647" t="str">
            <v/>
          </cell>
        </row>
        <row r="5648">
          <cell r="X5648" t="str">
            <v/>
          </cell>
          <cell r="Y5648" t="str">
            <v/>
          </cell>
        </row>
        <row r="5649">
          <cell r="X5649" t="str">
            <v/>
          </cell>
          <cell r="Y5649" t="str">
            <v/>
          </cell>
        </row>
        <row r="5650">
          <cell r="X5650" t="str">
            <v/>
          </cell>
          <cell r="Y5650" t="str">
            <v/>
          </cell>
        </row>
        <row r="5651">
          <cell r="X5651" t="str">
            <v/>
          </cell>
          <cell r="Y5651" t="str">
            <v/>
          </cell>
        </row>
        <row r="5652">
          <cell r="X5652" t="str">
            <v/>
          </cell>
          <cell r="Y5652" t="str">
            <v/>
          </cell>
        </row>
        <row r="5653">
          <cell r="X5653" t="str">
            <v/>
          </cell>
          <cell r="Y5653" t="str">
            <v/>
          </cell>
        </row>
        <row r="5654">
          <cell r="X5654" t="str">
            <v/>
          </cell>
          <cell r="Y5654" t="str">
            <v/>
          </cell>
        </row>
        <row r="5655">
          <cell r="X5655" t="str">
            <v/>
          </cell>
          <cell r="Y5655" t="str">
            <v/>
          </cell>
        </row>
        <row r="5656">
          <cell r="X5656" t="str">
            <v/>
          </cell>
          <cell r="Y5656" t="str">
            <v/>
          </cell>
        </row>
        <row r="5657">
          <cell r="X5657" t="str">
            <v/>
          </cell>
          <cell r="Y5657" t="str">
            <v/>
          </cell>
        </row>
        <row r="5658">
          <cell r="X5658" t="str">
            <v/>
          </cell>
          <cell r="Y5658" t="str">
            <v/>
          </cell>
        </row>
        <row r="5659">
          <cell r="X5659" t="str">
            <v/>
          </cell>
          <cell r="Y5659" t="str">
            <v/>
          </cell>
        </row>
        <row r="5660">
          <cell r="X5660" t="str">
            <v/>
          </cell>
          <cell r="Y5660" t="str">
            <v/>
          </cell>
        </row>
        <row r="5661">
          <cell r="X5661" t="str">
            <v/>
          </cell>
          <cell r="Y5661" t="str">
            <v/>
          </cell>
        </row>
        <row r="5662">
          <cell r="X5662" t="str">
            <v/>
          </cell>
          <cell r="Y5662" t="str">
            <v/>
          </cell>
        </row>
        <row r="5663">
          <cell r="X5663" t="str">
            <v/>
          </cell>
          <cell r="Y5663" t="str">
            <v/>
          </cell>
        </row>
        <row r="5664">
          <cell r="X5664" t="str">
            <v/>
          </cell>
          <cell r="Y5664" t="str">
            <v/>
          </cell>
        </row>
        <row r="5665">
          <cell r="X5665" t="str">
            <v/>
          </cell>
          <cell r="Y5665" t="str">
            <v/>
          </cell>
        </row>
        <row r="5666">
          <cell r="X5666" t="str">
            <v/>
          </cell>
          <cell r="Y5666" t="str">
            <v/>
          </cell>
        </row>
        <row r="5667">
          <cell r="X5667" t="str">
            <v/>
          </cell>
          <cell r="Y5667" t="str">
            <v/>
          </cell>
        </row>
        <row r="5668">
          <cell r="X5668" t="str">
            <v/>
          </cell>
          <cell r="Y5668" t="str">
            <v/>
          </cell>
        </row>
        <row r="5669">
          <cell r="X5669" t="str">
            <v/>
          </cell>
          <cell r="Y5669" t="str">
            <v/>
          </cell>
        </row>
        <row r="5670">
          <cell r="X5670" t="str">
            <v/>
          </cell>
          <cell r="Y5670" t="str">
            <v/>
          </cell>
        </row>
        <row r="5671">
          <cell r="X5671" t="str">
            <v/>
          </cell>
          <cell r="Y5671" t="str">
            <v/>
          </cell>
        </row>
        <row r="5672">
          <cell r="X5672" t="str">
            <v/>
          </cell>
          <cell r="Y5672" t="str">
            <v/>
          </cell>
        </row>
        <row r="5673">
          <cell r="X5673" t="str">
            <v/>
          </cell>
          <cell r="Y5673" t="str">
            <v/>
          </cell>
        </row>
        <row r="5674">
          <cell r="X5674" t="str">
            <v/>
          </cell>
          <cell r="Y5674" t="str">
            <v/>
          </cell>
        </row>
        <row r="5675">
          <cell r="X5675" t="str">
            <v/>
          </cell>
          <cell r="Y5675" t="str">
            <v/>
          </cell>
        </row>
        <row r="5676">
          <cell r="X5676" t="str">
            <v/>
          </cell>
          <cell r="Y5676" t="str">
            <v/>
          </cell>
        </row>
        <row r="5677">
          <cell r="X5677" t="str">
            <v/>
          </cell>
          <cell r="Y5677" t="str">
            <v/>
          </cell>
        </row>
        <row r="5678">
          <cell r="X5678" t="str">
            <v/>
          </cell>
          <cell r="Y5678" t="str">
            <v/>
          </cell>
        </row>
        <row r="5679">
          <cell r="X5679" t="str">
            <v/>
          </cell>
          <cell r="Y5679" t="str">
            <v/>
          </cell>
        </row>
        <row r="5680">
          <cell r="X5680" t="str">
            <v/>
          </cell>
          <cell r="Y5680" t="str">
            <v/>
          </cell>
        </row>
        <row r="5681">
          <cell r="X5681" t="str">
            <v/>
          </cell>
          <cell r="Y5681" t="str">
            <v/>
          </cell>
        </row>
        <row r="5682">
          <cell r="X5682" t="str">
            <v/>
          </cell>
          <cell r="Y5682" t="str">
            <v/>
          </cell>
        </row>
        <row r="5683">
          <cell r="X5683" t="str">
            <v/>
          </cell>
          <cell r="Y5683" t="str">
            <v/>
          </cell>
        </row>
        <row r="5684">
          <cell r="X5684" t="str">
            <v/>
          </cell>
          <cell r="Y5684" t="str">
            <v/>
          </cell>
        </row>
        <row r="5685">
          <cell r="X5685" t="str">
            <v/>
          </cell>
          <cell r="Y5685" t="str">
            <v/>
          </cell>
        </row>
        <row r="5686">
          <cell r="X5686" t="str">
            <v/>
          </cell>
          <cell r="Y5686" t="str">
            <v/>
          </cell>
        </row>
        <row r="5687">
          <cell r="X5687" t="str">
            <v/>
          </cell>
          <cell r="Y5687" t="str">
            <v/>
          </cell>
        </row>
        <row r="5688">
          <cell r="X5688" t="str">
            <v/>
          </cell>
          <cell r="Y5688" t="str">
            <v/>
          </cell>
        </row>
        <row r="5689">
          <cell r="X5689" t="str">
            <v/>
          </cell>
          <cell r="Y5689" t="str">
            <v/>
          </cell>
        </row>
        <row r="5690">
          <cell r="X5690" t="str">
            <v/>
          </cell>
          <cell r="Y5690" t="str">
            <v/>
          </cell>
        </row>
        <row r="5691">
          <cell r="X5691" t="str">
            <v/>
          </cell>
          <cell r="Y5691" t="str">
            <v/>
          </cell>
        </row>
        <row r="5692">
          <cell r="X5692" t="str">
            <v/>
          </cell>
          <cell r="Y5692" t="str">
            <v/>
          </cell>
        </row>
        <row r="5693">
          <cell r="X5693" t="str">
            <v/>
          </cell>
          <cell r="Y5693" t="str">
            <v/>
          </cell>
        </row>
        <row r="5694">
          <cell r="X5694" t="str">
            <v/>
          </cell>
          <cell r="Y5694" t="str">
            <v/>
          </cell>
        </row>
        <row r="5695">
          <cell r="X5695" t="str">
            <v/>
          </cell>
          <cell r="Y5695" t="str">
            <v/>
          </cell>
        </row>
        <row r="5696">
          <cell r="X5696" t="str">
            <v/>
          </cell>
          <cell r="Y5696" t="str">
            <v/>
          </cell>
        </row>
        <row r="5697">
          <cell r="X5697" t="str">
            <v/>
          </cell>
          <cell r="Y5697" t="str">
            <v/>
          </cell>
        </row>
        <row r="5698">
          <cell r="X5698" t="str">
            <v/>
          </cell>
          <cell r="Y5698" t="str">
            <v/>
          </cell>
        </row>
        <row r="5699">
          <cell r="X5699" t="str">
            <v/>
          </cell>
          <cell r="Y5699" t="str">
            <v/>
          </cell>
        </row>
        <row r="5700">
          <cell r="X5700" t="str">
            <v/>
          </cell>
          <cell r="Y5700" t="str">
            <v/>
          </cell>
        </row>
        <row r="5701">
          <cell r="X5701" t="str">
            <v/>
          </cell>
          <cell r="Y5701" t="str">
            <v/>
          </cell>
        </row>
        <row r="5702">
          <cell r="X5702" t="str">
            <v/>
          </cell>
          <cell r="Y5702" t="str">
            <v/>
          </cell>
        </row>
        <row r="5703">
          <cell r="X5703" t="str">
            <v/>
          </cell>
          <cell r="Y5703" t="str">
            <v/>
          </cell>
        </row>
        <row r="5704">
          <cell r="X5704" t="str">
            <v/>
          </cell>
          <cell r="Y5704" t="str">
            <v/>
          </cell>
        </row>
        <row r="5705">
          <cell r="X5705" t="str">
            <v/>
          </cell>
          <cell r="Y5705" t="str">
            <v/>
          </cell>
        </row>
        <row r="5706">
          <cell r="X5706" t="str">
            <v/>
          </cell>
          <cell r="Y5706" t="str">
            <v/>
          </cell>
        </row>
        <row r="5707">
          <cell r="X5707" t="str">
            <v/>
          </cell>
          <cell r="Y5707" t="str">
            <v/>
          </cell>
        </row>
        <row r="5708">
          <cell r="X5708" t="str">
            <v/>
          </cell>
          <cell r="Y5708" t="str">
            <v/>
          </cell>
        </row>
        <row r="5709">
          <cell r="X5709" t="str">
            <v/>
          </cell>
          <cell r="Y5709" t="str">
            <v/>
          </cell>
        </row>
        <row r="5710">
          <cell r="X5710" t="str">
            <v/>
          </cell>
          <cell r="Y5710" t="str">
            <v/>
          </cell>
        </row>
        <row r="5711">
          <cell r="X5711" t="str">
            <v/>
          </cell>
          <cell r="Y5711" t="str">
            <v/>
          </cell>
        </row>
        <row r="5712">
          <cell r="X5712" t="str">
            <v/>
          </cell>
          <cell r="Y5712" t="str">
            <v/>
          </cell>
        </row>
        <row r="5713">
          <cell r="X5713" t="str">
            <v/>
          </cell>
          <cell r="Y5713" t="str">
            <v/>
          </cell>
        </row>
        <row r="5714">
          <cell r="X5714" t="str">
            <v/>
          </cell>
          <cell r="Y5714" t="str">
            <v/>
          </cell>
        </row>
        <row r="5715">
          <cell r="X5715" t="str">
            <v/>
          </cell>
          <cell r="Y5715" t="str">
            <v/>
          </cell>
        </row>
        <row r="5716">
          <cell r="X5716" t="str">
            <v/>
          </cell>
          <cell r="Y5716" t="str">
            <v/>
          </cell>
        </row>
        <row r="5717">
          <cell r="X5717" t="str">
            <v/>
          </cell>
          <cell r="Y5717" t="str">
            <v/>
          </cell>
        </row>
        <row r="5718">
          <cell r="X5718" t="str">
            <v/>
          </cell>
          <cell r="Y5718" t="str">
            <v/>
          </cell>
        </row>
        <row r="5719">
          <cell r="X5719" t="str">
            <v/>
          </cell>
          <cell r="Y5719" t="str">
            <v/>
          </cell>
        </row>
        <row r="5720">
          <cell r="X5720" t="str">
            <v/>
          </cell>
          <cell r="Y5720" t="str">
            <v/>
          </cell>
        </row>
        <row r="5721">
          <cell r="X5721" t="str">
            <v/>
          </cell>
          <cell r="Y5721" t="str">
            <v/>
          </cell>
        </row>
        <row r="5722">
          <cell r="X5722" t="str">
            <v/>
          </cell>
          <cell r="Y5722" t="str">
            <v/>
          </cell>
        </row>
        <row r="5723">
          <cell r="X5723" t="str">
            <v/>
          </cell>
          <cell r="Y5723" t="str">
            <v/>
          </cell>
        </row>
        <row r="5724">
          <cell r="X5724" t="str">
            <v/>
          </cell>
          <cell r="Y5724" t="str">
            <v/>
          </cell>
        </row>
        <row r="5725">
          <cell r="X5725" t="str">
            <v/>
          </cell>
          <cell r="Y5725" t="str">
            <v/>
          </cell>
        </row>
        <row r="5726">
          <cell r="X5726" t="str">
            <v/>
          </cell>
          <cell r="Y5726" t="str">
            <v/>
          </cell>
        </row>
        <row r="5727">
          <cell r="X5727" t="str">
            <v/>
          </cell>
          <cell r="Y5727" t="str">
            <v/>
          </cell>
        </row>
        <row r="5728">
          <cell r="X5728" t="str">
            <v/>
          </cell>
          <cell r="Y5728" t="str">
            <v/>
          </cell>
        </row>
        <row r="5729">
          <cell r="X5729" t="str">
            <v/>
          </cell>
          <cell r="Y5729" t="str">
            <v/>
          </cell>
        </row>
        <row r="5730">
          <cell r="X5730" t="str">
            <v/>
          </cell>
          <cell r="Y5730" t="str">
            <v/>
          </cell>
        </row>
        <row r="5731">
          <cell r="X5731" t="str">
            <v/>
          </cell>
          <cell r="Y5731" t="str">
            <v/>
          </cell>
        </row>
        <row r="5732">
          <cell r="X5732" t="str">
            <v/>
          </cell>
          <cell r="Y5732" t="str">
            <v/>
          </cell>
        </row>
        <row r="5733">
          <cell r="X5733" t="str">
            <v/>
          </cell>
          <cell r="Y5733" t="str">
            <v/>
          </cell>
        </row>
        <row r="5734">
          <cell r="X5734" t="str">
            <v/>
          </cell>
          <cell r="Y5734" t="str">
            <v/>
          </cell>
        </row>
        <row r="5735">
          <cell r="X5735" t="str">
            <v/>
          </cell>
          <cell r="Y5735" t="str">
            <v/>
          </cell>
        </row>
        <row r="5736">
          <cell r="X5736" t="str">
            <v/>
          </cell>
          <cell r="Y5736" t="str">
            <v/>
          </cell>
        </row>
        <row r="5737">
          <cell r="X5737" t="str">
            <v/>
          </cell>
          <cell r="Y5737" t="str">
            <v/>
          </cell>
        </row>
        <row r="5738">
          <cell r="X5738" t="str">
            <v/>
          </cell>
          <cell r="Y5738" t="str">
            <v/>
          </cell>
        </row>
        <row r="5739">
          <cell r="X5739" t="str">
            <v/>
          </cell>
          <cell r="Y5739" t="str">
            <v/>
          </cell>
        </row>
        <row r="5740">
          <cell r="X5740" t="str">
            <v/>
          </cell>
          <cell r="Y5740" t="str">
            <v/>
          </cell>
        </row>
        <row r="5741">
          <cell r="X5741" t="str">
            <v/>
          </cell>
          <cell r="Y5741" t="str">
            <v/>
          </cell>
        </row>
        <row r="5742">
          <cell r="X5742" t="str">
            <v/>
          </cell>
          <cell r="Y5742" t="str">
            <v/>
          </cell>
        </row>
        <row r="5743">
          <cell r="X5743" t="str">
            <v/>
          </cell>
          <cell r="Y5743" t="str">
            <v/>
          </cell>
        </row>
        <row r="5744">
          <cell r="X5744" t="str">
            <v/>
          </cell>
          <cell r="Y5744" t="str">
            <v/>
          </cell>
        </row>
        <row r="5745">
          <cell r="X5745" t="str">
            <v/>
          </cell>
          <cell r="Y5745" t="str">
            <v/>
          </cell>
        </row>
        <row r="5746">
          <cell r="X5746" t="str">
            <v/>
          </cell>
          <cell r="Y5746" t="str">
            <v/>
          </cell>
        </row>
        <row r="5747">
          <cell r="X5747" t="str">
            <v/>
          </cell>
          <cell r="Y5747" t="str">
            <v/>
          </cell>
        </row>
        <row r="5748">
          <cell r="X5748" t="str">
            <v/>
          </cell>
          <cell r="Y5748" t="str">
            <v/>
          </cell>
        </row>
        <row r="5749">
          <cell r="X5749" t="str">
            <v/>
          </cell>
          <cell r="Y5749" t="str">
            <v/>
          </cell>
        </row>
        <row r="5750">
          <cell r="X5750" t="str">
            <v/>
          </cell>
          <cell r="Y5750" t="str">
            <v/>
          </cell>
        </row>
        <row r="5751">
          <cell r="X5751" t="str">
            <v/>
          </cell>
          <cell r="Y5751" t="str">
            <v/>
          </cell>
        </row>
        <row r="5752">
          <cell r="X5752" t="str">
            <v/>
          </cell>
          <cell r="Y5752" t="str">
            <v/>
          </cell>
        </row>
        <row r="5753">
          <cell r="X5753" t="str">
            <v/>
          </cell>
          <cell r="Y5753" t="str">
            <v/>
          </cell>
        </row>
        <row r="5754">
          <cell r="X5754" t="str">
            <v/>
          </cell>
          <cell r="Y5754" t="str">
            <v/>
          </cell>
        </row>
        <row r="5755">
          <cell r="X5755" t="str">
            <v/>
          </cell>
          <cell r="Y5755" t="str">
            <v/>
          </cell>
        </row>
        <row r="5756">
          <cell r="X5756" t="str">
            <v/>
          </cell>
          <cell r="Y5756" t="str">
            <v/>
          </cell>
        </row>
        <row r="5757">
          <cell r="X5757" t="str">
            <v/>
          </cell>
          <cell r="Y5757" t="str">
            <v/>
          </cell>
        </row>
        <row r="5758">
          <cell r="X5758" t="str">
            <v/>
          </cell>
          <cell r="Y5758" t="str">
            <v/>
          </cell>
        </row>
        <row r="5759">
          <cell r="X5759" t="str">
            <v/>
          </cell>
          <cell r="Y5759" t="str">
            <v/>
          </cell>
        </row>
        <row r="5760">
          <cell r="X5760" t="str">
            <v/>
          </cell>
          <cell r="Y5760" t="str">
            <v/>
          </cell>
        </row>
        <row r="5761">
          <cell r="X5761" t="str">
            <v/>
          </cell>
          <cell r="Y5761" t="str">
            <v/>
          </cell>
        </row>
        <row r="5762">
          <cell r="X5762" t="str">
            <v/>
          </cell>
          <cell r="Y5762" t="str">
            <v/>
          </cell>
        </row>
        <row r="5763">
          <cell r="X5763" t="str">
            <v/>
          </cell>
          <cell r="Y5763" t="str">
            <v/>
          </cell>
        </row>
        <row r="5764">
          <cell r="X5764" t="str">
            <v/>
          </cell>
          <cell r="Y5764" t="str">
            <v/>
          </cell>
        </row>
        <row r="5765">
          <cell r="X5765" t="str">
            <v/>
          </cell>
          <cell r="Y5765" t="str">
            <v/>
          </cell>
        </row>
        <row r="5766">
          <cell r="X5766" t="str">
            <v/>
          </cell>
          <cell r="Y5766" t="str">
            <v/>
          </cell>
        </row>
        <row r="5767">
          <cell r="X5767" t="str">
            <v/>
          </cell>
          <cell r="Y5767" t="str">
            <v/>
          </cell>
        </row>
        <row r="5768">
          <cell r="X5768" t="str">
            <v/>
          </cell>
          <cell r="Y5768" t="str">
            <v/>
          </cell>
        </row>
        <row r="5769">
          <cell r="X5769" t="str">
            <v/>
          </cell>
          <cell r="Y5769" t="str">
            <v/>
          </cell>
        </row>
        <row r="5770">
          <cell r="X5770" t="str">
            <v/>
          </cell>
          <cell r="Y5770" t="str">
            <v/>
          </cell>
        </row>
        <row r="5771">
          <cell r="X5771" t="str">
            <v/>
          </cell>
          <cell r="Y5771" t="str">
            <v/>
          </cell>
        </row>
        <row r="5772">
          <cell r="X5772" t="str">
            <v/>
          </cell>
          <cell r="Y5772" t="str">
            <v/>
          </cell>
        </row>
        <row r="5773">
          <cell r="X5773" t="str">
            <v/>
          </cell>
          <cell r="Y5773" t="str">
            <v/>
          </cell>
        </row>
        <row r="5774">
          <cell r="X5774" t="str">
            <v/>
          </cell>
          <cell r="Y5774" t="str">
            <v/>
          </cell>
        </row>
        <row r="5775">
          <cell r="X5775" t="str">
            <v/>
          </cell>
          <cell r="Y5775" t="str">
            <v/>
          </cell>
        </row>
        <row r="5776">
          <cell r="X5776" t="str">
            <v/>
          </cell>
          <cell r="Y5776" t="str">
            <v/>
          </cell>
        </row>
        <row r="5777">
          <cell r="X5777" t="str">
            <v/>
          </cell>
          <cell r="Y5777" t="str">
            <v/>
          </cell>
        </row>
        <row r="5778">
          <cell r="X5778" t="str">
            <v/>
          </cell>
          <cell r="Y5778" t="str">
            <v/>
          </cell>
        </row>
        <row r="5779">
          <cell r="X5779" t="str">
            <v/>
          </cell>
          <cell r="Y5779" t="str">
            <v/>
          </cell>
        </row>
        <row r="5780">
          <cell r="X5780" t="str">
            <v/>
          </cell>
          <cell r="Y5780" t="str">
            <v/>
          </cell>
        </row>
        <row r="5781">
          <cell r="X5781" t="str">
            <v/>
          </cell>
          <cell r="Y5781" t="str">
            <v/>
          </cell>
        </row>
        <row r="5782">
          <cell r="X5782" t="str">
            <v/>
          </cell>
          <cell r="Y5782" t="str">
            <v/>
          </cell>
        </row>
        <row r="5783">
          <cell r="X5783" t="str">
            <v/>
          </cell>
          <cell r="Y5783" t="str">
            <v/>
          </cell>
        </row>
        <row r="5784">
          <cell r="X5784" t="str">
            <v/>
          </cell>
          <cell r="Y5784" t="str">
            <v/>
          </cell>
        </row>
        <row r="5785">
          <cell r="X5785" t="str">
            <v/>
          </cell>
          <cell r="Y5785" t="str">
            <v/>
          </cell>
        </row>
        <row r="5786">
          <cell r="X5786" t="str">
            <v/>
          </cell>
          <cell r="Y5786" t="str">
            <v/>
          </cell>
        </row>
        <row r="5787">
          <cell r="X5787" t="str">
            <v/>
          </cell>
          <cell r="Y5787" t="str">
            <v/>
          </cell>
        </row>
        <row r="5788">
          <cell r="X5788" t="str">
            <v/>
          </cell>
          <cell r="Y5788" t="str">
            <v/>
          </cell>
        </row>
        <row r="5789">
          <cell r="X5789" t="str">
            <v/>
          </cell>
          <cell r="Y5789" t="str">
            <v/>
          </cell>
        </row>
        <row r="5790">
          <cell r="X5790" t="str">
            <v/>
          </cell>
          <cell r="Y5790" t="str">
            <v/>
          </cell>
        </row>
        <row r="5791">
          <cell r="X5791" t="str">
            <v/>
          </cell>
          <cell r="Y5791" t="str">
            <v/>
          </cell>
        </row>
        <row r="5792">
          <cell r="X5792" t="str">
            <v/>
          </cell>
          <cell r="Y5792" t="str">
            <v/>
          </cell>
        </row>
        <row r="5793">
          <cell r="X5793" t="str">
            <v/>
          </cell>
          <cell r="Y5793" t="str">
            <v/>
          </cell>
        </row>
        <row r="5794">
          <cell r="X5794" t="str">
            <v/>
          </cell>
          <cell r="Y5794" t="str">
            <v/>
          </cell>
        </row>
        <row r="5795">
          <cell r="X5795" t="str">
            <v/>
          </cell>
          <cell r="Y5795" t="str">
            <v/>
          </cell>
        </row>
        <row r="5796">
          <cell r="X5796" t="str">
            <v/>
          </cell>
          <cell r="Y5796" t="str">
            <v/>
          </cell>
        </row>
        <row r="5797">
          <cell r="X5797" t="str">
            <v/>
          </cell>
          <cell r="Y5797" t="str">
            <v/>
          </cell>
        </row>
        <row r="5798">
          <cell r="X5798" t="str">
            <v/>
          </cell>
          <cell r="Y5798" t="str">
            <v/>
          </cell>
        </row>
        <row r="5799">
          <cell r="X5799" t="str">
            <v/>
          </cell>
          <cell r="Y5799" t="str">
            <v/>
          </cell>
        </row>
        <row r="5800">
          <cell r="X5800" t="str">
            <v/>
          </cell>
          <cell r="Y5800" t="str">
            <v/>
          </cell>
        </row>
        <row r="5801">
          <cell r="X5801" t="str">
            <v/>
          </cell>
          <cell r="Y5801" t="str">
            <v/>
          </cell>
        </row>
        <row r="5802">
          <cell r="X5802" t="str">
            <v/>
          </cell>
          <cell r="Y5802" t="str">
            <v/>
          </cell>
        </row>
        <row r="5803">
          <cell r="X5803" t="str">
            <v/>
          </cell>
          <cell r="Y5803" t="str">
            <v/>
          </cell>
        </row>
        <row r="5804">
          <cell r="X5804" t="str">
            <v/>
          </cell>
          <cell r="Y5804" t="str">
            <v/>
          </cell>
        </row>
        <row r="5805">
          <cell r="X5805" t="str">
            <v/>
          </cell>
          <cell r="Y5805" t="str">
            <v/>
          </cell>
        </row>
        <row r="5806">
          <cell r="X5806" t="str">
            <v/>
          </cell>
          <cell r="Y5806" t="str">
            <v/>
          </cell>
        </row>
        <row r="5807">
          <cell r="X5807" t="str">
            <v/>
          </cell>
          <cell r="Y5807" t="str">
            <v/>
          </cell>
        </row>
        <row r="5808">
          <cell r="X5808" t="str">
            <v/>
          </cell>
          <cell r="Y5808" t="str">
            <v/>
          </cell>
        </row>
        <row r="5809">
          <cell r="X5809" t="str">
            <v/>
          </cell>
          <cell r="Y5809" t="str">
            <v/>
          </cell>
        </row>
        <row r="5810">
          <cell r="X5810" t="str">
            <v/>
          </cell>
          <cell r="Y5810" t="str">
            <v/>
          </cell>
        </row>
        <row r="5811">
          <cell r="X5811" t="str">
            <v/>
          </cell>
          <cell r="Y5811" t="str">
            <v/>
          </cell>
        </row>
        <row r="5812">
          <cell r="X5812" t="str">
            <v/>
          </cell>
          <cell r="Y5812" t="str">
            <v/>
          </cell>
        </row>
        <row r="5813">
          <cell r="X5813" t="str">
            <v/>
          </cell>
          <cell r="Y5813" t="str">
            <v/>
          </cell>
        </row>
        <row r="5814">
          <cell r="X5814" t="str">
            <v/>
          </cell>
          <cell r="Y5814" t="str">
            <v/>
          </cell>
        </row>
        <row r="5815">
          <cell r="X5815" t="str">
            <v/>
          </cell>
          <cell r="Y5815" t="str">
            <v/>
          </cell>
        </row>
        <row r="5816">
          <cell r="X5816" t="str">
            <v/>
          </cell>
          <cell r="Y5816" t="str">
            <v/>
          </cell>
        </row>
        <row r="5817">
          <cell r="X5817" t="str">
            <v/>
          </cell>
          <cell r="Y5817" t="str">
            <v/>
          </cell>
        </row>
        <row r="5818">
          <cell r="X5818" t="str">
            <v/>
          </cell>
          <cell r="Y5818" t="str">
            <v/>
          </cell>
        </row>
        <row r="5819">
          <cell r="X5819" t="str">
            <v/>
          </cell>
          <cell r="Y5819" t="str">
            <v/>
          </cell>
        </row>
        <row r="5820">
          <cell r="X5820" t="str">
            <v/>
          </cell>
          <cell r="Y5820" t="str">
            <v/>
          </cell>
        </row>
        <row r="5821">
          <cell r="X5821" t="str">
            <v/>
          </cell>
          <cell r="Y5821" t="str">
            <v/>
          </cell>
        </row>
        <row r="5822">
          <cell r="X5822" t="str">
            <v/>
          </cell>
          <cell r="Y5822" t="str">
            <v/>
          </cell>
        </row>
        <row r="5823">
          <cell r="X5823" t="str">
            <v/>
          </cell>
          <cell r="Y5823" t="str">
            <v/>
          </cell>
        </row>
        <row r="5824">
          <cell r="X5824" t="str">
            <v/>
          </cell>
          <cell r="Y5824" t="str">
            <v/>
          </cell>
        </row>
        <row r="5825">
          <cell r="X5825" t="str">
            <v/>
          </cell>
          <cell r="Y5825" t="str">
            <v/>
          </cell>
        </row>
        <row r="5826">
          <cell r="X5826" t="str">
            <v/>
          </cell>
          <cell r="Y5826" t="str">
            <v/>
          </cell>
        </row>
        <row r="5827">
          <cell r="X5827" t="str">
            <v/>
          </cell>
          <cell r="Y5827" t="str">
            <v/>
          </cell>
        </row>
        <row r="5828">
          <cell r="X5828" t="str">
            <v/>
          </cell>
          <cell r="Y5828" t="str">
            <v/>
          </cell>
        </row>
        <row r="5829">
          <cell r="X5829" t="str">
            <v/>
          </cell>
          <cell r="Y5829" t="str">
            <v/>
          </cell>
        </row>
        <row r="5830">
          <cell r="X5830" t="str">
            <v/>
          </cell>
          <cell r="Y5830" t="str">
            <v/>
          </cell>
        </row>
        <row r="5831">
          <cell r="X5831" t="str">
            <v/>
          </cell>
          <cell r="Y5831" t="str">
            <v/>
          </cell>
        </row>
        <row r="5832">
          <cell r="X5832" t="str">
            <v/>
          </cell>
          <cell r="Y5832" t="str">
            <v/>
          </cell>
        </row>
        <row r="5833">
          <cell r="X5833" t="str">
            <v/>
          </cell>
          <cell r="Y5833" t="str">
            <v/>
          </cell>
        </row>
        <row r="5834">
          <cell r="X5834" t="str">
            <v/>
          </cell>
          <cell r="Y5834" t="str">
            <v/>
          </cell>
        </row>
        <row r="5835">
          <cell r="X5835" t="str">
            <v/>
          </cell>
          <cell r="Y5835" t="str">
            <v/>
          </cell>
        </row>
        <row r="5836">
          <cell r="X5836" t="str">
            <v/>
          </cell>
          <cell r="Y5836" t="str">
            <v/>
          </cell>
        </row>
        <row r="5837">
          <cell r="X5837" t="str">
            <v/>
          </cell>
          <cell r="Y5837" t="str">
            <v/>
          </cell>
        </row>
        <row r="5838">
          <cell r="X5838" t="str">
            <v/>
          </cell>
          <cell r="Y5838" t="str">
            <v/>
          </cell>
        </row>
        <row r="5839">
          <cell r="X5839" t="str">
            <v/>
          </cell>
          <cell r="Y5839" t="str">
            <v/>
          </cell>
        </row>
        <row r="5840">
          <cell r="X5840" t="str">
            <v/>
          </cell>
          <cell r="Y5840" t="str">
            <v/>
          </cell>
        </row>
        <row r="5841">
          <cell r="X5841" t="str">
            <v/>
          </cell>
          <cell r="Y5841" t="str">
            <v/>
          </cell>
        </row>
        <row r="5842">
          <cell r="X5842" t="str">
            <v/>
          </cell>
          <cell r="Y5842" t="str">
            <v/>
          </cell>
        </row>
        <row r="5843">
          <cell r="X5843" t="str">
            <v/>
          </cell>
          <cell r="Y5843" t="str">
            <v/>
          </cell>
        </row>
        <row r="5844">
          <cell r="X5844" t="str">
            <v/>
          </cell>
          <cell r="Y5844" t="str">
            <v/>
          </cell>
        </row>
        <row r="5845">
          <cell r="X5845" t="str">
            <v/>
          </cell>
          <cell r="Y5845" t="str">
            <v/>
          </cell>
        </row>
        <row r="5846">
          <cell r="X5846" t="str">
            <v/>
          </cell>
          <cell r="Y5846" t="str">
            <v/>
          </cell>
        </row>
        <row r="5847">
          <cell r="X5847" t="str">
            <v/>
          </cell>
          <cell r="Y5847" t="str">
            <v/>
          </cell>
        </row>
        <row r="5848">
          <cell r="X5848" t="str">
            <v/>
          </cell>
          <cell r="Y5848" t="str">
            <v/>
          </cell>
        </row>
        <row r="5849">
          <cell r="X5849" t="str">
            <v/>
          </cell>
          <cell r="Y5849" t="str">
            <v/>
          </cell>
        </row>
        <row r="5850">
          <cell r="X5850" t="str">
            <v/>
          </cell>
          <cell r="Y5850" t="str">
            <v/>
          </cell>
        </row>
        <row r="5851">
          <cell r="X5851" t="str">
            <v/>
          </cell>
          <cell r="Y5851" t="str">
            <v/>
          </cell>
        </row>
        <row r="5852">
          <cell r="X5852" t="str">
            <v/>
          </cell>
          <cell r="Y5852" t="str">
            <v/>
          </cell>
        </row>
        <row r="5853">
          <cell r="X5853" t="str">
            <v/>
          </cell>
          <cell r="Y5853" t="str">
            <v/>
          </cell>
        </row>
        <row r="5854">
          <cell r="X5854" t="str">
            <v/>
          </cell>
          <cell r="Y5854" t="str">
            <v/>
          </cell>
        </row>
        <row r="5855">
          <cell r="X5855" t="str">
            <v/>
          </cell>
          <cell r="Y5855" t="str">
            <v/>
          </cell>
        </row>
        <row r="5856">
          <cell r="X5856" t="str">
            <v/>
          </cell>
          <cell r="Y5856" t="str">
            <v/>
          </cell>
        </row>
        <row r="5857">
          <cell r="X5857" t="str">
            <v/>
          </cell>
          <cell r="Y5857" t="str">
            <v/>
          </cell>
        </row>
        <row r="5858">
          <cell r="X5858" t="str">
            <v/>
          </cell>
          <cell r="Y5858" t="str">
            <v/>
          </cell>
        </row>
        <row r="5859">
          <cell r="X5859" t="str">
            <v/>
          </cell>
          <cell r="Y5859" t="str">
            <v/>
          </cell>
        </row>
        <row r="5860">
          <cell r="X5860" t="str">
            <v/>
          </cell>
          <cell r="Y5860" t="str">
            <v/>
          </cell>
        </row>
        <row r="5861">
          <cell r="X5861" t="str">
            <v/>
          </cell>
          <cell r="Y5861" t="str">
            <v/>
          </cell>
        </row>
        <row r="5862">
          <cell r="X5862" t="str">
            <v/>
          </cell>
          <cell r="Y5862" t="str">
            <v/>
          </cell>
        </row>
        <row r="5863">
          <cell r="X5863" t="str">
            <v/>
          </cell>
          <cell r="Y5863" t="str">
            <v/>
          </cell>
        </row>
        <row r="5864">
          <cell r="X5864" t="str">
            <v/>
          </cell>
          <cell r="Y5864" t="str">
            <v/>
          </cell>
        </row>
        <row r="5865">
          <cell r="X5865" t="str">
            <v/>
          </cell>
          <cell r="Y5865" t="str">
            <v/>
          </cell>
        </row>
        <row r="5866">
          <cell r="X5866" t="str">
            <v/>
          </cell>
          <cell r="Y5866" t="str">
            <v/>
          </cell>
        </row>
        <row r="5867">
          <cell r="X5867" t="str">
            <v/>
          </cell>
          <cell r="Y5867" t="str">
            <v/>
          </cell>
        </row>
        <row r="5868">
          <cell r="X5868" t="str">
            <v/>
          </cell>
          <cell r="Y5868" t="str">
            <v/>
          </cell>
        </row>
        <row r="5869">
          <cell r="X5869" t="str">
            <v/>
          </cell>
          <cell r="Y5869" t="str">
            <v/>
          </cell>
        </row>
        <row r="5870">
          <cell r="X5870" t="str">
            <v/>
          </cell>
          <cell r="Y5870" t="str">
            <v/>
          </cell>
        </row>
        <row r="5871">
          <cell r="X5871" t="str">
            <v/>
          </cell>
          <cell r="Y5871" t="str">
            <v/>
          </cell>
        </row>
        <row r="5872">
          <cell r="X5872" t="str">
            <v/>
          </cell>
          <cell r="Y5872" t="str">
            <v/>
          </cell>
        </row>
        <row r="5873">
          <cell r="X5873" t="str">
            <v/>
          </cell>
          <cell r="Y5873" t="str">
            <v/>
          </cell>
        </row>
        <row r="5874">
          <cell r="X5874" t="str">
            <v/>
          </cell>
          <cell r="Y5874" t="str">
            <v/>
          </cell>
        </row>
        <row r="5875">
          <cell r="X5875" t="str">
            <v/>
          </cell>
          <cell r="Y5875" t="str">
            <v/>
          </cell>
        </row>
        <row r="5876">
          <cell r="X5876" t="str">
            <v/>
          </cell>
          <cell r="Y5876" t="str">
            <v/>
          </cell>
        </row>
        <row r="5877">
          <cell r="X5877" t="str">
            <v/>
          </cell>
          <cell r="Y5877" t="str">
            <v/>
          </cell>
        </row>
        <row r="5878">
          <cell r="X5878" t="str">
            <v/>
          </cell>
          <cell r="Y5878" t="str">
            <v/>
          </cell>
        </row>
        <row r="5879">
          <cell r="X5879" t="str">
            <v/>
          </cell>
          <cell r="Y5879" t="str">
            <v/>
          </cell>
        </row>
        <row r="5880">
          <cell r="X5880" t="str">
            <v/>
          </cell>
          <cell r="Y5880" t="str">
            <v/>
          </cell>
        </row>
        <row r="5881">
          <cell r="X5881" t="str">
            <v/>
          </cell>
          <cell r="Y5881" t="str">
            <v/>
          </cell>
        </row>
        <row r="5882">
          <cell r="X5882" t="str">
            <v/>
          </cell>
          <cell r="Y5882" t="str">
            <v/>
          </cell>
        </row>
        <row r="5883">
          <cell r="X5883" t="str">
            <v/>
          </cell>
          <cell r="Y5883" t="str">
            <v/>
          </cell>
        </row>
        <row r="5884">
          <cell r="X5884" t="str">
            <v/>
          </cell>
          <cell r="Y5884" t="str">
            <v/>
          </cell>
        </row>
        <row r="5885">
          <cell r="X5885" t="str">
            <v/>
          </cell>
          <cell r="Y5885" t="str">
            <v/>
          </cell>
        </row>
        <row r="5886">
          <cell r="X5886" t="str">
            <v/>
          </cell>
          <cell r="Y5886" t="str">
            <v/>
          </cell>
        </row>
        <row r="5887">
          <cell r="X5887" t="str">
            <v/>
          </cell>
          <cell r="Y5887" t="str">
            <v/>
          </cell>
        </row>
        <row r="5888">
          <cell r="X5888" t="str">
            <v/>
          </cell>
          <cell r="Y5888" t="str">
            <v/>
          </cell>
        </row>
        <row r="5889">
          <cell r="X5889" t="str">
            <v/>
          </cell>
          <cell r="Y5889" t="str">
            <v/>
          </cell>
        </row>
        <row r="5890">
          <cell r="X5890" t="str">
            <v/>
          </cell>
          <cell r="Y5890" t="str">
            <v/>
          </cell>
        </row>
        <row r="5891">
          <cell r="X5891" t="str">
            <v/>
          </cell>
          <cell r="Y5891" t="str">
            <v/>
          </cell>
        </row>
        <row r="5892">
          <cell r="X5892" t="str">
            <v/>
          </cell>
          <cell r="Y5892" t="str">
            <v/>
          </cell>
        </row>
        <row r="5893">
          <cell r="X5893" t="str">
            <v/>
          </cell>
          <cell r="Y5893" t="str">
            <v/>
          </cell>
        </row>
        <row r="5894">
          <cell r="X5894" t="str">
            <v/>
          </cell>
          <cell r="Y5894" t="str">
            <v/>
          </cell>
        </row>
        <row r="5895">
          <cell r="X5895" t="str">
            <v/>
          </cell>
          <cell r="Y5895" t="str">
            <v/>
          </cell>
        </row>
        <row r="5896">
          <cell r="X5896" t="str">
            <v/>
          </cell>
          <cell r="Y5896" t="str">
            <v/>
          </cell>
        </row>
        <row r="5897">
          <cell r="X5897" t="str">
            <v/>
          </cell>
          <cell r="Y5897" t="str">
            <v/>
          </cell>
        </row>
        <row r="5898">
          <cell r="X5898" t="str">
            <v/>
          </cell>
          <cell r="Y5898" t="str">
            <v/>
          </cell>
        </row>
        <row r="5899">
          <cell r="X5899" t="str">
            <v/>
          </cell>
          <cell r="Y5899" t="str">
            <v/>
          </cell>
        </row>
        <row r="5900">
          <cell r="X5900" t="str">
            <v/>
          </cell>
          <cell r="Y5900" t="str">
            <v/>
          </cell>
        </row>
        <row r="5901">
          <cell r="X5901" t="str">
            <v/>
          </cell>
          <cell r="Y5901" t="str">
            <v/>
          </cell>
        </row>
        <row r="5902">
          <cell r="X5902" t="str">
            <v/>
          </cell>
          <cell r="Y5902" t="str">
            <v/>
          </cell>
        </row>
        <row r="5903">
          <cell r="X5903" t="str">
            <v/>
          </cell>
          <cell r="Y5903" t="str">
            <v/>
          </cell>
        </row>
        <row r="5904">
          <cell r="X5904" t="str">
            <v/>
          </cell>
          <cell r="Y5904" t="str">
            <v/>
          </cell>
        </row>
        <row r="5905">
          <cell r="X5905" t="str">
            <v/>
          </cell>
          <cell r="Y5905" t="str">
            <v/>
          </cell>
        </row>
        <row r="5906">
          <cell r="X5906" t="str">
            <v/>
          </cell>
          <cell r="Y5906" t="str">
            <v/>
          </cell>
        </row>
        <row r="5907">
          <cell r="X5907" t="str">
            <v/>
          </cell>
          <cell r="Y5907" t="str">
            <v/>
          </cell>
        </row>
        <row r="5908">
          <cell r="X5908" t="str">
            <v/>
          </cell>
          <cell r="Y5908" t="str">
            <v/>
          </cell>
        </row>
        <row r="5909">
          <cell r="X5909" t="str">
            <v/>
          </cell>
          <cell r="Y5909" t="str">
            <v/>
          </cell>
        </row>
        <row r="5910">
          <cell r="X5910" t="str">
            <v/>
          </cell>
          <cell r="Y5910" t="str">
            <v/>
          </cell>
        </row>
        <row r="5911">
          <cell r="X5911" t="str">
            <v/>
          </cell>
          <cell r="Y5911" t="str">
            <v/>
          </cell>
        </row>
        <row r="5912">
          <cell r="X5912" t="str">
            <v/>
          </cell>
          <cell r="Y5912" t="str">
            <v/>
          </cell>
        </row>
        <row r="5913">
          <cell r="X5913" t="str">
            <v/>
          </cell>
          <cell r="Y5913" t="str">
            <v/>
          </cell>
        </row>
        <row r="5914">
          <cell r="X5914" t="str">
            <v/>
          </cell>
          <cell r="Y5914" t="str">
            <v/>
          </cell>
        </row>
        <row r="5915">
          <cell r="X5915" t="str">
            <v/>
          </cell>
          <cell r="Y5915" t="str">
            <v/>
          </cell>
        </row>
        <row r="5916">
          <cell r="X5916" t="str">
            <v/>
          </cell>
          <cell r="Y5916" t="str">
            <v/>
          </cell>
        </row>
        <row r="5917">
          <cell r="X5917" t="str">
            <v/>
          </cell>
          <cell r="Y5917" t="str">
            <v/>
          </cell>
        </row>
        <row r="5918">
          <cell r="X5918" t="str">
            <v/>
          </cell>
          <cell r="Y5918" t="str">
            <v/>
          </cell>
        </row>
        <row r="5919">
          <cell r="X5919" t="str">
            <v/>
          </cell>
          <cell r="Y5919" t="str">
            <v/>
          </cell>
        </row>
        <row r="5920">
          <cell r="X5920" t="str">
            <v/>
          </cell>
          <cell r="Y5920" t="str">
            <v/>
          </cell>
        </row>
        <row r="5921">
          <cell r="X5921" t="str">
            <v/>
          </cell>
          <cell r="Y5921" t="str">
            <v/>
          </cell>
        </row>
        <row r="5922">
          <cell r="X5922" t="str">
            <v/>
          </cell>
          <cell r="Y5922" t="str">
            <v/>
          </cell>
        </row>
        <row r="5923">
          <cell r="X5923" t="str">
            <v/>
          </cell>
          <cell r="Y5923" t="str">
            <v/>
          </cell>
        </row>
        <row r="5924">
          <cell r="X5924" t="str">
            <v/>
          </cell>
          <cell r="Y5924" t="str">
            <v/>
          </cell>
        </row>
        <row r="5925">
          <cell r="X5925" t="str">
            <v/>
          </cell>
          <cell r="Y5925" t="str">
            <v/>
          </cell>
        </row>
        <row r="5926">
          <cell r="X5926" t="str">
            <v/>
          </cell>
          <cell r="Y5926" t="str">
            <v/>
          </cell>
        </row>
        <row r="5927">
          <cell r="X5927" t="str">
            <v/>
          </cell>
          <cell r="Y5927" t="str">
            <v/>
          </cell>
        </row>
        <row r="5928">
          <cell r="X5928" t="str">
            <v/>
          </cell>
          <cell r="Y5928" t="str">
            <v/>
          </cell>
        </row>
        <row r="5929">
          <cell r="X5929" t="str">
            <v/>
          </cell>
          <cell r="Y5929" t="str">
            <v/>
          </cell>
        </row>
        <row r="5930">
          <cell r="X5930" t="str">
            <v/>
          </cell>
          <cell r="Y5930" t="str">
            <v/>
          </cell>
        </row>
        <row r="5931">
          <cell r="X5931" t="str">
            <v/>
          </cell>
          <cell r="Y5931" t="str">
            <v/>
          </cell>
        </row>
        <row r="5932">
          <cell r="X5932" t="str">
            <v/>
          </cell>
          <cell r="Y5932" t="str">
            <v/>
          </cell>
        </row>
        <row r="5933">
          <cell r="X5933" t="str">
            <v/>
          </cell>
          <cell r="Y5933" t="str">
            <v/>
          </cell>
        </row>
        <row r="5934">
          <cell r="X5934" t="str">
            <v/>
          </cell>
          <cell r="Y5934" t="str">
            <v/>
          </cell>
        </row>
        <row r="5935">
          <cell r="X5935" t="str">
            <v/>
          </cell>
          <cell r="Y5935" t="str">
            <v/>
          </cell>
        </row>
        <row r="5936">
          <cell r="X5936" t="str">
            <v/>
          </cell>
          <cell r="Y5936" t="str">
            <v/>
          </cell>
        </row>
        <row r="5937">
          <cell r="X5937" t="str">
            <v/>
          </cell>
          <cell r="Y5937" t="str">
            <v/>
          </cell>
        </row>
        <row r="5938">
          <cell r="X5938" t="str">
            <v/>
          </cell>
          <cell r="Y5938" t="str">
            <v/>
          </cell>
        </row>
        <row r="5939">
          <cell r="X5939" t="str">
            <v/>
          </cell>
          <cell r="Y5939" t="str">
            <v/>
          </cell>
        </row>
        <row r="5940">
          <cell r="X5940" t="str">
            <v/>
          </cell>
          <cell r="Y5940" t="str">
            <v/>
          </cell>
        </row>
        <row r="5941">
          <cell r="X5941" t="str">
            <v/>
          </cell>
          <cell r="Y5941" t="str">
            <v/>
          </cell>
        </row>
        <row r="5942">
          <cell r="X5942" t="str">
            <v/>
          </cell>
          <cell r="Y5942" t="str">
            <v/>
          </cell>
        </row>
        <row r="5943">
          <cell r="X5943" t="str">
            <v/>
          </cell>
          <cell r="Y5943" t="str">
            <v/>
          </cell>
        </row>
        <row r="5944">
          <cell r="X5944" t="str">
            <v/>
          </cell>
          <cell r="Y5944" t="str">
            <v/>
          </cell>
        </row>
        <row r="5945">
          <cell r="X5945" t="str">
            <v/>
          </cell>
          <cell r="Y5945" t="str">
            <v/>
          </cell>
        </row>
        <row r="5946">
          <cell r="X5946" t="str">
            <v/>
          </cell>
          <cell r="Y5946" t="str">
            <v/>
          </cell>
        </row>
        <row r="5947">
          <cell r="X5947" t="str">
            <v/>
          </cell>
          <cell r="Y5947" t="str">
            <v/>
          </cell>
        </row>
        <row r="5948">
          <cell r="X5948" t="str">
            <v/>
          </cell>
          <cell r="Y5948" t="str">
            <v/>
          </cell>
        </row>
        <row r="5949">
          <cell r="X5949" t="str">
            <v/>
          </cell>
          <cell r="Y5949" t="str">
            <v/>
          </cell>
        </row>
        <row r="5950">
          <cell r="X5950" t="str">
            <v/>
          </cell>
          <cell r="Y5950" t="str">
            <v/>
          </cell>
        </row>
        <row r="5951">
          <cell r="X5951" t="str">
            <v/>
          </cell>
          <cell r="Y5951" t="str">
            <v/>
          </cell>
        </row>
        <row r="5952">
          <cell r="X5952" t="str">
            <v/>
          </cell>
          <cell r="Y5952" t="str">
            <v/>
          </cell>
        </row>
        <row r="5953">
          <cell r="X5953" t="str">
            <v/>
          </cell>
          <cell r="Y5953" t="str">
            <v/>
          </cell>
        </row>
        <row r="5954">
          <cell r="X5954" t="str">
            <v/>
          </cell>
          <cell r="Y5954" t="str">
            <v/>
          </cell>
        </row>
        <row r="5955">
          <cell r="X5955" t="str">
            <v/>
          </cell>
          <cell r="Y5955" t="str">
            <v/>
          </cell>
        </row>
        <row r="5956">
          <cell r="X5956" t="str">
            <v/>
          </cell>
          <cell r="Y5956" t="str">
            <v/>
          </cell>
        </row>
        <row r="5957">
          <cell r="X5957" t="str">
            <v/>
          </cell>
          <cell r="Y5957" t="str">
            <v/>
          </cell>
        </row>
        <row r="5958">
          <cell r="X5958" t="str">
            <v/>
          </cell>
          <cell r="Y5958" t="str">
            <v/>
          </cell>
        </row>
        <row r="5959">
          <cell r="X5959" t="str">
            <v/>
          </cell>
          <cell r="Y5959" t="str">
            <v/>
          </cell>
        </row>
        <row r="5960">
          <cell r="X5960" t="str">
            <v/>
          </cell>
          <cell r="Y5960" t="str">
            <v/>
          </cell>
        </row>
        <row r="5961">
          <cell r="X5961" t="str">
            <v/>
          </cell>
          <cell r="Y5961" t="str">
            <v/>
          </cell>
        </row>
        <row r="5962">
          <cell r="X5962" t="str">
            <v/>
          </cell>
          <cell r="Y5962" t="str">
            <v/>
          </cell>
        </row>
        <row r="5963">
          <cell r="X5963" t="str">
            <v/>
          </cell>
          <cell r="Y5963" t="str">
            <v/>
          </cell>
        </row>
        <row r="5964">
          <cell r="X5964" t="str">
            <v/>
          </cell>
          <cell r="Y5964" t="str">
            <v/>
          </cell>
        </row>
        <row r="5965">
          <cell r="X5965" t="str">
            <v/>
          </cell>
          <cell r="Y5965" t="str">
            <v/>
          </cell>
        </row>
        <row r="5966">
          <cell r="X5966" t="str">
            <v/>
          </cell>
          <cell r="Y5966" t="str">
            <v/>
          </cell>
        </row>
        <row r="5967">
          <cell r="X5967" t="str">
            <v/>
          </cell>
          <cell r="Y5967" t="str">
            <v/>
          </cell>
        </row>
        <row r="5968">
          <cell r="X5968" t="str">
            <v/>
          </cell>
          <cell r="Y5968" t="str">
            <v/>
          </cell>
        </row>
        <row r="5969">
          <cell r="X5969" t="str">
            <v/>
          </cell>
          <cell r="Y5969" t="str">
            <v/>
          </cell>
        </row>
        <row r="5970">
          <cell r="X5970" t="str">
            <v/>
          </cell>
          <cell r="Y5970" t="str">
            <v/>
          </cell>
        </row>
        <row r="5971">
          <cell r="X5971" t="str">
            <v/>
          </cell>
          <cell r="Y5971" t="str">
            <v/>
          </cell>
        </row>
        <row r="5972">
          <cell r="X5972" t="str">
            <v/>
          </cell>
          <cell r="Y5972" t="str">
            <v/>
          </cell>
        </row>
        <row r="5973">
          <cell r="X5973" t="str">
            <v/>
          </cell>
          <cell r="Y5973" t="str">
            <v/>
          </cell>
        </row>
        <row r="5974">
          <cell r="X5974" t="str">
            <v/>
          </cell>
          <cell r="Y5974" t="str">
            <v/>
          </cell>
        </row>
        <row r="5975">
          <cell r="X5975" t="str">
            <v/>
          </cell>
          <cell r="Y5975" t="str">
            <v/>
          </cell>
        </row>
        <row r="5976">
          <cell r="X5976" t="str">
            <v/>
          </cell>
          <cell r="Y5976" t="str">
            <v/>
          </cell>
        </row>
        <row r="5977">
          <cell r="X5977" t="str">
            <v/>
          </cell>
          <cell r="Y5977" t="str">
            <v/>
          </cell>
        </row>
        <row r="5978">
          <cell r="X5978" t="str">
            <v/>
          </cell>
          <cell r="Y5978" t="str">
            <v/>
          </cell>
        </row>
        <row r="5979">
          <cell r="X5979" t="str">
            <v/>
          </cell>
          <cell r="Y5979" t="str">
            <v/>
          </cell>
        </row>
        <row r="5980">
          <cell r="X5980" t="str">
            <v/>
          </cell>
          <cell r="Y5980" t="str">
            <v/>
          </cell>
        </row>
        <row r="5981">
          <cell r="X5981" t="str">
            <v/>
          </cell>
          <cell r="Y5981" t="str">
            <v/>
          </cell>
        </row>
        <row r="5982">
          <cell r="X5982" t="str">
            <v/>
          </cell>
          <cell r="Y5982" t="str">
            <v/>
          </cell>
        </row>
        <row r="5983">
          <cell r="X5983" t="str">
            <v/>
          </cell>
          <cell r="Y5983" t="str">
            <v/>
          </cell>
        </row>
        <row r="5984">
          <cell r="X5984" t="str">
            <v/>
          </cell>
          <cell r="Y5984" t="str">
            <v/>
          </cell>
        </row>
        <row r="5985">
          <cell r="X5985" t="str">
            <v/>
          </cell>
          <cell r="Y5985" t="str">
            <v/>
          </cell>
        </row>
        <row r="5986">
          <cell r="X5986" t="str">
            <v/>
          </cell>
          <cell r="Y5986" t="str">
            <v/>
          </cell>
        </row>
        <row r="5987">
          <cell r="X5987" t="str">
            <v/>
          </cell>
          <cell r="Y5987" t="str">
            <v/>
          </cell>
        </row>
        <row r="5988">
          <cell r="X5988" t="str">
            <v/>
          </cell>
          <cell r="Y5988" t="str">
            <v/>
          </cell>
        </row>
        <row r="5989">
          <cell r="X5989" t="str">
            <v/>
          </cell>
          <cell r="Y5989" t="str">
            <v/>
          </cell>
        </row>
        <row r="5990">
          <cell r="X5990" t="str">
            <v/>
          </cell>
          <cell r="Y5990" t="str">
            <v/>
          </cell>
        </row>
        <row r="5991">
          <cell r="X5991" t="str">
            <v/>
          </cell>
          <cell r="Y5991" t="str">
            <v/>
          </cell>
        </row>
        <row r="5992">
          <cell r="X5992" t="str">
            <v/>
          </cell>
          <cell r="Y5992" t="str">
            <v/>
          </cell>
        </row>
        <row r="5993">
          <cell r="X5993" t="str">
            <v/>
          </cell>
          <cell r="Y5993" t="str">
            <v/>
          </cell>
        </row>
        <row r="5994">
          <cell r="X5994" t="str">
            <v/>
          </cell>
          <cell r="Y5994" t="str">
            <v/>
          </cell>
        </row>
        <row r="5995">
          <cell r="X5995" t="str">
            <v/>
          </cell>
          <cell r="Y5995" t="str">
            <v/>
          </cell>
        </row>
        <row r="5996">
          <cell r="X5996" t="str">
            <v/>
          </cell>
          <cell r="Y5996" t="str">
            <v/>
          </cell>
        </row>
        <row r="5997">
          <cell r="X5997" t="str">
            <v/>
          </cell>
          <cell r="Y5997" t="str">
            <v/>
          </cell>
        </row>
        <row r="5998">
          <cell r="X5998" t="str">
            <v/>
          </cell>
          <cell r="Y5998" t="str">
            <v/>
          </cell>
        </row>
        <row r="5999">
          <cell r="X5999" t="str">
            <v/>
          </cell>
          <cell r="Y5999" t="str">
            <v/>
          </cell>
        </row>
        <row r="6000">
          <cell r="X6000" t="str">
            <v/>
          </cell>
          <cell r="Y6000" t="str">
            <v/>
          </cell>
        </row>
        <row r="6001">
          <cell r="X6001" t="str">
            <v/>
          </cell>
          <cell r="Y6001" t="str">
            <v/>
          </cell>
        </row>
        <row r="6002">
          <cell r="X6002" t="str">
            <v/>
          </cell>
          <cell r="Y6002" t="str">
            <v/>
          </cell>
        </row>
        <row r="6003">
          <cell r="X6003" t="str">
            <v/>
          </cell>
          <cell r="Y6003" t="str">
            <v/>
          </cell>
        </row>
        <row r="6004">
          <cell r="X6004" t="str">
            <v/>
          </cell>
          <cell r="Y6004" t="str">
            <v/>
          </cell>
        </row>
        <row r="6005">
          <cell r="X6005" t="str">
            <v/>
          </cell>
          <cell r="Y6005" t="str">
            <v/>
          </cell>
        </row>
        <row r="6006">
          <cell r="X6006" t="str">
            <v/>
          </cell>
          <cell r="Y6006" t="str">
            <v/>
          </cell>
        </row>
        <row r="6007">
          <cell r="X6007" t="str">
            <v/>
          </cell>
          <cell r="Y6007" t="str">
            <v/>
          </cell>
        </row>
        <row r="6008">
          <cell r="X6008" t="str">
            <v/>
          </cell>
          <cell r="Y6008" t="str">
            <v/>
          </cell>
        </row>
        <row r="6009">
          <cell r="X6009" t="str">
            <v/>
          </cell>
          <cell r="Y6009" t="str">
            <v/>
          </cell>
        </row>
        <row r="6010">
          <cell r="X6010" t="str">
            <v/>
          </cell>
          <cell r="Y6010" t="str">
            <v/>
          </cell>
        </row>
        <row r="6011">
          <cell r="X6011" t="str">
            <v/>
          </cell>
          <cell r="Y6011" t="str">
            <v/>
          </cell>
        </row>
        <row r="6012">
          <cell r="X6012" t="str">
            <v/>
          </cell>
          <cell r="Y6012" t="str">
            <v/>
          </cell>
        </row>
        <row r="6013">
          <cell r="X6013" t="str">
            <v/>
          </cell>
          <cell r="Y6013" t="str">
            <v/>
          </cell>
        </row>
        <row r="6014">
          <cell r="X6014" t="str">
            <v/>
          </cell>
          <cell r="Y6014" t="str">
            <v/>
          </cell>
        </row>
        <row r="6015">
          <cell r="X6015" t="str">
            <v/>
          </cell>
          <cell r="Y6015" t="str">
            <v/>
          </cell>
        </row>
        <row r="6016">
          <cell r="X6016" t="str">
            <v/>
          </cell>
          <cell r="Y6016" t="str">
            <v/>
          </cell>
        </row>
        <row r="6017">
          <cell r="X6017" t="str">
            <v/>
          </cell>
          <cell r="Y6017" t="str">
            <v/>
          </cell>
        </row>
        <row r="6018">
          <cell r="X6018" t="str">
            <v/>
          </cell>
          <cell r="Y6018" t="str">
            <v/>
          </cell>
        </row>
        <row r="6019">
          <cell r="X6019" t="str">
            <v/>
          </cell>
          <cell r="Y6019" t="str">
            <v/>
          </cell>
        </row>
        <row r="6020">
          <cell r="X6020" t="str">
            <v/>
          </cell>
          <cell r="Y6020" t="str">
            <v/>
          </cell>
        </row>
        <row r="6021">
          <cell r="X6021" t="str">
            <v/>
          </cell>
          <cell r="Y6021" t="str">
            <v/>
          </cell>
        </row>
        <row r="6022">
          <cell r="X6022" t="str">
            <v/>
          </cell>
          <cell r="Y6022" t="str">
            <v/>
          </cell>
        </row>
        <row r="6023">
          <cell r="X6023" t="str">
            <v/>
          </cell>
          <cell r="Y6023" t="str">
            <v/>
          </cell>
        </row>
        <row r="6024">
          <cell r="X6024" t="str">
            <v/>
          </cell>
          <cell r="Y6024" t="str">
            <v/>
          </cell>
        </row>
        <row r="6025">
          <cell r="X6025" t="str">
            <v/>
          </cell>
          <cell r="Y6025" t="str">
            <v/>
          </cell>
        </row>
        <row r="6026">
          <cell r="X6026" t="str">
            <v/>
          </cell>
          <cell r="Y6026" t="str">
            <v/>
          </cell>
        </row>
        <row r="6027">
          <cell r="X6027" t="str">
            <v/>
          </cell>
          <cell r="Y6027" t="str">
            <v/>
          </cell>
        </row>
        <row r="6028">
          <cell r="X6028" t="str">
            <v/>
          </cell>
          <cell r="Y6028" t="str">
            <v/>
          </cell>
        </row>
        <row r="6029">
          <cell r="X6029" t="str">
            <v/>
          </cell>
          <cell r="Y6029" t="str">
            <v/>
          </cell>
        </row>
        <row r="6030">
          <cell r="X6030" t="str">
            <v/>
          </cell>
          <cell r="Y6030" t="str">
            <v/>
          </cell>
        </row>
        <row r="6031">
          <cell r="X6031" t="str">
            <v/>
          </cell>
          <cell r="Y6031" t="str">
            <v/>
          </cell>
        </row>
        <row r="6032">
          <cell r="X6032" t="str">
            <v/>
          </cell>
          <cell r="Y6032" t="str">
            <v/>
          </cell>
        </row>
        <row r="6033">
          <cell r="X6033" t="str">
            <v/>
          </cell>
          <cell r="Y6033" t="str">
            <v/>
          </cell>
        </row>
        <row r="6034">
          <cell r="X6034" t="str">
            <v/>
          </cell>
          <cell r="Y6034" t="str">
            <v/>
          </cell>
        </row>
        <row r="6035">
          <cell r="X6035" t="str">
            <v/>
          </cell>
          <cell r="Y6035" t="str">
            <v/>
          </cell>
        </row>
        <row r="6036">
          <cell r="X6036" t="str">
            <v/>
          </cell>
          <cell r="Y6036" t="str">
            <v/>
          </cell>
        </row>
        <row r="6037">
          <cell r="X6037" t="str">
            <v/>
          </cell>
          <cell r="Y6037" t="str">
            <v/>
          </cell>
        </row>
        <row r="6038">
          <cell r="X6038" t="str">
            <v/>
          </cell>
          <cell r="Y6038" t="str">
            <v/>
          </cell>
        </row>
        <row r="6039">
          <cell r="X6039" t="str">
            <v/>
          </cell>
          <cell r="Y6039" t="str">
            <v/>
          </cell>
        </row>
        <row r="6040">
          <cell r="X6040" t="str">
            <v/>
          </cell>
          <cell r="Y6040" t="str">
            <v/>
          </cell>
        </row>
        <row r="6041">
          <cell r="X6041" t="str">
            <v/>
          </cell>
          <cell r="Y6041" t="str">
            <v/>
          </cell>
        </row>
        <row r="6042">
          <cell r="X6042" t="str">
            <v/>
          </cell>
          <cell r="Y6042" t="str">
            <v/>
          </cell>
        </row>
        <row r="6043">
          <cell r="X6043" t="str">
            <v/>
          </cell>
          <cell r="Y6043" t="str">
            <v/>
          </cell>
        </row>
        <row r="6044">
          <cell r="X6044" t="str">
            <v/>
          </cell>
          <cell r="Y6044" t="str">
            <v/>
          </cell>
        </row>
        <row r="6045">
          <cell r="X6045" t="str">
            <v/>
          </cell>
          <cell r="Y6045" t="str">
            <v/>
          </cell>
        </row>
        <row r="6046">
          <cell r="X6046" t="str">
            <v/>
          </cell>
          <cell r="Y6046" t="str">
            <v/>
          </cell>
        </row>
        <row r="6047">
          <cell r="X6047" t="str">
            <v/>
          </cell>
          <cell r="Y6047" t="str">
            <v/>
          </cell>
        </row>
        <row r="6048">
          <cell r="X6048" t="str">
            <v/>
          </cell>
          <cell r="Y6048" t="str">
            <v/>
          </cell>
        </row>
        <row r="6049">
          <cell r="X6049" t="str">
            <v/>
          </cell>
          <cell r="Y6049" t="str">
            <v/>
          </cell>
        </row>
        <row r="6050">
          <cell r="X6050" t="str">
            <v/>
          </cell>
          <cell r="Y6050" t="str">
            <v/>
          </cell>
        </row>
        <row r="6051">
          <cell r="X6051" t="str">
            <v/>
          </cell>
          <cell r="Y6051" t="str">
            <v/>
          </cell>
        </row>
        <row r="6052">
          <cell r="X6052" t="str">
            <v/>
          </cell>
          <cell r="Y6052" t="str">
            <v/>
          </cell>
        </row>
        <row r="6053">
          <cell r="X6053" t="str">
            <v/>
          </cell>
          <cell r="Y6053" t="str">
            <v/>
          </cell>
        </row>
        <row r="6054">
          <cell r="X6054" t="str">
            <v/>
          </cell>
          <cell r="Y6054" t="str">
            <v/>
          </cell>
        </row>
        <row r="6055">
          <cell r="X6055" t="str">
            <v/>
          </cell>
          <cell r="Y6055" t="str">
            <v/>
          </cell>
        </row>
        <row r="6056">
          <cell r="X6056" t="str">
            <v/>
          </cell>
          <cell r="Y6056" t="str">
            <v/>
          </cell>
        </row>
        <row r="6057">
          <cell r="X6057" t="str">
            <v/>
          </cell>
          <cell r="Y6057" t="str">
            <v/>
          </cell>
        </row>
        <row r="6058">
          <cell r="X6058" t="str">
            <v/>
          </cell>
          <cell r="Y6058" t="str">
            <v/>
          </cell>
        </row>
        <row r="6059">
          <cell r="X6059" t="str">
            <v/>
          </cell>
          <cell r="Y6059" t="str">
            <v/>
          </cell>
        </row>
        <row r="6060">
          <cell r="X6060" t="str">
            <v/>
          </cell>
          <cell r="Y6060" t="str">
            <v/>
          </cell>
        </row>
        <row r="6061">
          <cell r="X6061" t="str">
            <v/>
          </cell>
          <cell r="Y6061" t="str">
            <v/>
          </cell>
        </row>
        <row r="6062">
          <cell r="X6062" t="str">
            <v/>
          </cell>
          <cell r="Y6062" t="str">
            <v/>
          </cell>
        </row>
        <row r="6063">
          <cell r="X6063" t="str">
            <v/>
          </cell>
          <cell r="Y6063" t="str">
            <v/>
          </cell>
        </row>
        <row r="6064">
          <cell r="X6064" t="str">
            <v/>
          </cell>
          <cell r="Y6064" t="str">
            <v/>
          </cell>
        </row>
        <row r="6065">
          <cell r="X6065" t="str">
            <v/>
          </cell>
          <cell r="Y6065" t="str">
            <v/>
          </cell>
        </row>
        <row r="6066">
          <cell r="X6066" t="str">
            <v/>
          </cell>
          <cell r="Y6066" t="str">
            <v/>
          </cell>
        </row>
        <row r="6067">
          <cell r="X6067" t="str">
            <v/>
          </cell>
          <cell r="Y6067" t="str">
            <v/>
          </cell>
        </row>
        <row r="6068">
          <cell r="X6068" t="str">
            <v/>
          </cell>
          <cell r="Y6068" t="str">
            <v/>
          </cell>
        </row>
        <row r="6069">
          <cell r="X6069" t="str">
            <v/>
          </cell>
          <cell r="Y6069" t="str">
            <v/>
          </cell>
        </row>
        <row r="6070">
          <cell r="X6070" t="str">
            <v/>
          </cell>
          <cell r="Y6070" t="str">
            <v/>
          </cell>
        </row>
        <row r="6071">
          <cell r="X6071" t="str">
            <v/>
          </cell>
          <cell r="Y6071" t="str">
            <v/>
          </cell>
        </row>
        <row r="6072">
          <cell r="X6072" t="str">
            <v/>
          </cell>
          <cell r="Y6072" t="str">
            <v/>
          </cell>
        </row>
        <row r="6073">
          <cell r="X6073" t="str">
            <v/>
          </cell>
          <cell r="Y6073" t="str">
            <v/>
          </cell>
        </row>
        <row r="6074">
          <cell r="X6074" t="str">
            <v/>
          </cell>
          <cell r="Y6074" t="str">
            <v/>
          </cell>
        </row>
        <row r="6075">
          <cell r="X6075" t="str">
            <v/>
          </cell>
          <cell r="Y6075" t="str">
            <v/>
          </cell>
        </row>
        <row r="6076">
          <cell r="X6076" t="str">
            <v/>
          </cell>
          <cell r="Y6076" t="str">
            <v/>
          </cell>
        </row>
        <row r="6077">
          <cell r="X6077" t="str">
            <v/>
          </cell>
          <cell r="Y6077" t="str">
            <v/>
          </cell>
        </row>
        <row r="6078">
          <cell r="X6078" t="str">
            <v/>
          </cell>
          <cell r="Y6078" t="str">
            <v/>
          </cell>
        </row>
        <row r="6079">
          <cell r="X6079" t="str">
            <v/>
          </cell>
          <cell r="Y6079" t="str">
            <v/>
          </cell>
        </row>
        <row r="6080">
          <cell r="X6080" t="str">
            <v/>
          </cell>
          <cell r="Y6080" t="str">
            <v/>
          </cell>
        </row>
        <row r="6081">
          <cell r="X6081" t="str">
            <v/>
          </cell>
          <cell r="Y6081" t="str">
            <v/>
          </cell>
        </row>
        <row r="6082">
          <cell r="X6082" t="str">
            <v/>
          </cell>
          <cell r="Y6082" t="str">
            <v/>
          </cell>
        </row>
        <row r="6083">
          <cell r="X6083" t="str">
            <v/>
          </cell>
          <cell r="Y6083" t="str">
            <v/>
          </cell>
        </row>
        <row r="6084">
          <cell r="X6084" t="str">
            <v/>
          </cell>
          <cell r="Y6084" t="str">
            <v/>
          </cell>
        </row>
        <row r="6085">
          <cell r="X6085" t="str">
            <v/>
          </cell>
          <cell r="Y6085" t="str">
            <v/>
          </cell>
        </row>
        <row r="6086">
          <cell r="X6086" t="str">
            <v/>
          </cell>
          <cell r="Y6086" t="str">
            <v/>
          </cell>
        </row>
        <row r="6087">
          <cell r="X6087" t="str">
            <v/>
          </cell>
          <cell r="Y6087" t="str">
            <v/>
          </cell>
        </row>
        <row r="6088">
          <cell r="X6088" t="str">
            <v/>
          </cell>
          <cell r="Y6088" t="str">
            <v/>
          </cell>
        </row>
        <row r="6089">
          <cell r="X6089" t="str">
            <v/>
          </cell>
          <cell r="Y6089" t="str">
            <v/>
          </cell>
        </row>
        <row r="6090">
          <cell r="X6090" t="str">
            <v/>
          </cell>
          <cell r="Y6090" t="str">
            <v/>
          </cell>
        </row>
        <row r="6091">
          <cell r="X6091" t="str">
            <v/>
          </cell>
          <cell r="Y6091" t="str">
            <v/>
          </cell>
        </row>
        <row r="6092">
          <cell r="X6092" t="str">
            <v/>
          </cell>
          <cell r="Y6092" t="str">
            <v/>
          </cell>
        </row>
        <row r="6093">
          <cell r="X6093" t="str">
            <v/>
          </cell>
          <cell r="Y6093" t="str">
            <v/>
          </cell>
        </row>
        <row r="6094">
          <cell r="X6094" t="str">
            <v/>
          </cell>
          <cell r="Y6094" t="str">
            <v/>
          </cell>
        </row>
        <row r="6095">
          <cell r="X6095" t="str">
            <v/>
          </cell>
          <cell r="Y6095" t="str">
            <v/>
          </cell>
        </row>
        <row r="6096">
          <cell r="X6096" t="str">
            <v/>
          </cell>
          <cell r="Y6096" t="str">
            <v/>
          </cell>
        </row>
        <row r="6097">
          <cell r="X6097" t="str">
            <v/>
          </cell>
          <cell r="Y6097" t="str">
            <v/>
          </cell>
        </row>
        <row r="6098">
          <cell r="X6098" t="str">
            <v/>
          </cell>
          <cell r="Y6098" t="str">
            <v/>
          </cell>
        </row>
        <row r="6099">
          <cell r="X6099" t="str">
            <v/>
          </cell>
          <cell r="Y6099" t="str">
            <v/>
          </cell>
        </row>
        <row r="6100">
          <cell r="X6100" t="str">
            <v/>
          </cell>
          <cell r="Y6100" t="str">
            <v/>
          </cell>
        </row>
        <row r="6101">
          <cell r="X6101" t="str">
            <v/>
          </cell>
          <cell r="Y6101" t="str">
            <v/>
          </cell>
        </row>
        <row r="6102">
          <cell r="X6102" t="str">
            <v/>
          </cell>
          <cell r="Y6102" t="str">
            <v/>
          </cell>
        </row>
        <row r="6103">
          <cell r="X6103" t="str">
            <v/>
          </cell>
          <cell r="Y6103" t="str">
            <v/>
          </cell>
        </row>
        <row r="6104">
          <cell r="X6104" t="str">
            <v/>
          </cell>
          <cell r="Y6104" t="str">
            <v/>
          </cell>
        </row>
        <row r="6105">
          <cell r="X6105" t="str">
            <v/>
          </cell>
          <cell r="Y6105" t="str">
            <v/>
          </cell>
        </row>
        <row r="6106">
          <cell r="X6106" t="str">
            <v/>
          </cell>
          <cell r="Y6106" t="str">
            <v/>
          </cell>
        </row>
        <row r="6107">
          <cell r="X6107" t="str">
            <v/>
          </cell>
          <cell r="Y6107" t="str">
            <v/>
          </cell>
        </row>
        <row r="6108">
          <cell r="X6108" t="str">
            <v/>
          </cell>
          <cell r="Y6108" t="str">
            <v/>
          </cell>
        </row>
        <row r="6109">
          <cell r="X6109" t="str">
            <v/>
          </cell>
          <cell r="Y6109" t="str">
            <v/>
          </cell>
        </row>
        <row r="6110">
          <cell r="X6110" t="str">
            <v/>
          </cell>
          <cell r="Y6110" t="str">
            <v/>
          </cell>
        </row>
        <row r="6111">
          <cell r="X6111" t="str">
            <v/>
          </cell>
          <cell r="Y6111" t="str">
            <v/>
          </cell>
        </row>
        <row r="6112">
          <cell r="X6112" t="str">
            <v/>
          </cell>
          <cell r="Y6112" t="str">
            <v/>
          </cell>
        </row>
        <row r="6113">
          <cell r="X6113" t="str">
            <v/>
          </cell>
          <cell r="Y6113" t="str">
            <v/>
          </cell>
        </row>
        <row r="6114">
          <cell r="X6114" t="str">
            <v/>
          </cell>
          <cell r="Y6114" t="str">
            <v/>
          </cell>
        </row>
        <row r="6115">
          <cell r="X6115" t="str">
            <v/>
          </cell>
          <cell r="Y6115" t="str">
            <v/>
          </cell>
        </row>
        <row r="6116">
          <cell r="X6116" t="str">
            <v/>
          </cell>
          <cell r="Y6116" t="str">
            <v/>
          </cell>
        </row>
        <row r="6117">
          <cell r="X6117" t="str">
            <v/>
          </cell>
          <cell r="Y6117" t="str">
            <v/>
          </cell>
        </row>
        <row r="6118">
          <cell r="X6118" t="str">
            <v/>
          </cell>
          <cell r="Y6118" t="str">
            <v/>
          </cell>
        </row>
        <row r="6119">
          <cell r="X6119" t="str">
            <v/>
          </cell>
          <cell r="Y6119" t="str">
            <v/>
          </cell>
        </row>
        <row r="6120">
          <cell r="X6120" t="str">
            <v/>
          </cell>
          <cell r="Y6120" t="str">
            <v/>
          </cell>
        </row>
        <row r="6121">
          <cell r="X6121" t="str">
            <v/>
          </cell>
          <cell r="Y6121" t="str">
            <v/>
          </cell>
        </row>
        <row r="6122">
          <cell r="X6122" t="str">
            <v/>
          </cell>
          <cell r="Y6122" t="str">
            <v/>
          </cell>
        </row>
        <row r="6123">
          <cell r="X6123" t="str">
            <v/>
          </cell>
          <cell r="Y6123" t="str">
            <v/>
          </cell>
        </row>
        <row r="6124">
          <cell r="X6124" t="str">
            <v/>
          </cell>
          <cell r="Y6124" t="str">
            <v/>
          </cell>
        </row>
        <row r="6125">
          <cell r="X6125" t="str">
            <v/>
          </cell>
          <cell r="Y6125" t="str">
            <v/>
          </cell>
        </row>
        <row r="6126">
          <cell r="X6126" t="str">
            <v/>
          </cell>
          <cell r="Y6126" t="str">
            <v/>
          </cell>
        </row>
        <row r="6127">
          <cell r="X6127" t="str">
            <v/>
          </cell>
          <cell r="Y6127" t="str">
            <v/>
          </cell>
        </row>
        <row r="6128">
          <cell r="X6128" t="str">
            <v/>
          </cell>
          <cell r="Y6128" t="str">
            <v/>
          </cell>
        </row>
        <row r="6129">
          <cell r="X6129" t="str">
            <v/>
          </cell>
          <cell r="Y6129" t="str">
            <v/>
          </cell>
        </row>
        <row r="6130">
          <cell r="X6130" t="str">
            <v/>
          </cell>
          <cell r="Y6130" t="str">
            <v/>
          </cell>
        </row>
        <row r="6131">
          <cell r="X6131" t="str">
            <v/>
          </cell>
          <cell r="Y6131" t="str">
            <v/>
          </cell>
        </row>
        <row r="6132">
          <cell r="X6132" t="str">
            <v/>
          </cell>
          <cell r="Y6132" t="str">
            <v/>
          </cell>
        </row>
        <row r="6133">
          <cell r="X6133" t="str">
            <v/>
          </cell>
          <cell r="Y6133" t="str">
            <v/>
          </cell>
        </row>
        <row r="6134">
          <cell r="X6134" t="str">
            <v/>
          </cell>
          <cell r="Y6134" t="str">
            <v/>
          </cell>
        </row>
        <row r="6135">
          <cell r="X6135" t="str">
            <v/>
          </cell>
          <cell r="Y6135" t="str">
            <v/>
          </cell>
        </row>
        <row r="6136">
          <cell r="X6136" t="str">
            <v/>
          </cell>
          <cell r="Y6136" t="str">
            <v/>
          </cell>
        </row>
        <row r="6137">
          <cell r="X6137" t="str">
            <v/>
          </cell>
          <cell r="Y6137" t="str">
            <v/>
          </cell>
        </row>
        <row r="6138">
          <cell r="X6138" t="str">
            <v/>
          </cell>
          <cell r="Y6138" t="str">
            <v/>
          </cell>
        </row>
        <row r="6139">
          <cell r="X6139" t="str">
            <v/>
          </cell>
          <cell r="Y6139" t="str">
            <v/>
          </cell>
        </row>
        <row r="6140">
          <cell r="X6140" t="str">
            <v/>
          </cell>
          <cell r="Y6140" t="str">
            <v/>
          </cell>
        </row>
        <row r="6141">
          <cell r="X6141" t="str">
            <v/>
          </cell>
          <cell r="Y6141" t="str">
            <v/>
          </cell>
        </row>
        <row r="6142">
          <cell r="X6142" t="str">
            <v/>
          </cell>
          <cell r="Y6142" t="str">
            <v/>
          </cell>
        </row>
        <row r="6143">
          <cell r="X6143" t="str">
            <v/>
          </cell>
          <cell r="Y6143" t="str">
            <v/>
          </cell>
        </row>
        <row r="6144">
          <cell r="X6144" t="str">
            <v/>
          </cell>
          <cell r="Y6144" t="str">
            <v/>
          </cell>
        </row>
        <row r="6145">
          <cell r="X6145" t="str">
            <v/>
          </cell>
          <cell r="Y6145" t="str">
            <v/>
          </cell>
        </row>
        <row r="6146">
          <cell r="X6146" t="str">
            <v/>
          </cell>
          <cell r="Y6146" t="str">
            <v/>
          </cell>
        </row>
        <row r="6147">
          <cell r="X6147" t="str">
            <v/>
          </cell>
          <cell r="Y6147" t="str">
            <v/>
          </cell>
        </row>
        <row r="6148">
          <cell r="X6148" t="str">
            <v/>
          </cell>
          <cell r="Y6148" t="str">
            <v/>
          </cell>
        </row>
        <row r="6149">
          <cell r="X6149" t="str">
            <v/>
          </cell>
          <cell r="Y6149" t="str">
            <v/>
          </cell>
        </row>
        <row r="6150">
          <cell r="X6150" t="str">
            <v/>
          </cell>
          <cell r="Y6150" t="str">
            <v/>
          </cell>
        </row>
        <row r="6151">
          <cell r="X6151" t="str">
            <v/>
          </cell>
          <cell r="Y6151" t="str">
            <v/>
          </cell>
        </row>
        <row r="6152">
          <cell r="X6152" t="str">
            <v/>
          </cell>
          <cell r="Y6152" t="str">
            <v/>
          </cell>
        </row>
        <row r="6153">
          <cell r="X6153" t="str">
            <v/>
          </cell>
          <cell r="Y6153" t="str">
            <v/>
          </cell>
        </row>
        <row r="6154">
          <cell r="X6154" t="str">
            <v/>
          </cell>
          <cell r="Y6154" t="str">
            <v/>
          </cell>
        </row>
        <row r="6155">
          <cell r="X6155" t="str">
            <v/>
          </cell>
          <cell r="Y6155" t="str">
            <v/>
          </cell>
        </row>
        <row r="6156">
          <cell r="X6156" t="str">
            <v/>
          </cell>
          <cell r="Y6156" t="str">
            <v/>
          </cell>
        </row>
        <row r="6157">
          <cell r="X6157" t="str">
            <v/>
          </cell>
          <cell r="Y6157" t="str">
            <v/>
          </cell>
        </row>
        <row r="6158">
          <cell r="X6158" t="str">
            <v/>
          </cell>
          <cell r="Y6158" t="str">
            <v/>
          </cell>
        </row>
        <row r="6159">
          <cell r="X6159" t="str">
            <v/>
          </cell>
          <cell r="Y6159" t="str">
            <v/>
          </cell>
        </row>
        <row r="6160">
          <cell r="X6160" t="str">
            <v/>
          </cell>
          <cell r="Y6160" t="str">
            <v/>
          </cell>
        </row>
        <row r="6161">
          <cell r="X6161" t="str">
            <v/>
          </cell>
          <cell r="Y6161" t="str">
            <v/>
          </cell>
        </row>
        <row r="6162">
          <cell r="X6162" t="str">
            <v/>
          </cell>
          <cell r="Y6162" t="str">
            <v/>
          </cell>
        </row>
        <row r="6163">
          <cell r="X6163" t="str">
            <v/>
          </cell>
          <cell r="Y6163" t="str">
            <v/>
          </cell>
        </row>
        <row r="6164">
          <cell r="X6164" t="str">
            <v/>
          </cell>
          <cell r="Y6164" t="str">
            <v/>
          </cell>
        </row>
        <row r="6165">
          <cell r="X6165" t="str">
            <v/>
          </cell>
          <cell r="Y6165" t="str">
            <v/>
          </cell>
        </row>
        <row r="6166">
          <cell r="X6166" t="str">
            <v/>
          </cell>
          <cell r="Y6166" t="str">
            <v/>
          </cell>
        </row>
        <row r="6167">
          <cell r="X6167" t="str">
            <v/>
          </cell>
          <cell r="Y6167" t="str">
            <v/>
          </cell>
        </row>
        <row r="6168">
          <cell r="X6168" t="str">
            <v/>
          </cell>
          <cell r="Y6168" t="str">
            <v/>
          </cell>
        </row>
        <row r="6169">
          <cell r="X6169" t="str">
            <v/>
          </cell>
          <cell r="Y6169" t="str">
            <v/>
          </cell>
        </row>
        <row r="6170">
          <cell r="X6170" t="str">
            <v/>
          </cell>
          <cell r="Y6170" t="str">
            <v/>
          </cell>
        </row>
        <row r="6171">
          <cell r="X6171" t="str">
            <v/>
          </cell>
          <cell r="Y6171" t="str">
            <v/>
          </cell>
        </row>
        <row r="6172">
          <cell r="X6172" t="str">
            <v/>
          </cell>
          <cell r="Y6172" t="str">
            <v/>
          </cell>
        </row>
        <row r="6173">
          <cell r="X6173" t="str">
            <v/>
          </cell>
          <cell r="Y6173" t="str">
            <v/>
          </cell>
        </row>
        <row r="6174">
          <cell r="X6174" t="str">
            <v/>
          </cell>
          <cell r="Y6174" t="str">
            <v/>
          </cell>
        </row>
        <row r="6175">
          <cell r="X6175" t="str">
            <v/>
          </cell>
          <cell r="Y6175" t="str">
            <v/>
          </cell>
        </row>
        <row r="6176">
          <cell r="X6176" t="str">
            <v/>
          </cell>
          <cell r="Y6176" t="str">
            <v/>
          </cell>
        </row>
        <row r="6177">
          <cell r="X6177" t="str">
            <v/>
          </cell>
          <cell r="Y6177" t="str">
            <v/>
          </cell>
        </row>
        <row r="6178">
          <cell r="X6178" t="str">
            <v/>
          </cell>
          <cell r="Y6178" t="str">
            <v/>
          </cell>
        </row>
        <row r="6179">
          <cell r="X6179" t="str">
            <v/>
          </cell>
          <cell r="Y6179" t="str">
            <v/>
          </cell>
        </row>
        <row r="6180">
          <cell r="X6180" t="str">
            <v/>
          </cell>
          <cell r="Y6180" t="str">
            <v/>
          </cell>
        </row>
        <row r="6181">
          <cell r="X6181" t="str">
            <v/>
          </cell>
          <cell r="Y6181" t="str">
            <v/>
          </cell>
        </row>
        <row r="6182">
          <cell r="X6182" t="str">
            <v/>
          </cell>
          <cell r="Y6182" t="str">
            <v/>
          </cell>
        </row>
        <row r="6183">
          <cell r="X6183" t="str">
            <v/>
          </cell>
          <cell r="Y6183" t="str">
            <v/>
          </cell>
        </row>
        <row r="6184">
          <cell r="X6184" t="str">
            <v/>
          </cell>
          <cell r="Y6184" t="str">
            <v/>
          </cell>
        </row>
        <row r="6185">
          <cell r="X6185" t="str">
            <v/>
          </cell>
          <cell r="Y6185" t="str">
            <v/>
          </cell>
        </row>
        <row r="6186">
          <cell r="X6186" t="str">
            <v/>
          </cell>
          <cell r="Y6186" t="str">
            <v/>
          </cell>
        </row>
        <row r="6187">
          <cell r="X6187" t="str">
            <v/>
          </cell>
          <cell r="Y6187" t="str">
            <v/>
          </cell>
        </row>
        <row r="6188">
          <cell r="X6188" t="str">
            <v/>
          </cell>
          <cell r="Y6188" t="str">
            <v/>
          </cell>
        </row>
        <row r="6189">
          <cell r="X6189" t="str">
            <v/>
          </cell>
          <cell r="Y6189" t="str">
            <v/>
          </cell>
        </row>
        <row r="6190">
          <cell r="X6190" t="str">
            <v/>
          </cell>
          <cell r="Y6190" t="str">
            <v/>
          </cell>
        </row>
        <row r="6191">
          <cell r="X6191" t="str">
            <v/>
          </cell>
          <cell r="Y6191" t="str">
            <v/>
          </cell>
        </row>
        <row r="6192">
          <cell r="X6192" t="str">
            <v/>
          </cell>
          <cell r="Y6192" t="str">
            <v/>
          </cell>
        </row>
        <row r="6193">
          <cell r="X6193" t="str">
            <v/>
          </cell>
          <cell r="Y6193" t="str">
            <v/>
          </cell>
        </row>
        <row r="6194">
          <cell r="X6194" t="str">
            <v/>
          </cell>
          <cell r="Y6194" t="str">
            <v/>
          </cell>
        </row>
        <row r="6195">
          <cell r="X6195" t="str">
            <v/>
          </cell>
          <cell r="Y6195" t="str">
            <v/>
          </cell>
        </row>
        <row r="6196">
          <cell r="X6196" t="str">
            <v/>
          </cell>
          <cell r="Y6196" t="str">
            <v/>
          </cell>
        </row>
        <row r="6197">
          <cell r="X6197" t="str">
            <v/>
          </cell>
          <cell r="Y6197" t="str">
            <v/>
          </cell>
        </row>
        <row r="6198">
          <cell r="X6198" t="str">
            <v/>
          </cell>
          <cell r="Y6198" t="str">
            <v/>
          </cell>
        </row>
        <row r="6199">
          <cell r="X6199" t="str">
            <v/>
          </cell>
          <cell r="Y6199" t="str">
            <v/>
          </cell>
        </row>
        <row r="6200">
          <cell r="X6200" t="str">
            <v/>
          </cell>
          <cell r="Y6200" t="str">
            <v/>
          </cell>
        </row>
        <row r="6201">
          <cell r="X6201" t="str">
            <v/>
          </cell>
          <cell r="Y6201" t="str">
            <v/>
          </cell>
        </row>
        <row r="6202">
          <cell r="X6202" t="str">
            <v/>
          </cell>
          <cell r="Y6202" t="str">
            <v/>
          </cell>
        </row>
        <row r="6203">
          <cell r="X6203" t="str">
            <v/>
          </cell>
          <cell r="Y6203" t="str">
            <v/>
          </cell>
        </row>
        <row r="6204">
          <cell r="X6204" t="str">
            <v/>
          </cell>
          <cell r="Y6204" t="str">
            <v/>
          </cell>
        </row>
        <row r="6205">
          <cell r="X6205" t="str">
            <v/>
          </cell>
          <cell r="Y6205" t="str">
            <v/>
          </cell>
        </row>
        <row r="6206">
          <cell r="X6206" t="str">
            <v/>
          </cell>
          <cell r="Y6206" t="str">
            <v/>
          </cell>
        </row>
        <row r="6207">
          <cell r="X6207" t="str">
            <v/>
          </cell>
          <cell r="Y6207" t="str">
            <v/>
          </cell>
        </row>
        <row r="6208">
          <cell r="X6208" t="str">
            <v/>
          </cell>
          <cell r="Y6208" t="str">
            <v/>
          </cell>
        </row>
        <row r="6209">
          <cell r="X6209" t="str">
            <v/>
          </cell>
          <cell r="Y6209" t="str">
            <v/>
          </cell>
        </row>
        <row r="6210">
          <cell r="X6210" t="str">
            <v/>
          </cell>
          <cell r="Y6210" t="str">
            <v/>
          </cell>
        </row>
        <row r="6211">
          <cell r="X6211" t="str">
            <v/>
          </cell>
          <cell r="Y6211" t="str">
            <v/>
          </cell>
        </row>
        <row r="6212">
          <cell r="X6212" t="str">
            <v/>
          </cell>
          <cell r="Y6212" t="str">
            <v/>
          </cell>
        </row>
        <row r="6213">
          <cell r="X6213" t="str">
            <v/>
          </cell>
          <cell r="Y6213" t="str">
            <v/>
          </cell>
        </row>
        <row r="6214">
          <cell r="X6214" t="str">
            <v/>
          </cell>
          <cell r="Y6214" t="str">
            <v/>
          </cell>
        </row>
        <row r="6215">
          <cell r="X6215" t="str">
            <v/>
          </cell>
          <cell r="Y6215" t="str">
            <v/>
          </cell>
        </row>
        <row r="6216">
          <cell r="X6216" t="str">
            <v/>
          </cell>
          <cell r="Y6216" t="str">
            <v/>
          </cell>
        </row>
        <row r="6217">
          <cell r="X6217" t="str">
            <v/>
          </cell>
          <cell r="Y6217" t="str">
            <v/>
          </cell>
        </row>
        <row r="6218">
          <cell r="X6218" t="str">
            <v/>
          </cell>
          <cell r="Y6218" t="str">
            <v/>
          </cell>
        </row>
        <row r="6219">
          <cell r="X6219" t="str">
            <v/>
          </cell>
          <cell r="Y6219" t="str">
            <v/>
          </cell>
        </row>
        <row r="6220">
          <cell r="X6220" t="str">
            <v/>
          </cell>
          <cell r="Y6220" t="str">
            <v/>
          </cell>
        </row>
        <row r="6221">
          <cell r="X6221" t="str">
            <v/>
          </cell>
          <cell r="Y6221" t="str">
            <v/>
          </cell>
        </row>
        <row r="6222">
          <cell r="X6222" t="str">
            <v/>
          </cell>
          <cell r="Y6222" t="str">
            <v/>
          </cell>
        </row>
        <row r="6223">
          <cell r="X6223" t="str">
            <v/>
          </cell>
          <cell r="Y6223" t="str">
            <v/>
          </cell>
        </row>
        <row r="6224">
          <cell r="X6224" t="str">
            <v/>
          </cell>
          <cell r="Y6224" t="str">
            <v/>
          </cell>
        </row>
        <row r="6225">
          <cell r="X6225" t="str">
            <v/>
          </cell>
          <cell r="Y6225" t="str">
            <v/>
          </cell>
        </row>
        <row r="6226">
          <cell r="X6226" t="str">
            <v/>
          </cell>
          <cell r="Y6226" t="str">
            <v/>
          </cell>
        </row>
        <row r="6227">
          <cell r="X6227" t="str">
            <v/>
          </cell>
          <cell r="Y6227" t="str">
            <v/>
          </cell>
        </row>
        <row r="6228">
          <cell r="X6228" t="str">
            <v/>
          </cell>
          <cell r="Y6228" t="str">
            <v/>
          </cell>
        </row>
        <row r="6229">
          <cell r="X6229" t="str">
            <v/>
          </cell>
          <cell r="Y6229" t="str">
            <v/>
          </cell>
        </row>
        <row r="6230">
          <cell r="X6230" t="str">
            <v/>
          </cell>
          <cell r="Y6230" t="str">
            <v/>
          </cell>
        </row>
        <row r="6231">
          <cell r="X6231" t="str">
            <v/>
          </cell>
          <cell r="Y6231" t="str">
            <v/>
          </cell>
        </row>
        <row r="6232">
          <cell r="X6232" t="str">
            <v/>
          </cell>
          <cell r="Y6232" t="str">
            <v/>
          </cell>
        </row>
        <row r="6233">
          <cell r="X6233" t="str">
            <v/>
          </cell>
          <cell r="Y6233" t="str">
            <v/>
          </cell>
        </row>
        <row r="6234">
          <cell r="X6234" t="str">
            <v/>
          </cell>
          <cell r="Y6234" t="str">
            <v/>
          </cell>
        </row>
        <row r="6235">
          <cell r="X6235" t="str">
            <v/>
          </cell>
          <cell r="Y6235" t="str">
            <v/>
          </cell>
        </row>
        <row r="6236">
          <cell r="X6236" t="str">
            <v/>
          </cell>
          <cell r="Y6236" t="str">
            <v/>
          </cell>
        </row>
        <row r="6237">
          <cell r="X6237" t="str">
            <v/>
          </cell>
          <cell r="Y6237" t="str">
            <v/>
          </cell>
        </row>
        <row r="6238">
          <cell r="X6238" t="str">
            <v/>
          </cell>
          <cell r="Y6238" t="str">
            <v/>
          </cell>
        </row>
        <row r="6239">
          <cell r="X6239" t="str">
            <v/>
          </cell>
          <cell r="Y6239" t="str">
            <v/>
          </cell>
        </row>
        <row r="6240">
          <cell r="X6240" t="str">
            <v/>
          </cell>
          <cell r="Y6240" t="str">
            <v/>
          </cell>
        </row>
        <row r="6241">
          <cell r="X6241" t="str">
            <v/>
          </cell>
          <cell r="Y6241" t="str">
            <v/>
          </cell>
        </row>
        <row r="6242">
          <cell r="X6242" t="str">
            <v/>
          </cell>
          <cell r="Y6242" t="str">
            <v/>
          </cell>
        </row>
        <row r="6243">
          <cell r="X6243" t="str">
            <v/>
          </cell>
          <cell r="Y6243" t="str">
            <v/>
          </cell>
        </row>
        <row r="6244">
          <cell r="X6244" t="str">
            <v/>
          </cell>
          <cell r="Y6244" t="str">
            <v/>
          </cell>
        </row>
        <row r="6245">
          <cell r="X6245" t="str">
            <v/>
          </cell>
          <cell r="Y6245" t="str">
            <v/>
          </cell>
        </row>
        <row r="6246">
          <cell r="X6246" t="str">
            <v/>
          </cell>
          <cell r="Y6246" t="str">
            <v/>
          </cell>
        </row>
        <row r="6247">
          <cell r="X6247" t="str">
            <v/>
          </cell>
          <cell r="Y6247" t="str">
            <v/>
          </cell>
        </row>
        <row r="6248">
          <cell r="X6248" t="str">
            <v/>
          </cell>
          <cell r="Y6248" t="str">
            <v/>
          </cell>
        </row>
        <row r="6249">
          <cell r="X6249" t="str">
            <v/>
          </cell>
          <cell r="Y6249" t="str">
            <v/>
          </cell>
        </row>
        <row r="6250">
          <cell r="X6250" t="str">
            <v/>
          </cell>
          <cell r="Y6250" t="str">
            <v/>
          </cell>
        </row>
        <row r="6251">
          <cell r="X6251" t="str">
            <v/>
          </cell>
          <cell r="Y6251" t="str">
            <v/>
          </cell>
        </row>
        <row r="6252">
          <cell r="X6252" t="str">
            <v/>
          </cell>
          <cell r="Y6252" t="str">
            <v/>
          </cell>
        </row>
        <row r="6253">
          <cell r="X6253" t="str">
            <v/>
          </cell>
          <cell r="Y6253" t="str">
            <v/>
          </cell>
        </row>
        <row r="6254">
          <cell r="X6254" t="str">
            <v/>
          </cell>
          <cell r="Y6254" t="str">
            <v/>
          </cell>
        </row>
        <row r="6255">
          <cell r="X6255" t="str">
            <v/>
          </cell>
          <cell r="Y6255" t="str">
            <v/>
          </cell>
        </row>
        <row r="6256">
          <cell r="X6256" t="str">
            <v/>
          </cell>
          <cell r="Y6256" t="str">
            <v/>
          </cell>
        </row>
        <row r="6257">
          <cell r="X6257" t="str">
            <v/>
          </cell>
          <cell r="Y6257" t="str">
            <v/>
          </cell>
        </row>
        <row r="6258">
          <cell r="X6258" t="str">
            <v/>
          </cell>
          <cell r="Y6258" t="str">
            <v/>
          </cell>
        </row>
        <row r="6259">
          <cell r="X6259" t="str">
            <v/>
          </cell>
          <cell r="Y6259" t="str">
            <v/>
          </cell>
        </row>
        <row r="6260">
          <cell r="X6260" t="str">
            <v/>
          </cell>
          <cell r="Y6260" t="str">
            <v/>
          </cell>
        </row>
        <row r="6261">
          <cell r="X6261" t="str">
            <v/>
          </cell>
          <cell r="Y6261" t="str">
            <v/>
          </cell>
        </row>
        <row r="6262">
          <cell r="X6262" t="str">
            <v/>
          </cell>
          <cell r="Y6262" t="str">
            <v/>
          </cell>
        </row>
        <row r="6263">
          <cell r="X6263" t="str">
            <v/>
          </cell>
          <cell r="Y6263" t="str">
            <v/>
          </cell>
        </row>
        <row r="6264">
          <cell r="X6264" t="str">
            <v/>
          </cell>
          <cell r="Y6264" t="str">
            <v/>
          </cell>
        </row>
        <row r="6265">
          <cell r="X6265" t="str">
            <v/>
          </cell>
          <cell r="Y6265" t="str">
            <v/>
          </cell>
        </row>
        <row r="6266">
          <cell r="X6266" t="str">
            <v/>
          </cell>
          <cell r="Y6266" t="str">
            <v/>
          </cell>
        </row>
        <row r="6267">
          <cell r="X6267" t="str">
            <v/>
          </cell>
          <cell r="Y6267" t="str">
            <v/>
          </cell>
        </row>
        <row r="6268">
          <cell r="X6268" t="str">
            <v/>
          </cell>
          <cell r="Y6268" t="str">
            <v/>
          </cell>
        </row>
        <row r="6269">
          <cell r="X6269" t="str">
            <v/>
          </cell>
          <cell r="Y6269" t="str">
            <v/>
          </cell>
        </row>
        <row r="6270">
          <cell r="X6270" t="str">
            <v/>
          </cell>
          <cell r="Y6270" t="str">
            <v/>
          </cell>
        </row>
        <row r="6271">
          <cell r="X6271" t="str">
            <v/>
          </cell>
          <cell r="Y6271" t="str">
            <v/>
          </cell>
        </row>
        <row r="6272">
          <cell r="X6272" t="str">
            <v/>
          </cell>
          <cell r="Y6272" t="str">
            <v/>
          </cell>
        </row>
        <row r="6273">
          <cell r="X6273" t="str">
            <v/>
          </cell>
          <cell r="Y6273" t="str">
            <v/>
          </cell>
        </row>
        <row r="6274">
          <cell r="X6274" t="str">
            <v/>
          </cell>
          <cell r="Y6274" t="str">
            <v/>
          </cell>
        </row>
        <row r="6275">
          <cell r="X6275" t="str">
            <v/>
          </cell>
          <cell r="Y6275" t="str">
            <v/>
          </cell>
        </row>
        <row r="6276">
          <cell r="X6276" t="str">
            <v/>
          </cell>
          <cell r="Y6276" t="str">
            <v/>
          </cell>
        </row>
        <row r="6277">
          <cell r="X6277" t="str">
            <v/>
          </cell>
          <cell r="Y6277" t="str">
            <v/>
          </cell>
        </row>
        <row r="6278">
          <cell r="X6278" t="str">
            <v/>
          </cell>
          <cell r="Y6278" t="str">
            <v/>
          </cell>
        </row>
        <row r="6279">
          <cell r="X6279" t="str">
            <v/>
          </cell>
          <cell r="Y6279" t="str">
            <v/>
          </cell>
        </row>
        <row r="6280">
          <cell r="X6280" t="str">
            <v/>
          </cell>
          <cell r="Y6280" t="str">
            <v/>
          </cell>
        </row>
        <row r="6281">
          <cell r="X6281" t="str">
            <v/>
          </cell>
          <cell r="Y6281" t="str">
            <v/>
          </cell>
        </row>
        <row r="6282">
          <cell r="X6282" t="str">
            <v/>
          </cell>
          <cell r="Y6282" t="str">
            <v/>
          </cell>
        </row>
        <row r="6283">
          <cell r="X6283" t="str">
            <v/>
          </cell>
          <cell r="Y6283" t="str">
            <v/>
          </cell>
        </row>
        <row r="6284">
          <cell r="X6284" t="str">
            <v/>
          </cell>
          <cell r="Y6284" t="str">
            <v/>
          </cell>
        </row>
        <row r="6285">
          <cell r="X6285" t="str">
            <v/>
          </cell>
          <cell r="Y6285" t="str">
            <v/>
          </cell>
        </row>
        <row r="6286">
          <cell r="X6286" t="str">
            <v/>
          </cell>
          <cell r="Y6286" t="str">
            <v/>
          </cell>
        </row>
        <row r="6287">
          <cell r="X6287" t="str">
            <v/>
          </cell>
          <cell r="Y6287" t="str">
            <v/>
          </cell>
        </row>
        <row r="6288">
          <cell r="X6288" t="str">
            <v/>
          </cell>
          <cell r="Y6288" t="str">
            <v/>
          </cell>
        </row>
        <row r="6289">
          <cell r="X6289" t="str">
            <v/>
          </cell>
          <cell r="Y6289" t="str">
            <v/>
          </cell>
        </row>
        <row r="6290">
          <cell r="X6290" t="str">
            <v/>
          </cell>
          <cell r="Y6290" t="str">
            <v/>
          </cell>
        </row>
        <row r="6291">
          <cell r="X6291" t="str">
            <v/>
          </cell>
          <cell r="Y6291" t="str">
            <v/>
          </cell>
        </row>
        <row r="6292">
          <cell r="X6292" t="str">
            <v/>
          </cell>
          <cell r="Y6292" t="str">
            <v/>
          </cell>
        </row>
        <row r="6293">
          <cell r="X6293" t="str">
            <v/>
          </cell>
          <cell r="Y6293" t="str">
            <v/>
          </cell>
        </row>
        <row r="6294">
          <cell r="X6294" t="str">
            <v/>
          </cell>
          <cell r="Y6294" t="str">
            <v/>
          </cell>
        </row>
        <row r="6295">
          <cell r="X6295" t="str">
            <v/>
          </cell>
          <cell r="Y6295" t="str">
            <v/>
          </cell>
        </row>
        <row r="6296">
          <cell r="X6296" t="str">
            <v/>
          </cell>
          <cell r="Y6296" t="str">
            <v/>
          </cell>
        </row>
        <row r="6297">
          <cell r="X6297" t="str">
            <v/>
          </cell>
          <cell r="Y6297" t="str">
            <v/>
          </cell>
        </row>
        <row r="6298">
          <cell r="X6298" t="str">
            <v/>
          </cell>
          <cell r="Y6298" t="str">
            <v/>
          </cell>
        </row>
        <row r="6299">
          <cell r="X6299" t="str">
            <v/>
          </cell>
          <cell r="Y6299" t="str">
            <v/>
          </cell>
        </row>
        <row r="6300">
          <cell r="X6300" t="str">
            <v/>
          </cell>
          <cell r="Y6300" t="str">
            <v/>
          </cell>
        </row>
        <row r="6301">
          <cell r="X6301" t="str">
            <v/>
          </cell>
          <cell r="Y6301" t="str">
            <v/>
          </cell>
        </row>
        <row r="6302">
          <cell r="X6302" t="str">
            <v/>
          </cell>
          <cell r="Y6302" t="str">
            <v/>
          </cell>
        </row>
        <row r="6303">
          <cell r="X6303" t="str">
            <v/>
          </cell>
          <cell r="Y6303" t="str">
            <v/>
          </cell>
        </row>
        <row r="6304">
          <cell r="X6304" t="str">
            <v/>
          </cell>
          <cell r="Y6304" t="str">
            <v/>
          </cell>
        </row>
        <row r="6305">
          <cell r="X6305" t="str">
            <v/>
          </cell>
          <cell r="Y6305" t="str">
            <v/>
          </cell>
        </row>
        <row r="6306">
          <cell r="X6306" t="str">
            <v/>
          </cell>
          <cell r="Y6306" t="str">
            <v/>
          </cell>
        </row>
        <row r="6307">
          <cell r="X6307" t="str">
            <v/>
          </cell>
          <cell r="Y6307" t="str">
            <v/>
          </cell>
        </row>
        <row r="6308">
          <cell r="X6308" t="str">
            <v/>
          </cell>
          <cell r="Y6308" t="str">
            <v/>
          </cell>
        </row>
        <row r="6309">
          <cell r="X6309" t="str">
            <v/>
          </cell>
          <cell r="Y6309" t="str">
            <v/>
          </cell>
        </row>
        <row r="6310">
          <cell r="X6310" t="str">
            <v/>
          </cell>
          <cell r="Y6310" t="str">
            <v/>
          </cell>
        </row>
        <row r="6311">
          <cell r="X6311" t="str">
            <v/>
          </cell>
          <cell r="Y6311" t="str">
            <v/>
          </cell>
        </row>
        <row r="6312">
          <cell r="X6312" t="str">
            <v/>
          </cell>
          <cell r="Y6312" t="str">
            <v/>
          </cell>
        </row>
        <row r="6313">
          <cell r="X6313" t="str">
            <v/>
          </cell>
          <cell r="Y6313" t="str">
            <v/>
          </cell>
        </row>
        <row r="6314">
          <cell r="X6314" t="str">
            <v/>
          </cell>
          <cell r="Y6314" t="str">
            <v/>
          </cell>
        </row>
        <row r="6315">
          <cell r="X6315" t="str">
            <v/>
          </cell>
          <cell r="Y6315" t="str">
            <v/>
          </cell>
        </row>
        <row r="6316">
          <cell r="X6316" t="str">
            <v/>
          </cell>
          <cell r="Y6316" t="str">
            <v/>
          </cell>
        </row>
        <row r="6317">
          <cell r="X6317" t="str">
            <v/>
          </cell>
          <cell r="Y6317" t="str">
            <v/>
          </cell>
        </row>
        <row r="6318">
          <cell r="X6318" t="str">
            <v/>
          </cell>
          <cell r="Y6318" t="str">
            <v/>
          </cell>
        </row>
        <row r="6319">
          <cell r="X6319" t="str">
            <v/>
          </cell>
          <cell r="Y6319" t="str">
            <v/>
          </cell>
        </row>
        <row r="6320">
          <cell r="X6320" t="str">
            <v/>
          </cell>
          <cell r="Y6320" t="str">
            <v/>
          </cell>
        </row>
        <row r="6321">
          <cell r="X6321" t="str">
            <v/>
          </cell>
          <cell r="Y6321" t="str">
            <v/>
          </cell>
        </row>
        <row r="6322">
          <cell r="X6322" t="str">
            <v/>
          </cell>
          <cell r="Y6322" t="str">
            <v/>
          </cell>
        </row>
        <row r="6323">
          <cell r="X6323" t="str">
            <v/>
          </cell>
          <cell r="Y6323" t="str">
            <v/>
          </cell>
        </row>
        <row r="6324">
          <cell r="X6324" t="str">
            <v/>
          </cell>
          <cell r="Y6324" t="str">
            <v/>
          </cell>
        </row>
        <row r="6325">
          <cell r="X6325" t="str">
            <v/>
          </cell>
          <cell r="Y6325" t="str">
            <v/>
          </cell>
        </row>
        <row r="6326">
          <cell r="X6326" t="str">
            <v/>
          </cell>
          <cell r="Y6326" t="str">
            <v/>
          </cell>
        </row>
        <row r="6327">
          <cell r="X6327" t="str">
            <v/>
          </cell>
          <cell r="Y6327" t="str">
            <v/>
          </cell>
        </row>
        <row r="6328">
          <cell r="X6328" t="str">
            <v/>
          </cell>
          <cell r="Y6328" t="str">
            <v/>
          </cell>
        </row>
        <row r="6329">
          <cell r="X6329" t="str">
            <v/>
          </cell>
          <cell r="Y6329" t="str">
            <v/>
          </cell>
        </row>
        <row r="6330">
          <cell r="X6330" t="str">
            <v/>
          </cell>
          <cell r="Y6330" t="str">
            <v/>
          </cell>
        </row>
        <row r="6331">
          <cell r="X6331" t="str">
            <v/>
          </cell>
          <cell r="Y6331" t="str">
            <v/>
          </cell>
        </row>
        <row r="6332">
          <cell r="X6332" t="str">
            <v/>
          </cell>
          <cell r="Y6332" t="str">
            <v/>
          </cell>
        </row>
        <row r="6333">
          <cell r="X6333" t="str">
            <v/>
          </cell>
          <cell r="Y6333" t="str">
            <v/>
          </cell>
        </row>
        <row r="6334">
          <cell r="X6334" t="str">
            <v/>
          </cell>
          <cell r="Y6334" t="str">
            <v/>
          </cell>
        </row>
        <row r="6335">
          <cell r="X6335" t="str">
            <v/>
          </cell>
          <cell r="Y6335" t="str">
            <v/>
          </cell>
        </row>
        <row r="6336">
          <cell r="X6336" t="str">
            <v/>
          </cell>
          <cell r="Y6336" t="str">
            <v/>
          </cell>
        </row>
        <row r="6337">
          <cell r="X6337" t="str">
            <v/>
          </cell>
          <cell r="Y6337" t="str">
            <v/>
          </cell>
        </row>
        <row r="6338">
          <cell r="X6338" t="str">
            <v/>
          </cell>
          <cell r="Y6338" t="str">
            <v/>
          </cell>
        </row>
        <row r="6339">
          <cell r="X6339" t="str">
            <v/>
          </cell>
          <cell r="Y6339" t="str">
            <v/>
          </cell>
        </row>
        <row r="6340">
          <cell r="X6340" t="str">
            <v/>
          </cell>
          <cell r="Y6340" t="str">
            <v/>
          </cell>
        </row>
        <row r="6341">
          <cell r="X6341" t="str">
            <v/>
          </cell>
          <cell r="Y6341" t="str">
            <v/>
          </cell>
        </row>
        <row r="6342">
          <cell r="X6342" t="str">
            <v/>
          </cell>
          <cell r="Y6342" t="str">
            <v/>
          </cell>
        </row>
        <row r="6343">
          <cell r="X6343" t="str">
            <v/>
          </cell>
          <cell r="Y6343" t="str">
            <v/>
          </cell>
        </row>
        <row r="6344">
          <cell r="X6344" t="str">
            <v/>
          </cell>
          <cell r="Y6344" t="str">
            <v/>
          </cell>
        </row>
        <row r="6345">
          <cell r="X6345" t="str">
            <v/>
          </cell>
          <cell r="Y6345" t="str">
            <v/>
          </cell>
        </row>
        <row r="6346">
          <cell r="X6346" t="str">
            <v/>
          </cell>
          <cell r="Y6346" t="str">
            <v/>
          </cell>
        </row>
        <row r="6347">
          <cell r="X6347" t="str">
            <v/>
          </cell>
          <cell r="Y6347" t="str">
            <v/>
          </cell>
        </row>
        <row r="6348">
          <cell r="X6348" t="str">
            <v/>
          </cell>
          <cell r="Y6348" t="str">
            <v/>
          </cell>
        </row>
        <row r="6349">
          <cell r="X6349" t="str">
            <v/>
          </cell>
          <cell r="Y6349" t="str">
            <v/>
          </cell>
        </row>
        <row r="6350">
          <cell r="X6350" t="str">
            <v/>
          </cell>
          <cell r="Y6350" t="str">
            <v/>
          </cell>
        </row>
        <row r="6351">
          <cell r="X6351" t="str">
            <v/>
          </cell>
          <cell r="Y6351" t="str">
            <v/>
          </cell>
        </row>
        <row r="6352">
          <cell r="X6352" t="str">
            <v/>
          </cell>
          <cell r="Y6352" t="str">
            <v/>
          </cell>
        </row>
        <row r="6353">
          <cell r="X6353" t="str">
            <v/>
          </cell>
          <cell r="Y6353" t="str">
            <v/>
          </cell>
        </row>
        <row r="6354">
          <cell r="X6354" t="str">
            <v/>
          </cell>
          <cell r="Y6354" t="str">
            <v/>
          </cell>
        </row>
        <row r="6355">
          <cell r="X6355" t="str">
            <v/>
          </cell>
          <cell r="Y6355" t="str">
            <v/>
          </cell>
        </row>
        <row r="6356">
          <cell r="X6356" t="str">
            <v/>
          </cell>
          <cell r="Y6356" t="str">
            <v/>
          </cell>
        </row>
        <row r="6357">
          <cell r="X6357" t="str">
            <v/>
          </cell>
          <cell r="Y6357" t="str">
            <v/>
          </cell>
        </row>
        <row r="6358">
          <cell r="X6358" t="str">
            <v/>
          </cell>
          <cell r="Y6358" t="str">
            <v/>
          </cell>
        </row>
        <row r="6359">
          <cell r="X6359" t="str">
            <v/>
          </cell>
          <cell r="Y6359" t="str">
            <v/>
          </cell>
        </row>
        <row r="6360">
          <cell r="X6360" t="str">
            <v/>
          </cell>
          <cell r="Y6360" t="str">
            <v/>
          </cell>
        </row>
        <row r="6361">
          <cell r="X6361" t="str">
            <v/>
          </cell>
          <cell r="Y6361" t="str">
            <v/>
          </cell>
        </row>
        <row r="6362">
          <cell r="X6362" t="str">
            <v/>
          </cell>
          <cell r="Y6362" t="str">
            <v/>
          </cell>
        </row>
        <row r="6363">
          <cell r="X6363" t="str">
            <v/>
          </cell>
          <cell r="Y6363" t="str">
            <v/>
          </cell>
        </row>
        <row r="6364">
          <cell r="X6364" t="str">
            <v/>
          </cell>
          <cell r="Y6364" t="str">
            <v/>
          </cell>
        </row>
        <row r="6365">
          <cell r="X6365" t="str">
            <v/>
          </cell>
          <cell r="Y6365" t="str">
            <v/>
          </cell>
        </row>
        <row r="6366">
          <cell r="X6366" t="str">
            <v/>
          </cell>
          <cell r="Y6366" t="str">
            <v/>
          </cell>
        </row>
        <row r="6367">
          <cell r="X6367" t="str">
            <v/>
          </cell>
          <cell r="Y6367" t="str">
            <v/>
          </cell>
        </row>
        <row r="6368">
          <cell r="X6368" t="str">
            <v/>
          </cell>
          <cell r="Y6368" t="str">
            <v/>
          </cell>
        </row>
        <row r="6369">
          <cell r="X6369" t="str">
            <v/>
          </cell>
          <cell r="Y6369" t="str">
            <v/>
          </cell>
        </row>
        <row r="6370">
          <cell r="X6370" t="str">
            <v/>
          </cell>
          <cell r="Y6370" t="str">
            <v/>
          </cell>
        </row>
        <row r="6371">
          <cell r="X6371" t="str">
            <v/>
          </cell>
          <cell r="Y6371" t="str">
            <v/>
          </cell>
        </row>
        <row r="6372">
          <cell r="X6372" t="str">
            <v/>
          </cell>
          <cell r="Y6372" t="str">
            <v/>
          </cell>
        </row>
        <row r="6373">
          <cell r="X6373" t="str">
            <v/>
          </cell>
          <cell r="Y6373" t="str">
            <v/>
          </cell>
        </row>
        <row r="6374">
          <cell r="X6374" t="str">
            <v/>
          </cell>
          <cell r="Y6374" t="str">
            <v/>
          </cell>
        </row>
        <row r="6375">
          <cell r="X6375" t="str">
            <v/>
          </cell>
          <cell r="Y6375" t="str">
            <v/>
          </cell>
        </row>
        <row r="6376">
          <cell r="X6376" t="str">
            <v/>
          </cell>
          <cell r="Y6376" t="str">
            <v/>
          </cell>
        </row>
        <row r="6377">
          <cell r="X6377" t="str">
            <v/>
          </cell>
          <cell r="Y6377" t="str">
            <v/>
          </cell>
        </row>
        <row r="6378">
          <cell r="X6378" t="str">
            <v/>
          </cell>
          <cell r="Y6378" t="str">
            <v/>
          </cell>
        </row>
        <row r="6379">
          <cell r="X6379" t="str">
            <v/>
          </cell>
          <cell r="Y6379" t="str">
            <v/>
          </cell>
        </row>
        <row r="6380">
          <cell r="X6380" t="str">
            <v/>
          </cell>
          <cell r="Y6380" t="str">
            <v/>
          </cell>
        </row>
        <row r="6381">
          <cell r="X6381" t="str">
            <v/>
          </cell>
          <cell r="Y6381" t="str">
            <v/>
          </cell>
        </row>
        <row r="6382">
          <cell r="X6382" t="str">
            <v/>
          </cell>
          <cell r="Y6382" t="str">
            <v/>
          </cell>
        </row>
        <row r="6383">
          <cell r="X6383" t="str">
            <v/>
          </cell>
          <cell r="Y6383" t="str">
            <v/>
          </cell>
        </row>
        <row r="6384">
          <cell r="X6384" t="str">
            <v/>
          </cell>
          <cell r="Y6384" t="str">
            <v/>
          </cell>
        </row>
        <row r="6385">
          <cell r="X6385" t="str">
            <v/>
          </cell>
          <cell r="Y6385" t="str">
            <v/>
          </cell>
        </row>
        <row r="6386">
          <cell r="X6386" t="str">
            <v/>
          </cell>
          <cell r="Y6386" t="str">
            <v/>
          </cell>
        </row>
        <row r="6387">
          <cell r="X6387" t="str">
            <v/>
          </cell>
          <cell r="Y6387" t="str">
            <v/>
          </cell>
        </row>
        <row r="6388">
          <cell r="X6388" t="str">
            <v/>
          </cell>
          <cell r="Y6388" t="str">
            <v/>
          </cell>
        </row>
        <row r="6389">
          <cell r="X6389" t="str">
            <v/>
          </cell>
          <cell r="Y6389" t="str">
            <v/>
          </cell>
        </row>
        <row r="6390">
          <cell r="X6390" t="str">
            <v/>
          </cell>
          <cell r="Y6390" t="str">
            <v/>
          </cell>
        </row>
        <row r="6391">
          <cell r="X6391" t="str">
            <v/>
          </cell>
          <cell r="Y6391" t="str">
            <v/>
          </cell>
        </row>
        <row r="6392">
          <cell r="X6392" t="str">
            <v/>
          </cell>
          <cell r="Y6392" t="str">
            <v/>
          </cell>
        </row>
        <row r="6393">
          <cell r="X6393" t="str">
            <v/>
          </cell>
          <cell r="Y6393" t="str">
            <v/>
          </cell>
        </row>
        <row r="6394">
          <cell r="X6394" t="str">
            <v/>
          </cell>
          <cell r="Y6394" t="str">
            <v/>
          </cell>
        </row>
        <row r="6395">
          <cell r="X6395" t="str">
            <v/>
          </cell>
          <cell r="Y6395" t="str">
            <v/>
          </cell>
        </row>
        <row r="6396">
          <cell r="X6396" t="str">
            <v/>
          </cell>
          <cell r="Y6396" t="str">
            <v/>
          </cell>
        </row>
        <row r="6397">
          <cell r="X6397" t="str">
            <v/>
          </cell>
          <cell r="Y6397" t="str">
            <v/>
          </cell>
        </row>
        <row r="6398">
          <cell r="X6398" t="str">
            <v/>
          </cell>
          <cell r="Y6398" t="str">
            <v/>
          </cell>
        </row>
        <row r="6399">
          <cell r="X6399" t="str">
            <v/>
          </cell>
          <cell r="Y6399" t="str">
            <v/>
          </cell>
        </row>
        <row r="6400">
          <cell r="X6400" t="str">
            <v/>
          </cell>
          <cell r="Y6400" t="str">
            <v/>
          </cell>
        </row>
        <row r="6401">
          <cell r="X6401" t="str">
            <v/>
          </cell>
          <cell r="Y6401" t="str">
            <v/>
          </cell>
        </row>
        <row r="6402">
          <cell r="X6402" t="str">
            <v/>
          </cell>
          <cell r="Y6402" t="str">
            <v/>
          </cell>
        </row>
        <row r="6403">
          <cell r="X6403" t="str">
            <v/>
          </cell>
          <cell r="Y6403" t="str">
            <v/>
          </cell>
        </row>
        <row r="6404">
          <cell r="X6404" t="str">
            <v/>
          </cell>
          <cell r="Y6404" t="str">
            <v/>
          </cell>
        </row>
        <row r="6405">
          <cell r="X6405" t="str">
            <v/>
          </cell>
          <cell r="Y6405" t="str">
            <v/>
          </cell>
        </row>
        <row r="6406">
          <cell r="X6406" t="str">
            <v/>
          </cell>
          <cell r="Y6406" t="str">
            <v/>
          </cell>
        </row>
        <row r="6407">
          <cell r="X6407" t="str">
            <v/>
          </cell>
          <cell r="Y6407" t="str">
            <v/>
          </cell>
        </row>
        <row r="6408">
          <cell r="X6408" t="str">
            <v/>
          </cell>
          <cell r="Y6408" t="str">
            <v/>
          </cell>
        </row>
        <row r="6409">
          <cell r="X6409" t="str">
            <v/>
          </cell>
          <cell r="Y6409" t="str">
            <v/>
          </cell>
        </row>
        <row r="6410">
          <cell r="X6410" t="str">
            <v/>
          </cell>
          <cell r="Y6410" t="str">
            <v/>
          </cell>
        </row>
        <row r="6411">
          <cell r="X6411" t="str">
            <v/>
          </cell>
          <cell r="Y6411" t="str">
            <v/>
          </cell>
        </row>
        <row r="6412">
          <cell r="X6412" t="str">
            <v/>
          </cell>
          <cell r="Y6412" t="str">
            <v/>
          </cell>
        </row>
        <row r="6413">
          <cell r="X6413" t="str">
            <v/>
          </cell>
          <cell r="Y6413" t="str">
            <v/>
          </cell>
        </row>
        <row r="6414">
          <cell r="X6414" t="str">
            <v/>
          </cell>
          <cell r="Y6414" t="str">
            <v/>
          </cell>
        </row>
        <row r="6415">
          <cell r="X6415" t="str">
            <v/>
          </cell>
          <cell r="Y6415" t="str">
            <v/>
          </cell>
        </row>
        <row r="6416">
          <cell r="X6416" t="str">
            <v/>
          </cell>
          <cell r="Y6416" t="str">
            <v/>
          </cell>
        </row>
        <row r="6417">
          <cell r="X6417" t="str">
            <v/>
          </cell>
          <cell r="Y6417" t="str">
            <v/>
          </cell>
        </row>
        <row r="6418">
          <cell r="X6418" t="str">
            <v/>
          </cell>
          <cell r="Y6418" t="str">
            <v/>
          </cell>
        </row>
        <row r="6419">
          <cell r="X6419" t="str">
            <v/>
          </cell>
          <cell r="Y6419" t="str">
            <v/>
          </cell>
        </row>
        <row r="6420">
          <cell r="X6420" t="str">
            <v/>
          </cell>
          <cell r="Y6420" t="str">
            <v/>
          </cell>
        </row>
        <row r="6421">
          <cell r="X6421" t="str">
            <v/>
          </cell>
          <cell r="Y6421" t="str">
            <v/>
          </cell>
        </row>
        <row r="6422">
          <cell r="X6422" t="str">
            <v/>
          </cell>
          <cell r="Y6422" t="str">
            <v/>
          </cell>
        </row>
        <row r="6423">
          <cell r="X6423" t="str">
            <v/>
          </cell>
          <cell r="Y6423" t="str">
            <v/>
          </cell>
        </row>
        <row r="6424">
          <cell r="X6424" t="str">
            <v/>
          </cell>
          <cell r="Y6424" t="str">
            <v/>
          </cell>
        </row>
        <row r="6425">
          <cell r="X6425" t="str">
            <v/>
          </cell>
          <cell r="Y6425" t="str">
            <v/>
          </cell>
        </row>
        <row r="6426">
          <cell r="X6426" t="str">
            <v/>
          </cell>
          <cell r="Y6426" t="str">
            <v/>
          </cell>
        </row>
        <row r="6427">
          <cell r="X6427" t="str">
            <v/>
          </cell>
          <cell r="Y6427" t="str">
            <v/>
          </cell>
        </row>
        <row r="6428">
          <cell r="X6428" t="str">
            <v/>
          </cell>
          <cell r="Y6428" t="str">
            <v/>
          </cell>
        </row>
        <row r="6429">
          <cell r="X6429" t="str">
            <v/>
          </cell>
          <cell r="Y6429" t="str">
            <v/>
          </cell>
        </row>
        <row r="6430">
          <cell r="X6430" t="str">
            <v/>
          </cell>
          <cell r="Y6430" t="str">
            <v/>
          </cell>
        </row>
        <row r="6431">
          <cell r="X6431" t="str">
            <v/>
          </cell>
          <cell r="Y6431" t="str">
            <v/>
          </cell>
        </row>
        <row r="6432">
          <cell r="X6432" t="str">
            <v/>
          </cell>
          <cell r="Y6432" t="str">
            <v/>
          </cell>
        </row>
        <row r="6433">
          <cell r="X6433" t="str">
            <v/>
          </cell>
          <cell r="Y6433" t="str">
            <v/>
          </cell>
        </row>
        <row r="6434">
          <cell r="X6434" t="str">
            <v/>
          </cell>
          <cell r="Y6434" t="str">
            <v/>
          </cell>
        </row>
        <row r="6435">
          <cell r="X6435" t="str">
            <v/>
          </cell>
          <cell r="Y6435" t="str">
            <v/>
          </cell>
        </row>
        <row r="6436">
          <cell r="X6436" t="str">
            <v/>
          </cell>
          <cell r="Y6436" t="str">
            <v/>
          </cell>
        </row>
        <row r="6437">
          <cell r="X6437" t="str">
            <v/>
          </cell>
          <cell r="Y6437" t="str">
            <v/>
          </cell>
        </row>
        <row r="6438">
          <cell r="X6438" t="str">
            <v/>
          </cell>
          <cell r="Y6438" t="str">
            <v/>
          </cell>
        </row>
        <row r="6439">
          <cell r="X6439" t="str">
            <v/>
          </cell>
          <cell r="Y6439" t="str">
            <v/>
          </cell>
        </row>
        <row r="6440">
          <cell r="X6440" t="str">
            <v/>
          </cell>
          <cell r="Y6440" t="str">
            <v/>
          </cell>
        </row>
        <row r="6441">
          <cell r="X6441" t="str">
            <v/>
          </cell>
          <cell r="Y6441" t="str">
            <v/>
          </cell>
        </row>
        <row r="6442">
          <cell r="X6442" t="str">
            <v/>
          </cell>
          <cell r="Y6442" t="str">
            <v/>
          </cell>
        </row>
        <row r="6443">
          <cell r="X6443" t="str">
            <v/>
          </cell>
          <cell r="Y6443" t="str">
            <v/>
          </cell>
        </row>
        <row r="6444">
          <cell r="X6444" t="str">
            <v/>
          </cell>
          <cell r="Y6444" t="str">
            <v/>
          </cell>
        </row>
        <row r="6445">
          <cell r="X6445" t="str">
            <v/>
          </cell>
          <cell r="Y6445" t="str">
            <v/>
          </cell>
        </row>
        <row r="6446">
          <cell r="X6446" t="str">
            <v/>
          </cell>
          <cell r="Y6446" t="str">
            <v/>
          </cell>
        </row>
        <row r="6447">
          <cell r="X6447" t="str">
            <v/>
          </cell>
          <cell r="Y6447" t="str">
            <v/>
          </cell>
        </row>
        <row r="6448">
          <cell r="X6448" t="str">
            <v/>
          </cell>
          <cell r="Y6448" t="str">
            <v/>
          </cell>
        </row>
        <row r="6449">
          <cell r="X6449" t="str">
            <v/>
          </cell>
          <cell r="Y6449" t="str">
            <v/>
          </cell>
        </row>
        <row r="6450">
          <cell r="X6450" t="str">
            <v/>
          </cell>
          <cell r="Y6450" t="str">
            <v/>
          </cell>
        </row>
        <row r="6451">
          <cell r="X6451" t="str">
            <v/>
          </cell>
          <cell r="Y6451" t="str">
            <v/>
          </cell>
        </row>
        <row r="6452">
          <cell r="X6452" t="str">
            <v/>
          </cell>
          <cell r="Y6452" t="str">
            <v/>
          </cell>
        </row>
        <row r="6453">
          <cell r="X6453" t="str">
            <v/>
          </cell>
          <cell r="Y6453" t="str">
            <v/>
          </cell>
        </row>
        <row r="6454">
          <cell r="X6454" t="str">
            <v/>
          </cell>
          <cell r="Y6454" t="str">
            <v/>
          </cell>
        </row>
        <row r="6455">
          <cell r="X6455" t="str">
            <v/>
          </cell>
          <cell r="Y6455" t="str">
            <v/>
          </cell>
        </row>
        <row r="6456">
          <cell r="X6456" t="str">
            <v/>
          </cell>
          <cell r="Y6456" t="str">
            <v/>
          </cell>
        </row>
        <row r="6457">
          <cell r="X6457" t="str">
            <v/>
          </cell>
          <cell r="Y6457" t="str">
            <v/>
          </cell>
        </row>
        <row r="6458">
          <cell r="X6458" t="str">
            <v/>
          </cell>
          <cell r="Y6458" t="str">
            <v/>
          </cell>
        </row>
        <row r="6459">
          <cell r="X6459" t="str">
            <v/>
          </cell>
          <cell r="Y6459" t="str">
            <v/>
          </cell>
        </row>
        <row r="6460">
          <cell r="X6460" t="str">
            <v/>
          </cell>
          <cell r="Y6460" t="str">
            <v/>
          </cell>
        </row>
        <row r="6461">
          <cell r="X6461" t="str">
            <v/>
          </cell>
          <cell r="Y6461" t="str">
            <v/>
          </cell>
        </row>
        <row r="6462">
          <cell r="X6462" t="str">
            <v/>
          </cell>
          <cell r="Y6462" t="str">
            <v/>
          </cell>
        </row>
        <row r="6463">
          <cell r="X6463" t="str">
            <v/>
          </cell>
          <cell r="Y6463" t="str">
            <v/>
          </cell>
        </row>
        <row r="6464">
          <cell r="X6464" t="str">
            <v/>
          </cell>
          <cell r="Y6464" t="str">
            <v/>
          </cell>
        </row>
        <row r="6465">
          <cell r="X6465" t="str">
            <v/>
          </cell>
          <cell r="Y6465" t="str">
            <v/>
          </cell>
        </row>
        <row r="6466">
          <cell r="X6466" t="str">
            <v/>
          </cell>
          <cell r="Y6466" t="str">
            <v/>
          </cell>
        </row>
        <row r="6467">
          <cell r="X6467" t="str">
            <v/>
          </cell>
          <cell r="Y6467" t="str">
            <v/>
          </cell>
        </row>
        <row r="6468">
          <cell r="X6468" t="str">
            <v/>
          </cell>
          <cell r="Y6468" t="str">
            <v/>
          </cell>
        </row>
        <row r="6469">
          <cell r="X6469" t="str">
            <v/>
          </cell>
          <cell r="Y6469" t="str">
            <v/>
          </cell>
        </row>
        <row r="6470">
          <cell r="X6470" t="str">
            <v/>
          </cell>
          <cell r="Y6470" t="str">
            <v/>
          </cell>
        </row>
        <row r="6471">
          <cell r="X6471" t="str">
            <v/>
          </cell>
          <cell r="Y6471" t="str">
            <v/>
          </cell>
        </row>
        <row r="6472">
          <cell r="X6472" t="str">
            <v/>
          </cell>
          <cell r="Y6472" t="str">
            <v/>
          </cell>
        </row>
        <row r="6473">
          <cell r="X6473" t="str">
            <v/>
          </cell>
          <cell r="Y6473" t="str">
            <v/>
          </cell>
        </row>
        <row r="6474">
          <cell r="X6474" t="str">
            <v/>
          </cell>
          <cell r="Y6474" t="str">
            <v/>
          </cell>
        </row>
        <row r="6475">
          <cell r="X6475" t="str">
            <v/>
          </cell>
          <cell r="Y6475" t="str">
            <v/>
          </cell>
        </row>
        <row r="6476">
          <cell r="X6476" t="str">
            <v/>
          </cell>
          <cell r="Y6476" t="str">
            <v/>
          </cell>
        </row>
        <row r="6477">
          <cell r="X6477" t="str">
            <v/>
          </cell>
          <cell r="Y6477" t="str">
            <v/>
          </cell>
        </row>
        <row r="6478">
          <cell r="X6478" t="str">
            <v/>
          </cell>
          <cell r="Y6478" t="str">
            <v/>
          </cell>
        </row>
        <row r="6479">
          <cell r="X6479" t="str">
            <v/>
          </cell>
          <cell r="Y6479" t="str">
            <v/>
          </cell>
        </row>
        <row r="6480">
          <cell r="X6480" t="str">
            <v/>
          </cell>
          <cell r="Y6480" t="str">
            <v/>
          </cell>
        </row>
        <row r="6481">
          <cell r="X6481" t="str">
            <v/>
          </cell>
          <cell r="Y6481" t="str">
            <v/>
          </cell>
        </row>
        <row r="6482">
          <cell r="X6482" t="str">
            <v/>
          </cell>
          <cell r="Y6482" t="str">
            <v/>
          </cell>
        </row>
        <row r="6483">
          <cell r="X6483" t="str">
            <v/>
          </cell>
          <cell r="Y6483" t="str">
            <v/>
          </cell>
        </row>
        <row r="6484">
          <cell r="X6484" t="str">
            <v/>
          </cell>
          <cell r="Y6484" t="str">
            <v/>
          </cell>
        </row>
        <row r="6485">
          <cell r="X6485" t="str">
            <v/>
          </cell>
          <cell r="Y6485" t="str">
            <v/>
          </cell>
        </row>
        <row r="6486">
          <cell r="X6486" t="str">
            <v/>
          </cell>
          <cell r="Y6486" t="str">
            <v/>
          </cell>
        </row>
        <row r="6487">
          <cell r="X6487" t="str">
            <v/>
          </cell>
          <cell r="Y6487" t="str">
            <v/>
          </cell>
        </row>
        <row r="6488">
          <cell r="X6488" t="str">
            <v/>
          </cell>
          <cell r="Y6488" t="str">
            <v/>
          </cell>
        </row>
        <row r="6489">
          <cell r="X6489" t="str">
            <v/>
          </cell>
          <cell r="Y6489" t="str">
            <v/>
          </cell>
        </row>
        <row r="6490">
          <cell r="X6490" t="str">
            <v/>
          </cell>
          <cell r="Y6490" t="str">
            <v/>
          </cell>
        </row>
        <row r="6491">
          <cell r="X6491" t="str">
            <v/>
          </cell>
          <cell r="Y6491" t="str">
            <v/>
          </cell>
        </row>
        <row r="6492">
          <cell r="X6492" t="str">
            <v/>
          </cell>
          <cell r="Y6492" t="str">
            <v/>
          </cell>
        </row>
        <row r="6493">
          <cell r="X6493" t="str">
            <v/>
          </cell>
          <cell r="Y6493" t="str">
            <v/>
          </cell>
        </row>
        <row r="6494">
          <cell r="X6494" t="str">
            <v/>
          </cell>
          <cell r="Y6494" t="str">
            <v/>
          </cell>
        </row>
        <row r="6495">
          <cell r="X6495" t="str">
            <v/>
          </cell>
          <cell r="Y6495" t="str">
            <v/>
          </cell>
        </row>
        <row r="6496">
          <cell r="X6496" t="str">
            <v/>
          </cell>
          <cell r="Y6496" t="str">
            <v/>
          </cell>
        </row>
        <row r="6497">
          <cell r="X6497" t="str">
            <v/>
          </cell>
          <cell r="Y6497" t="str">
            <v/>
          </cell>
        </row>
        <row r="6498">
          <cell r="X6498" t="str">
            <v/>
          </cell>
          <cell r="Y6498" t="str">
            <v/>
          </cell>
        </row>
        <row r="6499">
          <cell r="X6499" t="str">
            <v/>
          </cell>
          <cell r="Y6499" t="str">
            <v/>
          </cell>
        </row>
        <row r="6500">
          <cell r="X6500" t="str">
            <v/>
          </cell>
          <cell r="Y6500" t="str">
            <v/>
          </cell>
        </row>
        <row r="6501">
          <cell r="X6501" t="str">
            <v/>
          </cell>
          <cell r="Y6501" t="str">
            <v/>
          </cell>
        </row>
        <row r="6502">
          <cell r="X6502" t="str">
            <v/>
          </cell>
          <cell r="Y6502" t="str">
            <v/>
          </cell>
        </row>
        <row r="6503">
          <cell r="X6503" t="str">
            <v/>
          </cell>
          <cell r="Y6503" t="str">
            <v/>
          </cell>
        </row>
        <row r="6504">
          <cell r="X6504" t="str">
            <v/>
          </cell>
          <cell r="Y6504" t="str">
            <v/>
          </cell>
        </row>
        <row r="6505">
          <cell r="X6505" t="str">
            <v/>
          </cell>
          <cell r="Y6505" t="str">
            <v/>
          </cell>
        </row>
        <row r="6506">
          <cell r="X6506" t="str">
            <v/>
          </cell>
          <cell r="Y6506" t="str">
            <v/>
          </cell>
        </row>
        <row r="6507">
          <cell r="X6507" t="str">
            <v/>
          </cell>
          <cell r="Y6507" t="str">
            <v/>
          </cell>
        </row>
        <row r="6508">
          <cell r="X6508" t="str">
            <v/>
          </cell>
          <cell r="Y6508" t="str">
            <v/>
          </cell>
        </row>
        <row r="6509">
          <cell r="X6509" t="str">
            <v/>
          </cell>
          <cell r="Y6509" t="str">
            <v/>
          </cell>
        </row>
        <row r="6510">
          <cell r="X6510" t="str">
            <v/>
          </cell>
          <cell r="Y6510" t="str">
            <v/>
          </cell>
        </row>
        <row r="6511">
          <cell r="X6511" t="str">
            <v/>
          </cell>
          <cell r="Y6511" t="str">
            <v/>
          </cell>
        </row>
        <row r="6512">
          <cell r="X6512" t="str">
            <v/>
          </cell>
          <cell r="Y6512" t="str">
            <v/>
          </cell>
        </row>
        <row r="6513">
          <cell r="X6513" t="str">
            <v/>
          </cell>
          <cell r="Y6513" t="str">
            <v/>
          </cell>
        </row>
        <row r="6514">
          <cell r="X6514" t="str">
            <v/>
          </cell>
          <cell r="Y6514" t="str">
            <v/>
          </cell>
        </row>
        <row r="6515">
          <cell r="X6515" t="str">
            <v/>
          </cell>
          <cell r="Y6515" t="str">
            <v/>
          </cell>
        </row>
        <row r="6516">
          <cell r="X6516" t="str">
            <v/>
          </cell>
          <cell r="Y6516" t="str">
            <v/>
          </cell>
        </row>
        <row r="6517">
          <cell r="X6517" t="str">
            <v/>
          </cell>
          <cell r="Y6517" t="str">
            <v/>
          </cell>
        </row>
        <row r="6518">
          <cell r="X6518" t="str">
            <v/>
          </cell>
          <cell r="Y6518" t="str">
            <v/>
          </cell>
        </row>
        <row r="6519">
          <cell r="X6519" t="str">
            <v/>
          </cell>
          <cell r="Y6519" t="str">
            <v/>
          </cell>
        </row>
        <row r="6520">
          <cell r="X6520" t="str">
            <v/>
          </cell>
          <cell r="Y6520" t="str">
            <v/>
          </cell>
        </row>
        <row r="6521">
          <cell r="X6521" t="str">
            <v/>
          </cell>
          <cell r="Y6521" t="str">
            <v/>
          </cell>
        </row>
        <row r="6522">
          <cell r="X6522" t="str">
            <v/>
          </cell>
          <cell r="Y6522" t="str">
            <v/>
          </cell>
        </row>
        <row r="6523">
          <cell r="X6523" t="str">
            <v/>
          </cell>
          <cell r="Y6523" t="str">
            <v/>
          </cell>
        </row>
        <row r="6524">
          <cell r="X6524" t="str">
            <v/>
          </cell>
          <cell r="Y6524" t="str">
            <v/>
          </cell>
        </row>
        <row r="6525">
          <cell r="X6525" t="str">
            <v/>
          </cell>
          <cell r="Y6525" t="str">
            <v/>
          </cell>
        </row>
        <row r="6526">
          <cell r="X6526" t="str">
            <v/>
          </cell>
          <cell r="Y6526" t="str">
            <v/>
          </cell>
        </row>
        <row r="6527">
          <cell r="X6527" t="str">
            <v/>
          </cell>
          <cell r="Y6527" t="str">
            <v/>
          </cell>
        </row>
        <row r="6528">
          <cell r="X6528" t="str">
            <v/>
          </cell>
          <cell r="Y6528" t="str">
            <v/>
          </cell>
        </row>
        <row r="6529">
          <cell r="X6529" t="str">
            <v/>
          </cell>
          <cell r="Y6529" t="str">
            <v/>
          </cell>
        </row>
        <row r="6530">
          <cell r="X6530" t="str">
            <v/>
          </cell>
          <cell r="Y6530" t="str">
            <v/>
          </cell>
        </row>
        <row r="6531">
          <cell r="X6531" t="str">
            <v/>
          </cell>
          <cell r="Y6531" t="str">
            <v/>
          </cell>
        </row>
        <row r="6532">
          <cell r="X6532" t="str">
            <v/>
          </cell>
          <cell r="Y6532" t="str">
            <v/>
          </cell>
        </row>
        <row r="6533">
          <cell r="X6533" t="str">
            <v/>
          </cell>
          <cell r="Y6533" t="str">
            <v/>
          </cell>
        </row>
        <row r="6534">
          <cell r="X6534" t="str">
            <v/>
          </cell>
          <cell r="Y6534" t="str">
            <v/>
          </cell>
        </row>
        <row r="6535">
          <cell r="X6535" t="str">
            <v/>
          </cell>
          <cell r="Y6535" t="str">
            <v/>
          </cell>
        </row>
        <row r="6536">
          <cell r="X6536" t="str">
            <v/>
          </cell>
          <cell r="Y6536" t="str">
            <v/>
          </cell>
        </row>
        <row r="6537">
          <cell r="X6537" t="str">
            <v/>
          </cell>
          <cell r="Y6537" t="str">
            <v/>
          </cell>
        </row>
        <row r="6538">
          <cell r="X6538" t="str">
            <v/>
          </cell>
          <cell r="Y6538" t="str">
            <v/>
          </cell>
        </row>
        <row r="6539">
          <cell r="X6539" t="str">
            <v/>
          </cell>
          <cell r="Y6539" t="str">
            <v/>
          </cell>
        </row>
        <row r="6540">
          <cell r="X6540" t="str">
            <v/>
          </cell>
          <cell r="Y6540" t="str">
            <v/>
          </cell>
        </row>
        <row r="6541">
          <cell r="X6541" t="str">
            <v/>
          </cell>
          <cell r="Y6541" t="str">
            <v/>
          </cell>
        </row>
        <row r="6542">
          <cell r="X6542" t="str">
            <v/>
          </cell>
          <cell r="Y6542" t="str">
            <v/>
          </cell>
        </row>
        <row r="6543">
          <cell r="X6543" t="str">
            <v/>
          </cell>
          <cell r="Y6543" t="str">
            <v/>
          </cell>
        </row>
        <row r="6544">
          <cell r="X6544" t="str">
            <v/>
          </cell>
          <cell r="Y6544" t="str">
            <v/>
          </cell>
        </row>
        <row r="6545">
          <cell r="X6545" t="str">
            <v/>
          </cell>
          <cell r="Y6545" t="str">
            <v/>
          </cell>
        </row>
        <row r="6546">
          <cell r="X6546" t="str">
            <v/>
          </cell>
          <cell r="Y6546" t="str">
            <v/>
          </cell>
        </row>
        <row r="6547">
          <cell r="X6547" t="str">
            <v/>
          </cell>
          <cell r="Y6547" t="str">
            <v/>
          </cell>
        </row>
        <row r="6548">
          <cell r="X6548" t="str">
            <v/>
          </cell>
          <cell r="Y6548" t="str">
            <v/>
          </cell>
        </row>
        <row r="6549">
          <cell r="X6549" t="str">
            <v/>
          </cell>
          <cell r="Y6549" t="str">
            <v/>
          </cell>
        </row>
        <row r="6550">
          <cell r="X6550" t="str">
            <v/>
          </cell>
          <cell r="Y6550" t="str">
            <v/>
          </cell>
        </row>
        <row r="6551">
          <cell r="X6551" t="str">
            <v/>
          </cell>
          <cell r="Y6551" t="str">
            <v/>
          </cell>
        </row>
        <row r="6552">
          <cell r="X6552" t="str">
            <v/>
          </cell>
          <cell r="Y6552" t="str">
            <v/>
          </cell>
        </row>
        <row r="6553">
          <cell r="X6553" t="str">
            <v/>
          </cell>
          <cell r="Y6553" t="str">
            <v/>
          </cell>
        </row>
        <row r="6554">
          <cell r="X6554" t="str">
            <v/>
          </cell>
          <cell r="Y6554" t="str">
            <v/>
          </cell>
        </row>
        <row r="6555">
          <cell r="X6555" t="str">
            <v/>
          </cell>
          <cell r="Y6555" t="str">
            <v/>
          </cell>
        </row>
        <row r="6556">
          <cell r="X6556" t="str">
            <v/>
          </cell>
          <cell r="Y6556" t="str">
            <v/>
          </cell>
        </row>
        <row r="6557">
          <cell r="X6557" t="str">
            <v/>
          </cell>
          <cell r="Y6557" t="str">
            <v/>
          </cell>
        </row>
        <row r="6558">
          <cell r="X6558" t="str">
            <v/>
          </cell>
          <cell r="Y6558" t="str">
            <v/>
          </cell>
        </row>
        <row r="6559">
          <cell r="X6559" t="str">
            <v/>
          </cell>
          <cell r="Y6559" t="str">
            <v/>
          </cell>
        </row>
        <row r="6560">
          <cell r="X6560" t="str">
            <v/>
          </cell>
          <cell r="Y6560" t="str">
            <v/>
          </cell>
        </row>
        <row r="6561">
          <cell r="X6561" t="str">
            <v/>
          </cell>
          <cell r="Y6561" t="str">
            <v/>
          </cell>
        </row>
        <row r="6562">
          <cell r="X6562" t="str">
            <v/>
          </cell>
          <cell r="Y6562" t="str">
            <v/>
          </cell>
        </row>
        <row r="6563">
          <cell r="X6563" t="str">
            <v/>
          </cell>
          <cell r="Y6563" t="str">
            <v/>
          </cell>
        </row>
        <row r="6564">
          <cell r="X6564" t="str">
            <v/>
          </cell>
          <cell r="Y6564" t="str">
            <v/>
          </cell>
        </row>
        <row r="6565">
          <cell r="X6565" t="str">
            <v/>
          </cell>
          <cell r="Y6565" t="str">
            <v/>
          </cell>
        </row>
        <row r="6566">
          <cell r="X6566" t="str">
            <v/>
          </cell>
          <cell r="Y6566" t="str">
            <v/>
          </cell>
        </row>
        <row r="6567">
          <cell r="X6567" t="str">
            <v/>
          </cell>
          <cell r="Y6567" t="str">
            <v/>
          </cell>
        </row>
        <row r="6568">
          <cell r="X6568" t="str">
            <v/>
          </cell>
          <cell r="Y6568" t="str">
            <v/>
          </cell>
        </row>
        <row r="6569">
          <cell r="X6569" t="str">
            <v/>
          </cell>
          <cell r="Y6569" t="str">
            <v/>
          </cell>
        </row>
        <row r="6570">
          <cell r="X6570" t="str">
            <v/>
          </cell>
          <cell r="Y6570" t="str">
            <v/>
          </cell>
        </row>
        <row r="6571">
          <cell r="X6571" t="str">
            <v/>
          </cell>
          <cell r="Y6571" t="str">
            <v/>
          </cell>
        </row>
        <row r="6572">
          <cell r="X6572" t="str">
            <v/>
          </cell>
          <cell r="Y6572" t="str">
            <v/>
          </cell>
        </row>
        <row r="6573">
          <cell r="X6573" t="str">
            <v/>
          </cell>
          <cell r="Y6573" t="str">
            <v/>
          </cell>
        </row>
        <row r="6574">
          <cell r="X6574" t="str">
            <v/>
          </cell>
          <cell r="Y6574" t="str">
            <v/>
          </cell>
        </row>
        <row r="6575">
          <cell r="X6575" t="str">
            <v/>
          </cell>
          <cell r="Y6575" t="str">
            <v/>
          </cell>
        </row>
        <row r="6576">
          <cell r="X6576" t="str">
            <v/>
          </cell>
          <cell r="Y6576" t="str">
            <v/>
          </cell>
        </row>
        <row r="6577">
          <cell r="X6577" t="str">
            <v/>
          </cell>
          <cell r="Y6577" t="str">
            <v/>
          </cell>
        </row>
        <row r="6578">
          <cell r="X6578" t="str">
            <v/>
          </cell>
          <cell r="Y6578" t="str">
            <v/>
          </cell>
        </row>
        <row r="6579">
          <cell r="X6579" t="str">
            <v/>
          </cell>
          <cell r="Y6579" t="str">
            <v/>
          </cell>
        </row>
        <row r="6580">
          <cell r="X6580" t="str">
            <v/>
          </cell>
          <cell r="Y6580" t="str">
            <v/>
          </cell>
        </row>
        <row r="6581">
          <cell r="X6581" t="str">
            <v/>
          </cell>
          <cell r="Y6581" t="str">
            <v/>
          </cell>
        </row>
        <row r="6582">
          <cell r="X6582" t="str">
            <v/>
          </cell>
          <cell r="Y6582" t="str">
            <v/>
          </cell>
        </row>
        <row r="6583">
          <cell r="X6583" t="str">
            <v/>
          </cell>
          <cell r="Y6583" t="str">
            <v/>
          </cell>
        </row>
        <row r="6584">
          <cell r="X6584" t="str">
            <v/>
          </cell>
          <cell r="Y6584" t="str">
            <v/>
          </cell>
        </row>
        <row r="6585">
          <cell r="X6585" t="str">
            <v/>
          </cell>
          <cell r="Y6585" t="str">
            <v/>
          </cell>
        </row>
        <row r="6586">
          <cell r="X6586" t="str">
            <v/>
          </cell>
          <cell r="Y6586" t="str">
            <v/>
          </cell>
        </row>
        <row r="6587">
          <cell r="X6587" t="str">
            <v/>
          </cell>
          <cell r="Y6587" t="str">
            <v/>
          </cell>
        </row>
        <row r="6588">
          <cell r="X6588" t="str">
            <v/>
          </cell>
          <cell r="Y6588" t="str">
            <v/>
          </cell>
        </row>
        <row r="6589">
          <cell r="X6589" t="str">
            <v/>
          </cell>
          <cell r="Y6589" t="str">
            <v/>
          </cell>
        </row>
        <row r="6590">
          <cell r="X6590" t="str">
            <v/>
          </cell>
          <cell r="Y6590" t="str">
            <v/>
          </cell>
        </row>
        <row r="6591">
          <cell r="X6591" t="str">
            <v/>
          </cell>
          <cell r="Y6591" t="str">
            <v/>
          </cell>
        </row>
        <row r="6592">
          <cell r="X6592" t="str">
            <v/>
          </cell>
          <cell r="Y6592" t="str">
            <v/>
          </cell>
        </row>
        <row r="6593">
          <cell r="X6593" t="str">
            <v/>
          </cell>
          <cell r="Y6593" t="str">
            <v/>
          </cell>
        </row>
        <row r="6594">
          <cell r="X6594" t="str">
            <v/>
          </cell>
          <cell r="Y6594" t="str">
            <v/>
          </cell>
        </row>
        <row r="6595">
          <cell r="X6595" t="str">
            <v/>
          </cell>
          <cell r="Y6595" t="str">
            <v/>
          </cell>
        </row>
        <row r="6596">
          <cell r="X6596" t="str">
            <v/>
          </cell>
          <cell r="Y6596" t="str">
            <v/>
          </cell>
        </row>
        <row r="6597">
          <cell r="X6597" t="str">
            <v/>
          </cell>
          <cell r="Y6597" t="str">
            <v/>
          </cell>
        </row>
        <row r="6598">
          <cell r="X6598" t="str">
            <v/>
          </cell>
          <cell r="Y6598" t="str">
            <v/>
          </cell>
        </row>
        <row r="6599">
          <cell r="X6599" t="str">
            <v/>
          </cell>
          <cell r="Y6599" t="str">
            <v/>
          </cell>
        </row>
        <row r="6600">
          <cell r="X6600" t="str">
            <v/>
          </cell>
          <cell r="Y6600" t="str">
            <v/>
          </cell>
        </row>
        <row r="6601">
          <cell r="X6601" t="str">
            <v/>
          </cell>
          <cell r="Y6601" t="str">
            <v/>
          </cell>
        </row>
        <row r="6602">
          <cell r="X6602" t="str">
            <v/>
          </cell>
          <cell r="Y6602" t="str">
            <v/>
          </cell>
        </row>
        <row r="6603">
          <cell r="X6603" t="str">
            <v/>
          </cell>
          <cell r="Y6603" t="str">
            <v/>
          </cell>
        </row>
        <row r="6604">
          <cell r="X6604" t="str">
            <v/>
          </cell>
          <cell r="Y6604" t="str">
            <v/>
          </cell>
        </row>
        <row r="6605">
          <cell r="X6605" t="str">
            <v/>
          </cell>
          <cell r="Y6605" t="str">
            <v/>
          </cell>
        </row>
        <row r="6606">
          <cell r="X6606" t="str">
            <v/>
          </cell>
          <cell r="Y6606" t="str">
            <v/>
          </cell>
        </row>
        <row r="6607">
          <cell r="X6607" t="str">
            <v/>
          </cell>
          <cell r="Y6607" t="str">
            <v/>
          </cell>
        </row>
        <row r="6608">
          <cell r="X6608" t="str">
            <v/>
          </cell>
          <cell r="Y6608" t="str">
            <v/>
          </cell>
        </row>
        <row r="6609">
          <cell r="X6609" t="str">
            <v/>
          </cell>
          <cell r="Y6609" t="str">
            <v/>
          </cell>
        </row>
        <row r="6610">
          <cell r="X6610" t="str">
            <v/>
          </cell>
          <cell r="Y6610" t="str">
            <v/>
          </cell>
        </row>
        <row r="6611">
          <cell r="X6611" t="str">
            <v/>
          </cell>
          <cell r="Y6611" t="str">
            <v/>
          </cell>
        </row>
        <row r="6612">
          <cell r="X6612" t="str">
            <v/>
          </cell>
          <cell r="Y6612" t="str">
            <v/>
          </cell>
        </row>
        <row r="6613">
          <cell r="X6613" t="str">
            <v/>
          </cell>
          <cell r="Y6613" t="str">
            <v/>
          </cell>
        </row>
        <row r="6614">
          <cell r="X6614" t="str">
            <v/>
          </cell>
          <cell r="Y6614" t="str">
            <v/>
          </cell>
        </row>
        <row r="6615">
          <cell r="X6615" t="str">
            <v/>
          </cell>
          <cell r="Y6615" t="str">
            <v/>
          </cell>
        </row>
        <row r="6616">
          <cell r="X6616" t="str">
            <v/>
          </cell>
          <cell r="Y6616" t="str">
            <v/>
          </cell>
        </row>
        <row r="6617">
          <cell r="X6617" t="str">
            <v/>
          </cell>
          <cell r="Y6617" t="str">
            <v/>
          </cell>
        </row>
        <row r="6618">
          <cell r="X6618" t="str">
            <v/>
          </cell>
          <cell r="Y6618" t="str">
            <v/>
          </cell>
        </row>
        <row r="6619">
          <cell r="X6619" t="str">
            <v/>
          </cell>
          <cell r="Y6619" t="str">
            <v/>
          </cell>
        </row>
        <row r="6620">
          <cell r="X6620" t="str">
            <v/>
          </cell>
          <cell r="Y6620" t="str">
            <v/>
          </cell>
        </row>
        <row r="6621">
          <cell r="X6621" t="str">
            <v/>
          </cell>
          <cell r="Y6621" t="str">
            <v/>
          </cell>
        </row>
        <row r="6622">
          <cell r="X6622" t="str">
            <v/>
          </cell>
          <cell r="Y6622" t="str">
            <v/>
          </cell>
        </row>
        <row r="6623">
          <cell r="X6623" t="str">
            <v/>
          </cell>
          <cell r="Y6623" t="str">
            <v/>
          </cell>
        </row>
        <row r="6624">
          <cell r="X6624" t="str">
            <v/>
          </cell>
          <cell r="Y6624" t="str">
            <v/>
          </cell>
        </row>
        <row r="6625">
          <cell r="X6625" t="str">
            <v/>
          </cell>
          <cell r="Y6625" t="str">
            <v/>
          </cell>
        </row>
        <row r="6626">
          <cell r="X6626" t="str">
            <v/>
          </cell>
          <cell r="Y6626" t="str">
            <v/>
          </cell>
        </row>
        <row r="6627">
          <cell r="X6627" t="str">
            <v/>
          </cell>
          <cell r="Y6627" t="str">
            <v/>
          </cell>
        </row>
        <row r="6628">
          <cell r="X6628" t="str">
            <v/>
          </cell>
          <cell r="Y6628" t="str">
            <v/>
          </cell>
        </row>
        <row r="6629">
          <cell r="X6629" t="str">
            <v/>
          </cell>
          <cell r="Y6629" t="str">
            <v/>
          </cell>
        </row>
        <row r="6630">
          <cell r="X6630" t="str">
            <v/>
          </cell>
          <cell r="Y6630" t="str">
            <v/>
          </cell>
        </row>
        <row r="6631">
          <cell r="X6631" t="str">
            <v/>
          </cell>
          <cell r="Y6631" t="str">
            <v/>
          </cell>
        </row>
        <row r="6632">
          <cell r="X6632" t="str">
            <v/>
          </cell>
          <cell r="Y6632" t="str">
            <v/>
          </cell>
        </row>
        <row r="6633">
          <cell r="X6633" t="str">
            <v/>
          </cell>
          <cell r="Y6633" t="str">
            <v/>
          </cell>
        </row>
        <row r="6634">
          <cell r="X6634" t="str">
            <v/>
          </cell>
          <cell r="Y6634" t="str">
            <v/>
          </cell>
        </row>
        <row r="6635">
          <cell r="X6635" t="str">
            <v/>
          </cell>
          <cell r="Y6635" t="str">
            <v/>
          </cell>
        </row>
        <row r="6636">
          <cell r="X6636" t="str">
            <v/>
          </cell>
          <cell r="Y6636" t="str">
            <v/>
          </cell>
        </row>
        <row r="6637">
          <cell r="X6637" t="str">
            <v/>
          </cell>
          <cell r="Y6637" t="str">
            <v/>
          </cell>
        </row>
        <row r="6638">
          <cell r="X6638" t="str">
            <v/>
          </cell>
          <cell r="Y6638" t="str">
            <v/>
          </cell>
        </row>
        <row r="6639">
          <cell r="X6639" t="str">
            <v/>
          </cell>
          <cell r="Y6639" t="str">
            <v/>
          </cell>
        </row>
        <row r="6640">
          <cell r="X6640" t="str">
            <v/>
          </cell>
          <cell r="Y6640" t="str">
            <v/>
          </cell>
        </row>
        <row r="6641">
          <cell r="X6641" t="str">
            <v/>
          </cell>
          <cell r="Y6641" t="str">
            <v/>
          </cell>
        </row>
        <row r="6642">
          <cell r="X6642" t="str">
            <v/>
          </cell>
          <cell r="Y6642" t="str">
            <v/>
          </cell>
        </row>
        <row r="6643">
          <cell r="X6643" t="str">
            <v/>
          </cell>
          <cell r="Y6643" t="str">
            <v/>
          </cell>
        </row>
        <row r="6644">
          <cell r="X6644" t="str">
            <v/>
          </cell>
          <cell r="Y6644" t="str">
            <v/>
          </cell>
        </row>
        <row r="6645">
          <cell r="X6645" t="str">
            <v/>
          </cell>
          <cell r="Y6645" t="str">
            <v/>
          </cell>
        </row>
        <row r="6646">
          <cell r="X6646" t="str">
            <v/>
          </cell>
          <cell r="Y6646" t="str">
            <v/>
          </cell>
        </row>
        <row r="6647">
          <cell r="X6647" t="str">
            <v/>
          </cell>
          <cell r="Y6647" t="str">
            <v/>
          </cell>
        </row>
        <row r="6648">
          <cell r="X6648" t="str">
            <v/>
          </cell>
          <cell r="Y6648" t="str">
            <v/>
          </cell>
        </row>
        <row r="6649">
          <cell r="X6649" t="str">
            <v/>
          </cell>
          <cell r="Y6649" t="str">
            <v/>
          </cell>
        </row>
        <row r="6650">
          <cell r="X6650" t="str">
            <v/>
          </cell>
          <cell r="Y6650" t="str">
            <v/>
          </cell>
        </row>
        <row r="6651">
          <cell r="X6651" t="str">
            <v/>
          </cell>
          <cell r="Y6651" t="str">
            <v/>
          </cell>
        </row>
        <row r="6652">
          <cell r="X6652" t="str">
            <v/>
          </cell>
          <cell r="Y6652" t="str">
            <v/>
          </cell>
        </row>
        <row r="6653">
          <cell r="X6653" t="str">
            <v/>
          </cell>
          <cell r="Y6653" t="str">
            <v/>
          </cell>
        </row>
        <row r="6654">
          <cell r="X6654" t="str">
            <v/>
          </cell>
          <cell r="Y6654" t="str">
            <v/>
          </cell>
        </row>
        <row r="6655">
          <cell r="X6655" t="str">
            <v/>
          </cell>
          <cell r="Y6655" t="str">
            <v/>
          </cell>
        </row>
        <row r="6656">
          <cell r="X6656" t="str">
            <v/>
          </cell>
          <cell r="Y6656" t="str">
            <v/>
          </cell>
        </row>
        <row r="6657">
          <cell r="X6657" t="str">
            <v/>
          </cell>
          <cell r="Y6657" t="str">
            <v/>
          </cell>
        </row>
        <row r="6658">
          <cell r="X6658" t="str">
            <v/>
          </cell>
          <cell r="Y6658" t="str">
            <v/>
          </cell>
        </row>
        <row r="6659">
          <cell r="X6659" t="str">
            <v/>
          </cell>
          <cell r="Y6659" t="str">
            <v/>
          </cell>
        </row>
        <row r="6660">
          <cell r="X6660" t="str">
            <v/>
          </cell>
          <cell r="Y6660" t="str">
            <v/>
          </cell>
        </row>
        <row r="6661">
          <cell r="X6661" t="str">
            <v/>
          </cell>
          <cell r="Y6661" t="str">
            <v/>
          </cell>
        </row>
        <row r="6662">
          <cell r="X6662" t="str">
            <v/>
          </cell>
          <cell r="Y6662" t="str">
            <v/>
          </cell>
        </row>
        <row r="6663">
          <cell r="X6663" t="str">
            <v/>
          </cell>
          <cell r="Y6663" t="str">
            <v/>
          </cell>
        </row>
        <row r="6664">
          <cell r="X6664" t="str">
            <v/>
          </cell>
          <cell r="Y6664" t="str">
            <v/>
          </cell>
        </row>
        <row r="6665">
          <cell r="X6665" t="str">
            <v/>
          </cell>
          <cell r="Y6665" t="str">
            <v/>
          </cell>
        </row>
        <row r="6666">
          <cell r="X6666" t="str">
            <v/>
          </cell>
          <cell r="Y6666" t="str">
            <v/>
          </cell>
        </row>
        <row r="6667">
          <cell r="X6667" t="str">
            <v/>
          </cell>
          <cell r="Y6667" t="str">
            <v/>
          </cell>
        </row>
        <row r="6668">
          <cell r="X6668" t="str">
            <v/>
          </cell>
          <cell r="Y6668" t="str">
            <v/>
          </cell>
        </row>
        <row r="6669">
          <cell r="X6669" t="str">
            <v/>
          </cell>
          <cell r="Y6669" t="str">
            <v/>
          </cell>
        </row>
        <row r="6670">
          <cell r="X6670" t="str">
            <v/>
          </cell>
          <cell r="Y6670" t="str">
            <v/>
          </cell>
        </row>
        <row r="6671">
          <cell r="X6671" t="str">
            <v/>
          </cell>
          <cell r="Y6671" t="str">
            <v/>
          </cell>
        </row>
        <row r="6672">
          <cell r="X6672" t="str">
            <v/>
          </cell>
          <cell r="Y6672" t="str">
            <v/>
          </cell>
        </row>
        <row r="6673">
          <cell r="X6673" t="str">
            <v/>
          </cell>
          <cell r="Y6673" t="str">
            <v/>
          </cell>
        </row>
        <row r="6674">
          <cell r="X6674" t="str">
            <v/>
          </cell>
          <cell r="Y6674" t="str">
            <v/>
          </cell>
        </row>
        <row r="6675">
          <cell r="X6675" t="str">
            <v/>
          </cell>
          <cell r="Y6675" t="str">
            <v/>
          </cell>
        </row>
        <row r="6676">
          <cell r="X6676" t="str">
            <v/>
          </cell>
          <cell r="Y6676" t="str">
            <v/>
          </cell>
        </row>
        <row r="6677">
          <cell r="X6677" t="str">
            <v/>
          </cell>
          <cell r="Y6677" t="str">
            <v/>
          </cell>
        </row>
        <row r="6678">
          <cell r="X6678" t="str">
            <v/>
          </cell>
          <cell r="Y6678" t="str">
            <v/>
          </cell>
        </row>
        <row r="6679">
          <cell r="X6679" t="str">
            <v/>
          </cell>
          <cell r="Y6679" t="str">
            <v/>
          </cell>
        </row>
        <row r="6680">
          <cell r="X6680" t="str">
            <v/>
          </cell>
          <cell r="Y6680" t="str">
            <v/>
          </cell>
        </row>
        <row r="6681">
          <cell r="X6681" t="str">
            <v/>
          </cell>
          <cell r="Y6681" t="str">
            <v/>
          </cell>
        </row>
        <row r="6682">
          <cell r="X6682" t="str">
            <v/>
          </cell>
          <cell r="Y6682" t="str">
            <v/>
          </cell>
        </row>
        <row r="6683">
          <cell r="X6683" t="str">
            <v/>
          </cell>
          <cell r="Y6683" t="str">
            <v/>
          </cell>
        </row>
        <row r="6684">
          <cell r="X6684" t="str">
            <v/>
          </cell>
          <cell r="Y6684" t="str">
            <v/>
          </cell>
        </row>
        <row r="6685">
          <cell r="X6685" t="str">
            <v/>
          </cell>
          <cell r="Y6685" t="str">
            <v/>
          </cell>
        </row>
        <row r="6686">
          <cell r="X6686" t="str">
            <v/>
          </cell>
          <cell r="Y6686" t="str">
            <v/>
          </cell>
        </row>
        <row r="6687">
          <cell r="X6687" t="str">
            <v/>
          </cell>
          <cell r="Y6687" t="str">
            <v/>
          </cell>
        </row>
        <row r="6688">
          <cell r="X6688" t="str">
            <v/>
          </cell>
          <cell r="Y6688" t="str">
            <v/>
          </cell>
        </row>
        <row r="6689">
          <cell r="X6689" t="str">
            <v/>
          </cell>
          <cell r="Y6689" t="str">
            <v/>
          </cell>
        </row>
        <row r="6690">
          <cell r="X6690" t="str">
            <v/>
          </cell>
          <cell r="Y6690" t="str">
            <v/>
          </cell>
        </row>
        <row r="6691">
          <cell r="X6691" t="str">
            <v/>
          </cell>
          <cell r="Y6691" t="str">
            <v/>
          </cell>
        </row>
        <row r="6692">
          <cell r="X6692" t="str">
            <v/>
          </cell>
          <cell r="Y6692" t="str">
            <v/>
          </cell>
        </row>
        <row r="6693">
          <cell r="X6693" t="str">
            <v/>
          </cell>
          <cell r="Y6693" t="str">
            <v/>
          </cell>
        </row>
        <row r="6694">
          <cell r="X6694" t="str">
            <v/>
          </cell>
          <cell r="Y6694" t="str">
            <v/>
          </cell>
        </row>
        <row r="6695">
          <cell r="X6695" t="str">
            <v/>
          </cell>
          <cell r="Y6695" t="str">
            <v/>
          </cell>
        </row>
        <row r="6696">
          <cell r="X6696" t="str">
            <v/>
          </cell>
          <cell r="Y6696" t="str">
            <v/>
          </cell>
        </row>
        <row r="6697">
          <cell r="X6697" t="str">
            <v/>
          </cell>
          <cell r="Y6697" t="str">
            <v/>
          </cell>
        </row>
        <row r="6698">
          <cell r="X6698" t="str">
            <v/>
          </cell>
          <cell r="Y6698" t="str">
            <v/>
          </cell>
        </row>
        <row r="6699">
          <cell r="X6699" t="str">
            <v/>
          </cell>
          <cell r="Y6699" t="str">
            <v/>
          </cell>
        </row>
        <row r="6700">
          <cell r="X6700" t="str">
            <v/>
          </cell>
          <cell r="Y6700" t="str">
            <v/>
          </cell>
        </row>
        <row r="6701">
          <cell r="X6701" t="str">
            <v/>
          </cell>
          <cell r="Y6701" t="str">
            <v/>
          </cell>
        </row>
        <row r="6702">
          <cell r="X6702" t="str">
            <v/>
          </cell>
          <cell r="Y6702" t="str">
            <v/>
          </cell>
        </row>
        <row r="6703">
          <cell r="X6703" t="str">
            <v/>
          </cell>
          <cell r="Y6703" t="str">
            <v/>
          </cell>
        </row>
        <row r="6704">
          <cell r="X6704" t="str">
            <v/>
          </cell>
          <cell r="Y6704" t="str">
            <v/>
          </cell>
        </row>
        <row r="6705">
          <cell r="X6705" t="str">
            <v/>
          </cell>
          <cell r="Y6705" t="str">
            <v/>
          </cell>
        </row>
        <row r="6706">
          <cell r="X6706" t="str">
            <v/>
          </cell>
          <cell r="Y6706" t="str">
            <v/>
          </cell>
        </row>
        <row r="6707">
          <cell r="X6707" t="str">
            <v/>
          </cell>
          <cell r="Y6707" t="str">
            <v/>
          </cell>
        </row>
        <row r="6708">
          <cell r="X6708" t="str">
            <v/>
          </cell>
          <cell r="Y6708" t="str">
            <v/>
          </cell>
        </row>
        <row r="6709">
          <cell r="X6709" t="str">
            <v/>
          </cell>
          <cell r="Y6709" t="str">
            <v/>
          </cell>
        </row>
        <row r="6710">
          <cell r="X6710" t="str">
            <v/>
          </cell>
          <cell r="Y6710" t="str">
            <v/>
          </cell>
        </row>
        <row r="6711">
          <cell r="X6711" t="str">
            <v/>
          </cell>
          <cell r="Y6711" t="str">
            <v/>
          </cell>
        </row>
        <row r="6712">
          <cell r="X6712" t="str">
            <v/>
          </cell>
          <cell r="Y6712" t="str">
            <v/>
          </cell>
        </row>
        <row r="6713">
          <cell r="X6713" t="str">
            <v/>
          </cell>
          <cell r="Y6713" t="str">
            <v/>
          </cell>
        </row>
        <row r="6714">
          <cell r="X6714" t="str">
            <v/>
          </cell>
          <cell r="Y6714" t="str">
            <v/>
          </cell>
        </row>
        <row r="6715">
          <cell r="X6715" t="str">
            <v/>
          </cell>
          <cell r="Y6715" t="str">
            <v/>
          </cell>
        </row>
        <row r="6716">
          <cell r="X6716" t="str">
            <v/>
          </cell>
          <cell r="Y6716" t="str">
            <v/>
          </cell>
        </row>
        <row r="6717">
          <cell r="X6717" t="str">
            <v/>
          </cell>
          <cell r="Y6717" t="str">
            <v/>
          </cell>
        </row>
        <row r="6718">
          <cell r="X6718" t="str">
            <v/>
          </cell>
          <cell r="Y6718" t="str">
            <v/>
          </cell>
        </row>
        <row r="6719">
          <cell r="X6719" t="str">
            <v/>
          </cell>
          <cell r="Y6719" t="str">
            <v/>
          </cell>
        </row>
        <row r="6720">
          <cell r="X6720" t="str">
            <v/>
          </cell>
          <cell r="Y6720" t="str">
            <v/>
          </cell>
        </row>
        <row r="6721">
          <cell r="X6721" t="str">
            <v/>
          </cell>
          <cell r="Y6721" t="str">
            <v/>
          </cell>
        </row>
        <row r="6722">
          <cell r="X6722" t="str">
            <v/>
          </cell>
          <cell r="Y6722" t="str">
            <v/>
          </cell>
        </row>
        <row r="6723">
          <cell r="X6723" t="str">
            <v/>
          </cell>
          <cell r="Y6723" t="str">
            <v/>
          </cell>
        </row>
        <row r="6724">
          <cell r="X6724" t="str">
            <v/>
          </cell>
          <cell r="Y6724" t="str">
            <v/>
          </cell>
        </row>
        <row r="6725">
          <cell r="X6725" t="str">
            <v/>
          </cell>
          <cell r="Y6725" t="str">
            <v/>
          </cell>
        </row>
        <row r="6726">
          <cell r="X6726" t="str">
            <v/>
          </cell>
          <cell r="Y6726" t="str">
            <v/>
          </cell>
        </row>
        <row r="6727">
          <cell r="X6727" t="str">
            <v/>
          </cell>
          <cell r="Y6727" t="str">
            <v/>
          </cell>
        </row>
        <row r="6728">
          <cell r="X6728" t="str">
            <v/>
          </cell>
          <cell r="Y6728" t="str">
            <v/>
          </cell>
        </row>
        <row r="6729">
          <cell r="X6729" t="str">
            <v/>
          </cell>
          <cell r="Y6729" t="str">
            <v/>
          </cell>
        </row>
        <row r="6730">
          <cell r="X6730" t="str">
            <v/>
          </cell>
          <cell r="Y6730" t="str">
            <v/>
          </cell>
        </row>
        <row r="6731">
          <cell r="X6731" t="str">
            <v/>
          </cell>
          <cell r="Y6731" t="str">
            <v/>
          </cell>
        </row>
        <row r="6732">
          <cell r="X6732" t="str">
            <v/>
          </cell>
          <cell r="Y6732" t="str">
            <v/>
          </cell>
        </row>
        <row r="6733">
          <cell r="X6733" t="str">
            <v/>
          </cell>
          <cell r="Y6733" t="str">
            <v/>
          </cell>
        </row>
        <row r="6734">
          <cell r="X6734" t="str">
            <v/>
          </cell>
          <cell r="Y6734" t="str">
            <v/>
          </cell>
        </row>
        <row r="6735">
          <cell r="X6735" t="str">
            <v/>
          </cell>
          <cell r="Y6735" t="str">
            <v/>
          </cell>
        </row>
        <row r="6736">
          <cell r="X6736" t="str">
            <v/>
          </cell>
          <cell r="Y6736" t="str">
            <v/>
          </cell>
        </row>
        <row r="6737">
          <cell r="X6737" t="str">
            <v/>
          </cell>
          <cell r="Y6737" t="str">
            <v/>
          </cell>
        </row>
        <row r="6738">
          <cell r="X6738" t="str">
            <v/>
          </cell>
          <cell r="Y6738" t="str">
            <v/>
          </cell>
        </row>
        <row r="6739">
          <cell r="X6739" t="str">
            <v/>
          </cell>
          <cell r="Y6739" t="str">
            <v/>
          </cell>
        </row>
        <row r="6740">
          <cell r="X6740" t="str">
            <v/>
          </cell>
          <cell r="Y6740" t="str">
            <v/>
          </cell>
        </row>
        <row r="6741">
          <cell r="X6741" t="str">
            <v/>
          </cell>
          <cell r="Y6741" t="str">
            <v/>
          </cell>
        </row>
        <row r="6742">
          <cell r="X6742" t="str">
            <v/>
          </cell>
          <cell r="Y6742" t="str">
            <v/>
          </cell>
        </row>
        <row r="6743">
          <cell r="X6743" t="str">
            <v/>
          </cell>
          <cell r="Y6743" t="str">
            <v/>
          </cell>
        </row>
        <row r="6744">
          <cell r="X6744" t="str">
            <v/>
          </cell>
          <cell r="Y6744" t="str">
            <v/>
          </cell>
        </row>
        <row r="6745">
          <cell r="X6745" t="str">
            <v/>
          </cell>
          <cell r="Y6745" t="str">
            <v/>
          </cell>
        </row>
        <row r="6746">
          <cell r="X6746" t="str">
            <v/>
          </cell>
          <cell r="Y6746" t="str">
            <v/>
          </cell>
        </row>
        <row r="6747">
          <cell r="X6747" t="str">
            <v/>
          </cell>
          <cell r="Y6747" t="str">
            <v/>
          </cell>
        </row>
        <row r="6748">
          <cell r="X6748" t="str">
            <v/>
          </cell>
          <cell r="Y6748" t="str">
            <v/>
          </cell>
        </row>
        <row r="6749">
          <cell r="X6749" t="str">
            <v/>
          </cell>
          <cell r="Y6749" t="str">
            <v/>
          </cell>
        </row>
        <row r="6750">
          <cell r="X6750" t="str">
            <v/>
          </cell>
          <cell r="Y6750" t="str">
            <v/>
          </cell>
        </row>
        <row r="6751">
          <cell r="X6751" t="str">
            <v/>
          </cell>
          <cell r="Y6751" t="str">
            <v/>
          </cell>
        </row>
        <row r="6752">
          <cell r="X6752" t="str">
            <v/>
          </cell>
          <cell r="Y6752" t="str">
            <v/>
          </cell>
        </row>
        <row r="6753">
          <cell r="X6753" t="str">
            <v/>
          </cell>
          <cell r="Y6753" t="str">
            <v/>
          </cell>
        </row>
        <row r="6754">
          <cell r="X6754" t="str">
            <v/>
          </cell>
          <cell r="Y6754" t="str">
            <v/>
          </cell>
        </row>
        <row r="6755">
          <cell r="X6755" t="str">
            <v/>
          </cell>
          <cell r="Y6755" t="str">
            <v/>
          </cell>
        </row>
        <row r="6756">
          <cell r="X6756" t="str">
            <v/>
          </cell>
          <cell r="Y6756" t="str">
            <v/>
          </cell>
        </row>
        <row r="6757">
          <cell r="X6757" t="str">
            <v/>
          </cell>
          <cell r="Y6757" t="str">
            <v/>
          </cell>
        </row>
        <row r="6758">
          <cell r="X6758" t="str">
            <v/>
          </cell>
          <cell r="Y6758" t="str">
            <v/>
          </cell>
        </row>
        <row r="6759">
          <cell r="X6759" t="str">
            <v/>
          </cell>
          <cell r="Y6759" t="str">
            <v/>
          </cell>
        </row>
        <row r="6760">
          <cell r="X6760" t="str">
            <v/>
          </cell>
          <cell r="Y6760" t="str">
            <v/>
          </cell>
        </row>
        <row r="6761">
          <cell r="X6761" t="str">
            <v/>
          </cell>
          <cell r="Y6761" t="str">
            <v/>
          </cell>
        </row>
        <row r="6762">
          <cell r="X6762" t="str">
            <v/>
          </cell>
          <cell r="Y6762" t="str">
            <v/>
          </cell>
        </row>
        <row r="6763">
          <cell r="X6763" t="str">
            <v/>
          </cell>
          <cell r="Y6763" t="str">
            <v/>
          </cell>
        </row>
        <row r="6764">
          <cell r="X6764" t="str">
            <v/>
          </cell>
          <cell r="Y6764" t="str">
            <v/>
          </cell>
        </row>
        <row r="6765">
          <cell r="X6765" t="str">
            <v/>
          </cell>
          <cell r="Y6765" t="str">
            <v/>
          </cell>
        </row>
        <row r="6766">
          <cell r="X6766" t="str">
            <v/>
          </cell>
          <cell r="Y6766" t="str">
            <v/>
          </cell>
        </row>
        <row r="6767">
          <cell r="X6767" t="str">
            <v/>
          </cell>
          <cell r="Y6767" t="str">
            <v/>
          </cell>
        </row>
        <row r="6768">
          <cell r="X6768" t="str">
            <v/>
          </cell>
          <cell r="Y6768" t="str">
            <v/>
          </cell>
        </row>
        <row r="6769">
          <cell r="X6769" t="str">
            <v/>
          </cell>
          <cell r="Y6769" t="str">
            <v/>
          </cell>
        </row>
        <row r="6770">
          <cell r="X6770" t="str">
            <v/>
          </cell>
          <cell r="Y6770" t="str">
            <v/>
          </cell>
        </row>
        <row r="6771">
          <cell r="X6771" t="str">
            <v/>
          </cell>
          <cell r="Y6771" t="str">
            <v/>
          </cell>
        </row>
        <row r="6772">
          <cell r="X6772" t="str">
            <v/>
          </cell>
          <cell r="Y6772" t="str">
            <v/>
          </cell>
        </row>
        <row r="6773">
          <cell r="X6773" t="str">
            <v/>
          </cell>
          <cell r="Y6773" t="str">
            <v/>
          </cell>
        </row>
        <row r="6774">
          <cell r="X6774" t="str">
            <v/>
          </cell>
          <cell r="Y6774" t="str">
            <v/>
          </cell>
        </row>
        <row r="6775">
          <cell r="X6775" t="str">
            <v/>
          </cell>
          <cell r="Y6775" t="str">
            <v/>
          </cell>
        </row>
        <row r="6776">
          <cell r="X6776" t="str">
            <v/>
          </cell>
          <cell r="Y6776" t="str">
            <v/>
          </cell>
        </row>
        <row r="6777">
          <cell r="X6777" t="str">
            <v/>
          </cell>
          <cell r="Y6777" t="str">
            <v/>
          </cell>
        </row>
        <row r="6778">
          <cell r="X6778" t="str">
            <v/>
          </cell>
          <cell r="Y6778" t="str">
            <v/>
          </cell>
        </row>
        <row r="6779">
          <cell r="X6779" t="str">
            <v/>
          </cell>
          <cell r="Y6779" t="str">
            <v/>
          </cell>
        </row>
        <row r="6780">
          <cell r="X6780" t="str">
            <v/>
          </cell>
          <cell r="Y6780" t="str">
            <v/>
          </cell>
        </row>
        <row r="6781">
          <cell r="X6781" t="str">
            <v/>
          </cell>
          <cell r="Y6781" t="str">
            <v/>
          </cell>
        </row>
        <row r="6782">
          <cell r="X6782" t="str">
            <v/>
          </cell>
          <cell r="Y6782" t="str">
            <v/>
          </cell>
        </row>
        <row r="6783">
          <cell r="X6783" t="str">
            <v/>
          </cell>
          <cell r="Y6783" t="str">
            <v/>
          </cell>
        </row>
        <row r="6784">
          <cell r="X6784" t="str">
            <v/>
          </cell>
          <cell r="Y6784" t="str">
            <v/>
          </cell>
        </row>
        <row r="6785">
          <cell r="X6785" t="str">
            <v/>
          </cell>
          <cell r="Y6785" t="str">
            <v/>
          </cell>
        </row>
        <row r="6786">
          <cell r="X6786" t="str">
            <v/>
          </cell>
          <cell r="Y6786" t="str">
            <v/>
          </cell>
        </row>
        <row r="6787">
          <cell r="X6787" t="str">
            <v/>
          </cell>
          <cell r="Y6787" t="str">
            <v/>
          </cell>
        </row>
        <row r="6788">
          <cell r="X6788" t="str">
            <v/>
          </cell>
          <cell r="Y6788" t="str">
            <v/>
          </cell>
        </row>
        <row r="6789">
          <cell r="X6789" t="str">
            <v/>
          </cell>
          <cell r="Y6789" t="str">
            <v/>
          </cell>
        </row>
        <row r="6790">
          <cell r="X6790" t="str">
            <v/>
          </cell>
          <cell r="Y6790" t="str">
            <v/>
          </cell>
        </row>
        <row r="6791">
          <cell r="X6791" t="str">
            <v/>
          </cell>
          <cell r="Y6791" t="str">
            <v/>
          </cell>
        </row>
        <row r="6792">
          <cell r="X6792" t="str">
            <v/>
          </cell>
          <cell r="Y6792" t="str">
            <v/>
          </cell>
        </row>
        <row r="6793">
          <cell r="X6793" t="str">
            <v/>
          </cell>
          <cell r="Y6793" t="str">
            <v/>
          </cell>
        </row>
        <row r="6794">
          <cell r="X6794" t="str">
            <v/>
          </cell>
          <cell r="Y6794" t="str">
            <v/>
          </cell>
        </row>
        <row r="6795">
          <cell r="X6795" t="str">
            <v/>
          </cell>
          <cell r="Y6795" t="str">
            <v/>
          </cell>
        </row>
        <row r="6796">
          <cell r="X6796" t="str">
            <v/>
          </cell>
          <cell r="Y6796" t="str">
            <v/>
          </cell>
        </row>
        <row r="6797">
          <cell r="X6797" t="str">
            <v/>
          </cell>
          <cell r="Y6797" t="str">
            <v/>
          </cell>
        </row>
        <row r="6798">
          <cell r="X6798" t="str">
            <v/>
          </cell>
          <cell r="Y6798" t="str">
            <v/>
          </cell>
        </row>
        <row r="6799">
          <cell r="X6799" t="str">
            <v/>
          </cell>
          <cell r="Y6799" t="str">
            <v/>
          </cell>
        </row>
        <row r="6800">
          <cell r="X6800" t="str">
            <v/>
          </cell>
          <cell r="Y6800" t="str">
            <v/>
          </cell>
        </row>
        <row r="6801">
          <cell r="X6801" t="str">
            <v/>
          </cell>
          <cell r="Y6801" t="str">
            <v/>
          </cell>
        </row>
        <row r="6802">
          <cell r="X6802" t="str">
            <v/>
          </cell>
          <cell r="Y6802" t="str">
            <v/>
          </cell>
        </row>
        <row r="6803">
          <cell r="X6803" t="str">
            <v/>
          </cell>
          <cell r="Y6803" t="str">
            <v/>
          </cell>
        </row>
        <row r="6804">
          <cell r="X6804" t="str">
            <v/>
          </cell>
          <cell r="Y6804" t="str">
            <v/>
          </cell>
        </row>
        <row r="6805">
          <cell r="X6805" t="str">
            <v/>
          </cell>
          <cell r="Y6805" t="str">
            <v/>
          </cell>
        </row>
        <row r="6806">
          <cell r="X6806" t="str">
            <v/>
          </cell>
          <cell r="Y6806" t="str">
            <v/>
          </cell>
        </row>
        <row r="6807">
          <cell r="X6807" t="str">
            <v/>
          </cell>
          <cell r="Y6807" t="str">
            <v/>
          </cell>
        </row>
        <row r="6808">
          <cell r="X6808" t="str">
            <v/>
          </cell>
          <cell r="Y6808" t="str">
            <v/>
          </cell>
        </row>
        <row r="6809">
          <cell r="X6809" t="str">
            <v/>
          </cell>
          <cell r="Y6809" t="str">
            <v/>
          </cell>
        </row>
        <row r="6810">
          <cell r="X6810" t="str">
            <v/>
          </cell>
          <cell r="Y6810" t="str">
            <v/>
          </cell>
        </row>
        <row r="6811">
          <cell r="X6811" t="str">
            <v/>
          </cell>
          <cell r="Y6811" t="str">
            <v/>
          </cell>
        </row>
        <row r="6812">
          <cell r="X6812" t="str">
            <v/>
          </cell>
          <cell r="Y6812" t="str">
            <v/>
          </cell>
        </row>
        <row r="6813">
          <cell r="X6813" t="str">
            <v/>
          </cell>
          <cell r="Y6813" t="str">
            <v/>
          </cell>
        </row>
        <row r="6814">
          <cell r="X6814" t="str">
            <v/>
          </cell>
          <cell r="Y6814" t="str">
            <v/>
          </cell>
        </row>
        <row r="6815">
          <cell r="X6815" t="str">
            <v/>
          </cell>
          <cell r="Y6815" t="str">
            <v/>
          </cell>
        </row>
        <row r="6816">
          <cell r="X6816" t="str">
            <v/>
          </cell>
          <cell r="Y6816" t="str">
            <v/>
          </cell>
        </row>
        <row r="6817">
          <cell r="X6817" t="str">
            <v/>
          </cell>
          <cell r="Y6817" t="str">
            <v/>
          </cell>
        </row>
        <row r="6818">
          <cell r="X6818" t="str">
            <v/>
          </cell>
          <cell r="Y6818" t="str">
            <v/>
          </cell>
        </row>
        <row r="6819">
          <cell r="X6819" t="str">
            <v/>
          </cell>
          <cell r="Y6819" t="str">
            <v/>
          </cell>
        </row>
        <row r="6820">
          <cell r="X6820" t="str">
            <v/>
          </cell>
          <cell r="Y6820" t="str">
            <v/>
          </cell>
        </row>
        <row r="6821">
          <cell r="X6821" t="str">
            <v/>
          </cell>
          <cell r="Y6821" t="str">
            <v/>
          </cell>
        </row>
        <row r="6822">
          <cell r="X6822" t="str">
            <v/>
          </cell>
          <cell r="Y6822" t="str">
            <v/>
          </cell>
        </row>
        <row r="6823">
          <cell r="X6823" t="str">
            <v/>
          </cell>
          <cell r="Y6823" t="str">
            <v/>
          </cell>
        </row>
        <row r="6824">
          <cell r="X6824" t="str">
            <v/>
          </cell>
          <cell r="Y6824" t="str">
            <v/>
          </cell>
        </row>
        <row r="6825">
          <cell r="X6825" t="str">
            <v/>
          </cell>
          <cell r="Y6825" t="str">
            <v/>
          </cell>
        </row>
        <row r="6826">
          <cell r="X6826" t="str">
            <v/>
          </cell>
          <cell r="Y6826" t="str">
            <v/>
          </cell>
        </row>
        <row r="6827">
          <cell r="X6827" t="str">
            <v/>
          </cell>
          <cell r="Y6827" t="str">
            <v/>
          </cell>
        </row>
        <row r="6828">
          <cell r="X6828" t="str">
            <v/>
          </cell>
          <cell r="Y6828" t="str">
            <v/>
          </cell>
        </row>
        <row r="6829">
          <cell r="X6829" t="str">
            <v/>
          </cell>
          <cell r="Y6829" t="str">
            <v/>
          </cell>
        </row>
        <row r="6830">
          <cell r="X6830" t="str">
            <v/>
          </cell>
          <cell r="Y6830" t="str">
            <v/>
          </cell>
        </row>
        <row r="6831">
          <cell r="X6831" t="str">
            <v/>
          </cell>
          <cell r="Y6831" t="str">
            <v/>
          </cell>
        </row>
        <row r="6832">
          <cell r="X6832" t="str">
            <v/>
          </cell>
          <cell r="Y6832" t="str">
            <v/>
          </cell>
        </row>
        <row r="6833">
          <cell r="X6833" t="str">
            <v/>
          </cell>
          <cell r="Y6833" t="str">
            <v/>
          </cell>
        </row>
        <row r="6834">
          <cell r="X6834" t="str">
            <v/>
          </cell>
          <cell r="Y6834" t="str">
            <v/>
          </cell>
        </row>
        <row r="6835">
          <cell r="X6835" t="str">
            <v/>
          </cell>
          <cell r="Y6835" t="str">
            <v/>
          </cell>
        </row>
        <row r="6836">
          <cell r="X6836" t="str">
            <v/>
          </cell>
          <cell r="Y6836" t="str">
            <v/>
          </cell>
        </row>
        <row r="6837">
          <cell r="X6837" t="str">
            <v/>
          </cell>
          <cell r="Y6837" t="str">
            <v/>
          </cell>
        </row>
        <row r="6838">
          <cell r="X6838" t="str">
            <v/>
          </cell>
          <cell r="Y6838" t="str">
            <v/>
          </cell>
        </row>
        <row r="6839">
          <cell r="X6839" t="str">
            <v/>
          </cell>
          <cell r="Y6839" t="str">
            <v/>
          </cell>
        </row>
        <row r="6840">
          <cell r="X6840" t="str">
            <v/>
          </cell>
          <cell r="Y6840" t="str">
            <v/>
          </cell>
        </row>
        <row r="6841">
          <cell r="X6841" t="str">
            <v/>
          </cell>
          <cell r="Y6841" t="str">
            <v/>
          </cell>
        </row>
        <row r="6842">
          <cell r="X6842" t="str">
            <v/>
          </cell>
          <cell r="Y6842" t="str">
            <v/>
          </cell>
        </row>
        <row r="6843">
          <cell r="X6843" t="str">
            <v/>
          </cell>
          <cell r="Y6843" t="str">
            <v/>
          </cell>
        </row>
        <row r="6844">
          <cell r="X6844" t="str">
            <v/>
          </cell>
          <cell r="Y6844" t="str">
            <v/>
          </cell>
        </row>
        <row r="6845">
          <cell r="X6845" t="str">
            <v/>
          </cell>
          <cell r="Y6845" t="str">
            <v/>
          </cell>
        </row>
        <row r="6846">
          <cell r="X6846" t="str">
            <v/>
          </cell>
          <cell r="Y6846" t="str">
            <v/>
          </cell>
        </row>
        <row r="6847">
          <cell r="X6847" t="str">
            <v/>
          </cell>
          <cell r="Y6847" t="str">
            <v/>
          </cell>
        </row>
        <row r="6848">
          <cell r="X6848" t="str">
            <v/>
          </cell>
          <cell r="Y6848" t="str">
            <v/>
          </cell>
        </row>
        <row r="6849">
          <cell r="X6849" t="str">
            <v/>
          </cell>
          <cell r="Y6849" t="str">
            <v/>
          </cell>
        </row>
        <row r="6850">
          <cell r="X6850" t="str">
            <v/>
          </cell>
          <cell r="Y6850" t="str">
            <v/>
          </cell>
        </row>
        <row r="6851">
          <cell r="X6851" t="str">
            <v/>
          </cell>
          <cell r="Y6851" t="str">
            <v/>
          </cell>
        </row>
        <row r="6852">
          <cell r="X6852" t="str">
            <v/>
          </cell>
          <cell r="Y6852" t="str">
            <v/>
          </cell>
        </row>
        <row r="6853">
          <cell r="X6853" t="str">
            <v/>
          </cell>
          <cell r="Y6853" t="str">
            <v/>
          </cell>
        </row>
        <row r="6854">
          <cell r="X6854" t="str">
            <v/>
          </cell>
          <cell r="Y6854" t="str">
            <v/>
          </cell>
        </row>
        <row r="6855">
          <cell r="X6855" t="str">
            <v/>
          </cell>
          <cell r="Y6855" t="str">
            <v/>
          </cell>
        </row>
        <row r="6856">
          <cell r="X6856" t="str">
            <v/>
          </cell>
          <cell r="Y6856" t="str">
            <v/>
          </cell>
        </row>
        <row r="6857">
          <cell r="X6857" t="str">
            <v/>
          </cell>
          <cell r="Y6857" t="str">
            <v/>
          </cell>
        </row>
        <row r="6858">
          <cell r="X6858" t="str">
            <v/>
          </cell>
          <cell r="Y6858" t="str">
            <v/>
          </cell>
        </row>
        <row r="6859">
          <cell r="X6859" t="str">
            <v/>
          </cell>
          <cell r="Y6859" t="str">
            <v/>
          </cell>
        </row>
        <row r="6860">
          <cell r="X6860" t="str">
            <v/>
          </cell>
          <cell r="Y6860" t="str">
            <v/>
          </cell>
        </row>
        <row r="6861">
          <cell r="X6861" t="str">
            <v/>
          </cell>
          <cell r="Y6861" t="str">
            <v/>
          </cell>
        </row>
        <row r="6862">
          <cell r="X6862" t="str">
            <v/>
          </cell>
          <cell r="Y6862" t="str">
            <v/>
          </cell>
        </row>
        <row r="6863">
          <cell r="X6863" t="str">
            <v/>
          </cell>
          <cell r="Y6863" t="str">
            <v/>
          </cell>
        </row>
        <row r="6864">
          <cell r="X6864" t="str">
            <v/>
          </cell>
          <cell r="Y6864" t="str">
            <v/>
          </cell>
        </row>
        <row r="6865">
          <cell r="X6865" t="str">
            <v/>
          </cell>
          <cell r="Y6865" t="str">
            <v/>
          </cell>
        </row>
        <row r="6866">
          <cell r="X6866" t="str">
            <v/>
          </cell>
          <cell r="Y6866" t="str">
            <v/>
          </cell>
        </row>
        <row r="6867">
          <cell r="X6867" t="str">
            <v/>
          </cell>
          <cell r="Y6867" t="str">
            <v/>
          </cell>
        </row>
        <row r="6868">
          <cell r="X6868" t="str">
            <v/>
          </cell>
          <cell r="Y6868" t="str">
            <v/>
          </cell>
        </row>
        <row r="6869">
          <cell r="X6869" t="str">
            <v/>
          </cell>
          <cell r="Y6869" t="str">
            <v/>
          </cell>
        </row>
        <row r="6870">
          <cell r="X6870" t="str">
            <v/>
          </cell>
          <cell r="Y6870" t="str">
            <v/>
          </cell>
        </row>
        <row r="6871">
          <cell r="X6871" t="str">
            <v/>
          </cell>
          <cell r="Y6871" t="str">
            <v/>
          </cell>
        </row>
        <row r="6872">
          <cell r="X6872" t="str">
            <v/>
          </cell>
          <cell r="Y6872" t="str">
            <v/>
          </cell>
        </row>
        <row r="6873">
          <cell r="X6873" t="str">
            <v/>
          </cell>
          <cell r="Y6873" t="str">
            <v/>
          </cell>
        </row>
        <row r="6874">
          <cell r="X6874" t="str">
            <v/>
          </cell>
          <cell r="Y6874" t="str">
            <v/>
          </cell>
        </row>
        <row r="6875">
          <cell r="X6875" t="str">
            <v/>
          </cell>
          <cell r="Y6875" t="str">
            <v/>
          </cell>
        </row>
        <row r="6876">
          <cell r="X6876" t="str">
            <v/>
          </cell>
          <cell r="Y6876" t="str">
            <v/>
          </cell>
        </row>
        <row r="6877">
          <cell r="X6877" t="str">
            <v/>
          </cell>
          <cell r="Y6877" t="str">
            <v/>
          </cell>
        </row>
        <row r="6878">
          <cell r="X6878" t="str">
            <v/>
          </cell>
          <cell r="Y6878" t="str">
            <v/>
          </cell>
        </row>
        <row r="6879">
          <cell r="X6879" t="str">
            <v/>
          </cell>
          <cell r="Y6879" t="str">
            <v/>
          </cell>
        </row>
        <row r="6880">
          <cell r="X6880" t="str">
            <v/>
          </cell>
          <cell r="Y6880" t="str">
            <v/>
          </cell>
        </row>
        <row r="6881">
          <cell r="X6881" t="str">
            <v/>
          </cell>
          <cell r="Y6881" t="str">
            <v/>
          </cell>
        </row>
        <row r="6882">
          <cell r="X6882" t="str">
            <v/>
          </cell>
          <cell r="Y6882" t="str">
            <v/>
          </cell>
        </row>
        <row r="6883">
          <cell r="X6883" t="str">
            <v/>
          </cell>
          <cell r="Y6883" t="str">
            <v/>
          </cell>
        </row>
        <row r="6884">
          <cell r="X6884" t="str">
            <v/>
          </cell>
          <cell r="Y6884" t="str">
            <v/>
          </cell>
        </row>
        <row r="6885">
          <cell r="X6885" t="str">
            <v/>
          </cell>
          <cell r="Y6885" t="str">
            <v/>
          </cell>
        </row>
        <row r="6886">
          <cell r="X6886" t="str">
            <v/>
          </cell>
          <cell r="Y6886" t="str">
            <v/>
          </cell>
        </row>
        <row r="6887">
          <cell r="X6887" t="str">
            <v/>
          </cell>
          <cell r="Y6887" t="str">
            <v/>
          </cell>
        </row>
        <row r="6888">
          <cell r="X6888" t="str">
            <v/>
          </cell>
          <cell r="Y6888" t="str">
            <v/>
          </cell>
        </row>
        <row r="6889">
          <cell r="X6889" t="str">
            <v/>
          </cell>
          <cell r="Y6889" t="str">
            <v/>
          </cell>
        </row>
        <row r="6890">
          <cell r="X6890" t="str">
            <v/>
          </cell>
          <cell r="Y6890" t="str">
            <v/>
          </cell>
        </row>
        <row r="6891">
          <cell r="X6891" t="str">
            <v/>
          </cell>
          <cell r="Y6891" t="str">
            <v/>
          </cell>
        </row>
        <row r="6892">
          <cell r="X6892" t="str">
            <v/>
          </cell>
          <cell r="Y6892" t="str">
            <v/>
          </cell>
        </row>
        <row r="6893">
          <cell r="X6893" t="str">
            <v/>
          </cell>
          <cell r="Y6893" t="str">
            <v/>
          </cell>
        </row>
        <row r="6894">
          <cell r="X6894" t="str">
            <v/>
          </cell>
          <cell r="Y6894" t="str">
            <v/>
          </cell>
        </row>
        <row r="6895">
          <cell r="X6895" t="str">
            <v/>
          </cell>
          <cell r="Y6895" t="str">
            <v/>
          </cell>
        </row>
        <row r="6896">
          <cell r="X6896" t="str">
            <v/>
          </cell>
          <cell r="Y6896" t="str">
            <v/>
          </cell>
        </row>
        <row r="6897">
          <cell r="X6897" t="str">
            <v/>
          </cell>
          <cell r="Y6897" t="str">
            <v/>
          </cell>
        </row>
        <row r="6898">
          <cell r="X6898" t="str">
            <v/>
          </cell>
          <cell r="Y6898" t="str">
            <v/>
          </cell>
        </row>
        <row r="6899">
          <cell r="X6899" t="str">
            <v/>
          </cell>
          <cell r="Y6899" t="str">
            <v/>
          </cell>
        </row>
        <row r="6900">
          <cell r="X6900" t="str">
            <v/>
          </cell>
          <cell r="Y6900" t="str">
            <v/>
          </cell>
        </row>
        <row r="6901">
          <cell r="X6901" t="str">
            <v/>
          </cell>
          <cell r="Y6901" t="str">
            <v/>
          </cell>
        </row>
        <row r="6902">
          <cell r="X6902" t="str">
            <v/>
          </cell>
          <cell r="Y6902" t="str">
            <v/>
          </cell>
        </row>
        <row r="6903">
          <cell r="X6903" t="str">
            <v/>
          </cell>
          <cell r="Y6903" t="str">
            <v/>
          </cell>
        </row>
        <row r="6904">
          <cell r="X6904" t="str">
            <v/>
          </cell>
          <cell r="Y6904" t="str">
            <v/>
          </cell>
        </row>
        <row r="6905">
          <cell r="X6905" t="str">
            <v/>
          </cell>
          <cell r="Y6905" t="str">
            <v/>
          </cell>
        </row>
        <row r="6906">
          <cell r="X6906" t="str">
            <v/>
          </cell>
          <cell r="Y6906" t="str">
            <v/>
          </cell>
        </row>
        <row r="6907">
          <cell r="X6907" t="str">
            <v/>
          </cell>
          <cell r="Y6907" t="str">
            <v/>
          </cell>
        </row>
        <row r="6908">
          <cell r="X6908" t="str">
            <v/>
          </cell>
          <cell r="Y6908" t="str">
            <v/>
          </cell>
        </row>
        <row r="6909">
          <cell r="X6909" t="str">
            <v/>
          </cell>
          <cell r="Y6909" t="str">
            <v/>
          </cell>
        </row>
        <row r="6910">
          <cell r="X6910" t="str">
            <v/>
          </cell>
          <cell r="Y6910" t="str">
            <v/>
          </cell>
        </row>
        <row r="6911">
          <cell r="X6911" t="str">
            <v/>
          </cell>
          <cell r="Y6911" t="str">
            <v/>
          </cell>
        </row>
        <row r="6912">
          <cell r="X6912" t="str">
            <v/>
          </cell>
          <cell r="Y6912" t="str">
            <v/>
          </cell>
        </row>
        <row r="6913">
          <cell r="X6913" t="str">
            <v/>
          </cell>
          <cell r="Y6913" t="str">
            <v/>
          </cell>
        </row>
        <row r="6914">
          <cell r="X6914" t="str">
            <v/>
          </cell>
          <cell r="Y6914" t="str">
            <v/>
          </cell>
        </row>
        <row r="6915">
          <cell r="X6915" t="str">
            <v/>
          </cell>
          <cell r="Y6915" t="str">
            <v/>
          </cell>
        </row>
        <row r="6916">
          <cell r="X6916" t="str">
            <v/>
          </cell>
          <cell r="Y6916" t="str">
            <v/>
          </cell>
        </row>
        <row r="6917">
          <cell r="X6917" t="str">
            <v/>
          </cell>
          <cell r="Y6917" t="str">
            <v/>
          </cell>
        </row>
        <row r="6918">
          <cell r="X6918" t="str">
            <v/>
          </cell>
          <cell r="Y6918" t="str">
            <v/>
          </cell>
        </row>
        <row r="6919">
          <cell r="X6919" t="str">
            <v/>
          </cell>
          <cell r="Y6919" t="str">
            <v/>
          </cell>
        </row>
        <row r="6920">
          <cell r="X6920" t="str">
            <v/>
          </cell>
          <cell r="Y6920" t="str">
            <v/>
          </cell>
        </row>
        <row r="6921">
          <cell r="X6921" t="str">
            <v/>
          </cell>
          <cell r="Y6921" t="str">
            <v/>
          </cell>
        </row>
        <row r="6922">
          <cell r="X6922" t="str">
            <v/>
          </cell>
          <cell r="Y6922" t="str">
            <v/>
          </cell>
        </row>
        <row r="6923">
          <cell r="X6923" t="str">
            <v/>
          </cell>
          <cell r="Y6923" t="str">
            <v/>
          </cell>
        </row>
        <row r="6924">
          <cell r="X6924" t="str">
            <v/>
          </cell>
          <cell r="Y6924" t="str">
            <v/>
          </cell>
        </row>
        <row r="6925">
          <cell r="X6925" t="str">
            <v/>
          </cell>
          <cell r="Y6925" t="str">
            <v/>
          </cell>
        </row>
        <row r="6926">
          <cell r="X6926" t="str">
            <v/>
          </cell>
          <cell r="Y6926" t="str">
            <v/>
          </cell>
        </row>
        <row r="6927">
          <cell r="X6927" t="str">
            <v/>
          </cell>
          <cell r="Y6927" t="str">
            <v/>
          </cell>
        </row>
        <row r="6928">
          <cell r="X6928" t="str">
            <v/>
          </cell>
          <cell r="Y6928" t="str">
            <v/>
          </cell>
        </row>
        <row r="6929">
          <cell r="X6929" t="str">
            <v/>
          </cell>
          <cell r="Y6929" t="str">
            <v/>
          </cell>
        </row>
        <row r="6930">
          <cell r="X6930" t="str">
            <v/>
          </cell>
          <cell r="Y6930" t="str">
            <v/>
          </cell>
        </row>
        <row r="6931">
          <cell r="X6931" t="str">
            <v/>
          </cell>
          <cell r="Y6931" t="str">
            <v/>
          </cell>
        </row>
        <row r="6932">
          <cell r="X6932" t="str">
            <v/>
          </cell>
          <cell r="Y6932" t="str">
            <v/>
          </cell>
        </row>
        <row r="6933">
          <cell r="X6933" t="str">
            <v/>
          </cell>
          <cell r="Y6933" t="str">
            <v/>
          </cell>
        </row>
        <row r="6934">
          <cell r="X6934" t="str">
            <v/>
          </cell>
          <cell r="Y6934" t="str">
            <v/>
          </cell>
        </row>
        <row r="6935">
          <cell r="X6935" t="str">
            <v/>
          </cell>
          <cell r="Y6935" t="str">
            <v/>
          </cell>
        </row>
        <row r="6936">
          <cell r="X6936" t="str">
            <v/>
          </cell>
          <cell r="Y6936" t="str">
            <v/>
          </cell>
        </row>
        <row r="6937">
          <cell r="X6937" t="str">
            <v/>
          </cell>
          <cell r="Y6937" t="str">
            <v/>
          </cell>
        </row>
        <row r="6938">
          <cell r="X6938" t="str">
            <v/>
          </cell>
          <cell r="Y6938" t="str">
            <v/>
          </cell>
        </row>
        <row r="6939">
          <cell r="X6939" t="str">
            <v/>
          </cell>
          <cell r="Y6939" t="str">
            <v/>
          </cell>
        </row>
        <row r="6940">
          <cell r="X6940" t="str">
            <v/>
          </cell>
          <cell r="Y6940" t="str">
            <v/>
          </cell>
        </row>
        <row r="6941">
          <cell r="X6941" t="str">
            <v/>
          </cell>
          <cell r="Y6941" t="str">
            <v/>
          </cell>
        </row>
        <row r="6942">
          <cell r="X6942" t="str">
            <v/>
          </cell>
          <cell r="Y6942" t="str">
            <v/>
          </cell>
        </row>
        <row r="6943">
          <cell r="X6943" t="str">
            <v/>
          </cell>
          <cell r="Y6943" t="str">
            <v/>
          </cell>
        </row>
        <row r="6944">
          <cell r="X6944" t="str">
            <v/>
          </cell>
          <cell r="Y6944" t="str">
            <v/>
          </cell>
        </row>
        <row r="6945">
          <cell r="X6945" t="str">
            <v/>
          </cell>
          <cell r="Y6945" t="str">
            <v/>
          </cell>
        </row>
        <row r="6946">
          <cell r="X6946" t="str">
            <v/>
          </cell>
          <cell r="Y6946" t="str">
            <v/>
          </cell>
        </row>
        <row r="6947">
          <cell r="X6947" t="str">
            <v/>
          </cell>
          <cell r="Y6947" t="str">
            <v/>
          </cell>
        </row>
        <row r="6948">
          <cell r="X6948" t="str">
            <v/>
          </cell>
          <cell r="Y6948" t="str">
            <v/>
          </cell>
        </row>
        <row r="6949">
          <cell r="X6949" t="str">
            <v/>
          </cell>
          <cell r="Y6949" t="str">
            <v/>
          </cell>
        </row>
        <row r="6950">
          <cell r="X6950" t="str">
            <v/>
          </cell>
          <cell r="Y6950" t="str">
            <v/>
          </cell>
        </row>
        <row r="6951">
          <cell r="X6951" t="str">
            <v/>
          </cell>
          <cell r="Y6951" t="str">
            <v/>
          </cell>
        </row>
        <row r="6952">
          <cell r="X6952" t="str">
            <v/>
          </cell>
          <cell r="Y6952" t="str">
            <v/>
          </cell>
        </row>
        <row r="6953">
          <cell r="X6953" t="str">
            <v/>
          </cell>
          <cell r="Y6953" t="str">
            <v/>
          </cell>
        </row>
        <row r="6954">
          <cell r="X6954" t="str">
            <v/>
          </cell>
          <cell r="Y6954" t="str">
            <v/>
          </cell>
        </row>
        <row r="6955">
          <cell r="X6955" t="str">
            <v/>
          </cell>
          <cell r="Y6955" t="str">
            <v/>
          </cell>
        </row>
        <row r="6956">
          <cell r="X6956" t="str">
            <v/>
          </cell>
          <cell r="Y6956" t="str">
            <v/>
          </cell>
        </row>
        <row r="6957">
          <cell r="X6957" t="str">
            <v/>
          </cell>
          <cell r="Y6957" t="str">
            <v/>
          </cell>
        </row>
        <row r="6958">
          <cell r="X6958" t="str">
            <v/>
          </cell>
          <cell r="Y6958" t="str">
            <v/>
          </cell>
        </row>
        <row r="6959">
          <cell r="X6959" t="str">
            <v/>
          </cell>
          <cell r="Y6959" t="str">
            <v/>
          </cell>
        </row>
        <row r="6960">
          <cell r="X6960" t="str">
            <v/>
          </cell>
          <cell r="Y6960" t="str">
            <v/>
          </cell>
        </row>
        <row r="6961">
          <cell r="X6961" t="str">
            <v/>
          </cell>
          <cell r="Y6961" t="str">
            <v/>
          </cell>
        </row>
        <row r="6962">
          <cell r="X6962" t="str">
            <v/>
          </cell>
          <cell r="Y6962" t="str">
            <v/>
          </cell>
        </row>
        <row r="6963">
          <cell r="X6963" t="str">
            <v/>
          </cell>
          <cell r="Y6963" t="str">
            <v/>
          </cell>
        </row>
        <row r="6964">
          <cell r="X6964" t="str">
            <v/>
          </cell>
          <cell r="Y6964" t="str">
            <v/>
          </cell>
        </row>
        <row r="6965">
          <cell r="X6965" t="str">
            <v/>
          </cell>
          <cell r="Y6965" t="str">
            <v/>
          </cell>
        </row>
        <row r="6966">
          <cell r="X6966" t="str">
            <v/>
          </cell>
          <cell r="Y6966" t="str">
            <v/>
          </cell>
        </row>
        <row r="6967">
          <cell r="X6967" t="str">
            <v/>
          </cell>
          <cell r="Y6967" t="str">
            <v/>
          </cell>
        </row>
        <row r="6968">
          <cell r="X6968" t="str">
            <v/>
          </cell>
          <cell r="Y6968" t="str">
            <v/>
          </cell>
        </row>
        <row r="6969">
          <cell r="X6969" t="str">
            <v/>
          </cell>
          <cell r="Y6969" t="str">
            <v/>
          </cell>
        </row>
        <row r="6970">
          <cell r="X6970" t="str">
            <v/>
          </cell>
          <cell r="Y6970" t="str">
            <v/>
          </cell>
        </row>
        <row r="6971">
          <cell r="X6971" t="str">
            <v/>
          </cell>
          <cell r="Y6971" t="str">
            <v/>
          </cell>
        </row>
        <row r="6972">
          <cell r="X6972" t="str">
            <v/>
          </cell>
          <cell r="Y6972" t="str">
            <v/>
          </cell>
        </row>
        <row r="6973">
          <cell r="X6973" t="str">
            <v/>
          </cell>
          <cell r="Y6973" t="str">
            <v/>
          </cell>
        </row>
        <row r="6974">
          <cell r="X6974" t="str">
            <v/>
          </cell>
          <cell r="Y6974" t="str">
            <v/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2">
          <cell r="A12" t="str">
            <v>VL</v>
          </cell>
          <cell r="N12" t="str">
            <v>Lê Thành Lê</v>
          </cell>
          <cell r="O12" t="str">
            <v>Bến Tre</v>
          </cell>
          <cell r="P12">
            <v>330593933</v>
          </cell>
          <cell r="Q12" t="str">
            <v>xã Hưng Nhượng, Giồng Trôm, Bến Tre</v>
          </cell>
          <cell r="S12" t="str">
            <v>Tiền</v>
          </cell>
        </row>
        <row r="13">
          <cell r="A13" t="str">
            <v>VL</v>
          </cell>
          <cell r="N13" t="str">
            <v>Nguyễn Thành Quang</v>
          </cell>
          <cell r="O13" t="str">
            <v>Bến Tre</v>
          </cell>
          <cell r="P13">
            <v>320775664</v>
          </cell>
          <cell r="Q13" t="str">
            <v>681/AT, xã An Thủy, Ba Tri, Bến Tre</v>
          </cell>
          <cell r="S13" t="str">
            <v>Tiền</v>
          </cell>
        </row>
        <row r="14">
          <cell r="A14" t="str">
            <v>VL</v>
          </cell>
          <cell r="N14" t="str">
            <v>Nguyễn Văn Phong</v>
          </cell>
          <cell r="O14" t="str">
            <v>Bến Tre</v>
          </cell>
          <cell r="P14">
            <v>320892558</v>
          </cell>
          <cell r="Q14" t="str">
            <v>001/AT, xã An Thủy, Ba Tri, Bến Tre</v>
          </cell>
          <cell r="S14" t="str">
            <v>Tiền</v>
          </cell>
        </row>
        <row r="15">
          <cell r="A15" t="str">
            <v>VL</v>
          </cell>
          <cell r="N15" t="str">
            <v>Trương Thị Nhớ</v>
          </cell>
          <cell r="O15" t="str">
            <v>Bến Tre</v>
          </cell>
          <cell r="P15">
            <v>320892578</v>
          </cell>
          <cell r="Q15" t="str">
            <v>542/AT, xã An Thủy, Ba Tri, Bến Tre</v>
          </cell>
          <cell r="S15" t="str">
            <v>Tiền</v>
          </cell>
        </row>
        <row r="16">
          <cell r="A16" t="str">
            <v>VL</v>
          </cell>
          <cell r="N16" t="str">
            <v>Nguyễn Thanh Hải</v>
          </cell>
          <cell r="O16" t="str">
            <v>Bến Tre</v>
          </cell>
          <cell r="P16">
            <v>321179471</v>
          </cell>
          <cell r="Q16" t="str">
            <v>xã Châu Hòa, Giồng Trôm, Bến Tre</v>
          </cell>
          <cell r="S16" t="str">
            <v>Tiền</v>
          </cell>
        </row>
        <row r="17">
          <cell r="A17" t="str">
            <v>VL</v>
          </cell>
          <cell r="N17" t="str">
            <v>Phạm Tuấn Anh</v>
          </cell>
          <cell r="O17" t="str">
            <v>Bến Tre</v>
          </cell>
          <cell r="P17">
            <v>324478047</v>
          </cell>
          <cell r="Q17" t="str">
            <v>Ấp An Thới, An Qui, Thạnh Phú, Bến Tre</v>
          </cell>
          <cell r="S17" t="str">
            <v>Tiền</v>
          </cell>
        </row>
        <row r="18">
          <cell r="A18" t="str">
            <v>VL</v>
          </cell>
          <cell r="N18" t="str">
            <v>Nguyễn Thanh Hoàng</v>
          </cell>
          <cell r="O18" t="str">
            <v>Bến Tre</v>
          </cell>
          <cell r="P18">
            <v>321413712</v>
          </cell>
          <cell r="Q18" t="str">
            <v>788/AT, xã An Thủy, Ba Tri, Bến Tre</v>
          </cell>
          <cell r="S18" t="str">
            <v>Tiền</v>
          </cell>
        </row>
        <row r="19">
          <cell r="A19" t="str">
            <v>VL</v>
          </cell>
          <cell r="N19" t="str">
            <v>Nguyễn Thị Hồng Hoa</v>
          </cell>
          <cell r="O19" t="str">
            <v>Bến Tre</v>
          </cell>
          <cell r="P19">
            <v>320744085</v>
          </cell>
          <cell r="Q19" t="str">
            <v>681/AT, xã An Thủy, Ba Tri, Bến Tre</v>
          </cell>
          <cell r="S19" t="str">
            <v>Tiền</v>
          </cell>
        </row>
        <row r="20">
          <cell r="A20" t="str">
            <v>VL</v>
          </cell>
          <cell r="N20" t="str">
            <v>Nguyễn Văn Tha</v>
          </cell>
          <cell r="O20" t="str">
            <v>Bến Tre</v>
          </cell>
          <cell r="P20">
            <v>320807672</v>
          </cell>
          <cell r="Q20" t="str">
            <v>xã An Thủy, Ba Tri, Bến Tre</v>
          </cell>
          <cell r="S20" t="str">
            <v>Tiền</v>
          </cell>
        </row>
        <row r="21">
          <cell r="A21" t="str">
            <v>VL</v>
          </cell>
          <cell r="N21" t="str">
            <v>Vỏ Văn Thắng</v>
          </cell>
          <cell r="O21" t="str">
            <v>Bến Tre</v>
          </cell>
          <cell r="P21">
            <v>320044169</v>
          </cell>
          <cell r="Q21" t="str">
            <v>188/AT, xã An Thủy, Ba Tri, Bến Tre</v>
          </cell>
          <cell r="S21" t="str">
            <v>Tiền</v>
          </cell>
        </row>
        <row r="22">
          <cell r="A22" t="str">
            <v>VL</v>
          </cell>
          <cell r="N22" t="str">
            <v>Lý Thị Thảo</v>
          </cell>
          <cell r="O22" t="str">
            <v>Bến Tre</v>
          </cell>
          <cell r="P22">
            <v>320881573</v>
          </cell>
          <cell r="Q22" t="str">
            <v>xã An Thủy, Ba Tri, Bến Tre</v>
          </cell>
          <cell r="S22" t="str">
            <v>Tiền</v>
          </cell>
        </row>
        <row r="23">
          <cell r="A23" t="str">
            <v>VL</v>
          </cell>
          <cell r="N23" t="str">
            <v>Đặng Thanh Phong</v>
          </cell>
          <cell r="O23" t="str">
            <v>Bến Tre</v>
          </cell>
          <cell r="P23">
            <v>320876558</v>
          </cell>
          <cell r="Q23" t="str">
            <v>Bình Thành, Giồng Trôm, Bến Tre</v>
          </cell>
          <cell r="S23" t="str">
            <v>Tiền</v>
          </cell>
        </row>
        <row r="24">
          <cell r="A24" t="str">
            <v>VL</v>
          </cell>
          <cell r="N24" t="str">
            <v>Lê Thị Diệu</v>
          </cell>
          <cell r="O24" t="str">
            <v>Bình Thuận</v>
          </cell>
          <cell r="P24">
            <v>250746332</v>
          </cell>
          <cell r="Q24" t="str">
            <v>Đức Linh - Bình Thuận</v>
          </cell>
          <cell r="S24" t="str">
            <v>Tiền</v>
          </cell>
        </row>
        <row r="25">
          <cell r="A25" t="str">
            <v>VL</v>
          </cell>
          <cell r="N25" t="str">
            <v>Lê Thị Thiện Em</v>
          </cell>
          <cell r="O25" t="str">
            <v>Bình Thuận</v>
          </cell>
          <cell r="P25">
            <v>260682094</v>
          </cell>
          <cell r="Q25" t="str">
            <v>Đức Linh - Bình Thuận</v>
          </cell>
          <cell r="S25" t="str">
            <v>Tiền</v>
          </cell>
        </row>
        <row r="26">
          <cell r="A26" t="str">
            <v>VL</v>
          </cell>
          <cell r="N26" t="str">
            <v>Trần Văn An</v>
          </cell>
          <cell r="O26" t="str">
            <v>Bình Thuận</v>
          </cell>
          <cell r="P26">
            <v>260690910</v>
          </cell>
          <cell r="Q26" t="str">
            <v>Hàm Tân - Bình Thuận</v>
          </cell>
          <cell r="S26" t="str">
            <v>Tiền</v>
          </cell>
        </row>
        <row r="27">
          <cell r="A27" t="str">
            <v>VL</v>
          </cell>
          <cell r="N27" t="str">
            <v>Nguyễn Thanh Bình</v>
          </cell>
          <cell r="O27" t="str">
            <v>Bình Thuận</v>
          </cell>
          <cell r="P27">
            <v>260178873</v>
          </cell>
          <cell r="Q27" t="str">
            <v>Phan Thiết - Bình Thuận</v>
          </cell>
          <cell r="S27" t="str">
            <v>Tiền</v>
          </cell>
        </row>
        <row r="28">
          <cell r="A28" t="str">
            <v>VL</v>
          </cell>
          <cell r="N28" t="str">
            <v>Nguyễn Văn Hạnh</v>
          </cell>
          <cell r="O28" t="str">
            <v>Bình Thuận</v>
          </cell>
          <cell r="P28">
            <v>260850613</v>
          </cell>
          <cell r="Q28" t="str">
            <v>Phan Thiết - Bình Thuận</v>
          </cell>
          <cell r="S28" t="str">
            <v>Tiền</v>
          </cell>
        </row>
        <row r="29">
          <cell r="A29" t="str">
            <v>VL</v>
          </cell>
          <cell r="N29" t="str">
            <v>Trần Thị Thu Hiếu</v>
          </cell>
          <cell r="O29" t="str">
            <v>Bình Thuận</v>
          </cell>
          <cell r="P29">
            <v>280853616</v>
          </cell>
          <cell r="Q29" t="str">
            <v>Phan Thiết - Bình Thuận</v>
          </cell>
          <cell r="S29" t="str">
            <v>Tiền</v>
          </cell>
        </row>
        <row r="30">
          <cell r="A30" t="str">
            <v>VL</v>
          </cell>
          <cell r="N30" t="str">
            <v>Nguyễn Văn Nhân</v>
          </cell>
          <cell r="O30" t="str">
            <v>Bình Thuận</v>
          </cell>
          <cell r="P30">
            <v>261005222</v>
          </cell>
          <cell r="Q30" t="str">
            <v>Thanh Hải - Bình Thuận</v>
          </cell>
          <cell r="S30" t="str">
            <v>Tiền</v>
          </cell>
        </row>
        <row r="31">
          <cell r="A31" t="str">
            <v>VL</v>
          </cell>
          <cell r="N31" t="str">
            <v>Huỳnh Thị Kiều</v>
          </cell>
          <cell r="O31" t="str">
            <v>Kiên Giang</v>
          </cell>
          <cell r="P31">
            <v>370047763</v>
          </cell>
          <cell r="Q31" t="str">
            <v>Rạch Giá - Kiên Giang</v>
          </cell>
          <cell r="S31" t="str">
            <v>Hai</v>
          </cell>
        </row>
        <row r="32">
          <cell r="A32" t="str">
            <v>VL</v>
          </cell>
          <cell r="N32" t="str">
            <v>Nguyễn Thị Kim Vân</v>
          </cell>
          <cell r="O32" t="str">
            <v>Kiên Giang</v>
          </cell>
          <cell r="P32">
            <v>370054438</v>
          </cell>
          <cell r="Q32" t="str">
            <v>Rạch Giá - Kiên Giang</v>
          </cell>
          <cell r="S32" t="str">
            <v>Hai</v>
          </cell>
        </row>
        <row r="33">
          <cell r="A33" t="str">
            <v>VL</v>
          </cell>
          <cell r="N33" t="str">
            <v>Võ Thị Huyền</v>
          </cell>
          <cell r="O33" t="str">
            <v>Kiên Giang</v>
          </cell>
          <cell r="P33">
            <v>370615318</v>
          </cell>
          <cell r="Q33" t="str">
            <v>Gò Quao - Kiên Giang</v>
          </cell>
          <cell r="S33" t="str">
            <v>Hai</v>
          </cell>
        </row>
        <row r="34">
          <cell r="A34" t="str">
            <v>VL</v>
          </cell>
          <cell r="N34" t="str">
            <v>Nguyễn Thị Bé Hai</v>
          </cell>
          <cell r="O34" t="str">
            <v>Kiên Giang</v>
          </cell>
          <cell r="P34">
            <v>370825748</v>
          </cell>
          <cell r="Q34" t="str">
            <v>Gò Quao - Kiên Giang</v>
          </cell>
          <cell r="S34" t="str">
            <v>Hai</v>
          </cell>
        </row>
        <row r="35">
          <cell r="A35" t="str">
            <v>VL</v>
          </cell>
          <cell r="N35" t="str">
            <v>Lâm Thị Loan</v>
          </cell>
          <cell r="O35" t="str">
            <v>Kiên Giang</v>
          </cell>
          <cell r="P35">
            <v>370698949</v>
          </cell>
          <cell r="Q35" t="str">
            <v>196 Mỹ Lâm, Hòn Đất, Kiên Giang</v>
          </cell>
          <cell r="R35" t="str">
            <v>KG 90428TS, KG90139TS, KG91737TS</v>
          </cell>
          <cell r="S35" t="str">
            <v>Hai</v>
          </cell>
        </row>
        <row r="36">
          <cell r="A36" t="str">
            <v>VL</v>
          </cell>
          <cell r="N36" t="str">
            <v>Vũ Thị Lan</v>
          </cell>
          <cell r="O36" t="str">
            <v>Kiên Giang</v>
          </cell>
          <cell r="P36">
            <v>370803567</v>
          </cell>
          <cell r="Q36" t="str">
            <v>Kiên lương - Kiên Giang</v>
          </cell>
          <cell r="S36" t="str">
            <v>Hai</v>
          </cell>
        </row>
        <row r="37">
          <cell r="A37" t="str">
            <v>VL</v>
          </cell>
          <cell r="N37" t="str">
            <v>Trương Quốc Tuấn</v>
          </cell>
          <cell r="O37" t="str">
            <v>Kiên Giang</v>
          </cell>
          <cell r="P37">
            <v>370004125</v>
          </cell>
          <cell r="Q37" t="str">
            <v>Rạch Giá - Kiên Giang</v>
          </cell>
          <cell r="S37" t="str">
            <v>Hai</v>
          </cell>
        </row>
        <row r="38">
          <cell r="A38" t="str">
            <v>VL</v>
          </cell>
          <cell r="N38" t="str">
            <v>Lê Thị Kim Liên</v>
          </cell>
          <cell r="O38" t="str">
            <v>Tiền Giang</v>
          </cell>
          <cell r="P38">
            <v>311704830</v>
          </cell>
          <cell r="Q38" t="str">
            <v>Châu Thành - Tiền Giang</v>
          </cell>
          <cell r="S38" t="str">
            <v>Hai</v>
          </cell>
        </row>
        <row r="39">
          <cell r="A39" t="str">
            <v>VL</v>
          </cell>
          <cell r="N39" t="str">
            <v>Nguyễn Thị Mộng Tuyền</v>
          </cell>
          <cell r="O39" t="str">
            <v>Tiền Giang</v>
          </cell>
          <cell r="P39">
            <v>311318331</v>
          </cell>
          <cell r="Q39" t="str">
            <v>Gò Công Đông - Tiền Giang</v>
          </cell>
          <cell r="S39" t="str">
            <v>Hai</v>
          </cell>
        </row>
        <row r="40">
          <cell r="A40" t="str">
            <v>VL</v>
          </cell>
          <cell r="N40" t="str">
            <v>Đỗ Thị Hoàng Mai</v>
          </cell>
          <cell r="O40" t="str">
            <v>Tiền Giang</v>
          </cell>
          <cell r="P40">
            <v>310882191</v>
          </cell>
          <cell r="Q40" t="str">
            <v>Gò Công Tây - Tiền Giang</v>
          </cell>
          <cell r="S40" t="str">
            <v>Hai</v>
          </cell>
        </row>
        <row r="41">
          <cell r="A41" t="str">
            <v>VL</v>
          </cell>
          <cell r="N41" t="str">
            <v>Phạm Thị Chính</v>
          </cell>
          <cell r="O41" t="str">
            <v>Tiền Giang</v>
          </cell>
          <cell r="P41">
            <v>310882158</v>
          </cell>
          <cell r="Q41" t="str">
            <v xml:space="preserve">Gò Công Tây - Tiền Giang </v>
          </cell>
          <cell r="S41" t="str">
            <v>Hai</v>
          </cell>
        </row>
        <row r="42">
          <cell r="A42" t="str">
            <v>VL</v>
          </cell>
          <cell r="N42" t="str">
            <v>Phạm Thị Chính</v>
          </cell>
          <cell r="O42" t="str">
            <v>Tiền Giang</v>
          </cell>
          <cell r="P42">
            <v>310882158</v>
          </cell>
          <cell r="Q42" t="str">
            <v xml:space="preserve">Gò Công Tây - Tiền Giang </v>
          </cell>
          <cell r="S42" t="str">
            <v>Hai</v>
          </cell>
        </row>
        <row r="43">
          <cell r="A43" t="str">
            <v>VL</v>
          </cell>
          <cell r="N43" t="str">
            <v>Lê Văn Thành</v>
          </cell>
          <cell r="O43" t="str">
            <v>Tiền Giang</v>
          </cell>
          <cell r="P43">
            <v>310526150</v>
          </cell>
          <cell r="Q43" t="str">
            <v>Mỹ Tho - Tiền Giang</v>
          </cell>
          <cell r="S43" t="str">
            <v>Hai</v>
          </cell>
        </row>
        <row r="44">
          <cell r="A44" t="str">
            <v>VL</v>
          </cell>
          <cell r="N44" t="str">
            <v>Lê Thị Kim Thanh</v>
          </cell>
          <cell r="O44" t="str">
            <v>Tiền Giang</v>
          </cell>
          <cell r="P44">
            <v>311514350</v>
          </cell>
          <cell r="Q44" t="str">
            <v>Châu Thành - Tiền Giang</v>
          </cell>
          <cell r="S44" t="str">
            <v>Hai</v>
          </cell>
        </row>
        <row r="45">
          <cell r="A45" t="str">
            <v>VL</v>
          </cell>
          <cell r="N45" t="str">
            <v>Võ Thị Bảy</v>
          </cell>
          <cell r="O45" t="str">
            <v>Vũng Tàu</v>
          </cell>
          <cell r="P45">
            <v>270106056</v>
          </cell>
          <cell r="Q45" t="str">
            <v>Vũng Tàu</v>
          </cell>
          <cell r="R45" t="str">
            <v>Br 4147TS</v>
          </cell>
          <cell r="S45" t="str">
            <v>Hai</v>
          </cell>
        </row>
        <row r="46">
          <cell r="A46" t="str">
            <v>VL</v>
          </cell>
          <cell r="N46" t="str">
            <v>Võ Văn Bá</v>
          </cell>
          <cell r="O46" t="str">
            <v>Vũng Tàu</v>
          </cell>
          <cell r="P46">
            <v>270176684</v>
          </cell>
          <cell r="Q46" t="str">
            <v>Vũng Tàu</v>
          </cell>
          <cell r="R46" t="str">
            <v>Br 5400TS</v>
          </cell>
          <cell r="S46" t="str">
            <v>Hai</v>
          </cell>
        </row>
        <row r="47">
          <cell r="A47" t="str">
            <v>VL</v>
          </cell>
          <cell r="N47" t="str">
            <v>Nguyễn Thanh Vân</v>
          </cell>
          <cell r="O47" t="str">
            <v>Vũng Tàu</v>
          </cell>
          <cell r="P47">
            <v>270176960</v>
          </cell>
          <cell r="Q47" t="str">
            <v>Vũng Tàu</v>
          </cell>
          <cell r="R47" t="str">
            <v>Br 4437TS, Br 4516TS</v>
          </cell>
          <cell r="S47" t="str">
            <v>Hai</v>
          </cell>
        </row>
        <row r="48">
          <cell r="A48" t="str">
            <v>VL</v>
          </cell>
          <cell r="N48" t="str">
            <v>Nguyễn Thanh Vinh</v>
          </cell>
          <cell r="O48" t="str">
            <v>Vũng Tàu</v>
          </cell>
          <cell r="P48">
            <v>271181056</v>
          </cell>
          <cell r="Q48" t="str">
            <v>Vũng Tàu</v>
          </cell>
          <cell r="S48" t="str">
            <v>Hai</v>
          </cell>
        </row>
        <row r="49">
          <cell r="A49" t="str">
            <v>VL</v>
          </cell>
          <cell r="N49" t="str">
            <v>Hồ Thị Mỹ</v>
          </cell>
          <cell r="O49" t="str">
            <v>Vũng Tàu</v>
          </cell>
          <cell r="P49">
            <v>270986506</v>
          </cell>
          <cell r="Q49" t="str">
            <v>Vũng Tàu</v>
          </cell>
          <cell r="S49" t="str">
            <v>Hai</v>
          </cell>
        </row>
        <row r="50">
          <cell r="A50" t="str">
            <v>VL</v>
          </cell>
          <cell r="N50" t="str">
            <v>Phạm Thị Ngọc</v>
          </cell>
          <cell r="O50" t="str">
            <v>Vũng Tàu</v>
          </cell>
          <cell r="P50">
            <v>273042454</v>
          </cell>
          <cell r="Q50" t="str">
            <v>62 Đinh Tiên Hoàng, P2, Bà Rịa Vũng Tàu</v>
          </cell>
          <cell r="R50" t="str">
            <v>Br 7799TS</v>
          </cell>
          <cell r="S50" t="str">
            <v>Hai</v>
          </cell>
        </row>
        <row r="51">
          <cell r="A51" t="str">
            <v>VL</v>
          </cell>
          <cell r="N51" t="str">
            <v>Nguyễn Đức Tiến</v>
          </cell>
          <cell r="O51" t="str">
            <v>Vũng Tàu</v>
          </cell>
          <cell r="P51">
            <v>273249576</v>
          </cell>
          <cell r="Q51" t="str">
            <v>Vũng Tàu</v>
          </cell>
          <cell r="S51" t="str">
            <v>Hai</v>
          </cell>
        </row>
        <row r="52">
          <cell r="A52" t="str">
            <v>VL</v>
          </cell>
          <cell r="N52" t="str">
            <v>Đỗ Văn Tâm</v>
          </cell>
          <cell r="O52" t="str">
            <v>Vũng Tàu</v>
          </cell>
          <cell r="P52">
            <v>271642418</v>
          </cell>
          <cell r="Q52" t="str">
            <v>Vũng Tàu</v>
          </cell>
          <cell r="S52" t="str">
            <v>Hai</v>
          </cell>
        </row>
        <row r="53">
          <cell r="A53" t="str">
            <v>VL</v>
          </cell>
          <cell r="N53" t="str">
            <v>Trương Văn Minh</v>
          </cell>
          <cell r="O53" t="str">
            <v>Vũng Tàu</v>
          </cell>
          <cell r="P53">
            <v>273017840</v>
          </cell>
          <cell r="Q53" t="str">
            <v>Tân Phước - Long Điền</v>
          </cell>
          <cell r="S53" t="str">
            <v>Hai</v>
          </cell>
        </row>
        <row r="54">
          <cell r="N54" t="str">
            <v>Trương Văn Minh</v>
          </cell>
          <cell r="O54" t="str">
            <v>Vũng Tàu</v>
          </cell>
          <cell r="P54">
            <v>273017840</v>
          </cell>
          <cell r="Q54" t="str">
            <v>Tân Phước - Long Điền</v>
          </cell>
          <cell r="S54" t="str">
            <v>Hai</v>
          </cell>
        </row>
        <row r="55">
          <cell r="N55" t="str">
            <v>Nguyễn Văn Tư</v>
          </cell>
          <cell r="O55">
            <v>260456563</v>
          </cell>
          <cell r="P55" t="str">
            <v>Vũng Tàu</v>
          </cell>
          <cell r="Q55" t="str">
            <v>Vũng Tàu</v>
          </cell>
          <cell r="S55" t="str">
            <v>Hai</v>
          </cell>
        </row>
        <row r="56">
          <cell r="N56" t="str">
            <v>Nguyễn Văn Đức</v>
          </cell>
          <cell r="O56">
            <v>261183075</v>
          </cell>
          <cell r="P56" t="str">
            <v>Vũng Tàu</v>
          </cell>
          <cell r="Q56" t="str">
            <v>Vũng Tàu</v>
          </cell>
          <cell r="S56" t="str">
            <v>Hai</v>
          </cell>
        </row>
        <row r="57">
          <cell r="N57" t="str">
            <v>Nguyễn Ngọc Anh</v>
          </cell>
          <cell r="O57">
            <v>273017843</v>
          </cell>
          <cell r="P57" t="str">
            <v>Long Điền - Vũng Tàu</v>
          </cell>
          <cell r="Q57" t="str">
            <v>Vũng Tàu</v>
          </cell>
          <cell r="R57" t="str">
            <v>Cá chỉ vàng</v>
          </cell>
          <cell r="S57" t="str">
            <v>Hai</v>
          </cell>
        </row>
        <row r="58">
          <cell r="N58" t="str">
            <v>Nguyễn Ngọc Anh</v>
          </cell>
          <cell r="O58">
            <v>273017843</v>
          </cell>
          <cell r="P58" t="str">
            <v>Long Điền - Vũng Tàu</v>
          </cell>
          <cell r="Q58" t="str">
            <v>Vũng Tàu</v>
          </cell>
          <cell r="R58" t="str">
            <v>Cá chỉ vàng</v>
          </cell>
          <cell r="S58" t="str">
            <v>Hai</v>
          </cell>
        </row>
        <row r="60">
          <cell r="N60" t="str">
            <v>Ngô Văn Vàng</v>
          </cell>
          <cell r="O60">
            <v>190253143</v>
          </cell>
          <cell r="P60" t="str">
            <v>Vũng Tàu</v>
          </cell>
          <cell r="Q60" t="str">
            <v>Vũng Tàu</v>
          </cell>
          <cell r="R60" t="str">
            <v>Mực</v>
          </cell>
          <cell r="S60" t="str">
            <v>Hai</v>
          </cell>
        </row>
        <row r="61">
          <cell r="N61" t="str">
            <v>Nguyễn Thị Hội</v>
          </cell>
          <cell r="S61" t="str">
            <v>Tiền</v>
          </cell>
        </row>
        <row r="62">
          <cell r="N62" t="str">
            <v>Nguyễn Thị Thanh Thuỷ</v>
          </cell>
          <cell r="O62" t="str">
            <v>Bình Thuận</v>
          </cell>
          <cell r="Q62" t="str">
            <v>Bình Thuận</v>
          </cell>
          <cell r="S62" t="str">
            <v>Nhiên</v>
          </cell>
        </row>
        <row r="63">
          <cell r="N63" t="str">
            <v>Nguyễn Thị Cúc</v>
          </cell>
          <cell r="O63" t="str">
            <v>Bình Thuận</v>
          </cell>
          <cell r="Q63" t="str">
            <v>Bình Thuận</v>
          </cell>
          <cell r="S63" t="str">
            <v>Nhiên</v>
          </cell>
        </row>
        <row r="64">
          <cell r="A64" t="str">
            <v/>
          </cell>
          <cell r="N64" t="str">
            <v>Nguyễn Thị Ngọc Thanh</v>
          </cell>
          <cell r="O64" t="str">
            <v>Bình Thuận</v>
          </cell>
          <cell r="Q64" t="str">
            <v>Bình Thuận</v>
          </cell>
          <cell r="S64" t="str">
            <v>Nhiên</v>
          </cell>
        </row>
        <row r="65">
          <cell r="A65" t="str">
            <v>NL</v>
          </cell>
          <cell r="N65" t="str">
            <v>Nguyễn Minh Tâm</v>
          </cell>
          <cell r="O65" t="str">
            <v>Bình Thuận</v>
          </cell>
          <cell r="Q65" t="str">
            <v>Bình Thuận</v>
          </cell>
          <cell r="S65" t="str">
            <v>Nhiên</v>
          </cell>
        </row>
        <row r="66">
          <cell r="A66" t="str">
            <v>NL</v>
          </cell>
          <cell r="N66" t="str">
            <v>Nguyễn Văn Quốc</v>
          </cell>
          <cell r="O66" t="str">
            <v>Bình Thuận</v>
          </cell>
          <cell r="Q66" t="str">
            <v>Bình Thuận</v>
          </cell>
          <cell r="S66" t="str">
            <v>Hai</v>
          </cell>
        </row>
        <row r="67">
          <cell r="A67" t="str">
            <v>NL</v>
          </cell>
          <cell r="N67" t="str">
            <v>Trần Thanh Hợi</v>
          </cell>
          <cell r="O67" t="str">
            <v>Bình Thuận</v>
          </cell>
          <cell r="Q67" t="str">
            <v>Bình Thuận</v>
          </cell>
          <cell r="S67" t="str">
            <v>Hai</v>
          </cell>
        </row>
        <row r="68">
          <cell r="A68" t="str">
            <v>NL</v>
          </cell>
          <cell r="N68" t="str">
            <v>Trần Thị Bích Vân</v>
          </cell>
          <cell r="O68" t="str">
            <v>Bình Thuận</v>
          </cell>
          <cell r="Q68" t="str">
            <v>Bình Thuận</v>
          </cell>
          <cell r="S68" t="str">
            <v>Hai</v>
          </cell>
        </row>
        <row r="69">
          <cell r="A69" t="str">
            <v>NL</v>
          </cell>
        </row>
        <row r="70">
          <cell r="A70" t="str">
            <v>NL</v>
          </cell>
        </row>
        <row r="71">
          <cell r="A71" t="str">
            <v>NL</v>
          </cell>
        </row>
        <row r="72">
          <cell r="A72" t="str">
            <v>NL</v>
          </cell>
        </row>
        <row r="73">
          <cell r="A73" t="str">
            <v>NL</v>
          </cell>
        </row>
        <row r="74">
          <cell r="A74" t="str">
            <v>NL</v>
          </cell>
          <cell r="N74" t="str">
            <v>Xuất SX</v>
          </cell>
        </row>
        <row r="75">
          <cell r="A75" t="str">
            <v>NL</v>
          </cell>
        </row>
        <row r="76">
          <cell r="A76" t="str">
            <v>NL</v>
          </cell>
        </row>
        <row r="77">
          <cell r="A77" t="str">
            <v>NL</v>
          </cell>
          <cell r="N77">
            <v>24808</v>
          </cell>
        </row>
        <row r="78">
          <cell r="A78" t="str">
            <v>NL</v>
          </cell>
          <cell r="N78">
            <v>210868000</v>
          </cell>
        </row>
        <row r="79">
          <cell r="A79" t="str">
            <v>NL</v>
          </cell>
          <cell r="N79">
            <v>482328000</v>
          </cell>
        </row>
        <row r="80">
          <cell r="A80" t="e">
            <v>#REF!</v>
          </cell>
        </row>
        <row r="81">
          <cell r="A81" t="e">
            <v>#REF!</v>
          </cell>
        </row>
        <row r="82">
          <cell r="A82" t="str">
            <v>NL</v>
          </cell>
        </row>
        <row r="89">
          <cell r="A89" t="str">
            <v/>
          </cell>
        </row>
        <row r="90">
          <cell r="A90" t="str">
            <v>TP</v>
          </cell>
        </row>
        <row r="91">
          <cell r="A91" t="str">
            <v>TP</v>
          </cell>
        </row>
        <row r="92">
          <cell r="A92" t="str">
            <v>TP</v>
          </cell>
          <cell r="N92">
            <v>11707.790143084261</v>
          </cell>
          <cell r="Q92" t="str">
            <v>Khô cá chỉ vàng TP</v>
          </cell>
          <cell r="S92">
            <v>5</v>
          </cell>
        </row>
        <row r="93">
          <cell r="A93" t="str">
            <v>TP</v>
          </cell>
        </row>
        <row r="94">
          <cell r="A94" t="str">
            <v>TP</v>
          </cell>
          <cell r="N94">
            <v>0</v>
          </cell>
          <cell r="Q94" t="str">
            <v>Khô cá mai TP</v>
          </cell>
          <cell r="S94">
            <v>9</v>
          </cell>
        </row>
        <row r="95">
          <cell r="A95" t="str">
            <v>TP</v>
          </cell>
          <cell r="Q95" t="str">
            <v>Ghẹ khô 8kg/thùng TP</v>
          </cell>
          <cell r="S95">
            <v>8</v>
          </cell>
        </row>
        <row r="96">
          <cell r="A96" t="str">
            <v>TP</v>
          </cell>
          <cell r="Q96" t="str">
            <v>Ghẹ khô tẩm TP</v>
          </cell>
          <cell r="S96">
            <v>8</v>
          </cell>
        </row>
        <row r="97">
          <cell r="A97" t="str">
            <v>TP</v>
          </cell>
          <cell r="Q97" t="str">
            <v>Cá chỉ vàng (12kg/bó) (40g)</v>
          </cell>
          <cell r="S97">
            <v>5</v>
          </cell>
        </row>
        <row r="98">
          <cell r="A98" t="str">
            <v>TP</v>
          </cell>
        </row>
        <row r="99">
          <cell r="A99" t="str">
            <v>TP</v>
          </cell>
          <cell r="Q99" t="str">
            <v>Khô cá ngân TP</v>
          </cell>
          <cell r="S99">
            <v>5</v>
          </cell>
        </row>
        <row r="100">
          <cell r="A100" t="str">
            <v>TP</v>
          </cell>
        </row>
        <row r="101">
          <cell r="A101" t="str">
            <v>TP</v>
          </cell>
          <cell r="Q101" t="str">
            <v>Cá chỉ vàng (10.8kg/bó) (90g)</v>
          </cell>
          <cell r="S101">
            <v>5</v>
          </cell>
        </row>
        <row r="102">
          <cell r="A102" t="str">
            <v>TP</v>
          </cell>
        </row>
        <row r="103">
          <cell r="A103" t="str">
            <v>TP</v>
          </cell>
        </row>
        <row r="104">
          <cell r="A104" t="str">
            <v>TP</v>
          </cell>
        </row>
        <row r="105">
          <cell r="A105" t="str">
            <v>TP</v>
          </cell>
        </row>
        <row r="106">
          <cell r="A106" t="str">
            <v>TP</v>
          </cell>
        </row>
        <row r="107">
          <cell r="A107" t="str">
            <v>TP</v>
          </cell>
        </row>
        <row r="108">
          <cell r="A108" t="str">
            <v>TP</v>
          </cell>
          <cell r="Q108" t="str">
            <v>Khô cá cơm TP</v>
          </cell>
          <cell r="S108">
            <v>4.5</v>
          </cell>
        </row>
        <row r="109">
          <cell r="A109" t="str">
            <v>TP</v>
          </cell>
        </row>
        <row r="110">
          <cell r="A110" t="str">
            <v>TP</v>
          </cell>
        </row>
        <row r="111">
          <cell r="A111" t="str">
            <v>TP</v>
          </cell>
        </row>
        <row r="112">
          <cell r="A112" t="str">
            <v>TP</v>
          </cell>
        </row>
        <row r="113">
          <cell r="A113" t="e">
            <v>#REF!</v>
          </cell>
        </row>
        <row r="114">
          <cell r="A114" t="str">
            <v>TP</v>
          </cell>
        </row>
        <row r="115">
          <cell r="A115" t="str">
            <v>TP</v>
          </cell>
          <cell r="N115">
            <v>9500</v>
          </cell>
          <cell r="Q115" t="str">
            <v>Cá đù TP</v>
          </cell>
          <cell r="S115">
            <v>5</v>
          </cell>
        </row>
        <row r="116">
          <cell r="A116" t="str">
            <v>TP</v>
          </cell>
          <cell r="Q116" t="str">
            <v>Khô cá cơm TP</v>
          </cell>
          <cell r="S116">
            <v>4.5</v>
          </cell>
        </row>
        <row r="117">
          <cell r="A117" t="str">
            <v>TP</v>
          </cell>
          <cell r="N117">
            <v>-3354455174</v>
          </cell>
          <cell r="Q117" t="str">
            <v>Mực TP</v>
          </cell>
        </row>
        <row r="118">
          <cell r="A118" t="str">
            <v>TP</v>
          </cell>
          <cell r="N118">
            <v>-412856.0214153846</v>
          </cell>
          <cell r="Q118" t="str">
            <v>Cá mai tẩm TP</v>
          </cell>
          <cell r="S118">
            <v>8</v>
          </cell>
        </row>
        <row r="119">
          <cell r="A119" t="str">
            <v>TP</v>
          </cell>
        </row>
        <row r="120">
          <cell r="A120" t="str">
            <v>TP</v>
          </cell>
          <cell r="Q120" t="str">
            <v>Cá chỉ vàng (10kg/bó) (1kg)</v>
          </cell>
          <cell r="S120">
            <v>5</v>
          </cell>
        </row>
        <row r="121">
          <cell r="A121" t="str">
            <v>TP</v>
          </cell>
        </row>
        <row r="122">
          <cell r="A122" t="str">
            <v>TP</v>
          </cell>
        </row>
        <row r="123">
          <cell r="A123" t="str">
            <v>TP</v>
          </cell>
        </row>
        <row r="124">
          <cell r="A124" t="str">
            <v>TP</v>
          </cell>
        </row>
        <row r="125">
          <cell r="A125" t="str">
            <v>TP</v>
          </cell>
        </row>
        <row r="126">
          <cell r="A126" t="str">
            <v>TP</v>
          </cell>
        </row>
        <row r="127">
          <cell r="A127" t="str">
            <v>TP</v>
          </cell>
          <cell r="N127" t="str">
            <v>Khô cá chạch TP</v>
          </cell>
        </row>
        <row r="128">
          <cell r="A128" t="str">
            <v>TP</v>
          </cell>
        </row>
        <row r="129">
          <cell r="A129" t="str">
            <v>TP</v>
          </cell>
          <cell r="Q129" t="str">
            <v>Khô cá cơm TP</v>
          </cell>
          <cell r="S129">
            <v>4.5</v>
          </cell>
        </row>
        <row r="130">
          <cell r="A130" t="str">
            <v>TP</v>
          </cell>
        </row>
        <row r="131">
          <cell r="A131" t="str">
            <v>TP</v>
          </cell>
        </row>
        <row r="132">
          <cell r="A132" t="str">
            <v>TP</v>
          </cell>
        </row>
        <row r="133">
          <cell r="A133" t="str">
            <v>TP</v>
          </cell>
        </row>
        <row r="134">
          <cell r="A134" t="str">
            <v/>
          </cell>
        </row>
        <row r="135">
          <cell r="A135" t="str">
            <v/>
          </cell>
        </row>
        <row r="136">
          <cell r="A136" t="str">
            <v/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1"/>
  <sheetViews>
    <sheetView topLeftCell="A6" workbookViewId="0">
      <pane ySplit="4" topLeftCell="A10" activePane="bottomLeft" state="frozen"/>
      <selection activeCell="A6" sqref="A6"/>
      <selection pane="bottomLeft" activeCell="E26" sqref="E26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31"/>
      <c r="B1" s="131"/>
      <c r="C1" s="80"/>
      <c r="D1" s="80"/>
      <c r="E1" s="96"/>
      <c r="F1" s="96"/>
      <c r="G1" s="132"/>
      <c r="H1" s="132"/>
      <c r="I1" s="132"/>
      <c r="J1" s="132"/>
      <c r="K1" s="132"/>
      <c r="L1" s="132"/>
      <c r="M1" s="132"/>
      <c r="N1" s="132"/>
      <c r="O1" s="132"/>
      <c r="P1" s="132"/>
    </row>
    <row r="2" spans="1:16">
      <c r="A2" s="131" t="str">
        <f>TH!A1</f>
        <v>Đơn vị: CÔNG TY TNHH MỘT THÀNH VIÊN KHỞI NGUYÊN AN</v>
      </c>
      <c r="B2" s="131"/>
      <c r="C2" s="80"/>
      <c r="D2" s="80"/>
      <c r="E2" s="96"/>
      <c r="F2" s="96"/>
      <c r="G2" s="132"/>
      <c r="H2" s="132"/>
      <c r="I2" s="132"/>
      <c r="J2" s="132"/>
      <c r="K2" s="132"/>
      <c r="L2" s="132"/>
      <c r="M2" s="132"/>
      <c r="N2" s="132"/>
      <c r="O2" s="132"/>
      <c r="P2" s="132"/>
    </row>
    <row r="3" spans="1:16">
      <c r="A3" s="132" t="str">
        <f>TH!A2</f>
        <v>Địa chỉ: Thửa đất số 144, tờ bản đồ số 12TĐH.1, tổ 1, khu phố Đông Tác, Phường Tân Đông Hiệp, Thị Xã Dĩ An, Tỉnh Bình Dương, Việt Nam</v>
      </c>
      <c r="B3" s="131"/>
      <c r="C3" s="80"/>
      <c r="D3" s="80"/>
      <c r="E3" s="96"/>
      <c r="F3" s="96"/>
      <c r="G3" s="132"/>
      <c r="H3" s="132"/>
      <c r="I3" s="132"/>
      <c r="J3" s="132"/>
      <c r="K3" s="132"/>
      <c r="L3" s="132"/>
      <c r="M3" s="132"/>
      <c r="N3" s="132"/>
      <c r="O3" s="132"/>
      <c r="P3" s="132"/>
    </row>
    <row r="4" spans="1:16">
      <c r="A4" s="132"/>
      <c r="B4" s="132"/>
      <c r="C4" s="80"/>
      <c r="D4" s="80"/>
      <c r="E4" s="96"/>
      <c r="F4" s="96"/>
      <c r="G4" s="132"/>
      <c r="H4" s="132"/>
      <c r="I4" s="132"/>
      <c r="J4" s="132"/>
      <c r="K4" s="132"/>
      <c r="L4" s="132"/>
      <c r="M4" s="132"/>
      <c r="N4" s="132"/>
      <c r="O4" s="132"/>
      <c r="P4" s="132"/>
    </row>
    <row r="5" spans="1:16" ht="36" customHeight="1">
      <c r="A5" s="133"/>
      <c r="B5" s="133"/>
      <c r="C5" s="134"/>
      <c r="D5" s="135" t="s">
        <v>256</v>
      </c>
      <c r="E5" s="211"/>
      <c r="F5" s="211"/>
      <c r="G5" s="133"/>
      <c r="H5" s="133"/>
      <c r="I5" s="132"/>
      <c r="J5" s="132"/>
      <c r="K5" s="132"/>
      <c r="L5" s="132"/>
      <c r="M5" s="132"/>
      <c r="N5" s="132"/>
      <c r="O5" s="132"/>
      <c r="P5" s="132"/>
    </row>
    <row r="6" spans="1:16" ht="15.75">
      <c r="A6" s="133"/>
      <c r="B6" s="133"/>
      <c r="C6" s="134"/>
      <c r="D6" s="148" t="s">
        <v>267</v>
      </c>
      <c r="E6" s="211"/>
      <c r="F6" s="211"/>
      <c r="G6" s="133"/>
      <c r="H6" s="133"/>
      <c r="I6" s="132"/>
      <c r="J6" s="132"/>
      <c r="K6" s="132"/>
      <c r="L6" s="132"/>
      <c r="M6" s="132"/>
      <c r="N6" s="132"/>
      <c r="O6" s="132"/>
      <c r="P6" s="132"/>
    </row>
    <row r="7" spans="1:16" ht="6.75" customHeight="1">
      <c r="A7" s="132"/>
      <c r="B7" s="132"/>
      <c r="C7" s="80"/>
      <c r="D7" s="80"/>
      <c r="E7" s="96"/>
      <c r="F7" s="96"/>
      <c r="G7" s="132"/>
      <c r="H7" s="132"/>
      <c r="I7" s="132"/>
      <c r="J7" s="132"/>
      <c r="K7" s="132"/>
      <c r="L7" s="132"/>
      <c r="M7" s="132"/>
      <c r="N7" s="132"/>
      <c r="O7" s="132"/>
      <c r="P7" s="132"/>
    </row>
    <row r="8" spans="1:16" ht="21.75" customHeight="1">
      <c r="A8" s="834" t="s">
        <v>265</v>
      </c>
      <c r="B8" s="834" t="s">
        <v>254</v>
      </c>
      <c r="C8" s="830" t="s">
        <v>35</v>
      </c>
      <c r="D8" s="831"/>
      <c r="E8" s="836" t="s">
        <v>36</v>
      </c>
      <c r="F8" s="837"/>
      <c r="G8" s="830" t="s">
        <v>255</v>
      </c>
      <c r="H8" s="831"/>
      <c r="I8" s="132"/>
      <c r="J8" s="132"/>
      <c r="K8" s="132"/>
      <c r="L8" s="132" t="s">
        <v>1570</v>
      </c>
      <c r="M8" s="132"/>
      <c r="N8" s="132"/>
      <c r="O8" s="132"/>
      <c r="P8" s="202" t="s">
        <v>425</v>
      </c>
    </row>
    <row r="9" spans="1:16" ht="21.75" customHeight="1">
      <c r="A9" s="835"/>
      <c r="B9" s="835"/>
      <c r="C9" s="130" t="s">
        <v>40</v>
      </c>
      <c r="D9" s="130" t="s">
        <v>41</v>
      </c>
      <c r="E9" s="212" t="s">
        <v>40</v>
      </c>
      <c r="F9" s="212" t="s">
        <v>41</v>
      </c>
      <c r="G9" s="130" t="s">
        <v>40</v>
      </c>
      <c r="H9" s="130" t="s">
        <v>41</v>
      </c>
      <c r="I9" s="132"/>
      <c r="J9" s="132"/>
      <c r="K9" s="132"/>
      <c r="L9" s="132" t="s">
        <v>423</v>
      </c>
      <c r="M9" s="132"/>
      <c r="N9" s="132"/>
      <c r="O9" s="132"/>
      <c r="P9" s="202" t="s">
        <v>424</v>
      </c>
    </row>
    <row r="10" spans="1:16" ht="17.25" customHeight="1">
      <c r="A10" s="136" t="s">
        <v>45</v>
      </c>
      <c r="B10" s="137" t="s">
        <v>46</v>
      </c>
      <c r="C10" s="138">
        <v>3478837295</v>
      </c>
      <c r="D10" s="138">
        <v>0</v>
      </c>
      <c r="E10" s="213">
        <f t="array" ref="E10">SUM(IF(A10=KHN,TH))</f>
        <v>8294979071</v>
      </c>
      <c r="F10" s="213">
        <f t="array" ref="F10">SUM(IF(A10=KHC,TH))</f>
        <v>8733730626</v>
      </c>
      <c r="G10" s="139">
        <f>MAX(C10+E10-D10-F10,0)</f>
        <v>3040085740</v>
      </c>
      <c r="H10" s="139">
        <f>MAX(D10+F10-E10-C10,0)</f>
        <v>0</v>
      </c>
      <c r="I10" s="80"/>
      <c r="J10" s="132"/>
      <c r="K10" s="132"/>
      <c r="L10" s="132"/>
      <c r="M10" s="132"/>
      <c r="N10" s="132"/>
      <c r="O10" s="132"/>
      <c r="P10" s="132"/>
    </row>
    <row r="11" spans="1:16" ht="17.25" customHeight="1">
      <c r="A11" s="141" t="s">
        <v>16</v>
      </c>
      <c r="B11" s="141" t="s">
        <v>47</v>
      </c>
      <c r="C11" s="142">
        <v>3478837295</v>
      </c>
      <c r="D11" s="142">
        <v>0</v>
      </c>
      <c r="E11" s="214">
        <f>E10</f>
        <v>8294979071</v>
      </c>
      <c r="F11" s="214">
        <f>F10</f>
        <v>8733730626</v>
      </c>
      <c r="G11" s="142">
        <f>G10</f>
        <v>3040085740</v>
      </c>
      <c r="H11" s="142">
        <f>H10</f>
        <v>0</v>
      </c>
      <c r="I11" s="80"/>
      <c r="J11" s="132"/>
      <c r="K11" s="132"/>
      <c r="L11" s="132"/>
      <c r="M11" s="132"/>
      <c r="N11" s="132"/>
      <c r="O11" s="132"/>
      <c r="P11" s="132"/>
    </row>
    <row r="12" spans="1:16" ht="17.25" customHeight="1">
      <c r="A12" s="137" t="s">
        <v>24</v>
      </c>
      <c r="B12" s="137" t="s">
        <v>48</v>
      </c>
      <c r="C12" s="138">
        <v>1691415</v>
      </c>
      <c r="D12" s="138">
        <v>0</v>
      </c>
      <c r="E12" s="213">
        <f t="array" ref="E12">SUM(IF(A12=KHN,TH))</f>
        <v>13745429542</v>
      </c>
      <c r="F12" s="213">
        <f t="array" ref="F12">SUM(IF(A12=KHC,TH))</f>
        <v>13745522698.454546</v>
      </c>
      <c r="G12" s="139">
        <f>MAX(C12+E12-D12-F12,0)</f>
        <v>1598258.5454540253</v>
      </c>
      <c r="H12" s="139">
        <f>MAX(D12+F12-E12-C12,0)</f>
        <v>0</v>
      </c>
      <c r="I12" s="80"/>
      <c r="J12" s="80"/>
      <c r="K12" s="140"/>
      <c r="L12" s="140"/>
      <c r="M12" s="140"/>
      <c r="N12" s="80"/>
      <c r="O12" s="80"/>
      <c r="P12" s="80"/>
    </row>
    <row r="13" spans="1:16" ht="17.25" customHeight="1">
      <c r="A13" s="141" t="s">
        <v>49</v>
      </c>
      <c r="B13" s="141" t="s">
        <v>50</v>
      </c>
      <c r="C13" s="142">
        <v>1691415</v>
      </c>
      <c r="D13" s="142">
        <v>0</v>
      </c>
      <c r="E13" s="214">
        <f>E12</f>
        <v>13745429542</v>
      </c>
      <c r="F13" s="214">
        <f>F12</f>
        <v>13745522698.454546</v>
      </c>
      <c r="G13" s="142">
        <f>G12</f>
        <v>1598258.5454540253</v>
      </c>
      <c r="H13" s="142">
        <f>H12</f>
        <v>0</v>
      </c>
      <c r="I13" s="80"/>
      <c r="J13" s="80"/>
      <c r="K13" s="80"/>
      <c r="L13" s="80"/>
      <c r="M13" s="80"/>
      <c r="N13" s="80"/>
      <c r="O13" s="80"/>
      <c r="P13" s="80"/>
    </row>
    <row r="14" spans="1:16" ht="17.25" customHeight="1">
      <c r="A14" s="141" t="s">
        <v>223</v>
      </c>
      <c r="B14" s="141" t="s">
        <v>231</v>
      </c>
      <c r="C14" s="142">
        <v>2665702438</v>
      </c>
      <c r="D14" s="142">
        <v>0</v>
      </c>
      <c r="E14" s="215">
        <f t="array" ref="E14">SUM(IF(A14=KHN,TH))</f>
        <v>7180991964</v>
      </c>
      <c r="F14" s="215">
        <f t="array" ref="F14">SUM(IF(A14=KHC,TH))</f>
        <v>8678836648</v>
      </c>
      <c r="G14" s="142">
        <f>MAX(C14+E14-D14-F14,0)</f>
        <v>1167857754</v>
      </c>
      <c r="H14" s="142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37" t="s">
        <v>9</v>
      </c>
      <c r="B15" s="137" t="s">
        <v>51</v>
      </c>
      <c r="C15" s="138">
        <v>3545617</v>
      </c>
      <c r="D15" s="138">
        <v>0</v>
      </c>
      <c r="E15" s="213">
        <f t="array" ref="E15">SUM(IF(A15=KHN,TH))</f>
        <v>673519995.20000005</v>
      </c>
      <c r="F15" s="213">
        <f t="array" ref="F15">SUM(IF(A15=KHC,TH))</f>
        <v>664130008</v>
      </c>
      <c r="G15" s="139">
        <f>MAX(C15+E15-D15-F15,0)</f>
        <v>12935604.200000048</v>
      </c>
      <c r="H15" s="139">
        <f>MAX(D15+F15-E15-C15,0)</f>
        <v>0</v>
      </c>
      <c r="I15" s="80"/>
      <c r="J15" s="80">
        <v>3545617</v>
      </c>
      <c r="K15" s="80"/>
      <c r="L15" s="80">
        <f>J15-G15</f>
        <v>-9389987.2000000477</v>
      </c>
      <c r="M15" s="80"/>
      <c r="N15" s="80"/>
      <c r="O15" s="80"/>
      <c r="P15" s="80"/>
    </row>
    <row r="16" spans="1:16" ht="17.25" customHeight="1">
      <c r="A16" s="141" t="s">
        <v>52</v>
      </c>
      <c r="B16" s="141" t="s">
        <v>53</v>
      </c>
      <c r="C16" s="142">
        <v>3545617</v>
      </c>
      <c r="D16" s="142">
        <v>0</v>
      </c>
      <c r="E16" s="214">
        <f>E15</f>
        <v>673519995.20000005</v>
      </c>
      <c r="F16" s="214">
        <f>F15</f>
        <v>664130008</v>
      </c>
      <c r="G16" s="142">
        <f>G15</f>
        <v>12935604.200000048</v>
      </c>
      <c r="H16" s="142">
        <f>H15</f>
        <v>0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37" t="s">
        <v>54</v>
      </c>
      <c r="B17" s="137" t="s">
        <v>55</v>
      </c>
      <c r="C17" s="138">
        <v>0</v>
      </c>
      <c r="D17" s="138">
        <v>0</v>
      </c>
      <c r="E17" s="213">
        <f t="array" ref="E17">SUM(IF(A17=KHN,TH))</f>
        <v>0</v>
      </c>
      <c r="F17" s="213">
        <f t="array" ref="F17">SUM(IF(A17=KHC,TH))</f>
        <v>0</v>
      </c>
      <c r="G17" s="139">
        <f t="shared" ref="G17:G29" si="0">MAX(C17+E17-D17-F17,0)</f>
        <v>0</v>
      </c>
      <c r="H17" s="139">
        <f t="shared" ref="H17:H29" si="1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41" t="s">
        <v>56</v>
      </c>
      <c r="B18" s="141" t="s">
        <v>57</v>
      </c>
      <c r="C18" s="142">
        <v>0</v>
      </c>
      <c r="D18" s="142">
        <v>0</v>
      </c>
      <c r="E18" s="214">
        <f>E17</f>
        <v>0</v>
      </c>
      <c r="F18" s="214">
        <f>F17</f>
        <v>0</v>
      </c>
      <c r="G18" s="142">
        <f t="shared" si="0"/>
        <v>0</v>
      </c>
      <c r="H18" s="142">
        <f t="shared" si="1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41" t="s">
        <v>158</v>
      </c>
      <c r="B19" s="141" t="s">
        <v>159</v>
      </c>
      <c r="C19" s="142">
        <v>0</v>
      </c>
      <c r="D19" s="142">
        <v>0</v>
      </c>
      <c r="E19" s="215">
        <f t="array" ref="E19">SUM(IF(A19=KHN,TH))</f>
        <v>1093784941</v>
      </c>
      <c r="F19" s="215">
        <f t="array" ref="F19">SUM(IF(A19=KHC,TH))</f>
        <v>1093784943</v>
      </c>
      <c r="G19" s="142">
        <f t="shared" si="0"/>
        <v>0</v>
      </c>
      <c r="H19" s="142">
        <f t="shared" si="1"/>
        <v>2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43" t="s">
        <v>292</v>
      </c>
      <c r="B20" s="141" t="s">
        <v>293</v>
      </c>
      <c r="C20" s="142">
        <v>596650875</v>
      </c>
      <c r="D20" s="142">
        <v>0</v>
      </c>
      <c r="E20" s="215">
        <f t="array" ref="E20">SUM(IF(A20=KHN,TH))</f>
        <v>7444870921</v>
      </c>
      <c r="F20" s="215">
        <f t="array" ref="F20">SUM(IF(A20=KHC,TH))</f>
        <v>5353783208</v>
      </c>
      <c r="G20" s="142">
        <f t="shared" si="0"/>
        <v>2687738588</v>
      </c>
      <c r="H20" s="142">
        <f t="shared" si="1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s="207" customFormat="1" ht="13.5">
      <c r="A21" s="750" t="s">
        <v>1505</v>
      </c>
      <c r="B21" s="751" t="s">
        <v>1506</v>
      </c>
      <c r="C21" s="752"/>
      <c r="D21" s="752">
        <v>0</v>
      </c>
      <c r="E21" s="213">
        <f t="array" ref="E21">SUM(IF(A21=KHN,TH))</f>
        <v>0</v>
      </c>
      <c r="F21" s="213">
        <f t="array" ref="F21">SUM(IF(A21=KHC,TH))</f>
        <v>0</v>
      </c>
      <c r="G21" s="139">
        <f t="shared" ref="G21" si="2">MAX(C21+E21-D21-F21,0)</f>
        <v>0</v>
      </c>
      <c r="H21" s="139">
        <f t="shared" ref="H21" si="3">MAX(D21+F21-E21-C21,0)</f>
        <v>0</v>
      </c>
    </row>
    <row r="22" spans="1:16" s="207" customFormat="1" ht="13.5">
      <c r="A22" s="753" t="s">
        <v>1507</v>
      </c>
      <c r="B22" s="754" t="s">
        <v>1508</v>
      </c>
      <c r="C22" s="752"/>
      <c r="D22" s="752">
        <v>0</v>
      </c>
      <c r="E22" s="213">
        <f t="array" ref="E22">SUM(IF(A22=KHN,TH))</f>
        <v>320191000</v>
      </c>
      <c r="F22" s="213">
        <f t="array" ref="F22">SUM(IF(A22=KHC,TH))</f>
        <v>0</v>
      </c>
      <c r="G22" s="139">
        <f t="shared" ref="G22:G23" si="4">MAX(C22+E22-D22-F22,0)</f>
        <v>320191000</v>
      </c>
      <c r="H22" s="139">
        <f t="shared" ref="H22:H24" si="5">MAX(D22+F22-E22-C22,0)</f>
        <v>0</v>
      </c>
    </row>
    <row r="23" spans="1:16" s="207" customFormat="1" ht="13.5">
      <c r="A23" s="753" t="s">
        <v>1509</v>
      </c>
      <c r="B23" s="754" t="s">
        <v>1510</v>
      </c>
      <c r="C23" s="752"/>
      <c r="D23" s="752">
        <v>0</v>
      </c>
      <c r="E23" s="213">
        <f t="array" ref="E23">SUM(IF(A23=KHN,TH))</f>
        <v>0</v>
      </c>
      <c r="F23" s="213">
        <f t="array" ref="F23">SUM(IF(A23=KHC,TH))</f>
        <v>0</v>
      </c>
      <c r="G23" s="139">
        <f t="shared" si="4"/>
        <v>0</v>
      </c>
      <c r="H23" s="139">
        <f t="shared" si="5"/>
        <v>0</v>
      </c>
    </row>
    <row r="24" spans="1:16" s="207" customFormat="1" ht="13.5">
      <c r="A24" s="755" t="s">
        <v>1511</v>
      </c>
      <c r="B24" s="209" t="s">
        <v>1512</v>
      </c>
      <c r="C24" s="217"/>
      <c r="D24" s="217">
        <v>0</v>
      </c>
      <c r="E24" s="217">
        <f>SUM(E21:E23)</f>
        <v>320191000</v>
      </c>
      <c r="F24" s="217">
        <f>SUM(F21:F23)</f>
        <v>0</v>
      </c>
      <c r="G24" s="142">
        <f>MAX(C24+E24-D24-F24,0)</f>
        <v>320191000</v>
      </c>
      <c r="H24" s="142">
        <f t="shared" si="5"/>
        <v>0</v>
      </c>
    </row>
    <row r="25" spans="1:16" ht="17.25" customHeight="1">
      <c r="A25" s="141" t="s">
        <v>8</v>
      </c>
      <c r="B25" s="141" t="s">
        <v>58</v>
      </c>
      <c r="C25" s="142">
        <v>0</v>
      </c>
      <c r="D25" s="142">
        <v>4118776286</v>
      </c>
      <c r="E25" s="215">
        <f t="array" ref="E25">SUM(IF(A25=KHN,TH))</f>
        <v>9683117458</v>
      </c>
      <c r="F25" s="215">
        <f t="array" ref="F25">SUM(IF(A25=KHC,TH))</f>
        <v>7338404675.1999998</v>
      </c>
      <c r="G25" s="142">
        <f t="shared" si="0"/>
        <v>0</v>
      </c>
      <c r="H25" s="142">
        <f t="shared" si="1"/>
        <v>1774063503.2000008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44" t="s">
        <v>259</v>
      </c>
      <c r="B26" s="137" t="s">
        <v>258</v>
      </c>
      <c r="C26" s="138">
        <v>0</v>
      </c>
      <c r="D26" s="138">
        <v>0</v>
      </c>
      <c r="E26" s="213">
        <f t="array" ref="E26">SUM(IF(A26=KHN,TH))</f>
        <v>664130008</v>
      </c>
      <c r="F26" s="213">
        <f t="array" ref="F26">SUM(IF(A26=KHC,TH))</f>
        <v>664130008</v>
      </c>
      <c r="G26" s="138">
        <f>MAX(C26+E26-D26-F26,0)</f>
        <v>0</v>
      </c>
      <c r="H26" s="138">
        <f>MAX(D26+F26-E26-C26,0)</f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37" t="s">
        <v>59</v>
      </c>
      <c r="B27" s="137" t="s">
        <v>60</v>
      </c>
      <c r="C27" s="138">
        <v>0</v>
      </c>
      <c r="D27" s="138">
        <v>0</v>
      </c>
      <c r="E27" s="213">
        <f t="array" ref="E27">SUM(IF(A27=KHN,TH))</f>
        <v>0</v>
      </c>
      <c r="F27" s="213">
        <f t="array" ref="F27">SUM(IF(A27=KHC,TH))</f>
        <v>0</v>
      </c>
      <c r="G27" s="138">
        <f t="shared" si="0"/>
        <v>0</v>
      </c>
      <c r="H27" s="138">
        <f t="shared" si="1"/>
        <v>0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37" t="s">
        <v>229</v>
      </c>
      <c r="B28" s="137" t="s">
        <v>230</v>
      </c>
      <c r="C28" s="138">
        <v>0</v>
      </c>
      <c r="D28" s="138">
        <v>0</v>
      </c>
      <c r="E28" s="213">
        <f t="array" ref="E28">SUM(IF(A28=KHN,TH))</f>
        <v>0</v>
      </c>
      <c r="F28" s="213">
        <f t="array" ref="F28">SUM(IF(A28=KHC,TH))</f>
        <v>0</v>
      </c>
      <c r="G28" s="138">
        <f t="shared" si="0"/>
        <v>0</v>
      </c>
      <c r="H28" s="138">
        <f t="shared" si="1"/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44" t="s">
        <v>61</v>
      </c>
      <c r="B29" s="145" t="s">
        <v>62</v>
      </c>
      <c r="C29" s="146">
        <v>0</v>
      </c>
      <c r="D29" s="146">
        <v>0</v>
      </c>
      <c r="E29" s="216">
        <f t="array" ref="E29">SUM(IF(A29=KHN,TH))</f>
        <v>2000000</v>
      </c>
      <c r="F29" s="216">
        <f t="array" ref="F29">SUM(IF(A29=KHC,TH))</f>
        <v>2000000</v>
      </c>
      <c r="G29" s="146">
        <f t="shared" si="0"/>
        <v>0</v>
      </c>
      <c r="H29" s="146">
        <f t="shared" si="1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37" t="s">
        <v>18</v>
      </c>
      <c r="B30" s="491" t="s">
        <v>63</v>
      </c>
      <c r="C30" s="138">
        <v>0</v>
      </c>
      <c r="D30" s="138">
        <v>0</v>
      </c>
      <c r="E30" s="213">
        <f>E29</f>
        <v>2000000</v>
      </c>
      <c r="F30" s="213">
        <f>F29</f>
        <v>2000000</v>
      </c>
      <c r="G30" s="138">
        <f>G29</f>
        <v>0</v>
      </c>
      <c r="H30" s="138">
        <f>H29</f>
        <v>0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41" t="s">
        <v>64</v>
      </c>
      <c r="B31" s="141" t="s">
        <v>65</v>
      </c>
      <c r="C31" s="142">
        <v>0</v>
      </c>
      <c r="D31" s="142">
        <v>0</v>
      </c>
      <c r="E31" s="214">
        <f>E27+E30+E28+E26</f>
        <v>666130008</v>
      </c>
      <c r="F31" s="214">
        <f>F27+F30+F28+F26</f>
        <v>666130008</v>
      </c>
      <c r="G31" s="142">
        <f>G27+G30+G28+G26</f>
        <v>0</v>
      </c>
      <c r="H31" s="142">
        <f>H27+H30+H28+H26</f>
        <v>0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37" t="s">
        <v>225</v>
      </c>
      <c r="B32" s="137" t="s">
        <v>226</v>
      </c>
      <c r="C32" s="138">
        <v>0</v>
      </c>
      <c r="D32" s="138">
        <v>0</v>
      </c>
      <c r="E32" s="213">
        <f t="array" ref="E32">SUM(IF(A32=KHN,TH))</f>
        <v>99181000</v>
      </c>
      <c r="F32" s="213">
        <f t="array" ref="F32">SUM(IF(A32=KHC,TH))</f>
        <v>99181000</v>
      </c>
      <c r="G32" s="213">
        <f t="shared" ref="G32:G37" si="6">MAX(C32+E32-D32-F32,0)</f>
        <v>0</v>
      </c>
      <c r="H32" s="138">
        <f t="shared" ref="H32:H37" si="7">MAX(D32+F32-E32-C32,0)</f>
        <v>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41" t="s">
        <v>227</v>
      </c>
      <c r="B33" s="141" t="s">
        <v>228</v>
      </c>
      <c r="C33" s="142">
        <v>0</v>
      </c>
      <c r="D33" s="142">
        <v>0</v>
      </c>
      <c r="E33" s="214">
        <f>E32</f>
        <v>99181000</v>
      </c>
      <c r="F33" s="214">
        <f>F32</f>
        <v>99181000</v>
      </c>
      <c r="G33" s="142">
        <f t="shared" si="6"/>
        <v>0</v>
      </c>
      <c r="H33" s="142">
        <f t="shared" si="7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37" t="s">
        <v>302</v>
      </c>
      <c r="B34" s="137" t="s">
        <v>303</v>
      </c>
      <c r="C34" s="138">
        <v>0</v>
      </c>
      <c r="D34" s="138">
        <v>3273996</v>
      </c>
      <c r="E34" s="213">
        <f t="array" ref="E34">SUM(IF(A34=KHN,TH))</f>
        <v>20041799</v>
      </c>
      <c r="F34" s="213">
        <f t="array" ref="F34">SUM(IF(A34=KHC,TH))</f>
        <v>25787060</v>
      </c>
      <c r="G34" s="138">
        <f t="shared" si="6"/>
        <v>0</v>
      </c>
      <c r="H34" s="138">
        <f t="shared" si="7"/>
        <v>9019257</v>
      </c>
      <c r="I34" s="80"/>
      <c r="J34" s="80"/>
      <c r="K34" s="80"/>
      <c r="L34" s="80"/>
      <c r="M34" s="80"/>
      <c r="N34" s="80"/>
      <c r="O34" s="80"/>
      <c r="P34" s="80"/>
    </row>
    <row r="35" spans="1:16" ht="17.25" customHeight="1">
      <c r="A35" s="137" t="s">
        <v>301</v>
      </c>
      <c r="B35" s="137" t="s">
        <v>304</v>
      </c>
      <c r="C35" s="138">
        <v>0</v>
      </c>
      <c r="D35" s="138">
        <v>0</v>
      </c>
      <c r="E35" s="213">
        <f t="array" ref="E35">SUM(IF(A35=KHN,TH))</f>
        <v>0</v>
      </c>
      <c r="F35" s="213">
        <f t="array" ref="F35">SUM(IF(A35=KHC,TH))</f>
        <v>4463147</v>
      </c>
      <c r="G35" s="138">
        <f t="shared" si="6"/>
        <v>0</v>
      </c>
      <c r="H35" s="138">
        <f t="shared" si="7"/>
        <v>4463147</v>
      </c>
      <c r="I35" s="80"/>
      <c r="J35" s="80"/>
      <c r="K35" s="80"/>
      <c r="L35" s="80"/>
      <c r="M35" s="80"/>
      <c r="N35" s="80"/>
      <c r="O35" s="80"/>
      <c r="P35" s="80"/>
    </row>
    <row r="36" spans="1:16" ht="17.25" customHeight="1">
      <c r="A36" s="137" t="s">
        <v>305</v>
      </c>
      <c r="B36" s="137" t="s">
        <v>306</v>
      </c>
      <c r="C36" s="138">
        <v>0</v>
      </c>
      <c r="D36" s="138">
        <v>0</v>
      </c>
      <c r="E36" s="213">
        <f t="array" ref="E36">SUM(IF(A36=KHN,TH))</f>
        <v>0</v>
      </c>
      <c r="F36" s="213">
        <f t="array" ref="F36">SUM(IF(A36=KHC,TH))</f>
        <v>1983620</v>
      </c>
      <c r="G36" s="138">
        <f t="shared" si="6"/>
        <v>0</v>
      </c>
      <c r="H36" s="138">
        <f t="shared" si="7"/>
        <v>1983620</v>
      </c>
      <c r="I36" s="80"/>
      <c r="J36" s="80"/>
      <c r="K36" s="80"/>
      <c r="L36" s="80"/>
      <c r="M36" s="80"/>
      <c r="N36" s="80"/>
      <c r="O36" s="80"/>
      <c r="P36" s="80"/>
    </row>
    <row r="37" spans="1:16" ht="17.25" customHeight="1">
      <c r="A37" s="137" t="s">
        <v>17</v>
      </c>
      <c r="B37" s="137" t="s">
        <v>66</v>
      </c>
      <c r="C37" s="138">
        <v>0</v>
      </c>
      <c r="D37" s="138">
        <v>0</v>
      </c>
      <c r="E37" s="213">
        <f t="array" ref="E37">SUM(IF(A37=KHN,TH))</f>
        <v>0</v>
      </c>
      <c r="F37" s="213">
        <f t="array" ref="F37">SUM(IF(A37=KHC,TH))</f>
        <v>0</v>
      </c>
      <c r="G37" s="138">
        <f t="shared" si="6"/>
        <v>0</v>
      </c>
      <c r="H37" s="138">
        <f t="shared" si="7"/>
        <v>0</v>
      </c>
      <c r="I37" s="80"/>
      <c r="J37" s="80"/>
      <c r="K37" s="80"/>
      <c r="L37" s="80"/>
      <c r="M37" s="80"/>
      <c r="N37" s="80"/>
      <c r="O37" s="80"/>
      <c r="P37" s="80"/>
    </row>
    <row r="38" spans="1:16" ht="17.25" customHeight="1">
      <c r="A38" s="141" t="s">
        <v>67</v>
      </c>
      <c r="B38" s="141" t="s">
        <v>68</v>
      </c>
      <c r="C38" s="214">
        <f t="shared" ref="C38:H38" si="8">SUM(C34:C37)</f>
        <v>0</v>
      </c>
      <c r="D38" s="214">
        <f t="shared" si="8"/>
        <v>3273996</v>
      </c>
      <c r="E38" s="214">
        <f t="shared" si="8"/>
        <v>20041799</v>
      </c>
      <c r="F38" s="214">
        <f t="shared" si="8"/>
        <v>32233827</v>
      </c>
      <c r="G38" s="142">
        <f t="shared" si="8"/>
        <v>0</v>
      </c>
      <c r="H38" s="142">
        <f t="shared" si="8"/>
        <v>15466024</v>
      </c>
      <c r="I38" s="80"/>
      <c r="J38" s="80">
        <f>SUM(H34:H36)</f>
        <v>15466024</v>
      </c>
      <c r="K38" s="80"/>
      <c r="L38" s="80"/>
      <c r="M38" s="80"/>
      <c r="N38" s="80"/>
      <c r="O38" s="80"/>
      <c r="P38" s="80"/>
    </row>
    <row r="39" spans="1:16" ht="13.5">
      <c r="A39" s="203" t="s">
        <v>441</v>
      </c>
      <c r="B39" s="204" t="s">
        <v>442</v>
      </c>
      <c r="C39" s="205">
        <v>0</v>
      </c>
      <c r="D39" s="205">
        <v>160060000</v>
      </c>
      <c r="E39" s="213">
        <f t="array" ref="E39">SUM(IF(A39=KHN,TH))</f>
        <v>633395000</v>
      </c>
      <c r="F39" s="213">
        <f t="array" ref="F39">SUM(IF(A39=KHC,TH))</f>
        <v>1398600000</v>
      </c>
      <c r="G39" s="205">
        <f>MAX(C39+E39-D39-F39,0)</f>
        <v>0</v>
      </c>
      <c r="H39" s="205">
        <f>MAX(D39+F39-E39-C39,0)</f>
        <v>925265000</v>
      </c>
      <c r="I39" s="207"/>
      <c r="J39" s="207"/>
      <c r="K39" s="207"/>
      <c r="L39" s="207"/>
      <c r="M39" s="207"/>
      <c r="N39" s="207"/>
      <c r="O39" s="207"/>
      <c r="P39" s="207"/>
    </row>
    <row r="40" spans="1:16" ht="13.5">
      <c r="A40" s="203" t="s">
        <v>443</v>
      </c>
      <c r="B40" s="204" t="s">
        <v>444</v>
      </c>
      <c r="C40" s="206">
        <v>0</v>
      </c>
      <c r="D40" s="206">
        <v>0</v>
      </c>
      <c r="E40" s="213">
        <f t="array" ref="E40">SUM(IF(A40=KHN,TH))</f>
        <v>0</v>
      </c>
      <c r="F40" s="213">
        <f t="array" ref="F40">SUM(IF(A40=KHC,TH))</f>
        <v>0</v>
      </c>
      <c r="G40" s="206">
        <f>MAX(C40+E40-D40-F40,0)</f>
        <v>0</v>
      </c>
      <c r="H40" s="206">
        <f>MAX(D40+F40-E40-C40,0)</f>
        <v>0</v>
      </c>
      <c r="I40" s="207"/>
      <c r="J40" s="207"/>
      <c r="K40" s="207"/>
      <c r="L40" s="207"/>
      <c r="M40" s="207"/>
      <c r="N40" s="207"/>
      <c r="O40" s="207"/>
      <c r="P40" s="207"/>
    </row>
    <row r="41" spans="1:16" ht="13.5">
      <c r="A41" s="208" t="s">
        <v>445</v>
      </c>
      <c r="B41" s="209" t="s">
        <v>446</v>
      </c>
      <c r="C41" s="217">
        <f t="shared" ref="C41:H41" si="9">C39+C40</f>
        <v>0</v>
      </c>
      <c r="D41" s="217">
        <f t="shared" si="9"/>
        <v>160060000</v>
      </c>
      <c r="E41" s="217">
        <f t="shared" si="9"/>
        <v>633395000</v>
      </c>
      <c r="F41" s="217">
        <f t="shared" si="9"/>
        <v>1398600000</v>
      </c>
      <c r="G41" s="210">
        <f t="shared" si="9"/>
        <v>0</v>
      </c>
      <c r="H41" s="210">
        <f t="shared" si="9"/>
        <v>925265000</v>
      </c>
      <c r="I41" s="207"/>
      <c r="J41" s="207"/>
      <c r="K41" s="207"/>
      <c r="L41" s="207"/>
      <c r="M41" s="207"/>
      <c r="N41" s="207"/>
      <c r="O41" s="207"/>
      <c r="P41" s="207"/>
    </row>
    <row r="42" spans="1:16" ht="17.25" customHeight="1">
      <c r="A42" s="137" t="s">
        <v>25</v>
      </c>
      <c r="B42" s="137" t="s">
        <v>69</v>
      </c>
      <c r="C42" s="138">
        <v>0</v>
      </c>
      <c r="D42" s="138">
        <v>2500000000</v>
      </c>
      <c r="E42" s="213">
        <f t="array" ref="E42">SUM(IF(A42=KHN,TH))</f>
        <v>0</v>
      </c>
      <c r="F42" s="213">
        <f t="array" ref="F42">SUM(IF(A42=KHC,TH))</f>
        <v>0</v>
      </c>
      <c r="G42" s="139">
        <f>MAX(C42+E42-D42-F42,0)</f>
        <v>0</v>
      </c>
      <c r="H42" s="139">
        <f>MAX(D42+F42-E42-C42,0)</f>
        <v>2500000000</v>
      </c>
      <c r="I42" s="80"/>
      <c r="J42" s="80"/>
      <c r="K42" s="80"/>
      <c r="L42" s="80"/>
      <c r="M42" s="80"/>
      <c r="N42" s="80"/>
      <c r="O42" s="80"/>
      <c r="P42" s="80"/>
    </row>
    <row r="43" spans="1:16" ht="17.25" customHeight="1">
      <c r="A43" s="141" t="s">
        <v>70</v>
      </c>
      <c r="B43" s="141" t="s">
        <v>71</v>
      </c>
      <c r="C43" s="214">
        <f>C42</f>
        <v>0</v>
      </c>
      <c r="D43" s="214">
        <f>D42</f>
        <v>2500000000</v>
      </c>
      <c r="E43" s="214">
        <f>E42</f>
        <v>0</v>
      </c>
      <c r="F43" s="214">
        <f>F42</f>
        <v>0</v>
      </c>
      <c r="G43" s="142">
        <f>MAX(C43+E43-D43-F43,0)</f>
        <v>0</v>
      </c>
      <c r="H43" s="142">
        <f>MAX(D43+F43-E43-C43,0)</f>
        <v>2500000000</v>
      </c>
      <c r="I43" s="80"/>
      <c r="J43" s="80"/>
      <c r="K43" s="80"/>
      <c r="L43" s="80"/>
      <c r="M43" s="80"/>
      <c r="N43" s="80"/>
      <c r="O43" s="80"/>
      <c r="P43" s="80"/>
    </row>
    <row r="44" spans="1:16" ht="17.25" customHeight="1">
      <c r="A44" s="136" t="s">
        <v>72</v>
      </c>
      <c r="B44" s="137" t="s">
        <v>73</v>
      </c>
      <c r="C44" s="138">
        <v>35682642</v>
      </c>
      <c r="D44" s="138"/>
      <c r="E44" s="213">
        <f t="array" ref="E44">SUM(IF(A44=KHN,TH))</f>
        <v>0</v>
      </c>
      <c r="F44" s="213">
        <f t="array" ref="F44">SUM(IF(A44=KHC,TH))</f>
        <v>0</v>
      </c>
      <c r="G44" s="139">
        <f>MAX(C44+E44-D44-F44,0)</f>
        <v>35682642</v>
      </c>
      <c r="H44" s="139">
        <f>MAX(D44+F44-E44-C44,0)</f>
        <v>0</v>
      </c>
      <c r="I44" s="80"/>
      <c r="J44" s="80"/>
      <c r="K44" s="80"/>
      <c r="L44" s="80"/>
      <c r="M44" s="80"/>
      <c r="N44" s="80"/>
      <c r="O44" s="80"/>
      <c r="P44" s="80"/>
    </row>
    <row r="45" spans="1:16" ht="17.25" customHeight="1">
      <c r="A45" s="137" t="s">
        <v>74</v>
      </c>
      <c r="B45" s="137" t="s">
        <v>75</v>
      </c>
      <c r="C45" s="138"/>
      <c r="D45" s="138">
        <v>0</v>
      </c>
      <c r="E45" s="213">
        <f t="array" ref="E45">SUM(IF(A45=TH!$L$10:$L$4773,TH!$K$10:$K$4773))</f>
        <v>0</v>
      </c>
      <c r="F45" s="213">
        <f t="array" ref="F45">SUM(IF(A45=TH!$M$10:$M$4773,TH!$K$10:$K$4773))</f>
        <v>0</v>
      </c>
      <c r="G45" s="138">
        <f>MAX(C45+E45-D45-F45,0)</f>
        <v>0</v>
      </c>
      <c r="H45" s="138">
        <f>MAX(D45+F45-E45-C45,0)</f>
        <v>0</v>
      </c>
      <c r="I45" s="80"/>
      <c r="J45" s="96"/>
      <c r="K45" s="80"/>
      <c r="L45" s="80"/>
      <c r="M45" s="80"/>
      <c r="N45" s="80"/>
      <c r="O45" s="80"/>
      <c r="P45" s="80"/>
    </row>
    <row r="46" spans="1:16" ht="17.25" customHeight="1">
      <c r="A46" s="141" t="s">
        <v>76</v>
      </c>
      <c r="B46" s="141" t="s">
        <v>77</v>
      </c>
      <c r="C46" s="214">
        <f t="shared" ref="C46:H46" si="10">C45+C44</f>
        <v>35682642</v>
      </c>
      <c r="D46" s="214">
        <f t="shared" si="10"/>
        <v>0</v>
      </c>
      <c r="E46" s="214">
        <f t="shared" si="10"/>
        <v>0</v>
      </c>
      <c r="F46" s="214">
        <f t="shared" si="10"/>
        <v>0</v>
      </c>
      <c r="G46" s="142">
        <f t="shared" si="10"/>
        <v>35682642</v>
      </c>
      <c r="H46" s="142">
        <f t="shared" si="10"/>
        <v>0</v>
      </c>
      <c r="I46" s="80"/>
      <c r="J46" s="80">
        <f>G46-H46</f>
        <v>35682642</v>
      </c>
      <c r="K46" s="80"/>
      <c r="L46" s="80"/>
      <c r="M46" s="80"/>
      <c r="N46" s="80"/>
      <c r="O46" s="80"/>
      <c r="P46" s="80"/>
    </row>
    <row r="47" spans="1:16" ht="17.25" customHeight="1">
      <c r="A47" s="136" t="s">
        <v>275</v>
      </c>
      <c r="B47" s="137" t="s">
        <v>276</v>
      </c>
      <c r="C47" s="139"/>
      <c r="D47" s="139"/>
      <c r="E47" s="218">
        <f t="array" ref="E47">SUM(IF(A47=KHN,TH))</f>
        <v>95105000</v>
      </c>
      <c r="F47" s="218">
        <f t="array" ref="F47">SUM(IF(A47=KHC,TH))</f>
        <v>95105000</v>
      </c>
      <c r="G47" s="139"/>
      <c r="H47" s="139"/>
      <c r="I47" s="80">
        <f>E47-F47</f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36" t="s">
        <v>162</v>
      </c>
      <c r="B48" s="137" t="s">
        <v>277</v>
      </c>
      <c r="C48" s="138"/>
      <c r="D48" s="138"/>
      <c r="E48" s="213">
        <f t="array" ref="E48">SUM(IF(A48=KHN,TH))</f>
        <v>6523402456</v>
      </c>
      <c r="F48" s="213">
        <f t="array" ref="F48">SUM(IF(A48=KHC,TH))</f>
        <v>6523402456</v>
      </c>
      <c r="G48" s="138"/>
      <c r="H48" s="138"/>
      <c r="I48" s="80">
        <f>E48-F48</f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41" t="s">
        <v>163</v>
      </c>
      <c r="B49" s="141" t="s">
        <v>164</v>
      </c>
      <c r="C49" s="142">
        <v>0</v>
      </c>
      <c r="D49" s="142">
        <v>0</v>
      </c>
      <c r="E49" s="214">
        <f>E47+E48</f>
        <v>6618507456</v>
      </c>
      <c r="F49" s="214">
        <f>F47+F48</f>
        <v>6618507456</v>
      </c>
      <c r="G49" s="142">
        <f>G47+G48</f>
        <v>0</v>
      </c>
      <c r="H49" s="142">
        <f>H47+H48</f>
        <v>0</v>
      </c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41" t="s">
        <v>38</v>
      </c>
      <c r="B50" s="141" t="s">
        <v>78</v>
      </c>
      <c r="C50" s="142"/>
      <c r="D50" s="142"/>
      <c r="E50" s="215">
        <f t="array" ref="E50">SUM(IF(A50=KHN,TH))</f>
        <v>50475</v>
      </c>
      <c r="F50" s="215">
        <f t="array" ref="F50">SUM(IF(A50=KHC,TH))</f>
        <v>50475</v>
      </c>
      <c r="G50" s="142"/>
      <c r="H50" s="142"/>
      <c r="I50" s="80">
        <f t="shared" ref="I50:I58" si="11">E50-F50</f>
        <v>0</v>
      </c>
      <c r="J50" s="80"/>
      <c r="K50" s="80"/>
      <c r="L50" s="80"/>
      <c r="M50" s="80"/>
      <c r="N50" s="80"/>
      <c r="O50" s="80"/>
      <c r="P50" s="80"/>
    </row>
    <row r="51" spans="1:16" ht="17.25" customHeight="1">
      <c r="A51" s="141" t="s">
        <v>160</v>
      </c>
      <c r="B51" s="141" t="s">
        <v>161</v>
      </c>
      <c r="C51" s="142"/>
      <c r="D51" s="142"/>
      <c r="E51" s="215">
        <f t="array" ref="E51">SUM(IF(A51=KHN,TH))</f>
        <v>4293620247</v>
      </c>
      <c r="F51" s="215">
        <f t="array" ref="F51">SUM(IF(A51=KHC,TH))</f>
        <v>4293620247</v>
      </c>
      <c r="G51" s="142"/>
      <c r="H51" s="142"/>
      <c r="I51" s="80">
        <f t="shared" si="11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41" t="s">
        <v>79</v>
      </c>
      <c r="B52" s="141" t="s">
        <v>80</v>
      </c>
      <c r="C52" s="142"/>
      <c r="D52" s="142"/>
      <c r="E52" s="215">
        <f t="array" ref="E52">SUM(IF(A52=KHN,TH))</f>
        <v>99748393</v>
      </c>
      <c r="F52" s="215">
        <f t="array" ref="F52">SUM(IF(A52=KHC,TH))</f>
        <v>99748393</v>
      </c>
      <c r="G52" s="142"/>
      <c r="H52" s="142"/>
      <c r="I52" s="80">
        <f t="shared" si="11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43" t="s">
        <v>224</v>
      </c>
      <c r="B53" s="141" t="s">
        <v>238</v>
      </c>
      <c r="C53" s="142"/>
      <c r="D53" s="142"/>
      <c r="E53" s="215">
        <f t="array" ref="E53">SUM(IF(A53=KHN,TH))</f>
        <v>15756840</v>
      </c>
      <c r="F53" s="215">
        <f t="array" ref="F53">SUM(IF(A53=KHC,TH))</f>
        <v>15756840</v>
      </c>
      <c r="G53" s="142"/>
      <c r="H53" s="142"/>
      <c r="I53" s="80">
        <f>E53-F53</f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41" t="s">
        <v>81</v>
      </c>
      <c r="B54" s="141" t="s">
        <v>82</v>
      </c>
      <c r="C54" s="142"/>
      <c r="D54" s="142"/>
      <c r="E54" s="215">
        <f t="array" ref="E54">SUM(IF(A54=KHN,TH))</f>
        <v>137616443.45454544</v>
      </c>
      <c r="F54" s="215">
        <f t="array" ref="F54">SUM(IF(A54=KHC,TH))</f>
        <v>137616443.45454544</v>
      </c>
      <c r="G54" s="142"/>
      <c r="H54" s="142"/>
      <c r="I54" s="80">
        <f t="shared" si="11"/>
        <v>0</v>
      </c>
      <c r="J54" s="80">
        <f>E53+E54</f>
        <v>153373283.45454544</v>
      </c>
      <c r="K54" s="80"/>
      <c r="L54" s="80"/>
      <c r="M54" s="80"/>
      <c r="N54" s="80"/>
      <c r="O54" s="80"/>
      <c r="P54" s="80"/>
    </row>
    <row r="55" spans="1:16" ht="17.25" customHeight="1">
      <c r="A55" s="143" t="s">
        <v>83</v>
      </c>
      <c r="B55" s="141" t="s">
        <v>84</v>
      </c>
      <c r="C55" s="142"/>
      <c r="D55" s="142"/>
      <c r="E55" s="215">
        <f t="array" ref="E55">SUM(IF(A55=KHN,TH))</f>
        <v>0</v>
      </c>
      <c r="F55" s="215">
        <f t="array" ref="F55">SUM(IF(A55=KHC,TH))</f>
        <v>0</v>
      </c>
      <c r="G55" s="142"/>
      <c r="H55" s="142"/>
      <c r="I55" s="80">
        <f t="shared" si="11"/>
        <v>0</v>
      </c>
      <c r="J55" s="80"/>
      <c r="K55" s="80"/>
      <c r="L55" s="80"/>
      <c r="M55" s="80"/>
      <c r="N55" s="80"/>
      <c r="O55" s="80"/>
      <c r="P55" s="80"/>
    </row>
    <row r="56" spans="1:16" ht="17.25" customHeight="1">
      <c r="A56" s="141" t="s">
        <v>85</v>
      </c>
      <c r="B56" s="141" t="s">
        <v>86</v>
      </c>
      <c r="C56" s="142"/>
      <c r="D56" s="142"/>
      <c r="E56" s="215">
        <f t="array" ref="E56">SUM(IF(A56=KHN,TH))</f>
        <v>20520950</v>
      </c>
      <c r="F56" s="215">
        <f t="array" ref="F56">SUM(IF(A56=KHC,TH))</f>
        <v>20520950</v>
      </c>
      <c r="G56" s="142"/>
      <c r="H56" s="142"/>
      <c r="I56" s="80">
        <f t="shared" si="11"/>
        <v>0</v>
      </c>
      <c r="J56" s="80"/>
      <c r="K56" s="80"/>
      <c r="L56" s="80"/>
      <c r="M56" s="80"/>
      <c r="N56" s="80"/>
      <c r="O56" s="80"/>
      <c r="P56" s="80"/>
    </row>
    <row r="57" spans="1:16" ht="17.25" customHeight="1">
      <c r="A57" s="143" t="s">
        <v>87</v>
      </c>
      <c r="B57" s="141" t="s">
        <v>88</v>
      </c>
      <c r="C57" s="142"/>
      <c r="D57" s="142"/>
      <c r="E57" s="215">
        <f t="array" ref="E57">SUM(IF(A57=KHN,TH))</f>
        <v>0</v>
      </c>
      <c r="F57" s="215">
        <f t="array" ref="F57">SUM(IF(A57=KHC,TH))</f>
        <v>0</v>
      </c>
      <c r="G57" s="142"/>
      <c r="H57" s="142"/>
      <c r="I57" s="80">
        <f t="shared" si="11"/>
        <v>0</v>
      </c>
      <c r="J57" s="80"/>
      <c r="K57" s="80"/>
      <c r="L57" s="80"/>
      <c r="M57" s="80"/>
      <c r="N57" s="80"/>
      <c r="O57" s="80"/>
      <c r="P57" s="80"/>
    </row>
    <row r="58" spans="1:16" ht="17.25" customHeight="1">
      <c r="A58" s="141" t="s">
        <v>89</v>
      </c>
      <c r="B58" s="141" t="s">
        <v>90</v>
      </c>
      <c r="C58" s="142"/>
      <c r="D58" s="142"/>
      <c r="E58" s="219">
        <f t="array" ref="E58">SUM(IF(A58=KHN,TH))</f>
        <v>4567262873.454545</v>
      </c>
      <c r="F58" s="219">
        <f t="array" ref="F58">SUM(IF(A58=TH!$M$10:$M$4773,TH!$K$10:$K$4773))</f>
        <v>6618557931</v>
      </c>
      <c r="G58" s="142"/>
      <c r="H58" s="142"/>
      <c r="I58" s="80">
        <f t="shared" si="11"/>
        <v>-2051295057.545455</v>
      </c>
      <c r="J58" s="80"/>
      <c r="K58" s="80"/>
      <c r="L58" s="80"/>
      <c r="M58" s="80"/>
      <c r="N58" s="80"/>
      <c r="O58" s="80"/>
      <c r="P58" s="80"/>
    </row>
    <row r="59" spans="1:16" ht="17.25" customHeight="1">
      <c r="A59" s="832" t="s">
        <v>37</v>
      </c>
      <c r="B59" s="833"/>
      <c r="C59" s="147">
        <f>C11+C13+C14+C16+C18+C19+C20+C25+C31+C33+C38+C41+C43+C46+C49+C50+C51+C52+C53+C54+C55+C56+C57+C58+C24</f>
        <v>6782110282</v>
      </c>
      <c r="D59" s="147">
        <f t="shared" ref="D59:H59" si="12">D11+D13+D14+D16+D18+D19+D20+D25+D31+D33+D38+D41+D43+D46+D49+D50+D51+D52+D53+D54+D55+D56+D57+D58+D24</f>
        <v>6782110282</v>
      </c>
      <c r="E59" s="147">
        <f t="shared" si="12"/>
        <v>65608716377.109085</v>
      </c>
      <c r="F59" s="147">
        <f t="shared" si="12"/>
        <v>65608716377.109085</v>
      </c>
      <c r="G59" s="147">
        <f t="shared" si="12"/>
        <v>7266089586.7454538</v>
      </c>
      <c r="H59" s="147">
        <f t="shared" si="12"/>
        <v>5214794529.2000008</v>
      </c>
      <c r="I59" s="80"/>
      <c r="J59" s="80"/>
      <c r="K59" s="80"/>
      <c r="L59" s="80"/>
      <c r="M59" s="80"/>
      <c r="N59" s="80"/>
      <c r="O59" s="80"/>
      <c r="P59" s="80"/>
    </row>
    <row r="61" spans="1:16">
      <c r="D61" s="581">
        <f>C59-D59</f>
        <v>0</v>
      </c>
      <c r="F61" s="581">
        <f>E59-F59</f>
        <v>0</v>
      </c>
      <c r="H61" s="581">
        <f>G59-H59</f>
        <v>2051295057.5454531</v>
      </c>
      <c r="J61" s="581"/>
      <c r="L61" s="581">
        <f>G59-H59+F56</f>
        <v>2071816007.5454531</v>
      </c>
    </row>
  </sheetData>
  <mergeCells count="6">
    <mergeCell ref="G8:H8"/>
    <mergeCell ref="A59:B59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H4787"/>
  <sheetViews>
    <sheetView topLeftCell="A7" zoomScale="90" zoomScaleNormal="90" workbookViewId="0">
      <pane ySplit="3" topLeftCell="A818" activePane="bottomLeft" state="frozen"/>
      <selection activeCell="A7" sqref="A7"/>
      <selection pane="bottomLeft" activeCell="F836" sqref="F836"/>
    </sheetView>
  </sheetViews>
  <sheetFormatPr defaultRowHeight="14.25"/>
  <cols>
    <col min="1" max="1" width="4.5703125" style="559" customWidth="1"/>
    <col min="2" max="2" width="4.85546875" style="559" customWidth="1"/>
    <col min="3" max="3" width="9.140625" style="559" customWidth="1"/>
    <col min="4" max="4" width="6.85546875" style="559" customWidth="1"/>
    <col min="5" max="5" width="9.140625" style="559" customWidth="1"/>
    <col min="6" max="6" width="45" style="559" customWidth="1"/>
    <col min="7" max="7" width="11.140625" style="559" customWidth="1"/>
    <col min="8" max="8" width="34.85546875" style="559" customWidth="1"/>
    <col min="9" max="9" width="8.42578125" style="559" customWidth="1"/>
    <col min="10" max="10" width="9.7109375" style="559" customWidth="1"/>
    <col min="11" max="11" width="13.140625" style="559" customWidth="1"/>
    <col min="12" max="12" width="7" style="559" customWidth="1"/>
    <col min="13" max="13" width="6.7109375" style="559" customWidth="1"/>
    <col min="14" max="14" width="4.42578125" style="559" hidden="1" customWidth="1"/>
    <col min="15" max="17" width="2.7109375" style="559" hidden="1" customWidth="1"/>
    <col min="18" max="20" width="2.5703125" style="559" hidden="1" customWidth="1"/>
    <col min="21" max="25" width="2.7109375" style="559" hidden="1" customWidth="1"/>
    <col min="26" max="26" width="2.85546875" style="559" hidden="1" customWidth="1"/>
    <col min="27" max="27" width="2.85546875" style="559" customWidth="1"/>
    <col min="28" max="28" width="3.5703125" style="559" customWidth="1"/>
    <col min="29" max="29" width="10.42578125" style="559" customWidth="1"/>
    <col min="30" max="30" width="11.5703125" style="559" bestFit="1" customWidth="1"/>
    <col min="31" max="33" width="9.140625" style="559"/>
    <col min="34" max="34" width="15.7109375" style="559" bestFit="1" customWidth="1"/>
    <col min="35" max="16384" width="9.140625" style="559"/>
  </cols>
  <sheetData>
    <row r="1" spans="1:27" s="503" customFormat="1" ht="15">
      <c r="A1" s="1" t="s">
        <v>269</v>
      </c>
      <c r="B1" s="497"/>
      <c r="C1" s="497"/>
      <c r="D1" s="498"/>
      <c r="E1" s="498"/>
      <c r="F1" s="499"/>
      <c r="G1" s="495"/>
      <c r="H1" s="500"/>
      <c r="I1" s="500"/>
      <c r="J1" s="500"/>
      <c r="K1" s="501"/>
      <c r="L1" s="502"/>
      <c r="M1" s="502"/>
      <c r="N1" s="502"/>
      <c r="O1" s="502"/>
      <c r="P1" s="502"/>
      <c r="Q1" s="502"/>
      <c r="R1" s="502"/>
      <c r="S1" s="502"/>
      <c r="T1" s="502"/>
      <c r="U1" s="502"/>
      <c r="V1" s="502"/>
      <c r="W1" s="502"/>
      <c r="X1" s="502"/>
      <c r="Y1" s="502"/>
    </row>
    <row r="2" spans="1:27" s="503" customFormat="1" ht="15">
      <c r="A2" s="1" t="s">
        <v>268</v>
      </c>
      <c r="B2" s="497"/>
      <c r="C2" s="497"/>
      <c r="D2" s="498"/>
      <c r="E2" s="498"/>
      <c r="F2" s="498"/>
      <c r="G2" s="495"/>
      <c r="H2" s="504"/>
      <c r="I2" s="504"/>
      <c r="J2" s="504"/>
      <c r="K2" s="501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</row>
    <row r="3" spans="1:27" s="503" customFormat="1" ht="15">
      <c r="A3" s="505"/>
      <c r="B3" s="498"/>
      <c r="C3" s="498"/>
      <c r="D3" s="498"/>
      <c r="E3" s="498"/>
      <c r="F3" s="498"/>
      <c r="G3" s="495"/>
      <c r="H3" s="504"/>
      <c r="I3" s="504"/>
      <c r="J3" s="504"/>
      <c r="K3" s="506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</row>
    <row r="4" spans="1:27" s="503" customFormat="1" ht="15">
      <c r="A4" s="505"/>
      <c r="B4" s="501"/>
      <c r="C4" s="839" t="s">
        <v>91</v>
      </c>
      <c r="D4" s="839"/>
      <c r="E4" s="839"/>
      <c r="F4" s="839"/>
      <c r="G4" s="839"/>
      <c r="H4" s="839"/>
      <c r="I4" s="839"/>
      <c r="J4" s="839"/>
      <c r="K4" s="839"/>
      <c r="L4" s="839"/>
      <c r="M4" s="839"/>
    </row>
    <row r="5" spans="1:27" s="503" customFormat="1" ht="15">
      <c r="A5" s="505"/>
      <c r="B5" s="501"/>
      <c r="C5" s="839"/>
      <c r="D5" s="839"/>
      <c r="E5" s="839"/>
      <c r="F5" s="839"/>
      <c r="G5" s="839"/>
      <c r="H5" s="839"/>
      <c r="I5" s="839"/>
      <c r="J5" s="839"/>
      <c r="K5" s="839"/>
      <c r="L5" s="839"/>
      <c r="M5" s="839"/>
    </row>
    <row r="6" spans="1:27" s="503" customFormat="1" ht="15">
      <c r="A6" s="505"/>
      <c r="B6" s="501"/>
      <c r="C6" s="501"/>
      <c r="D6" s="501"/>
      <c r="E6" s="501"/>
      <c r="F6" s="501"/>
      <c r="G6" s="501"/>
      <c r="H6" s="508"/>
      <c r="I6" s="508"/>
      <c r="J6" s="508"/>
      <c r="K6" s="501"/>
      <c r="L6" s="502"/>
      <c r="M6" s="502"/>
      <c r="N6" s="502"/>
      <c r="O6" s="502"/>
      <c r="P6" s="502"/>
      <c r="Q6" s="502"/>
      <c r="R6" s="502"/>
      <c r="S6" s="502"/>
      <c r="T6" s="502"/>
      <c r="U6" s="502"/>
      <c r="V6" s="502"/>
      <c r="W6" s="502"/>
      <c r="X6" s="502"/>
      <c r="Y6" s="502"/>
    </row>
    <row r="7" spans="1:27" s="503" customFormat="1" ht="21.75" customHeight="1">
      <c r="A7" s="854" t="s">
        <v>115</v>
      </c>
      <c r="B7" s="844" t="s">
        <v>99</v>
      </c>
      <c r="C7" s="840" t="s">
        <v>20</v>
      </c>
      <c r="D7" s="841" t="s">
        <v>1</v>
      </c>
      <c r="E7" s="842"/>
      <c r="F7" s="840" t="s">
        <v>0</v>
      </c>
      <c r="G7" s="844" t="s">
        <v>114</v>
      </c>
      <c r="H7" s="856" t="s">
        <v>42</v>
      </c>
      <c r="I7" s="858" t="s">
        <v>222</v>
      </c>
      <c r="J7" s="859"/>
      <c r="K7" s="840" t="s">
        <v>155</v>
      </c>
      <c r="L7" s="843" t="s">
        <v>92</v>
      </c>
      <c r="M7" s="843"/>
      <c r="N7" s="857" t="s">
        <v>261</v>
      </c>
      <c r="O7" s="846" t="s">
        <v>45</v>
      </c>
      <c r="P7" s="847"/>
      <c r="Q7" s="848"/>
      <c r="R7" s="846" t="s">
        <v>49</v>
      </c>
      <c r="S7" s="847"/>
      <c r="T7" s="848"/>
      <c r="U7" s="838" t="s">
        <v>157</v>
      </c>
      <c r="V7" s="838"/>
      <c r="W7" s="838"/>
      <c r="X7" s="852" t="s">
        <v>445</v>
      </c>
      <c r="Y7" s="852" t="str">
        <f>CTTK!$E$7</f>
        <v>3341</v>
      </c>
      <c r="Z7" s="838" t="s">
        <v>253</v>
      </c>
      <c r="AA7" s="509"/>
    </row>
    <row r="8" spans="1:27" s="503" customFormat="1" ht="38.25" customHeight="1">
      <c r="A8" s="855"/>
      <c r="B8" s="845"/>
      <c r="C8" s="840"/>
      <c r="D8" s="510" t="s">
        <v>15</v>
      </c>
      <c r="E8" s="511" t="s">
        <v>31</v>
      </c>
      <c r="F8" s="840"/>
      <c r="G8" s="845"/>
      <c r="H8" s="856"/>
      <c r="I8" s="512" t="s">
        <v>179</v>
      </c>
      <c r="J8" s="512" t="s">
        <v>180</v>
      </c>
      <c r="K8" s="840"/>
      <c r="L8" s="496" t="s">
        <v>22</v>
      </c>
      <c r="M8" s="496" t="s">
        <v>23</v>
      </c>
      <c r="N8" s="853"/>
      <c r="O8" s="849"/>
      <c r="P8" s="850"/>
      <c r="Q8" s="851"/>
      <c r="R8" s="849"/>
      <c r="S8" s="850"/>
      <c r="T8" s="851"/>
      <c r="U8" s="838"/>
      <c r="V8" s="838"/>
      <c r="W8" s="838"/>
      <c r="X8" s="853"/>
      <c r="Y8" s="853"/>
      <c r="Z8" s="838"/>
      <c r="AA8" s="509"/>
    </row>
    <row r="9" spans="1:27" s="503" customFormat="1" ht="15">
      <c r="A9" s="513">
        <v>1</v>
      </c>
      <c r="B9" s="514">
        <v>2</v>
      </c>
      <c r="C9" s="513">
        <v>3</v>
      </c>
      <c r="D9" s="514">
        <v>4</v>
      </c>
      <c r="E9" s="513">
        <v>5</v>
      </c>
      <c r="F9" s="514">
        <v>6</v>
      </c>
      <c r="G9" s="513">
        <v>7</v>
      </c>
      <c r="H9" s="514">
        <v>8</v>
      </c>
      <c r="I9" s="513">
        <v>9</v>
      </c>
      <c r="J9" s="514">
        <v>10</v>
      </c>
      <c r="K9" s="513">
        <v>11</v>
      </c>
      <c r="L9" s="514">
        <v>12</v>
      </c>
      <c r="M9" s="513">
        <v>13</v>
      </c>
      <c r="N9" s="514">
        <v>16</v>
      </c>
      <c r="O9" s="515">
        <v>17</v>
      </c>
      <c r="P9" s="514">
        <v>18</v>
      </c>
      <c r="Q9" s="515">
        <v>19</v>
      </c>
      <c r="R9" s="514">
        <v>20</v>
      </c>
      <c r="S9" s="514"/>
      <c r="T9" s="514"/>
      <c r="U9" s="514">
        <v>19</v>
      </c>
      <c r="V9" s="514">
        <v>20</v>
      </c>
      <c r="W9" s="514"/>
      <c r="X9" s="514"/>
      <c r="Y9" s="514"/>
      <c r="Z9" s="514">
        <v>21</v>
      </c>
      <c r="AA9" s="516"/>
    </row>
    <row r="10" spans="1:27" s="527" customFormat="1" ht="15.75" customHeight="1">
      <c r="A10" s="517" t="str">
        <f>IF(B10&lt;&gt;"",IF(AND(B10&gt;=_TM1,B10&lt;=_TM2,OR(TH!L10="1111",TH!M10="1111")),TH!D10,""),"")</f>
        <v/>
      </c>
      <c r="B10" s="518">
        <f t="shared" ref="B10:B37" si="0">IF(C10&lt;&gt;"",MONTH(C10),"")</f>
        <v>12</v>
      </c>
      <c r="C10" s="519">
        <f t="shared" ref="C10:C37" si="1">E10</f>
        <v>43100</v>
      </c>
      <c r="D10" s="519" t="s">
        <v>93</v>
      </c>
      <c r="E10" s="519">
        <v>43100</v>
      </c>
      <c r="F10" s="520" t="s">
        <v>148</v>
      </c>
      <c r="G10" s="521"/>
      <c r="H10" s="522"/>
      <c r="I10" s="523"/>
      <c r="J10" s="523"/>
      <c r="K10" s="524">
        <f>CDPS!D45</f>
        <v>0</v>
      </c>
      <c r="L10" s="525" t="s">
        <v>74</v>
      </c>
      <c r="M10" s="525" t="s">
        <v>72</v>
      </c>
      <c r="N10" s="525" t="str">
        <f>IF(AND('331-CT'!$E$7=TH!H10,OR(L10="331",M10="331")),"331",IF(AND(OR(L10="131",M10="131"),H10='131-CT'!$E$7),"131",""))</f>
        <v/>
      </c>
      <c r="O10" s="525" t="str">
        <f>IF(AND($B10&gt;='111'!$N$11,$B10&lt;='111'!$O$11,OR($L10=$O$7,$M10=$O$7)),"x","")</f>
        <v/>
      </c>
      <c r="P10" s="525" t="str">
        <f>IF(AND($L10=$O$7,$B10&lt;'111'!$N$11),"x","")</f>
        <v/>
      </c>
      <c r="Q10" s="525" t="str">
        <f>IF(AND($M10=$O$7,$B10&lt;'111'!$N$11),"x","")</f>
        <v/>
      </c>
      <c r="R10" s="525" t="str">
        <f>IF(ISERROR(FIND('112'!$M$9,G10,1)),"",IF((AND(FIND('112'!$M$9,G10,1)&gt;=1,$B10&gt;='112'!$N$8,$B10&lt;='112'!$O$8,OR($L10='112'!$I$6,$M10='112'!$I$6))),"x",""))</f>
        <v/>
      </c>
      <c r="S10" s="525" t="str">
        <f>IF(ISERROR(FIND('112'!$M$9,G10,1)),"",IF((AND(LEFT(G10,2)=LEFT('112'!$M$9,2),B10&lt;'112'!$N$8,$L10='112'!$I$6)),"x",""))</f>
        <v/>
      </c>
      <c r="T10" s="525" t="str">
        <f>IF(ISERROR(FIND('112'!$M$9,G10,1)),"",IF((AND(RIGHT(G10,2)=RIGHT('112'!$M$9,2),B10&lt;'112'!$N$8,$M10='112'!$I$6)),"x",""))</f>
        <v/>
      </c>
      <c r="U10" s="525" t="str">
        <f>IF(AND(B10&gt;='IN-NX'!$P$3,B10&lt;='IN-NX'!$Q$3,'IN-NX'!$D$7=D10,OR(LEFT(L10,2)="15",AND(LEFT(M10,2)&lt;&gt;"15",LEFT(M10,2)&lt;&gt;"33"))),"x","")</f>
        <v/>
      </c>
      <c r="V10" s="525" t="str">
        <f>IF(AND(OR(LEFT(TH!L10,2)="15",LEFT(TH!M10,2)="15"),'152-CT'!$J$8=TH!F10),"x","")</f>
        <v/>
      </c>
      <c r="W10" s="525" t="str">
        <f>IF(AND(OR(LEFT(TH!L10,2)="15",LEFT(TH!M10,2)="15"),TK!$E$7=TH!F10),"x","")</f>
        <v/>
      </c>
      <c r="X10" s="525" t="str">
        <f>IF(AND('341-CT'!$E$9=H10,OR(LEFT(L10,3)=$X$7,LEFT(M10,3)=$X$7)),"x","")</f>
        <v/>
      </c>
      <c r="Y10" s="525" t="str">
        <f>IF(OR(TH!L10=TH!$Y$7,M10=TH!$Y$7),"x","")</f>
        <v/>
      </c>
      <c r="Z10" s="525" t="str">
        <f>IF(AND(B10&lt;=NKC!$N$8,B10&gt;=NKC!$M$8),"x","")</f>
        <v/>
      </c>
      <c r="AA10" s="526"/>
    </row>
    <row r="11" spans="1:27" s="527" customFormat="1" ht="15.75" customHeight="1">
      <c r="A11" s="517" t="str">
        <f>IF(B11&lt;&gt;"",IF(AND(B11&gt;=_TM1,B11&lt;=_TM2,OR(TH!L11="1111",TH!M11="1111")),TH!D11,""),"")</f>
        <v/>
      </c>
      <c r="B11" s="518">
        <f t="shared" si="0"/>
        <v>12</v>
      </c>
      <c r="C11" s="519">
        <f t="shared" si="1"/>
        <v>43100</v>
      </c>
      <c r="D11" s="519" t="s">
        <v>93</v>
      </c>
      <c r="E11" s="519">
        <v>43100</v>
      </c>
      <c r="F11" s="520" t="s">
        <v>235</v>
      </c>
      <c r="G11" s="521"/>
      <c r="H11" s="522"/>
      <c r="I11" s="523"/>
      <c r="J11" s="523"/>
      <c r="K11" s="524">
        <f>SUMIF(KHC,L11,TH)</f>
        <v>664130008</v>
      </c>
      <c r="L11" s="528" t="s">
        <v>259</v>
      </c>
      <c r="M11" s="525" t="s">
        <v>9</v>
      </c>
      <c r="N11" s="525" t="str">
        <f>IF(AND('331-CT'!$E$7=TH!H11,OR(L11="331",M11="331")),"331",IF(AND(OR(L11="131",M11="131"),H11='131-CT'!$E$7),"131",""))</f>
        <v/>
      </c>
      <c r="O11" s="525" t="str">
        <f>IF(AND($B11&gt;='111'!$N$11,$B11&lt;='111'!$O$11,OR($L11=$O$7,$M11=$O$7)),"x","")</f>
        <v/>
      </c>
      <c r="P11" s="525" t="str">
        <f>IF(AND($L11=$O$7,$B11&lt;'111'!$N$11),"x","")</f>
        <v/>
      </c>
      <c r="Q11" s="525" t="str">
        <f>IF(AND($M11=$O$7,$B11&lt;'111'!$N$11),"x","")</f>
        <v/>
      </c>
      <c r="R11" s="525" t="str">
        <f>IF(ISERROR(FIND('112'!$M$9,G11,1)),"",IF((AND(FIND('112'!$M$9,G11,1)&gt;=1,$B11&gt;='112'!$N$8,$B11&lt;='112'!$O$8,OR($L11='112'!$I$6,$M11='112'!$I$6))),"x",""))</f>
        <v/>
      </c>
      <c r="S11" s="525" t="str">
        <f>IF(ISERROR(FIND('112'!$M$9,G11,1)),"",IF((AND(LEFT(G11,2)=LEFT('112'!$M$9,2),B11&lt;'112'!$N$8,$L11='112'!$I$6)),"x",""))</f>
        <v/>
      </c>
      <c r="T11" s="525" t="str">
        <f>IF(ISERROR(FIND('112'!$M$9,G11,1)),"",IF((AND(RIGHT(G11,2)=RIGHT('112'!$M$9,2),B11&lt;'112'!$N$8,$M11='112'!$I$6)),"x",""))</f>
        <v/>
      </c>
      <c r="U11" s="525" t="str">
        <f>IF(AND(B11&gt;='IN-NX'!$P$3,B11&lt;='IN-NX'!$Q$3,'IN-NX'!$D$7=D11,OR(LEFT(L11,2)="15",AND(LEFT(M11,2)&lt;&gt;"15",LEFT(M11,2)&lt;&gt;"33"))),"x","")</f>
        <v/>
      </c>
      <c r="V11" s="525" t="str">
        <f>IF(AND(OR(LEFT(TH!L11,2)="15",LEFT(TH!M11,2)="15"),'152-CT'!$J$8=TH!F11),"x","")</f>
        <v/>
      </c>
      <c r="W11" s="525" t="str">
        <f>IF(AND(OR(LEFT(TH!L11,2)="15",LEFT(TH!M11,2)="15"),TK!$E$7=TH!F11),"x","")</f>
        <v/>
      </c>
      <c r="X11" s="525" t="str">
        <f>IF(AND('341-CT'!$E$9=H11,OR(LEFT(L11,3)=$X$7,LEFT(M11,3)=$X$7)),"x","")</f>
        <v/>
      </c>
      <c r="Y11" s="525" t="str">
        <f>IF(OR(TH!L11=TH!$Y$7,M11=TH!$Y$7),"x","")</f>
        <v/>
      </c>
      <c r="Z11" s="525" t="str">
        <f>IF(AND(B11&lt;=NKC!$N$8,B11&gt;=NKC!$M$8),"x","")</f>
        <v/>
      </c>
      <c r="AA11" s="526"/>
    </row>
    <row r="12" spans="1:27" s="527" customFormat="1" ht="15.75" customHeight="1">
      <c r="A12" s="517" t="str">
        <f>IF(B12&lt;&gt;"",IF(AND(B12&gt;=_TM1,B12&lt;=_TM2,OR(TH!L12="1111",TH!M12="1111")),TH!D12,""),"")</f>
        <v/>
      </c>
      <c r="B12" s="518">
        <f t="shared" si="0"/>
        <v>12</v>
      </c>
      <c r="C12" s="519">
        <f t="shared" si="1"/>
        <v>43100</v>
      </c>
      <c r="D12" s="519" t="s">
        <v>93</v>
      </c>
      <c r="E12" s="519">
        <v>43100</v>
      </c>
      <c r="F12" s="520" t="s">
        <v>236</v>
      </c>
      <c r="G12" s="521"/>
      <c r="H12" s="522"/>
      <c r="I12" s="523"/>
      <c r="J12" s="523"/>
      <c r="K12" s="524">
        <f>SUMIF(KHN,M12,TH)</f>
        <v>4293620247</v>
      </c>
      <c r="L12" s="528" t="s">
        <v>89</v>
      </c>
      <c r="M12" s="525" t="s">
        <v>160</v>
      </c>
      <c r="N12" s="525" t="str">
        <f>IF(AND('331-CT'!$E$7=TH!H12,OR(L12="331",M12="331")),"331",IF(AND(OR(L12="131",M12="131"),H12='131-CT'!$E$7),"131",""))</f>
        <v/>
      </c>
      <c r="O12" s="525" t="str">
        <f>IF(AND($B12&gt;='111'!$N$11,$B12&lt;='111'!$O$11,OR($L12=$O$7,$M12=$O$7)),"x","")</f>
        <v/>
      </c>
      <c r="P12" s="525" t="str">
        <f>IF(AND($L12=$O$7,$B12&lt;'111'!$N$11),"x","")</f>
        <v/>
      </c>
      <c r="Q12" s="525" t="str">
        <f>IF(AND($M12=$O$7,$B12&lt;'111'!$N$11),"x","")</f>
        <v/>
      </c>
      <c r="R12" s="525" t="str">
        <f>IF(ISERROR(FIND('112'!$M$9,G12,1)),"",IF((AND(FIND('112'!$M$9,G12,1)&gt;=1,$B12&gt;='112'!$N$8,$B12&lt;='112'!$O$8,OR($L12='112'!$I$6,$M12='112'!$I$6))),"x",""))</f>
        <v/>
      </c>
      <c r="S12" s="525" t="str">
        <f>IF(ISERROR(FIND('112'!$M$9,G12,1)),"",IF((AND(LEFT(G12,2)=LEFT('112'!$M$9,2),B12&lt;'112'!$N$8,$L12='112'!$I$6)),"x",""))</f>
        <v/>
      </c>
      <c r="T12" s="525" t="str">
        <f>IF(ISERROR(FIND('112'!$M$9,G12,1)),"",IF((AND(RIGHT(G12,2)=RIGHT('112'!$M$9,2),B12&lt;'112'!$N$8,$M12='112'!$I$6)),"x",""))</f>
        <v/>
      </c>
      <c r="U12" s="525" t="str">
        <f>IF(AND(B12&gt;='IN-NX'!$P$3,B12&lt;='IN-NX'!$Q$3,'IN-NX'!$D$7=D12,OR(LEFT(L12,2)="15",AND(LEFT(M12,2)&lt;&gt;"15",LEFT(M12,2)&lt;&gt;"33"))),"x","")</f>
        <v/>
      </c>
      <c r="V12" s="525" t="str">
        <f>IF(AND(OR(LEFT(TH!L12,2)="15",LEFT(TH!M12,2)="15"),'152-CT'!$J$8=TH!F12),"x","")</f>
        <v/>
      </c>
      <c r="W12" s="525" t="str">
        <f>IF(AND(OR(LEFT(TH!L12,2)="15",LEFT(TH!M12,2)="15"),TK!$E$7=TH!F12),"x","")</f>
        <v/>
      </c>
      <c r="X12" s="525" t="str">
        <f>IF(AND('341-CT'!$E$9=H12,OR(LEFT(L12,3)=$X$7,LEFT(M12,3)=$X$7)),"x","")</f>
        <v/>
      </c>
      <c r="Y12" s="525" t="str">
        <f>IF(OR(TH!L12=TH!$Y$7,M12=TH!$Y$7),"x","")</f>
        <v/>
      </c>
      <c r="Z12" s="525" t="str">
        <f>IF(AND(B12&lt;=NKC!$N$8,B12&gt;=NKC!$M$8),"x","")</f>
        <v/>
      </c>
      <c r="AA12" s="526"/>
    </row>
    <row r="13" spans="1:27" s="527" customFormat="1" ht="15.75" customHeight="1">
      <c r="A13" s="517" t="str">
        <f>IF(B13&lt;&gt;"",IF(AND(B13&gt;=_TM1,B13&lt;=_TM2,OR(TH!L13="1111",TH!M13="1111")),TH!D13,""),"")</f>
        <v/>
      </c>
      <c r="B13" s="518">
        <f t="shared" si="0"/>
        <v>12</v>
      </c>
      <c r="C13" s="519">
        <f t="shared" si="1"/>
        <v>43100</v>
      </c>
      <c r="D13" s="519" t="s">
        <v>93</v>
      </c>
      <c r="E13" s="519">
        <v>43100</v>
      </c>
      <c r="F13" s="520" t="s">
        <v>94</v>
      </c>
      <c r="G13" s="521"/>
      <c r="H13" s="529"/>
      <c r="I13" s="530"/>
      <c r="J13" s="530"/>
      <c r="K13" s="524">
        <f>SUMIF(KHN,M13,TH)</f>
        <v>99748393</v>
      </c>
      <c r="L13" s="528" t="s">
        <v>89</v>
      </c>
      <c r="M13" s="525" t="s">
        <v>79</v>
      </c>
      <c r="N13" s="525" t="str">
        <f>IF(AND('331-CT'!$E$7=TH!H13,OR(L13="331",M13="331")),"331",IF(AND(OR(L13="131",M13="131"),H13='131-CT'!$E$7),"131",""))</f>
        <v/>
      </c>
      <c r="O13" s="525" t="str">
        <f>IF(AND($B13&gt;='111'!$N$11,$B13&lt;='111'!$O$11,OR($L13=$O$7,$M13=$O$7)),"x","")</f>
        <v/>
      </c>
      <c r="P13" s="525" t="str">
        <f>IF(AND($L13=$O$7,$B13&lt;'111'!$N$11),"x","")</f>
        <v/>
      </c>
      <c r="Q13" s="525" t="str">
        <f>IF(AND($M13=$O$7,$B13&lt;'111'!$N$11),"x","")</f>
        <v/>
      </c>
      <c r="R13" s="525" t="str">
        <f>IF(ISERROR(FIND('112'!$M$9,G13,1)),"",IF((AND(FIND('112'!$M$9,G13,1)&gt;=1,$B13&gt;='112'!$N$8,$B13&lt;='112'!$O$8,OR($L13='112'!$I$6,$M13='112'!$I$6))),"x",""))</f>
        <v/>
      </c>
      <c r="S13" s="525" t="str">
        <f>IF(ISERROR(FIND('112'!$M$9,G13,1)),"",IF((AND(LEFT(G13,2)=LEFT('112'!$M$9,2),B13&lt;'112'!$N$8,$L13='112'!$I$6)),"x",""))</f>
        <v/>
      </c>
      <c r="T13" s="525" t="str">
        <f>IF(ISERROR(FIND('112'!$M$9,G13,1)),"",IF((AND(RIGHT(G13,2)=RIGHT('112'!$M$9,2),B13&lt;'112'!$N$8,$M13='112'!$I$6)),"x",""))</f>
        <v/>
      </c>
      <c r="U13" s="525" t="str">
        <f>IF(AND(B13&gt;='IN-NX'!$P$3,B13&lt;='IN-NX'!$Q$3,'IN-NX'!$D$7=D13,OR(LEFT(L13,2)="15",AND(LEFT(M13,2)&lt;&gt;"15",LEFT(M13,2)&lt;&gt;"33"))),"x","")</f>
        <v/>
      </c>
      <c r="V13" s="525" t="str">
        <f>IF(AND(OR(LEFT(TH!L13,2)="15",LEFT(TH!M13,2)="15"),'152-CT'!$J$8=TH!F13),"x","")</f>
        <v/>
      </c>
      <c r="W13" s="525" t="str">
        <f>IF(AND(OR(LEFT(TH!L13,2)="15",LEFT(TH!M13,2)="15"),TK!$E$7=TH!F13),"x","")</f>
        <v/>
      </c>
      <c r="X13" s="525" t="str">
        <f>IF(AND('341-CT'!$E$9=H13,OR(LEFT(L13,3)=$X$7,LEFT(M13,3)=$X$7)),"x","")</f>
        <v/>
      </c>
      <c r="Y13" s="525" t="str">
        <f>IF(OR(TH!L13=TH!$Y$7,M13=TH!$Y$7),"x","")</f>
        <v/>
      </c>
      <c r="Z13" s="525" t="str">
        <f>IF(AND(B13&lt;=NKC!$N$8,B13&gt;=NKC!$M$8),"x","")</f>
        <v/>
      </c>
      <c r="AA13" s="526"/>
    </row>
    <row r="14" spans="1:27" s="527" customFormat="1" ht="15.75" customHeight="1">
      <c r="A14" s="517" t="str">
        <f>IF(B14&lt;&gt;"",IF(AND(B14&gt;=_TM1,B14&lt;=_TM2,OR(TH!L14="1111",TH!M14="1111")),TH!D14,""),"")</f>
        <v/>
      </c>
      <c r="B14" s="518">
        <f>IF(C14&lt;&gt;"",MONTH(C14),"")</f>
        <v>12</v>
      </c>
      <c r="C14" s="519">
        <f>E14</f>
        <v>43100</v>
      </c>
      <c r="D14" s="519" t="s">
        <v>93</v>
      </c>
      <c r="E14" s="519">
        <v>43100</v>
      </c>
      <c r="F14" s="520" t="s">
        <v>264</v>
      </c>
      <c r="G14" s="521"/>
      <c r="H14" s="522"/>
      <c r="I14" s="523"/>
      <c r="J14" s="523"/>
      <c r="K14" s="524">
        <f>SUMIF(KHN,M14,TH)</f>
        <v>0</v>
      </c>
      <c r="L14" s="525" t="s">
        <v>89</v>
      </c>
      <c r="M14" s="525" t="s">
        <v>87</v>
      </c>
      <c r="N14" s="525" t="str">
        <f>IF(AND('331-CT'!$E$7=TH!H14,OR(L14="331",M14="331")),"331",IF(AND(OR(L14="131",M14="131"),H14='131-CT'!$E$7),"131",""))</f>
        <v/>
      </c>
      <c r="O14" s="525" t="str">
        <f>IF(AND($B14&gt;='111'!$N$11,$B14&lt;='111'!$O$11,OR($L14=$O$7,$M14=$O$7)),"x","")</f>
        <v/>
      </c>
      <c r="P14" s="525" t="str">
        <f>IF(AND($L14=$O$7,$B14&lt;'111'!$N$11),"x","")</f>
        <v/>
      </c>
      <c r="Q14" s="525" t="str">
        <f>IF(AND($M14=$O$7,$B14&lt;'111'!$N$11),"x","")</f>
        <v/>
      </c>
      <c r="R14" s="525" t="str">
        <f>IF(ISERROR(FIND('112'!$M$9,G14,1)),"",IF((AND(FIND('112'!$M$9,G14,1)&gt;=1,$B14&gt;='112'!$N$8,$B14&lt;='112'!$O$8,OR($L14='112'!$I$6,$M14='112'!$I$6))),"x",""))</f>
        <v/>
      </c>
      <c r="S14" s="525" t="str">
        <f>IF(ISERROR(FIND('112'!$M$9,G14,1)),"",IF((AND(LEFT(G14,2)=LEFT('112'!$M$9,2),B14&lt;'112'!$N$8,$L14='112'!$I$6)),"x",""))</f>
        <v/>
      </c>
      <c r="T14" s="525" t="str">
        <f>IF(ISERROR(FIND('112'!$M$9,G14,1)),"",IF((AND(RIGHT(G14,2)=RIGHT('112'!$M$9,2),B14&lt;'112'!$N$8,$M14='112'!$I$6)),"x",""))</f>
        <v/>
      </c>
      <c r="U14" s="525" t="str">
        <f>IF(AND(B14&gt;='IN-NX'!$P$3,B14&lt;='IN-NX'!$Q$3,'IN-NX'!$D$7=D14,OR(LEFT(L14,2)="15",AND(LEFT(M14,2)&lt;&gt;"15",LEFT(M14,2)&lt;&gt;"33"))),"x","")</f>
        <v/>
      </c>
      <c r="V14" s="525" t="str">
        <f>IF(AND(OR(LEFT(TH!L14,2)="15",LEFT(TH!M14,2)="15"),'152-CT'!$J$8=TH!F14),"x","")</f>
        <v/>
      </c>
      <c r="W14" s="525" t="str">
        <f>IF(AND(OR(LEFT(TH!L14,2)="15",LEFT(TH!M14,2)="15"),TK!$E$7=TH!F14),"x","")</f>
        <v/>
      </c>
      <c r="X14" s="525" t="str">
        <f>IF(AND('341-CT'!$E$9=H14,OR(LEFT(L14,3)=$X$7,LEFT(M14,3)=$X$7)),"x","")</f>
        <v/>
      </c>
      <c r="Y14" s="525" t="str">
        <f>IF(OR(TH!L14=TH!$Y$7,M14=TH!$Y$7),"x","")</f>
        <v/>
      </c>
      <c r="Z14" s="525" t="str">
        <f>IF(AND(B14&lt;=NKC!$N$8,B14&gt;=NKC!$M$8),"x","")</f>
        <v/>
      </c>
      <c r="AA14" s="526"/>
    </row>
    <row r="15" spans="1:27" s="527" customFormat="1" ht="15.75" customHeight="1">
      <c r="A15" s="517" t="str">
        <f>IF(B15&lt;&gt;"",IF(AND(B15&gt;=_TM1,B15&lt;=_TM2,OR(TH!L15="1111",TH!M15="1111")),TH!D15,""),"")</f>
        <v/>
      </c>
      <c r="B15" s="518">
        <f t="shared" si="0"/>
        <v>12</v>
      </c>
      <c r="C15" s="519">
        <f t="shared" si="1"/>
        <v>43100</v>
      </c>
      <c r="D15" s="519" t="s">
        <v>93</v>
      </c>
      <c r="E15" s="519">
        <v>43100</v>
      </c>
      <c r="F15" s="520" t="s">
        <v>237</v>
      </c>
      <c r="G15" s="521"/>
      <c r="H15" s="522"/>
      <c r="I15" s="523"/>
      <c r="J15" s="523"/>
      <c r="K15" s="524">
        <f>SUMIF(KHN,M15,TH)</f>
        <v>15756840</v>
      </c>
      <c r="L15" s="525" t="s">
        <v>89</v>
      </c>
      <c r="M15" s="525" t="s">
        <v>224</v>
      </c>
      <c r="N15" s="525" t="str">
        <f>IF(AND('331-CT'!$E$7=TH!H15,OR(L15="331",M15="331")),"331",IF(AND(OR(L15="131",M15="131"),H15='131-CT'!$E$7),"131",""))</f>
        <v/>
      </c>
      <c r="O15" s="525" t="str">
        <f>IF(AND($B15&gt;='111'!$N$11,$B15&lt;='111'!$O$11,OR($L15=$O$7,$M15=$O$7)),"x","")</f>
        <v/>
      </c>
      <c r="P15" s="525" t="str">
        <f>IF(AND($L15=$O$7,$B15&lt;'111'!$N$11),"x","")</f>
        <v/>
      </c>
      <c r="Q15" s="525" t="str">
        <f>IF(AND($M15=$O$7,$B15&lt;'111'!$N$11),"x","")</f>
        <v/>
      </c>
      <c r="R15" s="525" t="str">
        <f>IF(ISERROR(FIND('112'!$M$9,G15,1)),"",IF((AND(FIND('112'!$M$9,G15,1)&gt;=1,$B15&gt;='112'!$N$8,$B15&lt;='112'!$O$8,OR($L15='112'!$I$6,$M15='112'!$I$6))),"x",""))</f>
        <v/>
      </c>
      <c r="S15" s="525" t="str">
        <f>IF(ISERROR(FIND('112'!$M$9,G15,1)),"",IF((AND(LEFT(G15,2)=LEFT('112'!$M$9,2),B15&lt;'112'!$N$8,$L15='112'!$I$6)),"x",""))</f>
        <v/>
      </c>
      <c r="T15" s="525" t="str">
        <f>IF(ISERROR(FIND('112'!$M$9,G15,1)),"",IF((AND(RIGHT(G15,2)=RIGHT('112'!$M$9,2),B15&lt;'112'!$N$8,$M15='112'!$I$6)),"x",""))</f>
        <v/>
      </c>
      <c r="U15" s="525" t="str">
        <f>IF(AND(B15&gt;='IN-NX'!$P$3,B15&lt;='IN-NX'!$Q$3,'IN-NX'!$D$7=D15,OR(LEFT(L15,2)="15",AND(LEFT(M15,2)&lt;&gt;"15",LEFT(M15,2)&lt;&gt;"33"))),"x","")</f>
        <v/>
      </c>
      <c r="V15" s="525" t="str">
        <f>IF(AND(OR(LEFT(TH!L15,2)="15",LEFT(TH!M15,2)="15"),'152-CT'!$J$8=TH!F15),"x","")</f>
        <v/>
      </c>
      <c r="W15" s="525" t="str">
        <f>IF(AND(OR(LEFT(TH!L15,2)="15",LEFT(TH!M15,2)="15"),TK!$E$7=TH!F15),"x","")</f>
        <v/>
      </c>
      <c r="X15" s="525" t="str">
        <f>IF(AND('341-CT'!$E$9=H15,OR(LEFT(L15,3)=$X$7,LEFT(M15,3)=$X$7)),"x","")</f>
        <v/>
      </c>
      <c r="Y15" s="525" t="str">
        <f>IF(OR(TH!L15=TH!$Y$7,M15=TH!$Y$7),"x","")</f>
        <v/>
      </c>
      <c r="Z15" s="525" t="str">
        <f>IF(AND(B15&lt;=NKC!$N$8,B15&gt;=NKC!$M$8),"x","")</f>
        <v/>
      </c>
      <c r="AA15" s="526"/>
    </row>
    <row r="16" spans="1:27" s="527" customFormat="1" ht="15.75" customHeight="1">
      <c r="A16" s="517" t="str">
        <f>IF(B16&lt;&gt;"",IF(AND(B16&gt;=_TM1,B16&lt;=_TM2,OR(TH!L16="1111",TH!M16="1111")),TH!D16,""),"")</f>
        <v/>
      </c>
      <c r="B16" s="518">
        <f t="shared" si="0"/>
        <v>12</v>
      </c>
      <c r="C16" s="519">
        <f t="shared" si="1"/>
        <v>43100</v>
      </c>
      <c r="D16" s="519" t="s">
        <v>93</v>
      </c>
      <c r="E16" s="519">
        <v>43100</v>
      </c>
      <c r="F16" s="520" t="s">
        <v>95</v>
      </c>
      <c r="G16" s="521"/>
      <c r="H16" s="522"/>
      <c r="I16" s="523"/>
      <c r="J16" s="523"/>
      <c r="K16" s="524">
        <f>SUMIF(KHN,M16,TH)</f>
        <v>137616443.45454544</v>
      </c>
      <c r="L16" s="525" t="s">
        <v>89</v>
      </c>
      <c r="M16" s="525" t="s">
        <v>81</v>
      </c>
      <c r="N16" s="525" t="str">
        <f>IF(AND('331-CT'!$E$7=TH!H16,OR(L16="331",M16="331")),"331",IF(AND(OR(L16="131",M16="131"),H16='131-CT'!$E$7),"131",""))</f>
        <v/>
      </c>
      <c r="O16" s="525" t="str">
        <f>IF(AND($B16&gt;='111'!$N$11,$B16&lt;='111'!$O$11,OR($L16=$O$7,$M16=$O$7)),"x","")</f>
        <v/>
      </c>
      <c r="P16" s="525" t="str">
        <f>IF(AND($L16=$O$7,$B16&lt;'111'!$N$11),"x","")</f>
        <v/>
      </c>
      <c r="Q16" s="525" t="str">
        <f>IF(AND($M16=$O$7,$B16&lt;'111'!$N$11),"x","")</f>
        <v/>
      </c>
      <c r="R16" s="525" t="str">
        <f>IF(ISERROR(FIND('112'!$M$9,G16,1)),"",IF((AND(FIND('112'!$M$9,G16,1)&gt;=1,$B16&gt;='112'!$N$8,$B16&lt;='112'!$O$8,OR($L16='112'!$I$6,$M16='112'!$I$6))),"x",""))</f>
        <v/>
      </c>
      <c r="S16" s="525" t="str">
        <f>IF(ISERROR(FIND('112'!$M$9,G16,1)),"",IF((AND(LEFT(G16,2)=LEFT('112'!$M$9,2),B16&lt;'112'!$N$8,$L16='112'!$I$6)),"x",""))</f>
        <v/>
      </c>
      <c r="T16" s="525" t="str">
        <f>IF(ISERROR(FIND('112'!$M$9,G16,1)),"",IF((AND(RIGHT(G16,2)=RIGHT('112'!$M$9,2),B16&lt;'112'!$N$8,$M16='112'!$I$6)),"x",""))</f>
        <v/>
      </c>
      <c r="U16" s="525" t="str">
        <f>IF(AND(B16&gt;='IN-NX'!$P$3,B16&lt;='IN-NX'!$Q$3,'IN-NX'!$D$7=D16,OR(LEFT(L16,2)="15",AND(LEFT(M16,2)&lt;&gt;"15",LEFT(M16,2)&lt;&gt;"33"))),"x","")</f>
        <v/>
      </c>
      <c r="V16" s="525" t="str">
        <f>IF(AND(OR(LEFT(TH!L16,2)="15",LEFT(TH!M16,2)="15"),'152-CT'!$J$8=TH!F16),"x","")</f>
        <v/>
      </c>
      <c r="W16" s="525" t="str">
        <f>IF(AND(OR(LEFT(TH!L16,2)="15",LEFT(TH!M16,2)="15"),TK!$E$7=TH!F16),"x","")</f>
        <v/>
      </c>
      <c r="X16" s="525" t="str">
        <f>IF(AND('341-CT'!$E$9=H16,OR(LEFT(L16,3)=$X$7,LEFT(M16,3)=$X$7)),"x","")</f>
        <v/>
      </c>
      <c r="Y16" s="525" t="str">
        <f>IF(OR(TH!L16=TH!$Y$7,M16=TH!$Y$7),"x","")</f>
        <v/>
      </c>
      <c r="Z16" s="525" t="str">
        <f>IF(AND(B16&lt;=NKC!$N$8,B16&gt;=NKC!$M$8),"x","")</f>
        <v/>
      </c>
      <c r="AA16" s="526"/>
    </row>
    <row r="17" spans="1:30" s="527" customFormat="1" ht="15.75" customHeight="1">
      <c r="A17" s="517" t="str">
        <f>IF(B17&lt;&gt;"",IF(AND(B17&gt;=_TM1,B17&lt;=_TM2,OR(TH!L17="1111",TH!M17="1111")),TH!D17,""),"")</f>
        <v/>
      </c>
      <c r="B17" s="518">
        <f t="shared" si="0"/>
        <v>12</v>
      </c>
      <c r="C17" s="519">
        <f t="shared" si="1"/>
        <v>43100</v>
      </c>
      <c r="D17" s="519" t="s">
        <v>93</v>
      </c>
      <c r="E17" s="519">
        <v>43100</v>
      </c>
      <c r="F17" s="520" t="s">
        <v>96</v>
      </c>
      <c r="G17" s="521"/>
      <c r="H17" s="522"/>
      <c r="I17" s="523"/>
      <c r="J17" s="523"/>
      <c r="K17" s="524">
        <f>SUMIF(KHC,L17,TH)</f>
        <v>50475</v>
      </c>
      <c r="L17" s="528" t="s">
        <v>38</v>
      </c>
      <c r="M17" s="525" t="s">
        <v>89</v>
      </c>
      <c r="N17" s="525" t="str">
        <f>IF(AND('331-CT'!$E$7=TH!H17,OR(L17="331",M17="331")),"331",IF(AND(OR(L17="131",M17="131"),H17='131-CT'!$E$7),"131",""))</f>
        <v/>
      </c>
      <c r="O17" s="525" t="str">
        <f>IF(AND($B17&gt;='111'!$N$11,$B17&lt;='111'!$O$11,OR($L17=$O$7,$M17=$O$7)),"x","")</f>
        <v/>
      </c>
      <c r="P17" s="525" t="str">
        <f>IF(AND($L17=$O$7,$B17&lt;'111'!$N$11),"x","")</f>
        <v/>
      </c>
      <c r="Q17" s="525" t="str">
        <f>IF(AND($M17=$O$7,$B17&lt;'111'!$N$11),"x","")</f>
        <v/>
      </c>
      <c r="R17" s="525" t="str">
        <f>IF(ISERROR(FIND('112'!$M$9,G17,1)),"",IF((AND(FIND('112'!$M$9,G17,1)&gt;=1,$B17&gt;='112'!$N$8,$B17&lt;='112'!$O$8,OR($L17='112'!$I$6,$M17='112'!$I$6))),"x",""))</f>
        <v/>
      </c>
      <c r="S17" s="525" t="str">
        <f>IF(ISERROR(FIND('112'!$M$9,G17,1)),"",IF((AND(LEFT(G17,2)=LEFT('112'!$M$9,2),B17&lt;'112'!$N$8,$L17='112'!$I$6)),"x",""))</f>
        <v/>
      </c>
      <c r="T17" s="525" t="str">
        <f>IF(ISERROR(FIND('112'!$M$9,G17,1)),"",IF((AND(RIGHT(G17,2)=RIGHT('112'!$M$9,2),B17&lt;'112'!$N$8,$M17='112'!$I$6)),"x",""))</f>
        <v/>
      </c>
      <c r="U17" s="525" t="str">
        <f>IF(AND(B17&gt;='IN-NX'!$P$3,B17&lt;='IN-NX'!$Q$3,'IN-NX'!$D$7=D17,OR(LEFT(L17,2)="15",AND(LEFT(M17,2)&lt;&gt;"15",LEFT(M17,2)&lt;&gt;"33"))),"x","")</f>
        <v/>
      </c>
      <c r="V17" s="525" t="str">
        <f>IF(AND(OR(LEFT(TH!L17,2)="15",LEFT(TH!M17,2)="15"),'152-CT'!$J$8=TH!F17),"x","")</f>
        <v/>
      </c>
      <c r="W17" s="525" t="str">
        <f>IF(AND(OR(LEFT(TH!L17,2)="15",LEFT(TH!M17,2)="15"),TK!$E$7=TH!F17),"x","")</f>
        <v/>
      </c>
      <c r="X17" s="525" t="str">
        <f>IF(AND('341-CT'!$E$9=H17,OR(LEFT(L17,3)=$X$7,LEFT(M17,3)=$X$7)),"x","")</f>
        <v/>
      </c>
      <c r="Y17" s="525" t="str">
        <f>IF(OR(TH!L17=TH!$Y$7,M17=TH!$Y$7),"x","")</f>
        <v/>
      </c>
      <c r="Z17" s="525" t="str">
        <f>IF(AND(B17&lt;=NKC!$N$8,B17&gt;=NKC!$M$8),"x","")</f>
        <v/>
      </c>
      <c r="AA17" s="526"/>
    </row>
    <row r="18" spans="1:30" s="527" customFormat="1" ht="15.75" customHeight="1">
      <c r="A18" s="517" t="str">
        <f>IF(B18&lt;&gt;"",IF(AND(B18&gt;=_TM1,B18&lt;=_TM2,OR(TH!L18="1111",TH!M18="1111")),TH!D18,""),"")</f>
        <v/>
      </c>
      <c r="B18" s="518">
        <f>IF(C18&lt;&gt;"",MONTH(C18),"")</f>
        <v>12</v>
      </c>
      <c r="C18" s="519">
        <f>E18</f>
        <v>43100</v>
      </c>
      <c r="D18" s="519" t="s">
        <v>93</v>
      </c>
      <c r="E18" s="519">
        <v>43100</v>
      </c>
      <c r="F18" s="520" t="s">
        <v>281</v>
      </c>
      <c r="G18" s="521"/>
      <c r="H18" s="522"/>
      <c r="I18" s="523"/>
      <c r="J18" s="523"/>
      <c r="K18" s="524">
        <f>SUMIF(KHC,L18,TH)</f>
        <v>95105000</v>
      </c>
      <c r="L18" s="525" t="s">
        <v>275</v>
      </c>
      <c r="M18" s="525" t="s">
        <v>89</v>
      </c>
      <c r="N18" s="525" t="str">
        <f>IF(AND('331-CT'!$E$7=TH!H18,OR(L18="331",M18="331")),"331",IF(AND(OR(L18="131",M18="131"),H18='131-CT'!$E$7),"131",""))</f>
        <v/>
      </c>
      <c r="O18" s="525" t="str">
        <f>IF(AND($B18&gt;='111'!$N$11,$B18&lt;='111'!$O$11,OR($L18=$O$7,$M18=$O$7)),"x","")</f>
        <v/>
      </c>
      <c r="P18" s="525" t="str">
        <f>IF(AND($L18=$O$7,$B18&lt;'111'!$N$11),"x","")</f>
        <v/>
      </c>
      <c r="Q18" s="525" t="str">
        <f>IF(AND($M18=$O$7,$B18&lt;'111'!$N$11),"x","")</f>
        <v/>
      </c>
      <c r="R18" s="525" t="str">
        <f>IF(ISERROR(FIND('112'!$M$9,G18,1)),"",IF((AND(FIND('112'!$M$9,G18,1)&gt;=1,$B18&gt;='112'!$N$8,$B18&lt;='112'!$O$8,OR($L18='112'!$I$6,$M18='112'!$I$6))),"x",""))</f>
        <v/>
      </c>
      <c r="S18" s="525" t="str">
        <f>IF(ISERROR(FIND('112'!$M$9,G18,1)),"",IF((AND(LEFT(G18,2)=LEFT('112'!$M$9,2),B18&lt;'112'!$N$8,$L18='112'!$I$6)),"x",""))</f>
        <v/>
      </c>
      <c r="T18" s="525" t="str">
        <f>IF(ISERROR(FIND('112'!$M$9,G18,1)),"",IF((AND(RIGHT(G18,2)=RIGHT('112'!$M$9,2),B18&lt;'112'!$N$8,$M18='112'!$I$6)),"x",""))</f>
        <v/>
      </c>
      <c r="U18" s="525" t="str">
        <f>IF(AND(B18&gt;='IN-NX'!$P$3,B18&lt;='IN-NX'!$Q$3,'IN-NX'!$D$7=D18,OR(LEFT(L18,2)="15",AND(LEFT(M18,2)&lt;&gt;"15",LEFT(M18,2)&lt;&gt;"33"))),"x","")</f>
        <v/>
      </c>
      <c r="V18" s="525" t="str">
        <f>IF(AND(OR(LEFT(TH!L18,2)="15",LEFT(TH!M18,2)="15"),'152-CT'!$J$8=TH!F18),"x","")</f>
        <v/>
      </c>
      <c r="W18" s="525" t="str">
        <f>IF(AND(OR(LEFT(TH!L18,2)="15",LEFT(TH!M18,2)="15"),TK!$E$7=TH!F18),"x","")</f>
        <v/>
      </c>
      <c r="X18" s="525" t="str">
        <f>IF(AND('341-CT'!$E$9=H18,OR(LEFT(L18,3)=$X$7,LEFT(M18,3)=$X$7)),"x","")</f>
        <v/>
      </c>
      <c r="Y18" s="525" t="str">
        <f>IF(OR(TH!L18=TH!$Y$7,M18=TH!$Y$7),"x","")</f>
        <v/>
      </c>
      <c r="Z18" s="525" t="str">
        <f>IF(AND(B18&lt;=NKC!$N$8,B18&gt;=NKC!$M$8),"x","")</f>
        <v/>
      </c>
      <c r="AA18" s="526"/>
    </row>
    <row r="19" spans="1:30" s="527" customFormat="1" ht="15.75" customHeight="1">
      <c r="A19" s="517" t="str">
        <f>IF(B19&lt;&gt;"",IF(AND(B19&gt;=_TM1,B19&lt;=_TM2,OR(TH!L19="1111",TH!M19="1111")),TH!D19,""),"")</f>
        <v/>
      </c>
      <c r="B19" s="518">
        <f t="shared" si="0"/>
        <v>12</v>
      </c>
      <c r="C19" s="519">
        <f t="shared" si="1"/>
        <v>43100</v>
      </c>
      <c r="D19" s="519" t="s">
        <v>93</v>
      </c>
      <c r="E19" s="519">
        <v>43100</v>
      </c>
      <c r="F19" s="520" t="s">
        <v>282</v>
      </c>
      <c r="G19" s="521"/>
      <c r="H19" s="522"/>
      <c r="I19" s="523"/>
      <c r="J19" s="523"/>
      <c r="K19" s="524">
        <f>SUMIF(KHC,L19,TH)</f>
        <v>6523402456</v>
      </c>
      <c r="L19" s="525" t="s">
        <v>162</v>
      </c>
      <c r="M19" s="525" t="s">
        <v>89</v>
      </c>
      <c r="N19" s="525" t="str">
        <f>IF(AND('331-CT'!$E$7=TH!H19,OR(L19="331",M19="331")),"331",IF(AND(OR(L19="131",M19="131"),H19='131-CT'!$E$7),"131",""))</f>
        <v/>
      </c>
      <c r="O19" s="525" t="str">
        <f>IF(AND($B19&gt;='111'!$N$11,$B19&lt;='111'!$O$11,OR($L19=$O$7,$M19=$O$7)),"x","")</f>
        <v/>
      </c>
      <c r="P19" s="525" t="str">
        <f>IF(AND($L19=$O$7,$B19&lt;'111'!$N$11),"x","")</f>
        <v/>
      </c>
      <c r="Q19" s="525" t="str">
        <f>IF(AND($M19=$O$7,$B19&lt;'111'!$N$11),"x","")</f>
        <v/>
      </c>
      <c r="R19" s="525" t="str">
        <f>IF(ISERROR(FIND('112'!$M$9,G19,1)),"",IF((AND(FIND('112'!$M$9,G19,1)&gt;=1,$B19&gt;='112'!$N$8,$B19&lt;='112'!$O$8,OR($L19='112'!$I$6,$M19='112'!$I$6))),"x",""))</f>
        <v/>
      </c>
      <c r="S19" s="525" t="str">
        <f>IF(ISERROR(FIND('112'!$M$9,G19,1)),"",IF((AND(LEFT(G19,2)=LEFT('112'!$M$9,2),B19&lt;'112'!$N$8,$L19='112'!$I$6)),"x",""))</f>
        <v/>
      </c>
      <c r="T19" s="525" t="str">
        <f>IF(ISERROR(FIND('112'!$M$9,G19,1)),"",IF((AND(RIGHT(G19,2)=RIGHT('112'!$M$9,2),B19&lt;'112'!$N$8,$M19='112'!$I$6)),"x",""))</f>
        <v/>
      </c>
      <c r="U19" s="525" t="str">
        <f>IF(AND(B19&gt;='IN-NX'!$P$3,B19&lt;='IN-NX'!$Q$3,'IN-NX'!$D$7=D19,OR(LEFT(L19,2)="15",AND(LEFT(M19,2)&lt;&gt;"15",LEFT(M19,2)&lt;&gt;"33"))),"x","")</f>
        <v/>
      </c>
      <c r="V19" s="525" t="str">
        <f>IF(AND(OR(LEFT(TH!L19,2)="15",LEFT(TH!M19,2)="15"),'152-CT'!$J$8=TH!F19),"x","")</f>
        <v/>
      </c>
      <c r="W19" s="525" t="str">
        <f>IF(AND(OR(LEFT(TH!L19,2)="15",LEFT(TH!M19,2)="15"),TK!$E$7=TH!F19),"x","")</f>
        <v/>
      </c>
      <c r="X19" s="525" t="str">
        <f>IF(AND('341-CT'!$E$9=H19,OR(LEFT(L19,3)=$X$7,LEFT(M19,3)=$X$7)),"x","")</f>
        <v/>
      </c>
      <c r="Y19" s="525" t="str">
        <f>IF(OR(TH!L19=TH!$Y$7,M19=TH!$Y$7),"x","")</f>
        <v/>
      </c>
      <c r="Z19" s="525" t="str">
        <f>IF(AND(B19&lt;=NKC!$N$8,B19&gt;=NKC!$M$8),"x","")</f>
        <v/>
      </c>
      <c r="AA19" s="526"/>
    </row>
    <row r="20" spans="1:30" s="527" customFormat="1" ht="15.75" customHeight="1">
      <c r="A20" s="517" t="str">
        <f>IF(B20&lt;&gt;"",IF(AND(B20&gt;=_TM1,B20&lt;=_TM2,OR(TH!L20="1111",TH!M20="1111")),TH!D20,""),"")</f>
        <v/>
      </c>
      <c r="B20" s="518">
        <f t="shared" si="0"/>
        <v>12</v>
      </c>
      <c r="C20" s="519">
        <f t="shared" si="1"/>
        <v>43100</v>
      </c>
      <c r="D20" s="519" t="s">
        <v>93</v>
      </c>
      <c r="E20" s="519">
        <v>43100</v>
      </c>
      <c r="F20" s="520" t="s">
        <v>97</v>
      </c>
      <c r="G20" s="521"/>
      <c r="H20" s="522"/>
      <c r="I20" s="523"/>
      <c r="J20" s="523"/>
      <c r="K20" s="524">
        <f>SUMIF(KHC,L20,TH)</f>
        <v>0</v>
      </c>
      <c r="L20" s="525" t="s">
        <v>83</v>
      </c>
      <c r="M20" s="525" t="s">
        <v>89</v>
      </c>
      <c r="N20" s="525" t="str">
        <f>IF(AND('331-CT'!$E$7=TH!H20,OR(L20="331",M20="331")),"331",IF(AND(OR(L20="131",M20="131"),H20='131-CT'!$E$7),"131",""))</f>
        <v/>
      </c>
      <c r="O20" s="525" t="str">
        <f>IF(AND($B20&gt;='111'!$N$11,$B20&lt;='111'!$O$11,OR($L20=$O$7,$M20=$O$7)),"x","")</f>
        <v/>
      </c>
      <c r="P20" s="525" t="str">
        <f>IF(AND($L20=$O$7,$B20&lt;'111'!$N$11),"x","")</f>
        <v/>
      </c>
      <c r="Q20" s="525" t="str">
        <f>IF(AND($M20=$O$7,$B20&lt;'111'!$N$11),"x","")</f>
        <v/>
      </c>
      <c r="R20" s="525" t="str">
        <f>IF(ISERROR(FIND('112'!$M$9,G20,1)),"",IF((AND(FIND('112'!$M$9,G20,1)&gt;=1,$B20&gt;='112'!$N$8,$B20&lt;='112'!$O$8,OR($L20='112'!$I$6,$M20='112'!$I$6))),"x",""))</f>
        <v/>
      </c>
      <c r="S20" s="525" t="str">
        <f>IF(ISERROR(FIND('112'!$M$9,G20,1)),"",IF((AND(LEFT(G20,2)=LEFT('112'!$M$9,2),B20&lt;'112'!$N$8,$L20='112'!$I$6)),"x",""))</f>
        <v/>
      </c>
      <c r="T20" s="525" t="str">
        <f>IF(ISERROR(FIND('112'!$M$9,G20,1)),"",IF((AND(RIGHT(G20,2)=RIGHT('112'!$M$9,2),B20&lt;'112'!$N$8,$M20='112'!$I$6)),"x",""))</f>
        <v/>
      </c>
      <c r="U20" s="525" t="str">
        <f>IF(AND(B20&gt;='IN-NX'!$P$3,B20&lt;='IN-NX'!$Q$3,'IN-NX'!$D$7=D20,OR(LEFT(L20,2)="15",AND(LEFT(M20,2)&lt;&gt;"15",LEFT(M20,2)&lt;&gt;"33"))),"x","")</f>
        <v/>
      </c>
      <c r="V20" s="525" t="str">
        <f>IF(AND(OR(LEFT(TH!L20,2)="15",LEFT(TH!M20,2)="15"),'152-CT'!$J$8=TH!F20),"x","")</f>
        <v/>
      </c>
      <c r="W20" s="525" t="str">
        <f>IF(AND(OR(LEFT(TH!L20,2)="15",LEFT(TH!M20,2)="15"),TK!$E$7=TH!F20),"x","")</f>
        <v/>
      </c>
      <c r="X20" s="525" t="str">
        <f>IF(AND('341-CT'!$E$9=H20,OR(LEFT(L20,3)=$X$7,LEFT(M20,3)=$X$7)),"x","")</f>
        <v/>
      </c>
      <c r="Y20" s="525" t="str">
        <f>IF(OR(TH!L20=TH!$Y$7,M20=TH!$Y$7),"x","")</f>
        <v/>
      </c>
      <c r="Z20" s="525" t="str">
        <f>IF(AND(B20&lt;=NKC!$N$8,B20&gt;=NKC!$M$8),"x","")</f>
        <v/>
      </c>
      <c r="AA20" s="526"/>
    </row>
    <row r="21" spans="1:30" s="527" customFormat="1" ht="15.75" customHeight="1">
      <c r="A21" s="517" t="str">
        <f>IF(B21&lt;&gt;"",IF(AND(B21&gt;=_TM1,B21&lt;=_TM2,OR(TH!L21="1111",TH!M21="1111")),TH!D21,""),"")</f>
        <v/>
      </c>
      <c r="B21" s="518">
        <f t="shared" si="0"/>
        <v>12</v>
      </c>
      <c r="C21" s="519">
        <f t="shared" si="1"/>
        <v>43100</v>
      </c>
      <c r="D21" s="519" t="s">
        <v>93</v>
      </c>
      <c r="E21" s="519">
        <v>43100</v>
      </c>
      <c r="F21" s="520" t="s">
        <v>98</v>
      </c>
      <c r="G21" s="521"/>
      <c r="H21" s="522"/>
      <c r="I21" s="523"/>
      <c r="J21" s="523"/>
      <c r="K21" s="524">
        <f>SUMIF(KHN,M21,TH)</f>
        <v>20520950</v>
      </c>
      <c r="L21" s="528" t="s">
        <v>89</v>
      </c>
      <c r="M21" s="525" t="s">
        <v>85</v>
      </c>
      <c r="N21" s="525" t="str">
        <f>IF(AND('331-CT'!$E$7=TH!H21,OR(L21="331",M21="331")),"331",IF(AND(OR(L21="131",M21="131"),H21='131-CT'!$E$7),"131",""))</f>
        <v/>
      </c>
      <c r="O21" s="525" t="str">
        <f>IF(AND($B21&gt;='111'!$N$11,$B21&lt;='111'!$O$11,OR($L21=$O$7,$M21=$O$7)),"x","")</f>
        <v/>
      </c>
      <c r="P21" s="525" t="str">
        <f>IF(AND($L21=$O$7,$B21&lt;'111'!$N$11),"x","")</f>
        <v/>
      </c>
      <c r="Q21" s="525" t="str">
        <f>IF(AND($M21=$O$7,$B21&lt;'111'!$N$11),"x","")</f>
        <v/>
      </c>
      <c r="R21" s="525" t="str">
        <f>IF(ISERROR(FIND('112'!$M$9,G21,1)),"",IF((AND(FIND('112'!$M$9,G21,1)&gt;=1,$B21&gt;='112'!$N$8,$B21&lt;='112'!$O$8,OR($L21='112'!$I$6,$M21='112'!$I$6))),"x",""))</f>
        <v/>
      </c>
      <c r="S21" s="525" t="str">
        <f>IF(ISERROR(FIND('112'!$M$9,G21,1)),"",IF((AND(LEFT(G21,2)=LEFT('112'!$M$9,2),B21&lt;'112'!$N$8,$L21='112'!$I$6)),"x",""))</f>
        <v/>
      </c>
      <c r="T21" s="525" t="str">
        <f>IF(ISERROR(FIND('112'!$M$9,G21,1)),"",IF((AND(RIGHT(G21,2)=RIGHT('112'!$M$9,2),B21&lt;'112'!$N$8,$M21='112'!$I$6)),"x",""))</f>
        <v/>
      </c>
      <c r="U21" s="525" t="str">
        <f>IF(AND(B21&gt;='IN-NX'!$P$3,B21&lt;='IN-NX'!$Q$3,'IN-NX'!$D$7=D21,OR(LEFT(L21,2)="15",AND(LEFT(M21,2)&lt;&gt;"15",LEFT(M21,2)&lt;&gt;"33"))),"x","")</f>
        <v/>
      </c>
      <c r="V21" s="525" t="str">
        <f>IF(AND(OR(LEFT(TH!L21,2)="15",LEFT(TH!M21,2)="15"),'152-CT'!$J$8=TH!F21),"x","")</f>
        <v/>
      </c>
      <c r="W21" s="525" t="str">
        <f>IF(AND(OR(LEFT(TH!L21,2)="15",LEFT(TH!M21,2)="15"),TK!$E$7=TH!F21),"x","")</f>
        <v/>
      </c>
      <c r="X21" s="525" t="str">
        <f>IF(AND('341-CT'!$E$9=H21,OR(LEFT(L21,3)=$X$7,LEFT(M21,3)=$X$7)),"x","")</f>
        <v/>
      </c>
      <c r="Y21" s="525" t="str">
        <f>IF(OR(TH!L21=TH!$Y$7,M21=TH!$Y$7),"x","")</f>
        <v/>
      </c>
      <c r="Z21" s="525" t="str">
        <f>IF(AND(B21&lt;=NKC!$N$8,B21&gt;=NKC!$M$8),"x","")</f>
        <v/>
      </c>
      <c r="AA21" s="526"/>
    </row>
    <row r="22" spans="1:30" s="527" customFormat="1" ht="15.75" customHeight="1">
      <c r="A22" s="517" t="str">
        <f>IF(B22&lt;&gt;"",IF(AND(B22&gt;=_TM1,B22&lt;=_TM2,OR(TH!L22="1111",TH!M22="1111")),TH!D22,""),"")</f>
        <v/>
      </c>
      <c r="B22" s="518">
        <f t="shared" si="0"/>
        <v>12</v>
      </c>
      <c r="C22" s="519">
        <f t="shared" si="1"/>
        <v>43100</v>
      </c>
      <c r="D22" s="519" t="s">
        <v>93</v>
      </c>
      <c r="E22" s="519">
        <v>43100</v>
      </c>
      <c r="F22" s="520" t="s">
        <v>263</v>
      </c>
      <c r="G22" s="521"/>
      <c r="H22" s="522"/>
      <c r="I22" s="523"/>
      <c r="J22" s="523"/>
      <c r="K22" s="524"/>
      <c r="L22" s="528" t="s">
        <v>74</v>
      </c>
      <c r="M22" s="525" t="s">
        <v>89</v>
      </c>
      <c r="N22" s="525" t="str">
        <f>IF(AND('331-CT'!$E$7=TH!H22,OR(L22="331",M22="331")),"331",IF(AND(OR(L22="131",M22="131"),H22='131-CT'!$E$7),"131",""))</f>
        <v/>
      </c>
      <c r="O22" s="525" t="str">
        <f>IF(AND($B22&gt;='111'!$N$11,$B22&lt;='111'!$O$11,OR($L22=$O$7,$M22=$O$7)),"x","")</f>
        <v/>
      </c>
      <c r="P22" s="525" t="str">
        <f>IF(AND($L22=$O$7,$B22&lt;'111'!$N$11),"x","")</f>
        <v/>
      </c>
      <c r="Q22" s="525" t="str">
        <f>IF(AND($M22=$O$7,$B22&lt;'111'!$N$11),"x","")</f>
        <v/>
      </c>
      <c r="R22" s="525" t="str">
        <f>IF(ISERROR(FIND('112'!$M$9,G22,1)),"",IF((AND(FIND('112'!$M$9,G22,1)&gt;=1,$B22&gt;='112'!$N$8,$B22&lt;='112'!$O$8,OR($L22='112'!$I$6,$M22='112'!$I$6))),"x",""))</f>
        <v/>
      </c>
      <c r="S22" s="525" t="str">
        <f>IF(ISERROR(FIND('112'!$M$9,G22,1)),"",IF((AND(LEFT(G22,2)=LEFT('112'!$M$9,2),B22&lt;'112'!$N$8,$L22='112'!$I$6)),"x",""))</f>
        <v/>
      </c>
      <c r="T22" s="525" t="str">
        <f>IF(ISERROR(FIND('112'!$M$9,G22,1)),"",IF((AND(RIGHT(G22,2)=RIGHT('112'!$M$9,2),B22&lt;'112'!$N$8,$M22='112'!$I$6)),"x",""))</f>
        <v/>
      </c>
      <c r="U22" s="525" t="str">
        <f>IF(AND(B22&gt;='IN-NX'!$P$3,B22&lt;='IN-NX'!$Q$3,'IN-NX'!$D$7=D22,OR(LEFT(L22,2)="15",AND(LEFT(M22,2)&lt;&gt;"15",LEFT(M22,2)&lt;&gt;"33"))),"x","")</f>
        <v/>
      </c>
      <c r="V22" s="525" t="str">
        <f>IF(AND(OR(LEFT(TH!L22,2)="15",LEFT(TH!M22,2)="15"),'152-CT'!$J$8=TH!F22),"x","")</f>
        <v/>
      </c>
      <c r="W22" s="525" t="str">
        <f>IF(AND(OR(LEFT(TH!L22,2)="15",LEFT(TH!M22,2)="15"),TK!$E$7=TH!F22),"x","")</f>
        <v/>
      </c>
      <c r="X22" s="525" t="str">
        <f>IF(AND('341-CT'!$E$9=H22,OR(LEFT(L22,3)=$X$7,LEFT(M22,3)=$X$7)),"x","")</f>
        <v/>
      </c>
      <c r="Y22" s="525" t="str">
        <f>IF(OR(TH!L22=TH!$Y$7,M22=TH!$Y$7),"x","")</f>
        <v/>
      </c>
      <c r="Z22" s="525" t="str">
        <f>IF(AND(B22&lt;=NKC!$N$8,B22&gt;=NKC!$M$8),"x","")</f>
        <v/>
      </c>
      <c r="AA22" s="526"/>
    </row>
    <row r="23" spans="1:30" s="503" customFormat="1" ht="15.75" customHeight="1">
      <c r="A23" s="517" t="str">
        <f>IF(B23&lt;&gt;"",IF(AND(B23&gt;=_TM1,B23&lt;=_TM2,OR(TH!L23="1111",TH!M23="1111")),TH!D23,""),"")</f>
        <v/>
      </c>
      <c r="B23" s="531">
        <f t="shared" si="0"/>
        <v>1</v>
      </c>
      <c r="C23" s="671">
        <f t="shared" si="1"/>
        <v>42766</v>
      </c>
      <c r="D23" s="671" t="s">
        <v>476</v>
      </c>
      <c r="E23" s="672">
        <v>42766</v>
      </c>
      <c r="F23" s="673" t="s">
        <v>870</v>
      </c>
      <c r="G23" s="674"/>
      <c r="H23" s="675"/>
      <c r="I23" s="676"/>
      <c r="J23" s="676"/>
      <c r="K23" s="677">
        <v>11962000</v>
      </c>
      <c r="L23" s="678" t="s">
        <v>81</v>
      </c>
      <c r="M23" s="678" t="s">
        <v>225</v>
      </c>
      <c r="N23" s="525" t="str">
        <f>IF(AND('331-CT'!$E$7=TH!H23,OR(L23="331",M23="331")),"331",IF(AND(OR(L23="131",M23="131"),H23='131-CT'!$E$7),"131",""))</f>
        <v/>
      </c>
      <c r="O23" s="525" t="str">
        <f>IF(AND($B23&gt;='111'!$N$11,$B23&lt;='111'!$O$11,OR($L23=$O$7,$M23=$O$7)),"x","")</f>
        <v/>
      </c>
      <c r="P23" s="525" t="str">
        <f>IF(AND($L23=$O$7,$B23&lt;'111'!$N$11),"x","")</f>
        <v/>
      </c>
      <c r="Q23" s="525" t="str">
        <f>IF(AND($M23=$O$7,$B23&lt;'111'!$N$11),"x","")</f>
        <v/>
      </c>
      <c r="R23" s="525" t="str">
        <f>IF(ISERROR(FIND('112'!$M$9,G23,1)),"",IF((AND(FIND('112'!$M$9,G23,1)&gt;=1,$B23&gt;='112'!$N$8,$B23&lt;='112'!$O$8,OR($L23='112'!$I$6,$M23='112'!$I$6))),"x",""))</f>
        <v/>
      </c>
      <c r="S23" s="525" t="str">
        <f>IF(ISERROR(FIND('112'!$M$9,G23,1)),"",IF((AND(LEFT(G23,2)=LEFT('112'!$M$9,2),B23&lt;'112'!$N$8,$L23='112'!$I$6)),"x",""))</f>
        <v/>
      </c>
      <c r="T23" s="525" t="str">
        <f>IF(ISERROR(FIND('112'!$M$9,G23,1)),"",IF((AND(RIGHT(G23,2)=RIGHT('112'!$M$9,2),B23&lt;'112'!$N$8,$M23='112'!$I$6)),"x",""))</f>
        <v/>
      </c>
      <c r="U23" s="525" t="str">
        <f>IF(AND(B23&gt;='IN-NX'!$P$3,B23&lt;='IN-NX'!$Q$3,'IN-NX'!$D$7=D23,OR(LEFT(L23,2)="15",AND(LEFT(M23,2)&lt;&gt;"15",LEFT(M23,2)&lt;&gt;"33"))),"x","")</f>
        <v/>
      </c>
      <c r="V23" s="525" t="str">
        <f>IF(AND(OR(LEFT(TH!L23,2)="15",LEFT(TH!M23,2)="15"),'152-CT'!$J$8=TH!F23),"x","")</f>
        <v/>
      </c>
      <c r="W23" s="525" t="str">
        <f>IF(AND(OR(LEFT(TH!L23,2)="15",LEFT(TH!M23,2)="15"),TK!$E$7=TH!F23),"x","")</f>
        <v/>
      </c>
      <c r="X23" s="525" t="str">
        <f>IF(AND('341-CT'!$E$9=H23,OR(LEFT(L23,3)=$X$7,LEFT(M23,3)=$X$7)),"x","")</f>
        <v/>
      </c>
      <c r="Y23" s="525" t="str">
        <f>IF(OR(TH!L23=TH!$Y$7,M23=TH!$Y$7),"x","")</f>
        <v>x</v>
      </c>
      <c r="Z23" s="525" t="str">
        <f>IF(AND(B23&lt;=NKC!$N$8,B23&gt;=NKC!$M$8),"x","")</f>
        <v>x</v>
      </c>
      <c r="AA23" s="536"/>
      <c r="AD23" s="536"/>
    </row>
    <row r="24" spans="1:30" s="503" customFormat="1" ht="15.75" customHeight="1">
      <c r="A24" s="517" t="str">
        <f>IF(B24&lt;&gt;"",IF(AND(B24&gt;=_TM1,B24&lt;=_TM2,OR(TH!L24="1111",TH!M24="1111")),TH!D24,""),"")</f>
        <v/>
      </c>
      <c r="B24" s="531">
        <f t="shared" si="0"/>
        <v>1</v>
      </c>
      <c r="C24" s="671">
        <f t="shared" si="1"/>
        <v>42766</v>
      </c>
      <c r="D24" s="671" t="s">
        <v>476</v>
      </c>
      <c r="E24" s="672">
        <v>42766</v>
      </c>
      <c r="F24" s="673" t="s">
        <v>871</v>
      </c>
      <c r="G24" s="674"/>
      <c r="H24" s="675"/>
      <c r="I24" s="676"/>
      <c r="J24" s="676"/>
      <c r="K24" s="677">
        <v>3937000</v>
      </c>
      <c r="L24" s="678" t="s">
        <v>158</v>
      </c>
      <c r="M24" s="678" t="s">
        <v>225</v>
      </c>
      <c r="N24" s="525" t="str">
        <f>IF(AND('331-CT'!$E$7=TH!H24,OR(L24="331",M24="331")),"331",IF(AND(OR(L24="131",M24="131"),H24='131-CT'!$E$7),"131",""))</f>
        <v/>
      </c>
      <c r="O24" s="525" t="str">
        <f>IF(AND($B24&gt;='111'!$N$11,$B24&lt;='111'!$O$11,OR($L24=$O$7,$M24=$O$7)),"x","")</f>
        <v/>
      </c>
      <c r="P24" s="525" t="str">
        <f>IF(AND($L24=$O$7,$B24&lt;'111'!$N$11),"x","")</f>
        <v/>
      </c>
      <c r="Q24" s="525" t="str">
        <f>IF(AND($M24=$O$7,$B24&lt;'111'!$N$11),"x","")</f>
        <v/>
      </c>
      <c r="R24" s="525" t="str">
        <f>IF(ISERROR(FIND('112'!$M$9,G24,1)),"",IF((AND(FIND('112'!$M$9,G24,1)&gt;=1,$B24&gt;='112'!$N$8,$B24&lt;='112'!$O$8,OR($L24='112'!$I$6,$M24='112'!$I$6))),"x",""))</f>
        <v/>
      </c>
      <c r="S24" s="525" t="str">
        <f>IF(ISERROR(FIND('112'!$M$9,G24,1)),"",IF((AND(LEFT(G24,2)=LEFT('112'!$M$9,2),B24&lt;'112'!$N$8,$L24='112'!$I$6)),"x",""))</f>
        <v/>
      </c>
      <c r="T24" s="525" t="str">
        <f>IF(ISERROR(FIND('112'!$M$9,G24,1)),"",IF((AND(RIGHT(G24,2)=RIGHT('112'!$M$9,2),B24&lt;'112'!$N$8,$M24='112'!$I$6)),"x",""))</f>
        <v/>
      </c>
      <c r="U24" s="525" t="str">
        <f>IF(AND(B24&gt;='IN-NX'!$P$3,B24&lt;='IN-NX'!$Q$3,'IN-NX'!$D$7=D24,OR(LEFT(L24,2)="15",AND(LEFT(M24,2)&lt;&gt;"15",LEFT(M24,2)&lt;&gt;"33"))),"x","")</f>
        <v/>
      </c>
      <c r="V24" s="525" t="str">
        <f>IF(AND(OR(LEFT(TH!L24,2)="15",LEFT(TH!M24,2)="15"),'152-CT'!$J$8=TH!F24),"x","")</f>
        <v/>
      </c>
      <c r="W24" s="525" t="str">
        <f>IF(AND(OR(LEFT(TH!L24,2)="15",LEFT(TH!M24,2)="15"),TK!$E$7=TH!F24),"x","")</f>
        <v/>
      </c>
      <c r="X24" s="525" t="str">
        <f>IF(AND('341-CT'!$E$9=H24,OR(LEFT(L24,3)=$X$7,LEFT(M24,3)=$X$7)),"x","")</f>
        <v/>
      </c>
      <c r="Y24" s="525" t="str">
        <f>IF(OR(TH!L24=TH!$Y$7,M24=TH!$Y$7),"x","")</f>
        <v>x</v>
      </c>
      <c r="Z24" s="525" t="str">
        <f>IF(AND(B24&lt;=NKC!$N$8,B24&gt;=NKC!$M$8),"x","")</f>
        <v>x</v>
      </c>
      <c r="AA24" s="536"/>
      <c r="AD24" s="536"/>
    </row>
    <row r="25" spans="1:30" s="503" customFormat="1" ht="15.75" customHeight="1">
      <c r="A25" s="517" t="str">
        <f>IF(B25&lt;&gt;"",IF(AND(B25&gt;=_TM1,B25&lt;=_TM2,OR(TH!L25="1111",TH!M25="1111")),TH!D25,""),"")</f>
        <v>C12</v>
      </c>
      <c r="B25" s="531">
        <f t="shared" si="0"/>
        <v>1</v>
      </c>
      <c r="C25" s="671">
        <f t="shared" si="1"/>
        <v>42766</v>
      </c>
      <c r="D25" s="679" t="s">
        <v>872</v>
      </c>
      <c r="E25" s="672">
        <v>42766</v>
      </c>
      <c r="F25" s="673" t="s">
        <v>890</v>
      </c>
      <c r="G25" s="674"/>
      <c r="H25" s="472" t="s">
        <v>460</v>
      </c>
      <c r="I25" s="676"/>
      <c r="J25" s="676"/>
      <c r="K25" s="677">
        <v>14229605</v>
      </c>
      <c r="L25" s="678" t="s">
        <v>225</v>
      </c>
      <c r="M25" s="678" t="s">
        <v>45</v>
      </c>
      <c r="N25" s="525" t="str">
        <f>IF(AND('331-CT'!$E$7=TH!H25,OR(L25="331",M25="331")),"331",IF(AND(OR(L25="131",M25="131"),H25='131-CT'!$E$7),"131",""))</f>
        <v/>
      </c>
      <c r="O25" s="525" t="str">
        <f>IF(AND($B25&gt;='111'!$N$11,$B25&lt;='111'!$O$11,OR($L25=$O$7,$M25=$O$7)),"x","")</f>
        <v/>
      </c>
      <c r="P25" s="525" t="str">
        <f>IF(AND($L25=$O$7,$B25&lt;'111'!$N$11),"x","")</f>
        <v/>
      </c>
      <c r="Q25" s="525" t="str">
        <f>IF(AND($M25=$O$7,$B25&lt;'111'!$N$11),"x","")</f>
        <v>x</v>
      </c>
      <c r="R25" s="525" t="str">
        <f>IF(ISERROR(FIND('112'!$M$9,G25,1)),"",IF((AND(FIND('112'!$M$9,G25,1)&gt;=1,$B25&gt;='112'!$N$8,$B25&lt;='112'!$O$8,OR($L25='112'!$I$6,$M25='112'!$I$6))),"x",""))</f>
        <v/>
      </c>
      <c r="S25" s="525" t="str">
        <f>IF(ISERROR(FIND('112'!$M$9,G25,1)),"",IF((AND(LEFT(G25,2)=LEFT('112'!$M$9,2),B25&lt;'112'!$N$8,$L25='112'!$I$6)),"x",""))</f>
        <v/>
      </c>
      <c r="T25" s="525" t="str">
        <f>IF(ISERROR(FIND('112'!$M$9,G25,1)),"",IF((AND(RIGHT(G25,2)=RIGHT('112'!$M$9,2),B25&lt;'112'!$N$8,$M25='112'!$I$6)),"x",""))</f>
        <v/>
      </c>
      <c r="U25" s="525" t="str">
        <f>IF(AND(B25&gt;='IN-NX'!$P$3,B25&lt;='IN-NX'!$Q$3,'IN-NX'!$D$7=D25,OR(LEFT(L25,2)="15",AND(LEFT(M25,2)&lt;&gt;"15",LEFT(M25,2)&lt;&gt;"33"))),"x","")</f>
        <v/>
      </c>
      <c r="V25" s="525" t="str">
        <f>IF(AND(OR(LEFT(TH!L25,2)="15",LEFT(TH!M25,2)="15"),'152-CT'!$J$8=TH!F25),"x","")</f>
        <v/>
      </c>
      <c r="W25" s="525" t="str">
        <f>IF(AND(OR(LEFT(TH!L25,2)="15",LEFT(TH!M25,2)="15"),TK!$E$7=TH!F25),"x","")</f>
        <v/>
      </c>
      <c r="X25" s="525" t="str">
        <f>IF(AND('341-CT'!$E$9=H25,OR(LEFT(L25,3)=$X$7,LEFT(M25,3)=$X$7)),"x","")</f>
        <v/>
      </c>
      <c r="Y25" s="525" t="str">
        <f>IF(OR(TH!L25=TH!$Y$7,M25=TH!$Y$7),"x","")</f>
        <v>x</v>
      </c>
      <c r="Z25" s="525" t="str">
        <f>IF(AND(B25&lt;=NKC!$N$8,B25&gt;=NKC!$M$8),"x","")</f>
        <v>x</v>
      </c>
      <c r="AA25" s="536"/>
      <c r="AD25" s="536"/>
    </row>
    <row r="26" spans="1:30" s="503" customFormat="1" ht="15.75" customHeight="1">
      <c r="A26" s="517" t="str">
        <f>IF(B26&lt;&gt;"",IF(AND(B26&gt;=_TM1,B26&lt;=_TM2,OR(TH!L26="1111",TH!M26="1111")),TH!D26,""),"")</f>
        <v/>
      </c>
      <c r="B26" s="531">
        <f t="shared" si="0"/>
        <v>1</v>
      </c>
      <c r="C26" s="671">
        <f t="shared" si="1"/>
        <v>42766</v>
      </c>
      <c r="D26" s="671" t="s">
        <v>476</v>
      </c>
      <c r="E26" s="672">
        <v>42766</v>
      </c>
      <c r="F26" s="673" t="s">
        <v>873</v>
      </c>
      <c r="G26" s="674" t="s">
        <v>874</v>
      </c>
      <c r="H26" s="675"/>
      <c r="I26" s="676"/>
      <c r="J26" s="676"/>
      <c r="K26" s="677">
        <f>ROUND(K23*$G26,0)</f>
        <v>956960</v>
      </c>
      <c r="L26" s="680" t="s">
        <v>225</v>
      </c>
      <c r="M26" s="680" t="s">
        <v>302</v>
      </c>
      <c r="N26" s="525" t="str">
        <f>IF(AND('331-CT'!$E$7=TH!H26,OR(L26="331",M26="331")),"331",IF(AND(OR(L26="131",M26="131"),H26='131-CT'!$E$7),"131",""))</f>
        <v/>
      </c>
      <c r="O26" s="525" t="str">
        <f>IF(AND($B26&gt;='111'!$N$11,$B26&lt;='111'!$O$11,OR($L26=$O$7,$M26=$O$7)),"x","")</f>
        <v/>
      </c>
      <c r="P26" s="525" t="str">
        <f>IF(AND($L26=$O$7,$B26&lt;'111'!$N$11),"x","")</f>
        <v/>
      </c>
      <c r="Q26" s="525" t="str">
        <f>IF(AND($M26=$O$7,$B26&lt;'111'!$N$11),"x","")</f>
        <v/>
      </c>
      <c r="R26" s="525" t="str">
        <f>IF(ISERROR(FIND('112'!$M$9,G26,1)),"",IF((AND(FIND('112'!$M$9,G26,1)&gt;=1,$B26&gt;='112'!$N$8,$B26&lt;='112'!$O$8,OR($L26='112'!$I$6,$M26='112'!$I$6))),"x",""))</f>
        <v/>
      </c>
      <c r="S26" s="525" t="str">
        <f>IF(ISERROR(FIND('112'!$M$9,G26,1)),"",IF((AND(LEFT(G26,2)=LEFT('112'!$M$9,2),B26&lt;'112'!$N$8,$L26='112'!$I$6)),"x",""))</f>
        <v/>
      </c>
      <c r="T26" s="525" t="str">
        <f>IF(ISERROR(FIND('112'!$M$9,G26,1)),"",IF((AND(RIGHT(G26,2)=RIGHT('112'!$M$9,2),B26&lt;'112'!$N$8,$M26='112'!$I$6)),"x",""))</f>
        <v/>
      </c>
      <c r="U26" s="525" t="str">
        <f>IF(AND(B26&gt;='IN-NX'!$P$3,B26&lt;='IN-NX'!$Q$3,'IN-NX'!$D$7=D26,OR(LEFT(L26,2)="15",AND(LEFT(M26,2)&lt;&gt;"15",LEFT(M26,2)&lt;&gt;"33"))),"x","")</f>
        <v/>
      </c>
      <c r="V26" s="525" t="str">
        <f>IF(AND(OR(LEFT(TH!L26,2)="15",LEFT(TH!M26,2)="15"),'152-CT'!$J$8=TH!F26),"x","")</f>
        <v/>
      </c>
      <c r="W26" s="525" t="str">
        <f>IF(AND(OR(LEFT(TH!L26,2)="15",LEFT(TH!M26,2)="15"),TK!$E$7=TH!F26),"x","")</f>
        <v/>
      </c>
      <c r="X26" s="525" t="str">
        <f>IF(AND('341-CT'!$E$9=H26,OR(LEFT(L26,3)=$X$7,LEFT(M26,3)=$X$7)),"x","")</f>
        <v/>
      </c>
      <c r="Y26" s="525" t="str">
        <f>IF(OR(TH!L26=TH!$Y$7,M26=TH!$Y$7),"x","")</f>
        <v>x</v>
      </c>
      <c r="Z26" s="525" t="str">
        <f>IF(AND(B26&lt;=NKC!$N$8,B26&gt;=NKC!$M$8),"x","")</f>
        <v>x</v>
      </c>
      <c r="AA26" s="536"/>
      <c r="AD26" s="536"/>
    </row>
    <row r="27" spans="1:30" s="503" customFormat="1" ht="15.75" customHeight="1">
      <c r="A27" s="517" t="str">
        <f>IF(B27&lt;&gt;"",IF(AND(B27&gt;=_TM1,B27&lt;=_TM2,OR(TH!L27="1111",TH!M27="1111")),TH!D27,""),"")</f>
        <v/>
      </c>
      <c r="B27" s="531">
        <f t="shared" si="0"/>
        <v>1</v>
      </c>
      <c r="C27" s="671">
        <f t="shared" si="1"/>
        <v>42766</v>
      </c>
      <c r="D27" s="671" t="s">
        <v>476</v>
      </c>
      <c r="E27" s="672">
        <v>42766</v>
      </c>
      <c r="F27" s="673" t="s">
        <v>875</v>
      </c>
      <c r="G27" s="674"/>
      <c r="H27" s="675"/>
      <c r="I27" s="676"/>
      <c r="J27" s="676"/>
      <c r="K27" s="677">
        <f>ROUND(G26*K24,0)</f>
        <v>314960</v>
      </c>
      <c r="L27" s="678" t="s">
        <v>225</v>
      </c>
      <c r="M27" s="681" t="s">
        <v>302</v>
      </c>
      <c r="N27" s="525" t="str">
        <f>IF(AND('331-CT'!$E$7=TH!H27,OR(L27="331",M27="331")),"331",IF(AND(OR(L27="131",M27="131"),H27='131-CT'!$E$7),"131",""))</f>
        <v/>
      </c>
      <c r="O27" s="525" t="str">
        <f>IF(AND($B27&gt;='111'!$N$11,$B27&lt;='111'!$O$11,OR($L27=$O$7,$M27=$O$7)),"x","")</f>
        <v/>
      </c>
      <c r="P27" s="525" t="str">
        <f>IF(AND($L27=$O$7,$B27&lt;'111'!$N$11),"x","")</f>
        <v/>
      </c>
      <c r="Q27" s="525" t="str">
        <f>IF(AND($M27=$O$7,$B27&lt;'111'!$N$11),"x","")</f>
        <v/>
      </c>
      <c r="R27" s="525" t="str">
        <f>IF(ISERROR(FIND('112'!$M$9,G27,1)),"",IF((AND(FIND('112'!$M$9,G27,1)&gt;=1,$B27&gt;='112'!$N$8,$B27&lt;='112'!$O$8,OR($L27='112'!$I$6,$M27='112'!$I$6))),"x",""))</f>
        <v/>
      </c>
      <c r="S27" s="525" t="str">
        <f>IF(ISERROR(FIND('112'!$M$9,G27,1)),"",IF((AND(LEFT(G27,2)=LEFT('112'!$M$9,2),B27&lt;'112'!$N$8,$L27='112'!$I$6)),"x",""))</f>
        <v/>
      </c>
      <c r="T27" s="525" t="str">
        <f>IF(ISERROR(FIND('112'!$M$9,G27,1)),"",IF((AND(RIGHT(G27,2)=RIGHT('112'!$M$9,2),B27&lt;'112'!$N$8,$M27='112'!$I$6)),"x",""))</f>
        <v/>
      </c>
      <c r="U27" s="525" t="str">
        <f>IF(AND(B27&gt;='IN-NX'!$P$3,B27&lt;='IN-NX'!$Q$3,'IN-NX'!$D$7=D27,OR(LEFT(L27,2)="15",AND(LEFT(M27,2)&lt;&gt;"15",LEFT(M27,2)&lt;&gt;"33"))),"x","")</f>
        <v/>
      </c>
      <c r="V27" s="525" t="str">
        <f>IF(AND(OR(LEFT(TH!L27,2)="15",LEFT(TH!M27,2)="15"),'152-CT'!$J$8=TH!F27),"x","")</f>
        <v/>
      </c>
      <c r="W27" s="525" t="str">
        <f>IF(AND(OR(LEFT(TH!L27,2)="15",LEFT(TH!M27,2)="15"),TK!$E$7=TH!F27),"x","")</f>
        <v/>
      </c>
      <c r="X27" s="525" t="str">
        <f>IF(AND('341-CT'!$E$9=H27,OR(LEFT(L27,3)=$X$7,LEFT(M27,3)=$X$7)),"x","")</f>
        <v/>
      </c>
      <c r="Y27" s="525" t="str">
        <f>IF(OR(TH!L27=TH!$Y$7,M27=TH!$Y$7),"x","")</f>
        <v>x</v>
      </c>
      <c r="Z27" s="525" t="str">
        <f>IF(AND(B27&lt;=NKC!$N$8,B27&gt;=NKC!$M$8),"x","")</f>
        <v>x</v>
      </c>
      <c r="AA27" s="536"/>
      <c r="AD27" s="536"/>
    </row>
    <row r="28" spans="1:30" s="503" customFormat="1" ht="15.75" customHeight="1">
      <c r="A28" s="517" t="str">
        <f>IF(B28&lt;&gt;"",IF(AND(B28&gt;=_TM1,B28&lt;=_TM2,OR(TH!L28="1111",TH!M28="1111")),TH!D28,""),"")</f>
        <v/>
      </c>
      <c r="B28" s="531">
        <f t="shared" si="0"/>
        <v>1</v>
      </c>
      <c r="C28" s="671">
        <f t="shared" si="1"/>
        <v>42766</v>
      </c>
      <c r="D28" s="679" t="s">
        <v>476</v>
      </c>
      <c r="E28" s="672">
        <v>42766</v>
      </c>
      <c r="F28" s="673" t="s">
        <v>876</v>
      </c>
      <c r="G28" s="674" t="s">
        <v>877</v>
      </c>
      <c r="H28" s="472"/>
      <c r="I28" s="676"/>
      <c r="J28" s="676"/>
      <c r="K28" s="677">
        <f>ROUND(K23*$G28,0)</f>
        <v>2153160</v>
      </c>
      <c r="L28" s="680" t="s">
        <v>224</v>
      </c>
      <c r="M28" s="680" t="s">
        <v>302</v>
      </c>
      <c r="N28" s="525" t="str">
        <f>IF(AND('331-CT'!$E$7=TH!H28,OR(L28="331",M28="331")),"331",IF(AND(OR(L28="131",M28="131"),H28='131-CT'!$E$7),"131",""))</f>
        <v/>
      </c>
      <c r="O28" s="525" t="str">
        <f>IF(AND($B28&gt;='111'!$N$11,$B28&lt;='111'!$O$11,OR($L28=$O$7,$M28=$O$7)),"x","")</f>
        <v/>
      </c>
      <c r="P28" s="525" t="str">
        <f>IF(AND($L28=$O$7,$B28&lt;'111'!$N$11),"x","")</f>
        <v/>
      </c>
      <c r="Q28" s="525" t="str">
        <f>IF(AND($M28=$O$7,$B28&lt;'111'!$N$11),"x","")</f>
        <v/>
      </c>
      <c r="R28" s="525" t="str">
        <f>IF(ISERROR(FIND('112'!$M$9,G28,1)),"",IF((AND(FIND('112'!$M$9,G28,1)&gt;=1,$B28&gt;='112'!$N$8,$B28&lt;='112'!$O$8,OR($L28='112'!$I$6,$M28='112'!$I$6))),"x",""))</f>
        <v/>
      </c>
      <c r="S28" s="525" t="str">
        <f>IF(ISERROR(FIND('112'!$M$9,G28,1)),"",IF((AND(LEFT(G28,2)=LEFT('112'!$M$9,2),B28&lt;'112'!$N$8,$L28='112'!$I$6)),"x",""))</f>
        <v/>
      </c>
      <c r="T28" s="525" t="str">
        <f>IF(ISERROR(FIND('112'!$M$9,G28,1)),"",IF((AND(RIGHT(G28,2)=RIGHT('112'!$M$9,2),B28&lt;'112'!$N$8,$M28='112'!$I$6)),"x",""))</f>
        <v/>
      </c>
      <c r="U28" s="525" t="str">
        <f>IF(AND(B28&gt;='IN-NX'!$P$3,B28&lt;='IN-NX'!$Q$3,'IN-NX'!$D$7=D28,OR(LEFT(L28,2)="15",AND(LEFT(M28,2)&lt;&gt;"15",LEFT(M28,2)&lt;&gt;"33"))),"x","")</f>
        <v/>
      </c>
      <c r="V28" s="525" t="str">
        <f>IF(AND(OR(LEFT(TH!L28,2)="15",LEFT(TH!M28,2)="15"),'152-CT'!$J$8=TH!F28),"x","")</f>
        <v/>
      </c>
      <c r="W28" s="525" t="str">
        <f>IF(AND(OR(LEFT(TH!L28,2)="15",LEFT(TH!M28,2)="15"),TK!$E$7=TH!F28),"x","")</f>
        <v/>
      </c>
      <c r="X28" s="525" t="str">
        <f>IF(AND('341-CT'!$E$9=H28,OR(LEFT(L28,3)=$X$7,LEFT(M28,3)=$X$7)),"x","")</f>
        <v/>
      </c>
      <c r="Y28" s="525" t="str">
        <f>IF(OR(TH!L28=TH!$Y$7,M28=TH!$Y$7),"x","")</f>
        <v/>
      </c>
      <c r="Z28" s="525" t="str">
        <f>IF(AND(B28&lt;=NKC!$N$8,B28&gt;=NKC!$M$8),"x","")</f>
        <v>x</v>
      </c>
      <c r="AA28" s="536"/>
      <c r="AD28" s="536"/>
    </row>
    <row r="29" spans="1:30" s="503" customFormat="1" ht="15.75" customHeight="1">
      <c r="A29" s="517" t="str">
        <f>IF(B29&lt;&gt;"",IF(AND(B29&gt;=_TM1,B29&lt;=_TM2,OR(TH!L29="1111",TH!M29="1111")),TH!D29,""),"")</f>
        <v/>
      </c>
      <c r="B29" s="531">
        <f t="shared" si="0"/>
        <v>1</v>
      </c>
      <c r="C29" s="671">
        <f t="shared" si="1"/>
        <v>42766</v>
      </c>
      <c r="D29" s="671" t="s">
        <v>476</v>
      </c>
      <c r="E29" s="672">
        <v>42766</v>
      </c>
      <c r="F29" s="673" t="s">
        <v>878</v>
      </c>
      <c r="G29" s="674"/>
      <c r="H29" s="675"/>
      <c r="I29" s="676"/>
      <c r="J29" s="676"/>
      <c r="K29" s="677">
        <f>ROUND(K24*$G28,0)</f>
        <v>708660</v>
      </c>
      <c r="L29" s="678" t="s">
        <v>158</v>
      </c>
      <c r="M29" s="680" t="s">
        <v>302</v>
      </c>
      <c r="N29" s="525" t="str">
        <f>IF(AND('331-CT'!$E$7=TH!H29,OR(L29="331",M29="331")),"331",IF(AND(OR(L29="131",M29="131"),H29='131-CT'!$E$7),"131",""))</f>
        <v/>
      </c>
      <c r="O29" s="525" t="str">
        <f>IF(AND($B29&gt;='111'!$N$11,$B29&lt;='111'!$O$11,OR($L29=$O$7,$M29=$O$7)),"x","")</f>
        <v/>
      </c>
      <c r="P29" s="525" t="str">
        <f>IF(AND($L29=$O$7,$B29&lt;'111'!$N$11),"x","")</f>
        <v/>
      </c>
      <c r="Q29" s="525" t="str">
        <f>IF(AND($M29=$O$7,$B29&lt;'111'!$N$11),"x","")</f>
        <v/>
      </c>
      <c r="R29" s="525" t="str">
        <f>IF(ISERROR(FIND('112'!$M$9,G29,1)),"",IF((AND(FIND('112'!$M$9,G29,1)&gt;=1,$B29&gt;='112'!$N$8,$B29&lt;='112'!$O$8,OR($L29='112'!$I$6,$M29='112'!$I$6))),"x",""))</f>
        <v/>
      </c>
      <c r="S29" s="525" t="str">
        <f>IF(ISERROR(FIND('112'!$M$9,G29,1)),"",IF((AND(LEFT(G29,2)=LEFT('112'!$M$9,2),B29&lt;'112'!$N$8,$L29='112'!$I$6)),"x",""))</f>
        <v/>
      </c>
      <c r="T29" s="525" t="str">
        <f>IF(ISERROR(FIND('112'!$M$9,G29,1)),"",IF((AND(RIGHT(G29,2)=RIGHT('112'!$M$9,2),B29&lt;'112'!$N$8,$M29='112'!$I$6)),"x",""))</f>
        <v/>
      </c>
      <c r="U29" s="525" t="str">
        <f>IF(AND(B29&gt;='IN-NX'!$P$3,B29&lt;='IN-NX'!$Q$3,'IN-NX'!$D$7=D29,OR(LEFT(L29,2)="15",AND(LEFT(M29,2)&lt;&gt;"15",LEFT(M29,2)&lt;&gt;"33"))),"x","")</f>
        <v/>
      </c>
      <c r="V29" s="525" t="str">
        <f>IF(AND(OR(LEFT(TH!L29,2)="15",LEFT(TH!M29,2)="15"),'152-CT'!$J$8=TH!F29),"x","")</f>
        <v/>
      </c>
      <c r="W29" s="525" t="str">
        <f>IF(AND(OR(LEFT(TH!L29,2)="15",LEFT(TH!M29,2)="15"),TK!$E$7=TH!F29),"x","")</f>
        <v/>
      </c>
      <c r="X29" s="525" t="str">
        <f>IF(AND('341-CT'!$E$9=H29,OR(LEFT(L29,3)=$X$7,LEFT(M29,3)=$X$7)),"x","")</f>
        <v/>
      </c>
      <c r="Y29" s="525" t="str">
        <f>IF(OR(TH!L29=TH!$Y$7,M29=TH!$Y$7),"x","")</f>
        <v/>
      </c>
      <c r="Z29" s="525" t="str">
        <f>IF(AND(B29&lt;=NKC!$N$8,B29&gt;=NKC!$M$8),"x","")</f>
        <v>x</v>
      </c>
      <c r="AA29" s="536"/>
      <c r="AD29" s="536"/>
    </row>
    <row r="30" spans="1:30" s="503" customFormat="1" ht="15.75" customHeight="1">
      <c r="A30" s="517" t="str">
        <f>IF(B30&lt;&gt;"",IF(AND(B30&gt;=_TM1,B30&lt;=_TM2,OR(TH!L30="1111",TH!M30="1111")),TH!D30,""),"")</f>
        <v/>
      </c>
      <c r="B30" s="531">
        <f t="shared" si="0"/>
        <v>1</v>
      </c>
      <c r="C30" s="671">
        <f t="shared" si="1"/>
        <v>42766</v>
      </c>
      <c r="D30" s="671" t="s">
        <v>476</v>
      </c>
      <c r="E30" s="672">
        <v>42766</v>
      </c>
      <c r="F30" s="673" t="s">
        <v>879</v>
      </c>
      <c r="G30" s="674" t="s">
        <v>880</v>
      </c>
      <c r="H30" s="675"/>
      <c r="I30" s="676"/>
      <c r="J30" s="676"/>
      <c r="K30" s="677">
        <f>ROUND(K23*$G30,0)</f>
        <v>179430</v>
      </c>
      <c r="L30" s="680" t="s">
        <v>225</v>
      </c>
      <c r="M30" s="680" t="s">
        <v>301</v>
      </c>
      <c r="N30" s="525" t="str">
        <f>IF(AND('331-CT'!$E$7=TH!H30,OR(L30="331",M30="331")),"331",IF(AND(OR(L30="131",M30="131"),H30='131-CT'!$E$7),"131",""))</f>
        <v/>
      </c>
      <c r="O30" s="525" t="str">
        <f>IF(AND($B30&gt;='111'!$N$11,$B30&lt;='111'!$O$11,OR($L30=$O$7,$M30=$O$7)),"x","")</f>
        <v/>
      </c>
      <c r="P30" s="525" t="str">
        <f>IF(AND($L30=$O$7,$B30&lt;'111'!$N$11),"x","")</f>
        <v/>
      </c>
      <c r="Q30" s="525" t="str">
        <f>IF(AND($M30=$O$7,$B30&lt;'111'!$N$11),"x","")</f>
        <v/>
      </c>
      <c r="R30" s="525" t="str">
        <f>IF(ISERROR(FIND('112'!$M$9,G30,1)),"",IF((AND(FIND('112'!$M$9,G30,1)&gt;=1,$B30&gt;='112'!$N$8,$B30&lt;='112'!$O$8,OR($L30='112'!$I$6,$M30='112'!$I$6))),"x",""))</f>
        <v/>
      </c>
      <c r="S30" s="525" t="str">
        <f>IF(ISERROR(FIND('112'!$M$9,G30,1)),"",IF((AND(LEFT(G30,2)=LEFT('112'!$M$9,2),B30&lt;'112'!$N$8,$L30='112'!$I$6)),"x",""))</f>
        <v/>
      </c>
      <c r="T30" s="525" t="str">
        <f>IF(ISERROR(FIND('112'!$M$9,G30,1)),"",IF((AND(RIGHT(G30,2)=RIGHT('112'!$M$9,2),B30&lt;'112'!$N$8,$M30='112'!$I$6)),"x",""))</f>
        <v/>
      </c>
      <c r="U30" s="525" t="str">
        <f>IF(AND(B30&gt;='IN-NX'!$P$3,B30&lt;='IN-NX'!$Q$3,'IN-NX'!$D$7=D30,OR(LEFT(L30,2)="15",AND(LEFT(M30,2)&lt;&gt;"15",LEFT(M30,2)&lt;&gt;"33"))),"x","")</f>
        <v/>
      </c>
      <c r="V30" s="525" t="str">
        <f>IF(AND(OR(LEFT(TH!L30,2)="15",LEFT(TH!M30,2)="15"),'152-CT'!$J$8=TH!F30),"x","")</f>
        <v/>
      </c>
      <c r="W30" s="525" t="str">
        <f>IF(AND(OR(LEFT(TH!L30,2)="15",LEFT(TH!M30,2)="15"),TK!$E$7=TH!F30),"x","")</f>
        <v/>
      </c>
      <c r="X30" s="525" t="str">
        <f>IF(AND('341-CT'!$E$9=H30,OR(LEFT(L30,3)=$X$7,LEFT(M30,3)=$X$7)),"x","")</f>
        <v/>
      </c>
      <c r="Y30" s="525" t="str">
        <f>IF(OR(TH!L30=TH!$Y$7,M30=TH!$Y$7),"x","")</f>
        <v>x</v>
      </c>
      <c r="Z30" s="525" t="str">
        <f>IF(AND(B30&lt;=NKC!$N$8,B30&gt;=NKC!$M$8),"x","")</f>
        <v>x</v>
      </c>
      <c r="AA30" s="536"/>
      <c r="AD30" s="536"/>
    </row>
    <row r="31" spans="1:30" s="503" customFormat="1" ht="15.75" customHeight="1">
      <c r="A31" s="517" t="str">
        <f>IF(B31&lt;&gt;"",IF(AND(B31&gt;=_TM1,B31&lt;=_TM2,OR(TH!L31="1111",TH!M31="1111")),TH!D31,""),"")</f>
        <v/>
      </c>
      <c r="B31" s="531">
        <f t="shared" si="0"/>
        <v>1</v>
      </c>
      <c r="C31" s="671">
        <f t="shared" si="1"/>
        <v>42766</v>
      </c>
      <c r="D31" s="679" t="s">
        <v>476</v>
      </c>
      <c r="E31" s="672">
        <v>42766</v>
      </c>
      <c r="F31" s="673" t="s">
        <v>881</v>
      </c>
      <c r="G31" s="674"/>
      <c r="H31" s="472"/>
      <c r="I31" s="676"/>
      <c r="J31" s="676"/>
      <c r="K31" s="677">
        <f>ROUND(K24*$G30,0)</f>
        <v>59055</v>
      </c>
      <c r="L31" s="680" t="s">
        <v>225</v>
      </c>
      <c r="M31" s="680" t="s">
        <v>301</v>
      </c>
      <c r="N31" s="525" t="str">
        <f>IF(AND('331-CT'!$E$7=TH!H31,OR(L31="331",M31="331")),"331",IF(AND(OR(L31="131",M31="131"),H31='131-CT'!$E$7),"131",""))</f>
        <v/>
      </c>
      <c r="O31" s="525" t="str">
        <f>IF(AND($B31&gt;='111'!$N$11,$B31&lt;='111'!$O$11,OR($L31=$O$7,$M31=$O$7)),"x","")</f>
        <v/>
      </c>
      <c r="P31" s="525" t="str">
        <f>IF(AND($L31=$O$7,$B31&lt;'111'!$N$11),"x","")</f>
        <v/>
      </c>
      <c r="Q31" s="525" t="str">
        <f>IF(AND($M31=$O$7,$B31&lt;'111'!$N$11),"x","")</f>
        <v/>
      </c>
      <c r="R31" s="525" t="str">
        <f>IF(ISERROR(FIND('112'!$M$9,G31,1)),"",IF((AND(FIND('112'!$M$9,G31,1)&gt;=1,$B31&gt;='112'!$N$8,$B31&lt;='112'!$O$8,OR($L31='112'!$I$6,$M31='112'!$I$6))),"x",""))</f>
        <v/>
      </c>
      <c r="S31" s="525" t="str">
        <f>IF(ISERROR(FIND('112'!$M$9,G31,1)),"",IF((AND(LEFT(G31,2)=LEFT('112'!$M$9,2),B31&lt;'112'!$N$8,$L31='112'!$I$6)),"x",""))</f>
        <v/>
      </c>
      <c r="T31" s="525" t="str">
        <f>IF(ISERROR(FIND('112'!$M$9,G31,1)),"",IF((AND(RIGHT(G31,2)=RIGHT('112'!$M$9,2),B31&lt;'112'!$N$8,$M31='112'!$I$6)),"x",""))</f>
        <v/>
      </c>
      <c r="U31" s="525" t="str">
        <f>IF(AND(B31&gt;='IN-NX'!$P$3,B31&lt;='IN-NX'!$Q$3,'IN-NX'!$D$7=D31,OR(LEFT(L31,2)="15",AND(LEFT(M31,2)&lt;&gt;"15",LEFT(M31,2)&lt;&gt;"33"))),"x","")</f>
        <v/>
      </c>
      <c r="V31" s="525" t="str">
        <f>IF(AND(OR(LEFT(TH!L31,2)="15",LEFT(TH!M31,2)="15"),'152-CT'!$J$8=TH!F31),"x","")</f>
        <v/>
      </c>
      <c r="W31" s="525" t="str">
        <f>IF(AND(OR(LEFT(TH!L31,2)="15",LEFT(TH!M31,2)="15"),TK!$E$7=TH!F31),"x","")</f>
        <v/>
      </c>
      <c r="X31" s="525" t="str">
        <f>IF(AND('341-CT'!$E$9=H31,OR(LEFT(L31,3)=$X$7,LEFT(M31,3)=$X$7)),"x","")</f>
        <v/>
      </c>
      <c r="Y31" s="525" t="str">
        <f>IF(OR(TH!L31=TH!$Y$7,M31=TH!$Y$7),"x","")</f>
        <v>x</v>
      </c>
      <c r="Z31" s="525" t="str">
        <f>IF(AND(B31&lt;=NKC!$N$8,B31&gt;=NKC!$M$8),"x","")</f>
        <v>x</v>
      </c>
      <c r="AA31" s="536"/>
      <c r="AD31" s="536"/>
    </row>
    <row r="32" spans="1:30" s="503" customFormat="1" ht="15.75" customHeight="1">
      <c r="A32" s="517" t="str">
        <f>IF(B32&lt;&gt;"",IF(AND(B32&gt;=_TM1,B32&lt;=_TM2,OR(TH!L32="1111",TH!M32="1111")),TH!D32,""),"")</f>
        <v/>
      </c>
      <c r="B32" s="531">
        <f t="shared" si="0"/>
        <v>1</v>
      </c>
      <c r="C32" s="671">
        <f t="shared" si="1"/>
        <v>42766</v>
      </c>
      <c r="D32" s="671" t="s">
        <v>476</v>
      </c>
      <c r="E32" s="672">
        <v>42766</v>
      </c>
      <c r="F32" s="673" t="s">
        <v>882</v>
      </c>
      <c r="G32" s="674" t="s">
        <v>883</v>
      </c>
      <c r="H32" s="675"/>
      <c r="I32" s="676"/>
      <c r="J32" s="676"/>
      <c r="K32" s="677">
        <f>ROUND(K23*$G32,0)</f>
        <v>358860</v>
      </c>
      <c r="L32" s="680" t="s">
        <v>224</v>
      </c>
      <c r="M32" s="680" t="s">
        <v>301</v>
      </c>
      <c r="N32" s="525" t="str">
        <f>IF(AND('331-CT'!$E$7=TH!H32,OR(L32="331",M32="331")),"331",IF(AND(OR(L32="131",M32="131"),H32='131-CT'!$E$7),"131",""))</f>
        <v/>
      </c>
      <c r="O32" s="525" t="str">
        <f>IF(AND($B32&gt;='111'!$N$11,$B32&lt;='111'!$O$11,OR($L32=$O$7,$M32=$O$7)),"x","")</f>
        <v/>
      </c>
      <c r="P32" s="525" t="str">
        <f>IF(AND($L32=$O$7,$B32&lt;'111'!$N$11),"x","")</f>
        <v/>
      </c>
      <c r="Q32" s="525" t="str">
        <f>IF(AND($M32=$O$7,$B32&lt;'111'!$N$11),"x","")</f>
        <v/>
      </c>
      <c r="R32" s="525" t="str">
        <f>IF(ISERROR(FIND('112'!$M$9,G32,1)),"",IF((AND(FIND('112'!$M$9,G32,1)&gt;=1,$B32&gt;='112'!$N$8,$B32&lt;='112'!$O$8,OR($L32='112'!$I$6,$M32='112'!$I$6))),"x",""))</f>
        <v/>
      </c>
      <c r="S32" s="525" t="str">
        <f>IF(ISERROR(FIND('112'!$M$9,G32,1)),"",IF((AND(LEFT(G32,2)=LEFT('112'!$M$9,2),B32&lt;'112'!$N$8,$L32='112'!$I$6)),"x",""))</f>
        <v/>
      </c>
      <c r="T32" s="525" t="str">
        <f>IF(ISERROR(FIND('112'!$M$9,G32,1)),"",IF((AND(RIGHT(G32,2)=RIGHT('112'!$M$9,2),B32&lt;'112'!$N$8,$M32='112'!$I$6)),"x",""))</f>
        <v/>
      </c>
      <c r="U32" s="525" t="str">
        <f>IF(AND(B32&gt;='IN-NX'!$P$3,B32&lt;='IN-NX'!$Q$3,'IN-NX'!$D$7=D32,OR(LEFT(L32,2)="15",AND(LEFT(M32,2)&lt;&gt;"15",LEFT(M32,2)&lt;&gt;"33"))),"x","")</f>
        <v/>
      </c>
      <c r="V32" s="525" t="str">
        <f>IF(AND(OR(LEFT(TH!L32,2)="15",LEFT(TH!M32,2)="15"),'152-CT'!$J$8=TH!F32),"x","")</f>
        <v/>
      </c>
      <c r="W32" s="525" t="str">
        <f>IF(AND(OR(LEFT(TH!L32,2)="15",LEFT(TH!M32,2)="15"),TK!$E$7=TH!F32),"x","")</f>
        <v/>
      </c>
      <c r="X32" s="525" t="str">
        <f>IF(AND('341-CT'!$E$9=H32,OR(LEFT(L32,3)=$X$7,LEFT(M32,3)=$X$7)),"x","")</f>
        <v/>
      </c>
      <c r="Y32" s="525" t="str">
        <f>IF(OR(TH!L32=TH!$Y$7,M32=TH!$Y$7),"x","")</f>
        <v/>
      </c>
      <c r="Z32" s="525" t="str">
        <f>IF(AND(B32&lt;=NKC!$N$8,B32&gt;=NKC!$M$8),"x","")</f>
        <v>x</v>
      </c>
      <c r="AA32" s="536"/>
      <c r="AD32" s="536"/>
    </row>
    <row r="33" spans="1:30" s="503" customFormat="1" ht="15.75" customHeight="1">
      <c r="A33" s="517" t="str">
        <f>IF(B33&lt;&gt;"",IF(AND(B33&gt;=_TM1,B33&lt;=_TM2,OR(TH!L33="1111",TH!M33="1111")),TH!D33,""),"")</f>
        <v/>
      </c>
      <c r="B33" s="531">
        <f t="shared" si="0"/>
        <v>1</v>
      </c>
      <c r="C33" s="671">
        <f t="shared" si="1"/>
        <v>42766</v>
      </c>
      <c r="D33" s="671" t="s">
        <v>476</v>
      </c>
      <c r="E33" s="672">
        <v>42766</v>
      </c>
      <c r="F33" s="673" t="s">
        <v>884</v>
      </c>
      <c r="G33" s="674"/>
      <c r="H33" s="675"/>
      <c r="I33" s="676"/>
      <c r="J33" s="676"/>
      <c r="K33" s="677">
        <f>ROUND(K24*$G32,0)</f>
        <v>118110</v>
      </c>
      <c r="L33" s="678" t="s">
        <v>158</v>
      </c>
      <c r="M33" s="680" t="s">
        <v>301</v>
      </c>
      <c r="N33" s="525" t="str">
        <f>IF(AND('331-CT'!$E$7=TH!H33,OR(L33="331",M33="331")),"331",IF(AND(OR(L33="131",M33="131"),H33='131-CT'!$E$7),"131",""))</f>
        <v/>
      </c>
      <c r="O33" s="525" t="str">
        <f>IF(AND($B33&gt;='111'!$N$11,$B33&lt;='111'!$O$11,OR($L33=$O$7,$M33=$O$7)),"x","")</f>
        <v/>
      </c>
      <c r="P33" s="525" t="str">
        <f>IF(AND($L33=$O$7,$B33&lt;'111'!$N$11),"x","")</f>
        <v/>
      </c>
      <c r="Q33" s="525" t="str">
        <f>IF(AND($M33=$O$7,$B33&lt;'111'!$N$11),"x","")</f>
        <v/>
      </c>
      <c r="R33" s="525" t="str">
        <f>IF(ISERROR(FIND('112'!$M$9,G33,1)),"",IF((AND(FIND('112'!$M$9,G33,1)&gt;=1,$B33&gt;='112'!$N$8,$B33&lt;='112'!$O$8,OR($L33='112'!$I$6,$M33='112'!$I$6))),"x",""))</f>
        <v/>
      </c>
      <c r="S33" s="525" t="str">
        <f>IF(ISERROR(FIND('112'!$M$9,G33,1)),"",IF((AND(LEFT(G33,2)=LEFT('112'!$M$9,2),B33&lt;'112'!$N$8,$L33='112'!$I$6)),"x",""))</f>
        <v/>
      </c>
      <c r="T33" s="525" t="str">
        <f>IF(ISERROR(FIND('112'!$M$9,G33,1)),"",IF((AND(RIGHT(G33,2)=RIGHT('112'!$M$9,2),B33&lt;'112'!$N$8,$M33='112'!$I$6)),"x",""))</f>
        <v/>
      </c>
      <c r="U33" s="525" t="str">
        <f>IF(AND(B33&gt;='IN-NX'!$P$3,B33&lt;='IN-NX'!$Q$3,'IN-NX'!$D$7=D33,OR(LEFT(L33,2)="15",AND(LEFT(M33,2)&lt;&gt;"15",LEFT(M33,2)&lt;&gt;"33"))),"x","")</f>
        <v/>
      </c>
      <c r="V33" s="525" t="str">
        <f>IF(AND(OR(LEFT(TH!L33,2)="15",LEFT(TH!M33,2)="15"),'152-CT'!$J$8=TH!F33),"x","")</f>
        <v/>
      </c>
      <c r="W33" s="525" t="str">
        <f>IF(AND(OR(LEFT(TH!L33,2)="15",LEFT(TH!M33,2)="15"),TK!$E$7=TH!F33),"x","")</f>
        <v/>
      </c>
      <c r="X33" s="525" t="str">
        <f>IF(AND('341-CT'!$E$9=H33,OR(LEFT(L33,3)=$X$7,LEFT(M33,3)=$X$7)),"x","")</f>
        <v/>
      </c>
      <c r="Y33" s="525" t="str">
        <f>IF(OR(TH!L33=TH!$Y$7,M33=TH!$Y$7),"x","")</f>
        <v/>
      </c>
      <c r="Z33" s="525" t="str">
        <f>IF(AND(B33&lt;=NKC!$N$8,B33&gt;=NKC!$M$8),"x","")</f>
        <v>x</v>
      </c>
      <c r="AA33" s="536"/>
      <c r="AD33" s="536"/>
    </row>
    <row r="34" spans="1:30" s="503" customFormat="1" ht="15.75" customHeight="1">
      <c r="A34" s="517" t="str">
        <f>IF(B34&lt;&gt;"",IF(AND(B34&gt;=_TM1,B34&lt;=_TM2,OR(TH!L34="1111",TH!M34="1111")),TH!D34,""),"")</f>
        <v/>
      </c>
      <c r="B34" s="531">
        <f t="shared" si="0"/>
        <v>1</v>
      </c>
      <c r="C34" s="671">
        <f t="shared" si="1"/>
        <v>42766</v>
      </c>
      <c r="D34" s="679" t="s">
        <v>476</v>
      </c>
      <c r="E34" s="672">
        <v>42766</v>
      </c>
      <c r="F34" s="673" t="s">
        <v>885</v>
      </c>
      <c r="G34" s="674" t="s">
        <v>886</v>
      </c>
      <c r="H34" s="472"/>
      <c r="I34" s="676"/>
      <c r="J34" s="676"/>
      <c r="K34" s="677">
        <f>ROUND(K23*$G34,0)</f>
        <v>119620</v>
      </c>
      <c r="L34" s="680" t="s">
        <v>225</v>
      </c>
      <c r="M34" s="680" t="s">
        <v>305</v>
      </c>
      <c r="N34" s="525" t="str">
        <f>IF(AND('331-CT'!$E$7=TH!H34,OR(L34="331",M34="331")),"331",IF(AND(OR(L34="131",M34="131"),H34='131-CT'!$E$7),"131",""))</f>
        <v/>
      </c>
      <c r="O34" s="525" t="str">
        <f>IF(AND($B34&gt;='111'!$N$11,$B34&lt;='111'!$O$11,OR($L34=$O$7,$M34=$O$7)),"x","")</f>
        <v/>
      </c>
      <c r="P34" s="525" t="str">
        <f>IF(AND($L34=$O$7,$B34&lt;'111'!$N$11),"x","")</f>
        <v/>
      </c>
      <c r="Q34" s="525" t="str">
        <f>IF(AND($M34=$O$7,$B34&lt;'111'!$N$11),"x","")</f>
        <v/>
      </c>
      <c r="R34" s="525" t="str">
        <f>IF(ISERROR(FIND('112'!$M$9,G34,1)),"",IF((AND(FIND('112'!$M$9,G34,1)&gt;=1,$B34&gt;='112'!$N$8,$B34&lt;='112'!$O$8,OR($L34='112'!$I$6,$M34='112'!$I$6))),"x",""))</f>
        <v/>
      </c>
      <c r="S34" s="525" t="str">
        <f>IF(ISERROR(FIND('112'!$M$9,G34,1)),"",IF((AND(LEFT(G34,2)=LEFT('112'!$M$9,2),B34&lt;'112'!$N$8,$L34='112'!$I$6)),"x",""))</f>
        <v/>
      </c>
      <c r="T34" s="525" t="str">
        <f>IF(ISERROR(FIND('112'!$M$9,G34,1)),"",IF((AND(RIGHT(G34,2)=RIGHT('112'!$M$9,2),B34&lt;'112'!$N$8,$M34='112'!$I$6)),"x",""))</f>
        <v/>
      </c>
      <c r="U34" s="525" t="str">
        <f>IF(AND(B34&gt;='IN-NX'!$P$3,B34&lt;='IN-NX'!$Q$3,'IN-NX'!$D$7=D34,OR(LEFT(L34,2)="15",AND(LEFT(M34,2)&lt;&gt;"15",LEFT(M34,2)&lt;&gt;"33"))),"x","")</f>
        <v/>
      </c>
      <c r="V34" s="525" t="str">
        <f>IF(AND(OR(LEFT(TH!L34,2)="15",LEFT(TH!M34,2)="15"),'152-CT'!$J$8=TH!F34),"x","")</f>
        <v/>
      </c>
      <c r="W34" s="525" t="str">
        <f>IF(AND(OR(LEFT(TH!L34,2)="15",LEFT(TH!M34,2)="15"),TK!$E$7=TH!F34),"x","")</f>
        <v/>
      </c>
      <c r="X34" s="525" t="str">
        <f>IF(AND('341-CT'!$E$9=H34,OR(LEFT(L34,3)=$X$7,LEFT(M34,3)=$X$7)),"x","")</f>
        <v/>
      </c>
      <c r="Y34" s="525" t="str">
        <f>IF(OR(TH!L34=TH!$Y$7,M34=TH!$Y$7),"x","")</f>
        <v>x</v>
      </c>
      <c r="Z34" s="525" t="str">
        <f>IF(AND(B34&lt;=NKC!$N$8,B34&gt;=NKC!$M$8),"x","")</f>
        <v>x</v>
      </c>
      <c r="AA34" s="536"/>
      <c r="AD34" s="536"/>
    </row>
    <row r="35" spans="1:30" s="503" customFormat="1" ht="15.75" customHeight="1">
      <c r="A35" s="517" t="str">
        <f>IF(B35&lt;&gt;"",IF(AND(B35&gt;=_TM1,B35&lt;=_TM2,OR(TH!L35="1111",TH!M35="1111")),TH!D35,""),"")</f>
        <v/>
      </c>
      <c r="B35" s="531">
        <f t="shared" si="0"/>
        <v>1</v>
      </c>
      <c r="C35" s="671">
        <f t="shared" si="1"/>
        <v>42766</v>
      </c>
      <c r="D35" s="671" t="s">
        <v>476</v>
      </c>
      <c r="E35" s="672">
        <v>42766</v>
      </c>
      <c r="F35" s="673" t="s">
        <v>887</v>
      </c>
      <c r="G35" s="674"/>
      <c r="H35" s="675"/>
      <c r="I35" s="676"/>
      <c r="J35" s="676"/>
      <c r="K35" s="677">
        <f>ROUND(K24*$G34,0)</f>
        <v>39370</v>
      </c>
      <c r="L35" s="680" t="s">
        <v>225</v>
      </c>
      <c r="M35" s="680" t="s">
        <v>305</v>
      </c>
      <c r="N35" s="525" t="str">
        <f>IF(AND('331-CT'!$E$7=TH!H35,OR(L35="331",M35="331")),"331",IF(AND(OR(L35="131",M35="131"),H35='131-CT'!$E$7),"131",""))</f>
        <v/>
      </c>
      <c r="O35" s="525" t="str">
        <f>IF(AND($B35&gt;='111'!$N$11,$B35&lt;='111'!$O$11,OR($L35=$O$7,$M35=$O$7)),"x","")</f>
        <v/>
      </c>
      <c r="P35" s="525" t="str">
        <f>IF(AND($L35=$O$7,$B35&lt;'111'!$N$11),"x","")</f>
        <v/>
      </c>
      <c r="Q35" s="525" t="str">
        <f>IF(AND($M35=$O$7,$B35&lt;'111'!$N$11),"x","")</f>
        <v/>
      </c>
      <c r="R35" s="525" t="str">
        <f>IF(ISERROR(FIND('112'!$M$9,G35,1)),"",IF((AND(FIND('112'!$M$9,G35,1)&gt;=1,$B35&gt;='112'!$N$8,$B35&lt;='112'!$O$8,OR($L35='112'!$I$6,$M35='112'!$I$6))),"x",""))</f>
        <v/>
      </c>
      <c r="S35" s="525" t="str">
        <f>IF(ISERROR(FIND('112'!$M$9,G35,1)),"",IF((AND(LEFT(G35,2)=LEFT('112'!$M$9,2),B35&lt;'112'!$N$8,$L35='112'!$I$6)),"x",""))</f>
        <v/>
      </c>
      <c r="T35" s="525" t="str">
        <f>IF(ISERROR(FIND('112'!$M$9,G35,1)),"",IF((AND(RIGHT(G35,2)=RIGHT('112'!$M$9,2),B35&lt;'112'!$N$8,$M35='112'!$I$6)),"x",""))</f>
        <v/>
      </c>
      <c r="U35" s="525" t="str">
        <f>IF(AND(B35&gt;='IN-NX'!$P$3,B35&lt;='IN-NX'!$Q$3,'IN-NX'!$D$7=D35,OR(LEFT(L35,2)="15",AND(LEFT(M35,2)&lt;&gt;"15",LEFT(M35,2)&lt;&gt;"33"))),"x","")</f>
        <v/>
      </c>
      <c r="V35" s="525" t="str">
        <f>IF(AND(OR(LEFT(TH!L35,2)="15",LEFT(TH!M35,2)="15"),'152-CT'!$J$8=TH!F35),"x","")</f>
        <v/>
      </c>
      <c r="W35" s="525" t="str">
        <f>IF(AND(OR(LEFT(TH!L35,2)="15",LEFT(TH!M35,2)="15"),TK!$E$7=TH!F35),"x","")</f>
        <v/>
      </c>
      <c r="X35" s="525" t="str">
        <f>IF(AND('341-CT'!$E$9=H35,OR(LEFT(L35,3)=$X$7,LEFT(M35,3)=$X$7)),"x","")</f>
        <v/>
      </c>
      <c r="Y35" s="525" t="str">
        <f>IF(OR(TH!L35=TH!$Y$7,M35=TH!$Y$7),"x","")</f>
        <v>x</v>
      </c>
      <c r="Z35" s="525" t="str">
        <f>IF(AND(B35&lt;=NKC!$N$8,B35&gt;=NKC!$M$8),"x","")</f>
        <v>x</v>
      </c>
      <c r="AA35" s="536"/>
      <c r="AD35" s="536"/>
    </row>
    <row r="36" spans="1:30" s="503" customFormat="1" ht="15.75" customHeight="1">
      <c r="A36" s="517" t="str">
        <f>IF(B36&lt;&gt;"",IF(AND(B36&gt;=_TM1,B36&lt;=_TM2,OR(TH!L36="1111",TH!M36="1111")),TH!D36,""),"")</f>
        <v/>
      </c>
      <c r="B36" s="531">
        <f t="shared" si="0"/>
        <v>1</v>
      </c>
      <c r="C36" s="671">
        <f t="shared" si="1"/>
        <v>42766</v>
      </c>
      <c r="D36" s="671" t="s">
        <v>476</v>
      </c>
      <c r="E36" s="672">
        <v>42766</v>
      </c>
      <c r="F36" s="673" t="s">
        <v>888</v>
      </c>
      <c r="G36" s="674" t="s">
        <v>886</v>
      </c>
      <c r="H36" s="675"/>
      <c r="I36" s="676"/>
      <c r="J36" s="676"/>
      <c r="K36" s="677">
        <f>K34</f>
        <v>119620</v>
      </c>
      <c r="L36" s="680" t="s">
        <v>224</v>
      </c>
      <c r="M36" s="680" t="s">
        <v>305</v>
      </c>
      <c r="N36" s="525" t="str">
        <f>IF(AND('331-CT'!$E$7=TH!H36,OR(L36="331",M36="331")),"331",IF(AND(OR(L36="131",M36="131"),H36='131-CT'!$E$7),"131",""))</f>
        <v/>
      </c>
      <c r="O36" s="525" t="str">
        <f>IF(AND($B36&gt;='111'!$N$11,$B36&lt;='111'!$O$11,OR($L36=$O$7,$M36=$O$7)),"x","")</f>
        <v/>
      </c>
      <c r="P36" s="525" t="str">
        <f>IF(AND($L36=$O$7,$B36&lt;'111'!$N$11),"x","")</f>
        <v/>
      </c>
      <c r="Q36" s="525" t="str">
        <f>IF(AND($M36=$O$7,$B36&lt;'111'!$N$11),"x","")</f>
        <v/>
      </c>
      <c r="R36" s="525" t="str">
        <f>IF(ISERROR(FIND('112'!$M$9,G36,1)),"",IF((AND(FIND('112'!$M$9,G36,1)&gt;=1,$B36&gt;='112'!$N$8,$B36&lt;='112'!$O$8,OR($L36='112'!$I$6,$M36='112'!$I$6))),"x",""))</f>
        <v/>
      </c>
      <c r="S36" s="525" t="str">
        <f>IF(ISERROR(FIND('112'!$M$9,G36,1)),"",IF((AND(LEFT(G36,2)=LEFT('112'!$M$9,2),B36&lt;'112'!$N$8,$L36='112'!$I$6)),"x",""))</f>
        <v/>
      </c>
      <c r="T36" s="525" t="str">
        <f>IF(ISERROR(FIND('112'!$M$9,G36,1)),"",IF((AND(RIGHT(G36,2)=RIGHT('112'!$M$9,2),B36&lt;'112'!$N$8,$M36='112'!$I$6)),"x",""))</f>
        <v/>
      </c>
      <c r="U36" s="525" t="str">
        <f>IF(AND(B36&gt;='IN-NX'!$P$3,B36&lt;='IN-NX'!$Q$3,'IN-NX'!$D$7=D36,OR(LEFT(L36,2)="15",AND(LEFT(M36,2)&lt;&gt;"15",LEFT(M36,2)&lt;&gt;"33"))),"x","")</f>
        <v/>
      </c>
      <c r="V36" s="525" t="str">
        <f>IF(AND(OR(LEFT(TH!L36,2)="15",LEFT(TH!M36,2)="15"),'152-CT'!$J$8=TH!F36),"x","")</f>
        <v/>
      </c>
      <c r="W36" s="525" t="str">
        <f>IF(AND(OR(LEFT(TH!L36,2)="15",LEFT(TH!M36,2)="15"),TK!$E$7=TH!F36),"x","")</f>
        <v/>
      </c>
      <c r="X36" s="525" t="str">
        <f>IF(AND('341-CT'!$E$9=H36,OR(LEFT(L36,3)=$X$7,LEFT(M36,3)=$X$7)),"x","")</f>
        <v/>
      </c>
      <c r="Y36" s="525" t="str">
        <f>IF(OR(TH!L36=TH!$Y$7,M36=TH!$Y$7),"x","")</f>
        <v/>
      </c>
      <c r="Z36" s="525" t="str">
        <f>IF(AND(B36&lt;=NKC!$N$8,B36&gt;=NKC!$M$8),"x","")</f>
        <v>x</v>
      </c>
      <c r="AA36" s="536"/>
      <c r="AD36" s="536"/>
    </row>
    <row r="37" spans="1:30" s="503" customFormat="1" ht="15.75" customHeight="1">
      <c r="A37" s="517" t="str">
        <f>IF(B37&lt;&gt;"",IF(AND(B37&gt;=_TM1,B37&lt;=_TM2,OR(TH!L37="1111",TH!M37="1111")),TH!D37,""),"")</f>
        <v/>
      </c>
      <c r="B37" s="531">
        <f t="shared" si="0"/>
        <v>1</v>
      </c>
      <c r="C37" s="671">
        <f t="shared" si="1"/>
        <v>42766</v>
      </c>
      <c r="D37" s="679" t="s">
        <v>476</v>
      </c>
      <c r="E37" s="672">
        <v>42766</v>
      </c>
      <c r="F37" s="673" t="s">
        <v>889</v>
      </c>
      <c r="G37" s="674"/>
      <c r="H37" s="472"/>
      <c r="I37" s="676"/>
      <c r="J37" s="676"/>
      <c r="K37" s="677">
        <f>K35</f>
        <v>39370</v>
      </c>
      <c r="L37" s="678" t="s">
        <v>158</v>
      </c>
      <c r="M37" s="680" t="s">
        <v>305</v>
      </c>
      <c r="N37" s="525" t="str">
        <f>IF(AND('331-CT'!$E$7=TH!H37,OR(L37="331",M37="331")),"331",IF(AND(OR(L37="131",M37="131"),H37='131-CT'!$E$7),"131",""))</f>
        <v/>
      </c>
      <c r="O37" s="525" t="str">
        <f>IF(AND($B37&gt;='111'!$N$11,$B37&lt;='111'!$O$11,OR($L37=$O$7,$M37=$O$7)),"x","")</f>
        <v/>
      </c>
      <c r="P37" s="525" t="str">
        <f>IF(AND($L37=$O$7,$B37&lt;'111'!$N$11),"x","")</f>
        <v/>
      </c>
      <c r="Q37" s="525" t="str">
        <f>IF(AND($M37=$O$7,$B37&lt;'111'!$N$11),"x","")</f>
        <v/>
      </c>
      <c r="R37" s="525" t="str">
        <f>IF(ISERROR(FIND('112'!$M$9,G37,1)),"",IF((AND(FIND('112'!$M$9,G37,1)&gt;=1,$B37&gt;='112'!$N$8,$B37&lt;='112'!$O$8,OR($L37='112'!$I$6,$M37='112'!$I$6))),"x",""))</f>
        <v/>
      </c>
      <c r="S37" s="525" t="str">
        <f>IF(ISERROR(FIND('112'!$M$9,G37,1)),"",IF((AND(LEFT(G37,2)=LEFT('112'!$M$9,2),B37&lt;'112'!$N$8,$L37='112'!$I$6)),"x",""))</f>
        <v/>
      </c>
      <c r="T37" s="525" t="str">
        <f>IF(ISERROR(FIND('112'!$M$9,G37,1)),"",IF((AND(RIGHT(G37,2)=RIGHT('112'!$M$9,2),B37&lt;'112'!$N$8,$M37='112'!$I$6)),"x",""))</f>
        <v/>
      </c>
      <c r="U37" s="525" t="str">
        <f>IF(AND(B37&gt;='IN-NX'!$P$3,B37&lt;='IN-NX'!$Q$3,'IN-NX'!$D$7=D37,OR(LEFT(L37,2)="15",AND(LEFT(M37,2)&lt;&gt;"15",LEFT(M37,2)&lt;&gt;"33"))),"x","")</f>
        <v/>
      </c>
      <c r="V37" s="525" t="str">
        <f>IF(AND(OR(LEFT(TH!L37,2)="15",LEFT(TH!M37,2)="15"),'152-CT'!$J$8=TH!F37),"x","")</f>
        <v/>
      </c>
      <c r="W37" s="525" t="str">
        <f>IF(AND(OR(LEFT(TH!L37,2)="15",LEFT(TH!M37,2)="15"),TK!$E$7=TH!F37),"x","")</f>
        <v/>
      </c>
      <c r="X37" s="525" t="str">
        <f>IF(AND('341-CT'!$E$9=H37,OR(LEFT(L37,3)=$X$7,LEFT(M37,3)=$X$7)),"x","")</f>
        <v/>
      </c>
      <c r="Y37" s="525" t="str">
        <f>IF(OR(TH!L37=TH!$Y$7,M37=TH!$Y$7),"x","")</f>
        <v/>
      </c>
      <c r="Z37" s="525" t="str">
        <f>IF(AND(B37&lt;=NKC!$N$8,B37&gt;=NKC!$M$8),"x","")</f>
        <v>x</v>
      </c>
      <c r="AA37" s="536"/>
      <c r="AD37" s="536"/>
    </row>
    <row r="38" spans="1:30" s="503" customFormat="1" ht="15.75" customHeight="1">
      <c r="A38" s="517" t="str">
        <f>IF(B38&lt;&gt;"",IF(AND(B38&gt;=_TM1,B38&lt;=_TM2,OR(TH!L38="1111",TH!M38="1111")),TH!D38,""),"")</f>
        <v/>
      </c>
      <c r="B38" s="531">
        <f t="shared" ref="B38:B52" si="2">IF(C38&lt;&gt;"",MONTH(C38),"")</f>
        <v>2</v>
      </c>
      <c r="C38" s="671">
        <f t="shared" ref="C38:C52" si="3">E38</f>
        <v>42794</v>
      </c>
      <c r="D38" s="671" t="s">
        <v>476</v>
      </c>
      <c r="E38" s="672">
        <v>42794</v>
      </c>
      <c r="F38" s="673" t="s">
        <v>870</v>
      </c>
      <c r="G38" s="674"/>
      <c r="H38" s="675"/>
      <c r="I38" s="676"/>
      <c r="J38" s="676"/>
      <c r="K38" s="674">
        <v>8025000</v>
      </c>
      <c r="L38" s="678" t="s">
        <v>81</v>
      </c>
      <c r="M38" s="678" t="s">
        <v>225</v>
      </c>
      <c r="N38" s="525" t="str">
        <f>IF(AND('331-CT'!$E$7=TH!H38,OR(L38="331",M38="331")),"331",IF(AND(OR(L38="131",M38="131"),H38='131-CT'!$E$7),"131",""))</f>
        <v/>
      </c>
      <c r="O38" s="525" t="str">
        <f>IF(AND($B38&gt;='111'!$N$11,$B38&lt;='111'!$O$11,OR($L38=$O$7,$M38=$O$7)),"x","")</f>
        <v/>
      </c>
      <c r="P38" s="525" t="str">
        <f>IF(AND($L38=$O$7,$B38&lt;'111'!$N$11),"x","")</f>
        <v/>
      </c>
      <c r="Q38" s="525" t="str">
        <f>IF(AND($M38=$O$7,$B38&lt;'111'!$N$11),"x","")</f>
        <v/>
      </c>
      <c r="R38" s="525" t="str">
        <f>IF(ISERROR(FIND('112'!$M$9,G38,1)),"",IF((AND(FIND('112'!$M$9,G38,1)&gt;=1,$B38&gt;='112'!$N$8,$B38&lt;='112'!$O$8,OR($L38='112'!$I$6,$M38='112'!$I$6))),"x",""))</f>
        <v/>
      </c>
      <c r="S38" s="525" t="str">
        <f>IF(ISERROR(FIND('112'!$M$9,G38,1)),"",IF((AND(LEFT(G38,2)=LEFT('112'!$M$9,2),B38&lt;'112'!$N$8,$L38='112'!$I$6)),"x",""))</f>
        <v/>
      </c>
      <c r="T38" s="525" t="str">
        <f>IF(ISERROR(FIND('112'!$M$9,G38,1)),"",IF((AND(RIGHT(G38,2)=RIGHT('112'!$M$9,2),B38&lt;'112'!$N$8,$M38='112'!$I$6)),"x",""))</f>
        <v/>
      </c>
      <c r="U38" s="525" t="str">
        <f>IF(AND(B38&gt;='IN-NX'!$P$3,B38&lt;='IN-NX'!$Q$3,'IN-NX'!$D$7=D38,OR(LEFT(L38,2)="15",AND(LEFT(M38,2)&lt;&gt;"15",LEFT(M38,2)&lt;&gt;"33"))),"x","")</f>
        <v/>
      </c>
      <c r="V38" s="525" t="str">
        <f>IF(AND(OR(LEFT(TH!L38,2)="15",LEFT(TH!M38,2)="15"),'152-CT'!$J$8=TH!F38),"x","")</f>
        <v/>
      </c>
      <c r="W38" s="525" t="str">
        <f>IF(AND(OR(LEFT(TH!L38,2)="15",LEFT(TH!M38,2)="15"),TK!$E$7=TH!F38),"x","")</f>
        <v/>
      </c>
      <c r="X38" s="525" t="str">
        <f>IF(AND('341-CT'!$E$9=H38,OR(LEFT(L38,3)=$X$7,LEFT(M38,3)=$X$7)),"x","")</f>
        <v/>
      </c>
      <c r="Y38" s="525" t="str">
        <f>IF(OR(TH!L38=TH!$Y$7,M38=TH!$Y$7),"x","")</f>
        <v>x</v>
      </c>
      <c r="Z38" s="525" t="str">
        <f>IF(AND(B38&lt;=NKC!$N$8,B38&gt;=NKC!$M$8),"x","")</f>
        <v>x</v>
      </c>
      <c r="AA38" s="536"/>
      <c r="AD38" s="536"/>
    </row>
    <row r="39" spans="1:30" s="503" customFormat="1" ht="15.75" customHeight="1">
      <c r="A39" s="517" t="str">
        <f>IF(B39&lt;&gt;"",IF(AND(B39&gt;=_TM1,B39&lt;=_TM2,OR(TH!L39="1111",TH!M39="1111")),TH!D39,""),"")</f>
        <v/>
      </c>
      <c r="B39" s="531">
        <f t="shared" si="2"/>
        <v>2</v>
      </c>
      <c r="C39" s="671">
        <f t="shared" si="3"/>
        <v>42794</v>
      </c>
      <c r="D39" s="671" t="s">
        <v>476</v>
      </c>
      <c r="E39" s="672">
        <v>42794</v>
      </c>
      <c r="F39" s="673" t="s">
        <v>871</v>
      </c>
      <c r="G39" s="674"/>
      <c r="H39" s="675"/>
      <c r="I39" s="676"/>
      <c r="J39" s="676"/>
      <c r="K39" s="674">
        <v>3937000</v>
      </c>
      <c r="L39" s="678" t="s">
        <v>158</v>
      </c>
      <c r="M39" s="678" t="s">
        <v>225</v>
      </c>
      <c r="N39" s="525" t="str">
        <f>IF(AND('331-CT'!$E$7=TH!H39,OR(L39="331",M39="331")),"331",IF(AND(OR(L39="131",M39="131"),H39='131-CT'!$E$7),"131",""))</f>
        <v/>
      </c>
      <c r="O39" s="525" t="str">
        <f>IF(AND($B39&gt;='111'!$N$11,$B39&lt;='111'!$O$11,OR($L39=$O$7,$M39=$O$7)),"x","")</f>
        <v/>
      </c>
      <c r="P39" s="525" t="str">
        <f>IF(AND($L39=$O$7,$B39&lt;'111'!$N$11),"x","")</f>
        <v/>
      </c>
      <c r="Q39" s="525" t="str">
        <f>IF(AND($M39=$O$7,$B39&lt;'111'!$N$11),"x","")</f>
        <v/>
      </c>
      <c r="R39" s="525" t="str">
        <f>IF(ISERROR(FIND('112'!$M$9,G39,1)),"",IF((AND(FIND('112'!$M$9,G39,1)&gt;=1,$B39&gt;='112'!$N$8,$B39&lt;='112'!$O$8,OR($L39='112'!$I$6,$M39='112'!$I$6))),"x",""))</f>
        <v/>
      </c>
      <c r="S39" s="525" t="str">
        <f>IF(ISERROR(FIND('112'!$M$9,G39,1)),"",IF((AND(LEFT(G39,2)=LEFT('112'!$M$9,2),B39&lt;'112'!$N$8,$L39='112'!$I$6)),"x",""))</f>
        <v/>
      </c>
      <c r="T39" s="525" t="str">
        <f>IF(ISERROR(FIND('112'!$M$9,G39,1)),"",IF((AND(RIGHT(G39,2)=RIGHT('112'!$M$9,2),B39&lt;'112'!$N$8,$M39='112'!$I$6)),"x",""))</f>
        <v/>
      </c>
      <c r="U39" s="525" t="str">
        <f>IF(AND(B39&gt;='IN-NX'!$P$3,B39&lt;='IN-NX'!$Q$3,'IN-NX'!$D$7=D39,OR(LEFT(L39,2)="15",AND(LEFT(M39,2)&lt;&gt;"15",LEFT(M39,2)&lt;&gt;"33"))),"x","")</f>
        <v/>
      </c>
      <c r="V39" s="525" t="str">
        <f>IF(AND(OR(LEFT(TH!L39,2)="15",LEFT(TH!M39,2)="15"),'152-CT'!$J$8=TH!F39),"x","")</f>
        <v/>
      </c>
      <c r="W39" s="525" t="str">
        <f>IF(AND(OR(LEFT(TH!L39,2)="15",LEFT(TH!M39,2)="15"),TK!$E$7=TH!F39),"x","")</f>
        <v/>
      </c>
      <c r="X39" s="525" t="str">
        <f>IF(AND('341-CT'!$E$9=H39,OR(LEFT(L39,3)=$X$7,LEFT(M39,3)=$X$7)),"x","")</f>
        <v/>
      </c>
      <c r="Y39" s="525" t="str">
        <f>IF(OR(TH!L39=TH!$Y$7,M39=TH!$Y$7),"x","")</f>
        <v>x</v>
      </c>
      <c r="Z39" s="525" t="str">
        <f>IF(AND(B39&lt;=NKC!$N$8,B39&gt;=NKC!$M$8),"x","")</f>
        <v>x</v>
      </c>
      <c r="AA39" s="536"/>
      <c r="AD39" s="536"/>
    </row>
    <row r="40" spans="1:30" s="503" customFormat="1" ht="15.75" customHeight="1">
      <c r="A40" s="517" t="str">
        <f>IF(B40&lt;&gt;"",IF(AND(B40&gt;=_TM1,B40&lt;=_TM2,OR(TH!L40="1111",TH!M40="1111")),TH!D40,""),"")</f>
        <v>C12</v>
      </c>
      <c r="B40" s="531">
        <f t="shared" si="2"/>
        <v>2</v>
      </c>
      <c r="C40" s="671">
        <f t="shared" si="3"/>
        <v>42794</v>
      </c>
      <c r="D40" s="679" t="s">
        <v>872</v>
      </c>
      <c r="E40" s="672">
        <v>42794</v>
      </c>
      <c r="F40" s="673" t="s">
        <v>891</v>
      </c>
      <c r="G40" s="674"/>
      <c r="H40" s="472" t="s">
        <v>460</v>
      </c>
      <c r="I40" s="676"/>
      <c r="J40" s="676"/>
      <c r="K40" s="677">
        <v>10705990</v>
      </c>
      <c r="L40" s="678" t="s">
        <v>225</v>
      </c>
      <c r="M40" s="678" t="s">
        <v>45</v>
      </c>
      <c r="N40" s="525" t="str">
        <f>IF(AND('331-CT'!$E$7=TH!H40,OR(L40="331",M40="331")),"331",IF(AND(OR(L40="131",M40="131"),H40='131-CT'!$E$7),"131",""))</f>
        <v/>
      </c>
      <c r="O40" s="525" t="str">
        <f>IF(AND($B40&gt;='111'!$N$11,$B40&lt;='111'!$O$11,OR($L40=$O$7,$M40=$O$7)),"x","")</f>
        <v/>
      </c>
      <c r="P40" s="525" t="str">
        <f>IF(AND($L40=$O$7,$B40&lt;'111'!$N$11),"x","")</f>
        <v/>
      </c>
      <c r="Q40" s="525" t="str">
        <f>IF(AND($M40=$O$7,$B40&lt;'111'!$N$11),"x","")</f>
        <v>x</v>
      </c>
      <c r="R40" s="525" t="str">
        <f>IF(ISERROR(FIND('112'!$M$9,G40,1)),"",IF((AND(FIND('112'!$M$9,G40,1)&gt;=1,$B40&gt;='112'!$N$8,$B40&lt;='112'!$O$8,OR($L40='112'!$I$6,$M40='112'!$I$6))),"x",""))</f>
        <v/>
      </c>
      <c r="S40" s="525" t="str">
        <f>IF(ISERROR(FIND('112'!$M$9,G40,1)),"",IF((AND(LEFT(G40,2)=LEFT('112'!$M$9,2),B40&lt;'112'!$N$8,$L40='112'!$I$6)),"x",""))</f>
        <v/>
      </c>
      <c r="T40" s="525" t="str">
        <f>IF(ISERROR(FIND('112'!$M$9,G40,1)),"",IF((AND(RIGHT(G40,2)=RIGHT('112'!$M$9,2),B40&lt;'112'!$N$8,$M40='112'!$I$6)),"x",""))</f>
        <v/>
      </c>
      <c r="U40" s="525" t="str">
        <f>IF(AND(B40&gt;='IN-NX'!$P$3,B40&lt;='IN-NX'!$Q$3,'IN-NX'!$D$7=D40,OR(LEFT(L40,2)="15",AND(LEFT(M40,2)&lt;&gt;"15",LEFT(M40,2)&lt;&gt;"33"))),"x","")</f>
        <v/>
      </c>
      <c r="V40" s="525" t="str">
        <f>IF(AND(OR(LEFT(TH!L40,2)="15",LEFT(TH!M40,2)="15"),'152-CT'!$J$8=TH!F40),"x","")</f>
        <v/>
      </c>
      <c r="W40" s="525" t="str">
        <f>IF(AND(OR(LEFT(TH!L40,2)="15",LEFT(TH!M40,2)="15"),TK!$E$7=TH!F40),"x","")</f>
        <v/>
      </c>
      <c r="X40" s="525" t="str">
        <f>IF(AND('341-CT'!$E$9=H40,OR(LEFT(L40,3)=$X$7,LEFT(M40,3)=$X$7)),"x","")</f>
        <v/>
      </c>
      <c r="Y40" s="525" t="str">
        <f>IF(OR(TH!L40=TH!$Y$7,M40=TH!$Y$7),"x","")</f>
        <v>x</v>
      </c>
      <c r="Z40" s="525" t="str">
        <f>IF(AND(B40&lt;=NKC!$N$8,B40&gt;=NKC!$M$8),"x","")</f>
        <v>x</v>
      </c>
      <c r="AA40" s="536"/>
      <c r="AD40" s="536"/>
    </row>
    <row r="41" spans="1:30" s="503" customFormat="1" ht="15.75" customHeight="1">
      <c r="A41" s="517" t="str">
        <f>IF(B41&lt;&gt;"",IF(AND(B41&gt;=_TM1,B41&lt;=_TM2,OR(TH!L41="1111",TH!M41="1111")),TH!D41,""),"")</f>
        <v/>
      </c>
      <c r="B41" s="531">
        <f t="shared" si="2"/>
        <v>2</v>
      </c>
      <c r="C41" s="671">
        <f t="shared" si="3"/>
        <v>42794</v>
      </c>
      <c r="D41" s="671" t="s">
        <v>476</v>
      </c>
      <c r="E41" s="672">
        <v>42794</v>
      </c>
      <c r="F41" s="673" t="s">
        <v>873</v>
      </c>
      <c r="G41" s="674" t="s">
        <v>874</v>
      </c>
      <c r="H41" s="675"/>
      <c r="I41" s="676"/>
      <c r="J41" s="676"/>
      <c r="K41" s="677">
        <f>ROUND(K38*$G41,0)</f>
        <v>642000</v>
      </c>
      <c r="L41" s="680" t="s">
        <v>225</v>
      </c>
      <c r="M41" s="680" t="s">
        <v>302</v>
      </c>
      <c r="N41" s="525" t="str">
        <f>IF(AND('331-CT'!$E$7=TH!H41,OR(L41="331",M41="331")),"331",IF(AND(OR(L41="131",M41="131"),H41='131-CT'!$E$7),"131",""))</f>
        <v/>
      </c>
      <c r="O41" s="525" t="str">
        <f>IF(AND($B41&gt;='111'!$N$11,$B41&lt;='111'!$O$11,OR($L41=$O$7,$M41=$O$7)),"x","")</f>
        <v/>
      </c>
      <c r="P41" s="525" t="str">
        <f>IF(AND($L41=$O$7,$B41&lt;'111'!$N$11),"x","")</f>
        <v/>
      </c>
      <c r="Q41" s="525" t="str">
        <f>IF(AND($M41=$O$7,$B41&lt;'111'!$N$11),"x","")</f>
        <v/>
      </c>
      <c r="R41" s="525" t="str">
        <f>IF(ISERROR(FIND('112'!$M$9,G41,1)),"",IF((AND(FIND('112'!$M$9,G41,1)&gt;=1,$B41&gt;='112'!$N$8,$B41&lt;='112'!$O$8,OR($L41='112'!$I$6,$M41='112'!$I$6))),"x",""))</f>
        <v/>
      </c>
      <c r="S41" s="525" t="str">
        <f>IF(ISERROR(FIND('112'!$M$9,G41,1)),"",IF((AND(LEFT(G41,2)=LEFT('112'!$M$9,2),B41&lt;'112'!$N$8,$L41='112'!$I$6)),"x",""))</f>
        <v/>
      </c>
      <c r="T41" s="525" t="str">
        <f>IF(ISERROR(FIND('112'!$M$9,G41,1)),"",IF((AND(RIGHT(G41,2)=RIGHT('112'!$M$9,2),B41&lt;'112'!$N$8,$M41='112'!$I$6)),"x",""))</f>
        <v/>
      </c>
      <c r="U41" s="525" t="str">
        <f>IF(AND(B41&gt;='IN-NX'!$P$3,B41&lt;='IN-NX'!$Q$3,'IN-NX'!$D$7=D41,OR(LEFT(L41,2)="15",AND(LEFT(M41,2)&lt;&gt;"15",LEFT(M41,2)&lt;&gt;"33"))),"x","")</f>
        <v/>
      </c>
      <c r="V41" s="525" t="str">
        <f>IF(AND(OR(LEFT(TH!L41,2)="15",LEFT(TH!M41,2)="15"),'152-CT'!$J$8=TH!F41),"x","")</f>
        <v/>
      </c>
      <c r="W41" s="525" t="str">
        <f>IF(AND(OR(LEFT(TH!L41,2)="15",LEFT(TH!M41,2)="15"),TK!$E$7=TH!F41),"x","")</f>
        <v/>
      </c>
      <c r="X41" s="525" t="str">
        <f>IF(AND('341-CT'!$E$9=H41,OR(LEFT(L41,3)=$X$7,LEFT(M41,3)=$X$7)),"x","")</f>
        <v/>
      </c>
      <c r="Y41" s="525" t="str">
        <f>IF(OR(TH!L41=TH!$Y$7,M41=TH!$Y$7),"x","")</f>
        <v>x</v>
      </c>
      <c r="Z41" s="525" t="str">
        <f>IF(AND(B41&lt;=NKC!$N$8,B41&gt;=NKC!$M$8),"x","")</f>
        <v>x</v>
      </c>
      <c r="AA41" s="536"/>
      <c r="AD41" s="536"/>
    </row>
    <row r="42" spans="1:30" s="503" customFormat="1" ht="15.75" customHeight="1">
      <c r="A42" s="517" t="str">
        <f>IF(B42&lt;&gt;"",IF(AND(B42&gt;=_TM1,B42&lt;=_TM2,OR(TH!L42="1111",TH!M42="1111")),TH!D42,""),"")</f>
        <v/>
      </c>
      <c r="B42" s="531">
        <f t="shared" si="2"/>
        <v>2</v>
      </c>
      <c r="C42" s="671">
        <f t="shared" si="3"/>
        <v>42794</v>
      </c>
      <c r="D42" s="671" t="s">
        <v>476</v>
      </c>
      <c r="E42" s="672">
        <v>42794</v>
      </c>
      <c r="F42" s="673" t="s">
        <v>875</v>
      </c>
      <c r="G42" s="674"/>
      <c r="H42" s="675"/>
      <c r="I42" s="676"/>
      <c r="J42" s="676"/>
      <c r="K42" s="677">
        <f>ROUND(G41*K39,0)</f>
        <v>314960</v>
      </c>
      <c r="L42" s="678" t="s">
        <v>225</v>
      </c>
      <c r="M42" s="681" t="s">
        <v>302</v>
      </c>
      <c r="N42" s="525" t="str">
        <f>IF(AND('331-CT'!$E$7=TH!H42,OR(L42="331",M42="331")),"331",IF(AND(OR(L42="131",M42="131"),H42='131-CT'!$E$7),"131",""))</f>
        <v/>
      </c>
      <c r="O42" s="525" t="str">
        <f>IF(AND($B42&gt;='111'!$N$11,$B42&lt;='111'!$O$11,OR($L42=$O$7,$M42=$O$7)),"x","")</f>
        <v/>
      </c>
      <c r="P42" s="525" t="str">
        <f>IF(AND($L42=$O$7,$B42&lt;'111'!$N$11),"x","")</f>
        <v/>
      </c>
      <c r="Q42" s="525" t="str">
        <f>IF(AND($M42=$O$7,$B42&lt;'111'!$N$11),"x","")</f>
        <v/>
      </c>
      <c r="R42" s="525" t="str">
        <f>IF(ISERROR(FIND('112'!$M$9,G42,1)),"",IF((AND(FIND('112'!$M$9,G42,1)&gt;=1,$B42&gt;='112'!$N$8,$B42&lt;='112'!$O$8,OR($L42='112'!$I$6,$M42='112'!$I$6))),"x",""))</f>
        <v/>
      </c>
      <c r="S42" s="525" t="str">
        <f>IF(ISERROR(FIND('112'!$M$9,G42,1)),"",IF((AND(LEFT(G42,2)=LEFT('112'!$M$9,2),B42&lt;'112'!$N$8,$L42='112'!$I$6)),"x",""))</f>
        <v/>
      </c>
      <c r="T42" s="525" t="str">
        <f>IF(ISERROR(FIND('112'!$M$9,G42,1)),"",IF((AND(RIGHT(G42,2)=RIGHT('112'!$M$9,2),B42&lt;'112'!$N$8,$M42='112'!$I$6)),"x",""))</f>
        <v/>
      </c>
      <c r="U42" s="525" t="str">
        <f>IF(AND(B42&gt;='IN-NX'!$P$3,B42&lt;='IN-NX'!$Q$3,'IN-NX'!$D$7=D42,OR(LEFT(L42,2)="15",AND(LEFT(M42,2)&lt;&gt;"15",LEFT(M42,2)&lt;&gt;"33"))),"x","")</f>
        <v/>
      </c>
      <c r="V42" s="525" t="str">
        <f>IF(AND(OR(LEFT(TH!L42,2)="15",LEFT(TH!M42,2)="15"),'152-CT'!$J$8=TH!F42),"x","")</f>
        <v/>
      </c>
      <c r="W42" s="525" t="str">
        <f>IF(AND(OR(LEFT(TH!L42,2)="15",LEFT(TH!M42,2)="15"),TK!$E$7=TH!F42),"x","")</f>
        <v/>
      </c>
      <c r="X42" s="525" t="str">
        <f>IF(AND('341-CT'!$E$9=H42,OR(LEFT(L42,3)=$X$7,LEFT(M42,3)=$X$7)),"x","")</f>
        <v/>
      </c>
      <c r="Y42" s="525" t="str">
        <f>IF(OR(TH!L42=TH!$Y$7,M42=TH!$Y$7),"x","")</f>
        <v>x</v>
      </c>
      <c r="Z42" s="525" t="str">
        <f>IF(AND(B42&lt;=NKC!$N$8,B42&gt;=NKC!$M$8),"x","")</f>
        <v>x</v>
      </c>
      <c r="AA42" s="536"/>
      <c r="AD42" s="536"/>
    </row>
    <row r="43" spans="1:30" s="503" customFormat="1" ht="15.75" customHeight="1">
      <c r="A43" s="517" t="str">
        <f>IF(B43&lt;&gt;"",IF(AND(B43&gt;=_TM1,B43&lt;=_TM2,OR(TH!L43="1111",TH!M43="1111")),TH!D43,""),"")</f>
        <v/>
      </c>
      <c r="B43" s="531">
        <f t="shared" si="2"/>
        <v>2</v>
      </c>
      <c r="C43" s="671">
        <f t="shared" si="3"/>
        <v>42794</v>
      </c>
      <c r="D43" s="679" t="s">
        <v>476</v>
      </c>
      <c r="E43" s="672">
        <v>42794</v>
      </c>
      <c r="F43" s="673" t="s">
        <v>876</v>
      </c>
      <c r="G43" s="674" t="s">
        <v>877</v>
      </c>
      <c r="H43" s="472"/>
      <c r="I43" s="676"/>
      <c r="J43" s="676"/>
      <c r="K43" s="677">
        <f>ROUND(K38*$G43,0)</f>
        <v>1444500</v>
      </c>
      <c r="L43" s="680" t="s">
        <v>224</v>
      </c>
      <c r="M43" s="680" t="s">
        <v>302</v>
      </c>
      <c r="N43" s="525" t="str">
        <f>IF(AND('331-CT'!$E$7=TH!H43,OR(L43="331",M43="331")),"331",IF(AND(OR(L43="131",M43="131"),H43='131-CT'!$E$7),"131",""))</f>
        <v/>
      </c>
      <c r="O43" s="525" t="str">
        <f>IF(AND($B43&gt;='111'!$N$11,$B43&lt;='111'!$O$11,OR($L43=$O$7,$M43=$O$7)),"x","")</f>
        <v/>
      </c>
      <c r="P43" s="525" t="str">
        <f>IF(AND($L43=$O$7,$B43&lt;'111'!$N$11),"x","")</f>
        <v/>
      </c>
      <c r="Q43" s="525" t="str">
        <f>IF(AND($M43=$O$7,$B43&lt;'111'!$N$11),"x","")</f>
        <v/>
      </c>
      <c r="R43" s="525" t="str">
        <f>IF(ISERROR(FIND('112'!$M$9,G43,1)),"",IF((AND(FIND('112'!$M$9,G43,1)&gt;=1,$B43&gt;='112'!$N$8,$B43&lt;='112'!$O$8,OR($L43='112'!$I$6,$M43='112'!$I$6))),"x",""))</f>
        <v/>
      </c>
      <c r="S43" s="525" t="str">
        <f>IF(ISERROR(FIND('112'!$M$9,G43,1)),"",IF((AND(LEFT(G43,2)=LEFT('112'!$M$9,2),B43&lt;'112'!$N$8,$L43='112'!$I$6)),"x",""))</f>
        <v/>
      </c>
      <c r="T43" s="525" t="str">
        <f>IF(ISERROR(FIND('112'!$M$9,G43,1)),"",IF((AND(RIGHT(G43,2)=RIGHT('112'!$M$9,2),B43&lt;'112'!$N$8,$M43='112'!$I$6)),"x",""))</f>
        <v/>
      </c>
      <c r="U43" s="525" t="str">
        <f>IF(AND(B43&gt;='IN-NX'!$P$3,B43&lt;='IN-NX'!$Q$3,'IN-NX'!$D$7=D43,OR(LEFT(L43,2)="15",AND(LEFT(M43,2)&lt;&gt;"15",LEFT(M43,2)&lt;&gt;"33"))),"x","")</f>
        <v/>
      </c>
      <c r="V43" s="525" t="str">
        <f>IF(AND(OR(LEFT(TH!L43,2)="15",LEFT(TH!M43,2)="15"),'152-CT'!$J$8=TH!F43),"x","")</f>
        <v/>
      </c>
      <c r="W43" s="525" t="str">
        <f>IF(AND(OR(LEFT(TH!L43,2)="15",LEFT(TH!M43,2)="15"),TK!$E$7=TH!F43),"x","")</f>
        <v/>
      </c>
      <c r="X43" s="525" t="str">
        <f>IF(AND('341-CT'!$E$9=H43,OR(LEFT(L43,3)=$X$7,LEFT(M43,3)=$X$7)),"x","")</f>
        <v/>
      </c>
      <c r="Y43" s="525" t="str">
        <f>IF(OR(TH!L43=TH!$Y$7,M43=TH!$Y$7),"x","")</f>
        <v/>
      </c>
      <c r="Z43" s="525" t="str">
        <f>IF(AND(B43&lt;=NKC!$N$8,B43&gt;=NKC!$M$8),"x","")</f>
        <v>x</v>
      </c>
      <c r="AA43" s="536"/>
      <c r="AD43" s="536"/>
    </row>
    <row r="44" spans="1:30" s="503" customFormat="1" ht="15.75" customHeight="1">
      <c r="A44" s="517" t="str">
        <f>IF(B44&lt;&gt;"",IF(AND(B44&gt;=_TM1,B44&lt;=_TM2,OR(TH!L44="1111",TH!M44="1111")),TH!D44,""),"")</f>
        <v/>
      </c>
      <c r="B44" s="531">
        <f t="shared" si="2"/>
        <v>2</v>
      </c>
      <c r="C44" s="671">
        <f t="shared" si="3"/>
        <v>42794</v>
      </c>
      <c r="D44" s="671" t="s">
        <v>476</v>
      </c>
      <c r="E44" s="672">
        <v>42794</v>
      </c>
      <c r="F44" s="673" t="s">
        <v>878</v>
      </c>
      <c r="G44" s="674"/>
      <c r="H44" s="675"/>
      <c r="I44" s="676"/>
      <c r="J44" s="676"/>
      <c r="K44" s="677">
        <f>ROUND(K39*$G43,0)</f>
        <v>708660</v>
      </c>
      <c r="L44" s="678" t="s">
        <v>158</v>
      </c>
      <c r="M44" s="680" t="s">
        <v>302</v>
      </c>
      <c r="N44" s="525" t="str">
        <f>IF(AND('331-CT'!$E$7=TH!H44,OR(L44="331",M44="331")),"331",IF(AND(OR(L44="131",M44="131"),H44='131-CT'!$E$7),"131",""))</f>
        <v/>
      </c>
      <c r="O44" s="525" t="str">
        <f>IF(AND($B44&gt;='111'!$N$11,$B44&lt;='111'!$O$11,OR($L44=$O$7,$M44=$O$7)),"x","")</f>
        <v/>
      </c>
      <c r="P44" s="525" t="str">
        <f>IF(AND($L44=$O$7,$B44&lt;'111'!$N$11),"x","")</f>
        <v/>
      </c>
      <c r="Q44" s="525" t="str">
        <f>IF(AND($M44=$O$7,$B44&lt;'111'!$N$11),"x","")</f>
        <v/>
      </c>
      <c r="R44" s="525" t="str">
        <f>IF(ISERROR(FIND('112'!$M$9,G44,1)),"",IF((AND(FIND('112'!$M$9,G44,1)&gt;=1,$B44&gt;='112'!$N$8,$B44&lt;='112'!$O$8,OR($L44='112'!$I$6,$M44='112'!$I$6))),"x",""))</f>
        <v/>
      </c>
      <c r="S44" s="525" t="str">
        <f>IF(ISERROR(FIND('112'!$M$9,G44,1)),"",IF((AND(LEFT(G44,2)=LEFT('112'!$M$9,2),B44&lt;'112'!$N$8,$L44='112'!$I$6)),"x",""))</f>
        <v/>
      </c>
      <c r="T44" s="525" t="str">
        <f>IF(ISERROR(FIND('112'!$M$9,G44,1)),"",IF((AND(RIGHT(G44,2)=RIGHT('112'!$M$9,2),B44&lt;'112'!$N$8,$M44='112'!$I$6)),"x",""))</f>
        <v/>
      </c>
      <c r="U44" s="525" t="str">
        <f>IF(AND(B44&gt;='IN-NX'!$P$3,B44&lt;='IN-NX'!$Q$3,'IN-NX'!$D$7=D44,OR(LEFT(L44,2)="15",AND(LEFT(M44,2)&lt;&gt;"15",LEFT(M44,2)&lt;&gt;"33"))),"x","")</f>
        <v/>
      </c>
      <c r="V44" s="525" t="str">
        <f>IF(AND(OR(LEFT(TH!L44,2)="15",LEFT(TH!M44,2)="15"),'152-CT'!$J$8=TH!F44),"x","")</f>
        <v/>
      </c>
      <c r="W44" s="525" t="str">
        <f>IF(AND(OR(LEFT(TH!L44,2)="15",LEFT(TH!M44,2)="15"),TK!$E$7=TH!F44),"x","")</f>
        <v/>
      </c>
      <c r="X44" s="525" t="str">
        <f>IF(AND('341-CT'!$E$9=H44,OR(LEFT(L44,3)=$X$7,LEFT(M44,3)=$X$7)),"x","")</f>
        <v/>
      </c>
      <c r="Y44" s="525" t="str">
        <f>IF(OR(TH!L44=TH!$Y$7,M44=TH!$Y$7),"x","")</f>
        <v/>
      </c>
      <c r="Z44" s="525" t="str">
        <f>IF(AND(B44&lt;=NKC!$N$8,B44&gt;=NKC!$M$8),"x","")</f>
        <v>x</v>
      </c>
      <c r="AA44" s="536"/>
      <c r="AD44" s="536"/>
    </row>
    <row r="45" spans="1:30" s="503" customFormat="1" ht="15.75" customHeight="1">
      <c r="A45" s="517" t="str">
        <f>IF(B45&lt;&gt;"",IF(AND(B45&gt;=_TM1,B45&lt;=_TM2,OR(TH!L45="1111",TH!M45="1111")),TH!D45,""),"")</f>
        <v/>
      </c>
      <c r="B45" s="531">
        <f t="shared" si="2"/>
        <v>2</v>
      </c>
      <c r="C45" s="671">
        <f t="shared" si="3"/>
        <v>42794</v>
      </c>
      <c r="D45" s="671" t="s">
        <v>476</v>
      </c>
      <c r="E45" s="672">
        <v>42794</v>
      </c>
      <c r="F45" s="673" t="s">
        <v>879</v>
      </c>
      <c r="G45" s="674" t="s">
        <v>880</v>
      </c>
      <c r="H45" s="675"/>
      <c r="I45" s="676"/>
      <c r="J45" s="676"/>
      <c r="K45" s="677">
        <f>ROUND(K38*$G45,0)</f>
        <v>120375</v>
      </c>
      <c r="L45" s="680" t="s">
        <v>225</v>
      </c>
      <c r="M45" s="680" t="s">
        <v>301</v>
      </c>
      <c r="N45" s="525" t="str">
        <f>IF(AND('331-CT'!$E$7=TH!H45,OR(L45="331",M45="331")),"331",IF(AND(OR(L45="131",M45="131"),H45='131-CT'!$E$7),"131",""))</f>
        <v/>
      </c>
      <c r="O45" s="525" t="str">
        <f>IF(AND($B45&gt;='111'!$N$11,$B45&lt;='111'!$O$11,OR($L45=$O$7,$M45=$O$7)),"x","")</f>
        <v/>
      </c>
      <c r="P45" s="525" t="str">
        <f>IF(AND($L45=$O$7,$B45&lt;'111'!$N$11),"x","")</f>
        <v/>
      </c>
      <c r="Q45" s="525" t="str">
        <f>IF(AND($M45=$O$7,$B45&lt;'111'!$N$11),"x","")</f>
        <v/>
      </c>
      <c r="R45" s="525" t="str">
        <f>IF(ISERROR(FIND('112'!$M$9,G45,1)),"",IF((AND(FIND('112'!$M$9,G45,1)&gt;=1,$B45&gt;='112'!$N$8,$B45&lt;='112'!$O$8,OR($L45='112'!$I$6,$M45='112'!$I$6))),"x",""))</f>
        <v/>
      </c>
      <c r="S45" s="525" t="str">
        <f>IF(ISERROR(FIND('112'!$M$9,G45,1)),"",IF((AND(LEFT(G45,2)=LEFT('112'!$M$9,2),B45&lt;'112'!$N$8,$L45='112'!$I$6)),"x",""))</f>
        <v/>
      </c>
      <c r="T45" s="525" t="str">
        <f>IF(ISERROR(FIND('112'!$M$9,G45,1)),"",IF((AND(RIGHT(G45,2)=RIGHT('112'!$M$9,2),B45&lt;'112'!$N$8,$M45='112'!$I$6)),"x",""))</f>
        <v/>
      </c>
      <c r="U45" s="525" t="str">
        <f>IF(AND(B45&gt;='IN-NX'!$P$3,B45&lt;='IN-NX'!$Q$3,'IN-NX'!$D$7=D45,OR(LEFT(L45,2)="15",AND(LEFT(M45,2)&lt;&gt;"15",LEFT(M45,2)&lt;&gt;"33"))),"x","")</f>
        <v/>
      </c>
      <c r="V45" s="525" t="str">
        <f>IF(AND(OR(LEFT(TH!L45,2)="15",LEFT(TH!M45,2)="15"),'152-CT'!$J$8=TH!F45),"x","")</f>
        <v/>
      </c>
      <c r="W45" s="525" t="str">
        <f>IF(AND(OR(LEFT(TH!L45,2)="15",LEFT(TH!M45,2)="15"),TK!$E$7=TH!F45),"x","")</f>
        <v/>
      </c>
      <c r="X45" s="525" t="str">
        <f>IF(AND('341-CT'!$E$9=H45,OR(LEFT(L45,3)=$X$7,LEFT(M45,3)=$X$7)),"x","")</f>
        <v/>
      </c>
      <c r="Y45" s="525" t="str">
        <f>IF(OR(TH!L45=TH!$Y$7,M45=TH!$Y$7),"x","")</f>
        <v>x</v>
      </c>
      <c r="Z45" s="525" t="str">
        <f>IF(AND(B45&lt;=NKC!$N$8,B45&gt;=NKC!$M$8),"x","")</f>
        <v>x</v>
      </c>
      <c r="AA45" s="536"/>
      <c r="AD45" s="536"/>
    </row>
    <row r="46" spans="1:30" s="503" customFormat="1" ht="15.75" customHeight="1">
      <c r="A46" s="517" t="str">
        <f>IF(B46&lt;&gt;"",IF(AND(B46&gt;=_TM1,B46&lt;=_TM2,OR(TH!L46="1111",TH!M46="1111")),TH!D46,""),"")</f>
        <v/>
      </c>
      <c r="B46" s="531">
        <f t="shared" si="2"/>
        <v>2</v>
      </c>
      <c r="C46" s="671">
        <f t="shared" si="3"/>
        <v>42794</v>
      </c>
      <c r="D46" s="679" t="s">
        <v>476</v>
      </c>
      <c r="E46" s="672">
        <v>42794</v>
      </c>
      <c r="F46" s="673" t="s">
        <v>881</v>
      </c>
      <c r="G46" s="674"/>
      <c r="H46" s="472"/>
      <c r="I46" s="676"/>
      <c r="J46" s="676"/>
      <c r="K46" s="677">
        <f>ROUND(K39*$G45,0)</f>
        <v>59055</v>
      </c>
      <c r="L46" s="680" t="s">
        <v>225</v>
      </c>
      <c r="M46" s="680" t="s">
        <v>301</v>
      </c>
      <c r="N46" s="525" t="str">
        <f>IF(AND('331-CT'!$E$7=TH!H46,OR(L46="331",M46="331")),"331",IF(AND(OR(L46="131",M46="131"),H46='131-CT'!$E$7),"131",""))</f>
        <v/>
      </c>
      <c r="O46" s="525" t="str">
        <f>IF(AND($B46&gt;='111'!$N$11,$B46&lt;='111'!$O$11,OR($L46=$O$7,$M46=$O$7)),"x","")</f>
        <v/>
      </c>
      <c r="P46" s="525" t="str">
        <f>IF(AND($L46=$O$7,$B46&lt;'111'!$N$11),"x","")</f>
        <v/>
      </c>
      <c r="Q46" s="525" t="str">
        <f>IF(AND($M46=$O$7,$B46&lt;'111'!$N$11),"x","")</f>
        <v/>
      </c>
      <c r="R46" s="525" t="str">
        <f>IF(ISERROR(FIND('112'!$M$9,G46,1)),"",IF((AND(FIND('112'!$M$9,G46,1)&gt;=1,$B46&gt;='112'!$N$8,$B46&lt;='112'!$O$8,OR($L46='112'!$I$6,$M46='112'!$I$6))),"x",""))</f>
        <v/>
      </c>
      <c r="S46" s="525" t="str">
        <f>IF(ISERROR(FIND('112'!$M$9,G46,1)),"",IF((AND(LEFT(G46,2)=LEFT('112'!$M$9,2),B46&lt;'112'!$N$8,$L46='112'!$I$6)),"x",""))</f>
        <v/>
      </c>
      <c r="T46" s="525" t="str">
        <f>IF(ISERROR(FIND('112'!$M$9,G46,1)),"",IF((AND(RIGHT(G46,2)=RIGHT('112'!$M$9,2),B46&lt;'112'!$N$8,$M46='112'!$I$6)),"x",""))</f>
        <v/>
      </c>
      <c r="U46" s="525" t="str">
        <f>IF(AND(B46&gt;='IN-NX'!$P$3,B46&lt;='IN-NX'!$Q$3,'IN-NX'!$D$7=D46,OR(LEFT(L46,2)="15",AND(LEFT(M46,2)&lt;&gt;"15",LEFT(M46,2)&lt;&gt;"33"))),"x","")</f>
        <v/>
      </c>
      <c r="V46" s="525" t="str">
        <f>IF(AND(OR(LEFT(TH!L46,2)="15",LEFT(TH!M46,2)="15"),'152-CT'!$J$8=TH!F46),"x","")</f>
        <v/>
      </c>
      <c r="W46" s="525" t="str">
        <f>IF(AND(OR(LEFT(TH!L46,2)="15",LEFT(TH!M46,2)="15"),TK!$E$7=TH!F46),"x","")</f>
        <v/>
      </c>
      <c r="X46" s="525" t="str">
        <f>IF(AND('341-CT'!$E$9=H46,OR(LEFT(L46,3)=$X$7,LEFT(M46,3)=$X$7)),"x","")</f>
        <v/>
      </c>
      <c r="Y46" s="525" t="str">
        <f>IF(OR(TH!L46=TH!$Y$7,M46=TH!$Y$7),"x","")</f>
        <v>x</v>
      </c>
      <c r="Z46" s="525" t="str">
        <f>IF(AND(B46&lt;=NKC!$N$8,B46&gt;=NKC!$M$8),"x","")</f>
        <v>x</v>
      </c>
      <c r="AA46" s="536"/>
      <c r="AD46" s="536"/>
    </row>
    <row r="47" spans="1:30" s="503" customFormat="1" ht="15.75" customHeight="1">
      <c r="A47" s="517" t="str">
        <f>IF(B47&lt;&gt;"",IF(AND(B47&gt;=_TM1,B47&lt;=_TM2,OR(TH!L47="1111",TH!M47="1111")),TH!D47,""),"")</f>
        <v/>
      </c>
      <c r="B47" s="531">
        <f t="shared" si="2"/>
        <v>2</v>
      </c>
      <c r="C47" s="671">
        <f t="shared" si="3"/>
        <v>42794</v>
      </c>
      <c r="D47" s="671" t="s">
        <v>476</v>
      </c>
      <c r="E47" s="672">
        <v>42794</v>
      </c>
      <c r="F47" s="673" t="s">
        <v>882</v>
      </c>
      <c r="G47" s="674" t="s">
        <v>883</v>
      </c>
      <c r="H47" s="675"/>
      <c r="I47" s="676"/>
      <c r="J47" s="676"/>
      <c r="K47" s="677">
        <f>ROUND(K38*$G47,0)</f>
        <v>240750</v>
      </c>
      <c r="L47" s="680" t="s">
        <v>224</v>
      </c>
      <c r="M47" s="680" t="s">
        <v>301</v>
      </c>
      <c r="N47" s="525" t="str">
        <f>IF(AND('331-CT'!$E$7=TH!H47,OR(L47="331",M47="331")),"331",IF(AND(OR(L47="131",M47="131"),H47='131-CT'!$E$7),"131",""))</f>
        <v/>
      </c>
      <c r="O47" s="525" t="str">
        <f>IF(AND($B47&gt;='111'!$N$11,$B47&lt;='111'!$O$11,OR($L47=$O$7,$M47=$O$7)),"x","")</f>
        <v/>
      </c>
      <c r="P47" s="525" t="str">
        <f>IF(AND($L47=$O$7,$B47&lt;'111'!$N$11),"x","")</f>
        <v/>
      </c>
      <c r="Q47" s="525" t="str">
        <f>IF(AND($M47=$O$7,$B47&lt;'111'!$N$11),"x","")</f>
        <v/>
      </c>
      <c r="R47" s="525" t="str">
        <f>IF(ISERROR(FIND('112'!$M$9,G47,1)),"",IF((AND(FIND('112'!$M$9,G47,1)&gt;=1,$B47&gt;='112'!$N$8,$B47&lt;='112'!$O$8,OR($L47='112'!$I$6,$M47='112'!$I$6))),"x",""))</f>
        <v/>
      </c>
      <c r="S47" s="525" t="str">
        <f>IF(ISERROR(FIND('112'!$M$9,G47,1)),"",IF((AND(LEFT(G47,2)=LEFT('112'!$M$9,2),B47&lt;'112'!$N$8,$L47='112'!$I$6)),"x",""))</f>
        <v/>
      </c>
      <c r="T47" s="525" t="str">
        <f>IF(ISERROR(FIND('112'!$M$9,G47,1)),"",IF((AND(RIGHT(G47,2)=RIGHT('112'!$M$9,2),B47&lt;'112'!$N$8,$M47='112'!$I$6)),"x",""))</f>
        <v/>
      </c>
      <c r="U47" s="525" t="str">
        <f>IF(AND(B47&gt;='IN-NX'!$P$3,B47&lt;='IN-NX'!$Q$3,'IN-NX'!$D$7=D47,OR(LEFT(L47,2)="15",AND(LEFT(M47,2)&lt;&gt;"15",LEFT(M47,2)&lt;&gt;"33"))),"x","")</f>
        <v/>
      </c>
      <c r="V47" s="525" t="str">
        <f>IF(AND(OR(LEFT(TH!L47,2)="15",LEFT(TH!M47,2)="15"),'152-CT'!$J$8=TH!F47),"x","")</f>
        <v/>
      </c>
      <c r="W47" s="525" t="str">
        <f>IF(AND(OR(LEFT(TH!L47,2)="15",LEFT(TH!M47,2)="15"),TK!$E$7=TH!F47),"x","")</f>
        <v/>
      </c>
      <c r="X47" s="525" t="str">
        <f>IF(AND('341-CT'!$E$9=H47,OR(LEFT(L47,3)=$X$7,LEFT(M47,3)=$X$7)),"x","")</f>
        <v/>
      </c>
      <c r="Y47" s="525" t="str">
        <f>IF(OR(TH!L47=TH!$Y$7,M47=TH!$Y$7),"x","")</f>
        <v/>
      </c>
      <c r="Z47" s="525" t="str">
        <f>IF(AND(B47&lt;=NKC!$N$8,B47&gt;=NKC!$M$8),"x","")</f>
        <v>x</v>
      </c>
      <c r="AA47" s="536"/>
      <c r="AD47" s="536"/>
    </row>
    <row r="48" spans="1:30" s="503" customFormat="1" ht="15.75" customHeight="1">
      <c r="A48" s="517" t="str">
        <f>IF(B48&lt;&gt;"",IF(AND(B48&gt;=_TM1,B48&lt;=_TM2,OR(TH!L48="1111",TH!M48="1111")),TH!D48,""),"")</f>
        <v/>
      </c>
      <c r="B48" s="531">
        <f t="shared" si="2"/>
        <v>2</v>
      </c>
      <c r="C48" s="671">
        <f t="shared" si="3"/>
        <v>42794</v>
      </c>
      <c r="D48" s="671" t="s">
        <v>476</v>
      </c>
      <c r="E48" s="672">
        <v>42794</v>
      </c>
      <c r="F48" s="673" t="s">
        <v>884</v>
      </c>
      <c r="G48" s="674"/>
      <c r="H48" s="675"/>
      <c r="I48" s="676"/>
      <c r="J48" s="676"/>
      <c r="K48" s="677">
        <f>ROUND(K39*$G47,0)</f>
        <v>118110</v>
      </c>
      <c r="L48" s="678" t="s">
        <v>158</v>
      </c>
      <c r="M48" s="680" t="s">
        <v>301</v>
      </c>
      <c r="N48" s="525" t="str">
        <f>IF(AND('331-CT'!$E$7=TH!H48,OR(L48="331",M48="331")),"331",IF(AND(OR(L48="131",M48="131"),H48='131-CT'!$E$7),"131",""))</f>
        <v/>
      </c>
      <c r="O48" s="525" t="str">
        <f>IF(AND($B48&gt;='111'!$N$11,$B48&lt;='111'!$O$11,OR($L48=$O$7,$M48=$O$7)),"x","")</f>
        <v/>
      </c>
      <c r="P48" s="525" t="str">
        <f>IF(AND($L48=$O$7,$B48&lt;'111'!$N$11),"x","")</f>
        <v/>
      </c>
      <c r="Q48" s="525" t="str">
        <f>IF(AND($M48=$O$7,$B48&lt;'111'!$N$11),"x","")</f>
        <v/>
      </c>
      <c r="R48" s="525" t="str">
        <f>IF(ISERROR(FIND('112'!$M$9,G48,1)),"",IF((AND(FIND('112'!$M$9,G48,1)&gt;=1,$B48&gt;='112'!$N$8,$B48&lt;='112'!$O$8,OR($L48='112'!$I$6,$M48='112'!$I$6))),"x",""))</f>
        <v/>
      </c>
      <c r="S48" s="525" t="str">
        <f>IF(ISERROR(FIND('112'!$M$9,G48,1)),"",IF((AND(LEFT(G48,2)=LEFT('112'!$M$9,2),B48&lt;'112'!$N$8,$L48='112'!$I$6)),"x",""))</f>
        <v/>
      </c>
      <c r="T48" s="525" t="str">
        <f>IF(ISERROR(FIND('112'!$M$9,G48,1)),"",IF((AND(RIGHT(G48,2)=RIGHT('112'!$M$9,2),B48&lt;'112'!$N$8,$M48='112'!$I$6)),"x",""))</f>
        <v/>
      </c>
      <c r="U48" s="525" t="str">
        <f>IF(AND(B48&gt;='IN-NX'!$P$3,B48&lt;='IN-NX'!$Q$3,'IN-NX'!$D$7=D48,OR(LEFT(L48,2)="15",AND(LEFT(M48,2)&lt;&gt;"15",LEFT(M48,2)&lt;&gt;"33"))),"x","")</f>
        <v/>
      </c>
      <c r="V48" s="525" t="str">
        <f>IF(AND(OR(LEFT(TH!L48,2)="15",LEFT(TH!M48,2)="15"),'152-CT'!$J$8=TH!F48),"x","")</f>
        <v/>
      </c>
      <c r="W48" s="525" t="str">
        <f>IF(AND(OR(LEFT(TH!L48,2)="15",LEFT(TH!M48,2)="15"),TK!$E$7=TH!F48),"x","")</f>
        <v/>
      </c>
      <c r="X48" s="525" t="str">
        <f>IF(AND('341-CT'!$E$9=H48,OR(LEFT(L48,3)=$X$7,LEFT(M48,3)=$X$7)),"x","")</f>
        <v/>
      </c>
      <c r="Y48" s="525" t="str">
        <f>IF(OR(TH!L48=TH!$Y$7,M48=TH!$Y$7),"x","")</f>
        <v/>
      </c>
      <c r="Z48" s="525" t="str">
        <f>IF(AND(B48&lt;=NKC!$N$8,B48&gt;=NKC!$M$8),"x","")</f>
        <v>x</v>
      </c>
      <c r="AA48" s="536"/>
      <c r="AD48" s="536"/>
    </row>
    <row r="49" spans="1:30" s="503" customFormat="1" ht="15.75" customHeight="1">
      <c r="A49" s="517" t="str">
        <f>IF(B49&lt;&gt;"",IF(AND(B49&gt;=_TM1,B49&lt;=_TM2,OR(TH!L49="1111",TH!M49="1111")),TH!D49,""),"")</f>
        <v/>
      </c>
      <c r="B49" s="531">
        <f t="shared" si="2"/>
        <v>2</v>
      </c>
      <c r="C49" s="671">
        <f t="shared" si="3"/>
        <v>42794</v>
      </c>
      <c r="D49" s="679" t="s">
        <v>476</v>
      </c>
      <c r="E49" s="672">
        <v>42794</v>
      </c>
      <c r="F49" s="673" t="s">
        <v>885</v>
      </c>
      <c r="G49" s="674" t="s">
        <v>886</v>
      </c>
      <c r="H49" s="472"/>
      <c r="I49" s="676"/>
      <c r="J49" s="676"/>
      <c r="K49" s="677">
        <f>ROUND(K38*$G49,0)</f>
        <v>80250</v>
      </c>
      <c r="L49" s="680" t="s">
        <v>225</v>
      </c>
      <c r="M49" s="680" t="s">
        <v>305</v>
      </c>
      <c r="N49" s="525" t="str">
        <f>IF(AND('331-CT'!$E$7=TH!H49,OR(L49="331",M49="331")),"331",IF(AND(OR(L49="131",M49="131"),H49='131-CT'!$E$7),"131",""))</f>
        <v/>
      </c>
      <c r="O49" s="525" t="str">
        <f>IF(AND($B49&gt;='111'!$N$11,$B49&lt;='111'!$O$11,OR($L49=$O$7,$M49=$O$7)),"x","")</f>
        <v/>
      </c>
      <c r="P49" s="525" t="str">
        <f>IF(AND($L49=$O$7,$B49&lt;'111'!$N$11),"x","")</f>
        <v/>
      </c>
      <c r="Q49" s="525" t="str">
        <f>IF(AND($M49=$O$7,$B49&lt;'111'!$N$11),"x","")</f>
        <v/>
      </c>
      <c r="R49" s="525" t="str">
        <f>IF(ISERROR(FIND('112'!$M$9,G49,1)),"",IF((AND(FIND('112'!$M$9,G49,1)&gt;=1,$B49&gt;='112'!$N$8,$B49&lt;='112'!$O$8,OR($L49='112'!$I$6,$M49='112'!$I$6))),"x",""))</f>
        <v/>
      </c>
      <c r="S49" s="525" t="str">
        <f>IF(ISERROR(FIND('112'!$M$9,G49,1)),"",IF((AND(LEFT(G49,2)=LEFT('112'!$M$9,2),B49&lt;'112'!$N$8,$L49='112'!$I$6)),"x",""))</f>
        <v/>
      </c>
      <c r="T49" s="525" t="str">
        <f>IF(ISERROR(FIND('112'!$M$9,G49,1)),"",IF((AND(RIGHT(G49,2)=RIGHT('112'!$M$9,2),B49&lt;'112'!$N$8,$M49='112'!$I$6)),"x",""))</f>
        <v/>
      </c>
      <c r="U49" s="525" t="str">
        <f>IF(AND(B49&gt;='IN-NX'!$P$3,B49&lt;='IN-NX'!$Q$3,'IN-NX'!$D$7=D49,OR(LEFT(L49,2)="15",AND(LEFT(M49,2)&lt;&gt;"15",LEFT(M49,2)&lt;&gt;"33"))),"x","")</f>
        <v/>
      </c>
      <c r="V49" s="525" t="str">
        <f>IF(AND(OR(LEFT(TH!L49,2)="15",LEFT(TH!M49,2)="15"),'152-CT'!$J$8=TH!F49),"x","")</f>
        <v/>
      </c>
      <c r="W49" s="525" t="str">
        <f>IF(AND(OR(LEFT(TH!L49,2)="15",LEFT(TH!M49,2)="15"),TK!$E$7=TH!F49),"x","")</f>
        <v/>
      </c>
      <c r="X49" s="525" t="str">
        <f>IF(AND('341-CT'!$E$9=H49,OR(LEFT(L49,3)=$X$7,LEFT(M49,3)=$X$7)),"x","")</f>
        <v/>
      </c>
      <c r="Y49" s="525" t="str">
        <f>IF(OR(TH!L49=TH!$Y$7,M49=TH!$Y$7),"x","")</f>
        <v>x</v>
      </c>
      <c r="Z49" s="525" t="str">
        <f>IF(AND(B49&lt;=NKC!$N$8,B49&gt;=NKC!$M$8),"x","")</f>
        <v>x</v>
      </c>
      <c r="AA49" s="536"/>
      <c r="AD49" s="536"/>
    </row>
    <row r="50" spans="1:30" s="503" customFormat="1" ht="15.75" customHeight="1">
      <c r="A50" s="517" t="str">
        <f>IF(B50&lt;&gt;"",IF(AND(B50&gt;=_TM1,B50&lt;=_TM2,OR(TH!L50="1111",TH!M50="1111")),TH!D50,""),"")</f>
        <v/>
      </c>
      <c r="B50" s="531">
        <f t="shared" si="2"/>
        <v>2</v>
      </c>
      <c r="C50" s="671">
        <f t="shared" si="3"/>
        <v>42794</v>
      </c>
      <c r="D50" s="671" t="s">
        <v>476</v>
      </c>
      <c r="E50" s="672">
        <v>42794</v>
      </c>
      <c r="F50" s="673" t="s">
        <v>887</v>
      </c>
      <c r="G50" s="674"/>
      <c r="H50" s="675"/>
      <c r="I50" s="676"/>
      <c r="J50" s="676"/>
      <c r="K50" s="677">
        <f>ROUND(K39*$G49,0)</f>
        <v>39370</v>
      </c>
      <c r="L50" s="680" t="s">
        <v>225</v>
      </c>
      <c r="M50" s="680" t="s">
        <v>305</v>
      </c>
      <c r="N50" s="525" t="str">
        <f>IF(AND('331-CT'!$E$7=TH!H50,OR(L50="331",M50="331")),"331",IF(AND(OR(L50="131",M50="131"),H50='131-CT'!$E$7),"131",""))</f>
        <v/>
      </c>
      <c r="O50" s="525" t="str">
        <f>IF(AND($B50&gt;='111'!$N$11,$B50&lt;='111'!$O$11,OR($L50=$O$7,$M50=$O$7)),"x","")</f>
        <v/>
      </c>
      <c r="P50" s="525" t="str">
        <f>IF(AND($L50=$O$7,$B50&lt;'111'!$N$11),"x","")</f>
        <v/>
      </c>
      <c r="Q50" s="525" t="str">
        <f>IF(AND($M50=$O$7,$B50&lt;'111'!$N$11),"x","")</f>
        <v/>
      </c>
      <c r="R50" s="525" t="str">
        <f>IF(ISERROR(FIND('112'!$M$9,G50,1)),"",IF((AND(FIND('112'!$M$9,G50,1)&gt;=1,$B50&gt;='112'!$N$8,$B50&lt;='112'!$O$8,OR($L50='112'!$I$6,$M50='112'!$I$6))),"x",""))</f>
        <v/>
      </c>
      <c r="S50" s="525" t="str">
        <f>IF(ISERROR(FIND('112'!$M$9,G50,1)),"",IF((AND(LEFT(G50,2)=LEFT('112'!$M$9,2),B50&lt;'112'!$N$8,$L50='112'!$I$6)),"x",""))</f>
        <v/>
      </c>
      <c r="T50" s="525" t="str">
        <f>IF(ISERROR(FIND('112'!$M$9,G50,1)),"",IF((AND(RIGHT(G50,2)=RIGHT('112'!$M$9,2),B50&lt;'112'!$N$8,$M50='112'!$I$6)),"x",""))</f>
        <v/>
      </c>
      <c r="U50" s="525" t="str">
        <f>IF(AND(B50&gt;='IN-NX'!$P$3,B50&lt;='IN-NX'!$Q$3,'IN-NX'!$D$7=D50,OR(LEFT(L50,2)="15",AND(LEFT(M50,2)&lt;&gt;"15",LEFT(M50,2)&lt;&gt;"33"))),"x","")</f>
        <v/>
      </c>
      <c r="V50" s="525" t="str">
        <f>IF(AND(OR(LEFT(TH!L50,2)="15",LEFT(TH!M50,2)="15"),'152-CT'!$J$8=TH!F50),"x","")</f>
        <v/>
      </c>
      <c r="W50" s="525" t="str">
        <f>IF(AND(OR(LEFT(TH!L50,2)="15",LEFT(TH!M50,2)="15"),TK!$E$7=TH!F50),"x","")</f>
        <v/>
      </c>
      <c r="X50" s="525" t="str">
        <f>IF(AND('341-CT'!$E$9=H50,OR(LEFT(L50,3)=$X$7,LEFT(M50,3)=$X$7)),"x","")</f>
        <v/>
      </c>
      <c r="Y50" s="525" t="str">
        <f>IF(OR(TH!L50=TH!$Y$7,M50=TH!$Y$7),"x","")</f>
        <v>x</v>
      </c>
      <c r="Z50" s="525" t="str">
        <f>IF(AND(B50&lt;=NKC!$N$8,B50&gt;=NKC!$M$8),"x","")</f>
        <v>x</v>
      </c>
      <c r="AA50" s="536"/>
      <c r="AD50" s="536"/>
    </row>
    <row r="51" spans="1:30" s="503" customFormat="1" ht="15.75" customHeight="1">
      <c r="A51" s="517" t="str">
        <f>IF(B51&lt;&gt;"",IF(AND(B51&gt;=_TM1,B51&lt;=_TM2,OR(TH!L51="1111",TH!M51="1111")),TH!D51,""),"")</f>
        <v/>
      </c>
      <c r="B51" s="531">
        <f t="shared" si="2"/>
        <v>2</v>
      </c>
      <c r="C51" s="671">
        <f t="shared" si="3"/>
        <v>42794</v>
      </c>
      <c r="D51" s="671" t="s">
        <v>476</v>
      </c>
      <c r="E51" s="672">
        <v>42794</v>
      </c>
      <c r="F51" s="673" t="s">
        <v>888</v>
      </c>
      <c r="G51" s="674" t="s">
        <v>886</v>
      </c>
      <c r="H51" s="675"/>
      <c r="I51" s="676"/>
      <c r="J51" s="676"/>
      <c r="K51" s="677">
        <f>K49</f>
        <v>80250</v>
      </c>
      <c r="L51" s="680" t="s">
        <v>224</v>
      </c>
      <c r="M51" s="680" t="s">
        <v>305</v>
      </c>
      <c r="N51" s="525" t="str">
        <f>IF(AND('331-CT'!$E$7=TH!H51,OR(L51="331",M51="331")),"331",IF(AND(OR(L51="131",M51="131"),H51='131-CT'!$E$7),"131",""))</f>
        <v/>
      </c>
      <c r="O51" s="525" t="str">
        <f>IF(AND($B51&gt;='111'!$N$11,$B51&lt;='111'!$O$11,OR($L51=$O$7,$M51=$O$7)),"x","")</f>
        <v/>
      </c>
      <c r="P51" s="525" t="str">
        <f>IF(AND($L51=$O$7,$B51&lt;'111'!$N$11),"x","")</f>
        <v/>
      </c>
      <c r="Q51" s="525" t="str">
        <f>IF(AND($M51=$O$7,$B51&lt;'111'!$N$11),"x","")</f>
        <v/>
      </c>
      <c r="R51" s="525" t="str">
        <f>IF(ISERROR(FIND('112'!$M$9,G51,1)),"",IF((AND(FIND('112'!$M$9,G51,1)&gt;=1,$B51&gt;='112'!$N$8,$B51&lt;='112'!$O$8,OR($L51='112'!$I$6,$M51='112'!$I$6))),"x",""))</f>
        <v/>
      </c>
      <c r="S51" s="525" t="str">
        <f>IF(ISERROR(FIND('112'!$M$9,G51,1)),"",IF((AND(LEFT(G51,2)=LEFT('112'!$M$9,2),B51&lt;'112'!$N$8,$L51='112'!$I$6)),"x",""))</f>
        <v/>
      </c>
      <c r="T51" s="525" t="str">
        <f>IF(ISERROR(FIND('112'!$M$9,G51,1)),"",IF((AND(RIGHT(G51,2)=RIGHT('112'!$M$9,2),B51&lt;'112'!$N$8,$M51='112'!$I$6)),"x",""))</f>
        <v/>
      </c>
      <c r="U51" s="525" t="str">
        <f>IF(AND(B51&gt;='IN-NX'!$P$3,B51&lt;='IN-NX'!$Q$3,'IN-NX'!$D$7=D51,OR(LEFT(L51,2)="15",AND(LEFT(M51,2)&lt;&gt;"15",LEFT(M51,2)&lt;&gt;"33"))),"x","")</f>
        <v/>
      </c>
      <c r="V51" s="525" t="str">
        <f>IF(AND(OR(LEFT(TH!L51,2)="15",LEFT(TH!M51,2)="15"),'152-CT'!$J$8=TH!F51),"x","")</f>
        <v/>
      </c>
      <c r="W51" s="525" t="str">
        <f>IF(AND(OR(LEFT(TH!L51,2)="15",LEFT(TH!M51,2)="15"),TK!$E$7=TH!F51),"x","")</f>
        <v/>
      </c>
      <c r="X51" s="525" t="str">
        <f>IF(AND('341-CT'!$E$9=H51,OR(LEFT(L51,3)=$X$7,LEFT(M51,3)=$X$7)),"x","")</f>
        <v/>
      </c>
      <c r="Y51" s="525" t="str">
        <f>IF(OR(TH!L51=TH!$Y$7,M51=TH!$Y$7),"x","")</f>
        <v/>
      </c>
      <c r="Z51" s="525" t="str">
        <f>IF(AND(B51&lt;=NKC!$N$8,B51&gt;=NKC!$M$8),"x","")</f>
        <v>x</v>
      </c>
      <c r="AA51" s="536"/>
      <c r="AD51" s="536"/>
    </row>
    <row r="52" spans="1:30" s="503" customFormat="1" ht="15.75" customHeight="1">
      <c r="A52" s="517" t="str">
        <f>IF(B52&lt;&gt;"",IF(AND(B52&gt;=_TM1,B52&lt;=_TM2,OR(TH!L52="1111",TH!M52="1111")),TH!D52,""),"")</f>
        <v/>
      </c>
      <c r="B52" s="531">
        <f t="shared" si="2"/>
        <v>2</v>
      </c>
      <c r="C52" s="671">
        <f t="shared" si="3"/>
        <v>42794</v>
      </c>
      <c r="D52" s="679" t="s">
        <v>476</v>
      </c>
      <c r="E52" s="672">
        <v>42794</v>
      </c>
      <c r="F52" s="673" t="s">
        <v>889</v>
      </c>
      <c r="G52" s="674"/>
      <c r="H52" s="472"/>
      <c r="I52" s="676"/>
      <c r="J52" s="676"/>
      <c r="K52" s="677">
        <f>K50</f>
        <v>39370</v>
      </c>
      <c r="L52" s="678" t="s">
        <v>158</v>
      </c>
      <c r="M52" s="680" t="s">
        <v>305</v>
      </c>
      <c r="N52" s="525" t="str">
        <f>IF(AND('331-CT'!$E$7=TH!H52,OR(L52="331",M52="331")),"331",IF(AND(OR(L52="131",M52="131"),H52='131-CT'!$E$7),"131",""))</f>
        <v/>
      </c>
      <c r="O52" s="525" t="str">
        <f>IF(AND($B52&gt;='111'!$N$11,$B52&lt;='111'!$O$11,OR($L52=$O$7,$M52=$O$7)),"x","")</f>
        <v/>
      </c>
      <c r="P52" s="525" t="str">
        <f>IF(AND($L52=$O$7,$B52&lt;'111'!$N$11),"x","")</f>
        <v/>
      </c>
      <c r="Q52" s="525" t="str">
        <f>IF(AND($M52=$O$7,$B52&lt;'111'!$N$11),"x","")</f>
        <v/>
      </c>
      <c r="R52" s="525" t="str">
        <f>IF(ISERROR(FIND('112'!$M$9,G52,1)),"",IF((AND(FIND('112'!$M$9,G52,1)&gt;=1,$B52&gt;='112'!$N$8,$B52&lt;='112'!$O$8,OR($L52='112'!$I$6,$M52='112'!$I$6))),"x",""))</f>
        <v/>
      </c>
      <c r="S52" s="525" t="str">
        <f>IF(ISERROR(FIND('112'!$M$9,G52,1)),"",IF((AND(LEFT(G52,2)=LEFT('112'!$M$9,2),B52&lt;'112'!$N$8,$L52='112'!$I$6)),"x",""))</f>
        <v/>
      </c>
      <c r="T52" s="525" t="str">
        <f>IF(ISERROR(FIND('112'!$M$9,G52,1)),"",IF((AND(RIGHT(G52,2)=RIGHT('112'!$M$9,2),B52&lt;'112'!$N$8,$M52='112'!$I$6)),"x",""))</f>
        <v/>
      </c>
      <c r="U52" s="525" t="str">
        <f>IF(AND(B52&gt;='IN-NX'!$P$3,B52&lt;='IN-NX'!$Q$3,'IN-NX'!$D$7=D52,OR(LEFT(L52,2)="15",AND(LEFT(M52,2)&lt;&gt;"15",LEFT(M52,2)&lt;&gt;"33"))),"x","")</f>
        <v/>
      </c>
      <c r="V52" s="525" t="str">
        <f>IF(AND(OR(LEFT(TH!L52,2)="15",LEFT(TH!M52,2)="15"),'152-CT'!$J$8=TH!F52),"x","")</f>
        <v/>
      </c>
      <c r="W52" s="525" t="str">
        <f>IF(AND(OR(LEFT(TH!L52,2)="15",LEFT(TH!M52,2)="15"),TK!$E$7=TH!F52),"x","")</f>
        <v/>
      </c>
      <c r="X52" s="525" t="str">
        <f>IF(AND('341-CT'!$E$9=H52,OR(LEFT(L52,3)=$X$7,LEFT(M52,3)=$X$7)),"x","")</f>
        <v/>
      </c>
      <c r="Y52" s="525" t="str">
        <f>IF(OR(TH!L52=TH!$Y$7,M52=TH!$Y$7),"x","")</f>
        <v/>
      </c>
      <c r="Z52" s="525" t="str">
        <f>IF(AND(B52&lt;=NKC!$N$8,B52&gt;=NKC!$M$8),"x","")</f>
        <v>x</v>
      </c>
      <c r="AA52" s="536"/>
      <c r="AD52" s="536"/>
    </row>
    <row r="53" spans="1:30" s="503" customFormat="1" ht="15.75" customHeight="1">
      <c r="A53" s="517" t="str">
        <f>IF(B53&lt;&gt;"",IF(AND(B53&gt;=_TM1,B53&lt;=_TM2,OR(TH!L53="1111",TH!M53="1111")),TH!D53,""),"")</f>
        <v/>
      </c>
      <c r="B53" s="531">
        <f t="shared" ref="B53:B67" si="4">IF(C53&lt;&gt;"",MONTH(C53),"")</f>
        <v>3</v>
      </c>
      <c r="C53" s="671">
        <f t="shared" ref="C53:C67" si="5">E53</f>
        <v>42825</v>
      </c>
      <c r="D53" s="671" t="s">
        <v>476</v>
      </c>
      <c r="E53" s="672">
        <v>42825</v>
      </c>
      <c r="F53" s="673" t="s">
        <v>870</v>
      </c>
      <c r="G53" s="674"/>
      <c r="H53" s="675"/>
      <c r="I53" s="676"/>
      <c r="J53" s="676"/>
      <c r="K53" s="674">
        <v>19837000</v>
      </c>
      <c r="L53" s="678" t="s">
        <v>81</v>
      </c>
      <c r="M53" s="678" t="s">
        <v>225</v>
      </c>
      <c r="N53" s="525" t="str">
        <f>IF(AND('331-CT'!$E$7=TH!H53,OR(L53="331",M53="331")),"331",IF(AND(OR(L53="131",M53="131"),H53='131-CT'!$E$7),"131",""))</f>
        <v/>
      </c>
      <c r="O53" s="525" t="str">
        <f>IF(AND($B53&gt;='111'!$N$11,$B53&lt;='111'!$O$11,OR($L53=$O$7,$M53=$O$7)),"x","")</f>
        <v/>
      </c>
      <c r="P53" s="525" t="str">
        <f>IF(AND($L53=$O$7,$B53&lt;'111'!$N$11),"x","")</f>
        <v/>
      </c>
      <c r="Q53" s="525" t="str">
        <f>IF(AND($M53=$O$7,$B53&lt;'111'!$N$11),"x","")</f>
        <v/>
      </c>
      <c r="R53" s="525" t="str">
        <f>IF(ISERROR(FIND('112'!$M$9,G53,1)),"",IF((AND(FIND('112'!$M$9,G53,1)&gt;=1,$B53&gt;='112'!$N$8,$B53&lt;='112'!$O$8,OR($L53='112'!$I$6,$M53='112'!$I$6))),"x",""))</f>
        <v/>
      </c>
      <c r="S53" s="525" t="str">
        <f>IF(ISERROR(FIND('112'!$M$9,G53,1)),"",IF((AND(LEFT(G53,2)=LEFT('112'!$M$9,2),B53&lt;'112'!$N$8,$L53='112'!$I$6)),"x",""))</f>
        <v/>
      </c>
      <c r="T53" s="525" t="str">
        <f>IF(ISERROR(FIND('112'!$M$9,G53,1)),"",IF((AND(RIGHT(G53,2)=RIGHT('112'!$M$9,2),B53&lt;'112'!$N$8,$M53='112'!$I$6)),"x",""))</f>
        <v/>
      </c>
      <c r="U53" s="525" t="str">
        <f>IF(AND(B53&gt;='IN-NX'!$P$3,B53&lt;='IN-NX'!$Q$3,'IN-NX'!$D$7=D53,OR(LEFT(L53,2)="15",AND(LEFT(M53,2)&lt;&gt;"15",LEFT(M53,2)&lt;&gt;"33"))),"x","")</f>
        <v/>
      </c>
      <c r="V53" s="525" t="str">
        <f>IF(AND(OR(LEFT(TH!L53,2)="15",LEFT(TH!M53,2)="15"),'152-CT'!$J$8=TH!F53),"x","")</f>
        <v/>
      </c>
      <c r="W53" s="525" t="str">
        <f>IF(AND(OR(LEFT(TH!L53,2)="15",LEFT(TH!M53,2)="15"),TK!$E$7=TH!F53),"x","")</f>
        <v/>
      </c>
      <c r="X53" s="525" t="str">
        <f>IF(AND('341-CT'!$E$9=H53,OR(LEFT(L53,3)=$X$7,LEFT(M53,3)=$X$7)),"x","")</f>
        <v/>
      </c>
      <c r="Y53" s="525" t="str">
        <f>IF(OR(TH!L53=TH!$Y$7,M53=TH!$Y$7),"x","")</f>
        <v>x</v>
      </c>
      <c r="Z53" s="525" t="str">
        <f>IF(AND(B53&lt;=NKC!$N$8,B53&gt;=NKC!$M$8),"x","")</f>
        <v>x</v>
      </c>
      <c r="AA53" s="536"/>
      <c r="AD53" s="536"/>
    </row>
    <row r="54" spans="1:30" s="503" customFormat="1" ht="15.75" customHeight="1">
      <c r="A54" s="517" t="str">
        <f>IF(B54&lt;&gt;"",IF(AND(B54&gt;=_TM1,B54&lt;=_TM2,OR(TH!L54="1111",TH!M54="1111")),TH!D54,""),"")</f>
        <v/>
      </c>
      <c r="B54" s="531">
        <f t="shared" si="4"/>
        <v>3</v>
      </c>
      <c r="C54" s="671">
        <f t="shared" si="5"/>
        <v>42825</v>
      </c>
      <c r="D54" s="671" t="s">
        <v>476</v>
      </c>
      <c r="E54" s="672">
        <v>42825</v>
      </c>
      <c r="F54" s="673" t="s">
        <v>871</v>
      </c>
      <c r="G54" s="674"/>
      <c r="H54" s="675"/>
      <c r="I54" s="676"/>
      <c r="J54" s="676"/>
      <c r="K54" s="674">
        <v>3937000</v>
      </c>
      <c r="L54" s="678" t="s">
        <v>158</v>
      </c>
      <c r="M54" s="678" t="s">
        <v>225</v>
      </c>
      <c r="N54" s="525" t="str">
        <f>IF(AND('331-CT'!$E$7=TH!H54,OR(L54="331",M54="331")),"331",IF(AND(OR(L54="131",M54="131"),H54='131-CT'!$E$7),"131",""))</f>
        <v/>
      </c>
      <c r="O54" s="525" t="str">
        <f>IF(AND($B54&gt;='111'!$N$11,$B54&lt;='111'!$O$11,OR($L54=$O$7,$M54=$O$7)),"x","")</f>
        <v/>
      </c>
      <c r="P54" s="525" t="str">
        <f>IF(AND($L54=$O$7,$B54&lt;'111'!$N$11),"x","")</f>
        <v/>
      </c>
      <c r="Q54" s="525" t="str">
        <f>IF(AND($M54=$O$7,$B54&lt;'111'!$N$11),"x","")</f>
        <v/>
      </c>
      <c r="R54" s="525" t="str">
        <f>IF(ISERROR(FIND('112'!$M$9,G54,1)),"",IF((AND(FIND('112'!$M$9,G54,1)&gt;=1,$B54&gt;='112'!$N$8,$B54&lt;='112'!$O$8,OR($L54='112'!$I$6,$M54='112'!$I$6))),"x",""))</f>
        <v/>
      </c>
      <c r="S54" s="525" t="str">
        <f>IF(ISERROR(FIND('112'!$M$9,G54,1)),"",IF((AND(LEFT(G54,2)=LEFT('112'!$M$9,2),B54&lt;'112'!$N$8,$L54='112'!$I$6)),"x",""))</f>
        <v/>
      </c>
      <c r="T54" s="525" t="str">
        <f>IF(ISERROR(FIND('112'!$M$9,G54,1)),"",IF((AND(RIGHT(G54,2)=RIGHT('112'!$M$9,2),B54&lt;'112'!$N$8,$M54='112'!$I$6)),"x",""))</f>
        <v/>
      </c>
      <c r="U54" s="525" t="str">
        <f>IF(AND(B54&gt;='IN-NX'!$P$3,B54&lt;='IN-NX'!$Q$3,'IN-NX'!$D$7=D54,OR(LEFT(L54,2)="15",AND(LEFT(M54,2)&lt;&gt;"15",LEFT(M54,2)&lt;&gt;"33"))),"x","")</f>
        <v/>
      </c>
      <c r="V54" s="525" t="str">
        <f>IF(AND(OR(LEFT(TH!L54,2)="15",LEFT(TH!M54,2)="15"),'152-CT'!$J$8=TH!F54),"x","")</f>
        <v/>
      </c>
      <c r="W54" s="525" t="str">
        <f>IF(AND(OR(LEFT(TH!L54,2)="15",LEFT(TH!M54,2)="15"),TK!$E$7=TH!F54),"x","")</f>
        <v/>
      </c>
      <c r="X54" s="525" t="str">
        <f>IF(AND('341-CT'!$E$9=H54,OR(LEFT(L54,3)=$X$7,LEFT(M54,3)=$X$7)),"x","")</f>
        <v/>
      </c>
      <c r="Y54" s="525" t="str">
        <f>IF(OR(TH!L54=TH!$Y$7,M54=TH!$Y$7),"x","")</f>
        <v>x</v>
      </c>
      <c r="Z54" s="525" t="str">
        <f>IF(AND(B54&lt;=NKC!$N$8,B54&gt;=NKC!$M$8),"x","")</f>
        <v>x</v>
      </c>
      <c r="AA54" s="536"/>
      <c r="AD54" s="536"/>
    </row>
    <row r="55" spans="1:30" s="503" customFormat="1" ht="15.75" customHeight="1">
      <c r="A55" s="517" t="str">
        <f>IF(B55&lt;&gt;"",IF(AND(B55&gt;=_TM1,B55&lt;=_TM2,OR(TH!L55="1111",TH!M55="1111")),TH!D55,""),"")</f>
        <v>C12</v>
      </c>
      <c r="B55" s="531">
        <f t="shared" si="4"/>
        <v>3</v>
      </c>
      <c r="C55" s="671">
        <f t="shared" si="5"/>
        <v>42825</v>
      </c>
      <c r="D55" s="679" t="s">
        <v>872</v>
      </c>
      <c r="E55" s="672">
        <v>42825</v>
      </c>
      <c r="F55" s="673" t="s">
        <v>892</v>
      </c>
      <c r="G55" s="674"/>
      <c r="H55" s="472" t="s">
        <v>460</v>
      </c>
      <c r="I55" s="676"/>
      <c r="J55" s="676"/>
      <c r="K55" s="677">
        <v>21277730</v>
      </c>
      <c r="L55" s="678" t="s">
        <v>225</v>
      </c>
      <c r="M55" s="678" t="s">
        <v>45</v>
      </c>
      <c r="N55" s="525" t="str">
        <f>IF(AND('331-CT'!$E$7=TH!H55,OR(L55="331",M55="331")),"331",IF(AND(OR(L55="131",M55="131"),H55='131-CT'!$E$7),"131",""))</f>
        <v/>
      </c>
      <c r="O55" s="525" t="str">
        <f>IF(AND($B55&gt;='111'!$N$11,$B55&lt;='111'!$O$11,OR($L55=$O$7,$M55=$O$7)),"x","")</f>
        <v/>
      </c>
      <c r="P55" s="525" t="str">
        <f>IF(AND($L55=$O$7,$B55&lt;'111'!$N$11),"x","")</f>
        <v/>
      </c>
      <c r="Q55" s="525" t="str">
        <f>IF(AND($M55=$O$7,$B55&lt;'111'!$N$11),"x","")</f>
        <v>x</v>
      </c>
      <c r="R55" s="525" t="str">
        <f>IF(ISERROR(FIND('112'!$M$9,G55,1)),"",IF((AND(FIND('112'!$M$9,G55,1)&gt;=1,$B55&gt;='112'!$N$8,$B55&lt;='112'!$O$8,OR($L55='112'!$I$6,$M55='112'!$I$6))),"x",""))</f>
        <v/>
      </c>
      <c r="S55" s="525" t="str">
        <f>IF(ISERROR(FIND('112'!$M$9,G55,1)),"",IF((AND(LEFT(G55,2)=LEFT('112'!$M$9,2),B55&lt;'112'!$N$8,$L55='112'!$I$6)),"x",""))</f>
        <v/>
      </c>
      <c r="T55" s="525" t="str">
        <f>IF(ISERROR(FIND('112'!$M$9,G55,1)),"",IF((AND(RIGHT(G55,2)=RIGHT('112'!$M$9,2),B55&lt;'112'!$N$8,$M55='112'!$I$6)),"x",""))</f>
        <v/>
      </c>
      <c r="U55" s="525" t="str">
        <f>IF(AND(B55&gt;='IN-NX'!$P$3,B55&lt;='IN-NX'!$Q$3,'IN-NX'!$D$7=D55,OR(LEFT(L55,2)="15",AND(LEFT(M55,2)&lt;&gt;"15",LEFT(M55,2)&lt;&gt;"33"))),"x","")</f>
        <v/>
      </c>
      <c r="V55" s="525" t="str">
        <f>IF(AND(OR(LEFT(TH!L55,2)="15",LEFT(TH!M55,2)="15"),'152-CT'!$J$8=TH!F55),"x","")</f>
        <v/>
      </c>
      <c r="W55" s="525" t="str">
        <f>IF(AND(OR(LEFT(TH!L55,2)="15",LEFT(TH!M55,2)="15"),TK!$E$7=TH!F55),"x","")</f>
        <v/>
      </c>
      <c r="X55" s="525" t="str">
        <f>IF(AND('341-CT'!$E$9=H55,OR(LEFT(L55,3)=$X$7,LEFT(M55,3)=$X$7)),"x","")</f>
        <v/>
      </c>
      <c r="Y55" s="525" t="str">
        <f>IF(OR(TH!L55=TH!$Y$7,M55=TH!$Y$7),"x","")</f>
        <v>x</v>
      </c>
      <c r="Z55" s="525" t="str">
        <f>IF(AND(B55&lt;=NKC!$N$8,B55&gt;=NKC!$M$8),"x","")</f>
        <v>x</v>
      </c>
      <c r="AA55" s="536"/>
      <c r="AD55" s="536"/>
    </row>
    <row r="56" spans="1:30" s="503" customFormat="1" ht="15.75" customHeight="1">
      <c r="A56" s="517" t="str">
        <f>IF(B56&lt;&gt;"",IF(AND(B56&gt;=_TM1,B56&lt;=_TM2,OR(TH!L56="1111",TH!M56="1111")),TH!D56,""),"")</f>
        <v/>
      </c>
      <c r="B56" s="531">
        <f t="shared" si="4"/>
        <v>3</v>
      </c>
      <c r="C56" s="671">
        <f t="shared" si="5"/>
        <v>42825</v>
      </c>
      <c r="D56" s="671" t="s">
        <v>476</v>
      </c>
      <c r="E56" s="672">
        <v>42825</v>
      </c>
      <c r="F56" s="673" t="s">
        <v>873</v>
      </c>
      <c r="G56" s="674" t="s">
        <v>874</v>
      </c>
      <c r="H56" s="675"/>
      <c r="I56" s="676"/>
      <c r="J56" s="676"/>
      <c r="K56" s="677">
        <f>ROUND(K53*$G56,0)</f>
        <v>1586960</v>
      </c>
      <c r="L56" s="680" t="s">
        <v>225</v>
      </c>
      <c r="M56" s="680" t="s">
        <v>302</v>
      </c>
      <c r="N56" s="525" t="str">
        <f>IF(AND('331-CT'!$E$7=TH!H56,OR(L56="331",M56="331")),"331",IF(AND(OR(L56="131",M56="131"),H56='131-CT'!$E$7),"131",""))</f>
        <v/>
      </c>
      <c r="O56" s="525" t="str">
        <f>IF(AND($B56&gt;='111'!$N$11,$B56&lt;='111'!$O$11,OR($L56=$O$7,$M56=$O$7)),"x","")</f>
        <v/>
      </c>
      <c r="P56" s="525" t="str">
        <f>IF(AND($L56=$O$7,$B56&lt;'111'!$N$11),"x","")</f>
        <v/>
      </c>
      <c r="Q56" s="525" t="str">
        <f>IF(AND($M56=$O$7,$B56&lt;'111'!$N$11),"x","")</f>
        <v/>
      </c>
      <c r="R56" s="525" t="str">
        <f>IF(ISERROR(FIND('112'!$M$9,G56,1)),"",IF((AND(FIND('112'!$M$9,G56,1)&gt;=1,$B56&gt;='112'!$N$8,$B56&lt;='112'!$O$8,OR($L56='112'!$I$6,$M56='112'!$I$6))),"x",""))</f>
        <v/>
      </c>
      <c r="S56" s="525" t="str">
        <f>IF(ISERROR(FIND('112'!$M$9,G56,1)),"",IF((AND(LEFT(G56,2)=LEFT('112'!$M$9,2),B56&lt;'112'!$N$8,$L56='112'!$I$6)),"x",""))</f>
        <v/>
      </c>
      <c r="T56" s="525" t="str">
        <f>IF(ISERROR(FIND('112'!$M$9,G56,1)),"",IF((AND(RIGHT(G56,2)=RIGHT('112'!$M$9,2),B56&lt;'112'!$N$8,$M56='112'!$I$6)),"x",""))</f>
        <v/>
      </c>
      <c r="U56" s="525" t="str">
        <f>IF(AND(B56&gt;='IN-NX'!$P$3,B56&lt;='IN-NX'!$Q$3,'IN-NX'!$D$7=D56,OR(LEFT(L56,2)="15",AND(LEFT(M56,2)&lt;&gt;"15",LEFT(M56,2)&lt;&gt;"33"))),"x","")</f>
        <v/>
      </c>
      <c r="V56" s="525" t="str">
        <f>IF(AND(OR(LEFT(TH!L56,2)="15",LEFT(TH!M56,2)="15"),'152-CT'!$J$8=TH!F56),"x","")</f>
        <v/>
      </c>
      <c r="W56" s="525" t="str">
        <f>IF(AND(OR(LEFT(TH!L56,2)="15",LEFT(TH!M56,2)="15"),TK!$E$7=TH!F56),"x","")</f>
        <v/>
      </c>
      <c r="X56" s="525" t="str">
        <f>IF(AND('341-CT'!$E$9=H56,OR(LEFT(L56,3)=$X$7,LEFT(M56,3)=$X$7)),"x","")</f>
        <v/>
      </c>
      <c r="Y56" s="525" t="str">
        <f>IF(OR(TH!L56=TH!$Y$7,M56=TH!$Y$7),"x","")</f>
        <v>x</v>
      </c>
      <c r="Z56" s="525" t="str">
        <f>IF(AND(B56&lt;=NKC!$N$8,B56&gt;=NKC!$M$8),"x","")</f>
        <v>x</v>
      </c>
      <c r="AA56" s="536"/>
      <c r="AD56" s="536"/>
    </row>
    <row r="57" spans="1:30" s="503" customFormat="1" ht="15.75" customHeight="1">
      <c r="A57" s="517" t="str">
        <f>IF(B57&lt;&gt;"",IF(AND(B57&gt;=_TM1,B57&lt;=_TM2,OR(TH!L57="1111",TH!M57="1111")),TH!D57,""),"")</f>
        <v/>
      </c>
      <c r="B57" s="531">
        <f t="shared" si="4"/>
        <v>3</v>
      </c>
      <c r="C57" s="671">
        <f t="shared" si="5"/>
        <v>42825</v>
      </c>
      <c r="D57" s="671" t="s">
        <v>476</v>
      </c>
      <c r="E57" s="672">
        <v>42825</v>
      </c>
      <c r="F57" s="673" t="s">
        <v>875</v>
      </c>
      <c r="G57" s="674"/>
      <c r="H57" s="675"/>
      <c r="I57" s="676"/>
      <c r="J57" s="676"/>
      <c r="K57" s="677">
        <f>ROUND(G56*K54,0)</f>
        <v>314960</v>
      </c>
      <c r="L57" s="678" t="s">
        <v>225</v>
      </c>
      <c r="M57" s="681" t="s">
        <v>302</v>
      </c>
      <c r="N57" s="525" t="str">
        <f>IF(AND('331-CT'!$E$7=TH!H57,OR(L57="331",M57="331")),"331",IF(AND(OR(L57="131",M57="131"),H57='131-CT'!$E$7),"131",""))</f>
        <v/>
      </c>
      <c r="O57" s="525" t="str">
        <f>IF(AND($B57&gt;='111'!$N$11,$B57&lt;='111'!$O$11,OR($L57=$O$7,$M57=$O$7)),"x","")</f>
        <v/>
      </c>
      <c r="P57" s="525" t="str">
        <f>IF(AND($L57=$O$7,$B57&lt;'111'!$N$11),"x","")</f>
        <v/>
      </c>
      <c r="Q57" s="525" t="str">
        <f>IF(AND($M57=$O$7,$B57&lt;'111'!$N$11),"x","")</f>
        <v/>
      </c>
      <c r="R57" s="525" t="str">
        <f>IF(ISERROR(FIND('112'!$M$9,G57,1)),"",IF((AND(FIND('112'!$M$9,G57,1)&gt;=1,$B57&gt;='112'!$N$8,$B57&lt;='112'!$O$8,OR($L57='112'!$I$6,$M57='112'!$I$6))),"x",""))</f>
        <v/>
      </c>
      <c r="S57" s="525" t="str">
        <f>IF(ISERROR(FIND('112'!$M$9,G57,1)),"",IF((AND(LEFT(G57,2)=LEFT('112'!$M$9,2),B57&lt;'112'!$N$8,$L57='112'!$I$6)),"x",""))</f>
        <v/>
      </c>
      <c r="T57" s="525" t="str">
        <f>IF(ISERROR(FIND('112'!$M$9,G57,1)),"",IF((AND(RIGHT(G57,2)=RIGHT('112'!$M$9,2),B57&lt;'112'!$N$8,$M57='112'!$I$6)),"x",""))</f>
        <v/>
      </c>
      <c r="U57" s="525" t="str">
        <f>IF(AND(B57&gt;='IN-NX'!$P$3,B57&lt;='IN-NX'!$Q$3,'IN-NX'!$D$7=D57,OR(LEFT(L57,2)="15",AND(LEFT(M57,2)&lt;&gt;"15",LEFT(M57,2)&lt;&gt;"33"))),"x","")</f>
        <v/>
      </c>
      <c r="V57" s="525" t="str">
        <f>IF(AND(OR(LEFT(TH!L57,2)="15",LEFT(TH!M57,2)="15"),'152-CT'!$J$8=TH!F57),"x","")</f>
        <v/>
      </c>
      <c r="W57" s="525" t="str">
        <f>IF(AND(OR(LEFT(TH!L57,2)="15",LEFT(TH!M57,2)="15"),TK!$E$7=TH!F57),"x","")</f>
        <v/>
      </c>
      <c r="X57" s="525" t="str">
        <f>IF(AND('341-CT'!$E$9=H57,OR(LEFT(L57,3)=$X$7,LEFT(M57,3)=$X$7)),"x","")</f>
        <v/>
      </c>
      <c r="Y57" s="525" t="str">
        <f>IF(OR(TH!L57=TH!$Y$7,M57=TH!$Y$7),"x","")</f>
        <v>x</v>
      </c>
      <c r="Z57" s="525" t="str">
        <f>IF(AND(B57&lt;=NKC!$N$8,B57&gt;=NKC!$M$8),"x","")</f>
        <v>x</v>
      </c>
      <c r="AA57" s="536"/>
      <c r="AD57" s="536"/>
    </row>
    <row r="58" spans="1:30" s="503" customFormat="1" ht="15.75" customHeight="1">
      <c r="A58" s="517" t="str">
        <f>IF(B58&lt;&gt;"",IF(AND(B58&gt;=_TM1,B58&lt;=_TM2,OR(TH!L58="1111",TH!M58="1111")),TH!D58,""),"")</f>
        <v/>
      </c>
      <c r="B58" s="531">
        <f t="shared" si="4"/>
        <v>3</v>
      </c>
      <c r="C58" s="671">
        <f t="shared" si="5"/>
        <v>42825</v>
      </c>
      <c r="D58" s="679" t="s">
        <v>476</v>
      </c>
      <c r="E58" s="672">
        <v>42825</v>
      </c>
      <c r="F58" s="673" t="s">
        <v>876</v>
      </c>
      <c r="G58" s="674" t="s">
        <v>877</v>
      </c>
      <c r="H58" s="472"/>
      <c r="I58" s="676"/>
      <c r="J58" s="676"/>
      <c r="K58" s="677">
        <f>ROUND(K53*$G58,0)</f>
        <v>3570660</v>
      </c>
      <c r="L58" s="680" t="s">
        <v>224</v>
      </c>
      <c r="M58" s="680" t="s">
        <v>302</v>
      </c>
      <c r="N58" s="525" t="str">
        <f>IF(AND('331-CT'!$E$7=TH!H58,OR(L58="331",M58="331")),"331",IF(AND(OR(L58="131",M58="131"),H58='131-CT'!$E$7),"131",""))</f>
        <v/>
      </c>
      <c r="O58" s="525" t="str">
        <f>IF(AND($B58&gt;='111'!$N$11,$B58&lt;='111'!$O$11,OR($L58=$O$7,$M58=$O$7)),"x","")</f>
        <v/>
      </c>
      <c r="P58" s="525" t="str">
        <f>IF(AND($L58=$O$7,$B58&lt;'111'!$N$11),"x","")</f>
        <v/>
      </c>
      <c r="Q58" s="525" t="str">
        <f>IF(AND($M58=$O$7,$B58&lt;'111'!$N$11),"x","")</f>
        <v/>
      </c>
      <c r="R58" s="525" t="str">
        <f>IF(ISERROR(FIND('112'!$M$9,G58,1)),"",IF((AND(FIND('112'!$M$9,G58,1)&gt;=1,$B58&gt;='112'!$N$8,$B58&lt;='112'!$O$8,OR($L58='112'!$I$6,$M58='112'!$I$6))),"x",""))</f>
        <v/>
      </c>
      <c r="S58" s="525" t="str">
        <f>IF(ISERROR(FIND('112'!$M$9,G58,1)),"",IF((AND(LEFT(G58,2)=LEFT('112'!$M$9,2),B58&lt;'112'!$N$8,$L58='112'!$I$6)),"x",""))</f>
        <v/>
      </c>
      <c r="T58" s="525" t="str">
        <f>IF(ISERROR(FIND('112'!$M$9,G58,1)),"",IF((AND(RIGHT(G58,2)=RIGHT('112'!$M$9,2),B58&lt;'112'!$N$8,$M58='112'!$I$6)),"x",""))</f>
        <v/>
      </c>
      <c r="U58" s="525" t="str">
        <f>IF(AND(B58&gt;='IN-NX'!$P$3,B58&lt;='IN-NX'!$Q$3,'IN-NX'!$D$7=D58,OR(LEFT(L58,2)="15",AND(LEFT(M58,2)&lt;&gt;"15",LEFT(M58,2)&lt;&gt;"33"))),"x","")</f>
        <v/>
      </c>
      <c r="V58" s="525" t="str">
        <f>IF(AND(OR(LEFT(TH!L58,2)="15",LEFT(TH!M58,2)="15"),'152-CT'!$J$8=TH!F58),"x","")</f>
        <v/>
      </c>
      <c r="W58" s="525" t="str">
        <f>IF(AND(OR(LEFT(TH!L58,2)="15",LEFT(TH!M58,2)="15"),TK!$E$7=TH!F58),"x","")</f>
        <v/>
      </c>
      <c r="X58" s="525" t="str">
        <f>IF(AND('341-CT'!$E$9=H58,OR(LEFT(L58,3)=$X$7,LEFT(M58,3)=$X$7)),"x","")</f>
        <v/>
      </c>
      <c r="Y58" s="525" t="str">
        <f>IF(OR(TH!L58=TH!$Y$7,M58=TH!$Y$7),"x","")</f>
        <v/>
      </c>
      <c r="Z58" s="525" t="str">
        <f>IF(AND(B58&lt;=NKC!$N$8,B58&gt;=NKC!$M$8),"x","")</f>
        <v>x</v>
      </c>
      <c r="AA58" s="536"/>
      <c r="AD58" s="536"/>
    </row>
    <row r="59" spans="1:30" s="503" customFormat="1" ht="15.75" customHeight="1">
      <c r="A59" s="517" t="str">
        <f>IF(B59&lt;&gt;"",IF(AND(B59&gt;=_TM1,B59&lt;=_TM2,OR(TH!L59="1111",TH!M59="1111")),TH!D59,""),"")</f>
        <v/>
      </c>
      <c r="B59" s="531">
        <f t="shared" si="4"/>
        <v>3</v>
      </c>
      <c r="C59" s="671">
        <f t="shared" si="5"/>
        <v>42825</v>
      </c>
      <c r="D59" s="671" t="s">
        <v>476</v>
      </c>
      <c r="E59" s="672">
        <v>42825</v>
      </c>
      <c r="F59" s="673" t="s">
        <v>878</v>
      </c>
      <c r="G59" s="674"/>
      <c r="H59" s="675"/>
      <c r="I59" s="676"/>
      <c r="J59" s="676"/>
      <c r="K59" s="677">
        <f>ROUND(K54*$G58,0)</f>
        <v>708660</v>
      </c>
      <c r="L59" s="678" t="s">
        <v>158</v>
      </c>
      <c r="M59" s="680" t="s">
        <v>302</v>
      </c>
      <c r="N59" s="525" t="str">
        <f>IF(AND('331-CT'!$E$7=TH!H59,OR(L59="331",M59="331")),"331",IF(AND(OR(L59="131",M59="131"),H59='131-CT'!$E$7),"131",""))</f>
        <v/>
      </c>
      <c r="O59" s="525" t="str">
        <f>IF(AND($B59&gt;='111'!$N$11,$B59&lt;='111'!$O$11,OR($L59=$O$7,$M59=$O$7)),"x","")</f>
        <v/>
      </c>
      <c r="P59" s="525" t="str">
        <f>IF(AND($L59=$O$7,$B59&lt;'111'!$N$11),"x","")</f>
        <v/>
      </c>
      <c r="Q59" s="525" t="str">
        <f>IF(AND($M59=$O$7,$B59&lt;'111'!$N$11),"x","")</f>
        <v/>
      </c>
      <c r="R59" s="525" t="str">
        <f>IF(ISERROR(FIND('112'!$M$9,G59,1)),"",IF((AND(FIND('112'!$M$9,G59,1)&gt;=1,$B59&gt;='112'!$N$8,$B59&lt;='112'!$O$8,OR($L59='112'!$I$6,$M59='112'!$I$6))),"x",""))</f>
        <v/>
      </c>
      <c r="S59" s="525" t="str">
        <f>IF(ISERROR(FIND('112'!$M$9,G59,1)),"",IF((AND(LEFT(G59,2)=LEFT('112'!$M$9,2),B59&lt;'112'!$N$8,$L59='112'!$I$6)),"x",""))</f>
        <v/>
      </c>
      <c r="T59" s="525" t="str">
        <f>IF(ISERROR(FIND('112'!$M$9,G59,1)),"",IF((AND(RIGHT(G59,2)=RIGHT('112'!$M$9,2),B59&lt;'112'!$N$8,$M59='112'!$I$6)),"x",""))</f>
        <v/>
      </c>
      <c r="U59" s="525" t="str">
        <f>IF(AND(B59&gt;='IN-NX'!$P$3,B59&lt;='IN-NX'!$Q$3,'IN-NX'!$D$7=D59,OR(LEFT(L59,2)="15",AND(LEFT(M59,2)&lt;&gt;"15",LEFT(M59,2)&lt;&gt;"33"))),"x","")</f>
        <v/>
      </c>
      <c r="V59" s="525" t="str">
        <f>IF(AND(OR(LEFT(TH!L59,2)="15",LEFT(TH!M59,2)="15"),'152-CT'!$J$8=TH!F59),"x","")</f>
        <v/>
      </c>
      <c r="W59" s="525" t="str">
        <f>IF(AND(OR(LEFT(TH!L59,2)="15",LEFT(TH!M59,2)="15"),TK!$E$7=TH!F59),"x","")</f>
        <v/>
      </c>
      <c r="X59" s="525" t="str">
        <f>IF(AND('341-CT'!$E$9=H59,OR(LEFT(L59,3)=$X$7,LEFT(M59,3)=$X$7)),"x","")</f>
        <v/>
      </c>
      <c r="Y59" s="525" t="str">
        <f>IF(OR(TH!L59=TH!$Y$7,M59=TH!$Y$7),"x","")</f>
        <v/>
      </c>
      <c r="Z59" s="525" t="str">
        <f>IF(AND(B59&lt;=NKC!$N$8,B59&gt;=NKC!$M$8),"x","")</f>
        <v>x</v>
      </c>
      <c r="AA59" s="536"/>
      <c r="AD59" s="536"/>
    </row>
    <row r="60" spans="1:30" s="503" customFormat="1" ht="15.75" customHeight="1">
      <c r="A60" s="517" t="str">
        <f>IF(B60&lt;&gt;"",IF(AND(B60&gt;=_TM1,B60&lt;=_TM2,OR(TH!L60="1111",TH!M60="1111")),TH!D60,""),"")</f>
        <v/>
      </c>
      <c r="B60" s="531">
        <f t="shared" si="4"/>
        <v>3</v>
      </c>
      <c r="C60" s="671">
        <f t="shared" si="5"/>
        <v>42825</v>
      </c>
      <c r="D60" s="671" t="s">
        <v>476</v>
      </c>
      <c r="E60" s="672">
        <v>42825</v>
      </c>
      <c r="F60" s="673" t="s">
        <v>879</v>
      </c>
      <c r="G60" s="674" t="s">
        <v>880</v>
      </c>
      <c r="H60" s="675"/>
      <c r="I60" s="676"/>
      <c r="J60" s="676"/>
      <c r="K60" s="677">
        <f>ROUND(K53*$G60,0)</f>
        <v>297555</v>
      </c>
      <c r="L60" s="680" t="s">
        <v>225</v>
      </c>
      <c r="M60" s="680" t="s">
        <v>301</v>
      </c>
      <c r="N60" s="525" t="str">
        <f>IF(AND('331-CT'!$E$7=TH!H60,OR(L60="331",M60="331")),"331",IF(AND(OR(L60="131",M60="131"),H60='131-CT'!$E$7),"131",""))</f>
        <v/>
      </c>
      <c r="O60" s="525" t="str">
        <f>IF(AND($B60&gt;='111'!$N$11,$B60&lt;='111'!$O$11,OR($L60=$O$7,$M60=$O$7)),"x","")</f>
        <v/>
      </c>
      <c r="P60" s="525" t="str">
        <f>IF(AND($L60=$O$7,$B60&lt;'111'!$N$11),"x","")</f>
        <v/>
      </c>
      <c r="Q60" s="525" t="str">
        <f>IF(AND($M60=$O$7,$B60&lt;'111'!$N$11),"x","")</f>
        <v/>
      </c>
      <c r="R60" s="525" t="str">
        <f>IF(ISERROR(FIND('112'!$M$9,G60,1)),"",IF((AND(FIND('112'!$M$9,G60,1)&gt;=1,$B60&gt;='112'!$N$8,$B60&lt;='112'!$O$8,OR($L60='112'!$I$6,$M60='112'!$I$6))),"x",""))</f>
        <v/>
      </c>
      <c r="S60" s="525" t="str">
        <f>IF(ISERROR(FIND('112'!$M$9,G60,1)),"",IF((AND(LEFT(G60,2)=LEFT('112'!$M$9,2),B60&lt;'112'!$N$8,$L60='112'!$I$6)),"x",""))</f>
        <v/>
      </c>
      <c r="T60" s="525" t="str">
        <f>IF(ISERROR(FIND('112'!$M$9,G60,1)),"",IF((AND(RIGHT(G60,2)=RIGHT('112'!$M$9,2),B60&lt;'112'!$N$8,$M60='112'!$I$6)),"x",""))</f>
        <v/>
      </c>
      <c r="U60" s="525" t="str">
        <f>IF(AND(B60&gt;='IN-NX'!$P$3,B60&lt;='IN-NX'!$Q$3,'IN-NX'!$D$7=D60,OR(LEFT(L60,2)="15",AND(LEFT(M60,2)&lt;&gt;"15",LEFT(M60,2)&lt;&gt;"33"))),"x","")</f>
        <v/>
      </c>
      <c r="V60" s="525" t="str">
        <f>IF(AND(OR(LEFT(TH!L60,2)="15",LEFT(TH!M60,2)="15"),'152-CT'!$J$8=TH!F60),"x","")</f>
        <v/>
      </c>
      <c r="W60" s="525" t="str">
        <f>IF(AND(OR(LEFT(TH!L60,2)="15",LEFT(TH!M60,2)="15"),TK!$E$7=TH!F60),"x","")</f>
        <v/>
      </c>
      <c r="X60" s="525" t="str">
        <f>IF(AND('341-CT'!$E$9=H60,OR(LEFT(L60,3)=$X$7,LEFT(M60,3)=$X$7)),"x","")</f>
        <v/>
      </c>
      <c r="Y60" s="525" t="str">
        <f>IF(OR(TH!L60=TH!$Y$7,M60=TH!$Y$7),"x","")</f>
        <v>x</v>
      </c>
      <c r="Z60" s="525" t="str">
        <f>IF(AND(B60&lt;=NKC!$N$8,B60&gt;=NKC!$M$8),"x","")</f>
        <v>x</v>
      </c>
      <c r="AA60" s="536"/>
      <c r="AD60" s="536"/>
    </row>
    <row r="61" spans="1:30" s="503" customFormat="1" ht="15.75" customHeight="1">
      <c r="A61" s="517" t="str">
        <f>IF(B61&lt;&gt;"",IF(AND(B61&gt;=_TM1,B61&lt;=_TM2,OR(TH!L61="1111",TH!M61="1111")),TH!D61,""),"")</f>
        <v/>
      </c>
      <c r="B61" s="531">
        <f t="shared" si="4"/>
        <v>3</v>
      </c>
      <c r="C61" s="671">
        <f t="shared" si="5"/>
        <v>42825</v>
      </c>
      <c r="D61" s="679" t="s">
        <v>476</v>
      </c>
      <c r="E61" s="672">
        <v>42825</v>
      </c>
      <c r="F61" s="673" t="s">
        <v>881</v>
      </c>
      <c r="G61" s="674"/>
      <c r="H61" s="472"/>
      <c r="I61" s="676"/>
      <c r="J61" s="676"/>
      <c r="K61" s="677">
        <f>ROUND(K54*$G60,0)</f>
        <v>59055</v>
      </c>
      <c r="L61" s="680" t="s">
        <v>225</v>
      </c>
      <c r="M61" s="680" t="s">
        <v>301</v>
      </c>
      <c r="N61" s="525" t="str">
        <f>IF(AND('331-CT'!$E$7=TH!H61,OR(L61="331",M61="331")),"331",IF(AND(OR(L61="131",M61="131"),H61='131-CT'!$E$7),"131",""))</f>
        <v/>
      </c>
      <c r="O61" s="525" t="str">
        <f>IF(AND($B61&gt;='111'!$N$11,$B61&lt;='111'!$O$11,OR($L61=$O$7,$M61=$O$7)),"x","")</f>
        <v/>
      </c>
      <c r="P61" s="525" t="str">
        <f>IF(AND($L61=$O$7,$B61&lt;'111'!$N$11),"x","")</f>
        <v/>
      </c>
      <c r="Q61" s="525" t="str">
        <f>IF(AND($M61=$O$7,$B61&lt;'111'!$N$11),"x","")</f>
        <v/>
      </c>
      <c r="R61" s="525" t="str">
        <f>IF(ISERROR(FIND('112'!$M$9,G61,1)),"",IF((AND(FIND('112'!$M$9,G61,1)&gt;=1,$B61&gt;='112'!$N$8,$B61&lt;='112'!$O$8,OR($L61='112'!$I$6,$M61='112'!$I$6))),"x",""))</f>
        <v/>
      </c>
      <c r="S61" s="525" t="str">
        <f>IF(ISERROR(FIND('112'!$M$9,G61,1)),"",IF((AND(LEFT(G61,2)=LEFT('112'!$M$9,2),B61&lt;'112'!$N$8,$L61='112'!$I$6)),"x",""))</f>
        <v/>
      </c>
      <c r="T61" s="525" t="str">
        <f>IF(ISERROR(FIND('112'!$M$9,G61,1)),"",IF((AND(RIGHT(G61,2)=RIGHT('112'!$M$9,2),B61&lt;'112'!$N$8,$M61='112'!$I$6)),"x",""))</f>
        <v/>
      </c>
      <c r="U61" s="525" t="str">
        <f>IF(AND(B61&gt;='IN-NX'!$P$3,B61&lt;='IN-NX'!$Q$3,'IN-NX'!$D$7=D61,OR(LEFT(L61,2)="15",AND(LEFT(M61,2)&lt;&gt;"15",LEFT(M61,2)&lt;&gt;"33"))),"x","")</f>
        <v/>
      </c>
      <c r="V61" s="525" t="str">
        <f>IF(AND(OR(LEFT(TH!L61,2)="15",LEFT(TH!M61,2)="15"),'152-CT'!$J$8=TH!F61),"x","")</f>
        <v/>
      </c>
      <c r="W61" s="525" t="str">
        <f>IF(AND(OR(LEFT(TH!L61,2)="15",LEFT(TH!M61,2)="15"),TK!$E$7=TH!F61),"x","")</f>
        <v/>
      </c>
      <c r="X61" s="525" t="str">
        <f>IF(AND('341-CT'!$E$9=H61,OR(LEFT(L61,3)=$X$7,LEFT(M61,3)=$X$7)),"x","")</f>
        <v/>
      </c>
      <c r="Y61" s="525" t="str">
        <f>IF(OR(TH!L61=TH!$Y$7,M61=TH!$Y$7),"x","")</f>
        <v>x</v>
      </c>
      <c r="Z61" s="525" t="str">
        <f>IF(AND(B61&lt;=NKC!$N$8,B61&gt;=NKC!$M$8),"x","")</f>
        <v>x</v>
      </c>
      <c r="AA61" s="536"/>
      <c r="AD61" s="536"/>
    </row>
    <row r="62" spans="1:30" s="503" customFormat="1" ht="15.75" customHeight="1">
      <c r="A62" s="517" t="str">
        <f>IF(B62&lt;&gt;"",IF(AND(B62&gt;=_TM1,B62&lt;=_TM2,OR(TH!L62="1111",TH!M62="1111")),TH!D62,""),"")</f>
        <v/>
      </c>
      <c r="B62" s="531">
        <f t="shared" si="4"/>
        <v>3</v>
      </c>
      <c r="C62" s="671">
        <f t="shared" si="5"/>
        <v>42825</v>
      </c>
      <c r="D62" s="671" t="s">
        <v>476</v>
      </c>
      <c r="E62" s="672">
        <v>42825</v>
      </c>
      <c r="F62" s="673" t="s">
        <v>882</v>
      </c>
      <c r="G62" s="674" t="s">
        <v>883</v>
      </c>
      <c r="H62" s="675"/>
      <c r="I62" s="676"/>
      <c r="J62" s="676"/>
      <c r="K62" s="677">
        <f>ROUND(K53*$G62,0)</f>
        <v>595110</v>
      </c>
      <c r="L62" s="680" t="s">
        <v>224</v>
      </c>
      <c r="M62" s="680" t="s">
        <v>301</v>
      </c>
      <c r="N62" s="525" t="str">
        <f>IF(AND('331-CT'!$E$7=TH!H62,OR(L62="331",M62="331")),"331",IF(AND(OR(L62="131",M62="131"),H62='131-CT'!$E$7),"131",""))</f>
        <v/>
      </c>
      <c r="O62" s="525" t="str">
        <f>IF(AND($B62&gt;='111'!$N$11,$B62&lt;='111'!$O$11,OR($L62=$O$7,$M62=$O$7)),"x","")</f>
        <v/>
      </c>
      <c r="P62" s="525" t="str">
        <f>IF(AND($L62=$O$7,$B62&lt;'111'!$N$11),"x","")</f>
        <v/>
      </c>
      <c r="Q62" s="525" t="str">
        <f>IF(AND($M62=$O$7,$B62&lt;'111'!$N$11),"x","")</f>
        <v/>
      </c>
      <c r="R62" s="525" t="str">
        <f>IF(ISERROR(FIND('112'!$M$9,G62,1)),"",IF((AND(FIND('112'!$M$9,G62,1)&gt;=1,$B62&gt;='112'!$N$8,$B62&lt;='112'!$O$8,OR($L62='112'!$I$6,$M62='112'!$I$6))),"x",""))</f>
        <v/>
      </c>
      <c r="S62" s="525" t="str">
        <f>IF(ISERROR(FIND('112'!$M$9,G62,1)),"",IF((AND(LEFT(G62,2)=LEFT('112'!$M$9,2),B62&lt;'112'!$N$8,$L62='112'!$I$6)),"x",""))</f>
        <v/>
      </c>
      <c r="T62" s="525" t="str">
        <f>IF(ISERROR(FIND('112'!$M$9,G62,1)),"",IF((AND(RIGHT(G62,2)=RIGHT('112'!$M$9,2),B62&lt;'112'!$N$8,$M62='112'!$I$6)),"x",""))</f>
        <v/>
      </c>
      <c r="U62" s="525" t="str">
        <f>IF(AND(B62&gt;='IN-NX'!$P$3,B62&lt;='IN-NX'!$Q$3,'IN-NX'!$D$7=D62,OR(LEFT(L62,2)="15",AND(LEFT(M62,2)&lt;&gt;"15",LEFT(M62,2)&lt;&gt;"33"))),"x","")</f>
        <v/>
      </c>
      <c r="V62" s="525" t="str">
        <f>IF(AND(OR(LEFT(TH!L62,2)="15",LEFT(TH!M62,2)="15"),'152-CT'!$J$8=TH!F62),"x","")</f>
        <v/>
      </c>
      <c r="W62" s="525" t="str">
        <f>IF(AND(OR(LEFT(TH!L62,2)="15",LEFT(TH!M62,2)="15"),TK!$E$7=TH!F62),"x","")</f>
        <v/>
      </c>
      <c r="X62" s="525" t="str">
        <f>IF(AND('341-CT'!$E$9=H62,OR(LEFT(L62,3)=$X$7,LEFT(M62,3)=$X$7)),"x","")</f>
        <v/>
      </c>
      <c r="Y62" s="525" t="str">
        <f>IF(OR(TH!L62=TH!$Y$7,M62=TH!$Y$7),"x","")</f>
        <v/>
      </c>
      <c r="Z62" s="525" t="str">
        <f>IF(AND(B62&lt;=NKC!$N$8,B62&gt;=NKC!$M$8),"x","")</f>
        <v>x</v>
      </c>
      <c r="AA62" s="536"/>
      <c r="AD62" s="536"/>
    </row>
    <row r="63" spans="1:30" s="503" customFormat="1" ht="15.75" customHeight="1">
      <c r="A63" s="517" t="str">
        <f>IF(B63&lt;&gt;"",IF(AND(B63&gt;=_TM1,B63&lt;=_TM2,OR(TH!L63="1111",TH!M63="1111")),TH!D63,""),"")</f>
        <v/>
      </c>
      <c r="B63" s="531">
        <f t="shared" si="4"/>
        <v>3</v>
      </c>
      <c r="C63" s="671">
        <f t="shared" si="5"/>
        <v>42825</v>
      </c>
      <c r="D63" s="671" t="s">
        <v>476</v>
      </c>
      <c r="E63" s="672">
        <v>42825</v>
      </c>
      <c r="F63" s="673" t="s">
        <v>884</v>
      </c>
      <c r="G63" s="674"/>
      <c r="H63" s="675"/>
      <c r="I63" s="676"/>
      <c r="J63" s="676"/>
      <c r="K63" s="677">
        <f>ROUND(K54*$G62,0)</f>
        <v>118110</v>
      </c>
      <c r="L63" s="678" t="s">
        <v>158</v>
      </c>
      <c r="M63" s="680" t="s">
        <v>301</v>
      </c>
      <c r="N63" s="525" t="str">
        <f>IF(AND('331-CT'!$E$7=TH!H63,OR(L63="331",M63="331")),"331",IF(AND(OR(L63="131",M63="131"),H63='131-CT'!$E$7),"131",""))</f>
        <v/>
      </c>
      <c r="O63" s="525" t="str">
        <f>IF(AND($B63&gt;='111'!$N$11,$B63&lt;='111'!$O$11,OR($L63=$O$7,$M63=$O$7)),"x","")</f>
        <v/>
      </c>
      <c r="P63" s="525" t="str">
        <f>IF(AND($L63=$O$7,$B63&lt;'111'!$N$11),"x","")</f>
        <v/>
      </c>
      <c r="Q63" s="525" t="str">
        <f>IF(AND($M63=$O$7,$B63&lt;'111'!$N$11),"x","")</f>
        <v/>
      </c>
      <c r="R63" s="525" t="str">
        <f>IF(ISERROR(FIND('112'!$M$9,G63,1)),"",IF((AND(FIND('112'!$M$9,G63,1)&gt;=1,$B63&gt;='112'!$N$8,$B63&lt;='112'!$O$8,OR($L63='112'!$I$6,$M63='112'!$I$6))),"x",""))</f>
        <v/>
      </c>
      <c r="S63" s="525" t="str">
        <f>IF(ISERROR(FIND('112'!$M$9,G63,1)),"",IF((AND(LEFT(G63,2)=LEFT('112'!$M$9,2),B63&lt;'112'!$N$8,$L63='112'!$I$6)),"x",""))</f>
        <v/>
      </c>
      <c r="T63" s="525" t="str">
        <f>IF(ISERROR(FIND('112'!$M$9,G63,1)),"",IF((AND(RIGHT(G63,2)=RIGHT('112'!$M$9,2),B63&lt;'112'!$N$8,$M63='112'!$I$6)),"x",""))</f>
        <v/>
      </c>
      <c r="U63" s="525" t="str">
        <f>IF(AND(B63&gt;='IN-NX'!$P$3,B63&lt;='IN-NX'!$Q$3,'IN-NX'!$D$7=D63,OR(LEFT(L63,2)="15",AND(LEFT(M63,2)&lt;&gt;"15",LEFT(M63,2)&lt;&gt;"33"))),"x","")</f>
        <v/>
      </c>
      <c r="V63" s="525" t="str">
        <f>IF(AND(OR(LEFT(TH!L63,2)="15",LEFT(TH!M63,2)="15"),'152-CT'!$J$8=TH!F63),"x","")</f>
        <v/>
      </c>
      <c r="W63" s="525" t="str">
        <f>IF(AND(OR(LEFT(TH!L63,2)="15",LEFT(TH!M63,2)="15"),TK!$E$7=TH!F63),"x","")</f>
        <v/>
      </c>
      <c r="X63" s="525" t="str">
        <f>IF(AND('341-CT'!$E$9=H63,OR(LEFT(L63,3)=$X$7,LEFT(M63,3)=$X$7)),"x","")</f>
        <v/>
      </c>
      <c r="Y63" s="525" t="str">
        <f>IF(OR(TH!L63=TH!$Y$7,M63=TH!$Y$7),"x","")</f>
        <v/>
      </c>
      <c r="Z63" s="525" t="str">
        <f>IF(AND(B63&lt;=NKC!$N$8,B63&gt;=NKC!$M$8),"x","")</f>
        <v>x</v>
      </c>
      <c r="AA63" s="536"/>
      <c r="AD63" s="536"/>
    </row>
    <row r="64" spans="1:30" s="503" customFormat="1" ht="15.75" customHeight="1">
      <c r="A64" s="517" t="str">
        <f>IF(B64&lt;&gt;"",IF(AND(B64&gt;=_TM1,B64&lt;=_TM2,OR(TH!L64="1111",TH!M64="1111")),TH!D64,""),"")</f>
        <v/>
      </c>
      <c r="B64" s="531">
        <f t="shared" si="4"/>
        <v>3</v>
      </c>
      <c r="C64" s="671">
        <f t="shared" si="5"/>
        <v>42825</v>
      </c>
      <c r="D64" s="679" t="s">
        <v>476</v>
      </c>
      <c r="E64" s="672">
        <v>42825</v>
      </c>
      <c r="F64" s="673" t="s">
        <v>885</v>
      </c>
      <c r="G64" s="674" t="s">
        <v>886</v>
      </c>
      <c r="H64" s="472"/>
      <c r="I64" s="676"/>
      <c r="J64" s="676"/>
      <c r="K64" s="677">
        <f>ROUND(K53*$G64,0)</f>
        <v>198370</v>
      </c>
      <c r="L64" s="680" t="s">
        <v>225</v>
      </c>
      <c r="M64" s="680" t="s">
        <v>305</v>
      </c>
      <c r="N64" s="525" t="str">
        <f>IF(AND('331-CT'!$E$7=TH!H64,OR(L64="331",M64="331")),"331",IF(AND(OR(L64="131",M64="131"),H64='131-CT'!$E$7),"131",""))</f>
        <v/>
      </c>
      <c r="O64" s="525" t="str">
        <f>IF(AND($B64&gt;='111'!$N$11,$B64&lt;='111'!$O$11,OR($L64=$O$7,$M64=$O$7)),"x","")</f>
        <v/>
      </c>
      <c r="P64" s="525" t="str">
        <f>IF(AND($L64=$O$7,$B64&lt;'111'!$N$11),"x","")</f>
        <v/>
      </c>
      <c r="Q64" s="525" t="str">
        <f>IF(AND($M64=$O$7,$B64&lt;'111'!$N$11),"x","")</f>
        <v/>
      </c>
      <c r="R64" s="525" t="str">
        <f>IF(ISERROR(FIND('112'!$M$9,G64,1)),"",IF((AND(FIND('112'!$M$9,G64,1)&gt;=1,$B64&gt;='112'!$N$8,$B64&lt;='112'!$O$8,OR($L64='112'!$I$6,$M64='112'!$I$6))),"x",""))</f>
        <v/>
      </c>
      <c r="S64" s="525" t="str">
        <f>IF(ISERROR(FIND('112'!$M$9,G64,1)),"",IF((AND(LEFT(G64,2)=LEFT('112'!$M$9,2),B64&lt;'112'!$N$8,$L64='112'!$I$6)),"x",""))</f>
        <v/>
      </c>
      <c r="T64" s="525" t="str">
        <f>IF(ISERROR(FIND('112'!$M$9,G64,1)),"",IF((AND(RIGHT(G64,2)=RIGHT('112'!$M$9,2),B64&lt;'112'!$N$8,$M64='112'!$I$6)),"x",""))</f>
        <v/>
      </c>
      <c r="U64" s="525" t="str">
        <f>IF(AND(B64&gt;='IN-NX'!$P$3,B64&lt;='IN-NX'!$Q$3,'IN-NX'!$D$7=D64,OR(LEFT(L64,2)="15",AND(LEFT(M64,2)&lt;&gt;"15",LEFT(M64,2)&lt;&gt;"33"))),"x","")</f>
        <v/>
      </c>
      <c r="V64" s="525" t="str">
        <f>IF(AND(OR(LEFT(TH!L64,2)="15",LEFT(TH!M64,2)="15"),'152-CT'!$J$8=TH!F64),"x","")</f>
        <v/>
      </c>
      <c r="W64" s="525" t="str">
        <f>IF(AND(OR(LEFT(TH!L64,2)="15",LEFT(TH!M64,2)="15"),TK!$E$7=TH!F64),"x","")</f>
        <v/>
      </c>
      <c r="X64" s="525" t="str">
        <f>IF(AND('341-CT'!$E$9=H64,OR(LEFT(L64,3)=$X$7,LEFT(M64,3)=$X$7)),"x","")</f>
        <v/>
      </c>
      <c r="Y64" s="525" t="str">
        <f>IF(OR(TH!L64=TH!$Y$7,M64=TH!$Y$7),"x","")</f>
        <v>x</v>
      </c>
      <c r="Z64" s="525" t="str">
        <f>IF(AND(B64&lt;=NKC!$N$8,B64&gt;=NKC!$M$8),"x","")</f>
        <v>x</v>
      </c>
      <c r="AA64" s="536"/>
      <c r="AD64" s="536"/>
    </row>
    <row r="65" spans="1:30" s="503" customFormat="1" ht="15.75" customHeight="1">
      <c r="A65" s="517" t="str">
        <f>IF(B65&lt;&gt;"",IF(AND(B65&gt;=_TM1,B65&lt;=_TM2,OR(TH!L65="1111",TH!M65="1111")),TH!D65,""),"")</f>
        <v/>
      </c>
      <c r="B65" s="531">
        <f t="shared" si="4"/>
        <v>3</v>
      </c>
      <c r="C65" s="671">
        <f t="shared" si="5"/>
        <v>42825</v>
      </c>
      <c r="D65" s="671" t="s">
        <v>476</v>
      </c>
      <c r="E65" s="672">
        <v>42825</v>
      </c>
      <c r="F65" s="673" t="s">
        <v>887</v>
      </c>
      <c r="G65" s="674"/>
      <c r="H65" s="675"/>
      <c r="I65" s="676"/>
      <c r="J65" s="676"/>
      <c r="K65" s="677">
        <f>ROUND(K54*$G64,0)</f>
        <v>39370</v>
      </c>
      <c r="L65" s="680" t="s">
        <v>225</v>
      </c>
      <c r="M65" s="680" t="s">
        <v>305</v>
      </c>
      <c r="N65" s="525" t="str">
        <f>IF(AND('331-CT'!$E$7=TH!H65,OR(L65="331",M65="331")),"331",IF(AND(OR(L65="131",M65="131"),H65='131-CT'!$E$7),"131",""))</f>
        <v/>
      </c>
      <c r="O65" s="525" t="str">
        <f>IF(AND($B65&gt;='111'!$N$11,$B65&lt;='111'!$O$11,OR($L65=$O$7,$M65=$O$7)),"x","")</f>
        <v/>
      </c>
      <c r="P65" s="525" t="str">
        <f>IF(AND($L65=$O$7,$B65&lt;'111'!$N$11),"x","")</f>
        <v/>
      </c>
      <c r="Q65" s="525" t="str">
        <f>IF(AND($M65=$O$7,$B65&lt;'111'!$N$11),"x","")</f>
        <v/>
      </c>
      <c r="R65" s="525" t="str">
        <f>IF(ISERROR(FIND('112'!$M$9,G65,1)),"",IF((AND(FIND('112'!$M$9,G65,1)&gt;=1,$B65&gt;='112'!$N$8,$B65&lt;='112'!$O$8,OR($L65='112'!$I$6,$M65='112'!$I$6))),"x",""))</f>
        <v/>
      </c>
      <c r="S65" s="525" t="str">
        <f>IF(ISERROR(FIND('112'!$M$9,G65,1)),"",IF((AND(LEFT(G65,2)=LEFT('112'!$M$9,2),B65&lt;'112'!$N$8,$L65='112'!$I$6)),"x",""))</f>
        <v/>
      </c>
      <c r="T65" s="525" t="str">
        <f>IF(ISERROR(FIND('112'!$M$9,G65,1)),"",IF((AND(RIGHT(G65,2)=RIGHT('112'!$M$9,2),B65&lt;'112'!$N$8,$M65='112'!$I$6)),"x",""))</f>
        <v/>
      </c>
      <c r="U65" s="525" t="str">
        <f>IF(AND(B65&gt;='IN-NX'!$P$3,B65&lt;='IN-NX'!$Q$3,'IN-NX'!$D$7=D65,OR(LEFT(L65,2)="15",AND(LEFT(M65,2)&lt;&gt;"15",LEFT(M65,2)&lt;&gt;"33"))),"x","")</f>
        <v/>
      </c>
      <c r="V65" s="525" t="str">
        <f>IF(AND(OR(LEFT(TH!L65,2)="15",LEFT(TH!M65,2)="15"),'152-CT'!$J$8=TH!F65),"x","")</f>
        <v/>
      </c>
      <c r="W65" s="525" t="str">
        <f>IF(AND(OR(LEFT(TH!L65,2)="15",LEFT(TH!M65,2)="15"),TK!$E$7=TH!F65),"x","")</f>
        <v/>
      </c>
      <c r="X65" s="525" t="str">
        <f>IF(AND('341-CT'!$E$9=H65,OR(LEFT(L65,3)=$X$7,LEFT(M65,3)=$X$7)),"x","")</f>
        <v/>
      </c>
      <c r="Y65" s="525" t="str">
        <f>IF(OR(TH!L65=TH!$Y$7,M65=TH!$Y$7),"x","")</f>
        <v>x</v>
      </c>
      <c r="Z65" s="525" t="str">
        <f>IF(AND(B65&lt;=NKC!$N$8,B65&gt;=NKC!$M$8),"x","")</f>
        <v>x</v>
      </c>
      <c r="AA65" s="536"/>
      <c r="AD65" s="536"/>
    </row>
    <row r="66" spans="1:30" s="503" customFormat="1" ht="15.75" customHeight="1">
      <c r="A66" s="517" t="str">
        <f>IF(B66&lt;&gt;"",IF(AND(B66&gt;=_TM1,B66&lt;=_TM2,OR(TH!L66="1111",TH!M66="1111")),TH!D66,""),"")</f>
        <v/>
      </c>
      <c r="B66" s="531">
        <f t="shared" si="4"/>
        <v>3</v>
      </c>
      <c r="C66" s="671">
        <f t="shared" si="5"/>
        <v>42825</v>
      </c>
      <c r="D66" s="671" t="s">
        <v>476</v>
      </c>
      <c r="E66" s="672">
        <v>42825</v>
      </c>
      <c r="F66" s="673" t="s">
        <v>888</v>
      </c>
      <c r="G66" s="674" t="s">
        <v>886</v>
      </c>
      <c r="H66" s="675"/>
      <c r="I66" s="676"/>
      <c r="J66" s="676"/>
      <c r="K66" s="677">
        <f>K64</f>
        <v>198370</v>
      </c>
      <c r="L66" s="680" t="s">
        <v>224</v>
      </c>
      <c r="M66" s="680" t="s">
        <v>305</v>
      </c>
      <c r="N66" s="525" t="str">
        <f>IF(AND('331-CT'!$E$7=TH!H66,OR(L66="331",M66="331")),"331",IF(AND(OR(L66="131",M66="131"),H66='131-CT'!$E$7),"131",""))</f>
        <v/>
      </c>
      <c r="O66" s="525" t="str">
        <f>IF(AND($B66&gt;='111'!$N$11,$B66&lt;='111'!$O$11,OR($L66=$O$7,$M66=$O$7)),"x","")</f>
        <v/>
      </c>
      <c r="P66" s="525" t="str">
        <f>IF(AND($L66=$O$7,$B66&lt;'111'!$N$11),"x","")</f>
        <v/>
      </c>
      <c r="Q66" s="525" t="str">
        <f>IF(AND($M66=$O$7,$B66&lt;'111'!$N$11),"x","")</f>
        <v/>
      </c>
      <c r="R66" s="525" t="str">
        <f>IF(ISERROR(FIND('112'!$M$9,G66,1)),"",IF((AND(FIND('112'!$M$9,G66,1)&gt;=1,$B66&gt;='112'!$N$8,$B66&lt;='112'!$O$8,OR($L66='112'!$I$6,$M66='112'!$I$6))),"x",""))</f>
        <v/>
      </c>
      <c r="S66" s="525" t="str">
        <f>IF(ISERROR(FIND('112'!$M$9,G66,1)),"",IF((AND(LEFT(G66,2)=LEFT('112'!$M$9,2),B66&lt;'112'!$N$8,$L66='112'!$I$6)),"x",""))</f>
        <v/>
      </c>
      <c r="T66" s="525" t="str">
        <f>IF(ISERROR(FIND('112'!$M$9,G66,1)),"",IF((AND(RIGHT(G66,2)=RIGHT('112'!$M$9,2),B66&lt;'112'!$N$8,$M66='112'!$I$6)),"x",""))</f>
        <v/>
      </c>
      <c r="U66" s="525" t="str">
        <f>IF(AND(B66&gt;='IN-NX'!$P$3,B66&lt;='IN-NX'!$Q$3,'IN-NX'!$D$7=D66,OR(LEFT(L66,2)="15",AND(LEFT(M66,2)&lt;&gt;"15",LEFT(M66,2)&lt;&gt;"33"))),"x","")</f>
        <v/>
      </c>
      <c r="V66" s="525" t="str">
        <f>IF(AND(OR(LEFT(TH!L66,2)="15",LEFT(TH!M66,2)="15"),'152-CT'!$J$8=TH!F66),"x","")</f>
        <v/>
      </c>
      <c r="W66" s="525" t="str">
        <f>IF(AND(OR(LEFT(TH!L66,2)="15",LEFT(TH!M66,2)="15"),TK!$E$7=TH!F66),"x","")</f>
        <v/>
      </c>
      <c r="X66" s="525" t="str">
        <f>IF(AND('341-CT'!$E$9=H66,OR(LEFT(L66,3)=$X$7,LEFT(M66,3)=$X$7)),"x","")</f>
        <v/>
      </c>
      <c r="Y66" s="525" t="str">
        <f>IF(OR(TH!L66=TH!$Y$7,M66=TH!$Y$7),"x","")</f>
        <v/>
      </c>
      <c r="Z66" s="525" t="str">
        <f>IF(AND(B66&lt;=NKC!$N$8,B66&gt;=NKC!$M$8),"x","")</f>
        <v>x</v>
      </c>
      <c r="AA66" s="536"/>
      <c r="AD66" s="536"/>
    </row>
    <row r="67" spans="1:30" s="503" customFormat="1" ht="15.75" customHeight="1">
      <c r="A67" s="517" t="str">
        <f>IF(B67&lt;&gt;"",IF(AND(B67&gt;=_TM1,B67&lt;=_TM2,OR(TH!L67="1111",TH!M67="1111")),TH!D67,""),"")</f>
        <v/>
      </c>
      <c r="B67" s="531">
        <f t="shared" si="4"/>
        <v>3</v>
      </c>
      <c r="C67" s="671">
        <f t="shared" si="5"/>
        <v>42825</v>
      </c>
      <c r="D67" s="679" t="s">
        <v>476</v>
      </c>
      <c r="E67" s="672">
        <v>42825</v>
      </c>
      <c r="F67" s="673" t="s">
        <v>889</v>
      </c>
      <c r="G67" s="674"/>
      <c r="H67" s="472"/>
      <c r="I67" s="676"/>
      <c r="J67" s="676"/>
      <c r="K67" s="677">
        <f>K65</f>
        <v>39370</v>
      </c>
      <c r="L67" s="678" t="s">
        <v>158</v>
      </c>
      <c r="M67" s="680" t="s">
        <v>305</v>
      </c>
      <c r="N67" s="525" t="str">
        <f>IF(AND('331-CT'!$E$7=TH!H67,OR(L67="331",M67="331")),"331",IF(AND(OR(L67="131",M67="131"),H67='131-CT'!$E$7),"131",""))</f>
        <v/>
      </c>
      <c r="O67" s="525" t="str">
        <f>IF(AND($B67&gt;='111'!$N$11,$B67&lt;='111'!$O$11,OR($L67=$O$7,$M67=$O$7)),"x","")</f>
        <v/>
      </c>
      <c r="P67" s="525" t="str">
        <f>IF(AND($L67=$O$7,$B67&lt;'111'!$N$11),"x","")</f>
        <v/>
      </c>
      <c r="Q67" s="525" t="str">
        <f>IF(AND($M67=$O$7,$B67&lt;'111'!$N$11),"x","")</f>
        <v/>
      </c>
      <c r="R67" s="525" t="str">
        <f>IF(ISERROR(FIND('112'!$M$9,G67,1)),"",IF((AND(FIND('112'!$M$9,G67,1)&gt;=1,$B67&gt;='112'!$N$8,$B67&lt;='112'!$O$8,OR($L67='112'!$I$6,$M67='112'!$I$6))),"x",""))</f>
        <v/>
      </c>
      <c r="S67" s="525" t="str">
        <f>IF(ISERROR(FIND('112'!$M$9,G67,1)),"",IF((AND(LEFT(G67,2)=LEFT('112'!$M$9,2),B67&lt;'112'!$N$8,$L67='112'!$I$6)),"x",""))</f>
        <v/>
      </c>
      <c r="T67" s="525" t="str">
        <f>IF(ISERROR(FIND('112'!$M$9,G67,1)),"",IF((AND(RIGHT(G67,2)=RIGHT('112'!$M$9,2),B67&lt;'112'!$N$8,$M67='112'!$I$6)),"x",""))</f>
        <v/>
      </c>
      <c r="U67" s="525" t="str">
        <f>IF(AND(B67&gt;='IN-NX'!$P$3,B67&lt;='IN-NX'!$Q$3,'IN-NX'!$D$7=D67,OR(LEFT(L67,2)="15",AND(LEFT(M67,2)&lt;&gt;"15",LEFT(M67,2)&lt;&gt;"33"))),"x","")</f>
        <v/>
      </c>
      <c r="V67" s="525" t="str">
        <f>IF(AND(OR(LEFT(TH!L67,2)="15",LEFT(TH!M67,2)="15"),'152-CT'!$J$8=TH!F67),"x","")</f>
        <v/>
      </c>
      <c r="W67" s="525" t="str">
        <f>IF(AND(OR(LEFT(TH!L67,2)="15",LEFT(TH!M67,2)="15"),TK!$E$7=TH!F67),"x","")</f>
        <v/>
      </c>
      <c r="X67" s="525" t="str">
        <f>IF(AND('341-CT'!$E$9=H67,OR(LEFT(L67,3)=$X$7,LEFT(M67,3)=$X$7)),"x","")</f>
        <v/>
      </c>
      <c r="Y67" s="525" t="str">
        <f>IF(OR(TH!L67=TH!$Y$7,M67=TH!$Y$7),"x","")</f>
        <v/>
      </c>
      <c r="Z67" s="525" t="str">
        <f>IF(AND(B67&lt;=NKC!$N$8,B67&gt;=NKC!$M$8),"x","")</f>
        <v>x</v>
      </c>
      <c r="AA67" s="536"/>
      <c r="AD67" s="536"/>
    </row>
    <row r="68" spans="1:30" s="503" customFormat="1" ht="15.75" customHeight="1">
      <c r="A68" s="517" t="str">
        <f>IF(B68&lt;&gt;"",IF(AND(B68&gt;=_TM1,B68&lt;=_TM2,OR(TH!L68="1111",TH!M68="1111")),TH!D68,""),"")</f>
        <v/>
      </c>
      <c r="B68" s="531">
        <f t="shared" ref="B68:B82" si="6">IF(C68&lt;&gt;"",MONTH(C68),"")</f>
        <v>4</v>
      </c>
      <c r="C68" s="671">
        <f t="shared" ref="C68:C82" si="7">E68</f>
        <v>42854</v>
      </c>
      <c r="D68" s="671" t="s">
        <v>476</v>
      </c>
      <c r="E68" s="672">
        <v>42854</v>
      </c>
      <c r="F68" s="673" t="s">
        <v>870</v>
      </c>
      <c r="G68" s="674"/>
      <c r="H68" s="675"/>
      <c r="I68" s="676"/>
      <c r="J68" s="676"/>
      <c r="K68" s="674">
        <v>7949500</v>
      </c>
      <c r="L68" s="678" t="s">
        <v>81</v>
      </c>
      <c r="M68" s="678" t="s">
        <v>225</v>
      </c>
      <c r="N68" s="525" t="str">
        <f>IF(AND('331-CT'!$E$7=TH!H68,OR(L68="331",M68="331")),"331",IF(AND(OR(L68="131",M68="131"),H68='131-CT'!$E$7),"131",""))</f>
        <v/>
      </c>
      <c r="O68" s="525" t="str">
        <f>IF(AND($B68&gt;='111'!$N$11,$B68&lt;='111'!$O$11,OR($L68=$O$7,$M68=$O$7)),"x","")</f>
        <v/>
      </c>
      <c r="P68" s="525" t="str">
        <f>IF(AND($L68=$O$7,$B68&lt;'111'!$N$11),"x","")</f>
        <v/>
      </c>
      <c r="Q68" s="525" t="str">
        <f>IF(AND($M68=$O$7,$B68&lt;'111'!$N$11),"x","")</f>
        <v/>
      </c>
      <c r="R68" s="525" t="str">
        <f>IF(ISERROR(FIND('112'!$M$9,G68,1)),"",IF((AND(FIND('112'!$M$9,G68,1)&gt;=1,$B68&gt;='112'!$N$8,$B68&lt;='112'!$O$8,OR($L68='112'!$I$6,$M68='112'!$I$6))),"x",""))</f>
        <v/>
      </c>
      <c r="S68" s="525" t="str">
        <f>IF(ISERROR(FIND('112'!$M$9,G68,1)),"",IF((AND(LEFT(G68,2)=LEFT('112'!$M$9,2),B68&lt;'112'!$N$8,$L68='112'!$I$6)),"x",""))</f>
        <v/>
      </c>
      <c r="T68" s="525" t="str">
        <f>IF(ISERROR(FIND('112'!$M$9,G68,1)),"",IF((AND(RIGHT(G68,2)=RIGHT('112'!$M$9,2),B68&lt;'112'!$N$8,$M68='112'!$I$6)),"x",""))</f>
        <v/>
      </c>
      <c r="U68" s="525" t="str">
        <f>IF(AND(B68&gt;='IN-NX'!$P$3,B68&lt;='IN-NX'!$Q$3,'IN-NX'!$D$7=D68,OR(LEFT(L68,2)="15",AND(LEFT(M68,2)&lt;&gt;"15",LEFT(M68,2)&lt;&gt;"33"))),"x","")</f>
        <v/>
      </c>
      <c r="V68" s="525" t="str">
        <f>IF(AND(OR(LEFT(TH!L68,2)="15",LEFT(TH!M68,2)="15"),'152-CT'!$J$8=TH!F68),"x","")</f>
        <v/>
      </c>
      <c r="W68" s="525" t="str">
        <f>IF(AND(OR(LEFT(TH!L68,2)="15",LEFT(TH!M68,2)="15"),TK!$E$7=TH!F68),"x","")</f>
        <v/>
      </c>
      <c r="X68" s="525" t="str">
        <f>IF(AND('341-CT'!$E$9=H68,OR(LEFT(L68,3)=$X$7,LEFT(M68,3)=$X$7)),"x","")</f>
        <v/>
      </c>
      <c r="Y68" s="525" t="str">
        <f>IF(OR(TH!L68=TH!$Y$7,M68=TH!$Y$7),"x","")</f>
        <v>x</v>
      </c>
      <c r="Z68" s="525" t="str">
        <f>IF(AND(B68&lt;=NKC!$N$8,B68&gt;=NKC!$M$8),"x","")</f>
        <v/>
      </c>
      <c r="AA68" s="536"/>
      <c r="AD68" s="536"/>
    </row>
    <row r="69" spans="1:30" s="503" customFormat="1" ht="15.75" customHeight="1">
      <c r="A69" s="517" t="str">
        <f>IF(B69&lt;&gt;"",IF(AND(B69&gt;=_TM1,B69&lt;=_TM2,OR(TH!L69="1111",TH!M69="1111")),TH!D69,""),"")</f>
        <v/>
      </c>
      <c r="B69" s="531">
        <f t="shared" si="6"/>
        <v>4</v>
      </c>
      <c r="C69" s="671">
        <f t="shared" si="7"/>
        <v>42854</v>
      </c>
      <c r="D69" s="671" t="s">
        <v>476</v>
      </c>
      <c r="E69" s="672">
        <v>42854</v>
      </c>
      <c r="F69" s="673" t="s">
        <v>871</v>
      </c>
      <c r="G69" s="674"/>
      <c r="H69" s="675"/>
      <c r="I69" s="676"/>
      <c r="J69" s="676"/>
      <c r="K69" s="674">
        <v>3937000</v>
      </c>
      <c r="L69" s="678" t="s">
        <v>158</v>
      </c>
      <c r="M69" s="678" t="s">
        <v>225</v>
      </c>
      <c r="N69" s="525" t="str">
        <f>IF(AND('331-CT'!$E$7=TH!H69,OR(L69="331",M69="331")),"331",IF(AND(OR(L69="131",M69="131"),H69='131-CT'!$E$7),"131",""))</f>
        <v/>
      </c>
      <c r="O69" s="525" t="str">
        <f>IF(AND($B69&gt;='111'!$N$11,$B69&lt;='111'!$O$11,OR($L69=$O$7,$M69=$O$7)),"x","")</f>
        <v/>
      </c>
      <c r="P69" s="525" t="str">
        <f>IF(AND($L69=$O$7,$B69&lt;'111'!$N$11),"x","")</f>
        <v/>
      </c>
      <c r="Q69" s="525" t="str">
        <f>IF(AND($M69=$O$7,$B69&lt;'111'!$N$11),"x","")</f>
        <v/>
      </c>
      <c r="R69" s="525" t="str">
        <f>IF(ISERROR(FIND('112'!$M$9,G69,1)),"",IF((AND(FIND('112'!$M$9,G69,1)&gt;=1,$B69&gt;='112'!$N$8,$B69&lt;='112'!$O$8,OR($L69='112'!$I$6,$M69='112'!$I$6))),"x",""))</f>
        <v/>
      </c>
      <c r="S69" s="525" t="str">
        <f>IF(ISERROR(FIND('112'!$M$9,G69,1)),"",IF((AND(LEFT(G69,2)=LEFT('112'!$M$9,2),B69&lt;'112'!$N$8,$L69='112'!$I$6)),"x",""))</f>
        <v/>
      </c>
      <c r="T69" s="525" t="str">
        <f>IF(ISERROR(FIND('112'!$M$9,G69,1)),"",IF((AND(RIGHT(G69,2)=RIGHT('112'!$M$9,2),B69&lt;'112'!$N$8,$M69='112'!$I$6)),"x",""))</f>
        <v/>
      </c>
      <c r="U69" s="525" t="str">
        <f>IF(AND(B69&gt;='IN-NX'!$P$3,B69&lt;='IN-NX'!$Q$3,'IN-NX'!$D$7=D69,OR(LEFT(L69,2)="15",AND(LEFT(M69,2)&lt;&gt;"15",LEFT(M69,2)&lt;&gt;"33"))),"x","")</f>
        <v/>
      </c>
      <c r="V69" s="525" t="str">
        <f>IF(AND(OR(LEFT(TH!L69,2)="15",LEFT(TH!M69,2)="15"),'152-CT'!$J$8=TH!F69),"x","")</f>
        <v/>
      </c>
      <c r="W69" s="525" t="str">
        <f>IF(AND(OR(LEFT(TH!L69,2)="15",LEFT(TH!M69,2)="15"),TK!$E$7=TH!F69),"x","")</f>
        <v/>
      </c>
      <c r="X69" s="525" t="str">
        <f>IF(AND('341-CT'!$E$9=H69,OR(LEFT(L69,3)=$X$7,LEFT(M69,3)=$X$7)),"x","")</f>
        <v/>
      </c>
      <c r="Y69" s="525" t="str">
        <f>IF(OR(TH!L69=TH!$Y$7,M69=TH!$Y$7),"x","")</f>
        <v>x</v>
      </c>
      <c r="Z69" s="525" t="str">
        <f>IF(AND(B69&lt;=NKC!$N$8,B69&gt;=NKC!$M$8),"x","")</f>
        <v/>
      </c>
      <c r="AA69" s="536"/>
      <c r="AD69" s="536"/>
    </row>
    <row r="70" spans="1:30" s="503" customFormat="1" ht="15.75" customHeight="1">
      <c r="A70" s="517" t="str">
        <f>IF(B70&lt;&gt;"",IF(AND(B70&gt;=_TM1,B70&lt;=_TM2,OR(TH!L70="1111",TH!M70="1111")),TH!D70,""),"")</f>
        <v/>
      </c>
      <c r="B70" s="531">
        <f t="shared" si="6"/>
        <v>4</v>
      </c>
      <c r="C70" s="671">
        <f t="shared" si="7"/>
        <v>42854</v>
      </c>
      <c r="D70" s="679" t="s">
        <v>872</v>
      </c>
      <c r="E70" s="672">
        <v>42854</v>
      </c>
      <c r="F70" s="673" t="s">
        <v>1195</v>
      </c>
      <c r="G70" s="674"/>
      <c r="H70" s="472" t="s">
        <v>460</v>
      </c>
      <c r="I70" s="676"/>
      <c r="J70" s="676"/>
      <c r="K70" s="677">
        <v>10638417</v>
      </c>
      <c r="L70" s="678" t="s">
        <v>225</v>
      </c>
      <c r="M70" s="678" t="s">
        <v>45</v>
      </c>
      <c r="N70" s="525" t="str">
        <f>IF(AND('331-CT'!$E$7=TH!H70,OR(L70="331",M70="331")),"331",IF(AND(OR(L70="131",M70="131"),H70='131-CT'!$E$7),"131",""))</f>
        <v/>
      </c>
      <c r="O70" s="525" t="str">
        <f>IF(AND($B70&gt;='111'!$N$11,$B70&lt;='111'!$O$11,OR($L70=$O$7,$M70=$O$7)),"x","")</f>
        <v/>
      </c>
      <c r="P70" s="525" t="str">
        <f>IF(AND($L70=$O$7,$B70&lt;'111'!$N$11),"x","")</f>
        <v/>
      </c>
      <c r="Q70" s="525" t="str">
        <f>IF(AND($M70=$O$7,$B70&lt;'111'!$N$11),"x","")</f>
        <v>x</v>
      </c>
      <c r="R70" s="525" t="str">
        <f>IF(ISERROR(FIND('112'!$M$9,G70,1)),"",IF((AND(FIND('112'!$M$9,G70,1)&gt;=1,$B70&gt;='112'!$N$8,$B70&lt;='112'!$O$8,OR($L70='112'!$I$6,$M70='112'!$I$6))),"x",""))</f>
        <v/>
      </c>
      <c r="S70" s="525" t="str">
        <f>IF(ISERROR(FIND('112'!$M$9,G70,1)),"",IF((AND(LEFT(G70,2)=LEFT('112'!$M$9,2),B70&lt;'112'!$N$8,$L70='112'!$I$6)),"x",""))</f>
        <v/>
      </c>
      <c r="T70" s="525" t="str">
        <f>IF(ISERROR(FIND('112'!$M$9,G70,1)),"",IF((AND(RIGHT(G70,2)=RIGHT('112'!$M$9,2),B70&lt;'112'!$N$8,$M70='112'!$I$6)),"x",""))</f>
        <v/>
      </c>
      <c r="U70" s="525" t="str">
        <f>IF(AND(B70&gt;='IN-NX'!$P$3,B70&lt;='IN-NX'!$Q$3,'IN-NX'!$D$7=D70,OR(LEFT(L70,2)="15",AND(LEFT(M70,2)&lt;&gt;"15",LEFT(M70,2)&lt;&gt;"33"))),"x","")</f>
        <v/>
      </c>
      <c r="V70" s="525" t="str">
        <f>IF(AND(OR(LEFT(TH!L70,2)="15",LEFT(TH!M70,2)="15"),'152-CT'!$J$8=TH!F70),"x","")</f>
        <v/>
      </c>
      <c r="W70" s="525" t="str">
        <f>IF(AND(OR(LEFT(TH!L70,2)="15",LEFT(TH!M70,2)="15"),TK!$E$7=TH!F70),"x","")</f>
        <v/>
      </c>
      <c r="X70" s="525" t="str">
        <f>IF(AND('341-CT'!$E$9=H70,OR(LEFT(L70,3)=$X$7,LEFT(M70,3)=$X$7)),"x","")</f>
        <v/>
      </c>
      <c r="Y70" s="525" t="str">
        <f>IF(OR(TH!L70=TH!$Y$7,M70=TH!$Y$7),"x","")</f>
        <v>x</v>
      </c>
      <c r="Z70" s="525" t="str">
        <f>IF(AND(B70&lt;=NKC!$N$8,B70&gt;=NKC!$M$8),"x","")</f>
        <v/>
      </c>
      <c r="AA70" s="536"/>
      <c r="AD70" s="536"/>
    </row>
    <row r="71" spans="1:30" s="503" customFormat="1" ht="15.75" customHeight="1">
      <c r="A71" s="517" t="str">
        <f>IF(B71&lt;&gt;"",IF(AND(B71&gt;=_TM1,B71&lt;=_TM2,OR(TH!L71="1111",TH!M71="1111")),TH!D71,""),"")</f>
        <v/>
      </c>
      <c r="B71" s="531">
        <f t="shared" si="6"/>
        <v>4</v>
      </c>
      <c r="C71" s="671">
        <f t="shared" si="7"/>
        <v>42854</v>
      </c>
      <c r="D71" s="671" t="s">
        <v>476</v>
      </c>
      <c r="E71" s="672">
        <v>42854</v>
      </c>
      <c r="F71" s="673" t="s">
        <v>873</v>
      </c>
      <c r="G71" s="674" t="s">
        <v>874</v>
      </c>
      <c r="H71" s="675"/>
      <c r="I71" s="676"/>
      <c r="J71" s="676"/>
      <c r="K71" s="677">
        <f>ROUND(K68*$G71,0)</f>
        <v>635960</v>
      </c>
      <c r="L71" s="680" t="s">
        <v>225</v>
      </c>
      <c r="M71" s="680" t="s">
        <v>302</v>
      </c>
      <c r="N71" s="525" t="str">
        <f>IF(AND('331-CT'!$E$7=TH!H71,OR(L71="331",M71="331")),"331",IF(AND(OR(L71="131",M71="131"),H71='131-CT'!$E$7),"131",""))</f>
        <v/>
      </c>
      <c r="O71" s="525" t="str">
        <f>IF(AND($B71&gt;='111'!$N$11,$B71&lt;='111'!$O$11,OR($L71=$O$7,$M71=$O$7)),"x","")</f>
        <v/>
      </c>
      <c r="P71" s="525" t="str">
        <f>IF(AND($L71=$O$7,$B71&lt;'111'!$N$11),"x","")</f>
        <v/>
      </c>
      <c r="Q71" s="525" t="str">
        <f>IF(AND($M71=$O$7,$B71&lt;'111'!$N$11),"x","")</f>
        <v/>
      </c>
      <c r="R71" s="525" t="str">
        <f>IF(ISERROR(FIND('112'!$M$9,G71,1)),"",IF((AND(FIND('112'!$M$9,G71,1)&gt;=1,$B71&gt;='112'!$N$8,$B71&lt;='112'!$O$8,OR($L71='112'!$I$6,$M71='112'!$I$6))),"x",""))</f>
        <v/>
      </c>
      <c r="S71" s="525" t="str">
        <f>IF(ISERROR(FIND('112'!$M$9,G71,1)),"",IF((AND(LEFT(G71,2)=LEFT('112'!$M$9,2),B71&lt;'112'!$N$8,$L71='112'!$I$6)),"x",""))</f>
        <v/>
      </c>
      <c r="T71" s="525" t="str">
        <f>IF(ISERROR(FIND('112'!$M$9,G71,1)),"",IF((AND(RIGHT(G71,2)=RIGHT('112'!$M$9,2),B71&lt;'112'!$N$8,$M71='112'!$I$6)),"x",""))</f>
        <v/>
      </c>
      <c r="U71" s="525" t="str">
        <f>IF(AND(B71&gt;='IN-NX'!$P$3,B71&lt;='IN-NX'!$Q$3,'IN-NX'!$D$7=D71,OR(LEFT(L71,2)="15",AND(LEFT(M71,2)&lt;&gt;"15",LEFT(M71,2)&lt;&gt;"33"))),"x","")</f>
        <v/>
      </c>
      <c r="V71" s="525" t="str">
        <f>IF(AND(OR(LEFT(TH!L71,2)="15",LEFT(TH!M71,2)="15"),'152-CT'!$J$8=TH!F71),"x","")</f>
        <v/>
      </c>
      <c r="W71" s="525" t="str">
        <f>IF(AND(OR(LEFT(TH!L71,2)="15",LEFT(TH!M71,2)="15"),TK!$E$7=TH!F71),"x","")</f>
        <v/>
      </c>
      <c r="X71" s="525" t="str">
        <f>IF(AND('341-CT'!$E$9=H71,OR(LEFT(L71,3)=$X$7,LEFT(M71,3)=$X$7)),"x","")</f>
        <v/>
      </c>
      <c r="Y71" s="525" t="str">
        <f>IF(OR(TH!L71=TH!$Y$7,M71=TH!$Y$7),"x","")</f>
        <v>x</v>
      </c>
      <c r="Z71" s="525" t="str">
        <f>IF(AND(B71&lt;=NKC!$N$8,B71&gt;=NKC!$M$8),"x","")</f>
        <v/>
      </c>
      <c r="AA71" s="536"/>
      <c r="AD71" s="536"/>
    </row>
    <row r="72" spans="1:30" s="503" customFormat="1" ht="15.75" customHeight="1">
      <c r="A72" s="517" t="str">
        <f>IF(B72&lt;&gt;"",IF(AND(B72&gt;=_TM1,B72&lt;=_TM2,OR(TH!L72="1111",TH!M72="1111")),TH!D72,""),"")</f>
        <v/>
      </c>
      <c r="B72" s="531">
        <f t="shared" si="6"/>
        <v>4</v>
      </c>
      <c r="C72" s="671">
        <f t="shared" si="7"/>
        <v>42854</v>
      </c>
      <c r="D72" s="671" t="s">
        <v>476</v>
      </c>
      <c r="E72" s="672">
        <v>42854</v>
      </c>
      <c r="F72" s="673" t="s">
        <v>875</v>
      </c>
      <c r="G72" s="674"/>
      <c r="H72" s="675"/>
      <c r="I72" s="676"/>
      <c r="J72" s="676"/>
      <c r="K72" s="677">
        <f>ROUND(G71*K69,0)</f>
        <v>314960</v>
      </c>
      <c r="L72" s="678" t="s">
        <v>225</v>
      </c>
      <c r="M72" s="681" t="s">
        <v>302</v>
      </c>
      <c r="N72" s="525" t="str">
        <f>IF(AND('331-CT'!$E$7=TH!H72,OR(L72="331",M72="331")),"331",IF(AND(OR(L72="131",M72="131"),H72='131-CT'!$E$7),"131",""))</f>
        <v/>
      </c>
      <c r="O72" s="525" t="str">
        <f>IF(AND($B72&gt;='111'!$N$11,$B72&lt;='111'!$O$11,OR($L72=$O$7,$M72=$O$7)),"x","")</f>
        <v/>
      </c>
      <c r="P72" s="525" t="str">
        <f>IF(AND($L72=$O$7,$B72&lt;'111'!$N$11),"x","")</f>
        <v/>
      </c>
      <c r="Q72" s="525" t="str">
        <f>IF(AND($M72=$O$7,$B72&lt;'111'!$N$11),"x","")</f>
        <v/>
      </c>
      <c r="R72" s="525" t="str">
        <f>IF(ISERROR(FIND('112'!$M$9,G72,1)),"",IF((AND(FIND('112'!$M$9,G72,1)&gt;=1,$B72&gt;='112'!$N$8,$B72&lt;='112'!$O$8,OR($L72='112'!$I$6,$M72='112'!$I$6))),"x",""))</f>
        <v/>
      </c>
      <c r="S72" s="525" t="str">
        <f>IF(ISERROR(FIND('112'!$M$9,G72,1)),"",IF((AND(LEFT(G72,2)=LEFT('112'!$M$9,2),B72&lt;'112'!$N$8,$L72='112'!$I$6)),"x",""))</f>
        <v/>
      </c>
      <c r="T72" s="525" t="str">
        <f>IF(ISERROR(FIND('112'!$M$9,G72,1)),"",IF((AND(RIGHT(G72,2)=RIGHT('112'!$M$9,2),B72&lt;'112'!$N$8,$M72='112'!$I$6)),"x",""))</f>
        <v/>
      </c>
      <c r="U72" s="525" t="str">
        <f>IF(AND(B72&gt;='IN-NX'!$P$3,B72&lt;='IN-NX'!$Q$3,'IN-NX'!$D$7=D72,OR(LEFT(L72,2)="15",AND(LEFT(M72,2)&lt;&gt;"15",LEFT(M72,2)&lt;&gt;"33"))),"x","")</f>
        <v/>
      </c>
      <c r="V72" s="525" t="str">
        <f>IF(AND(OR(LEFT(TH!L72,2)="15",LEFT(TH!M72,2)="15"),'152-CT'!$J$8=TH!F72),"x","")</f>
        <v/>
      </c>
      <c r="W72" s="525" t="str">
        <f>IF(AND(OR(LEFT(TH!L72,2)="15",LEFT(TH!M72,2)="15"),TK!$E$7=TH!F72),"x","")</f>
        <v/>
      </c>
      <c r="X72" s="525" t="str">
        <f>IF(AND('341-CT'!$E$9=H72,OR(LEFT(L72,3)=$X$7,LEFT(M72,3)=$X$7)),"x","")</f>
        <v/>
      </c>
      <c r="Y72" s="525" t="str">
        <f>IF(OR(TH!L72=TH!$Y$7,M72=TH!$Y$7),"x","")</f>
        <v>x</v>
      </c>
      <c r="Z72" s="525" t="str">
        <f>IF(AND(B72&lt;=NKC!$N$8,B72&gt;=NKC!$M$8),"x","")</f>
        <v/>
      </c>
      <c r="AA72" s="536"/>
      <c r="AD72" s="536"/>
    </row>
    <row r="73" spans="1:30" s="503" customFormat="1" ht="15.75" customHeight="1">
      <c r="A73" s="517" t="str">
        <f>IF(B73&lt;&gt;"",IF(AND(B73&gt;=_TM1,B73&lt;=_TM2,OR(TH!L73="1111",TH!M73="1111")),TH!D73,""),"")</f>
        <v/>
      </c>
      <c r="B73" s="531">
        <f t="shared" si="6"/>
        <v>4</v>
      </c>
      <c r="C73" s="671">
        <f t="shared" si="7"/>
        <v>42854</v>
      </c>
      <c r="D73" s="679" t="s">
        <v>476</v>
      </c>
      <c r="E73" s="672">
        <v>42854</v>
      </c>
      <c r="F73" s="673" t="s">
        <v>876</v>
      </c>
      <c r="G73" s="674" t="s">
        <v>877</v>
      </c>
      <c r="H73" s="472"/>
      <c r="I73" s="676"/>
      <c r="J73" s="676"/>
      <c r="K73" s="677">
        <f>ROUND(K68*$G73,0)</f>
        <v>1430910</v>
      </c>
      <c r="L73" s="680" t="s">
        <v>224</v>
      </c>
      <c r="M73" s="680" t="s">
        <v>302</v>
      </c>
      <c r="N73" s="525" t="str">
        <f>IF(AND('331-CT'!$E$7=TH!H73,OR(L73="331",M73="331")),"331",IF(AND(OR(L73="131",M73="131"),H73='131-CT'!$E$7),"131",""))</f>
        <v/>
      </c>
      <c r="O73" s="525" t="str">
        <f>IF(AND($B73&gt;='111'!$N$11,$B73&lt;='111'!$O$11,OR($L73=$O$7,$M73=$O$7)),"x","")</f>
        <v/>
      </c>
      <c r="P73" s="525" t="str">
        <f>IF(AND($L73=$O$7,$B73&lt;'111'!$N$11),"x","")</f>
        <v/>
      </c>
      <c r="Q73" s="525" t="str">
        <f>IF(AND($M73=$O$7,$B73&lt;'111'!$N$11),"x","")</f>
        <v/>
      </c>
      <c r="R73" s="525" t="str">
        <f>IF(ISERROR(FIND('112'!$M$9,G73,1)),"",IF((AND(FIND('112'!$M$9,G73,1)&gt;=1,$B73&gt;='112'!$N$8,$B73&lt;='112'!$O$8,OR($L73='112'!$I$6,$M73='112'!$I$6))),"x",""))</f>
        <v/>
      </c>
      <c r="S73" s="525" t="str">
        <f>IF(ISERROR(FIND('112'!$M$9,G73,1)),"",IF((AND(LEFT(G73,2)=LEFT('112'!$M$9,2),B73&lt;'112'!$N$8,$L73='112'!$I$6)),"x",""))</f>
        <v/>
      </c>
      <c r="T73" s="525" t="str">
        <f>IF(ISERROR(FIND('112'!$M$9,G73,1)),"",IF((AND(RIGHT(G73,2)=RIGHT('112'!$M$9,2),B73&lt;'112'!$N$8,$M73='112'!$I$6)),"x",""))</f>
        <v/>
      </c>
      <c r="U73" s="525" t="str">
        <f>IF(AND(B73&gt;='IN-NX'!$P$3,B73&lt;='IN-NX'!$Q$3,'IN-NX'!$D$7=D73,OR(LEFT(L73,2)="15",AND(LEFT(M73,2)&lt;&gt;"15",LEFT(M73,2)&lt;&gt;"33"))),"x","")</f>
        <v/>
      </c>
      <c r="V73" s="525" t="str">
        <f>IF(AND(OR(LEFT(TH!L73,2)="15",LEFT(TH!M73,2)="15"),'152-CT'!$J$8=TH!F73),"x","")</f>
        <v/>
      </c>
      <c r="W73" s="525" t="str">
        <f>IF(AND(OR(LEFT(TH!L73,2)="15",LEFT(TH!M73,2)="15"),TK!$E$7=TH!F73),"x","")</f>
        <v/>
      </c>
      <c r="X73" s="525" t="str">
        <f>IF(AND('341-CT'!$E$9=H73,OR(LEFT(L73,3)=$X$7,LEFT(M73,3)=$X$7)),"x","")</f>
        <v/>
      </c>
      <c r="Y73" s="525" t="str">
        <f>IF(OR(TH!L73=TH!$Y$7,M73=TH!$Y$7),"x","")</f>
        <v/>
      </c>
      <c r="Z73" s="525" t="str">
        <f>IF(AND(B73&lt;=NKC!$N$8,B73&gt;=NKC!$M$8),"x","")</f>
        <v/>
      </c>
      <c r="AA73" s="536"/>
      <c r="AD73" s="536"/>
    </row>
    <row r="74" spans="1:30" s="503" customFormat="1" ht="15.75" customHeight="1">
      <c r="A74" s="517" t="str">
        <f>IF(B74&lt;&gt;"",IF(AND(B74&gt;=_TM1,B74&lt;=_TM2,OR(TH!L74="1111",TH!M74="1111")),TH!D74,""),"")</f>
        <v/>
      </c>
      <c r="B74" s="531">
        <f t="shared" si="6"/>
        <v>4</v>
      </c>
      <c r="C74" s="671">
        <f t="shared" si="7"/>
        <v>42854</v>
      </c>
      <c r="D74" s="671" t="s">
        <v>476</v>
      </c>
      <c r="E74" s="672">
        <v>42854</v>
      </c>
      <c r="F74" s="673" t="s">
        <v>878</v>
      </c>
      <c r="G74" s="674"/>
      <c r="H74" s="675"/>
      <c r="I74" s="676"/>
      <c r="J74" s="676"/>
      <c r="K74" s="677">
        <f>ROUND(K69*$G73,0)</f>
        <v>708660</v>
      </c>
      <c r="L74" s="678" t="s">
        <v>158</v>
      </c>
      <c r="M74" s="680" t="s">
        <v>302</v>
      </c>
      <c r="N74" s="525" t="str">
        <f>IF(AND('331-CT'!$E$7=TH!H74,OR(L74="331",M74="331")),"331",IF(AND(OR(L74="131",M74="131"),H74='131-CT'!$E$7),"131",""))</f>
        <v/>
      </c>
      <c r="O74" s="525" t="str">
        <f>IF(AND($B74&gt;='111'!$N$11,$B74&lt;='111'!$O$11,OR($L74=$O$7,$M74=$O$7)),"x","")</f>
        <v/>
      </c>
      <c r="P74" s="525" t="str">
        <f>IF(AND($L74=$O$7,$B74&lt;'111'!$N$11),"x","")</f>
        <v/>
      </c>
      <c r="Q74" s="525" t="str">
        <f>IF(AND($M74=$O$7,$B74&lt;'111'!$N$11),"x","")</f>
        <v/>
      </c>
      <c r="R74" s="525" t="str">
        <f>IF(ISERROR(FIND('112'!$M$9,G74,1)),"",IF((AND(FIND('112'!$M$9,G74,1)&gt;=1,$B74&gt;='112'!$N$8,$B74&lt;='112'!$O$8,OR($L74='112'!$I$6,$M74='112'!$I$6))),"x",""))</f>
        <v/>
      </c>
      <c r="S74" s="525" t="str">
        <f>IF(ISERROR(FIND('112'!$M$9,G74,1)),"",IF((AND(LEFT(G74,2)=LEFT('112'!$M$9,2),B74&lt;'112'!$N$8,$L74='112'!$I$6)),"x",""))</f>
        <v/>
      </c>
      <c r="T74" s="525" t="str">
        <f>IF(ISERROR(FIND('112'!$M$9,G74,1)),"",IF((AND(RIGHT(G74,2)=RIGHT('112'!$M$9,2),B74&lt;'112'!$N$8,$M74='112'!$I$6)),"x",""))</f>
        <v/>
      </c>
      <c r="U74" s="525" t="str">
        <f>IF(AND(B74&gt;='IN-NX'!$P$3,B74&lt;='IN-NX'!$Q$3,'IN-NX'!$D$7=D74,OR(LEFT(L74,2)="15",AND(LEFT(M74,2)&lt;&gt;"15",LEFT(M74,2)&lt;&gt;"33"))),"x","")</f>
        <v/>
      </c>
      <c r="V74" s="525" t="str">
        <f>IF(AND(OR(LEFT(TH!L74,2)="15",LEFT(TH!M74,2)="15"),'152-CT'!$J$8=TH!F74),"x","")</f>
        <v/>
      </c>
      <c r="W74" s="525" t="str">
        <f>IF(AND(OR(LEFT(TH!L74,2)="15",LEFT(TH!M74,2)="15"),TK!$E$7=TH!F74),"x","")</f>
        <v/>
      </c>
      <c r="X74" s="525" t="str">
        <f>IF(AND('341-CT'!$E$9=H74,OR(LEFT(L74,3)=$X$7,LEFT(M74,3)=$X$7)),"x","")</f>
        <v/>
      </c>
      <c r="Y74" s="525" t="str">
        <f>IF(OR(TH!L74=TH!$Y$7,M74=TH!$Y$7),"x","")</f>
        <v/>
      </c>
      <c r="Z74" s="525" t="str">
        <f>IF(AND(B74&lt;=NKC!$N$8,B74&gt;=NKC!$M$8),"x","")</f>
        <v/>
      </c>
      <c r="AA74" s="536"/>
      <c r="AD74" s="536"/>
    </row>
    <row r="75" spans="1:30" s="503" customFormat="1" ht="15.75" customHeight="1">
      <c r="A75" s="517" t="str">
        <f>IF(B75&lt;&gt;"",IF(AND(B75&gt;=_TM1,B75&lt;=_TM2,OR(TH!L75="1111",TH!M75="1111")),TH!D75,""),"")</f>
        <v/>
      </c>
      <c r="B75" s="531">
        <f t="shared" si="6"/>
        <v>4</v>
      </c>
      <c r="C75" s="671">
        <f t="shared" si="7"/>
        <v>42854</v>
      </c>
      <c r="D75" s="671" t="s">
        <v>476</v>
      </c>
      <c r="E75" s="672">
        <v>42854</v>
      </c>
      <c r="F75" s="673" t="s">
        <v>879</v>
      </c>
      <c r="G75" s="674" t="s">
        <v>880</v>
      </c>
      <c r="H75" s="675"/>
      <c r="I75" s="676"/>
      <c r="J75" s="676"/>
      <c r="K75" s="677">
        <f>ROUND(K68*$G75,0)</f>
        <v>119243</v>
      </c>
      <c r="L75" s="680" t="s">
        <v>225</v>
      </c>
      <c r="M75" s="680" t="s">
        <v>301</v>
      </c>
      <c r="N75" s="525" t="str">
        <f>IF(AND('331-CT'!$E$7=TH!H75,OR(L75="331",M75="331")),"331",IF(AND(OR(L75="131",M75="131"),H75='131-CT'!$E$7),"131",""))</f>
        <v/>
      </c>
      <c r="O75" s="525" t="str">
        <f>IF(AND($B75&gt;='111'!$N$11,$B75&lt;='111'!$O$11,OR($L75=$O$7,$M75=$O$7)),"x","")</f>
        <v/>
      </c>
      <c r="P75" s="525" t="str">
        <f>IF(AND($L75=$O$7,$B75&lt;'111'!$N$11),"x","")</f>
        <v/>
      </c>
      <c r="Q75" s="525" t="str">
        <f>IF(AND($M75=$O$7,$B75&lt;'111'!$N$11),"x","")</f>
        <v/>
      </c>
      <c r="R75" s="525" t="str">
        <f>IF(ISERROR(FIND('112'!$M$9,G75,1)),"",IF((AND(FIND('112'!$M$9,G75,1)&gt;=1,$B75&gt;='112'!$N$8,$B75&lt;='112'!$O$8,OR($L75='112'!$I$6,$M75='112'!$I$6))),"x",""))</f>
        <v/>
      </c>
      <c r="S75" s="525" t="str">
        <f>IF(ISERROR(FIND('112'!$M$9,G75,1)),"",IF((AND(LEFT(G75,2)=LEFT('112'!$M$9,2),B75&lt;'112'!$N$8,$L75='112'!$I$6)),"x",""))</f>
        <v/>
      </c>
      <c r="T75" s="525" t="str">
        <f>IF(ISERROR(FIND('112'!$M$9,G75,1)),"",IF((AND(RIGHT(G75,2)=RIGHT('112'!$M$9,2),B75&lt;'112'!$N$8,$M75='112'!$I$6)),"x",""))</f>
        <v/>
      </c>
      <c r="U75" s="525" t="str">
        <f>IF(AND(B75&gt;='IN-NX'!$P$3,B75&lt;='IN-NX'!$Q$3,'IN-NX'!$D$7=D75,OR(LEFT(L75,2)="15",AND(LEFT(M75,2)&lt;&gt;"15",LEFT(M75,2)&lt;&gt;"33"))),"x","")</f>
        <v/>
      </c>
      <c r="V75" s="525" t="str">
        <f>IF(AND(OR(LEFT(TH!L75,2)="15",LEFT(TH!M75,2)="15"),'152-CT'!$J$8=TH!F75),"x","")</f>
        <v/>
      </c>
      <c r="W75" s="525" t="str">
        <f>IF(AND(OR(LEFT(TH!L75,2)="15",LEFT(TH!M75,2)="15"),TK!$E$7=TH!F75),"x","")</f>
        <v/>
      </c>
      <c r="X75" s="525" t="str">
        <f>IF(AND('341-CT'!$E$9=H75,OR(LEFT(L75,3)=$X$7,LEFT(M75,3)=$X$7)),"x","")</f>
        <v/>
      </c>
      <c r="Y75" s="525" t="str">
        <f>IF(OR(TH!L75=TH!$Y$7,M75=TH!$Y$7),"x","")</f>
        <v>x</v>
      </c>
      <c r="Z75" s="525" t="str">
        <f>IF(AND(B75&lt;=NKC!$N$8,B75&gt;=NKC!$M$8),"x","")</f>
        <v/>
      </c>
      <c r="AA75" s="536"/>
      <c r="AD75" s="536"/>
    </row>
    <row r="76" spans="1:30" s="503" customFormat="1" ht="15.75" customHeight="1">
      <c r="A76" s="517" t="str">
        <f>IF(B76&lt;&gt;"",IF(AND(B76&gt;=_TM1,B76&lt;=_TM2,OR(TH!L76="1111",TH!M76="1111")),TH!D76,""),"")</f>
        <v/>
      </c>
      <c r="B76" s="531">
        <f t="shared" si="6"/>
        <v>4</v>
      </c>
      <c r="C76" s="671">
        <f t="shared" si="7"/>
        <v>42854</v>
      </c>
      <c r="D76" s="679" t="s">
        <v>476</v>
      </c>
      <c r="E76" s="672">
        <v>42854</v>
      </c>
      <c r="F76" s="673" t="s">
        <v>881</v>
      </c>
      <c r="G76" s="674"/>
      <c r="H76" s="472"/>
      <c r="I76" s="676"/>
      <c r="J76" s="676"/>
      <c r="K76" s="677">
        <f>ROUND(K69*$G75,0)</f>
        <v>59055</v>
      </c>
      <c r="L76" s="680" t="s">
        <v>225</v>
      </c>
      <c r="M76" s="680" t="s">
        <v>301</v>
      </c>
      <c r="N76" s="525" t="str">
        <f>IF(AND('331-CT'!$E$7=TH!H76,OR(L76="331",M76="331")),"331",IF(AND(OR(L76="131",M76="131"),H76='131-CT'!$E$7),"131",""))</f>
        <v/>
      </c>
      <c r="O76" s="525" t="str">
        <f>IF(AND($B76&gt;='111'!$N$11,$B76&lt;='111'!$O$11,OR($L76=$O$7,$M76=$O$7)),"x","")</f>
        <v/>
      </c>
      <c r="P76" s="525" t="str">
        <f>IF(AND($L76=$O$7,$B76&lt;'111'!$N$11),"x","")</f>
        <v/>
      </c>
      <c r="Q76" s="525" t="str">
        <f>IF(AND($M76=$O$7,$B76&lt;'111'!$N$11),"x","")</f>
        <v/>
      </c>
      <c r="R76" s="525" t="str">
        <f>IF(ISERROR(FIND('112'!$M$9,G76,1)),"",IF((AND(FIND('112'!$M$9,G76,1)&gt;=1,$B76&gt;='112'!$N$8,$B76&lt;='112'!$O$8,OR($L76='112'!$I$6,$M76='112'!$I$6))),"x",""))</f>
        <v/>
      </c>
      <c r="S76" s="525" t="str">
        <f>IF(ISERROR(FIND('112'!$M$9,G76,1)),"",IF((AND(LEFT(G76,2)=LEFT('112'!$M$9,2),B76&lt;'112'!$N$8,$L76='112'!$I$6)),"x",""))</f>
        <v/>
      </c>
      <c r="T76" s="525" t="str">
        <f>IF(ISERROR(FIND('112'!$M$9,G76,1)),"",IF((AND(RIGHT(G76,2)=RIGHT('112'!$M$9,2),B76&lt;'112'!$N$8,$M76='112'!$I$6)),"x",""))</f>
        <v/>
      </c>
      <c r="U76" s="525" t="str">
        <f>IF(AND(B76&gt;='IN-NX'!$P$3,B76&lt;='IN-NX'!$Q$3,'IN-NX'!$D$7=D76,OR(LEFT(L76,2)="15",AND(LEFT(M76,2)&lt;&gt;"15",LEFT(M76,2)&lt;&gt;"33"))),"x","")</f>
        <v/>
      </c>
      <c r="V76" s="525" t="str">
        <f>IF(AND(OR(LEFT(TH!L76,2)="15",LEFT(TH!M76,2)="15"),'152-CT'!$J$8=TH!F76),"x","")</f>
        <v/>
      </c>
      <c r="W76" s="525" t="str">
        <f>IF(AND(OR(LEFT(TH!L76,2)="15",LEFT(TH!M76,2)="15"),TK!$E$7=TH!F76),"x","")</f>
        <v/>
      </c>
      <c r="X76" s="525" t="str">
        <f>IF(AND('341-CT'!$E$9=H76,OR(LEFT(L76,3)=$X$7,LEFT(M76,3)=$X$7)),"x","")</f>
        <v/>
      </c>
      <c r="Y76" s="525" t="str">
        <f>IF(OR(TH!L76=TH!$Y$7,M76=TH!$Y$7),"x","")</f>
        <v>x</v>
      </c>
      <c r="Z76" s="525" t="str">
        <f>IF(AND(B76&lt;=NKC!$N$8,B76&gt;=NKC!$M$8),"x","")</f>
        <v/>
      </c>
      <c r="AA76" s="536"/>
      <c r="AD76" s="536"/>
    </row>
    <row r="77" spans="1:30" s="503" customFormat="1" ht="15.75" customHeight="1">
      <c r="A77" s="517" t="str">
        <f>IF(B77&lt;&gt;"",IF(AND(B77&gt;=_TM1,B77&lt;=_TM2,OR(TH!L77="1111",TH!M77="1111")),TH!D77,""),"")</f>
        <v/>
      </c>
      <c r="B77" s="531">
        <f t="shared" si="6"/>
        <v>4</v>
      </c>
      <c r="C77" s="671">
        <f t="shared" si="7"/>
        <v>42854</v>
      </c>
      <c r="D77" s="671" t="s">
        <v>476</v>
      </c>
      <c r="E77" s="672">
        <v>42854</v>
      </c>
      <c r="F77" s="673" t="s">
        <v>882</v>
      </c>
      <c r="G77" s="674" t="s">
        <v>883</v>
      </c>
      <c r="H77" s="675"/>
      <c r="I77" s="676"/>
      <c r="J77" s="676"/>
      <c r="K77" s="677">
        <f>ROUND(K68*$G77,0)</f>
        <v>238485</v>
      </c>
      <c r="L77" s="680" t="s">
        <v>224</v>
      </c>
      <c r="M77" s="680" t="s">
        <v>301</v>
      </c>
      <c r="N77" s="525" t="str">
        <f>IF(AND('331-CT'!$E$7=TH!H77,OR(L77="331",M77="331")),"331",IF(AND(OR(L77="131",M77="131"),H77='131-CT'!$E$7),"131",""))</f>
        <v/>
      </c>
      <c r="O77" s="525" t="str">
        <f>IF(AND($B77&gt;='111'!$N$11,$B77&lt;='111'!$O$11,OR($L77=$O$7,$M77=$O$7)),"x","")</f>
        <v/>
      </c>
      <c r="P77" s="525" t="str">
        <f>IF(AND($L77=$O$7,$B77&lt;'111'!$N$11),"x","")</f>
        <v/>
      </c>
      <c r="Q77" s="525" t="str">
        <f>IF(AND($M77=$O$7,$B77&lt;'111'!$N$11),"x","")</f>
        <v/>
      </c>
      <c r="R77" s="525" t="str">
        <f>IF(ISERROR(FIND('112'!$M$9,G77,1)),"",IF((AND(FIND('112'!$M$9,G77,1)&gt;=1,$B77&gt;='112'!$N$8,$B77&lt;='112'!$O$8,OR($L77='112'!$I$6,$M77='112'!$I$6))),"x",""))</f>
        <v/>
      </c>
      <c r="S77" s="525" t="str">
        <f>IF(ISERROR(FIND('112'!$M$9,G77,1)),"",IF((AND(LEFT(G77,2)=LEFT('112'!$M$9,2),B77&lt;'112'!$N$8,$L77='112'!$I$6)),"x",""))</f>
        <v/>
      </c>
      <c r="T77" s="525" t="str">
        <f>IF(ISERROR(FIND('112'!$M$9,G77,1)),"",IF((AND(RIGHT(G77,2)=RIGHT('112'!$M$9,2),B77&lt;'112'!$N$8,$M77='112'!$I$6)),"x",""))</f>
        <v/>
      </c>
      <c r="U77" s="525" t="str">
        <f>IF(AND(B77&gt;='IN-NX'!$P$3,B77&lt;='IN-NX'!$Q$3,'IN-NX'!$D$7=D77,OR(LEFT(L77,2)="15",AND(LEFT(M77,2)&lt;&gt;"15",LEFT(M77,2)&lt;&gt;"33"))),"x","")</f>
        <v/>
      </c>
      <c r="V77" s="525" t="str">
        <f>IF(AND(OR(LEFT(TH!L77,2)="15",LEFT(TH!M77,2)="15"),'152-CT'!$J$8=TH!F77),"x","")</f>
        <v/>
      </c>
      <c r="W77" s="525" t="str">
        <f>IF(AND(OR(LEFT(TH!L77,2)="15",LEFT(TH!M77,2)="15"),TK!$E$7=TH!F77),"x","")</f>
        <v/>
      </c>
      <c r="X77" s="525" t="str">
        <f>IF(AND('341-CT'!$E$9=H77,OR(LEFT(L77,3)=$X$7,LEFT(M77,3)=$X$7)),"x","")</f>
        <v/>
      </c>
      <c r="Y77" s="525" t="str">
        <f>IF(OR(TH!L77=TH!$Y$7,M77=TH!$Y$7),"x","")</f>
        <v/>
      </c>
      <c r="Z77" s="525" t="str">
        <f>IF(AND(B77&lt;=NKC!$N$8,B77&gt;=NKC!$M$8),"x","")</f>
        <v/>
      </c>
      <c r="AA77" s="536"/>
      <c r="AD77" s="536"/>
    </row>
    <row r="78" spans="1:30" s="503" customFormat="1" ht="15.75" customHeight="1">
      <c r="A78" s="517" t="str">
        <f>IF(B78&lt;&gt;"",IF(AND(B78&gt;=_TM1,B78&lt;=_TM2,OR(TH!L78="1111",TH!M78="1111")),TH!D78,""),"")</f>
        <v/>
      </c>
      <c r="B78" s="531">
        <f t="shared" si="6"/>
        <v>4</v>
      </c>
      <c r="C78" s="671">
        <f t="shared" si="7"/>
        <v>42854</v>
      </c>
      <c r="D78" s="671" t="s">
        <v>476</v>
      </c>
      <c r="E78" s="672">
        <v>42854</v>
      </c>
      <c r="F78" s="673" t="s">
        <v>884</v>
      </c>
      <c r="G78" s="674"/>
      <c r="H78" s="675"/>
      <c r="I78" s="676"/>
      <c r="J78" s="676"/>
      <c r="K78" s="677">
        <f>ROUND(K69*$G77,0)</f>
        <v>118110</v>
      </c>
      <c r="L78" s="678" t="s">
        <v>158</v>
      </c>
      <c r="M78" s="680" t="s">
        <v>301</v>
      </c>
      <c r="N78" s="525" t="str">
        <f>IF(AND('331-CT'!$E$7=TH!H78,OR(L78="331",M78="331")),"331",IF(AND(OR(L78="131",M78="131"),H78='131-CT'!$E$7),"131",""))</f>
        <v/>
      </c>
      <c r="O78" s="525" t="str">
        <f>IF(AND($B78&gt;='111'!$N$11,$B78&lt;='111'!$O$11,OR($L78=$O$7,$M78=$O$7)),"x","")</f>
        <v/>
      </c>
      <c r="P78" s="525" t="str">
        <f>IF(AND($L78=$O$7,$B78&lt;'111'!$N$11),"x","")</f>
        <v/>
      </c>
      <c r="Q78" s="525" t="str">
        <f>IF(AND($M78=$O$7,$B78&lt;'111'!$N$11),"x","")</f>
        <v/>
      </c>
      <c r="R78" s="525" t="str">
        <f>IF(ISERROR(FIND('112'!$M$9,G78,1)),"",IF((AND(FIND('112'!$M$9,G78,1)&gt;=1,$B78&gt;='112'!$N$8,$B78&lt;='112'!$O$8,OR($L78='112'!$I$6,$M78='112'!$I$6))),"x",""))</f>
        <v/>
      </c>
      <c r="S78" s="525" t="str">
        <f>IF(ISERROR(FIND('112'!$M$9,G78,1)),"",IF((AND(LEFT(G78,2)=LEFT('112'!$M$9,2),B78&lt;'112'!$N$8,$L78='112'!$I$6)),"x",""))</f>
        <v/>
      </c>
      <c r="T78" s="525" t="str">
        <f>IF(ISERROR(FIND('112'!$M$9,G78,1)),"",IF((AND(RIGHT(G78,2)=RIGHT('112'!$M$9,2),B78&lt;'112'!$N$8,$M78='112'!$I$6)),"x",""))</f>
        <v/>
      </c>
      <c r="U78" s="525" t="str">
        <f>IF(AND(B78&gt;='IN-NX'!$P$3,B78&lt;='IN-NX'!$Q$3,'IN-NX'!$D$7=D78,OR(LEFT(L78,2)="15",AND(LEFT(M78,2)&lt;&gt;"15",LEFT(M78,2)&lt;&gt;"33"))),"x","")</f>
        <v/>
      </c>
      <c r="V78" s="525" t="str">
        <f>IF(AND(OR(LEFT(TH!L78,2)="15",LEFT(TH!M78,2)="15"),'152-CT'!$J$8=TH!F78),"x","")</f>
        <v/>
      </c>
      <c r="W78" s="525" t="str">
        <f>IF(AND(OR(LEFT(TH!L78,2)="15",LEFT(TH!M78,2)="15"),TK!$E$7=TH!F78),"x","")</f>
        <v/>
      </c>
      <c r="X78" s="525" t="str">
        <f>IF(AND('341-CT'!$E$9=H78,OR(LEFT(L78,3)=$X$7,LEFT(M78,3)=$X$7)),"x","")</f>
        <v/>
      </c>
      <c r="Y78" s="525" t="str">
        <f>IF(OR(TH!L78=TH!$Y$7,M78=TH!$Y$7),"x","")</f>
        <v/>
      </c>
      <c r="Z78" s="525" t="str">
        <f>IF(AND(B78&lt;=NKC!$N$8,B78&gt;=NKC!$M$8),"x","")</f>
        <v/>
      </c>
      <c r="AA78" s="536"/>
      <c r="AD78" s="536"/>
    </row>
    <row r="79" spans="1:30" s="503" customFormat="1" ht="15.75" customHeight="1">
      <c r="A79" s="517" t="str">
        <f>IF(B79&lt;&gt;"",IF(AND(B79&gt;=_TM1,B79&lt;=_TM2,OR(TH!L79="1111",TH!M79="1111")),TH!D79,""),"")</f>
        <v/>
      </c>
      <c r="B79" s="531">
        <f t="shared" si="6"/>
        <v>4</v>
      </c>
      <c r="C79" s="671">
        <f t="shared" si="7"/>
        <v>42854</v>
      </c>
      <c r="D79" s="679" t="s">
        <v>476</v>
      </c>
      <c r="E79" s="672">
        <v>42854</v>
      </c>
      <c r="F79" s="673" t="s">
        <v>885</v>
      </c>
      <c r="G79" s="674" t="s">
        <v>886</v>
      </c>
      <c r="H79" s="472"/>
      <c r="I79" s="676"/>
      <c r="J79" s="676"/>
      <c r="K79" s="677">
        <f>ROUND(K68*$G79,0)</f>
        <v>79495</v>
      </c>
      <c r="L79" s="680" t="s">
        <v>225</v>
      </c>
      <c r="M79" s="680" t="s">
        <v>305</v>
      </c>
      <c r="N79" s="525" t="str">
        <f>IF(AND('331-CT'!$E$7=TH!H79,OR(L79="331",M79="331")),"331",IF(AND(OR(L79="131",M79="131"),H79='131-CT'!$E$7),"131",""))</f>
        <v/>
      </c>
      <c r="O79" s="525" t="str">
        <f>IF(AND($B79&gt;='111'!$N$11,$B79&lt;='111'!$O$11,OR($L79=$O$7,$M79=$O$7)),"x","")</f>
        <v/>
      </c>
      <c r="P79" s="525" t="str">
        <f>IF(AND($L79=$O$7,$B79&lt;'111'!$N$11),"x","")</f>
        <v/>
      </c>
      <c r="Q79" s="525" t="str">
        <f>IF(AND($M79=$O$7,$B79&lt;'111'!$N$11),"x","")</f>
        <v/>
      </c>
      <c r="R79" s="525" t="str">
        <f>IF(ISERROR(FIND('112'!$M$9,G79,1)),"",IF((AND(FIND('112'!$M$9,G79,1)&gt;=1,$B79&gt;='112'!$N$8,$B79&lt;='112'!$O$8,OR($L79='112'!$I$6,$M79='112'!$I$6))),"x",""))</f>
        <v/>
      </c>
      <c r="S79" s="525" t="str">
        <f>IF(ISERROR(FIND('112'!$M$9,G79,1)),"",IF((AND(LEFT(G79,2)=LEFT('112'!$M$9,2),B79&lt;'112'!$N$8,$L79='112'!$I$6)),"x",""))</f>
        <v/>
      </c>
      <c r="T79" s="525" t="str">
        <f>IF(ISERROR(FIND('112'!$M$9,G79,1)),"",IF((AND(RIGHT(G79,2)=RIGHT('112'!$M$9,2),B79&lt;'112'!$N$8,$M79='112'!$I$6)),"x",""))</f>
        <v/>
      </c>
      <c r="U79" s="525" t="str">
        <f>IF(AND(B79&gt;='IN-NX'!$P$3,B79&lt;='IN-NX'!$Q$3,'IN-NX'!$D$7=D79,OR(LEFT(L79,2)="15",AND(LEFT(M79,2)&lt;&gt;"15",LEFT(M79,2)&lt;&gt;"33"))),"x","")</f>
        <v/>
      </c>
      <c r="V79" s="525" t="str">
        <f>IF(AND(OR(LEFT(TH!L79,2)="15",LEFT(TH!M79,2)="15"),'152-CT'!$J$8=TH!F79),"x","")</f>
        <v/>
      </c>
      <c r="W79" s="525" t="str">
        <f>IF(AND(OR(LEFT(TH!L79,2)="15",LEFT(TH!M79,2)="15"),TK!$E$7=TH!F79),"x","")</f>
        <v/>
      </c>
      <c r="X79" s="525" t="str">
        <f>IF(AND('341-CT'!$E$9=H79,OR(LEFT(L79,3)=$X$7,LEFT(M79,3)=$X$7)),"x","")</f>
        <v/>
      </c>
      <c r="Y79" s="525" t="str">
        <f>IF(OR(TH!L79=TH!$Y$7,M79=TH!$Y$7),"x","")</f>
        <v>x</v>
      </c>
      <c r="Z79" s="525" t="str">
        <f>IF(AND(B79&lt;=NKC!$N$8,B79&gt;=NKC!$M$8),"x","")</f>
        <v/>
      </c>
      <c r="AA79" s="536"/>
      <c r="AD79" s="536"/>
    </row>
    <row r="80" spans="1:30" s="503" customFormat="1" ht="15.75" customHeight="1">
      <c r="A80" s="517" t="str">
        <f>IF(B80&lt;&gt;"",IF(AND(B80&gt;=_TM1,B80&lt;=_TM2,OR(TH!L80="1111",TH!M80="1111")),TH!D80,""),"")</f>
        <v/>
      </c>
      <c r="B80" s="531">
        <f t="shared" si="6"/>
        <v>4</v>
      </c>
      <c r="C80" s="671">
        <f t="shared" si="7"/>
        <v>42854</v>
      </c>
      <c r="D80" s="671" t="s">
        <v>476</v>
      </c>
      <c r="E80" s="672">
        <v>42854</v>
      </c>
      <c r="F80" s="673" t="s">
        <v>887</v>
      </c>
      <c r="G80" s="674"/>
      <c r="H80" s="675"/>
      <c r="I80" s="676"/>
      <c r="J80" s="676"/>
      <c r="K80" s="677">
        <f>ROUND(K69*$G79,0)</f>
        <v>39370</v>
      </c>
      <c r="L80" s="680" t="s">
        <v>225</v>
      </c>
      <c r="M80" s="680" t="s">
        <v>305</v>
      </c>
      <c r="N80" s="525" t="str">
        <f>IF(AND('331-CT'!$E$7=TH!H80,OR(L80="331",M80="331")),"331",IF(AND(OR(L80="131",M80="131"),H80='131-CT'!$E$7),"131",""))</f>
        <v/>
      </c>
      <c r="O80" s="525" t="str">
        <f>IF(AND($B80&gt;='111'!$N$11,$B80&lt;='111'!$O$11,OR($L80=$O$7,$M80=$O$7)),"x","")</f>
        <v/>
      </c>
      <c r="P80" s="525" t="str">
        <f>IF(AND($L80=$O$7,$B80&lt;'111'!$N$11),"x","")</f>
        <v/>
      </c>
      <c r="Q80" s="525" t="str">
        <f>IF(AND($M80=$O$7,$B80&lt;'111'!$N$11),"x","")</f>
        <v/>
      </c>
      <c r="R80" s="525" t="str">
        <f>IF(ISERROR(FIND('112'!$M$9,G80,1)),"",IF((AND(FIND('112'!$M$9,G80,1)&gt;=1,$B80&gt;='112'!$N$8,$B80&lt;='112'!$O$8,OR($L80='112'!$I$6,$M80='112'!$I$6))),"x",""))</f>
        <v/>
      </c>
      <c r="S80" s="525" t="str">
        <f>IF(ISERROR(FIND('112'!$M$9,G80,1)),"",IF((AND(LEFT(G80,2)=LEFT('112'!$M$9,2),B80&lt;'112'!$N$8,$L80='112'!$I$6)),"x",""))</f>
        <v/>
      </c>
      <c r="T80" s="525" t="str">
        <f>IF(ISERROR(FIND('112'!$M$9,G80,1)),"",IF((AND(RIGHT(G80,2)=RIGHT('112'!$M$9,2),B80&lt;'112'!$N$8,$M80='112'!$I$6)),"x",""))</f>
        <v/>
      </c>
      <c r="U80" s="525" t="str">
        <f>IF(AND(B80&gt;='IN-NX'!$P$3,B80&lt;='IN-NX'!$Q$3,'IN-NX'!$D$7=D80,OR(LEFT(L80,2)="15",AND(LEFT(M80,2)&lt;&gt;"15",LEFT(M80,2)&lt;&gt;"33"))),"x","")</f>
        <v/>
      </c>
      <c r="V80" s="525" t="str">
        <f>IF(AND(OR(LEFT(TH!L80,2)="15",LEFT(TH!M80,2)="15"),'152-CT'!$J$8=TH!F80),"x","")</f>
        <v/>
      </c>
      <c r="W80" s="525" t="str">
        <f>IF(AND(OR(LEFT(TH!L80,2)="15",LEFT(TH!M80,2)="15"),TK!$E$7=TH!F80),"x","")</f>
        <v/>
      </c>
      <c r="X80" s="525" t="str">
        <f>IF(AND('341-CT'!$E$9=H80,OR(LEFT(L80,3)=$X$7,LEFT(M80,3)=$X$7)),"x","")</f>
        <v/>
      </c>
      <c r="Y80" s="525" t="str">
        <f>IF(OR(TH!L80=TH!$Y$7,M80=TH!$Y$7),"x","")</f>
        <v>x</v>
      </c>
      <c r="Z80" s="525" t="str">
        <f>IF(AND(B80&lt;=NKC!$N$8,B80&gt;=NKC!$M$8),"x","")</f>
        <v/>
      </c>
      <c r="AA80" s="536"/>
      <c r="AD80" s="536"/>
    </row>
    <row r="81" spans="1:30" s="503" customFormat="1" ht="15.75" customHeight="1">
      <c r="A81" s="517" t="str">
        <f>IF(B81&lt;&gt;"",IF(AND(B81&gt;=_TM1,B81&lt;=_TM2,OR(TH!L81="1111",TH!M81="1111")),TH!D81,""),"")</f>
        <v/>
      </c>
      <c r="B81" s="531">
        <f t="shared" si="6"/>
        <v>4</v>
      </c>
      <c r="C81" s="671">
        <f t="shared" si="7"/>
        <v>42854</v>
      </c>
      <c r="D81" s="671" t="s">
        <v>476</v>
      </c>
      <c r="E81" s="672">
        <v>42854</v>
      </c>
      <c r="F81" s="673" t="s">
        <v>888</v>
      </c>
      <c r="G81" s="674" t="s">
        <v>886</v>
      </c>
      <c r="H81" s="675"/>
      <c r="I81" s="676"/>
      <c r="J81" s="676"/>
      <c r="K81" s="677">
        <f>K79</f>
        <v>79495</v>
      </c>
      <c r="L81" s="680" t="s">
        <v>224</v>
      </c>
      <c r="M81" s="680" t="s">
        <v>305</v>
      </c>
      <c r="N81" s="525" t="str">
        <f>IF(AND('331-CT'!$E$7=TH!H81,OR(L81="331",M81="331")),"331",IF(AND(OR(L81="131",M81="131"),H81='131-CT'!$E$7),"131",""))</f>
        <v/>
      </c>
      <c r="O81" s="525" t="str">
        <f>IF(AND($B81&gt;='111'!$N$11,$B81&lt;='111'!$O$11,OR($L81=$O$7,$M81=$O$7)),"x","")</f>
        <v/>
      </c>
      <c r="P81" s="525" t="str">
        <f>IF(AND($L81=$O$7,$B81&lt;'111'!$N$11),"x","")</f>
        <v/>
      </c>
      <c r="Q81" s="525" t="str">
        <f>IF(AND($M81=$O$7,$B81&lt;'111'!$N$11),"x","")</f>
        <v/>
      </c>
      <c r="R81" s="525" t="str">
        <f>IF(ISERROR(FIND('112'!$M$9,G81,1)),"",IF((AND(FIND('112'!$M$9,G81,1)&gt;=1,$B81&gt;='112'!$N$8,$B81&lt;='112'!$O$8,OR($L81='112'!$I$6,$M81='112'!$I$6))),"x",""))</f>
        <v/>
      </c>
      <c r="S81" s="525" t="str">
        <f>IF(ISERROR(FIND('112'!$M$9,G81,1)),"",IF((AND(LEFT(G81,2)=LEFT('112'!$M$9,2),B81&lt;'112'!$N$8,$L81='112'!$I$6)),"x",""))</f>
        <v/>
      </c>
      <c r="T81" s="525" t="str">
        <f>IF(ISERROR(FIND('112'!$M$9,G81,1)),"",IF((AND(RIGHT(G81,2)=RIGHT('112'!$M$9,2),B81&lt;'112'!$N$8,$M81='112'!$I$6)),"x",""))</f>
        <v/>
      </c>
      <c r="U81" s="525" t="str">
        <f>IF(AND(B81&gt;='IN-NX'!$P$3,B81&lt;='IN-NX'!$Q$3,'IN-NX'!$D$7=D81,OR(LEFT(L81,2)="15",AND(LEFT(M81,2)&lt;&gt;"15",LEFT(M81,2)&lt;&gt;"33"))),"x","")</f>
        <v/>
      </c>
      <c r="V81" s="525" t="str">
        <f>IF(AND(OR(LEFT(TH!L81,2)="15",LEFT(TH!M81,2)="15"),'152-CT'!$J$8=TH!F81),"x","")</f>
        <v/>
      </c>
      <c r="W81" s="525" t="str">
        <f>IF(AND(OR(LEFT(TH!L81,2)="15",LEFT(TH!M81,2)="15"),TK!$E$7=TH!F81),"x","")</f>
        <v/>
      </c>
      <c r="X81" s="525" t="str">
        <f>IF(AND('341-CT'!$E$9=H81,OR(LEFT(L81,3)=$X$7,LEFT(M81,3)=$X$7)),"x","")</f>
        <v/>
      </c>
      <c r="Y81" s="525" t="str">
        <f>IF(OR(TH!L81=TH!$Y$7,M81=TH!$Y$7),"x","")</f>
        <v/>
      </c>
      <c r="Z81" s="525" t="str">
        <f>IF(AND(B81&lt;=NKC!$N$8,B81&gt;=NKC!$M$8),"x","")</f>
        <v/>
      </c>
      <c r="AA81" s="536"/>
      <c r="AD81" s="536"/>
    </row>
    <row r="82" spans="1:30" s="503" customFormat="1" ht="15.75" customHeight="1">
      <c r="A82" s="517" t="str">
        <f>IF(B82&lt;&gt;"",IF(AND(B82&gt;=_TM1,B82&lt;=_TM2,OR(TH!L82="1111",TH!M82="1111")),TH!D82,""),"")</f>
        <v/>
      </c>
      <c r="B82" s="531">
        <f t="shared" si="6"/>
        <v>4</v>
      </c>
      <c r="C82" s="671">
        <f t="shared" si="7"/>
        <v>42854</v>
      </c>
      <c r="D82" s="679" t="s">
        <v>476</v>
      </c>
      <c r="E82" s="672">
        <v>42854</v>
      </c>
      <c r="F82" s="673" t="s">
        <v>889</v>
      </c>
      <c r="G82" s="674"/>
      <c r="H82" s="472"/>
      <c r="I82" s="676"/>
      <c r="J82" s="676"/>
      <c r="K82" s="677">
        <f>K80</f>
        <v>39370</v>
      </c>
      <c r="L82" s="678" t="s">
        <v>158</v>
      </c>
      <c r="M82" s="680" t="s">
        <v>305</v>
      </c>
      <c r="N82" s="525" t="str">
        <f>IF(AND('331-CT'!$E$7=TH!H82,OR(L82="331",M82="331")),"331",IF(AND(OR(L82="131",M82="131"),H82='131-CT'!$E$7),"131",""))</f>
        <v/>
      </c>
      <c r="O82" s="525" t="str">
        <f>IF(AND($B82&gt;='111'!$N$11,$B82&lt;='111'!$O$11,OR($L82=$O$7,$M82=$O$7)),"x","")</f>
        <v/>
      </c>
      <c r="P82" s="525" t="str">
        <f>IF(AND($L82=$O$7,$B82&lt;'111'!$N$11),"x","")</f>
        <v/>
      </c>
      <c r="Q82" s="525" t="str">
        <f>IF(AND($M82=$O$7,$B82&lt;'111'!$N$11),"x","")</f>
        <v/>
      </c>
      <c r="R82" s="525" t="str">
        <f>IF(ISERROR(FIND('112'!$M$9,G82,1)),"",IF((AND(FIND('112'!$M$9,G82,1)&gt;=1,$B82&gt;='112'!$N$8,$B82&lt;='112'!$O$8,OR($L82='112'!$I$6,$M82='112'!$I$6))),"x",""))</f>
        <v/>
      </c>
      <c r="S82" s="525" t="str">
        <f>IF(ISERROR(FIND('112'!$M$9,G82,1)),"",IF((AND(LEFT(G82,2)=LEFT('112'!$M$9,2),B82&lt;'112'!$N$8,$L82='112'!$I$6)),"x",""))</f>
        <v/>
      </c>
      <c r="T82" s="525" t="str">
        <f>IF(ISERROR(FIND('112'!$M$9,G82,1)),"",IF((AND(RIGHT(G82,2)=RIGHT('112'!$M$9,2),B82&lt;'112'!$N$8,$M82='112'!$I$6)),"x",""))</f>
        <v/>
      </c>
      <c r="U82" s="525" t="str">
        <f>IF(AND(B82&gt;='IN-NX'!$P$3,B82&lt;='IN-NX'!$Q$3,'IN-NX'!$D$7=D82,OR(LEFT(L82,2)="15",AND(LEFT(M82,2)&lt;&gt;"15",LEFT(M82,2)&lt;&gt;"33"))),"x","")</f>
        <v/>
      </c>
      <c r="V82" s="525" t="str">
        <f>IF(AND(OR(LEFT(TH!L82,2)="15",LEFT(TH!M82,2)="15"),'152-CT'!$J$8=TH!F82),"x","")</f>
        <v/>
      </c>
      <c r="W82" s="525" t="str">
        <f>IF(AND(OR(LEFT(TH!L82,2)="15",LEFT(TH!M82,2)="15"),TK!$E$7=TH!F82),"x","")</f>
        <v/>
      </c>
      <c r="X82" s="525" t="str">
        <f>IF(AND('341-CT'!$E$9=H82,OR(LEFT(L82,3)=$X$7,LEFT(M82,3)=$X$7)),"x","")</f>
        <v/>
      </c>
      <c r="Y82" s="525" t="str">
        <f>IF(OR(TH!L82=TH!$Y$7,M82=TH!$Y$7),"x","")</f>
        <v/>
      </c>
      <c r="Z82" s="525" t="str">
        <f>IF(AND(B82&lt;=NKC!$N$8,B82&gt;=NKC!$M$8),"x","")</f>
        <v/>
      </c>
      <c r="AA82" s="536"/>
      <c r="AD82" s="536"/>
    </row>
    <row r="83" spans="1:30" s="503" customFormat="1" ht="15.75" customHeight="1">
      <c r="A83" s="517" t="str">
        <f>IF(B83&lt;&gt;"",IF(AND(B83&gt;=_TM1,B83&lt;=_TM2,OR(TH!L83="1111",TH!M83="1111")),TH!D83,""),"")</f>
        <v/>
      </c>
      <c r="B83" s="531">
        <f t="shared" ref="B83:B97" si="8">IF(C83&lt;&gt;"",MONTH(C83),"")</f>
        <v>5</v>
      </c>
      <c r="C83" s="671">
        <f t="shared" ref="C83:C97" si="9">E83</f>
        <v>42886</v>
      </c>
      <c r="D83" s="671" t="s">
        <v>476</v>
      </c>
      <c r="E83" s="672">
        <v>42886</v>
      </c>
      <c r="F83" s="673" t="s">
        <v>870</v>
      </c>
      <c r="G83" s="674"/>
      <c r="H83" s="675"/>
      <c r="I83" s="676"/>
      <c r="J83" s="676"/>
      <c r="K83" s="674">
        <v>7949500</v>
      </c>
      <c r="L83" s="678" t="s">
        <v>81</v>
      </c>
      <c r="M83" s="678" t="s">
        <v>225</v>
      </c>
      <c r="N83" s="525" t="str">
        <f>IF(AND('331-CT'!$E$7=TH!H83,OR(L83="331",M83="331")),"331",IF(AND(OR(L83="131",M83="131"),H83='131-CT'!$E$7),"131",""))</f>
        <v/>
      </c>
      <c r="O83" s="525" t="str">
        <f>IF(AND($B83&gt;='111'!$N$11,$B83&lt;='111'!$O$11,OR($L83=$O$7,$M83=$O$7)),"x","")</f>
        <v/>
      </c>
      <c r="P83" s="525" t="str">
        <f>IF(AND($L83=$O$7,$B83&lt;'111'!$N$11),"x","")</f>
        <v/>
      </c>
      <c r="Q83" s="525" t="str">
        <f>IF(AND($M83=$O$7,$B83&lt;'111'!$N$11),"x","")</f>
        <v/>
      </c>
      <c r="R83" s="525" t="str">
        <f>IF(ISERROR(FIND('112'!$M$9,G83,1)),"",IF((AND(FIND('112'!$M$9,G83,1)&gt;=1,$B83&gt;='112'!$N$8,$B83&lt;='112'!$O$8,OR($L83='112'!$I$6,$M83='112'!$I$6))),"x",""))</f>
        <v/>
      </c>
      <c r="S83" s="525" t="str">
        <f>IF(ISERROR(FIND('112'!$M$9,G83,1)),"",IF((AND(LEFT(G83,2)=LEFT('112'!$M$9,2),B83&lt;'112'!$N$8,$L83='112'!$I$6)),"x",""))</f>
        <v/>
      </c>
      <c r="T83" s="525" t="str">
        <f>IF(ISERROR(FIND('112'!$M$9,G83,1)),"",IF((AND(RIGHT(G83,2)=RIGHT('112'!$M$9,2),B83&lt;'112'!$N$8,$M83='112'!$I$6)),"x",""))</f>
        <v/>
      </c>
      <c r="U83" s="525" t="str">
        <f>IF(AND(B83&gt;='IN-NX'!$P$3,B83&lt;='IN-NX'!$Q$3,'IN-NX'!$D$7=D83,OR(LEFT(L83,2)="15",AND(LEFT(M83,2)&lt;&gt;"15",LEFT(M83,2)&lt;&gt;"33"))),"x","")</f>
        <v/>
      </c>
      <c r="V83" s="525" t="str">
        <f>IF(AND(OR(LEFT(TH!L83,2)="15",LEFT(TH!M83,2)="15"),'152-CT'!$J$8=TH!F83),"x","")</f>
        <v/>
      </c>
      <c r="W83" s="525" t="str">
        <f>IF(AND(OR(LEFT(TH!L83,2)="15",LEFT(TH!M83,2)="15"),TK!$E$7=TH!F83),"x","")</f>
        <v/>
      </c>
      <c r="X83" s="525" t="str">
        <f>IF(AND('341-CT'!$E$9=H83,OR(LEFT(L83,3)=$X$7,LEFT(M83,3)=$X$7)),"x","")</f>
        <v/>
      </c>
      <c r="Y83" s="525" t="str">
        <f>IF(OR(TH!L83=TH!$Y$7,M83=TH!$Y$7),"x","")</f>
        <v>x</v>
      </c>
      <c r="Z83" s="525" t="str">
        <f>IF(AND(B83&lt;=NKC!$N$8,B83&gt;=NKC!$M$8),"x","")</f>
        <v/>
      </c>
      <c r="AA83" s="536"/>
      <c r="AD83" s="536"/>
    </row>
    <row r="84" spans="1:30" s="503" customFormat="1" ht="15.75" customHeight="1">
      <c r="A84" s="517" t="str">
        <f>IF(B84&lt;&gt;"",IF(AND(B84&gt;=_TM1,B84&lt;=_TM2,OR(TH!L84="1111",TH!M84="1111")),TH!D84,""),"")</f>
        <v/>
      </c>
      <c r="B84" s="531">
        <f t="shared" si="8"/>
        <v>5</v>
      </c>
      <c r="C84" s="671">
        <f t="shared" si="9"/>
        <v>42886</v>
      </c>
      <c r="D84" s="671" t="s">
        <v>476</v>
      </c>
      <c r="E84" s="672">
        <v>42886</v>
      </c>
      <c r="F84" s="673" t="s">
        <v>871</v>
      </c>
      <c r="G84" s="674"/>
      <c r="H84" s="675"/>
      <c r="I84" s="676"/>
      <c r="J84" s="676"/>
      <c r="K84" s="674">
        <v>3937000</v>
      </c>
      <c r="L84" s="678" t="s">
        <v>158</v>
      </c>
      <c r="M84" s="678" t="s">
        <v>225</v>
      </c>
      <c r="N84" s="525" t="str">
        <f>IF(AND('331-CT'!$E$7=TH!H84,OR(L84="331",M84="331")),"331",IF(AND(OR(L84="131",M84="131"),H84='131-CT'!$E$7),"131",""))</f>
        <v/>
      </c>
      <c r="O84" s="525" t="str">
        <f>IF(AND($B84&gt;='111'!$N$11,$B84&lt;='111'!$O$11,OR($L84=$O$7,$M84=$O$7)),"x","")</f>
        <v/>
      </c>
      <c r="P84" s="525" t="str">
        <f>IF(AND($L84=$O$7,$B84&lt;'111'!$N$11),"x","")</f>
        <v/>
      </c>
      <c r="Q84" s="525" t="str">
        <f>IF(AND($M84=$O$7,$B84&lt;'111'!$N$11),"x","")</f>
        <v/>
      </c>
      <c r="R84" s="525" t="str">
        <f>IF(ISERROR(FIND('112'!$M$9,G84,1)),"",IF((AND(FIND('112'!$M$9,G84,1)&gt;=1,$B84&gt;='112'!$N$8,$B84&lt;='112'!$O$8,OR($L84='112'!$I$6,$M84='112'!$I$6))),"x",""))</f>
        <v/>
      </c>
      <c r="S84" s="525" t="str">
        <f>IF(ISERROR(FIND('112'!$M$9,G84,1)),"",IF((AND(LEFT(G84,2)=LEFT('112'!$M$9,2),B84&lt;'112'!$N$8,$L84='112'!$I$6)),"x",""))</f>
        <v/>
      </c>
      <c r="T84" s="525" t="str">
        <f>IF(ISERROR(FIND('112'!$M$9,G84,1)),"",IF((AND(RIGHT(G84,2)=RIGHT('112'!$M$9,2),B84&lt;'112'!$N$8,$M84='112'!$I$6)),"x",""))</f>
        <v/>
      </c>
      <c r="U84" s="525" t="str">
        <f>IF(AND(B84&gt;='IN-NX'!$P$3,B84&lt;='IN-NX'!$Q$3,'IN-NX'!$D$7=D84,OR(LEFT(L84,2)="15",AND(LEFT(M84,2)&lt;&gt;"15",LEFT(M84,2)&lt;&gt;"33"))),"x","")</f>
        <v/>
      </c>
      <c r="V84" s="525" t="str">
        <f>IF(AND(OR(LEFT(TH!L84,2)="15",LEFT(TH!M84,2)="15"),'152-CT'!$J$8=TH!F84),"x","")</f>
        <v/>
      </c>
      <c r="W84" s="525" t="str">
        <f>IF(AND(OR(LEFT(TH!L84,2)="15",LEFT(TH!M84,2)="15"),TK!$E$7=TH!F84),"x","")</f>
        <v/>
      </c>
      <c r="X84" s="525" t="str">
        <f>IF(AND('341-CT'!$E$9=H84,OR(LEFT(L84,3)=$X$7,LEFT(M84,3)=$X$7)),"x","")</f>
        <v/>
      </c>
      <c r="Y84" s="525" t="str">
        <f>IF(OR(TH!L84=TH!$Y$7,M84=TH!$Y$7),"x","")</f>
        <v>x</v>
      </c>
      <c r="Z84" s="525" t="str">
        <f>IF(AND(B84&lt;=NKC!$N$8,B84&gt;=NKC!$M$8),"x","")</f>
        <v/>
      </c>
      <c r="AA84" s="536"/>
      <c r="AD84" s="536"/>
    </row>
    <row r="85" spans="1:30" s="503" customFormat="1" ht="15.75" customHeight="1">
      <c r="A85" s="517" t="str">
        <f>IF(B85&lt;&gt;"",IF(AND(B85&gt;=_TM1,B85&lt;=_TM2,OR(TH!L85="1111",TH!M85="1111")),TH!D85,""),"")</f>
        <v/>
      </c>
      <c r="B85" s="531">
        <f t="shared" si="8"/>
        <v>5</v>
      </c>
      <c r="C85" s="671">
        <f t="shared" si="9"/>
        <v>42886</v>
      </c>
      <c r="D85" s="679" t="s">
        <v>872</v>
      </c>
      <c r="E85" s="672">
        <v>42886</v>
      </c>
      <c r="F85" s="673" t="s">
        <v>1196</v>
      </c>
      <c r="G85" s="674"/>
      <c r="H85" s="472" t="s">
        <v>460</v>
      </c>
      <c r="I85" s="676"/>
      <c r="J85" s="676"/>
      <c r="K85" s="677">
        <v>10638417</v>
      </c>
      <c r="L85" s="678" t="s">
        <v>225</v>
      </c>
      <c r="M85" s="678" t="s">
        <v>45</v>
      </c>
      <c r="N85" s="525" t="str">
        <f>IF(AND('331-CT'!$E$7=TH!H85,OR(L85="331",M85="331")),"331",IF(AND(OR(L85="131",M85="131"),H85='131-CT'!$E$7),"131",""))</f>
        <v/>
      </c>
      <c r="O85" s="525" t="str">
        <f>IF(AND($B85&gt;='111'!$N$11,$B85&lt;='111'!$O$11,OR($L85=$O$7,$M85=$O$7)),"x","")</f>
        <v/>
      </c>
      <c r="P85" s="525" t="str">
        <f>IF(AND($L85=$O$7,$B85&lt;'111'!$N$11),"x","")</f>
        <v/>
      </c>
      <c r="Q85" s="525" t="str">
        <f>IF(AND($M85=$O$7,$B85&lt;'111'!$N$11),"x","")</f>
        <v>x</v>
      </c>
      <c r="R85" s="525" t="str">
        <f>IF(ISERROR(FIND('112'!$M$9,G85,1)),"",IF((AND(FIND('112'!$M$9,G85,1)&gt;=1,$B85&gt;='112'!$N$8,$B85&lt;='112'!$O$8,OR($L85='112'!$I$6,$M85='112'!$I$6))),"x",""))</f>
        <v/>
      </c>
      <c r="S85" s="525" t="str">
        <f>IF(ISERROR(FIND('112'!$M$9,G85,1)),"",IF((AND(LEFT(G85,2)=LEFT('112'!$M$9,2),B85&lt;'112'!$N$8,$L85='112'!$I$6)),"x",""))</f>
        <v/>
      </c>
      <c r="T85" s="525" t="str">
        <f>IF(ISERROR(FIND('112'!$M$9,G85,1)),"",IF((AND(RIGHT(G85,2)=RIGHT('112'!$M$9,2),B85&lt;'112'!$N$8,$M85='112'!$I$6)),"x",""))</f>
        <v/>
      </c>
      <c r="U85" s="525" t="str">
        <f>IF(AND(B85&gt;='IN-NX'!$P$3,B85&lt;='IN-NX'!$Q$3,'IN-NX'!$D$7=D85,OR(LEFT(L85,2)="15",AND(LEFT(M85,2)&lt;&gt;"15",LEFT(M85,2)&lt;&gt;"33"))),"x","")</f>
        <v/>
      </c>
      <c r="V85" s="525" t="str">
        <f>IF(AND(OR(LEFT(TH!L85,2)="15",LEFT(TH!M85,2)="15"),'152-CT'!$J$8=TH!F85),"x","")</f>
        <v/>
      </c>
      <c r="W85" s="525" t="str">
        <f>IF(AND(OR(LEFT(TH!L85,2)="15",LEFT(TH!M85,2)="15"),TK!$E$7=TH!F85),"x","")</f>
        <v/>
      </c>
      <c r="X85" s="525" t="str">
        <f>IF(AND('341-CT'!$E$9=H85,OR(LEFT(L85,3)=$X$7,LEFT(M85,3)=$X$7)),"x","")</f>
        <v/>
      </c>
      <c r="Y85" s="525" t="str">
        <f>IF(OR(TH!L85=TH!$Y$7,M85=TH!$Y$7),"x","")</f>
        <v>x</v>
      </c>
      <c r="Z85" s="525" t="str">
        <f>IF(AND(B85&lt;=NKC!$N$8,B85&gt;=NKC!$M$8),"x","")</f>
        <v/>
      </c>
      <c r="AA85" s="536"/>
      <c r="AD85" s="536"/>
    </row>
    <row r="86" spans="1:30" s="503" customFormat="1" ht="15.75" customHeight="1">
      <c r="A86" s="517" t="str">
        <f>IF(B86&lt;&gt;"",IF(AND(B86&gt;=_TM1,B86&lt;=_TM2,OR(TH!L86="1111",TH!M86="1111")),TH!D86,""),"")</f>
        <v/>
      </c>
      <c r="B86" s="531">
        <f t="shared" si="8"/>
        <v>5</v>
      </c>
      <c r="C86" s="671">
        <f t="shared" si="9"/>
        <v>42886</v>
      </c>
      <c r="D86" s="671" t="s">
        <v>476</v>
      </c>
      <c r="E86" s="672">
        <v>42886</v>
      </c>
      <c r="F86" s="673" t="s">
        <v>873</v>
      </c>
      <c r="G86" s="674" t="s">
        <v>874</v>
      </c>
      <c r="H86" s="675"/>
      <c r="I86" s="676"/>
      <c r="J86" s="676"/>
      <c r="K86" s="677">
        <f>ROUND(K83*$G86,0)</f>
        <v>635960</v>
      </c>
      <c r="L86" s="680" t="s">
        <v>225</v>
      </c>
      <c r="M86" s="680" t="s">
        <v>302</v>
      </c>
      <c r="N86" s="525" t="str">
        <f>IF(AND('331-CT'!$E$7=TH!H86,OR(L86="331",M86="331")),"331",IF(AND(OR(L86="131",M86="131"),H86='131-CT'!$E$7),"131",""))</f>
        <v/>
      </c>
      <c r="O86" s="525" t="str">
        <f>IF(AND($B86&gt;='111'!$N$11,$B86&lt;='111'!$O$11,OR($L86=$O$7,$M86=$O$7)),"x","")</f>
        <v/>
      </c>
      <c r="P86" s="525" t="str">
        <f>IF(AND($L86=$O$7,$B86&lt;'111'!$N$11),"x","")</f>
        <v/>
      </c>
      <c r="Q86" s="525" t="str">
        <f>IF(AND($M86=$O$7,$B86&lt;'111'!$N$11),"x","")</f>
        <v/>
      </c>
      <c r="R86" s="525" t="str">
        <f>IF(ISERROR(FIND('112'!$M$9,G86,1)),"",IF((AND(FIND('112'!$M$9,G86,1)&gt;=1,$B86&gt;='112'!$N$8,$B86&lt;='112'!$O$8,OR($L86='112'!$I$6,$M86='112'!$I$6))),"x",""))</f>
        <v/>
      </c>
      <c r="S86" s="525" t="str">
        <f>IF(ISERROR(FIND('112'!$M$9,G86,1)),"",IF((AND(LEFT(G86,2)=LEFT('112'!$M$9,2),B86&lt;'112'!$N$8,$L86='112'!$I$6)),"x",""))</f>
        <v/>
      </c>
      <c r="T86" s="525" t="str">
        <f>IF(ISERROR(FIND('112'!$M$9,G86,1)),"",IF((AND(RIGHT(G86,2)=RIGHT('112'!$M$9,2),B86&lt;'112'!$N$8,$M86='112'!$I$6)),"x",""))</f>
        <v/>
      </c>
      <c r="U86" s="525" t="str">
        <f>IF(AND(B86&gt;='IN-NX'!$P$3,B86&lt;='IN-NX'!$Q$3,'IN-NX'!$D$7=D86,OR(LEFT(L86,2)="15",AND(LEFT(M86,2)&lt;&gt;"15",LEFT(M86,2)&lt;&gt;"33"))),"x","")</f>
        <v/>
      </c>
      <c r="V86" s="525" t="str">
        <f>IF(AND(OR(LEFT(TH!L86,2)="15",LEFT(TH!M86,2)="15"),'152-CT'!$J$8=TH!F86),"x","")</f>
        <v/>
      </c>
      <c r="W86" s="525" t="str">
        <f>IF(AND(OR(LEFT(TH!L86,2)="15",LEFT(TH!M86,2)="15"),TK!$E$7=TH!F86),"x","")</f>
        <v/>
      </c>
      <c r="X86" s="525" t="str">
        <f>IF(AND('341-CT'!$E$9=H86,OR(LEFT(L86,3)=$X$7,LEFT(M86,3)=$X$7)),"x","")</f>
        <v/>
      </c>
      <c r="Y86" s="525" t="str">
        <f>IF(OR(TH!L86=TH!$Y$7,M86=TH!$Y$7),"x","")</f>
        <v>x</v>
      </c>
      <c r="Z86" s="525" t="str">
        <f>IF(AND(B86&lt;=NKC!$N$8,B86&gt;=NKC!$M$8),"x","")</f>
        <v/>
      </c>
      <c r="AA86" s="536"/>
      <c r="AD86" s="536"/>
    </row>
    <row r="87" spans="1:30" s="503" customFormat="1" ht="15.75" customHeight="1">
      <c r="A87" s="517" t="str">
        <f>IF(B87&lt;&gt;"",IF(AND(B87&gt;=_TM1,B87&lt;=_TM2,OR(TH!L87="1111",TH!M87="1111")),TH!D87,""),"")</f>
        <v/>
      </c>
      <c r="B87" s="531">
        <f t="shared" si="8"/>
        <v>5</v>
      </c>
      <c r="C87" s="671">
        <f t="shared" si="9"/>
        <v>42886</v>
      </c>
      <c r="D87" s="671" t="s">
        <v>476</v>
      </c>
      <c r="E87" s="672">
        <v>42886</v>
      </c>
      <c r="F87" s="673" t="s">
        <v>875</v>
      </c>
      <c r="G87" s="674"/>
      <c r="H87" s="675"/>
      <c r="I87" s="676"/>
      <c r="J87" s="676"/>
      <c r="K87" s="677">
        <f>ROUND(G86*K84,0)</f>
        <v>314960</v>
      </c>
      <c r="L87" s="678" t="s">
        <v>225</v>
      </c>
      <c r="M87" s="681" t="s">
        <v>302</v>
      </c>
      <c r="N87" s="525" t="str">
        <f>IF(AND('331-CT'!$E$7=TH!H87,OR(L87="331",M87="331")),"331",IF(AND(OR(L87="131",M87="131"),H87='131-CT'!$E$7),"131",""))</f>
        <v/>
      </c>
      <c r="O87" s="525" t="str">
        <f>IF(AND($B87&gt;='111'!$N$11,$B87&lt;='111'!$O$11,OR($L87=$O$7,$M87=$O$7)),"x","")</f>
        <v/>
      </c>
      <c r="P87" s="525" t="str">
        <f>IF(AND($L87=$O$7,$B87&lt;'111'!$N$11),"x","")</f>
        <v/>
      </c>
      <c r="Q87" s="525" t="str">
        <f>IF(AND($M87=$O$7,$B87&lt;'111'!$N$11),"x","")</f>
        <v/>
      </c>
      <c r="R87" s="525" t="str">
        <f>IF(ISERROR(FIND('112'!$M$9,G87,1)),"",IF((AND(FIND('112'!$M$9,G87,1)&gt;=1,$B87&gt;='112'!$N$8,$B87&lt;='112'!$O$8,OR($L87='112'!$I$6,$M87='112'!$I$6))),"x",""))</f>
        <v/>
      </c>
      <c r="S87" s="525" t="str">
        <f>IF(ISERROR(FIND('112'!$M$9,G87,1)),"",IF((AND(LEFT(G87,2)=LEFT('112'!$M$9,2),B87&lt;'112'!$N$8,$L87='112'!$I$6)),"x",""))</f>
        <v/>
      </c>
      <c r="T87" s="525" t="str">
        <f>IF(ISERROR(FIND('112'!$M$9,G87,1)),"",IF((AND(RIGHT(G87,2)=RIGHT('112'!$M$9,2),B87&lt;'112'!$N$8,$M87='112'!$I$6)),"x",""))</f>
        <v/>
      </c>
      <c r="U87" s="525" t="str">
        <f>IF(AND(B87&gt;='IN-NX'!$P$3,B87&lt;='IN-NX'!$Q$3,'IN-NX'!$D$7=D87,OR(LEFT(L87,2)="15",AND(LEFT(M87,2)&lt;&gt;"15",LEFT(M87,2)&lt;&gt;"33"))),"x","")</f>
        <v/>
      </c>
      <c r="V87" s="525" t="str">
        <f>IF(AND(OR(LEFT(TH!L87,2)="15",LEFT(TH!M87,2)="15"),'152-CT'!$J$8=TH!F87),"x","")</f>
        <v/>
      </c>
      <c r="W87" s="525" t="str">
        <f>IF(AND(OR(LEFT(TH!L87,2)="15",LEFT(TH!M87,2)="15"),TK!$E$7=TH!F87),"x","")</f>
        <v/>
      </c>
      <c r="X87" s="525" t="str">
        <f>IF(AND('341-CT'!$E$9=H87,OR(LEFT(L87,3)=$X$7,LEFT(M87,3)=$X$7)),"x","")</f>
        <v/>
      </c>
      <c r="Y87" s="525" t="str">
        <f>IF(OR(TH!L87=TH!$Y$7,M87=TH!$Y$7),"x","")</f>
        <v>x</v>
      </c>
      <c r="Z87" s="525" t="str">
        <f>IF(AND(B87&lt;=NKC!$N$8,B87&gt;=NKC!$M$8),"x","")</f>
        <v/>
      </c>
      <c r="AA87" s="536"/>
      <c r="AD87" s="536"/>
    </row>
    <row r="88" spans="1:30" s="503" customFormat="1" ht="15.75" customHeight="1">
      <c r="A88" s="517" t="str">
        <f>IF(B88&lt;&gt;"",IF(AND(B88&gt;=_TM1,B88&lt;=_TM2,OR(TH!L88="1111",TH!M88="1111")),TH!D88,""),"")</f>
        <v/>
      </c>
      <c r="B88" s="531">
        <f t="shared" si="8"/>
        <v>5</v>
      </c>
      <c r="C88" s="671">
        <f t="shared" si="9"/>
        <v>42886</v>
      </c>
      <c r="D88" s="679" t="s">
        <v>476</v>
      </c>
      <c r="E88" s="672">
        <v>42886</v>
      </c>
      <c r="F88" s="673" t="s">
        <v>876</v>
      </c>
      <c r="G88" s="674" t="s">
        <v>877</v>
      </c>
      <c r="H88" s="472"/>
      <c r="I88" s="676"/>
      <c r="J88" s="676"/>
      <c r="K88" s="677">
        <f>ROUND(K83*$G88,0)</f>
        <v>1430910</v>
      </c>
      <c r="L88" s="680" t="s">
        <v>224</v>
      </c>
      <c r="M88" s="680" t="s">
        <v>302</v>
      </c>
      <c r="N88" s="525" t="str">
        <f>IF(AND('331-CT'!$E$7=TH!H88,OR(L88="331",M88="331")),"331",IF(AND(OR(L88="131",M88="131"),H88='131-CT'!$E$7),"131",""))</f>
        <v/>
      </c>
      <c r="O88" s="525" t="str">
        <f>IF(AND($B88&gt;='111'!$N$11,$B88&lt;='111'!$O$11,OR($L88=$O$7,$M88=$O$7)),"x","")</f>
        <v/>
      </c>
      <c r="P88" s="525" t="str">
        <f>IF(AND($L88=$O$7,$B88&lt;'111'!$N$11),"x","")</f>
        <v/>
      </c>
      <c r="Q88" s="525" t="str">
        <f>IF(AND($M88=$O$7,$B88&lt;'111'!$N$11),"x","")</f>
        <v/>
      </c>
      <c r="R88" s="525" t="str">
        <f>IF(ISERROR(FIND('112'!$M$9,G88,1)),"",IF((AND(FIND('112'!$M$9,G88,1)&gt;=1,$B88&gt;='112'!$N$8,$B88&lt;='112'!$O$8,OR($L88='112'!$I$6,$M88='112'!$I$6))),"x",""))</f>
        <v/>
      </c>
      <c r="S88" s="525" t="str">
        <f>IF(ISERROR(FIND('112'!$M$9,G88,1)),"",IF((AND(LEFT(G88,2)=LEFT('112'!$M$9,2),B88&lt;'112'!$N$8,$L88='112'!$I$6)),"x",""))</f>
        <v/>
      </c>
      <c r="T88" s="525" t="str">
        <f>IF(ISERROR(FIND('112'!$M$9,G88,1)),"",IF((AND(RIGHT(G88,2)=RIGHT('112'!$M$9,2),B88&lt;'112'!$N$8,$M88='112'!$I$6)),"x",""))</f>
        <v/>
      </c>
      <c r="U88" s="525" t="str">
        <f>IF(AND(B88&gt;='IN-NX'!$P$3,B88&lt;='IN-NX'!$Q$3,'IN-NX'!$D$7=D88,OR(LEFT(L88,2)="15",AND(LEFT(M88,2)&lt;&gt;"15",LEFT(M88,2)&lt;&gt;"33"))),"x","")</f>
        <v/>
      </c>
      <c r="V88" s="525" t="str">
        <f>IF(AND(OR(LEFT(TH!L88,2)="15",LEFT(TH!M88,2)="15"),'152-CT'!$J$8=TH!F88),"x","")</f>
        <v/>
      </c>
      <c r="W88" s="525" t="str">
        <f>IF(AND(OR(LEFT(TH!L88,2)="15",LEFT(TH!M88,2)="15"),TK!$E$7=TH!F88),"x","")</f>
        <v/>
      </c>
      <c r="X88" s="525" t="str">
        <f>IF(AND('341-CT'!$E$9=H88,OR(LEFT(L88,3)=$X$7,LEFT(M88,3)=$X$7)),"x","")</f>
        <v/>
      </c>
      <c r="Y88" s="525" t="str">
        <f>IF(OR(TH!L88=TH!$Y$7,M88=TH!$Y$7),"x","")</f>
        <v/>
      </c>
      <c r="Z88" s="525" t="str">
        <f>IF(AND(B88&lt;=NKC!$N$8,B88&gt;=NKC!$M$8),"x","")</f>
        <v/>
      </c>
      <c r="AA88" s="536"/>
      <c r="AD88" s="536"/>
    </row>
    <row r="89" spans="1:30" s="503" customFormat="1" ht="15.75" customHeight="1">
      <c r="A89" s="517" t="str">
        <f>IF(B89&lt;&gt;"",IF(AND(B89&gt;=_TM1,B89&lt;=_TM2,OR(TH!L89="1111",TH!M89="1111")),TH!D89,""),"")</f>
        <v/>
      </c>
      <c r="B89" s="531">
        <f t="shared" si="8"/>
        <v>5</v>
      </c>
      <c r="C89" s="671">
        <f t="shared" si="9"/>
        <v>42886</v>
      </c>
      <c r="D89" s="671" t="s">
        <v>476</v>
      </c>
      <c r="E89" s="672">
        <v>42886</v>
      </c>
      <c r="F89" s="673" t="s">
        <v>878</v>
      </c>
      <c r="G89" s="674"/>
      <c r="H89" s="675"/>
      <c r="I89" s="676"/>
      <c r="J89" s="676"/>
      <c r="K89" s="677">
        <f>ROUND(K84*$G88,0)</f>
        <v>708660</v>
      </c>
      <c r="L89" s="678" t="s">
        <v>158</v>
      </c>
      <c r="M89" s="680" t="s">
        <v>302</v>
      </c>
      <c r="N89" s="525" t="str">
        <f>IF(AND('331-CT'!$E$7=TH!H89,OR(L89="331",M89="331")),"331",IF(AND(OR(L89="131",M89="131"),H89='131-CT'!$E$7),"131",""))</f>
        <v/>
      </c>
      <c r="O89" s="525" t="str">
        <f>IF(AND($B89&gt;='111'!$N$11,$B89&lt;='111'!$O$11,OR($L89=$O$7,$M89=$O$7)),"x","")</f>
        <v/>
      </c>
      <c r="P89" s="525" t="str">
        <f>IF(AND($L89=$O$7,$B89&lt;'111'!$N$11),"x","")</f>
        <v/>
      </c>
      <c r="Q89" s="525" t="str">
        <f>IF(AND($M89=$O$7,$B89&lt;'111'!$N$11),"x","")</f>
        <v/>
      </c>
      <c r="R89" s="525" t="str">
        <f>IF(ISERROR(FIND('112'!$M$9,G89,1)),"",IF((AND(FIND('112'!$M$9,G89,1)&gt;=1,$B89&gt;='112'!$N$8,$B89&lt;='112'!$O$8,OR($L89='112'!$I$6,$M89='112'!$I$6))),"x",""))</f>
        <v/>
      </c>
      <c r="S89" s="525" t="str">
        <f>IF(ISERROR(FIND('112'!$M$9,G89,1)),"",IF((AND(LEFT(G89,2)=LEFT('112'!$M$9,2),B89&lt;'112'!$N$8,$L89='112'!$I$6)),"x",""))</f>
        <v/>
      </c>
      <c r="T89" s="525" t="str">
        <f>IF(ISERROR(FIND('112'!$M$9,G89,1)),"",IF((AND(RIGHT(G89,2)=RIGHT('112'!$M$9,2),B89&lt;'112'!$N$8,$M89='112'!$I$6)),"x",""))</f>
        <v/>
      </c>
      <c r="U89" s="525" t="str">
        <f>IF(AND(B89&gt;='IN-NX'!$P$3,B89&lt;='IN-NX'!$Q$3,'IN-NX'!$D$7=D89,OR(LEFT(L89,2)="15",AND(LEFT(M89,2)&lt;&gt;"15",LEFT(M89,2)&lt;&gt;"33"))),"x","")</f>
        <v/>
      </c>
      <c r="V89" s="525" t="str">
        <f>IF(AND(OR(LEFT(TH!L89,2)="15",LEFT(TH!M89,2)="15"),'152-CT'!$J$8=TH!F89),"x","")</f>
        <v/>
      </c>
      <c r="W89" s="525" t="str">
        <f>IF(AND(OR(LEFT(TH!L89,2)="15",LEFT(TH!M89,2)="15"),TK!$E$7=TH!F89),"x","")</f>
        <v/>
      </c>
      <c r="X89" s="525" t="str">
        <f>IF(AND('341-CT'!$E$9=H89,OR(LEFT(L89,3)=$X$7,LEFT(M89,3)=$X$7)),"x","")</f>
        <v/>
      </c>
      <c r="Y89" s="525" t="str">
        <f>IF(OR(TH!L89=TH!$Y$7,M89=TH!$Y$7),"x","")</f>
        <v/>
      </c>
      <c r="Z89" s="525" t="str">
        <f>IF(AND(B89&lt;=NKC!$N$8,B89&gt;=NKC!$M$8),"x","")</f>
        <v/>
      </c>
      <c r="AA89" s="536"/>
      <c r="AD89" s="536"/>
    </row>
    <row r="90" spans="1:30" s="503" customFormat="1" ht="15.75" customHeight="1">
      <c r="A90" s="517" t="str">
        <f>IF(B90&lt;&gt;"",IF(AND(B90&gt;=_TM1,B90&lt;=_TM2,OR(TH!L90="1111",TH!M90="1111")),TH!D90,""),"")</f>
        <v/>
      </c>
      <c r="B90" s="531">
        <f t="shared" si="8"/>
        <v>5</v>
      </c>
      <c r="C90" s="671">
        <f t="shared" si="9"/>
        <v>42886</v>
      </c>
      <c r="D90" s="671" t="s">
        <v>476</v>
      </c>
      <c r="E90" s="672">
        <v>42886</v>
      </c>
      <c r="F90" s="673" t="s">
        <v>879</v>
      </c>
      <c r="G90" s="674" t="s">
        <v>880</v>
      </c>
      <c r="H90" s="675"/>
      <c r="I90" s="676"/>
      <c r="J90" s="676"/>
      <c r="K90" s="677">
        <f>ROUND(K83*$G90,0)</f>
        <v>119243</v>
      </c>
      <c r="L90" s="680" t="s">
        <v>225</v>
      </c>
      <c r="M90" s="680" t="s">
        <v>301</v>
      </c>
      <c r="N90" s="525" t="str">
        <f>IF(AND('331-CT'!$E$7=TH!H90,OR(L90="331",M90="331")),"331",IF(AND(OR(L90="131",M90="131"),H90='131-CT'!$E$7),"131",""))</f>
        <v/>
      </c>
      <c r="O90" s="525" t="str">
        <f>IF(AND($B90&gt;='111'!$N$11,$B90&lt;='111'!$O$11,OR($L90=$O$7,$M90=$O$7)),"x","")</f>
        <v/>
      </c>
      <c r="P90" s="525" t="str">
        <f>IF(AND($L90=$O$7,$B90&lt;'111'!$N$11),"x","")</f>
        <v/>
      </c>
      <c r="Q90" s="525" t="str">
        <f>IF(AND($M90=$O$7,$B90&lt;'111'!$N$11),"x","")</f>
        <v/>
      </c>
      <c r="R90" s="525" t="str">
        <f>IF(ISERROR(FIND('112'!$M$9,G90,1)),"",IF((AND(FIND('112'!$M$9,G90,1)&gt;=1,$B90&gt;='112'!$N$8,$B90&lt;='112'!$O$8,OR($L90='112'!$I$6,$M90='112'!$I$6))),"x",""))</f>
        <v/>
      </c>
      <c r="S90" s="525" t="str">
        <f>IF(ISERROR(FIND('112'!$M$9,G90,1)),"",IF((AND(LEFT(G90,2)=LEFT('112'!$M$9,2),B90&lt;'112'!$N$8,$L90='112'!$I$6)),"x",""))</f>
        <v/>
      </c>
      <c r="T90" s="525" t="str">
        <f>IF(ISERROR(FIND('112'!$M$9,G90,1)),"",IF((AND(RIGHT(G90,2)=RIGHT('112'!$M$9,2),B90&lt;'112'!$N$8,$M90='112'!$I$6)),"x",""))</f>
        <v/>
      </c>
      <c r="U90" s="525" t="str">
        <f>IF(AND(B90&gt;='IN-NX'!$P$3,B90&lt;='IN-NX'!$Q$3,'IN-NX'!$D$7=D90,OR(LEFT(L90,2)="15",AND(LEFT(M90,2)&lt;&gt;"15",LEFT(M90,2)&lt;&gt;"33"))),"x","")</f>
        <v/>
      </c>
      <c r="V90" s="525" t="str">
        <f>IF(AND(OR(LEFT(TH!L90,2)="15",LEFT(TH!M90,2)="15"),'152-CT'!$J$8=TH!F90),"x","")</f>
        <v/>
      </c>
      <c r="W90" s="525" t="str">
        <f>IF(AND(OR(LEFT(TH!L90,2)="15",LEFT(TH!M90,2)="15"),TK!$E$7=TH!F90),"x","")</f>
        <v/>
      </c>
      <c r="X90" s="525" t="str">
        <f>IF(AND('341-CT'!$E$9=H90,OR(LEFT(L90,3)=$X$7,LEFT(M90,3)=$X$7)),"x","")</f>
        <v/>
      </c>
      <c r="Y90" s="525" t="str">
        <f>IF(OR(TH!L90=TH!$Y$7,M90=TH!$Y$7),"x","")</f>
        <v>x</v>
      </c>
      <c r="Z90" s="525" t="str">
        <f>IF(AND(B90&lt;=NKC!$N$8,B90&gt;=NKC!$M$8),"x","")</f>
        <v/>
      </c>
      <c r="AA90" s="536"/>
      <c r="AD90" s="536"/>
    </row>
    <row r="91" spans="1:30" s="503" customFormat="1" ht="15.75" customHeight="1">
      <c r="A91" s="517" t="str">
        <f>IF(B91&lt;&gt;"",IF(AND(B91&gt;=_TM1,B91&lt;=_TM2,OR(TH!L91="1111",TH!M91="1111")),TH!D91,""),"")</f>
        <v/>
      </c>
      <c r="B91" s="531">
        <f t="shared" si="8"/>
        <v>5</v>
      </c>
      <c r="C91" s="671">
        <f t="shared" si="9"/>
        <v>42886</v>
      </c>
      <c r="D91" s="679" t="s">
        <v>476</v>
      </c>
      <c r="E91" s="672">
        <v>42886</v>
      </c>
      <c r="F91" s="673" t="s">
        <v>881</v>
      </c>
      <c r="G91" s="674"/>
      <c r="H91" s="472"/>
      <c r="I91" s="676"/>
      <c r="J91" s="676"/>
      <c r="K91" s="677">
        <f>ROUND(K84*$G90,0)</f>
        <v>59055</v>
      </c>
      <c r="L91" s="680" t="s">
        <v>225</v>
      </c>
      <c r="M91" s="680" t="s">
        <v>301</v>
      </c>
      <c r="N91" s="525" t="str">
        <f>IF(AND('331-CT'!$E$7=TH!H91,OR(L91="331",M91="331")),"331",IF(AND(OR(L91="131",M91="131"),H91='131-CT'!$E$7),"131",""))</f>
        <v/>
      </c>
      <c r="O91" s="525" t="str">
        <f>IF(AND($B91&gt;='111'!$N$11,$B91&lt;='111'!$O$11,OR($L91=$O$7,$M91=$O$7)),"x","")</f>
        <v/>
      </c>
      <c r="P91" s="525" t="str">
        <f>IF(AND($L91=$O$7,$B91&lt;'111'!$N$11),"x","")</f>
        <v/>
      </c>
      <c r="Q91" s="525" t="str">
        <f>IF(AND($M91=$O$7,$B91&lt;'111'!$N$11),"x","")</f>
        <v/>
      </c>
      <c r="R91" s="525" t="str">
        <f>IF(ISERROR(FIND('112'!$M$9,G91,1)),"",IF((AND(FIND('112'!$M$9,G91,1)&gt;=1,$B91&gt;='112'!$N$8,$B91&lt;='112'!$O$8,OR($L91='112'!$I$6,$M91='112'!$I$6))),"x",""))</f>
        <v/>
      </c>
      <c r="S91" s="525" t="str">
        <f>IF(ISERROR(FIND('112'!$M$9,G91,1)),"",IF((AND(LEFT(G91,2)=LEFT('112'!$M$9,2),B91&lt;'112'!$N$8,$L91='112'!$I$6)),"x",""))</f>
        <v/>
      </c>
      <c r="T91" s="525" t="str">
        <f>IF(ISERROR(FIND('112'!$M$9,G91,1)),"",IF((AND(RIGHT(G91,2)=RIGHT('112'!$M$9,2),B91&lt;'112'!$N$8,$M91='112'!$I$6)),"x",""))</f>
        <v/>
      </c>
      <c r="U91" s="525" t="str">
        <f>IF(AND(B91&gt;='IN-NX'!$P$3,B91&lt;='IN-NX'!$Q$3,'IN-NX'!$D$7=D91,OR(LEFT(L91,2)="15",AND(LEFT(M91,2)&lt;&gt;"15",LEFT(M91,2)&lt;&gt;"33"))),"x","")</f>
        <v/>
      </c>
      <c r="V91" s="525" t="str">
        <f>IF(AND(OR(LEFT(TH!L91,2)="15",LEFT(TH!M91,2)="15"),'152-CT'!$J$8=TH!F91),"x","")</f>
        <v/>
      </c>
      <c r="W91" s="525" t="str">
        <f>IF(AND(OR(LEFT(TH!L91,2)="15",LEFT(TH!M91,2)="15"),TK!$E$7=TH!F91),"x","")</f>
        <v/>
      </c>
      <c r="X91" s="525" t="str">
        <f>IF(AND('341-CT'!$E$9=H91,OR(LEFT(L91,3)=$X$7,LEFT(M91,3)=$X$7)),"x","")</f>
        <v/>
      </c>
      <c r="Y91" s="525" t="str">
        <f>IF(OR(TH!L91=TH!$Y$7,M91=TH!$Y$7),"x","")</f>
        <v>x</v>
      </c>
      <c r="Z91" s="525" t="str">
        <f>IF(AND(B91&lt;=NKC!$N$8,B91&gt;=NKC!$M$8),"x","")</f>
        <v/>
      </c>
      <c r="AA91" s="536"/>
      <c r="AD91" s="536"/>
    </row>
    <row r="92" spans="1:30" s="503" customFormat="1" ht="15.75" customHeight="1">
      <c r="A92" s="517" t="str">
        <f>IF(B92&lt;&gt;"",IF(AND(B92&gt;=_TM1,B92&lt;=_TM2,OR(TH!L92="1111",TH!M92="1111")),TH!D92,""),"")</f>
        <v/>
      </c>
      <c r="B92" s="531">
        <f t="shared" si="8"/>
        <v>5</v>
      </c>
      <c r="C92" s="671">
        <f t="shared" si="9"/>
        <v>42886</v>
      </c>
      <c r="D92" s="671" t="s">
        <v>476</v>
      </c>
      <c r="E92" s="672">
        <v>42886</v>
      </c>
      <c r="F92" s="673" t="s">
        <v>882</v>
      </c>
      <c r="G92" s="674" t="s">
        <v>883</v>
      </c>
      <c r="H92" s="675"/>
      <c r="I92" s="676"/>
      <c r="J92" s="676"/>
      <c r="K92" s="677">
        <f>ROUND(K83*$G92,0)</f>
        <v>238485</v>
      </c>
      <c r="L92" s="680" t="s">
        <v>224</v>
      </c>
      <c r="M92" s="680" t="s">
        <v>301</v>
      </c>
      <c r="N92" s="525" t="str">
        <f>IF(AND('331-CT'!$E$7=TH!H92,OR(L92="331",M92="331")),"331",IF(AND(OR(L92="131",M92="131"),H92='131-CT'!$E$7),"131",""))</f>
        <v/>
      </c>
      <c r="O92" s="525" t="str">
        <f>IF(AND($B92&gt;='111'!$N$11,$B92&lt;='111'!$O$11,OR($L92=$O$7,$M92=$O$7)),"x","")</f>
        <v/>
      </c>
      <c r="P92" s="525" t="str">
        <f>IF(AND($L92=$O$7,$B92&lt;'111'!$N$11),"x","")</f>
        <v/>
      </c>
      <c r="Q92" s="525" t="str">
        <f>IF(AND($M92=$O$7,$B92&lt;'111'!$N$11),"x","")</f>
        <v/>
      </c>
      <c r="R92" s="525" t="str">
        <f>IF(ISERROR(FIND('112'!$M$9,G92,1)),"",IF((AND(FIND('112'!$M$9,G92,1)&gt;=1,$B92&gt;='112'!$N$8,$B92&lt;='112'!$O$8,OR($L92='112'!$I$6,$M92='112'!$I$6))),"x",""))</f>
        <v/>
      </c>
      <c r="S92" s="525" t="str">
        <f>IF(ISERROR(FIND('112'!$M$9,G92,1)),"",IF((AND(LEFT(G92,2)=LEFT('112'!$M$9,2),B92&lt;'112'!$N$8,$L92='112'!$I$6)),"x",""))</f>
        <v/>
      </c>
      <c r="T92" s="525" t="str">
        <f>IF(ISERROR(FIND('112'!$M$9,G92,1)),"",IF((AND(RIGHT(G92,2)=RIGHT('112'!$M$9,2),B92&lt;'112'!$N$8,$M92='112'!$I$6)),"x",""))</f>
        <v/>
      </c>
      <c r="U92" s="525" t="str">
        <f>IF(AND(B92&gt;='IN-NX'!$P$3,B92&lt;='IN-NX'!$Q$3,'IN-NX'!$D$7=D92,OR(LEFT(L92,2)="15",AND(LEFT(M92,2)&lt;&gt;"15",LEFT(M92,2)&lt;&gt;"33"))),"x","")</f>
        <v/>
      </c>
      <c r="V92" s="525" t="str">
        <f>IF(AND(OR(LEFT(TH!L92,2)="15",LEFT(TH!M92,2)="15"),'152-CT'!$J$8=TH!F92),"x","")</f>
        <v/>
      </c>
      <c r="W92" s="525" t="str">
        <f>IF(AND(OR(LEFT(TH!L92,2)="15",LEFT(TH!M92,2)="15"),TK!$E$7=TH!F92),"x","")</f>
        <v/>
      </c>
      <c r="X92" s="525" t="str">
        <f>IF(AND('341-CT'!$E$9=H92,OR(LEFT(L92,3)=$X$7,LEFT(M92,3)=$X$7)),"x","")</f>
        <v/>
      </c>
      <c r="Y92" s="525" t="str">
        <f>IF(OR(TH!L92=TH!$Y$7,M92=TH!$Y$7),"x","")</f>
        <v/>
      </c>
      <c r="Z92" s="525" t="str">
        <f>IF(AND(B92&lt;=NKC!$N$8,B92&gt;=NKC!$M$8),"x","")</f>
        <v/>
      </c>
      <c r="AA92" s="536"/>
      <c r="AD92" s="536"/>
    </row>
    <row r="93" spans="1:30" s="503" customFormat="1" ht="15.75" customHeight="1">
      <c r="A93" s="517" t="str">
        <f>IF(B93&lt;&gt;"",IF(AND(B93&gt;=_TM1,B93&lt;=_TM2,OR(TH!L93="1111",TH!M93="1111")),TH!D93,""),"")</f>
        <v/>
      </c>
      <c r="B93" s="531">
        <f t="shared" si="8"/>
        <v>5</v>
      </c>
      <c r="C93" s="671">
        <f t="shared" si="9"/>
        <v>42886</v>
      </c>
      <c r="D93" s="671" t="s">
        <v>476</v>
      </c>
      <c r="E93" s="672">
        <v>42886</v>
      </c>
      <c r="F93" s="673" t="s">
        <v>884</v>
      </c>
      <c r="G93" s="674"/>
      <c r="H93" s="675"/>
      <c r="I93" s="676"/>
      <c r="J93" s="676"/>
      <c r="K93" s="677">
        <f>ROUND(K84*$G92,0)</f>
        <v>118110</v>
      </c>
      <c r="L93" s="678" t="s">
        <v>158</v>
      </c>
      <c r="M93" s="680" t="s">
        <v>301</v>
      </c>
      <c r="N93" s="525" t="str">
        <f>IF(AND('331-CT'!$E$7=TH!H93,OR(L93="331",M93="331")),"331",IF(AND(OR(L93="131",M93="131"),H93='131-CT'!$E$7),"131",""))</f>
        <v/>
      </c>
      <c r="O93" s="525" t="str">
        <f>IF(AND($B93&gt;='111'!$N$11,$B93&lt;='111'!$O$11,OR($L93=$O$7,$M93=$O$7)),"x","")</f>
        <v/>
      </c>
      <c r="P93" s="525" t="str">
        <f>IF(AND($L93=$O$7,$B93&lt;'111'!$N$11),"x","")</f>
        <v/>
      </c>
      <c r="Q93" s="525" t="str">
        <f>IF(AND($M93=$O$7,$B93&lt;'111'!$N$11),"x","")</f>
        <v/>
      </c>
      <c r="R93" s="525" t="str">
        <f>IF(ISERROR(FIND('112'!$M$9,G93,1)),"",IF((AND(FIND('112'!$M$9,G93,1)&gt;=1,$B93&gt;='112'!$N$8,$B93&lt;='112'!$O$8,OR($L93='112'!$I$6,$M93='112'!$I$6))),"x",""))</f>
        <v/>
      </c>
      <c r="S93" s="525" t="str">
        <f>IF(ISERROR(FIND('112'!$M$9,G93,1)),"",IF((AND(LEFT(G93,2)=LEFT('112'!$M$9,2),B93&lt;'112'!$N$8,$L93='112'!$I$6)),"x",""))</f>
        <v/>
      </c>
      <c r="T93" s="525" t="str">
        <f>IF(ISERROR(FIND('112'!$M$9,G93,1)),"",IF((AND(RIGHT(G93,2)=RIGHT('112'!$M$9,2),B93&lt;'112'!$N$8,$M93='112'!$I$6)),"x",""))</f>
        <v/>
      </c>
      <c r="U93" s="525" t="str">
        <f>IF(AND(B93&gt;='IN-NX'!$P$3,B93&lt;='IN-NX'!$Q$3,'IN-NX'!$D$7=D93,OR(LEFT(L93,2)="15",AND(LEFT(M93,2)&lt;&gt;"15",LEFT(M93,2)&lt;&gt;"33"))),"x","")</f>
        <v/>
      </c>
      <c r="V93" s="525" t="str">
        <f>IF(AND(OR(LEFT(TH!L93,2)="15",LEFT(TH!M93,2)="15"),'152-CT'!$J$8=TH!F93),"x","")</f>
        <v/>
      </c>
      <c r="W93" s="525" t="str">
        <f>IF(AND(OR(LEFT(TH!L93,2)="15",LEFT(TH!M93,2)="15"),TK!$E$7=TH!F93),"x","")</f>
        <v/>
      </c>
      <c r="X93" s="525" t="str">
        <f>IF(AND('341-CT'!$E$9=H93,OR(LEFT(L93,3)=$X$7,LEFT(M93,3)=$X$7)),"x","")</f>
        <v/>
      </c>
      <c r="Y93" s="525" t="str">
        <f>IF(OR(TH!L93=TH!$Y$7,M93=TH!$Y$7),"x","")</f>
        <v/>
      </c>
      <c r="Z93" s="525" t="str">
        <f>IF(AND(B93&lt;=NKC!$N$8,B93&gt;=NKC!$M$8),"x","")</f>
        <v/>
      </c>
      <c r="AA93" s="536"/>
      <c r="AD93" s="536"/>
    </row>
    <row r="94" spans="1:30" s="503" customFormat="1" ht="15.75" customHeight="1">
      <c r="A94" s="517" t="str">
        <f>IF(B94&lt;&gt;"",IF(AND(B94&gt;=_TM1,B94&lt;=_TM2,OR(TH!L94="1111",TH!M94="1111")),TH!D94,""),"")</f>
        <v/>
      </c>
      <c r="B94" s="531">
        <f t="shared" si="8"/>
        <v>5</v>
      </c>
      <c r="C94" s="671">
        <f t="shared" si="9"/>
        <v>42886</v>
      </c>
      <c r="D94" s="679" t="s">
        <v>476</v>
      </c>
      <c r="E94" s="672">
        <v>42886</v>
      </c>
      <c r="F94" s="673" t="s">
        <v>885</v>
      </c>
      <c r="G94" s="674" t="s">
        <v>886</v>
      </c>
      <c r="H94" s="472"/>
      <c r="I94" s="676"/>
      <c r="J94" s="676"/>
      <c r="K94" s="677">
        <f>ROUND(K83*$G94,0)</f>
        <v>79495</v>
      </c>
      <c r="L94" s="680" t="s">
        <v>225</v>
      </c>
      <c r="M94" s="680" t="s">
        <v>305</v>
      </c>
      <c r="N94" s="525" t="str">
        <f>IF(AND('331-CT'!$E$7=TH!H94,OR(L94="331",M94="331")),"331",IF(AND(OR(L94="131",M94="131"),H94='131-CT'!$E$7),"131",""))</f>
        <v/>
      </c>
      <c r="O94" s="525" t="str">
        <f>IF(AND($B94&gt;='111'!$N$11,$B94&lt;='111'!$O$11,OR($L94=$O$7,$M94=$O$7)),"x","")</f>
        <v/>
      </c>
      <c r="P94" s="525" t="str">
        <f>IF(AND($L94=$O$7,$B94&lt;'111'!$N$11),"x","")</f>
        <v/>
      </c>
      <c r="Q94" s="525" t="str">
        <f>IF(AND($M94=$O$7,$B94&lt;'111'!$N$11),"x","")</f>
        <v/>
      </c>
      <c r="R94" s="525" t="str">
        <f>IF(ISERROR(FIND('112'!$M$9,G94,1)),"",IF((AND(FIND('112'!$M$9,G94,1)&gt;=1,$B94&gt;='112'!$N$8,$B94&lt;='112'!$O$8,OR($L94='112'!$I$6,$M94='112'!$I$6))),"x",""))</f>
        <v/>
      </c>
      <c r="S94" s="525" t="str">
        <f>IF(ISERROR(FIND('112'!$M$9,G94,1)),"",IF((AND(LEFT(G94,2)=LEFT('112'!$M$9,2),B94&lt;'112'!$N$8,$L94='112'!$I$6)),"x",""))</f>
        <v/>
      </c>
      <c r="T94" s="525" t="str">
        <f>IF(ISERROR(FIND('112'!$M$9,G94,1)),"",IF((AND(RIGHT(G94,2)=RIGHT('112'!$M$9,2),B94&lt;'112'!$N$8,$M94='112'!$I$6)),"x",""))</f>
        <v/>
      </c>
      <c r="U94" s="525" t="str">
        <f>IF(AND(B94&gt;='IN-NX'!$P$3,B94&lt;='IN-NX'!$Q$3,'IN-NX'!$D$7=D94,OR(LEFT(L94,2)="15",AND(LEFT(M94,2)&lt;&gt;"15",LEFT(M94,2)&lt;&gt;"33"))),"x","")</f>
        <v/>
      </c>
      <c r="V94" s="525" t="str">
        <f>IF(AND(OR(LEFT(TH!L94,2)="15",LEFT(TH!M94,2)="15"),'152-CT'!$J$8=TH!F94),"x","")</f>
        <v/>
      </c>
      <c r="W94" s="525" t="str">
        <f>IF(AND(OR(LEFT(TH!L94,2)="15",LEFT(TH!M94,2)="15"),TK!$E$7=TH!F94),"x","")</f>
        <v/>
      </c>
      <c r="X94" s="525" t="str">
        <f>IF(AND('341-CT'!$E$9=H94,OR(LEFT(L94,3)=$X$7,LEFT(M94,3)=$X$7)),"x","")</f>
        <v/>
      </c>
      <c r="Y94" s="525" t="str">
        <f>IF(OR(TH!L94=TH!$Y$7,M94=TH!$Y$7),"x","")</f>
        <v>x</v>
      </c>
      <c r="Z94" s="525" t="str">
        <f>IF(AND(B94&lt;=NKC!$N$8,B94&gt;=NKC!$M$8),"x","")</f>
        <v/>
      </c>
      <c r="AA94" s="536"/>
      <c r="AD94" s="536"/>
    </row>
    <row r="95" spans="1:30" s="503" customFormat="1" ht="15.75" customHeight="1">
      <c r="A95" s="517" t="str">
        <f>IF(B95&lt;&gt;"",IF(AND(B95&gt;=_TM1,B95&lt;=_TM2,OR(TH!L95="1111",TH!M95="1111")),TH!D95,""),"")</f>
        <v/>
      </c>
      <c r="B95" s="531">
        <f t="shared" si="8"/>
        <v>5</v>
      </c>
      <c r="C95" s="671">
        <f t="shared" si="9"/>
        <v>42886</v>
      </c>
      <c r="D95" s="671" t="s">
        <v>476</v>
      </c>
      <c r="E95" s="672">
        <v>42886</v>
      </c>
      <c r="F95" s="673" t="s">
        <v>887</v>
      </c>
      <c r="G95" s="674"/>
      <c r="H95" s="675"/>
      <c r="I95" s="676"/>
      <c r="J95" s="676"/>
      <c r="K95" s="677">
        <f>ROUND(K84*$G94,0)</f>
        <v>39370</v>
      </c>
      <c r="L95" s="680" t="s">
        <v>225</v>
      </c>
      <c r="M95" s="680" t="s">
        <v>305</v>
      </c>
      <c r="N95" s="525" t="str">
        <f>IF(AND('331-CT'!$E$7=TH!H95,OR(L95="331",M95="331")),"331",IF(AND(OR(L95="131",M95="131"),H95='131-CT'!$E$7),"131",""))</f>
        <v/>
      </c>
      <c r="O95" s="525" t="str">
        <f>IF(AND($B95&gt;='111'!$N$11,$B95&lt;='111'!$O$11,OR($L95=$O$7,$M95=$O$7)),"x","")</f>
        <v/>
      </c>
      <c r="P95" s="525" t="str">
        <f>IF(AND($L95=$O$7,$B95&lt;'111'!$N$11),"x","")</f>
        <v/>
      </c>
      <c r="Q95" s="525" t="str">
        <f>IF(AND($M95=$O$7,$B95&lt;'111'!$N$11),"x","")</f>
        <v/>
      </c>
      <c r="R95" s="525" t="str">
        <f>IF(ISERROR(FIND('112'!$M$9,G95,1)),"",IF((AND(FIND('112'!$M$9,G95,1)&gt;=1,$B95&gt;='112'!$N$8,$B95&lt;='112'!$O$8,OR($L95='112'!$I$6,$M95='112'!$I$6))),"x",""))</f>
        <v/>
      </c>
      <c r="S95" s="525" t="str">
        <f>IF(ISERROR(FIND('112'!$M$9,G95,1)),"",IF((AND(LEFT(G95,2)=LEFT('112'!$M$9,2),B95&lt;'112'!$N$8,$L95='112'!$I$6)),"x",""))</f>
        <v/>
      </c>
      <c r="T95" s="525" t="str">
        <f>IF(ISERROR(FIND('112'!$M$9,G95,1)),"",IF((AND(RIGHT(G95,2)=RIGHT('112'!$M$9,2),B95&lt;'112'!$N$8,$M95='112'!$I$6)),"x",""))</f>
        <v/>
      </c>
      <c r="U95" s="525" t="str">
        <f>IF(AND(B95&gt;='IN-NX'!$P$3,B95&lt;='IN-NX'!$Q$3,'IN-NX'!$D$7=D95,OR(LEFT(L95,2)="15",AND(LEFT(M95,2)&lt;&gt;"15",LEFT(M95,2)&lt;&gt;"33"))),"x","")</f>
        <v/>
      </c>
      <c r="V95" s="525" t="str">
        <f>IF(AND(OR(LEFT(TH!L95,2)="15",LEFT(TH!M95,2)="15"),'152-CT'!$J$8=TH!F95),"x","")</f>
        <v/>
      </c>
      <c r="W95" s="525" t="str">
        <f>IF(AND(OR(LEFT(TH!L95,2)="15",LEFT(TH!M95,2)="15"),TK!$E$7=TH!F95),"x","")</f>
        <v/>
      </c>
      <c r="X95" s="525" t="str">
        <f>IF(AND('341-CT'!$E$9=H95,OR(LEFT(L95,3)=$X$7,LEFT(M95,3)=$X$7)),"x","")</f>
        <v/>
      </c>
      <c r="Y95" s="525" t="str">
        <f>IF(OR(TH!L95=TH!$Y$7,M95=TH!$Y$7),"x","")</f>
        <v>x</v>
      </c>
      <c r="Z95" s="525" t="str">
        <f>IF(AND(B95&lt;=NKC!$N$8,B95&gt;=NKC!$M$8),"x","")</f>
        <v/>
      </c>
      <c r="AA95" s="536"/>
      <c r="AD95" s="536"/>
    </row>
    <row r="96" spans="1:30" s="503" customFormat="1" ht="15.75" customHeight="1">
      <c r="A96" s="517" t="str">
        <f>IF(B96&lt;&gt;"",IF(AND(B96&gt;=_TM1,B96&lt;=_TM2,OR(TH!L96="1111",TH!M96="1111")),TH!D96,""),"")</f>
        <v/>
      </c>
      <c r="B96" s="531">
        <f t="shared" si="8"/>
        <v>5</v>
      </c>
      <c r="C96" s="671">
        <f t="shared" si="9"/>
        <v>42886</v>
      </c>
      <c r="D96" s="671" t="s">
        <v>476</v>
      </c>
      <c r="E96" s="672">
        <v>42886</v>
      </c>
      <c r="F96" s="673" t="s">
        <v>888</v>
      </c>
      <c r="G96" s="674" t="s">
        <v>886</v>
      </c>
      <c r="H96" s="675"/>
      <c r="I96" s="676"/>
      <c r="J96" s="676"/>
      <c r="K96" s="677">
        <f>K94</f>
        <v>79495</v>
      </c>
      <c r="L96" s="680" t="s">
        <v>224</v>
      </c>
      <c r="M96" s="680" t="s">
        <v>305</v>
      </c>
      <c r="N96" s="525" t="str">
        <f>IF(AND('331-CT'!$E$7=TH!H96,OR(L96="331",M96="331")),"331",IF(AND(OR(L96="131",M96="131"),H96='131-CT'!$E$7),"131",""))</f>
        <v/>
      </c>
      <c r="O96" s="525" t="str">
        <f>IF(AND($B96&gt;='111'!$N$11,$B96&lt;='111'!$O$11,OR($L96=$O$7,$M96=$O$7)),"x","")</f>
        <v/>
      </c>
      <c r="P96" s="525" t="str">
        <f>IF(AND($L96=$O$7,$B96&lt;'111'!$N$11),"x","")</f>
        <v/>
      </c>
      <c r="Q96" s="525" t="str">
        <f>IF(AND($M96=$O$7,$B96&lt;'111'!$N$11),"x","")</f>
        <v/>
      </c>
      <c r="R96" s="525" t="str">
        <f>IF(ISERROR(FIND('112'!$M$9,G96,1)),"",IF((AND(FIND('112'!$M$9,G96,1)&gt;=1,$B96&gt;='112'!$N$8,$B96&lt;='112'!$O$8,OR($L96='112'!$I$6,$M96='112'!$I$6))),"x",""))</f>
        <v/>
      </c>
      <c r="S96" s="525" t="str">
        <f>IF(ISERROR(FIND('112'!$M$9,G96,1)),"",IF((AND(LEFT(G96,2)=LEFT('112'!$M$9,2),B96&lt;'112'!$N$8,$L96='112'!$I$6)),"x",""))</f>
        <v/>
      </c>
      <c r="T96" s="525" t="str">
        <f>IF(ISERROR(FIND('112'!$M$9,G96,1)),"",IF((AND(RIGHT(G96,2)=RIGHT('112'!$M$9,2),B96&lt;'112'!$N$8,$M96='112'!$I$6)),"x",""))</f>
        <v/>
      </c>
      <c r="U96" s="525" t="str">
        <f>IF(AND(B96&gt;='IN-NX'!$P$3,B96&lt;='IN-NX'!$Q$3,'IN-NX'!$D$7=D96,OR(LEFT(L96,2)="15",AND(LEFT(M96,2)&lt;&gt;"15",LEFT(M96,2)&lt;&gt;"33"))),"x","")</f>
        <v/>
      </c>
      <c r="V96" s="525" t="str">
        <f>IF(AND(OR(LEFT(TH!L96,2)="15",LEFT(TH!M96,2)="15"),'152-CT'!$J$8=TH!F96),"x","")</f>
        <v/>
      </c>
      <c r="W96" s="525" t="str">
        <f>IF(AND(OR(LEFT(TH!L96,2)="15",LEFT(TH!M96,2)="15"),TK!$E$7=TH!F96),"x","")</f>
        <v/>
      </c>
      <c r="X96" s="525" t="str">
        <f>IF(AND('341-CT'!$E$9=H96,OR(LEFT(L96,3)=$X$7,LEFT(M96,3)=$X$7)),"x","")</f>
        <v/>
      </c>
      <c r="Y96" s="525" t="str">
        <f>IF(OR(TH!L96=TH!$Y$7,M96=TH!$Y$7),"x","")</f>
        <v/>
      </c>
      <c r="Z96" s="525" t="str">
        <f>IF(AND(B96&lt;=NKC!$N$8,B96&gt;=NKC!$M$8),"x","")</f>
        <v/>
      </c>
      <c r="AA96" s="536"/>
      <c r="AD96" s="536"/>
    </row>
    <row r="97" spans="1:30" s="503" customFormat="1" ht="15.75" customHeight="1">
      <c r="A97" s="517" t="str">
        <f>IF(B97&lt;&gt;"",IF(AND(B97&gt;=_TM1,B97&lt;=_TM2,OR(TH!L97="1111",TH!M97="1111")),TH!D97,""),"")</f>
        <v/>
      </c>
      <c r="B97" s="531">
        <f t="shared" si="8"/>
        <v>5</v>
      </c>
      <c r="C97" s="671">
        <f t="shared" si="9"/>
        <v>42886</v>
      </c>
      <c r="D97" s="679" t="s">
        <v>476</v>
      </c>
      <c r="E97" s="672">
        <v>42886</v>
      </c>
      <c r="F97" s="673" t="s">
        <v>889</v>
      </c>
      <c r="G97" s="674"/>
      <c r="H97" s="472"/>
      <c r="I97" s="676"/>
      <c r="J97" s="676"/>
      <c r="K97" s="677">
        <f>K95</f>
        <v>39370</v>
      </c>
      <c r="L97" s="678" t="s">
        <v>158</v>
      </c>
      <c r="M97" s="680" t="s">
        <v>305</v>
      </c>
      <c r="N97" s="525" t="str">
        <f>IF(AND('331-CT'!$E$7=TH!H97,OR(L97="331",M97="331")),"331",IF(AND(OR(L97="131",M97="131"),H97='131-CT'!$E$7),"131",""))</f>
        <v/>
      </c>
      <c r="O97" s="525" t="str">
        <f>IF(AND($B97&gt;='111'!$N$11,$B97&lt;='111'!$O$11,OR($L97=$O$7,$M97=$O$7)),"x","")</f>
        <v/>
      </c>
      <c r="P97" s="525" t="str">
        <f>IF(AND($L97=$O$7,$B97&lt;'111'!$N$11),"x","")</f>
        <v/>
      </c>
      <c r="Q97" s="525" t="str">
        <f>IF(AND($M97=$O$7,$B97&lt;'111'!$N$11),"x","")</f>
        <v/>
      </c>
      <c r="R97" s="525" t="str">
        <f>IF(ISERROR(FIND('112'!$M$9,G97,1)),"",IF((AND(FIND('112'!$M$9,G97,1)&gt;=1,$B97&gt;='112'!$N$8,$B97&lt;='112'!$O$8,OR($L97='112'!$I$6,$M97='112'!$I$6))),"x",""))</f>
        <v/>
      </c>
      <c r="S97" s="525" t="str">
        <f>IF(ISERROR(FIND('112'!$M$9,G97,1)),"",IF((AND(LEFT(G97,2)=LEFT('112'!$M$9,2),B97&lt;'112'!$N$8,$L97='112'!$I$6)),"x",""))</f>
        <v/>
      </c>
      <c r="T97" s="525" t="str">
        <f>IF(ISERROR(FIND('112'!$M$9,G97,1)),"",IF((AND(RIGHT(G97,2)=RIGHT('112'!$M$9,2),B97&lt;'112'!$N$8,$M97='112'!$I$6)),"x",""))</f>
        <v/>
      </c>
      <c r="U97" s="525" t="str">
        <f>IF(AND(B97&gt;='IN-NX'!$P$3,B97&lt;='IN-NX'!$Q$3,'IN-NX'!$D$7=D97,OR(LEFT(L97,2)="15",AND(LEFT(M97,2)&lt;&gt;"15",LEFT(M97,2)&lt;&gt;"33"))),"x","")</f>
        <v/>
      </c>
      <c r="V97" s="525" t="str">
        <f>IF(AND(OR(LEFT(TH!L97,2)="15",LEFT(TH!M97,2)="15"),'152-CT'!$J$8=TH!F97),"x","")</f>
        <v/>
      </c>
      <c r="W97" s="525" t="str">
        <f>IF(AND(OR(LEFT(TH!L97,2)="15",LEFT(TH!M97,2)="15"),TK!$E$7=TH!F97),"x","")</f>
        <v/>
      </c>
      <c r="X97" s="525" t="str">
        <f>IF(AND('341-CT'!$E$9=H97,OR(LEFT(L97,3)=$X$7,LEFT(M97,3)=$X$7)),"x","")</f>
        <v/>
      </c>
      <c r="Y97" s="525" t="str">
        <f>IF(OR(TH!L97=TH!$Y$7,M97=TH!$Y$7),"x","")</f>
        <v/>
      </c>
      <c r="Z97" s="525" t="str">
        <f>IF(AND(B97&lt;=NKC!$N$8,B97&gt;=NKC!$M$8),"x","")</f>
        <v/>
      </c>
      <c r="AA97" s="536"/>
      <c r="AD97" s="536"/>
    </row>
    <row r="98" spans="1:30" s="503" customFormat="1" ht="15.75" customHeight="1">
      <c r="A98" s="517" t="str">
        <f>IF(B98&lt;&gt;"",IF(AND(B98&gt;=_TM1,B98&lt;=_TM2,OR(TH!L98="1111",TH!M98="1111")),TH!D98,""),"")</f>
        <v/>
      </c>
      <c r="B98" s="531">
        <f t="shared" ref="B98:B112" si="10">IF(C98&lt;&gt;"",MONTH(C98),"")</f>
        <v>6</v>
      </c>
      <c r="C98" s="671">
        <f t="shared" ref="C98:C112" si="11">E98</f>
        <v>42916</v>
      </c>
      <c r="D98" s="671" t="s">
        <v>476</v>
      </c>
      <c r="E98" s="672">
        <v>42916</v>
      </c>
      <c r="F98" s="673" t="s">
        <v>870</v>
      </c>
      <c r="G98" s="674"/>
      <c r="H98" s="675"/>
      <c r="I98" s="676"/>
      <c r="J98" s="676"/>
      <c r="K98" s="674">
        <v>7949500</v>
      </c>
      <c r="L98" s="678" t="s">
        <v>81</v>
      </c>
      <c r="M98" s="678" t="s">
        <v>225</v>
      </c>
      <c r="N98" s="525" t="str">
        <f>IF(AND('331-CT'!$E$7=TH!H98,OR(L98="331",M98="331")),"331",IF(AND(OR(L98="131",M98="131"),H98='131-CT'!$E$7),"131",""))</f>
        <v/>
      </c>
      <c r="O98" s="525" t="str">
        <f>IF(AND($B98&gt;='111'!$N$11,$B98&lt;='111'!$O$11,OR($L98=$O$7,$M98=$O$7)),"x","")</f>
        <v/>
      </c>
      <c r="P98" s="525" t="str">
        <f>IF(AND($L98=$O$7,$B98&lt;'111'!$N$11),"x","")</f>
        <v/>
      </c>
      <c r="Q98" s="525" t="str">
        <f>IF(AND($M98=$O$7,$B98&lt;'111'!$N$11),"x","")</f>
        <v/>
      </c>
      <c r="R98" s="525" t="str">
        <f>IF(ISERROR(FIND('112'!$M$9,G98,1)),"",IF((AND(FIND('112'!$M$9,G98,1)&gt;=1,$B98&gt;='112'!$N$8,$B98&lt;='112'!$O$8,OR($L98='112'!$I$6,$M98='112'!$I$6))),"x",""))</f>
        <v/>
      </c>
      <c r="S98" s="525" t="str">
        <f>IF(ISERROR(FIND('112'!$M$9,G98,1)),"",IF((AND(LEFT(G98,2)=LEFT('112'!$M$9,2),B98&lt;'112'!$N$8,$L98='112'!$I$6)),"x",""))</f>
        <v/>
      </c>
      <c r="T98" s="525" t="str">
        <f>IF(ISERROR(FIND('112'!$M$9,G98,1)),"",IF((AND(RIGHT(G98,2)=RIGHT('112'!$M$9,2),B98&lt;'112'!$N$8,$M98='112'!$I$6)),"x",""))</f>
        <v/>
      </c>
      <c r="U98" s="525" t="str">
        <f>IF(AND(B98&gt;='IN-NX'!$P$3,B98&lt;='IN-NX'!$Q$3,'IN-NX'!$D$7=D98,OR(LEFT(L98,2)="15",AND(LEFT(M98,2)&lt;&gt;"15",LEFT(M98,2)&lt;&gt;"33"))),"x","")</f>
        <v/>
      </c>
      <c r="V98" s="525" t="str">
        <f>IF(AND(OR(LEFT(TH!L98,2)="15",LEFT(TH!M98,2)="15"),'152-CT'!$J$8=TH!F98),"x","")</f>
        <v/>
      </c>
      <c r="W98" s="525" t="str">
        <f>IF(AND(OR(LEFT(TH!L98,2)="15",LEFT(TH!M98,2)="15"),TK!$E$7=TH!F98),"x","")</f>
        <v/>
      </c>
      <c r="X98" s="525" t="str">
        <f>IF(AND('341-CT'!$E$9=H98,OR(LEFT(L98,3)=$X$7,LEFT(M98,3)=$X$7)),"x","")</f>
        <v/>
      </c>
      <c r="Y98" s="525" t="str">
        <f>IF(OR(TH!L98=TH!$Y$7,M98=TH!$Y$7),"x","")</f>
        <v>x</v>
      </c>
      <c r="Z98" s="525" t="str">
        <f>IF(AND(B98&lt;=NKC!$N$8,B98&gt;=NKC!$M$8),"x","")</f>
        <v/>
      </c>
      <c r="AA98" s="536"/>
      <c r="AD98" s="536"/>
    </row>
    <row r="99" spans="1:30" s="503" customFormat="1" ht="15.75" customHeight="1">
      <c r="A99" s="517" t="str">
        <f>IF(B99&lt;&gt;"",IF(AND(B99&gt;=_TM1,B99&lt;=_TM2,OR(TH!L99="1111",TH!M99="1111")),TH!D99,""),"")</f>
        <v/>
      </c>
      <c r="B99" s="531">
        <f t="shared" si="10"/>
        <v>6</v>
      </c>
      <c r="C99" s="671">
        <f t="shared" si="11"/>
        <v>42916</v>
      </c>
      <c r="D99" s="671" t="s">
        <v>476</v>
      </c>
      <c r="E99" s="672">
        <v>42916</v>
      </c>
      <c r="F99" s="673" t="s">
        <v>871</v>
      </c>
      <c r="G99" s="674"/>
      <c r="H99" s="675"/>
      <c r="I99" s="676"/>
      <c r="J99" s="676"/>
      <c r="K99" s="674">
        <v>3937000</v>
      </c>
      <c r="L99" s="678" t="s">
        <v>158</v>
      </c>
      <c r="M99" s="678" t="s">
        <v>225</v>
      </c>
      <c r="N99" s="525" t="str">
        <f>IF(AND('331-CT'!$E$7=TH!H99,OR(L99="331",M99="331")),"331",IF(AND(OR(L99="131",M99="131"),H99='131-CT'!$E$7),"131",""))</f>
        <v/>
      </c>
      <c r="O99" s="525" t="str">
        <f>IF(AND($B99&gt;='111'!$N$11,$B99&lt;='111'!$O$11,OR($L99=$O$7,$M99=$O$7)),"x","")</f>
        <v/>
      </c>
      <c r="P99" s="525" t="str">
        <f>IF(AND($L99=$O$7,$B99&lt;'111'!$N$11),"x","")</f>
        <v/>
      </c>
      <c r="Q99" s="525" t="str">
        <f>IF(AND($M99=$O$7,$B99&lt;'111'!$N$11),"x","")</f>
        <v/>
      </c>
      <c r="R99" s="525" t="str">
        <f>IF(ISERROR(FIND('112'!$M$9,G99,1)),"",IF((AND(FIND('112'!$M$9,G99,1)&gt;=1,$B99&gt;='112'!$N$8,$B99&lt;='112'!$O$8,OR($L99='112'!$I$6,$M99='112'!$I$6))),"x",""))</f>
        <v/>
      </c>
      <c r="S99" s="525" t="str">
        <f>IF(ISERROR(FIND('112'!$M$9,G99,1)),"",IF((AND(LEFT(G99,2)=LEFT('112'!$M$9,2),B99&lt;'112'!$N$8,$L99='112'!$I$6)),"x",""))</f>
        <v/>
      </c>
      <c r="T99" s="525" t="str">
        <f>IF(ISERROR(FIND('112'!$M$9,G99,1)),"",IF((AND(RIGHT(G99,2)=RIGHT('112'!$M$9,2),B99&lt;'112'!$N$8,$M99='112'!$I$6)),"x",""))</f>
        <v/>
      </c>
      <c r="U99" s="525" t="str">
        <f>IF(AND(B99&gt;='IN-NX'!$P$3,B99&lt;='IN-NX'!$Q$3,'IN-NX'!$D$7=D99,OR(LEFT(L99,2)="15",AND(LEFT(M99,2)&lt;&gt;"15",LEFT(M99,2)&lt;&gt;"33"))),"x","")</f>
        <v/>
      </c>
      <c r="V99" s="525" t="str">
        <f>IF(AND(OR(LEFT(TH!L99,2)="15",LEFT(TH!M99,2)="15"),'152-CT'!$J$8=TH!F99),"x","")</f>
        <v/>
      </c>
      <c r="W99" s="525" t="str">
        <f>IF(AND(OR(LEFT(TH!L99,2)="15",LEFT(TH!M99,2)="15"),TK!$E$7=TH!F99),"x","")</f>
        <v/>
      </c>
      <c r="X99" s="525" t="str">
        <f>IF(AND('341-CT'!$E$9=H99,OR(LEFT(L99,3)=$X$7,LEFT(M99,3)=$X$7)),"x","")</f>
        <v/>
      </c>
      <c r="Y99" s="525" t="str">
        <f>IF(OR(TH!L99=TH!$Y$7,M99=TH!$Y$7),"x","")</f>
        <v>x</v>
      </c>
      <c r="Z99" s="525" t="str">
        <f>IF(AND(B99&lt;=NKC!$N$8,B99&gt;=NKC!$M$8),"x","")</f>
        <v/>
      </c>
      <c r="AA99" s="536"/>
      <c r="AD99" s="536"/>
    </row>
    <row r="100" spans="1:30" s="503" customFormat="1" ht="15.75" customHeight="1">
      <c r="A100" s="517" t="str">
        <f>IF(B100&lt;&gt;"",IF(AND(B100&gt;=_TM1,B100&lt;=_TM2,OR(TH!L100="1111",TH!M100="1111")),TH!D100,""),"")</f>
        <v/>
      </c>
      <c r="B100" s="531">
        <f t="shared" si="10"/>
        <v>6</v>
      </c>
      <c r="C100" s="671">
        <f t="shared" si="11"/>
        <v>42916</v>
      </c>
      <c r="D100" s="679" t="s">
        <v>872</v>
      </c>
      <c r="E100" s="672">
        <v>42916</v>
      </c>
      <c r="F100" s="673" t="s">
        <v>1197</v>
      </c>
      <c r="G100" s="674"/>
      <c r="H100" s="472" t="s">
        <v>460</v>
      </c>
      <c r="I100" s="676"/>
      <c r="J100" s="676"/>
      <c r="K100" s="677">
        <v>10638417</v>
      </c>
      <c r="L100" s="678" t="s">
        <v>225</v>
      </c>
      <c r="M100" s="678" t="s">
        <v>45</v>
      </c>
      <c r="N100" s="525" t="str">
        <f>IF(AND('331-CT'!$E$7=TH!H100,OR(L100="331",M100="331")),"331",IF(AND(OR(L100="131",M100="131"),H100='131-CT'!$E$7),"131",""))</f>
        <v/>
      </c>
      <c r="O100" s="525" t="str">
        <f>IF(AND($B100&gt;='111'!$N$11,$B100&lt;='111'!$O$11,OR($L100=$O$7,$M100=$O$7)),"x","")</f>
        <v/>
      </c>
      <c r="P100" s="525" t="str">
        <f>IF(AND($L100=$O$7,$B100&lt;'111'!$N$11),"x","")</f>
        <v/>
      </c>
      <c r="Q100" s="525" t="str">
        <f>IF(AND($M100=$O$7,$B100&lt;'111'!$N$11),"x","")</f>
        <v>x</v>
      </c>
      <c r="R100" s="525" t="str">
        <f>IF(ISERROR(FIND('112'!$M$9,G100,1)),"",IF((AND(FIND('112'!$M$9,G100,1)&gt;=1,$B100&gt;='112'!$N$8,$B100&lt;='112'!$O$8,OR($L100='112'!$I$6,$M100='112'!$I$6))),"x",""))</f>
        <v/>
      </c>
      <c r="S100" s="525" t="str">
        <f>IF(ISERROR(FIND('112'!$M$9,G100,1)),"",IF((AND(LEFT(G100,2)=LEFT('112'!$M$9,2),B100&lt;'112'!$N$8,$L100='112'!$I$6)),"x",""))</f>
        <v/>
      </c>
      <c r="T100" s="525" t="str">
        <f>IF(ISERROR(FIND('112'!$M$9,G100,1)),"",IF((AND(RIGHT(G100,2)=RIGHT('112'!$M$9,2),B100&lt;'112'!$N$8,$M100='112'!$I$6)),"x",""))</f>
        <v/>
      </c>
      <c r="U100" s="525" t="str">
        <f>IF(AND(B100&gt;='IN-NX'!$P$3,B100&lt;='IN-NX'!$Q$3,'IN-NX'!$D$7=D100,OR(LEFT(L100,2)="15",AND(LEFT(M100,2)&lt;&gt;"15",LEFT(M100,2)&lt;&gt;"33"))),"x","")</f>
        <v/>
      </c>
      <c r="V100" s="525" t="str">
        <f>IF(AND(OR(LEFT(TH!L100,2)="15",LEFT(TH!M100,2)="15"),'152-CT'!$J$8=TH!F100),"x","")</f>
        <v/>
      </c>
      <c r="W100" s="525" t="str">
        <f>IF(AND(OR(LEFT(TH!L100,2)="15",LEFT(TH!M100,2)="15"),TK!$E$7=TH!F100),"x","")</f>
        <v/>
      </c>
      <c r="X100" s="525" t="str">
        <f>IF(AND('341-CT'!$E$9=H100,OR(LEFT(L100,3)=$X$7,LEFT(M100,3)=$X$7)),"x","")</f>
        <v/>
      </c>
      <c r="Y100" s="525" t="str">
        <f>IF(OR(TH!L100=TH!$Y$7,M100=TH!$Y$7),"x","")</f>
        <v>x</v>
      </c>
      <c r="Z100" s="525" t="str">
        <f>IF(AND(B100&lt;=NKC!$N$8,B100&gt;=NKC!$M$8),"x","")</f>
        <v/>
      </c>
      <c r="AA100" s="536"/>
      <c r="AD100" s="536"/>
    </row>
    <row r="101" spans="1:30" s="503" customFormat="1" ht="15.75" customHeight="1">
      <c r="A101" s="517" t="str">
        <f>IF(B101&lt;&gt;"",IF(AND(B101&gt;=_TM1,B101&lt;=_TM2,OR(TH!L101="1111",TH!M101="1111")),TH!D101,""),"")</f>
        <v/>
      </c>
      <c r="B101" s="531">
        <f t="shared" si="10"/>
        <v>6</v>
      </c>
      <c r="C101" s="671">
        <f t="shared" si="11"/>
        <v>42916</v>
      </c>
      <c r="D101" s="671" t="s">
        <v>476</v>
      </c>
      <c r="E101" s="672">
        <v>42916</v>
      </c>
      <c r="F101" s="673" t="s">
        <v>873</v>
      </c>
      <c r="G101" s="674" t="s">
        <v>874</v>
      </c>
      <c r="H101" s="675"/>
      <c r="I101" s="676"/>
      <c r="J101" s="676"/>
      <c r="K101" s="677">
        <f>ROUND(K98*$G101,0)</f>
        <v>635960</v>
      </c>
      <c r="L101" s="680" t="s">
        <v>225</v>
      </c>
      <c r="M101" s="680" t="s">
        <v>302</v>
      </c>
      <c r="N101" s="525" t="str">
        <f>IF(AND('331-CT'!$E$7=TH!H101,OR(L101="331",M101="331")),"331",IF(AND(OR(L101="131",M101="131"),H101='131-CT'!$E$7),"131",""))</f>
        <v/>
      </c>
      <c r="O101" s="525" t="str">
        <f>IF(AND($B101&gt;='111'!$N$11,$B101&lt;='111'!$O$11,OR($L101=$O$7,$M101=$O$7)),"x","")</f>
        <v/>
      </c>
      <c r="P101" s="525" t="str">
        <f>IF(AND($L101=$O$7,$B101&lt;'111'!$N$11),"x","")</f>
        <v/>
      </c>
      <c r="Q101" s="525" t="str">
        <f>IF(AND($M101=$O$7,$B101&lt;'111'!$N$11),"x","")</f>
        <v/>
      </c>
      <c r="R101" s="525" t="str">
        <f>IF(ISERROR(FIND('112'!$M$9,G101,1)),"",IF((AND(FIND('112'!$M$9,G101,1)&gt;=1,$B101&gt;='112'!$N$8,$B101&lt;='112'!$O$8,OR($L101='112'!$I$6,$M101='112'!$I$6))),"x",""))</f>
        <v/>
      </c>
      <c r="S101" s="525" t="str">
        <f>IF(ISERROR(FIND('112'!$M$9,G101,1)),"",IF((AND(LEFT(G101,2)=LEFT('112'!$M$9,2),B101&lt;'112'!$N$8,$L101='112'!$I$6)),"x",""))</f>
        <v/>
      </c>
      <c r="T101" s="525" t="str">
        <f>IF(ISERROR(FIND('112'!$M$9,G101,1)),"",IF((AND(RIGHT(G101,2)=RIGHT('112'!$M$9,2),B101&lt;'112'!$N$8,$M101='112'!$I$6)),"x",""))</f>
        <v/>
      </c>
      <c r="U101" s="525" t="str">
        <f>IF(AND(B101&gt;='IN-NX'!$P$3,B101&lt;='IN-NX'!$Q$3,'IN-NX'!$D$7=D101,OR(LEFT(L101,2)="15",AND(LEFT(M101,2)&lt;&gt;"15",LEFT(M101,2)&lt;&gt;"33"))),"x","")</f>
        <v/>
      </c>
      <c r="V101" s="525" t="str">
        <f>IF(AND(OR(LEFT(TH!L101,2)="15",LEFT(TH!M101,2)="15"),'152-CT'!$J$8=TH!F101),"x","")</f>
        <v/>
      </c>
      <c r="W101" s="525" t="str">
        <f>IF(AND(OR(LEFT(TH!L101,2)="15",LEFT(TH!M101,2)="15"),TK!$E$7=TH!F101),"x","")</f>
        <v/>
      </c>
      <c r="X101" s="525" t="str">
        <f>IF(AND('341-CT'!$E$9=H101,OR(LEFT(L101,3)=$X$7,LEFT(M101,3)=$X$7)),"x","")</f>
        <v/>
      </c>
      <c r="Y101" s="525" t="str">
        <f>IF(OR(TH!L101=TH!$Y$7,M101=TH!$Y$7),"x","")</f>
        <v>x</v>
      </c>
      <c r="Z101" s="525" t="str">
        <f>IF(AND(B101&lt;=NKC!$N$8,B101&gt;=NKC!$M$8),"x","")</f>
        <v/>
      </c>
      <c r="AA101" s="536"/>
      <c r="AD101" s="536"/>
    </row>
    <row r="102" spans="1:30" s="503" customFormat="1" ht="15.75" customHeight="1">
      <c r="A102" s="517" t="str">
        <f>IF(B102&lt;&gt;"",IF(AND(B102&gt;=_TM1,B102&lt;=_TM2,OR(TH!L102="1111",TH!M102="1111")),TH!D102,""),"")</f>
        <v/>
      </c>
      <c r="B102" s="531">
        <f t="shared" si="10"/>
        <v>6</v>
      </c>
      <c r="C102" s="671">
        <f t="shared" si="11"/>
        <v>42916</v>
      </c>
      <c r="D102" s="671" t="s">
        <v>476</v>
      </c>
      <c r="E102" s="672">
        <v>42916</v>
      </c>
      <c r="F102" s="673" t="s">
        <v>875</v>
      </c>
      <c r="G102" s="674"/>
      <c r="H102" s="675"/>
      <c r="I102" s="676"/>
      <c r="J102" s="676"/>
      <c r="K102" s="677">
        <f>ROUND(G101*K99,0)</f>
        <v>314960</v>
      </c>
      <c r="L102" s="678" t="s">
        <v>225</v>
      </c>
      <c r="M102" s="681" t="s">
        <v>302</v>
      </c>
      <c r="N102" s="525" t="str">
        <f>IF(AND('331-CT'!$E$7=TH!H102,OR(L102="331",M102="331")),"331",IF(AND(OR(L102="131",M102="131"),H102='131-CT'!$E$7),"131",""))</f>
        <v/>
      </c>
      <c r="O102" s="525" t="str">
        <f>IF(AND($B102&gt;='111'!$N$11,$B102&lt;='111'!$O$11,OR($L102=$O$7,$M102=$O$7)),"x","")</f>
        <v/>
      </c>
      <c r="P102" s="525" t="str">
        <f>IF(AND($L102=$O$7,$B102&lt;'111'!$N$11),"x","")</f>
        <v/>
      </c>
      <c r="Q102" s="525" t="str">
        <f>IF(AND($M102=$O$7,$B102&lt;'111'!$N$11),"x","")</f>
        <v/>
      </c>
      <c r="R102" s="525" t="str">
        <f>IF(ISERROR(FIND('112'!$M$9,G102,1)),"",IF((AND(FIND('112'!$M$9,G102,1)&gt;=1,$B102&gt;='112'!$N$8,$B102&lt;='112'!$O$8,OR($L102='112'!$I$6,$M102='112'!$I$6))),"x",""))</f>
        <v/>
      </c>
      <c r="S102" s="525" t="str">
        <f>IF(ISERROR(FIND('112'!$M$9,G102,1)),"",IF((AND(LEFT(G102,2)=LEFT('112'!$M$9,2),B102&lt;'112'!$N$8,$L102='112'!$I$6)),"x",""))</f>
        <v/>
      </c>
      <c r="T102" s="525" t="str">
        <f>IF(ISERROR(FIND('112'!$M$9,G102,1)),"",IF((AND(RIGHT(G102,2)=RIGHT('112'!$M$9,2),B102&lt;'112'!$N$8,$M102='112'!$I$6)),"x",""))</f>
        <v/>
      </c>
      <c r="U102" s="525" t="str">
        <f>IF(AND(B102&gt;='IN-NX'!$P$3,B102&lt;='IN-NX'!$Q$3,'IN-NX'!$D$7=D102,OR(LEFT(L102,2)="15",AND(LEFT(M102,2)&lt;&gt;"15",LEFT(M102,2)&lt;&gt;"33"))),"x","")</f>
        <v/>
      </c>
      <c r="V102" s="525" t="str">
        <f>IF(AND(OR(LEFT(TH!L102,2)="15",LEFT(TH!M102,2)="15"),'152-CT'!$J$8=TH!F102),"x","")</f>
        <v/>
      </c>
      <c r="W102" s="525" t="str">
        <f>IF(AND(OR(LEFT(TH!L102,2)="15",LEFT(TH!M102,2)="15"),TK!$E$7=TH!F102),"x","")</f>
        <v/>
      </c>
      <c r="X102" s="525" t="str">
        <f>IF(AND('341-CT'!$E$9=H102,OR(LEFT(L102,3)=$X$7,LEFT(M102,3)=$X$7)),"x","")</f>
        <v/>
      </c>
      <c r="Y102" s="525" t="str">
        <f>IF(OR(TH!L102=TH!$Y$7,M102=TH!$Y$7),"x","")</f>
        <v>x</v>
      </c>
      <c r="Z102" s="525" t="str">
        <f>IF(AND(B102&lt;=NKC!$N$8,B102&gt;=NKC!$M$8),"x","")</f>
        <v/>
      </c>
      <c r="AA102" s="536"/>
      <c r="AD102" s="536"/>
    </row>
    <row r="103" spans="1:30" s="503" customFormat="1" ht="15.75" customHeight="1">
      <c r="A103" s="517" t="str">
        <f>IF(B103&lt;&gt;"",IF(AND(B103&gt;=_TM1,B103&lt;=_TM2,OR(TH!L103="1111",TH!M103="1111")),TH!D103,""),"")</f>
        <v/>
      </c>
      <c r="B103" s="531">
        <f t="shared" si="10"/>
        <v>6</v>
      </c>
      <c r="C103" s="671">
        <f t="shared" si="11"/>
        <v>42916</v>
      </c>
      <c r="D103" s="679" t="s">
        <v>476</v>
      </c>
      <c r="E103" s="672">
        <v>42916</v>
      </c>
      <c r="F103" s="673" t="s">
        <v>876</v>
      </c>
      <c r="G103" s="674" t="s">
        <v>877</v>
      </c>
      <c r="H103" s="472"/>
      <c r="I103" s="676"/>
      <c r="J103" s="676"/>
      <c r="K103" s="677">
        <f>ROUND(K98*$G103,0)</f>
        <v>1430910</v>
      </c>
      <c r="L103" s="680" t="s">
        <v>224</v>
      </c>
      <c r="M103" s="680" t="s">
        <v>302</v>
      </c>
      <c r="N103" s="525" t="str">
        <f>IF(AND('331-CT'!$E$7=TH!H103,OR(L103="331",M103="331")),"331",IF(AND(OR(L103="131",M103="131"),H103='131-CT'!$E$7),"131",""))</f>
        <v/>
      </c>
      <c r="O103" s="525" t="str">
        <f>IF(AND($B103&gt;='111'!$N$11,$B103&lt;='111'!$O$11,OR($L103=$O$7,$M103=$O$7)),"x","")</f>
        <v/>
      </c>
      <c r="P103" s="525" t="str">
        <f>IF(AND($L103=$O$7,$B103&lt;'111'!$N$11),"x","")</f>
        <v/>
      </c>
      <c r="Q103" s="525" t="str">
        <f>IF(AND($M103=$O$7,$B103&lt;'111'!$N$11),"x","")</f>
        <v/>
      </c>
      <c r="R103" s="525" t="str">
        <f>IF(ISERROR(FIND('112'!$M$9,G103,1)),"",IF((AND(FIND('112'!$M$9,G103,1)&gt;=1,$B103&gt;='112'!$N$8,$B103&lt;='112'!$O$8,OR($L103='112'!$I$6,$M103='112'!$I$6))),"x",""))</f>
        <v/>
      </c>
      <c r="S103" s="525" t="str">
        <f>IF(ISERROR(FIND('112'!$M$9,G103,1)),"",IF((AND(LEFT(G103,2)=LEFT('112'!$M$9,2),B103&lt;'112'!$N$8,$L103='112'!$I$6)),"x",""))</f>
        <v/>
      </c>
      <c r="T103" s="525" t="str">
        <f>IF(ISERROR(FIND('112'!$M$9,G103,1)),"",IF((AND(RIGHT(G103,2)=RIGHT('112'!$M$9,2),B103&lt;'112'!$N$8,$M103='112'!$I$6)),"x",""))</f>
        <v/>
      </c>
      <c r="U103" s="525" t="str">
        <f>IF(AND(B103&gt;='IN-NX'!$P$3,B103&lt;='IN-NX'!$Q$3,'IN-NX'!$D$7=D103,OR(LEFT(L103,2)="15",AND(LEFT(M103,2)&lt;&gt;"15",LEFT(M103,2)&lt;&gt;"33"))),"x","")</f>
        <v/>
      </c>
      <c r="V103" s="525" t="str">
        <f>IF(AND(OR(LEFT(TH!L103,2)="15",LEFT(TH!M103,2)="15"),'152-CT'!$J$8=TH!F103),"x","")</f>
        <v/>
      </c>
      <c r="W103" s="525" t="str">
        <f>IF(AND(OR(LEFT(TH!L103,2)="15",LEFT(TH!M103,2)="15"),TK!$E$7=TH!F103),"x","")</f>
        <v/>
      </c>
      <c r="X103" s="525" t="str">
        <f>IF(AND('341-CT'!$E$9=H103,OR(LEFT(L103,3)=$X$7,LEFT(M103,3)=$X$7)),"x","")</f>
        <v/>
      </c>
      <c r="Y103" s="525" t="str">
        <f>IF(OR(TH!L103=TH!$Y$7,M103=TH!$Y$7),"x","")</f>
        <v/>
      </c>
      <c r="Z103" s="525" t="str">
        <f>IF(AND(B103&lt;=NKC!$N$8,B103&gt;=NKC!$M$8),"x","")</f>
        <v/>
      </c>
      <c r="AA103" s="536"/>
      <c r="AD103" s="536"/>
    </row>
    <row r="104" spans="1:30" s="503" customFormat="1" ht="15.75" customHeight="1">
      <c r="A104" s="517" t="str">
        <f>IF(B104&lt;&gt;"",IF(AND(B104&gt;=_TM1,B104&lt;=_TM2,OR(TH!L104="1111",TH!M104="1111")),TH!D104,""),"")</f>
        <v/>
      </c>
      <c r="B104" s="531">
        <f t="shared" si="10"/>
        <v>6</v>
      </c>
      <c r="C104" s="671">
        <f t="shared" si="11"/>
        <v>42916</v>
      </c>
      <c r="D104" s="671" t="s">
        <v>476</v>
      </c>
      <c r="E104" s="672">
        <v>42916</v>
      </c>
      <c r="F104" s="673" t="s">
        <v>878</v>
      </c>
      <c r="G104" s="674"/>
      <c r="H104" s="675"/>
      <c r="I104" s="676"/>
      <c r="J104" s="676"/>
      <c r="K104" s="677">
        <f>ROUND(K99*$G103,0)</f>
        <v>708660</v>
      </c>
      <c r="L104" s="678" t="s">
        <v>158</v>
      </c>
      <c r="M104" s="680" t="s">
        <v>302</v>
      </c>
      <c r="N104" s="525" t="str">
        <f>IF(AND('331-CT'!$E$7=TH!H104,OR(L104="331",M104="331")),"331",IF(AND(OR(L104="131",M104="131"),H104='131-CT'!$E$7),"131",""))</f>
        <v/>
      </c>
      <c r="O104" s="525" t="str">
        <f>IF(AND($B104&gt;='111'!$N$11,$B104&lt;='111'!$O$11,OR($L104=$O$7,$M104=$O$7)),"x","")</f>
        <v/>
      </c>
      <c r="P104" s="525" t="str">
        <f>IF(AND($L104=$O$7,$B104&lt;'111'!$N$11),"x","")</f>
        <v/>
      </c>
      <c r="Q104" s="525" t="str">
        <f>IF(AND($M104=$O$7,$B104&lt;'111'!$N$11),"x","")</f>
        <v/>
      </c>
      <c r="R104" s="525" t="str">
        <f>IF(ISERROR(FIND('112'!$M$9,G104,1)),"",IF((AND(FIND('112'!$M$9,G104,1)&gt;=1,$B104&gt;='112'!$N$8,$B104&lt;='112'!$O$8,OR($L104='112'!$I$6,$M104='112'!$I$6))),"x",""))</f>
        <v/>
      </c>
      <c r="S104" s="525" t="str">
        <f>IF(ISERROR(FIND('112'!$M$9,G104,1)),"",IF((AND(LEFT(G104,2)=LEFT('112'!$M$9,2),B104&lt;'112'!$N$8,$L104='112'!$I$6)),"x",""))</f>
        <v/>
      </c>
      <c r="T104" s="525" t="str">
        <f>IF(ISERROR(FIND('112'!$M$9,G104,1)),"",IF((AND(RIGHT(G104,2)=RIGHT('112'!$M$9,2),B104&lt;'112'!$N$8,$M104='112'!$I$6)),"x",""))</f>
        <v/>
      </c>
      <c r="U104" s="525" t="str">
        <f>IF(AND(B104&gt;='IN-NX'!$P$3,B104&lt;='IN-NX'!$Q$3,'IN-NX'!$D$7=D104,OR(LEFT(L104,2)="15",AND(LEFT(M104,2)&lt;&gt;"15",LEFT(M104,2)&lt;&gt;"33"))),"x","")</f>
        <v/>
      </c>
      <c r="V104" s="525" t="str">
        <f>IF(AND(OR(LEFT(TH!L104,2)="15",LEFT(TH!M104,2)="15"),'152-CT'!$J$8=TH!F104),"x","")</f>
        <v/>
      </c>
      <c r="W104" s="525" t="str">
        <f>IF(AND(OR(LEFT(TH!L104,2)="15",LEFT(TH!M104,2)="15"),TK!$E$7=TH!F104),"x","")</f>
        <v/>
      </c>
      <c r="X104" s="525" t="str">
        <f>IF(AND('341-CT'!$E$9=H104,OR(LEFT(L104,3)=$X$7,LEFT(M104,3)=$X$7)),"x","")</f>
        <v/>
      </c>
      <c r="Y104" s="525" t="str">
        <f>IF(OR(TH!L104=TH!$Y$7,M104=TH!$Y$7),"x","")</f>
        <v/>
      </c>
      <c r="Z104" s="525" t="str">
        <f>IF(AND(B104&lt;=NKC!$N$8,B104&gt;=NKC!$M$8),"x","")</f>
        <v/>
      </c>
      <c r="AA104" s="536"/>
      <c r="AD104" s="536"/>
    </row>
    <row r="105" spans="1:30" s="503" customFormat="1" ht="15.75" customHeight="1">
      <c r="A105" s="517" t="str">
        <f>IF(B105&lt;&gt;"",IF(AND(B105&gt;=_TM1,B105&lt;=_TM2,OR(TH!L105="1111",TH!M105="1111")),TH!D105,""),"")</f>
        <v/>
      </c>
      <c r="B105" s="531">
        <f t="shared" si="10"/>
        <v>6</v>
      </c>
      <c r="C105" s="671">
        <f t="shared" si="11"/>
        <v>42916</v>
      </c>
      <c r="D105" s="671" t="s">
        <v>476</v>
      </c>
      <c r="E105" s="672">
        <v>42916</v>
      </c>
      <c r="F105" s="673" t="s">
        <v>879</v>
      </c>
      <c r="G105" s="674" t="s">
        <v>880</v>
      </c>
      <c r="H105" s="675"/>
      <c r="I105" s="676"/>
      <c r="J105" s="676"/>
      <c r="K105" s="677">
        <f>ROUND(K98*$G105,0)</f>
        <v>119243</v>
      </c>
      <c r="L105" s="680" t="s">
        <v>225</v>
      </c>
      <c r="M105" s="680" t="s">
        <v>301</v>
      </c>
      <c r="N105" s="525" t="str">
        <f>IF(AND('331-CT'!$E$7=TH!H105,OR(L105="331",M105="331")),"331",IF(AND(OR(L105="131",M105="131"),H105='131-CT'!$E$7),"131",""))</f>
        <v/>
      </c>
      <c r="O105" s="525" t="str">
        <f>IF(AND($B105&gt;='111'!$N$11,$B105&lt;='111'!$O$11,OR($L105=$O$7,$M105=$O$7)),"x","")</f>
        <v/>
      </c>
      <c r="P105" s="525" t="str">
        <f>IF(AND($L105=$O$7,$B105&lt;'111'!$N$11),"x","")</f>
        <v/>
      </c>
      <c r="Q105" s="525" t="str">
        <f>IF(AND($M105=$O$7,$B105&lt;'111'!$N$11),"x","")</f>
        <v/>
      </c>
      <c r="R105" s="525" t="str">
        <f>IF(ISERROR(FIND('112'!$M$9,G105,1)),"",IF((AND(FIND('112'!$M$9,G105,1)&gt;=1,$B105&gt;='112'!$N$8,$B105&lt;='112'!$O$8,OR($L105='112'!$I$6,$M105='112'!$I$6))),"x",""))</f>
        <v/>
      </c>
      <c r="S105" s="525" t="str">
        <f>IF(ISERROR(FIND('112'!$M$9,G105,1)),"",IF((AND(LEFT(G105,2)=LEFT('112'!$M$9,2),B105&lt;'112'!$N$8,$L105='112'!$I$6)),"x",""))</f>
        <v/>
      </c>
      <c r="T105" s="525" t="str">
        <f>IF(ISERROR(FIND('112'!$M$9,G105,1)),"",IF((AND(RIGHT(G105,2)=RIGHT('112'!$M$9,2),B105&lt;'112'!$N$8,$M105='112'!$I$6)),"x",""))</f>
        <v/>
      </c>
      <c r="U105" s="525" t="str">
        <f>IF(AND(B105&gt;='IN-NX'!$P$3,B105&lt;='IN-NX'!$Q$3,'IN-NX'!$D$7=D105,OR(LEFT(L105,2)="15",AND(LEFT(M105,2)&lt;&gt;"15",LEFT(M105,2)&lt;&gt;"33"))),"x","")</f>
        <v/>
      </c>
      <c r="V105" s="525" t="str">
        <f>IF(AND(OR(LEFT(TH!L105,2)="15",LEFT(TH!M105,2)="15"),'152-CT'!$J$8=TH!F105),"x","")</f>
        <v/>
      </c>
      <c r="W105" s="525" t="str">
        <f>IF(AND(OR(LEFT(TH!L105,2)="15",LEFT(TH!M105,2)="15"),TK!$E$7=TH!F105),"x","")</f>
        <v/>
      </c>
      <c r="X105" s="525" t="str">
        <f>IF(AND('341-CT'!$E$9=H105,OR(LEFT(L105,3)=$X$7,LEFT(M105,3)=$X$7)),"x","")</f>
        <v/>
      </c>
      <c r="Y105" s="525" t="str">
        <f>IF(OR(TH!L105=TH!$Y$7,M105=TH!$Y$7),"x","")</f>
        <v>x</v>
      </c>
      <c r="Z105" s="525" t="str">
        <f>IF(AND(B105&lt;=NKC!$N$8,B105&gt;=NKC!$M$8),"x","")</f>
        <v/>
      </c>
      <c r="AA105" s="536"/>
      <c r="AD105" s="536"/>
    </row>
    <row r="106" spans="1:30" s="503" customFormat="1" ht="15.75" customHeight="1">
      <c r="A106" s="517" t="str">
        <f>IF(B106&lt;&gt;"",IF(AND(B106&gt;=_TM1,B106&lt;=_TM2,OR(TH!L106="1111",TH!M106="1111")),TH!D106,""),"")</f>
        <v/>
      </c>
      <c r="B106" s="531">
        <f t="shared" si="10"/>
        <v>6</v>
      </c>
      <c r="C106" s="671">
        <f t="shared" si="11"/>
        <v>42916</v>
      </c>
      <c r="D106" s="679" t="s">
        <v>476</v>
      </c>
      <c r="E106" s="672">
        <v>42916</v>
      </c>
      <c r="F106" s="673" t="s">
        <v>881</v>
      </c>
      <c r="G106" s="674"/>
      <c r="H106" s="472"/>
      <c r="I106" s="676"/>
      <c r="J106" s="676"/>
      <c r="K106" s="677">
        <f>ROUND(K99*$G105,0)</f>
        <v>59055</v>
      </c>
      <c r="L106" s="680" t="s">
        <v>225</v>
      </c>
      <c r="M106" s="680" t="s">
        <v>301</v>
      </c>
      <c r="N106" s="525" t="str">
        <f>IF(AND('331-CT'!$E$7=TH!H106,OR(L106="331",M106="331")),"331",IF(AND(OR(L106="131",M106="131"),H106='131-CT'!$E$7),"131",""))</f>
        <v/>
      </c>
      <c r="O106" s="525" t="str">
        <f>IF(AND($B106&gt;='111'!$N$11,$B106&lt;='111'!$O$11,OR($L106=$O$7,$M106=$O$7)),"x","")</f>
        <v/>
      </c>
      <c r="P106" s="525" t="str">
        <f>IF(AND($L106=$O$7,$B106&lt;'111'!$N$11),"x","")</f>
        <v/>
      </c>
      <c r="Q106" s="525" t="str">
        <f>IF(AND($M106=$O$7,$B106&lt;'111'!$N$11),"x","")</f>
        <v/>
      </c>
      <c r="R106" s="525" t="str">
        <f>IF(ISERROR(FIND('112'!$M$9,G106,1)),"",IF((AND(FIND('112'!$M$9,G106,1)&gt;=1,$B106&gt;='112'!$N$8,$B106&lt;='112'!$O$8,OR($L106='112'!$I$6,$M106='112'!$I$6))),"x",""))</f>
        <v/>
      </c>
      <c r="S106" s="525" t="str">
        <f>IF(ISERROR(FIND('112'!$M$9,G106,1)),"",IF((AND(LEFT(G106,2)=LEFT('112'!$M$9,2),B106&lt;'112'!$N$8,$L106='112'!$I$6)),"x",""))</f>
        <v/>
      </c>
      <c r="T106" s="525" t="str">
        <f>IF(ISERROR(FIND('112'!$M$9,G106,1)),"",IF((AND(RIGHT(G106,2)=RIGHT('112'!$M$9,2),B106&lt;'112'!$N$8,$M106='112'!$I$6)),"x",""))</f>
        <v/>
      </c>
      <c r="U106" s="525" t="str">
        <f>IF(AND(B106&gt;='IN-NX'!$P$3,B106&lt;='IN-NX'!$Q$3,'IN-NX'!$D$7=D106,OR(LEFT(L106,2)="15",AND(LEFT(M106,2)&lt;&gt;"15",LEFT(M106,2)&lt;&gt;"33"))),"x","")</f>
        <v/>
      </c>
      <c r="V106" s="525" t="str">
        <f>IF(AND(OR(LEFT(TH!L106,2)="15",LEFT(TH!M106,2)="15"),'152-CT'!$J$8=TH!F106),"x","")</f>
        <v/>
      </c>
      <c r="W106" s="525" t="str">
        <f>IF(AND(OR(LEFT(TH!L106,2)="15",LEFT(TH!M106,2)="15"),TK!$E$7=TH!F106),"x","")</f>
        <v/>
      </c>
      <c r="X106" s="525" t="str">
        <f>IF(AND('341-CT'!$E$9=H106,OR(LEFT(L106,3)=$X$7,LEFT(M106,3)=$X$7)),"x","")</f>
        <v/>
      </c>
      <c r="Y106" s="525" t="str">
        <f>IF(OR(TH!L106=TH!$Y$7,M106=TH!$Y$7),"x","")</f>
        <v>x</v>
      </c>
      <c r="Z106" s="525" t="str">
        <f>IF(AND(B106&lt;=NKC!$N$8,B106&gt;=NKC!$M$8),"x","")</f>
        <v/>
      </c>
      <c r="AA106" s="536"/>
      <c r="AD106" s="536"/>
    </row>
    <row r="107" spans="1:30" s="503" customFormat="1" ht="15.75" customHeight="1">
      <c r="A107" s="517" t="str">
        <f>IF(B107&lt;&gt;"",IF(AND(B107&gt;=_TM1,B107&lt;=_TM2,OR(TH!L107="1111",TH!M107="1111")),TH!D107,""),"")</f>
        <v/>
      </c>
      <c r="B107" s="531">
        <f t="shared" si="10"/>
        <v>6</v>
      </c>
      <c r="C107" s="671">
        <f t="shared" si="11"/>
        <v>42916</v>
      </c>
      <c r="D107" s="671" t="s">
        <v>476</v>
      </c>
      <c r="E107" s="672">
        <v>42916</v>
      </c>
      <c r="F107" s="673" t="s">
        <v>882</v>
      </c>
      <c r="G107" s="674" t="s">
        <v>883</v>
      </c>
      <c r="H107" s="675"/>
      <c r="I107" s="676"/>
      <c r="J107" s="676"/>
      <c r="K107" s="677">
        <f>ROUND(K98*$G107,0)</f>
        <v>238485</v>
      </c>
      <c r="L107" s="680" t="s">
        <v>224</v>
      </c>
      <c r="M107" s="680" t="s">
        <v>301</v>
      </c>
      <c r="N107" s="525" t="str">
        <f>IF(AND('331-CT'!$E$7=TH!H107,OR(L107="331",M107="331")),"331",IF(AND(OR(L107="131",M107="131"),H107='131-CT'!$E$7),"131",""))</f>
        <v/>
      </c>
      <c r="O107" s="525" t="str">
        <f>IF(AND($B107&gt;='111'!$N$11,$B107&lt;='111'!$O$11,OR($L107=$O$7,$M107=$O$7)),"x","")</f>
        <v/>
      </c>
      <c r="P107" s="525" t="str">
        <f>IF(AND($L107=$O$7,$B107&lt;'111'!$N$11),"x","")</f>
        <v/>
      </c>
      <c r="Q107" s="525" t="str">
        <f>IF(AND($M107=$O$7,$B107&lt;'111'!$N$11),"x","")</f>
        <v/>
      </c>
      <c r="R107" s="525" t="str">
        <f>IF(ISERROR(FIND('112'!$M$9,G107,1)),"",IF((AND(FIND('112'!$M$9,G107,1)&gt;=1,$B107&gt;='112'!$N$8,$B107&lt;='112'!$O$8,OR($L107='112'!$I$6,$M107='112'!$I$6))),"x",""))</f>
        <v/>
      </c>
      <c r="S107" s="525" t="str">
        <f>IF(ISERROR(FIND('112'!$M$9,G107,1)),"",IF((AND(LEFT(G107,2)=LEFT('112'!$M$9,2),B107&lt;'112'!$N$8,$L107='112'!$I$6)),"x",""))</f>
        <v/>
      </c>
      <c r="T107" s="525" t="str">
        <f>IF(ISERROR(FIND('112'!$M$9,G107,1)),"",IF((AND(RIGHT(G107,2)=RIGHT('112'!$M$9,2),B107&lt;'112'!$N$8,$M107='112'!$I$6)),"x",""))</f>
        <v/>
      </c>
      <c r="U107" s="525" t="str">
        <f>IF(AND(B107&gt;='IN-NX'!$P$3,B107&lt;='IN-NX'!$Q$3,'IN-NX'!$D$7=D107,OR(LEFT(L107,2)="15",AND(LEFT(M107,2)&lt;&gt;"15",LEFT(M107,2)&lt;&gt;"33"))),"x","")</f>
        <v/>
      </c>
      <c r="V107" s="525" t="str">
        <f>IF(AND(OR(LEFT(TH!L107,2)="15",LEFT(TH!M107,2)="15"),'152-CT'!$J$8=TH!F107),"x","")</f>
        <v/>
      </c>
      <c r="W107" s="525" t="str">
        <f>IF(AND(OR(LEFT(TH!L107,2)="15",LEFT(TH!M107,2)="15"),TK!$E$7=TH!F107),"x","")</f>
        <v/>
      </c>
      <c r="X107" s="525" t="str">
        <f>IF(AND('341-CT'!$E$9=H107,OR(LEFT(L107,3)=$X$7,LEFT(M107,3)=$X$7)),"x","")</f>
        <v/>
      </c>
      <c r="Y107" s="525" t="str">
        <f>IF(OR(TH!L107=TH!$Y$7,M107=TH!$Y$7),"x","")</f>
        <v/>
      </c>
      <c r="Z107" s="525" t="str">
        <f>IF(AND(B107&lt;=NKC!$N$8,B107&gt;=NKC!$M$8),"x","")</f>
        <v/>
      </c>
      <c r="AA107" s="536"/>
      <c r="AD107" s="536"/>
    </row>
    <row r="108" spans="1:30" s="503" customFormat="1" ht="15.75" customHeight="1">
      <c r="A108" s="517" t="str">
        <f>IF(B108&lt;&gt;"",IF(AND(B108&gt;=_TM1,B108&lt;=_TM2,OR(TH!L108="1111",TH!M108="1111")),TH!D108,""),"")</f>
        <v/>
      </c>
      <c r="B108" s="531">
        <f t="shared" si="10"/>
        <v>6</v>
      </c>
      <c r="C108" s="671">
        <f t="shared" si="11"/>
        <v>42916</v>
      </c>
      <c r="D108" s="671" t="s">
        <v>476</v>
      </c>
      <c r="E108" s="672">
        <v>42916</v>
      </c>
      <c r="F108" s="673" t="s">
        <v>884</v>
      </c>
      <c r="G108" s="674"/>
      <c r="H108" s="675"/>
      <c r="I108" s="676"/>
      <c r="J108" s="676"/>
      <c r="K108" s="677">
        <f>ROUND(K99*$G107,0)</f>
        <v>118110</v>
      </c>
      <c r="L108" s="678" t="s">
        <v>158</v>
      </c>
      <c r="M108" s="680" t="s">
        <v>301</v>
      </c>
      <c r="N108" s="525" t="str">
        <f>IF(AND('331-CT'!$E$7=TH!H108,OR(L108="331",M108="331")),"331",IF(AND(OR(L108="131",M108="131"),H108='131-CT'!$E$7),"131",""))</f>
        <v/>
      </c>
      <c r="O108" s="525" t="str">
        <f>IF(AND($B108&gt;='111'!$N$11,$B108&lt;='111'!$O$11,OR($L108=$O$7,$M108=$O$7)),"x","")</f>
        <v/>
      </c>
      <c r="P108" s="525" t="str">
        <f>IF(AND($L108=$O$7,$B108&lt;'111'!$N$11),"x","")</f>
        <v/>
      </c>
      <c r="Q108" s="525" t="str">
        <f>IF(AND($M108=$O$7,$B108&lt;'111'!$N$11),"x","")</f>
        <v/>
      </c>
      <c r="R108" s="525" t="str">
        <f>IF(ISERROR(FIND('112'!$M$9,G108,1)),"",IF((AND(FIND('112'!$M$9,G108,1)&gt;=1,$B108&gt;='112'!$N$8,$B108&lt;='112'!$O$8,OR($L108='112'!$I$6,$M108='112'!$I$6))),"x",""))</f>
        <v/>
      </c>
      <c r="S108" s="525" t="str">
        <f>IF(ISERROR(FIND('112'!$M$9,G108,1)),"",IF((AND(LEFT(G108,2)=LEFT('112'!$M$9,2),B108&lt;'112'!$N$8,$L108='112'!$I$6)),"x",""))</f>
        <v/>
      </c>
      <c r="T108" s="525" t="str">
        <f>IF(ISERROR(FIND('112'!$M$9,G108,1)),"",IF((AND(RIGHT(G108,2)=RIGHT('112'!$M$9,2),B108&lt;'112'!$N$8,$M108='112'!$I$6)),"x",""))</f>
        <v/>
      </c>
      <c r="U108" s="525" t="str">
        <f>IF(AND(B108&gt;='IN-NX'!$P$3,B108&lt;='IN-NX'!$Q$3,'IN-NX'!$D$7=D108,OR(LEFT(L108,2)="15",AND(LEFT(M108,2)&lt;&gt;"15",LEFT(M108,2)&lt;&gt;"33"))),"x","")</f>
        <v/>
      </c>
      <c r="V108" s="525" t="str">
        <f>IF(AND(OR(LEFT(TH!L108,2)="15",LEFT(TH!M108,2)="15"),'152-CT'!$J$8=TH!F108),"x","")</f>
        <v/>
      </c>
      <c r="W108" s="525" t="str">
        <f>IF(AND(OR(LEFT(TH!L108,2)="15",LEFT(TH!M108,2)="15"),TK!$E$7=TH!F108),"x","")</f>
        <v/>
      </c>
      <c r="X108" s="525" t="str">
        <f>IF(AND('341-CT'!$E$9=H108,OR(LEFT(L108,3)=$X$7,LEFT(M108,3)=$X$7)),"x","")</f>
        <v/>
      </c>
      <c r="Y108" s="525" t="str">
        <f>IF(OR(TH!L108=TH!$Y$7,M108=TH!$Y$7),"x","")</f>
        <v/>
      </c>
      <c r="Z108" s="525" t="str">
        <f>IF(AND(B108&lt;=NKC!$N$8,B108&gt;=NKC!$M$8),"x","")</f>
        <v/>
      </c>
      <c r="AA108" s="536"/>
      <c r="AD108" s="536"/>
    </row>
    <row r="109" spans="1:30" s="503" customFormat="1" ht="15.75" customHeight="1">
      <c r="A109" s="517" t="str">
        <f>IF(B109&lt;&gt;"",IF(AND(B109&gt;=_TM1,B109&lt;=_TM2,OR(TH!L109="1111",TH!M109="1111")),TH!D109,""),"")</f>
        <v/>
      </c>
      <c r="B109" s="531">
        <f t="shared" si="10"/>
        <v>6</v>
      </c>
      <c r="C109" s="671">
        <f t="shared" si="11"/>
        <v>42916</v>
      </c>
      <c r="D109" s="679" t="s">
        <v>476</v>
      </c>
      <c r="E109" s="672">
        <v>42916</v>
      </c>
      <c r="F109" s="673" t="s">
        <v>885</v>
      </c>
      <c r="G109" s="674" t="s">
        <v>886</v>
      </c>
      <c r="H109" s="472"/>
      <c r="I109" s="676"/>
      <c r="J109" s="676"/>
      <c r="K109" s="677">
        <f>ROUND(K98*$G109,0)</f>
        <v>79495</v>
      </c>
      <c r="L109" s="680" t="s">
        <v>225</v>
      </c>
      <c r="M109" s="680" t="s">
        <v>305</v>
      </c>
      <c r="N109" s="525" t="str">
        <f>IF(AND('331-CT'!$E$7=TH!H109,OR(L109="331",M109="331")),"331",IF(AND(OR(L109="131",M109="131"),H109='131-CT'!$E$7),"131",""))</f>
        <v/>
      </c>
      <c r="O109" s="525" t="str">
        <f>IF(AND($B109&gt;='111'!$N$11,$B109&lt;='111'!$O$11,OR($L109=$O$7,$M109=$O$7)),"x","")</f>
        <v/>
      </c>
      <c r="P109" s="525" t="str">
        <f>IF(AND($L109=$O$7,$B109&lt;'111'!$N$11),"x","")</f>
        <v/>
      </c>
      <c r="Q109" s="525" t="str">
        <f>IF(AND($M109=$O$7,$B109&lt;'111'!$N$11),"x","")</f>
        <v/>
      </c>
      <c r="R109" s="525" t="str">
        <f>IF(ISERROR(FIND('112'!$M$9,G109,1)),"",IF((AND(FIND('112'!$M$9,G109,1)&gt;=1,$B109&gt;='112'!$N$8,$B109&lt;='112'!$O$8,OR($L109='112'!$I$6,$M109='112'!$I$6))),"x",""))</f>
        <v/>
      </c>
      <c r="S109" s="525" t="str">
        <f>IF(ISERROR(FIND('112'!$M$9,G109,1)),"",IF((AND(LEFT(G109,2)=LEFT('112'!$M$9,2),B109&lt;'112'!$N$8,$L109='112'!$I$6)),"x",""))</f>
        <v/>
      </c>
      <c r="T109" s="525" t="str">
        <f>IF(ISERROR(FIND('112'!$M$9,G109,1)),"",IF((AND(RIGHT(G109,2)=RIGHT('112'!$M$9,2),B109&lt;'112'!$N$8,$M109='112'!$I$6)),"x",""))</f>
        <v/>
      </c>
      <c r="U109" s="525" t="str">
        <f>IF(AND(B109&gt;='IN-NX'!$P$3,B109&lt;='IN-NX'!$Q$3,'IN-NX'!$D$7=D109,OR(LEFT(L109,2)="15",AND(LEFT(M109,2)&lt;&gt;"15",LEFT(M109,2)&lt;&gt;"33"))),"x","")</f>
        <v/>
      </c>
      <c r="V109" s="525" t="str">
        <f>IF(AND(OR(LEFT(TH!L109,2)="15",LEFT(TH!M109,2)="15"),'152-CT'!$J$8=TH!F109),"x","")</f>
        <v/>
      </c>
      <c r="W109" s="525" t="str">
        <f>IF(AND(OR(LEFT(TH!L109,2)="15",LEFT(TH!M109,2)="15"),TK!$E$7=TH!F109),"x","")</f>
        <v/>
      </c>
      <c r="X109" s="525" t="str">
        <f>IF(AND('341-CT'!$E$9=H109,OR(LEFT(L109,3)=$X$7,LEFT(M109,3)=$X$7)),"x","")</f>
        <v/>
      </c>
      <c r="Y109" s="525" t="str">
        <f>IF(OR(TH!L109=TH!$Y$7,M109=TH!$Y$7),"x","")</f>
        <v>x</v>
      </c>
      <c r="Z109" s="525" t="str">
        <f>IF(AND(B109&lt;=NKC!$N$8,B109&gt;=NKC!$M$8),"x","")</f>
        <v/>
      </c>
      <c r="AA109" s="536"/>
      <c r="AD109" s="536"/>
    </row>
    <row r="110" spans="1:30" s="503" customFormat="1" ht="15.75" customHeight="1">
      <c r="A110" s="517" t="str">
        <f>IF(B110&lt;&gt;"",IF(AND(B110&gt;=_TM1,B110&lt;=_TM2,OR(TH!L110="1111",TH!M110="1111")),TH!D110,""),"")</f>
        <v/>
      </c>
      <c r="B110" s="531">
        <f t="shared" si="10"/>
        <v>6</v>
      </c>
      <c r="C110" s="671">
        <f t="shared" si="11"/>
        <v>42916</v>
      </c>
      <c r="D110" s="671" t="s">
        <v>476</v>
      </c>
      <c r="E110" s="672">
        <v>42916</v>
      </c>
      <c r="F110" s="673" t="s">
        <v>887</v>
      </c>
      <c r="G110" s="674"/>
      <c r="H110" s="675"/>
      <c r="I110" s="676"/>
      <c r="J110" s="676"/>
      <c r="K110" s="677">
        <f>ROUND(K99*$G109,0)</f>
        <v>39370</v>
      </c>
      <c r="L110" s="680" t="s">
        <v>225</v>
      </c>
      <c r="M110" s="680" t="s">
        <v>305</v>
      </c>
      <c r="N110" s="525" t="str">
        <f>IF(AND('331-CT'!$E$7=TH!H110,OR(L110="331",M110="331")),"331",IF(AND(OR(L110="131",M110="131"),H110='131-CT'!$E$7),"131",""))</f>
        <v/>
      </c>
      <c r="O110" s="525" t="str">
        <f>IF(AND($B110&gt;='111'!$N$11,$B110&lt;='111'!$O$11,OR($L110=$O$7,$M110=$O$7)),"x","")</f>
        <v/>
      </c>
      <c r="P110" s="525" t="str">
        <f>IF(AND($L110=$O$7,$B110&lt;'111'!$N$11),"x","")</f>
        <v/>
      </c>
      <c r="Q110" s="525" t="str">
        <f>IF(AND($M110=$O$7,$B110&lt;'111'!$N$11),"x","")</f>
        <v/>
      </c>
      <c r="R110" s="525" t="str">
        <f>IF(ISERROR(FIND('112'!$M$9,G110,1)),"",IF((AND(FIND('112'!$M$9,G110,1)&gt;=1,$B110&gt;='112'!$N$8,$B110&lt;='112'!$O$8,OR($L110='112'!$I$6,$M110='112'!$I$6))),"x",""))</f>
        <v/>
      </c>
      <c r="S110" s="525" t="str">
        <f>IF(ISERROR(FIND('112'!$M$9,G110,1)),"",IF((AND(LEFT(G110,2)=LEFT('112'!$M$9,2),B110&lt;'112'!$N$8,$L110='112'!$I$6)),"x",""))</f>
        <v/>
      </c>
      <c r="T110" s="525" t="str">
        <f>IF(ISERROR(FIND('112'!$M$9,G110,1)),"",IF((AND(RIGHT(G110,2)=RIGHT('112'!$M$9,2),B110&lt;'112'!$N$8,$M110='112'!$I$6)),"x",""))</f>
        <v/>
      </c>
      <c r="U110" s="525" t="str">
        <f>IF(AND(B110&gt;='IN-NX'!$P$3,B110&lt;='IN-NX'!$Q$3,'IN-NX'!$D$7=D110,OR(LEFT(L110,2)="15",AND(LEFT(M110,2)&lt;&gt;"15",LEFT(M110,2)&lt;&gt;"33"))),"x","")</f>
        <v/>
      </c>
      <c r="V110" s="525" t="str">
        <f>IF(AND(OR(LEFT(TH!L110,2)="15",LEFT(TH!M110,2)="15"),'152-CT'!$J$8=TH!F110),"x","")</f>
        <v/>
      </c>
      <c r="W110" s="525" t="str">
        <f>IF(AND(OR(LEFT(TH!L110,2)="15",LEFT(TH!M110,2)="15"),TK!$E$7=TH!F110),"x","")</f>
        <v/>
      </c>
      <c r="X110" s="525" t="str">
        <f>IF(AND('341-CT'!$E$9=H110,OR(LEFT(L110,3)=$X$7,LEFT(M110,3)=$X$7)),"x","")</f>
        <v/>
      </c>
      <c r="Y110" s="525" t="str">
        <f>IF(OR(TH!L110=TH!$Y$7,M110=TH!$Y$7),"x","")</f>
        <v>x</v>
      </c>
      <c r="Z110" s="525" t="str">
        <f>IF(AND(B110&lt;=NKC!$N$8,B110&gt;=NKC!$M$8),"x","")</f>
        <v/>
      </c>
      <c r="AA110" s="536"/>
      <c r="AD110" s="536"/>
    </row>
    <row r="111" spans="1:30" s="503" customFormat="1" ht="15.75" customHeight="1">
      <c r="A111" s="517" t="str">
        <f>IF(B111&lt;&gt;"",IF(AND(B111&gt;=_TM1,B111&lt;=_TM2,OR(TH!L111="1111",TH!M111="1111")),TH!D111,""),"")</f>
        <v/>
      </c>
      <c r="B111" s="531">
        <f t="shared" si="10"/>
        <v>6</v>
      </c>
      <c r="C111" s="671">
        <f t="shared" si="11"/>
        <v>42916</v>
      </c>
      <c r="D111" s="671" t="s">
        <v>476</v>
      </c>
      <c r="E111" s="672">
        <v>42916</v>
      </c>
      <c r="F111" s="673" t="s">
        <v>888</v>
      </c>
      <c r="G111" s="674" t="s">
        <v>886</v>
      </c>
      <c r="H111" s="675"/>
      <c r="I111" s="676"/>
      <c r="J111" s="676"/>
      <c r="K111" s="677">
        <f>K109</f>
        <v>79495</v>
      </c>
      <c r="L111" s="680" t="s">
        <v>224</v>
      </c>
      <c r="M111" s="680" t="s">
        <v>305</v>
      </c>
      <c r="N111" s="525" t="str">
        <f>IF(AND('331-CT'!$E$7=TH!H111,OR(L111="331",M111="331")),"331",IF(AND(OR(L111="131",M111="131"),H111='131-CT'!$E$7),"131",""))</f>
        <v/>
      </c>
      <c r="O111" s="525" t="str">
        <f>IF(AND($B111&gt;='111'!$N$11,$B111&lt;='111'!$O$11,OR($L111=$O$7,$M111=$O$7)),"x","")</f>
        <v/>
      </c>
      <c r="P111" s="525" t="str">
        <f>IF(AND($L111=$O$7,$B111&lt;'111'!$N$11),"x","")</f>
        <v/>
      </c>
      <c r="Q111" s="525" t="str">
        <f>IF(AND($M111=$O$7,$B111&lt;'111'!$N$11),"x","")</f>
        <v/>
      </c>
      <c r="R111" s="525" t="str">
        <f>IF(ISERROR(FIND('112'!$M$9,G111,1)),"",IF((AND(FIND('112'!$M$9,G111,1)&gt;=1,$B111&gt;='112'!$N$8,$B111&lt;='112'!$O$8,OR($L111='112'!$I$6,$M111='112'!$I$6))),"x",""))</f>
        <v/>
      </c>
      <c r="S111" s="525" t="str">
        <f>IF(ISERROR(FIND('112'!$M$9,G111,1)),"",IF((AND(LEFT(G111,2)=LEFT('112'!$M$9,2),B111&lt;'112'!$N$8,$L111='112'!$I$6)),"x",""))</f>
        <v/>
      </c>
      <c r="T111" s="525" t="str">
        <f>IF(ISERROR(FIND('112'!$M$9,G111,1)),"",IF((AND(RIGHT(G111,2)=RIGHT('112'!$M$9,2),B111&lt;'112'!$N$8,$M111='112'!$I$6)),"x",""))</f>
        <v/>
      </c>
      <c r="U111" s="525" t="str">
        <f>IF(AND(B111&gt;='IN-NX'!$P$3,B111&lt;='IN-NX'!$Q$3,'IN-NX'!$D$7=D111,OR(LEFT(L111,2)="15",AND(LEFT(M111,2)&lt;&gt;"15",LEFT(M111,2)&lt;&gt;"33"))),"x","")</f>
        <v/>
      </c>
      <c r="V111" s="525" t="str">
        <f>IF(AND(OR(LEFT(TH!L111,2)="15",LEFT(TH!M111,2)="15"),'152-CT'!$J$8=TH!F111),"x","")</f>
        <v/>
      </c>
      <c r="W111" s="525" t="str">
        <f>IF(AND(OR(LEFT(TH!L111,2)="15",LEFT(TH!M111,2)="15"),TK!$E$7=TH!F111),"x","")</f>
        <v/>
      </c>
      <c r="X111" s="525" t="str">
        <f>IF(AND('341-CT'!$E$9=H111,OR(LEFT(L111,3)=$X$7,LEFT(M111,3)=$X$7)),"x","")</f>
        <v/>
      </c>
      <c r="Y111" s="525" t="str">
        <f>IF(OR(TH!L111=TH!$Y$7,M111=TH!$Y$7),"x","")</f>
        <v/>
      </c>
      <c r="Z111" s="525" t="str">
        <f>IF(AND(B111&lt;=NKC!$N$8,B111&gt;=NKC!$M$8),"x","")</f>
        <v/>
      </c>
      <c r="AA111" s="536"/>
      <c r="AD111" s="536"/>
    </row>
    <row r="112" spans="1:30" s="503" customFormat="1" ht="15.75" customHeight="1">
      <c r="A112" s="517" t="str">
        <f>IF(B112&lt;&gt;"",IF(AND(B112&gt;=_TM1,B112&lt;=_TM2,OR(TH!L112="1111",TH!M112="1111")),TH!D112,""),"")</f>
        <v/>
      </c>
      <c r="B112" s="531">
        <f t="shared" si="10"/>
        <v>6</v>
      </c>
      <c r="C112" s="671">
        <f t="shared" si="11"/>
        <v>42916</v>
      </c>
      <c r="D112" s="679" t="s">
        <v>476</v>
      </c>
      <c r="E112" s="672">
        <v>42916</v>
      </c>
      <c r="F112" s="673" t="s">
        <v>889</v>
      </c>
      <c r="G112" s="674"/>
      <c r="H112" s="472"/>
      <c r="I112" s="676"/>
      <c r="J112" s="676"/>
      <c r="K112" s="677">
        <f>K110</f>
        <v>39370</v>
      </c>
      <c r="L112" s="678" t="s">
        <v>158</v>
      </c>
      <c r="M112" s="680" t="s">
        <v>305</v>
      </c>
      <c r="N112" s="525" t="str">
        <f>IF(AND('331-CT'!$E$7=TH!H112,OR(L112="331",M112="331")),"331",IF(AND(OR(L112="131",M112="131"),H112='131-CT'!$E$7),"131",""))</f>
        <v/>
      </c>
      <c r="O112" s="525" t="str">
        <f>IF(AND($B112&gt;='111'!$N$11,$B112&lt;='111'!$O$11,OR($L112=$O$7,$M112=$O$7)),"x","")</f>
        <v/>
      </c>
      <c r="P112" s="525" t="str">
        <f>IF(AND($L112=$O$7,$B112&lt;'111'!$N$11),"x","")</f>
        <v/>
      </c>
      <c r="Q112" s="525" t="str">
        <f>IF(AND($M112=$O$7,$B112&lt;'111'!$N$11),"x","")</f>
        <v/>
      </c>
      <c r="R112" s="525" t="str">
        <f>IF(ISERROR(FIND('112'!$M$9,G112,1)),"",IF((AND(FIND('112'!$M$9,G112,1)&gt;=1,$B112&gt;='112'!$N$8,$B112&lt;='112'!$O$8,OR($L112='112'!$I$6,$M112='112'!$I$6))),"x",""))</f>
        <v/>
      </c>
      <c r="S112" s="525" t="str">
        <f>IF(ISERROR(FIND('112'!$M$9,G112,1)),"",IF((AND(LEFT(G112,2)=LEFT('112'!$M$9,2),B112&lt;'112'!$N$8,$L112='112'!$I$6)),"x",""))</f>
        <v/>
      </c>
      <c r="T112" s="525" t="str">
        <f>IF(ISERROR(FIND('112'!$M$9,G112,1)),"",IF((AND(RIGHT(G112,2)=RIGHT('112'!$M$9,2),B112&lt;'112'!$N$8,$M112='112'!$I$6)),"x",""))</f>
        <v/>
      </c>
      <c r="U112" s="525" t="str">
        <f>IF(AND(B112&gt;='IN-NX'!$P$3,B112&lt;='IN-NX'!$Q$3,'IN-NX'!$D$7=D112,OR(LEFT(L112,2)="15",AND(LEFT(M112,2)&lt;&gt;"15",LEFT(M112,2)&lt;&gt;"33"))),"x","")</f>
        <v/>
      </c>
      <c r="V112" s="525" t="str">
        <f>IF(AND(OR(LEFT(TH!L112,2)="15",LEFT(TH!M112,2)="15"),'152-CT'!$J$8=TH!F112),"x","")</f>
        <v/>
      </c>
      <c r="W112" s="525" t="str">
        <f>IF(AND(OR(LEFT(TH!L112,2)="15",LEFT(TH!M112,2)="15"),TK!$E$7=TH!F112),"x","")</f>
        <v/>
      </c>
      <c r="X112" s="525" t="str">
        <f>IF(AND('341-CT'!$E$9=H112,OR(LEFT(L112,3)=$X$7,LEFT(M112,3)=$X$7)),"x","")</f>
        <v/>
      </c>
      <c r="Y112" s="525" t="str">
        <f>IF(OR(TH!L112=TH!$Y$7,M112=TH!$Y$7),"x","")</f>
        <v/>
      </c>
      <c r="Z112" s="525" t="str">
        <f>IF(AND(B112&lt;=NKC!$N$8,B112&gt;=NKC!$M$8),"x","")</f>
        <v/>
      </c>
      <c r="AA112" s="536"/>
      <c r="AD112" s="536"/>
    </row>
    <row r="113" spans="1:30" s="503" customFormat="1" ht="15.75" customHeight="1">
      <c r="A113" s="517" t="str">
        <f>IF(B113&lt;&gt;"",IF(AND(B113&gt;=_TM1,B113&lt;=_TM2,OR(TH!L113="1111",TH!M113="1111")),TH!D113,""),"")</f>
        <v/>
      </c>
      <c r="B113" s="531">
        <f t="shared" ref="B113:B127" si="12">IF(C113&lt;&gt;"",MONTH(C113),"")</f>
        <v>7</v>
      </c>
      <c r="C113" s="671">
        <f t="shared" ref="C113:C127" si="13">E113</f>
        <v>42947</v>
      </c>
      <c r="D113" s="671" t="s">
        <v>476</v>
      </c>
      <c r="E113" s="672">
        <v>42947</v>
      </c>
      <c r="F113" s="673" t="s">
        <v>870</v>
      </c>
      <c r="G113" s="674"/>
      <c r="H113" s="675"/>
      <c r="I113" s="676"/>
      <c r="J113" s="676"/>
      <c r="K113" s="674">
        <v>7949500</v>
      </c>
      <c r="L113" s="678" t="s">
        <v>81</v>
      </c>
      <c r="M113" s="678" t="s">
        <v>225</v>
      </c>
      <c r="N113" s="525" t="str">
        <f>IF(AND('331-CT'!$E$7=TH!H113,OR(L113="331",M113="331")),"331",IF(AND(OR(L113="131",M113="131"),H113='131-CT'!$E$7),"131",""))</f>
        <v/>
      </c>
      <c r="O113" s="525" t="str">
        <f>IF(AND($B113&gt;='111'!$N$11,$B113&lt;='111'!$O$11,OR($L113=$O$7,$M113=$O$7)),"x","")</f>
        <v/>
      </c>
      <c r="P113" s="525" t="str">
        <f>IF(AND($L113=$O$7,$B113&lt;'111'!$N$11),"x","")</f>
        <v/>
      </c>
      <c r="Q113" s="525" t="str">
        <f>IF(AND($M113=$O$7,$B113&lt;'111'!$N$11),"x","")</f>
        <v/>
      </c>
      <c r="R113" s="525" t="str">
        <f>IF(ISERROR(FIND('112'!$M$9,G113,1)),"",IF((AND(FIND('112'!$M$9,G113,1)&gt;=1,$B113&gt;='112'!$N$8,$B113&lt;='112'!$O$8,OR($L113='112'!$I$6,$M113='112'!$I$6))),"x",""))</f>
        <v/>
      </c>
      <c r="S113" s="525" t="str">
        <f>IF(ISERROR(FIND('112'!$M$9,G113,1)),"",IF((AND(LEFT(G113,2)=LEFT('112'!$M$9,2),B113&lt;'112'!$N$8,$L113='112'!$I$6)),"x",""))</f>
        <v/>
      </c>
      <c r="T113" s="525" t="str">
        <f>IF(ISERROR(FIND('112'!$M$9,G113,1)),"",IF((AND(RIGHT(G113,2)=RIGHT('112'!$M$9,2),B113&lt;'112'!$N$8,$M113='112'!$I$6)),"x",""))</f>
        <v/>
      </c>
      <c r="U113" s="525" t="str">
        <f>IF(AND(B113&gt;='IN-NX'!$P$3,B113&lt;='IN-NX'!$Q$3,'IN-NX'!$D$7=D113,OR(LEFT(L113,2)="15",AND(LEFT(M113,2)&lt;&gt;"15",LEFT(M113,2)&lt;&gt;"33"))),"x","")</f>
        <v/>
      </c>
      <c r="V113" s="525" t="str">
        <f>IF(AND(OR(LEFT(TH!L113,2)="15",LEFT(TH!M113,2)="15"),'152-CT'!$J$8=TH!F113),"x","")</f>
        <v/>
      </c>
      <c r="W113" s="525" t="str">
        <f>IF(AND(OR(LEFT(TH!L113,2)="15",LEFT(TH!M113,2)="15"),TK!$E$7=TH!F113),"x","")</f>
        <v/>
      </c>
      <c r="X113" s="525" t="str">
        <f>IF(AND('341-CT'!$E$9=H113,OR(LEFT(L113,3)=$X$7,LEFT(M113,3)=$X$7)),"x","")</f>
        <v/>
      </c>
      <c r="Y113" s="525" t="str">
        <f>IF(OR(TH!L113=TH!$Y$7,M113=TH!$Y$7),"x","")</f>
        <v>x</v>
      </c>
      <c r="Z113" s="525" t="str">
        <f>IF(AND(B113&lt;=NKC!$N$8,B113&gt;=NKC!$M$8),"x","")</f>
        <v/>
      </c>
      <c r="AA113" s="536"/>
      <c r="AD113" s="536"/>
    </row>
    <row r="114" spans="1:30" s="503" customFormat="1" ht="15.75" customHeight="1">
      <c r="A114" s="517" t="str">
        <f>IF(B114&lt;&gt;"",IF(AND(B114&gt;=_TM1,B114&lt;=_TM2,OR(TH!L114="1111",TH!M114="1111")),TH!D114,""),"")</f>
        <v/>
      </c>
      <c r="B114" s="531">
        <f t="shared" si="12"/>
        <v>7</v>
      </c>
      <c r="C114" s="671">
        <f t="shared" si="13"/>
        <v>42947</v>
      </c>
      <c r="D114" s="671" t="s">
        <v>476</v>
      </c>
      <c r="E114" s="672">
        <v>42947</v>
      </c>
      <c r="F114" s="673" t="s">
        <v>871</v>
      </c>
      <c r="G114" s="674"/>
      <c r="H114" s="675"/>
      <c r="I114" s="676"/>
      <c r="J114" s="676"/>
      <c r="K114" s="674">
        <v>3937000</v>
      </c>
      <c r="L114" s="678" t="s">
        <v>158</v>
      </c>
      <c r="M114" s="678" t="s">
        <v>225</v>
      </c>
      <c r="N114" s="525" t="str">
        <f>IF(AND('331-CT'!$E$7=TH!H114,OR(L114="331",M114="331")),"331",IF(AND(OR(L114="131",M114="131"),H114='131-CT'!$E$7),"131",""))</f>
        <v/>
      </c>
      <c r="O114" s="525" t="str">
        <f>IF(AND($B114&gt;='111'!$N$11,$B114&lt;='111'!$O$11,OR($L114=$O$7,$M114=$O$7)),"x","")</f>
        <v/>
      </c>
      <c r="P114" s="525" t="str">
        <f>IF(AND($L114=$O$7,$B114&lt;'111'!$N$11),"x","")</f>
        <v/>
      </c>
      <c r="Q114" s="525" t="str">
        <f>IF(AND($M114=$O$7,$B114&lt;'111'!$N$11),"x","")</f>
        <v/>
      </c>
      <c r="R114" s="525" t="str">
        <f>IF(ISERROR(FIND('112'!$M$9,G114,1)),"",IF((AND(FIND('112'!$M$9,G114,1)&gt;=1,$B114&gt;='112'!$N$8,$B114&lt;='112'!$O$8,OR($L114='112'!$I$6,$M114='112'!$I$6))),"x",""))</f>
        <v/>
      </c>
      <c r="S114" s="525" t="str">
        <f>IF(ISERROR(FIND('112'!$M$9,G114,1)),"",IF((AND(LEFT(G114,2)=LEFT('112'!$M$9,2),B114&lt;'112'!$N$8,$L114='112'!$I$6)),"x",""))</f>
        <v/>
      </c>
      <c r="T114" s="525" t="str">
        <f>IF(ISERROR(FIND('112'!$M$9,G114,1)),"",IF((AND(RIGHT(G114,2)=RIGHT('112'!$M$9,2),B114&lt;'112'!$N$8,$M114='112'!$I$6)),"x",""))</f>
        <v/>
      </c>
      <c r="U114" s="525" t="str">
        <f>IF(AND(B114&gt;='IN-NX'!$P$3,B114&lt;='IN-NX'!$Q$3,'IN-NX'!$D$7=D114,OR(LEFT(L114,2)="15",AND(LEFT(M114,2)&lt;&gt;"15",LEFT(M114,2)&lt;&gt;"33"))),"x","")</f>
        <v/>
      </c>
      <c r="V114" s="525" t="str">
        <f>IF(AND(OR(LEFT(TH!L114,2)="15",LEFT(TH!M114,2)="15"),'152-CT'!$J$8=TH!F114),"x","")</f>
        <v/>
      </c>
      <c r="W114" s="525" t="str">
        <f>IF(AND(OR(LEFT(TH!L114,2)="15",LEFT(TH!M114,2)="15"),TK!$E$7=TH!F114),"x","")</f>
        <v/>
      </c>
      <c r="X114" s="525" t="str">
        <f>IF(AND('341-CT'!$E$9=H114,OR(LEFT(L114,3)=$X$7,LEFT(M114,3)=$X$7)),"x","")</f>
        <v/>
      </c>
      <c r="Y114" s="525" t="str">
        <f>IF(OR(TH!L114=TH!$Y$7,M114=TH!$Y$7),"x","")</f>
        <v>x</v>
      </c>
      <c r="Z114" s="525" t="str">
        <f>IF(AND(B114&lt;=NKC!$N$8,B114&gt;=NKC!$M$8),"x","")</f>
        <v/>
      </c>
      <c r="AA114" s="536"/>
      <c r="AD114" s="536"/>
    </row>
    <row r="115" spans="1:30" s="503" customFormat="1" ht="15.75" customHeight="1">
      <c r="A115" s="517" t="str">
        <f>IF(B115&lt;&gt;"",IF(AND(B115&gt;=_TM1,B115&lt;=_TM2,OR(TH!L115="1111",TH!M115="1111")),TH!D115,""),"")</f>
        <v/>
      </c>
      <c r="B115" s="531">
        <f t="shared" si="12"/>
        <v>7</v>
      </c>
      <c r="C115" s="671">
        <f t="shared" si="13"/>
        <v>42947</v>
      </c>
      <c r="D115" s="679" t="s">
        <v>872</v>
      </c>
      <c r="E115" s="672">
        <v>42947</v>
      </c>
      <c r="F115" s="673" t="s">
        <v>1352</v>
      </c>
      <c r="G115" s="674"/>
      <c r="H115" s="472" t="s">
        <v>460</v>
      </c>
      <c r="I115" s="676"/>
      <c r="J115" s="676"/>
      <c r="K115" s="677">
        <v>10638417</v>
      </c>
      <c r="L115" s="678" t="s">
        <v>225</v>
      </c>
      <c r="M115" s="678" t="s">
        <v>45</v>
      </c>
      <c r="N115" s="525" t="str">
        <f>IF(AND('331-CT'!$E$7=TH!H115,OR(L115="331",M115="331")),"331",IF(AND(OR(L115="131",M115="131"),H115='131-CT'!$E$7),"131",""))</f>
        <v/>
      </c>
      <c r="O115" s="525" t="str">
        <f>IF(AND($B115&gt;='111'!$N$11,$B115&lt;='111'!$O$11,OR($L115=$O$7,$M115=$O$7)),"x","")</f>
        <v/>
      </c>
      <c r="P115" s="525" t="str">
        <f>IF(AND($L115=$O$7,$B115&lt;'111'!$N$11),"x","")</f>
        <v/>
      </c>
      <c r="Q115" s="525" t="str">
        <f>IF(AND($M115=$O$7,$B115&lt;'111'!$N$11),"x","")</f>
        <v>x</v>
      </c>
      <c r="R115" s="525" t="str">
        <f>IF(ISERROR(FIND('112'!$M$9,G115,1)),"",IF((AND(FIND('112'!$M$9,G115,1)&gt;=1,$B115&gt;='112'!$N$8,$B115&lt;='112'!$O$8,OR($L115='112'!$I$6,$M115='112'!$I$6))),"x",""))</f>
        <v/>
      </c>
      <c r="S115" s="525" t="str">
        <f>IF(ISERROR(FIND('112'!$M$9,G115,1)),"",IF((AND(LEFT(G115,2)=LEFT('112'!$M$9,2),B115&lt;'112'!$N$8,$L115='112'!$I$6)),"x",""))</f>
        <v/>
      </c>
      <c r="T115" s="525" t="str">
        <f>IF(ISERROR(FIND('112'!$M$9,G115,1)),"",IF((AND(RIGHT(G115,2)=RIGHT('112'!$M$9,2),B115&lt;'112'!$N$8,$M115='112'!$I$6)),"x",""))</f>
        <v/>
      </c>
      <c r="U115" s="525" t="str">
        <f>IF(AND(B115&gt;='IN-NX'!$P$3,B115&lt;='IN-NX'!$Q$3,'IN-NX'!$D$7=D115,OR(LEFT(L115,2)="15",AND(LEFT(M115,2)&lt;&gt;"15",LEFT(M115,2)&lt;&gt;"33"))),"x","")</f>
        <v/>
      </c>
      <c r="V115" s="525" t="str">
        <f>IF(AND(OR(LEFT(TH!L115,2)="15",LEFT(TH!M115,2)="15"),'152-CT'!$J$8=TH!F115),"x","")</f>
        <v/>
      </c>
      <c r="W115" s="525" t="str">
        <f>IF(AND(OR(LEFT(TH!L115,2)="15",LEFT(TH!M115,2)="15"),TK!$E$7=TH!F115),"x","")</f>
        <v/>
      </c>
      <c r="X115" s="525" t="str">
        <f>IF(AND('341-CT'!$E$9=H115,OR(LEFT(L115,3)=$X$7,LEFT(M115,3)=$X$7)),"x","")</f>
        <v/>
      </c>
      <c r="Y115" s="525" t="str">
        <f>IF(OR(TH!L115=TH!$Y$7,M115=TH!$Y$7),"x","")</f>
        <v>x</v>
      </c>
      <c r="Z115" s="525" t="str">
        <f>IF(AND(B115&lt;=NKC!$N$8,B115&gt;=NKC!$M$8),"x","")</f>
        <v/>
      </c>
      <c r="AA115" s="536"/>
      <c r="AD115" s="536"/>
    </row>
    <row r="116" spans="1:30" s="503" customFormat="1" ht="15.75" customHeight="1">
      <c r="A116" s="517" t="str">
        <f>IF(B116&lt;&gt;"",IF(AND(B116&gt;=_TM1,B116&lt;=_TM2,OR(TH!L116="1111",TH!M116="1111")),TH!D116,""),"")</f>
        <v/>
      </c>
      <c r="B116" s="531">
        <f t="shared" si="12"/>
        <v>7</v>
      </c>
      <c r="C116" s="671">
        <f t="shared" si="13"/>
        <v>42947</v>
      </c>
      <c r="D116" s="671" t="s">
        <v>476</v>
      </c>
      <c r="E116" s="672">
        <v>42947</v>
      </c>
      <c r="F116" s="673" t="s">
        <v>873</v>
      </c>
      <c r="G116" s="674" t="s">
        <v>874</v>
      </c>
      <c r="H116" s="675"/>
      <c r="I116" s="676"/>
      <c r="J116" s="676"/>
      <c r="K116" s="677">
        <f>ROUND(K113*$G116,0)</f>
        <v>635960</v>
      </c>
      <c r="L116" s="680" t="s">
        <v>225</v>
      </c>
      <c r="M116" s="680" t="s">
        <v>302</v>
      </c>
      <c r="N116" s="525" t="str">
        <f>IF(AND('331-CT'!$E$7=TH!H116,OR(L116="331",M116="331")),"331",IF(AND(OR(L116="131",M116="131"),H116='131-CT'!$E$7),"131",""))</f>
        <v/>
      </c>
      <c r="O116" s="525" t="str">
        <f>IF(AND($B116&gt;='111'!$N$11,$B116&lt;='111'!$O$11,OR($L116=$O$7,$M116=$O$7)),"x","")</f>
        <v/>
      </c>
      <c r="P116" s="525" t="str">
        <f>IF(AND($L116=$O$7,$B116&lt;'111'!$N$11),"x","")</f>
        <v/>
      </c>
      <c r="Q116" s="525" t="str">
        <f>IF(AND($M116=$O$7,$B116&lt;'111'!$N$11),"x","")</f>
        <v/>
      </c>
      <c r="R116" s="525" t="str">
        <f>IF(ISERROR(FIND('112'!$M$9,G116,1)),"",IF((AND(FIND('112'!$M$9,G116,1)&gt;=1,$B116&gt;='112'!$N$8,$B116&lt;='112'!$O$8,OR($L116='112'!$I$6,$M116='112'!$I$6))),"x",""))</f>
        <v/>
      </c>
      <c r="S116" s="525" t="str">
        <f>IF(ISERROR(FIND('112'!$M$9,G116,1)),"",IF((AND(LEFT(G116,2)=LEFT('112'!$M$9,2),B116&lt;'112'!$N$8,$L116='112'!$I$6)),"x",""))</f>
        <v/>
      </c>
      <c r="T116" s="525" t="str">
        <f>IF(ISERROR(FIND('112'!$M$9,G116,1)),"",IF((AND(RIGHT(G116,2)=RIGHT('112'!$M$9,2),B116&lt;'112'!$N$8,$M116='112'!$I$6)),"x",""))</f>
        <v/>
      </c>
      <c r="U116" s="525" t="str">
        <f>IF(AND(B116&gt;='IN-NX'!$P$3,B116&lt;='IN-NX'!$Q$3,'IN-NX'!$D$7=D116,OR(LEFT(L116,2)="15",AND(LEFT(M116,2)&lt;&gt;"15",LEFT(M116,2)&lt;&gt;"33"))),"x","")</f>
        <v/>
      </c>
      <c r="V116" s="525" t="str">
        <f>IF(AND(OR(LEFT(TH!L116,2)="15",LEFT(TH!M116,2)="15"),'152-CT'!$J$8=TH!F116),"x","")</f>
        <v/>
      </c>
      <c r="W116" s="525" t="str">
        <f>IF(AND(OR(LEFT(TH!L116,2)="15",LEFT(TH!M116,2)="15"),TK!$E$7=TH!F116),"x","")</f>
        <v/>
      </c>
      <c r="X116" s="525" t="str">
        <f>IF(AND('341-CT'!$E$9=H116,OR(LEFT(L116,3)=$X$7,LEFT(M116,3)=$X$7)),"x","")</f>
        <v/>
      </c>
      <c r="Y116" s="525" t="str">
        <f>IF(OR(TH!L116=TH!$Y$7,M116=TH!$Y$7),"x","")</f>
        <v>x</v>
      </c>
      <c r="Z116" s="525" t="str">
        <f>IF(AND(B116&lt;=NKC!$N$8,B116&gt;=NKC!$M$8),"x","")</f>
        <v/>
      </c>
      <c r="AA116" s="536"/>
      <c r="AD116" s="536"/>
    </row>
    <row r="117" spans="1:30" s="503" customFormat="1" ht="15.75" customHeight="1">
      <c r="A117" s="517" t="str">
        <f>IF(B117&lt;&gt;"",IF(AND(B117&gt;=_TM1,B117&lt;=_TM2,OR(TH!L117="1111",TH!M117="1111")),TH!D117,""),"")</f>
        <v/>
      </c>
      <c r="B117" s="531">
        <f t="shared" si="12"/>
        <v>7</v>
      </c>
      <c r="C117" s="671">
        <f t="shared" si="13"/>
        <v>42947</v>
      </c>
      <c r="D117" s="671" t="s">
        <v>476</v>
      </c>
      <c r="E117" s="672">
        <v>42947</v>
      </c>
      <c r="F117" s="673" t="s">
        <v>875</v>
      </c>
      <c r="G117" s="674"/>
      <c r="H117" s="675"/>
      <c r="I117" s="676"/>
      <c r="J117" s="676"/>
      <c r="K117" s="677">
        <f>ROUND(G116*K114,0)</f>
        <v>314960</v>
      </c>
      <c r="L117" s="678" t="s">
        <v>225</v>
      </c>
      <c r="M117" s="681" t="s">
        <v>302</v>
      </c>
      <c r="N117" s="525" t="str">
        <f>IF(AND('331-CT'!$E$7=TH!H117,OR(L117="331",M117="331")),"331",IF(AND(OR(L117="131",M117="131"),H117='131-CT'!$E$7),"131",""))</f>
        <v/>
      </c>
      <c r="O117" s="525" t="str">
        <f>IF(AND($B117&gt;='111'!$N$11,$B117&lt;='111'!$O$11,OR($L117=$O$7,$M117=$O$7)),"x","")</f>
        <v/>
      </c>
      <c r="P117" s="525" t="str">
        <f>IF(AND($L117=$O$7,$B117&lt;'111'!$N$11),"x","")</f>
        <v/>
      </c>
      <c r="Q117" s="525" t="str">
        <f>IF(AND($M117=$O$7,$B117&lt;'111'!$N$11),"x","")</f>
        <v/>
      </c>
      <c r="R117" s="525" t="str">
        <f>IF(ISERROR(FIND('112'!$M$9,G117,1)),"",IF((AND(FIND('112'!$M$9,G117,1)&gt;=1,$B117&gt;='112'!$N$8,$B117&lt;='112'!$O$8,OR($L117='112'!$I$6,$M117='112'!$I$6))),"x",""))</f>
        <v/>
      </c>
      <c r="S117" s="525" t="str">
        <f>IF(ISERROR(FIND('112'!$M$9,G117,1)),"",IF((AND(LEFT(G117,2)=LEFT('112'!$M$9,2),B117&lt;'112'!$N$8,$L117='112'!$I$6)),"x",""))</f>
        <v/>
      </c>
      <c r="T117" s="525" t="str">
        <f>IF(ISERROR(FIND('112'!$M$9,G117,1)),"",IF((AND(RIGHT(G117,2)=RIGHT('112'!$M$9,2),B117&lt;'112'!$N$8,$M117='112'!$I$6)),"x",""))</f>
        <v/>
      </c>
      <c r="U117" s="525" t="str">
        <f>IF(AND(B117&gt;='IN-NX'!$P$3,B117&lt;='IN-NX'!$Q$3,'IN-NX'!$D$7=D117,OR(LEFT(L117,2)="15",AND(LEFT(M117,2)&lt;&gt;"15",LEFT(M117,2)&lt;&gt;"33"))),"x","")</f>
        <v/>
      </c>
      <c r="V117" s="525" t="str">
        <f>IF(AND(OR(LEFT(TH!L117,2)="15",LEFT(TH!M117,2)="15"),'152-CT'!$J$8=TH!F117),"x","")</f>
        <v/>
      </c>
      <c r="W117" s="525" t="str">
        <f>IF(AND(OR(LEFT(TH!L117,2)="15",LEFT(TH!M117,2)="15"),TK!$E$7=TH!F117),"x","")</f>
        <v/>
      </c>
      <c r="X117" s="525" t="str">
        <f>IF(AND('341-CT'!$E$9=H117,OR(LEFT(L117,3)=$X$7,LEFT(M117,3)=$X$7)),"x","")</f>
        <v/>
      </c>
      <c r="Y117" s="525" t="str">
        <f>IF(OR(TH!L117=TH!$Y$7,M117=TH!$Y$7),"x","")</f>
        <v>x</v>
      </c>
      <c r="Z117" s="525" t="str">
        <f>IF(AND(B117&lt;=NKC!$N$8,B117&gt;=NKC!$M$8),"x","")</f>
        <v/>
      </c>
      <c r="AA117" s="536"/>
      <c r="AD117" s="536"/>
    </row>
    <row r="118" spans="1:30" s="503" customFormat="1" ht="15.75" customHeight="1">
      <c r="A118" s="517" t="str">
        <f>IF(B118&lt;&gt;"",IF(AND(B118&gt;=_TM1,B118&lt;=_TM2,OR(TH!L118="1111",TH!M118="1111")),TH!D118,""),"")</f>
        <v/>
      </c>
      <c r="B118" s="531">
        <f t="shared" si="12"/>
        <v>7</v>
      </c>
      <c r="C118" s="671">
        <f t="shared" si="13"/>
        <v>42947</v>
      </c>
      <c r="D118" s="679" t="s">
        <v>476</v>
      </c>
      <c r="E118" s="672">
        <v>42947</v>
      </c>
      <c r="F118" s="673" t="s">
        <v>876</v>
      </c>
      <c r="G118" s="674" t="s">
        <v>877</v>
      </c>
      <c r="H118" s="472"/>
      <c r="I118" s="676"/>
      <c r="J118" s="676"/>
      <c r="K118" s="677">
        <f>ROUND(K113*$G118,0)</f>
        <v>1430910</v>
      </c>
      <c r="L118" s="680" t="s">
        <v>224</v>
      </c>
      <c r="M118" s="680" t="s">
        <v>302</v>
      </c>
      <c r="N118" s="525" t="str">
        <f>IF(AND('331-CT'!$E$7=TH!H118,OR(L118="331",M118="331")),"331",IF(AND(OR(L118="131",M118="131"),H118='131-CT'!$E$7),"131",""))</f>
        <v/>
      </c>
      <c r="O118" s="525" t="str">
        <f>IF(AND($B118&gt;='111'!$N$11,$B118&lt;='111'!$O$11,OR($L118=$O$7,$M118=$O$7)),"x","")</f>
        <v/>
      </c>
      <c r="P118" s="525" t="str">
        <f>IF(AND($L118=$O$7,$B118&lt;'111'!$N$11),"x","")</f>
        <v/>
      </c>
      <c r="Q118" s="525" t="str">
        <f>IF(AND($M118=$O$7,$B118&lt;'111'!$N$11),"x","")</f>
        <v/>
      </c>
      <c r="R118" s="525" t="str">
        <f>IF(ISERROR(FIND('112'!$M$9,G118,1)),"",IF((AND(FIND('112'!$M$9,G118,1)&gt;=1,$B118&gt;='112'!$N$8,$B118&lt;='112'!$O$8,OR($L118='112'!$I$6,$M118='112'!$I$6))),"x",""))</f>
        <v/>
      </c>
      <c r="S118" s="525" t="str">
        <f>IF(ISERROR(FIND('112'!$M$9,G118,1)),"",IF((AND(LEFT(G118,2)=LEFT('112'!$M$9,2),B118&lt;'112'!$N$8,$L118='112'!$I$6)),"x",""))</f>
        <v/>
      </c>
      <c r="T118" s="525" t="str">
        <f>IF(ISERROR(FIND('112'!$M$9,G118,1)),"",IF((AND(RIGHT(G118,2)=RIGHT('112'!$M$9,2),B118&lt;'112'!$N$8,$M118='112'!$I$6)),"x",""))</f>
        <v/>
      </c>
      <c r="U118" s="525" t="str">
        <f>IF(AND(B118&gt;='IN-NX'!$P$3,B118&lt;='IN-NX'!$Q$3,'IN-NX'!$D$7=D118,OR(LEFT(L118,2)="15",AND(LEFT(M118,2)&lt;&gt;"15",LEFT(M118,2)&lt;&gt;"33"))),"x","")</f>
        <v/>
      </c>
      <c r="V118" s="525" t="str">
        <f>IF(AND(OR(LEFT(TH!L118,2)="15",LEFT(TH!M118,2)="15"),'152-CT'!$J$8=TH!F118),"x","")</f>
        <v/>
      </c>
      <c r="W118" s="525" t="str">
        <f>IF(AND(OR(LEFT(TH!L118,2)="15",LEFT(TH!M118,2)="15"),TK!$E$7=TH!F118),"x","")</f>
        <v/>
      </c>
      <c r="X118" s="525" t="str">
        <f>IF(AND('341-CT'!$E$9=H118,OR(LEFT(L118,3)=$X$7,LEFT(M118,3)=$X$7)),"x","")</f>
        <v/>
      </c>
      <c r="Y118" s="525" t="str">
        <f>IF(OR(TH!L118=TH!$Y$7,M118=TH!$Y$7),"x","")</f>
        <v/>
      </c>
      <c r="Z118" s="525" t="str">
        <f>IF(AND(B118&lt;=NKC!$N$8,B118&gt;=NKC!$M$8),"x","")</f>
        <v/>
      </c>
      <c r="AA118" s="536"/>
      <c r="AD118" s="536"/>
    </row>
    <row r="119" spans="1:30" s="503" customFormat="1" ht="15.75" customHeight="1">
      <c r="A119" s="517" t="str">
        <f>IF(B119&lt;&gt;"",IF(AND(B119&gt;=_TM1,B119&lt;=_TM2,OR(TH!L119="1111",TH!M119="1111")),TH!D119,""),"")</f>
        <v/>
      </c>
      <c r="B119" s="531">
        <f t="shared" si="12"/>
        <v>7</v>
      </c>
      <c r="C119" s="671">
        <f t="shared" si="13"/>
        <v>42947</v>
      </c>
      <c r="D119" s="671" t="s">
        <v>476</v>
      </c>
      <c r="E119" s="672">
        <v>42947</v>
      </c>
      <c r="F119" s="673" t="s">
        <v>878</v>
      </c>
      <c r="G119" s="674"/>
      <c r="H119" s="675"/>
      <c r="I119" s="676"/>
      <c r="J119" s="676"/>
      <c r="K119" s="677">
        <f>ROUND(K114*$G118,0)</f>
        <v>708660</v>
      </c>
      <c r="L119" s="678" t="s">
        <v>158</v>
      </c>
      <c r="M119" s="680" t="s">
        <v>302</v>
      </c>
      <c r="N119" s="525" t="str">
        <f>IF(AND('331-CT'!$E$7=TH!H119,OR(L119="331",M119="331")),"331",IF(AND(OR(L119="131",M119="131"),H119='131-CT'!$E$7),"131",""))</f>
        <v/>
      </c>
      <c r="O119" s="525" t="str">
        <f>IF(AND($B119&gt;='111'!$N$11,$B119&lt;='111'!$O$11,OR($L119=$O$7,$M119=$O$7)),"x","")</f>
        <v/>
      </c>
      <c r="P119" s="525" t="str">
        <f>IF(AND($L119=$O$7,$B119&lt;'111'!$N$11),"x","")</f>
        <v/>
      </c>
      <c r="Q119" s="525" t="str">
        <f>IF(AND($M119=$O$7,$B119&lt;'111'!$N$11),"x","")</f>
        <v/>
      </c>
      <c r="R119" s="525" t="str">
        <f>IF(ISERROR(FIND('112'!$M$9,G119,1)),"",IF((AND(FIND('112'!$M$9,G119,1)&gt;=1,$B119&gt;='112'!$N$8,$B119&lt;='112'!$O$8,OR($L119='112'!$I$6,$M119='112'!$I$6))),"x",""))</f>
        <v/>
      </c>
      <c r="S119" s="525" t="str">
        <f>IF(ISERROR(FIND('112'!$M$9,G119,1)),"",IF((AND(LEFT(G119,2)=LEFT('112'!$M$9,2),B119&lt;'112'!$N$8,$L119='112'!$I$6)),"x",""))</f>
        <v/>
      </c>
      <c r="T119" s="525" t="str">
        <f>IF(ISERROR(FIND('112'!$M$9,G119,1)),"",IF((AND(RIGHT(G119,2)=RIGHT('112'!$M$9,2),B119&lt;'112'!$N$8,$M119='112'!$I$6)),"x",""))</f>
        <v/>
      </c>
      <c r="U119" s="525" t="str">
        <f>IF(AND(B119&gt;='IN-NX'!$P$3,B119&lt;='IN-NX'!$Q$3,'IN-NX'!$D$7=D119,OR(LEFT(L119,2)="15",AND(LEFT(M119,2)&lt;&gt;"15",LEFT(M119,2)&lt;&gt;"33"))),"x","")</f>
        <v/>
      </c>
      <c r="V119" s="525" t="str">
        <f>IF(AND(OR(LEFT(TH!L119,2)="15",LEFT(TH!M119,2)="15"),'152-CT'!$J$8=TH!F119),"x","")</f>
        <v/>
      </c>
      <c r="W119" s="525" t="str">
        <f>IF(AND(OR(LEFT(TH!L119,2)="15",LEFT(TH!M119,2)="15"),TK!$E$7=TH!F119),"x","")</f>
        <v/>
      </c>
      <c r="X119" s="525" t="str">
        <f>IF(AND('341-CT'!$E$9=H119,OR(LEFT(L119,3)=$X$7,LEFT(M119,3)=$X$7)),"x","")</f>
        <v/>
      </c>
      <c r="Y119" s="525" t="str">
        <f>IF(OR(TH!L119=TH!$Y$7,M119=TH!$Y$7),"x","")</f>
        <v/>
      </c>
      <c r="Z119" s="525" t="str">
        <f>IF(AND(B119&lt;=NKC!$N$8,B119&gt;=NKC!$M$8),"x","")</f>
        <v/>
      </c>
      <c r="AA119" s="536"/>
      <c r="AD119" s="536"/>
    </row>
    <row r="120" spans="1:30" s="503" customFormat="1" ht="15.75" customHeight="1">
      <c r="A120" s="517" t="str">
        <f>IF(B120&lt;&gt;"",IF(AND(B120&gt;=_TM1,B120&lt;=_TM2,OR(TH!L120="1111",TH!M120="1111")),TH!D120,""),"")</f>
        <v/>
      </c>
      <c r="B120" s="531">
        <f t="shared" si="12"/>
        <v>7</v>
      </c>
      <c r="C120" s="671">
        <f t="shared" si="13"/>
        <v>42947</v>
      </c>
      <c r="D120" s="671" t="s">
        <v>476</v>
      </c>
      <c r="E120" s="672">
        <v>42947</v>
      </c>
      <c r="F120" s="673" t="s">
        <v>879</v>
      </c>
      <c r="G120" s="674" t="s">
        <v>880</v>
      </c>
      <c r="H120" s="675"/>
      <c r="I120" s="676"/>
      <c r="J120" s="676"/>
      <c r="K120" s="677">
        <f>ROUND(K113*$G120,0)</f>
        <v>119243</v>
      </c>
      <c r="L120" s="680" t="s">
        <v>225</v>
      </c>
      <c r="M120" s="680" t="s">
        <v>301</v>
      </c>
      <c r="N120" s="525" t="str">
        <f>IF(AND('331-CT'!$E$7=TH!H120,OR(L120="331",M120="331")),"331",IF(AND(OR(L120="131",M120="131"),H120='131-CT'!$E$7),"131",""))</f>
        <v/>
      </c>
      <c r="O120" s="525" t="str">
        <f>IF(AND($B120&gt;='111'!$N$11,$B120&lt;='111'!$O$11,OR($L120=$O$7,$M120=$O$7)),"x","")</f>
        <v/>
      </c>
      <c r="P120" s="525" t="str">
        <f>IF(AND($L120=$O$7,$B120&lt;'111'!$N$11),"x","")</f>
        <v/>
      </c>
      <c r="Q120" s="525" t="str">
        <f>IF(AND($M120=$O$7,$B120&lt;'111'!$N$11),"x","")</f>
        <v/>
      </c>
      <c r="R120" s="525" t="str">
        <f>IF(ISERROR(FIND('112'!$M$9,G120,1)),"",IF((AND(FIND('112'!$M$9,G120,1)&gt;=1,$B120&gt;='112'!$N$8,$B120&lt;='112'!$O$8,OR($L120='112'!$I$6,$M120='112'!$I$6))),"x",""))</f>
        <v/>
      </c>
      <c r="S120" s="525" t="str">
        <f>IF(ISERROR(FIND('112'!$M$9,G120,1)),"",IF((AND(LEFT(G120,2)=LEFT('112'!$M$9,2),B120&lt;'112'!$N$8,$L120='112'!$I$6)),"x",""))</f>
        <v/>
      </c>
      <c r="T120" s="525" t="str">
        <f>IF(ISERROR(FIND('112'!$M$9,G120,1)),"",IF((AND(RIGHT(G120,2)=RIGHT('112'!$M$9,2),B120&lt;'112'!$N$8,$M120='112'!$I$6)),"x",""))</f>
        <v/>
      </c>
      <c r="U120" s="525" t="str">
        <f>IF(AND(B120&gt;='IN-NX'!$P$3,B120&lt;='IN-NX'!$Q$3,'IN-NX'!$D$7=D120,OR(LEFT(L120,2)="15",AND(LEFT(M120,2)&lt;&gt;"15",LEFT(M120,2)&lt;&gt;"33"))),"x","")</f>
        <v/>
      </c>
      <c r="V120" s="525" t="str">
        <f>IF(AND(OR(LEFT(TH!L120,2)="15",LEFT(TH!M120,2)="15"),'152-CT'!$J$8=TH!F120),"x","")</f>
        <v/>
      </c>
      <c r="W120" s="525" t="str">
        <f>IF(AND(OR(LEFT(TH!L120,2)="15",LEFT(TH!M120,2)="15"),TK!$E$7=TH!F120),"x","")</f>
        <v/>
      </c>
      <c r="X120" s="525" t="str">
        <f>IF(AND('341-CT'!$E$9=H120,OR(LEFT(L120,3)=$X$7,LEFT(M120,3)=$X$7)),"x","")</f>
        <v/>
      </c>
      <c r="Y120" s="525" t="str">
        <f>IF(OR(TH!L120=TH!$Y$7,M120=TH!$Y$7),"x","")</f>
        <v>x</v>
      </c>
      <c r="Z120" s="525" t="str">
        <f>IF(AND(B120&lt;=NKC!$N$8,B120&gt;=NKC!$M$8),"x","")</f>
        <v/>
      </c>
      <c r="AA120" s="536"/>
      <c r="AD120" s="536"/>
    </row>
    <row r="121" spans="1:30" s="503" customFormat="1" ht="15.75" customHeight="1">
      <c r="A121" s="517" t="str">
        <f>IF(B121&lt;&gt;"",IF(AND(B121&gt;=_TM1,B121&lt;=_TM2,OR(TH!L121="1111",TH!M121="1111")),TH!D121,""),"")</f>
        <v/>
      </c>
      <c r="B121" s="531">
        <f t="shared" si="12"/>
        <v>7</v>
      </c>
      <c r="C121" s="671">
        <f t="shared" si="13"/>
        <v>42947</v>
      </c>
      <c r="D121" s="679" t="s">
        <v>476</v>
      </c>
      <c r="E121" s="672">
        <v>42947</v>
      </c>
      <c r="F121" s="673" t="s">
        <v>881</v>
      </c>
      <c r="G121" s="674"/>
      <c r="H121" s="472"/>
      <c r="I121" s="676"/>
      <c r="J121" s="676"/>
      <c r="K121" s="677">
        <f>ROUND(K114*$G120,0)</f>
        <v>59055</v>
      </c>
      <c r="L121" s="680" t="s">
        <v>225</v>
      </c>
      <c r="M121" s="680" t="s">
        <v>301</v>
      </c>
      <c r="N121" s="525" t="str">
        <f>IF(AND('331-CT'!$E$7=TH!H121,OR(L121="331",M121="331")),"331",IF(AND(OR(L121="131",M121="131"),H121='131-CT'!$E$7),"131",""))</f>
        <v/>
      </c>
      <c r="O121" s="525" t="str">
        <f>IF(AND($B121&gt;='111'!$N$11,$B121&lt;='111'!$O$11,OR($L121=$O$7,$M121=$O$7)),"x","")</f>
        <v/>
      </c>
      <c r="P121" s="525" t="str">
        <f>IF(AND($L121=$O$7,$B121&lt;'111'!$N$11),"x","")</f>
        <v/>
      </c>
      <c r="Q121" s="525" t="str">
        <f>IF(AND($M121=$O$7,$B121&lt;'111'!$N$11),"x","")</f>
        <v/>
      </c>
      <c r="R121" s="525" t="str">
        <f>IF(ISERROR(FIND('112'!$M$9,G121,1)),"",IF((AND(FIND('112'!$M$9,G121,1)&gt;=1,$B121&gt;='112'!$N$8,$B121&lt;='112'!$O$8,OR($L121='112'!$I$6,$M121='112'!$I$6))),"x",""))</f>
        <v/>
      </c>
      <c r="S121" s="525" t="str">
        <f>IF(ISERROR(FIND('112'!$M$9,G121,1)),"",IF((AND(LEFT(G121,2)=LEFT('112'!$M$9,2),B121&lt;'112'!$N$8,$L121='112'!$I$6)),"x",""))</f>
        <v/>
      </c>
      <c r="T121" s="525" t="str">
        <f>IF(ISERROR(FIND('112'!$M$9,G121,1)),"",IF((AND(RIGHT(G121,2)=RIGHT('112'!$M$9,2),B121&lt;'112'!$N$8,$M121='112'!$I$6)),"x",""))</f>
        <v/>
      </c>
      <c r="U121" s="525" t="str">
        <f>IF(AND(B121&gt;='IN-NX'!$P$3,B121&lt;='IN-NX'!$Q$3,'IN-NX'!$D$7=D121,OR(LEFT(L121,2)="15",AND(LEFT(M121,2)&lt;&gt;"15",LEFT(M121,2)&lt;&gt;"33"))),"x","")</f>
        <v/>
      </c>
      <c r="V121" s="525" t="str">
        <f>IF(AND(OR(LEFT(TH!L121,2)="15",LEFT(TH!M121,2)="15"),'152-CT'!$J$8=TH!F121),"x","")</f>
        <v/>
      </c>
      <c r="W121" s="525" t="str">
        <f>IF(AND(OR(LEFT(TH!L121,2)="15",LEFT(TH!M121,2)="15"),TK!$E$7=TH!F121),"x","")</f>
        <v/>
      </c>
      <c r="X121" s="525" t="str">
        <f>IF(AND('341-CT'!$E$9=H121,OR(LEFT(L121,3)=$X$7,LEFT(M121,3)=$X$7)),"x","")</f>
        <v/>
      </c>
      <c r="Y121" s="525" t="str">
        <f>IF(OR(TH!L121=TH!$Y$7,M121=TH!$Y$7),"x","")</f>
        <v>x</v>
      </c>
      <c r="Z121" s="525" t="str">
        <f>IF(AND(B121&lt;=NKC!$N$8,B121&gt;=NKC!$M$8),"x","")</f>
        <v/>
      </c>
      <c r="AA121" s="536"/>
      <c r="AD121" s="536"/>
    </row>
    <row r="122" spans="1:30" s="503" customFormat="1" ht="15.75" customHeight="1">
      <c r="A122" s="517" t="str">
        <f>IF(B122&lt;&gt;"",IF(AND(B122&gt;=_TM1,B122&lt;=_TM2,OR(TH!L122="1111",TH!M122="1111")),TH!D122,""),"")</f>
        <v/>
      </c>
      <c r="B122" s="531">
        <f t="shared" si="12"/>
        <v>7</v>
      </c>
      <c r="C122" s="671">
        <f t="shared" si="13"/>
        <v>42947</v>
      </c>
      <c r="D122" s="671" t="s">
        <v>476</v>
      </c>
      <c r="E122" s="672">
        <v>42947</v>
      </c>
      <c r="F122" s="673" t="s">
        <v>882</v>
      </c>
      <c r="G122" s="674" t="s">
        <v>883</v>
      </c>
      <c r="H122" s="675"/>
      <c r="I122" s="676"/>
      <c r="J122" s="676"/>
      <c r="K122" s="677">
        <f>ROUND(K113*$G122,0)</f>
        <v>238485</v>
      </c>
      <c r="L122" s="680" t="s">
        <v>224</v>
      </c>
      <c r="M122" s="680" t="s">
        <v>301</v>
      </c>
      <c r="N122" s="525" t="str">
        <f>IF(AND('331-CT'!$E$7=TH!H122,OR(L122="331",M122="331")),"331",IF(AND(OR(L122="131",M122="131"),H122='131-CT'!$E$7),"131",""))</f>
        <v/>
      </c>
      <c r="O122" s="525" t="str">
        <f>IF(AND($B122&gt;='111'!$N$11,$B122&lt;='111'!$O$11,OR($L122=$O$7,$M122=$O$7)),"x","")</f>
        <v/>
      </c>
      <c r="P122" s="525" t="str">
        <f>IF(AND($L122=$O$7,$B122&lt;'111'!$N$11),"x","")</f>
        <v/>
      </c>
      <c r="Q122" s="525" t="str">
        <f>IF(AND($M122=$O$7,$B122&lt;'111'!$N$11),"x","")</f>
        <v/>
      </c>
      <c r="R122" s="525" t="str">
        <f>IF(ISERROR(FIND('112'!$M$9,G122,1)),"",IF((AND(FIND('112'!$M$9,G122,1)&gt;=1,$B122&gt;='112'!$N$8,$B122&lt;='112'!$O$8,OR($L122='112'!$I$6,$M122='112'!$I$6))),"x",""))</f>
        <v/>
      </c>
      <c r="S122" s="525" t="str">
        <f>IF(ISERROR(FIND('112'!$M$9,G122,1)),"",IF((AND(LEFT(G122,2)=LEFT('112'!$M$9,2),B122&lt;'112'!$N$8,$L122='112'!$I$6)),"x",""))</f>
        <v/>
      </c>
      <c r="T122" s="525" t="str">
        <f>IF(ISERROR(FIND('112'!$M$9,G122,1)),"",IF((AND(RIGHT(G122,2)=RIGHT('112'!$M$9,2),B122&lt;'112'!$N$8,$M122='112'!$I$6)),"x",""))</f>
        <v/>
      </c>
      <c r="U122" s="525" t="str">
        <f>IF(AND(B122&gt;='IN-NX'!$P$3,B122&lt;='IN-NX'!$Q$3,'IN-NX'!$D$7=D122,OR(LEFT(L122,2)="15",AND(LEFT(M122,2)&lt;&gt;"15",LEFT(M122,2)&lt;&gt;"33"))),"x","")</f>
        <v/>
      </c>
      <c r="V122" s="525" t="str">
        <f>IF(AND(OR(LEFT(TH!L122,2)="15",LEFT(TH!M122,2)="15"),'152-CT'!$J$8=TH!F122),"x","")</f>
        <v/>
      </c>
      <c r="W122" s="525" t="str">
        <f>IF(AND(OR(LEFT(TH!L122,2)="15",LEFT(TH!M122,2)="15"),TK!$E$7=TH!F122),"x","")</f>
        <v/>
      </c>
      <c r="X122" s="525" t="str">
        <f>IF(AND('341-CT'!$E$9=H122,OR(LEFT(L122,3)=$X$7,LEFT(M122,3)=$X$7)),"x","")</f>
        <v/>
      </c>
      <c r="Y122" s="525" t="str">
        <f>IF(OR(TH!L122=TH!$Y$7,M122=TH!$Y$7),"x","")</f>
        <v/>
      </c>
      <c r="Z122" s="525" t="str">
        <f>IF(AND(B122&lt;=NKC!$N$8,B122&gt;=NKC!$M$8),"x","")</f>
        <v/>
      </c>
      <c r="AA122" s="536"/>
      <c r="AD122" s="536"/>
    </row>
    <row r="123" spans="1:30" s="503" customFormat="1" ht="15.75" customHeight="1">
      <c r="A123" s="517" t="str">
        <f>IF(B123&lt;&gt;"",IF(AND(B123&gt;=_TM1,B123&lt;=_TM2,OR(TH!L123="1111",TH!M123="1111")),TH!D123,""),"")</f>
        <v/>
      </c>
      <c r="B123" s="531">
        <f t="shared" si="12"/>
        <v>7</v>
      </c>
      <c r="C123" s="671">
        <f t="shared" si="13"/>
        <v>42947</v>
      </c>
      <c r="D123" s="671" t="s">
        <v>476</v>
      </c>
      <c r="E123" s="672">
        <v>42947</v>
      </c>
      <c r="F123" s="673" t="s">
        <v>884</v>
      </c>
      <c r="G123" s="674"/>
      <c r="H123" s="675"/>
      <c r="I123" s="676"/>
      <c r="J123" s="676"/>
      <c r="K123" s="677">
        <f>ROUND(K114*$G122,0)</f>
        <v>118110</v>
      </c>
      <c r="L123" s="678" t="s">
        <v>158</v>
      </c>
      <c r="M123" s="680" t="s">
        <v>301</v>
      </c>
      <c r="N123" s="525" t="str">
        <f>IF(AND('331-CT'!$E$7=TH!H123,OR(L123="331",M123="331")),"331",IF(AND(OR(L123="131",M123="131"),H123='131-CT'!$E$7),"131",""))</f>
        <v/>
      </c>
      <c r="O123" s="525" t="str">
        <f>IF(AND($B123&gt;='111'!$N$11,$B123&lt;='111'!$O$11,OR($L123=$O$7,$M123=$O$7)),"x","")</f>
        <v/>
      </c>
      <c r="P123" s="525" t="str">
        <f>IF(AND($L123=$O$7,$B123&lt;'111'!$N$11),"x","")</f>
        <v/>
      </c>
      <c r="Q123" s="525" t="str">
        <f>IF(AND($M123=$O$7,$B123&lt;'111'!$N$11),"x","")</f>
        <v/>
      </c>
      <c r="R123" s="525" t="str">
        <f>IF(ISERROR(FIND('112'!$M$9,G123,1)),"",IF((AND(FIND('112'!$M$9,G123,1)&gt;=1,$B123&gt;='112'!$N$8,$B123&lt;='112'!$O$8,OR($L123='112'!$I$6,$M123='112'!$I$6))),"x",""))</f>
        <v/>
      </c>
      <c r="S123" s="525" t="str">
        <f>IF(ISERROR(FIND('112'!$M$9,G123,1)),"",IF((AND(LEFT(G123,2)=LEFT('112'!$M$9,2),B123&lt;'112'!$N$8,$L123='112'!$I$6)),"x",""))</f>
        <v/>
      </c>
      <c r="T123" s="525" t="str">
        <f>IF(ISERROR(FIND('112'!$M$9,G123,1)),"",IF((AND(RIGHT(G123,2)=RIGHT('112'!$M$9,2),B123&lt;'112'!$N$8,$M123='112'!$I$6)),"x",""))</f>
        <v/>
      </c>
      <c r="U123" s="525" t="str">
        <f>IF(AND(B123&gt;='IN-NX'!$P$3,B123&lt;='IN-NX'!$Q$3,'IN-NX'!$D$7=D123,OR(LEFT(L123,2)="15",AND(LEFT(M123,2)&lt;&gt;"15",LEFT(M123,2)&lt;&gt;"33"))),"x","")</f>
        <v/>
      </c>
      <c r="V123" s="525" t="str">
        <f>IF(AND(OR(LEFT(TH!L123,2)="15",LEFT(TH!M123,2)="15"),'152-CT'!$J$8=TH!F123),"x","")</f>
        <v/>
      </c>
      <c r="W123" s="525" t="str">
        <f>IF(AND(OR(LEFT(TH!L123,2)="15",LEFT(TH!M123,2)="15"),TK!$E$7=TH!F123),"x","")</f>
        <v/>
      </c>
      <c r="X123" s="525" t="str">
        <f>IF(AND('341-CT'!$E$9=H123,OR(LEFT(L123,3)=$X$7,LEFT(M123,3)=$X$7)),"x","")</f>
        <v/>
      </c>
      <c r="Y123" s="525" t="str">
        <f>IF(OR(TH!L123=TH!$Y$7,M123=TH!$Y$7),"x","")</f>
        <v/>
      </c>
      <c r="Z123" s="525" t="str">
        <f>IF(AND(B123&lt;=NKC!$N$8,B123&gt;=NKC!$M$8),"x","")</f>
        <v/>
      </c>
      <c r="AA123" s="536"/>
      <c r="AD123" s="536"/>
    </row>
    <row r="124" spans="1:30" s="503" customFormat="1" ht="15.75" customHeight="1">
      <c r="A124" s="517" t="str">
        <f>IF(B124&lt;&gt;"",IF(AND(B124&gt;=_TM1,B124&lt;=_TM2,OR(TH!L124="1111",TH!M124="1111")),TH!D124,""),"")</f>
        <v/>
      </c>
      <c r="B124" s="531">
        <f t="shared" si="12"/>
        <v>7</v>
      </c>
      <c r="C124" s="671">
        <f t="shared" si="13"/>
        <v>42947</v>
      </c>
      <c r="D124" s="679" t="s">
        <v>476</v>
      </c>
      <c r="E124" s="672">
        <v>42947</v>
      </c>
      <c r="F124" s="673" t="s">
        <v>885</v>
      </c>
      <c r="G124" s="674" t="s">
        <v>886</v>
      </c>
      <c r="H124" s="472"/>
      <c r="I124" s="676"/>
      <c r="J124" s="676"/>
      <c r="K124" s="677">
        <f>ROUND(K113*$G124,0)</f>
        <v>79495</v>
      </c>
      <c r="L124" s="680" t="s">
        <v>225</v>
      </c>
      <c r="M124" s="680" t="s">
        <v>305</v>
      </c>
      <c r="N124" s="525" t="str">
        <f>IF(AND('331-CT'!$E$7=TH!H124,OR(L124="331",M124="331")),"331",IF(AND(OR(L124="131",M124="131"),H124='131-CT'!$E$7),"131",""))</f>
        <v/>
      </c>
      <c r="O124" s="525" t="str">
        <f>IF(AND($B124&gt;='111'!$N$11,$B124&lt;='111'!$O$11,OR($L124=$O$7,$M124=$O$7)),"x","")</f>
        <v/>
      </c>
      <c r="P124" s="525" t="str">
        <f>IF(AND($L124=$O$7,$B124&lt;'111'!$N$11),"x","")</f>
        <v/>
      </c>
      <c r="Q124" s="525" t="str">
        <f>IF(AND($M124=$O$7,$B124&lt;'111'!$N$11),"x","")</f>
        <v/>
      </c>
      <c r="R124" s="525" t="str">
        <f>IF(ISERROR(FIND('112'!$M$9,G124,1)),"",IF((AND(FIND('112'!$M$9,G124,1)&gt;=1,$B124&gt;='112'!$N$8,$B124&lt;='112'!$O$8,OR($L124='112'!$I$6,$M124='112'!$I$6))),"x",""))</f>
        <v/>
      </c>
      <c r="S124" s="525" t="str">
        <f>IF(ISERROR(FIND('112'!$M$9,G124,1)),"",IF((AND(LEFT(G124,2)=LEFT('112'!$M$9,2),B124&lt;'112'!$N$8,$L124='112'!$I$6)),"x",""))</f>
        <v/>
      </c>
      <c r="T124" s="525" t="str">
        <f>IF(ISERROR(FIND('112'!$M$9,G124,1)),"",IF((AND(RIGHT(G124,2)=RIGHT('112'!$M$9,2),B124&lt;'112'!$N$8,$M124='112'!$I$6)),"x",""))</f>
        <v/>
      </c>
      <c r="U124" s="525" t="str">
        <f>IF(AND(B124&gt;='IN-NX'!$P$3,B124&lt;='IN-NX'!$Q$3,'IN-NX'!$D$7=D124,OR(LEFT(L124,2)="15",AND(LEFT(M124,2)&lt;&gt;"15",LEFT(M124,2)&lt;&gt;"33"))),"x","")</f>
        <v/>
      </c>
      <c r="V124" s="525" t="str">
        <f>IF(AND(OR(LEFT(TH!L124,2)="15",LEFT(TH!M124,2)="15"),'152-CT'!$J$8=TH!F124),"x","")</f>
        <v/>
      </c>
      <c r="W124" s="525" t="str">
        <f>IF(AND(OR(LEFT(TH!L124,2)="15",LEFT(TH!M124,2)="15"),TK!$E$7=TH!F124),"x","")</f>
        <v/>
      </c>
      <c r="X124" s="525" t="str">
        <f>IF(AND('341-CT'!$E$9=H124,OR(LEFT(L124,3)=$X$7,LEFT(M124,3)=$X$7)),"x","")</f>
        <v/>
      </c>
      <c r="Y124" s="525" t="str">
        <f>IF(OR(TH!L124=TH!$Y$7,M124=TH!$Y$7),"x","")</f>
        <v>x</v>
      </c>
      <c r="Z124" s="525" t="str">
        <f>IF(AND(B124&lt;=NKC!$N$8,B124&gt;=NKC!$M$8),"x","")</f>
        <v/>
      </c>
      <c r="AA124" s="536"/>
      <c r="AD124" s="536"/>
    </row>
    <row r="125" spans="1:30" s="503" customFormat="1" ht="15.75" customHeight="1">
      <c r="A125" s="517" t="str">
        <f>IF(B125&lt;&gt;"",IF(AND(B125&gt;=_TM1,B125&lt;=_TM2,OR(TH!L125="1111",TH!M125="1111")),TH!D125,""),"")</f>
        <v/>
      </c>
      <c r="B125" s="531">
        <f t="shared" si="12"/>
        <v>7</v>
      </c>
      <c r="C125" s="671">
        <f t="shared" si="13"/>
        <v>42947</v>
      </c>
      <c r="D125" s="671" t="s">
        <v>476</v>
      </c>
      <c r="E125" s="672">
        <v>42947</v>
      </c>
      <c r="F125" s="673" t="s">
        <v>887</v>
      </c>
      <c r="G125" s="674"/>
      <c r="H125" s="675"/>
      <c r="I125" s="676"/>
      <c r="J125" s="676"/>
      <c r="K125" s="677">
        <f>ROUND(K114*$G124,0)</f>
        <v>39370</v>
      </c>
      <c r="L125" s="680" t="s">
        <v>225</v>
      </c>
      <c r="M125" s="680" t="s">
        <v>305</v>
      </c>
      <c r="N125" s="525" t="str">
        <f>IF(AND('331-CT'!$E$7=TH!H125,OR(L125="331",M125="331")),"331",IF(AND(OR(L125="131",M125="131"),H125='131-CT'!$E$7),"131",""))</f>
        <v/>
      </c>
      <c r="O125" s="525" t="str">
        <f>IF(AND($B125&gt;='111'!$N$11,$B125&lt;='111'!$O$11,OR($L125=$O$7,$M125=$O$7)),"x","")</f>
        <v/>
      </c>
      <c r="P125" s="525" t="str">
        <f>IF(AND($L125=$O$7,$B125&lt;'111'!$N$11),"x","")</f>
        <v/>
      </c>
      <c r="Q125" s="525" t="str">
        <f>IF(AND($M125=$O$7,$B125&lt;'111'!$N$11),"x","")</f>
        <v/>
      </c>
      <c r="R125" s="525" t="str">
        <f>IF(ISERROR(FIND('112'!$M$9,G125,1)),"",IF((AND(FIND('112'!$M$9,G125,1)&gt;=1,$B125&gt;='112'!$N$8,$B125&lt;='112'!$O$8,OR($L125='112'!$I$6,$M125='112'!$I$6))),"x",""))</f>
        <v/>
      </c>
      <c r="S125" s="525" t="str">
        <f>IF(ISERROR(FIND('112'!$M$9,G125,1)),"",IF((AND(LEFT(G125,2)=LEFT('112'!$M$9,2),B125&lt;'112'!$N$8,$L125='112'!$I$6)),"x",""))</f>
        <v/>
      </c>
      <c r="T125" s="525" t="str">
        <f>IF(ISERROR(FIND('112'!$M$9,G125,1)),"",IF((AND(RIGHT(G125,2)=RIGHT('112'!$M$9,2),B125&lt;'112'!$N$8,$M125='112'!$I$6)),"x",""))</f>
        <v/>
      </c>
      <c r="U125" s="525" t="str">
        <f>IF(AND(B125&gt;='IN-NX'!$P$3,B125&lt;='IN-NX'!$Q$3,'IN-NX'!$D$7=D125,OR(LEFT(L125,2)="15",AND(LEFT(M125,2)&lt;&gt;"15",LEFT(M125,2)&lt;&gt;"33"))),"x","")</f>
        <v/>
      </c>
      <c r="V125" s="525" t="str">
        <f>IF(AND(OR(LEFT(TH!L125,2)="15",LEFT(TH!M125,2)="15"),'152-CT'!$J$8=TH!F125),"x","")</f>
        <v/>
      </c>
      <c r="W125" s="525" t="str">
        <f>IF(AND(OR(LEFT(TH!L125,2)="15",LEFT(TH!M125,2)="15"),TK!$E$7=TH!F125),"x","")</f>
        <v/>
      </c>
      <c r="X125" s="525" t="str">
        <f>IF(AND('341-CT'!$E$9=H125,OR(LEFT(L125,3)=$X$7,LEFT(M125,3)=$X$7)),"x","")</f>
        <v/>
      </c>
      <c r="Y125" s="525" t="str">
        <f>IF(OR(TH!L125=TH!$Y$7,M125=TH!$Y$7),"x","")</f>
        <v>x</v>
      </c>
      <c r="Z125" s="525" t="str">
        <f>IF(AND(B125&lt;=NKC!$N$8,B125&gt;=NKC!$M$8),"x","")</f>
        <v/>
      </c>
      <c r="AA125" s="536"/>
      <c r="AD125" s="536"/>
    </row>
    <row r="126" spans="1:30" s="503" customFormat="1" ht="15.75" customHeight="1">
      <c r="A126" s="517" t="str">
        <f>IF(B126&lt;&gt;"",IF(AND(B126&gt;=_TM1,B126&lt;=_TM2,OR(TH!L126="1111",TH!M126="1111")),TH!D126,""),"")</f>
        <v/>
      </c>
      <c r="B126" s="531">
        <f t="shared" si="12"/>
        <v>7</v>
      </c>
      <c r="C126" s="671">
        <f t="shared" si="13"/>
        <v>42947</v>
      </c>
      <c r="D126" s="671" t="s">
        <v>476</v>
      </c>
      <c r="E126" s="672">
        <v>42947</v>
      </c>
      <c r="F126" s="673" t="s">
        <v>888</v>
      </c>
      <c r="G126" s="674" t="s">
        <v>886</v>
      </c>
      <c r="H126" s="675"/>
      <c r="I126" s="676"/>
      <c r="J126" s="676"/>
      <c r="K126" s="677">
        <f>K124</f>
        <v>79495</v>
      </c>
      <c r="L126" s="680" t="s">
        <v>224</v>
      </c>
      <c r="M126" s="680" t="s">
        <v>305</v>
      </c>
      <c r="N126" s="525" t="str">
        <f>IF(AND('331-CT'!$E$7=TH!H126,OR(L126="331",M126="331")),"331",IF(AND(OR(L126="131",M126="131"),H126='131-CT'!$E$7),"131",""))</f>
        <v/>
      </c>
      <c r="O126" s="525" t="str">
        <f>IF(AND($B126&gt;='111'!$N$11,$B126&lt;='111'!$O$11,OR($L126=$O$7,$M126=$O$7)),"x","")</f>
        <v/>
      </c>
      <c r="P126" s="525" t="str">
        <f>IF(AND($L126=$O$7,$B126&lt;'111'!$N$11),"x","")</f>
        <v/>
      </c>
      <c r="Q126" s="525" t="str">
        <f>IF(AND($M126=$O$7,$B126&lt;'111'!$N$11),"x","")</f>
        <v/>
      </c>
      <c r="R126" s="525" t="str">
        <f>IF(ISERROR(FIND('112'!$M$9,G126,1)),"",IF((AND(FIND('112'!$M$9,G126,1)&gt;=1,$B126&gt;='112'!$N$8,$B126&lt;='112'!$O$8,OR($L126='112'!$I$6,$M126='112'!$I$6))),"x",""))</f>
        <v/>
      </c>
      <c r="S126" s="525" t="str">
        <f>IF(ISERROR(FIND('112'!$M$9,G126,1)),"",IF((AND(LEFT(G126,2)=LEFT('112'!$M$9,2),B126&lt;'112'!$N$8,$L126='112'!$I$6)),"x",""))</f>
        <v/>
      </c>
      <c r="T126" s="525" t="str">
        <f>IF(ISERROR(FIND('112'!$M$9,G126,1)),"",IF((AND(RIGHT(G126,2)=RIGHT('112'!$M$9,2),B126&lt;'112'!$N$8,$M126='112'!$I$6)),"x",""))</f>
        <v/>
      </c>
      <c r="U126" s="525" t="str">
        <f>IF(AND(B126&gt;='IN-NX'!$P$3,B126&lt;='IN-NX'!$Q$3,'IN-NX'!$D$7=D126,OR(LEFT(L126,2)="15",AND(LEFT(M126,2)&lt;&gt;"15",LEFT(M126,2)&lt;&gt;"33"))),"x","")</f>
        <v/>
      </c>
      <c r="V126" s="525" t="str">
        <f>IF(AND(OR(LEFT(TH!L126,2)="15",LEFT(TH!M126,2)="15"),'152-CT'!$J$8=TH!F126),"x","")</f>
        <v/>
      </c>
      <c r="W126" s="525" t="str">
        <f>IF(AND(OR(LEFT(TH!L126,2)="15",LEFT(TH!M126,2)="15"),TK!$E$7=TH!F126),"x","")</f>
        <v/>
      </c>
      <c r="X126" s="525" t="str">
        <f>IF(AND('341-CT'!$E$9=H126,OR(LEFT(L126,3)=$X$7,LEFT(M126,3)=$X$7)),"x","")</f>
        <v/>
      </c>
      <c r="Y126" s="525" t="str">
        <f>IF(OR(TH!L126=TH!$Y$7,M126=TH!$Y$7),"x","")</f>
        <v/>
      </c>
      <c r="Z126" s="525" t="str">
        <f>IF(AND(B126&lt;=NKC!$N$8,B126&gt;=NKC!$M$8),"x","")</f>
        <v/>
      </c>
      <c r="AA126" s="536"/>
      <c r="AD126" s="536"/>
    </row>
    <row r="127" spans="1:30" s="503" customFormat="1" ht="15.75" customHeight="1">
      <c r="A127" s="517" t="str">
        <f>IF(B127&lt;&gt;"",IF(AND(B127&gt;=_TM1,B127&lt;=_TM2,OR(TH!L127="1111",TH!M127="1111")),TH!D127,""),"")</f>
        <v/>
      </c>
      <c r="B127" s="531">
        <f t="shared" si="12"/>
        <v>7</v>
      </c>
      <c r="C127" s="671">
        <f t="shared" si="13"/>
        <v>42947</v>
      </c>
      <c r="D127" s="679" t="s">
        <v>476</v>
      </c>
      <c r="E127" s="672">
        <v>42947</v>
      </c>
      <c r="F127" s="673" t="s">
        <v>889</v>
      </c>
      <c r="G127" s="674"/>
      <c r="H127" s="472"/>
      <c r="I127" s="676"/>
      <c r="J127" s="676"/>
      <c r="K127" s="677">
        <f>K125</f>
        <v>39370</v>
      </c>
      <c r="L127" s="678" t="s">
        <v>158</v>
      </c>
      <c r="M127" s="680" t="s">
        <v>305</v>
      </c>
      <c r="N127" s="525" t="str">
        <f>IF(AND('331-CT'!$E$7=TH!H127,OR(L127="331",M127="331")),"331",IF(AND(OR(L127="131",M127="131"),H127='131-CT'!$E$7),"131",""))</f>
        <v/>
      </c>
      <c r="O127" s="525" t="str">
        <f>IF(AND($B127&gt;='111'!$N$11,$B127&lt;='111'!$O$11,OR($L127=$O$7,$M127=$O$7)),"x","")</f>
        <v/>
      </c>
      <c r="P127" s="525" t="str">
        <f>IF(AND($L127=$O$7,$B127&lt;'111'!$N$11),"x","")</f>
        <v/>
      </c>
      <c r="Q127" s="525" t="str">
        <f>IF(AND($M127=$O$7,$B127&lt;'111'!$N$11),"x","")</f>
        <v/>
      </c>
      <c r="R127" s="525" t="str">
        <f>IF(ISERROR(FIND('112'!$M$9,G127,1)),"",IF((AND(FIND('112'!$M$9,G127,1)&gt;=1,$B127&gt;='112'!$N$8,$B127&lt;='112'!$O$8,OR($L127='112'!$I$6,$M127='112'!$I$6))),"x",""))</f>
        <v/>
      </c>
      <c r="S127" s="525" t="str">
        <f>IF(ISERROR(FIND('112'!$M$9,G127,1)),"",IF((AND(LEFT(G127,2)=LEFT('112'!$M$9,2),B127&lt;'112'!$N$8,$L127='112'!$I$6)),"x",""))</f>
        <v/>
      </c>
      <c r="T127" s="525" t="str">
        <f>IF(ISERROR(FIND('112'!$M$9,G127,1)),"",IF((AND(RIGHT(G127,2)=RIGHT('112'!$M$9,2),B127&lt;'112'!$N$8,$M127='112'!$I$6)),"x",""))</f>
        <v/>
      </c>
      <c r="U127" s="525" t="str">
        <f>IF(AND(B127&gt;='IN-NX'!$P$3,B127&lt;='IN-NX'!$Q$3,'IN-NX'!$D$7=D127,OR(LEFT(L127,2)="15",AND(LEFT(M127,2)&lt;&gt;"15",LEFT(M127,2)&lt;&gt;"33"))),"x","")</f>
        <v/>
      </c>
      <c r="V127" s="525" t="str">
        <f>IF(AND(OR(LEFT(TH!L127,2)="15",LEFT(TH!M127,2)="15"),'152-CT'!$J$8=TH!F127),"x","")</f>
        <v/>
      </c>
      <c r="W127" s="525" t="str">
        <f>IF(AND(OR(LEFT(TH!L127,2)="15",LEFT(TH!M127,2)="15"),TK!$E$7=TH!F127),"x","")</f>
        <v/>
      </c>
      <c r="X127" s="525" t="str">
        <f>IF(AND('341-CT'!$E$9=H127,OR(LEFT(L127,3)=$X$7,LEFT(M127,3)=$X$7)),"x","")</f>
        <v/>
      </c>
      <c r="Y127" s="525" t="str">
        <f>IF(OR(TH!L127=TH!$Y$7,M127=TH!$Y$7),"x","")</f>
        <v/>
      </c>
      <c r="Z127" s="525" t="str">
        <f>IF(AND(B127&lt;=NKC!$N$8,B127&gt;=NKC!$M$8),"x","")</f>
        <v/>
      </c>
      <c r="AA127" s="536"/>
      <c r="AD127" s="536"/>
    </row>
    <row r="128" spans="1:30" s="503" customFormat="1" ht="15.75" customHeight="1">
      <c r="A128" s="517" t="str">
        <f>IF(B128&lt;&gt;"",IF(AND(B128&gt;=_TM1,B128&lt;=_TM2,OR(TH!L128="1111",TH!M128="1111")),TH!D128,""),"")</f>
        <v>GBC</v>
      </c>
      <c r="B128" s="531">
        <f t="shared" ref="B128:B165" si="14">IF(C128&lt;&gt;"",MONTH(C128),"")</f>
        <v>1</v>
      </c>
      <c r="C128" s="315">
        <f>E128</f>
        <v>42739</v>
      </c>
      <c r="D128" s="315" t="s">
        <v>456</v>
      </c>
      <c r="E128" s="315">
        <v>42739</v>
      </c>
      <c r="F128" s="249" t="s">
        <v>459</v>
      </c>
      <c r="G128" s="314" t="s">
        <v>290</v>
      </c>
      <c r="H128" s="473" t="s">
        <v>460</v>
      </c>
      <c r="I128" s="307"/>
      <c r="J128" s="307"/>
      <c r="K128" s="532">
        <v>3280000</v>
      </c>
      <c r="L128" s="533" t="s">
        <v>24</v>
      </c>
      <c r="M128" s="533" t="s">
        <v>45</v>
      </c>
      <c r="N128" s="525" t="str">
        <f>IF(AND('331-CT'!$E$7=TH!H128,OR(L128="331",M128="331")),"331",IF(AND(OR(L128="131",M128="131"),H128='131-CT'!$E$7),"131",""))</f>
        <v/>
      </c>
      <c r="O128" s="525" t="str">
        <f>IF(AND($B128&gt;='111'!$N$11,$B128&lt;='111'!$O$11,OR($L128=$O$7,$M128=$O$7)),"x","")</f>
        <v/>
      </c>
      <c r="P128" s="525" t="str">
        <f>IF(AND($L128=$O$7,$B128&lt;'111'!$N$11),"x","")</f>
        <v/>
      </c>
      <c r="Q128" s="525" t="str">
        <f>IF(AND($M128=$O$7,$B128&lt;'111'!$N$11),"x","")</f>
        <v>x</v>
      </c>
      <c r="R128" s="525" t="str">
        <f>IF(ISERROR(FIND('112'!$M$9,G128,1)),"",IF((AND(FIND('112'!$M$9,G128,1)&gt;=1,$B128&gt;='112'!$N$8,$B128&lt;='112'!$O$8,OR($L128='112'!$I$6,$M128='112'!$I$6))),"x",""))</f>
        <v/>
      </c>
      <c r="S128" s="525" t="str">
        <f>IF(ISERROR(FIND('112'!$M$9,G128,1)),"",IF((AND(LEFT(G128,2)=LEFT('112'!$M$9,2),B128&lt;'112'!$N$8,$L128='112'!$I$6)),"x",""))</f>
        <v/>
      </c>
      <c r="T128" s="525" t="str">
        <f>IF(ISERROR(FIND('112'!$M$9,G128,1)),"",IF((AND(RIGHT(G128,2)=RIGHT('112'!$M$9,2),B128&lt;'112'!$N$8,$M128='112'!$I$6)),"x",""))</f>
        <v/>
      </c>
      <c r="U128" s="525" t="str">
        <f>IF(AND(B128&gt;='IN-NX'!$P$3,B128&lt;='IN-NX'!$Q$3,'IN-NX'!$D$7=D128,OR(LEFT(L128,2)="15",AND(LEFT(M128,2)&lt;&gt;"15",LEFT(M128,2)&lt;&gt;"33"))),"x","")</f>
        <v/>
      </c>
      <c r="V128" s="525" t="str">
        <f>IF(AND(OR(LEFT(TH!L128,2)="15",LEFT(TH!M128,2)="15"),'152-CT'!$J$8=TH!F128),"x","")</f>
        <v/>
      </c>
      <c r="W128" s="525" t="str">
        <f>IF(AND(OR(LEFT(TH!L128,2)="15",LEFT(TH!M128,2)="15"),TK!$E$7=TH!F128),"x","")</f>
        <v/>
      </c>
      <c r="X128" s="525" t="str">
        <f>IF(AND('341-CT'!$E$9=H128,OR(LEFT(L128,3)=$X$7,LEFT(M128,3)=$X$7)),"x","")</f>
        <v/>
      </c>
      <c r="Y128" s="525" t="str">
        <f>IF(OR(TH!L128=TH!$Y$7,M128=TH!$Y$7),"x","")</f>
        <v/>
      </c>
      <c r="Z128" s="525" t="str">
        <f>IF(AND(B128&lt;=NKC!$N$8,B128&gt;=NKC!$M$8),"x","")</f>
        <v>x</v>
      </c>
      <c r="AA128" s="535"/>
      <c r="AB128" s="536"/>
    </row>
    <row r="129" spans="1:28" s="503" customFormat="1" ht="15.75" customHeight="1">
      <c r="A129" s="517" t="str">
        <f>IF(B129&lt;&gt;"",IF(AND(B129&gt;=_TM1,B129&lt;=_TM2,OR(TH!L129="1111",TH!M129="1111")),TH!D129,""),"")</f>
        <v/>
      </c>
      <c r="B129" s="531">
        <f t="shared" si="14"/>
        <v>1</v>
      </c>
      <c r="C129" s="315">
        <f t="shared" ref="C129:C140" si="15">E129</f>
        <v>42740</v>
      </c>
      <c r="D129" s="315" t="s">
        <v>456</v>
      </c>
      <c r="E129" s="315">
        <v>42740</v>
      </c>
      <c r="F129" s="249" t="s">
        <v>457</v>
      </c>
      <c r="G129" s="314" t="s">
        <v>290</v>
      </c>
      <c r="H129" s="472" t="s">
        <v>287</v>
      </c>
      <c r="I129" s="307"/>
      <c r="J129" s="307"/>
      <c r="K129" s="532">
        <v>40277600</v>
      </c>
      <c r="L129" s="533" t="s">
        <v>24</v>
      </c>
      <c r="M129" s="533" t="s">
        <v>223</v>
      </c>
      <c r="N129" s="525" t="str">
        <f>IF(AND('331-CT'!$E$7=TH!H129,OR(L129="331",M129="331")),"331",IF(AND(OR(L129="131",M129="131"),H129='131-CT'!$E$7),"131",""))</f>
        <v/>
      </c>
      <c r="O129" s="525" t="str">
        <f>IF(AND($B129&gt;='111'!$N$11,$B129&lt;='111'!$O$11,OR($L129=$O$7,$M129=$O$7)),"x","")</f>
        <v/>
      </c>
      <c r="P129" s="525" t="str">
        <f>IF(AND($L129=$O$7,$B129&lt;'111'!$N$11),"x","")</f>
        <v/>
      </c>
      <c r="Q129" s="525" t="str">
        <f>IF(AND($M129=$O$7,$B129&lt;'111'!$N$11),"x","")</f>
        <v/>
      </c>
      <c r="R129" s="525" t="str">
        <f>IF(ISERROR(FIND('112'!$M$9,G129,1)),"",IF((AND(FIND('112'!$M$9,G129,1)&gt;=1,$B129&gt;='112'!$N$8,$B129&lt;='112'!$O$8,OR($L129='112'!$I$6,$M129='112'!$I$6))),"x",""))</f>
        <v/>
      </c>
      <c r="S129" s="525" t="str">
        <f>IF(ISERROR(FIND('112'!$M$9,G129,1)),"",IF((AND(LEFT(G129,2)=LEFT('112'!$M$9,2),B129&lt;'112'!$N$8,$L129='112'!$I$6)),"x",""))</f>
        <v/>
      </c>
      <c r="T129" s="525" t="str">
        <f>IF(ISERROR(FIND('112'!$M$9,G129,1)),"",IF((AND(RIGHT(G129,2)=RIGHT('112'!$M$9,2),B129&lt;'112'!$N$8,$M129='112'!$I$6)),"x",""))</f>
        <v/>
      </c>
      <c r="U129" s="525" t="str">
        <f>IF(AND(B129&gt;='IN-NX'!$P$3,B129&lt;='IN-NX'!$Q$3,'IN-NX'!$D$7=D129,OR(LEFT(L129,2)="15",AND(LEFT(M129,2)&lt;&gt;"15",LEFT(M129,2)&lt;&gt;"33"))),"x","")</f>
        <v/>
      </c>
      <c r="V129" s="525" t="str">
        <f>IF(AND(OR(LEFT(TH!L129,2)="15",LEFT(TH!M129,2)="15"),'152-CT'!$J$8=TH!F129),"x","")</f>
        <v/>
      </c>
      <c r="W129" s="525" t="str">
        <f>IF(AND(OR(LEFT(TH!L129,2)="15",LEFT(TH!M129,2)="15"),TK!$E$7=TH!F129),"x","")</f>
        <v/>
      </c>
      <c r="X129" s="525" t="str">
        <f>IF(AND('341-CT'!$E$9=H129,OR(LEFT(L129,3)=$X$7,LEFT(M129,3)=$X$7)),"x","")</f>
        <v/>
      </c>
      <c r="Y129" s="525" t="str">
        <f>IF(OR(TH!L129=TH!$Y$7,M129=TH!$Y$7),"x","")</f>
        <v/>
      </c>
      <c r="Z129" s="525" t="str">
        <f>IF(AND(B129&lt;=NKC!$N$8,B129&gt;=NKC!$M$8),"x","")</f>
        <v>x</v>
      </c>
      <c r="AA129" s="535"/>
      <c r="AB129" s="536"/>
    </row>
    <row r="130" spans="1:28" s="503" customFormat="1" ht="15.75" customHeight="1">
      <c r="A130" s="517" t="str">
        <f>IF(B130&lt;&gt;"",IF(AND(B130&gt;=_TM1,B130&lt;=_TM2,OR(TH!L130="1111",TH!M130="1111")),TH!D130,""),"")</f>
        <v/>
      </c>
      <c r="B130" s="531">
        <f t="shared" si="14"/>
        <v>1</v>
      </c>
      <c r="C130" s="315">
        <f t="shared" si="15"/>
        <v>42741</v>
      </c>
      <c r="D130" s="315" t="s">
        <v>456</v>
      </c>
      <c r="E130" s="537">
        <v>42741</v>
      </c>
      <c r="F130" s="249" t="s">
        <v>457</v>
      </c>
      <c r="G130" s="314" t="s">
        <v>290</v>
      </c>
      <c r="H130" s="473" t="s">
        <v>283</v>
      </c>
      <c r="I130" s="307"/>
      <c r="J130" s="307"/>
      <c r="K130" s="532">
        <v>287127500</v>
      </c>
      <c r="L130" s="533" t="s">
        <v>24</v>
      </c>
      <c r="M130" s="533" t="s">
        <v>223</v>
      </c>
      <c r="N130" s="525" t="str">
        <f>IF(AND('331-CT'!$E$7=TH!H130,OR(L130="331",M130="331")),"331",IF(AND(OR(L130="131",M130="131"),H130='131-CT'!$E$7),"131",""))</f>
        <v/>
      </c>
      <c r="O130" s="525" t="str">
        <f>IF(AND($B130&gt;='111'!$N$11,$B130&lt;='111'!$O$11,OR($L130=$O$7,$M130=$O$7)),"x","")</f>
        <v/>
      </c>
      <c r="P130" s="525" t="str">
        <f>IF(AND($L130=$O$7,$B130&lt;'111'!$N$11),"x","")</f>
        <v/>
      </c>
      <c r="Q130" s="525" t="str">
        <f>IF(AND($M130=$O$7,$B130&lt;'111'!$N$11),"x","")</f>
        <v/>
      </c>
      <c r="R130" s="525" t="str">
        <f>IF(ISERROR(FIND('112'!$M$9,G130,1)),"",IF((AND(FIND('112'!$M$9,G130,1)&gt;=1,$B130&gt;='112'!$N$8,$B130&lt;='112'!$O$8,OR($L130='112'!$I$6,$M130='112'!$I$6))),"x",""))</f>
        <v/>
      </c>
      <c r="S130" s="525" t="str">
        <f>IF(ISERROR(FIND('112'!$M$9,G130,1)),"",IF((AND(LEFT(G130,2)=LEFT('112'!$M$9,2),B130&lt;'112'!$N$8,$L130='112'!$I$6)),"x",""))</f>
        <v/>
      </c>
      <c r="T130" s="525" t="str">
        <f>IF(ISERROR(FIND('112'!$M$9,G130,1)),"",IF((AND(RIGHT(G130,2)=RIGHT('112'!$M$9,2),B130&lt;'112'!$N$8,$M130='112'!$I$6)),"x",""))</f>
        <v/>
      </c>
      <c r="U130" s="525" t="str">
        <f>IF(AND(B130&gt;='IN-NX'!$P$3,B130&lt;='IN-NX'!$Q$3,'IN-NX'!$D$7=D130,OR(LEFT(L130,2)="15",AND(LEFT(M130,2)&lt;&gt;"15",LEFT(M130,2)&lt;&gt;"33"))),"x","")</f>
        <v/>
      </c>
      <c r="V130" s="525" t="str">
        <f>IF(AND(OR(LEFT(TH!L130,2)="15",LEFT(TH!M130,2)="15"),'152-CT'!$J$8=TH!F130),"x","")</f>
        <v/>
      </c>
      <c r="W130" s="525" t="str">
        <f>IF(AND(OR(LEFT(TH!L130,2)="15",LEFT(TH!M130,2)="15"),TK!$E$7=TH!F130),"x","")</f>
        <v/>
      </c>
      <c r="X130" s="525" t="str">
        <f>IF(AND('341-CT'!$E$9=H130,OR(LEFT(L130,3)=$X$7,LEFT(M130,3)=$X$7)),"x","")</f>
        <v/>
      </c>
      <c r="Y130" s="525" t="str">
        <f>IF(OR(TH!L130=TH!$Y$7,M130=TH!$Y$7),"x","")</f>
        <v/>
      </c>
      <c r="Z130" s="525" t="str">
        <f>IF(AND(B130&lt;=NKC!$N$8,B130&gt;=NKC!$M$8),"x","")</f>
        <v>x</v>
      </c>
      <c r="AA130" s="535"/>
      <c r="AB130" s="536"/>
    </row>
    <row r="131" spans="1:28" s="503" customFormat="1" ht="15.75" customHeight="1">
      <c r="A131" s="517" t="str">
        <f>IF(B131&lt;&gt;"",IF(AND(B131&gt;=_TM1,B131&lt;=_TM2,OR(TH!L131="1111",TH!M131="1111")),TH!D131,""),"")</f>
        <v/>
      </c>
      <c r="B131" s="531">
        <f t="shared" si="14"/>
        <v>1</v>
      </c>
      <c r="C131" s="315">
        <f t="shared" si="15"/>
        <v>42744</v>
      </c>
      <c r="D131" s="315" t="s">
        <v>456</v>
      </c>
      <c r="E131" s="537">
        <v>42744</v>
      </c>
      <c r="F131" s="249" t="s">
        <v>457</v>
      </c>
      <c r="G131" s="314" t="s">
        <v>290</v>
      </c>
      <c r="H131" s="472" t="s">
        <v>288</v>
      </c>
      <c r="I131" s="307"/>
      <c r="J131" s="307"/>
      <c r="K131" s="532">
        <v>165159143</v>
      </c>
      <c r="L131" s="533" t="s">
        <v>24</v>
      </c>
      <c r="M131" s="533" t="s">
        <v>223</v>
      </c>
      <c r="N131" s="525" t="str">
        <f>IF(AND('331-CT'!$E$7=TH!H131,OR(L131="331",M131="331")),"331",IF(AND(OR(L131="131",M131="131"),H131='131-CT'!$E$7),"131",""))</f>
        <v/>
      </c>
      <c r="O131" s="525" t="str">
        <f>IF(AND($B131&gt;='111'!$N$11,$B131&lt;='111'!$O$11,OR($L131=$O$7,$M131=$O$7)),"x","")</f>
        <v/>
      </c>
      <c r="P131" s="525" t="str">
        <f>IF(AND($L131=$O$7,$B131&lt;'111'!$N$11),"x","")</f>
        <v/>
      </c>
      <c r="Q131" s="525" t="str">
        <f>IF(AND($M131=$O$7,$B131&lt;'111'!$N$11),"x","")</f>
        <v/>
      </c>
      <c r="R131" s="525" t="str">
        <f>IF(ISERROR(FIND('112'!$M$9,G131,1)),"",IF((AND(FIND('112'!$M$9,G131,1)&gt;=1,$B131&gt;='112'!$N$8,$B131&lt;='112'!$O$8,OR($L131='112'!$I$6,$M131='112'!$I$6))),"x",""))</f>
        <v/>
      </c>
      <c r="S131" s="525" t="str">
        <f>IF(ISERROR(FIND('112'!$M$9,G131,1)),"",IF((AND(LEFT(G131,2)=LEFT('112'!$M$9,2),B131&lt;'112'!$N$8,$L131='112'!$I$6)),"x",""))</f>
        <v/>
      </c>
      <c r="T131" s="525" t="str">
        <f>IF(ISERROR(FIND('112'!$M$9,G131,1)),"",IF((AND(RIGHT(G131,2)=RIGHT('112'!$M$9,2),B131&lt;'112'!$N$8,$M131='112'!$I$6)),"x",""))</f>
        <v/>
      </c>
      <c r="U131" s="525" t="str">
        <f>IF(AND(B131&gt;='IN-NX'!$P$3,B131&lt;='IN-NX'!$Q$3,'IN-NX'!$D$7=D131,OR(LEFT(L131,2)="15",AND(LEFT(M131,2)&lt;&gt;"15",LEFT(M131,2)&lt;&gt;"33"))),"x","")</f>
        <v/>
      </c>
      <c r="V131" s="525" t="str">
        <f>IF(AND(OR(LEFT(TH!L131,2)="15",LEFT(TH!M131,2)="15"),'152-CT'!$J$8=TH!F131),"x","")</f>
        <v/>
      </c>
      <c r="W131" s="525" t="str">
        <f>IF(AND(OR(LEFT(TH!L131,2)="15",LEFT(TH!M131,2)="15"),TK!$E$7=TH!F131),"x","")</f>
        <v/>
      </c>
      <c r="X131" s="525" t="str">
        <f>IF(AND('341-CT'!$E$9=H131,OR(LEFT(L131,3)=$X$7,LEFT(M131,3)=$X$7)),"x","")</f>
        <v/>
      </c>
      <c r="Y131" s="525" t="str">
        <f>IF(OR(TH!L131=TH!$Y$7,M131=TH!$Y$7),"x","")</f>
        <v/>
      </c>
      <c r="Z131" s="525" t="str">
        <f>IF(AND(B131&lt;=NKC!$N$8,B131&gt;=NKC!$M$8),"x","")</f>
        <v>x</v>
      </c>
      <c r="AA131" s="535"/>
      <c r="AB131" s="536"/>
    </row>
    <row r="132" spans="1:28" s="503" customFormat="1" ht="15.75" customHeight="1">
      <c r="A132" s="517" t="str">
        <f>IF(B132&lt;&gt;"",IF(AND(B132&gt;=_TM1,B132&lt;=_TM2,OR(TH!L132="1111",TH!M132="1111")),TH!D132,""),"")</f>
        <v/>
      </c>
      <c r="B132" s="531">
        <f t="shared" si="14"/>
        <v>1</v>
      </c>
      <c r="C132" s="315">
        <f t="shared" si="15"/>
        <v>42746</v>
      </c>
      <c r="D132" s="315" t="s">
        <v>456</v>
      </c>
      <c r="E132" s="537">
        <v>42746</v>
      </c>
      <c r="F132" s="249" t="s">
        <v>457</v>
      </c>
      <c r="G132" s="314" t="s">
        <v>290</v>
      </c>
      <c r="H132" s="473" t="s">
        <v>279</v>
      </c>
      <c r="I132" s="307"/>
      <c r="J132" s="307"/>
      <c r="K132" s="532">
        <v>1829300</v>
      </c>
      <c r="L132" s="533" t="s">
        <v>24</v>
      </c>
      <c r="M132" s="533" t="s">
        <v>223</v>
      </c>
      <c r="N132" s="525" t="str">
        <f>IF(AND('331-CT'!$E$7=TH!H132,OR(L132="331",M132="331")),"331",IF(AND(OR(L132="131",M132="131"),H132='131-CT'!$E$7),"131",""))</f>
        <v/>
      </c>
      <c r="O132" s="525" t="str">
        <f>IF(AND($B132&gt;='111'!$N$11,$B132&lt;='111'!$O$11,OR($L132=$O$7,$M132=$O$7)),"x","")</f>
        <v/>
      </c>
      <c r="P132" s="525" t="str">
        <f>IF(AND($L132=$O$7,$B132&lt;'111'!$N$11),"x","")</f>
        <v/>
      </c>
      <c r="Q132" s="525" t="str">
        <f>IF(AND($M132=$O$7,$B132&lt;'111'!$N$11),"x","")</f>
        <v/>
      </c>
      <c r="R132" s="525" t="str">
        <f>IF(ISERROR(FIND('112'!$M$9,G132,1)),"",IF((AND(FIND('112'!$M$9,G132,1)&gt;=1,$B132&gt;='112'!$N$8,$B132&lt;='112'!$O$8,OR($L132='112'!$I$6,$M132='112'!$I$6))),"x",""))</f>
        <v/>
      </c>
      <c r="S132" s="525" t="str">
        <f>IF(ISERROR(FIND('112'!$M$9,G132,1)),"",IF((AND(LEFT(G132,2)=LEFT('112'!$M$9,2),B132&lt;'112'!$N$8,$L132='112'!$I$6)),"x",""))</f>
        <v/>
      </c>
      <c r="T132" s="525" t="str">
        <f>IF(ISERROR(FIND('112'!$M$9,G132,1)),"",IF((AND(RIGHT(G132,2)=RIGHT('112'!$M$9,2),B132&lt;'112'!$N$8,$M132='112'!$I$6)),"x",""))</f>
        <v/>
      </c>
      <c r="U132" s="525" t="str">
        <f>IF(AND(B132&gt;='IN-NX'!$P$3,B132&lt;='IN-NX'!$Q$3,'IN-NX'!$D$7=D132,OR(LEFT(L132,2)="15",AND(LEFT(M132,2)&lt;&gt;"15",LEFT(M132,2)&lt;&gt;"33"))),"x","")</f>
        <v/>
      </c>
      <c r="V132" s="525" t="str">
        <f>IF(AND(OR(LEFT(TH!L132,2)="15",LEFT(TH!M132,2)="15"),'152-CT'!$J$8=TH!F132),"x","")</f>
        <v/>
      </c>
      <c r="W132" s="525" t="str">
        <f>IF(AND(OR(LEFT(TH!L132,2)="15",LEFT(TH!M132,2)="15"),TK!$E$7=TH!F132),"x","")</f>
        <v/>
      </c>
      <c r="X132" s="525" t="str">
        <f>IF(AND('341-CT'!$E$9=H132,OR(LEFT(L132,3)=$X$7,LEFT(M132,3)=$X$7)),"x","")</f>
        <v/>
      </c>
      <c r="Y132" s="525" t="str">
        <f>IF(OR(TH!L132=TH!$Y$7,M132=TH!$Y$7),"x","")</f>
        <v/>
      </c>
      <c r="Z132" s="525" t="str">
        <f>IF(AND(B132&lt;=NKC!$N$8,B132&gt;=NKC!$M$8),"x","")</f>
        <v>x</v>
      </c>
      <c r="AA132" s="535"/>
      <c r="AB132" s="536"/>
    </row>
    <row r="133" spans="1:28" s="503" customFormat="1" ht="15.75" customHeight="1">
      <c r="A133" s="517" t="str">
        <f>IF(B133&lt;&gt;"",IF(AND(B133&gt;=_TM1,B133&lt;=_TM2,OR(TH!L133="1111",TH!M133="1111")),TH!D133,""),"")</f>
        <v>GBC</v>
      </c>
      <c r="B133" s="531">
        <f t="shared" si="14"/>
        <v>1</v>
      </c>
      <c r="C133" s="315">
        <f t="shared" si="15"/>
        <v>42747</v>
      </c>
      <c r="D133" s="315" t="s">
        <v>456</v>
      </c>
      <c r="E133" s="537">
        <v>42747</v>
      </c>
      <c r="F133" s="249" t="s">
        <v>459</v>
      </c>
      <c r="G133" s="314" t="s">
        <v>290</v>
      </c>
      <c r="H133" s="473" t="s">
        <v>460</v>
      </c>
      <c r="I133" s="307"/>
      <c r="J133" s="307"/>
      <c r="K133" s="532">
        <v>11700000</v>
      </c>
      <c r="L133" s="533" t="s">
        <v>24</v>
      </c>
      <c r="M133" s="533" t="s">
        <v>45</v>
      </c>
      <c r="N133" s="525" t="str">
        <f>IF(AND('331-CT'!$E$7=TH!H133,OR(L133="331",M133="331")),"331",IF(AND(OR(L133="131",M133="131"),H133='131-CT'!$E$7),"131",""))</f>
        <v/>
      </c>
      <c r="O133" s="525" t="str">
        <f>IF(AND($B133&gt;='111'!$N$11,$B133&lt;='111'!$O$11,OR($L133=$O$7,$M133=$O$7)),"x","")</f>
        <v/>
      </c>
      <c r="P133" s="525" t="str">
        <f>IF(AND($L133=$O$7,$B133&lt;'111'!$N$11),"x","")</f>
        <v/>
      </c>
      <c r="Q133" s="525" t="str">
        <f>IF(AND($M133=$O$7,$B133&lt;'111'!$N$11),"x","")</f>
        <v>x</v>
      </c>
      <c r="R133" s="525" t="str">
        <f>IF(ISERROR(FIND('112'!$M$9,G133,1)),"",IF((AND(FIND('112'!$M$9,G133,1)&gt;=1,$B133&gt;='112'!$N$8,$B133&lt;='112'!$O$8,OR($L133='112'!$I$6,$M133='112'!$I$6))),"x",""))</f>
        <v/>
      </c>
      <c r="S133" s="525" t="str">
        <f>IF(ISERROR(FIND('112'!$M$9,G133,1)),"",IF((AND(LEFT(G133,2)=LEFT('112'!$M$9,2),B133&lt;'112'!$N$8,$L133='112'!$I$6)),"x",""))</f>
        <v/>
      </c>
      <c r="T133" s="525" t="str">
        <f>IF(ISERROR(FIND('112'!$M$9,G133,1)),"",IF((AND(RIGHT(G133,2)=RIGHT('112'!$M$9,2),B133&lt;'112'!$N$8,$M133='112'!$I$6)),"x",""))</f>
        <v/>
      </c>
      <c r="U133" s="525" t="str">
        <f>IF(AND(B133&gt;='IN-NX'!$P$3,B133&lt;='IN-NX'!$Q$3,'IN-NX'!$D$7=D133,OR(LEFT(L133,2)="15",AND(LEFT(M133,2)&lt;&gt;"15",LEFT(M133,2)&lt;&gt;"33"))),"x","")</f>
        <v/>
      </c>
      <c r="V133" s="525" t="str">
        <f>IF(AND(OR(LEFT(TH!L133,2)="15",LEFT(TH!M133,2)="15"),'152-CT'!$J$8=TH!F133),"x","")</f>
        <v/>
      </c>
      <c r="W133" s="525" t="str">
        <f>IF(AND(OR(LEFT(TH!L133,2)="15",LEFT(TH!M133,2)="15"),TK!$E$7=TH!F133),"x","")</f>
        <v/>
      </c>
      <c r="X133" s="525" t="str">
        <f>IF(AND('341-CT'!$E$9=H133,OR(LEFT(L133,3)=$X$7,LEFT(M133,3)=$X$7)),"x","")</f>
        <v/>
      </c>
      <c r="Y133" s="525" t="str">
        <f>IF(OR(TH!L133=TH!$Y$7,M133=TH!$Y$7),"x","")</f>
        <v/>
      </c>
      <c r="Z133" s="525" t="str">
        <f>IF(AND(B133&lt;=NKC!$N$8,B133&gt;=NKC!$M$8),"x","")</f>
        <v>x</v>
      </c>
      <c r="AA133" s="535"/>
      <c r="AB133" s="536"/>
    </row>
    <row r="134" spans="1:28" s="503" customFormat="1" ht="15.75" customHeight="1">
      <c r="A134" s="517" t="str">
        <f>IF(B134&lt;&gt;"",IF(AND(B134&gt;=_TM1,B134&lt;=_TM2,OR(TH!L134="1111",TH!M134="1111")),TH!D134,""),"")</f>
        <v/>
      </c>
      <c r="B134" s="531">
        <f t="shared" si="14"/>
        <v>1</v>
      </c>
      <c r="C134" s="315">
        <f t="shared" si="15"/>
        <v>42748</v>
      </c>
      <c r="D134" s="315" t="s">
        <v>456</v>
      </c>
      <c r="E134" s="537">
        <v>42748</v>
      </c>
      <c r="F134" s="249" t="s">
        <v>457</v>
      </c>
      <c r="G134" s="314" t="s">
        <v>290</v>
      </c>
      <c r="H134" s="473" t="s">
        <v>394</v>
      </c>
      <c r="I134" s="307"/>
      <c r="J134" s="307"/>
      <c r="K134" s="532">
        <v>16685900</v>
      </c>
      <c r="L134" s="533" t="s">
        <v>24</v>
      </c>
      <c r="M134" s="533" t="s">
        <v>223</v>
      </c>
      <c r="N134" s="525" t="str">
        <f>IF(AND('331-CT'!$E$7=TH!H134,OR(L134="331",M134="331")),"331",IF(AND(OR(L134="131",M134="131"),H134='131-CT'!$E$7),"131",""))</f>
        <v/>
      </c>
      <c r="O134" s="525" t="str">
        <f>IF(AND($B134&gt;='111'!$N$11,$B134&lt;='111'!$O$11,OR($L134=$O$7,$M134=$O$7)),"x","")</f>
        <v/>
      </c>
      <c r="P134" s="525" t="str">
        <f>IF(AND($L134=$O$7,$B134&lt;'111'!$N$11),"x","")</f>
        <v/>
      </c>
      <c r="Q134" s="525" t="str">
        <f>IF(AND($M134=$O$7,$B134&lt;'111'!$N$11),"x","")</f>
        <v/>
      </c>
      <c r="R134" s="525" t="str">
        <f>IF(ISERROR(FIND('112'!$M$9,G134,1)),"",IF((AND(FIND('112'!$M$9,G134,1)&gt;=1,$B134&gt;='112'!$N$8,$B134&lt;='112'!$O$8,OR($L134='112'!$I$6,$M134='112'!$I$6))),"x",""))</f>
        <v/>
      </c>
      <c r="S134" s="525" t="str">
        <f>IF(ISERROR(FIND('112'!$M$9,G134,1)),"",IF((AND(LEFT(G134,2)=LEFT('112'!$M$9,2),B134&lt;'112'!$N$8,$L134='112'!$I$6)),"x",""))</f>
        <v/>
      </c>
      <c r="T134" s="525" t="str">
        <f>IF(ISERROR(FIND('112'!$M$9,G134,1)),"",IF((AND(RIGHT(G134,2)=RIGHT('112'!$M$9,2),B134&lt;'112'!$N$8,$M134='112'!$I$6)),"x",""))</f>
        <v/>
      </c>
      <c r="U134" s="525" t="str">
        <f>IF(AND(B134&gt;='IN-NX'!$P$3,B134&lt;='IN-NX'!$Q$3,'IN-NX'!$D$7=D134,OR(LEFT(L134,2)="15",AND(LEFT(M134,2)&lt;&gt;"15",LEFT(M134,2)&lt;&gt;"33"))),"x","")</f>
        <v/>
      </c>
      <c r="V134" s="525" t="str">
        <f>IF(AND(OR(LEFT(TH!L134,2)="15",LEFT(TH!M134,2)="15"),'152-CT'!$J$8=TH!F134),"x","")</f>
        <v/>
      </c>
      <c r="W134" s="525" t="str">
        <f>IF(AND(OR(LEFT(TH!L134,2)="15",LEFT(TH!M134,2)="15"),TK!$E$7=TH!F134),"x","")</f>
        <v/>
      </c>
      <c r="X134" s="525" t="str">
        <f>IF(AND('341-CT'!$E$9=H134,OR(LEFT(L134,3)=$X$7,LEFT(M134,3)=$X$7)),"x","")</f>
        <v/>
      </c>
      <c r="Y134" s="525" t="str">
        <f>IF(OR(TH!L134=TH!$Y$7,M134=TH!$Y$7),"x","")</f>
        <v/>
      </c>
      <c r="Z134" s="525" t="str">
        <f>IF(AND(B134&lt;=NKC!$N$8,B134&gt;=NKC!$M$8),"x","")</f>
        <v>x</v>
      </c>
      <c r="AA134" s="535"/>
      <c r="AB134" s="536"/>
    </row>
    <row r="135" spans="1:28" s="503" customFormat="1" ht="15.75" customHeight="1">
      <c r="A135" s="517" t="str">
        <f>IF(B135&lt;&gt;"",IF(AND(B135&gt;=_TM1,B135&lt;=_TM2,OR(TH!L135="1111",TH!M135="1111")),TH!D135,""),"")</f>
        <v/>
      </c>
      <c r="B135" s="531">
        <f t="shared" si="14"/>
        <v>1</v>
      </c>
      <c r="C135" s="315">
        <f t="shared" si="15"/>
        <v>42748</v>
      </c>
      <c r="D135" s="315" t="s">
        <v>456</v>
      </c>
      <c r="E135" s="537">
        <v>42748</v>
      </c>
      <c r="F135" s="249" t="s">
        <v>457</v>
      </c>
      <c r="G135" s="314" t="s">
        <v>290</v>
      </c>
      <c r="H135" s="473" t="s">
        <v>379</v>
      </c>
      <c r="I135" s="307"/>
      <c r="J135" s="307"/>
      <c r="K135" s="532">
        <v>11827200</v>
      </c>
      <c r="L135" s="533" t="s">
        <v>24</v>
      </c>
      <c r="M135" s="533" t="s">
        <v>223</v>
      </c>
      <c r="N135" s="525" t="str">
        <f>IF(AND('331-CT'!$E$7=TH!H135,OR(L135="331",M135="331")),"331",IF(AND(OR(L135="131",M135="131"),H135='131-CT'!$E$7),"131",""))</f>
        <v/>
      </c>
      <c r="O135" s="525" t="str">
        <f>IF(AND($B135&gt;='111'!$N$11,$B135&lt;='111'!$O$11,OR($L135=$O$7,$M135=$O$7)),"x","")</f>
        <v/>
      </c>
      <c r="P135" s="525" t="str">
        <f>IF(AND($L135=$O$7,$B135&lt;'111'!$N$11),"x","")</f>
        <v/>
      </c>
      <c r="Q135" s="525" t="str">
        <f>IF(AND($M135=$O$7,$B135&lt;'111'!$N$11),"x","")</f>
        <v/>
      </c>
      <c r="R135" s="525" t="str">
        <f>IF(ISERROR(FIND('112'!$M$9,G135,1)),"",IF((AND(FIND('112'!$M$9,G135,1)&gt;=1,$B135&gt;='112'!$N$8,$B135&lt;='112'!$O$8,OR($L135='112'!$I$6,$M135='112'!$I$6))),"x",""))</f>
        <v/>
      </c>
      <c r="S135" s="525" t="str">
        <f>IF(ISERROR(FIND('112'!$M$9,G135,1)),"",IF((AND(LEFT(G135,2)=LEFT('112'!$M$9,2),B135&lt;'112'!$N$8,$L135='112'!$I$6)),"x",""))</f>
        <v/>
      </c>
      <c r="T135" s="525" t="str">
        <f>IF(ISERROR(FIND('112'!$M$9,G135,1)),"",IF((AND(RIGHT(G135,2)=RIGHT('112'!$M$9,2),B135&lt;'112'!$N$8,$M135='112'!$I$6)),"x",""))</f>
        <v/>
      </c>
      <c r="U135" s="525" t="str">
        <f>IF(AND(B135&gt;='IN-NX'!$P$3,B135&lt;='IN-NX'!$Q$3,'IN-NX'!$D$7=D135,OR(LEFT(L135,2)="15",AND(LEFT(M135,2)&lt;&gt;"15",LEFT(M135,2)&lt;&gt;"33"))),"x","")</f>
        <v/>
      </c>
      <c r="V135" s="525" t="str">
        <f>IF(AND(OR(LEFT(TH!L135,2)="15",LEFT(TH!M135,2)="15"),'152-CT'!$J$8=TH!F135),"x","")</f>
        <v/>
      </c>
      <c r="W135" s="525" t="str">
        <f>IF(AND(OR(LEFT(TH!L135,2)="15",LEFT(TH!M135,2)="15"),TK!$E$7=TH!F135),"x","")</f>
        <v/>
      </c>
      <c r="X135" s="525" t="str">
        <f>IF(AND('341-CT'!$E$9=H135,OR(LEFT(L135,3)=$X$7,LEFT(M135,3)=$X$7)),"x","")</f>
        <v/>
      </c>
      <c r="Y135" s="525" t="str">
        <f>IF(OR(TH!L135=TH!$Y$7,M135=TH!$Y$7),"x","")</f>
        <v/>
      </c>
      <c r="Z135" s="525" t="str">
        <f>IF(AND(B135&lt;=NKC!$N$8,B135&gt;=NKC!$M$8),"x","")</f>
        <v>x</v>
      </c>
      <c r="AA135" s="535"/>
    </row>
    <row r="136" spans="1:28" s="503" customFormat="1" ht="15.75" customHeight="1">
      <c r="A136" s="517" t="str">
        <f>IF(B136&lt;&gt;"",IF(AND(B136&gt;=_TM1,B136&lt;=_TM2,OR(TH!L136="1111",TH!M136="1111")),TH!D136,""),"")</f>
        <v>GBC</v>
      </c>
      <c r="B136" s="531">
        <f t="shared" si="14"/>
        <v>1</v>
      </c>
      <c r="C136" s="315">
        <f t="shared" si="15"/>
        <v>42754</v>
      </c>
      <c r="D136" s="315" t="s">
        <v>456</v>
      </c>
      <c r="E136" s="315">
        <v>42754</v>
      </c>
      <c r="F136" s="249" t="s">
        <v>459</v>
      </c>
      <c r="G136" s="314" t="s">
        <v>290</v>
      </c>
      <c r="H136" s="473" t="s">
        <v>460</v>
      </c>
      <c r="I136" s="307"/>
      <c r="J136" s="307"/>
      <c r="K136" s="532">
        <v>1200000</v>
      </c>
      <c r="L136" s="533" t="s">
        <v>24</v>
      </c>
      <c r="M136" s="533" t="s">
        <v>45</v>
      </c>
      <c r="N136" s="525" t="str">
        <f>IF(AND('331-CT'!$E$7=TH!H136,OR(L136="331",M136="331")),"331",IF(AND(OR(L136="131",M136="131"),H136='131-CT'!$E$7),"131",""))</f>
        <v/>
      </c>
      <c r="O136" s="525" t="str">
        <f>IF(AND($B136&gt;='111'!$N$11,$B136&lt;='111'!$O$11,OR($L136=$O$7,$M136=$O$7)),"x","")</f>
        <v/>
      </c>
      <c r="P136" s="525" t="str">
        <f>IF(AND($L136=$O$7,$B136&lt;'111'!$N$11),"x","")</f>
        <v/>
      </c>
      <c r="Q136" s="525" t="str">
        <f>IF(AND($M136=$O$7,$B136&lt;'111'!$N$11),"x","")</f>
        <v>x</v>
      </c>
      <c r="R136" s="525" t="str">
        <f>IF(ISERROR(FIND('112'!$M$9,G136,1)),"",IF((AND(FIND('112'!$M$9,G136,1)&gt;=1,$B136&gt;='112'!$N$8,$B136&lt;='112'!$O$8,OR($L136='112'!$I$6,$M136='112'!$I$6))),"x",""))</f>
        <v/>
      </c>
      <c r="S136" s="525" t="str">
        <f>IF(ISERROR(FIND('112'!$M$9,G136,1)),"",IF((AND(LEFT(G136,2)=LEFT('112'!$M$9,2),B136&lt;'112'!$N$8,$L136='112'!$I$6)),"x",""))</f>
        <v/>
      </c>
      <c r="T136" s="525" t="str">
        <f>IF(ISERROR(FIND('112'!$M$9,G136,1)),"",IF((AND(RIGHT(G136,2)=RIGHT('112'!$M$9,2),B136&lt;'112'!$N$8,$M136='112'!$I$6)),"x",""))</f>
        <v/>
      </c>
      <c r="U136" s="525" t="str">
        <f>IF(AND(B136&gt;='IN-NX'!$P$3,B136&lt;='IN-NX'!$Q$3,'IN-NX'!$D$7=D136,OR(LEFT(L136,2)="15",AND(LEFT(M136,2)&lt;&gt;"15",LEFT(M136,2)&lt;&gt;"33"))),"x","")</f>
        <v/>
      </c>
      <c r="V136" s="525" t="str">
        <f>IF(AND(OR(LEFT(TH!L136,2)="15",LEFT(TH!M136,2)="15"),'152-CT'!$J$8=TH!F136),"x","")</f>
        <v/>
      </c>
      <c r="W136" s="525" t="str">
        <f>IF(AND(OR(LEFT(TH!L136,2)="15",LEFT(TH!M136,2)="15"),TK!$E$7=TH!F136),"x","")</f>
        <v/>
      </c>
      <c r="X136" s="525" t="str">
        <f>IF(AND('341-CT'!$E$9=H136,OR(LEFT(L136,3)=$X$7,LEFT(M136,3)=$X$7)),"x","")</f>
        <v/>
      </c>
      <c r="Y136" s="525" t="str">
        <f>IF(OR(TH!L136=TH!$Y$7,M136=TH!$Y$7),"x","")</f>
        <v/>
      </c>
      <c r="Z136" s="525" t="str">
        <f>IF(AND(B136&lt;=NKC!$N$8,B136&gt;=NKC!$M$8),"x","")</f>
        <v>x</v>
      </c>
      <c r="AA136" s="535"/>
      <c r="AB136" s="536"/>
    </row>
    <row r="137" spans="1:28" s="503" customFormat="1" ht="15.75" customHeight="1">
      <c r="A137" s="517" t="str">
        <f>IF(B137&lt;&gt;"",IF(AND(B137&gt;=_TM1,B137&lt;=_TM2,OR(TH!L137="1111",TH!M137="1111")),TH!D137,""),"")</f>
        <v>GBC</v>
      </c>
      <c r="B137" s="531">
        <f t="shared" si="14"/>
        <v>1</v>
      </c>
      <c r="C137" s="315">
        <f t="shared" si="15"/>
        <v>42754</v>
      </c>
      <c r="D137" s="315" t="s">
        <v>456</v>
      </c>
      <c r="E137" s="315">
        <v>42754</v>
      </c>
      <c r="F137" s="249" t="s">
        <v>459</v>
      </c>
      <c r="G137" s="314" t="s">
        <v>290</v>
      </c>
      <c r="H137" s="473" t="s">
        <v>460</v>
      </c>
      <c r="I137" s="307"/>
      <c r="J137" s="307"/>
      <c r="K137" s="532">
        <v>1917000000</v>
      </c>
      <c r="L137" s="533" t="s">
        <v>24</v>
      </c>
      <c r="M137" s="533" t="s">
        <v>45</v>
      </c>
      <c r="N137" s="525" t="str">
        <f>IF(AND('331-CT'!$E$7=TH!H137,OR(L137="331",M137="331")),"331",IF(AND(OR(L137="131",M137="131"),H137='131-CT'!$E$7),"131",""))</f>
        <v/>
      </c>
      <c r="O137" s="525" t="str">
        <f>IF(AND($B137&gt;='111'!$N$11,$B137&lt;='111'!$O$11,OR($L137=$O$7,$M137=$O$7)),"x","")</f>
        <v/>
      </c>
      <c r="P137" s="525" t="str">
        <f>IF(AND($L137=$O$7,$B137&lt;'111'!$N$11),"x","")</f>
        <v/>
      </c>
      <c r="Q137" s="525" t="str">
        <f>IF(AND($M137=$O$7,$B137&lt;'111'!$N$11),"x","")</f>
        <v>x</v>
      </c>
      <c r="R137" s="525" t="str">
        <f>IF(ISERROR(FIND('112'!$M$9,G137,1)),"",IF((AND(FIND('112'!$M$9,G137,1)&gt;=1,$B137&gt;='112'!$N$8,$B137&lt;='112'!$O$8,OR($L137='112'!$I$6,$M137='112'!$I$6))),"x",""))</f>
        <v/>
      </c>
      <c r="S137" s="525" t="str">
        <f>IF(ISERROR(FIND('112'!$M$9,G137,1)),"",IF((AND(LEFT(G137,2)=LEFT('112'!$M$9,2),B137&lt;'112'!$N$8,$L137='112'!$I$6)),"x",""))</f>
        <v/>
      </c>
      <c r="T137" s="525" t="str">
        <f>IF(ISERROR(FIND('112'!$M$9,G137,1)),"",IF((AND(RIGHT(G137,2)=RIGHT('112'!$M$9,2),B137&lt;'112'!$N$8,$M137='112'!$I$6)),"x",""))</f>
        <v/>
      </c>
      <c r="U137" s="525" t="str">
        <f>IF(AND(B137&gt;='IN-NX'!$P$3,B137&lt;='IN-NX'!$Q$3,'IN-NX'!$D$7=D137,OR(LEFT(L137,2)="15",AND(LEFT(M137,2)&lt;&gt;"15",LEFT(M137,2)&lt;&gt;"33"))),"x","")</f>
        <v/>
      </c>
      <c r="V137" s="525" t="str">
        <f>IF(AND(OR(LEFT(TH!L137,2)="15",LEFT(TH!M137,2)="15"),'152-CT'!$J$8=TH!F137),"x","")</f>
        <v/>
      </c>
      <c r="W137" s="525" t="str">
        <f>IF(AND(OR(LEFT(TH!L137,2)="15",LEFT(TH!M137,2)="15"),TK!$E$7=TH!F137),"x","")</f>
        <v/>
      </c>
      <c r="X137" s="525" t="str">
        <f>IF(AND('341-CT'!$E$9=H137,OR(LEFT(L137,3)=$X$7,LEFT(M137,3)=$X$7)),"x","")</f>
        <v/>
      </c>
      <c r="Y137" s="525" t="str">
        <f>IF(OR(TH!L137=TH!$Y$7,M137=TH!$Y$7),"x","")</f>
        <v/>
      </c>
      <c r="Z137" s="525" t="str">
        <f>IF(AND(B137&lt;=NKC!$N$8,B137&gt;=NKC!$M$8),"x","")</f>
        <v>x</v>
      </c>
      <c r="AA137" s="535"/>
      <c r="AB137" s="536"/>
    </row>
    <row r="138" spans="1:28" s="503" customFormat="1" ht="15.75" customHeight="1">
      <c r="A138" s="517" t="str">
        <f>IF(B138&lt;&gt;"",IF(AND(B138&gt;=_TM1,B138&lt;=_TM2,OR(TH!L138="1111",TH!M138="1111")),TH!D138,""),"")</f>
        <v/>
      </c>
      <c r="B138" s="531">
        <f t="shared" si="14"/>
        <v>1</v>
      </c>
      <c r="C138" s="315">
        <f t="shared" si="15"/>
        <v>42758</v>
      </c>
      <c r="D138" s="315" t="s">
        <v>456</v>
      </c>
      <c r="E138" s="315">
        <v>42758</v>
      </c>
      <c r="F138" s="249" t="s">
        <v>457</v>
      </c>
      <c r="G138" s="314" t="s">
        <v>290</v>
      </c>
      <c r="H138" s="472" t="s">
        <v>291</v>
      </c>
      <c r="I138" s="307"/>
      <c r="J138" s="307"/>
      <c r="K138" s="532">
        <v>8580000</v>
      </c>
      <c r="L138" s="533" t="s">
        <v>24</v>
      </c>
      <c r="M138" s="533" t="s">
        <v>223</v>
      </c>
      <c r="N138" s="525" t="str">
        <f>IF(AND('331-CT'!$E$7=TH!H138,OR(L138="331",M138="331")),"331",IF(AND(OR(L138="131",M138="131"),H138='131-CT'!$E$7),"131",""))</f>
        <v/>
      </c>
      <c r="O138" s="525" t="str">
        <f>IF(AND($B138&gt;='111'!$N$11,$B138&lt;='111'!$O$11,OR($L138=$O$7,$M138=$O$7)),"x","")</f>
        <v/>
      </c>
      <c r="P138" s="525" t="str">
        <f>IF(AND($L138=$O$7,$B138&lt;'111'!$N$11),"x","")</f>
        <v/>
      </c>
      <c r="Q138" s="525" t="str">
        <f>IF(AND($M138=$O$7,$B138&lt;'111'!$N$11),"x","")</f>
        <v/>
      </c>
      <c r="R138" s="525" t="str">
        <f>IF(ISERROR(FIND('112'!$M$9,G138,1)),"",IF((AND(FIND('112'!$M$9,G138,1)&gt;=1,$B138&gt;='112'!$N$8,$B138&lt;='112'!$O$8,OR($L138='112'!$I$6,$M138='112'!$I$6))),"x",""))</f>
        <v/>
      </c>
      <c r="S138" s="525" t="str">
        <f>IF(ISERROR(FIND('112'!$M$9,G138,1)),"",IF((AND(LEFT(G138,2)=LEFT('112'!$M$9,2),B138&lt;'112'!$N$8,$L138='112'!$I$6)),"x",""))</f>
        <v/>
      </c>
      <c r="T138" s="525" t="str">
        <f>IF(ISERROR(FIND('112'!$M$9,G138,1)),"",IF((AND(RIGHT(G138,2)=RIGHT('112'!$M$9,2),B138&lt;'112'!$N$8,$M138='112'!$I$6)),"x",""))</f>
        <v/>
      </c>
      <c r="U138" s="525" t="str">
        <f>IF(AND(B138&gt;='IN-NX'!$P$3,B138&lt;='IN-NX'!$Q$3,'IN-NX'!$D$7=D138,OR(LEFT(L138,2)="15",AND(LEFT(M138,2)&lt;&gt;"15",LEFT(M138,2)&lt;&gt;"33"))),"x","")</f>
        <v/>
      </c>
      <c r="V138" s="525" t="str">
        <f>IF(AND(OR(LEFT(TH!L138,2)="15",LEFT(TH!M138,2)="15"),'152-CT'!$J$8=TH!F138),"x","")</f>
        <v/>
      </c>
      <c r="W138" s="525" t="str">
        <f>IF(AND(OR(LEFT(TH!L138,2)="15",LEFT(TH!M138,2)="15"),TK!$E$7=TH!F138),"x","")</f>
        <v/>
      </c>
      <c r="X138" s="525" t="str">
        <f>IF(AND('341-CT'!$E$9=H138,OR(LEFT(L138,3)=$X$7,LEFT(M138,3)=$X$7)),"x","")</f>
        <v/>
      </c>
      <c r="Y138" s="525" t="str">
        <f>IF(OR(TH!L138=TH!$Y$7,M138=TH!$Y$7),"x","")</f>
        <v/>
      </c>
      <c r="Z138" s="525" t="str">
        <f>IF(AND(B138&lt;=NKC!$N$8,B138&gt;=NKC!$M$8),"x","")</f>
        <v>x</v>
      </c>
      <c r="AA138" s="535"/>
      <c r="AB138" s="536"/>
    </row>
    <row r="139" spans="1:28" s="503" customFormat="1" ht="15.75" customHeight="1">
      <c r="A139" s="517" t="str">
        <f>IF(B139&lt;&gt;"",IF(AND(B139&gt;=_TM1,B139&lt;=_TM2,OR(TH!L139="1111",TH!M139="1111")),TH!D139,""),"")</f>
        <v/>
      </c>
      <c r="B139" s="531">
        <f t="shared" si="14"/>
        <v>1</v>
      </c>
      <c r="C139" s="315">
        <f t="shared" si="15"/>
        <v>42760</v>
      </c>
      <c r="D139" s="315" t="s">
        <v>456</v>
      </c>
      <c r="E139" s="315">
        <v>42760</v>
      </c>
      <c r="F139" s="249" t="s">
        <v>458</v>
      </c>
      <c r="G139" s="314" t="s">
        <v>290</v>
      </c>
      <c r="H139" s="473"/>
      <c r="I139" s="307"/>
      <c r="J139" s="307"/>
      <c r="K139" s="532">
        <v>1424</v>
      </c>
      <c r="L139" s="533" t="s">
        <v>24</v>
      </c>
      <c r="M139" s="533" t="s">
        <v>38</v>
      </c>
      <c r="N139" s="525" t="str">
        <f>IF(AND('331-CT'!$E$7=TH!H139,OR(L139="331",M139="331")),"331",IF(AND(OR(L139="131",M139="131"),H139='131-CT'!$E$7),"131",""))</f>
        <v/>
      </c>
      <c r="O139" s="525" t="str">
        <f>IF(AND($B139&gt;='111'!$N$11,$B139&lt;='111'!$O$11,OR($L139=$O$7,$M139=$O$7)),"x","")</f>
        <v/>
      </c>
      <c r="P139" s="525" t="str">
        <f>IF(AND($L139=$O$7,$B139&lt;'111'!$N$11),"x","")</f>
        <v/>
      </c>
      <c r="Q139" s="525" t="str">
        <f>IF(AND($M139=$O$7,$B139&lt;'111'!$N$11),"x","")</f>
        <v/>
      </c>
      <c r="R139" s="525" t="str">
        <f>IF(ISERROR(FIND('112'!$M$9,G139,1)),"",IF((AND(FIND('112'!$M$9,G139,1)&gt;=1,$B139&gt;='112'!$N$8,$B139&lt;='112'!$O$8,OR($L139='112'!$I$6,$M139='112'!$I$6))),"x",""))</f>
        <v/>
      </c>
      <c r="S139" s="525" t="str">
        <f>IF(ISERROR(FIND('112'!$M$9,G139,1)),"",IF((AND(LEFT(G139,2)=LEFT('112'!$M$9,2),B139&lt;'112'!$N$8,$L139='112'!$I$6)),"x",""))</f>
        <v/>
      </c>
      <c r="T139" s="525" t="str">
        <f>IF(ISERROR(FIND('112'!$M$9,G139,1)),"",IF((AND(RIGHT(G139,2)=RIGHT('112'!$M$9,2),B139&lt;'112'!$N$8,$M139='112'!$I$6)),"x",""))</f>
        <v/>
      </c>
      <c r="U139" s="525" t="str">
        <f>IF(AND(B139&gt;='IN-NX'!$P$3,B139&lt;='IN-NX'!$Q$3,'IN-NX'!$D$7=D139,OR(LEFT(L139,2)="15",AND(LEFT(M139,2)&lt;&gt;"15",LEFT(M139,2)&lt;&gt;"33"))),"x","")</f>
        <v/>
      </c>
      <c r="V139" s="525" t="str">
        <f>IF(AND(OR(LEFT(TH!L139,2)="15",LEFT(TH!M139,2)="15"),'152-CT'!$J$8=TH!F139),"x","")</f>
        <v/>
      </c>
      <c r="W139" s="525" t="str">
        <f>IF(AND(OR(LEFT(TH!L139,2)="15",LEFT(TH!M139,2)="15"),TK!$E$7=TH!F139),"x","")</f>
        <v/>
      </c>
      <c r="X139" s="525" t="str">
        <f>IF(AND('341-CT'!$E$9=H139,OR(LEFT(L139,3)=$X$7,LEFT(M139,3)=$X$7)),"x","")</f>
        <v/>
      </c>
      <c r="Y139" s="525" t="str">
        <f>IF(OR(TH!L139=TH!$Y$7,M139=TH!$Y$7),"x","")</f>
        <v/>
      </c>
      <c r="Z139" s="525" t="str">
        <f>IF(AND(B139&lt;=NKC!$N$8,B139&gt;=NKC!$M$8),"x","")</f>
        <v>x</v>
      </c>
      <c r="AA139" s="535"/>
      <c r="AB139" s="536"/>
    </row>
    <row r="140" spans="1:28" s="503" customFormat="1" ht="15.75" customHeight="1">
      <c r="A140" s="517" t="str">
        <f>IF(B140&lt;&gt;"",IF(AND(B140&gt;=_TM1,B140&lt;=_TM2,OR(TH!L140="1111",TH!M140="1111")),TH!D140,""),"")</f>
        <v/>
      </c>
      <c r="B140" s="531">
        <f t="shared" si="14"/>
        <v>1</v>
      </c>
      <c r="C140" s="315">
        <f t="shared" si="15"/>
        <v>42739</v>
      </c>
      <c r="D140" s="315" t="s">
        <v>461</v>
      </c>
      <c r="E140" s="315">
        <v>42739</v>
      </c>
      <c r="F140" s="249" t="s">
        <v>462</v>
      </c>
      <c r="G140" s="314" t="s">
        <v>290</v>
      </c>
      <c r="H140" s="473"/>
      <c r="I140" s="307"/>
      <c r="J140" s="307"/>
      <c r="K140" s="532">
        <v>3273996</v>
      </c>
      <c r="L140" s="533" t="s">
        <v>302</v>
      </c>
      <c r="M140" s="533" t="s">
        <v>24</v>
      </c>
      <c r="N140" s="525" t="str">
        <f>IF(AND('331-CT'!$E$7=TH!H140,OR(L140="331",M140="331")),"331",IF(AND(OR(L140="131",M140="131"),H140='131-CT'!$E$7),"131",""))</f>
        <v/>
      </c>
      <c r="O140" s="525" t="str">
        <f>IF(AND($B140&gt;='111'!$N$11,$B140&lt;='111'!$O$11,OR($L140=$O$7,$M140=$O$7)),"x","")</f>
        <v/>
      </c>
      <c r="P140" s="525" t="str">
        <f>IF(AND($L140=$O$7,$B140&lt;'111'!$N$11),"x","")</f>
        <v/>
      </c>
      <c r="Q140" s="525" t="str">
        <f>IF(AND($M140=$O$7,$B140&lt;'111'!$N$11),"x","")</f>
        <v/>
      </c>
      <c r="R140" s="525" t="str">
        <f>IF(ISERROR(FIND('112'!$M$9,G140,1)),"",IF((AND(FIND('112'!$M$9,G140,1)&gt;=1,$B140&gt;='112'!$N$8,$B140&lt;='112'!$O$8,OR($L140='112'!$I$6,$M140='112'!$I$6))),"x",""))</f>
        <v/>
      </c>
      <c r="S140" s="525" t="str">
        <f>IF(ISERROR(FIND('112'!$M$9,G140,1)),"",IF((AND(LEFT(G140,2)=LEFT('112'!$M$9,2),B140&lt;'112'!$N$8,$L140='112'!$I$6)),"x",""))</f>
        <v/>
      </c>
      <c r="T140" s="525" t="str">
        <f>IF(ISERROR(FIND('112'!$M$9,G140,1)),"",IF((AND(RIGHT(G140,2)=RIGHT('112'!$M$9,2),B140&lt;'112'!$N$8,$M140='112'!$I$6)),"x",""))</f>
        <v/>
      </c>
      <c r="U140" s="525" t="str">
        <f>IF(AND(B140&gt;='IN-NX'!$P$3,B140&lt;='IN-NX'!$Q$3,'IN-NX'!$D$7=D140,OR(LEFT(L140,2)="15",AND(LEFT(M140,2)&lt;&gt;"15",LEFT(M140,2)&lt;&gt;"33"))),"x","")</f>
        <v/>
      </c>
      <c r="V140" s="525" t="str">
        <f>IF(AND(OR(LEFT(TH!L140,2)="15",LEFT(TH!M140,2)="15"),'152-CT'!$J$8=TH!F140),"x","")</f>
        <v/>
      </c>
      <c r="W140" s="525" t="str">
        <f>IF(AND(OR(LEFT(TH!L140,2)="15",LEFT(TH!M140,2)="15"),TK!$E$7=TH!F140),"x","")</f>
        <v/>
      </c>
      <c r="X140" s="525" t="str">
        <f>IF(AND('341-CT'!$E$9=H140,OR(LEFT(L140,3)=$X$7,LEFT(M140,3)=$X$7)),"x","")</f>
        <v/>
      </c>
      <c r="Y140" s="525" t="str">
        <f>IF(OR(TH!L140=TH!$Y$7,M140=TH!$Y$7),"x","")</f>
        <v/>
      </c>
      <c r="Z140" s="525" t="str">
        <f>IF(AND(B140&lt;=NKC!$N$8,B140&gt;=NKC!$M$8),"x","")</f>
        <v>x</v>
      </c>
      <c r="AA140" s="535"/>
      <c r="AB140" s="536"/>
    </row>
    <row r="141" spans="1:28" s="503" customFormat="1" ht="15.75" customHeight="1">
      <c r="A141" s="517" t="str">
        <f>IF(B141&lt;&gt;"",IF(AND(B141&gt;=_TM1,B141&lt;=_TM2,OR(TH!L141="1111",TH!M141="1111")),TH!D141,""),"")</f>
        <v/>
      </c>
      <c r="B141" s="531">
        <f>IF(C141&lt;&gt;"",MONTH(C141),"")</f>
        <v>1</v>
      </c>
      <c r="C141" s="315">
        <f>E141</f>
        <v>42739</v>
      </c>
      <c r="D141" s="315" t="s">
        <v>461</v>
      </c>
      <c r="E141" s="315">
        <v>42739</v>
      </c>
      <c r="F141" s="248" t="s">
        <v>463</v>
      </c>
      <c r="G141" s="314" t="s">
        <v>290</v>
      </c>
      <c r="H141" s="473"/>
      <c r="I141" s="307"/>
      <c r="J141" s="307"/>
      <c r="K141" s="532">
        <v>10000</v>
      </c>
      <c r="L141" s="533" t="s">
        <v>81</v>
      </c>
      <c r="M141" s="533" t="s">
        <v>24</v>
      </c>
      <c r="N141" s="525" t="str">
        <f>IF(AND('331-CT'!$E$7=TH!H141,OR(L141="331",M141="331")),"331",IF(AND(OR(L141="131",M141="131"),H141='131-CT'!$E$7),"131",""))</f>
        <v/>
      </c>
      <c r="O141" s="525" t="str">
        <f>IF(AND($B141&gt;='111'!$N$11,$B141&lt;='111'!$O$11,OR($L141=$O$7,$M141=$O$7)),"x","")</f>
        <v/>
      </c>
      <c r="P141" s="525" t="str">
        <f>IF(AND($L141=$O$7,$B141&lt;'111'!$N$11),"x","")</f>
        <v/>
      </c>
      <c r="Q141" s="525" t="str">
        <f>IF(AND($M141=$O$7,$B141&lt;'111'!$N$11),"x","")</f>
        <v/>
      </c>
      <c r="R141" s="525" t="str">
        <f>IF(ISERROR(FIND('112'!$M$9,G141,1)),"",IF((AND(FIND('112'!$M$9,G141,1)&gt;=1,$B141&gt;='112'!$N$8,$B141&lt;='112'!$O$8,OR($L141='112'!$I$6,$M141='112'!$I$6))),"x",""))</f>
        <v/>
      </c>
      <c r="S141" s="525" t="str">
        <f>IF(ISERROR(FIND('112'!$M$9,G141,1)),"",IF((AND(LEFT(G141,2)=LEFT('112'!$M$9,2),B141&lt;'112'!$N$8,$L141='112'!$I$6)),"x",""))</f>
        <v/>
      </c>
      <c r="T141" s="525" t="str">
        <f>IF(ISERROR(FIND('112'!$M$9,G141,1)),"",IF((AND(RIGHT(G141,2)=RIGHT('112'!$M$9,2),B141&lt;'112'!$N$8,$M141='112'!$I$6)),"x",""))</f>
        <v/>
      </c>
      <c r="U141" s="525" t="str">
        <f>IF(AND(B141&gt;='IN-NX'!$P$3,B141&lt;='IN-NX'!$Q$3,'IN-NX'!$D$7=D141,OR(LEFT(L141,2)="15",AND(LEFT(M141,2)&lt;&gt;"15",LEFT(M141,2)&lt;&gt;"33"))),"x","")</f>
        <v/>
      </c>
      <c r="V141" s="525" t="str">
        <f>IF(AND(OR(LEFT(TH!L141,2)="15",LEFT(TH!M141,2)="15"),'152-CT'!$J$8=TH!F141),"x","")</f>
        <v/>
      </c>
      <c r="W141" s="525" t="str">
        <f>IF(AND(OR(LEFT(TH!L141,2)="15",LEFT(TH!M141,2)="15"),TK!$E$7=TH!F141),"x","")</f>
        <v/>
      </c>
      <c r="X141" s="525" t="str">
        <f>IF(AND('341-CT'!$E$9=H141,OR(LEFT(L141,3)=$X$7,LEFT(M141,3)=$X$7)),"x","")</f>
        <v/>
      </c>
      <c r="Y141" s="525" t="str">
        <f>IF(OR(TH!L141=TH!$Y$7,M141=TH!$Y$7),"x","")</f>
        <v/>
      </c>
      <c r="Z141" s="525" t="str">
        <f>IF(AND(B141&lt;=NKC!$N$8,B141&gt;=NKC!$M$8),"x","")</f>
        <v>x</v>
      </c>
      <c r="AA141" s="535">
        <v>1</v>
      </c>
      <c r="AB141" s="536"/>
    </row>
    <row r="142" spans="1:28" s="503" customFormat="1" ht="15.75" customHeight="1">
      <c r="A142" s="517" t="str">
        <f>IF(B142&lt;&gt;"",IF(AND(B142&gt;=_TM1,B142&lt;=_TM2,OR(TH!L142="1111",TH!M142="1111")),TH!D142,""),"")</f>
        <v/>
      </c>
      <c r="B142" s="531">
        <f>IF(C142&lt;&gt;"",MONTH(C142),"")</f>
        <v>1</v>
      </c>
      <c r="C142" s="315">
        <f>E142</f>
        <v>42739</v>
      </c>
      <c r="D142" s="315" t="s">
        <v>461</v>
      </c>
      <c r="E142" s="315">
        <v>42739</v>
      </c>
      <c r="F142" s="248" t="s">
        <v>464</v>
      </c>
      <c r="G142" s="314" t="s">
        <v>290</v>
      </c>
      <c r="H142" s="473"/>
      <c r="I142" s="307"/>
      <c r="J142" s="307"/>
      <c r="K142" s="532">
        <v>1000</v>
      </c>
      <c r="L142" s="533" t="s">
        <v>9</v>
      </c>
      <c r="M142" s="533" t="s">
        <v>24</v>
      </c>
      <c r="N142" s="525" t="str">
        <f>IF(AND('331-CT'!$E$7=TH!H142,OR(L142="331",M142="331")),"331",IF(AND(OR(L142="131",M142="131"),H142='131-CT'!$E$7),"131",""))</f>
        <v/>
      </c>
      <c r="O142" s="525" t="str">
        <f>IF(AND($B142&gt;='111'!$N$11,$B142&lt;='111'!$O$11,OR($L142=$O$7,$M142=$O$7)),"x","")</f>
        <v/>
      </c>
      <c r="P142" s="525" t="str">
        <f>IF(AND($L142=$O$7,$B142&lt;'111'!$N$11),"x","")</f>
        <v/>
      </c>
      <c r="Q142" s="525" t="str">
        <f>IF(AND($M142=$O$7,$B142&lt;'111'!$N$11),"x","")</f>
        <v/>
      </c>
      <c r="R142" s="525" t="str">
        <f>IF(ISERROR(FIND('112'!$M$9,G142,1)),"",IF((AND(FIND('112'!$M$9,G142,1)&gt;=1,$B142&gt;='112'!$N$8,$B142&lt;='112'!$O$8,OR($L142='112'!$I$6,$M142='112'!$I$6))),"x",""))</f>
        <v/>
      </c>
      <c r="S142" s="525" t="str">
        <f>IF(ISERROR(FIND('112'!$M$9,G142,1)),"",IF((AND(LEFT(G142,2)=LEFT('112'!$M$9,2),B142&lt;'112'!$N$8,$L142='112'!$I$6)),"x",""))</f>
        <v/>
      </c>
      <c r="T142" s="525" t="str">
        <f>IF(ISERROR(FIND('112'!$M$9,G142,1)),"",IF((AND(RIGHT(G142,2)=RIGHT('112'!$M$9,2),B142&lt;'112'!$N$8,$M142='112'!$I$6)),"x",""))</f>
        <v/>
      </c>
      <c r="U142" s="525" t="str">
        <f>IF(AND(B142&gt;='IN-NX'!$P$3,B142&lt;='IN-NX'!$Q$3,'IN-NX'!$D$7=D142,OR(LEFT(L142,2)="15",AND(LEFT(M142,2)&lt;&gt;"15",LEFT(M142,2)&lt;&gt;"33"))),"x","")</f>
        <v/>
      </c>
      <c r="V142" s="525" t="str">
        <f>IF(AND(OR(LEFT(TH!L142,2)="15",LEFT(TH!M142,2)="15"),'152-CT'!$J$8=TH!F142),"x","")</f>
        <v/>
      </c>
      <c r="W142" s="525" t="str">
        <f>IF(AND(OR(LEFT(TH!L142,2)="15",LEFT(TH!M142,2)="15"),TK!$E$7=TH!F142),"x","")</f>
        <v/>
      </c>
      <c r="X142" s="525" t="str">
        <f>IF(AND('341-CT'!$E$9=H142,OR(LEFT(L142,3)=$X$7,LEFT(M142,3)=$X$7)),"x","")</f>
        <v/>
      </c>
      <c r="Y142" s="525" t="str">
        <f>IF(OR(TH!L142=TH!$Y$7,M142=TH!$Y$7),"x","")</f>
        <v/>
      </c>
      <c r="Z142" s="525" t="str">
        <f>IF(AND(B142&lt;=NKC!$N$8,B142&gt;=NKC!$M$8),"x","")</f>
        <v>x</v>
      </c>
      <c r="AA142" s="535">
        <v>1</v>
      </c>
      <c r="AB142" s="536"/>
    </row>
    <row r="143" spans="1:28" s="503" customFormat="1" ht="15.75" customHeight="1">
      <c r="A143" s="517" t="str">
        <f>IF(B143&lt;&gt;"",IF(AND(B143&gt;=_TM1,B143&lt;=_TM2,OR(TH!L143="1111",TH!M143="1111")),TH!D143,""),"")</f>
        <v/>
      </c>
      <c r="B143" s="531">
        <f t="shared" si="14"/>
        <v>1</v>
      </c>
      <c r="C143" s="315">
        <f t="shared" ref="C143:C156" si="16">E143</f>
        <v>42739</v>
      </c>
      <c r="D143" s="315" t="s">
        <v>461</v>
      </c>
      <c r="E143" s="315">
        <v>42739</v>
      </c>
      <c r="F143" s="248" t="s">
        <v>463</v>
      </c>
      <c r="G143" s="314" t="s">
        <v>290</v>
      </c>
      <c r="H143" s="472"/>
      <c r="I143" s="307"/>
      <c r="J143" s="307"/>
      <c r="K143" s="532">
        <v>20000</v>
      </c>
      <c r="L143" s="533" t="s">
        <v>81</v>
      </c>
      <c r="M143" s="533" t="s">
        <v>24</v>
      </c>
      <c r="N143" s="525" t="str">
        <f>IF(AND('331-CT'!$E$7=TH!H143,OR(L143="331",M143="331")),"331",IF(AND(OR(L143="131",M143="131"),H143='131-CT'!$E$7),"131",""))</f>
        <v/>
      </c>
      <c r="O143" s="525" t="str">
        <f>IF(AND($B143&gt;='111'!$N$11,$B143&lt;='111'!$O$11,OR($L143=$O$7,$M143=$O$7)),"x","")</f>
        <v/>
      </c>
      <c r="P143" s="525" t="str">
        <f>IF(AND($L143=$O$7,$B143&lt;'111'!$N$11),"x","")</f>
        <v/>
      </c>
      <c r="Q143" s="525" t="str">
        <f>IF(AND($M143=$O$7,$B143&lt;'111'!$N$11),"x","")</f>
        <v/>
      </c>
      <c r="R143" s="525" t="str">
        <f>IF(ISERROR(FIND('112'!$M$9,G143,1)),"",IF((AND(FIND('112'!$M$9,G143,1)&gt;=1,$B143&gt;='112'!$N$8,$B143&lt;='112'!$O$8,OR($L143='112'!$I$6,$M143='112'!$I$6))),"x",""))</f>
        <v/>
      </c>
      <c r="S143" s="525" t="str">
        <f>IF(ISERROR(FIND('112'!$M$9,G143,1)),"",IF((AND(LEFT(G143,2)=LEFT('112'!$M$9,2),B143&lt;'112'!$N$8,$L143='112'!$I$6)),"x",""))</f>
        <v/>
      </c>
      <c r="T143" s="525" t="str">
        <f>IF(ISERROR(FIND('112'!$M$9,G143,1)),"",IF((AND(RIGHT(G143,2)=RIGHT('112'!$M$9,2),B143&lt;'112'!$N$8,$M143='112'!$I$6)),"x",""))</f>
        <v/>
      </c>
      <c r="U143" s="525" t="str">
        <f>IF(AND(B143&gt;='IN-NX'!$P$3,B143&lt;='IN-NX'!$Q$3,'IN-NX'!$D$7=D143,OR(LEFT(L143,2)="15",AND(LEFT(M143,2)&lt;&gt;"15",LEFT(M143,2)&lt;&gt;"33"))),"x","")</f>
        <v/>
      </c>
      <c r="V143" s="525" t="str">
        <f>IF(AND(OR(LEFT(TH!L143,2)="15",LEFT(TH!M143,2)="15"),'152-CT'!$J$8=TH!F143),"x","")</f>
        <v/>
      </c>
      <c r="W143" s="525" t="str">
        <f>IF(AND(OR(LEFT(TH!L143,2)="15",LEFT(TH!M143,2)="15"),TK!$E$7=TH!F143),"x","")</f>
        <v/>
      </c>
      <c r="X143" s="525" t="str">
        <f>IF(AND('341-CT'!$E$9=H143,OR(LEFT(L143,3)=$X$7,LEFT(M143,3)=$X$7)),"x","")</f>
        <v/>
      </c>
      <c r="Y143" s="525" t="str">
        <f>IF(OR(TH!L143=TH!$Y$7,M143=TH!$Y$7),"x","")</f>
        <v/>
      </c>
      <c r="Z143" s="525" t="str">
        <f>IF(AND(B143&lt;=NKC!$N$8,B143&gt;=NKC!$M$8),"x","")</f>
        <v>x</v>
      </c>
      <c r="AA143" s="535">
        <v>1</v>
      </c>
      <c r="AB143" s="536"/>
    </row>
    <row r="144" spans="1:28" s="503" customFormat="1" ht="15.75" customHeight="1">
      <c r="A144" s="517" t="str">
        <f>IF(B144&lt;&gt;"",IF(AND(B144&gt;=_TM1,B144&lt;=_TM2,OR(TH!L144="1111",TH!M144="1111")),TH!D144,""),"")</f>
        <v/>
      </c>
      <c r="B144" s="531">
        <f t="shared" si="14"/>
        <v>1</v>
      </c>
      <c r="C144" s="315">
        <f t="shared" si="16"/>
        <v>42739</v>
      </c>
      <c r="D144" s="315" t="s">
        <v>461</v>
      </c>
      <c r="E144" s="315">
        <v>42739</v>
      </c>
      <c r="F144" s="248" t="s">
        <v>464</v>
      </c>
      <c r="G144" s="314" t="s">
        <v>290</v>
      </c>
      <c r="H144" s="472"/>
      <c r="I144" s="309"/>
      <c r="J144" s="307"/>
      <c r="K144" s="532">
        <v>2000</v>
      </c>
      <c r="L144" s="533" t="s">
        <v>9</v>
      </c>
      <c r="M144" s="533" t="s">
        <v>24</v>
      </c>
      <c r="N144" s="525" t="str">
        <f>IF(AND('331-CT'!$E$7=TH!H144,OR(L144="331",M144="331")),"331",IF(AND(OR(L144="131",M144="131"),H144='131-CT'!$E$7),"131",""))</f>
        <v/>
      </c>
      <c r="O144" s="525" t="str">
        <f>IF(AND($B144&gt;='111'!$N$11,$B144&lt;='111'!$O$11,OR($L144=$O$7,$M144=$O$7)),"x","")</f>
        <v/>
      </c>
      <c r="P144" s="525" t="str">
        <f>IF(AND($L144=$O$7,$B144&lt;'111'!$N$11),"x","")</f>
        <v/>
      </c>
      <c r="Q144" s="525" t="str">
        <f>IF(AND($M144=$O$7,$B144&lt;'111'!$N$11),"x","")</f>
        <v/>
      </c>
      <c r="R144" s="525" t="str">
        <f>IF(ISERROR(FIND('112'!$M$9,G144,1)),"",IF((AND(FIND('112'!$M$9,G144,1)&gt;=1,$B144&gt;='112'!$N$8,$B144&lt;='112'!$O$8,OR($L144='112'!$I$6,$M144='112'!$I$6))),"x",""))</f>
        <v/>
      </c>
      <c r="S144" s="525" t="str">
        <f>IF(ISERROR(FIND('112'!$M$9,G144,1)),"",IF((AND(LEFT(G144,2)=LEFT('112'!$M$9,2),B144&lt;'112'!$N$8,$L144='112'!$I$6)),"x",""))</f>
        <v/>
      </c>
      <c r="T144" s="525" t="str">
        <f>IF(ISERROR(FIND('112'!$M$9,G144,1)),"",IF((AND(RIGHT(G144,2)=RIGHT('112'!$M$9,2),B144&lt;'112'!$N$8,$M144='112'!$I$6)),"x",""))</f>
        <v/>
      </c>
      <c r="U144" s="525" t="str">
        <f>IF(AND(B144&gt;='IN-NX'!$P$3,B144&lt;='IN-NX'!$Q$3,'IN-NX'!$D$7=D144,OR(LEFT(L144,2)="15",AND(LEFT(M144,2)&lt;&gt;"15",LEFT(M144,2)&lt;&gt;"33"))),"x","")</f>
        <v/>
      </c>
      <c r="V144" s="525" t="str">
        <f>IF(AND(OR(LEFT(TH!L144,2)="15",LEFT(TH!M144,2)="15"),'152-CT'!$J$8=TH!F144),"x","")</f>
        <v/>
      </c>
      <c r="W144" s="525" t="str">
        <f>IF(AND(OR(LEFT(TH!L144,2)="15",LEFT(TH!M144,2)="15"),TK!$E$7=TH!F144),"x","")</f>
        <v/>
      </c>
      <c r="X144" s="525" t="str">
        <f>IF(AND('341-CT'!$E$9=H144,OR(LEFT(L144,3)=$X$7,LEFT(M144,3)=$X$7)),"x","")</f>
        <v/>
      </c>
      <c r="Y144" s="525" t="str">
        <f>IF(OR(TH!L144=TH!$Y$7,M144=TH!$Y$7),"x","")</f>
        <v/>
      </c>
      <c r="Z144" s="525" t="str">
        <f>IF(AND(B144&lt;=NKC!$N$8,B144&gt;=NKC!$M$8),"x","")</f>
        <v>x</v>
      </c>
      <c r="AA144" s="535">
        <v>1</v>
      </c>
      <c r="AB144" s="536"/>
    </row>
    <row r="145" spans="1:28" s="503" customFormat="1" ht="15.75" customHeight="1">
      <c r="A145" s="517" t="str">
        <f>IF(B145&lt;&gt;"",IF(AND(B145&gt;=_TM1,B145&lt;=_TM2,OR(TH!L145="1111",TH!M145="1111")),TH!D145,""),"")</f>
        <v>GBN</v>
      </c>
      <c r="B145" s="531">
        <f t="shared" si="14"/>
        <v>1</v>
      </c>
      <c r="C145" s="315">
        <f t="shared" si="16"/>
        <v>42740</v>
      </c>
      <c r="D145" s="315" t="s">
        <v>461</v>
      </c>
      <c r="E145" s="537">
        <v>42740</v>
      </c>
      <c r="F145" s="249" t="s">
        <v>465</v>
      </c>
      <c r="G145" s="314" t="s">
        <v>290</v>
      </c>
      <c r="H145" s="473"/>
      <c r="I145" s="307"/>
      <c r="J145" s="307"/>
      <c r="K145" s="532">
        <v>40200000</v>
      </c>
      <c r="L145" s="539" t="s">
        <v>45</v>
      </c>
      <c r="M145" s="533" t="s">
        <v>24</v>
      </c>
      <c r="N145" s="525" t="str">
        <f>IF(AND('331-CT'!$E$7=TH!H145,OR(L145="331",M145="331")),"331",IF(AND(OR(L145="131",M145="131"),H145='131-CT'!$E$7),"131",""))</f>
        <v/>
      </c>
      <c r="O145" s="525" t="str">
        <f>IF(AND($B145&gt;='111'!$N$11,$B145&lt;='111'!$O$11,OR($L145=$O$7,$M145=$O$7)),"x","")</f>
        <v/>
      </c>
      <c r="P145" s="525" t="str">
        <f>IF(AND($L145=$O$7,$B145&lt;'111'!$N$11),"x","")</f>
        <v>x</v>
      </c>
      <c r="Q145" s="525" t="str">
        <f>IF(AND($M145=$O$7,$B145&lt;'111'!$N$11),"x","")</f>
        <v/>
      </c>
      <c r="R145" s="525" t="str">
        <f>IF(ISERROR(FIND('112'!$M$9,G145,1)),"",IF((AND(FIND('112'!$M$9,G145,1)&gt;=1,$B145&gt;='112'!$N$8,$B145&lt;='112'!$O$8,OR($L145='112'!$I$6,$M145='112'!$I$6))),"x",""))</f>
        <v/>
      </c>
      <c r="S145" s="525" t="str">
        <f>IF(ISERROR(FIND('112'!$M$9,G145,1)),"",IF((AND(LEFT(G145,2)=LEFT('112'!$M$9,2),B145&lt;'112'!$N$8,$L145='112'!$I$6)),"x",""))</f>
        <v/>
      </c>
      <c r="T145" s="525" t="str">
        <f>IF(ISERROR(FIND('112'!$M$9,G145,1)),"",IF((AND(RIGHT(G145,2)=RIGHT('112'!$M$9,2),B145&lt;'112'!$N$8,$M145='112'!$I$6)),"x",""))</f>
        <v/>
      </c>
      <c r="U145" s="525" t="str">
        <f>IF(AND(B145&gt;='IN-NX'!$P$3,B145&lt;='IN-NX'!$Q$3,'IN-NX'!$D$7=D145,OR(LEFT(L145,2)="15",AND(LEFT(M145,2)&lt;&gt;"15",LEFT(M145,2)&lt;&gt;"33"))),"x","")</f>
        <v/>
      </c>
      <c r="V145" s="525" t="str">
        <f>IF(AND(OR(LEFT(TH!L145,2)="15",LEFT(TH!M145,2)="15"),'152-CT'!$J$8=TH!F145),"x","")</f>
        <v/>
      </c>
      <c r="W145" s="525" t="str">
        <f>IF(AND(OR(LEFT(TH!L145,2)="15",LEFT(TH!M145,2)="15"),TK!$E$7=TH!F145),"x","")</f>
        <v/>
      </c>
      <c r="X145" s="525" t="str">
        <f>IF(AND('341-CT'!$E$9=H145,OR(LEFT(L145,3)=$X$7,LEFT(M145,3)=$X$7)),"x","")</f>
        <v/>
      </c>
      <c r="Y145" s="525" t="str">
        <f>IF(OR(TH!L145=TH!$Y$7,M145=TH!$Y$7),"x","")</f>
        <v/>
      </c>
      <c r="Z145" s="525" t="str">
        <f>IF(AND(B145&lt;=NKC!$N$8,B145&gt;=NKC!$M$8),"x","")</f>
        <v>x</v>
      </c>
      <c r="AA145" s="535"/>
      <c r="AB145" s="536"/>
    </row>
    <row r="146" spans="1:28" s="503" customFormat="1" ht="15.75" customHeight="1">
      <c r="A146" s="517" t="str">
        <f>IF(B146&lt;&gt;"",IF(AND(B146&gt;=_TM1,B146&lt;=_TM2,OR(TH!L146="1111",TH!M146="1111")),TH!D146,""),"")</f>
        <v>GBN</v>
      </c>
      <c r="B146" s="531">
        <f t="shared" si="14"/>
        <v>1</v>
      </c>
      <c r="C146" s="315">
        <f t="shared" si="16"/>
        <v>42741</v>
      </c>
      <c r="D146" s="315" t="s">
        <v>461</v>
      </c>
      <c r="E146" s="537">
        <v>42741</v>
      </c>
      <c r="F146" s="249" t="s">
        <v>465</v>
      </c>
      <c r="G146" s="314" t="s">
        <v>290</v>
      </c>
      <c r="H146" s="473"/>
      <c r="I146" s="307"/>
      <c r="J146" s="307"/>
      <c r="K146" s="532">
        <v>287150000</v>
      </c>
      <c r="L146" s="539" t="s">
        <v>45</v>
      </c>
      <c r="M146" s="533" t="s">
        <v>24</v>
      </c>
      <c r="N146" s="525" t="str">
        <f>IF(AND('331-CT'!$E$7=TH!H146,OR(L146="331",M146="331")),"331",IF(AND(OR(L146="131",M146="131"),H146='131-CT'!$E$7),"131",""))</f>
        <v/>
      </c>
      <c r="O146" s="525" t="str">
        <f>IF(AND($B146&gt;='111'!$N$11,$B146&lt;='111'!$O$11,OR($L146=$O$7,$M146=$O$7)),"x","")</f>
        <v/>
      </c>
      <c r="P146" s="525" t="str">
        <f>IF(AND($L146=$O$7,$B146&lt;'111'!$N$11),"x","")</f>
        <v>x</v>
      </c>
      <c r="Q146" s="525" t="str">
        <f>IF(AND($M146=$O$7,$B146&lt;'111'!$N$11),"x","")</f>
        <v/>
      </c>
      <c r="R146" s="525" t="str">
        <f>IF(ISERROR(FIND('112'!$M$9,G146,1)),"",IF((AND(FIND('112'!$M$9,G146,1)&gt;=1,$B146&gt;='112'!$N$8,$B146&lt;='112'!$O$8,OR($L146='112'!$I$6,$M146='112'!$I$6))),"x",""))</f>
        <v/>
      </c>
      <c r="S146" s="525" t="str">
        <f>IF(ISERROR(FIND('112'!$M$9,G146,1)),"",IF((AND(LEFT(G146,2)=LEFT('112'!$M$9,2),B146&lt;'112'!$N$8,$L146='112'!$I$6)),"x",""))</f>
        <v/>
      </c>
      <c r="T146" s="525" t="str">
        <f>IF(ISERROR(FIND('112'!$M$9,G146,1)),"",IF((AND(RIGHT(G146,2)=RIGHT('112'!$M$9,2),B146&lt;'112'!$N$8,$M146='112'!$I$6)),"x",""))</f>
        <v/>
      </c>
      <c r="U146" s="525" t="str">
        <f>IF(AND(B146&gt;='IN-NX'!$P$3,B146&lt;='IN-NX'!$Q$3,'IN-NX'!$D$7=D146,OR(LEFT(L146,2)="15",AND(LEFT(M146,2)&lt;&gt;"15",LEFT(M146,2)&lt;&gt;"33"))),"x","")</f>
        <v/>
      </c>
      <c r="V146" s="525" t="str">
        <f>IF(AND(OR(LEFT(TH!L146,2)="15",LEFT(TH!M146,2)="15"),'152-CT'!$J$8=TH!F146),"x","")</f>
        <v/>
      </c>
      <c r="W146" s="525" t="str">
        <f>IF(AND(OR(LEFT(TH!L146,2)="15",LEFT(TH!M146,2)="15"),TK!$E$7=TH!F146),"x","")</f>
        <v/>
      </c>
      <c r="X146" s="525" t="str">
        <f>IF(AND('341-CT'!$E$9=H146,OR(LEFT(L146,3)=$X$7,LEFT(M146,3)=$X$7)),"x","")</f>
        <v/>
      </c>
      <c r="Y146" s="525" t="str">
        <f>IF(OR(TH!L146=TH!$Y$7,M146=TH!$Y$7),"x","")</f>
        <v/>
      </c>
      <c r="Z146" s="525" t="str">
        <f>IF(AND(B146&lt;=NKC!$N$8,B146&gt;=NKC!$M$8),"x","")</f>
        <v>x</v>
      </c>
      <c r="AA146" s="535"/>
    </row>
    <row r="147" spans="1:28" s="503" customFormat="1" ht="15.75" customHeight="1">
      <c r="A147" s="517" t="str">
        <f>IF(B147&lt;&gt;"",IF(AND(B147&gt;=_TM1,B147&lt;=_TM2,OR(TH!L147="1111",TH!M147="1111")),TH!D147,""),"")</f>
        <v>GBN</v>
      </c>
      <c r="B147" s="531">
        <f t="shared" si="14"/>
        <v>1</v>
      </c>
      <c r="C147" s="315">
        <f t="shared" si="16"/>
        <v>42744</v>
      </c>
      <c r="D147" s="315" t="s">
        <v>461</v>
      </c>
      <c r="E147" s="315">
        <v>42744</v>
      </c>
      <c r="F147" s="249" t="s">
        <v>465</v>
      </c>
      <c r="G147" s="314" t="s">
        <v>290</v>
      </c>
      <c r="H147" s="472"/>
      <c r="I147" s="307"/>
      <c r="J147" s="307"/>
      <c r="K147" s="532">
        <v>165100000</v>
      </c>
      <c r="L147" s="539" t="s">
        <v>45</v>
      </c>
      <c r="M147" s="533" t="s">
        <v>24</v>
      </c>
      <c r="N147" s="525" t="str">
        <f>IF(AND('331-CT'!$E$7=TH!H147,OR(L147="331",M147="331")),"331",IF(AND(OR(L147="131",M147="131"),H147='131-CT'!$E$7),"131",""))</f>
        <v/>
      </c>
      <c r="O147" s="525" t="str">
        <f>IF(AND($B147&gt;='111'!$N$11,$B147&lt;='111'!$O$11,OR($L147=$O$7,$M147=$O$7)),"x","")</f>
        <v/>
      </c>
      <c r="P147" s="525" t="str">
        <f>IF(AND($L147=$O$7,$B147&lt;'111'!$N$11),"x","")</f>
        <v>x</v>
      </c>
      <c r="Q147" s="525" t="str">
        <f>IF(AND($M147=$O$7,$B147&lt;'111'!$N$11),"x","")</f>
        <v/>
      </c>
      <c r="R147" s="525" t="str">
        <f>IF(ISERROR(FIND('112'!$M$9,G147,1)),"",IF((AND(FIND('112'!$M$9,G147,1)&gt;=1,$B147&gt;='112'!$N$8,$B147&lt;='112'!$O$8,OR($L147='112'!$I$6,$M147='112'!$I$6))),"x",""))</f>
        <v/>
      </c>
      <c r="S147" s="525" t="str">
        <f>IF(ISERROR(FIND('112'!$M$9,G147,1)),"",IF((AND(LEFT(G147,2)=LEFT('112'!$M$9,2),B147&lt;'112'!$N$8,$L147='112'!$I$6)),"x",""))</f>
        <v/>
      </c>
      <c r="T147" s="525" t="str">
        <f>IF(ISERROR(FIND('112'!$M$9,G147,1)),"",IF((AND(RIGHT(G147,2)=RIGHT('112'!$M$9,2),B147&lt;'112'!$N$8,$M147='112'!$I$6)),"x",""))</f>
        <v/>
      </c>
      <c r="U147" s="525" t="str">
        <f>IF(AND(B147&gt;='IN-NX'!$P$3,B147&lt;='IN-NX'!$Q$3,'IN-NX'!$D$7=D147,OR(LEFT(L147,2)="15",AND(LEFT(M147,2)&lt;&gt;"15",LEFT(M147,2)&lt;&gt;"33"))),"x","")</f>
        <v/>
      </c>
      <c r="V147" s="525" t="str">
        <f>IF(AND(OR(LEFT(TH!L147,2)="15",LEFT(TH!M147,2)="15"),'152-CT'!$J$8=TH!F147),"x","")</f>
        <v/>
      </c>
      <c r="W147" s="525" t="str">
        <f>IF(AND(OR(LEFT(TH!L147,2)="15",LEFT(TH!M147,2)="15"),TK!$E$7=TH!F147),"x","")</f>
        <v/>
      </c>
      <c r="X147" s="525" t="str">
        <f>IF(AND('341-CT'!$E$9=H147,OR(LEFT(L147,3)=$X$7,LEFT(M147,3)=$X$7)),"x","")</f>
        <v/>
      </c>
      <c r="Y147" s="525" t="str">
        <f>IF(OR(TH!L147=TH!$Y$7,M147=TH!$Y$7),"x","")</f>
        <v/>
      </c>
      <c r="Z147" s="525" t="str">
        <f>IF(AND(B147&lt;=NKC!$N$8,B147&gt;=NKC!$M$8),"x","")</f>
        <v>x</v>
      </c>
      <c r="AA147" s="535"/>
      <c r="AB147" s="536"/>
    </row>
    <row r="148" spans="1:28" s="503" customFormat="1" ht="15.75" customHeight="1">
      <c r="A148" s="517" t="str">
        <f>IF(B148&lt;&gt;"",IF(AND(B148&gt;=_TM1,B148&lt;=_TM2,OR(TH!L148="1111",TH!M148="1111")),TH!D148,""),"")</f>
        <v/>
      </c>
      <c r="B148" s="531">
        <f t="shared" si="14"/>
        <v>1</v>
      </c>
      <c r="C148" s="315">
        <f t="shared" si="16"/>
        <v>42746</v>
      </c>
      <c r="D148" s="315" t="s">
        <v>461</v>
      </c>
      <c r="E148" s="315">
        <v>42746</v>
      </c>
      <c r="F148" s="249" t="s">
        <v>466</v>
      </c>
      <c r="G148" s="314" t="s">
        <v>290</v>
      </c>
      <c r="H148" s="472"/>
      <c r="I148" s="307"/>
      <c r="J148" s="307"/>
      <c r="K148" s="532">
        <v>20000</v>
      </c>
      <c r="L148" s="533" t="s">
        <v>81</v>
      </c>
      <c r="M148" s="533" t="s">
        <v>24</v>
      </c>
      <c r="N148" s="525" t="str">
        <f>IF(AND('331-CT'!$E$7=TH!H148,OR(L148="331",M148="331")),"331",IF(AND(OR(L148="131",M148="131"),H148='131-CT'!$E$7),"131",""))</f>
        <v/>
      </c>
      <c r="O148" s="525" t="str">
        <f>IF(AND($B148&gt;='111'!$N$11,$B148&lt;='111'!$O$11,OR($L148=$O$7,$M148=$O$7)),"x","")</f>
        <v/>
      </c>
      <c r="P148" s="525" t="str">
        <f>IF(AND($L148=$O$7,$B148&lt;'111'!$N$11),"x","")</f>
        <v/>
      </c>
      <c r="Q148" s="525" t="str">
        <f>IF(AND($M148=$O$7,$B148&lt;'111'!$N$11),"x","")</f>
        <v/>
      </c>
      <c r="R148" s="525" t="str">
        <f>IF(ISERROR(FIND('112'!$M$9,G148,1)),"",IF((AND(FIND('112'!$M$9,G148,1)&gt;=1,$B148&gt;='112'!$N$8,$B148&lt;='112'!$O$8,OR($L148='112'!$I$6,$M148='112'!$I$6))),"x",""))</f>
        <v/>
      </c>
      <c r="S148" s="525" t="str">
        <f>IF(ISERROR(FIND('112'!$M$9,G148,1)),"",IF((AND(LEFT(G148,2)=LEFT('112'!$M$9,2),B148&lt;'112'!$N$8,$L148='112'!$I$6)),"x",""))</f>
        <v/>
      </c>
      <c r="T148" s="525" t="str">
        <f>IF(ISERROR(FIND('112'!$M$9,G148,1)),"",IF((AND(RIGHT(G148,2)=RIGHT('112'!$M$9,2),B148&lt;'112'!$N$8,$M148='112'!$I$6)),"x",""))</f>
        <v/>
      </c>
      <c r="U148" s="525" t="str">
        <f>IF(AND(B148&gt;='IN-NX'!$P$3,B148&lt;='IN-NX'!$Q$3,'IN-NX'!$D$7=D148,OR(LEFT(L148,2)="15",AND(LEFT(M148,2)&lt;&gt;"15",LEFT(M148,2)&lt;&gt;"33"))),"x","")</f>
        <v/>
      </c>
      <c r="V148" s="525" t="str">
        <f>IF(AND(OR(LEFT(TH!L148,2)="15",LEFT(TH!M148,2)="15"),'152-CT'!$J$8=TH!F148),"x","")</f>
        <v/>
      </c>
      <c r="W148" s="525" t="str">
        <f>IF(AND(OR(LEFT(TH!L148,2)="15",LEFT(TH!M148,2)="15"),TK!$E$7=TH!F148),"x","")</f>
        <v/>
      </c>
      <c r="X148" s="525" t="str">
        <f>IF(AND('341-CT'!$E$9=H148,OR(LEFT(L148,3)=$X$7,LEFT(M148,3)=$X$7)),"x","")</f>
        <v/>
      </c>
      <c r="Y148" s="525" t="str">
        <f>IF(OR(TH!L148=TH!$Y$7,M148=TH!$Y$7),"x","")</f>
        <v/>
      </c>
      <c r="Z148" s="525" t="str">
        <f>IF(AND(B148&lt;=NKC!$N$8,B148&gt;=NKC!$M$8),"x","")</f>
        <v>x</v>
      </c>
      <c r="AA148" s="535">
        <v>1</v>
      </c>
      <c r="AB148" s="536"/>
    </row>
    <row r="149" spans="1:28" s="503" customFormat="1" ht="15.75" customHeight="1">
      <c r="A149" s="517" t="str">
        <f>IF(B149&lt;&gt;"",IF(AND(B149&gt;=_TM1,B149&lt;=_TM2,OR(TH!L149="1111",TH!M149="1111")),TH!D149,""),"")</f>
        <v/>
      </c>
      <c r="B149" s="531">
        <f t="shared" si="14"/>
        <v>1</v>
      </c>
      <c r="C149" s="315">
        <f t="shared" si="16"/>
        <v>42746</v>
      </c>
      <c r="D149" s="315" t="s">
        <v>461</v>
      </c>
      <c r="E149" s="315">
        <v>42746</v>
      </c>
      <c r="F149" s="249" t="s">
        <v>467</v>
      </c>
      <c r="G149" s="314" t="s">
        <v>290</v>
      </c>
      <c r="H149" s="473"/>
      <c r="I149" s="307"/>
      <c r="J149" s="307"/>
      <c r="K149" s="532">
        <v>2000</v>
      </c>
      <c r="L149" s="533" t="s">
        <v>9</v>
      </c>
      <c r="M149" s="533" t="s">
        <v>24</v>
      </c>
      <c r="N149" s="525" t="str">
        <f>IF(AND('331-CT'!$E$7=TH!H149,OR(L149="331",M149="331")),"331",IF(AND(OR(L149="131",M149="131"),H149='131-CT'!$E$7),"131",""))</f>
        <v/>
      </c>
      <c r="O149" s="525" t="str">
        <f>IF(AND($B149&gt;='111'!$N$11,$B149&lt;='111'!$O$11,OR($L149=$O$7,$M149=$O$7)),"x","")</f>
        <v/>
      </c>
      <c r="P149" s="525" t="str">
        <f>IF(AND($L149=$O$7,$B149&lt;'111'!$N$11),"x","")</f>
        <v/>
      </c>
      <c r="Q149" s="525" t="str">
        <f>IF(AND($M149=$O$7,$B149&lt;'111'!$N$11),"x","")</f>
        <v/>
      </c>
      <c r="R149" s="525" t="str">
        <f>IF(ISERROR(FIND('112'!$M$9,G149,1)),"",IF((AND(FIND('112'!$M$9,G149,1)&gt;=1,$B149&gt;='112'!$N$8,$B149&lt;='112'!$O$8,OR($L149='112'!$I$6,$M149='112'!$I$6))),"x",""))</f>
        <v/>
      </c>
      <c r="S149" s="525" t="str">
        <f>IF(ISERROR(FIND('112'!$M$9,G149,1)),"",IF((AND(LEFT(G149,2)=LEFT('112'!$M$9,2),B149&lt;'112'!$N$8,$L149='112'!$I$6)),"x",""))</f>
        <v/>
      </c>
      <c r="T149" s="525" t="str">
        <f>IF(ISERROR(FIND('112'!$M$9,G149,1)),"",IF((AND(RIGHT(G149,2)=RIGHT('112'!$M$9,2),B149&lt;'112'!$N$8,$M149='112'!$I$6)),"x",""))</f>
        <v/>
      </c>
      <c r="U149" s="525" t="str">
        <f>IF(AND(B149&gt;='IN-NX'!$P$3,B149&lt;='IN-NX'!$Q$3,'IN-NX'!$D$7=D149,OR(LEFT(L149,2)="15",AND(LEFT(M149,2)&lt;&gt;"15",LEFT(M149,2)&lt;&gt;"33"))),"x","")</f>
        <v/>
      </c>
      <c r="V149" s="525" t="str">
        <f>IF(AND(OR(LEFT(TH!L149,2)="15",LEFT(TH!M149,2)="15"),'152-CT'!$J$8=TH!F149),"x","")</f>
        <v/>
      </c>
      <c r="W149" s="525" t="str">
        <f>IF(AND(OR(LEFT(TH!L149,2)="15",LEFT(TH!M149,2)="15"),TK!$E$7=TH!F149),"x","")</f>
        <v/>
      </c>
      <c r="X149" s="525" t="str">
        <f>IF(AND('341-CT'!$E$9=H149,OR(LEFT(L149,3)=$X$7,LEFT(M149,3)=$X$7)),"x","")</f>
        <v/>
      </c>
      <c r="Y149" s="525" t="str">
        <f>IF(OR(TH!L149=TH!$Y$7,M149=TH!$Y$7),"x","")</f>
        <v/>
      </c>
      <c r="Z149" s="525" t="str">
        <f>IF(AND(B149&lt;=NKC!$N$8,B149&gt;=NKC!$M$8),"x","")</f>
        <v>x</v>
      </c>
      <c r="AA149" s="535">
        <v>1</v>
      </c>
      <c r="AB149" s="536"/>
    </row>
    <row r="150" spans="1:28" s="503" customFormat="1" ht="15.75" customHeight="1">
      <c r="A150" s="517" t="str">
        <f>IF(B150&lt;&gt;"",IF(AND(B150&gt;=_TM1,B150&lt;=_TM2,OR(TH!L150="1111",TH!M150="1111")),TH!D150,""),"")</f>
        <v/>
      </c>
      <c r="B150" s="531">
        <f t="shared" si="14"/>
        <v>1</v>
      </c>
      <c r="C150" s="315">
        <f t="shared" si="16"/>
        <v>42747</v>
      </c>
      <c r="D150" s="315" t="s">
        <v>461</v>
      </c>
      <c r="E150" s="537">
        <v>42747</v>
      </c>
      <c r="F150" s="249" t="s">
        <v>468</v>
      </c>
      <c r="G150" s="314" t="s">
        <v>290</v>
      </c>
      <c r="H150" s="473" t="s">
        <v>271</v>
      </c>
      <c r="I150" s="307"/>
      <c r="J150" s="307"/>
      <c r="K150" s="532">
        <v>13595670</v>
      </c>
      <c r="L150" s="539" t="s">
        <v>8</v>
      </c>
      <c r="M150" s="533" t="s">
        <v>24</v>
      </c>
      <c r="N150" s="525" t="str">
        <f>IF(AND('331-CT'!$E$7=TH!H150,OR(L150="331",M150="331")),"331",IF(AND(OR(L150="131",M150="131"),H150='131-CT'!$E$7),"131",""))</f>
        <v>331</v>
      </c>
      <c r="O150" s="525" t="str">
        <f>IF(AND($B150&gt;='111'!$N$11,$B150&lt;='111'!$O$11,OR($L150=$O$7,$M150=$O$7)),"x","")</f>
        <v/>
      </c>
      <c r="P150" s="525" t="str">
        <f>IF(AND($L150=$O$7,$B150&lt;'111'!$N$11),"x","")</f>
        <v/>
      </c>
      <c r="Q150" s="525" t="str">
        <f>IF(AND($M150=$O$7,$B150&lt;'111'!$N$11),"x","")</f>
        <v/>
      </c>
      <c r="R150" s="525" t="str">
        <f>IF(ISERROR(FIND('112'!$M$9,G150,1)),"",IF((AND(FIND('112'!$M$9,G150,1)&gt;=1,$B150&gt;='112'!$N$8,$B150&lt;='112'!$O$8,OR($L150='112'!$I$6,$M150='112'!$I$6))),"x",""))</f>
        <v/>
      </c>
      <c r="S150" s="525" t="str">
        <f>IF(ISERROR(FIND('112'!$M$9,G150,1)),"",IF((AND(LEFT(G150,2)=LEFT('112'!$M$9,2),B150&lt;'112'!$N$8,$L150='112'!$I$6)),"x",""))</f>
        <v/>
      </c>
      <c r="T150" s="525" t="str">
        <f>IF(ISERROR(FIND('112'!$M$9,G150,1)),"",IF((AND(RIGHT(G150,2)=RIGHT('112'!$M$9,2),B150&lt;'112'!$N$8,$M150='112'!$I$6)),"x",""))</f>
        <v/>
      </c>
      <c r="U150" s="525" t="str">
        <f>IF(AND(B150&gt;='IN-NX'!$P$3,B150&lt;='IN-NX'!$Q$3,'IN-NX'!$D$7=D150,OR(LEFT(L150,2)="15",AND(LEFT(M150,2)&lt;&gt;"15",LEFT(M150,2)&lt;&gt;"33"))),"x","")</f>
        <v/>
      </c>
      <c r="V150" s="525" t="str">
        <f>IF(AND(OR(LEFT(TH!L150,2)="15",LEFT(TH!M150,2)="15"),'152-CT'!$J$8=TH!F150),"x","")</f>
        <v/>
      </c>
      <c r="W150" s="525" t="str">
        <f>IF(AND(OR(LEFT(TH!L150,2)="15",LEFT(TH!M150,2)="15"),TK!$E$7=TH!F150),"x","")</f>
        <v/>
      </c>
      <c r="X150" s="525" t="str">
        <f>IF(AND('341-CT'!$E$9=H150,OR(LEFT(L150,3)=$X$7,LEFT(M150,3)=$X$7)),"x","")</f>
        <v/>
      </c>
      <c r="Y150" s="525" t="str">
        <f>IF(OR(TH!L150=TH!$Y$7,M150=TH!$Y$7),"x","")</f>
        <v/>
      </c>
      <c r="Z150" s="525" t="str">
        <f>IF(AND(B150&lt;=NKC!$N$8,B150&gt;=NKC!$M$8),"x","")</f>
        <v>x</v>
      </c>
      <c r="AA150" s="535"/>
      <c r="AB150" s="536"/>
    </row>
    <row r="151" spans="1:28" s="503" customFormat="1" ht="15.75" customHeight="1">
      <c r="A151" s="517" t="str">
        <f>IF(B151&lt;&gt;"",IF(AND(B151&gt;=_TM1,B151&lt;=_TM2,OR(TH!L151="1111",TH!M151="1111")),TH!D151,""),"")</f>
        <v/>
      </c>
      <c r="B151" s="531">
        <f t="shared" si="14"/>
        <v>1</v>
      </c>
      <c r="C151" s="315">
        <f t="shared" si="16"/>
        <v>42747</v>
      </c>
      <c r="D151" s="315" t="s">
        <v>461</v>
      </c>
      <c r="E151" s="537">
        <v>42747</v>
      </c>
      <c r="F151" s="248" t="s">
        <v>463</v>
      </c>
      <c r="G151" s="314" t="s">
        <v>290</v>
      </c>
      <c r="H151" s="473"/>
      <c r="I151" s="307"/>
      <c r="J151" s="307"/>
      <c r="K151" s="532">
        <v>10000</v>
      </c>
      <c r="L151" s="533" t="s">
        <v>81</v>
      </c>
      <c r="M151" s="533" t="s">
        <v>24</v>
      </c>
      <c r="N151" s="525" t="str">
        <f>IF(AND('331-CT'!$E$7=TH!H151,OR(L151="331",M151="331")),"331",IF(AND(OR(L151="131",M151="131"),H151='131-CT'!$E$7),"131",""))</f>
        <v/>
      </c>
      <c r="O151" s="525" t="str">
        <f>IF(AND($B151&gt;='111'!$N$11,$B151&lt;='111'!$O$11,OR($L151=$O$7,$M151=$O$7)),"x","")</f>
        <v/>
      </c>
      <c r="P151" s="525" t="str">
        <f>IF(AND($L151=$O$7,$B151&lt;'111'!$N$11),"x","")</f>
        <v/>
      </c>
      <c r="Q151" s="525" t="str">
        <f>IF(AND($M151=$O$7,$B151&lt;'111'!$N$11),"x","")</f>
        <v/>
      </c>
      <c r="R151" s="525" t="str">
        <f>IF(ISERROR(FIND('112'!$M$9,G151,1)),"",IF((AND(FIND('112'!$M$9,G151,1)&gt;=1,$B151&gt;='112'!$N$8,$B151&lt;='112'!$O$8,OR($L151='112'!$I$6,$M151='112'!$I$6))),"x",""))</f>
        <v/>
      </c>
      <c r="S151" s="525" t="str">
        <f>IF(ISERROR(FIND('112'!$M$9,G151,1)),"",IF((AND(LEFT(G151,2)=LEFT('112'!$M$9,2),B151&lt;'112'!$N$8,$L151='112'!$I$6)),"x",""))</f>
        <v/>
      </c>
      <c r="T151" s="525" t="str">
        <f>IF(ISERROR(FIND('112'!$M$9,G151,1)),"",IF((AND(RIGHT(G151,2)=RIGHT('112'!$M$9,2),B151&lt;'112'!$N$8,$M151='112'!$I$6)),"x",""))</f>
        <v/>
      </c>
      <c r="U151" s="525" t="str">
        <f>IF(AND(B151&gt;='IN-NX'!$P$3,B151&lt;='IN-NX'!$Q$3,'IN-NX'!$D$7=D151,OR(LEFT(L151,2)="15",AND(LEFT(M151,2)&lt;&gt;"15",LEFT(M151,2)&lt;&gt;"33"))),"x","")</f>
        <v/>
      </c>
      <c r="V151" s="525" t="str">
        <f>IF(AND(OR(LEFT(TH!L151,2)="15",LEFT(TH!M151,2)="15"),'152-CT'!$J$8=TH!F151),"x","")</f>
        <v/>
      </c>
      <c r="W151" s="525" t="str">
        <f>IF(AND(OR(LEFT(TH!L151,2)="15",LEFT(TH!M151,2)="15"),TK!$E$7=TH!F151),"x","")</f>
        <v/>
      </c>
      <c r="X151" s="525" t="str">
        <f>IF(AND('341-CT'!$E$9=H151,OR(LEFT(L151,3)=$X$7,LEFT(M151,3)=$X$7)),"x","")</f>
        <v/>
      </c>
      <c r="Y151" s="525" t="str">
        <f>IF(OR(TH!L151=TH!$Y$7,M151=TH!$Y$7),"x","")</f>
        <v/>
      </c>
      <c r="Z151" s="525" t="str">
        <f>IF(AND(B151&lt;=NKC!$N$8,B151&gt;=NKC!$M$8),"x","")</f>
        <v>x</v>
      </c>
      <c r="AA151" s="535">
        <v>1</v>
      </c>
      <c r="AB151" s="536"/>
    </row>
    <row r="152" spans="1:28" s="503" customFormat="1" ht="15.75" customHeight="1">
      <c r="A152" s="517" t="str">
        <f>IF(B152&lt;&gt;"",IF(AND(B152&gt;=_TM1,B152&lt;=_TM2,OR(TH!L152="1111",TH!M152="1111")),TH!D152,""),"")</f>
        <v/>
      </c>
      <c r="B152" s="531">
        <f t="shared" si="14"/>
        <v>1</v>
      </c>
      <c r="C152" s="315">
        <f t="shared" si="16"/>
        <v>42747</v>
      </c>
      <c r="D152" s="315" t="s">
        <v>461</v>
      </c>
      <c r="E152" s="537">
        <v>42747</v>
      </c>
      <c r="F152" s="248" t="s">
        <v>464</v>
      </c>
      <c r="G152" s="314" t="s">
        <v>290</v>
      </c>
      <c r="H152" s="473"/>
      <c r="I152" s="307"/>
      <c r="J152" s="307"/>
      <c r="K152" s="532">
        <v>1000</v>
      </c>
      <c r="L152" s="533" t="s">
        <v>9</v>
      </c>
      <c r="M152" s="533" t="s">
        <v>24</v>
      </c>
      <c r="N152" s="525" t="str">
        <f>IF(AND('331-CT'!$E$7=TH!H152,OR(L152="331",M152="331")),"331",IF(AND(OR(L152="131",M152="131"),H152='131-CT'!$E$7),"131",""))</f>
        <v/>
      </c>
      <c r="O152" s="525" t="str">
        <f>IF(AND($B152&gt;='111'!$N$11,$B152&lt;='111'!$O$11,OR($L152=$O$7,$M152=$O$7)),"x","")</f>
        <v/>
      </c>
      <c r="P152" s="525" t="str">
        <f>IF(AND($L152=$O$7,$B152&lt;'111'!$N$11),"x","")</f>
        <v/>
      </c>
      <c r="Q152" s="525" t="str">
        <f>IF(AND($M152=$O$7,$B152&lt;'111'!$N$11),"x","")</f>
        <v/>
      </c>
      <c r="R152" s="525" t="str">
        <f>IF(ISERROR(FIND('112'!$M$9,G152,1)),"",IF((AND(FIND('112'!$M$9,G152,1)&gt;=1,$B152&gt;='112'!$N$8,$B152&lt;='112'!$O$8,OR($L152='112'!$I$6,$M152='112'!$I$6))),"x",""))</f>
        <v/>
      </c>
      <c r="S152" s="525" t="str">
        <f>IF(ISERROR(FIND('112'!$M$9,G152,1)),"",IF((AND(LEFT(G152,2)=LEFT('112'!$M$9,2),B152&lt;'112'!$N$8,$L152='112'!$I$6)),"x",""))</f>
        <v/>
      </c>
      <c r="T152" s="525" t="str">
        <f>IF(ISERROR(FIND('112'!$M$9,G152,1)),"",IF((AND(RIGHT(G152,2)=RIGHT('112'!$M$9,2),B152&lt;'112'!$N$8,$M152='112'!$I$6)),"x",""))</f>
        <v/>
      </c>
      <c r="U152" s="525" t="str">
        <f>IF(AND(B152&gt;='IN-NX'!$P$3,B152&lt;='IN-NX'!$Q$3,'IN-NX'!$D$7=D152,OR(LEFT(L152,2)="15",AND(LEFT(M152,2)&lt;&gt;"15",LEFT(M152,2)&lt;&gt;"33"))),"x","")</f>
        <v/>
      </c>
      <c r="V152" s="525" t="str">
        <f>IF(AND(OR(LEFT(TH!L152,2)="15",LEFT(TH!M152,2)="15"),'152-CT'!$J$8=TH!F152),"x","")</f>
        <v/>
      </c>
      <c r="W152" s="525" t="str">
        <f>IF(AND(OR(LEFT(TH!L152,2)="15",LEFT(TH!M152,2)="15"),TK!$E$7=TH!F152),"x","")</f>
        <v/>
      </c>
      <c r="X152" s="525" t="str">
        <f>IF(AND('341-CT'!$E$9=H152,OR(LEFT(L152,3)=$X$7,LEFT(M152,3)=$X$7)),"x","")</f>
        <v/>
      </c>
      <c r="Y152" s="525" t="str">
        <f>IF(OR(TH!L152=TH!$Y$7,M152=TH!$Y$7),"x","")</f>
        <v/>
      </c>
      <c r="Z152" s="525" t="str">
        <f>IF(AND(B152&lt;=NKC!$N$8,B152&gt;=NKC!$M$8),"x","")</f>
        <v>x</v>
      </c>
      <c r="AA152" s="535">
        <v>1</v>
      </c>
      <c r="AB152" s="536"/>
    </row>
    <row r="153" spans="1:28" s="503" customFormat="1" ht="15.75" customHeight="1">
      <c r="A153" s="517" t="str">
        <f>IF(B153&lt;&gt;"",IF(AND(B153&gt;=_TM1,B153&lt;=_TM2,OR(TH!L153="1111",TH!M153="1111")),TH!D153,""),"")</f>
        <v/>
      </c>
      <c r="B153" s="531">
        <f t="shared" si="14"/>
        <v>1</v>
      </c>
      <c r="C153" s="315">
        <f t="shared" si="16"/>
        <v>42750</v>
      </c>
      <c r="D153" s="315" t="s">
        <v>461</v>
      </c>
      <c r="E153" s="537">
        <v>42750</v>
      </c>
      <c r="F153" s="249" t="s">
        <v>469</v>
      </c>
      <c r="G153" s="314" t="s">
        <v>290</v>
      </c>
      <c r="H153" s="473"/>
      <c r="I153" s="307"/>
      <c r="J153" s="307"/>
      <c r="K153" s="532">
        <v>50000</v>
      </c>
      <c r="L153" s="533" t="s">
        <v>81</v>
      </c>
      <c r="M153" s="533" t="s">
        <v>24</v>
      </c>
      <c r="N153" s="525" t="str">
        <f>IF(AND('331-CT'!$E$7=TH!H153,OR(L153="331",M153="331")),"331",IF(AND(OR(L153="131",M153="131"),H153='131-CT'!$E$7),"131",""))</f>
        <v/>
      </c>
      <c r="O153" s="525" t="str">
        <f>IF(AND($B153&gt;='111'!$N$11,$B153&lt;='111'!$O$11,OR($L153=$O$7,$M153=$O$7)),"x","")</f>
        <v/>
      </c>
      <c r="P153" s="525" t="str">
        <f>IF(AND($L153=$O$7,$B153&lt;'111'!$N$11),"x","")</f>
        <v/>
      </c>
      <c r="Q153" s="525" t="str">
        <f>IF(AND($M153=$O$7,$B153&lt;'111'!$N$11),"x","")</f>
        <v/>
      </c>
      <c r="R153" s="525" t="str">
        <f>IF(ISERROR(FIND('112'!$M$9,G153,1)),"",IF((AND(FIND('112'!$M$9,G153,1)&gt;=1,$B153&gt;='112'!$N$8,$B153&lt;='112'!$O$8,OR($L153='112'!$I$6,$M153='112'!$I$6))),"x",""))</f>
        <v/>
      </c>
      <c r="S153" s="525" t="str">
        <f>IF(ISERROR(FIND('112'!$M$9,G153,1)),"",IF((AND(LEFT(G153,2)=LEFT('112'!$M$9,2),B153&lt;'112'!$N$8,$L153='112'!$I$6)),"x",""))</f>
        <v/>
      </c>
      <c r="T153" s="525" t="str">
        <f>IF(ISERROR(FIND('112'!$M$9,G153,1)),"",IF((AND(RIGHT(G153,2)=RIGHT('112'!$M$9,2),B153&lt;'112'!$N$8,$M153='112'!$I$6)),"x",""))</f>
        <v/>
      </c>
      <c r="U153" s="525" t="str">
        <f>IF(AND(B153&gt;='IN-NX'!$P$3,B153&lt;='IN-NX'!$Q$3,'IN-NX'!$D$7=D153,OR(LEFT(L153,2)="15",AND(LEFT(M153,2)&lt;&gt;"15",LEFT(M153,2)&lt;&gt;"33"))),"x","")</f>
        <v/>
      </c>
      <c r="V153" s="525" t="str">
        <f>IF(AND(OR(LEFT(TH!L153,2)="15",LEFT(TH!M153,2)="15"),'152-CT'!$J$8=TH!F153),"x","")</f>
        <v/>
      </c>
      <c r="W153" s="525" t="str">
        <f>IF(AND(OR(LEFT(TH!L153,2)="15",LEFT(TH!M153,2)="15"),TK!$E$7=TH!F153),"x","")</f>
        <v/>
      </c>
      <c r="X153" s="525" t="str">
        <f>IF(AND('341-CT'!$E$9=H153,OR(LEFT(L153,3)=$X$7,LEFT(M153,3)=$X$7)),"x","")</f>
        <v/>
      </c>
      <c r="Y153" s="525" t="str">
        <f>IF(OR(TH!L153=TH!$Y$7,M153=TH!$Y$7),"x","")</f>
        <v/>
      </c>
      <c r="Z153" s="525" t="str">
        <f>IF(AND(B153&lt;=NKC!$N$8,B153&gt;=NKC!$M$8),"x","")</f>
        <v>x</v>
      </c>
      <c r="AA153" s="535">
        <v>1</v>
      </c>
    </row>
    <row r="154" spans="1:28" s="503" customFormat="1" ht="15.75" customHeight="1">
      <c r="A154" s="517" t="str">
        <f>IF(B154&lt;&gt;"",IF(AND(B154&gt;=_TM1,B154&lt;=_TM2,OR(TH!L154="1111",TH!M154="1111")),TH!D154,""),"")</f>
        <v/>
      </c>
      <c r="B154" s="531">
        <f t="shared" si="14"/>
        <v>1</v>
      </c>
      <c r="C154" s="315">
        <f t="shared" si="16"/>
        <v>42750</v>
      </c>
      <c r="D154" s="315" t="s">
        <v>461</v>
      </c>
      <c r="E154" s="537">
        <v>42750</v>
      </c>
      <c r="F154" s="249" t="s">
        <v>470</v>
      </c>
      <c r="G154" s="314" t="s">
        <v>290</v>
      </c>
      <c r="H154" s="473"/>
      <c r="I154" s="307"/>
      <c r="J154" s="307"/>
      <c r="K154" s="532">
        <v>5000</v>
      </c>
      <c r="L154" s="533" t="s">
        <v>9</v>
      </c>
      <c r="M154" s="533" t="s">
        <v>24</v>
      </c>
      <c r="N154" s="525" t="str">
        <f>IF(AND('331-CT'!$E$7=TH!H154,OR(L154="331",M154="331")),"331",IF(AND(OR(L154="131",M154="131"),H154='131-CT'!$E$7),"131",""))</f>
        <v/>
      </c>
      <c r="O154" s="525" t="str">
        <f>IF(AND($B154&gt;='111'!$N$11,$B154&lt;='111'!$O$11,OR($L154=$O$7,$M154=$O$7)),"x","")</f>
        <v/>
      </c>
      <c r="P154" s="525" t="str">
        <f>IF(AND($L154=$O$7,$B154&lt;'111'!$N$11),"x","")</f>
        <v/>
      </c>
      <c r="Q154" s="525" t="str">
        <f>IF(AND($M154=$O$7,$B154&lt;'111'!$N$11),"x","")</f>
        <v/>
      </c>
      <c r="R154" s="525" t="str">
        <f>IF(ISERROR(FIND('112'!$M$9,G154,1)),"",IF((AND(FIND('112'!$M$9,G154,1)&gt;=1,$B154&gt;='112'!$N$8,$B154&lt;='112'!$O$8,OR($L154='112'!$I$6,$M154='112'!$I$6))),"x",""))</f>
        <v/>
      </c>
      <c r="S154" s="525" t="str">
        <f>IF(ISERROR(FIND('112'!$M$9,G154,1)),"",IF((AND(LEFT(G154,2)=LEFT('112'!$M$9,2),B154&lt;'112'!$N$8,$L154='112'!$I$6)),"x",""))</f>
        <v/>
      </c>
      <c r="T154" s="525" t="str">
        <f>IF(ISERROR(FIND('112'!$M$9,G154,1)),"",IF((AND(RIGHT(G154,2)=RIGHT('112'!$M$9,2),B154&lt;'112'!$N$8,$M154='112'!$I$6)),"x",""))</f>
        <v/>
      </c>
      <c r="U154" s="525" t="str">
        <f>IF(AND(B154&gt;='IN-NX'!$P$3,B154&lt;='IN-NX'!$Q$3,'IN-NX'!$D$7=D154,OR(LEFT(L154,2)="15",AND(LEFT(M154,2)&lt;&gt;"15",LEFT(M154,2)&lt;&gt;"33"))),"x","")</f>
        <v/>
      </c>
      <c r="V154" s="525" t="str">
        <f>IF(AND(OR(LEFT(TH!L154,2)="15",LEFT(TH!M154,2)="15"),'152-CT'!$J$8=TH!F154),"x","")</f>
        <v/>
      </c>
      <c r="W154" s="525" t="str">
        <f>IF(AND(OR(LEFT(TH!L154,2)="15",LEFT(TH!M154,2)="15"),TK!$E$7=TH!F154),"x","")</f>
        <v/>
      </c>
      <c r="X154" s="525" t="str">
        <f>IF(AND('341-CT'!$E$9=H154,OR(LEFT(L154,3)=$X$7,LEFT(M154,3)=$X$7)),"x","")</f>
        <v/>
      </c>
      <c r="Y154" s="525" t="str">
        <f>IF(OR(TH!L154=TH!$Y$7,M154=TH!$Y$7),"x","")</f>
        <v/>
      </c>
      <c r="Z154" s="525" t="str">
        <f>IF(AND(B154&lt;=NKC!$N$8,B154&gt;=NKC!$M$8),"x","")</f>
        <v>x</v>
      </c>
      <c r="AA154" s="535">
        <v>1</v>
      </c>
      <c r="AB154" s="536"/>
    </row>
    <row r="155" spans="1:28" s="503" customFormat="1" ht="15.75" customHeight="1">
      <c r="A155" s="517" t="str">
        <f>IF(B155&lt;&gt;"",IF(AND(B155&gt;=_TM1,B155&lt;=_TM2,OR(TH!L155="1111",TH!M155="1111")),TH!D155,""),"")</f>
        <v/>
      </c>
      <c r="B155" s="531">
        <f t="shared" si="14"/>
        <v>1</v>
      </c>
      <c r="C155" s="315">
        <f t="shared" si="16"/>
        <v>42751</v>
      </c>
      <c r="D155" s="315" t="s">
        <v>461</v>
      </c>
      <c r="E155" s="537">
        <v>42751</v>
      </c>
      <c r="F155" s="249" t="s">
        <v>471</v>
      </c>
      <c r="G155" s="314" t="s">
        <v>290</v>
      </c>
      <c r="H155" s="473"/>
      <c r="I155" s="307"/>
      <c r="J155" s="307"/>
      <c r="K155" s="532">
        <v>20000</v>
      </c>
      <c r="L155" s="533" t="s">
        <v>81</v>
      </c>
      <c r="M155" s="533" t="s">
        <v>24</v>
      </c>
      <c r="N155" s="525" t="str">
        <f>IF(AND('331-CT'!$E$7=TH!H155,OR(L155="331",M155="331")),"331",IF(AND(OR(L155="131",M155="131"),H155='131-CT'!$E$7),"131",""))</f>
        <v/>
      </c>
      <c r="O155" s="525" t="str">
        <f>IF(AND($B155&gt;='111'!$N$11,$B155&lt;='111'!$O$11,OR($L155=$O$7,$M155=$O$7)),"x","")</f>
        <v/>
      </c>
      <c r="P155" s="525" t="str">
        <f>IF(AND($L155=$O$7,$B155&lt;'111'!$N$11),"x","")</f>
        <v/>
      </c>
      <c r="Q155" s="525" t="str">
        <f>IF(AND($M155=$O$7,$B155&lt;'111'!$N$11),"x","")</f>
        <v/>
      </c>
      <c r="R155" s="525" t="str">
        <f>IF(ISERROR(FIND('112'!$M$9,G155,1)),"",IF((AND(FIND('112'!$M$9,G155,1)&gt;=1,$B155&gt;='112'!$N$8,$B155&lt;='112'!$O$8,OR($L155='112'!$I$6,$M155='112'!$I$6))),"x",""))</f>
        <v/>
      </c>
      <c r="S155" s="525" t="str">
        <f>IF(ISERROR(FIND('112'!$M$9,G155,1)),"",IF((AND(LEFT(G155,2)=LEFT('112'!$M$9,2),B155&lt;'112'!$N$8,$L155='112'!$I$6)),"x",""))</f>
        <v/>
      </c>
      <c r="T155" s="525" t="str">
        <f>IF(ISERROR(FIND('112'!$M$9,G155,1)),"",IF((AND(RIGHT(G155,2)=RIGHT('112'!$M$9,2),B155&lt;'112'!$N$8,$M155='112'!$I$6)),"x",""))</f>
        <v/>
      </c>
      <c r="U155" s="525" t="str">
        <f>IF(AND(B155&gt;='IN-NX'!$P$3,B155&lt;='IN-NX'!$Q$3,'IN-NX'!$D$7=D155,OR(LEFT(L155,2)="15",AND(LEFT(M155,2)&lt;&gt;"15",LEFT(M155,2)&lt;&gt;"33"))),"x","")</f>
        <v/>
      </c>
      <c r="V155" s="525" t="str">
        <f>IF(AND(OR(LEFT(TH!L155,2)="15",LEFT(TH!M155,2)="15"),'152-CT'!$J$8=TH!F155),"x","")</f>
        <v/>
      </c>
      <c r="W155" s="525" t="str">
        <f>IF(AND(OR(LEFT(TH!L155,2)="15",LEFT(TH!M155,2)="15"),TK!$E$7=TH!F155),"x","")</f>
        <v/>
      </c>
      <c r="X155" s="525" t="str">
        <f>IF(AND('341-CT'!$E$9=H155,OR(LEFT(L155,3)=$X$7,LEFT(M155,3)=$X$7)),"x","")</f>
        <v/>
      </c>
      <c r="Y155" s="525" t="str">
        <f>IF(OR(TH!L155=TH!$Y$7,M155=TH!$Y$7),"x","")</f>
        <v/>
      </c>
      <c r="Z155" s="525" t="str">
        <f>IF(AND(B155&lt;=NKC!$N$8,B155&gt;=NKC!$M$8),"x","")</f>
        <v>x</v>
      </c>
      <c r="AA155" s="535">
        <v>1</v>
      </c>
    </row>
    <row r="156" spans="1:28" s="503" customFormat="1" ht="15.75" customHeight="1">
      <c r="A156" s="517" t="str">
        <f>IF(B156&lt;&gt;"",IF(AND(B156&gt;=_TM1,B156&lt;=_TM2,OR(TH!L156="1111",TH!M156="1111")),TH!D156,""),"")</f>
        <v/>
      </c>
      <c r="B156" s="531">
        <f t="shared" si="14"/>
        <v>1</v>
      </c>
      <c r="C156" s="315">
        <f t="shared" si="16"/>
        <v>42751</v>
      </c>
      <c r="D156" s="315" t="s">
        <v>461</v>
      </c>
      <c r="E156" s="537">
        <v>42751</v>
      </c>
      <c r="F156" s="249" t="s">
        <v>472</v>
      </c>
      <c r="G156" s="314" t="s">
        <v>290</v>
      </c>
      <c r="H156" s="473"/>
      <c r="I156" s="284"/>
      <c r="J156" s="284"/>
      <c r="K156" s="532">
        <v>2000</v>
      </c>
      <c r="L156" s="533" t="s">
        <v>9</v>
      </c>
      <c r="M156" s="533" t="s">
        <v>24</v>
      </c>
      <c r="N156" s="525" t="str">
        <f>IF(AND('331-CT'!$E$7=TH!H156,OR(L156="331",M156="331")),"331",IF(AND(OR(L156="131",M156="131"),H156='131-CT'!$E$7),"131",""))</f>
        <v/>
      </c>
      <c r="O156" s="525" t="str">
        <f>IF(AND($B156&gt;='111'!$N$11,$B156&lt;='111'!$O$11,OR($L156=$O$7,$M156=$O$7)),"x","")</f>
        <v/>
      </c>
      <c r="P156" s="525" t="str">
        <f>IF(AND($L156=$O$7,$B156&lt;'111'!$N$11),"x","")</f>
        <v/>
      </c>
      <c r="Q156" s="525" t="str">
        <f>IF(AND($M156=$O$7,$B156&lt;'111'!$N$11),"x","")</f>
        <v/>
      </c>
      <c r="R156" s="525" t="str">
        <f>IF(ISERROR(FIND('112'!$M$9,G156,1)),"",IF((AND(FIND('112'!$M$9,G156,1)&gt;=1,$B156&gt;='112'!$N$8,$B156&lt;='112'!$O$8,OR($L156='112'!$I$6,$M156='112'!$I$6))),"x",""))</f>
        <v/>
      </c>
      <c r="S156" s="525" t="str">
        <f>IF(ISERROR(FIND('112'!$M$9,G156,1)),"",IF((AND(LEFT(G156,2)=LEFT('112'!$M$9,2),B156&lt;'112'!$N$8,$L156='112'!$I$6)),"x",""))</f>
        <v/>
      </c>
      <c r="T156" s="525" t="str">
        <f>IF(ISERROR(FIND('112'!$M$9,G156,1)),"",IF((AND(RIGHT(G156,2)=RIGHT('112'!$M$9,2),B156&lt;'112'!$N$8,$M156='112'!$I$6)),"x",""))</f>
        <v/>
      </c>
      <c r="U156" s="525" t="str">
        <f>IF(AND(B156&gt;='IN-NX'!$P$3,B156&lt;='IN-NX'!$Q$3,'IN-NX'!$D$7=D156,OR(LEFT(L156,2)="15",AND(LEFT(M156,2)&lt;&gt;"15",LEFT(M156,2)&lt;&gt;"33"))),"x","")</f>
        <v/>
      </c>
      <c r="V156" s="525" t="str">
        <f>IF(AND(OR(LEFT(TH!L156,2)="15",LEFT(TH!M156,2)="15"),'152-CT'!$J$8=TH!F156),"x","")</f>
        <v/>
      </c>
      <c r="W156" s="525" t="str">
        <f>IF(AND(OR(LEFT(TH!L156,2)="15",LEFT(TH!M156,2)="15"),TK!$E$7=TH!F156),"x","")</f>
        <v/>
      </c>
      <c r="X156" s="525" t="str">
        <f>IF(AND('341-CT'!$E$9=H156,OR(LEFT(L156,3)=$X$7,LEFT(M156,3)=$X$7)),"x","")</f>
        <v/>
      </c>
      <c r="Y156" s="525" t="str">
        <f>IF(OR(TH!L156=TH!$Y$7,M156=TH!$Y$7),"x","")</f>
        <v/>
      </c>
      <c r="Z156" s="525" t="str">
        <f>IF(AND(B156&lt;=NKC!$N$8,B156&gt;=NKC!$M$8),"x","")</f>
        <v>x</v>
      </c>
      <c r="AA156" s="535">
        <v>1</v>
      </c>
      <c r="AB156" s="536"/>
    </row>
    <row r="157" spans="1:28" s="503" customFormat="1" ht="15.75" customHeight="1">
      <c r="A157" s="517" t="str">
        <f>IF(B157&lt;&gt;"",IF(AND(B157&gt;=_TM1,B157&lt;=_TM2,OR(TH!L157="1111",TH!M157="1111")),TH!D157,""),"")</f>
        <v>GBN</v>
      </c>
      <c r="B157" s="531">
        <f t="shared" si="14"/>
        <v>1</v>
      </c>
      <c r="C157" s="315">
        <f t="shared" ref="C157:C188" si="17">E157</f>
        <v>42753</v>
      </c>
      <c r="D157" s="315" t="s">
        <v>461</v>
      </c>
      <c r="E157" s="288">
        <v>42753</v>
      </c>
      <c r="F157" s="249" t="s">
        <v>465</v>
      </c>
      <c r="G157" s="314" t="s">
        <v>290</v>
      </c>
      <c r="H157" s="473" t="s">
        <v>460</v>
      </c>
      <c r="I157" s="284"/>
      <c r="J157" s="284"/>
      <c r="K157" s="532">
        <v>28400000</v>
      </c>
      <c r="L157" s="533" t="s">
        <v>45</v>
      </c>
      <c r="M157" s="533" t="s">
        <v>24</v>
      </c>
      <c r="N157" s="525" t="str">
        <f>IF(AND('331-CT'!$E$7=TH!H157,OR(L157="331",M157="331")),"331",IF(AND(OR(L157="131",M157="131"),H157='131-CT'!$E$7),"131",""))</f>
        <v/>
      </c>
      <c r="O157" s="525" t="str">
        <f>IF(AND($B157&gt;='111'!$N$11,$B157&lt;='111'!$O$11,OR($L157=$O$7,$M157=$O$7)),"x","")</f>
        <v/>
      </c>
      <c r="P157" s="525" t="str">
        <f>IF(AND($L157=$O$7,$B157&lt;'111'!$N$11),"x","")</f>
        <v>x</v>
      </c>
      <c r="Q157" s="525" t="str">
        <f>IF(AND($M157=$O$7,$B157&lt;'111'!$N$11),"x","")</f>
        <v/>
      </c>
      <c r="R157" s="525" t="str">
        <f>IF(ISERROR(FIND('112'!$M$9,G157,1)),"",IF((AND(FIND('112'!$M$9,G157,1)&gt;=1,$B157&gt;='112'!$N$8,$B157&lt;='112'!$O$8,OR($L157='112'!$I$6,$M157='112'!$I$6))),"x",""))</f>
        <v/>
      </c>
      <c r="S157" s="525" t="str">
        <f>IF(ISERROR(FIND('112'!$M$9,G157,1)),"",IF((AND(LEFT(G157,2)=LEFT('112'!$M$9,2),B157&lt;'112'!$N$8,$L157='112'!$I$6)),"x",""))</f>
        <v/>
      </c>
      <c r="T157" s="525" t="str">
        <f>IF(ISERROR(FIND('112'!$M$9,G157,1)),"",IF((AND(RIGHT(G157,2)=RIGHT('112'!$M$9,2),B157&lt;'112'!$N$8,$M157='112'!$I$6)),"x",""))</f>
        <v/>
      </c>
      <c r="U157" s="525" t="str">
        <f>IF(AND(B157&gt;='IN-NX'!$P$3,B157&lt;='IN-NX'!$Q$3,'IN-NX'!$D$7=D157,OR(LEFT(L157,2)="15",AND(LEFT(M157,2)&lt;&gt;"15",LEFT(M157,2)&lt;&gt;"33"))),"x","")</f>
        <v/>
      </c>
      <c r="V157" s="525" t="str">
        <f>IF(AND(OR(LEFT(TH!L157,2)="15",LEFT(TH!M157,2)="15"),'152-CT'!$J$8=TH!F157),"x","")</f>
        <v/>
      </c>
      <c r="W157" s="525" t="str">
        <f>IF(AND(OR(LEFT(TH!L157,2)="15",LEFT(TH!M157,2)="15"),TK!$E$7=TH!F157),"x","")</f>
        <v/>
      </c>
      <c r="X157" s="525" t="str">
        <f>IF(AND('341-CT'!$E$9=H157,OR(LEFT(L157,3)=$X$7,LEFT(M157,3)=$X$7)),"x","")</f>
        <v/>
      </c>
      <c r="Y157" s="525" t="str">
        <f>IF(OR(TH!L157=TH!$Y$7,M157=TH!$Y$7),"x","")</f>
        <v/>
      </c>
      <c r="Z157" s="525" t="str">
        <f>IF(AND(B157&lt;=NKC!$N$8,B157&gt;=NKC!$M$8),"x","")</f>
        <v>x</v>
      </c>
      <c r="AA157" s="535"/>
      <c r="AB157" s="536"/>
    </row>
    <row r="158" spans="1:28" s="503" customFormat="1" ht="15.75" customHeight="1">
      <c r="A158" s="517" t="str">
        <f>IF(B158&lt;&gt;"",IF(AND(B158&gt;=_TM1,B158&lt;=_TM2,OR(TH!L158="1111",TH!M158="1111")),TH!D158,""),"")</f>
        <v/>
      </c>
      <c r="B158" s="531">
        <f t="shared" si="14"/>
        <v>1</v>
      </c>
      <c r="C158" s="315">
        <f t="shared" si="17"/>
        <v>42754</v>
      </c>
      <c r="D158" s="315" t="s">
        <v>461</v>
      </c>
      <c r="E158" s="288">
        <v>42754</v>
      </c>
      <c r="F158" s="249" t="s">
        <v>468</v>
      </c>
      <c r="G158" s="314" t="s">
        <v>290</v>
      </c>
      <c r="H158" s="473" t="s">
        <v>272</v>
      </c>
      <c r="I158" s="307"/>
      <c r="J158" s="307"/>
      <c r="K158" s="532">
        <v>1916601419</v>
      </c>
      <c r="L158" s="539" t="s">
        <v>8</v>
      </c>
      <c r="M158" s="533" t="s">
        <v>24</v>
      </c>
      <c r="N158" s="525" t="str">
        <f>IF(AND('331-CT'!$E$7=TH!H158,OR(L158="331",M158="331")),"331",IF(AND(OR(L158="131",M158="131"),H158='131-CT'!$E$7),"131",""))</f>
        <v/>
      </c>
      <c r="O158" s="525" t="str">
        <f>IF(AND($B158&gt;='111'!$N$11,$B158&lt;='111'!$O$11,OR($L158=$O$7,$M158=$O$7)),"x","")</f>
        <v/>
      </c>
      <c r="P158" s="525" t="str">
        <f>IF(AND($L158=$O$7,$B158&lt;'111'!$N$11),"x","")</f>
        <v/>
      </c>
      <c r="Q158" s="525" t="str">
        <f>IF(AND($M158=$O$7,$B158&lt;'111'!$N$11),"x","")</f>
        <v/>
      </c>
      <c r="R158" s="525" t="str">
        <f>IF(ISERROR(FIND('112'!$M$9,G158,1)),"",IF((AND(FIND('112'!$M$9,G158,1)&gt;=1,$B158&gt;='112'!$N$8,$B158&lt;='112'!$O$8,OR($L158='112'!$I$6,$M158='112'!$I$6))),"x",""))</f>
        <v/>
      </c>
      <c r="S158" s="525" t="str">
        <f>IF(ISERROR(FIND('112'!$M$9,G158,1)),"",IF((AND(LEFT(G158,2)=LEFT('112'!$M$9,2),B158&lt;'112'!$N$8,$L158='112'!$I$6)),"x",""))</f>
        <v/>
      </c>
      <c r="T158" s="525" t="str">
        <f>IF(ISERROR(FIND('112'!$M$9,G158,1)),"",IF((AND(RIGHT(G158,2)=RIGHT('112'!$M$9,2),B158&lt;'112'!$N$8,$M158='112'!$I$6)),"x",""))</f>
        <v/>
      </c>
      <c r="U158" s="525" t="str">
        <f>IF(AND(B158&gt;='IN-NX'!$P$3,B158&lt;='IN-NX'!$Q$3,'IN-NX'!$D$7=D158,OR(LEFT(L158,2)="15",AND(LEFT(M158,2)&lt;&gt;"15",LEFT(M158,2)&lt;&gt;"33"))),"x","")</f>
        <v/>
      </c>
      <c r="V158" s="525" t="str">
        <f>IF(AND(OR(LEFT(TH!L158,2)="15",LEFT(TH!M158,2)="15"),'152-CT'!$J$8=TH!F158),"x","")</f>
        <v/>
      </c>
      <c r="W158" s="525" t="str">
        <f>IF(AND(OR(LEFT(TH!L158,2)="15",LEFT(TH!M158,2)="15"),TK!$E$7=TH!F158),"x","")</f>
        <v/>
      </c>
      <c r="X158" s="525" t="str">
        <f>IF(AND('341-CT'!$E$9=H158,OR(LEFT(L158,3)=$X$7,LEFT(M158,3)=$X$7)),"x","")</f>
        <v/>
      </c>
      <c r="Y158" s="525" t="str">
        <f>IF(OR(TH!L158=TH!$Y$7,M158=TH!$Y$7),"x","")</f>
        <v/>
      </c>
      <c r="Z158" s="525" t="str">
        <f>IF(AND(B158&lt;=NKC!$N$8,B158&gt;=NKC!$M$8),"x","")</f>
        <v>x</v>
      </c>
      <c r="AA158" s="535"/>
    </row>
    <row r="159" spans="1:28" s="503" customFormat="1" ht="15.75" customHeight="1">
      <c r="A159" s="517" t="str">
        <f>IF(B159&lt;&gt;"",IF(AND(B159&gt;=_TM1,B159&lt;=_TM2,OR(TH!L159="1111",TH!M159="1111")),TH!D159,""),"")</f>
        <v/>
      </c>
      <c r="B159" s="531">
        <f t="shared" si="14"/>
        <v>1</v>
      </c>
      <c r="C159" s="315">
        <f t="shared" si="17"/>
        <v>42754</v>
      </c>
      <c r="D159" s="315" t="s">
        <v>461</v>
      </c>
      <c r="E159" s="288">
        <v>42754</v>
      </c>
      <c r="F159" s="248" t="s">
        <v>463</v>
      </c>
      <c r="G159" s="314" t="s">
        <v>290</v>
      </c>
      <c r="H159" s="472"/>
      <c r="I159" s="307"/>
      <c r="J159" s="307"/>
      <c r="K159" s="532">
        <f>1475766/1.1</f>
        <v>1341605.4545454544</v>
      </c>
      <c r="L159" s="533" t="s">
        <v>81</v>
      </c>
      <c r="M159" s="533" t="s">
        <v>24</v>
      </c>
      <c r="N159" s="525" t="str">
        <f>IF(AND('331-CT'!$E$7=TH!H159,OR(L159="331",M159="331")),"331",IF(AND(OR(L159="131",M159="131"),H159='131-CT'!$E$7),"131",""))</f>
        <v/>
      </c>
      <c r="O159" s="525" t="str">
        <f>IF(AND($B159&gt;='111'!$N$11,$B159&lt;='111'!$O$11,OR($L159=$O$7,$M159=$O$7)),"x","")</f>
        <v/>
      </c>
      <c r="P159" s="525" t="str">
        <f>IF(AND($L159=$O$7,$B159&lt;'111'!$N$11),"x","")</f>
        <v/>
      </c>
      <c r="Q159" s="525" t="str">
        <f>IF(AND($M159=$O$7,$B159&lt;'111'!$N$11),"x","")</f>
        <v/>
      </c>
      <c r="R159" s="525" t="str">
        <f>IF(ISERROR(FIND('112'!$M$9,G159,1)),"",IF((AND(FIND('112'!$M$9,G159,1)&gt;=1,$B159&gt;='112'!$N$8,$B159&lt;='112'!$O$8,OR($L159='112'!$I$6,$M159='112'!$I$6))),"x",""))</f>
        <v/>
      </c>
      <c r="S159" s="525" t="str">
        <f>IF(ISERROR(FIND('112'!$M$9,G159,1)),"",IF((AND(LEFT(G159,2)=LEFT('112'!$M$9,2),B159&lt;'112'!$N$8,$L159='112'!$I$6)),"x",""))</f>
        <v/>
      </c>
      <c r="T159" s="525" t="str">
        <f>IF(ISERROR(FIND('112'!$M$9,G159,1)),"",IF((AND(RIGHT(G159,2)=RIGHT('112'!$M$9,2),B159&lt;'112'!$N$8,$M159='112'!$I$6)),"x",""))</f>
        <v/>
      </c>
      <c r="U159" s="525" t="str">
        <f>IF(AND(B159&gt;='IN-NX'!$P$3,B159&lt;='IN-NX'!$Q$3,'IN-NX'!$D$7=D159,OR(LEFT(L159,2)="15",AND(LEFT(M159,2)&lt;&gt;"15",LEFT(M159,2)&lt;&gt;"33"))),"x","")</f>
        <v/>
      </c>
      <c r="V159" s="525" t="str">
        <f>IF(AND(OR(LEFT(TH!L159,2)="15",LEFT(TH!M159,2)="15"),'152-CT'!$J$8=TH!F159),"x","")</f>
        <v/>
      </c>
      <c r="W159" s="525" t="str">
        <f>IF(AND(OR(LEFT(TH!L159,2)="15",LEFT(TH!M159,2)="15"),TK!$E$7=TH!F159),"x","")</f>
        <v/>
      </c>
      <c r="X159" s="525" t="str">
        <f>IF(AND('341-CT'!$E$9=H159,OR(LEFT(L159,3)=$X$7,LEFT(M159,3)=$X$7)),"x","")</f>
        <v/>
      </c>
      <c r="Y159" s="525" t="str">
        <f>IF(OR(TH!L159=TH!$Y$7,M159=TH!$Y$7),"x","")</f>
        <v/>
      </c>
      <c r="Z159" s="525" t="str">
        <f>IF(AND(B159&lt;=NKC!$N$8,B159&gt;=NKC!$M$8),"x","")</f>
        <v>x</v>
      </c>
      <c r="AA159" s="535">
        <v>1</v>
      </c>
    </row>
    <row r="160" spans="1:28" s="503" customFormat="1" ht="15.75" customHeight="1">
      <c r="A160" s="517" t="str">
        <f>IF(B160&lt;&gt;"",IF(AND(B160&gt;=_TM1,B160&lt;=_TM2,OR(TH!L160="1111",TH!M160="1111")),TH!D160,""),"")</f>
        <v/>
      </c>
      <c r="B160" s="531">
        <f t="shared" si="14"/>
        <v>1</v>
      </c>
      <c r="C160" s="315">
        <f t="shared" si="17"/>
        <v>42754</v>
      </c>
      <c r="D160" s="315" t="s">
        <v>461</v>
      </c>
      <c r="E160" s="288">
        <v>42754</v>
      </c>
      <c r="F160" s="248" t="s">
        <v>464</v>
      </c>
      <c r="G160" s="314" t="s">
        <v>290</v>
      </c>
      <c r="H160" s="473"/>
      <c r="I160" s="307"/>
      <c r="J160" s="307"/>
      <c r="K160" s="532">
        <v>134161</v>
      </c>
      <c r="L160" s="533" t="s">
        <v>9</v>
      </c>
      <c r="M160" s="533" t="s">
        <v>24</v>
      </c>
      <c r="N160" s="525" t="str">
        <f>IF(AND('331-CT'!$E$7=TH!H160,OR(L160="331",M160="331")),"331",IF(AND(OR(L160="131",M160="131"),H160='131-CT'!$E$7),"131",""))</f>
        <v/>
      </c>
      <c r="O160" s="525" t="str">
        <f>IF(AND($B160&gt;='111'!$N$11,$B160&lt;='111'!$O$11,OR($L160=$O$7,$M160=$O$7)),"x","")</f>
        <v/>
      </c>
      <c r="P160" s="525" t="str">
        <f>IF(AND($L160=$O$7,$B160&lt;'111'!$N$11),"x","")</f>
        <v/>
      </c>
      <c r="Q160" s="525" t="str">
        <f>IF(AND($M160=$O$7,$B160&lt;'111'!$N$11),"x","")</f>
        <v/>
      </c>
      <c r="R160" s="525" t="str">
        <f>IF(ISERROR(FIND('112'!$M$9,G160,1)),"",IF((AND(FIND('112'!$M$9,G160,1)&gt;=1,$B160&gt;='112'!$N$8,$B160&lt;='112'!$O$8,OR($L160='112'!$I$6,$M160='112'!$I$6))),"x",""))</f>
        <v/>
      </c>
      <c r="S160" s="525" t="str">
        <f>IF(ISERROR(FIND('112'!$M$9,G160,1)),"",IF((AND(LEFT(G160,2)=LEFT('112'!$M$9,2),B160&lt;'112'!$N$8,$L160='112'!$I$6)),"x",""))</f>
        <v/>
      </c>
      <c r="T160" s="525" t="str">
        <f>IF(ISERROR(FIND('112'!$M$9,G160,1)),"",IF((AND(RIGHT(G160,2)=RIGHT('112'!$M$9,2),B160&lt;'112'!$N$8,$M160='112'!$I$6)),"x",""))</f>
        <v/>
      </c>
      <c r="U160" s="525" t="str">
        <f>IF(AND(B160&gt;='IN-NX'!$P$3,B160&lt;='IN-NX'!$Q$3,'IN-NX'!$D$7=D160,OR(LEFT(L160,2)="15",AND(LEFT(M160,2)&lt;&gt;"15",LEFT(M160,2)&lt;&gt;"33"))),"x","")</f>
        <v/>
      </c>
      <c r="V160" s="525" t="str">
        <f>IF(AND(OR(LEFT(TH!L160,2)="15",LEFT(TH!M160,2)="15"),'152-CT'!$J$8=TH!F160),"x","")</f>
        <v/>
      </c>
      <c r="W160" s="525" t="str">
        <f>IF(AND(OR(LEFT(TH!L160,2)="15",LEFT(TH!M160,2)="15"),TK!$E$7=TH!F160),"x","")</f>
        <v/>
      </c>
      <c r="X160" s="525" t="str">
        <f>IF(AND('341-CT'!$E$9=H160,OR(LEFT(L160,3)=$X$7,LEFT(M160,3)=$X$7)),"x","")</f>
        <v/>
      </c>
      <c r="Y160" s="525" t="str">
        <f>IF(OR(TH!L160=TH!$Y$7,M160=TH!$Y$7),"x","")</f>
        <v/>
      </c>
      <c r="Z160" s="525" t="str">
        <f>IF(AND(B160&lt;=NKC!$N$8,B160&gt;=NKC!$M$8),"x","")</f>
        <v>x</v>
      </c>
      <c r="AA160" s="535"/>
      <c r="AB160" s="536"/>
    </row>
    <row r="161" spans="1:28" s="503" customFormat="1" ht="15.75" customHeight="1">
      <c r="A161" s="517" t="str">
        <f>IF(B161&lt;&gt;"",IF(AND(B161&gt;=_TM1,B161&lt;=_TM2,OR(TH!L161="1111",TH!M161="1111")),TH!D161,""),"")</f>
        <v>GBN</v>
      </c>
      <c r="B161" s="531">
        <f t="shared" si="14"/>
        <v>1</v>
      </c>
      <c r="C161" s="315">
        <f t="shared" si="17"/>
        <v>42754</v>
      </c>
      <c r="D161" s="315" t="s">
        <v>461</v>
      </c>
      <c r="E161" s="288">
        <v>42754</v>
      </c>
      <c r="F161" s="249" t="s">
        <v>465</v>
      </c>
      <c r="G161" s="314" t="s">
        <v>290</v>
      </c>
      <c r="H161" s="473" t="s">
        <v>477</v>
      </c>
      <c r="I161" s="307"/>
      <c r="J161" s="307"/>
      <c r="K161" s="532">
        <v>6700000</v>
      </c>
      <c r="L161" s="533" t="s">
        <v>45</v>
      </c>
      <c r="M161" s="533" t="s">
        <v>24</v>
      </c>
      <c r="N161" s="525" t="str">
        <f>IF(AND('331-CT'!$E$7=TH!H161,OR(L161="331",M161="331")),"331",IF(AND(OR(L161="131",M161="131"),H161='131-CT'!$E$7),"131",""))</f>
        <v/>
      </c>
      <c r="O161" s="525" t="str">
        <f>IF(AND($B161&gt;='111'!$N$11,$B161&lt;='111'!$O$11,OR($L161=$O$7,$M161=$O$7)),"x","")</f>
        <v/>
      </c>
      <c r="P161" s="525" t="str">
        <f>IF(AND($L161=$O$7,$B161&lt;'111'!$N$11),"x","")</f>
        <v>x</v>
      </c>
      <c r="Q161" s="525" t="str">
        <f>IF(AND($M161=$O$7,$B161&lt;'111'!$N$11),"x","")</f>
        <v/>
      </c>
      <c r="R161" s="525" t="str">
        <f>IF(ISERROR(FIND('112'!$M$9,G161,1)),"",IF((AND(FIND('112'!$M$9,G161,1)&gt;=1,$B161&gt;='112'!$N$8,$B161&lt;='112'!$O$8,OR($L161='112'!$I$6,$M161='112'!$I$6))),"x",""))</f>
        <v/>
      </c>
      <c r="S161" s="525" t="str">
        <f>IF(ISERROR(FIND('112'!$M$9,G161,1)),"",IF((AND(LEFT(G161,2)=LEFT('112'!$M$9,2),B161&lt;'112'!$N$8,$L161='112'!$I$6)),"x",""))</f>
        <v/>
      </c>
      <c r="T161" s="525" t="str">
        <f>IF(ISERROR(FIND('112'!$M$9,G161,1)),"",IF((AND(RIGHT(G161,2)=RIGHT('112'!$M$9,2),B161&lt;'112'!$N$8,$M161='112'!$I$6)),"x",""))</f>
        <v/>
      </c>
      <c r="U161" s="525" t="str">
        <f>IF(AND(B161&gt;='IN-NX'!$P$3,B161&lt;='IN-NX'!$Q$3,'IN-NX'!$D$7=D161,OR(LEFT(L161,2)="15",AND(LEFT(M161,2)&lt;&gt;"15",LEFT(M161,2)&lt;&gt;"33"))),"x","")</f>
        <v/>
      </c>
      <c r="V161" s="525" t="str">
        <f>IF(AND(OR(LEFT(TH!L161,2)="15",LEFT(TH!M161,2)="15"),'152-CT'!$J$8=TH!F161),"x","")</f>
        <v/>
      </c>
      <c r="W161" s="525" t="str">
        <f>IF(AND(OR(LEFT(TH!L161,2)="15",LEFT(TH!M161,2)="15"),TK!$E$7=TH!F161),"x","")</f>
        <v/>
      </c>
      <c r="X161" s="525" t="str">
        <f>IF(AND('341-CT'!$E$9=H161,OR(LEFT(L161,3)=$X$7,LEFT(M161,3)=$X$7)),"x","")</f>
        <v/>
      </c>
      <c r="Y161" s="525" t="str">
        <f>IF(OR(TH!L161=TH!$Y$7,M161=TH!$Y$7),"x","")</f>
        <v/>
      </c>
      <c r="Z161" s="525" t="str">
        <f>IF(AND(B161&lt;=NKC!$N$8,B161&gt;=NKC!$M$8),"x","")</f>
        <v>x</v>
      </c>
      <c r="AA161" s="535"/>
    </row>
    <row r="162" spans="1:28" s="503" customFormat="1" ht="15.75" customHeight="1">
      <c r="A162" s="517" t="str">
        <f>IF(B162&lt;&gt;"",IF(AND(B162&gt;=_TM1,B162&lt;=_TM2,OR(TH!L162="1111",TH!M162="1111")),TH!D162,""),"")</f>
        <v/>
      </c>
      <c r="B162" s="531">
        <f t="shared" si="14"/>
        <v>1</v>
      </c>
      <c r="C162" s="315">
        <f t="shared" si="17"/>
        <v>42754</v>
      </c>
      <c r="D162" s="315" t="s">
        <v>461</v>
      </c>
      <c r="E162" s="288">
        <v>42754</v>
      </c>
      <c r="F162" s="249" t="s">
        <v>475</v>
      </c>
      <c r="G162" s="314" t="s">
        <v>290</v>
      </c>
      <c r="H162" s="472"/>
      <c r="I162" s="307"/>
      <c r="J162" s="307"/>
      <c r="K162" s="532">
        <v>2000000</v>
      </c>
      <c r="L162" s="534" t="s">
        <v>61</v>
      </c>
      <c r="M162" s="533" t="s">
        <v>24</v>
      </c>
      <c r="N162" s="525" t="str">
        <f>IF(AND('331-CT'!$E$7=TH!H162,OR(L162="331",M162="331")),"331",IF(AND(OR(L162="131",M162="131"),H162='131-CT'!$E$7),"131",""))</f>
        <v/>
      </c>
      <c r="O162" s="525" t="str">
        <f>IF(AND($B162&gt;='111'!$N$11,$B162&lt;='111'!$O$11,OR($L162=$O$7,$M162=$O$7)),"x","")</f>
        <v/>
      </c>
      <c r="P162" s="525" t="str">
        <f>IF(AND($L162=$O$7,$B162&lt;'111'!$N$11),"x","")</f>
        <v/>
      </c>
      <c r="Q162" s="525" t="str">
        <f>IF(AND($M162=$O$7,$B162&lt;'111'!$N$11),"x","")</f>
        <v/>
      </c>
      <c r="R162" s="525" t="str">
        <f>IF(ISERROR(FIND('112'!$M$9,G162,1)),"",IF((AND(FIND('112'!$M$9,G162,1)&gt;=1,$B162&gt;='112'!$N$8,$B162&lt;='112'!$O$8,OR($L162='112'!$I$6,$M162='112'!$I$6))),"x",""))</f>
        <v/>
      </c>
      <c r="S162" s="525" t="str">
        <f>IF(ISERROR(FIND('112'!$M$9,G162,1)),"",IF((AND(LEFT(G162,2)=LEFT('112'!$M$9,2),B162&lt;'112'!$N$8,$L162='112'!$I$6)),"x",""))</f>
        <v/>
      </c>
      <c r="T162" s="525" t="str">
        <f>IF(ISERROR(FIND('112'!$M$9,G162,1)),"",IF((AND(RIGHT(G162,2)=RIGHT('112'!$M$9,2),B162&lt;'112'!$N$8,$M162='112'!$I$6)),"x",""))</f>
        <v/>
      </c>
      <c r="U162" s="525" t="str">
        <f>IF(AND(B162&gt;='IN-NX'!$P$3,B162&lt;='IN-NX'!$Q$3,'IN-NX'!$D$7=D162,OR(LEFT(L162,2)="15",AND(LEFT(M162,2)&lt;&gt;"15",LEFT(M162,2)&lt;&gt;"33"))),"x","")</f>
        <v/>
      </c>
      <c r="V162" s="525" t="str">
        <f>IF(AND(OR(LEFT(TH!L162,2)="15",LEFT(TH!M162,2)="15"),'152-CT'!$J$8=TH!F162),"x","")</f>
        <v/>
      </c>
      <c r="W162" s="525" t="str">
        <f>IF(AND(OR(LEFT(TH!L162,2)="15",LEFT(TH!M162,2)="15"),TK!$E$7=TH!F162),"x","")</f>
        <v/>
      </c>
      <c r="X162" s="525" t="str">
        <f>IF(AND('341-CT'!$E$9=H162,OR(LEFT(L162,3)=$X$7,LEFT(M162,3)=$X$7)),"x","")</f>
        <v/>
      </c>
      <c r="Y162" s="525" t="str">
        <f>IF(OR(TH!L162=TH!$Y$7,M162=TH!$Y$7),"x","")</f>
        <v/>
      </c>
      <c r="Z162" s="525" t="str">
        <f>IF(AND(B162&lt;=NKC!$N$8,B162&gt;=NKC!$M$8),"x","")</f>
        <v>x</v>
      </c>
      <c r="AA162" s="535"/>
    </row>
    <row r="163" spans="1:28" s="503" customFormat="1" ht="15.75" customHeight="1">
      <c r="A163" s="517" t="str">
        <f>IF(B163&lt;&gt;"",IF(AND(B163&gt;=_TM1,B163&lt;=_TM2,OR(TH!L163="1111",TH!M163="1111")),TH!D163,""),"")</f>
        <v/>
      </c>
      <c r="B163" s="531">
        <f>IF(C163&lt;&gt;"",MONTH(C163),"")</f>
        <v>1</v>
      </c>
      <c r="C163" s="315">
        <f t="shared" si="17"/>
        <v>42754</v>
      </c>
      <c r="D163" s="315" t="s">
        <v>476</v>
      </c>
      <c r="E163" s="288">
        <v>42754</v>
      </c>
      <c r="F163" s="249" t="s">
        <v>568</v>
      </c>
      <c r="G163" s="314"/>
      <c r="H163" s="472"/>
      <c r="I163" s="307"/>
      <c r="J163" s="307"/>
      <c r="K163" s="532">
        <v>2000000</v>
      </c>
      <c r="L163" s="534" t="s">
        <v>81</v>
      </c>
      <c r="M163" s="533" t="s">
        <v>61</v>
      </c>
      <c r="N163" s="525" t="str">
        <f>IF(AND('331-CT'!$E$7=TH!H163,OR(L163="331",M163="331")),"331",IF(AND(OR(L163="131",M163="131"),H163='131-CT'!$E$7),"131",""))</f>
        <v/>
      </c>
      <c r="O163" s="525" t="str">
        <f>IF(AND($B163&gt;='111'!$N$11,$B163&lt;='111'!$O$11,OR($L163=$O$7,$M163=$O$7)),"x","")</f>
        <v/>
      </c>
      <c r="P163" s="525" t="str">
        <f>IF(AND($L163=$O$7,$B163&lt;'111'!$N$11),"x","")</f>
        <v/>
      </c>
      <c r="Q163" s="525" t="str">
        <f>IF(AND($M163=$O$7,$B163&lt;'111'!$N$11),"x","")</f>
        <v/>
      </c>
      <c r="R163" s="525" t="str">
        <f>IF(ISERROR(FIND('112'!$M$9,G163,1)),"",IF((AND(FIND('112'!$M$9,G163,1)&gt;=1,$B163&gt;='112'!$N$8,$B163&lt;='112'!$O$8,OR($L163='112'!$I$6,$M163='112'!$I$6))),"x",""))</f>
        <v/>
      </c>
      <c r="S163" s="525" t="str">
        <f>IF(ISERROR(FIND('112'!$M$9,G163,1)),"",IF((AND(LEFT(G163,2)=LEFT('112'!$M$9,2),B163&lt;'112'!$N$8,$L163='112'!$I$6)),"x",""))</f>
        <v/>
      </c>
      <c r="T163" s="525" t="str">
        <f>IF(ISERROR(FIND('112'!$M$9,G163,1)),"",IF((AND(RIGHT(G163,2)=RIGHT('112'!$M$9,2),B163&lt;'112'!$N$8,$M163='112'!$I$6)),"x",""))</f>
        <v/>
      </c>
      <c r="U163" s="525" t="str">
        <f>IF(AND(B163&gt;='IN-NX'!$P$3,B163&lt;='IN-NX'!$Q$3,'IN-NX'!$D$7=D163,OR(LEFT(L163,2)="15",AND(LEFT(M163,2)&lt;&gt;"15",LEFT(M163,2)&lt;&gt;"33"))),"x","")</f>
        <v/>
      </c>
      <c r="V163" s="525" t="str">
        <f>IF(AND(OR(LEFT(TH!L163,2)="15",LEFT(TH!M163,2)="15"),'152-CT'!$J$8=TH!F163),"x","")</f>
        <v/>
      </c>
      <c r="W163" s="525" t="str">
        <f>IF(AND(OR(LEFT(TH!L163,2)="15",LEFT(TH!M163,2)="15"),TK!$E$7=TH!F163),"x","")</f>
        <v/>
      </c>
      <c r="X163" s="525" t="str">
        <f>IF(AND('341-CT'!$E$9=H163,OR(LEFT(L163,3)=$X$7,LEFT(M163,3)=$X$7)),"x","")</f>
        <v/>
      </c>
      <c r="Y163" s="525" t="str">
        <f>IF(OR(TH!L163=TH!$Y$7,M163=TH!$Y$7),"x","")</f>
        <v/>
      </c>
      <c r="Z163" s="525" t="str">
        <f>IF(AND(B163&lt;=NKC!$N$8,B163&gt;=NKC!$M$8),"x","")</f>
        <v>x</v>
      </c>
      <c r="AA163" s="535"/>
    </row>
    <row r="164" spans="1:28" s="503" customFormat="1" ht="15.75" customHeight="1">
      <c r="A164" s="517" t="str">
        <f>IF(B164&lt;&gt;"",IF(AND(B164&gt;=_TM1,B164&lt;=_TM2,OR(TH!L164="1111",TH!M164="1111")),TH!D164,""),"")</f>
        <v/>
      </c>
      <c r="B164" s="531">
        <f t="shared" si="14"/>
        <v>1</v>
      </c>
      <c r="C164" s="315">
        <f t="shared" si="17"/>
        <v>42760</v>
      </c>
      <c r="D164" s="315" t="s">
        <v>461</v>
      </c>
      <c r="E164" s="288">
        <v>42760</v>
      </c>
      <c r="F164" s="249" t="s">
        <v>473</v>
      </c>
      <c r="G164" s="314" t="s">
        <v>290</v>
      </c>
      <c r="H164" s="472"/>
      <c r="I164" s="307"/>
      <c r="J164" s="307"/>
      <c r="K164" s="532">
        <v>10000</v>
      </c>
      <c r="L164" s="533" t="s">
        <v>81</v>
      </c>
      <c r="M164" s="533" t="s">
        <v>24</v>
      </c>
      <c r="N164" s="525" t="str">
        <f>IF(AND('331-CT'!$E$7=TH!H164,OR(L164="331",M164="331")),"331",IF(AND(OR(L164="131",M164="131"),H164='131-CT'!$E$7),"131",""))</f>
        <v/>
      </c>
      <c r="O164" s="525" t="str">
        <f>IF(AND($B164&gt;='111'!$N$11,$B164&lt;='111'!$O$11,OR($L164=$O$7,$M164=$O$7)),"x","")</f>
        <v/>
      </c>
      <c r="P164" s="525" t="str">
        <f>IF(AND($L164=$O$7,$B164&lt;'111'!$N$11),"x","")</f>
        <v/>
      </c>
      <c r="Q164" s="525" t="str">
        <f>IF(AND($M164=$O$7,$B164&lt;'111'!$N$11),"x","")</f>
        <v/>
      </c>
      <c r="R164" s="525" t="str">
        <f>IF(ISERROR(FIND('112'!$M$9,G164,1)),"",IF((AND(FIND('112'!$M$9,G164,1)&gt;=1,$B164&gt;='112'!$N$8,$B164&lt;='112'!$O$8,OR($L164='112'!$I$6,$M164='112'!$I$6))),"x",""))</f>
        <v/>
      </c>
      <c r="S164" s="525" t="str">
        <f>IF(ISERROR(FIND('112'!$M$9,G164,1)),"",IF((AND(LEFT(G164,2)=LEFT('112'!$M$9,2),B164&lt;'112'!$N$8,$L164='112'!$I$6)),"x",""))</f>
        <v/>
      </c>
      <c r="T164" s="525" t="str">
        <f>IF(ISERROR(FIND('112'!$M$9,G164,1)),"",IF((AND(RIGHT(G164,2)=RIGHT('112'!$M$9,2),B164&lt;'112'!$N$8,$M164='112'!$I$6)),"x",""))</f>
        <v/>
      </c>
      <c r="U164" s="525" t="str">
        <f>IF(AND(B164&gt;='IN-NX'!$P$3,B164&lt;='IN-NX'!$Q$3,'IN-NX'!$D$7=D164,OR(LEFT(L164,2)="15",AND(LEFT(M164,2)&lt;&gt;"15",LEFT(M164,2)&lt;&gt;"33"))),"x","")</f>
        <v/>
      </c>
      <c r="V164" s="525" t="str">
        <f>IF(AND(OR(LEFT(TH!L164,2)="15",LEFT(TH!M164,2)="15"),'152-CT'!$J$8=TH!F164),"x","")</f>
        <v/>
      </c>
      <c r="W164" s="525" t="str">
        <f>IF(AND(OR(LEFT(TH!L164,2)="15",LEFT(TH!M164,2)="15"),TK!$E$7=TH!F164),"x","")</f>
        <v/>
      </c>
      <c r="X164" s="525" t="str">
        <f>IF(AND('341-CT'!$E$9=H164,OR(LEFT(L164,3)=$X$7,LEFT(M164,3)=$X$7)),"x","")</f>
        <v/>
      </c>
      <c r="Y164" s="525" t="str">
        <f>IF(OR(TH!L164=TH!$Y$7,M164=TH!$Y$7),"x","")</f>
        <v/>
      </c>
      <c r="Z164" s="525" t="str">
        <f>IF(AND(B164&lt;=NKC!$N$8,B164&gt;=NKC!$M$8),"x","")</f>
        <v>x</v>
      </c>
      <c r="AA164" s="535">
        <v>1</v>
      </c>
    </row>
    <row r="165" spans="1:28" s="503" customFormat="1" ht="15.75" customHeight="1">
      <c r="A165" s="517" t="str">
        <f>IF(B165&lt;&gt;"",IF(AND(B165&gt;=_TM1,B165&lt;=_TM2,OR(TH!L165="1111",TH!M165="1111")),TH!D165,""),"")</f>
        <v/>
      </c>
      <c r="B165" s="531">
        <f t="shared" si="14"/>
        <v>1</v>
      </c>
      <c r="C165" s="315">
        <f t="shared" si="17"/>
        <v>42760</v>
      </c>
      <c r="D165" s="315" t="s">
        <v>461</v>
      </c>
      <c r="E165" s="288">
        <v>42760</v>
      </c>
      <c r="F165" s="249" t="s">
        <v>474</v>
      </c>
      <c r="G165" s="314" t="s">
        <v>290</v>
      </c>
      <c r="H165" s="472"/>
      <c r="I165" s="307"/>
      <c r="J165" s="307"/>
      <c r="K165" s="532">
        <v>1000</v>
      </c>
      <c r="L165" s="533" t="s">
        <v>9</v>
      </c>
      <c r="M165" s="533" t="s">
        <v>24</v>
      </c>
      <c r="N165" s="525" t="str">
        <f>IF(AND('331-CT'!$E$7=TH!H165,OR(L165="331",M165="331")),"331",IF(AND(OR(L165="131",M165="131"),H165='131-CT'!$E$7),"131",""))</f>
        <v/>
      </c>
      <c r="O165" s="525" t="str">
        <f>IF(AND($B165&gt;='111'!$N$11,$B165&lt;='111'!$O$11,OR($L165=$O$7,$M165=$O$7)),"x","")</f>
        <v/>
      </c>
      <c r="P165" s="525" t="str">
        <f>IF(AND($L165=$O$7,$B165&lt;'111'!$N$11),"x","")</f>
        <v/>
      </c>
      <c r="Q165" s="525" t="str">
        <f>IF(AND($M165=$O$7,$B165&lt;'111'!$N$11),"x","")</f>
        <v/>
      </c>
      <c r="R165" s="525" t="str">
        <f>IF(ISERROR(FIND('112'!$M$9,G165,1)),"",IF((AND(FIND('112'!$M$9,G165,1)&gt;=1,$B165&gt;='112'!$N$8,$B165&lt;='112'!$O$8,OR($L165='112'!$I$6,$M165='112'!$I$6))),"x",""))</f>
        <v/>
      </c>
      <c r="S165" s="525" t="str">
        <f>IF(ISERROR(FIND('112'!$M$9,G165,1)),"",IF((AND(LEFT(G165,2)=LEFT('112'!$M$9,2),B165&lt;'112'!$N$8,$L165='112'!$I$6)),"x",""))</f>
        <v/>
      </c>
      <c r="T165" s="525" t="str">
        <f>IF(ISERROR(FIND('112'!$M$9,G165,1)),"",IF((AND(RIGHT(G165,2)=RIGHT('112'!$M$9,2),B165&lt;'112'!$N$8,$M165='112'!$I$6)),"x",""))</f>
        <v/>
      </c>
      <c r="U165" s="525" t="str">
        <f>IF(AND(B165&gt;='IN-NX'!$P$3,B165&lt;='IN-NX'!$Q$3,'IN-NX'!$D$7=D165,OR(LEFT(L165,2)="15",AND(LEFT(M165,2)&lt;&gt;"15",LEFT(M165,2)&lt;&gt;"33"))),"x","")</f>
        <v/>
      </c>
      <c r="V165" s="525" t="str">
        <f>IF(AND(OR(LEFT(TH!L165,2)="15",LEFT(TH!M165,2)="15"),'152-CT'!$J$8=TH!F165),"x","")</f>
        <v/>
      </c>
      <c r="W165" s="525" t="str">
        <f>IF(AND(OR(LEFT(TH!L165,2)="15",LEFT(TH!M165,2)="15"),TK!$E$7=TH!F165),"x","")</f>
        <v/>
      </c>
      <c r="X165" s="525" t="str">
        <f>IF(AND('341-CT'!$E$9=H165,OR(LEFT(L165,3)=$X$7,LEFT(M165,3)=$X$7)),"x","")</f>
        <v/>
      </c>
      <c r="Y165" s="525" t="str">
        <f>IF(OR(TH!L165=TH!$Y$7,M165=TH!$Y$7),"x","")</f>
        <v/>
      </c>
      <c r="Z165" s="525" t="str">
        <f>IF(AND(B165&lt;=NKC!$N$8,B165&gt;=NKC!$M$8),"x","")</f>
        <v>x</v>
      </c>
      <c r="AA165" s="535">
        <v>1</v>
      </c>
    </row>
    <row r="166" spans="1:28" s="503" customFormat="1" ht="15.75" customHeight="1">
      <c r="A166" s="517" t="str">
        <f>IF(B166&lt;&gt;"",IF(AND(B166&gt;=_TM1,B166&lt;=_TM2,OR(TH!L166="1111",TH!M166="1111")),TH!D166,""),"")</f>
        <v/>
      </c>
      <c r="B166" s="531">
        <f t="shared" ref="B166:B197" si="18">IF(C166&lt;&gt;"",MONTH(C166),"")</f>
        <v>2</v>
      </c>
      <c r="C166" s="315">
        <f t="shared" si="17"/>
        <v>42770</v>
      </c>
      <c r="D166" s="315" t="s">
        <v>456</v>
      </c>
      <c r="E166" s="288">
        <v>42770</v>
      </c>
      <c r="F166" s="249" t="s">
        <v>458</v>
      </c>
      <c r="G166" s="314" t="s">
        <v>290</v>
      </c>
      <c r="H166" s="473"/>
      <c r="I166" s="307"/>
      <c r="J166" s="307"/>
      <c r="K166" s="532">
        <v>5708</v>
      </c>
      <c r="L166" s="539" t="s">
        <v>24</v>
      </c>
      <c r="M166" s="533" t="s">
        <v>38</v>
      </c>
      <c r="N166" s="525" t="str">
        <f>IF(AND('331-CT'!$E$7=TH!H166,OR(L166="331",M166="331")),"331",IF(AND(OR(L166="131",M166="131"),H166='131-CT'!$E$7),"131",""))</f>
        <v/>
      </c>
      <c r="O166" s="525" t="str">
        <f>IF(AND($B166&gt;='111'!$N$11,$B166&lt;='111'!$O$11,OR($L166=$O$7,$M166=$O$7)),"x","")</f>
        <v/>
      </c>
      <c r="P166" s="525" t="str">
        <f>IF(AND($L166=$O$7,$B166&lt;'111'!$N$11),"x","")</f>
        <v/>
      </c>
      <c r="Q166" s="525" t="str">
        <f>IF(AND($M166=$O$7,$B166&lt;'111'!$N$11),"x","")</f>
        <v/>
      </c>
      <c r="R166" s="525" t="str">
        <f>IF(ISERROR(FIND('112'!$M$9,G166,1)),"",IF((AND(FIND('112'!$M$9,G166,1)&gt;=1,$B166&gt;='112'!$N$8,$B166&lt;='112'!$O$8,OR($L166='112'!$I$6,$M166='112'!$I$6))),"x",""))</f>
        <v/>
      </c>
      <c r="S166" s="525" t="str">
        <f>IF(ISERROR(FIND('112'!$M$9,G166,1)),"",IF((AND(LEFT(G166,2)=LEFT('112'!$M$9,2),B166&lt;'112'!$N$8,$L166='112'!$I$6)),"x",""))</f>
        <v/>
      </c>
      <c r="T166" s="525" t="str">
        <f>IF(ISERROR(FIND('112'!$M$9,G166,1)),"",IF((AND(RIGHT(G166,2)=RIGHT('112'!$M$9,2),B166&lt;'112'!$N$8,$M166='112'!$I$6)),"x",""))</f>
        <v/>
      </c>
      <c r="U166" s="525" t="str">
        <f>IF(AND(B166&gt;='IN-NX'!$P$3,B166&lt;='IN-NX'!$Q$3,'IN-NX'!$D$7=D166,OR(LEFT(L166,2)="15",AND(LEFT(M166,2)&lt;&gt;"15",LEFT(M166,2)&lt;&gt;"33"))),"x","")</f>
        <v/>
      </c>
      <c r="V166" s="525" t="str">
        <f>IF(AND(OR(LEFT(TH!L166,2)="15",LEFT(TH!M166,2)="15"),'152-CT'!$J$8=TH!F166),"x","")</f>
        <v/>
      </c>
      <c r="W166" s="525" t="str">
        <f>IF(AND(OR(LEFT(TH!L166,2)="15",LEFT(TH!M166,2)="15"),TK!$E$7=TH!F166),"x","")</f>
        <v/>
      </c>
      <c r="X166" s="525" t="str">
        <f>IF(AND('341-CT'!$E$9=H166,OR(LEFT(L166,3)=$X$7,LEFT(M166,3)=$X$7)),"x","")</f>
        <v/>
      </c>
      <c r="Y166" s="525" t="str">
        <f>IF(OR(TH!L166=TH!$Y$7,M166=TH!$Y$7),"x","")</f>
        <v/>
      </c>
      <c r="Z166" s="525" t="str">
        <f>IF(AND(B166&lt;=NKC!$N$8,B166&gt;=NKC!$M$8),"x","")</f>
        <v>x</v>
      </c>
      <c r="AA166" s="535"/>
    </row>
    <row r="167" spans="1:28" s="503" customFormat="1" ht="15.75" customHeight="1">
      <c r="A167" s="517" t="str">
        <f>IF(B167&lt;&gt;"",IF(AND(B167&gt;=_TM1,B167&lt;=_TM2,OR(TH!L167="1111",TH!M167="1111")),TH!D167,""),"")</f>
        <v/>
      </c>
      <c r="B167" s="531">
        <f t="shared" si="18"/>
        <v>2</v>
      </c>
      <c r="C167" s="315">
        <f t="shared" si="17"/>
        <v>42777</v>
      </c>
      <c r="D167" s="315" t="s">
        <v>456</v>
      </c>
      <c r="E167" s="288">
        <v>42777</v>
      </c>
      <c r="F167" s="248" t="s">
        <v>457</v>
      </c>
      <c r="G167" s="314" t="s">
        <v>290</v>
      </c>
      <c r="H167" s="733" t="s">
        <v>278</v>
      </c>
      <c r="I167" s="307"/>
      <c r="J167" s="307"/>
      <c r="K167" s="532">
        <v>13998743</v>
      </c>
      <c r="L167" s="539" t="s">
        <v>24</v>
      </c>
      <c r="M167" s="533" t="s">
        <v>223</v>
      </c>
      <c r="N167" s="525" t="str">
        <f>IF(AND('331-CT'!$E$7=TH!H167,OR(L167="331",M167="331")),"331",IF(AND(OR(L167="131",M167="131"),H167='131-CT'!$E$7),"131",""))</f>
        <v/>
      </c>
      <c r="O167" s="525" t="str">
        <f>IF(AND($B167&gt;='111'!$N$11,$B167&lt;='111'!$O$11,OR($L167=$O$7,$M167=$O$7)),"x","")</f>
        <v/>
      </c>
      <c r="P167" s="525" t="str">
        <f>IF(AND($L167=$O$7,$B167&lt;'111'!$N$11),"x","")</f>
        <v/>
      </c>
      <c r="Q167" s="525" t="str">
        <f>IF(AND($M167=$O$7,$B167&lt;'111'!$N$11),"x","")</f>
        <v/>
      </c>
      <c r="R167" s="525" t="str">
        <f>IF(ISERROR(FIND('112'!$M$9,G167,1)),"",IF((AND(FIND('112'!$M$9,G167,1)&gt;=1,$B167&gt;='112'!$N$8,$B167&lt;='112'!$O$8,OR($L167='112'!$I$6,$M167='112'!$I$6))),"x",""))</f>
        <v/>
      </c>
      <c r="S167" s="525" t="str">
        <f>IF(ISERROR(FIND('112'!$M$9,G167,1)),"",IF((AND(LEFT(G167,2)=LEFT('112'!$M$9,2),B167&lt;'112'!$N$8,$L167='112'!$I$6)),"x",""))</f>
        <v/>
      </c>
      <c r="T167" s="525" t="str">
        <f>IF(ISERROR(FIND('112'!$M$9,G167,1)),"",IF((AND(RIGHT(G167,2)=RIGHT('112'!$M$9,2),B167&lt;'112'!$N$8,$M167='112'!$I$6)),"x",""))</f>
        <v/>
      </c>
      <c r="U167" s="525" t="str">
        <f>IF(AND(B167&gt;='IN-NX'!$P$3,B167&lt;='IN-NX'!$Q$3,'IN-NX'!$D$7=D167,OR(LEFT(L167,2)="15",AND(LEFT(M167,2)&lt;&gt;"15",LEFT(M167,2)&lt;&gt;"33"))),"x","")</f>
        <v/>
      </c>
      <c r="V167" s="525" t="str">
        <f>IF(AND(OR(LEFT(TH!L167,2)="15",LEFT(TH!M167,2)="15"),'152-CT'!$J$8=TH!F167),"x","")</f>
        <v/>
      </c>
      <c r="W167" s="525" t="str">
        <f>IF(AND(OR(LEFT(TH!L167,2)="15",LEFT(TH!M167,2)="15"),TK!$E$7=TH!F167),"x","")</f>
        <v/>
      </c>
      <c r="X167" s="525" t="str">
        <f>IF(AND('341-CT'!$E$9=H167,OR(LEFT(L167,3)=$X$7,LEFT(M167,3)=$X$7)),"x","")</f>
        <v/>
      </c>
      <c r="Y167" s="525" t="str">
        <f>IF(OR(TH!L167=TH!$Y$7,M167=TH!$Y$7),"x","")</f>
        <v/>
      </c>
      <c r="Z167" s="525" t="str">
        <f>IF(AND(B167&lt;=NKC!$N$8,B167&gt;=NKC!$M$8),"x","")</f>
        <v>x</v>
      </c>
      <c r="AA167" s="535"/>
    </row>
    <row r="168" spans="1:28" s="503" customFormat="1" ht="15.75" customHeight="1">
      <c r="A168" s="517" t="str">
        <f>IF(B168&lt;&gt;"",IF(AND(B168&gt;=_TM1,B168&lt;=_TM2,OR(TH!L168="1111",TH!M168="1111")),TH!D168,""),"")</f>
        <v/>
      </c>
      <c r="B168" s="531">
        <f t="shared" si="18"/>
        <v>2</v>
      </c>
      <c r="C168" s="315">
        <f t="shared" si="17"/>
        <v>42780</v>
      </c>
      <c r="D168" s="315" t="s">
        <v>456</v>
      </c>
      <c r="E168" s="288">
        <v>42780</v>
      </c>
      <c r="F168" s="248" t="s">
        <v>457</v>
      </c>
      <c r="G168" s="314" t="s">
        <v>290</v>
      </c>
      <c r="H168" s="473" t="s">
        <v>283</v>
      </c>
      <c r="I168" s="307"/>
      <c r="J168" s="307"/>
      <c r="K168" s="532">
        <v>321970000</v>
      </c>
      <c r="L168" s="539" t="s">
        <v>24</v>
      </c>
      <c r="M168" s="533" t="s">
        <v>223</v>
      </c>
      <c r="N168" s="525" t="str">
        <f>IF(AND('331-CT'!$E$7=TH!H168,OR(L168="331",M168="331")),"331",IF(AND(OR(L168="131",M168="131"),H168='131-CT'!$E$7),"131",""))</f>
        <v/>
      </c>
      <c r="O168" s="525" t="str">
        <f>IF(AND($B168&gt;='111'!$N$11,$B168&lt;='111'!$O$11,OR($L168=$O$7,$M168=$O$7)),"x","")</f>
        <v/>
      </c>
      <c r="P168" s="525" t="str">
        <f>IF(AND($L168=$O$7,$B168&lt;'111'!$N$11),"x","")</f>
        <v/>
      </c>
      <c r="Q168" s="525" t="str">
        <f>IF(AND($M168=$O$7,$B168&lt;'111'!$N$11),"x","")</f>
        <v/>
      </c>
      <c r="R168" s="525" t="str">
        <f>IF(ISERROR(FIND('112'!$M$9,G168,1)),"",IF((AND(FIND('112'!$M$9,G168,1)&gt;=1,$B168&gt;='112'!$N$8,$B168&lt;='112'!$O$8,OR($L168='112'!$I$6,$M168='112'!$I$6))),"x",""))</f>
        <v/>
      </c>
      <c r="S168" s="525" t="str">
        <f>IF(ISERROR(FIND('112'!$M$9,G168,1)),"",IF((AND(LEFT(G168,2)=LEFT('112'!$M$9,2),B168&lt;'112'!$N$8,$L168='112'!$I$6)),"x",""))</f>
        <v/>
      </c>
      <c r="T168" s="525" t="str">
        <f>IF(ISERROR(FIND('112'!$M$9,G168,1)),"",IF((AND(RIGHT(G168,2)=RIGHT('112'!$M$9,2),B168&lt;'112'!$N$8,$M168='112'!$I$6)),"x",""))</f>
        <v/>
      </c>
      <c r="U168" s="525" t="str">
        <f>IF(AND(B168&gt;='IN-NX'!$P$3,B168&lt;='IN-NX'!$Q$3,'IN-NX'!$D$7=D168,OR(LEFT(L168,2)="15",AND(LEFT(M168,2)&lt;&gt;"15",LEFT(M168,2)&lt;&gt;"33"))),"x","")</f>
        <v/>
      </c>
      <c r="V168" s="525" t="str">
        <f>IF(AND(OR(LEFT(TH!L168,2)="15",LEFT(TH!M168,2)="15"),'152-CT'!$J$8=TH!F168),"x","")</f>
        <v/>
      </c>
      <c r="W168" s="525" t="str">
        <f>IF(AND(OR(LEFT(TH!L168,2)="15",LEFT(TH!M168,2)="15"),TK!$E$7=TH!F168),"x","")</f>
        <v/>
      </c>
      <c r="X168" s="525" t="str">
        <f>IF(AND('341-CT'!$E$9=H168,OR(LEFT(L168,3)=$X$7,LEFT(M168,3)=$X$7)),"x","")</f>
        <v/>
      </c>
      <c r="Y168" s="525" t="str">
        <f>IF(OR(TH!L168=TH!$Y$7,M168=TH!$Y$7),"x","")</f>
        <v/>
      </c>
      <c r="Z168" s="525" t="str">
        <f>IF(AND(B168&lt;=NKC!$N$8,B168&gt;=NKC!$M$8),"x","")</f>
        <v>x</v>
      </c>
      <c r="AA168" s="535"/>
      <c r="AB168" s="536"/>
    </row>
    <row r="169" spans="1:28" s="503" customFormat="1" ht="15.75" customHeight="1">
      <c r="A169" s="517" t="str">
        <f>IF(B169&lt;&gt;"",IF(AND(B169&gt;=_TM1,B169&lt;=_TM2,OR(TH!L169="1111",TH!M169="1111")),TH!D169,""),"")</f>
        <v/>
      </c>
      <c r="B169" s="531">
        <f t="shared" si="18"/>
        <v>2</v>
      </c>
      <c r="C169" s="315">
        <f t="shared" si="17"/>
        <v>42782</v>
      </c>
      <c r="D169" s="315" t="s">
        <v>456</v>
      </c>
      <c r="E169" s="288">
        <v>42782</v>
      </c>
      <c r="F169" s="248" t="s">
        <v>457</v>
      </c>
      <c r="G169" s="314" t="s">
        <v>290</v>
      </c>
      <c r="H169" s="473" t="s">
        <v>279</v>
      </c>
      <c r="I169" s="307"/>
      <c r="J169" s="307"/>
      <c r="K169" s="532">
        <v>8008000</v>
      </c>
      <c r="L169" s="539" t="s">
        <v>24</v>
      </c>
      <c r="M169" s="533" t="s">
        <v>223</v>
      </c>
      <c r="N169" s="525" t="str">
        <f>IF(AND('331-CT'!$E$7=TH!H169,OR(L169="331",M169="331")),"331",IF(AND(OR(L169="131",M169="131"),H169='131-CT'!$E$7),"131",""))</f>
        <v/>
      </c>
      <c r="O169" s="525" t="str">
        <f>IF(AND($B169&gt;='111'!$N$11,$B169&lt;='111'!$O$11,OR($L169=$O$7,$M169=$O$7)),"x","")</f>
        <v/>
      </c>
      <c r="P169" s="525" t="str">
        <f>IF(AND($L169=$O$7,$B169&lt;'111'!$N$11),"x","")</f>
        <v/>
      </c>
      <c r="Q169" s="525" t="str">
        <f>IF(AND($M169=$O$7,$B169&lt;'111'!$N$11),"x","")</f>
        <v/>
      </c>
      <c r="R169" s="525" t="str">
        <f>IF(ISERROR(FIND('112'!$M$9,G169,1)),"",IF((AND(FIND('112'!$M$9,G169,1)&gt;=1,$B169&gt;='112'!$N$8,$B169&lt;='112'!$O$8,OR($L169='112'!$I$6,$M169='112'!$I$6))),"x",""))</f>
        <v/>
      </c>
      <c r="S169" s="525" t="str">
        <f>IF(ISERROR(FIND('112'!$M$9,G169,1)),"",IF((AND(LEFT(G169,2)=LEFT('112'!$M$9,2),B169&lt;'112'!$N$8,$L169='112'!$I$6)),"x",""))</f>
        <v/>
      </c>
      <c r="T169" s="525" t="str">
        <f>IF(ISERROR(FIND('112'!$M$9,G169,1)),"",IF((AND(RIGHT(G169,2)=RIGHT('112'!$M$9,2),B169&lt;'112'!$N$8,$M169='112'!$I$6)),"x",""))</f>
        <v/>
      </c>
      <c r="U169" s="525" t="str">
        <f>IF(AND(B169&gt;='IN-NX'!$P$3,B169&lt;='IN-NX'!$Q$3,'IN-NX'!$D$7=D169,OR(LEFT(L169,2)="15",AND(LEFT(M169,2)&lt;&gt;"15",LEFT(M169,2)&lt;&gt;"33"))),"x","")</f>
        <v/>
      </c>
      <c r="V169" s="525" t="str">
        <f>IF(AND(OR(LEFT(TH!L169,2)="15",LEFT(TH!M169,2)="15"),'152-CT'!$J$8=TH!F169),"x","")</f>
        <v/>
      </c>
      <c r="W169" s="525" t="str">
        <f>IF(AND(OR(LEFT(TH!L169,2)="15",LEFT(TH!M169,2)="15"),TK!$E$7=TH!F169),"x","")</f>
        <v/>
      </c>
      <c r="X169" s="525" t="str">
        <f>IF(AND('341-CT'!$E$9=H169,OR(LEFT(L169,3)=$X$7,LEFT(M169,3)=$X$7)),"x","")</f>
        <v/>
      </c>
      <c r="Y169" s="525" t="str">
        <f>IF(OR(TH!L169=TH!$Y$7,M169=TH!$Y$7),"x","")</f>
        <v/>
      </c>
      <c r="Z169" s="525" t="str">
        <f>IF(AND(B169&lt;=NKC!$N$8,B169&gt;=NKC!$M$8),"x","")</f>
        <v>x</v>
      </c>
      <c r="AA169" s="535"/>
    </row>
    <row r="170" spans="1:28" s="503" customFormat="1" ht="15.75" customHeight="1">
      <c r="A170" s="517" t="str">
        <f>IF(B170&lt;&gt;"",IF(AND(B170&gt;=_TM1,B170&lt;=_TM2,OR(TH!L170="1111",TH!M170="1111")),TH!D170,""),"")</f>
        <v/>
      </c>
      <c r="B170" s="531">
        <f t="shared" si="18"/>
        <v>2</v>
      </c>
      <c r="C170" s="315">
        <f t="shared" si="17"/>
        <v>42788</v>
      </c>
      <c r="D170" s="315" t="s">
        <v>456</v>
      </c>
      <c r="E170" s="288">
        <v>42788</v>
      </c>
      <c r="F170" s="248" t="s">
        <v>457</v>
      </c>
      <c r="G170" s="314" t="s">
        <v>290</v>
      </c>
      <c r="H170" s="473" t="s">
        <v>379</v>
      </c>
      <c r="I170" s="307"/>
      <c r="J170" s="307"/>
      <c r="K170" s="532">
        <v>6006000</v>
      </c>
      <c r="L170" s="539" t="s">
        <v>24</v>
      </c>
      <c r="M170" s="533" t="s">
        <v>223</v>
      </c>
      <c r="N170" s="525" t="str">
        <f>IF(AND('331-CT'!$E$7=TH!H170,OR(L170="331",M170="331")),"331",IF(AND(OR(L170="131",M170="131"),H170='131-CT'!$E$7),"131",""))</f>
        <v/>
      </c>
      <c r="O170" s="525" t="str">
        <f>IF(AND($B170&gt;='111'!$N$11,$B170&lt;='111'!$O$11,OR($L170=$O$7,$M170=$O$7)),"x","")</f>
        <v/>
      </c>
      <c r="P170" s="525" t="str">
        <f>IF(AND($L170=$O$7,$B170&lt;'111'!$N$11),"x","")</f>
        <v/>
      </c>
      <c r="Q170" s="525" t="str">
        <f>IF(AND($M170=$O$7,$B170&lt;'111'!$N$11),"x","")</f>
        <v/>
      </c>
      <c r="R170" s="525" t="str">
        <f>IF(ISERROR(FIND('112'!$M$9,G170,1)),"",IF((AND(FIND('112'!$M$9,G170,1)&gt;=1,$B170&gt;='112'!$N$8,$B170&lt;='112'!$O$8,OR($L170='112'!$I$6,$M170='112'!$I$6))),"x",""))</f>
        <v/>
      </c>
      <c r="S170" s="525" t="str">
        <f>IF(ISERROR(FIND('112'!$M$9,G170,1)),"",IF((AND(LEFT(G170,2)=LEFT('112'!$M$9,2),B170&lt;'112'!$N$8,$L170='112'!$I$6)),"x",""))</f>
        <v/>
      </c>
      <c r="T170" s="525" t="str">
        <f>IF(ISERROR(FIND('112'!$M$9,G170,1)),"",IF((AND(RIGHT(G170,2)=RIGHT('112'!$M$9,2),B170&lt;'112'!$N$8,$M170='112'!$I$6)),"x",""))</f>
        <v/>
      </c>
      <c r="U170" s="525" t="str">
        <f>IF(AND(B170&gt;='IN-NX'!$P$3,B170&lt;='IN-NX'!$Q$3,'IN-NX'!$D$7=D170,OR(LEFT(L170,2)="15",AND(LEFT(M170,2)&lt;&gt;"15",LEFT(M170,2)&lt;&gt;"33"))),"x","")</f>
        <v/>
      </c>
      <c r="V170" s="525" t="str">
        <f>IF(AND(OR(LEFT(TH!L170,2)="15",LEFT(TH!M170,2)="15"),'152-CT'!$J$8=TH!F170),"x","")</f>
        <v/>
      </c>
      <c r="W170" s="525" t="str">
        <f>IF(AND(OR(LEFT(TH!L170,2)="15",LEFT(TH!M170,2)="15"),TK!$E$7=TH!F170),"x","")</f>
        <v/>
      </c>
      <c r="X170" s="525" t="str">
        <f>IF(AND('341-CT'!$E$9=H170,OR(LEFT(L170,3)=$X$7,LEFT(M170,3)=$X$7)),"x","")</f>
        <v/>
      </c>
      <c r="Y170" s="525" t="str">
        <f>IF(OR(TH!L170=TH!$Y$7,M170=TH!$Y$7),"x","")</f>
        <v/>
      </c>
      <c r="Z170" s="525" t="str">
        <f>IF(AND(B170&lt;=NKC!$N$8,B170&gt;=NKC!$M$8),"x","")</f>
        <v>x</v>
      </c>
      <c r="AA170" s="535"/>
    </row>
    <row r="171" spans="1:28" s="503" customFormat="1" ht="15.75" customHeight="1">
      <c r="A171" s="517" t="str">
        <f>IF(B171&lt;&gt;"",IF(AND(B171&gt;=_TM1,B171&lt;=_TM2,OR(TH!L171="1111",TH!M171="1111")),TH!D171,""),"")</f>
        <v/>
      </c>
      <c r="B171" s="531">
        <f t="shared" si="18"/>
        <v>2</v>
      </c>
      <c r="C171" s="315">
        <f t="shared" si="17"/>
        <v>42789</v>
      </c>
      <c r="D171" s="315" t="s">
        <v>456</v>
      </c>
      <c r="E171" s="288">
        <v>42789</v>
      </c>
      <c r="F171" s="248" t="s">
        <v>457</v>
      </c>
      <c r="G171" s="314" t="s">
        <v>290</v>
      </c>
      <c r="H171" s="472" t="s">
        <v>289</v>
      </c>
      <c r="I171" s="307"/>
      <c r="J171" s="307"/>
      <c r="K171" s="532">
        <v>44528000</v>
      </c>
      <c r="L171" s="539" t="s">
        <v>24</v>
      </c>
      <c r="M171" s="533" t="s">
        <v>223</v>
      </c>
      <c r="N171" s="525" t="str">
        <f>IF(AND('331-CT'!$E$7=TH!H171,OR(L171="331",M171="331")),"331",IF(AND(OR(L171="131",M171="131"),H171='131-CT'!$E$7),"131",""))</f>
        <v/>
      </c>
      <c r="O171" s="525" t="str">
        <f>IF(AND($B171&gt;='111'!$N$11,$B171&lt;='111'!$O$11,OR($L171=$O$7,$M171=$O$7)),"x","")</f>
        <v/>
      </c>
      <c r="P171" s="525" t="str">
        <f>IF(AND($L171=$O$7,$B171&lt;'111'!$N$11),"x","")</f>
        <v/>
      </c>
      <c r="Q171" s="525" t="str">
        <f>IF(AND($M171=$O$7,$B171&lt;'111'!$N$11),"x","")</f>
        <v/>
      </c>
      <c r="R171" s="525" t="str">
        <f>IF(ISERROR(FIND('112'!$M$9,G171,1)),"",IF((AND(FIND('112'!$M$9,G171,1)&gt;=1,$B171&gt;='112'!$N$8,$B171&lt;='112'!$O$8,OR($L171='112'!$I$6,$M171='112'!$I$6))),"x",""))</f>
        <v/>
      </c>
      <c r="S171" s="525" t="str">
        <f>IF(ISERROR(FIND('112'!$M$9,G171,1)),"",IF((AND(LEFT(G171,2)=LEFT('112'!$M$9,2),B171&lt;'112'!$N$8,$L171='112'!$I$6)),"x",""))</f>
        <v/>
      </c>
      <c r="T171" s="525" t="str">
        <f>IF(ISERROR(FIND('112'!$M$9,G171,1)),"",IF((AND(RIGHT(G171,2)=RIGHT('112'!$M$9,2),B171&lt;'112'!$N$8,$M171='112'!$I$6)),"x",""))</f>
        <v/>
      </c>
      <c r="U171" s="525" t="str">
        <f>IF(AND(B171&gt;='IN-NX'!$P$3,B171&lt;='IN-NX'!$Q$3,'IN-NX'!$D$7=D171,OR(LEFT(L171,2)="15",AND(LEFT(M171,2)&lt;&gt;"15",LEFT(M171,2)&lt;&gt;"33"))),"x","")</f>
        <v/>
      </c>
      <c r="V171" s="525" t="str">
        <f>IF(AND(OR(LEFT(TH!L171,2)="15",LEFT(TH!M171,2)="15"),'152-CT'!$J$8=TH!F171),"x","")</f>
        <v/>
      </c>
      <c r="W171" s="525" t="str">
        <f>IF(AND(OR(LEFT(TH!L171,2)="15",LEFT(TH!M171,2)="15"),TK!$E$7=TH!F171),"x","")</f>
        <v/>
      </c>
      <c r="X171" s="525" t="str">
        <f>IF(AND('341-CT'!$E$9=H171,OR(LEFT(L171,3)=$X$7,LEFT(M171,3)=$X$7)),"x","")</f>
        <v/>
      </c>
      <c r="Y171" s="525" t="str">
        <f>IF(OR(TH!L171=TH!$Y$7,M171=TH!$Y$7),"x","")</f>
        <v/>
      </c>
      <c r="Z171" s="525" t="str">
        <f>IF(AND(B171&lt;=NKC!$N$8,B171&gt;=NKC!$M$8),"x","")</f>
        <v>x</v>
      </c>
      <c r="AA171" s="535"/>
    </row>
    <row r="172" spans="1:28" s="503" customFormat="1" ht="15.75" customHeight="1">
      <c r="A172" s="517" t="str">
        <f>IF(B172&lt;&gt;"",IF(AND(B172&gt;=_TM1,B172&lt;=_TM2,OR(TH!L172="1111",TH!M172="1111")),TH!D172,""),"")</f>
        <v/>
      </c>
      <c r="B172" s="531">
        <f t="shared" si="18"/>
        <v>2</v>
      </c>
      <c r="C172" s="315">
        <f t="shared" si="17"/>
        <v>42791</v>
      </c>
      <c r="D172" s="315" t="s">
        <v>456</v>
      </c>
      <c r="E172" s="288">
        <v>42791</v>
      </c>
      <c r="F172" s="249" t="s">
        <v>458</v>
      </c>
      <c r="G172" s="314" t="s">
        <v>290</v>
      </c>
      <c r="H172" s="472"/>
      <c r="I172" s="307"/>
      <c r="J172" s="307"/>
      <c r="K172" s="532">
        <v>570</v>
      </c>
      <c r="L172" s="539" t="s">
        <v>24</v>
      </c>
      <c r="M172" s="533" t="s">
        <v>38</v>
      </c>
      <c r="N172" s="525" t="str">
        <f>IF(AND('331-CT'!$E$7=TH!H172,OR(L172="331",M172="331")),"331",IF(AND(OR(L172="131",M172="131"),H172='131-CT'!$E$7),"131",""))</f>
        <v/>
      </c>
      <c r="O172" s="525" t="str">
        <f>IF(AND($B172&gt;='111'!$N$11,$B172&lt;='111'!$O$11,OR($L172=$O$7,$M172=$O$7)),"x","")</f>
        <v/>
      </c>
      <c r="P172" s="525" t="str">
        <f>IF(AND($L172=$O$7,$B172&lt;'111'!$N$11),"x","")</f>
        <v/>
      </c>
      <c r="Q172" s="525" t="str">
        <f>IF(AND($M172=$O$7,$B172&lt;'111'!$N$11),"x","")</f>
        <v/>
      </c>
      <c r="R172" s="525" t="str">
        <f>IF(ISERROR(FIND('112'!$M$9,G172,1)),"",IF((AND(FIND('112'!$M$9,G172,1)&gt;=1,$B172&gt;='112'!$N$8,$B172&lt;='112'!$O$8,OR($L172='112'!$I$6,$M172='112'!$I$6))),"x",""))</f>
        <v/>
      </c>
      <c r="S172" s="525" t="str">
        <f>IF(ISERROR(FIND('112'!$M$9,G172,1)),"",IF((AND(LEFT(G172,2)=LEFT('112'!$M$9,2),B172&lt;'112'!$N$8,$L172='112'!$I$6)),"x",""))</f>
        <v/>
      </c>
      <c r="T172" s="525" t="str">
        <f>IF(ISERROR(FIND('112'!$M$9,G172,1)),"",IF((AND(RIGHT(G172,2)=RIGHT('112'!$M$9,2),B172&lt;'112'!$N$8,$M172='112'!$I$6)),"x",""))</f>
        <v/>
      </c>
      <c r="U172" s="525" t="str">
        <f>IF(AND(B172&gt;='IN-NX'!$P$3,B172&lt;='IN-NX'!$Q$3,'IN-NX'!$D$7=D172,OR(LEFT(L172,2)="15",AND(LEFT(M172,2)&lt;&gt;"15",LEFT(M172,2)&lt;&gt;"33"))),"x","")</f>
        <v/>
      </c>
      <c r="V172" s="525" t="str">
        <f>IF(AND(OR(LEFT(TH!L172,2)="15",LEFT(TH!M172,2)="15"),'152-CT'!$J$8=TH!F172),"x","")</f>
        <v/>
      </c>
      <c r="W172" s="525" t="str">
        <f>IF(AND(OR(LEFT(TH!L172,2)="15",LEFT(TH!M172,2)="15"),TK!$E$7=TH!F172),"x","")</f>
        <v/>
      </c>
      <c r="X172" s="525" t="str">
        <f>IF(AND('341-CT'!$E$9=H172,OR(LEFT(L172,3)=$X$7,LEFT(M172,3)=$X$7)),"x","")</f>
        <v/>
      </c>
      <c r="Y172" s="525" t="str">
        <f>IF(OR(TH!L172=TH!$Y$7,M172=TH!$Y$7),"x","")</f>
        <v/>
      </c>
      <c r="Z172" s="525" t="str">
        <f>IF(AND(B172&lt;=NKC!$N$8,B172&gt;=NKC!$M$8),"x","")</f>
        <v>x</v>
      </c>
      <c r="AA172" s="535"/>
    </row>
    <row r="173" spans="1:28" s="503" customFormat="1" ht="15.75" customHeight="1">
      <c r="A173" s="517" t="str">
        <f>IF(B173&lt;&gt;"",IF(AND(B173&gt;=_TM1,B173&lt;=_TM2,OR(TH!L173="1111",TH!M173="1111")),TH!D173,""),"")</f>
        <v>GBC</v>
      </c>
      <c r="B173" s="531">
        <f t="shared" si="18"/>
        <v>2</v>
      </c>
      <c r="C173" s="315">
        <f t="shared" si="17"/>
        <v>42793</v>
      </c>
      <c r="D173" s="315" t="s">
        <v>456</v>
      </c>
      <c r="E173" s="288">
        <v>42793</v>
      </c>
      <c r="F173" s="248" t="s">
        <v>569</v>
      </c>
      <c r="G173" s="314" t="s">
        <v>290</v>
      </c>
      <c r="H173" s="472" t="s">
        <v>460</v>
      </c>
      <c r="I173" s="307"/>
      <c r="J173" s="307"/>
      <c r="K173" s="532">
        <v>13550000</v>
      </c>
      <c r="L173" s="539" t="s">
        <v>24</v>
      </c>
      <c r="M173" s="533" t="s">
        <v>45</v>
      </c>
      <c r="N173" s="525" t="str">
        <f>IF(AND('331-CT'!$E$7=TH!H173,OR(L173="331",M173="331")),"331",IF(AND(OR(L173="131",M173="131"),H173='131-CT'!$E$7),"131",""))</f>
        <v/>
      </c>
      <c r="O173" s="525" t="str">
        <f>IF(AND($B173&gt;='111'!$N$11,$B173&lt;='111'!$O$11,OR($L173=$O$7,$M173=$O$7)),"x","")</f>
        <v/>
      </c>
      <c r="P173" s="525" t="str">
        <f>IF(AND($L173=$O$7,$B173&lt;'111'!$N$11),"x","")</f>
        <v/>
      </c>
      <c r="Q173" s="525" t="str">
        <f>IF(AND($M173=$O$7,$B173&lt;'111'!$N$11),"x","")</f>
        <v>x</v>
      </c>
      <c r="R173" s="525" t="str">
        <f>IF(ISERROR(FIND('112'!$M$9,G173,1)),"",IF((AND(FIND('112'!$M$9,G173,1)&gt;=1,$B173&gt;='112'!$N$8,$B173&lt;='112'!$O$8,OR($L173='112'!$I$6,$M173='112'!$I$6))),"x",""))</f>
        <v/>
      </c>
      <c r="S173" s="525" t="str">
        <f>IF(ISERROR(FIND('112'!$M$9,G173,1)),"",IF((AND(LEFT(G173,2)=LEFT('112'!$M$9,2),B173&lt;'112'!$N$8,$L173='112'!$I$6)),"x",""))</f>
        <v/>
      </c>
      <c r="T173" s="525" t="str">
        <f>IF(ISERROR(FIND('112'!$M$9,G173,1)),"",IF((AND(RIGHT(G173,2)=RIGHT('112'!$M$9,2),B173&lt;'112'!$N$8,$M173='112'!$I$6)),"x",""))</f>
        <v/>
      </c>
      <c r="U173" s="525" t="str">
        <f>IF(AND(B173&gt;='IN-NX'!$P$3,B173&lt;='IN-NX'!$Q$3,'IN-NX'!$D$7=D173,OR(LEFT(L173,2)="15",AND(LEFT(M173,2)&lt;&gt;"15",LEFT(M173,2)&lt;&gt;"33"))),"x","")</f>
        <v/>
      </c>
      <c r="V173" s="525" t="str">
        <f>IF(AND(OR(LEFT(TH!L173,2)="15",LEFT(TH!M173,2)="15"),'152-CT'!$J$8=TH!F173),"x","")</f>
        <v/>
      </c>
      <c r="W173" s="525" t="str">
        <f>IF(AND(OR(LEFT(TH!L173,2)="15",LEFT(TH!M173,2)="15"),TK!$E$7=TH!F173),"x","")</f>
        <v/>
      </c>
      <c r="X173" s="525" t="str">
        <f>IF(AND('341-CT'!$E$9=H173,OR(LEFT(L173,3)=$X$7,LEFT(M173,3)=$X$7)),"x","")</f>
        <v/>
      </c>
      <c r="Y173" s="525" t="str">
        <f>IF(OR(TH!L173=TH!$Y$7,M173=TH!$Y$7),"x","")</f>
        <v/>
      </c>
      <c r="Z173" s="525" t="str">
        <f>IF(AND(B173&lt;=NKC!$N$8,B173&gt;=NKC!$M$8),"x","")</f>
        <v>x</v>
      </c>
      <c r="AA173" s="535"/>
    </row>
    <row r="174" spans="1:28" s="503" customFormat="1" ht="15.75" customHeight="1">
      <c r="A174" s="517" t="str">
        <f>IF(B174&lt;&gt;"",IF(AND(B174&gt;=_TM1,B174&lt;=_TM2,OR(TH!L174="1111",TH!M174="1111")),TH!D174,""),"")</f>
        <v/>
      </c>
      <c r="B174" s="531">
        <f t="shared" si="18"/>
        <v>2</v>
      </c>
      <c r="C174" s="315">
        <f t="shared" si="17"/>
        <v>42777</v>
      </c>
      <c r="D174" s="315" t="s">
        <v>461</v>
      </c>
      <c r="E174" s="288">
        <v>42777</v>
      </c>
      <c r="F174" s="249" t="s">
        <v>469</v>
      </c>
      <c r="G174" s="314" t="s">
        <v>290</v>
      </c>
      <c r="H174" s="472"/>
      <c r="I174" s="307"/>
      <c r="J174" s="307"/>
      <c r="K174" s="532">
        <v>50000</v>
      </c>
      <c r="L174" s="533" t="s">
        <v>81</v>
      </c>
      <c r="M174" s="533" t="s">
        <v>24</v>
      </c>
      <c r="N174" s="525" t="str">
        <f>IF(AND('331-CT'!$E$7=TH!H174,OR(L174="331",M174="331")),"331",IF(AND(OR(L174="131",M174="131"),H174='131-CT'!$E$7),"131",""))</f>
        <v/>
      </c>
      <c r="O174" s="525" t="str">
        <f>IF(AND($B174&gt;='111'!$N$11,$B174&lt;='111'!$O$11,OR($L174=$O$7,$M174=$O$7)),"x","")</f>
        <v/>
      </c>
      <c r="P174" s="525" t="str">
        <f>IF(AND($L174=$O$7,$B174&lt;'111'!$N$11),"x","")</f>
        <v/>
      </c>
      <c r="Q174" s="525" t="str">
        <f>IF(AND($M174=$O$7,$B174&lt;'111'!$N$11),"x","")</f>
        <v/>
      </c>
      <c r="R174" s="525" t="str">
        <f>IF(ISERROR(FIND('112'!$M$9,G174,1)),"",IF((AND(FIND('112'!$M$9,G174,1)&gt;=1,$B174&gt;='112'!$N$8,$B174&lt;='112'!$O$8,OR($L174='112'!$I$6,$M174='112'!$I$6))),"x",""))</f>
        <v/>
      </c>
      <c r="S174" s="525" t="str">
        <f>IF(ISERROR(FIND('112'!$M$9,G174,1)),"",IF((AND(LEFT(G174,2)=LEFT('112'!$M$9,2),B174&lt;'112'!$N$8,$L174='112'!$I$6)),"x",""))</f>
        <v/>
      </c>
      <c r="T174" s="525" t="str">
        <f>IF(ISERROR(FIND('112'!$M$9,G174,1)),"",IF((AND(RIGHT(G174,2)=RIGHT('112'!$M$9,2),B174&lt;'112'!$N$8,$M174='112'!$I$6)),"x",""))</f>
        <v/>
      </c>
      <c r="U174" s="525" t="str">
        <f>IF(AND(B174&gt;='IN-NX'!$P$3,B174&lt;='IN-NX'!$Q$3,'IN-NX'!$D$7=D174,OR(LEFT(L174,2)="15",AND(LEFT(M174,2)&lt;&gt;"15",LEFT(M174,2)&lt;&gt;"33"))),"x","")</f>
        <v/>
      </c>
      <c r="V174" s="525" t="str">
        <f>IF(AND(OR(LEFT(TH!L174,2)="15",LEFT(TH!M174,2)="15"),'152-CT'!$J$8=TH!F174),"x","")</f>
        <v/>
      </c>
      <c r="W174" s="525" t="str">
        <f>IF(AND(OR(LEFT(TH!L174,2)="15",LEFT(TH!M174,2)="15"),TK!$E$7=TH!F174),"x","")</f>
        <v/>
      </c>
      <c r="X174" s="525" t="str">
        <f>IF(AND('341-CT'!$E$9=H174,OR(LEFT(L174,3)=$X$7,LEFT(M174,3)=$X$7)),"x","")</f>
        <v/>
      </c>
      <c r="Y174" s="525" t="str">
        <f>IF(OR(TH!L174=TH!$Y$7,M174=TH!$Y$7),"x","")</f>
        <v/>
      </c>
      <c r="Z174" s="525" t="str">
        <f>IF(AND(B174&lt;=NKC!$N$8,B174&gt;=NKC!$M$8),"x","")</f>
        <v>x</v>
      </c>
      <c r="AA174" s="535">
        <v>1</v>
      </c>
    </row>
    <row r="175" spans="1:28" s="503" customFormat="1" ht="15.75" customHeight="1">
      <c r="A175" s="517" t="str">
        <f>IF(B175&lt;&gt;"",IF(AND(B175&gt;=_TM1,B175&lt;=_TM2,OR(TH!L175="1111",TH!M175="1111")),TH!D175,""),"")</f>
        <v/>
      </c>
      <c r="B175" s="531">
        <f t="shared" si="18"/>
        <v>2</v>
      </c>
      <c r="C175" s="315">
        <f t="shared" si="17"/>
        <v>42777</v>
      </c>
      <c r="D175" s="315" t="s">
        <v>461</v>
      </c>
      <c r="E175" s="288">
        <v>42777</v>
      </c>
      <c r="F175" s="249" t="s">
        <v>470</v>
      </c>
      <c r="G175" s="314" t="s">
        <v>290</v>
      </c>
      <c r="H175" s="473"/>
      <c r="I175" s="307"/>
      <c r="J175" s="307"/>
      <c r="K175" s="532">
        <v>5000</v>
      </c>
      <c r="L175" s="533" t="s">
        <v>9</v>
      </c>
      <c r="M175" s="533" t="s">
        <v>24</v>
      </c>
      <c r="N175" s="525" t="str">
        <f>IF(AND('331-CT'!$E$7=TH!H175,OR(L175="331",M175="331")),"331",IF(AND(OR(L175="131",M175="131"),H175='131-CT'!$E$7),"131",""))</f>
        <v/>
      </c>
      <c r="O175" s="525" t="str">
        <f>IF(AND($B175&gt;='111'!$N$11,$B175&lt;='111'!$O$11,OR($L175=$O$7,$M175=$O$7)),"x","")</f>
        <v/>
      </c>
      <c r="P175" s="525" t="str">
        <f>IF(AND($L175=$O$7,$B175&lt;'111'!$N$11),"x","")</f>
        <v/>
      </c>
      <c r="Q175" s="525" t="str">
        <f>IF(AND($M175=$O$7,$B175&lt;'111'!$N$11),"x","")</f>
        <v/>
      </c>
      <c r="R175" s="525" t="str">
        <f>IF(ISERROR(FIND('112'!$M$9,G175,1)),"",IF((AND(FIND('112'!$M$9,G175,1)&gt;=1,$B175&gt;='112'!$N$8,$B175&lt;='112'!$O$8,OR($L175='112'!$I$6,$M175='112'!$I$6))),"x",""))</f>
        <v/>
      </c>
      <c r="S175" s="525" t="str">
        <f>IF(ISERROR(FIND('112'!$M$9,G175,1)),"",IF((AND(LEFT(G175,2)=LEFT('112'!$M$9,2),B175&lt;'112'!$N$8,$L175='112'!$I$6)),"x",""))</f>
        <v/>
      </c>
      <c r="T175" s="525" t="str">
        <f>IF(ISERROR(FIND('112'!$M$9,G175,1)),"",IF((AND(RIGHT(G175,2)=RIGHT('112'!$M$9,2),B175&lt;'112'!$N$8,$M175='112'!$I$6)),"x",""))</f>
        <v/>
      </c>
      <c r="U175" s="525" t="str">
        <f>IF(AND(B175&gt;='IN-NX'!$P$3,B175&lt;='IN-NX'!$Q$3,'IN-NX'!$D$7=D175,OR(LEFT(L175,2)="15",AND(LEFT(M175,2)&lt;&gt;"15",LEFT(M175,2)&lt;&gt;"33"))),"x","")</f>
        <v/>
      </c>
      <c r="V175" s="525" t="str">
        <f>IF(AND(OR(LEFT(TH!L175,2)="15",LEFT(TH!M175,2)="15"),'152-CT'!$J$8=TH!F175),"x","")</f>
        <v/>
      </c>
      <c r="W175" s="525" t="str">
        <f>IF(AND(OR(LEFT(TH!L175,2)="15",LEFT(TH!M175,2)="15"),TK!$E$7=TH!F175),"x","")</f>
        <v/>
      </c>
      <c r="X175" s="525" t="str">
        <f>IF(AND('341-CT'!$E$9=H175,OR(LEFT(L175,3)=$X$7,LEFT(M175,3)=$X$7)),"x","")</f>
        <v/>
      </c>
      <c r="Y175" s="525" t="str">
        <f>IF(OR(TH!L175=TH!$Y$7,M175=TH!$Y$7),"x","")</f>
        <v/>
      </c>
      <c r="Z175" s="525" t="str">
        <f>IF(AND(B175&lt;=NKC!$N$8,B175&gt;=NKC!$M$8),"x","")</f>
        <v>x</v>
      </c>
      <c r="AA175" s="535">
        <v>1</v>
      </c>
      <c r="AB175" s="536"/>
    </row>
    <row r="176" spans="1:28" s="503" customFormat="1" ht="15.75" customHeight="1">
      <c r="A176" s="517" t="str">
        <f>IF(B176&lt;&gt;"",IF(AND(B176&gt;=_TM1,B176&lt;=_TM2,OR(TH!L176="1111",TH!M176="1111")),TH!D176,""),"")</f>
        <v>GBN</v>
      </c>
      <c r="B176" s="531">
        <f t="shared" si="18"/>
        <v>2</v>
      </c>
      <c r="C176" s="315">
        <f t="shared" si="17"/>
        <v>42779</v>
      </c>
      <c r="D176" s="315" t="s">
        <v>461</v>
      </c>
      <c r="E176" s="288">
        <v>42779</v>
      </c>
      <c r="F176" s="249" t="s">
        <v>465</v>
      </c>
      <c r="G176" s="314" t="s">
        <v>290</v>
      </c>
      <c r="H176" s="473" t="s">
        <v>460</v>
      </c>
      <c r="I176" s="307"/>
      <c r="J176" s="307"/>
      <c r="K176" s="532">
        <v>4100000</v>
      </c>
      <c r="L176" s="533" t="s">
        <v>45</v>
      </c>
      <c r="M176" s="533" t="s">
        <v>24</v>
      </c>
      <c r="N176" s="525" t="str">
        <f>IF(AND('331-CT'!$E$7=TH!H176,OR(L176="331",M176="331")),"331",IF(AND(OR(L176="131",M176="131"),H176='131-CT'!$E$7),"131",""))</f>
        <v/>
      </c>
      <c r="O176" s="525" t="str">
        <f>IF(AND($B176&gt;='111'!$N$11,$B176&lt;='111'!$O$11,OR($L176=$O$7,$M176=$O$7)),"x","")</f>
        <v/>
      </c>
      <c r="P176" s="525" t="str">
        <f>IF(AND($L176=$O$7,$B176&lt;'111'!$N$11),"x","")</f>
        <v>x</v>
      </c>
      <c r="Q176" s="525" t="str">
        <f>IF(AND($M176=$O$7,$B176&lt;'111'!$N$11),"x","")</f>
        <v/>
      </c>
      <c r="R176" s="525" t="str">
        <f>IF(ISERROR(FIND('112'!$M$9,G176,1)),"",IF((AND(FIND('112'!$M$9,G176,1)&gt;=1,$B176&gt;='112'!$N$8,$B176&lt;='112'!$O$8,OR($L176='112'!$I$6,$M176='112'!$I$6))),"x",""))</f>
        <v/>
      </c>
      <c r="S176" s="525" t="str">
        <f>IF(ISERROR(FIND('112'!$M$9,G176,1)),"",IF((AND(LEFT(G176,2)=LEFT('112'!$M$9,2),B176&lt;'112'!$N$8,$L176='112'!$I$6)),"x",""))</f>
        <v/>
      </c>
      <c r="T176" s="525" t="str">
        <f>IF(ISERROR(FIND('112'!$M$9,G176,1)),"",IF((AND(RIGHT(G176,2)=RIGHT('112'!$M$9,2),B176&lt;'112'!$N$8,$M176='112'!$I$6)),"x",""))</f>
        <v/>
      </c>
      <c r="U176" s="525" t="str">
        <f>IF(AND(B176&gt;='IN-NX'!$P$3,B176&lt;='IN-NX'!$Q$3,'IN-NX'!$D$7=D176,OR(LEFT(L176,2)="15",AND(LEFT(M176,2)&lt;&gt;"15",LEFT(M176,2)&lt;&gt;"33"))),"x","")</f>
        <v/>
      </c>
      <c r="V176" s="525" t="str">
        <f>IF(AND(OR(LEFT(TH!L176,2)="15",LEFT(TH!M176,2)="15"),'152-CT'!$J$8=TH!F176),"x","")</f>
        <v/>
      </c>
      <c r="W176" s="525" t="str">
        <f>IF(AND(OR(LEFT(TH!L176,2)="15",LEFT(TH!M176,2)="15"),TK!$E$7=TH!F176),"x","")</f>
        <v/>
      </c>
      <c r="X176" s="525" t="str">
        <f>IF(AND('341-CT'!$E$9=H176,OR(LEFT(L176,3)=$X$7,LEFT(M176,3)=$X$7)),"x","")</f>
        <v/>
      </c>
      <c r="Y176" s="525" t="str">
        <f>IF(OR(TH!L176=TH!$Y$7,M176=TH!$Y$7),"x","")</f>
        <v/>
      </c>
      <c r="Z176" s="525" t="str">
        <f>IF(AND(B176&lt;=NKC!$N$8,B176&gt;=NKC!$M$8),"x","")</f>
        <v>x</v>
      </c>
      <c r="AA176" s="535"/>
    </row>
    <row r="177" spans="1:28" s="503" customFormat="1" ht="15.75" customHeight="1">
      <c r="A177" s="517" t="str">
        <f>IF(B177&lt;&gt;"",IF(AND(B177&gt;=_TM1,B177&lt;=_TM2,OR(TH!L177="1111",TH!M177="1111")),TH!D177,""),"")</f>
        <v/>
      </c>
      <c r="B177" s="531">
        <f t="shared" si="18"/>
        <v>2</v>
      </c>
      <c r="C177" s="315">
        <f t="shared" si="17"/>
        <v>42779</v>
      </c>
      <c r="D177" s="315" t="s">
        <v>461</v>
      </c>
      <c r="E177" s="288">
        <v>42779</v>
      </c>
      <c r="F177" s="249" t="s">
        <v>468</v>
      </c>
      <c r="G177" s="314" t="s">
        <v>290</v>
      </c>
      <c r="H177" s="473" t="s">
        <v>271</v>
      </c>
      <c r="I177" s="307"/>
      <c r="J177" s="307"/>
      <c r="K177" s="532">
        <v>9754184</v>
      </c>
      <c r="L177" s="534" t="s">
        <v>8</v>
      </c>
      <c r="M177" s="533" t="s">
        <v>24</v>
      </c>
      <c r="N177" s="525" t="str">
        <f>IF(AND('331-CT'!$E$7=TH!H177,OR(L177="331",M177="331")),"331",IF(AND(OR(L177="131",M177="131"),H177='131-CT'!$E$7),"131",""))</f>
        <v>331</v>
      </c>
      <c r="O177" s="525" t="str">
        <f>IF(AND($B177&gt;='111'!$N$11,$B177&lt;='111'!$O$11,OR($L177=$O$7,$M177=$O$7)),"x","")</f>
        <v/>
      </c>
      <c r="P177" s="525" t="str">
        <f>IF(AND($L177=$O$7,$B177&lt;'111'!$N$11),"x","")</f>
        <v/>
      </c>
      <c r="Q177" s="525" t="str">
        <f>IF(AND($M177=$O$7,$B177&lt;'111'!$N$11),"x","")</f>
        <v/>
      </c>
      <c r="R177" s="525" t="str">
        <f>IF(ISERROR(FIND('112'!$M$9,G177,1)),"",IF((AND(FIND('112'!$M$9,G177,1)&gt;=1,$B177&gt;='112'!$N$8,$B177&lt;='112'!$O$8,OR($L177='112'!$I$6,$M177='112'!$I$6))),"x",""))</f>
        <v/>
      </c>
      <c r="S177" s="525" t="str">
        <f>IF(ISERROR(FIND('112'!$M$9,G177,1)),"",IF((AND(LEFT(G177,2)=LEFT('112'!$M$9,2),B177&lt;'112'!$N$8,$L177='112'!$I$6)),"x",""))</f>
        <v/>
      </c>
      <c r="T177" s="525" t="str">
        <f>IF(ISERROR(FIND('112'!$M$9,G177,1)),"",IF((AND(RIGHT(G177,2)=RIGHT('112'!$M$9,2),B177&lt;'112'!$N$8,$M177='112'!$I$6)),"x",""))</f>
        <v/>
      </c>
      <c r="U177" s="525" t="str">
        <f>IF(AND(B177&gt;='IN-NX'!$P$3,B177&lt;='IN-NX'!$Q$3,'IN-NX'!$D$7=D177,OR(LEFT(L177,2)="15",AND(LEFT(M177,2)&lt;&gt;"15",LEFT(M177,2)&lt;&gt;"33"))),"x","")</f>
        <v/>
      </c>
      <c r="V177" s="525" t="str">
        <f>IF(AND(OR(LEFT(TH!L177,2)="15",LEFT(TH!M177,2)="15"),'152-CT'!$J$8=TH!F177),"x","")</f>
        <v/>
      </c>
      <c r="W177" s="525" t="str">
        <f>IF(AND(OR(LEFT(TH!L177,2)="15",LEFT(TH!M177,2)="15"),TK!$E$7=TH!F177),"x","")</f>
        <v/>
      </c>
      <c r="X177" s="525" t="str">
        <f>IF(AND('341-CT'!$E$9=H177,OR(LEFT(L177,3)=$X$7,LEFT(M177,3)=$X$7)),"x","")</f>
        <v/>
      </c>
      <c r="Y177" s="525" t="str">
        <f>IF(OR(TH!L177=TH!$Y$7,M177=TH!$Y$7),"x","")</f>
        <v/>
      </c>
      <c r="Z177" s="525" t="str">
        <f>IF(AND(B177&lt;=NKC!$N$8,B177&gt;=NKC!$M$8),"x","")</f>
        <v>x</v>
      </c>
      <c r="AA177" s="535"/>
    </row>
    <row r="178" spans="1:28" s="503" customFormat="1" ht="15.75" customHeight="1">
      <c r="A178" s="517" t="str">
        <f>IF(B178&lt;&gt;"",IF(AND(B178&gt;=_TM1,B178&lt;=_TM2,OR(TH!L178="1111",TH!M178="1111")),TH!D178,""),"")</f>
        <v>GBN</v>
      </c>
      <c r="B178" s="531">
        <f t="shared" si="18"/>
        <v>2</v>
      </c>
      <c r="C178" s="315">
        <f t="shared" si="17"/>
        <v>42780</v>
      </c>
      <c r="D178" s="315" t="s">
        <v>461</v>
      </c>
      <c r="E178" s="288">
        <v>42780</v>
      </c>
      <c r="F178" s="249" t="s">
        <v>465</v>
      </c>
      <c r="G178" s="314" t="s">
        <v>290</v>
      </c>
      <c r="H178" s="473" t="s">
        <v>460</v>
      </c>
      <c r="I178" s="307"/>
      <c r="J178" s="307"/>
      <c r="K178" s="532">
        <v>322100000</v>
      </c>
      <c r="L178" s="534" t="s">
        <v>45</v>
      </c>
      <c r="M178" s="533" t="s">
        <v>24</v>
      </c>
      <c r="N178" s="525" t="str">
        <f>IF(AND('331-CT'!$E$7=TH!H178,OR(L178="331",M178="331")),"331",IF(AND(OR(L178="131",M178="131"),H178='131-CT'!$E$7),"131",""))</f>
        <v/>
      </c>
      <c r="O178" s="525" t="str">
        <f>IF(AND($B178&gt;='111'!$N$11,$B178&lt;='111'!$O$11,OR($L178=$O$7,$M178=$O$7)),"x","")</f>
        <v/>
      </c>
      <c r="P178" s="525" t="str">
        <f>IF(AND($L178=$O$7,$B178&lt;'111'!$N$11),"x","")</f>
        <v>x</v>
      </c>
      <c r="Q178" s="525" t="str">
        <f>IF(AND($M178=$O$7,$B178&lt;'111'!$N$11),"x","")</f>
        <v/>
      </c>
      <c r="R178" s="525" t="str">
        <f>IF(ISERROR(FIND('112'!$M$9,G178,1)),"",IF((AND(FIND('112'!$M$9,G178,1)&gt;=1,$B178&gt;='112'!$N$8,$B178&lt;='112'!$O$8,OR($L178='112'!$I$6,$M178='112'!$I$6))),"x",""))</f>
        <v/>
      </c>
      <c r="S178" s="525" t="str">
        <f>IF(ISERROR(FIND('112'!$M$9,G178,1)),"",IF((AND(LEFT(G178,2)=LEFT('112'!$M$9,2),B178&lt;'112'!$N$8,$L178='112'!$I$6)),"x",""))</f>
        <v/>
      </c>
      <c r="T178" s="525" t="str">
        <f>IF(ISERROR(FIND('112'!$M$9,G178,1)),"",IF((AND(RIGHT(G178,2)=RIGHT('112'!$M$9,2),B178&lt;'112'!$N$8,$M178='112'!$I$6)),"x",""))</f>
        <v/>
      </c>
      <c r="U178" s="525" t="str">
        <f>IF(AND(B178&gt;='IN-NX'!$P$3,B178&lt;='IN-NX'!$Q$3,'IN-NX'!$D$7=D178,OR(LEFT(L178,2)="15",AND(LEFT(M178,2)&lt;&gt;"15",LEFT(M178,2)&lt;&gt;"33"))),"x","")</f>
        <v/>
      </c>
      <c r="V178" s="525" t="str">
        <f>IF(AND(OR(LEFT(TH!L178,2)="15",LEFT(TH!M178,2)="15"),'152-CT'!$J$8=TH!F178),"x","")</f>
        <v/>
      </c>
      <c r="W178" s="525" t="str">
        <f>IF(AND(OR(LEFT(TH!L178,2)="15",LEFT(TH!M178,2)="15"),TK!$E$7=TH!F178),"x","")</f>
        <v/>
      </c>
      <c r="X178" s="525" t="str">
        <f>IF(AND('341-CT'!$E$9=H178,OR(LEFT(L178,3)=$X$7,LEFT(M178,3)=$X$7)),"x","")</f>
        <v/>
      </c>
      <c r="Y178" s="525" t="str">
        <f>IF(OR(TH!L178=TH!$Y$7,M178=TH!$Y$7),"x","")</f>
        <v/>
      </c>
      <c r="Z178" s="525" t="str">
        <f>IF(AND(B178&lt;=NKC!$N$8,B178&gt;=NKC!$M$8),"x","")</f>
        <v>x</v>
      </c>
      <c r="AA178" s="535"/>
    </row>
    <row r="179" spans="1:28" s="503" customFormat="1" ht="15.75" customHeight="1">
      <c r="A179" s="517" t="str">
        <f>IF(B179&lt;&gt;"",IF(AND(B179&gt;=_TM1,B179&lt;=_TM2,OR(TH!L179="1111",TH!M179="1111")),TH!D179,""),"")</f>
        <v/>
      </c>
      <c r="B179" s="531">
        <f t="shared" si="18"/>
        <v>2</v>
      </c>
      <c r="C179" s="315">
        <f t="shared" si="17"/>
        <v>42782</v>
      </c>
      <c r="D179" s="315" t="s">
        <v>461</v>
      </c>
      <c r="E179" s="288">
        <v>42782</v>
      </c>
      <c r="F179" s="249" t="s">
        <v>570</v>
      </c>
      <c r="G179" s="314" t="s">
        <v>290</v>
      </c>
      <c r="H179" s="472"/>
      <c r="I179" s="307"/>
      <c r="J179" s="307"/>
      <c r="K179" s="532">
        <v>71500</v>
      </c>
      <c r="L179" s="533" t="s">
        <v>81</v>
      </c>
      <c r="M179" s="533" t="s">
        <v>24</v>
      </c>
      <c r="N179" s="525" t="str">
        <f>IF(AND('331-CT'!$E$7=TH!H179,OR(L179="331",M179="331")),"331",IF(AND(OR(L179="131",M179="131"),H179='131-CT'!$E$7),"131",""))</f>
        <v/>
      </c>
      <c r="O179" s="525" t="str">
        <f>IF(AND($B179&gt;='111'!$N$11,$B179&lt;='111'!$O$11,OR($L179=$O$7,$M179=$O$7)),"x","")</f>
        <v/>
      </c>
      <c r="P179" s="525" t="str">
        <f>IF(AND($L179=$O$7,$B179&lt;'111'!$N$11),"x","")</f>
        <v/>
      </c>
      <c r="Q179" s="525" t="str">
        <f>IF(AND($M179=$O$7,$B179&lt;'111'!$N$11),"x","")</f>
        <v/>
      </c>
      <c r="R179" s="525" t="str">
        <f>IF(ISERROR(FIND('112'!$M$9,G179,1)),"",IF((AND(FIND('112'!$M$9,G179,1)&gt;=1,$B179&gt;='112'!$N$8,$B179&lt;='112'!$O$8,OR($L179='112'!$I$6,$M179='112'!$I$6))),"x",""))</f>
        <v/>
      </c>
      <c r="S179" s="525" t="str">
        <f>IF(ISERROR(FIND('112'!$M$9,G179,1)),"",IF((AND(LEFT(G179,2)=LEFT('112'!$M$9,2),B179&lt;'112'!$N$8,$L179='112'!$I$6)),"x",""))</f>
        <v/>
      </c>
      <c r="T179" s="525" t="str">
        <f>IF(ISERROR(FIND('112'!$M$9,G179,1)),"",IF((AND(RIGHT(G179,2)=RIGHT('112'!$M$9,2),B179&lt;'112'!$N$8,$M179='112'!$I$6)),"x",""))</f>
        <v/>
      </c>
      <c r="U179" s="525" t="str">
        <f>IF(AND(B179&gt;='IN-NX'!$P$3,B179&lt;='IN-NX'!$Q$3,'IN-NX'!$D$7=D179,OR(LEFT(L179,2)="15",AND(LEFT(M179,2)&lt;&gt;"15",LEFT(M179,2)&lt;&gt;"33"))),"x","")</f>
        <v/>
      </c>
      <c r="V179" s="525" t="str">
        <f>IF(AND(OR(LEFT(TH!L179,2)="15",LEFT(TH!M179,2)="15"),'152-CT'!$J$8=TH!F179),"x","")</f>
        <v/>
      </c>
      <c r="W179" s="525" t="str">
        <f>IF(AND(OR(LEFT(TH!L179,2)="15",LEFT(TH!M179,2)="15"),TK!$E$7=TH!F179),"x","")</f>
        <v/>
      </c>
      <c r="X179" s="525" t="str">
        <f>IF(AND('341-CT'!$E$9=H179,OR(LEFT(L179,3)=$X$7,LEFT(M179,3)=$X$7)),"x","")</f>
        <v/>
      </c>
      <c r="Y179" s="525" t="str">
        <f>IF(OR(TH!L179=TH!$Y$7,M179=TH!$Y$7),"x","")</f>
        <v/>
      </c>
      <c r="Z179" s="525" t="str">
        <f>IF(AND(B179&lt;=NKC!$N$8,B179&gt;=NKC!$M$8),"x","")</f>
        <v>x</v>
      </c>
      <c r="AA179" s="535"/>
    </row>
    <row r="180" spans="1:28" s="503" customFormat="1" ht="15.75" customHeight="1">
      <c r="A180" s="517" t="str">
        <f>IF(B180&lt;&gt;"",IF(AND(B180&gt;=_TM1,B180&lt;=_TM2,OR(TH!L180="1111",TH!M180="1111")),TH!D180,""),"")</f>
        <v>GBN</v>
      </c>
      <c r="B180" s="531">
        <f t="shared" si="18"/>
        <v>2</v>
      </c>
      <c r="C180" s="315">
        <f t="shared" si="17"/>
        <v>42783</v>
      </c>
      <c r="D180" s="315" t="s">
        <v>461</v>
      </c>
      <c r="E180" s="288">
        <v>42783</v>
      </c>
      <c r="F180" s="249" t="s">
        <v>465</v>
      </c>
      <c r="G180" s="314" t="s">
        <v>290</v>
      </c>
      <c r="H180" s="473" t="s">
        <v>460</v>
      </c>
      <c r="I180" s="307"/>
      <c r="J180" s="307"/>
      <c r="K180" s="532">
        <v>7900000</v>
      </c>
      <c r="L180" s="534" t="s">
        <v>45</v>
      </c>
      <c r="M180" s="533" t="s">
        <v>24</v>
      </c>
      <c r="N180" s="525" t="str">
        <f>IF(AND('331-CT'!$E$7=TH!H180,OR(L180="331",M180="331")),"331",IF(AND(OR(L180="131",M180="131"),H180='131-CT'!$E$7),"131",""))</f>
        <v/>
      </c>
      <c r="O180" s="525" t="str">
        <f>IF(AND($B180&gt;='111'!$N$11,$B180&lt;='111'!$O$11,OR($L180=$O$7,$M180=$O$7)),"x","")</f>
        <v/>
      </c>
      <c r="P180" s="525" t="str">
        <f>IF(AND($L180=$O$7,$B180&lt;'111'!$N$11),"x","")</f>
        <v>x</v>
      </c>
      <c r="Q180" s="525" t="str">
        <f>IF(AND($M180=$O$7,$B180&lt;'111'!$N$11),"x","")</f>
        <v/>
      </c>
      <c r="R180" s="525" t="str">
        <f>IF(ISERROR(FIND('112'!$M$9,G180,1)),"",IF((AND(FIND('112'!$M$9,G180,1)&gt;=1,$B180&gt;='112'!$N$8,$B180&lt;='112'!$O$8,OR($L180='112'!$I$6,$M180='112'!$I$6))),"x",""))</f>
        <v/>
      </c>
      <c r="S180" s="525" t="str">
        <f>IF(ISERROR(FIND('112'!$M$9,G180,1)),"",IF((AND(LEFT(G180,2)=LEFT('112'!$M$9,2),B180&lt;'112'!$N$8,$L180='112'!$I$6)),"x",""))</f>
        <v/>
      </c>
      <c r="T180" s="525" t="str">
        <f>IF(ISERROR(FIND('112'!$M$9,G180,1)),"",IF((AND(RIGHT(G180,2)=RIGHT('112'!$M$9,2),B180&lt;'112'!$N$8,$M180='112'!$I$6)),"x",""))</f>
        <v/>
      </c>
      <c r="U180" s="525" t="str">
        <f>IF(AND(B180&gt;='IN-NX'!$P$3,B180&lt;='IN-NX'!$Q$3,'IN-NX'!$D$7=D180,OR(LEFT(L180,2)="15",AND(LEFT(M180,2)&lt;&gt;"15",LEFT(M180,2)&lt;&gt;"33"))),"x","")</f>
        <v/>
      </c>
      <c r="V180" s="525" t="str">
        <f>IF(AND(OR(LEFT(TH!L180,2)="15",LEFT(TH!M180,2)="15"),'152-CT'!$J$8=TH!F180),"x","")</f>
        <v/>
      </c>
      <c r="W180" s="525" t="str">
        <f>IF(AND(OR(LEFT(TH!L180,2)="15",LEFT(TH!M180,2)="15"),TK!$E$7=TH!F180),"x","")</f>
        <v/>
      </c>
      <c r="X180" s="525" t="str">
        <f>IF(AND('341-CT'!$E$9=H180,OR(LEFT(L180,3)=$X$7,LEFT(M180,3)=$X$7)),"x","")</f>
        <v/>
      </c>
      <c r="Y180" s="525" t="str">
        <f>IF(OR(TH!L180=TH!$Y$7,M180=TH!$Y$7),"x","")</f>
        <v/>
      </c>
      <c r="Z180" s="525" t="str">
        <f>IF(AND(B180&lt;=NKC!$N$8,B180&gt;=NKC!$M$8),"x","")</f>
        <v>x</v>
      </c>
      <c r="AA180" s="535"/>
    </row>
    <row r="181" spans="1:28" s="503" customFormat="1" ht="15.75" customHeight="1">
      <c r="A181" s="517" t="str">
        <f>IF(B181&lt;&gt;"",IF(AND(B181&gt;=_TM1,B181&lt;=_TM2,OR(TH!L181="1111",TH!M181="1111")),TH!D181,""),"")</f>
        <v>GBN</v>
      </c>
      <c r="B181" s="531">
        <f t="shared" si="18"/>
        <v>2</v>
      </c>
      <c r="C181" s="315">
        <f t="shared" si="17"/>
        <v>42788</v>
      </c>
      <c r="D181" s="315" t="s">
        <v>461</v>
      </c>
      <c r="E181" s="288">
        <v>42788</v>
      </c>
      <c r="F181" s="249" t="s">
        <v>465</v>
      </c>
      <c r="G181" s="314" t="s">
        <v>290</v>
      </c>
      <c r="H181" s="473" t="s">
        <v>460</v>
      </c>
      <c r="I181" s="307"/>
      <c r="J181" s="307"/>
      <c r="K181" s="532">
        <v>6000000</v>
      </c>
      <c r="L181" s="534" t="s">
        <v>45</v>
      </c>
      <c r="M181" s="533" t="s">
        <v>24</v>
      </c>
      <c r="N181" s="525" t="str">
        <f>IF(AND('331-CT'!$E$7=TH!H181,OR(L181="331",M181="331")),"331",IF(AND(OR(L181="131",M181="131"),H181='131-CT'!$E$7),"131",""))</f>
        <v/>
      </c>
      <c r="O181" s="525" t="str">
        <f>IF(AND($B181&gt;='111'!$N$11,$B181&lt;='111'!$O$11,OR($L181=$O$7,$M181=$O$7)),"x","")</f>
        <v/>
      </c>
      <c r="P181" s="525" t="str">
        <f>IF(AND($L181=$O$7,$B181&lt;'111'!$N$11),"x","")</f>
        <v>x</v>
      </c>
      <c r="Q181" s="525" t="str">
        <f>IF(AND($M181=$O$7,$B181&lt;'111'!$N$11),"x","")</f>
        <v/>
      </c>
      <c r="R181" s="525" t="str">
        <f>IF(ISERROR(FIND('112'!$M$9,G181,1)),"",IF((AND(FIND('112'!$M$9,G181,1)&gt;=1,$B181&gt;='112'!$N$8,$B181&lt;='112'!$O$8,OR($L181='112'!$I$6,$M181='112'!$I$6))),"x",""))</f>
        <v/>
      </c>
      <c r="S181" s="525" t="str">
        <f>IF(ISERROR(FIND('112'!$M$9,G181,1)),"",IF((AND(LEFT(G181,2)=LEFT('112'!$M$9,2),B181&lt;'112'!$N$8,$L181='112'!$I$6)),"x",""))</f>
        <v/>
      </c>
      <c r="T181" s="525" t="str">
        <f>IF(ISERROR(FIND('112'!$M$9,G181,1)),"",IF((AND(RIGHT(G181,2)=RIGHT('112'!$M$9,2),B181&lt;'112'!$N$8,$M181='112'!$I$6)),"x",""))</f>
        <v/>
      </c>
      <c r="U181" s="525" t="str">
        <f>IF(AND(B181&gt;='IN-NX'!$P$3,B181&lt;='IN-NX'!$Q$3,'IN-NX'!$D$7=D181,OR(LEFT(L181,2)="15",AND(LEFT(M181,2)&lt;&gt;"15",LEFT(M181,2)&lt;&gt;"33"))),"x","")</f>
        <v/>
      </c>
      <c r="V181" s="525" t="str">
        <f>IF(AND(OR(LEFT(TH!L181,2)="15",LEFT(TH!M181,2)="15"),'152-CT'!$J$8=TH!F181),"x","")</f>
        <v/>
      </c>
      <c r="W181" s="525" t="str">
        <f>IF(AND(OR(LEFT(TH!L181,2)="15",LEFT(TH!M181,2)="15"),TK!$E$7=TH!F181),"x","")</f>
        <v/>
      </c>
      <c r="X181" s="525" t="str">
        <f>IF(AND('341-CT'!$E$9=H181,OR(LEFT(L181,3)=$X$7,LEFT(M181,3)=$X$7)),"x","")</f>
        <v/>
      </c>
      <c r="Y181" s="525" t="str">
        <f>IF(OR(TH!L181=TH!$Y$7,M181=TH!$Y$7),"x","")</f>
        <v/>
      </c>
      <c r="Z181" s="525" t="str">
        <f>IF(AND(B181&lt;=NKC!$N$8,B181&gt;=NKC!$M$8),"x","")</f>
        <v>x</v>
      </c>
      <c r="AA181" s="535"/>
    </row>
    <row r="182" spans="1:28" s="503" customFormat="1" ht="15.75" customHeight="1">
      <c r="A182" s="517" t="str">
        <f>IF(B182&lt;&gt;"",IF(AND(B182&gt;=_TM1,B182&lt;=_TM2,OR(TH!L182="1111",TH!M182="1111")),TH!D182,""),"")</f>
        <v>GBN</v>
      </c>
      <c r="B182" s="531">
        <f t="shared" si="18"/>
        <v>2</v>
      </c>
      <c r="C182" s="315">
        <f t="shared" si="17"/>
        <v>42789</v>
      </c>
      <c r="D182" s="315" t="s">
        <v>461</v>
      </c>
      <c r="E182" s="288">
        <v>42789</v>
      </c>
      <c r="F182" s="249" t="s">
        <v>465</v>
      </c>
      <c r="G182" s="314" t="s">
        <v>290</v>
      </c>
      <c r="H182" s="473" t="s">
        <v>460</v>
      </c>
      <c r="I182" s="307"/>
      <c r="J182" s="307"/>
      <c r="K182" s="532">
        <v>44500000</v>
      </c>
      <c r="L182" s="534" t="s">
        <v>45</v>
      </c>
      <c r="M182" s="533" t="s">
        <v>24</v>
      </c>
      <c r="N182" s="525" t="str">
        <f>IF(AND('331-CT'!$E$7=TH!H182,OR(L182="331",M182="331")),"331",IF(AND(OR(L182="131",M182="131"),H182='131-CT'!$E$7),"131",""))</f>
        <v/>
      </c>
      <c r="O182" s="525" t="str">
        <f>IF(AND($B182&gt;='111'!$N$11,$B182&lt;='111'!$O$11,OR($L182=$O$7,$M182=$O$7)),"x","")</f>
        <v/>
      </c>
      <c r="P182" s="525" t="str">
        <f>IF(AND($L182=$O$7,$B182&lt;'111'!$N$11),"x","")</f>
        <v>x</v>
      </c>
      <c r="Q182" s="525" t="str">
        <f>IF(AND($M182=$O$7,$B182&lt;'111'!$N$11),"x","")</f>
        <v/>
      </c>
      <c r="R182" s="525" t="str">
        <f>IF(ISERROR(FIND('112'!$M$9,G182,1)),"",IF((AND(FIND('112'!$M$9,G182,1)&gt;=1,$B182&gt;='112'!$N$8,$B182&lt;='112'!$O$8,OR($L182='112'!$I$6,$M182='112'!$I$6))),"x",""))</f>
        <v/>
      </c>
      <c r="S182" s="525" t="str">
        <f>IF(ISERROR(FIND('112'!$M$9,G182,1)),"",IF((AND(LEFT(G182,2)=LEFT('112'!$M$9,2),B182&lt;'112'!$N$8,$L182='112'!$I$6)),"x",""))</f>
        <v/>
      </c>
      <c r="T182" s="525" t="str">
        <f>IF(ISERROR(FIND('112'!$M$9,G182,1)),"",IF((AND(RIGHT(G182,2)=RIGHT('112'!$M$9,2),B182&lt;'112'!$N$8,$M182='112'!$I$6)),"x",""))</f>
        <v/>
      </c>
      <c r="U182" s="525" t="str">
        <f>IF(AND(B182&gt;='IN-NX'!$P$3,B182&lt;='IN-NX'!$Q$3,'IN-NX'!$D$7=D182,OR(LEFT(L182,2)="15",AND(LEFT(M182,2)&lt;&gt;"15",LEFT(M182,2)&lt;&gt;"33"))),"x","")</f>
        <v/>
      </c>
      <c r="V182" s="525" t="str">
        <f>IF(AND(OR(LEFT(TH!L182,2)="15",LEFT(TH!M182,2)="15"),'152-CT'!$J$8=TH!F182),"x","")</f>
        <v/>
      </c>
      <c r="W182" s="525" t="str">
        <f>IF(AND(OR(LEFT(TH!L182,2)="15",LEFT(TH!M182,2)="15"),TK!$E$7=TH!F182),"x","")</f>
        <v/>
      </c>
      <c r="X182" s="525" t="str">
        <f>IF(AND('341-CT'!$E$9=H182,OR(LEFT(L182,3)=$X$7,LEFT(M182,3)=$X$7)),"x","")</f>
        <v/>
      </c>
      <c r="Y182" s="525" t="str">
        <f>IF(OR(TH!L182=TH!$Y$7,M182=TH!$Y$7),"x","")</f>
        <v/>
      </c>
      <c r="Z182" s="525" t="str">
        <f>IF(AND(B182&lt;=NKC!$N$8,B182&gt;=NKC!$M$8),"x","")</f>
        <v>x</v>
      </c>
      <c r="AA182" s="535"/>
      <c r="AB182" s="536"/>
    </row>
    <row r="183" spans="1:28" s="503" customFormat="1" ht="15.75" customHeight="1">
      <c r="A183" s="517" t="str">
        <f>IF(B183&lt;&gt;"",IF(AND(B183&gt;=_TM1,B183&lt;=_TM2,OR(TH!L183="1111",TH!M183="1111")),TH!D183,""),"")</f>
        <v/>
      </c>
      <c r="B183" s="531">
        <f t="shared" si="18"/>
        <v>2</v>
      </c>
      <c r="C183" s="315">
        <f t="shared" si="17"/>
        <v>42791</v>
      </c>
      <c r="D183" s="315" t="s">
        <v>461</v>
      </c>
      <c r="E183" s="288">
        <v>42791</v>
      </c>
      <c r="F183" s="249" t="s">
        <v>473</v>
      </c>
      <c r="G183" s="314" t="s">
        <v>290</v>
      </c>
      <c r="H183" s="473"/>
      <c r="I183" s="307"/>
      <c r="J183" s="307"/>
      <c r="K183" s="532">
        <v>10000</v>
      </c>
      <c r="L183" s="533" t="s">
        <v>81</v>
      </c>
      <c r="M183" s="533" t="s">
        <v>24</v>
      </c>
      <c r="N183" s="525" t="str">
        <f>IF(AND('331-CT'!$E$7=TH!H183,OR(L183="331",M183="331")),"331",IF(AND(OR(L183="131",M183="131"),H183='131-CT'!$E$7),"131",""))</f>
        <v/>
      </c>
      <c r="O183" s="525" t="str">
        <f>IF(AND($B183&gt;='111'!$N$11,$B183&lt;='111'!$O$11,OR($L183=$O$7,$M183=$O$7)),"x","")</f>
        <v/>
      </c>
      <c r="P183" s="525" t="str">
        <f>IF(AND($L183=$O$7,$B183&lt;'111'!$N$11),"x","")</f>
        <v/>
      </c>
      <c r="Q183" s="525" t="str">
        <f>IF(AND($M183=$O$7,$B183&lt;'111'!$N$11),"x","")</f>
        <v/>
      </c>
      <c r="R183" s="525" t="str">
        <f>IF(ISERROR(FIND('112'!$M$9,G183,1)),"",IF((AND(FIND('112'!$M$9,G183,1)&gt;=1,$B183&gt;='112'!$N$8,$B183&lt;='112'!$O$8,OR($L183='112'!$I$6,$M183='112'!$I$6))),"x",""))</f>
        <v/>
      </c>
      <c r="S183" s="525" t="str">
        <f>IF(ISERROR(FIND('112'!$M$9,G183,1)),"",IF((AND(LEFT(G183,2)=LEFT('112'!$M$9,2),B183&lt;'112'!$N$8,$L183='112'!$I$6)),"x",""))</f>
        <v/>
      </c>
      <c r="T183" s="525" t="str">
        <f>IF(ISERROR(FIND('112'!$M$9,G183,1)),"",IF((AND(RIGHT(G183,2)=RIGHT('112'!$M$9,2),B183&lt;'112'!$N$8,$M183='112'!$I$6)),"x",""))</f>
        <v/>
      </c>
      <c r="U183" s="525" t="str">
        <f>IF(AND(B183&gt;='IN-NX'!$P$3,B183&lt;='IN-NX'!$Q$3,'IN-NX'!$D$7=D183,OR(LEFT(L183,2)="15",AND(LEFT(M183,2)&lt;&gt;"15",LEFT(M183,2)&lt;&gt;"33"))),"x","")</f>
        <v/>
      </c>
      <c r="V183" s="525" t="str">
        <f>IF(AND(OR(LEFT(TH!L183,2)="15",LEFT(TH!M183,2)="15"),'152-CT'!$J$8=TH!F183),"x","")</f>
        <v/>
      </c>
      <c r="W183" s="525" t="str">
        <f>IF(AND(OR(LEFT(TH!L183,2)="15",LEFT(TH!M183,2)="15"),TK!$E$7=TH!F183),"x","")</f>
        <v/>
      </c>
      <c r="X183" s="525" t="str">
        <f>IF(AND('341-CT'!$E$9=H183,OR(LEFT(L183,3)=$X$7,LEFT(M183,3)=$X$7)),"x","")</f>
        <v/>
      </c>
      <c r="Y183" s="525" t="str">
        <f>IF(OR(TH!L183=TH!$Y$7,M183=TH!$Y$7),"x","")</f>
        <v/>
      </c>
      <c r="Z183" s="525" t="str">
        <f>IF(AND(B183&lt;=NKC!$N$8,B183&gt;=NKC!$M$8),"x","")</f>
        <v>x</v>
      </c>
      <c r="AA183" s="535">
        <v>1</v>
      </c>
    </row>
    <row r="184" spans="1:28" s="503" customFormat="1" ht="15.75" customHeight="1">
      <c r="A184" s="517" t="str">
        <f>IF(B184&lt;&gt;"",IF(AND(B184&gt;=_TM1,B184&lt;=_TM2,OR(TH!L184="1111",TH!M184="1111")),TH!D184,""),"")</f>
        <v/>
      </c>
      <c r="B184" s="531">
        <f t="shared" si="18"/>
        <v>2</v>
      </c>
      <c r="C184" s="315">
        <f t="shared" si="17"/>
        <v>42791</v>
      </c>
      <c r="D184" s="315" t="s">
        <v>461</v>
      </c>
      <c r="E184" s="288">
        <v>42791</v>
      </c>
      <c r="F184" s="249" t="s">
        <v>474</v>
      </c>
      <c r="G184" s="314" t="s">
        <v>290</v>
      </c>
      <c r="H184" s="472"/>
      <c r="I184" s="307"/>
      <c r="J184" s="307"/>
      <c r="K184" s="532">
        <v>1000</v>
      </c>
      <c r="L184" s="533" t="s">
        <v>9</v>
      </c>
      <c r="M184" s="533" t="s">
        <v>24</v>
      </c>
      <c r="N184" s="525" t="str">
        <f>IF(AND('331-CT'!$E$7=TH!H184,OR(L184="331",M184="331")),"331",IF(AND(OR(L184="131",M184="131"),H184='131-CT'!$E$7),"131",""))</f>
        <v/>
      </c>
      <c r="O184" s="525" t="str">
        <f>IF(AND($B184&gt;='111'!$N$11,$B184&lt;='111'!$O$11,OR($L184=$O$7,$M184=$O$7)),"x","")</f>
        <v/>
      </c>
      <c r="P184" s="525" t="str">
        <f>IF(AND($L184=$O$7,$B184&lt;'111'!$N$11),"x","")</f>
        <v/>
      </c>
      <c r="Q184" s="525" t="str">
        <f>IF(AND($M184=$O$7,$B184&lt;'111'!$N$11),"x","")</f>
        <v/>
      </c>
      <c r="R184" s="525" t="str">
        <f>IF(ISERROR(FIND('112'!$M$9,G184,1)),"",IF((AND(FIND('112'!$M$9,G184,1)&gt;=1,$B184&gt;='112'!$N$8,$B184&lt;='112'!$O$8,OR($L184='112'!$I$6,$M184='112'!$I$6))),"x",""))</f>
        <v/>
      </c>
      <c r="S184" s="525" t="str">
        <f>IF(ISERROR(FIND('112'!$M$9,G184,1)),"",IF((AND(LEFT(G184,2)=LEFT('112'!$M$9,2),B184&lt;'112'!$N$8,$L184='112'!$I$6)),"x",""))</f>
        <v/>
      </c>
      <c r="T184" s="525" t="str">
        <f>IF(ISERROR(FIND('112'!$M$9,G184,1)),"",IF((AND(RIGHT(G184,2)=RIGHT('112'!$M$9,2),B184&lt;'112'!$N$8,$M184='112'!$I$6)),"x",""))</f>
        <v/>
      </c>
      <c r="U184" s="525" t="str">
        <f>IF(AND(B184&gt;='IN-NX'!$P$3,B184&lt;='IN-NX'!$Q$3,'IN-NX'!$D$7=D184,OR(LEFT(L184,2)="15",AND(LEFT(M184,2)&lt;&gt;"15",LEFT(M184,2)&lt;&gt;"33"))),"x","")</f>
        <v/>
      </c>
      <c r="V184" s="525" t="str">
        <f>IF(AND(OR(LEFT(TH!L184,2)="15",LEFT(TH!M184,2)="15"),'152-CT'!$J$8=TH!F184),"x","")</f>
        <v/>
      </c>
      <c r="W184" s="525" t="str">
        <f>IF(AND(OR(LEFT(TH!L184,2)="15",LEFT(TH!M184,2)="15"),TK!$E$7=TH!F184),"x","")</f>
        <v/>
      </c>
      <c r="X184" s="525" t="str">
        <f>IF(AND('341-CT'!$E$9=H184,OR(LEFT(L184,3)=$X$7,LEFT(M184,3)=$X$7)),"x","")</f>
        <v/>
      </c>
      <c r="Y184" s="525" t="str">
        <f>IF(OR(TH!L184=TH!$Y$7,M184=TH!$Y$7),"x","")</f>
        <v/>
      </c>
      <c r="Z184" s="525" t="str">
        <f>IF(AND(B184&lt;=NKC!$N$8,B184&gt;=NKC!$M$8),"x","")</f>
        <v>x</v>
      </c>
      <c r="AA184" s="535">
        <v>1</v>
      </c>
    </row>
    <row r="185" spans="1:28" s="503" customFormat="1" ht="15.75" customHeight="1">
      <c r="A185" s="517" t="str">
        <f>IF(B185&lt;&gt;"",IF(AND(B185&gt;=_TM1,B185&lt;=_TM2,OR(TH!L185="1111",TH!M185="1111")),TH!D185,""),"")</f>
        <v/>
      </c>
      <c r="B185" s="531">
        <f t="shared" si="18"/>
        <v>2</v>
      </c>
      <c r="C185" s="315">
        <f t="shared" si="17"/>
        <v>42793</v>
      </c>
      <c r="D185" s="315" t="s">
        <v>461</v>
      </c>
      <c r="E185" s="288">
        <v>42793</v>
      </c>
      <c r="F185" s="249" t="s">
        <v>468</v>
      </c>
      <c r="G185" s="314" t="s">
        <v>290</v>
      </c>
      <c r="H185" s="473" t="s">
        <v>271</v>
      </c>
      <c r="I185" s="307"/>
      <c r="J185" s="307"/>
      <c r="K185" s="532">
        <v>13547465</v>
      </c>
      <c r="L185" s="534" t="s">
        <v>8</v>
      </c>
      <c r="M185" s="533" t="s">
        <v>24</v>
      </c>
      <c r="N185" s="525" t="str">
        <f>IF(AND('331-CT'!$E$7=TH!H185,OR(L185="331",M185="331")),"331",IF(AND(OR(L185="131",M185="131"),H185='131-CT'!$E$7),"131",""))</f>
        <v>331</v>
      </c>
      <c r="O185" s="525" t="str">
        <f>IF(AND($B185&gt;='111'!$N$11,$B185&lt;='111'!$O$11,OR($L185=$O$7,$M185=$O$7)),"x","")</f>
        <v/>
      </c>
      <c r="P185" s="525" t="str">
        <f>IF(AND($L185=$O$7,$B185&lt;'111'!$N$11),"x","")</f>
        <v/>
      </c>
      <c r="Q185" s="525" t="str">
        <f>IF(AND($M185=$O$7,$B185&lt;'111'!$N$11),"x","")</f>
        <v/>
      </c>
      <c r="R185" s="525" t="str">
        <f>IF(ISERROR(FIND('112'!$M$9,G185,1)),"",IF((AND(FIND('112'!$M$9,G185,1)&gt;=1,$B185&gt;='112'!$N$8,$B185&lt;='112'!$O$8,OR($L185='112'!$I$6,$M185='112'!$I$6))),"x",""))</f>
        <v/>
      </c>
      <c r="S185" s="525" t="str">
        <f>IF(ISERROR(FIND('112'!$M$9,G185,1)),"",IF((AND(LEFT(G185,2)=LEFT('112'!$M$9,2),B185&lt;'112'!$N$8,$L185='112'!$I$6)),"x",""))</f>
        <v/>
      </c>
      <c r="T185" s="525" t="str">
        <f>IF(ISERROR(FIND('112'!$M$9,G185,1)),"",IF((AND(RIGHT(G185,2)=RIGHT('112'!$M$9,2),B185&lt;'112'!$N$8,$M185='112'!$I$6)),"x",""))</f>
        <v/>
      </c>
      <c r="U185" s="525" t="str">
        <f>IF(AND(B185&gt;='IN-NX'!$P$3,B185&lt;='IN-NX'!$Q$3,'IN-NX'!$D$7=D185,OR(LEFT(L185,2)="15",AND(LEFT(M185,2)&lt;&gt;"15",LEFT(M185,2)&lt;&gt;"33"))),"x","")</f>
        <v/>
      </c>
      <c r="V185" s="525" t="str">
        <f>IF(AND(OR(LEFT(TH!L185,2)="15",LEFT(TH!M185,2)="15"),'152-CT'!$J$8=TH!F185),"x","")</f>
        <v/>
      </c>
      <c r="W185" s="525" t="str">
        <f>IF(AND(OR(LEFT(TH!L185,2)="15",LEFT(TH!M185,2)="15"),TK!$E$7=TH!F185),"x","")</f>
        <v/>
      </c>
      <c r="X185" s="525" t="str">
        <f>IF(AND('341-CT'!$E$9=H185,OR(LEFT(L185,3)=$X$7,LEFT(M185,3)=$X$7)),"x","")</f>
        <v/>
      </c>
      <c r="Y185" s="525" t="str">
        <f>IF(OR(TH!L185=TH!$Y$7,M185=TH!$Y$7),"x","")</f>
        <v/>
      </c>
      <c r="Z185" s="525" t="str">
        <f>IF(AND(B185&lt;=NKC!$N$8,B185&gt;=NKC!$M$8),"x","")</f>
        <v>x</v>
      </c>
      <c r="AA185" s="535"/>
    </row>
    <row r="186" spans="1:28" s="503" customFormat="1" ht="15.75" customHeight="1">
      <c r="A186" s="517" t="str">
        <f>IF(B186&lt;&gt;"",IF(AND(B186&gt;=_TM1,B186&lt;=_TM2,OR(TH!L186="1111",TH!M186="1111")),TH!D186,""),"")</f>
        <v/>
      </c>
      <c r="B186" s="531">
        <f t="shared" si="18"/>
        <v>3</v>
      </c>
      <c r="C186" s="315">
        <f t="shared" si="17"/>
        <v>42796</v>
      </c>
      <c r="D186" s="315" t="s">
        <v>456</v>
      </c>
      <c r="E186" s="288">
        <v>42796</v>
      </c>
      <c r="F186" s="248" t="s">
        <v>457</v>
      </c>
      <c r="G186" s="314" t="s">
        <v>290</v>
      </c>
      <c r="H186" s="473" t="s">
        <v>420</v>
      </c>
      <c r="I186" s="307"/>
      <c r="J186" s="307"/>
      <c r="K186" s="532">
        <v>87191366</v>
      </c>
      <c r="L186" s="533" t="s">
        <v>24</v>
      </c>
      <c r="M186" s="533" t="s">
        <v>223</v>
      </c>
      <c r="N186" s="525" t="str">
        <f>IF(AND('331-CT'!$E$7=TH!H186,OR(L186="331",M186="331")),"331",IF(AND(OR(L186="131",M186="131"),H186='131-CT'!$E$7),"131",""))</f>
        <v>131</v>
      </c>
      <c r="O186" s="525" t="str">
        <f>IF(AND($B186&gt;='111'!$N$11,$B186&lt;='111'!$O$11,OR($L186=$O$7,$M186=$O$7)),"x","")</f>
        <v/>
      </c>
      <c r="P186" s="525" t="str">
        <f>IF(AND($L186=$O$7,$B186&lt;'111'!$N$11),"x","")</f>
        <v/>
      </c>
      <c r="Q186" s="525" t="str">
        <f>IF(AND($M186=$O$7,$B186&lt;'111'!$N$11),"x","")</f>
        <v/>
      </c>
      <c r="R186" s="525" t="str">
        <f>IF(ISERROR(FIND('112'!$M$9,G186,1)),"",IF((AND(FIND('112'!$M$9,G186,1)&gt;=1,$B186&gt;='112'!$N$8,$B186&lt;='112'!$O$8,OR($L186='112'!$I$6,$M186='112'!$I$6))),"x",""))</f>
        <v/>
      </c>
      <c r="S186" s="525" t="str">
        <f>IF(ISERROR(FIND('112'!$M$9,G186,1)),"",IF((AND(LEFT(G186,2)=LEFT('112'!$M$9,2),B186&lt;'112'!$N$8,$L186='112'!$I$6)),"x",""))</f>
        <v/>
      </c>
      <c r="T186" s="525" t="str">
        <f>IF(ISERROR(FIND('112'!$M$9,G186,1)),"",IF((AND(RIGHT(G186,2)=RIGHT('112'!$M$9,2),B186&lt;'112'!$N$8,$M186='112'!$I$6)),"x",""))</f>
        <v/>
      </c>
      <c r="U186" s="525" t="str">
        <f>IF(AND(B186&gt;='IN-NX'!$P$3,B186&lt;='IN-NX'!$Q$3,'IN-NX'!$D$7=D186,OR(LEFT(L186,2)="15",AND(LEFT(M186,2)&lt;&gt;"15",LEFT(M186,2)&lt;&gt;"33"))),"x","")</f>
        <v/>
      </c>
      <c r="V186" s="525" t="str">
        <f>IF(AND(OR(LEFT(TH!L186,2)="15",LEFT(TH!M186,2)="15"),'152-CT'!$J$8=TH!F186),"x","")</f>
        <v/>
      </c>
      <c r="W186" s="525" t="str">
        <f>IF(AND(OR(LEFT(TH!L186,2)="15",LEFT(TH!M186,2)="15"),TK!$E$7=TH!F186),"x","")</f>
        <v/>
      </c>
      <c r="X186" s="525" t="str">
        <f>IF(AND('341-CT'!$E$9=H186,OR(LEFT(L186,3)=$X$7,LEFT(M186,3)=$X$7)),"x","")</f>
        <v/>
      </c>
      <c r="Y186" s="525" t="str">
        <f>IF(OR(TH!L186=TH!$Y$7,M186=TH!$Y$7),"x","")</f>
        <v/>
      </c>
      <c r="Z186" s="525" t="str">
        <f>IF(AND(B186&lt;=NKC!$N$8,B186&gt;=NKC!$M$8),"x","")</f>
        <v>x</v>
      </c>
      <c r="AA186" s="535"/>
    </row>
    <row r="187" spans="1:28" s="503" customFormat="1" ht="15.75" customHeight="1">
      <c r="A187" s="517" t="str">
        <f>IF(B187&lt;&gt;"",IF(AND(B187&gt;=_TM1,B187&lt;=_TM2,OR(TH!L187="1111",TH!M187="1111")),TH!D187,""),"")</f>
        <v>GBC</v>
      </c>
      <c r="B187" s="531">
        <f t="shared" si="18"/>
        <v>3</v>
      </c>
      <c r="C187" s="315">
        <f t="shared" si="17"/>
        <v>42797</v>
      </c>
      <c r="D187" s="315" t="s">
        <v>456</v>
      </c>
      <c r="E187" s="288">
        <v>42797</v>
      </c>
      <c r="F187" s="249" t="s">
        <v>459</v>
      </c>
      <c r="G187" s="314" t="s">
        <v>290</v>
      </c>
      <c r="H187" s="473" t="s">
        <v>460</v>
      </c>
      <c r="I187" s="307"/>
      <c r="J187" s="307"/>
      <c r="K187" s="532">
        <v>1778500000</v>
      </c>
      <c r="L187" s="533" t="s">
        <v>24</v>
      </c>
      <c r="M187" s="533" t="s">
        <v>45</v>
      </c>
      <c r="N187" s="525" t="str">
        <f>IF(AND('331-CT'!$E$7=TH!H187,OR(L187="331",M187="331")),"331",IF(AND(OR(L187="131",M187="131"),H187='131-CT'!$E$7),"131",""))</f>
        <v/>
      </c>
      <c r="O187" s="525" t="str">
        <f>IF(AND($B187&gt;='111'!$N$11,$B187&lt;='111'!$O$11,OR($L187=$O$7,$M187=$O$7)),"x","")</f>
        <v/>
      </c>
      <c r="P187" s="525" t="str">
        <f>IF(AND($L187=$O$7,$B187&lt;'111'!$N$11),"x","")</f>
        <v/>
      </c>
      <c r="Q187" s="525" t="str">
        <f>IF(AND($M187=$O$7,$B187&lt;'111'!$N$11),"x","")</f>
        <v>x</v>
      </c>
      <c r="R187" s="525" t="str">
        <f>IF(ISERROR(FIND('112'!$M$9,G187,1)),"",IF((AND(FIND('112'!$M$9,G187,1)&gt;=1,$B187&gt;='112'!$N$8,$B187&lt;='112'!$O$8,OR($L187='112'!$I$6,$M187='112'!$I$6))),"x",""))</f>
        <v/>
      </c>
      <c r="S187" s="525" t="str">
        <f>IF(ISERROR(FIND('112'!$M$9,G187,1)),"",IF((AND(LEFT(G187,2)=LEFT('112'!$M$9,2),B187&lt;'112'!$N$8,$L187='112'!$I$6)),"x",""))</f>
        <v/>
      </c>
      <c r="T187" s="525" t="str">
        <f>IF(ISERROR(FIND('112'!$M$9,G187,1)),"",IF((AND(RIGHT(G187,2)=RIGHT('112'!$M$9,2),B187&lt;'112'!$N$8,$M187='112'!$I$6)),"x",""))</f>
        <v/>
      </c>
      <c r="U187" s="525" t="str">
        <f>IF(AND(B187&gt;='IN-NX'!$P$3,B187&lt;='IN-NX'!$Q$3,'IN-NX'!$D$7=D187,OR(LEFT(L187,2)="15",AND(LEFT(M187,2)&lt;&gt;"15",LEFT(M187,2)&lt;&gt;"33"))),"x","")</f>
        <v/>
      </c>
      <c r="V187" s="525" t="str">
        <f>IF(AND(OR(LEFT(TH!L187,2)="15",LEFT(TH!M187,2)="15"),'152-CT'!$J$8=TH!F187),"x","")</f>
        <v/>
      </c>
      <c r="W187" s="525" t="str">
        <f>IF(AND(OR(LEFT(TH!L187,2)="15",LEFT(TH!M187,2)="15"),TK!$E$7=TH!F187),"x","")</f>
        <v/>
      </c>
      <c r="X187" s="525" t="str">
        <f>IF(AND('341-CT'!$E$9=H187,OR(LEFT(L187,3)=$X$7,LEFT(M187,3)=$X$7)),"x","")</f>
        <v/>
      </c>
      <c r="Y187" s="525" t="str">
        <f>IF(OR(TH!L187=TH!$Y$7,M187=TH!$Y$7),"x","")</f>
        <v/>
      </c>
      <c r="Z187" s="525" t="str">
        <f>IF(AND(B187&lt;=NKC!$N$8,B187&gt;=NKC!$M$8),"x","")</f>
        <v>x</v>
      </c>
      <c r="AA187" s="535"/>
    </row>
    <row r="188" spans="1:28" s="503" customFormat="1" ht="15.75" customHeight="1">
      <c r="A188" s="517" t="str">
        <f>IF(B188&lt;&gt;"",IF(AND(B188&gt;=_TM1,B188&lt;=_TM2,OR(TH!L188="1111",TH!M188="1111")),TH!D188,""),"")</f>
        <v>GBC</v>
      </c>
      <c r="B188" s="531">
        <f t="shared" si="18"/>
        <v>3</v>
      </c>
      <c r="C188" s="315">
        <f t="shared" si="17"/>
        <v>42797</v>
      </c>
      <c r="D188" s="315" t="s">
        <v>456</v>
      </c>
      <c r="E188" s="288">
        <v>42797</v>
      </c>
      <c r="F188" s="249" t="s">
        <v>459</v>
      </c>
      <c r="G188" s="314" t="s">
        <v>290</v>
      </c>
      <c r="H188" s="473" t="s">
        <v>460</v>
      </c>
      <c r="I188" s="307"/>
      <c r="J188" s="307"/>
      <c r="K188" s="532">
        <v>1000000</v>
      </c>
      <c r="L188" s="533" t="s">
        <v>24</v>
      </c>
      <c r="M188" s="533" t="s">
        <v>45</v>
      </c>
      <c r="N188" s="525" t="str">
        <f>IF(AND('331-CT'!$E$7=TH!H188,OR(L188="331",M188="331")),"331",IF(AND(OR(L188="131",M188="131"),H188='131-CT'!$E$7),"131",""))</f>
        <v/>
      </c>
      <c r="O188" s="525" t="str">
        <f>IF(AND($B188&gt;='111'!$N$11,$B188&lt;='111'!$O$11,OR($L188=$O$7,$M188=$O$7)),"x","")</f>
        <v/>
      </c>
      <c r="P188" s="525" t="str">
        <f>IF(AND($L188=$O$7,$B188&lt;'111'!$N$11),"x","")</f>
        <v/>
      </c>
      <c r="Q188" s="525" t="str">
        <f>IF(AND($M188=$O$7,$B188&lt;'111'!$N$11),"x","")</f>
        <v>x</v>
      </c>
      <c r="R188" s="525" t="str">
        <f>IF(ISERROR(FIND('112'!$M$9,G188,1)),"",IF((AND(FIND('112'!$M$9,G188,1)&gt;=1,$B188&gt;='112'!$N$8,$B188&lt;='112'!$O$8,OR($L188='112'!$I$6,$M188='112'!$I$6))),"x",""))</f>
        <v/>
      </c>
      <c r="S188" s="525" t="str">
        <f>IF(ISERROR(FIND('112'!$M$9,G188,1)),"",IF((AND(LEFT(G188,2)=LEFT('112'!$M$9,2),B188&lt;'112'!$N$8,$L188='112'!$I$6)),"x",""))</f>
        <v/>
      </c>
      <c r="T188" s="525" t="str">
        <f>IF(ISERROR(FIND('112'!$M$9,G188,1)),"",IF((AND(RIGHT(G188,2)=RIGHT('112'!$M$9,2),B188&lt;'112'!$N$8,$M188='112'!$I$6)),"x",""))</f>
        <v/>
      </c>
      <c r="U188" s="525" t="str">
        <f>IF(AND(B188&gt;='IN-NX'!$P$3,B188&lt;='IN-NX'!$Q$3,'IN-NX'!$D$7=D188,OR(LEFT(L188,2)="15",AND(LEFT(M188,2)&lt;&gt;"15",LEFT(M188,2)&lt;&gt;"33"))),"x","")</f>
        <v/>
      </c>
      <c r="V188" s="525" t="str">
        <f>IF(AND(OR(LEFT(TH!L188,2)="15",LEFT(TH!M188,2)="15"),'152-CT'!$J$8=TH!F188),"x","")</f>
        <v/>
      </c>
      <c r="W188" s="525" t="str">
        <f>IF(AND(OR(LEFT(TH!L188,2)="15",LEFT(TH!M188,2)="15"),TK!$E$7=TH!F188),"x","")</f>
        <v/>
      </c>
      <c r="X188" s="525" t="str">
        <f>IF(AND('341-CT'!$E$9=H188,OR(LEFT(L188,3)=$X$7,LEFT(M188,3)=$X$7)),"x","")</f>
        <v/>
      </c>
      <c r="Y188" s="525" t="str">
        <f>IF(OR(TH!L188=TH!$Y$7,M188=TH!$Y$7),"x","")</f>
        <v/>
      </c>
      <c r="Z188" s="525" t="str">
        <f>IF(AND(B188&lt;=NKC!$N$8,B188&gt;=NKC!$M$8),"x","")</f>
        <v>x</v>
      </c>
      <c r="AA188" s="535"/>
      <c r="AB188" s="536"/>
    </row>
    <row r="189" spans="1:28" s="503" customFormat="1" ht="15.75" customHeight="1">
      <c r="A189" s="517" t="str">
        <f>IF(B189&lt;&gt;"",IF(AND(B189&gt;=_TM1,B189&lt;=_TM2,OR(TH!L189="1111",TH!M189="1111")),TH!D189,""),"")</f>
        <v/>
      </c>
      <c r="B189" s="531">
        <f t="shared" si="18"/>
        <v>3</v>
      </c>
      <c r="C189" s="315">
        <f t="shared" ref="C189:C217" si="19">E189</f>
        <v>42802</v>
      </c>
      <c r="D189" s="315" t="s">
        <v>456</v>
      </c>
      <c r="E189" s="288">
        <v>42802</v>
      </c>
      <c r="F189" s="248" t="s">
        <v>457</v>
      </c>
      <c r="G189" s="314" t="s">
        <v>290</v>
      </c>
      <c r="H189" s="473" t="s">
        <v>283</v>
      </c>
      <c r="I189" s="307"/>
      <c r="J189" s="307"/>
      <c r="K189" s="532">
        <v>150000000</v>
      </c>
      <c r="L189" s="533" t="s">
        <v>24</v>
      </c>
      <c r="M189" s="533" t="s">
        <v>223</v>
      </c>
      <c r="N189" s="525" t="str">
        <f>IF(AND('331-CT'!$E$7=TH!H189,OR(L189="331",M189="331")),"331",IF(AND(OR(L189="131",M189="131"),H189='131-CT'!$E$7),"131",""))</f>
        <v/>
      </c>
      <c r="O189" s="525" t="str">
        <f>IF(AND($B189&gt;='111'!$N$11,$B189&lt;='111'!$O$11,OR($L189=$O$7,$M189=$O$7)),"x","")</f>
        <v/>
      </c>
      <c r="P189" s="525" t="str">
        <f>IF(AND($L189=$O$7,$B189&lt;'111'!$N$11),"x","")</f>
        <v/>
      </c>
      <c r="Q189" s="525" t="str">
        <f>IF(AND($M189=$O$7,$B189&lt;'111'!$N$11),"x","")</f>
        <v/>
      </c>
      <c r="R189" s="525" t="str">
        <f>IF(ISERROR(FIND('112'!$M$9,G189,1)),"",IF((AND(FIND('112'!$M$9,G189,1)&gt;=1,$B189&gt;='112'!$N$8,$B189&lt;='112'!$O$8,OR($L189='112'!$I$6,$M189='112'!$I$6))),"x",""))</f>
        <v/>
      </c>
      <c r="S189" s="525" t="str">
        <f>IF(ISERROR(FIND('112'!$M$9,G189,1)),"",IF((AND(LEFT(G189,2)=LEFT('112'!$M$9,2),B189&lt;'112'!$N$8,$L189='112'!$I$6)),"x",""))</f>
        <v/>
      </c>
      <c r="T189" s="525" t="str">
        <f>IF(ISERROR(FIND('112'!$M$9,G189,1)),"",IF((AND(RIGHT(G189,2)=RIGHT('112'!$M$9,2),B189&lt;'112'!$N$8,$M189='112'!$I$6)),"x",""))</f>
        <v/>
      </c>
      <c r="U189" s="525" t="str">
        <f>IF(AND(B189&gt;='IN-NX'!$P$3,B189&lt;='IN-NX'!$Q$3,'IN-NX'!$D$7=D189,OR(LEFT(L189,2)="15",AND(LEFT(M189,2)&lt;&gt;"15",LEFT(M189,2)&lt;&gt;"33"))),"x","")</f>
        <v/>
      </c>
      <c r="V189" s="525" t="str">
        <f>IF(AND(OR(LEFT(TH!L189,2)="15",LEFT(TH!M189,2)="15"),'152-CT'!$J$8=TH!F189),"x","")</f>
        <v/>
      </c>
      <c r="W189" s="525" t="str">
        <f>IF(AND(OR(LEFT(TH!L189,2)="15",LEFT(TH!M189,2)="15"),TK!$E$7=TH!F189),"x","")</f>
        <v/>
      </c>
      <c r="X189" s="525" t="str">
        <f>IF(AND('341-CT'!$E$9=H189,OR(LEFT(L189,3)=$X$7,LEFT(M189,3)=$X$7)),"x","")</f>
        <v/>
      </c>
      <c r="Y189" s="525" t="str">
        <f>IF(OR(TH!L189=TH!$Y$7,M189=TH!$Y$7),"x","")</f>
        <v/>
      </c>
      <c r="Z189" s="525" t="str">
        <f>IF(AND(B189&lt;=NKC!$N$8,B189&gt;=NKC!$M$8),"x","")</f>
        <v>x</v>
      </c>
      <c r="AA189" s="535"/>
    </row>
    <row r="190" spans="1:28" s="503" customFormat="1" ht="15.75" customHeight="1">
      <c r="A190" s="517" t="str">
        <f>IF(B190&lt;&gt;"",IF(AND(B190&gt;=_TM1,B190&lt;=_TM2,OR(TH!L190="1111",TH!M190="1111")),TH!D190,""),"")</f>
        <v/>
      </c>
      <c r="B190" s="531">
        <f t="shared" si="18"/>
        <v>3</v>
      </c>
      <c r="C190" s="315">
        <f t="shared" si="19"/>
        <v>42802</v>
      </c>
      <c r="D190" s="315" t="s">
        <v>456</v>
      </c>
      <c r="E190" s="288">
        <v>42802</v>
      </c>
      <c r="F190" s="248" t="s">
        <v>457</v>
      </c>
      <c r="G190" s="314" t="s">
        <v>290</v>
      </c>
      <c r="H190" s="473" t="s">
        <v>283</v>
      </c>
      <c r="I190" s="307"/>
      <c r="J190" s="307"/>
      <c r="K190" s="532">
        <v>154260000</v>
      </c>
      <c r="L190" s="533" t="s">
        <v>24</v>
      </c>
      <c r="M190" s="533" t="s">
        <v>223</v>
      </c>
      <c r="N190" s="525" t="str">
        <f>IF(AND('331-CT'!$E$7=TH!H190,OR(L190="331",M190="331")),"331",IF(AND(OR(L190="131",M190="131"),H190='131-CT'!$E$7),"131",""))</f>
        <v/>
      </c>
      <c r="O190" s="525" t="str">
        <f>IF(AND($B190&gt;='111'!$N$11,$B190&lt;='111'!$O$11,OR($L190=$O$7,$M190=$O$7)),"x","")</f>
        <v/>
      </c>
      <c r="P190" s="525" t="str">
        <f>IF(AND($L190=$O$7,$B190&lt;'111'!$N$11),"x","")</f>
        <v/>
      </c>
      <c r="Q190" s="525" t="str">
        <f>IF(AND($M190=$O$7,$B190&lt;'111'!$N$11),"x","")</f>
        <v/>
      </c>
      <c r="R190" s="525" t="str">
        <f>IF(ISERROR(FIND('112'!$M$9,G190,1)),"",IF((AND(FIND('112'!$M$9,G190,1)&gt;=1,$B190&gt;='112'!$N$8,$B190&lt;='112'!$O$8,OR($L190='112'!$I$6,$M190='112'!$I$6))),"x",""))</f>
        <v/>
      </c>
      <c r="S190" s="525" t="str">
        <f>IF(ISERROR(FIND('112'!$M$9,G190,1)),"",IF((AND(LEFT(G190,2)=LEFT('112'!$M$9,2),B190&lt;'112'!$N$8,$L190='112'!$I$6)),"x",""))</f>
        <v/>
      </c>
      <c r="T190" s="525" t="str">
        <f>IF(ISERROR(FIND('112'!$M$9,G190,1)),"",IF((AND(RIGHT(G190,2)=RIGHT('112'!$M$9,2),B190&lt;'112'!$N$8,$M190='112'!$I$6)),"x",""))</f>
        <v/>
      </c>
      <c r="U190" s="525" t="str">
        <f>IF(AND(B190&gt;='IN-NX'!$P$3,B190&lt;='IN-NX'!$Q$3,'IN-NX'!$D$7=D190,OR(LEFT(L190,2)="15",AND(LEFT(M190,2)&lt;&gt;"15",LEFT(M190,2)&lt;&gt;"33"))),"x","")</f>
        <v/>
      </c>
      <c r="V190" s="525" t="str">
        <f>IF(AND(OR(LEFT(TH!L190,2)="15",LEFT(TH!M190,2)="15"),'152-CT'!$J$8=TH!F190),"x","")</f>
        <v/>
      </c>
      <c r="W190" s="525" t="str">
        <f>IF(AND(OR(LEFT(TH!L190,2)="15",LEFT(TH!M190,2)="15"),TK!$E$7=TH!F190),"x","")</f>
        <v/>
      </c>
      <c r="X190" s="525" t="str">
        <f>IF(AND('341-CT'!$E$9=H190,OR(LEFT(L190,3)=$X$7,LEFT(M190,3)=$X$7)),"x","")</f>
        <v/>
      </c>
      <c r="Y190" s="525" t="str">
        <f>IF(OR(TH!L190=TH!$Y$7,M190=TH!$Y$7),"x","")</f>
        <v/>
      </c>
      <c r="Z190" s="525" t="str">
        <f>IF(AND(B190&lt;=NKC!$N$8,B190&gt;=NKC!$M$8),"x","")</f>
        <v>x</v>
      </c>
      <c r="AA190" s="535"/>
    </row>
    <row r="191" spans="1:28" s="503" customFormat="1" ht="15.75" customHeight="1">
      <c r="A191" s="517" t="str">
        <f>IF(B191&lt;&gt;"",IF(AND(B191&gt;=_TM1,B191&lt;=_TM2,OR(TH!L191="1111",TH!M191="1111")),TH!D191,""),"")</f>
        <v/>
      </c>
      <c r="B191" s="531">
        <f t="shared" si="18"/>
        <v>3</v>
      </c>
      <c r="C191" s="315">
        <f t="shared" si="19"/>
        <v>42804</v>
      </c>
      <c r="D191" s="315" t="s">
        <v>456</v>
      </c>
      <c r="E191" s="288">
        <v>42804</v>
      </c>
      <c r="F191" s="248" t="s">
        <v>457</v>
      </c>
      <c r="G191" s="314" t="s">
        <v>290</v>
      </c>
      <c r="H191" s="473" t="s">
        <v>394</v>
      </c>
      <c r="I191" s="307"/>
      <c r="J191" s="307"/>
      <c r="K191" s="532">
        <v>5287700</v>
      </c>
      <c r="L191" s="533" t="s">
        <v>24</v>
      </c>
      <c r="M191" s="533" t="s">
        <v>223</v>
      </c>
      <c r="N191" s="525" t="str">
        <f>IF(AND('331-CT'!$E$7=TH!H191,OR(L191="331",M191="331")),"331",IF(AND(OR(L191="131",M191="131"),H191='131-CT'!$E$7),"131",""))</f>
        <v/>
      </c>
      <c r="O191" s="525" t="str">
        <f>IF(AND($B191&gt;='111'!$N$11,$B191&lt;='111'!$O$11,OR($L191=$O$7,$M191=$O$7)),"x","")</f>
        <v/>
      </c>
      <c r="P191" s="525" t="str">
        <f>IF(AND($L191=$O$7,$B191&lt;'111'!$N$11),"x","")</f>
        <v/>
      </c>
      <c r="Q191" s="525" t="str">
        <f>IF(AND($M191=$O$7,$B191&lt;'111'!$N$11),"x","")</f>
        <v/>
      </c>
      <c r="R191" s="525" t="str">
        <f>IF(ISERROR(FIND('112'!$M$9,G191,1)),"",IF((AND(FIND('112'!$M$9,G191,1)&gt;=1,$B191&gt;='112'!$N$8,$B191&lt;='112'!$O$8,OR($L191='112'!$I$6,$M191='112'!$I$6))),"x",""))</f>
        <v/>
      </c>
      <c r="S191" s="525" t="str">
        <f>IF(ISERROR(FIND('112'!$M$9,G191,1)),"",IF((AND(LEFT(G191,2)=LEFT('112'!$M$9,2),B191&lt;'112'!$N$8,$L191='112'!$I$6)),"x",""))</f>
        <v/>
      </c>
      <c r="T191" s="525" t="str">
        <f>IF(ISERROR(FIND('112'!$M$9,G191,1)),"",IF((AND(RIGHT(G191,2)=RIGHT('112'!$M$9,2),B191&lt;'112'!$N$8,$M191='112'!$I$6)),"x",""))</f>
        <v/>
      </c>
      <c r="U191" s="525" t="str">
        <f>IF(AND(B191&gt;='IN-NX'!$P$3,B191&lt;='IN-NX'!$Q$3,'IN-NX'!$D$7=D191,OR(LEFT(L191,2)="15",AND(LEFT(M191,2)&lt;&gt;"15",LEFT(M191,2)&lt;&gt;"33"))),"x","")</f>
        <v/>
      </c>
      <c r="V191" s="525" t="str">
        <f>IF(AND(OR(LEFT(TH!L191,2)="15",LEFT(TH!M191,2)="15"),'152-CT'!$J$8=TH!F191),"x","")</f>
        <v/>
      </c>
      <c r="W191" s="525" t="str">
        <f>IF(AND(OR(LEFT(TH!L191,2)="15",LEFT(TH!M191,2)="15"),TK!$E$7=TH!F191),"x","")</f>
        <v/>
      </c>
      <c r="X191" s="525" t="str">
        <f>IF(AND('341-CT'!$E$9=H191,OR(LEFT(L191,3)=$X$7,LEFT(M191,3)=$X$7)),"x","")</f>
        <v/>
      </c>
      <c r="Y191" s="525" t="str">
        <f>IF(OR(TH!L191=TH!$Y$7,M191=TH!$Y$7),"x","")</f>
        <v/>
      </c>
      <c r="Z191" s="525" t="str">
        <f>IF(AND(B191&lt;=NKC!$N$8,B191&gt;=NKC!$M$8),"x","")</f>
        <v>x</v>
      </c>
      <c r="AA191" s="535"/>
    </row>
    <row r="192" spans="1:28" s="503" customFormat="1" ht="15.75" customHeight="1">
      <c r="A192" s="517" t="str">
        <f>IF(B192&lt;&gt;"",IF(AND(B192&gt;=_TM1,B192&lt;=_TM2,OR(TH!L192="1111",TH!M192="1111")),TH!D192,""),"")</f>
        <v/>
      </c>
      <c r="B192" s="531">
        <f t="shared" si="18"/>
        <v>3</v>
      </c>
      <c r="C192" s="315">
        <f t="shared" si="19"/>
        <v>42808</v>
      </c>
      <c r="D192" s="315" t="s">
        <v>456</v>
      </c>
      <c r="E192" s="288">
        <v>42808</v>
      </c>
      <c r="F192" s="248" t="s">
        <v>457</v>
      </c>
      <c r="G192" s="314" t="s">
        <v>290</v>
      </c>
      <c r="H192" s="472" t="s">
        <v>289</v>
      </c>
      <c r="I192" s="307"/>
      <c r="J192" s="307"/>
      <c r="K192" s="532">
        <v>48070000</v>
      </c>
      <c r="L192" s="533" t="s">
        <v>24</v>
      </c>
      <c r="M192" s="533" t="s">
        <v>223</v>
      </c>
      <c r="N192" s="525" t="str">
        <f>IF(AND('331-CT'!$E$7=TH!H192,OR(L192="331",M192="331")),"331",IF(AND(OR(L192="131",M192="131"),H192='131-CT'!$E$7),"131",""))</f>
        <v/>
      </c>
      <c r="O192" s="525" t="str">
        <f>IF(AND($B192&gt;='111'!$N$11,$B192&lt;='111'!$O$11,OR($L192=$O$7,$M192=$O$7)),"x","")</f>
        <v/>
      </c>
      <c r="P192" s="525" t="str">
        <f>IF(AND($L192=$O$7,$B192&lt;'111'!$N$11),"x","")</f>
        <v/>
      </c>
      <c r="Q192" s="525" t="str">
        <f>IF(AND($M192=$O$7,$B192&lt;'111'!$N$11),"x","")</f>
        <v/>
      </c>
      <c r="R192" s="525" t="str">
        <f>IF(ISERROR(FIND('112'!$M$9,G192,1)),"",IF((AND(FIND('112'!$M$9,G192,1)&gt;=1,$B192&gt;='112'!$N$8,$B192&lt;='112'!$O$8,OR($L192='112'!$I$6,$M192='112'!$I$6))),"x",""))</f>
        <v/>
      </c>
      <c r="S192" s="525" t="str">
        <f>IF(ISERROR(FIND('112'!$M$9,G192,1)),"",IF((AND(LEFT(G192,2)=LEFT('112'!$M$9,2),B192&lt;'112'!$N$8,$L192='112'!$I$6)),"x",""))</f>
        <v/>
      </c>
      <c r="T192" s="525" t="str">
        <f>IF(ISERROR(FIND('112'!$M$9,G192,1)),"",IF((AND(RIGHT(G192,2)=RIGHT('112'!$M$9,2),B192&lt;'112'!$N$8,$M192='112'!$I$6)),"x",""))</f>
        <v/>
      </c>
      <c r="U192" s="525" t="str">
        <f>IF(AND(B192&gt;='IN-NX'!$P$3,B192&lt;='IN-NX'!$Q$3,'IN-NX'!$D$7=D192,OR(LEFT(L192,2)="15",AND(LEFT(M192,2)&lt;&gt;"15",LEFT(M192,2)&lt;&gt;"33"))),"x","")</f>
        <v/>
      </c>
      <c r="V192" s="525" t="str">
        <f>IF(AND(OR(LEFT(TH!L192,2)="15",LEFT(TH!M192,2)="15"),'152-CT'!$J$8=TH!F192),"x","")</f>
        <v/>
      </c>
      <c r="W192" s="525" t="str">
        <f>IF(AND(OR(LEFT(TH!L192,2)="15",LEFT(TH!M192,2)="15"),TK!$E$7=TH!F192),"x","")</f>
        <v/>
      </c>
      <c r="X192" s="525" t="str">
        <f>IF(AND('341-CT'!$E$9=H192,OR(LEFT(L192,3)=$X$7,LEFT(M192,3)=$X$7)),"x","")</f>
        <v/>
      </c>
      <c r="Y192" s="525" t="str">
        <f>IF(OR(TH!L192=TH!$Y$7,M192=TH!$Y$7),"x","")</f>
        <v/>
      </c>
      <c r="Z192" s="525" t="str">
        <f>IF(AND(B192&lt;=NKC!$N$8,B192&gt;=NKC!$M$8),"x","")</f>
        <v>x</v>
      </c>
      <c r="AA192" s="535"/>
    </row>
    <row r="193" spans="1:28" s="503" customFormat="1" ht="15.75" customHeight="1">
      <c r="A193" s="517" t="str">
        <f>IF(B193&lt;&gt;"",IF(AND(B193&gt;=_TM1,B193&lt;=_TM2,OR(TH!L193="1111",TH!M193="1111")),TH!D193,""),"")</f>
        <v/>
      </c>
      <c r="B193" s="531">
        <f t="shared" si="18"/>
        <v>3</v>
      </c>
      <c r="C193" s="315">
        <f t="shared" si="19"/>
        <v>42809</v>
      </c>
      <c r="D193" s="315" t="s">
        <v>456</v>
      </c>
      <c r="E193" s="288">
        <v>42809</v>
      </c>
      <c r="F193" s="248" t="s">
        <v>457</v>
      </c>
      <c r="G193" s="314" t="s">
        <v>290</v>
      </c>
      <c r="H193" s="474" t="s">
        <v>280</v>
      </c>
      <c r="I193" s="307"/>
      <c r="J193" s="307"/>
      <c r="K193" s="532">
        <v>5227200</v>
      </c>
      <c r="L193" s="533" t="s">
        <v>24</v>
      </c>
      <c r="M193" s="533" t="s">
        <v>223</v>
      </c>
      <c r="N193" s="525" t="str">
        <f>IF(AND('331-CT'!$E$7=TH!H193,OR(L193="331",M193="331")),"331",IF(AND(OR(L193="131",M193="131"),H193='131-CT'!$E$7),"131",""))</f>
        <v/>
      </c>
      <c r="O193" s="525" t="str">
        <f>IF(AND($B193&gt;='111'!$N$11,$B193&lt;='111'!$O$11,OR($L193=$O$7,$M193=$O$7)),"x","")</f>
        <v/>
      </c>
      <c r="P193" s="525" t="str">
        <f>IF(AND($L193=$O$7,$B193&lt;'111'!$N$11),"x","")</f>
        <v/>
      </c>
      <c r="Q193" s="525" t="str">
        <f>IF(AND($M193=$O$7,$B193&lt;'111'!$N$11),"x","")</f>
        <v/>
      </c>
      <c r="R193" s="525" t="str">
        <f>IF(ISERROR(FIND('112'!$M$9,G193,1)),"",IF((AND(FIND('112'!$M$9,G193,1)&gt;=1,$B193&gt;='112'!$N$8,$B193&lt;='112'!$O$8,OR($L193='112'!$I$6,$M193='112'!$I$6))),"x",""))</f>
        <v/>
      </c>
      <c r="S193" s="525" t="str">
        <f>IF(ISERROR(FIND('112'!$M$9,G193,1)),"",IF((AND(LEFT(G193,2)=LEFT('112'!$M$9,2),B193&lt;'112'!$N$8,$L193='112'!$I$6)),"x",""))</f>
        <v/>
      </c>
      <c r="T193" s="525" t="str">
        <f>IF(ISERROR(FIND('112'!$M$9,G193,1)),"",IF((AND(RIGHT(G193,2)=RIGHT('112'!$M$9,2),B193&lt;'112'!$N$8,$M193='112'!$I$6)),"x",""))</f>
        <v/>
      </c>
      <c r="U193" s="525" t="str">
        <f>IF(AND(B193&gt;='IN-NX'!$P$3,B193&lt;='IN-NX'!$Q$3,'IN-NX'!$D$7=D193,OR(LEFT(L193,2)="15",AND(LEFT(M193,2)&lt;&gt;"15",LEFT(M193,2)&lt;&gt;"33"))),"x","")</f>
        <v/>
      </c>
      <c r="V193" s="525" t="str">
        <f>IF(AND(OR(LEFT(TH!L193,2)="15",LEFT(TH!M193,2)="15"),'152-CT'!$J$8=TH!F193),"x","")</f>
        <v/>
      </c>
      <c r="W193" s="525" t="str">
        <f>IF(AND(OR(LEFT(TH!L193,2)="15",LEFT(TH!M193,2)="15"),TK!$E$7=TH!F193),"x","")</f>
        <v/>
      </c>
      <c r="X193" s="525" t="str">
        <f>IF(AND('341-CT'!$E$9=H193,OR(LEFT(L193,3)=$X$7,LEFT(M193,3)=$X$7)),"x","")</f>
        <v/>
      </c>
      <c r="Y193" s="525" t="str">
        <f>IF(OR(TH!L193=TH!$Y$7,M193=TH!$Y$7),"x","")</f>
        <v/>
      </c>
      <c r="Z193" s="525" t="str">
        <f>IF(AND(B193&lt;=NKC!$N$8,B193&gt;=NKC!$M$8),"x","")</f>
        <v>x</v>
      </c>
      <c r="AA193" s="535"/>
    </row>
    <row r="194" spans="1:28" s="503" customFormat="1" ht="15.75" customHeight="1">
      <c r="A194" s="517" t="str">
        <f>IF(B194&lt;&gt;"",IF(AND(B194&gt;=_TM1,B194&lt;=_TM2,OR(TH!L194="1111",TH!M194="1111")),TH!D194,""),"")</f>
        <v/>
      </c>
      <c r="B194" s="531">
        <f t="shared" si="18"/>
        <v>3</v>
      </c>
      <c r="C194" s="315">
        <f t="shared" si="19"/>
        <v>42810</v>
      </c>
      <c r="D194" s="315" t="s">
        <v>456</v>
      </c>
      <c r="E194" s="288">
        <v>42810</v>
      </c>
      <c r="F194" s="248" t="s">
        <v>457</v>
      </c>
      <c r="G194" s="314" t="s">
        <v>290</v>
      </c>
      <c r="H194" s="473" t="s">
        <v>379</v>
      </c>
      <c r="I194" s="307"/>
      <c r="J194" s="307"/>
      <c r="K194" s="532">
        <v>12277650</v>
      </c>
      <c r="L194" s="533" t="s">
        <v>24</v>
      </c>
      <c r="M194" s="533" t="s">
        <v>223</v>
      </c>
      <c r="N194" s="525" t="str">
        <f>IF(AND('331-CT'!$E$7=TH!H194,OR(L194="331",M194="331")),"331",IF(AND(OR(L194="131",M194="131"),H194='131-CT'!$E$7),"131",""))</f>
        <v/>
      </c>
      <c r="O194" s="525" t="str">
        <f>IF(AND($B194&gt;='111'!$N$11,$B194&lt;='111'!$O$11,OR($L194=$O$7,$M194=$O$7)),"x","")</f>
        <v/>
      </c>
      <c r="P194" s="525" t="str">
        <f>IF(AND($L194=$O$7,$B194&lt;'111'!$N$11),"x","")</f>
        <v/>
      </c>
      <c r="Q194" s="525" t="str">
        <f>IF(AND($M194=$O$7,$B194&lt;'111'!$N$11),"x","")</f>
        <v/>
      </c>
      <c r="R194" s="525" t="str">
        <f>IF(ISERROR(FIND('112'!$M$9,G194,1)),"",IF((AND(FIND('112'!$M$9,G194,1)&gt;=1,$B194&gt;='112'!$N$8,$B194&lt;='112'!$O$8,OR($L194='112'!$I$6,$M194='112'!$I$6))),"x",""))</f>
        <v/>
      </c>
      <c r="S194" s="525" t="str">
        <f>IF(ISERROR(FIND('112'!$M$9,G194,1)),"",IF((AND(LEFT(G194,2)=LEFT('112'!$M$9,2),B194&lt;'112'!$N$8,$L194='112'!$I$6)),"x",""))</f>
        <v/>
      </c>
      <c r="T194" s="525" t="str">
        <f>IF(ISERROR(FIND('112'!$M$9,G194,1)),"",IF((AND(RIGHT(G194,2)=RIGHT('112'!$M$9,2),B194&lt;'112'!$N$8,$M194='112'!$I$6)),"x",""))</f>
        <v/>
      </c>
      <c r="U194" s="525" t="str">
        <f>IF(AND(B194&gt;='IN-NX'!$P$3,B194&lt;='IN-NX'!$Q$3,'IN-NX'!$D$7=D194,OR(LEFT(L194,2)="15",AND(LEFT(M194,2)&lt;&gt;"15",LEFT(M194,2)&lt;&gt;"33"))),"x","")</f>
        <v/>
      </c>
      <c r="V194" s="525" t="str">
        <f>IF(AND(OR(LEFT(TH!L194,2)="15",LEFT(TH!M194,2)="15"),'152-CT'!$J$8=TH!F194),"x","")</f>
        <v/>
      </c>
      <c r="W194" s="525" t="str">
        <f>IF(AND(OR(LEFT(TH!L194,2)="15",LEFT(TH!M194,2)="15"),TK!$E$7=TH!F194),"x","")</f>
        <v/>
      </c>
      <c r="X194" s="525" t="str">
        <f>IF(AND('341-CT'!$E$9=H194,OR(LEFT(L194,3)=$X$7,LEFT(M194,3)=$X$7)),"x","")</f>
        <v/>
      </c>
      <c r="Y194" s="525" t="str">
        <f>IF(OR(TH!L194=TH!$Y$7,M194=TH!$Y$7),"x","")</f>
        <v/>
      </c>
      <c r="Z194" s="525" t="str">
        <f>IF(AND(B194&lt;=NKC!$N$8,B194&gt;=NKC!$M$8),"x","")</f>
        <v>x</v>
      </c>
      <c r="AA194" s="535"/>
    </row>
    <row r="195" spans="1:28" s="503" customFormat="1" ht="15.75" customHeight="1">
      <c r="A195" s="517" t="str">
        <f>IF(B195&lt;&gt;"",IF(AND(B195&gt;=_TM1,B195&lt;=_TM2,OR(TH!L195="1111",TH!M195="1111")),TH!D195,""),"")</f>
        <v/>
      </c>
      <c r="B195" s="531">
        <f t="shared" si="18"/>
        <v>3</v>
      </c>
      <c r="C195" s="315">
        <f t="shared" si="19"/>
        <v>42814</v>
      </c>
      <c r="D195" s="315" t="s">
        <v>456</v>
      </c>
      <c r="E195" s="288">
        <v>42814</v>
      </c>
      <c r="F195" s="248" t="s">
        <v>457</v>
      </c>
      <c r="G195" s="314" t="s">
        <v>290</v>
      </c>
      <c r="H195" s="473" t="s">
        <v>776</v>
      </c>
      <c r="I195" s="307"/>
      <c r="J195" s="307"/>
      <c r="K195" s="532">
        <v>1900000</v>
      </c>
      <c r="L195" s="533" t="s">
        <v>24</v>
      </c>
      <c r="M195" s="533" t="s">
        <v>223</v>
      </c>
      <c r="N195" s="525" t="str">
        <f>IF(AND('331-CT'!$E$7=TH!H195,OR(L195="331",M195="331")),"331",IF(AND(OR(L195="131",M195="131"),H195='131-CT'!$E$7),"131",""))</f>
        <v/>
      </c>
      <c r="O195" s="525" t="str">
        <f>IF(AND($B195&gt;='111'!$N$11,$B195&lt;='111'!$O$11,OR($L195=$O$7,$M195=$O$7)),"x","")</f>
        <v/>
      </c>
      <c r="P195" s="525" t="str">
        <f>IF(AND($L195=$O$7,$B195&lt;'111'!$N$11),"x","")</f>
        <v/>
      </c>
      <c r="Q195" s="525" t="str">
        <f>IF(AND($M195=$O$7,$B195&lt;'111'!$N$11),"x","")</f>
        <v/>
      </c>
      <c r="R195" s="525" t="str">
        <f>IF(ISERROR(FIND('112'!$M$9,G195,1)),"",IF((AND(FIND('112'!$M$9,G195,1)&gt;=1,$B195&gt;='112'!$N$8,$B195&lt;='112'!$O$8,OR($L195='112'!$I$6,$M195='112'!$I$6))),"x",""))</f>
        <v/>
      </c>
      <c r="S195" s="525" t="str">
        <f>IF(ISERROR(FIND('112'!$M$9,G195,1)),"",IF((AND(LEFT(G195,2)=LEFT('112'!$M$9,2),B195&lt;'112'!$N$8,$L195='112'!$I$6)),"x",""))</f>
        <v/>
      </c>
      <c r="T195" s="525" t="str">
        <f>IF(ISERROR(FIND('112'!$M$9,G195,1)),"",IF((AND(RIGHT(G195,2)=RIGHT('112'!$M$9,2),B195&lt;'112'!$N$8,$M195='112'!$I$6)),"x",""))</f>
        <v/>
      </c>
      <c r="U195" s="525" t="str">
        <f>IF(AND(B195&gt;='IN-NX'!$P$3,B195&lt;='IN-NX'!$Q$3,'IN-NX'!$D$7=D195,OR(LEFT(L195,2)="15",AND(LEFT(M195,2)&lt;&gt;"15",LEFT(M195,2)&lt;&gt;"33"))),"x","")</f>
        <v/>
      </c>
      <c r="V195" s="525" t="str">
        <f>IF(AND(OR(LEFT(TH!L195,2)="15",LEFT(TH!M195,2)="15"),'152-CT'!$J$8=TH!F195),"x","")</f>
        <v/>
      </c>
      <c r="W195" s="525" t="str">
        <f>IF(AND(OR(LEFT(TH!L195,2)="15",LEFT(TH!M195,2)="15"),TK!$E$7=TH!F195),"x","")</f>
        <v/>
      </c>
      <c r="X195" s="525" t="str">
        <f>IF(AND('341-CT'!$E$9=H195,OR(LEFT(L195,3)=$X$7,LEFT(M195,3)=$X$7)),"x","")</f>
        <v/>
      </c>
      <c r="Y195" s="525" t="str">
        <f>IF(OR(TH!L195=TH!$Y$7,M195=TH!$Y$7),"x","")</f>
        <v/>
      </c>
      <c r="Z195" s="525" t="str">
        <f>IF(AND(B195&lt;=NKC!$N$8,B195&gt;=NKC!$M$8),"x","")</f>
        <v>x</v>
      </c>
      <c r="AA195" s="535"/>
      <c r="AB195" s="536"/>
    </row>
    <row r="196" spans="1:28" s="503" customFormat="1" ht="15.75" customHeight="1">
      <c r="A196" s="517" t="str">
        <f>IF(B196&lt;&gt;"",IF(AND(B196&gt;=_TM1,B196&lt;=_TM2,OR(TH!L196="1111",TH!M196="1111")),TH!D196,""),"")</f>
        <v/>
      </c>
      <c r="B196" s="531">
        <f t="shared" si="18"/>
        <v>3</v>
      </c>
      <c r="C196" s="315">
        <f t="shared" si="19"/>
        <v>42815</v>
      </c>
      <c r="D196" s="315" t="s">
        <v>456</v>
      </c>
      <c r="E196" s="288">
        <v>42815</v>
      </c>
      <c r="F196" s="248" t="s">
        <v>457</v>
      </c>
      <c r="G196" s="314" t="s">
        <v>290</v>
      </c>
      <c r="H196" s="473" t="s">
        <v>420</v>
      </c>
      <c r="I196" s="307"/>
      <c r="J196" s="307"/>
      <c r="K196" s="532">
        <v>63890530</v>
      </c>
      <c r="L196" s="533" t="s">
        <v>24</v>
      </c>
      <c r="M196" s="533" t="s">
        <v>223</v>
      </c>
      <c r="N196" s="525" t="str">
        <f>IF(AND('331-CT'!$E$7=TH!H196,OR(L196="331",M196="331")),"331",IF(AND(OR(L196="131",M196="131"),H196='131-CT'!$E$7),"131",""))</f>
        <v>131</v>
      </c>
      <c r="O196" s="525" t="str">
        <f>IF(AND($B196&gt;='111'!$N$11,$B196&lt;='111'!$O$11,OR($L196=$O$7,$M196=$O$7)),"x","")</f>
        <v/>
      </c>
      <c r="P196" s="525" t="str">
        <f>IF(AND($L196=$O$7,$B196&lt;'111'!$N$11),"x","")</f>
        <v/>
      </c>
      <c r="Q196" s="525" t="str">
        <f>IF(AND($M196=$O$7,$B196&lt;'111'!$N$11),"x","")</f>
        <v/>
      </c>
      <c r="R196" s="525" t="str">
        <f>IF(ISERROR(FIND('112'!$M$9,G196,1)),"",IF((AND(FIND('112'!$M$9,G196,1)&gt;=1,$B196&gt;='112'!$N$8,$B196&lt;='112'!$O$8,OR($L196='112'!$I$6,$M196='112'!$I$6))),"x",""))</f>
        <v/>
      </c>
      <c r="S196" s="525" t="str">
        <f>IF(ISERROR(FIND('112'!$M$9,G196,1)),"",IF((AND(LEFT(G196,2)=LEFT('112'!$M$9,2),B196&lt;'112'!$N$8,$L196='112'!$I$6)),"x",""))</f>
        <v/>
      </c>
      <c r="T196" s="525" t="str">
        <f>IF(ISERROR(FIND('112'!$M$9,G196,1)),"",IF((AND(RIGHT(G196,2)=RIGHT('112'!$M$9,2),B196&lt;'112'!$N$8,$M196='112'!$I$6)),"x",""))</f>
        <v/>
      </c>
      <c r="U196" s="525" t="str">
        <f>IF(AND(B196&gt;='IN-NX'!$P$3,B196&lt;='IN-NX'!$Q$3,'IN-NX'!$D$7=D196,OR(LEFT(L196,2)="15",AND(LEFT(M196,2)&lt;&gt;"15",LEFT(M196,2)&lt;&gt;"33"))),"x","")</f>
        <v/>
      </c>
      <c r="V196" s="525" t="str">
        <f>IF(AND(OR(LEFT(TH!L196,2)="15",LEFT(TH!M196,2)="15"),'152-CT'!$J$8=TH!F196),"x","")</f>
        <v/>
      </c>
      <c r="W196" s="525" t="str">
        <f>IF(AND(OR(LEFT(TH!L196,2)="15",LEFT(TH!M196,2)="15"),TK!$E$7=TH!F196),"x","")</f>
        <v/>
      </c>
      <c r="X196" s="525" t="str">
        <f>IF(AND('341-CT'!$E$9=H196,OR(LEFT(L196,3)=$X$7,LEFT(M196,3)=$X$7)),"x","")</f>
        <v/>
      </c>
      <c r="Y196" s="525" t="str">
        <f>IF(OR(TH!L196=TH!$Y$7,M196=TH!$Y$7),"x","")</f>
        <v/>
      </c>
      <c r="Z196" s="525" t="str">
        <f>IF(AND(B196&lt;=NKC!$N$8,B196&gt;=NKC!$M$8),"x","")</f>
        <v>x</v>
      </c>
      <c r="AA196" s="535"/>
    </row>
    <row r="197" spans="1:28" s="503" customFormat="1" ht="15.75" customHeight="1">
      <c r="A197" s="517" t="str">
        <f>IF(B197&lt;&gt;"",IF(AND(B197&gt;=_TM1,B197&lt;=_TM2,OR(TH!L197="1111",TH!M197="1111")),TH!D197,""),"")</f>
        <v/>
      </c>
      <c r="B197" s="531">
        <f t="shared" si="18"/>
        <v>3</v>
      </c>
      <c r="C197" s="315">
        <f t="shared" si="19"/>
        <v>42819</v>
      </c>
      <c r="D197" s="315" t="s">
        <v>456</v>
      </c>
      <c r="E197" s="288">
        <v>42819</v>
      </c>
      <c r="F197" s="249" t="s">
        <v>458</v>
      </c>
      <c r="G197" s="314" t="s">
        <v>290</v>
      </c>
      <c r="H197" s="472"/>
      <c r="I197" s="307"/>
      <c r="J197" s="307"/>
      <c r="K197" s="532">
        <v>1843</v>
      </c>
      <c r="L197" s="533" t="s">
        <v>24</v>
      </c>
      <c r="M197" s="533" t="s">
        <v>38</v>
      </c>
      <c r="N197" s="525" t="str">
        <f>IF(AND('331-CT'!$E$7=TH!H197,OR(L197="331",M197="331")),"331",IF(AND(OR(L197="131",M197="131"),H197='131-CT'!$E$7),"131",""))</f>
        <v/>
      </c>
      <c r="O197" s="525" t="str">
        <f>IF(AND($B197&gt;='111'!$N$11,$B197&lt;='111'!$O$11,OR($L197=$O$7,$M197=$O$7)),"x","")</f>
        <v/>
      </c>
      <c r="P197" s="525" t="str">
        <f>IF(AND($L197=$O$7,$B197&lt;'111'!$N$11),"x","")</f>
        <v/>
      </c>
      <c r="Q197" s="525" t="str">
        <f>IF(AND($M197=$O$7,$B197&lt;'111'!$N$11),"x","")</f>
        <v/>
      </c>
      <c r="R197" s="525" t="str">
        <f>IF(ISERROR(FIND('112'!$M$9,G197,1)),"",IF((AND(FIND('112'!$M$9,G197,1)&gt;=1,$B197&gt;='112'!$N$8,$B197&lt;='112'!$O$8,OR($L197='112'!$I$6,$M197='112'!$I$6))),"x",""))</f>
        <v/>
      </c>
      <c r="S197" s="525" t="str">
        <f>IF(ISERROR(FIND('112'!$M$9,G197,1)),"",IF((AND(LEFT(G197,2)=LEFT('112'!$M$9,2),B197&lt;'112'!$N$8,$L197='112'!$I$6)),"x",""))</f>
        <v/>
      </c>
      <c r="T197" s="525" t="str">
        <f>IF(ISERROR(FIND('112'!$M$9,G197,1)),"",IF((AND(RIGHT(G197,2)=RIGHT('112'!$M$9,2),B197&lt;'112'!$N$8,$M197='112'!$I$6)),"x",""))</f>
        <v/>
      </c>
      <c r="U197" s="525" t="str">
        <f>IF(AND(B197&gt;='IN-NX'!$P$3,B197&lt;='IN-NX'!$Q$3,'IN-NX'!$D$7=D197,OR(LEFT(L197,2)="15",AND(LEFT(M197,2)&lt;&gt;"15",LEFT(M197,2)&lt;&gt;"33"))),"x","")</f>
        <v/>
      </c>
      <c r="V197" s="525" t="str">
        <f>IF(AND(OR(LEFT(TH!L197,2)="15",LEFT(TH!M197,2)="15"),'152-CT'!$J$8=TH!F197),"x","")</f>
        <v/>
      </c>
      <c r="W197" s="525" t="str">
        <f>IF(AND(OR(LEFT(TH!L197,2)="15",LEFT(TH!M197,2)="15"),TK!$E$7=TH!F197),"x","")</f>
        <v/>
      </c>
      <c r="X197" s="525" t="str">
        <f>IF(AND('341-CT'!$E$9=H197,OR(LEFT(L197,3)=$X$7,LEFT(M197,3)=$X$7)),"x","")</f>
        <v/>
      </c>
      <c r="Y197" s="525" t="str">
        <f>IF(OR(TH!L197=TH!$Y$7,M197=TH!$Y$7),"x","")</f>
        <v/>
      </c>
      <c r="Z197" s="525" t="str">
        <f>IF(AND(B197&lt;=NKC!$N$8,B197&gt;=NKC!$M$8),"x","")</f>
        <v>x</v>
      </c>
      <c r="AA197" s="535"/>
    </row>
    <row r="198" spans="1:28" s="503" customFormat="1" ht="15.75" customHeight="1">
      <c r="A198" s="517" t="str">
        <f>IF(B198&lt;&gt;"",IF(AND(B198&gt;=_TM1,B198&lt;=_TM2,OR(TH!L198="1111",TH!M198="1111")),TH!D198,""),"")</f>
        <v>GBC</v>
      </c>
      <c r="B198" s="531">
        <f t="shared" ref="B198:B217" si="20">IF(C198&lt;&gt;"",MONTH(C198),"")</f>
        <v>3</v>
      </c>
      <c r="C198" s="315">
        <f t="shared" si="19"/>
        <v>42824</v>
      </c>
      <c r="D198" s="315" t="s">
        <v>456</v>
      </c>
      <c r="E198" s="288">
        <v>42824</v>
      </c>
      <c r="F198" s="249" t="s">
        <v>459</v>
      </c>
      <c r="G198" s="314" t="s">
        <v>290</v>
      </c>
      <c r="H198" s="473" t="s">
        <v>460</v>
      </c>
      <c r="I198" s="307"/>
      <c r="J198" s="307"/>
      <c r="K198" s="532">
        <v>3500000</v>
      </c>
      <c r="L198" s="533" t="s">
        <v>24</v>
      </c>
      <c r="M198" s="533" t="s">
        <v>45</v>
      </c>
      <c r="N198" s="525" t="str">
        <f>IF(AND('331-CT'!$E$7=TH!H198,OR(L198="331",M198="331")),"331",IF(AND(OR(L198="131",M198="131"),H198='131-CT'!$E$7),"131",""))</f>
        <v/>
      </c>
      <c r="O198" s="525" t="str">
        <f>IF(AND($B198&gt;='111'!$N$11,$B198&lt;='111'!$O$11,OR($L198=$O$7,$M198=$O$7)),"x","")</f>
        <v/>
      </c>
      <c r="P198" s="525" t="str">
        <f>IF(AND($L198=$O$7,$B198&lt;'111'!$N$11),"x","")</f>
        <v/>
      </c>
      <c r="Q198" s="525" t="str">
        <f>IF(AND($M198=$O$7,$B198&lt;'111'!$N$11),"x","")</f>
        <v>x</v>
      </c>
      <c r="R198" s="525" t="str">
        <f>IF(ISERROR(FIND('112'!$M$9,G198,1)),"",IF((AND(FIND('112'!$M$9,G198,1)&gt;=1,$B198&gt;='112'!$N$8,$B198&lt;='112'!$O$8,OR($L198='112'!$I$6,$M198='112'!$I$6))),"x",""))</f>
        <v/>
      </c>
      <c r="S198" s="525" t="str">
        <f>IF(ISERROR(FIND('112'!$M$9,G198,1)),"",IF((AND(LEFT(G198,2)=LEFT('112'!$M$9,2),B198&lt;'112'!$N$8,$L198='112'!$I$6)),"x",""))</f>
        <v/>
      </c>
      <c r="T198" s="525" t="str">
        <f>IF(ISERROR(FIND('112'!$M$9,G198,1)),"",IF((AND(RIGHT(G198,2)=RIGHT('112'!$M$9,2),B198&lt;'112'!$N$8,$M198='112'!$I$6)),"x",""))</f>
        <v/>
      </c>
      <c r="U198" s="525" t="str">
        <f>IF(AND(B198&gt;='IN-NX'!$P$3,B198&lt;='IN-NX'!$Q$3,'IN-NX'!$D$7=D198,OR(LEFT(L198,2)="15",AND(LEFT(M198,2)&lt;&gt;"15",LEFT(M198,2)&lt;&gt;"33"))),"x","")</f>
        <v/>
      </c>
      <c r="V198" s="525" t="str">
        <f>IF(AND(OR(LEFT(TH!L198,2)="15",LEFT(TH!M198,2)="15"),'152-CT'!$J$8=TH!F198),"x","")</f>
        <v/>
      </c>
      <c r="W198" s="525" t="str">
        <f>IF(AND(OR(LEFT(TH!L198,2)="15",LEFT(TH!M198,2)="15"),TK!$E$7=TH!F198),"x","")</f>
        <v/>
      </c>
      <c r="X198" s="525" t="str">
        <f>IF(AND('341-CT'!$E$9=H198,OR(LEFT(L198,3)=$X$7,LEFT(M198,3)=$X$7)),"x","")</f>
        <v/>
      </c>
      <c r="Y198" s="525" t="str">
        <f>IF(OR(TH!L198=TH!$Y$7,M198=TH!$Y$7),"x","")</f>
        <v/>
      </c>
      <c r="Z198" s="525" t="str">
        <f>IF(AND(B198&lt;=NKC!$N$8,B198&gt;=NKC!$M$8),"x","")</f>
        <v>x</v>
      </c>
      <c r="AA198" s="535"/>
    </row>
    <row r="199" spans="1:28" s="503" customFormat="1" ht="15.75" customHeight="1">
      <c r="A199" s="517" t="str">
        <f>IF(B199&lt;&gt;"",IF(AND(B199&gt;=_TM1,B199&lt;=_TM2,OR(TH!L199="1111",TH!M199="1111")),TH!D199,""),"")</f>
        <v>GBC</v>
      </c>
      <c r="B199" s="531">
        <f t="shared" si="20"/>
        <v>3</v>
      </c>
      <c r="C199" s="315">
        <f t="shared" si="19"/>
        <v>42825</v>
      </c>
      <c r="D199" s="315" t="s">
        <v>456</v>
      </c>
      <c r="E199" s="288">
        <v>42825</v>
      </c>
      <c r="F199" s="249" t="s">
        <v>459</v>
      </c>
      <c r="G199" s="314" t="s">
        <v>290</v>
      </c>
      <c r="H199" s="473" t="s">
        <v>460</v>
      </c>
      <c r="I199" s="307"/>
      <c r="J199" s="307"/>
      <c r="K199" s="532">
        <v>10000000</v>
      </c>
      <c r="L199" s="533" t="s">
        <v>24</v>
      </c>
      <c r="M199" s="533" t="s">
        <v>45</v>
      </c>
      <c r="N199" s="525" t="str">
        <f>IF(AND('331-CT'!$E$7=TH!H199,OR(L199="331",M199="331")),"331",IF(AND(OR(L199="131",M199="131"),H199='131-CT'!$E$7),"131",""))</f>
        <v/>
      </c>
      <c r="O199" s="525" t="str">
        <f>IF(AND($B199&gt;='111'!$N$11,$B199&lt;='111'!$O$11,OR($L199=$O$7,$M199=$O$7)),"x","")</f>
        <v/>
      </c>
      <c r="P199" s="525" t="str">
        <f>IF(AND($L199=$O$7,$B199&lt;'111'!$N$11),"x","")</f>
        <v/>
      </c>
      <c r="Q199" s="525" t="str">
        <f>IF(AND($M199=$O$7,$B199&lt;'111'!$N$11),"x","")</f>
        <v>x</v>
      </c>
      <c r="R199" s="525" t="str">
        <f>IF(ISERROR(FIND('112'!$M$9,G199,1)),"",IF((AND(FIND('112'!$M$9,G199,1)&gt;=1,$B199&gt;='112'!$N$8,$B199&lt;='112'!$O$8,OR($L199='112'!$I$6,$M199='112'!$I$6))),"x",""))</f>
        <v/>
      </c>
      <c r="S199" s="525" t="str">
        <f>IF(ISERROR(FIND('112'!$M$9,G199,1)),"",IF((AND(LEFT(G199,2)=LEFT('112'!$M$9,2),B199&lt;'112'!$N$8,$L199='112'!$I$6)),"x",""))</f>
        <v/>
      </c>
      <c r="T199" s="525" t="str">
        <f>IF(ISERROR(FIND('112'!$M$9,G199,1)),"",IF((AND(RIGHT(G199,2)=RIGHT('112'!$M$9,2),B199&lt;'112'!$N$8,$M199='112'!$I$6)),"x",""))</f>
        <v/>
      </c>
      <c r="U199" s="525" t="str">
        <f>IF(AND(B199&gt;='IN-NX'!$P$3,B199&lt;='IN-NX'!$Q$3,'IN-NX'!$D$7=D199,OR(LEFT(L199,2)="15",AND(LEFT(M199,2)&lt;&gt;"15",LEFT(M199,2)&lt;&gt;"33"))),"x","")</f>
        <v/>
      </c>
      <c r="V199" s="525" t="str">
        <f>IF(AND(OR(LEFT(TH!L199,2)="15",LEFT(TH!M199,2)="15"),'152-CT'!$J$8=TH!F199),"x","")</f>
        <v/>
      </c>
      <c r="W199" s="525" t="str">
        <f>IF(AND(OR(LEFT(TH!L199,2)="15",LEFT(TH!M199,2)="15"),TK!$E$7=TH!F199),"x","")</f>
        <v/>
      </c>
      <c r="X199" s="525" t="str">
        <f>IF(AND('341-CT'!$E$9=H199,OR(LEFT(L199,3)=$X$7,LEFT(M199,3)=$X$7)),"x","")</f>
        <v/>
      </c>
      <c r="Y199" s="525" t="str">
        <f>IF(OR(TH!L199=TH!$Y$7,M199=TH!$Y$7),"x","")</f>
        <v/>
      </c>
      <c r="Z199" s="525" t="str">
        <f>IF(AND(B199&lt;=NKC!$N$8,B199&gt;=NKC!$M$8),"x","")</f>
        <v>x</v>
      </c>
      <c r="AA199" s="535"/>
    </row>
    <row r="200" spans="1:28" s="503" customFormat="1" ht="15.75" customHeight="1">
      <c r="A200" s="517" t="str">
        <f>IF(B200&lt;&gt;"",IF(AND(B200&gt;=_TM1,B200&lt;=_TM2,OR(TH!L200="1111",TH!M200="1111")),TH!D200,""),"")</f>
        <v/>
      </c>
      <c r="B200" s="531">
        <f t="shared" si="20"/>
        <v>3</v>
      </c>
      <c r="C200" s="315">
        <f t="shared" si="19"/>
        <v>42825</v>
      </c>
      <c r="D200" s="315" t="s">
        <v>456</v>
      </c>
      <c r="E200" s="288">
        <v>42825</v>
      </c>
      <c r="F200" s="248" t="s">
        <v>457</v>
      </c>
      <c r="G200" s="314" t="s">
        <v>290</v>
      </c>
      <c r="H200" s="473" t="s">
        <v>593</v>
      </c>
      <c r="I200" s="307"/>
      <c r="J200" s="307"/>
      <c r="K200" s="532">
        <v>46629143</v>
      </c>
      <c r="L200" s="533" t="s">
        <v>24</v>
      </c>
      <c r="M200" s="533" t="s">
        <v>223</v>
      </c>
      <c r="N200" s="525" t="str">
        <f>IF(AND('331-CT'!$E$7=TH!H200,OR(L200="331",M200="331")),"331",IF(AND(OR(L200="131",M200="131"),H200='131-CT'!$E$7),"131",""))</f>
        <v/>
      </c>
      <c r="O200" s="525" t="str">
        <f>IF(AND($B200&gt;='111'!$N$11,$B200&lt;='111'!$O$11,OR($L200=$O$7,$M200=$O$7)),"x","")</f>
        <v/>
      </c>
      <c r="P200" s="525" t="str">
        <f>IF(AND($L200=$O$7,$B200&lt;'111'!$N$11),"x","")</f>
        <v/>
      </c>
      <c r="Q200" s="525" t="str">
        <f>IF(AND($M200=$O$7,$B200&lt;'111'!$N$11),"x","")</f>
        <v/>
      </c>
      <c r="R200" s="525" t="str">
        <f>IF(ISERROR(FIND('112'!$M$9,G200,1)),"",IF((AND(FIND('112'!$M$9,G200,1)&gt;=1,$B200&gt;='112'!$N$8,$B200&lt;='112'!$O$8,OR($L200='112'!$I$6,$M200='112'!$I$6))),"x",""))</f>
        <v/>
      </c>
      <c r="S200" s="525" t="str">
        <f>IF(ISERROR(FIND('112'!$M$9,G200,1)),"",IF((AND(LEFT(G200,2)=LEFT('112'!$M$9,2),B200&lt;'112'!$N$8,$L200='112'!$I$6)),"x",""))</f>
        <v/>
      </c>
      <c r="T200" s="525" t="str">
        <f>IF(ISERROR(FIND('112'!$M$9,G200,1)),"",IF((AND(RIGHT(G200,2)=RIGHT('112'!$M$9,2),B200&lt;'112'!$N$8,$M200='112'!$I$6)),"x",""))</f>
        <v/>
      </c>
      <c r="U200" s="525" t="str">
        <f>IF(AND(B200&gt;='IN-NX'!$P$3,B200&lt;='IN-NX'!$Q$3,'IN-NX'!$D$7=D200,OR(LEFT(L200,2)="15",AND(LEFT(M200,2)&lt;&gt;"15",LEFT(M200,2)&lt;&gt;"33"))),"x","")</f>
        <v/>
      </c>
      <c r="V200" s="525" t="str">
        <f>IF(AND(OR(LEFT(TH!L200,2)="15",LEFT(TH!M200,2)="15"),'152-CT'!$J$8=TH!F200),"x","")</f>
        <v/>
      </c>
      <c r="W200" s="525" t="str">
        <f>IF(AND(OR(LEFT(TH!L200,2)="15",LEFT(TH!M200,2)="15"),TK!$E$7=TH!F200),"x","")</f>
        <v/>
      </c>
      <c r="X200" s="525" t="str">
        <f>IF(AND('341-CT'!$E$9=H200,OR(LEFT(L200,3)=$X$7,LEFT(M200,3)=$X$7)),"x","")</f>
        <v/>
      </c>
      <c r="Y200" s="525" t="str">
        <f>IF(OR(TH!L200=TH!$Y$7,M200=TH!$Y$7),"x","")</f>
        <v/>
      </c>
      <c r="Z200" s="525" t="str">
        <f>IF(AND(B200&lt;=NKC!$N$8,B200&gt;=NKC!$M$8),"x","")</f>
        <v>x</v>
      </c>
      <c r="AA200" s="535"/>
    </row>
    <row r="201" spans="1:28" s="503" customFormat="1" ht="15.75" customHeight="1">
      <c r="A201" s="517" t="str">
        <f>IF(B201&lt;&gt;"",IF(AND(B201&gt;=_TM1,B201&lt;=_TM2,OR(TH!L201="1111",TH!M201="1111")),TH!D201,""),"")</f>
        <v>GBN</v>
      </c>
      <c r="B201" s="531">
        <f t="shared" si="20"/>
        <v>3</v>
      </c>
      <c r="C201" s="315">
        <f t="shared" si="19"/>
        <v>42796</v>
      </c>
      <c r="D201" s="315" t="s">
        <v>461</v>
      </c>
      <c r="E201" s="288">
        <v>42796</v>
      </c>
      <c r="F201" s="249" t="s">
        <v>465</v>
      </c>
      <c r="G201" s="314" t="s">
        <v>290</v>
      </c>
      <c r="H201" s="473" t="s">
        <v>460</v>
      </c>
      <c r="I201" s="307"/>
      <c r="J201" s="307"/>
      <c r="K201" s="532">
        <v>87100000</v>
      </c>
      <c r="L201" s="533" t="s">
        <v>45</v>
      </c>
      <c r="M201" s="533" t="s">
        <v>24</v>
      </c>
      <c r="N201" s="525" t="str">
        <f>IF(AND('331-CT'!$E$7=TH!H201,OR(L201="331",M201="331")),"331",IF(AND(OR(L201="131",M201="131"),H201='131-CT'!$E$7),"131",""))</f>
        <v/>
      </c>
      <c r="O201" s="525" t="str">
        <f>IF(AND($B201&gt;='111'!$N$11,$B201&lt;='111'!$O$11,OR($L201=$O$7,$M201=$O$7)),"x","")</f>
        <v/>
      </c>
      <c r="P201" s="525" t="str">
        <f>IF(AND($L201=$O$7,$B201&lt;'111'!$N$11),"x","")</f>
        <v>x</v>
      </c>
      <c r="Q201" s="525" t="str">
        <f>IF(AND($M201=$O$7,$B201&lt;'111'!$N$11),"x","")</f>
        <v/>
      </c>
      <c r="R201" s="525" t="str">
        <f>IF(ISERROR(FIND('112'!$M$9,G201,1)),"",IF((AND(FIND('112'!$M$9,G201,1)&gt;=1,$B201&gt;='112'!$N$8,$B201&lt;='112'!$O$8,OR($L201='112'!$I$6,$M201='112'!$I$6))),"x",""))</f>
        <v/>
      </c>
      <c r="S201" s="525" t="str">
        <f>IF(ISERROR(FIND('112'!$M$9,G201,1)),"",IF((AND(LEFT(G201,2)=LEFT('112'!$M$9,2),B201&lt;'112'!$N$8,$L201='112'!$I$6)),"x",""))</f>
        <v/>
      </c>
      <c r="T201" s="525" t="str">
        <f>IF(ISERROR(FIND('112'!$M$9,G201,1)),"",IF((AND(RIGHT(G201,2)=RIGHT('112'!$M$9,2),B201&lt;'112'!$N$8,$M201='112'!$I$6)),"x",""))</f>
        <v/>
      </c>
      <c r="U201" s="525" t="str">
        <f>IF(AND(B201&gt;='IN-NX'!$P$3,B201&lt;='IN-NX'!$Q$3,'IN-NX'!$D$7=D201,OR(LEFT(L201,2)="15",AND(LEFT(M201,2)&lt;&gt;"15",LEFT(M201,2)&lt;&gt;"33"))),"x","")</f>
        <v/>
      </c>
      <c r="V201" s="525" t="str">
        <f>IF(AND(OR(LEFT(TH!L201,2)="15",LEFT(TH!M201,2)="15"),'152-CT'!$J$8=TH!F201),"x","")</f>
        <v/>
      </c>
      <c r="W201" s="525" t="str">
        <f>IF(AND(OR(LEFT(TH!L201,2)="15",LEFT(TH!M201,2)="15"),TK!$E$7=TH!F201),"x","")</f>
        <v/>
      </c>
      <c r="X201" s="525" t="str">
        <f>IF(AND('341-CT'!$E$9=H201,OR(LEFT(L201,3)=$X$7,LEFT(M201,3)=$X$7)),"x","")</f>
        <v/>
      </c>
      <c r="Y201" s="525" t="str">
        <f>IF(OR(TH!L201=TH!$Y$7,M201=TH!$Y$7),"x","")</f>
        <v/>
      </c>
      <c r="Z201" s="525" t="str">
        <f>IF(AND(B201&lt;=NKC!$N$8,B201&gt;=NKC!$M$8),"x","")</f>
        <v>x</v>
      </c>
      <c r="AA201" s="535"/>
      <c r="AB201" s="536"/>
    </row>
    <row r="202" spans="1:28" s="503" customFormat="1" ht="15.75" customHeight="1">
      <c r="A202" s="517" t="str">
        <f>IF(B202&lt;&gt;"",IF(AND(B202&gt;=_TM1,B202&lt;=_TM2,OR(TH!L202="1111",TH!M202="1111")),TH!D202,""),"")</f>
        <v/>
      </c>
      <c r="B202" s="531">
        <f t="shared" si="20"/>
        <v>3</v>
      </c>
      <c r="C202" s="315">
        <f t="shared" si="19"/>
        <v>42797</v>
      </c>
      <c r="D202" s="315" t="s">
        <v>461</v>
      </c>
      <c r="E202" s="288">
        <v>42797</v>
      </c>
      <c r="F202" s="249" t="s">
        <v>468</v>
      </c>
      <c r="G202" s="314" t="s">
        <v>290</v>
      </c>
      <c r="H202" s="473" t="s">
        <v>447</v>
      </c>
      <c r="I202" s="307"/>
      <c r="J202" s="307"/>
      <c r="K202" s="532">
        <v>1141242308</v>
      </c>
      <c r="L202" s="534" t="s">
        <v>8</v>
      </c>
      <c r="M202" s="533" t="s">
        <v>24</v>
      </c>
      <c r="N202" s="525" t="str">
        <f>IF(AND('331-CT'!$E$7=TH!H202,OR(L202="331",M202="331")),"331",IF(AND(OR(L202="131",M202="131"),H202='131-CT'!$E$7),"131",""))</f>
        <v/>
      </c>
      <c r="O202" s="525" t="str">
        <f>IF(AND($B202&gt;='111'!$N$11,$B202&lt;='111'!$O$11,OR($L202=$O$7,$M202=$O$7)),"x","")</f>
        <v/>
      </c>
      <c r="P202" s="525" t="str">
        <f>IF(AND($L202=$O$7,$B202&lt;'111'!$N$11),"x","")</f>
        <v/>
      </c>
      <c r="Q202" s="525" t="str">
        <f>IF(AND($M202=$O$7,$B202&lt;'111'!$N$11),"x","")</f>
        <v/>
      </c>
      <c r="R202" s="525" t="str">
        <f>IF(ISERROR(FIND('112'!$M$9,G202,1)),"",IF((AND(FIND('112'!$M$9,G202,1)&gt;=1,$B202&gt;='112'!$N$8,$B202&lt;='112'!$O$8,OR($L202='112'!$I$6,$M202='112'!$I$6))),"x",""))</f>
        <v/>
      </c>
      <c r="S202" s="525" t="str">
        <f>IF(ISERROR(FIND('112'!$M$9,G202,1)),"",IF((AND(LEFT(G202,2)=LEFT('112'!$M$9,2),B202&lt;'112'!$N$8,$L202='112'!$I$6)),"x",""))</f>
        <v/>
      </c>
      <c r="T202" s="525" t="str">
        <f>IF(ISERROR(FIND('112'!$M$9,G202,1)),"",IF((AND(RIGHT(G202,2)=RIGHT('112'!$M$9,2),B202&lt;'112'!$N$8,$M202='112'!$I$6)),"x",""))</f>
        <v/>
      </c>
      <c r="U202" s="525" t="str">
        <f>IF(AND(B202&gt;='IN-NX'!$P$3,B202&lt;='IN-NX'!$Q$3,'IN-NX'!$D$7=D202,OR(LEFT(L202,2)="15",AND(LEFT(M202,2)&lt;&gt;"15",LEFT(M202,2)&lt;&gt;"33"))),"x","")</f>
        <v/>
      </c>
      <c r="V202" s="525" t="str">
        <f>IF(AND(OR(LEFT(TH!L202,2)="15",LEFT(TH!M202,2)="15"),'152-CT'!$J$8=TH!F202),"x","")</f>
        <v/>
      </c>
      <c r="W202" s="525" t="str">
        <f>IF(AND(OR(LEFT(TH!L202,2)="15",LEFT(TH!M202,2)="15"),TK!$E$7=TH!F202),"x","")</f>
        <v/>
      </c>
      <c r="X202" s="525" t="str">
        <f>IF(AND('341-CT'!$E$9=H202,OR(LEFT(L202,3)=$X$7,LEFT(M202,3)=$X$7)),"x","")</f>
        <v/>
      </c>
      <c r="Y202" s="525" t="str">
        <f>IF(OR(TH!L202=TH!$Y$7,M202=TH!$Y$7),"x","")</f>
        <v/>
      </c>
      <c r="Z202" s="525" t="str">
        <f>IF(AND(B202&lt;=NKC!$N$8,B202&gt;=NKC!$M$8),"x","")</f>
        <v>x</v>
      </c>
      <c r="AA202" s="535"/>
    </row>
    <row r="203" spans="1:28" s="503" customFormat="1" ht="15.75" customHeight="1">
      <c r="A203" s="517" t="str">
        <f>IF(B203&lt;&gt;"",IF(AND(B203&gt;=_TM1,B203&lt;=_TM2,OR(TH!L203="1111",TH!M203="1111")),TH!D203,""),"")</f>
        <v/>
      </c>
      <c r="B203" s="531">
        <f t="shared" si="20"/>
        <v>3</v>
      </c>
      <c r="C203" s="315">
        <f t="shared" si="19"/>
        <v>42797</v>
      </c>
      <c r="D203" s="315" t="s">
        <v>461</v>
      </c>
      <c r="E203" s="288">
        <v>42797</v>
      </c>
      <c r="F203" s="248" t="s">
        <v>463</v>
      </c>
      <c r="G203" s="314" t="s">
        <v>290</v>
      </c>
      <c r="H203" s="472"/>
      <c r="I203" s="307"/>
      <c r="J203" s="307"/>
      <c r="K203" s="532">
        <v>456548</v>
      </c>
      <c r="L203" s="533" t="s">
        <v>81</v>
      </c>
      <c r="M203" s="533" t="s">
        <v>24</v>
      </c>
      <c r="N203" s="525" t="str">
        <f>IF(AND('331-CT'!$E$7=TH!H203,OR(L203="331",M203="331")),"331",IF(AND(OR(L203="131",M203="131"),H203='131-CT'!$E$7),"131",""))</f>
        <v/>
      </c>
      <c r="O203" s="525" t="str">
        <f>IF(AND($B203&gt;='111'!$N$11,$B203&lt;='111'!$O$11,OR($L203=$O$7,$M203=$O$7)),"x","")</f>
        <v/>
      </c>
      <c r="P203" s="525" t="str">
        <f>IF(AND($L203=$O$7,$B203&lt;'111'!$N$11),"x","")</f>
        <v/>
      </c>
      <c r="Q203" s="525" t="str">
        <f>IF(AND($M203=$O$7,$B203&lt;'111'!$N$11),"x","")</f>
        <v/>
      </c>
      <c r="R203" s="525" t="str">
        <f>IF(ISERROR(FIND('112'!$M$9,G203,1)),"",IF((AND(FIND('112'!$M$9,G203,1)&gt;=1,$B203&gt;='112'!$N$8,$B203&lt;='112'!$O$8,OR($L203='112'!$I$6,$M203='112'!$I$6))),"x",""))</f>
        <v/>
      </c>
      <c r="S203" s="525" t="str">
        <f>IF(ISERROR(FIND('112'!$M$9,G203,1)),"",IF((AND(LEFT(G203,2)=LEFT('112'!$M$9,2),B203&lt;'112'!$N$8,$L203='112'!$I$6)),"x",""))</f>
        <v/>
      </c>
      <c r="T203" s="525" t="str">
        <f>IF(ISERROR(FIND('112'!$M$9,G203,1)),"",IF((AND(RIGHT(G203,2)=RIGHT('112'!$M$9,2),B203&lt;'112'!$N$8,$M203='112'!$I$6)),"x",""))</f>
        <v/>
      </c>
      <c r="U203" s="525" t="str">
        <f>IF(AND(B203&gt;='IN-NX'!$P$3,B203&lt;='IN-NX'!$Q$3,'IN-NX'!$D$7=D203,OR(LEFT(L203,2)="15",AND(LEFT(M203,2)&lt;&gt;"15",LEFT(M203,2)&lt;&gt;"33"))),"x","")</f>
        <v/>
      </c>
      <c r="V203" s="525" t="str">
        <f>IF(AND(OR(LEFT(TH!L203,2)="15",LEFT(TH!M203,2)="15"),'152-CT'!$J$8=TH!F203),"x","")</f>
        <v/>
      </c>
      <c r="W203" s="525" t="str">
        <f>IF(AND(OR(LEFT(TH!L203,2)="15",LEFT(TH!M203,2)="15"),TK!$E$7=TH!F203),"x","")</f>
        <v/>
      </c>
      <c r="X203" s="525" t="str">
        <f>IF(AND('341-CT'!$E$9=H203,OR(LEFT(L203,3)=$X$7,LEFT(M203,3)=$X$7)),"x","")</f>
        <v/>
      </c>
      <c r="Y203" s="525" t="str">
        <f>IF(OR(TH!L203=TH!$Y$7,M203=TH!$Y$7),"x","")</f>
        <v/>
      </c>
      <c r="Z203" s="525" t="str">
        <f>IF(AND(B203&lt;=NKC!$N$8,B203&gt;=NKC!$M$8),"x","")</f>
        <v>x</v>
      </c>
      <c r="AA203" s="535">
        <v>1</v>
      </c>
    </row>
    <row r="204" spans="1:28" s="503" customFormat="1" ht="15.75" customHeight="1">
      <c r="A204" s="517" t="str">
        <f>IF(B204&lt;&gt;"",IF(AND(B204&gt;=_TM1,B204&lt;=_TM2,OR(TH!L204="1111",TH!M204="1111")),TH!D204,""),"")</f>
        <v/>
      </c>
      <c r="B204" s="531">
        <f t="shared" si="20"/>
        <v>3</v>
      </c>
      <c r="C204" s="315">
        <f t="shared" si="19"/>
        <v>42797</v>
      </c>
      <c r="D204" s="315" t="s">
        <v>461</v>
      </c>
      <c r="E204" s="288">
        <v>42797</v>
      </c>
      <c r="F204" s="248" t="s">
        <v>464</v>
      </c>
      <c r="G204" s="314" t="s">
        <v>290</v>
      </c>
      <c r="H204" s="473"/>
      <c r="I204" s="307"/>
      <c r="J204" s="307"/>
      <c r="K204" s="532">
        <v>45655</v>
      </c>
      <c r="L204" s="533" t="s">
        <v>9</v>
      </c>
      <c r="M204" s="533" t="s">
        <v>24</v>
      </c>
      <c r="N204" s="525" t="str">
        <f>IF(AND('331-CT'!$E$7=TH!H204,OR(L204="331",M204="331")),"331",IF(AND(OR(L204="131",M204="131"),H204='131-CT'!$E$7),"131",""))</f>
        <v/>
      </c>
      <c r="O204" s="525" t="str">
        <f>IF(AND($B204&gt;='111'!$N$11,$B204&lt;='111'!$O$11,OR($L204=$O$7,$M204=$O$7)),"x","")</f>
        <v/>
      </c>
      <c r="P204" s="525" t="str">
        <f>IF(AND($L204=$O$7,$B204&lt;'111'!$N$11),"x","")</f>
        <v/>
      </c>
      <c r="Q204" s="525" t="str">
        <f>IF(AND($M204=$O$7,$B204&lt;'111'!$N$11),"x","")</f>
        <v/>
      </c>
      <c r="R204" s="525" t="str">
        <f>IF(ISERROR(FIND('112'!$M$9,G204,1)),"",IF((AND(FIND('112'!$M$9,G204,1)&gt;=1,$B204&gt;='112'!$N$8,$B204&lt;='112'!$O$8,OR($L204='112'!$I$6,$M204='112'!$I$6))),"x",""))</f>
        <v/>
      </c>
      <c r="S204" s="525" t="str">
        <f>IF(ISERROR(FIND('112'!$M$9,G204,1)),"",IF((AND(LEFT(G204,2)=LEFT('112'!$M$9,2),B204&lt;'112'!$N$8,$L204='112'!$I$6)),"x",""))</f>
        <v/>
      </c>
      <c r="T204" s="525" t="str">
        <f>IF(ISERROR(FIND('112'!$M$9,G204,1)),"",IF((AND(RIGHT(G204,2)=RIGHT('112'!$M$9,2),B204&lt;'112'!$N$8,$M204='112'!$I$6)),"x",""))</f>
        <v/>
      </c>
      <c r="U204" s="525" t="str">
        <f>IF(AND(B204&gt;='IN-NX'!$P$3,B204&lt;='IN-NX'!$Q$3,'IN-NX'!$D$7=D204,OR(LEFT(L204,2)="15",AND(LEFT(M204,2)&lt;&gt;"15",LEFT(M204,2)&lt;&gt;"33"))),"x","")</f>
        <v/>
      </c>
      <c r="V204" s="525" t="str">
        <f>IF(AND(OR(LEFT(TH!L204,2)="15",LEFT(TH!M204,2)="15"),'152-CT'!$J$8=TH!F204),"x","")</f>
        <v/>
      </c>
      <c r="W204" s="525" t="str">
        <f>IF(AND(OR(LEFT(TH!L204,2)="15",LEFT(TH!M204,2)="15"),TK!$E$7=TH!F204),"x","")</f>
        <v/>
      </c>
      <c r="X204" s="525" t="str">
        <f>IF(AND('341-CT'!$E$9=H204,OR(LEFT(L204,3)=$X$7,LEFT(M204,3)=$X$7)),"x","")</f>
        <v/>
      </c>
      <c r="Y204" s="525" t="str">
        <f>IF(OR(TH!L204=TH!$Y$7,M204=TH!$Y$7),"x","")</f>
        <v/>
      </c>
      <c r="Z204" s="525" t="str">
        <f>IF(AND(B204&lt;=NKC!$N$8,B204&gt;=NKC!$M$8),"x","")</f>
        <v>x</v>
      </c>
      <c r="AA204" s="535">
        <v>1</v>
      </c>
      <c r="AB204" s="536"/>
    </row>
    <row r="205" spans="1:28" s="503" customFormat="1" ht="15.75" customHeight="1">
      <c r="A205" s="517" t="str">
        <f>IF(B205&lt;&gt;"",IF(AND(B205&gt;=_TM1,B205&lt;=_TM2,OR(TH!L205="1111",TH!M205="1111")),TH!D205,""),"")</f>
        <v/>
      </c>
      <c r="B205" s="531">
        <f t="shared" si="20"/>
        <v>3</v>
      </c>
      <c r="C205" s="315">
        <f t="shared" si="19"/>
        <v>42797</v>
      </c>
      <c r="D205" s="315" t="s">
        <v>461</v>
      </c>
      <c r="E205" s="288">
        <v>42797</v>
      </c>
      <c r="F205" s="249" t="s">
        <v>468</v>
      </c>
      <c r="G205" s="314" t="s">
        <v>290</v>
      </c>
      <c r="H205" s="473" t="s">
        <v>272</v>
      </c>
      <c r="I205" s="307"/>
      <c r="J205" s="307"/>
      <c r="K205" s="532">
        <v>637061359</v>
      </c>
      <c r="L205" s="534" t="s">
        <v>8</v>
      </c>
      <c r="M205" s="533" t="s">
        <v>24</v>
      </c>
      <c r="N205" s="525" t="str">
        <f>IF(AND('331-CT'!$E$7=TH!H205,OR(L205="331",M205="331")),"331",IF(AND(OR(L205="131",M205="131"),H205='131-CT'!$E$7),"131",""))</f>
        <v/>
      </c>
      <c r="O205" s="525" t="str">
        <f>IF(AND($B205&gt;='111'!$N$11,$B205&lt;='111'!$O$11,OR($L205=$O$7,$M205=$O$7)),"x","")</f>
        <v/>
      </c>
      <c r="P205" s="525" t="str">
        <f>IF(AND($L205=$O$7,$B205&lt;'111'!$N$11),"x","")</f>
        <v/>
      </c>
      <c r="Q205" s="525" t="str">
        <f>IF(AND($M205=$O$7,$B205&lt;'111'!$N$11),"x","")</f>
        <v/>
      </c>
      <c r="R205" s="525" t="str">
        <f>IF(ISERROR(FIND('112'!$M$9,G205,1)),"",IF((AND(FIND('112'!$M$9,G205,1)&gt;=1,$B205&gt;='112'!$N$8,$B205&lt;='112'!$O$8,OR($L205='112'!$I$6,$M205='112'!$I$6))),"x",""))</f>
        <v/>
      </c>
      <c r="S205" s="525" t="str">
        <f>IF(ISERROR(FIND('112'!$M$9,G205,1)),"",IF((AND(LEFT(G205,2)=LEFT('112'!$M$9,2),B205&lt;'112'!$N$8,$L205='112'!$I$6)),"x",""))</f>
        <v/>
      </c>
      <c r="T205" s="525" t="str">
        <f>IF(ISERROR(FIND('112'!$M$9,G205,1)),"",IF((AND(RIGHT(G205,2)=RIGHT('112'!$M$9,2),B205&lt;'112'!$N$8,$M205='112'!$I$6)),"x",""))</f>
        <v/>
      </c>
      <c r="U205" s="525" t="str">
        <f>IF(AND(B205&gt;='IN-NX'!$P$3,B205&lt;='IN-NX'!$Q$3,'IN-NX'!$D$7=D205,OR(LEFT(L205,2)="15",AND(LEFT(M205,2)&lt;&gt;"15",LEFT(M205,2)&lt;&gt;"33"))),"x","")</f>
        <v/>
      </c>
      <c r="V205" s="525" t="str">
        <f>IF(AND(OR(LEFT(TH!L205,2)="15",LEFT(TH!M205,2)="15"),'152-CT'!$J$8=TH!F205),"x","")</f>
        <v/>
      </c>
      <c r="W205" s="525" t="str">
        <f>IF(AND(OR(LEFT(TH!L205,2)="15",LEFT(TH!M205,2)="15"),TK!$E$7=TH!F205),"x","")</f>
        <v/>
      </c>
      <c r="X205" s="525" t="str">
        <f>IF(AND('341-CT'!$E$9=H205,OR(LEFT(L205,3)=$X$7,LEFT(M205,3)=$X$7)),"x","")</f>
        <v/>
      </c>
      <c r="Y205" s="525" t="str">
        <f>IF(OR(TH!L205=TH!$Y$7,M205=TH!$Y$7),"x","")</f>
        <v/>
      </c>
      <c r="Z205" s="525" t="str">
        <f>IF(AND(B205&lt;=NKC!$N$8,B205&gt;=NKC!$M$8),"x","")</f>
        <v>x</v>
      </c>
      <c r="AA205" s="535"/>
    </row>
    <row r="206" spans="1:28" s="503" customFormat="1" ht="15.75" customHeight="1">
      <c r="A206" s="517" t="str">
        <f>IF(B206&lt;&gt;"",IF(AND(B206&gt;=_TM1,B206&lt;=_TM2,OR(TH!L206="1111",TH!M206="1111")),TH!D206,""),"")</f>
        <v/>
      </c>
      <c r="B206" s="531">
        <f t="shared" si="20"/>
        <v>3</v>
      </c>
      <c r="C206" s="315">
        <f t="shared" si="19"/>
        <v>42797</v>
      </c>
      <c r="D206" s="315" t="s">
        <v>461</v>
      </c>
      <c r="E206" s="288">
        <v>42797</v>
      </c>
      <c r="F206" s="248" t="s">
        <v>463</v>
      </c>
      <c r="G206" s="314" t="s">
        <v>290</v>
      </c>
      <c r="H206" s="472"/>
      <c r="I206" s="307"/>
      <c r="J206" s="307"/>
      <c r="K206" s="532">
        <v>213123</v>
      </c>
      <c r="L206" s="533" t="s">
        <v>81</v>
      </c>
      <c r="M206" s="533" t="s">
        <v>24</v>
      </c>
      <c r="N206" s="525" t="str">
        <f>IF(AND('331-CT'!$E$7=TH!H206,OR(L206="331",M206="331")),"331",IF(AND(OR(L206="131",M206="131"),H206='131-CT'!$E$7),"131",""))</f>
        <v/>
      </c>
      <c r="O206" s="525" t="str">
        <f>IF(AND($B206&gt;='111'!$N$11,$B206&lt;='111'!$O$11,OR($L206=$O$7,$M206=$O$7)),"x","")</f>
        <v/>
      </c>
      <c r="P206" s="525" t="str">
        <f>IF(AND($L206=$O$7,$B206&lt;'111'!$N$11),"x","")</f>
        <v/>
      </c>
      <c r="Q206" s="525" t="str">
        <f>IF(AND($M206=$O$7,$B206&lt;'111'!$N$11),"x","")</f>
        <v/>
      </c>
      <c r="R206" s="525" t="str">
        <f>IF(ISERROR(FIND('112'!$M$9,G206,1)),"",IF((AND(FIND('112'!$M$9,G206,1)&gt;=1,$B206&gt;='112'!$N$8,$B206&lt;='112'!$O$8,OR($L206='112'!$I$6,$M206='112'!$I$6))),"x",""))</f>
        <v/>
      </c>
      <c r="S206" s="525" t="str">
        <f>IF(ISERROR(FIND('112'!$M$9,G206,1)),"",IF((AND(LEFT(G206,2)=LEFT('112'!$M$9,2),B206&lt;'112'!$N$8,$L206='112'!$I$6)),"x",""))</f>
        <v/>
      </c>
      <c r="T206" s="525" t="str">
        <f>IF(ISERROR(FIND('112'!$M$9,G206,1)),"",IF((AND(RIGHT(G206,2)=RIGHT('112'!$M$9,2),B206&lt;'112'!$N$8,$M206='112'!$I$6)),"x",""))</f>
        <v/>
      </c>
      <c r="U206" s="525" t="str">
        <f>IF(AND(B206&gt;='IN-NX'!$P$3,B206&lt;='IN-NX'!$Q$3,'IN-NX'!$D$7=D206,OR(LEFT(L206,2)="15",AND(LEFT(M206,2)&lt;&gt;"15",LEFT(M206,2)&lt;&gt;"33"))),"x","")</f>
        <v/>
      </c>
      <c r="V206" s="525" t="str">
        <f>IF(AND(OR(LEFT(TH!L206,2)="15",LEFT(TH!M206,2)="15"),'152-CT'!$J$8=TH!F206),"x","")</f>
        <v/>
      </c>
      <c r="W206" s="525" t="str">
        <f>IF(AND(OR(LEFT(TH!L206,2)="15",LEFT(TH!M206,2)="15"),TK!$E$7=TH!F206),"x","")</f>
        <v/>
      </c>
      <c r="X206" s="525" t="str">
        <f>IF(AND('341-CT'!$E$9=H206,OR(LEFT(L206,3)=$X$7,LEFT(M206,3)=$X$7)),"x","")</f>
        <v/>
      </c>
      <c r="Y206" s="525" t="str">
        <f>IF(OR(TH!L206=TH!$Y$7,M206=TH!$Y$7),"x","")</f>
        <v/>
      </c>
      <c r="Z206" s="525" t="str">
        <f>IF(AND(B206&lt;=NKC!$N$8,B206&gt;=NKC!$M$8),"x","")</f>
        <v>x</v>
      </c>
      <c r="AA206" s="535">
        <v>1</v>
      </c>
    </row>
    <row r="207" spans="1:28" s="503" customFormat="1" ht="15.75" customHeight="1">
      <c r="A207" s="517" t="str">
        <f>IF(B207&lt;&gt;"",IF(AND(B207&gt;=_TM1,B207&lt;=_TM2,OR(TH!L207="1111",TH!M207="1111")),TH!D207,""),"")</f>
        <v/>
      </c>
      <c r="B207" s="531">
        <f t="shared" si="20"/>
        <v>3</v>
      </c>
      <c r="C207" s="315">
        <f t="shared" si="19"/>
        <v>42797</v>
      </c>
      <c r="D207" s="315" t="s">
        <v>461</v>
      </c>
      <c r="E207" s="288">
        <v>42797</v>
      </c>
      <c r="F207" s="248" t="s">
        <v>464</v>
      </c>
      <c r="G207" s="314" t="s">
        <v>290</v>
      </c>
      <c r="H207" s="473"/>
      <c r="I207" s="307"/>
      <c r="J207" s="307"/>
      <c r="K207" s="532">
        <v>21312</v>
      </c>
      <c r="L207" s="533" t="s">
        <v>9</v>
      </c>
      <c r="M207" s="533" t="s">
        <v>24</v>
      </c>
      <c r="N207" s="525" t="str">
        <f>IF(AND('331-CT'!$E$7=TH!H207,OR(L207="331",M207="331")),"331",IF(AND(OR(L207="131",M207="131"),H207='131-CT'!$E$7),"131",""))</f>
        <v/>
      </c>
      <c r="O207" s="525" t="str">
        <f>IF(AND($B207&gt;='111'!$N$11,$B207&lt;='111'!$O$11,OR($L207=$O$7,$M207=$O$7)),"x","")</f>
        <v/>
      </c>
      <c r="P207" s="525" t="str">
        <f>IF(AND($L207=$O$7,$B207&lt;'111'!$N$11),"x","")</f>
        <v/>
      </c>
      <c r="Q207" s="525" t="str">
        <f>IF(AND($M207=$O$7,$B207&lt;'111'!$N$11),"x","")</f>
        <v/>
      </c>
      <c r="R207" s="525" t="str">
        <f>IF(ISERROR(FIND('112'!$M$9,G207,1)),"",IF((AND(FIND('112'!$M$9,G207,1)&gt;=1,$B207&gt;='112'!$N$8,$B207&lt;='112'!$O$8,OR($L207='112'!$I$6,$M207='112'!$I$6))),"x",""))</f>
        <v/>
      </c>
      <c r="S207" s="525" t="str">
        <f>IF(ISERROR(FIND('112'!$M$9,G207,1)),"",IF((AND(LEFT(G207,2)=LEFT('112'!$M$9,2),B207&lt;'112'!$N$8,$L207='112'!$I$6)),"x",""))</f>
        <v/>
      </c>
      <c r="T207" s="525" t="str">
        <f>IF(ISERROR(FIND('112'!$M$9,G207,1)),"",IF((AND(RIGHT(G207,2)=RIGHT('112'!$M$9,2),B207&lt;'112'!$N$8,$M207='112'!$I$6)),"x",""))</f>
        <v/>
      </c>
      <c r="U207" s="525" t="str">
        <f>IF(AND(B207&gt;='IN-NX'!$P$3,B207&lt;='IN-NX'!$Q$3,'IN-NX'!$D$7=D207,OR(LEFT(L207,2)="15",AND(LEFT(M207,2)&lt;&gt;"15",LEFT(M207,2)&lt;&gt;"33"))),"x","")</f>
        <v/>
      </c>
      <c r="V207" s="525" t="str">
        <f>IF(AND(OR(LEFT(TH!L207,2)="15",LEFT(TH!M207,2)="15"),'152-CT'!$J$8=TH!F207),"x","")</f>
        <v/>
      </c>
      <c r="W207" s="525" t="str">
        <f>IF(AND(OR(LEFT(TH!L207,2)="15",LEFT(TH!M207,2)="15"),TK!$E$7=TH!F207),"x","")</f>
        <v/>
      </c>
      <c r="X207" s="525" t="str">
        <f>IF(AND('341-CT'!$E$9=H207,OR(LEFT(L207,3)=$X$7,LEFT(M207,3)=$X$7)),"x","")</f>
        <v/>
      </c>
      <c r="Y207" s="525" t="str">
        <f>IF(OR(TH!L207=TH!$Y$7,M207=TH!$Y$7),"x","")</f>
        <v/>
      </c>
      <c r="Z207" s="525" t="str">
        <f>IF(AND(B207&lt;=NKC!$N$8,B207&gt;=NKC!$M$8),"x","")</f>
        <v>x</v>
      </c>
      <c r="AA207" s="535">
        <v>1</v>
      </c>
      <c r="AB207" s="536"/>
    </row>
    <row r="208" spans="1:28" s="503" customFormat="1" ht="15.75" customHeight="1">
      <c r="A208" s="517" t="str">
        <f>IF(B208&lt;&gt;"",IF(AND(B208&gt;=_TM1,B208&lt;=_TM2,OR(TH!L208="1111",TH!M208="1111")),TH!D208,""),"")</f>
        <v/>
      </c>
      <c r="B208" s="531">
        <f t="shared" si="20"/>
        <v>3</v>
      </c>
      <c r="C208" s="315">
        <f t="shared" si="19"/>
        <v>42797</v>
      </c>
      <c r="D208" s="315" t="s">
        <v>461</v>
      </c>
      <c r="E208" s="288">
        <v>42797</v>
      </c>
      <c r="F208" s="249" t="s">
        <v>803</v>
      </c>
      <c r="G208" s="314" t="s">
        <v>290</v>
      </c>
      <c r="H208" s="472"/>
      <c r="I208" s="307"/>
      <c r="J208" s="307"/>
      <c r="K208" s="532">
        <v>533477</v>
      </c>
      <c r="L208" s="533" t="s">
        <v>81</v>
      </c>
      <c r="M208" s="533" t="s">
        <v>24</v>
      </c>
      <c r="N208" s="525" t="str">
        <f>IF(AND('331-CT'!$E$7=TH!H208,OR(L208="331",M208="331")),"331",IF(AND(OR(L208="131",M208="131"),H208='131-CT'!$E$7),"131",""))</f>
        <v/>
      </c>
      <c r="O208" s="525" t="str">
        <f>IF(AND($B208&gt;='111'!$N$11,$B208&lt;='111'!$O$11,OR($L208=$O$7,$M208=$O$7)),"x","")</f>
        <v/>
      </c>
      <c r="P208" s="525" t="str">
        <f>IF(AND($L208=$O$7,$B208&lt;'111'!$N$11),"x","")</f>
        <v/>
      </c>
      <c r="Q208" s="525" t="str">
        <f>IF(AND($M208=$O$7,$B208&lt;'111'!$N$11),"x","")</f>
        <v/>
      </c>
      <c r="R208" s="525" t="str">
        <f>IF(ISERROR(FIND('112'!$M$9,G208,1)),"",IF((AND(FIND('112'!$M$9,G208,1)&gt;=1,$B208&gt;='112'!$N$8,$B208&lt;='112'!$O$8,OR($L208='112'!$I$6,$M208='112'!$I$6))),"x",""))</f>
        <v/>
      </c>
      <c r="S208" s="525" t="str">
        <f>IF(ISERROR(FIND('112'!$M$9,G208,1)),"",IF((AND(LEFT(G208,2)=LEFT('112'!$M$9,2),B208&lt;'112'!$N$8,$L208='112'!$I$6)),"x",""))</f>
        <v/>
      </c>
      <c r="T208" s="525" t="str">
        <f>IF(ISERROR(FIND('112'!$M$9,G208,1)),"",IF((AND(RIGHT(G208,2)=RIGHT('112'!$M$9,2),B208&lt;'112'!$N$8,$M208='112'!$I$6)),"x",""))</f>
        <v/>
      </c>
      <c r="U208" s="525" t="str">
        <f>IF(AND(B208&gt;='IN-NX'!$P$3,B208&lt;='IN-NX'!$Q$3,'IN-NX'!$D$7=D208,OR(LEFT(L208,2)="15",AND(LEFT(M208,2)&lt;&gt;"15",LEFT(M208,2)&lt;&gt;"33"))),"x","")</f>
        <v/>
      </c>
      <c r="V208" s="525" t="str">
        <f>IF(AND(OR(LEFT(TH!L208,2)="15",LEFT(TH!M208,2)="15"),'152-CT'!$J$8=TH!F208),"x","")</f>
        <v/>
      </c>
      <c r="W208" s="525" t="str">
        <f>IF(AND(OR(LEFT(TH!L208,2)="15",LEFT(TH!M208,2)="15"),TK!$E$7=TH!F208),"x","")</f>
        <v/>
      </c>
      <c r="X208" s="525" t="str">
        <f>IF(AND('341-CT'!$E$9=H208,OR(LEFT(L208,3)=$X$7,LEFT(M208,3)=$X$7)),"x","")</f>
        <v/>
      </c>
      <c r="Y208" s="525" t="str">
        <f>IF(OR(TH!L208=TH!$Y$7,M208=TH!$Y$7),"x","")</f>
        <v/>
      </c>
      <c r="Z208" s="525" t="str">
        <f>IF(AND(B208&lt;=NKC!$N$8,B208&gt;=NKC!$M$8),"x","")</f>
        <v>x</v>
      </c>
      <c r="AA208" s="535">
        <v>1</v>
      </c>
    </row>
    <row r="209" spans="1:28" s="503" customFormat="1" ht="15.75" customHeight="1">
      <c r="A209" s="517" t="str">
        <f>IF(B209&lt;&gt;"",IF(AND(B209&gt;=_TM1,B209&lt;=_TM2,OR(TH!L209="1111",TH!M209="1111")),TH!D209,""),"")</f>
        <v/>
      </c>
      <c r="B209" s="531">
        <f t="shared" si="20"/>
        <v>3</v>
      </c>
      <c r="C209" s="315">
        <f t="shared" si="19"/>
        <v>42797</v>
      </c>
      <c r="D209" s="315" t="s">
        <v>461</v>
      </c>
      <c r="E209" s="288">
        <v>42797</v>
      </c>
      <c r="F209" s="249" t="s">
        <v>804</v>
      </c>
      <c r="G209" s="314" t="s">
        <v>290</v>
      </c>
      <c r="H209" s="472"/>
      <c r="I209" s="307"/>
      <c r="J209" s="307"/>
      <c r="K209" s="532">
        <v>53348</v>
      </c>
      <c r="L209" s="533" t="s">
        <v>9</v>
      </c>
      <c r="M209" s="533" t="s">
        <v>24</v>
      </c>
      <c r="N209" s="525" t="str">
        <f>IF(AND('331-CT'!$E$7=TH!H209,OR(L209="331",M209="331")),"331",IF(AND(OR(L209="131",M209="131"),H209='131-CT'!$E$7),"131",""))</f>
        <v/>
      </c>
      <c r="O209" s="525" t="str">
        <f>IF(AND($B209&gt;='111'!$N$11,$B209&lt;='111'!$O$11,OR($L209=$O$7,$M209=$O$7)),"x","")</f>
        <v/>
      </c>
      <c r="P209" s="525" t="str">
        <f>IF(AND($L209=$O$7,$B209&lt;'111'!$N$11),"x","")</f>
        <v/>
      </c>
      <c r="Q209" s="525" t="str">
        <f>IF(AND($M209=$O$7,$B209&lt;'111'!$N$11),"x","")</f>
        <v/>
      </c>
      <c r="R209" s="525" t="str">
        <f>IF(ISERROR(FIND('112'!$M$9,G209,1)),"",IF((AND(FIND('112'!$M$9,G209,1)&gt;=1,$B209&gt;='112'!$N$8,$B209&lt;='112'!$O$8,OR($L209='112'!$I$6,$M209='112'!$I$6))),"x",""))</f>
        <v/>
      </c>
      <c r="S209" s="525" t="str">
        <f>IF(ISERROR(FIND('112'!$M$9,G209,1)),"",IF((AND(LEFT(G209,2)=LEFT('112'!$M$9,2),B209&lt;'112'!$N$8,$L209='112'!$I$6)),"x",""))</f>
        <v/>
      </c>
      <c r="T209" s="525" t="str">
        <f>IF(ISERROR(FIND('112'!$M$9,G209,1)),"",IF((AND(RIGHT(G209,2)=RIGHT('112'!$M$9,2),B209&lt;'112'!$N$8,$M209='112'!$I$6)),"x",""))</f>
        <v/>
      </c>
      <c r="U209" s="525" t="str">
        <f>IF(AND(B209&gt;='IN-NX'!$P$3,B209&lt;='IN-NX'!$Q$3,'IN-NX'!$D$7=D209,OR(LEFT(L209,2)="15",AND(LEFT(M209,2)&lt;&gt;"15",LEFT(M209,2)&lt;&gt;"33"))),"x","")</f>
        <v/>
      </c>
      <c r="V209" s="525" t="str">
        <f>IF(AND(OR(LEFT(TH!L209,2)="15",LEFT(TH!M209,2)="15"),'152-CT'!$J$8=TH!F209),"x","")</f>
        <v/>
      </c>
      <c r="W209" s="525" t="str">
        <f>IF(AND(OR(LEFT(TH!L209,2)="15",LEFT(TH!M209,2)="15"),TK!$E$7=TH!F209),"x","")</f>
        <v/>
      </c>
      <c r="X209" s="525" t="str">
        <f>IF(AND('341-CT'!$E$9=H209,OR(LEFT(L209,3)=$X$7,LEFT(M209,3)=$X$7)),"x","")</f>
        <v/>
      </c>
      <c r="Y209" s="525" t="str">
        <f>IF(OR(TH!L209=TH!$Y$7,M209=TH!$Y$7),"x","")</f>
        <v/>
      </c>
      <c r="Z209" s="525" t="str">
        <f>IF(AND(B209&lt;=NKC!$N$8,B209&gt;=NKC!$M$8),"x","")</f>
        <v>x</v>
      </c>
      <c r="AA209" s="535">
        <v>1</v>
      </c>
    </row>
    <row r="210" spans="1:28" s="503" customFormat="1" ht="15.75" customHeight="1">
      <c r="A210" s="517" t="str">
        <f>IF(B210&lt;&gt;"",IF(AND(B210&gt;=_TM1,B210&lt;=_TM2,OR(TH!L210="1111",TH!M210="1111")),TH!D210,""),"")</f>
        <v>GBN</v>
      </c>
      <c r="B210" s="531">
        <f t="shared" si="20"/>
        <v>3</v>
      </c>
      <c r="C210" s="315">
        <f t="shared" si="19"/>
        <v>42802</v>
      </c>
      <c r="D210" s="315" t="s">
        <v>461</v>
      </c>
      <c r="E210" s="288">
        <v>42802</v>
      </c>
      <c r="F210" s="249" t="s">
        <v>465</v>
      </c>
      <c r="G210" s="314" t="s">
        <v>290</v>
      </c>
      <c r="H210" s="473" t="s">
        <v>460</v>
      </c>
      <c r="I210" s="307"/>
      <c r="J210" s="307"/>
      <c r="K210" s="532">
        <v>150000000</v>
      </c>
      <c r="L210" s="533" t="s">
        <v>45</v>
      </c>
      <c r="M210" s="533" t="s">
        <v>24</v>
      </c>
      <c r="N210" s="525" t="str">
        <f>IF(AND('331-CT'!$E$7=TH!H210,OR(L210="331",M210="331")),"331",IF(AND(OR(L210="131",M210="131"),H210='131-CT'!$E$7),"131",""))</f>
        <v/>
      </c>
      <c r="O210" s="525" t="str">
        <f>IF(AND($B210&gt;='111'!$N$11,$B210&lt;='111'!$O$11,OR($L210=$O$7,$M210=$O$7)),"x","")</f>
        <v/>
      </c>
      <c r="P210" s="525" t="str">
        <f>IF(AND($L210=$O$7,$B210&lt;'111'!$N$11),"x","")</f>
        <v>x</v>
      </c>
      <c r="Q210" s="525" t="str">
        <f>IF(AND($M210=$O$7,$B210&lt;'111'!$N$11),"x","")</f>
        <v/>
      </c>
      <c r="R210" s="525" t="str">
        <f>IF(ISERROR(FIND('112'!$M$9,G210,1)),"",IF((AND(FIND('112'!$M$9,G210,1)&gt;=1,$B210&gt;='112'!$N$8,$B210&lt;='112'!$O$8,OR($L210='112'!$I$6,$M210='112'!$I$6))),"x",""))</f>
        <v/>
      </c>
      <c r="S210" s="525" t="str">
        <f>IF(ISERROR(FIND('112'!$M$9,G210,1)),"",IF((AND(LEFT(G210,2)=LEFT('112'!$M$9,2),B210&lt;'112'!$N$8,$L210='112'!$I$6)),"x",""))</f>
        <v/>
      </c>
      <c r="T210" s="525" t="str">
        <f>IF(ISERROR(FIND('112'!$M$9,G210,1)),"",IF((AND(RIGHT(G210,2)=RIGHT('112'!$M$9,2),B210&lt;'112'!$N$8,$M210='112'!$I$6)),"x",""))</f>
        <v/>
      </c>
      <c r="U210" s="525" t="str">
        <f>IF(AND(B210&gt;='IN-NX'!$P$3,B210&lt;='IN-NX'!$Q$3,'IN-NX'!$D$7=D210,OR(LEFT(L210,2)="15",AND(LEFT(M210,2)&lt;&gt;"15",LEFT(M210,2)&lt;&gt;"33"))),"x","")</f>
        <v/>
      </c>
      <c r="V210" s="525" t="str">
        <f>IF(AND(OR(LEFT(TH!L210,2)="15",LEFT(TH!M210,2)="15"),'152-CT'!$J$8=TH!F210),"x","")</f>
        <v/>
      </c>
      <c r="W210" s="525" t="str">
        <f>IF(AND(OR(LEFT(TH!L210,2)="15",LEFT(TH!M210,2)="15"),TK!$E$7=TH!F210),"x","")</f>
        <v/>
      </c>
      <c r="X210" s="525" t="str">
        <f>IF(AND('341-CT'!$E$9=H210,OR(LEFT(L210,3)=$X$7,LEFT(M210,3)=$X$7)),"x","")</f>
        <v/>
      </c>
      <c r="Y210" s="525" t="str">
        <f>IF(OR(TH!L210=TH!$Y$7,M210=TH!$Y$7),"x","")</f>
        <v/>
      </c>
      <c r="Z210" s="525" t="str">
        <f>IF(AND(B210&lt;=NKC!$N$8,B210&gt;=NKC!$M$8),"x","")</f>
        <v>x</v>
      </c>
      <c r="AA210" s="535"/>
    </row>
    <row r="211" spans="1:28" s="503" customFormat="1" ht="15.75" customHeight="1">
      <c r="A211" s="517" t="str">
        <f>IF(B211&lt;&gt;"",IF(AND(B211&gt;=_TM1,B211&lt;=_TM2,OR(TH!L211="1111",TH!M211="1111")),TH!D211,""),"")</f>
        <v>GBN</v>
      </c>
      <c r="B211" s="531">
        <f t="shared" si="20"/>
        <v>3</v>
      </c>
      <c r="C211" s="315">
        <f t="shared" si="19"/>
        <v>42802</v>
      </c>
      <c r="D211" s="315" t="s">
        <v>461</v>
      </c>
      <c r="E211" s="288">
        <v>42802</v>
      </c>
      <c r="F211" s="249" t="s">
        <v>465</v>
      </c>
      <c r="G211" s="314" t="s">
        <v>290</v>
      </c>
      <c r="H211" s="473" t="s">
        <v>460</v>
      </c>
      <c r="I211" s="307"/>
      <c r="J211" s="307"/>
      <c r="K211" s="532">
        <v>154000000</v>
      </c>
      <c r="L211" s="533" t="s">
        <v>45</v>
      </c>
      <c r="M211" s="533" t="s">
        <v>24</v>
      </c>
      <c r="N211" s="525" t="str">
        <f>IF(AND('331-CT'!$E$7=TH!H211,OR(L211="331",M211="331")),"331",IF(AND(OR(L211="131",M211="131"),H211='131-CT'!$E$7),"131",""))</f>
        <v/>
      </c>
      <c r="O211" s="525" t="str">
        <f>IF(AND($B211&gt;='111'!$N$11,$B211&lt;='111'!$O$11,OR($L211=$O$7,$M211=$O$7)),"x","")</f>
        <v/>
      </c>
      <c r="P211" s="525" t="str">
        <f>IF(AND($L211=$O$7,$B211&lt;'111'!$N$11),"x","")</f>
        <v>x</v>
      </c>
      <c r="Q211" s="525" t="str">
        <f>IF(AND($M211=$O$7,$B211&lt;'111'!$N$11),"x","")</f>
        <v/>
      </c>
      <c r="R211" s="525" t="str">
        <f>IF(ISERROR(FIND('112'!$M$9,G211,1)),"",IF((AND(FIND('112'!$M$9,G211,1)&gt;=1,$B211&gt;='112'!$N$8,$B211&lt;='112'!$O$8,OR($L211='112'!$I$6,$M211='112'!$I$6))),"x",""))</f>
        <v/>
      </c>
      <c r="S211" s="525" t="str">
        <f>IF(ISERROR(FIND('112'!$M$9,G211,1)),"",IF((AND(LEFT(G211,2)=LEFT('112'!$M$9,2),B211&lt;'112'!$N$8,$L211='112'!$I$6)),"x",""))</f>
        <v/>
      </c>
      <c r="T211" s="525" t="str">
        <f>IF(ISERROR(FIND('112'!$M$9,G211,1)),"",IF((AND(RIGHT(G211,2)=RIGHT('112'!$M$9,2),B211&lt;'112'!$N$8,$M211='112'!$I$6)),"x",""))</f>
        <v/>
      </c>
      <c r="U211" s="525" t="str">
        <f>IF(AND(B211&gt;='IN-NX'!$P$3,B211&lt;='IN-NX'!$Q$3,'IN-NX'!$D$7=D211,OR(LEFT(L211,2)="15",AND(LEFT(M211,2)&lt;&gt;"15",LEFT(M211,2)&lt;&gt;"33"))),"x","")</f>
        <v/>
      </c>
      <c r="V211" s="525" t="str">
        <f>IF(AND(OR(LEFT(TH!L211,2)="15",LEFT(TH!M211,2)="15"),'152-CT'!$J$8=TH!F211),"x","")</f>
        <v/>
      </c>
      <c r="W211" s="525" t="str">
        <f>IF(AND(OR(LEFT(TH!L211,2)="15",LEFT(TH!M211,2)="15"),TK!$E$7=TH!F211),"x","")</f>
        <v/>
      </c>
      <c r="X211" s="525" t="str">
        <f>IF(AND('341-CT'!$E$9=H211,OR(LEFT(L211,3)=$X$7,LEFT(M211,3)=$X$7)),"x","")</f>
        <v/>
      </c>
      <c r="Y211" s="525" t="str">
        <f>IF(OR(TH!L211=TH!$Y$7,M211=TH!$Y$7),"x","")</f>
        <v/>
      </c>
      <c r="Z211" s="525" t="str">
        <f>IF(AND(B211&lt;=NKC!$N$8,B211&gt;=NKC!$M$8),"x","")</f>
        <v>x</v>
      </c>
      <c r="AA211" s="535"/>
    </row>
    <row r="212" spans="1:28" s="503" customFormat="1" ht="15.75" customHeight="1">
      <c r="A212" s="517" t="str">
        <f>IF(B212&lt;&gt;"",IF(AND(B212&gt;=_TM1,B212&lt;=_TM2,OR(TH!L212="1111",TH!M212="1111")),TH!D212,""),"")</f>
        <v>GBN</v>
      </c>
      <c r="B212" s="531">
        <f t="shared" si="20"/>
        <v>3</v>
      </c>
      <c r="C212" s="315">
        <f t="shared" si="19"/>
        <v>42807</v>
      </c>
      <c r="D212" s="315" t="s">
        <v>461</v>
      </c>
      <c r="E212" s="288">
        <v>42807</v>
      </c>
      <c r="F212" s="249" t="s">
        <v>465</v>
      </c>
      <c r="G212" s="314" t="s">
        <v>290</v>
      </c>
      <c r="H212" s="473" t="s">
        <v>460</v>
      </c>
      <c r="I212" s="307"/>
      <c r="J212" s="307"/>
      <c r="K212" s="532">
        <v>5500000</v>
      </c>
      <c r="L212" s="533" t="s">
        <v>45</v>
      </c>
      <c r="M212" s="533" t="s">
        <v>24</v>
      </c>
      <c r="N212" s="525" t="str">
        <f>IF(AND('331-CT'!$E$7=TH!H212,OR(L212="331",M212="331")),"331",IF(AND(OR(L212="131",M212="131"),H212='131-CT'!$E$7),"131",""))</f>
        <v/>
      </c>
      <c r="O212" s="525" t="str">
        <f>IF(AND($B212&gt;='111'!$N$11,$B212&lt;='111'!$O$11,OR($L212=$O$7,$M212=$O$7)),"x","")</f>
        <v/>
      </c>
      <c r="P212" s="525" t="str">
        <f>IF(AND($L212=$O$7,$B212&lt;'111'!$N$11),"x","")</f>
        <v>x</v>
      </c>
      <c r="Q212" s="525" t="str">
        <f>IF(AND($M212=$O$7,$B212&lt;'111'!$N$11),"x","")</f>
        <v/>
      </c>
      <c r="R212" s="525" t="str">
        <f>IF(ISERROR(FIND('112'!$M$9,G212,1)),"",IF((AND(FIND('112'!$M$9,G212,1)&gt;=1,$B212&gt;='112'!$N$8,$B212&lt;='112'!$O$8,OR($L212='112'!$I$6,$M212='112'!$I$6))),"x",""))</f>
        <v/>
      </c>
      <c r="S212" s="525" t="str">
        <f>IF(ISERROR(FIND('112'!$M$9,G212,1)),"",IF((AND(LEFT(G212,2)=LEFT('112'!$M$9,2),B212&lt;'112'!$N$8,$L212='112'!$I$6)),"x",""))</f>
        <v/>
      </c>
      <c r="T212" s="525" t="str">
        <f>IF(ISERROR(FIND('112'!$M$9,G212,1)),"",IF((AND(RIGHT(G212,2)=RIGHT('112'!$M$9,2),B212&lt;'112'!$N$8,$M212='112'!$I$6)),"x",""))</f>
        <v/>
      </c>
      <c r="U212" s="525" t="str">
        <f>IF(AND(B212&gt;='IN-NX'!$P$3,B212&lt;='IN-NX'!$Q$3,'IN-NX'!$D$7=D212,OR(LEFT(L212,2)="15",AND(LEFT(M212,2)&lt;&gt;"15",LEFT(M212,2)&lt;&gt;"33"))),"x","")</f>
        <v/>
      </c>
      <c r="V212" s="525" t="str">
        <f>IF(AND(OR(LEFT(TH!L212,2)="15",LEFT(TH!M212,2)="15"),'152-CT'!$J$8=TH!F212),"x","")</f>
        <v/>
      </c>
      <c r="W212" s="525" t="str">
        <f>IF(AND(OR(LEFT(TH!L212,2)="15",LEFT(TH!M212,2)="15"),TK!$E$7=TH!F212),"x","")</f>
        <v/>
      </c>
      <c r="X212" s="525" t="str">
        <f>IF(AND('341-CT'!$E$9=H212,OR(LEFT(L212,3)=$X$7,LEFT(M212,3)=$X$7)),"x","")</f>
        <v/>
      </c>
      <c r="Y212" s="525" t="str">
        <f>IF(OR(TH!L212=TH!$Y$7,M212=TH!$Y$7),"x","")</f>
        <v/>
      </c>
      <c r="Z212" s="525" t="str">
        <f>IF(AND(B212&lt;=NKC!$N$8,B212&gt;=NKC!$M$8),"x","")</f>
        <v>x</v>
      </c>
      <c r="AA212" s="535"/>
    </row>
    <row r="213" spans="1:28" s="503" customFormat="1" ht="15.75" customHeight="1">
      <c r="A213" s="517" t="str">
        <f>IF(B213&lt;&gt;"",IF(AND(B213&gt;=_TM1,B213&lt;=_TM2,OR(TH!L213="1111",TH!M213="1111")),TH!D213,""),"")</f>
        <v>GBN</v>
      </c>
      <c r="B213" s="531">
        <f t="shared" si="20"/>
        <v>3</v>
      </c>
      <c r="C213" s="315">
        <f t="shared" si="19"/>
        <v>42808</v>
      </c>
      <c r="D213" s="315" t="s">
        <v>461</v>
      </c>
      <c r="E213" s="288">
        <v>42808</v>
      </c>
      <c r="F213" s="249" t="s">
        <v>465</v>
      </c>
      <c r="G213" s="314" t="s">
        <v>290</v>
      </c>
      <c r="H213" s="473" t="s">
        <v>460</v>
      </c>
      <c r="I213" s="307"/>
      <c r="J213" s="307"/>
      <c r="K213" s="532">
        <v>48000000</v>
      </c>
      <c r="L213" s="533" t="s">
        <v>45</v>
      </c>
      <c r="M213" s="533" t="s">
        <v>24</v>
      </c>
      <c r="N213" s="525" t="str">
        <f>IF(AND('331-CT'!$E$7=TH!H213,OR(L213="331",M213="331")),"331",IF(AND(OR(L213="131",M213="131"),H213='131-CT'!$E$7),"131",""))</f>
        <v/>
      </c>
      <c r="O213" s="525" t="str">
        <f>IF(AND($B213&gt;='111'!$N$11,$B213&lt;='111'!$O$11,OR($L213=$O$7,$M213=$O$7)),"x","")</f>
        <v/>
      </c>
      <c r="P213" s="525" t="str">
        <f>IF(AND($L213=$O$7,$B213&lt;'111'!$N$11),"x","")</f>
        <v>x</v>
      </c>
      <c r="Q213" s="525" t="str">
        <f>IF(AND($M213=$O$7,$B213&lt;'111'!$N$11),"x","")</f>
        <v/>
      </c>
      <c r="R213" s="525" t="str">
        <f>IF(ISERROR(FIND('112'!$M$9,G213,1)),"",IF((AND(FIND('112'!$M$9,G213,1)&gt;=1,$B213&gt;='112'!$N$8,$B213&lt;='112'!$O$8,OR($L213='112'!$I$6,$M213='112'!$I$6))),"x",""))</f>
        <v/>
      </c>
      <c r="S213" s="525" t="str">
        <f>IF(ISERROR(FIND('112'!$M$9,G213,1)),"",IF((AND(LEFT(G213,2)=LEFT('112'!$M$9,2),B213&lt;'112'!$N$8,$L213='112'!$I$6)),"x",""))</f>
        <v/>
      </c>
      <c r="T213" s="525" t="str">
        <f>IF(ISERROR(FIND('112'!$M$9,G213,1)),"",IF((AND(RIGHT(G213,2)=RIGHT('112'!$M$9,2),B213&lt;'112'!$N$8,$M213='112'!$I$6)),"x",""))</f>
        <v/>
      </c>
      <c r="U213" s="525" t="str">
        <f>IF(AND(B213&gt;='IN-NX'!$P$3,B213&lt;='IN-NX'!$Q$3,'IN-NX'!$D$7=D213,OR(LEFT(L213,2)="15",AND(LEFT(M213,2)&lt;&gt;"15",LEFT(M213,2)&lt;&gt;"33"))),"x","")</f>
        <v/>
      </c>
      <c r="V213" s="525" t="str">
        <f>IF(AND(OR(LEFT(TH!L213,2)="15",LEFT(TH!M213,2)="15"),'152-CT'!$J$8=TH!F213),"x","")</f>
        <v/>
      </c>
      <c r="W213" s="525" t="str">
        <f>IF(AND(OR(LEFT(TH!L213,2)="15",LEFT(TH!M213,2)="15"),TK!$E$7=TH!F213),"x","")</f>
        <v/>
      </c>
      <c r="X213" s="525" t="str">
        <f>IF(AND('341-CT'!$E$9=H213,OR(LEFT(L213,3)=$X$7,LEFT(M213,3)=$X$7)),"x","")</f>
        <v/>
      </c>
      <c r="Y213" s="525" t="str">
        <f>IF(OR(TH!L213=TH!$Y$7,M213=TH!$Y$7),"x","")</f>
        <v/>
      </c>
      <c r="Z213" s="525" t="str">
        <f>IF(AND(B213&lt;=NKC!$N$8,B213&gt;=NKC!$M$8),"x","")</f>
        <v>x</v>
      </c>
      <c r="AA213" s="535"/>
      <c r="AB213" s="536"/>
    </row>
    <row r="214" spans="1:28" s="503" customFormat="1" ht="15.75" customHeight="1">
      <c r="A214" s="517" t="str">
        <f>IF(B214&lt;&gt;"",IF(AND(B214&gt;=_TM1,B214&lt;=_TM2,OR(TH!L214="1111",TH!M214="1111")),TH!D214,""),"")</f>
        <v>GBN</v>
      </c>
      <c r="B214" s="531">
        <f t="shared" si="20"/>
        <v>3</v>
      </c>
      <c r="C214" s="315">
        <f t="shared" si="19"/>
        <v>42811</v>
      </c>
      <c r="D214" s="315" t="s">
        <v>461</v>
      </c>
      <c r="E214" s="288">
        <v>42811</v>
      </c>
      <c r="F214" s="249" t="s">
        <v>465</v>
      </c>
      <c r="G214" s="314" t="s">
        <v>290</v>
      </c>
      <c r="H214" s="473" t="s">
        <v>460</v>
      </c>
      <c r="I214" s="307"/>
      <c r="J214" s="307"/>
      <c r="K214" s="532">
        <v>17500000</v>
      </c>
      <c r="L214" s="533" t="s">
        <v>45</v>
      </c>
      <c r="M214" s="533" t="s">
        <v>24</v>
      </c>
      <c r="N214" s="525" t="str">
        <f>IF(AND('331-CT'!$E$7=TH!H214,OR(L214="331",M214="331")),"331",IF(AND(OR(L214="131",M214="131"),H214='131-CT'!$E$7),"131",""))</f>
        <v/>
      </c>
      <c r="O214" s="525" t="str">
        <f>IF(AND($B214&gt;='111'!$N$11,$B214&lt;='111'!$O$11,OR($L214=$O$7,$M214=$O$7)),"x","")</f>
        <v/>
      </c>
      <c r="P214" s="525" t="str">
        <f>IF(AND($L214=$O$7,$B214&lt;'111'!$N$11),"x","")</f>
        <v>x</v>
      </c>
      <c r="Q214" s="525" t="str">
        <f>IF(AND($M214=$O$7,$B214&lt;'111'!$N$11),"x","")</f>
        <v/>
      </c>
      <c r="R214" s="525" t="str">
        <f>IF(ISERROR(FIND('112'!$M$9,G214,1)),"",IF((AND(FIND('112'!$M$9,G214,1)&gt;=1,$B214&gt;='112'!$N$8,$B214&lt;='112'!$O$8,OR($L214='112'!$I$6,$M214='112'!$I$6))),"x",""))</f>
        <v/>
      </c>
      <c r="S214" s="525" t="str">
        <f>IF(ISERROR(FIND('112'!$M$9,G214,1)),"",IF((AND(LEFT(G214,2)=LEFT('112'!$M$9,2),B214&lt;'112'!$N$8,$L214='112'!$I$6)),"x",""))</f>
        <v/>
      </c>
      <c r="T214" s="525" t="str">
        <f>IF(ISERROR(FIND('112'!$M$9,G214,1)),"",IF((AND(RIGHT(G214,2)=RIGHT('112'!$M$9,2),B214&lt;'112'!$N$8,$M214='112'!$I$6)),"x",""))</f>
        <v/>
      </c>
      <c r="U214" s="525" t="str">
        <f>IF(AND(B214&gt;='IN-NX'!$P$3,B214&lt;='IN-NX'!$Q$3,'IN-NX'!$D$7=D214,OR(LEFT(L214,2)="15",AND(LEFT(M214,2)&lt;&gt;"15",LEFT(M214,2)&lt;&gt;"33"))),"x","")</f>
        <v/>
      </c>
      <c r="V214" s="525" t="str">
        <f>IF(AND(OR(LEFT(TH!L214,2)="15",LEFT(TH!M214,2)="15"),'152-CT'!$J$8=TH!F214),"x","")</f>
        <v/>
      </c>
      <c r="W214" s="525" t="str">
        <f>IF(AND(OR(LEFT(TH!L214,2)="15",LEFT(TH!M214,2)="15"),TK!$E$7=TH!F214),"x","")</f>
        <v/>
      </c>
      <c r="X214" s="525" t="str">
        <f>IF(AND('341-CT'!$E$9=H214,OR(LEFT(L214,3)=$X$7,LEFT(M214,3)=$X$7)),"x","")</f>
        <v/>
      </c>
      <c r="Y214" s="525" t="str">
        <f>IF(OR(TH!L214=TH!$Y$7,M214=TH!$Y$7),"x","")</f>
        <v/>
      </c>
      <c r="Z214" s="525" t="str">
        <f>IF(AND(B214&lt;=NKC!$N$8,B214&gt;=NKC!$M$8),"x","")</f>
        <v>x</v>
      </c>
      <c r="AA214" s="535"/>
    </row>
    <row r="215" spans="1:28" s="503" customFormat="1" ht="15.75" customHeight="1">
      <c r="A215" s="517" t="str">
        <f>IF(B215&lt;&gt;"",IF(AND(B215&gt;=_TM1,B215&lt;=_TM2,OR(TH!L215="1111",TH!M215="1111")),TH!D215,""),"")</f>
        <v/>
      </c>
      <c r="B215" s="531">
        <f t="shared" si="20"/>
        <v>3</v>
      </c>
      <c r="C215" s="315">
        <f t="shared" si="19"/>
        <v>42812</v>
      </c>
      <c r="D215" s="315" t="s">
        <v>461</v>
      </c>
      <c r="E215" s="288">
        <v>42812</v>
      </c>
      <c r="F215" s="249" t="s">
        <v>469</v>
      </c>
      <c r="G215" s="314" t="s">
        <v>290</v>
      </c>
      <c r="H215" s="472"/>
      <c r="I215" s="307"/>
      <c r="J215" s="307"/>
      <c r="K215" s="532">
        <v>50000</v>
      </c>
      <c r="L215" s="533" t="s">
        <v>81</v>
      </c>
      <c r="M215" s="533" t="s">
        <v>24</v>
      </c>
      <c r="N215" s="525" t="str">
        <f>IF(AND('331-CT'!$E$7=TH!H215,OR(L215="331",M215="331")),"331",IF(AND(OR(L215="131",M215="131"),H215='131-CT'!$E$7),"131",""))</f>
        <v/>
      </c>
      <c r="O215" s="525" t="str">
        <f>IF(AND($B215&gt;='111'!$N$11,$B215&lt;='111'!$O$11,OR($L215=$O$7,$M215=$O$7)),"x","")</f>
        <v/>
      </c>
      <c r="P215" s="525" t="str">
        <f>IF(AND($L215=$O$7,$B215&lt;'111'!$N$11),"x","")</f>
        <v/>
      </c>
      <c r="Q215" s="525" t="str">
        <f>IF(AND($M215=$O$7,$B215&lt;'111'!$N$11),"x","")</f>
        <v/>
      </c>
      <c r="R215" s="525" t="str">
        <f>IF(ISERROR(FIND('112'!$M$9,G215,1)),"",IF((AND(FIND('112'!$M$9,G215,1)&gt;=1,$B215&gt;='112'!$N$8,$B215&lt;='112'!$O$8,OR($L215='112'!$I$6,$M215='112'!$I$6))),"x",""))</f>
        <v/>
      </c>
      <c r="S215" s="525" t="str">
        <f>IF(ISERROR(FIND('112'!$M$9,G215,1)),"",IF((AND(LEFT(G215,2)=LEFT('112'!$M$9,2),B215&lt;'112'!$N$8,$L215='112'!$I$6)),"x",""))</f>
        <v/>
      </c>
      <c r="T215" s="525" t="str">
        <f>IF(ISERROR(FIND('112'!$M$9,G215,1)),"",IF((AND(RIGHT(G215,2)=RIGHT('112'!$M$9,2),B215&lt;'112'!$N$8,$M215='112'!$I$6)),"x",""))</f>
        <v/>
      </c>
      <c r="U215" s="525" t="str">
        <f>IF(AND(B215&gt;='IN-NX'!$P$3,B215&lt;='IN-NX'!$Q$3,'IN-NX'!$D$7=D215,OR(LEFT(L215,2)="15",AND(LEFT(M215,2)&lt;&gt;"15",LEFT(M215,2)&lt;&gt;"33"))),"x","")</f>
        <v/>
      </c>
      <c r="V215" s="525" t="str">
        <f>IF(AND(OR(LEFT(TH!L215,2)="15",LEFT(TH!M215,2)="15"),'152-CT'!$J$8=TH!F215),"x","")</f>
        <v/>
      </c>
      <c r="W215" s="525" t="str">
        <f>IF(AND(OR(LEFT(TH!L215,2)="15",LEFT(TH!M215,2)="15"),TK!$E$7=TH!F215),"x","")</f>
        <v/>
      </c>
      <c r="X215" s="525" t="str">
        <f>IF(AND('341-CT'!$E$9=H215,OR(LEFT(L215,3)=$X$7,LEFT(M215,3)=$X$7)),"x","")</f>
        <v/>
      </c>
      <c r="Y215" s="525" t="str">
        <f>IF(OR(TH!L215=TH!$Y$7,M215=TH!$Y$7),"x","")</f>
        <v/>
      </c>
      <c r="Z215" s="525" t="str">
        <f>IF(AND(B215&lt;=NKC!$N$8,B215&gt;=NKC!$M$8),"x","")</f>
        <v>x</v>
      </c>
      <c r="AA215" s="535">
        <v>1</v>
      </c>
    </row>
    <row r="216" spans="1:28" s="503" customFormat="1" ht="15.75" customHeight="1">
      <c r="A216" s="517" t="str">
        <f>IF(B216&lt;&gt;"",IF(AND(B216&gt;=_TM1,B216&lt;=_TM2,OR(TH!L216="1111",TH!M216="1111")),TH!D216,""),"")</f>
        <v/>
      </c>
      <c r="B216" s="531">
        <f t="shared" si="20"/>
        <v>3</v>
      </c>
      <c r="C216" s="315">
        <f t="shared" si="19"/>
        <v>42812</v>
      </c>
      <c r="D216" s="315" t="s">
        <v>461</v>
      </c>
      <c r="E216" s="288">
        <v>42812</v>
      </c>
      <c r="F216" s="249" t="s">
        <v>470</v>
      </c>
      <c r="G216" s="314" t="s">
        <v>290</v>
      </c>
      <c r="H216" s="473"/>
      <c r="I216" s="307"/>
      <c r="J216" s="307"/>
      <c r="K216" s="532">
        <v>5000</v>
      </c>
      <c r="L216" s="533" t="s">
        <v>9</v>
      </c>
      <c r="M216" s="533" t="s">
        <v>24</v>
      </c>
      <c r="N216" s="525" t="str">
        <f>IF(AND('331-CT'!$E$7=TH!H216,OR(L216="331",M216="331")),"331",IF(AND(OR(L216="131",M216="131"),H216='131-CT'!$E$7),"131",""))</f>
        <v/>
      </c>
      <c r="O216" s="525" t="str">
        <f>IF(AND($B216&gt;='111'!$N$11,$B216&lt;='111'!$O$11,OR($L216=$O$7,$M216=$O$7)),"x","")</f>
        <v/>
      </c>
      <c r="P216" s="525" t="str">
        <f>IF(AND($L216=$O$7,$B216&lt;'111'!$N$11),"x","")</f>
        <v/>
      </c>
      <c r="Q216" s="525" t="str">
        <f>IF(AND($M216=$O$7,$B216&lt;'111'!$N$11),"x","")</f>
        <v/>
      </c>
      <c r="R216" s="525" t="str">
        <f>IF(ISERROR(FIND('112'!$M$9,G216,1)),"",IF((AND(FIND('112'!$M$9,G216,1)&gt;=1,$B216&gt;='112'!$N$8,$B216&lt;='112'!$O$8,OR($L216='112'!$I$6,$M216='112'!$I$6))),"x",""))</f>
        <v/>
      </c>
      <c r="S216" s="525" t="str">
        <f>IF(ISERROR(FIND('112'!$M$9,G216,1)),"",IF((AND(LEFT(G216,2)=LEFT('112'!$M$9,2),B216&lt;'112'!$N$8,$L216='112'!$I$6)),"x",""))</f>
        <v/>
      </c>
      <c r="T216" s="525" t="str">
        <f>IF(ISERROR(FIND('112'!$M$9,G216,1)),"",IF((AND(RIGHT(G216,2)=RIGHT('112'!$M$9,2),B216&lt;'112'!$N$8,$M216='112'!$I$6)),"x",""))</f>
        <v/>
      </c>
      <c r="U216" s="525" t="str">
        <f>IF(AND(B216&gt;='IN-NX'!$P$3,B216&lt;='IN-NX'!$Q$3,'IN-NX'!$D$7=D216,OR(LEFT(L216,2)="15",AND(LEFT(M216,2)&lt;&gt;"15",LEFT(M216,2)&lt;&gt;"33"))),"x","")</f>
        <v/>
      </c>
      <c r="V216" s="525" t="str">
        <f>IF(AND(OR(LEFT(TH!L216,2)="15",LEFT(TH!M216,2)="15"),'152-CT'!$J$8=TH!F216),"x","")</f>
        <v/>
      </c>
      <c r="W216" s="525" t="str">
        <f>IF(AND(OR(LEFT(TH!L216,2)="15",LEFT(TH!M216,2)="15"),TK!$E$7=TH!F216),"x","")</f>
        <v/>
      </c>
      <c r="X216" s="525" t="str">
        <f>IF(AND('341-CT'!$E$9=H216,OR(LEFT(L216,3)=$X$7,LEFT(M216,3)=$X$7)),"x","")</f>
        <v/>
      </c>
      <c r="Y216" s="525" t="str">
        <f>IF(OR(TH!L216=TH!$Y$7,M216=TH!$Y$7),"x","")</f>
        <v/>
      </c>
      <c r="Z216" s="525" t="str">
        <f>IF(AND(B216&lt;=NKC!$N$8,B216&gt;=NKC!$M$8),"x","")</f>
        <v>x</v>
      </c>
      <c r="AA216" s="535">
        <v>1</v>
      </c>
    </row>
    <row r="217" spans="1:28" s="503" customFormat="1" ht="15.75" customHeight="1">
      <c r="A217" s="517" t="str">
        <f>IF(B217&lt;&gt;"",IF(AND(B217&gt;=_TM1,B217&lt;=_TM2,OR(TH!L217="1111",TH!M217="1111")),TH!D217,""),"")</f>
        <v>GBN</v>
      </c>
      <c r="B217" s="531">
        <f t="shared" si="20"/>
        <v>3</v>
      </c>
      <c r="C217" s="315">
        <f t="shared" si="19"/>
        <v>42817</v>
      </c>
      <c r="D217" s="315" t="s">
        <v>461</v>
      </c>
      <c r="E217" s="288">
        <v>42817</v>
      </c>
      <c r="F217" s="249" t="s">
        <v>465</v>
      </c>
      <c r="G217" s="314" t="s">
        <v>290</v>
      </c>
      <c r="H217" s="473" t="s">
        <v>460</v>
      </c>
      <c r="I217" s="307"/>
      <c r="J217" s="307"/>
      <c r="K217" s="532">
        <v>52800000</v>
      </c>
      <c r="L217" s="533" t="s">
        <v>45</v>
      </c>
      <c r="M217" s="533" t="s">
        <v>24</v>
      </c>
      <c r="N217" s="525" t="str">
        <f>IF(AND('331-CT'!$E$7=TH!H217,OR(L217="331",M217="331")),"331",IF(AND(OR(L217="131",M217="131"),H217='131-CT'!$E$7),"131",""))</f>
        <v/>
      </c>
      <c r="O217" s="525" t="str">
        <f>IF(AND($B217&gt;='111'!$N$11,$B217&lt;='111'!$O$11,OR($L217=$O$7,$M217=$O$7)),"x","")</f>
        <v/>
      </c>
      <c r="P217" s="525" t="str">
        <f>IF(AND($L217=$O$7,$B217&lt;'111'!$N$11),"x","")</f>
        <v>x</v>
      </c>
      <c r="Q217" s="525" t="str">
        <f>IF(AND($M217=$O$7,$B217&lt;'111'!$N$11),"x","")</f>
        <v/>
      </c>
      <c r="R217" s="525" t="str">
        <f>IF(ISERROR(FIND('112'!$M$9,G217,1)),"",IF((AND(FIND('112'!$M$9,G217,1)&gt;=1,$B217&gt;='112'!$N$8,$B217&lt;='112'!$O$8,OR($L217='112'!$I$6,$M217='112'!$I$6))),"x",""))</f>
        <v/>
      </c>
      <c r="S217" s="525" t="str">
        <f>IF(ISERROR(FIND('112'!$M$9,G217,1)),"",IF((AND(LEFT(G217,2)=LEFT('112'!$M$9,2),B217&lt;'112'!$N$8,$L217='112'!$I$6)),"x",""))</f>
        <v/>
      </c>
      <c r="T217" s="525" t="str">
        <f>IF(ISERROR(FIND('112'!$M$9,G217,1)),"",IF((AND(RIGHT(G217,2)=RIGHT('112'!$M$9,2),B217&lt;'112'!$N$8,$M217='112'!$I$6)),"x",""))</f>
        <v/>
      </c>
      <c r="U217" s="525" t="str">
        <f>IF(AND(B217&gt;='IN-NX'!$P$3,B217&lt;='IN-NX'!$Q$3,'IN-NX'!$D$7=D217,OR(LEFT(L217,2)="15",AND(LEFT(M217,2)&lt;&gt;"15",LEFT(M217,2)&lt;&gt;"33"))),"x","")</f>
        <v/>
      </c>
      <c r="V217" s="525" t="str">
        <f>IF(AND(OR(LEFT(TH!L217,2)="15",LEFT(TH!M217,2)="15"),'152-CT'!$J$8=TH!F217),"x","")</f>
        <v/>
      </c>
      <c r="W217" s="525" t="str">
        <f>IF(AND(OR(LEFT(TH!L217,2)="15",LEFT(TH!M217,2)="15"),TK!$E$7=TH!F217),"x","")</f>
        <v/>
      </c>
      <c r="X217" s="525" t="str">
        <f>IF(AND('341-CT'!$E$9=H217,OR(LEFT(L217,3)=$X$7,LEFT(M217,3)=$X$7)),"x","")</f>
        <v/>
      </c>
      <c r="Y217" s="525" t="str">
        <f>IF(OR(TH!L217=TH!$Y$7,M217=TH!$Y$7),"x","")</f>
        <v/>
      </c>
      <c r="Z217" s="525" t="str">
        <f>IF(AND(B217&lt;=NKC!$N$8,B217&gt;=NKC!$M$8),"x","")</f>
        <v>x</v>
      </c>
      <c r="AA217" s="535"/>
    </row>
    <row r="218" spans="1:28" s="503" customFormat="1" ht="15.75" customHeight="1">
      <c r="A218" s="517" t="str">
        <f>IF(B218&lt;&gt;"",IF(AND(B218&gt;=_TM1,B218&lt;=_TM2,OR(TH!L218="1111",TH!M218="1111")),TH!D218,""),"")</f>
        <v/>
      </c>
      <c r="B218" s="531">
        <f t="shared" ref="B218:B228" si="21">IF(C218&lt;&gt;"",MONTH(C218),"")</f>
        <v>3</v>
      </c>
      <c r="C218" s="315">
        <f t="shared" ref="C218:C228" si="22">E218</f>
        <v>42817</v>
      </c>
      <c r="D218" s="315" t="s">
        <v>461</v>
      </c>
      <c r="E218" s="288">
        <v>42817</v>
      </c>
      <c r="F218" s="249" t="s">
        <v>805</v>
      </c>
      <c r="G218" s="314" t="s">
        <v>290</v>
      </c>
      <c r="H218" s="473"/>
      <c r="I218" s="307"/>
      <c r="J218" s="307"/>
      <c r="K218" s="532">
        <v>4712619</v>
      </c>
      <c r="L218" s="534" t="s">
        <v>302</v>
      </c>
      <c r="M218" s="533" t="s">
        <v>24</v>
      </c>
      <c r="N218" s="525" t="str">
        <f>IF(AND('331-CT'!$E$7=TH!H218,OR(L218="331",M218="331")),"331",IF(AND(OR(L218="131",M218="131"),H218='131-CT'!$E$7),"131",""))</f>
        <v/>
      </c>
      <c r="O218" s="525" t="str">
        <f>IF(AND($B218&gt;='111'!$N$11,$B218&lt;='111'!$O$11,OR($L218=$O$7,$M218=$O$7)),"x","")</f>
        <v/>
      </c>
      <c r="P218" s="525" t="str">
        <f>IF(AND($L218=$O$7,$B218&lt;'111'!$N$11),"x","")</f>
        <v/>
      </c>
      <c r="Q218" s="525" t="str">
        <f>IF(AND($M218=$O$7,$B218&lt;'111'!$N$11),"x","")</f>
        <v/>
      </c>
      <c r="R218" s="525" t="str">
        <f>IF(ISERROR(FIND('112'!$M$9,G218,1)),"",IF((AND(FIND('112'!$M$9,G218,1)&gt;=1,$B218&gt;='112'!$N$8,$B218&lt;='112'!$O$8,OR($L218='112'!$I$6,$M218='112'!$I$6))),"x",""))</f>
        <v/>
      </c>
      <c r="S218" s="525" t="str">
        <f>IF(ISERROR(FIND('112'!$M$9,G218,1)),"",IF((AND(LEFT(G218,2)=LEFT('112'!$M$9,2),B218&lt;'112'!$N$8,$L218='112'!$I$6)),"x",""))</f>
        <v/>
      </c>
      <c r="T218" s="525" t="str">
        <f>IF(ISERROR(FIND('112'!$M$9,G218,1)),"",IF((AND(RIGHT(G218,2)=RIGHT('112'!$M$9,2),B218&lt;'112'!$N$8,$M218='112'!$I$6)),"x",""))</f>
        <v/>
      </c>
      <c r="U218" s="525" t="str">
        <f>IF(AND(B218&gt;='IN-NX'!$P$3,B218&lt;='IN-NX'!$Q$3,'IN-NX'!$D$7=D218,OR(LEFT(L218,2)="15",AND(LEFT(M218,2)&lt;&gt;"15",LEFT(M218,2)&lt;&gt;"33"))),"x","")</f>
        <v/>
      </c>
      <c r="V218" s="525" t="str">
        <f>IF(AND(OR(LEFT(TH!L218,2)="15",LEFT(TH!M218,2)="15"),'152-CT'!$J$8=TH!F218),"x","")</f>
        <v/>
      </c>
      <c r="W218" s="525" t="str">
        <f>IF(AND(OR(LEFT(TH!L218,2)="15",LEFT(TH!M218,2)="15"),TK!$E$7=TH!F218),"x","")</f>
        <v/>
      </c>
      <c r="X218" s="525" t="str">
        <f>IF(AND('341-CT'!$E$9=H218,OR(LEFT(L218,3)=$X$7,LEFT(M218,3)=$X$7)),"x","")</f>
        <v/>
      </c>
      <c r="Y218" s="525" t="str">
        <f>IF(OR(TH!L218=TH!$Y$7,M218=TH!$Y$7),"x","")</f>
        <v/>
      </c>
      <c r="Z218" s="525" t="str">
        <f>IF(AND(B218&lt;=NKC!$N$8,B218&gt;=NKC!$M$8),"x","")</f>
        <v>x</v>
      </c>
      <c r="AA218" s="535"/>
      <c r="AB218" s="536"/>
    </row>
    <row r="219" spans="1:28" s="503" customFormat="1" ht="15.75" customHeight="1">
      <c r="A219" s="517" t="str">
        <f>IF(B219&lt;&gt;"",IF(AND(B219&gt;=_TM1,B219&lt;=_TM2,OR(TH!L219="1111",TH!M219="1111")),TH!D219,""),"")</f>
        <v/>
      </c>
      <c r="B219" s="531">
        <f t="shared" si="21"/>
        <v>3</v>
      </c>
      <c r="C219" s="315">
        <f t="shared" si="22"/>
        <v>42817</v>
      </c>
      <c r="D219" s="315" t="s">
        <v>461</v>
      </c>
      <c r="E219" s="288">
        <v>42817</v>
      </c>
      <c r="F219" s="248" t="s">
        <v>463</v>
      </c>
      <c r="G219" s="314" t="s">
        <v>290</v>
      </c>
      <c r="H219" s="473"/>
      <c r="I219" s="307"/>
      <c r="J219" s="307"/>
      <c r="K219" s="532">
        <v>10000</v>
      </c>
      <c r="L219" s="533" t="s">
        <v>81</v>
      </c>
      <c r="M219" s="533" t="s">
        <v>24</v>
      </c>
      <c r="N219" s="525" t="str">
        <f>IF(AND('331-CT'!$E$7=TH!H219,OR(L219="331",M219="331")),"331",IF(AND(OR(L219="131",M219="131"),H219='131-CT'!$E$7),"131",""))</f>
        <v/>
      </c>
      <c r="O219" s="525" t="str">
        <f>IF(AND($B219&gt;='111'!$N$11,$B219&lt;='111'!$O$11,OR($L219=$O$7,$M219=$O$7)),"x","")</f>
        <v/>
      </c>
      <c r="P219" s="525" t="str">
        <f>IF(AND($L219=$O$7,$B219&lt;'111'!$N$11),"x","")</f>
        <v/>
      </c>
      <c r="Q219" s="525" t="str">
        <f>IF(AND($M219=$O$7,$B219&lt;'111'!$N$11),"x","")</f>
        <v/>
      </c>
      <c r="R219" s="525" t="str">
        <f>IF(ISERROR(FIND('112'!$M$9,G219,1)),"",IF((AND(FIND('112'!$M$9,G219,1)&gt;=1,$B219&gt;='112'!$N$8,$B219&lt;='112'!$O$8,OR($L219='112'!$I$6,$M219='112'!$I$6))),"x",""))</f>
        <v/>
      </c>
      <c r="S219" s="525" t="str">
        <f>IF(ISERROR(FIND('112'!$M$9,G219,1)),"",IF((AND(LEFT(G219,2)=LEFT('112'!$M$9,2),B219&lt;'112'!$N$8,$L219='112'!$I$6)),"x",""))</f>
        <v/>
      </c>
      <c r="T219" s="525" t="str">
        <f>IF(ISERROR(FIND('112'!$M$9,G219,1)),"",IF((AND(RIGHT(G219,2)=RIGHT('112'!$M$9,2),B219&lt;'112'!$N$8,$M219='112'!$I$6)),"x",""))</f>
        <v/>
      </c>
      <c r="U219" s="525" t="str">
        <f>IF(AND(B219&gt;='IN-NX'!$P$3,B219&lt;='IN-NX'!$Q$3,'IN-NX'!$D$7=D219,OR(LEFT(L219,2)="15",AND(LEFT(M219,2)&lt;&gt;"15",LEFT(M219,2)&lt;&gt;"33"))),"x","")</f>
        <v/>
      </c>
      <c r="V219" s="525" t="str">
        <f>IF(AND(OR(LEFT(TH!L219,2)="15",LEFT(TH!M219,2)="15"),'152-CT'!$J$8=TH!F219),"x","")</f>
        <v/>
      </c>
      <c r="W219" s="525" t="str">
        <f>IF(AND(OR(LEFT(TH!L219,2)="15",LEFT(TH!M219,2)="15"),TK!$E$7=TH!F219),"x","")</f>
        <v/>
      </c>
      <c r="X219" s="525" t="str">
        <f>IF(AND('341-CT'!$E$9=H219,OR(LEFT(L219,3)=$X$7,LEFT(M219,3)=$X$7)),"x","")</f>
        <v/>
      </c>
      <c r="Y219" s="525" t="str">
        <f>IF(OR(TH!L219=TH!$Y$7,M219=TH!$Y$7),"x","")</f>
        <v/>
      </c>
      <c r="Z219" s="525" t="str">
        <f>IF(AND(B219&lt;=NKC!$N$8,B219&gt;=NKC!$M$8),"x","")</f>
        <v>x</v>
      </c>
      <c r="AA219" s="535">
        <v>1</v>
      </c>
    </row>
    <row r="220" spans="1:28" s="503" customFormat="1" ht="15.75" customHeight="1">
      <c r="A220" s="517" t="str">
        <f>IF(B220&lt;&gt;"",IF(AND(B220&gt;=_TM1,B220&lt;=_TM2,OR(TH!L220="1111",TH!M220="1111")),TH!D220,""),"")</f>
        <v/>
      </c>
      <c r="B220" s="531">
        <f t="shared" si="21"/>
        <v>3</v>
      </c>
      <c r="C220" s="315">
        <f t="shared" si="22"/>
        <v>42817</v>
      </c>
      <c r="D220" s="315" t="s">
        <v>461</v>
      </c>
      <c r="E220" s="288">
        <v>42817</v>
      </c>
      <c r="F220" s="248" t="s">
        <v>464</v>
      </c>
      <c r="G220" s="314" t="s">
        <v>290</v>
      </c>
      <c r="H220" s="472"/>
      <c r="I220" s="307"/>
      <c r="J220" s="307"/>
      <c r="K220" s="532">
        <v>1000</v>
      </c>
      <c r="L220" s="533" t="s">
        <v>9</v>
      </c>
      <c r="M220" s="533" t="s">
        <v>24</v>
      </c>
      <c r="N220" s="525" t="str">
        <f>IF(AND('331-CT'!$E$7=TH!H220,OR(L220="331",M220="331")),"331",IF(AND(OR(L220="131",M220="131"),H220='131-CT'!$E$7),"131",""))</f>
        <v/>
      </c>
      <c r="O220" s="525" t="str">
        <f>IF(AND($B220&gt;='111'!$N$11,$B220&lt;='111'!$O$11,OR($L220=$O$7,$M220=$O$7)),"x","")</f>
        <v/>
      </c>
      <c r="P220" s="525" t="str">
        <f>IF(AND($L220=$O$7,$B220&lt;'111'!$N$11),"x","")</f>
        <v/>
      </c>
      <c r="Q220" s="525" t="str">
        <f>IF(AND($M220=$O$7,$B220&lt;'111'!$N$11),"x","")</f>
        <v/>
      </c>
      <c r="R220" s="525" t="str">
        <f>IF(ISERROR(FIND('112'!$M$9,G220,1)),"",IF((AND(FIND('112'!$M$9,G220,1)&gt;=1,$B220&gt;='112'!$N$8,$B220&lt;='112'!$O$8,OR($L220='112'!$I$6,$M220='112'!$I$6))),"x",""))</f>
        <v/>
      </c>
      <c r="S220" s="525" t="str">
        <f>IF(ISERROR(FIND('112'!$M$9,G220,1)),"",IF((AND(LEFT(G220,2)=LEFT('112'!$M$9,2),B220&lt;'112'!$N$8,$L220='112'!$I$6)),"x",""))</f>
        <v/>
      </c>
      <c r="T220" s="525" t="str">
        <f>IF(ISERROR(FIND('112'!$M$9,G220,1)),"",IF((AND(RIGHT(G220,2)=RIGHT('112'!$M$9,2),B220&lt;'112'!$N$8,$M220='112'!$I$6)),"x",""))</f>
        <v/>
      </c>
      <c r="U220" s="525" t="str">
        <f>IF(AND(B220&gt;='IN-NX'!$P$3,B220&lt;='IN-NX'!$Q$3,'IN-NX'!$D$7=D220,OR(LEFT(L220,2)="15",AND(LEFT(M220,2)&lt;&gt;"15",LEFT(M220,2)&lt;&gt;"33"))),"x","")</f>
        <v/>
      </c>
      <c r="V220" s="525" t="str">
        <f>IF(AND(OR(LEFT(TH!L220,2)="15",LEFT(TH!M220,2)="15"),'152-CT'!$J$8=TH!F220),"x","")</f>
        <v/>
      </c>
      <c r="W220" s="525" t="str">
        <f>IF(AND(OR(LEFT(TH!L220,2)="15",LEFT(TH!M220,2)="15"),TK!$E$7=TH!F220),"x","")</f>
        <v/>
      </c>
      <c r="X220" s="525" t="str">
        <f>IF(AND('341-CT'!$E$9=H220,OR(LEFT(L220,3)=$X$7,LEFT(M220,3)=$X$7)),"x","")</f>
        <v/>
      </c>
      <c r="Y220" s="525" t="str">
        <f>IF(OR(TH!L220=TH!$Y$7,M220=TH!$Y$7),"x","")</f>
        <v/>
      </c>
      <c r="Z220" s="525" t="str">
        <f>IF(AND(B220&lt;=NKC!$N$8,B220&gt;=NKC!$M$8),"x","")</f>
        <v>x</v>
      </c>
      <c r="AA220" s="535">
        <v>1</v>
      </c>
    </row>
    <row r="221" spans="1:28" s="503" customFormat="1" ht="15.75" customHeight="1">
      <c r="A221" s="517" t="str">
        <f>IF(B221&lt;&gt;"",IF(AND(B221&gt;=_TM1,B221&lt;=_TM2,OR(TH!L221="1111",TH!M221="1111")),TH!D221,""),"")</f>
        <v/>
      </c>
      <c r="B221" s="531">
        <f t="shared" si="21"/>
        <v>3</v>
      </c>
      <c r="C221" s="315">
        <f t="shared" si="22"/>
        <v>42817</v>
      </c>
      <c r="D221" s="315" t="s">
        <v>461</v>
      </c>
      <c r="E221" s="288">
        <v>42817</v>
      </c>
      <c r="F221" s="249" t="s">
        <v>468</v>
      </c>
      <c r="G221" s="314" t="s">
        <v>290</v>
      </c>
      <c r="H221" s="473" t="s">
        <v>271</v>
      </c>
      <c r="I221" s="307"/>
      <c r="J221" s="307"/>
      <c r="K221" s="532">
        <v>2437883</v>
      </c>
      <c r="L221" s="534" t="s">
        <v>8</v>
      </c>
      <c r="M221" s="533" t="s">
        <v>24</v>
      </c>
      <c r="N221" s="525" t="str">
        <f>IF(AND('331-CT'!$E$7=TH!H221,OR(L221="331",M221="331")),"331",IF(AND(OR(L221="131",M221="131"),H221='131-CT'!$E$7),"131",""))</f>
        <v>331</v>
      </c>
      <c r="O221" s="525" t="str">
        <f>IF(AND($B221&gt;='111'!$N$11,$B221&lt;='111'!$O$11,OR($L221=$O$7,$M221=$O$7)),"x","")</f>
        <v/>
      </c>
      <c r="P221" s="525" t="str">
        <f>IF(AND($L221=$O$7,$B221&lt;'111'!$N$11),"x","")</f>
        <v/>
      </c>
      <c r="Q221" s="525" t="str">
        <f>IF(AND($M221=$O$7,$B221&lt;'111'!$N$11),"x","")</f>
        <v/>
      </c>
      <c r="R221" s="525" t="str">
        <f>IF(ISERROR(FIND('112'!$M$9,G221,1)),"",IF((AND(FIND('112'!$M$9,G221,1)&gt;=1,$B221&gt;='112'!$N$8,$B221&lt;='112'!$O$8,OR($L221='112'!$I$6,$M221='112'!$I$6))),"x",""))</f>
        <v/>
      </c>
      <c r="S221" s="525" t="str">
        <f>IF(ISERROR(FIND('112'!$M$9,G221,1)),"",IF((AND(LEFT(G221,2)=LEFT('112'!$M$9,2),B221&lt;'112'!$N$8,$L221='112'!$I$6)),"x",""))</f>
        <v/>
      </c>
      <c r="T221" s="525" t="str">
        <f>IF(ISERROR(FIND('112'!$M$9,G221,1)),"",IF((AND(RIGHT(G221,2)=RIGHT('112'!$M$9,2),B221&lt;'112'!$N$8,$M221='112'!$I$6)),"x",""))</f>
        <v/>
      </c>
      <c r="U221" s="525" t="str">
        <f>IF(AND(B221&gt;='IN-NX'!$P$3,B221&lt;='IN-NX'!$Q$3,'IN-NX'!$D$7=D221,OR(LEFT(L221,2)="15",AND(LEFT(M221,2)&lt;&gt;"15",LEFT(M221,2)&lt;&gt;"33"))),"x","")</f>
        <v/>
      </c>
      <c r="V221" s="525" t="str">
        <f>IF(AND(OR(LEFT(TH!L221,2)="15",LEFT(TH!M221,2)="15"),'152-CT'!$J$8=TH!F221),"x","")</f>
        <v/>
      </c>
      <c r="W221" s="525" t="str">
        <f>IF(AND(OR(LEFT(TH!L221,2)="15",LEFT(TH!M221,2)="15"),TK!$E$7=TH!F221),"x","")</f>
        <v/>
      </c>
      <c r="X221" s="525" t="str">
        <f>IF(AND('341-CT'!$E$9=H221,OR(LEFT(L221,3)=$X$7,LEFT(M221,3)=$X$7)),"x","")</f>
        <v/>
      </c>
      <c r="Y221" s="525" t="str">
        <f>IF(OR(TH!L221=TH!$Y$7,M221=TH!$Y$7),"x","")</f>
        <v/>
      </c>
      <c r="Z221" s="525" t="str">
        <f>IF(AND(B221&lt;=NKC!$N$8,B221&gt;=NKC!$M$8),"x","")</f>
        <v>x</v>
      </c>
      <c r="AA221" s="535"/>
    </row>
    <row r="222" spans="1:28" s="503" customFormat="1" ht="15.75" customHeight="1">
      <c r="A222" s="517" t="str">
        <f>IF(B222&lt;&gt;"",IF(AND(B222&gt;=_TM1,B222&lt;=_TM2,OR(TH!L222="1111",TH!M222="1111")),TH!D222,""),"")</f>
        <v/>
      </c>
      <c r="B222" s="531">
        <f t="shared" si="21"/>
        <v>3</v>
      </c>
      <c r="C222" s="315">
        <f t="shared" si="22"/>
        <v>42817</v>
      </c>
      <c r="D222" s="315" t="s">
        <v>461</v>
      </c>
      <c r="E222" s="288">
        <v>42817</v>
      </c>
      <c r="F222" s="248" t="s">
        <v>463</v>
      </c>
      <c r="G222" s="314" t="s">
        <v>290</v>
      </c>
      <c r="H222" s="472"/>
      <c r="I222" s="307"/>
      <c r="J222" s="307"/>
      <c r="K222" s="532">
        <v>10000</v>
      </c>
      <c r="L222" s="533" t="s">
        <v>81</v>
      </c>
      <c r="M222" s="533" t="s">
        <v>24</v>
      </c>
      <c r="N222" s="525" t="str">
        <f>IF(AND('331-CT'!$E$7=TH!H222,OR(L222="331",M222="331")),"331",IF(AND(OR(L222="131",M222="131"),H222='131-CT'!$E$7),"131",""))</f>
        <v/>
      </c>
      <c r="O222" s="525" t="str">
        <f>IF(AND($B222&gt;='111'!$N$11,$B222&lt;='111'!$O$11,OR($L222=$O$7,$M222=$O$7)),"x","")</f>
        <v/>
      </c>
      <c r="P222" s="525" t="str">
        <f>IF(AND($L222=$O$7,$B222&lt;'111'!$N$11),"x","")</f>
        <v/>
      </c>
      <c r="Q222" s="525" t="str">
        <f>IF(AND($M222=$O$7,$B222&lt;'111'!$N$11),"x","")</f>
        <v/>
      </c>
      <c r="R222" s="525" t="str">
        <f>IF(ISERROR(FIND('112'!$M$9,G222,1)),"",IF((AND(FIND('112'!$M$9,G222,1)&gt;=1,$B222&gt;='112'!$N$8,$B222&lt;='112'!$O$8,OR($L222='112'!$I$6,$M222='112'!$I$6))),"x",""))</f>
        <v/>
      </c>
      <c r="S222" s="525" t="str">
        <f>IF(ISERROR(FIND('112'!$M$9,G222,1)),"",IF((AND(LEFT(G222,2)=LEFT('112'!$M$9,2),B222&lt;'112'!$N$8,$L222='112'!$I$6)),"x",""))</f>
        <v/>
      </c>
      <c r="T222" s="525" t="str">
        <f>IF(ISERROR(FIND('112'!$M$9,G222,1)),"",IF((AND(RIGHT(G222,2)=RIGHT('112'!$M$9,2),B222&lt;'112'!$N$8,$M222='112'!$I$6)),"x",""))</f>
        <v/>
      </c>
      <c r="U222" s="525" t="str">
        <f>IF(AND(B222&gt;='IN-NX'!$P$3,B222&lt;='IN-NX'!$Q$3,'IN-NX'!$D$7=D222,OR(LEFT(L222,2)="15",AND(LEFT(M222,2)&lt;&gt;"15",LEFT(M222,2)&lt;&gt;"33"))),"x","")</f>
        <v/>
      </c>
      <c r="V222" s="525" t="str">
        <f>IF(AND(OR(LEFT(TH!L222,2)="15",LEFT(TH!M222,2)="15"),'152-CT'!$J$8=TH!F222),"x","")</f>
        <v/>
      </c>
      <c r="W222" s="525" t="str">
        <f>IF(AND(OR(LEFT(TH!L222,2)="15",LEFT(TH!M222,2)="15"),TK!$E$7=TH!F222),"x","")</f>
        <v/>
      </c>
      <c r="X222" s="525" t="str">
        <f>IF(AND('341-CT'!$E$9=H222,OR(LEFT(L222,3)=$X$7,LEFT(M222,3)=$X$7)),"x","")</f>
        <v/>
      </c>
      <c r="Y222" s="525" t="str">
        <f>IF(OR(TH!L222=TH!$Y$7,M222=TH!$Y$7),"x","")</f>
        <v/>
      </c>
      <c r="Z222" s="525" t="str">
        <f>IF(AND(B222&lt;=NKC!$N$8,B222&gt;=NKC!$M$8),"x","")</f>
        <v>x</v>
      </c>
      <c r="AA222" s="535">
        <v>1</v>
      </c>
    </row>
    <row r="223" spans="1:28" s="503" customFormat="1" ht="15.75" customHeight="1">
      <c r="A223" s="517" t="str">
        <f>IF(B223&lt;&gt;"",IF(AND(B223&gt;=_TM1,B223&lt;=_TM2,OR(TH!L223="1111",TH!M223="1111")),TH!D223,""),"")</f>
        <v/>
      </c>
      <c r="B223" s="531">
        <f t="shared" si="21"/>
        <v>3</v>
      </c>
      <c r="C223" s="315">
        <f t="shared" si="22"/>
        <v>42817</v>
      </c>
      <c r="D223" s="315" t="s">
        <v>461</v>
      </c>
      <c r="E223" s="288">
        <v>42817</v>
      </c>
      <c r="F223" s="248" t="s">
        <v>464</v>
      </c>
      <c r="G223" s="314" t="s">
        <v>290</v>
      </c>
      <c r="H223" s="472"/>
      <c r="I223" s="307"/>
      <c r="J223" s="307"/>
      <c r="K223" s="532">
        <v>1000</v>
      </c>
      <c r="L223" s="533" t="s">
        <v>9</v>
      </c>
      <c r="M223" s="533" t="s">
        <v>24</v>
      </c>
      <c r="N223" s="525" t="str">
        <f>IF(AND('331-CT'!$E$7=TH!H223,OR(L223="331",M223="331")),"331",IF(AND(OR(L223="131",M223="131"),H223='131-CT'!$E$7),"131",""))</f>
        <v/>
      </c>
      <c r="O223" s="525" t="str">
        <f>IF(AND($B223&gt;='111'!$N$11,$B223&lt;='111'!$O$11,OR($L223=$O$7,$M223=$O$7)),"x","")</f>
        <v/>
      </c>
      <c r="P223" s="525" t="str">
        <f>IF(AND($L223=$O$7,$B223&lt;'111'!$N$11),"x","")</f>
        <v/>
      </c>
      <c r="Q223" s="525" t="str">
        <f>IF(AND($M223=$O$7,$B223&lt;'111'!$N$11),"x","")</f>
        <v/>
      </c>
      <c r="R223" s="525" t="str">
        <f>IF(ISERROR(FIND('112'!$M$9,G223,1)),"",IF((AND(FIND('112'!$M$9,G223,1)&gt;=1,$B223&gt;='112'!$N$8,$B223&lt;='112'!$O$8,OR($L223='112'!$I$6,$M223='112'!$I$6))),"x",""))</f>
        <v/>
      </c>
      <c r="S223" s="525" t="str">
        <f>IF(ISERROR(FIND('112'!$M$9,G223,1)),"",IF((AND(LEFT(G223,2)=LEFT('112'!$M$9,2),B223&lt;'112'!$N$8,$L223='112'!$I$6)),"x",""))</f>
        <v/>
      </c>
      <c r="T223" s="525" t="str">
        <f>IF(ISERROR(FIND('112'!$M$9,G223,1)),"",IF((AND(RIGHT(G223,2)=RIGHT('112'!$M$9,2),B223&lt;'112'!$N$8,$M223='112'!$I$6)),"x",""))</f>
        <v/>
      </c>
      <c r="U223" s="525" t="str">
        <f>IF(AND(B223&gt;='IN-NX'!$P$3,B223&lt;='IN-NX'!$Q$3,'IN-NX'!$D$7=D223,OR(LEFT(L223,2)="15",AND(LEFT(M223,2)&lt;&gt;"15",LEFT(M223,2)&lt;&gt;"33"))),"x","")</f>
        <v/>
      </c>
      <c r="V223" s="525" t="str">
        <f>IF(AND(OR(LEFT(TH!L223,2)="15",LEFT(TH!M223,2)="15"),'152-CT'!$J$8=TH!F223),"x","")</f>
        <v/>
      </c>
      <c r="W223" s="525" t="str">
        <f>IF(AND(OR(LEFT(TH!L223,2)="15",LEFT(TH!M223,2)="15"),TK!$E$7=TH!F223),"x","")</f>
        <v/>
      </c>
      <c r="X223" s="525" t="str">
        <f>IF(AND('341-CT'!$E$9=H223,OR(LEFT(L223,3)=$X$7,LEFT(M223,3)=$X$7)),"x","")</f>
        <v/>
      </c>
      <c r="Y223" s="525" t="str">
        <f>IF(OR(TH!L223=TH!$Y$7,M223=TH!$Y$7),"x","")</f>
        <v/>
      </c>
      <c r="Z223" s="525" t="str">
        <f>IF(AND(B223&lt;=NKC!$N$8,B223&gt;=NKC!$M$8),"x","")</f>
        <v>x</v>
      </c>
      <c r="AA223" s="535">
        <v>1</v>
      </c>
    </row>
    <row r="224" spans="1:28" s="503" customFormat="1" ht="15.75" customHeight="1">
      <c r="A224" s="517" t="str">
        <f>IF(B224&lt;&gt;"",IF(AND(B224&gt;=_TM1,B224&lt;=_TM2,OR(TH!L224="1111",TH!M224="1111")),TH!D224,""),"")</f>
        <v/>
      </c>
      <c r="B224" s="531">
        <f t="shared" si="21"/>
        <v>3</v>
      </c>
      <c r="C224" s="315">
        <f t="shared" si="22"/>
        <v>42819</v>
      </c>
      <c r="D224" s="315" t="s">
        <v>461</v>
      </c>
      <c r="E224" s="288">
        <v>42819</v>
      </c>
      <c r="F224" s="249" t="s">
        <v>473</v>
      </c>
      <c r="G224" s="314" t="s">
        <v>290</v>
      </c>
      <c r="H224" s="473"/>
      <c r="I224" s="307"/>
      <c r="J224" s="307"/>
      <c r="K224" s="532">
        <v>10000</v>
      </c>
      <c r="L224" s="533" t="s">
        <v>81</v>
      </c>
      <c r="M224" s="533" t="s">
        <v>24</v>
      </c>
      <c r="N224" s="525" t="str">
        <f>IF(AND('331-CT'!$E$7=TH!H224,OR(L224="331",M224="331")),"331",IF(AND(OR(L224="131",M224="131"),H224='131-CT'!$E$7),"131",""))</f>
        <v/>
      </c>
      <c r="O224" s="525" t="str">
        <f>IF(AND($B224&gt;='111'!$N$11,$B224&lt;='111'!$O$11,OR($L224=$O$7,$M224=$O$7)),"x","")</f>
        <v/>
      </c>
      <c r="P224" s="525" t="str">
        <f>IF(AND($L224=$O$7,$B224&lt;'111'!$N$11),"x","")</f>
        <v/>
      </c>
      <c r="Q224" s="525" t="str">
        <f>IF(AND($M224=$O$7,$B224&lt;'111'!$N$11),"x","")</f>
        <v/>
      </c>
      <c r="R224" s="525" t="str">
        <f>IF(ISERROR(FIND('112'!$M$9,G224,1)),"",IF((AND(FIND('112'!$M$9,G224,1)&gt;=1,$B224&gt;='112'!$N$8,$B224&lt;='112'!$O$8,OR($L224='112'!$I$6,$M224='112'!$I$6))),"x",""))</f>
        <v/>
      </c>
      <c r="S224" s="525" t="str">
        <f>IF(ISERROR(FIND('112'!$M$9,G224,1)),"",IF((AND(LEFT(G224,2)=LEFT('112'!$M$9,2),B224&lt;'112'!$N$8,$L224='112'!$I$6)),"x",""))</f>
        <v/>
      </c>
      <c r="T224" s="525" t="str">
        <f>IF(ISERROR(FIND('112'!$M$9,G224,1)),"",IF((AND(RIGHT(G224,2)=RIGHT('112'!$M$9,2),B224&lt;'112'!$N$8,$M224='112'!$I$6)),"x",""))</f>
        <v/>
      </c>
      <c r="U224" s="525" t="str">
        <f>IF(AND(B224&gt;='IN-NX'!$P$3,B224&lt;='IN-NX'!$Q$3,'IN-NX'!$D$7=D224,OR(LEFT(L224,2)="15",AND(LEFT(M224,2)&lt;&gt;"15",LEFT(M224,2)&lt;&gt;"33"))),"x","")</f>
        <v/>
      </c>
      <c r="V224" s="525" t="str">
        <f>IF(AND(OR(LEFT(TH!L224,2)="15",LEFT(TH!M224,2)="15"),'152-CT'!$J$8=TH!F224),"x","")</f>
        <v/>
      </c>
      <c r="W224" s="525" t="str">
        <f>IF(AND(OR(LEFT(TH!L224,2)="15",LEFT(TH!M224,2)="15"),TK!$E$7=TH!F224),"x","")</f>
        <v/>
      </c>
      <c r="X224" s="525" t="str">
        <f>IF(AND('341-CT'!$E$9=H224,OR(LEFT(L224,3)=$X$7,LEFT(M224,3)=$X$7)),"x","")</f>
        <v/>
      </c>
      <c r="Y224" s="525" t="str">
        <f>IF(OR(TH!L224=TH!$Y$7,M224=TH!$Y$7),"x","")</f>
        <v/>
      </c>
      <c r="Z224" s="525" t="str">
        <f>IF(AND(B224&lt;=NKC!$N$8,B224&gt;=NKC!$M$8),"x","")</f>
        <v>x</v>
      </c>
      <c r="AA224" s="535">
        <v>1</v>
      </c>
    </row>
    <row r="225" spans="1:28" s="503" customFormat="1" ht="15.75" customHeight="1">
      <c r="A225" s="517" t="str">
        <f>IF(B225&lt;&gt;"",IF(AND(B225&gt;=_TM1,B225&lt;=_TM2,OR(TH!L225="1111",TH!M225="1111")),TH!D225,""),"")</f>
        <v/>
      </c>
      <c r="B225" s="531">
        <f t="shared" si="21"/>
        <v>3</v>
      </c>
      <c r="C225" s="315">
        <f t="shared" si="22"/>
        <v>42819</v>
      </c>
      <c r="D225" s="315" t="s">
        <v>461</v>
      </c>
      <c r="E225" s="288">
        <v>42819</v>
      </c>
      <c r="F225" s="249" t="s">
        <v>474</v>
      </c>
      <c r="G225" s="314" t="s">
        <v>290</v>
      </c>
      <c r="H225" s="472"/>
      <c r="I225" s="307"/>
      <c r="J225" s="307"/>
      <c r="K225" s="532">
        <v>1000</v>
      </c>
      <c r="L225" s="533" t="s">
        <v>9</v>
      </c>
      <c r="M225" s="533" t="s">
        <v>24</v>
      </c>
      <c r="N225" s="525" t="str">
        <f>IF(AND('331-CT'!$E$7=TH!H225,OR(L225="331",M225="331")),"331",IF(AND(OR(L225="131",M225="131"),H225='131-CT'!$E$7),"131",""))</f>
        <v/>
      </c>
      <c r="O225" s="525" t="str">
        <f>IF(AND($B225&gt;='111'!$N$11,$B225&lt;='111'!$O$11,OR($L225=$O$7,$M225=$O$7)),"x","")</f>
        <v/>
      </c>
      <c r="P225" s="525" t="str">
        <f>IF(AND($L225=$O$7,$B225&lt;'111'!$N$11),"x","")</f>
        <v/>
      </c>
      <c r="Q225" s="525" t="str">
        <f>IF(AND($M225=$O$7,$B225&lt;'111'!$N$11),"x","")</f>
        <v/>
      </c>
      <c r="R225" s="525" t="str">
        <f>IF(ISERROR(FIND('112'!$M$9,G225,1)),"",IF((AND(FIND('112'!$M$9,G225,1)&gt;=1,$B225&gt;='112'!$N$8,$B225&lt;='112'!$O$8,OR($L225='112'!$I$6,$M225='112'!$I$6))),"x",""))</f>
        <v/>
      </c>
      <c r="S225" s="525" t="str">
        <f>IF(ISERROR(FIND('112'!$M$9,G225,1)),"",IF((AND(LEFT(G225,2)=LEFT('112'!$M$9,2),B225&lt;'112'!$N$8,$L225='112'!$I$6)),"x",""))</f>
        <v/>
      </c>
      <c r="T225" s="525" t="str">
        <f>IF(ISERROR(FIND('112'!$M$9,G225,1)),"",IF((AND(RIGHT(G225,2)=RIGHT('112'!$M$9,2),B225&lt;'112'!$N$8,$M225='112'!$I$6)),"x",""))</f>
        <v/>
      </c>
      <c r="U225" s="525" t="str">
        <f>IF(AND(B225&gt;='IN-NX'!$P$3,B225&lt;='IN-NX'!$Q$3,'IN-NX'!$D$7=D225,OR(LEFT(L225,2)="15",AND(LEFT(M225,2)&lt;&gt;"15",LEFT(M225,2)&lt;&gt;"33"))),"x","")</f>
        <v/>
      </c>
      <c r="V225" s="525" t="str">
        <f>IF(AND(OR(LEFT(TH!L225,2)="15",LEFT(TH!M225,2)="15"),'152-CT'!$J$8=TH!F225),"x","")</f>
        <v/>
      </c>
      <c r="W225" s="525" t="str">
        <f>IF(AND(OR(LEFT(TH!L225,2)="15",LEFT(TH!M225,2)="15"),TK!$E$7=TH!F225),"x","")</f>
        <v/>
      </c>
      <c r="X225" s="525" t="str">
        <f>IF(AND('341-CT'!$E$9=H225,OR(LEFT(L225,3)=$X$7,LEFT(M225,3)=$X$7)),"x","")</f>
        <v/>
      </c>
      <c r="Y225" s="525" t="str">
        <f>IF(OR(TH!L225=TH!$Y$7,M225=TH!$Y$7),"x","")</f>
        <v/>
      </c>
      <c r="Z225" s="525" t="str">
        <f>IF(AND(B225&lt;=NKC!$N$8,B225&gt;=NKC!$M$8),"x","")</f>
        <v>x</v>
      </c>
      <c r="AA225" s="535">
        <v>1</v>
      </c>
      <c r="AB225" s="536"/>
    </row>
    <row r="226" spans="1:28" s="503" customFormat="1" ht="15.75" customHeight="1">
      <c r="A226" s="517" t="str">
        <f>IF(B226&lt;&gt;"",IF(AND(B226&gt;=_TM1,B226&lt;=_TM2,OR(TH!L226="1111",TH!M226="1111")),TH!D226,""),"")</f>
        <v/>
      </c>
      <c r="B226" s="531">
        <f t="shared" si="21"/>
        <v>3</v>
      </c>
      <c r="C226" s="315">
        <f t="shared" si="22"/>
        <v>42824</v>
      </c>
      <c r="D226" s="315" t="s">
        <v>461</v>
      </c>
      <c r="E226" s="288">
        <v>42824</v>
      </c>
      <c r="F226" s="249" t="s">
        <v>468</v>
      </c>
      <c r="G226" s="314" t="s">
        <v>290</v>
      </c>
      <c r="H226" s="473" t="s">
        <v>271</v>
      </c>
      <c r="I226" s="307"/>
      <c r="J226" s="307"/>
      <c r="K226" s="532">
        <v>9268909</v>
      </c>
      <c r="L226" s="534" t="s">
        <v>8</v>
      </c>
      <c r="M226" s="533" t="s">
        <v>24</v>
      </c>
      <c r="N226" s="525" t="str">
        <f>IF(AND('331-CT'!$E$7=TH!H226,OR(L226="331",M226="331")),"331",IF(AND(OR(L226="131",M226="131"),H226='131-CT'!$E$7),"131",""))</f>
        <v>331</v>
      </c>
      <c r="O226" s="525" t="str">
        <f>IF(AND($B226&gt;='111'!$N$11,$B226&lt;='111'!$O$11,OR($L226=$O$7,$M226=$O$7)),"x","")</f>
        <v/>
      </c>
      <c r="P226" s="525" t="str">
        <f>IF(AND($L226=$O$7,$B226&lt;'111'!$N$11),"x","")</f>
        <v/>
      </c>
      <c r="Q226" s="525" t="str">
        <f>IF(AND($M226=$O$7,$B226&lt;'111'!$N$11),"x","")</f>
        <v/>
      </c>
      <c r="R226" s="525" t="str">
        <f>IF(ISERROR(FIND('112'!$M$9,G226,1)),"",IF((AND(FIND('112'!$M$9,G226,1)&gt;=1,$B226&gt;='112'!$N$8,$B226&lt;='112'!$O$8,OR($L226='112'!$I$6,$M226='112'!$I$6))),"x",""))</f>
        <v/>
      </c>
      <c r="S226" s="525" t="str">
        <f>IF(ISERROR(FIND('112'!$M$9,G226,1)),"",IF((AND(LEFT(G226,2)=LEFT('112'!$M$9,2),B226&lt;'112'!$N$8,$L226='112'!$I$6)),"x",""))</f>
        <v/>
      </c>
      <c r="T226" s="525" t="str">
        <f>IF(ISERROR(FIND('112'!$M$9,G226,1)),"",IF((AND(RIGHT(G226,2)=RIGHT('112'!$M$9,2),B226&lt;'112'!$N$8,$M226='112'!$I$6)),"x",""))</f>
        <v/>
      </c>
      <c r="U226" s="525" t="str">
        <f>IF(AND(B226&gt;='IN-NX'!$P$3,B226&lt;='IN-NX'!$Q$3,'IN-NX'!$D$7=D226,OR(LEFT(L226,2)="15",AND(LEFT(M226,2)&lt;&gt;"15",LEFT(M226,2)&lt;&gt;"33"))),"x","")</f>
        <v/>
      </c>
      <c r="V226" s="525" t="str">
        <f>IF(AND(OR(LEFT(TH!L226,2)="15",LEFT(TH!M226,2)="15"),'152-CT'!$J$8=TH!F226),"x","")</f>
        <v/>
      </c>
      <c r="W226" s="525" t="str">
        <f>IF(AND(OR(LEFT(TH!L226,2)="15",LEFT(TH!M226,2)="15"),TK!$E$7=TH!F226),"x","")</f>
        <v/>
      </c>
      <c r="X226" s="525" t="str">
        <f>IF(AND('341-CT'!$E$9=H226,OR(LEFT(L226,3)=$X$7,LEFT(M226,3)=$X$7)),"x","")</f>
        <v/>
      </c>
      <c r="Y226" s="525" t="str">
        <f>IF(OR(TH!L226=TH!$Y$7,M226=TH!$Y$7),"x","")</f>
        <v/>
      </c>
      <c r="Z226" s="525" t="str">
        <f>IF(AND(B226&lt;=NKC!$N$8,B226&gt;=NKC!$M$8),"x","")</f>
        <v>x</v>
      </c>
      <c r="AA226" s="535"/>
    </row>
    <row r="227" spans="1:28" s="503" customFormat="1" ht="15.75" customHeight="1">
      <c r="A227" s="517" t="str">
        <f>IF(B227&lt;&gt;"",IF(AND(B227&gt;=_TM1,B227&lt;=_TM2,OR(TH!L227="1111",TH!M227="1111")),TH!D227,""),"")</f>
        <v/>
      </c>
      <c r="B227" s="531">
        <f t="shared" si="21"/>
        <v>3</v>
      </c>
      <c r="C227" s="315">
        <f t="shared" si="22"/>
        <v>42824</v>
      </c>
      <c r="D227" s="315" t="s">
        <v>461</v>
      </c>
      <c r="E227" s="288">
        <v>42824</v>
      </c>
      <c r="F227" s="248" t="s">
        <v>463</v>
      </c>
      <c r="G227" s="314" t="s">
        <v>290</v>
      </c>
      <c r="H227" s="472"/>
      <c r="I227" s="307"/>
      <c r="J227" s="307"/>
      <c r="K227" s="532">
        <v>10000</v>
      </c>
      <c r="L227" s="533" t="s">
        <v>81</v>
      </c>
      <c r="M227" s="533" t="s">
        <v>24</v>
      </c>
      <c r="N227" s="525" t="str">
        <f>IF(AND('331-CT'!$E$7=TH!H227,OR(L227="331",M227="331")),"331",IF(AND(OR(L227="131",M227="131"),H227='131-CT'!$E$7),"131",""))</f>
        <v/>
      </c>
      <c r="O227" s="525" t="str">
        <f>IF(AND($B227&gt;='111'!$N$11,$B227&lt;='111'!$O$11,OR($L227=$O$7,$M227=$O$7)),"x","")</f>
        <v/>
      </c>
      <c r="P227" s="525" t="str">
        <f>IF(AND($L227=$O$7,$B227&lt;'111'!$N$11),"x","")</f>
        <v/>
      </c>
      <c r="Q227" s="525" t="str">
        <f>IF(AND($M227=$O$7,$B227&lt;'111'!$N$11),"x","")</f>
        <v/>
      </c>
      <c r="R227" s="525" t="str">
        <f>IF(ISERROR(FIND('112'!$M$9,G227,1)),"",IF((AND(FIND('112'!$M$9,G227,1)&gt;=1,$B227&gt;='112'!$N$8,$B227&lt;='112'!$O$8,OR($L227='112'!$I$6,$M227='112'!$I$6))),"x",""))</f>
        <v/>
      </c>
      <c r="S227" s="525" t="str">
        <f>IF(ISERROR(FIND('112'!$M$9,G227,1)),"",IF((AND(LEFT(G227,2)=LEFT('112'!$M$9,2),B227&lt;'112'!$N$8,$L227='112'!$I$6)),"x",""))</f>
        <v/>
      </c>
      <c r="T227" s="525" t="str">
        <f>IF(ISERROR(FIND('112'!$M$9,G227,1)),"",IF((AND(RIGHT(G227,2)=RIGHT('112'!$M$9,2),B227&lt;'112'!$N$8,$M227='112'!$I$6)),"x",""))</f>
        <v/>
      </c>
      <c r="U227" s="525" t="str">
        <f>IF(AND(B227&gt;='IN-NX'!$P$3,B227&lt;='IN-NX'!$Q$3,'IN-NX'!$D$7=D227,OR(LEFT(L227,2)="15",AND(LEFT(M227,2)&lt;&gt;"15",LEFT(M227,2)&lt;&gt;"33"))),"x","")</f>
        <v/>
      </c>
      <c r="V227" s="525" t="str">
        <f>IF(AND(OR(LEFT(TH!L227,2)="15",LEFT(TH!M227,2)="15"),'152-CT'!$J$8=TH!F227),"x","")</f>
        <v/>
      </c>
      <c r="W227" s="525" t="str">
        <f>IF(AND(OR(LEFT(TH!L227,2)="15",LEFT(TH!M227,2)="15"),TK!$E$7=TH!F227),"x","")</f>
        <v/>
      </c>
      <c r="X227" s="525" t="str">
        <f>IF(AND('341-CT'!$E$9=H227,OR(LEFT(L227,3)=$X$7,LEFT(M227,3)=$X$7)),"x","")</f>
        <v/>
      </c>
      <c r="Y227" s="525" t="str">
        <f>IF(OR(TH!L227=TH!$Y$7,M227=TH!$Y$7),"x","")</f>
        <v/>
      </c>
      <c r="Z227" s="525" t="str">
        <f>IF(AND(B227&lt;=NKC!$N$8,B227&gt;=NKC!$M$8),"x","")</f>
        <v>x</v>
      </c>
      <c r="AA227" s="535">
        <v>1</v>
      </c>
    </row>
    <row r="228" spans="1:28" s="503" customFormat="1" ht="15.75" customHeight="1">
      <c r="A228" s="517" t="str">
        <f>IF(B228&lt;&gt;"",IF(AND(B228&gt;=_TM1,B228&lt;=_TM2,OR(TH!L228="1111",TH!M228="1111")),TH!D228,""),"")</f>
        <v/>
      </c>
      <c r="B228" s="531">
        <f t="shared" si="21"/>
        <v>3</v>
      </c>
      <c r="C228" s="315">
        <f t="shared" si="22"/>
        <v>42824</v>
      </c>
      <c r="D228" s="315" t="s">
        <v>461</v>
      </c>
      <c r="E228" s="288">
        <v>42824</v>
      </c>
      <c r="F228" s="248" t="s">
        <v>464</v>
      </c>
      <c r="G228" s="314" t="s">
        <v>290</v>
      </c>
      <c r="H228" s="472"/>
      <c r="I228" s="307"/>
      <c r="J228" s="307"/>
      <c r="K228" s="532">
        <v>1000</v>
      </c>
      <c r="L228" s="533" t="s">
        <v>9</v>
      </c>
      <c r="M228" s="533" t="s">
        <v>24</v>
      </c>
      <c r="N228" s="525" t="str">
        <f>IF(AND('331-CT'!$E$7=TH!H228,OR(L228="331",M228="331")),"331",IF(AND(OR(L228="131",M228="131"),H228='131-CT'!$E$7),"131",""))</f>
        <v/>
      </c>
      <c r="O228" s="525" t="str">
        <f>IF(AND($B228&gt;='111'!$N$11,$B228&lt;='111'!$O$11,OR($L228=$O$7,$M228=$O$7)),"x","")</f>
        <v/>
      </c>
      <c r="P228" s="525" t="str">
        <f>IF(AND($L228=$O$7,$B228&lt;'111'!$N$11),"x","")</f>
        <v/>
      </c>
      <c r="Q228" s="525" t="str">
        <f>IF(AND($M228=$O$7,$B228&lt;'111'!$N$11),"x","")</f>
        <v/>
      </c>
      <c r="R228" s="525" t="str">
        <f>IF(ISERROR(FIND('112'!$M$9,G228,1)),"",IF((AND(FIND('112'!$M$9,G228,1)&gt;=1,$B228&gt;='112'!$N$8,$B228&lt;='112'!$O$8,OR($L228='112'!$I$6,$M228='112'!$I$6))),"x",""))</f>
        <v/>
      </c>
      <c r="S228" s="525" t="str">
        <f>IF(ISERROR(FIND('112'!$M$9,G228,1)),"",IF((AND(LEFT(G228,2)=LEFT('112'!$M$9,2),B228&lt;'112'!$N$8,$L228='112'!$I$6)),"x",""))</f>
        <v/>
      </c>
      <c r="T228" s="525" t="str">
        <f>IF(ISERROR(FIND('112'!$M$9,G228,1)),"",IF((AND(RIGHT(G228,2)=RIGHT('112'!$M$9,2),B228&lt;'112'!$N$8,$M228='112'!$I$6)),"x",""))</f>
        <v/>
      </c>
      <c r="U228" s="525" t="str">
        <f>IF(AND(B228&gt;='IN-NX'!$P$3,B228&lt;='IN-NX'!$Q$3,'IN-NX'!$D$7=D228,OR(LEFT(L228,2)="15",AND(LEFT(M228,2)&lt;&gt;"15",LEFT(M228,2)&lt;&gt;"33"))),"x","")</f>
        <v/>
      </c>
      <c r="V228" s="525" t="str">
        <f>IF(AND(OR(LEFT(TH!L228,2)="15",LEFT(TH!M228,2)="15"),'152-CT'!$J$8=TH!F228),"x","")</f>
        <v/>
      </c>
      <c r="W228" s="525" t="str">
        <f>IF(AND(OR(LEFT(TH!L228,2)="15",LEFT(TH!M228,2)="15"),TK!$E$7=TH!F228),"x","")</f>
        <v/>
      </c>
      <c r="X228" s="525" t="str">
        <f>IF(AND('341-CT'!$E$9=H228,OR(LEFT(L228,3)=$X$7,LEFT(M228,3)=$X$7)),"x","")</f>
        <v/>
      </c>
      <c r="Y228" s="525" t="str">
        <f>IF(OR(TH!L228=TH!$Y$7,M228=TH!$Y$7),"x","")</f>
        <v/>
      </c>
      <c r="Z228" s="525" t="str">
        <f>IF(AND(B228&lt;=NKC!$N$8,B228&gt;=NKC!$M$8),"x","")</f>
        <v>x</v>
      </c>
      <c r="AA228" s="535">
        <v>1</v>
      </c>
    </row>
    <row r="229" spans="1:28" s="503" customFormat="1" ht="15.75" customHeight="1">
      <c r="A229" s="517" t="str">
        <f>IF(B229&lt;&gt;"",IF(AND(B229&gt;=_TM1,B229&lt;=_TM2,OR(TH!L229="1111",TH!M229="1111")),TH!D229,""),"")</f>
        <v/>
      </c>
      <c r="B229" s="531">
        <f t="shared" ref="B229:B233" si="23">IF(C229&lt;&gt;"",MONTH(C229),"")</f>
        <v>3</v>
      </c>
      <c r="C229" s="315">
        <f t="shared" ref="C229:C233" si="24">E229</f>
        <v>42824</v>
      </c>
      <c r="D229" s="315" t="s">
        <v>461</v>
      </c>
      <c r="E229" s="288">
        <v>42824</v>
      </c>
      <c r="F229" s="248" t="s">
        <v>806</v>
      </c>
      <c r="G229" s="314" t="s">
        <v>290</v>
      </c>
      <c r="H229" s="473"/>
      <c r="I229" s="307"/>
      <c r="J229" s="307"/>
      <c r="K229" s="532">
        <v>20000</v>
      </c>
      <c r="L229" s="533" t="s">
        <v>81</v>
      </c>
      <c r="M229" s="533" t="s">
        <v>24</v>
      </c>
      <c r="N229" s="525" t="str">
        <f>IF(AND('331-CT'!$E$7=TH!H229,OR(L229="331",M229="331")),"331",IF(AND(OR(L229="131",M229="131"),H229='131-CT'!$E$7),"131",""))</f>
        <v/>
      </c>
      <c r="O229" s="525" t="str">
        <f>IF(AND($B229&gt;='111'!$N$11,$B229&lt;='111'!$O$11,OR($L229=$O$7,$M229=$O$7)),"x","")</f>
        <v/>
      </c>
      <c r="P229" s="525" t="str">
        <f>IF(AND($L229=$O$7,$B229&lt;'111'!$N$11),"x","")</f>
        <v/>
      </c>
      <c r="Q229" s="525" t="str">
        <f>IF(AND($M229=$O$7,$B229&lt;'111'!$N$11),"x","")</f>
        <v/>
      </c>
      <c r="R229" s="525" t="str">
        <f>IF(ISERROR(FIND('112'!$M$9,G229,1)),"",IF((AND(FIND('112'!$M$9,G229,1)&gt;=1,$B229&gt;='112'!$N$8,$B229&lt;='112'!$O$8,OR($L229='112'!$I$6,$M229='112'!$I$6))),"x",""))</f>
        <v/>
      </c>
      <c r="S229" s="525" t="str">
        <f>IF(ISERROR(FIND('112'!$M$9,G229,1)),"",IF((AND(LEFT(G229,2)=LEFT('112'!$M$9,2),B229&lt;'112'!$N$8,$L229='112'!$I$6)),"x",""))</f>
        <v/>
      </c>
      <c r="T229" s="525" t="str">
        <f>IF(ISERROR(FIND('112'!$M$9,G229,1)),"",IF((AND(RIGHT(G229,2)=RIGHT('112'!$M$9,2),B229&lt;'112'!$N$8,$M229='112'!$I$6)),"x",""))</f>
        <v/>
      </c>
      <c r="U229" s="525" t="str">
        <f>IF(AND(B229&gt;='IN-NX'!$P$3,B229&lt;='IN-NX'!$Q$3,'IN-NX'!$D$7=D229,OR(LEFT(L229,2)="15",AND(LEFT(M229,2)&lt;&gt;"15",LEFT(M229,2)&lt;&gt;"33"))),"x","")</f>
        <v/>
      </c>
      <c r="V229" s="525" t="str">
        <f>IF(AND(OR(LEFT(TH!L229,2)="15",LEFT(TH!M229,2)="15"),'152-CT'!$J$8=TH!F229),"x","")</f>
        <v/>
      </c>
      <c r="W229" s="525" t="str">
        <f>IF(AND(OR(LEFT(TH!L229,2)="15",LEFT(TH!M229,2)="15"),TK!$E$7=TH!F229),"x","")</f>
        <v/>
      </c>
      <c r="X229" s="525" t="str">
        <f>IF(AND('341-CT'!$E$9=H229,OR(LEFT(L229,3)=$X$7,LEFT(M229,3)=$X$7)),"x","")</f>
        <v/>
      </c>
      <c r="Y229" s="525" t="str">
        <f>IF(OR(TH!L229=TH!$Y$7,M229=TH!$Y$7),"x","")</f>
        <v/>
      </c>
      <c r="Z229" s="525" t="str">
        <f>IF(AND(B229&lt;=NKC!$N$8,B229&gt;=NKC!$M$8),"x","")</f>
        <v>x</v>
      </c>
      <c r="AA229" s="535">
        <v>1</v>
      </c>
      <c r="AB229" s="536"/>
    </row>
    <row r="230" spans="1:28" s="503" customFormat="1" ht="15.75" customHeight="1">
      <c r="A230" s="517" t="str">
        <f>IF(B230&lt;&gt;"",IF(AND(B230&gt;=_TM1,B230&lt;=_TM2,OR(TH!L230="1111",TH!M230="1111")),TH!D230,""),"")</f>
        <v/>
      </c>
      <c r="B230" s="531">
        <f t="shared" si="23"/>
        <v>3</v>
      </c>
      <c r="C230" s="315">
        <f t="shared" si="24"/>
        <v>42824</v>
      </c>
      <c r="D230" s="315" t="s">
        <v>461</v>
      </c>
      <c r="E230" s="288">
        <v>42824</v>
      </c>
      <c r="F230" s="248" t="s">
        <v>807</v>
      </c>
      <c r="G230" s="314" t="s">
        <v>290</v>
      </c>
      <c r="H230" s="473"/>
      <c r="I230" s="307"/>
      <c r="J230" s="307"/>
      <c r="K230" s="532">
        <v>2000</v>
      </c>
      <c r="L230" s="533" t="s">
        <v>9</v>
      </c>
      <c r="M230" s="533" t="s">
        <v>24</v>
      </c>
      <c r="N230" s="525" t="str">
        <f>IF(AND('331-CT'!$E$7=TH!H230,OR(L230="331",M230="331")),"331",IF(AND(OR(L230="131",M230="131"),H230='131-CT'!$E$7),"131",""))</f>
        <v/>
      </c>
      <c r="O230" s="525" t="str">
        <f>IF(AND($B230&gt;='111'!$N$11,$B230&lt;='111'!$O$11,OR($L230=$O$7,$M230=$O$7)),"x","")</f>
        <v/>
      </c>
      <c r="P230" s="525" t="str">
        <f>IF(AND($L230=$O$7,$B230&lt;'111'!$N$11),"x","")</f>
        <v/>
      </c>
      <c r="Q230" s="525" t="str">
        <f>IF(AND($M230=$O$7,$B230&lt;'111'!$N$11),"x","")</f>
        <v/>
      </c>
      <c r="R230" s="525" t="str">
        <f>IF(ISERROR(FIND('112'!$M$9,G230,1)),"",IF((AND(FIND('112'!$M$9,G230,1)&gt;=1,$B230&gt;='112'!$N$8,$B230&lt;='112'!$O$8,OR($L230='112'!$I$6,$M230='112'!$I$6))),"x",""))</f>
        <v/>
      </c>
      <c r="S230" s="525" t="str">
        <f>IF(ISERROR(FIND('112'!$M$9,G230,1)),"",IF((AND(LEFT(G230,2)=LEFT('112'!$M$9,2),B230&lt;'112'!$N$8,$L230='112'!$I$6)),"x",""))</f>
        <v/>
      </c>
      <c r="T230" s="525" t="str">
        <f>IF(ISERROR(FIND('112'!$M$9,G230,1)),"",IF((AND(RIGHT(G230,2)=RIGHT('112'!$M$9,2),B230&lt;'112'!$N$8,$M230='112'!$I$6)),"x",""))</f>
        <v/>
      </c>
      <c r="U230" s="525" t="str">
        <f>IF(AND(B230&gt;='IN-NX'!$P$3,B230&lt;='IN-NX'!$Q$3,'IN-NX'!$D$7=D230,OR(LEFT(L230,2)="15",AND(LEFT(M230,2)&lt;&gt;"15",LEFT(M230,2)&lt;&gt;"33"))),"x","")</f>
        <v/>
      </c>
      <c r="V230" s="525" t="str">
        <f>IF(AND(OR(LEFT(TH!L230,2)="15",LEFT(TH!M230,2)="15"),'152-CT'!$J$8=TH!F230),"x","")</f>
        <v/>
      </c>
      <c r="W230" s="525" t="str">
        <f>IF(AND(OR(LEFT(TH!L230,2)="15",LEFT(TH!M230,2)="15"),TK!$E$7=TH!F230),"x","")</f>
        <v/>
      </c>
      <c r="X230" s="525" t="str">
        <f>IF(AND('341-CT'!$E$9=H230,OR(LEFT(L230,3)=$X$7,LEFT(M230,3)=$X$7)),"x","")</f>
        <v/>
      </c>
      <c r="Y230" s="525" t="str">
        <f>IF(OR(TH!L230=TH!$Y$7,M230=TH!$Y$7),"x","")</f>
        <v/>
      </c>
      <c r="Z230" s="525" t="str">
        <f>IF(AND(B230&lt;=NKC!$N$8,B230&gt;=NKC!$M$8),"x","")</f>
        <v>x</v>
      </c>
      <c r="AA230" s="535">
        <v>1</v>
      </c>
    </row>
    <row r="231" spans="1:28" s="503" customFormat="1" ht="15.75" customHeight="1">
      <c r="A231" s="517" t="str">
        <f>IF(B231&lt;&gt;"",IF(AND(B231&gt;=_TM1,B231&lt;=_TM2,OR(TH!L231="1111",TH!M231="1111")),TH!D231,""),"")</f>
        <v/>
      </c>
      <c r="B231" s="531">
        <f t="shared" si="23"/>
        <v>3</v>
      </c>
      <c r="C231" s="315">
        <f t="shared" si="24"/>
        <v>42825</v>
      </c>
      <c r="D231" s="315" t="s">
        <v>461</v>
      </c>
      <c r="E231" s="288">
        <v>42825</v>
      </c>
      <c r="F231" s="249" t="s">
        <v>468</v>
      </c>
      <c r="G231" s="314" t="s">
        <v>290</v>
      </c>
      <c r="H231" s="473" t="s">
        <v>270</v>
      </c>
      <c r="I231" s="307"/>
      <c r="J231" s="307"/>
      <c r="K231" s="532">
        <v>10000000</v>
      </c>
      <c r="L231" s="534" t="s">
        <v>8</v>
      </c>
      <c r="M231" s="533" t="s">
        <v>24</v>
      </c>
      <c r="N231" s="525" t="str">
        <f>IF(AND('331-CT'!$E$7=TH!H231,OR(L231="331",M231="331")),"331",IF(AND(OR(L231="131",M231="131"),H231='131-CT'!$E$7),"131",""))</f>
        <v/>
      </c>
      <c r="O231" s="525" t="str">
        <f>IF(AND($B231&gt;='111'!$N$11,$B231&lt;='111'!$O$11,OR($L231=$O$7,$M231=$O$7)),"x","")</f>
        <v/>
      </c>
      <c r="P231" s="525" t="str">
        <f>IF(AND($L231=$O$7,$B231&lt;'111'!$N$11),"x","")</f>
        <v/>
      </c>
      <c r="Q231" s="525" t="str">
        <f>IF(AND($M231=$O$7,$B231&lt;'111'!$N$11),"x","")</f>
        <v/>
      </c>
      <c r="R231" s="525" t="str">
        <f>IF(ISERROR(FIND('112'!$M$9,G231,1)),"",IF((AND(FIND('112'!$M$9,G231,1)&gt;=1,$B231&gt;='112'!$N$8,$B231&lt;='112'!$O$8,OR($L231='112'!$I$6,$M231='112'!$I$6))),"x",""))</f>
        <v/>
      </c>
      <c r="S231" s="525" t="str">
        <f>IF(ISERROR(FIND('112'!$M$9,G231,1)),"",IF((AND(LEFT(G231,2)=LEFT('112'!$M$9,2),B231&lt;'112'!$N$8,$L231='112'!$I$6)),"x",""))</f>
        <v/>
      </c>
      <c r="T231" s="525" t="str">
        <f>IF(ISERROR(FIND('112'!$M$9,G231,1)),"",IF((AND(RIGHT(G231,2)=RIGHT('112'!$M$9,2),B231&lt;'112'!$N$8,$M231='112'!$I$6)),"x",""))</f>
        <v/>
      </c>
      <c r="U231" s="525" t="str">
        <f>IF(AND(B231&gt;='IN-NX'!$P$3,B231&lt;='IN-NX'!$Q$3,'IN-NX'!$D$7=D231,OR(LEFT(L231,2)="15",AND(LEFT(M231,2)&lt;&gt;"15",LEFT(M231,2)&lt;&gt;"33"))),"x","")</f>
        <v/>
      </c>
      <c r="V231" s="525" t="str">
        <f>IF(AND(OR(LEFT(TH!L231,2)="15",LEFT(TH!M231,2)="15"),'152-CT'!$J$8=TH!F231),"x","")</f>
        <v/>
      </c>
      <c r="W231" s="525" t="str">
        <f>IF(AND(OR(LEFT(TH!L231,2)="15",LEFT(TH!M231,2)="15"),TK!$E$7=TH!F231),"x","")</f>
        <v/>
      </c>
      <c r="X231" s="525" t="str">
        <f>IF(AND('341-CT'!$E$9=H231,OR(LEFT(L231,3)=$X$7,LEFT(M231,3)=$X$7)),"x","")</f>
        <v/>
      </c>
      <c r="Y231" s="525" t="str">
        <f>IF(OR(TH!L231=TH!$Y$7,M231=TH!$Y$7),"x","")</f>
        <v/>
      </c>
      <c r="Z231" s="525" t="str">
        <f>IF(AND(B231&lt;=NKC!$N$8,B231&gt;=NKC!$M$8),"x","")</f>
        <v>x</v>
      </c>
      <c r="AA231" s="535"/>
    </row>
    <row r="232" spans="1:28" s="503" customFormat="1" ht="15.75" customHeight="1">
      <c r="A232" s="517" t="str">
        <f>IF(B232&lt;&gt;"",IF(AND(B232&gt;=_TM1,B232&lt;=_TM2,OR(TH!L232="1111",TH!M232="1111")),TH!D232,""),"")</f>
        <v/>
      </c>
      <c r="B232" s="531">
        <f t="shared" si="23"/>
        <v>3</v>
      </c>
      <c r="C232" s="315">
        <f t="shared" si="24"/>
        <v>42825</v>
      </c>
      <c r="D232" s="315" t="s">
        <v>461</v>
      </c>
      <c r="E232" s="288">
        <v>42825</v>
      </c>
      <c r="F232" s="248" t="s">
        <v>463</v>
      </c>
      <c r="G232" s="314" t="s">
        <v>290</v>
      </c>
      <c r="H232" s="472"/>
      <c r="I232" s="307"/>
      <c r="J232" s="307"/>
      <c r="K232" s="532">
        <v>20000</v>
      </c>
      <c r="L232" s="533" t="s">
        <v>81</v>
      </c>
      <c r="M232" s="533" t="s">
        <v>24</v>
      </c>
      <c r="N232" s="525" t="str">
        <f>IF(AND('331-CT'!$E$7=TH!H232,OR(L232="331",M232="331")),"331",IF(AND(OR(L232="131",M232="131"),H232='131-CT'!$E$7),"131",""))</f>
        <v/>
      </c>
      <c r="O232" s="525" t="str">
        <f>IF(AND($B232&gt;='111'!$N$11,$B232&lt;='111'!$O$11,OR($L232=$O$7,$M232=$O$7)),"x","")</f>
        <v/>
      </c>
      <c r="P232" s="525" t="str">
        <f>IF(AND($L232=$O$7,$B232&lt;'111'!$N$11),"x","")</f>
        <v/>
      </c>
      <c r="Q232" s="525" t="str">
        <f>IF(AND($M232=$O$7,$B232&lt;'111'!$N$11),"x","")</f>
        <v/>
      </c>
      <c r="R232" s="525" t="str">
        <f>IF(ISERROR(FIND('112'!$M$9,G232,1)),"",IF((AND(FIND('112'!$M$9,G232,1)&gt;=1,$B232&gt;='112'!$N$8,$B232&lt;='112'!$O$8,OR($L232='112'!$I$6,$M232='112'!$I$6))),"x",""))</f>
        <v/>
      </c>
      <c r="S232" s="525" t="str">
        <f>IF(ISERROR(FIND('112'!$M$9,G232,1)),"",IF((AND(LEFT(G232,2)=LEFT('112'!$M$9,2),B232&lt;'112'!$N$8,$L232='112'!$I$6)),"x",""))</f>
        <v/>
      </c>
      <c r="T232" s="525" t="str">
        <f>IF(ISERROR(FIND('112'!$M$9,G232,1)),"",IF((AND(RIGHT(G232,2)=RIGHT('112'!$M$9,2),B232&lt;'112'!$N$8,$M232='112'!$I$6)),"x",""))</f>
        <v/>
      </c>
      <c r="U232" s="525" t="str">
        <f>IF(AND(B232&gt;='IN-NX'!$P$3,B232&lt;='IN-NX'!$Q$3,'IN-NX'!$D$7=D232,OR(LEFT(L232,2)="15",AND(LEFT(M232,2)&lt;&gt;"15",LEFT(M232,2)&lt;&gt;"33"))),"x","")</f>
        <v/>
      </c>
      <c r="V232" s="525" t="str">
        <f>IF(AND(OR(LEFT(TH!L232,2)="15",LEFT(TH!M232,2)="15"),'152-CT'!$J$8=TH!F232),"x","")</f>
        <v/>
      </c>
      <c r="W232" s="525" t="str">
        <f>IF(AND(OR(LEFT(TH!L232,2)="15",LEFT(TH!M232,2)="15"),TK!$E$7=TH!F232),"x","")</f>
        <v/>
      </c>
      <c r="X232" s="525" t="str">
        <f>IF(AND('341-CT'!$E$9=H232,OR(LEFT(L232,3)=$X$7,LEFT(M232,3)=$X$7)),"x","")</f>
        <v/>
      </c>
      <c r="Y232" s="525" t="str">
        <f>IF(OR(TH!L232=TH!$Y$7,M232=TH!$Y$7),"x","")</f>
        <v/>
      </c>
      <c r="Z232" s="525" t="str">
        <f>IF(AND(B232&lt;=NKC!$N$8,B232&gt;=NKC!$M$8),"x","")</f>
        <v>x</v>
      </c>
      <c r="AA232" s="535">
        <v>1</v>
      </c>
    </row>
    <row r="233" spans="1:28" s="503" customFormat="1" ht="15.75" customHeight="1">
      <c r="A233" s="517" t="str">
        <f>IF(B233&lt;&gt;"",IF(AND(B233&gt;=_TM1,B233&lt;=_TM2,OR(TH!L233="1111",TH!M233="1111")),TH!D233,""),"")</f>
        <v/>
      </c>
      <c r="B233" s="531">
        <f t="shared" si="23"/>
        <v>3</v>
      </c>
      <c r="C233" s="315">
        <f t="shared" si="24"/>
        <v>42825</v>
      </c>
      <c r="D233" s="315" t="s">
        <v>461</v>
      </c>
      <c r="E233" s="288">
        <v>42825</v>
      </c>
      <c r="F233" s="248" t="s">
        <v>464</v>
      </c>
      <c r="G233" s="314" t="s">
        <v>290</v>
      </c>
      <c r="H233" s="472"/>
      <c r="I233" s="307"/>
      <c r="J233" s="307"/>
      <c r="K233" s="532">
        <v>2000</v>
      </c>
      <c r="L233" s="533" t="s">
        <v>9</v>
      </c>
      <c r="M233" s="533" t="s">
        <v>24</v>
      </c>
      <c r="N233" s="525" t="str">
        <f>IF(AND('331-CT'!$E$7=TH!H233,OR(L233="331",M233="331")),"331",IF(AND(OR(L233="131",M233="131"),H233='131-CT'!$E$7),"131",""))</f>
        <v/>
      </c>
      <c r="O233" s="525" t="str">
        <f>IF(AND($B233&gt;='111'!$N$11,$B233&lt;='111'!$O$11,OR($L233=$O$7,$M233=$O$7)),"x","")</f>
        <v/>
      </c>
      <c r="P233" s="525" t="str">
        <f>IF(AND($L233=$O$7,$B233&lt;'111'!$N$11),"x","")</f>
        <v/>
      </c>
      <c r="Q233" s="525" t="str">
        <f>IF(AND($M233=$O$7,$B233&lt;'111'!$N$11),"x","")</f>
        <v/>
      </c>
      <c r="R233" s="525" t="str">
        <f>IF(ISERROR(FIND('112'!$M$9,G233,1)),"",IF((AND(FIND('112'!$M$9,G233,1)&gt;=1,$B233&gt;='112'!$N$8,$B233&lt;='112'!$O$8,OR($L233='112'!$I$6,$M233='112'!$I$6))),"x",""))</f>
        <v/>
      </c>
      <c r="S233" s="525" t="str">
        <f>IF(ISERROR(FIND('112'!$M$9,G233,1)),"",IF((AND(LEFT(G233,2)=LEFT('112'!$M$9,2),B233&lt;'112'!$N$8,$L233='112'!$I$6)),"x",""))</f>
        <v/>
      </c>
      <c r="T233" s="525" t="str">
        <f>IF(ISERROR(FIND('112'!$M$9,G233,1)),"",IF((AND(RIGHT(G233,2)=RIGHT('112'!$M$9,2),B233&lt;'112'!$N$8,$M233='112'!$I$6)),"x",""))</f>
        <v/>
      </c>
      <c r="U233" s="525" t="str">
        <f>IF(AND(B233&gt;='IN-NX'!$P$3,B233&lt;='IN-NX'!$Q$3,'IN-NX'!$D$7=D233,OR(LEFT(L233,2)="15",AND(LEFT(M233,2)&lt;&gt;"15",LEFT(M233,2)&lt;&gt;"33"))),"x","")</f>
        <v/>
      </c>
      <c r="V233" s="525" t="str">
        <f>IF(AND(OR(LEFT(TH!L233,2)="15",LEFT(TH!M233,2)="15"),'152-CT'!$J$8=TH!F233),"x","")</f>
        <v/>
      </c>
      <c r="W233" s="525" t="str">
        <f>IF(AND(OR(LEFT(TH!L233,2)="15",LEFT(TH!M233,2)="15"),TK!$E$7=TH!F233),"x","")</f>
        <v/>
      </c>
      <c r="X233" s="525" t="str">
        <f>IF(AND('341-CT'!$E$9=H233,OR(LEFT(L233,3)=$X$7,LEFT(M233,3)=$X$7)),"x","")</f>
        <v/>
      </c>
      <c r="Y233" s="525" t="str">
        <f>IF(OR(TH!L233=TH!$Y$7,M233=TH!$Y$7),"x","")</f>
        <v/>
      </c>
      <c r="Z233" s="525" t="str">
        <f>IF(AND(B233&lt;=NKC!$N$8,B233&gt;=NKC!$M$8),"x","")</f>
        <v>x</v>
      </c>
      <c r="AA233" s="535">
        <v>1</v>
      </c>
    </row>
    <row r="234" spans="1:28" s="503" customFormat="1" ht="15.75" customHeight="1">
      <c r="A234" s="517" t="str">
        <f>IF(B234&lt;&gt;"",IF(AND(B234&gt;=_TM1,B234&lt;=_TM2,OR(TH!L234="1111",TH!M234="1111")),TH!D234,""),"")</f>
        <v/>
      </c>
      <c r="B234" s="531">
        <f t="shared" ref="B234:B265" si="25">IF(C234&lt;&gt;"",MONTH(C234),"")</f>
        <v>4</v>
      </c>
      <c r="C234" s="315">
        <f t="shared" ref="C234:C265" si="26">E234</f>
        <v>42829</v>
      </c>
      <c r="D234" s="315" t="s">
        <v>456</v>
      </c>
      <c r="E234" s="288">
        <v>42829</v>
      </c>
      <c r="F234" s="248" t="s">
        <v>457</v>
      </c>
      <c r="G234" s="314" t="s">
        <v>290</v>
      </c>
      <c r="H234" s="473" t="s">
        <v>776</v>
      </c>
      <c r="I234" s="307"/>
      <c r="J234" s="307"/>
      <c r="K234" s="532">
        <v>1837360</v>
      </c>
      <c r="L234" s="533" t="s">
        <v>24</v>
      </c>
      <c r="M234" s="533" t="s">
        <v>223</v>
      </c>
      <c r="N234" s="525" t="str">
        <f>IF(AND('331-CT'!$E$7=TH!H234,OR(L234="331",M234="331")),"331",IF(AND(OR(L234="131",M234="131"),H234='131-CT'!$E$7),"131",""))</f>
        <v/>
      </c>
      <c r="O234" s="525" t="str">
        <f>IF(AND($B234&gt;='111'!$N$11,$B234&lt;='111'!$O$11,OR($L234=$O$7,$M234=$O$7)),"x","")</f>
        <v/>
      </c>
      <c r="P234" s="525" t="str">
        <f>IF(AND($L234=$O$7,$B234&lt;'111'!$N$11),"x","")</f>
        <v/>
      </c>
      <c r="Q234" s="525" t="str">
        <f>IF(AND($M234=$O$7,$B234&lt;'111'!$N$11),"x","")</f>
        <v/>
      </c>
      <c r="R234" s="525" t="str">
        <f>IF(ISERROR(FIND('112'!$M$9,G234,1)),"",IF((AND(FIND('112'!$M$9,G234,1)&gt;=1,$B234&gt;='112'!$N$8,$B234&lt;='112'!$O$8,OR($L234='112'!$I$6,$M234='112'!$I$6))),"x",""))</f>
        <v/>
      </c>
      <c r="S234" s="525" t="str">
        <f>IF(ISERROR(FIND('112'!$M$9,G234,1)),"",IF((AND(LEFT(G234,2)=LEFT('112'!$M$9,2),B234&lt;'112'!$N$8,$L234='112'!$I$6)),"x",""))</f>
        <v/>
      </c>
      <c r="T234" s="525" t="str">
        <f>IF(ISERROR(FIND('112'!$M$9,G234,1)),"",IF((AND(RIGHT(G234,2)=RIGHT('112'!$M$9,2),B234&lt;'112'!$N$8,$M234='112'!$I$6)),"x",""))</f>
        <v/>
      </c>
      <c r="U234" s="525" t="str">
        <f>IF(AND(B234&gt;='IN-NX'!$P$3,B234&lt;='IN-NX'!$Q$3,'IN-NX'!$D$7=D234,OR(LEFT(L234,2)="15",AND(LEFT(M234,2)&lt;&gt;"15",LEFT(M234,2)&lt;&gt;"33"))),"x","")</f>
        <v/>
      </c>
      <c r="V234" s="525" t="str">
        <f>IF(AND(OR(LEFT(TH!L234,2)="15",LEFT(TH!M234,2)="15"),'152-CT'!$J$8=TH!F234),"x","")</f>
        <v/>
      </c>
      <c r="W234" s="525" t="str">
        <f>IF(AND(OR(LEFT(TH!L234,2)="15",LEFT(TH!M234,2)="15"),TK!$E$7=TH!F234),"x","")</f>
        <v/>
      </c>
      <c r="X234" s="525" t="str">
        <f>IF(AND('341-CT'!$E$9=H234,OR(LEFT(L234,3)=$X$7,LEFT(M234,3)=$X$7)),"x","")</f>
        <v/>
      </c>
      <c r="Y234" s="525" t="str">
        <f>IF(OR(TH!L234=TH!$Y$7,M234=TH!$Y$7),"x","")</f>
        <v/>
      </c>
      <c r="Z234" s="525" t="str">
        <f>IF(AND(B234&lt;=NKC!$N$8,B234&gt;=NKC!$M$8),"x","")</f>
        <v/>
      </c>
      <c r="AA234" s="535"/>
    </row>
    <row r="235" spans="1:28" s="503" customFormat="1" ht="15.75" customHeight="1">
      <c r="A235" s="517" t="str">
        <f>IF(B235&lt;&gt;"",IF(AND(B235&gt;=_TM1,B235&lt;=_TM2,OR(TH!L235="1111",TH!M235="1111")),TH!D235,""),"")</f>
        <v/>
      </c>
      <c r="B235" s="531">
        <f t="shared" si="25"/>
        <v>4</v>
      </c>
      <c r="C235" s="315">
        <f t="shared" si="26"/>
        <v>42833</v>
      </c>
      <c r="D235" s="315" t="s">
        <v>461</v>
      </c>
      <c r="E235" s="288">
        <v>42833</v>
      </c>
      <c r="F235" s="249" t="s">
        <v>469</v>
      </c>
      <c r="G235" s="314" t="s">
        <v>290</v>
      </c>
      <c r="H235" s="472"/>
      <c r="I235" s="307"/>
      <c r="J235" s="307"/>
      <c r="K235" s="532">
        <v>50000</v>
      </c>
      <c r="L235" s="533" t="s">
        <v>81</v>
      </c>
      <c r="M235" s="533" t="s">
        <v>24</v>
      </c>
      <c r="N235" s="525" t="str">
        <f>IF(AND('331-CT'!$E$7=TH!H235,OR(L235="331",M235="331")),"331",IF(AND(OR(L235="131",M235="131"),H235='131-CT'!$E$7),"131",""))</f>
        <v/>
      </c>
      <c r="O235" s="525" t="str">
        <f>IF(AND($B235&gt;='111'!$N$11,$B235&lt;='111'!$O$11,OR($L235=$O$7,$M235=$O$7)),"x","")</f>
        <v/>
      </c>
      <c r="P235" s="525" t="str">
        <f>IF(AND($L235=$O$7,$B235&lt;'111'!$N$11),"x","")</f>
        <v/>
      </c>
      <c r="Q235" s="525" t="str">
        <f>IF(AND($M235=$O$7,$B235&lt;'111'!$N$11),"x","")</f>
        <v/>
      </c>
      <c r="R235" s="525" t="str">
        <f>IF(ISERROR(FIND('112'!$M$9,G235,1)),"",IF((AND(FIND('112'!$M$9,G235,1)&gt;=1,$B235&gt;='112'!$N$8,$B235&lt;='112'!$O$8,OR($L235='112'!$I$6,$M235='112'!$I$6))),"x",""))</f>
        <v/>
      </c>
      <c r="S235" s="525" t="str">
        <f>IF(ISERROR(FIND('112'!$M$9,G235,1)),"",IF((AND(LEFT(G235,2)=LEFT('112'!$M$9,2),B235&lt;'112'!$N$8,$L235='112'!$I$6)),"x",""))</f>
        <v/>
      </c>
      <c r="T235" s="525" t="str">
        <f>IF(ISERROR(FIND('112'!$M$9,G235,1)),"",IF((AND(RIGHT(G235,2)=RIGHT('112'!$M$9,2),B235&lt;'112'!$N$8,$M235='112'!$I$6)),"x",""))</f>
        <v/>
      </c>
      <c r="U235" s="525" t="str">
        <f>IF(AND(B235&gt;='IN-NX'!$P$3,B235&lt;='IN-NX'!$Q$3,'IN-NX'!$D$7=D235,OR(LEFT(L235,2)="15",AND(LEFT(M235,2)&lt;&gt;"15",LEFT(M235,2)&lt;&gt;"33"))),"x","")</f>
        <v/>
      </c>
      <c r="V235" s="525" t="str">
        <f>IF(AND(OR(LEFT(TH!L235,2)="15",LEFT(TH!M235,2)="15"),'152-CT'!$J$8=TH!F235),"x","")</f>
        <v/>
      </c>
      <c r="W235" s="525" t="str">
        <f>IF(AND(OR(LEFT(TH!L235,2)="15",LEFT(TH!M235,2)="15"),TK!$E$7=TH!F235),"x","")</f>
        <v/>
      </c>
      <c r="X235" s="525" t="str">
        <f>IF(AND('341-CT'!$E$9=H235,OR(LEFT(L235,3)=$X$7,LEFT(M235,3)=$X$7)),"x","")</f>
        <v/>
      </c>
      <c r="Y235" s="525" t="str">
        <f>IF(OR(TH!L235=TH!$Y$7,M235=TH!$Y$7),"x","")</f>
        <v/>
      </c>
      <c r="Z235" s="525" t="str">
        <f>IF(AND(B235&lt;=NKC!$N$8,B235&gt;=NKC!$M$8),"x","")</f>
        <v/>
      </c>
      <c r="AA235" s="535">
        <v>2</v>
      </c>
    </row>
    <row r="236" spans="1:28" s="503" customFormat="1" ht="15.75" customHeight="1">
      <c r="A236" s="517" t="str">
        <f>IF(B236&lt;&gt;"",IF(AND(B236&gt;=_TM1,B236&lt;=_TM2,OR(TH!L236="1111",TH!M236="1111")),TH!D236,""),"")</f>
        <v/>
      </c>
      <c r="B236" s="531">
        <f t="shared" si="25"/>
        <v>4</v>
      </c>
      <c r="C236" s="315">
        <f t="shared" si="26"/>
        <v>42833</v>
      </c>
      <c r="D236" s="315" t="s">
        <v>461</v>
      </c>
      <c r="E236" s="288">
        <v>42833</v>
      </c>
      <c r="F236" s="249" t="s">
        <v>470</v>
      </c>
      <c r="G236" s="314" t="s">
        <v>290</v>
      </c>
      <c r="H236" s="473"/>
      <c r="I236" s="307"/>
      <c r="J236" s="307"/>
      <c r="K236" s="532">
        <v>5000</v>
      </c>
      <c r="L236" s="533" t="s">
        <v>9</v>
      </c>
      <c r="M236" s="533" t="s">
        <v>24</v>
      </c>
      <c r="N236" s="525" t="str">
        <f>IF(AND('331-CT'!$E$7=TH!H236,OR(L236="331",M236="331")),"331",IF(AND(OR(L236="131",M236="131"),H236='131-CT'!$E$7),"131",""))</f>
        <v/>
      </c>
      <c r="O236" s="525" t="str">
        <f>IF(AND($B236&gt;='111'!$N$11,$B236&lt;='111'!$O$11,OR($L236=$O$7,$M236=$O$7)),"x","")</f>
        <v/>
      </c>
      <c r="P236" s="525" t="str">
        <f>IF(AND($L236=$O$7,$B236&lt;'111'!$N$11),"x","")</f>
        <v/>
      </c>
      <c r="Q236" s="525" t="str">
        <f>IF(AND($M236=$O$7,$B236&lt;'111'!$N$11),"x","")</f>
        <v/>
      </c>
      <c r="R236" s="525" t="str">
        <f>IF(ISERROR(FIND('112'!$M$9,G236,1)),"",IF((AND(FIND('112'!$M$9,G236,1)&gt;=1,$B236&gt;='112'!$N$8,$B236&lt;='112'!$O$8,OR($L236='112'!$I$6,$M236='112'!$I$6))),"x",""))</f>
        <v/>
      </c>
      <c r="S236" s="525" t="str">
        <f>IF(ISERROR(FIND('112'!$M$9,G236,1)),"",IF((AND(LEFT(G236,2)=LEFT('112'!$M$9,2),B236&lt;'112'!$N$8,$L236='112'!$I$6)),"x",""))</f>
        <v/>
      </c>
      <c r="T236" s="525" t="str">
        <f>IF(ISERROR(FIND('112'!$M$9,G236,1)),"",IF((AND(RIGHT(G236,2)=RIGHT('112'!$M$9,2),B236&lt;'112'!$N$8,$M236='112'!$I$6)),"x",""))</f>
        <v/>
      </c>
      <c r="U236" s="525" t="str">
        <f>IF(AND(B236&gt;='IN-NX'!$P$3,B236&lt;='IN-NX'!$Q$3,'IN-NX'!$D$7=D236,OR(LEFT(L236,2)="15",AND(LEFT(M236,2)&lt;&gt;"15",LEFT(M236,2)&lt;&gt;"33"))),"x","")</f>
        <v/>
      </c>
      <c r="V236" s="525" t="str">
        <f>IF(AND(OR(LEFT(TH!L236,2)="15",LEFT(TH!M236,2)="15"),'152-CT'!$J$8=TH!F236),"x","")</f>
        <v/>
      </c>
      <c r="W236" s="525" t="str">
        <f>IF(AND(OR(LEFT(TH!L236,2)="15",LEFT(TH!M236,2)="15"),TK!$E$7=TH!F236),"x","")</f>
        <v/>
      </c>
      <c r="X236" s="525" t="str">
        <f>IF(AND('341-CT'!$E$9=H236,OR(LEFT(L236,3)=$X$7,LEFT(M236,3)=$X$7)),"x","")</f>
        <v/>
      </c>
      <c r="Y236" s="525" t="str">
        <f>IF(OR(TH!L236=TH!$Y$7,M236=TH!$Y$7),"x","")</f>
        <v/>
      </c>
      <c r="Z236" s="525" t="str">
        <f>IF(AND(B236&lt;=NKC!$N$8,B236&gt;=NKC!$M$8),"x","")</f>
        <v/>
      </c>
      <c r="AA236" s="535">
        <v>2</v>
      </c>
    </row>
    <row r="237" spans="1:28" s="503" customFormat="1" ht="15.75" customHeight="1">
      <c r="A237" s="517" t="str">
        <f>IF(B237&lt;&gt;"",IF(AND(B237&gt;=_TM1,B237&lt;=_TM2,OR(TH!L237="1111",TH!M237="1111")),TH!D237,""),"")</f>
        <v/>
      </c>
      <c r="B237" s="531">
        <f t="shared" si="25"/>
        <v>4</v>
      </c>
      <c r="C237" s="315">
        <f t="shared" si="26"/>
        <v>42835</v>
      </c>
      <c r="D237" s="315" t="s">
        <v>461</v>
      </c>
      <c r="E237" s="288">
        <v>42835</v>
      </c>
      <c r="F237" s="249" t="s">
        <v>468</v>
      </c>
      <c r="G237" s="314" t="s">
        <v>290</v>
      </c>
      <c r="H237" s="473" t="s">
        <v>271</v>
      </c>
      <c r="I237" s="307"/>
      <c r="J237" s="307"/>
      <c r="K237" s="532">
        <v>6819264</v>
      </c>
      <c r="L237" s="534" t="s">
        <v>8</v>
      </c>
      <c r="M237" s="533" t="s">
        <v>24</v>
      </c>
      <c r="N237" s="525" t="str">
        <f>IF(AND('331-CT'!$E$7=TH!H237,OR(L237="331",M237="331")),"331",IF(AND(OR(L237="131",M237="131"),H237='131-CT'!$E$7),"131",""))</f>
        <v>331</v>
      </c>
      <c r="O237" s="525" t="str">
        <f>IF(AND($B237&gt;='111'!$N$11,$B237&lt;='111'!$O$11,OR($L237=$O$7,$M237=$O$7)),"x","")</f>
        <v/>
      </c>
      <c r="P237" s="525" t="str">
        <f>IF(AND($L237=$O$7,$B237&lt;'111'!$N$11),"x","")</f>
        <v/>
      </c>
      <c r="Q237" s="525" t="str">
        <f>IF(AND($M237=$O$7,$B237&lt;'111'!$N$11),"x","")</f>
        <v/>
      </c>
      <c r="R237" s="525" t="str">
        <f>IF(ISERROR(FIND('112'!$M$9,G237,1)),"",IF((AND(FIND('112'!$M$9,G237,1)&gt;=1,$B237&gt;='112'!$N$8,$B237&lt;='112'!$O$8,OR($L237='112'!$I$6,$M237='112'!$I$6))),"x",""))</f>
        <v/>
      </c>
      <c r="S237" s="525" t="str">
        <f>IF(ISERROR(FIND('112'!$M$9,G237,1)),"",IF((AND(LEFT(G237,2)=LEFT('112'!$M$9,2),B237&lt;'112'!$N$8,$L237='112'!$I$6)),"x",""))</f>
        <v/>
      </c>
      <c r="T237" s="525" t="str">
        <f>IF(ISERROR(FIND('112'!$M$9,G237,1)),"",IF((AND(RIGHT(G237,2)=RIGHT('112'!$M$9,2),B237&lt;'112'!$N$8,$M237='112'!$I$6)),"x",""))</f>
        <v/>
      </c>
      <c r="U237" s="525" t="str">
        <f>IF(AND(B237&gt;='IN-NX'!$P$3,B237&lt;='IN-NX'!$Q$3,'IN-NX'!$D$7=D237,OR(LEFT(L237,2)="15",AND(LEFT(M237,2)&lt;&gt;"15",LEFT(M237,2)&lt;&gt;"33"))),"x","")</f>
        <v/>
      </c>
      <c r="V237" s="525" t="str">
        <f>IF(AND(OR(LEFT(TH!L237,2)="15",LEFT(TH!M237,2)="15"),'152-CT'!$J$8=TH!F237),"x","")</f>
        <v/>
      </c>
      <c r="W237" s="525" t="str">
        <f>IF(AND(OR(LEFT(TH!L237,2)="15",LEFT(TH!M237,2)="15"),TK!$E$7=TH!F237),"x","")</f>
        <v/>
      </c>
      <c r="X237" s="525" t="str">
        <f>IF(AND('341-CT'!$E$9=H237,OR(LEFT(L237,3)=$X$7,LEFT(M237,3)=$X$7)),"x","")</f>
        <v/>
      </c>
      <c r="Y237" s="525" t="str">
        <f>IF(OR(TH!L237=TH!$Y$7,M237=TH!$Y$7),"x","")</f>
        <v/>
      </c>
      <c r="Z237" s="525" t="str">
        <f>IF(AND(B237&lt;=NKC!$N$8,B237&gt;=NKC!$M$8),"x","")</f>
        <v/>
      </c>
      <c r="AA237" s="535"/>
    </row>
    <row r="238" spans="1:28" s="503" customFormat="1" ht="15.75" customHeight="1">
      <c r="A238" s="517" t="str">
        <f>IF(B238&lt;&gt;"",IF(AND(B238&gt;=_TM1,B238&lt;=_TM2,OR(TH!L238="1111",TH!M238="1111")),TH!D238,""),"")</f>
        <v/>
      </c>
      <c r="B238" s="531">
        <f t="shared" si="25"/>
        <v>4</v>
      </c>
      <c r="C238" s="315">
        <f t="shared" si="26"/>
        <v>42835</v>
      </c>
      <c r="D238" s="315" t="s">
        <v>461</v>
      </c>
      <c r="E238" s="288">
        <v>42835</v>
      </c>
      <c r="F238" s="248" t="s">
        <v>463</v>
      </c>
      <c r="G238" s="314" t="s">
        <v>290</v>
      </c>
      <c r="H238" s="472"/>
      <c r="I238" s="307"/>
      <c r="J238" s="307"/>
      <c r="K238" s="532">
        <v>10000</v>
      </c>
      <c r="L238" s="533" t="s">
        <v>81</v>
      </c>
      <c r="M238" s="533" t="s">
        <v>24</v>
      </c>
      <c r="N238" s="525" t="str">
        <f>IF(AND('331-CT'!$E$7=TH!H238,OR(L238="331",M238="331")),"331",IF(AND(OR(L238="131",M238="131"),H238='131-CT'!$E$7),"131",""))</f>
        <v/>
      </c>
      <c r="O238" s="525" t="str">
        <f>IF(AND($B238&gt;='111'!$N$11,$B238&lt;='111'!$O$11,OR($L238=$O$7,$M238=$O$7)),"x","")</f>
        <v/>
      </c>
      <c r="P238" s="525" t="str">
        <f>IF(AND($L238=$O$7,$B238&lt;'111'!$N$11),"x","")</f>
        <v/>
      </c>
      <c r="Q238" s="525" t="str">
        <f>IF(AND($M238=$O$7,$B238&lt;'111'!$N$11),"x","")</f>
        <v/>
      </c>
      <c r="R238" s="525" t="str">
        <f>IF(ISERROR(FIND('112'!$M$9,G238,1)),"",IF((AND(FIND('112'!$M$9,G238,1)&gt;=1,$B238&gt;='112'!$N$8,$B238&lt;='112'!$O$8,OR($L238='112'!$I$6,$M238='112'!$I$6))),"x",""))</f>
        <v/>
      </c>
      <c r="S238" s="525" t="str">
        <f>IF(ISERROR(FIND('112'!$M$9,G238,1)),"",IF((AND(LEFT(G238,2)=LEFT('112'!$M$9,2),B238&lt;'112'!$N$8,$L238='112'!$I$6)),"x",""))</f>
        <v/>
      </c>
      <c r="T238" s="525" t="str">
        <f>IF(ISERROR(FIND('112'!$M$9,G238,1)),"",IF((AND(RIGHT(G238,2)=RIGHT('112'!$M$9,2),B238&lt;'112'!$N$8,$M238='112'!$I$6)),"x",""))</f>
        <v/>
      </c>
      <c r="U238" s="525" t="str">
        <f>IF(AND(B238&gt;='IN-NX'!$P$3,B238&lt;='IN-NX'!$Q$3,'IN-NX'!$D$7=D238,OR(LEFT(L238,2)="15",AND(LEFT(M238,2)&lt;&gt;"15",LEFT(M238,2)&lt;&gt;"33"))),"x","")</f>
        <v/>
      </c>
      <c r="V238" s="525" t="str">
        <f>IF(AND(OR(LEFT(TH!L238,2)="15",LEFT(TH!M238,2)="15"),'152-CT'!$J$8=TH!F238),"x","")</f>
        <v/>
      </c>
      <c r="W238" s="525" t="str">
        <f>IF(AND(OR(LEFT(TH!L238,2)="15",LEFT(TH!M238,2)="15"),TK!$E$7=TH!F238),"x","")</f>
        <v/>
      </c>
      <c r="X238" s="525" t="str">
        <f>IF(AND('341-CT'!$E$9=H238,OR(LEFT(L238,3)=$X$7,LEFT(M238,3)=$X$7)),"x","")</f>
        <v/>
      </c>
      <c r="Y238" s="525" t="str">
        <f>IF(OR(TH!L238=TH!$Y$7,M238=TH!$Y$7),"x","")</f>
        <v/>
      </c>
      <c r="Z238" s="525" t="str">
        <f>IF(AND(B238&lt;=NKC!$N$8,B238&gt;=NKC!$M$8),"x","")</f>
        <v/>
      </c>
      <c r="AA238" s="535">
        <v>2</v>
      </c>
    </row>
    <row r="239" spans="1:28" s="503" customFormat="1" ht="15.75" customHeight="1">
      <c r="A239" s="517" t="str">
        <f>IF(B239&lt;&gt;"",IF(AND(B239&gt;=_TM1,B239&lt;=_TM2,OR(TH!L239="1111",TH!M239="1111")),TH!D239,""),"")</f>
        <v/>
      </c>
      <c r="B239" s="531">
        <f t="shared" si="25"/>
        <v>4</v>
      </c>
      <c r="C239" s="315">
        <f t="shared" si="26"/>
        <v>42835</v>
      </c>
      <c r="D239" s="315" t="s">
        <v>461</v>
      </c>
      <c r="E239" s="288">
        <v>42835</v>
      </c>
      <c r="F239" s="248" t="s">
        <v>464</v>
      </c>
      <c r="G239" s="314" t="s">
        <v>290</v>
      </c>
      <c r="H239" s="472"/>
      <c r="I239" s="307"/>
      <c r="J239" s="307"/>
      <c r="K239" s="532">
        <v>1000</v>
      </c>
      <c r="L239" s="533" t="s">
        <v>9</v>
      </c>
      <c r="M239" s="533" t="s">
        <v>24</v>
      </c>
      <c r="N239" s="525" t="str">
        <f>IF(AND('331-CT'!$E$7=TH!H239,OR(L239="331",M239="331")),"331",IF(AND(OR(L239="131",M239="131"),H239='131-CT'!$E$7),"131",""))</f>
        <v/>
      </c>
      <c r="O239" s="525" t="str">
        <f>IF(AND($B239&gt;='111'!$N$11,$B239&lt;='111'!$O$11,OR($L239=$O$7,$M239=$O$7)),"x","")</f>
        <v/>
      </c>
      <c r="P239" s="525" t="str">
        <f>IF(AND($L239=$O$7,$B239&lt;'111'!$N$11),"x","")</f>
        <v/>
      </c>
      <c r="Q239" s="525" t="str">
        <f>IF(AND($M239=$O$7,$B239&lt;'111'!$N$11),"x","")</f>
        <v/>
      </c>
      <c r="R239" s="525" t="str">
        <f>IF(ISERROR(FIND('112'!$M$9,G239,1)),"",IF((AND(FIND('112'!$M$9,G239,1)&gt;=1,$B239&gt;='112'!$N$8,$B239&lt;='112'!$O$8,OR($L239='112'!$I$6,$M239='112'!$I$6))),"x",""))</f>
        <v/>
      </c>
      <c r="S239" s="525" t="str">
        <f>IF(ISERROR(FIND('112'!$M$9,G239,1)),"",IF((AND(LEFT(G239,2)=LEFT('112'!$M$9,2),B239&lt;'112'!$N$8,$L239='112'!$I$6)),"x",""))</f>
        <v/>
      </c>
      <c r="T239" s="525" t="str">
        <f>IF(ISERROR(FIND('112'!$M$9,G239,1)),"",IF((AND(RIGHT(G239,2)=RIGHT('112'!$M$9,2),B239&lt;'112'!$N$8,$M239='112'!$I$6)),"x",""))</f>
        <v/>
      </c>
      <c r="U239" s="525" t="str">
        <f>IF(AND(B239&gt;='IN-NX'!$P$3,B239&lt;='IN-NX'!$Q$3,'IN-NX'!$D$7=D239,OR(LEFT(L239,2)="15",AND(LEFT(M239,2)&lt;&gt;"15",LEFT(M239,2)&lt;&gt;"33"))),"x","")</f>
        <v/>
      </c>
      <c r="V239" s="525" t="str">
        <f>IF(AND(OR(LEFT(TH!L239,2)="15",LEFT(TH!M239,2)="15"),'152-CT'!$J$8=TH!F239),"x","")</f>
        <v/>
      </c>
      <c r="W239" s="525" t="str">
        <f>IF(AND(OR(LEFT(TH!L239,2)="15",LEFT(TH!M239,2)="15"),TK!$E$7=TH!F239),"x","")</f>
        <v/>
      </c>
      <c r="X239" s="525" t="str">
        <f>IF(AND('341-CT'!$E$9=H239,OR(LEFT(L239,3)=$X$7,LEFT(M239,3)=$X$7)),"x","")</f>
        <v/>
      </c>
      <c r="Y239" s="525" t="str">
        <f>IF(OR(TH!L239=TH!$Y$7,M239=TH!$Y$7),"x","")</f>
        <v/>
      </c>
      <c r="Z239" s="525" t="str">
        <f>IF(AND(B239&lt;=NKC!$N$8,B239&gt;=NKC!$M$8),"x","")</f>
        <v/>
      </c>
      <c r="AA239" s="535">
        <v>2</v>
      </c>
    </row>
    <row r="240" spans="1:28" s="503" customFormat="1" ht="15.75" customHeight="1">
      <c r="A240" s="517" t="str">
        <f>IF(B240&lt;&gt;"",IF(AND(B240&gt;=_TM1,B240&lt;=_TM2,OR(TH!L240="1111",TH!M240="1111")),TH!D240,""),"")</f>
        <v/>
      </c>
      <c r="B240" s="531">
        <f t="shared" si="25"/>
        <v>4</v>
      </c>
      <c r="C240" s="315">
        <f t="shared" si="26"/>
        <v>42835</v>
      </c>
      <c r="D240" s="315" t="s">
        <v>461</v>
      </c>
      <c r="E240" s="288">
        <v>42835</v>
      </c>
      <c r="F240" s="249" t="s">
        <v>465</v>
      </c>
      <c r="G240" s="314" t="s">
        <v>290</v>
      </c>
      <c r="H240" s="473" t="s">
        <v>460</v>
      </c>
      <c r="I240" s="307"/>
      <c r="J240" s="307"/>
      <c r="K240" s="532">
        <v>41600000</v>
      </c>
      <c r="L240" s="533" t="s">
        <v>45</v>
      </c>
      <c r="M240" s="533" t="s">
        <v>24</v>
      </c>
      <c r="N240" s="525" t="str">
        <f>IF(AND('331-CT'!$E$7=TH!H240,OR(L240="331",M240="331")),"331",IF(AND(OR(L240="131",M240="131"),H240='131-CT'!$E$7),"131",""))</f>
        <v/>
      </c>
      <c r="O240" s="525" t="str">
        <f>IF(AND($B240&gt;='111'!$N$11,$B240&lt;='111'!$O$11,OR($L240=$O$7,$M240=$O$7)),"x","")</f>
        <v/>
      </c>
      <c r="P240" s="525" t="str">
        <f>IF(AND($L240=$O$7,$B240&lt;'111'!$N$11),"x","")</f>
        <v>x</v>
      </c>
      <c r="Q240" s="525" t="str">
        <f>IF(AND($M240=$O$7,$B240&lt;'111'!$N$11),"x","")</f>
        <v/>
      </c>
      <c r="R240" s="525" t="str">
        <f>IF(ISERROR(FIND('112'!$M$9,G240,1)),"",IF((AND(FIND('112'!$M$9,G240,1)&gt;=1,$B240&gt;='112'!$N$8,$B240&lt;='112'!$O$8,OR($L240='112'!$I$6,$M240='112'!$I$6))),"x",""))</f>
        <v/>
      </c>
      <c r="S240" s="525" t="str">
        <f>IF(ISERROR(FIND('112'!$M$9,G240,1)),"",IF((AND(LEFT(G240,2)=LEFT('112'!$M$9,2),B240&lt;'112'!$N$8,$L240='112'!$I$6)),"x",""))</f>
        <v/>
      </c>
      <c r="T240" s="525" t="str">
        <f>IF(ISERROR(FIND('112'!$M$9,G240,1)),"",IF((AND(RIGHT(G240,2)=RIGHT('112'!$M$9,2),B240&lt;'112'!$N$8,$M240='112'!$I$6)),"x",""))</f>
        <v/>
      </c>
      <c r="U240" s="525" t="str">
        <f>IF(AND(B240&gt;='IN-NX'!$P$3,B240&lt;='IN-NX'!$Q$3,'IN-NX'!$D$7=D240,OR(LEFT(L240,2)="15",AND(LEFT(M240,2)&lt;&gt;"15",LEFT(M240,2)&lt;&gt;"33"))),"x","")</f>
        <v/>
      </c>
      <c r="V240" s="525" t="str">
        <f>IF(AND(OR(LEFT(TH!L240,2)="15",LEFT(TH!M240,2)="15"),'152-CT'!$J$8=TH!F240),"x","")</f>
        <v/>
      </c>
      <c r="W240" s="525" t="str">
        <f>IF(AND(OR(LEFT(TH!L240,2)="15",LEFT(TH!M240,2)="15"),TK!$E$7=TH!F240),"x","")</f>
        <v/>
      </c>
      <c r="X240" s="525" t="str">
        <f>IF(AND('341-CT'!$E$9=H240,OR(LEFT(L240,3)=$X$7,LEFT(M240,3)=$X$7)),"x","")</f>
        <v/>
      </c>
      <c r="Y240" s="525" t="str">
        <f>IF(OR(TH!L240=TH!$Y$7,M240=TH!$Y$7),"x","")</f>
        <v/>
      </c>
      <c r="Z240" s="525" t="str">
        <f>IF(AND(B240&lt;=NKC!$N$8,B240&gt;=NKC!$M$8),"x","")</f>
        <v/>
      </c>
      <c r="AA240" s="535"/>
    </row>
    <row r="241" spans="1:28" s="503" customFormat="1" ht="15.75" customHeight="1">
      <c r="A241" s="517" t="str">
        <f>IF(B241&lt;&gt;"",IF(AND(B241&gt;=_TM1,B241&lt;=_TM2,OR(TH!L241="1111",TH!M241="1111")),TH!D241,""),"")</f>
        <v/>
      </c>
      <c r="B241" s="531">
        <f t="shared" si="25"/>
        <v>4</v>
      </c>
      <c r="C241" s="315">
        <f t="shared" si="26"/>
        <v>42839</v>
      </c>
      <c r="D241" s="315" t="s">
        <v>456</v>
      </c>
      <c r="E241" s="288">
        <v>42839</v>
      </c>
      <c r="F241" s="248" t="s">
        <v>457</v>
      </c>
      <c r="G241" s="314" t="s">
        <v>290</v>
      </c>
      <c r="H241" s="473" t="s">
        <v>283</v>
      </c>
      <c r="I241" s="307"/>
      <c r="J241" s="307"/>
      <c r="K241" s="532">
        <v>100000000</v>
      </c>
      <c r="L241" s="533" t="s">
        <v>24</v>
      </c>
      <c r="M241" s="533" t="s">
        <v>223</v>
      </c>
      <c r="N241" s="525" t="str">
        <f>IF(AND('331-CT'!$E$7=TH!H241,OR(L241="331",M241="331")),"331",IF(AND(OR(L241="131",M241="131"),H241='131-CT'!$E$7),"131",""))</f>
        <v/>
      </c>
      <c r="O241" s="525" t="str">
        <f>IF(AND($B241&gt;='111'!$N$11,$B241&lt;='111'!$O$11,OR($L241=$O$7,$M241=$O$7)),"x","")</f>
        <v/>
      </c>
      <c r="P241" s="525" t="str">
        <f>IF(AND($L241=$O$7,$B241&lt;'111'!$N$11),"x","")</f>
        <v/>
      </c>
      <c r="Q241" s="525" t="str">
        <f>IF(AND($M241=$O$7,$B241&lt;'111'!$N$11),"x","")</f>
        <v/>
      </c>
      <c r="R241" s="525" t="str">
        <f>IF(ISERROR(FIND('112'!$M$9,G241,1)),"",IF((AND(FIND('112'!$M$9,G241,1)&gt;=1,$B241&gt;='112'!$N$8,$B241&lt;='112'!$O$8,OR($L241='112'!$I$6,$M241='112'!$I$6))),"x",""))</f>
        <v/>
      </c>
      <c r="S241" s="525" t="str">
        <f>IF(ISERROR(FIND('112'!$M$9,G241,1)),"",IF((AND(LEFT(G241,2)=LEFT('112'!$M$9,2),B241&lt;'112'!$N$8,$L241='112'!$I$6)),"x",""))</f>
        <v/>
      </c>
      <c r="T241" s="525" t="str">
        <f>IF(ISERROR(FIND('112'!$M$9,G241,1)),"",IF((AND(RIGHT(G241,2)=RIGHT('112'!$M$9,2),B241&lt;'112'!$N$8,$M241='112'!$I$6)),"x",""))</f>
        <v/>
      </c>
      <c r="U241" s="525" t="str">
        <f>IF(AND(B241&gt;='IN-NX'!$P$3,B241&lt;='IN-NX'!$Q$3,'IN-NX'!$D$7=D241,OR(LEFT(L241,2)="15",AND(LEFT(M241,2)&lt;&gt;"15",LEFT(M241,2)&lt;&gt;"33"))),"x","")</f>
        <v/>
      </c>
      <c r="V241" s="525" t="str">
        <f>IF(AND(OR(LEFT(TH!L241,2)="15",LEFT(TH!M241,2)="15"),'152-CT'!$J$8=TH!F241),"x","")</f>
        <v/>
      </c>
      <c r="W241" s="525" t="str">
        <f>IF(AND(OR(LEFT(TH!L241,2)="15",LEFT(TH!M241,2)="15"),TK!$E$7=TH!F241),"x","")</f>
        <v/>
      </c>
      <c r="X241" s="525" t="str">
        <f>IF(AND('341-CT'!$E$9=H241,OR(LEFT(L241,3)=$X$7,LEFT(M241,3)=$X$7)),"x","")</f>
        <v/>
      </c>
      <c r="Y241" s="525" t="str">
        <f>IF(OR(TH!L241=TH!$Y$7,M241=TH!$Y$7),"x","")</f>
        <v/>
      </c>
      <c r="Z241" s="525" t="str">
        <f>IF(AND(B241&lt;=NKC!$N$8,B241&gt;=NKC!$M$8),"x","")</f>
        <v/>
      </c>
      <c r="AA241" s="535"/>
    </row>
    <row r="242" spans="1:28" s="503" customFormat="1" ht="15.75" customHeight="1">
      <c r="A242" s="517" t="str">
        <f>IF(B242&lt;&gt;"",IF(AND(B242&gt;=_TM1,B242&lt;=_TM2,OR(TH!L242="1111",TH!M242="1111")),TH!D242,""),"")</f>
        <v/>
      </c>
      <c r="B242" s="531">
        <f t="shared" si="25"/>
        <v>4</v>
      </c>
      <c r="C242" s="315">
        <f t="shared" si="26"/>
        <v>42839</v>
      </c>
      <c r="D242" s="315" t="s">
        <v>456</v>
      </c>
      <c r="E242" s="288">
        <v>42839</v>
      </c>
      <c r="F242" s="248" t="s">
        <v>457</v>
      </c>
      <c r="G242" s="314" t="s">
        <v>290</v>
      </c>
      <c r="H242" s="473" t="s">
        <v>283</v>
      </c>
      <c r="I242" s="307"/>
      <c r="J242" s="307"/>
      <c r="K242" s="532">
        <v>130382350</v>
      </c>
      <c r="L242" s="533" t="s">
        <v>24</v>
      </c>
      <c r="M242" s="533" t="s">
        <v>223</v>
      </c>
      <c r="N242" s="525" t="str">
        <f>IF(AND('331-CT'!$E$7=TH!H242,OR(L242="331",M242="331")),"331",IF(AND(OR(L242="131",M242="131"),H242='131-CT'!$E$7),"131",""))</f>
        <v/>
      </c>
      <c r="O242" s="525" t="str">
        <f>IF(AND($B242&gt;='111'!$N$11,$B242&lt;='111'!$O$11,OR($L242=$O$7,$M242=$O$7)),"x","")</f>
        <v/>
      </c>
      <c r="P242" s="525" t="str">
        <f>IF(AND($L242=$O$7,$B242&lt;'111'!$N$11),"x","")</f>
        <v/>
      </c>
      <c r="Q242" s="525" t="str">
        <f>IF(AND($M242=$O$7,$B242&lt;'111'!$N$11),"x","")</f>
        <v/>
      </c>
      <c r="R242" s="525" t="str">
        <f>IF(ISERROR(FIND('112'!$M$9,G242,1)),"",IF((AND(FIND('112'!$M$9,G242,1)&gt;=1,$B242&gt;='112'!$N$8,$B242&lt;='112'!$O$8,OR($L242='112'!$I$6,$M242='112'!$I$6))),"x",""))</f>
        <v/>
      </c>
      <c r="S242" s="525" t="str">
        <f>IF(ISERROR(FIND('112'!$M$9,G242,1)),"",IF((AND(LEFT(G242,2)=LEFT('112'!$M$9,2),B242&lt;'112'!$N$8,$L242='112'!$I$6)),"x",""))</f>
        <v/>
      </c>
      <c r="T242" s="525" t="str">
        <f>IF(ISERROR(FIND('112'!$M$9,G242,1)),"",IF((AND(RIGHT(G242,2)=RIGHT('112'!$M$9,2),B242&lt;'112'!$N$8,$M242='112'!$I$6)),"x",""))</f>
        <v/>
      </c>
      <c r="U242" s="525" t="str">
        <f>IF(AND(B242&gt;='IN-NX'!$P$3,B242&lt;='IN-NX'!$Q$3,'IN-NX'!$D$7=D242,OR(LEFT(L242,2)="15",AND(LEFT(M242,2)&lt;&gt;"15",LEFT(M242,2)&lt;&gt;"33"))),"x","")</f>
        <v/>
      </c>
      <c r="V242" s="525" t="str">
        <f>IF(AND(OR(LEFT(TH!L242,2)="15",LEFT(TH!M242,2)="15"),'152-CT'!$J$8=TH!F242),"x","")</f>
        <v/>
      </c>
      <c r="W242" s="525" t="str">
        <f>IF(AND(OR(LEFT(TH!L242,2)="15",LEFT(TH!M242,2)="15"),TK!$E$7=TH!F242),"x","")</f>
        <v/>
      </c>
      <c r="X242" s="525" t="str">
        <f>IF(AND('341-CT'!$E$9=H242,OR(LEFT(L242,3)=$X$7,LEFT(M242,3)=$X$7)),"x","")</f>
        <v/>
      </c>
      <c r="Y242" s="525" t="str">
        <f>IF(OR(TH!L242=TH!$Y$7,M242=TH!$Y$7),"x","")</f>
        <v/>
      </c>
      <c r="Z242" s="525" t="str">
        <f>IF(AND(B242&lt;=NKC!$N$8,B242&gt;=NKC!$M$8),"x","")</f>
        <v/>
      </c>
      <c r="AA242" s="535"/>
    </row>
    <row r="243" spans="1:28" s="503" customFormat="1" ht="15.75" customHeight="1">
      <c r="A243" s="517" t="str">
        <f>IF(B243&lt;&gt;"",IF(AND(B243&gt;=_TM1,B243&lt;=_TM2,OR(TH!L243="1111",TH!M243="1111")),TH!D243,""),"")</f>
        <v/>
      </c>
      <c r="B243" s="531">
        <f t="shared" si="25"/>
        <v>4</v>
      </c>
      <c r="C243" s="315">
        <f t="shared" si="26"/>
        <v>42839</v>
      </c>
      <c r="D243" s="315" t="s">
        <v>456</v>
      </c>
      <c r="E243" s="288">
        <v>42839</v>
      </c>
      <c r="F243" s="248" t="s">
        <v>457</v>
      </c>
      <c r="G243" s="314" t="s">
        <v>290</v>
      </c>
      <c r="H243" s="472" t="s">
        <v>289</v>
      </c>
      <c r="I243" s="307"/>
      <c r="J243" s="307"/>
      <c r="K243" s="532">
        <v>48048000</v>
      </c>
      <c r="L243" s="533" t="s">
        <v>24</v>
      </c>
      <c r="M243" s="533" t="s">
        <v>223</v>
      </c>
      <c r="N243" s="525" t="str">
        <f>IF(AND('331-CT'!$E$7=TH!H243,OR(L243="331",M243="331")),"331",IF(AND(OR(L243="131",M243="131"),H243='131-CT'!$E$7),"131",""))</f>
        <v/>
      </c>
      <c r="O243" s="525" t="str">
        <f>IF(AND($B243&gt;='111'!$N$11,$B243&lt;='111'!$O$11,OR($L243=$O$7,$M243=$O$7)),"x","")</f>
        <v/>
      </c>
      <c r="P243" s="525" t="str">
        <f>IF(AND($L243=$O$7,$B243&lt;'111'!$N$11),"x","")</f>
        <v/>
      </c>
      <c r="Q243" s="525" t="str">
        <f>IF(AND($M243=$O$7,$B243&lt;'111'!$N$11),"x","")</f>
        <v/>
      </c>
      <c r="R243" s="525" t="str">
        <f>IF(ISERROR(FIND('112'!$M$9,G243,1)),"",IF((AND(FIND('112'!$M$9,G243,1)&gt;=1,$B243&gt;='112'!$N$8,$B243&lt;='112'!$O$8,OR($L243='112'!$I$6,$M243='112'!$I$6))),"x",""))</f>
        <v/>
      </c>
      <c r="S243" s="525" t="str">
        <f>IF(ISERROR(FIND('112'!$M$9,G243,1)),"",IF((AND(LEFT(G243,2)=LEFT('112'!$M$9,2),B243&lt;'112'!$N$8,$L243='112'!$I$6)),"x",""))</f>
        <v/>
      </c>
      <c r="T243" s="525" t="str">
        <f>IF(ISERROR(FIND('112'!$M$9,G243,1)),"",IF((AND(RIGHT(G243,2)=RIGHT('112'!$M$9,2),B243&lt;'112'!$N$8,$M243='112'!$I$6)),"x",""))</f>
        <v/>
      </c>
      <c r="U243" s="525" t="str">
        <f>IF(AND(B243&gt;='IN-NX'!$P$3,B243&lt;='IN-NX'!$Q$3,'IN-NX'!$D$7=D243,OR(LEFT(L243,2)="15",AND(LEFT(M243,2)&lt;&gt;"15",LEFT(M243,2)&lt;&gt;"33"))),"x","")</f>
        <v/>
      </c>
      <c r="V243" s="525" t="str">
        <f>IF(AND(OR(LEFT(TH!L243,2)="15",LEFT(TH!M243,2)="15"),'152-CT'!$J$8=TH!F243),"x","")</f>
        <v/>
      </c>
      <c r="W243" s="525" t="str">
        <f>IF(AND(OR(LEFT(TH!L243,2)="15",LEFT(TH!M243,2)="15"),TK!$E$7=TH!F243),"x","")</f>
        <v/>
      </c>
      <c r="X243" s="525" t="str">
        <f>IF(AND('341-CT'!$E$9=H243,OR(LEFT(L243,3)=$X$7,LEFT(M243,3)=$X$7)),"x","")</f>
        <v/>
      </c>
      <c r="Y243" s="525" t="str">
        <f>IF(OR(TH!L243=TH!$Y$7,M243=TH!$Y$7),"x","")</f>
        <v/>
      </c>
      <c r="Z243" s="525" t="str">
        <f>IF(AND(B243&lt;=NKC!$N$8,B243&gt;=NKC!$M$8),"x","")</f>
        <v/>
      </c>
      <c r="AA243" s="535"/>
      <c r="AB243" s="536"/>
    </row>
    <row r="244" spans="1:28" s="503" customFormat="1" ht="15.75" customHeight="1">
      <c r="A244" s="517" t="str">
        <f>IF(B244&lt;&gt;"",IF(AND(B244&gt;=_TM1,B244&lt;=_TM2,OR(TH!L244="1111",TH!M244="1111")),TH!D244,""),"")</f>
        <v/>
      </c>
      <c r="B244" s="531">
        <f t="shared" si="25"/>
        <v>4</v>
      </c>
      <c r="C244" s="315">
        <f t="shared" si="26"/>
        <v>42839</v>
      </c>
      <c r="D244" s="315" t="s">
        <v>461</v>
      </c>
      <c r="E244" s="288">
        <v>42839</v>
      </c>
      <c r="F244" s="249" t="s">
        <v>465</v>
      </c>
      <c r="G244" s="314" t="s">
        <v>290</v>
      </c>
      <c r="H244" s="473" t="s">
        <v>460</v>
      </c>
      <c r="I244" s="307"/>
      <c r="J244" s="307"/>
      <c r="K244" s="532">
        <v>48000000</v>
      </c>
      <c r="L244" s="533" t="s">
        <v>45</v>
      </c>
      <c r="M244" s="533" t="s">
        <v>24</v>
      </c>
      <c r="N244" s="525" t="str">
        <f>IF(AND('331-CT'!$E$7=TH!H244,OR(L244="331",M244="331")),"331",IF(AND(OR(L244="131",M244="131"),H244='131-CT'!$E$7),"131",""))</f>
        <v/>
      </c>
      <c r="O244" s="525" t="str">
        <f>IF(AND($B244&gt;='111'!$N$11,$B244&lt;='111'!$O$11,OR($L244=$O$7,$M244=$O$7)),"x","")</f>
        <v/>
      </c>
      <c r="P244" s="525" t="str">
        <f>IF(AND($L244=$O$7,$B244&lt;'111'!$N$11),"x","")</f>
        <v>x</v>
      </c>
      <c r="Q244" s="525" t="str">
        <f>IF(AND($M244=$O$7,$B244&lt;'111'!$N$11),"x","")</f>
        <v/>
      </c>
      <c r="R244" s="525" t="str">
        <f>IF(ISERROR(FIND('112'!$M$9,G244,1)),"",IF((AND(FIND('112'!$M$9,G244,1)&gt;=1,$B244&gt;='112'!$N$8,$B244&lt;='112'!$O$8,OR($L244='112'!$I$6,$M244='112'!$I$6))),"x",""))</f>
        <v/>
      </c>
      <c r="S244" s="525" t="str">
        <f>IF(ISERROR(FIND('112'!$M$9,G244,1)),"",IF((AND(LEFT(G244,2)=LEFT('112'!$M$9,2),B244&lt;'112'!$N$8,$L244='112'!$I$6)),"x",""))</f>
        <v/>
      </c>
      <c r="T244" s="525" t="str">
        <f>IF(ISERROR(FIND('112'!$M$9,G244,1)),"",IF((AND(RIGHT(G244,2)=RIGHT('112'!$M$9,2),B244&lt;'112'!$N$8,$M244='112'!$I$6)),"x",""))</f>
        <v/>
      </c>
      <c r="U244" s="525" t="str">
        <f>IF(AND(B244&gt;='IN-NX'!$P$3,B244&lt;='IN-NX'!$Q$3,'IN-NX'!$D$7=D244,OR(LEFT(L244,2)="15",AND(LEFT(M244,2)&lt;&gt;"15",LEFT(M244,2)&lt;&gt;"33"))),"x","")</f>
        <v/>
      </c>
      <c r="V244" s="525" t="str">
        <f>IF(AND(OR(LEFT(TH!L244,2)="15",LEFT(TH!M244,2)="15"),'152-CT'!$J$8=TH!F244),"x","")</f>
        <v/>
      </c>
      <c r="W244" s="525" t="str">
        <f>IF(AND(OR(LEFT(TH!L244,2)="15",LEFT(TH!M244,2)="15"),TK!$E$7=TH!F244),"x","")</f>
        <v/>
      </c>
      <c r="X244" s="525" t="str">
        <f>IF(AND('341-CT'!$E$9=H244,OR(LEFT(L244,3)=$X$7,LEFT(M244,3)=$X$7)),"x","")</f>
        <v/>
      </c>
      <c r="Y244" s="525" t="str">
        <f>IF(OR(TH!L244=TH!$Y$7,M244=TH!$Y$7),"x","")</f>
        <v/>
      </c>
      <c r="Z244" s="525" t="str">
        <f>IF(AND(B244&lt;=NKC!$N$8,B244&gt;=NKC!$M$8),"x","")</f>
        <v/>
      </c>
      <c r="AA244" s="535"/>
      <c r="AB244" s="536"/>
    </row>
    <row r="245" spans="1:28" s="503" customFormat="1" ht="15.75" customHeight="1">
      <c r="A245" s="517" t="str">
        <f>IF(B245&lt;&gt;"",IF(AND(B245&gt;=_TM1,B245&lt;=_TM2,OR(TH!L245="1111",TH!M245="1111")),TH!D245,""),"")</f>
        <v/>
      </c>
      <c r="B245" s="531">
        <f t="shared" si="25"/>
        <v>4</v>
      </c>
      <c r="C245" s="315">
        <f t="shared" si="26"/>
        <v>42839</v>
      </c>
      <c r="D245" s="315" t="s">
        <v>461</v>
      </c>
      <c r="E245" s="288">
        <v>42839</v>
      </c>
      <c r="F245" s="249" t="s">
        <v>465</v>
      </c>
      <c r="G245" s="314" t="s">
        <v>290</v>
      </c>
      <c r="H245" s="473" t="s">
        <v>460</v>
      </c>
      <c r="I245" s="307"/>
      <c r="J245" s="307"/>
      <c r="K245" s="532">
        <v>230400000</v>
      </c>
      <c r="L245" s="533" t="s">
        <v>45</v>
      </c>
      <c r="M245" s="533" t="s">
        <v>24</v>
      </c>
      <c r="N245" s="525" t="str">
        <f>IF(AND('331-CT'!$E$7=TH!H245,OR(L245="331",M245="331")),"331",IF(AND(OR(L245="131",M245="131"),H245='131-CT'!$E$7),"131",""))</f>
        <v/>
      </c>
      <c r="O245" s="525" t="str">
        <f>IF(AND($B245&gt;='111'!$N$11,$B245&lt;='111'!$O$11,OR($L245=$O$7,$M245=$O$7)),"x","")</f>
        <v/>
      </c>
      <c r="P245" s="525" t="str">
        <f>IF(AND($L245=$O$7,$B245&lt;'111'!$N$11),"x","")</f>
        <v>x</v>
      </c>
      <c r="Q245" s="525" t="str">
        <f>IF(AND($M245=$O$7,$B245&lt;'111'!$N$11),"x","")</f>
        <v/>
      </c>
      <c r="R245" s="525" t="str">
        <f>IF(ISERROR(FIND('112'!$M$9,G245,1)),"",IF((AND(FIND('112'!$M$9,G245,1)&gt;=1,$B245&gt;='112'!$N$8,$B245&lt;='112'!$O$8,OR($L245='112'!$I$6,$M245='112'!$I$6))),"x",""))</f>
        <v/>
      </c>
      <c r="S245" s="525" t="str">
        <f>IF(ISERROR(FIND('112'!$M$9,G245,1)),"",IF((AND(LEFT(G245,2)=LEFT('112'!$M$9,2),B245&lt;'112'!$N$8,$L245='112'!$I$6)),"x",""))</f>
        <v/>
      </c>
      <c r="T245" s="525" t="str">
        <f>IF(ISERROR(FIND('112'!$M$9,G245,1)),"",IF((AND(RIGHT(G245,2)=RIGHT('112'!$M$9,2),B245&lt;'112'!$N$8,$M245='112'!$I$6)),"x",""))</f>
        <v/>
      </c>
      <c r="U245" s="525" t="str">
        <f>IF(AND(B245&gt;='IN-NX'!$P$3,B245&lt;='IN-NX'!$Q$3,'IN-NX'!$D$7=D245,OR(LEFT(L245,2)="15",AND(LEFT(M245,2)&lt;&gt;"15",LEFT(M245,2)&lt;&gt;"33"))),"x","")</f>
        <v/>
      </c>
      <c r="V245" s="525" t="str">
        <f>IF(AND(OR(LEFT(TH!L245,2)="15",LEFT(TH!M245,2)="15"),'152-CT'!$J$8=TH!F245),"x","")</f>
        <v/>
      </c>
      <c r="W245" s="525" t="str">
        <f>IF(AND(OR(LEFT(TH!L245,2)="15",LEFT(TH!M245,2)="15"),TK!$E$7=TH!F245),"x","")</f>
        <v/>
      </c>
      <c r="X245" s="525" t="str">
        <f>IF(AND('341-CT'!$E$9=H245,OR(LEFT(L245,3)=$X$7,LEFT(M245,3)=$X$7)),"x","")</f>
        <v/>
      </c>
      <c r="Y245" s="525" t="str">
        <f>IF(OR(TH!L245=TH!$Y$7,M245=TH!$Y$7),"x","")</f>
        <v/>
      </c>
      <c r="Z245" s="525" t="str">
        <f>IF(AND(B245&lt;=NKC!$N$8,B245&gt;=NKC!$M$8),"x","")</f>
        <v/>
      </c>
      <c r="AA245" s="535"/>
    </row>
    <row r="246" spans="1:28" s="503" customFormat="1" ht="15.75" customHeight="1">
      <c r="A246" s="517" t="str">
        <f>IF(B246&lt;&gt;"",IF(AND(B246&gt;=_TM1,B246&lt;=_TM2,OR(TH!L246="1111",TH!M246="1111")),TH!D246,""),"")</f>
        <v/>
      </c>
      <c r="B246" s="531">
        <f t="shared" si="25"/>
        <v>4</v>
      </c>
      <c r="C246" s="315">
        <f t="shared" si="26"/>
        <v>42843</v>
      </c>
      <c r="D246" s="315" t="s">
        <v>456</v>
      </c>
      <c r="E246" s="288">
        <v>42843</v>
      </c>
      <c r="F246" s="248" t="s">
        <v>457</v>
      </c>
      <c r="G246" s="314" t="s">
        <v>290</v>
      </c>
      <c r="H246" s="473" t="s">
        <v>279</v>
      </c>
      <c r="I246" s="307"/>
      <c r="J246" s="307"/>
      <c r="K246" s="532">
        <v>6343700</v>
      </c>
      <c r="L246" s="533" t="s">
        <v>24</v>
      </c>
      <c r="M246" s="533" t="s">
        <v>223</v>
      </c>
      <c r="N246" s="525" t="str">
        <f>IF(AND('331-CT'!$E$7=TH!H246,OR(L246="331",M246="331")),"331",IF(AND(OR(L246="131",M246="131"),H246='131-CT'!$E$7),"131",""))</f>
        <v/>
      </c>
      <c r="O246" s="525" t="str">
        <f>IF(AND($B246&gt;='111'!$N$11,$B246&lt;='111'!$O$11,OR($L246=$O$7,$M246=$O$7)),"x","")</f>
        <v/>
      </c>
      <c r="P246" s="525" t="str">
        <f>IF(AND($L246=$O$7,$B246&lt;'111'!$N$11),"x","")</f>
        <v/>
      </c>
      <c r="Q246" s="525" t="str">
        <f>IF(AND($M246=$O$7,$B246&lt;'111'!$N$11),"x","")</f>
        <v/>
      </c>
      <c r="R246" s="525" t="str">
        <f>IF(ISERROR(FIND('112'!$M$9,G246,1)),"",IF((AND(FIND('112'!$M$9,G246,1)&gt;=1,$B246&gt;='112'!$N$8,$B246&lt;='112'!$O$8,OR($L246='112'!$I$6,$M246='112'!$I$6))),"x",""))</f>
        <v/>
      </c>
      <c r="S246" s="525" t="str">
        <f>IF(ISERROR(FIND('112'!$M$9,G246,1)),"",IF((AND(LEFT(G246,2)=LEFT('112'!$M$9,2),B246&lt;'112'!$N$8,$L246='112'!$I$6)),"x",""))</f>
        <v/>
      </c>
      <c r="T246" s="525" t="str">
        <f>IF(ISERROR(FIND('112'!$M$9,G246,1)),"",IF((AND(RIGHT(G246,2)=RIGHT('112'!$M$9,2),B246&lt;'112'!$N$8,$M246='112'!$I$6)),"x",""))</f>
        <v/>
      </c>
      <c r="U246" s="525" t="str">
        <f>IF(AND(B246&gt;='IN-NX'!$P$3,B246&lt;='IN-NX'!$Q$3,'IN-NX'!$D$7=D246,OR(LEFT(L246,2)="15",AND(LEFT(M246,2)&lt;&gt;"15",LEFT(M246,2)&lt;&gt;"33"))),"x","")</f>
        <v/>
      </c>
      <c r="V246" s="525" t="str">
        <f>IF(AND(OR(LEFT(TH!L246,2)="15",LEFT(TH!M246,2)="15"),'152-CT'!$J$8=TH!F246),"x","")</f>
        <v/>
      </c>
      <c r="W246" s="525" t="str">
        <f>IF(AND(OR(LEFT(TH!L246,2)="15",LEFT(TH!M246,2)="15"),TK!$E$7=TH!F246),"x","")</f>
        <v/>
      </c>
      <c r="X246" s="525" t="str">
        <f>IF(AND('341-CT'!$E$9=H246,OR(LEFT(L246,3)=$X$7,LEFT(M246,3)=$X$7)),"x","")</f>
        <v/>
      </c>
      <c r="Y246" s="525" t="str">
        <f>IF(OR(TH!L246=TH!$Y$7,M246=TH!$Y$7),"x","")</f>
        <v/>
      </c>
      <c r="Z246" s="525" t="str">
        <f>IF(AND(B246&lt;=NKC!$N$8,B246&gt;=NKC!$M$8),"x","")</f>
        <v/>
      </c>
      <c r="AA246" s="535"/>
    </row>
    <row r="247" spans="1:28" s="503" customFormat="1" ht="15.75" customHeight="1">
      <c r="A247" s="517" t="str">
        <f>IF(B247&lt;&gt;"",IF(AND(B247&gt;=_TM1,B247&lt;=_TM2,OR(TH!L247="1111",TH!M247="1111")),TH!D247,""),"")</f>
        <v/>
      </c>
      <c r="B247" s="531">
        <f t="shared" si="25"/>
        <v>4</v>
      </c>
      <c r="C247" s="315">
        <f t="shared" si="26"/>
        <v>42843</v>
      </c>
      <c r="D247" s="315" t="s">
        <v>456</v>
      </c>
      <c r="E247" s="288">
        <v>42843</v>
      </c>
      <c r="F247" s="248" t="s">
        <v>457</v>
      </c>
      <c r="G247" s="314" t="s">
        <v>290</v>
      </c>
      <c r="H247" s="472" t="s">
        <v>298</v>
      </c>
      <c r="I247" s="307"/>
      <c r="J247" s="307"/>
      <c r="K247" s="532">
        <v>16995653</v>
      </c>
      <c r="L247" s="533" t="s">
        <v>24</v>
      </c>
      <c r="M247" s="533" t="s">
        <v>223</v>
      </c>
      <c r="N247" s="525" t="str">
        <f>IF(AND('331-CT'!$E$7=TH!H247,OR(L247="331",M247="331")),"331",IF(AND(OR(L247="131",M247="131"),H247='131-CT'!$E$7),"131",""))</f>
        <v/>
      </c>
      <c r="O247" s="525" t="str">
        <f>IF(AND($B247&gt;='111'!$N$11,$B247&lt;='111'!$O$11,OR($L247=$O$7,$M247=$O$7)),"x","")</f>
        <v/>
      </c>
      <c r="P247" s="525" t="str">
        <f>IF(AND($L247=$O$7,$B247&lt;'111'!$N$11),"x","")</f>
        <v/>
      </c>
      <c r="Q247" s="525" t="str">
        <f>IF(AND($M247=$O$7,$B247&lt;'111'!$N$11),"x","")</f>
        <v/>
      </c>
      <c r="R247" s="525" t="str">
        <f>IF(ISERROR(FIND('112'!$M$9,G247,1)),"",IF((AND(FIND('112'!$M$9,G247,1)&gt;=1,$B247&gt;='112'!$N$8,$B247&lt;='112'!$O$8,OR($L247='112'!$I$6,$M247='112'!$I$6))),"x",""))</f>
        <v/>
      </c>
      <c r="S247" s="525" t="str">
        <f>IF(ISERROR(FIND('112'!$M$9,G247,1)),"",IF((AND(LEFT(G247,2)=LEFT('112'!$M$9,2),B247&lt;'112'!$N$8,$L247='112'!$I$6)),"x",""))</f>
        <v/>
      </c>
      <c r="T247" s="525" t="str">
        <f>IF(ISERROR(FIND('112'!$M$9,G247,1)),"",IF((AND(RIGHT(G247,2)=RIGHT('112'!$M$9,2),B247&lt;'112'!$N$8,$M247='112'!$I$6)),"x",""))</f>
        <v/>
      </c>
      <c r="U247" s="525" t="str">
        <f>IF(AND(B247&gt;='IN-NX'!$P$3,B247&lt;='IN-NX'!$Q$3,'IN-NX'!$D$7=D247,OR(LEFT(L247,2)="15",AND(LEFT(M247,2)&lt;&gt;"15",LEFT(M247,2)&lt;&gt;"33"))),"x","")</f>
        <v/>
      </c>
      <c r="V247" s="525" t="str">
        <f>IF(AND(OR(LEFT(TH!L247,2)="15",LEFT(TH!M247,2)="15"),'152-CT'!$J$8=TH!F247),"x","")</f>
        <v/>
      </c>
      <c r="W247" s="525" t="str">
        <f>IF(AND(OR(LEFT(TH!L247,2)="15",LEFT(TH!M247,2)="15"),TK!$E$7=TH!F247),"x","")</f>
        <v/>
      </c>
      <c r="X247" s="525" t="str">
        <f>IF(AND('341-CT'!$E$9=H247,OR(LEFT(L247,3)=$X$7,LEFT(M247,3)=$X$7)),"x","")</f>
        <v/>
      </c>
      <c r="Y247" s="525" t="str">
        <f>IF(OR(TH!L247=TH!$Y$7,M247=TH!$Y$7),"x","")</f>
        <v/>
      </c>
      <c r="Z247" s="525" t="str">
        <f>IF(AND(B247&lt;=NKC!$N$8,B247&gt;=NKC!$M$8),"x","")</f>
        <v/>
      </c>
      <c r="AA247" s="535"/>
    </row>
    <row r="248" spans="1:28" s="503" customFormat="1" ht="15.75" customHeight="1">
      <c r="A248" s="517" t="str">
        <f>IF(B248&lt;&gt;"",IF(AND(B248&gt;=_TM1,B248&lt;=_TM2,OR(TH!L248="1111",TH!M248="1111")),TH!D248,""),"")</f>
        <v/>
      </c>
      <c r="B248" s="531">
        <f t="shared" si="25"/>
        <v>4</v>
      </c>
      <c r="C248" s="315">
        <f t="shared" si="26"/>
        <v>42843</v>
      </c>
      <c r="D248" s="315" t="s">
        <v>461</v>
      </c>
      <c r="E248" s="288">
        <v>42843</v>
      </c>
      <c r="F248" s="249" t="s">
        <v>466</v>
      </c>
      <c r="G248" s="314" t="s">
        <v>290</v>
      </c>
      <c r="H248" s="472"/>
      <c r="I248" s="307"/>
      <c r="J248" s="307"/>
      <c r="K248" s="532">
        <v>20000</v>
      </c>
      <c r="L248" s="533" t="s">
        <v>81</v>
      </c>
      <c r="M248" s="533" t="s">
        <v>24</v>
      </c>
      <c r="N248" s="525" t="str">
        <f>IF(AND('331-CT'!$E$7=TH!H248,OR(L248="331",M248="331")),"331",IF(AND(OR(L248="131",M248="131"),H248='131-CT'!$E$7),"131",""))</f>
        <v/>
      </c>
      <c r="O248" s="525" t="str">
        <f>IF(AND($B248&gt;='111'!$N$11,$B248&lt;='111'!$O$11,OR($L248=$O$7,$M248=$O$7)),"x","")</f>
        <v/>
      </c>
      <c r="P248" s="525" t="str">
        <f>IF(AND($L248=$O$7,$B248&lt;'111'!$N$11),"x","")</f>
        <v/>
      </c>
      <c r="Q248" s="525" t="str">
        <f>IF(AND($M248=$O$7,$B248&lt;'111'!$N$11),"x","")</f>
        <v/>
      </c>
      <c r="R248" s="525" t="str">
        <f>IF(ISERROR(FIND('112'!$M$9,G248,1)),"",IF((AND(FIND('112'!$M$9,G248,1)&gt;=1,$B248&gt;='112'!$N$8,$B248&lt;='112'!$O$8,OR($L248='112'!$I$6,$M248='112'!$I$6))),"x",""))</f>
        <v/>
      </c>
      <c r="S248" s="525" t="str">
        <f>IF(ISERROR(FIND('112'!$M$9,G248,1)),"",IF((AND(LEFT(G248,2)=LEFT('112'!$M$9,2),B248&lt;'112'!$N$8,$L248='112'!$I$6)),"x",""))</f>
        <v/>
      </c>
      <c r="T248" s="525" t="str">
        <f>IF(ISERROR(FIND('112'!$M$9,G248,1)),"",IF((AND(RIGHT(G248,2)=RIGHT('112'!$M$9,2),B248&lt;'112'!$N$8,$M248='112'!$I$6)),"x",""))</f>
        <v/>
      </c>
      <c r="U248" s="525" t="str">
        <f>IF(AND(B248&gt;='IN-NX'!$P$3,B248&lt;='IN-NX'!$Q$3,'IN-NX'!$D$7=D248,OR(LEFT(L248,2)="15",AND(LEFT(M248,2)&lt;&gt;"15",LEFT(M248,2)&lt;&gt;"33"))),"x","")</f>
        <v/>
      </c>
      <c r="V248" s="525" t="str">
        <f>IF(AND(OR(LEFT(TH!L248,2)="15",LEFT(TH!M248,2)="15"),'152-CT'!$J$8=TH!F248),"x","")</f>
        <v/>
      </c>
      <c r="W248" s="525" t="str">
        <f>IF(AND(OR(LEFT(TH!L248,2)="15",LEFT(TH!M248,2)="15"),TK!$E$7=TH!F248),"x","")</f>
        <v/>
      </c>
      <c r="X248" s="525" t="str">
        <f>IF(AND('341-CT'!$E$9=H248,OR(LEFT(L248,3)=$X$7,LEFT(M248,3)=$X$7)),"x","")</f>
        <v/>
      </c>
      <c r="Y248" s="525" t="str">
        <f>IF(OR(TH!L248=TH!$Y$7,M248=TH!$Y$7),"x","")</f>
        <v/>
      </c>
      <c r="Z248" s="525" t="str">
        <f>IF(AND(B248&lt;=NKC!$N$8,B248&gt;=NKC!$M$8),"x","")</f>
        <v/>
      </c>
      <c r="AA248" s="535">
        <v>2</v>
      </c>
    </row>
    <row r="249" spans="1:28" s="503" customFormat="1" ht="15.75" customHeight="1">
      <c r="A249" s="517" t="str">
        <f>IF(B249&lt;&gt;"",IF(AND(B249&gt;=_TM1,B249&lt;=_TM2,OR(TH!L249="1111",TH!M249="1111")),TH!D249,""),"")</f>
        <v/>
      </c>
      <c r="B249" s="531">
        <f t="shared" si="25"/>
        <v>4</v>
      </c>
      <c r="C249" s="315">
        <f t="shared" si="26"/>
        <v>42843</v>
      </c>
      <c r="D249" s="315" t="s">
        <v>461</v>
      </c>
      <c r="E249" s="288">
        <v>42843</v>
      </c>
      <c r="F249" s="249" t="s">
        <v>467</v>
      </c>
      <c r="G249" s="314" t="s">
        <v>290</v>
      </c>
      <c r="H249" s="473"/>
      <c r="I249" s="307"/>
      <c r="J249" s="307"/>
      <c r="K249" s="532">
        <v>2000</v>
      </c>
      <c r="L249" s="533" t="s">
        <v>9</v>
      </c>
      <c r="M249" s="533" t="s">
        <v>24</v>
      </c>
      <c r="N249" s="525" t="str">
        <f>IF(AND('331-CT'!$E$7=TH!H249,OR(L249="331",M249="331")),"331",IF(AND(OR(L249="131",M249="131"),H249='131-CT'!$E$7),"131",""))</f>
        <v/>
      </c>
      <c r="O249" s="525" t="str">
        <f>IF(AND($B249&gt;='111'!$N$11,$B249&lt;='111'!$O$11,OR($L249=$O$7,$M249=$O$7)),"x","")</f>
        <v/>
      </c>
      <c r="P249" s="525" t="str">
        <f>IF(AND($L249=$O$7,$B249&lt;'111'!$N$11),"x","")</f>
        <v/>
      </c>
      <c r="Q249" s="525" t="str">
        <f>IF(AND($M249=$O$7,$B249&lt;'111'!$N$11),"x","")</f>
        <v/>
      </c>
      <c r="R249" s="525" t="str">
        <f>IF(ISERROR(FIND('112'!$M$9,G249,1)),"",IF((AND(FIND('112'!$M$9,G249,1)&gt;=1,$B249&gt;='112'!$N$8,$B249&lt;='112'!$O$8,OR($L249='112'!$I$6,$M249='112'!$I$6))),"x",""))</f>
        <v/>
      </c>
      <c r="S249" s="525" t="str">
        <f>IF(ISERROR(FIND('112'!$M$9,G249,1)),"",IF((AND(LEFT(G249,2)=LEFT('112'!$M$9,2),B249&lt;'112'!$N$8,$L249='112'!$I$6)),"x",""))</f>
        <v/>
      </c>
      <c r="T249" s="525" t="str">
        <f>IF(ISERROR(FIND('112'!$M$9,G249,1)),"",IF((AND(RIGHT(G249,2)=RIGHT('112'!$M$9,2),B249&lt;'112'!$N$8,$M249='112'!$I$6)),"x",""))</f>
        <v/>
      </c>
      <c r="U249" s="525" t="str">
        <f>IF(AND(B249&gt;='IN-NX'!$P$3,B249&lt;='IN-NX'!$Q$3,'IN-NX'!$D$7=D249,OR(LEFT(L249,2)="15",AND(LEFT(M249,2)&lt;&gt;"15",LEFT(M249,2)&lt;&gt;"33"))),"x","")</f>
        <v/>
      </c>
      <c r="V249" s="525" t="str">
        <f>IF(AND(OR(LEFT(TH!L249,2)="15",LEFT(TH!M249,2)="15"),'152-CT'!$J$8=TH!F249),"x","")</f>
        <v/>
      </c>
      <c r="W249" s="525" t="str">
        <f>IF(AND(OR(LEFT(TH!L249,2)="15",LEFT(TH!M249,2)="15"),TK!$E$7=TH!F249),"x","")</f>
        <v/>
      </c>
      <c r="X249" s="525" t="str">
        <f>IF(AND('341-CT'!$E$9=H249,OR(LEFT(L249,3)=$X$7,LEFT(M249,3)=$X$7)),"x","")</f>
        <v/>
      </c>
      <c r="Y249" s="525" t="str">
        <f>IF(OR(TH!L249=TH!$Y$7,M249=TH!$Y$7),"x","")</f>
        <v/>
      </c>
      <c r="Z249" s="525" t="str">
        <f>IF(AND(B249&lt;=NKC!$N$8,B249&gt;=NKC!$M$8),"x","")</f>
        <v/>
      </c>
      <c r="AA249" s="535">
        <v>2</v>
      </c>
    </row>
    <row r="250" spans="1:28" s="503" customFormat="1" ht="15.75" customHeight="1">
      <c r="A250" s="517" t="str">
        <f>IF(B250&lt;&gt;"",IF(AND(B250&gt;=_TM1,B250&lt;=_TM2,OR(TH!L250="1111",TH!M250="1111")),TH!D250,""),"")</f>
        <v/>
      </c>
      <c r="B250" s="531">
        <f t="shared" si="25"/>
        <v>4</v>
      </c>
      <c r="C250" s="315">
        <f t="shared" si="26"/>
        <v>42844</v>
      </c>
      <c r="D250" s="315" t="s">
        <v>461</v>
      </c>
      <c r="E250" s="288">
        <v>42844</v>
      </c>
      <c r="F250" s="249" t="s">
        <v>468</v>
      </c>
      <c r="G250" s="314" t="s">
        <v>290</v>
      </c>
      <c r="H250" s="473" t="s">
        <v>271</v>
      </c>
      <c r="I250" s="307"/>
      <c r="J250" s="307"/>
      <c r="K250" s="532">
        <v>5960346</v>
      </c>
      <c r="L250" s="534" t="s">
        <v>8</v>
      </c>
      <c r="M250" s="533" t="s">
        <v>24</v>
      </c>
      <c r="N250" s="525" t="str">
        <f>IF(AND('331-CT'!$E$7=TH!H250,OR(L250="331",M250="331")),"331",IF(AND(OR(L250="131",M250="131"),H250='131-CT'!$E$7),"131",""))</f>
        <v>331</v>
      </c>
      <c r="O250" s="525" t="str">
        <f>IF(AND($B250&gt;='111'!$N$11,$B250&lt;='111'!$O$11,OR($L250=$O$7,$M250=$O$7)),"x","")</f>
        <v/>
      </c>
      <c r="P250" s="525" t="str">
        <f>IF(AND($L250=$O$7,$B250&lt;'111'!$N$11),"x","")</f>
        <v/>
      </c>
      <c r="Q250" s="525" t="str">
        <f>IF(AND($M250=$O$7,$B250&lt;'111'!$N$11),"x","")</f>
        <v/>
      </c>
      <c r="R250" s="525" t="str">
        <f>IF(ISERROR(FIND('112'!$M$9,G250,1)),"",IF((AND(FIND('112'!$M$9,G250,1)&gt;=1,$B250&gt;='112'!$N$8,$B250&lt;='112'!$O$8,OR($L250='112'!$I$6,$M250='112'!$I$6))),"x",""))</f>
        <v/>
      </c>
      <c r="S250" s="525" t="str">
        <f>IF(ISERROR(FIND('112'!$M$9,G250,1)),"",IF((AND(LEFT(G250,2)=LEFT('112'!$M$9,2),B250&lt;'112'!$N$8,$L250='112'!$I$6)),"x",""))</f>
        <v/>
      </c>
      <c r="T250" s="525" t="str">
        <f>IF(ISERROR(FIND('112'!$M$9,G250,1)),"",IF((AND(RIGHT(G250,2)=RIGHT('112'!$M$9,2),B250&lt;'112'!$N$8,$M250='112'!$I$6)),"x",""))</f>
        <v/>
      </c>
      <c r="U250" s="525" t="str">
        <f>IF(AND(B250&gt;='IN-NX'!$P$3,B250&lt;='IN-NX'!$Q$3,'IN-NX'!$D$7=D250,OR(LEFT(L250,2)="15",AND(LEFT(M250,2)&lt;&gt;"15",LEFT(M250,2)&lt;&gt;"33"))),"x","")</f>
        <v/>
      </c>
      <c r="V250" s="525" t="str">
        <f>IF(AND(OR(LEFT(TH!L250,2)="15",LEFT(TH!M250,2)="15"),'152-CT'!$J$8=TH!F250),"x","")</f>
        <v/>
      </c>
      <c r="W250" s="525" t="str">
        <f>IF(AND(OR(LEFT(TH!L250,2)="15",LEFT(TH!M250,2)="15"),TK!$E$7=TH!F250),"x","")</f>
        <v/>
      </c>
      <c r="X250" s="525" t="str">
        <f>IF(AND('341-CT'!$E$9=H250,OR(LEFT(L250,3)=$X$7,LEFT(M250,3)=$X$7)),"x","")</f>
        <v/>
      </c>
      <c r="Y250" s="525" t="str">
        <f>IF(OR(TH!L250=TH!$Y$7,M250=TH!$Y$7),"x","")</f>
        <v/>
      </c>
      <c r="Z250" s="525" t="str">
        <f>IF(AND(B250&lt;=NKC!$N$8,B250&gt;=NKC!$M$8),"x","")</f>
        <v/>
      </c>
      <c r="AA250" s="535"/>
      <c r="AB250" s="536"/>
    </row>
    <row r="251" spans="1:28" s="503" customFormat="1" ht="15.75" customHeight="1">
      <c r="A251" s="517" t="str">
        <f>IF(B251&lt;&gt;"",IF(AND(B251&gt;=_TM1,B251&lt;=_TM2,OR(TH!L251="1111",TH!M251="1111")),TH!D251,""),"")</f>
        <v/>
      </c>
      <c r="B251" s="531">
        <f t="shared" si="25"/>
        <v>4</v>
      </c>
      <c r="C251" s="315">
        <f t="shared" si="26"/>
        <v>42844</v>
      </c>
      <c r="D251" s="315" t="s">
        <v>461</v>
      </c>
      <c r="E251" s="288">
        <v>42844</v>
      </c>
      <c r="F251" s="248" t="s">
        <v>463</v>
      </c>
      <c r="G251" s="314" t="s">
        <v>290</v>
      </c>
      <c r="H251" s="472"/>
      <c r="I251" s="307"/>
      <c r="J251" s="307"/>
      <c r="K251" s="532">
        <v>10000</v>
      </c>
      <c r="L251" s="533" t="s">
        <v>81</v>
      </c>
      <c r="M251" s="533" t="s">
        <v>24</v>
      </c>
      <c r="N251" s="525" t="str">
        <f>IF(AND('331-CT'!$E$7=TH!H251,OR(L251="331",M251="331")),"331",IF(AND(OR(L251="131",M251="131"),H251='131-CT'!$E$7),"131",""))</f>
        <v/>
      </c>
      <c r="O251" s="525" t="str">
        <f>IF(AND($B251&gt;='111'!$N$11,$B251&lt;='111'!$O$11,OR($L251=$O$7,$M251=$O$7)),"x","")</f>
        <v/>
      </c>
      <c r="P251" s="525" t="str">
        <f>IF(AND($L251=$O$7,$B251&lt;'111'!$N$11),"x","")</f>
        <v/>
      </c>
      <c r="Q251" s="525" t="str">
        <f>IF(AND($M251=$O$7,$B251&lt;'111'!$N$11),"x","")</f>
        <v/>
      </c>
      <c r="R251" s="525" t="str">
        <f>IF(ISERROR(FIND('112'!$M$9,G251,1)),"",IF((AND(FIND('112'!$M$9,G251,1)&gt;=1,$B251&gt;='112'!$N$8,$B251&lt;='112'!$O$8,OR($L251='112'!$I$6,$M251='112'!$I$6))),"x",""))</f>
        <v/>
      </c>
      <c r="S251" s="525" t="str">
        <f>IF(ISERROR(FIND('112'!$M$9,G251,1)),"",IF((AND(LEFT(G251,2)=LEFT('112'!$M$9,2),B251&lt;'112'!$N$8,$L251='112'!$I$6)),"x",""))</f>
        <v/>
      </c>
      <c r="T251" s="525" t="str">
        <f>IF(ISERROR(FIND('112'!$M$9,G251,1)),"",IF((AND(RIGHT(G251,2)=RIGHT('112'!$M$9,2),B251&lt;'112'!$N$8,$M251='112'!$I$6)),"x",""))</f>
        <v/>
      </c>
      <c r="U251" s="525" t="str">
        <f>IF(AND(B251&gt;='IN-NX'!$P$3,B251&lt;='IN-NX'!$Q$3,'IN-NX'!$D$7=D251,OR(LEFT(L251,2)="15",AND(LEFT(M251,2)&lt;&gt;"15",LEFT(M251,2)&lt;&gt;"33"))),"x","")</f>
        <v/>
      </c>
      <c r="V251" s="525" t="str">
        <f>IF(AND(OR(LEFT(TH!L251,2)="15",LEFT(TH!M251,2)="15"),'152-CT'!$J$8=TH!F251),"x","")</f>
        <v/>
      </c>
      <c r="W251" s="525" t="str">
        <f>IF(AND(OR(LEFT(TH!L251,2)="15",LEFT(TH!M251,2)="15"),TK!$E$7=TH!F251),"x","")</f>
        <v/>
      </c>
      <c r="X251" s="525" t="str">
        <f>IF(AND('341-CT'!$E$9=H251,OR(LEFT(L251,3)=$X$7,LEFT(M251,3)=$X$7)),"x","")</f>
        <v/>
      </c>
      <c r="Y251" s="525" t="str">
        <f>IF(OR(TH!L251=TH!$Y$7,M251=TH!$Y$7),"x","")</f>
        <v/>
      </c>
      <c r="Z251" s="525" t="str">
        <f>IF(AND(B251&lt;=NKC!$N$8,B251&gt;=NKC!$M$8),"x","")</f>
        <v/>
      </c>
      <c r="AA251" s="535">
        <v>2</v>
      </c>
    </row>
    <row r="252" spans="1:28" s="503" customFormat="1" ht="15.75" customHeight="1">
      <c r="A252" s="517" t="str">
        <f>IF(B252&lt;&gt;"",IF(AND(B252&gt;=_TM1,B252&lt;=_TM2,OR(TH!L252="1111",TH!M252="1111")),TH!D252,""),"")</f>
        <v/>
      </c>
      <c r="B252" s="531">
        <f t="shared" si="25"/>
        <v>4</v>
      </c>
      <c r="C252" s="315">
        <f t="shared" si="26"/>
        <v>42844</v>
      </c>
      <c r="D252" s="315" t="s">
        <v>461</v>
      </c>
      <c r="E252" s="288">
        <v>42844</v>
      </c>
      <c r="F252" s="248" t="s">
        <v>464</v>
      </c>
      <c r="G252" s="314" t="s">
        <v>290</v>
      </c>
      <c r="H252" s="472"/>
      <c r="I252" s="307"/>
      <c r="J252" s="307"/>
      <c r="K252" s="532">
        <v>1000</v>
      </c>
      <c r="L252" s="533" t="s">
        <v>9</v>
      </c>
      <c r="M252" s="533" t="s">
        <v>24</v>
      </c>
      <c r="N252" s="525" t="str">
        <f>IF(AND('331-CT'!$E$7=TH!H252,OR(L252="331",M252="331")),"331",IF(AND(OR(L252="131",M252="131"),H252='131-CT'!$E$7),"131",""))</f>
        <v/>
      </c>
      <c r="O252" s="525" t="str">
        <f>IF(AND($B252&gt;='111'!$N$11,$B252&lt;='111'!$O$11,OR($L252=$O$7,$M252=$O$7)),"x","")</f>
        <v/>
      </c>
      <c r="P252" s="525" t="str">
        <f>IF(AND($L252=$O$7,$B252&lt;'111'!$N$11),"x","")</f>
        <v/>
      </c>
      <c r="Q252" s="525" t="str">
        <f>IF(AND($M252=$O$7,$B252&lt;'111'!$N$11),"x","")</f>
        <v/>
      </c>
      <c r="R252" s="525" t="str">
        <f>IF(ISERROR(FIND('112'!$M$9,G252,1)),"",IF((AND(FIND('112'!$M$9,G252,1)&gt;=1,$B252&gt;='112'!$N$8,$B252&lt;='112'!$O$8,OR($L252='112'!$I$6,$M252='112'!$I$6))),"x",""))</f>
        <v/>
      </c>
      <c r="S252" s="525" t="str">
        <f>IF(ISERROR(FIND('112'!$M$9,G252,1)),"",IF((AND(LEFT(G252,2)=LEFT('112'!$M$9,2),B252&lt;'112'!$N$8,$L252='112'!$I$6)),"x",""))</f>
        <v/>
      </c>
      <c r="T252" s="525" t="str">
        <f>IF(ISERROR(FIND('112'!$M$9,G252,1)),"",IF((AND(RIGHT(G252,2)=RIGHT('112'!$M$9,2),B252&lt;'112'!$N$8,$M252='112'!$I$6)),"x",""))</f>
        <v/>
      </c>
      <c r="U252" s="525" t="str">
        <f>IF(AND(B252&gt;='IN-NX'!$P$3,B252&lt;='IN-NX'!$Q$3,'IN-NX'!$D$7=D252,OR(LEFT(L252,2)="15",AND(LEFT(M252,2)&lt;&gt;"15",LEFT(M252,2)&lt;&gt;"33"))),"x","")</f>
        <v/>
      </c>
      <c r="V252" s="525" t="str">
        <f>IF(AND(OR(LEFT(TH!L252,2)="15",LEFT(TH!M252,2)="15"),'152-CT'!$J$8=TH!F252),"x","")</f>
        <v/>
      </c>
      <c r="W252" s="525" t="str">
        <f>IF(AND(OR(LEFT(TH!L252,2)="15",LEFT(TH!M252,2)="15"),TK!$E$7=TH!F252),"x","")</f>
        <v/>
      </c>
      <c r="X252" s="525" t="str">
        <f>IF(AND('341-CT'!$E$9=H252,OR(LEFT(L252,3)=$X$7,LEFT(M252,3)=$X$7)),"x","")</f>
        <v/>
      </c>
      <c r="Y252" s="525" t="str">
        <f>IF(OR(TH!L252=TH!$Y$7,M252=TH!$Y$7),"x","")</f>
        <v/>
      </c>
      <c r="Z252" s="525" t="str">
        <f>IF(AND(B252&lt;=NKC!$N$8,B252&gt;=NKC!$M$8),"x","")</f>
        <v/>
      </c>
      <c r="AA252" s="535">
        <v>2</v>
      </c>
    </row>
    <row r="253" spans="1:28" s="503" customFormat="1" ht="15.75" customHeight="1">
      <c r="A253" s="517" t="str">
        <f>IF(B253&lt;&gt;"",IF(AND(B253&gt;=_TM1,B253&lt;=_TM2,OR(TH!L253="1111",TH!M253="1111")),TH!D253,""),"")</f>
        <v/>
      </c>
      <c r="B253" s="531">
        <f t="shared" si="25"/>
        <v>4</v>
      </c>
      <c r="C253" s="315">
        <f t="shared" si="26"/>
        <v>42844</v>
      </c>
      <c r="D253" s="315" t="s">
        <v>461</v>
      </c>
      <c r="E253" s="288">
        <v>42844</v>
      </c>
      <c r="F253" s="249" t="s">
        <v>465</v>
      </c>
      <c r="G253" s="314" t="s">
        <v>290</v>
      </c>
      <c r="H253" s="473" t="s">
        <v>460</v>
      </c>
      <c r="I253" s="307"/>
      <c r="J253" s="307"/>
      <c r="K253" s="532">
        <v>17000000</v>
      </c>
      <c r="L253" s="533" t="s">
        <v>45</v>
      </c>
      <c r="M253" s="533" t="s">
        <v>24</v>
      </c>
      <c r="N253" s="525" t="str">
        <f>IF(AND('331-CT'!$E$7=TH!H253,OR(L253="331",M253="331")),"331",IF(AND(OR(L253="131",M253="131"),H253='131-CT'!$E$7),"131",""))</f>
        <v/>
      </c>
      <c r="O253" s="525" t="str">
        <f>IF(AND($B253&gt;='111'!$N$11,$B253&lt;='111'!$O$11,OR($L253=$O$7,$M253=$O$7)),"x","")</f>
        <v/>
      </c>
      <c r="P253" s="525" t="str">
        <f>IF(AND($L253=$O$7,$B253&lt;'111'!$N$11),"x","")</f>
        <v>x</v>
      </c>
      <c r="Q253" s="525" t="str">
        <f>IF(AND($M253=$O$7,$B253&lt;'111'!$N$11),"x","")</f>
        <v/>
      </c>
      <c r="R253" s="525" t="str">
        <f>IF(ISERROR(FIND('112'!$M$9,G253,1)),"",IF((AND(FIND('112'!$M$9,G253,1)&gt;=1,$B253&gt;='112'!$N$8,$B253&lt;='112'!$O$8,OR($L253='112'!$I$6,$M253='112'!$I$6))),"x",""))</f>
        <v/>
      </c>
      <c r="S253" s="525" t="str">
        <f>IF(ISERROR(FIND('112'!$M$9,G253,1)),"",IF((AND(LEFT(G253,2)=LEFT('112'!$M$9,2),B253&lt;'112'!$N$8,$L253='112'!$I$6)),"x",""))</f>
        <v/>
      </c>
      <c r="T253" s="525" t="str">
        <f>IF(ISERROR(FIND('112'!$M$9,G253,1)),"",IF((AND(RIGHT(G253,2)=RIGHT('112'!$M$9,2),B253&lt;'112'!$N$8,$M253='112'!$I$6)),"x",""))</f>
        <v/>
      </c>
      <c r="U253" s="525" t="str">
        <f>IF(AND(B253&gt;='IN-NX'!$P$3,B253&lt;='IN-NX'!$Q$3,'IN-NX'!$D$7=D253,OR(LEFT(L253,2)="15",AND(LEFT(M253,2)&lt;&gt;"15",LEFT(M253,2)&lt;&gt;"33"))),"x","")</f>
        <v/>
      </c>
      <c r="V253" s="525" t="str">
        <f>IF(AND(OR(LEFT(TH!L253,2)="15",LEFT(TH!M253,2)="15"),'152-CT'!$J$8=TH!F253),"x","")</f>
        <v/>
      </c>
      <c r="W253" s="525" t="str">
        <f>IF(AND(OR(LEFT(TH!L253,2)="15",LEFT(TH!M253,2)="15"),TK!$E$7=TH!F253),"x","")</f>
        <v/>
      </c>
      <c r="X253" s="525" t="str">
        <f>IF(AND('341-CT'!$E$9=H253,OR(LEFT(L253,3)=$X$7,LEFT(M253,3)=$X$7)),"x","")</f>
        <v/>
      </c>
      <c r="Y253" s="525" t="str">
        <f>IF(OR(TH!L253=TH!$Y$7,M253=TH!$Y$7),"x","")</f>
        <v/>
      </c>
      <c r="Z253" s="525" t="str">
        <f>IF(AND(B253&lt;=NKC!$N$8,B253&gt;=NKC!$M$8),"x","")</f>
        <v/>
      </c>
      <c r="AA253" s="535"/>
    </row>
    <row r="254" spans="1:28" s="503" customFormat="1" ht="15.75" customHeight="1">
      <c r="A254" s="517" t="str">
        <f>IF(B254&lt;&gt;"",IF(AND(B254&gt;=_TM1,B254&lt;=_TM2,OR(TH!L254="1111",TH!M254="1111")),TH!D254,""),"")</f>
        <v/>
      </c>
      <c r="B254" s="531">
        <f t="shared" si="25"/>
        <v>4</v>
      </c>
      <c r="C254" s="315">
        <f t="shared" si="26"/>
        <v>42845</v>
      </c>
      <c r="D254" s="315" t="s">
        <v>456</v>
      </c>
      <c r="E254" s="288">
        <v>42845</v>
      </c>
      <c r="F254" s="248" t="s">
        <v>459</v>
      </c>
      <c r="G254" s="314" t="s">
        <v>290</v>
      </c>
      <c r="H254" s="473" t="s">
        <v>460</v>
      </c>
      <c r="I254" s="307"/>
      <c r="J254" s="307"/>
      <c r="K254" s="532">
        <v>5500000</v>
      </c>
      <c r="L254" s="533" t="s">
        <v>24</v>
      </c>
      <c r="M254" s="533" t="s">
        <v>45</v>
      </c>
      <c r="N254" s="525" t="str">
        <f>IF(AND('331-CT'!$E$7=TH!H254,OR(L254="331",M254="331")),"331",IF(AND(OR(L254="131",M254="131"),H254='131-CT'!$E$7),"131",""))</f>
        <v/>
      </c>
      <c r="O254" s="525" t="str">
        <f>IF(AND($B254&gt;='111'!$N$11,$B254&lt;='111'!$O$11,OR($L254=$O$7,$M254=$O$7)),"x","")</f>
        <v/>
      </c>
      <c r="P254" s="525" t="str">
        <f>IF(AND($L254=$O$7,$B254&lt;'111'!$N$11),"x","")</f>
        <v/>
      </c>
      <c r="Q254" s="525" t="str">
        <f>IF(AND($M254=$O$7,$B254&lt;'111'!$N$11),"x","")</f>
        <v>x</v>
      </c>
      <c r="R254" s="525" t="str">
        <f>IF(ISERROR(FIND('112'!$M$9,G254,1)),"",IF((AND(FIND('112'!$M$9,G254,1)&gt;=1,$B254&gt;='112'!$N$8,$B254&lt;='112'!$O$8,OR($L254='112'!$I$6,$M254='112'!$I$6))),"x",""))</f>
        <v/>
      </c>
      <c r="S254" s="525" t="str">
        <f>IF(ISERROR(FIND('112'!$M$9,G254,1)),"",IF((AND(LEFT(G254,2)=LEFT('112'!$M$9,2),B254&lt;'112'!$N$8,$L254='112'!$I$6)),"x",""))</f>
        <v/>
      </c>
      <c r="T254" s="525" t="str">
        <f>IF(ISERROR(FIND('112'!$M$9,G254,1)),"",IF((AND(RIGHT(G254,2)=RIGHT('112'!$M$9,2),B254&lt;'112'!$N$8,$M254='112'!$I$6)),"x",""))</f>
        <v/>
      </c>
      <c r="U254" s="525" t="str">
        <f>IF(AND(B254&gt;='IN-NX'!$P$3,B254&lt;='IN-NX'!$Q$3,'IN-NX'!$D$7=D254,OR(LEFT(L254,2)="15",AND(LEFT(M254,2)&lt;&gt;"15",LEFT(M254,2)&lt;&gt;"33"))),"x","")</f>
        <v/>
      </c>
      <c r="V254" s="525" t="str">
        <f>IF(AND(OR(LEFT(TH!L254,2)="15",LEFT(TH!M254,2)="15"),'152-CT'!$J$8=TH!F254),"x","")</f>
        <v/>
      </c>
      <c r="W254" s="525" t="str">
        <f>IF(AND(OR(LEFT(TH!L254,2)="15",LEFT(TH!M254,2)="15"),TK!$E$7=TH!F254),"x","")</f>
        <v/>
      </c>
      <c r="X254" s="525" t="str">
        <f>IF(AND('341-CT'!$E$9=H254,OR(LEFT(L254,3)=$X$7,LEFT(M254,3)=$X$7)),"x","")</f>
        <v/>
      </c>
      <c r="Y254" s="525" t="str">
        <f>IF(OR(TH!L254=TH!$Y$7,M254=TH!$Y$7),"x","")</f>
        <v/>
      </c>
      <c r="Z254" s="525" t="str">
        <f>IF(AND(B254&lt;=NKC!$N$8,B254&gt;=NKC!$M$8),"x","")</f>
        <v/>
      </c>
      <c r="AA254" s="535"/>
    </row>
    <row r="255" spans="1:28" s="503" customFormat="1" ht="15.75" customHeight="1">
      <c r="A255" s="517" t="str">
        <f>IF(B255&lt;&gt;"",IF(AND(B255&gt;=_TM1,B255&lt;=_TM2,OR(TH!L255="1111",TH!M255="1111")),TH!D255,""),"")</f>
        <v/>
      </c>
      <c r="B255" s="531">
        <f t="shared" si="25"/>
        <v>4</v>
      </c>
      <c r="C255" s="315">
        <f t="shared" si="26"/>
        <v>42845</v>
      </c>
      <c r="D255" s="315" t="s">
        <v>461</v>
      </c>
      <c r="E255" s="288">
        <v>42845</v>
      </c>
      <c r="F255" s="249" t="s">
        <v>1262</v>
      </c>
      <c r="G255" s="314" t="s">
        <v>290</v>
      </c>
      <c r="H255" s="473"/>
      <c r="I255" s="307"/>
      <c r="J255" s="307"/>
      <c r="K255" s="532">
        <v>20000</v>
      </c>
      <c r="L255" s="533" t="s">
        <v>81</v>
      </c>
      <c r="M255" s="533" t="s">
        <v>24</v>
      </c>
      <c r="N255" s="525" t="str">
        <f>IF(AND('331-CT'!$E$7=TH!H255,OR(L255="331",M255="331")),"331",IF(AND(OR(L255="131",M255="131"),H255='131-CT'!$E$7),"131",""))</f>
        <v/>
      </c>
      <c r="O255" s="525" t="str">
        <f>IF(AND($B255&gt;='111'!$N$11,$B255&lt;='111'!$O$11,OR($L255=$O$7,$M255=$O$7)),"x","")</f>
        <v/>
      </c>
      <c r="P255" s="525" t="str">
        <f>IF(AND($L255=$O$7,$B255&lt;'111'!$N$11),"x","")</f>
        <v/>
      </c>
      <c r="Q255" s="525" t="str">
        <f>IF(AND($M255=$O$7,$B255&lt;'111'!$N$11),"x","")</f>
        <v/>
      </c>
      <c r="R255" s="525" t="str">
        <f>IF(ISERROR(FIND('112'!$M$9,G255,1)),"",IF((AND(FIND('112'!$M$9,G255,1)&gt;=1,$B255&gt;='112'!$N$8,$B255&lt;='112'!$O$8,OR($L255='112'!$I$6,$M255='112'!$I$6))),"x",""))</f>
        <v/>
      </c>
      <c r="S255" s="525" t="str">
        <f>IF(ISERROR(FIND('112'!$M$9,G255,1)),"",IF((AND(LEFT(G255,2)=LEFT('112'!$M$9,2),B255&lt;'112'!$N$8,$L255='112'!$I$6)),"x",""))</f>
        <v/>
      </c>
      <c r="T255" s="525" t="str">
        <f>IF(ISERROR(FIND('112'!$M$9,G255,1)),"",IF((AND(RIGHT(G255,2)=RIGHT('112'!$M$9,2),B255&lt;'112'!$N$8,$M255='112'!$I$6)),"x",""))</f>
        <v/>
      </c>
      <c r="U255" s="525" t="str">
        <f>IF(AND(B255&gt;='IN-NX'!$P$3,B255&lt;='IN-NX'!$Q$3,'IN-NX'!$D$7=D255,OR(LEFT(L255,2)="15",AND(LEFT(M255,2)&lt;&gt;"15",LEFT(M255,2)&lt;&gt;"33"))),"x","")</f>
        <v/>
      </c>
      <c r="V255" s="525" t="str">
        <f>IF(AND(OR(LEFT(TH!L255,2)="15",LEFT(TH!M255,2)="15"),'152-CT'!$J$8=TH!F255),"x","")</f>
        <v/>
      </c>
      <c r="W255" s="525" t="str">
        <f>IF(AND(OR(LEFT(TH!L255,2)="15",LEFT(TH!M255,2)="15"),TK!$E$7=TH!F255),"x","")</f>
        <v/>
      </c>
      <c r="X255" s="525" t="str">
        <f>IF(AND('341-CT'!$E$9=H255,OR(LEFT(L255,3)=$X$7,LEFT(M255,3)=$X$7)),"x","")</f>
        <v/>
      </c>
      <c r="Y255" s="525" t="str">
        <f>IF(OR(TH!L255=TH!$Y$7,M255=TH!$Y$7),"x","")</f>
        <v/>
      </c>
      <c r="Z255" s="525" t="str">
        <f>IF(AND(B255&lt;=NKC!$N$8,B255&gt;=NKC!$M$8),"x","")</f>
        <v/>
      </c>
      <c r="AA255" s="535">
        <v>2</v>
      </c>
    </row>
    <row r="256" spans="1:28" s="503" customFormat="1" ht="15.75" customHeight="1">
      <c r="A256" s="517" t="str">
        <f>IF(B256&lt;&gt;"",IF(AND(B256&gt;=_TM1,B256&lt;=_TM2,OR(TH!L256="1111",TH!M256="1111")),TH!D256,""),"")</f>
        <v/>
      </c>
      <c r="B256" s="531">
        <f t="shared" si="25"/>
        <v>4</v>
      </c>
      <c r="C256" s="315">
        <f t="shared" si="26"/>
        <v>42845</v>
      </c>
      <c r="D256" s="315" t="s">
        <v>461</v>
      </c>
      <c r="E256" s="288">
        <v>42845</v>
      </c>
      <c r="F256" s="249" t="s">
        <v>1263</v>
      </c>
      <c r="G256" s="314" t="s">
        <v>290</v>
      </c>
      <c r="H256" s="473"/>
      <c r="I256" s="284"/>
      <c r="J256" s="284"/>
      <c r="K256" s="532">
        <v>2000</v>
      </c>
      <c r="L256" s="533" t="s">
        <v>9</v>
      </c>
      <c r="M256" s="533" t="s">
        <v>24</v>
      </c>
      <c r="N256" s="525" t="str">
        <f>IF(AND('331-CT'!$E$7=TH!H256,OR(L256="331",M256="331")),"331",IF(AND(OR(L256="131",M256="131"),H256='131-CT'!$E$7),"131",""))</f>
        <v/>
      </c>
      <c r="O256" s="525" t="str">
        <f>IF(AND($B256&gt;='111'!$N$11,$B256&lt;='111'!$O$11,OR($L256=$O$7,$M256=$O$7)),"x","")</f>
        <v/>
      </c>
      <c r="P256" s="525" t="str">
        <f>IF(AND($L256=$O$7,$B256&lt;'111'!$N$11),"x","")</f>
        <v/>
      </c>
      <c r="Q256" s="525" t="str">
        <f>IF(AND($M256=$O$7,$B256&lt;'111'!$N$11),"x","")</f>
        <v/>
      </c>
      <c r="R256" s="525" t="str">
        <f>IF(ISERROR(FIND('112'!$M$9,G256,1)),"",IF((AND(FIND('112'!$M$9,G256,1)&gt;=1,$B256&gt;='112'!$N$8,$B256&lt;='112'!$O$8,OR($L256='112'!$I$6,$M256='112'!$I$6))),"x",""))</f>
        <v/>
      </c>
      <c r="S256" s="525" t="str">
        <f>IF(ISERROR(FIND('112'!$M$9,G256,1)),"",IF((AND(LEFT(G256,2)=LEFT('112'!$M$9,2),B256&lt;'112'!$N$8,$L256='112'!$I$6)),"x",""))</f>
        <v/>
      </c>
      <c r="T256" s="525" t="str">
        <f>IF(ISERROR(FIND('112'!$M$9,G256,1)),"",IF((AND(RIGHT(G256,2)=RIGHT('112'!$M$9,2),B256&lt;'112'!$N$8,$M256='112'!$I$6)),"x",""))</f>
        <v/>
      </c>
      <c r="U256" s="525" t="str">
        <f>IF(AND(B256&gt;='IN-NX'!$P$3,B256&lt;='IN-NX'!$Q$3,'IN-NX'!$D$7=D256,OR(LEFT(L256,2)="15",AND(LEFT(M256,2)&lt;&gt;"15",LEFT(M256,2)&lt;&gt;"33"))),"x","")</f>
        <v/>
      </c>
      <c r="V256" s="525" t="str">
        <f>IF(AND(OR(LEFT(TH!L256,2)="15",LEFT(TH!M256,2)="15"),'152-CT'!$J$8=TH!F256),"x","")</f>
        <v/>
      </c>
      <c r="W256" s="525" t="str">
        <f>IF(AND(OR(LEFT(TH!L256,2)="15",LEFT(TH!M256,2)="15"),TK!$E$7=TH!F256),"x","")</f>
        <v/>
      </c>
      <c r="X256" s="525" t="str">
        <f>IF(AND('341-CT'!$E$9=H256,OR(LEFT(L256,3)=$X$7,LEFT(M256,3)=$X$7)),"x","")</f>
        <v/>
      </c>
      <c r="Y256" s="525" t="str">
        <f>IF(OR(TH!L256=TH!$Y$7,M256=TH!$Y$7),"x","")</f>
        <v/>
      </c>
      <c r="Z256" s="525" t="str">
        <f>IF(AND(B256&lt;=NKC!$N$8,B256&gt;=NKC!$M$8),"x","")</f>
        <v/>
      </c>
      <c r="AA256" s="535">
        <v>2</v>
      </c>
    </row>
    <row r="257" spans="1:28" s="503" customFormat="1" ht="15.75" customHeight="1">
      <c r="A257" s="517" t="str">
        <f>IF(B257&lt;&gt;"",IF(AND(B257&gt;=_TM1,B257&lt;=_TM2,OR(TH!L257="1111",TH!M257="1111")),TH!D257,""),"")</f>
        <v/>
      </c>
      <c r="B257" s="531">
        <f t="shared" si="25"/>
        <v>4</v>
      </c>
      <c r="C257" s="315">
        <f t="shared" si="26"/>
        <v>42845</v>
      </c>
      <c r="D257" s="315" t="s">
        <v>461</v>
      </c>
      <c r="E257" s="288">
        <v>42845</v>
      </c>
      <c r="F257" s="249" t="s">
        <v>468</v>
      </c>
      <c r="G257" s="314" t="s">
        <v>290</v>
      </c>
      <c r="H257" s="473" t="s">
        <v>271</v>
      </c>
      <c r="I257" s="307"/>
      <c r="J257" s="307"/>
      <c r="K257" s="532">
        <v>5544083</v>
      </c>
      <c r="L257" s="534" t="s">
        <v>8</v>
      </c>
      <c r="M257" s="533" t="s">
        <v>24</v>
      </c>
      <c r="N257" s="525" t="str">
        <f>IF(AND('331-CT'!$E$7=TH!H257,OR(L257="331",M257="331")),"331",IF(AND(OR(L257="131",M257="131"),H257='131-CT'!$E$7),"131",""))</f>
        <v>331</v>
      </c>
      <c r="O257" s="525" t="str">
        <f>IF(AND($B257&gt;='111'!$N$11,$B257&lt;='111'!$O$11,OR($L257=$O$7,$M257=$O$7)),"x","")</f>
        <v/>
      </c>
      <c r="P257" s="525" t="str">
        <f>IF(AND($L257=$O$7,$B257&lt;'111'!$N$11),"x","")</f>
        <v/>
      </c>
      <c r="Q257" s="525" t="str">
        <f>IF(AND($M257=$O$7,$B257&lt;'111'!$N$11),"x","")</f>
        <v/>
      </c>
      <c r="R257" s="525" t="str">
        <f>IF(ISERROR(FIND('112'!$M$9,G257,1)),"",IF((AND(FIND('112'!$M$9,G257,1)&gt;=1,$B257&gt;='112'!$N$8,$B257&lt;='112'!$O$8,OR($L257='112'!$I$6,$M257='112'!$I$6))),"x",""))</f>
        <v/>
      </c>
      <c r="S257" s="525" t="str">
        <f>IF(ISERROR(FIND('112'!$M$9,G257,1)),"",IF((AND(LEFT(G257,2)=LEFT('112'!$M$9,2),B257&lt;'112'!$N$8,$L257='112'!$I$6)),"x",""))</f>
        <v/>
      </c>
      <c r="T257" s="525" t="str">
        <f>IF(ISERROR(FIND('112'!$M$9,G257,1)),"",IF((AND(RIGHT(G257,2)=RIGHT('112'!$M$9,2),B257&lt;'112'!$N$8,$M257='112'!$I$6)),"x",""))</f>
        <v/>
      </c>
      <c r="U257" s="525" t="str">
        <f>IF(AND(B257&gt;='IN-NX'!$P$3,B257&lt;='IN-NX'!$Q$3,'IN-NX'!$D$7=D257,OR(LEFT(L257,2)="15",AND(LEFT(M257,2)&lt;&gt;"15",LEFT(M257,2)&lt;&gt;"33"))),"x","")</f>
        <v/>
      </c>
      <c r="V257" s="525" t="str">
        <f>IF(AND(OR(LEFT(TH!L257,2)="15",LEFT(TH!M257,2)="15"),'152-CT'!$J$8=TH!F257),"x","")</f>
        <v/>
      </c>
      <c r="W257" s="525" t="str">
        <f>IF(AND(OR(LEFT(TH!L257,2)="15",LEFT(TH!M257,2)="15"),TK!$E$7=TH!F257),"x","")</f>
        <v/>
      </c>
      <c r="X257" s="525" t="str">
        <f>IF(AND('341-CT'!$E$9=H257,OR(LEFT(L257,3)=$X$7,LEFT(M257,3)=$X$7)),"x","")</f>
        <v/>
      </c>
      <c r="Y257" s="525" t="str">
        <f>IF(OR(TH!L257=TH!$Y$7,M257=TH!$Y$7),"x","")</f>
        <v/>
      </c>
      <c r="Z257" s="525" t="str">
        <f>IF(AND(B257&lt;=NKC!$N$8,B257&gt;=NKC!$M$8),"x","")</f>
        <v/>
      </c>
      <c r="AA257" s="535"/>
    </row>
    <row r="258" spans="1:28" s="503" customFormat="1" ht="15.75" customHeight="1">
      <c r="A258" s="517" t="str">
        <f>IF(B258&lt;&gt;"",IF(AND(B258&gt;=_TM1,B258&lt;=_TM2,OR(TH!L258="1111",TH!M258="1111")),TH!D258,""),"")</f>
        <v/>
      </c>
      <c r="B258" s="531">
        <f t="shared" si="25"/>
        <v>4</v>
      </c>
      <c r="C258" s="315">
        <f t="shared" si="26"/>
        <v>42845</v>
      </c>
      <c r="D258" s="315" t="s">
        <v>461</v>
      </c>
      <c r="E258" s="288">
        <v>42845</v>
      </c>
      <c r="F258" s="248" t="s">
        <v>463</v>
      </c>
      <c r="G258" s="314" t="s">
        <v>290</v>
      </c>
      <c r="H258" s="472"/>
      <c r="I258" s="307"/>
      <c r="J258" s="307"/>
      <c r="K258" s="532">
        <v>10000</v>
      </c>
      <c r="L258" s="533" t="s">
        <v>81</v>
      </c>
      <c r="M258" s="533" t="s">
        <v>24</v>
      </c>
      <c r="N258" s="525" t="str">
        <f>IF(AND('331-CT'!$E$7=TH!H258,OR(L258="331",M258="331")),"331",IF(AND(OR(L258="131",M258="131"),H258='131-CT'!$E$7),"131",""))</f>
        <v/>
      </c>
      <c r="O258" s="525" t="str">
        <f>IF(AND($B258&gt;='111'!$N$11,$B258&lt;='111'!$O$11,OR($L258=$O$7,$M258=$O$7)),"x","")</f>
        <v/>
      </c>
      <c r="P258" s="525" t="str">
        <f>IF(AND($L258=$O$7,$B258&lt;'111'!$N$11),"x","")</f>
        <v/>
      </c>
      <c r="Q258" s="525" t="str">
        <f>IF(AND($M258=$O$7,$B258&lt;'111'!$N$11),"x","")</f>
        <v/>
      </c>
      <c r="R258" s="525" t="str">
        <f>IF(ISERROR(FIND('112'!$M$9,G258,1)),"",IF((AND(FIND('112'!$M$9,G258,1)&gt;=1,$B258&gt;='112'!$N$8,$B258&lt;='112'!$O$8,OR($L258='112'!$I$6,$M258='112'!$I$6))),"x",""))</f>
        <v/>
      </c>
      <c r="S258" s="525" t="str">
        <f>IF(ISERROR(FIND('112'!$M$9,G258,1)),"",IF((AND(LEFT(G258,2)=LEFT('112'!$M$9,2),B258&lt;'112'!$N$8,$L258='112'!$I$6)),"x",""))</f>
        <v/>
      </c>
      <c r="T258" s="525" t="str">
        <f>IF(ISERROR(FIND('112'!$M$9,G258,1)),"",IF((AND(RIGHT(G258,2)=RIGHT('112'!$M$9,2),B258&lt;'112'!$N$8,$M258='112'!$I$6)),"x",""))</f>
        <v/>
      </c>
      <c r="U258" s="525" t="str">
        <f>IF(AND(B258&gt;='IN-NX'!$P$3,B258&lt;='IN-NX'!$Q$3,'IN-NX'!$D$7=D258,OR(LEFT(L258,2)="15",AND(LEFT(M258,2)&lt;&gt;"15",LEFT(M258,2)&lt;&gt;"33"))),"x","")</f>
        <v/>
      </c>
      <c r="V258" s="525" t="str">
        <f>IF(AND(OR(LEFT(TH!L258,2)="15",LEFT(TH!M258,2)="15"),'152-CT'!$J$8=TH!F258),"x","")</f>
        <v/>
      </c>
      <c r="W258" s="525" t="str">
        <f>IF(AND(OR(LEFT(TH!L258,2)="15",LEFT(TH!M258,2)="15"),TK!$E$7=TH!F258),"x","")</f>
        <v/>
      </c>
      <c r="X258" s="525" t="str">
        <f>IF(AND('341-CT'!$E$9=H258,OR(LEFT(L258,3)=$X$7,LEFT(M258,3)=$X$7)),"x","")</f>
        <v/>
      </c>
      <c r="Y258" s="525" t="str">
        <f>IF(OR(TH!L258=TH!$Y$7,M258=TH!$Y$7),"x","")</f>
        <v/>
      </c>
      <c r="Z258" s="525" t="str">
        <f>IF(AND(B258&lt;=NKC!$N$8,B258&gt;=NKC!$M$8),"x","")</f>
        <v/>
      </c>
      <c r="AA258" s="535">
        <v>2</v>
      </c>
      <c r="AB258" s="536"/>
    </row>
    <row r="259" spans="1:28" s="503" customFormat="1" ht="15.75" customHeight="1">
      <c r="A259" s="517" t="str">
        <f>IF(B259&lt;&gt;"",IF(AND(B259&gt;=_TM1,B259&lt;=_TM2,OR(TH!L259="1111",TH!M259="1111")),TH!D259,""),"")</f>
        <v/>
      </c>
      <c r="B259" s="531">
        <f t="shared" si="25"/>
        <v>4</v>
      </c>
      <c r="C259" s="315">
        <f t="shared" si="26"/>
        <v>42845</v>
      </c>
      <c r="D259" s="315" t="s">
        <v>461</v>
      </c>
      <c r="E259" s="288">
        <v>42845</v>
      </c>
      <c r="F259" s="248" t="s">
        <v>464</v>
      </c>
      <c r="G259" s="314" t="s">
        <v>290</v>
      </c>
      <c r="H259" s="472"/>
      <c r="I259" s="307"/>
      <c r="J259" s="307"/>
      <c r="K259" s="532">
        <v>1000</v>
      </c>
      <c r="L259" s="533" t="s">
        <v>9</v>
      </c>
      <c r="M259" s="533" t="s">
        <v>24</v>
      </c>
      <c r="N259" s="525" t="str">
        <f>IF(AND('331-CT'!$E$7=TH!H259,OR(L259="331",M259="331")),"331",IF(AND(OR(L259="131",M259="131"),H259='131-CT'!$E$7),"131",""))</f>
        <v/>
      </c>
      <c r="O259" s="525" t="str">
        <f>IF(AND($B259&gt;='111'!$N$11,$B259&lt;='111'!$O$11,OR($L259=$O$7,$M259=$O$7)),"x","")</f>
        <v/>
      </c>
      <c r="P259" s="525" t="str">
        <f>IF(AND($L259=$O$7,$B259&lt;'111'!$N$11),"x","")</f>
        <v/>
      </c>
      <c r="Q259" s="525" t="str">
        <f>IF(AND($M259=$O$7,$B259&lt;'111'!$N$11),"x","")</f>
        <v/>
      </c>
      <c r="R259" s="525" t="str">
        <f>IF(ISERROR(FIND('112'!$M$9,G259,1)),"",IF((AND(FIND('112'!$M$9,G259,1)&gt;=1,$B259&gt;='112'!$N$8,$B259&lt;='112'!$O$8,OR($L259='112'!$I$6,$M259='112'!$I$6))),"x",""))</f>
        <v/>
      </c>
      <c r="S259" s="525" t="str">
        <f>IF(ISERROR(FIND('112'!$M$9,G259,1)),"",IF((AND(LEFT(G259,2)=LEFT('112'!$M$9,2),B259&lt;'112'!$N$8,$L259='112'!$I$6)),"x",""))</f>
        <v/>
      </c>
      <c r="T259" s="525" t="str">
        <f>IF(ISERROR(FIND('112'!$M$9,G259,1)),"",IF((AND(RIGHT(G259,2)=RIGHT('112'!$M$9,2),B259&lt;'112'!$N$8,$M259='112'!$I$6)),"x",""))</f>
        <v/>
      </c>
      <c r="U259" s="525" t="str">
        <f>IF(AND(B259&gt;='IN-NX'!$P$3,B259&lt;='IN-NX'!$Q$3,'IN-NX'!$D$7=D259,OR(LEFT(L259,2)="15",AND(LEFT(M259,2)&lt;&gt;"15",LEFT(M259,2)&lt;&gt;"33"))),"x","")</f>
        <v/>
      </c>
      <c r="V259" s="525" t="str">
        <f>IF(AND(OR(LEFT(TH!L259,2)="15",LEFT(TH!M259,2)="15"),'152-CT'!$J$8=TH!F259),"x","")</f>
        <v/>
      </c>
      <c r="W259" s="525" t="str">
        <f>IF(AND(OR(LEFT(TH!L259,2)="15",LEFT(TH!M259,2)="15"),TK!$E$7=TH!F259),"x","")</f>
        <v/>
      </c>
      <c r="X259" s="525" t="str">
        <f>IF(AND('341-CT'!$E$9=H259,OR(LEFT(L259,3)=$X$7,LEFT(M259,3)=$X$7)),"x","")</f>
        <v/>
      </c>
      <c r="Y259" s="525" t="str">
        <f>IF(OR(TH!L259=TH!$Y$7,M259=TH!$Y$7),"x","")</f>
        <v/>
      </c>
      <c r="Z259" s="525" t="str">
        <f>IF(AND(B259&lt;=NKC!$N$8,B259&gt;=NKC!$M$8),"x","")</f>
        <v/>
      </c>
      <c r="AA259" s="535">
        <v>2</v>
      </c>
    </row>
    <row r="260" spans="1:28" s="503" customFormat="1" ht="15.75" customHeight="1">
      <c r="A260" s="517" t="str">
        <f>IF(B260&lt;&gt;"",IF(AND(B260&gt;=_TM1,B260&lt;=_TM2,OR(TH!L260="1111",TH!M260="1111")),TH!D260,""),"")</f>
        <v/>
      </c>
      <c r="B260" s="531">
        <f t="shared" si="25"/>
        <v>4</v>
      </c>
      <c r="C260" s="315">
        <f t="shared" si="26"/>
        <v>42849</v>
      </c>
      <c r="D260" s="315" t="s">
        <v>456</v>
      </c>
      <c r="E260" s="288">
        <v>42849</v>
      </c>
      <c r="F260" s="248" t="s">
        <v>459</v>
      </c>
      <c r="G260" s="314" t="s">
        <v>290</v>
      </c>
      <c r="H260" s="473" t="s">
        <v>460</v>
      </c>
      <c r="I260" s="307"/>
      <c r="J260" s="307"/>
      <c r="K260" s="532">
        <v>4200000</v>
      </c>
      <c r="L260" s="533" t="s">
        <v>24</v>
      </c>
      <c r="M260" s="533" t="s">
        <v>45</v>
      </c>
      <c r="N260" s="525" t="str">
        <f>IF(AND('331-CT'!$E$7=TH!H260,OR(L260="331",M260="331")),"331",IF(AND(OR(L260="131",M260="131"),H260='131-CT'!$E$7),"131",""))</f>
        <v/>
      </c>
      <c r="O260" s="525" t="str">
        <f>IF(AND($B260&gt;='111'!$N$11,$B260&lt;='111'!$O$11,OR($L260=$O$7,$M260=$O$7)),"x","")</f>
        <v/>
      </c>
      <c r="P260" s="525" t="str">
        <f>IF(AND($L260=$O$7,$B260&lt;'111'!$N$11),"x","")</f>
        <v/>
      </c>
      <c r="Q260" s="525" t="str">
        <f>IF(AND($M260=$O$7,$B260&lt;'111'!$N$11),"x","")</f>
        <v>x</v>
      </c>
      <c r="R260" s="525" t="str">
        <f>IF(ISERROR(FIND('112'!$M$9,G260,1)),"",IF((AND(FIND('112'!$M$9,G260,1)&gt;=1,$B260&gt;='112'!$N$8,$B260&lt;='112'!$O$8,OR($L260='112'!$I$6,$M260='112'!$I$6))),"x",""))</f>
        <v/>
      </c>
      <c r="S260" s="525" t="str">
        <f>IF(ISERROR(FIND('112'!$M$9,G260,1)),"",IF((AND(LEFT(G260,2)=LEFT('112'!$M$9,2),B260&lt;'112'!$N$8,$L260='112'!$I$6)),"x",""))</f>
        <v/>
      </c>
      <c r="T260" s="525" t="str">
        <f>IF(ISERROR(FIND('112'!$M$9,G260,1)),"",IF((AND(RIGHT(G260,2)=RIGHT('112'!$M$9,2),B260&lt;'112'!$N$8,$M260='112'!$I$6)),"x",""))</f>
        <v/>
      </c>
      <c r="U260" s="525" t="str">
        <f>IF(AND(B260&gt;='IN-NX'!$P$3,B260&lt;='IN-NX'!$Q$3,'IN-NX'!$D$7=D260,OR(LEFT(L260,2)="15",AND(LEFT(M260,2)&lt;&gt;"15",LEFT(M260,2)&lt;&gt;"33"))),"x","")</f>
        <v/>
      </c>
      <c r="V260" s="525" t="str">
        <f>IF(AND(OR(LEFT(TH!L260,2)="15",LEFT(TH!M260,2)="15"),'152-CT'!$J$8=TH!F260),"x","")</f>
        <v/>
      </c>
      <c r="W260" s="525" t="str">
        <f>IF(AND(OR(LEFT(TH!L260,2)="15",LEFT(TH!M260,2)="15"),TK!$E$7=TH!F260),"x","")</f>
        <v/>
      </c>
      <c r="X260" s="525" t="str">
        <f>IF(AND('341-CT'!$E$9=H260,OR(LEFT(L260,3)=$X$7,LEFT(M260,3)=$X$7)),"x","")</f>
        <v/>
      </c>
      <c r="Y260" s="525" t="str">
        <f>IF(OR(TH!L260=TH!$Y$7,M260=TH!$Y$7),"x","")</f>
        <v/>
      </c>
      <c r="Z260" s="525" t="str">
        <f>IF(AND(B260&lt;=NKC!$N$8,B260&gt;=NKC!$M$8),"x","")</f>
        <v/>
      </c>
      <c r="AA260" s="535"/>
      <c r="AB260" s="536"/>
    </row>
    <row r="261" spans="1:28" s="503" customFormat="1" ht="15.75" customHeight="1">
      <c r="A261" s="517" t="str">
        <f>IF(B261&lt;&gt;"",IF(AND(B261&gt;=_TM1,B261&lt;=_TM2,OR(TH!L261="1111",TH!M261="1111")),TH!D261,""),"")</f>
        <v/>
      </c>
      <c r="B261" s="531">
        <f t="shared" si="25"/>
        <v>4</v>
      </c>
      <c r="C261" s="315">
        <f t="shared" si="26"/>
        <v>42849</v>
      </c>
      <c r="D261" s="315" t="s">
        <v>456</v>
      </c>
      <c r="E261" s="288">
        <v>42849</v>
      </c>
      <c r="F261" s="248" t="s">
        <v>457</v>
      </c>
      <c r="G261" s="314" t="s">
        <v>290</v>
      </c>
      <c r="H261" s="473" t="s">
        <v>1093</v>
      </c>
      <c r="I261" s="307"/>
      <c r="J261" s="307"/>
      <c r="K261" s="532">
        <v>33985402</v>
      </c>
      <c r="L261" s="533" t="s">
        <v>24</v>
      </c>
      <c r="M261" s="533" t="s">
        <v>223</v>
      </c>
      <c r="N261" s="525" t="str">
        <f>IF(AND('331-CT'!$E$7=TH!H261,OR(L261="331",M261="331")),"331",IF(AND(OR(L261="131",M261="131"),H261='131-CT'!$E$7),"131",""))</f>
        <v/>
      </c>
      <c r="O261" s="525" t="str">
        <f>IF(AND($B261&gt;='111'!$N$11,$B261&lt;='111'!$O$11,OR($L261=$O$7,$M261=$O$7)),"x","")</f>
        <v/>
      </c>
      <c r="P261" s="525" t="str">
        <f>IF(AND($L261=$O$7,$B261&lt;'111'!$N$11),"x","")</f>
        <v/>
      </c>
      <c r="Q261" s="525" t="str">
        <f>IF(AND($M261=$O$7,$B261&lt;'111'!$N$11),"x","")</f>
        <v/>
      </c>
      <c r="R261" s="525" t="str">
        <f>IF(ISERROR(FIND('112'!$M$9,G261,1)),"",IF((AND(FIND('112'!$M$9,G261,1)&gt;=1,$B261&gt;='112'!$N$8,$B261&lt;='112'!$O$8,OR($L261='112'!$I$6,$M261='112'!$I$6))),"x",""))</f>
        <v/>
      </c>
      <c r="S261" s="525" t="str">
        <f>IF(ISERROR(FIND('112'!$M$9,G261,1)),"",IF((AND(LEFT(G261,2)=LEFT('112'!$M$9,2),B261&lt;'112'!$N$8,$L261='112'!$I$6)),"x",""))</f>
        <v/>
      </c>
      <c r="T261" s="525" t="str">
        <f>IF(ISERROR(FIND('112'!$M$9,G261,1)),"",IF((AND(RIGHT(G261,2)=RIGHT('112'!$M$9,2),B261&lt;'112'!$N$8,$M261='112'!$I$6)),"x",""))</f>
        <v/>
      </c>
      <c r="U261" s="525" t="str">
        <f>IF(AND(B261&gt;='IN-NX'!$P$3,B261&lt;='IN-NX'!$Q$3,'IN-NX'!$D$7=D261,OR(LEFT(L261,2)="15",AND(LEFT(M261,2)&lt;&gt;"15",LEFT(M261,2)&lt;&gt;"33"))),"x","")</f>
        <v/>
      </c>
      <c r="V261" s="525" t="str">
        <f>IF(AND(OR(LEFT(TH!L261,2)="15",LEFT(TH!M261,2)="15"),'152-CT'!$J$8=TH!F261),"x","")</f>
        <v/>
      </c>
      <c r="W261" s="525" t="str">
        <f>IF(AND(OR(LEFT(TH!L261,2)="15",LEFT(TH!M261,2)="15"),TK!$E$7=TH!F261),"x","")</f>
        <v/>
      </c>
      <c r="X261" s="525" t="str">
        <f>IF(AND('341-CT'!$E$9=H261,OR(LEFT(L261,3)=$X$7,LEFT(M261,3)=$X$7)),"x","")</f>
        <v/>
      </c>
      <c r="Y261" s="525" t="str">
        <f>IF(OR(TH!L261=TH!$Y$7,M261=TH!$Y$7),"x","")</f>
        <v/>
      </c>
      <c r="Z261" s="525" t="str">
        <f>IF(AND(B261&lt;=NKC!$N$8,B261&gt;=NKC!$M$8),"x","")</f>
        <v/>
      </c>
      <c r="AA261" s="535"/>
    </row>
    <row r="262" spans="1:28" s="503" customFormat="1" ht="15.75" customHeight="1">
      <c r="A262" s="517" t="str">
        <f>IF(B262&lt;&gt;"",IF(AND(B262&gt;=_TM1,B262&lt;=_TM2,OR(TH!L262="1111",TH!M262="1111")),TH!D262,""),"")</f>
        <v/>
      </c>
      <c r="B262" s="531">
        <f t="shared" si="25"/>
        <v>4</v>
      </c>
      <c r="C262" s="315">
        <f t="shared" si="26"/>
        <v>42849</v>
      </c>
      <c r="D262" s="315" t="s">
        <v>461</v>
      </c>
      <c r="E262" s="288">
        <v>42849</v>
      </c>
      <c r="F262" s="249" t="s">
        <v>1262</v>
      </c>
      <c r="G262" s="314" t="s">
        <v>290</v>
      </c>
      <c r="H262" s="473"/>
      <c r="I262" s="307"/>
      <c r="J262" s="307"/>
      <c r="K262" s="532">
        <v>20000</v>
      </c>
      <c r="L262" s="533" t="s">
        <v>81</v>
      </c>
      <c r="M262" s="533" t="s">
        <v>24</v>
      </c>
      <c r="N262" s="525" t="str">
        <f>IF(AND('331-CT'!$E$7=TH!H262,OR(L262="331",M262="331")),"331",IF(AND(OR(L262="131",M262="131"),H262='131-CT'!$E$7),"131",""))</f>
        <v/>
      </c>
      <c r="O262" s="525" t="str">
        <f>IF(AND($B262&gt;='111'!$N$11,$B262&lt;='111'!$O$11,OR($L262=$O$7,$M262=$O$7)),"x","")</f>
        <v/>
      </c>
      <c r="P262" s="525" t="str">
        <f>IF(AND($L262=$O$7,$B262&lt;'111'!$N$11),"x","")</f>
        <v/>
      </c>
      <c r="Q262" s="525" t="str">
        <f>IF(AND($M262=$O$7,$B262&lt;'111'!$N$11),"x","")</f>
        <v/>
      </c>
      <c r="R262" s="525" t="str">
        <f>IF(ISERROR(FIND('112'!$M$9,G262,1)),"",IF((AND(FIND('112'!$M$9,G262,1)&gt;=1,$B262&gt;='112'!$N$8,$B262&lt;='112'!$O$8,OR($L262='112'!$I$6,$M262='112'!$I$6))),"x",""))</f>
        <v/>
      </c>
      <c r="S262" s="525" t="str">
        <f>IF(ISERROR(FIND('112'!$M$9,G262,1)),"",IF((AND(LEFT(G262,2)=LEFT('112'!$M$9,2),B262&lt;'112'!$N$8,$L262='112'!$I$6)),"x",""))</f>
        <v/>
      </c>
      <c r="T262" s="525" t="str">
        <f>IF(ISERROR(FIND('112'!$M$9,G262,1)),"",IF((AND(RIGHT(G262,2)=RIGHT('112'!$M$9,2),B262&lt;'112'!$N$8,$M262='112'!$I$6)),"x",""))</f>
        <v/>
      </c>
      <c r="U262" s="525" t="str">
        <f>IF(AND(B262&gt;='IN-NX'!$P$3,B262&lt;='IN-NX'!$Q$3,'IN-NX'!$D$7=D262,OR(LEFT(L262,2)="15",AND(LEFT(M262,2)&lt;&gt;"15",LEFT(M262,2)&lt;&gt;"33"))),"x","")</f>
        <v/>
      </c>
      <c r="V262" s="525" t="str">
        <f>IF(AND(OR(LEFT(TH!L262,2)="15",LEFT(TH!M262,2)="15"),'152-CT'!$J$8=TH!F262),"x","")</f>
        <v/>
      </c>
      <c r="W262" s="525" t="str">
        <f>IF(AND(OR(LEFT(TH!L262,2)="15",LEFT(TH!M262,2)="15"),TK!$E$7=TH!F262),"x","")</f>
        <v/>
      </c>
      <c r="X262" s="525" t="str">
        <f>IF(AND('341-CT'!$E$9=H262,OR(LEFT(L262,3)=$X$7,LEFT(M262,3)=$X$7)),"x","")</f>
        <v/>
      </c>
      <c r="Y262" s="525" t="str">
        <f>IF(OR(TH!L262=TH!$Y$7,M262=TH!$Y$7),"x","")</f>
        <v/>
      </c>
      <c r="Z262" s="525" t="str">
        <f>IF(AND(B262&lt;=NKC!$N$8,B262&gt;=NKC!$M$8),"x","")</f>
        <v/>
      </c>
      <c r="AA262" s="535">
        <v>2</v>
      </c>
    </row>
    <row r="263" spans="1:28" s="503" customFormat="1" ht="15.75" customHeight="1">
      <c r="A263" s="517" t="str">
        <f>IF(B263&lt;&gt;"",IF(AND(B263&gt;=_TM1,B263&lt;=_TM2,OR(TH!L263="1111",TH!M263="1111")),TH!D263,""),"")</f>
        <v/>
      </c>
      <c r="B263" s="531">
        <f t="shared" si="25"/>
        <v>4</v>
      </c>
      <c r="C263" s="315">
        <f t="shared" si="26"/>
        <v>42849</v>
      </c>
      <c r="D263" s="315" t="s">
        <v>461</v>
      </c>
      <c r="E263" s="288">
        <v>42849</v>
      </c>
      <c r="F263" s="249" t="s">
        <v>1263</v>
      </c>
      <c r="G263" s="314" t="s">
        <v>290</v>
      </c>
      <c r="H263" s="473"/>
      <c r="I263" s="284"/>
      <c r="J263" s="284"/>
      <c r="K263" s="532">
        <v>2000</v>
      </c>
      <c r="L263" s="533" t="s">
        <v>9</v>
      </c>
      <c r="M263" s="533" t="s">
        <v>24</v>
      </c>
      <c r="N263" s="525" t="str">
        <f>IF(AND('331-CT'!$E$7=TH!H263,OR(L263="331",M263="331")),"331",IF(AND(OR(L263="131",M263="131"),H263='131-CT'!$E$7),"131",""))</f>
        <v/>
      </c>
      <c r="O263" s="525" t="str">
        <f>IF(AND($B263&gt;='111'!$N$11,$B263&lt;='111'!$O$11,OR($L263=$O$7,$M263=$O$7)),"x","")</f>
        <v/>
      </c>
      <c r="P263" s="525" t="str">
        <f>IF(AND($L263=$O$7,$B263&lt;'111'!$N$11),"x","")</f>
        <v/>
      </c>
      <c r="Q263" s="525" t="str">
        <f>IF(AND($M263=$O$7,$B263&lt;'111'!$N$11),"x","")</f>
        <v/>
      </c>
      <c r="R263" s="525" t="str">
        <f>IF(ISERROR(FIND('112'!$M$9,G263,1)),"",IF((AND(FIND('112'!$M$9,G263,1)&gt;=1,$B263&gt;='112'!$N$8,$B263&lt;='112'!$O$8,OR($L263='112'!$I$6,$M263='112'!$I$6))),"x",""))</f>
        <v/>
      </c>
      <c r="S263" s="525" t="str">
        <f>IF(ISERROR(FIND('112'!$M$9,G263,1)),"",IF((AND(LEFT(G263,2)=LEFT('112'!$M$9,2),B263&lt;'112'!$N$8,$L263='112'!$I$6)),"x",""))</f>
        <v/>
      </c>
      <c r="T263" s="525" t="str">
        <f>IF(ISERROR(FIND('112'!$M$9,G263,1)),"",IF((AND(RIGHT(G263,2)=RIGHT('112'!$M$9,2),B263&lt;'112'!$N$8,$M263='112'!$I$6)),"x",""))</f>
        <v/>
      </c>
      <c r="U263" s="525" t="str">
        <f>IF(AND(B263&gt;='IN-NX'!$P$3,B263&lt;='IN-NX'!$Q$3,'IN-NX'!$D$7=D263,OR(LEFT(L263,2)="15",AND(LEFT(M263,2)&lt;&gt;"15",LEFT(M263,2)&lt;&gt;"33"))),"x","")</f>
        <v/>
      </c>
      <c r="V263" s="525" t="str">
        <f>IF(AND(OR(LEFT(TH!L263,2)="15",LEFT(TH!M263,2)="15"),'152-CT'!$J$8=TH!F263),"x","")</f>
        <v/>
      </c>
      <c r="W263" s="525" t="str">
        <f>IF(AND(OR(LEFT(TH!L263,2)="15",LEFT(TH!M263,2)="15"),TK!$E$7=TH!F263),"x","")</f>
        <v/>
      </c>
      <c r="X263" s="525" t="str">
        <f>IF(AND('341-CT'!$E$9=H263,OR(LEFT(L263,3)=$X$7,LEFT(M263,3)=$X$7)),"x","")</f>
        <v/>
      </c>
      <c r="Y263" s="525" t="str">
        <f>IF(OR(TH!L263=TH!$Y$7,M263=TH!$Y$7),"x","")</f>
        <v/>
      </c>
      <c r="Z263" s="525" t="str">
        <f>IF(AND(B263&lt;=NKC!$N$8,B263&gt;=NKC!$M$8),"x","")</f>
        <v/>
      </c>
      <c r="AA263" s="535">
        <v>2</v>
      </c>
    </row>
    <row r="264" spans="1:28" s="503" customFormat="1" ht="15.75" customHeight="1">
      <c r="A264" s="517" t="str">
        <f>IF(B264&lt;&gt;"",IF(AND(B264&gt;=_TM1,B264&lt;=_TM2,OR(TH!L264="1111",TH!M264="1111")),TH!D264,""),"")</f>
        <v/>
      </c>
      <c r="B264" s="531">
        <f t="shared" si="25"/>
        <v>4</v>
      </c>
      <c r="C264" s="315">
        <f t="shared" si="26"/>
        <v>42849</v>
      </c>
      <c r="D264" s="315" t="s">
        <v>461</v>
      </c>
      <c r="E264" s="288">
        <v>42849</v>
      </c>
      <c r="F264" s="249" t="s">
        <v>468</v>
      </c>
      <c r="G264" s="314" t="s">
        <v>290</v>
      </c>
      <c r="H264" s="473" t="s">
        <v>271</v>
      </c>
      <c r="I264" s="307"/>
      <c r="J264" s="307"/>
      <c r="K264" s="532">
        <v>4162091</v>
      </c>
      <c r="L264" s="534" t="s">
        <v>8</v>
      </c>
      <c r="M264" s="533" t="s">
        <v>24</v>
      </c>
      <c r="N264" s="525" t="str">
        <f>IF(AND('331-CT'!$E$7=TH!H264,OR(L264="331",M264="331")),"331",IF(AND(OR(L264="131",M264="131"),H264='131-CT'!$E$7),"131",""))</f>
        <v>331</v>
      </c>
      <c r="O264" s="525" t="str">
        <f>IF(AND($B264&gt;='111'!$N$11,$B264&lt;='111'!$O$11,OR($L264=$O$7,$M264=$O$7)),"x","")</f>
        <v/>
      </c>
      <c r="P264" s="525" t="str">
        <f>IF(AND($L264=$O$7,$B264&lt;'111'!$N$11),"x","")</f>
        <v/>
      </c>
      <c r="Q264" s="525" t="str">
        <f>IF(AND($M264=$O$7,$B264&lt;'111'!$N$11),"x","")</f>
        <v/>
      </c>
      <c r="R264" s="525" t="str">
        <f>IF(ISERROR(FIND('112'!$M$9,G264,1)),"",IF((AND(FIND('112'!$M$9,G264,1)&gt;=1,$B264&gt;='112'!$N$8,$B264&lt;='112'!$O$8,OR($L264='112'!$I$6,$M264='112'!$I$6))),"x",""))</f>
        <v/>
      </c>
      <c r="S264" s="525" t="str">
        <f>IF(ISERROR(FIND('112'!$M$9,G264,1)),"",IF((AND(LEFT(G264,2)=LEFT('112'!$M$9,2),B264&lt;'112'!$N$8,$L264='112'!$I$6)),"x",""))</f>
        <v/>
      </c>
      <c r="T264" s="525" t="str">
        <f>IF(ISERROR(FIND('112'!$M$9,G264,1)),"",IF((AND(RIGHT(G264,2)=RIGHT('112'!$M$9,2),B264&lt;'112'!$N$8,$M264='112'!$I$6)),"x",""))</f>
        <v/>
      </c>
      <c r="U264" s="525" t="str">
        <f>IF(AND(B264&gt;='IN-NX'!$P$3,B264&lt;='IN-NX'!$Q$3,'IN-NX'!$D$7=D264,OR(LEFT(L264,2)="15",AND(LEFT(M264,2)&lt;&gt;"15",LEFT(M264,2)&lt;&gt;"33"))),"x","")</f>
        <v/>
      </c>
      <c r="V264" s="525" t="str">
        <f>IF(AND(OR(LEFT(TH!L264,2)="15",LEFT(TH!M264,2)="15"),'152-CT'!$J$8=TH!F264),"x","")</f>
        <v/>
      </c>
      <c r="W264" s="525" t="str">
        <f>IF(AND(OR(LEFT(TH!L264,2)="15",LEFT(TH!M264,2)="15"),TK!$E$7=TH!F264),"x","")</f>
        <v/>
      </c>
      <c r="X264" s="525" t="str">
        <f>IF(AND('341-CT'!$E$9=H264,OR(LEFT(L264,3)=$X$7,LEFT(M264,3)=$X$7)),"x","")</f>
        <v/>
      </c>
      <c r="Y264" s="525" t="str">
        <f>IF(OR(TH!L264=TH!$Y$7,M264=TH!$Y$7),"x","")</f>
        <v/>
      </c>
      <c r="Z264" s="525" t="str">
        <f>IF(AND(B264&lt;=NKC!$N$8,B264&gt;=NKC!$M$8),"x","")</f>
        <v/>
      </c>
      <c r="AA264" s="535"/>
    </row>
    <row r="265" spans="1:28" s="503" customFormat="1" ht="15.75" customHeight="1">
      <c r="A265" s="517" t="str">
        <f>IF(B265&lt;&gt;"",IF(AND(B265&gt;=_TM1,B265&lt;=_TM2,OR(TH!L265="1111",TH!M265="1111")),TH!D265,""),"")</f>
        <v/>
      </c>
      <c r="B265" s="531">
        <f t="shared" si="25"/>
        <v>4</v>
      </c>
      <c r="C265" s="315">
        <f t="shared" si="26"/>
        <v>42849</v>
      </c>
      <c r="D265" s="315" t="s">
        <v>461</v>
      </c>
      <c r="E265" s="288">
        <v>42849</v>
      </c>
      <c r="F265" s="248" t="s">
        <v>463</v>
      </c>
      <c r="G265" s="314" t="s">
        <v>290</v>
      </c>
      <c r="H265" s="472"/>
      <c r="I265" s="307"/>
      <c r="J265" s="307"/>
      <c r="K265" s="532">
        <v>10000</v>
      </c>
      <c r="L265" s="533" t="s">
        <v>81</v>
      </c>
      <c r="M265" s="533" t="s">
        <v>24</v>
      </c>
      <c r="N265" s="525" t="str">
        <f>IF(AND('331-CT'!$E$7=TH!H265,OR(L265="331",M265="331")),"331",IF(AND(OR(L265="131",M265="131"),H265='131-CT'!$E$7),"131",""))</f>
        <v/>
      </c>
      <c r="O265" s="525" t="str">
        <f>IF(AND($B265&gt;='111'!$N$11,$B265&lt;='111'!$O$11,OR($L265=$O$7,$M265=$O$7)),"x","")</f>
        <v/>
      </c>
      <c r="P265" s="525" t="str">
        <f>IF(AND($L265=$O$7,$B265&lt;'111'!$N$11),"x","")</f>
        <v/>
      </c>
      <c r="Q265" s="525" t="str">
        <f>IF(AND($M265=$O$7,$B265&lt;'111'!$N$11),"x","")</f>
        <v/>
      </c>
      <c r="R265" s="525" t="str">
        <f>IF(ISERROR(FIND('112'!$M$9,G265,1)),"",IF((AND(FIND('112'!$M$9,G265,1)&gt;=1,$B265&gt;='112'!$N$8,$B265&lt;='112'!$O$8,OR($L265='112'!$I$6,$M265='112'!$I$6))),"x",""))</f>
        <v/>
      </c>
      <c r="S265" s="525" t="str">
        <f>IF(ISERROR(FIND('112'!$M$9,G265,1)),"",IF((AND(LEFT(G265,2)=LEFT('112'!$M$9,2),B265&lt;'112'!$N$8,$L265='112'!$I$6)),"x",""))</f>
        <v/>
      </c>
      <c r="T265" s="525" t="str">
        <f>IF(ISERROR(FIND('112'!$M$9,G265,1)),"",IF((AND(RIGHT(G265,2)=RIGHT('112'!$M$9,2),B265&lt;'112'!$N$8,$M265='112'!$I$6)),"x",""))</f>
        <v/>
      </c>
      <c r="U265" s="525" t="str">
        <f>IF(AND(B265&gt;='IN-NX'!$P$3,B265&lt;='IN-NX'!$Q$3,'IN-NX'!$D$7=D265,OR(LEFT(L265,2)="15",AND(LEFT(M265,2)&lt;&gt;"15",LEFT(M265,2)&lt;&gt;"33"))),"x","")</f>
        <v/>
      </c>
      <c r="V265" s="525" t="str">
        <f>IF(AND(OR(LEFT(TH!L265,2)="15",LEFT(TH!M265,2)="15"),'152-CT'!$J$8=TH!F265),"x","")</f>
        <v/>
      </c>
      <c r="W265" s="525" t="str">
        <f>IF(AND(OR(LEFT(TH!L265,2)="15",LEFT(TH!M265,2)="15"),TK!$E$7=TH!F265),"x","")</f>
        <v/>
      </c>
      <c r="X265" s="525" t="str">
        <f>IF(AND('341-CT'!$E$9=H265,OR(LEFT(L265,3)=$X$7,LEFT(M265,3)=$X$7)),"x","")</f>
        <v/>
      </c>
      <c r="Y265" s="525" t="str">
        <f>IF(OR(TH!L265=TH!$Y$7,M265=TH!$Y$7),"x","")</f>
        <v/>
      </c>
      <c r="Z265" s="525" t="str">
        <f>IF(AND(B265&lt;=NKC!$N$8,B265&gt;=NKC!$M$8),"x","")</f>
        <v/>
      </c>
      <c r="AA265" s="535">
        <v>2</v>
      </c>
    </row>
    <row r="266" spans="1:28" s="503" customFormat="1" ht="15.75" customHeight="1">
      <c r="A266" s="517" t="str">
        <f>IF(B266&lt;&gt;"",IF(AND(B266&gt;=_TM1,B266&lt;=_TM2,OR(TH!L266="1111",TH!M266="1111")),TH!D266,""),"")</f>
        <v/>
      </c>
      <c r="B266" s="531">
        <f t="shared" ref="B266:B297" si="27">IF(C266&lt;&gt;"",MONTH(C266),"")</f>
        <v>4</v>
      </c>
      <c r="C266" s="315">
        <f t="shared" ref="C266:C297" si="28">E266</f>
        <v>42849</v>
      </c>
      <c r="D266" s="315" t="s">
        <v>461</v>
      </c>
      <c r="E266" s="288">
        <v>42849</v>
      </c>
      <c r="F266" s="248" t="s">
        <v>464</v>
      </c>
      <c r="G266" s="314" t="s">
        <v>290</v>
      </c>
      <c r="H266" s="472"/>
      <c r="I266" s="307"/>
      <c r="J266" s="307"/>
      <c r="K266" s="532">
        <v>1000</v>
      </c>
      <c r="L266" s="533" t="s">
        <v>9</v>
      </c>
      <c r="M266" s="533" t="s">
        <v>24</v>
      </c>
      <c r="N266" s="525" t="str">
        <f>IF(AND('331-CT'!$E$7=TH!H266,OR(L266="331",M266="331")),"331",IF(AND(OR(L266="131",M266="131"),H266='131-CT'!$E$7),"131",""))</f>
        <v/>
      </c>
      <c r="O266" s="525" t="str">
        <f>IF(AND($B266&gt;='111'!$N$11,$B266&lt;='111'!$O$11,OR($L266=$O$7,$M266=$O$7)),"x","")</f>
        <v/>
      </c>
      <c r="P266" s="525" t="str">
        <f>IF(AND($L266=$O$7,$B266&lt;'111'!$N$11),"x","")</f>
        <v/>
      </c>
      <c r="Q266" s="525" t="str">
        <f>IF(AND($M266=$O$7,$B266&lt;'111'!$N$11),"x","")</f>
        <v/>
      </c>
      <c r="R266" s="525" t="str">
        <f>IF(ISERROR(FIND('112'!$M$9,G266,1)),"",IF((AND(FIND('112'!$M$9,G266,1)&gt;=1,$B266&gt;='112'!$N$8,$B266&lt;='112'!$O$8,OR($L266='112'!$I$6,$M266='112'!$I$6))),"x",""))</f>
        <v/>
      </c>
      <c r="S266" s="525" t="str">
        <f>IF(ISERROR(FIND('112'!$M$9,G266,1)),"",IF((AND(LEFT(G266,2)=LEFT('112'!$M$9,2),B266&lt;'112'!$N$8,$L266='112'!$I$6)),"x",""))</f>
        <v/>
      </c>
      <c r="T266" s="525" t="str">
        <f>IF(ISERROR(FIND('112'!$M$9,G266,1)),"",IF((AND(RIGHT(G266,2)=RIGHT('112'!$M$9,2),B266&lt;'112'!$N$8,$M266='112'!$I$6)),"x",""))</f>
        <v/>
      </c>
      <c r="U266" s="525" t="str">
        <f>IF(AND(B266&gt;='IN-NX'!$P$3,B266&lt;='IN-NX'!$Q$3,'IN-NX'!$D$7=D266,OR(LEFT(L266,2)="15",AND(LEFT(M266,2)&lt;&gt;"15",LEFT(M266,2)&lt;&gt;"33"))),"x","")</f>
        <v/>
      </c>
      <c r="V266" s="525" t="str">
        <f>IF(AND(OR(LEFT(TH!L266,2)="15",LEFT(TH!M266,2)="15"),'152-CT'!$J$8=TH!F266),"x","")</f>
        <v/>
      </c>
      <c r="W266" s="525" t="str">
        <f>IF(AND(OR(LEFT(TH!L266,2)="15",LEFT(TH!M266,2)="15"),TK!$E$7=TH!F266),"x","")</f>
        <v/>
      </c>
      <c r="X266" s="525" t="str">
        <f>IF(AND('341-CT'!$E$9=H266,OR(LEFT(L266,3)=$X$7,LEFT(M266,3)=$X$7)),"x","")</f>
        <v/>
      </c>
      <c r="Y266" s="525" t="str">
        <f>IF(OR(TH!L266=TH!$Y$7,M266=TH!$Y$7),"x","")</f>
        <v/>
      </c>
      <c r="Z266" s="525" t="str">
        <f>IF(AND(B266&lt;=NKC!$N$8,B266&gt;=NKC!$M$8),"x","")</f>
        <v/>
      </c>
      <c r="AA266" s="535">
        <v>2</v>
      </c>
    </row>
    <row r="267" spans="1:28" s="503" customFormat="1" ht="15.75" customHeight="1">
      <c r="A267" s="517" t="str">
        <f>IF(B267&lt;&gt;"",IF(AND(B267&gt;=_TM1,B267&lt;=_TM2,OR(TH!L267="1111",TH!M267="1111")),TH!D267,""),"")</f>
        <v/>
      </c>
      <c r="B267" s="531">
        <f t="shared" si="27"/>
        <v>4</v>
      </c>
      <c r="C267" s="315">
        <f t="shared" si="28"/>
        <v>42850</v>
      </c>
      <c r="D267" s="315" t="s">
        <v>456</v>
      </c>
      <c r="E267" s="288">
        <v>42850</v>
      </c>
      <c r="F267" s="248" t="s">
        <v>458</v>
      </c>
      <c r="G267" s="314" t="s">
        <v>290</v>
      </c>
      <c r="H267" s="472"/>
      <c r="I267" s="307"/>
      <c r="J267" s="307"/>
      <c r="K267" s="532">
        <v>4944</v>
      </c>
      <c r="L267" s="533" t="s">
        <v>24</v>
      </c>
      <c r="M267" s="533" t="s">
        <v>38</v>
      </c>
      <c r="N267" s="525" t="str">
        <f>IF(AND('331-CT'!$E$7=TH!H267,OR(L267="331",M267="331")),"331",IF(AND(OR(L267="131",M267="131"),H267='131-CT'!$E$7),"131",""))</f>
        <v/>
      </c>
      <c r="O267" s="525" t="str">
        <f>IF(AND($B267&gt;='111'!$N$11,$B267&lt;='111'!$O$11,OR($L267=$O$7,$M267=$O$7)),"x","")</f>
        <v/>
      </c>
      <c r="P267" s="525" t="str">
        <f>IF(AND($L267=$O$7,$B267&lt;'111'!$N$11),"x","")</f>
        <v/>
      </c>
      <c r="Q267" s="525" t="str">
        <f>IF(AND($M267=$O$7,$B267&lt;'111'!$N$11),"x","")</f>
        <v/>
      </c>
      <c r="R267" s="525" t="str">
        <f>IF(ISERROR(FIND('112'!$M$9,G267,1)),"",IF((AND(FIND('112'!$M$9,G267,1)&gt;=1,$B267&gt;='112'!$N$8,$B267&lt;='112'!$O$8,OR($L267='112'!$I$6,$M267='112'!$I$6))),"x",""))</f>
        <v/>
      </c>
      <c r="S267" s="525" t="str">
        <f>IF(ISERROR(FIND('112'!$M$9,G267,1)),"",IF((AND(LEFT(G267,2)=LEFT('112'!$M$9,2),B267&lt;'112'!$N$8,$L267='112'!$I$6)),"x",""))</f>
        <v/>
      </c>
      <c r="T267" s="525" t="str">
        <f>IF(ISERROR(FIND('112'!$M$9,G267,1)),"",IF((AND(RIGHT(G267,2)=RIGHT('112'!$M$9,2),B267&lt;'112'!$N$8,$M267='112'!$I$6)),"x",""))</f>
        <v/>
      </c>
      <c r="U267" s="525" t="str">
        <f>IF(AND(B267&gt;='IN-NX'!$P$3,B267&lt;='IN-NX'!$Q$3,'IN-NX'!$D$7=D267,OR(LEFT(L267,2)="15",AND(LEFT(M267,2)&lt;&gt;"15",LEFT(M267,2)&lt;&gt;"33"))),"x","")</f>
        <v/>
      </c>
      <c r="V267" s="525" t="str">
        <f>IF(AND(OR(LEFT(TH!L267,2)="15",LEFT(TH!M267,2)="15"),'152-CT'!$J$8=TH!F267),"x","")</f>
        <v/>
      </c>
      <c r="W267" s="525" t="str">
        <f>IF(AND(OR(LEFT(TH!L267,2)="15",LEFT(TH!M267,2)="15"),TK!$E$7=TH!F267),"x","")</f>
        <v/>
      </c>
      <c r="X267" s="525" t="str">
        <f>IF(AND('341-CT'!$E$9=H267,OR(LEFT(L267,3)=$X$7,LEFT(M267,3)=$X$7)),"x","")</f>
        <v/>
      </c>
      <c r="Y267" s="525" t="str">
        <f>IF(OR(TH!L267=TH!$Y$7,M267=TH!$Y$7),"x","")</f>
        <v/>
      </c>
      <c r="Z267" s="525" t="str">
        <f>IF(AND(B267&lt;=NKC!$N$8,B267&gt;=NKC!$M$8),"x","")</f>
        <v/>
      </c>
      <c r="AA267" s="535"/>
    </row>
    <row r="268" spans="1:28" s="503" customFormat="1" ht="15.75" customHeight="1">
      <c r="A268" s="517" t="str">
        <f>IF(B268&lt;&gt;"",IF(AND(B268&gt;=_TM1,B268&lt;=_TM2,OR(TH!L268="1111",TH!M268="1111")),TH!D268,""),"")</f>
        <v/>
      </c>
      <c r="B268" s="531">
        <f t="shared" si="27"/>
        <v>4</v>
      </c>
      <c r="C268" s="315">
        <f t="shared" si="28"/>
        <v>42850</v>
      </c>
      <c r="D268" s="315" t="s">
        <v>461</v>
      </c>
      <c r="E268" s="288">
        <v>42850</v>
      </c>
      <c r="F268" s="249" t="s">
        <v>473</v>
      </c>
      <c r="G268" s="314" t="s">
        <v>290</v>
      </c>
      <c r="H268" s="473"/>
      <c r="I268" s="307"/>
      <c r="J268" s="307"/>
      <c r="K268" s="532">
        <v>10000</v>
      </c>
      <c r="L268" s="533" t="s">
        <v>81</v>
      </c>
      <c r="M268" s="533" t="s">
        <v>24</v>
      </c>
      <c r="N268" s="525" t="str">
        <f>IF(AND('331-CT'!$E$7=TH!H268,OR(L268="331",M268="331")),"331",IF(AND(OR(L268="131",M268="131"),H268='131-CT'!$E$7),"131",""))</f>
        <v/>
      </c>
      <c r="O268" s="525" t="str">
        <f>IF(AND($B268&gt;='111'!$N$11,$B268&lt;='111'!$O$11,OR($L268=$O$7,$M268=$O$7)),"x","")</f>
        <v/>
      </c>
      <c r="P268" s="525" t="str">
        <f>IF(AND($L268=$O$7,$B268&lt;'111'!$N$11),"x","")</f>
        <v/>
      </c>
      <c r="Q268" s="525" t="str">
        <f>IF(AND($M268=$O$7,$B268&lt;'111'!$N$11),"x","")</f>
        <v/>
      </c>
      <c r="R268" s="525" t="str">
        <f>IF(ISERROR(FIND('112'!$M$9,G268,1)),"",IF((AND(FIND('112'!$M$9,G268,1)&gt;=1,$B268&gt;='112'!$N$8,$B268&lt;='112'!$O$8,OR($L268='112'!$I$6,$M268='112'!$I$6))),"x",""))</f>
        <v/>
      </c>
      <c r="S268" s="525" t="str">
        <f>IF(ISERROR(FIND('112'!$M$9,G268,1)),"",IF((AND(LEFT(G268,2)=LEFT('112'!$M$9,2),B268&lt;'112'!$N$8,$L268='112'!$I$6)),"x",""))</f>
        <v/>
      </c>
      <c r="T268" s="525" t="str">
        <f>IF(ISERROR(FIND('112'!$M$9,G268,1)),"",IF((AND(RIGHT(G268,2)=RIGHT('112'!$M$9,2),B268&lt;'112'!$N$8,$M268='112'!$I$6)),"x",""))</f>
        <v/>
      </c>
      <c r="U268" s="525" t="str">
        <f>IF(AND(B268&gt;='IN-NX'!$P$3,B268&lt;='IN-NX'!$Q$3,'IN-NX'!$D$7=D268,OR(LEFT(L268,2)="15",AND(LEFT(M268,2)&lt;&gt;"15",LEFT(M268,2)&lt;&gt;"33"))),"x","")</f>
        <v/>
      </c>
      <c r="V268" s="525" t="str">
        <f>IF(AND(OR(LEFT(TH!L268,2)="15",LEFT(TH!M268,2)="15"),'152-CT'!$J$8=TH!F268),"x","")</f>
        <v/>
      </c>
      <c r="W268" s="525" t="str">
        <f>IF(AND(OR(LEFT(TH!L268,2)="15",LEFT(TH!M268,2)="15"),TK!$E$7=TH!F268),"x","")</f>
        <v/>
      </c>
      <c r="X268" s="525" t="str">
        <f>IF(AND('341-CT'!$E$9=H268,OR(LEFT(L268,3)=$X$7,LEFT(M268,3)=$X$7)),"x","")</f>
        <v/>
      </c>
      <c r="Y268" s="525" t="str">
        <f>IF(OR(TH!L268=TH!$Y$7,M268=TH!$Y$7),"x","")</f>
        <v/>
      </c>
      <c r="Z268" s="525" t="str">
        <f>IF(AND(B268&lt;=NKC!$N$8,B268&gt;=NKC!$M$8),"x","")</f>
        <v/>
      </c>
      <c r="AA268" s="535">
        <v>2</v>
      </c>
      <c r="AB268" s="536"/>
    </row>
    <row r="269" spans="1:28" s="503" customFormat="1" ht="15.75" customHeight="1">
      <c r="A269" s="517" t="str">
        <f>IF(B269&lt;&gt;"",IF(AND(B269&gt;=_TM1,B269&lt;=_TM2,OR(TH!L269="1111",TH!M269="1111")),TH!D269,""),"")</f>
        <v/>
      </c>
      <c r="B269" s="531">
        <f t="shared" si="27"/>
        <v>4</v>
      </c>
      <c r="C269" s="315">
        <f t="shared" si="28"/>
        <v>42850</v>
      </c>
      <c r="D269" s="315" t="s">
        <v>461</v>
      </c>
      <c r="E269" s="288">
        <v>42850</v>
      </c>
      <c r="F269" s="249" t="s">
        <v>474</v>
      </c>
      <c r="G269" s="314" t="s">
        <v>290</v>
      </c>
      <c r="H269" s="472"/>
      <c r="I269" s="307"/>
      <c r="J269" s="307"/>
      <c r="K269" s="532">
        <v>1000</v>
      </c>
      <c r="L269" s="533" t="s">
        <v>9</v>
      </c>
      <c r="M269" s="533" t="s">
        <v>24</v>
      </c>
      <c r="N269" s="525" t="str">
        <f>IF(AND('331-CT'!$E$7=TH!H269,OR(L269="331",M269="331")),"331",IF(AND(OR(L269="131",M269="131"),H269='131-CT'!$E$7),"131",""))</f>
        <v/>
      </c>
      <c r="O269" s="525" t="str">
        <f>IF(AND($B269&gt;='111'!$N$11,$B269&lt;='111'!$O$11,OR($L269=$O$7,$M269=$O$7)),"x","")</f>
        <v/>
      </c>
      <c r="P269" s="525" t="str">
        <f>IF(AND($L269=$O$7,$B269&lt;'111'!$N$11),"x","")</f>
        <v/>
      </c>
      <c r="Q269" s="525" t="str">
        <f>IF(AND($M269=$O$7,$B269&lt;'111'!$N$11),"x","")</f>
        <v/>
      </c>
      <c r="R269" s="525" t="str">
        <f>IF(ISERROR(FIND('112'!$M$9,G269,1)),"",IF((AND(FIND('112'!$M$9,G269,1)&gt;=1,$B269&gt;='112'!$N$8,$B269&lt;='112'!$O$8,OR($L269='112'!$I$6,$M269='112'!$I$6))),"x",""))</f>
        <v/>
      </c>
      <c r="S269" s="525" t="str">
        <f>IF(ISERROR(FIND('112'!$M$9,G269,1)),"",IF((AND(LEFT(G269,2)=LEFT('112'!$M$9,2),B269&lt;'112'!$N$8,$L269='112'!$I$6)),"x",""))</f>
        <v/>
      </c>
      <c r="T269" s="525" t="str">
        <f>IF(ISERROR(FIND('112'!$M$9,G269,1)),"",IF((AND(RIGHT(G269,2)=RIGHT('112'!$M$9,2),B269&lt;'112'!$N$8,$M269='112'!$I$6)),"x",""))</f>
        <v/>
      </c>
      <c r="U269" s="525" t="str">
        <f>IF(AND(B269&gt;='IN-NX'!$P$3,B269&lt;='IN-NX'!$Q$3,'IN-NX'!$D$7=D269,OR(LEFT(L269,2)="15",AND(LEFT(M269,2)&lt;&gt;"15",LEFT(M269,2)&lt;&gt;"33"))),"x","")</f>
        <v/>
      </c>
      <c r="V269" s="525" t="str">
        <f>IF(AND(OR(LEFT(TH!L269,2)="15",LEFT(TH!M269,2)="15"),'152-CT'!$J$8=TH!F269),"x","")</f>
        <v/>
      </c>
      <c r="W269" s="525" t="str">
        <f>IF(AND(OR(LEFT(TH!L269,2)="15",LEFT(TH!M269,2)="15"),TK!$E$7=TH!F269),"x","")</f>
        <v/>
      </c>
      <c r="X269" s="525" t="str">
        <f>IF(AND('341-CT'!$E$9=H269,OR(LEFT(L269,3)=$X$7,LEFT(M269,3)=$X$7)),"x","")</f>
        <v/>
      </c>
      <c r="Y269" s="525" t="str">
        <f>IF(OR(TH!L269=TH!$Y$7,M269=TH!$Y$7),"x","")</f>
        <v/>
      </c>
      <c r="Z269" s="525" t="str">
        <f>IF(AND(B269&lt;=NKC!$N$8,B269&gt;=NKC!$M$8),"x","")</f>
        <v/>
      </c>
      <c r="AA269" s="535">
        <v>2</v>
      </c>
    </row>
    <row r="270" spans="1:28" s="503" customFormat="1" ht="15.75" customHeight="1">
      <c r="A270" s="517" t="str">
        <f>IF(B270&lt;&gt;"",IF(AND(B270&gt;=_TM1,B270&lt;=_TM2,OR(TH!L270="1111",TH!M270="1111")),TH!D270,""),"")</f>
        <v/>
      </c>
      <c r="B270" s="531">
        <f t="shared" si="27"/>
        <v>4</v>
      </c>
      <c r="C270" s="315">
        <f t="shared" si="28"/>
        <v>42850</v>
      </c>
      <c r="D270" s="315" t="s">
        <v>461</v>
      </c>
      <c r="E270" s="288">
        <v>42850</v>
      </c>
      <c r="F270" s="249" t="s">
        <v>465</v>
      </c>
      <c r="G270" s="314" t="s">
        <v>290</v>
      </c>
      <c r="H270" s="473" t="s">
        <v>460</v>
      </c>
      <c r="I270" s="307"/>
      <c r="J270" s="307"/>
      <c r="K270" s="532">
        <v>34300000</v>
      </c>
      <c r="L270" s="533" t="s">
        <v>45</v>
      </c>
      <c r="M270" s="533" t="s">
        <v>24</v>
      </c>
      <c r="N270" s="525" t="str">
        <f>IF(AND('331-CT'!$E$7=TH!H270,OR(L270="331",M270="331")),"331",IF(AND(OR(L270="131",M270="131"),H270='131-CT'!$E$7),"131",""))</f>
        <v/>
      </c>
      <c r="O270" s="525" t="str">
        <f>IF(AND($B270&gt;='111'!$N$11,$B270&lt;='111'!$O$11,OR($L270=$O$7,$M270=$O$7)),"x","")</f>
        <v/>
      </c>
      <c r="P270" s="525" t="str">
        <f>IF(AND($L270=$O$7,$B270&lt;'111'!$N$11),"x","")</f>
        <v>x</v>
      </c>
      <c r="Q270" s="525" t="str">
        <f>IF(AND($M270=$O$7,$B270&lt;'111'!$N$11),"x","")</f>
        <v/>
      </c>
      <c r="R270" s="525" t="str">
        <f>IF(ISERROR(FIND('112'!$M$9,G270,1)),"",IF((AND(FIND('112'!$M$9,G270,1)&gt;=1,$B270&gt;='112'!$N$8,$B270&lt;='112'!$O$8,OR($L270='112'!$I$6,$M270='112'!$I$6))),"x",""))</f>
        <v/>
      </c>
      <c r="S270" s="525" t="str">
        <f>IF(ISERROR(FIND('112'!$M$9,G270,1)),"",IF((AND(LEFT(G270,2)=LEFT('112'!$M$9,2),B270&lt;'112'!$N$8,$L270='112'!$I$6)),"x",""))</f>
        <v/>
      </c>
      <c r="T270" s="525" t="str">
        <f>IF(ISERROR(FIND('112'!$M$9,G270,1)),"",IF((AND(RIGHT(G270,2)=RIGHT('112'!$M$9,2),B270&lt;'112'!$N$8,$M270='112'!$I$6)),"x",""))</f>
        <v/>
      </c>
      <c r="U270" s="525" t="str">
        <f>IF(AND(B270&gt;='IN-NX'!$P$3,B270&lt;='IN-NX'!$Q$3,'IN-NX'!$D$7=D270,OR(LEFT(L270,2)="15",AND(LEFT(M270,2)&lt;&gt;"15",LEFT(M270,2)&lt;&gt;"33"))),"x","")</f>
        <v/>
      </c>
      <c r="V270" s="525" t="str">
        <f>IF(AND(OR(LEFT(TH!L270,2)="15",LEFT(TH!M270,2)="15"),'152-CT'!$J$8=TH!F270),"x","")</f>
        <v/>
      </c>
      <c r="W270" s="525" t="str">
        <f>IF(AND(OR(LEFT(TH!L270,2)="15",LEFT(TH!M270,2)="15"),TK!$E$7=TH!F270),"x","")</f>
        <v/>
      </c>
      <c r="X270" s="525" t="str">
        <f>IF(AND('341-CT'!$E$9=H270,OR(LEFT(L270,3)=$X$7,LEFT(M270,3)=$X$7)),"x","")</f>
        <v/>
      </c>
      <c r="Y270" s="525" t="str">
        <f>IF(OR(TH!L270=TH!$Y$7,M270=TH!$Y$7),"x","")</f>
        <v/>
      </c>
      <c r="Z270" s="525" t="str">
        <f>IF(AND(B270&lt;=NKC!$N$8,B270&gt;=NKC!$M$8),"x","")</f>
        <v/>
      </c>
      <c r="AA270" s="535"/>
    </row>
    <row r="271" spans="1:28" s="503" customFormat="1" ht="15.75" customHeight="1">
      <c r="A271" s="517" t="str">
        <f>IF(B271&lt;&gt;"",IF(AND(B271&gt;=_TM1,B271&lt;=_TM2,OR(TH!L271="1111",TH!M271="1111")),TH!D271,""),"")</f>
        <v/>
      </c>
      <c r="B271" s="531">
        <f t="shared" si="27"/>
        <v>4</v>
      </c>
      <c r="C271" s="315">
        <f t="shared" si="28"/>
        <v>42853</v>
      </c>
      <c r="D271" s="315" t="s">
        <v>456</v>
      </c>
      <c r="E271" s="288">
        <v>42853</v>
      </c>
      <c r="F271" s="248" t="s">
        <v>459</v>
      </c>
      <c r="G271" s="314" t="s">
        <v>290</v>
      </c>
      <c r="H271" s="473" t="s">
        <v>460</v>
      </c>
      <c r="I271" s="307"/>
      <c r="J271" s="307"/>
      <c r="K271" s="532">
        <v>15000000</v>
      </c>
      <c r="L271" s="533" t="s">
        <v>24</v>
      </c>
      <c r="M271" s="533" t="s">
        <v>45</v>
      </c>
      <c r="N271" s="525" t="str">
        <f>IF(AND('331-CT'!$E$7=TH!H271,OR(L271="331",M271="331")),"331",IF(AND(OR(L271="131",M271="131"),H271='131-CT'!$E$7),"131",""))</f>
        <v/>
      </c>
      <c r="O271" s="525" t="str">
        <f>IF(AND($B271&gt;='111'!$N$11,$B271&lt;='111'!$O$11,OR($L271=$O$7,$M271=$O$7)),"x","")</f>
        <v/>
      </c>
      <c r="P271" s="525" t="str">
        <f>IF(AND($L271=$O$7,$B271&lt;'111'!$N$11),"x","")</f>
        <v/>
      </c>
      <c r="Q271" s="525" t="str">
        <f>IF(AND($M271=$O$7,$B271&lt;'111'!$N$11),"x","")</f>
        <v>x</v>
      </c>
      <c r="R271" s="525" t="str">
        <f>IF(ISERROR(FIND('112'!$M$9,G271,1)),"",IF((AND(FIND('112'!$M$9,G271,1)&gt;=1,$B271&gt;='112'!$N$8,$B271&lt;='112'!$O$8,OR($L271='112'!$I$6,$M271='112'!$I$6))),"x",""))</f>
        <v/>
      </c>
      <c r="S271" s="525" t="str">
        <f>IF(ISERROR(FIND('112'!$M$9,G271,1)),"",IF((AND(LEFT(G271,2)=LEFT('112'!$M$9,2),B271&lt;'112'!$N$8,$L271='112'!$I$6)),"x",""))</f>
        <v/>
      </c>
      <c r="T271" s="525" t="str">
        <f>IF(ISERROR(FIND('112'!$M$9,G271,1)),"",IF((AND(RIGHT(G271,2)=RIGHT('112'!$M$9,2),B271&lt;'112'!$N$8,$M271='112'!$I$6)),"x",""))</f>
        <v/>
      </c>
      <c r="U271" s="525" t="str">
        <f>IF(AND(B271&gt;='IN-NX'!$P$3,B271&lt;='IN-NX'!$Q$3,'IN-NX'!$D$7=D271,OR(LEFT(L271,2)="15",AND(LEFT(M271,2)&lt;&gt;"15",LEFT(M271,2)&lt;&gt;"33"))),"x","")</f>
        <v/>
      </c>
      <c r="V271" s="525" t="str">
        <f>IF(AND(OR(LEFT(TH!L271,2)="15",LEFT(TH!M271,2)="15"),'152-CT'!$J$8=TH!F271),"x","")</f>
        <v/>
      </c>
      <c r="W271" s="525" t="str">
        <f>IF(AND(OR(LEFT(TH!L271,2)="15",LEFT(TH!M271,2)="15"),TK!$E$7=TH!F271),"x","")</f>
        <v/>
      </c>
      <c r="X271" s="525" t="str">
        <f>IF(AND('341-CT'!$E$9=H271,OR(LEFT(L271,3)=$X$7,LEFT(M271,3)=$X$7)),"x","")</f>
        <v/>
      </c>
      <c r="Y271" s="525" t="str">
        <f>IF(OR(TH!L271=TH!$Y$7,M271=TH!$Y$7),"x","")</f>
        <v/>
      </c>
      <c r="Z271" s="525" t="str">
        <f>IF(AND(B271&lt;=NKC!$N$8,B271&gt;=NKC!$M$8),"x","")</f>
        <v/>
      </c>
      <c r="AA271" s="535"/>
    </row>
    <row r="272" spans="1:28" s="503" customFormat="1" ht="15.75" customHeight="1">
      <c r="A272" s="517" t="str">
        <f>IF(B272&lt;&gt;"",IF(AND(B272&gt;=_TM1,B272&lt;=_TM2,OR(TH!L272="1111",TH!M272="1111")),TH!D272,""),"")</f>
        <v/>
      </c>
      <c r="B272" s="531">
        <f t="shared" si="27"/>
        <v>4</v>
      </c>
      <c r="C272" s="315">
        <f t="shared" si="28"/>
        <v>42853</v>
      </c>
      <c r="D272" s="315" t="s">
        <v>461</v>
      </c>
      <c r="E272" s="288">
        <v>42853</v>
      </c>
      <c r="F272" s="249" t="s">
        <v>468</v>
      </c>
      <c r="G272" s="314" t="s">
        <v>290</v>
      </c>
      <c r="H272" s="473" t="s">
        <v>270</v>
      </c>
      <c r="I272" s="307"/>
      <c r="J272" s="307"/>
      <c r="K272" s="532">
        <v>15000000</v>
      </c>
      <c r="L272" s="534" t="s">
        <v>8</v>
      </c>
      <c r="M272" s="533" t="s">
        <v>24</v>
      </c>
      <c r="N272" s="525" t="str">
        <f>IF(AND('331-CT'!$E$7=TH!H272,OR(L272="331",M272="331")),"331",IF(AND(OR(L272="131",M272="131"),H272='131-CT'!$E$7),"131",""))</f>
        <v/>
      </c>
      <c r="O272" s="525" t="str">
        <f>IF(AND($B272&gt;='111'!$N$11,$B272&lt;='111'!$O$11,OR($L272=$O$7,$M272=$O$7)),"x","")</f>
        <v/>
      </c>
      <c r="P272" s="525" t="str">
        <f>IF(AND($L272=$O$7,$B272&lt;'111'!$N$11),"x","")</f>
        <v/>
      </c>
      <c r="Q272" s="525" t="str">
        <f>IF(AND($M272=$O$7,$B272&lt;'111'!$N$11),"x","")</f>
        <v/>
      </c>
      <c r="R272" s="525" t="str">
        <f>IF(ISERROR(FIND('112'!$M$9,G272,1)),"",IF((AND(FIND('112'!$M$9,G272,1)&gt;=1,$B272&gt;='112'!$N$8,$B272&lt;='112'!$O$8,OR($L272='112'!$I$6,$M272='112'!$I$6))),"x",""))</f>
        <v/>
      </c>
      <c r="S272" s="525" t="str">
        <f>IF(ISERROR(FIND('112'!$M$9,G272,1)),"",IF((AND(LEFT(G272,2)=LEFT('112'!$M$9,2),B272&lt;'112'!$N$8,$L272='112'!$I$6)),"x",""))</f>
        <v/>
      </c>
      <c r="T272" s="525" t="str">
        <f>IF(ISERROR(FIND('112'!$M$9,G272,1)),"",IF((AND(RIGHT(G272,2)=RIGHT('112'!$M$9,2),B272&lt;'112'!$N$8,$M272='112'!$I$6)),"x",""))</f>
        <v/>
      </c>
      <c r="U272" s="525" t="str">
        <f>IF(AND(B272&gt;='IN-NX'!$P$3,B272&lt;='IN-NX'!$Q$3,'IN-NX'!$D$7=D272,OR(LEFT(L272,2)="15",AND(LEFT(M272,2)&lt;&gt;"15",LEFT(M272,2)&lt;&gt;"33"))),"x","")</f>
        <v/>
      </c>
      <c r="V272" s="525" t="str">
        <f>IF(AND(OR(LEFT(TH!L272,2)="15",LEFT(TH!M272,2)="15"),'152-CT'!$J$8=TH!F272),"x","")</f>
        <v/>
      </c>
      <c r="W272" s="525" t="str">
        <f>IF(AND(OR(LEFT(TH!L272,2)="15",LEFT(TH!M272,2)="15"),TK!$E$7=TH!F272),"x","")</f>
        <v/>
      </c>
      <c r="X272" s="525" t="str">
        <f>IF(AND('341-CT'!$E$9=H272,OR(LEFT(L272,3)=$X$7,LEFT(M272,3)=$X$7)),"x","")</f>
        <v/>
      </c>
      <c r="Y272" s="525" t="str">
        <f>IF(OR(TH!L272=TH!$Y$7,M272=TH!$Y$7),"x","")</f>
        <v/>
      </c>
      <c r="Z272" s="525" t="str">
        <f>IF(AND(B272&lt;=NKC!$N$8,B272&gt;=NKC!$M$8),"x","")</f>
        <v/>
      </c>
      <c r="AA272" s="535"/>
    </row>
    <row r="273" spans="1:28" s="503" customFormat="1" ht="15.75" customHeight="1">
      <c r="A273" s="517" t="str">
        <f>IF(B273&lt;&gt;"",IF(AND(B273&gt;=_TM1,B273&lt;=_TM2,OR(TH!L273="1111",TH!M273="1111")),TH!D273,""),"")</f>
        <v/>
      </c>
      <c r="B273" s="531">
        <f t="shared" si="27"/>
        <v>4</v>
      </c>
      <c r="C273" s="315">
        <f t="shared" si="28"/>
        <v>42853</v>
      </c>
      <c r="D273" s="315" t="s">
        <v>461</v>
      </c>
      <c r="E273" s="288">
        <v>42853</v>
      </c>
      <c r="F273" s="248" t="s">
        <v>463</v>
      </c>
      <c r="G273" s="314" t="s">
        <v>290</v>
      </c>
      <c r="H273" s="472"/>
      <c r="I273" s="307"/>
      <c r="J273" s="307"/>
      <c r="K273" s="532">
        <v>20000</v>
      </c>
      <c r="L273" s="533" t="s">
        <v>81</v>
      </c>
      <c r="M273" s="533" t="s">
        <v>24</v>
      </c>
      <c r="N273" s="525" t="str">
        <f>IF(AND('331-CT'!$E$7=TH!H273,OR(L273="331",M273="331")),"331",IF(AND(OR(L273="131",M273="131"),H273='131-CT'!$E$7),"131",""))</f>
        <v/>
      </c>
      <c r="O273" s="525" t="str">
        <f>IF(AND($B273&gt;='111'!$N$11,$B273&lt;='111'!$O$11,OR($L273=$O$7,$M273=$O$7)),"x","")</f>
        <v/>
      </c>
      <c r="P273" s="525" t="str">
        <f>IF(AND($L273=$O$7,$B273&lt;'111'!$N$11),"x","")</f>
        <v/>
      </c>
      <c r="Q273" s="525" t="str">
        <f>IF(AND($M273=$O$7,$B273&lt;'111'!$N$11),"x","")</f>
        <v/>
      </c>
      <c r="R273" s="525" t="str">
        <f>IF(ISERROR(FIND('112'!$M$9,G273,1)),"",IF((AND(FIND('112'!$M$9,G273,1)&gt;=1,$B273&gt;='112'!$N$8,$B273&lt;='112'!$O$8,OR($L273='112'!$I$6,$M273='112'!$I$6))),"x",""))</f>
        <v/>
      </c>
      <c r="S273" s="525" t="str">
        <f>IF(ISERROR(FIND('112'!$M$9,G273,1)),"",IF((AND(LEFT(G273,2)=LEFT('112'!$M$9,2),B273&lt;'112'!$N$8,$L273='112'!$I$6)),"x",""))</f>
        <v/>
      </c>
      <c r="T273" s="525" t="str">
        <f>IF(ISERROR(FIND('112'!$M$9,G273,1)),"",IF((AND(RIGHT(G273,2)=RIGHT('112'!$M$9,2),B273&lt;'112'!$N$8,$M273='112'!$I$6)),"x",""))</f>
        <v/>
      </c>
      <c r="U273" s="525" t="str">
        <f>IF(AND(B273&gt;='IN-NX'!$P$3,B273&lt;='IN-NX'!$Q$3,'IN-NX'!$D$7=D273,OR(LEFT(L273,2)="15",AND(LEFT(M273,2)&lt;&gt;"15",LEFT(M273,2)&lt;&gt;"33"))),"x","")</f>
        <v/>
      </c>
      <c r="V273" s="525" t="str">
        <f>IF(AND(OR(LEFT(TH!L273,2)="15",LEFT(TH!M273,2)="15"),'152-CT'!$J$8=TH!F273),"x","")</f>
        <v/>
      </c>
      <c r="W273" s="525" t="str">
        <f>IF(AND(OR(LEFT(TH!L273,2)="15",LEFT(TH!M273,2)="15"),TK!$E$7=TH!F273),"x","")</f>
        <v/>
      </c>
      <c r="X273" s="525" t="str">
        <f>IF(AND('341-CT'!$E$9=H273,OR(LEFT(L273,3)=$X$7,LEFT(M273,3)=$X$7)),"x","")</f>
        <v/>
      </c>
      <c r="Y273" s="525" t="str">
        <f>IF(OR(TH!L273=TH!$Y$7,M273=TH!$Y$7),"x","")</f>
        <v/>
      </c>
      <c r="Z273" s="525" t="str">
        <f>IF(AND(B273&lt;=NKC!$N$8,B273&gt;=NKC!$M$8),"x","")</f>
        <v/>
      </c>
      <c r="AA273" s="535">
        <v>2</v>
      </c>
      <c r="AB273" s="536"/>
    </row>
    <row r="274" spans="1:28" s="503" customFormat="1" ht="15.75" customHeight="1">
      <c r="A274" s="517" t="str">
        <f>IF(B274&lt;&gt;"",IF(AND(B274&gt;=_TM1,B274&lt;=_TM2,OR(TH!L274="1111",TH!M274="1111")),TH!D274,""),"")</f>
        <v/>
      </c>
      <c r="B274" s="531">
        <f t="shared" si="27"/>
        <v>4</v>
      </c>
      <c r="C274" s="315">
        <f t="shared" si="28"/>
        <v>42853</v>
      </c>
      <c r="D274" s="315" t="s">
        <v>461</v>
      </c>
      <c r="E274" s="288">
        <v>42853</v>
      </c>
      <c r="F274" s="248" t="s">
        <v>464</v>
      </c>
      <c r="G274" s="314" t="s">
        <v>290</v>
      </c>
      <c r="H274" s="472"/>
      <c r="I274" s="307"/>
      <c r="J274" s="307"/>
      <c r="K274" s="532">
        <v>2000</v>
      </c>
      <c r="L274" s="533" t="s">
        <v>9</v>
      </c>
      <c r="M274" s="533" t="s">
        <v>24</v>
      </c>
      <c r="N274" s="525" t="str">
        <f>IF(AND('331-CT'!$E$7=TH!H274,OR(L274="331",M274="331")),"331",IF(AND(OR(L274="131",M274="131"),H274='131-CT'!$E$7),"131",""))</f>
        <v/>
      </c>
      <c r="O274" s="525" t="str">
        <f>IF(AND($B274&gt;='111'!$N$11,$B274&lt;='111'!$O$11,OR($L274=$O$7,$M274=$O$7)),"x","")</f>
        <v/>
      </c>
      <c r="P274" s="525" t="str">
        <f>IF(AND($L274=$O$7,$B274&lt;'111'!$N$11),"x","")</f>
        <v/>
      </c>
      <c r="Q274" s="525" t="str">
        <f>IF(AND($M274=$O$7,$B274&lt;'111'!$N$11),"x","")</f>
        <v/>
      </c>
      <c r="R274" s="525" t="str">
        <f>IF(ISERROR(FIND('112'!$M$9,G274,1)),"",IF((AND(FIND('112'!$M$9,G274,1)&gt;=1,$B274&gt;='112'!$N$8,$B274&lt;='112'!$O$8,OR($L274='112'!$I$6,$M274='112'!$I$6))),"x",""))</f>
        <v/>
      </c>
      <c r="S274" s="525" t="str">
        <f>IF(ISERROR(FIND('112'!$M$9,G274,1)),"",IF((AND(LEFT(G274,2)=LEFT('112'!$M$9,2),B274&lt;'112'!$N$8,$L274='112'!$I$6)),"x",""))</f>
        <v/>
      </c>
      <c r="T274" s="525" t="str">
        <f>IF(ISERROR(FIND('112'!$M$9,G274,1)),"",IF((AND(RIGHT(G274,2)=RIGHT('112'!$M$9,2),B274&lt;'112'!$N$8,$M274='112'!$I$6)),"x",""))</f>
        <v/>
      </c>
      <c r="U274" s="525" t="str">
        <f>IF(AND(B274&gt;='IN-NX'!$P$3,B274&lt;='IN-NX'!$Q$3,'IN-NX'!$D$7=D274,OR(LEFT(L274,2)="15",AND(LEFT(M274,2)&lt;&gt;"15",LEFT(M274,2)&lt;&gt;"33"))),"x","")</f>
        <v/>
      </c>
      <c r="V274" s="525" t="str">
        <f>IF(AND(OR(LEFT(TH!L274,2)="15",LEFT(TH!M274,2)="15"),'152-CT'!$J$8=TH!F274),"x","")</f>
        <v/>
      </c>
      <c r="W274" s="525" t="str">
        <f>IF(AND(OR(LEFT(TH!L274,2)="15",LEFT(TH!M274,2)="15"),TK!$E$7=TH!F274),"x","")</f>
        <v/>
      </c>
      <c r="X274" s="525" t="str">
        <f>IF(AND('341-CT'!$E$9=H274,OR(LEFT(L274,3)=$X$7,LEFT(M274,3)=$X$7)),"x","")</f>
        <v/>
      </c>
      <c r="Y274" s="525" t="str">
        <f>IF(OR(TH!L274=TH!$Y$7,M274=TH!$Y$7),"x","")</f>
        <v/>
      </c>
      <c r="Z274" s="525" t="str">
        <f>IF(AND(B274&lt;=NKC!$N$8,B274&gt;=NKC!$M$8),"x","")</f>
        <v/>
      </c>
      <c r="AA274" s="535">
        <v>2</v>
      </c>
    </row>
    <row r="275" spans="1:28" s="503" customFormat="1" ht="15.75" customHeight="1">
      <c r="A275" s="517" t="str">
        <f>IF(B275&lt;&gt;"",IF(AND(B275&gt;=_TM1,B275&lt;=_TM2,OR(TH!L275="1111",TH!M275="1111")),TH!D275,""),"")</f>
        <v/>
      </c>
      <c r="B275" s="531">
        <f t="shared" si="27"/>
        <v>4</v>
      </c>
      <c r="C275" s="315">
        <f t="shared" si="28"/>
        <v>42853</v>
      </c>
      <c r="D275" s="315" t="s">
        <v>461</v>
      </c>
      <c r="E275" s="288">
        <v>42853</v>
      </c>
      <c r="F275" s="249" t="s">
        <v>1262</v>
      </c>
      <c r="G275" s="314" t="s">
        <v>290</v>
      </c>
      <c r="H275" s="473"/>
      <c r="I275" s="307"/>
      <c r="J275" s="307"/>
      <c r="K275" s="532">
        <v>20000</v>
      </c>
      <c r="L275" s="533" t="s">
        <v>81</v>
      </c>
      <c r="M275" s="533" t="s">
        <v>24</v>
      </c>
      <c r="N275" s="525" t="str">
        <f>IF(AND('331-CT'!$E$7=TH!H275,OR(L275="331",M275="331")),"331",IF(AND(OR(L275="131",M275="131"),H275='131-CT'!$E$7),"131",""))</f>
        <v/>
      </c>
      <c r="O275" s="525" t="str">
        <f>IF(AND($B275&gt;='111'!$N$11,$B275&lt;='111'!$O$11,OR($L275=$O$7,$M275=$O$7)),"x","")</f>
        <v/>
      </c>
      <c r="P275" s="525" t="str">
        <f>IF(AND($L275=$O$7,$B275&lt;'111'!$N$11),"x","")</f>
        <v/>
      </c>
      <c r="Q275" s="525" t="str">
        <f>IF(AND($M275=$O$7,$B275&lt;'111'!$N$11),"x","")</f>
        <v/>
      </c>
      <c r="R275" s="525" t="str">
        <f>IF(ISERROR(FIND('112'!$M$9,G275,1)),"",IF((AND(FIND('112'!$M$9,G275,1)&gt;=1,$B275&gt;='112'!$N$8,$B275&lt;='112'!$O$8,OR($L275='112'!$I$6,$M275='112'!$I$6))),"x",""))</f>
        <v/>
      </c>
      <c r="S275" s="525" t="str">
        <f>IF(ISERROR(FIND('112'!$M$9,G275,1)),"",IF((AND(LEFT(G275,2)=LEFT('112'!$M$9,2),B275&lt;'112'!$N$8,$L275='112'!$I$6)),"x",""))</f>
        <v/>
      </c>
      <c r="T275" s="525" t="str">
        <f>IF(ISERROR(FIND('112'!$M$9,G275,1)),"",IF((AND(RIGHT(G275,2)=RIGHT('112'!$M$9,2),B275&lt;'112'!$N$8,$M275='112'!$I$6)),"x",""))</f>
        <v/>
      </c>
      <c r="U275" s="525" t="str">
        <f>IF(AND(B275&gt;='IN-NX'!$P$3,B275&lt;='IN-NX'!$Q$3,'IN-NX'!$D$7=D275,OR(LEFT(L275,2)="15",AND(LEFT(M275,2)&lt;&gt;"15",LEFT(M275,2)&lt;&gt;"33"))),"x","")</f>
        <v/>
      </c>
      <c r="V275" s="525" t="str">
        <f>IF(AND(OR(LEFT(TH!L275,2)="15",LEFT(TH!M275,2)="15"),'152-CT'!$J$8=TH!F275),"x","")</f>
        <v/>
      </c>
      <c r="W275" s="525" t="str">
        <f>IF(AND(OR(LEFT(TH!L275,2)="15",LEFT(TH!M275,2)="15"),TK!$E$7=TH!F275),"x","")</f>
        <v/>
      </c>
      <c r="X275" s="525" t="str">
        <f>IF(AND('341-CT'!$E$9=H275,OR(LEFT(L275,3)=$X$7,LEFT(M275,3)=$X$7)),"x","")</f>
        <v/>
      </c>
      <c r="Y275" s="525" t="str">
        <f>IF(OR(TH!L275=TH!$Y$7,M275=TH!$Y$7),"x","")</f>
        <v/>
      </c>
      <c r="Z275" s="525" t="str">
        <f>IF(AND(B275&lt;=NKC!$N$8,B275&gt;=NKC!$M$8),"x","")</f>
        <v/>
      </c>
      <c r="AA275" s="535">
        <v>2</v>
      </c>
    </row>
    <row r="276" spans="1:28" s="503" customFormat="1" ht="15.75" customHeight="1">
      <c r="A276" s="517" t="str">
        <f>IF(B276&lt;&gt;"",IF(AND(B276&gt;=_TM1,B276&lt;=_TM2,OR(TH!L276="1111",TH!M276="1111")),TH!D276,""),"")</f>
        <v/>
      </c>
      <c r="B276" s="531">
        <f t="shared" si="27"/>
        <v>4</v>
      </c>
      <c r="C276" s="315">
        <f t="shared" si="28"/>
        <v>42853</v>
      </c>
      <c r="D276" s="315" t="s">
        <v>461</v>
      </c>
      <c r="E276" s="288">
        <v>42853</v>
      </c>
      <c r="F276" s="249" t="s">
        <v>1263</v>
      </c>
      <c r="G276" s="314" t="s">
        <v>290</v>
      </c>
      <c r="H276" s="473"/>
      <c r="I276" s="284"/>
      <c r="J276" s="284"/>
      <c r="K276" s="532">
        <v>2000</v>
      </c>
      <c r="L276" s="533" t="s">
        <v>9</v>
      </c>
      <c r="M276" s="533" t="s">
        <v>24</v>
      </c>
      <c r="N276" s="525" t="str">
        <f>IF(AND('331-CT'!$E$7=TH!H276,OR(L276="331",M276="331")),"331",IF(AND(OR(L276="131",M276="131"),H276='131-CT'!$E$7),"131",""))</f>
        <v/>
      </c>
      <c r="O276" s="525" t="str">
        <f>IF(AND($B276&gt;='111'!$N$11,$B276&lt;='111'!$O$11,OR($L276=$O$7,$M276=$O$7)),"x","")</f>
        <v/>
      </c>
      <c r="P276" s="525" t="str">
        <f>IF(AND($L276=$O$7,$B276&lt;'111'!$N$11),"x","")</f>
        <v/>
      </c>
      <c r="Q276" s="525" t="str">
        <f>IF(AND($M276=$O$7,$B276&lt;'111'!$N$11),"x","")</f>
        <v/>
      </c>
      <c r="R276" s="525" t="str">
        <f>IF(ISERROR(FIND('112'!$M$9,G276,1)),"",IF((AND(FIND('112'!$M$9,G276,1)&gt;=1,$B276&gt;='112'!$N$8,$B276&lt;='112'!$O$8,OR($L276='112'!$I$6,$M276='112'!$I$6))),"x",""))</f>
        <v/>
      </c>
      <c r="S276" s="525" t="str">
        <f>IF(ISERROR(FIND('112'!$M$9,G276,1)),"",IF((AND(LEFT(G276,2)=LEFT('112'!$M$9,2),B276&lt;'112'!$N$8,$L276='112'!$I$6)),"x",""))</f>
        <v/>
      </c>
      <c r="T276" s="525" t="str">
        <f>IF(ISERROR(FIND('112'!$M$9,G276,1)),"",IF((AND(RIGHT(G276,2)=RIGHT('112'!$M$9,2),B276&lt;'112'!$N$8,$M276='112'!$I$6)),"x",""))</f>
        <v/>
      </c>
      <c r="U276" s="525" t="str">
        <f>IF(AND(B276&gt;='IN-NX'!$P$3,B276&lt;='IN-NX'!$Q$3,'IN-NX'!$D$7=D276,OR(LEFT(L276,2)="15",AND(LEFT(M276,2)&lt;&gt;"15",LEFT(M276,2)&lt;&gt;"33"))),"x","")</f>
        <v/>
      </c>
      <c r="V276" s="525" t="str">
        <f>IF(AND(OR(LEFT(TH!L276,2)="15",LEFT(TH!M276,2)="15"),'152-CT'!$J$8=TH!F276),"x","")</f>
        <v/>
      </c>
      <c r="W276" s="525" t="str">
        <f>IF(AND(OR(LEFT(TH!L276,2)="15",LEFT(TH!M276,2)="15"),TK!$E$7=TH!F276),"x","")</f>
        <v/>
      </c>
      <c r="X276" s="525" t="str">
        <f>IF(AND('341-CT'!$E$9=H276,OR(LEFT(L276,3)=$X$7,LEFT(M276,3)=$X$7)),"x","")</f>
        <v/>
      </c>
      <c r="Y276" s="525" t="str">
        <f>IF(OR(TH!L276=TH!$Y$7,M276=TH!$Y$7),"x","")</f>
        <v/>
      </c>
      <c r="Z276" s="525" t="str">
        <f>IF(AND(B276&lt;=NKC!$N$8,B276&gt;=NKC!$M$8),"x","")</f>
        <v/>
      </c>
      <c r="AA276" s="535">
        <v>2</v>
      </c>
    </row>
    <row r="277" spans="1:28" s="503" customFormat="1" ht="15.75" customHeight="1">
      <c r="A277" s="517" t="str">
        <f>IF(B277&lt;&gt;"",IF(AND(B277&gt;=_TM1,B277&lt;=_TM2,OR(TH!L277="1111",TH!M277="1111")),TH!D277,""),"")</f>
        <v/>
      </c>
      <c r="B277" s="531">
        <f t="shared" si="27"/>
        <v>5</v>
      </c>
      <c r="C277" s="315">
        <f t="shared" si="28"/>
        <v>42858</v>
      </c>
      <c r="D277" s="315" t="s">
        <v>456</v>
      </c>
      <c r="E277" s="288">
        <v>42858</v>
      </c>
      <c r="F277" s="248" t="s">
        <v>457</v>
      </c>
      <c r="G277" s="314" t="s">
        <v>290</v>
      </c>
      <c r="H277" s="474" t="s">
        <v>280</v>
      </c>
      <c r="I277" s="307"/>
      <c r="J277" s="307"/>
      <c r="K277" s="532">
        <v>3720750</v>
      </c>
      <c r="L277" s="533" t="s">
        <v>24</v>
      </c>
      <c r="M277" s="533" t="s">
        <v>223</v>
      </c>
      <c r="N277" s="525" t="str">
        <f>IF(AND('331-CT'!$E$7=TH!H277,OR(L277="331",M277="331")),"331",IF(AND(OR(L277="131",M277="131"),H277='131-CT'!$E$7),"131",""))</f>
        <v/>
      </c>
      <c r="O277" s="525" t="str">
        <f>IF(AND($B277&gt;='111'!$N$11,$B277&lt;='111'!$O$11,OR($L277=$O$7,$M277=$O$7)),"x","")</f>
        <v/>
      </c>
      <c r="P277" s="525" t="str">
        <f>IF(AND($L277=$O$7,$B277&lt;'111'!$N$11),"x","")</f>
        <v/>
      </c>
      <c r="Q277" s="525" t="str">
        <f>IF(AND($M277=$O$7,$B277&lt;'111'!$N$11),"x","")</f>
        <v/>
      </c>
      <c r="R277" s="525" t="str">
        <f>IF(ISERROR(FIND('112'!$M$9,G277,1)),"",IF((AND(FIND('112'!$M$9,G277,1)&gt;=1,$B277&gt;='112'!$N$8,$B277&lt;='112'!$O$8,OR($L277='112'!$I$6,$M277='112'!$I$6))),"x",""))</f>
        <v/>
      </c>
      <c r="S277" s="525" t="str">
        <f>IF(ISERROR(FIND('112'!$M$9,G277,1)),"",IF((AND(LEFT(G277,2)=LEFT('112'!$M$9,2),B277&lt;'112'!$N$8,$L277='112'!$I$6)),"x",""))</f>
        <v/>
      </c>
      <c r="T277" s="525" t="str">
        <f>IF(ISERROR(FIND('112'!$M$9,G277,1)),"",IF((AND(RIGHT(G277,2)=RIGHT('112'!$M$9,2),B277&lt;'112'!$N$8,$M277='112'!$I$6)),"x",""))</f>
        <v/>
      </c>
      <c r="U277" s="525" t="str">
        <f>IF(AND(B277&gt;='IN-NX'!$P$3,B277&lt;='IN-NX'!$Q$3,'IN-NX'!$D$7=D277,OR(LEFT(L277,2)="15",AND(LEFT(M277,2)&lt;&gt;"15",LEFT(M277,2)&lt;&gt;"33"))),"x","")</f>
        <v/>
      </c>
      <c r="V277" s="525" t="str">
        <f>IF(AND(OR(LEFT(TH!L277,2)="15",LEFT(TH!M277,2)="15"),'152-CT'!$J$8=TH!F277),"x","")</f>
        <v/>
      </c>
      <c r="W277" s="525" t="str">
        <f>IF(AND(OR(LEFT(TH!L277,2)="15",LEFT(TH!M277,2)="15"),TK!$E$7=TH!F277),"x","")</f>
        <v/>
      </c>
      <c r="X277" s="525" t="str">
        <f>IF(AND('341-CT'!$E$9=H277,OR(LEFT(L277,3)=$X$7,LEFT(M277,3)=$X$7)),"x","")</f>
        <v/>
      </c>
      <c r="Y277" s="525" t="str">
        <f>IF(OR(TH!L277=TH!$Y$7,M277=TH!$Y$7),"x","")</f>
        <v/>
      </c>
      <c r="Z277" s="525" t="str">
        <f>IF(AND(B277&lt;=NKC!$N$8,B277&gt;=NKC!$M$8),"x","")</f>
        <v/>
      </c>
      <c r="AA277" s="535"/>
    </row>
    <row r="278" spans="1:28" s="503" customFormat="1" ht="15.75" customHeight="1">
      <c r="A278" s="517" t="str">
        <f>IF(B278&lt;&gt;"",IF(AND(B278&gt;=_TM1,B278&lt;=_TM2,OR(TH!L278="1111",TH!M278="1111")),TH!D278,""),"")</f>
        <v/>
      </c>
      <c r="B278" s="531">
        <f t="shared" si="27"/>
        <v>5</v>
      </c>
      <c r="C278" s="315">
        <f t="shared" si="28"/>
        <v>42858</v>
      </c>
      <c r="D278" s="315" t="s">
        <v>461</v>
      </c>
      <c r="E278" s="288">
        <v>42858</v>
      </c>
      <c r="F278" s="249" t="s">
        <v>465</v>
      </c>
      <c r="G278" s="314" t="s">
        <v>290</v>
      </c>
      <c r="H278" s="473" t="s">
        <v>460</v>
      </c>
      <c r="I278" s="307"/>
      <c r="J278" s="307"/>
      <c r="K278" s="532">
        <v>3700000</v>
      </c>
      <c r="L278" s="533" t="s">
        <v>45</v>
      </c>
      <c r="M278" s="533" t="s">
        <v>24</v>
      </c>
      <c r="N278" s="525" t="str">
        <f>IF(AND('331-CT'!$E$7=TH!H278,OR(L278="331",M278="331")),"331",IF(AND(OR(L278="131",M278="131"),H278='131-CT'!$E$7),"131",""))</f>
        <v/>
      </c>
      <c r="O278" s="525" t="str">
        <f>IF(AND($B278&gt;='111'!$N$11,$B278&lt;='111'!$O$11,OR($L278=$O$7,$M278=$O$7)),"x","")</f>
        <v/>
      </c>
      <c r="P278" s="525" t="str">
        <f>IF(AND($L278=$O$7,$B278&lt;'111'!$N$11),"x","")</f>
        <v>x</v>
      </c>
      <c r="Q278" s="525" t="str">
        <f>IF(AND($M278=$O$7,$B278&lt;'111'!$N$11),"x","")</f>
        <v/>
      </c>
      <c r="R278" s="525" t="str">
        <f>IF(ISERROR(FIND('112'!$M$9,G278,1)),"",IF((AND(FIND('112'!$M$9,G278,1)&gt;=1,$B278&gt;='112'!$N$8,$B278&lt;='112'!$O$8,OR($L278='112'!$I$6,$M278='112'!$I$6))),"x",""))</f>
        <v/>
      </c>
      <c r="S278" s="525" t="str">
        <f>IF(ISERROR(FIND('112'!$M$9,G278,1)),"",IF((AND(LEFT(G278,2)=LEFT('112'!$M$9,2),B278&lt;'112'!$N$8,$L278='112'!$I$6)),"x",""))</f>
        <v/>
      </c>
      <c r="T278" s="525" t="str">
        <f>IF(ISERROR(FIND('112'!$M$9,G278,1)),"",IF((AND(RIGHT(G278,2)=RIGHT('112'!$M$9,2),B278&lt;'112'!$N$8,$M278='112'!$I$6)),"x",""))</f>
        <v/>
      </c>
      <c r="U278" s="525" t="str">
        <f>IF(AND(B278&gt;='IN-NX'!$P$3,B278&lt;='IN-NX'!$Q$3,'IN-NX'!$D$7=D278,OR(LEFT(L278,2)="15",AND(LEFT(M278,2)&lt;&gt;"15",LEFT(M278,2)&lt;&gt;"33"))),"x","")</f>
        <v/>
      </c>
      <c r="V278" s="525" t="str">
        <f>IF(AND(OR(LEFT(TH!L278,2)="15",LEFT(TH!M278,2)="15"),'152-CT'!$J$8=TH!F278),"x","")</f>
        <v/>
      </c>
      <c r="W278" s="525" t="str">
        <f>IF(AND(OR(LEFT(TH!L278,2)="15",LEFT(TH!M278,2)="15"),TK!$E$7=TH!F278),"x","")</f>
        <v/>
      </c>
      <c r="X278" s="525" t="str">
        <f>IF(AND('341-CT'!$E$9=H278,OR(LEFT(L278,3)=$X$7,LEFT(M278,3)=$X$7)),"x","")</f>
        <v/>
      </c>
      <c r="Y278" s="525" t="str">
        <f>IF(OR(TH!L278=TH!$Y$7,M278=TH!$Y$7),"x","")</f>
        <v/>
      </c>
      <c r="Z278" s="525" t="str">
        <f>IF(AND(B278&lt;=NKC!$N$8,B278&gt;=NKC!$M$8),"x","")</f>
        <v/>
      </c>
      <c r="AA278" s="535"/>
    </row>
    <row r="279" spans="1:28" s="503" customFormat="1" ht="15.75" customHeight="1">
      <c r="A279" s="517" t="str">
        <f>IF(B279&lt;&gt;"",IF(AND(B279&gt;=_TM1,B279&lt;=_TM2,OR(TH!L279="1111",TH!M279="1111")),TH!D279,""),"")</f>
        <v/>
      </c>
      <c r="B279" s="531">
        <f t="shared" si="27"/>
        <v>5</v>
      </c>
      <c r="C279" s="315">
        <f t="shared" si="28"/>
        <v>42859</v>
      </c>
      <c r="D279" s="315" t="s">
        <v>456</v>
      </c>
      <c r="E279" s="288">
        <v>42859</v>
      </c>
      <c r="F279" s="248" t="s">
        <v>457</v>
      </c>
      <c r="G279" s="314" t="s">
        <v>290</v>
      </c>
      <c r="H279" s="473" t="s">
        <v>283</v>
      </c>
      <c r="I279" s="307"/>
      <c r="J279" s="307"/>
      <c r="K279" s="532">
        <v>154260000</v>
      </c>
      <c r="L279" s="533" t="s">
        <v>24</v>
      </c>
      <c r="M279" s="533" t="s">
        <v>223</v>
      </c>
      <c r="N279" s="525" t="str">
        <f>IF(AND('331-CT'!$E$7=TH!H279,OR(L279="331",M279="331")),"331",IF(AND(OR(L279="131",M279="131"),H279='131-CT'!$E$7),"131",""))</f>
        <v/>
      </c>
      <c r="O279" s="525" t="str">
        <f>IF(AND($B279&gt;='111'!$N$11,$B279&lt;='111'!$O$11,OR($L279=$O$7,$M279=$O$7)),"x","")</f>
        <v/>
      </c>
      <c r="P279" s="525" t="str">
        <f>IF(AND($L279=$O$7,$B279&lt;'111'!$N$11),"x","")</f>
        <v/>
      </c>
      <c r="Q279" s="525" t="str">
        <f>IF(AND($M279=$O$7,$B279&lt;'111'!$N$11),"x","")</f>
        <v/>
      </c>
      <c r="R279" s="525" t="str">
        <f>IF(ISERROR(FIND('112'!$M$9,G279,1)),"",IF((AND(FIND('112'!$M$9,G279,1)&gt;=1,$B279&gt;='112'!$N$8,$B279&lt;='112'!$O$8,OR($L279='112'!$I$6,$M279='112'!$I$6))),"x",""))</f>
        <v/>
      </c>
      <c r="S279" s="525" t="str">
        <f>IF(ISERROR(FIND('112'!$M$9,G279,1)),"",IF((AND(LEFT(G279,2)=LEFT('112'!$M$9,2),B279&lt;'112'!$N$8,$L279='112'!$I$6)),"x",""))</f>
        <v/>
      </c>
      <c r="T279" s="525" t="str">
        <f>IF(ISERROR(FIND('112'!$M$9,G279,1)),"",IF((AND(RIGHT(G279,2)=RIGHT('112'!$M$9,2),B279&lt;'112'!$N$8,$M279='112'!$I$6)),"x",""))</f>
        <v/>
      </c>
      <c r="U279" s="525" t="str">
        <f>IF(AND(B279&gt;='IN-NX'!$P$3,B279&lt;='IN-NX'!$Q$3,'IN-NX'!$D$7=D279,OR(LEFT(L279,2)="15",AND(LEFT(M279,2)&lt;&gt;"15",LEFT(M279,2)&lt;&gt;"33"))),"x","")</f>
        <v/>
      </c>
      <c r="V279" s="525" t="str">
        <f>IF(AND(OR(LEFT(TH!L279,2)="15",LEFT(TH!M279,2)="15"),'152-CT'!$J$8=TH!F279),"x","")</f>
        <v/>
      </c>
      <c r="W279" s="525" t="str">
        <f>IF(AND(OR(LEFT(TH!L279,2)="15",LEFT(TH!M279,2)="15"),TK!$E$7=TH!F279),"x","")</f>
        <v/>
      </c>
      <c r="X279" s="525" t="str">
        <f>IF(AND('341-CT'!$E$9=H279,OR(LEFT(L279,3)=$X$7,LEFT(M279,3)=$X$7)),"x","")</f>
        <v/>
      </c>
      <c r="Y279" s="525" t="str">
        <f>IF(OR(TH!L279=TH!$Y$7,M279=TH!$Y$7),"x","")</f>
        <v/>
      </c>
      <c r="Z279" s="525" t="str">
        <f>IF(AND(B279&lt;=NKC!$N$8,B279&gt;=NKC!$M$8),"x","")</f>
        <v/>
      </c>
      <c r="AA279" s="535"/>
    </row>
    <row r="280" spans="1:28" s="503" customFormat="1" ht="15.75" customHeight="1">
      <c r="A280" s="517" t="str">
        <f>IF(B280&lt;&gt;"",IF(AND(B280&gt;=_TM1,B280&lt;=_TM2,OR(TH!L280="1111",TH!M280="1111")),TH!D280,""),"")</f>
        <v/>
      </c>
      <c r="B280" s="531">
        <f t="shared" si="27"/>
        <v>5</v>
      </c>
      <c r="C280" s="315">
        <f t="shared" si="28"/>
        <v>42859</v>
      </c>
      <c r="D280" s="315" t="s">
        <v>456</v>
      </c>
      <c r="E280" s="288">
        <v>42859</v>
      </c>
      <c r="F280" s="248" t="s">
        <v>457</v>
      </c>
      <c r="G280" s="314" t="s">
        <v>290</v>
      </c>
      <c r="H280" s="473" t="s">
        <v>283</v>
      </c>
      <c r="I280" s="307"/>
      <c r="J280" s="307"/>
      <c r="K280" s="532">
        <v>150000000</v>
      </c>
      <c r="L280" s="533" t="s">
        <v>24</v>
      </c>
      <c r="M280" s="533" t="s">
        <v>223</v>
      </c>
      <c r="N280" s="525" t="str">
        <f>IF(AND('331-CT'!$E$7=TH!H280,OR(L280="331",M280="331")),"331",IF(AND(OR(L280="131",M280="131"),H280='131-CT'!$E$7),"131",""))</f>
        <v/>
      </c>
      <c r="O280" s="525" t="str">
        <f>IF(AND($B280&gt;='111'!$N$11,$B280&lt;='111'!$O$11,OR($L280=$O$7,$M280=$O$7)),"x","")</f>
        <v/>
      </c>
      <c r="P280" s="525" t="str">
        <f>IF(AND($L280=$O$7,$B280&lt;'111'!$N$11),"x","")</f>
        <v/>
      </c>
      <c r="Q280" s="525" t="str">
        <f>IF(AND($M280=$O$7,$B280&lt;'111'!$N$11),"x","")</f>
        <v/>
      </c>
      <c r="R280" s="525" t="str">
        <f>IF(ISERROR(FIND('112'!$M$9,G280,1)),"",IF((AND(FIND('112'!$M$9,G280,1)&gt;=1,$B280&gt;='112'!$N$8,$B280&lt;='112'!$O$8,OR($L280='112'!$I$6,$M280='112'!$I$6))),"x",""))</f>
        <v/>
      </c>
      <c r="S280" s="525" t="str">
        <f>IF(ISERROR(FIND('112'!$M$9,G280,1)),"",IF((AND(LEFT(G280,2)=LEFT('112'!$M$9,2),B280&lt;'112'!$N$8,$L280='112'!$I$6)),"x",""))</f>
        <v/>
      </c>
      <c r="T280" s="525" t="str">
        <f>IF(ISERROR(FIND('112'!$M$9,G280,1)),"",IF((AND(RIGHT(G280,2)=RIGHT('112'!$M$9,2),B280&lt;'112'!$N$8,$M280='112'!$I$6)),"x",""))</f>
        <v/>
      </c>
      <c r="U280" s="525" t="str">
        <f>IF(AND(B280&gt;='IN-NX'!$P$3,B280&lt;='IN-NX'!$Q$3,'IN-NX'!$D$7=D280,OR(LEFT(L280,2)="15",AND(LEFT(M280,2)&lt;&gt;"15",LEFT(M280,2)&lt;&gt;"33"))),"x","")</f>
        <v/>
      </c>
      <c r="V280" s="525" t="str">
        <f>IF(AND(OR(LEFT(TH!L280,2)="15",LEFT(TH!M280,2)="15"),'152-CT'!$J$8=TH!F280),"x","")</f>
        <v/>
      </c>
      <c r="W280" s="525" t="str">
        <f>IF(AND(OR(LEFT(TH!L280,2)="15",LEFT(TH!M280,2)="15"),TK!$E$7=TH!F280),"x","")</f>
        <v/>
      </c>
      <c r="X280" s="525" t="str">
        <f>IF(AND('341-CT'!$E$9=H280,OR(LEFT(L280,3)=$X$7,LEFT(M280,3)=$X$7)),"x","")</f>
        <v/>
      </c>
      <c r="Y280" s="525" t="str">
        <f>IF(OR(TH!L280=TH!$Y$7,M280=TH!$Y$7),"x","")</f>
        <v/>
      </c>
      <c r="Z280" s="525" t="str">
        <f>IF(AND(B280&lt;=NKC!$N$8,B280&gt;=NKC!$M$8),"x","")</f>
        <v/>
      </c>
      <c r="AA280" s="535"/>
    </row>
    <row r="281" spans="1:28" s="503" customFormat="1" ht="15.75" customHeight="1">
      <c r="A281" s="517" t="str">
        <f>IF(B281&lt;&gt;"",IF(AND(B281&gt;=_TM1,B281&lt;=_TM2,OR(TH!L281="1111",TH!M281="1111")),TH!D281,""),"")</f>
        <v/>
      </c>
      <c r="B281" s="531">
        <f t="shared" si="27"/>
        <v>5</v>
      </c>
      <c r="C281" s="315">
        <f t="shared" si="28"/>
        <v>42859</v>
      </c>
      <c r="D281" s="315" t="s">
        <v>461</v>
      </c>
      <c r="E281" s="288">
        <v>42859</v>
      </c>
      <c r="F281" s="249" t="s">
        <v>465</v>
      </c>
      <c r="G281" s="314" t="s">
        <v>290</v>
      </c>
      <c r="H281" s="473" t="s">
        <v>460</v>
      </c>
      <c r="I281" s="307"/>
      <c r="J281" s="307"/>
      <c r="K281" s="532">
        <v>304200000</v>
      </c>
      <c r="L281" s="533" t="s">
        <v>45</v>
      </c>
      <c r="M281" s="533" t="s">
        <v>24</v>
      </c>
      <c r="N281" s="525" t="str">
        <f>IF(AND('331-CT'!$E$7=TH!H281,OR(L281="331",M281="331")),"331",IF(AND(OR(L281="131",M281="131"),H281='131-CT'!$E$7),"131",""))</f>
        <v/>
      </c>
      <c r="O281" s="525" t="str">
        <f>IF(AND($B281&gt;='111'!$N$11,$B281&lt;='111'!$O$11,OR($L281=$O$7,$M281=$O$7)),"x","")</f>
        <v/>
      </c>
      <c r="P281" s="525" t="str">
        <f>IF(AND($L281=$O$7,$B281&lt;'111'!$N$11),"x","")</f>
        <v>x</v>
      </c>
      <c r="Q281" s="525" t="str">
        <f>IF(AND($M281=$O$7,$B281&lt;'111'!$N$11),"x","")</f>
        <v/>
      </c>
      <c r="R281" s="525" t="str">
        <f>IF(ISERROR(FIND('112'!$M$9,G281,1)),"",IF((AND(FIND('112'!$M$9,G281,1)&gt;=1,$B281&gt;='112'!$N$8,$B281&lt;='112'!$O$8,OR($L281='112'!$I$6,$M281='112'!$I$6))),"x",""))</f>
        <v/>
      </c>
      <c r="S281" s="525" t="str">
        <f>IF(ISERROR(FIND('112'!$M$9,G281,1)),"",IF((AND(LEFT(G281,2)=LEFT('112'!$M$9,2),B281&lt;'112'!$N$8,$L281='112'!$I$6)),"x",""))</f>
        <v/>
      </c>
      <c r="T281" s="525" t="str">
        <f>IF(ISERROR(FIND('112'!$M$9,G281,1)),"",IF((AND(RIGHT(G281,2)=RIGHT('112'!$M$9,2),B281&lt;'112'!$N$8,$M281='112'!$I$6)),"x",""))</f>
        <v/>
      </c>
      <c r="U281" s="525" t="str">
        <f>IF(AND(B281&gt;='IN-NX'!$P$3,B281&lt;='IN-NX'!$Q$3,'IN-NX'!$D$7=D281,OR(LEFT(L281,2)="15",AND(LEFT(M281,2)&lt;&gt;"15",LEFT(M281,2)&lt;&gt;"33"))),"x","")</f>
        <v/>
      </c>
      <c r="V281" s="525" t="str">
        <f>IF(AND(OR(LEFT(TH!L281,2)="15",LEFT(TH!M281,2)="15"),'152-CT'!$J$8=TH!F281),"x","")</f>
        <v/>
      </c>
      <c r="W281" s="525" t="str">
        <f>IF(AND(OR(LEFT(TH!L281,2)="15",LEFT(TH!M281,2)="15"),TK!$E$7=TH!F281),"x","")</f>
        <v/>
      </c>
      <c r="X281" s="525" t="str">
        <f>IF(AND('341-CT'!$E$9=H281,OR(LEFT(L281,3)=$X$7,LEFT(M281,3)=$X$7)),"x","")</f>
        <v/>
      </c>
      <c r="Y281" s="525" t="str">
        <f>IF(OR(TH!L281=TH!$Y$7,M281=TH!$Y$7),"x","")</f>
        <v/>
      </c>
      <c r="Z281" s="525" t="str">
        <f>IF(AND(B281&lt;=NKC!$N$8,B281&gt;=NKC!$M$8),"x","")</f>
        <v/>
      </c>
      <c r="AA281" s="535"/>
    </row>
    <row r="282" spans="1:28" s="503" customFormat="1" ht="15.75" customHeight="1">
      <c r="A282" s="517" t="str">
        <f>IF(B282&lt;&gt;"",IF(AND(B282&gt;=_TM1,B282&lt;=_TM2,OR(TH!L282="1111",TH!M282="1111")),TH!D282,""),"")</f>
        <v/>
      </c>
      <c r="B282" s="531">
        <f t="shared" si="27"/>
        <v>5</v>
      </c>
      <c r="C282" s="315">
        <f t="shared" si="28"/>
        <v>42866</v>
      </c>
      <c r="D282" s="315" t="s">
        <v>456</v>
      </c>
      <c r="E282" s="288">
        <v>42866</v>
      </c>
      <c r="F282" s="248" t="s">
        <v>459</v>
      </c>
      <c r="G282" s="314" t="s">
        <v>290</v>
      </c>
      <c r="H282" s="473" t="s">
        <v>460</v>
      </c>
      <c r="I282" s="307"/>
      <c r="J282" s="307"/>
      <c r="K282" s="532">
        <v>1417800000</v>
      </c>
      <c r="L282" s="533" t="s">
        <v>24</v>
      </c>
      <c r="M282" s="533" t="s">
        <v>45</v>
      </c>
      <c r="N282" s="525" t="str">
        <f>IF(AND('331-CT'!$E$7=TH!H282,OR(L282="331",M282="331")),"331",IF(AND(OR(L282="131",M282="131"),H282='131-CT'!$E$7),"131",""))</f>
        <v/>
      </c>
      <c r="O282" s="525" t="str">
        <f>IF(AND($B282&gt;='111'!$N$11,$B282&lt;='111'!$O$11,OR($L282=$O$7,$M282=$O$7)),"x","")</f>
        <v/>
      </c>
      <c r="P282" s="525" t="str">
        <f>IF(AND($L282=$O$7,$B282&lt;'111'!$N$11),"x","")</f>
        <v/>
      </c>
      <c r="Q282" s="525" t="str">
        <f>IF(AND($M282=$O$7,$B282&lt;'111'!$N$11),"x","")</f>
        <v>x</v>
      </c>
      <c r="R282" s="525" t="str">
        <f>IF(ISERROR(FIND('112'!$M$9,G282,1)),"",IF((AND(FIND('112'!$M$9,G282,1)&gt;=1,$B282&gt;='112'!$N$8,$B282&lt;='112'!$O$8,OR($L282='112'!$I$6,$M282='112'!$I$6))),"x",""))</f>
        <v/>
      </c>
      <c r="S282" s="525" t="str">
        <f>IF(ISERROR(FIND('112'!$M$9,G282,1)),"",IF((AND(LEFT(G282,2)=LEFT('112'!$M$9,2),B282&lt;'112'!$N$8,$L282='112'!$I$6)),"x",""))</f>
        <v/>
      </c>
      <c r="T282" s="525" t="str">
        <f>IF(ISERROR(FIND('112'!$M$9,G282,1)),"",IF((AND(RIGHT(G282,2)=RIGHT('112'!$M$9,2),B282&lt;'112'!$N$8,$M282='112'!$I$6)),"x",""))</f>
        <v/>
      </c>
      <c r="U282" s="525" t="str">
        <f>IF(AND(B282&gt;='IN-NX'!$P$3,B282&lt;='IN-NX'!$Q$3,'IN-NX'!$D$7=D282,OR(LEFT(L282,2)="15",AND(LEFT(M282,2)&lt;&gt;"15",LEFT(M282,2)&lt;&gt;"33"))),"x","")</f>
        <v/>
      </c>
      <c r="V282" s="525" t="str">
        <f>IF(AND(OR(LEFT(TH!L282,2)="15",LEFT(TH!M282,2)="15"),'152-CT'!$J$8=TH!F282),"x","")</f>
        <v/>
      </c>
      <c r="W282" s="525" t="str">
        <f>IF(AND(OR(LEFT(TH!L282,2)="15",LEFT(TH!M282,2)="15"),TK!$E$7=TH!F282),"x","")</f>
        <v/>
      </c>
      <c r="X282" s="525" t="str">
        <f>IF(AND('341-CT'!$E$9=H282,OR(LEFT(L282,3)=$X$7,LEFT(M282,3)=$X$7)),"x","")</f>
        <v/>
      </c>
      <c r="Y282" s="525" t="str">
        <f>IF(OR(TH!L282=TH!$Y$7,M282=TH!$Y$7),"x","")</f>
        <v/>
      </c>
      <c r="Z282" s="525" t="str">
        <f>IF(AND(B282&lt;=NKC!$N$8,B282&gt;=NKC!$M$8),"x","")</f>
        <v/>
      </c>
      <c r="AA282" s="535"/>
      <c r="AB282" s="536"/>
    </row>
    <row r="283" spans="1:28" s="503" customFormat="1" ht="15.75" customHeight="1">
      <c r="A283" s="517" t="str">
        <f>IF(B283&lt;&gt;"",IF(AND(B283&gt;=_TM1,B283&lt;=_TM2,OR(TH!L283="1111",TH!M283="1111")),TH!D283,""),"")</f>
        <v/>
      </c>
      <c r="B283" s="531">
        <f t="shared" si="27"/>
        <v>5</v>
      </c>
      <c r="C283" s="315">
        <f t="shared" si="28"/>
        <v>42866</v>
      </c>
      <c r="D283" s="315" t="s">
        <v>456</v>
      </c>
      <c r="E283" s="288">
        <v>42866</v>
      </c>
      <c r="F283" s="248" t="s">
        <v>459</v>
      </c>
      <c r="G283" s="314" t="s">
        <v>290</v>
      </c>
      <c r="H283" s="473" t="s">
        <v>460</v>
      </c>
      <c r="I283" s="307"/>
      <c r="J283" s="307"/>
      <c r="K283" s="532">
        <v>500000</v>
      </c>
      <c r="L283" s="533" t="s">
        <v>24</v>
      </c>
      <c r="M283" s="533" t="s">
        <v>45</v>
      </c>
      <c r="N283" s="525" t="str">
        <f>IF(AND('331-CT'!$E$7=TH!H283,OR(L283="331",M283="331")),"331",IF(AND(OR(L283="131",M283="131"),H283='131-CT'!$E$7),"131",""))</f>
        <v/>
      </c>
      <c r="O283" s="525" t="str">
        <f>IF(AND($B283&gt;='111'!$N$11,$B283&lt;='111'!$O$11,OR($L283=$O$7,$M283=$O$7)),"x","")</f>
        <v/>
      </c>
      <c r="P283" s="525" t="str">
        <f>IF(AND($L283=$O$7,$B283&lt;'111'!$N$11),"x","")</f>
        <v/>
      </c>
      <c r="Q283" s="525" t="str">
        <f>IF(AND($M283=$O$7,$B283&lt;'111'!$N$11),"x","")</f>
        <v>x</v>
      </c>
      <c r="R283" s="525" t="str">
        <f>IF(ISERROR(FIND('112'!$M$9,G283,1)),"",IF((AND(FIND('112'!$M$9,G283,1)&gt;=1,$B283&gt;='112'!$N$8,$B283&lt;='112'!$O$8,OR($L283='112'!$I$6,$M283='112'!$I$6))),"x",""))</f>
        <v/>
      </c>
      <c r="S283" s="525" t="str">
        <f>IF(ISERROR(FIND('112'!$M$9,G283,1)),"",IF((AND(LEFT(G283,2)=LEFT('112'!$M$9,2),B283&lt;'112'!$N$8,$L283='112'!$I$6)),"x",""))</f>
        <v/>
      </c>
      <c r="T283" s="525" t="str">
        <f>IF(ISERROR(FIND('112'!$M$9,G283,1)),"",IF((AND(RIGHT(G283,2)=RIGHT('112'!$M$9,2),B283&lt;'112'!$N$8,$M283='112'!$I$6)),"x",""))</f>
        <v/>
      </c>
      <c r="U283" s="525" t="str">
        <f>IF(AND(B283&gt;='IN-NX'!$P$3,B283&lt;='IN-NX'!$Q$3,'IN-NX'!$D$7=D283,OR(LEFT(L283,2)="15",AND(LEFT(M283,2)&lt;&gt;"15",LEFT(M283,2)&lt;&gt;"33"))),"x","")</f>
        <v/>
      </c>
      <c r="V283" s="525" t="str">
        <f>IF(AND(OR(LEFT(TH!L283,2)="15",LEFT(TH!M283,2)="15"),'152-CT'!$J$8=TH!F283),"x","")</f>
        <v/>
      </c>
      <c r="W283" s="525" t="str">
        <f>IF(AND(OR(LEFT(TH!L283,2)="15",LEFT(TH!M283,2)="15"),TK!$E$7=TH!F283),"x","")</f>
        <v/>
      </c>
      <c r="X283" s="525" t="str">
        <f>IF(AND('341-CT'!$E$9=H283,OR(LEFT(L283,3)=$X$7,LEFT(M283,3)=$X$7)),"x","")</f>
        <v/>
      </c>
      <c r="Y283" s="525" t="str">
        <f>IF(OR(TH!L283=TH!$Y$7,M283=TH!$Y$7),"x","")</f>
        <v/>
      </c>
      <c r="Z283" s="525" t="str">
        <f>IF(AND(B283&lt;=NKC!$N$8,B283&gt;=NKC!$M$8),"x","")</f>
        <v/>
      </c>
      <c r="AA283" s="535"/>
    </row>
    <row r="284" spans="1:28" s="503" customFormat="1" ht="15.75" customHeight="1">
      <c r="A284" s="517" t="str">
        <f>IF(B284&lt;&gt;"",IF(AND(B284&gt;=_TM1,B284&lt;=_TM2,OR(TH!L284="1111",TH!M284="1111")),TH!D284,""),"")</f>
        <v/>
      </c>
      <c r="B284" s="531">
        <f t="shared" si="27"/>
        <v>5</v>
      </c>
      <c r="C284" s="315">
        <f t="shared" si="28"/>
        <v>42866</v>
      </c>
      <c r="D284" s="315" t="s">
        <v>461</v>
      </c>
      <c r="E284" s="288">
        <v>42866</v>
      </c>
      <c r="F284" s="249" t="s">
        <v>468</v>
      </c>
      <c r="G284" s="314" t="s">
        <v>290</v>
      </c>
      <c r="H284" s="473" t="s">
        <v>447</v>
      </c>
      <c r="I284" s="307"/>
      <c r="J284" s="307"/>
      <c r="K284" s="532">
        <v>1417165380</v>
      </c>
      <c r="L284" s="534" t="s">
        <v>8</v>
      </c>
      <c r="M284" s="533" t="s">
        <v>24</v>
      </c>
      <c r="N284" s="525" t="str">
        <f>IF(AND('331-CT'!$E$7=TH!H284,OR(L284="331",M284="331")),"331",IF(AND(OR(L284="131",M284="131"),H284='131-CT'!$E$7),"131",""))</f>
        <v/>
      </c>
      <c r="O284" s="525" t="str">
        <f>IF(AND($B284&gt;='111'!$N$11,$B284&lt;='111'!$O$11,OR($L284=$O$7,$M284=$O$7)),"x","")</f>
        <v/>
      </c>
      <c r="P284" s="525" t="str">
        <f>IF(AND($L284=$O$7,$B284&lt;'111'!$N$11),"x","")</f>
        <v/>
      </c>
      <c r="Q284" s="525" t="str">
        <f>IF(AND($M284=$O$7,$B284&lt;'111'!$N$11),"x","")</f>
        <v/>
      </c>
      <c r="R284" s="525" t="str">
        <f>IF(ISERROR(FIND('112'!$M$9,G284,1)),"",IF((AND(FIND('112'!$M$9,G284,1)&gt;=1,$B284&gt;='112'!$N$8,$B284&lt;='112'!$O$8,OR($L284='112'!$I$6,$M284='112'!$I$6))),"x",""))</f>
        <v/>
      </c>
      <c r="S284" s="525" t="str">
        <f>IF(ISERROR(FIND('112'!$M$9,G284,1)),"",IF((AND(LEFT(G284,2)=LEFT('112'!$M$9,2),B284&lt;'112'!$N$8,$L284='112'!$I$6)),"x",""))</f>
        <v/>
      </c>
      <c r="T284" s="525" t="str">
        <f>IF(ISERROR(FIND('112'!$M$9,G284,1)),"",IF((AND(RIGHT(G284,2)=RIGHT('112'!$M$9,2),B284&lt;'112'!$N$8,$M284='112'!$I$6)),"x",""))</f>
        <v/>
      </c>
      <c r="U284" s="525" t="str">
        <f>IF(AND(B284&gt;='IN-NX'!$P$3,B284&lt;='IN-NX'!$Q$3,'IN-NX'!$D$7=D284,OR(LEFT(L284,2)="15",AND(LEFT(M284,2)&lt;&gt;"15",LEFT(M284,2)&lt;&gt;"33"))),"x","")</f>
        <v/>
      </c>
      <c r="V284" s="525" t="str">
        <f>IF(AND(OR(LEFT(TH!L284,2)="15",LEFT(TH!M284,2)="15"),'152-CT'!$J$8=TH!F284),"x","")</f>
        <v/>
      </c>
      <c r="W284" s="525" t="str">
        <f>IF(AND(OR(LEFT(TH!L284,2)="15",LEFT(TH!M284,2)="15"),TK!$E$7=TH!F284),"x","")</f>
        <v/>
      </c>
      <c r="X284" s="525" t="str">
        <f>IF(AND('341-CT'!$E$9=H284,OR(LEFT(L284,3)=$X$7,LEFT(M284,3)=$X$7)),"x","")</f>
        <v/>
      </c>
      <c r="Y284" s="525" t="str">
        <f>IF(OR(TH!L284=TH!$Y$7,M284=TH!$Y$7),"x","")</f>
        <v/>
      </c>
      <c r="Z284" s="525" t="str">
        <f>IF(AND(B284&lt;=NKC!$N$8,B284&gt;=NKC!$M$8),"x","")</f>
        <v/>
      </c>
      <c r="AA284" s="535"/>
    </row>
    <row r="285" spans="1:28" s="503" customFormat="1" ht="15.75" customHeight="1">
      <c r="A285" s="517" t="str">
        <f>IF(B285&lt;&gt;"",IF(AND(B285&gt;=_TM1,B285&lt;=_TM2,OR(TH!L285="1111",TH!M285="1111")),TH!D285,""),"")</f>
        <v/>
      </c>
      <c r="B285" s="531">
        <f t="shared" si="27"/>
        <v>5</v>
      </c>
      <c r="C285" s="315">
        <f t="shared" si="28"/>
        <v>42866</v>
      </c>
      <c r="D285" s="315" t="s">
        <v>461</v>
      </c>
      <c r="E285" s="288">
        <v>42866</v>
      </c>
      <c r="F285" s="248" t="s">
        <v>463</v>
      </c>
      <c r="G285" s="314" t="s">
        <v>290</v>
      </c>
      <c r="H285" s="472"/>
      <c r="I285" s="307"/>
      <c r="J285" s="307"/>
      <c r="K285" s="532">
        <v>566866</v>
      </c>
      <c r="L285" s="533" t="s">
        <v>81</v>
      </c>
      <c r="M285" s="533" t="s">
        <v>24</v>
      </c>
      <c r="N285" s="525" t="str">
        <f>IF(AND('331-CT'!$E$7=TH!H285,OR(L285="331",M285="331")),"331",IF(AND(OR(L285="131",M285="131"),H285='131-CT'!$E$7),"131",""))</f>
        <v/>
      </c>
      <c r="O285" s="525" t="str">
        <f>IF(AND($B285&gt;='111'!$N$11,$B285&lt;='111'!$O$11,OR($L285=$O$7,$M285=$O$7)),"x","")</f>
        <v/>
      </c>
      <c r="P285" s="525" t="str">
        <f>IF(AND($L285=$O$7,$B285&lt;'111'!$N$11),"x","")</f>
        <v/>
      </c>
      <c r="Q285" s="525" t="str">
        <f>IF(AND($M285=$O$7,$B285&lt;'111'!$N$11),"x","")</f>
        <v/>
      </c>
      <c r="R285" s="525" t="str">
        <f>IF(ISERROR(FIND('112'!$M$9,G285,1)),"",IF((AND(FIND('112'!$M$9,G285,1)&gt;=1,$B285&gt;='112'!$N$8,$B285&lt;='112'!$O$8,OR($L285='112'!$I$6,$M285='112'!$I$6))),"x",""))</f>
        <v/>
      </c>
      <c r="S285" s="525" t="str">
        <f>IF(ISERROR(FIND('112'!$M$9,G285,1)),"",IF((AND(LEFT(G285,2)=LEFT('112'!$M$9,2),B285&lt;'112'!$N$8,$L285='112'!$I$6)),"x",""))</f>
        <v/>
      </c>
      <c r="T285" s="525" t="str">
        <f>IF(ISERROR(FIND('112'!$M$9,G285,1)),"",IF((AND(RIGHT(G285,2)=RIGHT('112'!$M$9,2),B285&lt;'112'!$N$8,$M285='112'!$I$6)),"x",""))</f>
        <v/>
      </c>
      <c r="U285" s="525" t="str">
        <f>IF(AND(B285&gt;='IN-NX'!$P$3,B285&lt;='IN-NX'!$Q$3,'IN-NX'!$D$7=D285,OR(LEFT(L285,2)="15",AND(LEFT(M285,2)&lt;&gt;"15",LEFT(M285,2)&lt;&gt;"33"))),"x","")</f>
        <v/>
      </c>
      <c r="V285" s="525" t="str">
        <f>IF(AND(OR(LEFT(TH!L285,2)="15",LEFT(TH!M285,2)="15"),'152-CT'!$J$8=TH!F285),"x","")</f>
        <v/>
      </c>
      <c r="W285" s="525" t="str">
        <f>IF(AND(OR(LEFT(TH!L285,2)="15",LEFT(TH!M285,2)="15"),TK!$E$7=TH!F285),"x","")</f>
        <v/>
      </c>
      <c r="X285" s="525" t="str">
        <f>IF(AND('341-CT'!$E$9=H285,OR(LEFT(L285,3)=$X$7,LEFT(M285,3)=$X$7)),"x","")</f>
        <v/>
      </c>
      <c r="Y285" s="525" t="str">
        <f>IF(OR(TH!L285=TH!$Y$7,M285=TH!$Y$7),"x","")</f>
        <v/>
      </c>
      <c r="Z285" s="525" t="str">
        <f>IF(AND(B285&lt;=NKC!$N$8,B285&gt;=NKC!$M$8),"x","")</f>
        <v/>
      </c>
      <c r="AA285" s="535">
        <v>2</v>
      </c>
      <c r="AB285" s="536"/>
    </row>
    <row r="286" spans="1:28" s="503" customFormat="1" ht="15.75" customHeight="1">
      <c r="A286" s="517" t="str">
        <f>IF(B286&lt;&gt;"",IF(AND(B286&gt;=_TM1,B286&lt;=_TM2,OR(TH!L286="1111",TH!M286="1111")),TH!D286,""),"")</f>
        <v/>
      </c>
      <c r="B286" s="531">
        <f t="shared" si="27"/>
        <v>5</v>
      </c>
      <c r="C286" s="315">
        <f t="shared" si="28"/>
        <v>42866</v>
      </c>
      <c r="D286" s="315" t="s">
        <v>461</v>
      </c>
      <c r="E286" s="288">
        <v>42866</v>
      </c>
      <c r="F286" s="248" t="s">
        <v>464</v>
      </c>
      <c r="G286" s="314" t="s">
        <v>290</v>
      </c>
      <c r="H286" s="472"/>
      <c r="I286" s="307"/>
      <c r="J286" s="307"/>
      <c r="K286" s="532">
        <v>56687</v>
      </c>
      <c r="L286" s="533" t="s">
        <v>9</v>
      </c>
      <c r="M286" s="533" t="s">
        <v>24</v>
      </c>
      <c r="N286" s="525" t="str">
        <f>IF(AND('331-CT'!$E$7=TH!H286,OR(L286="331",M286="331")),"331",IF(AND(OR(L286="131",M286="131"),H286='131-CT'!$E$7),"131",""))</f>
        <v/>
      </c>
      <c r="O286" s="525" t="str">
        <f>IF(AND($B286&gt;='111'!$N$11,$B286&lt;='111'!$O$11,OR($L286=$O$7,$M286=$O$7)),"x","")</f>
        <v/>
      </c>
      <c r="P286" s="525" t="str">
        <f>IF(AND($L286=$O$7,$B286&lt;'111'!$N$11),"x","")</f>
        <v/>
      </c>
      <c r="Q286" s="525" t="str">
        <f>IF(AND($M286=$O$7,$B286&lt;'111'!$N$11),"x","")</f>
        <v/>
      </c>
      <c r="R286" s="525" t="str">
        <f>IF(ISERROR(FIND('112'!$M$9,G286,1)),"",IF((AND(FIND('112'!$M$9,G286,1)&gt;=1,$B286&gt;='112'!$N$8,$B286&lt;='112'!$O$8,OR($L286='112'!$I$6,$M286='112'!$I$6))),"x",""))</f>
        <v/>
      </c>
      <c r="S286" s="525" t="str">
        <f>IF(ISERROR(FIND('112'!$M$9,G286,1)),"",IF((AND(LEFT(G286,2)=LEFT('112'!$M$9,2),B286&lt;'112'!$N$8,$L286='112'!$I$6)),"x",""))</f>
        <v/>
      </c>
      <c r="T286" s="525" t="str">
        <f>IF(ISERROR(FIND('112'!$M$9,G286,1)),"",IF((AND(RIGHT(G286,2)=RIGHT('112'!$M$9,2),B286&lt;'112'!$N$8,$M286='112'!$I$6)),"x",""))</f>
        <v/>
      </c>
      <c r="U286" s="525" t="str">
        <f>IF(AND(B286&gt;='IN-NX'!$P$3,B286&lt;='IN-NX'!$Q$3,'IN-NX'!$D$7=D286,OR(LEFT(L286,2)="15",AND(LEFT(M286,2)&lt;&gt;"15",LEFT(M286,2)&lt;&gt;"33"))),"x","")</f>
        <v/>
      </c>
      <c r="V286" s="525" t="str">
        <f>IF(AND(OR(LEFT(TH!L286,2)="15",LEFT(TH!M286,2)="15"),'152-CT'!$J$8=TH!F286),"x","")</f>
        <v/>
      </c>
      <c r="W286" s="525" t="str">
        <f>IF(AND(OR(LEFT(TH!L286,2)="15",LEFT(TH!M286,2)="15"),TK!$E$7=TH!F286),"x","")</f>
        <v/>
      </c>
      <c r="X286" s="525" t="str">
        <f>IF(AND('341-CT'!$E$9=H286,OR(LEFT(L286,3)=$X$7,LEFT(M286,3)=$X$7)),"x","")</f>
        <v/>
      </c>
      <c r="Y286" s="525" t="str">
        <f>IF(OR(TH!L286=TH!$Y$7,M286=TH!$Y$7),"x","")</f>
        <v/>
      </c>
      <c r="Z286" s="525" t="str">
        <f>IF(AND(B286&lt;=NKC!$N$8,B286&gt;=NKC!$M$8),"x","")</f>
        <v/>
      </c>
      <c r="AA286" s="535">
        <v>2</v>
      </c>
    </row>
    <row r="287" spans="1:28" s="503" customFormat="1" ht="15.75" customHeight="1">
      <c r="A287" s="517" t="str">
        <f>IF(B287&lt;&gt;"",IF(AND(B287&gt;=_TM1,B287&lt;=_TM2,OR(TH!L287="1111",TH!M287="1111")),TH!D287,""),"")</f>
        <v/>
      </c>
      <c r="B287" s="531">
        <f t="shared" si="27"/>
        <v>5</v>
      </c>
      <c r="C287" s="315">
        <f t="shared" si="28"/>
        <v>42866</v>
      </c>
      <c r="D287" s="315" t="s">
        <v>461</v>
      </c>
      <c r="E287" s="288">
        <v>42866</v>
      </c>
      <c r="F287" s="249" t="s">
        <v>803</v>
      </c>
      <c r="G287" s="314" t="s">
        <v>290</v>
      </c>
      <c r="H287" s="472"/>
      <c r="I287" s="307"/>
      <c r="J287" s="307"/>
      <c r="K287" s="532">
        <v>425340</v>
      </c>
      <c r="L287" s="533" t="s">
        <v>81</v>
      </c>
      <c r="M287" s="533" t="s">
        <v>24</v>
      </c>
      <c r="N287" s="525" t="str">
        <f>IF(AND('331-CT'!$E$7=TH!H287,OR(L287="331",M287="331")),"331",IF(AND(OR(L287="131",M287="131"),H287='131-CT'!$E$7),"131",""))</f>
        <v/>
      </c>
      <c r="O287" s="525" t="str">
        <f>IF(AND($B287&gt;='111'!$N$11,$B287&lt;='111'!$O$11,OR($L287=$O$7,$M287=$O$7)),"x","")</f>
        <v/>
      </c>
      <c r="P287" s="525" t="str">
        <f>IF(AND($L287=$O$7,$B287&lt;'111'!$N$11),"x","")</f>
        <v/>
      </c>
      <c r="Q287" s="525" t="str">
        <f>IF(AND($M287=$O$7,$B287&lt;'111'!$N$11),"x","")</f>
        <v/>
      </c>
      <c r="R287" s="525" t="str">
        <f>IF(ISERROR(FIND('112'!$M$9,G287,1)),"",IF((AND(FIND('112'!$M$9,G287,1)&gt;=1,$B287&gt;='112'!$N$8,$B287&lt;='112'!$O$8,OR($L287='112'!$I$6,$M287='112'!$I$6))),"x",""))</f>
        <v/>
      </c>
      <c r="S287" s="525" t="str">
        <f>IF(ISERROR(FIND('112'!$M$9,G287,1)),"",IF((AND(LEFT(G287,2)=LEFT('112'!$M$9,2),B287&lt;'112'!$N$8,$L287='112'!$I$6)),"x",""))</f>
        <v/>
      </c>
      <c r="T287" s="525" t="str">
        <f>IF(ISERROR(FIND('112'!$M$9,G287,1)),"",IF((AND(RIGHT(G287,2)=RIGHT('112'!$M$9,2),B287&lt;'112'!$N$8,$M287='112'!$I$6)),"x",""))</f>
        <v/>
      </c>
      <c r="U287" s="525" t="str">
        <f>IF(AND(B287&gt;='IN-NX'!$P$3,B287&lt;='IN-NX'!$Q$3,'IN-NX'!$D$7=D287,OR(LEFT(L287,2)="15",AND(LEFT(M287,2)&lt;&gt;"15",LEFT(M287,2)&lt;&gt;"33"))),"x","")</f>
        <v/>
      </c>
      <c r="V287" s="525" t="str">
        <f>IF(AND(OR(LEFT(TH!L287,2)="15",LEFT(TH!M287,2)="15"),'152-CT'!$J$8=TH!F287),"x","")</f>
        <v/>
      </c>
      <c r="W287" s="525" t="str">
        <f>IF(AND(OR(LEFT(TH!L287,2)="15",LEFT(TH!M287,2)="15"),TK!$E$7=TH!F287),"x","")</f>
        <v/>
      </c>
      <c r="X287" s="525" t="str">
        <f>IF(AND('341-CT'!$E$9=H287,OR(LEFT(L287,3)=$X$7,LEFT(M287,3)=$X$7)),"x","")</f>
        <v/>
      </c>
      <c r="Y287" s="525" t="str">
        <f>IF(OR(TH!L287=TH!$Y$7,M287=TH!$Y$7),"x","")</f>
        <v/>
      </c>
      <c r="Z287" s="525" t="str">
        <f>IF(AND(B287&lt;=NKC!$N$8,B287&gt;=NKC!$M$8),"x","")</f>
        <v/>
      </c>
      <c r="AA287" s="535">
        <v>2</v>
      </c>
    </row>
    <row r="288" spans="1:28" s="503" customFormat="1" ht="15.75" customHeight="1">
      <c r="A288" s="517" t="str">
        <f>IF(B288&lt;&gt;"",IF(AND(B288&gt;=_TM1,B288&lt;=_TM2,OR(TH!L288="1111",TH!M288="1111")),TH!D288,""),"")</f>
        <v/>
      </c>
      <c r="B288" s="531">
        <f t="shared" si="27"/>
        <v>5</v>
      </c>
      <c r="C288" s="315">
        <f t="shared" si="28"/>
        <v>42866</v>
      </c>
      <c r="D288" s="315" t="s">
        <v>461</v>
      </c>
      <c r="E288" s="288">
        <v>42866</v>
      </c>
      <c r="F288" s="249" t="s">
        <v>804</v>
      </c>
      <c r="G288" s="314" t="s">
        <v>290</v>
      </c>
      <c r="H288" s="472"/>
      <c r="I288" s="307"/>
      <c r="J288" s="307"/>
      <c r="K288" s="532">
        <v>42534</v>
      </c>
      <c r="L288" s="533" t="s">
        <v>9</v>
      </c>
      <c r="M288" s="533" t="s">
        <v>24</v>
      </c>
      <c r="N288" s="525" t="str">
        <f>IF(AND('331-CT'!$E$7=TH!H288,OR(L288="331",M288="331")),"331",IF(AND(OR(L288="131",M288="131"),H288='131-CT'!$E$7),"131",""))</f>
        <v/>
      </c>
      <c r="O288" s="525" t="str">
        <f>IF(AND($B288&gt;='111'!$N$11,$B288&lt;='111'!$O$11,OR($L288=$O$7,$M288=$O$7)),"x","")</f>
        <v/>
      </c>
      <c r="P288" s="525" t="str">
        <f>IF(AND($L288=$O$7,$B288&lt;'111'!$N$11),"x","")</f>
        <v/>
      </c>
      <c r="Q288" s="525" t="str">
        <f>IF(AND($M288=$O$7,$B288&lt;'111'!$N$11),"x","")</f>
        <v/>
      </c>
      <c r="R288" s="525" t="str">
        <f>IF(ISERROR(FIND('112'!$M$9,G288,1)),"",IF((AND(FIND('112'!$M$9,G288,1)&gt;=1,$B288&gt;='112'!$N$8,$B288&lt;='112'!$O$8,OR($L288='112'!$I$6,$M288='112'!$I$6))),"x",""))</f>
        <v/>
      </c>
      <c r="S288" s="525" t="str">
        <f>IF(ISERROR(FIND('112'!$M$9,G288,1)),"",IF((AND(LEFT(G288,2)=LEFT('112'!$M$9,2),B288&lt;'112'!$N$8,$L288='112'!$I$6)),"x",""))</f>
        <v/>
      </c>
      <c r="T288" s="525" t="str">
        <f>IF(ISERROR(FIND('112'!$M$9,G288,1)),"",IF((AND(RIGHT(G288,2)=RIGHT('112'!$M$9,2),B288&lt;'112'!$N$8,$M288='112'!$I$6)),"x",""))</f>
        <v/>
      </c>
      <c r="U288" s="525" t="str">
        <f>IF(AND(B288&gt;='IN-NX'!$P$3,B288&lt;='IN-NX'!$Q$3,'IN-NX'!$D$7=D288,OR(LEFT(L288,2)="15",AND(LEFT(M288,2)&lt;&gt;"15",LEFT(M288,2)&lt;&gt;"33"))),"x","")</f>
        <v/>
      </c>
      <c r="V288" s="525" t="str">
        <f>IF(AND(OR(LEFT(TH!L288,2)="15",LEFT(TH!M288,2)="15"),'152-CT'!$J$8=TH!F288),"x","")</f>
        <v/>
      </c>
      <c r="W288" s="525" t="str">
        <f>IF(AND(OR(LEFT(TH!L288,2)="15",LEFT(TH!M288,2)="15"),TK!$E$7=TH!F288),"x","")</f>
        <v/>
      </c>
      <c r="X288" s="525" t="str">
        <f>IF(AND('341-CT'!$E$9=H288,OR(LEFT(L288,3)=$X$7,LEFT(M288,3)=$X$7)),"x","")</f>
        <v/>
      </c>
      <c r="Y288" s="525" t="str">
        <f>IF(OR(TH!L288=TH!$Y$7,M288=TH!$Y$7),"x","")</f>
        <v/>
      </c>
      <c r="Z288" s="525" t="str">
        <f>IF(AND(B288&lt;=NKC!$N$8,B288&gt;=NKC!$M$8),"x","")</f>
        <v/>
      </c>
      <c r="AA288" s="535">
        <v>2</v>
      </c>
    </row>
    <row r="289" spans="1:28" s="503" customFormat="1" ht="15.75" customHeight="1">
      <c r="A289" s="517" t="str">
        <f>IF(B289&lt;&gt;"",IF(AND(B289&gt;=_TM1,B289&lt;=_TM2,OR(TH!L289="1111",TH!M289="1111")),TH!D289,""),"")</f>
        <v/>
      </c>
      <c r="B289" s="531">
        <f t="shared" si="27"/>
        <v>5</v>
      </c>
      <c r="C289" s="315">
        <f t="shared" si="28"/>
        <v>42870</v>
      </c>
      <c r="D289" s="315" t="s">
        <v>456</v>
      </c>
      <c r="E289" s="288">
        <v>42870</v>
      </c>
      <c r="F289" s="248" t="s">
        <v>457</v>
      </c>
      <c r="G289" s="314" t="s">
        <v>290</v>
      </c>
      <c r="H289" s="472" t="s">
        <v>289</v>
      </c>
      <c r="I289" s="307"/>
      <c r="J289" s="307"/>
      <c r="K289" s="532">
        <v>49500528</v>
      </c>
      <c r="L289" s="533" t="s">
        <v>24</v>
      </c>
      <c r="M289" s="533" t="s">
        <v>223</v>
      </c>
      <c r="N289" s="525" t="str">
        <f>IF(AND('331-CT'!$E$7=TH!H289,OR(L289="331",M289="331")),"331",IF(AND(OR(L289="131",M289="131"),H289='131-CT'!$E$7),"131",""))</f>
        <v/>
      </c>
      <c r="O289" s="525" t="str">
        <f>IF(AND($B289&gt;='111'!$N$11,$B289&lt;='111'!$O$11,OR($L289=$O$7,$M289=$O$7)),"x","")</f>
        <v/>
      </c>
      <c r="P289" s="525" t="str">
        <f>IF(AND($L289=$O$7,$B289&lt;'111'!$N$11),"x","")</f>
        <v/>
      </c>
      <c r="Q289" s="525" t="str">
        <f>IF(AND($M289=$O$7,$B289&lt;'111'!$N$11),"x","")</f>
        <v/>
      </c>
      <c r="R289" s="525" t="str">
        <f>IF(ISERROR(FIND('112'!$M$9,G289,1)),"",IF((AND(FIND('112'!$M$9,G289,1)&gt;=1,$B289&gt;='112'!$N$8,$B289&lt;='112'!$O$8,OR($L289='112'!$I$6,$M289='112'!$I$6))),"x",""))</f>
        <v/>
      </c>
      <c r="S289" s="525" t="str">
        <f>IF(ISERROR(FIND('112'!$M$9,G289,1)),"",IF((AND(LEFT(G289,2)=LEFT('112'!$M$9,2),B289&lt;'112'!$N$8,$L289='112'!$I$6)),"x",""))</f>
        <v/>
      </c>
      <c r="T289" s="525" t="str">
        <f>IF(ISERROR(FIND('112'!$M$9,G289,1)),"",IF((AND(RIGHT(G289,2)=RIGHT('112'!$M$9,2),B289&lt;'112'!$N$8,$M289='112'!$I$6)),"x",""))</f>
        <v/>
      </c>
      <c r="U289" s="525" t="str">
        <f>IF(AND(B289&gt;='IN-NX'!$P$3,B289&lt;='IN-NX'!$Q$3,'IN-NX'!$D$7=D289,OR(LEFT(L289,2)="15",AND(LEFT(M289,2)&lt;&gt;"15",LEFT(M289,2)&lt;&gt;"33"))),"x","")</f>
        <v/>
      </c>
      <c r="V289" s="525" t="str">
        <f>IF(AND(OR(LEFT(TH!L289,2)="15",LEFT(TH!M289,2)="15"),'152-CT'!$J$8=TH!F289),"x","")</f>
        <v/>
      </c>
      <c r="W289" s="525" t="str">
        <f>IF(AND(OR(LEFT(TH!L289,2)="15",LEFT(TH!M289,2)="15"),TK!$E$7=TH!F289),"x","")</f>
        <v/>
      </c>
      <c r="X289" s="525" t="str">
        <f>IF(AND('341-CT'!$E$9=H289,OR(LEFT(L289,3)=$X$7,LEFT(M289,3)=$X$7)),"x","")</f>
        <v/>
      </c>
      <c r="Y289" s="525" t="str">
        <f>IF(OR(TH!L289=TH!$Y$7,M289=TH!$Y$7),"x","")</f>
        <v/>
      </c>
      <c r="Z289" s="525" t="str">
        <f>IF(AND(B289&lt;=NKC!$N$8,B289&gt;=NKC!$M$8),"x","")</f>
        <v/>
      </c>
      <c r="AA289" s="535"/>
    </row>
    <row r="290" spans="1:28" s="503" customFormat="1" ht="15.75" customHeight="1">
      <c r="A290" s="517" t="str">
        <f>IF(B290&lt;&gt;"",IF(AND(B290&gt;=_TM1,B290&lt;=_TM2,OR(TH!L290="1111",TH!M290="1111")),TH!D290,""),"")</f>
        <v/>
      </c>
      <c r="B290" s="531">
        <f t="shared" si="27"/>
        <v>5</v>
      </c>
      <c r="C290" s="315">
        <f t="shared" si="28"/>
        <v>42870</v>
      </c>
      <c r="D290" s="315" t="s">
        <v>461</v>
      </c>
      <c r="E290" s="288">
        <v>42870</v>
      </c>
      <c r="F290" s="249" t="s">
        <v>465</v>
      </c>
      <c r="G290" s="314" t="s">
        <v>290</v>
      </c>
      <c r="H290" s="473" t="s">
        <v>460</v>
      </c>
      <c r="I290" s="307"/>
      <c r="J290" s="307"/>
      <c r="K290" s="532">
        <v>49500000</v>
      </c>
      <c r="L290" s="533" t="s">
        <v>45</v>
      </c>
      <c r="M290" s="533" t="s">
        <v>24</v>
      </c>
      <c r="N290" s="525" t="str">
        <f>IF(AND('331-CT'!$E$7=TH!H290,OR(L290="331",M290="331")),"331",IF(AND(OR(L290="131",M290="131"),H290='131-CT'!$E$7),"131",""))</f>
        <v/>
      </c>
      <c r="O290" s="525" t="str">
        <f>IF(AND($B290&gt;='111'!$N$11,$B290&lt;='111'!$O$11,OR($L290=$O$7,$M290=$O$7)),"x","")</f>
        <v/>
      </c>
      <c r="P290" s="525" t="str">
        <f>IF(AND($L290=$O$7,$B290&lt;'111'!$N$11),"x","")</f>
        <v>x</v>
      </c>
      <c r="Q290" s="525" t="str">
        <f>IF(AND($M290=$O$7,$B290&lt;'111'!$N$11),"x","")</f>
        <v/>
      </c>
      <c r="R290" s="525" t="str">
        <f>IF(ISERROR(FIND('112'!$M$9,G290,1)),"",IF((AND(FIND('112'!$M$9,G290,1)&gt;=1,$B290&gt;='112'!$N$8,$B290&lt;='112'!$O$8,OR($L290='112'!$I$6,$M290='112'!$I$6))),"x",""))</f>
        <v/>
      </c>
      <c r="S290" s="525" t="str">
        <f>IF(ISERROR(FIND('112'!$M$9,G290,1)),"",IF((AND(LEFT(G290,2)=LEFT('112'!$M$9,2),B290&lt;'112'!$N$8,$L290='112'!$I$6)),"x",""))</f>
        <v/>
      </c>
      <c r="T290" s="525" t="str">
        <f>IF(ISERROR(FIND('112'!$M$9,G290,1)),"",IF((AND(RIGHT(G290,2)=RIGHT('112'!$M$9,2),B290&lt;'112'!$N$8,$M290='112'!$I$6)),"x",""))</f>
        <v/>
      </c>
      <c r="U290" s="525" t="str">
        <f>IF(AND(B290&gt;='IN-NX'!$P$3,B290&lt;='IN-NX'!$Q$3,'IN-NX'!$D$7=D290,OR(LEFT(L290,2)="15",AND(LEFT(M290,2)&lt;&gt;"15",LEFT(M290,2)&lt;&gt;"33"))),"x","")</f>
        <v/>
      </c>
      <c r="V290" s="525" t="str">
        <f>IF(AND(OR(LEFT(TH!L290,2)="15",LEFT(TH!M290,2)="15"),'152-CT'!$J$8=TH!F290),"x","")</f>
        <v/>
      </c>
      <c r="W290" s="525" t="str">
        <f>IF(AND(OR(LEFT(TH!L290,2)="15",LEFT(TH!M290,2)="15"),TK!$E$7=TH!F290),"x","")</f>
        <v/>
      </c>
      <c r="X290" s="525" t="str">
        <f>IF(AND('341-CT'!$E$9=H290,OR(LEFT(L290,3)=$X$7,LEFT(M290,3)=$X$7)),"x","")</f>
        <v/>
      </c>
      <c r="Y290" s="525" t="str">
        <f>IF(OR(TH!L290=TH!$Y$7,M290=TH!$Y$7),"x","")</f>
        <v/>
      </c>
      <c r="Z290" s="525" t="str">
        <f>IF(AND(B290&lt;=NKC!$N$8,B290&gt;=NKC!$M$8),"x","")</f>
        <v/>
      </c>
      <c r="AA290" s="535"/>
    </row>
    <row r="291" spans="1:28" s="503" customFormat="1" ht="15.75" customHeight="1">
      <c r="A291" s="517" t="str">
        <f>IF(B291&lt;&gt;"",IF(AND(B291&gt;=_TM1,B291&lt;=_TM2,OR(TH!L291="1111",TH!M291="1111")),TH!D291,""),"")</f>
        <v/>
      </c>
      <c r="B291" s="531">
        <f t="shared" si="27"/>
        <v>5</v>
      </c>
      <c r="C291" s="315">
        <f t="shared" si="28"/>
        <v>42871</v>
      </c>
      <c r="D291" s="315" t="s">
        <v>456</v>
      </c>
      <c r="E291" s="288">
        <v>42871</v>
      </c>
      <c r="F291" s="248" t="s">
        <v>457</v>
      </c>
      <c r="G291" s="314" t="s">
        <v>290</v>
      </c>
      <c r="H291" s="473" t="s">
        <v>394</v>
      </c>
      <c r="I291" s="307"/>
      <c r="J291" s="307"/>
      <c r="K291" s="532">
        <v>7200710</v>
      </c>
      <c r="L291" s="533" t="s">
        <v>24</v>
      </c>
      <c r="M291" s="533" t="s">
        <v>223</v>
      </c>
      <c r="N291" s="525" t="str">
        <f>IF(AND('331-CT'!$E$7=TH!H291,OR(L291="331",M291="331")),"331",IF(AND(OR(L291="131",M291="131"),H291='131-CT'!$E$7),"131",""))</f>
        <v/>
      </c>
      <c r="O291" s="525" t="str">
        <f>IF(AND($B291&gt;='111'!$N$11,$B291&lt;='111'!$O$11,OR($L291=$O$7,$M291=$O$7)),"x","")</f>
        <v/>
      </c>
      <c r="P291" s="525" t="str">
        <f>IF(AND($L291=$O$7,$B291&lt;'111'!$N$11),"x","")</f>
        <v/>
      </c>
      <c r="Q291" s="525" t="str">
        <f>IF(AND($M291=$O$7,$B291&lt;'111'!$N$11),"x","")</f>
        <v/>
      </c>
      <c r="R291" s="525" t="str">
        <f>IF(ISERROR(FIND('112'!$M$9,G291,1)),"",IF((AND(FIND('112'!$M$9,G291,1)&gt;=1,$B291&gt;='112'!$N$8,$B291&lt;='112'!$O$8,OR($L291='112'!$I$6,$M291='112'!$I$6))),"x",""))</f>
        <v/>
      </c>
      <c r="S291" s="525" t="str">
        <f>IF(ISERROR(FIND('112'!$M$9,G291,1)),"",IF((AND(LEFT(G291,2)=LEFT('112'!$M$9,2),B291&lt;'112'!$N$8,$L291='112'!$I$6)),"x",""))</f>
        <v/>
      </c>
      <c r="T291" s="525" t="str">
        <f>IF(ISERROR(FIND('112'!$M$9,G291,1)),"",IF((AND(RIGHT(G291,2)=RIGHT('112'!$M$9,2),B291&lt;'112'!$N$8,$M291='112'!$I$6)),"x",""))</f>
        <v/>
      </c>
      <c r="U291" s="525" t="str">
        <f>IF(AND(B291&gt;='IN-NX'!$P$3,B291&lt;='IN-NX'!$Q$3,'IN-NX'!$D$7=D291,OR(LEFT(L291,2)="15",AND(LEFT(M291,2)&lt;&gt;"15",LEFT(M291,2)&lt;&gt;"33"))),"x","")</f>
        <v/>
      </c>
      <c r="V291" s="525" t="str">
        <f>IF(AND(OR(LEFT(TH!L291,2)="15",LEFT(TH!M291,2)="15"),'152-CT'!$J$8=TH!F291),"x","")</f>
        <v/>
      </c>
      <c r="W291" s="525" t="str">
        <f>IF(AND(OR(LEFT(TH!L291,2)="15",LEFT(TH!M291,2)="15"),TK!$E$7=TH!F291),"x","")</f>
        <v/>
      </c>
      <c r="X291" s="525" t="str">
        <f>IF(AND('341-CT'!$E$9=H291,OR(LEFT(L291,3)=$X$7,LEFT(M291,3)=$X$7)),"x","")</f>
        <v/>
      </c>
      <c r="Y291" s="525" t="str">
        <f>IF(OR(TH!L291=TH!$Y$7,M291=TH!$Y$7),"x","")</f>
        <v/>
      </c>
      <c r="Z291" s="525" t="str">
        <f>IF(AND(B291&lt;=NKC!$N$8,B291&gt;=NKC!$M$8),"x","")</f>
        <v/>
      </c>
      <c r="AA291" s="535"/>
    </row>
    <row r="292" spans="1:28" s="503" customFormat="1" ht="15.75" customHeight="1">
      <c r="A292" s="517" t="str">
        <f>IF(B292&lt;&gt;"",IF(AND(B292&gt;=_TM1,B292&lt;=_TM2,OR(TH!L292="1111",TH!M292="1111")),TH!D292,""),"")</f>
        <v/>
      </c>
      <c r="B292" s="531">
        <f t="shared" si="27"/>
        <v>5</v>
      </c>
      <c r="C292" s="315">
        <f t="shared" si="28"/>
        <v>42872</v>
      </c>
      <c r="D292" s="315" t="s">
        <v>461</v>
      </c>
      <c r="E292" s="288">
        <v>42872</v>
      </c>
      <c r="F292" s="249" t="s">
        <v>465</v>
      </c>
      <c r="G292" s="314" t="s">
        <v>290</v>
      </c>
      <c r="H292" s="473" t="s">
        <v>460</v>
      </c>
      <c r="I292" s="307"/>
      <c r="J292" s="307"/>
      <c r="K292" s="532">
        <v>7300000</v>
      </c>
      <c r="L292" s="533" t="s">
        <v>45</v>
      </c>
      <c r="M292" s="533" t="s">
        <v>24</v>
      </c>
      <c r="N292" s="525" t="str">
        <f>IF(AND('331-CT'!$E$7=TH!H292,OR(L292="331",M292="331")),"331",IF(AND(OR(L292="131",M292="131"),H292='131-CT'!$E$7),"131",""))</f>
        <v/>
      </c>
      <c r="O292" s="525" t="str">
        <f>IF(AND($B292&gt;='111'!$N$11,$B292&lt;='111'!$O$11,OR($L292=$O$7,$M292=$O$7)),"x","")</f>
        <v/>
      </c>
      <c r="P292" s="525" t="str">
        <f>IF(AND($L292=$O$7,$B292&lt;'111'!$N$11),"x","")</f>
        <v>x</v>
      </c>
      <c r="Q292" s="525" t="str">
        <f>IF(AND($M292=$O$7,$B292&lt;'111'!$N$11),"x","")</f>
        <v/>
      </c>
      <c r="R292" s="525" t="str">
        <f>IF(ISERROR(FIND('112'!$M$9,G292,1)),"",IF((AND(FIND('112'!$M$9,G292,1)&gt;=1,$B292&gt;='112'!$N$8,$B292&lt;='112'!$O$8,OR($L292='112'!$I$6,$M292='112'!$I$6))),"x",""))</f>
        <v/>
      </c>
      <c r="S292" s="525" t="str">
        <f>IF(ISERROR(FIND('112'!$M$9,G292,1)),"",IF((AND(LEFT(G292,2)=LEFT('112'!$M$9,2),B292&lt;'112'!$N$8,$L292='112'!$I$6)),"x",""))</f>
        <v/>
      </c>
      <c r="T292" s="525" t="str">
        <f>IF(ISERROR(FIND('112'!$M$9,G292,1)),"",IF((AND(RIGHT(G292,2)=RIGHT('112'!$M$9,2),B292&lt;'112'!$N$8,$M292='112'!$I$6)),"x",""))</f>
        <v/>
      </c>
      <c r="U292" s="525" t="str">
        <f>IF(AND(B292&gt;='IN-NX'!$P$3,B292&lt;='IN-NX'!$Q$3,'IN-NX'!$D$7=D292,OR(LEFT(L292,2)="15",AND(LEFT(M292,2)&lt;&gt;"15",LEFT(M292,2)&lt;&gt;"33"))),"x","")</f>
        <v/>
      </c>
      <c r="V292" s="525" t="str">
        <f>IF(AND(OR(LEFT(TH!L292,2)="15",LEFT(TH!M292,2)="15"),'152-CT'!$J$8=TH!F292),"x","")</f>
        <v/>
      </c>
      <c r="W292" s="525" t="str">
        <f>IF(AND(OR(LEFT(TH!L292,2)="15",LEFT(TH!M292,2)="15"),TK!$E$7=TH!F292),"x","")</f>
        <v/>
      </c>
      <c r="X292" s="525" t="str">
        <f>IF(AND('341-CT'!$E$9=H292,OR(LEFT(L292,3)=$X$7,LEFT(M292,3)=$X$7)),"x","")</f>
        <v/>
      </c>
      <c r="Y292" s="525" t="str">
        <f>IF(OR(TH!L292=TH!$Y$7,M292=TH!$Y$7),"x","")</f>
        <v/>
      </c>
      <c r="Z292" s="525" t="str">
        <f>IF(AND(B292&lt;=NKC!$N$8,B292&gt;=NKC!$M$8),"x","")</f>
        <v/>
      </c>
      <c r="AA292" s="535"/>
    </row>
    <row r="293" spans="1:28" s="503" customFormat="1" ht="15.75" customHeight="1">
      <c r="A293" s="517" t="str">
        <f>IF(B293&lt;&gt;"",IF(AND(B293&gt;=_TM1,B293&lt;=_TM2,OR(TH!L293="1111",TH!M293="1111")),TH!D293,""),"")</f>
        <v/>
      </c>
      <c r="B293" s="531">
        <f t="shared" si="27"/>
        <v>5</v>
      </c>
      <c r="C293" s="315">
        <f t="shared" si="28"/>
        <v>42879</v>
      </c>
      <c r="D293" s="315" t="s">
        <v>456</v>
      </c>
      <c r="E293" s="288">
        <v>42879</v>
      </c>
      <c r="F293" s="248" t="s">
        <v>459</v>
      </c>
      <c r="G293" s="314" t="s">
        <v>290</v>
      </c>
      <c r="H293" s="473" t="s">
        <v>460</v>
      </c>
      <c r="I293" s="307"/>
      <c r="J293" s="307"/>
      <c r="K293" s="532">
        <v>7700000</v>
      </c>
      <c r="L293" s="533" t="s">
        <v>24</v>
      </c>
      <c r="M293" s="533" t="s">
        <v>45</v>
      </c>
      <c r="N293" s="525" t="str">
        <f>IF(AND('331-CT'!$E$7=TH!H293,OR(L293="331",M293="331")),"331",IF(AND(OR(L293="131",M293="131"),H293='131-CT'!$E$7),"131",""))</f>
        <v/>
      </c>
      <c r="O293" s="525" t="str">
        <f>IF(AND($B293&gt;='111'!$N$11,$B293&lt;='111'!$O$11,OR($L293=$O$7,$M293=$O$7)),"x","")</f>
        <v/>
      </c>
      <c r="P293" s="525" t="str">
        <f>IF(AND($L293=$O$7,$B293&lt;'111'!$N$11),"x","")</f>
        <v/>
      </c>
      <c r="Q293" s="525" t="str">
        <f>IF(AND($M293=$O$7,$B293&lt;'111'!$N$11),"x","")</f>
        <v>x</v>
      </c>
      <c r="R293" s="525" t="str">
        <f>IF(ISERROR(FIND('112'!$M$9,G293,1)),"",IF((AND(FIND('112'!$M$9,G293,1)&gt;=1,$B293&gt;='112'!$N$8,$B293&lt;='112'!$O$8,OR($L293='112'!$I$6,$M293='112'!$I$6))),"x",""))</f>
        <v/>
      </c>
      <c r="S293" s="525" t="str">
        <f>IF(ISERROR(FIND('112'!$M$9,G293,1)),"",IF((AND(LEFT(G293,2)=LEFT('112'!$M$9,2),B293&lt;'112'!$N$8,$L293='112'!$I$6)),"x",""))</f>
        <v/>
      </c>
      <c r="T293" s="525" t="str">
        <f>IF(ISERROR(FIND('112'!$M$9,G293,1)),"",IF((AND(RIGHT(G293,2)=RIGHT('112'!$M$9,2),B293&lt;'112'!$N$8,$M293='112'!$I$6)),"x",""))</f>
        <v/>
      </c>
      <c r="U293" s="525" t="str">
        <f>IF(AND(B293&gt;='IN-NX'!$P$3,B293&lt;='IN-NX'!$Q$3,'IN-NX'!$D$7=D293,OR(LEFT(L293,2)="15",AND(LEFT(M293,2)&lt;&gt;"15",LEFT(M293,2)&lt;&gt;"33"))),"x","")</f>
        <v/>
      </c>
      <c r="V293" s="525" t="str">
        <f>IF(AND(OR(LEFT(TH!L293,2)="15",LEFT(TH!M293,2)="15"),'152-CT'!$J$8=TH!F293),"x","")</f>
        <v/>
      </c>
      <c r="W293" s="525" t="str">
        <f>IF(AND(OR(LEFT(TH!L293,2)="15",LEFT(TH!M293,2)="15"),TK!$E$7=TH!F293),"x","")</f>
        <v/>
      </c>
      <c r="X293" s="525" t="str">
        <f>IF(AND('341-CT'!$E$9=H293,OR(LEFT(L293,3)=$X$7,LEFT(M293,3)=$X$7)),"x","")</f>
        <v/>
      </c>
      <c r="Y293" s="525" t="str">
        <f>IF(OR(TH!L293=TH!$Y$7,M293=TH!$Y$7),"x","")</f>
        <v/>
      </c>
      <c r="Z293" s="525" t="str">
        <f>IF(AND(B293&lt;=NKC!$N$8,B293&gt;=NKC!$M$8),"x","")</f>
        <v/>
      </c>
      <c r="AA293" s="535"/>
    </row>
    <row r="294" spans="1:28" s="503" customFormat="1" ht="15.75" customHeight="1">
      <c r="A294" s="517" t="str">
        <f>IF(B294&lt;&gt;"",IF(AND(B294&gt;=_TM1,B294&lt;=_TM2,OR(TH!L294="1111",TH!M294="1111")),TH!D294,""),"")</f>
        <v/>
      </c>
      <c r="B294" s="531">
        <f t="shared" si="27"/>
        <v>5</v>
      </c>
      <c r="C294" s="315">
        <f t="shared" si="28"/>
        <v>42879</v>
      </c>
      <c r="D294" s="315" t="s">
        <v>461</v>
      </c>
      <c r="E294" s="288">
        <v>42879</v>
      </c>
      <c r="F294" s="249" t="s">
        <v>468</v>
      </c>
      <c r="G294" s="314" t="s">
        <v>290</v>
      </c>
      <c r="H294" s="473" t="s">
        <v>271</v>
      </c>
      <c r="I294" s="307"/>
      <c r="J294" s="307"/>
      <c r="K294" s="532">
        <v>7593637</v>
      </c>
      <c r="L294" s="534" t="s">
        <v>8</v>
      </c>
      <c r="M294" s="533" t="s">
        <v>24</v>
      </c>
      <c r="N294" s="525" t="str">
        <f>IF(AND('331-CT'!$E$7=TH!H294,OR(L294="331",M294="331")),"331",IF(AND(OR(L294="131",M294="131"),H294='131-CT'!$E$7),"131",""))</f>
        <v>331</v>
      </c>
      <c r="O294" s="525" t="str">
        <f>IF(AND($B294&gt;='111'!$N$11,$B294&lt;='111'!$O$11,OR($L294=$O$7,$M294=$O$7)),"x","")</f>
        <v/>
      </c>
      <c r="P294" s="525" t="str">
        <f>IF(AND($L294=$O$7,$B294&lt;'111'!$N$11),"x","")</f>
        <v/>
      </c>
      <c r="Q294" s="525" t="str">
        <f>IF(AND($M294=$O$7,$B294&lt;'111'!$N$11),"x","")</f>
        <v/>
      </c>
      <c r="R294" s="525" t="str">
        <f>IF(ISERROR(FIND('112'!$M$9,G294,1)),"",IF((AND(FIND('112'!$M$9,G294,1)&gt;=1,$B294&gt;='112'!$N$8,$B294&lt;='112'!$O$8,OR($L294='112'!$I$6,$M294='112'!$I$6))),"x",""))</f>
        <v/>
      </c>
      <c r="S294" s="525" t="str">
        <f>IF(ISERROR(FIND('112'!$M$9,G294,1)),"",IF((AND(LEFT(G294,2)=LEFT('112'!$M$9,2),B294&lt;'112'!$N$8,$L294='112'!$I$6)),"x",""))</f>
        <v/>
      </c>
      <c r="T294" s="525" t="str">
        <f>IF(ISERROR(FIND('112'!$M$9,G294,1)),"",IF((AND(RIGHT(G294,2)=RIGHT('112'!$M$9,2),B294&lt;'112'!$N$8,$M294='112'!$I$6)),"x",""))</f>
        <v/>
      </c>
      <c r="U294" s="525" t="str">
        <f>IF(AND(B294&gt;='IN-NX'!$P$3,B294&lt;='IN-NX'!$Q$3,'IN-NX'!$D$7=D294,OR(LEFT(L294,2)="15",AND(LEFT(M294,2)&lt;&gt;"15",LEFT(M294,2)&lt;&gt;"33"))),"x","")</f>
        <v/>
      </c>
      <c r="V294" s="525" t="str">
        <f>IF(AND(OR(LEFT(TH!L294,2)="15",LEFT(TH!M294,2)="15"),'152-CT'!$J$8=TH!F294),"x","")</f>
        <v/>
      </c>
      <c r="W294" s="525" t="str">
        <f>IF(AND(OR(LEFT(TH!L294,2)="15",LEFT(TH!M294,2)="15"),TK!$E$7=TH!F294),"x","")</f>
        <v/>
      </c>
      <c r="X294" s="525" t="str">
        <f>IF(AND('341-CT'!$E$9=H294,OR(LEFT(L294,3)=$X$7,LEFT(M294,3)=$X$7)),"x","")</f>
        <v/>
      </c>
      <c r="Y294" s="525" t="str">
        <f>IF(OR(TH!L294=TH!$Y$7,M294=TH!$Y$7),"x","")</f>
        <v/>
      </c>
      <c r="Z294" s="525" t="str">
        <f>IF(AND(B294&lt;=NKC!$N$8,B294&gt;=NKC!$M$8),"x","")</f>
        <v/>
      </c>
      <c r="AA294" s="535"/>
    </row>
    <row r="295" spans="1:28" s="503" customFormat="1" ht="15.75" customHeight="1">
      <c r="A295" s="517" t="str">
        <f>IF(B295&lt;&gt;"",IF(AND(B295&gt;=_TM1,B295&lt;=_TM2,OR(TH!L295="1111",TH!M295="1111")),TH!D295,""),"")</f>
        <v/>
      </c>
      <c r="B295" s="531">
        <f t="shared" si="27"/>
        <v>5</v>
      </c>
      <c r="C295" s="315">
        <f t="shared" si="28"/>
        <v>42879</v>
      </c>
      <c r="D295" s="315" t="s">
        <v>461</v>
      </c>
      <c r="E295" s="288">
        <v>42879</v>
      </c>
      <c r="F295" s="248" t="s">
        <v>463</v>
      </c>
      <c r="G295" s="314" t="s">
        <v>290</v>
      </c>
      <c r="H295" s="472"/>
      <c r="I295" s="307"/>
      <c r="J295" s="307"/>
      <c r="K295" s="532">
        <v>10000</v>
      </c>
      <c r="L295" s="533" t="s">
        <v>81</v>
      </c>
      <c r="M295" s="533" t="s">
        <v>24</v>
      </c>
      <c r="N295" s="525" t="str">
        <f>IF(AND('331-CT'!$E$7=TH!H295,OR(L295="331",M295="331")),"331",IF(AND(OR(L295="131",M295="131"),H295='131-CT'!$E$7),"131",""))</f>
        <v/>
      </c>
      <c r="O295" s="525" t="str">
        <f>IF(AND($B295&gt;='111'!$N$11,$B295&lt;='111'!$O$11,OR($L295=$O$7,$M295=$O$7)),"x","")</f>
        <v/>
      </c>
      <c r="P295" s="525" t="str">
        <f>IF(AND($L295=$O$7,$B295&lt;'111'!$N$11),"x","")</f>
        <v/>
      </c>
      <c r="Q295" s="525" t="str">
        <f>IF(AND($M295=$O$7,$B295&lt;'111'!$N$11),"x","")</f>
        <v/>
      </c>
      <c r="R295" s="525" t="str">
        <f>IF(ISERROR(FIND('112'!$M$9,G295,1)),"",IF((AND(FIND('112'!$M$9,G295,1)&gt;=1,$B295&gt;='112'!$N$8,$B295&lt;='112'!$O$8,OR($L295='112'!$I$6,$M295='112'!$I$6))),"x",""))</f>
        <v/>
      </c>
      <c r="S295" s="525" t="str">
        <f>IF(ISERROR(FIND('112'!$M$9,G295,1)),"",IF((AND(LEFT(G295,2)=LEFT('112'!$M$9,2),B295&lt;'112'!$N$8,$L295='112'!$I$6)),"x",""))</f>
        <v/>
      </c>
      <c r="T295" s="525" t="str">
        <f>IF(ISERROR(FIND('112'!$M$9,G295,1)),"",IF((AND(RIGHT(G295,2)=RIGHT('112'!$M$9,2),B295&lt;'112'!$N$8,$M295='112'!$I$6)),"x",""))</f>
        <v/>
      </c>
      <c r="U295" s="525" t="str">
        <f>IF(AND(B295&gt;='IN-NX'!$P$3,B295&lt;='IN-NX'!$Q$3,'IN-NX'!$D$7=D295,OR(LEFT(L295,2)="15",AND(LEFT(M295,2)&lt;&gt;"15",LEFT(M295,2)&lt;&gt;"33"))),"x","")</f>
        <v/>
      </c>
      <c r="V295" s="525" t="str">
        <f>IF(AND(OR(LEFT(TH!L295,2)="15",LEFT(TH!M295,2)="15"),'152-CT'!$J$8=TH!F295),"x","")</f>
        <v/>
      </c>
      <c r="W295" s="525" t="str">
        <f>IF(AND(OR(LEFT(TH!L295,2)="15",LEFT(TH!M295,2)="15"),TK!$E$7=TH!F295),"x","")</f>
        <v/>
      </c>
      <c r="X295" s="525" t="str">
        <f>IF(AND('341-CT'!$E$9=H295,OR(LEFT(L295,3)=$X$7,LEFT(M295,3)=$X$7)),"x","")</f>
        <v/>
      </c>
      <c r="Y295" s="525" t="str">
        <f>IF(OR(TH!L295=TH!$Y$7,M295=TH!$Y$7),"x","")</f>
        <v/>
      </c>
      <c r="Z295" s="525" t="str">
        <f>IF(AND(B295&lt;=NKC!$N$8,B295&gt;=NKC!$M$8),"x","")</f>
        <v/>
      </c>
      <c r="AA295" s="535">
        <v>2</v>
      </c>
      <c r="AB295" s="536"/>
    </row>
    <row r="296" spans="1:28" s="503" customFormat="1" ht="15.75" customHeight="1">
      <c r="A296" s="517" t="str">
        <f>IF(B296&lt;&gt;"",IF(AND(B296&gt;=_TM1,B296&lt;=_TM2,OR(TH!L296="1111",TH!M296="1111")),TH!D296,""),"")</f>
        <v/>
      </c>
      <c r="B296" s="531">
        <f t="shared" si="27"/>
        <v>5</v>
      </c>
      <c r="C296" s="315">
        <f t="shared" si="28"/>
        <v>42879</v>
      </c>
      <c r="D296" s="315" t="s">
        <v>461</v>
      </c>
      <c r="E296" s="288">
        <v>42879</v>
      </c>
      <c r="F296" s="248" t="s">
        <v>464</v>
      </c>
      <c r="G296" s="314" t="s">
        <v>290</v>
      </c>
      <c r="H296" s="472"/>
      <c r="I296" s="307"/>
      <c r="J296" s="307"/>
      <c r="K296" s="532">
        <v>1000</v>
      </c>
      <c r="L296" s="533" t="s">
        <v>9</v>
      </c>
      <c r="M296" s="533" t="s">
        <v>24</v>
      </c>
      <c r="N296" s="525" t="str">
        <f>IF(AND('331-CT'!$E$7=TH!H296,OR(L296="331",M296="331")),"331",IF(AND(OR(L296="131",M296="131"),H296='131-CT'!$E$7),"131",""))</f>
        <v/>
      </c>
      <c r="O296" s="525" t="str">
        <f>IF(AND($B296&gt;='111'!$N$11,$B296&lt;='111'!$O$11,OR($L296=$O$7,$M296=$O$7)),"x","")</f>
        <v/>
      </c>
      <c r="P296" s="525" t="str">
        <f>IF(AND($L296=$O$7,$B296&lt;'111'!$N$11),"x","")</f>
        <v/>
      </c>
      <c r="Q296" s="525" t="str">
        <f>IF(AND($M296=$O$7,$B296&lt;'111'!$N$11),"x","")</f>
        <v/>
      </c>
      <c r="R296" s="525" t="str">
        <f>IF(ISERROR(FIND('112'!$M$9,G296,1)),"",IF((AND(FIND('112'!$M$9,G296,1)&gt;=1,$B296&gt;='112'!$N$8,$B296&lt;='112'!$O$8,OR($L296='112'!$I$6,$M296='112'!$I$6))),"x",""))</f>
        <v/>
      </c>
      <c r="S296" s="525" t="str">
        <f>IF(ISERROR(FIND('112'!$M$9,G296,1)),"",IF((AND(LEFT(G296,2)=LEFT('112'!$M$9,2),B296&lt;'112'!$N$8,$L296='112'!$I$6)),"x",""))</f>
        <v/>
      </c>
      <c r="T296" s="525" t="str">
        <f>IF(ISERROR(FIND('112'!$M$9,G296,1)),"",IF((AND(RIGHT(G296,2)=RIGHT('112'!$M$9,2),B296&lt;'112'!$N$8,$M296='112'!$I$6)),"x",""))</f>
        <v/>
      </c>
      <c r="U296" s="525" t="str">
        <f>IF(AND(B296&gt;='IN-NX'!$P$3,B296&lt;='IN-NX'!$Q$3,'IN-NX'!$D$7=D296,OR(LEFT(L296,2)="15",AND(LEFT(M296,2)&lt;&gt;"15",LEFT(M296,2)&lt;&gt;"33"))),"x","")</f>
        <v/>
      </c>
      <c r="V296" s="525" t="str">
        <f>IF(AND(OR(LEFT(TH!L296,2)="15",LEFT(TH!M296,2)="15"),'152-CT'!$J$8=TH!F296),"x","")</f>
        <v/>
      </c>
      <c r="W296" s="525" t="str">
        <f>IF(AND(OR(LEFT(TH!L296,2)="15",LEFT(TH!M296,2)="15"),TK!$E$7=TH!F296),"x","")</f>
        <v/>
      </c>
      <c r="X296" s="525" t="str">
        <f>IF(AND('341-CT'!$E$9=H296,OR(LEFT(L296,3)=$X$7,LEFT(M296,3)=$X$7)),"x","")</f>
        <v/>
      </c>
      <c r="Y296" s="525" t="str">
        <f>IF(OR(TH!L296=TH!$Y$7,M296=TH!$Y$7),"x","")</f>
        <v/>
      </c>
      <c r="Z296" s="525" t="str">
        <f>IF(AND(B296&lt;=NKC!$N$8,B296&gt;=NKC!$M$8),"x","")</f>
        <v/>
      </c>
      <c r="AA296" s="535">
        <v>2</v>
      </c>
    </row>
    <row r="297" spans="1:28" s="503" customFormat="1" ht="15.75" customHeight="1">
      <c r="A297" s="517" t="str">
        <f>IF(B297&lt;&gt;"",IF(AND(B297&gt;=_TM1,B297&lt;=_TM2,OR(TH!L297="1111",TH!M297="1111")),TH!D297,""),"")</f>
        <v/>
      </c>
      <c r="B297" s="531">
        <f t="shared" si="27"/>
        <v>5</v>
      </c>
      <c r="C297" s="315">
        <f t="shared" si="28"/>
        <v>42879</v>
      </c>
      <c r="D297" s="315" t="s">
        <v>461</v>
      </c>
      <c r="E297" s="288">
        <v>42879</v>
      </c>
      <c r="F297" s="249" t="s">
        <v>1262</v>
      </c>
      <c r="G297" s="314" t="s">
        <v>290</v>
      </c>
      <c r="H297" s="473"/>
      <c r="I297" s="307"/>
      <c r="J297" s="307"/>
      <c r="K297" s="532">
        <v>20000</v>
      </c>
      <c r="L297" s="533" t="s">
        <v>81</v>
      </c>
      <c r="M297" s="533" t="s">
        <v>24</v>
      </c>
      <c r="N297" s="525" t="str">
        <f>IF(AND('331-CT'!$E$7=TH!H297,OR(L297="331",M297="331")),"331",IF(AND(OR(L297="131",M297="131"),H297='131-CT'!$E$7),"131",""))</f>
        <v/>
      </c>
      <c r="O297" s="525" t="str">
        <f>IF(AND($B297&gt;='111'!$N$11,$B297&lt;='111'!$O$11,OR($L297=$O$7,$M297=$O$7)),"x","")</f>
        <v/>
      </c>
      <c r="P297" s="525" t="str">
        <f>IF(AND($L297=$O$7,$B297&lt;'111'!$N$11),"x","")</f>
        <v/>
      </c>
      <c r="Q297" s="525" t="str">
        <f>IF(AND($M297=$O$7,$B297&lt;'111'!$N$11),"x","")</f>
        <v/>
      </c>
      <c r="R297" s="525" t="str">
        <f>IF(ISERROR(FIND('112'!$M$9,G297,1)),"",IF((AND(FIND('112'!$M$9,G297,1)&gt;=1,$B297&gt;='112'!$N$8,$B297&lt;='112'!$O$8,OR($L297='112'!$I$6,$M297='112'!$I$6))),"x",""))</f>
        <v/>
      </c>
      <c r="S297" s="525" t="str">
        <f>IF(ISERROR(FIND('112'!$M$9,G297,1)),"",IF((AND(LEFT(G297,2)=LEFT('112'!$M$9,2),B297&lt;'112'!$N$8,$L297='112'!$I$6)),"x",""))</f>
        <v/>
      </c>
      <c r="T297" s="525" t="str">
        <f>IF(ISERROR(FIND('112'!$M$9,G297,1)),"",IF((AND(RIGHT(G297,2)=RIGHT('112'!$M$9,2),B297&lt;'112'!$N$8,$M297='112'!$I$6)),"x",""))</f>
        <v/>
      </c>
      <c r="U297" s="525" t="str">
        <f>IF(AND(B297&gt;='IN-NX'!$P$3,B297&lt;='IN-NX'!$Q$3,'IN-NX'!$D$7=D297,OR(LEFT(L297,2)="15",AND(LEFT(M297,2)&lt;&gt;"15",LEFT(M297,2)&lt;&gt;"33"))),"x","")</f>
        <v/>
      </c>
      <c r="V297" s="525" t="str">
        <f>IF(AND(OR(LEFT(TH!L297,2)="15",LEFT(TH!M297,2)="15"),'152-CT'!$J$8=TH!F297),"x","")</f>
        <v/>
      </c>
      <c r="W297" s="525" t="str">
        <f>IF(AND(OR(LEFT(TH!L297,2)="15",LEFT(TH!M297,2)="15"),TK!$E$7=TH!F297),"x","")</f>
        <v/>
      </c>
      <c r="X297" s="525" t="str">
        <f>IF(AND('341-CT'!$E$9=H297,OR(LEFT(L297,3)=$X$7,LEFT(M297,3)=$X$7)),"x","")</f>
        <v/>
      </c>
      <c r="Y297" s="525" t="str">
        <f>IF(OR(TH!L297=TH!$Y$7,M297=TH!$Y$7),"x","")</f>
        <v/>
      </c>
      <c r="Z297" s="525" t="str">
        <f>IF(AND(B297&lt;=NKC!$N$8,B297&gt;=NKC!$M$8),"x","")</f>
        <v/>
      </c>
      <c r="AA297" s="535">
        <v>2</v>
      </c>
    </row>
    <row r="298" spans="1:28" s="503" customFormat="1" ht="15.75" customHeight="1">
      <c r="A298" s="517" t="str">
        <f>IF(B298&lt;&gt;"",IF(AND(B298&gt;=_TM1,B298&lt;=_TM2,OR(TH!L298="1111",TH!M298="1111")),TH!D298,""),"")</f>
        <v/>
      </c>
      <c r="B298" s="531">
        <f t="shared" ref="B298:B329" si="29">IF(C298&lt;&gt;"",MONTH(C298),"")</f>
        <v>5</v>
      </c>
      <c r="C298" s="315">
        <f t="shared" ref="C298:C329" si="30">E298</f>
        <v>42879</v>
      </c>
      <c r="D298" s="315" t="s">
        <v>461</v>
      </c>
      <c r="E298" s="288">
        <v>42879</v>
      </c>
      <c r="F298" s="249" t="s">
        <v>1263</v>
      </c>
      <c r="G298" s="314" t="s">
        <v>290</v>
      </c>
      <c r="H298" s="473"/>
      <c r="I298" s="284"/>
      <c r="J298" s="284"/>
      <c r="K298" s="532">
        <v>2000</v>
      </c>
      <c r="L298" s="533" t="s">
        <v>9</v>
      </c>
      <c r="M298" s="533" t="s">
        <v>24</v>
      </c>
      <c r="N298" s="525" t="str">
        <f>IF(AND('331-CT'!$E$7=TH!H298,OR(L298="331",M298="331")),"331",IF(AND(OR(L298="131",M298="131"),H298='131-CT'!$E$7),"131",""))</f>
        <v/>
      </c>
      <c r="O298" s="525" t="str">
        <f>IF(AND($B298&gt;='111'!$N$11,$B298&lt;='111'!$O$11,OR($L298=$O$7,$M298=$O$7)),"x","")</f>
        <v/>
      </c>
      <c r="P298" s="525" t="str">
        <f>IF(AND($L298=$O$7,$B298&lt;'111'!$N$11),"x","")</f>
        <v/>
      </c>
      <c r="Q298" s="525" t="str">
        <f>IF(AND($M298=$O$7,$B298&lt;'111'!$N$11),"x","")</f>
        <v/>
      </c>
      <c r="R298" s="525" t="str">
        <f>IF(ISERROR(FIND('112'!$M$9,G298,1)),"",IF((AND(FIND('112'!$M$9,G298,1)&gt;=1,$B298&gt;='112'!$N$8,$B298&lt;='112'!$O$8,OR($L298='112'!$I$6,$M298='112'!$I$6))),"x",""))</f>
        <v/>
      </c>
      <c r="S298" s="525" t="str">
        <f>IF(ISERROR(FIND('112'!$M$9,G298,1)),"",IF((AND(LEFT(G298,2)=LEFT('112'!$M$9,2),B298&lt;'112'!$N$8,$L298='112'!$I$6)),"x",""))</f>
        <v/>
      </c>
      <c r="T298" s="525" t="str">
        <f>IF(ISERROR(FIND('112'!$M$9,G298,1)),"",IF((AND(RIGHT(G298,2)=RIGHT('112'!$M$9,2),B298&lt;'112'!$N$8,$M298='112'!$I$6)),"x",""))</f>
        <v/>
      </c>
      <c r="U298" s="525" t="str">
        <f>IF(AND(B298&gt;='IN-NX'!$P$3,B298&lt;='IN-NX'!$Q$3,'IN-NX'!$D$7=D298,OR(LEFT(L298,2)="15",AND(LEFT(M298,2)&lt;&gt;"15",LEFT(M298,2)&lt;&gt;"33"))),"x","")</f>
        <v/>
      </c>
      <c r="V298" s="525" t="str">
        <f>IF(AND(OR(LEFT(TH!L298,2)="15",LEFT(TH!M298,2)="15"),'152-CT'!$J$8=TH!F298),"x","")</f>
        <v/>
      </c>
      <c r="W298" s="525" t="str">
        <f>IF(AND(OR(LEFT(TH!L298,2)="15",LEFT(TH!M298,2)="15"),TK!$E$7=TH!F298),"x","")</f>
        <v/>
      </c>
      <c r="X298" s="525" t="str">
        <f>IF(AND('341-CT'!$E$9=H298,OR(LEFT(L298,3)=$X$7,LEFT(M298,3)=$X$7)),"x","")</f>
        <v/>
      </c>
      <c r="Y298" s="525" t="str">
        <f>IF(OR(TH!L298=TH!$Y$7,M298=TH!$Y$7),"x","")</f>
        <v/>
      </c>
      <c r="Z298" s="525" t="str">
        <f>IF(AND(B298&lt;=NKC!$N$8,B298&gt;=NKC!$M$8),"x","")</f>
        <v/>
      </c>
      <c r="AA298" s="535">
        <v>2</v>
      </c>
    </row>
    <row r="299" spans="1:28" s="503" customFormat="1" ht="15.75" customHeight="1">
      <c r="A299" s="517" t="str">
        <f>IF(B299&lt;&gt;"",IF(AND(B299&gt;=_TM1,B299&lt;=_TM2,OR(TH!L299="1111",TH!M299="1111")),TH!D299,""),"")</f>
        <v/>
      </c>
      <c r="B299" s="531">
        <f t="shared" si="29"/>
        <v>5</v>
      </c>
      <c r="C299" s="315">
        <f t="shared" si="30"/>
        <v>42880</v>
      </c>
      <c r="D299" s="315" t="s">
        <v>461</v>
      </c>
      <c r="E299" s="288">
        <v>42880</v>
      </c>
      <c r="F299" s="249" t="s">
        <v>473</v>
      </c>
      <c r="G299" s="314" t="s">
        <v>290</v>
      </c>
      <c r="H299" s="473"/>
      <c r="I299" s="307"/>
      <c r="J299" s="307"/>
      <c r="K299" s="532">
        <v>10000</v>
      </c>
      <c r="L299" s="533" t="s">
        <v>81</v>
      </c>
      <c r="M299" s="533" t="s">
        <v>24</v>
      </c>
      <c r="N299" s="525" t="str">
        <f>IF(AND('331-CT'!$E$7=TH!H299,OR(L299="331",M299="331")),"331",IF(AND(OR(L299="131",M299="131"),H299='131-CT'!$E$7),"131",""))</f>
        <v/>
      </c>
      <c r="O299" s="525" t="str">
        <f>IF(AND($B299&gt;='111'!$N$11,$B299&lt;='111'!$O$11,OR($L299=$O$7,$M299=$O$7)),"x","")</f>
        <v/>
      </c>
      <c r="P299" s="525" t="str">
        <f>IF(AND($L299=$O$7,$B299&lt;'111'!$N$11),"x","")</f>
        <v/>
      </c>
      <c r="Q299" s="525" t="str">
        <f>IF(AND($M299=$O$7,$B299&lt;'111'!$N$11),"x","")</f>
        <v/>
      </c>
      <c r="R299" s="525" t="str">
        <f>IF(ISERROR(FIND('112'!$M$9,G299,1)),"",IF((AND(FIND('112'!$M$9,G299,1)&gt;=1,$B299&gt;='112'!$N$8,$B299&lt;='112'!$O$8,OR($L299='112'!$I$6,$M299='112'!$I$6))),"x",""))</f>
        <v/>
      </c>
      <c r="S299" s="525" t="str">
        <f>IF(ISERROR(FIND('112'!$M$9,G299,1)),"",IF((AND(LEFT(G299,2)=LEFT('112'!$M$9,2),B299&lt;'112'!$N$8,$L299='112'!$I$6)),"x",""))</f>
        <v/>
      </c>
      <c r="T299" s="525" t="str">
        <f>IF(ISERROR(FIND('112'!$M$9,G299,1)),"",IF((AND(RIGHT(G299,2)=RIGHT('112'!$M$9,2),B299&lt;'112'!$N$8,$M299='112'!$I$6)),"x",""))</f>
        <v/>
      </c>
      <c r="U299" s="525" t="str">
        <f>IF(AND(B299&gt;='IN-NX'!$P$3,B299&lt;='IN-NX'!$Q$3,'IN-NX'!$D$7=D299,OR(LEFT(L299,2)="15",AND(LEFT(M299,2)&lt;&gt;"15",LEFT(M299,2)&lt;&gt;"33"))),"x","")</f>
        <v/>
      </c>
      <c r="V299" s="525" t="str">
        <f>IF(AND(OR(LEFT(TH!L299,2)="15",LEFT(TH!M299,2)="15"),'152-CT'!$J$8=TH!F299),"x","")</f>
        <v/>
      </c>
      <c r="W299" s="525" t="str">
        <f>IF(AND(OR(LEFT(TH!L299,2)="15",LEFT(TH!M299,2)="15"),TK!$E$7=TH!F299),"x","")</f>
        <v/>
      </c>
      <c r="X299" s="525" t="str">
        <f>IF(AND('341-CT'!$E$9=H299,OR(LEFT(L299,3)=$X$7,LEFT(M299,3)=$X$7)),"x","")</f>
        <v/>
      </c>
      <c r="Y299" s="525" t="str">
        <f>IF(OR(TH!L299=TH!$Y$7,M299=TH!$Y$7),"x","")</f>
        <v/>
      </c>
      <c r="Z299" s="525" t="str">
        <f>IF(AND(B299&lt;=NKC!$N$8,B299&gt;=NKC!$M$8),"x","")</f>
        <v/>
      </c>
      <c r="AA299" s="535">
        <v>2</v>
      </c>
      <c r="AB299" s="536"/>
    </row>
    <row r="300" spans="1:28" s="503" customFormat="1" ht="15.75" customHeight="1">
      <c r="A300" s="517" t="str">
        <f>IF(B300&lt;&gt;"",IF(AND(B300&gt;=_TM1,B300&lt;=_TM2,OR(TH!L300="1111",TH!M300="1111")),TH!D300,""),"")</f>
        <v/>
      </c>
      <c r="B300" s="531">
        <f t="shared" si="29"/>
        <v>5</v>
      </c>
      <c r="C300" s="315">
        <f t="shared" si="30"/>
        <v>42880</v>
      </c>
      <c r="D300" s="315" t="s">
        <v>461</v>
      </c>
      <c r="E300" s="288">
        <v>42880</v>
      </c>
      <c r="F300" s="249" t="s">
        <v>474</v>
      </c>
      <c r="G300" s="314" t="s">
        <v>290</v>
      </c>
      <c r="H300" s="472"/>
      <c r="I300" s="307"/>
      <c r="J300" s="307"/>
      <c r="K300" s="532">
        <v>1000</v>
      </c>
      <c r="L300" s="533" t="s">
        <v>9</v>
      </c>
      <c r="M300" s="533" t="s">
        <v>24</v>
      </c>
      <c r="N300" s="525" t="str">
        <f>IF(AND('331-CT'!$E$7=TH!H300,OR(L300="331",M300="331")),"331",IF(AND(OR(L300="131",M300="131"),H300='131-CT'!$E$7),"131",""))</f>
        <v/>
      </c>
      <c r="O300" s="525" t="str">
        <f>IF(AND($B300&gt;='111'!$N$11,$B300&lt;='111'!$O$11,OR($L300=$O$7,$M300=$O$7)),"x","")</f>
        <v/>
      </c>
      <c r="P300" s="525" t="str">
        <f>IF(AND($L300=$O$7,$B300&lt;'111'!$N$11),"x","")</f>
        <v/>
      </c>
      <c r="Q300" s="525" t="str">
        <f>IF(AND($M300=$O$7,$B300&lt;'111'!$N$11),"x","")</f>
        <v/>
      </c>
      <c r="R300" s="525" t="str">
        <f>IF(ISERROR(FIND('112'!$M$9,G300,1)),"",IF((AND(FIND('112'!$M$9,G300,1)&gt;=1,$B300&gt;='112'!$N$8,$B300&lt;='112'!$O$8,OR($L300='112'!$I$6,$M300='112'!$I$6))),"x",""))</f>
        <v/>
      </c>
      <c r="S300" s="525" t="str">
        <f>IF(ISERROR(FIND('112'!$M$9,G300,1)),"",IF((AND(LEFT(G300,2)=LEFT('112'!$M$9,2),B300&lt;'112'!$N$8,$L300='112'!$I$6)),"x",""))</f>
        <v/>
      </c>
      <c r="T300" s="525" t="str">
        <f>IF(ISERROR(FIND('112'!$M$9,G300,1)),"",IF((AND(RIGHT(G300,2)=RIGHT('112'!$M$9,2),B300&lt;'112'!$N$8,$M300='112'!$I$6)),"x",""))</f>
        <v/>
      </c>
      <c r="U300" s="525" t="str">
        <f>IF(AND(B300&gt;='IN-NX'!$P$3,B300&lt;='IN-NX'!$Q$3,'IN-NX'!$D$7=D300,OR(LEFT(L300,2)="15",AND(LEFT(M300,2)&lt;&gt;"15",LEFT(M300,2)&lt;&gt;"33"))),"x","")</f>
        <v/>
      </c>
      <c r="V300" s="525" t="str">
        <f>IF(AND(OR(LEFT(TH!L300,2)="15",LEFT(TH!M300,2)="15"),'152-CT'!$J$8=TH!F300),"x","")</f>
        <v/>
      </c>
      <c r="W300" s="525" t="str">
        <f>IF(AND(OR(LEFT(TH!L300,2)="15",LEFT(TH!M300,2)="15"),TK!$E$7=TH!F300),"x","")</f>
        <v/>
      </c>
      <c r="X300" s="525" t="str">
        <f>IF(AND('341-CT'!$E$9=H300,OR(LEFT(L300,3)=$X$7,LEFT(M300,3)=$X$7)),"x","")</f>
        <v/>
      </c>
      <c r="Y300" s="525" t="str">
        <f>IF(OR(TH!L300=TH!$Y$7,M300=TH!$Y$7),"x","")</f>
        <v/>
      </c>
      <c r="Z300" s="525" t="str">
        <f>IF(AND(B300&lt;=NKC!$N$8,B300&gt;=NKC!$M$8),"x","")</f>
        <v/>
      </c>
      <c r="AA300" s="535">
        <v>2</v>
      </c>
    </row>
    <row r="301" spans="1:28" s="503" customFormat="1" ht="15.75" customHeight="1">
      <c r="A301" s="517" t="str">
        <f>IF(B301&lt;&gt;"",IF(AND(B301&gt;=_TM1,B301&lt;=_TM2,OR(TH!L301="1111",TH!M301="1111")),TH!D301,""),"")</f>
        <v/>
      </c>
      <c r="B301" s="531">
        <f t="shared" si="29"/>
        <v>5</v>
      </c>
      <c r="C301" s="315">
        <f t="shared" si="30"/>
        <v>42882</v>
      </c>
      <c r="D301" s="315" t="s">
        <v>456</v>
      </c>
      <c r="E301" s="288">
        <v>42882</v>
      </c>
      <c r="F301" s="248" t="s">
        <v>458</v>
      </c>
      <c r="G301" s="314" t="s">
        <v>290</v>
      </c>
      <c r="H301" s="473"/>
      <c r="I301" s="307"/>
      <c r="J301" s="307"/>
      <c r="K301" s="532">
        <v>327</v>
      </c>
      <c r="L301" s="533" t="s">
        <v>24</v>
      </c>
      <c r="M301" s="533" t="s">
        <v>38</v>
      </c>
      <c r="N301" s="525" t="str">
        <f>IF(AND('331-CT'!$E$7=TH!H301,OR(L301="331",M301="331")),"331",IF(AND(OR(L301="131",M301="131"),H301='131-CT'!$E$7),"131",""))</f>
        <v/>
      </c>
      <c r="O301" s="525" t="str">
        <f>IF(AND($B301&gt;='111'!$N$11,$B301&lt;='111'!$O$11,OR($L301=$O$7,$M301=$O$7)),"x","")</f>
        <v/>
      </c>
      <c r="P301" s="525" t="str">
        <f>IF(AND($L301=$O$7,$B301&lt;'111'!$N$11),"x","")</f>
        <v/>
      </c>
      <c r="Q301" s="525" t="str">
        <f>IF(AND($M301=$O$7,$B301&lt;'111'!$N$11),"x","")</f>
        <v/>
      </c>
      <c r="R301" s="525" t="str">
        <f>IF(ISERROR(FIND('112'!$M$9,G301,1)),"",IF((AND(FIND('112'!$M$9,G301,1)&gt;=1,$B301&gt;='112'!$N$8,$B301&lt;='112'!$O$8,OR($L301='112'!$I$6,$M301='112'!$I$6))),"x",""))</f>
        <v/>
      </c>
      <c r="S301" s="525" t="str">
        <f>IF(ISERROR(FIND('112'!$M$9,G301,1)),"",IF((AND(LEFT(G301,2)=LEFT('112'!$M$9,2),B301&lt;'112'!$N$8,$L301='112'!$I$6)),"x",""))</f>
        <v/>
      </c>
      <c r="T301" s="525" t="str">
        <f>IF(ISERROR(FIND('112'!$M$9,G301,1)),"",IF((AND(RIGHT(G301,2)=RIGHT('112'!$M$9,2),B301&lt;'112'!$N$8,$M301='112'!$I$6)),"x",""))</f>
        <v/>
      </c>
      <c r="U301" s="525" t="str">
        <f>IF(AND(B301&gt;='IN-NX'!$P$3,B301&lt;='IN-NX'!$Q$3,'IN-NX'!$D$7=D301,OR(LEFT(L301,2)="15",AND(LEFT(M301,2)&lt;&gt;"15",LEFT(M301,2)&lt;&gt;"33"))),"x","")</f>
        <v/>
      </c>
      <c r="V301" s="525" t="str">
        <f>IF(AND(OR(LEFT(TH!L301,2)="15",LEFT(TH!M301,2)="15"),'152-CT'!$J$8=TH!F301),"x","")</f>
        <v/>
      </c>
      <c r="W301" s="525" t="str">
        <f>IF(AND(OR(LEFT(TH!L301,2)="15",LEFT(TH!M301,2)="15"),TK!$E$7=TH!F301),"x","")</f>
        <v/>
      </c>
      <c r="X301" s="525" t="str">
        <f>IF(AND('341-CT'!$E$9=H301,OR(LEFT(L301,3)=$X$7,LEFT(M301,3)=$X$7)),"x","")</f>
        <v/>
      </c>
      <c r="Y301" s="525" t="str">
        <f>IF(OR(TH!L301=TH!$Y$7,M301=TH!$Y$7),"x","")</f>
        <v/>
      </c>
      <c r="Z301" s="525" t="str">
        <f>IF(AND(B301&lt;=NKC!$N$8,B301&gt;=NKC!$M$8),"x","")</f>
        <v/>
      </c>
      <c r="AA301" s="535"/>
    </row>
    <row r="302" spans="1:28" s="503" customFormat="1" ht="15.75" customHeight="1">
      <c r="A302" s="517" t="str">
        <f>IF(B302&lt;&gt;"",IF(AND(B302&gt;=_TM1,B302&lt;=_TM2,OR(TH!L302="1111",TH!M302="1111")),TH!D302,""),"")</f>
        <v/>
      </c>
      <c r="B302" s="531">
        <f t="shared" si="29"/>
        <v>5</v>
      </c>
      <c r="C302" s="315">
        <f t="shared" si="30"/>
        <v>42882</v>
      </c>
      <c r="D302" s="315" t="s">
        <v>461</v>
      </c>
      <c r="E302" s="288">
        <v>42882</v>
      </c>
      <c r="F302" s="249" t="s">
        <v>469</v>
      </c>
      <c r="G302" s="314" t="s">
        <v>290</v>
      </c>
      <c r="H302" s="472"/>
      <c r="I302" s="307"/>
      <c r="J302" s="307"/>
      <c r="K302" s="532">
        <v>50000</v>
      </c>
      <c r="L302" s="533" t="s">
        <v>81</v>
      </c>
      <c r="M302" s="533" t="s">
        <v>24</v>
      </c>
      <c r="N302" s="525" t="str">
        <f>IF(AND('331-CT'!$E$7=TH!H302,OR(L302="331",M302="331")),"331",IF(AND(OR(L302="131",M302="131"),H302='131-CT'!$E$7),"131",""))</f>
        <v/>
      </c>
      <c r="O302" s="525" t="str">
        <f>IF(AND($B302&gt;='111'!$N$11,$B302&lt;='111'!$O$11,OR($L302=$O$7,$M302=$O$7)),"x","")</f>
        <v/>
      </c>
      <c r="P302" s="525" t="str">
        <f>IF(AND($L302=$O$7,$B302&lt;'111'!$N$11),"x","")</f>
        <v/>
      </c>
      <c r="Q302" s="525" t="str">
        <f>IF(AND($M302=$O$7,$B302&lt;'111'!$N$11),"x","")</f>
        <v/>
      </c>
      <c r="R302" s="525" t="str">
        <f>IF(ISERROR(FIND('112'!$M$9,G302,1)),"",IF((AND(FIND('112'!$M$9,G302,1)&gt;=1,$B302&gt;='112'!$N$8,$B302&lt;='112'!$O$8,OR($L302='112'!$I$6,$M302='112'!$I$6))),"x",""))</f>
        <v/>
      </c>
      <c r="S302" s="525" t="str">
        <f>IF(ISERROR(FIND('112'!$M$9,G302,1)),"",IF((AND(LEFT(G302,2)=LEFT('112'!$M$9,2),B302&lt;'112'!$N$8,$L302='112'!$I$6)),"x",""))</f>
        <v/>
      </c>
      <c r="T302" s="525" t="str">
        <f>IF(ISERROR(FIND('112'!$M$9,G302,1)),"",IF((AND(RIGHT(G302,2)=RIGHT('112'!$M$9,2),B302&lt;'112'!$N$8,$M302='112'!$I$6)),"x",""))</f>
        <v/>
      </c>
      <c r="U302" s="525" t="str">
        <f>IF(AND(B302&gt;='IN-NX'!$P$3,B302&lt;='IN-NX'!$Q$3,'IN-NX'!$D$7=D302,OR(LEFT(L302,2)="15",AND(LEFT(M302,2)&lt;&gt;"15",LEFT(M302,2)&lt;&gt;"33"))),"x","")</f>
        <v/>
      </c>
      <c r="V302" s="525" t="str">
        <f>IF(AND(OR(LEFT(TH!L302,2)="15",LEFT(TH!M302,2)="15"),'152-CT'!$J$8=TH!F302),"x","")</f>
        <v/>
      </c>
      <c r="W302" s="525" t="str">
        <f>IF(AND(OR(LEFT(TH!L302,2)="15",LEFT(TH!M302,2)="15"),TK!$E$7=TH!F302),"x","")</f>
        <v/>
      </c>
      <c r="X302" s="525" t="str">
        <f>IF(AND('341-CT'!$E$9=H302,OR(LEFT(L302,3)=$X$7,LEFT(M302,3)=$X$7)),"x","")</f>
        <v/>
      </c>
      <c r="Y302" s="525" t="str">
        <f>IF(OR(TH!L302=TH!$Y$7,M302=TH!$Y$7),"x","")</f>
        <v/>
      </c>
      <c r="Z302" s="525" t="str">
        <f>IF(AND(B302&lt;=NKC!$N$8,B302&gt;=NKC!$M$8),"x","")</f>
        <v/>
      </c>
      <c r="AA302" s="535">
        <v>2</v>
      </c>
    </row>
    <row r="303" spans="1:28" s="503" customFormat="1" ht="15.75" customHeight="1">
      <c r="A303" s="517" t="str">
        <f>IF(B303&lt;&gt;"",IF(AND(B303&gt;=_TM1,B303&lt;=_TM2,OR(TH!L303="1111",TH!M303="1111")),TH!D303,""),"")</f>
        <v/>
      </c>
      <c r="B303" s="531">
        <f t="shared" si="29"/>
        <v>5</v>
      </c>
      <c r="C303" s="315">
        <f t="shared" si="30"/>
        <v>42882</v>
      </c>
      <c r="D303" s="315" t="s">
        <v>461</v>
      </c>
      <c r="E303" s="288">
        <v>42882</v>
      </c>
      <c r="F303" s="249" t="s">
        <v>470</v>
      </c>
      <c r="G303" s="314" t="s">
        <v>290</v>
      </c>
      <c r="H303" s="473"/>
      <c r="I303" s="307"/>
      <c r="J303" s="307"/>
      <c r="K303" s="532">
        <v>5000</v>
      </c>
      <c r="L303" s="533" t="s">
        <v>9</v>
      </c>
      <c r="M303" s="533" t="s">
        <v>24</v>
      </c>
      <c r="N303" s="525" t="str">
        <f>IF(AND('331-CT'!$E$7=TH!H303,OR(L303="331",M303="331")),"331",IF(AND(OR(L303="131",M303="131"),H303='131-CT'!$E$7),"131",""))</f>
        <v/>
      </c>
      <c r="O303" s="525" t="str">
        <f>IF(AND($B303&gt;='111'!$N$11,$B303&lt;='111'!$O$11,OR($L303=$O$7,$M303=$O$7)),"x","")</f>
        <v/>
      </c>
      <c r="P303" s="525" t="str">
        <f>IF(AND($L303=$O$7,$B303&lt;'111'!$N$11),"x","")</f>
        <v/>
      </c>
      <c r="Q303" s="525" t="str">
        <f>IF(AND($M303=$O$7,$B303&lt;'111'!$N$11),"x","")</f>
        <v/>
      </c>
      <c r="R303" s="525" t="str">
        <f>IF(ISERROR(FIND('112'!$M$9,G303,1)),"",IF((AND(FIND('112'!$M$9,G303,1)&gt;=1,$B303&gt;='112'!$N$8,$B303&lt;='112'!$O$8,OR($L303='112'!$I$6,$M303='112'!$I$6))),"x",""))</f>
        <v/>
      </c>
      <c r="S303" s="525" t="str">
        <f>IF(ISERROR(FIND('112'!$M$9,G303,1)),"",IF((AND(LEFT(G303,2)=LEFT('112'!$M$9,2),B303&lt;'112'!$N$8,$L303='112'!$I$6)),"x",""))</f>
        <v/>
      </c>
      <c r="T303" s="525" t="str">
        <f>IF(ISERROR(FIND('112'!$M$9,G303,1)),"",IF((AND(RIGHT(G303,2)=RIGHT('112'!$M$9,2),B303&lt;'112'!$N$8,$M303='112'!$I$6)),"x",""))</f>
        <v/>
      </c>
      <c r="U303" s="525" t="str">
        <f>IF(AND(B303&gt;='IN-NX'!$P$3,B303&lt;='IN-NX'!$Q$3,'IN-NX'!$D$7=D303,OR(LEFT(L303,2)="15",AND(LEFT(M303,2)&lt;&gt;"15",LEFT(M303,2)&lt;&gt;"33"))),"x","")</f>
        <v/>
      </c>
      <c r="V303" s="525" t="str">
        <f>IF(AND(OR(LEFT(TH!L303,2)="15",LEFT(TH!M303,2)="15"),'152-CT'!$J$8=TH!F303),"x","")</f>
        <v/>
      </c>
      <c r="W303" s="525" t="str">
        <f>IF(AND(OR(LEFT(TH!L303,2)="15",LEFT(TH!M303,2)="15"),TK!$E$7=TH!F303),"x","")</f>
        <v/>
      </c>
      <c r="X303" s="525" t="str">
        <f>IF(AND('341-CT'!$E$9=H303,OR(LEFT(L303,3)=$X$7,LEFT(M303,3)=$X$7)),"x","")</f>
        <v/>
      </c>
      <c r="Y303" s="525" t="str">
        <f>IF(OR(TH!L303=TH!$Y$7,M303=TH!$Y$7),"x","")</f>
        <v/>
      </c>
      <c r="Z303" s="525" t="str">
        <f>IF(AND(B303&lt;=NKC!$N$8,B303&gt;=NKC!$M$8),"x","")</f>
        <v/>
      </c>
      <c r="AA303" s="535">
        <v>2</v>
      </c>
    </row>
    <row r="304" spans="1:28" s="503" customFormat="1" ht="15.75" customHeight="1">
      <c r="A304" s="517" t="str">
        <f>IF(B304&lt;&gt;"",IF(AND(B304&gt;=_TM1,B304&lt;=_TM2,OR(TH!L304="1111",TH!M304="1111")),TH!D304,""),"")</f>
        <v/>
      </c>
      <c r="B304" s="531">
        <f t="shared" si="29"/>
        <v>5</v>
      </c>
      <c r="C304" s="315">
        <f t="shared" si="30"/>
        <v>42884</v>
      </c>
      <c r="D304" s="315" t="s">
        <v>456</v>
      </c>
      <c r="E304" s="288">
        <v>42884</v>
      </c>
      <c r="F304" s="248" t="s">
        <v>459</v>
      </c>
      <c r="G304" s="314" t="s">
        <v>290</v>
      </c>
      <c r="H304" s="473" t="s">
        <v>460</v>
      </c>
      <c r="I304" s="307"/>
      <c r="J304" s="307"/>
      <c r="K304" s="532">
        <v>10000000</v>
      </c>
      <c r="L304" s="533" t="s">
        <v>24</v>
      </c>
      <c r="M304" s="533" t="s">
        <v>45</v>
      </c>
      <c r="N304" s="525" t="str">
        <f>IF(AND('331-CT'!$E$7=TH!H304,OR(L304="331",M304="331")),"331",IF(AND(OR(L304="131",M304="131"),H304='131-CT'!$E$7),"131",""))</f>
        <v/>
      </c>
      <c r="O304" s="525" t="str">
        <f>IF(AND($B304&gt;='111'!$N$11,$B304&lt;='111'!$O$11,OR($L304=$O$7,$M304=$O$7)),"x","")</f>
        <v/>
      </c>
      <c r="P304" s="525" t="str">
        <f>IF(AND($L304=$O$7,$B304&lt;'111'!$N$11),"x","")</f>
        <v/>
      </c>
      <c r="Q304" s="525" t="str">
        <f>IF(AND($M304=$O$7,$B304&lt;'111'!$N$11),"x","")</f>
        <v>x</v>
      </c>
      <c r="R304" s="525" t="str">
        <f>IF(ISERROR(FIND('112'!$M$9,G304,1)),"",IF((AND(FIND('112'!$M$9,G304,1)&gt;=1,$B304&gt;='112'!$N$8,$B304&lt;='112'!$O$8,OR($L304='112'!$I$6,$M304='112'!$I$6))),"x",""))</f>
        <v/>
      </c>
      <c r="S304" s="525" t="str">
        <f>IF(ISERROR(FIND('112'!$M$9,G304,1)),"",IF((AND(LEFT(G304,2)=LEFT('112'!$M$9,2),B304&lt;'112'!$N$8,$L304='112'!$I$6)),"x",""))</f>
        <v/>
      </c>
      <c r="T304" s="525" t="str">
        <f>IF(ISERROR(FIND('112'!$M$9,G304,1)),"",IF((AND(RIGHT(G304,2)=RIGHT('112'!$M$9,2),B304&lt;'112'!$N$8,$M304='112'!$I$6)),"x",""))</f>
        <v/>
      </c>
      <c r="U304" s="525" t="str">
        <f>IF(AND(B304&gt;='IN-NX'!$P$3,B304&lt;='IN-NX'!$Q$3,'IN-NX'!$D$7=D304,OR(LEFT(L304,2)="15",AND(LEFT(M304,2)&lt;&gt;"15",LEFT(M304,2)&lt;&gt;"33"))),"x","")</f>
        <v/>
      </c>
      <c r="V304" s="525" t="str">
        <f>IF(AND(OR(LEFT(TH!L304,2)="15",LEFT(TH!M304,2)="15"),'152-CT'!$J$8=TH!F304),"x","")</f>
        <v/>
      </c>
      <c r="W304" s="525" t="str">
        <f>IF(AND(OR(LEFT(TH!L304,2)="15",LEFT(TH!M304,2)="15"),TK!$E$7=TH!F304),"x","")</f>
        <v/>
      </c>
      <c r="X304" s="525" t="str">
        <f>IF(AND('341-CT'!$E$9=H304,OR(LEFT(L304,3)=$X$7,LEFT(M304,3)=$X$7)),"x","")</f>
        <v/>
      </c>
      <c r="Y304" s="525" t="str">
        <f>IF(OR(TH!L304=TH!$Y$7,M304=TH!$Y$7),"x","")</f>
        <v/>
      </c>
      <c r="Z304" s="525" t="str">
        <f>IF(AND(B304&lt;=NKC!$N$8,B304&gt;=NKC!$M$8),"x","")</f>
        <v/>
      </c>
      <c r="AA304" s="535"/>
    </row>
    <row r="305" spans="1:28" s="503" customFormat="1" ht="15.75" customHeight="1">
      <c r="A305" s="517" t="str">
        <f>IF(B305&lt;&gt;"",IF(AND(B305&gt;=_TM1,B305&lt;=_TM2,OR(TH!L305="1111",TH!M305="1111")),TH!D305,""),"")</f>
        <v/>
      </c>
      <c r="B305" s="531">
        <f t="shared" si="29"/>
        <v>5</v>
      </c>
      <c r="C305" s="315">
        <f t="shared" si="30"/>
        <v>42884</v>
      </c>
      <c r="D305" s="315" t="s">
        <v>461</v>
      </c>
      <c r="E305" s="288">
        <v>42884</v>
      </c>
      <c r="F305" s="249" t="s">
        <v>468</v>
      </c>
      <c r="G305" s="314" t="s">
        <v>290</v>
      </c>
      <c r="H305" s="473" t="s">
        <v>270</v>
      </c>
      <c r="I305" s="307"/>
      <c r="J305" s="307"/>
      <c r="K305" s="532">
        <v>10000000</v>
      </c>
      <c r="L305" s="534" t="s">
        <v>8</v>
      </c>
      <c r="M305" s="533" t="s">
        <v>24</v>
      </c>
      <c r="N305" s="525" t="str">
        <f>IF(AND('331-CT'!$E$7=TH!H305,OR(L305="331",M305="331")),"331",IF(AND(OR(L305="131",M305="131"),H305='131-CT'!$E$7),"131",""))</f>
        <v/>
      </c>
      <c r="O305" s="525" t="str">
        <f>IF(AND($B305&gt;='111'!$N$11,$B305&lt;='111'!$O$11,OR($L305=$O$7,$M305=$O$7)),"x","")</f>
        <v/>
      </c>
      <c r="P305" s="525" t="str">
        <f>IF(AND($L305=$O$7,$B305&lt;'111'!$N$11),"x","")</f>
        <v/>
      </c>
      <c r="Q305" s="525" t="str">
        <f>IF(AND($M305=$O$7,$B305&lt;'111'!$N$11),"x","")</f>
        <v/>
      </c>
      <c r="R305" s="525" t="str">
        <f>IF(ISERROR(FIND('112'!$M$9,G305,1)),"",IF((AND(FIND('112'!$M$9,G305,1)&gt;=1,$B305&gt;='112'!$N$8,$B305&lt;='112'!$O$8,OR($L305='112'!$I$6,$M305='112'!$I$6))),"x",""))</f>
        <v/>
      </c>
      <c r="S305" s="525" t="str">
        <f>IF(ISERROR(FIND('112'!$M$9,G305,1)),"",IF((AND(LEFT(G305,2)=LEFT('112'!$M$9,2),B305&lt;'112'!$N$8,$L305='112'!$I$6)),"x",""))</f>
        <v/>
      </c>
      <c r="T305" s="525" t="str">
        <f>IF(ISERROR(FIND('112'!$M$9,G305,1)),"",IF((AND(RIGHT(G305,2)=RIGHT('112'!$M$9,2),B305&lt;'112'!$N$8,$M305='112'!$I$6)),"x",""))</f>
        <v/>
      </c>
      <c r="U305" s="525" t="str">
        <f>IF(AND(B305&gt;='IN-NX'!$P$3,B305&lt;='IN-NX'!$Q$3,'IN-NX'!$D$7=D305,OR(LEFT(L305,2)="15",AND(LEFT(M305,2)&lt;&gt;"15",LEFT(M305,2)&lt;&gt;"33"))),"x","")</f>
        <v/>
      </c>
      <c r="V305" s="525" t="str">
        <f>IF(AND(OR(LEFT(TH!L305,2)="15",LEFT(TH!M305,2)="15"),'152-CT'!$J$8=TH!F305),"x","")</f>
        <v/>
      </c>
      <c r="W305" s="525" t="str">
        <f>IF(AND(OR(LEFT(TH!L305,2)="15",LEFT(TH!M305,2)="15"),TK!$E$7=TH!F305),"x","")</f>
        <v/>
      </c>
      <c r="X305" s="525" t="str">
        <f>IF(AND('341-CT'!$E$9=H305,OR(LEFT(L305,3)=$X$7,LEFT(M305,3)=$X$7)),"x","")</f>
        <v/>
      </c>
      <c r="Y305" s="525" t="str">
        <f>IF(OR(TH!L305=TH!$Y$7,M305=TH!$Y$7),"x","")</f>
        <v/>
      </c>
      <c r="Z305" s="525" t="str">
        <f>IF(AND(B305&lt;=NKC!$N$8,B305&gt;=NKC!$M$8),"x","")</f>
        <v/>
      </c>
      <c r="AA305" s="535"/>
    </row>
    <row r="306" spans="1:28" s="503" customFormat="1" ht="15.75" customHeight="1">
      <c r="A306" s="517" t="str">
        <f>IF(B306&lt;&gt;"",IF(AND(B306&gt;=_TM1,B306&lt;=_TM2,OR(TH!L306="1111",TH!M306="1111")),TH!D306,""),"")</f>
        <v/>
      </c>
      <c r="B306" s="531">
        <f t="shared" si="29"/>
        <v>5</v>
      </c>
      <c r="C306" s="315">
        <f t="shared" si="30"/>
        <v>42884</v>
      </c>
      <c r="D306" s="315" t="s">
        <v>461</v>
      </c>
      <c r="E306" s="288">
        <v>42884</v>
      </c>
      <c r="F306" s="248" t="s">
        <v>463</v>
      </c>
      <c r="G306" s="314" t="s">
        <v>290</v>
      </c>
      <c r="H306" s="472"/>
      <c r="I306" s="307"/>
      <c r="J306" s="307"/>
      <c r="K306" s="532">
        <v>20000</v>
      </c>
      <c r="L306" s="533" t="s">
        <v>81</v>
      </c>
      <c r="M306" s="533" t="s">
        <v>24</v>
      </c>
      <c r="N306" s="525" t="str">
        <f>IF(AND('331-CT'!$E$7=TH!H306,OR(L306="331",M306="331")),"331",IF(AND(OR(L306="131",M306="131"),H306='131-CT'!$E$7),"131",""))</f>
        <v/>
      </c>
      <c r="O306" s="525" t="str">
        <f>IF(AND($B306&gt;='111'!$N$11,$B306&lt;='111'!$O$11,OR($L306=$O$7,$M306=$O$7)),"x","")</f>
        <v/>
      </c>
      <c r="P306" s="525" t="str">
        <f>IF(AND($L306=$O$7,$B306&lt;'111'!$N$11),"x","")</f>
        <v/>
      </c>
      <c r="Q306" s="525" t="str">
        <f>IF(AND($M306=$O$7,$B306&lt;'111'!$N$11),"x","")</f>
        <v/>
      </c>
      <c r="R306" s="525" t="str">
        <f>IF(ISERROR(FIND('112'!$M$9,G306,1)),"",IF((AND(FIND('112'!$M$9,G306,1)&gt;=1,$B306&gt;='112'!$N$8,$B306&lt;='112'!$O$8,OR($L306='112'!$I$6,$M306='112'!$I$6))),"x",""))</f>
        <v/>
      </c>
      <c r="S306" s="525" t="str">
        <f>IF(ISERROR(FIND('112'!$M$9,G306,1)),"",IF((AND(LEFT(G306,2)=LEFT('112'!$M$9,2),B306&lt;'112'!$N$8,$L306='112'!$I$6)),"x",""))</f>
        <v/>
      </c>
      <c r="T306" s="525" t="str">
        <f>IF(ISERROR(FIND('112'!$M$9,G306,1)),"",IF((AND(RIGHT(G306,2)=RIGHT('112'!$M$9,2),B306&lt;'112'!$N$8,$M306='112'!$I$6)),"x",""))</f>
        <v/>
      </c>
      <c r="U306" s="525" t="str">
        <f>IF(AND(B306&gt;='IN-NX'!$P$3,B306&lt;='IN-NX'!$Q$3,'IN-NX'!$D$7=D306,OR(LEFT(L306,2)="15",AND(LEFT(M306,2)&lt;&gt;"15",LEFT(M306,2)&lt;&gt;"33"))),"x","")</f>
        <v/>
      </c>
      <c r="V306" s="525" t="str">
        <f>IF(AND(OR(LEFT(TH!L306,2)="15",LEFT(TH!M306,2)="15"),'152-CT'!$J$8=TH!F306),"x","")</f>
        <v/>
      </c>
      <c r="W306" s="525" t="str">
        <f>IF(AND(OR(LEFT(TH!L306,2)="15",LEFT(TH!M306,2)="15"),TK!$E$7=TH!F306),"x","")</f>
        <v/>
      </c>
      <c r="X306" s="525" t="str">
        <f>IF(AND('341-CT'!$E$9=H306,OR(LEFT(L306,3)=$X$7,LEFT(M306,3)=$X$7)),"x","")</f>
        <v/>
      </c>
      <c r="Y306" s="525" t="str">
        <f>IF(OR(TH!L306=TH!$Y$7,M306=TH!$Y$7),"x","")</f>
        <v/>
      </c>
      <c r="Z306" s="525" t="str">
        <f>IF(AND(B306&lt;=NKC!$N$8,B306&gt;=NKC!$M$8),"x","")</f>
        <v/>
      </c>
      <c r="AA306" s="535">
        <v>2</v>
      </c>
    </row>
    <row r="307" spans="1:28" s="503" customFormat="1" ht="15.75" customHeight="1">
      <c r="A307" s="517" t="str">
        <f>IF(B307&lt;&gt;"",IF(AND(B307&gt;=_TM1,B307&lt;=_TM2,OR(TH!L307="1111",TH!M307="1111")),TH!D307,""),"")</f>
        <v/>
      </c>
      <c r="B307" s="531">
        <f t="shared" si="29"/>
        <v>5</v>
      </c>
      <c r="C307" s="315">
        <f t="shared" si="30"/>
        <v>42884</v>
      </c>
      <c r="D307" s="315" t="s">
        <v>461</v>
      </c>
      <c r="E307" s="288">
        <v>42884</v>
      </c>
      <c r="F307" s="248" t="s">
        <v>464</v>
      </c>
      <c r="G307" s="314" t="s">
        <v>290</v>
      </c>
      <c r="H307" s="472"/>
      <c r="I307" s="307"/>
      <c r="J307" s="307"/>
      <c r="K307" s="532">
        <v>2000</v>
      </c>
      <c r="L307" s="533" t="s">
        <v>9</v>
      </c>
      <c r="M307" s="533" t="s">
        <v>24</v>
      </c>
      <c r="N307" s="525" t="str">
        <f>IF(AND('331-CT'!$E$7=TH!H307,OR(L307="331",M307="331")),"331",IF(AND(OR(L307="131",M307="131"),H307='131-CT'!$E$7),"131",""))</f>
        <v/>
      </c>
      <c r="O307" s="525" t="str">
        <f>IF(AND($B307&gt;='111'!$N$11,$B307&lt;='111'!$O$11,OR($L307=$O$7,$M307=$O$7)),"x","")</f>
        <v/>
      </c>
      <c r="P307" s="525" t="str">
        <f>IF(AND($L307=$O$7,$B307&lt;'111'!$N$11),"x","")</f>
        <v/>
      </c>
      <c r="Q307" s="525" t="str">
        <f>IF(AND($M307=$O$7,$B307&lt;'111'!$N$11),"x","")</f>
        <v/>
      </c>
      <c r="R307" s="525" t="str">
        <f>IF(ISERROR(FIND('112'!$M$9,G307,1)),"",IF((AND(FIND('112'!$M$9,G307,1)&gt;=1,$B307&gt;='112'!$N$8,$B307&lt;='112'!$O$8,OR($L307='112'!$I$6,$M307='112'!$I$6))),"x",""))</f>
        <v/>
      </c>
      <c r="S307" s="525" t="str">
        <f>IF(ISERROR(FIND('112'!$M$9,G307,1)),"",IF((AND(LEFT(G307,2)=LEFT('112'!$M$9,2),B307&lt;'112'!$N$8,$L307='112'!$I$6)),"x",""))</f>
        <v/>
      </c>
      <c r="T307" s="525" t="str">
        <f>IF(ISERROR(FIND('112'!$M$9,G307,1)),"",IF((AND(RIGHT(G307,2)=RIGHT('112'!$M$9,2),B307&lt;'112'!$N$8,$M307='112'!$I$6)),"x",""))</f>
        <v/>
      </c>
      <c r="U307" s="525" t="str">
        <f>IF(AND(B307&gt;='IN-NX'!$P$3,B307&lt;='IN-NX'!$Q$3,'IN-NX'!$D$7=D307,OR(LEFT(L307,2)="15",AND(LEFT(M307,2)&lt;&gt;"15",LEFT(M307,2)&lt;&gt;"33"))),"x","")</f>
        <v/>
      </c>
      <c r="V307" s="525" t="str">
        <f>IF(AND(OR(LEFT(TH!L307,2)="15",LEFT(TH!M307,2)="15"),'152-CT'!$J$8=TH!F307),"x","")</f>
        <v/>
      </c>
      <c r="W307" s="525" t="str">
        <f>IF(AND(OR(LEFT(TH!L307,2)="15",LEFT(TH!M307,2)="15"),TK!$E$7=TH!F307),"x","")</f>
        <v/>
      </c>
      <c r="X307" s="525" t="str">
        <f>IF(AND('341-CT'!$E$9=H307,OR(LEFT(L307,3)=$X$7,LEFT(M307,3)=$X$7)),"x","")</f>
        <v/>
      </c>
      <c r="Y307" s="525" t="str">
        <f>IF(OR(TH!L307=TH!$Y$7,M307=TH!$Y$7),"x","")</f>
        <v/>
      </c>
      <c r="Z307" s="525" t="str">
        <f>IF(AND(B307&lt;=NKC!$N$8,B307&gt;=NKC!$M$8),"x","")</f>
        <v/>
      </c>
      <c r="AA307" s="535">
        <v>2</v>
      </c>
    </row>
    <row r="308" spans="1:28" s="503" customFormat="1" ht="15.75" customHeight="1">
      <c r="A308" s="517" t="str">
        <f>IF(B308&lt;&gt;"",IF(AND(B308&gt;=_TM1,B308&lt;=_TM2,OR(TH!L308="1111",TH!M308="1111")),TH!D308,""),"")</f>
        <v/>
      </c>
      <c r="B308" s="531">
        <f t="shared" si="29"/>
        <v>6</v>
      </c>
      <c r="C308" s="315">
        <f t="shared" si="30"/>
        <v>42898</v>
      </c>
      <c r="D308" s="315" t="s">
        <v>456</v>
      </c>
      <c r="E308" s="288">
        <v>42898</v>
      </c>
      <c r="F308" s="248" t="s">
        <v>457</v>
      </c>
      <c r="G308" s="314" t="s">
        <v>290</v>
      </c>
      <c r="H308" s="473" t="s">
        <v>776</v>
      </c>
      <c r="I308" s="307"/>
      <c r="J308" s="307"/>
      <c r="K308" s="532">
        <v>5115000</v>
      </c>
      <c r="L308" s="533" t="s">
        <v>24</v>
      </c>
      <c r="M308" s="533" t="s">
        <v>223</v>
      </c>
      <c r="N308" s="525" t="str">
        <f>IF(AND('331-CT'!$E$7=TH!H308,OR(L308="331",M308="331")),"331",IF(AND(OR(L308="131",M308="131"),H308='131-CT'!$E$7),"131",""))</f>
        <v/>
      </c>
      <c r="O308" s="525" t="str">
        <f>IF(AND($B308&gt;='111'!$N$11,$B308&lt;='111'!$O$11,OR($L308=$O$7,$M308=$O$7)),"x","")</f>
        <v/>
      </c>
      <c r="P308" s="525" t="str">
        <f>IF(AND($L308=$O$7,$B308&lt;'111'!$N$11),"x","")</f>
        <v/>
      </c>
      <c r="Q308" s="525" t="str">
        <f>IF(AND($M308=$O$7,$B308&lt;'111'!$N$11),"x","")</f>
        <v/>
      </c>
      <c r="R308" s="525" t="str">
        <f>IF(ISERROR(FIND('112'!$M$9,G308,1)),"",IF((AND(FIND('112'!$M$9,G308,1)&gt;=1,$B308&gt;='112'!$N$8,$B308&lt;='112'!$O$8,OR($L308='112'!$I$6,$M308='112'!$I$6))),"x",""))</f>
        <v/>
      </c>
      <c r="S308" s="525" t="str">
        <f>IF(ISERROR(FIND('112'!$M$9,G308,1)),"",IF((AND(LEFT(G308,2)=LEFT('112'!$M$9,2),B308&lt;'112'!$N$8,$L308='112'!$I$6)),"x",""))</f>
        <v/>
      </c>
      <c r="T308" s="525" t="str">
        <f>IF(ISERROR(FIND('112'!$M$9,G308,1)),"",IF((AND(RIGHT(G308,2)=RIGHT('112'!$M$9,2),B308&lt;'112'!$N$8,$M308='112'!$I$6)),"x",""))</f>
        <v/>
      </c>
      <c r="U308" s="525" t="str">
        <f>IF(AND(B308&gt;='IN-NX'!$P$3,B308&lt;='IN-NX'!$Q$3,'IN-NX'!$D$7=D308,OR(LEFT(L308,2)="15",AND(LEFT(M308,2)&lt;&gt;"15",LEFT(M308,2)&lt;&gt;"33"))),"x","")</f>
        <v/>
      </c>
      <c r="V308" s="525" t="str">
        <f>IF(AND(OR(LEFT(TH!L308,2)="15",LEFT(TH!M308,2)="15"),'152-CT'!$J$8=TH!F308),"x","")</f>
        <v/>
      </c>
      <c r="W308" s="525" t="str">
        <f>IF(AND(OR(LEFT(TH!L308,2)="15",LEFT(TH!M308,2)="15"),TK!$E$7=TH!F308),"x","")</f>
        <v/>
      </c>
      <c r="X308" s="525" t="str">
        <f>IF(AND('341-CT'!$E$9=H308,OR(LEFT(L308,3)=$X$7,LEFT(M308,3)=$X$7)),"x","")</f>
        <v/>
      </c>
      <c r="Y308" s="525" t="str">
        <f>IF(OR(TH!L308=TH!$Y$7,M308=TH!$Y$7),"x","")</f>
        <v/>
      </c>
      <c r="Z308" s="525" t="str">
        <f>IF(AND(B308&lt;=NKC!$N$8,B308&gt;=NKC!$M$8),"x","")</f>
        <v/>
      </c>
      <c r="AA308" s="535"/>
      <c r="AB308" s="536"/>
    </row>
    <row r="309" spans="1:28" s="503" customFormat="1" ht="15.75" customHeight="1">
      <c r="A309" s="517" t="str">
        <f>IF(B309&lt;&gt;"",IF(AND(B309&gt;=_TM1,B309&lt;=_TM2,OR(TH!L309="1111",TH!M309="1111")),TH!D309,""),"")</f>
        <v/>
      </c>
      <c r="B309" s="531">
        <f t="shared" si="29"/>
        <v>6</v>
      </c>
      <c r="C309" s="315">
        <f t="shared" si="30"/>
        <v>42898</v>
      </c>
      <c r="D309" s="315" t="s">
        <v>456</v>
      </c>
      <c r="E309" s="288">
        <v>42898</v>
      </c>
      <c r="F309" s="248" t="s">
        <v>457</v>
      </c>
      <c r="G309" s="314" t="s">
        <v>290</v>
      </c>
      <c r="H309" s="472" t="s">
        <v>289</v>
      </c>
      <c r="I309" s="307"/>
      <c r="J309" s="307"/>
      <c r="K309" s="532">
        <v>46338600</v>
      </c>
      <c r="L309" s="533" t="s">
        <v>24</v>
      </c>
      <c r="M309" s="533" t="s">
        <v>223</v>
      </c>
      <c r="N309" s="525" t="str">
        <f>IF(AND('331-CT'!$E$7=TH!H309,OR(L309="331",M309="331")),"331",IF(AND(OR(L309="131",M309="131"),H309='131-CT'!$E$7),"131",""))</f>
        <v/>
      </c>
      <c r="O309" s="525" t="str">
        <f>IF(AND($B309&gt;='111'!$N$11,$B309&lt;='111'!$O$11,OR($L309=$O$7,$M309=$O$7)),"x","")</f>
        <v/>
      </c>
      <c r="P309" s="525" t="str">
        <f>IF(AND($L309=$O$7,$B309&lt;'111'!$N$11),"x","")</f>
        <v/>
      </c>
      <c r="Q309" s="525" t="str">
        <f>IF(AND($M309=$O$7,$B309&lt;'111'!$N$11),"x","")</f>
        <v/>
      </c>
      <c r="R309" s="525" t="str">
        <f>IF(ISERROR(FIND('112'!$M$9,G309,1)),"",IF((AND(FIND('112'!$M$9,G309,1)&gt;=1,$B309&gt;='112'!$N$8,$B309&lt;='112'!$O$8,OR($L309='112'!$I$6,$M309='112'!$I$6))),"x",""))</f>
        <v/>
      </c>
      <c r="S309" s="525" t="str">
        <f>IF(ISERROR(FIND('112'!$M$9,G309,1)),"",IF((AND(LEFT(G309,2)=LEFT('112'!$M$9,2),B309&lt;'112'!$N$8,$L309='112'!$I$6)),"x",""))</f>
        <v/>
      </c>
      <c r="T309" s="525" t="str">
        <f>IF(ISERROR(FIND('112'!$M$9,G309,1)),"",IF((AND(RIGHT(G309,2)=RIGHT('112'!$M$9,2),B309&lt;'112'!$N$8,$M309='112'!$I$6)),"x",""))</f>
        <v/>
      </c>
      <c r="U309" s="525" t="str">
        <f>IF(AND(B309&gt;='IN-NX'!$P$3,B309&lt;='IN-NX'!$Q$3,'IN-NX'!$D$7=D309,OR(LEFT(L309,2)="15",AND(LEFT(M309,2)&lt;&gt;"15",LEFT(M309,2)&lt;&gt;"33"))),"x","")</f>
        <v/>
      </c>
      <c r="V309" s="525" t="str">
        <f>IF(AND(OR(LEFT(TH!L309,2)="15",LEFT(TH!M309,2)="15"),'152-CT'!$J$8=TH!F309),"x","")</f>
        <v/>
      </c>
      <c r="W309" s="525" t="str">
        <f>IF(AND(OR(LEFT(TH!L309,2)="15",LEFT(TH!M309,2)="15"),TK!$E$7=TH!F309),"x","")</f>
        <v/>
      </c>
      <c r="X309" s="525" t="str">
        <f>IF(AND('341-CT'!$E$9=H309,OR(LEFT(L309,3)=$X$7,LEFT(M309,3)=$X$7)),"x","")</f>
        <v/>
      </c>
      <c r="Y309" s="525" t="str">
        <f>IF(OR(TH!L309=TH!$Y$7,M309=TH!$Y$7),"x","")</f>
        <v/>
      </c>
      <c r="Z309" s="525" t="str">
        <f>IF(AND(B309&lt;=NKC!$N$8,B309&gt;=NKC!$M$8),"x","")</f>
        <v/>
      </c>
      <c r="AA309" s="535"/>
    </row>
    <row r="310" spans="1:28" s="503" customFormat="1" ht="15.75" customHeight="1">
      <c r="A310" s="517" t="str">
        <f>IF(B310&lt;&gt;"",IF(AND(B310&gt;=_TM1,B310&lt;=_TM2,OR(TH!L310="1111",TH!M310="1111")),TH!D310,""),"")</f>
        <v/>
      </c>
      <c r="B310" s="531">
        <f t="shared" si="29"/>
        <v>6</v>
      </c>
      <c r="C310" s="315">
        <f t="shared" si="30"/>
        <v>42898</v>
      </c>
      <c r="D310" s="315" t="s">
        <v>461</v>
      </c>
      <c r="E310" s="288">
        <v>42898</v>
      </c>
      <c r="F310" s="249" t="s">
        <v>465</v>
      </c>
      <c r="G310" s="314" t="s">
        <v>290</v>
      </c>
      <c r="H310" s="473" t="s">
        <v>460</v>
      </c>
      <c r="I310" s="307"/>
      <c r="J310" s="307"/>
      <c r="K310" s="532">
        <v>5100000</v>
      </c>
      <c r="L310" s="533" t="s">
        <v>45</v>
      </c>
      <c r="M310" s="533" t="s">
        <v>24</v>
      </c>
      <c r="N310" s="525" t="str">
        <f>IF(AND('331-CT'!$E$7=TH!H310,OR(L310="331",M310="331")),"331",IF(AND(OR(L310="131",M310="131"),H310='131-CT'!$E$7),"131",""))</f>
        <v/>
      </c>
      <c r="O310" s="525" t="str">
        <f>IF(AND($B310&gt;='111'!$N$11,$B310&lt;='111'!$O$11,OR($L310=$O$7,$M310=$O$7)),"x","")</f>
        <v/>
      </c>
      <c r="P310" s="525" t="str">
        <f>IF(AND($L310=$O$7,$B310&lt;'111'!$N$11),"x","")</f>
        <v>x</v>
      </c>
      <c r="Q310" s="525" t="str">
        <f>IF(AND($M310=$O$7,$B310&lt;'111'!$N$11),"x","")</f>
        <v/>
      </c>
      <c r="R310" s="525" t="str">
        <f>IF(ISERROR(FIND('112'!$M$9,G310,1)),"",IF((AND(FIND('112'!$M$9,G310,1)&gt;=1,$B310&gt;='112'!$N$8,$B310&lt;='112'!$O$8,OR($L310='112'!$I$6,$M310='112'!$I$6))),"x",""))</f>
        <v/>
      </c>
      <c r="S310" s="525" t="str">
        <f>IF(ISERROR(FIND('112'!$M$9,G310,1)),"",IF((AND(LEFT(G310,2)=LEFT('112'!$M$9,2),B310&lt;'112'!$N$8,$L310='112'!$I$6)),"x",""))</f>
        <v/>
      </c>
      <c r="T310" s="525" t="str">
        <f>IF(ISERROR(FIND('112'!$M$9,G310,1)),"",IF((AND(RIGHT(G310,2)=RIGHT('112'!$M$9,2),B310&lt;'112'!$N$8,$M310='112'!$I$6)),"x",""))</f>
        <v/>
      </c>
      <c r="U310" s="525" t="str">
        <f>IF(AND(B310&gt;='IN-NX'!$P$3,B310&lt;='IN-NX'!$Q$3,'IN-NX'!$D$7=D310,OR(LEFT(L310,2)="15",AND(LEFT(M310,2)&lt;&gt;"15",LEFT(M310,2)&lt;&gt;"33"))),"x","")</f>
        <v/>
      </c>
      <c r="V310" s="525" t="str">
        <f>IF(AND(OR(LEFT(TH!L310,2)="15",LEFT(TH!M310,2)="15"),'152-CT'!$J$8=TH!F310),"x","")</f>
        <v/>
      </c>
      <c r="W310" s="525" t="str">
        <f>IF(AND(OR(LEFT(TH!L310,2)="15",LEFT(TH!M310,2)="15"),TK!$E$7=TH!F310),"x","")</f>
        <v/>
      </c>
      <c r="X310" s="525" t="str">
        <f>IF(AND('341-CT'!$E$9=H310,OR(LEFT(L310,3)=$X$7,LEFT(M310,3)=$X$7)),"x","")</f>
        <v/>
      </c>
      <c r="Y310" s="525" t="str">
        <f>IF(OR(TH!L310=TH!$Y$7,M310=TH!$Y$7),"x","")</f>
        <v/>
      </c>
      <c r="Z310" s="525" t="str">
        <f>IF(AND(B310&lt;=NKC!$N$8,B310&gt;=NKC!$M$8),"x","")</f>
        <v/>
      </c>
      <c r="AA310" s="535"/>
      <c r="AB310" s="536"/>
    </row>
    <row r="311" spans="1:28" s="503" customFormat="1" ht="15.75" customHeight="1">
      <c r="A311" s="517" t="str">
        <f>IF(B311&lt;&gt;"",IF(AND(B311&gt;=_TM1,B311&lt;=_TM2,OR(TH!L311="1111",TH!M311="1111")),TH!D311,""),"")</f>
        <v/>
      </c>
      <c r="B311" s="531">
        <f t="shared" si="29"/>
        <v>6</v>
      </c>
      <c r="C311" s="315">
        <f t="shared" si="30"/>
        <v>42899</v>
      </c>
      <c r="D311" s="315" t="s">
        <v>456</v>
      </c>
      <c r="E311" s="288">
        <v>42899</v>
      </c>
      <c r="F311" s="248" t="s">
        <v>457</v>
      </c>
      <c r="G311" s="314" t="s">
        <v>290</v>
      </c>
      <c r="H311" s="473" t="s">
        <v>595</v>
      </c>
      <c r="I311" s="307"/>
      <c r="J311" s="307"/>
      <c r="K311" s="532">
        <v>17497000</v>
      </c>
      <c r="L311" s="533" t="s">
        <v>24</v>
      </c>
      <c r="M311" s="533" t="s">
        <v>223</v>
      </c>
      <c r="N311" s="525" t="str">
        <f>IF(AND('331-CT'!$E$7=TH!H311,OR(L311="331",M311="331")),"331",IF(AND(OR(L311="131",M311="131"),H311='131-CT'!$E$7),"131",""))</f>
        <v/>
      </c>
      <c r="O311" s="525" t="str">
        <f>IF(AND($B311&gt;='111'!$N$11,$B311&lt;='111'!$O$11,OR($L311=$O$7,$M311=$O$7)),"x","")</f>
        <v/>
      </c>
      <c r="P311" s="525" t="str">
        <f>IF(AND($L311=$O$7,$B311&lt;'111'!$N$11),"x","")</f>
        <v/>
      </c>
      <c r="Q311" s="525" t="str">
        <f>IF(AND($M311=$O$7,$B311&lt;'111'!$N$11),"x","")</f>
        <v/>
      </c>
      <c r="R311" s="525" t="str">
        <f>IF(ISERROR(FIND('112'!$M$9,G311,1)),"",IF((AND(FIND('112'!$M$9,G311,1)&gt;=1,$B311&gt;='112'!$N$8,$B311&lt;='112'!$O$8,OR($L311='112'!$I$6,$M311='112'!$I$6))),"x",""))</f>
        <v/>
      </c>
      <c r="S311" s="525" t="str">
        <f>IF(ISERROR(FIND('112'!$M$9,G311,1)),"",IF((AND(LEFT(G311,2)=LEFT('112'!$M$9,2),B311&lt;'112'!$N$8,$L311='112'!$I$6)),"x",""))</f>
        <v/>
      </c>
      <c r="T311" s="525" t="str">
        <f>IF(ISERROR(FIND('112'!$M$9,G311,1)),"",IF((AND(RIGHT(G311,2)=RIGHT('112'!$M$9,2),B311&lt;'112'!$N$8,$M311='112'!$I$6)),"x",""))</f>
        <v/>
      </c>
      <c r="U311" s="525" t="str">
        <f>IF(AND(B311&gt;='IN-NX'!$P$3,B311&lt;='IN-NX'!$Q$3,'IN-NX'!$D$7=D311,OR(LEFT(L311,2)="15",AND(LEFT(M311,2)&lt;&gt;"15",LEFT(M311,2)&lt;&gt;"33"))),"x","")</f>
        <v/>
      </c>
      <c r="V311" s="525" t="str">
        <f>IF(AND(OR(LEFT(TH!L311,2)="15",LEFT(TH!M311,2)="15"),'152-CT'!$J$8=TH!F311),"x","")</f>
        <v/>
      </c>
      <c r="W311" s="525" t="str">
        <f>IF(AND(OR(LEFT(TH!L311,2)="15",LEFT(TH!M311,2)="15"),TK!$E$7=TH!F311),"x","")</f>
        <v/>
      </c>
      <c r="X311" s="525" t="str">
        <f>IF(AND('341-CT'!$E$9=H311,OR(LEFT(L311,3)=$X$7,LEFT(M311,3)=$X$7)),"x","")</f>
        <v/>
      </c>
      <c r="Y311" s="525" t="str">
        <f>IF(OR(TH!L311=TH!$Y$7,M311=TH!$Y$7),"x","")</f>
        <v/>
      </c>
      <c r="Z311" s="525" t="str">
        <f>IF(AND(B311&lt;=NKC!$N$8,B311&gt;=NKC!$M$8),"x","")</f>
        <v/>
      </c>
      <c r="AA311" s="535"/>
    </row>
    <row r="312" spans="1:28" s="503" customFormat="1" ht="15.75" customHeight="1">
      <c r="A312" s="517" t="str">
        <f>IF(B312&lt;&gt;"",IF(AND(B312&gt;=_TM1,B312&lt;=_TM2,OR(TH!L312="1111",TH!M312="1111")),TH!D312,""),"")</f>
        <v/>
      </c>
      <c r="B312" s="531">
        <f t="shared" si="29"/>
        <v>6</v>
      </c>
      <c r="C312" s="315">
        <f t="shared" si="30"/>
        <v>42899</v>
      </c>
      <c r="D312" s="315" t="s">
        <v>461</v>
      </c>
      <c r="E312" s="288">
        <v>42899</v>
      </c>
      <c r="F312" s="249" t="s">
        <v>465</v>
      </c>
      <c r="G312" s="314" t="s">
        <v>290</v>
      </c>
      <c r="H312" s="473" t="s">
        <v>460</v>
      </c>
      <c r="I312" s="307"/>
      <c r="J312" s="307"/>
      <c r="K312" s="532">
        <v>46300000</v>
      </c>
      <c r="L312" s="533" t="s">
        <v>45</v>
      </c>
      <c r="M312" s="533" t="s">
        <v>24</v>
      </c>
      <c r="N312" s="525" t="str">
        <f>IF(AND('331-CT'!$E$7=TH!H312,OR(L312="331",M312="331")),"331",IF(AND(OR(L312="131",M312="131"),H312='131-CT'!$E$7),"131",""))</f>
        <v/>
      </c>
      <c r="O312" s="525" t="str">
        <f>IF(AND($B312&gt;='111'!$N$11,$B312&lt;='111'!$O$11,OR($L312=$O$7,$M312=$O$7)),"x","")</f>
        <v/>
      </c>
      <c r="P312" s="525" t="str">
        <f>IF(AND($L312=$O$7,$B312&lt;'111'!$N$11),"x","")</f>
        <v>x</v>
      </c>
      <c r="Q312" s="525" t="str">
        <f>IF(AND($M312=$O$7,$B312&lt;'111'!$N$11),"x","")</f>
        <v/>
      </c>
      <c r="R312" s="525" t="str">
        <f>IF(ISERROR(FIND('112'!$M$9,G312,1)),"",IF((AND(FIND('112'!$M$9,G312,1)&gt;=1,$B312&gt;='112'!$N$8,$B312&lt;='112'!$O$8,OR($L312='112'!$I$6,$M312='112'!$I$6))),"x",""))</f>
        <v/>
      </c>
      <c r="S312" s="525" t="str">
        <f>IF(ISERROR(FIND('112'!$M$9,G312,1)),"",IF((AND(LEFT(G312,2)=LEFT('112'!$M$9,2),B312&lt;'112'!$N$8,$L312='112'!$I$6)),"x",""))</f>
        <v/>
      </c>
      <c r="T312" s="525" t="str">
        <f>IF(ISERROR(FIND('112'!$M$9,G312,1)),"",IF((AND(RIGHT(G312,2)=RIGHT('112'!$M$9,2),B312&lt;'112'!$N$8,$M312='112'!$I$6)),"x",""))</f>
        <v/>
      </c>
      <c r="U312" s="525" t="str">
        <f>IF(AND(B312&gt;='IN-NX'!$P$3,B312&lt;='IN-NX'!$Q$3,'IN-NX'!$D$7=D312,OR(LEFT(L312,2)="15",AND(LEFT(M312,2)&lt;&gt;"15",LEFT(M312,2)&lt;&gt;"33"))),"x","")</f>
        <v/>
      </c>
      <c r="V312" s="525" t="str">
        <f>IF(AND(OR(LEFT(TH!L312,2)="15",LEFT(TH!M312,2)="15"),'152-CT'!$J$8=TH!F312),"x","")</f>
        <v/>
      </c>
      <c r="W312" s="525" t="str">
        <f>IF(AND(OR(LEFT(TH!L312,2)="15",LEFT(TH!M312,2)="15"),TK!$E$7=TH!F312),"x","")</f>
        <v/>
      </c>
      <c r="X312" s="525" t="str">
        <f>IF(AND('341-CT'!$E$9=H312,OR(LEFT(L312,3)=$X$7,LEFT(M312,3)=$X$7)),"x","")</f>
        <v/>
      </c>
      <c r="Y312" s="525" t="str">
        <f>IF(OR(TH!L312=TH!$Y$7,M312=TH!$Y$7),"x","")</f>
        <v/>
      </c>
      <c r="Z312" s="525" t="str">
        <f>IF(AND(B312&lt;=NKC!$N$8,B312&gt;=NKC!$M$8),"x","")</f>
        <v/>
      </c>
      <c r="AA312" s="535"/>
    </row>
    <row r="313" spans="1:28" s="503" customFormat="1" ht="15.75" customHeight="1">
      <c r="A313" s="517" t="str">
        <f>IF(B313&lt;&gt;"",IF(AND(B313&gt;=_TM1,B313&lt;=_TM2,OR(TH!L313="1111",TH!M313="1111")),TH!D313,""),"")</f>
        <v/>
      </c>
      <c r="B313" s="531">
        <f t="shared" si="29"/>
        <v>6</v>
      </c>
      <c r="C313" s="315">
        <f t="shared" si="30"/>
        <v>42900</v>
      </c>
      <c r="D313" s="315" t="s">
        <v>461</v>
      </c>
      <c r="E313" s="288">
        <v>42900</v>
      </c>
      <c r="F313" s="249" t="s">
        <v>465</v>
      </c>
      <c r="G313" s="314" t="s">
        <v>290</v>
      </c>
      <c r="H313" s="473" t="s">
        <v>460</v>
      </c>
      <c r="I313" s="307"/>
      <c r="J313" s="307"/>
      <c r="K313" s="532">
        <v>17500000</v>
      </c>
      <c r="L313" s="533" t="s">
        <v>45</v>
      </c>
      <c r="M313" s="533" t="s">
        <v>24</v>
      </c>
      <c r="N313" s="525" t="str">
        <f>IF(AND('331-CT'!$E$7=TH!H313,OR(L313="331",M313="331")),"331",IF(AND(OR(L313="131",M313="131"),H313='131-CT'!$E$7),"131",""))</f>
        <v/>
      </c>
      <c r="O313" s="525" t="str">
        <f>IF(AND($B313&gt;='111'!$N$11,$B313&lt;='111'!$O$11,OR($L313=$O$7,$M313=$O$7)),"x","")</f>
        <v/>
      </c>
      <c r="P313" s="525" t="str">
        <f>IF(AND($L313=$O$7,$B313&lt;'111'!$N$11),"x","")</f>
        <v>x</v>
      </c>
      <c r="Q313" s="525" t="str">
        <f>IF(AND($M313=$O$7,$B313&lt;'111'!$N$11),"x","")</f>
        <v/>
      </c>
      <c r="R313" s="525" t="str">
        <f>IF(ISERROR(FIND('112'!$M$9,G313,1)),"",IF((AND(FIND('112'!$M$9,G313,1)&gt;=1,$B313&gt;='112'!$N$8,$B313&lt;='112'!$O$8,OR($L313='112'!$I$6,$M313='112'!$I$6))),"x",""))</f>
        <v/>
      </c>
      <c r="S313" s="525" t="str">
        <f>IF(ISERROR(FIND('112'!$M$9,G313,1)),"",IF((AND(LEFT(G313,2)=LEFT('112'!$M$9,2),B313&lt;'112'!$N$8,$L313='112'!$I$6)),"x",""))</f>
        <v/>
      </c>
      <c r="T313" s="525" t="str">
        <f>IF(ISERROR(FIND('112'!$M$9,G313,1)),"",IF((AND(RIGHT(G313,2)=RIGHT('112'!$M$9,2),B313&lt;'112'!$N$8,$M313='112'!$I$6)),"x",""))</f>
        <v/>
      </c>
      <c r="U313" s="525" t="str">
        <f>IF(AND(B313&gt;='IN-NX'!$P$3,B313&lt;='IN-NX'!$Q$3,'IN-NX'!$D$7=D313,OR(LEFT(L313,2)="15",AND(LEFT(M313,2)&lt;&gt;"15",LEFT(M313,2)&lt;&gt;"33"))),"x","")</f>
        <v/>
      </c>
      <c r="V313" s="525" t="str">
        <f>IF(AND(OR(LEFT(TH!L313,2)="15",LEFT(TH!M313,2)="15"),'152-CT'!$J$8=TH!F313),"x","")</f>
        <v/>
      </c>
      <c r="W313" s="525" t="str">
        <f>IF(AND(OR(LEFT(TH!L313,2)="15",LEFT(TH!M313,2)="15"),TK!$E$7=TH!F313),"x","")</f>
        <v/>
      </c>
      <c r="X313" s="525" t="str">
        <f>IF(AND('341-CT'!$E$9=H313,OR(LEFT(L313,3)=$X$7,LEFT(M313,3)=$X$7)),"x","")</f>
        <v/>
      </c>
      <c r="Y313" s="525" t="str">
        <f>IF(OR(TH!L313=TH!$Y$7,M313=TH!$Y$7),"x","")</f>
        <v/>
      </c>
      <c r="Z313" s="525" t="str">
        <f>IF(AND(B313&lt;=NKC!$N$8,B313&gt;=NKC!$M$8),"x","")</f>
        <v/>
      </c>
      <c r="AA313" s="535"/>
    </row>
    <row r="314" spans="1:28" s="503" customFormat="1" ht="15.75" customHeight="1">
      <c r="A314" s="517" t="str">
        <f>IF(B314&lt;&gt;"",IF(AND(B314&gt;=_TM1,B314&lt;=_TM2,OR(TH!L314="1111",TH!M314="1111")),TH!D314,""),"")</f>
        <v/>
      </c>
      <c r="B314" s="531">
        <f t="shared" si="29"/>
        <v>6</v>
      </c>
      <c r="C314" s="315">
        <f t="shared" si="30"/>
        <v>42905</v>
      </c>
      <c r="D314" s="315" t="s">
        <v>456</v>
      </c>
      <c r="E314" s="288">
        <v>42905</v>
      </c>
      <c r="F314" s="248" t="s">
        <v>457</v>
      </c>
      <c r="G314" s="314" t="s">
        <v>290</v>
      </c>
      <c r="H314" s="473" t="s">
        <v>1140</v>
      </c>
      <c r="I314" s="307"/>
      <c r="J314" s="307"/>
      <c r="K314" s="532">
        <v>1344684</v>
      </c>
      <c r="L314" s="533" t="s">
        <v>24</v>
      </c>
      <c r="M314" s="533" t="s">
        <v>223</v>
      </c>
      <c r="N314" s="525" t="str">
        <f>IF(AND('331-CT'!$E$7=TH!H314,OR(L314="331",M314="331")),"331",IF(AND(OR(L314="131",M314="131"),H314='131-CT'!$E$7),"131",""))</f>
        <v/>
      </c>
      <c r="O314" s="525" t="str">
        <f>IF(AND($B314&gt;='111'!$N$11,$B314&lt;='111'!$O$11,OR($L314=$O$7,$M314=$O$7)),"x","")</f>
        <v/>
      </c>
      <c r="P314" s="525" t="str">
        <f>IF(AND($L314=$O$7,$B314&lt;'111'!$N$11),"x","")</f>
        <v/>
      </c>
      <c r="Q314" s="525" t="str">
        <f>IF(AND($M314=$O$7,$B314&lt;'111'!$N$11),"x","")</f>
        <v/>
      </c>
      <c r="R314" s="525" t="str">
        <f>IF(ISERROR(FIND('112'!$M$9,G314,1)),"",IF((AND(FIND('112'!$M$9,G314,1)&gt;=1,$B314&gt;='112'!$N$8,$B314&lt;='112'!$O$8,OR($L314='112'!$I$6,$M314='112'!$I$6))),"x",""))</f>
        <v/>
      </c>
      <c r="S314" s="525" t="str">
        <f>IF(ISERROR(FIND('112'!$M$9,G314,1)),"",IF((AND(LEFT(G314,2)=LEFT('112'!$M$9,2),B314&lt;'112'!$N$8,$L314='112'!$I$6)),"x",""))</f>
        <v/>
      </c>
      <c r="T314" s="525" t="str">
        <f>IF(ISERROR(FIND('112'!$M$9,G314,1)),"",IF((AND(RIGHT(G314,2)=RIGHT('112'!$M$9,2),B314&lt;'112'!$N$8,$M314='112'!$I$6)),"x",""))</f>
        <v/>
      </c>
      <c r="U314" s="525" t="str">
        <f>IF(AND(B314&gt;='IN-NX'!$P$3,B314&lt;='IN-NX'!$Q$3,'IN-NX'!$D$7=D314,OR(LEFT(L314,2)="15",AND(LEFT(M314,2)&lt;&gt;"15",LEFT(M314,2)&lt;&gt;"33"))),"x","")</f>
        <v/>
      </c>
      <c r="V314" s="525" t="str">
        <f>IF(AND(OR(LEFT(TH!L314,2)="15",LEFT(TH!M314,2)="15"),'152-CT'!$J$8=TH!F314),"x","")</f>
        <v/>
      </c>
      <c r="W314" s="525" t="str">
        <f>IF(AND(OR(LEFT(TH!L314,2)="15",LEFT(TH!M314,2)="15"),TK!$E$7=TH!F314),"x","")</f>
        <v/>
      </c>
      <c r="X314" s="525" t="str">
        <f>IF(AND('341-CT'!$E$9=H314,OR(LEFT(L314,3)=$X$7,LEFT(M314,3)=$X$7)),"x","")</f>
        <v/>
      </c>
      <c r="Y314" s="525" t="str">
        <f>IF(OR(TH!L314=TH!$Y$7,M314=TH!$Y$7),"x","")</f>
        <v/>
      </c>
      <c r="Z314" s="525" t="str">
        <f>IF(AND(B314&lt;=NKC!$N$8,B314&gt;=NKC!$M$8),"x","")</f>
        <v/>
      </c>
      <c r="AA314" s="535"/>
    </row>
    <row r="315" spans="1:28" s="503" customFormat="1" ht="15.75" customHeight="1">
      <c r="A315" s="517" t="str">
        <f>IF(B315&lt;&gt;"",IF(AND(B315&gt;=_TM1,B315&lt;=_TM2,OR(TH!L315="1111",TH!M315="1111")),TH!D315,""),"")</f>
        <v/>
      </c>
      <c r="B315" s="531">
        <f t="shared" si="29"/>
        <v>6</v>
      </c>
      <c r="C315" s="315">
        <f t="shared" si="30"/>
        <v>42907</v>
      </c>
      <c r="D315" s="315" t="s">
        <v>456</v>
      </c>
      <c r="E315" s="288">
        <v>42907</v>
      </c>
      <c r="F315" s="248" t="s">
        <v>457</v>
      </c>
      <c r="G315" s="314" t="s">
        <v>290</v>
      </c>
      <c r="H315" s="473" t="s">
        <v>283</v>
      </c>
      <c r="I315" s="307"/>
      <c r="J315" s="307"/>
      <c r="K315" s="532">
        <v>170000000</v>
      </c>
      <c r="L315" s="533" t="s">
        <v>24</v>
      </c>
      <c r="M315" s="533" t="s">
        <v>223</v>
      </c>
      <c r="N315" s="525" t="str">
        <f>IF(AND('331-CT'!$E$7=TH!H315,OR(L315="331",M315="331")),"331",IF(AND(OR(L315="131",M315="131"),H315='131-CT'!$E$7),"131",""))</f>
        <v/>
      </c>
      <c r="O315" s="525" t="str">
        <f>IF(AND($B315&gt;='111'!$N$11,$B315&lt;='111'!$O$11,OR($L315=$O$7,$M315=$O$7)),"x","")</f>
        <v/>
      </c>
      <c r="P315" s="525" t="str">
        <f>IF(AND($L315=$O$7,$B315&lt;'111'!$N$11),"x","")</f>
        <v/>
      </c>
      <c r="Q315" s="525" t="str">
        <f>IF(AND($M315=$O$7,$B315&lt;'111'!$N$11),"x","")</f>
        <v/>
      </c>
      <c r="R315" s="525" t="str">
        <f>IF(ISERROR(FIND('112'!$M$9,G315,1)),"",IF((AND(FIND('112'!$M$9,G315,1)&gt;=1,$B315&gt;='112'!$N$8,$B315&lt;='112'!$O$8,OR($L315='112'!$I$6,$M315='112'!$I$6))),"x",""))</f>
        <v/>
      </c>
      <c r="S315" s="525" t="str">
        <f>IF(ISERROR(FIND('112'!$M$9,G315,1)),"",IF((AND(LEFT(G315,2)=LEFT('112'!$M$9,2),B315&lt;'112'!$N$8,$L315='112'!$I$6)),"x",""))</f>
        <v/>
      </c>
      <c r="T315" s="525" t="str">
        <f>IF(ISERROR(FIND('112'!$M$9,G315,1)),"",IF((AND(RIGHT(G315,2)=RIGHT('112'!$M$9,2),B315&lt;'112'!$N$8,$M315='112'!$I$6)),"x",""))</f>
        <v/>
      </c>
      <c r="U315" s="525" t="str">
        <f>IF(AND(B315&gt;='IN-NX'!$P$3,B315&lt;='IN-NX'!$Q$3,'IN-NX'!$D$7=D315,OR(LEFT(L315,2)="15",AND(LEFT(M315,2)&lt;&gt;"15",LEFT(M315,2)&lt;&gt;"33"))),"x","")</f>
        <v/>
      </c>
      <c r="V315" s="525" t="str">
        <f>IF(AND(OR(LEFT(TH!L315,2)="15",LEFT(TH!M315,2)="15"),'152-CT'!$J$8=TH!F315),"x","")</f>
        <v/>
      </c>
      <c r="W315" s="525" t="str">
        <f>IF(AND(OR(LEFT(TH!L315,2)="15",LEFT(TH!M315,2)="15"),TK!$E$7=TH!F315),"x","")</f>
        <v/>
      </c>
      <c r="X315" s="525" t="str">
        <f>IF(AND('341-CT'!$E$9=H315,OR(LEFT(L315,3)=$X$7,LEFT(M315,3)=$X$7)),"x","")</f>
        <v/>
      </c>
      <c r="Y315" s="525" t="str">
        <f>IF(OR(TH!L315=TH!$Y$7,M315=TH!$Y$7),"x","")</f>
        <v/>
      </c>
      <c r="Z315" s="525" t="str">
        <f>IF(AND(B315&lt;=NKC!$N$8,B315&gt;=NKC!$M$8),"x","")</f>
        <v/>
      </c>
      <c r="AA315" s="535"/>
      <c r="AB315" s="536"/>
    </row>
    <row r="316" spans="1:28" s="503" customFormat="1" ht="15.75" customHeight="1">
      <c r="A316" s="517" t="str">
        <f>IF(B316&lt;&gt;"",IF(AND(B316&gt;=_TM1,B316&lt;=_TM2,OR(TH!L316="1111",TH!M316="1111")),TH!D316,""),"")</f>
        <v/>
      </c>
      <c r="B316" s="531">
        <f t="shared" si="29"/>
        <v>6</v>
      </c>
      <c r="C316" s="315">
        <f t="shared" si="30"/>
        <v>42908</v>
      </c>
      <c r="D316" s="315" t="s">
        <v>456</v>
      </c>
      <c r="E316" s="288">
        <v>42908</v>
      </c>
      <c r="F316" s="248" t="s">
        <v>457</v>
      </c>
      <c r="G316" s="314" t="s">
        <v>290</v>
      </c>
      <c r="H316" s="473" t="s">
        <v>283</v>
      </c>
      <c r="I316" s="307"/>
      <c r="J316" s="307"/>
      <c r="K316" s="532">
        <v>167975000</v>
      </c>
      <c r="L316" s="533" t="s">
        <v>24</v>
      </c>
      <c r="M316" s="533" t="s">
        <v>223</v>
      </c>
      <c r="N316" s="525" t="str">
        <f>IF(AND('331-CT'!$E$7=TH!H316,OR(L316="331",M316="331")),"331",IF(AND(OR(L316="131",M316="131"),H316='131-CT'!$E$7),"131",""))</f>
        <v/>
      </c>
      <c r="O316" s="525" t="str">
        <f>IF(AND($B316&gt;='111'!$N$11,$B316&lt;='111'!$O$11,OR($L316=$O$7,$M316=$O$7)),"x","")</f>
        <v/>
      </c>
      <c r="P316" s="525" t="str">
        <f>IF(AND($L316=$O$7,$B316&lt;'111'!$N$11),"x","")</f>
        <v/>
      </c>
      <c r="Q316" s="525" t="str">
        <f>IF(AND($M316=$O$7,$B316&lt;'111'!$N$11),"x","")</f>
        <v/>
      </c>
      <c r="R316" s="525" t="str">
        <f>IF(ISERROR(FIND('112'!$M$9,G316,1)),"",IF((AND(FIND('112'!$M$9,G316,1)&gt;=1,$B316&gt;='112'!$N$8,$B316&lt;='112'!$O$8,OR($L316='112'!$I$6,$M316='112'!$I$6))),"x",""))</f>
        <v/>
      </c>
      <c r="S316" s="525" t="str">
        <f>IF(ISERROR(FIND('112'!$M$9,G316,1)),"",IF((AND(LEFT(G316,2)=LEFT('112'!$M$9,2),B316&lt;'112'!$N$8,$L316='112'!$I$6)),"x",""))</f>
        <v/>
      </c>
      <c r="T316" s="525" t="str">
        <f>IF(ISERROR(FIND('112'!$M$9,G316,1)),"",IF((AND(RIGHT(G316,2)=RIGHT('112'!$M$9,2),B316&lt;'112'!$N$8,$M316='112'!$I$6)),"x",""))</f>
        <v/>
      </c>
      <c r="U316" s="525" t="str">
        <f>IF(AND(B316&gt;='IN-NX'!$P$3,B316&lt;='IN-NX'!$Q$3,'IN-NX'!$D$7=D316,OR(LEFT(L316,2)="15",AND(LEFT(M316,2)&lt;&gt;"15",LEFT(M316,2)&lt;&gt;"33"))),"x","")</f>
        <v/>
      </c>
      <c r="V316" s="525" t="str">
        <f>IF(AND(OR(LEFT(TH!L316,2)="15",LEFT(TH!M316,2)="15"),'152-CT'!$J$8=TH!F316),"x","")</f>
        <v/>
      </c>
      <c r="W316" s="525" t="str">
        <f>IF(AND(OR(LEFT(TH!L316,2)="15",LEFT(TH!M316,2)="15"),TK!$E$7=TH!F316),"x","")</f>
        <v/>
      </c>
      <c r="X316" s="525" t="str">
        <f>IF(AND('341-CT'!$E$9=H316,OR(LEFT(L316,3)=$X$7,LEFT(M316,3)=$X$7)),"x","")</f>
        <v/>
      </c>
      <c r="Y316" s="525" t="str">
        <f>IF(OR(TH!L316=TH!$Y$7,M316=TH!$Y$7),"x","")</f>
        <v/>
      </c>
      <c r="Z316" s="525" t="str">
        <f>IF(AND(B316&lt;=NKC!$N$8,B316&gt;=NKC!$M$8),"x","")</f>
        <v/>
      </c>
      <c r="AA316" s="535"/>
    </row>
    <row r="317" spans="1:28" s="503" customFormat="1" ht="15.75" customHeight="1">
      <c r="A317" s="517" t="str">
        <f>IF(B317&lt;&gt;"",IF(AND(B317&gt;=_TM1,B317&lt;=_TM2,OR(TH!L317="1111",TH!M317="1111")),TH!D317,""),"")</f>
        <v/>
      </c>
      <c r="B317" s="531">
        <f t="shared" si="29"/>
        <v>6</v>
      </c>
      <c r="C317" s="315">
        <f t="shared" si="30"/>
        <v>42908</v>
      </c>
      <c r="D317" s="315" t="s">
        <v>461</v>
      </c>
      <c r="E317" s="288">
        <v>42908</v>
      </c>
      <c r="F317" s="249" t="s">
        <v>465</v>
      </c>
      <c r="G317" s="314" t="s">
        <v>290</v>
      </c>
      <c r="H317" s="473" t="s">
        <v>460</v>
      </c>
      <c r="I317" s="307"/>
      <c r="J317" s="307"/>
      <c r="K317" s="532">
        <v>171400000</v>
      </c>
      <c r="L317" s="533" t="s">
        <v>45</v>
      </c>
      <c r="M317" s="533" t="s">
        <v>24</v>
      </c>
      <c r="N317" s="525" t="str">
        <f>IF(AND('331-CT'!$E$7=TH!H317,OR(L317="331",M317="331")),"331",IF(AND(OR(L317="131",M317="131"),H317='131-CT'!$E$7),"131",""))</f>
        <v/>
      </c>
      <c r="O317" s="525" t="str">
        <f>IF(AND($B317&gt;='111'!$N$11,$B317&lt;='111'!$O$11,OR($L317=$O$7,$M317=$O$7)),"x","")</f>
        <v/>
      </c>
      <c r="P317" s="525" t="str">
        <f>IF(AND($L317=$O$7,$B317&lt;'111'!$N$11),"x","")</f>
        <v>x</v>
      </c>
      <c r="Q317" s="525" t="str">
        <f>IF(AND($M317=$O$7,$B317&lt;'111'!$N$11),"x","")</f>
        <v/>
      </c>
      <c r="R317" s="525" t="str">
        <f>IF(ISERROR(FIND('112'!$M$9,G317,1)),"",IF((AND(FIND('112'!$M$9,G317,1)&gt;=1,$B317&gt;='112'!$N$8,$B317&lt;='112'!$O$8,OR($L317='112'!$I$6,$M317='112'!$I$6))),"x",""))</f>
        <v/>
      </c>
      <c r="S317" s="525" t="str">
        <f>IF(ISERROR(FIND('112'!$M$9,G317,1)),"",IF((AND(LEFT(G317,2)=LEFT('112'!$M$9,2),B317&lt;'112'!$N$8,$L317='112'!$I$6)),"x",""))</f>
        <v/>
      </c>
      <c r="T317" s="525" t="str">
        <f>IF(ISERROR(FIND('112'!$M$9,G317,1)),"",IF((AND(RIGHT(G317,2)=RIGHT('112'!$M$9,2),B317&lt;'112'!$N$8,$M317='112'!$I$6)),"x",""))</f>
        <v/>
      </c>
      <c r="U317" s="525" t="str">
        <f>IF(AND(B317&gt;='IN-NX'!$P$3,B317&lt;='IN-NX'!$Q$3,'IN-NX'!$D$7=D317,OR(LEFT(L317,2)="15",AND(LEFT(M317,2)&lt;&gt;"15",LEFT(M317,2)&lt;&gt;"33"))),"x","")</f>
        <v/>
      </c>
      <c r="V317" s="525" t="str">
        <f>IF(AND(OR(LEFT(TH!L317,2)="15",LEFT(TH!M317,2)="15"),'152-CT'!$J$8=TH!F317),"x","")</f>
        <v/>
      </c>
      <c r="W317" s="525" t="str">
        <f>IF(AND(OR(LEFT(TH!L317,2)="15",LEFT(TH!M317,2)="15"),TK!$E$7=TH!F317),"x","")</f>
        <v/>
      </c>
      <c r="X317" s="525" t="str">
        <f>IF(AND('341-CT'!$E$9=H317,OR(LEFT(L317,3)=$X$7,LEFT(M317,3)=$X$7)),"x","")</f>
        <v/>
      </c>
      <c r="Y317" s="525" t="str">
        <f>IF(OR(TH!L317=TH!$Y$7,M317=TH!$Y$7),"x","")</f>
        <v/>
      </c>
      <c r="Z317" s="525" t="str">
        <f>IF(AND(B317&lt;=NKC!$N$8,B317&gt;=NKC!$M$8),"x","")</f>
        <v/>
      </c>
      <c r="AA317" s="535"/>
    </row>
    <row r="318" spans="1:28" s="503" customFormat="1" ht="15.75" customHeight="1">
      <c r="A318" s="517" t="str">
        <f>IF(B318&lt;&gt;"",IF(AND(B318&gt;=_TM1,B318&lt;=_TM2,OR(TH!L318="1111",TH!M318="1111")),TH!D318,""),"")</f>
        <v/>
      </c>
      <c r="B318" s="531">
        <f t="shared" si="29"/>
        <v>6</v>
      </c>
      <c r="C318" s="315">
        <f t="shared" si="30"/>
        <v>42908</v>
      </c>
      <c r="D318" s="315" t="s">
        <v>461</v>
      </c>
      <c r="E318" s="288">
        <v>42908</v>
      </c>
      <c r="F318" s="249" t="s">
        <v>465</v>
      </c>
      <c r="G318" s="314" t="s">
        <v>290</v>
      </c>
      <c r="H318" s="473" t="s">
        <v>460</v>
      </c>
      <c r="I318" s="307"/>
      <c r="J318" s="307"/>
      <c r="K318" s="532">
        <v>167990000</v>
      </c>
      <c r="L318" s="533" t="s">
        <v>45</v>
      </c>
      <c r="M318" s="533" t="s">
        <v>24</v>
      </c>
      <c r="N318" s="525" t="str">
        <f>IF(AND('331-CT'!$E$7=TH!H318,OR(L318="331",M318="331")),"331",IF(AND(OR(L318="131",M318="131"),H318='131-CT'!$E$7),"131",""))</f>
        <v/>
      </c>
      <c r="O318" s="525" t="str">
        <f>IF(AND($B318&gt;='111'!$N$11,$B318&lt;='111'!$O$11,OR($L318=$O$7,$M318=$O$7)),"x","")</f>
        <v/>
      </c>
      <c r="P318" s="525" t="str">
        <f>IF(AND($L318=$O$7,$B318&lt;'111'!$N$11),"x","")</f>
        <v>x</v>
      </c>
      <c r="Q318" s="525" t="str">
        <f>IF(AND($M318=$O$7,$B318&lt;'111'!$N$11),"x","")</f>
        <v/>
      </c>
      <c r="R318" s="525" t="str">
        <f>IF(ISERROR(FIND('112'!$M$9,G318,1)),"",IF((AND(FIND('112'!$M$9,G318,1)&gt;=1,$B318&gt;='112'!$N$8,$B318&lt;='112'!$O$8,OR($L318='112'!$I$6,$M318='112'!$I$6))),"x",""))</f>
        <v/>
      </c>
      <c r="S318" s="525" t="str">
        <f>IF(ISERROR(FIND('112'!$M$9,G318,1)),"",IF((AND(LEFT(G318,2)=LEFT('112'!$M$9,2),B318&lt;'112'!$N$8,$L318='112'!$I$6)),"x",""))</f>
        <v/>
      </c>
      <c r="T318" s="525" t="str">
        <f>IF(ISERROR(FIND('112'!$M$9,G318,1)),"",IF((AND(RIGHT(G318,2)=RIGHT('112'!$M$9,2),B318&lt;'112'!$N$8,$M318='112'!$I$6)),"x",""))</f>
        <v/>
      </c>
      <c r="U318" s="525" t="str">
        <f>IF(AND(B318&gt;='IN-NX'!$P$3,B318&lt;='IN-NX'!$Q$3,'IN-NX'!$D$7=D318,OR(LEFT(L318,2)="15",AND(LEFT(M318,2)&lt;&gt;"15",LEFT(M318,2)&lt;&gt;"33"))),"x","")</f>
        <v/>
      </c>
      <c r="V318" s="525" t="str">
        <f>IF(AND(OR(LEFT(TH!L318,2)="15",LEFT(TH!M318,2)="15"),'152-CT'!$J$8=TH!F318),"x","")</f>
        <v/>
      </c>
      <c r="W318" s="525" t="str">
        <f>IF(AND(OR(LEFT(TH!L318,2)="15",LEFT(TH!M318,2)="15"),TK!$E$7=TH!F318),"x","")</f>
        <v/>
      </c>
      <c r="X318" s="525" t="str">
        <f>IF(AND('341-CT'!$E$9=H318,OR(LEFT(L318,3)=$X$7,LEFT(M318,3)=$X$7)),"x","")</f>
        <v/>
      </c>
      <c r="Y318" s="525" t="str">
        <f>IF(OR(TH!L318=TH!$Y$7,M318=TH!$Y$7),"x","")</f>
        <v/>
      </c>
      <c r="Z318" s="525" t="str">
        <f>IF(AND(B318&lt;=NKC!$N$8,B318&gt;=NKC!$M$8),"x","")</f>
        <v/>
      </c>
      <c r="AA318" s="535"/>
    </row>
    <row r="319" spans="1:28" s="503" customFormat="1" ht="15.75" customHeight="1">
      <c r="A319" s="517" t="str">
        <f>IF(B319&lt;&gt;"",IF(AND(B319&gt;=_TM1,B319&lt;=_TM2,OR(TH!L319="1111",TH!M319="1111")),TH!D319,""),"")</f>
        <v/>
      </c>
      <c r="B319" s="531">
        <f t="shared" si="29"/>
        <v>6</v>
      </c>
      <c r="C319" s="315">
        <f t="shared" si="30"/>
        <v>42909</v>
      </c>
      <c r="D319" s="315" t="s">
        <v>456</v>
      </c>
      <c r="E319" s="288">
        <v>42909</v>
      </c>
      <c r="F319" s="248" t="s">
        <v>457</v>
      </c>
      <c r="G319" s="314" t="s">
        <v>290</v>
      </c>
      <c r="H319" s="473" t="s">
        <v>420</v>
      </c>
      <c r="I319" s="307"/>
      <c r="J319" s="307"/>
      <c r="K319" s="532">
        <v>84059525</v>
      </c>
      <c r="L319" s="533" t="s">
        <v>24</v>
      </c>
      <c r="M319" s="533" t="s">
        <v>223</v>
      </c>
      <c r="N319" s="525" t="str">
        <f>IF(AND('331-CT'!$E$7=TH!H319,OR(L319="331",M319="331")),"331",IF(AND(OR(L319="131",M319="131"),H319='131-CT'!$E$7),"131",""))</f>
        <v>131</v>
      </c>
      <c r="O319" s="525" t="str">
        <f>IF(AND($B319&gt;='111'!$N$11,$B319&lt;='111'!$O$11,OR($L319=$O$7,$M319=$O$7)),"x","")</f>
        <v/>
      </c>
      <c r="P319" s="525" t="str">
        <f>IF(AND($L319=$O$7,$B319&lt;'111'!$N$11),"x","")</f>
        <v/>
      </c>
      <c r="Q319" s="525" t="str">
        <f>IF(AND($M319=$O$7,$B319&lt;'111'!$N$11),"x","")</f>
        <v/>
      </c>
      <c r="R319" s="525" t="str">
        <f>IF(ISERROR(FIND('112'!$M$9,G319,1)),"",IF((AND(FIND('112'!$M$9,G319,1)&gt;=1,$B319&gt;='112'!$N$8,$B319&lt;='112'!$O$8,OR($L319='112'!$I$6,$M319='112'!$I$6))),"x",""))</f>
        <v/>
      </c>
      <c r="S319" s="525" t="str">
        <f>IF(ISERROR(FIND('112'!$M$9,G319,1)),"",IF((AND(LEFT(G319,2)=LEFT('112'!$M$9,2),B319&lt;'112'!$N$8,$L319='112'!$I$6)),"x",""))</f>
        <v/>
      </c>
      <c r="T319" s="525" t="str">
        <f>IF(ISERROR(FIND('112'!$M$9,G319,1)),"",IF((AND(RIGHT(G319,2)=RIGHT('112'!$M$9,2),B319&lt;'112'!$N$8,$M319='112'!$I$6)),"x",""))</f>
        <v/>
      </c>
      <c r="U319" s="525" t="str">
        <f>IF(AND(B319&gt;='IN-NX'!$P$3,B319&lt;='IN-NX'!$Q$3,'IN-NX'!$D$7=D319,OR(LEFT(L319,2)="15",AND(LEFT(M319,2)&lt;&gt;"15",LEFT(M319,2)&lt;&gt;"33"))),"x","")</f>
        <v/>
      </c>
      <c r="V319" s="525" t="str">
        <f>IF(AND(OR(LEFT(TH!L319,2)="15",LEFT(TH!M319,2)="15"),'152-CT'!$J$8=TH!F319),"x","")</f>
        <v/>
      </c>
      <c r="W319" s="525" t="str">
        <f>IF(AND(OR(LEFT(TH!L319,2)="15",LEFT(TH!M319,2)="15"),TK!$E$7=TH!F319),"x","")</f>
        <v/>
      </c>
      <c r="X319" s="525" t="str">
        <f>IF(AND('341-CT'!$E$9=H319,OR(LEFT(L319,3)=$X$7,LEFT(M319,3)=$X$7)),"x","")</f>
        <v/>
      </c>
      <c r="Y319" s="525" t="str">
        <f>IF(OR(TH!L319=TH!$Y$7,M319=TH!$Y$7),"x","")</f>
        <v/>
      </c>
      <c r="Z319" s="525" t="str">
        <f>IF(AND(B319&lt;=NKC!$N$8,B319&gt;=NKC!$M$8),"x","")</f>
        <v/>
      </c>
      <c r="AA319" s="535"/>
    </row>
    <row r="320" spans="1:28" s="503" customFormat="1" ht="15.75" customHeight="1">
      <c r="A320" s="517" t="str">
        <f>IF(B320&lt;&gt;"",IF(AND(B320&gt;=_TM1,B320&lt;=_TM2,OR(TH!L320="1111",TH!M320="1111")),TH!D320,""),"")</f>
        <v/>
      </c>
      <c r="B320" s="531">
        <f t="shared" si="29"/>
        <v>6</v>
      </c>
      <c r="C320" s="315">
        <f t="shared" si="30"/>
        <v>42909</v>
      </c>
      <c r="D320" s="315" t="s">
        <v>461</v>
      </c>
      <c r="E320" s="288">
        <v>42909</v>
      </c>
      <c r="F320" s="249" t="s">
        <v>465</v>
      </c>
      <c r="G320" s="314" t="s">
        <v>290</v>
      </c>
      <c r="H320" s="473" t="s">
        <v>460</v>
      </c>
      <c r="I320" s="307"/>
      <c r="J320" s="307"/>
      <c r="K320" s="532">
        <v>84000000</v>
      </c>
      <c r="L320" s="533" t="s">
        <v>45</v>
      </c>
      <c r="M320" s="533" t="s">
        <v>24</v>
      </c>
      <c r="N320" s="525" t="str">
        <f>IF(AND('331-CT'!$E$7=TH!H320,OR(L320="331",M320="331")),"331",IF(AND(OR(L320="131",M320="131"),H320='131-CT'!$E$7),"131",""))</f>
        <v/>
      </c>
      <c r="O320" s="525" t="str">
        <f>IF(AND($B320&gt;='111'!$N$11,$B320&lt;='111'!$O$11,OR($L320=$O$7,$M320=$O$7)),"x","")</f>
        <v/>
      </c>
      <c r="P320" s="525" t="str">
        <f>IF(AND($L320=$O$7,$B320&lt;'111'!$N$11),"x","")</f>
        <v>x</v>
      </c>
      <c r="Q320" s="525" t="str">
        <f>IF(AND($M320=$O$7,$B320&lt;'111'!$N$11),"x","")</f>
        <v/>
      </c>
      <c r="R320" s="525" t="str">
        <f>IF(ISERROR(FIND('112'!$M$9,G320,1)),"",IF((AND(FIND('112'!$M$9,G320,1)&gt;=1,$B320&gt;='112'!$N$8,$B320&lt;='112'!$O$8,OR($L320='112'!$I$6,$M320='112'!$I$6))),"x",""))</f>
        <v/>
      </c>
      <c r="S320" s="525" t="str">
        <f>IF(ISERROR(FIND('112'!$M$9,G320,1)),"",IF((AND(LEFT(G320,2)=LEFT('112'!$M$9,2),B320&lt;'112'!$N$8,$L320='112'!$I$6)),"x",""))</f>
        <v/>
      </c>
      <c r="T320" s="525" t="str">
        <f>IF(ISERROR(FIND('112'!$M$9,G320,1)),"",IF((AND(RIGHT(G320,2)=RIGHT('112'!$M$9,2),B320&lt;'112'!$N$8,$M320='112'!$I$6)),"x",""))</f>
        <v/>
      </c>
      <c r="U320" s="525" t="str">
        <f>IF(AND(B320&gt;='IN-NX'!$P$3,B320&lt;='IN-NX'!$Q$3,'IN-NX'!$D$7=D320,OR(LEFT(L320,2)="15",AND(LEFT(M320,2)&lt;&gt;"15",LEFT(M320,2)&lt;&gt;"33"))),"x","")</f>
        <v/>
      </c>
      <c r="V320" s="525" t="str">
        <f>IF(AND(OR(LEFT(TH!L320,2)="15",LEFT(TH!M320,2)="15"),'152-CT'!$J$8=TH!F320),"x","")</f>
        <v/>
      </c>
      <c r="W320" s="525" t="str">
        <f>IF(AND(OR(LEFT(TH!L320,2)="15",LEFT(TH!M320,2)="15"),TK!$E$7=TH!F320),"x","")</f>
        <v/>
      </c>
      <c r="X320" s="525" t="str">
        <f>IF(AND('341-CT'!$E$9=H320,OR(LEFT(L320,3)=$X$7,LEFT(M320,3)=$X$7)),"x","")</f>
        <v/>
      </c>
      <c r="Y320" s="525" t="str">
        <f>IF(OR(TH!L320=TH!$Y$7,M320=TH!$Y$7),"x","")</f>
        <v/>
      </c>
      <c r="Z320" s="525" t="str">
        <f>IF(AND(B320&lt;=NKC!$N$8,B320&gt;=NKC!$M$8),"x","")</f>
        <v/>
      </c>
      <c r="AA320" s="535"/>
    </row>
    <row r="321" spans="1:28" s="503" customFormat="1" ht="15.75" customHeight="1">
      <c r="A321" s="517" t="str">
        <f>IF(B321&lt;&gt;"",IF(AND(B321&gt;=_TM1,B321&lt;=_TM2,OR(TH!L321="1111",TH!M321="1111")),TH!D321,""),"")</f>
        <v/>
      </c>
      <c r="B321" s="531">
        <f t="shared" si="29"/>
        <v>6</v>
      </c>
      <c r="C321" s="315">
        <f t="shared" si="30"/>
        <v>42910</v>
      </c>
      <c r="D321" s="315" t="s">
        <v>461</v>
      </c>
      <c r="E321" s="288">
        <v>42910</v>
      </c>
      <c r="F321" s="249" t="s">
        <v>469</v>
      </c>
      <c r="G321" s="314" t="s">
        <v>290</v>
      </c>
      <c r="H321" s="472"/>
      <c r="I321" s="307"/>
      <c r="J321" s="307"/>
      <c r="K321" s="532">
        <v>50000</v>
      </c>
      <c r="L321" s="533" t="s">
        <v>81</v>
      </c>
      <c r="M321" s="533" t="s">
        <v>24</v>
      </c>
      <c r="N321" s="525" t="str">
        <f>IF(AND('331-CT'!$E$7=TH!H321,OR(L321="331",M321="331")),"331",IF(AND(OR(L321="131",M321="131"),H321='131-CT'!$E$7),"131",""))</f>
        <v/>
      </c>
      <c r="O321" s="525" t="str">
        <f>IF(AND($B321&gt;='111'!$N$11,$B321&lt;='111'!$O$11,OR($L321=$O$7,$M321=$O$7)),"x","")</f>
        <v/>
      </c>
      <c r="P321" s="525" t="str">
        <f>IF(AND($L321=$O$7,$B321&lt;'111'!$N$11),"x","")</f>
        <v/>
      </c>
      <c r="Q321" s="525" t="str">
        <f>IF(AND($M321=$O$7,$B321&lt;'111'!$N$11),"x","")</f>
        <v/>
      </c>
      <c r="R321" s="525" t="str">
        <f>IF(ISERROR(FIND('112'!$M$9,G321,1)),"",IF((AND(FIND('112'!$M$9,G321,1)&gt;=1,$B321&gt;='112'!$N$8,$B321&lt;='112'!$O$8,OR($L321='112'!$I$6,$M321='112'!$I$6))),"x",""))</f>
        <v/>
      </c>
      <c r="S321" s="525" t="str">
        <f>IF(ISERROR(FIND('112'!$M$9,G321,1)),"",IF((AND(LEFT(G321,2)=LEFT('112'!$M$9,2),B321&lt;'112'!$N$8,$L321='112'!$I$6)),"x",""))</f>
        <v/>
      </c>
      <c r="T321" s="525" t="str">
        <f>IF(ISERROR(FIND('112'!$M$9,G321,1)),"",IF((AND(RIGHT(G321,2)=RIGHT('112'!$M$9,2),B321&lt;'112'!$N$8,$M321='112'!$I$6)),"x",""))</f>
        <v/>
      </c>
      <c r="U321" s="525" t="str">
        <f>IF(AND(B321&gt;='IN-NX'!$P$3,B321&lt;='IN-NX'!$Q$3,'IN-NX'!$D$7=D321,OR(LEFT(L321,2)="15",AND(LEFT(M321,2)&lt;&gt;"15",LEFT(M321,2)&lt;&gt;"33"))),"x","")</f>
        <v/>
      </c>
      <c r="V321" s="525" t="str">
        <f>IF(AND(OR(LEFT(TH!L321,2)="15",LEFT(TH!M321,2)="15"),'152-CT'!$J$8=TH!F321),"x","")</f>
        <v/>
      </c>
      <c r="W321" s="525" t="str">
        <f>IF(AND(OR(LEFT(TH!L321,2)="15",LEFT(TH!M321,2)="15"),TK!$E$7=TH!F321),"x","")</f>
        <v/>
      </c>
      <c r="X321" s="525" t="str">
        <f>IF(AND('341-CT'!$E$9=H321,OR(LEFT(L321,3)=$X$7,LEFT(M321,3)=$X$7)),"x","")</f>
        <v/>
      </c>
      <c r="Y321" s="525" t="str">
        <f>IF(OR(TH!L321=TH!$Y$7,M321=TH!$Y$7),"x","")</f>
        <v/>
      </c>
      <c r="Z321" s="525" t="str">
        <f>IF(AND(B321&lt;=NKC!$N$8,B321&gt;=NKC!$M$8),"x","")</f>
        <v/>
      </c>
      <c r="AA321" s="535">
        <v>2</v>
      </c>
    </row>
    <row r="322" spans="1:28" s="503" customFormat="1" ht="15.75" customHeight="1">
      <c r="A322" s="517" t="str">
        <f>IF(B322&lt;&gt;"",IF(AND(B322&gt;=_TM1,B322&lt;=_TM2,OR(TH!L322="1111",TH!M322="1111")),TH!D322,""),"")</f>
        <v/>
      </c>
      <c r="B322" s="531">
        <f t="shared" si="29"/>
        <v>6</v>
      </c>
      <c r="C322" s="315">
        <f t="shared" si="30"/>
        <v>42910</v>
      </c>
      <c r="D322" s="315" t="s">
        <v>461</v>
      </c>
      <c r="E322" s="288">
        <v>42910</v>
      </c>
      <c r="F322" s="249" t="s">
        <v>470</v>
      </c>
      <c r="G322" s="314" t="s">
        <v>290</v>
      </c>
      <c r="H322" s="473"/>
      <c r="I322" s="307"/>
      <c r="J322" s="307"/>
      <c r="K322" s="532">
        <v>5000</v>
      </c>
      <c r="L322" s="533" t="s">
        <v>9</v>
      </c>
      <c r="M322" s="533" t="s">
        <v>24</v>
      </c>
      <c r="N322" s="525" t="str">
        <f>IF(AND('331-CT'!$E$7=TH!H322,OR(L322="331",M322="331")),"331",IF(AND(OR(L322="131",M322="131"),H322='131-CT'!$E$7),"131",""))</f>
        <v/>
      </c>
      <c r="O322" s="525" t="str">
        <f>IF(AND($B322&gt;='111'!$N$11,$B322&lt;='111'!$O$11,OR($L322=$O$7,$M322=$O$7)),"x","")</f>
        <v/>
      </c>
      <c r="P322" s="525" t="str">
        <f>IF(AND($L322=$O$7,$B322&lt;'111'!$N$11),"x","")</f>
        <v/>
      </c>
      <c r="Q322" s="525" t="str">
        <f>IF(AND($M322=$O$7,$B322&lt;'111'!$N$11),"x","")</f>
        <v/>
      </c>
      <c r="R322" s="525" t="str">
        <f>IF(ISERROR(FIND('112'!$M$9,G322,1)),"",IF((AND(FIND('112'!$M$9,G322,1)&gt;=1,$B322&gt;='112'!$N$8,$B322&lt;='112'!$O$8,OR($L322='112'!$I$6,$M322='112'!$I$6))),"x",""))</f>
        <v/>
      </c>
      <c r="S322" s="525" t="str">
        <f>IF(ISERROR(FIND('112'!$M$9,G322,1)),"",IF((AND(LEFT(G322,2)=LEFT('112'!$M$9,2),B322&lt;'112'!$N$8,$L322='112'!$I$6)),"x",""))</f>
        <v/>
      </c>
      <c r="T322" s="525" t="str">
        <f>IF(ISERROR(FIND('112'!$M$9,G322,1)),"",IF((AND(RIGHT(G322,2)=RIGHT('112'!$M$9,2),B322&lt;'112'!$N$8,$M322='112'!$I$6)),"x",""))</f>
        <v/>
      </c>
      <c r="U322" s="525" t="str">
        <f>IF(AND(B322&gt;='IN-NX'!$P$3,B322&lt;='IN-NX'!$Q$3,'IN-NX'!$D$7=D322,OR(LEFT(L322,2)="15",AND(LEFT(M322,2)&lt;&gt;"15",LEFT(M322,2)&lt;&gt;"33"))),"x","")</f>
        <v/>
      </c>
      <c r="V322" s="525" t="str">
        <f>IF(AND(OR(LEFT(TH!L322,2)="15",LEFT(TH!M322,2)="15"),'152-CT'!$J$8=TH!F322),"x","")</f>
        <v/>
      </c>
      <c r="W322" s="525" t="str">
        <f>IF(AND(OR(LEFT(TH!L322,2)="15",LEFT(TH!M322,2)="15"),TK!$E$7=TH!F322),"x","")</f>
        <v/>
      </c>
      <c r="X322" s="525" t="str">
        <f>IF(AND('341-CT'!$E$9=H322,OR(LEFT(L322,3)=$X$7,LEFT(M322,3)=$X$7)),"x","")</f>
        <v/>
      </c>
      <c r="Y322" s="525" t="str">
        <f>IF(OR(TH!L322=TH!$Y$7,M322=TH!$Y$7),"x","")</f>
        <v/>
      </c>
      <c r="Z322" s="525" t="str">
        <f>IF(AND(B322&lt;=NKC!$N$8,B322&gt;=NKC!$M$8),"x","")</f>
        <v/>
      </c>
      <c r="AA322" s="535">
        <v>2</v>
      </c>
      <c r="AB322" s="536"/>
    </row>
    <row r="323" spans="1:28" s="503" customFormat="1" ht="15.75" customHeight="1">
      <c r="A323" s="517" t="str">
        <f>IF(B323&lt;&gt;"",IF(AND(B323&gt;=_TM1,B323&lt;=_TM2,OR(TH!L323="1111",TH!M323="1111")),TH!D323,""),"")</f>
        <v/>
      </c>
      <c r="B323" s="531">
        <f t="shared" si="29"/>
        <v>6</v>
      </c>
      <c r="C323" s="315">
        <f t="shared" si="30"/>
        <v>42911</v>
      </c>
      <c r="D323" s="315" t="s">
        <v>456</v>
      </c>
      <c r="E323" s="288">
        <v>42911</v>
      </c>
      <c r="F323" s="248" t="s">
        <v>458</v>
      </c>
      <c r="G323" s="314" t="s">
        <v>290</v>
      </c>
      <c r="H323" s="472"/>
      <c r="I323" s="307"/>
      <c r="J323" s="307"/>
      <c r="K323" s="532">
        <v>2251</v>
      </c>
      <c r="L323" s="533" t="s">
        <v>24</v>
      </c>
      <c r="M323" s="533" t="s">
        <v>38</v>
      </c>
      <c r="N323" s="525" t="str">
        <f>IF(AND('331-CT'!$E$7=TH!H323,OR(L323="331",M323="331")),"331",IF(AND(OR(L323="131",M323="131"),H323='131-CT'!$E$7),"131",""))</f>
        <v/>
      </c>
      <c r="O323" s="525" t="str">
        <f>IF(AND($B323&gt;='111'!$N$11,$B323&lt;='111'!$O$11,OR($L323=$O$7,$M323=$O$7)),"x","")</f>
        <v/>
      </c>
      <c r="P323" s="525" t="str">
        <f>IF(AND($L323=$O$7,$B323&lt;'111'!$N$11),"x","")</f>
        <v/>
      </c>
      <c r="Q323" s="525" t="str">
        <f>IF(AND($M323=$O$7,$B323&lt;'111'!$N$11),"x","")</f>
        <v/>
      </c>
      <c r="R323" s="525" t="str">
        <f>IF(ISERROR(FIND('112'!$M$9,G323,1)),"",IF((AND(FIND('112'!$M$9,G323,1)&gt;=1,$B323&gt;='112'!$N$8,$B323&lt;='112'!$O$8,OR($L323='112'!$I$6,$M323='112'!$I$6))),"x",""))</f>
        <v/>
      </c>
      <c r="S323" s="525" t="str">
        <f>IF(ISERROR(FIND('112'!$M$9,G323,1)),"",IF((AND(LEFT(G323,2)=LEFT('112'!$M$9,2),B323&lt;'112'!$N$8,$L323='112'!$I$6)),"x",""))</f>
        <v/>
      </c>
      <c r="T323" s="525" t="str">
        <f>IF(ISERROR(FIND('112'!$M$9,G323,1)),"",IF((AND(RIGHT(G323,2)=RIGHT('112'!$M$9,2),B323&lt;'112'!$N$8,$M323='112'!$I$6)),"x",""))</f>
        <v/>
      </c>
      <c r="U323" s="525" t="str">
        <f>IF(AND(B323&gt;='IN-NX'!$P$3,B323&lt;='IN-NX'!$Q$3,'IN-NX'!$D$7=D323,OR(LEFT(L323,2)="15",AND(LEFT(M323,2)&lt;&gt;"15",LEFT(M323,2)&lt;&gt;"33"))),"x","")</f>
        <v/>
      </c>
      <c r="V323" s="525" t="str">
        <f>IF(AND(OR(LEFT(TH!L323,2)="15",LEFT(TH!M323,2)="15"),'152-CT'!$J$8=TH!F323),"x","")</f>
        <v/>
      </c>
      <c r="W323" s="525" t="str">
        <f>IF(AND(OR(LEFT(TH!L323,2)="15",LEFT(TH!M323,2)="15"),TK!$E$7=TH!F323),"x","")</f>
        <v/>
      </c>
      <c r="X323" s="525" t="str">
        <f>IF(AND('341-CT'!$E$9=H323,OR(LEFT(L323,3)=$X$7,LEFT(M323,3)=$X$7)),"x","")</f>
        <v/>
      </c>
      <c r="Y323" s="525" t="str">
        <f>IF(OR(TH!L323=TH!$Y$7,M323=TH!$Y$7),"x","")</f>
        <v/>
      </c>
      <c r="Z323" s="525" t="str">
        <f>IF(AND(B323&lt;=NKC!$N$8,B323&gt;=NKC!$M$8),"x","")</f>
        <v/>
      </c>
      <c r="AA323" s="535"/>
    </row>
    <row r="324" spans="1:28" s="503" customFormat="1" ht="15.75" customHeight="1">
      <c r="A324" s="517" t="str">
        <f>IF(B324&lt;&gt;"",IF(AND(B324&gt;=_TM1,B324&lt;=_TM2,OR(TH!L324="1111",TH!M324="1111")),TH!D324,""),"")</f>
        <v/>
      </c>
      <c r="B324" s="531">
        <f t="shared" si="29"/>
        <v>6</v>
      </c>
      <c r="C324" s="315">
        <f t="shared" si="30"/>
        <v>42911</v>
      </c>
      <c r="D324" s="315" t="s">
        <v>461</v>
      </c>
      <c r="E324" s="288">
        <v>42911</v>
      </c>
      <c r="F324" s="249" t="s">
        <v>473</v>
      </c>
      <c r="G324" s="314" t="s">
        <v>290</v>
      </c>
      <c r="H324" s="473"/>
      <c r="I324" s="307"/>
      <c r="J324" s="307"/>
      <c r="K324" s="532">
        <v>10000</v>
      </c>
      <c r="L324" s="533" t="s">
        <v>81</v>
      </c>
      <c r="M324" s="533" t="s">
        <v>24</v>
      </c>
      <c r="N324" s="525" t="str">
        <f>IF(AND('331-CT'!$E$7=TH!H324,OR(L324="331",M324="331")),"331",IF(AND(OR(L324="131",M324="131"),H324='131-CT'!$E$7),"131",""))</f>
        <v/>
      </c>
      <c r="O324" s="525" t="str">
        <f>IF(AND($B324&gt;='111'!$N$11,$B324&lt;='111'!$O$11,OR($L324=$O$7,$M324=$O$7)),"x","")</f>
        <v/>
      </c>
      <c r="P324" s="525" t="str">
        <f>IF(AND($L324=$O$7,$B324&lt;'111'!$N$11),"x","")</f>
        <v/>
      </c>
      <c r="Q324" s="525" t="str">
        <f>IF(AND($M324=$O$7,$B324&lt;'111'!$N$11),"x","")</f>
        <v/>
      </c>
      <c r="R324" s="525" t="str">
        <f>IF(ISERROR(FIND('112'!$M$9,G324,1)),"",IF((AND(FIND('112'!$M$9,G324,1)&gt;=1,$B324&gt;='112'!$N$8,$B324&lt;='112'!$O$8,OR($L324='112'!$I$6,$M324='112'!$I$6))),"x",""))</f>
        <v/>
      </c>
      <c r="S324" s="525" t="str">
        <f>IF(ISERROR(FIND('112'!$M$9,G324,1)),"",IF((AND(LEFT(G324,2)=LEFT('112'!$M$9,2),B324&lt;'112'!$N$8,$L324='112'!$I$6)),"x",""))</f>
        <v/>
      </c>
      <c r="T324" s="525" t="str">
        <f>IF(ISERROR(FIND('112'!$M$9,G324,1)),"",IF((AND(RIGHT(G324,2)=RIGHT('112'!$M$9,2),B324&lt;'112'!$N$8,$M324='112'!$I$6)),"x",""))</f>
        <v/>
      </c>
      <c r="U324" s="525" t="str">
        <f>IF(AND(B324&gt;='IN-NX'!$P$3,B324&lt;='IN-NX'!$Q$3,'IN-NX'!$D$7=D324,OR(LEFT(L324,2)="15",AND(LEFT(M324,2)&lt;&gt;"15",LEFT(M324,2)&lt;&gt;"33"))),"x","")</f>
        <v/>
      </c>
      <c r="V324" s="525" t="str">
        <f>IF(AND(OR(LEFT(TH!L324,2)="15",LEFT(TH!M324,2)="15"),'152-CT'!$J$8=TH!F324),"x","")</f>
        <v/>
      </c>
      <c r="W324" s="525" t="str">
        <f>IF(AND(OR(LEFT(TH!L324,2)="15",LEFT(TH!M324,2)="15"),TK!$E$7=TH!F324),"x","")</f>
        <v/>
      </c>
      <c r="X324" s="525" t="str">
        <f>IF(AND('341-CT'!$E$9=H324,OR(LEFT(L324,3)=$X$7,LEFT(M324,3)=$X$7)),"x","")</f>
        <v/>
      </c>
      <c r="Y324" s="525" t="str">
        <f>IF(OR(TH!L324=TH!$Y$7,M324=TH!$Y$7),"x","")</f>
        <v/>
      </c>
      <c r="Z324" s="525" t="str">
        <f>IF(AND(B324&lt;=NKC!$N$8,B324&gt;=NKC!$M$8),"x","")</f>
        <v/>
      </c>
      <c r="AA324" s="535">
        <v>2</v>
      </c>
    </row>
    <row r="325" spans="1:28" s="503" customFormat="1" ht="15.75" customHeight="1">
      <c r="A325" s="517" t="str">
        <f>IF(B325&lt;&gt;"",IF(AND(B325&gt;=_TM1,B325&lt;=_TM2,OR(TH!L325="1111",TH!M325="1111")),TH!D325,""),"")</f>
        <v/>
      </c>
      <c r="B325" s="531">
        <f t="shared" si="29"/>
        <v>6</v>
      </c>
      <c r="C325" s="315">
        <f t="shared" si="30"/>
        <v>42911</v>
      </c>
      <c r="D325" s="315" t="s">
        <v>461</v>
      </c>
      <c r="E325" s="288">
        <v>42911</v>
      </c>
      <c r="F325" s="249" t="s">
        <v>474</v>
      </c>
      <c r="G325" s="314" t="s">
        <v>290</v>
      </c>
      <c r="H325" s="472"/>
      <c r="I325" s="307"/>
      <c r="J325" s="307"/>
      <c r="K325" s="532">
        <v>1000</v>
      </c>
      <c r="L325" s="533" t="s">
        <v>9</v>
      </c>
      <c r="M325" s="533" t="s">
        <v>24</v>
      </c>
      <c r="N325" s="525" t="str">
        <f>IF(AND('331-CT'!$E$7=TH!H325,OR(L325="331",M325="331")),"331",IF(AND(OR(L325="131",M325="131"),H325='131-CT'!$E$7),"131",""))</f>
        <v/>
      </c>
      <c r="O325" s="525" t="str">
        <f>IF(AND($B325&gt;='111'!$N$11,$B325&lt;='111'!$O$11,OR($L325=$O$7,$M325=$O$7)),"x","")</f>
        <v/>
      </c>
      <c r="P325" s="525" t="str">
        <f>IF(AND($L325=$O$7,$B325&lt;'111'!$N$11),"x","")</f>
        <v/>
      </c>
      <c r="Q325" s="525" t="str">
        <f>IF(AND($M325=$O$7,$B325&lt;'111'!$N$11),"x","")</f>
        <v/>
      </c>
      <c r="R325" s="525" t="str">
        <f>IF(ISERROR(FIND('112'!$M$9,G325,1)),"",IF((AND(FIND('112'!$M$9,G325,1)&gt;=1,$B325&gt;='112'!$N$8,$B325&lt;='112'!$O$8,OR($L325='112'!$I$6,$M325='112'!$I$6))),"x",""))</f>
        <v/>
      </c>
      <c r="S325" s="525" t="str">
        <f>IF(ISERROR(FIND('112'!$M$9,G325,1)),"",IF((AND(LEFT(G325,2)=LEFT('112'!$M$9,2),B325&lt;'112'!$N$8,$L325='112'!$I$6)),"x",""))</f>
        <v/>
      </c>
      <c r="T325" s="525" t="str">
        <f>IF(ISERROR(FIND('112'!$M$9,G325,1)),"",IF((AND(RIGHT(G325,2)=RIGHT('112'!$M$9,2),B325&lt;'112'!$N$8,$M325='112'!$I$6)),"x",""))</f>
        <v/>
      </c>
      <c r="U325" s="525" t="str">
        <f>IF(AND(B325&gt;='IN-NX'!$P$3,B325&lt;='IN-NX'!$Q$3,'IN-NX'!$D$7=D325,OR(LEFT(L325,2)="15",AND(LEFT(M325,2)&lt;&gt;"15",LEFT(M325,2)&lt;&gt;"33"))),"x","")</f>
        <v/>
      </c>
      <c r="V325" s="525" t="str">
        <f>IF(AND(OR(LEFT(TH!L325,2)="15",LEFT(TH!M325,2)="15"),'152-CT'!$J$8=TH!F325),"x","")</f>
        <v/>
      </c>
      <c r="W325" s="525" t="str">
        <f>IF(AND(OR(LEFT(TH!L325,2)="15",LEFT(TH!M325,2)="15"),TK!$E$7=TH!F325),"x","")</f>
        <v/>
      </c>
      <c r="X325" s="525" t="str">
        <f>IF(AND('341-CT'!$E$9=H325,OR(LEFT(L325,3)=$X$7,LEFT(M325,3)=$X$7)),"x","")</f>
        <v/>
      </c>
      <c r="Y325" s="525" t="str">
        <f>IF(OR(TH!L325=TH!$Y$7,M325=TH!$Y$7),"x","")</f>
        <v/>
      </c>
      <c r="Z325" s="525" t="str">
        <f>IF(AND(B325&lt;=NKC!$N$8,B325&gt;=NKC!$M$8),"x","")</f>
        <v/>
      </c>
      <c r="AA325" s="535">
        <v>2</v>
      </c>
    </row>
    <row r="326" spans="1:28" s="503" customFormat="1" ht="15.75" customHeight="1">
      <c r="A326" s="517" t="str">
        <f>IF(B326&lt;&gt;"",IF(AND(B326&gt;=_TM1,B326&lt;=_TM2,OR(TH!L326="1111",TH!M326="1111")),TH!D326,""),"")</f>
        <v/>
      </c>
      <c r="B326" s="531">
        <f t="shared" si="29"/>
        <v>6</v>
      </c>
      <c r="C326" s="315">
        <f t="shared" si="30"/>
        <v>42912</v>
      </c>
      <c r="D326" s="315" t="s">
        <v>456</v>
      </c>
      <c r="E326" s="288">
        <v>42912</v>
      </c>
      <c r="F326" s="248" t="s">
        <v>459</v>
      </c>
      <c r="G326" s="314" t="s">
        <v>290</v>
      </c>
      <c r="H326" s="473" t="s">
        <v>460</v>
      </c>
      <c r="I326" s="307"/>
      <c r="J326" s="307"/>
      <c r="K326" s="532">
        <v>150000</v>
      </c>
      <c r="L326" s="533" t="s">
        <v>24</v>
      </c>
      <c r="M326" s="533" t="s">
        <v>45</v>
      </c>
      <c r="N326" s="525" t="str">
        <f>IF(AND('331-CT'!$E$7=TH!H326,OR(L326="331",M326="331")),"331",IF(AND(OR(L326="131",M326="131"),H326='131-CT'!$E$7),"131",""))</f>
        <v/>
      </c>
      <c r="O326" s="525" t="str">
        <f>IF(AND($B326&gt;='111'!$N$11,$B326&lt;='111'!$O$11,OR($L326=$O$7,$M326=$O$7)),"x","")</f>
        <v/>
      </c>
      <c r="P326" s="525" t="str">
        <f>IF(AND($L326=$O$7,$B326&lt;'111'!$N$11),"x","")</f>
        <v/>
      </c>
      <c r="Q326" s="525" t="str">
        <f>IF(AND($M326=$O$7,$B326&lt;'111'!$N$11),"x","")</f>
        <v>x</v>
      </c>
      <c r="R326" s="525" t="str">
        <f>IF(ISERROR(FIND('112'!$M$9,G326,1)),"",IF((AND(FIND('112'!$M$9,G326,1)&gt;=1,$B326&gt;='112'!$N$8,$B326&lt;='112'!$O$8,OR($L326='112'!$I$6,$M326='112'!$I$6))),"x",""))</f>
        <v/>
      </c>
      <c r="S326" s="525" t="str">
        <f>IF(ISERROR(FIND('112'!$M$9,G326,1)),"",IF((AND(LEFT(G326,2)=LEFT('112'!$M$9,2),B326&lt;'112'!$N$8,$L326='112'!$I$6)),"x",""))</f>
        <v/>
      </c>
      <c r="T326" s="525" t="str">
        <f>IF(ISERROR(FIND('112'!$M$9,G326,1)),"",IF((AND(RIGHT(G326,2)=RIGHT('112'!$M$9,2),B326&lt;'112'!$N$8,$M326='112'!$I$6)),"x",""))</f>
        <v/>
      </c>
      <c r="U326" s="525" t="str">
        <f>IF(AND(B326&gt;='IN-NX'!$P$3,B326&lt;='IN-NX'!$Q$3,'IN-NX'!$D$7=D326,OR(LEFT(L326,2)="15",AND(LEFT(M326,2)&lt;&gt;"15",LEFT(M326,2)&lt;&gt;"33"))),"x","")</f>
        <v/>
      </c>
      <c r="V326" s="525" t="str">
        <f>IF(AND(OR(LEFT(TH!L326,2)="15",LEFT(TH!M326,2)="15"),'152-CT'!$J$8=TH!F326),"x","")</f>
        <v/>
      </c>
      <c r="W326" s="525" t="str">
        <f>IF(AND(OR(LEFT(TH!L326,2)="15",LEFT(TH!M326,2)="15"),TK!$E$7=TH!F326),"x","")</f>
        <v/>
      </c>
      <c r="X326" s="525" t="str">
        <f>IF(AND('341-CT'!$E$9=H326,OR(LEFT(L326,3)=$X$7,LEFT(M326,3)=$X$7)),"x","")</f>
        <v/>
      </c>
      <c r="Y326" s="525" t="str">
        <f>IF(OR(TH!L326=TH!$Y$7,M326=TH!$Y$7),"x","")</f>
        <v/>
      </c>
      <c r="Z326" s="525" t="str">
        <f>IF(AND(B326&lt;=NKC!$N$8,B326&gt;=NKC!$M$8),"x","")</f>
        <v/>
      </c>
      <c r="AA326" s="535"/>
    </row>
    <row r="327" spans="1:28" s="503" customFormat="1" ht="15.75" customHeight="1">
      <c r="A327" s="517" t="str">
        <f>IF(B327&lt;&gt;"",IF(AND(B327&gt;=_TM1,B327&lt;=_TM2,OR(TH!L327="1111",TH!M327="1111")),TH!D327,""),"")</f>
        <v/>
      </c>
      <c r="B327" s="531">
        <f t="shared" si="29"/>
        <v>6</v>
      </c>
      <c r="C327" s="315">
        <f t="shared" si="30"/>
        <v>42912</v>
      </c>
      <c r="D327" s="315" t="s">
        <v>456</v>
      </c>
      <c r="E327" s="288">
        <v>42912</v>
      </c>
      <c r="F327" s="248" t="s">
        <v>459</v>
      </c>
      <c r="G327" s="314" t="s">
        <v>290</v>
      </c>
      <c r="H327" s="473" t="s">
        <v>460</v>
      </c>
      <c r="I327" s="307"/>
      <c r="J327" s="307"/>
      <c r="K327" s="532">
        <v>14978000</v>
      </c>
      <c r="L327" s="533" t="s">
        <v>24</v>
      </c>
      <c r="M327" s="533" t="s">
        <v>45</v>
      </c>
      <c r="N327" s="525" t="str">
        <f>IF(AND('331-CT'!$E$7=TH!H327,OR(L327="331",M327="331")),"331",IF(AND(OR(L327="131",M327="131"),H327='131-CT'!$E$7),"131",""))</f>
        <v/>
      </c>
      <c r="O327" s="525" t="str">
        <f>IF(AND($B327&gt;='111'!$N$11,$B327&lt;='111'!$O$11,OR($L327=$O$7,$M327=$O$7)),"x","")</f>
        <v/>
      </c>
      <c r="P327" s="525" t="str">
        <f>IF(AND($L327=$O$7,$B327&lt;'111'!$N$11),"x","")</f>
        <v/>
      </c>
      <c r="Q327" s="525" t="str">
        <f>IF(AND($M327=$O$7,$B327&lt;'111'!$N$11),"x","")</f>
        <v>x</v>
      </c>
      <c r="R327" s="525" t="str">
        <f>IF(ISERROR(FIND('112'!$M$9,G327,1)),"",IF((AND(FIND('112'!$M$9,G327,1)&gt;=1,$B327&gt;='112'!$N$8,$B327&lt;='112'!$O$8,OR($L327='112'!$I$6,$M327='112'!$I$6))),"x",""))</f>
        <v/>
      </c>
      <c r="S327" s="525" t="str">
        <f>IF(ISERROR(FIND('112'!$M$9,G327,1)),"",IF((AND(LEFT(G327,2)=LEFT('112'!$M$9,2),B327&lt;'112'!$N$8,$L327='112'!$I$6)),"x",""))</f>
        <v/>
      </c>
      <c r="T327" s="525" t="str">
        <f>IF(ISERROR(FIND('112'!$M$9,G327,1)),"",IF((AND(RIGHT(G327,2)=RIGHT('112'!$M$9,2),B327&lt;'112'!$N$8,$M327='112'!$I$6)),"x",""))</f>
        <v/>
      </c>
      <c r="U327" s="525" t="str">
        <f>IF(AND(B327&gt;='IN-NX'!$P$3,B327&lt;='IN-NX'!$Q$3,'IN-NX'!$D$7=D327,OR(LEFT(L327,2)="15",AND(LEFT(M327,2)&lt;&gt;"15",LEFT(M327,2)&lt;&gt;"33"))),"x","")</f>
        <v/>
      </c>
      <c r="V327" s="525" t="str">
        <f>IF(AND(OR(LEFT(TH!L327,2)="15",LEFT(TH!M327,2)="15"),'152-CT'!$J$8=TH!F327),"x","")</f>
        <v/>
      </c>
      <c r="W327" s="525" t="str">
        <f>IF(AND(OR(LEFT(TH!L327,2)="15",LEFT(TH!M327,2)="15"),TK!$E$7=TH!F327),"x","")</f>
        <v/>
      </c>
      <c r="X327" s="525" t="str">
        <f>IF(AND('341-CT'!$E$9=H327,OR(LEFT(L327,3)=$X$7,LEFT(M327,3)=$X$7)),"x","")</f>
        <v/>
      </c>
      <c r="Y327" s="525" t="str">
        <f>IF(OR(TH!L327=TH!$Y$7,M327=TH!$Y$7),"x","")</f>
        <v/>
      </c>
      <c r="Z327" s="525" t="str">
        <f>IF(AND(B327&lt;=NKC!$N$8,B327&gt;=NKC!$M$8),"x","")</f>
        <v/>
      </c>
      <c r="AA327" s="535"/>
    </row>
    <row r="328" spans="1:28" s="503" customFormat="1" ht="15.75" customHeight="1">
      <c r="A328" s="517" t="str">
        <f>IF(B328&lt;&gt;"",IF(AND(B328&gt;=_TM1,B328&lt;=_TM2,OR(TH!L328="1111",TH!M328="1111")),TH!D328,""),"")</f>
        <v/>
      </c>
      <c r="B328" s="531">
        <f t="shared" si="29"/>
        <v>6</v>
      </c>
      <c r="C328" s="315">
        <f t="shared" si="30"/>
        <v>42912</v>
      </c>
      <c r="D328" s="315" t="s">
        <v>461</v>
      </c>
      <c r="E328" s="288">
        <v>42912</v>
      </c>
      <c r="F328" s="249" t="s">
        <v>462</v>
      </c>
      <c r="G328" s="314" t="s">
        <v>290</v>
      </c>
      <c r="H328" s="473"/>
      <c r="I328" s="307"/>
      <c r="J328" s="307"/>
      <c r="K328" s="532">
        <v>5000000</v>
      </c>
      <c r="L328" s="533" t="s">
        <v>302</v>
      </c>
      <c r="M328" s="533" t="s">
        <v>24</v>
      </c>
      <c r="N328" s="525" t="str">
        <f>IF(AND('331-CT'!$E$7=TH!H328,OR(L328="331",M328="331")),"331",IF(AND(OR(L328="131",M328="131"),H328='131-CT'!$E$7),"131",""))</f>
        <v/>
      </c>
      <c r="O328" s="525" t="str">
        <f>IF(AND($B328&gt;='111'!$N$11,$B328&lt;='111'!$O$11,OR($L328=$O$7,$M328=$O$7)),"x","")</f>
        <v/>
      </c>
      <c r="P328" s="525" t="str">
        <f>IF(AND($L328=$O$7,$B328&lt;'111'!$N$11),"x","")</f>
        <v/>
      </c>
      <c r="Q328" s="525" t="str">
        <f>IF(AND($M328=$O$7,$B328&lt;'111'!$N$11),"x","")</f>
        <v/>
      </c>
      <c r="R328" s="525" t="str">
        <f>IF(ISERROR(FIND('112'!$M$9,G328,1)),"",IF((AND(FIND('112'!$M$9,G328,1)&gt;=1,$B328&gt;='112'!$N$8,$B328&lt;='112'!$O$8,OR($L328='112'!$I$6,$M328='112'!$I$6))),"x",""))</f>
        <v/>
      </c>
      <c r="S328" s="525" t="str">
        <f>IF(ISERROR(FIND('112'!$M$9,G328,1)),"",IF((AND(LEFT(G328,2)=LEFT('112'!$M$9,2),B328&lt;'112'!$N$8,$L328='112'!$I$6)),"x",""))</f>
        <v/>
      </c>
      <c r="T328" s="525" t="str">
        <f>IF(ISERROR(FIND('112'!$M$9,G328,1)),"",IF((AND(RIGHT(G328,2)=RIGHT('112'!$M$9,2),B328&lt;'112'!$N$8,$M328='112'!$I$6)),"x",""))</f>
        <v/>
      </c>
      <c r="U328" s="525" t="str">
        <f>IF(AND(B328&gt;='IN-NX'!$P$3,B328&lt;='IN-NX'!$Q$3,'IN-NX'!$D$7=D328,OR(LEFT(L328,2)="15",AND(LEFT(M328,2)&lt;&gt;"15",LEFT(M328,2)&lt;&gt;"33"))),"x","")</f>
        <v/>
      </c>
      <c r="V328" s="525" t="str">
        <f>IF(AND(OR(LEFT(TH!L328,2)="15",LEFT(TH!M328,2)="15"),'152-CT'!$J$8=TH!F328),"x","")</f>
        <v/>
      </c>
      <c r="W328" s="525" t="str">
        <f>IF(AND(OR(LEFT(TH!L328,2)="15",LEFT(TH!M328,2)="15"),TK!$E$7=TH!F328),"x","")</f>
        <v/>
      </c>
      <c r="X328" s="525" t="str">
        <f>IF(AND('341-CT'!$E$9=H328,OR(LEFT(L328,3)=$X$7,LEFT(M328,3)=$X$7)),"x","")</f>
        <v/>
      </c>
      <c r="Y328" s="525" t="str">
        <f>IF(OR(TH!L328=TH!$Y$7,M328=TH!$Y$7),"x","")</f>
        <v/>
      </c>
      <c r="Z328" s="525" t="str">
        <f>IF(AND(B328&lt;=NKC!$N$8,B328&gt;=NKC!$M$8),"x","")</f>
        <v/>
      </c>
      <c r="AA328" s="535"/>
    </row>
    <row r="329" spans="1:28" s="503" customFormat="1" ht="15.75" customHeight="1">
      <c r="A329" s="517" t="str">
        <f>IF(B329&lt;&gt;"",IF(AND(B329&gt;=_TM1,B329&lt;=_TM2,OR(TH!L329="1111",TH!M329="1111")),TH!D329,""),"")</f>
        <v/>
      </c>
      <c r="B329" s="531">
        <f t="shared" si="29"/>
        <v>6</v>
      </c>
      <c r="C329" s="315">
        <f t="shared" si="30"/>
        <v>42912</v>
      </c>
      <c r="D329" s="315" t="s">
        <v>461</v>
      </c>
      <c r="E329" s="288">
        <v>42912</v>
      </c>
      <c r="F329" s="248" t="s">
        <v>463</v>
      </c>
      <c r="G329" s="314" t="s">
        <v>290</v>
      </c>
      <c r="H329" s="473"/>
      <c r="I329" s="307"/>
      <c r="J329" s="307"/>
      <c r="K329" s="532">
        <v>10000</v>
      </c>
      <c r="L329" s="533" t="s">
        <v>81</v>
      </c>
      <c r="M329" s="533" t="s">
        <v>24</v>
      </c>
      <c r="N329" s="525" t="str">
        <f>IF(AND('331-CT'!$E$7=TH!H329,OR(L329="331",M329="331")),"331",IF(AND(OR(L329="131",M329="131"),H329='131-CT'!$E$7),"131",""))</f>
        <v/>
      </c>
      <c r="O329" s="525" t="str">
        <f>IF(AND($B329&gt;='111'!$N$11,$B329&lt;='111'!$O$11,OR($L329=$O$7,$M329=$O$7)),"x","")</f>
        <v/>
      </c>
      <c r="P329" s="525" t="str">
        <f>IF(AND($L329=$O$7,$B329&lt;'111'!$N$11),"x","")</f>
        <v/>
      </c>
      <c r="Q329" s="525" t="str">
        <f>IF(AND($M329=$O$7,$B329&lt;'111'!$N$11),"x","")</f>
        <v/>
      </c>
      <c r="R329" s="525" t="str">
        <f>IF(ISERROR(FIND('112'!$M$9,G329,1)),"",IF((AND(FIND('112'!$M$9,G329,1)&gt;=1,$B329&gt;='112'!$N$8,$B329&lt;='112'!$O$8,OR($L329='112'!$I$6,$M329='112'!$I$6))),"x",""))</f>
        <v/>
      </c>
      <c r="S329" s="525" t="str">
        <f>IF(ISERROR(FIND('112'!$M$9,G329,1)),"",IF((AND(LEFT(G329,2)=LEFT('112'!$M$9,2),B329&lt;'112'!$N$8,$L329='112'!$I$6)),"x",""))</f>
        <v/>
      </c>
      <c r="T329" s="525" t="str">
        <f>IF(ISERROR(FIND('112'!$M$9,G329,1)),"",IF((AND(RIGHT(G329,2)=RIGHT('112'!$M$9,2),B329&lt;'112'!$N$8,$M329='112'!$I$6)),"x",""))</f>
        <v/>
      </c>
      <c r="U329" s="525" t="str">
        <f>IF(AND(B329&gt;='IN-NX'!$P$3,B329&lt;='IN-NX'!$Q$3,'IN-NX'!$D$7=D329,OR(LEFT(L329,2)="15",AND(LEFT(M329,2)&lt;&gt;"15",LEFT(M329,2)&lt;&gt;"33"))),"x","")</f>
        <v/>
      </c>
      <c r="V329" s="525" t="str">
        <f>IF(AND(OR(LEFT(TH!L329,2)="15",LEFT(TH!M329,2)="15"),'152-CT'!$J$8=TH!F329),"x","")</f>
        <v/>
      </c>
      <c r="W329" s="525" t="str">
        <f>IF(AND(OR(LEFT(TH!L329,2)="15",LEFT(TH!M329,2)="15"),TK!$E$7=TH!F329),"x","")</f>
        <v/>
      </c>
      <c r="X329" s="525" t="str">
        <f>IF(AND('341-CT'!$E$9=H329,OR(LEFT(L329,3)=$X$7,LEFT(M329,3)=$X$7)),"x","")</f>
        <v/>
      </c>
      <c r="Y329" s="525" t="str">
        <f>IF(OR(TH!L329=TH!$Y$7,M329=TH!$Y$7),"x","")</f>
        <v/>
      </c>
      <c r="Z329" s="525" t="str">
        <f>IF(AND(B329&lt;=NKC!$N$8,B329&gt;=NKC!$M$8),"x","")</f>
        <v/>
      </c>
      <c r="AA329" s="535">
        <v>2</v>
      </c>
      <c r="AB329" s="536"/>
    </row>
    <row r="330" spans="1:28" s="503" customFormat="1" ht="15.75" customHeight="1">
      <c r="A330" s="517" t="str">
        <f>IF(B330&lt;&gt;"",IF(AND(B330&gt;=_TM1,B330&lt;=_TM2,OR(TH!L330="1111",TH!M330="1111")),TH!D330,""),"")</f>
        <v/>
      </c>
      <c r="B330" s="531">
        <f t="shared" ref="B330:B345" si="31">IF(C330&lt;&gt;"",MONTH(C330),"")</f>
        <v>6</v>
      </c>
      <c r="C330" s="315">
        <f t="shared" ref="C330:C345" si="32">E330</f>
        <v>42912</v>
      </c>
      <c r="D330" s="315" t="s">
        <v>461</v>
      </c>
      <c r="E330" s="288">
        <v>42912</v>
      </c>
      <c r="F330" s="248" t="s">
        <v>464</v>
      </c>
      <c r="G330" s="314" t="s">
        <v>290</v>
      </c>
      <c r="H330" s="473"/>
      <c r="I330" s="307"/>
      <c r="J330" s="307"/>
      <c r="K330" s="532">
        <v>1000</v>
      </c>
      <c r="L330" s="533" t="s">
        <v>9</v>
      </c>
      <c r="M330" s="533" t="s">
        <v>24</v>
      </c>
      <c r="N330" s="525" t="str">
        <f>IF(AND('331-CT'!$E$7=TH!H330,OR(L330="331",M330="331")),"331",IF(AND(OR(L330="131",M330="131"),H330='131-CT'!$E$7),"131",""))</f>
        <v/>
      </c>
      <c r="O330" s="525" t="str">
        <f>IF(AND($B330&gt;='111'!$N$11,$B330&lt;='111'!$O$11,OR($L330=$O$7,$M330=$O$7)),"x","")</f>
        <v/>
      </c>
      <c r="P330" s="525" t="str">
        <f>IF(AND($L330=$O$7,$B330&lt;'111'!$N$11),"x","")</f>
        <v/>
      </c>
      <c r="Q330" s="525" t="str">
        <f>IF(AND($M330=$O$7,$B330&lt;'111'!$N$11),"x","")</f>
        <v/>
      </c>
      <c r="R330" s="525" t="str">
        <f>IF(ISERROR(FIND('112'!$M$9,G330,1)),"",IF((AND(FIND('112'!$M$9,G330,1)&gt;=1,$B330&gt;='112'!$N$8,$B330&lt;='112'!$O$8,OR($L330='112'!$I$6,$M330='112'!$I$6))),"x",""))</f>
        <v/>
      </c>
      <c r="S330" s="525" t="str">
        <f>IF(ISERROR(FIND('112'!$M$9,G330,1)),"",IF((AND(LEFT(G330,2)=LEFT('112'!$M$9,2),B330&lt;'112'!$N$8,$L330='112'!$I$6)),"x",""))</f>
        <v/>
      </c>
      <c r="T330" s="525" t="str">
        <f>IF(ISERROR(FIND('112'!$M$9,G330,1)),"",IF((AND(RIGHT(G330,2)=RIGHT('112'!$M$9,2),B330&lt;'112'!$N$8,$M330='112'!$I$6)),"x",""))</f>
        <v/>
      </c>
      <c r="U330" s="525" t="str">
        <f>IF(AND(B330&gt;='IN-NX'!$P$3,B330&lt;='IN-NX'!$Q$3,'IN-NX'!$D$7=D330,OR(LEFT(L330,2)="15",AND(LEFT(M330,2)&lt;&gt;"15",LEFT(M330,2)&lt;&gt;"33"))),"x","")</f>
        <v/>
      </c>
      <c r="V330" s="525" t="str">
        <f>IF(AND(OR(LEFT(TH!L330,2)="15",LEFT(TH!M330,2)="15"),'152-CT'!$J$8=TH!F330),"x","")</f>
        <v/>
      </c>
      <c r="W330" s="525" t="str">
        <f>IF(AND(OR(LEFT(TH!L330,2)="15",LEFT(TH!M330,2)="15"),TK!$E$7=TH!F330),"x","")</f>
        <v/>
      </c>
      <c r="X330" s="525" t="str">
        <f>IF(AND('341-CT'!$E$9=H330,OR(LEFT(L330,3)=$X$7,LEFT(M330,3)=$X$7)),"x","")</f>
        <v/>
      </c>
      <c r="Y330" s="525" t="str">
        <f>IF(OR(TH!L330=TH!$Y$7,M330=TH!$Y$7),"x","")</f>
        <v/>
      </c>
      <c r="Z330" s="525" t="str">
        <f>IF(AND(B330&lt;=NKC!$N$8,B330&gt;=NKC!$M$8),"x","")</f>
        <v/>
      </c>
      <c r="AA330" s="535">
        <v>2</v>
      </c>
    </row>
    <row r="331" spans="1:28" s="503" customFormat="1" ht="15.75" customHeight="1">
      <c r="A331" s="517" t="str">
        <f>IF(B331&lt;&gt;"",IF(AND(B331&gt;=_TM1,B331&lt;=_TM2,OR(TH!L331="1111",TH!M331="1111")),TH!D331,""),"")</f>
        <v/>
      </c>
      <c r="B331" s="531">
        <f t="shared" si="31"/>
        <v>6</v>
      </c>
      <c r="C331" s="315">
        <f t="shared" si="32"/>
        <v>42912</v>
      </c>
      <c r="D331" s="315" t="s">
        <v>461</v>
      </c>
      <c r="E331" s="288">
        <v>42912</v>
      </c>
      <c r="F331" s="249" t="s">
        <v>468</v>
      </c>
      <c r="G331" s="314" t="s">
        <v>290</v>
      </c>
      <c r="H331" s="473" t="s">
        <v>270</v>
      </c>
      <c r="I331" s="307"/>
      <c r="J331" s="307"/>
      <c r="K331" s="532">
        <v>10000000</v>
      </c>
      <c r="L331" s="534" t="s">
        <v>8</v>
      </c>
      <c r="M331" s="533" t="s">
        <v>24</v>
      </c>
      <c r="N331" s="525" t="str">
        <f>IF(AND('331-CT'!$E$7=TH!H331,OR(L331="331",M331="331")),"331",IF(AND(OR(L331="131",M331="131"),H331='131-CT'!$E$7),"131",""))</f>
        <v/>
      </c>
      <c r="O331" s="525" t="str">
        <f>IF(AND($B331&gt;='111'!$N$11,$B331&lt;='111'!$O$11,OR($L331=$O$7,$M331=$O$7)),"x","")</f>
        <v/>
      </c>
      <c r="P331" s="525" t="str">
        <f>IF(AND($L331=$O$7,$B331&lt;'111'!$N$11),"x","")</f>
        <v/>
      </c>
      <c r="Q331" s="525" t="str">
        <f>IF(AND($M331=$O$7,$B331&lt;'111'!$N$11),"x","")</f>
        <v/>
      </c>
      <c r="R331" s="525" t="str">
        <f>IF(ISERROR(FIND('112'!$M$9,G331,1)),"",IF((AND(FIND('112'!$M$9,G331,1)&gt;=1,$B331&gt;='112'!$N$8,$B331&lt;='112'!$O$8,OR($L331='112'!$I$6,$M331='112'!$I$6))),"x",""))</f>
        <v/>
      </c>
      <c r="S331" s="525" t="str">
        <f>IF(ISERROR(FIND('112'!$M$9,G331,1)),"",IF((AND(LEFT(G331,2)=LEFT('112'!$M$9,2),B331&lt;'112'!$N$8,$L331='112'!$I$6)),"x",""))</f>
        <v/>
      </c>
      <c r="T331" s="525" t="str">
        <f>IF(ISERROR(FIND('112'!$M$9,G331,1)),"",IF((AND(RIGHT(G331,2)=RIGHT('112'!$M$9,2),B331&lt;'112'!$N$8,$M331='112'!$I$6)),"x",""))</f>
        <v/>
      </c>
      <c r="U331" s="525" t="str">
        <f>IF(AND(B331&gt;='IN-NX'!$P$3,B331&lt;='IN-NX'!$Q$3,'IN-NX'!$D$7=D331,OR(LEFT(L331,2)="15",AND(LEFT(M331,2)&lt;&gt;"15",LEFT(M331,2)&lt;&gt;"33"))),"x","")</f>
        <v/>
      </c>
      <c r="V331" s="525" t="str">
        <f>IF(AND(OR(LEFT(TH!L331,2)="15",LEFT(TH!M331,2)="15"),'152-CT'!$J$8=TH!F331),"x","")</f>
        <v/>
      </c>
      <c r="W331" s="525" t="str">
        <f>IF(AND(OR(LEFT(TH!L331,2)="15",LEFT(TH!M331,2)="15"),TK!$E$7=TH!F331),"x","")</f>
        <v/>
      </c>
      <c r="X331" s="525" t="str">
        <f>IF(AND('341-CT'!$E$9=H331,OR(LEFT(L331,3)=$X$7,LEFT(M331,3)=$X$7)),"x","")</f>
        <v/>
      </c>
      <c r="Y331" s="525" t="str">
        <f>IF(OR(TH!L331=TH!$Y$7,M331=TH!$Y$7),"x","")</f>
        <v/>
      </c>
      <c r="Z331" s="525" t="str">
        <f>IF(AND(B331&lt;=NKC!$N$8,B331&gt;=NKC!$M$8),"x","")</f>
        <v/>
      </c>
      <c r="AA331" s="535"/>
    </row>
    <row r="332" spans="1:28" s="503" customFormat="1" ht="15.75" customHeight="1">
      <c r="A332" s="517" t="str">
        <f>IF(B332&lt;&gt;"",IF(AND(B332&gt;=_TM1,B332&lt;=_TM2,OR(TH!L332="1111",TH!M332="1111")),TH!D332,""),"")</f>
        <v/>
      </c>
      <c r="B332" s="531">
        <f t="shared" si="31"/>
        <v>6</v>
      </c>
      <c r="C332" s="315">
        <f t="shared" si="32"/>
        <v>42912</v>
      </c>
      <c r="D332" s="315" t="s">
        <v>461</v>
      </c>
      <c r="E332" s="288">
        <v>42912</v>
      </c>
      <c r="F332" s="248" t="s">
        <v>463</v>
      </c>
      <c r="G332" s="314" t="s">
        <v>290</v>
      </c>
      <c r="H332" s="472"/>
      <c r="I332" s="307"/>
      <c r="J332" s="307"/>
      <c r="K332" s="532">
        <v>20000</v>
      </c>
      <c r="L332" s="533" t="s">
        <v>81</v>
      </c>
      <c r="M332" s="533" t="s">
        <v>24</v>
      </c>
      <c r="N332" s="525" t="str">
        <f>IF(AND('331-CT'!$E$7=TH!H332,OR(L332="331",M332="331")),"331",IF(AND(OR(L332="131",M332="131"),H332='131-CT'!$E$7),"131",""))</f>
        <v/>
      </c>
      <c r="O332" s="525" t="str">
        <f>IF(AND($B332&gt;='111'!$N$11,$B332&lt;='111'!$O$11,OR($L332=$O$7,$M332=$O$7)),"x","")</f>
        <v/>
      </c>
      <c r="P332" s="525" t="str">
        <f>IF(AND($L332=$O$7,$B332&lt;'111'!$N$11),"x","")</f>
        <v/>
      </c>
      <c r="Q332" s="525" t="str">
        <f>IF(AND($M332=$O$7,$B332&lt;'111'!$N$11),"x","")</f>
        <v/>
      </c>
      <c r="R332" s="525" t="str">
        <f>IF(ISERROR(FIND('112'!$M$9,G332,1)),"",IF((AND(FIND('112'!$M$9,G332,1)&gt;=1,$B332&gt;='112'!$N$8,$B332&lt;='112'!$O$8,OR($L332='112'!$I$6,$M332='112'!$I$6))),"x",""))</f>
        <v/>
      </c>
      <c r="S332" s="525" t="str">
        <f>IF(ISERROR(FIND('112'!$M$9,G332,1)),"",IF((AND(LEFT(G332,2)=LEFT('112'!$M$9,2),B332&lt;'112'!$N$8,$L332='112'!$I$6)),"x",""))</f>
        <v/>
      </c>
      <c r="T332" s="525" t="str">
        <f>IF(ISERROR(FIND('112'!$M$9,G332,1)),"",IF((AND(RIGHT(G332,2)=RIGHT('112'!$M$9,2),B332&lt;'112'!$N$8,$M332='112'!$I$6)),"x",""))</f>
        <v/>
      </c>
      <c r="U332" s="525" t="str">
        <f>IF(AND(B332&gt;='IN-NX'!$P$3,B332&lt;='IN-NX'!$Q$3,'IN-NX'!$D$7=D332,OR(LEFT(L332,2)="15",AND(LEFT(M332,2)&lt;&gt;"15",LEFT(M332,2)&lt;&gt;"33"))),"x","")</f>
        <v/>
      </c>
      <c r="V332" s="525" t="str">
        <f>IF(AND(OR(LEFT(TH!L332,2)="15",LEFT(TH!M332,2)="15"),'152-CT'!$J$8=TH!F332),"x","")</f>
        <v/>
      </c>
      <c r="W332" s="525" t="str">
        <f>IF(AND(OR(LEFT(TH!L332,2)="15",LEFT(TH!M332,2)="15"),TK!$E$7=TH!F332),"x","")</f>
        <v/>
      </c>
      <c r="X332" s="525" t="str">
        <f>IF(AND('341-CT'!$E$9=H332,OR(LEFT(L332,3)=$X$7,LEFT(M332,3)=$X$7)),"x","")</f>
        <v/>
      </c>
      <c r="Y332" s="525" t="str">
        <f>IF(OR(TH!L332=TH!$Y$7,M332=TH!$Y$7),"x","")</f>
        <v/>
      </c>
      <c r="Z332" s="525" t="str">
        <f>IF(AND(B332&lt;=NKC!$N$8,B332&gt;=NKC!$M$8),"x","")</f>
        <v/>
      </c>
      <c r="AA332" s="535">
        <v>2</v>
      </c>
    </row>
    <row r="333" spans="1:28" s="503" customFormat="1" ht="15.75" customHeight="1">
      <c r="A333" s="517" t="str">
        <f>IF(B333&lt;&gt;"",IF(AND(B333&gt;=_TM1,B333&lt;=_TM2,OR(TH!L333="1111",TH!M333="1111")),TH!D333,""),"")</f>
        <v/>
      </c>
      <c r="B333" s="531">
        <f t="shared" si="31"/>
        <v>6</v>
      </c>
      <c r="C333" s="315">
        <f t="shared" si="32"/>
        <v>42912</v>
      </c>
      <c r="D333" s="315" t="s">
        <v>461</v>
      </c>
      <c r="E333" s="288">
        <v>42912</v>
      </c>
      <c r="F333" s="248" t="s">
        <v>464</v>
      </c>
      <c r="G333" s="314" t="s">
        <v>290</v>
      </c>
      <c r="H333" s="472"/>
      <c r="I333" s="307"/>
      <c r="J333" s="307"/>
      <c r="K333" s="532">
        <v>2000</v>
      </c>
      <c r="L333" s="533" t="s">
        <v>9</v>
      </c>
      <c r="M333" s="533" t="s">
        <v>24</v>
      </c>
      <c r="N333" s="525" t="str">
        <f>IF(AND('331-CT'!$E$7=TH!H333,OR(L333="331",M333="331")),"331",IF(AND(OR(L333="131",M333="131"),H333='131-CT'!$E$7),"131",""))</f>
        <v/>
      </c>
      <c r="O333" s="525" t="str">
        <f>IF(AND($B333&gt;='111'!$N$11,$B333&lt;='111'!$O$11,OR($L333=$O$7,$M333=$O$7)),"x","")</f>
        <v/>
      </c>
      <c r="P333" s="525" t="str">
        <f>IF(AND($L333=$O$7,$B333&lt;'111'!$N$11),"x","")</f>
        <v/>
      </c>
      <c r="Q333" s="525" t="str">
        <f>IF(AND($M333=$O$7,$B333&lt;'111'!$N$11),"x","")</f>
        <v/>
      </c>
      <c r="R333" s="525" t="str">
        <f>IF(ISERROR(FIND('112'!$M$9,G333,1)),"",IF((AND(FIND('112'!$M$9,G333,1)&gt;=1,$B333&gt;='112'!$N$8,$B333&lt;='112'!$O$8,OR($L333='112'!$I$6,$M333='112'!$I$6))),"x",""))</f>
        <v/>
      </c>
      <c r="S333" s="525" t="str">
        <f>IF(ISERROR(FIND('112'!$M$9,G333,1)),"",IF((AND(LEFT(G333,2)=LEFT('112'!$M$9,2),B333&lt;'112'!$N$8,$L333='112'!$I$6)),"x",""))</f>
        <v/>
      </c>
      <c r="T333" s="525" t="str">
        <f>IF(ISERROR(FIND('112'!$M$9,G333,1)),"",IF((AND(RIGHT(G333,2)=RIGHT('112'!$M$9,2),B333&lt;'112'!$N$8,$M333='112'!$I$6)),"x",""))</f>
        <v/>
      </c>
      <c r="U333" s="525" t="str">
        <f>IF(AND(B333&gt;='IN-NX'!$P$3,B333&lt;='IN-NX'!$Q$3,'IN-NX'!$D$7=D333,OR(LEFT(L333,2)="15",AND(LEFT(M333,2)&lt;&gt;"15",LEFT(M333,2)&lt;&gt;"33"))),"x","")</f>
        <v/>
      </c>
      <c r="V333" s="525" t="str">
        <f>IF(AND(OR(LEFT(TH!L333,2)="15",LEFT(TH!M333,2)="15"),'152-CT'!$J$8=TH!F333),"x","")</f>
        <v/>
      </c>
      <c r="W333" s="525" t="str">
        <f>IF(AND(OR(LEFT(TH!L333,2)="15",LEFT(TH!M333,2)="15"),TK!$E$7=TH!F333),"x","")</f>
        <v/>
      </c>
      <c r="X333" s="525" t="str">
        <f>IF(AND('341-CT'!$E$9=H333,OR(LEFT(L333,3)=$X$7,LEFT(M333,3)=$X$7)),"x","")</f>
        <v/>
      </c>
      <c r="Y333" s="525" t="str">
        <f>IF(OR(TH!L333=TH!$Y$7,M333=TH!$Y$7),"x","")</f>
        <v/>
      </c>
      <c r="Z333" s="525" t="str">
        <f>IF(AND(B333&lt;=NKC!$N$8,B333&gt;=NKC!$M$8),"x","")</f>
        <v/>
      </c>
      <c r="AA333" s="535">
        <v>2</v>
      </c>
    </row>
    <row r="334" spans="1:28" s="503" customFormat="1" ht="15.75" customHeight="1">
      <c r="A334" s="517" t="str">
        <f>IF(B334&lt;&gt;"",IF(AND(B334&gt;=_TM1,B334&lt;=_TM2,OR(TH!L334="1111",TH!M334="1111")),TH!D334,""),"")</f>
        <v/>
      </c>
      <c r="B334" s="531">
        <f t="shared" si="31"/>
        <v>6</v>
      </c>
      <c r="C334" s="315">
        <f t="shared" si="32"/>
        <v>42912</v>
      </c>
      <c r="D334" s="315" t="s">
        <v>461</v>
      </c>
      <c r="E334" s="288">
        <v>42912</v>
      </c>
      <c r="F334" s="249" t="s">
        <v>1262</v>
      </c>
      <c r="G334" s="314" t="s">
        <v>290</v>
      </c>
      <c r="H334" s="473"/>
      <c r="I334" s="307"/>
      <c r="J334" s="307"/>
      <c r="K334" s="532">
        <v>20000</v>
      </c>
      <c r="L334" s="533" t="s">
        <v>81</v>
      </c>
      <c r="M334" s="533" t="s">
        <v>24</v>
      </c>
      <c r="N334" s="525" t="str">
        <f>IF(AND('331-CT'!$E$7=TH!H334,OR(L334="331",M334="331")),"331",IF(AND(OR(L334="131",M334="131"),H334='131-CT'!$E$7),"131",""))</f>
        <v/>
      </c>
      <c r="O334" s="525" t="str">
        <f>IF(AND($B334&gt;='111'!$N$11,$B334&lt;='111'!$O$11,OR($L334=$O$7,$M334=$O$7)),"x","")</f>
        <v/>
      </c>
      <c r="P334" s="525" t="str">
        <f>IF(AND($L334=$O$7,$B334&lt;'111'!$N$11),"x","")</f>
        <v/>
      </c>
      <c r="Q334" s="525" t="str">
        <f>IF(AND($M334=$O$7,$B334&lt;'111'!$N$11),"x","")</f>
        <v/>
      </c>
      <c r="R334" s="525" t="str">
        <f>IF(ISERROR(FIND('112'!$M$9,G334,1)),"",IF((AND(FIND('112'!$M$9,G334,1)&gt;=1,$B334&gt;='112'!$N$8,$B334&lt;='112'!$O$8,OR($L334='112'!$I$6,$M334='112'!$I$6))),"x",""))</f>
        <v/>
      </c>
      <c r="S334" s="525" t="str">
        <f>IF(ISERROR(FIND('112'!$M$9,G334,1)),"",IF((AND(LEFT(G334,2)=LEFT('112'!$M$9,2),B334&lt;'112'!$N$8,$L334='112'!$I$6)),"x",""))</f>
        <v/>
      </c>
      <c r="T334" s="525" t="str">
        <f>IF(ISERROR(FIND('112'!$M$9,G334,1)),"",IF((AND(RIGHT(G334,2)=RIGHT('112'!$M$9,2),B334&lt;'112'!$N$8,$M334='112'!$I$6)),"x",""))</f>
        <v/>
      </c>
      <c r="U334" s="525" t="str">
        <f>IF(AND(B334&gt;='IN-NX'!$P$3,B334&lt;='IN-NX'!$Q$3,'IN-NX'!$D$7=D334,OR(LEFT(L334,2)="15",AND(LEFT(M334,2)&lt;&gt;"15",LEFT(M334,2)&lt;&gt;"33"))),"x","")</f>
        <v/>
      </c>
      <c r="V334" s="525" t="str">
        <f>IF(AND(OR(LEFT(TH!L334,2)="15",LEFT(TH!M334,2)="15"),'152-CT'!$J$8=TH!F334),"x","")</f>
        <v/>
      </c>
      <c r="W334" s="525" t="str">
        <f>IF(AND(OR(LEFT(TH!L334,2)="15",LEFT(TH!M334,2)="15"),TK!$E$7=TH!F334),"x","")</f>
        <v/>
      </c>
      <c r="X334" s="525" t="str">
        <f>IF(AND('341-CT'!$E$9=H334,OR(LEFT(L334,3)=$X$7,LEFT(M334,3)=$X$7)),"x","")</f>
        <v/>
      </c>
      <c r="Y334" s="525" t="str">
        <f>IF(OR(TH!L334=TH!$Y$7,M334=TH!$Y$7),"x","")</f>
        <v/>
      </c>
      <c r="Z334" s="525" t="str">
        <f>IF(AND(B334&lt;=NKC!$N$8,B334&gt;=NKC!$M$8),"x","")</f>
        <v/>
      </c>
      <c r="AA334" s="535">
        <v>2</v>
      </c>
    </row>
    <row r="335" spans="1:28" s="503" customFormat="1" ht="15.75" customHeight="1">
      <c r="A335" s="517" t="str">
        <f>IF(B335&lt;&gt;"",IF(AND(B335&gt;=_TM1,B335&lt;=_TM2,OR(TH!L335="1111",TH!M335="1111")),TH!D335,""),"")</f>
        <v/>
      </c>
      <c r="B335" s="531">
        <f t="shared" si="31"/>
        <v>6</v>
      </c>
      <c r="C335" s="315">
        <f t="shared" si="32"/>
        <v>42912</v>
      </c>
      <c r="D335" s="315" t="s">
        <v>461</v>
      </c>
      <c r="E335" s="288">
        <v>42912</v>
      </c>
      <c r="F335" s="249" t="s">
        <v>1263</v>
      </c>
      <c r="G335" s="314" t="s">
        <v>290</v>
      </c>
      <c r="H335" s="473"/>
      <c r="I335" s="284"/>
      <c r="J335" s="284"/>
      <c r="K335" s="532">
        <v>2000</v>
      </c>
      <c r="L335" s="533" t="s">
        <v>9</v>
      </c>
      <c r="M335" s="533" t="s">
        <v>24</v>
      </c>
      <c r="N335" s="525" t="str">
        <f>IF(AND('331-CT'!$E$7=TH!H335,OR(L335="331",M335="331")),"331",IF(AND(OR(L335="131",M335="131"),H335='131-CT'!$E$7),"131",""))</f>
        <v/>
      </c>
      <c r="O335" s="525" t="str">
        <f>IF(AND($B335&gt;='111'!$N$11,$B335&lt;='111'!$O$11,OR($L335=$O$7,$M335=$O$7)),"x","")</f>
        <v/>
      </c>
      <c r="P335" s="525" t="str">
        <f>IF(AND($L335=$O$7,$B335&lt;'111'!$N$11),"x","")</f>
        <v/>
      </c>
      <c r="Q335" s="525" t="str">
        <f>IF(AND($M335=$O$7,$B335&lt;'111'!$N$11),"x","")</f>
        <v/>
      </c>
      <c r="R335" s="525" t="str">
        <f>IF(ISERROR(FIND('112'!$M$9,G335,1)),"",IF((AND(FIND('112'!$M$9,G335,1)&gt;=1,$B335&gt;='112'!$N$8,$B335&lt;='112'!$O$8,OR($L335='112'!$I$6,$M335='112'!$I$6))),"x",""))</f>
        <v/>
      </c>
      <c r="S335" s="525" t="str">
        <f>IF(ISERROR(FIND('112'!$M$9,G335,1)),"",IF((AND(LEFT(G335,2)=LEFT('112'!$M$9,2),B335&lt;'112'!$N$8,$L335='112'!$I$6)),"x",""))</f>
        <v/>
      </c>
      <c r="T335" s="525" t="str">
        <f>IF(ISERROR(FIND('112'!$M$9,G335,1)),"",IF((AND(RIGHT(G335,2)=RIGHT('112'!$M$9,2),B335&lt;'112'!$N$8,$M335='112'!$I$6)),"x",""))</f>
        <v/>
      </c>
      <c r="U335" s="525" t="str">
        <f>IF(AND(B335&gt;='IN-NX'!$P$3,B335&lt;='IN-NX'!$Q$3,'IN-NX'!$D$7=D335,OR(LEFT(L335,2)="15",AND(LEFT(M335,2)&lt;&gt;"15",LEFT(M335,2)&lt;&gt;"33"))),"x","")</f>
        <v/>
      </c>
      <c r="V335" s="525" t="str">
        <f>IF(AND(OR(LEFT(TH!L335,2)="15",LEFT(TH!M335,2)="15"),'152-CT'!$J$8=TH!F335),"x","")</f>
        <v/>
      </c>
      <c r="W335" s="525" t="str">
        <f>IF(AND(OR(LEFT(TH!L335,2)="15",LEFT(TH!M335,2)="15"),TK!$E$7=TH!F335),"x","")</f>
        <v/>
      </c>
      <c r="X335" s="525" t="str">
        <f>IF(AND('341-CT'!$E$9=H335,OR(LEFT(L335,3)=$X$7,LEFT(M335,3)=$X$7)),"x","")</f>
        <v/>
      </c>
      <c r="Y335" s="525" t="str">
        <f>IF(OR(TH!L335=TH!$Y$7,M335=TH!$Y$7),"x","")</f>
        <v/>
      </c>
      <c r="Z335" s="525" t="str">
        <f>IF(AND(B335&lt;=NKC!$N$8,B335&gt;=NKC!$M$8),"x","")</f>
        <v/>
      </c>
      <c r="AA335" s="535">
        <v>2</v>
      </c>
    </row>
    <row r="336" spans="1:28" s="503" customFormat="1" ht="15.75" customHeight="1">
      <c r="A336" s="517" t="str">
        <f>IF(B336&lt;&gt;"",IF(AND(B336&gt;=_TM1,B336&lt;=_TM2,OR(TH!L336="1111",TH!M336="1111")),TH!D336,""),"")</f>
        <v/>
      </c>
      <c r="B336" s="531">
        <f t="shared" si="31"/>
        <v>6</v>
      </c>
      <c r="C336" s="315">
        <f t="shared" si="32"/>
        <v>42914</v>
      </c>
      <c r="D336" s="315" t="s">
        <v>456</v>
      </c>
      <c r="E336" s="288">
        <v>42914</v>
      </c>
      <c r="F336" s="248" t="s">
        <v>459</v>
      </c>
      <c r="G336" s="314" t="s">
        <v>290</v>
      </c>
      <c r="H336" s="473" t="s">
        <v>460</v>
      </c>
      <c r="I336" s="307"/>
      <c r="J336" s="307"/>
      <c r="K336" s="532">
        <v>7100000</v>
      </c>
      <c r="L336" s="533" t="s">
        <v>24</v>
      </c>
      <c r="M336" s="533" t="s">
        <v>45</v>
      </c>
      <c r="N336" s="525" t="str">
        <f>IF(AND('331-CT'!$E$7=TH!H336,OR(L336="331",M336="331")),"331",IF(AND(OR(L336="131",M336="131"),H336='131-CT'!$E$7),"131",""))</f>
        <v/>
      </c>
      <c r="O336" s="525" t="str">
        <f>IF(AND($B336&gt;='111'!$N$11,$B336&lt;='111'!$O$11,OR($L336=$O$7,$M336=$O$7)),"x","")</f>
        <v/>
      </c>
      <c r="P336" s="525" t="str">
        <f>IF(AND($L336=$O$7,$B336&lt;'111'!$N$11),"x","")</f>
        <v/>
      </c>
      <c r="Q336" s="525" t="str">
        <f>IF(AND($M336=$O$7,$B336&lt;'111'!$N$11),"x","")</f>
        <v>x</v>
      </c>
      <c r="R336" s="525" t="str">
        <f>IF(ISERROR(FIND('112'!$M$9,G336,1)),"",IF((AND(FIND('112'!$M$9,G336,1)&gt;=1,$B336&gt;='112'!$N$8,$B336&lt;='112'!$O$8,OR($L336='112'!$I$6,$M336='112'!$I$6))),"x",""))</f>
        <v/>
      </c>
      <c r="S336" s="525" t="str">
        <f>IF(ISERROR(FIND('112'!$M$9,G336,1)),"",IF((AND(LEFT(G336,2)=LEFT('112'!$M$9,2),B336&lt;'112'!$N$8,$L336='112'!$I$6)),"x",""))</f>
        <v/>
      </c>
      <c r="T336" s="525" t="str">
        <f>IF(ISERROR(FIND('112'!$M$9,G336,1)),"",IF((AND(RIGHT(G336,2)=RIGHT('112'!$M$9,2),B336&lt;'112'!$N$8,$M336='112'!$I$6)),"x",""))</f>
        <v/>
      </c>
      <c r="U336" s="525" t="str">
        <f>IF(AND(B336&gt;='IN-NX'!$P$3,B336&lt;='IN-NX'!$Q$3,'IN-NX'!$D$7=D336,OR(LEFT(L336,2)="15",AND(LEFT(M336,2)&lt;&gt;"15",LEFT(M336,2)&lt;&gt;"33"))),"x","")</f>
        <v/>
      </c>
      <c r="V336" s="525" t="str">
        <f>IF(AND(OR(LEFT(TH!L336,2)="15",LEFT(TH!M336,2)="15"),'152-CT'!$J$8=TH!F336),"x","")</f>
        <v/>
      </c>
      <c r="W336" s="525" t="str">
        <f>IF(AND(OR(LEFT(TH!L336,2)="15",LEFT(TH!M336,2)="15"),TK!$E$7=TH!F336),"x","")</f>
        <v/>
      </c>
      <c r="X336" s="525" t="str">
        <f>IF(AND('341-CT'!$E$9=H336,OR(LEFT(L336,3)=$X$7,LEFT(M336,3)=$X$7)),"x","")</f>
        <v/>
      </c>
      <c r="Y336" s="525" t="str">
        <f>IF(OR(TH!L336=TH!$Y$7,M336=TH!$Y$7),"x","")</f>
        <v/>
      </c>
      <c r="Z336" s="525" t="str">
        <f>IF(AND(B336&lt;=NKC!$N$8,B336&gt;=NKC!$M$8),"x","")</f>
        <v/>
      </c>
      <c r="AA336" s="535"/>
    </row>
    <row r="337" spans="1:28" s="503" customFormat="1" ht="15.75" customHeight="1">
      <c r="A337" s="517" t="str">
        <f>IF(B337&lt;&gt;"",IF(AND(B337&gt;=_TM1,B337&lt;=_TM2,OR(TH!L337="1111",TH!M337="1111")),TH!D337,""),"")</f>
        <v/>
      </c>
      <c r="B337" s="531">
        <f t="shared" si="31"/>
        <v>6</v>
      </c>
      <c r="C337" s="315">
        <f t="shared" si="32"/>
        <v>42914</v>
      </c>
      <c r="D337" s="315" t="s">
        <v>461</v>
      </c>
      <c r="E337" s="288">
        <v>42914</v>
      </c>
      <c r="F337" s="249" t="s">
        <v>462</v>
      </c>
      <c r="G337" s="314" t="s">
        <v>290</v>
      </c>
      <c r="H337" s="473"/>
      <c r="I337" s="307"/>
      <c r="J337" s="307"/>
      <c r="K337" s="532">
        <v>7055184</v>
      </c>
      <c r="L337" s="533" t="s">
        <v>302</v>
      </c>
      <c r="M337" s="533" t="s">
        <v>24</v>
      </c>
      <c r="N337" s="525" t="str">
        <f>IF(AND('331-CT'!$E$7=TH!H337,OR(L337="331",M337="331")),"331",IF(AND(OR(L337="131",M337="131"),H337='131-CT'!$E$7),"131",""))</f>
        <v/>
      </c>
      <c r="O337" s="525" t="str">
        <f>IF(AND($B337&gt;='111'!$N$11,$B337&lt;='111'!$O$11,OR($L337=$O$7,$M337=$O$7)),"x","")</f>
        <v/>
      </c>
      <c r="P337" s="525" t="str">
        <f>IF(AND($L337=$O$7,$B337&lt;'111'!$N$11),"x","")</f>
        <v/>
      </c>
      <c r="Q337" s="525" t="str">
        <f>IF(AND($M337=$O$7,$B337&lt;'111'!$N$11),"x","")</f>
        <v/>
      </c>
      <c r="R337" s="525" t="str">
        <f>IF(ISERROR(FIND('112'!$M$9,G337,1)),"",IF((AND(FIND('112'!$M$9,G337,1)&gt;=1,$B337&gt;='112'!$N$8,$B337&lt;='112'!$O$8,OR($L337='112'!$I$6,$M337='112'!$I$6))),"x",""))</f>
        <v/>
      </c>
      <c r="S337" s="525" t="str">
        <f>IF(ISERROR(FIND('112'!$M$9,G337,1)),"",IF((AND(LEFT(G337,2)=LEFT('112'!$M$9,2),B337&lt;'112'!$N$8,$L337='112'!$I$6)),"x",""))</f>
        <v/>
      </c>
      <c r="T337" s="525" t="str">
        <f>IF(ISERROR(FIND('112'!$M$9,G337,1)),"",IF((AND(RIGHT(G337,2)=RIGHT('112'!$M$9,2),B337&lt;'112'!$N$8,$M337='112'!$I$6)),"x",""))</f>
        <v/>
      </c>
      <c r="U337" s="525" t="str">
        <f>IF(AND(B337&gt;='IN-NX'!$P$3,B337&lt;='IN-NX'!$Q$3,'IN-NX'!$D$7=D337,OR(LEFT(L337,2)="15",AND(LEFT(M337,2)&lt;&gt;"15",LEFT(M337,2)&lt;&gt;"33"))),"x","")</f>
        <v/>
      </c>
      <c r="V337" s="525" t="str">
        <f>IF(AND(OR(LEFT(TH!L337,2)="15",LEFT(TH!M337,2)="15"),'152-CT'!$J$8=TH!F337),"x","")</f>
        <v/>
      </c>
      <c r="W337" s="525" t="str">
        <f>IF(AND(OR(LEFT(TH!L337,2)="15",LEFT(TH!M337,2)="15"),TK!$E$7=TH!F337),"x","")</f>
        <v/>
      </c>
      <c r="X337" s="525" t="str">
        <f>IF(AND('341-CT'!$E$9=H337,OR(LEFT(L337,3)=$X$7,LEFT(M337,3)=$X$7)),"x","")</f>
        <v/>
      </c>
      <c r="Y337" s="525" t="str">
        <f>IF(OR(TH!L337=TH!$Y$7,M337=TH!$Y$7),"x","")</f>
        <v/>
      </c>
      <c r="Z337" s="525" t="str">
        <f>IF(AND(B337&lt;=NKC!$N$8,B337&gt;=NKC!$M$8),"x","")</f>
        <v/>
      </c>
      <c r="AA337" s="535"/>
      <c r="AB337" s="536"/>
    </row>
    <row r="338" spans="1:28" s="503" customFormat="1" ht="15.75" customHeight="1">
      <c r="A338" s="517" t="str">
        <f>IF(B338&lt;&gt;"",IF(AND(B338&gt;=_TM1,B338&lt;=_TM2,OR(TH!L338="1111",TH!M338="1111")),TH!D338,""),"")</f>
        <v/>
      </c>
      <c r="B338" s="531">
        <f t="shared" si="31"/>
        <v>6</v>
      </c>
      <c r="C338" s="315">
        <f t="shared" si="32"/>
        <v>42914</v>
      </c>
      <c r="D338" s="315" t="s">
        <v>461</v>
      </c>
      <c r="E338" s="288">
        <v>42914</v>
      </c>
      <c r="F338" s="248" t="s">
        <v>463</v>
      </c>
      <c r="G338" s="314" t="s">
        <v>290</v>
      </c>
      <c r="H338" s="473"/>
      <c r="I338" s="307"/>
      <c r="J338" s="307"/>
      <c r="K338" s="532">
        <v>10000</v>
      </c>
      <c r="L338" s="533" t="s">
        <v>81</v>
      </c>
      <c r="M338" s="533" t="s">
        <v>24</v>
      </c>
      <c r="N338" s="525" t="str">
        <f>IF(AND('331-CT'!$E$7=TH!H338,OR(L338="331",M338="331")),"331",IF(AND(OR(L338="131",M338="131"),H338='131-CT'!$E$7),"131",""))</f>
        <v/>
      </c>
      <c r="O338" s="525" t="str">
        <f>IF(AND($B338&gt;='111'!$N$11,$B338&lt;='111'!$O$11,OR($L338=$O$7,$M338=$O$7)),"x","")</f>
        <v/>
      </c>
      <c r="P338" s="525" t="str">
        <f>IF(AND($L338=$O$7,$B338&lt;'111'!$N$11),"x","")</f>
        <v/>
      </c>
      <c r="Q338" s="525" t="str">
        <f>IF(AND($M338=$O$7,$B338&lt;'111'!$N$11),"x","")</f>
        <v/>
      </c>
      <c r="R338" s="525" t="str">
        <f>IF(ISERROR(FIND('112'!$M$9,G338,1)),"",IF((AND(FIND('112'!$M$9,G338,1)&gt;=1,$B338&gt;='112'!$N$8,$B338&lt;='112'!$O$8,OR($L338='112'!$I$6,$M338='112'!$I$6))),"x",""))</f>
        <v/>
      </c>
      <c r="S338" s="525" t="str">
        <f>IF(ISERROR(FIND('112'!$M$9,G338,1)),"",IF((AND(LEFT(G338,2)=LEFT('112'!$M$9,2),B338&lt;'112'!$N$8,$L338='112'!$I$6)),"x",""))</f>
        <v/>
      </c>
      <c r="T338" s="525" t="str">
        <f>IF(ISERROR(FIND('112'!$M$9,G338,1)),"",IF((AND(RIGHT(G338,2)=RIGHT('112'!$M$9,2),B338&lt;'112'!$N$8,$M338='112'!$I$6)),"x",""))</f>
        <v/>
      </c>
      <c r="U338" s="525" t="str">
        <f>IF(AND(B338&gt;='IN-NX'!$P$3,B338&lt;='IN-NX'!$Q$3,'IN-NX'!$D$7=D338,OR(LEFT(L338,2)="15",AND(LEFT(M338,2)&lt;&gt;"15",LEFT(M338,2)&lt;&gt;"33"))),"x","")</f>
        <v/>
      </c>
      <c r="V338" s="525" t="str">
        <f>IF(AND(OR(LEFT(TH!L338,2)="15",LEFT(TH!M338,2)="15"),'152-CT'!$J$8=TH!F338),"x","")</f>
        <v/>
      </c>
      <c r="W338" s="525" t="str">
        <f>IF(AND(OR(LEFT(TH!L338,2)="15",LEFT(TH!M338,2)="15"),TK!$E$7=TH!F338),"x","")</f>
        <v/>
      </c>
      <c r="X338" s="525" t="str">
        <f>IF(AND('341-CT'!$E$9=H338,OR(LEFT(L338,3)=$X$7,LEFT(M338,3)=$X$7)),"x","")</f>
        <v/>
      </c>
      <c r="Y338" s="525" t="str">
        <f>IF(OR(TH!L338=TH!$Y$7,M338=TH!$Y$7),"x","")</f>
        <v/>
      </c>
      <c r="Z338" s="525" t="str">
        <f>IF(AND(B338&lt;=NKC!$N$8,B338&gt;=NKC!$M$8),"x","")</f>
        <v/>
      </c>
      <c r="AA338" s="535">
        <v>2</v>
      </c>
    </row>
    <row r="339" spans="1:28" s="503" customFormat="1" ht="15.75" customHeight="1">
      <c r="A339" s="517" t="str">
        <f>IF(B339&lt;&gt;"",IF(AND(B339&gt;=_TM1,B339&lt;=_TM2,OR(TH!L339="1111",TH!M339="1111")),TH!D339,""),"")</f>
        <v/>
      </c>
      <c r="B339" s="531">
        <f t="shared" si="31"/>
        <v>6</v>
      </c>
      <c r="C339" s="315">
        <f t="shared" si="32"/>
        <v>42914</v>
      </c>
      <c r="D339" s="315" t="s">
        <v>461</v>
      </c>
      <c r="E339" s="288">
        <v>42914</v>
      </c>
      <c r="F339" s="248" t="s">
        <v>464</v>
      </c>
      <c r="G339" s="314" t="s">
        <v>290</v>
      </c>
      <c r="H339" s="473"/>
      <c r="I339" s="307"/>
      <c r="J339" s="307"/>
      <c r="K339" s="532">
        <v>1000</v>
      </c>
      <c r="L339" s="533" t="s">
        <v>9</v>
      </c>
      <c r="M339" s="533" t="s">
        <v>24</v>
      </c>
      <c r="N339" s="525" t="str">
        <f>IF(AND('331-CT'!$E$7=TH!H339,OR(L339="331",M339="331")),"331",IF(AND(OR(L339="131",M339="131"),H339='131-CT'!$E$7),"131",""))</f>
        <v/>
      </c>
      <c r="O339" s="525" t="str">
        <f>IF(AND($B339&gt;='111'!$N$11,$B339&lt;='111'!$O$11,OR($L339=$O$7,$M339=$O$7)),"x","")</f>
        <v/>
      </c>
      <c r="P339" s="525" t="str">
        <f>IF(AND($L339=$O$7,$B339&lt;'111'!$N$11),"x","")</f>
        <v/>
      </c>
      <c r="Q339" s="525" t="str">
        <f>IF(AND($M339=$O$7,$B339&lt;'111'!$N$11),"x","")</f>
        <v/>
      </c>
      <c r="R339" s="525" t="str">
        <f>IF(ISERROR(FIND('112'!$M$9,G339,1)),"",IF((AND(FIND('112'!$M$9,G339,1)&gt;=1,$B339&gt;='112'!$N$8,$B339&lt;='112'!$O$8,OR($L339='112'!$I$6,$M339='112'!$I$6))),"x",""))</f>
        <v/>
      </c>
      <c r="S339" s="525" t="str">
        <f>IF(ISERROR(FIND('112'!$M$9,G339,1)),"",IF((AND(LEFT(G339,2)=LEFT('112'!$M$9,2),B339&lt;'112'!$N$8,$L339='112'!$I$6)),"x",""))</f>
        <v/>
      </c>
      <c r="T339" s="525" t="str">
        <f>IF(ISERROR(FIND('112'!$M$9,G339,1)),"",IF((AND(RIGHT(G339,2)=RIGHT('112'!$M$9,2),B339&lt;'112'!$N$8,$M339='112'!$I$6)),"x",""))</f>
        <v/>
      </c>
      <c r="U339" s="525" t="str">
        <f>IF(AND(B339&gt;='IN-NX'!$P$3,B339&lt;='IN-NX'!$Q$3,'IN-NX'!$D$7=D339,OR(LEFT(L339,2)="15",AND(LEFT(M339,2)&lt;&gt;"15",LEFT(M339,2)&lt;&gt;"33"))),"x","")</f>
        <v/>
      </c>
      <c r="V339" s="525" t="str">
        <f>IF(AND(OR(LEFT(TH!L339,2)="15",LEFT(TH!M339,2)="15"),'152-CT'!$J$8=TH!F339),"x","")</f>
        <v/>
      </c>
      <c r="W339" s="525" t="str">
        <f>IF(AND(OR(LEFT(TH!L339,2)="15",LEFT(TH!M339,2)="15"),TK!$E$7=TH!F339),"x","")</f>
        <v/>
      </c>
      <c r="X339" s="525" t="str">
        <f>IF(AND('341-CT'!$E$9=H339,OR(LEFT(L339,3)=$X$7,LEFT(M339,3)=$X$7)),"x","")</f>
        <v/>
      </c>
      <c r="Y339" s="525" t="str">
        <f>IF(OR(TH!L339=TH!$Y$7,M339=TH!$Y$7),"x","")</f>
        <v/>
      </c>
      <c r="Z339" s="525" t="str">
        <f>IF(AND(B339&lt;=NKC!$N$8,B339&gt;=NKC!$M$8),"x","")</f>
        <v/>
      </c>
      <c r="AA339" s="535">
        <v>2</v>
      </c>
    </row>
    <row r="340" spans="1:28" s="503" customFormat="1" ht="15.75" customHeight="1">
      <c r="A340" s="517" t="str">
        <f>IF(B340&lt;&gt;"",IF(AND(B340&gt;=_TM1,B340&lt;=_TM2,OR(TH!L340="1111",TH!M340="1111")),TH!D340,""),"")</f>
        <v/>
      </c>
      <c r="B340" s="531">
        <f t="shared" si="31"/>
        <v>6</v>
      </c>
      <c r="C340" s="315">
        <f t="shared" si="32"/>
        <v>42914</v>
      </c>
      <c r="D340" s="315" t="s">
        <v>461</v>
      </c>
      <c r="E340" s="288">
        <v>42914</v>
      </c>
      <c r="F340" s="249" t="s">
        <v>1262</v>
      </c>
      <c r="G340" s="314" t="s">
        <v>290</v>
      </c>
      <c r="H340" s="473"/>
      <c r="I340" s="307"/>
      <c r="J340" s="307"/>
      <c r="K340" s="532">
        <v>20000</v>
      </c>
      <c r="L340" s="533" t="s">
        <v>81</v>
      </c>
      <c r="M340" s="533" t="s">
        <v>24</v>
      </c>
      <c r="N340" s="525" t="str">
        <f>IF(AND('331-CT'!$E$7=TH!H340,OR(L340="331",M340="331")),"331",IF(AND(OR(L340="131",M340="131"),H340='131-CT'!$E$7),"131",""))</f>
        <v/>
      </c>
      <c r="O340" s="525" t="str">
        <f>IF(AND($B340&gt;='111'!$N$11,$B340&lt;='111'!$O$11,OR($L340=$O$7,$M340=$O$7)),"x","")</f>
        <v/>
      </c>
      <c r="P340" s="525" t="str">
        <f>IF(AND($L340=$O$7,$B340&lt;'111'!$N$11),"x","")</f>
        <v/>
      </c>
      <c r="Q340" s="525" t="str">
        <f>IF(AND($M340=$O$7,$B340&lt;'111'!$N$11),"x","")</f>
        <v/>
      </c>
      <c r="R340" s="525" t="str">
        <f>IF(ISERROR(FIND('112'!$M$9,G340,1)),"",IF((AND(FIND('112'!$M$9,G340,1)&gt;=1,$B340&gt;='112'!$N$8,$B340&lt;='112'!$O$8,OR($L340='112'!$I$6,$M340='112'!$I$6))),"x",""))</f>
        <v/>
      </c>
      <c r="S340" s="525" t="str">
        <f>IF(ISERROR(FIND('112'!$M$9,G340,1)),"",IF((AND(LEFT(G340,2)=LEFT('112'!$M$9,2),B340&lt;'112'!$N$8,$L340='112'!$I$6)),"x",""))</f>
        <v/>
      </c>
      <c r="T340" s="525" t="str">
        <f>IF(ISERROR(FIND('112'!$M$9,G340,1)),"",IF((AND(RIGHT(G340,2)=RIGHT('112'!$M$9,2),B340&lt;'112'!$N$8,$M340='112'!$I$6)),"x",""))</f>
        <v/>
      </c>
      <c r="U340" s="525" t="str">
        <f>IF(AND(B340&gt;='IN-NX'!$P$3,B340&lt;='IN-NX'!$Q$3,'IN-NX'!$D$7=D340,OR(LEFT(L340,2)="15",AND(LEFT(M340,2)&lt;&gt;"15",LEFT(M340,2)&lt;&gt;"33"))),"x","")</f>
        <v/>
      </c>
      <c r="V340" s="525" t="str">
        <f>IF(AND(OR(LEFT(TH!L340,2)="15",LEFT(TH!M340,2)="15"),'152-CT'!$J$8=TH!F340),"x","")</f>
        <v/>
      </c>
      <c r="W340" s="525" t="str">
        <f>IF(AND(OR(LEFT(TH!L340,2)="15",LEFT(TH!M340,2)="15"),TK!$E$7=TH!F340),"x","")</f>
        <v/>
      </c>
      <c r="X340" s="525" t="str">
        <f>IF(AND('341-CT'!$E$9=H340,OR(LEFT(L340,3)=$X$7,LEFT(M340,3)=$X$7)),"x","")</f>
        <v/>
      </c>
      <c r="Y340" s="525" t="str">
        <f>IF(OR(TH!L340=TH!$Y$7,M340=TH!$Y$7),"x","")</f>
        <v/>
      </c>
      <c r="Z340" s="525" t="str">
        <f>IF(AND(B340&lt;=NKC!$N$8,B340&gt;=NKC!$M$8),"x","")</f>
        <v/>
      </c>
      <c r="AA340" s="535">
        <v>2</v>
      </c>
    </row>
    <row r="341" spans="1:28" s="503" customFormat="1" ht="15.75" customHeight="1">
      <c r="A341" s="517" t="str">
        <f>IF(B341&lt;&gt;"",IF(AND(B341&gt;=_TM1,B341&lt;=_TM2,OR(TH!L341="1111",TH!M341="1111")),TH!D341,""),"")</f>
        <v/>
      </c>
      <c r="B341" s="531">
        <f t="shared" si="31"/>
        <v>6</v>
      </c>
      <c r="C341" s="315">
        <f t="shared" si="32"/>
        <v>42914</v>
      </c>
      <c r="D341" s="315" t="s">
        <v>461</v>
      </c>
      <c r="E341" s="288">
        <v>42914</v>
      </c>
      <c r="F341" s="249" t="s">
        <v>1263</v>
      </c>
      <c r="G341" s="314" t="s">
        <v>290</v>
      </c>
      <c r="H341" s="473"/>
      <c r="I341" s="284"/>
      <c r="J341" s="284"/>
      <c r="K341" s="532">
        <v>2000</v>
      </c>
      <c r="L341" s="533" t="s">
        <v>9</v>
      </c>
      <c r="M341" s="533" t="s">
        <v>24</v>
      </c>
      <c r="N341" s="525" t="str">
        <f>IF(AND('331-CT'!$E$7=TH!H341,OR(L341="331",M341="331")),"331",IF(AND(OR(L341="131",M341="131"),H341='131-CT'!$E$7),"131",""))</f>
        <v/>
      </c>
      <c r="O341" s="525" t="str">
        <f>IF(AND($B341&gt;='111'!$N$11,$B341&lt;='111'!$O$11,OR($L341=$O$7,$M341=$O$7)),"x","")</f>
        <v/>
      </c>
      <c r="P341" s="525" t="str">
        <f>IF(AND($L341=$O$7,$B341&lt;'111'!$N$11),"x","")</f>
        <v/>
      </c>
      <c r="Q341" s="525" t="str">
        <f>IF(AND($M341=$O$7,$B341&lt;'111'!$N$11),"x","")</f>
        <v/>
      </c>
      <c r="R341" s="525" t="str">
        <f>IF(ISERROR(FIND('112'!$M$9,G341,1)),"",IF((AND(FIND('112'!$M$9,G341,1)&gt;=1,$B341&gt;='112'!$N$8,$B341&lt;='112'!$O$8,OR($L341='112'!$I$6,$M341='112'!$I$6))),"x",""))</f>
        <v/>
      </c>
      <c r="S341" s="525" t="str">
        <f>IF(ISERROR(FIND('112'!$M$9,G341,1)),"",IF((AND(LEFT(G341,2)=LEFT('112'!$M$9,2),B341&lt;'112'!$N$8,$L341='112'!$I$6)),"x",""))</f>
        <v/>
      </c>
      <c r="T341" s="525" t="str">
        <f>IF(ISERROR(FIND('112'!$M$9,G341,1)),"",IF((AND(RIGHT(G341,2)=RIGHT('112'!$M$9,2),B341&lt;'112'!$N$8,$M341='112'!$I$6)),"x",""))</f>
        <v/>
      </c>
      <c r="U341" s="525" t="str">
        <f>IF(AND(B341&gt;='IN-NX'!$P$3,B341&lt;='IN-NX'!$Q$3,'IN-NX'!$D$7=D341,OR(LEFT(L341,2)="15",AND(LEFT(M341,2)&lt;&gt;"15",LEFT(M341,2)&lt;&gt;"33"))),"x","")</f>
        <v/>
      </c>
      <c r="V341" s="525" t="str">
        <f>IF(AND(OR(LEFT(TH!L341,2)="15",LEFT(TH!M341,2)="15"),'152-CT'!$J$8=TH!F341),"x","")</f>
        <v/>
      </c>
      <c r="W341" s="525" t="str">
        <f>IF(AND(OR(LEFT(TH!L341,2)="15",LEFT(TH!M341,2)="15"),TK!$E$7=TH!F341),"x","")</f>
        <v/>
      </c>
      <c r="X341" s="525" t="str">
        <f>IF(AND('341-CT'!$E$9=H341,OR(LEFT(L341,3)=$X$7,LEFT(M341,3)=$X$7)),"x","")</f>
        <v/>
      </c>
      <c r="Y341" s="525" t="str">
        <f>IF(OR(TH!L341=TH!$Y$7,M341=TH!$Y$7),"x","")</f>
        <v/>
      </c>
      <c r="Z341" s="525" t="str">
        <f>IF(AND(B341&lt;=NKC!$N$8,B341&gt;=NKC!$M$8),"x","")</f>
        <v/>
      </c>
      <c r="AA341" s="535">
        <v>2</v>
      </c>
    </row>
    <row r="342" spans="1:28" s="503" customFormat="1" ht="15.75" customHeight="1">
      <c r="A342" s="517" t="str">
        <f>IF(B342&lt;&gt;"",IF(AND(B342&gt;=_TM1,B342&lt;=_TM2,OR(TH!L342="1111",TH!M342="1111")),TH!D342,""),"")</f>
        <v/>
      </c>
      <c r="B342" s="531">
        <f t="shared" si="31"/>
        <v>6</v>
      </c>
      <c r="C342" s="315">
        <f t="shared" si="32"/>
        <v>42916</v>
      </c>
      <c r="D342" s="315" t="s">
        <v>456</v>
      </c>
      <c r="E342" s="288">
        <v>42916</v>
      </c>
      <c r="F342" s="248" t="s">
        <v>459</v>
      </c>
      <c r="G342" s="314" t="s">
        <v>290</v>
      </c>
      <c r="H342" s="473" t="s">
        <v>460</v>
      </c>
      <c r="I342" s="307"/>
      <c r="J342" s="307"/>
      <c r="K342" s="532">
        <v>261300000</v>
      </c>
      <c r="L342" s="533" t="s">
        <v>24</v>
      </c>
      <c r="M342" s="533" t="s">
        <v>45</v>
      </c>
      <c r="N342" s="525" t="str">
        <f>IF(AND('331-CT'!$E$7=TH!H342,OR(L342="331",M342="331")),"331",IF(AND(OR(L342="131",M342="131"),H342='131-CT'!$E$7),"131",""))</f>
        <v/>
      </c>
      <c r="O342" s="525" t="str">
        <f>IF(AND($B342&gt;='111'!$N$11,$B342&lt;='111'!$O$11,OR($L342=$O$7,$M342=$O$7)),"x","")</f>
        <v/>
      </c>
      <c r="P342" s="525" t="str">
        <f>IF(AND($L342=$O$7,$B342&lt;'111'!$N$11),"x","")</f>
        <v/>
      </c>
      <c r="Q342" s="525" t="str">
        <f>IF(AND($M342=$O$7,$B342&lt;'111'!$N$11),"x","")</f>
        <v>x</v>
      </c>
      <c r="R342" s="525" t="str">
        <f>IF(ISERROR(FIND('112'!$M$9,G342,1)),"",IF((AND(FIND('112'!$M$9,G342,1)&gt;=1,$B342&gt;='112'!$N$8,$B342&lt;='112'!$O$8,OR($L342='112'!$I$6,$M342='112'!$I$6))),"x",""))</f>
        <v/>
      </c>
      <c r="S342" s="525" t="str">
        <f>IF(ISERROR(FIND('112'!$M$9,G342,1)),"",IF((AND(LEFT(G342,2)=LEFT('112'!$M$9,2),B342&lt;'112'!$N$8,$L342='112'!$I$6)),"x",""))</f>
        <v/>
      </c>
      <c r="T342" s="525" t="str">
        <f>IF(ISERROR(FIND('112'!$M$9,G342,1)),"",IF((AND(RIGHT(G342,2)=RIGHT('112'!$M$9,2),B342&lt;'112'!$N$8,$M342='112'!$I$6)),"x",""))</f>
        <v/>
      </c>
      <c r="U342" s="525" t="str">
        <f>IF(AND(B342&gt;='IN-NX'!$P$3,B342&lt;='IN-NX'!$Q$3,'IN-NX'!$D$7=D342,OR(LEFT(L342,2)="15",AND(LEFT(M342,2)&lt;&gt;"15",LEFT(M342,2)&lt;&gt;"33"))),"x","")</f>
        <v/>
      </c>
      <c r="V342" s="525" t="str">
        <f>IF(AND(OR(LEFT(TH!L342,2)="15",LEFT(TH!M342,2)="15"),'152-CT'!$J$8=TH!F342),"x","")</f>
        <v/>
      </c>
      <c r="W342" s="525" t="str">
        <f>IF(AND(OR(LEFT(TH!L342,2)="15",LEFT(TH!M342,2)="15"),TK!$E$7=TH!F342),"x","")</f>
        <v/>
      </c>
      <c r="X342" s="525" t="str">
        <f>IF(AND('341-CT'!$E$9=H342,OR(LEFT(L342,3)=$X$7,LEFT(M342,3)=$X$7)),"x","")</f>
        <v/>
      </c>
      <c r="Y342" s="525" t="str">
        <f>IF(OR(TH!L342=TH!$Y$7,M342=TH!$Y$7),"x","")</f>
        <v/>
      </c>
      <c r="Z342" s="525" t="str">
        <f>IF(AND(B342&lt;=NKC!$N$8,B342&gt;=NKC!$M$8),"x","")</f>
        <v/>
      </c>
      <c r="AA342" s="535"/>
      <c r="AB342" s="536"/>
    </row>
    <row r="343" spans="1:28" s="503" customFormat="1" ht="15.75" customHeight="1">
      <c r="A343" s="517" t="str">
        <f>IF(B343&lt;&gt;"",IF(AND(B343&gt;=_TM1,B343&lt;=_TM2,OR(TH!L343="1111",TH!M343="1111")),TH!D343,""),"")</f>
        <v/>
      </c>
      <c r="B343" s="531">
        <f t="shared" si="31"/>
        <v>6</v>
      </c>
      <c r="C343" s="315">
        <f t="shared" si="32"/>
        <v>42916</v>
      </c>
      <c r="D343" s="315" t="s">
        <v>461</v>
      </c>
      <c r="E343" s="288">
        <v>42916</v>
      </c>
      <c r="F343" s="249" t="s">
        <v>468</v>
      </c>
      <c r="G343" s="314" t="s">
        <v>290</v>
      </c>
      <c r="H343" s="473" t="s">
        <v>1142</v>
      </c>
      <c r="I343" s="307"/>
      <c r="J343" s="307"/>
      <c r="K343" s="532">
        <v>260989490</v>
      </c>
      <c r="L343" s="534" t="s">
        <v>8</v>
      </c>
      <c r="M343" s="533" t="s">
        <v>24</v>
      </c>
      <c r="N343" s="525" t="str">
        <f>IF(AND('331-CT'!$E$7=TH!H343,OR(L343="331",M343="331")),"331",IF(AND(OR(L343="131",M343="131"),H343='131-CT'!$E$7),"131",""))</f>
        <v/>
      </c>
      <c r="O343" s="525" t="str">
        <f>IF(AND($B343&gt;='111'!$N$11,$B343&lt;='111'!$O$11,OR($L343=$O$7,$M343=$O$7)),"x","")</f>
        <v/>
      </c>
      <c r="P343" s="525" t="str">
        <f>IF(AND($L343=$O$7,$B343&lt;'111'!$N$11),"x","")</f>
        <v/>
      </c>
      <c r="Q343" s="525" t="str">
        <f>IF(AND($M343=$O$7,$B343&lt;'111'!$N$11),"x","")</f>
        <v/>
      </c>
      <c r="R343" s="525" t="str">
        <f>IF(ISERROR(FIND('112'!$M$9,G343,1)),"",IF((AND(FIND('112'!$M$9,G343,1)&gt;=1,$B343&gt;='112'!$N$8,$B343&lt;='112'!$O$8,OR($L343='112'!$I$6,$M343='112'!$I$6))),"x",""))</f>
        <v/>
      </c>
      <c r="S343" s="525" t="str">
        <f>IF(ISERROR(FIND('112'!$M$9,G343,1)),"",IF((AND(LEFT(G343,2)=LEFT('112'!$M$9,2),B343&lt;'112'!$N$8,$L343='112'!$I$6)),"x",""))</f>
        <v/>
      </c>
      <c r="T343" s="525" t="str">
        <f>IF(ISERROR(FIND('112'!$M$9,G343,1)),"",IF((AND(RIGHT(G343,2)=RIGHT('112'!$M$9,2),B343&lt;'112'!$N$8,$M343='112'!$I$6)),"x",""))</f>
        <v/>
      </c>
      <c r="U343" s="525" t="str">
        <f>IF(AND(B343&gt;='IN-NX'!$P$3,B343&lt;='IN-NX'!$Q$3,'IN-NX'!$D$7=D343,OR(LEFT(L343,2)="15",AND(LEFT(M343,2)&lt;&gt;"15",LEFT(M343,2)&lt;&gt;"33"))),"x","")</f>
        <v/>
      </c>
      <c r="V343" s="525" t="str">
        <f>IF(AND(OR(LEFT(TH!L343,2)="15",LEFT(TH!M343,2)="15"),'152-CT'!$J$8=TH!F343),"x","")</f>
        <v/>
      </c>
      <c r="W343" s="525" t="str">
        <f>IF(AND(OR(LEFT(TH!L343,2)="15",LEFT(TH!M343,2)="15"),TK!$E$7=TH!F343),"x","")</f>
        <v/>
      </c>
      <c r="X343" s="525" t="str">
        <f>IF(AND('341-CT'!$E$9=H343,OR(LEFT(L343,3)=$X$7,LEFT(M343,3)=$X$7)),"x","")</f>
        <v/>
      </c>
      <c r="Y343" s="525" t="str">
        <f>IF(OR(TH!L343=TH!$Y$7,M343=TH!$Y$7),"x","")</f>
        <v/>
      </c>
      <c r="Z343" s="525" t="str">
        <f>IF(AND(B343&lt;=NKC!$N$8,B343&gt;=NKC!$M$8),"x","")</f>
        <v/>
      </c>
      <c r="AA343" s="535"/>
    </row>
    <row r="344" spans="1:28" s="503" customFormat="1" ht="15.75" customHeight="1">
      <c r="A344" s="517" t="str">
        <f>IF(B344&lt;&gt;"",IF(AND(B344&gt;=_TM1,B344&lt;=_TM2,OR(TH!L344="1111",TH!M344="1111")),TH!D344,""),"")</f>
        <v/>
      </c>
      <c r="B344" s="531">
        <f t="shared" si="31"/>
        <v>6</v>
      </c>
      <c r="C344" s="315">
        <f t="shared" si="32"/>
        <v>42916</v>
      </c>
      <c r="D344" s="315" t="s">
        <v>461</v>
      </c>
      <c r="E344" s="288">
        <v>42916</v>
      </c>
      <c r="F344" s="248" t="s">
        <v>463</v>
      </c>
      <c r="G344" s="314" t="s">
        <v>290</v>
      </c>
      <c r="H344" s="472"/>
      <c r="I344" s="307"/>
      <c r="J344" s="307"/>
      <c r="K344" s="532">
        <v>10000</v>
      </c>
      <c r="L344" s="533" t="s">
        <v>81</v>
      </c>
      <c r="M344" s="533" t="s">
        <v>24</v>
      </c>
      <c r="N344" s="525" t="str">
        <f>IF(AND('331-CT'!$E$7=TH!H344,OR(L344="331",M344="331")),"331",IF(AND(OR(L344="131",M344="131"),H344='131-CT'!$E$7),"131",""))</f>
        <v/>
      </c>
      <c r="O344" s="525" t="str">
        <f>IF(AND($B344&gt;='111'!$N$11,$B344&lt;='111'!$O$11,OR($L344=$O$7,$M344=$O$7)),"x","")</f>
        <v/>
      </c>
      <c r="P344" s="525" t="str">
        <f>IF(AND($L344=$O$7,$B344&lt;'111'!$N$11),"x","")</f>
        <v/>
      </c>
      <c r="Q344" s="525" t="str">
        <f>IF(AND($M344=$O$7,$B344&lt;'111'!$N$11),"x","")</f>
        <v/>
      </c>
      <c r="R344" s="525" t="str">
        <f>IF(ISERROR(FIND('112'!$M$9,G344,1)),"",IF((AND(FIND('112'!$M$9,G344,1)&gt;=1,$B344&gt;='112'!$N$8,$B344&lt;='112'!$O$8,OR($L344='112'!$I$6,$M344='112'!$I$6))),"x",""))</f>
        <v/>
      </c>
      <c r="S344" s="525" t="str">
        <f>IF(ISERROR(FIND('112'!$M$9,G344,1)),"",IF((AND(LEFT(G344,2)=LEFT('112'!$M$9,2),B344&lt;'112'!$N$8,$L344='112'!$I$6)),"x",""))</f>
        <v/>
      </c>
      <c r="T344" s="525" t="str">
        <f>IF(ISERROR(FIND('112'!$M$9,G344,1)),"",IF((AND(RIGHT(G344,2)=RIGHT('112'!$M$9,2),B344&lt;'112'!$N$8,$M344='112'!$I$6)),"x",""))</f>
        <v/>
      </c>
      <c r="U344" s="525" t="str">
        <f>IF(AND(B344&gt;='IN-NX'!$P$3,B344&lt;='IN-NX'!$Q$3,'IN-NX'!$D$7=D344,OR(LEFT(L344,2)="15",AND(LEFT(M344,2)&lt;&gt;"15",LEFT(M344,2)&lt;&gt;"33"))),"x","")</f>
        <v/>
      </c>
      <c r="V344" s="525" t="str">
        <f>IF(AND(OR(LEFT(TH!L344,2)="15",LEFT(TH!M344,2)="15"),'152-CT'!$J$8=TH!F344),"x","")</f>
        <v/>
      </c>
      <c r="W344" s="525" t="str">
        <f>IF(AND(OR(LEFT(TH!L344,2)="15",LEFT(TH!M344,2)="15"),TK!$E$7=TH!F344),"x","")</f>
        <v/>
      </c>
      <c r="X344" s="525" t="str">
        <f>IF(AND('341-CT'!$E$9=H344,OR(LEFT(L344,3)=$X$7,LEFT(M344,3)=$X$7)),"x","")</f>
        <v/>
      </c>
      <c r="Y344" s="525" t="str">
        <f>IF(OR(TH!L344=TH!$Y$7,M344=TH!$Y$7),"x","")</f>
        <v/>
      </c>
      <c r="Z344" s="525" t="str">
        <f>IF(AND(B344&lt;=NKC!$N$8,B344&gt;=NKC!$M$8),"x","")</f>
        <v/>
      </c>
      <c r="AA344" s="535">
        <v>2</v>
      </c>
    </row>
    <row r="345" spans="1:28" s="503" customFormat="1" ht="15.75" customHeight="1">
      <c r="A345" s="517" t="str">
        <f>IF(B345&lt;&gt;"",IF(AND(B345&gt;=_TM1,B345&lt;=_TM2,OR(TH!L345="1111",TH!M345="1111")),TH!D345,""),"")</f>
        <v/>
      </c>
      <c r="B345" s="531">
        <f t="shared" si="31"/>
        <v>6</v>
      </c>
      <c r="C345" s="315">
        <f t="shared" si="32"/>
        <v>42916</v>
      </c>
      <c r="D345" s="315" t="s">
        <v>461</v>
      </c>
      <c r="E345" s="288">
        <v>42916</v>
      </c>
      <c r="F345" s="248" t="s">
        <v>464</v>
      </c>
      <c r="G345" s="314" t="s">
        <v>290</v>
      </c>
      <c r="H345" s="472"/>
      <c r="I345" s="307"/>
      <c r="J345" s="307"/>
      <c r="K345" s="532">
        <v>1000</v>
      </c>
      <c r="L345" s="533" t="s">
        <v>9</v>
      </c>
      <c r="M345" s="533" t="s">
        <v>24</v>
      </c>
      <c r="N345" s="525" t="str">
        <f>IF(AND('331-CT'!$E$7=TH!H345,OR(L345="331",M345="331")),"331",IF(AND(OR(L345="131",M345="131"),H345='131-CT'!$E$7),"131",""))</f>
        <v/>
      </c>
      <c r="O345" s="525" t="str">
        <f>IF(AND($B345&gt;='111'!$N$11,$B345&lt;='111'!$O$11,OR($L345=$O$7,$M345=$O$7)),"x","")</f>
        <v/>
      </c>
      <c r="P345" s="525" t="str">
        <f>IF(AND($L345=$O$7,$B345&lt;'111'!$N$11),"x","")</f>
        <v/>
      </c>
      <c r="Q345" s="525" t="str">
        <f>IF(AND($M345=$O$7,$B345&lt;'111'!$N$11),"x","")</f>
        <v/>
      </c>
      <c r="R345" s="525" t="str">
        <f>IF(ISERROR(FIND('112'!$M$9,G345,1)),"",IF((AND(FIND('112'!$M$9,G345,1)&gt;=1,$B345&gt;='112'!$N$8,$B345&lt;='112'!$O$8,OR($L345='112'!$I$6,$M345='112'!$I$6))),"x",""))</f>
        <v/>
      </c>
      <c r="S345" s="525" t="str">
        <f>IF(ISERROR(FIND('112'!$M$9,G345,1)),"",IF((AND(LEFT(G345,2)=LEFT('112'!$M$9,2),B345&lt;'112'!$N$8,$L345='112'!$I$6)),"x",""))</f>
        <v/>
      </c>
      <c r="T345" s="525" t="str">
        <f>IF(ISERROR(FIND('112'!$M$9,G345,1)),"",IF((AND(RIGHT(G345,2)=RIGHT('112'!$M$9,2),B345&lt;'112'!$N$8,$M345='112'!$I$6)),"x",""))</f>
        <v/>
      </c>
      <c r="U345" s="525" t="str">
        <f>IF(AND(B345&gt;='IN-NX'!$P$3,B345&lt;='IN-NX'!$Q$3,'IN-NX'!$D$7=D345,OR(LEFT(L345,2)="15",AND(LEFT(M345,2)&lt;&gt;"15",LEFT(M345,2)&lt;&gt;"33"))),"x","")</f>
        <v/>
      </c>
      <c r="V345" s="525" t="str">
        <f>IF(AND(OR(LEFT(TH!L345,2)="15",LEFT(TH!M345,2)="15"),'152-CT'!$J$8=TH!F345),"x","")</f>
        <v/>
      </c>
      <c r="W345" s="525" t="str">
        <f>IF(AND(OR(LEFT(TH!L345,2)="15",LEFT(TH!M345,2)="15"),TK!$E$7=TH!F345),"x","")</f>
        <v/>
      </c>
      <c r="X345" s="525" t="str">
        <f>IF(AND('341-CT'!$E$9=H345,OR(LEFT(L345,3)=$X$7,LEFT(M345,3)=$X$7)),"x","")</f>
        <v/>
      </c>
      <c r="Y345" s="525" t="str">
        <f>IF(OR(TH!L345=TH!$Y$7,M345=TH!$Y$7),"x","")</f>
        <v/>
      </c>
      <c r="Z345" s="525" t="str">
        <f>IF(AND(B345&lt;=NKC!$N$8,B345&gt;=NKC!$M$8),"x","")</f>
        <v/>
      </c>
      <c r="AA345" s="535">
        <v>2</v>
      </c>
    </row>
    <row r="346" spans="1:28" s="503" customFormat="1" ht="15.75" customHeight="1">
      <c r="A346" s="517" t="str">
        <f>IF(B346&lt;&gt;"",IF(AND(B346&gt;=_TM1,B346&lt;=_TM2,OR(TH!L346="1111",TH!M346="1111")),TH!D346,""),"")</f>
        <v/>
      </c>
      <c r="B346" s="531">
        <f t="shared" ref="B346" si="33">IF(C346&lt;&gt;"",MONTH(C346),"")</f>
        <v>6</v>
      </c>
      <c r="C346" s="315">
        <f t="shared" ref="C346" si="34">E346</f>
        <v>42916</v>
      </c>
      <c r="D346" s="315" t="s">
        <v>461</v>
      </c>
      <c r="E346" s="288">
        <v>42916</v>
      </c>
      <c r="F346" s="249" t="s">
        <v>1262</v>
      </c>
      <c r="G346" s="314" t="s">
        <v>290</v>
      </c>
      <c r="H346" s="473"/>
      <c r="I346" s="307"/>
      <c r="J346" s="307"/>
      <c r="K346" s="532">
        <v>78296</v>
      </c>
      <c r="L346" s="533" t="s">
        <v>81</v>
      </c>
      <c r="M346" s="533" t="s">
        <v>24</v>
      </c>
      <c r="N346" s="525" t="str">
        <f>IF(AND('331-CT'!$E$7=TH!H346,OR(L346="331",M346="331")),"331",IF(AND(OR(L346="131",M346="131"),H346='131-CT'!$E$7),"131",""))</f>
        <v/>
      </c>
      <c r="O346" s="525" t="str">
        <f>IF(AND($B346&gt;='111'!$N$11,$B346&lt;='111'!$O$11,OR($L346=$O$7,$M346=$O$7)),"x","")</f>
        <v/>
      </c>
      <c r="P346" s="525" t="str">
        <f>IF(AND($L346=$O$7,$B346&lt;'111'!$N$11),"x","")</f>
        <v/>
      </c>
      <c r="Q346" s="525" t="str">
        <f>IF(AND($M346=$O$7,$B346&lt;'111'!$N$11),"x","")</f>
        <v/>
      </c>
      <c r="R346" s="525" t="str">
        <f>IF(ISERROR(FIND('112'!$M$9,G346,1)),"",IF((AND(FIND('112'!$M$9,G346,1)&gt;=1,$B346&gt;='112'!$N$8,$B346&lt;='112'!$O$8,OR($L346='112'!$I$6,$M346='112'!$I$6))),"x",""))</f>
        <v/>
      </c>
      <c r="S346" s="525" t="str">
        <f>IF(ISERROR(FIND('112'!$M$9,G346,1)),"",IF((AND(LEFT(G346,2)=LEFT('112'!$M$9,2),B346&lt;'112'!$N$8,$L346='112'!$I$6)),"x",""))</f>
        <v/>
      </c>
      <c r="T346" s="525" t="str">
        <f>IF(ISERROR(FIND('112'!$M$9,G346,1)),"",IF((AND(RIGHT(G346,2)=RIGHT('112'!$M$9,2),B346&lt;'112'!$N$8,$M346='112'!$I$6)),"x",""))</f>
        <v/>
      </c>
      <c r="U346" s="525" t="str">
        <f>IF(AND(B346&gt;='IN-NX'!$P$3,B346&lt;='IN-NX'!$Q$3,'IN-NX'!$D$7=D346,OR(LEFT(L346,2)="15",AND(LEFT(M346,2)&lt;&gt;"15",LEFT(M346,2)&lt;&gt;"33"))),"x","")</f>
        <v/>
      </c>
      <c r="V346" s="525" t="str">
        <f>IF(AND(OR(LEFT(TH!L346,2)="15",LEFT(TH!M346,2)="15"),'152-CT'!$J$8=TH!F346),"x","")</f>
        <v/>
      </c>
      <c r="W346" s="525" t="str">
        <f>IF(AND(OR(LEFT(TH!L346,2)="15",LEFT(TH!M346,2)="15"),TK!$E$7=TH!F346),"x","")</f>
        <v/>
      </c>
      <c r="X346" s="525" t="str">
        <f>IF(AND('341-CT'!$E$9=H346,OR(LEFT(L346,3)=$X$7,LEFT(M346,3)=$X$7)),"x","")</f>
        <v/>
      </c>
      <c r="Y346" s="525" t="str">
        <f>IF(OR(TH!L346=TH!$Y$7,M346=TH!$Y$7),"x","")</f>
        <v/>
      </c>
      <c r="Z346" s="525" t="str">
        <f>IF(AND(B346&lt;=NKC!$N$8,B346&gt;=NKC!$M$8),"x","")</f>
        <v/>
      </c>
      <c r="AA346" s="535">
        <v>2</v>
      </c>
    </row>
    <row r="347" spans="1:28" s="503" customFormat="1" ht="15.75" customHeight="1">
      <c r="A347" s="517" t="str">
        <f>IF(B347&lt;&gt;"",IF(AND(B347&gt;=_TM1,B347&lt;=_TM2,OR(TH!L347="1111",TH!M347="1111")),TH!D347,""),"")</f>
        <v/>
      </c>
      <c r="B347" s="531">
        <f t="shared" ref="B347:B419" si="35">IF(C347&lt;&gt;"",MONTH(C347),"")</f>
        <v>6</v>
      </c>
      <c r="C347" s="315">
        <f t="shared" ref="C347:C419" si="36">E347</f>
        <v>42916</v>
      </c>
      <c r="D347" s="315" t="s">
        <v>461</v>
      </c>
      <c r="E347" s="288">
        <v>42916</v>
      </c>
      <c r="F347" s="249" t="s">
        <v>1263</v>
      </c>
      <c r="G347" s="314" t="s">
        <v>290</v>
      </c>
      <c r="H347" s="473"/>
      <c r="I347" s="284"/>
      <c r="J347" s="284"/>
      <c r="K347" s="532">
        <v>7830</v>
      </c>
      <c r="L347" s="533" t="s">
        <v>9</v>
      </c>
      <c r="M347" s="533" t="s">
        <v>24</v>
      </c>
      <c r="N347" s="525" t="str">
        <f>IF(AND('331-CT'!$E$7=TH!H347,OR(L347="331",M347="331")),"331",IF(AND(OR(L347="131",M347="131"),H347='131-CT'!$E$7),"131",""))</f>
        <v/>
      </c>
      <c r="O347" s="525" t="str">
        <f>IF(AND($B347&gt;='111'!$N$11,$B347&lt;='111'!$O$11,OR($L347=$O$7,$M347=$O$7)),"x","")</f>
        <v/>
      </c>
      <c r="P347" s="525" t="str">
        <f>IF(AND($L347=$O$7,$B347&lt;'111'!$N$11),"x","")</f>
        <v/>
      </c>
      <c r="Q347" s="525" t="str">
        <f>IF(AND($M347=$O$7,$B347&lt;'111'!$N$11),"x","")</f>
        <v/>
      </c>
      <c r="R347" s="525" t="str">
        <f>IF(ISERROR(FIND('112'!$M$9,G347,1)),"",IF((AND(FIND('112'!$M$9,G347,1)&gt;=1,$B347&gt;='112'!$N$8,$B347&lt;='112'!$O$8,OR($L347='112'!$I$6,$M347='112'!$I$6))),"x",""))</f>
        <v/>
      </c>
      <c r="S347" s="525" t="str">
        <f>IF(ISERROR(FIND('112'!$M$9,G347,1)),"",IF((AND(LEFT(G347,2)=LEFT('112'!$M$9,2),B347&lt;'112'!$N$8,$L347='112'!$I$6)),"x",""))</f>
        <v/>
      </c>
      <c r="T347" s="525" t="str">
        <f>IF(ISERROR(FIND('112'!$M$9,G347,1)),"",IF((AND(RIGHT(G347,2)=RIGHT('112'!$M$9,2),B347&lt;'112'!$N$8,$M347='112'!$I$6)),"x",""))</f>
        <v/>
      </c>
      <c r="U347" s="525" t="str">
        <f>IF(AND(B347&gt;='IN-NX'!$P$3,B347&lt;='IN-NX'!$Q$3,'IN-NX'!$D$7=D347,OR(LEFT(L347,2)="15",AND(LEFT(M347,2)&lt;&gt;"15",LEFT(M347,2)&lt;&gt;"33"))),"x","")</f>
        <v/>
      </c>
      <c r="V347" s="525" t="str">
        <f>IF(AND(OR(LEFT(TH!L347,2)="15",LEFT(TH!M347,2)="15"),'152-CT'!$J$8=TH!F347),"x","")</f>
        <v/>
      </c>
      <c r="W347" s="525" t="str">
        <f>IF(AND(OR(LEFT(TH!L347,2)="15",LEFT(TH!M347,2)="15"),TK!$E$7=TH!F347),"x","")</f>
        <v/>
      </c>
      <c r="X347" s="525" t="str">
        <f>IF(AND('341-CT'!$E$9=H347,OR(LEFT(L347,3)=$X$7,LEFT(M347,3)=$X$7)),"x","")</f>
        <v/>
      </c>
      <c r="Y347" s="525" t="str">
        <f>IF(OR(TH!L347=TH!$Y$7,M347=TH!$Y$7),"x","")</f>
        <v/>
      </c>
      <c r="Z347" s="525" t="str">
        <f>IF(AND(B347&lt;=NKC!$N$8,B347&gt;=NKC!$M$8),"x","")</f>
        <v/>
      </c>
      <c r="AA347" s="535">
        <v>2</v>
      </c>
    </row>
    <row r="348" spans="1:28" s="503" customFormat="1" ht="15.75" customHeight="1">
      <c r="A348" s="517" t="str">
        <f>IF(B348&lt;&gt;"",IF(AND(B348&gt;=_TM1,B348&lt;=_TM2,OR(TH!L348="1111",TH!M348="1111")),TH!D348,""),"")</f>
        <v/>
      </c>
      <c r="B348" s="531">
        <f t="shared" si="35"/>
        <v>7</v>
      </c>
      <c r="C348" s="315">
        <f t="shared" si="36"/>
        <v>42921</v>
      </c>
      <c r="D348" s="315" t="s">
        <v>456</v>
      </c>
      <c r="E348" s="288">
        <v>42921</v>
      </c>
      <c r="F348" s="248" t="s">
        <v>457</v>
      </c>
      <c r="G348" s="314" t="s">
        <v>290</v>
      </c>
      <c r="H348" s="472" t="s">
        <v>289</v>
      </c>
      <c r="I348" s="307"/>
      <c r="J348" s="307"/>
      <c r="K348" s="532">
        <v>48537500</v>
      </c>
      <c r="L348" s="533" t="s">
        <v>24</v>
      </c>
      <c r="M348" s="533" t="s">
        <v>223</v>
      </c>
      <c r="N348" s="525" t="str">
        <f>IF(AND('331-CT'!$E$7=TH!H348,OR(L348="331",M348="331")),"331",IF(AND(OR(L348="131",M348="131"),H348='131-CT'!$E$7),"131",""))</f>
        <v/>
      </c>
      <c r="O348" s="525" t="str">
        <f>IF(AND($B348&gt;='111'!$N$11,$B348&lt;='111'!$O$11,OR($L348=$O$7,$M348=$O$7)),"x","")</f>
        <v/>
      </c>
      <c r="P348" s="525" t="str">
        <f>IF(AND($L348=$O$7,$B348&lt;'111'!$N$11),"x","")</f>
        <v/>
      </c>
      <c r="Q348" s="525" t="str">
        <f>IF(AND($M348=$O$7,$B348&lt;'111'!$N$11),"x","")</f>
        <v/>
      </c>
      <c r="R348" s="525" t="str">
        <f>IF(ISERROR(FIND('112'!$M$9,G348,1)),"",IF((AND(FIND('112'!$M$9,G348,1)&gt;=1,$B348&gt;='112'!$N$8,$B348&lt;='112'!$O$8,OR($L348='112'!$I$6,$M348='112'!$I$6))),"x",""))</f>
        <v/>
      </c>
      <c r="S348" s="525" t="str">
        <f>IF(ISERROR(FIND('112'!$M$9,G348,1)),"",IF((AND(LEFT(G348,2)=LEFT('112'!$M$9,2),B348&lt;'112'!$N$8,$L348='112'!$I$6)),"x",""))</f>
        <v/>
      </c>
      <c r="T348" s="525" t="str">
        <f>IF(ISERROR(FIND('112'!$M$9,G348,1)),"",IF((AND(RIGHT(G348,2)=RIGHT('112'!$M$9,2),B348&lt;'112'!$N$8,$M348='112'!$I$6)),"x",""))</f>
        <v/>
      </c>
      <c r="U348" s="525" t="str">
        <f>IF(AND(B348&gt;='IN-NX'!$P$3,B348&lt;='IN-NX'!$Q$3,'IN-NX'!$D$7=D348,OR(LEFT(L348,2)="15",AND(LEFT(M348,2)&lt;&gt;"15",LEFT(M348,2)&lt;&gt;"33"))),"x","")</f>
        <v/>
      </c>
      <c r="V348" s="525" t="str">
        <f>IF(AND(OR(LEFT(TH!L348,2)="15",LEFT(TH!M348,2)="15"),'152-CT'!$J$8=TH!F348),"x","")</f>
        <v/>
      </c>
      <c r="W348" s="525" t="str">
        <f>IF(AND(OR(LEFT(TH!L348,2)="15",LEFT(TH!M348,2)="15"),TK!$E$7=TH!F348),"x","")</f>
        <v/>
      </c>
      <c r="X348" s="525" t="str">
        <f>IF(AND('341-CT'!$E$9=H348,OR(LEFT(L348,3)=$X$7,LEFT(M348,3)=$X$7)),"x","")</f>
        <v/>
      </c>
      <c r="Y348" s="525" t="str">
        <f>IF(OR(TH!L348=TH!$Y$7,M348=TH!$Y$7),"x","")</f>
        <v/>
      </c>
      <c r="Z348" s="525" t="str">
        <f>IF(AND(B348&lt;=NKC!$N$8,B348&gt;=NKC!$M$8),"x","")</f>
        <v/>
      </c>
      <c r="AA348" s="535"/>
    </row>
    <row r="349" spans="1:28" s="503" customFormat="1" ht="15.75" customHeight="1">
      <c r="A349" s="517" t="str">
        <f>IF(B349&lt;&gt;"",IF(AND(B349&gt;=_TM1,B349&lt;=_TM2,OR(TH!L349="1111",TH!M349="1111")),TH!D349,""),"")</f>
        <v/>
      </c>
      <c r="B349" s="531">
        <f t="shared" si="35"/>
        <v>7</v>
      </c>
      <c r="C349" s="315">
        <f t="shared" si="36"/>
        <v>42926</v>
      </c>
      <c r="D349" s="315" t="s">
        <v>456</v>
      </c>
      <c r="E349" s="288">
        <v>42926</v>
      </c>
      <c r="F349" s="248" t="s">
        <v>457</v>
      </c>
      <c r="G349" s="314" t="s">
        <v>290</v>
      </c>
      <c r="H349" s="473" t="s">
        <v>1218</v>
      </c>
      <c r="I349" s="307"/>
      <c r="J349" s="307"/>
      <c r="K349" s="532">
        <v>19659400</v>
      </c>
      <c r="L349" s="533" t="s">
        <v>24</v>
      </c>
      <c r="M349" s="533" t="s">
        <v>223</v>
      </c>
      <c r="N349" s="525" t="str">
        <f>IF(AND('331-CT'!$E$7=TH!H349,OR(L349="331",M349="331")),"331",IF(AND(OR(L349="131",M349="131"),H349='131-CT'!$E$7),"131",""))</f>
        <v/>
      </c>
      <c r="O349" s="525" t="str">
        <f>IF(AND($B349&gt;='111'!$N$11,$B349&lt;='111'!$O$11,OR($L349=$O$7,$M349=$O$7)),"x","")</f>
        <v/>
      </c>
      <c r="P349" s="525" t="str">
        <f>IF(AND($L349=$O$7,$B349&lt;'111'!$N$11),"x","")</f>
        <v/>
      </c>
      <c r="Q349" s="525" t="str">
        <f>IF(AND($M349=$O$7,$B349&lt;'111'!$N$11),"x","")</f>
        <v/>
      </c>
      <c r="R349" s="525" t="str">
        <f>IF(ISERROR(FIND('112'!$M$9,G349,1)),"",IF((AND(FIND('112'!$M$9,G349,1)&gt;=1,$B349&gt;='112'!$N$8,$B349&lt;='112'!$O$8,OR($L349='112'!$I$6,$M349='112'!$I$6))),"x",""))</f>
        <v/>
      </c>
      <c r="S349" s="525" t="str">
        <f>IF(ISERROR(FIND('112'!$M$9,G349,1)),"",IF((AND(LEFT(G349,2)=LEFT('112'!$M$9,2),B349&lt;'112'!$N$8,$L349='112'!$I$6)),"x",""))</f>
        <v/>
      </c>
      <c r="T349" s="525" t="str">
        <f>IF(ISERROR(FIND('112'!$M$9,G349,1)),"",IF((AND(RIGHT(G349,2)=RIGHT('112'!$M$9,2),B349&lt;'112'!$N$8,$M349='112'!$I$6)),"x",""))</f>
        <v/>
      </c>
      <c r="U349" s="525" t="str">
        <f>IF(AND(B349&gt;='IN-NX'!$P$3,B349&lt;='IN-NX'!$Q$3,'IN-NX'!$D$7=D349,OR(LEFT(L349,2)="15",AND(LEFT(M349,2)&lt;&gt;"15",LEFT(M349,2)&lt;&gt;"33"))),"x","")</f>
        <v/>
      </c>
      <c r="V349" s="525" t="str">
        <f>IF(AND(OR(LEFT(TH!L349,2)="15",LEFT(TH!M349,2)="15"),'152-CT'!$J$8=TH!F349),"x","")</f>
        <v/>
      </c>
      <c r="W349" s="525" t="str">
        <f>IF(AND(OR(LEFT(TH!L349,2)="15",LEFT(TH!M349,2)="15"),TK!$E$7=TH!F349),"x","")</f>
        <v/>
      </c>
      <c r="X349" s="525" t="str">
        <f>IF(AND('341-CT'!$E$9=H349,OR(LEFT(L349,3)=$X$7,LEFT(M349,3)=$X$7)),"x","")</f>
        <v/>
      </c>
      <c r="Y349" s="525" t="str">
        <f>IF(OR(TH!L349=TH!$Y$7,M349=TH!$Y$7),"x","")</f>
        <v/>
      </c>
      <c r="Z349" s="525" t="str">
        <f>IF(AND(B349&lt;=NKC!$N$8,B349&gt;=NKC!$M$8),"x","")</f>
        <v/>
      </c>
      <c r="AA349" s="535"/>
    </row>
    <row r="350" spans="1:28" s="503" customFormat="1" ht="15.75" customHeight="1">
      <c r="A350" s="517" t="str">
        <f>IF(B350&lt;&gt;"",IF(AND(B350&gt;=_TM1,B350&lt;=_TM2,OR(TH!L350="1111",TH!M350="1111")),TH!D350,""),"")</f>
        <v/>
      </c>
      <c r="B350" s="531">
        <f t="shared" si="35"/>
        <v>7</v>
      </c>
      <c r="C350" s="315">
        <f t="shared" si="36"/>
        <v>42941</v>
      </c>
      <c r="D350" s="315" t="s">
        <v>456</v>
      </c>
      <c r="E350" s="288">
        <v>42941</v>
      </c>
      <c r="F350" s="249" t="s">
        <v>458</v>
      </c>
      <c r="G350" s="314" t="s">
        <v>290</v>
      </c>
      <c r="H350" s="473"/>
      <c r="I350" s="307"/>
      <c r="J350" s="307"/>
      <c r="K350" s="532">
        <v>453</v>
      </c>
      <c r="L350" s="533" t="s">
        <v>24</v>
      </c>
      <c r="M350" s="533" t="s">
        <v>38</v>
      </c>
      <c r="N350" s="525" t="str">
        <f>IF(AND('331-CT'!$E$7=TH!H350,OR(L350="331",M350="331")),"331",IF(AND(OR(L350="131",M350="131"),H350='131-CT'!$E$7),"131",""))</f>
        <v/>
      </c>
      <c r="O350" s="525" t="str">
        <f>IF(AND($B350&gt;='111'!$N$11,$B350&lt;='111'!$O$11,OR($L350=$O$7,$M350=$O$7)),"x","")</f>
        <v/>
      </c>
      <c r="P350" s="525" t="str">
        <f>IF(AND($L350=$O$7,$B350&lt;'111'!$N$11),"x","")</f>
        <v/>
      </c>
      <c r="Q350" s="525" t="str">
        <f>IF(AND($M350=$O$7,$B350&lt;'111'!$N$11),"x","")</f>
        <v/>
      </c>
      <c r="R350" s="525" t="str">
        <f>IF(ISERROR(FIND('112'!$M$9,G350,1)),"",IF((AND(FIND('112'!$M$9,G350,1)&gt;=1,$B350&gt;='112'!$N$8,$B350&lt;='112'!$O$8,OR($L350='112'!$I$6,$M350='112'!$I$6))),"x",""))</f>
        <v/>
      </c>
      <c r="S350" s="525" t="str">
        <f>IF(ISERROR(FIND('112'!$M$9,G350,1)),"",IF((AND(LEFT(G350,2)=LEFT('112'!$M$9,2),B350&lt;'112'!$N$8,$L350='112'!$I$6)),"x",""))</f>
        <v/>
      </c>
      <c r="T350" s="525" t="str">
        <f>IF(ISERROR(FIND('112'!$M$9,G350,1)),"",IF((AND(RIGHT(G350,2)=RIGHT('112'!$M$9,2),B350&lt;'112'!$N$8,$M350='112'!$I$6)),"x",""))</f>
        <v/>
      </c>
      <c r="U350" s="525" t="str">
        <f>IF(AND(B350&gt;='IN-NX'!$P$3,B350&lt;='IN-NX'!$Q$3,'IN-NX'!$D$7=D350,OR(LEFT(L350,2)="15",AND(LEFT(M350,2)&lt;&gt;"15",LEFT(M350,2)&lt;&gt;"33"))),"x","")</f>
        <v/>
      </c>
      <c r="V350" s="525" t="str">
        <f>IF(AND(OR(LEFT(TH!L350,2)="15",LEFT(TH!M350,2)="15"),'152-CT'!$J$8=TH!F350),"x","")</f>
        <v/>
      </c>
      <c r="W350" s="525" t="str">
        <f>IF(AND(OR(LEFT(TH!L350,2)="15",LEFT(TH!M350,2)="15"),TK!$E$7=TH!F350),"x","")</f>
        <v/>
      </c>
      <c r="X350" s="525" t="str">
        <f>IF(AND('341-CT'!$E$9=H350,OR(LEFT(L350,3)=$X$7,LEFT(M350,3)=$X$7)),"x","")</f>
        <v/>
      </c>
      <c r="Y350" s="525" t="str">
        <f>IF(OR(TH!L350=TH!$Y$7,M350=TH!$Y$7),"x","")</f>
        <v/>
      </c>
      <c r="Z350" s="525" t="str">
        <f>IF(AND(B350&lt;=NKC!$N$8,B350&gt;=NKC!$M$8),"x","")</f>
        <v/>
      </c>
      <c r="AA350" s="535"/>
    </row>
    <row r="351" spans="1:28" s="503" customFormat="1" ht="15.75" customHeight="1">
      <c r="A351" s="517" t="str">
        <f>IF(B351&lt;&gt;"",IF(AND(B351&gt;=_TM1,B351&lt;=_TM2,OR(TH!L351="1111",TH!M351="1111")),TH!D351,""),"")</f>
        <v/>
      </c>
      <c r="B351" s="531">
        <f t="shared" si="35"/>
        <v>7</v>
      </c>
      <c r="C351" s="315">
        <f t="shared" si="36"/>
        <v>42921</v>
      </c>
      <c r="D351" s="315" t="s">
        <v>461</v>
      </c>
      <c r="E351" s="288">
        <v>42921</v>
      </c>
      <c r="F351" s="249" t="s">
        <v>465</v>
      </c>
      <c r="G351" s="314" t="s">
        <v>290</v>
      </c>
      <c r="H351" s="473" t="s">
        <v>460</v>
      </c>
      <c r="I351" s="284"/>
      <c r="J351" s="284"/>
      <c r="K351" s="532">
        <v>20500000</v>
      </c>
      <c r="L351" s="533" t="s">
        <v>45</v>
      </c>
      <c r="M351" s="533" t="s">
        <v>24</v>
      </c>
      <c r="N351" s="525" t="str">
        <f>IF(AND('331-CT'!$E$7=TH!H351,OR(L351="331",M351="331")),"331",IF(AND(OR(L351="131",M351="131"),H351='131-CT'!$E$7),"131",""))</f>
        <v/>
      </c>
      <c r="O351" s="525" t="str">
        <f>IF(AND($B351&gt;='111'!$N$11,$B351&lt;='111'!$O$11,OR($L351=$O$7,$M351=$O$7)),"x","")</f>
        <v/>
      </c>
      <c r="P351" s="525" t="str">
        <f>IF(AND($L351=$O$7,$B351&lt;'111'!$N$11),"x","")</f>
        <v>x</v>
      </c>
      <c r="Q351" s="525" t="str">
        <f>IF(AND($M351=$O$7,$B351&lt;'111'!$N$11),"x","")</f>
        <v/>
      </c>
      <c r="R351" s="525" t="str">
        <f>IF(ISERROR(FIND('112'!$M$9,G351,1)),"",IF((AND(FIND('112'!$M$9,G351,1)&gt;=1,$B351&gt;='112'!$N$8,$B351&lt;='112'!$O$8,OR($L351='112'!$I$6,$M351='112'!$I$6))),"x",""))</f>
        <v/>
      </c>
      <c r="S351" s="525" t="str">
        <f>IF(ISERROR(FIND('112'!$M$9,G351,1)),"",IF((AND(LEFT(G351,2)=LEFT('112'!$M$9,2),B351&lt;'112'!$N$8,$L351='112'!$I$6)),"x",""))</f>
        <v/>
      </c>
      <c r="T351" s="525" t="str">
        <f>IF(ISERROR(FIND('112'!$M$9,G351,1)),"",IF((AND(RIGHT(G351,2)=RIGHT('112'!$M$9,2),B351&lt;'112'!$N$8,$M351='112'!$I$6)),"x",""))</f>
        <v/>
      </c>
      <c r="U351" s="525" t="str">
        <f>IF(AND(B351&gt;='IN-NX'!$P$3,B351&lt;='IN-NX'!$Q$3,'IN-NX'!$D$7=D351,OR(LEFT(L351,2)="15",AND(LEFT(M351,2)&lt;&gt;"15",LEFT(M351,2)&lt;&gt;"33"))),"x","")</f>
        <v/>
      </c>
      <c r="V351" s="525" t="str">
        <f>IF(AND(OR(LEFT(TH!L351,2)="15",LEFT(TH!M351,2)="15"),'152-CT'!$J$8=TH!F351),"x","")</f>
        <v/>
      </c>
      <c r="W351" s="525" t="str">
        <f>IF(AND(OR(LEFT(TH!L351,2)="15",LEFT(TH!M351,2)="15"),TK!$E$7=TH!F351),"x","")</f>
        <v/>
      </c>
      <c r="X351" s="525" t="str">
        <f>IF(AND('341-CT'!$E$9=H351,OR(LEFT(L351,3)=$X$7,LEFT(M351,3)=$X$7)),"x","")</f>
        <v/>
      </c>
      <c r="Y351" s="525" t="str">
        <f>IF(OR(TH!L351=TH!$Y$7,M351=TH!$Y$7),"x","")</f>
        <v/>
      </c>
      <c r="Z351" s="525" t="str">
        <f>IF(AND(B351&lt;=NKC!$N$8,B351&gt;=NKC!$M$8),"x","")</f>
        <v/>
      </c>
      <c r="AA351" s="535"/>
    </row>
    <row r="352" spans="1:28" s="503" customFormat="1" ht="15.75" customHeight="1">
      <c r="A352" s="517" t="str">
        <f>IF(B352&lt;&gt;"",IF(AND(B352&gt;=_TM1,B352&lt;=_TM2,OR(TH!L352="1111",TH!M352="1111")),TH!D352,""),"")</f>
        <v/>
      </c>
      <c r="B352" s="531">
        <f t="shared" si="35"/>
        <v>7</v>
      </c>
      <c r="C352" s="315">
        <f t="shared" si="36"/>
        <v>42921</v>
      </c>
      <c r="D352" s="315" t="s">
        <v>461</v>
      </c>
      <c r="E352" s="288">
        <v>42921</v>
      </c>
      <c r="F352" s="248" t="s">
        <v>468</v>
      </c>
      <c r="G352" s="314" t="s">
        <v>290</v>
      </c>
      <c r="H352" s="473" t="s">
        <v>271</v>
      </c>
      <c r="I352" s="307"/>
      <c r="J352" s="307"/>
      <c r="K352" s="532">
        <v>28000000</v>
      </c>
      <c r="L352" s="533" t="s">
        <v>8</v>
      </c>
      <c r="M352" s="533" t="s">
        <v>24</v>
      </c>
      <c r="N352" s="525" t="str">
        <f>IF(AND('331-CT'!$E$7=TH!H352,OR(L352="331",M352="331")),"331",IF(AND(OR(L352="131",M352="131"),H352='131-CT'!$E$7),"131",""))</f>
        <v>331</v>
      </c>
      <c r="O352" s="525" t="str">
        <f>IF(AND($B352&gt;='111'!$N$11,$B352&lt;='111'!$O$11,OR($L352=$O$7,$M352=$O$7)),"x","")</f>
        <v/>
      </c>
      <c r="P352" s="525" t="str">
        <f>IF(AND($L352=$O$7,$B352&lt;'111'!$N$11),"x","")</f>
        <v/>
      </c>
      <c r="Q352" s="525" t="str">
        <f>IF(AND($M352=$O$7,$B352&lt;'111'!$N$11),"x","")</f>
        <v/>
      </c>
      <c r="R352" s="525" t="str">
        <f>IF(ISERROR(FIND('112'!$M$9,G352,1)),"",IF((AND(FIND('112'!$M$9,G352,1)&gt;=1,$B352&gt;='112'!$N$8,$B352&lt;='112'!$O$8,OR($L352='112'!$I$6,$M352='112'!$I$6))),"x",""))</f>
        <v/>
      </c>
      <c r="S352" s="525" t="str">
        <f>IF(ISERROR(FIND('112'!$M$9,G352,1)),"",IF((AND(LEFT(G352,2)=LEFT('112'!$M$9,2),B352&lt;'112'!$N$8,$L352='112'!$I$6)),"x",""))</f>
        <v/>
      </c>
      <c r="T352" s="525" t="str">
        <f>IF(ISERROR(FIND('112'!$M$9,G352,1)),"",IF((AND(RIGHT(G352,2)=RIGHT('112'!$M$9,2),B352&lt;'112'!$N$8,$M352='112'!$I$6)),"x",""))</f>
        <v/>
      </c>
      <c r="U352" s="525" t="str">
        <f>IF(AND(B352&gt;='IN-NX'!$P$3,B352&lt;='IN-NX'!$Q$3,'IN-NX'!$D$7=D352,OR(LEFT(L352,2)="15",AND(LEFT(M352,2)&lt;&gt;"15",LEFT(M352,2)&lt;&gt;"33"))),"x","")</f>
        <v/>
      </c>
      <c r="V352" s="525" t="str">
        <f>IF(AND(OR(LEFT(TH!L352,2)="15",LEFT(TH!M352,2)="15"),'152-CT'!$J$8=TH!F352),"x","")</f>
        <v/>
      </c>
      <c r="W352" s="525" t="str">
        <f>IF(AND(OR(LEFT(TH!L352,2)="15",LEFT(TH!M352,2)="15"),TK!$E$7=TH!F352),"x","")</f>
        <v/>
      </c>
      <c r="X352" s="525" t="str">
        <f>IF(AND('341-CT'!$E$9=H352,OR(LEFT(L352,3)=$X$7,LEFT(M352,3)=$X$7)),"x","")</f>
        <v/>
      </c>
      <c r="Y352" s="525" t="str">
        <f>IF(OR(TH!L352=TH!$Y$7,M352=TH!$Y$7),"x","")</f>
        <v/>
      </c>
      <c r="Z352" s="525" t="str">
        <f>IF(AND(B352&lt;=NKC!$N$8,B352&gt;=NKC!$M$8),"x","")</f>
        <v/>
      </c>
      <c r="AA352" s="535"/>
    </row>
    <row r="353" spans="1:28" s="503" customFormat="1" ht="15.75" customHeight="1">
      <c r="A353" s="517" t="str">
        <f>IF(B353&lt;&gt;"",IF(AND(B353&gt;=_TM1,B353&lt;=_TM2,OR(TH!L353="1111",TH!M353="1111")),TH!D353,""),"")</f>
        <v/>
      </c>
      <c r="B353" s="531">
        <f t="shared" si="35"/>
        <v>7</v>
      </c>
      <c r="C353" s="315">
        <f t="shared" si="36"/>
        <v>42921</v>
      </c>
      <c r="D353" s="315" t="s">
        <v>461</v>
      </c>
      <c r="E353" s="288">
        <v>42921</v>
      </c>
      <c r="F353" s="248" t="s">
        <v>463</v>
      </c>
      <c r="G353" s="314" t="s">
        <v>290</v>
      </c>
      <c r="H353" s="472"/>
      <c r="I353" s="307"/>
      <c r="J353" s="307"/>
      <c r="K353" s="532">
        <v>10000</v>
      </c>
      <c r="L353" s="533" t="s">
        <v>81</v>
      </c>
      <c r="M353" s="533" t="s">
        <v>24</v>
      </c>
      <c r="N353" s="525" t="str">
        <f>IF(AND('331-CT'!$E$7=TH!H353,OR(L353="331",M353="331")),"331",IF(AND(OR(L353="131",M353="131"),H353='131-CT'!$E$7),"131",""))</f>
        <v/>
      </c>
      <c r="O353" s="525" t="str">
        <f>IF(AND($B353&gt;='111'!$N$11,$B353&lt;='111'!$O$11,OR($L353=$O$7,$M353=$O$7)),"x","")</f>
        <v/>
      </c>
      <c r="P353" s="525" t="str">
        <f>IF(AND($L353=$O$7,$B353&lt;'111'!$N$11),"x","")</f>
        <v/>
      </c>
      <c r="Q353" s="525" t="str">
        <f>IF(AND($M353=$O$7,$B353&lt;'111'!$N$11),"x","")</f>
        <v/>
      </c>
      <c r="R353" s="525" t="str">
        <f>IF(ISERROR(FIND('112'!$M$9,G353,1)),"",IF((AND(FIND('112'!$M$9,G353,1)&gt;=1,$B353&gt;='112'!$N$8,$B353&lt;='112'!$O$8,OR($L353='112'!$I$6,$M353='112'!$I$6))),"x",""))</f>
        <v/>
      </c>
      <c r="S353" s="525" t="str">
        <f>IF(ISERROR(FIND('112'!$M$9,G353,1)),"",IF((AND(LEFT(G353,2)=LEFT('112'!$M$9,2),B353&lt;'112'!$N$8,$L353='112'!$I$6)),"x",""))</f>
        <v/>
      </c>
      <c r="T353" s="525" t="str">
        <f>IF(ISERROR(FIND('112'!$M$9,G353,1)),"",IF((AND(RIGHT(G353,2)=RIGHT('112'!$M$9,2),B353&lt;'112'!$N$8,$M353='112'!$I$6)),"x",""))</f>
        <v/>
      </c>
      <c r="U353" s="525" t="str">
        <f>IF(AND(B353&gt;='IN-NX'!$P$3,B353&lt;='IN-NX'!$Q$3,'IN-NX'!$D$7=D353,OR(LEFT(L353,2)="15",AND(LEFT(M353,2)&lt;&gt;"15",LEFT(M353,2)&lt;&gt;"33"))),"x","")</f>
        <v/>
      </c>
      <c r="V353" s="525" t="str">
        <f>IF(AND(OR(LEFT(TH!L353,2)="15",LEFT(TH!M353,2)="15"),'152-CT'!$J$8=TH!F353),"x","")</f>
        <v/>
      </c>
      <c r="W353" s="525" t="str">
        <f>IF(AND(OR(LEFT(TH!L353,2)="15",LEFT(TH!M353,2)="15"),TK!$E$7=TH!F353),"x","")</f>
        <v/>
      </c>
      <c r="X353" s="525" t="str">
        <f>IF(AND('341-CT'!$E$9=H353,OR(LEFT(L353,3)=$X$7,LEFT(M353,3)=$X$7)),"x","")</f>
        <v/>
      </c>
      <c r="Y353" s="525" t="str">
        <f>IF(OR(TH!L353=TH!$Y$7,M353=TH!$Y$7),"x","")</f>
        <v/>
      </c>
      <c r="Z353" s="525" t="str">
        <f>IF(AND(B353&lt;=NKC!$N$8,B353&gt;=NKC!$M$8),"x","")</f>
        <v/>
      </c>
      <c r="AA353" s="535">
        <v>3</v>
      </c>
      <c r="AB353" s="536"/>
    </row>
    <row r="354" spans="1:28" s="503" customFormat="1" ht="15.75" customHeight="1">
      <c r="A354" s="517" t="str">
        <f>IF(B354&lt;&gt;"",IF(AND(B354&gt;=_TM1,B354&lt;=_TM2,OR(TH!L354="1111",TH!M354="1111")),TH!D354,""),"")</f>
        <v/>
      </c>
      <c r="B354" s="531">
        <f t="shared" si="35"/>
        <v>7</v>
      </c>
      <c r="C354" s="315">
        <f t="shared" si="36"/>
        <v>42921</v>
      </c>
      <c r="D354" s="315" t="s">
        <v>461</v>
      </c>
      <c r="E354" s="288">
        <v>42921</v>
      </c>
      <c r="F354" s="248" t="s">
        <v>464</v>
      </c>
      <c r="G354" s="314" t="s">
        <v>290</v>
      </c>
      <c r="H354" s="472"/>
      <c r="I354" s="307"/>
      <c r="J354" s="307"/>
      <c r="K354" s="532">
        <v>1000</v>
      </c>
      <c r="L354" s="533" t="s">
        <v>9</v>
      </c>
      <c r="M354" s="533" t="s">
        <v>24</v>
      </c>
      <c r="N354" s="525" t="str">
        <f>IF(AND('331-CT'!$E$7=TH!H354,OR(L354="331",M354="331")),"331",IF(AND(OR(L354="131",M354="131"),H354='131-CT'!$E$7),"131",""))</f>
        <v/>
      </c>
      <c r="O354" s="525" t="str">
        <f>IF(AND($B354&gt;='111'!$N$11,$B354&lt;='111'!$O$11,OR($L354=$O$7,$M354=$O$7)),"x","")</f>
        <v/>
      </c>
      <c r="P354" s="525" t="str">
        <f>IF(AND($L354=$O$7,$B354&lt;'111'!$N$11),"x","")</f>
        <v/>
      </c>
      <c r="Q354" s="525" t="str">
        <f>IF(AND($M354=$O$7,$B354&lt;'111'!$N$11),"x","")</f>
        <v/>
      </c>
      <c r="R354" s="525" t="str">
        <f>IF(ISERROR(FIND('112'!$M$9,G354,1)),"",IF((AND(FIND('112'!$M$9,G354,1)&gt;=1,$B354&gt;='112'!$N$8,$B354&lt;='112'!$O$8,OR($L354='112'!$I$6,$M354='112'!$I$6))),"x",""))</f>
        <v/>
      </c>
      <c r="S354" s="525" t="str">
        <f>IF(ISERROR(FIND('112'!$M$9,G354,1)),"",IF((AND(LEFT(G354,2)=LEFT('112'!$M$9,2),B354&lt;'112'!$N$8,$L354='112'!$I$6)),"x",""))</f>
        <v/>
      </c>
      <c r="T354" s="525" t="str">
        <f>IF(ISERROR(FIND('112'!$M$9,G354,1)),"",IF((AND(RIGHT(G354,2)=RIGHT('112'!$M$9,2),B354&lt;'112'!$N$8,$M354='112'!$I$6)),"x",""))</f>
        <v/>
      </c>
      <c r="U354" s="525" t="str">
        <f>IF(AND(B354&gt;='IN-NX'!$P$3,B354&lt;='IN-NX'!$Q$3,'IN-NX'!$D$7=D354,OR(LEFT(L354,2)="15",AND(LEFT(M354,2)&lt;&gt;"15",LEFT(M354,2)&lt;&gt;"33"))),"x","")</f>
        <v/>
      </c>
      <c r="V354" s="525" t="str">
        <f>IF(AND(OR(LEFT(TH!L354,2)="15",LEFT(TH!M354,2)="15"),'152-CT'!$J$8=TH!F354),"x","")</f>
        <v/>
      </c>
      <c r="W354" s="525" t="str">
        <f>IF(AND(OR(LEFT(TH!L354,2)="15",LEFT(TH!M354,2)="15"),TK!$E$7=TH!F354),"x","")</f>
        <v/>
      </c>
      <c r="X354" s="525" t="str">
        <f>IF(AND('341-CT'!$E$9=H354,OR(LEFT(L354,3)=$X$7,LEFT(M354,3)=$X$7)),"x","")</f>
        <v/>
      </c>
      <c r="Y354" s="525" t="str">
        <f>IF(OR(TH!L354=TH!$Y$7,M354=TH!$Y$7),"x","")</f>
        <v/>
      </c>
      <c r="Z354" s="525" t="str">
        <f>IF(AND(B354&lt;=NKC!$N$8,B354&gt;=NKC!$M$8),"x","")</f>
        <v/>
      </c>
      <c r="AA354" s="535">
        <v>3</v>
      </c>
    </row>
    <row r="355" spans="1:28" s="503" customFormat="1" ht="15.75" customHeight="1">
      <c r="A355" s="517" t="str">
        <f>IF(B355&lt;&gt;"",IF(AND(B355&gt;=_TM1,B355&lt;=_TM2,OR(TH!L355="1111",TH!M355="1111")),TH!D355,""),"")</f>
        <v/>
      </c>
      <c r="B355" s="531">
        <f t="shared" si="35"/>
        <v>7</v>
      </c>
      <c r="C355" s="315">
        <f t="shared" si="36"/>
        <v>42927</v>
      </c>
      <c r="D355" s="315" t="s">
        <v>461</v>
      </c>
      <c r="E355" s="288">
        <v>42927</v>
      </c>
      <c r="F355" s="249" t="s">
        <v>465</v>
      </c>
      <c r="G355" s="314" t="s">
        <v>290</v>
      </c>
      <c r="H355" s="473" t="s">
        <v>460</v>
      </c>
      <c r="I355" s="284"/>
      <c r="J355" s="284"/>
      <c r="K355" s="532">
        <v>19900000</v>
      </c>
      <c r="L355" s="533" t="s">
        <v>45</v>
      </c>
      <c r="M355" s="533" t="s">
        <v>24</v>
      </c>
      <c r="N355" s="525" t="str">
        <f>IF(AND('331-CT'!$E$7=TH!H355,OR(L355="331",M355="331")),"331",IF(AND(OR(L355="131",M355="131"),H355='131-CT'!$E$7),"131",""))</f>
        <v/>
      </c>
      <c r="O355" s="525" t="str">
        <f>IF(AND($B355&gt;='111'!$N$11,$B355&lt;='111'!$O$11,OR($L355=$O$7,$M355=$O$7)),"x","")</f>
        <v/>
      </c>
      <c r="P355" s="525" t="str">
        <f>IF(AND($L355=$O$7,$B355&lt;'111'!$N$11),"x","")</f>
        <v>x</v>
      </c>
      <c r="Q355" s="525" t="str">
        <f>IF(AND($M355=$O$7,$B355&lt;'111'!$N$11),"x","")</f>
        <v/>
      </c>
      <c r="R355" s="525" t="str">
        <f>IF(ISERROR(FIND('112'!$M$9,G355,1)),"",IF((AND(FIND('112'!$M$9,G355,1)&gt;=1,$B355&gt;='112'!$N$8,$B355&lt;='112'!$O$8,OR($L355='112'!$I$6,$M355='112'!$I$6))),"x",""))</f>
        <v/>
      </c>
      <c r="S355" s="525" t="str">
        <f>IF(ISERROR(FIND('112'!$M$9,G355,1)),"",IF((AND(LEFT(G355,2)=LEFT('112'!$M$9,2),B355&lt;'112'!$N$8,$L355='112'!$I$6)),"x",""))</f>
        <v/>
      </c>
      <c r="T355" s="525" t="str">
        <f>IF(ISERROR(FIND('112'!$M$9,G355,1)),"",IF((AND(RIGHT(G355,2)=RIGHT('112'!$M$9,2),B355&lt;'112'!$N$8,$M355='112'!$I$6)),"x",""))</f>
        <v/>
      </c>
      <c r="U355" s="525" t="str">
        <f>IF(AND(B355&gt;='IN-NX'!$P$3,B355&lt;='IN-NX'!$Q$3,'IN-NX'!$D$7=D355,OR(LEFT(L355,2)="15",AND(LEFT(M355,2)&lt;&gt;"15",LEFT(M355,2)&lt;&gt;"33"))),"x","")</f>
        <v/>
      </c>
      <c r="V355" s="525" t="str">
        <f>IF(AND(OR(LEFT(TH!L355,2)="15",LEFT(TH!M355,2)="15"),'152-CT'!$J$8=TH!F355),"x","")</f>
        <v/>
      </c>
      <c r="W355" s="525" t="str">
        <f>IF(AND(OR(LEFT(TH!L355,2)="15",LEFT(TH!M355,2)="15"),TK!$E$7=TH!F355),"x","")</f>
        <v/>
      </c>
      <c r="X355" s="525" t="str">
        <f>IF(AND('341-CT'!$E$9=H355,OR(LEFT(L355,3)=$X$7,LEFT(M355,3)=$X$7)),"x","")</f>
        <v/>
      </c>
      <c r="Y355" s="525" t="str">
        <f>IF(OR(TH!L355=TH!$Y$7,M355=TH!$Y$7),"x","")</f>
        <v/>
      </c>
      <c r="Z355" s="525" t="str">
        <f>IF(AND(B355&lt;=NKC!$N$8,B355&gt;=NKC!$M$8),"x","")</f>
        <v/>
      </c>
      <c r="AA355" s="535"/>
    </row>
    <row r="356" spans="1:28" s="503" customFormat="1" ht="15.75" customHeight="1">
      <c r="A356" s="517" t="str">
        <f>IF(B356&lt;&gt;"",IF(AND(B356&gt;=_TM1,B356&lt;=_TM2,OR(TH!L356="1111",TH!M356="1111")),TH!D356,""),"")</f>
        <v/>
      </c>
      <c r="B356" s="531">
        <f t="shared" si="35"/>
        <v>7</v>
      </c>
      <c r="C356" s="315">
        <f t="shared" si="36"/>
        <v>42939</v>
      </c>
      <c r="D356" s="315" t="s">
        <v>461</v>
      </c>
      <c r="E356" s="288">
        <v>42939</v>
      </c>
      <c r="F356" s="249" t="s">
        <v>469</v>
      </c>
      <c r="G356" s="314" t="s">
        <v>290</v>
      </c>
      <c r="H356" s="472"/>
      <c r="I356" s="307"/>
      <c r="J356" s="307"/>
      <c r="K356" s="532">
        <v>50000</v>
      </c>
      <c r="L356" s="533" t="s">
        <v>81</v>
      </c>
      <c r="M356" s="533" t="s">
        <v>24</v>
      </c>
      <c r="N356" s="525" t="str">
        <f>IF(AND('331-CT'!$E$7=TH!H356,OR(L356="331",M356="331")),"331",IF(AND(OR(L356="131",M356="131"),H356='131-CT'!$E$7),"131",""))</f>
        <v/>
      </c>
      <c r="O356" s="525" t="str">
        <f>IF(AND($B356&gt;='111'!$N$11,$B356&lt;='111'!$O$11,OR($L356=$O$7,$M356=$O$7)),"x","")</f>
        <v/>
      </c>
      <c r="P356" s="525" t="str">
        <f>IF(AND($L356=$O$7,$B356&lt;'111'!$N$11),"x","")</f>
        <v/>
      </c>
      <c r="Q356" s="525" t="str">
        <f>IF(AND($M356=$O$7,$B356&lt;'111'!$N$11),"x","")</f>
        <v/>
      </c>
      <c r="R356" s="525" t="str">
        <f>IF(ISERROR(FIND('112'!$M$9,G356,1)),"",IF((AND(FIND('112'!$M$9,G356,1)&gt;=1,$B356&gt;='112'!$N$8,$B356&lt;='112'!$O$8,OR($L356='112'!$I$6,$M356='112'!$I$6))),"x",""))</f>
        <v/>
      </c>
      <c r="S356" s="525" t="str">
        <f>IF(ISERROR(FIND('112'!$M$9,G356,1)),"",IF((AND(LEFT(G356,2)=LEFT('112'!$M$9,2),B356&lt;'112'!$N$8,$L356='112'!$I$6)),"x",""))</f>
        <v/>
      </c>
      <c r="T356" s="525" t="str">
        <f>IF(ISERROR(FIND('112'!$M$9,G356,1)),"",IF((AND(RIGHT(G356,2)=RIGHT('112'!$M$9,2),B356&lt;'112'!$N$8,$M356='112'!$I$6)),"x",""))</f>
        <v/>
      </c>
      <c r="U356" s="525" t="str">
        <f>IF(AND(B356&gt;='IN-NX'!$P$3,B356&lt;='IN-NX'!$Q$3,'IN-NX'!$D$7=D356,OR(LEFT(L356,2)="15",AND(LEFT(M356,2)&lt;&gt;"15",LEFT(M356,2)&lt;&gt;"33"))),"x","")</f>
        <v/>
      </c>
      <c r="V356" s="525" t="str">
        <f>IF(AND(OR(LEFT(TH!L356,2)="15",LEFT(TH!M356,2)="15"),'152-CT'!$J$8=TH!F356),"x","")</f>
        <v/>
      </c>
      <c r="W356" s="525" t="str">
        <f>IF(AND(OR(LEFT(TH!L356,2)="15",LEFT(TH!M356,2)="15"),TK!$E$7=TH!F356),"x","")</f>
        <v/>
      </c>
      <c r="X356" s="525" t="str">
        <f>IF(AND('341-CT'!$E$9=H356,OR(LEFT(L356,3)=$X$7,LEFT(M356,3)=$X$7)),"x","")</f>
        <v/>
      </c>
      <c r="Y356" s="525" t="str">
        <f>IF(OR(TH!L356=TH!$Y$7,M356=TH!$Y$7),"x","")</f>
        <v/>
      </c>
      <c r="Z356" s="525" t="str">
        <f>IF(AND(B356&lt;=NKC!$N$8,B356&gt;=NKC!$M$8),"x","")</f>
        <v/>
      </c>
      <c r="AA356" s="535">
        <v>3</v>
      </c>
    </row>
    <row r="357" spans="1:28" s="503" customFormat="1" ht="15.75" customHeight="1">
      <c r="A357" s="517" t="str">
        <f>IF(B357&lt;&gt;"",IF(AND(B357&gt;=_TM1,B357&lt;=_TM2,OR(TH!L357="1111",TH!M357="1111")),TH!D357,""),"")</f>
        <v/>
      </c>
      <c r="B357" s="531">
        <f t="shared" si="35"/>
        <v>7</v>
      </c>
      <c r="C357" s="315">
        <f t="shared" si="36"/>
        <v>42939</v>
      </c>
      <c r="D357" s="315" t="s">
        <v>461</v>
      </c>
      <c r="E357" s="288">
        <v>42939</v>
      </c>
      <c r="F357" s="249" t="s">
        <v>470</v>
      </c>
      <c r="G357" s="314" t="s">
        <v>290</v>
      </c>
      <c r="H357" s="473"/>
      <c r="I357" s="307"/>
      <c r="J357" s="307"/>
      <c r="K357" s="532">
        <v>5000</v>
      </c>
      <c r="L357" s="533" t="s">
        <v>9</v>
      </c>
      <c r="M357" s="533" t="s">
        <v>24</v>
      </c>
      <c r="N357" s="525" t="str">
        <f>IF(AND('331-CT'!$E$7=TH!H357,OR(L357="331",M357="331")),"331",IF(AND(OR(L357="131",M357="131"),H357='131-CT'!$E$7),"131",""))</f>
        <v/>
      </c>
      <c r="O357" s="525" t="str">
        <f>IF(AND($B357&gt;='111'!$N$11,$B357&lt;='111'!$O$11,OR($L357=$O$7,$M357=$O$7)),"x","")</f>
        <v/>
      </c>
      <c r="P357" s="525" t="str">
        <f>IF(AND($L357=$O$7,$B357&lt;'111'!$N$11),"x","")</f>
        <v/>
      </c>
      <c r="Q357" s="525" t="str">
        <f>IF(AND($M357=$O$7,$B357&lt;'111'!$N$11),"x","")</f>
        <v/>
      </c>
      <c r="R357" s="525" t="str">
        <f>IF(ISERROR(FIND('112'!$M$9,G357,1)),"",IF((AND(FIND('112'!$M$9,G357,1)&gt;=1,$B357&gt;='112'!$N$8,$B357&lt;='112'!$O$8,OR($L357='112'!$I$6,$M357='112'!$I$6))),"x",""))</f>
        <v/>
      </c>
      <c r="S357" s="525" t="str">
        <f>IF(ISERROR(FIND('112'!$M$9,G357,1)),"",IF((AND(LEFT(G357,2)=LEFT('112'!$M$9,2),B357&lt;'112'!$N$8,$L357='112'!$I$6)),"x",""))</f>
        <v/>
      </c>
      <c r="T357" s="525" t="str">
        <f>IF(ISERROR(FIND('112'!$M$9,G357,1)),"",IF((AND(RIGHT(G357,2)=RIGHT('112'!$M$9,2),B357&lt;'112'!$N$8,$M357='112'!$I$6)),"x",""))</f>
        <v/>
      </c>
      <c r="U357" s="525" t="str">
        <f>IF(AND(B357&gt;='IN-NX'!$P$3,B357&lt;='IN-NX'!$Q$3,'IN-NX'!$D$7=D357,OR(LEFT(L357,2)="15",AND(LEFT(M357,2)&lt;&gt;"15",LEFT(M357,2)&lt;&gt;"33"))),"x","")</f>
        <v/>
      </c>
      <c r="V357" s="525" t="str">
        <f>IF(AND(OR(LEFT(TH!L357,2)="15",LEFT(TH!M357,2)="15"),'152-CT'!$J$8=TH!F357),"x","")</f>
        <v/>
      </c>
      <c r="W357" s="525" t="str">
        <f>IF(AND(OR(LEFT(TH!L357,2)="15",LEFT(TH!M357,2)="15"),TK!$E$7=TH!F357),"x","")</f>
        <v/>
      </c>
      <c r="X357" s="525" t="str">
        <f>IF(AND('341-CT'!$E$9=H357,OR(LEFT(L357,3)=$X$7,LEFT(M357,3)=$X$7)),"x","")</f>
        <v/>
      </c>
      <c r="Y357" s="525" t="str">
        <f>IF(OR(TH!L357=TH!$Y$7,M357=TH!$Y$7),"x","")</f>
        <v/>
      </c>
      <c r="Z357" s="525" t="str">
        <f>IF(AND(B357&lt;=NKC!$N$8,B357&gt;=NKC!$M$8),"x","")</f>
        <v/>
      </c>
      <c r="AA357" s="535">
        <v>3</v>
      </c>
    </row>
    <row r="358" spans="1:28" s="503" customFormat="1" ht="15.75" customHeight="1">
      <c r="A358" s="517" t="str">
        <f>IF(B358&lt;&gt;"",IF(AND(B358&gt;=_TM1,B358&lt;=_TM2,OR(TH!L358="1111",TH!M358="1111")),TH!D358,""),"")</f>
        <v/>
      </c>
      <c r="B358" s="531">
        <f t="shared" ref="B358:B373" si="37">IF(C358&lt;&gt;"",MONTH(C358),"")</f>
        <v>7</v>
      </c>
      <c r="C358" s="315">
        <f t="shared" ref="C358:C373" si="38">E358</f>
        <v>42941</v>
      </c>
      <c r="D358" s="315" t="s">
        <v>461</v>
      </c>
      <c r="E358" s="288">
        <v>42941</v>
      </c>
      <c r="F358" s="249" t="s">
        <v>473</v>
      </c>
      <c r="G358" s="314" t="s">
        <v>290</v>
      </c>
      <c r="H358" s="473"/>
      <c r="I358" s="307"/>
      <c r="J358" s="307"/>
      <c r="K358" s="532">
        <v>10000</v>
      </c>
      <c r="L358" s="533" t="s">
        <v>81</v>
      </c>
      <c r="M358" s="533" t="s">
        <v>24</v>
      </c>
      <c r="N358" s="525" t="str">
        <f>IF(AND('331-CT'!$E$7=TH!H358,OR(L358="331",M358="331")),"331",IF(AND(OR(L358="131",M358="131"),H358='131-CT'!$E$7),"131",""))</f>
        <v/>
      </c>
      <c r="O358" s="525" t="str">
        <f>IF(AND($B358&gt;='111'!$N$11,$B358&lt;='111'!$O$11,OR($L358=$O$7,$M358=$O$7)),"x","")</f>
        <v/>
      </c>
      <c r="P358" s="525" t="str">
        <f>IF(AND($L358=$O$7,$B358&lt;'111'!$N$11),"x","")</f>
        <v/>
      </c>
      <c r="Q358" s="525" t="str">
        <f>IF(AND($M358=$O$7,$B358&lt;'111'!$N$11),"x","")</f>
        <v/>
      </c>
      <c r="R358" s="525" t="str">
        <f>IF(ISERROR(FIND('112'!$M$9,G358,1)),"",IF((AND(FIND('112'!$M$9,G358,1)&gt;=1,$B358&gt;='112'!$N$8,$B358&lt;='112'!$O$8,OR($L358='112'!$I$6,$M358='112'!$I$6))),"x",""))</f>
        <v/>
      </c>
      <c r="S358" s="525" t="str">
        <f>IF(ISERROR(FIND('112'!$M$9,G358,1)),"",IF((AND(LEFT(G358,2)=LEFT('112'!$M$9,2),B358&lt;'112'!$N$8,$L358='112'!$I$6)),"x",""))</f>
        <v/>
      </c>
      <c r="T358" s="525" t="str">
        <f>IF(ISERROR(FIND('112'!$M$9,G358,1)),"",IF((AND(RIGHT(G358,2)=RIGHT('112'!$M$9,2),B358&lt;'112'!$N$8,$M358='112'!$I$6)),"x",""))</f>
        <v/>
      </c>
      <c r="U358" s="525" t="str">
        <f>IF(AND(B358&gt;='IN-NX'!$P$3,B358&lt;='IN-NX'!$Q$3,'IN-NX'!$D$7=D358,OR(LEFT(L358,2)="15",AND(LEFT(M358,2)&lt;&gt;"15",LEFT(M358,2)&lt;&gt;"33"))),"x","")</f>
        <v/>
      </c>
      <c r="V358" s="525" t="str">
        <f>IF(AND(OR(LEFT(TH!L358,2)="15",LEFT(TH!M358,2)="15"),'152-CT'!$J$8=TH!F358),"x","")</f>
        <v/>
      </c>
      <c r="W358" s="525" t="str">
        <f>IF(AND(OR(LEFT(TH!L358,2)="15",LEFT(TH!M358,2)="15"),TK!$E$7=TH!F358),"x","")</f>
        <v/>
      </c>
      <c r="X358" s="525" t="str">
        <f>IF(AND('341-CT'!$E$9=H358,OR(LEFT(L358,3)=$X$7,LEFT(M358,3)=$X$7)),"x","")</f>
        <v/>
      </c>
      <c r="Y358" s="525" t="str">
        <f>IF(OR(TH!L358=TH!$Y$7,M358=TH!$Y$7),"x","")</f>
        <v/>
      </c>
      <c r="Z358" s="525" t="str">
        <f>IF(AND(B358&lt;=NKC!$N$8,B358&gt;=NKC!$M$8),"x","")</f>
        <v/>
      </c>
      <c r="AA358" s="535">
        <v>3</v>
      </c>
      <c r="AB358" s="536"/>
    </row>
    <row r="359" spans="1:28" s="503" customFormat="1" ht="15.75" customHeight="1">
      <c r="A359" s="517" t="str">
        <f>IF(B359&lt;&gt;"",IF(AND(B359&gt;=_TM1,B359&lt;=_TM2,OR(TH!L359="1111",TH!M359="1111")),TH!D359,""),"")</f>
        <v/>
      </c>
      <c r="B359" s="531">
        <f t="shared" si="37"/>
        <v>7</v>
      </c>
      <c r="C359" s="315">
        <f t="shared" si="38"/>
        <v>42941</v>
      </c>
      <c r="D359" s="315" t="s">
        <v>461</v>
      </c>
      <c r="E359" s="288">
        <v>42941</v>
      </c>
      <c r="F359" s="249" t="s">
        <v>474</v>
      </c>
      <c r="G359" s="314" t="s">
        <v>290</v>
      </c>
      <c r="H359" s="472"/>
      <c r="I359" s="307"/>
      <c r="J359" s="307"/>
      <c r="K359" s="532">
        <v>1000</v>
      </c>
      <c r="L359" s="533" t="s">
        <v>9</v>
      </c>
      <c r="M359" s="533" t="s">
        <v>24</v>
      </c>
      <c r="N359" s="525" t="str">
        <f>IF(AND('331-CT'!$E$7=TH!H359,OR(L359="331",M359="331")),"331",IF(AND(OR(L359="131",M359="131"),H359='131-CT'!$E$7),"131",""))</f>
        <v/>
      </c>
      <c r="O359" s="525" t="str">
        <f>IF(AND($B359&gt;='111'!$N$11,$B359&lt;='111'!$O$11,OR($L359=$O$7,$M359=$O$7)),"x","")</f>
        <v/>
      </c>
      <c r="P359" s="525" t="str">
        <f>IF(AND($L359=$O$7,$B359&lt;'111'!$N$11),"x","")</f>
        <v/>
      </c>
      <c r="Q359" s="525" t="str">
        <f>IF(AND($M359=$O$7,$B359&lt;'111'!$N$11),"x","")</f>
        <v/>
      </c>
      <c r="R359" s="525" t="str">
        <f>IF(ISERROR(FIND('112'!$M$9,G359,1)),"",IF((AND(FIND('112'!$M$9,G359,1)&gt;=1,$B359&gt;='112'!$N$8,$B359&lt;='112'!$O$8,OR($L359='112'!$I$6,$M359='112'!$I$6))),"x",""))</f>
        <v/>
      </c>
      <c r="S359" s="525" t="str">
        <f>IF(ISERROR(FIND('112'!$M$9,G359,1)),"",IF((AND(LEFT(G359,2)=LEFT('112'!$M$9,2),B359&lt;'112'!$N$8,$L359='112'!$I$6)),"x",""))</f>
        <v/>
      </c>
      <c r="T359" s="525" t="str">
        <f>IF(ISERROR(FIND('112'!$M$9,G359,1)),"",IF((AND(RIGHT(G359,2)=RIGHT('112'!$M$9,2),B359&lt;'112'!$N$8,$M359='112'!$I$6)),"x",""))</f>
        <v/>
      </c>
      <c r="U359" s="525" t="str">
        <f>IF(AND(B359&gt;='IN-NX'!$P$3,B359&lt;='IN-NX'!$Q$3,'IN-NX'!$D$7=D359,OR(LEFT(L359,2)="15",AND(LEFT(M359,2)&lt;&gt;"15",LEFT(M359,2)&lt;&gt;"33"))),"x","")</f>
        <v/>
      </c>
      <c r="V359" s="525" t="str">
        <f>IF(AND(OR(LEFT(TH!L359,2)="15",LEFT(TH!M359,2)="15"),'152-CT'!$J$8=TH!F359),"x","")</f>
        <v/>
      </c>
      <c r="W359" s="525" t="str">
        <f>IF(AND(OR(LEFT(TH!L359,2)="15",LEFT(TH!M359,2)="15"),TK!$E$7=TH!F359),"x","")</f>
        <v/>
      </c>
      <c r="X359" s="525" t="str">
        <f>IF(AND('341-CT'!$E$9=H359,OR(LEFT(L359,3)=$X$7,LEFT(M359,3)=$X$7)),"x","")</f>
        <v/>
      </c>
      <c r="Y359" s="525" t="str">
        <f>IF(OR(TH!L359=TH!$Y$7,M359=TH!$Y$7),"x","")</f>
        <v/>
      </c>
      <c r="Z359" s="525" t="str">
        <f>IF(AND(B359&lt;=NKC!$N$8,B359&gt;=NKC!$M$8),"x","")</f>
        <v/>
      </c>
      <c r="AA359" s="535">
        <v>3</v>
      </c>
    </row>
    <row r="360" spans="1:28" s="503" customFormat="1" ht="15.75" customHeight="1">
      <c r="A360" s="517" t="str">
        <f>IF(B360&lt;&gt;"",IF(AND(B360&gt;=_TM1,B360&lt;=_TM2,OR(TH!L360="1111",TH!M360="1111")),TH!D360,""),"")</f>
        <v/>
      </c>
      <c r="B360" s="531">
        <f t="shared" ref="B360:B369" si="39">IF(C360&lt;&gt;"",MONTH(C360),"")</f>
        <v>8</v>
      </c>
      <c r="C360" s="315">
        <f t="shared" ref="C360:C369" si="40">E360</f>
        <v>42950</v>
      </c>
      <c r="D360" s="315" t="s">
        <v>456</v>
      </c>
      <c r="E360" s="288">
        <v>42950</v>
      </c>
      <c r="F360" s="248" t="s">
        <v>811</v>
      </c>
      <c r="G360" s="314" t="s">
        <v>290</v>
      </c>
      <c r="H360" s="473" t="s">
        <v>460</v>
      </c>
      <c r="I360" s="307"/>
      <c r="J360" s="307"/>
      <c r="K360" s="532">
        <v>295900000</v>
      </c>
      <c r="L360" s="533" t="s">
        <v>24</v>
      </c>
      <c r="M360" s="533" t="s">
        <v>45</v>
      </c>
      <c r="N360" s="525" t="str">
        <f>IF(AND('331-CT'!$E$7=TH!H360,OR(L360="331",M360="331")),"331",IF(AND(OR(L360="131",M360="131"),H360='131-CT'!$E$7),"131",""))</f>
        <v/>
      </c>
      <c r="O360" s="525" t="str">
        <f>IF(AND($B360&gt;='111'!$N$11,$B360&lt;='111'!$O$11,OR($L360=$O$7,$M360=$O$7)),"x","")</f>
        <v/>
      </c>
      <c r="P360" s="525" t="str">
        <f>IF(AND($L360=$O$7,$B360&lt;'111'!$N$11),"x","")</f>
        <v/>
      </c>
      <c r="Q360" s="525" t="str">
        <f>IF(AND($M360=$O$7,$B360&lt;'111'!$N$11),"x","")</f>
        <v>x</v>
      </c>
      <c r="R360" s="525" t="str">
        <f>IF(ISERROR(FIND('112'!$M$9,G360,1)),"",IF((AND(FIND('112'!$M$9,G360,1)&gt;=1,$B360&gt;='112'!$N$8,$B360&lt;='112'!$O$8,OR($L360='112'!$I$6,$M360='112'!$I$6))),"x",""))</f>
        <v/>
      </c>
      <c r="S360" s="525" t="str">
        <f>IF(ISERROR(FIND('112'!$M$9,G360,1)),"",IF((AND(LEFT(G360,2)=LEFT('112'!$M$9,2),B360&lt;'112'!$N$8,$L360='112'!$I$6)),"x",""))</f>
        <v/>
      </c>
      <c r="T360" s="525" t="str">
        <f>IF(ISERROR(FIND('112'!$M$9,G360,1)),"",IF((AND(RIGHT(G360,2)=RIGHT('112'!$M$9,2),B360&lt;'112'!$N$8,$M360='112'!$I$6)),"x",""))</f>
        <v/>
      </c>
      <c r="U360" s="525" t="str">
        <f>IF(AND(B360&gt;='IN-NX'!$P$3,B360&lt;='IN-NX'!$Q$3,'IN-NX'!$D$7=D360,OR(LEFT(L360,2)="15",AND(LEFT(M360,2)&lt;&gt;"15",LEFT(M360,2)&lt;&gt;"33"))),"x","")</f>
        <v/>
      </c>
      <c r="V360" s="525" t="str">
        <f>IF(AND(OR(LEFT(TH!L360,2)="15",LEFT(TH!M360,2)="15"),'152-CT'!$J$8=TH!F360),"x","")</f>
        <v/>
      </c>
      <c r="W360" s="525" t="str">
        <f>IF(AND(OR(LEFT(TH!L360,2)="15",LEFT(TH!M360,2)="15"),TK!$E$7=TH!F360),"x","")</f>
        <v/>
      </c>
      <c r="X360" s="525" t="str">
        <f>IF(AND('341-CT'!$E$9=H360,OR(LEFT(L360,3)=$X$7,LEFT(M360,3)=$X$7)),"x","")</f>
        <v/>
      </c>
      <c r="Y360" s="525" t="str">
        <f>IF(OR(TH!L360=TH!$Y$7,M360=TH!$Y$7),"x","")</f>
        <v/>
      </c>
      <c r="Z360" s="525" t="str">
        <f>IF(AND(B360&lt;=NKC!$N$8,B360&gt;=NKC!$M$8),"x","")</f>
        <v/>
      </c>
      <c r="AA360" s="535"/>
    </row>
    <row r="361" spans="1:28" s="503" customFormat="1" ht="15.75" customHeight="1">
      <c r="A361" s="517" t="str">
        <f>IF(B361&lt;&gt;"",IF(AND(B361&gt;=_TM1,B361&lt;=_TM2,OR(TH!L361="1111",TH!M361="1111")),TH!D361,""),"")</f>
        <v/>
      </c>
      <c r="B361" s="531">
        <f t="shared" si="39"/>
        <v>8</v>
      </c>
      <c r="C361" s="315">
        <f t="shared" si="40"/>
        <v>42955</v>
      </c>
      <c r="D361" s="315" t="s">
        <v>456</v>
      </c>
      <c r="E361" s="288">
        <v>42955</v>
      </c>
      <c r="F361" s="248" t="s">
        <v>457</v>
      </c>
      <c r="G361" s="314" t="s">
        <v>290</v>
      </c>
      <c r="H361" s="473" t="s">
        <v>1303</v>
      </c>
      <c r="I361" s="307"/>
      <c r="J361" s="307"/>
      <c r="K361" s="532">
        <v>15695000</v>
      </c>
      <c r="L361" s="533" t="s">
        <v>24</v>
      </c>
      <c r="M361" s="533" t="s">
        <v>223</v>
      </c>
      <c r="N361" s="525" t="str">
        <f>IF(AND('331-CT'!$E$7=TH!H361,OR(L361="331",M361="331")),"331",IF(AND(OR(L361="131",M361="131"),H361='131-CT'!$E$7),"131",""))</f>
        <v/>
      </c>
      <c r="O361" s="525" t="str">
        <f>IF(AND($B361&gt;='111'!$N$11,$B361&lt;='111'!$O$11,OR($L361=$O$7,$M361=$O$7)),"x","")</f>
        <v/>
      </c>
      <c r="P361" s="525" t="str">
        <f>IF(AND($L361=$O$7,$B361&lt;'111'!$N$11),"x","")</f>
        <v/>
      </c>
      <c r="Q361" s="525" t="str">
        <f>IF(AND($M361=$O$7,$B361&lt;'111'!$N$11),"x","")</f>
        <v/>
      </c>
      <c r="R361" s="525" t="str">
        <f>IF(ISERROR(FIND('112'!$M$9,G361,1)),"",IF((AND(FIND('112'!$M$9,G361,1)&gt;=1,$B361&gt;='112'!$N$8,$B361&lt;='112'!$O$8,OR($L361='112'!$I$6,$M361='112'!$I$6))),"x",""))</f>
        <v/>
      </c>
      <c r="S361" s="525" t="str">
        <f>IF(ISERROR(FIND('112'!$M$9,G361,1)),"",IF((AND(LEFT(G361,2)=LEFT('112'!$M$9,2),B361&lt;'112'!$N$8,$L361='112'!$I$6)),"x",""))</f>
        <v/>
      </c>
      <c r="T361" s="525" t="str">
        <f>IF(ISERROR(FIND('112'!$M$9,G361,1)),"",IF((AND(RIGHT(G361,2)=RIGHT('112'!$M$9,2),B361&lt;'112'!$N$8,$M361='112'!$I$6)),"x",""))</f>
        <v/>
      </c>
      <c r="U361" s="525" t="str">
        <f>IF(AND(B361&gt;='IN-NX'!$P$3,B361&lt;='IN-NX'!$Q$3,'IN-NX'!$D$7=D361,OR(LEFT(L361,2)="15",AND(LEFT(M361,2)&lt;&gt;"15",LEFT(M361,2)&lt;&gt;"33"))),"x","")</f>
        <v/>
      </c>
      <c r="V361" s="525" t="str">
        <f>IF(AND(OR(LEFT(TH!L361,2)="15",LEFT(TH!M361,2)="15"),'152-CT'!$J$8=TH!F361),"x","")</f>
        <v/>
      </c>
      <c r="W361" s="525" t="str">
        <f>IF(AND(OR(LEFT(TH!L361,2)="15",LEFT(TH!M361,2)="15"),TK!$E$7=TH!F361),"x","")</f>
        <v/>
      </c>
      <c r="X361" s="525" t="str">
        <f>IF(AND('341-CT'!$E$9=H361,OR(LEFT(L361,3)=$X$7,LEFT(M361,3)=$X$7)),"x","")</f>
        <v/>
      </c>
      <c r="Y361" s="525" t="str">
        <f>IF(OR(TH!L361=TH!$Y$7,M361=TH!$Y$7),"x","")</f>
        <v/>
      </c>
      <c r="Z361" s="525" t="str">
        <f>IF(AND(B361&lt;=NKC!$N$8,B361&gt;=NKC!$M$8),"x","")</f>
        <v/>
      </c>
      <c r="AA361" s="535"/>
    </row>
    <row r="362" spans="1:28" s="503" customFormat="1" ht="15.75" customHeight="1">
      <c r="A362" s="517" t="str">
        <f>IF(B362&lt;&gt;"",IF(AND(B362&gt;=_TM1,B362&lt;=_TM2,OR(TH!L362="1111",TH!M362="1111")),TH!D362,""),"")</f>
        <v/>
      </c>
      <c r="B362" s="531">
        <f t="shared" si="39"/>
        <v>8</v>
      </c>
      <c r="C362" s="315">
        <f t="shared" si="40"/>
        <v>42965</v>
      </c>
      <c r="D362" s="315" t="s">
        <v>456</v>
      </c>
      <c r="E362" s="288">
        <v>42965</v>
      </c>
      <c r="F362" s="248" t="s">
        <v>457</v>
      </c>
      <c r="G362" s="314" t="s">
        <v>290</v>
      </c>
      <c r="H362" s="472" t="s">
        <v>289</v>
      </c>
      <c r="I362" s="307"/>
      <c r="J362" s="307"/>
      <c r="K362" s="532">
        <v>46337500</v>
      </c>
      <c r="L362" s="533" t="s">
        <v>24</v>
      </c>
      <c r="M362" s="533" t="s">
        <v>223</v>
      </c>
      <c r="N362" s="525" t="str">
        <f>IF(AND('331-CT'!$E$7=TH!H362,OR(L362="331",M362="331")),"331",IF(AND(OR(L362="131",M362="131"),H362='131-CT'!$E$7),"131",""))</f>
        <v/>
      </c>
      <c r="O362" s="525" t="str">
        <f>IF(AND($B362&gt;='111'!$N$11,$B362&lt;='111'!$O$11,OR($L362=$O$7,$M362=$O$7)),"x","")</f>
        <v/>
      </c>
      <c r="P362" s="525" t="str">
        <f>IF(AND($L362=$O$7,$B362&lt;'111'!$N$11),"x","")</f>
        <v/>
      </c>
      <c r="Q362" s="525" t="str">
        <f>IF(AND($M362=$O$7,$B362&lt;'111'!$N$11),"x","")</f>
        <v/>
      </c>
      <c r="R362" s="525" t="str">
        <f>IF(ISERROR(FIND('112'!$M$9,G362,1)),"",IF((AND(FIND('112'!$M$9,G362,1)&gt;=1,$B362&gt;='112'!$N$8,$B362&lt;='112'!$O$8,OR($L362='112'!$I$6,$M362='112'!$I$6))),"x",""))</f>
        <v/>
      </c>
      <c r="S362" s="525" t="str">
        <f>IF(ISERROR(FIND('112'!$M$9,G362,1)),"",IF((AND(LEFT(G362,2)=LEFT('112'!$M$9,2),B362&lt;'112'!$N$8,$L362='112'!$I$6)),"x",""))</f>
        <v/>
      </c>
      <c r="T362" s="525" t="str">
        <f>IF(ISERROR(FIND('112'!$M$9,G362,1)),"",IF((AND(RIGHT(G362,2)=RIGHT('112'!$M$9,2),B362&lt;'112'!$N$8,$M362='112'!$I$6)),"x",""))</f>
        <v/>
      </c>
      <c r="U362" s="525" t="str">
        <f>IF(AND(B362&gt;='IN-NX'!$P$3,B362&lt;='IN-NX'!$Q$3,'IN-NX'!$D$7=D362,OR(LEFT(L362,2)="15",AND(LEFT(M362,2)&lt;&gt;"15",LEFT(M362,2)&lt;&gt;"33"))),"x","")</f>
        <v/>
      </c>
      <c r="V362" s="525" t="str">
        <f>IF(AND(OR(LEFT(TH!L362,2)="15",LEFT(TH!M362,2)="15"),'152-CT'!$J$8=TH!F362),"x","")</f>
        <v/>
      </c>
      <c r="W362" s="525" t="str">
        <f>IF(AND(OR(LEFT(TH!L362,2)="15",LEFT(TH!M362,2)="15"),TK!$E$7=TH!F362),"x","")</f>
        <v/>
      </c>
      <c r="X362" s="525" t="str">
        <f>IF(AND('341-CT'!$E$9=H362,OR(LEFT(L362,3)=$X$7,LEFT(M362,3)=$X$7)),"x","")</f>
        <v/>
      </c>
      <c r="Y362" s="525" t="str">
        <f>IF(OR(TH!L362=TH!$Y$7,M362=TH!$Y$7),"x","")</f>
        <v/>
      </c>
      <c r="Z362" s="525" t="str">
        <f>IF(AND(B362&lt;=NKC!$N$8,B362&gt;=NKC!$M$8),"x","")</f>
        <v/>
      </c>
      <c r="AA362" s="535"/>
    </row>
    <row r="363" spans="1:28" s="503" customFormat="1" ht="15.75" customHeight="1">
      <c r="A363" s="517" t="str">
        <f>IF(B363&lt;&gt;"",IF(AND(B363&gt;=_TM1,B363&lt;=_TM2,OR(TH!L363="1111",TH!M363="1111")),TH!D363,""),"")</f>
        <v/>
      </c>
      <c r="B363" s="531">
        <f t="shared" si="39"/>
        <v>8</v>
      </c>
      <c r="C363" s="315">
        <f t="shared" si="40"/>
        <v>42968</v>
      </c>
      <c r="D363" s="315" t="s">
        <v>456</v>
      </c>
      <c r="E363" s="288">
        <v>42968</v>
      </c>
      <c r="F363" s="248" t="s">
        <v>457</v>
      </c>
      <c r="G363" s="314" t="s">
        <v>290</v>
      </c>
      <c r="H363" s="473" t="s">
        <v>300</v>
      </c>
      <c r="I363" s="284"/>
      <c r="J363" s="284"/>
      <c r="K363" s="532">
        <v>600000000</v>
      </c>
      <c r="L363" s="533" t="s">
        <v>24</v>
      </c>
      <c r="M363" s="533" t="s">
        <v>223</v>
      </c>
      <c r="N363" s="525" t="str">
        <f>IF(AND('331-CT'!$E$7=TH!H363,OR(L363="331",M363="331")),"331",IF(AND(OR(L363="131",M363="131"),H363='131-CT'!$E$7),"131",""))</f>
        <v/>
      </c>
      <c r="O363" s="525" t="str">
        <f>IF(AND($B363&gt;='111'!$N$11,$B363&lt;='111'!$O$11,OR($L363=$O$7,$M363=$O$7)),"x","")</f>
        <v/>
      </c>
      <c r="P363" s="525" t="str">
        <f>IF(AND($L363=$O$7,$B363&lt;'111'!$N$11),"x","")</f>
        <v/>
      </c>
      <c r="Q363" s="525" t="str">
        <f>IF(AND($M363=$O$7,$B363&lt;'111'!$N$11),"x","")</f>
        <v/>
      </c>
      <c r="R363" s="525" t="str">
        <f>IF(ISERROR(FIND('112'!$M$9,G363,1)),"",IF((AND(FIND('112'!$M$9,G363,1)&gt;=1,$B363&gt;='112'!$N$8,$B363&lt;='112'!$O$8,OR($L363='112'!$I$6,$M363='112'!$I$6))),"x",""))</f>
        <v/>
      </c>
      <c r="S363" s="525" t="str">
        <f>IF(ISERROR(FIND('112'!$M$9,G363,1)),"",IF((AND(LEFT(G363,2)=LEFT('112'!$M$9,2),B363&lt;'112'!$N$8,$L363='112'!$I$6)),"x",""))</f>
        <v/>
      </c>
      <c r="T363" s="525" t="str">
        <f>IF(ISERROR(FIND('112'!$M$9,G363,1)),"",IF((AND(RIGHT(G363,2)=RIGHT('112'!$M$9,2),B363&lt;'112'!$N$8,$M363='112'!$I$6)),"x",""))</f>
        <v/>
      </c>
      <c r="U363" s="525" t="str">
        <f>IF(AND(B363&gt;='IN-NX'!$P$3,B363&lt;='IN-NX'!$Q$3,'IN-NX'!$D$7=D363,OR(LEFT(L363,2)="15",AND(LEFT(M363,2)&lt;&gt;"15",LEFT(M363,2)&lt;&gt;"33"))),"x","")</f>
        <v/>
      </c>
      <c r="V363" s="525" t="str">
        <f>IF(AND(OR(LEFT(TH!L363,2)="15",LEFT(TH!M363,2)="15"),'152-CT'!$J$8=TH!F363),"x","")</f>
        <v/>
      </c>
      <c r="W363" s="525" t="str">
        <f>IF(AND(OR(LEFT(TH!L363,2)="15",LEFT(TH!M363,2)="15"),TK!$E$7=TH!F363),"x","")</f>
        <v/>
      </c>
      <c r="X363" s="525" t="str">
        <f>IF(AND('341-CT'!$E$9=H363,OR(LEFT(L363,3)=$X$7,LEFT(M363,3)=$X$7)),"x","")</f>
        <v/>
      </c>
      <c r="Y363" s="525" t="str">
        <f>IF(OR(TH!L363=TH!$Y$7,M363=TH!$Y$7),"x","")</f>
        <v/>
      </c>
      <c r="Z363" s="525" t="str">
        <f>IF(AND(B363&lt;=NKC!$N$8,B363&gt;=NKC!$M$8),"x","")</f>
        <v/>
      </c>
      <c r="AA363" s="535"/>
    </row>
    <row r="364" spans="1:28" s="503" customFormat="1" ht="15.75" customHeight="1">
      <c r="A364" s="517" t="str">
        <f>IF(B364&lt;&gt;"",IF(AND(B364&gt;=_TM1,B364&lt;=_TM2,OR(TH!L364="1111",TH!M364="1111")),TH!D364,""),"")</f>
        <v/>
      </c>
      <c r="B364" s="531">
        <f t="shared" si="39"/>
        <v>8</v>
      </c>
      <c r="C364" s="315">
        <f t="shared" si="40"/>
        <v>42972</v>
      </c>
      <c r="D364" s="315" t="s">
        <v>456</v>
      </c>
      <c r="E364" s="288">
        <v>42972</v>
      </c>
      <c r="F364" s="249" t="s">
        <v>458</v>
      </c>
      <c r="G364" s="314" t="s">
        <v>290</v>
      </c>
      <c r="H364" s="473"/>
      <c r="I364" s="307"/>
      <c r="J364" s="307"/>
      <c r="K364" s="532">
        <v>280</v>
      </c>
      <c r="L364" s="533" t="s">
        <v>24</v>
      </c>
      <c r="M364" s="533" t="s">
        <v>38</v>
      </c>
      <c r="N364" s="525" t="str">
        <f>IF(AND('331-CT'!$E$7=TH!H364,OR(L364="331",M364="331")),"331",IF(AND(OR(L364="131",M364="131"),H364='131-CT'!$E$7),"131",""))</f>
        <v/>
      </c>
      <c r="O364" s="525" t="str">
        <f>IF(AND($B364&gt;='111'!$N$11,$B364&lt;='111'!$O$11,OR($L364=$O$7,$M364=$O$7)),"x","")</f>
        <v/>
      </c>
      <c r="P364" s="525" t="str">
        <f>IF(AND($L364=$O$7,$B364&lt;'111'!$N$11),"x","")</f>
        <v/>
      </c>
      <c r="Q364" s="525" t="str">
        <f>IF(AND($M364=$O$7,$B364&lt;'111'!$N$11),"x","")</f>
        <v/>
      </c>
      <c r="R364" s="525" t="str">
        <f>IF(ISERROR(FIND('112'!$M$9,G364,1)),"",IF((AND(FIND('112'!$M$9,G364,1)&gt;=1,$B364&gt;='112'!$N$8,$B364&lt;='112'!$O$8,OR($L364='112'!$I$6,$M364='112'!$I$6))),"x",""))</f>
        <v/>
      </c>
      <c r="S364" s="525" t="str">
        <f>IF(ISERROR(FIND('112'!$M$9,G364,1)),"",IF((AND(LEFT(G364,2)=LEFT('112'!$M$9,2),B364&lt;'112'!$N$8,$L364='112'!$I$6)),"x",""))</f>
        <v/>
      </c>
      <c r="T364" s="525" t="str">
        <f>IF(ISERROR(FIND('112'!$M$9,G364,1)),"",IF((AND(RIGHT(G364,2)=RIGHT('112'!$M$9,2),B364&lt;'112'!$N$8,$M364='112'!$I$6)),"x",""))</f>
        <v/>
      </c>
      <c r="U364" s="525" t="str">
        <f>IF(AND(B364&gt;='IN-NX'!$P$3,B364&lt;='IN-NX'!$Q$3,'IN-NX'!$D$7=D364,OR(LEFT(L364,2)="15",AND(LEFT(M364,2)&lt;&gt;"15",LEFT(M364,2)&lt;&gt;"33"))),"x","")</f>
        <v/>
      </c>
      <c r="V364" s="525" t="str">
        <f>IF(AND(OR(LEFT(TH!L364,2)="15",LEFT(TH!M364,2)="15"),'152-CT'!$J$8=TH!F364),"x","")</f>
        <v/>
      </c>
      <c r="W364" s="525" t="str">
        <f>IF(AND(OR(LEFT(TH!L364,2)="15",LEFT(TH!M364,2)="15"),TK!$E$7=TH!F364),"x","")</f>
        <v/>
      </c>
      <c r="X364" s="525" t="str">
        <f>IF(AND('341-CT'!$E$9=H364,OR(LEFT(L364,3)=$X$7,LEFT(M364,3)=$X$7)),"x","")</f>
        <v/>
      </c>
      <c r="Y364" s="525" t="str">
        <f>IF(OR(TH!L364=TH!$Y$7,M364=TH!$Y$7),"x","")</f>
        <v/>
      </c>
      <c r="Z364" s="525" t="str">
        <f>IF(AND(B364&lt;=NKC!$N$8,B364&gt;=NKC!$M$8),"x","")</f>
        <v/>
      </c>
      <c r="AA364" s="535"/>
      <c r="AB364" s="536"/>
    </row>
    <row r="365" spans="1:28" s="503" customFormat="1" ht="15.75" customHeight="1">
      <c r="A365" s="517" t="str">
        <f>IF(B365&lt;&gt;"",IF(AND(B365&gt;=_TM1,B365&lt;=_TM2,OR(TH!L365="1111",TH!M365="1111")),TH!D365,""),"")</f>
        <v/>
      </c>
      <c r="B365" s="531">
        <f t="shared" si="39"/>
        <v>8</v>
      </c>
      <c r="C365" s="315">
        <f t="shared" si="40"/>
        <v>42950</v>
      </c>
      <c r="D365" s="315" t="s">
        <v>461</v>
      </c>
      <c r="E365" s="288">
        <v>42950</v>
      </c>
      <c r="F365" s="248" t="s">
        <v>468</v>
      </c>
      <c r="G365" s="314" t="s">
        <v>290</v>
      </c>
      <c r="H365" s="473" t="s">
        <v>1142</v>
      </c>
      <c r="I365" s="307"/>
      <c r="J365" s="307"/>
      <c r="K365" s="532">
        <v>275649946</v>
      </c>
      <c r="L365" s="533" t="s">
        <v>8</v>
      </c>
      <c r="M365" s="533" t="s">
        <v>24</v>
      </c>
      <c r="N365" s="525" t="str">
        <f>IF(AND('331-CT'!$E$7=TH!H365,OR(L365="331",M365="331")),"331",IF(AND(OR(L365="131",M365="131"),H365='131-CT'!$E$7),"131",""))</f>
        <v/>
      </c>
      <c r="O365" s="525" t="str">
        <f>IF(AND($B365&gt;='111'!$N$11,$B365&lt;='111'!$O$11,OR($L365=$O$7,$M365=$O$7)),"x","")</f>
        <v/>
      </c>
      <c r="P365" s="525" t="str">
        <f>IF(AND($L365=$O$7,$B365&lt;'111'!$N$11),"x","")</f>
        <v/>
      </c>
      <c r="Q365" s="525" t="str">
        <f>IF(AND($M365=$O$7,$B365&lt;'111'!$N$11),"x","")</f>
        <v/>
      </c>
      <c r="R365" s="525" t="str">
        <f>IF(ISERROR(FIND('112'!$M$9,G365,1)),"",IF((AND(FIND('112'!$M$9,G365,1)&gt;=1,$B365&gt;='112'!$N$8,$B365&lt;='112'!$O$8,OR($L365='112'!$I$6,$M365='112'!$I$6))),"x",""))</f>
        <v/>
      </c>
      <c r="S365" s="525" t="str">
        <f>IF(ISERROR(FIND('112'!$M$9,G365,1)),"",IF((AND(LEFT(G365,2)=LEFT('112'!$M$9,2),B365&lt;'112'!$N$8,$L365='112'!$I$6)),"x",""))</f>
        <v/>
      </c>
      <c r="T365" s="525" t="str">
        <f>IF(ISERROR(FIND('112'!$M$9,G365,1)),"",IF((AND(RIGHT(G365,2)=RIGHT('112'!$M$9,2),B365&lt;'112'!$N$8,$M365='112'!$I$6)),"x",""))</f>
        <v/>
      </c>
      <c r="U365" s="525" t="str">
        <f>IF(AND(B365&gt;='IN-NX'!$P$3,B365&lt;='IN-NX'!$Q$3,'IN-NX'!$D$7=D365,OR(LEFT(L365,2)="15",AND(LEFT(M365,2)&lt;&gt;"15",LEFT(M365,2)&lt;&gt;"33"))),"x","")</f>
        <v/>
      </c>
      <c r="V365" s="525" t="str">
        <f>IF(AND(OR(LEFT(TH!L365,2)="15",LEFT(TH!M365,2)="15"),'152-CT'!$J$8=TH!F365),"x","")</f>
        <v/>
      </c>
      <c r="W365" s="525" t="str">
        <f>IF(AND(OR(LEFT(TH!L365,2)="15",LEFT(TH!M365,2)="15"),TK!$E$7=TH!F365),"x","")</f>
        <v/>
      </c>
      <c r="X365" s="525" t="str">
        <f>IF(AND('341-CT'!$E$9=H365,OR(LEFT(L365,3)=$X$7,LEFT(M365,3)=$X$7)),"x","")</f>
        <v/>
      </c>
      <c r="Y365" s="525" t="str">
        <f>IF(OR(TH!L365=TH!$Y$7,M365=TH!$Y$7),"x","")</f>
        <v/>
      </c>
      <c r="Z365" s="525" t="str">
        <f>IF(AND(B365&lt;=NKC!$N$8,B365&gt;=NKC!$M$8),"x","")</f>
        <v/>
      </c>
      <c r="AA365" s="535"/>
    </row>
    <row r="366" spans="1:28" s="503" customFormat="1" ht="15.75" customHeight="1">
      <c r="A366" s="517" t="str">
        <f>IF(B366&lt;&gt;"",IF(AND(B366&gt;=_TM1,B366&lt;=_TM2,OR(TH!L366="1111",TH!M366="1111")),TH!D366,""),"")</f>
        <v/>
      </c>
      <c r="B366" s="531">
        <f t="shared" si="39"/>
        <v>8</v>
      </c>
      <c r="C366" s="315">
        <f t="shared" si="40"/>
        <v>42950</v>
      </c>
      <c r="D366" s="315" t="s">
        <v>461</v>
      </c>
      <c r="E366" s="288">
        <v>42950</v>
      </c>
      <c r="F366" s="248" t="s">
        <v>463</v>
      </c>
      <c r="G366" s="314" t="s">
        <v>290</v>
      </c>
      <c r="H366" s="472"/>
      <c r="I366" s="307"/>
      <c r="J366" s="307"/>
      <c r="K366" s="532">
        <v>10000</v>
      </c>
      <c r="L366" s="533" t="s">
        <v>81</v>
      </c>
      <c r="M366" s="533" t="s">
        <v>24</v>
      </c>
      <c r="N366" s="525" t="str">
        <f>IF(AND('331-CT'!$E$7=TH!H366,OR(L366="331",M366="331")),"331",IF(AND(OR(L366="131",M366="131"),H366='131-CT'!$E$7),"131",""))</f>
        <v/>
      </c>
      <c r="O366" s="525" t="str">
        <f>IF(AND($B366&gt;='111'!$N$11,$B366&lt;='111'!$O$11,OR($L366=$O$7,$M366=$O$7)),"x","")</f>
        <v/>
      </c>
      <c r="P366" s="525" t="str">
        <f>IF(AND($L366=$O$7,$B366&lt;'111'!$N$11),"x","")</f>
        <v/>
      </c>
      <c r="Q366" s="525" t="str">
        <f>IF(AND($M366=$O$7,$B366&lt;'111'!$N$11),"x","")</f>
        <v/>
      </c>
      <c r="R366" s="525" t="str">
        <f>IF(ISERROR(FIND('112'!$M$9,G366,1)),"",IF((AND(FIND('112'!$M$9,G366,1)&gt;=1,$B366&gt;='112'!$N$8,$B366&lt;='112'!$O$8,OR($L366='112'!$I$6,$M366='112'!$I$6))),"x",""))</f>
        <v/>
      </c>
      <c r="S366" s="525" t="str">
        <f>IF(ISERROR(FIND('112'!$M$9,G366,1)),"",IF((AND(LEFT(G366,2)=LEFT('112'!$M$9,2),B366&lt;'112'!$N$8,$L366='112'!$I$6)),"x",""))</f>
        <v/>
      </c>
      <c r="T366" s="525" t="str">
        <f>IF(ISERROR(FIND('112'!$M$9,G366,1)),"",IF((AND(RIGHT(G366,2)=RIGHT('112'!$M$9,2),B366&lt;'112'!$N$8,$M366='112'!$I$6)),"x",""))</f>
        <v/>
      </c>
      <c r="U366" s="525" t="str">
        <f>IF(AND(B366&gt;='IN-NX'!$P$3,B366&lt;='IN-NX'!$Q$3,'IN-NX'!$D$7=D366,OR(LEFT(L366,2)="15",AND(LEFT(M366,2)&lt;&gt;"15",LEFT(M366,2)&lt;&gt;"33"))),"x","")</f>
        <v/>
      </c>
      <c r="V366" s="525" t="str">
        <f>IF(AND(OR(LEFT(TH!L366,2)="15",LEFT(TH!M366,2)="15"),'152-CT'!$J$8=TH!F366),"x","")</f>
        <v/>
      </c>
      <c r="W366" s="525" t="str">
        <f>IF(AND(OR(LEFT(TH!L366,2)="15",LEFT(TH!M366,2)="15"),TK!$E$7=TH!F366),"x","")</f>
        <v/>
      </c>
      <c r="X366" s="525" t="str">
        <f>IF(AND('341-CT'!$E$9=H366,OR(LEFT(L366,3)=$X$7,LEFT(M366,3)=$X$7)),"x","")</f>
        <v/>
      </c>
      <c r="Y366" s="525" t="str">
        <f>IF(OR(TH!L366=TH!$Y$7,M366=TH!$Y$7),"x","")</f>
        <v/>
      </c>
      <c r="Z366" s="525" t="str">
        <f>IF(AND(B366&lt;=NKC!$N$8,B366&gt;=NKC!$M$8),"x","")</f>
        <v/>
      </c>
      <c r="AA366" s="535">
        <v>3</v>
      </c>
    </row>
    <row r="367" spans="1:28" s="503" customFormat="1" ht="15.75" customHeight="1">
      <c r="A367" s="517" t="str">
        <f>IF(B367&lt;&gt;"",IF(AND(B367&gt;=_TM1,B367&lt;=_TM2,OR(TH!L367="1111",TH!M367="1111")),TH!D367,""),"")</f>
        <v/>
      </c>
      <c r="B367" s="531">
        <f t="shared" si="39"/>
        <v>8</v>
      </c>
      <c r="C367" s="315">
        <f t="shared" si="40"/>
        <v>42950</v>
      </c>
      <c r="D367" s="315" t="s">
        <v>461</v>
      </c>
      <c r="E367" s="288">
        <v>42950</v>
      </c>
      <c r="F367" s="248" t="s">
        <v>464</v>
      </c>
      <c r="G367" s="314" t="s">
        <v>290</v>
      </c>
      <c r="H367" s="472"/>
      <c r="I367" s="307"/>
      <c r="J367" s="307"/>
      <c r="K367" s="532">
        <v>1000</v>
      </c>
      <c r="L367" s="533" t="s">
        <v>9</v>
      </c>
      <c r="M367" s="533" t="s">
        <v>24</v>
      </c>
      <c r="N367" s="525" t="str">
        <f>IF(AND('331-CT'!$E$7=TH!H367,OR(L367="331",M367="331")),"331",IF(AND(OR(L367="131",M367="131"),H367='131-CT'!$E$7),"131",""))</f>
        <v/>
      </c>
      <c r="O367" s="525" t="str">
        <f>IF(AND($B367&gt;='111'!$N$11,$B367&lt;='111'!$O$11,OR($L367=$O$7,$M367=$O$7)),"x","")</f>
        <v/>
      </c>
      <c r="P367" s="525" t="str">
        <f>IF(AND($L367=$O$7,$B367&lt;'111'!$N$11),"x","")</f>
        <v/>
      </c>
      <c r="Q367" s="525" t="str">
        <f>IF(AND($M367=$O$7,$B367&lt;'111'!$N$11),"x","")</f>
        <v/>
      </c>
      <c r="R367" s="525" t="str">
        <f>IF(ISERROR(FIND('112'!$M$9,G367,1)),"",IF((AND(FIND('112'!$M$9,G367,1)&gt;=1,$B367&gt;='112'!$N$8,$B367&lt;='112'!$O$8,OR($L367='112'!$I$6,$M367='112'!$I$6))),"x",""))</f>
        <v/>
      </c>
      <c r="S367" s="525" t="str">
        <f>IF(ISERROR(FIND('112'!$M$9,G367,1)),"",IF((AND(LEFT(G367,2)=LEFT('112'!$M$9,2),B367&lt;'112'!$N$8,$L367='112'!$I$6)),"x",""))</f>
        <v/>
      </c>
      <c r="T367" s="525" t="str">
        <f>IF(ISERROR(FIND('112'!$M$9,G367,1)),"",IF((AND(RIGHT(G367,2)=RIGHT('112'!$M$9,2),B367&lt;'112'!$N$8,$M367='112'!$I$6)),"x",""))</f>
        <v/>
      </c>
      <c r="U367" s="525" t="str">
        <f>IF(AND(B367&gt;='IN-NX'!$P$3,B367&lt;='IN-NX'!$Q$3,'IN-NX'!$D$7=D367,OR(LEFT(L367,2)="15",AND(LEFT(M367,2)&lt;&gt;"15",LEFT(M367,2)&lt;&gt;"33"))),"x","")</f>
        <v/>
      </c>
      <c r="V367" s="525" t="str">
        <f>IF(AND(OR(LEFT(TH!L367,2)="15",LEFT(TH!M367,2)="15"),'152-CT'!$J$8=TH!F367),"x","")</f>
        <v/>
      </c>
      <c r="W367" s="525" t="str">
        <f>IF(AND(OR(LEFT(TH!L367,2)="15",LEFT(TH!M367,2)="15"),TK!$E$7=TH!F367),"x","")</f>
        <v/>
      </c>
      <c r="X367" s="525" t="str">
        <f>IF(AND('341-CT'!$E$9=H367,OR(LEFT(L367,3)=$X$7,LEFT(M367,3)=$X$7)),"x","")</f>
        <v/>
      </c>
      <c r="Y367" s="525" t="str">
        <f>IF(OR(TH!L367=TH!$Y$7,M367=TH!$Y$7),"x","")</f>
        <v/>
      </c>
      <c r="Z367" s="525" t="str">
        <f>IF(AND(B367&lt;=NKC!$N$8,B367&gt;=NKC!$M$8),"x","")</f>
        <v/>
      </c>
      <c r="AA367" s="535">
        <v>3</v>
      </c>
    </row>
    <row r="368" spans="1:28" s="503" customFormat="1" ht="15.75" customHeight="1">
      <c r="A368" s="517" t="str">
        <f>IF(B368&lt;&gt;"",IF(AND(B368&gt;=_TM1,B368&lt;=_TM2,OR(TH!L368="1111",TH!M368="1111")),TH!D368,""),"")</f>
        <v/>
      </c>
      <c r="B368" s="531">
        <f t="shared" si="39"/>
        <v>8</v>
      </c>
      <c r="C368" s="315">
        <f t="shared" si="40"/>
        <v>42950</v>
      </c>
      <c r="D368" s="315" t="s">
        <v>461</v>
      </c>
      <c r="E368" s="288">
        <v>42950</v>
      </c>
      <c r="F368" s="248" t="s">
        <v>468</v>
      </c>
      <c r="G368" s="314" t="s">
        <v>290</v>
      </c>
      <c r="H368" s="473" t="s">
        <v>270</v>
      </c>
      <c r="I368" s="307"/>
      <c r="J368" s="307"/>
      <c r="K368" s="532">
        <v>20000000</v>
      </c>
      <c r="L368" s="533" t="s">
        <v>8</v>
      </c>
      <c r="M368" s="533" t="s">
        <v>24</v>
      </c>
      <c r="N368" s="525" t="str">
        <f>IF(AND('331-CT'!$E$7=TH!H368,OR(L368="331",M368="331")),"331",IF(AND(OR(L368="131",M368="131"),H368='131-CT'!$E$7),"131",""))</f>
        <v/>
      </c>
      <c r="O368" s="525" t="str">
        <f>IF(AND($B368&gt;='111'!$N$11,$B368&lt;='111'!$O$11,OR($L368=$O$7,$M368=$O$7)),"x","")</f>
        <v/>
      </c>
      <c r="P368" s="525" t="str">
        <f>IF(AND($L368=$O$7,$B368&lt;'111'!$N$11),"x","")</f>
        <v/>
      </c>
      <c r="Q368" s="525" t="str">
        <f>IF(AND($M368=$O$7,$B368&lt;'111'!$N$11),"x","")</f>
        <v/>
      </c>
      <c r="R368" s="525" t="str">
        <f>IF(ISERROR(FIND('112'!$M$9,G368,1)),"",IF((AND(FIND('112'!$M$9,G368,1)&gt;=1,$B368&gt;='112'!$N$8,$B368&lt;='112'!$O$8,OR($L368='112'!$I$6,$M368='112'!$I$6))),"x",""))</f>
        <v/>
      </c>
      <c r="S368" s="525" t="str">
        <f>IF(ISERROR(FIND('112'!$M$9,G368,1)),"",IF((AND(LEFT(G368,2)=LEFT('112'!$M$9,2),B368&lt;'112'!$N$8,$L368='112'!$I$6)),"x",""))</f>
        <v/>
      </c>
      <c r="T368" s="525" t="str">
        <f>IF(ISERROR(FIND('112'!$M$9,G368,1)),"",IF((AND(RIGHT(G368,2)=RIGHT('112'!$M$9,2),B368&lt;'112'!$N$8,$M368='112'!$I$6)),"x",""))</f>
        <v/>
      </c>
      <c r="U368" s="525" t="str">
        <f>IF(AND(B368&gt;='IN-NX'!$P$3,B368&lt;='IN-NX'!$Q$3,'IN-NX'!$D$7=D368,OR(LEFT(L368,2)="15",AND(LEFT(M368,2)&lt;&gt;"15",LEFT(M368,2)&lt;&gt;"33"))),"x","")</f>
        <v/>
      </c>
      <c r="V368" s="525" t="str">
        <f>IF(AND(OR(LEFT(TH!L368,2)="15",LEFT(TH!M368,2)="15"),'152-CT'!$J$8=TH!F368),"x","")</f>
        <v/>
      </c>
      <c r="W368" s="525" t="str">
        <f>IF(AND(OR(LEFT(TH!L368,2)="15",LEFT(TH!M368,2)="15"),TK!$E$7=TH!F368),"x","")</f>
        <v/>
      </c>
      <c r="X368" s="525" t="str">
        <f>IF(AND('341-CT'!$E$9=H368,OR(LEFT(L368,3)=$X$7,LEFT(M368,3)=$X$7)),"x","")</f>
        <v/>
      </c>
      <c r="Y368" s="525" t="str">
        <f>IF(OR(TH!L368=TH!$Y$7,M368=TH!$Y$7),"x","")</f>
        <v/>
      </c>
      <c r="Z368" s="525" t="str">
        <f>IF(AND(B368&lt;=NKC!$N$8,B368&gt;=NKC!$M$8),"x","")</f>
        <v/>
      </c>
      <c r="AA368" s="535"/>
    </row>
    <row r="369" spans="1:28" s="503" customFormat="1" ht="15.75" customHeight="1">
      <c r="A369" s="517" t="str">
        <f>IF(B369&lt;&gt;"",IF(AND(B369&gt;=_TM1,B369&lt;=_TM2,OR(TH!L369="1111",TH!M369="1111")),TH!D369,""),"")</f>
        <v/>
      </c>
      <c r="B369" s="531">
        <f t="shared" si="39"/>
        <v>8</v>
      </c>
      <c r="C369" s="315">
        <f t="shared" si="40"/>
        <v>42950</v>
      </c>
      <c r="D369" s="315" t="s">
        <v>461</v>
      </c>
      <c r="E369" s="288">
        <v>42950</v>
      </c>
      <c r="F369" s="248" t="s">
        <v>463</v>
      </c>
      <c r="G369" s="314" t="s">
        <v>290</v>
      </c>
      <c r="H369" s="473"/>
      <c r="I369" s="284"/>
      <c r="J369" s="284"/>
      <c r="K369" s="532">
        <v>20000</v>
      </c>
      <c r="L369" s="533" t="s">
        <v>81</v>
      </c>
      <c r="M369" s="533" t="s">
        <v>24</v>
      </c>
      <c r="N369" s="525" t="str">
        <f>IF(AND('331-CT'!$E$7=TH!H369,OR(L369="331",M369="331")),"331",IF(AND(OR(L369="131",M369="131"),H369='131-CT'!$E$7),"131",""))</f>
        <v/>
      </c>
      <c r="O369" s="525" t="str">
        <f>IF(AND($B369&gt;='111'!$N$11,$B369&lt;='111'!$O$11,OR($L369=$O$7,$M369=$O$7)),"x","")</f>
        <v/>
      </c>
      <c r="P369" s="525" t="str">
        <f>IF(AND($L369=$O$7,$B369&lt;'111'!$N$11),"x","")</f>
        <v/>
      </c>
      <c r="Q369" s="525" t="str">
        <f>IF(AND($M369=$O$7,$B369&lt;'111'!$N$11),"x","")</f>
        <v/>
      </c>
      <c r="R369" s="525" t="str">
        <f>IF(ISERROR(FIND('112'!$M$9,G369,1)),"",IF((AND(FIND('112'!$M$9,G369,1)&gt;=1,$B369&gt;='112'!$N$8,$B369&lt;='112'!$O$8,OR($L369='112'!$I$6,$M369='112'!$I$6))),"x",""))</f>
        <v/>
      </c>
      <c r="S369" s="525" t="str">
        <f>IF(ISERROR(FIND('112'!$M$9,G369,1)),"",IF((AND(LEFT(G369,2)=LEFT('112'!$M$9,2),B369&lt;'112'!$N$8,$L369='112'!$I$6)),"x",""))</f>
        <v/>
      </c>
      <c r="T369" s="525" t="str">
        <f>IF(ISERROR(FIND('112'!$M$9,G369,1)),"",IF((AND(RIGHT(G369,2)=RIGHT('112'!$M$9,2),B369&lt;'112'!$N$8,$M369='112'!$I$6)),"x",""))</f>
        <v/>
      </c>
      <c r="U369" s="525" t="str">
        <f>IF(AND(B369&gt;='IN-NX'!$P$3,B369&lt;='IN-NX'!$Q$3,'IN-NX'!$D$7=D369,OR(LEFT(L369,2)="15",AND(LEFT(M369,2)&lt;&gt;"15",LEFT(M369,2)&lt;&gt;"33"))),"x","")</f>
        <v/>
      </c>
      <c r="V369" s="525" t="str">
        <f>IF(AND(OR(LEFT(TH!L369,2)="15",LEFT(TH!M369,2)="15"),'152-CT'!$J$8=TH!F369),"x","")</f>
        <v/>
      </c>
      <c r="W369" s="525" t="str">
        <f>IF(AND(OR(LEFT(TH!L369,2)="15",LEFT(TH!M369,2)="15"),TK!$E$7=TH!F369),"x","")</f>
        <v/>
      </c>
      <c r="X369" s="525" t="str">
        <f>IF(AND('341-CT'!$E$9=H369,OR(LEFT(L369,3)=$X$7,LEFT(M369,3)=$X$7)),"x","")</f>
        <v/>
      </c>
      <c r="Y369" s="525" t="str">
        <f>IF(OR(TH!L369=TH!$Y$7,M369=TH!$Y$7),"x","")</f>
        <v/>
      </c>
      <c r="Z369" s="525" t="str">
        <f>IF(AND(B369&lt;=NKC!$N$8,B369&gt;=NKC!$M$8),"x","")</f>
        <v/>
      </c>
      <c r="AA369" s="535">
        <v>3</v>
      </c>
    </row>
    <row r="370" spans="1:28" s="503" customFormat="1" ht="15.75" customHeight="1">
      <c r="A370" s="517" t="str">
        <f>IF(B370&lt;&gt;"",IF(AND(B370&gt;=_TM1,B370&lt;=_TM2,OR(TH!L370="1111",TH!M370="1111")),TH!D370,""),"")</f>
        <v/>
      </c>
      <c r="B370" s="531">
        <f t="shared" si="37"/>
        <v>8</v>
      </c>
      <c r="C370" s="315">
        <f t="shared" si="38"/>
        <v>42950</v>
      </c>
      <c r="D370" s="315" t="s">
        <v>461</v>
      </c>
      <c r="E370" s="288">
        <v>42950</v>
      </c>
      <c r="F370" s="248" t="s">
        <v>464</v>
      </c>
      <c r="G370" s="314" t="s">
        <v>290</v>
      </c>
      <c r="H370" s="472"/>
      <c r="I370" s="307"/>
      <c r="J370" s="307"/>
      <c r="K370" s="532">
        <v>2000</v>
      </c>
      <c r="L370" s="533" t="s">
        <v>9</v>
      </c>
      <c r="M370" s="533" t="s">
        <v>24</v>
      </c>
      <c r="N370" s="525" t="str">
        <f>IF(AND('331-CT'!$E$7=TH!H370,OR(L370="331",M370="331")),"331",IF(AND(OR(L370="131",M370="131"),H370='131-CT'!$E$7),"131",""))</f>
        <v/>
      </c>
      <c r="O370" s="525" t="str">
        <f>IF(AND($B370&gt;='111'!$N$11,$B370&lt;='111'!$O$11,OR($L370=$O$7,$M370=$O$7)),"x","")</f>
        <v/>
      </c>
      <c r="P370" s="525" t="str">
        <f>IF(AND($L370=$O$7,$B370&lt;'111'!$N$11),"x","")</f>
        <v/>
      </c>
      <c r="Q370" s="525" t="str">
        <f>IF(AND($M370=$O$7,$B370&lt;'111'!$N$11),"x","")</f>
        <v/>
      </c>
      <c r="R370" s="525" t="str">
        <f>IF(ISERROR(FIND('112'!$M$9,G370,1)),"",IF((AND(FIND('112'!$M$9,G370,1)&gt;=1,$B370&gt;='112'!$N$8,$B370&lt;='112'!$O$8,OR($L370='112'!$I$6,$M370='112'!$I$6))),"x",""))</f>
        <v/>
      </c>
      <c r="S370" s="525" t="str">
        <f>IF(ISERROR(FIND('112'!$M$9,G370,1)),"",IF((AND(LEFT(G370,2)=LEFT('112'!$M$9,2),B370&lt;'112'!$N$8,$L370='112'!$I$6)),"x",""))</f>
        <v/>
      </c>
      <c r="T370" s="525" t="str">
        <f>IF(ISERROR(FIND('112'!$M$9,G370,1)),"",IF((AND(RIGHT(G370,2)=RIGHT('112'!$M$9,2),B370&lt;'112'!$N$8,$M370='112'!$I$6)),"x",""))</f>
        <v/>
      </c>
      <c r="U370" s="525" t="str">
        <f>IF(AND(B370&gt;='IN-NX'!$P$3,B370&lt;='IN-NX'!$Q$3,'IN-NX'!$D$7=D370,OR(LEFT(L370,2)="15",AND(LEFT(M370,2)&lt;&gt;"15",LEFT(M370,2)&lt;&gt;"33"))),"x","")</f>
        <v/>
      </c>
      <c r="V370" s="525" t="str">
        <f>IF(AND(OR(LEFT(TH!L370,2)="15",LEFT(TH!M370,2)="15"),'152-CT'!$J$8=TH!F370),"x","")</f>
        <v/>
      </c>
      <c r="W370" s="525" t="str">
        <f>IF(AND(OR(LEFT(TH!L370,2)="15",LEFT(TH!M370,2)="15"),TK!$E$7=TH!F370),"x","")</f>
        <v/>
      </c>
      <c r="X370" s="525" t="str">
        <f>IF(AND('341-CT'!$E$9=H370,OR(LEFT(L370,3)=$X$7,LEFT(M370,3)=$X$7)),"x","")</f>
        <v/>
      </c>
      <c r="Y370" s="525" t="str">
        <f>IF(OR(TH!L370=TH!$Y$7,M370=TH!$Y$7),"x","")</f>
        <v/>
      </c>
      <c r="Z370" s="525" t="str">
        <f>IF(AND(B370&lt;=NKC!$N$8,B370&gt;=NKC!$M$8),"x","")</f>
        <v/>
      </c>
      <c r="AA370" s="535">
        <v>3</v>
      </c>
    </row>
    <row r="371" spans="1:28" s="503" customFormat="1" ht="15.75" customHeight="1">
      <c r="A371" s="517" t="str">
        <f>IF(B371&lt;&gt;"",IF(AND(B371&gt;=_TM1,B371&lt;=_TM2,OR(TH!L371="1111",TH!M371="1111")),TH!D371,""),"")</f>
        <v/>
      </c>
      <c r="B371" s="531">
        <f t="shared" si="37"/>
        <v>8</v>
      </c>
      <c r="C371" s="315">
        <f t="shared" si="38"/>
        <v>42950</v>
      </c>
      <c r="D371" s="315" t="s">
        <v>461</v>
      </c>
      <c r="E371" s="288">
        <v>42950</v>
      </c>
      <c r="F371" s="249" t="s">
        <v>1498</v>
      </c>
      <c r="G371" s="314" t="s">
        <v>290</v>
      </c>
      <c r="H371" s="473"/>
      <c r="I371" s="307"/>
      <c r="J371" s="307"/>
      <c r="K371" s="532">
        <v>88770</v>
      </c>
      <c r="L371" s="533" t="s">
        <v>81</v>
      </c>
      <c r="M371" s="533" t="s">
        <v>24</v>
      </c>
      <c r="N371" s="525" t="str">
        <f>IF(AND('331-CT'!$E$7=TH!H371,OR(L371="331",M371="331")),"331",IF(AND(OR(L371="131",M371="131"),H371='131-CT'!$E$7),"131",""))</f>
        <v/>
      </c>
      <c r="O371" s="525" t="str">
        <f>IF(AND($B371&gt;='111'!$N$11,$B371&lt;='111'!$O$11,OR($L371=$O$7,$M371=$O$7)),"x","")</f>
        <v/>
      </c>
      <c r="P371" s="525" t="str">
        <f>IF(AND($L371=$O$7,$B371&lt;'111'!$N$11),"x","")</f>
        <v/>
      </c>
      <c r="Q371" s="525" t="str">
        <f>IF(AND($M371=$O$7,$B371&lt;'111'!$N$11),"x","")</f>
        <v/>
      </c>
      <c r="R371" s="525" t="str">
        <f>IF(ISERROR(FIND('112'!$M$9,G371,1)),"",IF((AND(FIND('112'!$M$9,G371,1)&gt;=1,$B371&gt;='112'!$N$8,$B371&lt;='112'!$O$8,OR($L371='112'!$I$6,$M371='112'!$I$6))),"x",""))</f>
        <v/>
      </c>
      <c r="S371" s="525" t="str">
        <f>IF(ISERROR(FIND('112'!$M$9,G371,1)),"",IF((AND(LEFT(G371,2)=LEFT('112'!$M$9,2),B371&lt;'112'!$N$8,$L371='112'!$I$6)),"x",""))</f>
        <v/>
      </c>
      <c r="T371" s="525" t="str">
        <f>IF(ISERROR(FIND('112'!$M$9,G371,1)),"",IF((AND(RIGHT(G371,2)=RIGHT('112'!$M$9,2),B371&lt;'112'!$N$8,$M371='112'!$I$6)),"x",""))</f>
        <v/>
      </c>
      <c r="U371" s="525" t="str">
        <f>IF(AND(B371&gt;='IN-NX'!$P$3,B371&lt;='IN-NX'!$Q$3,'IN-NX'!$D$7=D371,OR(LEFT(L371,2)="15",AND(LEFT(M371,2)&lt;&gt;"15",LEFT(M371,2)&lt;&gt;"33"))),"x","")</f>
        <v/>
      </c>
      <c r="V371" s="525" t="str">
        <f>IF(AND(OR(LEFT(TH!L371,2)="15",LEFT(TH!M371,2)="15"),'152-CT'!$J$8=TH!F371),"x","")</f>
        <v/>
      </c>
      <c r="W371" s="525" t="str">
        <f>IF(AND(OR(LEFT(TH!L371,2)="15",LEFT(TH!M371,2)="15"),TK!$E$7=TH!F371),"x","")</f>
        <v/>
      </c>
      <c r="X371" s="525" t="str">
        <f>IF(AND('341-CT'!$E$9=H371,OR(LEFT(L371,3)=$X$7,LEFT(M371,3)=$X$7)),"x","")</f>
        <v/>
      </c>
      <c r="Y371" s="525" t="str">
        <f>IF(OR(TH!L371=TH!$Y$7,M371=TH!$Y$7),"x","")</f>
        <v/>
      </c>
      <c r="Z371" s="525" t="str">
        <f>IF(AND(B371&lt;=NKC!$N$8,B371&gt;=NKC!$M$8),"x","")</f>
        <v/>
      </c>
      <c r="AA371" s="535">
        <v>3</v>
      </c>
    </row>
    <row r="372" spans="1:28" s="503" customFormat="1" ht="15.75" customHeight="1">
      <c r="A372" s="517" t="str">
        <f>IF(B372&lt;&gt;"",IF(AND(B372&gt;=_TM1,B372&lt;=_TM2,OR(TH!L372="1111",TH!M372="1111")),TH!D372,""),"")</f>
        <v/>
      </c>
      <c r="B372" s="531">
        <f t="shared" si="37"/>
        <v>8</v>
      </c>
      <c r="C372" s="315">
        <f t="shared" si="38"/>
        <v>42950</v>
      </c>
      <c r="D372" s="315" t="s">
        <v>461</v>
      </c>
      <c r="E372" s="288">
        <v>42950</v>
      </c>
      <c r="F372" s="249" t="s">
        <v>1499</v>
      </c>
      <c r="G372" s="314" t="s">
        <v>290</v>
      </c>
      <c r="H372" s="473"/>
      <c r="I372" s="284"/>
      <c r="J372" s="284"/>
      <c r="K372" s="532">
        <v>8877</v>
      </c>
      <c r="L372" s="533" t="s">
        <v>9</v>
      </c>
      <c r="M372" s="533" t="s">
        <v>24</v>
      </c>
      <c r="N372" s="525" t="str">
        <f>IF(AND('331-CT'!$E$7=TH!H372,OR(L372="331",M372="331")),"331",IF(AND(OR(L372="131",M372="131"),H372='131-CT'!$E$7),"131",""))</f>
        <v/>
      </c>
      <c r="O372" s="525" t="str">
        <f>IF(AND($B372&gt;='111'!$N$11,$B372&lt;='111'!$O$11,OR($L372=$O$7,$M372=$O$7)),"x","")</f>
        <v/>
      </c>
      <c r="P372" s="525" t="str">
        <f>IF(AND($L372=$O$7,$B372&lt;'111'!$N$11),"x","")</f>
        <v/>
      </c>
      <c r="Q372" s="525" t="str">
        <f>IF(AND($M372=$O$7,$B372&lt;'111'!$N$11),"x","")</f>
        <v/>
      </c>
      <c r="R372" s="525" t="str">
        <f>IF(ISERROR(FIND('112'!$M$9,G372,1)),"",IF((AND(FIND('112'!$M$9,G372,1)&gt;=1,$B372&gt;='112'!$N$8,$B372&lt;='112'!$O$8,OR($L372='112'!$I$6,$M372='112'!$I$6))),"x",""))</f>
        <v/>
      </c>
      <c r="S372" s="525" t="str">
        <f>IF(ISERROR(FIND('112'!$M$9,G372,1)),"",IF((AND(LEFT(G372,2)=LEFT('112'!$M$9,2),B372&lt;'112'!$N$8,$L372='112'!$I$6)),"x",""))</f>
        <v/>
      </c>
      <c r="T372" s="525" t="str">
        <f>IF(ISERROR(FIND('112'!$M$9,G372,1)),"",IF((AND(RIGHT(G372,2)=RIGHT('112'!$M$9,2),B372&lt;'112'!$N$8,$M372='112'!$I$6)),"x",""))</f>
        <v/>
      </c>
      <c r="U372" s="525" t="str">
        <f>IF(AND(B372&gt;='IN-NX'!$P$3,B372&lt;='IN-NX'!$Q$3,'IN-NX'!$D$7=D372,OR(LEFT(L372,2)="15",AND(LEFT(M372,2)&lt;&gt;"15",LEFT(M372,2)&lt;&gt;"33"))),"x","")</f>
        <v/>
      </c>
      <c r="V372" s="525" t="str">
        <f>IF(AND(OR(LEFT(TH!L372,2)="15",LEFT(TH!M372,2)="15"),'152-CT'!$J$8=TH!F372),"x","")</f>
        <v/>
      </c>
      <c r="W372" s="525" t="str">
        <f>IF(AND(OR(LEFT(TH!L372,2)="15",LEFT(TH!M372,2)="15"),TK!$E$7=TH!F372),"x","")</f>
        <v/>
      </c>
      <c r="X372" s="525" t="str">
        <f>IF(AND('341-CT'!$E$9=H372,OR(LEFT(L372,3)=$X$7,LEFT(M372,3)=$X$7)),"x","")</f>
        <v/>
      </c>
      <c r="Y372" s="525" t="str">
        <f>IF(OR(TH!L372=TH!$Y$7,M372=TH!$Y$7),"x","")</f>
        <v/>
      </c>
      <c r="Z372" s="525" t="str">
        <f>IF(AND(B372&lt;=NKC!$N$8,B372&gt;=NKC!$M$8),"x","")</f>
        <v/>
      </c>
      <c r="AA372" s="535">
        <v>3</v>
      </c>
    </row>
    <row r="373" spans="1:28" s="503" customFormat="1" ht="15.75" customHeight="1">
      <c r="A373" s="517" t="str">
        <f>IF(B373&lt;&gt;"",IF(AND(B373&gt;=_TM1,B373&lt;=_TM2,OR(TH!L373="1111",TH!M373="1111")),TH!D373,""),"")</f>
        <v/>
      </c>
      <c r="B373" s="531">
        <f t="shared" si="37"/>
        <v>8</v>
      </c>
      <c r="C373" s="315">
        <f t="shared" si="38"/>
        <v>42955</v>
      </c>
      <c r="D373" s="315" t="s">
        <v>461</v>
      </c>
      <c r="E373" s="288">
        <v>42955</v>
      </c>
      <c r="F373" s="249" t="s">
        <v>465</v>
      </c>
      <c r="G373" s="314" t="s">
        <v>290</v>
      </c>
      <c r="H373" s="473" t="s">
        <v>460</v>
      </c>
      <c r="I373" s="284"/>
      <c r="J373" s="284"/>
      <c r="K373" s="532">
        <v>15700000</v>
      </c>
      <c r="L373" s="533" t="s">
        <v>45</v>
      </c>
      <c r="M373" s="533" t="s">
        <v>24</v>
      </c>
      <c r="N373" s="525" t="str">
        <f>IF(AND('331-CT'!$E$7=TH!H373,OR(L373="331",M373="331")),"331",IF(AND(OR(L373="131",M373="131"),H373='131-CT'!$E$7),"131",""))</f>
        <v/>
      </c>
      <c r="O373" s="525" t="str">
        <f>IF(AND($B373&gt;='111'!$N$11,$B373&lt;='111'!$O$11,OR($L373=$O$7,$M373=$O$7)),"x","")</f>
        <v/>
      </c>
      <c r="P373" s="525" t="str">
        <f>IF(AND($L373=$O$7,$B373&lt;'111'!$N$11),"x","")</f>
        <v>x</v>
      </c>
      <c r="Q373" s="525" t="str">
        <f>IF(AND($M373=$O$7,$B373&lt;'111'!$N$11),"x","")</f>
        <v/>
      </c>
      <c r="R373" s="525" t="str">
        <f>IF(ISERROR(FIND('112'!$M$9,G373,1)),"",IF((AND(FIND('112'!$M$9,G373,1)&gt;=1,$B373&gt;='112'!$N$8,$B373&lt;='112'!$O$8,OR($L373='112'!$I$6,$M373='112'!$I$6))),"x",""))</f>
        <v/>
      </c>
      <c r="S373" s="525" t="str">
        <f>IF(ISERROR(FIND('112'!$M$9,G373,1)),"",IF((AND(LEFT(G373,2)=LEFT('112'!$M$9,2),B373&lt;'112'!$N$8,$L373='112'!$I$6)),"x",""))</f>
        <v/>
      </c>
      <c r="T373" s="525" t="str">
        <f>IF(ISERROR(FIND('112'!$M$9,G373,1)),"",IF((AND(RIGHT(G373,2)=RIGHT('112'!$M$9,2),B373&lt;'112'!$N$8,$M373='112'!$I$6)),"x",""))</f>
        <v/>
      </c>
      <c r="U373" s="525" t="str">
        <f>IF(AND(B373&gt;='IN-NX'!$P$3,B373&lt;='IN-NX'!$Q$3,'IN-NX'!$D$7=D373,OR(LEFT(L373,2)="15",AND(LEFT(M373,2)&lt;&gt;"15",LEFT(M373,2)&lt;&gt;"33"))),"x","")</f>
        <v/>
      </c>
      <c r="V373" s="525" t="str">
        <f>IF(AND(OR(LEFT(TH!L373,2)="15",LEFT(TH!M373,2)="15"),'152-CT'!$J$8=TH!F373),"x","")</f>
        <v/>
      </c>
      <c r="W373" s="525" t="str">
        <f>IF(AND(OR(LEFT(TH!L373,2)="15",LEFT(TH!M373,2)="15"),TK!$E$7=TH!F373),"x","")</f>
        <v/>
      </c>
      <c r="X373" s="525" t="str">
        <f>IF(AND('341-CT'!$E$9=H373,OR(LEFT(L373,3)=$X$7,LEFT(M373,3)=$X$7)),"x","")</f>
        <v/>
      </c>
      <c r="Y373" s="525" t="str">
        <f>IF(OR(TH!L373=TH!$Y$7,M373=TH!$Y$7),"x","")</f>
        <v/>
      </c>
      <c r="Z373" s="525" t="str">
        <f>IF(AND(B373&lt;=NKC!$N$8,B373&gt;=NKC!$M$8),"x","")</f>
        <v/>
      </c>
      <c r="AA373" s="535"/>
    </row>
    <row r="374" spans="1:28" s="503" customFormat="1" ht="15.75" customHeight="1">
      <c r="A374" s="517" t="str">
        <f>IF(B374&lt;&gt;"",IF(AND(B374&gt;=_TM1,B374&lt;=_TM2,OR(TH!L374="1111",TH!M374="1111")),TH!D374,""),"")</f>
        <v/>
      </c>
      <c r="B374" s="531">
        <f t="shared" si="35"/>
        <v>8</v>
      </c>
      <c r="C374" s="315">
        <f t="shared" si="36"/>
        <v>42965</v>
      </c>
      <c r="D374" s="315" t="s">
        <v>461</v>
      </c>
      <c r="E374" s="288">
        <v>42965</v>
      </c>
      <c r="F374" s="249" t="s">
        <v>465</v>
      </c>
      <c r="G374" s="314" t="s">
        <v>290</v>
      </c>
      <c r="H374" s="473" t="s">
        <v>460</v>
      </c>
      <c r="I374" s="307"/>
      <c r="J374" s="307"/>
      <c r="K374" s="532">
        <v>46400000</v>
      </c>
      <c r="L374" s="533" t="s">
        <v>45</v>
      </c>
      <c r="M374" s="533" t="s">
        <v>24</v>
      </c>
      <c r="N374" s="525" t="str">
        <f>IF(AND('331-CT'!$E$7=TH!H374,OR(L374="331",M374="331")),"331",IF(AND(OR(L374="131",M374="131"),H374='131-CT'!$E$7),"131",""))</f>
        <v/>
      </c>
      <c r="O374" s="525" t="str">
        <f>IF(AND($B374&gt;='111'!$N$11,$B374&lt;='111'!$O$11,OR($L374=$O$7,$M374=$O$7)),"x","")</f>
        <v/>
      </c>
      <c r="P374" s="525" t="str">
        <f>IF(AND($L374=$O$7,$B374&lt;'111'!$N$11),"x","")</f>
        <v>x</v>
      </c>
      <c r="Q374" s="525" t="str">
        <f>IF(AND($M374=$O$7,$B374&lt;'111'!$N$11),"x","")</f>
        <v/>
      </c>
      <c r="R374" s="525" t="str">
        <f>IF(ISERROR(FIND('112'!$M$9,G374,1)),"",IF((AND(FIND('112'!$M$9,G374,1)&gt;=1,$B374&gt;='112'!$N$8,$B374&lt;='112'!$O$8,OR($L374='112'!$I$6,$M374='112'!$I$6))),"x",""))</f>
        <v/>
      </c>
      <c r="S374" s="525" t="str">
        <f>IF(ISERROR(FIND('112'!$M$9,G374,1)),"",IF((AND(LEFT(G374,2)=LEFT('112'!$M$9,2),B374&lt;'112'!$N$8,$L374='112'!$I$6)),"x",""))</f>
        <v/>
      </c>
      <c r="T374" s="525" t="str">
        <f>IF(ISERROR(FIND('112'!$M$9,G374,1)),"",IF((AND(RIGHT(G374,2)=RIGHT('112'!$M$9,2),B374&lt;'112'!$N$8,$M374='112'!$I$6)),"x",""))</f>
        <v/>
      </c>
      <c r="U374" s="525" t="str">
        <f>IF(AND(B374&gt;='IN-NX'!$P$3,B374&lt;='IN-NX'!$Q$3,'IN-NX'!$D$7=D374,OR(LEFT(L374,2)="15",AND(LEFT(M374,2)&lt;&gt;"15",LEFT(M374,2)&lt;&gt;"33"))),"x","")</f>
        <v/>
      </c>
      <c r="V374" s="525" t="str">
        <f>IF(AND(OR(LEFT(TH!L374,2)="15",LEFT(TH!M374,2)="15"),'152-CT'!$J$8=TH!F374),"x","")</f>
        <v/>
      </c>
      <c r="W374" s="525" t="str">
        <f>IF(AND(OR(LEFT(TH!L374,2)="15",LEFT(TH!M374,2)="15"),TK!$E$7=TH!F374),"x","")</f>
        <v/>
      </c>
      <c r="X374" s="525" t="str">
        <f>IF(AND('341-CT'!$E$9=H374,OR(LEFT(L374,3)=$X$7,LEFT(M374,3)=$X$7)),"x","")</f>
        <v/>
      </c>
      <c r="Y374" s="525" t="str">
        <f>IF(OR(TH!L374=TH!$Y$7,M374=TH!$Y$7),"x","")</f>
        <v/>
      </c>
      <c r="Z374" s="525" t="str">
        <f>IF(AND(B374&lt;=NKC!$N$8,B374&gt;=NKC!$M$8),"x","")</f>
        <v/>
      </c>
      <c r="AA374" s="535"/>
      <c r="AB374" s="536"/>
    </row>
    <row r="375" spans="1:28" s="503" customFormat="1" ht="15.75" customHeight="1">
      <c r="A375" s="517" t="str">
        <f>IF(B375&lt;&gt;"",IF(AND(B375&gt;=_TM1,B375&lt;=_TM2,OR(TH!L375="1111",TH!M375="1111")),TH!D375,""),"")</f>
        <v/>
      </c>
      <c r="B375" s="531">
        <f t="shared" si="35"/>
        <v>8</v>
      </c>
      <c r="C375" s="315">
        <f t="shared" si="36"/>
        <v>42968</v>
      </c>
      <c r="D375" s="315" t="s">
        <v>461</v>
      </c>
      <c r="E375" s="288">
        <v>42968</v>
      </c>
      <c r="F375" s="249" t="s">
        <v>465</v>
      </c>
      <c r="G375" s="314" t="s">
        <v>290</v>
      </c>
      <c r="H375" s="473" t="s">
        <v>460</v>
      </c>
      <c r="I375" s="307"/>
      <c r="J375" s="307"/>
      <c r="K375" s="532">
        <v>600000000</v>
      </c>
      <c r="L375" s="533" t="s">
        <v>45</v>
      </c>
      <c r="M375" s="533" t="s">
        <v>24</v>
      </c>
      <c r="N375" s="525" t="str">
        <f>IF(AND('331-CT'!$E$7=TH!H375,OR(L375="331",M375="331")),"331",IF(AND(OR(L375="131",M375="131"),H375='131-CT'!$E$7),"131",""))</f>
        <v/>
      </c>
      <c r="O375" s="525" t="str">
        <f>IF(AND($B375&gt;='111'!$N$11,$B375&lt;='111'!$O$11,OR($L375=$O$7,$M375=$O$7)),"x","")</f>
        <v/>
      </c>
      <c r="P375" s="525" t="str">
        <f>IF(AND($L375=$O$7,$B375&lt;'111'!$N$11),"x","")</f>
        <v>x</v>
      </c>
      <c r="Q375" s="525" t="str">
        <f>IF(AND($M375=$O$7,$B375&lt;'111'!$N$11),"x","")</f>
        <v/>
      </c>
      <c r="R375" s="525" t="str">
        <f>IF(ISERROR(FIND('112'!$M$9,G375,1)),"",IF((AND(FIND('112'!$M$9,G375,1)&gt;=1,$B375&gt;='112'!$N$8,$B375&lt;='112'!$O$8,OR($L375='112'!$I$6,$M375='112'!$I$6))),"x",""))</f>
        <v/>
      </c>
      <c r="S375" s="525" t="str">
        <f>IF(ISERROR(FIND('112'!$M$9,G375,1)),"",IF((AND(LEFT(G375,2)=LEFT('112'!$M$9,2),B375&lt;'112'!$N$8,$L375='112'!$I$6)),"x",""))</f>
        <v/>
      </c>
      <c r="T375" s="525" t="str">
        <f>IF(ISERROR(FIND('112'!$M$9,G375,1)),"",IF((AND(RIGHT(G375,2)=RIGHT('112'!$M$9,2),B375&lt;'112'!$N$8,$M375='112'!$I$6)),"x",""))</f>
        <v/>
      </c>
      <c r="U375" s="525" t="str">
        <f>IF(AND(B375&gt;='IN-NX'!$P$3,B375&lt;='IN-NX'!$Q$3,'IN-NX'!$D$7=D375,OR(LEFT(L375,2)="15",AND(LEFT(M375,2)&lt;&gt;"15",LEFT(M375,2)&lt;&gt;"33"))),"x","")</f>
        <v/>
      </c>
      <c r="V375" s="525" t="str">
        <f>IF(AND(OR(LEFT(TH!L375,2)="15",LEFT(TH!M375,2)="15"),'152-CT'!$J$8=TH!F375),"x","")</f>
        <v/>
      </c>
      <c r="W375" s="525" t="str">
        <f>IF(AND(OR(LEFT(TH!L375,2)="15",LEFT(TH!M375,2)="15"),TK!$E$7=TH!F375),"x","")</f>
        <v/>
      </c>
      <c r="X375" s="525" t="str">
        <f>IF(AND('341-CT'!$E$9=H375,OR(LEFT(L375,3)=$X$7,LEFT(M375,3)=$X$7)),"x","")</f>
        <v/>
      </c>
      <c r="Y375" s="525" t="str">
        <f>IF(OR(TH!L375=TH!$Y$7,M375=TH!$Y$7),"x","")</f>
        <v/>
      </c>
      <c r="Z375" s="525" t="str">
        <f>IF(AND(B375&lt;=NKC!$N$8,B375&gt;=NKC!$M$8),"x","")</f>
        <v/>
      </c>
      <c r="AA375" s="535"/>
    </row>
    <row r="376" spans="1:28" s="503" customFormat="1" ht="15.75" customHeight="1">
      <c r="A376" s="517" t="str">
        <f>IF(B376&lt;&gt;"",IF(AND(B376&gt;=_TM1,B376&lt;=_TM2,OR(TH!L376="1111",TH!M376="1111")),TH!D376,""),"")</f>
        <v/>
      </c>
      <c r="B376" s="531">
        <f t="shared" si="35"/>
        <v>8</v>
      </c>
      <c r="C376" s="315">
        <f t="shared" si="36"/>
        <v>42972</v>
      </c>
      <c r="D376" s="315" t="s">
        <v>461</v>
      </c>
      <c r="E376" s="288">
        <v>42972</v>
      </c>
      <c r="F376" s="249" t="s">
        <v>473</v>
      </c>
      <c r="G376" s="314" t="s">
        <v>290</v>
      </c>
      <c r="H376" s="473"/>
      <c r="I376" s="307"/>
      <c r="J376" s="307"/>
      <c r="K376" s="532">
        <v>10000</v>
      </c>
      <c r="L376" s="533" t="s">
        <v>81</v>
      </c>
      <c r="M376" s="533" t="s">
        <v>24</v>
      </c>
      <c r="N376" s="525" t="str">
        <f>IF(AND('331-CT'!$E$7=TH!H376,OR(L376="331",M376="331")),"331",IF(AND(OR(L376="131",M376="131"),H376='131-CT'!$E$7),"131",""))</f>
        <v/>
      </c>
      <c r="O376" s="525" t="str">
        <f>IF(AND($B376&gt;='111'!$N$11,$B376&lt;='111'!$O$11,OR($L376=$O$7,$M376=$O$7)),"x","")</f>
        <v/>
      </c>
      <c r="P376" s="525" t="str">
        <f>IF(AND($L376=$O$7,$B376&lt;'111'!$N$11),"x","")</f>
        <v/>
      </c>
      <c r="Q376" s="525" t="str">
        <f>IF(AND($M376=$O$7,$B376&lt;'111'!$N$11),"x","")</f>
        <v/>
      </c>
      <c r="R376" s="525" t="str">
        <f>IF(ISERROR(FIND('112'!$M$9,G376,1)),"",IF((AND(FIND('112'!$M$9,G376,1)&gt;=1,$B376&gt;='112'!$N$8,$B376&lt;='112'!$O$8,OR($L376='112'!$I$6,$M376='112'!$I$6))),"x",""))</f>
        <v/>
      </c>
      <c r="S376" s="525" t="str">
        <f>IF(ISERROR(FIND('112'!$M$9,G376,1)),"",IF((AND(LEFT(G376,2)=LEFT('112'!$M$9,2),B376&lt;'112'!$N$8,$L376='112'!$I$6)),"x",""))</f>
        <v/>
      </c>
      <c r="T376" s="525" t="str">
        <f>IF(ISERROR(FIND('112'!$M$9,G376,1)),"",IF((AND(RIGHT(G376,2)=RIGHT('112'!$M$9,2),B376&lt;'112'!$N$8,$M376='112'!$I$6)),"x",""))</f>
        <v/>
      </c>
      <c r="U376" s="525" t="str">
        <f>IF(AND(B376&gt;='IN-NX'!$P$3,B376&lt;='IN-NX'!$Q$3,'IN-NX'!$D$7=D376,OR(LEFT(L376,2)="15",AND(LEFT(M376,2)&lt;&gt;"15",LEFT(M376,2)&lt;&gt;"33"))),"x","")</f>
        <v/>
      </c>
      <c r="V376" s="525" t="str">
        <f>IF(AND(OR(LEFT(TH!L376,2)="15",LEFT(TH!M376,2)="15"),'152-CT'!$J$8=TH!F376),"x","")</f>
        <v/>
      </c>
      <c r="W376" s="525" t="str">
        <f>IF(AND(OR(LEFT(TH!L376,2)="15",LEFT(TH!M376,2)="15"),TK!$E$7=TH!F376),"x","")</f>
        <v/>
      </c>
      <c r="X376" s="525" t="str">
        <f>IF(AND('341-CT'!$E$9=H376,OR(LEFT(L376,3)=$X$7,LEFT(M376,3)=$X$7)),"x","")</f>
        <v/>
      </c>
      <c r="Y376" s="525" t="str">
        <f>IF(OR(TH!L376=TH!$Y$7,M376=TH!$Y$7),"x","")</f>
        <v/>
      </c>
      <c r="Z376" s="525" t="str">
        <f>IF(AND(B376&lt;=NKC!$N$8,B376&gt;=NKC!$M$8),"x","")</f>
        <v/>
      </c>
      <c r="AA376" s="535">
        <v>3</v>
      </c>
    </row>
    <row r="377" spans="1:28" s="503" customFormat="1" ht="15.75" customHeight="1">
      <c r="A377" s="517" t="str">
        <f>IF(B377&lt;&gt;"",IF(AND(B377&gt;=_TM1,B377&lt;=_TM2,OR(TH!L377="1111",TH!M377="1111")),TH!D377,""),"")</f>
        <v/>
      </c>
      <c r="B377" s="531">
        <f t="shared" si="35"/>
        <v>8</v>
      </c>
      <c r="C377" s="315">
        <f t="shared" si="36"/>
        <v>42972</v>
      </c>
      <c r="D377" s="315" t="s">
        <v>461</v>
      </c>
      <c r="E377" s="288">
        <v>42972</v>
      </c>
      <c r="F377" s="249" t="s">
        <v>474</v>
      </c>
      <c r="G377" s="314" t="s">
        <v>290</v>
      </c>
      <c r="H377" s="472"/>
      <c r="I377" s="307"/>
      <c r="J377" s="307"/>
      <c r="K377" s="532">
        <v>1000</v>
      </c>
      <c r="L377" s="533" t="s">
        <v>9</v>
      </c>
      <c r="M377" s="533" t="s">
        <v>24</v>
      </c>
      <c r="N377" s="525" t="str">
        <f>IF(AND('331-CT'!$E$7=TH!H377,OR(L377="331",M377="331")),"331",IF(AND(OR(L377="131",M377="131"),H377='131-CT'!$E$7),"131",""))</f>
        <v/>
      </c>
      <c r="O377" s="525" t="str">
        <f>IF(AND($B377&gt;='111'!$N$11,$B377&lt;='111'!$O$11,OR($L377=$O$7,$M377=$O$7)),"x","")</f>
        <v/>
      </c>
      <c r="P377" s="525" t="str">
        <f>IF(AND($L377=$O$7,$B377&lt;'111'!$N$11),"x","")</f>
        <v/>
      </c>
      <c r="Q377" s="525" t="str">
        <f>IF(AND($M377=$O$7,$B377&lt;'111'!$N$11),"x","")</f>
        <v/>
      </c>
      <c r="R377" s="525" t="str">
        <f>IF(ISERROR(FIND('112'!$M$9,G377,1)),"",IF((AND(FIND('112'!$M$9,G377,1)&gt;=1,$B377&gt;='112'!$N$8,$B377&lt;='112'!$O$8,OR($L377='112'!$I$6,$M377='112'!$I$6))),"x",""))</f>
        <v/>
      </c>
      <c r="S377" s="525" t="str">
        <f>IF(ISERROR(FIND('112'!$M$9,G377,1)),"",IF((AND(LEFT(G377,2)=LEFT('112'!$M$9,2),B377&lt;'112'!$N$8,$L377='112'!$I$6)),"x",""))</f>
        <v/>
      </c>
      <c r="T377" s="525" t="str">
        <f>IF(ISERROR(FIND('112'!$M$9,G377,1)),"",IF((AND(RIGHT(G377,2)=RIGHT('112'!$M$9,2),B377&lt;'112'!$N$8,$M377='112'!$I$6)),"x",""))</f>
        <v/>
      </c>
      <c r="U377" s="525" t="str">
        <f>IF(AND(B377&gt;='IN-NX'!$P$3,B377&lt;='IN-NX'!$Q$3,'IN-NX'!$D$7=D377,OR(LEFT(L377,2)="15",AND(LEFT(M377,2)&lt;&gt;"15",LEFT(M377,2)&lt;&gt;"33"))),"x","")</f>
        <v/>
      </c>
      <c r="V377" s="525" t="str">
        <f>IF(AND(OR(LEFT(TH!L377,2)="15",LEFT(TH!M377,2)="15"),'152-CT'!$J$8=TH!F377),"x","")</f>
        <v/>
      </c>
      <c r="W377" s="525" t="str">
        <f>IF(AND(OR(LEFT(TH!L377,2)="15",LEFT(TH!M377,2)="15"),TK!$E$7=TH!F377),"x","")</f>
        <v/>
      </c>
      <c r="X377" s="525" t="str">
        <f>IF(AND('341-CT'!$E$9=H377,OR(LEFT(L377,3)=$X$7,LEFT(M377,3)=$X$7)),"x","")</f>
        <v/>
      </c>
      <c r="Y377" s="525" t="str">
        <f>IF(OR(TH!L377=TH!$Y$7,M377=TH!$Y$7),"x","")</f>
        <v/>
      </c>
      <c r="Z377" s="525" t="str">
        <f>IF(AND(B377&lt;=NKC!$N$8,B377&gt;=NKC!$M$8),"x","")</f>
        <v/>
      </c>
      <c r="AA377" s="535">
        <v>3</v>
      </c>
    </row>
    <row r="378" spans="1:28" s="503" customFormat="1" ht="15.75" customHeight="1">
      <c r="A378" s="517" t="str">
        <f>IF(B378&lt;&gt;"",IF(AND(B378&gt;=_TM1,B378&lt;=_TM2,OR(TH!L378="1111",TH!M378="1111")),TH!D378,""),"")</f>
        <v/>
      </c>
      <c r="B378" s="531">
        <f t="shared" ref="B378:B385" si="41">IF(C378&lt;&gt;"",MONTH(C378),"")</f>
        <v>9</v>
      </c>
      <c r="C378" s="315">
        <f t="shared" ref="C378:C385" si="42">E378</f>
        <v>42979</v>
      </c>
      <c r="D378" s="315" t="s">
        <v>461</v>
      </c>
      <c r="E378" s="288">
        <v>42979</v>
      </c>
      <c r="F378" s="248" t="s">
        <v>457</v>
      </c>
      <c r="G378" s="314" t="s">
        <v>290</v>
      </c>
      <c r="H378" s="473" t="s">
        <v>1309</v>
      </c>
      <c r="I378" s="307"/>
      <c r="J378" s="307"/>
      <c r="K378" s="532">
        <v>16185136</v>
      </c>
      <c r="L378" s="533" t="s">
        <v>24</v>
      </c>
      <c r="M378" s="533" t="s">
        <v>223</v>
      </c>
      <c r="N378" s="525" t="str">
        <f>IF(AND('331-CT'!$E$7=TH!H378,OR(L378="331",M378="331")),"331",IF(AND(OR(L378="131",M378="131"),H378='131-CT'!$E$7),"131",""))</f>
        <v/>
      </c>
      <c r="O378" s="525" t="str">
        <f>IF(AND($B378&gt;='111'!$N$11,$B378&lt;='111'!$O$11,OR($L378=$O$7,$M378=$O$7)),"x","")</f>
        <v/>
      </c>
      <c r="P378" s="525" t="str">
        <f>IF(AND($L378=$O$7,$B378&lt;'111'!$N$11),"x","")</f>
        <v/>
      </c>
      <c r="Q378" s="525" t="str">
        <f>IF(AND($M378=$O$7,$B378&lt;'111'!$N$11),"x","")</f>
        <v/>
      </c>
      <c r="R378" s="525" t="str">
        <f>IF(ISERROR(FIND('112'!$M$9,G378,1)),"",IF((AND(FIND('112'!$M$9,G378,1)&gt;=1,$B378&gt;='112'!$N$8,$B378&lt;='112'!$O$8,OR($L378='112'!$I$6,$M378='112'!$I$6))),"x",""))</f>
        <v/>
      </c>
      <c r="S378" s="525" t="str">
        <f>IF(ISERROR(FIND('112'!$M$9,G378,1)),"",IF((AND(LEFT(G378,2)=LEFT('112'!$M$9,2),B378&lt;'112'!$N$8,$L378='112'!$I$6)),"x",""))</f>
        <v/>
      </c>
      <c r="T378" s="525" t="str">
        <f>IF(ISERROR(FIND('112'!$M$9,G378,1)),"",IF((AND(RIGHT(G378,2)=RIGHT('112'!$M$9,2),B378&lt;'112'!$N$8,$M378='112'!$I$6)),"x",""))</f>
        <v/>
      </c>
      <c r="U378" s="525" t="str">
        <f>IF(AND(B378&gt;='IN-NX'!$P$3,B378&lt;='IN-NX'!$Q$3,'IN-NX'!$D$7=D378,OR(LEFT(L378,2)="15",AND(LEFT(M378,2)&lt;&gt;"15",LEFT(M378,2)&lt;&gt;"33"))),"x","")</f>
        <v/>
      </c>
      <c r="V378" s="525" t="str">
        <f>IF(AND(OR(LEFT(TH!L378,2)="15",LEFT(TH!M378,2)="15"),'152-CT'!$J$8=TH!F378),"x","")</f>
        <v/>
      </c>
      <c r="W378" s="525" t="str">
        <f>IF(AND(OR(LEFT(TH!L378,2)="15",LEFT(TH!M378,2)="15"),TK!$E$7=TH!F378),"x","")</f>
        <v/>
      </c>
      <c r="X378" s="525" t="str">
        <f>IF(AND('341-CT'!$E$9=H378,OR(LEFT(L378,3)=$X$7,LEFT(M378,3)=$X$7)),"x","")</f>
        <v/>
      </c>
      <c r="Y378" s="525" t="str">
        <f>IF(OR(TH!L378=TH!$Y$7,M378=TH!$Y$7),"x","")</f>
        <v/>
      </c>
      <c r="Z378" s="525" t="str">
        <f>IF(AND(B378&lt;=NKC!$N$8,B378&gt;=NKC!$M$8),"x","")</f>
        <v/>
      </c>
      <c r="AA378" s="535"/>
    </row>
    <row r="379" spans="1:28" s="503" customFormat="1" ht="15.75" customHeight="1">
      <c r="A379" s="517" t="str">
        <f>IF(B379&lt;&gt;"",IF(AND(B379&gt;=_TM1,B379&lt;=_TM2,OR(TH!L379="1111",TH!M379="1111")),TH!D379,""),"")</f>
        <v/>
      </c>
      <c r="B379" s="531">
        <f t="shared" si="41"/>
        <v>9</v>
      </c>
      <c r="C379" s="315">
        <f t="shared" si="42"/>
        <v>42986</v>
      </c>
      <c r="D379" s="315" t="s">
        <v>461</v>
      </c>
      <c r="E379" s="288">
        <v>42986</v>
      </c>
      <c r="F379" s="248" t="s">
        <v>457</v>
      </c>
      <c r="G379" s="314" t="s">
        <v>290</v>
      </c>
      <c r="H379" s="472" t="s">
        <v>289</v>
      </c>
      <c r="I379" s="284"/>
      <c r="J379" s="284"/>
      <c r="K379" s="532">
        <v>47506250</v>
      </c>
      <c r="L379" s="533" t="s">
        <v>24</v>
      </c>
      <c r="M379" s="533" t="s">
        <v>223</v>
      </c>
      <c r="N379" s="525" t="str">
        <f>IF(AND('331-CT'!$E$7=TH!H379,OR(L379="331",M379="331")),"331",IF(AND(OR(L379="131",M379="131"),H379='131-CT'!$E$7),"131",""))</f>
        <v/>
      </c>
      <c r="O379" s="525" t="str">
        <f>IF(AND($B379&gt;='111'!$N$11,$B379&lt;='111'!$O$11,OR($L379=$O$7,$M379=$O$7)),"x","")</f>
        <v/>
      </c>
      <c r="P379" s="525" t="str">
        <f>IF(AND($L379=$O$7,$B379&lt;'111'!$N$11),"x","")</f>
        <v/>
      </c>
      <c r="Q379" s="525" t="str">
        <f>IF(AND($M379=$O$7,$B379&lt;'111'!$N$11),"x","")</f>
        <v/>
      </c>
      <c r="R379" s="525" t="str">
        <f>IF(ISERROR(FIND('112'!$M$9,G379,1)),"",IF((AND(FIND('112'!$M$9,G379,1)&gt;=1,$B379&gt;='112'!$N$8,$B379&lt;='112'!$O$8,OR($L379='112'!$I$6,$M379='112'!$I$6))),"x",""))</f>
        <v/>
      </c>
      <c r="S379" s="525" t="str">
        <f>IF(ISERROR(FIND('112'!$M$9,G379,1)),"",IF((AND(LEFT(G379,2)=LEFT('112'!$M$9,2),B379&lt;'112'!$N$8,$L379='112'!$I$6)),"x",""))</f>
        <v/>
      </c>
      <c r="T379" s="525" t="str">
        <f>IF(ISERROR(FIND('112'!$M$9,G379,1)),"",IF((AND(RIGHT(G379,2)=RIGHT('112'!$M$9,2),B379&lt;'112'!$N$8,$M379='112'!$I$6)),"x",""))</f>
        <v/>
      </c>
      <c r="U379" s="525" t="str">
        <f>IF(AND(B379&gt;='IN-NX'!$P$3,B379&lt;='IN-NX'!$Q$3,'IN-NX'!$D$7=D379,OR(LEFT(L379,2)="15",AND(LEFT(M379,2)&lt;&gt;"15",LEFT(M379,2)&lt;&gt;"33"))),"x","")</f>
        <v/>
      </c>
      <c r="V379" s="525" t="str">
        <f>IF(AND(OR(LEFT(TH!L379,2)="15",LEFT(TH!M379,2)="15"),'152-CT'!$J$8=TH!F379),"x","")</f>
        <v/>
      </c>
      <c r="W379" s="525" t="str">
        <f>IF(AND(OR(LEFT(TH!L379,2)="15",LEFT(TH!M379,2)="15"),TK!$E$7=TH!F379),"x","")</f>
        <v/>
      </c>
      <c r="X379" s="525" t="str">
        <f>IF(AND('341-CT'!$E$9=H379,OR(LEFT(L379,3)=$X$7,LEFT(M379,3)=$X$7)),"x","")</f>
        <v/>
      </c>
      <c r="Y379" s="525" t="str">
        <f>IF(OR(TH!L379=TH!$Y$7,M379=TH!$Y$7),"x","")</f>
        <v/>
      </c>
      <c r="Z379" s="525" t="str">
        <f>IF(AND(B379&lt;=NKC!$N$8,B379&gt;=NKC!$M$8),"x","")</f>
        <v/>
      </c>
      <c r="AA379" s="535"/>
    </row>
    <row r="380" spans="1:28" s="503" customFormat="1" ht="15.75" customHeight="1">
      <c r="A380" s="517" t="str">
        <f>IF(B380&lt;&gt;"",IF(AND(B380&gt;=_TM1,B380&lt;=_TM2,OR(TH!L380="1111",TH!M380="1111")),TH!D380,""),"")</f>
        <v/>
      </c>
      <c r="B380" s="531">
        <f t="shared" si="41"/>
        <v>9</v>
      </c>
      <c r="C380" s="315">
        <f t="shared" si="42"/>
        <v>42986</v>
      </c>
      <c r="D380" s="315" t="s">
        <v>461</v>
      </c>
      <c r="E380" s="288">
        <v>42986</v>
      </c>
      <c r="F380" s="248" t="s">
        <v>1265</v>
      </c>
      <c r="G380" s="314" t="s">
        <v>290</v>
      </c>
      <c r="H380" s="473" t="s">
        <v>460</v>
      </c>
      <c r="I380" s="307"/>
      <c r="J380" s="307"/>
      <c r="K380" s="532">
        <v>10000000</v>
      </c>
      <c r="L380" s="533" t="s">
        <v>24</v>
      </c>
      <c r="M380" s="533" t="s">
        <v>45</v>
      </c>
      <c r="N380" s="525" t="str">
        <f>IF(AND('331-CT'!$E$7=TH!H380,OR(L380="331",M380="331")),"331",IF(AND(OR(L380="131",M380="131"),H380='131-CT'!$E$7),"131",""))</f>
        <v/>
      </c>
      <c r="O380" s="525" t="str">
        <f>IF(AND($B380&gt;='111'!$N$11,$B380&lt;='111'!$O$11,OR($L380=$O$7,$M380=$O$7)),"x","")</f>
        <v/>
      </c>
      <c r="P380" s="525" t="str">
        <f>IF(AND($L380=$O$7,$B380&lt;'111'!$N$11),"x","")</f>
        <v/>
      </c>
      <c r="Q380" s="525" t="str">
        <f>IF(AND($M380=$O$7,$B380&lt;'111'!$N$11),"x","")</f>
        <v>x</v>
      </c>
      <c r="R380" s="525" t="str">
        <f>IF(ISERROR(FIND('112'!$M$9,G380,1)),"",IF((AND(FIND('112'!$M$9,G380,1)&gt;=1,$B380&gt;='112'!$N$8,$B380&lt;='112'!$O$8,OR($L380='112'!$I$6,$M380='112'!$I$6))),"x",""))</f>
        <v/>
      </c>
      <c r="S380" s="525" t="str">
        <f>IF(ISERROR(FIND('112'!$M$9,G380,1)),"",IF((AND(LEFT(G380,2)=LEFT('112'!$M$9,2),B380&lt;'112'!$N$8,$L380='112'!$I$6)),"x",""))</f>
        <v/>
      </c>
      <c r="T380" s="525" t="str">
        <f>IF(ISERROR(FIND('112'!$M$9,G380,1)),"",IF((AND(RIGHT(G380,2)=RIGHT('112'!$M$9,2),B380&lt;'112'!$N$8,$M380='112'!$I$6)),"x",""))</f>
        <v/>
      </c>
      <c r="U380" s="525" t="str">
        <f>IF(AND(B380&gt;='IN-NX'!$P$3,B380&lt;='IN-NX'!$Q$3,'IN-NX'!$D$7=D380,OR(LEFT(L380,2)="15",AND(LEFT(M380,2)&lt;&gt;"15",LEFT(M380,2)&lt;&gt;"33"))),"x","")</f>
        <v/>
      </c>
      <c r="V380" s="525" t="str">
        <f>IF(AND(OR(LEFT(TH!L380,2)="15",LEFT(TH!M380,2)="15"),'152-CT'!$J$8=TH!F380),"x","")</f>
        <v/>
      </c>
      <c r="W380" s="525" t="str">
        <f>IF(AND(OR(LEFT(TH!L380,2)="15",LEFT(TH!M380,2)="15"),TK!$E$7=TH!F380),"x","")</f>
        <v/>
      </c>
      <c r="X380" s="525" t="str">
        <f>IF(AND('341-CT'!$E$9=H380,OR(LEFT(L380,3)=$X$7,LEFT(M380,3)=$X$7)),"x","")</f>
        <v/>
      </c>
      <c r="Y380" s="525" t="str">
        <f>IF(OR(TH!L380=TH!$Y$7,M380=TH!$Y$7),"x","")</f>
        <v/>
      </c>
      <c r="Z380" s="525" t="str">
        <f>IF(AND(B380&lt;=NKC!$N$8,B380&gt;=NKC!$M$8),"x","")</f>
        <v/>
      </c>
      <c r="AA380" s="535"/>
    </row>
    <row r="381" spans="1:28" s="503" customFormat="1" ht="15.75" customHeight="1">
      <c r="A381" s="517" t="str">
        <f>IF(B381&lt;&gt;"",IF(AND(B381&gt;=_TM1,B381&lt;=_TM2,OR(TH!L381="1111",TH!M381="1111")),TH!D381,""),"")</f>
        <v/>
      </c>
      <c r="B381" s="531">
        <f t="shared" si="41"/>
        <v>9</v>
      </c>
      <c r="C381" s="315">
        <f t="shared" si="42"/>
        <v>42989</v>
      </c>
      <c r="D381" s="315" t="s">
        <v>461</v>
      </c>
      <c r="E381" s="288">
        <v>42989</v>
      </c>
      <c r="F381" s="248" t="s">
        <v>457</v>
      </c>
      <c r="G381" s="314" t="s">
        <v>290</v>
      </c>
      <c r="H381" s="248" t="s">
        <v>1442</v>
      </c>
      <c r="I381" s="284"/>
      <c r="J381" s="284"/>
      <c r="K381" s="532">
        <v>150390192</v>
      </c>
      <c r="L381" s="533" t="s">
        <v>24</v>
      </c>
      <c r="M381" s="533" t="s">
        <v>223</v>
      </c>
      <c r="N381" s="525" t="str">
        <f>IF(AND('331-CT'!$E$7=TH!H381,OR(L381="331",M381="331")),"331",IF(AND(OR(L381="131",M381="131"),H381='131-CT'!$E$7),"131",""))</f>
        <v/>
      </c>
      <c r="O381" s="525" t="str">
        <f>IF(AND($B381&gt;='111'!$N$11,$B381&lt;='111'!$O$11,OR($L381=$O$7,$M381=$O$7)),"x","")</f>
        <v/>
      </c>
      <c r="P381" s="525" t="str">
        <f>IF(AND($L381=$O$7,$B381&lt;'111'!$N$11),"x","")</f>
        <v/>
      </c>
      <c r="Q381" s="525" t="str">
        <f>IF(AND($M381=$O$7,$B381&lt;'111'!$N$11),"x","")</f>
        <v/>
      </c>
      <c r="R381" s="525" t="str">
        <f>IF(ISERROR(FIND('112'!$M$9,G381,1)),"",IF((AND(FIND('112'!$M$9,G381,1)&gt;=1,$B381&gt;='112'!$N$8,$B381&lt;='112'!$O$8,OR($L381='112'!$I$6,$M381='112'!$I$6))),"x",""))</f>
        <v/>
      </c>
      <c r="S381" s="525" t="str">
        <f>IF(ISERROR(FIND('112'!$M$9,G381,1)),"",IF((AND(LEFT(G381,2)=LEFT('112'!$M$9,2),B381&lt;'112'!$N$8,$L381='112'!$I$6)),"x",""))</f>
        <v/>
      </c>
      <c r="T381" s="525" t="str">
        <f>IF(ISERROR(FIND('112'!$M$9,G381,1)),"",IF((AND(RIGHT(G381,2)=RIGHT('112'!$M$9,2),B381&lt;'112'!$N$8,$M381='112'!$I$6)),"x",""))</f>
        <v/>
      </c>
      <c r="U381" s="525" t="str">
        <f>IF(AND(B381&gt;='IN-NX'!$P$3,B381&lt;='IN-NX'!$Q$3,'IN-NX'!$D$7=D381,OR(LEFT(L381,2)="15",AND(LEFT(M381,2)&lt;&gt;"15",LEFT(M381,2)&lt;&gt;"33"))),"x","")</f>
        <v/>
      </c>
      <c r="V381" s="525" t="str">
        <f>IF(AND(OR(LEFT(TH!L381,2)="15",LEFT(TH!M381,2)="15"),'152-CT'!$J$8=TH!F381),"x","")</f>
        <v/>
      </c>
      <c r="W381" s="525" t="str">
        <f>IF(AND(OR(LEFT(TH!L381,2)="15",LEFT(TH!M381,2)="15"),TK!$E$7=TH!F381),"x","")</f>
        <v/>
      </c>
      <c r="X381" s="525" t="str">
        <f>IF(AND('341-CT'!$E$9=H381,OR(LEFT(L381,3)=$X$7,LEFT(M381,3)=$X$7)),"x","")</f>
        <v/>
      </c>
      <c r="Y381" s="525" t="str">
        <f>IF(OR(TH!L381=TH!$Y$7,M381=TH!$Y$7),"x","")</f>
        <v/>
      </c>
      <c r="Z381" s="525" t="str">
        <f>IF(AND(B381&lt;=NKC!$N$8,B381&gt;=NKC!$M$8),"x","")</f>
        <v/>
      </c>
      <c r="AA381" s="535"/>
    </row>
    <row r="382" spans="1:28" s="503" customFormat="1" ht="15.75" customHeight="1">
      <c r="A382" s="517" t="str">
        <f>IF(B382&lt;&gt;"",IF(AND(B382&gt;=_TM1,B382&lt;=_TM2,OR(TH!L382="1111",TH!M382="1111")),TH!D382,""),"")</f>
        <v/>
      </c>
      <c r="B382" s="531">
        <f t="shared" si="41"/>
        <v>9</v>
      </c>
      <c r="C382" s="315">
        <f t="shared" si="42"/>
        <v>42991</v>
      </c>
      <c r="D382" s="315" t="s">
        <v>461</v>
      </c>
      <c r="E382" s="288">
        <v>42991</v>
      </c>
      <c r="F382" s="248" t="s">
        <v>1265</v>
      </c>
      <c r="G382" s="314" t="s">
        <v>290</v>
      </c>
      <c r="H382" s="473" t="s">
        <v>460</v>
      </c>
      <c r="I382" s="307"/>
      <c r="J382" s="307"/>
      <c r="K382" s="532">
        <v>10000000</v>
      </c>
      <c r="L382" s="533" t="s">
        <v>24</v>
      </c>
      <c r="M382" s="533" t="s">
        <v>45</v>
      </c>
      <c r="N382" s="525" t="str">
        <f>IF(AND('331-CT'!$E$7=TH!H382,OR(L382="331",M382="331")),"331",IF(AND(OR(L382="131",M382="131"),H382='131-CT'!$E$7),"131",""))</f>
        <v/>
      </c>
      <c r="O382" s="525" t="str">
        <f>IF(AND($B382&gt;='111'!$N$11,$B382&lt;='111'!$O$11,OR($L382=$O$7,$M382=$O$7)),"x","")</f>
        <v/>
      </c>
      <c r="P382" s="525" t="str">
        <f>IF(AND($L382=$O$7,$B382&lt;'111'!$N$11),"x","")</f>
        <v/>
      </c>
      <c r="Q382" s="525" t="str">
        <f>IF(AND($M382=$O$7,$B382&lt;'111'!$N$11),"x","")</f>
        <v>x</v>
      </c>
      <c r="R382" s="525" t="str">
        <f>IF(ISERROR(FIND('112'!$M$9,G382,1)),"",IF((AND(FIND('112'!$M$9,G382,1)&gt;=1,$B382&gt;='112'!$N$8,$B382&lt;='112'!$O$8,OR($L382='112'!$I$6,$M382='112'!$I$6))),"x",""))</f>
        <v/>
      </c>
      <c r="S382" s="525" t="str">
        <f>IF(ISERROR(FIND('112'!$M$9,G382,1)),"",IF((AND(LEFT(G382,2)=LEFT('112'!$M$9,2),B382&lt;'112'!$N$8,$L382='112'!$I$6)),"x",""))</f>
        <v/>
      </c>
      <c r="T382" s="525" t="str">
        <f>IF(ISERROR(FIND('112'!$M$9,G382,1)),"",IF((AND(RIGHT(G382,2)=RIGHT('112'!$M$9,2),B382&lt;'112'!$N$8,$M382='112'!$I$6)),"x",""))</f>
        <v/>
      </c>
      <c r="U382" s="525" t="str">
        <f>IF(AND(B382&gt;='IN-NX'!$P$3,B382&lt;='IN-NX'!$Q$3,'IN-NX'!$D$7=D382,OR(LEFT(L382,2)="15",AND(LEFT(M382,2)&lt;&gt;"15",LEFT(M382,2)&lt;&gt;"33"))),"x","")</f>
        <v/>
      </c>
      <c r="V382" s="525" t="str">
        <f>IF(AND(OR(LEFT(TH!L382,2)="15",LEFT(TH!M382,2)="15"),'152-CT'!$J$8=TH!F382),"x","")</f>
        <v/>
      </c>
      <c r="W382" s="525" t="str">
        <f>IF(AND(OR(LEFT(TH!L382,2)="15",LEFT(TH!M382,2)="15"),TK!$E$7=TH!F382),"x","")</f>
        <v/>
      </c>
      <c r="X382" s="525" t="str">
        <f>IF(AND('341-CT'!$E$9=H382,OR(LEFT(L382,3)=$X$7,LEFT(M382,3)=$X$7)),"x","")</f>
        <v/>
      </c>
      <c r="Y382" s="525" t="str">
        <f>IF(OR(TH!L382=TH!$Y$7,M382=TH!$Y$7),"x","")</f>
        <v/>
      </c>
      <c r="Z382" s="525" t="str">
        <f>IF(AND(B382&lt;=NKC!$N$8,B382&gt;=NKC!$M$8),"x","")</f>
        <v/>
      </c>
      <c r="AA382" s="535"/>
    </row>
    <row r="383" spans="1:28" s="503" customFormat="1" ht="15.75" customHeight="1">
      <c r="A383" s="517" t="str">
        <f>IF(B383&lt;&gt;"",IF(AND(B383&gt;=_TM1,B383&lt;=_TM2,OR(TH!L383="1111",TH!M383="1111")),TH!D383,""),"")</f>
        <v/>
      </c>
      <c r="B383" s="531">
        <f t="shared" si="41"/>
        <v>9</v>
      </c>
      <c r="C383" s="315">
        <f t="shared" si="42"/>
        <v>42991</v>
      </c>
      <c r="D383" s="315" t="s">
        <v>461</v>
      </c>
      <c r="E383" s="288">
        <v>42991</v>
      </c>
      <c r="F383" s="248" t="s">
        <v>457</v>
      </c>
      <c r="G383" s="314" t="s">
        <v>290</v>
      </c>
      <c r="H383" s="473" t="s">
        <v>283</v>
      </c>
      <c r="I383" s="284"/>
      <c r="J383" s="284"/>
      <c r="K383" s="532">
        <v>122100000</v>
      </c>
      <c r="L383" s="533" t="s">
        <v>24</v>
      </c>
      <c r="M383" s="533" t="s">
        <v>223</v>
      </c>
      <c r="N383" s="525" t="str">
        <f>IF(AND('331-CT'!$E$7=TH!H383,OR(L383="331",M383="331")),"331",IF(AND(OR(L383="131",M383="131"),H383='131-CT'!$E$7),"131",""))</f>
        <v/>
      </c>
      <c r="O383" s="525" t="str">
        <f>IF(AND($B383&gt;='111'!$N$11,$B383&lt;='111'!$O$11,OR($L383=$O$7,$M383=$O$7)),"x","")</f>
        <v/>
      </c>
      <c r="P383" s="525" t="str">
        <f>IF(AND($L383=$O$7,$B383&lt;'111'!$N$11),"x","")</f>
        <v/>
      </c>
      <c r="Q383" s="525" t="str">
        <f>IF(AND($M383=$O$7,$B383&lt;'111'!$N$11),"x","")</f>
        <v/>
      </c>
      <c r="R383" s="525" t="str">
        <f>IF(ISERROR(FIND('112'!$M$9,G383,1)),"",IF((AND(FIND('112'!$M$9,G383,1)&gt;=1,$B383&gt;='112'!$N$8,$B383&lt;='112'!$O$8,OR($L383='112'!$I$6,$M383='112'!$I$6))),"x",""))</f>
        <v/>
      </c>
      <c r="S383" s="525" t="str">
        <f>IF(ISERROR(FIND('112'!$M$9,G383,1)),"",IF((AND(LEFT(G383,2)=LEFT('112'!$M$9,2),B383&lt;'112'!$N$8,$L383='112'!$I$6)),"x",""))</f>
        <v/>
      </c>
      <c r="T383" s="525" t="str">
        <f>IF(ISERROR(FIND('112'!$M$9,G383,1)),"",IF((AND(RIGHT(G383,2)=RIGHT('112'!$M$9,2),B383&lt;'112'!$N$8,$M383='112'!$I$6)),"x",""))</f>
        <v/>
      </c>
      <c r="U383" s="525" t="str">
        <f>IF(AND(B383&gt;='IN-NX'!$P$3,B383&lt;='IN-NX'!$Q$3,'IN-NX'!$D$7=D383,OR(LEFT(L383,2)="15",AND(LEFT(M383,2)&lt;&gt;"15",LEFT(M383,2)&lt;&gt;"33"))),"x","")</f>
        <v/>
      </c>
      <c r="V383" s="525" t="str">
        <f>IF(AND(OR(LEFT(TH!L383,2)="15",LEFT(TH!M383,2)="15"),'152-CT'!$J$8=TH!F383),"x","")</f>
        <v/>
      </c>
      <c r="W383" s="525" t="str">
        <f>IF(AND(OR(LEFT(TH!L383,2)="15",LEFT(TH!M383,2)="15"),TK!$E$7=TH!F383),"x","")</f>
        <v/>
      </c>
      <c r="X383" s="525" t="str">
        <f>IF(AND('341-CT'!$E$9=H383,OR(LEFT(L383,3)=$X$7,LEFT(M383,3)=$X$7)),"x","")</f>
        <v/>
      </c>
      <c r="Y383" s="525" t="str">
        <f>IF(OR(TH!L383=TH!$Y$7,M383=TH!$Y$7),"x","")</f>
        <v/>
      </c>
      <c r="Z383" s="525" t="str">
        <f>IF(AND(B383&lt;=NKC!$N$8,B383&gt;=NKC!$M$8),"x","")</f>
        <v/>
      </c>
      <c r="AA383" s="535"/>
    </row>
    <row r="384" spans="1:28" s="503" customFormat="1" ht="15.75" customHeight="1">
      <c r="A384" s="517" t="str">
        <f>IF(B384&lt;&gt;"",IF(AND(B384&gt;=_TM1,B384&lt;=_TM2,OR(TH!L384="1111",TH!M384="1111")),TH!D384,""),"")</f>
        <v/>
      </c>
      <c r="B384" s="531">
        <f t="shared" si="41"/>
        <v>9</v>
      </c>
      <c r="C384" s="315">
        <f t="shared" si="42"/>
        <v>42992</v>
      </c>
      <c r="D384" s="315" t="s">
        <v>461</v>
      </c>
      <c r="E384" s="288">
        <v>42992</v>
      </c>
      <c r="F384" s="248" t="s">
        <v>457</v>
      </c>
      <c r="G384" s="314" t="s">
        <v>290</v>
      </c>
      <c r="H384" s="473" t="s">
        <v>283</v>
      </c>
      <c r="I384" s="307"/>
      <c r="J384" s="307"/>
      <c r="K384" s="532">
        <v>122100000</v>
      </c>
      <c r="L384" s="533" t="s">
        <v>24</v>
      </c>
      <c r="M384" s="533" t="s">
        <v>223</v>
      </c>
      <c r="N384" s="525" t="str">
        <f>IF(AND('331-CT'!$E$7=TH!H384,OR(L384="331",M384="331")),"331",IF(AND(OR(L384="131",M384="131"),H384='131-CT'!$E$7),"131",""))</f>
        <v/>
      </c>
      <c r="O384" s="525" t="str">
        <f>IF(AND($B384&gt;='111'!$N$11,$B384&lt;='111'!$O$11,OR($L384=$O$7,$M384=$O$7)),"x","")</f>
        <v/>
      </c>
      <c r="P384" s="525" t="str">
        <f>IF(AND($L384=$O$7,$B384&lt;'111'!$N$11),"x","")</f>
        <v/>
      </c>
      <c r="Q384" s="525" t="str">
        <f>IF(AND($M384=$O$7,$B384&lt;'111'!$N$11),"x","")</f>
        <v/>
      </c>
      <c r="R384" s="525" t="str">
        <f>IF(ISERROR(FIND('112'!$M$9,G384,1)),"",IF((AND(FIND('112'!$M$9,G384,1)&gt;=1,$B384&gt;='112'!$N$8,$B384&lt;='112'!$O$8,OR($L384='112'!$I$6,$M384='112'!$I$6))),"x",""))</f>
        <v/>
      </c>
      <c r="S384" s="525" t="str">
        <f>IF(ISERROR(FIND('112'!$M$9,G384,1)),"",IF((AND(LEFT(G384,2)=LEFT('112'!$M$9,2),B384&lt;'112'!$N$8,$L384='112'!$I$6)),"x",""))</f>
        <v/>
      </c>
      <c r="T384" s="525" t="str">
        <f>IF(ISERROR(FIND('112'!$M$9,G384,1)),"",IF((AND(RIGHT(G384,2)=RIGHT('112'!$M$9,2),B384&lt;'112'!$N$8,$M384='112'!$I$6)),"x",""))</f>
        <v/>
      </c>
      <c r="U384" s="525" t="str">
        <f>IF(AND(B384&gt;='IN-NX'!$P$3,B384&lt;='IN-NX'!$Q$3,'IN-NX'!$D$7=D384,OR(LEFT(L384,2)="15",AND(LEFT(M384,2)&lt;&gt;"15",LEFT(M384,2)&lt;&gt;"33"))),"x","")</f>
        <v/>
      </c>
      <c r="V384" s="525" t="str">
        <f>IF(AND(OR(LEFT(TH!L384,2)="15",LEFT(TH!M384,2)="15"),'152-CT'!$J$8=TH!F384),"x","")</f>
        <v/>
      </c>
      <c r="W384" s="525" t="str">
        <f>IF(AND(OR(LEFT(TH!L384,2)="15",LEFT(TH!M384,2)="15"),TK!$E$7=TH!F384),"x","")</f>
        <v/>
      </c>
      <c r="X384" s="525" t="str">
        <f>IF(AND('341-CT'!$E$9=H384,OR(LEFT(L384,3)=$X$7,LEFT(M384,3)=$X$7)),"x","")</f>
        <v/>
      </c>
      <c r="Y384" s="525" t="str">
        <f>IF(OR(TH!L384=TH!$Y$7,M384=TH!$Y$7),"x","")</f>
        <v/>
      </c>
      <c r="Z384" s="525" t="str">
        <f>IF(AND(B384&lt;=NKC!$N$8,B384&gt;=NKC!$M$8),"x","")</f>
        <v/>
      </c>
      <c r="AA384" s="535"/>
    </row>
    <row r="385" spans="1:27" s="503" customFormat="1" ht="15.75" customHeight="1">
      <c r="A385" s="517" t="str">
        <f>IF(B385&lt;&gt;"",IF(AND(B385&gt;=_TM1,B385&lt;=_TM2,OR(TH!L385="1111",TH!M385="1111")),TH!D385,""),"")</f>
        <v/>
      </c>
      <c r="B385" s="531">
        <f t="shared" si="41"/>
        <v>9</v>
      </c>
      <c r="C385" s="315">
        <f t="shared" si="42"/>
        <v>42992</v>
      </c>
      <c r="D385" s="315" t="s">
        <v>461</v>
      </c>
      <c r="E385" s="288">
        <v>42992</v>
      </c>
      <c r="F385" s="248" t="s">
        <v>457</v>
      </c>
      <c r="G385" s="314" t="s">
        <v>290</v>
      </c>
      <c r="H385" s="473" t="s">
        <v>283</v>
      </c>
      <c r="I385" s="284"/>
      <c r="J385" s="284"/>
      <c r="K385" s="532">
        <v>132275000</v>
      </c>
      <c r="L385" s="533" t="s">
        <v>24</v>
      </c>
      <c r="M385" s="533" t="s">
        <v>223</v>
      </c>
      <c r="N385" s="525" t="str">
        <f>IF(AND('331-CT'!$E$7=TH!H385,OR(L385="331",M385="331")),"331",IF(AND(OR(L385="131",M385="131"),H385='131-CT'!$E$7),"131",""))</f>
        <v/>
      </c>
      <c r="O385" s="525" t="str">
        <f>IF(AND($B385&gt;='111'!$N$11,$B385&lt;='111'!$O$11,OR($L385=$O$7,$M385=$O$7)),"x","")</f>
        <v/>
      </c>
      <c r="P385" s="525" t="str">
        <f>IF(AND($L385=$O$7,$B385&lt;'111'!$N$11),"x","")</f>
        <v/>
      </c>
      <c r="Q385" s="525" t="str">
        <f>IF(AND($M385=$O$7,$B385&lt;'111'!$N$11),"x","")</f>
        <v/>
      </c>
      <c r="R385" s="525" t="str">
        <f>IF(ISERROR(FIND('112'!$M$9,G385,1)),"",IF((AND(FIND('112'!$M$9,G385,1)&gt;=1,$B385&gt;='112'!$N$8,$B385&lt;='112'!$O$8,OR($L385='112'!$I$6,$M385='112'!$I$6))),"x",""))</f>
        <v/>
      </c>
      <c r="S385" s="525" t="str">
        <f>IF(ISERROR(FIND('112'!$M$9,G385,1)),"",IF((AND(LEFT(G385,2)=LEFT('112'!$M$9,2),B385&lt;'112'!$N$8,$L385='112'!$I$6)),"x",""))</f>
        <v/>
      </c>
      <c r="T385" s="525" t="str">
        <f>IF(ISERROR(FIND('112'!$M$9,G385,1)),"",IF((AND(RIGHT(G385,2)=RIGHT('112'!$M$9,2),B385&lt;'112'!$N$8,$M385='112'!$I$6)),"x",""))</f>
        <v/>
      </c>
      <c r="U385" s="525" t="str">
        <f>IF(AND(B385&gt;='IN-NX'!$P$3,B385&lt;='IN-NX'!$Q$3,'IN-NX'!$D$7=D385,OR(LEFT(L385,2)="15",AND(LEFT(M385,2)&lt;&gt;"15",LEFT(M385,2)&lt;&gt;"33"))),"x","")</f>
        <v/>
      </c>
      <c r="V385" s="525" t="str">
        <f>IF(AND(OR(LEFT(TH!L385,2)="15",LEFT(TH!M385,2)="15"),'152-CT'!$J$8=TH!F385),"x","")</f>
        <v/>
      </c>
      <c r="W385" s="525" t="str">
        <f>IF(AND(OR(LEFT(TH!L385,2)="15",LEFT(TH!M385,2)="15"),TK!$E$7=TH!F385),"x","")</f>
        <v/>
      </c>
      <c r="X385" s="525" t="str">
        <f>IF(AND('341-CT'!$E$9=H385,OR(LEFT(L385,3)=$X$7,LEFT(M385,3)=$X$7)),"x","")</f>
        <v/>
      </c>
      <c r="Y385" s="525" t="str">
        <f>IF(OR(TH!L385=TH!$Y$7,M385=TH!$Y$7),"x","")</f>
        <v/>
      </c>
      <c r="Z385" s="525" t="str">
        <f>IF(AND(B385&lt;=NKC!$N$8,B385&gt;=NKC!$M$8),"x","")</f>
        <v/>
      </c>
      <c r="AA385" s="535"/>
    </row>
    <row r="386" spans="1:27" s="503" customFormat="1" ht="15.75" customHeight="1">
      <c r="A386" s="517" t="str">
        <f>IF(B386&lt;&gt;"",IF(AND(B386&gt;=_TM1,B386&lt;=_TM2,OR(TH!L386="1111",TH!M386="1111")),TH!D386,""),"")</f>
        <v/>
      </c>
      <c r="B386" s="531">
        <f t="shared" si="35"/>
        <v>9</v>
      </c>
      <c r="C386" s="315">
        <f t="shared" si="36"/>
        <v>43000</v>
      </c>
      <c r="D386" s="315" t="s">
        <v>461</v>
      </c>
      <c r="E386" s="288">
        <v>43000</v>
      </c>
      <c r="F386" s="248" t="s">
        <v>1265</v>
      </c>
      <c r="G386" s="314" t="s">
        <v>290</v>
      </c>
      <c r="H386" s="473" t="s">
        <v>460</v>
      </c>
      <c r="I386" s="307"/>
      <c r="J386" s="307"/>
      <c r="K386" s="532">
        <v>289200000</v>
      </c>
      <c r="L386" s="533" t="s">
        <v>24</v>
      </c>
      <c r="M386" s="533" t="s">
        <v>45</v>
      </c>
      <c r="N386" s="525" t="str">
        <f>IF(AND('331-CT'!$E$7=TH!H386,OR(L386="331",M386="331")),"331",IF(AND(OR(L386="131",M386="131"),H386='131-CT'!$E$7),"131",""))</f>
        <v/>
      </c>
      <c r="O386" s="525" t="str">
        <f>IF(AND($B386&gt;='111'!$N$11,$B386&lt;='111'!$O$11,OR($L386=$O$7,$M386=$O$7)),"x","")</f>
        <v/>
      </c>
      <c r="P386" s="525" t="str">
        <f>IF(AND($L386=$O$7,$B386&lt;'111'!$N$11),"x","")</f>
        <v/>
      </c>
      <c r="Q386" s="525" t="str">
        <f>IF(AND($M386=$O$7,$B386&lt;'111'!$N$11),"x","")</f>
        <v>x</v>
      </c>
      <c r="R386" s="525" t="str">
        <f>IF(ISERROR(FIND('112'!$M$9,G386,1)),"",IF((AND(FIND('112'!$M$9,G386,1)&gt;=1,$B386&gt;='112'!$N$8,$B386&lt;='112'!$O$8,OR($L386='112'!$I$6,$M386='112'!$I$6))),"x",""))</f>
        <v/>
      </c>
      <c r="S386" s="525" t="str">
        <f>IF(ISERROR(FIND('112'!$M$9,G386,1)),"",IF((AND(LEFT(G386,2)=LEFT('112'!$M$9,2),B386&lt;'112'!$N$8,$L386='112'!$I$6)),"x",""))</f>
        <v/>
      </c>
      <c r="T386" s="525" t="str">
        <f>IF(ISERROR(FIND('112'!$M$9,G386,1)),"",IF((AND(RIGHT(G386,2)=RIGHT('112'!$M$9,2),B386&lt;'112'!$N$8,$M386='112'!$I$6)),"x",""))</f>
        <v/>
      </c>
      <c r="U386" s="525" t="str">
        <f>IF(AND(B386&gt;='IN-NX'!$P$3,B386&lt;='IN-NX'!$Q$3,'IN-NX'!$D$7=D386,OR(LEFT(L386,2)="15",AND(LEFT(M386,2)&lt;&gt;"15",LEFT(M386,2)&lt;&gt;"33"))),"x","")</f>
        <v/>
      </c>
      <c r="V386" s="525" t="str">
        <f>IF(AND(OR(LEFT(TH!L386,2)="15",LEFT(TH!M386,2)="15"),'152-CT'!$J$8=TH!F386),"x","")</f>
        <v/>
      </c>
      <c r="W386" s="525" t="str">
        <f>IF(AND(OR(LEFT(TH!L386,2)="15",LEFT(TH!M386,2)="15"),TK!$E$7=TH!F386),"x","")</f>
        <v/>
      </c>
      <c r="X386" s="525" t="str">
        <f>IF(AND('341-CT'!$E$9=H386,OR(LEFT(L386,3)=$X$7,LEFT(M386,3)=$X$7)),"x","")</f>
        <v/>
      </c>
      <c r="Y386" s="525" t="str">
        <f>IF(OR(TH!L386=TH!$Y$7,M386=TH!$Y$7),"x","")</f>
        <v/>
      </c>
      <c r="Z386" s="525" t="str">
        <f>IF(AND(B386&lt;=NKC!$N$8,B386&gt;=NKC!$M$8),"x","")</f>
        <v/>
      </c>
      <c r="AA386" s="535"/>
    </row>
    <row r="387" spans="1:27" s="503" customFormat="1" ht="15.75" customHeight="1">
      <c r="A387" s="517" t="str">
        <f>IF(B387&lt;&gt;"",IF(AND(B387&gt;=_TM1,B387&lt;=_TM2,OR(TH!L387="1111",TH!M387="1111")),TH!D387,""),"")</f>
        <v/>
      </c>
      <c r="B387" s="531">
        <f t="shared" si="35"/>
        <v>9</v>
      </c>
      <c r="C387" s="315">
        <f t="shared" si="36"/>
        <v>43003</v>
      </c>
      <c r="D387" s="315" t="s">
        <v>461</v>
      </c>
      <c r="E387" s="288">
        <v>43003</v>
      </c>
      <c r="F387" s="249" t="s">
        <v>458</v>
      </c>
      <c r="G387" s="314" t="s">
        <v>290</v>
      </c>
      <c r="H387" s="473"/>
      <c r="I387" s="307"/>
      <c r="J387" s="307"/>
      <c r="K387" s="532">
        <v>2186</v>
      </c>
      <c r="L387" s="533" t="s">
        <v>24</v>
      </c>
      <c r="M387" s="533" t="s">
        <v>38</v>
      </c>
      <c r="N387" s="525" t="str">
        <f>IF(AND('331-CT'!$E$7=TH!H387,OR(L387="331",M387="331")),"331",IF(AND(OR(L387="131",M387="131"),H387='131-CT'!$E$7),"131",""))</f>
        <v/>
      </c>
      <c r="O387" s="525" t="str">
        <f>IF(AND($B387&gt;='111'!$N$11,$B387&lt;='111'!$O$11,OR($L387=$O$7,$M387=$O$7)),"x","")</f>
        <v/>
      </c>
      <c r="P387" s="525" t="str">
        <f>IF(AND($L387=$O$7,$B387&lt;'111'!$N$11),"x","")</f>
        <v/>
      </c>
      <c r="Q387" s="525" t="str">
        <f>IF(AND($M387=$O$7,$B387&lt;'111'!$N$11),"x","")</f>
        <v/>
      </c>
      <c r="R387" s="525" t="str">
        <f>IF(ISERROR(FIND('112'!$M$9,G387,1)),"",IF((AND(FIND('112'!$M$9,G387,1)&gt;=1,$B387&gt;='112'!$N$8,$B387&lt;='112'!$O$8,OR($L387='112'!$I$6,$M387='112'!$I$6))),"x",""))</f>
        <v/>
      </c>
      <c r="S387" s="525" t="str">
        <f>IF(ISERROR(FIND('112'!$M$9,G387,1)),"",IF((AND(LEFT(G387,2)=LEFT('112'!$M$9,2),B387&lt;'112'!$N$8,$L387='112'!$I$6)),"x",""))</f>
        <v/>
      </c>
      <c r="T387" s="525" t="str">
        <f>IF(ISERROR(FIND('112'!$M$9,G387,1)),"",IF((AND(RIGHT(G387,2)=RIGHT('112'!$M$9,2),B387&lt;'112'!$N$8,$M387='112'!$I$6)),"x",""))</f>
        <v/>
      </c>
      <c r="U387" s="525" t="str">
        <f>IF(AND(B387&gt;='IN-NX'!$P$3,B387&lt;='IN-NX'!$Q$3,'IN-NX'!$D$7=D387,OR(LEFT(L387,2)="15",AND(LEFT(M387,2)&lt;&gt;"15",LEFT(M387,2)&lt;&gt;"33"))),"x","")</f>
        <v/>
      </c>
      <c r="V387" s="525" t="str">
        <f>IF(AND(OR(LEFT(TH!L387,2)="15",LEFT(TH!M387,2)="15"),'152-CT'!$J$8=TH!F387),"x","")</f>
        <v/>
      </c>
      <c r="W387" s="525" t="str">
        <f>IF(AND(OR(LEFT(TH!L387,2)="15",LEFT(TH!M387,2)="15"),TK!$E$7=TH!F387),"x","")</f>
        <v/>
      </c>
      <c r="X387" s="525" t="str">
        <f>IF(AND('341-CT'!$E$9=H387,OR(LEFT(L387,3)=$X$7,LEFT(M387,3)=$X$7)),"x","")</f>
        <v/>
      </c>
      <c r="Y387" s="525" t="str">
        <f>IF(OR(TH!L387=TH!$Y$7,M387=TH!$Y$7),"x","")</f>
        <v/>
      </c>
      <c r="Z387" s="525" t="str">
        <f>IF(AND(B387&lt;=NKC!$N$8,B387&gt;=NKC!$M$8),"x","")</f>
        <v/>
      </c>
      <c r="AA387" s="535"/>
    </row>
    <row r="388" spans="1:27" s="503" customFormat="1" ht="15.75" customHeight="1">
      <c r="A388" s="517" t="str">
        <f>IF(B388&lt;&gt;"",IF(AND(B388&gt;=_TM1,B388&lt;=_TM2,OR(TH!L388="1111",TH!M388="1111")),TH!D388,""),"")</f>
        <v/>
      </c>
      <c r="B388" s="531">
        <f t="shared" ref="B388:B416" si="43">IF(C388&lt;&gt;"",MONTH(C388),"")</f>
        <v>9</v>
      </c>
      <c r="C388" s="315">
        <f t="shared" ref="C388:C416" si="44">E388</f>
        <v>43003</v>
      </c>
      <c r="D388" s="315" t="s">
        <v>461</v>
      </c>
      <c r="E388" s="288">
        <v>43003</v>
      </c>
      <c r="F388" s="248" t="s">
        <v>457</v>
      </c>
      <c r="G388" s="314" t="s">
        <v>290</v>
      </c>
      <c r="H388" s="473" t="s">
        <v>1309</v>
      </c>
      <c r="I388" s="307"/>
      <c r="J388" s="307"/>
      <c r="K388" s="532">
        <v>42336355</v>
      </c>
      <c r="L388" s="533" t="s">
        <v>24</v>
      </c>
      <c r="M388" s="533" t="s">
        <v>223</v>
      </c>
      <c r="N388" s="525" t="str">
        <f>IF(AND('331-CT'!$E$7=TH!H388,OR(L388="331",M388="331")),"331",IF(AND(OR(L388="131",M388="131"),H388='131-CT'!$E$7),"131",""))</f>
        <v/>
      </c>
      <c r="O388" s="525" t="str">
        <f>IF(AND($B388&gt;='111'!$N$11,$B388&lt;='111'!$O$11,OR($L388=$O$7,$M388=$O$7)),"x","")</f>
        <v/>
      </c>
      <c r="P388" s="525" t="str">
        <f>IF(AND($L388=$O$7,$B388&lt;'111'!$N$11),"x","")</f>
        <v/>
      </c>
      <c r="Q388" s="525" t="str">
        <f>IF(AND($M388=$O$7,$B388&lt;'111'!$N$11),"x","")</f>
        <v/>
      </c>
      <c r="R388" s="525" t="str">
        <f>IF(ISERROR(FIND('112'!$M$9,G388,1)),"",IF((AND(FIND('112'!$M$9,G388,1)&gt;=1,$B388&gt;='112'!$N$8,$B388&lt;='112'!$O$8,OR($L388='112'!$I$6,$M388='112'!$I$6))),"x",""))</f>
        <v/>
      </c>
      <c r="S388" s="525" t="str">
        <f>IF(ISERROR(FIND('112'!$M$9,G388,1)),"",IF((AND(LEFT(G388,2)=LEFT('112'!$M$9,2),B388&lt;'112'!$N$8,$L388='112'!$I$6)),"x",""))</f>
        <v/>
      </c>
      <c r="T388" s="525" t="str">
        <f>IF(ISERROR(FIND('112'!$M$9,G388,1)),"",IF((AND(RIGHT(G388,2)=RIGHT('112'!$M$9,2),B388&lt;'112'!$N$8,$M388='112'!$I$6)),"x",""))</f>
        <v/>
      </c>
      <c r="U388" s="525" t="str">
        <f>IF(AND(B388&gt;='IN-NX'!$P$3,B388&lt;='IN-NX'!$Q$3,'IN-NX'!$D$7=D388,OR(LEFT(L388,2)="15",AND(LEFT(M388,2)&lt;&gt;"15",LEFT(M388,2)&lt;&gt;"33"))),"x","")</f>
        <v/>
      </c>
      <c r="V388" s="525" t="str">
        <f>IF(AND(OR(LEFT(TH!L388,2)="15",LEFT(TH!M388,2)="15"),'152-CT'!$J$8=TH!F388),"x","")</f>
        <v/>
      </c>
      <c r="W388" s="525" t="str">
        <f>IF(AND(OR(LEFT(TH!L388,2)="15",LEFT(TH!M388,2)="15"),TK!$E$7=TH!F388),"x","")</f>
        <v/>
      </c>
      <c r="X388" s="525" t="str">
        <f>IF(AND('341-CT'!$E$9=H388,OR(LEFT(L388,3)=$X$7,LEFT(M388,3)=$X$7)),"x","")</f>
        <v/>
      </c>
      <c r="Y388" s="525" t="str">
        <f>IF(OR(TH!L388=TH!$Y$7,M388=TH!$Y$7),"x","")</f>
        <v/>
      </c>
      <c r="Z388" s="525" t="str">
        <f>IF(AND(B388&lt;=NKC!$N$8,B388&gt;=NKC!$M$8),"x","")</f>
        <v/>
      </c>
      <c r="AA388" s="535"/>
    </row>
    <row r="389" spans="1:27" s="503" customFormat="1" ht="15.75" customHeight="1">
      <c r="A389" s="517" t="str">
        <f>IF(B389&lt;&gt;"",IF(AND(B389&gt;=_TM1,B389&lt;=_TM2,OR(TH!L389="1111",TH!M389="1111")),TH!D389,""),"")</f>
        <v/>
      </c>
      <c r="B389" s="531">
        <f t="shared" si="43"/>
        <v>9</v>
      </c>
      <c r="C389" s="315">
        <f t="shared" si="44"/>
        <v>43004</v>
      </c>
      <c r="D389" s="315" t="s">
        <v>461</v>
      </c>
      <c r="E389" s="288">
        <v>43004</v>
      </c>
      <c r="F389" s="248" t="s">
        <v>457</v>
      </c>
      <c r="G389" s="314" t="s">
        <v>290</v>
      </c>
      <c r="H389" s="248" t="s">
        <v>1374</v>
      </c>
      <c r="I389" s="284"/>
      <c r="J389" s="284"/>
      <c r="K389" s="532">
        <v>6100000</v>
      </c>
      <c r="L389" s="533" t="s">
        <v>24</v>
      </c>
      <c r="M389" s="533" t="s">
        <v>223</v>
      </c>
      <c r="N389" s="525" t="str">
        <f>IF(AND('331-CT'!$E$7=TH!H389,OR(L389="331",M389="331")),"331",IF(AND(OR(L389="131",M389="131"),H389='131-CT'!$E$7),"131",""))</f>
        <v/>
      </c>
      <c r="O389" s="525" t="str">
        <f>IF(AND($B389&gt;='111'!$N$11,$B389&lt;='111'!$O$11,OR($L389=$O$7,$M389=$O$7)),"x","")</f>
        <v/>
      </c>
      <c r="P389" s="525" t="str">
        <f>IF(AND($L389=$O$7,$B389&lt;'111'!$N$11),"x","")</f>
        <v/>
      </c>
      <c r="Q389" s="525" t="str">
        <f>IF(AND($M389=$O$7,$B389&lt;'111'!$N$11),"x","")</f>
        <v/>
      </c>
      <c r="R389" s="525" t="str">
        <f>IF(ISERROR(FIND('112'!$M$9,G389,1)),"",IF((AND(FIND('112'!$M$9,G389,1)&gt;=1,$B389&gt;='112'!$N$8,$B389&lt;='112'!$O$8,OR($L389='112'!$I$6,$M389='112'!$I$6))),"x",""))</f>
        <v/>
      </c>
      <c r="S389" s="525" t="str">
        <f>IF(ISERROR(FIND('112'!$M$9,G389,1)),"",IF((AND(LEFT(G389,2)=LEFT('112'!$M$9,2),B389&lt;'112'!$N$8,$L389='112'!$I$6)),"x",""))</f>
        <v/>
      </c>
      <c r="T389" s="525" t="str">
        <f>IF(ISERROR(FIND('112'!$M$9,G389,1)),"",IF((AND(RIGHT(G389,2)=RIGHT('112'!$M$9,2),B389&lt;'112'!$N$8,$M389='112'!$I$6)),"x",""))</f>
        <v/>
      </c>
      <c r="U389" s="525" t="str">
        <f>IF(AND(B389&gt;='IN-NX'!$P$3,B389&lt;='IN-NX'!$Q$3,'IN-NX'!$D$7=D389,OR(LEFT(L389,2)="15",AND(LEFT(M389,2)&lt;&gt;"15",LEFT(M389,2)&lt;&gt;"33"))),"x","")</f>
        <v/>
      </c>
      <c r="V389" s="525" t="str">
        <f>IF(AND(OR(LEFT(TH!L389,2)="15",LEFT(TH!M389,2)="15"),'152-CT'!$J$8=TH!F389),"x","")</f>
        <v/>
      </c>
      <c r="W389" s="525" t="str">
        <f>IF(AND(OR(LEFT(TH!L389,2)="15",LEFT(TH!M389,2)="15"),TK!$E$7=TH!F389),"x","")</f>
        <v/>
      </c>
      <c r="X389" s="525" t="str">
        <f>IF(AND('341-CT'!$E$9=H389,OR(LEFT(L389,3)=$X$7,LEFT(M389,3)=$X$7)),"x","")</f>
        <v/>
      </c>
      <c r="Y389" s="525" t="str">
        <f>IF(OR(TH!L389=TH!$Y$7,M389=TH!$Y$7),"x","")</f>
        <v/>
      </c>
      <c r="Z389" s="525" t="str">
        <f>IF(AND(B389&lt;=NKC!$N$8,B389&gt;=NKC!$M$8),"x","")</f>
        <v/>
      </c>
      <c r="AA389" s="535"/>
    </row>
    <row r="390" spans="1:27" s="503" customFormat="1" ht="15.75" customHeight="1">
      <c r="A390" s="517" t="str">
        <f>IF(B390&lt;&gt;"",IF(AND(B390&gt;=_TM1,B390&lt;=_TM2,OR(TH!L390="1111",TH!M390="1111")),TH!D390,""),"")</f>
        <v/>
      </c>
      <c r="B390" s="531">
        <f t="shared" ref="B390:B397" si="45">IF(C390&lt;&gt;"",MONTH(C390),"")</f>
        <v>9</v>
      </c>
      <c r="C390" s="315">
        <f t="shared" ref="C390:C397" si="46">E390</f>
        <v>42981</v>
      </c>
      <c r="D390" s="315" t="s">
        <v>461</v>
      </c>
      <c r="E390" s="288">
        <v>42981</v>
      </c>
      <c r="F390" s="249" t="s">
        <v>469</v>
      </c>
      <c r="G390" s="314" t="s">
        <v>290</v>
      </c>
      <c r="H390" s="472"/>
      <c r="I390" s="307"/>
      <c r="J390" s="307"/>
      <c r="K390" s="532">
        <v>50000</v>
      </c>
      <c r="L390" s="533" t="s">
        <v>81</v>
      </c>
      <c r="M390" s="533" t="s">
        <v>24</v>
      </c>
      <c r="N390" s="525" t="str">
        <f>IF(AND('331-CT'!$E$7=TH!H390,OR(L390="331",M390="331")),"331",IF(AND(OR(L390="131",M390="131"),H390='131-CT'!$E$7),"131",""))</f>
        <v/>
      </c>
      <c r="O390" s="525" t="str">
        <f>IF(AND($B390&gt;='111'!$N$11,$B390&lt;='111'!$O$11,OR($L390=$O$7,$M390=$O$7)),"x","")</f>
        <v/>
      </c>
      <c r="P390" s="525" t="str">
        <f>IF(AND($L390=$O$7,$B390&lt;'111'!$N$11),"x","")</f>
        <v/>
      </c>
      <c r="Q390" s="525" t="str">
        <f>IF(AND($M390=$O$7,$B390&lt;'111'!$N$11),"x","")</f>
        <v/>
      </c>
      <c r="R390" s="525" t="str">
        <f>IF(ISERROR(FIND('112'!$M$9,G390,1)),"",IF((AND(FIND('112'!$M$9,G390,1)&gt;=1,$B390&gt;='112'!$N$8,$B390&lt;='112'!$O$8,OR($L390='112'!$I$6,$M390='112'!$I$6))),"x",""))</f>
        <v/>
      </c>
      <c r="S390" s="525" t="str">
        <f>IF(ISERROR(FIND('112'!$M$9,G390,1)),"",IF((AND(LEFT(G390,2)=LEFT('112'!$M$9,2),B390&lt;'112'!$N$8,$L390='112'!$I$6)),"x",""))</f>
        <v/>
      </c>
      <c r="T390" s="525" t="str">
        <f>IF(ISERROR(FIND('112'!$M$9,G390,1)),"",IF((AND(RIGHT(G390,2)=RIGHT('112'!$M$9,2),B390&lt;'112'!$N$8,$M390='112'!$I$6)),"x",""))</f>
        <v/>
      </c>
      <c r="U390" s="525" t="str">
        <f>IF(AND(B390&gt;='IN-NX'!$P$3,B390&lt;='IN-NX'!$Q$3,'IN-NX'!$D$7=D390,OR(LEFT(L390,2)="15",AND(LEFT(M390,2)&lt;&gt;"15",LEFT(M390,2)&lt;&gt;"33"))),"x","")</f>
        <v/>
      </c>
      <c r="V390" s="525" t="str">
        <f>IF(AND(OR(LEFT(TH!L390,2)="15",LEFT(TH!M390,2)="15"),'152-CT'!$J$8=TH!F390),"x","")</f>
        <v/>
      </c>
      <c r="W390" s="525" t="str">
        <f>IF(AND(OR(LEFT(TH!L390,2)="15",LEFT(TH!M390,2)="15"),TK!$E$7=TH!F390),"x","")</f>
        <v/>
      </c>
      <c r="X390" s="525" t="str">
        <f>IF(AND('341-CT'!$E$9=H390,OR(LEFT(L390,3)=$X$7,LEFT(M390,3)=$X$7)),"x","")</f>
        <v/>
      </c>
      <c r="Y390" s="525" t="str">
        <f>IF(OR(TH!L390=TH!$Y$7,M390=TH!$Y$7),"x","")</f>
        <v/>
      </c>
      <c r="Z390" s="525" t="str">
        <f>IF(AND(B390&lt;=NKC!$N$8,B390&gt;=NKC!$M$8),"x","")</f>
        <v/>
      </c>
      <c r="AA390" s="535">
        <v>3</v>
      </c>
    </row>
    <row r="391" spans="1:27" s="503" customFormat="1" ht="15.75" customHeight="1">
      <c r="A391" s="517" t="str">
        <f>IF(B391&lt;&gt;"",IF(AND(B391&gt;=_TM1,B391&lt;=_TM2,OR(TH!L391="1111",TH!M391="1111")),TH!D391,""),"")</f>
        <v/>
      </c>
      <c r="B391" s="531">
        <f t="shared" si="45"/>
        <v>9</v>
      </c>
      <c r="C391" s="315">
        <f t="shared" si="46"/>
        <v>42981</v>
      </c>
      <c r="D391" s="315" t="s">
        <v>461</v>
      </c>
      <c r="E391" s="288">
        <v>42981</v>
      </c>
      <c r="F391" s="249" t="s">
        <v>470</v>
      </c>
      <c r="G391" s="314" t="s">
        <v>290</v>
      </c>
      <c r="H391" s="473"/>
      <c r="I391" s="307"/>
      <c r="J391" s="307"/>
      <c r="K391" s="532">
        <v>5000</v>
      </c>
      <c r="L391" s="533" t="s">
        <v>9</v>
      </c>
      <c r="M391" s="533" t="s">
        <v>24</v>
      </c>
      <c r="N391" s="525" t="str">
        <f>IF(AND('331-CT'!$E$7=TH!H391,OR(L391="331",M391="331")),"331",IF(AND(OR(L391="131",M391="131"),H391='131-CT'!$E$7),"131",""))</f>
        <v/>
      </c>
      <c r="O391" s="525" t="str">
        <f>IF(AND($B391&gt;='111'!$N$11,$B391&lt;='111'!$O$11,OR($L391=$O$7,$M391=$O$7)),"x","")</f>
        <v/>
      </c>
      <c r="P391" s="525" t="str">
        <f>IF(AND($L391=$O$7,$B391&lt;'111'!$N$11),"x","")</f>
        <v/>
      </c>
      <c r="Q391" s="525" t="str">
        <f>IF(AND($M391=$O$7,$B391&lt;'111'!$N$11),"x","")</f>
        <v/>
      </c>
      <c r="R391" s="525" t="str">
        <f>IF(ISERROR(FIND('112'!$M$9,G391,1)),"",IF((AND(FIND('112'!$M$9,G391,1)&gt;=1,$B391&gt;='112'!$N$8,$B391&lt;='112'!$O$8,OR($L391='112'!$I$6,$M391='112'!$I$6))),"x",""))</f>
        <v/>
      </c>
      <c r="S391" s="525" t="str">
        <f>IF(ISERROR(FIND('112'!$M$9,G391,1)),"",IF((AND(LEFT(G391,2)=LEFT('112'!$M$9,2),B391&lt;'112'!$N$8,$L391='112'!$I$6)),"x",""))</f>
        <v/>
      </c>
      <c r="T391" s="525" t="str">
        <f>IF(ISERROR(FIND('112'!$M$9,G391,1)),"",IF((AND(RIGHT(G391,2)=RIGHT('112'!$M$9,2),B391&lt;'112'!$N$8,$M391='112'!$I$6)),"x",""))</f>
        <v/>
      </c>
      <c r="U391" s="525" t="str">
        <f>IF(AND(B391&gt;='IN-NX'!$P$3,B391&lt;='IN-NX'!$Q$3,'IN-NX'!$D$7=D391,OR(LEFT(L391,2)="15",AND(LEFT(M391,2)&lt;&gt;"15",LEFT(M391,2)&lt;&gt;"33"))),"x","")</f>
        <v/>
      </c>
      <c r="V391" s="525" t="str">
        <f>IF(AND(OR(LEFT(TH!L391,2)="15",LEFT(TH!M391,2)="15"),'152-CT'!$J$8=TH!F391),"x","")</f>
        <v/>
      </c>
      <c r="W391" s="525" t="str">
        <f>IF(AND(OR(LEFT(TH!L391,2)="15",LEFT(TH!M391,2)="15"),TK!$E$7=TH!F391),"x","")</f>
        <v/>
      </c>
      <c r="X391" s="525" t="str">
        <f>IF(AND('341-CT'!$E$9=H391,OR(LEFT(L391,3)=$X$7,LEFT(M391,3)=$X$7)),"x","")</f>
        <v/>
      </c>
      <c r="Y391" s="525" t="str">
        <f>IF(OR(TH!L391=TH!$Y$7,M391=TH!$Y$7),"x","")</f>
        <v/>
      </c>
      <c r="Z391" s="525" t="str">
        <f>IF(AND(B391&lt;=NKC!$N$8,B391&gt;=NKC!$M$8),"x","")</f>
        <v/>
      </c>
      <c r="AA391" s="535">
        <v>3</v>
      </c>
    </row>
    <row r="392" spans="1:27" s="503" customFormat="1" ht="15.75" customHeight="1">
      <c r="A392" s="517" t="str">
        <f>IF(B392&lt;&gt;"",IF(AND(B392&gt;=_TM1,B392&lt;=_TM2,OR(TH!L392="1111",TH!M392="1111")),TH!D392,""),"")</f>
        <v/>
      </c>
      <c r="B392" s="531">
        <f t="shared" si="45"/>
        <v>9</v>
      </c>
      <c r="C392" s="315">
        <f t="shared" si="46"/>
        <v>42983</v>
      </c>
      <c r="D392" s="315" t="s">
        <v>461</v>
      </c>
      <c r="E392" s="288">
        <v>42983</v>
      </c>
      <c r="F392" s="249" t="s">
        <v>465</v>
      </c>
      <c r="G392" s="314" t="s">
        <v>290</v>
      </c>
      <c r="H392" s="473" t="s">
        <v>460</v>
      </c>
      <c r="I392" s="307"/>
      <c r="J392" s="307"/>
      <c r="K392" s="532">
        <v>16000000</v>
      </c>
      <c r="L392" s="533" t="s">
        <v>45</v>
      </c>
      <c r="M392" s="533" t="s">
        <v>24</v>
      </c>
      <c r="N392" s="525" t="str">
        <f>IF(AND('331-CT'!$E$7=TH!H392,OR(L392="331",M392="331")),"331",IF(AND(OR(L392="131",M392="131"),H392='131-CT'!$E$7),"131",""))</f>
        <v/>
      </c>
      <c r="O392" s="525" t="str">
        <f>IF(AND($B392&gt;='111'!$N$11,$B392&lt;='111'!$O$11,OR($L392=$O$7,$M392=$O$7)),"x","")</f>
        <v/>
      </c>
      <c r="P392" s="525" t="str">
        <f>IF(AND($L392=$O$7,$B392&lt;'111'!$N$11),"x","")</f>
        <v>x</v>
      </c>
      <c r="Q392" s="525" t="str">
        <f>IF(AND($M392=$O$7,$B392&lt;'111'!$N$11),"x","")</f>
        <v/>
      </c>
      <c r="R392" s="525" t="str">
        <f>IF(ISERROR(FIND('112'!$M$9,G392,1)),"",IF((AND(FIND('112'!$M$9,G392,1)&gt;=1,$B392&gt;='112'!$N$8,$B392&lt;='112'!$O$8,OR($L392='112'!$I$6,$M392='112'!$I$6))),"x",""))</f>
        <v/>
      </c>
      <c r="S392" s="525" t="str">
        <f>IF(ISERROR(FIND('112'!$M$9,G392,1)),"",IF((AND(LEFT(G392,2)=LEFT('112'!$M$9,2),B392&lt;'112'!$N$8,$L392='112'!$I$6)),"x",""))</f>
        <v/>
      </c>
      <c r="T392" s="525" t="str">
        <f>IF(ISERROR(FIND('112'!$M$9,G392,1)),"",IF((AND(RIGHT(G392,2)=RIGHT('112'!$M$9,2),B392&lt;'112'!$N$8,$M392='112'!$I$6)),"x",""))</f>
        <v/>
      </c>
      <c r="U392" s="525" t="str">
        <f>IF(AND(B392&gt;='IN-NX'!$P$3,B392&lt;='IN-NX'!$Q$3,'IN-NX'!$D$7=D392,OR(LEFT(L392,2)="15",AND(LEFT(M392,2)&lt;&gt;"15",LEFT(M392,2)&lt;&gt;"33"))),"x","")</f>
        <v/>
      </c>
      <c r="V392" s="525" t="str">
        <f>IF(AND(OR(LEFT(TH!L392,2)="15",LEFT(TH!M392,2)="15"),'152-CT'!$J$8=TH!F392),"x","")</f>
        <v/>
      </c>
      <c r="W392" s="525" t="str">
        <f>IF(AND(OR(LEFT(TH!L392,2)="15",LEFT(TH!M392,2)="15"),TK!$E$7=TH!F392),"x","")</f>
        <v/>
      </c>
      <c r="X392" s="525" t="str">
        <f>IF(AND('341-CT'!$E$9=H392,OR(LEFT(L392,3)=$X$7,LEFT(M392,3)=$X$7)),"x","")</f>
        <v/>
      </c>
      <c r="Y392" s="525" t="str">
        <f>IF(OR(TH!L392=TH!$Y$7,M392=TH!$Y$7),"x","")</f>
        <v/>
      </c>
      <c r="Z392" s="525" t="str">
        <f>IF(AND(B392&lt;=NKC!$N$8,B392&gt;=NKC!$M$8),"x","")</f>
        <v/>
      </c>
      <c r="AA392" s="535"/>
    </row>
    <row r="393" spans="1:27" s="503" customFormat="1" ht="15.75" customHeight="1">
      <c r="A393" s="517" t="str">
        <f>IF(B393&lt;&gt;"",IF(AND(B393&gt;=_TM1,B393&lt;=_TM2,OR(TH!L393="1111",TH!M393="1111")),TH!D393,""),"")</f>
        <v/>
      </c>
      <c r="B393" s="531">
        <f t="shared" si="45"/>
        <v>9</v>
      </c>
      <c r="C393" s="315">
        <f t="shared" si="46"/>
        <v>42986</v>
      </c>
      <c r="D393" s="315" t="s">
        <v>461</v>
      </c>
      <c r="E393" s="288">
        <v>42986</v>
      </c>
      <c r="F393" s="249" t="s">
        <v>465</v>
      </c>
      <c r="G393" s="314" t="s">
        <v>290</v>
      </c>
      <c r="H393" s="473" t="s">
        <v>460</v>
      </c>
      <c r="I393" s="284"/>
      <c r="J393" s="284"/>
      <c r="K393" s="532">
        <v>47500000</v>
      </c>
      <c r="L393" s="533" t="s">
        <v>45</v>
      </c>
      <c r="M393" s="533" t="s">
        <v>24</v>
      </c>
      <c r="N393" s="525" t="str">
        <f>IF(AND('331-CT'!$E$7=TH!H393,OR(L393="331",M393="331")),"331",IF(AND(OR(L393="131",M393="131"),H393='131-CT'!$E$7),"131",""))</f>
        <v/>
      </c>
      <c r="O393" s="525" t="str">
        <f>IF(AND($B393&gt;='111'!$N$11,$B393&lt;='111'!$O$11,OR($L393=$O$7,$M393=$O$7)),"x","")</f>
        <v/>
      </c>
      <c r="P393" s="525" t="str">
        <f>IF(AND($L393=$O$7,$B393&lt;'111'!$N$11),"x","")</f>
        <v>x</v>
      </c>
      <c r="Q393" s="525" t="str">
        <f>IF(AND($M393=$O$7,$B393&lt;'111'!$N$11),"x","")</f>
        <v/>
      </c>
      <c r="R393" s="525" t="str">
        <f>IF(ISERROR(FIND('112'!$M$9,G393,1)),"",IF((AND(FIND('112'!$M$9,G393,1)&gt;=1,$B393&gt;='112'!$N$8,$B393&lt;='112'!$O$8,OR($L393='112'!$I$6,$M393='112'!$I$6))),"x",""))</f>
        <v/>
      </c>
      <c r="S393" s="525" t="str">
        <f>IF(ISERROR(FIND('112'!$M$9,G393,1)),"",IF((AND(LEFT(G393,2)=LEFT('112'!$M$9,2),B393&lt;'112'!$N$8,$L393='112'!$I$6)),"x",""))</f>
        <v/>
      </c>
      <c r="T393" s="525" t="str">
        <f>IF(ISERROR(FIND('112'!$M$9,G393,1)),"",IF((AND(RIGHT(G393,2)=RIGHT('112'!$M$9,2),B393&lt;'112'!$N$8,$M393='112'!$I$6)),"x",""))</f>
        <v/>
      </c>
      <c r="U393" s="525" t="str">
        <f>IF(AND(B393&gt;='IN-NX'!$P$3,B393&lt;='IN-NX'!$Q$3,'IN-NX'!$D$7=D393,OR(LEFT(L393,2)="15",AND(LEFT(M393,2)&lt;&gt;"15",LEFT(M393,2)&lt;&gt;"33"))),"x","")</f>
        <v/>
      </c>
      <c r="V393" s="525" t="str">
        <f>IF(AND(OR(LEFT(TH!L393,2)="15",LEFT(TH!M393,2)="15"),'152-CT'!$J$8=TH!F393),"x","")</f>
        <v/>
      </c>
      <c r="W393" s="525" t="str">
        <f>IF(AND(OR(LEFT(TH!L393,2)="15",LEFT(TH!M393,2)="15"),TK!$E$7=TH!F393),"x","")</f>
        <v/>
      </c>
      <c r="X393" s="525" t="str">
        <f>IF(AND('341-CT'!$E$9=H393,OR(LEFT(L393,3)=$X$7,LEFT(M393,3)=$X$7)),"x","")</f>
        <v/>
      </c>
      <c r="Y393" s="525" t="str">
        <f>IF(OR(TH!L393=TH!$Y$7,M393=TH!$Y$7),"x","")</f>
        <v/>
      </c>
      <c r="Z393" s="525" t="str">
        <f>IF(AND(B393&lt;=NKC!$N$8,B393&gt;=NKC!$M$8),"x","")</f>
        <v/>
      </c>
      <c r="AA393" s="535"/>
    </row>
    <row r="394" spans="1:27" s="503" customFormat="1" ht="15.75" customHeight="1">
      <c r="A394" s="517" t="str">
        <f>IF(B394&lt;&gt;"",IF(AND(B394&gt;=_TM1,B394&lt;=_TM2,OR(TH!L394="1111",TH!M394="1111")),TH!D394,""),"")</f>
        <v/>
      </c>
      <c r="B394" s="531">
        <f t="shared" si="45"/>
        <v>9</v>
      </c>
      <c r="C394" s="315">
        <f t="shared" si="46"/>
        <v>42986</v>
      </c>
      <c r="D394" s="315" t="s">
        <v>461</v>
      </c>
      <c r="E394" s="288">
        <v>42986</v>
      </c>
      <c r="F394" s="248" t="s">
        <v>468</v>
      </c>
      <c r="G394" s="314" t="s">
        <v>290</v>
      </c>
      <c r="H394" s="473" t="s">
        <v>270</v>
      </c>
      <c r="I394" s="307"/>
      <c r="J394" s="307"/>
      <c r="K394" s="532">
        <v>10000000</v>
      </c>
      <c r="L394" s="533" t="s">
        <v>8</v>
      </c>
      <c r="M394" s="533" t="s">
        <v>24</v>
      </c>
      <c r="N394" s="525" t="str">
        <f>IF(AND('331-CT'!$E$7=TH!H394,OR(L394="331",M394="331")),"331",IF(AND(OR(L394="131",M394="131"),H394='131-CT'!$E$7),"131",""))</f>
        <v/>
      </c>
      <c r="O394" s="525" t="str">
        <f>IF(AND($B394&gt;='111'!$N$11,$B394&lt;='111'!$O$11,OR($L394=$O$7,$M394=$O$7)),"x","")</f>
        <v/>
      </c>
      <c r="P394" s="525" t="str">
        <f>IF(AND($L394=$O$7,$B394&lt;'111'!$N$11),"x","")</f>
        <v/>
      </c>
      <c r="Q394" s="525" t="str">
        <f>IF(AND($M394=$O$7,$B394&lt;'111'!$N$11),"x","")</f>
        <v/>
      </c>
      <c r="R394" s="525" t="str">
        <f>IF(ISERROR(FIND('112'!$M$9,G394,1)),"",IF((AND(FIND('112'!$M$9,G394,1)&gt;=1,$B394&gt;='112'!$N$8,$B394&lt;='112'!$O$8,OR($L394='112'!$I$6,$M394='112'!$I$6))),"x",""))</f>
        <v/>
      </c>
      <c r="S394" s="525" t="str">
        <f>IF(ISERROR(FIND('112'!$M$9,G394,1)),"",IF((AND(LEFT(G394,2)=LEFT('112'!$M$9,2),B394&lt;'112'!$N$8,$L394='112'!$I$6)),"x",""))</f>
        <v/>
      </c>
      <c r="T394" s="525" t="str">
        <f>IF(ISERROR(FIND('112'!$M$9,G394,1)),"",IF((AND(RIGHT(G394,2)=RIGHT('112'!$M$9,2),B394&lt;'112'!$N$8,$M394='112'!$I$6)),"x",""))</f>
        <v/>
      </c>
      <c r="U394" s="525" t="str">
        <f>IF(AND(B394&gt;='IN-NX'!$P$3,B394&lt;='IN-NX'!$Q$3,'IN-NX'!$D$7=D394,OR(LEFT(L394,2)="15",AND(LEFT(M394,2)&lt;&gt;"15",LEFT(M394,2)&lt;&gt;"33"))),"x","")</f>
        <v/>
      </c>
      <c r="V394" s="525" t="str">
        <f>IF(AND(OR(LEFT(TH!L394,2)="15",LEFT(TH!M394,2)="15"),'152-CT'!$J$8=TH!F394),"x","")</f>
        <v/>
      </c>
      <c r="W394" s="525" t="str">
        <f>IF(AND(OR(LEFT(TH!L394,2)="15",LEFT(TH!M394,2)="15"),TK!$E$7=TH!F394),"x","")</f>
        <v/>
      </c>
      <c r="X394" s="525" t="str">
        <f>IF(AND('341-CT'!$E$9=H394,OR(LEFT(L394,3)=$X$7,LEFT(M394,3)=$X$7)),"x","")</f>
        <v/>
      </c>
      <c r="Y394" s="525" t="str">
        <f>IF(OR(TH!L394=TH!$Y$7,M394=TH!$Y$7),"x","")</f>
        <v/>
      </c>
      <c r="Z394" s="525" t="str">
        <f>IF(AND(B394&lt;=NKC!$N$8,B394&gt;=NKC!$M$8),"x","")</f>
        <v/>
      </c>
      <c r="AA394" s="535"/>
    </row>
    <row r="395" spans="1:27" s="503" customFormat="1" ht="15.75" customHeight="1">
      <c r="A395" s="517" t="str">
        <f>IF(B395&lt;&gt;"",IF(AND(B395&gt;=_TM1,B395&lt;=_TM2,OR(TH!L395="1111",TH!M395="1111")),TH!D395,""),"")</f>
        <v/>
      </c>
      <c r="B395" s="531">
        <f t="shared" si="45"/>
        <v>9</v>
      </c>
      <c r="C395" s="315">
        <f t="shared" si="46"/>
        <v>42986</v>
      </c>
      <c r="D395" s="315" t="s">
        <v>461</v>
      </c>
      <c r="E395" s="288">
        <v>42986</v>
      </c>
      <c r="F395" s="248" t="s">
        <v>463</v>
      </c>
      <c r="G395" s="314" t="s">
        <v>290</v>
      </c>
      <c r="H395" s="472"/>
      <c r="I395" s="307"/>
      <c r="J395" s="307"/>
      <c r="K395" s="532">
        <v>20000</v>
      </c>
      <c r="L395" s="533" t="s">
        <v>81</v>
      </c>
      <c r="M395" s="533" t="s">
        <v>24</v>
      </c>
      <c r="N395" s="525" t="str">
        <f>IF(AND('331-CT'!$E$7=TH!H395,OR(L395="331",M395="331")),"331",IF(AND(OR(L395="131",M395="131"),H395='131-CT'!$E$7),"131",""))</f>
        <v/>
      </c>
      <c r="O395" s="525" t="str">
        <f>IF(AND($B395&gt;='111'!$N$11,$B395&lt;='111'!$O$11,OR($L395=$O$7,$M395=$O$7)),"x","")</f>
        <v/>
      </c>
      <c r="P395" s="525" t="str">
        <f>IF(AND($L395=$O$7,$B395&lt;'111'!$N$11),"x","")</f>
        <v/>
      </c>
      <c r="Q395" s="525" t="str">
        <f>IF(AND($M395=$O$7,$B395&lt;'111'!$N$11),"x","")</f>
        <v/>
      </c>
      <c r="R395" s="525" t="str">
        <f>IF(ISERROR(FIND('112'!$M$9,G395,1)),"",IF((AND(FIND('112'!$M$9,G395,1)&gt;=1,$B395&gt;='112'!$N$8,$B395&lt;='112'!$O$8,OR($L395='112'!$I$6,$M395='112'!$I$6))),"x",""))</f>
        <v/>
      </c>
      <c r="S395" s="525" t="str">
        <f>IF(ISERROR(FIND('112'!$M$9,G395,1)),"",IF((AND(LEFT(G395,2)=LEFT('112'!$M$9,2),B395&lt;'112'!$N$8,$L395='112'!$I$6)),"x",""))</f>
        <v/>
      </c>
      <c r="T395" s="525" t="str">
        <f>IF(ISERROR(FIND('112'!$M$9,G395,1)),"",IF((AND(RIGHT(G395,2)=RIGHT('112'!$M$9,2),B395&lt;'112'!$N$8,$M395='112'!$I$6)),"x",""))</f>
        <v/>
      </c>
      <c r="U395" s="525" t="str">
        <f>IF(AND(B395&gt;='IN-NX'!$P$3,B395&lt;='IN-NX'!$Q$3,'IN-NX'!$D$7=D395,OR(LEFT(L395,2)="15",AND(LEFT(M395,2)&lt;&gt;"15",LEFT(M395,2)&lt;&gt;"33"))),"x","")</f>
        <v/>
      </c>
      <c r="V395" s="525" t="str">
        <f>IF(AND(OR(LEFT(TH!L395,2)="15",LEFT(TH!M395,2)="15"),'152-CT'!$J$8=TH!F395),"x","")</f>
        <v/>
      </c>
      <c r="W395" s="525" t="str">
        <f>IF(AND(OR(LEFT(TH!L395,2)="15",LEFT(TH!M395,2)="15"),TK!$E$7=TH!F395),"x","")</f>
        <v/>
      </c>
      <c r="X395" s="525" t="str">
        <f>IF(AND('341-CT'!$E$9=H395,OR(LEFT(L395,3)=$X$7,LEFT(M395,3)=$X$7)),"x","")</f>
        <v/>
      </c>
      <c r="Y395" s="525" t="str">
        <f>IF(OR(TH!L395=TH!$Y$7,M395=TH!$Y$7),"x","")</f>
        <v/>
      </c>
      <c r="Z395" s="525" t="str">
        <f>IF(AND(B395&lt;=NKC!$N$8,B395&gt;=NKC!$M$8),"x","")</f>
        <v/>
      </c>
      <c r="AA395" s="535">
        <v>3</v>
      </c>
    </row>
    <row r="396" spans="1:27" s="503" customFormat="1" ht="15.75" customHeight="1">
      <c r="A396" s="517" t="str">
        <f>IF(B396&lt;&gt;"",IF(AND(B396&gt;=_TM1,B396&lt;=_TM2,OR(TH!L396="1111",TH!M396="1111")),TH!D396,""),"")</f>
        <v/>
      </c>
      <c r="B396" s="531">
        <f t="shared" si="45"/>
        <v>9</v>
      </c>
      <c r="C396" s="315">
        <f t="shared" si="46"/>
        <v>42986</v>
      </c>
      <c r="D396" s="315" t="s">
        <v>461</v>
      </c>
      <c r="E396" s="288">
        <v>42986</v>
      </c>
      <c r="F396" s="248" t="s">
        <v>464</v>
      </c>
      <c r="G396" s="314" t="s">
        <v>290</v>
      </c>
      <c r="H396" s="472"/>
      <c r="I396" s="307"/>
      <c r="J396" s="307"/>
      <c r="K396" s="532">
        <v>2000</v>
      </c>
      <c r="L396" s="533" t="s">
        <v>9</v>
      </c>
      <c r="M396" s="533" t="s">
        <v>24</v>
      </c>
      <c r="N396" s="525" t="str">
        <f>IF(AND('331-CT'!$E$7=TH!H396,OR(L396="331",M396="331")),"331",IF(AND(OR(L396="131",M396="131"),H396='131-CT'!$E$7),"131",""))</f>
        <v/>
      </c>
      <c r="O396" s="525" t="str">
        <f>IF(AND($B396&gt;='111'!$N$11,$B396&lt;='111'!$O$11,OR($L396=$O$7,$M396=$O$7)),"x","")</f>
        <v/>
      </c>
      <c r="P396" s="525" t="str">
        <f>IF(AND($L396=$O$7,$B396&lt;'111'!$N$11),"x","")</f>
        <v/>
      </c>
      <c r="Q396" s="525" t="str">
        <f>IF(AND($M396=$O$7,$B396&lt;'111'!$N$11),"x","")</f>
        <v/>
      </c>
      <c r="R396" s="525" t="str">
        <f>IF(ISERROR(FIND('112'!$M$9,G396,1)),"",IF((AND(FIND('112'!$M$9,G396,1)&gt;=1,$B396&gt;='112'!$N$8,$B396&lt;='112'!$O$8,OR($L396='112'!$I$6,$M396='112'!$I$6))),"x",""))</f>
        <v/>
      </c>
      <c r="S396" s="525" t="str">
        <f>IF(ISERROR(FIND('112'!$M$9,G396,1)),"",IF((AND(LEFT(G396,2)=LEFT('112'!$M$9,2),B396&lt;'112'!$N$8,$L396='112'!$I$6)),"x",""))</f>
        <v/>
      </c>
      <c r="T396" s="525" t="str">
        <f>IF(ISERROR(FIND('112'!$M$9,G396,1)),"",IF((AND(RIGHT(G396,2)=RIGHT('112'!$M$9,2),B396&lt;'112'!$N$8,$M396='112'!$I$6)),"x",""))</f>
        <v/>
      </c>
      <c r="U396" s="525" t="str">
        <f>IF(AND(B396&gt;='IN-NX'!$P$3,B396&lt;='IN-NX'!$Q$3,'IN-NX'!$D$7=D396,OR(LEFT(L396,2)="15",AND(LEFT(M396,2)&lt;&gt;"15",LEFT(M396,2)&lt;&gt;"33"))),"x","")</f>
        <v/>
      </c>
      <c r="V396" s="525" t="str">
        <f>IF(AND(OR(LEFT(TH!L396,2)="15",LEFT(TH!M396,2)="15"),'152-CT'!$J$8=TH!F396),"x","")</f>
        <v/>
      </c>
      <c r="W396" s="525" t="str">
        <f>IF(AND(OR(LEFT(TH!L396,2)="15",LEFT(TH!M396,2)="15"),TK!$E$7=TH!F396),"x","")</f>
        <v/>
      </c>
      <c r="X396" s="525" t="str">
        <f>IF(AND('341-CT'!$E$9=H396,OR(LEFT(L396,3)=$X$7,LEFT(M396,3)=$X$7)),"x","")</f>
        <v/>
      </c>
      <c r="Y396" s="525" t="str">
        <f>IF(OR(TH!L396=TH!$Y$7,M396=TH!$Y$7),"x","")</f>
        <v/>
      </c>
      <c r="Z396" s="525" t="str">
        <f>IF(AND(B396&lt;=NKC!$N$8,B396&gt;=NKC!$M$8),"x","")</f>
        <v/>
      </c>
      <c r="AA396" s="535">
        <v>3</v>
      </c>
    </row>
    <row r="397" spans="1:27" s="503" customFormat="1" ht="15.75" customHeight="1">
      <c r="A397" s="517" t="str">
        <f>IF(B397&lt;&gt;"",IF(AND(B397&gt;=_TM1,B397&lt;=_TM2,OR(TH!L397="1111",TH!M397="1111")),TH!D397,""),"")</f>
        <v/>
      </c>
      <c r="B397" s="531">
        <f t="shared" si="45"/>
        <v>9</v>
      </c>
      <c r="C397" s="315">
        <f t="shared" si="46"/>
        <v>42988</v>
      </c>
      <c r="D397" s="315" t="s">
        <v>461</v>
      </c>
      <c r="E397" s="288">
        <v>42988</v>
      </c>
      <c r="F397" s="249" t="s">
        <v>469</v>
      </c>
      <c r="G397" s="314" t="s">
        <v>290</v>
      </c>
      <c r="H397" s="472"/>
      <c r="I397" s="307"/>
      <c r="J397" s="307"/>
      <c r="K397" s="532">
        <v>50000</v>
      </c>
      <c r="L397" s="533" t="s">
        <v>81</v>
      </c>
      <c r="M397" s="533" t="s">
        <v>24</v>
      </c>
      <c r="N397" s="525" t="str">
        <f>IF(AND('331-CT'!$E$7=TH!H397,OR(L397="331",M397="331")),"331",IF(AND(OR(L397="131",M397="131"),H397='131-CT'!$E$7),"131",""))</f>
        <v/>
      </c>
      <c r="O397" s="525" t="str">
        <f>IF(AND($B397&gt;='111'!$N$11,$B397&lt;='111'!$O$11,OR($L397=$O$7,$M397=$O$7)),"x","")</f>
        <v/>
      </c>
      <c r="P397" s="525" t="str">
        <f>IF(AND($L397=$O$7,$B397&lt;'111'!$N$11),"x","")</f>
        <v/>
      </c>
      <c r="Q397" s="525" t="str">
        <f>IF(AND($M397=$O$7,$B397&lt;'111'!$N$11),"x","")</f>
        <v/>
      </c>
      <c r="R397" s="525" t="str">
        <f>IF(ISERROR(FIND('112'!$M$9,G397,1)),"",IF((AND(FIND('112'!$M$9,G397,1)&gt;=1,$B397&gt;='112'!$N$8,$B397&lt;='112'!$O$8,OR($L397='112'!$I$6,$M397='112'!$I$6))),"x",""))</f>
        <v/>
      </c>
      <c r="S397" s="525" t="str">
        <f>IF(ISERROR(FIND('112'!$M$9,G397,1)),"",IF((AND(LEFT(G397,2)=LEFT('112'!$M$9,2),B397&lt;'112'!$N$8,$L397='112'!$I$6)),"x",""))</f>
        <v/>
      </c>
      <c r="T397" s="525" t="str">
        <f>IF(ISERROR(FIND('112'!$M$9,G397,1)),"",IF((AND(RIGHT(G397,2)=RIGHT('112'!$M$9,2),B397&lt;'112'!$N$8,$M397='112'!$I$6)),"x",""))</f>
        <v/>
      </c>
      <c r="U397" s="525" t="str">
        <f>IF(AND(B397&gt;='IN-NX'!$P$3,B397&lt;='IN-NX'!$Q$3,'IN-NX'!$D$7=D397,OR(LEFT(L397,2)="15",AND(LEFT(M397,2)&lt;&gt;"15",LEFT(M397,2)&lt;&gt;"33"))),"x","")</f>
        <v/>
      </c>
      <c r="V397" s="525" t="str">
        <f>IF(AND(OR(LEFT(TH!L397,2)="15",LEFT(TH!M397,2)="15"),'152-CT'!$J$8=TH!F397),"x","")</f>
        <v/>
      </c>
      <c r="W397" s="525" t="str">
        <f>IF(AND(OR(LEFT(TH!L397,2)="15",LEFT(TH!M397,2)="15"),TK!$E$7=TH!F397),"x","")</f>
        <v/>
      </c>
      <c r="X397" s="525" t="str">
        <f>IF(AND('341-CT'!$E$9=H397,OR(LEFT(L397,3)=$X$7,LEFT(M397,3)=$X$7)),"x","")</f>
        <v/>
      </c>
      <c r="Y397" s="525" t="str">
        <f>IF(OR(TH!L397=TH!$Y$7,M397=TH!$Y$7),"x","")</f>
        <v/>
      </c>
      <c r="Z397" s="525" t="str">
        <f>IF(AND(B397&lt;=NKC!$N$8,B397&gt;=NKC!$M$8),"x","")</f>
        <v/>
      </c>
      <c r="AA397" s="535">
        <v>3</v>
      </c>
    </row>
    <row r="398" spans="1:27" s="503" customFormat="1" ht="15.75" customHeight="1">
      <c r="A398" s="517" t="str">
        <f>IF(B398&lt;&gt;"",IF(AND(B398&gt;=_TM1,B398&lt;=_TM2,OR(TH!L398="1111",TH!M398="1111")),TH!D398,""),"")</f>
        <v/>
      </c>
      <c r="B398" s="531">
        <f t="shared" si="43"/>
        <v>9</v>
      </c>
      <c r="C398" s="315">
        <f t="shared" si="44"/>
        <v>42988</v>
      </c>
      <c r="D398" s="315" t="s">
        <v>461</v>
      </c>
      <c r="E398" s="288">
        <v>42988</v>
      </c>
      <c r="F398" s="249" t="s">
        <v>470</v>
      </c>
      <c r="G398" s="314" t="s">
        <v>290</v>
      </c>
      <c r="H398" s="473"/>
      <c r="I398" s="307"/>
      <c r="J398" s="307"/>
      <c r="K398" s="532">
        <v>5000</v>
      </c>
      <c r="L398" s="533" t="s">
        <v>9</v>
      </c>
      <c r="M398" s="533" t="s">
        <v>24</v>
      </c>
      <c r="N398" s="525" t="str">
        <f>IF(AND('331-CT'!$E$7=TH!H398,OR(L398="331",M398="331")),"331",IF(AND(OR(L398="131",M398="131"),H398='131-CT'!$E$7),"131",""))</f>
        <v/>
      </c>
      <c r="O398" s="525" t="str">
        <f>IF(AND($B398&gt;='111'!$N$11,$B398&lt;='111'!$O$11,OR($L398=$O$7,$M398=$O$7)),"x","")</f>
        <v/>
      </c>
      <c r="P398" s="525" t="str">
        <f>IF(AND($L398=$O$7,$B398&lt;'111'!$N$11),"x","")</f>
        <v/>
      </c>
      <c r="Q398" s="525" t="str">
        <f>IF(AND($M398=$O$7,$B398&lt;'111'!$N$11),"x","")</f>
        <v/>
      </c>
      <c r="R398" s="525" t="str">
        <f>IF(ISERROR(FIND('112'!$M$9,G398,1)),"",IF((AND(FIND('112'!$M$9,G398,1)&gt;=1,$B398&gt;='112'!$N$8,$B398&lt;='112'!$O$8,OR($L398='112'!$I$6,$M398='112'!$I$6))),"x",""))</f>
        <v/>
      </c>
      <c r="S398" s="525" t="str">
        <f>IF(ISERROR(FIND('112'!$M$9,G398,1)),"",IF((AND(LEFT(G398,2)=LEFT('112'!$M$9,2),B398&lt;'112'!$N$8,$L398='112'!$I$6)),"x",""))</f>
        <v/>
      </c>
      <c r="T398" s="525" t="str">
        <f>IF(ISERROR(FIND('112'!$M$9,G398,1)),"",IF((AND(RIGHT(G398,2)=RIGHT('112'!$M$9,2),B398&lt;'112'!$N$8,$M398='112'!$I$6)),"x",""))</f>
        <v/>
      </c>
      <c r="U398" s="525" t="str">
        <f>IF(AND(B398&gt;='IN-NX'!$P$3,B398&lt;='IN-NX'!$Q$3,'IN-NX'!$D$7=D398,OR(LEFT(L398,2)="15",AND(LEFT(M398,2)&lt;&gt;"15",LEFT(M398,2)&lt;&gt;"33"))),"x","")</f>
        <v/>
      </c>
      <c r="V398" s="525" t="str">
        <f>IF(AND(OR(LEFT(TH!L398,2)="15",LEFT(TH!M398,2)="15"),'152-CT'!$J$8=TH!F398),"x","")</f>
        <v/>
      </c>
      <c r="W398" s="525" t="str">
        <f>IF(AND(OR(LEFT(TH!L398,2)="15",LEFT(TH!M398,2)="15"),TK!$E$7=TH!F398),"x","")</f>
        <v/>
      </c>
      <c r="X398" s="525" t="str">
        <f>IF(AND('341-CT'!$E$9=H398,OR(LEFT(L398,3)=$X$7,LEFT(M398,3)=$X$7)),"x","")</f>
        <v/>
      </c>
      <c r="Y398" s="525" t="str">
        <f>IF(OR(TH!L398=TH!$Y$7,M398=TH!$Y$7),"x","")</f>
        <v/>
      </c>
      <c r="Z398" s="525" t="str">
        <f>IF(AND(B398&lt;=NKC!$N$8,B398&gt;=NKC!$M$8),"x","")</f>
        <v/>
      </c>
      <c r="AA398" s="535">
        <v>3</v>
      </c>
    </row>
    <row r="399" spans="1:27" s="503" customFormat="1" ht="15.75" customHeight="1">
      <c r="A399" s="517" t="str">
        <f>IF(B399&lt;&gt;"",IF(AND(B399&gt;=_TM1,B399&lt;=_TM2,OR(TH!L399="1111",TH!M399="1111")),TH!D399,""),"")</f>
        <v/>
      </c>
      <c r="B399" s="531">
        <f t="shared" si="43"/>
        <v>9</v>
      </c>
      <c r="C399" s="315">
        <f t="shared" si="44"/>
        <v>42989</v>
      </c>
      <c r="D399" s="315" t="s">
        <v>461</v>
      </c>
      <c r="E399" s="288">
        <v>42989</v>
      </c>
      <c r="F399" s="249" t="s">
        <v>466</v>
      </c>
      <c r="G399" s="314" t="s">
        <v>290</v>
      </c>
      <c r="H399" s="473"/>
      <c r="I399" s="307"/>
      <c r="J399" s="307"/>
      <c r="K399" s="532">
        <v>20000</v>
      </c>
      <c r="L399" s="533" t="s">
        <v>81</v>
      </c>
      <c r="M399" s="533" t="s">
        <v>24</v>
      </c>
      <c r="N399" s="525" t="str">
        <f>IF(AND('331-CT'!$E$7=TH!H399,OR(L399="331",M399="331")),"331",IF(AND(OR(L399="131",M399="131"),H399='131-CT'!$E$7),"131",""))</f>
        <v/>
      </c>
      <c r="O399" s="525" t="str">
        <f>IF(AND($B399&gt;='111'!$N$11,$B399&lt;='111'!$O$11,OR($L399=$O$7,$M399=$O$7)),"x","")</f>
        <v/>
      </c>
      <c r="P399" s="525" t="str">
        <f>IF(AND($L399=$O$7,$B399&lt;'111'!$N$11),"x","")</f>
        <v/>
      </c>
      <c r="Q399" s="525" t="str">
        <f>IF(AND($M399=$O$7,$B399&lt;'111'!$N$11),"x","")</f>
        <v/>
      </c>
      <c r="R399" s="525" t="str">
        <f>IF(ISERROR(FIND('112'!$M$9,G399,1)),"",IF((AND(FIND('112'!$M$9,G399,1)&gt;=1,$B399&gt;='112'!$N$8,$B399&lt;='112'!$O$8,OR($L399='112'!$I$6,$M399='112'!$I$6))),"x",""))</f>
        <v/>
      </c>
      <c r="S399" s="525" t="str">
        <f>IF(ISERROR(FIND('112'!$M$9,G399,1)),"",IF((AND(LEFT(G399,2)=LEFT('112'!$M$9,2),B399&lt;'112'!$N$8,$L399='112'!$I$6)),"x",""))</f>
        <v/>
      </c>
      <c r="T399" s="525" t="str">
        <f>IF(ISERROR(FIND('112'!$M$9,G399,1)),"",IF((AND(RIGHT(G399,2)=RIGHT('112'!$M$9,2),B399&lt;'112'!$N$8,$M399='112'!$I$6)),"x",""))</f>
        <v/>
      </c>
      <c r="U399" s="525" t="str">
        <f>IF(AND(B399&gt;='IN-NX'!$P$3,B399&lt;='IN-NX'!$Q$3,'IN-NX'!$D$7=D399,OR(LEFT(L399,2)="15",AND(LEFT(M399,2)&lt;&gt;"15",LEFT(M399,2)&lt;&gt;"33"))),"x","")</f>
        <v/>
      </c>
      <c r="V399" s="525" t="str">
        <f>IF(AND(OR(LEFT(TH!L399,2)="15",LEFT(TH!M399,2)="15"),'152-CT'!$J$8=TH!F399),"x","")</f>
        <v/>
      </c>
      <c r="W399" s="525" t="str">
        <f>IF(AND(OR(LEFT(TH!L399,2)="15",LEFT(TH!M399,2)="15"),TK!$E$7=TH!F399),"x","")</f>
        <v/>
      </c>
      <c r="X399" s="525" t="str">
        <f>IF(AND('341-CT'!$E$9=H399,OR(LEFT(L399,3)=$X$7,LEFT(M399,3)=$X$7)),"x","")</f>
        <v/>
      </c>
      <c r="Y399" s="525" t="str">
        <f>IF(OR(TH!L399=TH!$Y$7,M399=TH!$Y$7),"x","")</f>
        <v/>
      </c>
      <c r="Z399" s="525" t="str">
        <f>IF(AND(B399&lt;=NKC!$N$8,B399&gt;=NKC!$M$8),"x","")</f>
        <v/>
      </c>
      <c r="AA399" s="535">
        <v>3</v>
      </c>
    </row>
    <row r="400" spans="1:27" s="503" customFormat="1" ht="15.75" customHeight="1">
      <c r="A400" s="517" t="str">
        <f>IF(B400&lt;&gt;"",IF(AND(B400&gt;=_TM1,B400&lt;=_TM2,OR(TH!L400="1111",TH!M400="1111")),TH!D400,""),"")</f>
        <v/>
      </c>
      <c r="B400" s="531">
        <f t="shared" si="43"/>
        <v>9</v>
      </c>
      <c r="C400" s="315">
        <f t="shared" si="44"/>
        <v>42989</v>
      </c>
      <c r="D400" s="315" t="s">
        <v>461</v>
      </c>
      <c r="E400" s="288">
        <v>42989</v>
      </c>
      <c r="F400" s="249" t="s">
        <v>467</v>
      </c>
      <c r="G400" s="314" t="s">
        <v>290</v>
      </c>
      <c r="H400" s="472"/>
      <c r="I400" s="307"/>
      <c r="J400" s="307"/>
      <c r="K400" s="532">
        <v>2000</v>
      </c>
      <c r="L400" s="533" t="s">
        <v>9</v>
      </c>
      <c r="M400" s="533" t="s">
        <v>24</v>
      </c>
      <c r="N400" s="525" t="str">
        <f>IF(AND('331-CT'!$E$7=TH!H400,OR(L400="331",M400="331")),"331",IF(AND(OR(L400="131",M400="131"),H400='131-CT'!$E$7),"131",""))</f>
        <v/>
      </c>
      <c r="O400" s="525" t="str">
        <f>IF(AND($B400&gt;='111'!$N$11,$B400&lt;='111'!$O$11,OR($L400=$O$7,$M400=$O$7)),"x","")</f>
        <v/>
      </c>
      <c r="P400" s="525" t="str">
        <f>IF(AND($L400=$O$7,$B400&lt;'111'!$N$11),"x","")</f>
        <v/>
      </c>
      <c r="Q400" s="525" t="str">
        <f>IF(AND($M400=$O$7,$B400&lt;'111'!$N$11),"x","")</f>
        <v/>
      </c>
      <c r="R400" s="525" t="str">
        <f>IF(ISERROR(FIND('112'!$M$9,G400,1)),"",IF((AND(FIND('112'!$M$9,G400,1)&gt;=1,$B400&gt;='112'!$N$8,$B400&lt;='112'!$O$8,OR($L400='112'!$I$6,$M400='112'!$I$6))),"x",""))</f>
        <v/>
      </c>
      <c r="S400" s="525" t="str">
        <f>IF(ISERROR(FIND('112'!$M$9,G400,1)),"",IF((AND(LEFT(G400,2)=LEFT('112'!$M$9,2),B400&lt;'112'!$N$8,$L400='112'!$I$6)),"x",""))</f>
        <v/>
      </c>
      <c r="T400" s="525" t="str">
        <f>IF(ISERROR(FIND('112'!$M$9,G400,1)),"",IF((AND(RIGHT(G400,2)=RIGHT('112'!$M$9,2),B400&lt;'112'!$N$8,$M400='112'!$I$6)),"x",""))</f>
        <v/>
      </c>
      <c r="U400" s="525" t="str">
        <f>IF(AND(B400&gt;='IN-NX'!$P$3,B400&lt;='IN-NX'!$Q$3,'IN-NX'!$D$7=D400,OR(LEFT(L400,2)="15",AND(LEFT(M400,2)&lt;&gt;"15",LEFT(M400,2)&lt;&gt;"33"))),"x","")</f>
        <v/>
      </c>
      <c r="V400" s="525" t="str">
        <f>IF(AND(OR(LEFT(TH!L400,2)="15",LEFT(TH!M400,2)="15"),'152-CT'!$J$8=TH!F400),"x","")</f>
        <v/>
      </c>
      <c r="W400" s="525" t="str">
        <f>IF(AND(OR(LEFT(TH!L400,2)="15",LEFT(TH!M400,2)="15"),TK!$E$7=TH!F400),"x","")</f>
        <v/>
      </c>
      <c r="X400" s="525" t="str">
        <f>IF(AND('341-CT'!$E$9=H400,OR(LEFT(L400,3)=$X$7,LEFT(M400,3)=$X$7)),"x","")</f>
        <v/>
      </c>
      <c r="Y400" s="525" t="str">
        <f>IF(OR(TH!L400=TH!$Y$7,M400=TH!$Y$7),"x","")</f>
        <v/>
      </c>
      <c r="Z400" s="525" t="str">
        <f>IF(AND(B400&lt;=NKC!$N$8,B400&gt;=NKC!$M$8),"x","")</f>
        <v/>
      </c>
      <c r="AA400" s="535">
        <v>3</v>
      </c>
    </row>
    <row r="401" spans="1:27" s="503" customFormat="1" ht="15.75" customHeight="1">
      <c r="A401" s="517" t="str">
        <f>IF(B401&lt;&gt;"",IF(AND(B401&gt;=_TM1,B401&lt;=_TM2,OR(TH!L401="1111",TH!M401="1111")),TH!D401,""),"")</f>
        <v/>
      </c>
      <c r="B401" s="531">
        <f t="shared" si="43"/>
        <v>9</v>
      </c>
      <c r="C401" s="315">
        <f t="shared" si="44"/>
        <v>42989</v>
      </c>
      <c r="D401" s="315" t="s">
        <v>461</v>
      </c>
      <c r="E401" s="288">
        <v>42989</v>
      </c>
      <c r="F401" s="249" t="s">
        <v>465</v>
      </c>
      <c r="G401" s="314" t="s">
        <v>290</v>
      </c>
      <c r="H401" s="473" t="s">
        <v>460</v>
      </c>
      <c r="I401" s="284"/>
      <c r="J401" s="284"/>
      <c r="K401" s="532">
        <v>150400000</v>
      </c>
      <c r="L401" s="533" t="s">
        <v>45</v>
      </c>
      <c r="M401" s="533" t="s">
        <v>24</v>
      </c>
      <c r="N401" s="525" t="str">
        <f>IF(AND('331-CT'!$E$7=TH!H401,OR(L401="331",M401="331")),"331",IF(AND(OR(L401="131",M401="131"),H401='131-CT'!$E$7),"131",""))</f>
        <v/>
      </c>
      <c r="O401" s="525" t="str">
        <f>IF(AND($B401&gt;='111'!$N$11,$B401&lt;='111'!$O$11,OR($L401=$O$7,$M401=$O$7)),"x","")</f>
        <v/>
      </c>
      <c r="P401" s="525" t="str">
        <f>IF(AND($L401=$O$7,$B401&lt;'111'!$N$11),"x","")</f>
        <v>x</v>
      </c>
      <c r="Q401" s="525" t="str">
        <f>IF(AND($M401=$O$7,$B401&lt;'111'!$N$11),"x","")</f>
        <v/>
      </c>
      <c r="R401" s="525" t="str">
        <f>IF(ISERROR(FIND('112'!$M$9,G401,1)),"",IF((AND(FIND('112'!$M$9,G401,1)&gt;=1,$B401&gt;='112'!$N$8,$B401&lt;='112'!$O$8,OR($L401='112'!$I$6,$M401='112'!$I$6))),"x",""))</f>
        <v/>
      </c>
      <c r="S401" s="525" t="str">
        <f>IF(ISERROR(FIND('112'!$M$9,G401,1)),"",IF((AND(LEFT(G401,2)=LEFT('112'!$M$9,2),B401&lt;'112'!$N$8,$L401='112'!$I$6)),"x",""))</f>
        <v/>
      </c>
      <c r="T401" s="525" t="str">
        <f>IF(ISERROR(FIND('112'!$M$9,G401,1)),"",IF((AND(RIGHT(G401,2)=RIGHT('112'!$M$9,2),B401&lt;'112'!$N$8,$M401='112'!$I$6)),"x",""))</f>
        <v/>
      </c>
      <c r="U401" s="525" t="str">
        <f>IF(AND(B401&gt;='IN-NX'!$P$3,B401&lt;='IN-NX'!$Q$3,'IN-NX'!$D$7=D401,OR(LEFT(L401,2)="15",AND(LEFT(M401,2)&lt;&gt;"15",LEFT(M401,2)&lt;&gt;"33"))),"x","")</f>
        <v/>
      </c>
      <c r="V401" s="525" t="str">
        <f>IF(AND(OR(LEFT(TH!L401,2)="15",LEFT(TH!M401,2)="15"),'152-CT'!$J$8=TH!F401),"x","")</f>
        <v/>
      </c>
      <c r="W401" s="525" t="str">
        <f>IF(AND(OR(LEFT(TH!L401,2)="15",LEFT(TH!M401,2)="15"),TK!$E$7=TH!F401),"x","")</f>
        <v/>
      </c>
      <c r="X401" s="525" t="str">
        <f>IF(AND('341-CT'!$E$9=H401,OR(LEFT(L401,3)=$X$7,LEFT(M401,3)=$X$7)),"x","")</f>
        <v/>
      </c>
      <c r="Y401" s="525" t="str">
        <f>IF(OR(TH!L401=TH!$Y$7,M401=TH!$Y$7),"x","")</f>
        <v/>
      </c>
      <c r="Z401" s="525" t="str">
        <f>IF(AND(B401&lt;=NKC!$N$8,B401&gt;=NKC!$M$8),"x","")</f>
        <v/>
      </c>
      <c r="AA401" s="535"/>
    </row>
    <row r="402" spans="1:27" s="503" customFormat="1" ht="15.75" customHeight="1">
      <c r="A402" s="517" t="str">
        <f>IF(B402&lt;&gt;"",IF(AND(B402&gt;=_TM1,B402&lt;=_TM2,OR(TH!L402="1111",TH!M402="1111")),TH!D402,""),"")</f>
        <v/>
      </c>
      <c r="B402" s="531">
        <f t="shared" si="43"/>
        <v>9</v>
      </c>
      <c r="C402" s="315">
        <f t="shared" si="44"/>
        <v>42991</v>
      </c>
      <c r="D402" s="315" t="s">
        <v>461</v>
      </c>
      <c r="E402" s="288">
        <v>42991</v>
      </c>
      <c r="F402" s="248" t="s">
        <v>468</v>
      </c>
      <c r="G402" s="314" t="s">
        <v>290</v>
      </c>
      <c r="H402" s="473" t="s">
        <v>270</v>
      </c>
      <c r="I402" s="307"/>
      <c r="J402" s="307"/>
      <c r="K402" s="532">
        <v>10000000</v>
      </c>
      <c r="L402" s="533" t="s">
        <v>8</v>
      </c>
      <c r="M402" s="533" t="s">
        <v>24</v>
      </c>
      <c r="N402" s="525" t="str">
        <f>IF(AND('331-CT'!$E$7=TH!H402,OR(L402="331",M402="331")),"331",IF(AND(OR(L402="131",M402="131"),H402='131-CT'!$E$7),"131",""))</f>
        <v/>
      </c>
      <c r="O402" s="525" t="str">
        <f>IF(AND($B402&gt;='111'!$N$11,$B402&lt;='111'!$O$11,OR($L402=$O$7,$M402=$O$7)),"x","")</f>
        <v/>
      </c>
      <c r="P402" s="525" t="str">
        <f>IF(AND($L402=$O$7,$B402&lt;'111'!$N$11),"x","")</f>
        <v/>
      </c>
      <c r="Q402" s="525" t="str">
        <f>IF(AND($M402=$O$7,$B402&lt;'111'!$N$11),"x","")</f>
        <v/>
      </c>
      <c r="R402" s="525" t="str">
        <f>IF(ISERROR(FIND('112'!$M$9,G402,1)),"",IF((AND(FIND('112'!$M$9,G402,1)&gt;=1,$B402&gt;='112'!$N$8,$B402&lt;='112'!$O$8,OR($L402='112'!$I$6,$M402='112'!$I$6))),"x",""))</f>
        <v/>
      </c>
      <c r="S402" s="525" t="str">
        <f>IF(ISERROR(FIND('112'!$M$9,G402,1)),"",IF((AND(LEFT(G402,2)=LEFT('112'!$M$9,2),B402&lt;'112'!$N$8,$L402='112'!$I$6)),"x",""))</f>
        <v/>
      </c>
      <c r="T402" s="525" t="str">
        <f>IF(ISERROR(FIND('112'!$M$9,G402,1)),"",IF((AND(RIGHT(G402,2)=RIGHT('112'!$M$9,2),B402&lt;'112'!$N$8,$M402='112'!$I$6)),"x",""))</f>
        <v/>
      </c>
      <c r="U402" s="525" t="str">
        <f>IF(AND(B402&gt;='IN-NX'!$P$3,B402&lt;='IN-NX'!$Q$3,'IN-NX'!$D$7=D402,OR(LEFT(L402,2)="15",AND(LEFT(M402,2)&lt;&gt;"15",LEFT(M402,2)&lt;&gt;"33"))),"x","")</f>
        <v/>
      </c>
      <c r="V402" s="525" t="str">
        <f>IF(AND(OR(LEFT(TH!L402,2)="15",LEFT(TH!M402,2)="15"),'152-CT'!$J$8=TH!F402),"x","")</f>
        <v/>
      </c>
      <c r="W402" s="525" t="str">
        <f>IF(AND(OR(LEFT(TH!L402,2)="15",LEFT(TH!M402,2)="15"),TK!$E$7=TH!F402),"x","")</f>
        <v/>
      </c>
      <c r="X402" s="525" t="str">
        <f>IF(AND('341-CT'!$E$9=H402,OR(LEFT(L402,3)=$X$7,LEFT(M402,3)=$X$7)),"x","")</f>
        <v/>
      </c>
      <c r="Y402" s="525" t="str">
        <f>IF(OR(TH!L402=TH!$Y$7,M402=TH!$Y$7),"x","")</f>
        <v/>
      </c>
      <c r="Z402" s="525" t="str">
        <f>IF(AND(B402&lt;=NKC!$N$8,B402&gt;=NKC!$M$8),"x","")</f>
        <v/>
      </c>
      <c r="AA402" s="535"/>
    </row>
    <row r="403" spans="1:27" s="503" customFormat="1" ht="15.75" customHeight="1">
      <c r="A403" s="517" t="str">
        <f>IF(B403&lt;&gt;"",IF(AND(B403&gt;=_TM1,B403&lt;=_TM2,OR(TH!L403="1111",TH!M403="1111")),TH!D403,""),"")</f>
        <v/>
      </c>
      <c r="B403" s="531">
        <f t="shared" si="43"/>
        <v>9</v>
      </c>
      <c r="C403" s="315">
        <f t="shared" si="44"/>
        <v>42991</v>
      </c>
      <c r="D403" s="315" t="s">
        <v>461</v>
      </c>
      <c r="E403" s="288">
        <v>42991</v>
      </c>
      <c r="F403" s="248" t="s">
        <v>463</v>
      </c>
      <c r="G403" s="314" t="s">
        <v>290</v>
      </c>
      <c r="H403" s="472"/>
      <c r="I403" s="307"/>
      <c r="J403" s="307"/>
      <c r="K403" s="532">
        <v>10000</v>
      </c>
      <c r="L403" s="533" t="s">
        <v>81</v>
      </c>
      <c r="M403" s="533" t="s">
        <v>24</v>
      </c>
      <c r="N403" s="525" t="str">
        <f>IF(AND('331-CT'!$E$7=TH!H403,OR(L403="331",M403="331")),"331",IF(AND(OR(L403="131",M403="131"),H403='131-CT'!$E$7),"131",""))</f>
        <v/>
      </c>
      <c r="O403" s="525" t="str">
        <f>IF(AND($B403&gt;='111'!$N$11,$B403&lt;='111'!$O$11,OR($L403=$O$7,$M403=$O$7)),"x","")</f>
        <v/>
      </c>
      <c r="P403" s="525" t="str">
        <f>IF(AND($L403=$O$7,$B403&lt;'111'!$N$11),"x","")</f>
        <v/>
      </c>
      <c r="Q403" s="525" t="str">
        <f>IF(AND($M403=$O$7,$B403&lt;'111'!$N$11),"x","")</f>
        <v/>
      </c>
      <c r="R403" s="525" t="str">
        <f>IF(ISERROR(FIND('112'!$M$9,G403,1)),"",IF((AND(FIND('112'!$M$9,G403,1)&gt;=1,$B403&gt;='112'!$N$8,$B403&lt;='112'!$O$8,OR($L403='112'!$I$6,$M403='112'!$I$6))),"x",""))</f>
        <v/>
      </c>
      <c r="S403" s="525" t="str">
        <f>IF(ISERROR(FIND('112'!$M$9,G403,1)),"",IF((AND(LEFT(G403,2)=LEFT('112'!$M$9,2),B403&lt;'112'!$N$8,$L403='112'!$I$6)),"x",""))</f>
        <v/>
      </c>
      <c r="T403" s="525" t="str">
        <f>IF(ISERROR(FIND('112'!$M$9,G403,1)),"",IF((AND(RIGHT(G403,2)=RIGHT('112'!$M$9,2),B403&lt;'112'!$N$8,$M403='112'!$I$6)),"x",""))</f>
        <v/>
      </c>
      <c r="U403" s="525" t="str">
        <f>IF(AND(B403&gt;='IN-NX'!$P$3,B403&lt;='IN-NX'!$Q$3,'IN-NX'!$D$7=D403,OR(LEFT(L403,2)="15",AND(LEFT(M403,2)&lt;&gt;"15",LEFT(M403,2)&lt;&gt;"33"))),"x","")</f>
        <v/>
      </c>
      <c r="V403" s="525" t="str">
        <f>IF(AND(OR(LEFT(TH!L403,2)="15",LEFT(TH!M403,2)="15"),'152-CT'!$J$8=TH!F403),"x","")</f>
        <v/>
      </c>
      <c r="W403" s="525" t="str">
        <f>IF(AND(OR(LEFT(TH!L403,2)="15",LEFT(TH!M403,2)="15"),TK!$E$7=TH!F403),"x","")</f>
        <v/>
      </c>
      <c r="X403" s="525" t="str">
        <f>IF(AND('341-CT'!$E$9=H403,OR(LEFT(L403,3)=$X$7,LEFT(M403,3)=$X$7)),"x","")</f>
        <v/>
      </c>
      <c r="Y403" s="525" t="str">
        <f>IF(OR(TH!L403=TH!$Y$7,M403=TH!$Y$7),"x","")</f>
        <v/>
      </c>
      <c r="Z403" s="525" t="str">
        <f>IF(AND(B403&lt;=NKC!$N$8,B403&gt;=NKC!$M$8),"x","")</f>
        <v/>
      </c>
      <c r="AA403" s="535">
        <v>3</v>
      </c>
    </row>
    <row r="404" spans="1:27" s="503" customFormat="1" ht="15.75" customHeight="1">
      <c r="A404" s="517" t="str">
        <f>IF(B404&lt;&gt;"",IF(AND(B404&gt;=_TM1,B404&lt;=_TM2,OR(TH!L404="1111",TH!M404="1111")),TH!D404,""),"")</f>
        <v/>
      </c>
      <c r="B404" s="531">
        <f t="shared" si="43"/>
        <v>9</v>
      </c>
      <c r="C404" s="315">
        <f t="shared" si="44"/>
        <v>42991</v>
      </c>
      <c r="D404" s="315" t="s">
        <v>461</v>
      </c>
      <c r="E404" s="288">
        <v>42991</v>
      </c>
      <c r="F404" s="248" t="s">
        <v>464</v>
      </c>
      <c r="G404" s="314" t="s">
        <v>290</v>
      </c>
      <c r="H404" s="472"/>
      <c r="I404" s="307"/>
      <c r="J404" s="307"/>
      <c r="K404" s="532">
        <v>1000</v>
      </c>
      <c r="L404" s="533" t="s">
        <v>9</v>
      </c>
      <c r="M404" s="533" t="s">
        <v>24</v>
      </c>
      <c r="N404" s="525" t="str">
        <f>IF(AND('331-CT'!$E$7=TH!H404,OR(L404="331",M404="331")),"331",IF(AND(OR(L404="131",M404="131"),H404='131-CT'!$E$7),"131",""))</f>
        <v/>
      </c>
      <c r="O404" s="525" t="str">
        <f>IF(AND($B404&gt;='111'!$N$11,$B404&lt;='111'!$O$11,OR($L404=$O$7,$M404=$O$7)),"x","")</f>
        <v/>
      </c>
      <c r="P404" s="525" t="str">
        <f>IF(AND($L404=$O$7,$B404&lt;'111'!$N$11),"x","")</f>
        <v/>
      </c>
      <c r="Q404" s="525" t="str">
        <f>IF(AND($M404=$O$7,$B404&lt;'111'!$N$11),"x","")</f>
        <v/>
      </c>
      <c r="R404" s="525" t="str">
        <f>IF(ISERROR(FIND('112'!$M$9,G404,1)),"",IF((AND(FIND('112'!$M$9,G404,1)&gt;=1,$B404&gt;='112'!$N$8,$B404&lt;='112'!$O$8,OR($L404='112'!$I$6,$M404='112'!$I$6))),"x",""))</f>
        <v/>
      </c>
      <c r="S404" s="525" t="str">
        <f>IF(ISERROR(FIND('112'!$M$9,G404,1)),"",IF((AND(LEFT(G404,2)=LEFT('112'!$M$9,2),B404&lt;'112'!$N$8,$L404='112'!$I$6)),"x",""))</f>
        <v/>
      </c>
      <c r="T404" s="525" t="str">
        <f>IF(ISERROR(FIND('112'!$M$9,G404,1)),"",IF((AND(RIGHT(G404,2)=RIGHT('112'!$M$9,2),B404&lt;'112'!$N$8,$M404='112'!$I$6)),"x",""))</f>
        <v/>
      </c>
      <c r="U404" s="525" t="str">
        <f>IF(AND(B404&gt;='IN-NX'!$P$3,B404&lt;='IN-NX'!$Q$3,'IN-NX'!$D$7=D404,OR(LEFT(L404,2)="15",AND(LEFT(M404,2)&lt;&gt;"15",LEFT(M404,2)&lt;&gt;"33"))),"x","")</f>
        <v/>
      </c>
      <c r="V404" s="525" t="str">
        <f>IF(AND(OR(LEFT(TH!L404,2)="15",LEFT(TH!M404,2)="15"),'152-CT'!$J$8=TH!F404),"x","")</f>
        <v/>
      </c>
      <c r="W404" s="525" t="str">
        <f>IF(AND(OR(LEFT(TH!L404,2)="15",LEFT(TH!M404,2)="15"),TK!$E$7=TH!F404),"x","")</f>
        <v/>
      </c>
      <c r="X404" s="525" t="str">
        <f>IF(AND('341-CT'!$E$9=H404,OR(LEFT(L404,3)=$X$7,LEFT(M404,3)=$X$7)),"x","")</f>
        <v/>
      </c>
      <c r="Y404" s="525" t="str">
        <f>IF(OR(TH!L404=TH!$Y$7,M404=TH!$Y$7),"x","")</f>
        <v/>
      </c>
      <c r="Z404" s="525" t="str">
        <f>IF(AND(B404&lt;=NKC!$N$8,B404&gt;=NKC!$M$8),"x","")</f>
        <v/>
      </c>
      <c r="AA404" s="535">
        <v>3</v>
      </c>
    </row>
    <row r="405" spans="1:27" s="503" customFormat="1" ht="15.75" customHeight="1">
      <c r="A405" s="517" t="str">
        <f>IF(B405&lt;&gt;"",IF(AND(B405&gt;=_TM1,B405&lt;=_TM2,OR(TH!L405="1111",TH!M405="1111")),TH!D405,""),"")</f>
        <v/>
      </c>
      <c r="B405" s="531">
        <f t="shared" si="43"/>
        <v>9</v>
      </c>
      <c r="C405" s="315">
        <f t="shared" si="44"/>
        <v>42991</v>
      </c>
      <c r="D405" s="315" t="s">
        <v>461</v>
      </c>
      <c r="E405" s="288">
        <v>42991</v>
      </c>
      <c r="F405" s="249" t="s">
        <v>1498</v>
      </c>
      <c r="G405" s="314" t="s">
        <v>290</v>
      </c>
      <c r="H405" s="473"/>
      <c r="I405" s="307"/>
      <c r="J405" s="307"/>
      <c r="K405" s="532">
        <v>20000</v>
      </c>
      <c r="L405" s="533" t="s">
        <v>81</v>
      </c>
      <c r="M405" s="533" t="s">
        <v>24</v>
      </c>
      <c r="N405" s="525" t="str">
        <f>IF(AND('331-CT'!$E$7=TH!H405,OR(L405="331",M405="331")),"331",IF(AND(OR(L405="131",M405="131"),H405='131-CT'!$E$7),"131",""))</f>
        <v/>
      </c>
      <c r="O405" s="525" t="str">
        <f>IF(AND($B405&gt;='111'!$N$11,$B405&lt;='111'!$O$11,OR($L405=$O$7,$M405=$O$7)),"x","")</f>
        <v/>
      </c>
      <c r="P405" s="525" t="str">
        <f>IF(AND($L405=$O$7,$B405&lt;'111'!$N$11),"x","")</f>
        <v/>
      </c>
      <c r="Q405" s="525" t="str">
        <f>IF(AND($M405=$O$7,$B405&lt;'111'!$N$11),"x","")</f>
        <v/>
      </c>
      <c r="R405" s="525" t="str">
        <f>IF(ISERROR(FIND('112'!$M$9,G405,1)),"",IF((AND(FIND('112'!$M$9,G405,1)&gt;=1,$B405&gt;='112'!$N$8,$B405&lt;='112'!$O$8,OR($L405='112'!$I$6,$M405='112'!$I$6))),"x",""))</f>
        <v/>
      </c>
      <c r="S405" s="525" t="str">
        <f>IF(ISERROR(FIND('112'!$M$9,G405,1)),"",IF((AND(LEFT(G405,2)=LEFT('112'!$M$9,2),B405&lt;'112'!$N$8,$L405='112'!$I$6)),"x",""))</f>
        <v/>
      </c>
      <c r="T405" s="525" t="str">
        <f>IF(ISERROR(FIND('112'!$M$9,G405,1)),"",IF((AND(RIGHT(G405,2)=RIGHT('112'!$M$9,2),B405&lt;'112'!$N$8,$M405='112'!$I$6)),"x",""))</f>
        <v/>
      </c>
      <c r="U405" s="525" t="str">
        <f>IF(AND(B405&gt;='IN-NX'!$P$3,B405&lt;='IN-NX'!$Q$3,'IN-NX'!$D$7=D405,OR(LEFT(L405,2)="15",AND(LEFT(M405,2)&lt;&gt;"15",LEFT(M405,2)&lt;&gt;"33"))),"x","")</f>
        <v/>
      </c>
      <c r="V405" s="525" t="str">
        <f>IF(AND(OR(LEFT(TH!L405,2)="15",LEFT(TH!M405,2)="15"),'152-CT'!$J$8=TH!F405),"x","")</f>
        <v/>
      </c>
      <c r="W405" s="525" t="str">
        <f>IF(AND(OR(LEFT(TH!L405,2)="15",LEFT(TH!M405,2)="15"),TK!$E$7=TH!F405),"x","")</f>
        <v/>
      </c>
      <c r="X405" s="525" t="str">
        <f>IF(AND('341-CT'!$E$9=H405,OR(LEFT(L405,3)=$X$7,LEFT(M405,3)=$X$7)),"x","")</f>
        <v/>
      </c>
      <c r="Y405" s="525" t="str">
        <f>IF(OR(TH!L405=TH!$Y$7,M405=TH!$Y$7),"x","")</f>
        <v/>
      </c>
      <c r="Z405" s="525" t="str">
        <f>IF(AND(B405&lt;=NKC!$N$8,B405&gt;=NKC!$M$8),"x","")</f>
        <v/>
      </c>
      <c r="AA405" s="535">
        <v>3</v>
      </c>
    </row>
    <row r="406" spans="1:27" s="503" customFormat="1" ht="15.75" customHeight="1">
      <c r="A406" s="517" t="str">
        <f>IF(B406&lt;&gt;"",IF(AND(B406&gt;=_TM1,B406&lt;=_TM2,OR(TH!L406="1111",TH!M406="1111")),TH!D406,""),"")</f>
        <v/>
      </c>
      <c r="B406" s="531">
        <f t="shared" ref="B406:B410" si="47">IF(C406&lt;&gt;"",MONTH(C406),"")</f>
        <v>9</v>
      </c>
      <c r="C406" s="315">
        <f t="shared" ref="C406:C410" si="48">E406</f>
        <v>42991</v>
      </c>
      <c r="D406" s="315" t="s">
        <v>461</v>
      </c>
      <c r="E406" s="288">
        <v>42991</v>
      </c>
      <c r="F406" s="249" t="s">
        <v>1499</v>
      </c>
      <c r="G406" s="314" t="s">
        <v>290</v>
      </c>
      <c r="H406" s="473"/>
      <c r="I406" s="284"/>
      <c r="J406" s="284"/>
      <c r="K406" s="532">
        <v>2000</v>
      </c>
      <c r="L406" s="533" t="s">
        <v>9</v>
      </c>
      <c r="M406" s="533" t="s">
        <v>24</v>
      </c>
      <c r="N406" s="525" t="str">
        <f>IF(AND('331-CT'!$E$7=TH!H406,OR(L406="331",M406="331")),"331",IF(AND(OR(L406="131",M406="131"),H406='131-CT'!$E$7),"131",""))</f>
        <v/>
      </c>
      <c r="O406" s="525" t="str">
        <f>IF(AND($B406&gt;='111'!$N$11,$B406&lt;='111'!$O$11,OR($L406=$O$7,$M406=$O$7)),"x","")</f>
        <v/>
      </c>
      <c r="P406" s="525" t="str">
        <f>IF(AND($L406=$O$7,$B406&lt;'111'!$N$11),"x","")</f>
        <v/>
      </c>
      <c r="Q406" s="525" t="str">
        <f>IF(AND($M406=$O$7,$B406&lt;'111'!$N$11),"x","")</f>
        <v/>
      </c>
      <c r="R406" s="525" t="str">
        <f>IF(ISERROR(FIND('112'!$M$9,G406,1)),"",IF((AND(FIND('112'!$M$9,G406,1)&gt;=1,$B406&gt;='112'!$N$8,$B406&lt;='112'!$O$8,OR($L406='112'!$I$6,$M406='112'!$I$6))),"x",""))</f>
        <v/>
      </c>
      <c r="S406" s="525" t="str">
        <f>IF(ISERROR(FIND('112'!$M$9,G406,1)),"",IF((AND(LEFT(G406,2)=LEFT('112'!$M$9,2),B406&lt;'112'!$N$8,$L406='112'!$I$6)),"x",""))</f>
        <v/>
      </c>
      <c r="T406" s="525" t="str">
        <f>IF(ISERROR(FIND('112'!$M$9,G406,1)),"",IF((AND(RIGHT(G406,2)=RIGHT('112'!$M$9,2),B406&lt;'112'!$N$8,$M406='112'!$I$6)),"x",""))</f>
        <v/>
      </c>
      <c r="U406" s="525" t="str">
        <f>IF(AND(B406&gt;='IN-NX'!$P$3,B406&lt;='IN-NX'!$Q$3,'IN-NX'!$D$7=D406,OR(LEFT(L406,2)="15",AND(LEFT(M406,2)&lt;&gt;"15",LEFT(M406,2)&lt;&gt;"33"))),"x","")</f>
        <v/>
      </c>
      <c r="V406" s="525" t="str">
        <f>IF(AND(OR(LEFT(TH!L406,2)="15",LEFT(TH!M406,2)="15"),'152-CT'!$J$8=TH!F406),"x","")</f>
        <v/>
      </c>
      <c r="W406" s="525" t="str">
        <f>IF(AND(OR(LEFT(TH!L406,2)="15",LEFT(TH!M406,2)="15"),TK!$E$7=TH!F406),"x","")</f>
        <v/>
      </c>
      <c r="X406" s="525" t="str">
        <f>IF(AND('341-CT'!$E$9=H406,OR(LEFT(L406,3)=$X$7,LEFT(M406,3)=$X$7)),"x","")</f>
        <v/>
      </c>
      <c r="Y406" s="525" t="str">
        <f>IF(OR(TH!L406=TH!$Y$7,M406=TH!$Y$7),"x","")</f>
        <v/>
      </c>
      <c r="Z406" s="525" t="str">
        <f>IF(AND(B406&lt;=NKC!$N$8,B406&gt;=NKC!$M$8),"x","")</f>
        <v/>
      </c>
      <c r="AA406" s="535">
        <v>3</v>
      </c>
    </row>
    <row r="407" spans="1:27" s="503" customFormat="1" ht="15.75" customHeight="1">
      <c r="A407" s="517" t="str">
        <f>IF(B407&lt;&gt;"",IF(AND(B407&gt;=_TM1,B407&lt;=_TM2,OR(TH!L407="1111",TH!M407="1111")),TH!D407,""),"")</f>
        <v/>
      </c>
      <c r="B407" s="531">
        <f t="shared" si="47"/>
        <v>9</v>
      </c>
      <c r="C407" s="315">
        <f t="shared" si="48"/>
        <v>42992</v>
      </c>
      <c r="D407" s="315" t="s">
        <v>461</v>
      </c>
      <c r="E407" s="288">
        <v>42992</v>
      </c>
      <c r="F407" s="249" t="s">
        <v>465</v>
      </c>
      <c r="G407" s="314" t="s">
        <v>290</v>
      </c>
      <c r="H407" s="473" t="s">
        <v>460</v>
      </c>
      <c r="I407" s="284"/>
      <c r="J407" s="284"/>
      <c r="K407" s="532">
        <v>122100000</v>
      </c>
      <c r="L407" s="533" t="s">
        <v>45</v>
      </c>
      <c r="M407" s="533" t="s">
        <v>24</v>
      </c>
      <c r="N407" s="525" t="str">
        <f>IF(AND('331-CT'!$E$7=TH!H407,OR(L407="331",M407="331")),"331",IF(AND(OR(L407="131",M407="131"),H407='131-CT'!$E$7),"131",""))</f>
        <v/>
      </c>
      <c r="O407" s="525" t="str">
        <f>IF(AND($B407&gt;='111'!$N$11,$B407&lt;='111'!$O$11,OR($L407=$O$7,$M407=$O$7)),"x","")</f>
        <v/>
      </c>
      <c r="P407" s="525" t="str">
        <f>IF(AND($L407=$O$7,$B407&lt;'111'!$N$11),"x","")</f>
        <v>x</v>
      </c>
      <c r="Q407" s="525" t="str">
        <f>IF(AND($M407=$O$7,$B407&lt;'111'!$N$11),"x","")</f>
        <v/>
      </c>
      <c r="R407" s="525" t="str">
        <f>IF(ISERROR(FIND('112'!$M$9,G407,1)),"",IF((AND(FIND('112'!$M$9,G407,1)&gt;=1,$B407&gt;='112'!$N$8,$B407&lt;='112'!$O$8,OR($L407='112'!$I$6,$M407='112'!$I$6))),"x",""))</f>
        <v/>
      </c>
      <c r="S407" s="525" t="str">
        <f>IF(ISERROR(FIND('112'!$M$9,G407,1)),"",IF((AND(LEFT(G407,2)=LEFT('112'!$M$9,2),B407&lt;'112'!$N$8,$L407='112'!$I$6)),"x",""))</f>
        <v/>
      </c>
      <c r="T407" s="525" t="str">
        <f>IF(ISERROR(FIND('112'!$M$9,G407,1)),"",IF((AND(RIGHT(G407,2)=RIGHT('112'!$M$9,2),B407&lt;'112'!$N$8,$M407='112'!$I$6)),"x",""))</f>
        <v/>
      </c>
      <c r="U407" s="525" t="str">
        <f>IF(AND(B407&gt;='IN-NX'!$P$3,B407&lt;='IN-NX'!$Q$3,'IN-NX'!$D$7=D407,OR(LEFT(L407,2)="15",AND(LEFT(M407,2)&lt;&gt;"15",LEFT(M407,2)&lt;&gt;"33"))),"x","")</f>
        <v/>
      </c>
      <c r="V407" s="525" t="str">
        <f>IF(AND(OR(LEFT(TH!L407,2)="15",LEFT(TH!M407,2)="15"),'152-CT'!$J$8=TH!F407),"x","")</f>
        <v/>
      </c>
      <c r="W407" s="525" t="str">
        <f>IF(AND(OR(LEFT(TH!L407,2)="15",LEFT(TH!M407,2)="15"),TK!$E$7=TH!F407),"x","")</f>
        <v/>
      </c>
      <c r="X407" s="525" t="str">
        <f>IF(AND('341-CT'!$E$9=H407,OR(LEFT(L407,3)=$X$7,LEFT(M407,3)=$X$7)),"x","")</f>
        <v/>
      </c>
      <c r="Y407" s="525" t="str">
        <f>IF(OR(TH!L407=TH!$Y$7,M407=TH!$Y$7),"x","")</f>
        <v/>
      </c>
      <c r="Z407" s="525" t="str">
        <f>IF(AND(B407&lt;=NKC!$N$8,B407&gt;=NKC!$M$8),"x","")</f>
        <v/>
      </c>
      <c r="AA407" s="535"/>
    </row>
    <row r="408" spans="1:27" s="503" customFormat="1" ht="15.75" customHeight="1">
      <c r="A408" s="517" t="str">
        <f>IF(B408&lt;&gt;"",IF(AND(B408&gt;=_TM1,B408&lt;=_TM2,OR(TH!L408="1111",TH!M408="1111")),TH!D408,""),"")</f>
        <v/>
      </c>
      <c r="B408" s="531">
        <f t="shared" si="47"/>
        <v>9</v>
      </c>
      <c r="C408" s="315">
        <f t="shared" si="48"/>
        <v>42992</v>
      </c>
      <c r="D408" s="315" t="s">
        <v>461</v>
      </c>
      <c r="E408" s="288">
        <v>42992</v>
      </c>
      <c r="F408" s="249" t="s">
        <v>465</v>
      </c>
      <c r="G408" s="314" t="s">
        <v>290</v>
      </c>
      <c r="H408" s="473" t="s">
        <v>460</v>
      </c>
      <c r="I408" s="284"/>
      <c r="J408" s="284"/>
      <c r="K408" s="532">
        <v>122100000</v>
      </c>
      <c r="L408" s="533" t="s">
        <v>45</v>
      </c>
      <c r="M408" s="533" t="s">
        <v>24</v>
      </c>
      <c r="N408" s="525" t="str">
        <f>IF(AND('331-CT'!$E$7=TH!H408,OR(L408="331",M408="331")),"331",IF(AND(OR(L408="131",M408="131"),H408='131-CT'!$E$7),"131",""))</f>
        <v/>
      </c>
      <c r="O408" s="525" t="str">
        <f>IF(AND($B408&gt;='111'!$N$11,$B408&lt;='111'!$O$11,OR($L408=$O$7,$M408=$O$7)),"x","")</f>
        <v/>
      </c>
      <c r="P408" s="525" t="str">
        <f>IF(AND($L408=$O$7,$B408&lt;'111'!$N$11),"x","")</f>
        <v>x</v>
      </c>
      <c r="Q408" s="525" t="str">
        <f>IF(AND($M408=$O$7,$B408&lt;'111'!$N$11),"x","")</f>
        <v/>
      </c>
      <c r="R408" s="525" t="str">
        <f>IF(ISERROR(FIND('112'!$M$9,G408,1)),"",IF((AND(FIND('112'!$M$9,G408,1)&gt;=1,$B408&gt;='112'!$N$8,$B408&lt;='112'!$O$8,OR($L408='112'!$I$6,$M408='112'!$I$6))),"x",""))</f>
        <v/>
      </c>
      <c r="S408" s="525" t="str">
        <f>IF(ISERROR(FIND('112'!$M$9,G408,1)),"",IF((AND(LEFT(G408,2)=LEFT('112'!$M$9,2),B408&lt;'112'!$N$8,$L408='112'!$I$6)),"x",""))</f>
        <v/>
      </c>
      <c r="T408" s="525" t="str">
        <f>IF(ISERROR(FIND('112'!$M$9,G408,1)),"",IF((AND(RIGHT(G408,2)=RIGHT('112'!$M$9,2),B408&lt;'112'!$N$8,$M408='112'!$I$6)),"x",""))</f>
        <v/>
      </c>
      <c r="U408" s="525" t="str">
        <f>IF(AND(B408&gt;='IN-NX'!$P$3,B408&lt;='IN-NX'!$Q$3,'IN-NX'!$D$7=D408,OR(LEFT(L408,2)="15",AND(LEFT(M408,2)&lt;&gt;"15",LEFT(M408,2)&lt;&gt;"33"))),"x","")</f>
        <v/>
      </c>
      <c r="V408" s="525" t="str">
        <f>IF(AND(OR(LEFT(TH!L408,2)="15",LEFT(TH!M408,2)="15"),'152-CT'!$J$8=TH!F408),"x","")</f>
        <v/>
      </c>
      <c r="W408" s="525" t="str">
        <f>IF(AND(OR(LEFT(TH!L408,2)="15",LEFT(TH!M408,2)="15"),TK!$E$7=TH!F408),"x","")</f>
        <v/>
      </c>
      <c r="X408" s="525" t="str">
        <f>IF(AND('341-CT'!$E$9=H408,OR(LEFT(L408,3)=$X$7,LEFT(M408,3)=$X$7)),"x","")</f>
        <v/>
      </c>
      <c r="Y408" s="525" t="str">
        <f>IF(OR(TH!L408=TH!$Y$7,M408=TH!$Y$7),"x","")</f>
        <v/>
      </c>
      <c r="Z408" s="525" t="str">
        <f>IF(AND(B408&lt;=NKC!$N$8,B408&gt;=NKC!$M$8),"x","")</f>
        <v/>
      </c>
      <c r="AA408" s="535"/>
    </row>
    <row r="409" spans="1:27" s="503" customFormat="1" ht="15.75" customHeight="1">
      <c r="A409" s="517" t="str">
        <f>IF(B409&lt;&gt;"",IF(AND(B409&gt;=_TM1,B409&lt;=_TM2,OR(TH!L409="1111",TH!M409="1111")),TH!D409,""),"")</f>
        <v/>
      </c>
      <c r="B409" s="531">
        <f t="shared" si="47"/>
        <v>9</v>
      </c>
      <c r="C409" s="315">
        <f t="shared" si="48"/>
        <v>42992</v>
      </c>
      <c r="D409" s="315" t="s">
        <v>461</v>
      </c>
      <c r="E409" s="288">
        <v>42992</v>
      </c>
      <c r="F409" s="249" t="s">
        <v>465</v>
      </c>
      <c r="G409" s="314" t="s">
        <v>290</v>
      </c>
      <c r="H409" s="473" t="s">
        <v>460</v>
      </c>
      <c r="I409" s="284"/>
      <c r="J409" s="284"/>
      <c r="K409" s="532">
        <v>132300000</v>
      </c>
      <c r="L409" s="533" t="s">
        <v>45</v>
      </c>
      <c r="M409" s="533" t="s">
        <v>24</v>
      </c>
      <c r="N409" s="525" t="str">
        <f>IF(AND('331-CT'!$E$7=TH!H409,OR(L409="331",M409="331")),"331",IF(AND(OR(L409="131",M409="131"),H409='131-CT'!$E$7),"131",""))</f>
        <v/>
      </c>
      <c r="O409" s="525" t="str">
        <f>IF(AND($B409&gt;='111'!$N$11,$B409&lt;='111'!$O$11,OR($L409=$O$7,$M409=$O$7)),"x","")</f>
        <v/>
      </c>
      <c r="P409" s="525" t="str">
        <f>IF(AND($L409=$O$7,$B409&lt;'111'!$N$11),"x","")</f>
        <v>x</v>
      </c>
      <c r="Q409" s="525" t="str">
        <f>IF(AND($M409=$O$7,$B409&lt;'111'!$N$11),"x","")</f>
        <v/>
      </c>
      <c r="R409" s="525" t="str">
        <f>IF(ISERROR(FIND('112'!$M$9,G409,1)),"",IF((AND(FIND('112'!$M$9,G409,1)&gt;=1,$B409&gt;='112'!$N$8,$B409&lt;='112'!$O$8,OR($L409='112'!$I$6,$M409='112'!$I$6))),"x",""))</f>
        <v/>
      </c>
      <c r="S409" s="525" t="str">
        <f>IF(ISERROR(FIND('112'!$M$9,G409,1)),"",IF((AND(LEFT(G409,2)=LEFT('112'!$M$9,2),B409&lt;'112'!$N$8,$L409='112'!$I$6)),"x",""))</f>
        <v/>
      </c>
      <c r="T409" s="525" t="str">
        <f>IF(ISERROR(FIND('112'!$M$9,G409,1)),"",IF((AND(RIGHT(G409,2)=RIGHT('112'!$M$9,2),B409&lt;'112'!$N$8,$M409='112'!$I$6)),"x",""))</f>
        <v/>
      </c>
      <c r="U409" s="525" t="str">
        <f>IF(AND(B409&gt;='IN-NX'!$P$3,B409&lt;='IN-NX'!$Q$3,'IN-NX'!$D$7=D409,OR(LEFT(L409,2)="15",AND(LEFT(M409,2)&lt;&gt;"15",LEFT(M409,2)&lt;&gt;"33"))),"x","")</f>
        <v/>
      </c>
      <c r="V409" s="525" t="str">
        <f>IF(AND(OR(LEFT(TH!L409,2)="15",LEFT(TH!M409,2)="15"),'152-CT'!$J$8=TH!F409),"x","")</f>
        <v/>
      </c>
      <c r="W409" s="525" t="str">
        <f>IF(AND(OR(LEFT(TH!L409,2)="15",LEFT(TH!M409,2)="15"),TK!$E$7=TH!F409),"x","")</f>
        <v/>
      </c>
      <c r="X409" s="525" t="str">
        <f>IF(AND('341-CT'!$E$9=H409,OR(LEFT(L409,3)=$X$7,LEFT(M409,3)=$X$7)),"x","")</f>
        <v/>
      </c>
      <c r="Y409" s="525" t="str">
        <f>IF(OR(TH!L409=TH!$Y$7,M409=TH!$Y$7),"x","")</f>
        <v/>
      </c>
      <c r="Z409" s="525" t="str">
        <f>IF(AND(B409&lt;=NKC!$N$8,B409&gt;=NKC!$M$8),"x","")</f>
        <v/>
      </c>
      <c r="AA409" s="535"/>
    </row>
    <row r="410" spans="1:27" s="503" customFormat="1" ht="15.75" customHeight="1">
      <c r="A410" s="517" t="str">
        <f>IF(B410&lt;&gt;"",IF(AND(B410&gt;=_TM1,B410&lt;=_TM2,OR(TH!L410="1111",TH!M410="1111")),TH!D410,""),"")</f>
        <v/>
      </c>
      <c r="B410" s="531">
        <f t="shared" si="47"/>
        <v>9</v>
      </c>
      <c r="C410" s="315">
        <f t="shared" si="48"/>
        <v>43000</v>
      </c>
      <c r="D410" s="315" t="s">
        <v>461</v>
      </c>
      <c r="E410" s="288">
        <v>43000</v>
      </c>
      <c r="F410" s="248" t="s">
        <v>468</v>
      </c>
      <c r="G410" s="314" t="s">
        <v>290</v>
      </c>
      <c r="H410" s="473" t="s">
        <v>1501</v>
      </c>
      <c r="I410" s="307"/>
      <c r="J410" s="307"/>
      <c r="K410" s="532">
        <v>289038902</v>
      </c>
      <c r="L410" s="533" t="s">
        <v>8</v>
      </c>
      <c r="M410" s="533" t="s">
        <v>24</v>
      </c>
      <c r="N410" s="525" t="str">
        <f>IF(AND('331-CT'!$E$7=TH!H410,OR(L410="331",M410="331")),"331",IF(AND(OR(L410="131",M410="131"),H410='131-CT'!$E$7),"131",""))</f>
        <v/>
      </c>
      <c r="O410" s="525" t="str">
        <f>IF(AND($B410&gt;='111'!$N$11,$B410&lt;='111'!$O$11,OR($L410=$O$7,$M410=$O$7)),"x","")</f>
        <v/>
      </c>
      <c r="P410" s="525" t="str">
        <f>IF(AND($L410=$O$7,$B410&lt;'111'!$N$11),"x","")</f>
        <v/>
      </c>
      <c r="Q410" s="525" t="str">
        <f>IF(AND($M410=$O$7,$B410&lt;'111'!$N$11),"x","")</f>
        <v/>
      </c>
      <c r="R410" s="525" t="str">
        <f>IF(ISERROR(FIND('112'!$M$9,G410,1)),"",IF((AND(FIND('112'!$M$9,G410,1)&gt;=1,$B410&gt;='112'!$N$8,$B410&lt;='112'!$O$8,OR($L410='112'!$I$6,$M410='112'!$I$6))),"x",""))</f>
        <v/>
      </c>
      <c r="S410" s="525" t="str">
        <f>IF(ISERROR(FIND('112'!$M$9,G410,1)),"",IF((AND(LEFT(G410,2)=LEFT('112'!$M$9,2),B410&lt;'112'!$N$8,$L410='112'!$I$6)),"x",""))</f>
        <v/>
      </c>
      <c r="T410" s="525" t="str">
        <f>IF(ISERROR(FIND('112'!$M$9,G410,1)),"",IF((AND(RIGHT(G410,2)=RIGHT('112'!$M$9,2),B410&lt;'112'!$N$8,$M410='112'!$I$6)),"x",""))</f>
        <v/>
      </c>
      <c r="U410" s="525" t="str">
        <f>IF(AND(B410&gt;='IN-NX'!$P$3,B410&lt;='IN-NX'!$Q$3,'IN-NX'!$D$7=D410,OR(LEFT(L410,2)="15",AND(LEFT(M410,2)&lt;&gt;"15",LEFT(M410,2)&lt;&gt;"33"))),"x","")</f>
        <v/>
      </c>
      <c r="V410" s="525" t="str">
        <f>IF(AND(OR(LEFT(TH!L410,2)="15",LEFT(TH!M410,2)="15"),'152-CT'!$J$8=TH!F410),"x","")</f>
        <v/>
      </c>
      <c r="W410" s="525" t="str">
        <f>IF(AND(OR(LEFT(TH!L410,2)="15",LEFT(TH!M410,2)="15"),TK!$E$7=TH!F410),"x","")</f>
        <v/>
      </c>
      <c r="X410" s="525" t="str">
        <f>IF(AND('341-CT'!$E$9=H410,OR(LEFT(L410,3)=$X$7,LEFT(M410,3)=$X$7)),"x","")</f>
        <v/>
      </c>
      <c r="Y410" s="525" t="str">
        <f>IF(OR(TH!L410=TH!$Y$7,M410=TH!$Y$7),"x","")</f>
        <v/>
      </c>
      <c r="Z410" s="525" t="str">
        <f>IF(AND(B410&lt;=NKC!$N$8,B410&gt;=NKC!$M$8),"x","")</f>
        <v/>
      </c>
      <c r="AA410" s="535"/>
    </row>
    <row r="411" spans="1:27" s="503" customFormat="1" ht="15.75" customHeight="1">
      <c r="A411" s="517" t="str">
        <f>IF(B411&lt;&gt;"",IF(AND(B411&gt;=_TM1,B411&lt;=_TM2,OR(TH!L411="1111",TH!M411="1111")),TH!D411,""),"")</f>
        <v/>
      </c>
      <c r="B411" s="531">
        <f t="shared" ref="B411:B415" si="49">IF(C411&lt;&gt;"",MONTH(C411),"")</f>
        <v>9</v>
      </c>
      <c r="C411" s="315">
        <f t="shared" ref="C411:C415" si="50">E411</f>
        <v>43000</v>
      </c>
      <c r="D411" s="315" t="s">
        <v>461</v>
      </c>
      <c r="E411" s="288">
        <v>43000</v>
      </c>
      <c r="F411" s="248" t="s">
        <v>463</v>
      </c>
      <c r="G411" s="314" t="s">
        <v>290</v>
      </c>
      <c r="H411" s="472"/>
      <c r="I411" s="307"/>
      <c r="J411" s="307"/>
      <c r="K411" s="532">
        <v>106712</v>
      </c>
      <c r="L411" s="533" t="s">
        <v>81</v>
      </c>
      <c r="M411" s="533" t="s">
        <v>24</v>
      </c>
      <c r="N411" s="525" t="str">
        <f>IF(AND('331-CT'!$E$7=TH!H411,OR(L411="331",M411="331")),"331",IF(AND(OR(L411="131",M411="131"),H411='131-CT'!$E$7),"131",""))</f>
        <v/>
      </c>
      <c r="O411" s="525" t="str">
        <f>IF(AND($B411&gt;='111'!$N$11,$B411&lt;='111'!$O$11,OR($L411=$O$7,$M411=$O$7)),"x","")</f>
        <v/>
      </c>
      <c r="P411" s="525" t="str">
        <f>IF(AND($L411=$O$7,$B411&lt;'111'!$N$11),"x","")</f>
        <v/>
      </c>
      <c r="Q411" s="525" t="str">
        <f>IF(AND($M411=$O$7,$B411&lt;'111'!$N$11),"x","")</f>
        <v/>
      </c>
      <c r="R411" s="525" t="str">
        <f>IF(ISERROR(FIND('112'!$M$9,G411,1)),"",IF((AND(FIND('112'!$M$9,G411,1)&gt;=1,$B411&gt;='112'!$N$8,$B411&lt;='112'!$O$8,OR($L411='112'!$I$6,$M411='112'!$I$6))),"x",""))</f>
        <v/>
      </c>
      <c r="S411" s="525" t="str">
        <f>IF(ISERROR(FIND('112'!$M$9,G411,1)),"",IF((AND(LEFT(G411,2)=LEFT('112'!$M$9,2),B411&lt;'112'!$N$8,$L411='112'!$I$6)),"x",""))</f>
        <v/>
      </c>
      <c r="T411" s="525" t="str">
        <f>IF(ISERROR(FIND('112'!$M$9,G411,1)),"",IF((AND(RIGHT(G411,2)=RIGHT('112'!$M$9,2),B411&lt;'112'!$N$8,$M411='112'!$I$6)),"x",""))</f>
        <v/>
      </c>
      <c r="U411" s="525" t="str">
        <f>IF(AND(B411&gt;='IN-NX'!$P$3,B411&lt;='IN-NX'!$Q$3,'IN-NX'!$D$7=D411,OR(LEFT(L411,2)="15",AND(LEFT(M411,2)&lt;&gt;"15",LEFT(M411,2)&lt;&gt;"33"))),"x","")</f>
        <v/>
      </c>
      <c r="V411" s="525" t="str">
        <f>IF(AND(OR(LEFT(TH!L411,2)="15",LEFT(TH!M411,2)="15"),'152-CT'!$J$8=TH!F411),"x","")</f>
        <v/>
      </c>
      <c r="W411" s="525" t="str">
        <f>IF(AND(OR(LEFT(TH!L411,2)="15",LEFT(TH!M411,2)="15"),TK!$E$7=TH!F411),"x","")</f>
        <v/>
      </c>
      <c r="X411" s="525" t="str">
        <f>IF(AND('341-CT'!$E$9=H411,OR(LEFT(L411,3)=$X$7,LEFT(M411,3)=$X$7)),"x","")</f>
        <v/>
      </c>
      <c r="Y411" s="525" t="str">
        <f>IF(OR(TH!L411=TH!$Y$7,M411=TH!$Y$7),"x","")</f>
        <v/>
      </c>
      <c r="Z411" s="525" t="str">
        <f>IF(AND(B411&lt;=NKC!$N$8,B411&gt;=NKC!$M$8),"x","")</f>
        <v/>
      </c>
      <c r="AA411" s="535">
        <v>3</v>
      </c>
    </row>
    <row r="412" spans="1:27" s="503" customFormat="1" ht="15.75" customHeight="1">
      <c r="A412" s="517" t="str">
        <f>IF(B412&lt;&gt;"",IF(AND(B412&gt;=_TM1,B412&lt;=_TM2,OR(TH!L412="1111",TH!M412="1111")),TH!D412,""),"")</f>
        <v/>
      </c>
      <c r="B412" s="531">
        <f t="shared" si="49"/>
        <v>9</v>
      </c>
      <c r="C412" s="315">
        <f t="shared" si="50"/>
        <v>43000</v>
      </c>
      <c r="D412" s="315" t="s">
        <v>461</v>
      </c>
      <c r="E412" s="288">
        <v>43000</v>
      </c>
      <c r="F412" s="248" t="s">
        <v>464</v>
      </c>
      <c r="G412" s="314" t="s">
        <v>290</v>
      </c>
      <c r="H412" s="472"/>
      <c r="I412" s="307"/>
      <c r="J412" s="307"/>
      <c r="K412" s="532">
        <v>10671</v>
      </c>
      <c r="L412" s="533" t="s">
        <v>9</v>
      </c>
      <c r="M412" s="533" t="s">
        <v>24</v>
      </c>
      <c r="N412" s="525" t="str">
        <f>IF(AND('331-CT'!$E$7=TH!H412,OR(L412="331",M412="331")),"331",IF(AND(OR(L412="131",M412="131"),H412='131-CT'!$E$7),"131",""))</f>
        <v/>
      </c>
      <c r="O412" s="525" t="str">
        <f>IF(AND($B412&gt;='111'!$N$11,$B412&lt;='111'!$O$11,OR($L412=$O$7,$M412=$O$7)),"x","")</f>
        <v/>
      </c>
      <c r="P412" s="525" t="str">
        <f>IF(AND($L412=$O$7,$B412&lt;'111'!$N$11),"x","")</f>
        <v/>
      </c>
      <c r="Q412" s="525" t="str">
        <f>IF(AND($M412=$O$7,$B412&lt;'111'!$N$11),"x","")</f>
        <v/>
      </c>
      <c r="R412" s="525" t="str">
        <f>IF(ISERROR(FIND('112'!$M$9,G412,1)),"",IF((AND(FIND('112'!$M$9,G412,1)&gt;=1,$B412&gt;='112'!$N$8,$B412&lt;='112'!$O$8,OR($L412='112'!$I$6,$M412='112'!$I$6))),"x",""))</f>
        <v/>
      </c>
      <c r="S412" s="525" t="str">
        <f>IF(ISERROR(FIND('112'!$M$9,G412,1)),"",IF((AND(LEFT(G412,2)=LEFT('112'!$M$9,2),B412&lt;'112'!$N$8,$L412='112'!$I$6)),"x",""))</f>
        <v/>
      </c>
      <c r="T412" s="525" t="str">
        <f>IF(ISERROR(FIND('112'!$M$9,G412,1)),"",IF((AND(RIGHT(G412,2)=RIGHT('112'!$M$9,2),B412&lt;'112'!$N$8,$M412='112'!$I$6)),"x",""))</f>
        <v/>
      </c>
      <c r="U412" s="525" t="str">
        <f>IF(AND(B412&gt;='IN-NX'!$P$3,B412&lt;='IN-NX'!$Q$3,'IN-NX'!$D$7=D412,OR(LEFT(L412,2)="15",AND(LEFT(M412,2)&lt;&gt;"15",LEFT(M412,2)&lt;&gt;"33"))),"x","")</f>
        <v/>
      </c>
      <c r="V412" s="525" t="str">
        <f>IF(AND(OR(LEFT(TH!L412,2)="15",LEFT(TH!M412,2)="15"),'152-CT'!$J$8=TH!F412),"x","")</f>
        <v/>
      </c>
      <c r="W412" s="525" t="str">
        <f>IF(AND(OR(LEFT(TH!L412,2)="15",LEFT(TH!M412,2)="15"),TK!$E$7=TH!F412),"x","")</f>
        <v/>
      </c>
      <c r="X412" s="525" t="str">
        <f>IF(AND('341-CT'!$E$9=H412,OR(LEFT(L412,3)=$X$7,LEFT(M412,3)=$X$7)),"x","")</f>
        <v/>
      </c>
      <c r="Y412" s="525" t="str">
        <f>IF(OR(TH!L412=TH!$Y$7,M412=TH!$Y$7),"x","")</f>
        <v/>
      </c>
      <c r="Z412" s="525" t="str">
        <f>IF(AND(B412&lt;=NKC!$N$8,B412&gt;=NKC!$M$8),"x","")</f>
        <v/>
      </c>
      <c r="AA412" s="535">
        <v>3</v>
      </c>
    </row>
    <row r="413" spans="1:27" s="503" customFormat="1" ht="15.75" customHeight="1">
      <c r="A413" s="517" t="str">
        <f>IF(B413&lt;&gt;"",IF(AND(B413&gt;=_TM1,B413&lt;=_TM2,OR(TH!L413="1111",TH!M413="1111")),TH!D413,""),"")</f>
        <v/>
      </c>
      <c r="B413" s="531">
        <f t="shared" si="49"/>
        <v>9</v>
      </c>
      <c r="C413" s="315">
        <f t="shared" si="50"/>
        <v>43003</v>
      </c>
      <c r="D413" s="315" t="s">
        <v>461</v>
      </c>
      <c r="E413" s="288">
        <v>43003</v>
      </c>
      <c r="F413" s="249" t="s">
        <v>473</v>
      </c>
      <c r="G413" s="314" t="s">
        <v>290</v>
      </c>
      <c r="H413" s="473"/>
      <c r="I413" s="307"/>
      <c r="J413" s="307"/>
      <c r="K413" s="532">
        <v>10000</v>
      </c>
      <c r="L413" s="533" t="s">
        <v>81</v>
      </c>
      <c r="M413" s="533" t="s">
        <v>24</v>
      </c>
      <c r="N413" s="525" t="str">
        <f>IF(AND('331-CT'!$E$7=TH!H413,OR(L413="331",M413="331")),"331",IF(AND(OR(L413="131",M413="131"),H413='131-CT'!$E$7),"131",""))</f>
        <v/>
      </c>
      <c r="O413" s="525" t="str">
        <f>IF(AND($B413&gt;='111'!$N$11,$B413&lt;='111'!$O$11,OR($L413=$O$7,$M413=$O$7)),"x","")</f>
        <v/>
      </c>
      <c r="P413" s="525" t="str">
        <f>IF(AND($L413=$O$7,$B413&lt;'111'!$N$11),"x","")</f>
        <v/>
      </c>
      <c r="Q413" s="525" t="str">
        <f>IF(AND($M413=$O$7,$B413&lt;'111'!$N$11),"x","")</f>
        <v/>
      </c>
      <c r="R413" s="525" t="str">
        <f>IF(ISERROR(FIND('112'!$M$9,G413,1)),"",IF((AND(FIND('112'!$M$9,G413,1)&gt;=1,$B413&gt;='112'!$N$8,$B413&lt;='112'!$O$8,OR($L413='112'!$I$6,$M413='112'!$I$6))),"x",""))</f>
        <v/>
      </c>
      <c r="S413" s="525" t="str">
        <f>IF(ISERROR(FIND('112'!$M$9,G413,1)),"",IF((AND(LEFT(G413,2)=LEFT('112'!$M$9,2),B413&lt;'112'!$N$8,$L413='112'!$I$6)),"x",""))</f>
        <v/>
      </c>
      <c r="T413" s="525" t="str">
        <f>IF(ISERROR(FIND('112'!$M$9,G413,1)),"",IF((AND(RIGHT(G413,2)=RIGHT('112'!$M$9,2),B413&lt;'112'!$N$8,$M413='112'!$I$6)),"x",""))</f>
        <v/>
      </c>
      <c r="U413" s="525" t="str">
        <f>IF(AND(B413&gt;='IN-NX'!$P$3,B413&lt;='IN-NX'!$Q$3,'IN-NX'!$D$7=D413,OR(LEFT(L413,2)="15",AND(LEFT(M413,2)&lt;&gt;"15",LEFT(M413,2)&lt;&gt;"33"))),"x","")</f>
        <v/>
      </c>
      <c r="V413" s="525" t="str">
        <f>IF(AND(OR(LEFT(TH!L413,2)="15",LEFT(TH!M413,2)="15"),'152-CT'!$J$8=TH!F413),"x","")</f>
        <v/>
      </c>
      <c r="W413" s="525" t="str">
        <f>IF(AND(OR(LEFT(TH!L413,2)="15",LEFT(TH!M413,2)="15"),TK!$E$7=TH!F413),"x","")</f>
        <v/>
      </c>
      <c r="X413" s="525" t="str">
        <f>IF(AND('341-CT'!$E$9=H413,OR(LEFT(L413,3)=$X$7,LEFT(M413,3)=$X$7)),"x","")</f>
        <v/>
      </c>
      <c r="Y413" s="525" t="str">
        <f>IF(OR(TH!L413=TH!$Y$7,M413=TH!$Y$7),"x","")</f>
        <v/>
      </c>
      <c r="Z413" s="525" t="str">
        <f>IF(AND(B413&lt;=NKC!$N$8,B413&gt;=NKC!$M$8),"x","")</f>
        <v/>
      </c>
      <c r="AA413" s="535">
        <v>3</v>
      </c>
    </row>
    <row r="414" spans="1:27" s="503" customFormat="1" ht="15.75" customHeight="1">
      <c r="A414" s="517" t="str">
        <f>IF(B414&lt;&gt;"",IF(AND(B414&gt;=_TM1,B414&lt;=_TM2,OR(TH!L414="1111",TH!M414="1111")),TH!D414,""),"")</f>
        <v/>
      </c>
      <c r="B414" s="531">
        <f t="shared" si="49"/>
        <v>9</v>
      </c>
      <c r="C414" s="315">
        <f t="shared" si="50"/>
        <v>43003</v>
      </c>
      <c r="D414" s="315" t="s">
        <v>461</v>
      </c>
      <c r="E414" s="288">
        <v>43003</v>
      </c>
      <c r="F414" s="249" t="s">
        <v>474</v>
      </c>
      <c r="G414" s="314" t="s">
        <v>290</v>
      </c>
      <c r="H414" s="472"/>
      <c r="I414" s="307"/>
      <c r="J414" s="307"/>
      <c r="K414" s="532">
        <v>1000</v>
      </c>
      <c r="L414" s="533" t="s">
        <v>9</v>
      </c>
      <c r="M414" s="533" t="s">
        <v>24</v>
      </c>
      <c r="N414" s="525" t="str">
        <f>IF(AND('331-CT'!$E$7=TH!H414,OR(L414="331",M414="331")),"331",IF(AND(OR(L414="131",M414="131"),H414='131-CT'!$E$7),"131",""))</f>
        <v/>
      </c>
      <c r="O414" s="525" t="str">
        <f>IF(AND($B414&gt;='111'!$N$11,$B414&lt;='111'!$O$11,OR($L414=$O$7,$M414=$O$7)),"x","")</f>
        <v/>
      </c>
      <c r="P414" s="525" t="str">
        <f>IF(AND($L414=$O$7,$B414&lt;'111'!$N$11),"x","")</f>
        <v/>
      </c>
      <c r="Q414" s="525" t="str">
        <f>IF(AND($M414=$O$7,$B414&lt;'111'!$N$11),"x","")</f>
        <v/>
      </c>
      <c r="R414" s="525" t="str">
        <f>IF(ISERROR(FIND('112'!$M$9,G414,1)),"",IF((AND(FIND('112'!$M$9,G414,1)&gt;=1,$B414&gt;='112'!$N$8,$B414&lt;='112'!$O$8,OR($L414='112'!$I$6,$M414='112'!$I$6))),"x",""))</f>
        <v/>
      </c>
      <c r="S414" s="525" t="str">
        <f>IF(ISERROR(FIND('112'!$M$9,G414,1)),"",IF((AND(LEFT(G414,2)=LEFT('112'!$M$9,2),B414&lt;'112'!$N$8,$L414='112'!$I$6)),"x",""))</f>
        <v/>
      </c>
      <c r="T414" s="525" t="str">
        <f>IF(ISERROR(FIND('112'!$M$9,G414,1)),"",IF((AND(RIGHT(G414,2)=RIGHT('112'!$M$9,2),B414&lt;'112'!$N$8,$M414='112'!$I$6)),"x",""))</f>
        <v/>
      </c>
      <c r="U414" s="525" t="str">
        <f>IF(AND(B414&gt;='IN-NX'!$P$3,B414&lt;='IN-NX'!$Q$3,'IN-NX'!$D$7=D414,OR(LEFT(L414,2)="15",AND(LEFT(M414,2)&lt;&gt;"15",LEFT(M414,2)&lt;&gt;"33"))),"x","")</f>
        <v/>
      </c>
      <c r="V414" s="525" t="str">
        <f>IF(AND(OR(LEFT(TH!L414,2)="15",LEFT(TH!M414,2)="15"),'152-CT'!$J$8=TH!F414),"x","")</f>
        <v/>
      </c>
      <c r="W414" s="525" t="str">
        <f>IF(AND(OR(LEFT(TH!L414,2)="15",LEFT(TH!M414,2)="15"),TK!$E$7=TH!F414),"x","")</f>
        <v/>
      </c>
      <c r="X414" s="525" t="str">
        <f>IF(AND('341-CT'!$E$9=H414,OR(LEFT(L414,3)=$X$7,LEFT(M414,3)=$X$7)),"x","")</f>
        <v/>
      </c>
      <c r="Y414" s="525" t="str">
        <f>IF(OR(TH!L414=TH!$Y$7,M414=TH!$Y$7),"x","")</f>
        <v/>
      </c>
      <c r="Z414" s="525" t="str">
        <f>IF(AND(B414&lt;=NKC!$N$8,B414&gt;=NKC!$M$8),"x","")</f>
        <v/>
      </c>
      <c r="AA414" s="535">
        <v>3</v>
      </c>
    </row>
    <row r="415" spans="1:27" s="503" customFormat="1" ht="15.75" customHeight="1">
      <c r="A415" s="517" t="str">
        <f>IF(B415&lt;&gt;"",IF(AND(B415&gt;=_TM1,B415&lt;=_TM2,OR(TH!L415="1111",TH!M415="1111")),TH!D415,""),"")</f>
        <v/>
      </c>
      <c r="B415" s="531">
        <f t="shared" si="49"/>
        <v>9</v>
      </c>
      <c r="C415" s="315">
        <f t="shared" si="50"/>
        <v>43004</v>
      </c>
      <c r="D415" s="315" t="s">
        <v>461</v>
      </c>
      <c r="E415" s="288">
        <v>43004</v>
      </c>
      <c r="F415" s="249" t="s">
        <v>465</v>
      </c>
      <c r="G415" s="314" t="s">
        <v>290</v>
      </c>
      <c r="H415" s="473" t="s">
        <v>460</v>
      </c>
      <c r="I415" s="284"/>
      <c r="J415" s="284"/>
      <c r="K415" s="532">
        <v>42300000</v>
      </c>
      <c r="L415" s="533" t="s">
        <v>45</v>
      </c>
      <c r="M415" s="533" t="s">
        <v>24</v>
      </c>
      <c r="N415" s="525" t="str">
        <f>IF(AND('331-CT'!$E$7=TH!H415,OR(L415="331",M415="331")),"331",IF(AND(OR(L415="131",M415="131"),H415='131-CT'!$E$7),"131",""))</f>
        <v/>
      </c>
      <c r="O415" s="525" t="str">
        <f>IF(AND($B415&gt;='111'!$N$11,$B415&lt;='111'!$O$11,OR($L415=$O$7,$M415=$O$7)),"x","")</f>
        <v/>
      </c>
      <c r="P415" s="525" t="str">
        <f>IF(AND($L415=$O$7,$B415&lt;'111'!$N$11),"x","")</f>
        <v>x</v>
      </c>
      <c r="Q415" s="525" t="str">
        <f>IF(AND($M415=$O$7,$B415&lt;'111'!$N$11),"x","")</f>
        <v/>
      </c>
      <c r="R415" s="525" t="str">
        <f>IF(ISERROR(FIND('112'!$M$9,G415,1)),"",IF((AND(FIND('112'!$M$9,G415,1)&gt;=1,$B415&gt;='112'!$N$8,$B415&lt;='112'!$O$8,OR($L415='112'!$I$6,$M415='112'!$I$6))),"x",""))</f>
        <v/>
      </c>
      <c r="S415" s="525" t="str">
        <f>IF(ISERROR(FIND('112'!$M$9,G415,1)),"",IF((AND(LEFT(G415,2)=LEFT('112'!$M$9,2),B415&lt;'112'!$N$8,$L415='112'!$I$6)),"x",""))</f>
        <v/>
      </c>
      <c r="T415" s="525" t="str">
        <f>IF(ISERROR(FIND('112'!$M$9,G415,1)),"",IF((AND(RIGHT(G415,2)=RIGHT('112'!$M$9,2),B415&lt;'112'!$N$8,$M415='112'!$I$6)),"x",""))</f>
        <v/>
      </c>
      <c r="U415" s="525" t="str">
        <f>IF(AND(B415&gt;='IN-NX'!$P$3,B415&lt;='IN-NX'!$Q$3,'IN-NX'!$D$7=D415,OR(LEFT(L415,2)="15",AND(LEFT(M415,2)&lt;&gt;"15",LEFT(M415,2)&lt;&gt;"33"))),"x","")</f>
        <v/>
      </c>
      <c r="V415" s="525" t="str">
        <f>IF(AND(OR(LEFT(TH!L415,2)="15",LEFT(TH!M415,2)="15"),'152-CT'!$J$8=TH!F415),"x","")</f>
        <v/>
      </c>
      <c r="W415" s="525" t="str">
        <f>IF(AND(OR(LEFT(TH!L415,2)="15",LEFT(TH!M415,2)="15"),TK!$E$7=TH!F415),"x","")</f>
        <v/>
      </c>
      <c r="X415" s="525" t="str">
        <f>IF(AND('341-CT'!$E$9=H415,OR(LEFT(L415,3)=$X$7,LEFT(M415,3)=$X$7)),"x","")</f>
        <v/>
      </c>
      <c r="Y415" s="525" t="str">
        <f>IF(OR(TH!L415=TH!$Y$7,M415=TH!$Y$7),"x","")</f>
        <v/>
      </c>
      <c r="Z415" s="525" t="str">
        <f>IF(AND(B415&lt;=NKC!$N$8,B415&gt;=NKC!$M$8),"x","")</f>
        <v/>
      </c>
      <c r="AA415" s="535"/>
    </row>
    <row r="416" spans="1:27" s="503" customFormat="1" ht="15.75" customHeight="1">
      <c r="A416" s="517" t="str">
        <f>IF(B416&lt;&gt;"",IF(AND(B416&gt;=_TM1,B416&lt;=_TM2,OR(TH!L416="1111",TH!M416="1111")),TH!D416,""),"")</f>
        <v/>
      </c>
      <c r="B416" s="531">
        <f t="shared" si="43"/>
        <v>9</v>
      </c>
      <c r="C416" s="315">
        <f t="shared" si="44"/>
        <v>43004</v>
      </c>
      <c r="D416" s="315" t="s">
        <v>461</v>
      </c>
      <c r="E416" s="288">
        <v>43004</v>
      </c>
      <c r="F416" s="249" t="s">
        <v>465</v>
      </c>
      <c r="G416" s="314" t="s">
        <v>290</v>
      </c>
      <c r="H416" s="473" t="s">
        <v>460</v>
      </c>
      <c r="I416" s="284"/>
      <c r="J416" s="284"/>
      <c r="K416" s="532">
        <v>6100000</v>
      </c>
      <c r="L416" s="533" t="s">
        <v>45</v>
      </c>
      <c r="M416" s="533" t="s">
        <v>24</v>
      </c>
      <c r="N416" s="525" t="str">
        <f>IF(AND('331-CT'!$E$7=TH!H416,OR(L416="331",M416="331")),"331",IF(AND(OR(L416="131",M416="131"),H416='131-CT'!$E$7),"131",""))</f>
        <v/>
      </c>
      <c r="O416" s="525" t="str">
        <f>IF(AND($B416&gt;='111'!$N$11,$B416&lt;='111'!$O$11,OR($L416=$O$7,$M416=$O$7)),"x","")</f>
        <v/>
      </c>
      <c r="P416" s="525" t="str">
        <f>IF(AND($L416=$O$7,$B416&lt;'111'!$N$11),"x","")</f>
        <v>x</v>
      </c>
      <c r="Q416" s="525" t="str">
        <f>IF(AND($M416=$O$7,$B416&lt;'111'!$N$11),"x","")</f>
        <v/>
      </c>
      <c r="R416" s="525" t="str">
        <f>IF(ISERROR(FIND('112'!$M$9,G416,1)),"",IF((AND(FIND('112'!$M$9,G416,1)&gt;=1,$B416&gt;='112'!$N$8,$B416&lt;='112'!$O$8,OR($L416='112'!$I$6,$M416='112'!$I$6))),"x",""))</f>
        <v/>
      </c>
      <c r="S416" s="525" t="str">
        <f>IF(ISERROR(FIND('112'!$M$9,G416,1)),"",IF((AND(LEFT(G416,2)=LEFT('112'!$M$9,2),B416&lt;'112'!$N$8,$L416='112'!$I$6)),"x",""))</f>
        <v/>
      </c>
      <c r="T416" s="525" t="str">
        <f>IF(ISERROR(FIND('112'!$M$9,G416,1)),"",IF((AND(RIGHT(G416,2)=RIGHT('112'!$M$9,2),B416&lt;'112'!$N$8,$M416='112'!$I$6)),"x",""))</f>
        <v/>
      </c>
      <c r="U416" s="525" t="str">
        <f>IF(AND(B416&gt;='IN-NX'!$P$3,B416&lt;='IN-NX'!$Q$3,'IN-NX'!$D$7=D416,OR(LEFT(L416,2)="15",AND(LEFT(M416,2)&lt;&gt;"15",LEFT(M416,2)&lt;&gt;"33"))),"x","")</f>
        <v/>
      </c>
      <c r="V416" s="525" t="str">
        <f>IF(AND(OR(LEFT(TH!L416,2)="15",LEFT(TH!M416,2)="15"),'152-CT'!$J$8=TH!F416),"x","")</f>
        <v/>
      </c>
      <c r="W416" s="525" t="str">
        <f>IF(AND(OR(LEFT(TH!L416,2)="15",LEFT(TH!M416,2)="15"),TK!$E$7=TH!F416),"x","")</f>
        <v/>
      </c>
      <c r="X416" s="525" t="str">
        <f>IF(AND('341-CT'!$E$9=H416,OR(LEFT(L416,3)=$X$7,LEFT(M416,3)=$X$7)),"x","")</f>
        <v/>
      </c>
      <c r="Y416" s="525" t="str">
        <f>IF(OR(TH!L416=TH!$Y$7,M416=TH!$Y$7),"x","")</f>
        <v/>
      </c>
      <c r="Z416" s="525" t="str">
        <f>IF(AND(B416&lt;=NKC!$N$8,B416&gt;=NKC!$M$8),"x","")</f>
        <v/>
      </c>
      <c r="AA416" s="535"/>
    </row>
    <row r="417" spans="1:28" s="503" customFormat="1" ht="15.75" customHeight="1">
      <c r="A417" s="517" t="str">
        <f>IF(B417&lt;&gt;"",IF(AND(B417&gt;=_TM1,B417&lt;=_TM2,OR(TH!L417="1111",TH!M417="1111")),TH!D417,""),"")</f>
        <v/>
      </c>
      <c r="B417" s="531">
        <f t="shared" ref="B417:B418" si="51">IF(C417&lt;&gt;"",MONTH(C417),"")</f>
        <v>1</v>
      </c>
      <c r="C417" s="315">
        <f t="shared" ref="C417:C418" si="52">E417</f>
        <v>0</v>
      </c>
      <c r="D417" s="315" t="s">
        <v>461</v>
      </c>
      <c r="E417" s="288"/>
      <c r="F417" s="249"/>
      <c r="G417" s="314" t="s">
        <v>290</v>
      </c>
      <c r="H417" s="473"/>
      <c r="I417" s="307"/>
      <c r="J417" s="307"/>
      <c r="K417" s="532"/>
      <c r="L417" s="533"/>
      <c r="M417" s="533" t="s">
        <v>24</v>
      </c>
      <c r="N417" s="525" t="str">
        <f>IF(AND('331-CT'!$E$7=TH!H417,OR(L417="331",M417="331")),"331",IF(AND(OR(L417="131",M417="131"),H417='131-CT'!$E$7),"131",""))</f>
        <v/>
      </c>
      <c r="O417" s="525" t="str">
        <f>IF(AND($B417&gt;='111'!$N$11,$B417&lt;='111'!$O$11,OR($L417=$O$7,$M417=$O$7)),"x","")</f>
        <v/>
      </c>
      <c r="P417" s="525" t="str">
        <f>IF(AND($L417=$O$7,$B417&lt;'111'!$N$11),"x","")</f>
        <v/>
      </c>
      <c r="Q417" s="525" t="str">
        <f>IF(AND($M417=$O$7,$B417&lt;'111'!$N$11),"x","")</f>
        <v/>
      </c>
      <c r="R417" s="525" t="str">
        <f>IF(ISERROR(FIND('112'!$M$9,G417,1)),"",IF((AND(FIND('112'!$M$9,G417,1)&gt;=1,$B417&gt;='112'!$N$8,$B417&lt;='112'!$O$8,OR($L417='112'!$I$6,$M417='112'!$I$6))),"x",""))</f>
        <v/>
      </c>
      <c r="S417" s="525" t="str">
        <f>IF(ISERROR(FIND('112'!$M$9,G417,1)),"",IF((AND(LEFT(G417,2)=LEFT('112'!$M$9,2),B417&lt;'112'!$N$8,$L417='112'!$I$6)),"x",""))</f>
        <v/>
      </c>
      <c r="T417" s="525" t="str">
        <f>IF(ISERROR(FIND('112'!$M$9,G417,1)),"",IF((AND(RIGHT(G417,2)=RIGHT('112'!$M$9,2),B417&lt;'112'!$N$8,$M417='112'!$I$6)),"x",""))</f>
        <v/>
      </c>
      <c r="U417" s="525" t="str">
        <f>IF(AND(B417&gt;='IN-NX'!$P$3,B417&lt;='IN-NX'!$Q$3,'IN-NX'!$D$7=D417,OR(LEFT(L417,2)="15",AND(LEFT(M417,2)&lt;&gt;"15",LEFT(M417,2)&lt;&gt;"33"))),"x","")</f>
        <v/>
      </c>
      <c r="V417" s="525" t="str">
        <f>IF(AND(OR(LEFT(TH!L417,2)="15",LEFT(TH!M417,2)="15"),'152-CT'!$J$8=TH!F417),"x","")</f>
        <v/>
      </c>
      <c r="W417" s="525" t="str">
        <f>IF(AND(OR(LEFT(TH!L417,2)="15",LEFT(TH!M417,2)="15"),TK!$E$7=TH!F417),"x","")</f>
        <v/>
      </c>
      <c r="X417" s="525" t="str">
        <f>IF(AND('341-CT'!$E$9=H417,OR(LEFT(L417,3)=$X$7,LEFT(M417,3)=$X$7)),"x","")</f>
        <v/>
      </c>
      <c r="Y417" s="525" t="str">
        <f>IF(OR(TH!L417=TH!$Y$7,M417=TH!$Y$7),"x","")</f>
        <v/>
      </c>
      <c r="Z417" s="525" t="str">
        <f>IF(AND(B417&lt;=NKC!$N$8,B417&gt;=NKC!$M$8),"x","")</f>
        <v>x</v>
      </c>
      <c r="AA417" s="535"/>
    </row>
    <row r="418" spans="1:28" s="503" customFormat="1" ht="15.75" customHeight="1">
      <c r="A418" s="517" t="str">
        <f>IF(B418&lt;&gt;"",IF(AND(B418&gt;=_TM1,B418&lt;=_TM2,OR(TH!L418="1111",TH!M418="1111")),TH!D418,""),"")</f>
        <v/>
      </c>
      <c r="B418" s="531">
        <f t="shared" si="51"/>
        <v>1</v>
      </c>
      <c r="C418" s="315">
        <f t="shared" si="52"/>
        <v>0</v>
      </c>
      <c r="D418" s="315" t="s">
        <v>461</v>
      </c>
      <c r="E418" s="288"/>
      <c r="F418" s="249"/>
      <c r="G418" s="314" t="s">
        <v>290</v>
      </c>
      <c r="H418" s="473"/>
      <c r="I418" s="284"/>
      <c r="J418" s="284"/>
      <c r="K418" s="532"/>
      <c r="L418" s="533"/>
      <c r="M418" s="533" t="s">
        <v>24</v>
      </c>
      <c r="N418" s="525" t="str">
        <f>IF(AND('331-CT'!$E$7=TH!H418,OR(L418="331",M418="331")),"331",IF(AND(OR(L418="131",M418="131"),H418='131-CT'!$E$7),"131",""))</f>
        <v/>
      </c>
      <c r="O418" s="525" t="str">
        <f>IF(AND($B418&gt;='111'!$N$11,$B418&lt;='111'!$O$11,OR($L418=$O$7,$M418=$O$7)),"x","")</f>
        <v/>
      </c>
      <c r="P418" s="525" t="str">
        <f>IF(AND($L418=$O$7,$B418&lt;'111'!$N$11),"x","")</f>
        <v/>
      </c>
      <c r="Q418" s="525" t="str">
        <f>IF(AND($M418=$O$7,$B418&lt;'111'!$N$11),"x","")</f>
        <v/>
      </c>
      <c r="R418" s="525" t="str">
        <f>IF(ISERROR(FIND('112'!$M$9,G418,1)),"",IF((AND(FIND('112'!$M$9,G418,1)&gt;=1,$B418&gt;='112'!$N$8,$B418&lt;='112'!$O$8,OR($L418='112'!$I$6,$M418='112'!$I$6))),"x",""))</f>
        <v/>
      </c>
      <c r="S418" s="525" t="str">
        <f>IF(ISERROR(FIND('112'!$M$9,G418,1)),"",IF((AND(LEFT(G418,2)=LEFT('112'!$M$9,2),B418&lt;'112'!$N$8,$L418='112'!$I$6)),"x",""))</f>
        <v/>
      </c>
      <c r="T418" s="525" t="str">
        <f>IF(ISERROR(FIND('112'!$M$9,G418,1)),"",IF((AND(RIGHT(G418,2)=RIGHT('112'!$M$9,2),B418&lt;'112'!$N$8,$M418='112'!$I$6)),"x",""))</f>
        <v/>
      </c>
      <c r="U418" s="525" t="str">
        <f>IF(AND(B418&gt;='IN-NX'!$P$3,B418&lt;='IN-NX'!$Q$3,'IN-NX'!$D$7=D418,OR(LEFT(L418,2)="15",AND(LEFT(M418,2)&lt;&gt;"15",LEFT(M418,2)&lt;&gt;"33"))),"x","")</f>
        <v/>
      </c>
      <c r="V418" s="525" t="str">
        <f>IF(AND(OR(LEFT(TH!L418,2)="15",LEFT(TH!M418,2)="15"),'152-CT'!$J$8=TH!F418),"x","")</f>
        <v/>
      </c>
      <c r="W418" s="525" t="str">
        <f>IF(AND(OR(LEFT(TH!L418,2)="15",LEFT(TH!M418,2)="15"),TK!$E$7=TH!F418),"x","")</f>
        <v/>
      </c>
      <c r="X418" s="525" t="str">
        <f>IF(AND('341-CT'!$E$9=H418,OR(LEFT(L418,3)=$X$7,LEFT(M418,3)=$X$7)),"x","")</f>
        <v/>
      </c>
      <c r="Y418" s="525" t="str">
        <f>IF(OR(TH!L418=TH!$Y$7,M418=TH!$Y$7),"x","")</f>
        <v/>
      </c>
      <c r="Z418" s="525" t="str">
        <f>IF(AND(B418&lt;=NKC!$N$8,B418&gt;=NKC!$M$8),"x","")</f>
        <v>x</v>
      </c>
      <c r="AA418" s="535"/>
    </row>
    <row r="419" spans="1:28" s="503" customFormat="1" ht="15.75" customHeight="1">
      <c r="A419" s="517" t="str">
        <f>IF(B419&lt;&gt;"",IF(AND(B419&gt;=_TM1,B419&lt;=_TM2,OR(TH!L419="1111",TH!M419="1111")),TH!D419,""),"")</f>
        <v/>
      </c>
      <c r="B419" s="531">
        <f t="shared" si="35"/>
        <v>1</v>
      </c>
      <c r="C419" s="315">
        <f t="shared" si="36"/>
        <v>0</v>
      </c>
      <c r="D419" s="315" t="s">
        <v>461</v>
      </c>
      <c r="E419" s="288"/>
      <c r="F419" s="249"/>
      <c r="G419" s="314" t="s">
        <v>290</v>
      </c>
      <c r="H419" s="473"/>
      <c r="I419" s="307"/>
      <c r="J419" s="307"/>
      <c r="K419" s="532"/>
      <c r="L419" s="533"/>
      <c r="M419" s="533" t="s">
        <v>24</v>
      </c>
      <c r="N419" s="525" t="str">
        <f>IF(AND('331-CT'!$E$7=TH!H419,OR(L419="331",M419="331")),"331",IF(AND(OR(L419="131",M419="131"),H419='131-CT'!$E$7),"131",""))</f>
        <v/>
      </c>
      <c r="O419" s="525" t="str">
        <f>IF(AND($B419&gt;='111'!$N$11,$B419&lt;='111'!$O$11,OR($L419=$O$7,$M419=$O$7)),"x","")</f>
        <v/>
      </c>
      <c r="P419" s="525" t="str">
        <f>IF(AND($L419=$O$7,$B419&lt;'111'!$N$11),"x","")</f>
        <v/>
      </c>
      <c r="Q419" s="525" t="str">
        <f>IF(AND($M419=$O$7,$B419&lt;'111'!$N$11),"x","")</f>
        <v/>
      </c>
      <c r="R419" s="525" t="str">
        <f>IF(ISERROR(FIND('112'!$M$9,G419,1)),"",IF((AND(FIND('112'!$M$9,G419,1)&gt;=1,$B419&gt;='112'!$N$8,$B419&lt;='112'!$O$8,OR($L419='112'!$I$6,$M419='112'!$I$6))),"x",""))</f>
        <v/>
      </c>
      <c r="S419" s="525" t="str">
        <f>IF(ISERROR(FIND('112'!$M$9,G419,1)),"",IF((AND(LEFT(G419,2)=LEFT('112'!$M$9,2),B419&lt;'112'!$N$8,$L419='112'!$I$6)),"x",""))</f>
        <v/>
      </c>
      <c r="T419" s="525" t="str">
        <f>IF(ISERROR(FIND('112'!$M$9,G419,1)),"",IF((AND(RIGHT(G419,2)=RIGHT('112'!$M$9,2),B419&lt;'112'!$N$8,$M419='112'!$I$6)),"x",""))</f>
        <v/>
      </c>
      <c r="U419" s="525" t="str">
        <f>IF(AND(B419&gt;='IN-NX'!$P$3,B419&lt;='IN-NX'!$Q$3,'IN-NX'!$D$7=D419,OR(LEFT(L419,2)="15",AND(LEFT(M419,2)&lt;&gt;"15",LEFT(M419,2)&lt;&gt;"33"))),"x","")</f>
        <v/>
      </c>
      <c r="V419" s="525" t="str">
        <f>IF(AND(OR(LEFT(TH!L419,2)="15",LEFT(TH!M419,2)="15"),'152-CT'!$J$8=TH!F419),"x","")</f>
        <v/>
      </c>
      <c r="W419" s="525" t="str">
        <f>IF(AND(OR(LEFT(TH!L419,2)="15",LEFT(TH!M419,2)="15"),TK!$E$7=TH!F419),"x","")</f>
        <v/>
      </c>
      <c r="X419" s="525" t="str">
        <f>IF(AND('341-CT'!$E$9=H419,OR(LEFT(L419,3)=$X$7,LEFT(M419,3)=$X$7)),"x","")</f>
        <v/>
      </c>
      <c r="Y419" s="525" t="str">
        <f>IF(OR(TH!L419=TH!$Y$7,M419=TH!$Y$7),"x","")</f>
        <v/>
      </c>
      <c r="Z419" s="525" t="str">
        <f>IF(AND(B419&lt;=NKC!$N$8,B419&gt;=NKC!$M$8),"x","")</f>
        <v>x</v>
      </c>
      <c r="AA419" s="535"/>
    </row>
    <row r="420" spans="1:28" s="503" customFormat="1" ht="15.75" customHeight="1">
      <c r="A420" s="517" t="str">
        <f>IF(B420&lt;&gt;"",IF(AND(B420&gt;=_TM1,B420&lt;=_TM2,OR(TH!L420="1111",TH!M420="1111")),TH!D420,""),"")</f>
        <v/>
      </c>
      <c r="B420" s="531">
        <f t="shared" ref="B420" si="53">IF(C420&lt;&gt;"",MONTH(C420),"")</f>
        <v>1</v>
      </c>
      <c r="C420" s="315">
        <f t="shared" ref="C420" si="54">E420</f>
        <v>0</v>
      </c>
      <c r="D420" s="315" t="s">
        <v>461</v>
      </c>
      <c r="E420" s="288"/>
      <c r="F420" s="249"/>
      <c r="G420" s="314" t="s">
        <v>290</v>
      </c>
      <c r="H420" s="473"/>
      <c r="I420" s="284"/>
      <c r="J420" s="284"/>
      <c r="K420" s="532"/>
      <c r="L420" s="533"/>
      <c r="M420" s="533" t="s">
        <v>24</v>
      </c>
      <c r="N420" s="525" t="str">
        <f>IF(AND('331-CT'!$E$7=TH!H420,OR(L420="331",M420="331")),"331",IF(AND(OR(L420="131",M420="131"),H420='131-CT'!$E$7),"131",""))</f>
        <v/>
      </c>
      <c r="O420" s="525" t="str">
        <f>IF(AND($B420&gt;='111'!$N$11,$B420&lt;='111'!$O$11,OR($L420=$O$7,$M420=$O$7)),"x","")</f>
        <v/>
      </c>
      <c r="P420" s="525" t="str">
        <f>IF(AND($L420=$O$7,$B420&lt;'111'!$N$11),"x","")</f>
        <v/>
      </c>
      <c r="Q420" s="525" t="str">
        <f>IF(AND($M420=$O$7,$B420&lt;'111'!$N$11),"x","")</f>
        <v/>
      </c>
      <c r="R420" s="525" t="str">
        <f>IF(ISERROR(FIND('112'!$M$9,G420,1)),"",IF((AND(FIND('112'!$M$9,G420,1)&gt;=1,$B420&gt;='112'!$N$8,$B420&lt;='112'!$O$8,OR($L420='112'!$I$6,$M420='112'!$I$6))),"x",""))</f>
        <v/>
      </c>
      <c r="S420" s="525" t="str">
        <f>IF(ISERROR(FIND('112'!$M$9,G420,1)),"",IF((AND(LEFT(G420,2)=LEFT('112'!$M$9,2),B420&lt;'112'!$N$8,$L420='112'!$I$6)),"x",""))</f>
        <v/>
      </c>
      <c r="T420" s="525" t="str">
        <f>IF(ISERROR(FIND('112'!$M$9,G420,1)),"",IF((AND(RIGHT(G420,2)=RIGHT('112'!$M$9,2),B420&lt;'112'!$N$8,$M420='112'!$I$6)),"x",""))</f>
        <v/>
      </c>
      <c r="U420" s="525" t="str">
        <f>IF(AND(B420&gt;='IN-NX'!$P$3,B420&lt;='IN-NX'!$Q$3,'IN-NX'!$D$7=D420,OR(LEFT(L420,2)="15",AND(LEFT(M420,2)&lt;&gt;"15",LEFT(M420,2)&lt;&gt;"33"))),"x","")</f>
        <v/>
      </c>
      <c r="V420" s="525" t="str">
        <f>IF(AND(OR(LEFT(TH!L420,2)="15",LEFT(TH!M420,2)="15"),'152-CT'!$J$8=TH!F420),"x","")</f>
        <v/>
      </c>
      <c r="W420" s="525" t="str">
        <f>IF(AND(OR(LEFT(TH!L420,2)="15",LEFT(TH!M420,2)="15"),TK!$E$7=TH!F420),"x","")</f>
        <v/>
      </c>
      <c r="X420" s="525" t="str">
        <f>IF(AND('341-CT'!$E$9=H420,OR(LEFT(L420,3)=$X$7,LEFT(M420,3)=$X$7)),"x","")</f>
        <v/>
      </c>
      <c r="Y420" s="525" t="str">
        <f>IF(OR(TH!L420=TH!$Y$7,M420=TH!$Y$7),"x","")</f>
        <v/>
      </c>
      <c r="Z420" s="525" t="str">
        <f>IF(AND(B420&lt;=NKC!$N$8,B420&gt;=NKC!$M$8),"x","")</f>
        <v>x</v>
      </c>
      <c r="AA420" s="535"/>
    </row>
    <row r="421" spans="1:28" s="503" customFormat="1" ht="15.75" customHeight="1">
      <c r="A421" s="517" t="str">
        <f>IF(B421&lt;&gt;"",IF(AND(B421&gt;=_TM1,B421&lt;=_TM2,OR(TH!L421="1111",TH!M421="1111")),TH!D421,""),"")</f>
        <v/>
      </c>
      <c r="B421" s="531">
        <f t="shared" ref="B421:B452" si="55">IF(C421&lt;&gt;"",MONTH(C421),"")</f>
        <v>1</v>
      </c>
      <c r="C421" s="315">
        <f t="shared" ref="C421:C452" si="56">E421</f>
        <v>42746</v>
      </c>
      <c r="D421" s="315" t="s">
        <v>456</v>
      </c>
      <c r="E421" s="288">
        <v>42746</v>
      </c>
      <c r="F421" s="248" t="s">
        <v>457</v>
      </c>
      <c r="G421" s="314" t="s">
        <v>440</v>
      </c>
      <c r="H421" s="473" t="s">
        <v>420</v>
      </c>
      <c r="I421" s="307"/>
      <c r="J421" s="307"/>
      <c r="K421" s="532">
        <v>500000000</v>
      </c>
      <c r="L421" s="533" t="s">
        <v>24</v>
      </c>
      <c r="M421" s="533" t="s">
        <v>223</v>
      </c>
      <c r="N421" s="525" t="str">
        <f>IF(AND('331-CT'!$E$7=TH!H421,OR(L421="331",M421="331")),"331",IF(AND(OR(L421="131",M421="131"),H421='131-CT'!$E$7),"131",""))</f>
        <v>131</v>
      </c>
      <c r="O421" s="525" t="str">
        <f>IF(AND($B421&gt;='111'!$N$11,$B421&lt;='111'!$O$11,OR($L421=$O$7,$M421=$O$7)),"x","")</f>
        <v/>
      </c>
      <c r="P421" s="525" t="str">
        <f>IF(AND($L421=$O$7,$B421&lt;'111'!$N$11),"x","")</f>
        <v/>
      </c>
      <c r="Q421" s="525" t="str">
        <f>IF(AND($M421=$O$7,$B421&lt;'111'!$N$11),"x","")</f>
        <v/>
      </c>
      <c r="R421" s="525" t="str">
        <f>IF(ISERROR(FIND('112'!$M$9,G421,1)),"",IF((AND(FIND('112'!$M$9,G421,1)&gt;=1,$B421&gt;='112'!$N$8,$B421&lt;='112'!$O$8,OR($L421='112'!$I$6,$M421='112'!$I$6))),"x",""))</f>
        <v/>
      </c>
      <c r="S421" s="525" t="str">
        <f>IF(ISERROR(FIND('112'!$M$9,G421,1)),"",IF((AND(LEFT(G421,2)=LEFT('112'!$M$9,2),B421&lt;'112'!$N$8,$L421='112'!$I$6)),"x",""))</f>
        <v>x</v>
      </c>
      <c r="T421" s="525" t="str">
        <f>IF(ISERROR(FIND('112'!$M$9,G421,1)),"",IF((AND(RIGHT(G421,2)=RIGHT('112'!$M$9,2),B421&lt;'112'!$N$8,$M421='112'!$I$6)),"x",""))</f>
        <v/>
      </c>
      <c r="U421" s="525" t="str">
        <f>IF(AND(B421&gt;='IN-NX'!$P$3,B421&lt;='IN-NX'!$Q$3,'IN-NX'!$D$7=D421,OR(LEFT(L421,2)="15",AND(LEFT(M421,2)&lt;&gt;"15",LEFT(M421,2)&lt;&gt;"33"))),"x","")</f>
        <v/>
      </c>
      <c r="V421" s="525" t="str">
        <f>IF(AND(OR(LEFT(TH!L421,2)="15",LEFT(TH!M421,2)="15"),'152-CT'!$J$8=TH!F421),"x","")</f>
        <v/>
      </c>
      <c r="W421" s="525" t="str">
        <f>IF(AND(OR(LEFT(TH!L421,2)="15",LEFT(TH!M421,2)="15"),TK!$E$7=TH!F421),"x","")</f>
        <v/>
      </c>
      <c r="X421" s="525" t="str">
        <f>IF(AND('341-CT'!$E$9=H421,OR(LEFT(L421,3)=$X$7,LEFT(M421,3)=$X$7)),"x","")</f>
        <v/>
      </c>
      <c r="Y421" s="525" t="str">
        <f>IF(OR(TH!L421=TH!$Y$7,M421=TH!$Y$7),"x","")</f>
        <v/>
      </c>
      <c r="Z421" s="525" t="str">
        <f>IF(AND(B421&lt;=NKC!$N$8,B421&gt;=NKC!$M$8),"x","")</f>
        <v>x</v>
      </c>
      <c r="AA421" s="535"/>
    </row>
    <row r="422" spans="1:28" s="503" customFormat="1" ht="15.75" customHeight="1">
      <c r="A422" s="517" t="str">
        <f>IF(B422&lt;&gt;"",IF(AND(B422&gt;=_TM1,B422&lt;=_TM2,OR(TH!L422="1111",TH!M422="1111")),TH!D422,""),"")</f>
        <v/>
      </c>
      <c r="B422" s="531">
        <f t="shared" si="55"/>
        <v>1</v>
      </c>
      <c r="C422" s="315">
        <f t="shared" si="56"/>
        <v>42747</v>
      </c>
      <c r="D422" s="315" t="s">
        <v>456</v>
      </c>
      <c r="E422" s="288">
        <v>42747</v>
      </c>
      <c r="F422" s="248" t="s">
        <v>457</v>
      </c>
      <c r="G422" s="314" t="s">
        <v>440</v>
      </c>
      <c r="H422" s="473" t="s">
        <v>284</v>
      </c>
      <c r="I422" s="307"/>
      <c r="J422" s="307"/>
      <c r="K422" s="532">
        <v>99967000</v>
      </c>
      <c r="L422" s="533" t="s">
        <v>24</v>
      </c>
      <c r="M422" s="533" t="s">
        <v>223</v>
      </c>
      <c r="N422" s="525" t="str">
        <f>IF(AND('331-CT'!$E$7=TH!H422,OR(L422="331",M422="331")),"331",IF(AND(OR(L422="131",M422="131"),H422='131-CT'!$E$7),"131",""))</f>
        <v/>
      </c>
      <c r="O422" s="525" t="str">
        <f>IF(AND($B422&gt;='111'!$N$11,$B422&lt;='111'!$O$11,OR($L422=$O$7,$M422=$O$7)),"x","")</f>
        <v/>
      </c>
      <c r="P422" s="525" t="str">
        <f>IF(AND($L422=$O$7,$B422&lt;'111'!$N$11),"x","")</f>
        <v/>
      </c>
      <c r="Q422" s="525" t="str">
        <f>IF(AND($M422=$O$7,$B422&lt;'111'!$N$11),"x","")</f>
        <v/>
      </c>
      <c r="R422" s="525" t="str">
        <f>IF(ISERROR(FIND('112'!$M$9,G422,1)),"",IF((AND(FIND('112'!$M$9,G422,1)&gt;=1,$B422&gt;='112'!$N$8,$B422&lt;='112'!$O$8,OR($L422='112'!$I$6,$M422='112'!$I$6))),"x",""))</f>
        <v/>
      </c>
      <c r="S422" s="525" t="str">
        <f>IF(ISERROR(FIND('112'!$M$9,G422,1)),"",IF((AND(LEFT(G422,2)=LEFT('112'!$M$9,2),B422&lt;'112'!$N$8,$L422='112'!$I$6)),"x",""))</f>
        <v>x</v>
      </c>
      <c r="T422" s="525" t="str">
        <f>IF(ISERROR(FIND('112'!$M$9,G422,1)),"",IF((AND(RIGHT(G422,2)=RIGHT('112'!$M$9,2),B422&lt;'112'!$N$8,$M422='112'!$I$6)),"x",""))</f>
        <v/>
      </c>
      <c r="U422" s="525" t="str">
        <f>IF(AND(B422&gt;='IN-NX'!$P$3,B422&lt;='IN-NX'!$Q$3,'IN-NX'!$D$7=D422,OR(LEFT(L422,2)="15",AND(LEFT(M422,2)&lt;&gt;"15",LEFT(M422,2)&lt;&gt;"33"))),"x","")</f>
        <v/>
      </c>
      <c r="V422" s="525" t="str">
        <f>IF(AND(OR(LEFT(TH!L422,2)="15",LEFT(TH!M422,2)="15"),'152-CT'!$J$8=TH!F422),"x","")</f>
        <v/>
      </c>
      <c r="W422" s="525" t="str">
        <f>IF(AND(OR(LEFT(TH!L422,2)="15",LEFT(TH!M422,2)="15"),TK!$E$7=TH!F422),"x","")</f>
        <v/>
      </c>
      <c r="X422" s="525" t="str">
        <f>IF(AND('341-CT'!$E$9=H422,OR(LEFT(L422,3)=$X$7,LEFT(M422,3)=$X$7)),"x","")</f>
        <v/>
      </c>
      <c r="Y422" s="525" t="str">
        <f>IF(OR(TH!L422=TH!$Y$7,M422=TH!$Y$7),"x","")</f>
        <v/>
      </c>
      <c r="Z422" s="525" t="str">
        <f>IF(AND(B422&lt;=NKC!$N$8,B422&gt;=NKC!$M$8),"x","")</f>
        <v>x</v>
      </c>
      <c r="AA422" s="535"/>
    </row>
    <row r="423" spans="1:28" s="503" customFormat="1" ht="15.75" customHeight="1">
      <c r="A423" s="517" t="str">
        <f>IF(B423&lt;&gt;"",IF(AND(B423&gt;=_TM1,B423&lt;=_TM2,OR(TH!L423="1111",TH!M423="1111")),TH!D423,""),"")</f>
        <v/>
      </c>
      <c r="B423" s="531">
        <f t="shared" si="55"/>
        <v>1</v>
      </c>
      <c r="C423" s="315">
        <f t="shared" si="56"/>
        <v>42752</v>
      </c>
      <c r="D423" s="315" t="s">
        <v>456</v>
      </c>
      <c r="E423" s="288">
        <v>42752</v>
      </c>
      <c r="F423" s="248" t="s">
        <v>457</v>
      </c>
      <c r="G423" s="314" t="s">
        <v>440</v>
      </c>
      <c r="H423" s="473" t="s">
        <v>284</v>
      </c>
      <c r="I423" s="307"/>
      <c r="J423" s="307"/>
      <c r="K423" s="532">
        <v>106443467</v>
      </c>
      <c r="L423" s="533" t="s">
        <v>24</v>
      </c>
      <c r="M423" s="533" t="s">
        <v>223</v>
      </c>
      <c r="N423" s="525" t="str">
        <f>IF(AND('331-CT'!$E$7=TH!H423,OR(L423="331",M423="331")),"331",IF(AND(OR(L423="131",M423="131"),H423='131-CT'!$E$7),"131",""))</f>
        <v/>
      </c>
      <c r="O423" s="525" t="str">
        <f>IF(AND($B423&gt;='111'!$N$11,$B423&lt;='111'!$O$11,OR($L423=$O$7,$M423=$O$7)),"x","")</f>
        <v/>
      </c>
      <c r="P423" s="525" t="str">
        <f>IF(AND($L423=$O$7,$B423&lt;'111'!$N$11),"x","")</f>
        <v/>
      </c>
      <c r="Q423" s="525" t="str">
        <f>IF(AND($M423=$O$7,$B423&lt;'111'!$N$11),"x","")</f>
        <v/>
      </c>
      <c r="R423" s="525" t="str">
        <f>IF(ISERROR(FIND('112'!$M$9,G423,1)),"",IF((AND(FIND('112'!$M$9,G423,1)&gt;=1,$B423&gt;='112'!$N$8,$B423&lt;='112'!$O$8,OR($L423='112'!$I$6,$M423='112'!$I$6))),"x",""))</f>
        <v/>
      </c>
      <c r="S423" s="525" t="str">
        <f>IF(ISERROR(FIND('112'!$M$9,G423,1)),"",IF((AND(LEFT(G423,2)=LEFT('112'!$M$9,2),B423&lt;'112'!$N$8,$L423='112'!$I$6)),"x",""))</f>
        <v>x</v>
      </c>
      <c r="T423" s="525" t="str">
        <f>IF(ISERROR(FIND('112'!$M$9,G423,1)),"",IF((AND(RIGHT(G423,2)=RIGHT('112'!$M$9,2),B423&lt;'112'!$N$8,$M423='112'!$I$6)),"x",""))</f>
        <v/>
      </c>
      <c r="U423" s="525" t="str">
        <f>IF(AND(B423&gt;='IN-NX'!$P$3,B423&lt;='IN-NX'!$Q$3,'IN-NX'!$D$7=D423,OR(LEFT(L423,2)="15",AND(LEFT(M423,2)&lt;&gt;"15",LEFT(M423,2)&lt;&gt;"33"))),"x","")</f>
        <v/>
      </c>
      <c r="V423" s="525" t="str">
        <f>IF(AND(OR(LEFT(TH!L423,2)="15",LEFT(TH!M423,2)="15"),'152-CT'!$J$8=TH!F423),"x","")</f>
        <v/>
      </c>
      <c r="W423" s="525" t="str">
        <f>IF(AND(OR(LEFT(TH!L423,2)="15",LEFT(TH!M423,2)="15"),TK!$E$7=TH!F423),"x","")</f>
        <v/>
      </c>
      <c r="X423" s="525" t="str">
        <f>IF(AND('341-CT'!$E$9=H423,OR(LEFT(L423,3)=$X$7,LEFT(M423,3)=$X$7)),"x","")</f>
        <v/>
      </c>
      <c r="Y423" s="525" t="str">
        <f>IF(OR(TH!L423=TH!$Y$7,M423=TH!$Y$7),"x","")</f>
        <v/>
      </c>
      <c r="Z423" s="525" t="str">
        <f>IF(AND(B423&lt;=NKC!$N$8,B423&gt;=NKC!$M$8),"x","")</f>
        <v>x</v>
      </c>
      <c r="AA423" s="535"/>
      <c r="AB423" s="536"/>
    </row>
    <row r="424" spans="1:28" s="503" customFormat="1" ht="15.75" customHeight="1">
      <c r="A424" s="517" t="str">
        <f>IF(B424&lt;&gt;"",IF(AND(B424&gt;=_TM1,B424&lt;=_TM2,OR(TH!L424="1111",TH!M424="1111")),TH!D424,""),"")</f>
        <v>GBC</v>
      </c>
      <c r="B424" s="531">
        <f t="shared" si="55"/>
        <v>1</v>
      </c>
      <c r="C424" s="315">
        <f t="shared" si="56"/>
        <v>42752</v>
      </c>
      <c r="D424" s="315" t="s">
        <v>456</v>
      </c>
      <c r="E424" s="288">
        <v>42752</v>
      </c>
      <c r="F424" s="248" t="s">
        <v>811</v>
      </c>
      <c r="G424" s="314" t="s">
        <v>440</v>
      </c>
      <c r="H424" s="473" t="s">
        <v>460</v>
      </c>
      <c r="I424" s="307"/>
      <c r="J424" s="307"/>
      <c r="K424" s="532">
        <v>6200000</v>
      </c>
      <c r="L424" s="533" t="s">
        <v>24</v>
      </c>
      <c r="M424" s="533" t="s">
        <v>45</v>
      </c>
      <c r="N424" s="525" t="str">
        <f>IF(AND('331-CT'!$E$7=TH!H424,OR(L424="331",M424="331")),"331",IF(AND(OR(L424="131",M424="131"),H424='131-CT'!$E$7),"131",""))</f>
        <v/>
      </c>
      <c r="O424" s="525" t="str">
        <f>IF(AND($B424&gt;='111'!$N$11,$B424&lt;='111'!$O$11,OR($L424=$O$7,$M424=$O$7)),"x","")</f>
        <v/>
      </c>
      <c r="P424" s="525" t="str">
        <f>IF(AND($L424=$O$7,$B424&lt;'111'!$N$11),"x","")</f>
        <v/>
      </c>
      <c r="Q424" s="525" t="str">
        <f>IF(AND($M424=$O$7,$B424&lt;'111'!$N$11),"x","")</f>
        <v>x</v>
      </c>
      <c r="R424" s="525" t="str">
        <f>IF(ISERROR(FIND('112'!$M$9,G424,1)),"",IF((AND(FIND('112'!$M$9,G424,1)&gt;=1,$B424&gt;='112'!$N$8,$B424&lt;='112'!$O$8,OR($L424='112'!$I$6,$M424='112'!$I$6))),"x",""))</f>
        <v/>
      </c>
      <c r="S424" s="525" t="str">
        <f>IF(ISERROR(FIND('112'!$M$9,G424,1)),"",IF((AND(LEFT(G424,2)=LEFT('112'!$M$9,2),B424&lt;'112'!$N$8,$L424='112'!$I$6)),"x",""))</f>
        <v>x</v>
      </c>
      <c r="T424" s="525" t="str">
        <f>IF(ISERROR(FIND('112'!$M$9,G424,1)),"",IF((AND(RIGHT(G424,2)=RIGHT('112'!$M$9,2),B424&lt;'112'!$N$8,$M424='112'!$I$6)),"x",""))</f>
        <v/>
      </c>
      <c r="U424" s="525" t="str">
        <f>IF(AND(B424&gt;='IN-NX'!$P$3,B424&lt;='IN-NX'!$Q$3,'IN-NX'!$D$7=D424,OR(LEFT(L424,2)="15",AND(LEFT(M424,2)&lt;&gt;"15",LEFT(M424,2)&lt;&gt;"33"))),"x","")</f>
        <v/>
      </c>
      <c r="V424" s="525" t="str">
        <f>IF(AND(OR(LEFT(TH!L424,2)="15",LEFT(TH!M424,2)="15"),'152-CT'!$J$8=TH!F424),"x","")</f>
        <v/>
      </c>
      <c r="W424" s="525" t="str">
        <f>IF(AND(OR(LEFT(TH!L424,2)="15",LEFT(TH!M424,2)="15"),TK!$E$7=TH!F424),"x","")</f>
        <v/>
      </c>
      <c r="X424" s="525" t="str">
        <f>IF(AND('341-CT'!$E$9=H424,OR(LEFT(L424,3)=$X$7,LEFT(M424,3)=$X$7)),"x","")</f>
        <v/>
      </c>
      <c r="Y424" s="525" t="str">
        <f>IF(OR(TH!L424=TH!$Y$7,M424=TH!$Y$7),"x","")</f>
        <v/>
      </c>
      <c r="Z424" s="525" t="str">
        <f>IF(AND(B424&lt;=NKC!$N$8,B424&gt;=NKC!$M$8),"x","")</f>
        <v>x</v>
      </c>
      <c r="AA424" s="535"/>
    </row>
    <row r="425" spans="1:28" s="503" customFormat="1" ht="15.75" customHeight="1">
      <c r="A425" s="517" t="str">
        <f>IF(B425&lt;&gt;"",IF(AND(B425&gt;=_TM1,B425&lt;=_TM2,OR(TH!L425="1111",TH!M425="1111")),TH!D425,""),"")</f>
        <v/>
      </c>
      <c r="B425" s="531">
        <f t="shared" si="55"/>
        <v>1</v>
      </c>
      <c r="C425" s="315">
        <f t="shared" si="56"/>
        <v>42766</v>
      </c>
      <c r="D425" s="315" t="s">
        <v>456</v>
      </c>
      <c r="E425" s="288">
        <v>42766</v>
      </c>
      <c r="F425" s="249" t="s">
        <v>458</v>
      </c>
      <c r="G425" s="314" t="s">
        <v>440</v>
      </c>
      <c r="H425" s="472"/>
      <c r="I425" s="307"/>
      <c r="J425" s="307"/>
      <c r="K425" s="532">
        <v>3484</v>
      </c>
      <c r="L425" s="533" t="s">
        <v>24</v>
      </c>
      <c r="M425" s="533" t="s">
        <v>38</v>
      </c>
      <c r="N425" s="525" t="str">
        <f>IF(AND('331-CT'!$E$7=TH!H425,OR(L425="331",M425="331")),"331",IF(AND(OR(L425="131",M425="131"),H425='131-CT'!$E$7),"131",""))</f>
        <v/>
      </c>
      <c r="O425" s="525" t="str">
        <f>IF(AND($B425&gt;='111'!$N$11,$B425&lt;='111'!$O$11,OR($L425=$O$7,$M425=$O$7)),"x","")</f>
        <v/>
      </c>
      <c r="P425" s="525" t="str">
        <f>IF(AND($L425=$O$7,$B425&lt;'111'!$N$11),"x","")</f>
        <v/>
      </c>
      <c r="Q425" s="525" t="str">
        <f>IF(AND($M425=$O$7,$B425&lt;'111'!$N$11),"x","")</f>
        <v/>
      </c>
      <c r="R425" s="525" t="str">
        <f>IF(ISERROR(FIND('112'!$M$9,G425,1)),"",IF((AND(FIND('112'!$M$9,G425,1)&gt;=1,$B425&gt;='112'!$N$8,$B425&lt;='112'!$O$8,OR($L425='112'!$I$6,$M425='112'!$I$6))),"x",""))</f>
        <v/>
      </c>
      <c r="S425" s="525" t="str">
        <f>IF(ISERROR(FIND('112'!$M$9,G425,1)),"",IF((AND(LEFT(G425,2)=LEFT('112'!$M$9,2),B425&lt;'112'!$N$8,$L425='112'!$I$6)),"x",""))</f>
        <v>x</v>
      </c>
      <c r="T425" s="525" t="str">
        <f>IF(ISERROR(FIND('112'!$M$9,G425,1)),"",IF((AND(RIGHT(G425,2)=RIGHT('112'!$M$9,2),B425&lt;'112'!$N$8,$M425='112'!$I$6)),"x",""))</f>
        <v/>
      </c>
      <c r="U425" s="525" t="str">
        <f>IF(AND(B425&gt;='IN-NX'!$P$3,B425&lt;='IN-NX'!$Q$3,'IN-NX'!$D$7=D425,OR(LEFT(L425,2)="15",AND(LEFT(M425,2)&lt;&gt;"15",LEFT(M425,2)&lt;&gt;"33"))),"x","")</f>
        <v/>
      </c>
      <c r="V425" s="525" t="str">
        <f>IF(AND(OR(LEFT(TH!L425,2)="15",LEFT(TH!M425,2)="15"),'152-CT'!$J$8=TH!F425),"x","")</f>
        <v/>
      </c>
      <c r="W425" s="525" t="str">
        <f>IF(AND(OR(LEFT(TH!L425,2)="15",LEFT(TH!M425,2)="15"),TK!$E$7=TH!F425),"x","")</f>
        <v/>
      </c>
      <c r="X425" s="525" t="str">
        <f>IF(AND('341-CT'!$E$9=H425,OR(LEFT(L425,3)=$X$7,LEFT(M425,3)=$X$7)),"x","")</f>
        <v/>
      </c>
      <c r="Y425" s="525" t="str">
        <f>IF(OR(TH!L425=TH!$Y$7,M425=TH!$Y$7),"x","")</f>
        <v/>
      </c>
      <c r="Z425" s="525" t="str">
        <f>IF(AND(B425&lt;=NKC!$N$8,B425&gt;=NKC!$M$8),"x","")</f>
        <v>x</v>
      </c>
      <c r="AA425" s="535"/>
    </row>
    <row r="426" spans="1:28" s="503" customFormat="1" ht="15.75" customHeight="1">
      <c r="A426" s="517" t="str">
        <f>IF(B426&lt;&gt;"",IF(AND(B426&gt;=_TM1,B426&lt;=_TM2,OR(TH!L426="1111",TH!M426="1111")),TH!D426,""),"")</f>
        <v>GBC</v>
      </c>
      <c r="B426" s="531">
        <f t="shared" si="55"/>
        <v>2</v>
      </c>
      <c r="C426" s="315">
        <f t="shared" si="56"/>
        <v>42786</v>
      </c>
      <c r="D426" s="315" t="s">
        <v>456</v>
      </c>
      <c r="E426" s="288">
        <v>42786</v>
      </c>
      <c r="F426" s="248" t="s">
        <v>811</v>
      </c>
      <c r="G426" s="314" t="s">
        <v>440</v>
      </c>
      <c r="H426" s="473" t="s">
        <v>460</v>
      </c>
      <c r="I426" s="307"/>
      <c r="J426" s="307"/>
      <c r="K426" s="532">
        <v>12500000</v>
      </c>
      <c r="L426" s="533" t="s">
        <v>24</v>
      </c>
      <c r="M426" s="533" t="s">
        <v>45</v>
      </c>
      <c r="N426" s="525" t="str">
        <f>IF(AND('331-CT'!$E$7=TH!H426,OR(L426="331",M426="331")),"331",IF(AND(OR(L426="131",M426="131"),H426='131-CT'!$E$7),"131",""))</f>
        <v/>
      </c>
      <c r="O426" s="525" t="str">
        <f>IF(AND($B426&gt;='111'!$N$11,$B426&lt;='111'!$O$11,OR($L426=$O$7,$M426=$O$7)),"x","")</f>
        <v/>
      </c>
      <c r="P426" s="525" t="str">
        <f>IF(AND($L426=$O$7,$B426&lt;'111'!$N$11),"x","")</f>
        <v/>
      </c>
      <c r="Q426" s="525" t="str">
        <f>IF(AND($M426=$O$7,$B426&lt;'111'!$N$11),"x","")</f>
        <v>x</v>
      </c>
      <c r="R426" s="525" t="str">
        <f>IF(ISERROR(FIND('112'!$M$9,G426,1)),"",IF((AND(FIND('112'!$M$9,G426,1)&gt;=1,$B426&gt;='112'!$N$8,$B426&lt;='112'!$O$8,OR($L426='112'!$I$6,$M426='112'!$I$6))),"x",""))</f>
        <v/>
      </c>
      <c r="S426" s="525" t="str">
        <f>IF(ISERROR(FIND('112'!$M$9,G426,1)),"",IF((AND(LEFT(G426,2)=LEFT('112'!$M$9,2),B426&lt;'112'!$N$8,$L426='112'!$I$6)),"x",""))</f>
        <v>x</v>
      </c>
      <c r="T426" s="525" t="str">
        <f>IF(ISERROR(FIND('112'!$M$9,G426,1)),"",IF((AND(RIGHT(G426,2)=RIGHT('112'!$M$9,2),B426&lt;'112'!$N$8,$M426='112'!$I$6)),"x",""))</f>
        <v/>
      </c>
      <c r="U426" s="525" t="str">
        <f>IF(AND(B426&gt;='IN-NX'!$P$3,B426&lt;='IN-NX'!$Q$3,'IN-NX'!$D$7=D426,OR(LEFT(L426,2)="15",AND(LEFT(M426,2)&lt;&gt;"15",LEFT(M426,2)&lt;&gt;"33"))),"x","")</f>
        <v/>
      </c>
      <c r="V426" s="525" t="str">
        <f>IF(AND(OR(LEFT(TH!L426,2)="15",LEFT(TH!M426,2)="15"),'152-CT'!$J$8=TH!F426),"x","")</f>
        <v/>
      </c>
      <c r="W426" s="525" t="str">
        <f>IF(AND(OR(LEFT(TH!L426,2)="15",LEFT(TH!M426,2)="15"),TK!$E$7=TH!F426),"x","")</f>
        <v/>
      </c>
      <c r="X426" s="525" t="str">
        <f>IF(AND('341-CT'!$E$9=H426,OR(LEFT(L426,3)=$X$7,LEFT(M426,3)=$X$7)),"x","")</f>
        <v/>
      </c>
      <c r="Y426" s="525" t="str">
        <f>IF(OR(TH!L426=TH!$Y$7,M426=TH!$Y$7),"x","")</f>
        <v/>
      </c>
      <c r="Z426" s="525" t="str">
        <f>IF(AND(B426&lt;=NKC!$N$8,B426&gt;=NKC!$M$8),"x","")</f>
        <v>x</v>
      </c>
      <c r="AA426" s="535"/>
    </row>
    <row r="427" spans="1:28" s="503" customFormat="1" ht="15.75" customHeight="1">
      <c r="A427" s="517" t="str">
        <f>IF(B427&lt;&gt;"",IF(AND(B427&gt;=_TM1,B427&lt;=_TM2,OR(TH!L427="1111",TH!M427="1111")),TH!D427,""),"")</f>
        <v>GBC</v>
      </c>
      <c r="B427" s="531">
        <f t="shared" si="55"/>
        <v>2</v>
      </c>
      <c r="C427" s="315">
        <f t="shared" si="56"/>
        <v>42793</v>
      </c>
      <c r="D427" s="315" t="s">
        <v>456</v>
      </c>
      <c r="E427" s="288">
        <v>42793</v>
      </c>
      <c r="F427" s="248" t="s">
        <v>809</v>
      </c>
      <c r="G427" s="314" t="s">
        <v>440</v>
      </c>
      <c r="H427" s="473" t="s">
        <v>460</v>
      </c>
      <c r="I427" s="307"/>
      <c r="J427" s="307"/>
      <c r="K427" s="532">
        <v>9100000</v>
      </c>
      <c r="L427" s="533" t="s">
        <v>24</v>
      </c>
      <c r="M427" s="533" t="s">
        <v>45</v>
      </c>
      <c r="N427" s="525" t="str">
        <f>IF(AND('331-CT'!$E$7=TH!H427,OR(L427="331",M427="331")),"331",IF(AND(OR(L427="131",M427="131"),H427='131-CT'!$E$7),"131",""))</f>
        <v/>
      </c>
      <c r="O427" s="525" t="str">
        <f>IF(AND($B427&gt;='111'!$N$11,$B427&lt;='111'!$O$11,OR($L427=$O$7,$M427=$O$7)),"x","")</f>
        <v/>
      </c>
      <c r="P427" s="525" t="str">
        <f>IF(AND($L427=$O$7,$B427&lt;'111'!$N$11),"x","")</f>
        <v/>
      </c>
      <c r="Q427" s="525" t="str">
        <f>IF(AND($M427=$O$7,$B427&lt;'111'!$N$11),"x","")</f>
        <v>x</v>
      </c>
      <c r="R427" s="525" t="str">
        <f>IF(ISERROR(FIND('112'!$M$9,G427,1)),"",IF((AND(FIND('112'!$M$9,G427,1)&gt;=1,$B427&gt;='112'!$N$8,$B427&lt;='112'!$O$8,OR($L427='112'!$I$6,$M427='112'!$I$6))),"x",""))</f>
        <v/>
      </c>
      <c r="S427" s="525" t="str">
        <f>IF(ISERROR(FIND('112'!$M$9,G427,1)),"",IF((AND(LEFT(G427,2)=LEFT('112'!$M$9,2),B427&lt;'112'!$N$8,$L427='112'!$I$6)),"x",""))</f>
        <v>x</v>
      </c>
      <c r="T427" s="525" t="str">
        <f>IF(ISERROR(FIND('112'!$M$9,G427,1)),"",IF((AND(RIGHT(G427,2)=RIGHT('112'!$M$9,2),B427&lt;'112'!$N$8,$M427='112'!$I$6)),"x",""))</f>
        <v/>
      </c>
      <c r="U427" s="525" t="str">
        <f>IF(AND(B427&gt;='IN-NX'!$P$3,B427&lt;='IN-NX'!$Q$3,'IN-NX'!$D$7=D427,OR(LEFT(L427,2)="15",AND(LEFT(M427,2)&lt;&gt;"15",LEFT(M427,2)&lt;&gt;"33"))),"x","")</f>
        <v/>
      </c>
      <c r="V427" s="525" t="str">
        <f>IF(AND(OR(LEFT(TH!L427,2)="15",LEFT(TH!M427,2)="15"),'152-CT'!$J$8=TH!F427),"x","")</f>
        <v/>
      </c>
      <c r="W427" s="525" t="str">
        <f>IF(AND(OR(LEFT(TH!L427,2)="15",LEFT(TH!M427,2)="15"),TK!$E$7=TH!F427),"x","")</f>
        <v/>
      </c>
      <c r="X427" s="525" t="str">
        <f>IF(AND('341-CT'!$E$9=H427,OR(LEFT(L427,3)=$X$7,LEFT(M427,3)=$X$7)),"x","")</f>
        <v/>
      </c>
      <c r="Y427" s="525" t="str">
        <f>IF(OR(TH!L427=TH!$Y$7,M427=TH!$Y$7),"x","")</f>
        <v/>
      </c>
      <c r="Z427" s="525" t="str">
        <f>IF(AND(B427&lt;=NKC!$N$8,B427&gt;=NKC!$M$8),"x","")</f>
        <v>x</v>
      </c>
      <c r="AA427" s="535"/>
      <c r="AB427" s="536"/>
    </row>
    <row r="428" spans="1:28" s="503" customFormat="1" ht="15.75" customHeight="1">
      <c r="A428" s="517" t="str">
        <f>IF(B428&lt;&gt;"",IF(AND(B428&gt;=_TM1,B428&lt;=_TM2,OR(TH!L428="1111",TH!M428="1111")),TH!D428,""),"")</f>
        <v>GBC</v>
      </c>
      <c r="B428" s="531">
        <f t="shared" si="55"/>
        <v>2</v>
      </c>
      <c r="C428" s="315">
        <f t="shared" si="56"/>
        <v>42794</v>
      </c>
      <c r="D428" s="315" t="s">
        <v>456</v>
      </c>
      <c r="E428" s="288">
        <v>42794</v>
      </c>
      <c r="F428" s="248" t="s">
        <v>809</v>
      </c>
      <c r="G428" s="314" t="s">
        <v>440</v>
      </c>
      <c r="H428" s="473" t="s">
        <v>460</v>
      </c>
      <c r="I428" s="307"/>
      <c r="J428" s="307"/>
      <c r="K428" s="532">
        <v>9100000</v>
      </c>
      <c r="L428" s="533" t="s">
        <v>24</v>
      </c>
      <c r="M428" s="533" t="s">
        <v>45</v>
      </c>
      <c r="N428" s="525" t="str">
        <f>IF(AND('331-CT'!$E$7=TH!H428,OR(L428="331",M428="331")),"331",IF(AND(OR(L428="131",M428="131"),H428='131-CT'!$E$7),"131",""))</f>
        <v/>
      </c>
      <c r="O428" s="525" t="str">
        <f>IF(AND($B428&gt;='111'!$N$11,$B428&lt;='111'!$O$11,OR($L428=$O$7,$M428=$O$7)),"x","")</f>
        <v/>
      </c>
      <c r="P428" s="525" t="str">
        <f>IF(AND($L428=$O$7,$B428&lt;'111'!$N$11),"x","")</f>
        <v/>
      </c>
      <c r="Q428" s="525" t="str">
        <f>IF(AND($M428=$O$7,$B428&lt;'111'!$N$11),"x","")</f>
        <v>x</v>
      </c>
      <c r="R428" s="525" t="str">
        <f>IF(ISERROR(FIND('112'!$M$9,G428,1)),"",IF((AND(FIND('112'!$M$9,G428,1)&gt;=1,$B428&gt;='112'!$N$8,$B428&lt;='112'!$O$8,OR($L428='112'!$I$6,$M428='112'!$I$6))),"x",""))</f>
        <v/>
      </c>
      <c r="S428" s="525" t="str">
        <f>IF(ISERROR(FIND('112'!$M$9,G428,1)),"",IF((AND(LEFT(G428,2)=LEFT('112'!$M$9,2),B428&lt;'112'!$N$8,$L428='112'!$I$6)),"x",""))</f>
        <v>x</v>
      </c>
      <c r="T428" s="525" t="str">
        <f>IF(ISERROR(FIND('112'!$M$9,G428,1)),"",IF((AND(RIGHT(G428,2)=RIGHT('112'!$M$9,2),B428&lt;'112'!$N$8,$M428='112'!$I$6)),"x",""))</f>
        <v/>
      </c>
      <c r="U428" s="525" t="str">
        <f>IF(AND(B428&gt;='IN-NX'!$P$3,B428&lt;='IN-NX'!$Q$3,'IN-NX'!$D$7=D428,OR(LEFT(L428,2)="15",AND(LEFT(M428,2)&lt;&gt;"15",LEFT(M428,2)&lt;&gt;"33"))),"x","")</f>
        <v/>
      </c>
      <c r="V428" s="525" t="str">
        <f>IF(AND(OR(LEFT(TH!L428,2)="15",LEFT(TH!M428,2)="15"),'152-CT'!$J$8=TH!F428),"x","")</f>
        <v/>
      </c>
      <c r="W428" s="525" t="str">
        <f>IF(AND(OR(LEFT(TH!L428,2)="15",LEFT(TH!M428,2)="15"),TK!$E$7=TH!F428),"x","")</f>
        <v/>
      </c>
      <c r="X428" s="525" t="str">
        <f>IF(AND('341-CT'!$E$9=H428,OR(LEFT(L428,3)=$X$7,LEFT(M428,3)=$X$7)),"x","")</f>
        <v/>
      </c>
      <c r="Y428" s="525" t="str">
        <f>IF(OR(TH!L428=TH!$Y$7,M428=TH!$Y$7),"x","")</f>
        <v/>
      </c>
      <c r="Z428" s="525" t="str">
        <f>IF(AND(B428&lt;=NKC!$N$8,B428&gt;=NKC!$M$8),"x","")</f>
        <v>x</v>
      </c>
      <c r="AA428" s="535"/>
    </row>
    <row r="429" spans="1:28" s="503" customFormat="1" ht="15.75" customHeight="1">
      <c r="A429" s="517" t="str">
        <f>IF(B429&lt;&gt;"",IF(AND(B429&gt;=_TM1,B429&lt;=_TM2,OR(TH!L429="1111",TH!M429="1111")),TH!D429,""),"")</f>
        <v/>
      </c>
      <c r="B429" s="531">
        <f t="shared" si="55"/>
        <v>2</v>
      </c>
      <c r="C429" s="315">
        <f t="shared" si="56"/>
        <v>42794</v>
      </c>
      <c r="D429" s="315" t="s">
        <v>456</v>
      </c>
      <c r="E429" s="288">
        <v>42794</v>
      </c>
      <c r="F429" s="248" t="s">
        <v>808</v>
      </c>
      <c r="G429" s="314" t="s">
        <v>440</v>
      </c>
      <c r="H429" s="621" t="s">
        <v>1271</v>
      </c>
      <c r="I429" s="307"/>
      <c r="J429" s="307"/>
      <c r="K429" s="532">
        <v>266000000</v>
      </c>
      <c r="L429" s="533" t="s">
        <v>24</v>
      </c>
      <c r="M429" s="533" t="s">
        <v>441</v>
      </c>
      <c r="N429" s="525" t="str">
        <f>IF(AND('331-CT'!$E$7=TH!H429,OR(L429="331",M429="331")),"331",IF(AND(OR(L429="131",M429="131"),H429='131-CT'!$E$7),"131",""))</f>
        <v/>
      </c>
      <c r="O429" s="525" t="str">
        <f>IF(AND($B429&gt;='111'!$N$11,$B429&lt;='111'!$O$11,OR($L429=$O$7,$M429=$O$7)),"x","")</f>
        <v/>
      </c>
      <c r="P429" s="525" t="str">
        <f>IF(AND($L429=$O$7,$B429&lt;'111'!$N$11),"x","")</f>
        <v/>
      </c>
      <c r="Q429" s="525" t="str">
        <f>IF(AND($M429=$O$7,$B429&lt;'111'!$N$11),"x","")</f>
        <v/>
      </c>
      <c r="R429" s="525" t="str">
        <f>IF(ISERROR(FIND('112'!$M$9,G429,1)),"",IF((AND(FIND('112'!$M$9,G429,1)&gt;=1,$B429&gt;='112'!$N$8,$B429&lt;='112'!$O$8,OR($L429='112'!$I$6,$M429='112'!$I$6))),"x",""))</f>
        <v/>
      </c>
      <c r="S429" s="525" t="str">
        <f>IF(ISERROR(FIND('112'!$M$9,G429,1)),"",IF((AND(LEFT(G429,2)=LEFT('112'!$M$9,2),B429&lt;'112'!$N$8,$L429='112'!$I$6)),"x",""))</f>
        <v>x</v>
      </c>
      <c r="T429" s="525" t="str">
        <f>IF(ISERROR(FIND('112'!$M$9,G429,1)),"",IF((AND(RIGHT(G429,2)=RIGHT('112'!$M$9,2),B429&lt;'112'!$N$8,$M429='112'!$I$6)),"x",""))</f>
        <v/>
      </c>
      <c r="U429" s="525" t="str">
        <f>IF(AND(B429&gt;='IN-NX'!$P$3,B429&lt;='IN-NX'!$Q$3,'IN-NX'!$D$7=D429,OR(LEFT(L429,2)="15",AND(LEFT(M429,2)&lt;&gt;"15",LEFT(M429,2)&lt;&gt;"33"))),"x","")</f>
        <v/>
      </c>
      <c r="V429" s="525" t="str">
        <f>IF(AND(OR(LEFT(TH!L429,2)="15",LEFT(TH!M429,2)="15"),'152-CT'!$J$8=TH!F429),"x","")</f>
        <v/>
      </c>
      <c r="W429" s="525" t="str">
        <f>IF(AND(OR(LEFT(TH!L429,2)="15",LEFT(TH!M429,2)="15"),TK!$E$7=TH!F429),"x","")</f>
        <v/>
      </c>
      <c r="X429" s="525" t="str">
        <f>IF(AND('341-CT'!$E$9=H429,OR(LEFT(L429,3)=$X$7,LEFT(M429,3)=$X$7)),"x","")</f>
        <v>x</v>
      </c>
      <c r="Y429" s="525" t="str">
        <f>IF(OR(TH!L429=TH!$Y$7,M429=TH!$Y$7),"x","")</f>
        <v/>
      </c>
      <c r="Z429" s="525" t="str">
        <f>IF(AND(B429&lt;=NKC!$N$8,B429&gt;=NKC!$M$8),"x","")</f>
        <v>x</v>
      </c>
      <c r="AA429" s="535"/>
    </row>
    <row r="430" spans="1:28" s="503" customFormat="1" ht="15.75" customHeight="1">
      <c r="A430" s="517" t="str">
        <f>IF(B430&lt;&gt;"",IF(AND(B430&gt;=_TM1,B430&lt;=_TM2,OR(TH!L430="1111",TH!M430="1111")),TH!D430,""),"")</f>
        <v/>
      </c>
      <c r="B430" s="531">
        <f t="shared" si="55"/>
        <v>2</v>
      </c>
      <c r="C430" s="315">
        <f t="shared" si="56"/>
        <v>42794</v>
      </c>
      <c r="D430" s="315" t="s">
        <v>456</v>
      </c>
      <c r="E430" s="288">
        <v>42794</v>
      </c>
      <c r="F430" s="249" t="s">
        <v>458</v>
      </c>
      <c r="G430" s="314" t="s">
        <v>440</v>
      </c>
      <c r="H430" s="472"/>
      <c r="I430" s="307"/>
      <c r="J430" s="307"/>
      <c r="K430" s="532">
        <v>328</v>
      </c>
      <c r="L430" s="533" t="s">
        <v>24</v>
      </c>
      <c r="M430" s="533" t="s">
        <v>38</v>
      </c>
      <c r="N430" s="525" t="str">
        <f>IF(AND('331-CT'!$E$7=TH!H430,OR(L430="331",M430="331")),"331",IF(AND(OR(L430="131",M430="131"),H430='131-CT'!$E$7),"131",""))</f>
        <v/>
      </c>
      <c r="O430" s="525" t="str">
        <f>IF(AND($B430&gt;='111'!$N$11,$B430&lt;='111'!$O$11,OR($L430=$O$7,$M430=$O$7)),"x","")</f>
        <v/>
      </c>
      <c r="P430" s="525" t="str">
        <f>IF(AND($L430=$O$7,$B430&lt;'111'!$N$11),"x","")</f>
        <v/>
      </c>
      <c r="Q430" s="525" t="str">
        <f>IF(AND($M430=$O$7,$B430&lt;'111'!$N$11),"x","")</f>
        <v/>
      </c>
      <c r="R430" s="525" t="str">
        <f>IF(ISERROR(FIND('112'!$M$9,G430,1)),"",IF((AND(FIND('112'!$M$9,G430,1)&gt;=1,$B430&gt;='112'!$N$8,$B430&lt;='112'!$O$8,OR($L430='112'!$I$6,$M430='112'!$I$6))),"x",""))</f>
        <v/>
      </c>
      <c r="S430" s="525" t="str">
        <f>IF(ISERROR(FIND('112'!$M$9,G430,1)),"",IF((AND(LEFT(G430,2)=LEFT('112'!$M$9,2),B430&lt;'112'!$N$8,$L430='112'!$I$6)),"x",""))</f>
        <v>x</v>
      </c>
      <c r="T430" s="525" t="str">
        <f>IF(ISERROR(FIND('112'!$M$9,G430,1)),"",IF((AND(RIGHT(G430,2)=RIGHT('112'!$M$9,2),B430&lt;'112'!$N$8,$M430='112'!$I$6)),"x",""))</f>
        <v/>
      </c>
      <c r="U430" s="525" t="str">
        <f>IF(AND(B430&gt;='IN-NX'!$P$3,B430&lt;='IN-NX'!$Q$3,'IN-NX'!$D$7=D430,OR(LEFT(L430,2)="15",AND(LEFT(M430,2)&lt;&gt;"15",LEFT(M430,2)&lt;&gt;"33"))),"x","")</f>
        <v/>
      </c>
      <c r="V430" s="525" t="str">
        <f>IF(AND(OR(LEFT(TH!L430,2)="15",LEFT(TH!M430,2)="15"),'152-CT'!$J$8=TH!F430),"x","")</f>
        <v/>
      </c>
      <c r="W430" s="525" t="str">
        <f>IF(AND(OR(LEFT(TH!L430,2)="15",LEFT(TH!M430,2)="15"),TK!$E$7=TH!F430),"x","")</f>
        <v/>
      </c>
      <c r="X430" s="525" t="str">
        <f>IF(AND('341-CT'!$E$9=H430,OR(LEFT(L430,3)=$X$7,LEFT(M430,3)=$X$7)),"x","")</f>
        <v/>
      </c>
      <c r="Y430" s="525" t="str">
        <f>IF(OR(TH!L430=TH!$Y$7,M430=TH!$Y$7),"x","")</f>
        <v/>
      </c>
      <c r="Z430" s="525" t="str">
        <f>IF(AND(B430&lt;=NKC!$N$8,B430&gt;=NKC!$M$8),"x","")</f>
        <v>x</v>
      </c>
      <c r="AA430" s="535"/>
    </row>
    <row r="431" spans="1:28" s="503" customFormat="1" ht="15.75" customHeight="1">
      <c r="A431" s="517" t="str">
        <f>IF(B431&lt;&gt;"",IF(AND(B431&gt;=_TM1,B431&lt;=_TM2,OR(TH!L431="1111",TH!M431="1111")),TH!D431,""),"")</f>
        <v>GBC</v>
      </c>
      <c r="B431" s="531">
        <f t="shared" si="55"/>
        <v>3</v>
      </c>
      <c r="C431" s="315">
        <f t="shared" si="56"/>
        <v>42795</v>
      </c>
      <c r="D431" s="315" t="s">
        <v>456</v>
      </c>
      <c r="E431" s="288">
        <v>42795</v>
      </c>
      <c r="F431" s="248" t="s">
        <v>809</v>
      </c>
      <c r="G431" s="314" t="s">
        <v>440</v>
      </c>
      <c r="H431" s="473" t="s">
        <v>460</v>
      </c>
      <c r="I431" s="307"/>
      <c r="J431" s="307"/>
      <c r="K431" s="532">
        <v>200000</v>
      </c>
      <c r="L431" s="533" t="s">
        <v>24</v>
      </c>
      <c r="M431" s="533" t="s">
        <v>45</v>
      </c>
      <c r="N431" s="525" t="str">
        <f>IF(AND('331-CT'!$E$7=TH!H431,OR(L431="331",M431="331")),"331",IF(AND(OR(L431="131",M431="131"),H431='131-CT'!$E$7),"131",""))</f>
        <v/>
      </c>
      <c r="O431" s="525" t="str">
        <f>IF(AND($B431&gt;='111'!$N$11,$B431&lt;='111'!$O$11,OR($L431=$O$7,$M431=$O$7)),"x","")</f>
        <v/>
      </c>
      <c r="P431" s="525" t="str">
        <f>IF(AND($L431=$O$7,$B431&lt;'111'!$N$11),"x","")</f>
        <v/>
      </c>
      <c r="Q431" s="525" t="str">
        <f>IF(AND($M431=$O$7,$B431&lt;'111'!$N$11),"x","")</f>
        <v>x</v>
      </c>
      <c r="R431" s="525" t="str">
        <f>IF(ISERROR(FIND('112'!$M$9,G431,1)),"",IF((AND(FIND('112'!$M$9,G431,1)&gt;=1,$B431&gt;='112'!$N$8,$B431&lt;='112'!$O$8,OR($L431='112'!$I$6,$M431='112'!$I$6))),"x",""))</f>
        <v/>
      </c>
      <c r="S431" s="525" t="str">
        <f>IF(ISERROR(FIND('112'!$M$9,G431,1)),"",IF((AND(LEFT(G431,2)=LEFT('112'!$M$9,2),B431&lt;'112'!$N$8,$L431='112'!$I$6)),"x",""))</f>
        <v>x</v>
      </c>
      <c r="T431" s="525" t="str">
        <f>IF(ISERROR(FIND('112'!$M$9,G431,1)),"",IF((AND(RIGHT(G431,2)=RIGHT('112'!$M$9,2),B431&lt;'112'!$N$8,$M431='112'!$I$6)),"x",""))</f>
        <v/>
      </c>
      <c r="U431" s="525" t="str">
        <f>IF(AND(B431&gt;='IN-NX'!$P$3,B431&lt;='IN-NX'!$Q$3,'IN-NX'!$D$7=D431,OR(LEFT(L431,2)="15",AND(LEFT(M431,2)&lt;&gt;"15",LEFT(M431,2)&lt;&gt;"33"))),"x","")</f>
        <v/>
      </c>
      <c r="V431" s="525" t="str">
        <f>IF(AND(OR(LEFT(TH!L431,2)="15",LEFT(TH!M431,2)="15"),'152-CT'!$J$8=TH!F431),"x","")</f>
        <v/>
      </c>
      <c r="W431" s="525" t="str">
        <f>IF(AND(OR(LEFT(TH!L431,2)="15",LEFT(TH!M431,2)="15"),TK!$E$7=TH!F431),"x","")</f>
        <v/>
      </c>
      <c r="X431" s="525" t="str">
        <f>IF(AND('341-CT'!$E$9=H431,OR(LEFT(L431,3)=$X$7,LEFT(M431,3)=$X$7)),"x","")</f>
        <v/>
      </c>
      <c r="Y431" s="525" t="str">
        <f>IF(OR(TH!L431=TH!$Y$7,M431=TH!$Y$7),"x","")</f>
        <v/>
      </c>
      <c r="Z431" s="525" t="str">
        <f>IF(AND(B431&lt;=NKC!$N$8,B431&gt;=NKC!$M$8),"x","")</f>
        <v>x</v>
      </c>
      <c r="AA431" s="535"/>
    </row>
    <row r="432" spans="1:28" s="503" customFormat="1" ht="15.75" customHeight="1">
      <c r="A432" s="517" t="str">
        <f>IF(B432&lt;&gt;"",IF(AND(B432&gt;=_TM1,B432&lt;=_TM2,OR(TH!L432="1111",TH!M432="1111")),TH!D432,""),"")</f>
        <v/>
      </c>
      <c r="B432" s="531">
        <f t="shared" si="55"/>
        <v>3</v>
      </c>
      <c r="C432" s="315">
        <f t="shared" si="56"/>
        <v>42795</v>
      </c>
      <c r="D432" s="315" t="s">
        <v>456</v>
      </c>
      <c r="E432" s="288">
        <v>42795</v>
      </c>
      <c r="F432" s="248" t="s">
        <v>808</v>
      </c>
      <c r="G432" s="314" t="s">
        <v>440</v>
      </c>
      <c r="H432" s="621" t="s">
        <v>1272</v>
      </c>
      <c r="I432" s="307"/>
      <c r="J432" s="307"/>
      <c r="K432" s="532">
        <v>133700000</v>
      </c>
      <c r="L432" s="533" t="s">
        <v>24</v>
      </c>
      <c r="M432" s="533" t="s">
        <v>441</v>
      </c>
      <c r="N432" s="525" t="str">
        <f>IF(AND('331-CT'!$E$7=TH!H432,OR(L432="331",M432="331")),"331",IF(AND(OR(L432="131",M432="131"),H432='131-CT'!$E$7),"131",""))</f>
        <v/>
      </c>
      <c r="O432" s="525" t="str">
        <f>IF(AND($B432&gt;='111'!$N$11,$B432&lt;='111'!$O$11,OR($L432=$O$7,$M432=$O$7)),"x","")</f>
        <v/>
      </c>
      <c r="P432" s="525" t="str">
        <f>IF(AND($L432=$O$7,$B432&lt;'111'!$N$11),"x","")</f>
        <v/>
      </c>
      <c r="Q432" s="525" t="str">
        <f>IF(AND($M432=$O$7,$B432&lt;'111'!$N$11),"x","")</f>
        <v/>
      </c>
      <c r="R432" s="525" t="str">
        <f>IF(ISERROR(FIND('112'!$M$9,G432,1)),"",IF((AND(FIND('112'!$M$9,G432,1)&gt;=1,$B432&gt;='112'!$N$8,$B432&lt;='112'!$O$8,OR($L432='112'!$I$6,$M432='112'!$I$6))),"x",""))</f>
        <v/>
      </c>
      <c r="S432" s="525" t="str">
        <f>IF(ISERROR(FIND('112'!$M$9,G432,1)),"",IF((AND(LEFT(G432,2)=LEFT('112'!$M$9,2),B432&lt;'112'!$N$8,$L432='112'!$I$6)),"x",""))</f>
        <v>x</v>
      </c>
      <c r="T432" s="525" t="str">
        <f>IF(ISERROR(FIND('112'!$M$9,G432,1)),"",IF((AND(RIGHT(G432,2)=RIGHT('112'!$M$9,2),B432&lt;'112'!$N$8,$M432='112'!$I$6)),"x",""))</f>
        <v/>
      </c>
      <c r="U432" s="525" t="str">
        <f>IF(AND(B432&gt;='IN-NX'!$P$3,B432&lt;='IN-NX'!$Q$3,'IN-NX'!$D$7=D432,OR(LEFT(L432,2)="15",AND(LEFT(M432,2)&lt;&gt;"15",LEFT(M432,2)&lt;&gt;"33"))),"x","")</f>
        <v/>
      </c>
      <c r="V432" s="525" t="str">
        <f>IF(AND(OR(LEFT(TH!L432,2)="15",LEFT(TH!M432,2)="15"),'152-CT'!$J$8=TH!F432),"x","")</f>
        <v/>
      </c>
      <c r="W432" s="525" t="str">
        <f>IF(AND(OR(LEFT(TH!L432,2)="15",LEFT(TH!M432,2)="15"),TK!$E$7=TH!F432),"x","")</f>
        <v/>
      </c>
      <c r="X432" s="525" t="str">
        <f>IF(AND('341-CT'!$E$9=H432,OR(LEFT(L432,3)=$X$7,LEFT(M432,3)=$X$7)),"x","")</f>
        <v/>
      </c>
      <c r="Y432" s="525" t="str">
        <f>IF(OR(TH!L432=TH!$Y$7,M432=TH!$Y$7),"x","")</f>
        <v/>
      </c>
      <c r="Z432" s="525" t="str">
        <f>IF(AND(B432&lt;=NKC!$N$8,B432&gt;=NKC!$M$8),"x","")</f>
        <v>x</v>
      </c>
      <c r="AA432" s="535"/>
    </row>
    <row r="433" spans="1:28" s="503" customFormat="1" ht="15.75" customHeight="1">
      <c r="A433" s="517" t="str">
        <f>IF(B433&lt;&gt;"",IF(AND(B433&gt;=_TM1,B433&lt;=_TM2,OR(TH!L433="1111",TH!M433="1111")),TH!D433,""),"")</f>
        <v/>
      </c>
      <c r="B433" s="531">
        <f t="shared" si="55"/>
        <v>3</v>
      </c>
      <c r="C433" s="315">
        <f t="shared" si="56"/>
        <v>42800</v>
      </c>
      <c r="D433" s="315" t="s">
        <v>456</v>
      </c>
      <c r="E433" s="288">
        <v>42800</v>
      </c>
      <c r="F433" s="248" t="s">
        <v>457</v>
      </c>
      <c r="G433" s="314" t="s">
        <v>440</v>
      </c>
      <c r="H433" s="473" t="s">
        <v>284</v>
      </c>
      <c r="I433" s="307"/>
      <c r="J433" s="307"/>
      <c r="K433" s="532">
        <v>101079091</v>
      </c>
      <c r="L433" s="533" t="s">
        <v>24</v>
      </c>
      <c r="M433" s="533" t="s">
        <v>223</v>
      </c>
      <c r="N433" s="525" t="str">
        <f>IF(AND('331-CT'!$E$7=TH!H433,OR(L433="331",M433="331")),"331",IF(AND(OR(L433="131",M433="131"),H433='131-CT'!$E$7),"131",""))</f>
        <v/>
      </c>
      <c r="O433" s="525" t="str">
        <f>IF(AND($B433&gt;='111'!$N$11,$B433&lt;='111'!$O$11,OR($L433=$O$7,$M433=$O$7)),"x","")</f>
        <v/>
      </c>
      <c r="P433" s="525" t="str">
        <f>IF(AND($L433=$O$7,$B433&lt;'111'!$N$11),"x","")</f>
        <v/>
      </c>
      <c r="Q433" s="525" t="str">
        <f>IF(AND($M433=$O$7,$B433&lt;'111'!$N$11),"x","")</f>
        <v/>
      </c>
      <c r="R433" s="525" t="str">
        <f>IF(ISERROR(FIND('112'!$M$9,G433,1)),"",IF((AND(FIND('112'!$M$9,G433,1)&gt;=1,$B433&gt;='112'!$N$8,$B433&lt;='112'!$O$8,OR($L433='112'!$I$6,$M433='112'!$I$6))),"x",""))</f>
        <v/>
      </c>
      <c r="S433" s="525" t="str">
        <f>IF(ISERROR(FIND('112'!$M$9,G433,1)),"",IF((AND(LEFT(G433,2)=LEFT('112'!$M$9,2),B433&lt;'112'!$N$8,$L433='112'!$I$6)),"x",""))</f>
        <v>x</v>
      </c>
      <c r="T433" s="525" t="str">
        <f>IF(ISERROR(FIND('112'!$M$9,G433,1)),"",IF((AND(RIGHT(G433,2)=RIGHT('112'!$M$9,2),B433&lt;'112'!$N$8,$M433='112'!$I$6)),"x",""))</f>
        <v/>
      </c>
      <c r="U433" s="525" t="str">
        <f>IF(AND(B433&gt;='IN-NX'!$P$3,B433&lt;='IN-NX'!$Q$3,'IN-NX'!$D$7=D433,OR(LEFT(L433,2)="15",AND(LEFT(M433,2)&lt;&gt;"15",LEFT(M433,2)&lt;&gt;"33"))),"x","")</f>
        <v/>
      </c>
      <c r="V433" s="525" t="str">
        <f>IF(AND(OR(LEFT(TH!L433,2)="15",LEFT(TH!M433,2)="15"),'152-CT'!$J$8=TH!F433),"x","")</f>
        <v/>
      </c>
      <c r="W433" s="525" t="str">
        <f>IF(AND(OR(LEFT(TH!L433,2)="15",LEFT(TH!M433,2)="15"),TK!$E$7=TH!F433),"x","")</f>
        <v/>
      </c>
      <c r="X433" s="525" t="str">
        <f>IF(AND('341-CT'!$E$9=H433,OR(LEFT(L433,3)=$X$7,LEFT(M433,3)=$X$7)),"x","")</f>
        <v/>
      </c>
      <c r="Y433" s="525" t="str">
        <f>IF(OR(TH!L433=TH!$Y$7,M433=TH!$Y$7),"x","")</f>
        <v/>
      </c>
      <c r="Z433" s="525" t="str">
        <f>IF(AND(B433&lt;=NKC!$N$8,B433&gt;=NKC!$M$8),"x","")</f>
        <v>x</v>
      </c>
      <c r="AA433" s="535"/>
    </row>
    <row r="434" spans="1:28" s="503" customFormat="1" ht="15.75" customHeight="1">
      <c r="A434" s="517" t="str">
        <f>IF(B434&lt;&gt;"",IF(AND(B434&gt;=_TM1,B434&lt;=_TM2,OR(TH!L434="1111",TH!M434="1111")),TH!D434,""),"")</f>
        <v>GBC</v>
      </c>
      <c r="B434" s="531">
        <f t="shared" si="55"/>
        <v>3</v>
      </c>
      <c r="C434" s="315">
        <f t="shared" si="56"/>
        <v>42811</v>
      </c>
      <c r="D434" s="315" t="s">
        <v>456</v>
      </c>
      <c r="E434" s="288">
        <v>42811</v>
      </c>
      <c r="F434" s="248" t="s">
        <v>1265</v>
      </c>
      <c r="G434" s="314" t="s">
        <v>440</v>
      </c>
      <c r="H434" s="473" t="s">
        <v>460</v>
      </c>
      <c r="I434" s="307"/>
      <c r="J434" s="307"/>
      <c r="K434" s="532">
        <v>12500000</v>
      </c>
      <c r="L434" s="533" t="s">
        <v>24</v>
      </c>
      <c r="M434" s="533" t="s">
        <v>45</v>
      </c>
      <c r="N434" s="525" t="str">
        <f>IF(AND('331-CT'!$E$7=TH!H434,OR(L434="331",M434="331")),"331",IF(AND(OR(L434="131",M434="131"),H434='131-CT'!$E$7),"131",""))</f>
        <v/>
      </c>
      <c r="O434" s="525" t="str">
        <f>IF(AND($B434&gt;='111'!$N$11,$B434&lt;='111'!$O$11,OR($L434=$O$7,$M434=$O$7)),"x","")</f>
        <v/>
      </c>
      <c r="P434" s="525" t="str">
        <f>IF(AND($L434=$O$7,$B434&lt;'111'!$N$11),"x","")</f>
        <v/>
      </c>
      <c r="Q434" s="525" t="str">
        <f>IF(AND($M434=$O$7,$B434&lt;'111'!$N$11),"x","")</f>
        <v>x</v>
      </c>
      <c r="R434" s="525" t="str">
        <f>IF(ISERROR(FIND('112'!$M$9,G434,1)),"",IF((AND(FIND('112'!$M$9,G434,1)&gt;=1,$B434&gt;='112'!$N$8,$B434&lt;='112'!$O$8,OR($L434='112'!$I$6,$M434='112'!$I$6))),"x",""))</f>
        <v/>
      </c>
      <c r="S434" s="525" t="str">
        <f>IF(ISERROR(FIND('112'!$M$9,G434,1)),"",IF((AND(LEFT(G434,2)=LEFT('112'!$M$9,2),B434&lt;'112'!$N$8,$L434='112'!$I$6)),"x",""))</f>
        <v>x</v>
      </c>
      <c r="T434" s="525" t="str">
        <f>IF(ISERROR(FIND('112'!$M$9,G434,1)),"",IF((AND(RIGHT(G434,2)=RIGHT('112'!$M$9,2),B434&lt;'112'!$N$8,$M434='112'!$I$6)),"x",""))</f>
        <v/>
      </c>
      <c r="U434" s="525" t="str">
        <f>IF(AND(B434&gt;='IN-NX'!$P$3,B434&lt;='IN-NX'!$Q$3,'IN-NX'!$D$7=D434,OR(LEFT(L434,2)="15",AND(LEFT(M434,2)&lt;&gt;"15",LEFT(M434,2)&lt;&gt;"33"))),"x","")</f>
        <v/>
      </c>
      <c r="V434" s="525" t="str">
        <f>IF(AND(OR(LEFT(TH!L434,2)="15",LEFT(TH!M434,2)="15"),'152-CT'!$J$8=TH!F434),"x","")</f>
        <v/>
      </c>
      <c r="W434" s="525" t="str">
        <f>IF(AND(OR(LEFT(TH!L434,2)="15",LEFT(TH!M434,2)="15"),TK!$E$7=TH!F434),"x","")</f>
        <v/>
      </c>
      <c r="X434" s="525" t="str">
        <f>IF(AND('341-CT'!$E$9=H434,OR(LEFT(L434,3)=$X$7,LEFT(M434,3)=$X$7)),"x","")</f>
        <v/>
      </c>
      <c r="Y434" s="525" t="str">
        <f>IF(OR(TH!L434=TH!$Y$7,M434=TH!$Y$7),"x","")</f>
        <v/>
      </c>
      <c r="Z434" s="525" t="str">
        <f>IF(AND(B434&lt;=NKC!$N$8,B434&gt;=NKC!$M$8),"x","")</f>
        <v>x</v>
      </c>
      <c r="AA434" s="535"/>
      <c r="AB434" s="536"/>
    </row>
    <row r="435" spans="1:28" s="503" customFormat="1" ht="15.75" customHeight="1">
      <c r="A435" s="517" t="str">
        <f>IF(B435&lt;&gt;"",IF(AND(B435&gt;=_TM1,B435&lt;=_TM2,OR(TH!L435="1111",TH!M435="1111")),TH!D435,""),"")</f>
        <v/>
      </c>
      <c r="B435" s="531">
        <f t="shared" si="55"/>
        <v>3</v>
      </c>
      <c r="C435" s="315">
        <f t="shared" si="56"/>
        <v>42814</v>
      </c>
      <c r="D435" s="315" t="s">
        <v>456</v>
      </c>
      <c r="E435" s="288">
        <v>42814</v>
      </c>
      <c r="F435" s="248" t="s">
        <v>808</v>
      </c>
      <c r="G435" s="314" t="s">
        <v>440</v>
      </c>
      <c r="H435" s="621" t="s">
        <v>1273</v>
      </c>
      <c r="I435" s="307"/>
      <c r="J435" s="307"/>
      <c r="K435" s="532">
        <v>100242958</v>
      </c>
      <c r="L435" s="533" t="s">
        <v>24</v>
      </c>
      <c r="M435" s="533" t="s">
        <v>441</v>
      </c>
      <c r="N435" s="525" t="str">
        <f>IF(AND('331-CT'!$E$7=TH!H435,OR(L435="331",M435="331")),"331",IF(AND(OR(L435="131",M435="131"),H435='131-CT'!$E$7),"131",""))</f>
        <v/>
      </c>
      <c r="O435" s="525" t="str">
        <f>IF(AND($B435&gt;='111'!$N$11,$B435&lt;='111'!$O$11,OR($L435=$O$7,$M435=$O$7)),"x","")</f>
        <v/>
      </c>
      <c r="P435" s="525" t="str">
        <f>IF(AND($L435=$O$7,$B435&lt;'111'!$N$11),"x","")</f>
        <v/>
      </c>
      <c r="Q435" s="525" t="str">
        <f>IF(AND($M435=$O$7,$B435&lt;'111'!$N$11),"x","")</f>
        <v/>
      </c>
      <c r="R435" s="525" t="str">
        <f>IF(ISERROR(FIND('112'!$M$9,G435,1)),"",IF((AND(FIND('112'!$M$9,G435,1)&gt;=1,$B435&gt;='112'!$N$8,$B435&lt;='112'!$O$8,OR($L435='112'!$I$6,$M435='112'!$I$6))),"x",""))</f>
        <v/>
      </c>
      <c r="S435" s="525" t="str">
        <f>IF(ISERROR(FIND('112'!$M$9,G435,1)),"",IF((AND(LEFT(G435,2)=LEFT('112'!$M$9,2),B435&lt;'112'!$N$8,$L435='112'!$I$6)),"x",""))</f>
        <v>x</v>
      </c>
      <c r="T435" s="525" t="str">
        <f>IF(ISERROR(FIND('112'!$M$9,G435,1)),"",IF((AND(RIGHT(G435,2)=RIGHT('112'!$M$9,2),B435&lt;'112'!$N$8,$M435='112'!$I$6)),"x",""))</f>
        <v/>
      </c>
      <c r="U435" s="525" t="str">
        <f>IF(AND(B435&gt;='IN-NX'!$P$3,B435&lt;='IN-NX'!$Q$3,'IN-NX'!$D$7=D435,OR(LEFT(L435,2)="15",AND(LEFT(M435,2)&lt;&gt;"15",LEFT(M435,2)&lt;&gt;"33"))),"x","")</f>
        <v/>
      </c>
      <c r="V435" s="525" t="str">
        <f>IF(AND(OR(LEFT(TH!L435,2)="15",LEFT(TH!M435,2)="15"),'152-CT'!$J$8=TH!F435),"x","")</f>
        <v/>
      </c>
      <c r="W435" s="525" t="str">
        <f>IF(AND(OR(LEFT(TH!L435,2)="15",LEFT(TH!M435,2)="15"),TK!$E$7=TH!F435),"x","")</f>
        <v/>
      </c>
      <c r="X435" s="525" t="str">
        <f>IF(AND('341-CT'!$E$9=H435,OR(LEFT(L435,3)=$X$7,LEFT(M435,3)=$X$7)),"x","")</f>
        <v/>
      </c>
      <c r="Y435" s="525" t="str">
        <f>IF(OR(TH!L435=TH!$Y$7,M435=TH!$Y$7),"x","")</f>
        <v/>
      </c>
      <c r="Z435" s="525" t="str">
        <f>IF(AND(B435&lt;=NKC!$N$8,B435&gt;=NKC!$M$8),"x","")</f>
        <v>x</v>
      </c>
      <c r="AA435" s="535"/>
    </row>
    <row r="436" spans="1:28" s="503" customFormat="1" ht="15.75" customHeight="1">
      <c r="A436" s="517" t="str">
        <f>IF(B436&lt;&gt;"",IF(AND(B436&gt;=_TM1,B436&lt;=_TM2,OR(TH!L436="1111",TH!M436="1111")),TH!D436,""),"")</f>
        <v/>
      </c>
      <c r="B436" s="531">
        <f t="shared" si="55"/>
        <v>3</v>
      </c>
      <c r="C436" s="315">
        <f t="shared" si="56"/>
        <v>42814</v>
      </c>
      <c r="D436" s="315" t="s">
        <v>456</v>
      </c>
      <c r="E436" s="288">
        <v>42814</v>
      </c>
      <c r="F436" s="248" t="s">
        <v>810</v>
      </c>
      <c r="G436" s="314" t="s">
        <v>440</v>
      </c>
      <c r="H436" s="621" t="s">
        <v>1273</v>
      </c>
      <c r="I436" s="307"/>
      <c r="J436" s="307"/>
      <c r="K436" s="532">
        <v>17757042</v>
      </c>
      <c r="L436" s="533" t="s">
        <v>24</v>
      </c>
      <c r="M436" s="533" t="s">
        <v>441</v>
      </c>
      <c r="N436" s="525" t="str">
        <f>IF(AND('331-CT'!$E$7=TH!H436,OR(L436="331",M436="331")),"331",IF(AND(OR(L436="131",M436="131"),H436='131-CT'!$E$7),"131",""))</f>
        <v/>
      </c>
      <c r="O436" s="525" t="str">
        <f>IF(AND($B436&gt;='111'!$N$11,$B436&lt;='111'!$O$11,OR($L436=$O$7,$M436=$O$7)),"x","")</f>
        <v/>
      </c>
      <c r="P436" s="525" t="str">
        <f>IF(AND($L436=$O$7,$B436&lt;'111'!$N$11),"x","")</f>
        <v/>
      </c>
      <c r="Q436" s="525" t="str">
        <f>IF(AND($M436=$O$7,$B436&lt;'111'!$N$11),"x","")</f>
        <v/>
      </c>
      <c r="R436" s="525" t="str">
        <f>IF(ISERROR(FIND('112'!$M$9,G436,1)),"",IF((AND(FIND('112'!$M$9,G436,1)&gt;=1,$B436&gt;='112'!$N$8,$B436&lt;='112'!$O$8,OR($L436='112'!$I$6,$M436='112'!$I$6))),"x",""))</f>
        <v/>
      </c>
      <c r="S436" s="525" t="str">
        <f>IF(ISERROR(FIND('112'!$M$9,G436,1)),"",IF((AND(LEFT(G436,2)=LEFT('112'!$M$9,2),B436&lt;'112'!$N$8,$L436='112'!$I$6)),"x",""))</f>
        <v>x</v>
      </c>
      <c r="T436" s="525" t="str">
        <f>IF(ISERROR(FIND('112'!$M$9,G436,1)),"",IF((AND(RIGHT(G436,2)=RIGHT('112'!$M$9,2),B436&lt;'112'!$N$8,$M436='112'!$I$6)),"x",""))</f>
        <v/>
      </c>
      <c r="U436" s="525" t="str">
        <f>IF(AND(B436&gt;='IN-NX'!$P$3,B436&lt;='IN-NX'!$Q$3,'IN-NX'!$D$7=D436,OR(LEFT(L436,2)="15",AND(LEFT(M436,2)&lt;&gt;"15",LEFT(M436,2)&lt;&gt;"33"))),"x","")</f>
        <v/>
      </c>
      <c r="V436" s="525" t="str">
        <f>IF(AND(OR(LEFT(TH!L436,2)="15",LEFT(TH!M436,2)="15"),'152-CT'!$J$8=TH!F436),"x","")</f>
        <v/>
      </c>
      <c r="W436" s="525" t="str">
        <f>IF(AND(OR(LEFT(TH!L436,2)="15",LEFT(TH!M436,2)="15"),TK!$E$7=TH!F436),"x","")</f>
        <v/>
      </c>
      <c r="X436" s="525" t="str">
        <f>IF(AND('341-CT'!$E$9=H436,OR(LEFT(L436,3)=$X$7,LEFT(M436,3)=$X$7)),"x","")</f>
        <v/>
      </c>
      <c r="Y436" s="525" t="str">
        <f>IF(OR(TH!L436=TH!$Y$7,M436=TH!$Y$7),"x","")</f>
        <v/>
      </c>
      <c r="Z436" s="525" t="str">
        <f>IF(AND(B436&lt;=NKC!$N$8,B436&gt;=NKC!$M$8),"x","")</f>
        <v>x</v>
      </c>
      <c r="AA436" s="535"/>
    </row>
    <row r="437" spans="1:28" s="503" customFormat="1" ht="15.75" customHeight="1">
      <c r="A437" s="517" t="str">
        <f>IF(B437&lt;&gt;"",IF(AND(B437&gt;=_TM1,B437&lt;=_TM2,OR(TH!L437="1111",TH!M437="1111")),TH!D437,""),"")</f>
        <v/>
      </c>
      <c r="B437" s="531">
        <f t="shared" si="55"/>
        <v>3</v>
      </c>
      <c r="C437" s="315">
        <f t="shared" si="56"/>
        <v>42814</v>
      </c>
      <c r="D437" s="315" t="s">
        <v>456</v>
      </c>
      <c r="E437" s="288">
        <v>42814</v>
      </c>
      <c r="F437" s="248" t="s">
        <v>457</v>
      </c>
      <c r="G437" s="314" t="s">
        <v>440</v>
      </c>
      <c r="H437" s="473" t="s">
        <v>284</v>
      </c>
      <c r="I437" s="307"/>
      <c r="J437" s="307"/>
      <c r="K437" s="532">
        <v>55145448</v>
      </c>
      <c r="L437" s="533" t="s">
        <v>24</v>
      </c>
      <c r="M437" s="533" t="s">
        <v>223</v>
      </c>
      <c r="N437" s="525" t="str">
        <f>IF(AND('331-CT'!$E$7=TH!H437,OR(L437="331",M437="331")),"331",IF(AND(OR(L437="131",M437="131"),H437='131-CT'!$E$7),"131",""))</f>
        <v/>
      </c>
      <c r="O437" s="525" t="str">
        <f>IF(AND($B437&gt;='111'!$N$11,$B437&lt;='111'!$O$11,OR($L437=$O$7,$M437=$O$7)),"x","")</f>
        <v/>
      </c>
      <c r="P437" s="525" t="str">
        <f>IF(AND($L437=$O$7,$B437&lt;'111'!$N$11),"x","")</f>
        <v/>
      </c>
      <c r="Q437" s="525" t="str">
        <f>IF(AND($M437=$O$7,$B437&lt;'111'!$N$11),"x","")</f>
        <v/>
      </c>
      <c r="R437" s="525" t="str">
        <f>IF(ISERROR(FIND('112'!$M$9,G437,1)),"",IF((AND(FIND('112'!$M$9,G437,1)&gt;=1,$B437&gt;='112'!$N$8,$B437&lt;='112'!$O$8,OR($L437='112'!$I$6,$M437='112'!$I$6))),"x",""))</f>
        <v/>
      </c>
      <c r="S437" s="525" t="str">
        <f>IF(ISERROR(FIND('112'!$M$9,G437,1)),"",IF((AND(LEFT(G437,2)=LEFT('112'!$M$9,2),B437&lt;'112'!$N$8,$L437='112'!$I$6)),"x",""))</f>
        <v>x</v>
      </c>
      <c r="T437" s="525" t="str">
        <f>IF(ISERROR(FIND('112'!$M$9,G437,1)),"",IF((AND(RIGHT(G437,2)=RIGHT('112'!$M$9,2),B437&lt;'112'!$N$8,$M437='112'!$I$6)),"x",""))</f>
        <v/>
      </c>
      <c r="U437" s="525" t="str">
        <f>IF(AND(B437&gt;='IN-NX'!$P$3,B437&lt;='IN-NX'!$Q$3,'IN-NX'!$D$7=D437,OR(LEFT(L437,2)="15",AND(LEFT(M437,2)&lt;&gt;"15",LEFT(M437,2)&lt;&gt;"33"))),"x","")</f>
        <v/>
      </c>
      <c r="V437" s="525" t="str">
        <f>IF(AND(OR(LEFT(TH!L437,2)="15",LEFT(TH!M437,2)="15"),'152-CT'!$J$8=TH!F437),"x","")</f>
        <v/>
      </c>
      <c r="W437" s="525" t="str">
        <f>IF(AND(OR(LEFT(TH!L437,2)="15",LEFT(TH!M437,2)="15"),TK!$E$7=TH!F437),"x","")</f>
        <v/>
      </c>
      <c r="X437" s="525" t="str">
        <f>IF(AND('341-CT'!$E$9=H437,OR(LEFT(L437,3)=$X$7,LEFT(M437,3)=$X$7)),"x","")</f>
        <v/>
      </c>
      <c r="Y437" s="525" t="str">
        <f>IF(OR(TH!L437=TH!$Y$7,M437=TH!$Y$7),"x","")</f>
        <v/>
      </c>
      <c r="Z437" s="525" t="str">
        <f>IF(AND(B437&lt;=NKC!$N$8,B437&gt;=NKC!$M$8),"x","")</f>
        <v>x</v>
      </c>
      <c r="AA437" s="535"/>
    </row>
    <row r="438" spans="1:28" s="503" customFormat="1" ht="15.75" customHeight="1">
      <c r="A438" s="517" t="str">
        <f>IF(B438&lt;&gt;"",IF(AND(B438&gt;=_TM1,B438&lt;=_TM2,OR(TH!L438="1111",TH!M438="1111")),TH!D438,""),"")</f>
        <v>GBC</v>
      </c>
      <c r="B438" s="531">
        <f t="shared" si="55"/>
        <v>3</v>
      </c>
      <c r="C438" s="315">
        <f t="shared" si="56"/>
        <v>42823</v>
      </c>
      <c r="D438" s="315" t="s">
        <v>456</v>
      </c>
      <c r="E438" s="288">
        <v>42823</v>
      </c>
      <c r="F438" s="248" t="s">
        <v>809</v>
      </c>
      <c r="G438" s="314" t="s">
        <v>440</v>
      </c>
      <c r="H438" s="473" t="s">
        <v>460</v>
      </c>
      <c r="I438" s="307"/>
      <c r="J438" s="307"/>
      <c r="K438" s="532">
        <v>500000</v>
      </c>
      <c r="L438" s="533" t="s">
        <v>24</v>
      </c>
      <c r="M438" s="533" t="s">
        <v>45</v>
      </c>
      <c r="N438" s="525" t="str">
        <f>IF(AND('331-CT'!$E$7=TH!H438,OR(L438="331",M438="331")),"331",IF(AND(OR(L438="131",M438="131"),H438='131-CT'!$E$7),"131",""))</f>
        <v/>
      </c>
      <c r="O438" s="525" t="str">
        <f>IF(AND($B438&gt;='111'!$N$11,$B438&lt;='111'!$O$11,OR($L438=$O$7,$M438=$O$7)),"x","")</f>
        <v/>
      </c>
      <c r="P438" s="525" t="str">
        <f>IF(AND($L438=$O$7,$B438&lt;'111'!$N$11),"x","")</f>
        <v/>
      </c>
      <c r="Q438" s="525" t="str">
        <f>IF(AND($M438=$O$7,$B438&lt;'111'!$N$11),"x","")</f>
        <v>x</v>
      </c>
      <c r="R438" s="525" t="str">
        <f>IF(ISERROR(FIND('112'!$M$9,G438,1)),"",IF((AND(FIND('112'!$M$9,G438,1)&gt;=1,$B438&gt;='112'!$N$8,$B438&lt;='112'!$O$8,OR($L438='112'!$I$6,$M438='112'!$I$6))),"x",""))</f>
        <v/>
      </c>
      <c r="S438" s="525" t="str">
        <f>IF(ISERROR(FIND('112'!$M$9,G438,1)),"",IF((AND(LEFT(G438,2)=LEFT('112'!$M$9,2),B438&lt;'112'!$N$8,$L438='112'!$I$6)),"x",""))</f>
        <v>x</v>
      </c>
      <c r="T438" s="525" t="str">
        <f>IF(ISERROR(FIND('112'!$M$9,G438,1)),"",IF((AND(RIGHT(G438,2)=RIGHT('112'!$M$9,2),B438&lt;'112'!$N$8,$M438='112'!$I$6)),"x",""))</f>
        <v/>
      </c>
      <c r="U438" s="525" t="str">
        <f>IF(AND(B438&gt;='IN-NX'!$P$3,B438&lt;='IN-NX'!$Q$3,'IN-NX'!$D$7=D438,OR(LEFT(L438,2)="15",AND(LEFT(M438,2)&lt;&gt;"15",LEFT(M438,2)&lt;&gt;"33"))),"x","")</f>
        <v/>
      </c>
      <c r="V438" s="525" t="str">
        <f>IF(AND(OR(LEFT(TH!L438,2)="15",LEFT(TH!M438,2)="15"),'152-CT'!$J$8=TH!F438),"x","")</f>
        <v/>
      </c>
      <c r="W438" s="525" t="str">
        <f>IF(AND(OR(LEFT(TH!L438,2)="15",LEFT(TH!M438,2)="15"),TK!$E$7=TH!F438),"x","")</f>
        <v/>
      </c>
      <c r="X438" s="525" t="str">
        <f>IF(AND('341-CT'!$E$9=H438,OR(LEFT(L438,3)=$X$7,LEFT(M438,3)=$X$7)),"x","")</f>
        <v/>
      </c>
      <c r="Y438" s="525" t="str">
        <f>IF(OR(TH!L438=TH!$Y$7,M438=TH!$Y$7),"x","")</f>
        <v/>
      </c>
      <c r="Z438" s="525" t="str">
        <f>IF(AND(B438&lt;=NKC!$N$8,B438&gt;=NKC!$M$8),"x","")</f>
        <v>x</v>
      </c>
      <c r="AA438" s="535"/>
    </row>
    <row r="439" spans="1:28" s="503" customFormat="1" ht="15.75" customHeight="1">
      <c r="A439" s="517" t="str">
        <f>IF(B439&lt;&gt;"",IF(AND(B439&gt;=_TM1,B439&lt;=_TM2,OR(TH!L439="1111",TH!M439="1111")),TH!D439,""),"")</f>
        <v/>
      </c>
      <c r="B439" s="531">
        <f t="shared" si="55"/>
        <v>3</v>
      </c>
      <c r="C439" s="315">
        <f t="shared" si="56"/>
        <v>42823</v>
      </c>
      <c r="D439" s="315" t="s">
        <v>456</v>
      </c>
      <c r="E439" s="288">
        <v>42823</v>
      </c>
      <c r="F439" s="248" t="s">
        <v>808</v>
      </c>
      <c r="G439" s="314" t="s">
        <v>440</v>
      </c>
      <c r="H439" s="621" t="s">
        <v>1274</v>
      </c>
      <c r="I439" s="307"/>
      <c r="J439" s="307"/>
      <c r="K439" s="532">
        <v>131000000</v>
      </c>
      <c r="L439" s="533" t="s">
        <v>24</v>
      </c>
      <c r="M439" s="533" t="s">
        <v>441</v>
      </c>
      <c r="N439" s="525" t="str">
        <f>IF(AND('331-CT'!$E$7=TH!H439,OR(L439="331",M439="331")),"331",IF(AND(OR(L439="131",M439="131"),H439='131-CT'!$E$7),"131",""))</f>
        <v/>
      </c>
      <c r="O439" s="525" t="str">
        <f>IF(AND($B439&gt;='111'!$N$11,$B439&lt;='111'!$O$11,OR($L439=$O$7,$M439=$O$7)),"x","")</f>
        <v/>
      </c>
      <c r="P439" s="525" t="str">
        <f>IF(AND($L439=$O$7,$B439&lt;'111'!$N$11),"x","")</f>
        <v/>
      </c>
      <c r="Q439" s="525" t="str">
        <f>IF(AND($M439=$O$7,$B439&lt;'111'!$N$11),"x","")</f>
        <v/>
      </c>
      <c r="R439" s="525" t="str">
        <f>IF(ISERROR(FIND('112'!$M$9,G439,1)),"",IF((AND(FIND('112'!$M$9,G439,1)&gt;=1,$B439&gt;='112'!$N$8,$B439&lt;='112'!$O$8,OR($L439='112'!$I$6,$M439='112'!$I$6))),"x",""))</f>
        <v/>
      </c>
      <c r="S439" s="525" t="str">
        <f>IF(ISERROR(FIND('112'!$M$9,G439,1)),"",IF((AND(LEFT(G439,2)=LEFT('112'!$M$9,2),B439&lt;'112'!$N$8,$L439='112'!$I$6)),"x",""))</f>
        <v>x</v>
      </c>
      <c r="T439" s="525" t="str">
        <f>IF(ISERROR(FIND('112'!$M$9,G439,1)),"",IF((AND(RIGHT(G439,2)=RIGHT('112'!$M$9,2),B439&lt;'112'!$N$8,$M439='112'!$I$6)),"x",""))</f>
        <v/>
      </c>
      <c r="U439" s="525" t="str">
        <f>IF(AND(B439&gt;='IN-NX'!$P$3,B439&lt;='IN-NX'!$Q$3,'IN-NX'!$D$7=D439,OR(LEFT(L439,2)="15",AND(LEFT(M439,2)&lt;&gt;"15",LEFT(M439,2)&lt;&gt;"33"))),"x","")</f>
        <v/>
      </c>
      <c r="V439" s="525" t="str">
        <f>IF(AND(OR(LEFT(TH!L439,2)="15",LEFT(TH!M439,2)="15"),'152-CT'!$J$8=TH!F439),"x","")</f>
        <v/>
      </c>
      <c r="W439" s="525" t="str">
        <f>IF(AND(OR(LEFT(TH!L439,2)="15",LEFT(TH!M439,2)="15"),TK!$E$7=TH!F439),"x","")</f>
        <v/>
      </c>
      <c r="X439" s="525" t="str">
        <f>IF(AND('341-CT'!$E$9=H439,OR(LEFT(L439,3)=$X$7,LEFT(M439,3)=$X$7)),"x","")</f>
        <v/>
      </c>
      <c r="Y439" s="525" t="str">
        <f>IF(OR(TH!L439=TH!$Y$7,M439=TH!$Y$7),"x","")</f>
        <v/>
      </c>
      <c r="Z439" s="525" t="str">
        <f>IF(AND(B439&lt;=NKC!$N$8,B439&gt;=NKC!$M$8),"x","")</f>
        <v>x</v>
      </c>
      <c r="AA439" s="535"/>
    </row>
    <row r="440" spans="1:28" s="503" customFormat="1" ht="15.75" customHeight="1">
      <c r="A440" s="517" t="str">
        <f>IF(B440&lt;&gt;"",IF(AND(B440&gt;=_TM1,B440&lt;=_TM2,OR(TH!L440="1111",TH!M440="1111")),TH!D440,""),"")</f>
        <v/>
      </c>
      <c r="B440" s="531">
        <f t="shared" si="55"/>
        <v>3</v>
      </c>
      <c r="C440" s="315">
        <f t="shared" si="56"/>
        <v>42825</v>
      </c>
      <c r="D440" s="315" t="s">
        <v>456</v>
      </c>
      <c r="E440" s="288">
        <v>42825</v>
      </c>
      <c r="F440" s="249" t="s">
        <v>458</v>
      </c>
      <c r="G440" s="314" t="s">
        <v>440</v>
      </c>
      <c r="H440" s="473"/>
      <c r="I440" s="307"/>
      <c r="J440" s="307"/>
      <c r="K440" s="532">
        <v>2878</v>
      </c>
      <c r="L440" s="533" t="s">
        <v>24</v>
      </c>
      <c r="M440" s="533" t="s">
        <v>38</v>
      </c>
      <c r="N440" s="525" t="str">
        <f>IF(AND('331-CT'!$E$7=TH!H440,OR(L440="331",M440="331")),"331",IF(AND(OR(L440="131",M440="131"),H440='131-CT'!$E$7),"131",""))</f>
        <v/>
      </c>
      <c r="O440" s="525" t="str">
        <f>IF(AND($B440&gt;='111'!$N$11,$B440&lt;='111'!$O$11,OR($L440=$O$7,$M440=$O$7)),"x","")</f>
        <v/>
      </c>
      <c r="P440" s="525" t="str">
        <f>IF(AND($L440=$O$7,$B440&lt;'111'!$N$11),"x","")</f>
        <v/>
      </c>
      <c r="Q440" s="525" t="str">
        <f>IF(AND($M440=$O$7,$B440&lt;'111'!$N$11),"x","")</f>
        <v/>
      </c>
      <c r="R440" s="525" t="str">
        <f>IF(ISERROR(FIND('112'!$M$9,G440,1)),"",IF((AND(FIND('112'!$M$9,G440,1)&gt;=1,$B440&gt;='112'!$N$8,$B440&lt;='112'!$O$8,OR($L440='112'!$I$6,$M440='112'!$I$6))),"x",""))</f>
        <v/>
      </c>
      <c r="S440" s="525" t="str">
        <f>IF(ISERROR(FIND('112'!$M$9,G440,1)),"",IF((AND(LEFT(G440,2)=LEFT('112'!$M$9,2),B440&lt;'112'!$N$8,$L440='112'!$I$6)),"x",""))</f>
        <v>x</v>
      </c>
      <c r="T440" s="525" t="str">
        <f>IF(ISERROR(FIND('112'!$M$9,G440,1)),"",IF((AND(RIGHT(G440,2)=RIGHT('112'!$M$9,2),B440&lt;'112'!$N$8,$M440='112'!$I$6)),"x",""))</f>
        <v/>
      </c>
      <c r="U440" s="525" t="str">
        <f>IF(AND(B440&gt;='IN-NX'!$P$3,B440&lt;='IN-NX'!$Q$3,'IN-NX'!$D$7=D440,OR(LEFT(L440,2)="15",AND(LEFT(M440,2)&lt;&gt;"15",LEFT(M440,2)&lt;&gt;"33"))),"x","")</f>
        <v/>
      </c>
      <c r="V440" s="525" t="str">
        <f>IF(AND(OR(LEFT(TH!L440,2)="15",LEFT(TH!M440,2)="15"),'152-CT'!$J$8=TH!F440),"x","")</f>
        <v/>
      </c>
      <c r="W440" s="525" t="str">
        <f>IF(AND(OR(LEFT(TH!L440,2)="15",LEFT(TH!M440,2)="15"),TK!$E$7=TH!F440),"x","")</f>
        <v/>
      </c>
      <c r="X440" s="525" t="str">
        <f>IF(AND('341-CT'!$E$9=H440,OR(LEFT(L440,3)=$X$7,LEFT(M440,3)=$X$7)),"x","")</f>
        <v/>
      </c>
      <c r="Y440" s="525" t="str">
        <f>IF(OR(TH!L440=TH!$Y$7,M440=TH!$Y$7),"x","")</f>
        <v/>
      </c>
      <c r="Z440" s="525" t="str">
        <f>IF(AND(B440&lt;=NKC!$N$8,B440&gt;=NKC!$M$8),"x","")</f>
        <v>x</v>
      </c>
      <c r="AA440" s="535"/>
      <c r="AB440" s="536"/>
    </row>
    <row r="441" spans="1:28" s="503" customFormat="1" ht="15.75" customHeight="1">
      <c r="A441" s="517" t="str">
        <f>IF(B441&lt;&gt;"",IF(AND(B441&gt;=_TM1,B441&lt;=_TM2,OR(TH!L441="1111",TH!M441="1111")),TH!D441,""),"")</f>
        <v>GBN</v>
      </c>
      <c r="B441" s="531">
        <f t="shared" si="55"/>
        <v>1</v>
      </c>
      <c r="C441" s="315">
        <f t="shared" si="56"/>
        <v>42746</v>
      </c>
      <c r="D441" s="315" t="s">
        <v>461</v>
      </c>
      <c r="E441" s="288">
        <v>42746</v>
      </c>
      <c r="F441" s="249" t="s">
        <v>465</v>
      </c>
      <c r="G441" s="314" t="s">
        <v>440</v>
      </c>
      <c r="H441" s="473" t="s">
        <v>460</v>
      </c>
      <c r="I441" s="307"/>
      <c r="J441" s="307"/>
      <c r="K441" s="532">
        <v>500000000</v>
      </c>
      <c r="L441" s="533" t="s">
        <v>45</v>
      </c>
      <c r="M441" s="533" t="s">
        <v>24</v>
      </c>
      <c r="N441" s="525" t="str">
        <f>IF(AND('331-CT'!$E$7=TH!H441,OR(L441="331",M441="331")),"331",IF(AND(OR(L441="131",M441="131"),H441='131-CT'!$E$7),"131",""))</f>
        <v/>
      </c>
      <c r="O441" s="525" t="str">
        <f>IF(AND($B441&gt;='111'!$N$11,$B441&lt;='111'!$O$11,OR($L441=$O$7,$M441=$O$7)),"x","")</f>
        <v/>
      </c>
      <c r="P441" s="525" t="str">
        <f>IF(AND($L441=$O$7,$B441&lt;'111'!$N$11),"x","")</f>
        <v>x</v>
      </c>
      <c r="Q441" s="525" t="str">
        <f>IF(AND($M441=$O$7,$B441&lt;'111'!$N$11),"x","")</f>
        <v/>
      </c>
      <c r="R441" s="525" t="str">
        <f>IF(ISERROR(FIND('112'!$M$9,G441,1)),"",IF((AND(FIND('112'!$M$9,G441,1)&gt;=1,$B441&gt;='112'!$N$8,$B441&lt;='112'!$O$8,OR($L441='112'!$I$6,$M441='112'!$I$6))),"x",""))</f>
        <v/>
      </c>
      <c r="S441" s="525" t="str">
        <f>IF(ISERROR(FIND('112'!$M$9,G441,1)),"",IF((AND(LEFT(G441,2)=LEFT('112'!$M$9,2),B441&lt;'112'!$N$8,$L441='112'!$I$6)),"x",""))</f>
        <v/>
      </c>
      <c r="T441" s="525" t="str">
        <f>IF(ISERROR(FIND('112'!$M$9,G441,1)),"",IF((AND(RIGHT(G441,2)=RIGHT('112'!$M$9,2),B441&lt;'112'!$N$8,$M441='112'!$I$6)),"x",""))</f>
        <v>x</v>
      </c>
      <c r="U441" s="525" t="str">
        <f>IF(AND(B441&gt;='IN-NX'!$P$3,B441&lt;='IN-NX'!$Q$3,'IN-NX'!$D$7=D441,OR(LEFT(L441,2)="15",AND(LEFT(M441,2)&lt;&gt;"15",LEFT(M441,2)&lt;&gt;"33"))),"x","")</f>
        <v/>
      </c>
      <c r="V441" s="525" t="str">
        <f>IF(AND(OR(LEFT(TH!L441,2)="15",LEFT(TH!M441,2)="15"),'152-CT'!$J$8=TH!F441),"x","")</f>
        <v/>
      </c>
      <c r="W441" s="525" t="str">
        <f>IF(AND(OR(LEFT(TH!L441,2)="15",LEFT(TH!M441,2)="15"),TK!$E$7=TH!F441),"x","")</f>
        <v/>
      </c>
      <c r="X441" s="525" t="str">
        <f>IF(AND('341-CT'!$E$9=H441,OR(LEFT(L441,3)=$X$7,LEFT(M441,3)=$X$7)),"x","")</f>
        <v/>
      </c>
      <c r="Y441" s="525" t="str">
        <f>IF(OR(TH!L441=TH!$Y$7,M441=TH!$Y$7),"x","")</f>
        <v/>
      </c>
      <c r="Z441" s="525" t="str">
        <f>IF(AND(B441&lt;=NKC!$N$8,B441&gt;=NKC!$M$8),"x","")</f>
        <v>x</v>
      </c>
      <c r="AA441" s="535"/>
    </row>
    <row r="442" spans="1:28" s="503" customFormat="1" ht="15.75" customHeight="1">
      <c r="A442" s="517" t="str">
        <f>IF(B442&lt;&gt;"",IF(AND(B442&gt;=_TM1,B442&lt;=_TM2,OR(TH!L442="1111",TH!M442="1111")),TH!D442,""),"")</f>
        <v>GBN</v>
      </c>
      <c r="B442" s="531">
        <f t="shared" si="55"/>
        <v>1</v>
      </c>
      <c r="C442" s="315">
        <f t="shared" si="56"/>
        <v>42747</v>
      </c>
      <c r="D442" s="315" t="s">
        <v>461</v>
      </c>
      <c r="E442" s="288">
        <v>42747</v>
      </c>
      <c r="F442" s="249" t="s">
        <v>827</v>
      </c>
      <c r="G442" s="314" t="s">
        <v>440</v>
      </c>
      <c r="H442" s="473" t="s">
        <v>460</v>
      </c>
      <c r="I442" s="307"/>
      <c r="J442" s="307"/>
      <c r="K442" s="532">
        <v>1127000</v>
      </c>
      <c r="L442" s="533" t="s">
        <v>45</v>
      </c>
      <c r="M442" s="533" t="s">
        <v>24</v>
      </c>
      <c r="N442" s="525" t="str">
        <f>IF(AND('331-CT'!$E$7=TH!H442,OR(L442="331",M442="331")),"331",IF(AND(OR(L442="131",M442="131"),H442='131-CT'!$E$7),"131",""))</f>
        <v/>
      </c>
      <c r="O442" s="525" t="str">
        <f>IF(AND($B442&gt;='111'!$N$11,$B442&lt;='111'!$O$11,OR($L442=$O$7,$M442=$O$7)),"x","")</f>
        <v/>
      </c>
      <c r="P442" s="525" t="str">
        <f>IF(AND($L442=$O$7,$B442&lt;'111'!$N$11),"x","")</f>
        <v>x</v>
      </c>
      <c r="Q442" s="525" t="str">
        <f>IF(AND($M442=$O$7,$B442&lt;'111'!$N$11),"x","")</f>
        <v/>
      </c>
      <c r="R442" s="525" t="str">
        <f>IF(ISERROR(FIND('112'!$M$9,G442,1)),"",IF((AND(FIND('112'!$M$9,G442,1)&gt;=1,$B442&gt;='112'!$N$8,$B442&lt;='112'!$O$8,OR($L442='112'!$I$6,$M442='112'!$I$6))),"x",""))</f>
        <v/>
      </c>
      <c r="S442" s="525" t="str">
        <f>IF(ISERROR(FIND('112'!$M$9,G442,1)),"",IF((AND(LEFT(G442,2)=LEFT('112'!$M$9,2),B442&lt;'112'!$N$8,$L442='112'!$I$6)),"x",""))</f>
        <v/>
      </c>
      <c r="T442" s="525" t="str">
        <f>IF(ISERROR(FIND('112'!$M$9,G442,1)),"",IF((AND(RIGHT(G442,2)=RIGHT('112'!$M$9,2),B442&lt;'112'!$N$8,$M442='112'!$I$6)),"x",""))</f>
        <v>x</v>
      </c>
      <c r="U442" s="525" t="str">
        <f>IF(AND(B442&gt;='IN-NX'!$P$3,B442&lt;='IN-NX'!$Q$3,'IN-NX'!$D$7=D442,OR(LEFT(L442,2)="15",AND(LEFT(M442,2)&lt;&gt;"15",LEFT(M442,2)&lt;&gt;"33"))),"x","")</f>
        <v/>
      </c>
      <c r="V442" s="525" t="str">
        <f>IF(AND(OR(LEFT(TH!L442,2)="15",LEFT(TH!M442,2)="15"),'152-CT'!$J$8=TH!F442),"x","")</f>
        <v/>
      </c>
      <c r="W442" s="525" t="str">
        <f>IF(AND(OR(LEFT(TH!L442,2)="15",LEFT(TH!M442,2)="15"),TK!$E$7=TH!F442),"x","")</f>
        <v/>
      </c>
      <c r="X442" s="525" t="str">
        <f>IF(AND('341-CT'!$E$9=H442,OR(LEFT(L442,3)=$X$7,LEFT(M442,3)=$X$7)),"x","")</f>
        <v/>
      </c>
      <c r="Y442" s="525" t="str">
        <f>IF(OR(TH!L442=TH!$Y$7,M442=TH!$Y$7),"x","")</f>
        <v/>
      </c>
      <c r="Z442" s="525" t="str">
        <f>IF(AND(B442&lt;=NKC!$N$8,B442&gt;=NKC!$M$8),"x","")</f>
        <v>x</v>
      </c>
      <c r="AA442" s="535"/>
    </row>
    <row r="443" spans="1:28" s="503" customFormat="1" ht="15.75" customHeight="1">
      <c r="A443" s="517" t="str">
        <f>IF(B443&lt;&gt;"",IF(AND(B443&gt;=_TM1,B443&lt;=_TM2,OR(TH!L443="1111",TH!M443="1111")),TH!D443,""),"")</f>
        <v>GBN</v>
      </c>
      <c r="B443" s="531">
        <f t="shared" si="55"/>
        <v>1</v>
      </c>
      <c r="C443" s="315">
        <f t="shared" si="56"/>
        <v>42748</v>
      </c>
      <c r="D443" s="315" t="s">
        <v>461</v>
      </c>
      <c r="E443" s="288">
        <v>42748</v>
      </c>
      <c r="F443" s="249" t="s">
        <v>465</v>
      </c>
      <c r="G443" s="314" t="s">
        <v>440</v>
      </c>
      <c r="H443" s="473" t="s">
        <v>460</v>
      </c>
      <c r="I443" s="307"/>
      <c r="J443" s="307"/>
      <c r="K443" s="532">
        <v>99000000</v>
      </c>
      <c r="L443" s="533" t="s">
        <v>45</v>
      </c>
      <c r="M443" s="533" t="s">
        <v>24</v>
      </c>
      <c r="N443" s="525" t="str">
        <f>IF(AND('331-CT'!$E$7=TH!H443,OR(L443="331",M443="331")),"331",IF(AND(OR(L443="131",M443="131"),H443='131-CT'!$E$7),"131",""))</f>
        <v/>
      </c>
      <c r="O443" s="525" t="str">
        <f>IF(AND($B443&gt;='111'!$N$11,$B443&lt;='111'!$O$11,OR($L443=$O$7,$M443=$O$7)),"x","")</f>
        <v/>
      </c>
      <c r="P443" s="525" t="str">
        <f>IF(AND($L443=$O$7,$B443&lt;'111'!$N$11),"x","")</f>
        <v>x</v>
      </c>
      <c r="Q443" s="525" t="str">
        <f>IF(AND($M443=$O$7,$B443&lt;'111'!$N$11),"x","")</f>
        <v/>
      </c>
      <c r="R443" s="525" t="str">
        <f>IF(ISERROR(FIND('112'!$M$9,G443,1)),"",IF((AND(FIND('112'!$M$9,G443,1)&gt;=1,$B443&gt;='112'!$N$8,$B443&lt;='112'!$O$8,OR($L443='112'!$I$6,$M443='112'!$I$6))),"x",""))</f>
        <v/>
      </c>
      <c r="S443" s="525" t="str">
        <f>IF(ISERROR(FIND('112'!$M$9,G443,1)),"",IF((AND(LEFT(G443,2)=LEFT('112'!$M$9,2),B443&lt;'112'!$N$8,$L443='112'!$I$6)),"x",""))</f>
        <v/>
      </c>
      <c r="T443" s="525" t="str">
        <f>IF(ISERROR(FIND('112'!$M$9,G443,1)),"",IF((AND(RIGHT(G443,2)=RIGHT('112'!$M$9,2),B443&lt;'112'!$N$8,$M443='112'!$I$6)),"x",""))</f>
        <v>x</v>
      </c>
      <c r="U443" s="525" t="str">
        <f>IF(AND(B443&gt;='IN-NX'!$P$3,B443&lt;='IN-NX'!$Q$3,'IN-NX'!$D$7=D443,OR(LEFT(L443,2)="15",AND(LEFT(M443,2)&lt;&gt;"15",LEFT(M443,2)&lt;&gt;"33"))),"x","")</f>
        <v/>
      </c>
      <c r="V443" s="525" t="str">
        <f>IF(AND(OR(LEFT(TH!L443,2)="15",LEFT(TH!M443,2)="15"),'152-CT'!$J$8=TH!F443),"x","")</f>
        <v/>
      </c>
      <c r="W443" s="525" t="str">
        <f>IF(AND(OR(LEFT(TH!L443,2)="15",LEFT(TH!M443,2)="15"),TK!$E$7=TH!F443),"x","")</f>
        <v/>
      </c>
      <c r="X443" s="525" t="str">
        <f>IF(AND('341-CT'!$E$9=H443,OR(LEFT(L443,3)=$X$7,LEFT(M443,3)=$X$7)),"x","")</f>
        <v/>
      </c>
      <c r="Y443" s="525" t="str">
        <f>IF(OR(TH!L443=TH!$Y$7,M443=TH!$Y$7),"x","")</f>
        <v/>
      </c>
      <c r="Z443" s="525" t="str">
        <f>IF(AND(B443&lt;=NKC!$N$8,B443&gt;=NKC!$M$8),"x","")</f>
        <v>x</v>
      </c>
      <c r="AA443" s="535"/>
    </row>
    <row r="444" spans="1:28" s="503" customFormat="1" ht="15.75" customHeight="1">
      <c r="A444" s="517" t="str">
        <f>IF(B444&lt;&gt;"",IF(AND(B444&gt;=_TM1,B444&lt;=_TM2,OR(TH!L444="1111",TH!M444="1111")),TH!D444,""),"")</f>
        <v>GBN</v>
      </c>
      <c r="B444" s="531">
        <f t="shared" si="55"/>
        <v>1</v>
      </c>
      <c r="C444" s="315">
        <f t="shared" si="56"/>
        <v>42752</v>
      </c>
      <c r="D444" s="315" t="s">
        <v>461</v>
      </c>
      <c r="E444" s="288">
        <v>42752</v>
      </c>
      <c r="F444" s="249" t="s">
        <v>465</v>
      </c>
      <c r="G444" s="314" t="s">
        <v>440</v>
      </c>
      <c r="H444" s="473" t="s">
        <v>460</v>
      </c>
      <c r="I444" s="307"/>
      <c r="J444" s="307"/>
      <c r="K444" s="532">
        <v>99700000</v>
      </c>
      <c r="L444" s="533" t="s">
        <v>45</v>
      </c>
      <c r="M444" s="533" t="s">
        <v>24</v>
      </c>
      <c r="N444" s="525" t="str">
        <f>IF(AND('331-CT'!$E$7=TH!H444,OR(L444="331",M444="331")),"331",IF(AND(OR(L444="131",M444="131"),H444='131-CT'!$E$7),"131",""))</f>
        <v/>
      </c>
      <c r="O444" s="525" t="str">
        <f>IF(AND($B444&gt;='111'!$N$11,$B444&lt;='111'!$O$11,OR($L444=$O$7,$M444=$O$7)),"x","")</f>
        <v/>
      </c>
      <c r="P444" s="525" t="str">
        <f>IF(AND($L444=$O$7,$B444&lt;'111'!$N$11),"x","")</f>
        <v>x</v>
      </c>
      <c r="Q444" s="525" t="str">
        <f>IF(AND($M444=$O$7,$B444&lt;'111'!$N$11),"x","")</f>
        <v/>
      </c>
      <c r="R444" s="525" t="str">
        <f>IF(ISERROR(FIND('112'!$M$9,G444,1)),"",IF((AND(FIND('112'!$M$9,G444,1)&gt;=1,$B444&gt;='112'!$N$8,$B444&lt;='112'!$O$8,OR($L444='112'!$I$6,$M444='112'!$I$6))),"x",""))</f>
        <v/>
      </c>
      <c r="S444" s="525" t="str">
        <f>IF(ISERROR(FIND('112'!$M$9,G444,1)),"",IF((AND(LEFT(G444,2)=LEFT('112'!$M$9,2),B444&lt;'112'!$N$8,$L444='112'!$I$6)),"x",""))</f>
        <v/>
      </c>
      <c r="T444" s="525" t="str">
        <f>IF(ISERROR(FIND('112'!$M$9,G444,1)),"",IF((AND(RIGHT(G444,2)=RIGHT('112'!$M$9,2),B444&lt;'112'!$N$8,$M444='112'!$I$6)),"x",""))</f>
        <v>x</v>
      </c>
      <c r="U444" s="525" t="str">
        <f>IF(AND(B444&gt;='IN-NX'!$P$3,B444&lt;='IN-NX'!$Q$3,'IN-NX'!$D$7=D444,OR(LEFT(L444,2)="15",AND(LEFT(M444,2)&lt;&gt;"15",LEFT(M444,2)&lt;&gt;"33"))),"x","")</f>
        <v/>
      </c>
      <c r="V444" s="525" t="str">
        <f>IF(AND(OR(LEFT(TH!L444,2)="15",LEFT(TH!M444,2)="15"),'152-CT'!$J$8=TH!F444),"x","")</f>
        <v/>
      </c>
      <c r="W444" s="525" t="str">
        <f>IF(AND(OR(LEFT(TH!L444,2)="15",LEFT(TH!M444,2)="15"),TK!$E$7=TH!F444),"x","")</f>
        <v/>
      </c>
      <c r="X444" s="525" t="str">
        <f>IF(AND('341-CT'!$E$9=H444,OR(LEFT(L444,3)=$X$7,LEFT(M444,3)=$X$7)),"x","")</f>
        <v/>
      </c>
      <c r="Y444" s="525" t="str">
        <f>IF(OR(TH!L444=TH!$Y$7,M444=TH!$Y$7),"x","")</f>
        <v/>
      </c>
      <c r="Z444" s="525" t="str">
        <f>IF(AND(B444&lt;=NKC!$N$8,B444&gt;=NKC!$M$8),"x","")</f>
        <v>x</v>
      </c>
      <c r="AA444" s="535"/>
      <c r="AB444" s="536"/>
    </row>
    <row r="445" spans="1:28" s="503" customFormat="1" ht="15.75" customHeight="1">
      <c r="A445" s="517" t="str">
        <f>IF(B445&lt;&gt;"",IF(AND(B445&gt;=_TM1,B445&lt;=_TM2,OR(TH!L445="1111",TH!M445="1111")),TH!D445,""),"")</f>
        <v/>
      </c>
      <c r="B445" s="531">
        <f t="shared" si="55"/>
        <v>1</v>
      </c>
      <c r="C445" s="315">
        <f t="shared" si="56"/>
        <v>42755</v>
      </c>
      <c r="D445" s="315" t="s">
        <v>461</v>
      </c>
      <c r="E445" s="288">
        <v>42755</v>
      </c>
      <c r="F445" s="249" t="s">
        <v>828</v>
      </c>
      <c r="G445" s="314" t="s">
        <v>440</v>
      </c>
      <c r="H445" s="472" t="s">
        <v>830</v>
      </c>
      <c r="I445" s="307"/>
      <c r="J445" s="307"/>
      <c r="K445" s="532">
        <v>3218318</v>
      </c>
      <c r="L445" s="533" t="s">
        <v>79</v>
      </c>
      <c r="M445" s="533" t="s">
        <v>24</v>
      </c>
      <c r="N445" s="525" t="str">
        <f>IF(AND('331-CT'!$E$7=TH!H445,OR(L445="331",M445="331")),"331",IF(AND(OR(L445="131",M445="131"),H445='131-CT'!$E$7),"131",""))</f>
        <v/>
      </c>
      <c r="O445" s="525" t="str">
        <f>IF(AND($B445&gt;='111'!$N$11,$B445&lt;='111'!$O$11,OR($L445=$O$7,$M445=$O$7)),"x","")</f>
        <v/>
      </c>
      <c r="P445" s="525" t="str">
        <f>IF(AND($L445=$O$7,$B445&lt;'111'!$N$11),"x","")</f>
        <v/>
      </c>
      <c r="Q445" s="525" t="str">
        <f>IF(AND($M445=$O$7,$B445&lt;'111'!$N$11),"x","")</f>
        <v/>
      </c>
      <c r="R445" s="525" t="str">
        <f>IF(ISERROR(FIND('112'!$M$9,G445,1)),"",IF((AND(FIND('112'!$M$9,G445,1)&gt;=1,$B445&gt;='112'!$N$8,$B445&lt;='112'!$O$8,OR($L445='112'!$I$6,$M445='112'!$I$6))),"x",""))</f>
        <v/>
      </c>
      <c r="S445" s="525" t="str">
        <f>IF(ISERROR(FIND('112'!$M$9,G445,1)),"",IF((AND(LEFT(G445,2)=LEFT('112'!$M$9,2),B445&lt;'112'!$N$8,$L445='112'!$I$6)),"x",""))</f>
        <v/>
      </c>
      <c r="T445" s="525" t="str">
        <f>IF(ISERROR(FIND('112'!$M$9,G445,1)),"",IF((AND(RIGHT(G445,2)=RIGHT('112'!$M$9,2),B445&lt;'112'!$N$8,$M445='112'!$I$6)),"x",""))</f>
        <v>x</v>
      </c>
      <c r="U445" s="525" t="str">
        <f>IF(AND(B445&gt;='IN-NX'!$P$3,B445&lt;='IN-NX'!$Q$3,'IN-NX'!$D$7=D445,OR(LEFT(L445,2)="15",AND(LEFT(M445,2)&lt;&gt;"15",LEFT(M445,2)&lt;&gt;"33"))),"x","")</f>
        <v/>
      </c>
      <c r="V445" s="525" t="str">
        <f>IF(AND(OR(LEFT(TH!L445,2)="15",LEFT(TH!M445,2)="15"),'152-CT'!$J$8=TH!F445),"x","")</f>
        <v/>
      </c>
      <c r="W445" s="525" t="str">
        <f>IF(AND(OR(LEFT(TH!L445,2)="15",LEFT(TH!M445,2)="15"),TK!$E$7=TH!F445),"x","")</f>
        <v/>
      </c>
      <c r="X445" s="525" t="str">
        <f>IF(AND('341-CT'!$E$9=H445,OR(LEFT(L445,3)=$X$7,LEFT(M445,3)=$X$7)),"x","")</f>
        <v/>
      </c>
      <c r="Y445" s="525" t="str">
        <f>IF(OR(TH!L445=TH!$Y$7,M445=TH!$Y$7),"x","")</f>
        <v/>
      </c>
      <c r="Z445" s="525" t="str">
        <f>IF(AND(B445&lt;=NKC!$N$8,B445&gt;=NKC!$M$8),"x","")</f>
        <v>x</v>
      </c>
      <c r="AA445" s="535"/>
    </row>
    <row r="446" spans="1:28" s="503" customFormat="1" ht="15.75" customHeight="1">
      <c r="A446" s="517" t="str">
        <f>IF(B446&lt;&gt;"",IF(AND(B446&gt;=_TM1,B446&lt;=_TM2,OR(TH!L446="1111",TH!M446="1111")),TH!D446,""),"")</f>
        <v/>
      </c>
      <c r="B446" s="531">
        <f t="shared" si="55"/>
        <v>1</v>
      </c>
      <c r="C446" s="315">
        <f t="shared" si="56"/>
        <v>42755</v>
      </c>
      <c r="D446" s="315" t="s">
        <v>461</v>
      </c>
      <c r="E446" s="288">
        <v>42755</v>
      </c>
      <c r="F446" s="249" t="s">
        <v>829</v>
      </c>
      <c r="G446" s="314" t="s">
        <v>440</v>
      </c>
      <c r="H446" s="472" t="s">
        <v>830</v>
      </c>
      <c r="I446" s="307"/>
      <c r="J446" s="307"/>
      <c r="K446" s="532">
        <v>9420000</v>
      </c>
      <c r="L446" s="534" t="s">
        <v>441</v>
      </c>
      <c r="M446" s="533" t="s">
        <v>24</v>
      </c>
      <c r="N446" s="525" t="str">
        <f>IF(AND('331-CT'!$E$7=TH!H446,OR(L446="331",M446="331")),"331",IF(AND(OR(L446="131",M446="131"),H446='131-CT'!$E$7),"131",""))</f>
        <v/>
      </c>
      <c r="O446" s="525" t="str">
        <f>IF(AND($B446&gt;='111'!$N$11,$B446&lt;='111'!$O$11,OR($L446=$O$7,$M446=$O$7)),"x","")</f>
        <v/>
      </c>
      <c r="P446" s="525" t="str">
        <f>IF(AND($L446=$O$7,$B446&lt;'111'!$N$11),"x","")</f>
        <v/>
      </c>
      <c r="Q446" s="525" t="str">
        <f>IF(AND($M446=$O$7,$B446&lt;'111'!$N$11),"x","")</f>
        <v/>
      </c>
      <c r="R446" s="525" t="str">
        <f>IF(ISERROR(FIND('112'!$M$9,G446,1)),"",IF((AND(FIND('112'!$M$9,G446,1)&gt;=1,$B446&gt;='112'!$N$8,$B446&lt;='112'!$O$8,OR($L446='112'!$I$6,$M446='112'!$I$6))),"x",""))</f>
        <v/>
      </c>
      <c r="S446" s="525" t="str">
        <f>IF(ISERROR(FIND('112'!$M$9,G446,1)),"",IF((AND(LEFT(G446,2)=LEFT('112'!$M$9,2),B446&lt;'112'!$N$8,$L446='112'!$I$6)),"x",""))</f>
        <v/>
      </c>
      <c r="T446" s="525" t="str">
        <f>IF(ISERROR(FIND('112'!$M$9,G446,1)),"",IF((AND(RIGHT(G446,2)=RIGHT('112'!$M$9,2),B446&lt;'112'!$N$8,$M446='112'!$I$6)),"x",""))</f>
        <v>x</v>
      </c>
      <c r="U446" s="525" t="str">
        <f>IF(AND(B446&gt;='IN-NX'!$P$3,B446&lt;='IN-NX'!$Q$3,'IN-NX'!$D$7=D446,OR(LEFT(L446,2)="15",AND(LEFT(M446,2)&lt;&gt;"15",LEFT(M446,2)&lt;&gt;"33"))),"x","")</f>
        <v/>
      </c>
      <c r="V446" s="525" t="str">
        <f>IF(AND(OR(LEFT(TH!L446,2)="15",LEFT(TH!M446,2)="15"),'152-CT'!$J$8=TH!F446),"x","")</f>
        <v/>
      </c>
      <c r="W446" s="525" t="str">
        <f>IF(AND(OR(LEFT(TH!L446,2)="15",LEFT(TH!M446,2)="15"),TK!$E$7=TH!F446),"x","")</f>
        <v/>
      </c>
      <c r="X446" s="525" t="str">
        <f>IF(AND('341-CT'!$E$9=H446,OR(LEFT(L446,3)=$X$7,LEFT(M446,3)=$X$7)),"x","")</f>
        <v/>
      </c>
      <c r="Y446" s="525" t="str">
        <f>IF(OR(TH!L446=TH!$Y$7,M446=TH!$Y$7),"x","")</f>
        <v/>
      </c>
      <c r="Z446" s="525" t="str">
        <f>IF(AND(B446&lt;=NKC!$N$8,B446&gt;=NKC!$M$8),"x","")</f>
        <v>x</v>
      </c>
      <c r="AA446" s="535"/>
    </row>
    <row r="447" spans="1:28" s="503" customFormat="1" ht="15.75" customHeight="1">
      <c r="A447" s="517" t="str">
        <f>IF(B447&lt;&gt;"",IF(AND(B447&gt;=_TM1,B447&lt;=_TM2,OR(TH!L447="1111",TH!M447="1111")),TH!D447,""),"")</f>
        <v>GBN</v>
      </c>
      <c r="B447" s="531">
        <f t="shared" si="55"/>
        <v>1</v>
      </c>
      <c r="C447" s="315">
        <f t="shared" si="56"/>
        <v>42760</v>
      </c>
      <c r="D447" s="315" t="s">
        <v>461</v>
      </c>
      <c r="E447" s="288">
        <v>42760</v>
      </c>
      <c r="F447" s="249" t="s">
        <v>827</v>
      </c>
      <c r="G447" s="314" t="s">
        <v>440</v>
      </c>
      <c r="H447" s="473" t="s">
        <v>460</v>
      </c>
      <c r="I447" s="307"/>
      <c r="J447" s="307"/>
      <c r="K447" s="532">
        <v>300000</v>
      </c>
      <c r="L447" s="533" t="s">
        <v>45</v>
      </c>
      <c r="M447" s="533" t="s">
        <v>24</v>
      </c>
      <c r="N447" s="525" t="str">
        <f>IF(AND('331-CT'!$E$7=TH!H447,OR(L447="331",M447="331")),"331",IF(AND(OR(L447="131",M447="131"),H447='131-CT'!$E$7),"131",""))</f>
        <v/>
      </c>
      <c r="O447" s="525" t="str">
        <f>IF(AND($B447&gt;='111'!$N$11,$B447&lt;='111'!$O$11,OR($L447=$O$7,$M447=$O$7)),"x","")</f>
        <v/>
      </c>
      <c r="P447" s="525" t="str">
        <f>IF(AND($L447=$O$7,$B447&lt;'111'!$N$11),"x","")</f>
        <v>x</v>
      </c>
      <c r="Q447" s="525" t="str">
        <f>IF(AND($M447=$O$7,$B447&lt;'111'!$N$11),"x","")</f>
        <v/>
      </c>
      <c r="R447" s="525" t="str">
        <f>IF(ISERROR(FIND('112'!$M$9,G447,1)),"",IF((AND(FIND('112'!$M$9,G447,1)&gt;=1,$B447&gt;='112'!$N$8,$B447&lt;='112'!$O$8,OR($L447='112'!$I$6,$M447='112'!$I$6))),"x",""))</f>
        <v/>
      </c>
      <c r="S447" s="525" t="str">
        <f>IF(ISERROR(FIND('112'!$M$9,G447,1)),"",IF((AND(LEFT(G447,2)=LEFT('112'!$M$9,2),B447&lt;'112'!$N$8,$L447='112'!$I$6)),"x",""))</f>
        <v/>
      </c>
      <c r="T447" s="525" t="str">
        <f>IF(ISERROR(FIND('112'!$M$9,G447,1)),"",IF((AND(RIGHT(G447,2)=RIGHT('112'!$M$9,2),B447&lt;'112'!$N$8,$M447='112'!$I$6)),"x",""))</f>
        <v>x</v>
      </c>
      <c r="U447" s="525" t="str">
        <f>IF(AND(B447&gt;='IN-NX'!$P$3,B447&lt;='IN-NX'!$Q$3,'IN-NX'!$D$7=D447,OR(LEFT(L447,2)="15",AND(LEFT(M447,2)&lt;&gt;"15",LEFT(M447,2)&lt;&gt;"33"))),"x","")</f>
        <v/>
      </c>
      <c r="V447" s="525" t="str">
        <f>IF(AND(OR(LEFT(TH!L447,2)="15",LEFT(TH!M447,2)="15"),'152-CT'!$J$8=TH!F447),"x","")</f>
        <v/>
      </c>
      <c r="W447" s="525" t="str">
        <f>IF(AND(OR(LEFT(TH!L447,2)="15",LEFT(TH!M447,2)="15"),TK!$E$7=TH!F447),"x","")</f>
        <v/>
      </c>
      <c r="X447" s="525" t="str">
        <f>IF(AND('341-CT'!$E$9=H447,OR(LEFT(L447,3)=$X$7,LEFT(M447,3)=$X$7)),"x","")</f>
        <v/>
      </c>
      <c r="Y447" s="525" t="str">
        <f>IF(OR(TH!L447=TH!$Y$7,M447=TH!$Y$7),"x","")</f>
        <v/>
      </c>
      <c r="Z447" s="525" t="str">
        <f>IF(AND(B447&lt;=NKC!$N$8,B447&gt;=NKC!$M$8),"x","")</f>
        <v>x</v>
      </c>
      <c r="AA447" s="535"/>
    </row>
    <row r="448" spans="1:28" s="503" customFormat="1" ht="15.75" customHeight="1">
      <c r="A448" s="517" t="str">
        <f>IF(B448&lt;&gt;"",IF(AND(B448&gt;=_TM1,B448&lt;=_TM2,OR(TH!L448="1111",TH!M448="1111")),TH!D448,""),"")</f>
        <v/>
      </c>
      <c r="B448" s="531">
        <f t="shared" si="55"/>
        <v>2</v>
      </c>
      <c r="C448" s="315">
        <f t="shared" si="56"/>
        <v>42786</v>
      </c>
      <c r="D448" s="315" t="s">
        <v>461</v>
      </c>
      <c r="E448" s="288">
        <v>42786</v>
      </c>
      <c r="F448" s="249" t="s">
        <v>828</v>
      </c>
      <c r="G448" s="314" t="s">
        <v>440</v>
      </c>
      <c r="H448" s="472" t="s">
        <v>830</v>
      </c>
      <c r="I448" s="307"/>
      <c r="J448" s="307"/>
      <c r="K448" s="532">
        <v>3015101</v>
      </c>
      <c r="L448" s="533" t="s">
        <v>79</v>
      </c>
      <c r="M448" s="533" t="s">
        <v>24</v>
      </c>
      <c r="N448" s="525" t="str">
        <f>IF(AND('331-CT'!$E$7=TH!H448,OR(L448="331",M448="331")),"331",IF(AND(OR(L448="131",M448="131"),H448='131-CT'!$E$7),"131",""))</f>
        <v/>
      </c>
      <c r="O448" s="525" t="str">
        <f>IF(AND($B448&gt;='111'!$N$11,$B448&lt;='111'!$O$11,OR($L448=$O$7,$M448=$O$7)),"x","")</f>
        <v/>
      </c>
      <c r="P448" s="525" t="str">
        <f>IF(AND($L448=$O$7,$B448&lt;'111'!$N$11),"x","")</f>
        <v/>
      </c>
      <c r="Q448" s="525" t="str">
        <f>IF(AND($M448=$O$7,$B448&lt;'111'!$N$11),"x","")</f>
        <v/>
      </c>
      <c r="R448" s="525" t="str">
        <f>IF(ISERROR(FIND('112'!$M$9,G448,1)),"",IF((AND(FIND('112'!$M$9,G448,1)&gt;=1,$B448&gt;='112'!$N$8,$B448&lt;='112'!$O$8,OR($L448='112'!$I$6,$M448='112'!$I$6))),"x",""))</f>
        <v/>
      </c>
      <c r="S448" s="525" t="str">
        <f>IF(ISERROR(FIND('112'!$M$9,G448,1)),"",IF((AND(LEFT(G448,2)=LEFT('112'!$M$9,2),B448&lt;'112'!$N$8,$L448='112'!$I$6)),"x",""))</f>
        <v/>
      </c>
      <c r="T448" s="525" t="str">
        <f>IF(ISERROR(FIND('112'!$M$9,G448,1)),"",IF((AND(RIGHT(G448,2)=RIGHT('112'!$M$9,2),B448&lt;'112'!$N$8,$M448='112'!$I$6)),"x",""))</f>
        <v>x</v>
      </c>
      <c r="U448" s="525" t="str">
        <f>IF(AND(B448&gt;='IN-NX'!$P$3,B448&lt;='IN-NX'!$Q$3,'IN-NX'!$D$7=D448,OR(LEFT(L448,2)="15",AND(LEFT(M448,2)&lt;&gt;"15",LEFT(M448,2)&lt;&gt;"33"))),"x","")</f>
        <v/>
      </c>
      <c r="V448" s="525" t="str">
        <f>IF(AND(OR(LEFT(TH!L448,2)="15",LEFT(TH!M448,2)="15"),'152-CT'!$J$8=TH!F448),"x","")</f>
        <v/>
      </c>
      <c r="W448" s="525" t="str">
        <f>IF(AND(OR(LEFT(TH!L448,2)="15",LEFT(TH!M448,2)="15"),TK!$E$7=TH!F448),"x","")</f>
        <v/>
      </c>
      <c r="X448" s="525" t="str">
        <f>IF(AND('341-CT'!$E$9=H448,OR(LEFT(L448,3)=$X$7,LEFT(M448,3)=$X$7)),"x","")</f>
        <v/>
      </c>
      <c r="Y448" s="525" t="str">
        <f>IF(OR(TH!L448=TH!$Y$7,M448=TH!$Y$7),"x","")</f>
        <v/>
      </c>
      <c r="Z448" s="525" t="str">
        <f>IF(AND(B448&lt;=NKC!$N$8,B448&gt;=NKC!$M$8),"x","")</f>
        <v>x</v>
      </c>
      <c r="AA448" s="535"/>
    </row>
    <row r="449" spans="1:28" s="503" customFormat="1" ht="15.75" customHeight="1">
      <c r="A449" s="517" t="str">
        <f>IF(B449&lt;&gt;"",IF(AND(B449&gt;=_TM1,B449&lt;=_TM2,OR(TH!L449="1111",TH!M449="1111")),TH!D449,""),"")</f>
        <v/>
      </c>
      <c r="B449" s="531">
        <f t="shared" si="55"/>
        <v>2</v>
      </c>
      <c r="C449" s="315">
        <f t="shared" si="56"/>
        <v>42786</v>
      </c>
      <c r="D449" s="315" t="s">
        <v>461</v>
      </c>
      <c r="E449" s="288">
        <v>42786</v>
      </c>
      <c r="F449" s="249" t="s">
        <v>829</v>
      </c>
      <c r="G449" s="314" t="s">
        <v>440</v>
      </c>
      <c r="H449" s="472" t="s">
        <v>830</v>
      </c>
      <c r="I449" s="307"/>
      <c r="J449" s="307"/>
      <c r="K449" s="532">
        <v>9420000</v>
      </c>
      <c r="L449" s="534" t="s">
        <v>441</v>
      </c>
      <c r="M449" s="533" t="s">
        <v>24</v>
      </c>
      <c r="N449" s="525" t="str">
        <f>IF(AND('331-CT'!$E$7=TH!H449,OR(L449="331",M449="331")),"331",IF(AND(OR(L449="131",M449="131"),H449='131-CT'!$E$7),"131",""))</f>
        <v/>
      </c>
      <c r="O449" s="525" t="str">
        <f>IF(AND($B449&gt;='111'!$N$11,$B449&lt;='111'!$O$11,OR($L449=$O$7,$M449=$O$7)),"x","")</f>
        <v/>
      </c>
      <c r="P449" s="525" t="str">
        <f>IF(AND($L449=$O$7,$B449&lt;'111'!$N$11),"x","")</f>
        <v/>
      </c>
      <c r="Q449" s="525" t="str">
        <f>IF(AND($M449=$O$7,$B449&lt;'111'!$N$11),"x","")</f>
        <v/>
      </c>
      <c r="R449" s="525" t="str">
        <f>IF(ISERROR(FIND('112'!$M$9,G449,1)),"",IF((AND(FIND('112'!$M$9,G449,1)&gt;=1,$B449&gt;='112'!$N$8,$B449&lt;='112'!$O$8,OR($L449='112'!$I$6,$M449='112'!$I$6))),"x",""))</f>
        <v/>
      </c>
      <c r="S449" s="525" t="str">
        <f>IF(ISERROR(FIND('112'!$M$9,G449,1)),"",IF((AND(LEFT(G449,2)=LEFT('112'!$M$9,2),B449&lt;'112'!$N$8,$L449='112'!$I$6)),"x",""))</f>
        <v/>
      </c>
      <c r="T449" s="525" t="str">
        <f>IF(ISERROR(FIND('112'!$M$9,G449,1)),"",IF((AND(RIGHT(G449,2)=RIGHT('112'!$M$9,2),B449&lt;'112'!$N$8,$M449='112'!$I$6)),"x",""))</f>
        <v>x</v>
      </c>
      <c r="U449" s="525" t="str">
        <f>IF(AND(B449&gt;='IN-NX'!$P$3,B449&lt;='IN-NX'!$Q$3,'IN-NX'!$D$7=D449,OR(LEFT(L449,2)="15",AND(LEFT(M449,2)&lt;&gt;"15",LEFT(M449,2)&lt;&gt;"33"))),"x","")</f>
        <v/>
      </c>
      <c r="V449" s="525" t="str">
        <f>IF(AND(OR(LEFT(TH!L449,2)="15",LEFT(TH!M449,2)="15"),'152-CT'!$J$8=TH!F449),"x","")</f>
        <v/>
      </c>
      <c r="W449" s="525" t="str">
        <f>IF(AND(OR(LEFT(TH!L449,2)="15",LEFT(TH!M449,2)="15"),TK!$E$7=TH!F449),"x","")</f>
        <v/>
      </c>
      <c r="X449" s="525" t="str">
        <f>IF(AND('341-CT'!$E$9=H449,OR(LEFT(L449,3)=$X$7,LEFT(M449,3)=$X$7)),"x","")</f>
        <v/>
      </c>
      <c r="Y449" s="525" t="str">
        <f>IF(OR(TH!L449=TH!$Y$7,M449=TH!$Y$7),"x","")</f>
        <v/>
      </c>
      <c r="Z449" s="525" t="str">
        <f>IF(AND(B449&lt;=NKC!$N$8,B449&gt;=NKC!$M$8),"x","")</f>
        <v>x</v>
      </c>
      <c r="AA449" s="535"/>
    </row>
    <row r="450" spans="1:28" s="503" customFormat="1" ht="15.75" customHeight="1">
      <c r="A450" s="517" t="str">
        <f>IF(B450&lt;&gt;"",IF(AND(B450&gt;=_TM1,B450&lt;=_TM2,OR(TH!L450="1111",TH!M450="1111")),TH!D450,""),"")</f>
        <v/>
      </c>
      <c r="B450" s="531">
        <f t="shared" si="55"/>
        <v>2</v>
      </c>
      <c r="C450" s="315">
        <f t="shared" si="56"/>
        <v>42793</v>
      </c>
      <c r="D450" s="315" t="s">
        <v>461</v>
      </c>
      <c r="E450" s="288">
        <v>42793</v>
      </c>
      <c r="F450" s="248" t="s">
        <v>831</v>
      </c>
      <c r="G450" s="314" t="s">
        <v>440</v>
      </c>
      <c r="H450" s="472" t="s">
        <v>832</v>
      </c>
      <c r="I450" s="307"/>
      <c r="J450" s="307"/>
      <c r="K450" s="532">
        <v>77312</v>
      </c>
      <c r="L450" s="533" t="s">
        <v>85</v>
      </c>
      <c r="M450" s="533" t="s">
        <v>24</v>
      </c>
      <c r="N450" s="525" t="str">
        <f>IF(AND('331-CT'!$E$7=TH!H450,OR(L450="331",M450="331")),"331",IF(AND(OR(L450="131",M450="131"),H450='131-CT'!$E$7),"131",""))</f>
        <v/>
      </c>
      <c r="O450" s="525" t="str">
        <f>IF(AND($B450&gt;='111'!$N$11,$B450&lt;='111'!$O$11,OR($L450=$O$7,$M450=$O$7)),"x","")</f>
        <v/>
      </c>
      <c r="P450" s="525" t="str">
        <f>IF(AND($L450=$O$7,$B450&lt;'111'!$N$11),"x","")</f>
        <v/>
      </c>
      <c r="Q450" s="525" t="str">
        <f>IF(AND($M450=$O$7,$B450&lt;'111'!$N$11),"x","")</f>
        <v/>
      </c>
      <c r="R450" s="525" t="str">
        <f>IF(ISERROR(FIND('112'!$M$9,G450,1)),"",IF((AND(FIND('112'!$M$9,G450,1)&gt;=1,$B450&gt;='112'!$N$8,$B450&lt;='112'!$O$8,OR($L450='112'!$I$6,$M450='112'!$I$6))),"x",""))</f>
        <v/>
      </c>
      <c r="S450" s="525" t="str">
        <f>IF(ISERROR(FIND('112'!$M$9,G450,1)),"",IF((AND(LEFT(G450,2)=LEFT('112'!$M$9,2),B450&lt;'112'!$N$8,$L450='112'!$I$6)),"x",""))</f>
        <v/>
      </c>
      <c r="T450" s="525" t="str">
        <f>IF(ISERROR(FIND('112'!$M$9,G450,1)),"",IF((AND(RIGHT(G450,2)=RIGHT('112'!$M$9,2),B450&lt;'112'!$N$8,$M450='112'!$I$6)),"x",""))</f>
        <v>x</v>
      </c>
      <c r="U450" s="525" t="str">
        <f>IF(AND(B450&gt;='IN-NX'!$P$3,B450&lt;='IN-NX'!$Q$3,'IN-NX'!$D$7=D450,OR(LEFT(L450,2)="15",AND(LEFT(M450,2)&lt;&gt;"15",LEFT(M450,2)&lt;&gt;"33"))),"x","")</f>
        <v/>
      </c>
      <c r="V450" s="525" t="str">
        <f>IF(AND(OR(LEFT(TH!L450,2)="15",LEFT(TH!M450,2)="15"),'152-CT'!$J$8=TH!F450),"x","")</f>
        <v/>
      </c>
      <c r="W450" s="525" t="str">
        <f>IF(AND(OR(LEFT(TH!L450,2)="15",LEFT(TH!M450,2)="15"),TK!$E$7=TH!F450),"x","")</f>
        <v/>
      </c>
      <c r="X450" s="525" t="str">
        <f>IF(AND('341-CT'!$E$9=H450,OR(LEFT(L450,3)=$X$7,LEFT(M450,3)=$X$7)),"x","")</f>
        <v/>
      </c>
      <c r="Y450" s="525" t="str">
        <f>IF(OR(TH!L450=TH!$Y$7,M450=TH!$Y$7),"x","")</f>
        <v/>
      </c>
      <c r="Z450" s="525" t="str">
        <f>IF(AND(B450&lt;=NKC!$N$8,B450&gt;=NKC!$M$8),"x","")</f>
        <v>x</v>
      </c>
      <c r="AA450" s="535"/>
    </row>
    <row r="451" spans="1:28" s="503" customFormat="1" ht="15.75" customHeight="1">
      <c r="A451" s="517" t="str">
        <f>IF(B451&lt;&gt;"",IF(AND(B451&gt;=_TM1,B451&lt;=_TM2,OR(TH!L451="1111",TH!M451="1111")),TH!D451,""),"")</f>
        <v/>
      </c>
      <c r="B451" s="531">
        <f t="shared" si="55"/>
        <v>2</v>
      </c>
      <c r="C451" s="315">
        <f t="shared" si="56"/>
        <v>42793</v>
      </c>
      <c r="D451" s="315" t="s">
        <v>461</v>
      </c>
      <c r="E451" s="288">
        <v>42793</v>
      </c>
      <c r="F451" s="248" t="s">
        <v>831</v>
      </c>
      <c r="G451" s="314" t="s">
        <v>440</v>
      </c>
      <c r="H451" s="472" t="s">
        <v>832</v>
      </c>
      <c r="I451" s="307"/>
      <c r="J451" s="307"/>
      <c r="K451" s="532">
        <v>9100000</v>
      </c>
      <c r="L451" s="533" t="s">
        <v>85</v>
      </c>
      <c r="M451" s="533" t="s">
        <v>24</v>
      </c>
      <c r="N451" s="525" t="str">
        <f>IF(AND('331-CT'!$E$7=TH!H451,OR(L451="331",M451="331")),"331",IF(AND(OR(L451="131",M451="131"),H451='131-CT'!$E$7),"131",""))</f>
        <v/>
      </c>
      <c r="O451" s="525" t="str">
        <f>IF(AND($B451&gt;='111'!$N$11,$B451&lt;='111'!$O$11,OR($L451=$O$7,$M451=$O$7)),"x","")</f>
        <v/>
      </c>
      <c r="P451" s="525" t="str">
        <f>IF(AND($L451=$O$7,$B451&lt;'111'!$N$11),"x","")</f>
        <v/>
      </c>
      <c r="Q451" s="525" t="str">
        <f>IF(AND($M451=$O$7,$B451&lt;'111'!$N$11),"x","")</f>
        <v/>
      </c>
      <c r="R451" s="525" t="str">
        <f>IF(ISERROR(FIND('112'!$M$9,G451,1)),"",IF((AND(FIND('112'!$M$9,G451,1)&gt;=1,$B451&gt;='112'!$N$8,$B451&lt;='112'!$O$8,OR($L451='112'!$I$6,$M451='112'!$I$6))),"x",""))</f>
        <v/>
      </c>
      <c r="S451" s="525" t="str">
        <f>IF(ISERROR(FIND('112'!$M$9,G451,1)),"",IF((AND(LEFT(G451,2)=LEFT('112'!$M$9,2),B451&lt;'112'!$N$8,$L451='112'!$I$6)),"x",""))</f>
        <v/>
      </c>
      <c r="T451" s="525" t="str">
        <f>IF(ISERROR(FIND('112'!$M$9,G451,1)),"",IF((AND(RIGHT(G451,2)=RIGHT('112'!$M$9,2),B451&lt;'112'!$N$8,$M451='112'!$I$6)),"x",""))</f>
        <v>x</v>
      </c>
      <c r="U451" s="525" t="str">
        <f>IF(AND(B451&gt;='IN-NX'!$P$3,B451&lt;='IN-NX'!$Q$3,'IN-NX'!$D$7=D451,OR(LEFT(L451,2)="15",AND(LEFT(M451,2)&lt;&gt;"15",LEFT(M451,2)&lt;&gt;"33"))),"x","")</f>
        <v/>
      </c>
      <c r="V451" s="525" t="str">
        <f>IF(AND(OR(LEFT(TH!L451,2)="15",LEFT(TH!M451,2)="15"),'152-CT'!$J$8=TH!F451),"x","")</f>
        <v/>
      </c>
      <c r="W451" s="525" t="str">
        <f>IF(AND(OR(LEFT(TH!L451,2)="15",LEFT(TH!M451,2)="15"),TK!$E$7=TH!F451),"x","")</f>
        <v/>
      </c>
      <c r="X451" s="525" t="str">
        <f>IF(AND('341-CT'!$E$9=H451,OR(LEFT(L451,3)=$X$7,LEFT(M451,3)=$X$7)),"x","")</f>
        <v/>
      </c>
      <c r="Y451" s="525" t="str">
        <f>IF(OR(TH!L451=TH!$Y$7,M451=TH!$Y$7),"x","")</f>
        <v/>
      </c>
      <c r="Z451" s="525" t="str">
        <f>IF(AND(B451&lt;=NKC!$N$8,B451&gt;=NKC!$M$8),"x","")</f>
        <v>x</v>
      </c>
      <c r="AA451" s="535"/>
      <c r="AB451" s="536"/>
    </row>
    <row r="452" spans="1:28" s="503" customFormat="1" ht="15.75" customHeight="1">
      <c r="A452" s="517" t="str">
        <f>IF(B452&lt;&gt;"",IF(AND(B452&gt;=_TM1,B452&lt;=_TM2,OR(TH!L452="1111",TH!M452="1111")),TH!D452,""),"")</f>
        <v/>
      </c>
      <c r="B452" s="531">
        <f t="shared" si="55"/>
        <v>2</v>
      </c>
      <c r="C452" s="315">
        <f t="shared" si="56"/>
        <v>42794</v>
      </c>
      <c r="D452" s="315" t="s">
        <v>461</v>
      </c>
      <c r="E452" s="288">
        <v>42794</v>
      </c>
      <c r="F452" s="249" t="s">
        <v>835</v>
      </c>
      <c r="G452" s="314" t="s">
        <v>440</v>
      </c>
      <c r="H452" s="473"/>
      <c r="I452" s="307"/>
      <c r="J452" s="307"/>
      <c r="K452" s="532">
        <v>8925000</v>
      </c>
      <c r="L452" s="533" t="s">
        <v>85</v>
      </c>
      <c r="M452" s="533" t="s">
        <v>24</v>
      </c>
      <c r="N452" s="525" t="str">
        <f>IF(AND('331-CT'!$E$7=TH!H452,OR(L452="331",M452="331")),"331",IF(AND(OR(L452="131",M452="131"),H452='131-CT'!$E$7),"131",""))</f>
        <v/>
      </c>
      <c r="O452" s="525" t="str">
        <f>IF(AND($B452&gt;='111'!$N$11,$B452&lt;='111'!$O$11,OR($L452=$O$7,$M452=$O$7)),"x","")</f>
        <v/>
      </c>
      <c r="P452" s="525" t="str">
        <f>IF(AND($L452=$O$7,$B452&lt;'111'!$N$11),"x","")</f>
        <v/>
      </c>
      <c r="Q452" s="525" t="str">
        <f>IF(AND($M452=$O$7,$B452&lt;'111'!$N$11),"x","")</f>
        <v/>
      </c>
      <c r="R452" s="525" t="str">
        <f>IF(ISERROR(FIND('112'!$M$9,G452,1)),"",IF((AND(FIND('112'!$M$9,G452,1)&gt;=1,$B452&gt;='112'!$N$8,$B452&lt;='112'!$O$8,OR($L452='112'!$I$6,$M452='112'!$I$6))),"x",""))</f>
        <v/>
      </c>
      <c r="S452" s="525" t="str">
        <f>IF(ISERROR(FIND('112'!$M$9,G452,1)),"",IF((AND(LEFT(G452,2)=LEFT('112'!$M$9,2),B452&lt;'112'!$N$8,$L452='112'!$I$6)),"x",""))</f>
        <v/>
      </c>
      <c r="T452" s="525" t="str">
        <f>IF(ISERROR(FIND('112'!$M$9,G452,1)),"",IF((AND(RIGHT(G452,2)=RIGHT('112'!$M$9,2),B452&lt;'112'!$N$8,$M452='112'!$I$6)),"x",""))</f>
        <v>x</v>
      </c>
      <c r="U452" s="525" t="str">
        <f>IF(AND(B452&gt;='IN-NX'!$P$3,B452&lt;='IN-NX'!$Q$3,'IN-NX'!$D$7=D452,OR(LEFT(L452,2)="15",AND(LEFT(M452,2)&lt;&gt;"15",LEFT(M452,2)&lt;&gt;"33"))),"x","")</f>
        <v/>
      </c>
      <c r="V452" s="525" t="str">
        <f>IF(AND(OR(LEFT(TH!L452,2)="15",LEFT(TH!M452,2)="15"),'152-CT'!$J$8=TH!F452),"x","")</f>
        <v/>
      </c>
      <c r="W452" s="525" t="str">
        <f>IF(AND(OR(LEFT(TH!L452,2)="15",LEFT(TH!M452,2)="15"),TK!$E$7=TH!F452),"x","")</f>
        <v/>
      </c>
      <c r="X452" s="525" t="str">
        <f>IF(AND('341-CT'!$E$9=H452,OR(LEFT(L452,3)=$X$7,LEFT(M452,3)=$X$7)),"x","")</f>
        <v/>
      </c>
      <c r="Y452" s="525" t="str">
        <f>IF(OR(TH!L452=TH!$Y$7,M452=TH!$Y$7),"x","")</f>
        <v/>
      </c>
      <c r="Z452" s="525" t="str">
        <f>IF(AND(B452&lt;=NKC!$N$8,B452&gt;=NKC!$M$8),"x","")</f>
        <v>x</v>
      </c>
      <c r="AA452" s="535"/>
    </row>
    <row r="453" spans="1:28" s="503" customFormat="1" ht="15.75" customHeight="1">
      <c r="A453" s="517" t="str">
        <f>IF(B453&lt;&gt;"",IF(AND(B453&gt;=_TM1,B453&lt;=_TM2,OR(TH!L453="1111",TH!M453="1111")),TH!D453,""),"")</f>
        <v/>
      </c>
      <c r="B453" s="531">
        <f t="shared" ref="B453:B484" si="57">IF(C453&lt;&gt;"",MONTH(C453),"")</f>
        <v>2</v>
      </c>
      <c r="C453" s="315">
        <f t="shared" ref="C453:C484" si="58">E453</f>
        <v>42794</v>
      </c>
      <c r="D453" s="315" t="s">
        <v>461</v>
      </c>
      <c r="E453" s="288">
        <v>42794</v>
      </c>
      <c r="F453" s="249" t="s">
        <v>468</v>
      </c>
      <c r="G453" s="314" t="s">
        <v>440</v>
      </c>
      <c r="H453" s="473" t="s">
        <v>420</v>
      </c>
      <c r="I453" s="307"/>
      <c r="J453" s="307"/>
      <c r="K453" s="532">
        <v>39609680</v>
      </c>
      <c r="L453" s="534" t="s">
        <v>8</v>
      </c>
      <c r="M453" s="533" t="s">
        <v>24</v>
      </c>
      <c r="N453" s="525" t="str">
        <f>IF(AND('331-CT'!$E$7=TH!H453,OR(L453="331",M453="331")),"331",IF(AND(OR(L453="131",M453="131"),H453='131-CT'!$E$7),"131",""))</f>
        <v/>
      </c>
      <c r="O453" s="525" t="str">
        <f>IF(AND($B453&gt;='111'!$N$11,$B453&lt;='111'!$O$11,OR($L453=$O$7,$M453=$O$7)),"x","")</f>
        <v/>
      </c>
      <c r="P453" s="525" t="str">
        <f>IF(AND($L453=$O$7,$B453&lt;'111'!$N$11),"x","")</f>
        <v/>
      </c>
      <c r="Q453" s="525" t="str">
        <f>IF(AND($M453=$O$7,$B453&lt;'111'!$N$11),"x","")</f>
        <v/>
      </c>
      <c r="R453" s="525" t="str">
        <f>IF(ISERROR(FIND('112'!$M$9,G453,1)),"",IF((AND(FIND('112'!$M$9,G453,1)&gt;=1,$B453&gt;='112'!$N$8,$B453&lt;='112'!$O$8,OR($L453='112'!$I$6,$M453='112'!$I$6))),"x",""))</f>
        <v/>
      </c>
      <c r="S453" s="525" t="str">
        <f>IF(ISERROR(FIND('112'!$M$9,G453,1)),"",IF((AND(LEFT(G453,2)=LEFT('112'!$M$9,2),B453&lt;'112'!$N$8,$L453='112'!$I$6)),"x",""))</f>
        <v/>
      </c>
      <c r="T453" s="525" t="str">
        <f>IF(ISERROR(FIND('112'!$M$9,G453,1)),"",IF((AND(RIGHT(G453,2)=RIGHT('112'!$M$9,2),B453&lt;'112'!$N$8,$M453='112'!$I$6)),"x",""))</f>
        <v>x</v>
      </c>
      <c r="U453" s="525" t="str">
        <f>IF(AND(B453&gt;='IN-NX'!$P$3,B453&lt;='IN-NX'!$Q$3,'IN-NX'!$D$7=D453,OR(LEFT(L453,2)="15",AND(LEFT(M453,2)&lt;&gt;"15",LEFT(M453,2)&lt;&gt;"33"))),"x","")</f>
        <v/>
      </c>
      <c r="V453" s="525" t="str">
        <f>IF(AND(OR(LEFT(TH!L453,2)="15",LEFT(TH!M453,2)="15"),'152-CT'!$J$8=TH!F453),"x","")</f>
        <v/>
      </c>
      <c r="W453" s="525" t="str">
        <f>IF(AND(OR(LEFT(TH!L453,2)="15",LEFT(TH!M453,2)="15"),TK!$E$7=TH!F453),"x","")</f>
        <v/>
      </c>
      <c r="X453" s="525" t="str">
        <f>IF(AND('341-CT'!$E$9=H453,OR(LEFT(L453,3)=$X$7,LEFT(M453,3)=$X$7)),"x","")</f>
        <v/>
      </c>
      <c r="Y453" s="525" t="str">
        <f>IF(OR(TH!L453=TH!$Y$7,M453=TH!$Y$7),"x","")</f>
        <v/>
      </c>
      <c r="Z453" s="525" t="str">
        <f>IF(AND(B453&lt;=NKC!$N$8,B453&gt;=NKC!$M$8),"x","")</f>
        <v>x</v>
      </c>
      <c r="AA453" s="535"/>
    </row>
    <row r="454" spans="1:28" s="503" customFormat="1" ht="15.75" customHeight="1">
      <c r="A454" s="517" t="str">
        <f>IF(B454&lt;&gt;"",IF(AND(B454&gt;=_TM1,B454&lt;=_TM2,OR(TH!L454="1111",TH!M454="1111")),TH!D454,""),"")</f>
        <v/>
      </c>
      <c r="B454" s="531">
        <f t="shared" si="57"/>
        <v>2</v>
      </c>
      <c r="C454" s="315">
        <f t="shared" si="58"/>
        <v>42794</v>
      </c>
      <c r="D454" s="315" t="s">
        <v>461</v>
      </c>
      <c r="E454" s="288">
        <v>42794</v>
      </c>
      <c r="F454" s="248" t="s">
        <v>463</v>
      </c>
      <c r="G454" s="314" t="s">
        <v>440</v>
      </c>
      <c r="H454" s="472"/>
      <c r="I454" s="307"/>
      <c r="J454" s="307"/>
      <c r="K454" s="532">
        <v>25000</v>
      </c>
      <c r="L454" s="533" t="s">
        <v>81</v>
      </c>
      <c r="M454" s="533" t="s">
        <v>24</v>
      </c>
      <c r="N454" s="525" t="str">
        <f>IF(AND('331-CT'!$E$7=TH!H454,OR(L454="331",M454="331")),"331",IF(AND(OR(L454="131",M454="131"),H454='131-CT'!$E$7),"131",""))</f>
        <v/>
      </c>
      <c r="O454" s="525" t="str">
        <f>IF(AND($B454&gt;='111'!$N$11,$B454&lt;='111'!$O$11,OR($L454=$O$7,$M454=$O$7)),"x","")</f>
        <v/>
      </c>
      <c r="P454" s="525" t="str">
        <f>IF(AND($L454=$O$7,$B454&lt;'111'!$N$11),"x","")</f>
        <v/>
      </c>
      <c r="Q454" s="525" t="str">
        <f>IF(AND($M454=$O$7,$B454&lt;'111'!$N$11),"x","")</f>
        <v/>
      </c>
      <c r="R454" s="525" t="str">
        <f>IF(ISERROR(FIND('112'!$M$9,G454,1)),"",IF((AND(FIND('112'!$M$9,G454,1)&gt;=1,$B454&gt;='112'!$N$8,$B454&lt;='112'!$O$8,OR($L454='112'!$I$6,$M454='112'!$I$6))),"x",""))</f>
        <v/>
      </c>
      <c r="S454" s="525" t="str">
        <f>IF(ISERROR(FIND('112'!$M$9,G454,1)),"",IF((AND(LEFT(G454,2)=LEFT('112'!$M$9,2),B454&lt;'112'!$N$8,$L454='112'!$I$6)),"x",""))</f>
        <v/>
      </c>
      <c r="T454" s="525" t="str">
        <f>IF(ISERROR(FIND('112'!$M$9,G454,1)),"",IF((AND(RIGHT(G454,2)=RIGHT('112'!$M$9,2),B454&lt;'112'!$N$8,$M454='112'!$I$6)),"x",""))</f>
        <v>x</v>
      </c>
      <c r="U454" s="525" t="str">
        <f>IF(AND(B454&gt;='IN-NX'!$P$3,B454&lt;='IN-NX'!$Q$3,'IN-NX'!$D$7=D454,OR(LEFT(L454,2)="15",AND(LEFT(M454,2)&lt;&gt;"15",LEFT(M454,2)&lt;&gt;"33"))),"x","")</f>
        <v/>
      </c>
      <c r="V454" s="525" t="str">
        <f>IF(AND(OR(LEFT(TH!L454,2)="15",LEFT(TH!M454,2)="15"),'152-CT'!$J$8=TH!F454),"x","")</f>
        <v/>
      </c>
      <c r="W454" s="525" t="str">
        <f>IF(AND(OR(LEFT(TH!L454,2)="15",LEFT(TH!M454,2)="15"),TK!$E$7=TH!F454),"x","")</f>
        <v/>
      </c>
      <c r="X454" s="525" t="str">
        <f>IF(AND('341-CT'!$E$9=H454,OR(LEFT(L454,3)=$X$7,LEFT(M454,3)=$X$7)),"x","")</f>
        <v/>
      </c>
      <c r="Y454" s="525" t="str">
        <f>IF(OR(TH!L454=TH!$Y$7,M454=TH!$Y$7),"x","")</f>
        <v/>
      </c>
      <c r="Z454" s="525" t="str">
        <f>IF(AND(B454&lt;=NKC!$N$8,B454&gt;=NKC!$M$8),"x","")</f>
        <v>x</v>
      </c>
      <c r="AA454" s="535">
        <v>1</v>
      </c>
    </row>
    <row r="455" spans="1:28" s="503" customFormat="1" ht="15.75" customHeight="1">
      <c r="A455" s="517" t="str">
        <f>IF(B455&lt;&gt;"",IF(AND(B455&gt;=_TM1,B455&lt;=_TM2,OR(TH!L455="1111",TH!M455="1111")),TH!D455,""),"")</f>
        <v/>
      </c>
      <c r="B455" s="531">
        <f t="shared" si="57"/>
        <v>2</v>
      </c>
      <c r="C455" s="315">
        <f t="shared" si="58"/>
        <v>42794</v>
      </c>
      <c r="D455" s="315" t="s">
        <v>461</v>
      </c>
      <c r="E455" s="288">
        <v>42794</v>
      </c>
      <c r="F455" s="248" t="s">
        <v>464</v>
      </c>
      <c r="G455" s="314" t="s">
        <v>440</v>
      </c>
      <c r="H455" s="472"/>
      <c r="I455" s="307"/>
      <c r="J455" s="307"/>
      <c r="K455" s="532">
        <v>2500</v>
      </c>
      <c r="L455" s="533" t="s">
        <v>9</v>
      </c>
      <c r="M455" s="533" t="s">
        <v>24</v>
      </c>
      <c r="N455" s="525" t="str">
        <f>IF(AND('331-CT'!$E$7=TH!H455,OR(L455="331",M455="331")),"331",IF(AND(OR(L455="131",M455="131"),H455='131-CT'!$E$7),"131",""))</f>
        <v/>
      </c>
      <c r="O455" s="525" t="str">
        <f>IF(AND($B455&gt;='111'!$N$11,$B455&lt;='111'!$O$11,OR($L455=$O$7,$M455=$O$7)),"x","")</f>
        <v/>
      </c>
      <c r="P455" s="525" t="str">
        <f>IF(AND($L455=$O$7,$B455&lt;'111'!$N$11),"x","")</f>
        <v/>
      </c>
      <c r="Q455" s="525" t="str">
        <f>IF(AND($M455=$O$7,$B455&lt;'111'!$N$11),"x","")</f>
        <v/>
      </c>
      <c r="R455" s="525" t="str">
        <f>IF(ISERROR(FIND('112'!$M$9,G455,1)),"",IF((AND(FIND('112'!$M$9,G455,1)&gt;=1,$B455&gt;='112'!$N$8,$B455&lt;='112'!$O$8,OR($L455='112'!$I$6,$M455='112'!$I$6))),"x",""))</f>
        <v/>
      </c>
      <c r="S455" s="525" t="str">
        <f>IF(ISERROR(FIND('112'!$M$9,G455,1)),"",IF((AND(LEFT(G455,2)=LEFT('112'!$M$9,2),B455&lt;'112'!$N$8,$L455='112'!$I$6)),"x",""))</f>
        <v/>
      </c>
      <c r="T455" s="525" t="str">
        <f>IF(ISERROR(FIND('112'!$M$9,G455,1)),"",IF((AND(RIGHT(G455,2)=RIGHT('112'!$M$9,2),B455&lt;'112'!$N$8,$M455='112'!$I$6)),"x",""))</f>
        <v>x</v>
      </c>
      <c r="U455" s="525" t="str">
        <f>IF(AND(B455&gt;='IN-NX'!$P$3,B455&lt;='IN-NX'!$Q$3,'IN-NX'!$D$7=D455,OR(LEFT(L455,2)="15",AND(LEFT(M455,2)&lt;&gt;"15",LEFT(M455,2)&lt;&gt;"33"))),"x","")</f>
        <v/>
      </c>
      <c r="V455" s="525" t="str">
        <f>IF(AND(OR(LEFT(TH!L455,2)="15",LEFT(TH!M455,2)="15"),'152-CT'!$J$8=TH!F455),"x","")</f>
        <v/>
      </c>
      <c r="W455" s="525" t="str">
        <f>IF(AND(OR(LEFT(TH!L455,2)="15",LEFT(TH!M455,2)="15"),TK!$E$7=TH!F455),"x","")</f>
        <v/>
      </c>
      <c r="X455" s="525" t="str">
        <f>IF(AND('341-CT'!$E$9=H455,OR(LEFT(L455,3)=$X$7,LEFT(M455,3)=$X$7)),"x","")</f>
        <v/>
      </c>
      <c r="Y455" s="525" t="str">
        <f>IF(OR(TH!L455=TH!$Y$7,M455=TH!$Y$7),"x","")</f>
        <v/>
      </c>
      <c r="Z455" s="525" t="str">
        <f>IF(AND(B455&lt;=NKC!$N$8,B455&gt;=NKC!$M$8),"x","")</f>
        <v>x</v>
      </c>
      <c r="AA455" s="535">
        <v>1</v>
      </c>
    </row>
    <row r="456" spans="1:28" s="503" customFormat="1" ht="15.75" customHeight="1">
      <c r="A456" s="517" t="str">
        <f>IF(B456&lt;&gt;"",IF(AND(B456&gt;=_TM1,B456&lt;=_TM2,OR(TH!L456="1111",TH!M456="1111")),TH!D456,""),"")</f>
        <v/>
      </c>
      <c r="B456" s="531">
        <f t="shared" si="57"/>
        <v>2</v>
      </c>
      <c r="C456" s="315">
        <f t="shared" si="58"/>
        <v>42794</v>
      </c>
      <c r="D456" s="315" t="s">
        <v>461</v>
      </c>
      <c r="E456" s="288">
        <v>42794</v>
      </c>
      <c r="F456" s="249" t="s">
        <v>468</v>
      </c>
      <c r="G456" s="314" t="s">
        <v>440</v>
      </c>
      <c r="H456" s="473" t="s">
        <v>349</v>
      </c>
      <c r="I456" s="307"/>
      <c r="J456" s="307"/>
      <c r="K456" s="532">
        <v>204416630</v>
      </c>
      <c r="L456" s="534" t="s">
        <v>8</v>
      </c>
      <c r="M456" s="533" t="s">
        <v>24</v>
      </c>
      <c r="N456" s="525" t="str">
        <f>IF(AND('331-CT'!$E$7=TH!H456,OR(L456="331",M456="331")),"331",IF(AND(OR(L456="131",M456="131"),H456='131-CT'!$E$7),"131",""))</f>
        <v/>
      </c>
      <c r="O456" s="525" t="str">
        <f>IF(AND($B456&gt;='111'!$N$11,$B456&lt;='111'!$O$11,OR($L456=$O$7,$M456=$O$7)),"x","")</f>
        <v/>
      </c>
      <c r="P456" s="525" t="str">
        <f>IF(AND($L456=$O$7,$B456&lt;'111'!$N$11),"x","")</f>
        <v/>
      </c>
      <c r="Q456" s="525" t="str">
        <f>IF(AND($M456=$O$7,$B456&lt;'111'!$N$11),"x","")</f>
        <v/>
      </c>
      <c r="R456" s="525" t="str">
        <f>IF(ISERROR(FIND('112'!$M$9,G456,1)),"",IF((AND(FIND('112'!$M$9,G456,1)&gt;=1,$B456&gt;='112'!$N$8,$B456&lt;='112'!$O$8,OR($L456='112'!$I$6,$M456='112'!$I$6))),"x",""))</f>
        <v/>
      </c>
      <c r="S456" s="525" t="str">
        <f>IF(ISERROR(FIND('112'!$M$9,G456,1)),"",IF((AND(LEFT(G456,2)=LEFT('112'!$M$9,2),B456&lt;'112'!$N$8,$L456='112'!$I$6)),"x",""))</f>
        <v/>
      </c>
      <c r="T456" s="525" t="str">
        <f>IF(ISERROR(FIND('112'!$M$9,G456,1)),"",IF((AND(RIGHT(G456,2)=RIGHT('112'!$M$9,2),B456&lt;'112'!$N$8,$M456='112'!$I$6)),"x",""))</f>
        <v>x</v>
      </c>
      <c r="U456" s="525" t="str">
        <f>IF(AND(B456&gt;='IN-NX'!$P$3,B456&lt;='IN-NX'!$Q$3,'IN-NX'!$D$7=D456,OR(LEFT(L456,2)="15",AND(LEFT(M456,2)&lt;&gt;"15",LEFT(M456,2)&lt;&gt;"33"))),"x","")</f>
        <v/>
      </c>
      <c r="V456" s="525" t="str">
        <f>IF(AND(OR(LEFT(TH!L456,2)="15",LEFT(TH!M456,2)="15"),'152-CT'!$J$8=TH!F456),"x","")</f>
        <v/>
      </c>
      <c r="W456" s="525" t="str">
        <f>IF(AND(OR(LEFT(TH!L456,2)="15",LEFT(TH!M456,2)="15"),TK!$E$7=TH!F456),"x","")</f>
        <v/>
      </c>
      <c r="X456" s="525" t="str">
        <f>IF(AND('341-CT'!$E$9=H456,OR(LEFT(L456,3)=$X$7,LEFT(M456,3)=$X$7)),"x","")</f>
        <v/>
      </c>
      <c r="Y456" s="525" t="str">
        <f>IF(OR(TH!L456=TH!$Y$7,M456=TH!$Y$7),"x","")</f>
        <v/>
      </c>
      <c r="Z456" s="525" t="str">
        <f>IF(AND(B456&lt;=NKC!$N$8,B456&gt;=NKC!$M$8),"x","")</f>
        <v>x</v>
      </c>
      <c r="AA456" s="535"/>
    </row>
    <row r="457" spans="1:28" s="503" customFormat="1" ht="15.75" customHeight="1">
      <c r="A457" s="517" t="str">
        <f>IF(B457&lt;&gt;"",IF(AND(B457&gt;=_TM1,B457&lt;=_TM2,OR(TH!L457="1111",TH!M457="1111")),TH!D457,""),"")</f>
        <v/>
      </c>
      <c r="B457" s="531">
        <f t="shared" si="57"/>
        <v>2</v>
      </c>
      <c r="C457" s="315">
        <f t="shared" si="58"/>
        <v>42794</v>
      </c>
      <c r="D457" s="315" t="s">
        <v>461</v>
      </c>
      <c r="E457" s="288">
        <v>42794</v>
      </c>
      <c r="F457" s="248" t="s">
        <v>463</v>
      </c>
      <c r="G457" s="314" t="s">
        <v>440</v>
      </c>
      <c r="H457" s="473"/>
      <c r="I457" s="307"/>
      <c r="J457" s="307"/>
      <c r="K457" s="532">
        <v>40883</v>
      </c>
      <c r="L457" s="533" t="s">
        <v>81</v>
      </c>
      <c r="M457" s="533" t="s">
        <v>24</v>
      </c>
      <c r="N457" s="525" t="str">
        <f>IF(AND('331-CT'!$E$7=TH!H457,OR(L457="331",M457="331")),"331",IF(AND(OR(L457="131",M457="131"),H457='131-CT'!$E$7),"131",""))</f>
        <v/>
      </c>
      <c r="O457" s="525" t="str">
        <f>IF(AND($B457&gt;='111'!$N$11,$B457&lt;='111'!$O$11,OR($L457=$O$7,$M457=$O$7)),"x","")</f>
        <v/>
      </c>
      <c r="P457" s="525" t="str">
        <f>IF(AND($L457=$O$7,$B457&lt;'111'!$N$11),"x","")</f>
        <v/>
      </c>
      <c r="Q457" s="525" t="str">
        <f>IF(AND($M457=$O$7,$B457&lt;'111'!$N$11),"x","")</f>
        <v/>
      </c>
      <c r="R457" s="525" t="str">
        <f>IF(ISERROR(FIND('112'!$M$9,G457,1)),"",IF((AND(FIND('112'!$M$9,G457,1)&gt;=1,$B457&gt;='112'!$N$8,$B457&lt;='112'!$O$8,OR($L457='112'!$I$6,$M457='112'!$I$6))),"x",""))</f>
        <v/>
      </c>
      <c r="S457" s="525" t="str">
        <f>IF(ISERROR(FIND('112'!$M$9,G457,1)),"",IF((AND(LEFT(G457,2)=LEFT('112'!$M$9,2),B457&lt;'112'!$N$8,$L457='112'!$I$6)),"x",""))</f>
        <v/>
      </c>
      <c r="T457" s="525" t="str">
        <f>IF(ISERROR(FIND('112'!$M$9,G457,1)),"",IF((AND(RIGHT(G457,2)=RIGHT('112'!$M$9,2),B457&lt;'112'!$N$8,$M457='112'!$I$6)),"x",""))</f>
        <v>x</v>
      </c>
      <c r="U457" s="525" t="str">
        <f>IF(AND(B457&gt;='IN-NX'!$P$3,B457&lt;='IN-NX'!$Q$3,'IN-NX'!$D$7=D457,OR(LEFT(L457,2)="15",AND(LEFT(M457,2)&lt;&gt;"15",LEFT(M457,2)&lt;&gt;"33"))),"x","")</f>
        <v/>
      </c>
      <c r="V457" s="525" t="str">
        <f>IF(AND(OR(LEFT(TH!L457,2)="15",LEFT(TH!M457,2)="15"),'152-CT'!$J$8=TH!F457),"x","")</f>
        <v/>
      </c>
      <c r="W457" s="525" t="str">
        <f>IF(AND(OR(LEFT(TH!L457,2)="15",LEFT(TH!M457,2)="15"),TK!$E$7=TH!F457),"x","")</f>
        <v/>
      </c>
      <c r="X457" s="525" t="str">
        <f>IF(AND('341-CT'!$E$9=H457,OR(LEFT(L457,3)=$X$7,LEFT(M457,3)=$X$7)),"x","")</f>
        <v/>
      </c>
      <c r="Y457" s="525" t="str">
        <f>IF(OR(TH!L457=TH!$Y$7,M457=TH!$Y$7),"x","")</f>
        <v/>
      </c>
      <c r="Z457" s="525" t="str">
        <f>IF(AND(B457&lt;=NKC!$N$8,B457&gt;=NKC!$M$8),"x","")</f>
        <v>x</v>
      </c>
      <c r="AA457" s="535">
        <v>1</v>
      </c>
      <c r="AB457" s="536"/>
    </row>
    <row r="458" spans="1:28" s="503" customFormat="1" ht="15.75" customHeight="1">
      <c r="A458" s="517" t="str">
        <f>IF(B458&lt;&gt;"",IF(AND(B458&gt;=_TM1,B458&lt;=_TM2,OR(TH!L458="1111",TH!M458="1111")),TH!D458,""),"")</f>
        <v/>
      </c>
      <c r="B458" s="531">
        <f t="shared" si="57"/>
        <v>2</v>
      </c>
      <c r="C458" s="315">
        <f t="shared" si="58"/>
        <v>42794</v>
      </c>
      <c r="D458" s="315" t="s">
        <v>461</v>
      </c>
      <c r="E458" s="288">
        <v>42794</v>
      </c>
      <c r="F458" s="248" t="s">
        <v>464</v>
      </c>
      <c r="G458" s="314" t="s">
        <v>440</v>
      </c>
      <c r="H458" s="473"/>
      <c r="I458" s="307"/>
      <c r="J458" s="307"/>
      <c r="K458" s="532">
        <v>4088</v>
      </c>
      <c r="L458" s="533" t="s">
        <v>9</v>
      </c>
      <c r="M458" s="533" t="s">
        <v>24</v>
      </c>
      <c r="N458" s="525" t="str">
        <f>IF(AND('331-CT'!$E$7=TH!H458,OR(L458="331",M458="331")),"331",IF(AND(OR(L458="131",M458="131"),H458='131-CT'!$E$7),"131",""))</f>
        <v/>
      </c>
      <c r="O458" s="525" t="str">
        <f>IF(AND($B458&gt;='111'!$N$11,$B458&lt;='111'!$O$11,OR($L458=$O$7,$M458=$O$7)),"x","")</f>
        <v/>
      </c>
      <c r="P458" s="525" t="str">
        <f>IF(AND($L458=$O$7,$B458&lt;'111'!$N$11),"x","")</f>
        <v/>
      </c>
      <c r="Q458" s="525" t="str">
        <f>IF(AND($M458=$O$7,$B458&lt;'111'!$N$11),"x","")</f>
        <v/>
      </c>
      <c r="R458" s="525" t="str">
        <f>IF(ISERROR(FIND('112'!$M$9,G458,1)),"",IF((AND(FIND('112'!$M$9,G458,1)&gt;=1,$B458&gt;='112'!$N$8,$B458&lt;='112'!$O$8,OR($L458='112'!$I$6,$M458='112'!$I$6))),"x",""))</f>
        <v/>
      </c>
      <c r="S458" s="525" t="str">
        <f>IF(ISERROR(FIND('112'!$M$9,G458,1)),"",IF((AND(LEFT(G458,2)=LEFT('112'!$M$9,2),B458&lt;'112'!$N$8,$L458='112'!$I$6)),"x",""))</f>
        <v/>
      </c>
      <c r="T458" s="525" t="str">
        <f>IF(ISERROR(FIND('112'!$M$9,G458,1)),"",IF((AND(RIGHT(G458,2)=RIGHT('112'!$M$9,2),B458&lt;'112'!$N$8,$M458='112'!$I$6)),"x",""))</f>
        <v>x</v>
      </c>
      <c r="U458" s="525" t="str">
        <f>IF(AND(B458&gt;='IN-NX'!$P$3,B458&lt;='IN-NX'!$Q$3,'IN-NX'!$D$7=D458,OR(LEFT(L458,2)="15",AND(LEFT(M458,2)&lt;&gt;"15",LEFT(M458,2)&lt;&gt;"33"))),"x","")</f>
        <v/>
      </c>
      <c r="V458" s="525" t="str">
        <f>IF(AND(OR(LEFT(TH!L458,2)="15",LEFT(TH!M458,2)="15"),'152-CT'!$J$8=TH!F458),"x","")</f>
        <v/>
      </c>
      <c r="W458" s="525" t="str">
        <f>IF(AND(OR(LEFT(TH!L458,2)="15",LEFT(TH!M458,2)="15"),TK!$E$7=TH!F458),"x","")</f>
        <v/>
      </c>
      <c r="X458" s="525" t="str">
        <f>IF(AND('341-CT'!$E$9=H458,OR(LEFT(L458,3)=$X$7,LEFT(M458,3)=$X$7)),"x","")</f>
        <v/>
      </c>
      <c r="Y458" s="525" t="str">
        <f>IF(OR(TH!L458=TH!$Y$7,M458=TH!$Y$7),"x","")</f>
        <v/>
      </c>
      <c r="Z458" s="525" t="str">
        <f>IF(AND(B458&lt;=NKC!$N$8,B458&gt;=NKC!$M$8),"x","")</f>
        <v>x</v>
      </c>
      <c r="AA458" s="535">
        <v>1</v>
      </c>
    </row>
    <row r="459" spans="1:28" s="503" customFormat="1" ht="15.75" customHeight="1">
      <c r="A459" s="517" t="str">
        <f>IF(B459&lt;&gt;"",IF(AND(B459&gt;=_TM1,B459&lt;=_TM2,OR(TH!L459="1111",TH!M459="1111")),TH!D459,""),"")</f>
        <v/>
      </c>
      <c r="B459" s="531">
        <f t="shared" si="57"/>
        <v>2</v>
      </c>
      <c r="C459" s="315">
        <f t="shared" si="58"/>
        <v>42794</v>
      </c>
      <c r="D459" s="315" t="s">
        <v>461</v>
      </c>
      <c r="E459" s="288">
        <v>42794</v>
      </c>
      <c r="F459" s="249" t="s">
        <v>468</v>
      </c>
      <c r="G459" s="314" t="s">
        <v>440</v>
      </c>
      <c r="H459" s="473" t="s">
        <v>270</v>
      </c>
      <c r="I459" s="307"/>
      <c r="J459" s="307"/>
      <c r="K459" s="532">
        <v>22042769</v>
      </c>
      <c r="L459" s="534" t="s">
        <v>8</v>
      </c>
      <c r="M459" s="533" t="s">
        <v>24</v>
      </c>
      <c r="N459" s="525" t="str">
        <f>IF(AND('331-CT'!$E$7=TH!H459,OR(L459="331",M459="331")),"331",IF(AND(OR(L459="131",M459="131"),H459='131-CT'!$E$7),"131",""))</f>
        <v/>
      </c>
      <c r="O459" s="525" t="str">
        <f>IF(AND($B459&gt;='111'!$N$11,$B459&lt;='111'!$O$11,OR($L459=$O$7,$M459=$O$7)),"x","")</f>
        <v/>
      </c>
      <c r="P459" s="525" t="str">
        <f>IF(AND($L459=$O$7,$B459&lt;'111'!$N$11),"x","")</f>
        <v/>
      </c>
      <c r="Q459" s="525" t="str">
        <f>IF(AND($M459=$O$7,$B459&lt;'111'!$N$11),"x","")</f>
        <v/>
      </c>
      <c r="R459" s="525" t="str">
        <f>IF(ISERROR(FIND('112'!$M$9,G459,1)),"",IF((AND(FIND('112'!$M$9,G459,1)&gt;=1,$B459&gt;='112'!$N$8,$B459&lt;='112'!$O$8,OR($L459='112'!$I$6,$M459='112'!$I$6))),"x",""))</f>
        <v/>
      </c>
      <c r="S459" s="525" t="str">
        <f>IF(ISERROR(FIND('112'!$M$9,G459,1)),"",IF((AND(LEFT(G459,2)=LEFT('112'!$M$9,2),B459&lt;'112'!$N$8,$L459='112'!$I$6)),"x",""))</f>
        <v/>
      </c>
      <c r="T459" s="525" t="str">
        <f>IF(ISERROR(FIND('112'!$M$9,G459,1)),"",IF((AND(RIGHT(G459,2)=RIGHT('112'!$M$9,2),B459&lt;'112'!$N$8,$M459='112'!$I$6)),"x",""))</f>
        <v>x</v>
      </c>
      <c r="U459" s="525" t="str">
        <f>IF(AND(B459&gt;='IN-NX'!$P$3,B459&lt;='IN-NX'!$Q$3,'IN-NX'!$D$7=D459,OR(LEFT(L459,2)="15",AND(LEFT(M459,2)&lt;&gt;"15",LEFT(M459,2)&lt;&gt;"33"))),"x","")</f>
        <v/>
      </c>
      <c r="V459" s="525" t="str">
        <f>IF(AND(OR(LEFT(TH!L459,2)="15",LEFT(TH!M459,2)="15"),'152-CT'!$J$8=TH!F459),"x","")</f>
        <v/>
      </c>
      <c r="W459" s="525" t="str">
        <f>IF(AND(OR(LEFT(TH!L459,2)="15",LEFT(TH!M459,2)="15"),TK!$E$7=TH!F459),"x","")</f>
        <v/>
      </c>
      <c r="X459" s="525" t="str">
        <f>IF(AND('341-CT'!$E$9=H459,OR(LEFT(L459,3)=$X$7,LEFT(M459,3)=$X$7)),"x","")</f>
        <v/>
      </c>
      <c r="Y459" s="525" t="str">
        <f>IF(OR(TH!L459=TH!$Y$7,M459=TH!$Y$7),"x","")</f>
        <v/>
      </c>
      <c r="Z459" s="525" t="str">
        <f>IF(AND(B459&lt;=NKC!$N$8,B459&gt;=NKC!$M$8),"x","")</f>
        <v>x</v>
      </c>
      <c r="AA459" s="535"/>
    </row>
    <row r="460" spans="1:28" s="503" customFormat="1" ht="15.75" customHeight="1">
      <c r="A460" s="517" t="str">
        <f>IF(B460&lt;&gt;"",IF(AND(B460&gt;=_TM1,B460&lt;=_TM2,OR(TH!L460="1111",TH!M460="1111")),TH!D460,""),"")</f>
        <v/>
      </c>
      <c r="B460" s="531">
        <f t="shared" si="57"/>
        <v>2</v>
      </c>
      <c r="C460" s="315">
        <f t="shared" si="58"/>
        <v>42794</v>
      </c>
      <c r="D460" s="315" t="s">
        <v>461</v>
      </c>
      <c r="E460" s="288">
        <v>42794</v>
      </c>
      <c r="F460" s="248" t="s">
        <v>463</v>
      </c>
      <c r="G460" s="314" t="s">
        <v>440</v>
      </c>
      <c r="H460" s="472"/>
      <c r="I460" s="307"/>
      <c r="J460" s="307"/>
      <c r="K460" s="532">
        <v>25000</v>
      </c>
      <c r="L460" s="533" t="s">
        <v>81</v>
      </c>
      <c r="M460" s="533" t="s">
        <v>24</v>
      </c>
      <c r="N460" s="525" t="str">
        <f>IF(AND('331-CT'!$E$7=TH!H460,OR(L460="331",M460="331")),"331",IF(AND(OR(L460="131",M460="131"),H460='131-CT'!$E$7),"131",""))</f>
        <v/>
      </c>
      <c r="O460" s="525" t="str">
        <f>IF(AND($B460&gt;='111'!$N$11,$B460&lt;='111'!$O$11,OR($L460=$O$7,$M460=$O$7)),"x","")</f>
        <v/>
      </c>
      <c r="P460" s="525" t="str">
        <f>IF(AND($L460=$O$7,$B460&lt;'111'!$N$11),"x","")</f>
        <v/>
      </c>
      <c r="Q460" s="525" t="str">
        <f>IF(AND($M460=$O$7,$B460&lt;'111'!$N$11),"x","")</f>
        <v/>
      </c>
      <c r="R460" s="525" t="str">
        <f>IF(ISERROR(FIND('112'!$M$9,G460,1)),"",IF((AND(FIND('112'!$M$9,G460,1)&gt;=1,$B460&gt;='112'!$N$8,$B460&lt;='112'!$O$8,OR($L460='112'!$I$6,$M460='112'!$I$6))),"x",""))</f>
        <v/>
      </c>
      <c r="S460" s="525" t="str">
        <f>IF(ISERROR(FIND('112'!$M$9,G460,1)),"",IF((AND(LEFT(G460,2)=LEFT('112'!$M$9,2),B460&lt;'112'!$N$8,$L460='112'!$I$6)),"x",""))</f>
        <v/>
      </c>
      <c r="T460" s="525" t="str">
        <f>IF(ISERROR(FIND('112'!$M$9,G460,1)),"",IF((AND(RIGHT(G460,2)=RIGHT('112'!$M$9,2),B460&lt;'112'!$N$8,$M460='112'!$I$6)),"x",""))</f>
        <v>x</v>
      </c>
      <c r="U460" s="525" t="str">
        <f>IF(AND(B460&gt;='IN-NX'!$P$3,B460&lt;='IN-NX'!$Q$3,'IN-NX'!$D$7=D460,OR(LEFT(L460,2)="15",AND(LEFT(M460,2)&lt;&gt;"15",LEFT(M460,2)&lt;&gt;"33"))),"x","")</f>
        <v/>
      </c>
      <c r="V460" s="525" t="str">
        <f>IF(AND(OR(LEFT(TH!L460,2)="15",LEFT(TH!M460,2)="15"),'152-CT'!$J$8=TH!F460),"x","")</f>
        <v/>
      </c>
      <c r="W460" s="525" t="str">
        <f>IF(AND(OR(LEFT(TH!L460,2)="15",LEFT(TH!M460,2)="15"),TK!$E$7=TH!F460),"x","")</f>
        <v/>
      </c>
      <c r="X460" s="525" t="str">
        <f>IF(AND('341-CT'!$E$9=H460,OR(LEFT(L460,3)=$X$7,LEFT(M460,3)=$X$7)),"x","")</f>
        <v/>
      </c>
      <c r="Y460" s="525" t="str">
        <f>IF(OR(TH!L460=TH!$Y$7,M460=TH!$Y$7),"x","")</f>
        <v/>
      </c>
      <c r="Z460" s="525" t="str">
        <f>IF(AND(B460&lt;=NKC!$N$8,B460&gt;=NKC!$M$8),"x","")</f>
        <v>x</v>
      </c>
      <c r="AA460" s="535">
        <v>1</v>
      </c>
    </row>
    <row r="461" spans="1:28" s="503" customFormat="1" ht="15.75" customHeight="1">
      <c r="A461" s="517" t="str">
        <f>IF(B461&lt;&gt;"",IF(AND(B461&gt;=_TM1,B461&lt;=_TM2,OR(TH!L461="1111",TH!M461="1111")),TH!D461,""),"")</f>
        <v/>
      </c>
      <c r="B461" s="531">
        <f t="shared" si="57"/>
        <v>2</v>
      </c>
      <c r="C461" s="315">
        <f t="shared" si="58"/>
        <v>42794</v>
      </c>
      <c r="D461" s="315" t="s">
        <v>461</v>
      </c>
      <c r="E461" s="288">
        <v>42794</v>
      </c>
      <c r="F461" s="248" t="s">
        <v>464</v>
      </c>
      <c r="G461" s="314" t="s">
        <v>440</v>
      </c>
      <c r="H461" s="473"/>
      <c r="I461" s="307"/>
      <c r="J461" s="307"/>
      <c r="K461" s="532">
        <v>2500</v>
      </c>
      <c r="L461" s="533" t="s">
        <v>9</v>
      </c>
      <c r="M461" s="533" t="s">
        <v>24</v>
      </c>
      <c r="N461" s="525" t="str">
        <f>IF(AND('331-CT'!$E$7=TH!H461,OR(L461="331",M461="331")),"331",IF(AND(OR(L461="131",M461="131"),H461='131-CT'!$E$7),"131",""))</f>
        <v/>
      </c>
      <c r="O461" s="525" t="str">
        <f>IF(AND($B461&gt;='111'!$N$11,$B461&lt;='111'!$O$11,OR($L461=$O$7,$M461=$O$7)),"x","")</f>
        <v/>
      </c>
      <c r="P461" s="525" t="str">
        <f>IF(AND($L461=$O$7,$B461&lt;'111'!$N$11),"x","")</f>
        <v/>
      </c>
      <c r="Q461" s="525" t="str">
        <f>IF(AND($M461=$O$7,$B461&lt;'111'!$N$11),"x","")</f>
        <v/>
      </c>
      <c r="R461" s="525" t="str">
        <f>IF(ISERROR(FIND('112'!$M$9,G461,1)),"",IF((AND(FIND('112'!$M$9,G461,1)&gt;=1,$B461&gt;='112'!$N$8,$B461&lt;='112'!$O$8,OR($L461='112'!$I$6,$M461='112'!$I$6))),"x",""))</f>
        <v/>
      </c>
      <c r="S461" s="525" t="str">
        <f>IF(ISERROR(FIND('112'!$M$9,G461,1)),"",IF((AND(LEFT(G461,2)=LEFT('112'!$M$9,2),B461&lt;'112'!$N$8,$L461='112'!$I$6)),"x",""))</f>
        <v/>
      </c>
      <c r="T461" s="525" t="str">
        <f>IF(ISERROR(FIND('112'!$M$9,G461,1)),"",IF((AND(RIGHT(G461,2)=RIGHT('112'!$M$9,2),B461&lt;'112'!$N$8,$M461='112'!$I$6)),"x",""))</f>
        <v>x</v>
      </c>
      <c r="U461" s="525" t="str">
        <f>IF(AND(B461&gt;='IN-NX'!$P$3,B461&lt;='IN-NX'!$Q$3,'IN-NX'!$D$7=D461,OR(LEFT(L461,2)="15",AND(LEFT(M461,2)&lt;&gt;"15",LEFT(M461,2)&lt;&gt;"33"))),"x","")</f>
        <v/>
      </c>
      <c r="V461" s="525" t="str">
        <f>IF(AND(OR(LEFT(TH!L461,2)="15",LEFT(TH!M461,2)="15"),'152-CT'!$J$8=TH!F461),"x","")</f>
        <v/>
      </c>
      <c r="W461" s="525" t="str">
        <f>IF(AND(OR(LEFT(TH!L461,2)="15",LEFT(TH!M461,2)="15"),TK!$E$7=TH!F461),"x","")</f>
        <v/>
      </c>
      <c r="X461" s="525" t="str">
        <f>IF(AND('341-CT'!$E$9=H461,OR(LEFT(L461,3)=$X$7,LEFT(M461,3)=$X$7)),"x","")</f>
        <v/>
      </c>
      <c r="Y461" s="525" t="str">
        <f>IF(OR(TH!L461=TH!$Y$7,M461=TH!$Y$7),"x","")</f>
        <v/>
      </c>
      <c r="Z461" s="525" t="str">
        <f>IF(AND(B461&lt;=NKC!$N$8,B461&gt;=NKC!$M$8),"x","")</f>
        <v>x</v>
      </c>
      <c r="AA461" s="535">
        <v>1</v>
      </c>
      <c r="AB461" s="536"/>
    </row>
    <row r="462" spans="1:28" s="503" customFormat="1" ht="15.75" customHeight="1">
      <c r="A462" s="517" t="str">
        <f>IF(B462&lt;&gt;"",IF(AND(B462&gt;=_TM1,B462&lt;=_TM2,OR(TH!L462="1111",TH!M462="1111")),TH!D462,""),"")</f>
        <v/>
      </c>
      <c r="B462" s="531">
        <f t="shared" si="57"/>
        <v>3</v>
      </c>
      <c r="C462" s="315">
        <f t="shared" si="58"/>
        <v>42795</v>
      </c>
      <c r="D462" s="315" t="s">
        <v>461</v>
      </c>
      <c r="E462" s="288">
        <v>42795</v>
      </c>
      <c r="F462" s="249" t="s">
        <v>833</v>
      </c>
      <c r="G462" s="314" t="s">
        <v>440</v>
      </c>
      <c r="H462" s="473"/>
      <c r="I462" s="307"/>
      <c r="J462" s="307"/>
      <c r="K462" s="532">
        <v>20000</v>
      </c>
      <c r="L462" s="533" t="s">
        <v>81</v>
      </c>
      <c r="M462" s="533" t="s">
        <v>24</v>
      </c>
      <c r="N462" s="525" t="str">
        <f>IF(AND('331-CT'!$E$7=TH!H462,OR(L462="331",M462="331")),"331",IF(AND(OR(L462="131",M462="131"),H462='131-CT'!$E$7),"131",""))</f>
        <v/>
      </c>
      <c r="O462" s="525" t="str">
        <f>IF(AND($B462&gt;='111'!$N$11,$B462&lt;='111'!$O$11,OR($L462=$O$7,$M462=$O$7)),"x","")</f>
        <v/>
      </c>
      <c r="P462" s="525" t="str">
        <f>IF(AND($L462=$O$7,$B462&lt;'111'!$N$11),"x","")</f>
        <v/>
      </c>
      <c r="Q462" s="525" t="str">
        <f>IF(AND($M462=$O$7,$B462&lt;'111'!$N$11),"x","")</f>
        <v/>
      </c>
      <c r="R462" s="525" t="str">
        <f>IF(ISERROR(FIND('112'!$M$9,G462,1)),"",IF((AND(FIND('112'!$M$9,G462,1)&gt;=1,$B462&gt;='112'!$N$8,$B462&lt;='112'!$O$8,OR($L462='112'!$I$6,$M462='112'!$I$6))),"x",""))</f>
        <v/>
      </c>
      <c r="S462" s="525" t="str">
        <f>IF(ISERROR(FIND('112'!$M$9,G462,1)),"",IF((AND(LEFT(G462,2)=LEFT('112'!$M$9,2),B462&lt;'112'!$N$8,$L462='112'!$I$6)),"x",""))</f>
        <v/>
      </c>
      <c r="T462" s="525" t="str">
        <f>IF(ISERROR(FIND('112'!$M$9,G462,1)),"",IF((AND(RIGHT(G462,2)=RIGHT('112'!$M$9,2),B462&lt;'112'!$N$8,$M462='112'!$I$6)),"x",""))</f>
        <v>x</v>
      </c>
      <c r="U462" s="525" t="str">
        <f>IF(AND(B462&gt;='IN-NX'!$P$3,B462&lt;='IN-NX'!$Q$3,'IN-NX'!$D$7=D462,OR(LEFT(L462,2)="15",AND(LEFT(M462,2)&lt;&gt;"15",LEFT(M462,2)&lt;&gt;"33"))),"x","")</f>
        <v/>
      </c>
      <c r="V462" s="525" t="str">
        <f>IF(AND(OR(LEFT(TH!L462,2)="15",LEFT(TH!M462,2)="15"),'152-CT'!$J$8=TH!F462),"x","")</f>
        <v/>
      </c>
      <c r="W462" s="525" t="str">
        <f>IF(AND(OR(LEFT(TH!L462,2)="15",LEFT(TH!M462,2)="15"),TK!$E$7=TH!F462),"x","")</f>
        <v/>
      </c>
      <c r="X462" s="525" t="str">
        <f>IF(AND('341-CT'!$E$9=H462,OR(LEFT(L462,3)=$X$7,LEFT(M462,3)=$X$7)),"x","")</f>
        <v/>
      </c>
      <c r="Y462" s="525" t="str">
        <f>IF(OR(TH!L462=TH!$Y$7,M462=TH!$Y$7),"x","")</f>
        <v/>
      </c>
      <c r="Z462" s="525" t="str">
        <f>IF(AND(B462&lt;=NKC!$N$8,B462&gt;=NKC!$M$8),"x","")</f>
        <v>x</v>
      </c>
      <c r="AA462" s="535">
        <v>1</v>
      </c>
    </row>
    <row r="463" spans="1:28" s="503" customFormat="1" ht="15.75" customHeight="1">
      <c r="A463" s="517" t="str">
        <f>IF(B463&lt;&gt;"",IF(AND(B463&gt;=_TM1,B463&lt;=_TM2,OR(TH!L463="1111",TH!M463="1111")),TH!D463,""),"")</f>
        <v/>
      </c>
      <c r="B463" s="531">
        <f t="shared" si="57"/>
        <v>3</v>
      </c>
      <c r="C463" s="315">
        <f t="shared" si="58"/>
        <v>42795</v>
      </c>
      <c r="D463" s="315" t="s">
        <v>461</v>
      </c>
      <c r="E463" s="288">
        <v>42795</v>
      </c>
      <c r="F463" s="249" t="s">
        <v>834</v>
      </c>
      <c r="G463" s="314" t="s">
        <v>440</v>
      </c>
      <c r="H463" s="472"/>
      <c r="I463" s="307"/>
      <c r="J463" s="307"/>
      <c r="K463" s="532">
        <v>2000</v>
      </c>
      <c r="L463" s="533" t="s">
        <v>9</v>
      </c>
      <c r="M463" s="533" t="s">
        <v>24</v>
      </c>
      <c r="N463" s="525" t="str">
        <f>IF(AND('331-CT'!$E$7=TH!H463,OR(L463="331",M463="331")),"331",IF(AND(OR(L463="131",M463="131"),H463='131-CT'!$E$7),"131",""))</f>
        <v/>
      </c>
      <c r="O463" s="525" t="str">
        <f>IF(AND($B463&gt;='111'!$N$11,$B463&lt;='111'!$O$11,OR($L463=$O$7,$M463=$O$7)),"x","")</f>
        <v/>
      </c>
      <c r="P463" s="525" t="str">
        <f>IF(AND($L463=$O$7,$B463&lt;'111'!$N$11),"x","")</f>
        <v/>
      </c>
      <c r="Q463" s="525" t="str">
        <f>IF(AND($M463=$O$7,$B463&lt;'111'!$N$11),"x","")</f>
        <v/>
      </c>
      <c r="R463" s="525" t="str">
        <f>IF(ISERROR(FIND('112'!$M$9,G463,1)),"",IF((AND(FIND('112'!$M$9,G463,1)&gt;=1,$B463&gt;='112'!$N$8,$B463&lt;='112'!$O$8,OR($L463='112'!$I$6,$M463='112'!$I$6))),"x",""))</f>
        <v/>
      </c>
      <c r="S463" s="525" t="str">
        <f>IF(ISERROR(FIND('112'!$M$9,G463,1)),"",IF((AND(LEFT(G463,2)=LEFT('112'!$M$9,2),B463&lt;'112'!$N$8,$L463='112'!$I$6)),"x",""))</f>
        <v/>
      </c>
      <c r="T463" s="525" t="str">
        <f>IF(ISERROR(FIND('112'!$M$9,G463,1)),"",IF((AND(RIGHT(G463,2)=RIGHT('112'!$M$9,2),B463&lt;'112'!$N$8,$M463='112'!$I$6)),"x",""))</f>
        <v>x</v>
      </c>
      <c r="U463" s="525" t="str">
        <f>IF(AND(B463&gt;='IN-NX'!$P$3,B463&lt;='IN-NX'!$Q$3,'IN-NX'!$D$7=D463,OR(LEFT(L463,2)="15",AND(LEFT(M463,2)&lt;&gt;"15",LEFT(M463,2)&lt;&gt;"33"))),"x","")</f>
        <v/>
      </c>
      <c r="V463" s="525" t="str">
        <f>IF(AND(OR(LEFT(TH!L463,2)="15",LEFT(TH!M463,2)="15"),'152-CT'!$J$8=TH!F463),"x","")</f>
        <v/>
      </c>
      <c r="W463" s="525" t="str">
        <f>IF(AND(OR(LEFT(TH!L463,2)="15",LEFT(TH!M463,2)="15"),TK!$E$7=TH!F463),"x","")</f>
        <v/>
      </c>
      <c r="X463" s="525" t="str">
        <f>IF(AND('341-CT'!$E$9=H463,OR(LEFT(L463,3)=$X$7,LEFT(M463,3)=$X$7)),"x","")</f>
        <v/>
      </c>
      <c r="Y463" s="525" t="str">
        <f>IF(OR(TH!L463=TH!$Y$7,M463=TH!$Y$7),"x","")</f>
        <v/>
      </c>
      <c r="Z463" s="525" t="str">
        <f>IF(AND(B463&lt;=NKC!$N$8,B463&gt;=NKC!$M$8),"x","")</f>
        <v>x</v>
      </c>
      <c r="AA463" s="535">
        <v>1</v>
      </c>
    </row>
    <row r="464" spans="1:28" s="503" customFormat="1" ht="15.75" customHeight="1">
      <c r="A464" s="517" t="str">
        <f>IF(B464&lt;&gt;"",IF(AND(B464&gt;=_TM1,B464&lt;=_TM2,OR(TH!L464="1111",TH!M464="1111")),TH!D464,""),"")</f>
        <v/>
      </c>
      <c r="B464" s="531">
        <f t="shared" si="57"/>
        <v>3</v>
      </c>
      <c r="C464" s="315">
        <f t="shared" si="58"/>
        <v>42795</v>
      </c>
      <c r="D464" s="315" t="s">
        <v>461</v>
      </c>
      <c r="E464" s="288">
        <v>42795</v>
      </c>
      <c r="F464" s="249" t="s">
        <v>468</v>
      </c>
      <c r="G464" s="314" t="s">
        <v>440</v>
      </c>
      <c r="H464" s="473" t="s">
        <v>420</v>
      </c>
      <c r="I464" s="307"/>
      <c r="J464" s="307"/>
      <c r="K464" s="532">
        <v>87191366</v>
      </c>
      <c r="L464" s="534" t="s">
        <v>8</v>
      </c>
      <c r="M464" s="533" t="s">
        <v>24</v>
      </c>
      <c r="N464" s="525" t="str">
        <f>IF(AND('331-CT'!$E$7=TH!H464,OR(L464="331",M464="331")),"331",IF(AND(OR(L464="131",M464="131"),H464='131-CT'!$E$7),"131",""))</f>
        <v/>
      </c>
      <c r="O464" s="525" t="str">
        <f>IF(AND($B464&gt;='111'!$N$11,$B464&lt;='111'!$O$11,OR($L464=$O$7,$M464=$O$7)),"x","")</f>
        <v/>
      </c>
      <c r="P464" s="525" t="str">
        <f>IF(AND($L464=$O$7,$B464&lt;'111'!$N$11),"x","")</f>
        <v/>
      </c>
      <c r="Q464" s="525" t="str">
        <f>IF(AND($M464=$O$7,$B464&lt;'111'!$N$11),"x","")</f>
        <v/>
      </c>
      <c r="R464" s="525" t="str">
        <f>IF(ISERROR(FIND('112'!$M$9,G464,1)),"",IF((AND(FIND('112'!$M$9,G464,1)&gt;=1,$B464&gt;='112'!$N$8,$B464&lt;='112'!$O$8,OR($L464='112'!$I$6,$M464='112'!$I$6))),"x",""))</f>
        <v/>
      </c>
      <c r="S464" s="525" t="str">
        <f>IF(ISERROR(FIND('112'!$M$9,G464,1)),"",IF((AND(LEFT(G464,2)=LEFT('112'!$M$9,2),B464&lt;'112'!$N$8,$L464='112'!$I$6)),"x",""))</f>
        <v/>
      </c>
      <c r="T464" s="525" t="str">
        <f>IF(ISERROR(FIND('112'!$M$9,G464,1)),"",IF((AND(RIGHT(G464,2)=RIGHT('112'!$M$9,2),B464&lt;'112'!$N$8,$M464='112'!$I$6)),"x",""))</f>
        <v>x</v>
      </c>
      <c r="U464" s="525" t="str">
        <f>IF(AND(B464&gt;='IN-NX'!$P$3,B464&lt;='IN-NX'!$Q$3,'IN-NX'!$D$7=D464,OR(LEFT(L464,2)="15",AND(LEFT(M464,2)&lt;&gt;"15",LEFT(M464,2)&lt;&gt;"33"))),"x","")</f>
        <v/>
      </c>
      <c r="V464" s="525" t="str">
        <f>IF(AND(OR(LEFT(TH!L464,2)="15",LEFT(TH!M464,2)="15"),'152-CT'!$J$8=TH!F464),"x","")</f>
        <v/>
      </c>
      <c r="W464" s="525" t="str">
        <f>IF(AND(OR(LEFT(TH!L464,2)="15",LEFT(TH!M464,2)="15"),TK!$E$7=TH!F464),"x","")</f>
        <v/>
      </c>
      <c r="X464" s="525" t="str">
        <f>IF(AND('341-CT'!$E$9=H464,OR(LEFT(L464,3)=$X$7,LEFT(M464,3)=$X$7)),"x","")</f>
        <v/>
      </c>
      <c r="Y464" s="525" t="str">
        <f>IF(OR(TH!L464=TH!$Y$7,M464=TH!$Y$7),"x","")</f>
        <v/>
      </c>
      <c r="Z464" s="525" t="str">
        <f>IF(AND(B464&lt;=NKC!$N$8,B464&gt;=NKC!$M$8),"x","")</f>
        <v>x</v>
      </c>
      <c r="AA464" s="535"/>
    </row>
    <row r="465" spans="1:28" s="503" customFormat="1" ht="15.75" customHeight="1">
      <c r="A465" s="517" t="str">
        <f>IF(B465&lt;&gt;"",IF(AND(B465&gt;=_TM1,B465&lt;=_TM2,OR(TH!L465="1111",TH!M465="1111")),TH!D465,""),"")</f>
        <v/>
      </c>
      <c r="B465" s="531">
        <f t="shared" si="57"/>
        <v>3</v>
      </c>
      <c r="C465" s="315">
        <f t="shared" si="58"/>
        <v>42795</v>
      </c>
      <c r="D465" s="315" t="s">
        <v>461</v>
      </c>
      <c r="E465" s="288">
        <v>42795</v>
      </c>
      <c r="F465" s="248" t="s">
        <v>463</v>
      </c>
      <c r="G465" s="314" t="s">
        <v>440</v>
      </c>
      <c r="H465" s="472"/>
      <c r="I465" s="307"/>
      <c r="J465" s="307"/>
      <c r="K465" s="532">
        <v>43596</v>
      </c>
      <c r="L465" s="533" t="s">
        <v>81</v>
      </c>
      <c r="M465" s="533" t="s">
        <v>24</v>
      </c>
      <c r="N465" s="525" t="str">
        <f>IF(AND('331-CT'!$E$7=TH!H465,OR(L465="331",M465="331")),"331",IF(AND(OR(L465="131",M465="131"),H465='131-CT'!$E$7),"131",""))</f>
        <v/>
      </c>
      <c r="O465" s="525" t="str">
        <f>IF(AND($B465&gt;='111'!$N$11,$B465&lt;='111'!$O$11,OR($L465=$O$7,$M465=$O$7)),"x","")</f>
        <v/>
      </c>
      <c r="P465" s="525" t="str">
        <f>IF(AND($L465=$O$7,$B465&lt;'111'!$N$11),"x","")</f>
        <v/>
      </c>
      <c r="Q465" s="525" t="str">
        <f>IF(AND($M465=$O$7,$B465&lt;'111'!$N$11),"x","")</f>
        <v/>
      </c>
      <c r="R465" s="525" t="str">
        <f>IF(ISERROR(FIND('112'!$M$9,G465,1)),"",IF((AND(FIND('112'!$M$9,G465,1)&gt;=1,$B465&gt;='112'!$N$8,$B465&lt;='112'!$O$8,OR($L465='112'!$I$6,$M465='112'!$I$6))),"x",""))</f>
        <v/>
      </c>
      <c r="S465" s="525" t="str">
        <f>IF(ISERROR(FIND('112'!$M$9,G465,1)),"",IF((AND(LEFT(G465,2)=LEFT('112'!$M$9,2),B465&lt;'112'!$N$8,$L465='112'!$I$6)),"x",""))</f>
        <v/>
      </c>
      <c r="T465" s="525" t="str">
        <f>IF(ISERROR(FIND('112'!$M$9,G465,1)),"",IF((AND(RIGHT(G465,2)=RIGHT('112'!$M$9,2),B465&lt;'112'!$N$8,$M465='112'!$I$6)),"x",""))</f>
        <v>x</v>
      </c>
      <c r="U465" s="525" t="str">
        <f>IF(AND(B465&gt;='IN-NX'!$P$3,B465&lt;='IN-NX'!$Q$3,'IN-NX'!$D$7=D465,OR(LEFT(L465,2)="15",AND(LEFT(M465,2)&lt;&gt;"15",LEFT(M465,2)&lt;&gt;"33"))),"x","")</f>
        <v/>
      </c>
      <c r="V465" s="525" t="str">
        <f>IF(AND(OR(LEFT(TH!L465,2)="15",LEFT(TH!M465,2)="15"),'152-CT'!$J$8=TH!F465),"x","")</f>
        <v/>
      </c>
      <c r="W465" s="525" t="str">
        <f>IF(AND(OR(LEFT(TH!L465,2)="15",LEFT(TH!M465,2)="15"),TK!$E$7=TH!F465),"x","")</f>
        <v/>
      </c>
      <c r="X465" s="525" t="str">
        <f>IF(AND('341-CT'!$E$9=H465,OR(LEFT(L465,3)=$X$7,LEFT(M465,3)=$X$7)),"x","")</f>
        <v/>
      </c>
      <c r="Y465" s="525" t="str">
        <f>IF(OR(TH!L465=TH!$Y$7,M465=TH!$Y$7),"x","")</f>
        <v/>
      </c>
      <c r="Z465" s="525" t="str">
        <f>IF(AND(B465&lt;=NKC!$N$8,B465&gt;=NKC!$M$8),"x","")</f>
        <v>x</v>
      </c>
      <c r="AA465" s="535">
        <v>1</v>
      </c>
    </row>
    <row r="466" spans="1:28" s="503" customFormat="1" ht="15.75" customHeight="1">
      <c r="A466" s="517" t="str">
        <f>IF(B466&lt;&gt;"",IF(AND(B466&gt;=_TM1,B466&lt;=_TM2,OR(TH!L466="1111",TH!M466="1111")),TH!D466,""),"")</f>
        <v/>
      </c>
      <c r="B466" s="531">
        <f t="shared" si="57"/>
        <v>3</v>
      </c>
      <c r="C466" s="315">
        <f t="shared" si="58"/>
        <v>42795</v>
      </c>
      <c r="D466" s="315" t="s">
        <v>461</v>
      </c>
      <c r="E466" s="288">
        <v>42795</v>
      </c>
      <c r="F466" s="248" t="s">
        <v>464</v>
      </c>
      <c r="G466" s="314" t="s">
        <v>440</v>
      </c>
      <c r="H466" s="472"/>
      <c r="I466" s="307"/>
      <c r="J466" s="307"/>
      <c r="K466" s="532">
        <v>4360</v>
      </c>
      <c r="L466" s="533" t="s">
        <v>9</v>
      </c>
      <c r="M466" s="533" t="s">
        <v>24</v>
      </c>
      <c r="N466" s="525" t="str">
        <f>IF(AND('331-CT'!$E$7=TH!H466,OR(L466="331",M466="331")),"331",IF(AND(OR(L466="131",M466="131"),H466='131-CT'!$E$7),"131",""))</f>
        <v/>
      </c>
      <c r="O466" s="525" t="str">
        <f>IF(AND($B466&gt;='111'!$N$11,$B466&lt;='111'!$O$11,OR($L466=$O$7,$M466=$O$7)),"x","")</f>
        <v/>
      </c>
      <c r="P466" s="525" t="str">
        <f>IF(AND($L466=$O$7,$B466&lt;'111'!$N$11),"x","")</f>
        <v/>
      </c>
      <c r="Q466" s="525" t="str">
        <f>IF(AND($M466=$O$7,$B466&lt;'111'!$N$11),"x","")</f>
        <v/>
      </c>
      <c r="R466" s="525" t="str">
        <f>IF(ISERROR(FIND('112'!$M$9,G466,1)),"",IF((AND(FIND('112'!$M$9,G466,1)&gt;=1,$B466&gt;='112'!$N$8,$B466&lt;='112'!$O$8,OR($L466='112'!$I$6,$M466='112'!$I$6))),"x",""))</f>
        <v/>
      </c>
      <c r="S466" s="525" t="str">
        <f>IF(ISERROR(FIND('112'!$M$9,G466,1)),"",IF((AND(LEFT(G466,2)=LEFT('112'!$M$9,2),B466&lt;'112'!$N$8,$L466='112'!$I$6)),"x",""))</f>
        <v/>
      </c>
      <c r="T466" s="525" t="str">
        <f>IF(ISERROR(FIND('112'!$M$9,G466,1)),"",IF((AND(RIGHT(G466,2)=RIGHT('112'!$M$9,2),B466&lt;'112'!$N$8,$M466='112'!$I$6)),"x",""))</f>
        <v>x</v>
      </c>
      <c r="U466" s="525" t="str">
        <f>IF(AND(B466&gt;='IN-NX'!$P$3,B466&lt;='IN-NX'!$Q$3,'IN-NX'!$D$7=D466,OR(LEFT(L466,2)="15",AND(LEFT(M466,2)&lt;&gt;"15",LEFT(M466,2)&lt;&gt;"33"))),"x","")</f>
        <v/>
      </c>
      <c r="V466" s="525" t="str">
        <f>IF(AND(OR(LEFT(TH!L466,2)="15",LEFT(TH!M466,2)="15"),'152-CT'!$J$8=TH!F466),"x","")</f>
        <v/>
      </c>
      <c r="W466" s="525" t="str">
        <f>IF(AND(OR(LEFT(TH!L466,2)="15",LEFT(TH!M466,2)="15"),TK!$E$7=TH!F466),"x","")</f>
        <v/>
      </c>
      <c r="X466" s="525" t="str">
        <f>IF(AND('341-CT'!$E$9=H466,OR(LEFT(L466,3)=$X$7,LEFT(M466,3)=$X$7)),"x","")</f>
        <v/>
      </c>
      <c r="Y466" s="525" t="str">
        <f>IF(OR(TH!L466=TH!$Y$7,M466=TH!$Y$7),"x","")</f>
        <v/>
      </c>
      <c r="Z466" s="525" t="str">
        <f>IF(AND(B466&lt;=NKC!$N$8,B466&gt;=NKC!$M$8),"x","")</f>
        <v>x</v>
      </c>
      <c r="AA466" s="535">
        <v>1</v>
      </c>
    </row>
    <row r="467" spans="1:28" s="503" customFormat="1" ht="15.75" customHeight="1">
      <c r="A467" s="517" t="str">
        <f>IF(B467&lt;&gt;"",IF(AND(B467&gt;=_TM1,B467&lt;=_TM2,OR(TH!L467="1111",TH!M467="1111")),TH!D467,""),"")</f>
        <v/>
      </c>
      <c r="B467" s="531">
        <f t="shared" si="57"/>
        <v>3</v>
      </c>
      <c r="C467" s="315">
        <f t="shared" si="58"/>
        <v>42795</v>
      </c>
      <c r="D467" s="315" t="s">
        <v>461</v>
      </c>
      <c r="E467" s="288">
        <v>42795</v>
      </c>
      <c r="F467" s="249" t="s">
        <v>468</v>
      </c>
      <c r="G467" s="314" t="s">
        <v>440</v>
      </c>
      <c r="H467" s="473" t="s">
        <v>272</v>
      </c>
      <c r="I467" s="307"/>
      <c r="J467" s="307"/>
      <c r="K467" s="532">
        <v>46529132</v>
      </c>
      <c r="L467" s="534" t="s">
        <v>8</v>
      </c>
      <c r="M467" s="533" t="s">
        <v>24</v>
      </c>
      <c r="N467" s="525" t="str">
        <f>IF(AND('331-CT'!$E$7=TH!H467,OR(L467="331",M467="331")),"331",IF(AND(OR(L467="131",M467="131"),H467='131-CT'!$E$7),"131",""))</f>
        <v/>
      </c>
      <c r="O467" s="525" t="str">
        <f>IF(AND($B467&gt;='111'!$N$11,$B467&lt;='111'!$O$11,OR($L467=$O$7,$M467=$O$7)),"x","")</f>
        <v/>
      </c>
      <c r="P467" s="525" t="str">
        <f>IF(AND($L467=$O$7,$B467&lt;'111'!$N$11),"x","")</f>
        <v/>
      </c>
      <c r="Q467" s="525" t="str">
        <f>IF(AND($M467=$O$7,$B467&lt;'111'!$N$11),"x","")</f>
        <v/>
      </c>
      <c r="R467" s="525" t="str">
        <f>IF(ISERROR(FIND('112'!$M$9,G467,1)),"",IF((AND(FIND('112'!$M$9,G467,1)&gt;=1,$B467&gt;='112'!$N$8,$B467&lt;='112'!$O$8,OR($L467='112'!$I$6,$M467='112'!$I$6))),"x",""))</f>
        <v/>
      </c>
      <c r="S467" s="525" t="str">
        <f>IF(ISERROR(FIND('112'!$M$9,G467,1)),"",IF((AND(LEFT(G467,2)=LEFT('112'!$M$9,2),B467&lt;'112'!$N$8,$L467='112'!$I$6)),"x",""))</f>
        <v/>
      </c>
      <c r="T467" s="525" t="str">
        <f>IF(ISERROR(FIND('112'!$M$9,G467,1)),"",IF((AND(RIGHT(G467,2)=RIGHT('112'!$M$9,2),B467&lt;'112'!$N$8,$M467='112'!$I$6)),"x",""))</f>
        <v>x</v>
      </c>
      <c r="U467" s="525" t="str">
        <f>IF(AND(B467&gt;='IN-NX'!$P$3,B467&lt;='IN-NX'!$Q$3,'IN-NX'!$D$7=D467,OR(LEFT(L467,2)="15",AND(LEFT(M467,2)&lt;&gt;"15",LEFT(M467,2)&lt;&gt;"33"))),"x","")</f>
        <v/>
      </c>
      <c r="V467" s="525" t="str">
        <f>IF(AND(OR(LEFT(TH!L467,2)="15",LEFT(TH!M467,2)="15"),'152-CT'!$J$8=TH!F467),"x","")</f>
        <v/>
      </c>
      <c r="W467" s="525" t="str">
        <f>IF(AND(OR(LEFT(TH!L467,2)="15",LEFT(TH!M467,2)="15"),TK!$E$7=TH!F467),"x","")</f>
        <v/>
      </c>
      <c r="X467" s="525" t="str">
        <f>IF(AND('341-CT'!$E$9=H467,OR(LEFT(L467,3)=$X$7,LEFT(M467,3)=$X$7)),"x","")</f>
        <v/>
      </c>
      <c r="Y467" s="525" t="str">
        <f>IF(OR(TH!L467=TH!$Y$7,M467=TH!$Y$7),"x","")</f>
        <v/>
      </c>
      <c r="Z467" s="525" t="str">
        <f>IF(AND(B467&lt;=NKC!$N$8,B467&gt;=NKC!$M$8),"x","")</f>
        <v>x</v>
      </c>
      <c r="AA467" s="535"/>
    </row>
    <row r="468" spans="1:28" s="503" customFormat="1" ht="15.75" customHeight="1">
      <c r="A468" s="517" t="str">
        <f>IF(B468&lt;&gt;"",IF(AND(B468&gt;=_TM1,B468&lt;=_TM2,OR(TH!L468="1111",TH!M468="1111")),TH!D468,""),"")</f>
        <v/>
      </c>
      <c r="B468" s="531">
        <f t="shared" si="57"/>
        <v>3</v>
      </c>
      <c r="C468" s="315">
        <f t="shared" si="58"/>
        <v>42795</v>
      </c>
      <c r="D468" s="315" t="s">
        <v>461</v>
      </c>
      <c r="E468" s="288">
        <v>42795</v>
      </c>
      <c r="F468" s="248" t="s">
        <v>463</v>
      </c>
      <c r="G468" s="314" t="s">
        <v>440</v>
      </c>
      <c r="H468" s="473"/>
      <c r="I468" s="307"/>
      <c r="J468" s="307"/>
      <c r="K468" s="532">
        <v>25000</v>
      </c>
      <c r="L468" s="533" t="s">
        <v>81</v>
      </c>
      <c r="M468" s="533" t="s">
        <v>24</v>
      </c>
      <c r="N468" s="525" t="str">
        <f>IF(AND('331-CT'!$E$7=TH!H468,OR(L468="331",M468="331")),"331",IF(AND(OR(L468="131",M468="131"),H468='131-CT'!$E$7),"131",""))</f>
        <v/>
      </c>
      <c r="O468" s="525" t="str">
        <f>IF(AND($B468&gt;='111'!$N$11,$B468&lt;='111'!$O$11,OR($L468=$O$7,$M468=$O$7)),"x","")</f>
        <v/>
      </c>
      <c r="P468" s="525" t="str">
        <f>IF(AND($L468=$O$7,$B468&lt;'111'!$N$11),"x","")</f>
        <v/>
      </c>
      <c r="Q468" s="525" t="str">
        <f>IF(AND($M468=$O$7,$B468&lt;'111'!$N$11),"x","")</f>
        <v/>
      </c>
      <c r="R468" s="525" t="str">
        <f>IF(ISERROR(FIND('112'!$M$9,G468,1)),"",IF((AND(FIND('112'!$M$9,G468,1)&gt;=1,$B468&gt;='112'!$N$8,$B468&lt;='112'!$O$8,OR($L468='112'!$I$6,$M468='112'!$I$6))),"x",""))</f>
        <v/>
      </c>
      <c r="S468" s="525" t="str">
        <f>IF(ISERROR(FIND('112'!$M$9,G468,1)),"",IF((AND(LEFT(G468,2)=LEFT('112'!$M$9,2),B468&lt;'112'!$N$8,$L468='112'!$I$6)),"x",""))</f>
        <v/>
      </c>
      <c r="T468" s="525" t="str">
        <f>IF(ISERROR(FIND('112'!$M$9,G468,1)),"",IF((AND(RIGHT(G468,2)=RIGHT('112'!$M$9,2),B468&lt;'112'!$N$8,$M468='112'!$I$6)),"x",""))</f>
        <v>x</v>
      </c>
      <c r="U468" s="525" t="str">
        <f>IF(AND(B468&gt;='IN-NX'!$P$3,B468&lt;='IN-NX'!$Q$3,'IN-NX'!$D$7=D468,OR(LEFT(L468,2)="15",AND(LEFT(M468,2)&lt;&gt;"15",LEFT(M468,2)&lt;&gt;"33"))),"x","")</f>
        <v/>
      </c>
      <c r="V468" s="525" t="str">
        <f>IF(AND(OR(LEFT(TH!L468,2)="15",LEFT(TH!M468,2)="15"),'152-CT'!$J$8=TH!F468),"x","")</f>
        <v/>
      </c>
      <c r="W468" s="525" t="str">
        <f>IF(AND(OR(LEFT(TH!L468,2)="15",LEFT(TH!M468,2)="15"),TK!$E$7=TH!F468),"x","")</f>
        <v/>
      </c>
      <c r="X468" s="525" t="str">
        <f>IF(AND('341-CT'!$E$9=H468,OR(LEFT(L468,3)=$X$7,LEFT(M468,3)=$X$7)),"x","")</f>
        <v/>
      </c>
      <c r="Y468" s="525" t="str">
        <f>IF(OR(TH!L468=TH!$Y$7,M468=TH!$Y$7),"x","")</f>
        <v/>
      </c>
      <c r="Z468" s="525" t="str">
        <f>IF(AND(B468&lt;=NKC!$N$8,B468&gt;=NKC!$M$8),"x","")</f>
        <v>x</v>
      </c>
      <c r="AA468" s="535">
        <v>1</v>
      </c>
    </row>
    <row r="469" spans="1:28" s="503" customFormat="1" ht="15.75" customHeight="1">
      <c r="A469" s="517" t="str">
        <f>IF(B469&lt;&gt;"",IF(AND(B469&gt;=_TM1,B469&lt;=_TM2,OR(TH!L469="1111",TH!M469="1111")),TH!D469,""),"")</f>
        <v/>
      </c>
      <c r="B469" s="531">
        <f t="shared" si="57"/>
        <v>3</v>
      </c>
      <c r="C469" s="315">
        <f t="shared" si="58"/>
        <v>42795</v>
      </c>
      <c r="D469" s="315" t="s">
        <v>461</v>
      </c>
      <c r="E469" s="288">
        <v>42795</v>
      </c>
      <c r="F469" s="248" t="s">
        <v>464</v>
      </c>
      <c r="G469" s="314" t="s">
        <v>440</v>
      </c>
      <c r="H469" s="473"/>
      <c r="I469" s="307"/>
      <c r="J469" s="307"/>
      <c r="K469" s="532">
        <v>2500</v>
      </c>
      <c r="L469" s="533" t="s">
        <v>9</v>
      </c>
      <c r="M469" s="533" t="s">
        <v>24</v>
      </c>
      <c r="N469" s="525" t="str">
        <f>IF(AND('331-CT'!$E$7=TH!H469,OR(L469="331",M469="331")),"331",IF(AND(OR(L469="131",M469="131"),H469='131-CT'!$E$7),"131",""))</f>
        <v/>
      </c>
      <c r="O469" s="525" t="str">
        <f>IF(AND($B469&gt;='111'!$N$11,$B469&lt;='111'!$O$11,OR($L469=$O$7,$M469=$O$7)),"x","")</f>
        <v/>
      </c>
      <c r="P469" s="525" t="str">
        <f>IF(AND($L469=$O$7,$B469&lt;'111'!$N$11),"x","")</f>
        <v/>
      </c>
      <c r="Q469" s="525" t="str">
        <f>IF(AND($M469=$O$7,$B469&lt;'111'!$N$11),"x","")</f>
        <v/>
      </c>
      <c r="R469" s="525" t="str">
        <f>IF(ISERROR(FIND('112'!$M$9,G469,1)),"",IF((AND(FIND('112'!$M$9,G469,1)&gt;=1,$B469&gt;='112'!$N$8,$B469&lt;='112'!$O$8,OR($L469='112'!$I$6,$M469='112'!$I$6))),"x",""))</f>
        <v/>
      </c>
      <c r="S469" s="525" t="str">
        <f>IF(ISERROR(FIND('112'!$M$9,G469,1)),"",IF((AND(LEFT(G469,2)=LEFT('112'!$M$9,2),B469&lt;'112'!$N$8,$L469='112'!$I$6)),"x",""))</f>
        <v/>
      </c>
      <c r="T469" s="525" t="str">
        <f>IF(ISERROR(FIND('112'!$M$9,G469,1)),"",IF((AND(RIGHT(G469,2)=RIGHT('112'!$M$9,2),B469&lt;'112'!$N$8,$M469='112'!$I$6)),"x",""))</f>
        <v>x</v>
      </c>
      <c r="U469" s="525" t="str">
        <f>IF(AND(B469&gt;='IN-NX'!$P$3,B469&lt;='IN-NX'!$Q$3,'IN-NX'!$D$7=D469,OR(LEFT(L469,2)="15",AND(LEFT(M469,2)&lt;&gt;"15",LEFT(M469,2)&lt;&gt;"33"))),"x","")</f>
        <v/>
      </c>
      <c r="V469" s="525" t="str">
        <f>IF(AND(OR(LEFT(TH!L469,2)="15",LEFT(TH!M469,2)="15"),'152-CT'!$J$8=TH!F469),"x","")</f>
        <v/>
      </c>
      <c r="W469" s="525" t="str">
        <f>IF(AND(OR(LEFT(TH!L469,2)="15",LEFT(TH!M469,2)="15"),TK!$E$7=TH!F469),"x","")</f>
        <v/>
      </c>
      <c r="X469" s="525" t="str">
        <f>IF(AND('341-CT'!$E$9=H469,OR(LEFT(L469,3)=$X$7,LEFT(M469,3)=$X$7)),"x","")</f>
        <v/>
      </c>
      <c r="Y469" s="525" t="str">
        <f>IF(OR(TH!L469=TH!$Y$7,M469=TH!$Y$7),"x","")</f>
        <v/>
      </c>
      <c r="Z469" s="525" t="str">
        <f>IF(AND(B469&lt;=NKC!$N$8,B469&gt;=NKC!$M$8),"x","")</f>
        <v>x</v>
      </c>
      <c r="AA469" s="535">
        <v>1</v>
      </c>
    </row>
    <row r="470" spans="1:28" s="503" customFormat="1" ht="15.75" customHeight="1">
      <c r="A470" s="517" t="str">
        <f>IF(B470&lt;&gt;"",IF(AND(B470&gt;=_TM1,B470&lt;=_TM2,OR(TH!L470="1111",TH!M470="1111")),TH!D470,""),"")</f>
        <v>GBN</v>
      </c>
      <c r="B470" s="531">
        <f t="shared" si="57"/>
        <v>3</v>
      </c>
      <c r="C470" s="315">
        <f t="shared" si="58"/>
        <v>42800</v>
      </c>
      <c r="D470" s="315" t="s">
        <v>461</v>
      </c>
      <c r="E470" s="288">
        <v>42800</v>
      </c>
      <c r="F470" s="249" t="s">
        <v>465</v>
      </c>
      <c r="G470" s="314" t="s">
        <v>440</v>
      </c>
      <c r="H470" s="473" t="s">
        <v>460</v>
      </c>
      <c r="I470" s="307"/>
      <c r="J470" s="307"/>
      <c r="K470" s="532">
        <v>101000000</v>
      </c>
      <c r="L470" s="533" t="s">
        <v>45</v>
      </c>
      <c r="M470" s="533" t="s">
        <v>24</v>
      </c>
      <c r="N470" s="525" t="str">
        <f>IF(AND('331-CT'!$E$7=TH!H470,OR(L470="331",M470="331")),"331",IF(AND(OR(L470="131",M470="131"),H470='131-CT'!$E$7),"131",""))</f>
        <v/>
      </c>
      <c r="O470" s="525" t="str">
        <f>IF(AND($B470&gt;='111'!$N$11,$B470&lt;='111'!$O$11,OR($L470=$O$7,$M470=$O$7)),"x","")</f>
        <v/>
      </c>
      <c r="P470" s="525" t="str">
        <f>IF(AND($L470=$O$7,$B470&lt;'111'!$N$11),"x","")</f>
        <v>x</v>
      </c>
      <c r="Q470" s="525" t="str">
        <f>IF(AND($M470=$O$7,$B470&lt;'111'!$N$11),"x","")</f>
        <v/>
      </c>
      <c r="R470" s="525" t="str">
        <f>IF(ISERROR(FIND('112'!$M$9,G470,1)),"",IF((AND(FIND('112'!$M$9,G470,1)&gt;=1,$B470&gt;='112'!$N$8,$B470&lt;='112'!$O$8,OR($L470='112'!$I$6,$M470='112'!$I$6))),"x",""))</f>
        <v/>
      </c>
      <c r="S470" s="525" t="str">
        <f>IF(ISERROR(FIND('112'!$M$9,G470,1)),"",IF((AND(LEFT(G470,2)=LEFT('112'!$M$9,2),B470&lt;'112'!$N$8,$L470='112'!$I$6)),"x",""))</f>
        <v/>
      </c>
      <c r="T470" s="525" t="str">
        <f>IF(ISERROR(FIND('112'!$M$9,G470,1)),"",IF((AND(RIGHT(G470,2)=RIGHT('112'!$M$9,2),B470&lt;'112'!$N$8,$M470='112'!$I$6)),"x",""))</f>
        <v>x</v>
      </c>
      <c r="U470" s="525" t="str">
        <f>IF(AND(B470&gt;='IN-NX'!$P$3,B470&lt;='IN-NX'!$Q$3,'IN-NX'!$D$7=D470,OR(LEFT(L470,2)="15",AND(LEFT(M470,2)&lt;&gt;"15",LEFT(M470,2)&lt;&gt;"33"))),"x","")</f>
        <v/>
      </c>
      <c r="V470" s="525" t="str">
        <f>IF(AND(OR(LEFT(TH!L470,2)="15",LEFT(TH!M470,2)="15"),'152-CT'!$J$8=TH!F470),"x","")</f>
        <v/>
      </c>
      <c r="W470" s="525" t="str">
        <f>IF(AND(OR(LEFT(TH!L470,2)="15",LEFT(TH!M470,2)="15"),TK!$E$7=TH!F470),"x","")</f>
        <v/>
      </c>
      <c r="X470" s="525" t="str">
        <f>IF(AND('341-CT'!$E$9=H470,OR(LEFT(L470,3)=$X$7,LEFT(M470,3)=$X$7)),"x","")</f>
        <v/>
      </c>
      <c r="Y470" s="525" t="str">
        <f>IF(OR(TH!L470=TH!$Y$7,M470=TH!$Y$7),"x","")</f>
        <v/>
      </c>
      <c r="Z470" s="525" t="str">
        <f>IF(AND(B470&lt;=NKC!$N$8,B470&gt;=NKC!$M$8),"x","")</f>
        <v>x</v>
      </c>
      <c r="AA470" s="535"/>
      <c r="AB470" s="536"/>
    </row>
    <row r="471" spans="1:28" s="503" customFormat="1" ht="15.75" customHeight="1">
      <c r="A471" s="517" t="str">
        <f>IF(B471&lt;&gt;"",IF(AND(B471&gt;=_TM1,B471&lt;=_TM2,OR(TH!L471="1111",TH!M471="1111")),TH!D471,""),"")</f>
        <v/>
      </c>
      <c r="B471" s="531">
        <f t="shared" si="57"/>
        <v>3</v>
      </c>
      <c r="C471" s="315">
        <f t="shared" si="58"/>
        <v>42814</v>
      </c>
      <c r="D471" s="315" t="s">
        <v>461</v>
      </c>
      <c r="E471" s="288">
        <v>42814</v>
      </c>
      <c r="F471" s="249" t="s">
        <v>468</v>
      </c>
      <c r="G471" s="314" t="s">
        <v>440</v>
      </c>
      <c r="H471" s="473" t="s">
        <v>349</v>
      </c>
      <c r="I471" s="307"/>
      <c r="J471" s="307"/>
      <c r="K471" s="532">
        <v>54378588</v>
      </c>
      <c r="L471" s="534" t="s">
        <v>8</v>
      </c>
      <c r="M471" s="533" t="s">
        <v>24</v>
      </c>
      <c r="N471" s="525" t="str">
        <f>IF(AND('331-CT'!$E$7=TH!H471,OR(L471="331",M471="331")),"331",IF(AND(OR(L471="131",M471="131"),H471='131-CT'!$E$7),"131",""))</f>
        <v/>
      </c>
      <c r="O471" s="525" t="str">
        <f>IF(AND($B471&gt;='111'!$N$11,$B471&lt;='111'!$O$11,OR($L471=$O$7,$M471=$O$7)),"x","")</f>
        <v/>
      </c>
      <c r="P471" s="525" t="str">
        <f>IF(AND($L471=$O$7,$B471&lt;'111'!$N$11),"x","")</f>
        <v/>
      </c>
      <c r="Q471" s="525" t="str">
        <f>IF(AND($M471=$O$7,$B471&lt;'111'!$N$11),"x","")</f>
        <v/>
      </c>
      <c r="R471" s="525" t="str">
        <f>IF(ISERROR(FIND('112'!$M$9,G471,1)),"",IF((AND(FIND('112'!$M$9,G471,1)&gt;=1,$B471&gt;='112'!$N$8,$B471&lt;='112'!$O$8,OR($L471='112'!$I$6,$M471='112'!$I$6))),"x",""))</f>
        <v/>
      </c>
      <c r="S471" s="525" t="str">
        <f>IF(ISERROR(FIND('112'!$M$9,G471,1)),"",IF((AND(LEFT(G471,2)=LEFT('112'!$M$9,2),B471&lt;'112'!$N$8,$L471='112'!$I$6)),"x",""))</f>
        <v/>
      </c>
      <c r="T471" s="525" t="str">
        <f>IF(ISERROR(FIND('112'!$M$9,G471,1)),"",IF((AND(RIGHT(G471,2)=RIGHT('112'!$M$9,2),B471&lt;'112'!$N$8,$M471='112'!$I$6)),"x",""))</f>
        <v>x</v>
      </c>
      <c r="U471" s="525" t="str">
        <f>IF(AND(B471&gt;='IN-NX'!$P$3,B471&lt;='IN-NX'!$Q$3,'IN-NX'!$D$7=D471,OR(LEFT(L471,2)="15",AND(LEFT(M471,2)&lt;&gt;"15",LEFT(M471,2)&lt;&gt;"33"))),"x","")</f>
        <v/>
      </c>
      <c r="V471" s="525" t="str">
        <f>IF(AND(OR(LEFT(TH!L471,2)="15",LEFT(TH!M471,2)="15"),'152-CT'!$J$8=TH!F471),"x","")</f>
        <v/>
      </c>
      <c r="W471" s="525" t="str">
        <f>IF(AND(OR(LEFT(TH!L471,2)="15",LEFT(TH!M471,2)="15"),TK!$E$7=TH!F471),"x","")</f>
        <v/>
      </c>
      <c r="X471" s="525" t="str">
        <f>IF(AND('341-CT'!$E$9=H471,OR(LEFT(L471,3)=$X$7,LEFT(M471,3)=$X$7)),"x","")</f>
        <v/>
      </c>
      <c r="Y471" s="525" t="str">
        <f>IF(OR(TH!L471=TH!$Y$7,M471=TH!$Y$7),"x","")</f>
        <v/>
      </c>
      <c r="Z471" s="525" t="str">
        <f>IF(AND(B471&lt;=NKC!$N$8,B471&gt;=NKC!$M$8),"x","")</f>
        <v>x</v>
      </c>
      <c r="AA471" s="535"/>
    </row>
    <row r="472" spans="1:28" s="503" customFormat="1" ht="15.75" customHeight="1">
      <c r="A472" s="517" t="str">
        <f>IF(B472&lt;&gt;"",IF(AND(B472&gt;=_TM1,B472&lt;=_TM2,OR(TH!L472="1111",TH!M472="1111")),TH!D472,""),"")</f>
        <v/>
      </c>
      <c r="B472" s="531">
        <f t="shared" si="57"/>
        <v>3</v>
      </c>
      <c r="C472" s="315">
        <f t="shared" si="58"/>
        <v>42814</v>
      </c>
      <c r="D472" s="315" t="s">
        <v>461</v>
      </c>
      <c r="E472" s="288">
        <v>42814</v>
      </c>
      <c r="F472" s="248" t="s">
        <v>463</v>
      </c>
      <c r="G472" s="314" t="s">
        <v>440</v>
      </c>
      <c r="H472" s="473"/>
      <c r="I472" s="307"/>
      <c r="J472" s="307"/>
      <c r="K472" s="532">
        <v>25000</v>
      </c>
      <c r="L472" s="533" t="s">
        <v>81</v>
      </c>
      <c r="M472" s="533" t="s">
        <v>24</v>
      </c>
      <c r="N472" s="525" t="str">
        <f>IF(AND('331-CT'!$E$7=TH!H472,OR(L472="331",M472="331")),"331",IF(AND(OR(L472="131",M472="131"),H472='131-CT'!$E$7),"131",""))</f>
        <v/>
      </c>
      <c r="O472" s="525" t="str">
        <f>IF(AND($B472&gt;='111'!$N$11,$B472&lt;='111'!$O$11,OR($L472=$O$7,$M472=$O$7)),"x","")</f>
        <v/>
      </c>
      <c r="P472" s="525" t="str">
        <f>IF(AND($L472=$O$7,$B472&lt;'111'!$N$11),"x","")</f>
        <v/>
      </c>
      <c r="Q472" s="525" t="str">
        <f>IF(AND($M472=$O$7,$B472&lt;'111'!$N$11),"x","")</f>
        <v/>
      </c>
      <c r="R472" s="525" t="str">
        <f>IF(ISERROR(FIND('112'!$M$9,G472,1)),"",IF((AND(FIND('112'!$M$9,G472,1)&gt;=1,$B472&gt;='112'!$N$8,$B472&lt;='112'!$O$8,OR($L472='112'!$I$6,$M472='112'!$I$6))),"x",""))</f>
        <v/>
      </c>
      <c r="S472" s="525" t="str">
        <f>IF(ISERROR(FIND('112'!$M$9,G472,1)),"",IF((AND(LEFT(G472,2)=LEFT('112'!$M$9,2),B472&lt;'112'!$N$8,$L472='112'!$I$6)),"x",""))</f>
        <v/>
      </c>
      <c r="T472" s="525" t="str">
        <f>IF(ISERROR(FIND('112'!$M$9,G472,1)),"",IF((AND(RIGHT(G472,2)=RIGHT('112'!$M$9,2),B472&lt;'112'!$N$8,$M472='112'!$I$6)),"x",""))</f>
        <v>x</v>
      </c>
      <c r="U472" s="525" t="str">
        <f>IF(AND(B472&gt;='IN-NX'!$P$3,B472&lt;='IN-NX'!$Q$3,'IN-NX'!$D$7=D472,OR(LEFT(L472,2)="15",AND(LEFT(M472,2)&lt;&gt;"15",LEFT(M472,2)&lt;&gt;"33"))),"x","")</f>
        <v/>
      </c>
      <c r="V472" s="525" t="str">
        <f>IF(AND(OR(LEFT(TH!L472,2)="15",LEFT(TH!M472,2)="15"),'152-CT'!$J$8=TH!F472),"x","")</f>
        <v/>
      </c>
      <c r="W472" s="525" t="str">
        <f>IF(AND(OR(LEFT(TH!L472,2)="15",LEFT(TH!M472,2)="15"),TK!$E$7=TH!F472),"x","")</f>
        <v/>
      </c>
      <c r="X472" s="525" t="str">
        <f>IF(AND('341-CT'!$E$9=H472,OR(LEFT(L472,3)=$X$7,LEFT(M472,3)=$X$7)),"x","")</f>
        <v/>
      </c>
      <c r="Y472" s="525" t="str">
        <f>IF(OR(TH!L472=TH!$Y$7,M472=TH!$Y$7),"x","")</f>
        <v/>
      </c>
      <c r="Z472" s="525" t="str">
        <f>IF(AND(B472&lt;=NKC!$N$8,B472&gt;=NKC!$M$8),"x","")</f>
        <v>x</v>
      </c>
      <c r="AA472" s="535">
        <v>1</v>
      </c>
    </row>
    <row r="473" spans="1:28" s="503" customFormat="1" ht="15.75" customHeight="1">
      <c r="A473" s="517" t="str">
        <f>IF(B473&lt;&gt;"",IF(AND(B473&gt;=_TM1,B473&lt;=_TM2,OR(TH!L473="1111",TH!M473="1111")),TH!D473,""),"")</f>
        <v/>
      </c>
      <c r="B473" s="531">
        <f t="shared" si="57"/>
        <v>3</v>
      </c>
      <c r="C473" s="315">
        <f t="shared" si="58"/>
        <v>42814</v>
      </c>
      <c r="D473" s="315" t="s">
        <v>461</v>
      </c>
      <c r="E473" s="288">
        <v>42814</v>
      </c>
      <c r="F473" s="248" t="s">
        <v>464</v>
      </c>
      <c r="G473" s="314" t="s">
        <v>440</v>
      </c>
      <c r="H473" s="473"/>
      <c r="I473" s="307"/>
      <c r="J473" s="307"/>
      <c r="K473" s="532">
        <v>2500</v>
      </c>
      <c r="L473" s="533" t="s">
        <v>9</v>
      </c>
      <c r="M473" s="533" t="s">
        <v>24</v>
      </c>
      <c r="N473" s="525" t="str">
        <f>IF(AND('331-CT'!$E$7=TH!H473,OR(L473="331",M473="331")),"331",IF(AND(OR(L473="131",M473="131"),H473='131-CT'!$E$7),"131",""))</f>
        <v/>
      </c>
      <c r="O473" s="525" t="str">
        <f>IF(AND($B473&gt;='111'!$N$11,$B473&lt;='111'!$O$11,OR($L473=$O$7,$M473=$O$7)),"x","")</f>
        <v/>
      </c>
      <c r="P473" s="525" t="str">
        <f>IF(AND($L473=$O$7,$B473&lt;'111'!$N$11),"x","")</f>
        <v/>
      </c>
      <c r="Q473" s="525" t="str">
        <f>IF(AND($M473=$O$7,$B473&lt;'111'!$N$11),"x","")</f>
        <v/>
      </c>
      <c r="R473" s="525" t="str">
        <f>IF(ISERROR(FIND('112'!$M$9,G473,1)),"",IF((AND(FIND('112'!$M$9,G473,1)&gt;=1,$B473&gt;='112'!$N$8,$B473&lt;='112'!$O$8,OR($L473='112'!$I$6,$M473='112'!$I$6))),"x",""))</f>
        <v/>
      </c>
      <c r="S473" s="525" t="str">
        <f>IF(ISERROR(FIND('112'!$M$9,G473,1)),"",IF((AND(LEFT(G473,2)=LEFT('112'!$M$9,2),B473&lt;'112'!$N$8,$L473='112'!$I$6)),"x",""))</f>
        <v/>
      </c>
      <c r="T473" s="525" t="str">
        <f>IF(ISERROR(FIND('112'!$M$9,G473,1)),"",IF((AND(RIGHT(G473,2)=RIGHT('112'!$M$9,2),B473&lt;'112'!$N$8,$M473='112'!$I$6)),"x",""))</f>
        <v>x</v>
      </c>
      <c r="U473" s="525" t="str">
        <f>IF(AND(B473&gt;='IN-NX'!$P$3,B473&lt;='IN-NX'!$Q$3,'IN-NX'!$D$7=D473,OR(LEFT(L473,2)="15",AND(LEFT(M473,2)&lt;&gt;"15",LEFT(M473,2)&lt;&gt;"33"))),"x","")</f>
        <v/>
      </c>
      <c r="V473" s="525" t="str">
        <f>IF(AND(OR(LEFT(TH!L473,2)="15",LEFT(TH!M473,2)="15"),'152-CT'!$J$8=TH!F473),"x","")</f>
        <v/>
      </c>
      <c r="W473" s="525" t="str">
        <f>IF(AND(OR(LEFT(TH!L473,2)="15",LEFT(TH!M473,2)="15"),TK!$E$7=TH!F473),"x","")</f>
        <v/>
      </c>
      <c r="X473" s="525" t="str">
        <f>IF(AND('341-CT'!$E$9=H473,OR(LEFT(L473,3)=$X$7,LEFT(M473,3)=$X$7)),"x","")</f>
        <v/>
      </c>
      <c r="Y473" s="525" t="str">
        <f>IF(OR(TH!L473=TH!$Y$7,M473=TH!$Y$7),"x","")</f>
        <v/>
      </c>
      <c r="Z473" s="525" t="str">
        <f>IF(AND(B473&lt;=NKC!$N$8,B473&gt;=NKC!$M$8),"x","")</f>
        <v>x</v>
      </c>
      <c r="AA473" s="535">
        <v>1</v>
      </c>
    </row>
    <row r="474" spans="1:28" s="503" customFormat="1" ht="15.75" customHeight="1">
      <c r="A474" s="517" t="str">
        <f>IF(B474&lt;&gt;"",IF(AND(B474&gt;=_TM1,B474&lt;=_TM2,OR(TH!L474="1111",TH!M474="1111")),TH!D474,""),"")</f>
        <v/>
      </c>
      <c r="B474" s="531">
        <f t="shared" si="57"/>
        <v>3</v>
      </c>
      <c r="C474" s="315">
        <f t="shared" si="58"/>
        <v>42814</v>
      </c>
      <c r="D474" s="315" t="s">
        <v>461</v>
      </c>
      <c r="E474" s="288">
        <v>42814</v>
      </c>
      <c r="F474" s="249" t="s">
        <v>468</v>
      </c>
      <c r="G474" s="314" t="s">
        <v>440</v>
      </c>
      <c r="H474" s="473" t="s">
        <v>420</v>
      </c>
      <c r="I474" s="307"/>
      <c r="J474" s="307"/>
      <c r="K474" s="532">
        <v>63901530</v>
      </c>
      <c r="L474" s="534" t="s">
        <v>8</v>
      </c>
      <c r="M474" s="533" t="s">
        <v>24</v>
      </c>
      <c r="N474" s="525" t="str">
        <f>IF(AND('331-CT'!$E$7=TH!H474,OR(L474="331",M474="331")),"331",IF(AND(OR(L474="131",M474="131"),H474='131-CT'!$E$7),"131",""))</f>
        <v/>
      </c>
      <c r="O474" s="525" t="str">
        <f>IF(AND($B474&gt;='111'!$N$11,$B474&lt;='111'!$O$11,OR($L474=$O$7,$M474=$O$7)),"x","")</f>
        <v/>
      </c>
      <c r="P474" s="525" t="str">
        <f>IF(AND($L474=$O$7,$B474&lt;'111'!$N$11),"x","")</f>
        <v/>
      </c>
      <c r="Q474" s="525" t="str">
        <f>IF(AND($M474=$O$7,$B474&lt;'111'!$N$11),"x","")</f>
        <v/>
      </c>
      <c r="R474" s="525" t="str">
        <f>IF(ISERROR(FIND('112'!$M$9,G474,1)),"",IF((AND(FIND('112'!$M$9,G474,1)&gt;=1,$B474&gt;='112'!$N$8,$B474&lt;='112'!$O$8,OR($L474='112'!$I$6,$M474='112'!$I$6))),"x",""))</f>
        <v/>
      </c>
      <c r="S474" s="525" t="str">
        <f>IF(ISERROR(FIND('112'!$M$9,G474,1)),"",IF((AND(LEFT(G474,2)=LEFT('112'!$M$9,2),B474&lt;'112'!$N$8,$L474='112'!$I$6)),"x",""))</f>
        <v/>
      </c>
      <c r="T474" s="525" t="str">
        <f>IF(ISERROR(FIND('112'!$M$9,G474,1)),"",IF((AND(RIGHT(G474,2)=RIGHT('112'!$M$9,2),B474&lt;'112'!$N$8,$M474='112'!$I$6)),"x",""))</f>
        <v>x</v>
      </c>
      <c r="U474" s="525" t="str">
        <f>IF(AND(B474&gt;='IN-NX'!$P$3,B474&lt;='IN-NX'!$Q$3,'IN-NX'!$D$7=D474,OR(LEFT(L474,2)="15",AND(LEFT(M474,2)&lt;&gt;"15",LEFT(M474,2)&lt;&gt;"33"))),"x","")</f>
        <v/>
      </c>
      <c r="V474" s="525" t="str">
        <f>IF(AND(OR(LEFT(TH!L474,2)="15",LEFT(TH!M474,2)="15"),'152-CT'!$J$8=TH!F474),"x","")</f>
        <v/>
      </c>
      <c r="W474" s="525" t="str">
        <f>IF(AND(OR(LEFT(TH!L474,2)="15",LEFT(TH!M474,2)="15"),TK!$E$7=TH!F474),"x","")</f>
        <v/>
      </c>
      <c r="X474" s="525" t="str">
        <f>IF(AND('341-CT'!$E$9=H474,OR(LEFT(L474,3)=$X$7,LEFT(M474,3)=$X$7)),"x","")</f>
        <v/>
      </c>
      <c r="Y474" s="525" t="str">
        <f>IF(OR(TH!L474=TH!$Y$7,M474=TH!$Y$7),"x","")</f>
        <v/>
      </c>
      <c r="Z474" s="525" t="str">
        <f>IF(AND(B474&lt;=NKC!$N$8,B474&gt;=NKC!$M$8),"x","")</f>
        <v>x</v>
      </c>
      <c r="AA474" s="535"/>
    </row>
    <row r="475" spans="1:28" s="503" customFormat="1" ht="15.75" customHeight="1">
      <c r="A475" s="517" t="str">
        <f>IF(B475&lt;&gt;"",IF(AND(B475&gt;=_TM1,B475&lt;=_TM2,OR(TH!L475="1111",TH!M475="1111")),TH!D475,""),"")</f>
        <v/>
      </c>
      <c r="B475" s="531">
        <f t="shared" si="57"/>
        <v>3</v>
      </c>
      <c r="C475" s="315">
        <f t="shared" si="58"/>
        <v>42814</v>
      </c>
      <c r="D475" s="315" t="s">
        <v>461</v>
      </c>
      <c r="E475" s="288">
        <v>42814</v>
      </c>
      <c r="F475" s="248" t="s">
        <v>463</v>
      </c>
      <c r="G475" s="314" t="s">
        <v>440</v>
      </c>
      <c r="H475" s="472"/>
      <c r="I475" s="307"/>
      <c r="J475" s="307"/>
      <c r="K475" s="532">
        <v>31951</v>
      </c>
      <c r="L475" s="533" t="s">
        <v>81</v>
      </c>
      <c r="M475" s="533" t="s">
        <v>24</v>
      </c>
      <c r="N475" s="525" t="str">
        <f>IF(AND('331-CT'!$E$7=TH!H475,OR(L475="331",M475="331")),"331",IF(AND(OR(L475="131",M475="131"),H475='131-CT'!$E$7),"131",""))</f>
        <v/>
      </c>
      <c r="O475" s="525" t="str">
        <f>IF(AND($B475&gt;='111'!$N$11,$B475&lt;='111'!$O$11,OR($L475=$O$7,$M475=$O$7)),"x","")</f>
        <v/>
      </c>
      <c r="P475" s="525" t="str">
        <f>IF(AND($L475=$O$7,$B475&lt;'111'!$N$11),"x","")</f>
        <v/>
      </c>
      <c r="Q475" s="525" t="str">
        <f>IF(AND($M475=$O$7,$B475&lt;'111'!$N$11),"x","")</f>
        <v/>
      </c>
      <c r="R475" s="525" t="str">
        <f>IF(ISERROR(FIND('112'!$M$9,G475,1)),"",IF((AND(FIND('112'!$M$9,G475,1)&gt;=1,$B475&gt;='112'!$N$8,$B475&lt;='112'!$O$8,OR($L475='112'!$I$6,$M475='112'!$I$6))),"x",""))</f>
        <v/>
      </c>
      <c r="S475" s="525" t="str">
        <f>IF(ISERROR(FIND('112'!$M$9,G475,1)),"",IF((AND(LEFT(G475,2)=LEFT('112'!$M$9,2),B475&lt;'112'!$N$8,$L475='112'!$I$6)),"x",""))</f>
        <v/>
      </c>
      <c r="T475" s="525" t="str">
        <f>IF(ISERROR(FIND('112'!$M$9,G475,1)),"",IF((AND(RIGHT(G475,2)=RIGHT('112'!$M$9,2),B475&lt;'112'!$N$8,$M475='112'!$I$6)),"x",""))</f>
        <v>x</v>
      </c>
      <c r="U475" s="525" t="str">
        <f>IF(AND(B475&gt;='IN-NX'!$P$3,B475&lt;='IN-NX'!$Q$3,'IN-NX'!$D$7=D475,OR(LEFT(L475,2)="15",AND(LEFT(M475,2)&lt;&gt;"15",LEFT(M475,2)&lt;&gt;"33"))),"x","")</f>
        <v/>
      </c>
      <c r="V475" s="525" t="str">
        <f>IF(AND(OR(LEFT(TH!L475,2)="15",LEFT(TH!M475,2)="15"),'152-CT'!$J$8=TH!F475),"x","")</f>
        <v/>
      </c>
      <c r="W475" s="525" t="str">
        <f>IF(AND(OR(LEFT(TH!L475,2)="15",LEFT(TH!M475,2)="15"),TK!$E$7=TH!F475),"x","")</f>
        <v/>
      </c>
      <c r="X475" s="525" t="str">
        <f>IF(AND('341-CT'!$E$9=H475,OR(LEFT(L475,3)=$X$7,LEFT(M475,3)=$X$7)),"x","")</f>
        <v/>
      </c>
      <c r="Y475" s="525" t="str">
        <f>IF(OR(TH!L475=TH!$Y$7,M475=TH!$Y$7),"x","")</f>
        <v/>
      </c>
      <c r="Z475" s="525" t="str">
        <f>IF(AND(B475&lt;=NKC!$N$8,B475&gt;=NKC!$M$8),"x","")</f>
        <v>x</v>
      </c>
      <c r="AA475" s="535">
        <v>1</v>
      </c>
    </row>
    <row r="476" spans="1:28" s="503" customFormat="1" ht="15.75" customHeight="1">
      <c r="A476" s="517" t="str">
        <f>IF(B476&lt;&gt;"",IF(AND(B476&gt;=_TM1,B476&lt;=_TM2,OR(TH!L476="1111",TH!M476="1111")),TH!D476,""),"")</f>
        <v/>
      </c>
      <c r="B476" s="531">
        <f t="shared" si="57"/>
        <v>3</v>
      </c>
      <c r="C476" s="315">
        <f t="shared" si="58"/>
        <v>42814</v>
      </c>
      <c r="D476" s="315" t="s">
        <v>461</v>
      </c>
      <c r="E476" s="288">
        <v>42814</v>
      </c>
      <c r="F476" s="248" t="s">
        <v>464</v>
      </c>
      <c r="G476" s="314" t="s">
        <v>440</v>
      </c>
      <c r="H476" s="472"/>
      <c r="I476" s="307"/>
      <c r="J476" s="307"/>
      <c r="K476" s="532">
        <v>3195</v>
      </c>
      <c r="L476" s="533" t="s">
        <v>9</v>
      </c>
      <c r="M476" s="533" t="s">
        <v>24</v>
      </c>
      <c r="N476" s="525" t="str">
        <f>IF(AND('331-CT'!$E$7=TH!H476,OR(L476="331",M476="331")),"331",IF(AND(OR(L476="131",M476="131"),H476='131-CT'!$E$7),"131",""))</f>
        <v/>
      </c>
      <c r="O476" s="525" t="str">
        <f>IF(AND($B476&gt;='111'!$N$11,$B476&lt;='111'!$O$11,OR($L476=$O$7,$M476=$O$7)),"x","")</f>
        <v/>
      </c>
      <c r="P476" s="525" t="str">
        <f>IF(AND($L476=$O$7,$B476&lt;'111'!$N$11),"x","")</f>
        <v/>
      </c>
      <c r="Q476" s="525" t="str">
        <f>IF(AND($M476=$O$7,$B476&lt;'111'!$N$11),"x","")</f>
        <v/>
      </c>
      <c r="R476" s="525" t="str">
        <f>IF(ISERROR(FIND('112'!$M$9,G476,1)),"",IF((AND(FIND('112'!$M$9,G476,1)&gt;=1,$B476&gt;='112'!$N$8,$B476&lt;='112'!$O$8,OR($L476='112'!$I$6,$M476='112'!$I$6))),"x",""))</f>
        <v/>
      </c>
      <c r="S476" s="525" t="str">
        <f>IF(ISERROR(FIND('112'!$M$9,G476,1)),"",IF((AND(LEFT(G476,2)=LEFT('112'!$M$9,2),B476&lt;'112'!$N$8,$L476='112'!$I$6)),"x",""))</f>
        <v/>
      </c>
      <c r="T476" s="525" t="str">
        <f>IF(ISERROR(FIND('112'!$M$9,G476,1)),"",IF((AND(RIGHT(G476,2)=RIGHT('112'!$M$9,2),B476&lt;'112'!$N$8,$M476='112'!$I$6)),"x",""))</f>
        <v>x</v>
      </c>
      <c r="U476" s="525" t="str">
        <f>IF(AND(B476&gt;='IN-NX'!$P$3,B476&lt;='IN-NX'!$Q$3,'IN-NX'!$D$7=D476,OR(LEFT(L476,2)="15",AND(LEFT(M476,2)&lt;&gt;"15",LEFT(M476,2)&lt;&gt;"33"))),"x","")</f>
        <v/>
      </c>
      <c r="V476" s="525" t="str">
        <f>IF(AND(OR(LEFT(TH!L476,2)="15",LEFT(TH!M476,2)="15"),'152-CT'!$J$8=TH!F476),"x","")</f>
        <v/>
      </c>
      <c r="W476" s="525" t="str">
        <f>IF(AND(OR(LEFT(TH!L476,2)="15",LEFT(TH!M476,2)="15"),TK!$E$7=TH!F476),"x","")</f>
        <v/>
      </c>
      <c r="X476" s="525" t="str">
        <f>IF(AND('341-CT'!$E$9=H476,OR(LEFT(L476,3)=$X$7,LEFT(M476,3)=$X$7)),"x","")</f>
        <v/>
      </c>
      <c r="Y476" s="525" t="str">
        <f>IF(OR(TH!L476=TH!$Y$7,M476=TH!$Y$7),"x","")</f>
        <v/>
      </c>
      <c r="Z476" s="525" t="str">
        <f>IF(AND(B476&lt;=NKC!$N$8,B476&gt;=NKC!$M$8),"x","")</f>
        <v>x</v>
      </c>
      <c r="AA476" s="535">
        <v>1</v>
      </c>
    </row>
    <row r="477" spans="1:28" s="503" customFormat="1" ht="15.75" customHeight="1">
      <c r="A477" s="517" t="str">
        <f>IF(B477&lt;&gt;"",IF(AND(B477&gt;=_TM1,B477&lt;=_TM2,OR(TH!L477="1111",TH!M477="1111")),TH!D477,""),"")</f>
        <v/>
      </c>
      <c r="B477" s="531">
        <f t="shared" si="57"/>
        <v>3</v>
      </c>
      <c r="C477" s="315">
        <f t="shared" si="58"/>
        <v>42814</v>
      </c>
      <c r="D477" s="315" t="s">
        <v>461</v>
      </c>
      <c r="E477" s="288">
        <v>42814</v>
      </c>
      <c r="F477" s="249" t="s">
        <v>828</v>
      </c>
      <c r="G477" s="314" t="s">
        <v>440</v>
      </c>
      <c r="H477" s="621" t="s">
        <v>1272</v>
      </c>
      <c r="I477" s="307"/>
      <c r="J477" s="307"/>
      <c r="K477" s="532">
        <v>1298376</v>
      </c>
      <c r="L477" s="533" t="s">
        <v>79</v>
      </c>
      <c r="M477" s="533" t="s">
        <v>24</v>
      </c>
      <c r="N477" s="525" t="str">
        <f>IF(AND('331-CT'!$E$7=TH!H477,OR(L477="331",M477="331")),"331",IF(AND(OR(L477="131",M477="131"),H477='131-CT'!$E$7),"131",""))</f>
        <v/>
      </c>
      <c r="O477" s="525" t="str">
        <f>IF(AND($B477&gt;='111'!$N$11,$B477&lt;='111'!$O$11,OR($L477=$O$7,$M477=$O$7)),"x","")</f>
        <v/>
      </c>
      <c r="P477" s="525" t="str">
        <f>IF(AND($L477=$O$7,$B477&lt;'111'!$N$11),"x","")</f>
        <v/>
      </c>
      <c r="Q477" s="525" t="str">
        <f>IF(AND($M477=$O$7,$B477&lt;'111'!$N$11),"x","")</f>
        <v/>
      </c>
      <c r="R477" s="525" t="str">
        <f>IF(ISERROR(FIND('112'!$M$9,G477,1)),"",IF((AND(FIND('112'!$M$9,G477,1)&gt;=1,$B477&gt;='112'!$N$8,$B477&lt;='112'!$O$8,OR($L477='112'!$I$6,$M477='112'!$I$6))),"x",""))</f>
        <v/>
      </c>
      <c r="S477" s="525" t="str">
        <f>IF(ISERROR(FIND('112'!$M$9,G477,1)),"",IF((AND(LEFT(G477,2)=LEFT('112'!$M$9,2),B477&lt;'112'!$N$8,$L477='112'!$I$6)),"x",""))</f>
        <v/>
      </c>
      <c r="T477" s="525" t="str">
        <f>IF(ISERROR(FIND('112'!$M$9,G477,1)),"",IF((AND(RIGHT(G477,2)=RIGHT('112'!$M$9,2),B477&lt;'112'!$N$8,$M477='112'!$I$6)),"x",""))</f>
        <v>x</v>
      </c>
      <c r="U477" s="525" t="str">
        <f>IF(AND(B477&gt;='IN-NX'!$P$3,B477&lt;='IN-NX'!$Q$3,'IN-NX'!$D$7=D477,OR(LEFT(L477,2)="15",AND(LEFT(M477,2)&lt;&gt;"15",LEFT(M477,2)&lt;&gt;"33"))),"x","")</f>
        <v/>
      </c>
      <c r="V477" s="525" t="str">
        <f>IF(AND(OR(LEFT(TH!L477,2)="15",LEFT(TH!M477,2)="15"),'152-CT'!$J$8=TH!F477),"x","")</f>
        <v/>
      </c>
      <c r="W477" s="525" t="str">
        <f>IF(AND(OR(LEFT(TH!L477,2)="15",LEFT(TH!M477,2)="15"),TK!$E$7=TH!F477),"x","")</f>
        <v/>
      </c>
      <c r="X477" s="525" t="str">
        <f>IF(AND('341-CT'!$E$9=H477,OR(LEFT(L477,3)=$X$7,LEFT(M477,3)=$X$7)),"x","")</f>
        <v/>
      </c>
      <c r="Y477" s="525" t="str">
        <f>IF(OR(TH!L477=TH!$Y$7,M477=TH!$Y$7),"x","")</f>
        <v/>
      </c>
      <c r="Z477" s="525" t="str">
        <f>IF(AND(B477&lt;=NKC!$N$8,B477&gt;=NKC!$M$8),"x","")</f>
        <v>x</v>
      </c>
      <c r="AA477" s="535"/>
      <c r="AB477" s="536"/>
    </row>
    <row r="478" spans="1:28" s="503" customFormat="1" ht="15.75" customHeight="1">
      <c r="A478" s="517" t="str">
        <f>IF(B478&lt;&gt;"",IF(AND(B478&gt;=_TM1,B478&lt;=_TM2,OR(TH!L478="1111",TH!M478="1111")),TH!D478,""),"")</f>
        <v/>
      </c>
      <c r="B478" s="531">
        <f t="shared" si="57"/>
        <v>3</v>
      </c>
      <c r="C478" s="315">
        <f t="shared" si="58"/>
        <v>42814</v>
      </c>
      <c r="D478" s="315" t="s">
        <v>461</v>
      </c>
      <c r="E478" s="288">
        <v>42814</v>
      </c>
      <c r="F478" s="249" t="s">
        <v>829</v>
      </c>
      <c r="G478" s="314" t="s">
        <v>440</v>
      </c>
      <c r="H478" s="621" t="s">
        <v>1272</v>
      </c>
      <c r="I478" s="307"/>
      <c r="J478" s="307"/>
      <c r="K478" s="532">
        <v>11140000</v>
      </c>
      <c r="L478" s="534" t="s">
        <v>441</v>
      </c>
      <c r="M478" s="533" t="s">
        <v>24</v>
      </c>
      <c r="N478" s="525" t="str">
        <f>IF(AND('331-CT'!$E$7=TH!H478,OR(L478="331",M478="331")),"331",IF(AND(OR(L478="131",M478="131"),H478='131-CT'!$E$7),"131",""))</f>
        <v/>
      </c>
      <c r="O478" s="525" t="str">
        <f>IF(AND($B478&gt;='111'!$N$11,$B478&lt;='111'!$O$11,OR($L478=$O$7,$M478=$O$7)),"x","")</f>
        <v/>
      </c>
      <c r="P478" s="525" t="str">
        <f>IF(AND($L478=$O$7,$B478&lt;'111'!$N$11),"x","")</f>
        <v/>
      </c>
      <c r="Q478" s="525" t="str">
        <f>IF(AND($M478=$O$7,$B478&lt;'111'!$N$11),"x","")</f>
        <v/>
      </c>
      <c r="R478" s="525" t="str">
        <f>IF(ISERROR(FIND('112'!$M$9,G478,1)),"",IF((AND(FIND('112'!$M$9,G478,1)&gt;=1,$B478&gt;='112'!$N$8,$B478&lt;='112'!$O$8,OR($L478='112'!$I$6,$M478='112'!$I$6))),"x",""))</f>
        <v/>
      </c>
      <c r="S478" s="525" t="str">
        <f>IF(ISERROR(FIND('112'!$M$9,G478,1)),"",IF((AND(LEFT(G478,2)=LEFT('112'!$M$9,2),B478&lt;'112'!$N$8,$L478='112'!$I$6)),"x",""))</f>
        <v/>
      </c>
      <c r="T478" s="525" t="str">
        <f>IF(ISERROR(FIND('112'!$M$9,G478,1)),"",IF((AND(RIGHT(G478,2)=RIGHT('112'!$M$9,2),B478&lt;'112'!$N$8,$M478='112'!$I$6)),"x",""))</f>
        <v>x</v>
      </c>
      <c r="U478" s="525" t="str">
        <f>IF(AND(B478&gt;='IN-NX'!$P$3,B478&lt;='IN-NX'!$Q$3,'IN-NX'!$D$7=D478,OR(LEFT(L478,2)="15",AND(LEFT(M478,2)&lt;&gt;"15",LEFT(M478,2)&lt;&gt;"33"))),"x","")</f>
        <v/>
      </c>
      <c r="V478" s="525" t="str">
        <f>IF(AND(OR(LEFT(TH!L478,2)="15",LEFT(TH!M478,2)="15"),'152-CT'!$J$8=TH!F478),"x","")</f>
        <v/>
      </c>
      <c r="W478" s="525" t="str">
        <f>IF(AND(OR(LEFT(TH!L478,2)="15",LEFT(TH!M478,2)="15"),TK!$E$7=TH!F478),"x","")</f>
        <v/>
      </c>
      <c r="X478" s="525" t="str">
        <f>IF(AND('341-CT'!$E$9=H478,OR(LEFT(L478,3)=$X$7,LEFT(M478,3)=$X$7)),"x","")</f>
        <v/>
      </c>
      <c r="Y478" s="525" t="str">
        <f>IF(OR(TH!L478=TH!$Y$7,M478=TH!$Y$7),"x","")</f>
        <v/>
      </c>
      <c r="Z478" s="525" t="str">
        <f>IF(AND(B478&lt;=NKC!$N$8,B478&gt;=NKC!$M$8),"x","")</f>
        <v>x</v>
      </c>
      <c r="AA478" s="535"/>
    </row>
    <row r="479" spans="1:28" s="503" customFormat="1" ht="15.75" customHeight="1">
      <c r="A479" s="517" t="str">
        <f>IF(B479&lt;&gt;"",IF(AND(B479&gt;=_TM1,B479&lt;=_TM2,OR(TH!L479="1111",TH!M479="1111")),TH!D479,""),"")</f>
        <v/>
      </c>
      <c r="B479" s="531">
        <f t="shared" si="57"/>
        <v>3</v>
      </c>
      <c r="C479" s="315">
        <f t="shared" si="58"/>
        <v>42814</v>
      </c>
      <c r="D479" s="315" t="s">
        <v>461</v>
      </c>
      <c r="E479" s="288">
        <v>42814</v>
      </c>
      <c r="F479" s="249" t="s">
        <v>828</v>
      </c>
      <c r="G479" s="314" t="s">
        <v>440</v>
      </c>
      <c r="H479" s="621" t="s">
        <v>1271</v>
      </c>
      <c r="I479" s="307"/>
      <c r="J479" s="307"/>
      <c r="K479" s="532">
        <v>2719111</v>
      </c>
      <c r="L479" s="533" t="s">
        <v>79</v>
      </c>
      <c r="M479" s="533" t="s">
        <v>24</v>
      </c>
      <c r="N479" s="525" t="str">
        <f>IF(AND('331-CT'!$E$7=TH!H479,OR(L479="331",M479="331")),"331",IF(AND(OR(L479="131",M479="131"),H479='131-CT'!$E$7),"131",""))</f>
        <v/>
      </c>
      <c r="O479" s="525" t="str">
        <f>IF(AND($B479&gt;='111'!$N$11,$B479&lt;='111'!$O$11,OR($L479=$O$7,$M479=$O$7)),"x","")</f>
        <v/>
      </c>
      <c r="P479" s="525" t="str">
        <f>IF(AND($L479=$O$7,$B479&lt;'111'!$N$11),"x","")</f>
        <v/>
      </c>
      <c r="Q479" s="525" t="str">
        <f>IF(AND($M479=$O$7,$B479&lt;'111'!$N$11),"x","")</f>
        <v/>
      </c>
      <c r="R479" s="525" t="str">
        <f>IF(ISERROR(FIND('112'!$M$9,G479,1)),"",IF((AND(FIND('112'!$M$9,G479,1)&gt;=1,$B479&gt;='112'!$N$8,$B479&lt;='112'!$O$8,OR($L479='112'!$I$6,$M479='112'!$I$6))),"x",""))</f>
        <v/>
      </c>
      <c r="S479" s="525" t="str">
        <f>IF(ISERROR(FIND('112'!$M$9,G479,1)),"",IF((AND(LEFT(G479,2)=LEFT('112'!$M$9,2),B479&lt;'112'!$N$8,$L479='112'!$I$6)),"x",""))</f>
        <v/>
      </c>
      <c r="T479" s="525" t="str">
        <f>IF(ISERROR(FIND('112'!$M$9,G479,1)),"",IF((AND(RIGHT(G479,2)=RIGHT('112'!$M$9,2),B479&lt;'112'!$N$8,$M479='112'!$I$6)),"x",""))</f>
        <v>x</v>
      </c>
      <c r="U479" s="525" t="str">
        <f>IF(AND(B479&gt;='IN-NX'!$P$3,B479&lt;='IN-NX'!$Q$3,'IN-NX'!$D$7=D479,OR(LEFT(L479,2)="15",AND(LEFT(M479,2)&lt;&gt;"15",LEFT(M479,2)&lt;&gt;"33"))),"x","")</f>
        <v/>
      </c>
      <c r="V479" s="525" t="str">
        <f>IF(AND(OR(LEFT(TH!L479,2)="15",LEFT(TH!M479,2)="15"),'152-CT'!$J$8=TH!F479),"x","")</f>
        <v/>
      </c>
      <c r="W479" s="525" t="str">
        <f>IF(AND(OR(LEFT(TH!L479,2)="15",LEFT(TH!M479,2)="15"),TK!$E$7=TH!F479),"x","")</f>
        <v/>
      </c>
      <c r="X479" s="525" t="str">
        <f>IF(AND('341-CT'!$E$9=H479,OR(LEFT(L479,3)=$X$7,LEFT(M479,3)=$X$7)),"x","")</f>
        <v/>
      </c>
      <c r="Y479" s="525" t="str">
        <f>IF(OR(TH!L479=TH!$Y$7,M479=TH!$Y$7),"x","")</f>
        <v/>
      </c>
      <c r="Z479" s="525" t="str">
        <f>IF(AND(B479&lt;=NKC!$N$8,B479&gt;=NKC!$M$8),"x","")</f>
        <v>x</v>
      </c>
      <c r="AA479" s="535"/>
    </row>
    <row r="480" spans="1:28" s="503" customFormat="1" ht="15.75" customHeight="1">
      <c r="A480" s="517" t="str">
        <f>IF(B480&lt;&gt;"",IF(AND(B480&gt;=_TM1,B480&lt;=_TM2,OR(TH!L480="1111",TH!M480="1111")),TH!D480,""),"")</f>
        <v/>
      </c>
      <c r="B480" s="531">
        <f t="shared" si="57"/>
        <v>3</v>
      </c>
      <c r="C480" s="315">
        <f t="shared" si="58"/>
        <v>42814</v>
      </c>
      <c r="D480" s="315" t="s">
        <v>461</v>
      </c>
      <c r="E480" s="288">
        <v>42814</v>
      </c>
      <c r="F480" s="249" t="s">
        <v>829</v>
      </c>
      <c r="G480" s="314" t="s">
        <v>440</v>
      </c>
      <c r="H480" s="621" t="s">
        <v>1271</v>
      </c>
      <c r="I480" s="307"/>
      <c r="J480" s="307"/>
      <c r="K480" s="532">
        <v>22170000</v>
      </c>
      <c r="L480" s="534" t="s">
        <v>441</v>
      </c>
      <c r="M480" s="533" t="s">
        <v>24</v>
      </c>
      <c r="N480" s="525" t="str">
        <f>IF(AND('331-CT'!$E$7=TH!H480,OR(L480="331",M480="331")),"331",IF(AND(OR(L480="131",M480="131"),H480='131-CT'!$E$7),"131",""))</f>
        <v/>
      </c>
      <c r="O480" s="525" t="str">
        <f>IF(AND($B480&gt;='111'!$N$11,$B480&lt;='111'!$O$11,OR($L480=$O$7,$M480=$O$7)),"x","")</f>
        <v/>
      </c>
      <c r="P480" s="525" t="str">
        <f>IF(AND($L480=$O$7,$B480&lt;'111'!$N$11),"x","")</f>
        <v/>
      </c>
      <c r="Q480" s="525" t="str">
        <f>IF(AND($M480=$O$7,$B480&lt;'111'!$N$11),"x","")</f>
        <v/>
      </c>
      <c r="R480" s="525" t="str">
        <f>IF(ISERROR(FIND('112'!$M$9,G480,1)),"",IF((AND(FIND('112'!$M$9,G480,1)&gt;=1,$B480&gt;='112'!$N$8,$B480&lt;='112'!$O$8,OR($L480='112'!$I$6,$M480='112'!$I$6))),"x",""))</f>
        <v/>
      </c>
      <c r="S480" s="525" t="str">
        <f>IF(ISERROR(FIND('112'!$M$9,G480,1)),"",IF((AND(LEFT(G480,2)=LEFT('112'!$M$9,2),B480&lt;'112'!$N$8,$L480='112'!$I$6)),"x",""))</f>
        <v/>
      </c>
      <c r="T480" s="525" t="str">
        <f>IF(ISERROR(FIND('112'!$M$9,G480,1)),"",IF((AND(RIGHT(G480,2)=RIGHT('112'!$M$9,2),B480&lt;'112'!$N$8,$M480='112'!$I$6)),"x",""))</f>
        <v>x</v>
      </c>
      <c r="U480" s="525" t="str">
        <f>IF(AND(B480&gt;='IN-NX'!$P$3,B480&lt;='IN-NX'!$Q$3,'IN-NX'!$D$7=D480,OR(LEFT(L480,2)="15",AND(LEFT(M480,2)&lt;&gt;"15",LEFT(M480,2)&lt;&gt;"33"))),"x","")</f>
        <v/>
      </c>
      <c r="V480" s="525" t="str">
        <f>IF(AND(OR(LEFT(TH!L480,2)="15",LEFT(TH!M480,2)="15"),'152-CT'!$J$8=TH!F480),"x","")</f>
        <v/>
      </c>
      <c r="W480" s="525" t="str">
        <f>IF(AND(OR(LEFT(TH!L480,2)="15",LEFT(TH!M480,2)="15"),TK!$E$7=TH!F480),"x","")</f>
        <v/>
      </c>
      <c r="X480" s="525" t="str">
        <f>IF(AND('341-CT'!$E$9=H480,OR(LEFT(L480,3)=$X$7,LEFT(M480,3)=$X$7)),"x","")</f>
        <v>x</v>
      </c>
      <c r="Y480" s="525" t="str">
        <f>IF(OR(TH!L480=TH!$Y$7,M480=TH!$Y$7),"x","")</f>
        <v/>
      </c>
      <c r="Z480" s="525" t="str">
        <f>IF(AND(B480&lt;=NKC!$N$8,B480&gt;=NKC!$M$8),"x","")</f>
        <v>x</v>
      </c>
      <c r="AA480" s="535"/>
    </row>
    <row r="481" spans="1:28" s="503" customFormat="1" ht="15.75" customHeight="1">
      <c r="A481" s="517" t="str">
        <f>IF(B481&lt;&gt;"",IF(AND(B481&gt;=_TM1,B481&lt;=_TM2,OR(TH!L481="1111",TH!M481="1111")),TH!D481,""),"")</f>
        <v/>
      </c>
      <c r="B481" s="531">
        <f t="shared" si="57"/>
        <v>3</v>
      </c>
      <c r="C481" s="315">
        <f t="shared" si="58"/>
        <v>42814</v>
      </c>
      <c r="D481" s="315" t="s">
        <v>461</v>
      </c>
      <c r="E481" s="288">
        <v>42814</v>
      </c>
      <c r="F481" s="249" t="s">
        <v>828</v>
      </c>
      <c r="G481" s="314" t="s">
        <v>440</v>
      </c>
      <c r="H481" s="472" t="s">
        <v>830</v>
      </c>
      <c r="I481" s="307"/>
      <c r="J481" s="307"/>
      <c r="K481" s="532">
        <v>2531761</v>
      </c>
      <c r="L481" s="533" t="s">
        <v>79</v>
      </c>
      <c r="M481" s="533" t="s">
        <v>24</v>
      </c>
      <c r="N481" s="525" t="str">
        <f>IF(AND('331-CT'!$E$7=TH!H481,OR(L481="331",M481="331")),"331",IF(AND(OR(L481="131",M481="131"),H481='131-CT'!$E$7),"131",""))</f>
        <v/>
      </c>
      <c r="O481" s="525" t="str">
        <f>IF(AND($B481&gt;='111'!$N$11,$B481&lt;='111'!$O$11,OR($L481=$O$7,$M481=$O$7)),"x","")</f>
        <v/>
      </c>
      <c r="P481" s="525" t="str">
        <f>IF(AND($L481=$O$7,$B481&lt;'111'!$N$11),"x","")</f>
        <v/>
      </c>
      <c r="Q481" s="525" t="str">
        <f>IF(AND($M481=$O$7,$B481&lt;'111'!$N$11),"x","")</f>
        <v/>
      </c>
      <c r="R481" s="525" t="str">
        <f>IF(ISERROR(FIND('112'!$M$9,G481,1)),"",IF((AND(FIND('112'!$M$9,G481,1)&gt;=1,$B481&gt;='112'!$N$8,$B481&lt;='112'!$O$8,OR($L481='112'!$I$6,$M481='112'!$I$6))),"x",""))</f>
        <v/>
      </c>
      <c r="S481" s="525" t="str">
        <f>IF(ISERROR(FIND('112'!$M$9,G481,1)),"",IF((AND(LEFT(G481,2)=LEFT('112'!$M$9,2),B481&lt;'112'!$N$8,$L481='112'!$I$6)),"x",""))</f>
        <v/>
      </c>
      <c r="T481" s="525" t="str">
        <f>IF(ISERROR(FIND('112'!$M$9,G481,1)),"",IF((AND(RIGHT(G481,2)=RIGHT('112'!$M$9,2),B481&lt;'112'!$N$8,$M481='112'!$I$6)),"x",""))</f>
        <v>x</v>
      </c>
      <c r="U481" s="525" t="str">
        <f>IF(AND(B481&gt;='IN-NX'!$P$3,B481&lt;='IN-NX'!$Q$3,'IN-NX'!$D$7=D481,OR(LEFT(L481,2)="15",AND(LEFT(M481,2)&lt;&gt;"15",LEFT(M481,2)&lt;&gt;"33"))),"x","")</f>
        <v/>
      </c>
      <c r="V481" s="525" t="str">
        <f>IF(AND(OR(LEFT(TH!L481,2)="15",LEFT(TH!M481,2)="15"),'152-CT'!$J$8=TH!F481),"x","")</f>
        <v/>
      </c>
      <c r="W481" s="525" t="str">
        <f>IF(AND(OR(LEFT(TH!L481,2)="15",LEFT(TH!M481,2)="15"),TK!$E$7=TH!F481),"x","")</f>
        <v/>
      </c>
      <c r="X481" s="525" t="str">
        <f>IF(AND('341-CT'!$E$9=H481,OR(LEFT(L481,3)=$X$7,LEFT(M481,3)=$X$7)),"x","")</f>
        <v/>
      </c>
      <c r="Y481" s="525" t="str">
        <f>IF(OR(TH!L481=TH!$Y$7,M481=TH!$Y$7),"x","")</f>
        <v/>
      </c>
      <c r="Z481" s="525" t="str">
        <f>IF(AND(B481&lt;=NKC!$N$8,B481&gt;=NKC!$M$8),"x","")</f>
        <v>x</v>
      </c>
      <c r="AA481" s="535"/>
    </row>
    <row r="482" spans="1:28" s="503" customFormat="1" ht="15.75" customHeight="1">
      <c r="A482" s="517" t="str">
        <f>IF(B482&lt;&gt;"",IF(AND(B482&gt;=_TM1,B482&lt;=_TM2,OR(TH!L482="1111",TH!M482="1111")),TH!D482,""),"")</f>
        <v/>
      </c>
      <c r="B482" s="531">
        <f t="shared" si="57"/>
        <v>3</v>
      </c>
      <c r="C482" s="315">
        <f t="shared" si="58"/>
        <v>42814</v>
      </c>
      <c r="D482" s="315" t="s">
        <v>461</v>
      </c>
      <c r="E482" s="288">
        <v>42814</v>
      </c>
      <c r="F482" s="249" t="s">
        <v>829</v>
      </c>
      <c r="G482" s="314" t="s">
        <v>440</v>
      </c>
      <c r="H482" s="472" t="s">
        <v>830</v>
      </c>
      <c r="I482" s="307"/>
      <c r="J482" s="307"/>
      <c r="K482" s="532">
        <v>9420000</v>
      </c>
      <c r="L482" s="534" t="s">
        <v>441</v>
      </c>
      <c r="M482" s="533" t="s">
        <v>24</v>
      </c>
      <c r="N482" s="525" t="str">
        <f>IF(AND('331-CT'!$E$7=TH!H482,OR(L482="331",M482="331")),"331",IF(AND(OR(L482="131",M482="131"),H482='131-CT'!$E$7),"131",""))</f>
        <v/>
      </c>
      <c r="O482" s="525" t="str">
        <f>IF(AND($B482&gt;='111'!$N$11,$B482&lt;='111'!$O$11,OR($L482=$O$7,$M482=$O$7)),"x","")</f>
        <v/>
      </c>
      <c r="P482" s="525" t="str">
        <f>IF(AND($L482=$O$7,$B482&lt;'111'!$N$11),"x","")</f>
        <v/>
      </c>
      <c r="Q482" s="525" t="str">
        <f>IF(AND($M482=$O$7,$B482&lt;'111'!$N$11),"x","")</f>
        <v/>
      </c>
      <c r="R482" s="525" t="str">
        <f>IF(ISERROR(FIND('112'!$M$9,G482,1)),"",IF((AND(FIND('112'!$M$9,G482,1)&gt;=1,$B482&gt;='112'!$N$8,$B482&lt;='112'!$O$8,OR($L482='112'!$I$6,$M482='112'!$I$6))),"x",""))</f>
        <v/>
      </c>
      <c r="S482" s="525" t="str">
        <f>IF(ISERROR(FIND('112'!$M$9,G482,1)),"",IF((AND(LEFT(G482,2)=LEFT('112'!$M$9,2),B482&lt;'112'!$N$8,$L482='112'!$I$6)),"x",""))</f>
        <v/>
      </c>
      <c r="T482" s="525" t="str">
        <f>IF(ISERROR(FIND('112'!$M$9,G482,1)),"",IF((AND(RIGHT(G482,2)=RIGHT('112'!$M$9,2),B482&lt;'112'!$N$8,$M482='112'!$I$6)),"x",""))</f>
        <v>x</v>
      </c>
      <c r="U482" s="525" t="str">
        <f>IF(AND(B482&gt;='IN-NX'!$P$3,B482&lt;='IN-NX'!$Q$3,'IN-NX'!$D$7=D482,OR(LEFT(L482,2)="15",AND(LEFT(M482,2)&lt;&gt;"15",LEFT(M482,2)&lt;&gt;"33"))),"x","")</f>
        <v/>
      </c>
      <c r="V482" s="525" t="str">
        <f>IF(AND(OR(LEFT(TH!L482,2)="15",LEFT(TH!M482,2)="15"),'152-CT'!$J$8=TH!F482),"x","")</f>
        <v/>
      </c>
      <c r="W482" s="525" t="str">
        <f>IF(AND(OR(LEFT(TH!L482,2)="15",LEFT(TH!M482,2)="15"),TK!$E$7=TH!F482),"x","")</f>
        <v/>
      </c>
      <c r="X482" s="525" t="str">
        <f>IF(AND('341-CT'!$E$9=H482,OR(LEFT(L482,3)=$X$7,LEFT(M482,3)=$X$7)),"x","")</f>
        <v/>
      </c>
      <c r="Y482" s="525" t="str">
        <f>IF(OR(TH!L482=TH!$Y$7,M482=TH!$Y$7),"x","")</f>
        <v/>
      </c>
      <c r="Z482" s="525" t="str">
        <f>IF(AND(B482&lt;=NKC!$N$8,B482&gt;=NKC!$M$8),"x","")</f>
        <v>x</v>
      </c>
      <c r="AA482" s="535"/>
    </row>
    <row r="483" spans="1:28" s="503" customFormat="1" ht="15.75" customHeight="1">
      <c r="A483" s="517" t="str">
        <f>IF(B483&lt;&gt;"",IF(AND(B483&gt;=_TM1,B483&lt;=_TM2,OR(TH!L483="1111",TH!M483="1111")),TH!D483,""),"")</f>
        <v>GBN</v>
      </c>
      <c r="B483" s="531">
        <f t="shared" si="57"/>
        <v>3</v>
      </c>
      <c r="C483" s="315">
        <f t="shared" si="58"/>
        <v>42818</v>
      </c>
      <c r="D483" s="315" t="s">
        <v>461</v>
      </c>
      <c r="E483" s="288">
        <v>42818</v>
      </c>
      <c r="F483" s="249" t="s">
        <v>827</v>
      </c>
      <c r="G483" s="314" t="s">
        <v>440</v>
      </c>
      <c r="H483" s="473" t="s">
        <v>460</v>
      </c>
      <c r="I483" s="307"/>
      <c r="J483" s="307"/>
      <c r="K483" s="532">
        <v>18000000</v>
      </c>
      <c r="L483" s="533" t="s">
        <v>45</v>
      </c>
      <c r="M483" s="533" t="s">
        <v>24</v>
      </c>
      <c r="N483" s="525" t="str">
        <f>IF(AND('331-CT'!$E$7=TH!H483,OR(L483="331",M483="331")),"331",IF(AND(OR(L483="131",M483="131"),H483='131-CT'!$E$7),"131",""))</f>
        <v/>
      </c>
      <c r="O483" s="525" t="str">
        <f>IF(AND($B483&gt;='111'!$N$11,$B483&lt;='111'!$O$11,OR($L483=$O$7,$M483=$O$7)),"x","")</f>
        <v/>
      </c>
      <c r="P483" s="525" t="str">
        <f>IF(AND($L483=$O$7,$B483&lt;'111'!$N$11),"x","")</f>
        <v>x</v>
      </c>
      <c r="Q483" s="525" t="str">
        <f>IF(AND($M483=$O$7,$B483&lt;'111'!$N$11),"x","")</f>
        <v/>
      </c>
      <c r="R483" s="525" t="str">
        <f>IF(ISERROR(FIND('112'!$M$9,G483,1)),"",IF((AND(FIND('112'!$M$9,G483,1)&gt;=1,$B483&gt;='112'!$N$8,$B483&lt;='112'!$O$8,OR($L483='112'!$I$6,$M483='112'!$I$6))),"x",""))</f>
        <v/>
      </c>
      <c r="S483" s="525" t="str">
        <f>IF(ISERROR(FIND('112'!$M$9,G483,1)),"",IF((AND(LEFT(G483,2)=LEFT('112'!$M$9,2),B483&lt;'112'!$N$8,$L483='112'!$I$6)),"x",""))</f>
        <v/>
      </c>
      <c r="T483" s="525" t="str">
        <f>IF(ISERROR(FIND('112'!$M$9,G483,1)),"",IF((AND(RIGHT(G483,2)=RIGHT('112'!$M$9,2),B483&lt;'112'!$N$8,$M483='112'!$I$6)),"x",""))</f>
        <v>x</v>
      </c>
      <c r="U483" s="525" t="str">
        <f>IF(AND(B483&gt;='IN-NX'!$P$3,B483&lt;='IN-NX'!$Q$3,'IN-NX'!$D$7=D483,OR(LEFT(L483,2)="15",AND(LEFT(M483,2)&lt;&gt;"15",LEFT(M483,2)&lt;&gt;"33"))),"x","")</f>
        <v/>
      </c>
      <c r="V483" s="525" t="str">
        <f>IF(AND(OR(LEFT(TH!L483,2)="15",LEFT(TH!M483,2)="15"),'152-CT'!$J$8=TH!F483),"x","")</f>
        <v/>
      </c>
      <c r="W483" s="525" t="str">
        <f>IF(AND(OR(LEFT(TH!L483,2)="15",LEFT(TH!M483,2)="15"),TK!$E$7=TH!F483),"x","")</f>
        <v/>
      </c>
      <c r="X483" s="525" t="str">
        <f>IF(AND('341-CT'!$E$9=H483,OR(LEFT(L483,3)=$X$7,LEFT(M483,3)=$X$7)),"x","")</f>
        <v/>
      </c>
      <c r="Y483" s="525" t="str">
        <f>IF(OR(TH!L483=TH!$Y$7,M483=TH!$Y$7),"x","")</f>
        <v/>
      </c>
      <c r="Z483" s="525" t="str">
        <f>IF(AND(B483&lt;=NKC!$N$8,B483&gt;=NKC!$M$8),"x","")</f>
        <v>x</v>
      </c>
      <c r="AA483" s="535"/>
      <c r="AB483" s="536"/>
    </row>
    <row r="484" spans="1:28" s="503" customFormat="1" ht="15.75" customHeight="1">
      <c r="A484" s="517" t="str">
        <f>IF(B484&lt;&gt;"",IF(AND(B484&gt;=_TM1,B484&lt;=_TM2,OR(TH!L484="1111",TH!M484="1111")),TH!D484,""),"")</f>
        <v/>
      </c>
      <c r="B484" s="531">
        <f t="shared" si="57"/>
        <v>3</v>
      </c>
      <c r="C484" s="315">
        <f t="shared" si="58"/>
        <v>42818</v>
      </c>
      <c r="D484" s="315" t="s">
        <v>461</v>
      </c>
      <c r="E484" s="288">
        <v>42818</v>
      </c>
      <c r="F484" s="248" t="s">
        <v>1280</v>
      </c>
      <c r="G484" s="314" t="s">
        <v>440</v>
      </c>
      <c r="H484" s="472"/>
      <c r="I484" s="307"/>
      <c r="J484" s="307"/>
      <c r="K484" s="532">
        <v>36000</v>
      </c>
      <c r="L484" s="533" t="s">
        <v>81</v>
      </c>
      <c r="M484" s="533" t="s">
        <v>24</v>
      </c>
      <c r="N484" s="525" t="str">
        <f>IF(AND('331-CT'!$E$7=TH!H484,OR(L484="331",M484="331")),"331",IF(AND(OR(L484="131",M484="131"),H484='131-CT'!$E$7),"131",""))</f>
        <v/>
      </c>
      <c r="O484" s="525" t="str">
        <f>IF(AND($B484&gt;='111'!$N$11,$B484&lt;='111'!$O$11,OR($L484=$O$7,$M484=$O$7)),"x","")</f>
        <v/>
      </c>
      <c r="P484" s="525" t="str">
        <f>IF(AND($L484=$O$7,$B484&lt;'111'!$N$11),"x","")</f>
        <v/>
      </c>
      <c r="Q484" s="525" t="str">
        <f>IF(AND($M484=$O$7,$B484&lt;'111'!$N$11),"x","")</f>
        <v/>
      </c>
      <c r="R484" s="525" t="str">
        <f>IF(ISERROR(FIND('112'!$M$9,G484,1)),"",IF((AND(FIND('112'!$M$9,G484,1)&gt;=1,$B484&gt;='112'!$N$8,$B484&lt;='112'!$O$8,OR($L484='112'!$I$6,$M484='112'!$I$6))),"x",""))</f>
        <v/>
      </c>
      <c r="S484" s="525" t="str">
        <f>IF(ISERROR(FIND('112'!$M$9,G484,1)),"",IF((AND(LEFT(G484,2)=LEFT('112'!$M$9,2),B484&lt;'112'!$N$8,$L484='112'!$I$6)),"x",""))</f>
        <v/>
      </c>
      <c r="T484" s="525" t="str">
        <f>IF(ISERROR(FIND('112'!$M$9,G484,1)),"",IF((AND(RIGHT(G484,2)=RIGHT('112'!$M$9,2),B484&lt;'112'!$N$8,$M484='112'!$I$6)),"x",""))</f>
        <v>x</v>
      </c>
      <c r="U484" s="525" t="str">
        <f>IF(AND(B484&gt;='IN-NX'!$P$3,B484&lt;='IN-NX'!$Q$3,'IN-NX'!$D$7=D484,OR(LEFT(L484,2)="15",AND(LEFT(M484,2)&lt;&gt;"15",LEFT(M484,2)&lt;&gt;"33"))),"x","")</f>
        <v/>
      </c>
      <c r="V484" s="525" t="str">
        <f>IF(AND(OR(LEFT(TH!L484,2)="15",LEFT(TH!M484,2)="15"),'152-CT'!$J$8=TH!F484),"x","")</f>
        <v/>
      </c>
      <c r="W484" s="525" t="str">
        <f>IF(AND(OR(LEFT(TH!L484,2)="15",LEFT(TH!M484,2)="15"),TK!$E$7=TH!F484),"x","")</f>
        <v/>
      </c>
      <c r="X484" s="525" t="str">
        <f>IF(AND('341-CT'!$E$9=H484,OR(LEFT(L484,3)=$X$7,LEFT(M484,3)=$X$7)),"x","")</f>
        <v/>
      </c>
      <c r="Y484" s="525" t="str">
        <f>IF(OR(TH!L484=TH!$Y$7,M484=TH!$Y$7),"x","")</f>
        <v/>
      </c>
      <c r="Z484" s="525" t="str">
        <f>IF(AND(B484&lt;=NKC!$N$8,B484&gt;=NKC!$M$8),"x","")</f>
        <v>x</v>
      </c>
      <c r="AA484" s="535">
        <v>2</v>
      </c>
    </row>
    <row r="485" spans="1:28" s="503" customFormat="1" ht="15.75" customHeight="1">
      <c r="A485" s="517" t="str">
        <f>IF(B485&lt;&gt;"",IF(AND(B485&gt;=_TM1,B485&lt;=_TM2,OR(TH!L485="1111",TH!M485="1111")),TH!D485,""),"")</f>
        <v/>
      </c>
      <c r="B485" s="531">
        <f t="shared" ref="B485:B516" si="59">IF(C485&lt;&gt;"",MONTH(C485),"")</f>
        <v>3</v>
      </c>
      <c r="C485" s="315">
        <f t="shared" ref="C485:C516" si="60">E485</f>
        <v>42818</v>
      </c>
      <c r="D485" s="315" t="s">
        <v>461</v>
      </c>
      <c r="E485" s="288">
        <v>42818</v>
      </c>
      <c r="F485" s="248" t="s">
        <v>1281</v>
      </c>
      <c r="G485" s="314" t="s">
        <v>440</v>
      </c>
      <c r="H485" s="472"/>
      <c r="I485" s="307"/>
      <c r="J485" s="307"/>
      <c r="K485" s="532">
        <v>3600</v>
      </c>
      <c r="L485" s="533" t="s">
        <v>9</v>
      </c>
      <c r="M485" s="533" t="s">
        <v>24</v>
      </c>
      <c r="N485" s="525" t="str">
        <f>IF(AND('331-CT'!$E$7=TH!H485,OR(L485="331",M485="331")),"331",IF(AND(OR(L485="131",M485="131"),H485='131-CT'!$E$7),"131",""))</f>
        <v/>
      </c>
      <c r="O485" s="525" t="str">
        <f>IF(AND($B485&gt;='111'!$N$11,$B485&lt;='111'!$O$11,OR($L485=$O$7,$M485=$O$7)),"x","")</f>
        <v/>
      </c>
      <c r="P485" s="525" t="str">
        <f>IF(AND($L485=$O$7,$B485&lt;'111'!$N$11),"x","")</f>
        <v/>
      </c>
      <c r="Q485" s="525" t="str">
        <f>IF(AND($M485=$O$7,$B485&lt;'111'!$N$11),"x","")</f>
        <v/>
      </c>
      <c r="R485" s="525" t="str">
        <f>IF(ISERROR(FIND('112'!$M$9,G485,1)),"",IF((AND(FIND('112'!$M$9,G485,1)&gt;=1,$B485&gt;='112'!$N$8,$B485&lt;='112'!$O$8,OR($L485='112'!$I$6,$M485='112'!$I$6))),"x",""))</f>
        <v/>
      </c>
      <c r="S485" s="525" t="str">
        <f>IF(ISERROR(FIND('112'!$M$9,G485,1)),"",IF((AND(LEFT(G485,2)=LEFT('112'!$M$9,2),B485&lt;'112'!$N$8,$L485='112'!$I$6)),"x",""))</f>
        <v/>
      </c>
      <c r="T485" s="525" t="str">
        <f>IF(ISERROR(FIND('112'!$M$9,G485,1)),"",IF((AND(RIGHT(G485,2)=RIGHT('112'!$M$9,2),B485&lt;'112'!$N$8,$M485='112'!$I$6)),"x",""))</f>
        <v>x</v>
      </c>
      <c r="U485" s="525" t="str">
        <f>IF(AND(B485&gt;='IN-NX'!$P$3,B485&lt;='IN-NX'!$Q$3,'IN-NX'!$D$7=D485,OR(LEFT(L485,2)="15",AND(LEFT(M485,2)&lt;&gt;"15",LEFT(M485,2)&lt;&gt;"33"))),"x","")</f>
        <v/>
      </c>
      <c r="V485" s="525" t="str">
        <f>IF(AND(OR(LEFT(TH!L485,2)="15",LEFT(TH!M485,2)="15"),'152-CT'!$J$8=TH!F485),"x","")</f>
        <v/>
      </c>
      <c r="W485" s="525" t="str">
        <f>IF(AND(OR(LEFT(TH!L485,2)="15",LEFT(TH!M485,2)="15"),TK!$E$7=TH!F485),"x","")</f>
        <v/>
      </c>
      <c r="X485" s="525" t="str">
        <f>IF(AND('341-CT'!$E$9=H485,OR(LEFT(L485,3)=$X$7,LEFT(M485,3)=$X$7)),"x","")</f>
        <v/>
      </c>
      <c r="Y485" s="525" t="str">
        <f>IF(OR(TH!L485=TH!$Y$7,M485=TH!$Y$7),"x","")</f>
        <v/>
      </c>
      <c r="Z485" s="525" t="str">
        <f>IF(AND(B485&lt;=NKC!$N$8,B485&gt;=NKC!$M$8),"x","")</f>
        <v>x</v>
      </c>
      <c r="AA485" s="535">
        <v>2</v>
      </c>
    </row>
    <row r="486" spans="1:28" s="503" customFormat="1" ht="15.75" customHeight="1">
      <c r="A486" s="517" t="str">
        <f>IF(B486&lt;&gt;"",IF(AND(B486&gt;=_TM1,B486&lt;=_TM2,OR(TH!L486="1111",TH!M486="1111")),TH!D486,""),"")</f>
        <v/>
      </c>
      <c r="B486" s="531">
        <f t="shared" si="59"/>
        <v>3</v>
      </c>
      <c r="C486" s="315">
        <f t="shared" si="60"/>
        <v>42821</v>
      </c>
      <c r="D486" s="315" t="s">
        <v>461</v>
      </c>
      <c r="E486" s="288">
        <v>42821</v>
      </c>
      <c r="F486" s="248" t="s">
        <v>831</v>
      </c>
      <c r="G486" s="314" t="s">
        <v>440</v>
      </c>
      <c r="H486" s="472" t="s">
        <v>832</v>
      </c>
      <c r="I486" s="307"/>
      <c r="J486" s="307"/>
      <c r="K486" s="532">
        <v>151251</v>
      </c>
      <c r="L486" s="533" t="s">
        <v>85</v>
      </c>
      <c r="M486" s="533" t="s">
        <v>24</v>
      </c>
      <c r="N486" s="525" t="str">
        <f>IF(AND('331-CT'!$E$7=TH!H486,OR(L486="331",M486="331")),"331",IF(AND(OR(L486="131",M486="131"),H486='131-CT'!$E$7),"131",""))</f>
        <v/>
      </c>
      <c r="O486" s="525" t="str">
        <f>IF(AND($B486&gt;='111'!$N$11,$B486&lt;='111'!$O$11,OR($L486=$O$7,$M486=$O$7)),"x","")</f>
        <v/>
      </c>
      <c r="P486" s="525" t="str">
        <f>IF(AND($L486=$O$7,$B486&lt;'111'!$N$11),"x","")</f>
        <v/>
      </c>
      <c r="Q486" s="525" t="str">
        <f>IF(AND($M486=$O$7,$B486&lt;'111'!$N$11),"x","")</f>
        <v/>
      </c>
      <c r="R486" s="525" t="str">
        <f>IF(ISERROR(FIND('112'!$M$9,G486,1)),"",IF((AND(FIND('112'!$M$9,G486,1)&gt;=1,$B486&gt;='112'!$N$8,$B486&lt;='112'!$O$8,OR($L486='112'!$I$6,$M486='112'!$I$6))),"x",""))</f>
        <v/>
      </c>
      <c r="S486" s="525" t="str">
        <f>IF(ISERROR(FIND('112'!$M$9,G486,1)),"",IF((AND(LEFT(G486,2)=LEFT('112'!$M$9,2),B486&lt;'112'!$N$8,$L486='112'!$I$6)),"x",""))</f>
        <v/>
      </c>
      <c r="T486" s="525" t="str">
        <f>IF(ISERROR(FIND('112'!$M$9,G486,1)),"",IF((AND(RIGHT(G486,2)=RIGHT('112'!$M$9,2),B486&lt;'112'!$N$8,$M486='112'!$I$6)),"x",""))</f>
        <v>x</v>
      </c>
      <c r="U486" s="525" t="str">
        <f>IF(AND(B486&gt;='IN-NX'!$P$3,B486&lt;='IN-NX'!$Q$3,'IN-NX'!$D$7=D486,OR(LEFT(L486,2)="15",AND(LEFT(M486,2)&lt;&gt;"15",LEFT(M486,2)&lt;&gt;"33"))),"x","")</f>
        <v/>
      </c>
      <c r="V486" s="525" t="str">
        <f>IF(AND(OR(LEFT(TH!L486,2)="15",LEFT(TH!M486,2)="15"),'152-CT'!$J$8=TH!F486),"x","")</f>
        <v/>
      </c>
      <c r="W486" s="525" t="str">
        <f>IF(AND(OR(LEFT(TH!L486,2)="15",LEFT(TH!M486,2)="15"),TK!$E$7=TH!F486),"x","")</f>
        <v/>
      </c>
      <c r="X486" s="525" t="str">
        <f>IF(AND('341-CT'!$E$9=H486,OR(LEFT(L486,3)=$X$7,LEFT(M486,3)=$X$7)),"x","")</f>
        <v/>
      </c>
      <c r="Y486" s="525" t="str">
        <f>IF(OR(TH!L486=TH!$Y$7,M486=TH!$Y$7),"x","")</f>
        <v/>
      </c>
      <c r="Z486" s="525" t="str">
        <f>IF(AND(B486&lt;=NKC!$N$8,B486&gt;=NKC!$M$8),"x","")</f>
        <v>x</v>
      </c>
      <c r="AA486" s="535"/>
    </row>
    <row r="487" spans="1:28" s="503" customFormat="1" ht="15.75" customHeight="1">
      <c r="A487" s="517" t="str">
        <f>IF(B487&lt;&gt;"",IF(AND(B487&gt;=_TM1,B487&lt;=_TM2,OR(TH!L487="1111",TH!M487="1111")),TH!D487,""),"")</f>
        <v/>
      </c>
      <c r="B487" s="531">
        <f t="shared" si="59"/>
        <v>3</v>
      </c>
      <c r="C487" s="315">
        <f t="shared" si="60"/>
        <v>42823</v>
      </c>
      <c r="D487" s="315" t="s">
        <v>461</v>
      </c>
      <c r="E487" s="288">
        <v>42823</v>
      </c>
      <c r="F487" s="249" t="s">
        <v>468</v>
      </c>
      <c r="G487" s="314" t="s">
        <v>440</v>
      </c>
      <c r="H487" s="473" t="s">
        <v>349</v>
      </c>
      <c r="I487" s="307"/>
      <c r="J487" s="307"/>
      <c r="K487" s="532">
        <v>131274634</v>
      </c>
      <c r="L487" s="534" t="s">
        <v>8</v>
      </c>
      <c r="M487" s="533" t="s">
        <v>24</v>
      </c>
      <c r="N487" s="525" t="str">
        <f>IF(AND('331-CT'!$E$7=TH!H487,OR(L487="331",M487="331")),"331",IF(AND(OR(L487="131",M487="131"),H487='131-CT'!$E$7),"131",""))</f>
        <v/>
      </c>
      <c r="O487" s="525" t="str">
        <f>IF(AND($B487&gt;='111'!$N$11,$B487&lt;='111'!$O$11,OR($L487=$O$7,$M487=$O$7)),"x","")</f>
        <v/>
      </c>
      <c r="P487" s="525" t="str">
        <f>IF(AND($L487=$O$7,$B487&lt;'111'!$N$11),"x","")</f>
        <v/>
      </c>
      <c r="Q487" s="525" t="str">
        <f>IF(AND($M487=$O$7,$B487&lt;'111'!$N$11),"x","")</f>
        <v/>
      </c>
      <c r="R487" s="525" t="str">
        <f>IF(ISERROR(FIND('112'!$M$9,G487,1)),"",IF((AND(FIND('112'!$M$9,G487,1)&gt;=1,$B487&gt;='112'!$N$8,$B487&lt;='112'!$O$8,OR($L487='112'!$I$6,$M487='112'!$I$6))),"x",""))</f>
        <v/>
      </c>
      <c r="S487" s="525" t="str">
        <f>IF(ISERROR(FIND('112'!$M$9,G487,1)),"",IF((AND(LEFT(G487,2)=LEFT('112'!$M$9,2),B487&lt;'112'!$N$8,$L487='112'!$I$6)),"x",""))</f>
        <v/>
      </c>
      <c r="T487" s="525" t="str">
        <f>IF(ISERROR(FIND('112'!$M$9,G487,1)),"",IF((AND(RIGHT(G487,2)=RIGHT('112'!$M$9,2),B487&lt;'112'!$N$8,$M487='112'!$I$6)),"x",""))</f>
        <v>x</v>
      </c>
      <c r="U487" s="525" t="str">
        <f>IF(AND(B487&gt;='IN-NX'!$P$3,B487&lt;='IN-NX'!$Q$3,'IN-NX'!$D$7=D487,OR(LEFT(L487,2)="15",AND(LEFT(M487,2)&lt;&gt;"15",LEFT(M487,2)&lt;&gt;"33"))),"x","")</f>
        <v/>
      </c>
      <c r="V487" s="525" t="str">
        <f>IF(AND(OR(LEFT(TH!L487,2)="15",LEFT(TH!M487,2)="15"),'152-CT'!$J$8=TH!F487),"x","")</f>
        <v/>
      </c>
      <c r="W487" s="525" t="str">
        <f>IF(AND(OR(LEFT(TH!L487,2)="15",LEFT(TH!M487,2)="15"),TK!$E$7=TH!F487),"x","")</f>
        <v/>
      </c>
      <c r="X487" s="525" t="str">
        <f>IF(AND('341-CT'!$E$9=H487,OR(LEFT(L487,3)=$X$7,LEFT(M487,3)=$X$7)),"x","")</f>
        <v/>
      </c>
      <c r="Y487" s="525" t="str">
        <f>IF(OR(TH!L487=TH!$Y$7,M487=TH!$Y$7),"x","")</f>
        <v/>
      </c>
      <c r="Z487" s="525" t="str">
        <f>IF(AND(B487&lt;=NKC!$N$8,B487&gt;=NKC!$M$8),"x","")</f>
        <v>x</v>
      </c>
      <c r="AA487" s="535"/>
    </row>
    <row r="488" spans="1:28" s="503" customFormat="1" ht="15.75" customHeight="1">
      <c r="A488" s="517" t="str">
        <f>IF(B488&lt;&gt;"",IF(AND(B488&gt;=_TM1,B488&lt;=_TM2,OR(TH!L488="1111",TH!M488="1111")),TH!D488,""),"")</f>
        <v/>
      </c>
      <c r="B488" s="531">
        <f t="shared" si="59"/>
        <v>3</v>
      </c>
      <c r="C488" s="315">
        <f t="shared" si="60"/>
        <v>42823</v>
      </c>
      <c r="D488" s="315" t="s">
        <v>461</v>
      </c>
      <c r="E488" s="288">
        <v>42823</v>
      </c>
      <c r="F488" s="248" t="s">
        <v>463</v>
      </c>
      <c r="G488" s="314" t="s">
        <v>440</v>
      </c>
      <c r="H488" s="473"/>
      <c r="I488" s="307"/>
      <c r="J488" s="307"/>
      <c r="K488" s="532">
        <v>32819</v>
      </c>
      <c r="L488" s="533" t="s">
        <v>81</v>
      </c>
      <c r="M488" s="533" t="s">
        <v>24</v>
      </c>
      <c r="N488" s="525" t="str">
        <f>IF(AND('331-CT'!$E$7=TH!H488,OR(L488="331",M488="331")),"331",IF(AND(OR(L488="131",M488="131"),H488='131-CT'!$E$7),"131",""))</f>
        <v/>
      </c>
      <c r="O488" s="525" t="str">
        <f>IF(AND($B488&gt;='111'!$N$11,$B488&lt;='111'!$O$11,OR($L488=$O$7,$M488=$O$7)),"x","")</f>
        <v/>
      </c>
      <c r="P488" s="525" t="str">
        <f>IF(AND($L488=$O$7,$B488&lt;'111'!$N$11),"x","")</f>
        <v/>
      </c>
      <c r="Q488" s="525" t="str">
        <f>IF(AND($M488=$O$7,$B488&lt;'111'!$N$11),"x","")</f>
        <v/>
      </c>
      <c r="R488" s="525" t="str">
        <f>IF(ISERROR(FIND('112'!$M$9,G488,1)),"",IF((AND(FIND('112'!$M$9,G488,1)&gt;=1,$B488&gt;='112'!$N$8,$B488&lt;='112'!$O$8,OR($L488='112'!$I$6,$M488='112'!$I$6))),"x",""))</f>
        <v/>
      </c>
      <c r="S488" s="525" t="str">
        <f>IF(ISERROR(FIND('112'!$M$9,G488,1)),"",IF((AND(LEFT(G488,2)=LEFT('112'!$M$9,2),B488&lt;'112'!$N$8,$L488='112'!$I$6)),"x",""))</f>
        <v/>
      </c>
      <c r="T488" s="525" t="str">
        <f>IF(ISERROR(FIND('112'!$M$9,G488,1)),"",IF((AND(RIGHT(G488,2)=RIGHT('112'!$M$9,2),B488&lt;'112'!$N$8,$M488='112'!$I$6)),"x",""))</f>
        <v>x</v>
      </c>
      <c r="U488" s="525" t="str">
        <f>IF(AND(B488&gt;='IN-NX'!$P$3,B488&lt;='IN-NX'!$Q$3,'IN-NX'!$D$7=D488,OR(LEFT(L488,2)="15",AND(LEFT(M488,2)&lt;&gt;"15",LEFT(M488,2)&lt;&gt;"33"))),"x","")</f>
        <v/>
      </c>
      <c r="V488" s="525" t="str">
        <f>IF(AND(OR(LEFT(TH!L488,2)="15",LEFT(TH!M488,2)="15"),'152-CT'!$J$8=TH!F488),"x","")</f>
        <v/>
      </c>
      <c r="W488" s="525" t="str">
        <f>IF(AND(OR(LEFT(TH!L488,2)="15",LEFT(TH!M488,2)="15"),TK!$E$7=TH!F488),"x","")</f>
        <v/>
      </c>
      <c r="X488" s="525" t="str">
        <f>IF(AND('341-CT'!$E$9=H488,OR(LEFT(L488,3)=$X$7,LEFT(M488,3)=$X$7)),"x","")</f>
        <v/>
      </c>
      <c r="Y488" s="525" t="str">
        <f>IF(OR(TH!L488=TH!$Y$7,M488=TH!$Y$7),"x","")</f>
        <v/>
      </c>
      <c r="Z488" s="525" t="str">
        <f>IF(AND(B488&lt;=NKC!$N$8,B488&gt;=NKC!$M$8),"x","")</f>
        <v>x</v>
      </c>
      <c r="AA488" s="535">
        <v>1</v>
      </c>
    </row>
    <row r="489" spans="1:28" s="503" customFormat="1" ht="15.75" customHeight="1">
      <c r="A489" s="517" t="str">
        <f>IF(B489&lt;&gt;"",IF(AND(B489&gt;=_TM1,B489&lt;=_TM2,OR(TH!L489="1111",TH!M489="1111")),TH!D489,""),"")</f>
        <v/>
      </c>
      <c r="B489" s="531">
        <f t="shared" si="59"/>
        <v>3</v>
      </c>
      <c r="C489" s="315">
        <f t="shared" si="60"/>
        <v>42823</v>
      </c>
      <c r="D489" s="315" t="s">
        <v>461</v>
      </c>
      <c r="E489" s="288">
        <v>42823</v>
      </c>
      <c r="F489" s="248" t="s">
        <v>464</v>
      </c>
      <c r="G489" s="314" t="s">
        <v>440</v>
      </c>
      <c r="H489" s="473"/>
      <c r="I489" s="307"/>
      <c r="J489" s="307"/>
      <c r="K489" s="532">
        <v>3282</v>
      </c>
      <c r="L489" s="533" t="s">
        <v>9</v>
      </c>
      <c r="M489" s="533" t="s">
        <v>24</v>
      </c>
      <c r="N489" s="525" t="str">
        <f>IF(AND('331-CT'!$E$7=TH!H489,OR(L489="331",M489="331")),"331",IF(AND(OR(L489="131",M489="131"),H489='131-CT'!$E$7),"131",""))</f>
        <v/>
      </c>
      <c r="O489" s="525" t="str">
        <f>IF(AND($B489&gt;='111'!$N$11,$B489&lt;='111'!$O$11,OR($L489=$O$7,$M489=$O$7)),"x","")</f>
        <v/>
      </c>
      <c r="P489" s="525" t="str">
        <f>IF(AND($L489=$O$7,$B489&lt;'111'!$N$11),"x","")</f>
        <v/>
      </c>
      <c r="Q489" s="525" t="str">
        <f>IF(AND($M489=$O$7,$B489&lt;'111'!$N$11),"x","")</f>
        <v/>
      </c>
      <c r="R489" s="525" t="str">
        <f>IF(ISERROR(FIND('112'!$M$9,G489,1)),"",IF((AND(FIND('112'!$M$9,G489,1)&gt;=1,$B489&gt;='112'!$N$8,$B489&lt;='112'!$O$8,OR($L489='112'!$I$6,$M489='112'!$I$6))),"x",""))</f>
        <v/>
      </c>
      <c r="S489" s="525" t="str">
        <f>IF(ISERROR(FIND('112'!$M$9,G489,1)),"",IF((AND(LEFT(G489,2)=LEFT('112'!$M$9,2),B489&lt;'112'!$N$8,$L489='112'!$I$6)),"x",""))</f>
        <v/>
      </c>
      <c r="T489" s="525" t="str">
        <f>IF(ISERROR(FIND('112'!$M$9,G489,1)),"",IF((AND(RIGHT(G489,2)=RIGHT('112'!$M$9,2),B489&lt;'112'!$N$8,$M489='112'!$I$6)),"x",""))</f>
        <v>x</v>
      </c>
      <c r="U489" s="525" t="str">
        <f>IF(AND(B489&gt;='IN-NX'!$P$3,B489&lt;='IN-NX'!$Q$3,'IN-NX'!$D$7=D489,OR(LEFT(L489,2)="15",AND(LEFT(M489,2)&lt;&gt;"15",LEFT(M489,2)&lt;&gt;"33"))),"x","")</f>
        <v/>
      </c>
      <c r="V489" s="525" t="str">
        <f>IF(AND(OR(LEFT(TH!L489,2)="15",LEFT(TH!M489,2)="15"),'152-CT'!$J$8=TH!F489),"x","")</f>
        <v/>
      </c>
      <c r="W489" s="525" t="str">
        <f>IF(AND(OR(LEFT(TH!L489,2)="15",LEFT(TH!M489,2)="15"),TK!$E$7=TH!F489),"x","")</f>
        <v/>
      </c>
      <c r="X489" s="525" t="str">
        <f>IF(AND('341-CT'!$E$9=H489,OR(LEFT(L489,3)=$X$7,LEFT(M489,3)=$X$7)),"x","")</f>
        <v/>
      </c>
      <c r="Y489" s="525" t="str">
        <f>IF(OR(TH!L489=TH!$Y$7,M489=TH!$Y$7),"x","")</f>
        <v/>
      </c>
      <c r="Z489" s="525" t="str">
        <f>IF(AND(B489&lt;=NKC!$N$8,B489&gt;=NKC!$M$8),"x","")</f>
        <v>x</v>
      </c>
      <c r="AA489" s="535">
        <v>1</v>
      </c>
      <c r="AB489" s="536"/>
    </row>
    <row r="490" spans="1:28" s="503" customFormat="1" ht="15.75" customHeight="1">
      <c r="A490" s="517" t="str">
        <f>IF(B490&lt;&gt;"",IF(AND(B490&gt;=_TM1,B490&lt;=_TM2,OR(TH!L490="1111",TH!M490="1111")),TH!D490,""),"")</f>
        <v/>
      </c>
      <c r="B490" s="531">
        <f t="shared" si="59"/>
        <v>4</v>
      </c>
      <c r="C490" s="315">
        <f t="shared" si="60"/>
        <v>42842</v>
      </c>
      <c r="D490" s="315" t="s">
        <v>456</v>
      </c>
      <c r="E490" s="288">
        <v>42842</v>
      </c>
      <c r="F490" s="248" t="s">
        <v>809</v>
      </c>
      <c r="G490" s="314" t="s">
        <v>440</v>
      </c>
      <c r="H490" s="473" t="s">
        <v>460</v>
      </c>
      <c r="I490" s="307"/>
      <c r="J490" s="307"/>
      <c r="K490" s="532">
        <v>300000</v>
      </c>
      <c r="L490" s="533" t="s">
        <v>24</v>
      </c>
      <c r="M490" s="533" t="s">
        <v>45</v>
      </c>
      <c r="N490" s="525" t="str">
        <f>IF(AND('331-CT'!$E$7=TH!H490,OR(L490="331",M490="331")),"331",IF(AND(OR(L490="131",M490="131"),H490='131-CT'!$E$7),"131",""))</f>
        <v/>
      </c>
      <c r="O490" s="525" t="str">
        <f>IF(AND($B490&gt;='111'!$N$11,$B490&lt;='111'!$O$11,OR($L490=$O$7,$M490=$O$7)),"x","")</f>
        <v/>
      </c>
      <c r="P490" s="525" t="str">
        <f>IF(AND($L490=$O$7,$B490&lt;'111'!$N$11),"x","")</f>
        <v/>
      </c>
      <c r="Q490" s="525" t="str">
        <f>IF(AND($M490=$O$7,$B490&lt;'111'!$N$11),"x","")</f>
        <v>x</v>
      </c>
      <c r="R490" s="525" t="str">
        <f>IF(ISERROR(FIND('112'!$M$9,G490,1)),"",IF((AND(FIND('112'!$M$9,G490,1)&gt;=1,$B490&gt;='112'!$N$8,$B490&lt;='112'!$O$8,OR($L490='112'!$I$6,$M490='112'!$I$6))),"x",""))</f>
        <v/>
      </c>
      <c r="S490" s="525" t="str">
        <f>IF(ISERROR(FIND('112'!$M$9,G490,1)),"",IF((AND(LEFT(G490,2)=LEFT('112'!$M$9,2),B490&lt;'112'!$N$8,$L490='112'!$I$6)),"x",""))</f>
        <v>x</v>
      </c>
      <c r="T490" s="525" t="str">
        <f>IF(ISERROR(FIND('112'!$M$9,G490,1)),"",IF((AND(RIGHT(G490,2)=RIGHT('112'!$M$9,2),B490&lt;'112'!$N$8,$M490='112'!$I$6)),"x",""))</f>
        <v/>
      </c>
      <c r="U490" s="525" t="str">
        <f>IF(AND(B490&gt;='IN-NX'!$P$3,B490&lt;='IN-NX'!$Q$3,'IN-NX'!$D$7=D490,OR(LEFT(L490,2)="15",AND(LEFT(M490,2)&lt;&gt;"15",LEFT(M490,2)&lt;&gt;"33"))),"x","")</f>
        <v/>
      </c>
      <c r="V490" s="525" t="str">
        <f>IF(AND(OR(LEFT(TH!L490,2)="15",LEFT(TH!M490,2)="15"),'152-CT'!$J$8=TH!F490),"x","")</f>
        <v/>
      </c>
      <c r="W490" s="525" t="str">
        <f>IF(AND(OR(LEFT(TH!L490,2)="15",LEFT(TH!M490,2)="15"),TK!$E$7=TH!F490),"x","")</f>
        <v/>
      </c>
      <c r="X490" s="525" t="str">
        <f>IF(AND('341-CT'!$E$9=H490,OR(LEFT(L490,3)=$X$7,LEFT(M490,3)=$X$7)),"x","")</f>
        <v/>
      </c>
      <c r="Y490" s="525" t="str">
        <f>IF(OR(TH!L490=TH!$Y$7,M490=TH!$Y$7),"x","")</f>
        <v/>
      </c>
      <c r="Z490" s="525" t="str">
        <f>IF(AND(B490&lt;=NKC!$N$8,B490&gt;=NKC!$M$8),"x","")</f>
        <v/>
      </c>
      <c r="AA490" s="535"/>
    </row>
    <row r="491" spans="1:28" s="503" customFormat="1" ht="15.75" customHeight="1">
      <c r="A491" s="517" t="str">
        <f>IF(B491&lt;&gt;"",IF(AND(B491&gt;=_TM1,B491&lt;=_TM2,OR(TH!L491="1111",TH!M491="1111")),TH!D491,""),"")</f>
        <v/>
      </c>
      <c r="B491" s="531">
        <f t="shared" si="59"/>
        <v>4</v>
      </c>
      <c r="C491" s="315">
        <f t="shared" si="60"/>
        <v>42842</v>
      </c>
      <c r="D491" s="315" t="s">
        <v>456</v>
      </c>
      <c r="E491" s="288">
        <v>42842</v>
      </c>
      <c r="F491" s="248" t="s">
        <v>808</v>
      </c>
      <c r="G491" s="314" t="s">
        <v>440</v>
      </c>
      <c r="H491" s="472" t="s">
        <v>1275</v>
      </c>
      <c r="I491" s="307"/>
      <c r="J491" s="307"/>
      <c r="K491" s="532">
        <v>150000000</v>
      </c>
      <c r="L491" s="533" t="s">
        <v>24</v>
      </c>
      <c r="M491" s="533" t="s">
        <v>441</v>
      </c>
      <c r="N491" s="525" t="str">
        <f>IF(AND('331-CT'!$E$7=TH!H491,OR(L491="331",M491="331")),"331",IF(AND(OR(L491="131",M491="131"),H491='131-CT'!$E$7),"131",""))</f>
        <v/>
      </c>
      <c r="O491" s="525" t="str">
        <f>IF(AND($B491&gt;='111'!$N$11,$B491&lt;='111'!$O$11,OR($L491=$O$7,$M491=$O$7)),"x","")</f>
        <v/>
      </c>
      <c r="P491" s="525" t="str">
        <f>IF(AND($L491=$O$7,$B491&lt;'111'!$N$11),"x","")</f>
        <v/>
      </c>
      <c r="Q491" s="525" t="str">
        <f>IF(AND($M491=$O$7,$B491&lt;'111'!$N$11),"x","")</f>
        <v/>
      </c>
      <c r="R491" s="525" t="str">
        <f>IF(ISERROR(FIND('112'!$M$9,G491,1)),"",IF((AND(FIND('112'!$M$9,G491,1)&gt;=1,$B491&gt;='112'!$N$8,$B491&lt;='112'!$O$8,OR($L491='112'!$I$6,$M491='112'!$I$6))),"x",""))</f>
        <v/>
      </c>
      <c r="S491" s="525" t="str">
        <f>IF(ISERROR(FIND('112'!$M$9,G491,1)),"",IF((AND(LEFT(G491,2)=LEFT('112'!$M$9,2),B491&lt;'112'!$N$8,$L491='112'!$I$6)),"x",""))</f>
        <v>x</v>
      </c>
      <c r="T491" s="525" t="str">
        <f>IF(ISERROR(FIND('112'!$M$9,G491,1)),"",IF((AND(RIGHT(G491,2)=RIGHT('112'!$M$9,2),B491&lt;'112'!$N$8,$M491='112'!$I$6)),"x",""))</f>
        <v/>
      </c>
      <c r="U491" s="525" t="str">
        <f>IF(AND(B491&gt;='IN-NX'!$P$3,B491&lt;='IN-NX'!$Q$3,'IN-NX'!$D$7=D491,OR(LEFT(L491,2)="15",AND(LEFT(M491,2)&lt;&gt;"15",LEFT(M491,2)&lt;&gt;"33"))),"x","")</f>
        <v/>
      </c>
      <c r="V491" s="525" t="str">
        <f>IF(AND(OR(LEFT(TH!L491,2)="15",LEFT(TH!M491,2)="15"),'152-CT'!$J$8=TH!F491),"x","")</f>
        <v/>
      </c>
      <c r="W491" s="525" t="str">
        <f>IF(AND(OR(LEFT(TH!L491,2)="15",LEFT(TH!M491,2)="15"),TK!$E$7=TH!F491),"x","")</f>
        <v/>
      </c>
      <c r="X491" s="525" t="str">
        <f>IF(AND('341-CT'!$E$9=H491,OR(LEFT(L491,3)=$X$7,LEFT(M491,3)=$X$7)),"x","")</f>
        <v/>
      </c>
      <c r="Y491" s="525" t="str">
        <f>IF(OR(TH!L491=TH!$Y$7,M491=TH!$Y$7),"x","")</f>
        <v/>
      </c>
      <c r="Z491" s="525" t="str">
        <f>IF(AND(B491&lt;=NKC!$N$8,B491&gt;=NKC!$M$8),"x","")</f>
        <v/>
      </c>
      <c r="AA491" s="535"/>
    </row>
    <row r="492" spans="1:28" s="503" customFormat="1" ht="15.75" customHeight="1">
      <c r="A492" s="517" t="str">
        <f>IF(B492&lt;&gt;"",IF(AND(B492&gt;=_TM1,B492&lt;=_TM2,OR(TH!L492="1111",TH!M492="1111")),TH!D492,""),"")</f>
        <v/>
      </c>
      <c r="B492" s="531">
        <f t="shared" si="59"/>
        <v>4</v>
      </c>
      <c r="C492" s="315">
        <f t="shared" si="60"/>
        <v>42842</v>
      </c>
      <c r="D492" s="315" t="s">
        <v>461</v>
      </c>
      <c r="E492" s="288">
        <v>42842</v>
      </c>
      <c r="F492" s="249" t="s">
        <v>468</v>
      </c>
      <c r="G492" s="314" t="s">
        <v>440</v>
      </c>
      <c r="H492" s="473" t="s">
        <v>1278</v>
      </c>
      <c r="I492" s="307"/>
      <c r="J492" s="307"/>
      <c r="K492" s="532">
        <v>150219300</v>
      </c>
      <c r="L492" s="534" t="s">
        <v>8</v>
      </c>
      <c r="M492" s="533" t="s">
        <v>24</v>
      </c>
      <c r="N492" s="525" t="str">
        <f>IF(AND('331-CT'!$E$7=TH!H492,OR(L492="331",M492="331")),"331",IF(AND(OR(L492="131",M492="131"),H492='131-CT'!$E$7),"131",""))</f>
        <v/>
      </c>
      <c r="O492" s="525" t="str">
        <f>IF(AND($B492&gt;='111'!$N$11,$B492&lt;='111'!$O$11,OR($L492=$O$7,$M492=$O$7)),"x","")</f>
        <v/>
      </c>
      <c r="P492" s="525" t="str">
        <f>IF(AND($L492=$O$7,$B492&lt;'111'!$N$11),"x","")</f>
        <v/>
      </c>
      <c r="Q492" s="525" t="str">
        <f>IF(AND($M492=$O$7,$B492&lt;'111'!$N$11),"x","")</f>
        <v/>
      </c>
      <c r="R492" s="525" t="str">
        <f>IF(ISERROR(FIND('112'!$M$9,G492,1)),"",IF((AND(FIND('112'!$M$9,G492,1)&gt;=1,$B492&gt;='112'!$N$8,$B492&lt;='112'!$O$8,OR($L492='112'!$I$6,$M492='112'!$I$6))),"x",""))</f>
        <v/>
      </c>
      <c r="S492" s="525" t="str">
        <f>IF(ISERROR(FIND('112'!$M$9,G492,1)),"",IF((AND(LEFT(G492,2)=LEFT('112'!$M$9,2),B492&lt;'112'!$N$8,$L492='112'!$I$6)),"x",""))</f>
        <v/>
      </c>
      <c r="T492" s="525" t="str">
        <f>IF(ISERROR(FIND('112'!$M$9,G492,1)),"",IF((AND(RIGHT(G492,2)=RIGHT('112'!$M$9,2),B492&lt;'112'!$N$8,$M492='112'!$I$6)),"x",""))</f>
        <v>x</v>
      </c>
      <c r="U492" s="525" t="str">
        <f>IF(AND(B492&gt;='IN-NX'!$P$3,B492&lt;='IN-NX'!$Q$3,'IN-NX'!$D$7=D492,OR(LEFT(L492,2)="15",AND(LEFT(M492,2)&lt;&gt;"15",LEFT(M492,2)&lt;&gt;"33"))),"x","")</f>
        <v/>
      </c>
      <c r="V492" s="525" t="str">
        <f>IF(AND(OR(LEFT(TH!L492,2)="15",LEFT(TH!M492,2)="15"),'152-CT'!$J$8=TH!F492),"x","")</f>
        <v/>
      </c>
      <c r="W492" s="525" t="str">
        <f>IF(AND(OR(LEFT(TH!L492,2)="15",LEFT(TH!M492,2)="15"),TK!$E$7=TH!F492),"x","")</f>
        <v/>
      </c>
      <c r="X492" s="525" t="str">
        <f>IF(AND('341-CT'!$E$9=H492,OR(LEFT(L492,3)=$X$7,LEFT(M492,3)=$X$7)),"x","")</f>
        <v/>
      </c>
      <c r="Y492" s="525" t="str">
        <f>IF(OR(TH!L492=TH!$Y$7,M492=TH!$Y$7),"x","")</f>
        <v/>
      </c>
      <c r="Z492" s="525" t="str">
        <f>IF(AND(B492&lt;=NKC!$N$8,B492&gt;=NKC!$M$8),"x","")</f>
        <v/>
      </c>
      <c r="AA492" s="535"/>
      <c r="AB492" s="536"/>
    </row>
    <row r="493" spans="1:28" s="503" customFormat="1" ht="15.75" customHeight="1">
      <c r="A493" s="517" t="str">
        <f>IF(B493&lt;&gt;"",IF(AND(B493&gt;=_TM1,B493&lt;=_TM2,OR(TH!L493="1111",TH!M493="1111")),TH!D493,""),"")</f>
        <v/>
      </c>
      <c r="B493" s="531">
        <f t="shared" si="59"/>
        <v>4</v>
      </c>
      <c r="C493" s="315">
        <f t="shared" si="60"/>
        <v>42842</v>
      </c>
      <c r="D493" s="315" t="s">
        <v>461</v>
      </c>
      <c r="E493" s="288">
        <v>42842</v>
      </c>
      <c r="F493" s="248" t="s">
        <v>463</v>
      </c>
      <c r="G493" s="314" t="s">
        <v>440</v>
      </c>
      <c r="H493" s="472"/>
      <c r="I493" s="307"/>
      <c r="J493" s="307"/>
      <c r="K493" s="532">
        <v>37555</v>
      </c>
      <c r="L493" s="533" t="s">
        <v>81</v>
      </c>
      <c r="M493" s="533" t="s">
        <v>24</v>
      </c>
      <c r="N493" s="525" t="str">
        <f>IF(AND('331-CT'!$E$7=TH!H493,OR(L493="331",M493="331")),"331",IF(AND(OR(L493="131",M493="131"),H493='131-CT'!$E$7),"131",""))</f>
        <v/>
      </c>
      <c r="O493" s="525" t="str">
        <f>IF(AND($B493&gt;='111'!$N$11,$B493&lt;='111'!$O$11,OR($L493=$O$7,$M493=$O$7)),"x","")</f>
        <v/>
      </c>
      <c r="P493" s="525" t="str">
        <f>IF(AND($L493=$O$7,$B493&lt;'111'!$N$11),"x","")</f>
        <v/>
      </c>
      <c r="Q493" s="525" t="str">
        <f>IF(AND($M493=$O$7,$B493&lt;'111'!$N$11),"x","")</f>
        <v/>
      </c>
      <c r="R493" s="525" t="str">
        <f>IF(ISERROR(FIND('112'!$M$9,G493,1)),"",IF((AND(FIND('112'!$M$9,G493,1)&gt;=1,$B493&gt;='112'!$N$8,$B493&lt;='112'!$O$8,OR($L493='112'!$I$6,$M493='112'!$I$6))),"x",""))</f>
        <v/>
      </c>
      <c r="S493" s="525" t="str">
        <f>IF(ISERROR(FIND('112'!$M$9,G493,1)),"",IF((AND(LEFT(G493,2)=LEFT('112'!$M$9,2),B493&lt;'112'!$N$8,$L493='112'!$I$6)),"x",""))</f>
        <v/>
      </c>
      <c r="T493" s="525" t="str">
        <f>IF(ISERROR(FIND('112'!$M$9,G493,1)),"",IF((AND(RIGHT(G493,2)=RIGHT('112'!$M$9,2),B493&lt;'112'!$N$8,$M493='112'!$I$6)),"x",""))</f>
        <v>x</v>
      </c>
      <c r="U493" s="525" t="str">
        <f>IF(AND(B493&gt;='IN-NX'!$P$3,B493&lt;='IN-NX'!$Q$3,'IN-NX'!$D$7=D493,OR(LEFT(L493,2)="15",AND(LEFT(M493,2)&lt;&gt;"15",LEFT(M493,2)&lt;&gt;"33"))),"x","")</f>
        <v/>
      </c>
      <c r="V493" s="525" t="str">
        <f>IF(AND(OR(LEFT(TH!L493,2)="15",LEFT(TH!M493,2)="15"),'152-CT'!$J$8=TH!F493),"x","")</f>
        <v/>
      </c>
      <c r="W493" s="525" t="str">
        <f>IF(AND(OR(LEFT(TH!L493,2)="15",LEFT(TH!M493,2)="15"),TK!$E$7=TH!F493),"x","")</f>
        <v/>
      </c>
      <c r="X493" s="525" t="str">
        <f>IF(AND('341-CT'!$E$9=H493,OR(LEFT(L493,3)=$X$7,LEFT(M493,3)=$X$7)),"x","")</f>
        <v/>
      </c>
      <c r="Y493" s="525" t="str">
        <f>IF(OR(TH!L493=TH!$Y$7,M493=TH!$Y$7),"x","")</f>
        <v/>
      </c>
      <c r="Z493" s="525" t="str">
        <f>IF(AND(B493&lt;=NKC!$N$8,B493&gt;=NKC!$M$8),"x","")</f>
        <v/>
      </c>
      <c r="AA493" s="535">
        <v>2</v>
      </c>
    </row>
    <row r="494" spans="1:28" s="503" customFormat="1" ht="15.75" customHeight="1">
      <c r="A494" s="517" t="str">
        <f>IF(B494&lt;&gt;"",IF(AND(B494&gt;=_TM1,B494&lt;=_TM2,OR(TH!L494="1111",TH!M494="1111")),TH!D494,""),"")</f>
        <v/>
      </c>
      <c r="B494" s="531">
        <f t="shared" si="59"/>
        <v>4</v>
      </c>
      <c r="C494" s="315">
        <f t="shared" si="60"/>
        <v>42842</v>
      </c>
      <c r="D494" s="315" t="s">
        <v>461</v>
      </c>
      <c r="E494" s="288">
        <v>42842</v>
      </c>
      <c r="F494" s="248" t="s">
        <v>464</v>
      </c>
      <c r="G494" s="314" t="s">
        <v>440</v>
      </c>
      <c r="H494" s="472"/>
      <c r="I494" s="307"/>
      <c r="J494" s="307"/>
      <c r="K494" s="532">
        <v>3756</v>
      </c>
      <c r="L494" s="533" t="s">
        <v>9</v>
      </c>
      <c r="M494" s="533" t="s">
        <v>24</v>
      </c>
      <c r="N494" s="525" t="str">
        <f>IF(AND('331-CT'!$E$7=TH!H494,OR(L494="331",M494="331")),"331",IF(AND(OR(L494="131",M494="131"),H494='131-CT'!$E$7),"131",""))</f>
        <v/>
      </c>
      <c r="O494" s="525" t="str">
        <f>IF(AND($B494&gt;='111'!$N$11,$B494&lt;='111'!$O$11,OR($L494=$O$7,$M494=$O$7)),"x","")</f>
        <v/>
      </c>
      <c r="P494" s="525" t="str">
        <f>IF(AND($L494=$O$7,$B494&lt;'111'!$N$11),"x","")</f>
        <v/>
      </c>
      <c r="Q494" s="525" t="str">
        <f>IF(AND($M494=$O$7,$B494&lt;'111'!$N$11),"x","")</f>
        <v/>
      </c>
      <c r="R494" s="525" t="str">
        <f>IF(ISERROR(FIND('112'!$M$9,G494,1)),"",IF((AND(FIND('112'!$M$9,G494,1)&gt;=1,$B494&gt;='112'!$N$8,$B494&lt;='112'!$O$8,OR($L494='112'!$I$6,$M494='112'!$I$6))),"x",""))</f>
        <v/>
      </c>
      <c r="S494" s="525" t="str">
        <f>IF(ISERROR(FIND('112'!$M$9,G494,1)),"",IF((AND(LEFT(G494,2)=LEFT('112'!$M$9,2),B494&lt;'112'!$N$8,$L494='112'!$I$6)),"x",""))</f>
        <v/>
      </c>
      <c r="T494" s="525" t="str">
        <f>IF(ISERROR(FIND('112'!$M$9,G494,1)),"",IF((AND(RIGHT(G494,2)=RIGHT('112'!$M$9,2),B494&lt;'112'!$N$8,$M494='112'!$I$6)),"x",""))</f>
        <v>x</v>
      </c>
      <c r="U494" s="525" t="str">
        <f>IF(AND(B494&gt;='IN-NX'!$P$3,B494&lt;='IN-NX'!$Q$3,'IN-NX'!$D$7=D494,OR(LEFT(L494,2)="15",AND(LEFT(M494,2)&lt;&gt;"15",LEFT(M494,2)&lt;&gt;"33"))),"x","")</f>
        <v/>
      </c>
      <c r="V494" s="525" t="str">
        <f>IF(AND(OR(LEFT(TH!L494,2)="15",LEFT(TH!M494,2)="15"),'152-CT'!$J$8=TH!F494),"x","")</f>
        <v/>
      </c>
      <c r="W494" s="525" t="str">
        <f>IF(AND(OR(LEFT(TH!L494,2)="15",LEFT(TH!M494,2)="15"),TK!$E$7=TH!F494),"x","")</f>
        <v/>
      </c>
      <c r="X494" s="525" t="str">
        <f>IF(AND('341-CT'!$E$9=H494,OR(LEFT(L494,3)=$X$7,LEFT(M494,3)=$X$7)),"x","")</f>
        <v/>
      </c>
      <c r="Y494" s="525" t="str">
        <f>IF(OR(TH!L494=TH!$Y$7,M494=TH!$Y$7),"x","")</f>
        <v/>
      </c>
      <c r="Z494" s="525" t="str">
        <f>IF(AND(B494&lt;=NKC!$N$8,B494&gt;=NKC!$M$8),"x","")</f>
        <v/>
      </c>
      <c r="AA494" s="535">
        <v>2</v>
      </c>
    </row>
    <row r="495" spans="1:28" s="503" customFormat="1" ht="15.75" customHeight="1">
      <c r="A495" s="517" t="str">
        <f>IF(B495&lt;&gt;"",IF(AND(B495&gt;=_TM1,B495&lt;=_TM2,OR(TH!L495="1111",TH!M495="1111")),TH!D495,""),"")</f>
        <v/>
      </c>
      <c r="B495" s="531">
        <f t="shared" si="59"/>
        <v>4</v>
      </c>
      <c r="C495" s="315">
        <f t="shared" si="60"/>
        <v>42843</v>
      </c>
      <c r="D495" s="315" t="s">
        <v>456</v>
      </c>
      <c r="E495" s="288">
        <v>42843</v>
      </c>
      <c r="F495" s="248" t="s">
        <v>457</v>
      </c>
      <c r="G495" s="314" t="s">
        <v>440</v>
      </c>
      <c r="H495" s="473" t="s">
        <v>284</v>
      </c>
      <c r="I495" s="307"/>
      <c r="J495" s="307"/>
      <c r="K495" s="532">
        <v>160549957</v>
      </c>
      <c r="L495" s="533" t="s">
        <v>24</v>
      </c>
      <c r="M495" s="533" t="s">
        <v>223</v>
      </c>
      <c r="N495" s="525" t="str">
        <f>IF(AND('331-CT'!$E$7=TH!H495,OR(L495="331",M495="331")),"331",IF(AND(OR(L495="131",M495="131"),H495='131-CT'!$E$7),"131",""))</f>
        <v/>
      </c>
      <c r="O495" s="525" t="str">
        <f>IF(AND($B495&gt;='111'!$N$11,$B495&lt;='111'!$O$11,OR($L495=$O$7,$M495=$O$7)),"x","")</f>
        <v/>
      </c>
      <c r="P495" s="525" t="str">
        <f>IF(AND($L495=$O$7,$B495&lt;'111'!$N$11),"x","")</f>
        <v/>
      </c>
      <c r="Q495" s="525" t="str">
        <f>IF(AND($M495=$O$7,$B495&lt;'111'!$N$11),"x","")</f>
        <v/>
      </c>
      <c r="R495" s="525" t="str">
        <f>IF(ISERROR(FIND('112'!$M$9,G495,1)),"",IF((AND(FIND('112'!$M$9,G495,1)&gt;=1,$B495&gt;='112'!$N$8,$B495&lt;='112'!$O$8,OR($L495='112'!$I$6,$M495='112'!$I$6))),"x",""))</f>
        <v/>
      </c>
      <c r="S495" s="525" t="str">
        <f>IF(ISERROR(FIND('112'!$M$9,G495,1)),"",IF((AND(LEFT(G495,2)=LEFT('112'!$M$9,2),B495&lt;'112'!$N$8,$L495='112'!$I$6)),"x",""))</f>
        <v>x</v>
      </c>
      <c r="T495" s="525" t="str">
        <f>IF(ISERROR(FIND('112'!$M$9,G495,1)),"",IF((AND(RIGHT(G495,2)=RIGHT('112'!$M$9,2),B495&lt;'112'!$N$8,$M495='112'!$I$6)),"x",""))</f>
        <v/>
      </c>
      <c r="U495" s="525" t="str">
        <f>IF(AND(B495&gt;='IN-NX'!$P$3,B495&lt;='IN-NX'!$Q$3,'IN-NX'!$D$7=D495,OR(LEFT(L495,2)="15",AND(LEFT(M495,2)&lt;&gt;"15",LEFT(M495,2)&lt;&gt;"33"))),"x","")</f>
        <v/>
      </c>
      <c r="V495" s="525" t="str">
        <f>IF(AND(OR(LEFT(TH!L495,2)="15",LEFT(TH!M495,2)="15"),'152-CT'!$J$8=TH!F495),"x","")</f>
        <v/>
      </c>
      <c r="W495" s="525" t="str">
        <f>IF(AND(OR(LEFT(TH!L495,2)="15",LEFT(TH!M495,2)="15"),TK!$E$7=TH!F495),"x","")</f>
        <v/>
      </c>
      <c r="X495" s="525" t="str">
        <f>IF(AND('341-CT'!$E$9=H495,OR(LEFT(L495,3)=$X$7,LEFT(M495,3)=$X$7)),"x","")</f>
        <v/>
      </c>
      <c r="Y495" s="525" t="str">
        <f>IF(OR(TH!L495=TH!$Y$7,M495=TH!$Y$7),"x","")</f>
        <v/>
      </c>
      <c r="Z495" s="525" t="str">
        <f>IF(AND(B495&lt;=NKC!$N$8,B495&gt;=NKC!$M$8),"x","")</f>
        <v/>
      </c>
      <c r="AA495" s="535"/>
    </row>
    <row r="496" spans="1:28" s="503" customFormat="1" ht="15.75" customHeight="1">
      <c r="A496" s="517" t="str">
        <f>IF(B496&lt;&gt;"",IF(AND(B496&gt;=_TM1,B496&lt;=_TM2,OR(TH!L496="1111",TH!M496="1111")),TH!D496,""),"")</f>
        <v/>
      </c>
      <c r="B496" s="531">
        <f t="shared" si="59"/>
        <v>4</v>
      </c>
      <c r="C496" s="315">
        <f t="shared" si="60"/>
        <v>42844</v>
      </c>
      <c r="D496" s="315" t="s">
        <v>461</v>
      </c>
      <c r="E496" s="288">
        <v>42844</v>
      </c>
      <c r="F496" s="249" t="s">
        <v>827</v>
      </c>
      <c r="G496" s="314" t="s">
        <v>440</v>
      </c>
      <c r="H496" s="473" t="s">
        <v>460</v>
      </c>
      <c r="I496" s="307"/>
      <c r="J496" s="307"/>
      <c r="K496" s="532">
        <v>20000000</v>
      </c>
      <c r="L496" s="533" t="s">
        <v>45</v>
      </c>
      <c r="M496" s="533" t="s">
        <v>24</v>
      </c>
      <c r="N496" s="525" t="str">
        <f>IF(AND('331-CT'!$E$7=TH!H496,OR(L496="331",M496="331")),"331",IF(AND(OR(L496="131",M496="131"),H496='131-CT'!$E$7),"131",""))</f>
        <v/>
      </c>
      <c r="O496" s="525" t="str">
        <f>IF(AND($B496&gt;='111'!$N$11,$B496&lt;='111'!$O$11,OR($L496=$O$7,$M496=$O$7)),"x","")</f>
        <v/>
      </c>
      <c r="P496" s="525" t="str">
        <f>IF(AND($L496=$O$7,$B496&lt;'111'!$N$11),"x","")</f>
        <v>x</v>
      </c>
      <c r="Q496" s="525" t="str">
        <f>IF(AND($M496=$O$7,$B496&lt;'111'!$N$11),"x","")</f>
        <v/>
      </c>
      <c r="R496" s="525" t="str">
        <f>IF(ISERROR(FIND('112'!$M$9,G496,1)),"",IF((AND(FIND('112'!$M$9,G496,1)&gt;=1,$B496&gt;='112'!$N$8,$B496&lt;='112'!$O$8,OR($L496='112'!$I$6,$M496='112'!$I$6))),"x",""))</f>
        <v/>
      </c>
      <c r="S496" s="525" t="str">
        <f>IF(ISERROR(FIND('112'!$M$9,G496,1)),"",IF((AND(LEFT(G496,2)=LEFT('112'!$M$9,2),B496&lt;'112'!$N$8,$L496='112'!$I$6)),"x",""))</f>
        <v/>
      </c>
      <c r="T496" s="525" t="str">
        <f>IF(ISERROR(FIND('112'!$M$9,G496,1)),"",IF((AND(RIGHT(G496,2)=RIGHT('112'!$M$9,2),B496&lt;'112'!$N$8,$M496='112'!$I$6)),"x",""))</f>
        <v>x</v>
      </c>
      <c r="U496" s="525" t="str">
        <f>IF(AND(B496&gt;='IN-NX'!$P$3,B496&lt;='IN-NX'!$Q$3,'IN-NX'!$D$7=D496,OR(LEFT(L496,2)="15",AND(LEFT(M496,2)&lt;&gt;"15",LEFT(M496,2)&lt;&gt;"33"))),"x","")</f>
        <v/>
      </c>
      <c r="V496" s="525" t="str">
        <f>IF(AND(OR(LEFT(TH!L496,2)="15",LEFT(TH!M496,2)="15"),'152-CT'!$J$8=TH!F496),"x","")</f>
        <v/>
      </c>
      <c r="W496" s="525" t="str">
        <f>IF(AND(OR(LEFT(TH!L496,2)="15",LEFT(TH!M496,2)="15"),TK!$E$7=TH!F496),"x","")</f>
        <v/>
      </c>
      <c r="X496" s="525" t="str">
        <f>IF(AND('341-CT'!$E$9=H496,OR(LEFT(L496,3)=$X$7,LEFT(M496,3)=$X$7)),"x","")</f>
        <v/>
      </c>
      <c r="Y496" s="525" t="str">
        <f>IF(OR(TH!L496=TH!$Y$7,M496=TH!$Y$7),"x","")</f>
        <v/>
      </c>
      <c r="Z496" s="525" t="str">
        <f>IF(AND(B496&lt;=NKC!$N$8,B496&gt;=NKC!$M$8),"x","")</f>
        <v/>
      </c>
      <c r="AA496" s="535"/>
    </row>
    <row r="497" spans="1:28" s="503" customFormat="1" ht="15.75" customHeight="1">
      <c r="A497" s="517" t="str">
        <f>IF(B497&lt;&gt;"",IF(AND(B497&gt;=_TM1,B497&lt;=_TM2,OR(TH!L497="1111",TH!M497="1111")),TH!D497,""),"")</f>
        <v/>
      </c>
      <c r="B497" s="531">
        <f t="shared" si="59"/>
        <v>4</v>
      </c>
      <c r="C497" s="315">
        <f t="shared" si="60"/>
        <v>42844</v>
      </c>
      <c r="D497" s="315" t="s">
        <v>461</v>
      </c>
      <c r="E497" s="288">
        <v>42844</v>
      </c>
      <c r="F497" s="248" t="s">
        <v>1280</v>
      </c>
      <c r="G497" s="314" t="s">
        <v>440</v>
      </c>
      <c r="H497" s="472"/>
      <c r="I497" s="307"/>
      <c r="J497" s="307"/>
      <c r="K497" s="532">
        <v>40000</v>
      </c>
      <c r="L497" s="533" t="s">
        <v>81</v>
      </c>
      <c r="M497" s="533" t="s">
        <v>24</v>
      </c>
      <c r="N497" s="525" t="str">
        <f>IF(AND('331-CT'!$E$7=TH!H497,OR(L497="331",M497="331")),"331",IF(AND(OR(L497="131",M497="131"),H497='131-CT'!$E$7),"131",""))</f>
        <v/>
      </c>
      <c r="O497" s="525" t="str">
        <f>IF(AND($B497&gt;='111'!$N$11,$B497&lt;='111'!$O$11,OR($L497=$O$7,$M497=$O$7)),"x","")</f>
        <v/>
      </c>
      <c r="P497" s="525" t="str">
        <f>IF(AND($L497=$O$7,$B497&lt;'111'!$N$11),"x","")</f>
        <v/>
      </c>
      <c r="Q497" s="525" t="str">
        <f>IF(AND($M497=$O$7,$B497&lt;'111'!$N$11),"x","")</f>
        <v/>
      </c>
      <c r="R497" s="525" t="str">
        <f>IF(ISERROR(FIND('112'!$M$9,G497,1)),"",IF((AND(FIND('112'!$M$9,G497,1)&gt;=1,$B497&gt;='112'!$N$8,$B497&lt;='112'!$O$8,OR($L497='112'!$I$6,$M497='112'!$I$6))),"x",""))</f>
        <v/>
      </c>
      <c r="S497" s="525" t="str">
        <f>IF(ISERROR(FIND('112'!$M$9,G497,1)),"",IF((AND(LEFT(G497,2)=LEFT('112'!$M$9,2),B497&lt;'112'!$N$8,$L497='112'!$I$6)),"x",""))</f>
        <v/>
      </c>
      <c r="T497" s="525" t="str">
        <f>IF(ISERROR(FIND('112'!$M$9,G497,1)),"",IF((AND(RIGHT(G497,2)=RIGHT('112'!$M$9,2),B497&lt;'112'!$N$8,$M497='112'!$I$6)),"x",""))</f>
        <v>x</v>
      </c>
      <c r="U497" s="525" t="str">
        <f>IF(AND(B497&gt;='IN-NX'!$P$3,B497&lt;='IN-NX'!$Q$3,'IN-NX'!$D$7=D497,OR(LEFT(L497,2)="15",AND(LEFT(M497,2)&lt;&gt;"15",LEFT(M497,2)&lt;&gt;"33"))),"x","")</f>
        <v/>
      </c>
      <c r="V497" s="525" t="str">
        <f>IF(AND(OR(LEFT(TH!L497,2)="15",LEFT(TH!M497,2)="15"),'152-CT'!$J$8=TH!F497),"x","")</f>
        <v/>
      </c>
      <c r="W497" s="525" t="str">
        <f>IF(AND(OR(LEFT(TH!L497,2)="15",LEFT(TH!M497,2)="15"),TK!$E$7=TH!F497),"x","")</f>
        <v/>
      </c>
      <c r="X497" s="525" t="str">
        <f>IF(AND('341-CT'!$E$9=H497,OR(LEFT(L497,3)=$X$7,LEFT(M497,3)=$X$7)),"x","")</f>
        <v/>
      </c>
      <c r="Y497" s="525" t="str">
        <f>IF(OR(TH!L497=TH!$Y$7,M497=TH!$Y$7),"x","")</f>
        <v/>
      </c>
      <c r="Z497" s="525" t="str">
        <f>IF(AND(B497&lt;=NKC!$N$8,B497&gt;=NKC!$M$8),"x","")</f>
        <v/>
      </c>
      <c r="AA497" s="535">
        <v>2</v>
      </c>
    </row>
    <row r="498" spans="1:28" s="503" customFormat="1" ht="15.75" customHeight="1">
      <c r="A498" s="517" t="str">
        <f>IF(B498&lt;&gt;"",IF(AND(B498&gt;=_TM1,B498&lt;=_TM2,OR(TH!L498="1111",TH!M498="1111")),TH!D498,""),"")</f>
        <v/>
      </c>
      <c r="B498" s="531">
        <f t="shared" si="59"/>
        <v>4</v>
      </c>
      <c r="C498" s="315">
        <f t="shared" si="60"/>
        <v>42844</v>
      </c>
      <c r="D498" s="315" t="s">
        <v>461</v>
      </c>
      <c r="E498" s="288">
        <v>42844</v>
      </c>
      <c r="F498" s="248" t="s">
        <v>1281</v>
      </c>
      <c r="G498" s="314" t="s">
        <v>440</v>
      </c>
      <c r="H498" s="472"/>
      <c r="I498" s="307"/>
      <c r="J498" s="307"/>
      <c r="K498" s="532">
        <v>4000</v>
      </c>
      <c r="L498" s="533" t="s">
        <v>9</v>
      </c>
      <c r="M498" s="533" t="s">
        <v>24</v>
      </c>
      <c r="N498" s="525" t="str">
        <f>IF(AND('331-CT'!$E$7=TH!H498,OR(L498="331",M498="331")),"331",IF(AND(OR(L498="131",M498="131"),H498='131-CT'!$E$7),"131",""))</f>
        <v/>
      </c>
      <c r="O498" s="525" t="str">
        <f>IF(AND($B498&gt;='111'!$N$11,$B498&lt;='111'!$O$11,OR($L498=$O$7,$M498=$O$7)),"x","")</f>
        <v/>
      </c>
      <c r="P498" s="525" t="str">
        <f>IF(AND($L498=$O$7,$B498&lt;'111'!$N$11),"x","")</f>
        <v/>
      </c>
      <c r="Q498" s="525" t="str">
        <f>IF(AND($M498=$O$7,$B498&lt;'111'!$N$11),"x","")</f>
        <v/>
      </c>
      <c r="R498" s="525" t="str">
        <f>IF(ISERROR(FIND('112'!$M$9,G498,1)),"",IF((AND(FIND('112'!$M$9,G498,1)&gt;=1,$B498&gt;='112'!$N$8,$B498&lt;='112'!$O$8,OR($L498='112'!$I$6,$M498='112'!$I$6))),"x",""))</f>
        <v/>
      </c>
      <c r="S498" s="525" t="str">
        <f>IF(ISERROR(FIND('112'!$M$9,G498,1)),"",IF((AND(LEFT(G498,2)=LEFT('112'!$M$9,2),B498&lt;'112'!$N$8,$L498='112'!$I$6)),"x",""))</f>
        <v/>
      </c>
      <c r="T498" s="525" t="str">
        <f>IF(ISERROR(FIND('112'!$M$9,G498,1)),"",IF((AND(RIGHT(G498,2)=RIGHT('112'!$M$9,2),B498&lt;'112'!$N$8,$M498='112'!$I$6)),"x",""))</f>
        <v>x</v>
      </c>
      <c r="U498" s="525" t="str">
        <f>IF(AND(B498&gt;='IN-NX'!$P$3,B498&lt;='IN-NX'!$Q$3,'IN-NX'!$D$7=D498,OR(LEFT(L498,2)="15",AND(LEFT(M498,2)&lt;&gt;"15",LEFT(M498,2)&lt;&gt;"33"))),"x","")</f>
        <v/>
      </c>
      <c r="V498" s="525" t="str">
        <f>IF(AND(OR(LEFT(TH!L498,2)="15",LEFT(TH!M498,2)="15"),'152-CT'!$J$8=TH!F498),"x","")</f>
        <v/>
      </c>
      <c r="W498" s="525" t="str">
        <f>IF(AND(OR(LEFT(TH!L498,2)="15",LEFT(TH!M498,2)="15"),TK!$E$7=TH!F498),"x","")</f>
        <v/>
      </c>
      <c r="X498" s="525" t="str">
        <f>IF(AND('341-CT'!$E$9=H498,OR(LEFT(L498,3)=$X$7,LEFT(M498,3)=$X$7)),"x","")</f>
        <v/>
      </c>
      <c r="Y498" s="525" t="str">
        <f>IF(OR(TH!L498=TH!$Y$7,M498=TH!$Y$7),"x","")</f>
        <v/>
      </c>
      <c r="Z498" s="525" t="str">
        <f>IF(AND(B498&lt;=NKC!$N$8,B498&gt;=NKC!$M$8),"x","")</f>
        <v/>
      </c>
      <c r="AA498" s="535">
        <v>2</v>
      </c>
    </row>
    <row r="499" spans="1:28" s="503" customFormat="1" ht="15.75" customHeight="1">
      <c r="A499" s="517" t="str">
        <f>IF(B499&lt;&gt;"",IF(AND(B499&gt;=_TM1,B499&lt;=_TM2,OR(TH!L499="1111",TH!M499="1111")),TH!D499,""),"")</f>
        <v/>
      </c>
      <c r="B499" s="531">
        <f t="shared" si="59"/>
        <v>4</v>
      </c>
      <c r="C499" s="315">
        <f t="shared" si="60"/>
        <v>42845</v>
      </c>
      <c r="D499" s="315" t="s">
        <v>461</v>
      </c>
      <c r="E499" s="288">
        <v>42845</v>
      </c>
      <c r="F499" s="249" t="s">
        <v>827</v>
      </c>
      <c r="G499" s="314" t="s">
        <v>440</v>
      </c>
      <c r="H499" s="473" t="s">
        <v>460</v>
      </c>
      <c r="I499" s="307"/>
      <c r="J499" s="307"/>
      <c r="K499" s="532">
        <v>20000000</v>
      </c>
      <c r="L499" s="533" t="s">
        <v>45</v>
      </c>
      <c r="M499" s="533" t="s">
        <v>24</v>
      </c>
      <c r="N499" s="525" t="str">
        <f>IF(AND('331-CT'!$E$7=TH!H499,OR(L499="331",M499="331")),"331",IF(AND(OR(L499="131",M499="131"),H499='131-CT'!$E$7),"131",""))</f>
        <v/>
      </c>
      <c r="O499" s="525" t="str">
        <f>IF(AND($B499&gt;='111'!$N$11,$B499&lt;='111'!$O$11,OR($L499=$O$7,$M499=$O$7)),"x","")</f>
        <v/>
      </c>
      <c r="P499" s="525" t="str">
        <f>IF(AND($L499=$O$7,$B499&lt;'111'!$N$11),"x","")</f>
        <v>x</v>
      </c>
      <c r="Q499" s="525" t="str">
        <f>IF(AND($M499=$O$7,$B499&lt;'111'!$N$11),"x","")</f>
        <v/>
      </c>
      <c r="R499" s="525" t="str">
        <f>IF(ISERROR(FIND('112'!$M$9,G499,1)),"",IF((AND(FIND('112'!$M$9,G499,1)&gt;=1,$B499&gt;='112'!$N$8,$B499&lt;='112'!$O$8,OR($L499='112'!$I$6,$M499='112'!$I$6))),"x",""))</f>
        <v/>
      </c>
      <c r="S499" s="525" t="str">
        <f>IF(ISERROR(FIND('112'!$M$9,G499,1)),"",IF((AND(LEFT(G499,2)=LEFT('112'!$M$9,2),B499&lt;'112'!$N$8,$L499='112'!$I$6)),"x",""))</f>
        <v/>
      </c>
      <c r="T499" s="525" t="str">
        <f>IF(ISERROR(FIND('112'!$M$9,G499,1)),"",IF((AND(RIGHT(G499,2)=RIGHT('112'!$M$9,2),B499&lt;'112'!$N$8,$M499='112'!$I$6)),"x",""))</f>
        <v>x</v>
      </c>
      <c r="U499" s="525" t="str">
        <f>IF(AND(B499&gt;='IN-NX'!$P$3,B499&lt;='IN-NX'!$Q$3,'IN-NX'!$D$7=D499,OR(LEFT(L499,2)="15",AND(LEFT(M499,2)&lt;&gt;"15",LEFT(M499,2)&lt;&gt;"33"))),"x","")</f>
        <v/>
      </c>
      <c r="V499" s="525" t="str">
        <f>IF(AND(OR(LEFT(TH!L499,2)="15",LEFT(TH!M499,2)="15"),'152-CT'!$J$8=TH!F499),"x","")</f>
        <v/>
      </c>
      <c r="W499" s="525" t="str">
        <f>IF(AND(OR(LEFT(TH!L499,2)="15",LEFT(TH!M499,2)="15"),TK!$E$7=TH!F499),"x","")</f>
        <v/>
      </c>
      <c r="X499" s="525" t="str">
        <f>IF(AND('341-CT'!$E$9=H499,OR(LEFT(L499,3)=$X$7,LEFT(M499,3)=$X$7)),"x","")</f>
        <v/>
      </c>
      <c r="Y499" s="525" t="str">
        <f>IF(OR(TH!L499=TH!$Y$7,M499=TH!$Y$7),"x","")</f>
        <v/>
      </c>
      <c r="Z499" s="525" t="str">
        <f>IF(AND(B499&lt;=NKC!$N$8,B499&gt;=NKC!$M$8),"x","")</f>
        <v/>
      </c>
      <c r="AA499" s="535"/>
      <c r="AB499" s="536"/>
    </row>
    <row r="500" spans="1:28" s="503" customFormat="1" ht="15.75" customHeight="1">
      <c r="A500" s="517" t="str">
        <f>IF(B500&lt;&gt;"",IF(AND(B500&gt;=_TM1,B500&lt;=_TM2,OR(TH!L500="1111",TH!M500="1111")),TH!D500,""),"")</f>
        <v/>
      </c>
      <c r="B500" s="531">
        <f t="shared" si="59"/>
        <v>4</v>
      </c>
      <c r="C500" s="315">
        <f t="shared" si="60"/>
        <v>42845</v>
      </c>
      <c r="D500" s="315" t="s">
        <v>461</v>
      </c>
      <c r="E500" s="288">
        <v>42845</v>
      </c>
      <c r="F500" s="248" t="s">
        <v>1280</v>
      </c>
      <c r="G500" s="314" t="s">
        <v>440</v>
      </c>
      <c r="H500" s="472"/>
      <c r="I500" s="307"/>
      <c r="J500" s="307"/>
      <c r="K500" s="532">
        <v>40000</v>
      </c>
      <c r="L500" s="533" t="s">
        <v>81</v>
      </c>
      <c r="M500" s="533" t="s">
        <v>24</v>
      </c>
      <c r="N500" s="525" t="str">
        <f>IF(AND('331-CT'!$E$7=TH!H500,OR(L500="331",M500="331")),"331",IF(AND(OR(L500="131",M500="131"),H500='131-CT'!$E$7),"131",""))</f>
        <v/>
      </c>
      <c r="O500" s="525" t="str">
        <f>IF(AND($B500&gt;='111'!$N$11,$B500&lt;='111'!$O$11,OR($L500=$O$7,$M500=$O$7)),"x","")</f>
        <v/>
      </c>
      <c r="P500" s="525" t="str">
        <f>IF(AND($L500=$O$7,$B500&lt;'111'!$N$11),"x","")</f>
        <v/>
      </c>
      <c r="Q500" s="525" t="str">
        <f>IF(AND($M500=$O$7,$B500&lt;'111'!$N$11),"x","")</f>
        <v/>
      </c>
      <c r="R500" s="525" t="str">
        <f>IF(ISERROR(FIND('112'!$M$9,G500,1)),"",IF((AND(FIND('112'!$M$9,G500,1)&gt;=1,$B500&gt;='112'!$N$8,$B500&lt;='112'!$O$8,OR($L500='112'!$I$6,$M500='112'!$I$6))),"x",""))</f>
        <v/>
      </c>
      <c r="S500" s="525" t="str">
        <f>IF(ISERROR(FIND('112'!$M$9,G500,1)),"",IF((AND(LEFT(G500,2)=LEFT('112'!$M$9,2),B500&lt;'112'!$N$8,$L500='112'!$I$6)),"x",""))</f>
        <v/>
      </c>
      <c r="T500" s="525" t="str">
        <f>IF(ISERROR(FIND('112'!$M$9,G500,1)),"",IF((AND(RIGHT(G500,2)=RIGHT('112'!$M$9,2),B500&lt;'112'!$N$8,$M500='112'!$I$6)),"x",""))</f>
        <v>x</v>
      </c>
      <c r="U500" s="525" t="str">
        <f>IF(AND(B500&gt;='IN-NX'!$P$3,B500&lt;='IN-NX'!$Q$3,'IN-NX'!$D$7=D500,OR(LEFT(L500,2)="15",AND(LEFT(M500,2)&lt;&gt;"15",LEFT(M500,2)&lt;&gt;"33"))),"x","")</f>
        <v/>
      </c>
      <c r="V500" s="525" t="str">
        <f>IF(AND(OR(LEFT(TH!L500,2)="15",LEFT(TH!M500,2)="15"),'152-CT'!$J$8=TH!F500),"x","")</f>
        <v/>
      </c>
      <c r="W500" s="525" t="str">
        <f>IF(AND(OR(LEFT(TH!L500,2)="15",LEFT(TH!M500,2)="15"),TK!$E$7=TH!F500),"x","")</f>
        <v/>
      </c>
      <c r="X500" s="525" t="str">
        <f>IF(AND('341-CT'!$E$9=H500,OR(LEFT(L500,3)=$X$7,LEFT(M500,3)=$X$7)),"x","")</f>
        <v/>
      </c>
      <c r="Y500" s="525" t="str">
        <f>IF(OR(TH!L500=TH!$Y$7,M500=TH!$Y$7),"x","")</f>
        <v/>
      </c>
      <c r="Z500" s="525" t="str">
        <f>IF(AND(B500&lt;=NKC!$N$8,B500&gt;=NKC!$M$8),"x","")</f>
        <v/>
      </c>
      <c r="AA500" s="535">
        <v>2</v>
      </c>
    </row>
    <row r="501" spans="1:28" s="503" customFormat="1" ht="15.75" customHeight="1">
      <c r="A501" s="517" t="str">
        <f>IF(B501&lt;&gt;"",IF(AND(B501&gt;=_TM1,B501&lt;=_TM2,OR(TH!L501="1111",TH!M501="1111")),TH!D501,""),"")</f>
        <v/>
      </c>
      <c r="B501" s="531">
        <f t="shared" si="59"/>
        <v>4</v>
      </c>
      <c r="C501" s="315">
        <f t="shared" si="60"/>
        <v>42845</v>
      </c>
      <c r="D501" s="315" t="s">
        <v>461</v>
      </c>
      <c r="E501" s="288">
        <v>42845</v>
      </c>
      <c r="F501" s="248" t="s">
        <v>1281</v>
      </c>
      <c r="G501" s="314" t="s">
        <v>440</v>
      </c>
      <c r="H501" s="472"/>
      <c r="I501" s="307"/>
      <c r="J501" s="307"/>
      <c r="K501" s="532">
        <v>4000</v>
      </c>
      <c r="L501" s="533" t="s">
        <v>9</v>
      </c>
      <c r="M501" s="533" t="s">
        <v>24</v>
      </c>
      <c r="N501" s="525" t="str">
        <f>IF(AND('331-CT'!$E$7=TH!H501,OR(L501="331",M501="331")),"331",IF(AND(OR(L501="131",M501="131"),H501='131-CT'!$E$7),"131",""))</f>
        <v/>
      </c>
      <c r="O501" s="525" t="str">
        <f>IF(AND($B501&gt;='111'!$N$11,$B501&lt;='111'!$O$11,OR($L501=$O$7,$M501=$O$7)),"x","")</f>
        <v/>
      </c>
      <c r="P501" s="525" t="str">
        <f>IF(AND($L501=$O$7,$B501&lt;'111'!$N$11),"x","")</f>
        <v/>
      </c>
      <c r="Q501" s="525" t="str">
        <f>IF(AND($M501=$O$7,$B501&lt;'111'!$N$11),"x","")</f>
        <v/>
      </c>
      <c r="R501" s="525" t="str">
        <f>IF(ISERROR(FIND('112'!$M$9,G501,1)),"",IF((AND(FIND('112'!$M$9,G501,1)&gt;=1,$B501&gt;='112'!$N$8,$B501&lt;='112'!$O$8,OR($L501='112'!$I$6,$M501='112'!$I$6))),"x",""))</f>
        <v/>
      </c>
      <c r="S501" s="525" t="str">
        <f>IF(ISERROR(FIND('112'!$M$9,G501,1)),"",IF((AND(LEFT(G501,2)=LEFT('112'!$M$9,2),B501&lt;'112'!$N$8,$L501='112'!$I$6)),"x",""))</f>
        <v/>
      </c>
      <c r="T501" s="525" t="str">
        <f>IF(ISERROR(FIND('112'!$M$9,G501,1)),"",IF((AND(RIGHT(G501,2)=RIGHT('112'!$M$9,2),B501&lt;'112'!$N$8,$M501='112'!$I$6)),"x",""))</f>
        <v>x</v>
      </c>
      <c r="U501" s="525" t="str">
        <f>IF(AND(B501&gt;='IN-NX'!$P$3,B501&lt;='IN-NX'!$Q$3,'IN-NX'!$D$7=D501,OR(LEFT(L501,2)="15",AND(LEFT(M501,2)&lt;&gt;"15",LEFT(M501,2)&lt;&gt;"33"))),"x","")</f>
        <v/>
      </c>
      <c r="V501" s="525" t="str">
        <f>IF(AND(OR(LEFT(TH!L501,2)="15",LEFT(TH!M501,2)="15"),'152-CT'!$J$8=TH!F501),"x","")</f>
        <v/>
      </c>
      <c r="W501" s="525" t="str">
        <f>IF(AND(OR(LEFT(TH!L501,2)="15",LEFT(TH!M501,2)="15"),TK!$E$7=TH!F501),"x","")</f>
        <v/>
      </c>
      <c r="X501" s="525" t="str">
        <f>IF(AND('341-CT'!$E$9=H501,OR(LEFT(L501,3)=$X$7,LEFT(M501,3)=$X$7)),"x","")</f>
        <v/>
      </c>
      <c r="Y501" s="525" t="str">
        <f>IF(OR(TH!L501=TH!$Y$7,M501=TH!$Y$7),"x","")</f>
        <v/>
      </c>
      <c r="Z501" s="525" t="str">
        <f>IF(AND(B501&lt;=NKC!$N$8,B501&gt;=NKC!$M$8),"x","")</f>
        <v/>
      </c>
      <c r="AA501" s="535">
        <v>2</v>
      </c>
    </row>
    <row r="502" spans="1:28" s="503" customFormat="1" ht="15.75" customHeight="1">
      <c r="A502" s="517" t="str">
        <f>IF(B502&lt;&gt;"",IF(AND(B502&gt;=_TM1,B502&lt;=_TM2,OR(TH!L502="1111",TH!M502="1111")),TH!D502,""),"")</f>
        <v/>
      </c>
      <c r="B502" s="531">
        <f t="shared" si="59"/>
        <v>4</v>
      </c>
      <c r="C502" s="315">
        <f t="shared" si="60"/>
        <v>42845</v>
      </c>
      <c r="D502" s="315" t="s">
        <v>461</v>
      </c>
      <c r="E502" s="288">
        <v>42845</v>
      </c>
      <c r="F502" s="249" t="s">
        <v>827</v>
      </c>
      <c r="G502" s="314" t="s">
        <v>440</v>
      </c>
      <c r="H502" s="473" t="s">
        <v>460</v>
      </c>
      <c r="I502" s="307"/>
      <c r="J502" s="307"/>
      <c r="K502" s="532">
        <v>3000000</v>
      </c>
      <c r="L502" s="533" t="s">
        <v>45</v>
      </c>
      <c r="M502" s="533" t="s">
        <v>24</v>
      </c>
      <c r="N502" s="525" t="str">
        <f>IF(AND('331-CT'!$E$7=TH!H502,OR(L502="331",M502="331")),"331",IF(AND(OR(L502="131",M502="131"),H502='131-CT'!$E$7),"131",""))</f>
        <v/>
      </c>
      <c r="O502" s="525" t="str">
        <f>IF(AND($B502&gt;='111'!$N$11,$B502&lt;='111'!$O$11,OR($L502=$O$7,$M502=$O$7)),"x","")</f>
        <v/>
      </c>
      <c r="P502" s="525" t="str">
        <f>IF(AND($L502=$O$7,$B502&lt;'111'!$N$11),"x","")</f>
        <v>x</v>
      </c>
      <c r="Q502" s="525" t="str">
        <f>IF(AND($M502=$O$7,$B502&lt;'111'!$N$11),"x","")</f>
        <v/>
      </c>
      <c r="R502" s="525" t="str">
        <f>IF(ISERROR(FIND('112'!$M$9,G502,1)),"",IF((AND(FIND('112'!$M$9,G502,1)&gt;=1,$B502&gt;='112'!$N$8,$B502&lt;='112'!$O$8,OR($L502='112'!$I$6,$M502='112'!$I$6))),"x",""))</f>
        <v/>
      </c>
      <c r="S502" s="525" t="str">
        <f>IF(ISERROR(FIND('112'!$M$9,G502,1)),"",IF((AND(LEFT(G502,2)=LEFT('112'!$M$9,2),B502&lt;'112'!$N$8,$L502='112'!$I$6)),"x",""))</f>
        <v/>
      </c>
      <c r="T502" s="525" t="str">
        <f>IF(ISERROR(FIND('112'!$M$9,G502,1)),"",IF((AND(RIGHT(G502,2)=RIGHT('112'!$M$9,2),B502&lt;'112'!$N$8,$M502='112'!$I$6)),"x",""))</f>
        <v>x</v>
      </c>
      <c r="U502" s="525" t="str">
        <f>IF(AND(B502&gt;='IN-NX'!$P$3,B502&lt;='IN-NX'!$Q$3,'IN-NX'!$D$7=D502,OR(LEFT(L502,2)="15",AND(LEFT(M502,2)&lt;&gt;"15",LEFT(M502,2)&lt;&gt;"33"))),"x","")</f>
        <v/>
      </c>
      <c r="V502" s="525" t="str">
        <f>IF(AND(OR(LEFT(TH!L502,2)="15",LEFT(TH!M502,2)="15"),'152-CT'!$J$8=TH!F502),"x","")</f>
        <v/>
      </c>
      <c r="W502" s="525" t="str">
        <f>IF(AND(OR(LEFT(TH!L502,2)="15",LEFT(TH!M502,2)="15"),TK!$E$7=TH!F502),"x","")</f>
        <v/>
      </c>
      <c r="X502" s="525" t="str">
        <f>IF(AND('341-CT'!$E$9=H502,OR(LEFT(L502,3)=$X$7,LEFT(M502,3)=$X$7)),"x","")</f>
        <v/>
      </c>
      <c r="Y502" s="525" t="str">
        <f>IF(OR(TH!L502=TH!$Y$7,M502=TH!$Y$7),"x","")</f>
        <v/>
      </c>
      <c r="Z502" s="525" t="str">
        <f>IF(AND(B502&lt;=NKC!$N$8,B502&gt;=NKC!$M$8),"x","")</f>
        <v/>
      </c>
      <c r="AA502" s="535"/>
    </row>
    <row r="503" spans="1:28" s="503" customFormat="1" ht="15.75" customHeight="1">
      <c r="A503" s="517" t="str">
        <f>IF(B503&lt;&gt;"",IF(AND(B503&gt;=_TM1,B503&lt;=_TM2,OR(TH!L503="1111",TH!M503="1111")),TH!D503,""),"")</f>
        <v/>
      </c>
      <c r="B503" s="531">
        <f t="shared" si="59"/>
        <v>4</v>
      </c>
      <c r="C503" s="315">
        <f t="shared" si="60"/>
        <v>42845</v>
      </c>
      <c r="D503" s="315" t="s">
        <v>461</v>
      </c>
      <c r="E503" s="288">
        <v>42845</v>
      </c>
      <c r="F503" s="248" t="s">
        <v>1280</v>
      </c>
      <c r="G503" s="314" t="s">
        <v>440</v>
      </c>
      <c r="H503" s="472"/>
      <c r="I503" s="307"/>
      <c r="J503" s="307"/>
      <c r="K503" s="532">
        <v>10000</v>
      </c>
      <c r="L503" s="533" t="s">
        <v>81</v>
      </c>
      <c r="M503" s="533" t="s">
        <v>24</v>
      </c>
      <c r="N503" s="525" t="str">
        <f>IF(AND('331-CT'!$E$7=TH!H503,OR(L503="331",M503="331")),"331",IF(AND(OR(L503="131",M503="131"),H503='131-CT'!$E$7),"131",""))</f>
        <v/>
      </c>
      <c r="O503" s="525" t="str">
        <f>IF(AND($B503&gt;='111'!$N$11,$B503&lt;='111'!$O$11,OR($L503=$O$7,$M503=$O$7)),"x","")</f>
        <v/>
      </c>
      <c r="P503" s="525" t="str">
        <f>IF(AND($L503=$O$7,$B503&lt;'111'!$N$11),"x","")</f>
        <v/>
      </c>
      <c r="Q503" s="525" t="str">
        <f>IF(AND($M503=$O$7,$B503&lt;'111'!$N$11),"x","")</f>
        <v/>
      </c>
      <c r="R503" s="525" t="str">
        <f>IF(ISERROR(FIND('112'!$M$9,G503,1)),"",IF((AND(FIND('112'!$M$9,G503,1)&gt;=1,$B503&gt;='112'!$N$8,$B503&lt;='112'!$O$8,OR($L503='112'!$I$6,$M503='112'!$I$6))),"x",""))</f>
        <v/>
      </c>
      <c r="S503" s="525" t="str">
        <f>IF(ISERROR(FIND('112'!$M$9,G503,1)),"",IF((AND(LEFT(G503,2)=LEFT('112'!$M$9,2),B503&lt;'112'!$N$8,$L503='112'!$I$6)),"x",""))</f>
        <v/>
      </c>
      <c r="T503" s="525" t="str">
        <f>IF(ISERROR(FIND('112'!$M$9,G503,1)),"",IF((AND(RIGHT(G503,2)=RIGHT('112'!$M$9,2),B503&lt;'112'!$N$8,$M503='112'!$I$6)),"x",""))</f>
        <v>x</v>
      </c>
      <c r="U503" s="525" t="str">
        <f>IF(AND(B503&gt;='IN-NX'!$P$3,B503&lt;='IN-NX'!$Q$3,'IN-NX'!$D$7=D503,OR(LEFT(L503,2)="15",AND(LEFT(M503,2)&lt;&gt;"15",LEFT(M503,2)&lt;&gt;"33"))),"x","")</f>
        <v/>
      </c>
      <c r="V503" s="525" t="str">
        <f>IF(AND(OR(LEFT(TH!L503,2)="15",LEFT(TH!M503,2)="15"),'152-CT'!$J$8=TH!F503),"x","")</f>
        <v/>
      </c>
      <c r="W503" s="525" t="str">
        <f>IF(AND(OR(LEFT(TH!L503,2)="15",LEFT(TH!M503,2)="15"),TK!$E$7=TH!F503),"x","")</f>
        <v/>
      </c>
      <c r="X503" s="525" t="str">
        <f>IF(AND('341-CT'!$E$9=H503,OR(LEFT(L503,3)=$X$7,LEFT(M503,3)=$X$7)),"x","")</f>
        <v/>
      </c>
      <c r="Y503" s="525" t="str">
        <f>IF(OR(TH!L503=TH!$Y$7,M503=TH!$Y$7),"x","")</f>
        <v/>
      </c>
      <c r="Z503" s="525" t="str">
        <f>IF(AND(B503&lt;=NKC!$N$8,B503&gt;=NKC!$M$8),"x","")</f>
        <v/>
      </c>
      <c r="AA503" s="535">
        <v>2</v>
      </c>
      <c r="AB503" s="536"/>
    </row>
    <row r="504" spans="1:28" s="503" customFormat="1" ht="15.75" customHeight="1">
      <c r="A504" s="517" t="str">
        <f>IF(B504&lt;&gt;"",IF(AND(B504&gt;=_TM1,B504&lt;=_TM2,OR(TH!L504="1111",TH!M504="1111")),TH!D504,""),"")</f>
        <v/>
      </c>
      <c r="B504" s="531">
        <f t="shared" si="59"/>
        <v>4</v>
      </c>
      <c r="C504" s="315">
        <f t="shared" si="60"/>
        <v>42845</v>
      </c>
      <c r="D504" s="315" t="s">
        <v>461</v>
      </c>
      <c r="E504" s="288">
        <v>42845</v>
      </c>
      <c r="F504" s="248" t="s">
        <v>1281</v>
      </c>
      <c r="G504" s="314" t="s">
        <v>440</v>
      </c>
      <c r="H504" s="472"/>
      <c r="I504" s="307"/>
      <c r="J504" s="307"/>
      <c r="K504" s="532">
        <v>1000</v>
      </c>
      <c r="L504" s="533" t="s">
        <v>9</v>
      </c>
      <c r="M504" s="533" t="s">
        <v>24</v>
      </c>
      <c r="N504" s="525" t="str">
        <f>IF(AND('331-CT'!$E$7=TH!H504,OR(L504="331",M504="331")),"331",IF(AND(OR(L504="131",M504="131"),H504='131-CT'!$E$7),"131",""))</f>
        <v/>
      </c>
      <c r="O504" s="525" t="str">
        <f>IF(AND($B504&gt;='111'!$N$11,$B504&lt;='111'!$O$11,OR($L504=$O$7,$M504=$O$7)),"x","")</f>
        <v/>
      </c>
      <c r="P504" s="525" t="str">
        <f>IF(AND($L504=$O$7,$B504&lt;'111'!$N$11),"x","")</f>
        <v/>
      </c>
      <c r="Q504" s="525" t="str">
        <f>IF(AND($M504=$O$7,$B504&lt;'111'!$N$11),"x","")</f>
        <v/>
      </c>
      <c r="R504" s="525" t="str">
        <f>IF(ISERROR(FIND('112'!$M$9,G504,1)),"",IF((AND(FIND('112'!$M$9,G504,1)&gt;=1,$B504&gt;='112'!$N$8,$B504&lt;='112'!$O$8,OR($L504='112'!$I$6,$M504='112'!$I$6))),"x",""))</f>
        <v/>
      </c>
      <c r="S504" s="525" t="str">
        <f>IF(ISERROR(FIND('112'!$M$9,G504,1)),"",IF((AND(LEFT(G504,2)=LEFT('112'!$M$9,2),B504&lt;'112'!$N$8,$L504='112'!$I$6)),"x",""))</f>
        <v/>
      </c>
      <c r="T504" s="525" t="str">
        <f>IF(ISERROR(FIND('112'!$M$9,G504,1)),"",IF((AND(RIGHT(G504,2)=RIGHT('112'!$M$9,2),B504&lt;'112'!$N$8,$M504='112'!$I$6)),"x",""))</f>
        <v>x</v>
      </c>
      <c r="U504" s="525" t="str">
        <f>IF(AND(B504&gt;='IN-NX'!$P$3,B504&lt;='IN-NX'!$Q$3,'IN-NX'!$D$7=D504,OR(LEFT(L504,2)="15",AND(LEFT(M504,2)&lt;&gt;"15",LEFT(M504,2)&lt;&gt;"33"))),"x","")</f>
        <v/>
      </c>
      <c r="V504" s="525" t="str">
        <f>IF(AND(OR(LEFT(TH!L504,2)="15",LEFT(TH!M504,2)="15"),'152-CT'!$J$8=TH!F504),"x","")</f>
        <v/>
      </c>
      <c r="W504" s="525" t="str">
        <f>IF(AND(OR(LEFT(TH!L504,2)="15",LEFT(TH!M504,2)="15"),TK!$E$7=TH!F504),"x","")</f>
        <v/>
      </c>
      <c r="X504" s="525" t="str">
        <f>IF(AND('341-CT'!$E$9=H504,OR(LEFT(L504,3)=$X$7,LEFT(M504,3)=$X$7)),"x","")</f>
        <v/>
      </c>
      <c r="Y504" s="525" t="str">
        <f>IF(OR(TH!L504=TH!$Y$7,M504=TH!$Y$7),"x","")</f>
        <v/>
      </c>
      <c r="Z504" s="525" t="str">
        <f>IF(AND(B504&lt;=NKC!$N$8,B504&gt;=NKC!$M$8),"x","")</f>
        <v/>
      </c>
      <c r="AA504" s="535">
        <v>2</v>
      </c>
    </row>
    <row r="505" spans="1:28" s="503" customFormat="1" ht="15.75" customHeight="1">
      <c r="A505" s="517" t="str">
        <f>IF(B505&lt;&gt;"",IF(AND(B505&gt;=_TM1,B505&lt;=_TM2,OR(TH!L505="1111",TH!M505="1111")),TH!D505,""),"")</f>
        <v/>
      </c>
      <c r="B505" s="531">
        <f t="shared" si="59"/>
        <v>4</v>
      </c>
      <c r="C505" s="315">
        <f t="shared" si="60"/>
        <v>42845</v>
      </c>
      <c r="D505" s="315" t="s">
        <v>461</v>
      </c>
      <c r="E505" s="288">
        <v>42845</v>
      </c>
      <c r="F505" s="249" t="s">
        <v>828</v>
      </c>
      <c r="G505" s="314" t="s">
        <v>440</v>
      </c>
      <c r="H505" s="621" t="s">
        <v>1271</v>
      </c>
      <c r="I505" s="307"/>
      <c r="J505" s="307"/>
      <c r="K505" s="532">
        <v>3847773</v>
      </c>
      <c r="L505" s="533" t="s">
        <v>79</v>
      </c>
      <c r="M505" s="533" t="s">
        <v>24</v>
      </c>
      <c r="N505" s="525" t="str">
        <f>IF(AND('331-CT'!$E$7=TH!H505,OR(L505="331",M505="331")),"331",IF(AND(OR(L505="131",M505="131"),H505='131-CT'!$E$7),"131",""))</f>
        <v/>
      </c>
      <c r="O505" s="525" t="str">
        <f>IF(AND($B505&gt;='111'!$N$11,$B505&lt;='111'!$O$11,OR($L505=$O$7,$M505=$O$7)),"x","")</f>
        <v/>
      </c>
      <c r="P505" s="525" t="str">
        <f>IF(AND($L505=$O$7,$B505&lt;'111'!$N$11),"x","")</f>
        <v/>
      </c>
      <c r="Q505" s="525" t="str">
        <f>IF(AND($M505=$O$7,$B505&lt;'111'!$N$11),"x","")</f>
        <v/>
      </c>
      <c r="R505" s="525" t="str">
        <f>IF(ISERROR(FIND('112'!$M$9,G505,1)),"",IF((AND(FIND('112'!$M$9,G505,1)&gt;=1,$B505&gt;='112'!$N$8,$B505&lt;='112'!$O$8,OR($L505='112'!$I$6,$M505='112'!$I$6))),"x",""))</f>
        <v/>
      </c>
      <c r="S505" s="525" t="str">
        <f>IF(ISERROR(FIND('112'!$M$9,G505,1)),"",IF((AND(LEFT(G505,2)=LEFT('112'!$M$9,2),B505&lt;'112'!$N$8,$L505='112'!$I$6)),"x",""))</f>
        <v/>
      </c>
      <c r="T505" s="525" t="str">
        <f>IF(ISERROR(FIND('112'!$M$9,G505,1)),"",IF((AND(RIGHT(G505,2)=RIGHT('112'!$M$9,2),B505&lt;'112'!$N$8,$M505='112'!$I$6)),"x",""))</f>
        <v>x</v>
      </c>
      <c r="U505" s="525" t="str">
        <f>IF(AND(B505&gt;='IN-NX'!$P$3,B505&lt;='IN-NX'!$Q$3,'IN-NX'!$D$7=D505,OR(LEFT(L505,2)="15",AND(LEFT(M505,2)&lt;&gt;"15",LEFT(M505,2)&lt;&gt;"33"))),"x","")</f>
        <v/>
      </c>
      <c r="V505" s="525" t="str">
        <f>IF(AND(OR(LEFT(TH!L505,2)="15",LEFT(TH!M505,2)="15"),'152-CT'!$J$8=TH!F505),"x","")</f>
        <v/>
      </c>
      <c r="W505" s="525" t="str">
        <f>IF(AND(OR(LEFT(TH!L505,2)="15",LEFT(TH!M505,2)="15"),TK!$E$7=TH!F505),"x","")</f>
        <v/>
      </c>
      <c r="X505" s="525" t="str">
        <f>IF(AND('341-CT'!$E$9=H505,OR(LEFT(L505,3)=$X$7,LEFT(M505,3)=$X$7)),"x","")</f>
        <v/>
      </c>
      <c r="Y505" s="525" t="str">
        <f>IF(OR(TH!L505=TH!$Y$7,M505=TH!$Y$7),"x","")</f>
        <v/>
      </c>
      <c r="Z505" s="525" t="str">
        <f>IF(AND(B505&lt;=NKC!$N$8,B505&gt;=NKC!$M$8),"x","")</f>
        <v/>
      </c>
      <c r="AA505" s="535"/>
    </row>
    <row r="506" spans="1:28" s="503" customFormat="1" ht="15.75" customHeight="1">
      <c r="A506" s="517" t="str">
        <f>IF(B506&lt;&gt;"",IF(AND(B506&gt;=_TM1,B506&lt;=_TM2,OR(TH!L506="1111",TH!M506="1111")),TH!D506,""),"")</f>
        <v/>
      </c>
      <c r="B506" s="531">
        <f t="shared" si="59"/>
        <v>4</v>
      </c>
      <c r="C506" s="315">
        <f t="shared" si="60"/>
        <v>42845</v>
      </c>
      <c r="D506" s="315" t="s">
        <v>461</v>
      </c>
      <c r="E506" s="288">
        <v>42845</v>
      </c>
      <c r="F506" s="249" t="s">
        <v>829</v>
      </c>
      <c r="G506" s="314" t="s">
        <v>440</v>
      </c>
      <c r="H506" s="621" t="s">
        <v>1271</v>
      </c>
      <c r="I506" s="307"/>
      <c r="J506" s="307"/>
      <c r="K506" s="532">
        <v>22170000</v>
      </c>
      <c r="L506" s="534" t="s">
        <v>441</v>
      </c>
      <c r="M506" s="533" t="s">
        <v>24</v>
      </c>
      <c r="N506" s="525" t="str">
        <f>IF(AND('331-CT'!$E$7=TH!H506,OR(L506="331",M506="331")),"331",IF(AND(OR(L506="131",M506="131"),H506='131-CT'!$E$7),"131",""))</f>
        <v/>
      </c>
      <c r="O506" s="525" t="str">
        <f>IF(AND($B506&gt;='111'!$N$11,$B506&lt;='111'!$O$11,OR($L506=$O$7,$M506=$O$7)),"x","")</f>
        <v/>
      </c>
      <c r="P506" s="525" t="str">
        <f>IF(AND($L506=$O$7,$B506&lt;'111'!$N$11),"x","")</f>
        <v/>
      </c>
      <c r="Q506" s="525" t="str">
        <f>IF(AND($M506=$O$7,$B506&lt;'111'!$N$11),"x","")</f>
        <v/>
      </c>
      <c r="R506" s="525" t="str">
        <f>IF(ISERROR(FIND('112'!$M$9,G506,1)),"",IF((AND(FIND('112'!$M$9,G506,1)&gt;=1,$B506&gt;='112'!$N$8,$B506&lt;='112'!$O$8,OR($L506='112'!$I$6,$M506='112'!$I$6))),"x",""))</f>
        <v/>
      </c>
      <c r="S506" s="525" t="str">
        <f>IF(ISERROR(FIND('112'!$M$9,G506,1)),"",IF((AND(LEFT(G506,2)=LEFT('112'!$M$9,2),B506&lt;'112'!$N$8,$L506='112'!$I$6)),"x",""))</f>
        <v/>
      </c>
      <c r="T506" s="525" t="str">
        <f>IF(ISERROR(FIND('112'!$M$9,G506,1)),"",IF((AND(RIGHT(G506,2)=RIGHT('112'!$M$9,2),B506&lt;'112'!$N$8,$M506='112'!$I$6)),"x",""))</f>
        <v>x</v>
      </c>
      <c r="U506" s="525" t="str">
        <f>IF(AND(B506&gt;='IN-NX'!$P$3,B506&lt;='IN-NX'!$Q$3,'IN-NX'!$D$7=D506,OR(LEFT(L506,2)="15",AND(LEFT(M506,2)&lt;&gt;"15",LEFT(M506,2)&lt;&gt;"33"))),"x","")</f>
        <v/>
      </c>
      <c r="V506" s="525" t="str">
        <f>IF(AND(OR(LEFT(TH!L506,2)="15",LEFT(TH!M506,2)="15"),'152-CT'!$J$8=TH!F506),"x","")</f>
        <v/>
      </c>
      <c r="W506" s="525" t="str">
        <f>IF(AND(OR(LEFT(TH!L506,2)="15",LEFT(TH!M506,2)="15"),TK!$E$7=TH!F506),"x","")</f>
        <v/>
      </c>
      <c r="X506" s="525" t="str">
        <f>IF(AND('341-CT'!$E$9=H506,OR(LEFT(L506,3)=$X$7,LEFT(M506,3)=$X$7)),"x","")</f>
        <v>x</v>
      </c>
      <c r="Y506" s="525" t="str">
        <f>IF(OR(TH!L506=TH!$Y$7,M506=TH!$Y$7),"x","")</f>
        <v/>
      </c>
      <c r="Z506" s="525" t="str">
        <f>IF(AND(B506&lt;=NKC!$N$8,B506&gt;=NKC!$M$8),"x","")</f>
        <v/>
      </c>
      <c r="AA506" s="535"/>
    </row>
    <row r="507" spans="1:28" s="503" customFormat="1" ht="15.75" customHeight="1">
      <c r="A507" s="517" t="str">
        <f>IF(B507&lt;&gt;"",IF(AND(B507&gt;=_TM1,B507&lt;=_TM2,OR(TH!L507="1111",TH!M507="1111")),TH!D507,""),"")</f>
        <v/>
      </c>
      <c r="B507" s="531">
        <f t="shared" si="59"/>
        <v>4</v>
      </c>
      <c r="C507" s="315">
        <f t="shared" si="60"/>
        <v>42845</v>
      </c>
      <c r="D507" s="315" t="s">
        <v>461</v>
      </c>
      <c r="E507" s="288">
        <v>42845</v>
      </c>
      <c r="F507" s="249" t="s">
        <v>828</v>
      </c>
      <c r="G507" s="314" t="s">
        <v>440</v>
      </c>
      <c r="H507" s="621" t="s">
        <v>1272</v>
      </c>
      <c r="I507" s="307"/>
      <c r="J507" s="307"/>
      <c r="K507" s="532">
        <v>1948364</v>
      </c>
      <c r="L507" s="533" t="s">
        <v>79</v>
      </c>
      <c r="M507" s="533" t="s">
        <v>24</v>
      </c>
      <c r="N507" s="525" t="str">
        <f>IF(AND('331-CT'!$E$7=TH!H507,OR(L507="331",M507="331")),"331",IF(AND(OR(L507="131",M507="131"),H507='131-CT'!$E$7),"131",""))</f>
        <v/>
      </c>
      <c r="O507" s="525" t="str">
        <f>IF(AND($B507&gt;='111'!$N$11,$B507&lt;='111'!$O$11,OR($L507=$O$7,$M507=$O$7)),"x","")</f>
        <v/>
      </c>
      <c r="P507" s="525" t="str">
        <f>IF(AND($L507=$O$7,$B507&lt;'111'!$N$11),"x","")</f>
        <v/>
      </c>
      <c r="Q507" s="525" t="str">
        <f>IF(AND($M507=$O$7,$B507&lt;'111'!$N$11),"x","")</f>
        <v/>
      </c>
      <c r="R507" s="525" t="str">
        <f>IF(ISERROR(FIND('112'!$M$9,G507,1)),"",IF((AND(FIND('112'!$M$9,G507,1)&gt;=1,$B507&gt;='112'!$N$8,$B507&lt;='112'!$O$8,OR($L507='112'!$I$6,$M507='112'!$I$6))),"x",""))</f>
        <v/>
      </c>
      <c r="S507" s="525" t="str">
        <f>IF(ISERROR(FIND('112'!$M$9,G507,1)),"",IF((AND(LEFT(G507,2)=LEFT('112'!$M$9,2),B507&lt;'112'!$N$8,$L507='112'!$I$6)),"x",""))</f>
        <v/>
      </c>
      <c r="T507" s="525" t="str">
        <f>IF(ISERROR(FIND('112'!$M$9,G507,1)),"",IF((AND(RIGHT(G507,2)=RIGHT('112'!$M$9,2),B507&lt;'112'!$N$8,$M507='112'!$I$6)),"x",""))</f>
        <v>x</v>
      </c>
      <c r="U507" s="525" t="str">
        <f>IF(AND(B507&gt;='IN-NX'!$P$3,B507&lt;='IN-NX'!$Q$3,'IN-NX'!$D$7=D507,OR(LEFT(L507,2)="15",AND(LEFT(M507,2)&lt;&gt;"15",LEFT(M507,2)&lt;&gt;"33"))),"x","")</f>
        <v/>
      </c>
      <c r="V507" s="525" t="str">
        <f>IF(AND(OR(LEFT(TH!L507,2)="15",LEFT(TH!M507,2)="15"),'152-CT'!$J$8=TH!F507),"x","")</f>
        <v/>
      </c>
      <c r="W507" s="525" t="str">
        <f>IF(AND(OR(LEFT(TH!L507,2)="15",LEFT(TH!M507,2)="15"),TK!$E$7=TH!F507),"x","")</f>
        <v/>
      </c>
      <c r="X507" s="525" t="str">
        <f>IF(AND('341-CT'!$E$9=H507,OR(LEFT(L507,3)=$X$7,LEFT(M507,3)=$X$7)),"x","")</f>
        <v/>
      </c>
      <c r="Y507" s="525" t="str">
        <f>IF(OR(TH!L507=TH!$Y$7,M507=TH!$Y$7),"x","")</f>
        <v/>
      </c>
      <c r="Z507" s="525" t="str">
        <f>IF(AND(B507&lt;=NKC!$N$8,B507&gt;=NKC!$M$8),"x","")</f>
        <v/>
      </c>
      <c r="AA507" s="535"/>
      <c r="AB507" s="536"/>
    </row>
    <row r="508" spans="1:28" s="503" customFormat="1" ht="15.75" customHeight="1">
      <c r="A508" s="517" t="str">
        <f>IF(B508&lt;&gt;"",IF(AND(B508&gt;=_TM1,B508&lt;=_TM2,OR(TH!L508="1111",TH!M508="1111")),TH!D508,""),"")</f>
        <v/>
      </c>
      <c r="B508" s="531">
        <f t="shared" si="59"/>
        <v>4</v>
      </c>
      <c r="C508" s="315">
        <f t="shared" si="60"/>
        <v>42845</v>
      </c>
      <c r="D508" s="315" t="s">
        <v>461</v>
      </c>
      <c r="E508" s="288">
        <v>42845</v>
      </c>
      <c r="F508" s="249" t="s">
        <v>829</v>
      </c>
      <c r="G508" s="314" t="s">
        <v>440</v>
      </c>
      <c r="H508" s="621" t="s">
        <v>1272</v>
      </c>
      <c r="I508" s="307"/>
      <c r="J508" s="307"/>
      <c r="K508" s="532">
        <v>11140000</v>
      </c>
      <c r="L508" s="534" t="s">
        <v>441</v>
      </c>
      <c r="M508" s="533" t="s">
        <v>24</v>
      </c>
      <c r="N508" s="525" t="str">
        <f>IF(AND('331-CT'!$E$7=TH!H508,OR(L508="331",M508="331")),"331",IF(AND(OR(L508="131",M508="131"),H508='131-CT'!$E$7),"131",""))</f>
        <v/>
      </c>
      <c r="O508" s="525" t="str">
        <f>IF(AND($B508&gt;='111'!$N$11,$B508&lt;='111'!$O$11,OR($L508=$O$7,$M508=$O$7)),"x","")</f>
        <v/>
      </c>
      <c r="P508" s="525" t="str">
        <f>IF(AND($L508=$O$7,$B508&lt;'111'!$N$11),"x","")</f>
        <v/>
      </c>
      <c r="Q508" s="525" t="str">
        <f>IF(AND($M508=$O$7,$B508&lt;'111'!$N$11),"x","")</f>
        <v/>
      </c>
      <c r="R508" s="525" t="str">
        <f>IF(ISERROR(FIND('112'!$M$9,G508,1)),"",IF((AND(FIND('112'!$M$9,G508,1)&gt;=1,$B508&gt;='112'!$N$8,$B508&lt;='112'!$O$8,OR($L508='112'!$I$6,$M508='112'!$I$6))),"x",""))</f>
        <v/>
      </c>
      <c r="S508" s="525" t="str">
        <f>IF(ISERROR(FIND('112'!$M$9,G508,1)),"",IF((AND(LEFT(G508,2)=LEFT('112'!$M$9,2),B508&lt;'112'!$N$8,$L508='112'!$I$6)),"x",""))</f>
        <v/>
      </c>
      <c r="T508" s="525" t="str">
        <f>IF(ISERROR(FIND('112'!$M$9,G508,1)),"",IF((AND(RIGHT(G508,2)=RIGHT('112'!$M$9,2),B508&lt;'112'!$N$8,$M508='112'!$I$6)),"x",""))</f>
        <v>x</v>
      </c>
      <c r="U508" s="525" t="str">
        <f>IF(AND(B508&gt;='IN-NX'!$P$3,B508&lt;='IN-NX'!$Q$3,'IN-NX'!$D$7=D508,OR(LEFT(L508,2)="15",AND(LEFT(M508,2)&lt;&gt;"15",LEFT(M508,2)&lt;&gt;"33"))),"x","")</f>
        <v/>
      </c>
      <c r="V508" s="525" t="str">
        <f>IF(AND(OR(LEFT(TH!L508,2)="15",LEFT(TH!M508,2)="15"),'152-CT'!$J$8=TH!F508),"x","")</f>
        <v/>
      </c>
      <c r="W508" s="525" t="str">
        <f>IF(AND(OR(LEFT(TH!L508,2)="15",LEFT(TH!M508,2)="15"),TK!$E$7=TH!F508),"x","")</f>
        <v/>
      </c>
      <c r="X508" s="525" t="str">
        <f>IF(AND('341-CT'!$E$9=H508,OR(LEFT(L508,3)=$X$7,LEFT(M508,3)=$X$7)),"x","")</f>
        <v/>
      </c>
      <c r="Y508" s="525" t="str">
        <f>IF(OR(TH!L508=TH!$Y$7,M508=TH!$Y$7),"x","")</f>
        <v/>
      </c>
      <c r="Z508" s="525" t="str">
        <f>IF(AND(B508&lt;=NKC!$N$8,B508&gt;=NKC!$M$8),"x","")</f>
        <v/>
      </c>
      <c r="AA508" s="535"/>
    </row>
    <row r="509" spans="1:28" s="503" customFormat="1" ht="15.75" customHeight="1">
      <c r="A509" s="517" t="str">
        <f>IF(B509&lt;&gt;"",IF(AND(B509&gt;=_TM1,B509&lt;=_TM2,OR(TH!L509="1111",TH!M509="1111")),TH!D509,""),"")</f>
        <v/>
      </c>
      <c r="B509" s="531">
        <f t="shared" si="59"/>
        <v>4</v>
      </c>
      <c r="C509" s="315">
        <f t="shared" si="60"/>
        <v>42845</v>
      </c>
      <c r="D509" s="315" t="s">
        <v>461</v>
      </c>
      <c r="E509" s="288">
        <v>42845</v>
      </c>
      <c r="F509" s="249" t="s">
        <v>828</v>
      </c>
      <c r="G509" s="314" t="s">
        <v>440</v>
      </c>
      <c r="H509" s="621" t="s">
        <v>1274</v>
      </c>
      <c r="I509" s="307"/>
      <c r="J509" s="307"/>
      <c r="K509" s="532">
        <v>1465017</v>
      </c>
      <c r="L509" s="533" t="s">
        <v>79</v>
      </c>
      <c r="M509" s="533" t="s">
        <v>24</v>
      </c>
      <c r="N509" s="525" t="str">
        <f>IF(AND('331-CT'!$E$7=TH!H509,OR(L509="331",M509="331")),"331",IF(AND(OR(L509="131",M509="131"),H509='131-CT'!$E$7),"131",""))</f>
        <v/>
      </c>
      <c r="O509" s="525" t="str">
        <f>IF(AND($B509&gt;='111'!$N$11,$B509&lt;='111'!$O$11,OR($L509=$O$7,$M509=$O$7)),"x","")</f>
        <v/>
      </c>
      <c r="P509" s="525" t="str">
        <f>IF(AND($L509=$O$7,$B509&lt;'111'!$N$11),"x","")</f>
        <v/>
      </c>
      <c r="Q509" s="525" t="str">
        <f>IF(AND($M509=$O$7,$B509&lt;'111'!$N$11),"x","")</f>
        <v/>
      </c>
      <c r="R509" s="525" t="str">
        <f>IF(ISERROR(FIND('112'!$M$9,G509,1)),"",IF((AND(FIND('112'!$M$9,G509,1)&gt;=1,$B509&gt;='112'!$N$8,$B509&lt;='112'!$O$8,OR($L509='112'!$I$6,$M509='112'!$I$6))),"x",""))</f>
        <v/>
      </c>
      <c r="S509" s="525" t="str">
        <f>IF(ISERROR(FIND('112'!$M$9,G509,1)),"",IF((AND(LEFT(G509,2)=LEFT('112'!$M$9,2),B509&lt;'112'!$N$8,$L509='112'!$I$6)),"x",""))</f>
        <v/>
      </c>
      <c r="T509" s="525" t="str">
        <f>IF(ISERROR(FIND('112'!$M$9,G509,1)),"",IF((AND(RIGHT(G509,2)=RIGHT('112'!$M$9,2),B509&lt;'112'!$N$8,$M509='112'!$I$6)),"x",""))</f>
        <v>x</v>
      </c>
      <c r="U509" s="525" t="str">
        <f>IF(AND(B509&gt;='IN-NX'!$P$3,B509&lt;='IN-NX'!$Q$3,'IN-NX'!$D$7=D509,OR(LEFT(L509,2)="15",AND(LEFT(M509,2)&lt;&gt;"15",LEFT(M509,2)&lt;&gt;"33"))),"x","")</f>
        <v/>
      </c>
      <c r="V509" s="525" t="str">
        <f>IF(AND(OR(LEFT(TH!L509,2)="15",LEFT(TH!M509,2)="15"),'152-CT'!$J$8=TH!F509),"x","")</f>
        <v/>
      </c>
      <c r="W509" s="525" t="str">
        <f>IF(AND(OR(LEFT(TH!L509,2)="15",LEFT(TH!M509,2)="15"),TK!$E$7=TH!F509),"x","")</f>
        <v/>
      </c>
      <c r="X509" s="525" t="str">
        <f>IF(AND('341-CT'!$E$9=H509,OR(LEFT(L509,3)=$X$7,LEFT(M509,3)=$X$7)),"x","")</f>
        <v/>
      </c>
      <c r="Y509" s="525" t="str">
        <f>IF(OR(TH!L509=TH!$Y$7,M509=TH!$Y$7),"x","")</f>
        <v/>
      </c>
      <c r="Z509" s="525" t="str">
        <f>IF(AND(B509&lt;=NKC!$N$8,B509&gt;=NKC!$M$8),"x","")</f>
        <v/>
      </c>
      <c r="AA509" s="535"/>
    </row>
    <row r="510" spans="1:28" s="503" customFormat="1" ht="15.75" customHeight="1">
      <c r="A510" s="517" t="str">
        <f>IF(B510&lt;&gt;"",IF(AND(B510&gt;=_TM1,B510&lt;=_TM2,OR(TH!L510="1111",TH!M510="1111")),TH!D510,""),"")</f>
        <v/>
      </c>
      <c r="B510" s="531">
        <f t="shared" si="59"/>
        <v>4</v>
      </c>
      <c r="C510" s="315">
        <f t="shared" si="60"/>
        <v>42845</v>
      </c>
      <c r="D510" s="315" t="s">
        <v>461</v>
      </c>
      <c r="E510" s="288">
        <v>42845</v>
      </c>
      <c r="F510" s="249" t="s">
        <v>829</v>
      </c>
      <c r="G510" s="314" t="s">
        <v>440</v>
      </c>
      <c r="H510" s="621" t="s">
        <v>1274</v>
      </c>
      <c r="I510" s="307"/>
      <c r="J510" s="307"/>
      <c r="K510" s="532">
        <v>10920000</v>
      </c>
      <c r="L510" s="534" t="s">
        <v>441</v>
      </c>
      <c r="M510" s="533" t="s">
        <v>24</v>
      </c>
      <c r="N510" s="525" t="str">
        <f>IF(AND('331-CT'!$E$7=TH!H510,OR(L510="331",M510="331")),"331",IF(AND(OR(L510="131",M510="131"),H510='131-CT'!$E$7),"131",""))</f>
        <v/>
      </c>
      <c r="O510" s="525" t="str">
        <f>IF(AND($B510&gt;='111'!$N$11,$B510&lt;='111'!$O$11,OR($L510=$O$7,$M510=$O$7)),"x","")</f>
        <v/>
      </c>
      <c r="P510" s="525" t="str">
        <f>IF(AND($L510=$O$7,$B510&lt;'111'!$N$11),"x","")</f>
        <v/>
      </c>
      <c r="Q510" s="525" t="str">
        <f>IF(AND($M510=$O$7,$B510&lt;'111'!$N$11),"x","")</f>
        <v/>
      </c>
      <c r="R510" s="525" t="str">
        <f>IF(ISERROR(FIND('112'!$M$9,G510,1)),"",IF((AND(FIND('112'!$M$9,G510,1)&gt;=1,$B510&gt;='112'!$N$8,$B510&lt;='112'!$O$8,OR($L510='112'!$I$6,$M510='112'!$I$6))),"x",""))</f>
        <v/>
      </c>
      <c r="S510" s="525" t="str">
        <f>IF(ISERROR(FIND('112'!$M$9,G510,1)),"",IF((AND(LEFT(G510,2)=LEFT('112'!$M$9,2),B510&lt;'112'!$N$8,$L510='112'!$I$6)),"x",""))</f>
        <v/>
      </c>
      <c r="T510" s="525" t="str">
        <f>IF(ISERROR(FIND('112'!$M$9,G510,1)),"",IF((AND(RIGHT(G510,2)=RIGHT('112'!$M$9,2),B510&lt;'112'!$N$8,$M510='112'!$I$6)),"x",""))</f>
        <v>x</v>
      </c>
      <c r="U510" s="525" t="str">
        <f>IF(AND(B510&gt;='IN-NX'!$P$3,B510&lt;='IN-NX'!$Q$3,'IN-NX'!$D$7=D510,OR(LEFT(L510,2)="15",AND(LEFT(M510,2)&lt;&gt;"15",LEFT(M510,2)&lt;&gt;"33"))),"x","")</f>
        <v/>
      </c>
      <c r="V510" s="525" t="str">
        <f>IF(AND(OR(LEFT(TH!L510,2)="15",LEFT(TH!M510,2)="15"),'152-CT'!$J$8=TH!F510),"x","")</f>
        <v/>
      </c>
      <c r="W510" s="525" t="str">
        <f>IF(AND(OR(LEFT(TH!L510,2)="15",LEFT(TH!M510,2)="15"),TK!$E$7=TH!F510),"x","")</f>
        <v/>
      </c>
      <c r="X510" s="525" t="str">
        <f>IF(AND('341-CT'!$E$9=H510,OR(LEFT(L510,3)=$X$7,LEFT(M510,3)=$X$7)),"x","")</f>
        <v/>
      </c>
      <c r="Y510" s="525" t="str">
        <f>IF(OR(TH!L510=TH!$Y$7,M510=TH!$Y$7),"x","")</f>
        <v/>
      </c>
      <c r="Z510" s="525" t="str">
        <f>IF(AND(B510&lt;=NKC!$N$8,B510&gt;=NKC!$M$8),"x","")</f>
        <v/>
      </c>
      <c r="AA510" s="535"/>
    </row>
    <row r="511" spans="1:28" s="503" customFormat="1" ht="15.75" customHeight="1">
      <c r="A511" s="517" t="str">
        <f>IF(B511&lt;&gt;"",IF(AND(B511&gt;=_TM1,B511&lt;=_TM2,OR(TH!L511="1111",TH!M511="1111")),TH!D511,""),"")</f>
        <v/>
      </c>
      <c r="B511" s="531">
        <f t="shared" si="59"/>
        <v>4</v>
      </c>
      <c r="C511" s="315">
        <f t="shared" si="60"/>
        <v>42845</v>
      </c>
      <c r="D511" s="315" t="s">
        <v>461</v>
      </c>
      <c r="E511" s="288">
        <v>42845</v>
      </c>
      <c r="F511" s="249" t="s">
        <v>828</v>
      </c>
      <c r="G511" s="314" t="s">
        <v>440</v>
      </c>
      <c r="H511" s="621" t="s">
        <v>1273</v>
      </c>
      <c r="I511" s="307"/>
      <c r="J511" s="307"/>
      <c r="K511" s="532">
        <v>1859483</v>
      </c>
      <c r="L511" s="533" t="s">
        <v>79</v>
      </c>
      <c r="M511" s="533" t="s">
        <v>24</v>
      </c>
      <c r="N511" s="525" t="str">
        <f>IF(AND('331-CT'!$E$7=TH!H511,OR(L511="331",M511="331")),"331",IF(AND(OR(L511="131",M511="131"),H511='131-CT'!$E$7),"131",""))</f>
        <v/>
      </c>
      <c r="O511" s="525" t="str">
        <f>IF(AND($B511&gt;='111'!$N$11,$B511&lt;='111'!$O$11,OR($L511=$O$7,$M511=$O$7)),"x","")</f>
        <v/>
      </c>
      <c r="P511" s="525" t="str">
        <f>IF(AND($L511=$O$7,$B511&lt;'111'!$N$11),"x","")</f>
        <v/>
      </c>
      <c r="Q511" s="525" t="str">
        <f>IF(AND($M511=$O$7,$B511&lt;'111'!$N$11),"x","")</f>
        <v/>
      </c>
      <c r="R511" s="525" t="str">
        <f>IF(ISERROR(FIND('112'!$M$9,G511,1)),"",IF((AND(FIND('112'!$M$9,G511,1)&gt;=1,$B511&gt;='112'!$N$8,$B511&lt;='112'!$O$8,OR($L511='112'!$I$6,$M511='112'!$I$6))),"x",""))</f>
        <v/>
      </c>
      <c r="S511" s="525" t="str">
        <f>IF(ISERROR(FIND('112'!$M$9,G511,1)),"",IF((AND(LEFT(G511,2)=LEFT('112'!$M$9,2),B511&lt;'112'!$N$8,$L511='112'!$I$6)),"x",""))</f>
        <v/>
      </c>
      <c r="T511" s="525" t="str">
        <f>IF(ISERROR(FIND('112'!$M$9,G511,1)),"",IF((AND(RIGHT(G511,2)=RIGHT('112'!$M$9,2),B511&lt;'112'!$N$8,$M511='112'!$I$6)),"x",""))</f>
        <v>x</v>
      </c>
      <c r="U511" s="525" t="str">
        <f>IF(AND(B511&gt;='IN-NX'!$P$3,B511&lt;='IN-NX'!$Q$3,'IN-NX'!$D$7=D511,OR(LEFT(L511,2)="15",AND(LEFT(M511,2)&lt;&gt;"15",LEFT(M511,2)&lt;&gt;"33"))),"x","")</f>
        <v/>
      </c>
      <c r="V511" s="525" t="str">
        <f>IF(AND(OR(LEFT(TH!L511,2)="15",LEFT(TH!M511,2)="15"),'152-CT'!$J$8=TH!F511),"x","")</f>
        <v/>
      </c>
      <c r="W511" s="525" t="str">
        <f>IF(AND(OR(LEFT(TH!L511,2)="15",LEFT(TH!M511,2)="15"),TK!$E$7=TH!F511),"x","")</f>
        <v/>
      </c>
      <c r="X511" s="525" t="str">
        <f>IF(AND('341-CT'!$E$9=H511,OR(LEFT(L511,3)=$X$7,LEFT(M511,3)=$X$7)),"x","")</f>
        <v/>
      </c>
      <c r="Y511" s="525" t="str">
        <f>IF(OR(TH!L511=TH!$Y$7,M511=TH!$Y$7),"x","")</f>
        <v/>
      </c>
      <c r="Z511" s="525" t="str">
        <f>IF(AND(B511&lt;=NKC!$N$8,B511&gt;=NKC!$M$8),"x","")</f>
        <v/>
      </c>
      <c r="AA511" s="535"/>
      <c r="AB511" s="536"/>
    </row>
    <row r="512" spans="1:28" s="503" customFormat="1" ht="15.75" customHeight="1">
      <c r="A512" s="517" t="str">
        <f>IF(B512&lt;&gt;"",IF(AND(B512&gt;=_TM1,B512&lt;=_TM2,OR(TH!L512="1111",TH!M512="1111")),TH!D512,""),"")</f>
        <v/>
      </c>
      <c r="B512" s="531">
        <f t="shared" si="59"/>
        <v>4</v>
      </c>
      <c r="C512" s="315">
        <f t="shared" si="60"/>
        <v>42845</v>
      </c>
      <c r="D512" s="315" t="s">
        <v>461</v>
      </c>
      <c r="E512" s="288">
        <v>42845</v>
      </c>
      <c r="F512" s="249" t="s">
        <v>829</v>
      </c>
      <c r="G512" s="314" t="s">
        <v>440</v>
      </c>
      <c r="H512" s="621" t="s">
        <v>1273</v>
      </c>
      <c r="I512" s="307"/>
      <c r="J512" s="307"/>
      <c r="K512" s="532">
        <v>9830000</v>
      </c>
      <c r="L512" s="534" t="s">
        <v>441</v>
      </c>
      <c r="M512" s="533" t="s">
        <v>24</v>
      </c>
      <c r="N512" s="525" t="str">
        <f>IF(AND('331-CT'!$E$7=TH!H512,OR(L512="331",M512="331")),"331",IF(AND(OR(L512="131",M512="131"),H512='131-CT'!$E$7),"131",""))</f>
        <v/>
      </c>
      <c r="O512" s="525" t="str">
        <f>IF(AND($B512&gt;='111'!$N$11,$B512&lt;='111'!$O$11,OR($L512=$O$7,$M512=$O$7)),"x","")</f>
        <v/>
      </c>
      <c r="P512" s="525" t="str">
        <f>IF(AND($L512=$O$7,$B512&lt;'111'!$N$11),"x","")</f>
        <v/>
      </c>
      <c r="Q512" s="525" t="str">
        <f>IF(AND($M512=$O$7,$B512&lt;'111'!$N$11),"x","")</f>
        <v/>
      </c>
      <c r="R512" s="525" t="str">
        <f>IF(ISERROR(FIND('112'!$M$9,G512,1)),"",IF((AND(FIND('112'!$M$9,G512,1)&gt;=1,$B512&gt;='112'!$N$8,$B512&lt;='112'!$O$8,OR($L512='112'!$I$6,$M512='112'!$I$6))),"x",""))</f>
        <v/>
      </c>
      <c r="S512" s="525" t="str">
        <f>IF(ISERROR(FIND('112'!$M$9,G512,1)),"",IF((AND(LEFT(G512,2)=LEFT('112'!$M$9,2),B512&lt;'112'!$N$8,$L512='112'!$I$6)),"x",""))</f>
        <v/>
      </c>
      <c r="T512" s="525" t="str">
        <f>IF(ISERROR(FIND('112'!$M$9,G512,1)),"",IF((AND(RIGHT(G512,2)=RIGHT('112'!$M$9,2),B512&lt;'112'!$N$8,$M512='112'!$I$6)),"x",""))</f>
        <v>x</v>
      </c>
      <c r="U512" s="525" t="str">
        <f>IF(AND(B512&gt;='IN-NX'!$P$3,B512&lt;='IN-NX'!$Q$3,'IN-NX'!$D$7=D512,OR(LEFT(L512,2)="15",AND(LEFT(M512,2)&lt;&gt;"15",LEFT(M512,2)&lt;&gt;"33"))),"x","")</f>
        <v/>
      </c>
      <c r="V512" s="525" t="str">
        <f>IF(AND(OR(LEFT(TH!L512,2)="15",LEFT(TH!M512,2)="15"),'152-CT'!$J$8=TH!F512),"x","")</f>
        <v/>
      </c>
      <c r="W512" s="525" t="str">
        <f>IF(AND(OR(LEFT(TH!L512,2)="15",LEFT(TH!M512,2)="15"),TK!$E$7=TH!F512),"x","")</f>
        <v/>
      </c>
      <c r="X512" s="525" t="str">
        <f>IF(AND('341-CT'!$E$9=H512,OR(LEFT(L512,3)=$X$7,LEFT(M512,3)=$X$7)),"x","")</f>
        <v/>
      </c>
      <c r="Y512" s="525" t="str">
        <f>IF(OR(TH!L512=TH!$Y$7,M512=TH!$Y$7),"x","")</f>
        <v/>
      </c>
      <c r="Z512" s="525" t="str">
        <f>IF(AND(B512&lt;=NKC!$N$8,B512&gt;=NKC!$M$8),"x","")</f>
        <v/>
      </c>
      <c r="AA512" s="535"/>
    </row>
    <row r="513" spans="1:28" s="503" customFormat="1" ht="15.75" customHeight="1">
      <c r="A513" s="517" t="str">
        <f>IF(B513&lt;&gt;"",IF(AND(B513&gt;=_TM1,B513&lt;=_TM2,OR(TH!L513="1111",TH!M513="1111")),TH!D513,""),"")</f>
        <v/>
      </c>
      <c r="B513" s="531">
        <f t="shared" si="59"/>
        <v>4</v>
      </c>
      <c r="C513" s="315">
        <f t="shared" si="60"/>
        <v>42845</v>
      </c>
      <c r="D513" s="315" t="s">
        <v>461</v>
      </c>
      <c r="E513" s="288">
        <v>42845</v>
      </c>
      <c r="F513" s="249" t="s">
        <v>828</v>
      </c>
      <c r="G513" s="314" t="s">
        <v>440</v>
      </c>
      <c r="H513" s="621" t="s">
        <v>830</v>
      </c>
      <c r="I513" s="307"/>
      <c r="J513" s="307"/>
      <c r="K513" s="532">
        <v>2616047</v>
      </c>
      <c r="L513" s="533" t="s">
        <v>79</v>
      </c>
      <c r="M513" s="533" t="s">
        <v>24</v>
      </c>
      <c r="N513" s="525" t="str">
        <f>IF(AND('331-CT'!$E$7=TH!H513,OR(L513="331",M513="331")),"331",IF(AND(OR(L513="131",M513="131"),H513='131-CT'!$E$7),"131",""))</f>
        <v/>
      </c>
      <c r="O513" s="525" t="str">
        <f>IF(AND($B513&gt;='111'!$N$11,$B513&lt;='111'!$O$11,OR($L513=$O$7,$M513=$O$7)),"x","")</f>
        <v/>
      </c>
      <c r="P513" s="525" t="str">
        <f>IF(AND($L513=$O$7,$B513&lt;'111'!$N$11),"x","")</f>
        <v/>
      </c>
      <c r="Q513" s="525" t="str">
        <f>IF(AND($M513=$O$7,$B513&lt;'111'!$N$11),"x","")</f>
        <v/>
      </c>
      <c r="R513" s="525" t="str">
        <f>IF(ISERROR(FIND('112'!$M$9,G513,1)),"",IF((AND(FIND('112'!$M$9,G513,1)&gt;=1,$B513&gt;='112'!$N$8,$B513&lt;='112'!$O$8,OR($L513='112'!$I$6,$M513='112'!$I$6))),"x",""))</f>
        <v/>
      </c>
      <c r="S513" s="525" t="str">
        <f>IF(ISERROR(FIND('112'!$M$9,G513,1)),"",IF((AND(LEFT(G513,2)=LEFT('112'!$M$9,2),B513&lt;'112'!$N$8,$L513='112'!$I$6)),"x",""))</f>
        <v/>
      </c>
      <c r="T513" s="525" t="str">
        <f>IF(ISERROR(FIND('112'!$M$9,G513,1)),"",IF((AND(RIGHT(G513,2)=RIGHT('112'!$M$9,2),B513&lt;'112'!$N$8,$M513='112'!$I$6)),"x",""))</f>
        <v>x</v>
      </c>
      <c r="U513" s="525" t="str">
        <f>IF(AND(B513&gt;='IN-NX'!$P$3,B513&lt;='IN-NX'!$Q$3,'IN-NX'!$D$7=D513,OR(LEFT(L513,2)="15",AND(LEFT(M513,2)&lt;&gt;"15",LEFT(M513,2)&lt;&gt;"33"))),"x","")</f>
        <v/>
      </c>
      <c r="V513" s="525" t="str">
        <f>IF(AND(OR(LEFT(TH!L513,2)="15",LEFT(TH!M513,2)="15"),'152-CT'!$J$8=TH!F513),"x","")</f>
        <v/>
      </c>
      <c r="W513" s="525" t="str">
        <f>IF(AND(OR(LEFT(TH!L513,2)="15",LEFT(TH!M513,2)="15"),TK!$E$7=TH!F513),"x","")</f>
        <v/>
      </c>
      <c r="X513" s="525" t="str">
        <f>IF(AND('341-CT'!$E$9=H513,OR(LEFT(L513,3)=$X$7,LEFT(M513,3)=$X$7)),"x","")</f>
        <v/>
      </c>
      <c r="Y513" s="525" t="str">
        <f>IF(OR(TH!L513=TH!$Y$7,M513=TH!$Y$7),"x","")</f>
        <v/>
      </c>
      <c r="Z513" s="525" t="str">
        <f>IF(AND(B513&lt;=NKC!$N$8,B513&gt;=NKC!$M$8),"x","")</f>
        <v/>
      </c>
      <c r="AA513" s="535"/>
    </row>
    <row r="514" spans="1:28" s="503" customFormat="1" ht="15.75" customHeight="1">
      <c r="A514" s="517" t="str">
        <f>IF(B514&lt;&gt;"",IF(AND(B514&gt;=_TM1,B514&lt;=_TM2,OR(TH!L514="1111",TH!M514="1111")),TH!D514,""),"")</f>
        <v/>
      </c>
      <c r="B514" s="531">
        <f t="shared" si="59"/>
        <v>4</v>
      </c>
      <c r="C514" s="315">
        <f t="shared" si="60"/>
        <v>42845</v>
      </c>
      <c r="D514" s="315" t="s">
        <v>461</v>
      </c>
      <c r="E514" s="288">
        <v>42845</v>
      </c>
      <c r="F514" s="249" t="s">
        <v>829</v>
      </c>
      <c r="G514" s="314" t="s">
        <v>440</v>
      </c>
      <c r="H514" s="621" t="s">
        <v>830</v>
      </c>
      <c r="I514" s="307"/>
      <c r="J514" s="307"/>
      <c r="K514" s="532">
        <v>9420000</v>
      </c>
      <c r="L514" s="534" t="s">
        <v>441</v>
      </c>
      <c r="M514" s="533" t="s">
        <v>24</v>
      </c>
      <c r="N514" s="525" t="str">
        <f>IF(AND('331-CT'!$E$7=TH!H514,OR(L514="331",M514="331")),"331",IF(AND(OR(L514="131",M514="131"),H514='131-CT'!$E$7),"131",""))</f>
        <v/>
      </c>
      <c r="O514" s="525" t="str">
        <f>IF(AND($B514&gt;='111'!$N$11,$B514&lt;='111'!$O$11,OR($L514=$O$7,$M514=$O$7)),"x","")</f>
        <v/>
      </c>
      <c r="P514" s="525" t="str">
        <f>IF(AND($L514=$O$7,$B514&lt;'111'!$N$11),"x","")</f>
        <v/>
      </c>
      <c r="Q514" s="525" t="str">
        <f>IF(AND($M514=$O$7,$B514&lt;'111'!$N$11),"x","")</f>
        <v/>
      </c>
      <c r="R514" s="525" t="str">
        <f>IF(ISERROR(FIND('112'!$M$9,G514,1)),"",IF((AND(FIND('112'!$M$9,G514,1)&gt;=1,$B514&gt;='112'!$N$8,$B514&lt;='112'!$O$8,OR($L514='112'!$I$6,$M514='112'!$I$6))),"x",""))</f>
        <v/>
      </c>
      <c r="S514" s="525" t="str">
        <f>IF(ISERROR(FIND('112'!$M$9,G514,1)),"",IF((AND(LEFT(G514,2)=LEFT('112'!$M$9,2),B514&lt;'112'!$N$8,$L514='112'!$I$6)),"x",""))</f>
        <v/>
      </c>
      <c r="T514" s="525" t="str">
        <f>IF(ISERROR(FIND('112'!$M$9,G514,1)),"",IF((AND(RIGHT(G514,2)=RIGHT('112'!$M$9,2),B514&lt;'112'!$N$8,$M514='112'!$I$6)),"x",""))</f>
        <v>x</v>
      </c>
      <c r="U514" s="525" t="str">
        <f>IF(AND(B514&gt;='IN-NX'!$P$3,B514&lt;='IN-NX'!$Q$3,'IN-NX'!$D$7=D514,OR(LEFT(L514,2)="15",AND(LEFT(M514,2)&lt;&gt;"15",LEFT(M514,2)&lt;&gt;"33"))),"x","")</f>
        <v/>
      </c>
      <c r="V514" s="525" t="str">
        <f>IF(AND(OR(LEFT(TH!L514,2)="15",LEFT(TH!M514,2)="15"),'152-CT'!$J$8=TH!F514),"x","")</f>
        <v/>
      </c>
      <c r="W514" s="525" t="str">
        <f>IF(AND(OR(LEFT(TH!L514,2)="15",LEFT(TH!M514,2)="15"),TK!$E$7=TH!F514),"x","")</f>
        <v/>
      </c>
      <c r="X514" s="525" t="str">
        <f>IF(AND('341-CT'!$E$9=H514,OR(LEFT(L514,3)=$X$7,LEFT(M514,3)=$X$7)),"x","")</f>
        <v/>
      </c>
      <c r="Y514" s="525" t="str">
        <f>IF(OR(TH!L514=TH!$Y$7,M514=TH!$Y$7),"x","")</f>
        <v/>
      </c>
      <c r="Z514" s="525" t="str">
        <f>IF(AND(B514&lt;=NKC!$N$8,B514&gt;=NKC!$M$8),"x","")</f>
        <v/>
      </c>
      <c r="AA514" s="535"/>
    </row>
    <row r="515" spans="1:28" s="503" customFormat="1" ht="15.75" customHeight="1">
      <c r="A515" s="517" t="str">
        <f>IF(B515&lt;&gt;"",IF(AND(B515&gt;=_TM1,B515&lt;=_TM2,OR(TH!L515="1111",TH!M515="1111")),TH!D515,""),"")</f>
        <v/>
      </c>
      <c r="B515" s="531">
        <f t="shared" si="59"/>
        <v>4</v>
      </c>
      <c r="C515" s="315">
        <f t="shared" si="60"/>
        <v>42847</v>
      </c>
      <c r="D515" s="315" t="s">
        <v>461</v>
      </c>
      <c r="E515" s="288">
        <v>42847</v>
      </c>
      <c r="F515" s="249" t="s">
        <v>1282</v>
      </c>
      <c r="G515" s="314" t="s">
        <v>440</v>
      </c>
      <c r="H515" s="473"/>
      <c r="I515" s="307"/>
      <c r="J515" s="307"/>
      <c r="K515" s="532">
        <v>1827000</v>
      </c>
      <c r="L515" s="533" t="s">
        <v>85</v>
      </c>
      <c r="M515" s="533" t="s">
        <v>24</v>
      </c>
      <c r="N515" s="525" t="str">
        <f>IF(AND('331-CT'!$E$7=TH!H515,OR(L515="331",M515="331")),"331",IF(AND(OR(L515="131",M515="131"),H515='131-CT'!$E$7),"131",""))</f>
        <v/>
      </c>
      <c r="O515" s="525" t="str">
        <f>IF(AND($B515&gt;='111'!$N$11,$B515&lt;='111'!$O$11,OR($L515=$O$7,$M515=$O$7)),"x","")</f>
        <v/>
      </c>
      <c r="P515" s="525" t="str">
        <f>IF(AND($L515=$O$7,$B515&lt;'111'!$N$11),"x","")</f>
        <v/>
      </c>
      <c r="Q515" s="525" t="str">
        <f>IF(AND($M515=$O$7,$B515&lt;'111'!$N$11),"x","")</f>
        <v/>
      </c>
      <c r="R515" s="525" t="str">
        <f>IF(ISERROR(FIND('112'!$M$9,G515,1)),"",IF((AND(FIND('112'!$M$9,G515,1)&gt;=1,$B515&gt;='112'!$N$8,$B515&lt;='112'!$O$8,OR($L515='112'!$I$6,$M515='112'!$I$6))),"x",""))</f>
        <v/>
      </c>
      <c r="S515" s="525" t="str">
        <f>IF(ISERROR(FIND('112'!$M$9,G515,1)),"",IF((AND(LEFT(G515,2)=LEFT('112'!$M$9,2),B515&lt;'112'!$N$8,$L515='112'!$I$6)),"x",""))</f>
        <v/>
      </c>
      <c r="T515" s="525" t="str">
        <f>IF(ISERROR(FIND('112'!$M$9,G515,1)),"",IF((AND(RIGHT(G515,2)=RIGHT('112'!$M$9,2),B515&lt;'112'!$N$8,$M515='112'!$I$6)),"x",""))</f>
        <v>x</v>
      </c>
      <c r="U515" s="525" t="str">
        <f>IF(AND(B515&gt;='IN-NX'!$P$3,B515&lt;='IN-NX'!$Q$3,'IN-NX'!$D$7=D515,OR(LEFT(L515,2)="15",AND(LEFT(M515,2)&lt;&gt;"15",LEFT(M515,2)&lt;&gt;"33"))),"x","")</f>
        <v/>
      </c>
      <c r="V515" s="525" t="str">
        <f>IF(AND(OR(LEFT(TH!L515,2)="15",LEFT(TH!M515,2)="15"),'152-CT'!$J$8=TH!F515),"x","")</f>
        <v/>
      </c>
      <c r="W515" s="525" t="str">
        <f>IF(AND(OR(LEFT(TH!L515,2)="15",LEFT(TH!M515,2)="15"),TK!$E$7=TH!F515),"x","")</f>
        <v/>
      </c>
      <c r="X515" s="525" t="str">
        <f>IF(AND('341-CT'!$E$9=H515,OR(LEFT(L515,3)=$X$7,LEFT(M515,3)=$X$7)),"x","")</f>
        <v/>
      </c>
      <c r="Y515" s="525" t="str">
        <f>IF(OR(TH!L515=TH!$Y$7,M515=TH!$Y$7),"x","")</f>
        <v/>
      </c>
      <c r="Z515" s="525" t="str">
        <f>IF(AND(B515&lt;=NKC!$N$8,B515&gt;=NKC!$M$8),"x","")</f>
        <v/>
      </c>
      <c r="AA515" s="535"/>
      <c r="AB515" s="536"/>
    </row>
    <row r="516" spans="1:28" s="503" customFormat="1" ht="15.75" customHeight="1">
      <c r="A516" s="517" t="str">
        <f>IF(B516&lt;&gt;"",IF(AND(B516&gt;=_TM1,B516&lt;=_TM2,OR(TH!L516="1111",TH!M516="1111")),TH!D516,""),"")</f>
        <v/>
      </c>
      <c r="B516" s="531">
        <f t="shared" si="59"/>
        <v>4</v>
      </c>
      <c r="C516" s="315">
        <f t="shared" si="60"/>
        <v>42849</v>
      </c>
      <c r="D516" s="315" t="s">
        <v>461</v>
      </c>
      <c r="E516" s="288">
        <v>42849</v>
      </c>
      <c r="F516" s="249" t="s">
        <v>827</v>
      </c>
      <c r="G516" s="314" t="s">
        <v>440</v>
      </c>
      <c r="H516" s="473" t="s">
        <v>460</v>
      </c>
      <c r="I516" s="307"/>
      <c r="J516" s="307"/>
      <c r="K516" s="532">
        <v>5000000</v>
      </c>
      <c r="L516" s="533" t="s">
        <v>45</v>
      </c>
      <c r="M516" s="533" t="s">
        <v>24</v>
      </c>
      <c r="N516" s="525" t="str">
        <f>IF(AND('331-CT'!$E$7=TH!H516,OR(L516="331",M516="331")),"331",IF(AND(OR(L516="131",M516="131"),H516='131-CT'!$E$7),"131",""))</f>
        <v/>
      </c>
      <c r="O516" s="525" t="str">
        <f>IF(AND($B516&gt;='111'!$N$11,$B516&lt;='111'!$O$11,OR($L516=$O$7,$M516=$O$7)),"x","")</f>
        <v/>
      </c>
      <c r="P516" s="525" t="str">
        <f>IF(AND($L516=$O$7,$B516&lt;'111'!$N$11),"x","")</f>
        <v>x</v>
      </c>
      <c r="Q516" s="525" t="str">
        <f>IF(AND($M516=$O$7,$B516&lt;'111'!$N$11),"x","")</f>
        <v/>
      </c>
      <c r="R516" s="525" t="str">
        <f>IF(ISERROR(FIND('112'!$M$9,G516,1)),"",IF((AND(FIND('112'!$M$9,G516,1)&gt;=1,$B516&gt;='112'!$N$8,$B516&lt;='112'!$O$8,OR($L516='112'!$I$6,$M516='112'!$I$6))),"x",""))</f>
        <v/>
      </c>
      <c r="S516" s="525" t="str">
        <f>IF(ISERROR(FIND('112'!$M$9,G516,1)),"",IF((AND(LEFT(G516,2)=LEFT('112'!$M$9,2),B516&lt;'112'!$N$8,$L516='112'!$I$6)),"x",""))</f>
        <v/>
      </c>
      <c r="T516" s="525" t="str">
        <f>IF(ISERROR(FIND('112'!$M$9,G516,1)),"",IF((AND(RIGHT(G516,2)=RIGHT('112'!$M$9,2),B516&lt;'112'!$N$8,$M516='112'!$I$6)),"x",""))</f>
        <v>x</v>
      </c>
      <c r="U516" s="525" t="str">
        <f>IF(AND(B516&gt;='IN-NX'!$P$3,B516&lt;='IN-NX'!$Q$3,'IN-NX'!$D$7=D516,OR(LEFT(L516,2)="15",AND(LEFT(M516,2)&lt;&gt;"15",LEFT(M516,2)&lt;&gt;"33"))),"x","")</f>
        <v/>
      </c>
      <c r="V516" s="525" t="str">
        <f>IF(AND(OR(LEFT(TH!L516,2)="15",LEFT(TH!M516,2)="15"),'152-CT'!$J$8=TH!F516),"x","")</f>
        <v/>
      </c>
      <c r="W516" s="525" t="str">
        <f>IF(AND(OR(LEFT(TH!L516,2)="15",LEFT(TH!M516,2)="15"),TK!$E$7=TH!F516),"x","")</f>
        <v/>
      </c>
      <c r="X516" s="525" t="str">
        <f>IF(AND('341-CT'!$E$9=H516,OR(LEFT(L516,3)=$X$7,LEFT(M516,3)=$X$7)),"x","")</f>
        <v/>
      </c>
      <c r="Y516" s="525" t="str">
        <f>IF(OR(TH!L516=TH!$Y$7,M516=TH!$Y$7),"x","")</f>
        <v/>
      </c>
      <c r="Z516" s="525" t="str">
        <f>IF(AND(B516&lt;=NKC!$N$8,B516&gt;=NKC!$M$8),"x","")</f>
        <v/>
      </c>
      <c r="AA516" s="535"/>
    </row>
    <row r="517" spans="1:28" s="503" customFormat="1" ht="15.75" customHeight="1">
      <c r="A517" s="517" t="str">
        <f>IF(B517&lt;&gt;"",IF(AND(B517&gt;=_TM1,B517&lt;=_TM2,OR(TH!L517="1111",TH!M517="1111")),TH!D517,""),"")</f>
        <v/>
      </c>
      <c r="B517" s="531">
        <f t="shared" ref="B517:B548" si="61">IF(C517&lt;&gt;"",MONTH(C517),"")</f>
        <v>4</v>
      </c>
      <c r="C517" s="315">
        <f t="shared" ref="C517:C548" si="62">E517</f>
        <v>42849</v>
      </c>
      <c r="D517" s="315" t="s">
        <v>461</v>
      </c>
      <c r="E517" s="288">
        <v>42849</v>
      </c>
      <c r="F517" s="248" t="s">
        <v>1280</v>
      </c>
      <c r="G517" s="314" t="s">
        <v>440</v>
      </c>
      <c r="H517" s="472"/>
      <c r="I517" s="307"/>
      <c r="J517" s="307"/>
      <c r="K517" s="532">
        <v>10000</v>
      </c>
      <c r="L517" s="533" t="s">
        <v>81</v>
      </c>
      <c r="M517" s="533" t="s">
        <v>24</v>
      </c>
      <c r="N517" s="525" t="str">
        <f>IF(AND('331-CT'!$E$7=TH!H517,OR(L517="331",M517="331")),"331",IF(AND(OR(L517="131",M517="131"),H517='131-CT'!$E$7),"131",""))</f>
        <v/>
      </c>
      <c r="O517" s="525" t="str">
        <f>IF(AND($B517&gt;='111'!$N$11,$B517&lt;='111'!$O$11,OR($L517=$O$7,$M517=$O$7)),"x","")</f>
        <v/>
      </c>
      <c r="P517" s="525" t="str">
        <f>IF(AND($L517=$O$7,$B517&lt;'111'!$N$11),"x","")</f>
        <v/>
      </c>
      <c r="Q517" s="525" t="str">
        <f>IF(AND($M517=$O$7,$B517&lt;'111'!$N$11),"x","")</f>
        <v/>
      </c>
      <c r="R517" s="525" t="str">
        <f>IF(ISERROR(FIND('112'!$M$9,G517,1)),"",IF((AND(FIND('112'!$M$9,G517,1)&gt;=1,$B517&gt;='112'!$N$8,$B517&lt;='112'!$O$8,OR($L517='112'!$I$6,$M517='112'!$I$6))),"x",""))</f>
        <v/>
      </c>
      <c r="S517" s="525" t="str">
        <f>IF(ISERROR(FIND('112'!$M$9,G517,1)),"",IF((AND(LEFT(G517,2)=LEFT('112'!$M$9,2),B517&lt;'112'!$N$8,$L517='112'!$I$6)),"x",""))</f>
        <v/>
      </c>
      <c r="T517" s="525" t="str">
        <f>IF(ISERROR(FIND('112'!$M$9,G517,1)),"",IF((AND(RIGHT(G517,2)=RIGHT('112'!$M$9,2),B517&lt;'112'!$N$8,$M517='112'!$I$6)),"x",""))</f>
        <v>x</v>
      </c>
      <c r="U517" s="525" t="str">
        <f>IF(AND(B517&gt;='IN-NX'!$P$3,B517&lt;='IN-NX'!$Q$3,'IN-NX'!$D$7=D517,OR(LEFT(L517,2)="15",AND(LEFT(M517,2)&lt;&gt;"15",LEFT(M517,2)&lt;&gt;"33"))),"x","")</f>
        <v/>
      </c>
      <c r="V517" s="525" t="str">
        <f>IF(AND(OR(LEFT(TH!L517,2)="15",LEFT(TH!M517,2)="15"),'152-CT'!$J$8=TH!F517),"x","")</f>
        <v/>
      </c>
      <c r="W517" s="525" t="str">
        <f>IF(AND(OR(LEFT(TH!L517,2)="15",LEFT(TH!M517,2)="15"),TK!$E$7=TH!F517),"x","")</f>
        <v/>
      </c>
      <c r="X517" s="525" t="str">
        <f>IF(AND('341-CT'!$E$9=H517,OR(LEFT(L517,3)=$X$7,LEFT(M517,3)=$X$7)),"x","")</f>
        <v/>
      </c>
      <c r="Y517" s="525" t="str">
        <f>IF(OR(TH!L517=TH!$Y$7,M517=TH!$Y$7),"x","")</f>
        <v/>
      </c>
      <c r="Z517" s="525" t="str">
        <f>IF(AND(B517&lt;=NKC!$N$8,B517&gt;=NKC!$M$8),"x","")</f>
        <v/>
      </c>
      <c r="AA517" s="535">
        <v>2</v>
      </c>
    </row>
    <row r="518" spans="1:28" s="503" customFormat="1" ht="15.75" customHeight="1">
      <c r="A518" s="517" t="str">
        <f>IF(B518&lt;&gt;"",IF(AND(B518&gt;=_TM1,B518&lt;=_TM2,OR(TH!L518="1111",TH!M518="1111")),TH!D518,""),"")</f>
        <v/>
      </c>
      <c r="B518" s="531">
        <f t="shared" si="61"/>
        <v>4</v>
      </c>
      <c r="C518" s="315">
        <f t="shared" si="62"/>
        <v>42849</v>
      </c>
      <c r="D518" s="315" t="s">
        <v>461</v>
      </c>
      <c r="E518" s="288">
        <v>42849</v>
      </c>
      <c r="F518" s="248" t="s">
        <v>1281</v>
      </c>
      <c r="G518" s="314" t="s">
        <v>440</v>
      </c>
      <c r="H518" s="472"/>
      <c r="I518" s="307"/>
      <c r="J518" s="307"/>
      <c r="K518" s="532">
        <v>1000</v>
      </c>
      <c r="L518" s="533" t="s">
        <v>9</v>
      </c>
      <c r="M518" s="533" t="s">
        <v>24</v>
      </c>
      <c r="N518" s="525" t="str">
        <f>IF(AND('331-CT'!$E$7=TH!H518,OR(L518="331",M518="331")),"331",IF(AND(OR(L518="131",M518="131"),H518='131-CT'!$E$7),"131",""))</f>
        <v/>
      </c>
      <c r="O518" s="525" t="str">
        <f>IF(AND($B518&gt;='111'!$N$11,$B518&lt;='111'!$O$11,OR($L518=$O$7,$M518=$O$7)),"x","")</f>
        <v/>
      </c>
      <c r="P518" s="525" t="str">
        <f>IF(AND($L518=$O$7,$B518&lt;'111'!$N$11),"x","")</f>
        <v/>
      </c>
      <c r="Q518" s="525" t="str">
        <f>IF(AND($M518=$O$7,$B518&lt;'111'!$N$11),"x","")</f>
        <v/>
      </c>
      <c r="R518" s="525" t="str">
        <f>IF(ISERROR(FIND('112'!$M$9,G518,1)),"",IF((AND(FIND('112'!$M$9,G518,1)&gt;=1,$B518&gt;='112'!$N$8,$B518&lt;='112'!$O$8,OR($L518='112'!$I$6,$M518='112'!$I$6))),"x",""))</f>
        <v/>
      </c>
      <c r="S518" s="525" t="str">
        <f>IF(ISERROR(FIND('112'!$M$9,G518,1)),"",IF((AND(LEFT(G518,2)=LEFT('112'!$M$9,2),B518&lt;'112'!$N$8,$L518='112'!$I$6)),"x",""))</f>
        <v/>
      </c>
      <c r="T518" s="525" t="str">
        <f>IF(ISERROR(FIND('112'!$M$9,G518,1)),"",IF((AND(RIGHT(G518,2)=RIGHT('112'!$M$9,2),B518&lt;'112'!$N$8,$M518='112'!$I$6)),"x",""))</f>
        <v>x</v>
      </c>
      <c r="U518" s="525" t="str">
        <f>IF(AND(B518&gt;='IN-NX'!$P$3,B518&lt;='IN-NX'!$Q$3,'IN-NX'!$D$7=D518,OR(LEFT(L518,2)="15",AND(LEFT(M518,2)&lt;&gt;"15",LEFT(M518,2)&lt;&gt;"33"))),"x","")</f>
        <v/>
      </c>
      <c r="V518" s="525" t="str">
        <f>IF(AND(OR(LEFT(TH!L518,2)="15",LEFT(TH!M518,2)="15"),'152-CT'!$J$8=TH!F518),"x","")</f>
        <v/>
      </c>
      <c r="W518" s="525" t="str">
        <f>IF(AND(OR(LEFT(TH!L518,2)="15",LEFT(TH!M518,2)="15"),TK!$E$7=TH!F518),"x","")</f>
        <v/>
      </c>
      <c r="X518" s="525" t="str">
        <f>IF(AND('341-CT'!$E$9=H518,OR(LEFT(L518,3)=$X$7,LEFT(M518,3)=$X$7)),"x","")</f>
        <v/>
      </c>
      <c r="Y518" s="525" t="str">
        <f>IF(OR(TH!L518=TH!$Y$7,M518=TH!$Y$7),"x","")</f>
        <v/>
      </c>
      <c r="Z518" s="525" t="str">
        <f>IF(AND(B518&lt;=NKC!$N$8,B518&gt;=NKC!$M$8),"x","")</f>
        <v/>
      </c>
      <c r="AA518" s="535">
        <v>2</v>
      </c>
    </row>
    <row r="519" spans="1:28" s="503" customFormat="1" ht="15.75" customHeight="1">
      <c r="A519" s="517" t="str">
        <f>IF(B519&lt;&gt;"",IF(AND(B519&gt;=_TM1,B519&lt;=_TM2,OR(TH!L519="1111",TH!M519="1111")),TH!D519,""),"")</f>
        <v/>
      </c>
      <c r="B519" s="531">
        <f t="shared" si="61"/>
        <v>4</v>
      </c>
      <c r="C519" s="315">
        <f t="shared" si="62"/>
        <v>42849</v>
      </c>
      <c r="D519" s="315" t="s">
        <v>461</v>
      </c>
      <c r="E519" s="288">
        <v>42849</v>
      </c>
      <c r="F519" s="249" t="s">
        <v>827</v>
      </c>
      <c r="G519" s="314" t="s">
        <v>440</v>
      </c>
      <c r="H519" s="473" t="s">
        <v>460</v>
      </c>
      <c r="I519" s="307"/>
      <c r="J519" s="307"/>
      <c r="K519" s="532">
        <v>20000000</v>
      </c>
      <c r="L519" s="533" t="s">
        <v>45</v>
      </c>
      <c r="M519" s="533" t="s">
        <v>24</v>
      </c>
      <c r="N519" s="525" t="str">
        <f>IF(AND('331-CT'!$E$7=TH!H519,OR(L519="331",M519="331")),"331",IF(AND(OR(L519="131",M519="131"),H519='131-CT'!$E$7),"131",""))</f>
        <v/>
      </c>
      <c r="O519" s="525" t="str">
        <f>IF(AND($B519&gt;='111'!$N$11,$B519&lt;='111'!$O$11,OR($L519=$O$7,$M519=$O$7)),"x","")</f>
        <v/>
      </c>
      <c r="P519" s="525" t="str">
        <f>IF(AND($L519=$O$7,$B519&lt;'111'!$N$11),"x","")</f>
        <v>x</v>
      </c>
      <c r="Q519" s="525" t="str">
        <f>IF(AND($M519=$O$7,$B519&lt;'111'!$N$11),"x","")</f>
        <v/>
      </c>
      <c r="R519" s="525" t="str">
        <f>IF(ISERROR(FIND('112'!$M$9,G519,1)),"",IF((AND(FIND('112'!$M$9,G519,1)&gt;=1,$B519&gt;='112'!$N$8,$B519&lt;='112'!$O$8,OR($L519='112'!$I$6,$M519='112'!$I$6))),"x",""))</f>
        <v/>
      </c>
      <c r="S519" s="525" t="str">
        <f>IF(ISERROR(FIND('112'!$M$9,G519,1)),"",IF((AND(LEFT(G519,2)=LEFT('112'!$M$9,2),B519&lt;'112'!$N$8,$L519='112'!$I$6)),"x",""))</f>
        <v/>
      </c>
      <c r="T519" s="525" t="str">
        <f>IF(ISERROR(FIND('112'!$M$9,G519,1)),"",IF((AND(RIGHT(G519,2)=RIGHT('112'!$M$9,2),B519&lt;'112'!$N$8,$M519='112'!$I$6)),"x",""))</f>
        <v>x</v>
      </c>
      <c r="U519" s="525" t="str">
        <f>IF(AND(B519&gt;='IN-NX'!$P$3,B519&lt;='IN-NX'!$Q$3,'IN-NX'!$D$7=D519,OR(LEFT(L519,2)="15",AND(LEFT(M519,2)&lt;&gt;"15",LEFT(M519,2)&lt;&gt;"33"))),"x","")</f>
        <v/>
      </c>
      <c r="V519" s="525" t="str">
        <f>IF(AND(OR(LEFT(TH!L519,2)="15",LEFT(TH!M519,2)="15"),'152-CT'!$J$8=TH!F519),"x","")</f>
        <v/>
      </c>
      <c r="W519" s="525" t="str">
        <f>IF(AND(OR(LEFT(TH!L519,2)="15",LEFT(TH!M519,2)="15"),TK!$E$7=TH!F519),"x","")</f>
        <v/>
      </c>
      <c r="X519" s="525" t="str">
        <f>IF(AND('341-CT'!$E$9=H519,OR(LEFT(L519,3)=$X$7,LEFT(M519,3)=$X$7)),"x","")</f>
        <v/>
      </c>
      <c r="Y519" s="525" t="str">
        <f>IF(OR(TH!L519=TH!$Y$7,M519=TH!$Y$7),"x","")</f>
        <v/>
      </c>
      <c r="Z519" s="525" t="str">
        <f>IF(AND(B519&lt;=NKC!$N$8,B519&gt;=NKC!$M$8),"x","")</f>
        <v/>
      </c>
      <c r="AA519" s="535"/>
      <c r="AB519" s="536"/>
    </row>
    <row r="520" spans="1:28" s="503" customFormat="1" ht="15.75" customHeight="1">
      <c r="A520" s="517" t="str">
        <f>IF(B520&lt;&gt;"",IF(AND(B520&gt;=_TM1,B520&lt;=_TM2,OR(TH!L520="1111",TH!M520="1111")),TH!D520,""),"")</f>
        <v/>
      </c>
      <c r="B520" s="531">
        <f t="shared" si="61"/>
        <v>4</v>
      </c>
      <c r="C520" s="315">
        <f t="shared" si="62"/>
        <v>42849</v>
      </c>
      <c r="D520" s="315" t="s">
        <v>461</v>
      </c>
      <c r="E520" s="288">
        <v>42849</v>
      </c>
      <c r="F520" s="248" t="s">
        <v>1280</v>
      </c>
      <c r="G520" s="314" t="s">
        <v>440</v>
      </c>
      <c r="H520" s="472"/>
      <c r="I520" s="307"/>
      <c r="J520" s="307"/>
      <c r="K520" s="532">
        <v>40000</v>
      </c>
      <c r="L520" s="533" t="s">
        <v>81</v>
      </c>
      <c r="M520" s="533" t="s">
        <v>24</v>
      </c>
      <c r="N520" s="525" t="str">
        <f>IF(AND('331-CT'!$E$7=TH!H520,OR(L520="331",M520="331")),"331",IF(AND(OR(L520="131",M520="131"),H520='131-CT'!$E$7),"131",""))</f>
        <v/>
      </c>
      <c r="O520" s="525" t="str">
        <f>IF(AND($B520&gt;='111'!$N$11,$B520&lt;='111'!$O$11,OR($L520=$O$7,$M520=$O$7)),"x","")</f>
        <v/>
      </c>
      <c r="P520" s="525" t="str">
        <f>IF(AND($L520=$O$7,$B520&lt;'111'!$N$11),"x","")</f>
        <v/>
      </c>
      <c r="Q520" s="525" t="str">
        <f>IF(AND($M520=$O$7,$B520&lt;'111'!$N$11),"x","")</f>
        <v/>
      </c>
      <c r="R520" s="525" t="str">
        <f>IF(ISERROR(FIND('112'!$M$9,G520,1)),"",IF((AND(FIND('112'!$M$9,G520,1)&gt;=1,$B520&gt;='112'!$N$8,$B520&lt;='112'!$O$8,OR($L520='112'!$I$6,$M520='112'!$I$6))),"x",""))</f>
        <v/>
      </c>
      <c r="S520" s="525" t="str">
        <f>IF(ISERROR(FIND('112'!$M$9,G520,1)),"",IF((AND(LEFT(G520,2)=LEFT('112'!$M$9,2),B520&lt;'112'!$N$8,$L520='112'!$I$6)),"x",""))</f>
        <v/>
      </c>
      <c r="T520" s="525" t="str">
        <f>IF(ISERROR(FIND('112'!$M$9,G520,1)),"",IF((AND(RIGHT(G520,2)=RIGHT('112'!$M$9,2),B520&lt;'112'!$N$8,$M520='112'!$I$6)),"x",""))</f>
        <v>x</v>
      </c>
      <c r="U520" s="525" t="str">
        <f>IF(AND(B520&gt;='IN-NX'!$P$3,B520&lt;='IN-NX'!$Q$3,'IN-NX'!$D$7=D520,OR(LEFT(L520,2)="15",AND(LEFT(M520,2)&lt;&gt;"15",LEFT(M520,2)&lt;&gt;"33"))),"x","")</f>
        <v/>
      </c>
      <c r="V520" s="525" t="str">
        <f>IF(AND(OR(LEFT(TH!L520,2)="15",LEFT(TH!M520,2)="15"),'152-CT'!$J$8=TH!F520),"x","")</f>
        <v/>
      </c>
      <c r="W520" s="525" t="str">
        <f>IF(AND(OR(LEFT(TH!L520,2)="15",LEFT(TH!M520,2)="15"),TK!$E$7=TH!F520),"x","")</f>
        <v/>
      </c>
      <c r="X520" s="525" t="str">
        <f>IF(AND('341-CT'!$E$9=H520,OR(LEFT(L520,3)=$X$7,LEFT(M520,3)=$X$7)),"x","")</f>
        <v/>
      </c>
      <c r="Y520" s="525" t="str">
        <f>IF(OR(TH!L520=TH!$Y$7,M520=TH!$Y$7),"x","")</f>
        <v/>
      </c>
      <c r="Z520" s="525" t="str">
        <f>IF(AND(B520&lt;=NKC!$N$8,B520&gt;=NKC!$M$8),"x","")</f>
        <v/>
      </c>
      <c r="AA520" s="535">
        <v>2</v>
      </c>
    </row>
    <row r="521" spans="1:28" s="503" customFormat="1" ht="15.75" customHeight="1">
      <c r="A521" s="517" t="str">
        <f>IF(B521&lt;&gt;"",IF(AND(B521&gt;=_TM1,B521&lt;=_TM2,OR(TH!L521="1111",TH!M521="1111")),TH!D521,""),"")</f>
        <v/>
      </c>
      <c r="B521" s="531">
        <f t="shared" si="61"/>
        <v>4</v>
      </c>
      <c r="C521" s="315">
        <f t="shared" si="62"/>
        <v>42849</v>
      </c>
      <c r="D521" s="315" t="s">
        <v>461</v>
      </c>
      <c r="E521" s="288">
        <v>42849</v>
      </c>
      <c r="F521" s="248" t="s">
        <v>1281</v>
      </c>
      <c r="G521" s="314" t="s">
        <v>440</v>
      </c>
      <c r="H521" s="472"/>
      <c r="I521" s="307"/>
      <c r="J521" s="307"/>
      <c r="K521" s="532">
        <v>4000</v>
      </c>
      <c r="L521" s="533" t="s">
        <v>9</v>
      </c>
      <c r="M521" s="533" t="s">
        <v>24</v>
      </c>
      <c r="N521" s="525" t="str">
        <f>IF(AND('331-CT'!$E$7=TH!H521,OR(L521="331",M521="331")),"331",IF(AND(OR(L521="131",M521="131"),H521='131-CT'!$E$7),"131",""))</f>
        <v/>
      </c>
      <c r="O521" s="525" t="str">
        <f>IF(AND($B521&gt;='111'!$N$11,$B521&lt;='111'!$O$11,OR($L521=$O$7,$M521=$O$7)),"x","")</f>
        <v/>
      </c>
      <c r="P521" s="525" t="str">
        <f>IF(AND($L521=$O$7,$B521&lt;'111'!$N$11),"x","")</f>
        <v/>
      </c>
      <c r="Q521" s="525" t="str">
        <f>IF(AND($M521=$O$7,$B521&lt;'111'!$N$11),"x","")</f>
        <v/>
      </c>
      <c r="R521" s="525" t="str">
        <f>IF(ISERROR(FIND('112'!$M$9,G521,1)),"",IF((AND(FIND('112'!$M$9,G521,1)&gt;=1,$B521&gt;='112'!$N$8,$B521&lt;='112'!$O$8,OR($L521='112'!$I$6,$M521='112'!$I$6))),"x",""))</f>
        <v/>
      </c>
      <c r="S521" s="525" t="str">
        <f>IF(ISERROR(FIND('112'!$M$9,G521,1)),"",IF((AND(LEFT(G521,2)=LEFT('112'!$M$9,2),B521&lt;'112'!$N$8,$L521='112'!$I$6)),"x",""))</f>
        <v/>
      </c>
      <c r="T521" s="525" t="str">
        <f>IF(ISERROR(FIND('112'!$M$9,G521,1)),"",IF((AND(RIGHT(G521,2)=RIGHT('112'!$M$9,2),B521&lt;'112'!$N$8,$M521='112'!$I$6)),"x",""))</f>
        <v>x</v>
      </c>
      <c r="U521" s="525" t="str">
        <f>IF(AND(B521&gt;='IN-NX'!$P$3,B521&lt;='IN-NX'!$Q$3,'IN-NX'!$D$7=D521,OR(LEFT(L521,2)="15",AND(LEFT(M521,2)&lt;&gt;"15",LEFT(M521,2)&lt;&gt;"33"))),"x","")</f>
        <v/>
      </c>
      <c r="V521" s="525" t="str">
        <f>IF(AND(OR(LEFT(TH!L521,2)="15",LEFT(TH!M521,2)="15"),'152-CT'!$J$8=TH!F521),"x","")</f>
        <v/>
      </c>
      <c r="W521" s="525" t="str">
        <f>IF(AND(OR(LEFT(TH!L521,2)="15",LEFT(TH!M521,2)="15"),TK!$E$7=TH!F521),"x","")</f>
        <v/>
      </c>
      <c r="X521" s="525" t="str">
        <f>IF(AND('341-CT'!$E$9=H521,OR(LEFT(L521,3)=$X$7,LEFT(M521,3)=$X$7)),"x","")</f>
        <v/>
      </c>
      <c r="Y521" s="525" t="str">
        <f>IF(OR(TH!L521=TH!$Y$7,M521=TH!$Y$7),"x","")</f>
        <v/>
      </c>
      <c r="Z521" s="525" t="str">
        <f>IF(AND(B521&lt;=NKC!$N$8,B521&gt;=NKC!$M$8),"x","")</f>
        <v/>
      </c>
      <c r="AA521" s="535">
        <v>2</v>
      </c>
    </row>
    <row r="522" spans="1:28" s="503" customFormat="1" ht="15.75" customHeight="1">
      <c r="A522" s="517" t="str">
        <f>IF(B522&lt;&gt;"",IF(AND(B522&gt;=_TM1,B522&lt;=_TM2,OR(TH!L522="1111",TH!M522="1111")),TH!D522,""),"")</f>
        <v/>
      </c>
      <c r="B522" s="531">
        <f t="shared" si="61"/>
        <v>4</v>
      </c>
      <c r="C522" s="315">
        <f t="shared" si="62"/>
        <v>42849</v>
      </c>
      <c r="D522" s="315" t="s">
        <v>461</v>
      </c>
      <c r="E522" s="288">
        <v>42849</v>
      </c>
      <c r="F522" s="249" t="s">
        <v>827</v>
      </c>
      <c r="G522" s="314" t="s">
        <v>440</v>
      </c>
      <c r="H522" s="473" t="s">
        <v>460</v>
      </c>
      <c r="I522" s="307"/>
      <c r="J522" s="307"/>
      <c r="K522" s="532">
        <v>10000000</v>
      </c>
      <c r="L522" s="533" t="s">
        <v>45</v>
      </c>
      <c r="M522" s="533" t="s">
        <v>24</v>
      </c>
      <c r="N522" s="525" t="str">
        <f>IF(AND('331-CT'!$E$7=TH!H522,OR(L522="331",M522="331")),"331",IF(AND(OR(L522="131",M522="131"),H522='131-CT'!$E$7),"131",""))</f>
        <v/>
      </c>
      <c r="O522" s="525" t="str">
        <f>IF(AND($B522&gt;='111'!$N$11,$B522&lt;='111'!$O$11,OR($L522=$O$7,$M522=$O$7)),"x","")</f>
        <v/>
      </c>
      <c r="P522" s="525" t="str">
        <f>IF(AND($L522=$O$7,$B522&lt;'111'!$N$11),"x","")</f>
        <v>x</v>
      </c>
      <c r="Q522" s="525" t="str">
        <f>IF(AND($M522=$O$7,$B522&lt;'111'!$N$11),"x","")</f>
        <v/>
      </c>
      <c r="R522" s="525" t="str">
        <f>IF(ISERROR(FIND('112'!$M$9,G522,1)),"",IF((AND(FIND('112'!$M$9,G522,1)&gt;=1,$B522&gt;='112'!$N$8,$B522&lt;='112'!$O$8,OR($L522='112'!$I$6,$M522='112'!$I$6))),"x",""))</f>
        <v/>
      </c>
      <c r="S522" s="525" t="str">
        <f>IF(ISERROR(FIND('112'!$M$9,G522,1)),"",IF((AND(LEFT(G522,2)=LEFT('112'!$M$9,2),B522&lt;'112'!$N$8,$L522='112'!$I$6)),"x",""))</f>
        <v/>
      </c>
      <c r="T522" s="525" t="str">
        <f>IF(ISERROR(FIND('112'!$M$9,G522,1)),"",IF((AND(RIGHT(G522,2)=RIGHT('112'!$M$9,2),B522&lt;'112'!$N$8,$M522='112'!$I$6)),"x",""))</f>
        <v>x</v>
      </c>
      <c r="U522" s="525" t="str">
        <f>IF(AND(B522&gt;='IN-NX'!$P$3,B522&lt;='IN-NX'!$Q$3,'IN-NX'!$D$7=D522,OR(LEFT(L522,2)="15",AND(LEFT(M522,2)&lt;&gt;"15",LEFT(M522,2)&lt;&gt;"33"))),"x","")</f>
        <v/>
      </c>
      <c r="V522" s="525" t="str">
        <f>IF(AND(OR(LEFT(TH!L522,2)="15",LEFT(TH!M522,2)="15"),'152-CT'!$J$8=TH!F522),"x","")</f>
        <v/>
      </c>
      <c r="W522" s="525" t="str">
        <f>IF(AND(OR(LEFT(TH!L522,2)="15",LEFT(TH!M522,2)="15"),TK!$E$7=TH!F522),"x","")</f>
        <v/>
      </c>
      <c r="X522" s="525" t="str">
        <f>IF(AND('341-CT'!$E$9=H522,OR(LEFT(L522,3)=$X$7,LEFT(M522,3)=$X$7)),"x","")</f>
        <v/>
      </c>
      <c r="Y522" s="525" t="str">
        <f>IF(OR(TH!L522=TH!$Y$7,M522=TH!$Y$7),"x","")</f>
        <v/>
      </c>
      <c r="Z522" s="525" t="str">
        <f>IF(AND(B522&lt;=NKC!$N$8,B522&gt;=NKC!$M$8),"x","")</f>
        <v/>
      </c>
      <c r="AA522" s="535"/>
    </row>
    <row r="523" spans="1:28" s="503" customFormat="1" ht="15.75" customHeight="1">
      <c r="A523" s="517" t="str">
        <f>IF(B523&lt;&gt;"",IF(AND(B523&gt;=_TM1,B523&lt;=_TM2,OR(TH!L523="1111",TH!M523="1111")),TH!D523,""),"")</f>
        <v/>
      </c>
      <c r="B523" s="531">
        <f t="shared" si="61"/>
        <v>4</v>
      </c>
      <c r="C523" s="315">
        <f t="shared" si="62"/>
        <v>42849</v>
      </c>
      <c r="D523" s="315" t="s">
        <v>461</v>
      </c>
      <c r="E523" s="288">
        <v>42849</v>
      </c>
      <c r="F523" s="248" t="s">
        <v>1280</v>
      </c>
      <c r="G523" s="314" t="s">
        <v>440</v>
      </c>
      <c r="H523" s="472"/>
      <c r="I523" s="307"/>
      <c r="J523" s="307"/>
      <c r="K523" s="532">
        <v>20000</v>
      </c>
      <c r="L523" s="533" t="s">
        <v>81</v>
      </c>
      <c r="M523" s="533" t="s">
        <v>24</v>
      </c>
      <c r="N523" s="525" t="str">
        <f>IF(AND('331-CT'!$E$7=TH!H523,OR(L523="331",M523="331")),"331",IF(AND(OR(L523="131",M523="131"),H523='131-CT'!$E$7),"131",""))</f>
        <v/>
      </c>
      <c r="O523" s="525" t="str">
        <f>IF(AND($B523&gt;='111'!$N$11,$B523&lt;='111'!$O$11,OR($L523=$O$7,$M523=$O$7)),"x","")</f>
        <v/>
      </c>
      <c r="P523" s="525" t="str">
        <f>IF(AND($L523=$O$7,$B523&lt;'111'!$N$11),"x","")</f>
        <v/>
      </c>
      <c r="Q523" s="525" t="str">
        <f>IF(AND($M523=$O$7,$B523&lt;'111'!$N$11),"x","")</f>
        <v/>
      </c>
      <c r="R523" s="525" t="str">
        <f>IF(ISERROR(FIND('112'!$M$9,G523,1)),"",IF((AND(FIND('112'!$M$9,G523,1)&gt;=1,$B523&gt;='112'!$N$8,$B523&lt;='112'!$O$8,OR($L523='112'!$I$6,$M523='112'!$I$6))),"x",""))</f>
        <v/>
      </c>
      <c r="S523" s="525" t="str">
        <f>IF(ISERROR(FIND('112'!$M$9,G523,1)),"",IF((AND(LEFT(G523,2)=LEFT('112'!$M$9,2),B523&lt;'112'!$N$8,$L523='112'!$I$6)),"x",""))</f>
        <v/>
      </c>
      <c r="T523" s="525" t="str">
        <f>IF(ISERROR(FIND('112'!$M$9,G523,1)),"",IF((AND(RIGHT(G523,2)=RIGHT('112'!$M$9,2),B523&lt;'112'!$N$8,$M523='112'!$I$6)),"x",""))</f>
        <v>x</v>
      </c>
      <c r="U523" s="525" t="str">
        <f>IF(AND(B523&gt;='IN-NX'!$P$3,B523&lt;='IN-NX'!$Q$3,'IN-NX'!$D$7=D523,OR(LEFT(L523,2)="15",AND(LEFT(M523,2)&lt;&gt;"15",LEFT(M523,2)&lt;&gt;"33"))),"x","")</f>
        <v/>
      </c>
      <c r="V523" s="525" t="str">
        <f>IF(AND(OR(LEFT(TH!L523,2)="15",LEFT(TH!M523,2)="15"),'152-CT'!$J$8=TH!F523),"x","")</f>
        <v/>
      </c>
      <c r="W523" s="525" t="str">
        <f>IF(AND(OR(LEFT(TH!L523,2)="15",LEFT(TH!M523,2)="15"),TK!$E$7=TH!F523),"x","")</f>
        <v/>
      </c>
      <c r="X523" s="525" t="str">
        <f>IF(AND('341-CT'!$E$9=H523,OR(LEFT(L523,3)=$X$7,LEFT(M523,3)=$X$7)),"x","")</f>
        <v/>
      </c>
      <c r="Y523" s="525" t="str">
        <f>IF(OR(TH!L523=TH!$Y$7,M523=TH!$Y$7),"x","")</f>
        <v/>
      </c>
      <c r="Z523" s="525" t="str">
        <f>IF(AND(B523&lt;=NKC!$N$8,B523&gt;=NKC!$M$8),"x","")</f>
        <v/>
      </c>
      <c r="AA523" s="535">
        <v>2</v>
      </c>
      <c r="AB523" s="536"/>
    </row>
    <row r="524" spans="1:28" s="503" customFormat="1" ht="15.75" customHeight="1">
      <c r="A524" s="517" t="str">
        <f>IF(B524&lt;&gt;"",IF(AND(B524&gt;=_TM1,B524&lt;=_TM2,OR(TH!L524="1111",TH!M524="1111")),TH!D524,""),"")</f>
        <v/>
      </c>
      <c r="B524" s="531">
        <f t="shared" si="61"/>
        <v>4</v>
      </c>
      <c r="C524" s="315">
        <f t="shared" si="62"/>
        <v>42849</v>
      </c>
      <c r="D524" s="315" t="s">
        <v>461</v>
      </c>
      <c r="E524" s="288">
        <v>42849</v>
      </c>
      <c r="F524" s="248" t="s">
        <v>1281</v>
      </c>
      <c r="G524" s="314" t="s">
        <v>440</v>
      </c>
      <c r="H524" s="472"/>
      <c r="I524" s="307"/>
      <c r="J524" s="307"/>
      <c r="K524" s="532">
        <v>2000</v>
      </c>
      <c r="L524" s="533" t="s">
        <v>9</v>
      </c>
      <c r="M524" s="533" t="s">
        <v>24</v>
      </c>
      <c r="N524" s="525" t="str">
        <f>IF(AND('331-CT'!$E$7=TH!H524,OR(L524="331",M524="331")),"331",IF(AND(OR(L524="131",M524="131"),H524='131-CT'!$E$7),"131",""))</f>
        <v/>
      </c>
      <c r="O524" s="525" t="str">
        <f>IF(AND($B524&gt;='111'!$N$11,$B524&lt;='111'!$O$11,OR($L524=$O$7,$M524=$O$7)),"x","")</f>
        <v/>
      </c>
      <c r="P524" s="525" t="str">
        <f>IF(AND($L524=$O$7,$B524&lt;'111'!$N$11),"x","")</f>
        <v/>
      </c>
      <c r="Q524" s="525" t="str">
        <f>IF(AND($M524=$O$7,$B524&lt;'111'!$N$11),"x","")</f>
        <v/>
      </c>
      <c r="R524" s="525" t="str">
        <f>IF(ISERROR(FIND('112'!$M$9,G524,1)),"",IF((AND(FIND('112'!$M$9,G524,1)&gt;=1,$B524&gt;='112'!$N$8,$B524&lt;='112'!$O$8,OR($L524='112'!$I$6,$M524='112'!$I$6))),"x",""))</f>
        <v/>
      </c>
      <c r="S524" s="525" t="str">
        <f>IF(ISERROR(FIND('112'!$M$9,G524,1)),"",IF((AND(LEFT(G524,2)=LEFT('112'!$M$9,2),B524&lt;'112'!$N$8,$L524='112'!$I$6)),"x",""))</f>
        <v/>
      </c>
      <c r="T524" s="525" t="str">
        <f>IF(ISERROR(FIND('112'!$M$9,G524,1)),"",IF((AND(RIGHT(G524,2)=RIGHT('112'!$M$9,2),B524&lt;'112'!$N$8,$M524='112'!$I$6)),"x",""))</f>
        <v>x</v>
      </c>
      <c r="U524" s="525" t="str">
        <f>IF(AND(B524&gt;='IN-NX'!$P$3,B524&lt;='IN-NX'!$Q$3,'IN-NX'!$D$7=D524,OR(LEFT(L524,2)="15",AND(LEFT(M524,2)&lt;&gt;"15",LEFT(M524,2)&lt;&gt;"33"))),"x","")</f>
        <v/>
      </c>
      <c r="V524" s="525" t="str">
        <f>IF(AND(OR(LEFT(TH!L524,2)="15",LEFT(TH!M524,2)="15"),'152-CT'!$J$8=TH!F524),"x","")</f>
        <v/>
      </c>
      <c r="W524" s="525" t="str">
        <f>IF(AND(OR(LEFT(TH!L524,2)="15",LEFT(TH!M524,2)="15"),TK!$E$7=TH!F524),"x","")</f>
        <v/>
      </c>
      <c r="X524" s="525" t="str">
        <f>IF(AND('341-CT'!$E$9=H524,OR(LEFT(L524,3)=$X$7,LEFT(M524,3)=$X$7)),"x","")</f>
        <v/>
      </c>
      <c r="Y524" s="525" t="str">
        <f>IF(OR(TH!L524=TH!$Y$7,M524=TH!$Y$7),"x","")</f>
        <v/>
      </c>
      <c r="Z524" s="525" t="str">
        <f>IF(AND(B524&lt;=NKC!$N$8,B524&gt;=NKC!$M$8),"x","")</f>
        <v/>
      </c>
      <c r="AA524" s="535">
        <v>2</v>
      </c>
    </row>
    <row r="525" spans="1:28" s="503" customFormat="1" ht="15.75" customHeight="1">
      <c r="A525" s="517" t="str">
        <f>IF(B525&lt;&gt;"",IF(AND(B525&gt;=_TM1,B525&lt;=_TM2,OR(TH!L525="1111",TH!M525="1111")),TH!D525,""),"")</f>
        <v/>
      </c>
      <c r="B525" s="531">
        <f t="shared" si="61"/>
        <v>4</v>
      </c>
      <c r="C525" s="315">
        <f t="shared" si="62"/>
        <v>42852</v>
      </c>
      <c r="D525" s="315" t="s">
        <v>456</v>
      </c>
      <c r="E525" s="288">
        <v>42852</v>
      </c>
      <c r="F525" s="248" t="s">
        <v>808</v>
      </c>
      <c r="G525" s="314" t="s">
        <v>440</v>
      </c>
      <c r="H525" s="472" t="s">
        <v>1276</v>
      </c>
      <c r="I525" s="307"/>
      <c r="J525" s="307"/>
      <c r="K525" s="532">
        <v>138500000</v>
      </c>
      <c r="L525" s="533" t="s">
        <v>24</v>
      </c>
      <c r="M525" s="533" t="s">
        <v>441</v>
      </c>
      <c r="N525" s="525" t="str">
        <f>IF(AND('331-CT'!$E$7=TH!H525,OR(L525="331",M525="331")),"331",IF(AND(OR(L525="131",M525="131"),H525='131-CT'!$E$7),"131",""))</f>
        <v/>
      </c>
      <c r="O525" s="525" t="str">
        <f>IF(AND($B525&gt;='111'!$N$11,$B525&lt;='111'!$O$11,OR($L525=$O$7,$M525=$O$7)),"x","")</f>
        <v/>
      </c>
      <c r="P525" s="525" t="str">
        <f>IF(AND($L525=$O$7,$B525&lt;'111'!$N$11),"x","")</f>
        <v/>
      </c>
      <c r="Q525" s="525" t="str">
        <f>IF(AND($M525=$O$7,$B525&lt;'111'!$N$11),"x","")</f>
        <v/>
      </c>
      <c r="R525" s="525" t="str">
        <f>IF(ISERROR(FIND('112'!$M$9,G525,1)),"",IF((AND(FIND('112'!$M$9,G525,1)&gt;=1,$B525&gt;='112'!$N$8,$B525&lt;='112'!$O$8,OR($L525='112'!$I$6,$M525='112'!$I$6))),"x",""))</f>
        <v/>
      </c>
      <c r="S525" s="525" t="str">
        <f>IF(ISERROR(FIND('112'!$M$9,G525,1)),"",IF((AND(LEFT(G525,2)=LEFT('112'!$M$9,2),B525&lt;'112'!$N$8,$L525='112'!$I$6)),"x",""))</f>
        <v>x</v>
      </c>
      <c r="T525" s="525" t="str">
        <f>IF(ISERROR(FIND('112'!$M$9,G525,1)),"",IF((AND(RIGHT(G525,2)=RIGHT('112'!$M$9,2),B525&lt;'112'!$N$8,$M525='112'!$I$6)),"x",""))</f>
        <v/>
      </c>
      <c r="U525" s="525" t="str">
        <f>IF(AND(B525&gt;='IN-NX'!$P$3,B525&lt;='IN-NX'!$Q$3,'IN-NX'!$D$7=D525,OR(LEFT(L525,2)="15",AND(LEFT(M525,2)&lt;&gt;"15",LEFT(M525,2)&lt;&gt;"33"))),"x","")</f>
        <v/>
      </c>
      <c r="V525" s="525" t="str">
        <f>IF(AND(OR(LEFT(TH!L525,2)="15",LEFT(TH!M525,2)="15"),'152-CT'!$J$8=TH!F525),"x","")</f>
        <v/>
      </c>
      <c r="W525" s="525" t="str">
        <f>IF(AND(OR(LEFT(TH!L525,2)="15",LEFT(TH!M525,2)="15"),TK!$E$7=TH!F525),"x","")</f>
        <v/>
      </c>
      <c r="X525" s="525" t="str">
        <f>IF(AND('341-CT'!$E$9=H525,OR(LEFT(L525,3)=$X$7,LEFT(M525,3)=$X$7)),"x","")</f>
        <v/>
      </c>
      <c r="Y525" s="525" t="str">
        <f>IF(OR(TH!L525=TH!$Y$7,M525=TH!$Y$7),"x","")</f>
        <v/>
      </c>
      <c r="Z525" s="525" t="str">
        <f>IF(AND(B525&lt;=NKC!$N$8,B525&gt;=NKC!$M$8),"x","")</f>
        <v/>
      </c>
      <c r="AA525" s="535"/>
      <c r="AB525" s="536"/>
    </row>
    <row r="526" spans="1:28" s="503" customFormat="1" ht="15.75" customHeight="1">
      <c r="A526" s="517" t="str">
        <f>IF(B526&lt;&gt;"",IF(AND(B526&gt;=_TM1,B526&lt;=_TM2,OR(TH!L526="1111",TH!M526="1111")),TH!D526,""),"")</f>
        <v/>
      </c>
      <c r="B526" s="531">
        <f t="shared" si="61"/>
        <v>4</v>
      </c>
      <c r="C526" s="315">
        <f t="shared" si="62"/>
        <v>42852</v>
      </c>
      <c r="D526" s="315" t="s">
        <v>461</v>
      </c>
      <c r="E526" s="288">
        <v>42852</v>
      </c>
      <c r="F526" s="249" t="s">
        <v>827</v>
      </c>
      <c r="G526" s="314" t="s">
        <v>440</v>
      </c>
      <c r="H526" s="473" t="s">
        <v>460</v>
      </c>
      <c r="I526" s="307"/>
      <c r="J526" s="307"/>
      <c r="K526" s="532">
        <v>5450990</v>
      </c>
      <c r="L526" s="533" t="s">
        <v>45</v>
      </c>
      <c r="M526" s="533" t="s">
        <v>24</v>
      </c>
      <c r="N526" s="525" t="str">
        <f>IF(AND('331-CT'!$E$7=TH!H526,OR(L526="331",M526="331")),"331",IF(AND(OR(L526="131",M526="131"),H526='131-CT'!$E$7),"131",""))</f>
        <v/>
      </c>
      <c r="O526" s="525" t="str">
        <f>IF(AND($B526&gt;='111'!$N$11,$B526&lt;='111'!$O$11,OR($L526=$O$7,$M526=$O$7)),"x","")</f>
        <v/>
      </c>
      <c r="P526" s="525" t="str">
        <f>IF(AND($L526=$O$7,$B526&lt;'111'!$N$11),"x","")</f>
        <v>x</v>
      </c>
      <c r="Q526" s="525" t="str">
        <f>IF(AND($M526=$O$7,$B526&lt;'111'!$N$11),"x","")</f>
        <v/>
      </c>
      <c r="R526" s="525" t="str">
        <f>IF(ISERROR(FIND('112'!$M$9,G526,1)),"",IF((AND(FIND('112'!$M$9,G526,1)&gt;=1,$B526&gt;='112'!$N$8,$B526&lt;='112'!$O$8,OR($L526='112'!$I$6,$M526='112'!$I$6))),"x",""))</f>
        <v/>
      </c>
      <c r="S526" s="525" t="str">
        <f>IF(ISERROR(FIND('112'!$M$9,G526,1)),"",IF((AND(LEFT(G526,2)=LEFT('112'!$M$9,2),B526&lt;'112'!$N$8,$L526='112'!$I$6)),"x",""))</f>
        <v/>
      </c>
      <c r="T526" s="525" t="str">
        <f>IF(ISERROR(FIND('112'!$M$9,G526,1)),"",IF((AND(RIGHT(G526,2)=RIGHT('112'!$M$9,2),B526&lt;'112'!$N$8,$M526='112'!$I$6)),"x",""))</f>
        <v>x</v>
      </c>
      <c r="U526" s="525" t="str">
        <f>IF(AND(B526&gt;='IN-NX'!$P$3,B526&lt;='IN-NX'!$Q$3,'IN-NX'!$D$7=D526,OR(LEFT(L526,2)="15",AND(LEFT(M526,2)&lt;&gt;"15",LEFT(M526,2)&lt;&gt;"33"))),"x","")</f>
        <v/>
      </c>
      <c r="V526" s="525" t="str">
        <f>IF(AND(OR(LEFT(TH!L526,2)="15",LEFT(TH!M526,2)="15"),'152-CT'!$J$8=TH!F526),"x","")</f>
        <v/>
      </c>
      <c r="W526" s="525" t="str">
        <f>IF(AND(OR(LEFT(TH!L526,2)="15",LEFT(TH!M526,2)="15"),TK!$E$7=TH!F526),"x","")</f>
        <v/>
      </c>
      <c r="X526" s="525" t="str">
        <f>IF(AND('341-CT'!$E$9=H526,OR(LEFT(L526,3)=$X$7,LEFT(M526,3)=$X$7)),"x","")</f>
        <v/>
      </c>
      <c r="Y526" s="525" t="str">
        <f>IF(OR(TH!L526=TH!$Y$7,M526=TH!$Y$7),"x","")</f>
        <v/>
      </c>
      <c r="Z526" s="525" t="str">
        <f>IF(AND(B526&lt;=NKC!$N$8,B526&gt;=NKC!$M$8),"x","")</f>
        <v/>
      </c>
      <c r="AA526" s="535"/>
    </row>
    <row r="527" spans="1:28" s="503" customFormat="1" ht="15.75" customHeight="1">
      <c r="A527" s="517" t="str">
        <f>IF(B527&lt;&gt;"",IF(AND(B527&gt;=_TM1,B527&lt;=_TM2,OR(TH!L527="1111",TH!M527="1111")),TH!D527,""),"")</f>
        <v/>
      </c>
      <c r="B527" s="531">
        <f t="shared" si="61"/>
        <v>4</v>
      </c>
      <c r="C527" s="315">
        <f t="shared" si="62"/>
        <v>42852</v>
      </c>
      <c r="D527" s="315" t="s">
        <v>461</v>
      </c>
      <c r="E527" s="288">
        <v>42852</v>
      </c>
      <c r="F527" s="248" t="s">
        <v>1280</v>
      </c>
      <c r="G527" s="314" t="s">
        <v>440</v>
      </c>
      <c r="H527" s="472"/>
      <c r="I527" s="307"/>
      <c r="J527" s="307"/>
      <c r="K527" s="532">
        <v>10000</v>
      </c>
      <c r="L527" s="533" t="s">
        <v>81</v>
      </c>
      <c r="M527" s="533" t="s">
        <v>24</v>
      </c>
      <c r="N527" s="525" t="str">
        <f>IF(AND('331-CT'!$E$7=TH!H527,OR(L527="331",M527="331")),"331",IF(AND(OR(L527="131",M527="131"),H527='131-CT'!$E$7),"131",""))</f>
        <v/>
      </c>
      <c r="O527" s="525" t="str">
        <f>IF(AND($B527&gt;='111'!$N$11,$B527&lt;='111'!$O$11,OR($L527=$O$7,$M527=$O$7)),"x","")</f>
        <v/>
      </c>
      <c r="P527" s="525" t="str">
        <f>IF(AND($L527=$O$7,$B527&lt;'111'!$N$11),"x","")</f>
        <v/>
      </c>
      <c r="Q527" s="525" t="str">
        <f>IF(AND($M527=$O$7,$B527&lt;'111'!$N$11),"x","")</f>
        <v/>
      </c>
      <c r="R527" s="525" t="str">
        <f>IF(ISERROR(FIND('112'!$M$9,G527,1)),"",IF((AND(FIND('112'!$M$9,G527,1)&gt;=1,$B527&gt;='112'!$N$8,$B527&lt;='112'!$O$8,OR($L527='112'!$I$6,$M527='112'!$I$6))),"x",""))</f>
        <v/>
      </c>
      <c r="S527" s="525" t="str">
        <f>IF(ISERROR(FIND('112'!$M$9,G527,1)),"",IF((AND(LEFT(G527,2)=LEFT('112'!$M$9,2),B527&lt;'112'!$N$8,$L527='112'!$I$6)),"x",""))</f>
        <v/>
      </c>
      <c r="T527" s="525" t="str">
        <f>IF(ISERROR(FIND('112'!$M$9,G527,1)),"",IF((AND(RIGHT(G527,2)=RIGHT('112'!$M$9,2),B527&lt;'112'!$N$8,$M527='112'!$I$6)),"x",""))</f>
        <v>x</v>
      </c>
      <c r="U527" s="525" t="str">
        <f>IF(AND(B527&gt;='IN-NX'!$P$3,B527&lt;='IN-NX'!$Q$3,'IN-NX'!$D$7=D527,OR(LEFT(L527,2)="15",AND(LEFT(M527,2)&lt;&gt;"15",LEFT(M527,2)&lt;&gt;"33"))),"x","")</f>
        <v/>
      </c>
      <c r="V527" s="525" t="str">
        <f>IF(AND(OR(LEFT(TH!L527,2)="15",LEFT(TH!M527,2)="15"),'152-CT'!$J$8=TH!F527),"x","")</f>
        <v/>
      </c>
      <c r="W527" s="525" t="str">
        <f>IF(AND(OR(LEFT(TH!L527,2)="15",LEFT(TH!M527,2)="15"),TK!$E$7=TH!F527),"x","")</f>
        <v/>
      </c>
      <c r="X527" s="525" t="str">
        <f>IF(AND('341-CT'!$E$9=H527,OR(LEFT(L527,3)=$X$7,LEFT(M527,3)=$X$7)),"x","")</f>
        <v/>
      </c>
      <c r="Y527" s="525" t="str">
        <f>IF(OR(TH!L527=TH!$Y$7,M527=TH!$Y$7),"x","")</f>
        <v/>
      </c>
      <c r="Z527" s="525" t="str">
        <f>IF(AND(B527&lt;=NKC!$N$8,B527&gt;=NKC!$M$8),"x","")</f>
        <v/>
      </c>
      <c r="AA527" s="535">
        <v>2</v>
      </c>
    </row>
    <row r="528" spans="1:28" s="503" customFormat="1" ht="15.75" customHeight="1">
      <c r="A528" s="517" t="str">
        <f>IF(B528&lt;&gt;"",IF(AND(B528&gt;=_TM1,B528&lt;=_TM2,OR(TH!L528="1111",TH!M528="1111")),TH!D528,""),"")</f>
        <v/>
      </c>
      <c r="B528" s="531">
        <f t="shared" si="61"/>
        <v>4</v>
      </c>
      <c r="C528" s="315">
        <f t="shared" si="62"/>
        <v>42852</v>
      </c>
      <c r="D528" s="315" t="s">
        <v>461</v>
      </c>
      <c r="E528" s="288">
        <v>42852</v>
      </c>
      <c r="F528" s="248" t="s">
        <v>1281</v>
      </c>
      <c r="G528" s="314" t="s">
        <v>440</v>
      </c>
      <c r="H528" s="472"/>
      <c r="I528" s="307"/>
      <c r="J528" s="307"/>
      <c r="K528" s="532">
        <v>1000</v>
      </c>
      <c r="L528" s="533" t="s">
        <v>9</v>
      </c>
      <c r="M528" s="533" t="s">
        <v>24</v>
      </c>
      <c r="N528" s="525" t="str">
        <f>IF(AND('331-CT'!$E$7=TH!H528,OR(L528="331",M528="331")),"331",IF(AND(OR(L528="131",M528="131"),H528='131-CT'!$E$7),"131",""))</f>
        <v/>
      </c>
      <c r="O528" s="525" t="str">
        <f>IF(AND($B528&gt;='111'!$N$11,$B528&lt;='111'!$O$11,OR($L528=$O$7,$M528=$O$7)),"x","")</f>
        <v/>
      </c>
      <c r="P528" s="525" t="str">
        <f>IF(AND($L528=$O$7,$B528&lt;'111'!$N$11),"x","")</f>
        <v/>
      </c>
      <c r="Q528" s="525" t="str">
        <f>IF(AND($M528=$O$7,$B528&lt;'111'!$N$11),"x","")</f>
        <v/>
      </c>
      <c r="R528" s="525" t="str">
        <f>IF(ISERROR(FIND('112'!$M$9,G528,1)),"",IF((AND(FIND('112'!$M$9,G528,1)&gt;=1,$B528&gt;='112'!$N$8,$B528&lt;='112'!$O$8,OR($L528='112'!$I$6,$M528='112'!$I$6))),"x",""))</f>
        <v/>
      </c>
      <c r="S528" s="525" t="str">
        <f>IF(ISERROR(FIND('112'!$M$9,G528,1)),"",IF((AND(LEFT(G528,2)=LEFT('112'!$M$9,2),B528&lt;'112'!$N$8,$L528='112'!$I$6)),"x",""))</f>
        <v/>
      </c>
      <c r="T528" s="525" t="str">
        <f>IF(ISERROR(FIND('112'!$M$9,G528,1)),"",IF((AND(RIGHT(G528,2)=RIGHT('112'!$M$9,2),B528&lt;'112'!$N$8,$M528='112'!$I$6)),"x",""))</f>
        <v>x</v>
      </c>
      <c r="U528" s="525" t="str">
        <f>IF(AND(B528&gt;='IN-NX'!$P$3,B528&lt;='IN-NX'!$Q$3,'IN-NX'!$D$7=D528,OR(LEFT(L528,2)="15",AND(LEFT(M528,2)&lt;&gt;"15",LEFT(M528,2)&lt;&gt;"33"))),"x","")</f>
        <v/>
      </c>
      <c r="V528" s="525" t="str">
        <f>IF(AND(OR(LEFT(TH!L528,2)="15",LEFT(TH!M528,2)="15"),'152-CT'!$J$8=TH!F528),"x","")</f>
        <v/>
      </c>
      <c r="W528" s="525" t="str">
        <f>IF(AND(OR(LEFT(TH!L528,2)="15",LEFT(TH!M528,2)="15"),TK!$E$7=TH!F528),"x","")</f>
        <v/>
      </c>
      <c r="X528" s="525" t="str">
        <f>IF(AND('341-CT'!$E$9=H528,OR(LEFT(L528,3)=$X$7,LEFT(M528,3)=$X$7)),"x","")</f>
        <v/>
      </c>
      <c r="Y528" s="525" t="str">
        <f>IF(OR(TH!L528=TH!$Y$7,M528=TH!$Y$7),"x","")</f>
        <v/>
      </c>
      <c r="Z528" s="525" t="str">
        <f>IF(AND(B528&lt;=NKC!$N$8,B528&gt;=NKC!$M$8),"x","")</f>
        <v/>
      </c>
      <c r="AA528" s="535">
        <v>2</v>
      </c>
      <c r="AB528" s="536"/>
    </row>
    <row r="529" spans="1:28" s="503" customFormat="1" ht="15.75" customHeight="1">
      <c r="A529" s="517" t="str">
        <f>IF(B529&lt;&gt;"",IF(AND(B529&gt;=_TM1,B529&lt;=_TM2,OR(TH!L529="1111",TH!M529="1111")),TH!D529,""),"")</f>
        <v/>
      </c>
      <c r="B529" s="531">
        <f t="shared" si="61"/>
        <v>4</v>
      </c>
      <c r="C529" s="315">
        <f t="shared" si="62"/>
        <v>42852</v>
      </c>
      <c r="D529" s="315" t="s">
        <v>461</v>
      </c>
      <c r="E529" s="288">
        <v>42852</v>
      </c>
      <c r="F529" s="249" t="s">
        <v>468</v>
      </c>
      <c r="G529" s="314" t="s">
        <v>440</v>
      </c>
      <c r="H529" s="473" t="s">
        <v>1278</v>
      </c>
      <c r="I529" s="307"/>
      <c r="J529" s="307"/>
      <c r="K529" s="532">
        <v>138521922</v>
      </c>
      <c r="L529" s="534" t="s">
        <v>8</v>
      </c>
      <c r="M529" s="533" t="s">
        <v>24</v>
      </c>
      <c r="N529" s="525" t="str">
        <f>IF(AND('331-CT'!$E$7=TH!H529,OR(L529="331",M529="331")),"331",IF(AND(OR(L529="131",M529="131"),H529='131-CT'!$E$7),"131",""))</f>
        <v/>
      </c>
      <c r="O529" s="525" t="str">
        <f>IF(AND($B529&gt;='111'!$N$11,$B529&lt;='111'!$O$11,OR($L529=$O$7,$M529=$O$7)),"x","")</f>
        <v/>
      </c>
      <c r="P529" s="525" t="str">
        <f>IF(AND($L529=$O$7,$B529&lt;'111'!$N$11),"x","")</f>
        <v/>
      </c>
      <c r="Q529" s="525" t="str">
        <f>IF(AND($M529=$O$7,$B529&lt;'111'!$N$11),"x","")</f>
        <v/>
      </c>
      <c r="R529" s="525" t="str">
        <f>IF(ISERROR(FIND('112'!$M$9,G529,1)),"",IF((AND(FIND('112'!$M$9,G529,1)&gt;=1,$B529&gt;='112'!$N$8,$B529&lt;='112'!$O$8,OR($L529='112'!$I$6,$M529='112'!$I$6))),"x",""))</f>
        <v/>
      </c>
      <c r="S529" s="525" t="str">
        <f>IF(ISERROR(FIND('112'!$M$9,G529,1)),"",IF((AND(LEFT(G529,2)=LEFT('112'!$M$9,2),B529&lt;'112'!$N$8,$L529='112'!$I$6)),"x",""))</f>
        <v/>
      </c>
      <c r="T529" s="525" t="str">
        <f>IF(ISERROR(FIND('112'!$M$9,G529,1)),"",IF((AND(RIGHT(G529,2)=RIGHT('112'!$M$9,2),B529&lt;'112'!$N$8,$M529='112'!$I$6)),"x",""))</f>
        <v>x</v>
      </c>
      <c r="U529" s="525" t="str">
        <f>IF(AND(B529&gt;='IN-NX'!$P$3,B529&lt;='IN-NX'!$Q$3,'IN-NX'!$D$7=D529,OR(LEFT(L529,2)="15",AND(LEFT(M529,2)&lt;&gt;"15",LEFT(M529,2)&lt;&gt;"33"))),"x","")</f>
        <v/>
      </c>
      <c r="V529" s="525" t="str">
        <f>IF(AND(OR(LEFT(TH!L529,2)="15",LEFT(TH!M529,2)="15"),'152-CT'!$J$8=TH!F529),"x","")</f>
        <v/>
      </c>
      <c r="W529" s="525" t="str">
        <f>IF(AND(OR(LEFT(TH!L529,2)="15",LEFT(TH!M529,2)="15"),TK!$E$7=TH!F529),"x","")</f>
        <v/>
      </c>
      <c r="X529" s="525" t="str">
        <f>IF(AND('341-CT'!$E$9=H529,OR(LEFT(L529,3)=$X$7,LEFT(M529,3)=$X$7)),"x","")</f>
        <v/>
      </c>
      <c r="Y529" s="525" t="str">
        <f>IF(OR(TH!L529=TH!$Y$7,M529=TH!$Y$7),"x","")</f>
        <v/>
      </c>
      <c r="Z529" s="525" t="str">
        <f>IF(AND(B529&lt;=NKC!$N$8,B529&gt;=NKC!$M$8),"x","")</f>
        <v/>
      </c>
      <c r="AA529" s="535"/>
    </row>
    <row r="530" spans="1:28" s="503" customFormat="1" ht="15.75" customHeight="1">
      <c r="A530" s="517" t="str">
        <f>IF(B530&lt;&gt;"",IF(AND(B530&gt;=_TM1,B530&lt;=_TM2,OR(TH!L530="1111",TH!M530="1111")),TH!D530,""),"")</f>
        <v/>
      </c>
      <c r="B530" s="531">
        <f t="shared" si="61"/>
        <v>4</v>
      </c>
      <c r="C530" s="315">
        <f t="shared" si="62"/>
        <v>42852</v>
      </c>
      <c r="D530" s="315" t="s">
        <v>461</v>
      </c>
      <c r="E530" s="288">
        <v>42852</v>
      </c>
      <c r="F530" s="248" t="s">
        <v>463</v>
      </c>
      <c r="G530" s="314" t="s">
        <v>440</v>
      </c>
      <c r="H530" s="472"/>
      <c r="I530" s="307"/>
      <c r="J530" s="307"/>
      <c r="K530" s="532">
        <v>34630</v>
      </c>
      <c r="L530" s="533" t="s">
        <v>81</v>
      </c>
      <c r="M530" s="533" t="s">
        <v>24</v>
      </c>
      <c r="N530" s="525" t="str">
        <f>IF(AND('331-CT'!$E$7=TH!H530,OR(L530="331",M530="331")),"331",IF(AND(OR(L530="131",M530="131"),H530='131-CT'!$E$7),"131",""))</f>
        <v/>
      </c>
      <c r="O530" s="525" t="str">
        <f>IF(AND($B530&gt;='111'!$N$11,$B530&lt;='111'!$O$11,OR($L530=$O$7,$M530=$O$7)),"x","")</f>
        <v/>
      </c>
      <c r="P530" s="525" t="str">
        <f>IF(AND($L530=$O$7,$B530&lt;'111'!$N$11),"x","")</f>
        <v/>
      </c>
      <c r="Q530" s="525" t="str">
        <f>IF(AND($M530=$O$7,$B530&lt;'111'!$N$11),"x","")</f>
        <v/>
      </c>
      <c r="R530" s="525" t="str">
        <f>IF(ISERROR(FIND('112'!$M$9,G530,1)),"",IF((AND(FIND('112'!$M$9,G530,1)&gt;=1,$B530&gt;='112'!$N$8,$B530&lt;='112'!$O$8,OR($L530='112'!$I$6,$M530='112'!$I$6))),"x",""))</f>
        <v/>
      </c>
      <c r="S530" s="525" t="str">
        <f>IF(ISERROR(FIND('112'!$M$9,G530,1)),"",IF((AND(LEFT(G530,2)=LEFT('112'!$M$9,2),B530&lt;'112'!$N$8,$L530='112'!$I$6)),"x",""))</f>
        <v/>
      </c>
      <c r="T530" s="525" t="str">
        <f>IF(ISERROR(FIND('112'!$M$9,G530,1)),"",IF((AND(RIGHT(G530,2)=RIGHT('112'!$M$9,2),B530&lt;'112'!$N$8,$M530='112'!$I$6)),"x",""))</f>
        <v>x</v>
      </c>
      <c r="U530" s="525" t="str">
        <f>IF(AND(B530&gt;='IN-NX'!$P$3,B530&lt;='IN-NX'!$Q$3,'IN-NX'!$D$7=D530,OR(LEFT(L530,2)="15",AND(LEFT(M530,2)&lt;&gt;"15",LEFT(M530,2)&lt;&gt;"33"))),"x","")</f>
        <v/>
      </c>
      <c r="V530" s="525" t="str">
        <f>IF(AND(OR(LEFT(TH!L530,2)="15",LEFT(TH!M530,2)="15"),'152-CT'!$J$8=TH!F530),"x","")</f>
        <v/>
      </c>
      <c r="W530" s="525" t="str">
        <f>IF(AND(OR(LEFT(TH!L530,2)="15",LEFT(TH!M530,2)="15"),TK!$E$7=TH!F530),"x","")</f>
        <v/>
      </c>
      <c r="X530" s="525" t="str">
        <f>IF(AND('341-CT'!$E$9=H530,OR(LEFT(L530,3)=$X$7,LEFT(M530,3)=$X$7)),"x","")</f>
        <v/>
      </c>
      <c r="Y530" s="525" t="str">
        <f>IF(OR(TH!L530=TH!$Y$7,M530=TH!$Y$7),"x","")</f>
        <v/>
      </c>
      <c r="Z530" s="525" t="str">
        <f>IF(AND(B530&lt;=NKC!$N$8,B530&gt;=NKC!$M$8),"x","")</f>
        <v/>
      </c>
      <c r="AA530" s="535">
        <v>2</v>
      </c>
    </row>
    <row r="531" spans="1:28" s="503" customFormat="1" ht="15.75" customHeight="1">
      <c r="A531" s="517" t="str">
        <f>IF(B531&lt;&gt;"",IF(AND(B531&gt;=_TM1,B531&lt;=_TM2,OR(TH!L531="1111",TH!M531="1111")),TH!D531,""),"")</f>
        <v/>
      </c>
      <c r="B531" s="531">
        <f t="shared" si="61"/>
        <v>4</v>
      </c>
      <c r="C531" s="315">
        <f t="shared" si="62"/>
        <v>42852</v>
      </c>
      <c r="D531" s="315" t="s">
        <v>461</v>
      </c>
      <c r="E531" s="288">
        <v>42852</v>
      </c>
      <c r="F531" s="248" t="s">
        <v>464</v>
      </c>
      <c r="G531" s="314" t="s">
        <v>440</v>
      </c>
      <c r="H531" s="472"/>
      <c r="I531" s="307"/>
      <c r="J531" s="307"/>
      <c r="K531" s="532">
        <v>3463</v>
      </c>
      <c r="L531" s="533" t="s">
        <v>9</v>
      </c>
      <c r="M531" s="533" t="s">
        <v>24</v>
      </c>
      <c r="N531" s="525" t="str">
        <f>IF(AND('331-CT'!$E$7=TH!H531,OR(L531="331",M531="331")),"331",IF(AND(OR(L531="131",M531="131"),H531='131-CT'!$E$7),"131",""))</f>
        <v/>
      </c>
      <c r="O531" s="525" t="str">
        <f>IF(AND($B531&gt;='111'!$N$11,$B531&lt;='111'!$O$11,OR($L531=$O$7,$M531=$O$7)),"x","")</f>
        <v/>
      </c>
      <c r="P531" s="525" t="str">
        <f>IF(AND($L531=$O$7,$B531&lt;'111'!$N$11),"x","")</f>
        <v/>
      </c>
      <c r="Q531" s="525" t="str">
        <f>IF(AND($M531=$O$7,$B531&lt;'111'!$N$11),"x","")</f>
        <v/>
      </c>
      <c r="R531" s="525" t="str">
        <f>IF(ISERROR(FIND('112'!$M$9,G531,1)),"",IF((AND(FIND('112'!$M$9,G531,1)&gt;=1,$B531&gt;='112'!$N$8,$B531&lt;='112'!$O$8,OR($L531='112'!$I$6,$M531='112'!$I$6))),"x",""))</f>
        <v/>
      </c>
      <c r="S531" s="525" t="str">
        <f>IF(ISERROR(FIND('112'!$M$9,G531,1)),"",IF((AND(LEFT(G531,2)=LEFT('112'!$M$9,2),B531&lt;'112'!$N$8,$L531='112'!$I$6)),"x",""))</f>
        <v/>
      </c>
      <c r="T531" s="525" t="str">
        <f>IF(ISERROR(FIND('112'!$M$9,G531,1)),"",IF((AND(RIGHT(G531,2)=RIGHT('112'!$M$9,2),B531&lt;'112'!$N$8,$M531='112'!$I$6)),"x",""))</f>
        <v>x</v>
      </c>
      <c r="U531" s="525" t="str">
        <f>IF(AND(B531&gt;='IN-NX'!$P$3,B531&lt;='IN-NX'!$Q$3,'IN-NX'!$D$7=D531,OR(LEFT(L531,2)="15",AND(LEFT(M531,2)&lt;&gt;"15",LEFT(M531,2)&lt;&gt;"33"))),"x","")</f>
        <v/>
      </c>
      <c r="V531" s="525" t="str">
        <f>IF(AND(OR(LEFT(TH!L531,2)="15",LEFT(TH!M531,2)="15"),'152-CT'!$J$8=TH!F531),"x","")</f>
        <v/>
      </c>
      <c r="W531" s="525" t="str">
        <f>IF(AND(OR(LEFT(TH!L531,2)="15",LEFT(TH!M531,2)="15"),TK!$E$7=TH!F531),"x","")</f>
        <v/>
      </c>
      <c r="X531" s="525" t="str">
        <f>IF(AND('341-CT'!$E$9=H531,OR(LEFT(L531,3)=$X$7,LEFT(M531,3)=$X$7)),"x","")</f>
        <v/>
      </c>
      <c r="Y531" s="525" t="str">
        <f>IF(OR(TH!L531=TH!$Y$7,M531=TH!$Y$7),"x","")</f>
        <v/>
      </c>
      <c r="Z531" s="525" t="str">
        <f>IF(AND(B531&lt;=NKC!$N$8,B531&gt;=NKC!$M$8),"x","")</f>
        <v/>
      </c>
      <c r="AA531" s="535">
        <v>2</v>
      </c>
      <c r="AB531" s="536"/>
    </row>
    <row r="532" spans="1:28" s="503" customFormat="1" ht="15.75" customHeight="1">
      <c r="A532" s="517" t="str">
        <f>IF(B532&lt;&gt;"",IF(AND(B532&gt;=_TM1,B532&lt;=_TM2,OR(TH!L532="1111",TH!M532="1111")),TH!D532,""),"")</f>
        <v/>
      </c>
      <c r="B532" s="531">
        <f t="shared" si="61"/>
        <v>4</v>
      </c>
      <c r="C532" s="315">
        <f t="shared" si="62"/>
        <v>42855</v>
      </c>
      <c r="D532" s="315" t="s">
        <v>456</v>
      </c>
      <c r="E532" s="288">
        <v>42855</v>
      </c>
      <c r="F532" s="248" t="s">
        <v>458</v>
      </c>
      <c r="G532" s="314" t="s">
        <v>440</v>
      </c>
      <c r="H532" s="473"/>
      <c r="I532" s="307"/>
      <c r="J532" s="307"/>
      <c r="K532" s="532">
        <v>11175</v>
      </c>
      <c r="L532" s="533" t="s">
        <v>24</v>
      </c>
      <c r="M532" s="533" t="s">
        <v>38</v>
      </c>
      <c r="N532" s="525" t="str">
        <f>IF(AND('331-CT'!$E$7=TH!H532,OR(L532="331",M532="331")),"331",IF(AND(OR(L532="131",M532="131"),H532='131-CT'!$E$7),"131",""))</f>
        <v/>
      </c>
      <c r="O532" s="525" t="str">
        <f>IF(AND($B532&gt;='111'!$N$11,$B532&lt;='111'!$O$11,OR($L532=$O$7,$M532=$O$7)),"x","")</f>
        <v/>
      </c>
      <c r="P532" s="525" t="str">
        <f>IF(AND($L532=$O$7,$B532&lt;'111'!$N$11),"x","")</f>
        <v/>
      </c>
      <c r="Q532" s="525" t="str">
        <f>IF(AND($M532=$O$7,$B532&lt;'111'!$N$11),"x","")</f>
        <v/>
      </c>
      <c r="R532" s="525" t="str">
        <f>IF(ISERROR(FIND('112'!$M$9,G532,1)),"",IF((AND(FIND('112'!$M$9,G532,1)&gt;=1,$B532&gt;='112'!$N$8,$B532&lt;='112'!$O$8,OR($L532='112'!$I$6,$M532='112'!$I$6))),"x",""))</f>
        <v/>
      </c>
      <c r="S532" s="525" t="str">
        <f>IF(ISERROR(FIND('112'!$M$9,G532,1)),"",IF((AND(LEFT(G532,2)=LEFT('112'!$M$9,2),B532&lt;'112'!$N$8,$L532='112'!$I$6)),"x",""))</f>
        <v>x</v>
      </c>
      <c r="T532" s="525" t="str">
        <f>IF(ISERROR(FIND('112'!$M$9,G532,1)),"",IF((AND(RIGHT(G532,2)=RIGHT('112'!$M$9,2),B532&lt;'112'!$N$8,$M532='112'!$I$6)),"x",""))</f>
        <v/>
      </c>
      <c r="U532" s="525" t="str">
        <f>IF(AND(B532&gt;='IN-NX'!$P$3,B532&lt;='IN-NX'!$Q$3,'IN-NX'!$D$7=D532,OR(LEFT(L532,2)="15",AND(LEFT(M532,2)&lt;&gt;"15",LEFT(M532,2)&lt;&gt;"33"))),"x","")</f>
        <v/>
      </c>
      <c r="V532" s="525" t="str">
        <f>IF(AND(OR(LEFT(TH!L532,2)="15",LEFT(TH!M532,2)="15"),'152-CT'!$J$8=TH!F532),"x","")</f>
        <v/>
      </c>
      <c r="W532" s="525" t="str">
        <f>IF(AND(OR(LEFT(TH!L532,2)="15",LEFT(TH!M532,2)="15"),TK!$E$7=TH!F532),"x","")</f>
        <v/>
      </c>
      <c r="X532" s="525" t="str">
        <f>IF(AND('341-CT'!$E$9=H532,OR(LEFT(L532,3)=$X$7,LEFT(M532,3)=$X$7)),"x","")</f>
        <v/>
      </c>
      <c r="Y532" s="525" t="str">
        <f>IF(OR(TH!L532=TH!$Y$7,M532=TH!$Y$7),"x","")</f>
        <v/>
      </c>
      <c r="Z532" s="525" t="str">
        <f>IF(AND(B532&lt;=NKC!$N$8,B532&gt;=NKC!$M$8),"x","")</f>
        <v/>
      </c>
      <c r="AA532" s="535"/>
    </row>
    <row r="533" spans="1:28" s="503" customFormat="1" ht="15.75" customHeight="1">
      <c r="A533" s="517" t="str">
        <f>IF(B533&lt;&gt;"",IF(AND(B533&gt;=_TM1,B533&lt;=_TM2,OR(TH!L533="1111",TH!M533="1111")),TH!D533,""),"")</f>
        <v/>
      </c>
      <c r="B533" s="531">
        <f t="shared" si="61"/>
        <v>5</v>
      </c>
      <c r="C533" s="315">
        <f t="shared" si="62"/>
        <v>42871</v>
      </c>
      <c r="D533" s="315" t="s">
        <v>456</v>
      </c>
      <c r="E533" s="288">
        <v>42871</v>
      </c>
      <c r="F533" s="248" t="s">
        <v>457</v>
      </c>
      <c r="G533" s="314" t="s">
        <v>440</v>
      </c>
      <c r="H533" s="473" t="s">
        <v>1134</v>
      </c>
      <c r="I533" s="307"/>
      <c r="J533" s="307"/>
      <c r="K533" s="532">
        <v>12145650</v>
      </c>
      <c r="L533" s="533" t="s">
        <v>24</v>
      </c>
      <c r="M533" s="533" t="s">
        <v>223</v>
      </c>
      <c r="N533" s="525" t="str">
        <f>IF(AND('331-CT'!$E$7=TH!H533,OR(L533="331",M533="331")),"331",IF(AND(OR(L533="131",M533="131"),H533='131-CT'!$E$7),"131",""))</f>
        <v/>
      </c>
      <c r="O533" s="525" t="str">
        <f>IF(AND($B533&gt;='111'!$N$11,$B533&lt;='111'!$O$11,OR($L533=$O$7,$M533=$O$7)),"x","")</f>
        <v/>
      </c>
      <c r="P533" s="525" t="str">
        <f>IF(AND($L533=$O$7,$B533&lt;'111'!$N$11),"x","")</f>
        <v/>
      </c>
      <c r="Q533" s="525" t="str">
        <f>IF(AND($M533=$O$7,$B533&lt;'111'!$N$11),"x","")</f>
        <v/>
      </c>
      <c r="R533" s="525" t="str">
        <f>IF(ISERROR(FIND('112'!$M$9,G533,1)),"",IF((AND(FIND('112'!$M$9,G533,1)&gt;=1,$B533&gt;='112'!$N$8,$B533&lt;='112'!$O$8,OR($L533='112'!$I$6,$M533='112'!$I$6))),"x",""))</f>
        <v/>
      </c>
      <c r="S533" s="525" t="str">
        <f>IF(ISERROR(FIND('112'!$M$9,G533,1)),"",IF((AND(LEFT(G533,2)=LEFT('112'!$M$9,2),B533&lt;'112'!$N$8,$L533='112'!$I$6)),"x",""))</f>
        <v>x</v>
      </c>
      <c r="T533" s="525" t="str">
        <f>IF(ISERROR(FIND('112'!$M$9,G533,1)),"",IF((AND(RIGHT(G533,2)=RIGHT('112'!$M$9,2),B533&lt;'112'!$N$8,$M533='112'!$I$6)),"x",""))</f>
        <v/>
      </c>
      <c r="U533" s="525" t="str">
        <f>IF(AND(B533&gt;='IN-NX'!$P$3,B533&lt;='IN-NX'!$Q$3,'IN-NX'!$D$7=D533,OR(LEFT(L533,2)="15",AND(LEFT(M533,2)&lt;&gt;"15",LEFT(M533,2)&lt;&gt;"33"))),"x","")</f>
        <v/>
      </c>
      <c r="V533" s="525" t="str">
        <f>IF(AND(OR(LEFT(TH!L533,2)="15",LEFT(TH!M533,2)="15"),'152-CT'!$J$8=TH!F533),"x","")</f>
        <v/>
      </c>
      <c r="W533" s="525" t="str">
        <f>IF(AND(OR(LEFT(TH!L533,2)="15",LEFT(TH!M533,2)="15"),TK!$E$7=TH!F533),"x","")</f>
        <v/>
      </c>
      <c r="X533" s="525" t="str">
        <f>IF(AND('341-CT'!$E$9=H533,OR(LEFT(L533,3)=$X$7,LEFT(M533,3)=$X$7)),"x","")</f>
        <v/>
      </c>
      <c r="Y533" s="525" t="str">
        <f>IF(OR(TH!L533=TH!$Y$7,M533=TH!$Y$7),"x","")</f>
        <v/>
      </c>
      <c r="Z533" s="525" t="str">
        <f>IF(AND(B533&lt;=NKC!$N$8,B533&gt;=NKC!$M$8),"x","")</f>
        <v/>
      </c>
      <c r="AA533" s="535"/>
    </row>
    <row r="534" spans="1:28" s="503" customFormat="1" ht="15.75" customHeight="1">
      <c r="A534" s="517" t="str">
        <f>IF(B534&lt;&gt;"",IF(AND(B534&gt;=_TM1,B534&lt;=_TM2,OR(TH!L534="1111",TH!M534="1111")),TH!D534,""),"")</f>
        <v/>
      </c>
      <c r="B534" s="531">
        <f t="shared" si="61"/>
        <v>5</v>
      </c>
      <c r="C534" s="315">
        <f t="shared" si="62"/>
        <v>42871</v>
      </c>
      <c r="D534" s="315" t="s">
        <v>456</v>
      </c>
      <c r="E534" s="288">
        <v>42871</v>
      </c>
      <c r="F534" s="248" t="s">
        <v>457</v>
      </c>
      <c r="G534" s="314" t="s">
        <v>440</v>
      </c>
      <c r="H534" s="473" t="s">
        <v>284</v>
      </c>
      <c r="I534" s="307"/>
      <c r="J534" s="307"/>
      <c r="K534" s="532">
        <v>177009274</v>
      </c>
      <c r="L534" s="533" t="s">
        <v>24</v>
      </c>
      <c r="M534" s="533" t="s">
        <v>223</v>
      </c>
      <c r="N534" s="525" t="str">
        <f>IF(AND('331-CT'!$E$7=TH!H534,OR(L534="331",M534="331")),"331",IF(AND(OR(L534="131",M534="131"),H534='131-CT'!$E$7),"131",""))</f>
        <v/>
      </c>
      <c r="O534" s="525" t="str">
        <f>IF(AND($B534&gt;='111'!$N$11,$B534&lt;='111'!$O$11,OR($L534=$O$7,$M534=$O$7)),"x","")</f>
        <v/>
      </c>
      <c r="P534" s="525" t="str">
        <f>IF(AND($L534=$O$7,$B534&lt;'111'!$N$11),"x","")</f>
        <v/>
      </c>
      <c r="Q534" s="525" t="str">
        <f>IF(AND($M534=$O$7,$B534&lt;'111'!$N$11),"x","")</f>
        <v/>
      </c>
      <c r="R534" s="525" t="str">
        <f>IF(ISERROR(FIND('112'!$M$9,G534,1)),"",IF((AND(FIND('112'!$M$9,G534,1)&gt;=1,$B534&gt;='112'!$N$8,$B534&lt;='112'!$O$8,OR($L534='112'!$I$6,$M534='112'!$I$6))),"x",""))</f>
        <v/>
      </c>
      <c r="S534" s="525" t="str">
        <f>IF(ISERROR(FIND('112'!$M$9,G534,1)),"",IF((AND(LEFT(G534,2)=LEFT('112'!$M$9,2),B534&lt;'112'!$N$8,$L534='112'!$I$6)),"x",""))</f>
        <v>x</v>
      </c>
      <c r="T534" s="525" t="str">
        <f>IF(ISERROR(FIND('112'!$M$9,G534,1)),"",IF((AND(RIGHT(G534,2)=RIGHT('112'!$M$9,2),B534&lt;'112'!$N$8,$M534='112'!$I$6)),"x",""))</f>
        <v/>
      </c>
      <c r="U534" s="525" t="str">
        <f>IF(AND(B534&gt;='IN-NX'!$P$3,B534&lt;='IN-NX'!$Q$3,'IN-NX'!$D$7=D534,OR(LEFT(L534,2)="15",AND(LEFT(M534,2)&lt;&gt;"15",LEFT(M534,2)&lt;&gt;"33"))),"x","")</f>
        <v/>
      </c>
      <c r="V534" s="525" t="str">
        <f>IF(AND(OR(LEFT(TH!L534,2)="15",LEFT(TH!M534,2)="15"),'152-CT'!$J$8=TH!F534),"x","")</f>
        <v/>
      </c>
      <c r="W534" s="525" t="str">
        <f>IF(AND(OR(LEFT(TH!L534,2)="15",LEFT(TH!M534,2)="15"),TK!$E$7=TH!F534),"x","")</f>
        <v/>
      </c>
      <c r="X534" s="525" t="str">
        <f>IF(AND('341-CT'!$E$9=H534,OR(LEFT(L534,3)=$X$7,LEFT(M534,3)=$X$7)),"x","")</f>
        <v/>
      </c>
      <c r="Y534" s="525" t="str">
        <f>IF(OR(TH!L534=TH!$Y$7,M534=TH!$Y$7),"x","")</f>
        <v/>
      </c>
      <c r="Z534" s="525" t="str">
        <f>IF(AND(B534&lt;=NKC!$N$8,B534&gt;=NKC!$M$8),"x","")</f>
        <v/>
      </c>
      <c r="AA534" s="535"/>
    </row>
    <row r="535" spans="1:28" s="503" customFormat="1" ht="15.75" customHeight="1">
      <c r="A535" s="517" t="str">
        <f>IF(B535&lt;&gt;"",IF(AND(B535&gt;=_TM1,B535&lt;=_TM2,OR(TH!L535="1111",TH!M535="1111")),TH!D535,""),"")</f>
        <v/>
      </c>
      <c r="B535" s="531">
        <f t="shared" si="61"/>
        <v>5</v>
      </c>
      <c r="C535" s="315">
        <f t="shared" si="62"/>
        <v>42872</v>
      </c>
      <c r="D535" s="315" t="s">
        <v>461</v>
      </c>
      <c r="E535" s="288">
        <v>42872</v>
      </c>
      <c r="F535" s="249" t="s">
        <v>465</v>
      </c>
      <c r="G535" s="314" t="s">
        <v>440</v>
      </c>
      <c r="H535" s="473" t="s">
        <v>460</v>
      </c>
      <c r="I535" s="307"/>
      <c r="J535" s="307"/>
      <c r="K535" s="532">
        <v>189000000</v>
      </c>
      <c r="L535" s="533" t="s">
        <v>45</v>
      </c>
      <c r="M535" s="533" t="s">
        <v>24</v>
      </c>
      <c r="N535" s="525" t="str">
        <f>IF(AND('331-CT'!$E$7=TH!H535,OR(L535="331",M535="331")),"331",IF(AND(OR(L535="131",M535="131"),H535='131-CT'!$E$7),"131",""))</f>
        <v/>
      </c>
      <c r="O535" s="525" t="str">
        <f>IF(AND($B535&gt;='111'!$N$11,$B535&lt;='111'!$O$11,OR($L535=$O$7,$M535=$O$7)),"x","")</f>
        <v/>
      </c>
      <c r="P535" s="525" t="str">
        <f>IF(AND($L535=$O$7,$B535&lt;'111'!$N$11),"x","")</f>
        <v>x</v>
      </c>
      <c r="Q535" s="525" t="str">
        <f>IF(AND($M535=$O$7,$B535&lt;'111'!$N$11),"x","")</f>
        <v/>
      </c>
      <c r="R535" s="525" t="str">
        <f>IF(ISERROR(FIND('112'!$M$9,G535,1)),"",IF((AND(FIND('112'!$M$9,G535,1)&gt;=1,$B535&gt;='112'!$N$8,$B535&lt;='112'!$O$8,OR($L535='112'!$I$6,$M535='112'!$I$6))),"x",""))</f>
        <v/>
      </c>
      <c r="S535" s="525" t="str">
        <f>IF(ISERROR(FIND('112'!$M$9,G535,1)),"",IF((AND(LEFT(G535,2)=LEFT('112'!$M$9,2),B535&lt;'112'!$N$8,$L535='112'!$I$6)),"x",""))</f>
        <v/>
      </c>
      <c r="T535" s="525" t="str">
        <f>IF(ISERROR(FIND('112'!$M$9,G535,1)),"",IF((AND(RIGHT(G535,2)=RIGHT('112'!$M$9,2),B535&lt;'112'!$N$8,$M535='112'!$I$6)),"x",""))</f>
        <v>x</v>
      </c>
      <c r="U535" s="525" t="str">
        <f>IF(AND(B535&gt;='IN-NX'!$P$3,B535&lt;='IN-NX'!$Q$3,'IN-NX'!$D$7=D535,OR(LEFT(L535,2)="15",AND(LEFT(M535,2)&lt;&gt;"15",LEFT(M535,2)&lt;&gt;"33"))),"x","")</f>
        <v/>
      </c>
      <c r="V535" s="525" t="str">
        <f>IF(AND(OR(LEFT(TH!L535,2)="15",LEFT(TH!M535,2)="15"),'152-CT'!$J$8=TH!F535),"x","")</f>
        <v/>
      </c>
      <c r="W535" s="525" t="str">
        <f>IF(AND(OR(LEFT(TH!L535,2)="15",LEFT(TH!M535,2)="15"),TK!$E$7=TH!F535),"x","")</f>
        <v/>
      </c>
      <c r="X535" s="525" t="str">
        <f>IF(AND('341-CT'!$E$9=H535,OR(LEFT(L535,3)=$X$7,LEFT(M535,3)=$X$7)),"x","")</f>
        <v/>
      </c>
      <c r="Y535" s="525" t="str">
        <f>IF(OR(TH!L535=TH!$Y$7,M535=TH!$Y$7),"x","")</f>
        <v/>
      </c>
      <c r="Z535" s="525" t="str">
        <f>IF(AND(B535&lt;=NKC!$N$8,B535&gt;=NKC!$M$8),"x","")</f>
        <v/>
      </c>
      <c r="AA535" s="535"/>
      <c r="AB535" s="536"/>
    </row>
    <row r="536" spans="1:28" s="503" customFormat="1" ht="15.75" customHeight="1">
      <c r="A536" s="517" t="str">
        <f>IF(B536&lt;&gt;"",IF(AND(B536&gt;=_TM1,B536&lt;=_TM2,OR(TH!L536="1111",TH!M536="1111")),TH!D536,""),"")</f>
        <v/>
      </c>
      <c r="B536" s="531">
        <f t="shared" si="61"/>
        <v>5</v>
      </c>
      <c r="C536" s="315">
        <f t="shared" si="62"/>
        <v>42874</v>
      </c>
      <c r="D536" s="315" t="s">
        <v>461</v>
      </c>
      <c r="E536" s="288">
        <v>42874</v>
      </c>
      <c r="F536" s="248" t="s">
        <v>1268</v>
      </c>
      <c r="G536" s="314" t="s">
        <v>440</v>
      </c>
      <c r="H536" s="472"/>
      <c r="I536" s="307"/>
      <c r="J536" s="307"/>
      <c r="K536" s="532">
        <v>50000</v>
      </c>
      <c r="L536" s="533" t="s">
        <v>81</v>
      </c>
      <c r="M536" s="533" t="s">
        <v>24</v>
      </c>
      <c r="N536" s="525" t="str">
        <f>IF(AND('331-CT'!$E$7=TH!H536,OR(L536="331",M536="331")),"331",IF(AND(OR(L536="131",M536="131"),H536='131-CT'!$E$7),"131",""))</f>
        <v/>
      </c>
      <c r="O536" s="525" t="str">
        <f>IF(AND($B536&gt;='111'!$N$11,$B536&lt;='111'!$O$11,OR($L536=$O$7,$M536=$O$7)),"x","")</f>
        <v/>
      </c>
      <c r="P536" s="525" t="str">
        <f>IF(AND($L536=$O$7,$B536&lt;'111'!$N$11),"x","")</f>
        <v/>
      </c>
      <c r="Q536" s="525" t="str">
        <f>IF(AND($M536=$O$7,$B536&lt;'111'!$N$11),"x","")</f>
        <v/>
      </c>
      <c r="R536" s="525" t="str">
        <f>IF(ISERROR(FIND('112'!$M$9,G536,1)),"",IF((AND(FIND('112'!$M$9,G536,1)&gt;=1,$B536&gt;='112'!$N$8,$B536&lt;='112'!$O$8,OR($L536='112'!$I$6,$M536='112'!$I$6))),"x",""))</f>
        <v/>
      </c>
      <c r="S536" s="525" t="str">
        <f>IF(ISERROR(FIND('112'!$M$9,G536,1)),"",IF((AND(LEFT(G536,2)=LEFT('112'!$M$9,2),B536&lt;'112'!$N$8,$L536='112'!$I$6)),"x",""))</f>
        <v/>
      </c>
      <c r="T536" s="525" t="str">
        <f>IF(ISERROR(FIND('112'!$M$9,G536,1)),"",IF((AND(RIGHT(G536,2)=RIGHT('112'!$M$9,2),B536&lt;'112'!$N$8,$M536='112'!$I$6)),"x",""))</f>
        <v>x</v>
      </c>
      <c r="U536" s="525" t="str">
        <f>IF(AND(B536&gt;='IN-NX'!$P$3,B536&lt;='IN-NX'!$Q$3,'IN-NX'!$D$7=D536,OR(LEFT(L536,2)="15",AND(LEFT(M536,2)&lt;&gt;"15",LEFT(M536,2)&lt;&gt;"33"))),"x","")</f>
        <v/>
      </c>
      <c r="V536" s="525" t="str">
        <f>IF(AND(OR(LEFT(TH!L536,2)="15",LEFT(TH!M536,2)="15"),'152-CT'!$J$8=TH!F536),"x","")</f>
        <v/>
      </c>
      <c r="W536" s="525" t="str">
        <f>IF(AND(OR(LEFT(TH!L536,2)="15",LEFT(TH!M536,2)="15"),TK!$E$7=TH!F536),"x","")</f>
        <v/>
      </c>
      <c r="X536" s="525" t="str">
        <f>IF(AND('341-CT'!$E$9=H536,OR(LEFT(L536,3)=$X$7,LEFT(M536,3)=$X$7)),"x","")</f>
        <v/>
      </c>
      <c r="Y536" s="525" t="str">
        <f>IF(OR(TH!L536=TH!$Y$7,M536=TH!$Y$7),"x","")</f>
        <v/>
      </c>
      <c r="Z536" s="525" t="str">
        <f>IF(AND(B536&lt;=NKC!$N$8,B536&gt;=NKC!$M$8),"x","")</f>
        <v/>
      </c>
      <c r="AA536" s="535">
        <v>2</v>
      </c>
    </row>
    <row r="537" spans="1:28" s="503" customFormat="1" ht="15.75" customHeight="1">
      <c r="A537" s="517" t="str">
        <f>IF(B537&lt;&gt;"",IF(AND(B537&gt;=_TM1,B537&lt;=_TM2,OR(TH!L537="1111",TH!M537="1111")),TH!D537,""),"")</f>
        <v/>
      </c>
      <c r="B537" s="531">
        <f t="shared" si="61"/>
        <v>5</v>
      </c>
      <c r="C537" s="315">
        <f t="shared" si="62"/>
        <v>42874</v>
      </c>
      <c r="D537" s="315" t="s">
        <v>461</v>
      </c>
      <c r="E537" s="288">
        <v>42874</v>
      </c>
      <c r="F537" s="248" t="s">
        <v>1267</v>
      </c>
      <c r="G537" s="314" t="s">
        <v>440</v>
      </c>
      <c r="H537" s="473"/>
      <c r="I537" s="307"/>
      <c r="J537" s="307"/>
      <c r="K537" s="532">
        <v>5000</v>
      </c>
      <c r="L537" s="533" t="s">
        <v>9</v>
      </c>
      <c r="M537" s="533" t="s">
        <v>24</v>
      </c>
      <c r="N537" s="525" t="str">
        <f>IF(AND('331-CT'!$E$7=TH!H537,OR(L537="331",M537="331")),"331",IF(AND(OR(L537="131",M537="131"),H537='131-CT'!$E$7),"131",""))</f>
        <v/>
      </c>
      <c r="O537" s="525" t="str">
        <f>IF(AND($B537&gt;='111'!$N$11,$B537&lt;='111'!$O$11,OR($L537=$O$7,$M537=$O$7)),"x","")</f>
        <v/>
      </c>
      <c r="P537" s="525" t="str">
        <f>IF(AND($L537=$O$7,$B537&lt;'111'!$N$11),"x","")</f>
        <v/>
      </c>
      <c r="Q537" s="525" t="str">
        <f>IF(AND($M537=$O$7,$B537&lt;'111'!$N$11),"x","")</f>
        <v/>
      </c>
      <c r="R537" s="525" t="str">
        <f>IF(ISERROR(FIND('112'!$M$9,G537,1)),"",IF((AND(FIND('112'!$M$9,G537,1)&gt;=1,$B537&gt;='112'!$N$8,$B537&lt;='112'!$O$8,OR($L537='112'!$I$6,$M537='112'!$I$6))),"x",""))</f>
        <v/>
      </c>
      <c r="S537" s="525" t="str">
        <f>IF(ISERROR(FIND('112'!$M$9,G537,1)),"",IF((AND(LEFT(G537,2)=LEFT('112'!$M$9,2),B537&lt;'112'!$N$8,$L537='112'!$I$6)),"x",""))</f>
        <v/>
      </c>
      <c r="T537" s="525" t="str">
        <f>IF(ISERROR(FIND('112'!$M$9,G537,1)),"",IF((AND(RIGHT(G537,2)=RIGHT('112'!$M$9,2),B537&lt;'112'!$N$8,$M537='112'!$I$6)),"x",""))</f>
        <v>x</v>
      </c>
      <c r="U537" s="525" t="str">
        <f>IF(AND(B537&gt;='IN-NX'!$P$3,B537&lt;='IN-NX'!$Q$3,'IN-NX'!$D$7=D537,OR(LEFT(L537,2)="15",AND(LEFT(M537,2)&lt;&gt;"15",LEFT(M537,2)&lt;&gt;"33"))),"x","")</f>
        <v/>
      </c>
      <c r="V537" s="525" t="str">
        <f>IF(AND(OR(LEFT(TH!L537,2)="15",LEFT(TH!M537,2)="15"),'152-CT'!$J$8=TH!F537),"x","")</f>
        <v/>
      </c>
      <c r="W537" s="525" t="str">
        <f>IF(AND(OR(LEFT(TH!L537,2)="15",LEFT(TH!M537,2)="15"),TK!$E$7=TH!F537),"x","")</f>
        <v/>
      </c>
      <c r="X537" s="525" t="str">
        <f>IF(AND('341-CT'!$E$9=H537,OR(LEFT(L537,3)=$X$7,LEFT(M537,3)=$X$7)),"x","")</f>
        <v/>
      </c>
      <c r="Y537" s="525" t="str">
        <f>IF(OR(TH!L537=TH!$Y$7,M537=TH!$Y$7),"x","")</f>
        <v/>
      </c>
      <c r="Z537" s="525" t="str">
        <f>IF(AND(B537&lt;=NKC!$N$8,B537&gt;=NKC!$M$8),"x","")</f>
        <v/>
      </c>
      <c r="AA537" s="535">
        <v>2</v>
      </c>
    </row>
    <row r="538" spans="1:28" s="503" customFormat="1" ht="15.75" customHeight="1">
      <c r="A538" s="517" t="str">
        <f>IF(B538&lt;&gt;"",IF(AND(B538&gt;=_TM1,B538&lt;=_TM2,OR(TH!L538="1111",TH!M538="1111")),TH!D538,""),"")</f>
        <v/>
      </c>
      <c r="B538" s="531">
        <f t="shared" si="61"/>
        <v>5</v>
      </c>
      <c r="C538" s="315">
        <f t="shared" si="62"/>
        <v>42874</v>
      </c>
      <c r="D538" s="315" t="s">
        <v>461</v>
      </c>
      <c r="E538" s="288">
        <v>42874</v>
      </c>
      <c r="F538" s="248" t="s">
        <v>1269</v>
      </c>
      <c r="G538" s="314" t="s">
        <v>440</v>
      </c>
      <c r="H538" s="473"/>
      <c r="I538" s="307"/>
      <c r="J538" s="307"/>
      <c r="K538" s="532">
        <v>100000</v>
      </c>
      <c r="L538" s="533" t="s">
        <v>81</v>
      </c>
      <c r="M538" s="533" t="s">
        <v>24</v>
      </c>
      <c r="N538" s="525" t="str">
        <f>IF(AND('331-CT'!$E$7=TH!H538,OR(L538="331",M538="331")),"331",IF(AND(OR(L538="131",M538="131"),H538='131-CT'!$E$7),"131",""))</f>
        <v/>
      </c>
      <c r="O538" s="525" t="str">
        <f>IF(AND($B538&gt;='111'!$N$11,$B538&lt;='111'!$O$11,OR($L538=$O$7,$M538=$O$7)),"x","")</f>
        <v/>
      </c>
      <c r="P538" s="525" t="str">
        <f>IF(AND($L538=$O$7,$B538&lt;'111'!$N$11),"x","")</f>
        <v/>
      </c>
      <c r="Q538" s="525" t="str">
        <f>IF(AND($M538=$O$7,$B538&lt;'111'!$N$11),"x","")</f>
        <v/>
      </c>
      <c r="R538" s="525" t="str">
        <f>IF(ISERROR(FIND('112'!$M$9,G538,1)),"",IF((AND(FIND('112'!$M$9,G538,1)&gt;=1,$B538&gt;='112'!$N$8,$B538&lt;='112'!$O$8,OR($L538='112'!$I$6,$M538='112'!$I$6))),"x",""))</f>
        <v/>
      </c>
      <c r="S538" s="525" t="str">
        <f>IF(ISERROR(FIND('112'!$M$9,G538,1)),"",IF((AND(LEFT(G538,2)=LEFT('112'!$M$9,2),B538&lt;'112'!$N$8,$L538='112'!$I$6)),"x",""))</f>
        <v/>
      </c>
      <c r="T538" s="525" t="str">
        <f>IF(ISERROR(FIND('112'!$M$9,G538,1)),"",IF((AND(RIGHT(G538,2)=RIGHT('112'!$M$9,2),B538&lt;'112'!$N$8,$M538='112'!$I$6)),"x",""))</f>
        <v>x</v>
      </c>
      <c r="U538" s="525" t="str">
        <f>IF(AND(B538&gt;='IN-NX'!$P$3,B538&lt;='IN-NX'!$Q$3,'IN-NX'!$D$7=D538,OR(LEFT(L538,2)="15",AND(LEFT(M538,2)&lt;&gt;"15",LEFT(M538,2)&lt;&gt;"33"))),"x","")</f>
        <v/>
      </c>
      <c r="V538" s="525" t="str">
        <f>IF(AND(OR(LEFT(TH!L538,2)="15",LEFT(TH!M538,2)="15"),'152-CT'!$J$8=TH!F538),"x","")</f>
        <v/>
      </c>
      <c r="W538" s="525" t="str">
        <f>IF(AND(OR(LEFT(TH!L538,2)="15",LEFT(TH!M538,2)="15"),TK!$E$7=TH!F538),"x","")</f>
        <v/>
      </c>
      <c r="X538" s="525" t="str">
        <f>IF(AND('341-CT'!$E$9=H538,OR(LEFT(L538,3)=$X$7,LEFT(M538,3)=$X$7)),"x","")</f>
        <v/>
      </c>
      <c r="Y538" s="525" t="str">
        <f>IF(OR(TH!L538=TH!$Y$7,M538=TH!$Y$7),"x","")</f>
        <v/>
      </c>
      <c r="Z538" s="525" t="str">
        <f>IF(AND(B538&lt;=NKC!$N$8,B538&gt;=NKC!$M$8),"x","")</f>
        <v/>
      </c>
      <c r="AA538" s="535">
        <v>2</v>
      </c>
    </row>
    <row r="539" spans="1:28" s="503" customFormat="1" ht="15.75" customHeight="1">
      <c r="A539" s="517" t="str">
        <f>IF(B539&lt;&gt;"",IF(AND(B539&gt;=_TM1,B539&lt;=_TM2,OR(TH!L539="1111",TH!M539="1111")),TH!D539,""),"")</f>
        <v/>
      </c>
      <c r="B539" s="531">
        <f t="shared" si="61"/>
        <v>5</v>
      </c>
      <c r="C539" s="315">
        <f t="shared" si="62"/>
        <v>42874</v>
      </c>
      <c r="D539" s="315" t="s">
        <v>461</v>
      </c>
      <c r="E539" s="288">
        <v>42874</v>
      </c>
      <c r="F539" s="248" t="s">
        <v>1270</v>
      </c>
      <c r="G539" s="314" t="s">
        <v>440</v>
      </c>
      <c r="H539" s="473"/>
      <c r="I539" s="307"/>
      <c r="J539" s="307"/>
      <c r="K539" s="532">
        <v>10000</v>
      </c>
      <c r="L539" s="533" t="s">
        <v>9</v>
      </c>
      <c r="M539" s="533" t="s">
        <v>24</v>
      </c>
      <c r="N539" s="525" t="str">
        <f>IF(AND('331-CT'!$E$7=TH!H539,OR(L539="331",M539="331")),"331",IF(AND(OR(L539="131",M539="131"),H539='131-CT'!$E$7),"131",""))</f>
        <v/>
      </c>
      <c r="O539" s="525" t="str">
        <f>IF(AND($B539&gt;='111'!$N$11,$B539&lt;='111'!$O$11,OR($L539=$O$7,$M539=$O$7)),"x","")</f>
        <v/>
      </c>
      <c r="P539" s="525" t="str">
        <f>IF(AND($L539=$O$7,$B539&lt;'111'!$N$11),"x","")</f>
        <v/>
      </c>
      <c r="Q539" s="525" t="str">
        <f>IF(AND($M539=$O$7,$B539&lt;'111'!$N$11),"x","")</f>
        <v/>
      </c>
      <c r="R539" s="525" t="str">
        <f>IF(ISERROR(FIND('112'!$M$9,G539,1)),"",IF((AND(FIND('112'!$M$9,G539,1)&gt;=1,$B539&gt;='112'!$N$8,$B539&lt;='112'!$O$8,OR($L539='112'!$I$6,$M539='112'!$I$6))),"x",""))</f>
        <v/>
      </c>
      <c r="S539" s="525" t="str">
        <f>IF(ISERROR(FIND('112'!$M$9,G539,1)),"",IF((AND(LEFT(G539,2)=LEFT('112'!$M$9,2),B539&lt;'112'!$N$8,$L539='112'!$I$6)),"x",""))</f>
        <v/>
      </c>
      <c r="T539" s="525" t="str">
        <f>IF(ISERROR(FIND('112'!$M$9,G539,1)),"",IF((AND(RIGHT(G539,2)=RIGHT('112'!$M$9,2),B539&lt;'112'!$N$8,$M539='112'!$I$6)),"x",""))</f>
        <v>x</v>
      </c>
      <c r="U539" s="525" t="str">
        <f>IF(AND(B539&gt;='IN-NX'!$P$3,B539&lt;='IN-NX'!$Q$3,'IN-NX'!$D$7=D539,OR(LEFT(L539,2)="15",AND(LEFT(M539,2)&lt;&gt;"15",LEFT(M539,2)&lt;&gt;"33"))),"x","")</f>
        <v/>
      </c>
      <c r="V539" s="525" t="str">
        <f>IF(AND(OR(LEFT(TH!L539,2)="15",LEFT(TH!M539,2)="15"),'152-CT'!$J$8=TH!F539),"x","")</f>
        <v/>
      </c>
      <c r="W539" s="525" t="str">
        <f>IF(AND(OR(LEFT(TH!L539,2)="15",LEFT(TH!M539,2)="15"),TK!$E$7=TH!F539),"x","")</f>
        <v/>
      </c>
      <c r="X539" s="525" t="str">
        <f>IF(AND('341-CT'!$E$9=H539,OR(LEFT(L539,3)=$X$7,LEFT(M539,3)=$X$7)),"x","")</f>
        <v/>
      </c>
      <c r="Y539" s="525" t="str">
        <f>IF(OR(TH!L539=TH!$Y$7,M539=TH!$Y$7),"x","")</f>
        <v/>
      </c>
      <c r="Z539" s="525" t="str">
        <f>IF(AND(B539&lt;=NKC!$N$8,B539&gt;=NKC!$M$8),"x","")</f>
        <v/>
      </c>
      <c r="AA539" s="535">
        <v>2</v>
      </c>
      <c r="AB539" s="536"/>
    </row>
    <row r="540" spans="1:28" s="503" customFormat="1" ht="15.75" customHeight="1">
      <c r="A540" s="517" t="str">
        <f>IF(B540&lt;&gt;"",IF(AND(B540&gt;=_TM1,B540&lt;=_TM2,OR(TH!L540="1111",TH!M540="1111")),TH!D540,""),"")</f>
        <v/>
      </c>
      <c r="B540" s="531">
        <f t="shared" si="61"/>
        <v>5</v>
      </c>
      <c r="C540" s="315">
        <f t="shared" si="62"/>
        <v>42875</v>
      </c>
      <c r="D540" s="315" t="s">
        <v>456</v>
      </c>
      <c r="E540" s="288">
        <v>42875</v>
      </c>
      <c r="F540" s="248" t="s">
        <v>1265</v>
      </c>
      <c r="G540" s="314" t="s">
        <v>440</v>
      </c>
      <c r="H540" s="473" t="s">
        <v>460</v>
      </c>
      <c r="I540" s="307"/>
      <c r="J540" s="307"/>
      <c r="K540" s="532">
        <v>102000000</v>
      </c>
      <c r="L540" s="533" t="s">
        <v>24</v>
      </c>
      <c r="M540" s="533" t="s">
        <v>45</v>
      </c>
      <c r="N540" s="525" t="str">
        <f>IF(AND('331-CT'!$E$7=TH!H540,OR(L540="331",M540="331")),"331",IF(AND(OR(L540="131",M540="131"),H540='131-CT'!$E$7),"131",""))</f>
        <v/>
      </c>
      <c r="O540" s="525" t="str">
        <f>IF(AND($B540&gt;='111'!$N$11,$B540&lt;='111'!$O$11,OR($L540=$O$7,$M540=$O$7)),"x","")</f>
        <v/>
      </c>
      <c r="P540" s="525" t="str">
        <f>IF(AND($L540=$O$7,$B540&lt;'111'!$N$11),"x","")</f>
        <v/>
      </c>
      <c r="Q540" s="525" t="str">
        <f>IF(AND($M540=$O$7,$B540&lt;'111'!$N$11),"x","")</f>
        <v>x</v>
      </c>
      <c r="R540" s="525" t="str">
        <f>IF(ISERROR(FIND('112'!$M$9,G540,1)),"",IF((AND(FIND('112'!$M$9,G540,1)&gt;=1,$B540&gt;='112'!$N$8,$B540&lt;='112'!$O$8,OR($L540='112'!$I$6,$M540='112'!$I$6))),"x",""))</f>
        <v/>
      </c>
      <c r="S540" s="525" t="str">
        <f>IF(ISERROR(FIND('112'!$M$9,G540,1)),"",IF((AND(LEFT(G540,2)=LEFT('112'!$M$9,2),B540&lt;'112'!$N$8,$L540='112'!$I$6)),"x",""))</f>
        <v>x</v>
      </c>
      <c r="T540" s="525" t="str">
        <f>IF(ISERROR(FIND('112'!$M$9,G540,1)),"",IF((AND(RIGHT(G540,2)=RIGHT('112'!$M$9,2),B540&lt;'112'!$N$8,$M540='112'!$I$6)),"x",""))</f>
        <v/>
      </c>
      <c r="U540" s="525" t="str">
        <f>IF(AND(B540&gt;='IN-NX'!$P$3,B540&lt;='IN-NX'!$Q$3,'IN-NX'!$D$7=D540,OR(LEFT(L540,2)="15",AND(LEFT(M540,2)&lt;&gt;"15",LEFT(M540,2)&lt;&gt;"33"))),"x","")</f>
        <v/>
      </c>
      <c r="V540" s="525" t="str">
        <f>IF(AND(OR(LEFT(TH!L540,2)="15",LEFT(TH!M540,2)="15"),'152-CT'!$J$8=TH!F540),"x","")</f>
        <v/>
      </c>
      <c r="W540" s="525" t="str">
        <f>IF(AND(OR(LEFT(TH!L540,2)="15",LEFT(TH!M540,2)="15"),TK!$E$7=TH!F540),"x","")</f>
        <v/>
      </c>
      <c r="X540" s="525" t="str">
        <f>IF(AND('341-CT'!$E$9=H540,OR(LEFT(L540,3)=$X$7,LEFT(M540,3)=$X$7)),"x","")</f>
        <v/>
      </c>
      <c r="Y540" s="525" t="str">
        <f>IF(OR(TH!L540=TH!$Y$7,M540=TH!$Y$7),"x","")</f>
        <v/>
      </c>
      <c r="Z540" s="525" t="str">
        <f>IF(AND(B540&lt;=NKC!$N$8,B540&gt;=NKC!$M$8),"x","")</f>
        <v/>
      </c>
      <c r="AA540" s="535"/>
    </row>
    <row r="541" spans="1:28" s="503" customFormat="1" ht="15.75" customHeight="1">
      <c r="A541" s="517" t="str">
        <f>IF(B541&lt;&gt;"",IF(AND(B541&gt;=_TM1,B541&lt;=_TM2,OR(TH!L541="1111",TH!M541="1111")),TH!D541,""),"")</f>
        <v/>
      </c>
      <c r="B541" s="531">
        <f t="shared" si="61"/>
        <v>5</v>
      </c>
      <c r="C541" s="315">
        <f t="shared" si="62"/>
        <v>42875</v>
      </c>
      <c r="D541" s="315" t="s">
        <v>461</v>
      </c>
      <c r="E541" s="288">
        <v>42875</v>
      </c>
      <c r="F541" s="249" t="s">
        <v>828</v>
      </c>
      <c r="G541" s="314" t="s">
        <v>440</v>
      </c>
      <c r="H541" s="621" t="s">
        <v>1271</v>
      </c>
      <c r="I541" s="307"/>
      <c r="J541" s="307"/>
      <c r="K541" s="532">
        <v>3366769</v>
      </c>
      <c r="L541" s="533" t="s">
        <v>79</v>
      </c>
      <c r="M541" s="533" t="s">
        <v>24</v>
      </c>
      <c r="N541" s="525" t="str">
        <f>IF(AND('331-CT'!$E$7=TH!H541,OR(L541="331",M541="331")),"331",IF(AND(OR(L541="131",M541="131"),H541='131-CT'!$E$7),"131",""))</f>
        <v/>
      </c>
      <c r="O541" s="525" t="str">
        <f>IF(AND($B541&gt;='111'!$N$11,$B541&lt;='111'!$O$11,OR($L541=$O$7,$M541=$O$7)),"x","")</f>
        <v/>
      </c>
      <c r="P541" s="525" t="str">
        <f>IF(AND($L541=$O$7,$B541&lt;'111'!$N$11),"x","")</f>
        <v/>
      </c>
      <c r="Q541" s="525" t="str">
        <f>IF(AND($M541=$O$7,$B541&lt;'111'!$N$11),"x","")</f>
        <v/>
      </c>
      <c r="R541" s="525" t="str">
        <f>IF(ISERROR(FIND('112'!$M$9,G541,1)),"",IF((AND(FIND('112'!$M$9,G541,1)&gt;=1,$B541&gt;='112'!$N$8,$B541&lt;='112'!$O$8,OR($L541='112'!$I$6,$M541='112'!$I$6))),"x",""))</f>
        <v/>
      </c>
      <c r="S541" s="525" t="str">
        <f>IF(ISERROR(FIND('112'!$M$9,G541,1)),"",IF((AND(LEFT(G541,2)=LEFT('112'!$M$9,2),B541&lt;'112'!$N$8,$L541='112'!$I$6)),"x",""))</f>
        <v/>
      </c>
      <c r="T541" s="525" t="str">
        <f>IF(ISERROR(FIND('112'!$M$9,G541,1)),"",IF((AND(RIGHT(G541,2)=RIGHT('112'!$M$9,2),B541&lt;'112'!$N$8,$M541='112'!$I$6)),"x",""))</f>
        <v>x</v>
      </c>
      <c r="U541" s="525" t="str">
        <f>IF(AND(B541&gt;='IN-NX'!$P$3,B541&lt;='IN-NX'!$Q$3,'IN-NX'!$D$7=D541,OR(LEFT(L541,2)="15",AND(LEFT(M541,2)&lt;&gt;"15",LEFT(M541,2)&lt;&gt;"33"))),"x","")</f>
        <v/>
      </c>
      <c r="V541" s="525" t="str">
        <f>IF(AND(OR(LEFT(TH!L541,2)="15",LEFT(TH!M541,2)="15"),'152-CT'!$J$8=TH!F541),"x","")</f>
        <v/>
      </c>
      <c r="W541" s="525" t="str">
        <f>IF(AND(OR(LEFT(TH!L541,2)="15",LEFT(TH!M541,2)="15"),TK!$E$7=TH!F541),"x","")</f>
        <v/>
      </c>
      <c r="X541" s="525" t="str">
        <f>IF(AND('341-CT'!$E$9=H541,OR(LEFT(L541,3)=$X$7,LEFT(M541,3)=$X$7)),"x","")</f>
        <v/>
      </c>
      <c r="Y541" s="525" t="str">
        <f>IF(OR(TH!L541=TH!$Y$7,M541=TH!$Y$7),"x","")</f>
        <v/>
      </c>
      <c r="Z541" s="525" t="str">
        <f>IF(AND(B541&lt;=NKC!$N$8,B541&gt;=NKC!$M$8),"x","")</f>
        <v/>
      </c>
      <c r="AA541" s="535"/>
    </row>
    <row r="542" spans="1:28" s="503" customFormat="1" ht="15.75" customHeight="1">
      <c r="A542" s="517" t="str">
        <f>IF(B542&lt;&gt;"",IF(AND(B542&gt;=_TM1,B542&lt;=_TM2,OR(TH!L542="1111",TH!M542="1111")),TH!D542,""),"")</f>
        <v/>
      </c>
      <c r="B542" s="531">
        <f t="shared" si="61"/>
        <v>5</v>
      </c>
      <c r="C542" s="315">
        <f t="shared" si="62"/>
        <v>42875</v>
      </c>
      <c r="D542" s="315" t="s">
        <v>461</v>
      </c>
      <c r="E542" s="288">
        <v>42875</v>
      </c>
      <c r="F542" s="249" t="s">
        <v>829</v>
      </c>
      <c r="G542" s="314" t="s">
        <v>440</v>
      </c>
      <c r="H542" s="621" t="s">
        <v>1271</v>
      </c>
      <c r="I542" s="307"/>
      <c r="J542" s="307"/>
      <c r="K542" s="532">
        <v>22170000</v>
      </c>
      <c r="L542" s="534" t="s">
        <v>441</v>
      </c>
      <c r="M542" s="533" t="s">
        <v>24</v>
      </c>
      <c r="N542" s="525" t="str">
        <f>IF(AND('331-CT'!$E$7=TH!H542,OR(L542="331",M542="331")),"331",IF(AND(OR(L542="131",M542="131"),H542='131-CT'!$E$7),"131",""))</f>
        <v/>
      </c>
      <c r="O542" s="525" t="str">
        <f>IF(AND($B542&gt;='111'!$N$11,$B542&lt;='111'!$O$11,OR($L542=$O$7,$M542=$O$7)),"x","")</f>
        <v/>
      </c>
      <c r="P542" s="525" t="str">
        <f>IF(AND($L542=$O$7,$B542&lt;'111'!$N$11),"x","")</f>
        <v/>
      </c>
      <c r="Q542" s="525" t="str">
        <f>IF(AND($M542=$O$7,$B542&lt;'111'!$N$11),"x","")</f>
        <v/>
      </c>
      <c r="R542" s="525" t="str">
        <f>IF(ISERROR(FIND('112'!$M$9,G542,1)),"",IF((AND(FIND('112'!$M$9,G542,1)&gt;=1,$B542&gt;='112'!$N$8,$B542&lt;='112'!$O$8,OR($L542='112'!$I$6,$M542='112'!$I$6))),"x",""))</f>
        <v/>
      </c>
      <c r="S542" s="525" t="str">
        <f>IF(ISERROR(FIND('112'!$M$9,G542,1)),"",IF((AND(LEFT(G542,2)=LEFT('112'!$M$9,2),B542&lt;'112'!$N$8,$L542='112'!$I$6)),"x",""))</f>
        <v/>
      </c>
      <c r="T542" s="525" t="str">
        <f>IF(ISERROR(FIND('112'!$M$9,G542,1)),"",IF((AND(RIGHT(G542,2)=RIGHT('112'!$M$9,2),B542&lt;'112'!$N$8,$M542='112'!$I$6)),"x",""))</f>
        <v>x</v>
      </c>
      <c r="U542" s="525" t="str">
        <f>IF(AND(B542&gt;='IN-NX'!$P$3,B542&lt;='IN-NX'!$Q$3,'IN-NX'!$D$7=D542,OR(LEFT(L542,2)="15",AND(LEFT(M542,2)&lt;&gt;"15",LEFT(M542,2)&lt;&gt;"33"))),"x","")</f>
        <v/>
      </c>
      <c r="V542" s="525" t="str">
        <f>IF(AND(OR(LEFT(TH!L542,2)="15",LEFT(TH!M542,2)="15"),'152-CT'!$J$8=TH!F542),"x","")</f>
        <v/>
      </c>
      <c r="W542" s="525" t="str">
        <f>IF(AND(OR(LEFT(TH!L542,2)="15",LEFT(TH!M542,2)="15"),TK!$E$7=TH!F542),"x","")</f>
        <v/>
      </c>
      <c r="X542" s="525" t="str">
        <f>IF(AND('341-CT'!$E$9=H542,OR(LEFT(L542,3)=$X$7,LEFT(M542,3)=$X$7)),"x","")</f>
        <v>x</v>
      </c>
      <c r="Y542" s="525" t="str">
        <f>IF(OR(TH!L542=TH!$Y$7,M542=TH!$Y$7),"x","")</f>
        <v/>
      </c>
      <c r="Z542" s="525" t="str">
        <f>IF(AND(B542&lt;=NKC!$N$8,B542&gt;=NKC!$M$8),"x","")</f>
        <v/>
      </c>
      <c r="AA542" s="535"/>
    </row>
    <row r="543" spans="1:28" s="503" customFormat="1" ht="15.75" customHeight="1">
      <c r="A543" s="517" t="str">
        <f>IF(B543&lt;&gt;"",IF(AND(B543&gt;=_TM1,B543&lt;=_TM2,OR(TH!L543="1111",TH!M543="1111")),TH!D543,""),"")</f>
        <v/>
      </c>
      <c r="B543" s="531">
        <f t="shared" si="61"/>
        <v>5</v>
      </c>
      <c r="C543" s="315">
        <f t="shared" si="62"/>
        <v>42875</v>
      </c>
      <c r="D543" s="315" t="s">
        <v>461</v>
      </c>
      <c r="E543" s="288">
        <v>42875</v>
      </c>
      <c r="F543" s="249" t="s">
        <v>828</v>
      </c>
      <c r="G543" s="314" t="s">
        <v>440</v>
      </c>
      <c r="H543" s="621" t="s">
        <v>1276</v>
      </c>
      <c r="I543" s="307"/>
      <c r="J543" s="307"/>
      <c r="K543" s="532">
        <v>1610447</v>
      </c>
      <c r="L543" s="533" t="s">
        <v>79</v>
      </c>
      <c r="M543" s="533" t="s">
        <v>24</v>
      </c>
      <c r="N543" s="525" t="str">
        <f>IF(AND('331-CT'!$E$7=TH!H543,OR(L543="331",M543="331")),"331",IF(AND(OR(L543="131",M543="131"),H543='131-CT'!$E$7),"131",""))</f>
        <v/>
      </c>
      <c r="O543" s="525" t="str">
        <f>IF(AND($B543&gt;='111'!$N$11,$B543&lt;='111'!$O$11,OR($L543=$O$7,$M543=$O$7)),"x","")</f>
        <v/>
      </c>
      <c r="P543" s="525" t="str">
        <f>IF(AND($L543=$O$7,$B543&lt;'111'!$N$11),"x","")</f>
        <v/>
      </c>
      <c r="Q543" s="525" t="str">
        <f>IF(AND($M543=$O$7,$B543&lt;'111'!$N$11),"x","")</f>
        <v/>
      </c>
      <c r="R543" s="525" t="str">
        <f>IF(ISERROR(FIND('112'!$M$9,G543,1)),"",IF((AND(FIND('112'!$M$9,G543,1)&gt;=1,$B543&gt;='112'!$N$8,$B543&lt;='112'!$O$8,OR($L543='112'!$I$6,$M543='112'!$I$6))),"x",""))</f>
        <v/>
      </c>
      <c r="S543" s="525" t="str">
        <f>IF(ISERROR(FIND('112'!$M$9,G543,1)),"",IF((AND(LEFT(G543,2)=LEFT('112'!$M$9,2),B543&lt;'112'!$N$8,$L543='112'!$I$6)),"x",""))</f>
        <v/>
      </c>
      <c r="T543" s="525" t="str">
        <f>IF(ISERROR(FIND('112'!$M$9,G543,1)),"",IF((AND(RIGHT(G543,2)=RIGHT('112'!$M$9,2),B543&lt;'112'!$N$8,$M543='112'!$I$6)),"x",""))</f>
        <v>x</v>
      </c>
      <c r="U543" s="525" t="str">
        <f>IF(AND(B543&gt;='IN-NX'!$P$3,B543&lt;='IN-NX'!$Q$3,'IN-NX'!$D$7=D543,OR(LEFT(L543,2)="15",AND(LEFT(M543,2)&lt;&gt;"15",LEFT(M543,2)&lt;&gt;"33"))),"x","")</f>
        <v/>
      </c>
      <c r="V543" s="525" t="str">
        <f>IF(AND(OR(LEFT(TH!L543,2)="15",LEFT(TH!M543,2)="15"),'152-CT'!$J$8=TH!F543),"x","")</f>
        <v/>
      </c>
      <c r="W543" s="525" t="str">
        <f>IF(AND(OR(LEFT(TH!L543,2)="15",LEFT(TH!M543,2)="15"),TK!$E$7=TH!F543),"x","")</f>
        <v/>
      </c>
      <c r="X543" s="525" t="str">
        <f>IF(AND('341-CT'!$E$9=H543,OR(LEFT(L543,3)=$X$7,LEFT(M543,3)=$X$7)),"x","")</f>
        <v/>
      </c>
      <c r="Y543" s="525" t="str">
        <f>IF(OR(TH!L543=TH!$Y$7,M543=TH!$Y$7),"x","")</f>
        <v/>
      </c>
      <c r="Z543" s="525" t="str">
        <f>IF(AND(B543&lt;=NKC!$N$8,B543&gt;=NKC!$M$8),"x","")</f>
        <v/>
      </c>
      <c r="AA543" s="535"/>
    </row>
    <row r="544" spans="1:28" s="503" customFormat="1" ht="15.75" customHeight="1">
      <c r="A544" s="517" t="str">
        <f>IF(B544&lt;&gt;"",IF(AND(B544&gt;=_TM1,B544&lt;=_TM2,OR(TH!L544="1111",TH!M544="1111")),TH!D544,""),"")</f>
        <v/>
      </c>
      <c r="B544" s="531">
        <f t="shared" si="61"/>
        <v>5</v>
      </c>
      <c r="C544" s="315">
        <f t="shared" si="62"/>
        <v>42875</v>
      </c>
      <c r="D544" s="315" t="s">
        <v>461</v>
      </c>
      <c r="E544" s="288">
        <v>42875</v>
      </c>
      <c r="F544" s="249" t="s">
        <v>829</v>
      </c>
      <c r="G544" s="314" t="s">
        <v>440</v>
      </c>
      <c r="H544" s="621" t="s">
        <v>1276</v>
      </c>
      <c r="I544" s="307"/>
      <c r="J544" s="307"/>
      <c r="K544" s="532">
        <v>11550000</v>
      </c>
      <c r="L544" s="534" t="s">
        <v>441</v>
      </c>
      <c r="M544" s="533" t="s">
        <v>24</v>
      </c>
      <c r="N544" s="525" t="str">
        <f>IF(AND('331-CT'!$E$7=TH!H544,OR(L544="331",M544="331")),"331",IF(AND(OR(L544="131",M544="131"),H544='131-CT'!$E$7),"131",""))</f>
        <v/>
      </c>
      <c r="O544" s="525" t="str">
        <f>IF(AND($B544&gt;='111'!$N$11,$B544&lt;='111'!$O$11,OR($L544=$O$7,$M544=$O$7)),"x","")</f>
        <v/>
      </c>
      <c r="P544" s="525" t="str">
        <f>IF(AND($L544=$O$7,$B544&lt;'111'!$N$11),"x","")</f>
        <v/>
      </c>
      <c r="Q544" s="525" t="str">
        <f>IF(AND($M544=$O$7,$B544&lt;'111'!$N$11),"x","")</f>
        <v/>
      </c>
      <c r="R544" s="525" t="str">
        <f>IF(ISERROR(FIND('112'!$M$9,G544,1)),"",IF((AND(FIND('112'!$M$9,G544,1)&gt;=1,$B544&gt;='112'!$N$8,$B544&lt;='112'!$O$8,OR($L544='112'!$I$6,$M544='112'!$I$6))),"x",""))</f>
        <v/>
      </c>
      <c r="S544" s="525" t="str">
        <f>IF(ISERROR(FIND('112'!$M$9,G544,1)),"",IF((AND(LEFT(G544,2)=LEFT('112'!$M$9,2),B544&lt;'112'!$N$8,$L544='112'!$I$6)),"x",""))</f>
        <v/>
      </c>
      <c r="T544" s="525" t="str">
        <f>IF(ISERROR(FIND('112'!$M$9,G544,1)),"",IF((AND(RIGHT(G544,2)=RIGHT('112'!$M$9,2),B544&lt;'112'!$N$8,$M544='112'!$I$6)),"x",""))</f>
        <v>x</v>
      </c>
      <c r="U544" s="525" t="str">
        <f>IF(AND(B544&gt;='IN-NX'!$P$3,B544&lt;='IN-NX'!$Q$3,'IN-NX'!$D$7=D544,OR(LEFT(L544,2)="15",AND(LEFT(M544,2)&lt;&gt;"15",LEFT(M544,2)&lt;&gt;"33"))),"x","")</f>
        <v/>
      </c>
      <c r="V544" s="525" t="str">
        <f>IF(AND(OR(LEFT(TH!L544,2)="15",LEFT(TH!M544,2)="15"),'152-CT'!$J$8=TH!F544),"x","")</f>
        <v/>
      </c>
      <c r="W544" s="525" t="str">
        <f>IF(AND(OR(LEFT(TH!L544,2)="15",LEFT(TH!M544,2)="15"),TK!$E$7=TH!F544),"x","")</f>
        <v/>
      </c>
      <c r="X544" s="525" t="str">
        <f>IF(AND('341-CT'!$E$9=H544,OR(LEFT(L544,3)=$X$7,LEFT(M544,3)=$X$7)),"x","")</f>
        <v/>
      </c>
      <c r="Y544" s="525" t="str">
        <f>IF(OR(TH!L544=TH!$Y$7,M544=TH!$Y$7),"x","")</f>
        <v/>
      </c>
      <c r="Z544" s="525" t="str">
        <f>IF(AND(B544&lt;=NKC!$N$8,B544&gt;=NKC!$M$8),"x","")</f>
        <v/>
      </c>
      <c r="AA544" s="535"/>
      <c r="AB544" s="536"/>
    </row>
    <row r="545" spans="1:28" s="503" customFormat="1" ht="15.75" customHeight="1">
      <c r="A545" s="517" t="str">
        <f>IF(B545&lt;&gt;"",IF(AND(B545&gt;=_TM1,B545&lt;=_TM2,OR(TH!L545="1111",TH!M545="1111")),TH!D545,""),"")</f>
        <v/>
      </c>
      <c r="B545" s="531">
        <f t="shared" si="61"/>
        <v>5</v>
      </c>
      <c r="C545" s="315">
        <f t="shared" si="62"/>
        <v>42875</v>
      </c>
      <c r="D545" s="315" t="s">
        <v>461</v>
      </c>
      <c r="E545" s="288">
        <v>42875</v>
      </c>
      <c r="F545" s="249" t="s">
        <v>828</v>
      </c>
      <c r="G545" s="314" t="s">
        <v>440</v>
      </c>
      <c r="H545" s="621" t="s">
        <v>1272</v>
      </c>
      <c r="I545" s="307"/>
      <c r="J545" s="307"/>
      <c r="K545" s="532">
        <v>1717725</v>
      </c>
      <c r="L545" s="533" t="s">
        <v>79</v>
      </c>
      <c r="M545" s="533" t="s">
        <v>24</v>
      </c>
      <c r="N545" s="525" t="str">
        <f>IF(AND('331-CT'!$E$7=TH!H545,OR(L545="331",M545="331")),"331",IF(AND(OR(L545="131",M545="131"),H545='131-CT'!$E$7),"131",""))</f>
        <v/>
      </c>
      <c r="O545" s="525" t="str">
        <f>IF(AND($B545&gt;='111'!$N$11,$B545&lt;='111'!$O$11,OR($L545=$O$7,$M545=$O$7)),"x","")</f>
        <v/>
      </c>
      <c r="P545" s="525" t="str">
        <f>IF(AND($L545=$O$7,$B545&lt;'111'!$N$11),"x","")</f>
        <v/>
      </c>
      <c r="Q545" s="525" t="str">
        <f>IF(AND($M545=$O$7,$B545&lt;'111'!$N$11),"x","")</f>
        <v/>
      </c>
      <c r="R545" s="525" t="str">
        <f>IF(ISERROR(FIND('112'!$M$9,G545,1)),"",IF((AND(FIND('112'!$M$9,G545,1)&gt;=1,$B545&gt;='112'!$N$8,$B545&lt;='112'!$O$8,OR($L545='112'!$I$6,$M545='112'!$I$6))),"x",""))</f>
        <v/>
      </c>
      <c r="S545" s="525" t="str">
        <f>IF(ISERROR(FIND('112'!$M$9,G545,1)),"",IF((AND(LEFT(G545,2)=LEFT('112'!$M$9,2),B545&lt;'112'!$N$8,$L545='112'!$I$6)),"x",""))</f>
        <v/>
      </c>
      <c r="T545" s="525" t="str">
        <f>IF(ISERROR(FIND('112'!$M$9,G545,1)),"",IF((AND(RIGHT(G545,2)=RIGHT('112'!$M$9,2),B545&lt;'112'!$N$8,$M545='112'!$I$6)),"x",""))</f>
        <v>x</v>
      </c>
      <c r="U545" s="525" t="str">
        <f>IF(AND(B545&gt;='IN-NX'!$P$3,B545&lt;='IN-NX'!$Q$3,'IN-NX'!$D$7=D545,OR(LEFT(L545,2)="15",AND(LEFT(M545,2)&lt;&gt;"15",LEFT(M545,2)&lt;&gt;"33"))),"x","")</f>
        <v/>
      </c>
      <c r="V545" s="525" t="str">
        <f>IF(AND(OR(LEFT(TH!L545,2)="15",LEFT(TH!M545,2)="15"),'152-CT'!$J$8=TH!F545),"x","")</f>
        <v/>
      </c>
      <c r="W545" s="525" t="str">
        <f>IF(AND(OR(LEFT(TH!L545,2)="15",LEFT(TH!M545,2)="15"),TK!$E$7=TH!F545),"x","")</f>
        <v/>
      </c>
      <c r="X545" s="525" t="str">
        <f>IF(AND('341-CT'!$E$9=H545,OR(LEFT(L545,3)=$X$7,LEFT(M545,3)=$X$7)),"x","")</f>
        <v/>
      </c>
      <c r="Y545" s="525" t="str">
        <f>IF(OR(TH!L545=TH!$Y$7,M545=TH!$Y$7),"x","")</f>
        <v/>
      </c>
      <c r="Z545" s="525" t="str">
        <f>IF(AND(B545&lt;=NKC!$N$8,B545&gt;=NKC!$M$8),"x","")</f>
        <v/>
      </c>
      <c r="AA545" s="535"/>
    </row>
    <row r="546" spans="1:28" s="503" customFormat="1" ht="15.75" customHeight="1">
      <c r="A546" s="517" t="str">
        <f>IF(B546&lt;&gt;"",IF(AND(B546&gt;=_TM1,B546&lt;=_TM2,OR(TH!L546="1111",TH!M546="1111")),TH!D546,""),"")</f>
        <v/>
      </c>
      <c r="B546" s="531">
        <f t="shared" si="61"/>
        <v>5</v>
      </c>
      <c r="C546" s="315">
        <f t="shared" si="62"/>
        <v>42875</v>
      </c>
      <c r="D546" s="315" t="s">
        <v>461</v>
      </c>
      <c r="E546" s="288">
        <v>42875</v>
      </c>
      <c r="F546" s="249" t="s">
        <v>829</v>
      </c>
      <c r="G546" s="314" t="s">
        <v>440</v>
      </c>
      <c r="H546" s="621" t="s">
        <v>1272</v>
      </c>
      <c r="I546" s="307"/>
      <c r="J546" s="307"/>
      <c r="K546" s="532">
        <v>11140000</v>
      </c>
      <c r="L546" s="534" t="s">
        <v>441</v>
      </c>
      <c r="M546" s="533" t="s">
        <v>24</v>
      </c>
      <c r="N546" s="525" t="str">
        <f>IF(AND('331-CT'!$E$7=TH!H546,OR(L546="331",M546="331")),"331",IF(AND(OR(L546="131",M546="131"),H546='131-CT'!$E$7),"131",""))</f>
        <v/>
      </c>
      <c r="O546" s="525" t="str">
        <f>IF(AND($B546&gt;='111'!$N$11,$B546&lt;='111'!$O$11,OR($L546=$O$7,$M546=$O$7)),"x","")</f>
        <v/>
      </c>
      <c r="P546" s="525" t="str">
        <f>IF(AND($L546=$O$7,$B546&lt;'111'!$N$11),"x","")</f>
        <v/>
      </c>
      <c r="Q546" s="525" t="str">
        <f>IF(AND($M546=$O$7,$B546&lt;'111'!$N$11),"x","")</f>
        <v/>
      </c>
      <c r="R546" s="525" t="str">
        <f>IF(ISERROR(FIND('112'!$M$9,G546,1)),"",IF((AND(FIND('112'!$M$9,G546,1)&gt;=1,$B546&gt;='112'!$N$8,$B546&lt;='112'!$O$8,OR($L546='112'!$I$6,$M546='112'!$I$6))),"x",""))</f>
        <v/>
      </c>
      <c r="S546" s="525" t="str">
        <f>IF(ISERROR(FIND('112'!$M$9,G546,1)),"",IF((AND(LEFT(G546,2)=LEFT('112'!$M$9,2),B546&lt;'112'!$N$8,$L546='112'!$I$6)),"x",""))</f>
        <v/>
      </c>
      <c r="T546" s="525" t="str">
        <f>IF(ISERROR(FIND('112'!$M$9,G546,1)),"",IF((AND(RIGHT(G546,2)=RIGHT('112'!$M$9,2),B546&lt;'112'!$N$8,$M546='112'!$I$6)),"x",""))</f>
        <v>x</v>
      </c>
      <c r="U546" s="525" t="str">
        <f>IF(AND(B546&gt;='IN-NX'!$P$3,B546&lt;='IN-NX'!$Q$3,'IN-NX'!$D$7=D546,OR(LEFT(L546,2)="15",AND(LEFT(M546,2)&lt;&gt;"15",LEFT(M546,2)&lt;&gt;"33"))),"x","")</f>
        <v/>
      </c>
      <c r="V546" s="525" t="str">
        <f>IF(AND(OR(LEFT(TH!L546,2)="15",LEFT(TH!M546,2)="15"),'152-CT'!$J$8=TH!F546),"x","")</f>
        <v/>
      </c>
      <c r="W546" s="525" t="str">
        <f>IF(AND(OR(LEFT(TH!L546,2)="15",LEFT(TH!M546,2)="15"),TK!$E$7=TH!F546),"x","")</f>
        <v/>
      </c>
      <c r="X546" s="525" t="str">
        <f>IF(AND('341-CT'!$E$9=H546,OR(LEFT(L546,3)=$X$7,LEFT(M546,3)=$X$7)),"x","")</f>
        <v/>
      </c>
      <c r="Y546" s="525" t="str">
        <f>IF(OR(TH!L546=TH!$Y$7,M546=TH!$Y$7),"x","")</f>
        <v/>
      </c>
      <c r="Z546" s="525" t="str">
        <f>IF(AND(B546&lt;=NKC!$N$8,B546&gt;=NKC!$M$8),"x","")</f>
        <v/>
      </c>
      <c r="AA546" s="535"/>
    </row>
    <row r="547" spans="1:28" s="503" customFormat="1" ht="15.75" customHeight="1">
      <c r="A547" s="517" t="str">
        <f>IF(B547&lt;&gt;"",IF(AND(B547&gt;=_TM1,B547&lt;=_TM2,OR(TH!L547="1111",TH!M547="1111")),TH!D547,""),"")</f>
        <v/>
      </c>
      <c r="B547" s="531">
        <f t="shared" si="61"/>
        <v>5</v>
      </c>
      <c r="C547" s="315">
        <f t="shared" si="62"/>
        <v>42875</v>
      </c>
      <c r="D547" s="315" t="s">
        <v>461</v>
      </c>
      <c r="E547" s="288">
        <v>42875</v>
      </c>
      <c r="F547" s="249" t="s">
        <v>828</v>
      </c>
      <c r="G547" s="314" t="s">
        <v>440</v>
      </c>
      <c r="H547" s="621" t="s">
        <v>1274</v>
      </c>
      <c r="I547" s="307"/>
      <c r="J547" s="307"/>
      <c r="K547" s="532">
        <v>1824215</v>
      </c>
      <c r="L547" s="533" t="s">
        <v>79</v>
      </c>
      <c r="M547" s="533" t="s">
        <v>24</v>
      </c>
      <c r="N547" s="525" t="str">
        <f>IF(AND('331-CT'!$E$7=TH!H547,OR(L547="331",M547="331")),"331",IF(AND(OR(L547="131",M547="131"),H547='131-CT'!$E$7),"131",""))</f>
        <v/>
      </c>
      <c r="O547" s="525" t="str">
        <f>IF(AND($B547&gt;='111'!$N$11,$B547&lt;='111'!$O$11,OR($L547=$O$7,$M547=$O$7)),"x","")</f>
        <v/>
      </c>
      <c r="P547" s="525" t="str">
        <f>IF(AND($L547=$O$7,$B547&lt;'111'!$N$11),"x","")</f>
        <v/>
      </c>
      <c r="Q547" s="525" t="str">
        <f>IF(AND($M547=$O$7,$B547&lt;'111'!$N$11),"x","")</f>
        <v/>
      </c>
      <c r="R547" s="525" t="str">
        <f>IF(ISERROR(FIND('112'!$M$9,G547,1)),"",IF((AND(FIND('112'!$M$9,G547,1)&gt;=1,$B547&gt;='112'!$N$8,$B547&lt;='112'!$O$8,OR($L547='112'!$I$6,$M547='112'!$I$6))),"x",""))</f>
        <v/>
      </c>
      <c r="S547" s="525" t="str">
        <f>IF(ISERROR(FIND('112'!$M$9,G547,1)),"",IF((AND(LEFT(G547,2)=LEFT('112'!$M$9,2),B547&lt;'112'!$N$8,$L547='112'!$I$6)),"x",""))</f>
        <v/>
      </c>
      <c r="T547" s="525" t="str">
        <f>IF(ISERROR(FIND('112'!$M$9,G547,1)),"",IF((AND(RIGHT(G547,2)=RIGHT('112'!$M$9,2),B547&lt;'112'!$N$8,$M547='112'!$I$6)),"x",""))</f>
        <v>x</v>
      </c>
      <c r="U547" s="525" t="str">
        <f>IF(AND(B547&gt;='IN-NX'!$P$3,B547&lt;='IN-NX'!$Q$3,'IN-NX'!$D$7=D547,OR(LEFT(L547,2)="15",AND(LEFT(M547,2)&lt;&gt;"15",LEFT(M547,2)&lt;&gt;"33"))),"x","")</f>
        <v/>
      </c>
      <c r="V547" s="525" t="str">
        <f>IF(AND(OR(LEFT(TH!L547,2)="15",LEFT(TH!M547,2)="15"),'152-CT'!$J$8=TH!F547),"x","")</f>
        <v/>
      </c>
      <c r="W547" s="525" t="str">
        <f>IF(AND(OR(LEFT(TH!L547,2)="15",LEFT(TH!M547,2)="15"),TK!$E$7=TH!F547),"x","")</f>
        <v/>
      </c>
      <c r="X547" s="525" t="str">
        <f>IF(AND('341-CT'!$E$9=H547,OR(LEFT(L547,3)=$X$7,LEFT(M547,3)=$X$7)),"x","")</f>
        <v/>
      </c>
      <c r="Y547" s="525" t="str">
        <f>IF(OR(TH!L547=TH!$Y$7,M547=TH!$Y$7),"x","")</f>
        <v/>
      </c>
      <c r="Z547" s="525" t="str">
        <f>IF(AND(B547&lt;=NKC!$N$8,B547&gt;=NKC!$M$8),"x","")</f>
        <v/>
      </c>
      <c r="AA547" s="535"/>
    </row>
    <row r="548" spans="1:28" s="503" customFormat="1" ht="15.75" customHeight="1">
      <c r="A548" s="517" t="str">
        <f>IF(B548&lt;&gt;"",IF(AND(B548&gt;=_TM1,B548&lt;=_TM2,OR(TH!L548="1111",TH!M548="1111")),TH!D548,""),"")</f>
        <v/>
      </c>
      <c r="B548" s="531">
        <f t="shared" si="61"/>
        <v>5</v>
      </c>
      <c r="C548" s="315">
        <f t="shared" si="62"/>
        <v>42875</v>
      </c>
      <c r="D548" s="315" t="s">
        <v>461</v>
      </c>
      <c r="E548" s="288">
        <v>42875</v>
      </c>
      <c r="F548" s="249" t="s">
        <v>829</v>
      </c>
      <c r="G548" s="314" t="s">
        <v>440</v>
      </c>
      <c r="H548" s="621" t="s">
        <v>1274</v>
      </c>
      <c r="I548" s="307"/>
      <c r="J548" s="307"/>
      <c r="K548" s="532">
        <v>10920000</v>
      </c>
      <c r="L548" s="534" t="s">
        <v>441</v>
      </c>
      <c r="M548" s="533" t="s">
        <v>24</v>
      </c>
      <c r="N548" s="525" t="str">
        <f>IF(AND('331-CT'!$E$7=TH!H548,OR(L548="331",M548="331")),"331",IF(AND(OR(L548="131",M548="131"),H548='131-CT'!$E$7),"131",""))</f>
        <v/>
      </c>
      <c r="O548" s="525" t="str">
        <f>IF(AND($B548&gt;='111'!$N$11,$B548&lt;='111'!$O$11,OR($L548=$O$7,$M548=$O$7)),"x","")</f>
        <v/>
      </c>
      <c r="P548" s="525" t="str">
        <f>IF(AND($L548=$O$7,$B548&lt;'111'!$N$11),"x","")</f>
        <v/>
      </c>
      <c r="Q548" s="525" t="str">
        <f>IF(AND($M548=$O$7,$B548&lt;'111'!$N$11),"x","")</f>
        <v/>
      </c>
      <c r="R548" s="525" t="str">
        <f>IF(ISERROR(FIND('112'!$M$9,G548,1)),"",IF((AND(FIND('112'!$M$9,G548,1)&gt;=1,$B548&gt;='112'!$N$8,$B548&lt;='112'!$O$8,OR($L548='112'!$I$6,$M548='112'!$I$6))),"x",""))</f>
        <v/>
      </c>
      <c r="S548" s="525" t="str">
        <f>IF(ISERROR(FIND('112'!$M$9,G548,1)),"",IF((AND(LEFT(G548,2)=LEFT('112'!$M$9,2),B548&lt;'112'!$N$8,$L548='112'!$I$6)),"x",""))</f>
        <v/>
      </c>
      <c r="T548" s="525" t="str">
        <f>IF(ISERROR(FIND('112'!$M$9,G548,1)),"",IF((AND(RIGHT(G548,2)=RIGHT('112'!$M$9,2),B548&lt;'112'!$N$8,$M548='112'!$I$6)),"x",""))</f>
        <v>x</v>
      </c>
      <c r="U548" s="525" t="str">
        <f>IF(AND(B548&gt;='IN-NX'!$P$3,B548&lt;='IN-NX'!$Q$3,'IN-NX'!$D$7=D548,OR(LEFT(L548,2)="15",AND(LEFT(M548,2)&lt;&gt;"15",LEFT(M548,2)&lt;&gt;"33"))),"x","")</f>
        <v/>
      </c>
      <c r="V548" s="525" t="str">
        <f>IF(AND(OR(LEFT(TH!L548,2)="15",LEFT(TH!M548,2)="15"),'152-CT'!$J$8=TH!F548),"x","")</f>
        <v/>
      </c>
      <c r="W548" s="525" t="str">
        <f>IF(AND(OR(LEFT(TH!L548,2)="15",LEFT(TH!M548,2)="15"),TK!$E$7=TH!F548),"x","")</f>
        <v/>
      </c>
      <c r="X548" s="525" t="str">
        <f>IF(AND('341-CT'!$E$9=H548,OR(LEFT(L548,3)=$X$7,LEFT(M548,3)=$X$7)),"x","")</f>
        <v/>
      </c>
      <c r="Y548" s="525" t="str">
        <f>IF(OR(TH!L548=TH!$Y$7,M548=TH!$Y$7),"x","")</f>
        <v/>
      </c>
      <c r="Z548" s="525" t="str">
        <f>IF(AND(B548&lt;=NKC!$N$8,B548&gt;=NKC!$M$8),"x","")</f>
        <v/>
      </c>
      <c r="AA548" s="535"/>
      <c r="AB548" s="536"/>
    </row>
    <row r="549" spans="1:28" s="503" customFormat="1" ht="15.75" customHeight="1">
      <c r="A549" s="517" t="str">
        <f>IF(B549&lt;&gt;"",IF(AND(B549&gt;=_TM1,B549&lt;=_TM2,OR(TH!L549="1111",TH!M549="1111")),TH!D549,""),"")</f>
        <v/>
      </c>
      <c r="B549" s="531">
        <f t="shared" ref="B549:B580" si="63">IF(C549&lt;&gt;"",MONTH(C549),"")</f>
        <v>5</v>
      </c>
      <c r="C549" s="315">
        <f t="shared" ref="C549:C580" si="64">E549</f>
        <v>42875</v>
      </c>
      <c r="D549" s="315" t="s">
        <v>461</v>
      </c>
      <c r="E549" s="288">
        <v>42875</v>
      </c>
      <c r="F549" s="249" t="s">
        <v>828</v>
      </c>
      <c r="G549" s="314" t="s">
        <v>440</v>
      </c>
      <c r="H549" s="621" t="s">
        <v>1275</v>
      </c>
      <c r="I549" s="307"/>
      <c r="J549" s="307"/>
      <c r="K549" s="532">
        <v>2502500</v>
      </c>
      <c r="L549" s="533" t="s">
        <v>79</v>
      </c>
      <c r="M549" s="533" t="s">
        <v>24</v>
      </c>
      <c r="N549" s="525" t="str">
        <f>IF(AND('331-CT'!$E$7=TH!H549,OR(L549="331",M549="331")),"331",IF(AND(OR(L549="131",M549="131"),H549='131-CT'!$E$7),"131",""))</f>
        <v/>
      </c>
      <c r="O549" s="525" t="str">
        <f>IF(AND($B549&gt;='111'!$N$11,$B549&lt;='111'!$O$11,OR($L549=$O$7,$M549=$O$7)),"x","")</f>
        <v/>
      </c>
      <c r="P549" s="525" t="str">
        <f>IF(AND($L549=$O$7,$B549&lt;'111'!$N$11),"x","")</f>
        <v/>
      </c>
      <c r="Q549" s="525" t="str">
        <f>IF(AND($M549=$O$7,$B549&lt;'111'!$N$11),"x","")</f>
        <v/>
      </c>
      <c r="R549" s="525" t="str">
        <f>IF(ISERROR(FIND('112'!$M$9,G549,1)),"",IF((AND(FIND('112'!$M$9,G549,1)&gt;=1,$B549&gt;='112'!$N$8,$B549&lt;='112'!$O$8,OR($L549='112'!$I$6,$M549='112'!$I$6))),"x",""))</f>
        <v/>
      </c>
      <c r="S549" s="525" t="str">
        <f>IF(ISERROR(FIND('112'!$M$9,G549,1)),"",IF((AND(LEFT(G549,2)=LEFT('112'!$M$9,2),B549&lt;'112'!$N$8,$L549='112'!$I$6)),"x",""))</f>
        <v/>
      </c>
      <c r="T549" s="525" t="str">
        <f>IF(ISERROR(FIND('112'!$M$9,G549,1)),"",IF((AND(RIGHT(G549,2)=RIGHT('112'!$M$9,2),B549&lt;'112'!$N$8,$M549='112'!$I$6)),"x",""))</f>
        <v>x</v>
      </c>
      <c r="U549" s="525" t="str">
        <f>IF(AND(B549&gt;='IN-NX'!$P$3,B549&lt;='IN-NX'!$Q$3,'IN-NX'!$D$7=D549,OR(LEFT(L549,2)="15",AND(LEFT(M549,2)&lt;&gt;"15",LEFT(M549,2)&lt;&gt;"33"))),"x","")</f>
        <v/>
      </c>
      <c r="V549" s="525" t="str">
        <f>IF(AND(OR(LEFT(TH!L549,2)="15",LEFT(TH!M549,2)="15"),'152-CT'!$J$8=TH!F549),"x","")</f>
        <v/>
      </c>
      <c r="W549" s="525" t="str">
        <f>IF(AND(OR(LEFT(TH!L549,2)="15",LEFT(TH!M549,2)="15"),TK!$E$7=TH!F549),"x","")</f>
        <v/>
      </c>
      <c r="X549" s="525" t="str">
        <f>IF(AND('341-CT'!$E$9=H549,OR(LEFT(L549,3)=$X$7,LEFT(M549,3)=$X$7)),"x","")</f>
        <v/>
      </c>
      <c r="Y549" s="525" t="str">
        <f>IF(OR(TH!L549=TH!$Y$7,M549=TH!$Y$7),"x","")</f>
        <v/>
      </c>
      <c r="Z549" s="525" t="str">
        <f>IF(AND(B549&lt;=NKC!$N$8,B549&gt;=NKC!$M$8),"x","")</f>
        <v/>
      </c>
      <c r="AA549" s="535"/>
    </row>
    <row r="550" spans="1:28" s="503" customFormat="1" ht="15.75" customHeight="1">
      <c r="A550" s="517" t="str">
        <f>IF(B550&lt;&gt;"",IF(AND(B550&gt;=_TM1,B550&lt;=_TM2,OR(TH!L550="1111",TH!M550="1111")),TH!D550,""),"")</f>
        <v/>
      </c>
      <c r="B550" s="531">
        <f t="shared" si="63"/>
        <v>5</v>
      </c>
      <c r="C550" s="315">
        <f t="shared" si="64"/>
        <v>42875</v>
      </c>
      <c r="D550" s="315" t="s">
        <v>461</v>
      </c>
      <c r="E550" s="288">
        <v>42875</v>
      </c>
      <c r="F550" s="249" t="s">
        <v>829</v>
      </c>
      <c r="G550" s="314" t="s">
        <v>440</v>
      </c>
      <c r="H550" s="621" t="s">
        <v>1275</v>
      </c>
      <c r="I550" s="307"/>
      <c r="J550" s="307"/>
      <c r="K550" s="532">
        <v>12500000</v>
      </c>
      <c r="L550" s="534" t="s">
        <v>441</v>
      </c>
      <c r="M550" s="533" t="s">
        <v>24</v>
      </c>
      <c r="N550" s="525" t="str">
        <f>IF(AND('331-CT'!$E$7=TH!H550,OR(L550="331",M550="331")),"331",IF(AND(OR(L550="131",M550="131"),H550='131-CT'!$E$7),"131",""))</f>
        <v/>
      </c>
      <c r="O550" s="525" t="str">
        <f>IF(AND($B550&gt;='111'!$N$11,$B550&lt;='111'!$O$11,OR($L550=$O$7,$M550=$O$7)),"x","")</f>
        <v/>
      </c>
      <c r="P550" s="525" t="str">
        <f>IF(AND($L550=$O$7,$B550&lt;'111'!$N$11),"x","")</f>
        <v/>
      </c>
      <c r="Q550" s="525" t="str">
        <f>IF(AND($M550=$O$7,$B550&lt;'111'!$N$11),"x","")</f>
        <v/>
      </c>
      <c r="R550" s="525" t="str">
        <f>IF(ISERROR(FIND('112'!$M$9,G550,1)),"",IF((AND(FIND('112'!$M$9,G550,1)&gt;=1,$B550&gt;='112'!$N$8,$B550&lt;='112'!$O$8,OR($L550='112'!$I$6,$M550='112'!$I$6))),"x",""))</f>
        <v/>
      </c>
      <c r="S550" s="525" t="str">
        <f>IF(ISERROR(FIND('112'!$M$9,G550,1)),"",IF((AND(LEFT(G550,2)=LEFT('112'!$M$9,2),B550&lt;'112'!$N$8,$L550='112'!$I$6)),"x",""))</f>
        <v/>
      </c>
      <c r="T550" s="525" t="str">
        <f>IF(ISERROR(FIND('112'!$M$9,G550,1)),"",IF((AND(RIGHT(G550,2)=RIGHT('112'!$M$9,2),B550&lt;'112'!$N$8,$M550='112'!$I$6)),"x",""))</f>
        <v>x</v>
      </c>
      <c r="U550" s="525" t="str">
        <f>IF(AND(B550&gt;='IN-NX'!$P$3,B550&lt;='IN-NX'!$Q$3,'IN-NX'!$D$7=D550,OR(LEFT(L550,2)="15",AND(LEFT(M550,2)&lt;&gt;"15",LEFT(M550,2)&lt;&gt;"33"))),"x","")</f>
        <v/>
      </c>
      <c r="V550" s="525" t="str">
        <f>IF(AND(OR(LEFT(TH!L550,2)="15",LEFT(TH!M550,2)="15"),'152-CT'!$J$8=TH!F550),"x","")</f>
        <v/>
      </c>
      <c r="W550" s="525" t="str">
        <f>IF(AND(OR(LEFT(TH!L550,2)="15",LEFT(TH!M550,2)="15"),TK!$E$7=TH!F550),"x","")</f>
        <v/>
      </c>
      <c r="X550" s="525" t="str">
        <f>IF(AND('341-CT'!$E$9=H550,OR(LEFT(L550,3)=$X$7,LEFT(M550,3)=$X$7)),"x","")</f>
        <v/>
      </c>
      <c r="Y550" s="525" t="str">
        <f>IF(OR(TH!L550=TH!$Y$7,M550=TH!$Y$7),"x","")</f>
        <v/>
      </c>
      <c r="Z550" s="525" t="str">
        <f>IF(AND(B550&lt;=NKC!$N$8,B550&gt;=NKC!$M$8),"x","")</f>
        <v/>
      </c>
      <c r="AA550" s="535"/>
    </row>
    <row r="551" spans="1:28" s="503" customFormat="1" ht="15.75" customHeight="1">
      <c r="A551" s="517" t="str">
        <f>IF(B551&lt;&gt;"",IF(AND(B551&gt;=_TM1,B551&lt;=_TM2,OR(TH!L551="1111",TH!M551="1111")),TH!D551,""),"")</f>
        <v/>
      </c>
      <c r="B551" s="531">
        <f t="shared" si="63"/>
        <v>5</v>
      </c>
      <c r="C551" s="315">
        <f t="shared" si="64"/>
        <v>42875</v>
      </c>
      <c r="D551" s="315" t="s">
        <v>461</v>
      </c>
      <c r="E551" s="288">
        <v>42875</v>
      </c>
      <c r="F551" s="249" t="s">
        <v>828</v>
      </c>
      <c r="G551" s="314" t="s">
        <v>440</v>
      </c>
      <c r="H551" s="621" t="s">
        <v>1273</v>
      </c>
      <c r="I551" s="307"/>
      <c r="J551" s="307"/>
      <c r="K551" s="532">
        <v>1640578</v>
      </c>
      <c r="L551" s="533" t="s">
        <v>79</v>
      </c>
      <c r="M551" s="533" t="s">
        <v>24</v>
      </c>
      <c r="N551" s="525" t="str">
        <f>IF(AND('331-CT'!$E$7=TH!H551,OR(L551="331",M551="331")),"331",IF(AND(OR(L551="131",M551="131"),H551='131-CT'!$E$7),"131",""))</f>
        <v/>
      </c>
      <c r="O551" s="525" t="str">
        <f>IF(AND($B551&gt;='111'!$N$11,$B551&lt;='111'!$O$11,OR($L551=$O$7,$M551=$O$7)),"x","")</f>
        <v/>
      </c>
      <c r="P551" s="525" t="str">
        <f>IF(AND($L551=$O$7,$B551&lt;'111'!$N$11),"x","")</f>
        <v/>
      </c>
      <c r="Q551" s="525" t="str">
        <f>IF(AND($M551=$O$7,$B551&lt;'111'!$N$11),"x","")</f>
        <v/>
      </c>
      <c r="R551" s="525" t="str">
        <f>IF(ISERROR(FIND('112'!$M$9,G551,1)),"",IF((AND(FIND('112'!$M$9,G551,1)&gt;=1,$B551&gt;='112'!$N$8,$B551&lt;='112'!$O$8,OR($L551='112'!$I$6,$M551='112'!$I$6))),"x",""))</f>
        <v/>
      </c>
      <c r="S551" s="525" t="str">
        <f>IF(ISERROR(FIND('112'!$M$9,G551,1)),"",IF((AND(LEFT(G551,2)=LEFT('112'!$M$9,2),B551&lt;'112'!$N$8,$L551='112'!$I$6)),"x",""))</f>
        <v/>
      </c>
      <c r="T551" s="525" t="str">
        <f>IF(ISERROR(FIND('112'!$M$9,G551,1)),"",IF((AND(RIGHT(G551,2)=RIGHT('112'!$M$9,2),B551&lt;'112'!$N$8,$M551='112'!$I$6)),"x",""))</f>
        <v>x</v>
      </c>
      <c r="U551" s="525" t="str">
        <f>IF(AND(B551&gt;='IN-NX'!$P$3,B551&lt;='IN-NX'!$Q$3,'IN-NX'!$D$7=D551,OR(LEFT(L551,2)="15",AND(LEFT(M551,2)&lt;&gt;"15",LEFT(M551,2)&lt;&gt;"33"))),"x","")</f>
        <v/>
      </c>
      <c r="V551" s="525" t="str">
        <f>IF(AND(OR(LEFT(TH!L551,2)="15",LEFT(TH!M551,2)="15"),'152-CT'!$J$8=TH!F551),"x","")</f>
        <v/>
      </c>
      <c r="W551" s="525" t="str">
        <f>IF(AND(OR(LEFT(TH!L551,2)="15",LEFT(TH!M551,2)="15"),TK!$E$7=TH!F551),"x","")</f>
        <v/>
      </c>
      <c r="X551" s="525" t="str">
        <f>IF(AND('341-CT'!$E$9=H551,OR(LEFT(L551,3)=$X$7,LEFT(M551,3)=$X$7)),"x","")</f>
        <v/>
      </c>
      <c r="Y551" s="525" t="str">
        <f>IF(OR(TH!L551=TH!$Y$7,M551=TH!$Y$7),"x","")</f>
        <v/>
      </c>
      <c r="Z551" s="525" t="str">
        <f>IF(AND(B551&lt;=NKC!$N$8,B551&gt;=NKC!$M$8),"x","")</f>
        <v/>
      </c>
      <c r="AA551" s="535"/>
    </row>
    <row r="552" spans="1:28" s="503" customFormat="1" ht="15.75" customHeight="1">
      <c r="A552" s="517" t="str">
        <f>IF(B552&lt;&gt;"",IF(AND(B552&gt;=_TM1,B552&lt;=_TM2,OR(TH!L552="1111",TH!M552="1111")),TH!D552,""),"")</f>
        <v/>
      </c>
      <c r="B552" s="531">
        <f t="shared" si="63"/>
        <v>5</v>
      </c>
      <c r="C552" s="315">
        <f t="shared" si="64"/>
        <v>42875</v>
      </c>
      <c r="D552" s="315" t="s">
        <v>461</v>
      </c>
      <c r="E552" s="288">
        <v>42875</v>
      </c>
      <c r="F552" s="249" t="s">
        <v>829</v>
      </c>
      <c r="G552" s="314" t="s">
        <v>440</v>
      </c>
      <c r="H552" s="621" t="s">
        <v>1273</v>
      </c>
      <c r="I552" s="307"/>
      <c r="J552" s="307"/>
      <c r="K552" s="532">
        <v>9830000</v>
      </c>
      <c r="L552" s="534" t="s">
        <v>441</v>
      </c>
      <c r="M552" s="533" t="s">
        <v>24</v>
      </c>
      <c r="N552" s="525" t="str">
        <f>IF(AND('331-CT'!$E$7=TH!H552,OR(L552="331",M552="331")),"331",IF(AND(OR(L552="131",M552="131"),H552='131-CT'!$E$7),"131",""))</f>
        <v/>
      </c>
      <c r="O552" s="525" t="str">
        <f>IF(AND($B552&gt;='111'!$N$11,$B552&lt;='111'!$O$11,OR($L552=$O$7,$M552=$O$7)),"x","")</f>
        <v/>
      </c>
      <c r="P552" s="525" t="str">
        <f>IF(AND($L552=$O$7,$B552&lt;'111'!$N$11),"x","")</f>
        <v/>
      </c>
      <c r="Q552" s="525" t="str">
        <f>IF(AND($M552=$O$7,$B552&lt;'111'!$N$11),"x","")</f>
        <v/>
      </c>
      <c r="R552" s="525" t="str">
        <f>IF(ISERROR(FIND('112'!$M$9,G552,1)),"",IF((AND(FIND('112'!$M$9,G552,1)&gt;=1,$B552&gt;='112'!$N$8,$B552&lt;='112'!$O$8,OR($L552='112'!$I$6,$M552='112'!$I$6))),"x",""))</f>
        <v/>
      </c>
      <c r="S552" s="525" t="str">
        <f>IF(ISERROR(FIND('112'!$M$9,G552,1)),"",IF((AND(LEFT(G552,2)=LEFT('112'!$M$9,2),B552&lt;'112'!$N$8,$L552='112'!$I$6)),"x",""))</f>
        <v/>
      </c>
      <c r="T552" s="525" t="str">
        <f>IF(ISERROR(FIND('112'!$M$9,G552,1)),"",IF((AND(RIGHT(G552,2)=RIGHT('112'!$M$9,2),B552&lt;'112'!$N$8,$M552='112'!$I$6)),"x",""))</f>
        <v>x</v>
      </c>
      <c r="U552" s="525" t="str">
        <f>IF(AND(B552&gt;='IN-NX'!$P$3,B552&lt;='IN-NX'!$Q$3,'IN-NX'!$D$7=D552,OR(LEFT(L552,2)="15",AND(LEFT(M552,2)&lt;&gt;"15",LEFT(M552,2)&lt;&gt;"33"))),"x","")</f>
        <v/>
      </c>
      <c r="V552" s="525" t="str">
        <f>IF(AND(OR(LEFT(TH!L552,2)="15",LEFT(TH!M552,2)="15"),'152-CT'!$J$8=TH!F552),"x","")</f>
        <v/>
      </c>
      <c r="W552" s="525" t="str">
        <f>IF(AND(OR(LEFT(TH!L552,2)="15",LEFT(TH!M552,2)="15"),TK!$E$7=TH!F552),"x","")</f>
        <v/>
      </c>
      <c r="X552" s="525" t="str">
        <f>IF(AND('341-CT'!$E$9=H552,OR(LEFT(L552,3)=$X$7,LEFT(M552,3)=$X$7)),"x","")</f>
        <v/>
      </c>
      <c r="Y552" s="525" t="str">
        <f>IF(OR(TH!L552=TH!$Y$7,M552=TH!$Y$7),"x","")</f>
        <v/>
      </c>
      <c r="Z552" s="525" t="str">
        <f>IF(AND(B552&lt;=NKC!$N$8,B552&gt;=NKC!$M$8),"x","")</f>
        <v/>
      </c>
      <c r="AA552" s="535"/>
      <c r="AB552" s="536"/>
    </row>
    <row r="553" spans="1:28" s="503" customFormat="1" ht="15.75" customHeight="1">
      <c r="A553" s="517" t="str">
        <f>IF(B553&lt;&gt;"",IF(AND(B553&gt;=_TM1,B553&lt;=_TM2,OR(TH!L553="1111",TH!M553="1111")),TH!D553,""),"")</f>
        <v/>
      </c>
      <c r="B553" s="531">
        <f t="shared" si="63"/>
        <v>5</v>
      </c>
      <c r="C553" s="315">
        <f t="shared" si="64"/>
        <v>42875</v>
      </c>
      <c r="D553" s="315" t="s">
        <v>461</v>
      </c>
      <c r="E553" s="288">
        <v>42875</v>
      </c>
      <c r="F553" s="249" t="s">
        <v>828</v>
      </c>
      <c r="G553" s="314" t="s">
        <v>440</v>
      </c>
      <c r="H553" s="621" t="s">
        <v>830</v>
      </c>
      <c r="I553" s="307"/>
      <c r="J553" s="307"/>
      <c r="K553" s="532">
        <v>2350716</v>
      </c>
      <c r="L553" s="533" t="s">
        <v>79</v>
      </c>
      <c r="M553" s="533" t="s">
        <v>24</v>
      </c>
      <c r="N553" s="525" t="str">
        <f>IF(AND('331-CT'!$E$7=TH!H553,OR(L553="331",M553="331")),"331",IF(AND(OR(L553="131",M553="131"),H553='131-CT'!$E$7),"131",""))</f>
        <v/>
      </c>
      <c r="O553" s="525" t="str">
        <f>IF(AND($B553&gt;='111'!$N$11,$B553&lt;='111'!$O$11,OR($L553=$O$7,$M553=$O$7)),"x","")</f>
        <v/>
      </c>
      <c r="P553" s="525" t="str">
        <f>IF(AND($L553=$O$7,$B553&lt;'111'!$N$11),"x","")</f>
        <v/>
      </c>
      <c r="Q553" s="525" t="str">
        <f>IF(AND($M553=$O$7,$B553&lt;'111'!$N$11),"x","")</f>
        <v/>
      </c>
      <c r="R553" s="525" t="str">
        <f>IF(ISERROR(FIND('112'!$M$9,G553,1)),"",IF((AND(FIND('112'!$M$9,G553,1)&gt;=1,$B553&gt;='112'!$N$8,$B553&lt;='112'!$O$8,OR($L553='112'!$I$6,$M553='112'!$I$6))),"x",""))</f>
        <v/>
      </c>
      <c r="S553" s="525" t="str">
        <f>IF(ISERROR(FIND('112'!$M$9,G553,1)),"",IF((AND(LEFT(G553,2)=LEFT('112'!$M$9,2),B553&lt;'112'!$N$8,$L553='112'!$I$6)),"x",""))</f>
        <v/>
      </c>
      <c r="T553" s="525" t="str">
        <f>IF(ISERROR(FIND('112'!$M$9,G553,1)),"",IF((AND(RIGHT(G553,2)=RIGHT('112'!$M$9,2),B553&lt;'112'!$N$8,$M553='112'!$I$6)),"x",""))</f>
        <v>x</v>
      </c>
      <c r="U553" s="525" t="str">
        <f>IF(AND(B553&gt;='IN-NX'!$P$3,B553&lt;='IN-NX'!$Q$3,'IN-NX'!$D$7=D553,OR(LEFT(L553,2)="15",AND(LEFT(M553,2)&lt;&gt;"15",LEFT(M553,2)&lt;&gt;"33"))),"x","")</f>
        <v/>
      </c>
      <c r="V553" s="525" t="str">
        <f>IF(AND(OR(LEFT(TH!L553,2)="15",LEFT(TH!M553,2)="15"),'152-CT'!$J$8=TH!F553),"x","")</f>
        <v/>
      </c>
      <c r="W553" s="525" t="str">
        <f>IF(AND(OR(LEFT(TH!L553,2)="15",LEFT(TH!M553,2)="15"),TK!$E$7=TH!F553),"x","")</f>
        <v/>
      </c>
      <c r="X553" s="525" t="str">
        <f>IF(AND('341-CT'!$E$9=H553,OR(LEFT(L553,3)=$X$7,LEFT(M553,3)=$X$7)),"x","")</f>
        <v/>
      </c>
      <c r="Y553" s="525" t="str">
        <f>IF(OR(TH!L553=TH!$Y$7,M553=TH!$Y$7),"x","")</f>
        <v/>
      </c>
      <c r="Z553" s="525" t="str">
        <f>IF(AND(B553&lt;=NKC!$N$8,B553&gt;=NKC!$M$8),"x","")</f>
        <v/>
      </c>
      <c r="AA553" s="535"/>
    </row>
    <row r="554" spans="1:28" s="503" customFormat="1" ht="15.75" customHeight="1">
      <c r="A554" s="517" t="str">
        <f>IF(B554&lt;&gt;"",IF(AND(B554&gt;=_TM1,B554&lt;=_TM2,OR(TH!L554="1111",TH!M554="1111")),TH!D554,""),"")</f>
        <v/>
      </c>
      <c r="B554" s="531">
        <f t="shared" si="63"/>
        <v>5</v>
      </c>
      <c r="C554" s="315">
        <f t="shared" si="64"/>
        <v>42875</v>
      </c>
      <c r="D554" s="315" t="s">
        <v>461</v>
      </c>
      <c r="E554" s="288">
        <v>42875</v>
      </c>
      <c r="F554" s="249" t="s">
        <v>829</v>
      </c>
      <c r="G554" s="314" t="s">
        <v>440</v>
      </c>
      <c r="H554" s="621" t="s">
        <v>830</v>
      </c>
      <c r="I554" s="307"/>
      <c r="J554" s="307"/>
      <c r="K554" s="532">
        <v>8917949</v>
      </c>
      <c r="L554" s="534" t="s">
        <v>441</v>
      </c>
      <c r="M554" s="533" t="s">
        <v>24</v>
      </c>
      <c r="N554" s="525" t="str">
        <f>IF(AND('331-CT'!$E$7=TH!H554,OR(L554="331",M554="331")),"331",IF(AND(OR(L554="131",M554="131"),H554='131-CT'!$E$7),"131",""))</f>
        <v/>
      </c>
      <c r="O554" s="525" t="str">
        <f>IF(AND($B554&gt;='111'!$N$11,$B554&lt;='111'!$O$11,OR($L554=$O$7,$M554=$O$7)),"x","")</f>
        <v/>
      </c>
      <c r="P554" s="525" t="str">
        <f>IF(AND($L554=$O$7,$B554&lt;'111'!$N$11),"x","")</f>
        <v/>
      </c>
      <c r="Q554" s="525" t="str">
        <f>IF(AND($M554=$O$7,$B554&lt;'111'!$N$11),"x","")</f>
        <v/>
      </c>
      <c r="R554" s="525" t="str">
        <f>IF(ISERROR(FIND('112'!$M$9,G554,1)),"",IF((AND(FIND('112'!$M$9,G554,1)&gt;=1,$B554&gt;='112'!$N$8,$B554&lt;='112'!$O$8,OR($L554='112'!$I$6,$M554='112'!$I$6))),"x",""))</f>
        <v/>
      </c>
      <c r="S554" s="525" t="str">
        <f>IF(ISERROR(FIND('112'!$M$9,G554,1)),"",IF((AND(LEFT(G554,2)=LEFT('112'!$M$9,2),B554&lt;'112'!$N$8,$L554='112'!$I$6)),"x",""))</f>
        <v/>
      </c>
      <c r="T554" s="525" t="str">
        <f>IF(ISERROR(FIND('112'!$M$9,G554,1)),"",IF((AND(RIGHT(G554,2)=RIGHT('112'!$M$9,2),B554&lt;'112'!$N$8,$M554='112'!$I$6)),"x",""))</f>
        <v>x</v>
      </c>
      <c r="U554" s="525" t="str">
        <f>IF(AND(B554&gt;='IN-NX'!$P$3,B554&lt;='IN-NX'!$Q$3,'IN-NX'!$D$7=D554,OR(LEFT(L554,2)="15",AND(LEFT(M554,2)&lt;&gt;"15",LEFT(M554,2)&lt;&gt;"33"))),"x","")</f>
        <v/>
      </c>
      <c r="V554" s="525" t="str">
        <f>IF(AND(OR(LEFT(TH!L554,2)="15",LEFT(TH!M554,2)="15"),'152-CT'!$J$8=TH!F554),"x","")</f>
        <v/>
      </c>
      <c r="W554" s="525" t="str">
        <f>IF(AND(OR(LEFT(TH!L554,2)="15",LEFT(TH!M554,2)="15"),TK!$E$7=TH!F554),"x","")</f>
        <v/>
      </c>
      <c r="X554" s="525" t="str">
        <f>IF(AND('341-CT'!$E$9=H554,OR(LEFT(L554,3)=$X$7,LEFT(M554,3)=$X$7)),"x","")</f>
        <v/>
      </c>
      <c r="Y554" s="525" t="str">
        <f>IF(OR(TH!L554=TH!$Y$7,M554=TH!$Y$7),"x","")</f>
        <v/>
      </c>
      <c r="Z554" s="525" t="str">
        <f>IF(AND(B554&lt;=NKC!$N$8,B554&gt;=NKC!$M$8),"x","")</f>
        <v/>
      </c>
      <c r="AA554" s="535"/>
    </row>
    <row r="555" spans="1:28" s="503" customFormat="1" ht="15.75" customHeight="1">
      <c r="A555" s="517" t="str">
        <f>IF(B555&lt;&gt;"",IF(AND(B555&gt;=_TM1,B555&lt;=_TM2,OR(TH!L555="1111",TH!M555="1111")),TH!D555,""),"")</f>
        <v/>
      </c>
      <c r="B555" s="531">
        <f t="shared" si="63"/>
        <v>5</v>
      </c>
      <c r="C555" s="315">
        <f t="shared" si="64"/>
        <v>42877</v>
      </c>
      <c r="D555" s="315" t="s">
        <v>456</v>
      </c>
      <c r="E555" s="288">
        <v>42877</v>
      </c>
      <c r="F555" s="248" t="s">
        <v>809</v>
      </c>
      <c r="G555" s="314" t="s">
        <v>440</v>
      </c>
      <c r="H555" s="473" t="s">
        <v>460</v>
      </c>
      <c r="I555" s="307"/>
      <c r="J555" s="307"/>
      <c r="K555" s="532">
        <v>600000</v>
      </c>
      <c r="L555" s="533" t="s">
        <v>24</v>
      </c>
      <c r="M555" s="533" t="s">
        <v>45</v>
      </c>
      <c r="N555" s="525" t="str">
        <f>IF(AND('331-CT'!$E$7=TH!H555,OR(L555="331",M555="331")),"331",IF(AND(OR(L555="131",M555="131"),H555='131-CT'!$E$7),"131",""))</f>
        <v/>
      </c>
      <c r="O555" s="525" t="str">
        <f>IF(AND($B555&gt;='111'!$N$11,$B555&lt;='111'!$O$11,OR($L555=$O$7,$M555=$O$7)),"x","")</f>
        <v/>
      </c>
      <c r="P555" s="525" t="str">
        <f>IF(AND($L555=$O$7,$B555&lt;'111'!$N$11),"x","")</f>
        <v/>
      </c>
      <c r="Q555" s="525" t="str">
        <f>IF(AND($M555=$O$7,$B555&lt;'111'!$N$11),"x","")</f>
        <v>x</v>
      </c>
      <c r="R555" s="525" t="str">
        <f>IF(ISERROR(FIND('112'!$M$9,G555,1)),"",IF((AND(FIND('112'!$M$9,G555,1)&gt;=1,$B555&gt;='112'!$N$8,$B555&lt;='112'!$O$8,OR($L555='112'!$I$6,$M555='112'!$I$6))),"x",""))</f>
        <v/>
      </c>
      <c r="S555" s="525" t="str">
        <f>IF(ISERROR(FIND('112'!$M$9,G555,1)),"",IF((AND(LEFT(G555,2)=LEFT('112'!$M$9,2),B555&lt;'112'!$N$8,$L555='112'!$I$6)),"x",""))</f>
        <v>x</v>
      </c>
      <c r="T555" s="525" t="str">
        <f>IF(ISERROR(FIND('112'!$M$9,G555,1)),"",IF((AND(RIGHT(G555,2)=RIGHT('112'!$M$9,2),B555&lt;'112'!$N$8,$M555='112'!$I$6)),"x",""))</f>
        <v/>
      </c>
      <c r="U555" s="525" t="str">
        <f>IF(AND(B555&gt;='IN-NX'!$P$3,B555&lt;='IN-NX'!$Q$3,'IN-NX'!$D$7=D555,OR(LEFT(L555,2)="15",AND(LEFT(M555,2)&lt;&gt;"15",LEFT(M555,2)&lt;&gt;"33"))),"x","")</f>
        <v/>
      </c>
      <c r="V555" s="525" t="str">
        <f>IF(AND(OR(LEFT(TH!L555,2)="15",LEFT(TH!M555,2)="15"),'152-CT'!$J$8=TH!F555),"x","")</f>
        <v/>
      </c>
      <c r="W555" s="525" t="str">
        <f>IF(AND(OR(LEFT(TH!L555,2)="15",LEFT(TH!M555,2)="15"),TK!$E$7=TH!F555),"x","")</f>
        <v/>
      </c>
      <c r="X555" s="525" t="str">
        <f>IF(AND('341-CT'!$E$9=H555,OR(LEFT(L555,3)=$X$7,LEFT(M555,3)=$X$7)),"x","")</f>
        <v/>
      </c>
      <c r="Y555" s="525" t="str">
        <f>IF(OR(TH!L555=TH!$Y$7,M555=TH!$Y$7),"x","")</f>
        <v/>
      </c>
      <c r="Z555" s="525" t="str">
        <f>IF(AND(B555&lt;=NKC!$N$8,B555&gt;=NKC!$M$8),"x","")</f>
        <v/>
      </c>
      <c r="AA555" s="535"/>
      <c r="AB555" s="536"/>
    </row>
    <row r="556" spans="1:28" s="503" customFormat="1" ht="15.75" customHeight="1">
      <c r="A556" s="517" t="str">
        <f>IF(B556&lt;&gt;"",IF(AND(B556&gt;=_TM1,B556&lt;=_TM2,OR(TH!L556="1111",TH!M556="1111")),TH!D556,""),"")</f>
        <v/>
      </c>
      <c r="B556" s="531">
        <f t="shared" si="63"/>
        <v>5</v>
      </c>
      <c r="C556" s="315">
        <f t="shared" si="64"/>
        <v>42877</v>
      </c>
      <c r="D556" s="315" t="s">
        <v>461</v>
      </c>
      <c r="E556" s="288">
        <v>42877</v>
      </c>
      <c r="F556" s="248" t="s">
        <v>1277</v>
      </c>
      <c r="G556" s="314" t="s">
        <v>440</v>
      </c>
      <c r="H556" s="621" t="s">
        <v>830</v>
      </c>
      <c r="I556" s="307"/>
      <c r="J556" s="307"/>
      <c r="K556" s="532">
        <v>321</v>
      </c>
      <c r="L556" s="533" t="s">
        <v>79</v>
      </c>
      <c r="M556" s="533" t="s">
        <v>24</v>
      </c>
      <c r="N556" s="525" t="str">
        <f>IF(AND('331-CT'!$E$7=TH!H556,OR(L556="331",M556="331")),"331",IF(AND(OR(L556="131",M556="131"),H556='131-CT'!$E$7),"131",""))</f>
        <v/>
      </c>
      <c r="O556" s="525" t="str">
        <f>IF(AND($B556&gt;='111'!$N$11,$B556&lt;='111'!$O$11,OR($L556=$O$7,$M556=$O$7)),"x","")</f>
        <v/>
      </c>
      <c r="P556" s="525" t="str">
        <f>IF(AND($L556=$O$7,$B556&lt;'111'!$N$11),"x","")</f>
        <v/>
      </c>
      <c r="Q556" s="525" t="str">
        <f>IF(AND($M556=$O$7,$B556&lt;'111'!$N$11),"x","")</f>
        <v/>
      </c>
      <c r="R556" s="525" t="str">
        <f>IF(ISERROR(FIND('112'!$M$9,G556,1)),"",IF((AND(FIND('112'!$M$9,G556,1)&gt;=1,$B556&gt;='112'!$N$8,$B556&lt;='112'!$O$8,OR($L556='112'!$I$6,$M556='112'!$I$6))),"x",""))</f>
        <v/>
      </c>
      <c r="S556" s="525" t="str">
        <f>IF(ISERROR(FIND('112'!$M$9,G556,1)),"",IF((AND(LEFT(G556,2)=LEFT('112'!$M$9,2),B556&lt;'112'!$N$8,$L556='112'!$I$6)),"x",""))</f>
        <v/>
      </c>
      <c r="T556" s="525" t="str">
        <f>IF(ISERROR(FIND('112'!$M$9,G556,1)),"",IF((AND(RIGHT(G556,2)=RIGHT('112'!$M$9,2),B556&lt;'112'!$N$8,$M556='112'!$I$6)),"x",""))</f>
        <v>x</v>
      </c>
      <c r="U556" s="525" t="str">
        <f>IF(AND(B556&gt;='IN-NX'!$P$3,B556&lt;='IN-NX'!$Q$3,'IN-NX'!$D$7=D556,OR(LEFT(L556,2)="15",AND(LEFT(M556,2)&lt;&gt;"15",LEFT(M556,2)&lt;&gt;"33"))),"x","")</f>
        <v/>
      </c>
      <c r="V556" s="525" t="str">
        <f>IF(AND(OR(LEFT(TH!L556,2)="15",LEFT(TH!M556,2)="15"),'152-CT'!$J$8=TH!F556),"x","")</f>
        <v/>
      </c>
      <c r="W556" s="525" t="str">
        <f>IF(AND(OR(LEFT(TH!L556,2)="15",LEFT(TH!M556,2)="15"),TK!$E$7=TH!F556),"x","")</f>
        <v/>
      </c>
      <c r="X556" s="525" t="str">
        <f>IF(AND('341-CT'!$E$9=H556,OR(LEFT(L556,3)=$X$7,LEFT(M556,3)=$X$7)),"x","")</f>
        <v/>
      </c>
      <c r="Y556" s="525" t="str">
        <f>IF(OR(TH!L556=TH!$Y$7,M556=TH!$Y$7),"x","")</f>
        <v/>
      </c>
      <c r="Z556" s="525" t="str">
        <f>IF(AND(B556&lt;=NKC!$N$8,B556&gt;=NKC!$M$8),"x","")</f>
        <v/>
      </c>
      <c r="AA556" s="535"/>
    </row>
    <row r="557" spans="1:28" s="503" customFormat="1" ht="15.75" customHeight="1">
      <c r="A557" s="517" t="str">
        <f>IF(B557&lt;&gt;"",IF(AND(B557&gt;=_TM1,B557&lt;=_TM2,OR(TH!L557="1111",TH!M557="1111")),TH!D557,""),"")</f>
        <v/>
      </c>
      <c r="B557" s="531">
        <f t="shared" si="63"/>
        <v>5</v>
      </c>
      <c r="C557" s="315">
        <f t="shared" si="64"/>
        <v>42877</v>
      </c>
      <c r="D557" s="315" t="s">
        <v>461</v>
      </c>
      <c r="E557" s="288">
        <v>42877</v>
      </c>
      <c r="F557" s="249" t="s">
        <v>828</v>
      </c>
      <c r="G557" s="314" t="s">
        <v>440</v>
      </c>
      <c r="H557" s="621" t="s">
        <v>830</v>
      </c>
      <c r="I557" s="307"/>
      <c r="J557" s="307"/>
      <c r="K557" s="532">
        <v>643</v>
      </c>
      <c r="L557" s="533" t="s">
        <v>79</v>
      </c>
      <c r="M557" s="533" t="s">
        <v>24</v>
      </c>
      <c r="N557" s="525" t="str">
        <f>IF(AND('331-CT'!$E$7=TH!H557,OR(L557="331",M557="331")),"331",IF(AND(OR(L557="131",M557="131"),H557='131-CT'!$E$7),"131",""))</f>
        <v/>
      </c>
      <c r="O557" s="525" t="str">
        <f>IF(AND($B557&gt;='111'!$N$11,$B557&lt;='111'!$O$11,OR($L557=$O$7,$M557=$O$7)),"x","")</f>
        <v/>
      </c>
      <c r="P557" s="525" t="str">
        <f>IF(AND($L557=$O$7,$B557&lt;'111'!$N$11),"x","")</f>
        <v/>
      </c>
      <c r="Q557" s="525" t="str">
        <f>IF(AND($M557=$O$7,$B557&lt;'111'!$N$11),"x","")</f>
        <v/>
      </c>
      <c r="R557" s="525" t="str">
        <f>IF(ISERROR(FIND('112'!$M$9,G557,1)),"",IF((AND(FIND('112'!$M$9,G557,1)&gt;=1,$B557&gt;='112'!$N$8,$B557&lt;='112'!$O$8,OR($L557='112'!$I$6,$M557='112'!$I$6))),"x",""))</f>
        <v/>
      </c>
      <c r="S557" s="525" t="str">
        <f>IF(ISERROR(FIND('112'!$M$9,G557,1)),"",IF((AND(LEFT(G557,2)=LEFT('112'!$M$9,2),B557&lt;'112'!$N$8,$L557='112'!$I$6)),"x",""))</f>
        <v/>
      </c>
      <c r="T557" s="525" t="str">
        <f>IF(ISERROR(FIND('112'!$M$9,G557,1)),"",IF((AND(RIGHT(G557,2)=RIGHT('112'!$M$9,2),B557&lt;'112'!$N$8,$M557='112'!$I$6)),"x",""))</f>
        <v>x</v>
      </c>
      <c r="U557" s="525" t="str">
        <f>IF(AND(B557&gt;='IN-NX'!$P$3,B557&lt;='IN-NX'!$Q$3,'IN-NX'!$D$7=D557,OR(LEFT(L557,2)="15",AND(LEFT(M557,2)&lt;&gt;"15",LEFT(M557,2)&lt;&gt;"33"))),"x","")</f>
        <v/>
      </c>
      <c r="V557" s="525" t="str">
        <f>IF(AND(OR(LEFT(TH!L557,2)="15",LEFT(TH!M557,2)="15"),'152-CT'!$J$8=TH!F557),"x","")</f>
        <v/>
      </c>
      <c r="W557" s="525" t="str">
        <f>IF(AND(OR(LEFT(TH!L557,2)="15",LEFT(TH!M557,2)="15"),TK!$E$7=TH!F557),"x","")</f>
        <v/>
      </c>
      <c r="X557" s="525" t="str">
        <f>IF(AND('341-CT'!$E$9=H557,OR(LEFT(L557,3)=$X$7,LEFT(M557,3)=$X$7)),"x","")</f>
        <v/>
      </c>
      <c r="Y557" s="525" t="str">
        <f>IF(OR(TH!L557=TH!$Y$7,M557=TH!$Y$7),"x","")</f>
        <v/>
      </c>
      <c r="Z557" s="525" t="str">
        <f>IF(AND(B557&lt;=NKC!$N$8,B557&gt;=NKC!$M$8),"x","")</f>
        <v/>
      </c>
      <c r="AA557" s="535"/>
      <c r="AB557" s="536"/>
    </row>
    <row r="558" spans="1:28" s="503" customFormat="1" ht="15.75" customHeight="1">
      <c r="A558" s="517" t="str">
        <f>IF(B558&lt;&gt;"",IF(AND(B558&gt;=_TM1,B558&lt;=_TM2,OR(TH!L558="1111",TH!M558="1111")),TH!D558,""),"")</f>
        <v/>
      </c>
      <c r="B558" s="531">
        <f t="shared" si="63"/>
        <v>5</v>
      </c>
      <c r="C558" s="315">
        <f t="shared" si="64"/>
        <v>42877</v>
      </c>
      <c r="D558" s="315" t="s">
        <v>461</v>
      </c>
      <c r="E558" s="288">
        <v>42877</v>
      </c>
      <c r="F558" s="249" t="s">
        <v>829</v>
      </c>
      <c r="G558" s="314" t="s">
        <v>440</v>
      </c>
      <c r="H558" s="621" t="s">
        <v>830</v>
      </c>
      <c r="I558" s="307"/>
      <c r="J558" s="307"/>
      <c r="K558" s="532">
        <v>502051</v>
      </c>
      <c r="L558" s="534" t="s">
        <v>441</v>
      </c>
      <c r="M558" s="533" t="s">
        <v>24</v>
      </c>
      <c r="N558" s="525" t="str">
        <f>IF(AND('331-CT'!$E$7=TH!H558,OR(L558="331",M558="331")),"331",IF(AND(OR(L558="131",M558="131"),H558='131-CT'!$E$7),"131",""))</f>
        <v/>
      </c>
      <c r="O558" s="525" t="str">
        <f>IF(AND($B558&gt;='111'!$N$11,$B558&lt;='111'!$O$11,OR($L558=$O$7,$M558=$O$7)),"x","")</f>
        <v/>
      </c>
      <c r="P558" s="525" t="str">
        <f>IF(AND($L558=$O$7,$B558&lt;'111'!$N$11),"x","")</f>
        <v/>
      </c>
      <c r="Q558" s="525" t="str">
        <f>IF(AND($M558=$O$7,$B558&lt;'111'!$N$11),"x","")</f>
        <v/>
      </c>
      <c r="R558" s="525" t="str">
        <f>IF(ISERROR(FIND('112'!$M$9,G558,1)),"",IF((AND(FIND('112'!$M$9,G558,1)&gt;=1,$B558&gt;='112'!$N$8,$B558&lt;='112'!$O$8,OR($L558='112'!$I$6,$M558='112'!$I$6))),"x",""))</f>
        <v/>
      </c>
      <c r="S558" s="525" t="str">
        <f>IF(ISERROR(FIND('112'!$M$9,G558,1)),"",IF((AND(LEFT(G558,2)=LEFT('112'!$M$9,2),B558&lt;'112'!$N$8,$L558='112'!$I$6)),"x",""))</f>
        <v/>
      </c>
      <c r="T558" s="525" t="str">
        <f>IF(ISERROR(FIND('112'!$M$9,G558,1)),"",IF((AND(RIGHT(G558,2)=RIGHT('112'!$M$9,2),B558&lt;'112'!$N$8,$M558='112'!$I$6)),"x",""))</f>
        <v>x</v>
      </c>
      <c r="U558" s="525" t="str">
        <f>IF(AND(B558&gt;='IN-NX'!$P$3,B558&lt;='IN-NX'!$Q$3,'IN-NX'!$D$7=D558,OR(LEFT(L558,2)="15",AND(LEFT(M558,2)&lt;&gt;"15",LEFT(M558,2)&lt;&gt;"33"))),"x","")</f>
        <v/>
      </c>
      <c r="V558" s="525" t="str">
        <f>IF(AND(OR(LEFT(TH!L558,2)="15",LEFT(TH!M558,2)="15"),'152-CT'!$J$8=TH!F558),"x","")</f>
        <v/>
      </c>
      <c r="W558" s="525" t="str">
        <f>IF(AND(OR(LEFT(TH!L558,2)="15",LEFT(TH!M558,2)="15"),TK!$E$7=TH!F558),"x","")</f>
        <v/>
      </c>
      <c r="X558" s="525" t="str">
        <f>IF(AND('341-CT'!$E$9=H558,OR(LEFT(L558,3)=$X$7,LEFT(M558,3)=$X$7)),"x","")</f>
        <v/>
      </c>
      <c r="Y558" s="525" t="str">
        <f>IF(OR(TH!L558=TH!$Y$7,M558=TH!$Y$7),"x","")</f>
        <v/>
      </c>
      <c r="Z558" s="525" t="str">
        <f>IF(AND(B558&lt;=NKC!$N$8,B558&gt;=NKC!$M$8),"x","")</f>
        <v/>
      </c>
      <c r="AA558" s="535"/>
    </row>
    <row r="559" spans="1:28" s="503" customFormat="1" ht="15.75" customHeight="1">
      <c r="A559" s="517" t="str">
        <f>IF(B559&lt;&gt;"",IF(AND(B559&gt;=_TM1,B559&lt;=_TM2,OR(TH!L559="1111",TH!M559="1111")),TH!D559,""),"")</f>
        <v/>
      </c>
      <c r="B559" s="531">
        <f t="shared" si="63"/>
        <v>5</v>
      </c>
      <c r="C559" s="315">
        <f t="shared" si="64"/>
        <v>42878</v>
      </c>
      <c r="D559" s="315" t="s">
        <v>456</v>
      </c>
      <c r="E559" s="288">
        <v>42878</v>
      </c>
      <c r="F559" s="248" t="s">
        <v>809</v>
      </c>
      <c r="G559" s="314" t="s">
        <v>440</v>
      </c>
      <c r="H559" s="473" t="s">
        <v>460</v>
      </c>
      <c r="I559" s="307"/>
      <c r="J559" s="307"/>
      <c r="K559" s="532">
        <v>200000</v>
      </c>
      <c r="L559" s="533" t="s">
        <v>24</v>
      </c>
      <c r="M559" s="533" t="s">
        <v>45</v>
      </c>
      <c r="N559" s="525" t="str">
        <f>IF(AND('331-CT'!$E$7=TH!H559,OR(L559="331",M559="331")),"331",IF(AND(OR(L559="131",M559="131"),H559='131-CT'!$E$7),"131",""))</f>
        <v/>
      </c>
      <c r="O559" s="525" t="str">
        <f>IF(AND($B559&gt;='111'!$N$11,$B559&lt;='111'!$O$11,OR($L559=$O$7,$M559=$O$7)),"x","")</f>
        <v/>
      </c>
      <c r="P559" s="525" t="str">
        <f>IF(AND($L559=$O$7,$B559&lt;'111'!$N$11),"x","")</f>
        <v/>
      </c>
      <c r="Q559" s="525" t="str">
        <f>IF(AND($M559=$O$7,$B559&lt;'111'!$N$11),"x","")</f>
        <v>x</v>
      </c>
      <c r="R559" s="525" t="str">
        <f>IF(ISERROR(FIND('112'!$M$9,G559,1)),"",IF((AND(FIND('112'!$M$9,G559,1)&gt;=1,$B559&gt;='112'!$N$8,$B559&lt;='112'!$O$8,OR($L559='112'!$I$6,$M559='112'!$I$6))),"x",""))</f>
        <v/>
      </c>
      <c r="S559" s="525" t="str">
        <f>IF(ISERROR(FIND('112'!$M$9,G559,1)),"",IF((AND(LEFT(G559,2)=LEFT('112'!$M$9,2),B559&lt;'112'!$N$8,$L559='112'!$I$6)),"x",""))</f>
        <v>x</v>
      </c>
      <c r="T559" s="525" t="str">
        <f>IF(ISERROR(FIND('112'!$M$9,G559,1)),"",IF((AND(RIGHT(G559,2)=RIGHT('112'!$M$9,2),B559&lt;'112'!$N$8,$M559='112'!$I$6)),"x",""))</f>
        <v/>
      </c>
      <c r="U559" s="525" t="str">
        <f>IF(AND(B559&gt;='IN-NX'!$P$3,B559&lt;='IN-NX'!$Q$3,'IN-NX'!$D$7=D559,OR(LEFT(L559,2)="15",AND(LEFT(M559,2)&lt;&gt;"15",LEFT(M559,2)&lt;&gt;"33"))),"x","")</f>
        <v/>
      </c>
      <c r="V559" s="525" t="str">
        <f>IF(AND(OR(LEFT(TH!L559,2)="15",LEFT(TH!M559,2)="15"),'152-CT'!$J$8=TH!F559),"x","")</f>
        <v/>
      </c>
      <c r="W559" s="525" t="str">
        <f>IF(AND(OR(LEFT(TH!L559,2)="15",LEFT(TH!M559,2)="15"),TK!$E$7=TH!F559),"x","")</f>
        <v/>
      </c>
      <c r="X559" s="525" t="str">
        <f>IF(AND('341-CT'!$E$9=H559,OR(LEFT(L559,3)=$X$7,LEFT(M559,3)=$X$7)),"x","")</f>
        <v/>
      </c>
      <c r="Y559" s="525" t="str">
        <f>IF(OR(TH!L559=TH!$Y$7,M559=TH!$Y$7),"x","")</f>
        <v/>
      </c>
      <c r="Z559" s="525" t="str">
        <f>IF(AND(B559&lt;=NKC!$N$8,B559&gt;=NKC!$M$8),"x","")</f>
        <v/>
      </c>
      <c r="AA559" s="535"/>
    </row>
    <row r="560" spans="1:28" s="503" customFormat="1" ht="15.75" customHeight="1">
      <c r="A560" s="517" t="str">
        <f>IF(B560&lt;&gt;"",IF(AND(B560&gt;=_TM1,B560&lt;=_TM2,OR(TH!L560="1111",TH!M560="1111")),TH!D560,""),"")</f>
        <v/>
      </c>
      <c r="B560" s="531">
        <f t="shared" si="63"/>
        <v>5</v>
      </c>
      <c r="C560" s="315">
        <f t="shared" si="64"/>
        <v>42878</v>
      </c>
      <c r="D560" s="315" t="s">
        <v>456</v>
      </c>
      <c r="E560" s="288">
        <v>42878</v>
      </c>
      <c r="F560" s="248" t="s">
        <v>808</v>
      </c>
      <c r="G560" s="314" t="s">
        <v>440</v>
      </c>
      <c r="H560" s="472" t="s">
        <v>1283</v>
      </c>
      <c r="I560" s="307"/>
      <c r="J560" s="307"/>
      <c r="K560" s="532">
        <v>78000000</v>
      </c>
      <c r="L560" s="533" t="s">
        <v>24</v>
      </c>
      <c r="M560" s="533" t="s">
        <v>441</v>
      </c>
      <c r="N560" s="525" t="str">
        <f>IF(AND('331-CT'!$E$7=TH!H560,OR(L560="331",M560="331")),"331",IF(AND(OR(L560="131",M560="131"),H560='131-CT'!$E$7),"131",""))</f>
        <v/>
      </c>
      <c r="O560" s="525" t="str">
        <f>IF(AND($B560&gt;='111'!$N$11,$B560&lt;='111'!$O$11,OR($L560=$O$7,$M560=$O$7)),"x","")</f>
        <v/>
      </c>
      <c r="P560" s="525" t="str">
        <f>IF(AND($L560=$O$7,$B560&lt;'111'!$N$11),"x","")</f>
        <v/>
      </c>
      <c r="Q560" s="525" t="str">
        <f>IF(AND($M560=$O$7,$B560&lt;'111'!$N$11),"x","")</f>
        <v/>
      </c>
      <c r="R560" s="525" t="str">
        <f>IF(ISERROR(FIND('112'!$M$9,G560,1)),"",IF((AND(FIND('112'!$M$9,G560,1)&gt;=1,$B560&gt;='112'!$N$8,$B560&lt;='112'!$O$8,OR($L560='112'!$I$6,$M560='112'!$I$6))),"x",""))</f>
        <v/>
      </c>
      <c r="S560" s="525" t="str">
        <f>IF(ISERROR(FIND('112'!$M$9,G560,1)),"",IF((AND(LEFT(G560,2)=LEFT('112'!$M$9,2),B560&lt;'112'!$N$8,$L560='112'!$I$6)),"x",""))</f>
        <v>x</v>
      </c>
      <c r="T560" s="525" t="str">
        <f>IF(ISERROR(FIND('112'!$M$9,G560,1)),"",IF((AND(RIGHT(G560,2)=RIGHT('112'!$M$9,2),B560&lt;'112'!$N$8,$M560='112'!$I$6)),"x",""))</f>
        <v/>
      </c>
      <c r="U560" s="525" t="str">
        <f>IF(AND(B560&gt;='IN-NX'!$P$3,B560&lt;='IN-NX'!$Q$3,'IN-NX'!$D$7=D560,OR(LEFT(L560,2)="15",AND(LEFT(M560,2)&lt;&gt;"15",LEFT(M560,2)&lt;&gt;"33"))),"x","")</f>
        <v/>
      </c>
      <c r="V560" s="525" t="str">
        <f>IF(AND(OR(LEFT(TH!L560,2)="15",LEFT(TH!M560,2)="15"),'152-CT'!$J$8=TH!F560),"x","")</f>
        <v/>
      </c>
      <c r="W560" s="525" t="str">
        <f>IF(AND(OR(LEFT(TH!L560,2)="15",LEFT(TH!M560,2)="15"),TK!$E$7=TH!F560),"x","")</f>
        <v/>
      </c>
      <c r="X560" s="525" t="str">
        <f>IF(AND('341-CT'!$E$9=H560,OR(LEFT(L560,3)=$X$7,LEFT(M560,3)=$X$7)),"x","")</f>
        <v/>
      </c>
      <c r="Y560" s="525" t="str">
        <f>IF(OR(TH!L560=TH!$Y$7,M560=TH!$Y$7),"x","")</f>
        <v/>
      </c>
      <c r="Z560" s="525" t="str">
        <f>IF(AND(B560&lt;=NKC!$N$8,B560&gt;=NKC!$M$8),"x","")</f>
        <v/>
      </c>
      <c r="AA560" s="535"/>
    </row>
    <row r="561" spans="1:28" s="503" customFormat="1" ht="15.75" customHeight="1">
      <c r="A561" s="517" t="str">
        <f>IF(B561&lt;&gt;"",IF(AND(B561&gt;=_TM1,B561&lt;=_TM2,OR(TH!L561="1111",TH!M561="1111")),TH!D561,""),"")</f>
        <v/>
      </c>
      <c r="B561" s="531">
        <f t="shared" si="63"/>
        <v>5</v>
      </c>
      <c r="C561" s="315">
        <f t="shared" si="64"/>
        <v>42878</v>
      </c>
      <c r="D561" s="315" t="s">
        <v>461</v>
      </c>
      <c r="E561" s="288">
        <v>42878</v>
      </c>
      <c r="F561" s="249" t="s">
        <v>468</v>
      </c>
      <c r="G561" s="314" t="s">
        <v>440</v>
      </c>
      <c r="H561" s="473" t="s">
        <v>1278</v>
      </c>
      <c r="I561" s="307"/>
      <c r="J561" s="307"/>
      <c r="K561" s="532">
        <v>78115950</v>
      </c>
      <c r="L561" s="534" t="s">
        <v>8</v>
      </c>
      <c r="M561" s="533" t="s">
        <v>24</v>
      </c>
      <c r="N561" s="525" t="str">
        <f>IF(AND('331-CT'!$E$7=TH!H561,OR(L561="331",M561="331")),"331",IF(AND(OR(L561="131",M561="131"),H561='131-CT'!$E$7),"131",""))</f>
        <v/>
      </c>
      <c r="O561" s="525" t="str">
        <f>IF(AND($B561&gt;='111'!$N$11,$B561&lt;='111'!$O$11,OR($L561=$O$7,$M561=$O$7)),"x","")</f>
        <v/>
      </c>
      <c r="P561" s="525" t="str">
        <f>IF(AND($L561=$O$7,$B561&lt;'111'!$N$11),"x","")</f>
        <v/>
      </c>
      <c r="Q561" s="525" t="str">
        <f>IF(AND($M561=$O$7,$B561&lt;'111'!$N$11),"x","")</f>
        <v/>
      </c>
      <c r="R561" s="525" t="str">
        <f>IF(ISERROR(FIND('112'!$M$9,G561,1)),"",IF((AND(FIND('112'!$M$9,G561,1)&gt;=1,$B561&gt;='112'!$N$8,$B561&lt;='112'!$O$8,OR($L561='112'!$I$6,$M561='112'!$I$6))),"x",""))</f>
        <v/>
      </c>
      <c r="S561" s="525" t="str">
        <f>IF(ISERROR(FIND('112'!$M$9,G561,1)),"",IF((AND(LEFT(G561,2)=LEFT('112'!$M$9,2),B561&lt;'112'!$N$8,$L561='112'!$I$6)),"x",""))</f>
        <v/>
      </c>
      <c r="T561" s="525" t="str">
        <f>IF(ISERROR(FIND('112'!$M$9,G561,1)),"",IF((AND(RIGHT(G561,2)=RIGHT('112'!$M$9,2),B561&lt;'112'!$N$8,$M561='112'!$I$6)),"x",""))</f>
        <v>x</v>
      </c>
      <c r="U561" s="525" t="str">
        <f>IF(AND(B561&gt;='IN-NX'!$P$3,B561&lt;='IN-NX'!$Q$3,'IN-NX'!$D$7=D561,OR(LEFT(L561,2)="15",AND(LEFT(M561,2)&lt;&gt;"15",LEFT(M561,2)&lt;&gt;"33"))),"x","")</f>
        <v/>
      </c>
      <c r="V561" s="525" t="str">
        <f>IF(AND(OR(LEFT(TH!L561,2)="15",LEFT(TH!M561,2)="15"),'152-CT'!$J$8=TH!F561),"x","")</f>
        <v/>
      </c>
      <c r="W561" s="525" t="str">
        <f>IF(AND(OR(LEFT(TH!L561,2)="15",LEFT(TH!M561,2)="15"),TK!$E$7=TH!F561),"x","")</f>
        <v/>
      </c>
      <c r="X561" s="525" t="str">
        <f>IF(AND('341-CT'!$E$9=H561,OR(LEFT(L561,3)=$X$7,LEFT(M561,3)=$X$7)),"x","")</f>
        <v/>
      </c>
      <c r="Y561" s="525" t="str">
        <f>IF(OR(TH!L561=TH!$Y$7,M561=TH!$Y$7),"x","")</f>
        <v/>
      </c>
      <c r="Z561" s="525" t="str">
        <f>IF(AND(B561&lt;=NKC!$N$8,B561&gt;=NKC!$M$8),"x","")</f>
        <v/>
      </c>
      <c r="AA561" s="535"/>
      <c r="AB561" s="536"/>
    </row>
    <row r="562" spans="1:28" s="503" customFormat="1" ht="15.75" customHeight="1">
      <c r="A562" s="517" t="str">
        <f>IF(B562&lt;&gt;"",IF(AND(B562&gt;=_TM1,B562&lt;=_TM2,OR(TH!L562="1111",TH!M562="1111")),TH!D562,""),"")</f>
        <v/>
      </c>
      <c r="B562" s="531">
        <f t="shared" si="63"/>
        <v>5</v>
      </c>
      <c r="C562" s="315">
        <f t="shared" si="64"/>
        <v>42878</v>
      </c>
      <c r="D562" s="315" t="s">
        <v>461</v>
      </c>
      <c r="E562" s="288">
        <v>42878</v>
      </c>
      <c r="F562" s="248" t="s">
        <v>463</v>
      </c>
      <c r="G562" s="314" t="s">
        <v>440</v>
      </c>
      <c r="H562" s="472"/>
      <c r="I562" s="307"/>
      <c r="J562" s="307"/>
      <c r="K562" s="532">
        <v>25000</v>
      </c>
      <c r="L562" s="533" t="s">
        <v>81</v>
      </c>
      <c r="M562" s="533" t="s">
        <v>24</v>
      </c>
      <c r="N562" s="525" t="str">
        <f>IF(AND('331-CT'!$E$7=TH!H562,OR(L562="331",M562="331")),"331",IF(AND(OR(L562="131",M562="131"),H562='131-CT'!$E$7),"131",""))</f>
        <v/>
      </c>
      <c r="O562" s="525" t="str">
        <f>IF(AND($B562&gt;='111'!$N$11,$B562&lt;='111'!$O$11,OR($L562=$O$7,$M562=$O$7)),"x","")</f>
        <v/>
      </c>
      <c r="P562" s="525" t="str">
        <f>IF(AND($L562=$O$7,$B562&lt;'111'!$N$11),"x","")</f>
        <v/>
      </c>
      <c r="Q562" s="525" t="str">
        <f>IF(AND($M562=$O$7,$B562&lt;'111'!$N$11),"x","")</f>
        <v/>
      </c>
      <c r="R562" s="525" t="str">
        <f>IF(ISERROR(FIND('112'!$M$9,G562,1)),"",IF((AND(FIND('112'!$M$9,G562,1)&gt;=1,$B562&gt;='112'!$N$8,$B562&lt;='112'!$O$8,OR($L562='112'!$I$6,$M562='112'!$I$6))),"x",""))</f>
        <v/>
      </c>
      <c r="S562" s="525" t="str">
        <f>IF(ISERROR(FIND('112'!$M$9,G562,1)),"",IF((AND(LEFT(G562,2)=LEFT('112'!$M$9,2),B562&lt;'112'!$N$8,$L562='112'!$I$6)),"x",""))</f>
        <v/>
      </c>
      <c r="T562" s="525" t="str">
        <f>IF(ISERROR(FIND('112'!$M$9,G562,1)),"",IF((AND(RIGHT(G562,2)=RIGHT('112'!$M$9,2),B562&lt;'112'!$N$8,$M562='112'!$I$6)),"x",""))</f>
        <v>x</v>
      </c>
      <c r="U562" s="525" t="str">
        <f>IF(AND(B562&gt;='IN-NX'!$P$3,B562&lt;='IN-NX'!$Q$3,'IN-NX'!$D$7=D562,OR(LEFT(L562,2)="15",AND(LEFT(M562,2)&lt;&gt;"15",LEFT(M562,2)&lt;&gt;"33"))),"x","")</f>
        <v/>
      </c>
      <c r="V562" s="525" t="str">
        <f>IF(AND(OR(LEFT(TH!L562,2)="15",LEFT(TH!M562,2)="15"),'152-CT'!$J$8=TH!F562),"x","")</f>
        <v/>
      </c>
      <c r="W562" s="525" t="str">
        <f>IF(AND(OR(LEFT(TH!L562,2)="15",LEFT(TH!M562,2)="15"),TK!$E$7=TH!F562),"x","")</f>
        <v/>
      </c>
      <c r="X562" s="525" t="str">
        <f>IF(AND('341-CT'!$E$9=H562,OR(LEFT(L562,3)=$X$7,LEFT(M562,3)=$X$7)),"x","")</f>
        <v/>
      </c>
      <c r="Y562" s="525" t="str">
        <f>IF(OR(TH!L562=TH!$Y$7,M562=TH!$Y$7),"x","")</f>
        <v/>
      </c>
      <c r="Z562" s="525" t="str">
        <f>IF(AND(B562&lt;=NKC!$N$8,B562&gt;=NKC!$M$8),"x","")</f>
        <v/>
      </c>
      <c r="AA562" s="535">
        <v>2</v>
      </c>
    </row>
    <row r="563" spans="1:28" s="503" customFormat="1" ht="15.75" customHeight="1">
      <c r="A563" s="517" t="str">
        <f>IF(B563&lt;&gt;"",IF(AND(B563&gt;=_TM1,B563&lt;=_TM2,OR(TH!L563="1111",TH!M563="1111")),TH!D563,""),"")</f>
        <v/>
      </c>
      <c r="B563" s="531">
        <f t="shared" si="63"/>
        <v>5</v>
      </c>
      <c r="C563" s="315">
        <f t="shared" si="64"/>
        <v>42878</v>
      </c>
      <c r="D563" s="315" t="s">
        <v>461</v>
      </c>
      <c r="E563" s="288">
        <v>42878</v>
      </c>
      <c r="F563" s="248" t="s">
        <v>464</v>
      </c>
      <c r="G563" s="314" t="s">
        <v>440</v>
      </c>
      <c r="H563" s="472"/>
      <c r="I563" s="307"/>
      <c r="J563" s="307"/>
      <c r="K563" s="532">
        <v>2500</v>
      </c>
      <c r="L563" s="533" t="s">
        <v>9</v>
      </c>
      <c r="M563" s="533" t="s">
        <v>24</v>
      </c>
      <c r="N563" s="525" t="str">
        <f>IF(AND('331-CT'!$E$7=TH!H563,OR(L563="331",M563="331")),"331",IF(AND(OR(L563="131",M563="131"),H563='131-CT'!$E$7),"131",""))</f>
        <v/>
      </c>
      <c r="O563" s="525" t="str">
        <f>IF(AND($B563&gt;='111'!$N$11,$B563&lt;='111'!$O$11,OR($L563=$O$7,$M563=$O$7)),"x","")</f>
        <v/>
      </c>
      <c r="P563" s="525" t="str">
        <f>IF(AND($L563=$O$7,$B563&lt;'111'!$N$11),"x","")</f>
        <v/>
      </c>
      <c r="Q563" s="525" t="str">
        <f>IF(AND($M563=$O$7,$B563&lt;'111'!$N$11),"x","")</f>
        <v/>
      </c>
      <c r="R563" s="525" t="str">
        <f>IF(ISERROR(FIND('112'!$M$9,G563,1)),"",IF((AND(FIND('112'!$M$9,G563,1)&gt;=1,$B563&gt;='112'!$N$8,$B563&lt;='112'!$O$8,OR($L563='112'!$I$6,$M563='112'!$I$6))),"x",""))</f>
        <v/>
      </c>
      <c r="S563" s="525" t="str">
        <f>IF(ISERROR(FIND('112'!$M$9,G563,1)),"",IF((AND(LEFT(G563,2)=LEFT('112'!$M$9,2),B563&lt;'112'!$N$8,$L563='112'!$I$6)),"x",""))</f>
        <v/>
      </c>
      <c r="T563" s="525" t="str">
        <f>IF(ISERROR(FIND('112'!$M$9,G563,1)),"",IF((AND(RIGHT(G563,2)=RIGHT('112'!$M$9,2),B563&lt;'112'!$N$8,$M563='112'!$I$6)),"x",""))</f>
        <v>x</v>
      </c>
      <c r="U563" s="525" t="str">
        <f>IF(AND(B563&gt;='IN-NX'!$P$3,B563&lt;='IN-NX'!$Q$3,'IN-NX'!$D$7=D563,OR(LEFT(L563,2)="15",AND(LEFT(M563,2)&lt;&gt;"15",LEFT(M563,2)&lt;&gt;"33"))),"x","")</f>
        <v/>
      </c>
      <c r="V563" s="525" t="str">
        <f>IF(AND(OR(LEFT(TH!L563,2)="15",LEFT(TH!M563,2)="15"),'152-CT'!$J$8=TH!F563),"x","")</f>
        <v/>
      </c>
      <c r="W563" s="525" t="str">
        <f>IF(AND(OR(LEFT(TH!L563,2)="15",LEFT(TH!M563,2)="15"),TK!$E$7=TH!F563),"x","")</f>
        <v/>
      </c>
      <c r="X563" s="525" t="str">
        <f>IF(AND('341-CT'!$E$9=H563,OR(LEFT(L563,3)=$X$7,LEFT(M563,3)=$X$7)),"x","")</f>
        <v/>
      </c>
      <c r="Y563" s="525" t="str">
        <f>IF(OR(TH!L563=TH!$Y$7,M563=TH!$Y$7),"x","")</f>
        <v/>
      </c>
      <c r="Z563" s="525" t="str">
        <f>IF(AND(B563&lt;=NKC!$N$8,B563&gt;=NKC!$M$8),"x","")</f>
        <v/>
      </c>
      <c r="AA563" s="535">
        <v>2</v>
      </c>
      <c r="AB563" s="536"/>
    </row>
    <row r="564" spans="1:28" s="503" customFormat="1" ht="15.75" customHeight="1">
      <c r="A564" s="517" t="str">
        <f>IF(B564&lt;&gt;"",IF(AND(B564&gt;=_TM1,B564&lt;=_TM2,OR(TH!L564="1111",TH!M564="1111")),TH!D564,""),"")</f>
        <v/>
      </c>
      <c r="B564" s="531">
        <f t="shared" si="63"/>
        <v>5</v>
      </c>
      <c r="C564" s="315">
        <f t="shared" si="64"/>
        <v>42886</v>
      </c>
      <c r="D564" s="315" t="s">
        <v>456</v>
      </c>
      <c r="E564" s="288">
        <v>42886</v>
      </c>
      <c r="F564" s="248" t="s">
        <v>458</v>
      </c>
      <c r="G564" s="314" t="s">
        <v>440</v>
      </c>
      <c r="H564" s="473"/>
      <c r="I564" s="307"/>
      <c r="J564" s="307"/>
      <c r="K564" s="532">
        <v>4609</v>
      </c>
      <c r="L564" s="533" t="s">
        <v>24</v>
      </c>
      <c r="M564" s="533" t="s">
        <v>38</v>
      </c>
      <c r="N564" s="525" t="str">
        <f>IF(AND('331-CT'!$E$7=TH!H564,OR(L564="331",M564="331")),"331",IF(AND(OR(L564="131",M564="131"),H564='131-CT'!$E$7),"131",""))</f>
        <v/>
      </c>
      <c r="O564" s="525" t="str">
        <f>IF(AND($B564&gt;='111'!$N$11,$B564&lt;='111'!$O$11,OR($L564=$O$7,$M564=$O$7)),"x","")</f>
        <v/>
      </c>
      <c r="P564" s="525" t="str">
        <f>IF(AND($L564=$O$7,$B564&lt;'111'!$N$11),"x","")</f>
        <v/>
      </c>
      <c r="Q564" s="525" t="str">
        <f>IF(AND($M564=$O$7,$B564&lt;'111'!$N$11),"x","")</f>
        <v/>
      </c>
      <c r="R564" s="525" t="str">
        <f>IF(ISERROR(FIND('112'!$M$9,G564,1)),"",IF((AND(FIND('112'!$M$9,G564,1)&gt;=1,$B564&gt;='112'!$N$8,$B564&lt;='112'!$O$8,OR($L564='112'!$I$6,$M564='112'!$I$6))),"x",""))</f>
        <v/>
      </c>
      <c r="S564" s="525" t="str">
        <f>IF(ISERROR(FIND('112'!$M$9,G564,1)),"",IF((AND(LEFT(G564,2)=LEFT('112'!$M$9,2),B564&lt;'112'!$N$8,$L564='112'!$I$6)),"x",""))</f>
        <v>x</v>
      </c>
      <c r="T564" s="525" t="str">
        <f>IF(ISERROR(FIND('112'!$M$9,G564,1)),"",IF((AND(RIGHT(G564,2)=RIGHT('112'!$M$9,2),B564&lt;'112'!$N$8,$M564='112'!$I$6)),"x",""))</f>
        <v/>
      </c>
      <c r="U564" s="525" t="str">
        <f>IF(AND(B564&gt;='IN-NX'!$P$3,B564&lt;='IN-NX'!$Q$3,'IN-NX'!$D$7=D564,OR(LEFT(L564,2)="15",AND(LEFT(M564,2)&lt;&gt;"15",LEFT(M564,2)&lt;&gt;"33"))),"x","")</f>
        <v/>
      </c>
      <c r="V564" s="525" t="str">
        <f>IF(AND(OR(LEFT(TH!L564,2)="15",LEFT(TH!M564,2)="15"),'152-CT'!$J$8=TH!F564),"x","")</f>
        <v/>
      </c>
      <c r="W564" s="525" t="str">
        <f>IF(AND(OR(LEFT(TH!L564,2)="15",LEFT(TH!M564,2)="15"),TK!$E$7=TH!F564),"x","")</f>
        <v/>
      </c>
      <c r="X564" s="525" t="str">
        <f>IF(AND('341-CT'!$E$9=H564,OR(LEFT(L564,3)=$X$7,LEFT(M564,3)=$X$7)),"x","")</f>
        <v/>
      </c>
      <c r="Y564" s="525" t="str">
        <f>IF(OR(TH!L564=TH!$Y$7,M564=TH!$Y$7),"x","")</f>
        <v/>
      </c>
      <c r="Z564" s="525" t="str">
        <f>IF(AND(B564&lt;=NKC!$N$8,B564&gt;=NKC!$M$8),"x","")</f>
        <v/>
      </c>
      <c r="AA564" s="535"/>
    </row>
    <row r="565" spans="1:28" s="503" customFormat="1" ht="15.75" customHeight="1">
      <c r="A565" s="517" t="str">
        <f>IF(B565&lt;&gt;"",IF(AND(B565&gt;=_TM1,B565&lt;=_TM2,OR(TH!L565="1111",TH!M565="1111")),TH!D565,""),"")</f>
        <v/>
      </c>
      <c r="B565" s="531">
        <f t="shared" si="63"/>
        <v>6</v>
      </c>
      <c r="C565" s="315">
        <f t="shared" si="64"/>
        <v>42906</v>
      </c>
      <c r="D565" s="315" t="s">
        <v>461</v>
      </c>
      <c r="E565" s="288">
        <v>42906</v>
      </c>
      <c r="F565" s="249" t="s">
        <v>828</v>
      </c>
      <c r="G565" s="314" t="s">
        <v>440</v>
      </c>
      <c r="H565" s="621" t="s">
        <v>1274</v>
      </c>
      <c r="I565" s="307"/>
      <c r="J565" s="307"/>
      <c r="K565" s="532">
        <v>158144</v>
      </c>
      <c r="L565" s="533" t="s">
        <v>79</v>
      </c>
      <c r="M565" s="533" t="s">
        <v>24</v>
      </c>
      <c r="N565" s="525" t="str">
        <f>IF(AND('331-CT'!$E$7=TH!H565,OR(L565="331",M565="331")),"331",IF(AND(OR(L565="131",M565="131"),H565='131-CT'!$E$7),"131",""))</f>
        <v/>
      </c>
      <c r="O565" s="525" t="str">
        <f>IF(AND($B565&gt;='111'!$N$11,$B565&lt;='111'!$O$11,OR($L565=$O$7,$M565=$O$7)),"x","")</f>
        <v/>
      </c>
      <c r="P565" s="525" t="str">
        <f>IF(AND($L565=$O$7,$B565&lt;'111'!$N$11),"x","")</f>
        <v/>
      </c>
      <c r="Q565" s="525" t="str">
        <f>IF(AND($M565=$O$7,$B565&lt;'111'!$N$11),"x","")</f>
        <v/>
      </c>
      <c r="R565" s="525" t="str">
        <f>IF(ISERROR(FIND('112'!$M$9,G565,1)),"",IF((AND(FIND('112'!$M$9,G565,1)&gt;=1,$B565&gt;='112'!$N$8,$B565&lt;='112'!$O$8,OR($L565='112'!$I$6,$M565='112'!$I$6))),"x",""))</f>
        <v/>
      </c>
      <c r="S565" s="525" t="str">
        <f>IF(ISERROR(FIND('112'!$M$9,G565,1)),"",IF((AND(LEFT(G565,2)=LEFT('112'!$M$9,2),B565&lt;'112'!$N$8,$L565='112'!$I$6)),"x",""))</f>
        <v/>
      </c>
      <c r="T565" s="525" t="str">
        <f>IF(ISERROR(FIND('112'!$M$9,G565,1)),"",IF((AND(RIGHT(G565,2)=RIGHT('112'!$M$9,2),B565&lt;'112'!$N$8,$M565='112'!$I$6)),"x",""))</f>
        <v>x</v>
      </c>
      <c r="U565" s="525" t="str">
        <f>IF(AND(B565&gt;='IN-NX'!$P$3,B565&lt;='IN-NX'!$Q$3,'IN-NX'!$D$7=D565,OR(LEFT(L565,2)="15",AND(LEFT(M565,2)&lt;&gt;"15",LEFT(M565,2)&lt;&gt;"33"))),"x","")</f>
        <v/>
      </c>
      <c r="V565" s="525" t="str">
        <f>IF(AND(OR(LEFT(TH!L565,2)="15",LEFT(TH!M565,2)="15"),'152-CT'!$J$8=TH!F565),"x","")</f>
        <v/>
      </c>
      <c r="W565" s="525" t="str">
        <f>IF(AND(OR(LEFT(TH!L565,2)="15",LEFT(TH!M565,2)="15"),TK!$E$7=TH!F565),"x","")</f>
        <v/>
      </c>
      <c r="X565" s="525" t="str">
        <f>IF(AND('341-CT'!$E$9=H565,OR(LEFT(L565,3)=$X$7,LEFT(M565,3)=$X$7)),"x","")</f>
        <v/>
      </c>
      <c r="Y565" s="525" t="str">
        <f>IF(OR(TH!L565=TH!$Y$7,M565=TH!$Y$7),"x","")</f>
        <v/>
      </c>
      <c r="Z565" s="525" t="str">
        <f>IF(AND(B565&lt;=NKC!$N$8,B565&gt;=NKC!$M$8),"x","")</f>
        <v/>
      </c>
      <c r="AA565" s="535"/>
    </row>
    <row r="566" spans="1:28" s="503" customFormat="1" ht="15.75" customHeight="1">
      <c r="A566" s="517" t="str">
        <f>IF(B566&lt;&gt;"",IF(AND(B566&gt;=_TM1,B566&lt;=_TM2,OR(TH!L566="1111",TH!M566="1111")),TH!D566,""),"")</f>
        <v/>
      </c>
      <c r="B566" s="531">
        <f t="shared" si="63"/>
        <v>6</v>
      </c>
      <c r="C566" s="315">
        <f t="shared" si="64"/>
        <v>42907</v>
      </c>
      <c r="D566" s="315" t="s">
        <v>456</v>
      </c>
      <c r="E566" s="288">
        <v>42907</v>
      </c>
      <c r="F566" s="248" t="s">
        <v>457</v>
      </c>
      <c r="G566" s="314" t="s">
        <v>440</v>
      </c>
      <c r="H566" s="473" t="s">
        <v>284</v>
      </c>
      <c r="I566" s="307"/>
      <c r="J566" s="307"/>
      <c r="K566" s="532">
        <v>112645004</v>
      </c>
      <c r="L566" s="533" t="s">
        <v>24</v>
      </c>
      <c r="M566" s="533" t="s">
        <v>223</v>
      </c>
      <c r="N566" s="525" t="str">
        <f>IF(AND('331-CT'!$E$7=TH!H566,OR(L566="331",M566="331")),"331",IF(AND(OR(L566="131",M566="131"),H566='131-CT'!$E$7),"131",""))</f>
        <v/>
      </c>
      <c r="O566" s="525" t="str">
        <f>IF(AND($B566&gt;='111'!$N$11,$B566&lt;='111'!$O$11,OR($L566=$O$7,$M566=$O$7)),"x","")</f>
        <v/>
      </c>
      <c r="P566" s="525" t="str">
        <f>IF(AND($L566=$O$7,$B566&lt;'111'!$N$11),"x","")</f>
        <v/>
      </c>
      <c r="Q566" s="525" t="str">
        <f>IF(AND($M566=$O$7,$B566&lt;'111'!$N$11),"x","")</f>
        <v/>
      </c>
      <c r="R566" s="525" t="str">
        <f>IF(ISERROR(FIND('112'!$M$9,G566,1)),"",IF((AND(FIND('112'!$M$9,G566,1)&gt;=1,$B566&gt;='112'!$N$8,$B566&lt;='112'!$O$8,OR($L566='112'!$I$6,$M566='112'!$I$6))),"x",""))</f>
        <v/>
      </c>
      <c r="S566" s="525" t="str">
        <f>IF(ISERROR(FIND('112'!$M$9,G566,1)),"",IF((AND(LEFT(G566,2)=LEFT('112'!$M$9,2),B566&lt;'112'!$N$8,$L566='112'!$I$6)),"x",""))</f>
        <v>x</v>
      </c>
      <c r="T566" s="525" t="str">
        <f>IF(ISERROR(FIND('112'!$M$9,G566,1)),"",IF((AND(RIGHT(G566,2)=RIGHT('112'!$M$9,2),B566&lt;'112'!$N$8,$M566='112'!$I$6)),"x",""))</f>
        <v/>
      </c>
      <c r="U566" s="525" t="str">
        <f>IF(AND(B566&gt;='IN-NX'!$P$3,B566&lt;='IN-NX'!$Q$3,'IN-NX'!$D$7=D566,OR(LEFT(L566,2)="15",AND(LEFT(M566,2)&lt;&gt;"15",LEFT(M566,2)&lt;&gt;"33"))),"x","")</f>
        <v/>
      </c>
      <c r="V566" s="525" t="str">
        <f>IF(AND(OR(LEFT(TH!L566,2)="15",LEFT(TH!M566,2)="15"),'152-CT'!$J$8=TH!F566),"x","")</f>
        <v/>
      </c>
      <c r="W566" s="525" t="str">
        <f>IF(AND(OR(LEFT(TH!L566,2)="15",LEFT(TH!M566,2)="15"),TK!$E$7=TH!F566),"x","")</f>
        <v/>
      </c>
      <c r="X566" s="525" t="str">
        <f>IF(AND('341-CT'!$E$9=H566,OR(LEFT(L566,3)=$X$7,LEFT(M566,3)=$X$7)),"x","")</f>
        <v/>
      </c>
      <c r="Y566" s="525" t="str">
        <f>IF(OR(TH!L566=TH!$Y$7,M566=TH!$Y$7),"x","")</f>
        <v/>
      </c>
      <c r="Z566" s="525" t="str">
        <f>IF(AND(B566&lt;=NKC!$N$8,B566&gt;=NKC!$M$8),"x","")</f>
        <v/>
      </c>
      <c r="AA566" s="535"/>
      <c r="AB566" s="536"/>
    </row>
    <row r="567" spans="1:28" s="503" customFormat="1" ht="15.75" customHeight="1">
      <c r="A567" s="517" t="str">
        <f>IF(B567&lt;&gt;"",IF(AND(B567&gt;=_TM1,B567&lt;=_TM2,OR(TH!L567="1111",TH!M567="1111")),TH!D567,""),"")</f>
        <v/>
      </c>
      <c r="B567" s="531">
        <f t="shared" si="63"/>
        <v>6</v>
      </c>
      <c r="C567" s="315">
        <f t="shared" si="64"/>
        <v>42907</v>
      </c>
      <c r="D567" s="315" t="s">
        <v>461</v>
      </c>
      <c r="E567" s="288">
        <v>42907</v>
      </c>
      <c r="F567" s="249" t="s">
        <v>828</v>
      </c>
      <c r="G567" s="314" t="s">
        <v>440</v>
      </c>
      <c r="H567" s="621" t="s">
        <v>1274</v>
      </c>
      <c r="I567" s="307"/>
      <c r="J567" s="307"/>
      <c r="K567" s="532">
        <v>3153</v>
      </c>
      <c r="L567" s="533" t="s">
        <v>79</v>
      </c>
      <c r="M567" s="533" t="s">
        <v>24</v>
      </c>
      <c r="N567" s="525" t="str">
        <f>IF(AND('331-CT'!$E$7=TH!H567,OR(L567="331",M567="331")),"331",IF(AND(OR(L567="131",M567="131"),H567='131-CT'!$E$7),"131",""))</f>
        <v/>
      </c>
      <c r="O567" s="525" t="str">
        <f>IF(AND($B567&gt;='111'!$N$11,$B567&lt;='111'!$O$11,OR($L567=$O$7,$M567=$O$7)),"x","")</f>
        <v/>
      </c>
      <c r="P567" s="525" t="str">
        <f>IF(AND($L567=$O$7,$B567&lt;'111'!$N$11),"x","")</f>
        <v/>
      </c>
      <c r="Q567" s="525" t="str">
        <f>IF(AND($M567=$O$7,$B567&lt;'111'!$N$11),"x","")</f>
        <v/>
      </c>
      <c r="R567" s="525" t="str">
        <f>IF(ISERROR(FIND('112'!$M$9,G567,1)),"",IF((AND(FIND('112'!$M$9,G567,1)&gt;=1,$B567&gt;='112'!$N$8,$B567&lt;='112'!$O$8,OR($L567='112'!$I$6,$M567='112'!$I$6))),"x",""))</f>
        <v/>
      </c>
      <c r="S567" s="525" t="str">
        <f>IF(ISERROR(FIND('112'!$M$9,G567,1)),"",IF((AND(LEFT(G567,2)=LEFT('112'!$M$9,2),B567&lt;'112'!$N$8,$L567='112'!$I$6)),"x",""))</f>
        <v/>
      </c>
      <c r="T567" s="525" t="str">
        <f>IF(ISERROR(FIND('112'!$M$9,G567,1)),"",IF((AND(RIGHT(G567,2)=RIGHT('112'!$M$9,2),B567&lt;'112'!$N$8,$M567='112'!$I$6)),"x",""))</f>
        <v>x</v>
      </c>
      <c r="U567" s="525" t="str">
        <f>IF(AND(B567&gt;='IN-NX'!$P$3,B567&lt;='IN-NX'!$Q$3,'IN-NX'!$D$7=D567,OR(LEFT(L567,2)="15",AND(LEFT(M567,2)&lt;&gt;"15",LEFT(M567,2)&lt;&gt;"33"))),"x","")</f>
        <v/>
      </c>
      <c r="V567" s="525" t="str">
        <f>IF(AND(OR(LEFT(TH!L567,2)="15",LEFT(TH!M567,2)="15"),'152-CT'!$J$8=TH!F567),"x","")</f>
        <v/>
      </c>
      <c r="W567" s="525" t="str">
        <f>IF(AND(OR(LEFT(TH!L567,2)="15",LEFT(TH!M567,2)="15"),TK!$E$7=TH!F567),"x","")</f>
        <v/>
      </c>
      <c r="X567" s="525" t="str">
        <f>IF(AND('341-CT'!$E$9=H567,OR(LEFT(L567,3)=$X$7,LEFT(M567,3)=$X$7)),"x","")</f>
        <v/>
      </c>
      <c r="Y567" s="525" t="str">
        <f>IF(OR(TH!L567=TH!$Y$7,M567=TH!$Y$7),"x","")</f>
        <v/>
      </c>
      <c r="Z567" s="525" t="str">
        <f>IF(AND(B567&lt;=NKC!$N$8,B567&gt;=NKC!$M$8),"x","")</f>
        <v/>
      </c>
      <c r="AA567" s="535"/>
      <c r="AB567" s="536"/>
    </row>
    <row r="568" spans="1:28" s="503" customFormat="1" ht="15.75" customHeight="1">
      <c r="A568" s="517" t="str">
        <f>IF(B568&lt;&gt;"",IF(AND(B568&gt;=_TM1,B568&lt;=_TM2,OR(TH!L568="1111",TH!M568="1111")),TH!D568,""),"")</f>
        <v/>
      </c>
      <c r="B568" s="531">
        <f t="shared" si="63"/>
        <v>6</v>
      </c>
      <c r="C568" s="315">
        <f t="shared" si="64"/>
        <v>42907</v>
      </c>
      <c r="D568" s="315" t="s">
        <v>461</v>
      </c>
      <c r="E568" s="288">
        <v>42907</v>
      </c>
      <c r="F568" s="249" t="s">
        <v>828</v>
      </c>
      <c r="G568" s="314" t="s">
        <v>440</v>
      </c>
      <c r="H568" s="621" t="s">
        <v>1274</v>
      </c>
      <c r="I568" s="307"/>
      <c r="J568" s="307"/>
      <c r="K568" s="532">
        <v>6306</v>
      </c>
      <c r="L568" s="533" t="s">
        <v>79</v>
      </c>
      <c r="M568" s="533" t="s">
        <v>24</v>
      </c>
      <c r="N568" s="525" t="str">
        <f>IF(AND('331-CT'!$E$7=TH!H568,OR(L568="331",M568="331")),"331",IF(AND(OR(L568="131",M568="131"),H568='131-CT'!$E$7),"131",""))</f>
        <v/>
      </c>
      <c r="O568" s="525" t="str">
        <f>IF(AND($B568&gt;='111'!$N$11,$B568&lt;='111'!$O$11,OR($L568=$O$7,$M568=$O$7)),"x","")</f>
        <v/>
      </c>
      <c r="P568" s="525" t="str">
        <f>IF(AND($L568=$O$7,$B568&lt;'111'!$N$11),"x","")</f>
        <v/>
      </c>
      <c r="Q568" s="525" t="str">
        <f>IF(AND($M568=$O$7,$B568&lt;'111'!$N$11),"x","")</f>
        <v/>
      </c>
      <c r="R568" s="525" t="str">
        <f>IF(ISERROR(FIND('112'!$M$9,G568,1)),"",IF((AND(FIND('112'!$M$9,G568,1)&gt;=1,$B568&gt;='112'!$N$8,$B568&lt;='112'!$O$8,OR($L568='112'!$I$6,$M568='112'!$I$6))),"x",""))</f>
        <v/>
      </c>
      <c r="S568" s="525" t="str">
        <f>IF(ISERROR(FIND('112'!$M$9,G568,1)),"",IF((AND(LEFT(G568,2)=LEFT('112'!$M$9,2),B568&lt;'112'!$N$8,$L568='112'!$I$6)),"x",""))</f>
        <v/>
      </c>
      <c r="T568" s="525" t="str">
        <f>IF(ISERROR(FIND('112'!$M$9,G568,1)),"",IF((AND(RIGHT(G568,2)=RIGHT('112'!$M$9,2),B568&lt;'112'!$N$8,$M568='112'!$I$6)),"x",""))</f>
        <v>x</v>
      </c>
      <c r="U568" s="525" t="str">
        <f>IF(AND(B568&gt;='IN-NX'!$P$3,B568&lt;='IN-NX'!$Q$3,'IN-NX'!$D$7=D568,OR(LEFT(L568,2)="15",AND(LEFT(M568,2)&lt;&gt;"15",LEFT(M568,2)&lt;&gt;"33"))),"x","")</f>
        <v/>
      </c>
      <c r="V568" s="525" t="str">
        <f>IF(AND(OR(LEFT(TH!L568,2)="15",LEFT(TH!M568,2)="15"),'152-CT'!$J$8=TH!F568),"x","")</f>
        <v/>
      </c>
      <c r="W568" s="525" t="str">
        <f>IF(AND(OR(LEFT(TH!L568,2)="15",LEFT(TH!M568,2)="15"),TK!$E$7=TH!F568),"x","")</f>
        <v/>
      </c>
      <c r="X568" s="525" t="str">
        <f>IF(AND('341-CT'!$E$9=H568,OR(LEFT(L568,3)=$X$7,LEFT(M568,3)=$X$7)),"x","")</f>
        <v/>
      </c>
      <c r="Y568" s="525" t="str">
        <f>IF(OR(TH!L568=TH!$Y$7,M568=TH!$Y$7),"x","")</f>
        <v/>
      </c>
      <c r="Z568" s="525" t="str">
        <f>IF(AND(B568&lt;=NKC!$N$8,B568&gt;=NKC!$M$8),"x","")</f>
        <v/>
      </c>
      <c r="AA568" s="535"/>
    </row>
    <row r="569" spans="1:28" s="503" customFormat="1" ht="15.75" customHeight="1">
      <c r="A569" s="517" t="str">
        <f>IF(B569&lt;&gt;"",IF(AND(B569&gt;=_TM1,B569&lt;=_TM2,OR(TH!L569="1111",TH!M569="1111")),TH!D569,""),"")</f>
        <v/>
      </c>
      <c r="B569" s="531">
        <f t="shared" si="63"/>
        <v>6</v>
      </c>
      <c r="C569" s="315">
        <f t="shared" si="64"/>
        <v>42907</v>
      </c>
      <c r="D569" s="315" t="s">
        <v>461</v>
      </c>
      <c r="E569" s="288">
        <v>42907</v>
      </c>
      <c r="F569" s="249" t="s">
        <v>828</v>
      </c>
      <c r="G569" s="314" t="s">
        <v>440</v>
      </c>
      <c r="H569" s="621" t="s">
        <v>1274</v>
      </c>
      <c r="I569" s="307"/>
      <c r="J569" s="307"/>
      <c r="K569" s="532">
        <v>1552636</v>
      </c>
      <c r="L569" s="533" t="s">
        <v>79</v>
      </c>
      <c r="M569" s="533" t="s">
        <v>24</v>
      </c>
      <c r="N569" s="525" t="str">
        <f>IF(AND('331-CT'!$E$7=TH!H569,OR(L569="331",M569="331")),"331",IF(AND(OR(L569="131",M569="131"),H569='131-CT'!$E$7),"131",""))</f>
        <v/>
      </c>
      <c r="O569" s="525" t="str">
        <f>IF(AND($B569&gt;='111'!$N$11,$B569&lt;='111'!$O$11,OR($L569=$O$7,$M569=$O$7)),"x","")</f>
        <v/>
      </c>
      <c r="P569" s="525" t="str">
        <f>IF(AND($L569=$O$7,$B569&lt;'111'!$N$11),"x","")</f>
        <v/>
      </c>
      <c r="Q569" s="525" t="str">
        <f>IF(AND($M569=$O$7,$B569&lt;'111'!$N$11),"x","")</f>
        <v/>
      </c>
      <c r="R569" s="525" t="str">
        <f>IF(ISERROR(FIND('112'!$M$9,G569,1)),"",IF((AND(FIND('112'!$M$9,G569,1)&gt;=1,$B569&gt;='112'!$N$8,$B569&lt;='112'!$O$8,OR($L569='112'!$I$6,$M569='112'!$I$6))),"x",""))</f>
        <v/>
      </c>
      <c r="S569" s="525" t="str">
        <f>IF(ISERROR(FIND('112'!$M$9,G569,1)),"",IF((AND(LEFT(G569,2)=LEFT('112'!$M$9,2),B569&lt;'112'!$N$8,$L569='112'!$I$6)),"x",""))</f>
        <v/>
      </c>
      <c r="T569" s="525" t="str">
        <f>IF(ISERROR(FIND('112'!$M$9,G569,1)),"",IF((AND(RIGHT(G569,2)=RIGHT('112'!$M$9,2),B569&lt;'112'!$N$8,$M569='112'!$I$6)),"x",""))</f>
        <v>x</v>
      </c>
      <c r="U569" s="525" t="str">
        <f>IF(AND(B569&gt;='IN-NX'!$P$3,B569&lt;='IN-NX'!$Q$3,'IN-NX'!$D$7=D569,OR(LEFT(L569,2)="15",AND(LEFT(M569,2)&lt;&gt;"15",LEFT(M569,2)&lt;&gt;"33"))),"x","")</f>
        <v/>
      </c>
      <c r="V569" s="525" t="str">
        <f>IF(AND(OR(LEFT(TH!L569,2)="15",LEFT(TH!M569,2)="15"),'152-CT'!$J$8=TH!F569),"x","")</f>
        <v/>
      </c>
      <c r="W569" s="525" t="str">
        <f>IF(AND(OR(LEFT(TH!L569,2)="15",LEFT(TH!M569,2)="15"),TK!$E$7=TH!F569),"x","")</f>
        <v/>
      </c>
      <c r="X569" s="525" t="str">
        <f>IF(AND('341-CT'!$E$9=H569,OR(LEFT(L569,3)=$X$7,LEFT(M569,3)=$X$7)),"x","")</f>
        <v/>
      </c>
      <c r="Y569" s="525" t="str">
        <f>IF(OR(TH!L569=TH!$Y$7,M569=TH!$Y$7),"x","")</f>
        <v/>
      </c>
      <c r="Z569" s="525" t="str">
        <f>IF(AND(B569&lt;=NKC!$N$8,B569&gt;=NKC!$M$8),"x","")</f>
        <v/>
      </c>
      <c r="AA569" s="535"/>
      <c r="AB569" s="536"/>
    </row>
    <row r="570" spans="1:28" s="503" customFormat="1" ht="15.75" customHeight="1">
      <c r="A570" s="517" t="str">
        <f>IF(B570&lt;&gt;"",IF(AND(B570&gt;=_TM1,B570&lt;=_TM2,OR(TH!L570="1111",TH!M570="1111")),TH!D570,""),"")</f>
        <v/>
      </c>
      <c r="B570" s="531">
        <f t="shared" si="63"/>
        <v>6</v>
      </c>
      <c r="C570" s="315">
        <f t="shared" si="64"/>
        <v>42907</v>
      </c>
      <c r="D570" s="315" t="s">
        <v>461</v>
      </c>
      <c r="E570" s="288">
        <v>42907</v>
      </c>
      <c r="F570" s="249" t="s">
        <v>829</v>
      </c>
      <c r="G570" s="314" t="s">
        <v>440</v>
      </c>
      <c r="H570" s="621" t="s">
        <v>1274</v>
      </c>
      <c r="I570" s="307"/>
      <c r="J570" s="307"/>
      <c r="K570" s="532">
        <v>10920000</v>
      </c>
      <c r="L570" s="534" t="s">
        <v>441</v>
      </c>
      <c r="M570" s="533" t="s">
        <v>24</v>
      </c>
      <c r="N570" s="525" t="str">
        <f>IF(AND('331-CT'!$E$7=TH!H570,OR(L570="331",M570="331")),"331",IF(AND(OR(L570="131",M570="131"),H570='131-CT'!$E$7),"131",""))</f>
        <v/>
      </c>
      <c r="O570" s="525" t="str">
        <f>IF(AND($B570&gt;='111'!$N$11,$B570&lt;='111'!$O$11,OR($L570=$O$7,$M570=$O$7)),"x","")</f>
        <v/>
      </c>
      <c r="P570" s="525" t="str">
        <f>IF(AND($L570=$O$7,$B570&lt;'111'!$N$11),"x","")</f>
        <v/>
      </c>
      <c r="Q570" s="525" t="str">
        <f>IF(AND($M570=$O$7,$B570&lt;'111'!$N$11),"x","")</f>
        <v/>
      </c>
      <c r="R570" s="525" t="str">
        <f>IF(ISERROR(FIND('112'!$M$9,G570,1)),"",IF((AND(FIND('112'!$M$9,G570,1)&gt;=1,$B570&gt;='112'!$N$8,$B570&lt;='112'!$O$8,OR($L570='112'!$I$6,$M570='112'!$I$6))),"x",""))</f>
        <v/>
      </c>
      <c r="S570" s="525" t="str">
        <f>IF(ISERROR(FIND('112'!$M$9,G570,1)),"",IF((AND(LEFT(G570,2)=LEFT('112'!$M$9,2),B570&lt;'112'!$N$8,$L570='112'!$I$6)),"x",""))</f>
        <v/>
      </c>
      <c r="T570" s="525" t="str">
        <f>IF(ISERROR(FIND('112'!$M$9,G570,1)),"",IF((AND(RIGHT(G570,2)=RIGHT('112'!$M$9,2),B570&lt;'112'!$N$8,$M570='112'!$I$6)),"x",""))</f>
        <v>x</v>
      </c>
      <c r="U570" s="525" t="str">
        <f>IF(AND(B570&gt;='IN-NX'!$P$3,B570&lt;='IN-NX'!$Q$3,'IN-NX'!$D$7=D570,OR(LEFT(L570,2)="15",AND(LEFT(M570,2)&lt;&gt;"15",LEFT(M570,2)&lt;&gt;"33"))),"x","")</f>
        <v/>
      </c>
      <c r="V570" s="525" t="str">
        <f>IF(AND(OR(LEFT(TH!L570,2)="15",LEFT(TH!M570,2)="15"),'152-CT'!$J$8=TH!F570),"x","")</f>
        <v/>
      </c>
      <c r="W570" s="525" t="str">
        <f>IF(AND(OR(LEFT(TH!L570,2)="15",LEFT(TH!M570,2)="15"),TK!$E$7=TH!F570),"x","")</f>
        <v/>
      </c>
      <c r="X570" s="525" t="str">
        <f>IF(AND('341-CT'!$E$9=H570,OR(LEFT(L570,3)=$X$7,LEFT(M570,3)=$X$7)),"x","")</f>
        <v/>
      </c>
      <c r="Y570" s="525" t="str">
        <f>IF(OR(TH!L570=TH!$Y$7,M570=TH!$Y$7),"x","")</f>
        <v/>
      </c>
      <c r="Z570" s="525" t="str">
        <f>IF(AND(B570&lt;=NKC!$N$8,B570&gt;=NKC!$M$8),"x","")</f>
        <v/>
      </c>
      <c r="AA570" s="535"/>
    </row>
    <row r="571" spans="1:28" s="503" customFormat="1" ht="15.75" customHeight="1">
      <c r="A571" s="517" t="str">
        <f>IF(B571&lt;&gt;"",IF(AND(B571&gt;=_TM1,B571&lt;=_TM2,OR(TH!L571="1111",TH!M571="1111")),TH!D571,""),"")</f>
        <v/>
      </c>
      <c r="B571" s="531">
        <f t="shared" si="63"/>
        <v>6</v>
      </c>
      <c r="C571" s="315">
        <f t="shared" si="64"/>
        <v>42907</v>
      </c>
      <c r="D571" s="315" t="s">
        <v>461</v>
      </c>
      <c r="E571" s="288">
        <v>42907</v>
      </c>
      <c r="F571" s="249" t="s">
        <v>828</v>
      </c>
      <c r="G571" s="314" t="s">
        <v>440</v>
      </c>
      <c r="H571" s="621" t="s">
        <v>830</v>
      </c>
      <c r="I571" s="307"/>
      <c r="J571" s="307"/>
      <c r="K571" s="532">
        <v>3724</v>
      </c>
      <c r="L571" s="533" t="s">
        <v>79</v>
      </c>
      <c r="M571" s="533" t="s">
        <v>24</v>
      </c>
      <c r="N571" s="525" t="str">
        <f>IF(AND('331-CT'!$E$7=TH!H571,OR(L571="331",M571="331")),"331",IF(AND(OR(L571="131",M571="131"),H571='131-CT'!$E$7),"131",""))</f>
        <v/>
      </c>
      <c r="O571" s="525" t="str">
        <f>IF(AND($B571&gt;='111'!$N$11,$B571&lt;='111'!$O$11,OR($L571=$O$7,$M571=$O$7)),"x","")</f>
        <v/>
      </c>
      <c r="P571" s="525" t="str">
        <f>IF(AND($L571=$O$7,$B571&lt;'111'!$N$11),"x","")</f>
        <v/>
      </c>
      <c r="Q571" s="525" t="str">
        <f>IF(AND($M571=$O$7,$B571&lt;'111'!$N$11),"x","")</f>
        <v/>
      </c>
      <c r="R571" s="525" t="str">
        <f>IF(ISERROR(FIND('112'!$M$9,G571,1)),"",IF((AND(FIND('112'!$M$9,G571,1)&gt;=1,$B571&gt;='112'!$N$8,$B571&lt;='112'!$O$8,OR($L571='112'!$I$6,$M571='112'!$I$6))),"x",""))</f>
        <v/>
      </c>
      <c r="S571" s="525" t="str">
        <f>IF(ISERROR(FIND('112'!$M$9,G571,1)),"",IF((AND(LEFT(G571,2)=LEFT('112'!$M$9,2),B571&lt;'112'!$N$8,$L571='112'!$I$6)),"x",""))</f>
        <v/>
      </c>
      <c r="T571" s="525" t="str">
        <f>IF(ISERROR(FIND('112'!$M$9,G571,1)),"",IF((AND(RIGHT(G571,2)=RIGHT('112'!$M$9,2),B571&lt;'112'!$N$8,$M571='112'!$I$6)),"x",""))</f>
        <v>x</v>
      </c>
      <c r="U571" s="525" t="str">
        <f>IF(AND(B571&gt;='IN-NX'!$P$3,B571&lt;='IN-NX'!$Q$3,'IN-NX'!$D$7=D571,OR(LEFT(L571,2)="15",AND(LEFT(M571,2)&lt;&gt;"15",LEFT(M571,2)&lt;&gt;"33"))),"x","")</f>
        <v/>
      </c>
      <c r="V571" s="525" t="str">
        <f>IF(AND(OR(LEFT(TH!L571,2)="15",LEFT(TH!M571,2)="15"),'152-CT'!$J$8=TH!F571),"x","")</f>
        <v/>
      </c>
      <c r="W571" s="525" t="str">
        <f>IF(AND(OR(LEFT(TH!L571,2)="15",LEFT(TH!M571,2)="15"),TK!$E$7=TH!F571),"x","")</f>
        <v/>
      </c>
      <c r="X571" s="525" t="str">
        <f>IF(AND('341-CT'!$E$9=H571,OR(LEFT(L571,3)=$X$7,LEFT(M571,3)=$X$7)),"x","")</f>
        <v/>
      </c>
      <c r="Y571" s="525" t="str">
        <f>IF(OR(TH!L571=TH!$Y$7,M571=TH!$Y$7),"x","")</f>
        <v/>
      </c>
      <c r="Z571" s="525" t="str">
        <f>IF(AND(B571&lt;=NKC!$N$8,B571&gt;=NKC!$M$8),"x","")</f>
        <v/>
      </c>
      <c r="AA571" s="535"/>
      <c r="AB571" s="536"/>
    </row>
    <row r="572" spans="1:28" s="503" customFormat="1" ht="15.75" customHeight="1">
      <c r="A572" s="517" t="str">
        <f>IF(B572&lt;&gt;"",IF(AND(B572&gt;=_TM1,B572&lt;=_TM2,OR(TH!L572="1111",TH!M572="1111")),TH!D572,""),"")</f>
        <v/>
      </c>
      <c r="B572" s="531">
        <f t="shared" si="63"/>
        <v>6</v>
      </c>
      <c r="C572" s="315">
        <f t="shared" si="64"/>
        <v>42907</v>
      </c>
      <c r="D572" s="315" t="s">
        <v>461</v>
      </c>
      <c r="E572" s="288">
        <v>42907</v>
      </c>
      <c r="F572" s="249" t="s">
        <v>828</v>
      </c>
      <c r="G572" s="314" t="s">
        <v>440</v>
      </c>
      <c r="H572" s="621" t="s">
        <v>830</v>
      </c>
      <c r="I572" s="307"/>
      <c r="J572" s="307"/>
      <c r="K572" s="532">
        <v>7448</v>
      </c>
      <c r="L572" s="533" t="s">
        <v>79</v>
      </c>
      <c r="M572" s="533" t="s">
        <v>24</v>
      </c>
      <c r="N572" s="525" t="str">
        <f>IF(AND('331-CT'!$E$7=TH!H572,OR(L572="331",M572="331")),"331",IF(AND(OR(L572="131",M572="131"),H572='131-CT'!$E$7),"131",""))</f>
        <v/>
      </c>
      <c r="O572" s="525" t="str">
        <f>IF(AND($B572&gt;='111'!$N$11,$B572&lt;='111'!$O$11,OR($L572=$O$7,$M572=$O$7)),"x","")</f>
        <v/>
      </c>
      <c r="P572" s="525" t="str">
        <f>IF(AND($L572=$O$7,$B572&lt;'111'!$N$11),"x","")</f>
        <v/>
      </c>
      <c r="Q572" s="525" t="str">
        <f>IF(AND($M572=$O$7,$B572&lt;'111'!$N$11),"x","")</f>
        <v/>
      </c>
      <c r="R572" s="525" t="str">
        <f>IF(ISERROR(FIND('112'!$M$9,G572,1)),"",IF((AND(FIND('112'!$M$9,G572,1)&gt;=1,$B572&gt;='112'!$N$8,$B572&lt;='112'!$O$8,OR($L572='112'!$I$6,$M572='112'!$I$6))),"x",""))</f>
        <v/>
      </c>
      <c r="S572" s="525" t="str">
        <f>IF(ISERROR(FIND('112'!$M$9,G572,1)),"",IF((AND(LEFT(G572,2)=LEFT('112'!$M$9,2),B572&lt;'112'!$N$8,$L572='112'!$I$6)),"x",""))</f>
        <v/>
      </c>
      <c r="T572" s="525" t="str">
        <f>IF(ISERROR(FIND('112'!$M$9,G572,1)),"",IF((AND(RIGHT(G572,2)=RIGHT('112'!$M$9,2),B572&lt;'112'!$N$8,$M572='112'!$I$6)),"x",""))</f>
        <v>x</v>
      </c>
      <c r="U572" s="525" t="str">
        <f>IF(AND(B572&gt;='IN-NX'!$P$3,B572&lt;='IN-NX'!$Q$3,'IN-NX'!$D$7=D572,OR(LEFT(L572,2)="15",AND(LEFT(M572,2)&lt;&gt;"15",LEFT(M572,2)&lt;&gt;"33"))),"x","")</f>
        <v/>
      </c>
      <c r="V572" s="525" t="str">
        <f>IF(AND(OR(LEFT(TH!L572,2)="15",LEFT(TH!M572,2)="15"),'152-CT'!$J$8=TH!F572),"x","")</f>
        <v/>
      </c>
      <c r="W572" s="525" t="str">
        <f>IF(AND(OR(LEFT(TH!L572,2)="15",LEFT(TH!M572,2)="15"),TK!$E$7=TH!F572),"x","")</f>
        <v/>
      </c>
      <c r="X572" s="525" t="str">
        <f>IF(AND('341-CT'!$E$9=H572,OR(LEFT(L572,3)=$X$7,LEFT(M572,3)=$X$7)),"x","")</f>
        <v/>
      </c>
      <c r="Y572" s="525" t="str">
        <f>IF(OR(TH!L572=TH!$Y$7,M572=TH!$Y$7),"x","")</f>
        <v/>
      </c>
      <c r="Z572" s="525" t="str">
        <f>IF(AND(B572&lt;=NKC!$N$8,B572&gt;=NKC!$M$8),"x","")</f>
        <v/>
      </c>
      <c r="AA572" s="535"/>
    </row>
    <row r="573" spans="1:28" s="503" customFormat="1" ht="15.75" customHeight="1">
      <c r="A573" s="517" t="str">
        <f>IF(B573&lt;&gt;"",IF(AND(B573&gt;=_TM1,B573&lt;=_TM2,OR(TH!L573="1111",TH!M573="1111")),TH!D573,""),"")</f>
        <v/>
      </c>
      <c r="B573" s="531">
        <f t="shared" si="63"/>
        <v>6</v>
      </c>
      <c r="C573" s="315">
        <f t="shared" si="64"/>
        <v>42907</v>
      </c>
      <c r="D573" s="315" t="s">
        <v>461</v>
      </c>
      <c r="E573" s="288">
        <v>42907</v>
      </c>
      <c r="F573" s="249" t="s">
        <v>828</v>
      </c>
      <c r="G573" s="314" t="s">
        <v>440</v>
      </c>
      <c r="H573" s="621" t="s">
        <v>830</v>
      </c>
      <c r="I573" s="307"/>
      <c r="J573" s="307"/>
      <c r="K573" s="532">
        <v>2237236</v>
      </c>
      <c r="L573" s="533" t="s">
        <v>79</v>
      </c>
      <c r="M573" s="533" t="s">
        <v>24</v>
      </c>
      <c r="N573" s="525" t="str">
        <f>IF(AND('331-CT'!$E$7=TH!H573,OR(L573="331",M573="331")),"331",IF(AND(OR(L573="131",M573="131"),H573='131-CT'!$E$7),"131",""))</f>
        <v/>
      </c>
      <c r="O573" s="525" t="str">
        <f>IF(AND($B573&gt;='111'!$N$11,$B573&lt;='111'!$O$11,OR($L573=$O$7,$M573=$O$7)),"x","")</f>
        <v/>
      </c>
      <c r="P573" s="525" t="str">
        <f>IF(AND($L573=$O$7,$B573&lt;'111'!$N$11),"x","")</f>
        <v/>
      </c>
      <c r="Q573" s="525" t="str">
        <f>IF(AND($M573=$O$7,$B573&lt;'111'!$N$11),"x","")</f>
        <v/>
      </c>
      <c r="R573" s="525" t="str">
        <f>IF(ISERROR(FIND('112'!$M$9,G573,1)),"",IF((AND(FIND('112'!$M$9,G573,1)&gt;=1,$B573&gt;='112'!$N$8,$B573&lt;='112'!$O$8,OR($L573='112'!$I$6,$M573='112'!$I$6))),"x",""))</f>
        <v/>
      </c>
      <c r="S573" s="525" t="str">
        <f>IF(ISERROR(FIND('112'!$M$9,G573,1)),"",IF((AND(LEFT(G573,2)=LEFT('112'!$M$9,2),B573&lt;'112'!$N$8,$L573='112'!$I$6)),"x",""))</f>
        <v/>
      </c>
      <c r="T573" s="525" t="str">
        <f>IF(ISERROR(FIND('112'!$M$9,G573,1)),"",IF((AND(RIGHT(G573,2)=RIGHT('112'!$M$9,2),B573&lt;'112'!$N$8,$M573='112'!$I$6)),"x",""))</f>
        <v>x</v>
      </c>
      <c r="U573" s="525" t="str">
        <f>IF(AND(B573&gt;='IN-NX'!$P$3,B573&lt;='IN-NX'!$Q$3,'IN-NX'!$D$7=D573,OR(LEFT(L573,2)="15",AND(LEFT(M573,2)&lt;&gt;"15",LEFT(M573,2)&lt;&gt;"33"))),"x","")</f>
        <v/>
      </c>
      <c r="V573" s="525" t="str">
        <f>IF(AND(OR(LEFT(TH!L573,2)="15",LEFT(TH!M573,2)="15"),'152-CT'!$J$8=TH!F573),"x","")</f>
        <v/>
      </c>
      <c r="W573" s="525" t="str">
        <f>IF(AND(OR(LEFT(TH!L573,2)="15",LEFT(TH!M573,2)="15"),TK!$E$7=TH!F573),"x","")</f>
        <v/>
      </c>
      <c r="X573" s="525" t="str">
        <f>IF(AND('341-CT'!$E$9=H573,OR(LEFT(L573,3)=$X$7,LEFT(M573,3)=$X$7)),"x","")</f>
        <v/>
      </c>
      <c r="Y573" s="525" t="str">
        <f>IF(OR(TH!L573=TH!$Y$7,M573=TH!$Y$7),"x","")</f>
        <v/>
      </c>
      <c r="Z573" s="525" t="str">
        <f>IF(AND(B573&lt;=NKC!$N$8,B573&gt;=NKC!$M$8),"x","")</f>
        <v/>
      </c>
      <c r="AA573" s="535"/>
      <c r="AB573" s="536"/>
    </row>
    <row r="574" spans="1:28" s="503" customFormat="1" ht="15.75" customHeight="1">
      <c r="A574" s="517" t="str">
        <f>IF(B574&lt;&gt;"",IF(AND(B574&gt;=_TM1,B574&lt;=_TM2,OR(TH!L574="1111",TH!M574="1111")),TH!D574,""),"")</f>
        <v/>
      </c>
      <c r="B574" s="531">
        <f t="shared" si="63"/>
        <v>6</v>
      </c>
      <c r="C574" s="315">
        <f t="shared" si="64"/>
        <v>42907</v>
      </c>
      <c r="D574" s="315" t="s">
        <v>461</v>
      </c>
      <c r="E574" s="288">
        <v>42907</v>
      </c>
      <c r="F574" s="249" t="s">
        <v>829</v>
      </c>
      <c r="G574" s="314" t="s">
        <v>440</v>
      </c>
      <c r="H574" s="621" t="s">
        <v>830</v>
      </c>
      <c r="I574" s="307"/>
      <c r="J574" s="307"/>
      <c r="K574" s="532">
        <v>9420000</v>
      </c>
      <c r="L574" s="534" t="s">
        <v>441</v>
      </c>
      <c r="M574" s="533" t="s">
        <v>24</v>
      </c>
      <c r="N574" s="525" t="str">
        <f>IF(AND('331-CT'!$E$7=TH!H574,OR(L574="331",M574="331")),"331",IF(AND(OR(L574="131",M574="131"),H574='131-CT'!$E$7),"131",""))</f>
        <v/>
      </c>
      <c r="O574" s="525" t="str">
        <f>IF(AND($B574&gt;='111'!$N$11,$B574&lt;='111'!$O$11,OR($L574=$O$7,$M574=$O$7)),"x","")</f>
        <v/>
      </c>
      <c r="P574" s="525" t="str">
        <f>IF(AND($L574=$O$7,$B574&lt;'111'!$N$11),"x","")</f>
        <v/>
      </c>
      <c r="Q574" s="525" t="str">
        <f>IF(AND($M574=$O$7,$B574&lt;'111'!$N$11),"x","")</f>
        <v/>
      </c>
      <c r="R574" s="525" t="str">
        <f>IF(ISERROR(FIND('112'!$M$9,G574,1)),"",IF((AND(FIND('112'!$M$9,G574,1)&gt;=1,$B574&gt;='112'!$N$8,$B574&lt;='112'!$O$8,OR($L574='112'!$I$6,$M574='112'!$I$6))),"x",""))</f>
        <v/>
      </c>
      <c r="S574" s="525" t="str">
        <f>IF(ISERROR(FIND('112'!$M$9,G574,1)),"",IF((AND(LEFT(G574,2)=LEFT('112'!$M$9,2),B574&lt;'112'!$N$8,$L574='112'!$I$6)),"x",""))</f>
        <v/>
      </c>
      <c r="T574" s="525" t="str">
        <f>IF(ISERROR(FIND('112'!$M$9,G574,1)),"",IF((AND(RIGHT(G574,2)=RIGHT('112'!$M$9,2),B574&lt;'112'!$N$8,$M574='112'!$I$6)),"x",""))</f>
        <v>x</v>
      </c>
      <c r="U574" s="525" t="str">
        <f>IF(AND(B574&gt;='IN-NX'!$P$3,B574&lt;='IN-NX'!$Q$3,'IN-NX'!$D$7=D574,OR(LEFT(L574,2)="15",AND(LEFT(M574,2)&lt;&gt;"15",LEFT(M574,2)&lt;&gt;"33"))),"x","")</f>
        <v/>
      </c>
      <c r="V574" s="525" t="str">
        <f>IF(AND(OR(LEFT(TH!L574,2)="15",LEFT(TH!M574,2)="15"),'152-CT'!$J$8=TH!F574),"x","")</f>
        <v/>
      </c>
      <c r="W574" s="525" t="str">
        <f>IF(AND(OR(LEFT(TH!L574,2)="15",LEFT(TH!M574,2)="15"),TK!$E$7=TH!F574),"x","")</f>
        <v/>
      </c>
      <c r="X574" s="525" t="str">
        <f>IF(AND('341-CT'!$E$9=H574,OR(LEFT(L574,3)=$X$7,LEFT(M574,3)=$X$7)),"x","")</f>
        <v/>
      </c>
      <c r="Y574" s="525" t="str">
        <f>IF(OR(TH!L574=TH!$Y$7,M574=TH!$Y$7),"x","")</f>
        <v/>
      </c>
      <c r="Z574" s="525" t="str">
        <f>IF(AND(B574&lt;=NKC!$N$8,B574&gt;=NKC!$M$8),"x","")</f>
        <v/>
      </c>
      <c r="AA574" s="535"/>
    </row>
    <row r="575" spans="1:28" s="503" customFormat="1" ht="15.75" customHeight="1">
      <c r="A575" s="517" t="str">
        <f>IF(B575&lt;&gt;"",IF(AND(B575&gt;=_TM1,B575&lt;=_TM2,OR(TH!L575="1111",TH!M575="1111")),TH!D575,""),"")</f>
        <v/>
      </c>
      <c r="B575" s="531">
        <f t="shared" si="63"/>
        <v>6</v>
      </c>
      <c r="C575" s="315">
        <f t="shared" si="64"/>
        <v>42907</v>
      </c>
      <c r="D575" s="315" t="s">
        <v>461</v>
      </c>
      <c r="E575" s="288">
        <v>42907</v>
      </c>
      <c r="F575" s="249" t="s">
        <v>828</v>
      </c>
      <c r="G575" s="314" t="s">
        <v>440</v>
      </c>
      <c r="H575" s="621" t="s">
        <v>1283</v>
      </c>
      <c r="I575" s="307"/>
      <c r="J575" s="307"/>
      <c r="K575" s="532">
        <v>1922</v>
      </c>
      <c r="L575" s="533" t="s">
        <v>79</v>
      </c>
      <c r="M575" s="533" t="s">
        <v>24</v>
      </c>
      <c r="N575" s="525" t="str">
        <f>IF(AND('331-CT'!$E$7=TH!H575,OR(L575="331",M575="331")),"331",IF(AND(OR(L575="131",M575="131"),H575='131-CT'!$E$7),"131",""))</f>
        <v/>
      </c>
      <c r="O575" s="525" t="str">
        <f>IF(AND($B575&gt;='111'!$N$11,$B575&lt;='111'!$O$11,OR($L575=$O$7,$M575=$O$7)),"x","")</f>
        <v/>
      </c>
      <c r="P575" s="525" t="str">
        <f>IF(AND($L575=$O$7,$B575&lt;'111'!$N$11),"x","")</f>
        <v/>
      </c>
      <c r="Q575" s="525" t="str">
        <f>IF(AND($M575=$O$7,$B575&lt;'111'!$N$11),"x","")</f>
        <v/>
      </c>
      <c r="R575" s="525" t="str">
        <f>IF(ISERROR(FIND('112'!$M$9,G575,1)),"",IF((AND(FIND('112'!$M$9,G575,1)&gt;=1,$B575&gt;='112'!$N$8,$B575&lt;='112'!$O$8,OR($L575='112'!$I$6,$M575='112'!$I$6))),"x",""))</f>
        <v/>
      </c>
      <c r="S575" s="525" t="str">
        <f>IF(ISERROR(FIND('112'!$M$9,G575,1)),"",IF((AND(LEFT(G575,2)=LEFT('112'!$M$9,2),B575&lt;'112'!$N$8,$L575='112'!$I$6)),"x",""))</f>
        <v/>
      </c>
      <c r="T575" s="525" t="str">
        <f>IF(ISERROR(FIND('112'!$M$9,G575,1)),"",IF((AND(RIGHT(G575,2)=RIGHT('112'!$M$9,2),B575&lt;'112'!$N$8,$M575='112'!$I$6)),"x",""))</f>
        <v>x</v>
      </c>
      <c r="U575" s="525" t="str">
        <f>IF(AND(B575&gt;='IN-NX'!$P$3,B575&lt;='IN-NX'!$Q$3,'IN-NX'!$D$7=D575,OR(LEFT(L575,2)="15",AND(LEFT(M575,2)&lt;&gt;"15",LEFT(M575,2)&lt;&gt;"33"))),"x","")</f>
        <v/>
      </c>
      <c r="V575" s="525" t="str">
        <f>IF(AND(OR(LEFT(TH!L575,2)="15",LEFT(TH!M575,2)="15"),'152-CT'!$J$8=TH!F575),"x","")</f>
        <v/>
      </c>
      <c r="W575" s="525" t="str">
        <f>IF(AND(OR(LEFT(TH!L575,2)="15",LEFT(TH!M575,2)="15"),TK!$E$7=TH!F575),"x","")</f>
        <v/>
      </c>
      <c r="X575" s="525" t="str">
        <f>IF(AND('341-CT'!$E$9=H575,OR(LEFT(L575,3)=$X$7,LEFT(M575,3)=$X$7)),"x","")</f>
        <v/>
      </c>
      <c r="Y575" s="525" t="str">
        <f>IF(OR(TH!L575=TH!$Y$7,M575=TH!$Y$7),"x","")</f>
        <v/>
      </c>
      <c r="Z575" s="525" t="str">
        <f>IF(AND(B575&lt;=NKC!$N$8,B575&gt;=NKC!$M$8),"x","")</f>
        <v/>
      </c>
      <c r="AA575" s="535"/>
    </row>
    <row r="576" spans="1:28" s="503" customFormat="1" ht="15.75" customHeight="1">
      <c r="A576" s="517" t="str">
        <f>IF(B576&lt;&gt;"",IF(AND(B576&gt;=_TM1,B576&lt;=_TM2,OR(TH!L576="1111",TH!M576="1111")),TH!D576,""),"")</f>
        <v/>
      </c>
      <c r="B576" s="531">
        <f t="shared" si="63"/>
        <v>6</v>
      </c>
      <c r="C576" s="315">
        <f t="shared" si="64"/>
        <v>42907</v>
      </c>
      <c r="D576" s="315" t="s">
        <v>461</v>
      </c>
      <c r="E576" s="288">
        <v>42907</v>
      </c>
      <c r="F576" s="249" t="s">
        <v>828</v>
      </c>
      <c r="G576" s="314" t="s">
        <v>440</v>
      </c>
      <c r="H576" s="621" t="s">
        <v>1283</v>
      </c>
      <c r="I576" s="307"/>
      <c r="J576" s="307"/>
      <c r="K576" s="532">
        <v>3844</v>
      </c>
      <c r="L576" s="533" t="s">
        <v>79</v>
      </c>
      <c r="M576" s="533" t="s">
        <v>24</v>
      </c>
      <c r="N576" s="525" t="str">
        <f>IF(AND('331-CT'!$E$7=TH!H576,OR(L576="331",M576="331")),"331",IF(AND(OR(L576="131",M576="131"),H576='131-CT'!$E$7),"131",""))</f>
        <v/>
      </c>
      <c r="O576" s="525" t="str">
        <f>IF(AND($B576&gt;='111'!$N$11,$B576&lt;='111'!$O$11,OR($L576=$O$7,$M576=$O$7)),"x","")</f>
        <v/>
      </c>
      <c r="P576" s="525" t="str">
        <f>IF(AND($L576=$O$7,$B576&lt;'111'!$N$11),"x","")</f>
        <v/>
      </c>
      <c r="Q576" s="525" t="str">
        <f>IF(AND($M576=$O$7,$B576&lt;'111'!$N$11),"x","")</f>
        <v/>
      </c>
      <c r="R576" s="525" t="str">
        <f>IF(ISERROR(FIND('112'!$M$9,G576,1)),"",IF((AND(FIND('112'!$M$9,G576,1)&gt;=1,$B576&gt;='112'!$N$8,$B576&lt;='112'!$O$8,OR($L576='112'!$I$6,$M576='112'!$I$6))),"x",""))</f>
        <v/>
      </c>
      <c r="S576" s="525" t="str">
        <f>IF(ISERROR(FIND('112'!$M$9,G576,1)),"",IF((AND(LEFT(G576,2)=LEFT('112'!$M$9,2),B576&lt;'112'!$N$8,$L576='112'!$I$6)),"x",""))</f>
        <v/>
      </c>
      <c r="T576" s="525" t="str">
        <f>IF(ISERROR(FIND('112'!$M$9,G576,1)),"",IF((AND(RIGHT(G576,2)=RIGHT('112'!$M$9,2),B576&lt;'112'!$N$8,$M576='112'!$I$6)),"x",""))</f>
        <v>x</v>
      </c>
      <c r="U576" s="525" t="str">
        <f>IF(AND(B576&gt;='IN-NX'!$P$3,B576&lt;='IN-NX'!$Q$3,'IN-NX'!$D$7=D576,OR(LEFT(L576,2)="15",AND(LEFT(M576,2)&lt;&gt;"15",LEFT(M576,2)&lt;&gt;"33"))),"x","")</f>
        <v/>
      </c>
      <c r="V576" s="525" t="str">
        <f>IF(AND(OR(LEFT(TH!L576,2)="15",LEFT(TH!M576,2)="15"),'152-CT'!$J$8=TH!F576),"x","")</f>
        <v/>
      </c>
      <c r="W576" s="525" t="str">
        <f>IF(AND(OR(LEFT(TH!L576,2)="15",LEFT(TH!M576,2)="15"),TK!$E$7=TH!F576),"x","")</f>
        <v/>
      </c>
      <c r="X576" s="525" t="str">
        <f>IF(AND('341-CT'!$E$9=H576,OR(LEFT(L576,3)=$X$7,LEFT(M576,3)=$X$7)),"x","")</f>
        <v/>
      </c>
      <c r="Y576" s="525" t="str">
        <f>IF(OR(TH!L576=TH!$Y$7,M576=TH!$Y$7),"x","")</f>
        <v/>
      </c>
      <c r="Z576" s="525" t="str">
        <f>IF(AND(B576&lt;=NKC!$N$8,B576&gt;=NKC!$M$8),"x","")</f>
        <v/>
      </c>
      <c r="AA576" s="535"/>
      <c r="AB576" s="536"/>
    </row>
    <row r="577" spans="1:28" s="503" customFormat="1" ht="15.75" customHeight="1">
      <c r="A577" s="517" t="str">
        <f>IF(B577&lt;&gt;"",IF(AND(B577&gt;=_TM1,B577&lt;=_TM2,OR(TH!L577="1111",TH!M577="1111")),TH!D577,""),"")</f>
        <v/>
      </c>
      <c r="B577" s="531">
        <f t="shared" si="63"/>
        <v>6</v>
      </c>
      <c r="C577" s="315">
        <f t="shared" si="64"/>
        <v>42907</v>
      </c>
      <c r="D577" s="315" t="s">
        <v>461</v>
      </c>
      <c r="E577" s="288">
        <v>42907</v>
      </c>
      <c r="F577" s="249" t="s">
        <v>828</v>
      </c>
      <c r="G577" s="314" t="s">
        <v>440</v>
      </c>
      <c r="H577" s="621" t="s">
        <v>1283</v>
      </c>
      <c r="I577" s="307"/>
      <c r="J577" s="307"/>
      <c r="K577" s="532">
        <v>1104133</v>
      </c>
      <c r="L577" s="533" t="s">
        <v>79</v>
      </c>
      <c r="M577" s="533" t="s">
        <v>24</v>
      </c>
      <c r="N577" s="525" t="str">
        <f>IF(AND('331-CT'!$E$7=TH!H577,OR(L577="331",M577="331")),"331",IF(AND(OR(L577="131",M577="131"),H577='131-CT'!$E$7),"131",""))</f>
        <v/>
      </c>
      <c r="O577" s="525" t="str">
        <f>IF(AND($B577&gt;='111'!$N$11,$B577&lt;='111'!$O$11,OR($L577=$O$7,$M577=$O$7)),"x","")</f>
        <v/>
      </c>
      <c r="P577" s="525" t="str">
        <f>IF(AND($L577=$O$7,$B577&lt;'111'!$N$11),"x","")</f>
        <v/>
      </c>
      <c r="Q577" s="525" t="str">
        <f>IF(AND($M577=$O$7,$B577&lt;'111'!$N$11),"x","")</f>
        <v/>
      </c>
      <c r="R577" s="525" t="str">
        <f>IF(ISERROR(FIND('112'!$M$9,G577,1)),"",IF((AND(FIND('112'!$M$9,G577,1)&gt;=1,$B577&gt;='112'!$N$8,$B577&lt;='112'!$O$8,OR($L577='112'!$I$6,$M577='112'!$I$6))),"x",""))</f>
        <v/>
      </c>
      <c r="S577" s="525" t="str">
        <f>IF(ISERROR(FIND('112'!$M$9,G577,1)),"",IF((AND(LEFT(G577,2)=LEFT('112'!$M$9,2),B577&lt;'112'!$N$8,$L577='112'!$I$6)),"x",""))</f>
        <v/>
      </c>
      <c r="T577" s="525" t="str">
        <f>IF(ISERROR(FIND('112'!$M$9,G577,1)),"",IF((AND(RIGHT(G577,2)=RIGHT('112'!$M$9,2),B577&lt;'112'!$N$8,$M577='112'!$I$6)),"x",""))</f>
        <v>x</v>
      </c>
      <c r="U577" s="525" t="str">
        <f>IF(AND(B577&gt;='IN-NX'!$P$3,B577&lt;='IN-NX'!$Q$3,'IN-NX'!$D$7=D577,OR(LEFT(L577,2)="15",AND(LEFT(M577,2)&lt;&gt;"15",LEFT(M577,2)&lt;&gt;"33"))),"x","")</f>
        <v/>
      </c>
      <c r="V577" s="525" t="str">
        <f>IF(AND(OR(LEFT(TH!L577,2)="15",LEFT(TH!M577,2)="15"),'152-CT'!$J$8=TH!F577),"x","")</f>
        <v/>
      </c>
      <c r="W577" s="525" t="str">
        <f>IF(AND(OR(LEFT(TH!L577,2)="15",LEFT(TH!M577,2)="15"),TK!$E$7=TH!F577),"x","")</f>
        <v/>
      </c>
      <c r="X577" s="525" t="str">
        <f>IF(AND('341-CT'!$E$9=H577,OR(LEFT(L577,3)=$X$7,LEFT(M577,3)=$X$7)),"x","")</f>
        <v/>
      </c>
      <c r="Y577" s="525" t="str">
        <f>IF(OR(TH!L577=TH!$Y$7,M577=TH!$Y$7),"x","")</f>
        <v/>
      </c>
      <c r="Z577" s="525" t="str">
        <f>IF(AND(B577&lt;=NKC!$N$8,B577&gt;=NKC!$M$8),"x","")</f>
        <v/>
      </c>
      <c r="AA577" s="535"/>
    </row>
    <row r="578" spans="1:28" s="503" customFormat="1" ht="15.75" customHeight="1">
      <c r="A578" s="517" t="str">
        <f>IF(B578&lt;&gt;"",IF(AND(B578&gt;=_TM1,B578&lt;=_TM2,OR(TH!L578="1111",TH!M578="1111")),TH!D578,""),"")</f>
        <v/>
      </c>
      <c r="B578" s="531">
        <f t="shared" si="63"/>
        <v>6</v>
      </c>
      <c r="C578" s="315">
        <f t="shared" si="64"/>
        <v>42907</v>
      </c>
      <c r="D578" s="315" t="s">
        <v>461</v>
      </c>
      <c r="E578" s="288">
        <v>42907</v>
      </c>
      <c r="F578" s="249" t="s">
        <v>829</v>
      </c>
      <c r="G578" s="314" t="s">
        <v>440</v>
      </c>
      <c r="H578" s="621" t="s">
        <v>1283</v>
      </c>
      <c r="I578" s="307"/>
      <c r="J578" s="307"/>
      <c r="K578" s="532">
        <v>6500000</v>
      </c>
      <c r="L578" s="534" t="s">
        <v>441</v>
      </c>
      <c r="M578" s="533" t="s">
        <v>24</v>
      </c>
      <c r="N578" s="525" t="str">
        <f>IF(AND('331-CT'!$E$7=TH!H578,OR(L578="331",M578="331")),"331",IF(AND(OR(L578="131",M578="131"),H578='131-CT'!$E$7),"131",""))</f>
        <v/>
      </c>
      <c r="O578" s="525" t="str">
        <f>IF(AND($B578&gt;='111'!$N$11,$B578&lt;='111'!$O$11,OR($L578=$O$7,$M578=$O$7)),"x","")</f>
        <v/>
      </c>
      <c r="P578" s="525" t="str">
        <f>IF(AND($L578=$O$7,$B578&lt;'111'!$N$11),"x","")</f>
        <v/>
      </c>
      <c r="Q578" s="525" t="str">
        <f>IF(AND($M578=$O$7,$B578&lt;'111'!$N$11),"x","")</f>
        <v/>
      </c>
      <c r="R578" s="525" t="str">
        <f>IF(ISERROR(FIND('112'!$M$9,G578,1)),"",IF((AND(FIND('112'!$M$9,G578,1)&gt;=1,$B578&gt;='112'!$N$8,$B578&lt;='112'!$O$8,OR($L578='112'!$I$6,$M578='112'!$I$6))),"x",""))</f>
        <v/>
      </c>
      <c r="S578" s="525" t="str">
        <f>IF(ISERROR(FIND('112'!$M$9,G578,1)),"",IF((AND(LEFT(G578,2)=LEFT('112'!$M$9,2),B578&lt;'112'!$N$8,$L578='112'!$I$6)),"x",""))</f>
        <v/>
      </c>
      <c r="T578" s="525" t="str">
        <f>IF(ISERROR(FIND('112'!$M$9,G578,1)),"",IF((AND(RIGHT(G578,2)=RIGHT('112'!$M$9,2),B578&lt;'112'!$N$8,$M578='112'!$I$6)),"x",""))</f>
        <v>x</v>
      </c>
      <c r="U578" s="525" t="str">
        <f>IF(AND(B578&gt;='IN-NX'!$P$3,B578&lt;='IN-NX'!$Q$3,'IN-NX'!$D$7=D578,OR(LEFT(L578,2)="15",AND(LEFT(M578,2)&lt;&gt;"15",LEFT(M578,2)&lt;&gt;"33"))),"x","")</f>
        <v/>
      </c>
      <c r="V578" s="525" t="str">
        <f>IF(AND(OR(LEFT(TH!L578,2)="15",LEFT(TH!M578,2)="15"),'152-CT'!$J$8=TH!F578),"x","")</f>
        <v/>
      </c>
      <c r="W578" s="525" t="str">
        <f>IF(AND(OR(LEFT(TH!L578,2)="15",LEFT(TH!M578,2)="15"),TK!$E$7=TH!F578),"x","")</f>
        <v/>
      </c>
      <c r="X578" s="525" t="str">
        <f>IF(AND('341-CT'!$E$9=H578,OR(LEFT(L578,3)=$X$7,LEFT(M578,3)=$X$7)),"x","")</f>
        <v/>
      </c>
      <c r="Y578" s="525" t="str">
        <f>IF(OR(TH!L578=TH!$Y$7,M578=TH!$Y$7),"x","")</f>
        <v/>
      </c>
      <c r="Z578" s="525" t="str">
        <f>IF(AND(B578&lt;=NKC!$N$8,B578&gt;=NKC!$M$8),"x","")</f>
        <v/>
      </c>
      <c r="AA578" s="535"/>
      <c r="AB578" s="536"/>
    </row>
    <row r="579" spans="1:28" s="503" customFormat="1" ht="15.75" customHeight="1">
      <c r="A579" s="517" t="str">
        <f>IF(B579&lt;&gt;"",IF(AND(B579&gt;=_TM1,B579&lt;=_TM2,OR(TH!L579="1111",TH!M579="1111")),TH!D579,""),"")</f>
        <v/>
      </c>
      <c r="B579" s="531">
        <f t="shared" si="63"/>
        <v>6</v>
      </c>
      <c r="C579" s="315">
        <f t="shared" si="64"/>
        <v>42907</v>
      </c>
      <c r="D579" s="315" t="s">
        <v>461</v>
      </c>
      <c r="E579" s="288">
        <v>42907</v>
      </c>
      <c r="F579" s="249" t="s">
        <v>828</v>
      </c>
      <c r="G579" s="314" t="s">
        <v>440</v>
      </c>
      <c r="H579" s="621" t="s">
        <v>1275</v>
      </c>
      <c r="I579" s="307"/>
      <c r="J579" s="307"/>
      <c r="K579" s="532">
        <v>3704</v>
      </c>
      <c r="L579" s="533" t="s">
        <v>79</v>
      </c>
      <c r="M579" s="533" t="s">
        <v>24</v>
      </c>
      <c r="N579" s="525" t="str">
        <f>IF(AND('331-CT'!$E$7=TH!H579,OR(L579="331",M579="331")),"331",IF(AND(OR(L579="131",M579="131"),H579='131-CT'!$E$7),"131",""))</f>
        <v/>
      </c>
      <c r="O579" s="525" t="str">
        <f>IF(AND($B579&gt;='111'!$N$11,$B579&lt;='111'!$O$11,OR($L579=$O$7,$M579=$O$7)),"x","")</f>
        <v/>
      </c>
      <c r="P579" s="525" t="str">
        <f>IF(AND($L579=$O$7,$B579&lt;'111'!$N$11),"x","")</f>
        <v/>
      </c>
      <c r="Q579" s="525" t="str">
        <f>IF(AND($M579=$O$7,$B579&lt;'111'!$N$11),"x","")</f>
        <v/>
      </c>
      <c r="R579" s="525" t="str">
        <f>IF(ISERROR(FIND('112'!$M$9,G579,1)),"",IF((AND(FIND('112'!$M$9,G579,1)&gt;=1,$B579&gt;='112'!$N$8,$B579&lt;='112'!$O$8,OR($L579='112'!$I$6,$M579='112'!$I$6))),"x",""))</f>
        <v/>
      </c>
      <c r="S579" s="525" t="str">
        <f>IF(ISERROR(FIND('112'!$M$9,G579,1)),"",IF((AND(LEFT(G579,2)=LEFT('112'!$M$9,2),B579&lt;'112'!$N$8,$L579='112'!$I$6)),"x",""))</f>
        <v/>
      </c>
      <c r="T579" s="525" t="str">
        <f>IF(ISERROR(FIND('112'!$M$9,G579,1)),"",IF((AND(RIGHT(G579,2)=RIGHT('112'!$M$9,2),B579&lt;'112'!$N$8,$M579='112'!$I$6)),"x",""))</f>
        <v>x</v>
      </c>
      <c r="U579" s="525" t="str">
        <f>IF(AND(B579&gt;='IN-NX'!$P$3,B579&lt;='IN-NX'!$Q$3,'IN-NX'!$D$7=D579,OR(LEFT(L579,2)="15",AND(LEFT(M579,2)&lt;&gt;"15",LEFT(M579,2)&lt;&gt;"33"))),"x","")</f>
        <v/>
      </c>
      <c r="V579" s="525" t="str">
        <f>IF(AND(OR(LEFT(TH!L579,2)="15",LEFT(TH!M579,2)="15"),'152-CT'!$J$8=TH!F579),"x","")</f>
        <v/>
      </c>
      <c r="W579" s="525" t="str">
        <f>IF(AND(OR(LEFT(TH!L579,2)="15",LEFT(TH!M579,2)="15"),TK!$E$7=TH!F579),"x","")</f>
        <v/>
      </c>
      <c r="X579" s="525" t="str">
        <f>IF(AND('341-CT'!$E$9=H579,OR(LEFT(L579,3)=$X$7,LEFT(M579,3)=$X$7)),"x","")</f>
        <v/>
      </c>
      <c r="Y579" s="525" t="str">
        <f>IF(OR(TH!L579=TH!$Y$7,M579=TH!$Y$7),"x","")</f>
        <v/>
      </c>
      <c r="Z579" s="525" t="str">
        <f>IF(AND(B579&lt;=NKC!$N$8,B579&gt;=NKC!$M$8),"x","")</f>
        <v/>
      </c>
      <c r="AA579" s="535"/>
    </row>
    <row r="580" spans="1:28" s="503" customFormat="1" ht="15.75" customHeight="1">
      <c r="A580" s="517" t="str">
        <f>IF(B580&lt;&gt;"",IF(AND(B580&gt;=_TM1,B580&lt;=_TM2,OR(TH!L580="1111",TH!M580="1111")),TH!D580,""),"")</f>
        <v/>
      </c>
      <c r="B580" s="531">
        <f t="shared" si="63"/>
        <v>6</v>
      </c>
      <c r="C580" s="315">
        <f t="shared" si="64"/>
        <v>42907</v>
      </c>
      <c r="D580" s="315" t="s">
        <v>461</v>
      </c>
      <c r="E580" s="288">
        <v>42907</v>
      </c>
      <c r="F580" s="249" t="s">
        <v>828</v>
      </c>
      <c r="G580" s="314" t="s">
        <v>440</v>
      </c>
      <c r="H580" s="621" t="s">
        <v>1275</v>
      </c>
      <c r="I580" s="307"/>
      <c r="J580" s="307"/>
      <c r="K580" s="532">
        <v>7409</v>
      </c>
      <c r="L580" s="533" t="s">
        <v>79</v>
      </c>
      <c r="M580" s="533" t="s">
        <v>24</v>
      </c>
      <c r="N580" s="525" t="str">
        <f>IF(AND('331-CT'!$E$7=TH!H580,OR(L580="331",M580="331")),"331",IF(AND(OR(L580="131",M580="131"),H580='131-CT'!$E$7),"131",""))</f>
        <v/>
      </c>
      <c r="O580" s="525" t="str">
        <f>IF(AND($B580&gt;='111'!$N$11,$B580&lt;='111'!$O$11,OR($L580=$O$7,$M580=$O$7)),"x","")</f>
        <v/>
      </c>
      <c r="P580" s="525" t="str">
        <f>IF(AND($L580=$O$7,$B580&lt;'111'!$N$11),"x","")</f>
        <v/>
      </c>
      <c r="Q580" s="525" t="str">
        <f>IF(AND($M580=$O$7,$B580&lt;'111'!$N$11),"x","")</f>
        <v/>
      </c>
      <c r="R580" s="525" t="str">
        <f>IF(ISERROR(FIND('112'!$M$9,G580,1)),"",IF((AND(FIND('112'!$M$9,G580,1)&gt;=1,$B580&gt;='112'!$N$8,$B580&lt;='112'!$O$8,OR($L580='112'!$I$6,$M580='112'!$I$6))),"x",""))</f>
        <v/>
      </c>
      <c r="S580" s="525" t="str">
        <f>IF(ISERROR(FIND('112'!$M$9,G580,1)),"",IF((AND(LEFT(G580,2)=LEFT('112'!$M$9,2),B580&lt;'112'!$N$8,$L580='112'!$I$6)),"x",""))</f>
        <v/>
      </c>
      <c r="T580" s="525" t="str">
        <f>IF(ISERROR(FIND('112'!$M$9,G580,1)),"",IF((AND(RIGHT(G580,2)=RIGHT('112'!$M$9,2),B580&lt;'112'!$N$8,$M580='112'!$I$6)),"x",""))</f>
        <v>x</v>
      </c>
      <c r="U580" s="525" t="str">
        <f>IF(AND(B580&gt;='IN-NX'!$P$3,B580&lt;='IN-NX'!$Q$3,'IN-NX'!$D$7=D580,OR(LEFT(L580,2)="15",AND(LEFT(M580,2)&lt;&gt;"15",LEFT(M580,2)&lt;&gt;"33"))),"x","")</f>
        <v/>
      </c>
      <c r="V580" s="525" t="str">
        <f>IF(AND(OR(LEFT(TH!L580,2)="15",LEFT(TH!M580,2)="15"),'152-CT'!$J$8=TH!F580),"x","")</f>
        <v/>
      </c>
      <c r="W580" s="525" t="str">
        <f>IF(AND(OR(LEFT(TH!L580,2)="15",LEFT(TH!M580,2)="15"),TK!$E$7=TH!F580),"x","")</f>
        <v/>
      </c>
      <c r="X580" s="525" t="str">
        <f>IF(AND('341-CT'!$E$9=H580,OR(LEFT(L580,3)=$X$7,LEFT(M580,3)=$X$7)),"x","")</f>
        <v/>
      </c>
      <c r="Y580" s="525" t="str">
        <f>IF(OR(TH!L580=TH!$Y$7,M580=TH!$Y$7),"x","")</f>
        <v/>
      </c>
      <c r="Z580" s="525" t="str">
        <f>IF(AND(B580&lt;=NKC!$N$8,B580&gt;=NKC!$M$8),"x","")</f>
        <v/>
      </c>
      <c r="AA580" s="535"/>
      <c r="AB580" s="536"/>
    </row>
    <row r="581" spans="1:28" s="503" customFormat="1" ht="15.75" customHeight="1">
      <c r="A581" s="517" t="str">
        <f>IF(B581&lt;&gt;"",IF(AND(B581&gt;=_TM1,B581&lt;=_TM2,OR(TH!L581="1111",TH!M581="1111")),TH!D581,""),"")</f>
        <v/>
      </c>
      <c r="B581" s="531">
        <f t="shared" ref="B581:B662" si="65">IF(C581&lt;&gt;"",MONTH(C581),"")</f>
        <v>6</v>
      </c>
      <c r="C581" s="315">
        <f t="shared" ref="C581:C662" si="66">E581</f>
        <v>42907</v>
      </c>
      <c r="D581" s="315" t="s">
        <v>461</v>
      </c>
      <c r="E581" s="288">
        <v>42907</v>
      </c>
      <c r="F581" s="249" t="s">
        <v>828</v>
      </c>
      <c r="G581" s="314" t="s">
        <v>440</v>
      </c>
      <c r="H581" s="621" t="s">
        <v>1275</v>
      </c>
      <c r="I581" s="307"/>
      <c r="J581" s="307"/>
      <c r="K581" s="532">
        <v>2154931</v>
      </c>
      <c r="L581" s="533" t="s">
        <v>79</v>
      </c>
      <c r="M581" s="533" t="s">
        <v>24</v>
      </c>
      <c r="N581" s="525" t="str">
        <f>IF(AND('331-CT'!$E$7=TH!H581,OR(L581="331",M581="331")),"331",IF(AND(OR(L581="131",M581="131"),H581='131-CT'!$E$7),"131",""))</f>
        <v/>
      </c>
      <c r="O581" s="525" t="str">
        <f>IF(AND($B581&gt;='111'!$N$11,$B581&lt;='111'!$O$11,OR($L581=$O$7,$M581=$O$7)),"x","")</f>
        <v/>
      </c>
      <c r="P581" s="525" t="str">
        <f>IF(AND($L581=$O$7,$B581&lt;'111'!$N$11),"x","")</f>
        <v/>
      </c>
      <c r="Q581" s="525" t="str">
        <f>IF(AND($M581=$O$7,$B581&lt;'111'!$N$11),"x","")</f>
        <v/>
      </c>
      <c r="R581" s="525" t="str">
        <f>IF(ISERROR(FIND('112'!$M$9,G581,1)),"",IF((AND(FIND('112'!$M$9,G581,1)&gt;=1,$B581&gt;='112'!$N$8,$B581&lt;='112'!$O$8,OR($L581='112'!$I$6,$M581='112'!$I$6))),"x",""))</f>
        <v/>
      </c>
      <c r="S581" s="525" t="str">
        <f>IF(ISERROR(FIND('112'!$M$9,G581,1)),"",IF((AND(LEFT(G581,2)=LEFT('112'!$M$9,2),B581&lt;'112'!$N$8,$L581='112'!$I$6)),"x",""))</f>
        <v/>
      </c>
      <c r="T581" s="525" t="str">
        <f>IF(ISERROR(FIND('112'!$M$9,G581,1)),"",IF((AND(RIGHT(G581,2)=RIGHT('112'!$M$9,2),B581&lt;'112'!$N$8,$M581='112'!$I$6)),"x",""))</f>
        <v>x</v>
      </c>
      <c r="U581" s="525" t="str">
        <f>IF(AND(B581&gt;='IN-NX'!$P$3,B581&lt;='IN-NX'!$Q$3,'IN-NX'!$D$7=D581,OR(LEFT(L581,2)="15",AND(LEFT(M581,2)&lt;&gt;"15",LEFT(M581,2)&lt;&gt;"33"))),"x","")</f>
        <v/>
      </c>
      <c r="V581" s="525" t="str">
        <f>IF(AND(OR(LEFT(TH!L581,2)="15",LEFT(TH!M581,2)="15"),'152-CT'!$J$8=TH!F581),"x","")</f>
        <v/>
      </c>
      <c r="W581" s="525" t="str">
        <f>IF(AND(OR(LEFT(TH!L581,2)="15",LEFT(TH!M581,2)="15"),TK!$E$7=TH!F581),"x","")</f>
        <v/>
      </c>
      <c r="X581" s="525" t="str">
        <f>IF(AND('341-CT'!$E$9=H581,OR(LEFT(L581,3)=$X$7,LEFT(M581,3)=$X$7)),"x","")</f>
        <v/>
      </c>
      <c r="Y581" s="525" t="str">
        <f>IF(OR(TH!L581=TH!$Y$7,M581=TH!$Y$7),"x","")</f>
        <v/>
      </c>
      <c r="Z581" s="525" t="str">
        <f>IF(AND(B581&lt;=NKC!$N$8,B581&gt;=NKC!$M$8),"x","")</f>
        <v/>
      </c>
      <c r="AA581" s="535"/>
    </row>
    <row r="582" spans="1:28" s="503" customFormat="1" ht="15.75" customHeight="1">
      <c r="A582" s="517" t="str">
        <f>IF(B582&lt;&gt;"",IF(AND(B582&gt;=_TM1,B582&lt;=_TM2,OR(TH!L582="1111",TH!M582="1111")),TH!D582,""),"")</f>
        <v/>
      </c>
      <c r="B582" s="531">
        <f t="shared" si="65"/>
        <v>6</v>
      </c>
      <c r="C582" s="315">
        <f t="shared" si="66"/>
        <v>42907</v>
      </c>
      <c r="D582" s="315" t="s">
        <v>461</v>
      </c>
      <c r="E582" s="288">
        <v>42907</v>
      </c>
      <c r="F582" s="249" t="s">
        <v>829</v>
      </c>
      <c r="G582" s="314" t="s">
        <v>440</v>
      </c>
      <c r="H582" s="621" t="s">
        <v>1275</v>
      </c>
      <c r="I582" s="307"/>
      <c r="J582" s="307"/>
      <c r="K582" s="532">
        <v>12500000</v>
      </c>
      <c r="L582" s="534" t="s">
        <v>441</v>
      </c>
      <c r="M582" s="533" t="s">
        <v>24</v>
      </c>
      <c r="N582" s="525" t="str">
        <f>IF(AND('331-CT'!$E$7=TH!H582,OR(L582="331",M582="331")),"331",IF(AND(OR(L582="131",M582="131"),H582='131-CT'!$E$7),"131",""))</f>
        <v/>
      </c>
      <c r="O582" s="525" t="str">
        <f>IF(AND($B582&gt;='111'!$N$11,$B582&lt;='111'!$O$11,OR($L582=$O$7,$M582=$O$7)),"x","")</f>
        <v/>
      </c>
      <c r="P582" s="525" t="str">
        <f>IF(AND($L582=$O$7,$B582&lt;'111'!$N$11),"x","")</f>
        <v/>
      </c>
      <c r="Q582" s="525" t="str">
        <f>IF(AND($M582=$O$7,$B582&lt;'111'!$N$11),"x","")</f>
        <v/>
      </c>
      <c r="R582" s="525" t="str">
        <f>IF(ISERROR(FIND('112'!$M$9,G582,1)),"",IF((AND(FIND('112'!$M$9,G582,1)&gt;=1,$B582&gt;='112'!$N$8,$B582&lt;='112'!$O$8,OR($L582='112'!$I$6,$M582='112'!$I$6))),"x",""))</f>
        <v/>
      </c>
      <c r="S582" s="525" t="str">
        <f>IF(ISERROR(FIND('112'!$M$9,G582,1)),"",IF((AND(LEFT(G582,2)=LEFT('112'!$M$9,2),B582&lt;'112'!$N$8,$L582='112'!$I$6)),"x",""))</f>
        <v/>
      </c>
      <c r="T582" s="525" t="str">
        <f>IF(ISERROR(FIND('112'!$M$9,G582,1)),"",IF((AND(RIGHT(G582,2)=RIGHT('112'!$M$9,2),B582&lt;'112'!$N$8,$M582='112'!$I$6)),"x",""))</f>
        <v>x</v>
      </c>
      <c r="U582" s="525" t="str">
        <f>IF(AND(B582&gt;='IN-NX'!$P$3,B582&lt;='IN-NX'!$Q$3,'IN-NX'!$D$7=D582,OR(LEFT(L582,2)="15",AND(LEFT(M582,2)&lt;&gt;"15",LEFT(M582,2)&lt;&gt;"33"))),"x","")</f>
        <v/>
      </c>
      <c r="V582" s="525" t="str">
        <f>IF(AND(OR(LEFT(TH!L582,2)="15",LEFT(TH!M582,2)="15"),'152-CT'!$J$8=TH!F582),"x","")</f>
        <v/>
      </c>
      <c r="W582" s="525" t="str">
        <f>IF(AND(OR(LEFT(TH!L582,2)="15",LEFT(TH!M582,2)="15"),TK!$E$7=TH!F582),"x","")</f>
        <v/>
      </c>
      <c r="X582" s="525" t="str">
        <f>IF(AND('341-CT'!$E$9=H582,OR(LEFT(L582,3)=$X$7,LEFT(M582,3)=$X$7)),"x","")</f>
        <v/>
      </c>
      <c r="Y582" s="525" t="str">
        <f>IF(OR(TH!L582=TH!$Y$7,M582=TH!$Y$7),"x","")</f>
        <v/>
      </c>
      <c r="Z582" s="525" t="str">
        <f>IF(AND(B582&lt;=NKC!$N$8,B582&gt;=NKC!$M$8),"x","")</f>
        <v/>
      </c>
      <c r="AA582" s="535"/>
      <c r="AB582" s="536"/>
    </row>
    <row r="583" spans="1:28" s="503" customFormat="1" ht="15.75" customHeight="1">
      <c r="A583" s="517" t="str">
        <f>IF(B583&lt;&gt;"",IF(AND(B583&gt;=_TM1,B583&lt;=_TM2,OR(TH!L583="1111",TH!M583="1111")),TH!D583,""),"")</f>
        <v/>
      </c>
      <c r="B583" s="531">
        <f t="shared" si="65"/>
        <v>6</v>
      </c>
      <c r="C583" s="315">
        <f t="shared" si="66"/>
        <v>42907</v>
      </c>
      <c r="D583" s="315" t="s">
        <v>461</v>
      </c>
      <c r="E583" s="288">
        <v>42907</v>
      </c>
      <c r="F583" s="249" t="s">
        <v>828</v>
      </c>
      <c r="G583" s="314" t="s">
        <v>440</v>
      </c>
      <c r="H583" s="621" t="s">
        <v>1271</v>
      </c>
      <c r="I583" s="307"/>
      <c r="J583" s="307"/>
      <c r="K583" s="532">
        <v>6394</v>
      </c>
      <c r="L583" s="533" t="s">
        <v>79</v>
      </c>
      <c r="M583" s="533" t="s">
        <v>24</v>
      </c>
      <c r="N583" s="525" t="str">
        <f>IF(AND('331-CT'!$E$7=TH!H583,OR(L583="331",M583="331")),"331",IF(AND(OR(L583="131",M583="131"),H583='131-CT'!$E$7),"131",""))</f>
        <v/>
      </c>
      <c r="O583" s="525" t="str">
        <f>IF(AND($B583&gt;='111'!$N$11,$B583&lt;='111'!$O$11,OR($L583=$O$7,$M583=$O$7)),"x","")</f>
        <v/>
      </c>
      <c r="P583" s="525" t="str">
        <f>IF(AND($L583=$O$7,$B583&lt;'111'!$N$11),"x","")</f>
        <v/>
      </c>
      <c r="Q583" s="525" t="str">
        <f>IF(AND($M583=$O$7,$B583&lt;'111'!$N$11),"x","")</f>
        <v/>
      </c>
      <c r="R583" s="525" t="str">
        <f>IF(ISERROR(FIND('112'!$M$9,G583,1)),"",IF((AND(FIND('112'!$M$9,G583,1)&gt;=1,$B583&gt;='112'!$N$8,$B583&lt;='112'!$O$8,OR($L583='112'!$I$6,$M583='112'!$I$6))),"x",""))</f>
        <v/>
      </c>
      <c r="S583" s="525" t="str">
        <f>IF(ISERROR(FIND('112'!$M$9,G583,1)),"",IF((AND(LEFT(G583,2)=LEFT('112'!$M$9,2),B583&lt;'112'!$N$8,$L583='112'!$I$6)),"x",""))</f>
        <v/>
      </c>
      <c r="T583" s="525" t="str">
        <f>IF(ISERROR(FIND('112'!$M$9,G583,1)),"",IF((AND(RIGHT(G583,2)=RIGHT('112'!$M$9,2),B583&lt;'112'!$N$8,$M583='112'!$I$6)),"x",""))</f>
        <v>x</v>
      </c>
      <c r="U583" s="525" t="str">
        <f>IF(AND(B583&gt;='IN-NX'!$P$3,B583&lt;='IN-NX'!$Q$3,'IN-NX'!$D$7=D583,OR(LEFT(L583,2)="15",AND(LEFT(M583,2)&lt;&gt;"15",LEFT(M583,2)&lt;&gt;"33"))),"x","")</f>
        <v/>
      </c>
      <c r="V583" s="525" t="str">
        <f>IF(AND(OR(LEFT(TH!L583,2)="15",LEFT(TH!M583,2)="15"),'152-CT'!$J$8=TH!F583),"x","")</f>
        <v/>
      </c>
      <c r="W583" s="525" t="str">
        <f>IF(AND(OR(LEFT(TH!L583,2)="15",LEFT(TH!M583,2)="15"),TK!$E$7=TH!F583),"x","")</f>
        <v/>
      </c>
      <c r="X583" s="525" t="str">
        <f>IF(AND('341-CT'!$E$9=H583,OR(LEFT(L583,3)=$X$7,LEFT(M583,3)=$X$7)),"x","")</f>
        <v/>
      </c>
      <c r="Y583" s="525" t="str">
        <f>IF(OR(TH!L583=TH!$Y$7,M583=TH!$Y$7),"x","")</f>
        <v/>
      </c>
      <c r="Z583" s="525" t="str">
        <f>IF(AND(B583&lt;=NKC!$N$8,B583&gt;=NKC!$M$8),"x","")</f>
        <v/>
      </c>
      <c r="AA583" s="535"/>
    </row>
    <row r="584" spans="1:28" s="503" customFormat="1" ht="15.75" customHeight="1">
      <c r="A584" s="517" t="str">
        <f>IF(B584&lt;&gt;"",IF(AND(B584&gt;=_TM1,B584&lt;=_TM2,OR(TH!L584="1111",TH!M584="1111")),TH!D584,""),"")</f>
        <v/>
      </c>
      <c r="B584" s="531">
        <f t="shared" si="65"/>
        <v>6</v>
      </c>
      <c r="C584" s="315">
        <f t="shared" si="66"/>
        <v>42907</v>
      </c>
      <c r="D584" s="315" t="s">
        <v>461</v>
      </c>
      <c r="E584" s="288">
        <v>42907</v>
      </c>
      <c r="F584" s="249" t="s">
        <v>828</v>
      </c>
      <c r="G584" s="314" t="s">
        <v>440</v>
      </c>
      <c r="H584" s="621" t="s">
        <v>1271</v>
      </c>
      <c r="I584" s="307"/>
      <c r="J584" s="307"/>
      <c r="K584" s="532">
        <v>12789</v>
      </c>
      <c r="L584" s="533" t="s">
        <v>79</v>
      </c>
      <c r="M584" s="533" t="s">
        <v>24</v>
      </c>
      <c r="N584" s="525" t="str">
        <f>IF(AND('331-CT'!$E$7=TH!H584,OR(L584="331",M584="331")),"331",IF(AND(OR(L584="131",M584="131"),H584='131-CT'!$E$7),"131",""))</f>
        <v/>
      </c>
      <c r="O584" s="525" t="str">
        <f>IF(AND($B584&gt;='111'!$N$11,$B584&lt;='111'!$O$11,OR($L584=$O$7,$M584=$O$7)),"x","")</f>
        <v/>
      </c>
      <c r="P584" s="525" t="str">
        <f>IF(AND($L584=$O$7,$B584&lt;'111'!$N$11),"x","")</f>
        <v/>
      </c>
      <c r="Q584" s="525" t="str">
        <f>IF(AND($M584=$O$7,$B584&lt;'111'!$N$11),"x","")</f>
        <v/>
      </c>
      <c r="R584" s="525" t="str">
        <f>IF(ISERROR(FIND('112'!$M$9,G584,1)),"",IF((AND(FIND('112'!$M$9,G584,1)&gt;=1,$B584&gt;='112'!$N$8,$B584&lt;='112'!$O$8,OR($L584='112'!$I$6,$M584='112'!$I$6))),"x",""))</f>
        <v/>
      </c>
      <c r="S584" s="525" t="str">
        <f>IF(ISERROR(FIND('112'!$M$9,G584,1)),"",IF((AND(LEFT(G584,2)=LEFT('112'!$M$9,2),B584&lt;'112'!$N$8,$L584='112'!$I$6)),"x",""))</f>
        <v/>
      </c>
      <c r="T584" s="525" t="str">
        <f>IF(ISERROR(FIND('112'!$M$9,G584,1)),"",IF((AND(RIGHT(G584,2)=RIGHT('112'!$M$9,2),B584&lt;'112'!$N$8,$M584='112'!$I$6)),"x",""))</f>
        <v>x</v>
      </c>
      <c r="U584" s="525" t="str">
        <f>IF(AND(B584&gt;='IN-NX'!$P$3,B584&lt;='IN-NX'!$Q$3,'IN-NX'!$D$7=D584,OR(LEFT(L584,2)="15",AND(LEFT(M584,2)&lt;&gt;"15",LEFT(M584,2)&lt;&gt;"33"))),"x","")</f>
        <v/>
      </c>
      <c r="V584" s="525" t="str">
        <f>IF(AND(OR(LEFT(TH!L584,2)="15",LEFT(TH!M584,2)="15"),'152-CT'!$J$8=TH!F584),"x","")</f>
        <v/>
      </c>
      <c r="W584" s="525" t="str">
        <f>IF(AND(OR(LEFT(TH!L584,2)="15",LEFT(TH!M584,2)="15"),TK!$E$7=TH!F584),"x","")</f>
        <v/>
      </c>
      <c r="X584" s="525" t="str">
        <f>IF(AND('341-CT'!$E$9=H584,OR(LEFT(L584,3)=$X$7,LEFT(M584,3)=$X$7)),"x","")</f>
        <v/>
      </c>
      <c r="Y584" s="525" t="str">
        <f>IF(OR(TH!L584=TH!$Y$7,M584=TH!$Y$7),"x","")</f>
        <v/>
      </c>
      <c r="Z584" s="525" t="str">
        <f>IF(AND(B584&lt;=NKC!$N$8,B584&gt;=NKC!$M$8),"x","")</f>
        <v/>
      </c>
      <c r="AA584" s="535"/>
      <c r="AB584" s="536"/>
    </row>
    <row r="585" spans="1:28" s="503" customFormat="1" ht="15.75" customHeight="1">
      <c r="A585" s="517" t="str">
        <f>IF(B585&lt;&gt;"",IF(AND(B585&gt;=_TM1,B585&lt;=_TM2,OR(TH!L585="1111",TH!M585="1111")),TH!D585,""),"")</f>
        <v/>
      </c>
      <c r="B585" s="531">
        <f t="shared" si="65"/>
        <v>6</v>
      </c>
      <c r="C585" s="315">
        <f t="shared" si="66"/>
        <v>42907</v>
      </c>
      <c r="D585" s="315" t="s">
        <v>461</v>
      </c>
      <c r="E585" s="288">
        <v>42907</v>
      </c>
      <c r="F585" s="249" t="s">
        <v>828</v>
      </c>
      <c r="G585" s="314" t="s">
        <v>440</v>
      </c>
      <c r="H585" s="621" t="s">
        <v>1271</v>
      </c>
      <c r="I585" s="307"/>
      <c r="J585" s="307"/>
      <c r="K585" s="532">
        <v>3126452</v>
      </c>
      <c r="L585" s="533" t="s">
        <v>79</v>
      </c>
      <c r="M585" s="533" t="s">
        <v>24</v>
      </c>
      <c r="N585" s="525" t="str">
        <f>IF(AND('331-CT'!$E$7=TH!H585,OR(L585="331",M585="331")),"331",IF(AND(OR(L585="131",M585="131"),H585='131-CT'!$E$7),"131",""))</f>
        <v/>
      </c>
      <c r="O585" s="525" t="str">
        <f>IF(AND($B585&gt;='111'!$N$11,$B585&lt;='111'!$O$11,OR($L585=$O$7,$M585=$O$7)),"x","")</f>
        <v/>
      </c>
      <c r="P585" s="525" t="str">
        <f>IF(AND($L585=$O$7,$B585&lt;'111'!$N$11),"x","")</f>
        <v/>
      </c>
      <c r="Q585" s="525" t="str">
        <f>IF(AND($M585=$O$7,$B585&lt;'111'!$N$11),"x","")</f>
        <v/>
      </c>
      <c r="R585" s="525" t="str">
        <f>IF(ISERROR(FIND('112'!$M$9,G585,1)),"",IF((AND(FIND('112'!$M$9,G585,1)&gt;=1,$B585&gt;='112'!$N$8,$B585&lt;='112'!$O$8,OR($L585='112'!$I$6,$M585='112'!$I$6))),"x",""))</f>
        <v/>
      </c>
      <c r="S585" s="525" t="str">
        <f>IF(ISERROR(FIND('112'!$M$9,G585,1)),"",IF((AND(LEFT(G585,2)=LEFT('112'!$M$9,2),B585&lt;'112'!$N$8,$L585='112'!$I$6)),"x",""))</f>
        <v/>
      </c>
      <c r="T585" s="525" t="str">
        <f>IF(ISERROR(FIND('112'!$M$9,G585,1)),"",IF((AND(RIGHT(G585,2)=RIGHT('112'!$M$9,2),B585&lt;'112'!$N$8,$M585='112'!$I$6)),"x",""))</f>
        <v>x</v>
      </c>
      <c r="U585" s="525" t="str">
        <f>IF(AND(B585&gt;='IN-NX'!$P$3,B585&lt;='IN-NX'!$Q$3,'IN-NX'!$D$7=D585,OR(LEFT(L585,2)="15",AND(LEFT(M585,2)&lt;&gt;"15",LEFT(M585,2)&lt;&gt;"33"))),"x","")</f>
        <v/>
      </c>
      <c r="V585" s="525" t="str">
        <f>IF(AND(OR(LEFT(TH!L585,2)="15",LEFT(TH!M585,2)="15"),'152-CT'!$J$8=TH!F585),"x","")</f>
        <v/>
      </c>
      <c r="W585" s="525" t="str">
        <f>IF(AND(OR(LEFT(TH!L585,2)="15",LEFT(TH!M585,2)="15"),TK!$E$7=TH!F585),"x","")</f>
        <v/>
      </c>
      <c r="X585" s="525" t="str">
        <f>IF(AND('341-CT'!$E$9=H585,OR(LEFT(L585,3)=$X$7,LEFT(M585,3)=$X$7)),"x","")</f>
        <v/>
      </c>
      <c r="Y585" s="525" t="str">
        <f>IF(OR(TH!L585=TH!$Y$7,M585=TH!$Y$7),"x","")</f>
        <v/>
      </c>
      <c r="Z585" s="525" t="str">
        <f>IF(AND(B585&lt;=NKC!$N$8,B585&gt;=NKC!$M$8),"x","")</f>
        <v/>
      </c>
      <c r="AA585" s="535"/>
    </row>
    <row r="586" spans="1:28" s="503" customFormat="1" ht="15.75" customHeight="1">
      <c r="A586" s="517" t="str">
        <f>IF(B586&lt;&gt;"",IF(AND(B586&gt;=_TM1,B586&lt;=_TM2,OR(TH!L586="1111",TH!M586="1111")),TH!D586,""),"")</f>
        <v/>
      </c>
      <c r="B586" s="531">
        <f t="shared" si="65"/>
        <v>6</v>
      </c>
      <c r="C586" s="315">
        <f t="shared" si="66"/>
        <v>42907</v>
      </c>
      <c r="D586" s="315" t="s">
        <v>461</v>
      </c>
      <c r="E586" s="288">
        <v>42907</v>
      </c>
      <c r="F586" s="249" t="s">
        <v>829</v>
      </c>
      <c r="G586" s="314" t="s">
        <v>440</v>
      </c>
      <c r="H586" s="621" t="s">
        <v>1271</v>
      </c>
      <c r="I586" s="307"/>
      <c r="J586" s="307"/>
      <c r="K586" s="532">
        <v>22170000</v>
      </c>
      <c r="L586" s="534" t="s">
        <v>441</v>
      </c>
      <c r="M586" s="533" t="s">
        <v>24</v>
      </c>
      <c r="N586" s="525" t="str">
        <f>IF(AND('331-CT'!$E$7=TH!H586,OR(L586="331",M586="331")),"331",IF(AND(OR(L586="131",M586="131"),H586='131-CT'!$E$7),"131",""))</f>
        <v/>
      </c>
      <c r="O586" s="525" t="str">
        <f>IF(AND($B586&gt;='111'!$N$11,$B586&lt;='111'!$O$11,OR($L586=$O$7,$M586=$O$7)),"x","")</f>
        <v/>
      </c>
      <c r="P586" s="525" t="str">
        <f>IF(AND($L586=$O$7,$B586&lt;'111'!$N$11),"x","")</f>
        <v/>
      </c>
      <c r="Q586" s="525" t="str">
        <f>IF(AND($M586=$O$7,$B586&lt;'111'!$N$11),"x","")</f>
        <v/>
      </c>
      <c r="R586" s="525" t="str">
        <f>IF(ISERROR(FIND('112'!$M$9,G586,1)),"",IF((AND(FIND('112'!$M$9,G586,1)&gt;=1,$B586&gt;='112'!$N$8,$B586&lt;='112'!$O$8,OR($L586='112'!$I$6,$M586='112'!$I$6))),"x",""))</f>
        <v/>
      </c>
      <c r="S586" s="525" t="str">
        <f>IF(ISERROR(FIND('112'!$M$9,G586,1)),"",IF((AND(LEFT(G586,2)=LEFT('112'!$M$9,2),B586&lt;'112'!$N$8,$L586='112'!$I$6)),"x",""))</f>
        <v/>
      </c>
      <c r="T586" s="525" t="str">
        <f>IF(ISERROR(FIND('112'!$M$9,G586,1)),"",IF((AND(RIGHT(G586,2)=RIGHT('112'!$M$9,2),B586&lt;'112'!$N$8,$M586='112'!$I$6)),"x",""))</f>
        <v>x</v>
      </c>
      <c r="U586" s="525" t="str">
        <f>IF(AND(B586&gt;='IN-NX'!$P$3,B586&lt;='IN-NX'!$Q$3,'IN-NX'!$D$7=D586,OR(LEFT(L586,2)="15",AND(LEFT(M586,2)&lt;&gt;"15",LEFT(M586,2)&lt;&gt;"33"))),"x","")</f>
        <v/>
      </c>
      <c r="V586" s="525" t="str">
        <f>IF(AND(OR(LEFT(TH!L586,2)="15",LEFT(TH!M586,2)="15"),'152-CT'!$J$8=TH!F586),"x","")</f>
        <v/>
      </c>
      <c r="W586" s="525" t="str">
        <f>IF(AND(OR(LEFT(TH!L586,2)="15",LEFT(TH!M586,2)="15"),TK!$E$7=TH!F586),"x","")</f>
        <v/>
      </c>
      <c r="X586" s="525" t="str">
        <f>IF(AND('341-CT'!$E$9=H586,OR(LEFT(L586,3)=$X$7,LEFT(M586,3)=$X$7)),"x","")</f>
        <v>x</v>
      </c>
      <c r="Y586" s="525" t="str">
        <f>IF(OR(TH!L586=TH!$Y$7,M586=TH!$Y$7),"x","")</f>
        <v/>
      </c>
      <c r="Z586" s="525" t="str">
        <f>IF(AND(B586&lt;=NKC!$N$8,B586&gt;=NKC!$M$8),"x","")</f>
        <v/>
      </c>
      <c r="AA586" s="535"/>
      <c r="AB586" s="536"/>
    </row>
    <row r="587" spans="1:28" s="503" customFormat="1" ht="15.75" customHeight="1">
      <c r="A587" s="517" t="str">
        <f>IF(B587&lt;&gt;"",IF(AND(B587&gt;=_TM1,B587&lt;=_TM2,OR(TH!L587="1111",TH!M587="1111")),TH!D587,""),"")</f>
        <v/>
      </c>
      <c r="B587" s="531">
        <f t="shared" si="65"/>
        <v>6</v>
      </c>
      <c r="C587" s="315">
        <f t="shared" si="66"/>
        <v>42907</v>
      </c>
      <c r="D587" s="315" t="s">
        <v>461</v>
      </c>
      <c r="E587" s="288">
        <v>42907</v>
      </c>
      <c r="F587" s="249" t="s">
        <v>828</v>
      </c>
      <c r="G587" s="314" t="s">
        <v>440</v>
      </c>
      <c r="H587" s="621" t="s">
        <v>1273</v>
      </c>
      <c r="I587" s="307"/>
      <c r="J587" s="307"/>
      <c r="K587" s="532">
        <v>2874</v>
      </c>
      <c r="L587" s="533" t="s">
        <v>79</v>
      </c>
      <c r="M587" s="533" t="s">
        <v>24</v>
      </c>
      <c r="N587" s="525" t="str">
        <f>IF(AND('331-CT'!$E$7=TH!H587,OR(L587="331",M587="331")),"331",IF(AND(OR(L587="131",M587="131"),H587='131-CT'!$E$7),"131",""))</f>
        <v/>
      </c>
      <c r="O587" s="525" t="str">
        <f>IF(AND($B587&gt;='111'!$N$11,$B587&lt;='111'!$O$11,OR($L587=$O$7,$M587=$O$7)),"x","")</f>
        <v/>
      </c>
      <c r="P587" s="525" t="str">
        <f>IF(AND($L587=$O$7,$B587&lt;'111'!$N$11),"x","")</f>
        <v/>
      </c>
      <c r="Q587" s="525" t="str">
        <f>IF(AND($M587=$O$7,$B587&lt;'111'!$N$11),"x","")</f>
        <v/>
      </c>
      <c r="R587" s="525" t="str">
        <f>IF(ISERROR(FIND('112'!$M$9,G587,1)),"",IF((AND(FIND('112'!$M$9,G587,1)&gt;=1,$B587&gt;='112'!$N$8,$B587&lt;='112'!$O$8,OR($L587='112'!$I$6,$M587='112'!$I$6))),"x",""))</f>
        <v/>
      </c>
      <c r="S587" s="525" t="str">
        <f>IF(ISERROR(FIND('112'!$M$9,G587,1)),"",IF((AND(LEFT(G587,2)=LEFT('112'!$M$9,2),B587&lt;'112'!$N$8,$L587='112'!$I$6)),"x",""))</f>
        <v/>
      </c>
      <c r="T587" s="525" t="str">
        <f>IF(ISERROR(FIND('112'!$M$9,G587,1)),"",IF((AND(RIGHT(G587,2)=RIGHT('112'!$M$9,2),B587&lt;'112'!$N$8,$M587='112'!$I$6)),"x",""))</f>
        <v>x</v>
      </c>
      <c r="U587" s="525" t="str">
        <f>IF(AND(B587&gt;='IN-NX'!$P$3,B587&lt;='IN-NX'!$Q$3,'IN-NX'!$D$7=D587,OR(LEFT(L587,2)="15",AND(LEFT(M587,2)&lt;&gt;"15",LEFT(M587,2)&lt;&gt;"33"))),"x","")</f>
        <v/>
      </c>
      <c r="V587" s="525" t="str">
        <f>IF(AND(OR(LEFT(TH!L587,2)="15",LEFT(TH!M587,2)="15"),'152-CT'!$J$8=TH!F587),"x","")</f>
        <v/>
      </c>
      <c r="W587" s="525" t="str">
        <f>IF(AND(OR(LEFT(TH!L587,2)="15",LEFT(TH!M587,2)="15"),TK!$E$7=TH!F587),"x","")</f>
        <v/>
      </c>
      <c r="X587" s="525" t="str">
        <f>IF(AND('341-CT'!$E$9=H587,OR(LEFT(L587,3)=$X$7,LEFT(M587,3)=$X$7)),"x","")</f>
        <v/>
      </c>
      <c r="Y587" s="525" t="str">
        <f>IF(OR(TH!L587=TH!$Y$7,M587=TH!$Y$7),"x","")</f>
        <v/>
      </c>
      <c r="Z587" s="525" t="str">
        <f>IF(AND(B587&lt;=NKC!$N$8,B587&gt;=NKC!$M$8),"x","")</f>
        <v/>
      </c>
      <c r="AA587" s="535"/>
    </row>
    <row r="588" spans="1:28" s="503" customFormat="1" ht="15.75" customHeight="1">
      <c r="A588" s="517" t="str">
        <f>IF(B588&lt;&gt;"",IF(AND(B588&gt;=_TM1,B588&lt;=_TM2,OR(TH!L588="1111",TH!M588="1111")),TH!D588,""),"")</f>
        <v/>
      </c>
      <c r="B588" s="531">
        <f t="shared" si="65"/>
        <v>6</v>
      </c>
      <c r="C588" s="315">
        <f t="shared" si="66"/>
        <v>42907</v>
      </c>
      <c r="D588" s="315" t="s">
        <v>461</v>
      </c>
      <c r="E588" s="288">
        <v>42907</v>
      </c>
      <c r="F588" s="249" t="s">
        <v>828</v>
      </c>
      <c r="G588" s="314" t="s">
        <v>440</v>
      </c>
      <c r="H588" s="621" t="s">
        <v>1273</v>
      </c>
      <c r="I588" s="307"/>
      <c r="J588" s="307"/>
      <c r="K588" s="532">
        <v>5749</v>
      </c>
      <c r="L588" s="533" t="s">
        <v>79</v>
      </c>
      <c r="M588" s="533" t="s">
        <v>24</v>
      </c>
      <c r="N588" s="525" t="str">
        <f>IF(AND('331-CT'!$E$7=TH!H588,OR(L588="331",M588="331")),"331",IF(AND(OR(L588="131",M588="131"),H588='131-CT'!$E$7),"131",""))</f>
        <v/>
      </c>
      <c r="O588" s="525" t="str">
        <f>IF(AND($B588&gt;='111'!$N$11,$B588&lt;='111'!$O$11,OR($L588=$O$7,$M588=$O$7)),"x","")</f>
        <v/>
      </c>
      <c r="P588" s="525" t="str">
        <f>IF(AND($L588=$O$7,$B588&lt;'111'!$N$11),"x","")</f>
        <v/>
      </c>
      <c r="Q588" s="525" t="str">
        <f>IF(AND($M588=$O$7,$B588&lt;'111'!$N$11),"x","")</f>
        <v/>
      </c>
      <c r="R588" s="525" t="str">
        <f>IF(ISERROR(FIND('112'!$M$9,G588,1)),"",IF((AND(FIND('112'!$M$9,G588,1)&gt;=1,$B588&gt;='112'!$N$8,$B588&lt;='112'!$O$8,OR($L588='112'!$I$6,$M588='112'!$I$6))),"x",""))</f>
        <v/>
      </c>
      <c r="S588" s="525" t="str">
        <f>IF(ISERROR(FIND('112'!$M$9,G588,1)),"",IF((AND(LEFT(G588,2)=LEFT('112'!$M$9,2),B588&lt;'112'!$N$8,$L588='112'!$I$6)),"x",""))</f>
        <v/>
      </c>
      <c r="T588" s="525" t="str">
        <f>IF(ISERROR(FIND('112'!$M$9,G588,1)),"",IF((AND(RIGHT(G588,2)=RIGHT('112'!$M$9,2),B588&lt;'112'!$N$8,$M588='112'!$I$6)),"x",""))</f>
        <v>x</v>
      </c>
      <c r="U588" s="525" t="str">
        <f>IF(AND(B588&gt;='IN-NX'!$P$3,B588&lt;='IN-NX'!$Q$3,'IN-NX'!$D$7=D588,OR(LEFT(L588,2)="15",AND(LEFT(M588,2)&lt;&gt;"15",LEFT(M588,2)&lt;&gt;"33"))),"x","")</f>
        <v/>
      </c>
      <c r="V588" s="525" t="str">
        <f>IF(AND(OR(LEFT(TH!L588,2)="15",LEFT(TH!M588,2)="15"),'152-CT'!$J$8=TH!F588),"x","")</f>
        <v/>
      </c>
      <c r="W588" s="525" t="str">
        <f>IF(AND(OR(LEFT(TH!L588,2)="15",LEFT(TH!M588,2)="15"),TK!$E$7=TH!F588),"x","")</f>
        <v/>
      </c>
      <c r="X588" s="525" t="str">
        <f>IF(AND('341-CT'!$E$9=H588,OR(LEFT(L588,3)=$X$7,LEFT(M588,3)=$X$7)),"x","")</f>
        <v/>
      </c>
      <c r="Y588" s="525" t="str">
        <f>IF(OR(TH!L588=TH!$Y$7,M588=TH!$Y$7),"x","")</f>
        <v/>
      </c>
      <c r="Z588" s="525" t="str">
        <f>IF(AND(B588&lt;=NKC!$N$8,B588&gt;=NKC!$M$8),"x","")</f>
        <v/>
      </c>
      <c r="AA588" s="535"/>
      <c r="AB588" s="536"/>
    </row>
    <row r="589" spans="1:28" s="503" customFormat="1" ht="15.75" customHeight="1">
      <c r="A589" s="517" t="str">
        <f>IF(B589&lt;&gt;"",IF(AND(B589&gt;=_TM1,B589&lt;=_TM2,OR(TH!L589="1111",TH!M589="1111")),TH!D589,""),"")</f>
        <v/>
      </c>
      <c r="B589" s="531">
        <f t="shared" si="65"/>
        <v>6</v>
      </c>
      <c r="C589" s="315">
        <f t="shared" si="66"/>
        <v>42907</v>
      </c>
      <c r="D589" s="315" t="s">
        <v>461</v>
      </c>
      <c r="E589" s="288">
        <v>42907</v>
      </c>
      <c r="F589" s="249" t="s">
        <v>828</v>
      </c>
      <c r="G589" s="314" t="s">
        <v>440</v>
      </c>
      <c r="H589" s="621" t="s">
        <v>1273</v>
      </c>
      <c r="I589" s="307"/>
      <c r="J589" s="307"/>
      <c r="K589" s="532">
        <v>1541206</v>
      </c>
      <c r="L589" s="533" t="s">
        <v>79</v>
      </c>
      <c r="M589" s="533" t="s">
        <v>24</v>
      </c>
      <c r="N589" s="525" t="str">
        <f>IF(AND('331-CT'!$E$7=TH!H589,OR(L589="331",M589="331")),"331",IF(AND(OR(L589="131",M589="131"),H589='131-CT'!$E$7),"131",""))</f>
        <v/>
      </c>
      <c r="O589" s="525" t="str">
        <f>IF(AND($B589&gt;='111'!$N$11,$B589&lt;='111'!$O$11,OR($L589=$O$7,$M589=$O$7)),"x","")</f>
        <v/>
      </c>
      <c r="P589" s="525" t="str">
        <f>IF(AND($L589=$O$7,$B589&lt;'111'!$N$11),"x","")</f>
        <v/>
      </c>
      <c r="Q589" s="525" t="str">
        <f>IF(AND($M589=$O$7,$B589&lt;'111'!$N$11),"x","")</f>
        <v/>
      </c>
      <c r="R589" s="525" t="str">
        <f>IF(ISERROR(FIND('112'!$M$9,G589,1)),"",IF((AND(FIND('112'!$M$9,G589,1)&gt;=1,$B589&gt;='112'!$N$8,$B589&lt;='112'!$O$8,OR($L589='112'!$I$6,$M589='112'!$I$6))),"x",""))</f>
        <v/>
      </c>
      <c r="S589" s="525" t="str">
        <f>IF(ISERROR(FIND('112'!$M$9,G589,1)),"",IF((AND(LEFT(G589,2)=LEFT('112'!$M$9,2),B589&lt;'112'!$N$8,$L589='112'!$I$6)),"x",""))</f>
        <v/>
      </c>
      <c r="T589" s="525" t="str">
        <f>IF(ISERROR(FIND('112'!$M$9,G589,1)),"",IF((AND(RIGHT(G589,2)=RIGHT('112'!$M$9,2),B589&lt;'112'!$N$8,$M589='112'!$I$6)),"x",""))</f>
        <v>x</v>
      </c>
      <c r="U589" s="525" t="str">
        <f>IF(AND(B589&gt;='IN-NX'!$P$3,B589&lt;='IN-NX'!$Q$3,'IN-NX'!$D$7=D589,OR(LEFT(L589,2)="15",AND(LEFT(M589,2)&lt;&gt;"15",LEFT(M589,2)&lt;&gt;"33"))),"x","")</f>
        <v/>
      </c>
      <c r="V589" s="525" t="str">
        <f>IF(AND(OR(LEFT(TH!L589,2)="15",LEFT(TH!M589,2)="15"),'152-CT'!$J$8=TH!F589),"x","")</f>
        <v/>
      </c>
      <c r="W589" s="525" t="str">
        <f>IF(AND(OR(LEFT(TH!L589,2)="15",LEFT(TH!M589,2)="15"),TK!$E$7=TH!F589),"x","")</f>
        <v/>
      </c>
      <c r="X589" s="525" t="str">
        <f>IF(AND('341-CT'!$E$9=H589,OR(LEFT(L589,3)=$X$7,LEFT(M589,3)=$X$7)),"x","")</f>
        <v/>
      </c>
      <c r="Y589" s="525" t="str">
        <f>IF(OR(TH!L589=TH!$Y$7,M589=TH!$Y$7),"x","")</f>
        <v/>
      </c>
      <c r="Z589" s="525" t="str">
        <f>IF(AND(B589&lt;=NKC!$N$8,B589&gt;=NKC!$M$8),"x","")</f>
        <v/>
      </c>
      <c r="AA589" s="535"/>
    </row>
    <row r="590" spans="1:28" s="503" customFormat="1" ht="15.75" customHeight="1">
      <c r="A590" s="517" t="str">
        <f>IF(B590&lt;&gt;"",IF(AND(B590&gt;=_TM1,B590&lt;=_TM2,OR(TH!L590="1111",TH!M590="1111")),TH!D590,""),"")</f>
        <v/>
      </c>
      <c r="B590" s="531">
        <f t="shared" si="65"/>
        <v>6</v>
      </c>
      <c r="C590" s="315">
        <f t="shared" si="66"/>
        <v>42907</v>
      </c>
      <c r="D590" s="315" t="s">
        <v>461</v>
      </c>
      <c r="E590" s="288">
        <v>42907</v>
      </c>
      <c r="F590" s="249" t="s">
        <v>829</v>
      </c>
      <c r="G590" s="314" t="s">
        <v>440</v>
      </c>
      <c r="H590" s="621" t="s">
        <v>1273</v>
      </c>
      <c r="I590" s="307"/>
      <c r="J590" s="307"/>
      <c r="K590" s="532">
        <v>9830000</v>
      </c>
      <c r="L590" s="534" t="s">
        <v>441</v>
      </c>
      <c r="M590" s="533" t="s">
        <v>24</v>
      </c>
      <c r="N590" s="525" t="str">
        <f>IF(AND('331-CT'!$E$7=TH!H590,OR(L590="331",M590="331")),"331",IF(AND(OR(L590="131",M590="131"),H590='131-CT'!$E$7),"131",""))</f>
        <v/>
      </c>
      <c r="O590" s="525" t="str">
        <f>IF(AND($B590&gt;='111'!$N$11,$B590&lt;='111'!$O$11,OR($L590=$O$7,$M590=$O$7)),"x","")</f>
        <v/>
      </c>
      <c r="P590" s="525" t="str">
        <f>IF(AND($L590=$O$7,$B590&lt;'111'!$N$11),"x","")</f>
        <v/>
      </c>
      <c r="Q590" s="525" t="str">
        <f>IF(AND($M590=$O$7,$B590&lt;'111'!$N$11),"x","")</f>
        <v/>
      </c>
      <c r="R590" s="525" t="str">
        <f>IF(ISERROR(FIND('112'!$M$9,G590,1)),"",IF((AND(FIND('112'!$M$9,G590,1)&gt;=1,$B590&gt;='112'!$N$8,$B590&lt;='112'!$O$8,OR($L590='112'!$I$6,$M590='112'!$I$6))),"x",""))</f>
        <v/>
      </c>
      <c r="S590" s="525" t="str">
        <f>IF(ISERROR(FIND('112'!$M$9,G590,1)),"",IF((AND(LEFT(G590,2)=LEFT('112'!$M$9,2),B590&lt;'112'!$N$8,$L590='112'!$I$6)),"x",""))</f>
        <v/>
      </c>
      <c r="T590" s="525" t="str">
        <f>IF(ISERROR(FIND('112'!$M$9,G590,1)),"",IF((AND(RIGHT(G590,2)=RIGHT('112'!$M$9,2),B590&lt;'112'!$N$8,$M590='112'!$I$6)),"x",""))</f>
        <v>x</v>
      </c>
      <c r="U590" s="525" t="str">
        <f>IF(AND(B590&gt;='IN-NX'!$P$3,B590&lt;='IN-NX'!$Q$3,'IN-NX'!$D$7=D590,OR(LEFT(L590,2)="15",AND(LEFT(M590,2)&lt;&gt;"15",LEFT(M590,2)&lt;&gt;"33"))),"x","")</f>
        <v/>
      </c>
      <c r="V590" s="525" t="str">
        <f>IF(AND(OR(LEFT(TH!L590,2)="15",LEFT(TH!M590,2)="15"),'152-CT'!$J$8=TH!F590),"x","")</f>
        <v/>
      </c>
      <c r="W590" s="525" t="str">
        <f>IF(AND(OR(LEFT(TH!L590,2)="15",LEFT(TH!M590,2)="15"),TK!$E$7=TH!F590),"x","")</f>
        <v/>
      </c>
      <c r="X590" s="525" t="str">
        <f>IF(AND('341-CT'!$E$9=H590,OR(LEFT(L590,3)=$X$7,LEFT(M590,3)=$X$7)),"x","")</f>
        <v/>
      </c>
      <c r="Y590" s="525" t="str">
        <f>IF(OR(TH!L590=TH!$Y$7,M590=TH!$Y$7),"x","")</f>
        <v/>
      </c>
      <c r="Z590" s="525" t="str">
        <f>IF(AND(B590&lt;=NKC!$N$8,B590&gt;=NKC!$M$8),"x","")</f>
        <v/>
      </c>
      <c r="AA590" s="535"/>
    </row>
    <row r="591" spans="1:28" s="503" customFormat="1" ht="15.75" customHeight="1">
      <c r="A591" s="517" t="str">
        <f>IF(B591&lt;&gt;"",IF(AND(B591&gt;=_TM1,B591&lt;=_TM2,OR(TH!L591="1111",TH!M591="1111")),TH!D591,""),"")</f>
        <v/>
      </c>
      <c r="B591" s="531">
        <f t="shared" si="65"/>
        <v>6</v>
      </c>
      <c r="C591" s="315">
        <f t="shared" si="66"/>
        <v>42907</v>
      </c>
      <c r="D591" s="315" t="s">
        <v>461</v>
      </c>
      <c r="E591" s="288">
        <v>42907</v>
      </c>
      <c r="F591" s="249" t="s">
        <v>828</v>
      </c>
      <c r="G591" s="314" t="s">
        <v>440</v>
      </c>
      <c r="H591" s="621" t="s">
        <v>1276</v>
      </c>
      <c r="I591" s="307"/>
      <c r="J591" s="307"/>
      <c r="K591" s="532">
        <v>3423</v>
      </c>
      <c r="L591" s="533" t="s">
        <v>79</v>
      </c>
      <c r="M591" s="533" t="s">
        <v>24</v>
      </c>
      <c r="N591" s="525" t="str">
        <f>IF(AND('331-CT'!$E$7=TH!H591,OR(L591="331",M591="331")),"331",IF(AND(OR(L591="131",M591="131"),H591='131-CT'!$E$7),"131",""))</f>
        <v/>
      </c>
      <c r="O591" s="525" t="str">
        <f>IF(AND($B591&gt;='111'!$N$11,$B591&lt;='111'!$O$11,OR($L591=$O$7,$M591=$O$7)),"x","")</f>
        <v/>
      </c>
      <c r="P591" s="525" t="str">
        <f>IF(AND($L591=$O$7,$B591&lt;'111'!$N$11),"x","")</f>
        <v/>
      </c>
      <c r="Q591" s="525" t="str">
        <f>IF(AND($M591=$O$7,$B591&lt;'111'!$N$11),"x","")</f>
        <v/>
      </c>
      <c r="R591" s="525" t="str">
        <f>IF(ISERROR(FIND('112'!$M$9,G591,1)),"",IF((AND(FIND('112'!$M$9,G591,1)&gt;=1,$B591&gt;='112'!$N$8,$B591&lt;='112'!$O$8,OR($L591='112'!$I$6,$M591='112'!$I$6))),"x",""))</f>
        <v/>
      </c>
      <c r="S591" s="525" t="str">
        <f>IF(ISERROR(FIND('112'!$M$9,G591,1)),"",IF((AND(LEFT(G591,2)=LEFT('112'!$M$9,2),B591&lt;'112'!$N$8,$L591='112'!$I$6)),"x",""))</f>
        <v/>
      </c>
      <c r="T591" s="525" t="str">
        <f>IF(ISERROR(FIND('112'!$M$9,G591,1)),"",IF((AND(RIGHT(G591,2)=RIGHT('112'!$M$9,2),B591&lt;'112'!$N$8,$M591='112'!$I$6)),"x",""))</f>
        <v>x</v>
      </c>
      <c r="U591" s="525" t="str">
        <f>IF(AND(B591&gt;='IN-NX'!$P$3,B591&lt;='IN-NX'!$Q$3,'IN-NX'!$D$7=D591,OR(LEFT(L591,2)="15",AND(LEFT(M591,2)&lt;&gt;"15",LEFT(M591,2)&lt;&gt;"33"))),"x","")</f>
        <v/>
      </c>
      <c r="V591" s="525" t="str">
        <f>IF(AND(OR(LEFT(TH!L591,2)="15",LEFT(TH!M591,2)="15"),'152-CT'!$J$8=TH!F591),"x","")</f>
        <v/>
      </c>
      <c r="W591" s="525" t="str">
        <f>IF(AND(OR(LEFT(TH!L591,2)="15",LEFT(TH!M591,2)="15"),TK!$E$7=TH!F591),"x","")</f>
        <v/>
      </c>
      <c r="X591" s="525" t="str">
        <f>IF(AND('341-CT'!$E$9=H591,OR(LEFT(L591,3)=$X$7,LEFT(M591,3)=$X$7)),"x","")</f>
        <v/>
      </c>
      <c r="Y591" s="525" t="str">
        <f>IF(OR(TH!L591=TH!$Y$7,M591=TH!$Y$7),"x","")</f>
        <v/>
      </c>
      <c r="Z591" s="525" t="str">
        <f>IF(AND(B591&lt;=NKC!$N$8,B591&gt;=NKC!$M$8),"x","")</f>
        <v/>
      </c>
      <c r="AA591" s="535"/>
      <c r="AB591" s="536"/>
    </row>
    <row r="592" spans="1:28" s="503" customFormat="1" ht="15.75" customHeight="1">
      <c r="A592" s="517" t="str">
        <f>IF(B592&lt;&gt;"",IF(AND(B592&gt;=_TM1,B592&lt;=_TM2,OR(TH!L592="1111",TH!M592="1111")),TH!D592,""),"")</f>
        <v/>
      </c>
      <c r="B592" s="531">
        <f t="shared" si="65"/>
        <v>6</v>
      </c>
      <c r="C592" s="315">
        <f t="shared" si="66"/>
        <v>42907</v>
      </c>
      <c r="D592" s="315" t="s">
        <v>461</v>
      </c>
      <c r="E592" s="288">
        <v>42907</v>
      </c>
      <c r="F592" s="249" t="s">
        <v>828</v>
      </c>
      <c r="G592" s="314" t="s">
        <v>440</v>
      </c>
      <c r="H592" s="621" t="s">
        <v>1276</v>
      </c>
      <c r="I592" s="307"/>
      <c r="J592" s="307"/>
      <c r="K592" s="532">
        <v>6845</v>
      </c>
      <c r="L592" s="533" t="s">
        <v>79</v>
      </c>
      <c r="M592" s="533" t="s">
        <v>24</v>
      </c>
      <c r="N592" s="525" t="str">
        <f>IF(AND('331-CT'!$E$7=TH!H592,OR(L592="331",M592="331")),"331",IF(AND(OR(L592="131",M592="131"),H592='131-CT'!$E$7),"131",""))</f>
        <v/>
      </c>
      <c r="O592" s="525" t="str">
        <f>IF(AND($B592&gt;='111'!$N$11,$B592&lt;='111'!$O$11,OR($L592=$O$7,$M592=$O$7)),"x","")</f>
        <v/>
      </c>
      <c r="P592" s="525" t="str">
        <f>IF(AND($L592=$O$7,$B592&lt;'111'!$N$11),"x","")</f>
        <v/>
      </c>
      <c r="Q592" s="525" t="str">
        <f>IF(AND($M592=$O$7,$B592&lt;'111'!$N$11),"x","")</f>
        <v/>
      </c>
      <c r="R592" s="525" t="str">
        <f>IF(ISERROR(FIND('112'!$M$9,G592,1)),"",IF((AND(FIND('112'!$M$9,G592,1)&gt;=1,$B592&gt;='112'!$N$8,$B592&lt;='112'!$O$8,OR($L592='112'!$I$6,$M592='112'!$I$6))),"x",""))</f>
        <v/>
      </c>
      <c r="S592" s="525" t="str">
        <f>IF(ISERROR(FIND('112'!$M$9,G592,1)),"",IF((AND(LEFT(G592,2)=LEFT('112'!$M$9,2),B592&lt;'112'!$N$8,$L592='112'!$I$6)),"x",""))</f>
        <v/>
      </c>
      <c r="T592" s="525" t="str">
        <f>IF(ISERROR(FIND('112'!$M$9,G592,1)),"",IF((AND(RIGHT(G592,2)=RIGHT('112'!$M$9,2),B592&lt;'112'!$N$8,$M592='112'!$I$6)),"x",""))</f>
        <v>x</v>
      </c>
      <c r="U592" s="525" t="str">
        <f>IF(AND(B592&gt;='IN-NX'!$P$3,B592&lt;='IN-NX'!$Q$3,'IN-NX'!$D$7=D592,OR(LEFT(L592,2)="15",AND(LEFT(M592,2)&lt;&gt;"15",LEFT(M592,2)&lt;&gt;"33"))),"x","")</f>
        <v/>
      </c>
      <c r="V592" s="525" t="str">
        <f>IF(AND(OR(LEFT(TH!L592,2)="15",LEFT(TH!M592,2)="15"),'152-CT'!$J$8=TH!F592),"x","")</f>
        <v/>
      </c>
      <c r="W592" s="525" t="str">
        <f>IF(AND(OR(LEFT(TH!L592,2)="15",LEFT(TH!M592,2)="15"),TK!$E$7=TH!F592),"x","")</f>
        <v/>
      </c>
      <c r="X592" s="525" t="str">
        <f>IF(AND('341-CT'!$E$9=H592,OR(LEFT(L592,3)=$X$7,LEFT(M592,3)=$X$7)),"x","")</f>
        <v/>
      </c>
      <c r="Y592" s="525" t="str">
        <f>IF(OR(TH!L592=TH!$Y$7,M592=TH!$Y$7),"x","")</f>
        <v/>
      </c>
      <c r="Z592" s="525" t="str">
        <f>IF(AND(B592&lt;=NKC!$N$8,B592&gt;=NKC!$M$8),"x","")</f>
        <v/>
      </c>
      <c r="AA592" s="535"/>
    </row>
    <row r="593" spans="1:28" s="503" customFormat="1" ht="15.75" customHeight="1">
      <c r="A593" s="517" t="str">
        <f>IF(B593&lt;&gt;"",IF(AND(B593&gt;=_TM1,B593&lt;=_TM2,OR(TH!L593="1111",TH!M593="1111")),TH!D593,""),"")</f>
        <v/>
      </c>
      <c r="B593" s="531">
        <f t="shared" si="65"/>
        <v>6</v>
      </c>
      <c r="C593" s="315">
        <f t="shared" si="66"/>
        <v>42907</v>
      </c>
      <c r="D593" s="315" t="s">
        <v>461</v>
      </c>
      <c r="E593" s="288">
        <v>42907</v>
      </c>
      <c r="F593" s="249" t="s">
        <v>828</v>
      </c>
      <c r="G593" s="314" t="s">
        <v>440</v>
      </c>
      <c r="H593" s="621" t="s">
        <v>1276</v>
      </c>
      <c r="I593" s="307"/>
      <c r="J593" s="307"/>
      <c r="K593" s="532">
        <v>1989589</v>
      </c>
      <c r="L593" s="533" t="s">
        <v>79</v>
      </c>
      <c r="M593" s="533" t="s">
        <v>24</v>
      </c>
      <c r="N593" s="525" t="str">
        <f>IF(AND('331-CT'!$E$7=TH!H593,OR(L593="331",M593="331")),"331",IF(AND(OR(L593="131",M593="131"),H593='131-CT'!$E$7),"131",""))</f>
        <v/>
      </c>
      <c r="O593" s="525" t="str">
        <f>IF(AND($B593&gt;='111'!$N$11,$B593&lt;='111'!$O$11,OR($L593=$O$7,$M593=$O$7)),"x","")</f>
        <v/>
      </c>
      <c r="P593" s="525" t="str">
        <f>IF(AND($L593=$O$7,$B593&lt;'111'!$N$11),"x","")</f>
        <v/>
      </c>
      <c r="Q593" s="525" t="str">
        <f>IF(AND($M593=$O$7,$B593&lt;'111'!$N$11),"x","")</f>
        <v/>
      </c>
      <c r="R593" s="525" t="str">
        <f>IF(ISERROR(FIND('112'!$M$9,G593,1)),"",IF((AND(FIND('112'!$M$9,G593,1)&gt;=1,$B593&gt;='112'!$N$8,$B593&lt;='112'!$O$8,OR($L593='112'!$I$6,$M593='112'!$I$6))),"x",""))</f>
        <v/>
      </c>
      <c r="S593" s="525" t="str">
        <f>IF(ISERROR(FIND('112'!$M$9,G593,1)),"",IF((AND(LEFT(G593,2)=LEFT('112'!$M$9,2),B593&lt;'112'!$N$8,$L593='112'!$I$6)),"x",""))</f>
        <v/>
      </c>
      <c r="T593" s="525" t="str">
        <f>IF(ISERROR(FIND('112'!$M$9,G593,1)),"",IF((AND(RIGHT(G593,2)=RIGHT('112'!$M$9,2),B593&lt;'112'!$N$8,$M593='112'!$I$6)),"x",""))</f>
        <v>x</v>
      </c>
      <c r="U593" s="525" t="str">
        <f>IF(AND(B593&gt;='IN-NX'!$P$3,B593&lt;='IN-NX'!$Q$3,'IN-NX'!$D$7=D593,OR(LEFT(L593,2)="15",AND(LEFT(M593,2)&lt;&gt;"15",LEFT(M593,2)&lt;&gt;"33"))),"x","")</f>
        <v/>
      </c>
      <c r="V593" s="525" t="str">
        <f>IF(AND(OR(LEFT(TH!L593,2)="15",LEFT(TH!M593,2)="15"),'152-CT'!$J$8=TH!F593),"x","")</f>
        <v/>
      </c>
      <c r="W593" s="525" t="str">
        <f>IF(AND(OR(LEFT(TH!L593,2)="15",LEFT(TH!M593,2)="15"),TK!$E$7=TH!F593),"x","")</f>
        <v/>
      </c>
      <c r="X593" s="525" t="str">
        <f>IF(AND('341-CT'!$E$9=H593,OR(LEFT(L593,3)=$X$7,LEFT(M593,3)=$X$7)),"x","")</f>
        <v/>
      </c>
      <c r="Y593" s="525" t="str">
        <f>IF(OR(TH!L593=TH!$Y$7,M593=TH!$Y$7),"x","")</f>
        <v/>
      </c>
      <c r="Z593" s="525" t="str">
        <f>IF(AND(B593&lt;=NKC!$N$8,B593&gt;=NKC!$M$8),"x","")</f>
        <v/>
      </c>
      <c r="AA593" s="535"/>
      <c r="AB593" s="536"/>
    </row>
    <row r="594" spans="1:28" s="503" customFormat="1" ht="15.75" customHeight="1">
      <c r="A594" s="517" t="str">
        <f>IF(B594&lt;&gt;"",IF(AND(B594&gt;=_TM1,B594&lt;=_TM2,OR(TH!L594="1111",TH!M594="1111")),TH!D594,""),"")</f>
        <v/>
      </c>
      <c r="B594" s="531">
        <f t="shared" si="65"/>
        <v>6</v>
      </c>
      <c r="C594" s="315">
        <f t="shared" si="66"/>
        <v>42907</v>
      </c>
      <c r="D594" s="315" t="s">
        <v>461</v>
      </c>
      <c r="E594" s="288">
        <v>42907</v>
      </c>
      <c r="F594" s="249" t="s">
        <v>829</v>
      </c>
      <c r="G594" s="314" t="s">
        <v>440</v>
      </c>
      <c r="H594" s="621" t="s">
        <v>1276</v>
      </c>
      <c r="I594" s="307"/>
      <c r="J594" s="307"/>
      <c r="K594" s="532">
        <v>11550000</v>
      </c>
      <c r="L594" s="534" t="s">
        <v>441</v>
      </c>
      <c r="M594" s="533" t="s">
        <v>24</v>
      </c>
      <c r="N594" s="525" t="str">
        <f>IF(AND('331-CT'!$E$7=TH!H594,OR(L594="331",M594="331")),"331",IF(AND(OR(L594="131",M594="131"),H594='131-CT'!$E$7),"131",""))</f>
        <v/>
      </c>
      <c r="O594" s="525" t="str">
        <f>IF(AND($B594&gt;='111'!$N$11,$B594&lt;='111'!$O$11,OR($L594=$O$7,$M594=$O$7)),"x","")</f>
        <v/>
      </c>
      <c r="P594" s="525" t="str">
        <f>IF(AND($L594=$O$7,$B594&lt;'111'!$N$11),"x","")</f>
        <v/>
      </c>
      <c r="Q594" s="525" t="str">
        <f>IF(AND($M594=$O$7,$B594&lt;'111'!$N$11),"x","")</f>
        <v/>
      </c>
      <c r="R594" s="525" t="str">
        <f>IF(ISERROR(FIND('112'!$M$9,G594,1)),"",IF((AND(FIND('112'!$M$9,G594,1)&gt;=1,$B594&gt;='112'!$N$8,$B594&lt;='112'!$O$8,OR($L594='112'!$I$6,$M594='112'!$I$6))),"x",""))</f>
        <v/>
      </c>
      <c r="S594" s="525" t="str">
        <f>IF(ISERROR(FIND('112'!$M$9,G594,1)),"",IF((AND(LEFT(G594,2)=LEFT('112'!$M$9,2),B594&lt;'112'!$N$8,$L594='112'!$I$6)),"x",""))</f>
        <v/>
      </c>
      <c r="T594" s="525" t="str">
        <f>IF(ISERROR(FIND('112'!$M$9,G594,1)),"",IF((AND(RIGHT(G594,2)=RIGHT('112'!$M$9,2),B594&lt;'112'!$N$8,$M594='112'!$I$6)),"x",""))</f>
        <v>x</v>
      </c>
      <c r="U594" s="525" t="str">
        <f>IF(AND(B594&gt;='IN-NX'!$P$3,B594&lt;='IN-NX'!$Q$3,'IN-NX'!$D$7=D594,OR(LEFT(L594,2)="15",AND(LEFT(M594,2)&lt;&gt;"15",LEFT(M594,2)&lt;&gt;"33"))),"x","")</f>
        <v/>
      </c>
      <c r="V594" s="525" t="str">
        <f>IF(AND(OR(LEFT(TH!L594,2)="15",LEFT(TH!M594,2)="15"),'152-CT'!$J$8=TH!F594),"x","")</f>
        <v/>
      </c>
      <c r="W594" s="525" t="str">
        <f>IF(AND(OR(LEFT(TH!L594,2)="15",LEFT(TH!M594,2)="15"),TK!$E$7=TH!F594),"x","")</f>
        <v/>
      </c>
      <c r="X594" s="525" t="str">
        <f>IF(AND('341-CT'!$E$9=H594,OR(LEFT(L594,3)=$X$7,LEFT(M594,3)=$X$7)),"x","")</f>
        <v/>
      </c>
      <c r="Y594" s="525" t="str">
        <f>IF(OR(TH!L594=TH!$Y$7,M594=TH!$Y$7),"x","")</f>
        <v/>
      </c>
      <c r="Z594" s="525" t="str">
        <f>IF(AND(B594&lt;=NKC!$N$8,B594&gt;=NKC!$M$8),"x","")</f>
        <v/>
      </c>
      <c r="AA594" s="535"/>
    </row>
    <row r="595" spans="1:28" s="503" customFormat="1" ht="15.75" customHeight="1">
      <c r="A595" s="517" t="str">
        <f>IF(B595&lt;&gt;"",IF(AND(B595&gt;=_TM1,B595&lt;=_TM2,OR(TH!L595="1111",TH!M595="1111")),TH!D595,""),"")</f>
        <v/>
      </c>
      <c r="B595" s="531">
        <f t="shared" si="65"/>
        <v>6</v>
      </c>
      <c r="C595" s="315">
        <f t="shared" si="66"/>
        <v>42907</v>
      </c>
      <c r="D595" s="315" t="s">
        <v>461</v>
      </c>
      <c r="E595" s="288">
        <v>42907</v>
      </c>
      <c r="F595" s="249" t="s">
        <v>828</v>
      </c>
      <c r="G595" s="314" t="s">
        <v>440</v>
      </c>
      <c r="H595" s="621" t="s">
        <v>1272</v>
      </c>
      <c r="I595" s="307"/>
      <c r="J595" s="307"/>
      <c r="K595" s="532">
        <v>3213</v>
      </c>
      <c r="L595" s="533" t="s">
        <v>79</v>
      </c>
      <c r="M595" s="533" t="s">
        <v>24</v>
      </c>
      <c r="N595" s="525" t="str">
        <f>IF(AND('331-CT'!$E$7=TH!H595,OR(L595="331",M595="331")),"331",IF(AND(OR(L595="131",M595="131"),H595='131-CT'!$E$7),"131",""))</f>
        <v/>
      </c>
      <c r="O595" s="525" t="str">
        <f>IF(AND($B595&gt;='111'!$N$11,$B595&lt;='111'!$O$11,OR($L595=$O$7,$M595=$O$7)),"x","")</f>
        <v/>
      </c>
      <c r="P595" s="525" t="str">
        <f>IF(AND($L595=$O$7,$B595&lt;'111'!$N$11),"x","")</f>
        <v/>
      </c>
      <c r="Q595" s="525" t="str">
        <f>IF(AND($M595=$O$7,$B595&lt;'111'!$N$11),"x","")</f>
        <v/>
      </c>
      <c r="R595" s="525" t="str">
        <f>IF(ISERROR(FIND('112'!$M$9,G595,1)),"",IF((AND(FIND('112'!$M$9,G595,1)&gt;=1,$B595&gt;='112'!$N$8,$B595&lt;='112'!$O$8,OR($L595='112'!$I$6,$M595='112'!$I$6))),"x",""))</f>
        <v/>
      </c>
      <c r="S595" s="525" t="str">
        <f>IF(ISERROR(FIND('112'!$M$9,G595,1)),"",IF((AND(LEFT(G595,2)=LEFT('112'!$M$9,2),B595&lt;'112'!$N$8,$L595='112'!$I$6)),"x",""))</f>
        <v/>
      </c>
      <c r="T595" s="525" t="str">
        <f>IF(ISERROR(FIND('112'!$M$9,G595,1)),"",IF((AND(RIGHT(G595,2)=RIGHT('112'!$M$9,2),B595&lt;'112'!$N$8,$M595='112'!$I$6)),"x",""))</f>
        <v>x</v>
      </c>
      <c r="U595" s="525" t="str">
        <f>IF(AND(B595&gt;='IN-NX'!$P$3,B595&lt;='IN-NX'!$Q$3,'IN-NX'!$D$7=D595,OR(LEFT(L595,2)="15",AND(LEFT(M595,2)&lt;&gt;"15",LEFT(M595,2)&lt;&gt;"33"))),"x","")</f>
        <v/>
      </c>
      <c r="V595" s="525" t="str">
        <f>IF(AND(OR(LEFT(TH!L595,2)="15",LEFT(TH!M595,2)="15"),'152-CT'!$J$8=TH!F595),"x","")</f>
        <v/>
      </c>
      <c r="W595" s="525" t="str">
        <f>IF(AND(OR(LEFT(TH!L595,2)="15",LEFT(TH!M595,2)="15"),TK!$E$7=TH!F595),"x","")</f>
        <v/>
      </c>
      <c r="X595" s="525" t="str">
        <f>IF(AND('341-CT'!$E$9=H595,OR(LEFT(L595,3)=$X$7,LEFT(M595,3)=$X$7)),"x","")</f>
        <v/>
      </c>
      <c r="Y595" s="525" t="str">
        <f>IF(OR(TH!L595=TH!$Y$7,M595=TH!$Y$7),"x","")</f>
        <v/>
      </c>
      <c r="Z595" s="525" t="str">
        <f>IF(AND(B595&lt;=NKC!$N$8,B595&gt;=NKC!$M$8),"x","")</f>
        <v/>
      </c>
      <c r="AA595" s="535"/>
      <c r="AB595" s="536"/>
    </row>
    <row r="596" spans="1:28" s="503" customFormat="1" ht="15.75" customHeight="1">
      <c r="A596" s="517" t="str">
        <f>IF(B596&lt;&gt;"",IF(AND(B596&gt;=_TM1,B596&lt;=_TM2,OR(TH!L596="1111",TH!M596="1111")),TH!D596,""),"")</f>
        <v/>
      </c>
      <c r="B596" s="531">
        <f t="shared" si="65"/>
        <v>6</v>
      </c>
      <c r="C596" s="315">
        <f t="shared" si="66"/>
        <v>42907</v>
      </c>
      <c r="D596" s="315" t="s">
        <v>461</v>
      </c>
      <c r="E596" s="288">
        <v>42907</v>
      </c>
      <c r="F596" s="249" t="s">
        <v>828</v>
      </c>
      <c r="G596" s="314" t="s">
        <v>440</v>
      </c>
      <c r="H596" s="621" t="s">
        <v>1272</v>
      </c>
      <c r="I596" s="307"/>
      <c r="J596" s="307"/>
      <c r="K596" s="532">
        <v>6426</v>
      </c>
      <c r="L596" s="533" t="s">
        <v>79</v>
      </c>
      <c r="M596" s="533" t="s">
        <v>24</v>
      </c>
      <c r="N596" s="525" t="str">
        <f>IF(AND('331-CT'!$E$7=TH!H596,OR(L596="331",M596="331")),"331",IF(AND(OR(L596="131",M596="131"),H596='131-CT'!$E$7),"131",""))</f>
        <v/>
      </c>
      <c r="O596" s="525" t="str">
        <f>IF(AND($B596&gt;='111'!$N$11,$B596&lt;='111'!$O$11,OR($L596=$O$7,$M596=$O$7)),"x","")</f>
        <v/>
      </c>
      <c r="P596" s="525" t="str">
        <f>IF(AND($L596=$O$7,$B596&lt;'111'!$N$11),"x","")</f>
        <v/>
      </c>
      <c r="Q596" s="525" t="str">
        <f>IF(AND($M596=$O$7,$B596&lt;'111'!$N$11),"x","")</f>
        <v/>
      </c>
      <c r="R596" s="525" t="str">
        <f>IF(ISERROR(FIND('112'!$M$9,G596,1)),"",IF((AND(FIND('112'!$M$9,G596,1)&gt;=1,$B596&gt;='112'!$N$8,$B596&lt;='112'!$O$8,OR($L596='112'!$I$6,$M596='112'!$I$6))),"x",""))</f>
        <v/>
      </c>
      <c r="S596" s="525" t="str">
        <f>IF(ISERROR(FIND('112'!$M$9,G596,1)),"",IF((AND(LEFT(G596,2)=LEFT('112'!$M$9,2),B596&lt;'112'!$N$8,$L596='112'!$I$6)),"x",""))</f>
        <v/>
      </c>
      <c r="T596" s="525" t="str">
        <f>IF(ISERROR(FIND('112'!$M$9,G596,1)),"",IF((AND(RIGHT(G596,2)=RIGHT('112'!$M$9,2),B596&lt;'112'!$N$8,$M596='112'!$I$6)),"x",""))</f>
        <v>x</v>
      </c>
      <c r="U596" s="525" t="str">
        <f>IF(AND(B596&gt;='IN-NX'!$P$3,B596&lt;='IN-NX'!$Q$3,'IN-NX'!$D$7=D596,OR(LEFT(L596,2)="15",AND(LEFT(M596,2)&lt;&gt;"15",LEFT(M596,2)&lt;&gt;"33"))),"x","")</f>
        <v/>
      </c>
      <c r="V596" s="525" t="str">
        <f>IF(AND(OR(LEFT(TH!L596,2)="15",LEFT(TH!M596,2)="15"),'152-CT'!$J$8=TH!F596),"x","")</f>
        <v/>
      </c>
      <c r="W596" s="525" t="str">
        <f>IF(AND(OR(LEFT(TH!L596,2)="15",LEFT(TH!M596,2)="15"),TK!$E$7=TH!F596),"x","")</f>
        <v/>
      </c>
      <c r="X596" s="525" t="str">
        <f>IF(AND('341-CT'!$E$9=H596,OR(LEFT(L596,3)=$X$7,LEFT(M596,3)=$X$7)),"x","")</f>
        <v/>
      </c>
      <c r="Y596" s="525" t="str">
        <f>IF(OR(TH!L596=TH!$Y$7,M596=TH!$Y$7),"x","")</f>
        <v/>
      </c>
      <c r="Z596" s="525" t="str">
        <f>IF(AND(B596&lt;=NKC!$N$8,B596&gt;=NKC!$M$8),"x","")</f>
        <v/>
      </c>
      <c r="AA596" s="535"/>
    </row>
    <row r="597" spans="1:28" s="503" customFormat="1" ht="15.75" customHeight="1">
      <c r="A597" s="517" t="str">
        <f>IF(B597&lt;&gt;"",IF(AND(B597&gt;=_TM1,B597&lt;=_TM2,OR(TH!L597="1111",TH!M597="1111")),TH!D597,""),"")</f>
        <v/>
      </c>
      <c r="B597" s="531">
        <f t="shared" si="65"/>
        <v>6</v>
      </c>
      <c r="C597" s="315">
        <f t="shared" si="66"/>
        <v>42907</v>
      </c>
      <c r="D597" s="315" t="s">
        <v>461</v>
      </c>
      <c r="E597" s="288">
        <v>42907</v>
      </c>
      <c r="F597" s="249" t="s">
        <v>828</v>
      </c>
      <c r="G597" s="314" t="s">
        <v>440</v>
      </c>
      <c r="H597" s="621" t="s">
        <v>1272</v>
      </c>
      <c r="I597" s="307"/>
      <c r="J597" s="307"/>
      <c r="K597" s="532">
        <v>1571610</v>
      </c>
      <c r="L597" s="533" t="s">
        <v>79</v>
      </c>
      <c r="M597" s="533" t="s">
        <v>24</v>
      </c>
      <c r="N597" s="525" t="str">
        <f>IF(AND('331-CT'!$E$7=TH!H597,OR(L597="331",M597="331")),"331",IF(AND(OR(L597="131",M597="131"),H597='131-CT'!$E$7),"131",""))</f>
        <v/>
      </c>
      <c r="O597" s="525" t="str">
        <f>IF(AND($B597&gt;='111'!$N$11,$B597&lt;='111'!$O$11,OR($L597=$O$7,$M597=$O$7)),"x","")</f>
        <v/>
      </c>
      <c r="P597" s="525" t="str">
        <f>IF(AND($L597=$O$7,$B597&lt;'111'!$N$11),"x","")</f>
        <v/>
      </c>
      <c r="Q597" s="525" t="str">
        <f>IF(AND($M597=$O$7,$B597&lt;'111'!$N$11),"x","")</f>
        <v/>
      </c>
      <c r="R597" s="525" t="str">
        <f>IF(ISERROR(FIND('112'!$M$9,G597,1)),"",IF((AND(FIND('112'!$M$9,G597,1)&gt;=1,$B597&gt;='112'!$N$8,$B597&lt;='112'!$O$8,OR($L597='112'!$I$6,$M597='112'!$I$6))),"x",""))</f>
        <v/>
      </c>
      <c r="S597" s="525" t="str">
        <f>IF(ISERROR(FIND('112'!$M$9,G597,1)),"",IF((AND(LEFT(G597,2)=LEFT('112'!$M$9,2),B597&lt;'112'!$N$8,$L597='112'!$I$6)),"x",""))</f>
        <v/>
      </c>
      <c r="T597" s="525" t="str">
        <f>IF(ISERROR(FIND('112'!$M$9,G597,1)),"",IF((AND(RIGHT(G597,2)=RIGHT('112'!$M$9,2),B597&lt;'112'!$N$8,$M597='112'!$I$6)),"x",""))</f>
        <v>x</v>
      </c>
      <c r="U597" s="525" t="str">
        <f>IF(AND(B597&gt;='IN-NX'!$P$3,B597&lt;='IN-NX'!$Q$3,'IN-NX'!$D$7=D597,OR(LEFT(L597,2)="15",AND(LEFT(M597,2)&lt;&gt;"15",LEFT(M597,2)&lt;&gt;"33"))),"x","")</f>
        <v/>
      </c>
      <c r="V597" s="525" t="str">
        <f>IF(AND(OR(LEFT(TH!L597,2)="15",LEFT(TH!M597,2)="15"),'152-CT'!$J$8=TH!F597),"x","")</f>
        <v/>
      </c>
      <c r="W597" s="525" t="str">
        <f>IF(AND(OR(LEFT(TH!L597,2)="15",LEFT(TH!M597,2)="15"),TK!$E$7=TH!F597),"x","")</f>
        <v/>
      </c>
      <c r="X597" s="525" t="str">
        <f>IF(AND('341-CT'!$E$9=H597,OR(LEFT(L597,3)=$X$7,LEFT(M597,3)=$X$7)),"x","")</f>
        <v/>
      </c>
      <c r="Y597" s="525" t="str">
        <f>IF(OR(TH!L597=TH!$Y$7,M597=TH!$Y$7),"x","")</f>
        <v/>
      </c>
      <c r="Z597" s="525" t="str">
        <f>IF(AND(B597&lt;=NKC!$N$8,B597&gt;=NKC!$M$8),"x","")</f>
        <v/>
      </c>
      <c r="AA597" s="535"/>
      <c r="AB597" s="536"/>
    </row>
    <row r="598" spans="1:28" s="503" customFormat="1" ht="15.75" customHeight="1">
      <c r="A598" s="517" t="str">
        <f>IF(B598&lt;&gt;"",IF(AND(B598&gt;=_TM1,B598&lt;=_TM2,OR(TH!L598="1111",TH!M598="1111")),TH!D598,""),"")</f>
        <v/>
      </c>
      <c r="B598" s="531">
        <f t="shared" si="65"/>
        <v>6</v>
      </c>
      <c r="C598" s="315">
        <f t="shared" si="66"/>
        <v>42907</v>
      </c>
      <c r="D598" s="315" t="s">
        <v>461</v>
      </c>
      <c r="E598" s="288">
        <v>42907</v>
      </c>
      <c r="F598" s="249" t="s">
        <v>829</v>
      </c>
      <c r="G598" s="314" t="s">
        <v>440</v>
      </c>
      <c r="H598" s="621" t="s">
        <v>1272</v>
      </c>
      <c r="I598" s="307"/>
      <c r="J598" s="307"/>
      <c r="K598" s="532">
        <v>11140000</v>
      </c>
      <c r="L598" s="534" t="s">
        <v>441</v>
      </c>
      <c r="M598" s="533" t="s">
        <v>24</v>
      </c>
      <c r="N598" s="525" t="str">
        <f>IF(AND('331-CT'!$E$7=TH!H598,OR(L598="331",M598="331")),"331",IF(AND(OR(L598="131",M598="131"),H598='131-CT'!$E$7),"131",""))</f>
        <v/>
      </c>
      <c r="O598" s="525" t="str">
        <f>IF(AND($B598&gt;='111'!$N$11,$B598&lt;='111'!$O$11,OR($L598=$O$7,$M598=$O$7)),"x","")</f>
        <v/>
      </c>
      <c r="P598" s="525" t="str">
        <f>IF(AND($L598=$O$7,$B598&lt;'111'!$N$11),"x","")</f>
        <v/>
      </c>
      <c r="Q598" s="525" t="str">
        <f>IF(AND($M598=$O$7,$B598&lt;'111'!$N$11),"x","")</f>
        <v/>
      </c>
      <c r="R598" s="525" t="str">
        <f>IF(ISERROR(FIND('112'!$M$9,G598,1)),"",IF((AND(FIND('112'!$M$9,G598,1)&gt;=1,$B598&gt;='112'!$N$8,$B598&lt;='112'!$O$8,OR($L598='112'!$I$6,$M598='112'!$I$6))),"x",""))</f>
        <v/>
      </c>
      <c r="S598" s="525" t="str">
        <f>IF(ISERROR(FIND('112'!$M$9,G598,1)),"",IF((AND(LEFT(G598,2)=LEFT('112'!$M$9,2),B598&lt;'112'!$N$8,$L598='112'!$I$6)),"x",""))</f>
        <v/>
      </c>
      <c r="T598" s="525" t="str">
        <f>IF(ISERROR(FIND('112'!$M$9,G598,1)),"",IF((AND(RIGHT(G598,2)=RIGHT('112'!$M$9,2),B598&lt;'112'!$N$8,$M598='112'!$I$6)),"x",""))</f>
        <v>x</v>
      </c>
      <c r="U598" s="525" t="str">
        <f>IF(AND(B598&gt;='IN-NX'!$P$3,B598&lt;='IN-NX'!$Q$3,'IN-NX'!$D$7=D598,OR(LEFT(L598,2)="15",AND(LEFT(M598,2)&lt;&gt;"15",LEFT(M598,2)&lt;&gt;"33"))),"x","")</f>
        <v/>
      </c>
      <c r="V598" s="525" t="str">
        <f>IF(AND(OR(LEFT(TH!L598,2)="15",LEFT(TH!M598,2)="15"),'152-CT'!$J$8=TH!F598),"x","")</f>
        <v/>
      </c>
      <c r="W598" s="525" t="str">
        <f>IF(AND(OR(LEFT(TH!L598,2)="15",LEFT(TH!M598,2)="15"),TK!$E$7=TH!F598),"x","")</f>
        <v/>
      </c>
      <c r="X598" s="525" t="str">
        <f>IF(AND('341-CT'!$E$9=H598,OR(LEFT(L598,3)=$X$7,LEFT(M598,3)=$X$7)),"x","")</f>
        <v/>
      </c>
      <c r="Y598" s="525" t="str">
        <f>IF(OR(TH!L598=TH!$Y$7,M598=TH!$Y$7),"x","")</f>
        <v/>
      </c>
      <c r="Z598" s="525" t="str">
        <f>IF(AND(B598&lt;=NKC!$N$8,B598&gt;=NKC!$M$8),"x","")</f>
        <v/>
      </c>
      <c r="AA598" s="535"/>
    </row>
    <row r="599" spans="1:28" s="503" customFormat="1" ht="15.75" customHeight="1">
      <c r="A599" s="517" t="str">
        <f>IF(B599&lt;&gt;"",IF(AND(B599&gt;=_TM1,B599&lt;=_TM2,OR(TH!L599="1111",TH!M599="1111")),TH!D599,""),"")</f>
        <v/>
      </c>
      <c r="B599" s="531">
        <f t="shared" si="65"/>
        <v>6</v>
      </c>
      <c r="C599" s="315">
        <f t="shared" si="66"/>
        <v>42908</v>
      </c>
      <c r="D599" s="315" t="s">
        <v>456</v>
      </c>
      <c r="E599" s="288">
        <v>42908</v>
      </c>
      <c r="F599" s="248" t="s">
        <v>809</v>
      </c>
      <c r="G599" s="314" t="s">
        <v>440</v>
      </c>
      <c r="H599" s="473" t="s">
        <v>460</v>
      </c>
      <c r="I599" s="307"/>
      <c r="J599" s="307"/>
      <c r="K599" s="532">
        <v>200000</v>
      </c>
      <c r="L599" s="533" t="s">
        <v>24</v>
      </c>
      <c r="M599" s="533" t="s">
        <v>45</v>
      </c>
      <c r="N599" s="525" t="str">
        <f>IF(AND('331-CT'!$E$7=TH!H599,OR(L599="331",M599="331")),"331",IF(AND(OR(L599="131",M599="131"),H599='131-CT'!$E$7),"131",""))</f>
        <v/>
      </c>
      <c r="O599" s="525" t="str">
        <f>IF(AND($B599&gt;='111'!$N$11,$B599&lt;='111'!$O$11,OR($L599=$O$7,$M599=$O$7)),"x","")</f>
        <v/>
      </c>
      <c r="P599" s="525" t="str">
        <f>IF(AND($L599=$O$7,$B599&lt;'111'!$N$11),"x","")</f>
        <v/>
      </c>
      <c r="Q599" s="525" t="str">
        <f>IF(AND($M599=$O$7,$B599&lt;'111'!$N$11),"x","")</f>
        <v>x</v>
      </c>
      <c r="R599" s="525" t="str">
        <f>IF(ISERROR(FIND('112'!$M$9,G599,1)),"",IF((AND(FIND('112'!$M$9,G599,1)&gt;=1,$B599&gt;='112'!$N$8,$B599&lt;='112'!$O$8,OR($L599='112'!$I$6,$M599='112'!$I$6))),"x",""))</f>
        <v/>
      </c>
      <c r="S599" s="525" t="str">
        <f>IF(ISERROR(FIND('112'!$M$9,G599,1)),"",IF((AND(LEFT(G599,2)=LEFT('112'!$M$9,2),B599&lt;'112'!$N$8,$L599='112'!$I$6)),"x",""))</f>
        <v>x</v>
      </c>
      <c r="T599" s="525" t="str">
        <f>IF(ISERROR(FIND('112'!$M$9,G599,1)),"",IF((AND(RIGHT(G599,2)=RIGHT('112'!$M$9,2),B599&lt;'112'!$N$8,$M599='112'!$I$6)),"x",""))</f>
        <v/>
      </c>
      <c r="U599" s="525" t="str">
        <f>IF(AND(B599&gt;='IN-NX'!$P$3,B599&lt;='IN-NX'!$Q$3,'IN-NX'!$D$7=D599,OR(LEFT(L599,2)="15",AND(LEFT(M599,2)&lt;&gt;"15",LEFT(M599,2)&lt;&gt;"33"))),"x","")</f>
        <v/>
      </c>
      <c r="V599" s="525" t="str">
        <f>IF(AND(OR(LEFT(TH!L599,2)="15",LEFT(TH!M599,2)="15"),'152-CT'!$J$8=TH!F599),"x","")</f>
        <v/>
      </c>
      <c r="W599" s="525" t="str">
        <f>IF(AND(OR(LEFT(TH!L599,2)="15",LEFT(TH!M599,2)="15"),TK!$E$7=TH!F599),"x","")</f>
        <v/>
      </c>
      <c r="X599" s="525" t="str">
        <f>IF(AND('341-CT'!$E$9=H599,OR(LEFT(L599,3)=$X$7,LEFT(M599,3)=$X$7)),"x","")</f>
        <v/>
      </c>
      <c r="Y599" s="525" t="str">
        <f>IF(OR(TH!L599=TH!$Y$7,M599=TH!$Y$7),"x","")</f>
        <v/>
      </c>
      <c r="Z599" s="525" t="str">
        <f>IF(AND(B599&lt;=NKC!$N$8,B599&gt;=NKC!$M$8),"x","")</f>
        <v/>
      </c>
      <c r="AA599" s="535"/>
    </row>
    <row r="600" spans="1:28" s="503" customFormat="1" ht="15.75" customHeight="1">
      <c r="A600" s="517" t="str">
        <f>IF(B600&lt;&gt;"",IF(AND(B600&gt;=_TM1,B600&lt;=_TM2,OR(TH!L600="1111",TH!M600="1111")),TH!D600,""),"")</f>
        <v/>
      </c>
      <c r="B600" s="531">
        <f t="shared" si="65"/>
        <v>6</v>
      </c>
      <c r="C600" s="315">
        <f t="shared" si="66"/>
        <v>42908</v>
      </c>
      <c r="D600" s="315" t="s">
        <v>456</v>
      </c>
      <c r="E600" s="288">
        <v>42908</v>
      </c>
      <c r="F600" s="248" t="s">
        <v>808</v>
      </c>
      <c r="G600" s="314" t="s">
        <v>440</v>
      </c>
      <c r="H600" s="472" t="s">
        <v>1266</v>
      </c>
      <c r="I600" s="307"/>
      <c r="J600" s="307"/>
      <c r="K600" s="532">
        <v>84000000</v>
      </c>
      <c r="L600" s="533" t="s">
        <v>24</v>
      </c>
      <c r="M600" s="533" t="s">
        <v>441</v>
      </c>
      <c r="N600" s="525" t="str">
        <f>IF(AND('331-CT'!$E$7=TH!H600,OR(L600="331",M600="331")),"331",IF(AND(OR(L600="131",M600="131"),H600='131-CT'!$E$7),"131",""))</f>
        <v/>
      </c>
      <c r="O600" s="525" t="str">
        <f>IF(AND($B600&gt;='111'!$N$11,$B600&lt;='111'!$O$11,OR($L600=$O$7,$M600=$O$7)),"x","")</f>
        <v/>
      </c>
      <c r="P600" s="525" t="str">
        <f>IF(AND($L600=$O$7,$B600&lt;'111'!$N$11),"x","")</f>
        <v/>
      </c>
      <c r="Q600" s="525" t="str">
        <f>IF(AND($M600=$O$7,$B600&lt;'111'!$N$11),"x","")</f>
        <v/>
      </c>
      <c r="R600" s="525" t="str">
        <f>IF(ISERROR(FIND('112'!$M$9,G600,1)),"",IF((AND(FIND('112'!$M$9,G600,1)&gt;=1,$B600&gt;='112'!$N$8,$B600&lt;='112'!$O$8,OR($L600='112'!$I$6,$M600='112'!$I$6))),"x",""))</f>
        <v/>
      </c>
      <c r="S600" s="525" t="str">
        <f>IF(ISERROR(FIND('112'!$M$9,G600,1)),"",IF((AND(LEFT(G600,2)=LEFT('112'!$M$9,2),B600&lt;'112'!$N$8,$L600='112'!$I$6)),"x",""))</f>
        <v>x</v>
      </c>
      <c r="T600" s="525" t="str">
        <f>IF(ISERROR(FIND('112'!$M$9,G600,1)),"",IF((AND(RIGHT(G600,2)=RIGHT('112'!$M$9,2),B600&lt;'112'!$N$8,$M600='112'!$I$6)),"x",""))</f>
        <v/>
      </c>
      <c r="U600" s="525" t="str">
        <f>IF(AND(B600&gt;='IN-NX'!$P$3,B600&lt;='IN-NX'!$Q$3,'IN-NX'!$D$7=D600,OR(LEFT(L600,2)="15",AND(LEFT(M600,2)&lt;&gt;"15",LEFT(M600,2)&lt;&gt;"33"))),"x","")</f>
        <v/>
      </c>
      <c r="V600" s="525" t="str">
        <f>IF(AND(OR(LEFT(TH!L600,2)="15",LEFT(TH!M600,2)="15"),'152-CT'!$J$8=TH!F600),"x","")</f>
        <v/>
      </c>
      <c r="W600" s="525" t="str">
        <f>IF(AND(OR(LEFT(TH!L600,2)="15",LEFT(TH!M600,2)="15"),TK!$E$7=TH!F600),"x","")</f>
        <v/>
      </c>
      <c r="X600" s="525" t="str">
        <f>IF(AND('341-CT'!$E$9=H600,OR(LEFT(L600,3)=$X$7,LEFT(M600,3)=$X$7)),"x","")</f>
        <v/>
      </c>
      <c r="Y600" s="525" t="str">
        <f>IF(OR(TH!L600=TH!$Y$7,M600=TH!$Y$7),"x","")</f>
        <v/>
      </c>
      <c r="Z600" s="525" t="str">
        <f>IF(AND(B600&lt;=NKC!$N$8,B600&gt;=NKC!$M$8),"x","")</f>
        <v/>
      </c>
      <c r="AA600" s="535"/>
    </row>
    <row r="601" spans="1:28" s="503" customFormat="1" ht="15.75" customHeight="1">
      <c r="A601" s="517" t="str">
        <f>IF(B601&lt;&gt;"",IF(AND(B601&gt;=_TM1,B601&lt;=_TM2,OR(TH!L601="1111",TH!M601="1111")),TH!D601,""),"")</f>
        <v/>
      </c>
      <c r="B601" s="531">
        <f t="shared" si="65"/>
        <v>6</v>
      </c>
      <c r="C601" s="315">
        <f t="shared" si="66"/>
        <v>42908</v>
      </c>
      <c r="D601" s="315" t="s">
        <v>461</v>
      </c>
      <c r="E601" s="288">
        <v>42908</v>
      </c>
      <c r="F601" s="249" t="s">
        <v>827</v>
      </c>
      <c r="G601" s="314" t="s">
        <v>440</v>
      </c>
      <c r="H601" s="473" t="s">
        <v>460</v>
      </c>
      <c r="I601" s="307"/>
      <c r="J601" s="307"/>
      <c r="K601" s="532">
        <v>3000000</v>
      </c>
      <c r="L601" s="533" t="s">
        <v>45</v>
      </c>
      <c r="M601" s="533" t="s">
        <v>24</v>
      </c>
      <c r="N601" s="525" t="str">
        <f>IF(AND('331-CT'!$E$7=TH!H601,OR(L601="331",M601="331")),"331",IF(AND(OR(L601="131",M601="131"),H601='131-CT'!$E$7),"131",""))</f>
        <v/>
      </c>
      <c r="O601" s="525" t="str">
        <f>IF(AND($B601&gt;='111'!$N$11,$B601&lt;='111'!$O$11,OR($L601=$O$7,$M601=$O$7)),"x","")</f>
        <v/>
      </c>
      <c r="P601" s="525" t="str">
        <f>IF(AND($L601=$O$7,$B601&lt;'111'!$N$11),"x","")</f>
        <v>x</v>
      </c>
      <c r="Q601" s="525" t="str">
        <f>IF(AND($M601=$O$7,$B601&lt;'111'!$N$11),"x","")</f>
        <v/>
      </c>
      <c r="R601" s="525" t="str">
        <f>IF(ISERROR(FIND('112'!$M$9,G601,1)),"",IF((AND(FIND('112'!$M$9,G601,1)&gt;=1,$B601&gt;='112'!$N$8,$B601&lt;='112'!$O$8,OR($L601='112'!$I$6,$M601='112'!$I$6))),"x",""))</f>
        <v/>
      </c>
      <c r="S601" s="525" t="str">
        <f>IF(ISERROR(FIND('112'!$M$9,G601,1)),"",IF((AND(LEFT(G601,2)=LEFT('112'!$M$9,2),B601&lt;'112'!$N$8,$L601='112'!$I$6)),"x",""))</f>
        <v/>
      </c>
      <c r="T601" s="525" t="str">
        <f>IF(ISERROR(FIND('112'!$M$9,G601,1)),"",IF((AND(RIGHT(G601,2)=RIGHT('112'!$M$9,2),B601&lt;'112'!$N$8,$M601='112'!$I$6)),"x",""))</f>
        <v>x</v>
      </c>
      <c r="U601" s="525" t="str">
        <f>IF(AND(B601&gt;='IN-NX'!$P$3,B601&lt;='IN-NX'!$Q$3,'IN-NX'!$D$7=D601,OR(LEFT(L601,2)="15",AND(LEFT(M601,2)&lt;&gt;"15",LEFT(M601,2)&lt;&gt;"33"))),"x","")</f>
        <v/>
      </c>
      <c r="V601" s="525" t="str">
        <f>IF(AND(OR(LEFT(TH!L601,2)="15",LEFT(TH!M601,2)="15"),'152-CT'!$J$8=TH!F601),"x","")</f>
        <v/>
      </c>
      <c r="W601" s="525" t="str">
        <f>IF(AND(OR(LEFT(TH!L601,2)="15",LEFT(TH!M601,2)="15"),TK!$E$7=TH!F601),"x","")</f>
        <v/>
      </c>
      <c r="X601" s="525" t="str">
        <f>IF(AND('341-CT'!$E$9=H601,OR(LEFT(L601,3)=$X$7,LEFT(M601,3)=$X$7)),"x","")</f>
        <v/>
      </c>
      <c r="Y601" s="525" t="str">
        <f>IF(OR(TH!L601=TH!$Y$7,M601=TH!$Y$7),"x","")</f>
        <v/>
      </c>
      <c r="Z601" s="525" t="str">
        <f>IF(AND(B601&lt;=NKC!$N$8,B601&gt;=NKC!$M$8),"x","")</f>
        <v/>
      </c>
      <c r="AA601" s="535"/>
      <c r="AB601" s="536"/>
    </row>
    <row r="602" spans="1:28" s="503" customFormat="1" ht="15.75" customHeight="1">
      <c r="A602" s="517" t="str">
        <f>IF(B602&lt;&gt;"",IF(AND(B602&gt;=_TM1,B602&lt;=_TM2,OR(TH!L602="1111",TH!M602="1111")),TH!D602,""),"")</f>
        <v/>
      </c>
      <c r="B602" s="531">
        <f t="shared" si="65"/>
        <v>6</v>
      </c>
      <c r="C602" s="315">
        <f t="shared" si="66"/>
        <v>42908</v>
      </c>
      <c r="D602" s="315" t="s">
        <v>461</v>
      </c>
      <c r="E602" s="288">
        <v>42908</v>
      </c>
      <c r="F602" s="248" t="s">
        <v>1280</v>
      </c>
      <c r="G602" s="314" t="s">
        <v>440</v>
      </c>
      <c r="H602" s="472"/>
      <c r="I602" s="307"/>
      <c r="J602" s="307"/>
      <c r="K602" s="532">
        <v>10000</v>
      </c>
      <c r="L602" s="533" t="s">
        <v>81</v>
      </c>
      <c r="M602" s="533" t="s">
        <v>24</v>
      </c>
      <c r="N602" s="525" t="str">
        <f>IF(AND('331-CT'!$E$7=TH!H602,OR(L602="331",M602="331")),"331",IF(AND(OR(L602="131",M602="131"),H602='131-CT'!$E$7),"131",""))</f>
        <v/>
      </c>
      <c r="O602" s="525" t="str">
        <f>IF(AND($B602&gt;='111'!$N$11,$B602&lt;='111'!$O$11,OR($L602=$O$7,$M602=$O$7)),"x","")</f>
        <v/>
      </c>
      <c r="P602" s="525" t="str">
        <f>IF(AND($L602=$O$7,$B602&lt;'111'!$N$11),"x","")</f>
        <v/>
      </c>
      <c r="Q602" s="525" t="str">
        <f>IF(AND($M602=$O$7,$B602&lt;'111'!$N$11),"x","")</f>
        <v/>
      </c>
      <c r="R602" s="525" t="str">
        <f>IF(ISERROR(FIND('112'!$M$9,G602,1)),"",IF((AND(FIND('112'!$M$9,G602,1)&gt;=1,$B602&gt;='112'!$N$8,$B602&lt;='112'!$O$8,OR($L602='112'!$I$6,$M602='112'!$I$6))),"x",""))</f>
        <v/>
      </c>
      <c r="S602" s="525" t="str">
        <f>IF(ISERROR(FIND('112'!$M$9,G602,1)),"",IF((AND(LEFT(G602,2)=LEFT('112'!$M$9,2),B602&lt;'112'!$N$8,$L602='112'!$I$6)),"x",""))</f>
        <v/>
      </c>
      <c r="T602" s="525" t="str">
        <f>IF(ISERROR(FIND('112'!$M$9,G602,1)),"",IF((AND(RIGHT(G602,2)=RIGHT('112'!$M$9,2),B602&lt;'112'!$N$8,$M602='112'!$I$6)),"x",""))</f>
        <v>x</v>
      </c>
      <c r="U602" s="525" t="str">
        <f>IF(AND(B602&gt;='IN-NX'!$P$3,B602&lt;='IN-NX'!$Q$3,'IN-NX'!$D$7=D602,OR(LEFT(L602,2)="15",AND(LEFT(M602,2)&lt;&gt;"15",LEFT(M602,2)&lt;&gt;"33"))),"x","")</f>
        <v/>
      </c>
      <c r="V602" s="525" t="str">
        <f>IF(AND(OR(LEFT(TH!L602,2)="15",LEFT(TH!M602,2)="15"),'152-CT'!$J$8=TH!F602),"x","")</f>
        <v/>
      </c>
      <c r="W602" s="525" t="str">
        <f>IF(AND(OR(LEFT(TH!L602,2)="15",LEFT(TH!M602,2)="15"),TK!$E$7=TH!F602),"x","")</f>
        <v/>
      </c>
      <c r="X602" s="525" t="str">
        <f>IF(AND('341-CT'!$E$9=H602,OR(LEFT(L602,3)=$X$7,LEFT(M602,3)=$X$7)),"x","")</f>
        <v/>
      </c>
      <c r="Y602" s="525" t="str">
        <f>IF(OR(TH!L602=TH!$Y$7,M602=TH!$Y$7),"x","")</f>
        <v/>
      </c>
      <c r="Z602" s="525" t="str">
        <f>IF(AND(B602&lt;=NKC!$N$8,B602&gt;=NKC!$M$8),"x","")</f>
        <v/>
      </c>
      <c r="AA602" s="535">
        <v>2</v>
      </c>
    </row>
    <row r="603" spans="1:28" s="503" customFormat="1" ht="15.75" customHeight="1">
      <c r="A603" s="517" t="str">
        <f>IF(B603&lt;&gt;"",IF(AND(B603&gt;=_TM1,B603&lt;=_TM2,OR(TH!L603="1111",TH!M603="1111")),TH!D603,""),"")</f>
        <v/>
      </c>
      <c r="B603" s="531">
        <f t="shared" si="65"/>
        <v>6</v>
      </c>
      <c r="C603" s="315">
        <f t="shared" si="66"/>
        <v>42908</v>
      </c>
      <c r="D603" s="315" t="s">
        <v>461</v>
      </c>
      <c r="E603" s="288">
        <v>42908</v>
      </c>
      <c r="F603" s="248" t="s">
        <v>1281</v>
      </c>
      <c r="G603" s="314" t="s">
        <v>440</v>
      </c>
      <c r="H603" s="472"/>
      <c r="I603" s="307"/>
      <c r="J603" s="307"/>
      <c r="K603" s="532">
        <v>1000</v>
      </c>
      <c r="L603" s="533" t="s">
        <v>9</v>
      </c>
      <c r="M603" s="533" t="s">
        <v>24</v>
      </c>
      <c r="N603" s="525" t="str">
        <f>IF(AND('331-CT'!$E$7=TH!H603,OR(L603="331",M603="331")),"331",IF(AND(OR(L603="131",M603="131"),H603='131-CT'!$E$7),"131",""))</f>
        <v/>
      </c>
      <c r="O603" s="525" t="str">
        <f>IF(AND($B603&gt;='111'!$N$11,$B603&lt;='111'!$O$11,OR($L603=$O$7,$M603=$O$7)),"x","")</f>
        <v/>
      </c>
      <c r="P603" s="525" t="str">
        <f>IF(AND($L603=$O$7,$B603&lt;'111'!$N$11),"x","")</f>
        <v/>
      </c>
      <c r="Q603" s="525" t="str">
        <f>IF(AND($M603=$O$7,$B603&lt;'111'!$N$11),"x","")</f>
        <v/>
      </c>
      <c r="R603" s="525" t="str">
        <f>IF(ISERROR(FIND('112'!$M$9,G603,1)),"",IF((AND(FIND('112'!$M$9,G603,1)&gt;=1,$B603&gt;='112'!$N$8,$B603&lt;='112'!$O$8,OR($L603='112'!$I$6,$M603='112'!$I$6))),"x",""))</f>
        <v/>
      </c>
      <c r="S603" s="525" t="str">
        <f>IF(ISERROR(FIND('112'!$M$9,G603,1)),"",IF((AND(LEFT(G603,2)=LEFT('112'!$M$9,2),B603&lt;'112'!$N$8,$L603='112'!$I$6)),"x",""))</f>
        <v/>
      </c>
      <c r="T603" s="525" t="str">
        <f>IF(ISERROR(FIND('112'!$M$9,G603,1)),"",IF((AND(RIGHT(G603,2)=RIGHT('112'!$M$9,2),B603&lt;'112'!$N$8,$M603='112'!$I$6)),"x",""))</f>
        <v>x</v>
      </c>
      <c r="U603" s="525" t="str">
        <f>IF(AND(B603&gt;='IN-NX'!$P$3,B603&lt;='IN-NX'!$Q$3,'IN-NX'!$D$7=D603,OR(LEFT(L603,2)="15",AND(LEFT(M603,2)&lt;&gt;"15",LEFT(M603,2)&lt;&gt;"33"))),"x","")</f>
        <v/>
      </c>
      <c r="V603" s="525" t="str">
        <f>IF(AND(OR(LEFT(TH!L603,2)="15",LEFT(TH!M603,2)="15"),'152-CT'!$J$8=TH!F603),"x","")</f>
        <v/>
      </c>
      <c r="W603" s="525" t="str">
        <f>IF(AND(OR(LEFT(TH!L603,2)="15",LEFT(TH!M603,2)="15"),TK!$E$7=TH!F603),"x","")</f>
        <v/>
      </c>
      <c r="X603" s="525" t="str">
        <f>IF(AND('341-CT'!$E$9=H603,OR(LEFT(L603,3)=$X$7,LEFT(M603,3)=$X$7)),"x","")</f>
        <v/>
      </c>
      <c r="Y603" s="525" t="str">
        <f>IF(OR(TH!L603=TH!$Y$7,M603=TH!$Y$7),"x","")</f>
        <v/>
      </c>
      <c r="Z603" s="525" t="str">
        <f>IF(AND(B603&lt;=NKC!$N$8,B603&gt;=NKC!$M$8),"x","")</f>
        <v/>
      </c>
      <c r="AA603" s="535">
        <v>2</v>
      </c>
      <c r="AB603" s="536"/>
    </row>
    <row r="604" spans="1:28" s="503" customFormat="1" ht="15.75" customHeight="1">
      <c r="A604" s="517" t="str">
        <f>IF(B604&lt;&gt;"",IF(AND(B604&gt;=_TM1,B604&lt;=_TM2,OR(TH!L604="1111",TH!M604="1111")),TH!D604,""),"")</f>
        <v/>
      </c>
      <c r="B604" s="531">
        <f t="shared" si="65"/>
        <v>6</v>
      </c>
      <c r="C604" s="315">
        <f t="shared" si="66"/>
        <v>42908</v>
      </c>
      <c r="D604" s="315" t="s">
        <v>461</v>
      </c>
      <c r="E604" s="288">
        <v>42908</v>
      </c>
      <c r="F604" s="249" t="s">
        <v>468</v>
      </c>
      <c r="G604" s="314" t="s">
        <v>440</v>
      </c>
      <c r="H604" s="473" t="s">
        <v>420</v>
      </c>
      <c r="I604" s="307"/>
      <c r="J604" s="307"/>
      <c r="K604" s="532">
        <v>84070525</v>
      </c>
      <c r="L604" s="534" t="s">
        <v>8</v>
      </c>
      <c r="M604" s="533" t="s">
        <v>24</v>
      </c>
      <c r="N604" s="525" t="str">
        <f>IF(AND('331-CT'!$E$7=TH!H604,OR(L604="331",M604="331")),"331",IF(AND(OR(L604="131",M604="131"),H604='131-CT'!$E$7),"131",""))</f>
        <v/>
      </c>
      <c r="O604" s="525" t="str">
        <f>IF(AND($B604&gt;='111'!$N$11,$B604&lt;='111'!$O$11,OR($L604=$O$7,$M604=$O$7)),"x","")</f>
        <v/>
      </c>
      <c r="P604" s="525" t="str">
        <f>IF(AND($L604=$O$7,$B604&lt;'111'!$N$11),"x","")</f>
        <v/>
      </c>
      <c r="Q604" s="525" t="str">
        <f>IF(AND($M604=$O$7,$B604&lt;'111'!$N$11),"x","")</f>
        <v/>
      </c>
      <c r="R604" s="525" t="str">
        <f>IF(ISERROR(FIND('112'!$M$9,G604,1)),"",IF((AND(FIND('112'!$M$9,G604,1)&gt;=1,$B604&gt;='112'!$N$8,$B604&lt;='112'!$O$8,OR($L604='112'!$I$6,$M604='112'!$I$6))),"x",""))</f>
        <v/>
      </c>
      <c r="S604" s="525" t="str">
        <f>IF(ISERROR(FIND('112'!$M$9,G604,1)),"",IF((AND(LEFT(G604,2)=LEFT('112'!$M$9,2),B604&lt;'112'!$N$8,$L604='112'!$I$6)),"x",""))</f>
        <v/>
      </c>
      <c r="T604" s="525" t="str">
        <f>IF(ISERROR(FIND('112'!$M$9,G604,1)),"",IF((AND(RIGHT(G604,2)=RIGHT('112'!$M$9,2),B604&lt;'112'!$N$8,$M604='112'!$I$6)),"x",""))</f>
        <v>x</v>
      </c>
      <c r="U604" s="525" t="str">
        <f>IF(AND(B604&gt;='IN-NX'!$P$3,B604&lt;='IN-NX'!$Q$3,'IN-NX'!$D$7=D604,OR(LEFT(L604,2)="15",AND(LEFT(M604,2)&lt;&gt;"15",LEFT(M604,2)&lt;&gt;"33"))),"x","")</f>
        <v/>
      </c>
      <c r="V604" s="525" t="str">
        <f>IF(AND(OR(LEFT(TH!L604,2)="15",LEFT(TH!M604,2)="15"),'152-CT'!$J$8=TH!F604),"x","")</f>
        <v/>
      </c>
      <c r="W604" s="525" t="str">
        <f>IF(AND(OR(LEFT(TH!L604,2)="15",LEFT(TH!M604,2)="15"),TK!$E$7=TH!F604),"x","")</f>
        <v/>
      </c>
      <c r="X604" s="525" t="str">
        <f>IF(AND('341-CT'!$E$9=H604,OR(LEFT(L604,3)=$X$7,LEFT(M604,3)=$X$7)),"x","")</f>
        <v/>
      </c>
      <c r="Y604" s="525" t="str">
        <f>IF(OR(TH!L604=TH!$Y$7,M604=TH!$Y$7),"x","")</f>
        <v/>
      </c>
      <c r="Z604" s="525" t="str">
        <f>IF(AND(B604&lt;=NKC!$N$8,B604&gt;=NKC!$M$8),"x","")</f>
        <v/>
      </c>
      <c r="AA604" s="535"/>
    </row>
    <row r="605" spans="1:28" s="503" customFormat="1" ht="15.75" customHeight="1">
      <c r="A605" s="517" t="str">
        <f>IF(B605&lt;&gt;"",IF(AND(B605&gt;=_TM1,B605&lt;=_TM2,OR(TH!L605="1111",TH!M605="1111")),TH!D605,""),"")</f>
        <v/>
      </c>
      <c r="B605" s="531">
        <f t="shared" si="65"/>
        <v>6</v>
      </c>
      <c r="C605" s="315">
        <f t="shared" si="66"/>
        <v>42908</v>
      </c>
      <c r="D605" s="315" t="s">
        <v>461</v>
      </c>
      <c r="E605" s="288">
        <v>42908</v>
      </c>
      <c r="F605" s="248" t="s">
        <v>463</v>
      </c>
      <c r="G605" s="314" t="s">
        <v>440</v>
      </c>
      <c r="H605" s="472"/>
      <c r="I605" s="307"/>
      <c r="J605" s="307"/>
      <c r="K605" s="532">
        <v>42035</v>
      </c>
      <c r="L605" s="533" t="s">
        <v>81</v>
      </c>
      <c r="M605" s="533" t="s">
        <v>24</v>
      </c>
      <c r="N605" s="525" t="str">
        <f>IF(AND('331-CT'!$E$7=TH!H605,OR(L605="331",M605="331")),"331",IF(AND(OR(L605="131",M605="131"),H605='131-CT'!$E$7),"131",""))</f>
        <v/>
      </c>
      <c r="O605" s="525" t="str">
        <f>IF(AND($B605&gt;='111'!$N$11,$B605&lt;='111'!$O$11,OR($L605=$O$7,$M605=$O$7)),"x","")</f>
        <v/>
      </c>
      <c r="P605" s="525" t="str">
        <f>IF(AND($L605=$O$7,$B605&lt;'111'!$N$11),"x","")</f>
        <v/>
      </c>
      <c r="Q605" s="525" t="str">
        <f>IF(AND($M605=$O$7,$B605&lt;'111'!$N$11),"x","")</f>
        <v/>
      </c>
      <c r="R605" s="525" t="str">
        <f>IF(ISERROR(FIND('112'!$M$9,G605,1)),"",IF((AND(FIND('112'!$M$9,G605,1)&gt;=1,$B605&gt;='112'!$N$8,$B605&lt;='112'!$O$8,OR($L605='112'!$I$6,$M605='112'!$I$6))),"x",""))</f>
        <v/>
      </c>
      <c r="S605" s="525" t="str">
        <f>IF(ISERROR(FIND('112'!$M$9,G605,1)),"",IF((AND(LEFT(G605,2)=LEFT('112'!$M$9,2),B605&lt;'112'!$N$8,$L605='112'!$I$6)),"x",""))</f>
        <v/>
      </c>
      <c r="T605" s="525" t="str">
        <f>IF(ISERROR(FIND('112'!$M$9,G605,1)),"",IF((AND(RIGHT(G605,2)=RIGHT('112'!$M$9,2),B605&lt;'112'!$N$8,$M605='112'!$I$6)),"x",""))</f>
        <v>x</v>
      </c>
      <c r="U605" s="525" t="str">
        <f>IF(AND(B605&gt;='IN-NX'!$P$3,B605&lt;='IN-NX'!$Q$3,'IN-NX'!$D$7=D605,OR(LEFT(L605,2)="15",AND(LEFT(M605,2)&lt;&gt;"15",LEFT(M605,2)&lt;&gt;"33"))),"x","")</f>
        <v/>
      </c>
      <c r="V605" s="525" t="str">
        <f>IF(AND(OR(LEFT(TH!L605,2)="15",LEFT(TH!M605,2)="15"),'152-CT'!$J$8=TH!F605),"x","")</f>
        <v/>
      </c>
      <c r="W605" s="525" t="str">
        <f>IF(AND(OR(LEFT(TH!L605,2)="15",LEFT(TH!M605,2)="15"),TK!$E$7=TH!F605),"x","")</f>
        <v/>
      </c>
      <c r="X605" s="525" t="str">
        <f>IF(AND('341-CT'!$E$9=H605,OR(LEFT(L605,3)=$X$7,LEFT(M605,3)=$X$7)),"x","")</f>
        <v/>
      </c>
      <c r="Y605" s="525" t="str">
        <f>IF(OR(TH!L605=TH!$Y$7,M605=TH!$Y$7),"x","")</f>
        <v/>
      </c>
      <c r="Z605" s="525" t="str">
        <f>IF(AND(B605&lt;=NKC!$N$8,B605&gt;=NKC!$M$8),"x","")</f>
        <v/>
      </c>
      <c r="AA605" s="535">
        <v>2</v>
      </c>
      <c r="AB605" s="536"/>
    </row>
    <row r="606" spans="1:28" s="503" customFormat="1" ht="15.75" customHeight="1">
      <c r="A606" s="517" t="str">
        <f>IF(B606&lt;&gt;"",IF(AND(B606&gt;=_TM1,B606&lt;=_TM2,OR(TH!L606="1111",TH!M606="1111")),TH!D606,""),"")</f>
        <v/>
      </c>
      <c r="B606" s="531">
        <f t="shared" si="65"/>
        <v>6</v>
      </c>
      <c r="C606" s="315">
        <f t="shared" si="66"/>
        <v>42908</v>
      </c>
      <c r="D606" s="315" t="s">
        <v>461</v>
      </c>
      <c r="E606" s="288">
        <v>42908</v>
      </c>
      <c r="F606" s="248" t="s">
        <v>464</v>
      </c>
      <c r="G606" s="314" t="s">
        <v>440</v>
      </c>
      <c r="H606" s="472"/>
      <c r="I606" s="307"/>
      <c r="J606" s="307"/>
      <c r="K606" s="532">
        <v>4204</v>
      </c>
      <c r="L606" s="533" t="s">
        <v>9</v>
      </c>
      <c r="M606" s="533" t="s">
        <v>24</v>
      </c>
      <c r="N606" s="525" t="str">
        <f>IF(AND('331-CT'!$E$7=TH!H606,OR(L606="331",M606="331")),"331",IF(AND(OR(L606="131",M606="131"),H606='131-CT'!$E$7),"131",""))</f>
        <v/>
      </c>
      <c r="O606" s="525" t="str">
        <f>IF(AND($B606&gt;='111'!$N$11,$B606&lt;='111'!$O$11,OR($L606=$O$7,$M606=$O$7)),"x","")</f>
        <v/>
      </c>
      <c r="P606" s="525" t="str">
        <f>IF(AND($L606=$O$7,$B606&lt;'111'!$N$11),"x","")</f>
        <v/>
      </c>
      <c r="Q606" s="525" t="str">
        <f>IF(AND($M606=$O$7,$B606&lt;'111'!$N$11),"x","")</f>
        <v/>
      </c>
      <c r="R606" s="525" t="str">
        <f>IF(ISERROR(FIND('112'!$M$9,G606,1)),"",IF((AND(FIND('112'!$M$9,G606,1)&gt;=1,$B606&gt;='112'!$N$8,$B606&lt;='112'!$O$8,OR($L606='112'!$I$6,$M606='112'!$I$6))),"x",""))</f>
        <v/>
      </c>
      <c r="S606" s="525" t="str">
        <f>IF(ISERROR(FIND('112'!$M$9,G606,1)),"",IF((AND(LEFT(G606,2)=LEFT('112'!$M$9,2),B606&lt;'112'!$N$8,$L606='112'!$I$6)),"x",""))</f>
        <v/>
      </c>
      <c r="T606" s="525" t="str">
        <f>IF(ISERROR(FIND('112'!$M$9,G606,1)),"",IF((AND(RIGHT(G606,2)=RIGHT('112'!$M$9,2),B606&lt;'112'!$N$8,$M606='112'!$I$6)),"x",""))</f>
        <v>x</v>
      </c>
      <c r="U606" s="525" t="str">
        <f>IF(AND(B606&gt;='IN-NX'!$P$3,B606&lt;='IN-NX'!$Q$3,'IN-NX'!$D$7=D606,OR(LEFT(L606,2)="15",AND(LEFT(M606,2)&lt;&gt;"15",LEFT(M606,2)&lt;&gt;"33"))),"x","")</f>
        <v/>
      </c>
      <c r="V606" s="525" t="str">
        <f>IF(AND(OR(LEFT(TH!L606,2)="15",LEFT(TH!M606,2)="15"),'152-CT'!$J$8=TH!F606),"x","")</f>
        <v/>
      </c>
      <c r="W606" s="525" t="str">
        <f>IF(AND(OR(LEFT(TH!L606,2)="15",LEFT(TH!M606,2)="15"),TK!$E$7=TH!F606),"x","")</f>
        <v/>
      </c>
      <c r="X606" s="525" t="str">
        <f>IF(AND('341-CT'!$E$9=H606,OR(LEFT(L606,3)=$X$7,LEFT(M606,3)=$X$7)),"x","")</f>
        <v/>
      </c>
      <c r="Y606" s="525" t="str">
        <f>IF(OR(TH!L606=TH!$Y$7,M606=TH!$Y$7),"x","")</f>
        <v/>
      </c>
      <c r="Z606" s="525" t="str">
        <f>IF(AND(B606&lt;=NKC!$N$8,B606&gt;=NKC!$M$8),"x","")</f>
        <v/>
      </c>
      <c r="AA606" s="535">
        <v>2</v>
      </c>
    </row>
    <row r="607" spans="1:28" s="503" customFormat="1" ht="15.75" customHeight="1">
      <c r="A607" s="517" t="str">
        <f>IF(B607&lt;&gt;"",IF(AND(B607&gt;=_TM1,B607&lt;=_TM2,OR(TH!L607="1111",TH!M607="1111")),TH!D607,""),"")</f>
        <v/>
      </c>
      <c r="B607" s="531">
        <f t="shared" si="65"/>
        <v>6</v>
      </c>
      <c r="C607" s="315">
        <f t="shared" si="66"/>
        <v>42912</v>
      </c>
      <c r="D607" s="315" t="s">
        <v>461</v>
      </c>
      <c r="E607" s="288">
        <v>42912</v>
      </c>
      <c r="F607" s="248" t="s">
        <v>831</v>
      </c>
      <c r="G607" s="314" t="s">
        <v>440</v>
      </c>
      <c r="H607" s="472" t="s">
        <v>832</v>
      </c>
      <c r="I607" s="307"/>
      <c r="J607" s="307"/>
      <c r="K607" s="532">
        <v>324224</v>
      </c>
      <c r="L607" s="533" t="s">
        <v>85</v>
      </c>
      <c r="M607" s="533" t="s">
        <v>24</v>
      </c>
      <c r="N607" s="525" t="str">
        <f>IF(AND('331-CT'!$E$7=TH!H607,OR(L607="331",M607="331")),"331",IF(AND(OR(L607="131",M607="131"),H607='131-CT'!$E$7),"131",""))</f>
        <v/>
      </c>
      <c r="O607" s="525" t="str">
        <f>IF(AND($B607&gt;='111'!$N$11,$B607&lt;='111'!$O$11,OR($L607=$O$7,$M607=$O$7)),"x","")</f>
        <v/>
      </c>
      <c r="P607" s="525" t="str">
        <f>IF(AND($L607=$O$7,$B607&lt;'111'!$N$11),"x","")</f>
        <v/>
      </c>
      <c r="Q607" s="525" t="str">
        <f>IF(AND($M607=$O$7,$B607&lt;'111'!$N$11),"x","")</f>
        <v/>
      </c>
      <c r="R607" s="525" t="str">
        <f>IF(ISERROR(FIND('112'!$M$9,G607,1)),"",IF((AND(FIND('112'!$M$9,G607,1)&gt;=1,$B607&gt;='112'!$N$8,$B607&lt;='112'!$O$8,OR($L607='112'!$I$6,$M607='112'!$I$6))),"x",""))</f>
        <v/>
      </c>
      <c r="S607" s="525" t="str">
        <f>IF(ISERROR(FIND('112'!$M$9,G607,1)),"",IF((AND(LEFT(G607,2)=LEFT('112'!$M$9,2),B607&lt;'112'!$N$8,$L607='112'!$I$6)),"x",""))</f>
        <v/>
      </c>
      <c r="T607" s="525" t="str">
        <f>IF(ISERROR(FIND('112'!$M$9,G607,1)),"",IF((AND(RIGHT(G607,2)=RIGHT('112'!$M$9,2),B607&lt;'112'!$N$8,$M607='112'!$I$6)),"x",""))</f>
        <v>x</v>
      </c>
      <c r="U607" s="525" t="str">
        <f>IF(AND(B607&gt;='IN-NX'!$P$3,B607&lt;='IN-NX'!$Q$3,'IN-NX'!$D$7=D607,OR(LEFT(L607,2)="15",AND(LEFT(M607,2)&lt;&gt;"15",LEFT(M607,2)&lt;&gt;"33"))),"x","")</f>
        <v/>
      </c>
      <c r="V607" s="525" t="str">
        <f>IF(AND(OR(LEFT(TH!L607,2)="15",LEFT(TH!M607,2)="15"),'152-CT'!$J$8=TH!F607),"x","")</f>
        <v/>
      </c>
      <c r="W607" s="525" t="str">
        <f>IF(AND(OR(LEFT(TH!L607,2)="15",LEFT(TH!M607,2)="15"),TK!$E$7=TH!F607),"x","")</f>
        <v/>
      </c>
      <c r="X607" s="525" t="str">
        <f>IF(AND('341-CT'!$E$9=H607,OR(LEFT(L607,3)=$X$7,LEFT(M607,3)=$X$7)),"x","")</f>
        <v/>
      </c>
      <c r="Y607" s="525" t="str">
        <f>IF(OR(TH!L607=TH!$Y$7,M607=TH!$Y$7),"x","")</f>
        <v/>
      </c>
      <c r="Z607" s="525" t="str">
        <f>IF(AND(B607&lt;=NKC!$N$8,B607&gt;=NKC!$M$8),"x","")</f>
        <v/>
      </c>
      <c r="AA607" s="535"/>
      <c r="AB607" s="536"/>
    </row>
    <row r="608" spans="1:28" s="503" customFormat="1" ht="15.75" customHeight="1">
      <c r="A608" s="517" t="str">
        <f>IF(B608&lt;&gt;"",IF(AND(B608&gt;=_TM1,B608&lt;=_TM2,OR(TH!L608="1111",TH!M608="1111")),TH!D608,""),"")</f>
        <v/>
      </c>
      <c r="B608" s="531">
        <f t="shared" si="65"/>
        <v>6</v>
      </c>
      <c r="C608" s="315">
        <f t="shared" si="66"/>
        <v>42916</v>
      </c>
      <c r="D608" s="315" t="s">
        <v>461</v>
      </c>
      <c r="E608" s="288">
        <v>42916</v>
      </c>
      <c r="F608" s="248" t="s">
        <v>458</v>
      </c>
      <c r="G608" s="314" t="s">
        <v>440</v>
      </c>
      <c r="H608" s="473"/>
      <c r="I608" s="307"/>
      <c r="J608" s="307"/>
      <c r="K608" s="532">
        <v>501</v>
      </c>
      <c r="L608" s="533" t="s">
        <v>24</v>
      </c>
      <c r="M608" s="533" t="s">
        <v>38</v>
      </c>
      <c r="N608" s="525" t="str">
        <f>IF(AND('331-CT'!$E$7=TH!H608,OR(L608="331",M608="331")),"331",IF(AND(OR(L608="131",M608="131"),H608='131-CT'!$E$7),"131",""))</f>
        <v/>
      </c>
      <c r="O608" s="525" t="str">
        <f>IF(AND($B608&gt;='111'!$N$11,$B608&lt;='111'!$O$11,OR($L608=$O$7,$M608=$O$7)),"x","")</f>
        <v/>
      </c>
      <c r="P608" s="525" t="str">
        <f>IF(AND($L608=$O$7,$B608&lt;'111'!$N$11),"x","")</f>
        <v/>
      </c>
      <c r="Q608" s="525" t="str">
        <f>IF(AND($M608=$O$7,$B608&lt;'111'!$N$11),"x","")</f>
        <v/>
      </c>
      <c r="R608" s="525" t="str">
        <f>IF(ISERROR(FIND('112'!$M$9,G608,1)),"",IF((AND(FIND('112'!$M$9,G608,1)&gt;=1,$B608&gt;='112'!$N$8,$B608&lt;='112'!$O$8,OR($L608='112'!$I$6,$M608='112'!$I$6))),"x",""))</f>
        <v/>
      </c>
      <c r="S608" s="525" t="str">
        <f>IF(ISERROR(FIND('112'!$M$9,G608,1)),"",IF((AND(LEFT(G608,2)=LEFT('112'!$M$9,2),B608&lt;'112'!$N$8,$L608='112'!$I$6)),"x",""))</f>
        <v>x</v>
      </c>
      <c r="T608" s="525" t="str">
        <f>IF(ISERROR(FIND('112'!$M$9,G608,1)),"",IF((AND(RIGHT(G608,2)=RIGHT('112'!$M$9,2),B608&lt;'112'!$N$8,$M608='112'!$I$6)),"x",""))</f>
        <v/>
      </c>
      <c r="U608" s="525" t="str">
        <f>IF(AND(B608&gt;='IN-NX'!$P$3,B608&lt;='IN-NX'!$Q$3,'IN-NX'!$D$7=D608,OR(LEFT(L608,2)="15",AND(LEFT(M608,2)&lt;&gt;"15",LEFT(M608,2)&lt;&gt;"33"))),"x","")</f>
        <v/>
      </c>
      <c r="V608" s="525" t="str">
        <f>IF(AND(OR(LEFT(TH!L608,2)="15",LEFT(TH!M608,2)="15"),'152-CT'!$J$8=TH!F608),"x","")</f>
        <v/>
      </c>
      <c r="W608" s="525" t="str">
        <f>IF(AND(OR(LEFT(TH!L608,2)="15",LEFT(TH!M608,2)="15"),TK!$E$7=TH!F608),"x","")</f>
        <v/>
      </c>
      <c r="X608" s="525" t="str">
        <f>IF(AND('341-CT'!$E$9=H608,OR(LEFT(L608,3)=$X$7,LEFT(M608,3)=$X$7)),"x","")</f>
        <v/>
      </c>
      <c r="Y608" s="525" t="str">
        <f>IF(OR(TH!L608=TH!$Y$7,M608=TH!$Y$7),"x","")</f>
        <v/>
      </c>
      <c r="Z608" s="525" t="str">
        <f>IF(AND(B608&lt;=NKC!$N$8,B608&gt;=NKC!$M$8),"x","")</f>
        <v/>
      </c>
      <c r="AA608" s="535"/>
    </row>
    <row r="609" spans="1:28" s="503" customFormat="1" ht="15.75" customHeight="1">
      <c r="A609" s="517" t="str">
        <f>IF(B609&lt;&gt;"",IF(AND(B609&gt;=_TM1,B609&lt;=_TM2,OR(TH!L609="1111",TH!M609="1111")),TH!D609,""),"")</f>
        <v/>
      </c>
      <c r="B609" s="531">
        <f t="shared" ref="B609:B628" si="67">IF(C609&lt;&gt;"",MONTH(C609),"")</f>
        <v>7</v>
      </c>
      <c r="C609" s="315">
        <f t="shared" ref="C609:C628" si="68">E609</f>
        <v>42923</v>
      </c>
      <c r="D609" s="315" t="s">
        <v>456</v>
      </c>
      <c r="E609" s="288">
        <v>42923</v>
      </c>
      <c r="F609" s="248" t="s">
        <v>457</v>
      </c>
      <c r="G609" s="314" t="s">
        <v>440</v>
      </c>
      <c r="H609" s="473" t="s">
        <v>1309</v>
      </c>
      <c r="I609" s="307"/>
      <c r="J609" s="307"/>
      <c r="K609" s="532">
        <v>10000000</v>
      </c>
      <c r="L609" s="533" t="s">
        <v>24</v>
      </c>
      <c r="M609" s="533" t="s">
        <v>223</v>
      </c>
      <c r="N609" s="525" t="str">
        <f>IF(AND('331-CT'!$E$7=TH!H609,OR(L609="331",M609="331")),"331",IF(AND(OR(L609="131",M609="131"),H609='131-CT'!$E$7),"131",""))</f>
        <v/>
      </c>
      <c r="O609" s="525" t="str">
        <f>IF(AND($B609&gt;='111'!$N$11,$B609&lt;='111'!$O$11,OR($L609=$O$7,$M609=$O$7)),"x","")</f>
        <v/>
      </c>
      <c r="P609" s="525" t="str">
        <f>IF(AND($L609=$O$7,$B609&lt;'111'!$N$11),"x","")</f>
        <v/>
      </c>
      <c r="Q609" s="525" t="str">
        <f>IF(AND($M609=$O$7,$B609&lt;'111'!$N$11),"x","")</f>
        <v/>
      </c>
      <c r="R609" s="525" t="str">
        <f>IF(ISERROR(FIND('112'!$M$9,G609,1)),"",IF((AND(FIND('112'!$M$9,G609,1)&gt;=1,$B609&gt;='112'!$N$8,$B609&lt;='112'!$O$8,OR($L609='112'!$I$6,$M609='112'!$I$6))),"x",""))</f>
        <v/>
      </c>
      <c r="S609" s="525" t="str">
        <f>IF(ISERROR(FIND('112'!$M$9,G609,1)),"",IF((AND(LEFT(G609,2)=LEFT('112'!$M$9,2),B609&lt;'112'!$N$8,$L609='112'!$I$6)),"x",""))</f>
        <v>x</v>
      </c>
      <c r="T609" s="525" t="str">
        <f>IF(ISERROR(FIND('112'!$M$9,G609,1)),"",IF((AND(RIGHT(G609,2)=RIGHT('112'!$M$9,2),B609&lt;'112'!$N$8,$M609='112'!$I$6)),"x",""))</f>
        <v/>
      </c>
      <c r="U609" s="525" t="str">
        <f>IF(AND(B609&gt;='IN-NX'!$P$3,B609&lt;='IN-NX'!$Q$3,'IN-NX'!$D$7=D609,OR(LEFT(L609,2)="15",AND(LEFT(M609,2)&lt;&gt;"15",LEFT(M609,2)&lt;&gt;"33"))),"x","")</f>
        <v/>
      </c>
      <c r="V609" s="525" t="str">
        <f>IF(AND(OR(LEFT(TH!L609,2)="15",LEFT(TH!M609,2)="15"),'152-CT'!$J$8=TH!F609),"x","")</f>
        <v/>
      </c>
      <c r="W609" s="525" t="str">
        <f>IF(AND(OR(LEFT(TH!L609,2)="15",LEFT(TH!M609,2)="15"),TK!$E$7=TH!F609),"x","")</f>
        <v/>
      </c>
      <c r="X609" s="525" t="str">
        <f>IF(AND('341-CT'!$E$9=H609,OR(LEFT(L609,3)=$X$7,LEFT(M609,3)=$X$7)),"x","")</f>
        <v/>
      </c>
      <c r="Y609" s="525" t="str">
        <f>IF(OR(TH!L609=TH!$Y$7,M609=TH!$Y$7),"x","")</f>
        <v/>
      </c>
      <c r="Z609" s="525" t="str">
        <f>IF(AND(B609&lt;=NKC!$N$8,B609&gt;=NKC!$M$8),"x","")</f>
        <v/>
      </c>
      <c r="AA609" s="535"/>
    </row>
    <row r="610" spans="1:28" s="503" customFormat="1" ht="15.75" customHeight="1">
      <c r="A610" s="517" t="str">
        <f>IF(B610&lt;&gt;"",IF(AND(B610&gt;=_TM1,B610&lt;=_TM2,OR(TH!L610="1111",TH!M610="1111")),TH!D610,""),"")</f>
        <v/>
      </c>
      <c r="B610" s="531">
        <f t="shared" si="67"/>
        <v>7</v>
      </c>
      <c r="C610" s="315">
        <f t="shared" si="68"/>
        <v>42927</v>
      </c>
      <c r="D610" s="315" t="s">
        <v>456</v>
      </c>
      <c r="E610" s="288">
        <v>42927</v>
      </c>
      <c r="F610" s="248" t="s">
        <v>457</v>
      </c>
      <c r="G610" s="314" t="s">
        <v>440</v>
      </c>
      <c r="H610" s="473" t="s">
        <v>284</v>
      </c>
      <c r="I610" s="307"/>
      <c r="J610" s="307"/>
      <c r="K610" s="532">
        <v>39492079</v>
      </c>
      <c r="L610" s="533" t="s">
        <v>24</v>
      </c>
      <c r="M610" s="533" t="s">
        <v>223</v>
      </c>
      <c r="N610" s="525" t="str">
        <f>IF(AND('331-CT'!$E$7=TH!H610,OR(L610="331",M610="331")),"331",IF(AND(OR(L610="131",M610="131"),H610='131-CT'!$E$7),"131",""))</f>
        <v/>
      </c>
      <c r="O610" s="525" t="str">
        <f>IF(AND($B610&gt;='111'!$N$11,$B610&lt;='111'!$O$11,OR($L610=$O$7,$M610=$O$7)),"x","")</f>
        <v/>
      </c>
      <c r="P610" s="525" t="str">
        <f>IF(AND($L610=$O$7,$B610&lt;'111'!$N$11),"x","")</f>
        <v/>
      </c>
      <c r="Q610" s="525" t="str">
        <f>IF(AND($M610=$O$7,$B610&lt;'111'!$N$11),"x","")</f>
        <v/>
      </c>
      <c r="R610" s="525" t="str">
        <f>IF(ISERROR(FIND('112'!$M$9,G610,1)),"",IF((AND(FIND('112'!$M$9,G610,1)&gt;=1,$B610&gt;='112'!$N$8,$B610&lt;='112'!$O$8,OR($L610='112'!$I$6,$M610='112'!$I$6))),"x",""))</f>
        <v/>
      </c>
      <c r="S610" s="525" t="str">
        <f>IF(ISERROR(FIND('112'!$M$9,G610,1)),"",IF((AND(LEFT(G610,2)=LEFT('112'!$M$9,2),B610&lt;'112'!$N$8,$L610='112'!$I$6)),"x",""))</f>
        <v>x</v>
      </c>
      <c r="T610" s="525" t="str">
        <f>IF(ISERROR(FIND('112'!$M$9,G610,1)),"",IF((AND(RIGHT(G610,2)=RIGHT('112'!$M$9,2),B610&lt;'112'!$N$8,$M610='112'!$I$6)),"x",""))</f>
        <v/>
      </c>
      <c r="U610" s="525" t="str">
        <f>IF(AND(B610&gt;='IN-NX'!$P$3,B610&lt;='IN-NX'!$Q$3,'IN-NX'!$D$7=D610,OR(LEFT(L610,2)="15",AND(LEFT(M610,2)&lt;&gt;"15",LEFT(M610,2)&lt;&gt;"33"))),"x","")</f>
        <v/>
      </c>
      <c r="V610" s="525" t="str">
        <f>IF(AND(OR(LEFT(TH!L610,2)="15",LEFT(TH!M610,2)="15"),'152-CT'!$J$8=TH!F610),"x","")</f>
        <v/>
      </c>
      <c r="W610" s="525" t="str">
        <f>IF(AND(OR(LEFT(TH!L610,2)="15",LEFT(TH!M610,2)="15"),TK!$E$7=TH!F610),"x","")</f>
        <v/>
      </c>
      <c r="X610" s="525" t="str">
        <f>IF(AND('341-CT'!$E$9=H610,OR(LEFT(L610,3)=$X$7,LEFT(M610,3)=$X$7)),"x","")</f>
        <v/>
      </c>
      <c r="Y610" s="525" t="str">
        <f>IF(OR(TH!L610=TH!$Y$7,M610=TH!$Y$7),"x","")</f>
        <v/>
      </c>
      <c r="Z610" s="525" t="str">
        <f>IF(AND(B610&lt;=NKC!$N$8,B610&gt;=NKC!$M$8),"x","")</f>
        <v/>
      </c>
      <c r="AA610" s="535"/>
    </row>
    <row r="611" spans="1:28" s="503" customFormat="1" ht="15.75" customHeight="1">
      <c r="A611" s="517" t="str">
        <f>IF(B611&lt;&gt;"",IF(AND(B611&gt;=_TM1,B611&lt;=_TM2,OR(TH!L611="1111",TH!M611="1111")),TH!D611,""),"")</f>
        <v/>
      </c>
      <c r="B611" s="531">
        <f t="shared" si="67"/>
        <v>7</v>
      </c>
      <c r="C611" s="315">
        <f t="shared" si="68"/>
        <v>42928</v>
      </c>
      <c r="D611" s="315" t="s">
        <v>456</v>
      </c>
      <c r="E611" s="288">
        <v>42928</v>
      </c>
      <c r="F611" s="248" t="s">
        <v>457</v>
      </c>
      <c r="G611" s="314" t="s">
        <v>440</v>
      </c>
      <c r="H611" s="473" t="s">
        <v>284</v>
      </c>
      <c r="I611" s="307"/>
      <c r="J611" s="307"/>
      <c r="K611" s="532">
        <v>129057321</v>
      </c>
      <c r="L611" s="533" t="s">
        <v>24</v>
      </c>
      <c r="M611" s="533" t="s">
        <v>223</v>
      </c>
      <c r="N611" s="525" t="str">
        <f>IF(AND('331-CT'!$E$7=TH!H611,OR(L611="331",M611="331")),"331",IF(AND(OR(L611="131",M611="131"),H611='131-CT'!$E$7),"131",""))</f>
        <v/>
      </c>
      <c r="O611" s="525" t="str">
        <f>IF(AND($B611&gt;='111'!$N$11,$B611&lt;='111'!$O$11,OR($L611=$O$7,$M611=$O$7)),"x","")</f>
        <v/>
      </c>
      <c r="P611" s="525" t="str">
        <f>IF(AND($L611=$O$7,$B611&lt;'111'!$N$11),"x","")</f>
        <v/>
      </c>
      <c r="Q611" s="525" t="str">
        <f>IF(AND($M611=$O$7,$B611&lt;'111'!$N$11),"x","")</f>
        <v/>
      </c>
      <c r="R611" s="525" t="str">
        <f>IF(ISERROR(FIND('112'!$M$9,G611,1)),"",IF((AND(FIND('112'!$M$9,G611,1)&gt;=1,$B611&gt;='112'!$N$8,$B611&lt;='112'!$O$8,OR($L611='112'!$I$6,$M611='112'!$I$6))),"x",""))</f>
        <v/>
      </c>
      <c r="S611" s="525" t="str">
        <f>IF(ISERROR(FIND('112'!$M$9,G611,1)),"",IF((AND(LEFT(G611,2)=LEFT('112'!$M$9,2),B611&lt;'112'!$N$8,$L611='112'!$I$6)),"x",""))</f>
        <v>x</v>
      </c>
      <c r="T611" s="525" t="str">
        <f>IF(ISERROR(FIND('112'!$M$9,G611,1)),"",IF((AND(RIGHT(G611,2)=RIGHT('112'!$M$9,2),B611&lt;'112'!$N$8,$M611='112'!$I$6)),"x",""))</f>
        <v/>
      </c>
      <c r="U611" s="525" t="str">
        <f>IF(AND(B611&gt;='IN-NX'!$P$3,B611&lt;='IN-NX'!$Q$3,'IN-NX'!$D$7=D611,OR(LEFT(L611,2)="15",AND(LEFT(M611,2)&lt;&gt;"15",LEFT(M611,2)&lt;&gt;"33"))),"x","")</f>
        <v/>
      </c>
      <c r="V611" s="525" t="str">
        <f>IF(AND(OR(LEFT(TH!L611,2)="15",LEFT(TH!M611,2)="15"),'152-CT'!$J$8=TH!F611),"x","")</f>
        <v/>
      </c>
      <c r="W611" s="525" t="str">
        <f>IF(AND(OR(LEFT(TH!L611,2)="15",LEFT(TH!M611,2)="15"),TK!$E$7=TH!F611),"x","")</f>
        <v/>
      </c>
      <c r="X611" s="525" t="str">
        <f>IF(AND('341-CT'!$E$9=H611,OR(LEFT(L611,3)=$X$7,LEFT(M611,3)=$X$7)),"x","")</f>
        <v/>
      </c>
      <c r="Y611" s="525" t="str">
        <f>IF(OR(TH!L611=TH!$Y$7,M611=TH!$Y$7),"x","")</f>
        <v/>
      </c>
      <c r="Z611" s="525" t="str">
        <f>IF(AND(B611&lt;=NKC!$N$8,B611&gt;=NKC!$M$8),"x","")</f>
        <v/>
      </c>
      <c r="AA611" s="535"/>
      <c r="AB611" s="536"/>
    </row>
    <row r="612" spans="1:28" s="503" customFormat="1" ht="15.75" customHeight="1">
      <c r="A612" s="517" t="str">
        <f>IF(B612&lt;&gt;"",IF(AND(B612&gt;=_TM1,B612&lt;=_TM2,OR(TH!L612="1111",TH!M612="1111")),TH!D612,""),"")</f>
        <v/>
      </c>
      <c r="B612" s="531">
        <f t="shared" si="67"/>
        <v>7</v>
      </c>
      <c r="C612" s="315">
        <f t="shared" si="68"/>
        <v>42924</v>
      </c>
      <c r="D612" s="315" t="s">
        <v>461</v>
      </c>
      <c r="E612" s="288">
        <v>42924</v>
      </c>
      <c r="F612" s="249" t="s">
        <v>465</v>
      </c>
      <c r="G612" s="314" t="s">
        <v>440</v>
      </c>
      <c r="H612" s="473" t="s">
        <v>460</v>
      </c>
      <c r="I612" s="307"/>
      <c r="J612" s="307"/>
      <c r="K612" s="532">
        <v>10000000</v>
      </c>
      <c r="L612" s="533" t="s">
        <v>45</v>
      </c>
      <c r="M612" s="533" t="s">
        <v>24</v>
      </c>
      <c r="N612" s="525" t="str">
        <f>IF(AND('331-CT'!$E$7=TH!H612,OR(L612="331",M612="331")),"331",IF(AND(OR(L612="131",M612="131"),H612='131-CT'!$E$7),"131",""))</f>
        <v/>
      </c>
      <c r="O612" s="525" t="str">
        <f>IF(AND($B612&gt;='111'!$N$11,$B612&lt;='111'!$O$11,OR($L612=$O$7,$M612=$O$7)),"x","")</f>
        <v/>
      </c>
      <c r="P612" s="525" t="str">
        <f>IF(AND($L612=$O$7,$B612&lt;'111'!$N$11),"x","")</f>
        <v>x</v>
      </c>
      <c r="Q612" s="525" t="str">
        <f>IF(AND($M612=$O$7,$B612&lt;'111'!$N$11),"x","")</f>
        <v/>
      </c>
      <c r="R612" s="525" t="str">
        <f>IF(ISERROR(FIND('112'!$M$9,G612,1)),"",IF((AND(FIND('112'!$M$9,G612,1)&gt;=1,$B612&gt;='112'!$N$8,$B612&lt;='112'!$O$8,OR($L612='112'!$I$6,$M612='112'!$I$6))),"x",""))</f>
        <v/>
      </c>
      <c r="S612" s="525" t="str">
        <f>IF(ISERROR(FIND('112'!$M$9,G612,1)),"",IF((AND(LEFT(G612,2)=LEFT('112'!$M$9,2),B612&lt;'112'!$N$8,$L612='112'!$I$6)),"x",""))</f>
        <v/>
      </c>
      <c r="T612" s="525" t="str">
        <f>IF(ISERROR(FIND('112'!$M$9,G612,1)),"",IF((AND(RIGHT(G612,2)=RIGHT('112'!$M$9,2),B612&lt;'112'!$N$8,$M612='112'!$I$6)),"x",""))</f>
        <v>x</v>
      </c>
      <c r="U612" s="525" t="str">
        <f>IF(AND(B612&gt;='IN-NX'!$P$3,B612&lt;='IN-NX'!$Q$3,'IN-NX'!$D$7=D612,OR(LEFT(L612,2)="15",AND(LEFT(M612,2)&lt;&gt;"15",LEFT(M612,2)&lt;&gt;"33"))),"x","")</f>
        <v/>
      </c>
      <c r="V612" s="525" t="str">
        <f>IF(AND(OR(LEFT(TH!L612,2)="15",LEFT(TH!M612,2)="15"),'152-CT'!$J$8=TH!F612),"x","")</f>
        <v/>
      </c>
      <c r="W612" s="525" t="str">
        <f>IF(AND(OR(LEFT(TH!L612,2)="15",LEFT(TH!M612,2)="15"),TK!$E$7=TH!F612),"x","")</f>
        <v/>
      </c>
      <c r="X612" s="525" t="str">
        <f>IF(AND('341-CT'!$E$9=H612,OR(LEFT(L612,3)=$X$7,LEFT(M612,3)=$X$7)),"x","")</f>
        <v/>
      </c>
      <c r="Y612" s="525" t="str">
        <f>IF(OR(TH!L612=TH!$Y$7,M612=TH!$Y$7),"x","")</f>
        <v/>
      </c>
      <c r="Z612" s="525" t="str">
        <f>IF(AND(B612&lt;=NKC!$N$8,B612&gt;=NKC!$M$8),"x","")</f>
        <v/>
      </c>
      <c r="AA612" s="535"/>
    </row>
    <row r="613" spans="1:28" s="503" customFormat="1" ht="15.75" customHeight="1">
      <c r="A613" s="517" t="str">
        <f>IF(B613&lt;&gt;"",IF(AND(B613&gt;=_TM1,B613&lt;=_TM2,OR(TH!L613="1111",TH!M613="1111")),TH!D613,""),"")</f>
        <v/>
      </c>
      <c r="B613" s="531">
        <f t="shared" si="67"/>
        <v>7</v>
      </c>
      <c r="C613" s="315">
        <f t="shared" si="68"/>
        <v>42928</v>
      </c>
      <c r="D613" s="315" t="s">
        <v>461</v>
      </c>
      <c r="E613" s="288">
        <v>42928</v>
      </c>
      <c r="F613" s="249" t="s">
        <v>465</v>
      </c>
      <c r="G613" s="314" t="s">
        <v>440</v>
      </c>
      <c r="H613" s="473" t="s">
        <v>460</v>
      </c>
      <c r="I613" s="307"/>
      <c r="J613" s="307"/>
      <c r="K613" s="532">
        <v>39200000</v>
      </c>
      <c r="L613" s="533" t="s">
        <v>45</v>
      </c>
      <c r="M613" s="533" t="s">
        <v>24</v>
      </c>
      <c r="N613" s="525" t="str">
        <f>IF(AND('331-CT'!$E$7=TH!H613,OR(L613="331",M613="331")),"331",IF(AND(OR(L613="131",M613="131"),H613='131-CT'!$E$7),"131",""))</f>
        <v/>
      </c>
      <c r="O613" s="525" t="str">
        <f>IF(AND($B613&gt;='111'!$N$11,$B613&lt;='111'!$O$11,OR($L613=$O$7,$M613=$O$7)),"x","")</f>
        <v/>
      </c>
      <c r="P613" s="525" t="str">
        <f>IF(AND($L613=$O$7,$B613&lt;'111'!$N$11),"x","")</f>
        <v>x</v>
      </c>
      <c r="Q613" s="525" t="str">
        <f>IF(AND($M613=$O$7,$B613&lt;'111'!$N$11),"x","")</f>
        <v/>
      </c>
      <c r="R613" s="525" t="str">
        <f>IF(ISERROR(FIND('112'!$M$9,G613,1)),"",IF((AND(FIND('112'!$M$9,G613,1)&gt;=1,$B613&gt;='112'!$N$8,$B613&lt;='112'!$O$8,OR($L613='112'!$I$6,$M613='112'!$I$6))),"x",""))</f>
        <v/>
      </c>
      <c r="S613" s="525" t="str">
        <f>IF(ISERROR(FIND('112'!$M$9,G613,1)),"",IF((AND(LEFT(G613,2)=LEFT('112'!$M$9,2),B613&lt;'112'!$N$8,$L613='112'!$I$6)),"x",""))</f>
        <v/>
      </c>
      <c r="T613" s="525" t="str">
        <f>IF(ISERROR(FIND('112'!$M$9,G613,1)),"",IF((AND(RIGHT(G613,2)=RIGHT('112'!$M$9,2),B613&lt;'112'!$N$8,$M613='112'!$I$6)),"x",""))</f>
        <v>x</v>
      </c>
      <c r="U613" s="525" t="str">
        <f>IF(AND(B613&gt;='IN-NX'!$P$3,B613&lt;='IN-NX'!$Q$3,'IN-NX'!$D$7=D613,OR(LEFT(L613,2)="15",AND(LEFT(M613,2)&lt;&gt;"15",LEFT(M613,2)&lt;&gt;"33"))),"x","")</f>
        <v/>
      </c>
      <c r="V613" s="525" t="str">
        <f>IF(AND(OR(LEFT(TH!L613,2)="15",LEFT(TH!M613,2)="15"),'152-CT'!$J$8=TH!F613),"x","")</f>
        <v/>
      </c>
      <c r="W613" s="525" t="str">
        <f>IF(AND(OR(LEFT(TH!L613,2)="15",LEFT(TH!M613,2)="15"),TK!$E$7=TH!F613),"x","")</f>
        <v/>
      </c>
      <c r="X613" s="525" t="str">
        <f>IF(AND('341-CT'!$E$9=H613,OR(LEFT(L613,3)=$X$7,LEFT(M613,3)=$X$7)),"x","")</f>
        <v/>
      </c>
      <c r="Y613" s="525" t="str">
        <f>IF(OR(TH!L613=TH!$Y$7,M613=TH!$Y$7),"x","")</f>
        <v/>
      </c>
      <c r="Z613" s="525" t="str">
        <f>IF(AND(B613&lt;=NKC!$N$8,B613&gt;=NKC!$M$8),"x","")</f>
        <v/>
      </c>
      <c r="AA613" s="535"/>
      <c r="AB613" s="536"/>
    </row>
    <row r="614" spans="1:28" s="503" customFormat="1" ht="15.75" customHeight="1">
      <c r="A614" s="517" t="str">
        <f>IF(B614&lt;&gt;"",IF(AND(B614&gt;=_TM1,B614&lt;=_TM2,OR(TH!L614="1111",TH!M614="1111")),TH!D614,""),"")</f>
        <v/>
      </c>
      <c r="B614" s="531">
        <f t="shared" si="67"/>
        <v>7</v>
      </c>
      <c r="C614" s="315">
        <f t="shared" si="68"/>
        <v>42929</v>
      </c>
      <c r="D614" s="315" t="s">
        <v>461</v>
      </c>
      <c r="E614" s="288">
        <v>42929</v>
      </c>
      <c r="F614" s="249" t="s">
        <v>465</v>
      </c>
      <c r="G614" s="314" t="s">
        <v>440</v>
      </c>
      <c r="H614" s="473" t="s">
        <v>460</v>
      </c>
      <c r="I614" s="307"/>
      <c r="J614" s="307"/>
      <c r="K614" s="532">
        <v>129200000</v>
      </c>
      <c r="L614" s="533" t="s">
        <v>45</v>
      </c>
      <c r="M614" s="533" t="s">
        <v>24</v>
      </c>
      <c r="N614" s="525" t="str">
        <f>IF(AND('331-CT'!$E$7=TH!H614,OR(L614="331",M614="331")),"331",IF(AND(OR(L614="131",M614="131"),H614='131-CT'!$E$7),"131",""))</f>
        <v/>
      </c>
      <c r="O614" s="525" t="str">
        <f>IF(AND($B614&gt;='111'!$N$11,$B614&lt;='111'!$O$11,OR($L614=$O$7,$M614=$O$7)),"x","")</f>
        <v/>
      </c>
      <c r="P614" s="525" t="str">
        <f>IF(AND($L614=$O$7,$B614&lt;'111'!$N$11),"x","")</f>
        <v>x</v>
      </c>
      <c r="Q614" s="525" t="str">
        <f>IF(AND($M614=$O$7,$B614&lt;'111'!$N$11),"x","")</f>
        <v/>
      </c>
      <c r="R614" s="525" t="str">
        <f>IF(ISERROR(FIND('112'!$M$9,G614,1)),"",IF((AND(FIND('112'!$M$9,G614,1)&gt;=1,$B614&gt;='112'!$N$8,$B614&lt;='112'!$O$8,OR($L614='112'!$I$6,$M614='112'!$I$6))),"x",""))</f>
        <v/>
      </c>
      <c r="S614" s="525" t="str">
        <f>IF(ISERROR(FIND('112'!$M$9,G614,1)),"",IF((AND(LEFT(G614,2)=LEFT('112'!$M$9,2),B614&lt;'112'!$N$8,$L614='112'!$I$6)),"x",""))</f>
        <v/>
      </c>
      <c r="T614" s="525" t="str">
        <f>IF(ISERROR(FIND('112'!$M$9,G614,1)),"",IF((AND(RIGHT(G614,2)=RIGHT('112'!$M$9,2),B614&lt;'112'!$N$8,$M614='112'!$I$6)),"x",""))</f>
        <v>x</v>
      </c>
      <c r="U614" s="525" t="str">
        <f>IF(AND(B614&gt;='IN-NX'!$P$3,B614&lt;='IN-NX'!$Q$3,'IN-NX'!$D$7=D614,OR(LEFT(L614,2)="15",AND(LEFT(M614,2)&lt;&gt;"15",LEFT(M614,2)&lt;&gt;"33"))),"x","")</f>
        <v/>
      </c>
      <c r="V614" s="525" t="str">
        <f>IF(AND(OR(LEFT(TH!L614,2)="15",LEFT(TH!M614,2)="15"),'152-CT'!$J$8=TH!F614),"x","")</f>
        <v/>
      </c>
      <c r="W614" s="525" t="str">
        <f>IF(AND(OR(LEFT(TH!L614,2)="15",LEFT(TH!M614,2)="15"),TK!$E$7=TH!F614),"x","")</f>
        <v/>
      </c>
      <c r="X614" s="525" t="str">
        <f>IF(AND('341-CT'!$E$9=H614,OR(LEFT(L614,3)=$X$7,LEFT(M614,3)=$X$7)),"x","")</f>
        <v/>
      </c>
      <c r="Y614" s="525" t="str">
        <f>IF(OR(TH!L614=TH!$Y$7,M614=TH!$Y$7),"x","")</f>
        <v/>
      </c>
      <c r="Z614" s="525" t="str">
        <f>IF(AND(B614&lt;=NKC!$N$8,B614&gt;=NKC!$M$8),"x","")</f>
        <v/>
      </c>
      <c r="AA614" s="535"/>
    </row>
    <row r="615" spans="1:28" s="503" customFormat="1" ht="15.75" customHeight="1">
      <c r="A615" s="517" t="str">
        <f>IF(B615&lt;&gt;"",IF(AND(B615&gt;=_TM1,B615&lt;=_TM2,OR(TH!L615="1111",TH!M615="1111")),TH!D615,""),"")</f>
        <v/>
      </c>
      <c r="B615" s="531">
        <f t="shared" si="67"/>
        <v>7</v>
      </c>
      <c r="C615" s="315">
        <f t="shared" si="68"/>
        <v>42934</v>
      </c>
      <c r="D615" s="315" t="s">
        <v>456</v>
      </c>
      <c r="E615" s="288">
        <v>42934</v>
      </c>
      <c r="F615" s="248" t="s">
        <v>457</v>
      </c>
      <c r="G615" s="314" t="s">
        <v>440</v>
      </c>
      <c r="H615" s="473" t="s">
        <v>1309</v>
      </c>
      <c r="I615" s="307"/>
      <c r="J615" s="307"/>
      <c r="K615" s="532">
        <v>12000000</v>
      </c>
      <c r="L615" s="533" t="s">
        <v>24</v>
      </c>
      <c r="M615" s="533" t="s">
        <v>223</v>
      </c>
      <c r="N615" s="525" t="str">
        <f>IF(AND('331-CT'!$E$7=TH!H615,OR(L615="331",M615="331")),"331",IF(AND(OR(L615="131",M615="131"),H615='131-CT'!$E$7),"131",""))</f>
        <v/>
      </c>
      <c r="O615" s="525" t="str">
        <f>IF(AND($B615&gt;='111'!$N$11,$B615&lt;='111'!$O$11,OR($L615=$O$7,$M615=$O$7)),"x","")</f>
        <v/>
      </c>
      <c r="P615" s="525" t="str">
        <f>IF(AND($L615=$O$7,$B615&lt;'111'!$N$11),"x","")</f>
        <v/>
      </c>
      <c r="Q615" s="525" t="str">
        <f>IF(AND($M615=$O$7,$B615&lt;'111'!$N$11),"x","")</f>
        <v/>
      </c>
      <c r="R615" s="525" t="str">
        <f>IF(ISERROR(FIND('112'!$M$9,G615,1)),"",IF((AND(FIND('112'!$M$9,G615,1)&gt;=1,$B615&gt;='112'!$N$8,$B615&lt;='112'!$O$8,OR($L615='112'!$I$6,$M615='112'!$I$6))),"x",""))</f>
        <v/>
      </c>
      <c r="S615" s="525" t="str">
        <f>IF(ISERROR(FIND('112'!$M$9,G615,1)),"",IF((AND(LEFT(G615,2)=LEFT('112'!$M$9,2),B615&lt;'112'!$N$8,$L615='112'!$I$6)),"x",""))</f>
        <v>x</v>
      </c>
      <c r="T615" s="525" t="str">
        <f>IF(ISERROR(FIND('112'!$M$9,G615,1)),"",IF((AND(RIGHT(G615,2)=RIGHT('112'!$M$9,2),B615&lt;'112'!$N$8,$M615='112'!$I$6)),"x",""))</f>
        <v/>
      </c>
      <c r="U615" s="525" t="str">
        <f>IF(AND(B615&gt;='IN-NX'!$P$3,B615&lt;='IN-NX'!$Q$3,'IN-NX'!$D$7=D615,OR(LEFT(L615,2)="15",AND(LEFT(M615,2)&lt;&gt;"15",LEFT(M615,2)&lt;&gt;"33"))),"x","")</f>
        <v/>
      </c>
      <c r="V615" s="525" t="str">
        <f>IF(AND(OR(LEFT(TH!L615,2)="15",LEFT(TH!M615,2)="15"),'152-CT'!$J$8=TH!F615),"x","")</f>
        <v/>
      </c>
      <c r="W615" s="525" t="str">
        <f>IF(AND(OR(LEFT(TH!L615,2)="15",LEFT(TH!M615,2)="15"),TK!$E$7=TH!F615),"x","")</f>
        <v/>
      </c>
      <c r="X615" s="525" t="str">
        <f>IF(AND('341-CT'!$E$9=H615,OR(LEFT(L615,3)=$X$7,LEFT(M615,3)=$X$7)),"x","")</f>
        <v/>
      </c>
      <c r="Y615" s="525" t="str">
        <f>IF(OR(TH!L615=TH!$Y$7,M615=TH!$Y$7),"x","")</f>
        <v/>
      </c>
      <c r="Z615" s="525" t="str">
        <f>IF(AND(B615&lt;=NKC!$N$8,B615&gt;=NKC!$M$8),"x","")</f>
        <v/>
      </c>
      <c r="AA615" s="535"/>
      <c r="AB615" s="536"/>
    </row>
    <row r="616" spans="1:28" s="503" customFormat="1" ht="15.75" customHeight="1">
      <c r="A616" s="517" t="str">
        <f>IF(B616&lt;&gt;"",IF(AND(B616&gt;=_TM1,B616&lt;=_TM2,OR(TH!L616="1111",TH!M616="1111")),TH!D616,""),"")</f>
        <v/>
      </c>
      <c r="B616" s="531">
        <f t="shared" si="67"/>
        <v>7</v>
      </c>
      <c r="C616" s="315">
        <f t="shared" si="68"/>
        <v>42940</v>
      </c>
      <c r="D616" s="315" t="s">
        <v>456</v>
      </c>
      <c r="E616" s="288">
        <v>42940</v>
      </c>
      <c r="F616" s="248" t="s">
        <v>809</v>
      </c>
      <c r="G616" s="314" t="s">
        <v>440</v>
      </c>
      <c r="H616" s="473" t="s">
        <v>460</v>
      </c>
      <c r="I616" s="307"/>
      <c r="J616" s="307"/>
      <c r="K616" s="532">
        <v>80000000</v>
      </c>
      <c r="L616" s="533" t="s">
        <v>24</v>
      </c>
      <c r="M616" s="533" t="s">
        <v>45</v>
      </c>
      <c r="N616" s="525" t="str">
        <f>IF(AND('331-CT'!$E$7=TH!H616,OR(L616="331",M616="331")),"331",IF(AND(OR(L616="131",M616="131"),H616='131-CT'!$E$7),"131",""))</f>
        <v/>
      </c>
      <c r="O616" s="525" t="str">
        <f>IF(AND($B616&gt;='111'!$N$11,$B616&lt;='111'!$O$11,OR($L616=$O$7,$M616=$O$7)),"x","")</f>
        <v/>
      </c>
      <c r="P616" s="525" t="str">
        <f>IF(AND($L616=$O$7,$B616&lt;'111'!$N$11),"x","")</f>
        <v/>
      </c>
      <c r="Q616" s="525" t="str">
        <f>IF(AND($M616=$O$7,$B616&lt;'111'!$N$11),"x","")</f>
        <v>x</v>
      </c>
      <c r="R616" s="525" t="str">
        <f>IF(ISERROR(FIND('112'!$M$9,G616,1)),"",IF((AND(FIND('112'!$M$9,G616,1)&gt;=1,$B616&gt;='112'!$N$8,$B616&lt;='112'!$O$8,OR($L616='112'!$I$6,$M616='112'!$I$6))),"x",""))</f>
        <v/>
      </c>
      <c r="S616" s="525" t="str">
        <f>IF(ISERROR(FIND('112'!$M$9,G616,1)),"",IF((AND(LEFT(G616,2)=LEFT('112'!$M$9,2),B616&lt;'112'!$N$8,$L616='112'!$I$6)),"x",""))</f>
        <v>x</v>
      </c>
      <c r="T616" s="525" t="str">
        <f>IF(ISERROR(FIND('112'!$M$9,G616,1)),"",IF((AND(RIGHT(G616,2)=RIGHT('112'!$M$9,2),B616&lt;'112'!$N$8,$M616='112'!$I$6)),"x",""))</f>
        <v/>
      </c>
      <c r="U616" s="525" t="str">
        <f>IF(AND(B616&gt;='IN-NX'!$P$3,B616&lt;='IN-NX'!$Q$3,'IN-NX'!$D$7=D616,OR(LEFT(L616,2)="15",AND(LEFT(M616,2)&lt;&gt;"15",LEFT(M616,2)&lt;&gt;"33"))),"x","")</f>
        <v/>
      </c>
      <c r="V616" s="525" t="str">
        <f>IF(AND(OR(LEFT(TH!L616,2)="15",LEFT(TH!M616,2)="15"),'152-CT'!$J$8=TH!F616),"x","")</f>
        <v/>
      </c>
      <c r="W616" s="525" t="str">
        <f>IF(AND(OR(LEFT(TH!L616,2)="15",LEFT(TH!M616,2)="15"),TK!$E$7=TH!F616),"x","")</f>
        <v/>
      </c>
      <c r="X616" s="525" t="str">
        <f>IF(AND('341-CT'!$E$9=H616,OR(LEFT(L616,3)=$X$7,LEFT(M616,3)=$X$7)),"x","")</f>
        <v/>
      </c>
      <c r="Y616" s="525" t="str">
        <f>IF(OR(TH!L616=TH!$Y$7,M616=TH!$Y$7),"x","")</f>
        <v/>
      </c>
      <c r="Z616" s="525" t="str">
        <f>IF(AND(B616&lt;=NKC!$N$8,B616&gt;=NKC!$M$8),"x","")</f>
        <v/>
      </c>
      <c r="AA616" s="535"/>
    </row>
    <row r="617" spans="1:28" s="503" customFormat="1" ht="15.75" customHeight="1">
      <c r="A617" s="517" t="str">
        <f>IF(B617&lt;&gt;"",IF(AND(B617&gt;=_TM1,B617&lt;=_TM2,OR(TH!L617="1111",TH!M617="1111")),TH!D617,""),"")</f>
        <v/>
      </c>
      <c r="B617" s="531">
        <f t="shared" si="67"/>
        <v>7</v>
      </c>
      <c r="C617" s="315">
        <f t="shared" si="68"/>
        <v>42935</v>
      </c>
      <c r="D617" s="315" t="s">
        <v>461</v>
      </c>
      <c r="E617" s="288">
        <v>42935</v>
      </c>
      <c r="F617" s="249" t="s">
        <v>827</v>
      </c>
      <c r="G617" s="314" t="s">
        <v>440</v>
      </c>
      <c r="H617" s="473" t="s">
        <v>460</v>
      </c>
      <c r="I617" s="307"/>
      <c r="J617" s="307"/>
      <c r="K617" s="532">
        <v>12000000</v>
      </c>
      <c r="L617" s="533" t="s">
        <v>45</v>
      </c>
      <c r="M617" s="533" t="s">
        <v>24</v>
      </c>
      <c r="N617" s="525" t="str">
        <f>IF(AND('331-CT'!$E$7=TH!H617,OR(L617="331",M617="331")),"331",IF(AND(OR(L617="131",M617="131"),H617='131-CT'!$E$7),"131",""))</f>
        <v/>
      </c>
      <c r="O617" s="525" t="str">
        <f>IF(AND($B617&gt;='111'!$N$11,$B617&lt;='111'!$O$11,OR($L617=$O$7,$M617=$O$7)),"x","")</f>
        <v/>
      </c>
      <c r="P617" s="525" t="str">
        <f>IF(AND($L617=$O$7,$B617&lt;'111'!$N$11),"x","")</f>
        <v>x</v>
      </c>
      <c r="Q617" s="525" t="str">
        <f>IF(AND($M617=$O$7,$B617&lt;'111'!$N$11),"x","")</f>
        <v/>
      </c>
      <c r="R617" s="525" t="str">
        <f>IF(ISERROR(FIND('112'!$M$9,G617,1)),"",IF((AND(FIND('112'!$M$9,G617,1)&gt;=1,$B617&gt;='112'!$N$8,$B617&lt;='112'!$O$8,OR($L617='112'!$I$6,$M617='112'!$I$6))),"x",""))</f>
        <v/>
      </c>
      <c r="S617" s="525" t="str">
        <f>IF(ISERROR(FIND('112'!$M$9,G617,1)),"",IF((AND(LEFT(G617,2)=LEFT('112'!$M$9,2),B617&lt;'112'!$N$8,$L617='112'!$I$6)),"x",""))</f>
        <v/>
      </c>
      <c r="T617" s="525" t="str">
        <f>IF(ISERROR(FIND('112'!$M$9,G617,1)),"",IF((AND(RIGHT(G617,2)=RIGHT('112'!$M$9,2),B617&lt;'112'!$N$8,$M617='112'!$I$6)),"x",""))</f>
        <v>x</v>
      </c>
      <c r="U617" s="525" t="str">
        <f>IF(AND(B617&gt;='IN-NX'!$P$3,B617&lt;='IN-NX'!$Q$3,'IN-NX'!$D$7=D617,OR(LEFT(L617,2)="15",AND(LEFT(M617,2)&lt;&gt;"15",LEFT(M617,2)&lt;&gt;"33"))),"x","")</f>
        <v/>
      </c>
      <c r="V617" s="525" t="str">
        <f>IF(AND(OR(LEFT(TH!L617,2)="15",LEFT(TH!M617,2)="15"),'152-CT'!$J$8=TH!F617),"x","")</f>
        <v/>
      </c>
      <c r="W617" s="525" t="str">
        <f>IF(AND(OR(LEFT(TH!L617,2)="15",LEFT(TH!M617,2)="15"),TK!$E$7=TH!F617),"x","")</f>
        <v/>
      </c>
      <c r="X617" s="525" t="str">
        <f>IF(AND('341-CT'!$E$9=H617,OR(LEFT(L617,3)=$X$7,LEFT(M617,3)=$X$7)),"x","")</f>
        <v/>
      </c>
      <c r="Y617" s="525" t="str">
        <f>IF(OR(TH!L617=TH!$Y$7,M617=TH!$Y$7),"x","")</f>
        <v/>
      </c>
      <c r="Z617" s="525" t="str">
        <f>IF(AND(B617&lt;=NKC!$N$8,B617&gt;=NKC!$M$8),"x","")</f>
        <v/>
      </c>
      <c r="AA617" s="535"/>
      <c r="AB617" s="536"/>
    </row>
    <row r="618" spans="1:28" s="503" customFormat="1" ht="15.75" customHeight="1">
      <c r="A618" s="517" t="str">
        <f>IF(B618&lt;&gt;"",IF(AND(B618&gt;=_TM1,B618&lt;=_TM2,OR(TH!L618="1111",TH!M618="1111")),TH!D618,""),"")</f>
        <v/>
      </c>
      <c r="B618" s="531">
        <f t="shared" si="67"/>
        <v>7</v>
      </c>
      <c r="C618" s="315">
        <f t="shared" si="68"/>
        <v>42935</v>
      </c>
      <c r="D618" s="315" t="s">
        <v>461</v>
      </c>
      <c r="E618" s="288">
        <v>42935</v>
      </c>
      <c r="F618" s="248" t="s">
        <v>1280</v>
      </c>
      <c r="G618" s="314" t="s">
        <v>440</v>
      </c>
      <c r="H618" s="472"/>
      <c r="I618" s="307"/>
      <c r="J618" s="307"/>
      <c r="K618" s="532">
        <v>24000</v>
      </c>
      <c r="L618" s="533" t="s">
        <v>81</v>
      </c>
      <c r="M618" s="533" t="s">
        <v>24</v>
      </c>
      <c r="N618" s="525" t="str">
        <f>IF(AND('331-CT'!$E$7=TH!H618,OR(L618="331",M618="331")),"331",IF(AND(OR(L618="131",M618="131"),H618='131-CT'!$E$7),"131",""))</f>
        <v/>
      </c>
      <c r="O618" s="525" t="str">
        <f>IF(AND($B618&gt;='111'!$N$11,$B618&lt;='111'!$O$11,OR($L618=$O$7,$M618=$O$7)),"x","")</f>
        <v/>
      </c>
      <c r="P618" s="525" t="str">
        <f>IF(AND($L618=$O$7,$B618&lt;'111'!$N$11),"x","")</f>
        <v/>
      </c>
      <c r="Q618" s="525" t="str">
        <f>IF(AND($M618=$O$7,$B618&lt;'111'!$N$11),"x","")</f>
        <v/>
      </c>
      <c r="R618" s="525" t="str">
        <f>IF(ISERROR(FIND('112'!$M$9,G618,1)),"",IF((AND(FIND('112'!$M$9,G618,1)&gt;=1,$B618&gt;='112'!$N$8,$B618&lt;='112'!$O$8,OR($L618='112'!$I$6,$M618='112'!$I$6))),"x",""))</f>
        <v/>
      </c>
      <c r="S618" s="525" t="str">
        <f>IF(ISERROR(FIND('112'!$M$9,G618,1)),"",IF((AND(LEFT(G618,2)=LEFT('112'!$M$9,2),B618&lt;'112'!$N$8,$L618='112'!$I$6)),"x",""))</f>
        <v/>
      </c>
      <c r="T618" s="525" t="str">
        <f>IF(ISERROR(FIND('112'!$M$9,G618,1)),"",IF((AND(RIGHT(G618,2)=RIGHT('112'!$M$9,2),B618&lt;'112'!$N$8,$M618='112'!$I$6)),"x",""))</f>
        <v>x</v>
      </c>
      <c r="U618" s="525" t="str">
        <f>IF(AND(B618&gt;='IN-NX'!$P$3,B618&lt;='IN-NX'!$Q$3,'IN-NX'!$D$7=D618,OR(LEFT(L618,2)="15",AND(LEFT(M618,2)&lt;&gt;"15",LEFT(M618,2)&lt;&gt;"33"))),"x","")</f>
        <v/>
      </c>
      <c r="V618" s="525" t="str">
        <f>IF(AND(OR(LEFT(TH!L618,2)="15",LEFT(TH!M618,2)="15"),'152-CT'!$J$8=TH!F618),"x","")</f>
        <v/>
      </c>
      <c r="W618" s="525" t="str">
        <f>IF(AND(OR(LEFT(TH!L618,2)="15",LEFT(TH!M618,2)="15"),TK!$E$7=TH!F618),"x","")</f>
        <v/>
      </c>
      <c r="X618" s="525" t="str">
        <f>IF(AND('341-CT'!$E$9=H618,OR(LEFT(L618,3)=$X$7,LEFT(M618,3)=$X$7)),"x","")</f>
        <v/>
      </c>
      <c r="Y618" s="525" t="str">
        <f>IF(OR(TH!L618=TH!$Y$7,M618=TH!$Y$7),"x","")</f>
        <v/>
      </c>
      <c r="Z618" s="525" t="str">
        <f>IF(AND(B618&lt;=NKC!$N$8,B618&gt;=NKC!$M$8),"x","")</f>
        <v/>
      </c>
      <c r="AA618" s="535">
        <v>3</v>
      </c>
    </row>
    <row r="619" spans="1:28" s="503" customFormat="1" ht="15.75" customHeight="1">
      <c r="A619" s="517" t="str">
        <f>IF(B619&lt;&gt;"",IF(AND(B619&gt;=_TM1,B619&lt;=_TM2,OR(TH!L619="1111",TH!M619="1111")),TH!D619,""),"")</f>
        <v/>
      </c>
      <c r="B619" s="531">
        <f t="shared" si="67"/>
        <v>7</v>
      </c>
      <c r="C619" s="315">
        <f t="shared" si="68"/>
        <v>42935</v>
      </c>
      <c r="D619" s="315" t="s">
        <v>461</v>
      </c>
      <c r="E619" s="288">
        <v>42935</v>
      </c>
      <c r="F619" s="248" t="s">
        <v>1281</v>
      </c>
      <c r="G619" s="314" t="s">
        <v>440</v>
      </c>
      <c r="H619" s="472"/>
      <c r="I619" s="307"/>
      <c r="J619" s="307"/>
      <c r="K619" s="532">
        <v>2400</v>
      </c>
      <c r="L619" s="533" t="s">
        <v>9</v>
      </c>
      <c r="M619" s="533" t="s">
        <v>24</v>
      </c>
      <c r="N619" s="525" t="str">
        <f>IF(AND('331-CT'!$E$7=TH!H619,OR(L619="331",M619="331")),"331",IF(AND(OR(L619="131",M619="131"),H619='131-CT'!$E$7),"131",""))</f>
        <v/>
      </c>
      <c r="O619" s="525" t="str">
        <f>IF(AND($B619&gt;='111'!$N$11,$B619&lt;='111'!$O$11,OR($L619=$O$7,$M619=$O$7)),"x","")</f>
        <v/>
      </c>
      <c r="P619" s="525" t="str">
        <f>IF(AND($L619=$O$7,$B619&lt;'111'!$N$11),"x","")</f>
        <v/>
      </c>
      <c r="Q619" s="525" t="str">
        <f>IF(AND($M619=$O$7,$B619&lt;'111'!$N$11),"x","")</f>
        <v/>
      </c>
      <c r="R619" s="525" t="str">
        <f>IF(ISERROR(FIND('112'!$M$9,G619,1)),"",IF((AND(FIND('112'!$M$9,G619,1)&gt;=1,$B619&gt;='112'!$N$8,$B619&lt;='112'!$O$8,OR($L619='112'!$I$6,$M619='112'!$I$6))),"x",""))</f>
        <v/>
      </c>
      <c r="S619" s="525" t="str">
        <f>IF(ISERROR(FIND('112'!$M$9,G619,1)),"",IF((AND(LEFT(G619,2)=LEFT('112'!$M$9,2),B619&lt;'112'!$N$8,$L619='112'!$I$6)),"x",""))</f>
        <v/>
      </c>
      <c r="T619" s="525" t="str">
        <f>IF(ISERROR(FIND('112'!$M$9,G619,1)),"",IF((AND(RIGHT(G619,2)=RIGHT('112'!$M$9,2),B619&lt;'112'!$N$8,$M619='112'!$I$6)),"x",""))</f>
        <v>x</v>
      </c>
      <c r="U619" s="525" t="str">
        <f>IF(AND(B619&gt;='IN-NX'!$P$3,B619&lt;='IN-NX'!$Q$3,'IN-NX'!$D$7=D619,OR(LEFT(L619,2)="15",AND(LEFT(M619,2)&lt;&gt;"15",LEFT(M619,2)&lt;&gt;"33"))),"x","")</f>
        <v/>
      </c>
      <c r="V619" s="525" t="str">
        <f>IF(AND(OR(LEFT(TH!L619,2)="15",LEFT(TH!M619,2)="15"),'152-CT'!$J$8=TH!F619),"x","")</f>
        <v/>
      </c>
      <c r="W619" s="525" t="str">
        <f>IF(AND(OR(LEFT(TH!L619,2)="15",LEFT(TH!M619,2)="15"),TK!$E$7=TH!F619),"x","")</f>
        <v/>
      </c>
      <c r="X619" s="525" t="str">
        <f>IF(AND('341-CT'!$E$9=H619,OR(LEFT(L619,3)=$X$7,LEFT(M619,3)=$X$7)),"x","")</f>
        <v/>
      </c>
      <c r="Y619" s="525" t="str">
        <f>IF(OR(TH!L619=TH!$Y$7,M619=TH!$Y$7),"x","")</f>
        <v/>
      </c>
      <c r="Z619" s="525" t="str">
        <f>IF(AND(B619&lt;=NKC!$N$8,B619&gt;=NKC!$M$8),"x","")</f>
        <v/>
      </c>
      <c r="AA619" s="535">
        <v>3</v>
      </c>
    </row>
    <row r="620" spans="1:28" s="503" customFormat="1" ht="15.75" customHeight="1">
      <c r="A620" s="517" t="str">
        <f>IF(B620&lt;&gt;"",IF(AND(B620&gt;=_TM1,B620&lt;=_TM2,OR(TH!L620="1111",TH!M620="1111")),TH!D620,""),"")</f>
        <v/>
      </c>
      <c r="B620" s="531">
        <f t="shared" si="67"/>
        <v>7</v>
      </c>
      <c r="C620" s="315">
        <f t="shared" si="68"/>
        <v>42936</v>
      </c>
      <c r="D620" s="315" t="s">
        <v>461</v>
      </c>
      <c r="E620" s="288">
        <v>42936</v>
      </c>
      <c r="F620" s="249" t="s">
        <v>828</v>
      </c>
      <c r="G620" s="314" t="s">
        <v>440</v>
      </c>
      <c r="H620" s="621" t="s">
        <v>1272</v>
      </c>
      <c r="I620" s="307"/>
      <c r="J620" s="307"/>
      <c r="K620" s="532">
        <v>123501</v>
      </c>
      <c r="L620" s="533" t="s">
        <v>79</v>
      </c>
      <c r="M620" s="533" t="s">
        <v>24</v>
      </c>
      <c r="N620" s="525" t="str">
        <f>IF(AND('331-CT'!$E$7=TH!H620,OR(L620="331",M620="331")),"331",IF(AND(OR(L620="131",M620="131"),H620='131-CT'!$E$7),"131",""))</f>
        <v/>
      </c>
      <c r="O620" s="525" t="str">
        <f>IF(AND($B620&gt;='111'!$N$11,$B620&lt;='111'!$O$11,OR($L620=$O$7,$M620=$O$7)),"x","")</f>
        <v/>
      </c>
      <c r="P620" s="525" t="str">
        <f>IF(AND($L620=$O$7,$B620&lt;'111'!$N$11),"x","")</f>
        <v/>
      </c>
      <c r="Q620" s="525" t="str">
        <f>IF(AND($M620=$O$7,$B620&lt;'111'!$N$11),"x","")</f>
        <v/>
      </c>
      <c r="R620" s="525" t="str">
        <f>IF(ISERROR(FIND('112'!$M$9,G620,1)),"",IF((AND(FIND('112'!$M$9,G620,1)&gt;=1,$B620&gt;='112'!$N$8,$B620&lt;='112'!$O$8,OR($L620='112'!$I$6,$M620='112'!$I$6))),"x",""))</f>
        <v/>
      </c>
      <c r="S620" s="525" t="str">
        <f>IF(ISERROR(FIND('112'!$M$9,G620,1)),"",IF((AND(LEFT(G620,2)=LEFT('112'!$M$9,2),B620&lt;'112'!$N$8,$L620='112'!$I$6)),"x",""))</f>
        <v/>
      </c>
      <c r="T620" s="525" t="str">
        <f>IF(ISERROR(FIND('112'!$M$9,G620,1)),"",IF((AND(RIGHT(G620,2)=RIGHT('112'!$M$9,2),B620&lt;'112'!$N$8,$M620='112'!$I$6)),"x",""))</f>
        <v>x</v>
      </c>
      <c r="U620" s="525" t="str">
        <f>IF(AND(B620&gt;='IN-NX'!$P$3,B620&lt;='IN-NX'!$Q$3,'IN-NX'!$D$7=D620,OR(LEFT(L620,2)="15",AND(LEFT(M620,2)&lt;&gt;"15",LEFT(M620,2)&lt;&gt;"33"))),"x","")</f>
        <v/>
      </c>
      <c r="V620" s="525" t="str">
        <f>IF(AND(OR(LEFT(TH!L620,2)="15",LEFT(TH!M620,2)="15"),'152-CT'!$J$8=TH!F620),"x","")</f>
        <v/>
      </c>
      <c r="W620" s="525" t="str">
        <f>IF(AND(OR(LEFT(TH!L620,2)="15",LEFT(TH!M620,2)="15"),TK!$E$7=TH!F620),"x","")</f>
        <v/>
      </c>
      <c r="X620" s="525" t="str">
        <f>IF(AND('341-CT'!$E$9=H620,OR(LEFT(L620,3)=$X$7,LEFT(M620,3)=$X$7)),"x","")</f>
        <v/>
      </c>
      <c r="Y620" s="525" t="str">
        <f>IF(OR(TH!L620=TH!$Y$7,M620=TH!$Y$7),"x","")</f>
        <v/>
      </c>
      <c r="Z620" s="525" t="str">
        <f>IF(AND(B620&lt;=NKC!$N$8,B620&gt;=NKC!$M$8),"x","")</f>
        <v/>
      </c>
      <c r="AA620" s="535"/>
    </row>
    <row r="621" spans="1:28" s="503" customFormat="1" ht="15.75" customHeight="1">
      <c r="A621" s="517" t="str">
        <f>IF(B621&lt;&gt;"",IF(AND(B621&gt;=_TM1,B621&lt;=_TM2,OR(TH!L621="1111",TH!M621="1111")),TH!D621,""),"")</f>
        <v/>
      </c>
      <c r="B621" s="531">
        <f t="shared" si="67"/>
        <v>7</v>
      </c>
      <c r="C621" s="315">
        <f t="shared" si="68"/>
        <v>42940</v>
      </c>
      <c r="D621" s="315" t="s">
        <v>461</v>
      </c>
      <c r="E621" s="288">
        <v>42940</v>
      </c>
      <c r="F621" s="249" t="s">
        <v>828</v>
      </c>
      <c r="G621" s="314" t="s">
        <v>440</v>
      </c>
      <c r="H621" s="621" t="s">
        <v>1274</v>
      </c>
      <c r="I621" s="307"/>
      <c r="J621" s="307"/>
      <c r="K621" s="532">
        <v>12548</v>
      </c>
      <c r="L621" s="533" t="s">
        <v>79</v>
      </c>
      <c r="M621" s="533" t="s">
        <v>24</v>
      </c>
      <c r="N621" s="525" t="str">
        <f>IF(AND('331-CT'!$E$7=TH!H621,OR(L621="331",M621="331")),"331",IF(AND(OR(L621="131",M621="131"),H621='131-CT'!$E$7),"131",""))</f>
        <v/>
      </c>
      <c r="O621" s="525" t="str">
        <f>IF(AND($B621&gt;='111'!$N$11,$B621&lt;='111'!$O$11,OR($L621=$O$7,$M621=$O$7)),"x","")</f>
        <v/>
      </c>
      <c r="P621" s="525" t="str">
        <f>IF(AND($L621=$O$7,$B621&lt;'111'!$N$11),"x","")</f>
        <v/>
      </c>
      <c r="Q621" s="525" t="str">
        <f>IF(AND($M621=$O$7,$B621&lt;'111'!$N$11),"x","")</f>
        <v/>
      </c>
      <c r="R621" s="525" t="str">
        <f>IF(ISERROR(FIND('112'!$M$9,G621,1)),"",IF((AND(FIND('112'!$M$9,G621,1)&gt;=1,$B621&gt;='112'!$N$8,$B621&lt;='112'!$O$8,OR($L621='112'!$I$6,$M621='112'!$I$6))),"x",""))</f>
        <v/>
      </c>
      <c r="S621" s="525" t="str">
        <f>IF(ISERROR(FIND('112'!$M$9,G621,1)),"",IF((AND(LEFT(G621,2)=LEFT('112'!$M$9,2),B621&lt;'112'!$N$8,$L621='112'!$I$6)),"x",""))</f>
        <v/>
      </c>
      <c r="T621" s="525" t="str">
        <f>IF(ISERROR(FIND('112'!$M$9,G621,1)),"",IF((AND(RIGHT(G621,2)=RIGHT('112'!$M$9,2),B621&lt;'112'!$N$8,$M621='112'!$I$6)),"x",""))</f>
        <v>x</v>
      </c>
      <c r="U621" s="525" t="str">
        <f>IF(AND(B621&gt;='IN-NX'!$P$3,B621&lt;='IN-NX'!$Q$3,'IN-NX'!$D$7=D621,OR(LEFT(L621,2)="15",AND(LEFT(M621,2)&lt;&gt;"15",LEFT(M621,2)&lt;&gt;"33"))),"x","")</f>
        <v/>
      </c>
      <c r="V621" s="525" t="str">
        <f>IF(AND(OR(LEFT(TH!L621,2)="15",LEFT(TH!M621,2)="15"),'152-CT'!$J$8=TH!F621),"x","")</f>
        <v/>
      </c>
      <c r="W621" s="525" t="str">
        <f>IF(AND(OR(LEFT(TH!L621,2)="15",LEFT(TH!M621,2)="15"),TK!$E$7=TH!F621),"x","")</f>
        <v/>
      </c>
      <c r="X621" s="525" t="str">
        <f>IF(AND('341-CT'!$E$9=H621,OR(LEFT(L621,3)=$X$7,LEFT(M621,3)=$X$7)),"x","")</f>
        <v/>
      </c>
      <c r="Y621" s="525" t="str">
        <f>IF(OR(TH!L621=TH!$Y$7,M621=TH!$Y$7),"x","")</f>
        <v/>
      </c>
      <c r="Z621" s="525" t="str">
        <f>IF(AND(B621&lt;=NKC!$N$8,B621&gt;=NKC!$M$8),"x","")</f>
        <v/>
      </c>
      <c r="AA621" s="535"/>
      <c r="AB621" s="536"/>
    </row>
    <row r="622" spans="1:28" s="503" customFormat="1" ht="15.75" customHeight="1">
      <c r="A622" s="517" t="str">
        <f>IF(B622&lt;&gt;"",IF(AND(B622&gt;=_TM1,B622&lt;=_TM2,OR(TH!L622="1111",TH!M622="1111")),TH!D622,""),"")</f>
        <v/>
      </c>
      <c r="B622" s="531">
        <f t="shared" si="67"/>
        <v>7</v>
      </c>
      <c r="C622" s="315">
        <f t="shared" si="68"/>
        <v>42940</v>
      </c>
      <c r="D622" s="315" t="s">
        <v>461</v>
      </c>
      <c r="E622" s="288">
        <v>42940</v>
      </c>
      <c r="F622" s="249" t="s">
        <v>828</v>
      </c>
      <c r="G622" s="314" t="s">
        <v>440</v>
      </c>
      <c r="H622" s="621" t="s">
        <v>1274</v>
      </c>
      <c r="I622" s="307"/>
      <c r="J622" s="307"/>
      <c r="K622" s="532">
        <v>25096</v>
      </c>
      <c r="L622" s="533" t="s">
        <v>79</v>
      </c>
      <c r="M622" s="533" t="s">
        <v>24</v>
      </c>
      <c r="N622" s="525" t="str">
        <f>IF(AND('331-CT'!$E$7=TH!H622,OR(L622="331",M622="331")),"331",IF(AND(OR(L622="131",M622="131"),H622='131-CT'!$E$7),"131",""))</f>
        <v/>
      </c>
      <c r="O622" s="525" t="str">
        <f>IF(AND($B622&gt;='111'!$N$11,$B622&lt;='111'!$O$11,OR($L622=$O$7,$M622=$O$7)),"x","")</f>
        <v/>
      </c>
      <c r="P622" s="525" t="str">
        <f>IF(AND($L622=$O$7,$B622&lt;'111'!$N$11),"x","")</f>
        <v/>
      </c>
      <c r="Q622" s="525" t="str">
        <f>IF(AND($M622=$O$7,$B622&lt;'111'!$N$11),"x","")</f>
        <v/>
      </c>
      <c r="R622" s="525" t="str">
        <f>IF(ISERROR(FIND('112'!$M$9,G622,1)),"",IF((AND(FIND('112'!$M$9,G622,1)&gt;=1,$B622&gt;='112'!$N$8,$B622&lt;='112'!$O$8,OR($L622='112'!$I$6,$M622='112'!$I$6))),"x",""))</f>
        <v/>
      </c>
      <c r="S622" s="525" t="str">
        <f>IF(ISERROR(FIND('112'!$M$9,G622,1)),"",IF((AND(LEFT(G622,2)=LEFT('112'!$M$9,2),B622&lt;'112'!$N$8,$L622='112'!$I$6)),"x",""))</f>
        <v/>
      </c>
      <c r="T622" s="525" t="str">
        <f>IF(ISERROR(FIND('112'!$M$9,G622,1)),"",IF((AND(RIGHT(G622,2)=RIGHT('112'!$M$9,2),B622&lt;'112'!$N$8,$M622='112'!$I$6)),"x",""))</f>
        <v>x</v>
      </c>
      <c r="U622" s="525" t="str">
        <f>IF(AND(B622&gt;='IN-NX'!$P$3,B622&lt;='IN-NX'!$Q$3,'IN-NX'!$D$7=D622,OR(LEFT(L622,2)="15",AND(LEFT(M622,2)&lt;&gt;"15",LEFT(M622,2)&lt;&gt;"33"))),"x","")</f>
        <v/>
      </c>
      <c r="V622" s="525" t="str">
        <f>IF(AND(OR(LEFT(TH!L622,2)="15",LEFT(TH!M622,2)="15"),'152-CT'!$J$8=TH!F622),"x","")</f>
        <v/>
      </c>
      <c r="W622" s="525" t="str">
        <f>IF(AND(OR(LEFT(TH!L622,2)="15",LEFT(TH!M622,2)="15"),TK!$E$7=TH!F622),"x","")</f>
        <v/>
      </c>
      <c r="X622" s="525" t="str">
        <f>IF(AND('341-CT'!$E$9=H622,OR(LEFT(L622,3)=$X$7,LEFT(M622,3)=$X$7)),"x","")</f>
        <v/>
      </c>
      <c r="Y622" s="525" t="str">
        <f>IF(OR(TH!L622=TH!$Y$7,M622=TH!$Y$7),"x","")</f>
        <v/>
      </c>
      <c r="Z622" s="525" t="str">
        <f>IF(AND(B622&lt;=NKC!$N$8,B622&gt;=NKC!$M$8),"x","")</f>
        <v/>
      </c>
      <c r="AA622" s="535"/>
    </row>
    <row r="623" spans="1:28" s="503" customFormat="1" ht="15.75" customHeight="1">
      <c r="A623" s="517" t="str">
        <f>IF(B623&lt;&gt;"",IF(AND(B623&gt;=_TM1,B623&lt;=_TM2,OR(TH!L623="1111",TH!M623="1111")),TH!D623,""),"")</f>
        <v/>
      </c>
      <c r="B623" s="531">
        <f t="shared" si="67"/>
        <v>7</v>
      </c>
      <c r="C623" s="315">
        <f t="shared" si="68"/>
        <v>42940</v>
      </c>
      <c r="D623" s="315" t="s">
        <v>461</v>
      </c>
      <c r="E623" s="288">
        <v>42940</v>
      </c>
      <c r="F623" s="249" t="s">
        <v>828</v>
      </c>
      <c r="G623" s="314" t="s">
        <v>440</v>
      </c>
      <c r="H623" s="621" t="s">
        <v>1274</v>
      </c>
      <c r="I623" s="307"/>
      <c r="J623" s="307"/>
      <c r="K623" s="532">
        <v>1489973</v>
      </c>
      <c r="L623" s="533" t="s">
        <v>79</v>
      </c>
      <c r="M623" s="533" t="s">
        <v>24</v>
      </c>
      <c r="N623" s="525" t="str">
        <f>IF(AND('331-CT'!$E$7=TH!H623,OR(L623="331",M623="331")),"331",IF(AND(OR(L623="131",M623="131"),H623='131-CT'!$E$7),"131",""))</f>
        <v/>
      </c>
      <c r="O623" s="525" t="str">
        <f>IF(AND($B623&gt;='111'!$N$11,$B623&lt;='111'!$O$11,OR($L623=$O$7,$M623=$O$7)),"x","")</f>
        <v/>
      </c>
      <c r="P623" s="525" t="str">
        <f>IF(AND($L623=$O$7,$B623&lt;'111'!$N$11),"x","")</f>
        <v/>
      </c>
      <c r="Q623" s="525" t="str">
        <f>IF(AND($M623=$O$7,$B623&lt;'111'!$N$11),"x","")</f>
        <v/>
      </c>
      <c r="R623" s="525" t="str">
        <f>IF(ISERROR(FIND('112'!$M$9,G623,1)),"",IF((AND(FIND('112'!$M$9,G623,1)&gt;=1,$B623&gt;='112'!$N$8,$B623&lt;='112'!$O$8,OR($L623='112'!$I$6,$M623='112'!$I$6))),"x",""))</f>
        <v/>
      </c>
      <c r="S623" s="525" t="str">
        <f>IF(ISERROR(FIND('112'!$M$9,G623,1)),"",IF((AND(LEFT(G623,2)=LEFT('112'!$M$9,2),B623&lt;'112'!$N$8,$L623='112'!$I$6)),"x",""))</f>
        <v/>
      </c>
      <c r="T623" s="525" t="str">
        <f>IF(ISERROR(FIND('112'!$M$9,G623,1)),"",IF((AND(RIGHT(G623,2)=RIGHT('112'!$M$9,2),B623&lt;'112'!$N$8,$M623='112'!$I$6)),"x",""))</f>
        <v>x</v>
      </c>
      <c r="U623" s="525" t="str">
        <f>IF(AND(B623&gt;='IN-NX'!$P$3,B623&lt;='IN-NX'!$Q$3,'IN-NX'!$D$7=D623,OR(LEFT(L623,2)="15",AND(LEFT(M623,2)&lt;&gt;"15",LEFT(M623,2)&lt;&gt;"33"))),"x","")</f>
        <v/>
      </c>
      <c r="V623" s="525" t="str">
        <f>IF(AND(OR(LEFT(TH!L623,2)="15",LEFT(TH!M623,2)="15"),'152-CT'!$J$8=TH!F623),"x","")</f>
        <v/>
      </c>
      <c r="W623" s="525" t="str">
        <f>IF(AND(OR(LEFT(TH!L623,2)="15",LEFT(TH!M623,2)="15"),TK!$E$7=TH!F623),"x","")</f>
        <v/>
      </c>
      <c r="X623" s="525" t="str">
        <f>IF(AND('341-CT'!$E$9=H623,OR(LEFT(L623,3)=$X$7,LEFT(M623,3)=$X$7)),"x","")</f>
        <v/>
      </c>
      <c r="Y623" s="525" t="str">
        <f>IF(OR(TH!L623=TH!$Y$7,M623=TH!$Y$7),"x","")</f>
        <v/>
      </c>
      <c r="Z623" s="525" t="str">
        <f>IF(AND(B623&lt;=NKC!$N$8,B623&gt;=NKC!$M$8),"x","")</f>
        <v/>
      </c>
      <c r="AA623" s="535"/>
      <c r="AB623" s="536"/>
    </row>
    <row r="624" spans="1:28" s="503" customFormat="1" ht="15.75" customHeight="1">
      <c r="A624" s="517" t="str">
        <f>IF(B624&lt;&gt;"",IF(AND(B624&gt;=_TM1,B624&lt;=_TM2,OR(TH!L624="1111",TH!M624="1111")),TH!D624,""),"")</f>
        <v/>
      </c>
      <c r="B624" s="531">
        <f t="shared" si="67"/>
        <v>7</v>
      </c>
      <c r="C624" s="315">
        <f t="shared" si="68"/>
        <v>42940</v>
      </c>
      <c r="D624" s="315" t="s">
        <v>461</v>
      </c>
      <c r="E624" s="288">
        <v>42940</v>
      </c>
      <c r="F624" s="249" t="s">
        <v>829</v>
      </c>
      <c r="G624" s="314" t="s">
        <v>440</v>
      </c>
      <c r="H624" s="621" t="s">
        <v>1274</v>
      </c>
      <c r="I624" s="307"/>
      <c r="J624" s="307"/>
      <c r="K624" s="532">
        <v>10920000</v>
      </c>
      <c r="L624" s="534" t="s">
        <v>441</v>
      </c>
      <c r="M624" s="533" t="s">
        <v>24</v>
      </c>
      <c r="N624" s="525" t="str">
        <f>IF(AND('331-CT'!$E$7=TH!H624,OR(L624="331",M624="331")),"331",IF(AND(OR(L624="131",M624="131"),H624='131-CT'!$E$7),"131",""))</f>
        <v/>
      </c>
      <c r="O624" s="525" t="str">
        <f>IF(AND($B624&gt;='111'!$N$11,$B624&lt;='111'!$O$11,OR($L624=$O$7,$M624=$O$7)),"x","")</f>
        <v/>
      </c>
      <c r="P624" s="525" t="str">
        <f>IF(AND($L624=$O$7,$B624&lt;'111'!$N$11),"x","")</f>
        <v/>
      </c>
      <c r="Q624" s="525" t="str">
        <f>IF(AND($M624=$O$7,$B624&lt;'111'!$N$11),"x","")</f>
        <v/>
      </c>
      <c r="R624" s="525" t="str">
        <f>IF(ISERROR(FIND('112'!$M$9,G624,1)),"",IF((AND(FIND('112'!$M$9,G624,1)&gt;=1,$B624&gt;='112'!$N$8,$B624&lt;='112'!$O$8,OR($L624='112'!$I$6,$M624='112'!$I$6))),"x",""))</f>
        <v/>
      </c>
      <c r="S624" s="525" t="str">
        <f>IF(ISERROR(FIND('112'!$M$9,G624,1)),"",IF((AND(LEFT(G624,2)=LEFT('112'!$M$9,2),B624&lt;'112'!$N$8,$L624='112'!$I$6)),"x",""))</f>
        <v/>
      </c>
      <c r="T624" s="525" t="str">
        <f>IF(ISERROR(FIND('112'!$M$9,G624,1)),"",IF((AND(RIGHT(G624,2)=RIGHT('112'!$M$9,2),B624&lt;'112'!$N$8,$M624='112'!$I$6)),"x",""))</f>
        <v>x</v>
      </c>
      <c r="U624" s="525" t="str">
        <f>IF(AND(B624&gt;='IN-NX'!$P$3,B624&lt;='IN-NX'!$Q$3,'IN-NX'!$D$7=D624,OR(LEFT(L624,2)="15",AND(LEFT(M624,2)&lt;&gt;"15",LEFT(M624,2)&lt;&gt;"33"))),"x","")</f>
        <v/>
      </c>
      <c r="V624" s="525" t="str">
        <f>IF(AND(OR(LEFT(TH!L624,2)="15",LEFT(TH!M624,2)="15"),'152-CT'!$J$8=TH!F624),"x","")</f>
        <v/>
      </c>
      <c r="W624" s="525" t="str">
        <f>IF(AND(OR(LEFT(TH!L624,2)="15",LEFT(TH!M624,2)="15"),TK!$E$7=TH!F624),"x","")</f>
        <v/>
      </c>
      <c r="X624" s="525" t="str">
        <f>IF(AND('341-CT'!$E$9=H624,OR(LEFT(L624,3)=$X$7,LEFT(M624,3)=$X$7)),"x","")</f>
        <v/>
      </c>
      <c r="Y624" s="525" t="str">
        <f>IF(OR(TH!L624=TH!$Y$7,M624=TH!$Y$7),"x","")</f>
        <v/>
      </c>
      <c r="Z624" s="525" t="str">
        <f>IF(AND(B624&lt;=NKC!$N$8,B624&gt;=NKC!$M$8),"x","")</f>
        <v/>
      </c>
      <c r="AA624" s="535"/>
    </row>
    <row r="625" spans="1:28" s="503" customFormat="1" ht="15.75" customHeight="1">
      <c r="A625" s="517" t="str">
        <f>IF(B625&lt;&gt;"",IF(AND(B625&gt;=_TM1,B625&lt;=_TM2,OR(TH!L625="1111",TH!M625="1111")),TH!D625,""),"")</f>
        <v/>
      </c>
      <c r="B625" s="531">
        <f t="shared" si="67"/>
        <v>7</v>
      </c>
      <c r="C625" s="315">
        <f t="shared" si="68"/>
        <v>42940</v>
      </c>
      <c r="D625" s="315" t="s">
        <v>461</v>
      </c>
      <c r="E625" s="288">
        <v>42940</v>
      </c>
      <c r="F625" s="249" t="s">
        <v>828</v>
      </c>
      <c r="G625" s="314" t="s">
        <v>440</v>
      </c>
      <c r="H625" s="621" t="s">
        <v>1275</v>
      </c>
      <c r="I625" s="307"/>
      <c r="J625" s="307"/>
      <c r="K625" s="532">
        <v>14394</v>
      </c>
      <c r="L625" s="533" t="s">
        <v>79</v>
      </c>
      <c r="M625" s="533" t="s">
        <v>24</v>
      </c>
      <c r="N625" s="525" t="str">
        <f>IF(AND('331-CT'!$E$7=TH!H625,OR(L625="331",M625="331")),"331",IF(AND(OR(L625="131",M625="131"),H625='131-CT'!$E$7),"131",""))</f>
        <v/>
      </c>
      <c r="O625" s="525" t="str">
        <f>IF(AND($B625&gt;='111'!$N$11,$B625&lt;='111'!$O$11,OR($L625=$O$7,$M625=$O$7)),"x","")</f>
        <v/>
      </c>
      <c r="P625" s="525" t="str">
        <f>IF(AND($L625=$O$7,$B625&lt;'111'!$N$11),"x","")</f>
        <v/>
      </c>
      <c r="Q625" s="525" t="str">
        <f>IF(AND($M625=$O$7,$B625&lt;'111'!$N$11),"x","")</f>
        <v/>
      </c>
      <c r="R625" s="525" t="str">
        <f>IF(ISERROR(FIND('112'!$M$9,G625,1)),"",IF((AND(FIND('112'!$M$9,G625,1)&gt;=1,$B625&gt;='112'!$N$8,$B625&lt;='112'!$O$8,OR($L625='112'!$I$6,$M625='112'!$I$6))),"x",""))</f>
        <v/>
      </c>
      <c r="S625" s="525" t="str">
        <f>IF(ISERROR(FIND('112'!$M$9,G625,1)),"",IF((AND(LEFT(G625,2)=LEFT('112'!$M$9,2),B625&lt;'112'!$N$8,$L625='112'!$I$6)),"x",""))</f>
        <v/>
      </c>
      <c r="T625" s="525" t="str">
        <f>IF(ISERROR(FIND('112'!$M$9,G625,1)),"",IF((AND(RIGHT(G625,2)=RIGHT('112'!$M$9,2),B625&lt;'112'!$N$8,$M625='112'!$I$6)),"x",""))</f>
        <v>x</v>
      </c>
      <c r="U625" s="525" t="str">
        <f>IF(AND(B625&gt;='IN-NX'!$P$3,B625&lt;='IN-NX'!$Q$3,'IN-NX'!$D$7=D625,OR(LEFT(L625,2)="15",AND(LEFT(M625,2)&lt;&gt;"15",LEFT(M625,2)&lt;&gt;"33"))),"x","")</f>
        <v/>
      </c>
      <c r="V625" s="525" t="str">
        <f>IF(AND(OR(LEFT(TH!L625,2)="15",LEFT(TH!M625,2)="15"),'152-CT'!$J$8=TH!F625),"x","")</f>
        <v/>
      </c>
      <c r="W625" s="525" t="str">
        <f>IF(AND(OR(LEFT(TH!L625,2)="15",LEFT(TH!M625,2)="15"),TK!$E$7=TH!F625),"x","")</f>
        <v/>
      </c>
      <c r="X625" s="525" t="str">
        <f>IF(AND('341-CT'!$E$9=H625,OR(LEFT(L625,3)=$X$7,LEFT(M625,3)=$X$7)),"x","")</f>
        <v/>
      </c>
      <c r="Y625" s="525" t="str">
        <f>IF(OR(TH!L625=TH!$Y$7,M625=TH!$Y$7),"x","")</f>
        <v/>
      </c>
      <c r="Z625" s="525" t="str">
        <f>IF(AND(B625&lt;=NKC!$N$8,B625&gt;=NKC!$M$8),"x","")</f>
        <v/>
      </c>
      <c r="AA625" s="535"/>
      <c r="AB625" s="536"/>
    </row>
    <row r="626" spans="1:28" s="503" customFormat="1" ht="15.75" customHeight="1">
      <c r="A626" s="517" t="str">
        <f>IF(B626&lt;&gt;"",IF(AND(B626&gt;=_TM1,B626&lt;=_TM2,OR(TH!L626="1111",TH!M626="1111")),TH!D626,""),"")</f>
        <v/>
      </c>
      <c r="B626" s="531">
        <f t="shared" si="67"/>
        <v>7</v>
      </c>
      <c r="C626" s="315">
        <f t="shared" si="68"/>
        <v>42940</v>
      </c>
      <c r="D626" s="315" t="s">
        <v>461</v>
      </c>
      <c r="E626" s="288">
        <v>42940</v>
      </c>
      <c r="F626" s="249" t="s">
        <v>828</v>
      </c>
      <c r="G626" s="314" t="s">
        <v>440</v>
      </c>
      <c r="H626" s="621" t="s">
        <v>1275</v>
      </c>
      <c r="I626" s="307"/>
      <c r="J626" s="307"/>
      <c r="K626" s="532">
        <v>28788</v>
      </c>
      <c r="L626" s="533" t="s">
        <v>79</v>
      </c>
      <c r="M626" s="533" t="s">
        <v>24</v>
      </c>
      <c r="N626" s="525" t="str">
        <f>IF(AND('331-CT'!$E$7=TH!H626,OR(L626="331",M626="331")),"331",IF(AND(OR(L626="131",M626="131"),H626='131-CT'!$E$7),"131",""))</f>
        <v/>
      </c>
      <c r="O626" s="525" t="str">
        <f>IF(AND($B626&gt;='111'!$N$11,$B626&lt;='111'!$O$11,OR($L626=$O$7,$M626=$O$7)),"x","")</f>
        <v/>
      </c>
      <c r="P626" s="525" t="str">
        <f>IF(AND($L626=$O$7,$B626&lt;'111'!$N$11),"x","")</f>
        <v/>
      </c>
      <c r="Q626" s="525" t="str">
        <f>IF(AND($M626=$O$7,$B626&lt;'111'!$N$11),"x","")</f>
        <v/>
      </c>
      <c r="R626" s="525" t="str">
        <f>IF(ISERROR(FIND('112'!$M$9,G626,1)),"",IF((AND(FIND('112'!$M$9,G626,1)&gt;=1,$B626&gt;='112'!$N$8,$B626&lt;='112'!$O$8,OR($L626='112'!$I$6,$M626='112'!$I$6))),"x",""))</f>
        <v/>
      </c>
      <c r="S626" s="525" t="str">
        <f>IF(ISERROR(FIND('112'!$M$9,G626,1)),"",IF((AND(LEFT(G626,2)=LEFT('112'!$M$9,2),B626&lt;'112'!$N$8,$L626='112'!$I$6)),"x",""))</f>
        <v/>
      </c>
      <c r="T626" s="525" t="str">
        <f>IF(ISERROR(FIND('112'!$M$9,G626,1)),"",IF((AND(RIGHT(G626,2)=RIGHT('112'!$M$9,2),B626&lt;'112'!$N$8,$M626='112'!$I$6)),"x",""))</f>
        <v>x</v>
      </c>
      <c r="U626" s="525" t="str">
        <f>IF(AND(B626&gt;='IN-NX'!$P$3,B626&lt;='IN-NX'!$Q$3,'IN-NX'!$D$7=D626,OR(LEFT(L626,2)="15",AND(LEFT(M626,2)&lt;&gt;"15",LEFT(M626,2)&lt;&gt;"33"))),"x","")</f>
        <v/>
      </c>
      <c r="V626" s="525" t="str">
        <f>IF(AND(OR(LEFT(TH!L626,2)="15",LEFT(TH!M626,2)="15"),'152-CT'!$J$8=TH!F626),"x","")</f>
        <v/>
      </c>
      <c r="W626" s="525" t="str">
        <f>IF(AND(OR(LEFT(TH!L626,2)="15",LEFT(TH!M626,2)="15"),TK!$E$7=TH!F626),"x","")</f>
        <v/>
      </c>
      <c r="X626" s="525" t="str">
        <f>IF(AND('341-CT'!$E$9=H626,OR(LEFT(L626,3)=$X$7,LEFT(M626,3)=$X$7)),"x","")</f>
        <v/>
      </c>
      <c r="Y626" s="525" t="str">
        <f>IF(OR(TH!L626=TH!$Y$7,M626=TH!$Y$7),"x","")</f>
        <v/>
      </c>
      <c r="Z626" s="525" t="str">
        <f>IF(AND(B626&lt;=NKC!$N$8,B626&gt;=NKC!$M$8),"x","")</f>
        <v/>
      </c>
      <c r="AA626" s="535"/>
    </row>
    <row r="627" spans="1:28" s="503" customFormat="1" ht="15.75" customHeight="1">
      <c r="A627" s="517" t="str">
        <f>IF(B627&lt;&gt;"",IF(AND(B627&gt;=_TM1,B627&lt;=_TM2,OR(TH!L627="1111",TH!M627="1111")),TH!D627,""),"")</f>
        <v/>
      </c>
      <c r="B627" s="531">
        <f t="shared" si="67"/>
        <v>7</v>
      </c>
      <c r="C627" s="315">
        <f t="shared" si="68"/>
        <v>42940</v>
      </c>
      <c r="D627" s="315" t="s">
        <v>461</v>
      </c>
      <c r="E627" s="288">
        <v>42940</v>
      </c>
      <c r="F627" s="249" t="s">
        <v>828</v>
      </c>
      <c r="G627" s="314" t="s">
        <v>440</v>
      </c>
      <c r="H627" s="621" t="s">
        <v>1275</v>
      </c>
      <c r="I627" s="307"/>
      <c r="J627" s="307"/>
      <c r="K627" s="532">
        <v>1893750</v>
      </c>
      <c r="L627" s="533" t="s">
        <v>79</v>
      </c>
      <c r="M627" s="533" t="s">
        <v>24</v>
      </c>
      <c r="N627" s="525" t="str">
        <f>IF(AND('331-CT'!$E$7=TH!H627,OR(L627="331",M627="331")),"331",IF(AND(OR(L627="131",M627="131"),H627='131-CT'!$E$7),"131",""))</f>
        <v/>
      </c>
      <c r="O627" s="525" t="str">
        <f>IF(AND($B627&gt;='111'!$N$11,$B627&lt;='111'!$O$11,OR($L627=$O$7,$M627=$O$7)),"x","")</f>
        <v/>
      </c>
      <c r="P627" s="525" t="str">
        <f>IF(AND($L627=$O$7,$B627&lt;'111'!$N$11),"x","")</f>
        <v/>
      </c>
      <c r="Q627" s="525" t="str">
        <f>IF(AND($M627=$O$7,$B627&lt;'111'!$N$11),"x","")</f>
        <v/>
      </c>
      <c r="R627" s="525" t="str">
        <f>IF(ISERROR(FIND('112'!$M$9,G627,1)),"",IF((AND(FIND('112'!$M$9,G627,1)&gt;=1,$B627&gt;='112'!$N$8,$B627&lt;='112'!$O$8,OR($L627='112'!$I$6,$M627='112'!$I$6))),"x",""))</f>
        <v/>
      </c>
      <c r="S627" s="525" t="str">
        <f>IF(ISERROR(FIND('112'!$M$9,G627,1)),"",IF((AND(LEFT(G627,2)=LEFT('112'!$M$9,2),B627&lt;'112'!$N$8,$L627='112'!$I$6)),"x",""))</f>
        <v/>
      </c>
      <c r="T627" s="525" t="str">
        <f>IF(ISERROR(FIND('112'!$M$9,G627,1)),"",IF((AND(RIGHT(G627,2)=RIGHT('112'!$M$9,2),B627&lt;'112'!$N$8,$M627='112'!$I$6)),"x",""))</f>
        <v>x</v>
      </c>
      <c r="U627" s="525" t="str">
        <f>IF(AND(B627&gt;='IN-NX'!$P$3,B627&lt;='IN-NX'!$Q$3,'IN-NX'!$D$7=D627,OR(LEFT(L627,2)="15",AND(LEFT(M627,2)&lt;&gt;"15",LEFT(M627,2)&lt;&gt;"33"))),"x","")</f>
        <v/>
      </c>
      <c r="V627" s="525" t="str">
        <f>IF(AND(OR(LEFT(TH!L627,2)="15",LEFT(TH!M627,2)="15"),'152-CT'!$J$8=TH!F627),"x","")</f>
        <v/>
      </c>
      <c r="W627" s="525" t="str">
        <f>IF(AND(OR(LEFT(TH!L627,2)="15",LEFT(TH!M627,2)="15"),TK!$E$7=TH!F627),"x","")</f>
        <v/>
      </c>
      <c r="X627" s="525" t="str">
        <f>IF(AND('341-CT'!$E$9=H627,OR(LEFT(L627,3)=$X$7,LEFT(M627,3)=$X$7)),"x","")</f>
        <v/>
      </c>
      <c r="Y627" s="525" t="str">
        <f>IF(OR(TH!L627=TH!$Y$7,M627=TH!$Y$7),"x","")</f>
        <v/>
      </c>
      <c r="Z627" s="525" t="str">
        <f>IF(AND(B627&lt;=NKC!$N$8,B627&gt;=NKC!$M$8),"x","")</f>
        <v/>
      </c>
      <c r="AA627" s="535"/>
      <c r="AB627" s="536"/>
    </row>
    <row r="628" spans="1:28" s="503" customFormat="1" ht="15.75" customHeight="1">
      <c r="A628" s="517" t="str">
        <f>IF(B628&lt;&gt;"",IF(AND(B628&gt;=_TM1,B628&lt;=_TM2,OR(TH!L628="1111",TH!M628="1111")),TH!D628,""),"")</f>
        <v/>
      </c>
      <c r="B628" s="531">
        <f t="shared" si="67"/>
        <v>7</v>
      </c>
      <c r="C628" s="315">
        <f t="shared" si="68"/>
        <v>42940</v>
      </c>
      <c r="D628" s="315" t="s">
        <v>461</v>
      </c>
      <c r="E628" s="288">
        <v>42940</v>
      </c>
      <c r="F628" s="249" t="s">
        <v>829</v>
      </c>
      <c r="G628" s="314" t="s">
        <v>440</v>
      </c>
      <c r="H628" s="621" t="s">
        <v>1275</v>
      </c>
      <c r="I628" s="307"/>
      <c r="J628" s="307"/>
      <c r="K628" s="532">
        <v>12500000</v>
      </c>
      <c r="L628" s="534" t="s">
        <v>441</v>
      </c>
      <c r="M628" s="533" t="s">
        <v>24</v>
      </c>
      <c r="N628" s="525" t="str">
        <f>IF(AND('331-CT'!$E$7=TH!H628,OR(L628="331",M628="331")),"331",IF(AND(OR(L628="131",M628="131"),H628='131-CT'!$E$7),"131",""))</f>
        <v/>
      </c>
      <c r="O628" s="525" t="str">
        <f>IF(AND($B628&gt;='111'!$N$11,$B628&lt;='111'!$O$11,OR($L628=$O$7,$M628=$O$7)),"x","")</f>
        <v/>
      </c>
      <c r="P628" s="525" t="str">
        <f>IF(AND($L628=$O$7,$B628&lt;'111'!$N$11),"x","")</f>
        <v/>
      </c>
      <c r="Q628" s="525" t="str">
        <f>IF(AND($M628=$O$7,$B628&lt;'111'!$N$11),"x","")</f>
        <v/>
      </c>
      <c r="R628" s="525" t="str">
        <f>IF(ISERROR(FIND('112'!$M$9,G628,1)),"",IF((AND(FIND('112'!$M$9,G628,1)&gt;=1,$B628&gt;='112'!$N$8,$B628&lt;='112'!$O$8,OR($L628='112'!$I$6,$M628='112'!$I$6))),"x",""))</f>
        <v/>
      </c>
      <c r="S628" s="525" t="str">
        <f>IF(ISERROR(FIND('112'!$M$9,G628,1)),"",IF((AND(LEFT(G628,2)=LEFT('112'!$M$9,2),B628&lt;'112'!$N$8,$L628='112'!$I$6)),"x",""))</f>
        <v/>
      </c>
      <c r="T628" s="525" t="str">
        <f>IF(ISERROR(FIND('112'!$M$9,G628,1)),"",IF((AND(RIGHT(G628,2)=RIGHT('112'!$M$9,2),B628&lt;'112'!$N$8,$M628='112'!$I$6)),"x",""))</f>
        <v>x</v>
      </c>
      <c r="U628" s="525" t="str">
        <f>IF(AND(B628&gt;='IN-NX'!$P$3,B628&lt;='IN-NX'!$Q$3,'IN-NX'!$D$7=D628,OR(LEFT(L628,2)="15",AND(LEFT(M628,2)&lt;&gt;"15",LEFT(M628,2)&lt;&gt;"33"))),"x","")</f>
        <v/>
      </c>
      <c r="V628" s="525" t="str">
        <f>IF(AND(OR(LEFT(TH!L628,2)="15",LEFT(TH!M628,2)="15"),'152-CT'!$J$8=TH!F628),"x","")</f>
        <v/>
      </c>
      <c r="W628" s="525" t="str">
        <f>IF(AND(OR(LEFT(TH!L628,2)="15",LEFT(TH!M628,2)="15"),TK!$E$7=TH!F628),"x","")</f>
        <v/>
      </c>
      <c r="X628" s="525" t="str">
        <f>IF(AND('341-CT'!$E$9=H628,OR(LEFT(L628,3)=$X$7,LEFT(M628,3)=$X$7)),"x","")</f>
        <v/>
      </c>
      <c r="Y628" s="525" t="str">
        <f>IF(OR(TH!L628=TH!$Y$7,M628=TH!$Y$7),"x","")</f>
        <v/>
      </c>
      <c r="Z628" s="525" t="str">
        <f>IF(AND(B628&lt;=NKC!$N$8,B628&gt;=NKC!$M$8),"x","")</f>
        <v/>
      </c>
      <c r="AA628" s="535"/>
    </row>
    <row r="629" spans="1:28" s="503" customFormat="1" ht="15.75" customHeight="1">
      <c r="A629" s="517" t="str">
        <f>IF(B629&lt;&gt;"",IF(AND(B629&gt;=_TM1,B629&lt;=_TM2,OR(TH!L629="1111",TH!M629="1111")),TH!D629,""),"")</f>
        <v/>
      </c>
      <c r="B629" s="531">
        <f t="shared" si="65"/>
        <v>7</v>
      </c>
      <c r="C629" s="315">
        <f t="shared" si="66"/>
        <v>42940</v>
      </c>
      <c r="D629" s="315" t="s">
        <v>461</v>
      </c>
      <c r="E629" s="288">
        <v>42940</v>
      </c>
      <c r="F629" s="249" t="s">
        <v>828</v>
      </c>
      <c r="G629" s="314" t="s">
        <v>440</v>
      </c>
      <c r="H629" s="621" t="s">
        <v>1283</v>
      </c>
      <c r="I629" s="307"/>
      <c r="J629" s="307"/>
      <c r="K629" s="532">
        <v>7669</v>
      </c>
      <c r="L629" s="533" t="s">
        <v>79</v>
      </c>
      <c r="M629" s="533" t="s">
        <v>24</v>
      </c>
      <c r="N629" s="525" t="str">
        <f>IF(AND('331-CT'!$E$7=TH!H629,OR(L629="331",M629="331")),"331",IF(AND(OR(L629="131",M629="131"),H629='131-CT'!$E$7),"131",""))</f>
        <v/>
      </c>
      <c r="O629" s="525" t="str">
        <f>IF(AND($B629&gt;='111'!$N$11,$B629&lt;='111'!$O$11,OR($L629=$O$7,$M629=$O$7)),"x","")</f>
        <v/>
      </c>
      <c r="P629" s="525" t="str">
        <f>IF(AND($L629=$O$7,$B629&lt;'111'!$N$11),"x","")</f>
        <v/>
      </c>
      <c r="Q629" s="525" t="str">
        <f>IF(AND($M629=$O$7,$B629&lt;'111'!$N$11),"x","")</f>
        <v/>
      </c>
      <c r="R629" s="525" t="str">
        <f>IF(ISERROR(FIND('112'!$M$9,G629,1)),"",IF((AND(FIND('112'!$M$9,G629,1)&gt;=1,$B629&gt;='112'!$N$8,$B629&lt;='112'!$O$8,OR($L629='112'!$I$6,$M629='112'!$I$6))),"x",""))</f>
        <v/>
      </c>
      <c r="S629" s="525" t="str">
        <f>IF(ISERROR(FIND('112'!$M$9,G629,1)),"",IF((AND(LEFT(G629,2)=LEFT('112'!$M$9,2),B629&lt;'112'!$N$8,$L629='112'!$I$6)),"x",""))</f>
        <v/>
      </c>
      <c r="T629" s="525" t="str">
        <f>IF(ISERROR(FIND('112'!$M$9,G629,1)),"",IF((AND(RIGHT(G629,2)=RIGHT('112'!$M$9,2),B629&lt;'112'!$N$8,$M629='112'!$I$6)),"x",""))</f>
        <v>x</v>
      </c>
      <c r="U629" s="525" t="str">
        <f>IF(AND(B629&gt;='IN-NX'!$P$3,B629&lt;='IN-NX'!$Q$3,'IN-NX'!$D$7=D629,OR(LEFT(L629,2)="15",AND(LEFT(M629,2)&lt;&gt;"15",LEFT(M629,2)&lt;&gt;"33"))),"x","")</f>
        <v/>
      </c>
      <c r="V629" s="525" t="str">
        <f>IF(AND(OR(LEFT(TH!L629,2)="15",LEFT(TH!M629,2)="15"),'152-CT'!$J$8=TH!F629),"x","")</f>
        <v/>
      </c>
      <c r="W629" s="525" t="str">
        <f>IF(AND(OR(LEFT(TH!L629,2)="15",LEFT(TH!M629,2)="15"),TK!$E$7=TH!F629),"x","")</f>
        <v/>
      </c>
      <c r="X629" s="525" t="str">
        <f>IF(AND('341-CT'!$E$9=H629,OR(LEFT(L629,3)=$X$7,LEFT(M629,3)=$X$7)),"x","")</f>
        <v/>
      </c>
      <c r="Y629" s="525" t="str">
        <f>IF(OR(TH!L629=TH!$Y$7,M629=TH!$Y$7),"x","")</f>
        <v/>
      </c>
      <c r="Z629" s="525" t="str">
        <f>IF(AND(B629&lt;=NKC!$N$8,B629&gt;=NKC!$M$8),"x","")</f>
        <v/>
      </c>
      <c r="AA629" s="535"/>
    </row>
    <row r="630" spans="1:28" s="503" customFormat="1" ht="15.75" customHeight="1">
      <c r="A630" s="517" t="str">
        <f>IF(B630&lt;&gt;"",IF(AND(B630&gt;=_TM1,B630&lt;=_TM2,OR(TH!L630="1111",TH!M630="1111")),TH!D630,""),"")</f>
        <v/>
      </c>
      <c r="B630" s="531">
        <f t="shared" si="65"/>
        <v>7</v>
      </c>
      <c r="C630" s="315">
        <f t="shared" si="66"/>
        <v>42940</v>
      </c>
      <c r="D630" s="315" t="s">
        <v>461</v>
      </c>
      <c r="E630" s="288">
        <v>42940</v>
      </c>
      <c r="F630" s="249" t="s">
        <v>828</v>
      </c>
      <c r="G630" s="314" t="s">
        <v>440</v>
      </c>
      <c r="H630" s="621" t="s">
        <v>1283</v>
      </c>
      <c r="I630" s="307"/>
      <c r="J630" s="307"/>
      <c r="K630" s="532">
        <v>15337</v>
      </c>
      <c r="L630" s="533" t="s">
        <v>79</v>
      </c>
      <c r="M630" s="533" t="s">
        <v>24</v>
      </c>
      <c r="N630" s="525" t="str">
        <f>IF(AND('331-CT'!$E$7=TH!H630,OR(L630="331",M630="331")),"331",IF(AND(OR(L630="131",M630="131"),H630='131-CT'!$E$7),"131",""))</f>
        <v/>
      </c>
      <c r="O630" s="525" t="str">
        <f>IF(AND($B630&gt;='111'!$N$11,$B630&lt;='111'!$O$11,OR($L630=$O$7,$M630=$O$7)),"x","")</f>
        <v/>
      </c>
      <c r="P630" s="525" t="str">
        <f>IF(AND($L630=$O$7,$B630&lt;'111'!$N$11),"x","")</f>
        <v/>
      </c>
      <c r="Q630" s="525" t="str">
        <f>IF(AND($M630=$O$7,$B630&lt;'111'!$N$11),"x","")</f>
        <v/>
      </c>
      <c r="R630" s="525" t="str">
        <f>IF(ISERROR(FIND('112'!$M$9,G630,1)),"",IF((AND(FIND('112'!$M$9,G630,1)&gt;=1,$B630&gt;='112'!$N$8,$B630&lt;='112'!$O$8,OR($L630='112'!$I$6,$M630='112'!$I$6))),"x",""))</f>
        <v/>
      </c>
      <c r="S630" s="525" t="str">
        <f>IF(ISERROR(FIND('112'!$M$9,G630,1)),"",IF((AND(LEFT(G630,2)=LEFT('112'!$M$9,2),B630&lt;'112'!$N$8,$L630='112'!$I$6)),"x",""))</f>
        <v/>
      </c>
      <c r="T630" s="525" t="str">
        <f>IF(ISERROR(FIND('112'!$M$9,G630,1)),"",IF((AND(RIGHT(G630,2)=RIGHT('112'!$M$9,2),B630&lt;'112'!$N$8,$M630='112'!$I$6)),"x",""))</f>
        <v>x</v>
      </c>
      <c r="U630" s="525" t="str">
        <f>IF(AND(B630&gt;='IN-NX'!$P$3,B630&lt;='IN-NX'!$Q$3,'IN-NX'!$D$7=D630,OR(LEFT(L630,2)="15",AND(LEFT(M630,2)&lt;&gt;"15",LEFT(M630,2)&lt;&gt;"33"))),"x","")</f>
        <v/>
      </c>
      <c r="V630" s="525" t="str">
        <f>IF(AND(OR(LEFT(TH!L630,2)="15",LEFT(TH!M630,2)="15"),'152-CT'!$J$8=TH!F630),"x","")</f>
        <v/>
      </c>
      <c r="W630" s="525" t="str">
        <f>IF(AND(OR(LEFT(TH!L630,2)="15",LEFT(TH!M630,2)="15"),TK!$E$7=TH!F630),"x","")</f>
        <v/>
      </c>
      <c r="X630" s="525" t="str">
        <f>IF(AND('341-CT'!$E$9=H630,OR(LEFT(L630,3)=$X$7,LEFT(M630,3)=$X$7)),"x","")</f>
        <v/>
      </c>
      <c r="Y630" s="525" t="str">
        <f>IF(OR(TH!L630=TH!$Y$7,M630=TH!$Y$7),"x","")</f>
        <v/>
      </c>
      <c r="Z630" s="525" t="str">
        <f>IF(AND(B630&lt;=NKC!$N$8,B630&gt;=NKC!$M$8),"x","")</f>
        <v/>
      </c>
      <c r="AA630" s="535"/>
    </row>
    <row r="631" spans="1:28" s="503" customFormat="1" ht="15.75" customHeight="1">
      <c r="A631" s="517" t="str">
        <f>IF(B631&lt;&gt;"",IF(AND(B631&gt;=_TM1,B631&lt;=_TM2,OR(TH!L631="1111",TH!M631="1111")),TH!D631,""),"")</f>
        <v/>
      </c>
      <c r="B631" s="531">
        <f t="shared" si="65"/>
        <v>7</v>
      </c>
      <c r="C631" s="315">
        <f t="shared" si="66"/>
        <v>42940</v>
      </c>
      <c r="D631" s="315" t="s">
        <v>461</v>
      </c>
      <c r="E631" s="288">
        <v>42940</v>
      </c>
      <c r="F631" s="249" t="s">
        <v>828</v>
      </c>
      <c r="G631" s="314" t="s">
        <v>440</v>
      </c>
      <c r="H631" s="621" t="s">
        <v>1283</v>
      </c>
      <c r="I631" s="307"/>
      <c r="J631" s="307"/>
      <c r="K631" s="532">
        <v>1084417</v>
      </c>
      <c r="L631" s="533" t="s">
        <v>79</v>
      </c>
      <c r="M631" s="533" t="s">
        <v>24</v>
      </c>
      <c r="N631" s="525" t="str">
        <f>IF(AND('331-CT'!$E$7=TH!H631,OR(L631="331",M631="331")),"331",IF(AND(OR(L631="131",M631="131"),H631='131-CT'!$E$7),"131",""))</f>
        <v/>
      </c>
      <c r="O631" s="525" t="str">
        <f>IF(AND($B631&gt;='111'!$N$11,$B631&lt;='111'!$O$11,OR($L631=$O$7,$M631=$O$7)),"x","")</f>
        <v/>
      </c>
      <c r="P631" s="525" t="str">
        <f>IF(AND($L631=$O$7,$B631&lt;'111'!$N$11),"x","")</f>
        <v/>
      </c>
      <c r="Q631" s="525" t="str">
        <f>IF(AND($M631=$O$7,$B631&lt;'111'!$N$11),"x","")</f>
        <v/>
      </c>
      <c r="R631" s="525" t="str">
        <f>IF(ISERROR(FIND('112'!$M$9,G631,1)),"",IF((AND(FIND('112'!$M$9,G631,1)&gt;=1,$B631&gt;='112'!$N$8,$B631&lt;='112'!$O$8,OR($L631='112'!$I$6,$M631='112'!$I$6))),"x",""))</f>
        <v/>
      </c>
      <c r="S631" s="525" t="str">
        <f>IF(ISERROR(FIND('112'!$M$9,G631,1)),"",IF((AND(LEFT(G631,2)=LEFT('112'!$M$9,2),B631&lt;'112'!$N$8,$L631='112'!$I$6)),"x",""))</f>
        <v/>
      </c>
      <c r="T631" s="525" t="str">
        <f>IF(ISERROR(FIND('112'!$M$9,G631,1)),"",IF((AND(RIGHT(G631,2)=RIGHT('112'!$M$9,2),B631&lt;'112'!$N$8,$M631='112'!$I$6)),"x",""))</f>
        <v>x</v>
      </c>
      <c r="U631" s="525" t="str">
        <f>IF(AND(B631&gt;='IN-NX'!$P$3,B631&lt;='IN-NX'!$Q$3,'IN-NX'!$D$7=D631,OR(LEFT(L631,2)="15",AND(LEFT(M631,2)&lt;&gt;"15",LEFT(M631,2)&lt;&gt;"33"))),"x","")</f>
        <v/>
      </c>
      <c r="V631" s="525" t="str">
        <f>IF(AND(OR(LEFT(TH!L631,2)="15",LEFT(TH!M631,2)="15"),'152-CT'!$J$8=TH!F631),"x","")</f>
        <v/>
      </c>
      <c r="W631" s="525" t="str">
        <f>IF(AND(OR(LEFT(TH!L631,2)="15",LEFT(TH!M631,2)="15"),TK!$E$7=TH!F631),"x","")</f>
        <v/>
      </c>
      <c r="X631" s="525" t="str">
        <f>IF(AND('341-CT'!$E$9=H631,OR(LEFT(L631,3)=$X$7,LEFT(M631,3)=$X$7)),"x","")</f>
        <v/>
      </c>
      <c r="Y631" s="525" t="str">
        <f>IF(OR(TH!L631=TH!$Y$7,M631=TH!$Y$7),"x","")</f>
        <v/>
      </c>
      <c r="Z631" s="525" t="str">
        <f>IF(AND(B631&lt;=NKC!$N$8,B631&gt;=NKC!$M$8),"x","")</f>
        <v/>
      </c>
      <c r="AA631" s="535"/>
      <c r="AB631" s="536"/>
    </row>
    <row r="632" spans="1:28" s="503" customFormat="1" ht="15.75" customHeight="1">
      <c r="A632" s="517" t="str">
        <f>IF(B632&lt;&gt;"",IF(AND(B632&gt;=_TM1,B632&lt;=_TM2,OR(TH!L632="1111",TH!M632="1111")),TH!D632,""),"")</f>
        <v/>
      </c>
      <c r="B632" s="531">
        <f t="shared" si="65"/>
        <v>7</v>
      </c>
      <c r="C632" s="315">
        <f t="shared" si="66"/>
        <v>42940</v>
      </c>
      <c r="D632" s="315" t="s">
        <v>461</v>
      </c>
      <c r="E632" s="288">
        <v>42940</v>
      </c>
      <c r="F632" s="249" t="s">
        <v>829</v>
      </c>
      <c r="G632" s="314" t="s">
        <v>440</v>
      </c>
      <c r="H632" s="621" t="s">
        <v>1283</v>
      </c>
      <c r="I632" s="307"/>
      <c r="J632" s="307"/>
      <c r="K632" s="532">
        <v>6500000</v>
      </c>
      <c r="L632" s="534" t="s">
        <v>441</v>
      </c>
      <c r="M632" s="533" t="s">
        <v>24</v>
      </c>
      <c r="N632" s="525" t="str">
        <f>IF(AND('331-CT'!$E$7=TH!H632,OR(L632="331",M632="331")),"331",IF(AND(OR(L632="131",M632="131"),H632='131-CT'!$E$7),"131",""))</f>
        <v/>
      </c>
      <c r="O632" s="525" t="str">
        <f>IF(AND($B632&gt;='111'!$N$11,$B632&lt;='111'!$O$11,OR($L632=$O$7,$M632=$O$7)),"x","")</f>
        <v/>
      </c>
      <c r="P632" s="525" t="str">
        <f>IF(AND($L632=$O$7,$B632&lt;'111'!$N$11),"x","")</f>
        <v/>
      </c>
      <c r="Q632" s="525" t="str">
        <f>IF(AND($M632=$O$7,$B632&lt;'111'!$N$11),"x","")</f>
        <v/>
      </c>
      <c r="R632" s="525" t="str">
        <f>IF(ISERROR(FIND('112'!$M$9,G632,1)),"",IF((AND(FIND('112'!$M$9,G632,1)&gt;=1,$B632&gt;='112'!$N$8,$B632&lt;='112'!$O$8,OR($L632='112'!$I$6,$M632='112'!$I$6))),"x",""))</f>
        <v/>
      </c>
      <c r="S632" s="525" t="str">
        <f>IF(ISERROR(FIND('112'!$M$9,G632,1)),"",IF((AND(LEFT(G632,2)=LEFT('112'!$M$9,2),B632&lt;'112'!$N$8,$L632='112'!$I$6)),"x",""))</f>
        <v/>
      </c>
      <c r="T632" s="525" t="str">
        <f>IF(ISERROR(FIND('112'!$M$9,G632,1)),"",IF((AND(RIGHT(G632,2)=RIGHT('112'!$M$9,2),B632&lt;'112'!$N$8,$M632='112'!$I$6)),"x",""))</f>
        <v>x</v>
      </c>
      <c r="U632" s="525" t="str">
        <f>IF(AND(B632&gt;='IN-NX'!$P$3,B632&lt;='IN-NX'!$Q$3,'IN-NX'!$D$7=D632,OR(LEFT(L632,2)="15",AND(LEFT(M632,2)&lt;&gt;"15",LEFT(M632,2)&lt;&gt;"33"))),"x","")</f>
        <v/>
      </c>
      <c r="V632" s="525" t="str">
        <f>IF(AND(OR(LEFT(TH!L632,2)="15",LEFT(TH!M632,2)="15"),'152-CT'!$J$8=TH!F632),"x","")</f>
        <v/>
      </c>
      <c r="W632" s="525" t="str">
        <f>IF(AND(OR(LEFT(TH!L632,2)="15",LEFT(TH!M632,2)="15"),TK!$E$7=TH!F632),"x","")</f>
        <v/>
      </c>
      <c r="X632" s="525" t="str">
        <f>IF(AND('341-CT'!$E$9=H632,OR(LEFT(L632,3)=$X$7,LEFT(M632,3)=$X$7)),"x","")</f>
        <v/>
      </c>
      <c r="Y632" s="525" t="str">
        <f>IF(OR(TH!L632=TH!$Y$7,M632=TH!$Y$7),"x","")</f>
        <v/>
      </c>
      <c r="Z632" s="525" t="str">
        <f>IF(AND(B632&lt;=NKC!$N$8,B632&gt;=NKC!$M$8),"x","")</f>
        <v/>
      </c>
      <c r="AA632" s="535"/>
    </row>
    <row r="633" spans="1:28" s="503" customFormat="1" ht="15.75" customHeight="1">
      <c r="A633" s="517" t="str">
        <f>IF(B633&lt;&gt;"",IF(AND(B633&gt;=_TM1,B633&lt;=_TM2,OR(TH!L633="1111",TH!M633="1111")),TH!D633,""),"")</f>
        <v/>
      </c>
      <c r="B633" s="531">
        <f t="shared" si="65"/>
        <v>7</v>
      </c>
      <c r="C633" s="315">
        <f t="shared" si="66"/>
        <v>42940</v>
      </c>
      <c r="D633" s="315" t="s">
        <v>461</v>
      </c>
      <c r="E633" s="288">
        <v>42940</v>
      </c>
      <c r="F633" s="249" t="s">
        <v>828</v>
      </c>
      <c r="G633" s="314" t="s">
        <v>440</v>
      </c>
      <c r="H633" s="621" t="s">
        <v>830</v>
      </c>
      <c r="I633" s="307"/>
      <c r="J633" s="307"/>
      <c r="K633" s="532">
        <v>14572</v>
      </c>
      <c r="L633" s="533" t="s">
        <v>79</v>
      </c>
      <c r="M633" s="533" t="s">
        <v>24</v>
      </c>
      <c r="N633" s="525" t="str">
        <f>IF(AND('331-CT'!$E$7=TH!H633,OR(L633="331",M633="331")),"331",IF(AND(OR(L633="131",M633="131"),H633='131-CT'!$E$7),"131",""))</f>
        <v/>
      </c>
      <c r="O633" s="525" t="str">
        <f>IF(AND($B633&gt;='111'!$N$11,$B633&lt;='111'!$O$11,OR($L633=$O$7,$M633=$O$7)),"x","")</f>
        <v/>
      </c>
      <c r="P633" s="525" t="str">
        <f>IF(AND($L633=$O$7,$B633&lt;'111'!$N$11),"x","")</f>
        <v/>
      </c>
      <c r="Q633" s="525" t="str">
        <f>IF(AND($M633=$O$7,$B633&lt;'111'!$N$11),"x","")</f>
        <v/>
      </c>
      <c r="R633" s="525" t="str">
        <f>IF(ISERROR(FIND('112'!$M$9,G633,1)),"",IF((AND(FIND('112'!$M$9,G633,1)&gt;=1,$B633&gt;='112'!$N$8,$B633&lt;='112'!$O$8,OR($L633='112'!$I$6,$M633='112'!$I$6))),"x",""))</f>
        <v/>
      </c>
      <c r="S633" s="525" t="str">
        <f>IF(ISERROR(FIND('112'!$M$9,G633,1)),"",IF((AND(LEFT(G633,2)=LEFT('112'!$M$9,2),B633&lt;'112'!$N$8,$L633='112'!$I$6)),"x",""))</f>
        <v/>
      </c>
      <c r="T633" s="525" t="str">
        <f>IF(ISERROR(FIND('112'!$M$9,G633,1)),"",IF((AND(RIGHT(G633,2)=RIGHT('112'!$M$9,2),B633&lt;'112'!$N$8,$M633='112'!$I$6)),"x",""))</f>
        <v>x</v>
      </c>
      <c r="U633" s="525" t="str">
        <f>IF(AND(B633&gt;='IN-NX'!$P$3,B633&lt;='IN-NX'!$Q$3,'IN-NX'!$D$7=D633,OR(LEFT(L633,2)="15",AND(LEFT(M633,2)&lt;&gt;"15",LEFT(M633,2)&lt;&gt;"33"))),"x","")</f>
        <v/>
      </c>
      <c r="V633" s="525" t="str">
        <f>IF(AND(OR(LEFT(TH!L633,2)="15",LEFT(TH!M633,2)="15"),'152-CT'!$J$8=TH!F633),"x","")</f>
        <v/>
      </c>
      <c r="W633" s="525" t="str">
        <f>IF(AND(OR(LEFT(TH!L633,2)="15",LEFT(TH!M633,2)="15"),TK!$E$7=TH!F633),"x","")</f>
        <v/>
      </c>
      <c r="X633" s="525" t="str">
        <f>IF(AND('341-CT'!$E$9=H633,OR(LEFT(L633,3)=$X$7,LEFT(M633,3)=$X$7)),"x","")</f>
        <v/>
      </c>
      <c r="Y633" s="525" t="str">
        <f>IF(OR(TH!L633=TH!$Y$7,M633=TH!$Y$7),"x","")</f>
        <v/>
      </c>
      <c r="Z633" s="525" t="str">
        <f>IF(AND(B633&lt;=NKC!$N$8,B633&gt;=NKC!$M$8),"x","")</f>
        <v/>
      </c>
      <c r="AA633" s="535"/>
      <c r="AB633" s="536"/>
    </row>
    <row r="634" spans="1:28" s="503" customFormat="1" ht="15.75" customHeight="1">
      <c r="A634" s="517" t="str">
        <f>IF(B634&lt;&gt;"",IF(AND(B634&gt;=_TM1,B634&lt;=_TM2,OR(TH!L634="1111",TH!M634="1111")),TH!D634,""),"")</f>
        <v/>
      </c>
      <c r="B634" s="531">
        <f t="shared" si="65"/>
        <v>7</v>
      </c>
      <c r="C634" s="315">
        <f t="shared" si="66"/>
        <v>42940</v>
      </c>
      <c r="D634" s="315" t="s">
        <v>461</v>
      </c>
      <c r="E634" s="288">
        <v>42940</v>
      </c>
      <c r="F634" s="249" t="s">
        <v>828</v>
      </c>
      <c r="G634" s="314" t="s">
        <v>440</v>
      </c>
      <c r="H634" s="621" t="s">
        <v>830</v>
      </c>
      <c r="I634" s="307"/>
      <c r="J634" s="307"/>
      <c r="K634" s="532">
        <v>29145</v>
      </c>
      <c r="L634" s="533" t="s">
        <v>79</v>
      </c>
      <c r="M634" s="533" t="s">
        <v>24</v>
      </c>
      <c r="N634" s="525" t="str">
        <f>IF(AND('331-CT'!$E$7=TH!H634,OR(L634="331",M634="331")),"331",IF(AND(OR(L634="131",M634="131"),H634='131-CT'!$E$7),"131",""))</f>
        <v/>
      </c>
      <c r="O634" s="525" t="str">
        <f>IF(AND($B634&gt;='111'!$N$11,$B634&lt;='111'!$O$11,OR($L634=$O$7,$M634=$O$7)),"x","")</f>
        <v/>
      </c>
      <c r="P634" s="525" t="str">
        <f>IF(AND($L634=$O$7,$B634&lt;'111'!$N$11),"x","")</f>
        <v/>
      </c>
      <c r="Q634" s="525" t="str">
        <f>IF(AND($M634=$O$7,$B634&lt;'111'!$N$11),"x","")</f>
        <v/>
      </c>
      <c r="R634" s="525" t="str">
        <f>IF(ISERROR(FIND('112'!$M$9,G634,1)),"",IF((AND(FIND('112'!$M$9,G634,1)&gt;=1,$B634&gt;='112'!$N$8,$B634&lt;='112'!$O$8,OR($L634='112'!$I$6,$M634='112'!$I$6))),"x",""))</f>
        <v/>
      </c>
      <c r="S634" s="525" t="str">
        <f>IF(ISERROR(FIND('112'!$M$9,G634,1)),"",IF((AND(LEFT(G634,2)=LEFT('112'!$M$9,2),B634&lt;'112'!$N$8,$L634='112'!$I$6)),"x",""))</f>
        <v/>
      </c>
      <c r="T634" s="525" t="str">
        <f>IF(ISERROR(FIND('112'!$M$9,G634,1)),"",IF((AND(RIGHT(G634,2)=RIGHT('112'!$M$9,2),B634&lt;'112'!$N$8,$M634='112'!$I$6)),"x",""))</f>
        <v>x</v>
      </c>
      <c r="U634" s="525" t="str">
        <f>IF(AND(B634&gt;='IN-NX'!$P$3,B634&lt;='IN-NX'!$Q$3,'IN-NX'!$D$7=D634,OR(LEFT(L634,2)="15",AND(LEFT(M634,2)&lt;&gt;"15",LEFT(M634,2)&lt;&gt;"33"))),"x","")</f>
        <v/>
      </c>
      <c r="V634" s="525" t="str">
        <f>IF(AND(OR(LEFT(TH!L634,2)="15",LEFT(TH!M634,2)="15"),'152-CT'!$J$8=TH!F634),"x","")</f>
        <v/>
      </c>
      <c r="W634" s="525" t="str">
        <f>IF(AND(OR(LEFT(TH!L634,2)="15",LEFT(TH!M634,2)="15"),TK!$E$7=TH!F634),"x","")</f>
        <v/>
      </c>
      <c r="X634" s="525" t="str">
        <f>IF(AND('341-CT'!$E$9=H634,OR(LEFT(L634,3)=$X$7,LEFT(M634,3)=$X$7)),"x","")</f>
        <v/>
      </c>
      <c r="Y634" s="525" t="str">
        <f>IF(OR(TH!L634=TH!$Y$7,M634=TH!$Y$7),"x","")</f>
        <v/>
      </c>
      <c r="Z634" s="525" t="str">
        <f>IF(AND(B634&lt;=NKC!$N$8,B634&gt;=NKC!$M$8),"x","")</f>
        <v/>
      </c>
      <c r="AA634" s="535"/>
    </row>
    <row r="635" spans="1:28" s="503" customFormat="1" ht="15.75" customHeight="1">
      <c r="A635" s="517" t="str">
        <f>IF(B635&lt;&gt;"",IF(AND(B635&gt;=_TM1,B635&lt;=_TM2,OR(TH!L635="1111",TH!M635="1111")),TH!D635,""),"")</f>
        <v/>
      </c>
      <c r="B635" s="531">
        <f t="shared" si="65"/>
        <v>7</v>
      </c>
      <c r="C635" s="315">
        <f t="shared" si="66"/>
        <v>42940</v>
      </c>
      <c r="D635" s="315" t="s">
        <v>461</v>
      </c>
      <c r="E635" s="288">
        <v>42940</v>
      </c>
      <c r="F635" s="249" t="s">
        <v>828</v>
      </c>
      <c r="G635" s="314" t="s">
        <v>440</v>
      </c>
      <c r="H635" s="621" t="s">
        <v>830</v>
      </c>
      <c r="I635" s="307"/>
      <c r="J635" s="307"/>
      <c r="K635" s="532">
        <v>1984517</v>
      </c>
      <c r="L635" s="533" t="s">
        <v>79</v>
      </c>
      <c r="M635" s="533" t="s">
        <v>24</v>
      </c>
      <c r="N635" s="525" t="str">
        <f>IF(AND('331-CT'!$E$7=TH!H635,OR(L635="331",M635="331")),"331",IF(AND(OR(L635="131",M635="131"),H635='131-CT'!$E$7),"131",""))</f>
        <v/>
      </c>
      <c r="O635" s="525" t="str">
        <f>IF(AND($B635&gt;='111'!$N$11,$B635&lt;='111'!$O$11,OR($L635=$O$7,$M635=$O$7)),"x","")</f>
        <v/>
      </c>
      <c r="P635" s="525" t="str">
        <f>IF(AND($L635=$O$7,$B635&lt;'111'!$N$11),"x","")</f>
        <v/>
      </c>
      <c r="Q635" s="525" t="str">
        <f>IF(AND($M635=$O$7,$B635&lt;'111'!$N$11),"x","")</f>
        <v/>
      </c>
      <c r="R635" s="525" t="str">
        <f>IF(ISERROR(FIND('112'!$M$9,G635,1)),"",IF((AND(FIND('112'!$M$9,G635,1)&gt;=1,$B635&gt;='112'!$N$8,$B635&lt;='112'!$O$8,OR($L635='112'!$I$6,$M635='112'!$I$6))),"x",""))</f>
        <v/>
      </c>
      <c r="S635" s="525" t="str">
        <f>IF(ISERROR(FIND('112'!$M$9,G635,1)),"",IF((AND(LEFT(G635,2)=LEFT('112'!$M$9,2),B635&lt;'112'!$N$8,$L635='112'!$I$6)),"x",""))</f>
        <v/>
      </c>
      <c r="T635" s="525" t="str">
        <f>IF(ISERROR(FIND('112'!$M$9,G635,1)),"",IF((AND(RIGHT(G635,2)=RIGHT('112'!$M$9,2),B635&lt;'112'!$N$8,$M635='112'!$I$6)),"x",""))</f>
        <v>x</v>
      </c>
      <c r="U635" s="525" t="str">
        <f>IF(AND(B635&gt;='IN-NX'!$P$3,B635&lt;='IN-NX'!$Q$3,'IN-NX'!$D$7=D635,OR(LEFT(L635,2)="15",AND(LEFT(M635,2)&lt;&gt;"15",LEFT(M635,2)&lt;&gt;"33"))),"x","")</f>
        <v/>
      </c>
      <c r="V635" s="525" t="str">
        <f>IF(AND(OR(LEFT(TH!L635,2)="15",LEFT(TH!M635,2)="15"),'152-CT'!$J$8=TH!F635),"x","")</f>
        <v/>
      </c>
      <c r="W635" s="525" t="str">
        <f>IF(AND(OR(LEFT(TH!L635,2)="15",LEFT(TH!M635,2)="15"),TK!$E$7=TH!F635),"x","")</f>
        <v/>
      </c>
      <c r="X635" s="525" t="str">
        <f>IF(AND('341-CT'!$E$9=H635,OR(LEFT(L635,3)=$X$7,LEFT(M635,3)=$X$7)),"x","")</f>
        <v/>
      </c>
      <c r="Y635" s="525" t="str">
        <f>IF(OR(TH!L635=TH!$Y$7,M635=TH!$Y$7),"x","")</f>
        <v/>
      </c>
      <c r="Z635" s="525" t="str">
        <f>IF(AND(B635&lt;=NKC!$N$8,B635&gt;=NKC!$M$8),"x","")</f>
        <v/>
      </c>
      <c r="AA635" s="535"/>
      <c r="AB635" s="536"/>
    </row>
    <row r="636" spans="1:28" s="503" customFormat="1" ht="15.75" customHeight="1">
      <c r="A636" s="517" t="str">
        <f>IF(B636&lt;&gt;"",IF(AND(B636&gt;=_TM1,B636&lt;=_TM2,OR(TH!L636="1111",TH!M636="1111")),TH!D636,""),"")</f>
        <v/>
      </c>
      <c r="B636" s="531">
        <f t="shared" si="65"/>
        <v>7</v>
      </c>
      <c r="C636" s="315">
        <f t="shared" si="66"/>
        <v>42940</v>
      </c>
      <c r="D636" s="315" t="s">
        <v>461</v>
      </c>
      <c r="E636" s="288">
        <v>42940</v>
      </c>
      <c r="F636" s="249" t="s">
        <v>829</v>
      </c>
      <c r="G636" s="314" t="s">
        <v>440</v>
      </c>
      <c r="H636" s="621" t="s">
        <v>830</v>
      </c>
      <c r="I636" s="307"/>
      <c r="J636" s="307"/>
      <c r="K636" s="532">
        <v>9420000</v>
      </c>
      <c r="L636" s="534" t="s">
        <v>441</v>
      </c>
      <c r="M636" s="533" t="s">
        <v>24</v>
      </c>
      <c r="N636" s="525" t="str">
        <f>IF(AND('331-CT'!$E$7=TH!H636,OR(L636="331",M636="331")),"331",IF(AND(OR(L636="131",M636="131"),H636='131-CT'!$E$7),"131",""))</f>
        <v/>
      </c>
      <c r="O636" s="525" t="str">
        <f>IF(AND($B636&gt;='111'!$N$11,$B636&lt;='111'!$O$11,OR($L636=$O$7,$M636=$O$7)),"x","")</f>
        <v/>
      </c>
      <c r="P636" s="525" t="str">
        <f>IF(AND($L636=$O$7,$B636&lt;'111'!$N$11),"x","")</f>
        <v/>
      </c>
      <c r="Q636" s="525" t="str">
        <f>IF(AND($M636=$O$7,$B636&lt;'111'!$N$11),"x","")</f>
        <v/>
      </c>
      <c r="R636" s="525" t="str">
        <f>IF(ISERROR(FIND('112'!$M$9,G636,1)),"",IF((AND(FIND('112'!$M$9,G636,1)&gt;=1,$B636&gt;='112'!$N$8,$B636&lt;='112'!$O$8,OR($L636='112'!$I$6,$M636='112'!$I$6))),"x",""))</f>
        <v/>
      </c>
      <c r="S636" s="525" t="str">
        <f>IF(ISERROR(FIND('112'!$M$9,G636,1)),"",IF((AND(LEFT(G636,2)=LEFT('112'!$M$9,2),B636&lt;'112'!$N$8,$L636='112'!$I$6)),"x",""))</f>
        <v/>
      </c>
      <c r="T636" s="525" t="str">
        <f>IF(ISERROR(FIND('112'!$M$9,G636,1)),"",IF((AND(RIGHT(G636,2)=RIGHT('112'!$M$9,2),B636&lt;'112'!$N$8,$M636='112'!$I$6)),"x",""))</f>
        <v>x</v>
      </c>
      <c r="U636" s="525" t="str">
        <f>IF(AND(B636&gt;='IN-NX'!$P$3,B636&lt;='IN-NX'!$Q$3,'IN-NX'!$D$7=D636,OR(LEFT(L636,2)="15",AND(LEFT(M636,2)&lt;&gt;"15",LEFT(M636,2)&lt;&gt;"33"))),"x","")</f>
        <v/>
      </c>
      <c r="V636" s="525" t="str">
        <f>IF(AND(OR(LEFT(TH!L636,2)="15",LEFT(TH!M636,2)="15"),'152-CT'!$J$8=TH!F636),"x","")</f>
        <v/>
      </c>
      <c r="W636" s="525" t="str">
        <f>IF(AND(OR(LEFT(TH!L636,2)="15",LEFT(TH!M636,2)="15"),TK!$E$7=TH!F636),"x","")</f>
        <v/>
      </c>
      <c r="X636" s="525" t="str">
        <f>IF(AND('341-CT'!$E$9=H636,OR(LEFT(L636,3)=$X$7,LEFT(M636,3)=$X$7)),"x","")</f>
        <v/>
      </c>
      <c r="Y636" s="525" t="str">
        <f>IF(OR(TH!L636=TH!$Y$7,M636=TH!$Y$7),"x","")</f>
        <v/>
      </c>
      <c r="Z636" s="525" t="str">
        <f>IF(AND(B636&lt;=NKC!$N$8,B636&gt;=NKC!$M$8),"x","")</f>
        <v/>
      </c>
      <c r="AA636" s="535"/>
    </row>
    <row r="637" spans="1:28" s="503" customFormat="1" ht="15.75" customHeight="1">
      <c r="A637" s="517" t="str">
        <f>IF(B637&lt;&gt;"",IF(AND(B637&gt;=_TM1,B637&lt;=_TM2,OR(TH!L637="1111",TH!M637="1111")),TH!D637,""),"")</f>
        <v/>
      </c>
      <c r="B637" s="531">
        <f t="shared" si="65"/>
        <v>7</v>
      </c>
      <c r="C637" s="315">
        <f t="shared" si="66"/>
        <v>42940</v>
      </c>
      <c r="D637" s="315" t="s">
        <v>461</v>
      </c>
      <c r="E637" s="288">
        <v>42940</v>
      </c>
      <c r="F637" s="249" t="s">
        <v>828</v>
      </c>
      <c r="G637" s="314" t="s">
        <v>440</v>
      </c>
      <c r="H637" s="621" t="s">
        <v>1272</v>
      </c>
      <c r="I637" s="307"/>
      <c r="J637" s="307"/>
      <c r="K637" s="532">
        <v>12506</v>
      </c>
      <c r="L637" s="533" t="s">
        <v>79</v>
      </c>
      <c r="M637" s="533" t="s">
        <v>24</v>
      </c>
      <c r="N637" s="525" t="str">
        <f>IF(AND('331-CT'!$E$7=TH!H637,OR(L637="331",M637="331")),"331",IF(AND(OR(L637="131",M637="131"),H637='131-CT'!$E$7),"131",""))</f>
        <v/>
      </c>
      <c r="O637" s="525" t="str">
        <f>IF(AND($B637&gt;='111'!$N$11,$B637&lt;='111'!$O$11,OR($L637=$O$7,$M637=$O$7)),"x","")</f>
        <v/>
      </c>
      <c r="P637" s="525" t="str">
        <f>IF(AND($L637=$O$7,$B637&lt;'111'!$N$11),"x","")</f>
        <v/>
      </c>
      <c r="Q637" s="525" t="str">
        <f>IF(AND($M637=$O$7,$B637&lt;'111'!$N$11),"x","")</f>
        <v/>
      </c>
      <c r="R637" s="525" t="str">
        <f>IF(ISERROR(FIND('112'!$M$9,G637,1)),"",IF((AND(FIND('112'!$M$9,G637,1)&gt;=1,$B637&gt;='112'!$N$8,$B637&lt;='112'!$O$8,OR($L637='112'!$I$6,$M637='112'!$I$6))),"x",""))</f>
        <v/>
      </c>
      <c r="S637" s="525" t="str">
        <f>IF(ISERROR(FIND('112'!$M$9,G637,1)),"",IF((AND(LEFT(G637,2)=LEFT('112'!$M$9,2),B637&lt;'112'!$N$8,$L637='112'!$I$6)),"x",""))</f>
        <v/>
      </c>
      <c r="T637" s="525" t="str">
        <f>IF(ISERROR(FIND('112'!$M$9,G637,1)),"",IF((AND(RIGHT(G637,2)=RIGHT('112'!$M$9,2),B637&lt;'112'!$N$8,$M637='112'!$I$6)),"x",""))</f>
        <v>x</v>
      </c>
      <c r="U637" s="525" t="str">
        <f>IF(AND(B637&gt;='IN-NX'!$P$3,B637&lt;='IN-NX'!$Q$3,'IN-NX'!$D$7=D637,OR(LEFT(L637,2)="15",AND(LEFT(M637,2)&lt;&gt;"15",LEFT(M637,2)&lt;&gt;"33"))),"x","")</f>
        <v/>
      </c>
      <c r="V637" s="525" t="str">
        <f>IF(AND(OR(LEFT(TH!L637,2)="15",LEFT(TH!M637,2)="15"),'152-CT'!$J$8=TH!F637),"x","")</f>
        <v/>
      </c>
      <c r="W637" s="525" t="str">
        <f>IF(AND(OR(LEFT(TH!L637,2)="15",LEFT(TH!M637,2)="15"),TK!$E$7=TH!F637),"x","")</f>
        <v/>
      </c>
      <c r="X637" s="525" t="str">
        <f>IF(AND('341-CT'!$E$9=H637,OR(LEFT(L637,3)=$X$7,LEFT(M637,3)=$X$7)),"x","")</f>
        <v/>
      </c>
      <c r="Y637" s="525" t="str">
        <f>IF(OR(TH!L637=TH!$Y$7,M637=TH!$Y$7),"x","")</f>
        <v/>
      </c>
      <c r="Z637" s="525" t="str">
        <f>IF(AND(B637&lt;=NKC!$N$8,B637&gt;=NKC!$M$8),"x","")</f>
        <v/>
      </c>
      <c r="AA637" s="535"/>
      <c r="AB637" s="536"/>
    </row>
    <row r="638" spans="1:28" s="503" customFormat="1" ht="15.75" customHeight="1">
      <c r="A638" s="517" t="str">
        <f>IF(B638&lt;&gt;"",IF(AND(B638&gt;=_TM1,B638&lt;=_TM2,OR(TH!L638="1111",TH!M638="1111")),TH!D638,""),"")</f>
        <v/>
      </c>
      <c r="B638" s="531">
        <f t="shared" si="65"/>
        <v>7</v>
      </c>
      <c r="C638" s="315">
        <f t="shared" si="66"/>
        <v>42940</v>
      </c>
      <c r="D638" s="315" t="s">
        <v>461</v>
      </c>
      <c r="E638" s="288">
        <v>42940</v>
      </c>
      <c r="F638" s="249" t="s">
        <v>828</v>
      </c>
      <c r="G638" s="314" t="s">
        <v>440</v>
      </c>
      <c r="H638" s="621" t="s">
        <v>1272</v>
      </c>
      <c r="I638" s="307"/>
      <c r="J638" s="307"/>
      <c r="K638" s="532">
        <v>25012</v>
      </c>
      <c r="L638" s="533" t="s">
        <v>79</v>
      </c>
      <c r="M638" s="533" t="s">
        <v>24</v>
      </c>
      <c r="N638" s="525" t="str">
        <f>IF(AND('331-CT'!$E$7=TH!H638,OR(L638="331",M638="331")),"331",IF(AND(OR(L638="131",M638="131"),H638='131-CT'!$E$7),"131",""))</f>
        <v/>
      </c>
      <c r="O638" s="525" t="str">
        <f>IF(AND($B638&gt;='111'!$N$11,$B638&lt;='111'!$O$11,OR($L638=$O$7,$M638=$O$7)),"x","")</f>
        <v/>
      </c>
      <c r="P638" s="525" t="str">
        <f>IF(AND($L638=$O$7,$B638&lt;'111'!$N$11),"x","")</f>
        <v/>
      </c>
      <c r="Q638" s="525" t="str">
        <f>IF(AND($M638=$O$7,$B638&lt;'111'!$N$11),"x","")</f>
        <v/>
      </c>
      <c r="R638" s="525" t="str">
        <f>IF(ISERROR(FIND('112'!$M$9,G638,1)),"",IF((AND(FIND('112'!$M$9,G638,1)&gt;=1,$B638&gt;='112'!$N$8,$B638&lt;='112'!$O$8,OR($L638='112'!$I$6,$M638='112'!$I$6))),"x",""))</f>
        <v/>
      </c>
      <c r="S638" s="525" t="str">
        <f>IF(ISERROR(FIND('112'!$M$9,G638,1)),"",IF((AND(LEFT(G638,2)=LEFT('112'!$M$9,2),B638&lt;'112'!$N$8,$L638='112'!$I$6)),"x",""))</f>
        <v/>
      </c>
      <c r="T638" s="525" t="str">
        <f>IF(ISERROR(FIND('112'!$M$9,G638,1)),"",IF((AND(RIGHT(G638,2)=RIGHT('112'!$M$9,2),B638&lt;'112'!$N$8,$M638='112'!$I$6)),"x",""))</f>
        <v>x</v>
      </c>
      <c r="U638" s="525" t="str">
        <f>IF(AND(B638&gt;='IN-NX'!$P$3,B638&lt;='IN-NX'!$Q$3,'IN-NX'!$D$7=D638,OR(LEFT(L638,2)="15",AND(LEFT(M638,2)&lt;&gt;"15",LEFT(M638,2)&lt;&gt;"33"))),"x","")</f>
        <v/>
      </c>
      <c r="V638" s="525" t="str">
        <f>IF(AND(OR(LEFT(TH!L638,2)="15",LEFT(TH!M638,2)="15"),'152-CT'!$J$8=TH!F638),"x","")</f>
        <v/>
      </c>
      <c r="W638" s="525" t="str">
        <f>IF(AND(OR(LEFT(TH!L638,2)="15",LEFT(TH!M638,2)="15"),TK!$E$7=TH!F638),"x","")</f>
        <v/>
      </c>
      <c r="X638" s="525" t="str">
        <f>IF(AND('341-CT'!$E$9=H638,OR(LEFT(L638,3)=$X$7,LEFT(M638,3)=$X$7)),"x","")</f>
        <v/>
      </c>
      <c r="Y638" s="525" t="str">
        <f>IF(OR(TH!L638=TH!$Y$7,M638=TH!$Y$7),"x","")</f>
        <v/>
      </c>
      <c r="Z638" s="525" t="str">
        <f>IF(AND(B638&lt;=NKC!$N$8,B638&gt;=NKC!$M$8),"x","")</f>
        <v/>
      </c>
      <c r="AA638" s="535"/>
    </row>
    <row r="639" spans="1:28" s="503" customFormat="1" ht="15.75" customHeight="1">
      <c r="A639" s="517" t="str">
        <f>IF(B639&lt;&gt;"",IF(AND(B639&gt;=_TM1,B639&lt;=_TM2,OR(TH!L639="1111",TH!M639="1111")),TH!D639,""),"")</f>
        <v/>
      </c>
      <c r="B639" s="531">
        <f t="shared" si="65"/>
        <v>7</v>
      </c>
      <c r="C639" s="315">
        <f t="shared" si="66"/>
        <v>42940</v>
      </c>
      <c r="D639" s="315" t="s">
        <v>461</v>
      </c>
      <c r="E639" s="288">
        <v>42940</v>
      </c>
      <c r="F639" s="249" t="s">
        <v>828</v>
      </c>
      <c r="G639" s="314" t="s">
        <v>440</v>
      </c>
      <c r="H639" s="621" t="s">
        <v>1272</v>
      </c>
      <c r="I639" s="307"/>
      <c r="J639" s="307"/>
      <c r="K639" s="532">
        <v>1228456</v>
      </c>
      <c r="L639" s="533" t="s">
        <v>79</v>
      </c>
      <c r="M639" s="533" t="s">
        <v>24</v>
      </c>
      <c r="N639" s="525" t="str">
        <f>IF(AND('331-CT'!$E$7=TH!H639,OR(L639="331",M639="331")),"331",IF(AND(OR(L639="131",M639="131"),H639='131-CT'!$E$7),"131",""))</f>
        <v/>
      </c>
      <c r="O639" s="525" t="str">
        <f>IF(AND($B639&gt;='111'!$N$11,$B639&lt;='111'!$O$11,OR($L639=$O$7,$M639=$O$7)),"x","")</f>
        <v/>
      </c>
      <c r="P639" s="525" t="str">
        <f>IF(AND($L639=$O$7,$B639&lt;'111'!$N$11),"x","")</f>
        <v/>
      </c>
      <c r="Q639" s="525" t="str">
        <f>IF(AND($M639=$O$7,$B639&lt;'111'!$N$11),"x","")</f>
        <v/>
      </c>
      <c r="R639" s="525" t="str">
        <f>IF(ISERROR(FIND('112'!$M$9,G639,1)),"",IF((AND(FIND('112'!$M$9,G639,1)&gt;=1,$B639&gt;='112'!$N$8,$B639&lt;='112'!$O$8,OR($L639='112'!$I$6,$M639='112'!$I$6))),"x",""))</f>
        <v/>
      </c>
      <c r="S639" s="525" t="str">
        <f>IF(ISERROR(FIND('112'!$M$9,G639,1)),"",IF((AND(LEFT(G639,2)=LEFT('112'!$M$9,2),B639&lt;'112'!$N$8,$L639='112'!$I$6)),"x",""))</f>
        <v/>
      </c>
      <c r="T639" s="525" t="str">
        <f>IF(ISERROR(FIND('112'!$M$9,G639,1)),"",IF((AND(RIGHT(G639,2)=RIGHT('112'!$M$9,2),B639&lt;'112'!$N$8,$M639='112'!$I$6)),"x",""))</f>
        <v>x</v>
      </c>
      <c r="U639" s="525" t="str">
        <f>IF(AND(B639&gt;='IN-NX'!$P$3,B639&lt;='IN-NX'!$Q$3,'IN-NX'!$D$7=D639,OR(LEFT(L639,2)="15",AND(LEFT(M639,2)&lt;&gt;"15",LEFT(M639,2)&lt;&gt;"33"))),"x","")</f>
        <v/>
      </c>
      <c r="V639" s="525" t="str">
        <f>IF(AND(OR(LEFT(TH!L639,2)="15",LEFT(TH!M639,2)="15"),'152-CT'!$J$8=TH!F639),"x","")</f>
        <v/>
      </c>
      <c r="W639" s="525" t="str">
        <f>IF(AND(OR(LEFT(TH!L639,2)="15",LEFT(TH!M639,2)="15"),TK!$E$7=TH!F639),"x","")</f>
        <v/>
      </c>
      <c r="X639" s="525" t="str">
        <f>IF(AND('341-CT'!$E$9=H639,OR(LEFT(L639,3)=$X$7,LEFT(M639,3)=$X$7)),"x","")</f>
        <v/>
      </c>
      <c r="Y639" s="525" t="str">
        <f>IF(OR(TH!L639=TH!$Y$7,M639=TH!$Y$7),"x","")</f>
        <v/>
      </c>
      <c r="Z639" s="525" t="str">
        <f>IF(AND(B639&lt;=NKC!$N$8,B639&gt;=NKC!$M$8),"x","")</f>
        <v/>
      </c>
      <c r="AA639" s="535"/>
    </row>
    <row r="640" spans="1:28" s="503" customFormat="1" ht="15.75" customHeight="1">
      <c r="A640" s="517" t="str">
        <f>IF(B640&lt;&gt;"",IF(AND(B640&gt;=_TM1,B640&lt;=_TM2,OR(TH!L640="1111",TH!M640="1111")),TH!D640,""),"")</f>
        <v/>
      </c>
      <c r="B640" s="531">
        <f t="shared" si="65"/>
        <v>7</v>
      </c>
      <c r="C640" s="315">
        <f t="shared" si="66"/>
        <v>42940</v>
      </c>
      <c r="D640" s="315" t="s">
        <v>461</v>
      </c>
      <c r="E640" s="288">
        <v>42940</v>
      </c>
      <c r="F640" s="249" t="s">
        <v>829</v>
      </c>
      <c r="G640" s="314" t="s">
        <v>440</v>
      </c>
      <c r="H640" s="621" t="s">
        <v>1272</v>
      </c>
      <c r="I640" s="307"/>
      <c r="J640" s="307"/>
      <c r="K640" s="532">
        <v>11140000</v>
      </c>
      <c r="L640" s="534" t="s">
        <v>441</v>
      </c>
      <c r="M640" s="533" t="s">
        <v>24</v>
      </c>
      <c r="N640" s="525" t="str">
        <f>IF(AND('331-CT'!$E$7=TH!H640,OR(L640="331",M640="331")),"331",IF(AND(OR(L640="131",M640="131"),H640='131-CT'!$E$7),"131",""))</f>
        <v/>
      </c>
      <c r="O640" s="525" t="str">
        <f>IF(AND($B640&gt;='111'!$N$11,$B640&lt;='111'!$O$11,OR($L640=$O$7,$M640=$O$7)),"x","")</f>
        <v/>
      </c>
      <c r="P640" s="525" t="str">
        <f>IF(AND($L640=$O$7,$B640&lt;'111'!$N$11),"x","")</f>
        <v/>
      </c>
      <c r="Q640" s="525" t="str">
        <f>IF(AND($M640=$O$7,$B640&lt;'111'!$N$11),"x","")</f>
        <v/>
      </c>
      <c r="R640" s="525" t="str">
        <f>IF(ISERROR(FIND('112'!$M$9,G640,1)),"",IF((AND(FIND('112'!$M$9,G640,1)&gt;=1,$B640&gt;='112'!$N$8,$B640&lt;='112'!$O$8,OR($L640='112'!$I$6,$M640='112'!$I$6))),"x",""))</f>
        <v/>
      </c>
      <c r="S640" s="525" t="str">
        <f>IF(ISERROR(FIND('112'!$M$9,G640,1)),"",IF((AND(LEFT(G640,2)=LEFT('112'!$M$9,2),B640&lt;'112'!$N$8,$L640='112'!$I$6)),"x",""))</f>
        <v/>
      </c>
      <c r="T640" s="525" t="str">
        <f>IF(ISERROR(FIND('112'!$M$9,G640,1)),"",IF((AND(RIGHT(G640,2)=RIGHT('112'!$M$9,2),B640&lt;'112'!$N$8,$M640='112'!$I$6)),"x",""))</f>
        <v>x</v>
      </c>
      <c r="U640" s="525" t="str">
        <f>IF(AND(B640&gt;='IN-NX'!$P$3,B640&lt;='IN-NX'!$Q$3,'IN-NX'!$D$7=D640,OR(LEFT(L640,2)="15",AND(LEFT(M640,2)&lt;&gt;"15",LEFT(M640,2)&lt;&gt;"33"))),"x","")</f>
        <v/>
      </c>
      <c r="V640" s="525" t="str">
        <f>IF(AND(OR(LEFT(TH!L640,2)="15",LEFT(TH!M640,2)="15"),'152-CT'!$J$8=TH!F640),"x","")</f>
        <v/>
      </c>
      <c r="W640" s="525" t="str">
        <f>IF(AND(OR(LEFT(TH!L640,2)="15",LEFT(TH!M640,2)="15"),TK!$E$7=TH!F640),"x","")</f>
        <v/>
      </c>
      <c r="X640" s="525" t="str">
        <f>IF(AND('341-CT'!$E$9=H640,OR(LEFT(L640,3)=$X$7,LEFT(M640,3)=$X$7)),"x","")</f>
        <v/>
      </c>
      <c r="Y640" s="525" t="str">
        <f>IF(OR(TH!L640=TH!$Y$7,M640=TH!$Y$7),"x","")</f>
        <v/>
      </c>
      <c r="Z640" s="525" t="str">
        <f>IF(AND(B640&lt;=NKC!$N$8,B640&gt;=NKC!$M$8),"x","")</f>
        <v/>
      </c>
      <c r="AA640" s="535"/>
    </row>
    <row r="641" spans="1:28" s="503" customFormat="1" ht="15.75" customHeight="1">
      <c r="A641" s="517" t="str">
        <f>IF(B641&lt;&gt;"",IF(AND(B641&gt;=_TM1,B641&lt;=_TM2,OR(TH!L641="1111",TH!M641="1111")),TH!D641,""),"")</f>
        <v/>
      </c>
      <c r="B641" s="531">
        <f t="shared" si="65"/>
        <v>7</v>
      </c>
      <c r="C641" s="315">
        <f t="shared" si="66"/>
        <v>42940</v>
      </c>
      <c r="D641" s="315" t="s">
        <v>461</v>
      </c>
      <c r="E641" s="288">
        <v>42940</v>
      </c>
      <c r="F641" s="249" t="s">
        <v>828</v>
      </c>
      <c r="G641" s="314" t="s">
        <v>440</v>
      </c>
      <c r="H641" s="621" t="s">
        <v>1271</v>
      </c>
      <c r="I641" s="307"/>
      <c r="J641" s="307"/>
      <c r="K641" s="532">
        <v>25136</v>
      </c>
      <c r="L641" s="533" t="s">
        <v>79</v>
      </c>
      <c r="M641" s="533" t="s">
        <v>24</v>
      </c>
      <c r="N641" s="525" t="str">
        <f>IF(AND('331-CT'!$E$7=TH!H641,OR(L641="331",M641="331")),"331",IF(AND(OR(L641="131",M641="131"),H641='131-CT'!$E$7),"131",""))</f>
        <v/>
      </c>
      <c r="O641" s="525" t="str">
        <f>IF(AND($B641&gt;='111'!$N$11,$B641&lt;='111'!$O$11,OR($L641=$O$7,$M641=$O$7)),"x","")</f>
        <v/>
      </c>
      <c r="P641" s="525" t="str">
        <f>IF(AND($L641=$O$7,$B641&lt;'111'!$N$11),"x","")</f>
        <v/>
      </c>
      <c r="Q641" s="525" t="str">
        <f>IF(AND($M641=$O$7,$B641&lt;'111'!$N$11),"x","")</f>
        <v/>
      </c>
      <c r="R641" s="525" t="str">
        <f>IF(ISERROR(FIND('112'!$M$9,G641,1)),"",IF((AND(FIND('112'!$M$9,G641,1)&gt;=1,$B641&gt;='112'!$N$8,$B641&lt;='112'!$O$8,OR($L641='112'!$I$6,$M641='112'!$I$6))),"x",""))</f>
        <v/>
      </c>
      <c r="S641" s="525" t="str">
        <f>IF(ISERROR(FIND('112'!$M$9,G641,1)),"",IF((AND(LEFT(G641,2)=LEFT('112'!$M$9,2),B641&lt;'112'!$N$8,$L641='112'!$I$6)),"x",""))</f>
        <v/>
      </c>
      <c r="T641" s="525" t="str">
        <f>IF(ISERROR(FIND('112'!$M$9,G641,1)),"",IF((AND(RIGHT(G641,2)=RIGHT('112'!$M$9,2),B641&lt;'112'!$N$8,$M641='112'!$I$6)),"x",""))</f>
        <v>x</v>
      </c>
      <c r="U641" s="525" t="str">
        <f>IF(AND(B641&gt;='IN-NX'!$P$3,B641&lt;='IN-NX'!$Q$3,'IN-NX'!$D$7=D641,OR(LEFT(L641,2)="15",AND(LEFT(M641,2)&lt;&gt;"15",LEFT(M641,2)&lt;&gt;"33"))),"x","")</f>
        <v/>
      </c>
      <c r="V641" s="525" t="str">
        <f>IF(AND(OR(LEFT(TH!L641,2)="15",LEFT(TH!M641,2)="15"),'152-CT'!$J$8=TH!F641),"x","")</f>
        <v/>
      </c>
      <c r="W641" s="525" t="str">
        <f>IF(AND(OR(LEFT(TH!L641,2)="15",LEFT(TH!M641,2)="15"),TK!$E$7=TH!F641),"x","")</f>
        <v/>
      </c>
      <c r="X641" s="525" t="str">
        <f>IF(AND('341-CT'!$E$9=H641,OR(LEFT(L641,3)=$X$7,LEFT(M641,3)=$X$7)),"x","")</f>
        <v/>
      </c>
      <c r="Y641" s="525" t="str">
        <f>IF(OR(TH!L641=TH!$Y$7,M641=TH!$Y$7),"x","")</f>
        <v/>
      </c>
      <c r="Z641" s="525" t="str">
        <f>IF(AND(B641&lt;=NKC!$N$8,B641&gt;=NKC!$M$8),"x","")</f>
        <v/>
      </c>
      <c r="AA641" s="535"/>
      <c r="AB641" s="536"/>
    </row>
    <row r="642" spans="1:28" s="503" customFormat="1" ht="15.75" customHeight="1">
      <c r="A642" s="517" t="str">
        <f>IF(B642&lt;&gt;"",IF(AND(B642&gt;=_TM1,B642&lt;=_TM2,OR(TH!L642="1111",TH!M642="1111")),TH!D642,""),"")</f>
        <v/>
      </c>
      <c r="B642" s="531">
        <f t="shared" si="65"/>
        <v>7</v>
      </c>
      <c r="C642" s="315">
        <f t="shared" si="66"/>
        <v>42940</v>
      </c>
      <c r="D642" s="315" t="s">
        <v>461</v>
      </c>
      <c r="E642" s="288">
        <v>42940</v>
      </c>
      <c r="F642" s="249" t="s">
        <v>828</v>
      </c>
      <c r="G642" s="314" t="s">
        <v>440</v>
      </c>
      <c r="H642" s="621" t="s">
        <v>1271</v>
      </c>
      <c r="I642" s="307"/>
      <c r="J642" s="307"/>
      <c r="K642" s="532">
        <v>50271</v>
      </c>
      <c r="L642" s="533" t="s">
        <v>79</v>
      </c>
      <c r="M642" s="533" t="s">
        <v>24</v>
      </c>
      <c r="N642" s="525" t="str">
        <f>IF(AND('331-CT'!$E$7=TH!H642,OR(L642="331",M642="331")),"331",IF(AND(OR(L642="131",M642="131"),H642='131-CT'!$E$7),"131",""))</f>
        <v/>
      </c>
      <c r="O642" s="525" t="str">
        <f>IF(AND($B642&gt;='111'!$N$11,$B642&lt;='111'!$O$11,OR($L642=$O$7,$M642=$O$7)),"x","")</f>
        <v/>
      </c>
      <c r="P642" s="525" t="str">
        <f>IF(AND($L642=$O$7,$B642&lt;'111'!$N$11),"x","")</f>
        <v/>
      </c>
      <c r="Q642" s="525" t="str">
        <f>IF(AND($M642=$O$7,$B642&lt;'111'!$N$11),"x","")</f>
        <v/>
      </c>
      <c r="R642" s="525" t="str">
        <f>IF(ISERROR(FIND('112'!$M$9,G642,1)),"",IF((AND(FIND('112'!$M$9,G642,1)&gt;=1,$B642&gt;='112'!$N$8,$B642&lt;='112'!$O$8,OR($L642='112'!$I$6,$M642='112'!$I$6))),"x",""))</f>
        <v/>
      </c>
      <c r="S642" s="525" t="str">
        <f>IF(ISERROR(FIND('112'!$M$9,G642,1)),"",IF((AND(LEFT(G642,2)=LEFT('112'!$M$9,2),B642&lt;'112'!$N$8,$L642='112'!$I$6)),"x",""))</f>
        <v/>
      </c>
      <c r="T642" s="525" t="str">
        <f>IF(ISERROR(FIND('112'!$M$9,G642,1)),"",IF((AND(RIGHT(G642,2)=RIGHT('112'!$M$9,2),B642&lt;'112'!$N$8,$M642='112'!$I$6)),"x",""))</f>
        <v>x</v>
      </c>
      <c r="U642" s="525" t="str">
        <f>IF(AND(B642&gt;='IN-NX'!$P$3,B642&lt;='IN-NX'!$Q$3,'IN-NX'!$D$7=D642,OR(LEFT(L642,2)="15",AND(LEFT(M642,2)&lt;&gt;"15",LEFT(M642,2)&lt;&gt;"33"))),"x","")</f>
        <v/>
      </c>
      <c r="V642" s="525" t="str">
        <f>IF(AND(OR(LEFT(TH!L642,2)="15",LEFT(TH!M642,2)="15"),'152-CT'!$J$8=TH!F642),"x","")</f>
        <v/>
      </c>
      <c r="W642" s="525" t="str">
        <f>IF(AND(OR(LEFT(TH!L642,2)="15",LEFT(TH!M642,2)="15"),TK!$E$7=TH!F642),"x","")</f>
        <v/>
      </c>
      <c r="X642" s="525" t="str">
        <f>IF(AND('341-CT'!$E$9=H642,OR(LEFT(L642,3)=$X$7,LEFT(M642,3)=$X$7)),"x","")</f>
        <v/>
      </c>
      <c r="Y642" s="525" t="str">
        <f>IF(OR(TH!L642=TH!$Y$7,M642=TH!$Y$7),"x","")</f>
        <v/>
      </c>
      <c r="Z642" s="525" t="str">
        <f>IF(AND(B642&lt;=NKC!$N$8,B642&gt;=NKC!$M$8),"x","")</f>
        <v/>
      </c>
      <c r="AA642" s="535"/>
    </row>
    <row r="643" spans="1:28" s="503" customFormat="1" ht="15.75" customHeight="1">
      <c r="A643" s="517" t="str">
        <f>IF(B643&lt;&gt;"",IF(AND(B643&gt;=_TM1,B643&lt;=_TM2,OR(TH!L643="1111",TH!M643="1111")),TH!D643,""),"")</f>
        <v/>
      </c>
      <c r="B643" s="531">
        <f t="shared" si="65"/>
        <v>7</v>
      </c>
      <c r="C643" s="315">
        <f t="shared" si="66"/>
        <v>42940</v>
      </c>
      <c r="D643" s="315" t="s">
        <v>461</v>
      </c>
      <c r="E643" s="288">
        <v>42940</v>
      </c>
      <c r="F643" s="249" t="s">
        <v>828</v>
      </c>
      <c r="G643" s="314" t="s">
        <v>440</v>
      </c>
      <c r="H643" s="621" t="s">
        <v>1271</v>
      </c>
      <c r="I643" s="307"/>
      <c r="J643" s="307"/>
      <c r="K643" s="532">
        <v>2689353</v>
      </c>
      <c r="L643" s="533" t="s">
        <v>79</v>
      </c>
      <c r="M643" s="533" t="s">
        <v>24</v>
      </c>
      <c r="N643" s="525" t="str">
        <f>IF(AND('331-CT'!$E$7=TH!H643,OR(L643="331",M643="331")),"331",IF(AND(OR(L643="131",M643="131"),H643='131-CT'!$E$7),"131",""))</f>
        <v/>
      </c>
      <c r="O643" s="525" t="str">
        <f>IF(AND($B643&gt;='111'!$N$11,$B643&lt;='111'!$O$11,OR($L643=$O$7,$M643=$O$7)),"x","")</f>
        <v/>
      </c>
      <c r="P643" s="525" t="str">
        <f>IF(AND($L643=$O$7,$B643&lt;'111'!$N$11),"x","")</f>
        <v/>
      </c>
      <c r="Q643" s="525" t="str">
        <f>IF(AND($M643=$O$7,$B643&lt;'111'!$N$11),"x","")</f>
        <v/>
      </c>
      <c r="R643" s="525" t="str">
        <f>IF(ISERROR(FIND('112'!$M$9,G643,1)),"",IF((AND(FIND('112'!$M$9,G643,1)&gt;=1,$B643&gt;='112'!$N$8,$B643&lt;='112'!$O$8,OR($L643='112'!$I$6,$M643='112'!$I$6))),"x",""))</f>
        <v/>
      </c>
      <c r="S643" s="525" t="str">
        <f>IF(ISERROR(FIND('112'!$M$9,G643,1)),"",IF((AND(LEFT(G643,2)=LEFT('112'!$M$9,2),B643&lt;'112'!$N$8,$L643='112'!$I$6)),"x",""))</f>
        <v/>
      </c>
      <c r="T643" s="525" t="str">
        <f>IF(ISERROR(FIND('112'!$M$9,G643,1)),"",IF((AND(RIGHT(G643,2)=RIGHT('112'!$M$9,2),B643&lt;'112'!$N$8,$M643='112'!$I$6)),"x",""))</f>
        <v>x</v>
      </c>
      <c r="U643" s="525" t="str">
        <f>IF(AND(B643&gt;='IN-NX'!$P$3,B643&lt;='IN-NX'!$Q$3,'IN-NX'!$D$7=D643,OR(LEFT(L643,2)="15",AND(LEFT(M643,2)&lt;&gt;"15",LEFT(M643,2)&lt;&gt;"33"))),"x","")</f>
        <v/>
      </c>
      <c r="V643" s="525" t="str">
        <f>IF(AND(OR(LEFT(TH!L643,2)="15",LEFT(TH!M643,2)="15"),'152-CT'!$J$8=TH!F643),"x","")</f>
        <v/>
      </c>
      <c r="W643" s="525" t="str">
        <f>IF(AND(OR(LEFT(TH!L643,2)="15",LEFT(TH!M643,2)="15"),TK!$E$7=TH!F643),"x","")</f>
        <v/>
      </c>
      <c r="X643" s="525" t="str">
        <f>IF(AND('341-CT'!$E$9=H643,OR(LEFT(L643,3)=$X$7,LEFT(M643,3)=$X$7)),"x","")</f>
        <v/>
      </c>
      <c r="Y643" s="525" t="str">
        <f>IF(OR(TH!L643=TH!$Y$7,M643=TH!$Y$7),"x","")</f>
        <v/>
      </c>
      <c r="Z643" s="525" t="str">
        <f>IF(AND(B643&lt;=NKC!$N$8,B643&gt;=NKC!$M$8),"x","")</f>
        <v/>
      </c>
      <c r="AA643" s="535"/>
      <c r="AB643" s="536"/>
    </row>
    <row r="644" spans="1:28" s="503" customFormat="1" ht="15.75" customHeight="1">
      <c r="A644" s="517" t="str">
        <f>IF(B644&lt;&gt;"",IF(AND(B644&gt;=_TM1,B644&lt;=_TM2,OR(TH!L644="1111",TH!M644="1111")),TH!D644,""),"")</f>
        <v/>
      </c>
      <c r="B644" s="531">
        <f t="shared" si="65"/>
        <v>7</v>
      </c>
      <c r="C644" s="315">
        <f t="shared" si="66"/>
        <v>42940</v>
      </c>
      <c r="D644" s="315" t="s">
        <v>461</v>
      </c>
      <c r="E644" s="288">
        <v>42940</v>
      </c>
      <c r="F644" s="249" t="s">
        <v>829</v>
      </c>
      <c r="G644" s="314" t="s">
        <v>440</v>
      </c>
      <c r="H644" s="621" t="s">
        <v>1271</v>
      </c>
      <c r="I644" s="307"/>
      <c r="J644" s="307"/>
      <c r="K644" s="532">
        <v>18889060</v>
      </c>
      <c r="L644" s="534" t="s">
        <v>441</v>
      </c>
      <c r="M644" s="533" t="s">
        <v>24</v>
      </c>
      <c r="N644" s="525" t="str">
        <f>IF(AND('331-CT'!$E$7=TH!H644,OR(L644="331",M644="331")),"331",IF(AND(OR(L644="131",M644="131"),H644='131-CT'!$E$7),"131",""))</f>
        <v/>
      </c>
      <c r="O644" s="525" t="str">
        <f>IF(AND($B644&gt;='111'!$N$11,$B644&lt;='111'!$O$11,OR($L644=$O$7,$M644=$O$7)),"x","")</f>
        <v/>
      </c>
      <c r="P644" s="525" t="str">
        <f>IF(AND($L644=$O$7,$B644&lt;'111'!$N$11),"x","")</f>
        <v/>
      </c>
      <c r="Q644" s="525" t="str">
        <f>IF(AND($M644=$O$7,$B644&lt;'111'!$N$11),"x","")</f>
        <v/>
      </c>
      <c r="R644" s="525" t="str">
        <f>IF(ISERROR(FIND('112'!$M$9,G644,1)),"",IF((AND(FIND('112'!$M$9,G644,1)&gt;=1,$B644&gt;='112'!$N$8,$B644&lt;='112'!$O$8,OR($L644='112'!$I$6,$M644='112'!$I$6))),"x",""))</f>
        <v/>
      </c>
      <c r="S644" s="525" t="str">
        <f>IF(ISERROR(FIND('112'!$M$9,G644,1)),"",IF((AND(LEFT(G644,2)=LEFT('112'!$M$9,2),B644&lt;'112'!$N$8,$L644='112'!$I$6)),"x",""))</f>
        <v/>
      </c>
      <c r="T644" s="525" t="str">
        <f>IF(ISERROR(FIND('112'!$M$9,G644,1)),"",IF((AND(RIGHT(G644,2)=RIGHT('112'!$M$9,2),B644&lt;'112'!$N$8,$M644='112'!$I$6)),"x",""))</f>
        <v>x</v>
      </c>
      <c r="U644" s="525" t="str">
        <f>IF(AND(B644&gt;='IN-NX'!$P$3,B644&lt;='IN-NX'!$Q$3,'IN-NX'!$D$7=D644,OR(LEFT(L644,2)="15",AND(LEFT(M644,2)&lt;&gt;"15",LEFT(M644,2)&lt;&gt;"33"))),"x","")</f>
        <v/>
      </c>
      <c r="V644" s="525" t="str">
        <f>IF(AND(OR(LEFT(TH!L644,2)="15",LEFT(TH!M644,2)="15"),'152-CT'!$J$8=TH!F644),"x","")</f>
        <v/>
      </c>
      <c r="W644" s="525" t="str">
        <f>IF(AND(OR(LEFT(TH!L644,2)="15",LEFT(TH!M644,2)="15"),TK!$E$7=TH!F644),"x","")</f>
        <v/>
      </c>
      <c r="X644" s="525" t="str">
        <f>IF(AND('341-CT'!$E$9=H644,OR(LEFT(L644,3)=$X$7,LEFT(M644,3)=$X$7)),"x","")</f>
        <v>x</v>
      </c>
      <c r="Y644" s="525" t="str">
        <f>IF(OR(TH!L644=TH!$Y$7,M644=TH!$Y$7),"x","")</f>
        <v/>
      </c>
      <c r="Z644" s="525" t="str">
        <f>IF(AND(B644&lt;=NKC!$N$8,B644&gt;=NKC!$M$8),"x","")</f>
        <v/>
      </c>
      <c r="AA644" s="535"/>
    </row>
    <row r="645" spans="1:28" s="503" customFormat="1" ht="15.75" customHeight="1">
      <c r="A645" s="517" t="str">
        <f>IF(B645&lt;&gt;"",IF(AND(B645&gt;=_TM1,B645&lt;=_TM2,OR(TH!L645="1111",TH!M645="1111")),TH!D645,""),"")</f>
        <v/>
      </c>
      <c r="B645" s="531">
        <f t="shared" si="65"/>
        <v>7</v>
      </c>
      <c r="C645" s="315">
        <f t="shared" si="66"/>
        <v>42941</v>
      </c>
      <c r="D645" s="315" t="s">
        <v>456</v>
      </c>
      <c r="E645" s="288">
        <v>42941</v>
      </c>
      <c r="F645" s="248" t="s">
        <v>809</v>
      </c>
      <c r="G645" s="314" t="s">
        <v>440</v>
      </c>
      <c r="H645" s="473" t="s">
        <v>460</v>
      </c>
      <c r="I645" s="307"/>
      <c r="J645" s="307"/>
      <c r="K645" s="532">
        <v>40600000</v>
      </c>
      <c r="L645" s="533" t="s">
        <v>24</v>
      </c>
      <c r="M645" s="533" t="s">
        <v>45</v>
      </c>
      <c r="N645" s="525" t="str">
        <f>IF(AND('331-CT'!$E$7=TH!H645,OR(L645="331",M645="331")),"331",IF(AND(OR(L645="131",M645="131"),H645='131-CT'!$E$7),"131",""))</f>
        <v/>
      </c>
      <c r="O645" s="525" t="str">
        <f>IF(AND($B645&gt;='111'!$N$11,$B645&lt;='111'!$O$11,OR($L645=$O$7,$M645=$O$7)),"x","")</f>
        <v/>
      </c>
      <c r="P645" s="525" t="str">
        <f>IF(AND($L645=$O$7,$B645&lt;'111'!$N$11),"x","")</f>
        <v/>
      </c>
      <c r="Q645" s="525" t="str">
        <f>IF(AND($M645=$O$7,$B645&lt;'111'!$N$11),"x","")</f>
        <v>x</v>
      </c>
      <c r="R645" s="525" t="str">
        <f>IF(ISERROR(FIND('112'!$M$9,G645,1)),"",IF((AND(FIND('112'!$M$9,G645,1)&gt;=1,$B645&gt;='112'!$N$8,$B645&lt;='112'!$O$8,OR($L645='112'!$I$6,$M645='112'!$I$6))),"x",""))</f>
        <v/>
      </c>
      <c r="S645" s="525" t="str">
        <f>IF(ISERROR(FIND('112'!$M$9,G645,1)),"",IF((AND(LEFT(G645,2)=LEFT('112'!$M$9,2),B645&lt;'112'!$N$8,$L645='112'!$I$6)),"x",""))</f>
        <v>x</v>
      </c>
      <c r="T645" s="525" t="str">
        <f>IF(ISERROR(FIND('112'!$M$9,G645,1)),"",IF((AND(RIGHT(G645,2)=RIGHT('112'!$M$9,2),B645&lt;'112'!$N$8,$M645='112'!$I$6)),"x",""))</f>
        <v/>
      </c>
      <c r="U645" s="525" t="str">
        <f>IF(AND(B645&gt;='IN-NX'!$P$3,B645&lt;='IN-NX'!$Q$3,'IN-NX'!$D$7=D645,OR(LEFT(L645,2)="15",AND(LEFT(M645,2)&lt;&gt;"15",LEFT(M645,2)&lt;&gt;"33"))),"x","")</f>
        <v/>
      </c>
      <c r="V645" s="525" t="str">
        <f>IF(AND(OR(LEFT(TH!L645,2)="15",LEFT(TH!M645,2)="15"),'152-CT'!$J$8=TH!F645),"x","")</f>
        <v/>
      </c>
      <c r="W645" s="525" t="str">
        <f>IF(AND(OR(LEFT(TH!L645,2)="15",LEFT(TH!M645,2)="15"),TK!$E$7=TH!F645),"x","")</f>
        <v/>
      </c>
      <c r="X645" s="525" t="str">
        <f>IF(AND('341-CT'!$E$9=H645,OR(LEFT(L645,3)=$X$7,LEFT(M645,3)=$X$7)),"x","")</f>
        <v/>
      </c>
      <c r="Y645" s="525" t="str">
        <f>IF(OR(TH!L645=TH!$Y$7,M645=TH!$Y$7),"x","")</f>
        <v/>
      </c>
      <c r="Z645" s="525" t="str">
        <f>IF(AND(B645&lt;=NKC!$N$8,B645&gt;=NKC!$M$8),"x","")</f>
        <v/>
      </c>
      <c r="AA645" s="535"/>
      <c r="AB645" s="536"/>
    </row>
    <row r="646" spans="1:28" s="503" customFormat="1" ht="15.75" customHeight="1">
      <c r="A646" s="517" t="str">
        <f>IF(B646&lt;&gt;"",IF(AND(B646&gt;=_TM1,B646&lt;=_TM2,OR(TH!L646="1111",TH!M646="1111")),TH!D646,""),"")</f>
        <v/>
      </c>
      <c r="B646" s="531">
        <f t="shared" si="65"/>
        <v>7</v>
      </c>
      <c r="C646" s="315">
        <f t="shared" si="66"/>
        <v>42941</v>
      </c>
      <c r="D646" s="315" t="s">
        <v>456</v>
      </c>
      <c r="E646" s="288">
        <v>42941</v>
      </c>
      <c r="F646" s="248" t="s">
        <v>809</v>
      </c>
      <c r="G646" s="314" t="s">
        <v>440</v>
      </c>
      <c r="H646" s="473" t="s">
        <v>460</v>
      </c>
      <c r="I646" s="307"/>
      <c r="J646" s="307"/>
      <c r="K646" s="532">
        <v>400000</v>
      </c>
      <c r="L646" s="533" t="s">
        <v>24</v>
      </c>
      <c r="M646" s="533" t="s">
        <v>45</v>
      </c>
      <c r="N646" s="525" t="str">
        <f>IF(AND('331-CT'!$E$7=TH!H646,OR(L646="331",M646="331")),"331",IF(AND(OR(L646="131",M646="131"),H646='131-CT'!$E$7),"131",""))</f>
        <v/>
      </c>
      <c r="O646" s="525" t="str">
        <f>IF(AND($B646&gt;='111'!$N$11,$B646&lt;='111'!$O$11,OR($L646=$O$7,$M646=$O$7)),"x","")</f>
        <v/>
      </c>
      <c r="P646" s="525" t="str">
        <f>IF(AND($L646=$O$7,$B646&lt;'111'!$N$11),"x","")</f>
        <v/>
      </c>
      <c r="Q646" s="525" t="str">
        <f>IF(AND($M646=$O$7,$B646&lt;'111'!$N$11),"x","")</f>
        <v>x</v>
      </c>
      <c r="R646" s="525" t="str">
        <f>IF(ISERROR(FIND('112'!$M$9,G646,1)),"",IF((AND(FIND('112'!$M$9,G646,1)&gt;=1,$B646&gt;='112'!$N$8,$B646&lt;='112'!$O$8,OR($L646='112'!$I$6,$M646='112'!$I$6))),"x",""))</f>
        <v/>
      </c>
      <c r="S646" s="525" t="str">
        <f>IF(ISERROR(FIND('112'!$M$9,G646,1)),"",IF((AND(LEFT(G646,2)=LEFT('112'!$M$9,2),B646&lt;'112'!$N$8,$L646='112'!$I$6)),"x",""))</f>
        <v>x</v>
      </c>
      <c r="T646" s="525" t="str">
        <f>IF(ISERROR(FIND('112'!$M$9,G646,1)),"",IF((AND(RIGHT(G646,2)=RIGHT('112'!$M$9,2),B646&lt;'112'!$N$8,$M646='112'!$I$6)),"x",""))</f>
        <v/>
      </c>
      <c r="U646" s="525" t="str">
        <f>IF(AND(B646&gt;='IN-NX'!$P$3,B646&lt;='IN-NX'!$Q$3,'IN-NX'!$D$7=D646,OR(LEFT(L646,2)="15",AND(LEFT(M646,2)&lt;&gt;"15",LEFT(M646,2)&lt;&gt;"33"))),"x","")</f>
        <v/>
      </c>
      <c r="V646" s="525" t="str">
        <f>IF(AND(OR(LEFT(TH!L646,2)="15",LEFT(TH!M646,2)="15"),'152-CT'!$J$8=TH!F646),"x","")</f>
        <v/>
      </c>
      <c r="W646" s="525" t="str">
        <f>IF(AND(OR(LEFT(TH!L646,2)="15",LEFT(TH!M646,2)="15"),TK!$E$7=TH!F646),"x","")</f>
        <v/>
      </c>
      <c r="X646" s="525" t="str">
        <f>IF(AND('341-CT'!$E$9=H646,OR(LEFT(L646,3)=$X$7,LEFT(M646,3)=$X$7)),"x","")</f>
        <v/>
      </c>
      <c r="Y646" s="525" t="str">
        <f>IF(OR(TH!L646=TH!$Y$7,M646=TH!$Y$7),"x","")</f>
        <v/>
      </c>
      <c r="Z646" s="525" t="str">
        <f>IF(AND(B646&lt;=NKC!$N$8,B646&gt;=NKC!$M$8),"x","")</f>
        <v/>
      </c>
      <c r="AA646" s="535"/>
    </row>
    <row r="647" spans="1:28" s="503" customFormat="1" ht="15.75" customHeight="1">
      <c r="A647" s="517" t="str">
        <f>IF(B647&lt;&gt;"",IF(AND(B647&gt;=_TM1,B647&lt;=_TM2,OR(TH!L647="1111",TH!M647="1111")),TH!D647,""),"")</f>
        <v/>
      </c>
      <c r="B647" s="531">
        <f t="shared" si="65"/>
        <v>7</v>
      </c>
      <c r="C647" s="315">
        <f t="shared" si="66"/>
        <v>42941</v>
      </c>
      <c r="D647" s="315" t="s">
        <v>461</v>
      </c>
      <c r="E647" s="288">
        <v>42941</v>
      </c>
      <c r="F647" s="249" t="s">
        <v>828</v>
      </c>
      <c r="G647" s="314" t="s">
        <v>440</v>
      </c>
      <c r="H647" s="621" t="s">
        <v>1276</v>
      </c>
      <c r="I647" s="307"/>
      <c r="J647" s="307"/>
      <c r="K647" s="532">
        <v>16810</v>
      </c>
      <c r="L647" s="533" t="s">
        <v>79</v>
      </c>
      <c r="M647" s="533" t="s">
        <v>24</v>
      </c>
      <c r="N647" s="525" t="str">
        <f>IF(AND('331-CT'!$E$7=TH!H647,OR(L647="331",M647="331")),"331",IF(AND(OR(L647="131",M647="131"),H647='131-CT'!$E$7),"131",""))</f>
        <v/>
      </c>
      <c r="O647" s="525" t="str">
        <f>IF(AND($B647&gt;='111'!$N$11,$B647&lt;='111'!$O$11,OR($L647=$O$7,$M647=$O$7)),"x","")</f>
        <v/>
      </c>
      <c r="P647" s="525" t="str">
        <f>IF(AND($L647=$O$7,$B647&lt;'111'!$N$11),"x","")</f>
        <v/>
      </c>
      <c r="Q647" s="525" t="str">
        <f>IF(AND($M647=$O$7,$B647&lt;'111'!$N$11),"x","")</f>
        <v/>
      </c>
      <c r="R647" s="525" t="str">
        <f>IF(ISERROR(FIND('112'!$M$9,G647,1)),"",IF((AND(FIND('112'!$M$9,G647,1)&gt;=1,$B647&gt;='112'!$N$8,$B647&lt;='112'!$O$8,OR($L647='112'!$I$6,$M647='112'!$I$6))),"x",""))</f>
        <v/>
      </c>
      <c r="S647" s="525" t="str">
        <f>IF(ISERROR(FIND('112'!$M$9,G647,1)),"",IF((AND(LEFT(G647,2)=LEFT('112'!$M$9,2),B647&lt;'112'!$N$8,$L647='112'!$I$6)),"x",""))</f>
        <v/>
      </c>
      <c r="T647" s="525" t="str">
        <f>IF(ISERROR(FIND('112'!$M$9,G647,1)),"",IF((AND(RIGHT(G647,2)=RIGHT('112'!$M$9,2),B647&lt;'112'!$N$8,$M647='112'!$I$6)),"x",""))</f>
        <v>x</v>
      </c>
      <c r="U647" s="525" t="str">
        <f>IF(AND(B647&gt;='IN-NX'!$P$3,B647&lt;='IN-NX'!$Q$3,'IN-NX'!$D$7=D647,OR(LEFT(L647,2)="15",AND(LEFT(M647,2)&lt;&gt;"15",LEFT(M647,2)&lt;&gt;"33"))),"x","")</f>
        <v/>
      </c>
      <c r="V647" s="525" t="str">
        <f>IF(AND(OR(LEFT(TH!L647,2)="15",LEFT(TH!M647,2)="15"),'152-CT'!$J$8=TH!F647),"x","")</f>
        <v/>
      </c>
      <c r="W647" s="525" t="str">
        <f>IF(AND(OR(LEFT(TH!L647,2)="15",LEFT(TH!M647,2)="15"),TK!$E$7=TH!F647),"x","")</f>
        <v/>
      </c>
      <c r="X647" s="525" t="str">
        <f>IF(AND('341-CT'!$E$9=H647,OR(LEFT(L647,3)=$X$7,LEFT(M647,3)=$X$7)),"x","")</f>
        <v/>
      </c>
      <c r="Y647" s="525" t="str">
        <f>IF(OR(TH!L647=TH!$Y$7,M647=TH!$Y$7),"x","")</f>
        <v/>
      </c>
      <c r="Z647" s="525" t="str">
        <f>IF(AND(B647&lt;=NKC!$N$8,B647&gt;=NKC!$M$8),"x","")</f>
        <v/>
      </c>
      <c r="AA647" s="535"/>
      <c r="AB647" s="536"/>
    </row>
    <row r="648" spans="1:28" s="503" customFormat="1" ht="15.75" customHeight="1">
      <c r="A648" s="517" t="str">
        <f>IF(B648&lt;&gt;"",IF(AND(B648&gt;=_TM1,B648&lt;=_TM2,OR(TH!L648="1111",TH!M648="1111")),TH!D648,""),"")</f>
        <v/>
      </c>
      <c r="B648" s="531">
        <f t="shared" si="65"/>
        <v>7</v>
      </c>
      <c r="C648" s="315">
        <f t="shared" si="66"/>
        <v>42941</v>
      </c>
      <c r="D648" s="315" t="s">
        <v>461</v>
      </c>
      <c r="E648" s="288">
        <v>42941</v>
      </c>
      <c r="F648" s="249" t="s">
        <v>828</v>
      </c>
      <c r="G648" s="314" t="s">
        <v>440</v>
      </c>
      <c r="H648" s="621" t="s">
        <v>1276</v>
      </c>
      <c r="I648" s="307"/>
      <c r="J648" s="307"/>
      <c r="K648" s="532">
        <v>33620</v>
      </c>
      <c r="L648" s="533" t="s">
        <v>79</v>
      </c>
      <c r="M648" s="533" t="s">
        <v>24</v>
      </c>
      <c r="N648" s="525" t="str">
        <f>IF(AND('331-CT'!$E$7=TH!H648,OR(L648="331",M648="331")),"331",IF(AND(OR(L648="131",M648="131"),H648='131-CT'!$E$7),"131",""))</f>
        <v/>
      </c>
      <c r="O648" s="525" t="str">
        <f>IF(AND($B648&gt;='111'!$N$11,$B648&lt;='111'!$O$11,OR($L648=$O$7,$M648=$O$7)),"x","")</f>
        <v/>
      </c>
      <c r="P648" s="525" t="str">
        <f>IF(AND($L648=$O$7,$B648&lt;'111'!$N$11),"x","")</f>
        <v/>
      </c>
      <c r="Q648" s="525" t="str">
        <f>IF(AND($M648=$O$7,$B648&lt;'111'!$N$11),"x","")</f>
        <v/>
      </c>
      <c r="R648" s="525" t="str">
        <f>IF(ISERROR(FIND('112'!$M$9,G648,1)),"",IF((AND(FIND('112'!$M$9,G648,1)&gt;=1,$B648&gt;='112'!$N$8,$B648&lt;='112'!$O$8,OR($L648='112'!$I$6,$M648='112'!$I$6))),"x",""))</f>
        <v/>
      </c>
      <c r="S648" s="525" t="str">
        <f>IF(ISERROR(FIND('112'!$M$9,G648,1)),"",IF((AND(LEFT(G648,2)=LEFT('112'!$M$9,2),B648&lt;'112'!$N$8,$L648='112'!$I$6)),"x",""))</f>
        <v/>
      </c>
      <c r="T648" s="525" t="str">
        <f>IF(ISERROR(FIND('112'!$M$9,G648,1)),"",IF((AND(RIGHT(G648,2)=RIGHT('112'!$M$9,2),B648&lt;'112'!$N$8,$M648='112'!$I$6)),"x",""))</f>
        <v>x</v>
      </c>
      <c r="U648" s="525" t="str">
        <f>IF(AND(B648&gt;='IN-NX'!$P$3,B648&lt;='IN-NX'!$Q$3,'IN-NX'!$D$7=D648,OR(LEFT(L648,2)="15",AND(LEFT(M648,2)&lt;&gt;"15",LEFT(M648,2)&lt;&gt;"33"))),"x","")</f>
        <v/>
      </c>
      <c r="V648" s="525" t="str">
        <f>IF(AND(OR(LEFT(TH!L648,2)="15",LEFT(TH!M648,2)="15"),'152-CT'!$J$8=TH!F648),"x","")</f>
        <v/>
      </c>
      <c r="W648" s="525" t="str">
        <f>IF(AND(OR(LEFT(TH!L648,2)="15",LEFT(TH!M648,2)="15"),TK!$E$7=TH!F648),"x","")</f>
        <v/>
      </c>
      <c r="X648" s="525" t="str">
        <f>IF(AND('341-CT'!$E$9=H648,OR(LEFT(L648,3)=$X$7,LEFT(M648,3)=$X$7)),"x","")</f>
        <v/>
      </c>
      <c r="Y648" s="525" t="str">
        <f>IF(OR(TH!L648=TH!$Y$7,M648=TH!$Y$7),"x","")</f>
        <v/>
      </c>
      <c r="Z648" s="525" t="str">
        <f>IF(AND(B648&lt;=NKC!$N$8,B648&gt;=NKC!$M$8),"x","")</f>
        <v/>
      </c>
      <c r="AA648" s="535"/>
    </row>
    <row r="649" spans="1:28" s="503" customFormat="1" ht="15.75" customHeight="1">
      <c r="A649" s="517" t="str">
        <f>IF(B649&lt;&gt;"",IF(AND(B649&gt;=_TM1,B649&lt;=_TM2,OR(TH!L649="1111",TH!M649="1111")),TH!D649,""),"")</f>
        <v/>
      </c>
      <c r="B649" s="531">
        <f t="shared" ref="B649:B660" si="69">IF(C649&lt;&gt;"",MONTH(C649),"")</f>
        <v>7</v>
      </c>
      <c r="C649" s="315">
        <f t="shared" ref="C649:C660" si="70">E649</f>
        <v>42941</v>
      </c>
      <c r="D649" s="315" t="s">
        <v>461</v>
      </c>
      <c r="E649" s="288">
        <v>42941</v>
      </c>
      <c r="F649" s="249" t="s">
        <v>828</v>
      </c>
      <c r="G649" s="314" t="s">
        <v>440</v>
      </c>
      <c r="H649" s="621" t="s">
        <v>1276</v>
      </c>
      <c r="I649" s="307"/>
      <c r="J649" s="307"/>
      <c r="K649" s="532">
        <v>1750233</v>
      </c>
      <c r="L649" s="533" t="s">
        <v>79</v>
      </c>
      <c r="M649" s="533" t="s">
        <v>24</v>
      </c>
      <c r="N649" s="525" t="str">
        <f>IF(AND('331-CT'!$E$7=TH!H649,OR(L649="331",M649="331")),"331",IF(AND(OR(L649="131",M649="131"),H649='131-CT'!$E$7),"131",""))</f>
        <v/>
      </c>
      <c r="O649" s="525" t="str">
        <f>IF(AND($B649&gt;='111'!$N$11,$B649&lt;='111'!$O$11,OR($L649=$O$7,$M649=$O$7)),"x","")</f>
        <v/>
      </c>
      <c r="P649" s="525" t="str">
        <f>IF(AND($L649=$O$7,$B649&lt;'111'!$N$11),"x","")</f>
        <v/>
      </c>
      <c r="Q649" s="525" t="str">
        <f>IF(AND($M649=$O$7,$B649&lt;'111'!$N$11),"x","")</f>
        <v/>
      </c>
      <c r="R649" s="525" t="str">
        <f>IF(ISERROR(FIND('112'!$M$9,G649,1)),"",IF((AND(FIND('112'!$M$9,G649,1)&gt;=1,$B649&gt;='112'!$N$8,$B649&lt;='112'!$O$8,OR($L649='112'!$I$6,$M649='112'!$I$6))),"x",""))</f>
        <v/>
      </c>
      <c r="S649" s="525" t="str">
        <f>IF(ISERROR(FIND('112'!$M$9,G649,1)),"",IF((AND(LEFT(G649,2)=LEFT('112'!$M$9,2),B649&lt;'112'!$N$8,$L649='112'!$I$6)),"x",""))</f>
        <v/>
      </c>
      <c r="T649" s="525" t="str">
        <f>IF(ISERROR(FIND('112'!$M$9,G649,1)),"",IF((AND(RIGHT(G649,2)=RIGHT('112'!$M$9,2),B649&lt;'112'!$N$8,$M649='112'!$I$6)),"x",""))</f>
        <v>x</v>
      </c>
      <c r="U649" s="525" t="str">
        <f>IF(AND(B649&gt;='IN-NX'!$P$3,B649&lt;='IN-NX'!$Q$3,'IN-NX'!$D$7=D649,OR(LEFT(L649,2)="15",AND(LEFT(M649,2)&lt;&gt;"15",LEFT(M649,2)&lt;&gt;"33"))),"x","")</f>
        <v/>
      </c>
      <c r="V649" s="525" t="str">
        <f>IF(AND(OR(LEFT(TH!L649,2)="15",LEFT(TH!M649,2)="15"),'152-CT'!$J$8=TH!F649),"x","")</f>
        <v/>
      </c>
      <c r="W649" s="525" t="str">
        <f>IF(AND(OR(LEFT(TH!L649,2)="15",LEFT(TH!M649,2)="15"),TK!$E$7=TH!F649),"x","")</f>
        <v/>
      </c>
      <c r="X649" s="525" t="str">
        <f>IF(AND('341-CT'!$E$9=H649,OR(LEFT(L649,3)=$X$7,LEFT(M649,3)=$X$7)),"x","")</f>
        <v/>
      </c>
      <c r="Y649" s="525" t="str">
        <f>IF(OR(TH!L649=TH!$Y$7,M649=TH!$Y$7),"x","")</f>
        <v/>
      </c>
      <c r="Z649" s="525" t="str">
        <f>IF(AND(B649&lt;=NKC!$N$8,B649&gt;=NKC!$M$8),"x","")</f>
        <v/>
      </c>
      <c r="AA649" s="535"/>
      <c r="AB649" s="536"/>
    </row>
    <row r="650" spans="1:28" s="503" customFormat="1" ht="15.75" customHeight="1">
      <c r="A650" s="517" t="str">
        <f>IF(B650&lt;&gt;"",IF(AND(B650&gt;=_TM1,B650&lt;=_TM2,OR(TH!L650="1111",TH!M650="1111")),TH!D650,""),"")</f>
        <v/>
      </c>
      <c r="B650" s="531">
        <f t="shared" si="69"/>
        <v>7</v>
      </c>
      <c r="C650" s="315">
        <f t="shared" si="70"/>
        <v>42941</v>
      </c>
      <c r="D650" s="315" t="s">
        <v>461</v>
      </c>
      <c r="E650" s="288">
        <v>42941</v>
      </c>
      <c r="F650" s="249" t="s">
        <v>829</v>
      </c>
      <c r="G650" s="314" t="s">
        <v>440</v>
      </c>
      <c r="H650" s="621" t="s">
        <v>1276</v>
      </c>
      <c r="I650" s="307"/>
      <c r="J650" s="307"/>
      <c r="K650" s="532">
        <v>11550000</v>
      </c>
      <c r="L650" s="534" t="s">
        <v>441</v>
      </c>
      <c r="M650" s="533" t="s">
        <v>24</v>
      </c>
      <c r="N650" s="525" t="str">
        <f>IF(AND('331-CT'!$E$7=TH!H650,OR(L650="331",M650="331")),"331",IF(AND(OR(L650="131",M650="131"),H650='131-CT'!$E$7),"131",""))</f>
        <v/>
      </c>
      <c r="O650" s="525" t="str">
        <f>IF(AND($B650&gt;='111'!$N$11,$B650&lt;='111'!$O$11,OR($L650=$O$7,$M650=$O$7)),"x","")</f>
        <v/>
      </c>
      <c r="P650" s="525" t="str">
        <f>IF(AND($L650=$O$7,$B650&lt;'111'!$N$11),"x","")</f>
        <v/>
      </c>
      <c r="Q650" s="525" t="str">
        <f>IF(AND($M650=$O$7,$B650&lt;'111'!$N$11),"x","")</f>
        <v/>
      </c>
      <c r="R650" s="525" t="str">
        <f>IF(ISERROR(FIND('112'!$M$9,G650,1)),"",IF((AND(FIND('112'!$M$9,G650,1)&gt;=1,$B650&gt;='112'!$N$8,$B650&lt;='112'!$O$8,OR($L650='112'!$I$6,$M650='112'!$I$6))),"x",""))</f>
        <v/>
      </c>
      <c r="S650" s="525" t="str">
        <f>IF(ISERROR(FIND('112'!$M$9,G650,1)),"",IF((AND(LEFT(G650,2)=LEFT('112'!$M$9,2),B650&lt;'112'!$N$8,$L650='112'!$I$6)),"x",""))</f>
        <v/>
      </c>
      <c r="T650" s="525" t="str">
        <f>IF(ISERROR(FIND('112'!$M$9,G650,1)),"",IF((AND(RIGHT(G650,2)=RIGHT('112'!$M$9,2),B650&lt;'112'!$N$8,$M650='112'!$I$6)),"x",""))</f>
        <v>x</v>
      </c>
      <c r="U650" s="525" t="str">
        <f>IF(AND(B650&gt;='IN-NX'!$P$3,B650&lt;='IN-NX'!$Q$3,'IN-NX'!$D$7=D650,OR(LEFT(L650,2)="15",AND(LEFT(M650,2)&lt;&gt;"15",LEFT(M650,2)&lt;&gt;"33"))),"x","")</f>
        <v/>
      </c>
      <c r="V650" s="525" t="str">
        <f>IF(AND(OR(LEFT(TH!L650,2)="15",LEFT(TH!M650,2)="15"),'152-CT'!$J$8=TH!F650),"x","")</f>
        <v/>
      </c>
      <c r="W650" s="525" t="str">
        <f>IF(AND(OR(LEFT(TH!L650,2)="15",LEFT(TH!M650,2)="15"),TK!$E$7=TH!F650),"x","")</f>
        <v/>
      </c>
      <c r="X650" s="525" t="str">
        <f>IF(AND('341-CT'!$E$9=H650,OR(LEFT(L650,3)=$X$7,LEFT(M650,3)=$X$7)),"x","")</f>
        <v/>
      </c>
      <c r="Y650" s="525" t="str">
        <f>IF(OR(TH!L650=TH!$Y$7,M650=TH!$Y$7),"x","")</f>
        <v/>
      </c>
      <c r="Z650" s="525" t="str">
        <f>IF(AND(B650&lt;=NKC!$N$8,B650&gt;=NKC!$M$8),"x","")</f>
        <v/>
      </c>
      <c r="AA650" s="535"/>
    </row>
    <row r="651" spans="1:28" s="503" customFormat="1" ht="15.75" customHeight="1">
      <c r="A651" s="517" t="str">
        <f>IF(B651&lt;&gt;"",IF(AND(B651&gt;=_TM1,B651&lt;=_TM2,OR(TH!L651="1111",TH!M651="1111")),TH!D651,""),"")</f>
        <v/>
      </c>
      <c r="B651" s="531">
        <f t="shared" si="69"/>
        <v>7</v>
      </c>
      <c r="C651" s="315">
        <f t="shared" si="70"/>
        <v>42941</v>
      </c>
      <c r="D651" s="315" t="s">
        <v>461</v>
      </c>
      <c r="E651" s="288">
        <v>42941</v>
      </c>
      <c r="F651" s="249" t="s">
        <v>828</v>
      </c>
      <c r="G651" s="314" t="s">
        <v>440</v>
      </c>
      <c r="H651" s="621" t="s">
        <v>1271</v>
      </c>
      <c r="I651" s="307"/>
      <c r="J651" s="307"/>
      <c r="K651" s="532">
        <v>829</v>
      </c>
      <c r="L651" s="533" t="s">
        <v>79</v>
      </c>
      <c r="M651" s="533" t="s">
        <v>24</v>
      </c>
      <c r="N651" s="525" t="str">
        <f>IF(AND('331-CT'!$E$7=TH!H651,OR(L651="331",M651="331")),"331",IF(AND(OR(L651="131",M651="131"),H651='131-CT'!$E$7),"131",""))</f>
        <v/>
      </c>
      <c r="O651" s="525" t="str">
        <f>IF(AND($B651&gt;='111'!$N$11,$B651&lt;='111'!$O$11,OR($L651=$O$7,$M651=$O$7)),"x","")</f>
        <v/>
      </c>
      <c r="P651" s="525" t="str">
        <f>IF(AND($L651=$O$7,$B651&lt;'111'!$N$11),"x","")</f>
        <v/>
      </c>
      <c r="Q651" s="525" t="str">
        <f>IF(AND($M651=$O$7,$B651&lt;'111'!$N$11),"x","")</f>
        <v/>
      </c>
      <c r="R651" s="525" t="str">
        <f>IF(ISERROR(FIND('112'!$M$9,G651,1)),"",IF((AND(FIND('112'!$M$9,G651,1)&gt;=1,$B651&gt;='112'!$N$8,$B651&lt;='112'!$O$8,OR($L651='112'!$I$6,$M651='112'!$I$6))),"x",""))</f>
        <v/>
      </c>
      <c r="S651" s="525" t="str">
        <f>IF(ISERROR(FIND('112'!$M$9,G651,1)),"",IF((AND(LEFT(G651,2)=LEFT('112'!$M$9,2),B651&lt;'112'!$N$8,$L651='112'!$I$6)),"x",""))</f>
        <v/>
      </c>
      <c r="T651" s="525" t="str">
        <f>IF(ISERROR(FIND('112'!$M$9,G651,1)),"",IF((AND(RIGHT(G651,2)=RIGHT('112'!$M$9,2),B651&lt;'112'!$N$8,$M651='112'!$I$6)),"x",""))</f>
        <v>x</v>
      </c>
      <c r="U651" s="525" t="str">
        <f>IF(AND(B651&gt;='IN-NX'!$P$3,B651&lt;='IN-NX'!$Q$3,'IN-NX'!$D$7=D651,OR(LEFT(L651,2)="15",AND(LEFT(M651,2)&lt;&gt;"15",LEFT(M651,2)&lt;&gt;"33"))),"x","")</f>
        <v/>
      </c>
      <c r="V651" s="525" t="str">
        <f>IF(AND(OR(LEFT(TH!L651,2)="15",LEFT(TH!M651,2)="15"),'152-CT'!$J$8=TH!F651),"x","")</f>
        <v/>
      </c>
      <c r="W651" s="525" t="str">
        <f>IF(AND(OR(LEFT(TH!L651,2)="15",LEFT(TH!M651,2)="15"),TK!$E$7=TH!F651),"x","")</f>
        <v/>
      </c>
      <c r="X651" s="525" t="str">
        <f>IF(AND('341-CT'!$E$9=H651,OR(LEFT(L651,3)=$X$7,LEFT(M651,3)=$X$7)),"x","")</f>
        <v/>
      </c>
      <c r="Y651" s="525" t="str">
        <f>IF(OR(TH!L651=TH!$Y$7,M651=TH!$Y$7),"x","")</f>
        <v/>
      </c>
      <c r="Z651" s="525" t="str">
        <f>IF(AND(B651&lt;=NKC!$N$8,B651&gt;=NKC!$M$8),"x","")</f>
        <v/>
      </c>
      <c r="AA651" s="535"/>
    </row>
    <row r="652" spans="1:28" s="503" customFormat="1" ht="15.75" customHeight="1">
      <c r="A652" s="517" t="str">
        <f>IF(B652&lt;&gt;"",IF(AND(B652&gt;=_TM1,B652&lt;=_TM2,OR(TH!L652="1111",TH!M652="1111")),TH!D652,""),"")</f>
        <v/>
      </c>
      <c r="B652" s="531">
        <f t="shared" si="69"/>
        <v>7</v>
      </c>
      <c r="C652" s="315">
        <f t="shared" si="70"/>
        <v>42941</v>
      </c>
      <c r="D652" s="315" t="s">
        <v>461</v>
      </c>
      <c r="E652" s="288">
        <v>42941</v>
      </c>
      <c r="F652" s="249" t="s">
        <v>828</v>
      </c>
      <c r="G652" s="314" t="s">
        <v>440</v>
      </c>
      <c r="H652" s="621" t="s">
        <v>1271</v>
      </c>
      <c r="I652" s="307"/>
      <c r="J652" s="307"/>
      <c r="K652" s="532">
        <v>1659</v>
      </c>
      <c r="L652" s="533" t="s">
        <v>79</v>
      </c>
      <c r="M652" s="533" t="s">
        <v>24</v>
      </c>
      <c r="N652" s="525" t="str">
        <f>IF(AND('331-CT'!$E$7=TH!H652,OR(L652="331",M652="331")),"331",IF(AND(OR(L652="131",M652="131"),H652='131-CT'!$E$7),"131",""))</f>
        <v/>
      </c>
      <c r="O652" s="525" t="str">
        <f>IF(AND($B652&gt;='111'!$N$11,$B652&lt;='111'!$O$11,OR($L652=$O$7,$M652=$O$7)),"x","")</f>
        <v/>
      </c>
      <c r="P652" s="525" t="str">
        <f>IF(AND($L652=$O$7,$B652&lt;'111'!$N$11),"x","")</f>
        <v/>
      </c>
      <c r="Q652" s="525" t="str">
        <f>IF(AND($M652=$O$7,$B652&lt;'111'!$N$11),"x","")</f>
        <v/>
      </c>
      <c r="R652" s="525" t="str">
        <f>IF(ISERROR(FIND('112'!$M$9,G652,1)),"",IF((AND(FIND('112'!$M$9,G652,1)&gt;=1,$B652&gt;='112'!$N$8,$B652&lt;='112'!$O$8,OR($L652='112'!$I$6,$M652='112'!$I$6))),"x",""))</f>
        <v/>
      </c>
      <c r="S652" s="525" t="str">
        <f>IF(ISERROR(FIND('112'!$M$9,G652,1)),"",IF((AND(LEFT(G652,2)=LEFT('112'!$M$9,2),B652&lt;'112'!$N$8,$L652='112'!$I$6)),"x",""))</f>
        <v/>
      </c>
      <c r="T652" s="525" t="str">
        <f>IF(ISERROR(FIND('112'!$M$9,G652,1)),"",IF((AND(RIGHT(G652,2)=RIGHT('112'!$M$9,2),B652&lt;'112'!$N$8,$M652='112'!$I$6)),"x",""))</f>
        <v>x</v>
      </c>
      <c r="U652" s="525" t="str">
        <f>IF(AND(B652&gt;='IN-NX'!$P$3,B652&lt;='IN-NX'!$Q$3,'IN-NX'!$D$7=D652,OR(LEFT(L652,2)="15",AND(LEFT(M652,2)&lt;&gt;"15",LEFT(M652,2)&lt;&gt;"33"))),"x","")</f>
        <v/>
      </c>
      <c r="V652" s="525" t="str">
        <f>IF(AND(OR(LEFT(TH!L652,2)="15",LEFT(TH!M652,2)="15"),'152-CT'!$J$8=TH!F652),"x","")</f>
        <v/>
      </c>
      <c r="W652" s="525" t="str">
        <f>IF(AND(OR(LEFT(TH!L652,2)="15",LEFT(TH!M652,2)="15"),TK!$E$7=TH!F652),"x","")</f>
        <v/>
      </c>
      <c r="X652" s="525" t="str">
        <f>IF(AND('341-CT'!$E$9=H652,OR(LEFT(L652,3)=$X$7,LEFT(M652,3)=$X$7)),"x","")</f>
        <v/>
      </c>
      <c r="Y652" s="525" t="str">
        <f>IF(OR(TH!L652=TH!$Y$7,M652=TH!$Y$7),"x","")</f>
        <v/>
      </c>
      <c r="Z652" s="525" t="str">
        <f>IF(AND(B652&lt;=NKC!$N$8,B652&gt;=NKC!$M$8),"x","")</f>
        <v/>
      </c>
      <c r="AA652" s="535"/>
    </row>
    <row r="653" spans="1:28" s="503" customFormat="1" ht="15.75" customHeight="1">
      <c r="A653" s="517" t="str">
        <f>IF(B653&lt;&gt;"",IF(AND(B653&gt;=_TM1,B653&lt;=_TM2,OR(TH!L653="1111",TH!M653="1111")),TH!D653,""),"")</f>
        <v/>
      </c>
      <c r="B653" s="531">
        <f t="shared" si="69"/>
        <v>7</v>
      </c>
      <c r="C653" s="315">
        <f t="shared" si="70"/>
        <v>42941</v>
      </c>
      <c r="D653" s="315" t="s">
        <v>461</v>
      </c>
      <c r="E653" s="288">
        <v>42941</v>
      </c>
      <c r="F653" s="249" t="s">
        <v>829</v>
      </c>
      <c r="G653" s="314" t="s">
        <v>440</v>
      </c>
      <c r="H653" s="621" t="s">
        <v>1271</v>
      </c>
      <c r="I653" s="307"/>
      <c r="J653" s="307"/>
      <c r="K653" s="532">
        <v>3280940</v>
      </c>
      <c r="L653" s="534" t="s">
        <v>441</v>
      </c>
      <c r="M653" s="533" t="s">
        <v>24</v>
      </c>
      <c r="N653" s="525" t="str">
        <f>IF(AND('331-CT'!$E$7=TH!H653,OR(L653="331",M653="331")),"331",IF(AND(OR(L653="131",M653="131"),H653='131-CT'!$E$7),"131",""))</f>
        <v/>
      </c>
      <c r="O653" s="525" t="str">
        <f>IF(AND($B653&gt;='111'!$N$11,$B653&lt;='111'!$O$11,OR($L653=$O$7,$M653=$O$7)),"x","")</f>
        <v/>
      </c>
      <c r="P653" s="525" t="str">
        <f>IF(AND($L653=$O$7,$B653&lt;'111'!$N$11),"x","")</f>
        <v/>
      </c>
      <c r="Q653" s="525" t="str">
        <f>IF(AND($M653=$O$7,$B653&lt;'111'!$N$11),"x","")</f>
        <v/>
      </c>
      <c r="R653" s="525" t="str">
        <f>IF(ISERROR(FIND('112'!$M$9,G653,1)),"",IF((AND(FIND('112'!$M$9,G653,1)&gt;=1,$B653&gt;='112'!$N$8,$B653&lt;='112'!$O$8,OR($L653='112'!$I$6,$M653='112'!$I$6))),"x",""))</f>
        <v/>
      </c>
      <c r="S653" s="525" t="str">
        <f>IF(ISERROR(FIND('112'!$M$9,G653,1)),"",IF((AND(LEFT(G653,2)=LEFT('112'!$M$9,2),B653&lt;'112'!$N$8,$L653='112'!$I$6)),"x",""))</f>
        <v/>
      </c>
      <c r="T653" s="525" t="str">
        <f>IF(ISERROR(FIND('112'!$M$9,G653,1)),"",IF((AND(RIGHT(G653,2)=RIGHT('112'!$M$9,2),B653&lt;'112'!$N$8,$M653='112'!$I$6)),"x",""))</f>
        <v>x</v>
      </c>
      <c r="U653" s="525" t="str">
        <f>IF(AND(B653&gt;='IN-NX'!$P$3,B653&lt;='IN-NX'!$Q$3,'IN-NX'!$D$7=D653,OR(LEFT(L653,2)="15",AND(LEFT(M653,2)&lt;&gt;"15",LEFT(M653,2)&lt;&gt;"33"))),"x","")</f>
        <v/>
      </c>
      <c r="V653" s="525" t="str">
        <f>IF(AND(OR(LEFT(TH!L653,2)="15",LEFT(TH!M653,2)="15"),'152-CT'!$J$8=TH!F653),"x","")</f>
        <v/>
      </c>
      <c r="W653" s="525" t="str">
        <f>IF(AND(OR(LEFT(TH!L653,2)="15",LEFT(TH!M653,2)="15"),TK!$E$7=TH!F653),"x","")</f>
        <v/>
      </c>
      <c r="X653" s="525" t="str">
        <f>IF(AND('341-CT'!$E$9=H653,OR(LEFT(L653,3)=$X$7,LEFT(M653,3)=$X$7)),"x","")</f>
        <v>x</v>
      </c>
      <c r="Y653" s="525" t="str">
        <f>IF(OR(TH!L653=TH!$Y$7,M653=TH!$Y$7),"x","")</f>
        <v/>
      </c>
      <c r="Z653" s="525" t="str">
        <f>IF(AND(B653&lt;=NKC!$N$8,B653&gt;=NKC!$M$8),"x","")</f>
        <v/>
      </c>
      <c r="AA653" s="535"/>
      <c r="AB653" s="536"/>
    </row>
    <row r="654" spans="1:28" s="503" customFormat="1" ht="15.75" customHeight="1">
      <c r="A654" s="517" t="str">
        <f>IF(B654&lt;&gt;"",IF(AND(B654&gt;=_TM1,B654&lt;=_TM2,OR(TH!L654="1111",TH!M654="1111")),TH!D654,""),"")</f>
        <v/>
      </c>
      <c r="B654" s="531">
        <f t="shared" si="69"/>
        <v>7</v>
      </c>
      <c r="C654" s="315">
        <f t="shared" si="70"/>
        <v>42941</v>
      </c>
      <c r="D654" s="315" t="s">
        <v>461</v>
      </c>
      <c r="E654" s="288">
        <v>42941</v>
      </c>
      <c r="F654" s="249" t="s">
        <v>828</v>
      </c>
      <c r="G654" s="314" t="s">
        <v>440</v>
      </c>
      <c r="H654" s="621" t="s">
        <v>1273</v>
      </c>
      <c r="I654" s="307"/>
      <c r="J654" s="307"/>
      <c r="K654" s="532">
        <v>13966</v>
      </c>
      <c r="L654" s="533" t="s">
        <v>79</v>
      </c>
      <c r="M654" s="533" t="s">
        <v>24</v>
      </c>
      <c r="N654" s="525" t="str">
        <f>IF(AND('331-CT'!$E$7=TH!H654,OR(L654="331",M654="331")),"331",IF(AND(OR(L654="131",M654="131"),H654='131-CT'!$E$7),"131",""))</f>
        <v/>
      </c>
      <c r="O654" s="525" t="str">
        <f>IF(AND($B654&gt;='111'!$N$11,$B654&lt;='111'!$O$11,OR($L654=$O$7,$M654=$O$7)),"x","")</f>
        <v/>
      </c>
      <c r="P654" s="525" t="str">
        <f>IF(AND($L654=$O$7,$B654&lt;'111'!$N$11),"x","")</f>
        <v/>
      </c>
      <c r="Q654" s="525" t="str">
        <f>IF(AND($M654=$O$7,$B654&lt;'111'!$N$11),"x","")</f>
        <v/>
      </c>
      <c r="R654" s="525" t="str">
        <f>IF(ISERROR(FIND('112'!$M$9,G654,1)),"",IF((AND(FIND('112'!$M$9,G654,1)&gt;=1,$B654&gt;='112'!$N$8,$B654&lt;='112'!$O$8,OR($L654='112'!$I$6,$M654='112'!$I$6))),"x",""))</f>
        <v/>
      </c>
      <c r="S654" s="525" t="str">
        <f>IF(ISERROR(FIND('112'!$M$9,G654,1)),"",IF((AND(LEFT(G654,2)=LEFT('112'!$M$9,2),B654&lt;'112'!$N$8,$L654='112'!$I$6)),"x",""))</f>
        <v/>
      </c>
      <c r="T654" s="525" t="str">
        <f>IF(ISERROR(FIND('112'!$M$9,G654,1)),"",IF((AND(RIGHT(G654,2)=RIGHT('112'!$M$9,2),B654&lt;'112'!$N$8,$M654='112'!$I$6)),"x",""))</f>
        <v>x</v>
      </c>
      <c r="U654" s="525" t="str">
        <f>IF(AND(B654&gt;='IN-NX'!$P$3,B654&lt;='IN-NX'!$Q$3,'IN-NX'!$D$7=D654,OR(LEFT(L654,2)="15",AND(LEFT(M654,2)&lt;&gt;"15",LEFT(M654,2)&lt;&gt;"33"))),"x","")</f>
        <v/>
      </c>
      <c r="V654" s="525" t="str">
        <f>IF(AND(OR(LEFT(TH!L654,2)="15",LEFT(TH!M654,2)="15"),'152-CT'!$J$8=TH!F654),"x","")</f>
        <v/>
      </c>
      <c r="W654" s="525" t="str">
        <f>IF(AND(OR(LEFT(TH!L654,2)="15",LEFT(TH!M654,2)="15"),TK!$E$7=TH!F654),"x","")</f>
        <v/>
      </c>
      <c r="X654" s="525" t="str">
        <f>IF(AND('341-CT'!$E$9=H654,OR(LEFT(L654,3)=$X$7,LEFT(M654,3)=$X$7)),"x","")</f>
        <v/>
      </c>
      <c r="Y654" s="525" t="str">
        <f>IF(OR(TH!L654=TH!$Y$7,M654=TH!$Y$7),"x","")</f>
        <v/>
      </c>
      <c r="Z654" s="525" t="str">
        <f>IF(AND(B654&lt;=NKC!$N$8,B654&gt;=NKC!$M$8),"x","")</f>
        <v/>
      </c>
      <c r="AA654" s="535"/>
    </row>
    <row r="655" spans="1:28" s="503" customFormat="1" ht="15.75" customHeight="1">
      <c r="A655" s="517" t="str">
        <f>IF(B655&lt;&gt;"",IF(AND(B655&gt;=_TM1,B655&lt;=_TM2,OR(TH!L655="1111",TH!M655="1111")),TH!D655,""),"")</f>
        <v/>
      </c>
      <c r="B655" s="531">
        <f t="shared" si="69"/>
        <v>7</v>
      </c>
      <c r="C655" s="315">
        <f t="shared" si="70"/>
        <v>42941</v>
      </c>
      <c r="D655" s="315" t="s">
        <v>461</v>
      </c>
      <c r="E655" s="288">
        <v>42941</v>
      </c>
      <c r="F655" s="249" t="s">
        <v>828</v>
      </c>
      <c r="G655" s="314" t="s">
        <v>440</v>
      </c>
      <c r="H655" s="621" t="s">
        <v>1273</v>
      </c>
      <c r="I655" s="307"/>
      <c r="J655" s="307"/>
      <c r="K655" s="532">
        <v>27931</v>
      </c>
      <c r="L655" s="533" t="s">
        <v>79</v>
      </c>
      <c r="M655" s="533" t="s">
        <v>24</v>
      </c>
      <c r="N655" s="525" t="str">
        <f>IF(AND('331-CT'!$E$7=TH!H655,OR(L655="331",M655="331")),"331",IF(AND(OR(L655="131",M655="131"),H655='131-CT'!$E$7),"131",""))</f>
        <v/>
      </c>
      <c r="O655" s="525" t="str">
        <f>IF(AND($B655&gt;='111'!$N$11,$B655&lt;='111'!$O$11,OR($L655=$O$7,$M655=$O$7)),"x","")</f>
        <v/>
      </c>
      <c r="P655" s="525" t="str">
        <f>IF(AND($L655=$O$7,$B655&lt;'111'!$N$11),"x","")</f>
        <v/>
      </c>
      <c r="Q655" s="525" t="str">
        <f>IF(AND($M655=$O$7,$B655&lt;'111'!$N$11),"x","")</f>
        <v/>
      </c>
      <c r="R655" s="525" t="str">
        <f>IF(ISERROR(FIND('112'!$M$9,G655,1)),"",IF((AND(FIND('112'!$M$9,G655,1)&gt;=1,$B655&gt;='112'!$N$8,$B655&lt;='112'!$O$8,OR($L655='112'!$I$6,$M655='112'!$I$6))),"x",""))</f>
        <v/>
      </c>
      <c r="S655" s="525" t="str">
        <f>IF(ISERROR(FIND('112'!$M$9,G655,1)),"",IF((AND(LEFT(G655,2)=LEFT('112'!$M$9,2),B655&lt;'112'!$N$8,$L655='112'!$I$6)),"x",""))</f>
        <v/>
      </c>
      <c r="T655" s="525" t="str">
        <f>IF(ISERROR(FIND('112'!$M$9,G655,1)),"",IF((AND(RIGHT(G655,2)=RIGHT('112'!$M$9,2),B655&lt;'112'!$N$8,$M655='112'!$I$6)),"x",""))</f>
        <v>x</v>
      </c>
      <c r="U655" s="525" t="str">
        <f>IF(AND(B655&gt;='IN-NX'!$P$3,B655&lt;='IN-NX'!$Q$3,'IN-NX'!$D$7=D655,OR(LEFT(L655,2)="15",AND(LEFT(M655,2)&lt;&gt;"15",LEFT(M655,2)&lt;&gt;"33"))),"x","")</f>
        <v/>
      </c>
      <c r="V655" s="525" t="str">
        <f>IF(AND(OR(LEFT(TH!L655,2)="15",LEFT(TH!M655,2)="15"),'152-CT'!$J$8=TH!F655),"x","")</f>
        <v/>
      </c>
      <c r="W655" s="525" t="str">
        <f>IF(AND(OR(LEFT(TH!L655,2)="15",LEFT(TH!M655,2)="15"),TK!$E$7=TH!F655),"x","")</f>
        <v/>
      </c>
      <c r="X655" s="525" t="str">
        <f>IF(AND('341-CT'!$E$9=H655,OR(LEFT(L655,3)=$X$7,LEFT(M655,3)=$X$7)),"x","")</f>
        <v/>
      </c>
      <c r="Y655" s="525" t="str">
        <f>IF(OR(TH!L655=TH!$Y$7,M655=TH!$Y$7),"x","")</f>
        <v/>
      </c>
      <c r="Z655" s="525" t="str">
        <f>IF(AND(B655&lt;=NKC!$N$8,B655&gt;=NKC!$M$8),"x","")</f>
        <v/>
      </c>
      <c r="AA655" s="535"/>
      <c r="AB655" s="536"/>
    </row>
    <row r="656" spans="1:28" s="503" customFormat="1" ht="15.75" customHeight="1">
      <c r="A656" s="517" t="str">
        <f>IF(B656&lt;&gt;"",IF(AND(B656&gt;=_TM1,B656&lt;=_TM2,OR(TH!L656="1111",TH!M656="1111")),TH!D656,""),"")</f>
        <v/>
      </c>
      <c r="B656" s="531">
        <f t="shared" si="69"/>
        <v>7</v>
      </c>
      <c r="C656" s="315">
        <f t="shared" si="70"/>
        <v>42941</v>
      </c>
      <c r="D656" s="315" t="s">
        <v>461</v>
      </c>
      <c r="E656" s="288">
        <v>42941</v>
      </c>
      <c r="F656" s="249" t="s">
        <v>828</v>
      </c>
      <c r="G656" s="314" t="s">
        <v>440</v>
      </c>
      <c r="H656" s="621" t="s">
        <v>1273</v>
      </c>
      <c r="I656" s="307"/>
      <c r="J656" s="307"/>
      <c r="K656" s="532">
        <v>1342402</v>
      </c>
      <c r="L656" s="533" t="s">
        <v>79</v>
      </c>
      <c r="M656" s="533" t="s">
        <v>24</v>
      </c>
      <c r="N656" s="525" t="str">
        <f>IF(AND('331-CT'!$E$7=TH!H656,OR(L656="331",M656="331")),"331",IF(AND(OR(L656="131",M656="131"),H656='131-CT'!$E$7),"131",""))</f>
        <v/>
      </c>
      <c r="O656" s="525" t="str">
        <f>IF(AND($B656&gt;='111'!$N$11,$B656&lt;='111'!$O$11,OR($L656=$O$7,$M656=$O$7)),"x","")</f>
        <v/>
      </c>
      <c r="P656" s="525" t="str">
        <f>IF(AND($L656=$O$7,$B656&lt;'111'!$N$11),"x","")</f>
        <v/>
      </c>
      <c r="Q656" s="525" t="str">
        <f>IF(AND($M656=$O$7,$B656&lt;'111'!$N$11),"x","")</f>
        <v/>
      </c>
      <c r="R656" s="525" t="str">
        <f>IF(ISERROR(FIND('112'!$M$9,G656,1)),"",IF((AND(FIND('112'!$M$9,G656,1)&gt;=1,$B656&gt;='112'!$N$8,$B656&lt;='112'!$O$8,OR($L656='112'!$I$6,$M656='112'!$I$6))),"x",""))</f>
        <v/>
      </c>
      <c r="S656" s="525" t="str">
        <f>IF(ISERROR(FIND('112'!$M$9,G656,1)),"",IF((AND(LEFT(G656,2)=LEFT('112'!$M$9,2),B656&lt;'112'!$N$8,$L656='112'!$I$6)),"x",""))</f>
        <v/>
      </c>
      <c r="T656" s="525" t="str">
        <f>IF(ISERROR(FIND('112'!$M$9,G656,1)),"",IF((AND(RIGHT(G656,2)=RIGHT('112'!$M$9,2),B656&lt;'112'!$N$8,$M656='112'!$I$6)),"x",""))</f>
        <v>x</v>
      </c>
      <c r="U656" s="525" t="str">
        <f>IF(AND(B656&gt;='IN-NX'!$P$3,B656&lt;='IN-NX'!$Q$3,'IN-NX'!$D$7=D656,OR(LEFT(L656,2)="15",AND(LEFT(M656,2)&lt;&gt;"15",LEFT(M656,2)&lt;&gt;"33"))),"x","")</f>
        <v/>
      </c>
      <c r="V656" s="525" t="str">
        <f>IF(AND(OR(LEFT(TH!L656,2)="15",LEFT(TH!M656,2)="15"),'152-CT'!$J$8=TH!F656),"x","")</f>
        <v/>
      </c>
      <c r="W656" s="525" t="str">
        <f>IF(AND(OR(LEFT(TH!L656,2)="15",LEFT(TH!M656,2)="15"),TK!$E$7=TH!F656),"x","")</f>
        <v/>
      </c>
      <c r="X656" s="525" t="str">
        <f>IF(AND('341-CT'!$E$9=H656,OR(LEFT(L656,3)=$X$7,LEFT(M656,3)=$X$7)),"x","")</f>
        <v/>
      </c>
      <c r="Y656" s="525" t="str">
        <f>IF(OR(TH!L656=TH!$Y$7,M656=TH!$Y$7),"x","")</f>
        <v/>
      </c>
      <c r="Z656" s="525" t="str">
        <f>IF(AND(B656&lt;=NKC!$N$8,B656&gt;=NKC!$M$8),"x","")</f>
        <v/>
      </c>
      <c r="AA656" s="535"/>
    </row>
    <row r="657" spans="1:28" s="503" customFormat="1" ht="15.75" customHeight="1">
      <c r="A657" s="517" t="str">
        <f>IF(B657&lt;&gt;"",IF(AND(B657&gt;=_TM1,B657&lt;=_TM2,OR(TH!L657="1111",TH!M657="1111")),TH!D657,""),"")</f>
        <v/>
      </c>
      <c r="B657" s="531">
        <f t="shared" si="69"/>
        <v>7</v>
      </c>
      <c r="C657" s="315">
        <f t="shared" si="70"/>
        <v>42941</v>
      </c>
      <c r="D657" s="315" t="s">
        <v>461</v>
      </c>
      <c r="E657" s="288">
        <v>42941</v>
      </c>
      <c r="F657" s="249" t="s">
        <v>829</v>
      </c>
      <c r="G657" s="314" t="s">
        <v>440</v>
      </c>
      <c r="H657" s="621" t="s">
        <v>1273</v>
      </c>
      <c r="I657" s="307"/>
      <c r="J657" s="307"/>
      <c r="K657" s="532">
        <v>9830000</v>
      </c>
      <c r="L657" s="534" t="s">
        <v>441</v>
      </c>
      <c r="M657" s="533" t="s">
        <v>24</v>
      </c>
      <c r="N657" s="525" t="str">
        <f>IF(AND('331-CT'!$E$7=TH!H657,OR(L657="331",M657="331")),"331",IF(AND(OR(L657="131",M657="131"),H657='131-CT'!$E$7),"131",""))</f>
        <v/>
      </c>
      <c r="O657" s="525" t="str">
        <f>IF(AND($B657&gt;='111'!$N$11,$B657&lt;='111'!$O$11,OR($L657=$O$7,$M657=$O$7)),"x","")</f>
        <v/>
      </c>
      <c r="P657" s="525" t="str">
        <f>IF(AND($L657=$O$7,$B657&lt;'111'!$N$11),"x","")</f>
        <v/>
      </c>
      <c r="Q657" s="525" t="str">
        <f>IF(AND($M657=$O$7,$B657&lt;'111'!$N$11),"x","")</f>
        <v/>
      </c>
      <c r="R657" s="525" t="str">
        <f>IF(ISERROR(FIND('112'!$M$9,G657,1)),"",IF((AND(FIND('112'!$M$9,G657,1)&gt;=1,$B657&gt;='112'!$N$8,$B657&lt;='112'!$O$8,OR($L657='112'!$I$6,$M657='112'!$I$6))),"x",""))</f>
        <v/>
      </c>
      <c r="S657" s="525" t="str">
        <f>IF(ISERROR(FIND('112'!$M$9,G657,1)),"",IF((AND(LEFT(G657,2)=LEFT('112'!$M$9,2),B657&lt;'112'!$N$8,$L657='112'!$I$6)),"x",""))</f>
        <v/>
      </c>
      <c r="T657" s="525" t="str">
        <f>IF(ISERROR(FIND('112'!$M$9,G657,1)),"",IF((AND(RIGHT(G657,2)=RIGHT('112'!$M$9,2),B657&lt;'112'!$N$8,$M657='112'!$I$6)),"x",""))</f>
        <v>x</v>
      </c>
      <c r="U657" s="525" t="str">
        <f>IF(AND(B657&gt;='IN-NX'!$P$3,B657&lt;='IN-NX'!$Q$3,'IN-NX'!$D$7=D657,OR(LEFT(L657,2)="15",AND(LEFT(M657,2)&lt;&gt;"15",LEFT(M657,2)&lt;&gt;"33"))),"x","")</f>
        <v/>
      </c>
      <c r="V657" s="525" t="str">
        <f>IF(AND(OR(LEFT(TH!L657,2)="15",LEFT(TH!M657,2)="15"),'152-CT'!$J$8=TH!F657),"x","")</f>
        <v/>
      </c>
      <c r="W657" s="525" t="str">
        <f>IF(AND(OR(LEFT(TH!L657,2)="15",LEFT(TH!M657,2)="15"),TK!$E$7=TH!F657),"x","")</f>
        <v/>
      </c>
      <c r="X657" s="525" t="str">
        <f>IF(AND('341-CT'!$E$9=H657,OR(LEFT(L657,3)=$X$7,LEFT(M657,3)=$X$7)),"x","")</f>
        <v/>
      </c>
      <c r="Y657" s="525" t="str">
        <f>IF(OR(TH!L657=TH!$Y$7,M657=TH!$Y$7),"x","")</f>
        <v/>
      </c>
      <c r="Z657" s="525" t="str">
        <f>IF(AND(B657&lt;=NKC!$N$8,B657&gt;=NKC!$M$8),"x","")</f>
        <v/>
      </c>
      <c r="AA657" s="535"/>
      <c r="AB657" s="536"/>
    </row>
    <row r="658" spans="1:28" s="503" customFormat="1" ht="15.75" customHeight="1">
      <c r="A658" s="517" t="str">
        <f>IF(B658&lt;&gt;"",IF(AND(B658&gt;=_TM1,B658&lt;=_TM2,OR(TH!L658="1111",TH!M658="1111")),TH!D658,""),"")</f>
        <v/>
      </c>
      <c r="B658" s="531">
        <f t="shared" si="69"/>
        <v>7</v>
      </c>
      <c r="C658" s="315">
        <f t="shared" si="70"/>
        <v>42941</v>
      </c>
      <c r="D658" s="315" t="s">
        <v>461</v>
      </c>
      <c r="E658" s="288">
        <v>42941</v>
      </c>
      <c r="F658" s="249" t="s">
        <v>828</v>
      </c>
      <c r="G658" s="314" t="s">
        <v>440</v>
      </c>
      <c r="H658" s="621" t="s">
        <v>1266</v>
      </c>
      <c r="I658" s="307"/>
      <c r="J658" s="307"/>
      <c r="K658" s="532">
        <v>10350</v>
      </c>
      <c r="L658" s="533" t="s">
        <v>79</v>
      </c>
      <c r="M658" s="533" t="s">
        <v>24</v>
      </c>
      <c r="N658" s="525" t="str">
        <f>IF(AND('331-CT'!$E$7=TH!H658,OR(L658="331",M658="331")),"331",IF(AND(OR(L658="131",M658="131"),H658='131-CT'!$E$7),"131",""))</f>
        <v/>
      </c>
      <c r="O658" s="525" t="str">
        <f>IF(AND($B658&gt;='111'!$N$11,$B658&lt;='111'!$O$11,OR($L658=$O$7,$M658=$O$7)),"x","")</f>
        <v/>
      </c>
      <c r="P658" s="525" t="str">
        <f>IF(AND($L658=$O$7,$B658&lt;'111'!$N$11),"x","")</f>
        <v/>
      </c>
      <c r="Q658" s="525" t="str">
        <f>IF(AND($M658=$O$7,$B658&lt;'111'!$N$11),"x","")</f>
        <v/>
      </c>
      <c r="R658" s="525" t="str">
        <f>IF(ISERROR(FIND('112'!$M$9,G658,1)),"",IF((AND(FIND('112'!$M$9,G658,1)&gt;=1,$B658&gt;='112'!$N$8,$B658&lt;='112'!$O$8,OR($L658='112'!$I$6,$M658='112'!$I$6))),"x",""))</f>
        <v/>
      </c>
      <c r="S658" s="525" t="str">
        <f>IF(ISERROR(FIND('112'!$M$9,G658,1)),"",IF((AND(LEFT(G658,2)=LEFT('112'!$M$9,2),B658&lt;'112'!$N$8,$L658='112'!$I$6)),"x",""))</f>
        <v/>
      </c>
      <c r="T658" s="525" t="str">
        <f>IF(ISERROR(FIND('112'!$M$9,G658,1)),"",IF((AND(RIGHT(G658,2)=RIGHT('112'!$M$9,2),B658&lt;'112'!$N$8,$M658='112'!$I$6)),"x",""))</f>
        <v>x</v>
      </c>
      <c r="U658" s="525" t="str">
        <f>IF(AND(B658&gt;='IN-NX'!$P$3,B658&lt;='IN-NX'!$Q$3,'IN-NX'!$D$7=D658,OR(LEFT(L658,2)="15",AND(LEFT(M658,2)&lt;&gt;"15",LEFT(M658,2)&lt;&gt;"33"))),"x","")</f>
        <v/>
      </c>
      <c r="V658" s="525" t="str">
        <f>IF(AND(OR(LEFT(TH!L658,2)="15",LEFT(TH!M658,2)="15"),'152-CT'!$J$8=TH!F658),"x","")</f>
        <v/>
      </c>
      <c r="W658" s="525" t="str">
        <f>IF(AND(OR(LEFT(TH!L658,2)="15",LEFT(TH!M658,2)="15"),TK!$E$7=TH!F658),"x","")</f>
        <v/>
      </c>
      <c r="X658" s="525" t="str">
        <f>IF(AND('341-CT'!$E$9=H658,OR(LEFT(L658,3)=$X$7,LEFT(M658,3)=$X$7)),"x","")</f>
        <v/>
      </c>
      <c r="Y658" s="525" t="str">
        <f>IF(OR(TH!L658=TH!$Y$7,M658=TH!$Y$7),"x","")</f>
        <v/>
      </c>
      <c r="Z658" s="525" t="str">
        <f>IF(AND(B658&lt;=NKC!$N$8,B658&gt;=NKC!$M$8),"x","")</f>
        <v/>
      </c>
      <c r="AA658" s="535"/>
    </row>
    <row r="659" spans="1:28" s="503" customFormat="1" ht="15.75" customHeight="1">
      <c r="A659" s="517" t="str">
        <f>IF(B659&lt;&gt;"",IF(AND(B659&gt;=_TM1,B659&lt;=_TM2,OR(TH!L659="1111",TH!M659="1111")),TH!D659,""),"")</f>
        <v/>
      </c>
      <c r="B659" s="531">
        <f t="shared" si="69"/>
        <v>7</v>
      </c>
      <c r="C659" s="315">
        <f t="shared" si="70"/>
        <v>42941</v>
      </c>
      <c r="D659" s="315" t="s">
        <v>461</v>
      </c>
      <c r="E659" s="288">
        <v>42941</v>
      </c>
      <c r="F659" s="249" t="s">
        <v>828</v>
      </c>
      <c r="G659" s="314" t="s">
        <v>440</v>
      </c>
      <c r="H659" s="621" t="s">
        <v>1266</v>
      </c>
      <c r="I659" s="307"/>
      <c r="J659" s="307"/>
      <c r="K659" s="532">
        <v>20700</v>
      </c>
      <c r="L659" s="533" t="s">
        <v>79</v>
      </c>
      <c r="M659" s="533" t="s">
        <v>24</v>
      </c>
      <c r="N659" s="525" t="str">
        <f>IF(AND('331-CT'!$E$7=TH!H659,OR(L659="331",M659="331")),"331",IF(AND(OR(L659="131",M659="131"),H659='131-CT'!$E$7),"131",""))</f>
        <v/>
      </c>
      <c r="O659" s="525" t="str">
        <f>IF(AND($B659&gt;='111'!$N$11,$B659&lt;='111'!$O$11,OR($L659=$O$7,$M659=$O$7)),"x","")</f>
        <v/>
      </c>
      <c r="P659" s="525" t="str">
        <f>IF(AND($L659=$O$7,$B659&lt;'111'!$N$11),"x","")</f>
        <v/>
      </c>
      <c r="Q659" s="525" t="str">
        <f>IF(AND($M659=$O$7,$B659&lt;'111'!$N$11),"x","")</f>
        <v/>
      </c>
      <c r="R659" s="525" t="str">
        <f>IF(ISERROR(FIND('112'!$M$9,G659,1)),"",IF((AND(FIND('112'!$M$9,G659,1)&gt;=1,$B659&gt;='112'!$N$8,$B659&lt;='112'!$O$8,OR($L659='112'!$I$6,$M659='112'!$I$6))),"x",""))</f>
        <v/>
      </c>
      <c r="S659" s="525" t="str">
        <f>IF(ISERROR(FIND('112'!$M$9,G659,1)),"",IF((AND(LEFT(G659,2)=LEFT('112'!$M$9,2),B659&lt;'112'!$N$8,$L659='112'!$I$6)),"x",""))</f>
        <v/>
      </c>
      <c r="T659" s="525" t="str">
        <f>IF(ISERROR(FIND('112'!$M$9,G659,1)),"",IF((AND(RIGHT(G659,2)=RIGHT('112'!$M$9,2),B659&lt;'112'!$N$8,$M659='112'!$I$6)),"x",""))</f>
        <v>x</v>
      </c>
      <c r="U659" s="525" t="str">
        <f>IF(AND(B659&gt;='IN-NX'!$P$3,B659&lt;='IN-NX'!$Q$3,'IN-NX'!$D$7=D659,OR(LEFT(L659,2)="15",AND(LEFT(M659,2)&lt;&gt;"15",LEFT(M659,2)&lt;&gt;"33"))),"x","")</f>
        <v/>
      </c>
      <c r="V659" s="525" t="str">
        <f>IF(AND(OR(LEFT(TH!L659,2)="15",LEFT(TH!M659,2)="15"),'152-CT'!$J$8=TH!F659),"x","")</f>
        <v/>
      </c>
      <c r="W659" s="525" t="str">
        <f>IF(AND(OR(LEFT(TH!L659,2)="15",LEFT(TH!M659,2)="15"),TK!$E$7=TH!F659),"x","")</f>
        <v/>
      </c>
      <c r="X659" s="525" t="str">
        <f>IF(AND('341-CT'!$E$9=H659,OR(LEFT(L659,3)=$X$7,LEFT(M659,3)=$X$7)),"x","")</f>
        <v/>
      </c>
      <c r="Y659" s="525" t="str">
        <f>IF(OR(TH!L659=TH!$Y$7,M659=TH!$Y$7),"x","")</f>
        <v/>
      </c>
      <c r="Z659" s="525" t="str">
        <f>IF(AND(B659&lt;=NKC!$N$8,B659&gt;=NKC!$M$8),"x","")</f>
        <v/>
      </c>
      <c r="AA659" s="535"/>
      <c r="AB659" s="536"/>
    </row>
    <row r="660" spans="1:28" s="503" customFormat="1" ht="15.75" customHeight="1">
      <c r="A660" s="517" t="str">
        <f>IF(B660&lt;&gt;"",IF(AND(B660&gt;=_TM1,B660&lt;=_TM2,OR(TH!L660="1111",TH!M660="1111")),TH!D660,""),"")</f>
        <v/>
      </c>
      <c r="B660" s="531">
        <f t="shared" si="69"/>
        <v>7</v>
      </c>
      <c r="C660" s="315">
        <f t="shared" si="70"/>
        <v>42941</v>
      </c>
      <c r="D660" s="315" t="s">
        <v>461</v>
      </c>
      <c r="E660" s="288">
        <v>42941</v>
      </c>
      <c r="F660" s="249" t="s">
        <v>828</v>
      </c>
      <c r="G660" s="314" t="s">
        <v>440</v>
      </c>
      <c r="H660" s="621" t="s">
        <v>1266</v>
      </c>
      <c r="I660" s="307"/>
      <c r="J660" s="307"/>
      <c r="K660" s="532">
        <v>1189067</v>
      </c>
      <c r="L660" s="533" t="s">
        <v>79</v>
      </c>
      <c r="M660" s="533" t="s">
        <v>24</v>
      </c>
      <c r="N660" s="525" t="str">
        <f>IF(AND('331-CT'!$E$7=TH!H660,OR(L660="331",M660="331")),"331",IF(AND(OR(L660="131",M660="131"),H660='131-CT'!$E$7),"131",""))</f>
        <v/>
      </c>
      <c r="O660" s="525" t="str">
        <f>IF(AND($B660&gt;='111'!$N$11,$B660&lt;='111'!$O$11,OR($L660=$O$7,$M660=$O$7)),"x","")</f>
        <v/>
      </c>
      <c r="P660" s="525" t="str">
        <f>IF(AND($L660=$O$7,$B660&lt;'111'!$N$11),"x","")</f>
        <v/>
      </c>
      <c r="Q660" s="525" t="str">
        <f>IF(AND($M660=$O$7,$B660&lt;'111'!$N$11),"x","")</f>
        <v/>
      </c>
      <c r="R660" s="525" t="str">
        <f>IF(ISERROR(FIND('112'!$M$9,G660,1)),"",IF((AND(FIND('112'!$M$9,G660,1)&gt;=1,$B660&gt;='112'!$N$8,$B660&lt;='112'!$O$8,OR($L660='112'!$I$6,$M660='112'!$I$6))),"x",""))</f>
        <v/>
      </c>
      <c r="S660" s="525" t="str">
        <f>IF(ISERROR(FIND('112'!$M$9,G660,1)),"",IF((AND(LEFT(G660,2)=LEFT('112'!$M$9,2),B660&lt;'112'!$N$8,$L660='112'!$I$6)),"x",""))</f>
        <v/>
      </c>
      <c r="T660" s="525" t="str">
        <f>IF(ISERROR(FIND('112'!$M$9,G660,1)),"",IF((AND(RIGHT(G660,2)=RIGHT('112'!$M$9,2),B660&lt;'112'!$N$8,$M660='112'!$I$6)),"x",""))</f>
        <v>x</v>
      </c>
      <c r="U660" s="525" t="str">
        <f>IF(AND(B660&gt;='IN-NX'!$P$3,B660&lt;='IN-NX'!$Q$3,'IN-NX'!$D$7=D660,OR(LEFT(L660,2)="15",AND(LEFT(M660,2)&lt;&gt;"15",LEFT(M660,2)&lt;&gt;"33"))),"x","")</f>
        <v/>
      </c>
      <c r="V660" s="525" t="str">
        <f>IF(AND(OR(LEFT(TH!L660,2)="15",LEFT(TH!M660,2)="15"),'152-CT'!$J$8=TH!F660),"x","")</f>
        <v/>
      </c>
      <c r="W660" s="525" t="str">
        <f>IF(AND(OR(LEFT(TH!L660,2)="15",LEFT(TH!M660,2)="15"),TK!$E$7=TH!F660),"x","")</f>
        <v/>
      </c>
      <c r="X660" s="525" t="str">
        <f>IF(AND('341-CT'!$E$9=H660,OR(LEFT(L660,3)=$X$7,LEFT(M660,3)=$X$7)),"x","")</f>
        <v/>
      </c>
      <c r="Y660" s="525" t="str">
        <f>IF(OR(TH!L660=TH!$Y$7,M660=TH!$Y$7),"x","")</f>
        <v/>
      </c>
      <c r="Z660" s="525" t="str">
        <f>IF(AND(B660&lt;=NKC!$N$8,B660&gt;=NKC!$M$8),"x","")</f>
        <v/>
      </c>
      <c r="AA660" s="535"/>
    </row>
    <row r="661" spans="1:28" s="503" customFormat="1" ht="15.75" customHeight="1">
      <c r="A661" s="517" t="str">
        <f>IF(B661&lt;&gt;"",IF(AND(B661&gt;=_TM1,B661&lt;=_TM2,OR(TH!L661="1111",TH!M661="1111")),TH!D661,""),"")</f>
        <v/>
      </c>
      <c r="B661" s="531">
        <f t="shared" si="65"/>
        <v>7</v>
      </c>
      <c r="C661" s="315">
        <f t="shared" si="66"/>
        <v>42941</v>
      </c>
      <c r="D661" s="315" t="s">
        <v>461</v>
      </c>
      <c r="E661" s="288">
        <v>42941</v>
      </c>
      <c r="F661" s="249" t="s">
        <v>829</v>
      </c>
      <c r="G661" s="314" t="s">
        <v>440</v>
      </c>
      <c r="H661" s="621" t="s">
        <v>1266</v>
      </c>
      <c r="I661" s="307"/>
      <c r="J661" s="307"/>
      <c r="K661" s="532">
        <v>7000000</v>
      </c>
      <c r="L661" s="534" t="s">
        <v>441</v>
      </c>
      <c r="M661" s="533" t="s">
        <v>24</v>
      </c>
      <c r="N661" s="525" t="str">
        <f>IF(AND('331-CT'!$E$7=TH!H661,OR(L661="331",M661="331")),"331",IF(AND(OR(L661="131",M661="131"),H661='131-CT'!$E$7),"131",""))</f>
        <v/>
      </c>
      <c r="O661" s="525" t="str">
        <f>IF(AND($B661&gt;='111'!$N$11,$B661&lt;='111'!$O$11,OR($L661=$O$7,$M661=$O$7)),"x","")</f>
        <v/>
      </c>
      <c r="P661" s="525" t="str">
        <f>IF(AND($L661=$O$7,$B661&lt;'111'!$N$11),"x","")</f>
        <v/>
      </c>
      <c r="Q661" s="525" t="str">
        <f>IF(AND($M661=$O$7,$B661&lt;'111'!$N$11),"x","")</f>
        <v/>
      </c>
      <c r="R661" s="525" t="str">
        <f>IF(ISERROR(FIND('112'!$M$9,G661,1)),"",IF((AND(FIND('112'!$M$9,G661,1)&gt;=1,$B661&gt;='112'!$N$8,$B661&lt;='112'!$O$8,OR($L661='112'!$I$6,$M661='112'!$I$6))),"x",""))</f>
        <v/>
      </c>
      <c r="S661" s="525" t="str">
        <f>IF(ISERROR(FIND('112'!$M$9,G661,1)),"",IF((AND(LEFT(G661,2)=LEFT('112'!$M$9,2),B661&lt;'112'!$N$8,$L661='112'!$I$6)),"x",""))</f>
        <v/>
      </c>
      <c r="T661" s="525" t="str">
        <f>IF(ISERROR(FIND('112'!$M$9,G661,1)),"",IF((AND(RIGHT(G661,2)=RIGHT('112'!$M$9,2),B661&lt;'112'!$N$8,$M661='112'!$I$6)),"x",""))</f>
        <v>x</v>
      </c>
      <c r="U661" s="525" t="str">
        <f>IF(AND(B661&gt;='IN-NX'!$P$3,B661&lt;='IN-NX'!$Q$3,'IN-NX'!$D$7=D661,OR(LEFT(L661,2)="15",AND(LEFT(M661,2)&lt;&gt;"15",LEFT(M661,2)&lt;&gt;"33"))),"x","")</f>
        <v/>
      </c>
      <c r="V661" s="525" t="str">
        <f>IF(AND(OR(LEFT(TH!L661,2)="15",LEFT(TH!M661,2)="15"),'152-CT'!$J$8=TH!F661),"x","")</f>
        <v/>
      </c>
      <c r="W661" s="525" t="str">
        <f>IF(AND(OR(LEFT(TH!L661,2)="15",LEFT(TH!M661,2)="15"),TK!$E$7=TH!F661),"x","")</f>
        <v/>
      </c>
      <c r="X661" s="525" t="str">
        <f>IF(AND('341-CT'!$E$9=H661,OR(LEFT(L661,3)=$X$7,LEFT(M661,3)=$X$7)),"x","")</f>
        <v/>
      </c>
      <c r="Y661" s="525" t="str">
        <f>IF(OR(TH!L661=TH!$Y$7,M661=TH!$Y$7),"x","")</f>
        <v/>
      </c>
      <c r="Z661" s="525" t="str">
        <f>IF(AND(B661&lt;=NKC!$N$8,B661&gt;=NKC!$M$8),"x","")</f>
        <v/>
      </c>
      <c r="AA661" s="535"/>
      <c r="AB661" s="536"/>
    </row>
    <row r="662" spans="1:28" s="503" customFormat="1" ht="15.75" customHeight="1">
      <c r="A662" s="517" t="str">
        <f>IF(B662&lt;&gt;"",IF(AND(B662&gt;=_TM1,B662&lt;=_TM2,OR(TH!L662="1111",TH!M662="1111")),TH!D662,""),"")</f>
        <v/>
      </c>
      <c r="B662" s="531">
        <f t="shared" si="65"/>
        <v>7</v>
      </c>
      <c r="C662" s="315">
        <f t="shared" si="66"/>
        <v>42942</v>
      </c>
      <c r="D662" s="315" t="s">
        <v>461</v>
      </c>
      <c r="E662" s="288">
        <v>42942</v>
      </c>
      <c r="F662" s="249" t="s">
        <v>827</v>
      </c>
      <c r="G662" s="314" t="s">
        <v>440</v>
      </c>
      <c r="H662" s="473" t="s">
        <v>460</v>
      </c>
      <c r="I662" s="307"/>
      <c r="J662" s="307"/>
      <c r="K662" s="532">
        <v>4700000</v>
      </c>
      <c r="L662" s="533" t="s">
        <v>45</v>
      </c>
      <c r="M662" s="533" t="s">
        <v>24</v>
      </c>
      <c r="N662" s="525" t="str">
        <f>IF(AND('331-CT'!$E$7=TH!H662,OR(L662="331",M662="331")),"331",IF(AND(OR(L662="131",M662="131"),H662='131-CT'!$E$7),"131",""))</f>
        <v/>
      </c>
      <c r="O662" s="525" t="str">
        <f>IF(AND($B662&gt;='111'!$N$11,$B662&lt;='111'!$O$11,OR($L662=$O$7,$M662=$O$7)),"x","")</f>
        <v/>
      </c>
      <c r="P662" s="525" t="str">
        <f>IF(AND($L662=$O$7,$B662&lt;'111'!$N$11),"x","")</f>
        <v>x</v>
      </c>
      <c r="Q662" s="525" t="str">
        <f>IF(AND($M662=$O$7,$B662&lt;'111'!$N$11),"x","")</f>
        <v/>
      </c>
      <c r="R662" s="525" t="str">
        <f>IF(ISERROR(FIND('112'!$M$9,G662,1)),"",IF((AND(FIND('112'!$M$9,G662,1)&gt;=1,$B662&gt;='112'!$N$8,$B662&lt;='112'!$O$8,OR($L662='112'!$I$6,$M662='112'!$I$6))),"x",""))</f>
        <v/>
      </c>
      <c r="S662" s="525" t="str">
        <f>IF(ISERROR(FIND('112'!$M$9,G662,1)),"",IF((AND(LEFT(G662,2)=LEFT('112'!$M$9,2),B662&lt;'112'!$N$8,$L662='112'!$I$6)),"x",""))</f>
        <v/>
      </c>
      <c r="T662" s="525" t="str">
        <f>IF(ISERROR(FIND('112'!$M$9,G662,1)),"",IF((AND(RIGHT(G662,2)=RIGHT('112'!$M$9,2),B662&lt;'112'!$N$8,$M662='112'!$I$6)),"x",""))</f>
        <v>x</v>
      </c>
      <c r="U662" s="525" t="str">
        <f>IF(AND(B662&gt;='IN-NX'!$P$3,B662&lt;='IN-NX'!$Q$3,'IN-NX'!$D$7=D662,OR(LEFT(L662,2)="15",AND(LEFT(M662,2)&lt;&gt;"15",LEFT(M662,2)&lt;&gt;"33"))),"x","")</f>
        <v/>
      </c>
      <c r="V662" s="525" t="str">
        <f>IF(AND(OR(LEFT(TH!L662,2)="15",LEFT(TH!M662,2)="15"),'152-CT'!$J$8=TH!F662),"x","")</f>
        <v/>
      </c>
      <c r="W662" s="525" t="str">
        <f>IF(AND(OR(LEFT(TH!L662,2)="15",LEFT(TH!M662,2)="15"),TK!$E$7=TH!F662),"x","")</f>
        <v/>
      </c>
      <c r="X662" s="525" t="str">
        <f>IF(AND('341-CT'!$E$9=H662,OR(LEFT(L662,3)=$X$7,LEFT(M662,3)=$X$7)),"x","")</f>
        <v/>
      </c>
      <c r="Y662" s="525" t="str">
        <f>IF(OR(TH!L662=TH!$Y$7,M662=TH!$Y$7),"x","")</f>
        <v/>
      </c>
      <c r="Z662" s="525" t="str">
        <f>IF(AND(B662&lt;=NKC!$N$8,B662&gt;=NKC!$M$8),"x","")</f>
        <v/>
      </c>
      <c r="AA662" s="535"/>
    </row>
    <row r="663" spans="1:28" s="503" customFormat="1" ht="15.75" customHeight="1">
      <c r="A663" s="517" t="str">
        <f>IF(B663&lt;&gt;"",IF(AND(B663&gt;=_TM1,B663&lt;=_TM2,OR(TH!L663="1111",TH!M663="1111")),TH!D663,""),"")</f>
        <v/>
      </c>
      <c r="B663" s="531">
        <f t="shared" ref="B663:B837" si="71">IF(C663&lt;&gt;"",MONTH(C663),"")</f>
        <v>7</v>
      </c>
      <c r="C663" s="315">
        <f t="shared" ref="C663:C837" si="72">E663</f>
        <v>42942</v>
      </c>
      <c r="D663" s="315" t="s">
        <v>461</v>
      </c>
      <c r="E663" s="288">
        <v>42942</v>
      </c>
      <c r="F663" s="248" t="s">
        <v>1280</v>
      </c>
      <c r="G663" s="314" t="s">
        <v>440</v>
      </c>
      <c r="H663" s="472"/>
      <c r="I663" s="307"/>
      <c r="J663" s="307"/>
      <c r="K663" s="532">
        <v>10000</v>
      </c>
      <c r="L663" s="533" t="s">
        <v>81</v>
      </c>
      <c r="M663" s="533" t="s">
        <v>24</v>
      </c>
      <c r="N663" s="525" t="str">
        <f>IF(AND('331-CT'!$E$7=TH!H663,OR(L663="331",M663="331")),"331",IF(AND(OR(L663="131",M663="131"),H663='131-CT'!$E$7),"131",""))</f>
        <v/>
      </c>
      <c r="O663" s="525" t="str">
        <f>IF(AND($B663&gt;='111'!$N$11,$B663&lt;='111'!$O$11,OR($L663=$O$7,$M663=$O$7)),"x","")</f>
        <v/>
      </c>
      <c r="P663" s="525" t="str">
        <f>IF(AND($L663=$O$7,$B663&lt;'111'!$N$11),"x","")</f>
        <v/>
      </c>
      <c r="Q663" s="525" t="str">
        <f>IF(AND($M663=$O$7,$B663&lt;'111'!$N$11),"x","")</f>
        <v/>
      </c>
      <c r="R663" s="525" t="str">
        <f>IF(ISERROR(FIND('112'!$M$9,G663,1)),"",IF((AND(FIND('112'!$M$9,G663,1)&gt;=1,$B663&gt;='112'!$N$8,$B663&lt;='112'!$O$8,OR($L663='112'!$I$6,$M663='112'!$I$6))),"x",""))</f>
        <v/>
      </c>
      <c r="S663" s="525" t="str">
        <f>IF(ISERROR(FIND('112'!$M$9,G663,1)),"",IF((AND(LEFT(G663,2)=LEFT('112'!$M$9,2),B663&lt;'112'!$N$8,$L663='112'!$I$6)),"x",""))</f>
        <v/>
      </c>
      <c r="T663" s="525" t="str">
        <f>IF(ISERROR(FIND('112'!$M$9,G663,1)),"",IF((AND(RIGHT(G663,2)=RIGHT('112'!$M$9,2),B663&lt;'112'!$N$8,$M663='112'!$I$6)),"x",""))</f>
        <v>x</v>
      </c>
      <c r="U663" s="525" t="str">
        <f>IF(AND(B663&gt;='IN-NX'!$P$3,B663&lt;='IN-NX'!$Q$3,'IN-NX'!$D$7=D663,OR(LEFT(L663,2)="15",AND(LEFT(M663,2)&lt;&gt;"15",LEFT(M663,2)&lt;&gt;"33"))),"x","")</f>
        <v/>
      </c>
      <c r="V663" s="525" t="str">
        <f>IF(AND(OR(LEFT(TH!L663,2)="15",LEFT(TH!M663,2)="15"),'152-CT'!$J$8=TH!F663),"x","")</f>
        <v/>
      </c>
      <c r="W663" s="525" t="str">
        <f>IF(AND(OR(LEFT(TH!L663,2)="15",LEFT(TH!M663,2)="15"),TK!$E$7=TH!F663),"x","")</f>
        <v/>
      </c>
      <c r="X663" s="525" t="str">
        <f>IF(AND('341-CT'!$E$9=H663,OR(LEFT(L663,3)=$X$7,LEFT(M663,3)=$X$7)),"x","")</f>
        <v/>
      </c>
      <c r="Y663" s="525" t="str">
        <f>IF(OR(TH!L663=TH!$Y$7,M663=TH!$Y$7),"x","")</f>
        <v/>
      </c>
      <c r="Z663" s="525" t="str">
        <f>IF(AND(B663&lt;=NKC!$N$8,B663&gt;=NKC!$M$8),"x","")</f>
        <v/>
      </c>
      <c r="AA663" s="535">
        <v>3</v>
      </c>
    </row>
    <row r="664" spans="1:28" s="503" customFormat="1" ht="15.75" customHeight="1">
      <c r="A664" s="517" t="str">
        <f>IF(B664&lt;&gt;"",IF(AND(B664&gt;=_TM1,B664&lt;=_TM2,OR(TH!L664="1111",TH!M664="1111")),TH!D664,""),"")</f>
        <v/>
      </c>
      <c r="B664" s="531">
        <f t="shared" si="71"/>
        <v>7</v>
      </c>
      <c r="C664" s="315">
        <f t="shared" si="72"/>
        <v>42942</v>
      </c>
      <c r="D664" s="315" t="s">
        <v>461</v>
      </c>
      <c r="E664" s="288">
        <v>42942</v>
      </c>
      <c r="F664" s="248" t="s">
        <v>1281</v>
      </c>
      <c r="G664" s="314" t="s">
        <v>440</v>
      </c>
      <c r="H664" s="472"/>
      <c r="I664" s="307"/>
      <c r="J664" s="307"/>
      <c r="K664" s="532">
        <v>1000</v>
      </c>
      <c r="L664" s="533" t="s">
        <v>9</v>
      </c>
      <c r="M664" s="533" t="s">
        <v>24</v>
      </c>
      <c r="N664" s="525" t="str">
        <f>IF(AND('331-CT'!$E$7=TH!H664,OR(L664="331",M664="331")),"331",IF(AND(OR(L664="131",M664="131"),H664='131-CT'!$E$7),"131",""))</f>
        <v/>
      </c>
      <c r="O664" s="525" t="str">
        <f>IF(AND($B664&gt;='111'!$N$11,$B664&lt;='111'!$O$11,OR($L664=$O$7,$M664=$O$7)),"x","")</f>
        <v/>
      </c>
      <c r="P664" s="525" t="str">
        <f>IF(AND($L664=$O$7,$B664&lt;'111'!$N$11),"x","")</f>
        <v/>
      </c>
      <c r="Q664" s="525" t="str">
        <f>IF(AND($M664=$O$7,$B664&lt;'111'!$N$11),"x","")</f>
        <v/>
      </c>
      <c r="R664" s="525" t="str">
        <f>IF(ISERROR(FIND('112'!$M$9,G664,1)),"",IF((AND(FIND('112'!$M$9,G664,1)&gt;=1,$B664&gt;='112'!$N$8,$B664&lt;='112'!$O$8,OR($L664='112'!$I$6,$M664='112'!$I$6))),"x",""))</f>
        <v/>
      </c>
      <c r="S664" s="525" t="str">
        <f>IF(ISERROR(FIND('112'!$M$9,G664,1)),"",IF((AND(LEFT(G664,2)=LEFT('112'!$M$9,2),B664&lt;'112'!$N$8,$L664='112'!$I$6)),"x",""))</f>
        <v/>
      </c>
      <c r="T664" s="525" t="str">
        <f>IF(ISERROR(FIND('112'!$M$9,G664,1)),"",IF((AND(RIGHT(G664,2)=RIGHT('112'!$M$9,2),B664&lt;'112'!$N$8,$M664='112'!$I$6)),"x",""))</f>
        <v>x</v>
      </c>
      <c r="U664" s="525" t="str">
        <f>IF(AND(B664&gt;='IN-NX'!$P$3,B664&lt;='IN-NX'!$Q$3,'IN-NX'!$D$7=D664,OR(LEFT(L664,2)="15",AND(LEFT(M664,2)&lt;&gt;"15",LEFT(M664,2)&lt;&gt;"33"))),"x","")</f>
        <v/>
      </c>
      <c r="V664" s="525" t="str">
        <f>IF(AND(OR(LEFT(TH!L664,2)="15",LEFT(TH!M664,2)="15"),'152-CT'!$J$8=TH!F664),"x","")</f>
        <v/>
      </c>
      <c r="W664" s="525" t="str">
        <f>IF(AND(OR(LEFT(TH!L664,2)="15",LEFT(TH!M664,2)="15"),TK!$E$7=TH!F664),"x","")</f>
        <v/>
      </c>
      <c r="X664" s="525" t="str">
        <f>IF(AND('341-CT'!$E$9=H664,OR(LEFT(L664,3)=$X$7,LEFT(M664,3)=$X$7)),"x","")</f>
        <v/>
      </c>
      <c r="Y664" s="525" t="str">
        <f>IF(OR(TH!L664=TH!$Y$7,M664=TH!$Y$7),"x","")</f>
        <v/>
      </c>
      <c r="Z664" s="525" t="str">
        <f>IF(AND(B664&lt;=NKC!$N$8,B664&gt;=NKC!$M$8),"x","")</f>
        <v/>
      </c>
      <c r="AA664" s="535">
        <v>3</v>
      </c>
    </row>
    <row r="665" spans="1:28" s="503" customFormat="1" ht="15.75" customHeight="1">
      <c r="A665" s="517" t="str">
        <f>IF(B665&lt;&gt;"",IF(AND(B665&gt;=_TM1,B665&lt;=_TM2,OR(TH!L665="1111",TH!M665="1111")),TH!D665,""),"")</f>
        <v/>
      </c>
      <c r="B665" s="531">
        <f t="shared" si="71"/>
        <v>7</v>
      </c>
      <c r="C665" s="315">
        <f t="shared" si="72"/>
        <v>42942</v>
      </c>
      <c r="D665" s="315" t="s">
        <v>456</v>
      </c>
      <c r="E665" s="288">
        <v>42942</v>
      </c>
      <c r="F665" s="248" t="s">
        <v>457</v>
      </c>
      <c r="G665" s="314" t="s">
        <v>440</v>
      </c>
      <c r="H665" s="473" t="s">
        <v>284</v>
      </c>
      <c r="I665" s="307"/>
      <c r="J665" s="307"/>
      <c r="K665" s="532">
        <v>16876915</v>
      </c>
      <c r="L665" s="533" t="s">
        <v>24</v>
      </c>
      <c r="M665" s="533" t="s">
        <v>223</v>
      </c>
      <c r="N665" s="525" t="str">
        <f>IF(AND('331-CT'!$E$7=TH!H665,OR(L665="331",M665="331")),"331",IF(AND(OR(L665="131",M665="131"),H665='131-CT'!$E$7),"131",""))</f>
        <v/>
      </c>
      <c r="O665" s="525" t="str">
        <f>IF(AND($B665&gt;='111'!$N$11,$B665&lt;='111'!$O$11,OR($L665=$O$7,$M665=$O$7)),"x","")</f>
        <v/>
      </c>
      <c r="P665" s="525" t="str">
        <f>IF(AND($L665=$O$7,$B665&lt;'111'!$N$11),"x","")</f>
        <v/>
      </c>
      <c r="Q665" s="525" t="str">
        <f>IF(AND($M665=$O$7,$B665&lt;'111'!$N$11),"x","")</f>
        <v/>
      </c>
      <c r="R665" s="525" t="str">
        <f>IF(ISERROR(FIND('112'!$M$9,G665,1)),"",IF((AND(FIND('112'!$M$9,G665,1)&gt;=1,$B665&gt;='112'!$N$8,$B665&lt;='112'!$O$8,OR($L665='112'!$I$6,$M665='112'!$I$6))),"x",""))</f>
        <v/>
      </c>
      <c r="S665" s="525" t="str">
        <f>IF(ISERROR(FIND('112'!$M$9,G665,1)),"",IF((AND(LEFT(G665,2)=LEFT('112'!$M$9,2),B665&lt;'112'!$N$8,$L665='112'!$I$6)),"x",""))</f>
        <v>x</v>
      </c>
      <c r="T665" s="525" t="str">
        <f>IF(ISERROR(FIND('112'!$M$9,G665,1)),"",IF((AND(RIGHT(G665,2)=RIGHT('112'!$M$9,2),B665&lt;'112'!$N$8,$M665='112'!$I$6)),"x",""))</f>
        <v/>
      </c>
      <c r="U665" s="525" t="str">
        <f>IF(AND(B665&gt;='IN-NX'!$P$3,B665&lt;='IN-NX'!$Q$3,'IN-NX'!$D$7=D665,OR(LEFT(L665,2)="15",AND(LEFT(M665,2)&lt;&gt;"15",LEFT(M665,2)&lt;&gt;"33"))),"x","")</f>
        <v/>
      </c>
      <c r="V665" s="525" t="str">
        <f>IF(AND(OR(LEFT(TH!L665,2)="15",LEFT(TH!M665,2)="15"),'152-CT'!$J$8=TH!F665),"x","")</f>
        <v/>
      </c>
      <c r="W665" s="525" t="str">
        <f>IF(AND(OR(LEFT(TH!L665,2)="15",LEFT(TH!M665,2)="15"),TK!$E$7=TH!F665),"x","")</f>
        <v/>
      </c>
      <c r="X665" s="525" t="str">
        <f>IF(AND('341-CT'!$E$9=H665,OR(LEFT(L665,3)=$X$7,LEFT(M665,3)=$X$7)),"x","")</f>
        <v/>
      </c>
      <c r="Y665" s="525" t="str">
        <f>IF(OR(TH!L665=TH!$Y$7,M665=TH!$Y$7),"x","")</f>
        <v/>
      </c>
      <c r="Z665" s="525" t="str">
        <f>IF(AND(B665&lt;=NKC!$N$8,B665&gt;=NKC!$M$8),"x","")</f>
        <v/>
      </c>
      <c r="AA665" s="535"/>
      <c r="AB665" s="536"/>
    </row>
    <row r="666" spans="1:28" s="503" customFormat="1" ht="15.75" customHeight="1">
      <c r="A666" s="517" t="str">
        <f>IF(B666&lt;&gt;"",IF(AND(B666&gt;=_TM1,B666&lt;=_TM2,OR(TH!L666="1111",TH!M666="1111")),TH!D666,""),"")</f>
        <v/>
      </c>
      <c r="B666" s="531">
        <f t="shared" si="71"/>
        <v>7</v>
      </c>
      <c r="C666" s="315">
        <f t="shared" si="72"/>
        <v>42942</v>
      </c>
      <c r="D666" s="315" t="s">
        <v>456</v>
      </c>
      <c r="E666" s="288">
        <v>42942</v>
      </c>
      <c r="F666" s="248" t="s">
        <v>808</v>
      </c>
      <c r="G666" s="314" t="s">
        <v>440</v>
      </c>
      <c r="H666" s="621" t="s">
        <v>1500</v>
      </c>
      <c r="I666" s="307"/>
      <c r="J666" s="307"/>
      <c r="K666" s="532">
        <v>92500000</v>
      </c>
      <c r="L666" s="533" t="s">
        <v>24</v>
      </c>
      <c r="M666" s="534" t="s">
        <v>441</v>
      </c>
      <c r="N666" s="525" t="str">
        <f>IF(AND('331-CT'!$E$7=TH!H666,OR(L666="331",M666="331")),"331",IF(AND(OR(L666="131",M666="131"),H666='131-CT'!$E$7),"131",""))</f>
        <v/>
      </c>
      <c r="O666" s="525" t="str">
        <f>IF(AND($B666&gt;='111'!$N$11,$B666&lt;='111'!$O$11,OR($L666=$O$7,$M666=$O$7)),"x","")</f>
        <v/>
      </c>
      <c r="P666" s="525" t="str">
        <f>IF(AND($L666=$O$7,$B666&lt;'111'!$N$11),"x","")</f>
        <v/>
      </c>
      <c r="Q666" s="525" t="str">
        <f>IF(AND($M666=$O$7,$B666&lt;'111'!$N$11),"x","")</f>
        <v/>
      </c>
      <c r="R666" s="525" t="str">
        <f>IF(ISERROR(FIND('112'!$M$9,G666,1)),"",IF((AND(FIND('112'!$M$9,G666,1)&gt;=1,$B666&gt;='112'!$N$8,$B666&lt;='112'!$O$8,OR($L666='112'!$I$6,$M666='112'!$I$6))),"x",""))</f>
        <v/>
      </c>
      <c r="S666" s="525" t="str">
        <f>IF(ISERROR(FIND('112'!$M$9,G666,1)),"",IF((AND(LEFT(G666,2)=LEFT('112'!$M$9,2),B666&lt;'112'!$N$8,$L666='112'!$I$6)),"x",""))</f>
        <v>x</v>
      </c>
      <c r="T666" s="525" t="str">
        <f>IF(ISERROR(FIND('112'!$M$9,G666,1)),"",IF((AND(RIGHT(G666,2)=RIGHT('112'!$M$9,2),B666&lt;'112'!$N$8,$M666='112'!$I$6)),"x",""))</f>
        <v/>
      </c>
      <c r="U666" s="525" t="str">
        <f>IF(AND(B666&gt;='IN-NX'!$P$3,B666&lt;='IN-NX'!$Q$3,'IN-NX'!$D$7=D666,OR(LEFT(L666,2)="15",AND(LEFT(M666,2)&lt;&gt;"15",LEFT(M666,2)&lt;&gt;"33"))),"x","")</f>
        <v/>
      </c>
      <c r="V666" s="525" t="str">
        <f>IF(AND(OR(LEFT(TH!L666,2)="15",LEFT(TH!M666,2)="15"),'152-CT'!$J$8=TH!F666),"x","")</f>
        <v/>
      </c>
      <c r="W666" s="525" t="str">
        <f>IF(AND(OR(LEFT(TH!L666,2)="15",LEFT(TH!M666,2)="15"),TK!$E$7=TH!F666),"x","")</f>
        <v/>
      </c>
      <c r="X666" s="525" t="str">
        <f>IF(AND('341-CT'!$E$9=H666,OR(LEFT(L666,3)=$X$7,LEFT(M666,3)=$X$7)),"x","")</f>
        <v/>
      </c>
      <c r="Y666" s="525" t="str">
        <f>IF(OR(TH!L666=TH!$Y$7,M666=TH!$Y$7),"x","")</f>
        <v/>
      </c>
      <c r="Z666" s="525" t="str">
        <f>IF(AND(B666&lt;=NKC!$N$8,B666&gt;=NKC!$M$8),"x","")</f>
        <v/>
      </c>
      <c r="AA666" s="535"/>
    </row>
    <row r="667" spans="1:28" s="503" customFormat="1" ht="15.75" customHeight="1">
      <c r="A667" s="517" t="str">
        <f>IF(B667&lt;&gt;"",IF(AND(B667&gt;=_TM1,B667&lt;=_TM2,OR(TH!L667="1111",TH!M667="1111")),TH!D667,""),"")</f>
        <v/>
      </c>
      <c r="B667" s="531">
        <f t="shared" si="71"/>
        <v>7</v>
      </c>
      <c r="C667" s="315">
        <f t="shared" si="72"/>
        <v>42942</v>
      </c>
      <c r="D667" s="315" t="s">
        <v>461</v>
      </c>
      <c r="E667" s="288">
        <v>42942</v>
      </c>
      <c r="F667" s="249" t="s">
        <v>468</v>
      </c>
      <c r="G667" s="314" t="s">
        <v>440</v>
      </c>
      <c r="H667" s="473" t="s">
        <v>1501</v>
      </c>
      <c r="I667" s="307"/>
      <c r="J667" s="307"/>
      <c r="K667" s="532">
        <v>92500000</v>
      </c>
      <c r="L667" s="534" t="s">
        <v>8</v>
      </c>
      <c r="M667" s="533" t="s">
        <v>24</v>
      </c>
      <c r="N667" s="525" t="str">
        <f>IF(AND('331-CT'!$E$7=TH!H667,OR(L667="331",M667="331")),"331",IF(AND(OR(L667="131",M667="131"),H667='131-CT'!$E$7),"131",""))</f>
        <v/>
      </c>
      <c r="O667" s="525" t="str">
        <f>IF(AND($B667&gt;='111'!$N$11,$B667&lt;='111'!$O$11,OR($L667=$O$7,$M667=$O$7)),"x","")</f>
        <v/>
      </c>
      <c r="P667" s="525" t="str">
        <f>IF(AND($L667=$O$7,$B667&lt;'111'!$N$11),"x","")</f>
        <v/>
      </c>
      <c r="Q667" s="525" t="str">
        <f>IF(AND($M667=$O$7,$B667&lt;'111'!$N$11),"x","")</f>
        <v/>
      </c>
      <c r="R667" s="525" t="str">
        <f>IF(ISERROR(FIND('112'!$M$9,G667,1)),"",IF((AND(FIND('112'!$M$9,G667,1)&gt;=1,$B667&gt;='112'!$N$8,$B667&lt;='112'!$O$8,OR($L667='112'!$I$6,$M667='112'!$I$6))),"x",""))</f>
        <v/>
      </c>
      <c r="S667" s="525" t="str">
        <f>IF(ISERROR(FIND('112'!$M$9,G667,1)),"",IF((AND(LEFT(G667,2)=LEFT('112'!$M$9,2),B667&lt;'112'!$N$8,$L667='112'!$I$6)),"x",""))</f>
        <v/>
      </c>
      <c r="T667" s="525" t="str">
        <f>IF(ISERROR(FIND('112'!$M$9,G667,1)),"",IF((AND(RIGHT(G667,2)=RIGHT('112'!$M$9,2),B667&lt;'112'!$N$8,$M667='112'!$I$6)),"x",""))</f>
        <v>x</v>
      </c>
      <c r="U667" s="525" t="str">
        <f>IF(AND(B667&gt;='IN-NX'!$P$3,B667&lt;='IN-NX'!$Q$3,'IN-NX'!$D$7=D667,OR(LEFT(L667,2)="15",AND(LEFT(M667,2)&lt;&gt;"15",LEFT(M667,2)&lt;&gt;"33"))),"x","")</f>
        <v/>
      </c>
      <c r="V667" s="525" t="str">
        <f>IF(AND(OR(LEFT(TH!L667,2)="15",LEFT(TH!M667,2)="15"),'152-CT'!$J$8=TH!F667),"x","")</f>
        <v/>
      </c>
      <c r="W667" s="525" t="str">
        <f>IF(AND(OR(LEFT(TH!L667,2)="15",LEFT(TH!M667,2)="15"),TK!$E$7=TH!F667),"x","")</f>
        <v/>
      </c>
      <c r="X667" s="525" t="str">
        <f>IF(AND('341-CT'!$E$9=H667,OR(LEFT(L667,3)=$X$7,LEFT(M667,3)=$X$7)),"x","")</f>
        <v/>
      </c>
      <c r="Y667" s="525" t="str">
        <f>IF(OR(TH!L667=TH!$Y$7,M667=TH!$Y$7),"x","")</f>
        <v/>
      </c>
      <c r="Z667" s="525" t="str">
        <f>IF(AND(B667&lt;=NKC!$N$8,B667&gt;=NKC!$M$8),"x","")</f>
        <v/>
      </c>
      <c r="AA667" s="535"/>
      <c r="AB667" s="536"/>
    </row>
    <row r="668" spans="1:28" s="503" customFormat="1" ht="15.75" customHeight="1">
      <c r="A668" s="517" t="str">
        <f>IF(B668&lt;&gt;"",IF(AND(B668&gt;=_TM1,B668&lt;=_TM2,OR(TH!L668="1111",TH!M668="1111")),TH!D668,""),"")</f>
        <v/>
      </c>
      <c r="B668" s="531">
        <f t="shared" si="71"/>
        <v>7</v>
      </c>
      <c r="C668" s="315">
        <f t="shared" si="72"/>
        <v>42942</v>
      </c>
      <c r="D668" s="315" t="s">
        <v>461</v>
      </c>
      <c r="E668" s="288">
        <v>42942</v>
      </c>
      <c r="F668" s="248" t="s">
        <v>463</v>
      </c>
      <c r="G668" s="314" t="s">
        <v>440</v>
      </c>
      <c r="H668" s="472"/>
      <c r="I668" s="307"/>
      <c r="J668" s="307"/>
      <c r="K668" s="532">
        <v>46250</v>
      </c>
      <c r="L668" s="533" t="s">
        <v>81</v>
      </c>
      <c r="M668" s="533" t="s">
        <v>24</v>
      </c>
      <c r="N668" s="525" t="str">
        <f>IF(AND('331-CT'!$E$7=TH!H668,OR(L668="331",M668="331")),"331",IF(AND(OR(L668="131",M668="131"),H668='131-CT'!$E$7),"131",""))</f>
        <v/>
      </c>
      <c r="O668" s="525" t="str">
        <f>IF(AND($B668&gt;='111'!$N$11,$B668&lt;='111'!$O$11,OR($L668=$O$7,$M668=$O$7)),"x","")</f>
        <v/>
      </c>
      <c r="P668" s="525" t="str">
        <f>IF(AND($L668=$O$7,$B668&lt;'111'!$N$11),"x","")</f>
        <v/>
      </c>
      <c r="Q668" s="525" t="str">
        <f>IF(AND($M668=$O$7,$B668&lt;'111'!$N$11),"x","")</f>
        <v/>
      </c>
      <c r="R668" s="525" t="str">
        <f>IF(ISERROR(FIND('112'!$M$9,G668,1)),"",IF((AND(FIND('112'!$M$9,G668,1)&gt;=1,$B668&gt;='112'!$N$8,$B668&lt;='112'!$O$8,OR($L668='112'!$I$6,$M668='112'!$I$6))),"x",""))</f>
        <v/>
      </c>
      <c r="S668" s="525" t="str">
        <f>IF(ISERROR(FIND('112'!$M$9,G668,1)),"",IF((AND(LEFT(G668,2)=LEFT('112'!$M$9,2),B668&lt;'112'!$N$8,$L668='112'!$I$6)),"x",""))</f>
        <v/>
      </c>
      <c r="T668" s="525" t="str">
        <f>IF(ISERROR(FIND('112'!$M$9,G668,1)),"",IF((AND(RIGHT(G668,2)=RIGHT('112'!$M$9,2),B668&lt;'112'!$N$8,$M668='112'!$I$6)),"x",""))</f>
        <v>x</v>
      </c>
      <c r="U668" s="525" t="str">
        <f>IF(AND(B668&gt;='IN-NX'!$P$3,B668&lt;='IN-NX'!$Q$3,'IN-NX'!$D$7=D668,OR(LEFT(L668,2)="15",AND(LEFT(M668,2)&lt;&gt;"15",LEFT(M668,2)&lt;&gt;"33"))),"x","")</f>
        <v/>
      </c>
      <c r="V668" s="525" t="str">
        <f>IF(AND(OR(LEFT(TH!L668,2)="15",LEFT(TH!M668,2)="15"),'152-CT'!$J$8=TH!F668),"x","")</f>
        <v/>
      </c>
      <c r="W668" s="525" t="str">
        <f>IF(AND(OR(LEFT(TH!L668,2)="15",LEFT(TH!M668,2)="15"),TK!$E$7=TH!F668),"x","")</f>
        <v/>
      </c>
      <c r="X668" s="525" t="str">
        <f>IF(AND('341-CT'!$E$9=H668,OR(LEFT(L668,3)=$X$7,LEFT(M668,3)=$X$7)),"x","")</f>
        <v/>
      </c>
      <c r="Y668" s="525" t="str">
        <f>IF(OR(TH!L668=TH!$Y$7,M668=TH!$Y$7),"x","")</f>
        <v/>
      </c>
      <c r="Z668" s="525" t="str">
        <f>IF(AND(B668&lt;=NKC!$N$8,B668&gt;=NKC!$M$8),"x","")</f>
        <v/>
      </c>
      <c r="AA668" s="535">
        <v>3</v>
      </c>
    </row>
    <row r="669" spans="1:28" s="503" customFormat="1" ht="15.75" customHeight="1">
      <c r="A669" s="517" t="str">
        <f>IF(B669&lt;&gt;"",IF(AND(B669&gt;=_TM1,B669&lt;=_TM2,OR(TH!L669="1111",TH!M669="1111")),TH!D669,""),"")</f>
        <v/>
      </c>
      <c r="B669" s="531">
        <f t="shared" si="71"/>
        <v>7</v>
      </c>
      <c r="C669" s="315">
        <f t="shared" si="72"/>
        <v>42942</v>
      </c>
      <c r="D669" s="315" t="s">
        <v>461</v>
      </c>
      <c r="E669" s="288">
        <v>42942</v>
      </c>
      <c r="F669" s="248" t="s">
        <v>464</v>
      </c>
      <c r="G669" s="314" t="s">
        <v>440</v>
      </c>
      <c r="H669" s="472"/>
      <c r="I669" s="307"/>
      <c r="J669" s="307"/>
      <c r="K669" s="532">
        <v>4625</v>
      </c>
      <c r="L669" s="533" t="s">
        <v>9</v>
      </c>
      <c r="M669" s="533" t="s">
        <v>24</v>
      </c>
      <c r="N669" s="525" t="str">
        <f>IF(AND('331-CT'!$E$7=TH!H669,OR(L669="331",M669="331")),"331",IF(AND(OR(L669="131",M669="131"),H669='131-CT'!$E$7),"131",""))</f>
        <v/>
      </c>
      <c r="O669" s="525" t="str">
        <f>IF(AND($B669&gt;='111'!$N$11,$B669&lt;='111'!$O$11,OR($L669=$O$7,$M669=$O$7)),"x","")</f>
        <v/>
      </c>
      <c r="P669" s="525" t="str">
        <f>IF(AND($L669=$O$7,$B669&lt;'111'!$N$11),"x","")</f>
        <v/>
      </c>
      <c r="Q669" s="525" t="str">
        <f>IF(AND($M669=$O$7,$B669&lt;'111'!$N$11),"x","")</f>
        <v/>
      </c>
      <c r="R669" s="525" t="str">
        <f>IF(ISERROR(FIND('112'!$M$9,G669,1)),"",IF((AND(FIND('112'!$M$9,G669,1)&gt;=1,$B669&gt;='112'!$N$8,$B669&lt;='112'!$O$8,OR($L669='112'!$I$6,$M669='112'!$I$6))),"x",""))</f>
        <v/>
      </c>
      <c r="S669" s="525" t="str">
        <f>IF(ISERROR(FIND('112'!$M$9,G669,1)),"",IF((AND(LEFT(G669,2)=LEFT('112'!$M$9,2),B669&lt;'112'!$N$8,$L669='112'!$I$6)),"x",""))</f>
        <v/>
      </c>
      <c r="T669" s="525" t="str">
        <f>IF(ISERROR(FIND('112'!$M$9,G669,1)),"",IF((AND(RIGHT(G669,2)=RIGHT('112'!$M$9,2),B669&lt;'112'!$N$8,$M669='112'!$I$6)),"x",""))</f>
        <v>x</v>
      </c>
      <c r="U669" s="525" t="str">
        <f>IF(AND(B669&gt;='IN-NX'!$P$3,B669&lt;='IN-NX'!$Q$3,'IN-NX'!$D$7=D669,OR(LEFT(L669,2)="15",AND(LEFT(M669,2)&lt;&gt;"15",LEFT(M669,2)&lt;&gt;"33"))),"x","")</f>
        <v/>
      </c>
      <c r="V669" s="525" t="str">
        <f>IF(AND(OR(LEFT(TH!L669,2)="15",LEFT(TH!M669,2)="15"),'152-CT'!$J$8=TH!F669),"x","")</f>
        <v/>
      </c>
      <c r="W669" s="525" t="str">
        <f>IF(AND(OR(LEFT(TH!L669,2)="15",LEFT(TH!M669,2)="15"),TK!$E$7=TH!F669),"x","")</f>
        <v/>
      </c>
      <c r="X669" s="525" t="str">
        <f>IF(AND('341-CT'!$E$9=H669,OR(LEFT(L669,3)=$X$7,LEFT(M669,3)=$X$7)),"x","")</f>
        <v/>
      </c>
      <c r="Y669" s="525" t="str">
        <f>IF(OR(TH!L669=TH!$Y$7,M669=TH!$Y$7),"x","")</f>
        <v/>
      </c>
      <c r="Z669" s="525" t="str">
        <f>IF(AND(B669&lt;=NKC!$N$8,B669&gt;=NKC!$M$8),"x","")</f>
        <v/>
      </c>
      <c r="AA669" s="535">
        <v>3</v>
      </c>
      <c r="AB669" s="536"/>
    </row>
    <row r="670" spans="1:28" s="503" customFormat="1" ht="15.75" customHeight="1">
      <c r="A670" s="517" t="str">
        <f>IF(B670&lt;&gt;"",IF(AND(B670&gt;=_TM1,B670&lt;=_TM2,OR(TH!L670="1111",TH!M670="1111")),TH!D670,""),"")</f>
        <v/>
      </c>
      <c r="B670" s="531">
        <f t="shared" si="71"/>
        <v>7</v>
      </c>
      <c r="C670" s="315">
        <f t="shared" si="72"/>
        <v>42943</v>
      </c>
      <c r="D670" s="315" t="s">
        <v>461</v>
      </c>
      <c r="E670" s="288">
        <v>42943</v>
      </c>
      <c r="F670" s="249" t="s">
        <v>827</v>
      </c>
      <c r="G670" s="314" t="s">
        <v>440</v>
      </c>
      <c r="H670" s="473" t="s">
        <v>460</v>
      </c>
      <c r="I670" s="307"/>
      <c r="J670" s="307"/>
      <c r="K670" s="532">
        <v>17000000</v>
      </c>
      <c r="L670" s="533" t="s">
        <v>45</v>
      </c>
      <c r="M670" s="533" t="s">
        <v>24</v>
      </c>
      <c r="N670" s="525" t="str">
        <f>IF(AND('331-CT'!$E$7=TH!H670,OR(L670="331",M670="331")),"331",IF(AND(OR(L670="131",M670="131"),H670='131-CT'!$E$7),"131",""))</f>
        <v/>
      </c>
      <c r="O670" s="525" t="str">
        <f>IF(AND($B670&gt;='111'!$N$11,$B670&lt;='111'!$O$11,OR($L670=$O$7,$M670=$O$7)),"x","")</f>
        <v/>
      </c>
      <c r="P670" s="525" t="str">
        <f>IF(AND($L670=$O$7,$B670&lt;'111'!$N$11),"x","")</f>
        <v>x</v>
      </c>
      <c r="Q670" s="525" t="str">
        <f>IF(AND($M670=$O$7,$B670&lt;'111'!$N$11),"x","")</f>
        <v/>
      </c>
      <c r="R670" s="525" t="str">
        <f>IF(ISERROR(FIND('112'!$M$9,G670,1)),"",IF((AND(FIND('112'!$M$9,G670,1)&gt;=1,$B670&gt;='112'!$N$8,$B670&lt;='112'!$O$8,OR($L670='112'!$I$6,$M670='112'!$I$6))),"x",""))</f>
        <v/>
      </c>
      <c r="S670" s="525" t="str">
        <f>IF(ISERROR(FIND('112'!$M$9,G670,1)),"",IF((AND(LEFT(G670,2)=LEFT('112'!$M$9,2),B670&lt;'112'!$N$8,$L670='112'!$I$6)),"x",""))</f>
        <v/>
      </c>
      <c r="T670" s="525" t="str">
        <f>IF(ISERROR(FIND('112'!$M$9,G670,1)),"",IF((AND(RIGHT(G670,2)=RIGHT('112'!$M$9,2),B670&lt;'112'!$N$8,$M670='112'!$I$6)),"x",""))</f>
        <v>x</v>
      </c>
      <c r="U670" s="525" t="str">
        <f>IF(AND(B670&gt;='IN-NX'!$P$3,B670&lt;='IN-NX'!$Q$3,'IN-NX'!$D$7=D670,OR(LEFT(L670,2)="15",AND(LEFT(M670,2)&lt;&gt;"15",LEFT(M670,2)&lt;&gt;"33"))),"x","")</f>
        <v/>
      </c>
      <c r="V670" s="525" t="str">
        <f>IF(AND(OR(LEFT(TH!L670,2)="15",LEFT(TH!M670,2)="15"),'152-CT'!$J$8=TH!F670),"x","")</f>
        <v/>
      </c>
      <c r="W670" s="525" t="str">
        <f>IF(AND(OR(LEFT(TH!L670,2)="15",LEFT(TH!M670,2)="15"),TK!$E$7=TH!F670),"x","")</f>
        <v/>
      </c>
      <c r="X670" s="525" t="str">
        <f>IF(AND('341-CT'!$E$9=H670,OR(LEFT(L670,3)=$X$7,LEFT(M670,3)=$X$7)),"x","")</f>
        <v/>
      </c>
      <c r="Y670" s="525" t="str">
        <f>IF(OR(TH!L670=TH!$Y$7,M670=TH!$Y$7),"x","")</f>
        <v/>
      </c>
      <c r="Z670" s="525" t="str">
        <f>IF(AND(B670&lt;=NKC!$N$8,B670&gt;=NKC!$M$8),"x","")</f>
        <v/>
      </c>
      <c r="AA670" s="535"/>
    </row>
    <row r="671" spans="1:28" s="503" customFormat="1" ht="15.75" customHeight="1">
      <c r="A671" s="517" t="str">
        <f>IF(B671&lt;&gt;"",IF(AND(B671&gt;=_TM1,B671&lt;=_TM2,OR(TH!L671="1111",TH!M671="1111")),TH!D671,""),"")</f>
        <v/>
      </c>
      <c r="B671" s="531">
        <f t="shared" si="71"/>
        <v>7</v>
      </c>
      <c r="C671" s="315">
        <f t="shared" si="72"/>
        <v>42943</v>
      </c>
      <c r="D671" s="315" t="s">
        <v>461</v>
      </c>
      <c r="E671" s="288">
        <v>42943</v>
      </c>
      <c r="F671" s="248" t="s">
        <v>1280</v>
      </c>
      <c r="G671" s="314" t="s">
        <v>440</v>
      </c>
      <c r="H671" s="472"/>
      <c r="I671" s="307"/>
      <c r="J671" s="307"/>
      <c r="K671" s="532">
        <v>34000</v>
      </c>
      <c r="L671" s="533" t="s">
        <v>81</v>
      </c>
      <c r="M671" s="533" t="s">
        <v>24</v>
      </c>
      <c r="N671" s="525" t="str">
        <f>IF(AND('331-CT'!$E$7=TH!H671,OR(L671="331",M671="331")),"331",IF(AND(OR(L671="131",M671="131"),H671='131-CT'!$E$7),"131",""))</f>
        <v/>
      </c>
      <c r="O671" s="525" t="str">
        <f>IF(AND($B671&gt;='111'!$N$11,$B671&lt;='111'!$O$11,OR($L671=$O$7,$M671=$O$7)),"x","")</f>
        <v/>
      </c>
      <c r="P671" s="525" t="str">
        <f>IF(AND($L671=$O$7,$B671&lt;'111'!$N$11),"x","")</f>
        <v/>
      </c>
      <c r="Q671" s="525" t="str">
        <f>IF(AND($M671=$O$7,$B671&lt;'111'!$N$11),"x","")</f>
        <v/>
      </c>
      <c r="R671" s="525" t="str">
        <f>IF(ISERROR(FIND('112'!$M$9,G671,1)),"",IF((AND(FIND('112'!$M$9,G671,1)&gt;=1,$B671&gt;='112'!$N$8,$B671&lt;='112'!$O$8,OR($L671='112'!$I$6,$M671='112'!$I$6))),"x",""))</f>
        <v/>
      </c>
      <c r="S671" s="525" t="str">
        <f>IF(ISERROR(FIND('112'!$M$9,G671,1)),"",IF((AND(LEFT(G671,2)=LEFT('112'!$M$9,2),B671&lt;'112'!$N$8,$L671='112'!$I$6)),"x",""))</f>
        <v/>
      </c>
      <c r="T671" s="525" t="str">
        <f>IF(ISERROR(FIND('112'!$M$9,G671,1)),"",IF((AND(RIGHT(G671,2)=RIGHT('112'!$M$9,2),B671&lt;'112'!$N$8,$M671='112'!$I$6)),"x",""))</f>
        <v>x</v>
      </c>
      <c r="U671" s="525" t="str">
        <f>IF(AND(B671&gt;='IN-NX'!$P$3,B671&lt;='IN-NX'!$Q$3,'IN-NX'!$D$7=D671,OR(LEFT(L671,2)="15",AND(LEFT(M671,2)&lt;&gt;"15",LEFT(M671,2)&lt;&gt;"33"))),"x","")</f>
        <v/>
      </c>
      <c r="V671" s="525" t="str">
        <f>IF(AND(OR(LEFT(TH!L671,2)="15",LEFT(TH!M671,2)="15"),'152-CT'!$J$8=TH!F671),"x","")</f>
        <v/>
      </c>
      <c r="W671" s="525" t="str">
        <f>IF(AND(OR(LEFT(TH!L671,2)="15",LEFT(TH!M671,2)="15"),TK!$E$7=TH!F671),"x","")</f>
        <v/>
      </c>
      <c r="X671" s="525" t="str">
        <f>IF(AND('341-CT'!$E$9=H671,OR(LEFT(L671,3)=$X$7,LEFT(M671,3)=$X$7)),"x","")</f>
        <v/>
      </c>
      <c r="Y671" s="525" t="str">
        <f>IF(OR(TH!L671=TH!$Y$7,M671=TH!$Y$7),"x","")</f>
        <v/>
      </c>
      <c r="Z671" s="525" t="str">
        <f>IF(AND(B671&lt;=NKC!$N$8,B671&gt;=NKC!$M$8),"x","")</f>
        <v/>
      </c>
      <c r="AA671" s="535">
        <v>3</v>
      </c>
      <c r="AB671" s="536"/>
    </row>
    <row r="672" spans="1:28" s="503" customFormat="1" ht="15.75" customHeight="1">
      <c r="A672" s="517" t="str">
        <f>IF(B672&lt;&gt;"",IF(AND(B672&gt;=_TM1,B672&lt;=_TM2,OR(TH!L672="1111",TH!M672="1111")),TH!D672,""),"")</f>
        <v/>
      </c>
      <c r="B672" s="531">
        <f t="shared" si="71"/>
        <v>7</v>
      </c>
      <c r="C672" s="315">
        <f t="shared" si="72"/>
        <v>42943</v>
      </c>
      <c r="D672" s="315" t="s">
        <v>461</v>
      </c>
      <c r="E672" s="288">
        <v>42943</v>
      </c>
      <c r="F672" s="248" t="s">
        <v>1281</v>
      </c>
      <c r="G672" s="314" t="s">
        <v>440</v>
      </c>
      <c r="H672" s="472"/>
      <c r="I672" s="307"/>
      <c r="J672" s="307"/>
      <c r="K672" s="532">
        <v>3400</v>
      </c>
      <c r="L672" s="533" t="s">
        <v>9</v>
      </c>
      <c r="M672" s="533" t="s">
        <v>24</v>
      </c>
      <c r="N672" s="525" t="str">
        <f>IF(AND('331-CT'!$E$7=TH!H672,OR(L672="331",M672="331")),"331",IF(AND(OR(L672="131",M672="131"),H672='131-CT'!$E$7),"131",""))</f>
        <v/>
      </c>
      <c r="O672" s="525" t="str">
        <f>IF(AND($B672&gt;='111'!$N$11,$B672&lt;='111'!$O$11,OR($L672=$O$7,$M672=$O$7)),"x","")</f>
        <v/>
      </c>
      <c r="P672" s="525" t="str">
        <f>IF(AND($L672=$O$7,$B672&lt;'111'!$N$11),"x","")</f>
        <v/>
      </c>
      <c r="Q672" s="525" t="str">
        <f>IF(AND($M672=$O$7,$B672&lt;'111'!$N$11),"x","")</f>
        <v/>
      </c>
      <c r="R672" s="525" t="str">
        <f>IF(ISERROR(FIND('112'!$M$9,G672,1)),"",IF((AND(FIND('112'!$M$9,G672,1)&gt;=1,$B672&gt;='112'!$N$8,$B672&lt;='112'!$O$8,OR($L672='112'!$I$6,$M672='112'!$I$6))),"x",""))</f>
        <v/>
      </c>
      <c r="S672" s="525" t="str">
        <f>IF(ISERROR(FIND('112'!$M$9,G672,1)),"",IF((AND(LEFT(G672,2)=LEFT('112'!$M$9,2),B672&lt;'112'!$N$8,$L672='112'!$I$6)),"x",""))</f>
        <v/>
      </c>
      <c r="T672" s="525" t="str">
        <f>IF(ISERROR(FIND('112'!$M$9,G672,1)),"",IF((AND(RIGHT(G672,2)=RIGHT('112'!$M$9,2),B672&lt;'112'!$N$8,$M672='112'!$I$6)),"x",""))</f>
        <v>x</v>
      </c>
      <c r="U672" s="525" t="str">
        <f>IF(AND(B672&gt;='IN-NX'!$P$3,B672&lt;='IN-NX'!$Q$3,'IN-NX'!$D$7=D672,OR(LEFT(L672,2)="15",AND(LEFT(M672,2)&lt;&gt;"15",LEFT(M672,2)&lt;&gt;"33"))),"x","")</f>
        <v/>
      </c>
      <c r="V672" s="525" t="str">
        <f>IF(AND(OR(LEFT(TH!L672,2)="15",LEFT(TH!M672,2)="15"),'152-CT'!$J$8=TH!F672),"x","")</f>
        <v/>
      </c>
      <c r="W672" s="525" t="str">
        <f>IF(AND(OR(LEFT(TH!L672,2)="15",LEFT(TH!M672,2)="15"),TK!$E$7=TH!F672),"x","")</f>
        <v/>
      </c>
      <c r="X672" s="525" t="str">
        <f>IF(AND('341-CT'!$E$9=H672,OR(LEFT(L672,3)=$X$7,LEFT(M672,3)=$X$7)),"x","")</f>
        <v/>
      </c>
      <c r="Y672" s="525" t="str">
        <f>IF(OR(TH!L672=TH!$Y$7,M672=TH!$Y$7),"x","")</f>
        <v/>
      </c>
      <c r="Z672" s="525" t="str">
        <f>IF(AND(B672&lt;=NKC!$N$8,B672&gt;=NKC!$M$8),"x","")</f>
        <v/>
      </c>
      <c r="AA672" s="535">
        <v>3</v>
      </c>
    </row>
    <row r="673" spans="1:28" s="503" customFormat="1" ht="15.75" customHeight="1">
      <c r="A673" s="517" t="str">
        <f>IF(B673&lt;&gt;"",IF(AND(B673&gt;=_TM1,B673&lt;=_TM2,OR(TH!L673="1111",TH!M673="1111")),TH!D673,""),"")</f>
        <v/>
      </c>
      <c r="B673" s="531">
        <f t="shared" ref="B673:B675" si="73">IF(C673&lt;&gt;"",MONTH(C673),"")</f>
        <v>7</v>
      </c>
      <c r="C673" s="315">
        <f t="shared" ref="C673:C675" si="74">E673</f>
        <v>42943</v>
      </c>
      <c r="D673" s="315" t="s">
        <v>456</v>
      </c>
      <c r="E673" s="288">
        <v>42943</v>
      </c>
      <c r="F673" s="248" t="s">
        <v>457</v>
      </c>
      <c r="G673" s="314" t="s">
        <v>440</v>
      </c>
      <c r="H673" s="473" t="s">
        <v>284</v>
      </c>
      <c r="I673" s="307"/>
      <c r="J673" s="307"/>
      <c r="K673" s="532">
        <v>39991608</v>
      </c>
      <c r="L673" s="533" t="s">
        <v>24</v>
      </c>
      <c r="M673" s="533" t="s">
        <v>223</v>
      </c>
      <c r="N673" s="525" t="str">
        <f>IF(AND('331-CT'!$E$7=TH!H673,OR(L673="331",M673="331")),"331",IF(AND(OR(L673="131",M673="131"),H673='131-CT'!$E$7),"131",""))</f>
        <v/>
      </c>
      <c r="O673" s="525" t="str">
        <f>IF(AND($B673&gt;='111'!$N$11,$B673&lt;='111'!$O$11,OR($L673=$O$7,$M673=$O$7)),"x","")</f>
        <v/>
      </c>
      <c r="P673" s="525" t="str">
        <f>IF(AND($L673=$O$7,$B673&lt;'111'!$N$11),"x","")</f>
        <v/>
      </c>
      <c r="Q673" s="525" t="str">
        <f>IF(AND($M673=$O$7,$B673&lt;'111'!$N$11),"x","")</f>
        <v/>
      </c>
      <c r="R673" s="525" t="str">
        <f>IF(ISERROR(FIND('112'!$M$9,G673,1)),"",IF((AND(FIND('112'!$M$9,G673,1)&gt;=1,$B673&gt;='112'!$N$8,$B673&lt;='112'!$O$8,OR($L673='112'!$I$6,$M673='112'!$I$6))),"x",""))</f>
        <v/>
      </c>
      <c r="S673" s="525" t="str">
        <f>IF(ISERROR(FIND('112'!$M$9,G673,1)),"",IF((AND(LEFT(G673,2)=LEFT('112'!$M$9,2),B673&lt;'112'!$N$8,$L673='112'!$I$6)),"x",""))</f>
        <v>x</v>
      </c>
      <c r="T673" s="525" t="str">
        <f>IF(ISERROR(FIND('112'!$M$9,G673,1)),"",IF((AND(RIGHT(G673,2)=RIGHT('112'!$M$9,2),B673&lt;'112'!$N$8,$M673='112'!$I$6)),"x",""))</f>
        <v/>
      </c>
      <c r="U673" s="525" t="str">
        <f>IF(AND(B673&gt;='IN-NX'!$P$3,B673&lt;='IN-NX'!$Q$3,'IN-NX'!$D$7=D673,OR(LEFT(L673,2)="15",AND(LEFT(M673,2)&lt;&gt;"15",LEFT(M673,2)&lt;&gt;"33"))),"x","")</f>
        <v/>
      </c>
      <c r="V673" s="525" t="str">
        <f>IF(AND(OR(LEFT(TH!L673,2)="15",LEFT(TH!M673,2)="15"),'152-CT'!$J$8=TH!F673),"x","")</f>
        <v/>
      </c>
      <c r="W673" s="525" t="str">
        <f>IF(AND(OR(LEFT(TH!L673,2)="15",LEFT(TH!M673,2)="15"),TK!$E$7=TH!F673),"x","")</f>
        <v/>
      </c>
      <c r="X673" s="525" t="str">
        <f>IF(AND('341-CT'!$E$9=H673,OR(LEFT(L673,3)=$X$7,LEFT(M673,3)=$X$7)),"x","")</f>
        <v/>
      </c>
      <c r="Y673" s="525" t="str">
        <f>IF(OR(TH!L673=TH!$Y$7,M673=TH!$Y$7),"x","")</f>
        <v/>
      </c>
      <c r="Z673" s="525" t="str">
        <f>IF(AND(B673&lt;=NKC!$N$8,B673&gt;=NKC!$M$8),"x","")</f>
        <v/>
      </c>
      <c r="AA673" s="535"/>
    </row>
    <row r="674" spans="1:28" s="503" customFormat="1" ht="15.75" customHeight="1">
      <c r="A674" s="517" t="str">
        <f>IF(B674&lt;&gt;"",IF(AND(B674&gt;=_TM1,B674&lt;=_TM2,OR(TH!L674="1111",TH!M674="1111")),TH!D674,""),"")</f>
        <v/>
      </c>
      <c r="B674" s="531">
        <f t="shared" si="73"/>
        <v>7</v>
      </c>
      <c r="C674" s="315">
        <f t="shared" si="74"/>
        <v>42944</v>
      </c>
      <c r="D674" s="315" t="s">
        <v>461</v>
      </c>
      <c r="E674" s="288">
        <v>42944</v>
      </c>
      <c r="F674" s="249" t="s">
        <v>827</v>
      </c>
      <c r="G674" s="314" t="s">
        <v>440</v>
      </c>
      <c r="H674" s="473" t="s">
        <v>460</v>
      </c>
      <c r="I674" s="307"/>
      <c r="J674" s="307"/>
      <c r="K674" s="532">
        <v>20000000</v>
      </c>
      <c r="L674" s="533" t="s">
        <v>45</v>
      </c>
      <c r="M674" s="533" t="s">
        <v>24</v>
      </c>
      <c r="N674" s="525" t="str">
        <f>IF(AND('331-CT'!$E$7=TH!H674,OR(L674="331",M674="331")),"331",IF(AND(OR(L674="131",M674="131"),H674='131-CT'!$E$7),"131",""))</f>
        <v/>
      </c>
      <c r="O674" s="525" t="str">
        <f>IF(AND($B674&gt;='111'!$N$11,$B674&lt;='111'!$O$11,OR($L674=$O$7,$M674=$O$7)),"x","")</f>
        <v/>
      </c>
      <c r="P674" s="525" t="str">
        <f>IF(AND($L674=$O$7,$B674&lt;'111'!$N$11),"x","")</f>
        <v>x</v>
      </c>
      <c r="Q674" s="525" t="str">
        <f>IF(AND($M674=$O$7,$B674&lt;'111'!$N$11),"x","")</f>
        <v/>
      </c>
      <c r="R674" s="525" t="str">
        <f>IF(ISERROR(FIND('112'!$M$9,G674,1)),"",IF((AND(FIND('112'!$M$9,G674,1)&gt;=1,$B674&gt;='112'!$N$8,$B674&lt;='112'!$O$8,OR($L674='112'!$I$6,$M674='112'!$I$6))),"x",""))</f>
        <v/>
      </c>
      <c r="S674" s="525" t="str">
        <f>IF(ISERROR(FIND('112'!$M$9,G674,1)),"",IF((AND(LEFT(G674,2)=LEFT('112'!$M$9,2),B674&lt;'112'!$N$8,$L674='112'!$I$6)),"x",""))</f>
        <v/>
      </c>
      <c r="T674" s="525" t="str">
        <f>IF(ISERROR(FIND('112'!$M$9,G674,1)),"",IF((AND(RIGHT(G674,2)=RIGHT('112'!$M$9,2),B674&lt;'112'!$N$8,$M674='112'!$I$6)),"x",""))</f>
        <v>x</v>
      </c>
      <c r="U674" s="525" t="str">
        <f>IF(AND(B674&gt;='IN-NX'!$P$3,B674&lt;='IN-NX'!$Q$3,'IN-NX'!$D$7=D674,OR(LEFT(L674,2)="15",AND(LEFT(M674,2)&lt;&gt;"15",LEFT(M674,2)&lt;&gt;"33"))),"x","")</f>
        <v/>
      </c>
      <c r="V674" s="525" t="str">
        <f>IF(AND(OR(LEFT(TH!L674,2)="15",LEFT(TH!M674,2)="15"),'152-CT'!$J$8=TH!F674),"x","")</f>
        <v/>
      </c>
      <c r="W674" s="525" t="str">
        <f>IF(AND(OR(LEFT(TH!L674,2)="15",LEFT(TH!M674,2)="15"),TK!$E$7=TH!F674),"x","")</f>
        <v/>
      </c>
      <c r="X674" s="525" t="str">
        <f>IF(AND('341-CT'!$E$9=H674,OR(LEFT(L674,3)=$X$7,LEFT(M674,3)=$X$7)),"x","")</f>
        <v/>
      </c>
      <c r="Y674" s="525" t="str">
        <f>IF(OR(TH!L674=TH!$Y$7,M674=TH!$Y$7),"x","")</f>
        <v/>
      </c>
      <c r="Z674" s="525" t="str">
        <f>IF(AND(B674&lt;=NKC!$N$8,B674&gt;=NKC!$M$8),"x","")</f>
        <v/>
      </c>
      <c r="AA674" s="535"/>
      <c r="AB674" s="536"/>
    </row>
    <row r="675" spans="1:28" s="503" customFormat="1" ht="15.75" customHeight="1">
      <c r="A675" s="517" t="str">
        <f>IF(B675&lt;&gt;"",IF(AND(B675&gt;=_TM1,B675&lt;=_TM2,OR(TH!L675="1111",TH!M675="1111")),TH!D675,""),"")</f>
        <v/>
      </c>
      <c r="B675" s="531">
        <f t="shared" si="73"/>
        <v>7</v>
      </c>
      <c r="C675" s="315">
        <f t="shared" si="74"/>
        <v>42944</v>
      </c>
      <c r="D675" s="315" t="s">
        <v>461</v>
      </c>
      <c r="E675" s="288">
        <v>42944</v>
      </c>
      <c r="F675" s="248" t="s">
        <v>1280</v>
      </c>
      <c r="G675" s="314" t="s">
        <v>440</v>
      </c>
      <c r="H675" s="472"/>
      <c r="I675" s="307"/>
      <c r="J675" s="307"/>
      <c r="K675" s="532">
        <v>40000</v>
      </c>
      <c r="L675" s="533" t="s">
        <v>81</v>
      </c>
      <c r="M675" s="533" t="s">
        <v>24</v>
      </c>
      <c r="N675" s="525" t="str">
        <f>IF(AND('331-CT'!$E$7=TH!H675,OR(L675="331",M675="331")),"331",IF(AND(OR(L675="131",M675="131"),H675='131-CT'!$E$7),"131",""))</f>
        <v/>
      </c>
      <c r="O675" s="525" t="str">
        <f>IF(AND($B675&gt;='111'!$N$11,$B675&lt;='111'!$O$11,OR($L675=$O$7,$M675=$O$7)),"x","")</f>
        <v/>
      </c>
      <c r="P675" s="525" t="str">
        <f>IF(AND($L675=$O$7,$B675&lt;'111'!$N$11),"x","")</f>
        <v/>
      </c>
      <c r="Q675" s="525" t="str">
        <f>IF(AND($M675=$O$7,$B675&lt;'111'!$N$11),"x","")</f>
        <v/>
      </c>
      <c r="R675" s="525" t="str">
        <f>IF(ISERROR(FIND('112'!$M$9,G675,1)),"",IF((AND(FIND('112'!$M$9,G675,1)&gt;=1,$B675&gt;='112'!$N$8,$B675&lt;='112'!$O$8,OR($L675='112'!$I$6,$M675='112'!$I$6))),"x",""))</f>
        <v/>
      </c>
      <c r="S675" s="525" t="str">
        <f>IF(ISERROR(FIND('112'!$M$9,G675,1)),"",IF((AND(LEFT(G675,2)=LEFT('112'!$M$9,2),B675&lt;'112'!$N$8,$L675='112'!$I$6)),"x",""))</f>
        <v/>
      </c>
      <c r="T675" s="525" t="str">
        <f>IF(ISERROR(FIND('112'!$M$9,G675,1)),"",IF((AND(RIGHT(G675,2)=RIGHT('112'!$M$9,2),B675&lt;'112'!$N$8,$M675='112'!$I$6)),"x",""))</f>
        <v>x</v>
      </c>
      <c r="U675" s="525" t="str">
        <f>IF(AND(B675&gt;='IN-NX'!$P$3,B675&lt;='IN-NX'!$Q$3,'IN-NX'!$D$7=D675,OR(LEFT(L675,2)="15",AND(LEFT(M675,2)&lt;&gt;"15",LEFT(M675,2)&lt;&gt;"33"))),"x","")</f>
        <v/>
      </c>
      <c r="V675" s="525" t="str">
        <f>IF(AND(OR(LEFT(TH!L675,2)="15",LEFT(TH!M675,2)="15"),'152-CT'!$J$8=TH!F675),"x","")</f>
        <v/>
      </c>
      <c r="W675" s="525" t="str">
        <f>IF(AND(OR(LEFT(TH!L675,2)="15",LEFT(TH!M675,2)="15"),TK!$E$7=TH!F675),"x","")</f>
        <v/>
      </c>
      <c r="X675" s="525" t="str">
        <f>IF(AND('341-CT'!$E$9=H675,OR(LEFT(L675,3)=$X$7,LEFT(M675,3)=$X$7)),"x","")</f>
        <v/>
      </c>
      <c r="Y675" s="525" t="str">
        <f>IF(OR(TH!L675=TH!$Y$7,M675=TH!$Y$7),"x","")</f>
        <v/>
      </c>
      <c r="Z675" s="525" t="str">
        <f>IF(AND(B675&lt;=NKC!$N$8,B675&gt;=NKC!$M$8),"x","")</f>
        <v/>
      </c>
      <c r="AA675" s="535">
        <v>3</v>
      </c>
    </row>
    <row r="676" spans="1:28" s="503" customFormat="1" ht="15.75" customHeight="1">
      <c r="A676" s="517" t="str">
        <f>IF(B676&lt;&gt;"",IF(AND(B676&gt;=_TM1,B676&lt;=_TM2,OR(TH!L676="1111",TH!M676="1111")),TH!D676,""),"")</f>
        <v/>
      </c>
      <c r="B676" s="531">
        <f t="shared" ref="B676:B834" si="75">IF(C676&lt;&gt;"",MONTH(C676),"")</f>
        <v>7</v>
      </c>
      <c r="C676" s="315">
        <f t="shared" ref="C676:C834" si="76">E676</f>
        <v>42944</v>
      </c>
      <c r="D676" s="315" t="s">
        <v>461</v>
      </c>
      <c r="E676" s="288">
        <v>42944</v>
      </c>
      <c r="F676" s="248" t="s">
        <v>1281</v>
      </c>
      <c r="G676" s="314" t="s">
        <v>440</v>
      </c>
      <c r="H676" s="472"/>
      <c r="I676" s="307"/>
      <c r="J676" s="307"/>
      <c r="K676" s="532">
        <v>4000</v>
      </c>
      <c r="L676" s="533" t="s">
        <v>9</v>
      </c>
      <c r="M676" s="533" t="s">
        <v>24</v>
      </c>
      <c r="N676" s="525" t="str">
        <f>IF(AND('331-CT'!$E$7=TH!H676,OR(L676="331",M676="331")),"331",IF(AND(OR(L676="131",M676="131"),H676='131-CT'!$E$7),"131",""))</f>
        <v/>
      </c>
      <c r="O676" s="525" t="str">
        <f>IF(AND($B676&gt;='111'!$N$11,$B676&lt;='111'!$O$11,OR($L676=$O$7,$M676=$O$7)),"x","")</f>
        <v/>
      </c>
      <c r="P676" s="525" t="str">
        <f>IF(AND($L676=$O$7,$B676&lt;'111'!$N$11),"x","")</f>
        <v/>
      </c>
      <c r="Q676" s="525" t="str">
        <f>IF(AND($M676=$O$7,$B676&lt;'111'!$N$11),"x","")</f>
        <v/>
      </c>
      <c r="R676" s="525" t="str">
        <f>IF(ISERROR(FIND('112'!$M$9,G676,1)),"",IF((AND(FIND('112'!$M$9,G676,1)&gt;=1,$B676&gt;='112'!$N$8,$B676&lt;='112'!$O$8,OR($L676='112'!$I$6,$M676='112'!$I$6))),"x",""))</f>
        <v/>
      </c>
      <c r="S676" s="525" t="str">
        <f>IF(ISERROR(FIND('112'!$M$9,G676,1)),"",IF((AND(LEFT(G676,2)=LEFT('112'!$M$9,2),B676&lt;'112'!$N$8,$L676='112'!$I$6)),"x",""))</f>
        <v/>
      </c>
      <c r="T676" s="525" t="str">
        <f>IF(ISERROR(FIND('112'!$M$9,G676,1)),"",IF((AND(RIGHT(G676,2)=RIGHT('112'!$M$9,2),B676&lt;'112'!$N$8,$M676='112'!$I$6)),"x",""))</f>
        <v>x</v>
      </c>
      <c r="U676" s="525" t="str">
        <f>IF(AND(B676&gt;='IN-NX'!$P$3,B676&lt;='IN-NX'!$Q$3,'IN-NX'!$D$7=D676,OR(LEFT(L676,2)="15",AND(LEFT(M676,2)&lt;&gt;"15",LEFT(M676,2)&lt;&gt;"33"))),"x","")</f>
        <v/>
      </c>
      <c r="V676" s="525" t="str">
        <f>IF(AND(OR(LEFT(TH!L676,2)="15",LEFT(TH!M676,2)="15"),'152-CT'!$J$8=TH!F676),"x","")</f>
        <v/>
      </c>
      <c r="W676" s="525" t="str">
        <f>IF(AND(OR(LEFT(TH!L676,2)="15",LEFT(TH!M676,2)="15"),TK!$E$7=TH!F676),"x","")</f>
        <v/>
      </c>
      <c r="X676" s="525" t="str">
        <f>IF(AND('341-CT'!$E$9=H676,OR(LEFT(L676,3)=$X$7,LEFT(M676,3)=$X$7)),"x","")</f>
        <v/>
      </c>
      <c r="Y676" s="525" t="str">
        <f>IF(OR(TH!L676=TH!$Y$7,M676=TH!$Y$7),"x","")</f>
        <v/>
      </c>
      <c r="Z676" s="525" t="str">
        <f>IF(AND(B676&lt;=NKC!$N$8,B676&gt;=NKC!$M$8),"x","")</f>
        <v/>
      </c>
      <c r="AA676" s="535">
        <v>3</v>
      </c>
    </row>
    <row r="677" spans="1:28" s="503" customFormat="1" ht="15.75" customHeight="1">
      <c r="A677" s="517" t="str">
        <f>IF(B677&lt;&gt;"",IF(AND(B677&gt;=_TM1,B677&lt;=_TM2,OR(TH!L677="1111",TH!M677="1111")),TH!D677,""),"")</f>
        <v/>
      </c>
      <c r="B677" s="531">
        <f t="shared" si="75"/>
        <v>7</v>
      </c>
      <c r="C677" s="315">
        <f t="shared" si="76"/>
        <v>42944</v>
      </c>
      <c r="D677" s="315" t="s">
        <v>461</v>
      </c>
      <c r="E677" s="288">
        <v>42944</v>
      </c>
      <c r="F677" s="249" t="s">
        <v>827</v>
      </c>
      <c r="G677" s="314" t="s">
        <v>440</v>
      </c>
      <c r="H677" s="473" t="s">
        <v>460</v>
      </c>
      <c r="I677" s="307"/>
      <c r="J677" s="307"/>
      <c r="K677" s="532">
        <v>19000000</v>
      </c>
      <c r="L677" s="533" t="s">
        <v>45</v>
      </c>
      <c r="M677" s="533" t="s">
        <v>24</v>
      </c>
      <c r="N677" s="525" t="str">
        <f>IF(AND('331-CT'!$E$7=TH!H677,OR(L677="331",M677="331")),"331",IF(AND(OR(L677="131",M677="131"),H677='131-CT'!$E$7),"131",""))</f>
        <v/>
      </c>
      <c r="O677" s="525" t="str">
        <f>IF(AND($B677&gt;='111'!$N$11,$B677&lt;='111'!$O$11,OR($L677=$O$7,$M677=$O$7)),"x","")</f>
        <v/>
      </c>
      <c r="P677" s="525" t="str">
        <f>IF(AND($L677=$O$7,$B677&lt;'111'!$N$11),"x","")</f>
        <v>x</v>
      </c>
      <c r="Q677" s="525" t="str">
        <f>IF(AND($M677=$O$7,$B677&lt;'111'!$N$11),"x","")</f>
        <v/>
      </c>
      <c r="R677" s="525" t="str">
        <f>IF(ISERROR(FIND('112'!$M$9,G677,1)),"",IF((AND(FIND('112'!$M$9,G677,1)&gt;=1,$B677&gt;='112'!$N$8,$B677&lt;='112'!$O$8,OR($L677='112'!$I$6,$M677='112'!$I$6))),"x",""))</f>
        <v/>
      </c>
      <c r="S677" s="525" t="str">
        <f>IF(ISERROR(FIND('112'!$M$9,G677,1)),"",IF((AND(LEFT(G677,2)=LEFT('112'!$M$9,2),B677&lt;'112'!$N$8,$L677='112'!$I$6)),"x",""))</f>
        <v/>
      </c>
      <c r="T677" s="525" t="str">
        <f>IF(ISERROR(FIND('112'!$M$9,G677,1)),"",IF((AND(RIGHT(G677,2)=RIGHT('112'!$M$9,2),B677&lt;'112'!$N$8,$M677='112'!$I$6)),"x",""))</f>
        <v>x</v>
      </c>
      <c r="U677" s="525" t="str">
        <f>IF(AND(B677&gt;='IN-NX'!$P$3,B677&lt;='IN-NX'!$Q$3,'IN-NX'!$D$7=D677,OR(LEFT(L677,2)="15",AND(LEFT(M677,2)&lt;&gt;"15",LEFT(M677,2)&lt;&gt;"33"))),"x","")</f>
        <v/>
      </c>
      <c r="V677" s="525" t="str">
        <f>IF(AND(OR(LEFT(TH!L677,2)="15",LEFT(TH!M677,2)="15"),'152-CT'!$J$8=TH!F677),"x","")</f>
        <v/>
      </c>
      <c r="W677" s="525" t="str">
        <f>IF(AND(OR(LEFT(TH!L677,2)="15",LEFT(TH!M677,2)="15"),TK!$E$7=TH!F677),"x","")</f>
        <v/>
      </c>
      <c r="X677" s="525" t="str">
        <f>IF(AND('341-CT'!$E$9=H677,OR(LEFT(L677,3)=$X$7,LEFT(M677,3)=$X$7)),"x","")</f>
        <v/>
      </c>
      <c r="Y677" s="525" t="str">
        <f>IF(OR(TH!L677=TH!$Y$7,M677=TH!$Y$7),"x","")</f>
        <v/>
      </c>
      <c r="Z677" s="525" t="str">
        <f>IF(AND(B677&lt;=NKC!$N$8,B677&gt;=NKC!$M$8),"x","")</f>
        <v/>
      </c>
      <c r="AA677" s="535"/>
      <c r="AB677" s="536"/>
    </row>
    <row r="678" spans="1:28" s="503" customFormat="1" ht="15.75" customHeight="1">
      <c r="A678" s="517" t="str">
        <f>IF(B678&lt;&gt;"",IF(AND(B678&gt;=_TM1,B678&lt;=_TM2,OR(TH!L678="1111",TH!M678="1111")),TH!D678,""),"")</f>
        <v/>
      </c>
      <c r="B678" s="531">
        <f t="shared" si="75"/>
        <v>7</v>
      </c>
      <c r="C678" s="315">
        <f t="shared" si="76"/>
        <v>42944</v>
      </c>
      <c r="D678" s="315" t="s">
        <v>461</v>
      </c>
      <c r="E678" s="288">
        <v>42944</v>
      </c>
      <c r="F678" s="248" t="s">
        <v>1280</v>
      </c>
      <c r="G678" s="314" t="s">
        <v>440</v>
      </c>
      <c r="H678" s="472"/>
      <c r="I678" s="307"/>
      <c r="J678" s="307"/>
      <c r="K678" s="532">
        <v>38000</v>
      </c>
      <c r="L678" s="533" t="s">
        <v>81</v>
      </c>
      <c r="M678" s="533" t="s">
        <v>24</v>
      </c>
      <c r="N678" s="525" t="str">
        <f>IF(AND('331-CT'!$E$7=TH!H678,OR(L678="331",M678="331")),"331",IF(AND(OR(L678="131",M678="131"),H678='131-CT'!$E$7),"131",""))</f>
        <v/>
      </c>
      <c r="O678" s="525" t="str">
        <f>IF(AND($B678&gt;='111'!$N$11,$B678&lt;='111'!$O$11,OR($L678=$O$7,$M678=$O$7)),"x","")</f>
        <v/>
      </c>
      <c r="P678" s="525" t="str">
        <f>IF(AND($L678=$O$7,$B678&lt;'111'!$N$11),"x","")</f>
        <v/>
      </c>
      <c r="Q678" s="525" t="str">
        <f>IF(AND($M678=$O$7,$B678&lt;'111'!$N$11),"x","")</f>
        <v/>
      </c>
      <c r="R678" s="525" t="str">
        <f>IF(ISERROR(FIND('112'!$M$9,G678,1)),"",IF((AND(FIND('112'!$M$9,G678,1)&gt;=1,$B678&gt;='112'!$N$8,$B678&lt;='112'!$O$8,OR($L678='112'!$I$6,$M678='112'!$I$6))),"x",""))</f>
        <v/>
      </c>
      <c r="S678" s="525" t="str">
        <f>IF(ISERROR(FIND('112'!$M$9,G678,1)),"",IF((AND(LEFT(G678,2)=LEFT('112'!$M$9,2),B678&lt;'112'!$N$8,$L678='112'!$I$6)),"x",""))</f>
        <v/>
      </c>
      <c r="T678" s="525" t="str">
        <f>IF(ISERROR(FIND('112'!$M$9,G678,1)),"",IF((AND(RIGHT(G678,2)=RIGHT('112'!$M$9,2),B678&lt;'112'!$N$8,$M678='112'!$I$6)),"x",""))</f>
        <v>x</v>
      </c>
      <c r="U678" s="525" t="str">
        <f>IF(AND(B678&gt;='IN-NX'!$P$3,B678&lt;='IN-NX'!$Q$3,'IN-NX'!$D$7=D678,OR(LEFT(L678,2)="15",AND(LEFT(M678,2)&lt;&gt;"15",LEFT(M678,2)&lt;&gt;"33"))),"x","")</f>
        <v/>
      </c>
      <c r="V678" s="525" t="str">
        <f>IF(AND(OR(LEFT(TH!L678,2)="15",LEFT(TH!M678,2)="15"),'152-CT'!$J$8=TH!F678),"x","")</f>
        <v/>
      </c>
      <c r="W678" s="525" t="str">
        <f>IF(AND(OR(LEFT(TH!L678,2)="15",LEFT(TH!M678,2)="15"),TK!$E$7=TH!F678),"x","")</f>
        <v/>
      </c>
      <c r="X678" s="525" t="str">
        <f>IF(AND('341-CT'!$E$9=H678,OR(LEFT(L678,3)=$X$7,LEFT(M678,3)=$X$7)),"x","")</f>
        <v/>
      </c>
      <c r="Y678" s="525" t="str">
        <f>IF(OR(TH!L678=TH!$Y$7,M678=TH!$Y$7),"x","")</f>
        <v/>
      </c>
      <c r="Z678" s="525" t="str">
        <f>IF(AND(B678&lt;=NKC!$N$8,B678&gt;=NKC!$M$8),"x","")</f>
        <v/>
      </c>
      <c r="AA678" s="535">
        <v>3</v>
      </c>
    </row>
    <row r="679" spans="1:28" s="503" customFormat="1" ht="15.75" customHeight="1">
      <c r="A679" s="517" t="str">
        <f>IF(B679&lt;&gt;"",IF(AND(B679&gt;=_TM1,B679&lt;=_TM2,OR(TH!L679="1111",TH!M679="1111")),TH!D679,""),"")</f>
        <v/>
      </c>
      <c r="B679" s="531">
        <f t="shared" si="75"/>
        <v>7</v>
      </c>
      <c r="C679" s="315">
        <f t="shared" si="76"/>
        <v>42944</v>
      </c>
      <c r="D679" s="315" t="s">
        <v>461</v>
      </c>
      <c r="E679" s="288">
        <v>42944</v>
      </c>
      <c r="F679" s="248" t="s">
        <v>1281</v>
      </c>
      <c r="G679" s="314" t="s">
        <v>440</v>
      </c>
      <c r="H679" s="472"/>
      <c r="I679" s="307"/>
      <c r="J679" s="307"/>
      <c r="K679" s="532">
        <v>3800</v>
      </c>
      <c r="L679" s="533" t="s">
        <v>9</v>
      </c>
      <c r="M679" s="533" t="s">
        <v>24</v>
      </c>
      <c r="N679" s="525" t="str">
        <f>IF(AND('331-CT'!$E$7=TH!H679,OR(L679="331",M679="331")),"331",IF(AND(OR(L679="131",M679="131"),H679='131-CT'!$E$7),"131",""))</f>
        <v/>
      </c>
      <c r="O679" s="525" t="str">
        <f>IF(AND($B679&gt;='111'!$N$11,$B679&lt;='111'!$O$11,OR($L679=$O$7,$M679=$O$7)),"x","")</f>
        <v/>
      </c>
      <c r="P679" s="525" t="str">
        <f>IF(AND($L679=$O$7,$B679&lt;'111'!$N$11),"x","")</f>
        <v/>
      </c>
      <c r="Q679" s="525" t="str">
        <f>IF(AND($M679=$O$7,$B679&lt;'111'!$N$11),"x","")</f>
        <v/>
      </c>
      <c r="R679" s="525" t="str">
        <f>IF(ISERROR(FIND('112'!$M$9,G679,1)),"",IF((AND(FIND('112'!$M$9,G679,1)&gt;=1,$B679&gt;='112'!$N$8,$B679&lt;='112'!$O$8,OR($L679='112'!$I$6,$M679='112'!$I$6))),"x",""))</f>
        <v/>
      </c>
      <c r="S679" s="525" t="str">
        <f>IF(ISERROR(FIND('112'!$M$9,G679,1)),"",IF((AND(LEFT(G679,2)=LEFT('112'!$M$9,2),B679&lt;'112'!$N$8,$L679='112'!$I$6)),"x",""))</f>
        <v/>
      </c>
      <c r="T679" s="525" t="str">
        <f>IF(ISERROR(FIND('112'!$M$9,G679,1)),"",IF((AND(RIGHT(G679,2)=RIGHT('112'!$M$9,2),B679&lt;'112'!$N$8,$M679='112'!$I$6)),"x",""))</f>
        <v>x</v>
      </c>
      <c r="U679" s="525" t="str">
        <f>IF(AND(B679&gt;='IN-NX'!$P$3,B679&lt;='IN-NX'!$Q$3,'IN-NX'!$D$7=D679,OR(LEFT(L679,2)="15",AND(LEFT(M679,2)&lt;&gt;"15",LEFT(M679,2)&lt;&gt;"33"))),"x","")</f>
        <v/>
      </c>
      <c r="V679" s="525" t="str">
        <f>IF(AND(OR(LEFT(TH!L679,2)="15",LEFT(TH!M679,2)="15"),'152-CT'!$J$8=TH!F679),"x","")</f>
        <v/>
      </c>
      <c r="W679" s="525" t="str">
        <f>IF(AND(OR(LEFT(TH!L679,2)="15",LEFT(TH!M679,2)="15"),TK!$E$7=TH!F679),"x","")</f>
        <v/>
      </c>
      <c r="X679" s="525" t="str">
        <f>IF(AND('341-CT'!$E$9=H679,OR(LEFT(L679,3)=$X$7,LEFT(M679,3)=$X$7)),"x","")</f>
        <v/>
      </c>
      <c r="Y679" s="525" t="str">
        <f>IF(OR(TH!L679=TH!$Y$7,M679=TH!$Y$7),"x","")</f>
        <v/>
      </c>
      <c r="Z679" s="525" t="str">
        <f>IF(AND(B679&lt;=NKC!$N$8,B679&gt;=NKC!$M$8),"x","")</f>
        <v/>
      </c>
      <c r="AA679" s="535">
        <v>3</v>
      </c>
    </row>
    <row r="680" spans="1:28" s="503" customFormat="1" ht="15.75" customHeight="1">
      <c r="A680" s="517" t="str">
        <f>IF(B680&lt;&gt;"",IF(AND(B680&gt;=_TM1,B680&lt;=_TM2,OR(TH!L680="1111",TH!M680="1111")),TH!D680,""),"")</f>
        <v/>
      </c>
      <c r="B680" s="531">
        <f t="shared" si="75"/>
        <v>7</v>
      </c>
      <c r="C680" s="315">
        <f t="shared" si="76"/>
        <v>42944</v>
      </c>
      <c r="D680" s="315" t="s">
        <v>461</v>
      </c>
      <c r="E680" s="288">
        <v>42944</v>
      </c>
      <c r="F680" s="249" t="s">
        <v>827</v>
      </c>
      <c r="G680" s="314" t="s">
        <v>440</v>
      </c>
      <c r="H680" s="473" t="s">
        <v>460</v>
      </c>
      <c r="I680" s="307"/>
      <c r="J680" s="307"/>
      <c r="K680" s="532">
        <v>900000</v>
      </c>
      <c r="L680" s="533" t="s">
        <v>45</v>
      </c>
      <c r="M680" s="533" t="s">
        <v>24</v>
      </c>
      <c r="N680" s="525" t="str">
        <f>IF(AND('331-CT'!$E$7=TH!H680,OR(L680="331",M680="331")),"331",IF(AND(OR(L680="131",M680="131"),H680='131-CT'!$E$7),"131",""))</f>
        <v/>
      </c>
      <c r="O680" s="525" t="str">
        <f>IF(AND($B680&gt;='111'!$N$11,$B680&lt;='111'!$O$11,OR($L680=$O$7,$M680=$O$7)),"x","")</f>
        <v/>
      </c>
      <c r="P680" s="525" t="str">
        <f>IF(AND($L680=$O$7,$B680&lt;'111'!$N$11),"x","")</f>
        <v>x</v>
      </c>
      <c r="Q680" s="525" t="str">
        <f>IF(AND($M680=$O$7,$B680&lt;'111'!$N$11),"x","")</f>
        <v/>
      </c>
      <c r="R680" s="525" t="str">
        <f>IF(ISERROR(FIND('112'!$M$9,G680,1)),"",IF((AND(FIND('112'!$M$9,G680,1)&gt;=1,$B680&gt;='112'!$N$8,$B680&lt;='112'!$O$8,OR($L680='112'!$I$6,$M680='112'!$I$6))),"x",""))</f>
        <v/>
      </c>
      <c r="S680" s="525" t="str">
        <f>IF(ISERROR(FIND('112'!$M$9,G680,1)),"",IF((AND(LEFT(G680,2)=LEFT('112'!$M$9,2),B680&lt;'112'!$N$8,$L680='112'!$I$6)),"x",""))</f>
        <v/>
      </c>
      <c r="T680" s="525" t="str">
        <f>IF(ISERROR(FIND('112'!$M$9,G680,1)),"",IF((AND(RIGHT(G680,2)=RIGHT('112'!$M$9,2),B680&lt;'112'!$N$8,$M680='112'!$I$6)),"x",""))</f>
        <v>x</v>
      </c>
      <c r="U680" s="525" t="str">
        <f>IF(AND(B680&gt;='IN-NX'!$P$3,B680&lt;='IN-NX'!$Q$3,'IN-NX'!$D$7=D680,OR(LEFT(L680,2)="15",AND(LEFT(M680,2)&lt;&gt;"15",LEFT(M680,2)&lt;&gt;"33"))),"x","")</f>
        <v/>
      </c>
      <c r="V680" s="525" t="str">
        <f>IF(AND(OR(LEFT(TH!L680,2)="15",LEFT(TH!M680,2)="15"),'152-CT'!$J$8=TH!F680),"x","")</f>
        <v/>
      </c>
      <c r="W680" s="525" t="str">
        <f>IF(AND(OR(LEFT(TH!L680,2)="15",LEFT(TH!M680,2)="15"),TK!$E$7=TH!F680),"x","")</f>
        <v/>
      </c>
      <c r="X680" s="525" t="str">
        <f>IF(AND('341-CT'!$E$9=H680,OR(LEFT(L680,3)=$X$7,LEFT(M680,3)=$X$7)),"x","")</f>
        <v/>
      </c>
      <c r="Y680" s="525" t="str">
        <f>IF(OR(TH!L680=TH!$Y$7,M680=TH!$Y$7),"x","")</f>
        <v/>
      </c>
      <c r="Z680" s="525" t="str">
        <f>IF(AND(B680&lt;=NKC!$N$8,B680&gt;=NKC!$M$8),"x","")</f>
        <v/>
      </c>
      <c r="AA680" s="535"/>
      <c r="AB680" s="536"/>
    </row>
    <row r="681" spans="1:28" s="503" customFormat="1" ht="15.75" customHeight="1">
      <c r="A681" s="517" t="str">
        <f>IF(B681&lt;&gt;"",IF(AND(B681&gt;=_TM1,B681&lt;=_TM2,OR(TH!L681="1111",TH!M681="1111")),TH!D681,""),"")</f>
        <v/>
      </c>
      <c r="B681" s="531">
        <f t="shared" si="75"/>
        <v>7</v>
      </c>
      <c r="C681" s="315">
        <f t="shared" si="76"/>
        <v>42944</v>
      </c>
      <c r="D681" s="315" t="s">
        <v>461</v>
      </c>
      <c r="E681" s="288">
        <v>42944</v>
      </c>
      <c r="F681" s="248" t="s">
        <v>1280</v>
      </c>
      <c r="G681" s="314" t="s">
        <v>440</v>
      </c>
      <c r="H681" s="472"/>
      <c r="I681" s="307"/>
      <c r="J681" s="307"/>
      <c r="K681" s="532">
        <v>10000</v>
      </c>
      <c r="L681" s="533" t="s">
        <v>81</v>
      </c>
      <c r="M681" s="533" t="s">
        <v>24</v>
      </c>
      <c r="N681" s="525" t="str">
        <f>IF(AND('331-CT'!$E$7=TH!H681,OR(L681="331",M681="331")),"331",IF(AND(OR(L681="131",M681="131"),H681='131-CT'!$E$7),"131",""))</f>
        <v/>
      </c>
      <c r="O681" s="525" t="str">
        <f>IF(AND($B681&gt;='111'!$N$11,$B681&lt;='111'!$O$11,OR($L681=$O$7,$M681=$O$7)),"x","")</f>
        <v/>
      </c>
      <c r="P681" s="525" t="str">
        <f>IF(AND($L681=$O$7,$B681&lt;'111'!$N$11),"x","")</f>
        <v/>
      </c>
      <c r="Q681" s="525" t="str">
        <f>IF(AND($M681=$O$7,$B681&lt;'111'!$N$11),"x","")</f>
        <v/>
      </c>
      <c r="R681" s="525" t="str">
        <f>IF(ISERROR(FIND('112'!$M$9,G681,1)),"",IF((AND(FIND('112'!$M$9,G681,1)&gt;=1,$B681&gt;='112'!$N$8,$B681&lt;='112'!$O$8,OR($L681='112'!$I$6,$M681='112'!$I$6))),"x",""))</f>
        <v/>
      </c>
      <c r="S681" s="525" t="str">
        <f>IF(ISERROR(FIND('112'!$M$9,G681,1)),"",IF((AND(LEFT(G681,2)=LEFT('112'!$M$9,2),B681&lt;'112'!$N$8,$L681='112'!$I$6)),"x",""))</f>
        <v/>
      </c>
      <c r="T681" s="525" t="str">
        <f>IF(ISERROR(FIND('112'!$M$9,G681,1)),"",IF((AND(RIGHT(G681,2)=RIGHT('112'!$M$9,2),B681&lt;'112'!$N$8,$M681='112'!$I$6)),"x",""))</f>
        <v>x</v>
      </c>
      <c r="U681" s="525" t="str">
        <f>IF(AND(B681&gt;='IN-NX'!$P$3,B681&lt;='IN-NX'!$Q$3,'IN-NX'!$D$7=D681,OR(LEFT(L681,2)="15",AND(LEFT(M681,2)&lt;&gt;"15",LEFT(M681,2)&lt;&gt;"33"))),"x","")</f>
        <v/>
      </c>
      <c r="V681" s="525" t="str">
        <f>IF(AND(OR(LEFT(TH!L681,2)="15",LEFT(TH!M681,2)="15"),'152-CT'!$J$8=TH!F681),"x","")</f>
        <v/>
      </c>
      <c r="W681" s="525" t="str">
        <f>IF(AND(OR(LEFT(TH!L681,2)="15",LEFT(TH!M681,2)="15"),TK!$E$7=TH!F681),"x","")</f>
        <v/>
      </c>
      <c r="X681" s="525" t="str">
        <f>IF(AND('341-CT'!$E$9=H681,OR(LEFT(L681,3)=$X$7,LEFT(M681,3)=$X$7)),"x","")</f>
        <v/>
      </c>
      <c r="Y681" s="525" t="str">
        <f>IF(OR(TH!L681=TH!$Y$7,M681=TH!$Y$7),"x","")</f>
        <v/>
      </c>
      <c r="Z681" s="525" t="str">
        <f>IF(AND(B681&lt;=NKC!$N$8,B681&gt;=NKC!$M$8),"x","")</f>
        <v/>
      </c>
      <c r="AA681" s="535">
        <v>3</v>
      </c>
    </row>
    <row r="682" spans="1:28" s="503" customFormat="1" ht="15.75" customHeight="1">
      <c r="A682" s="517" t="str">
        <f>IF(B682&lt;&gt;"",IF(AND(B682&gt;=_TM1,B682&lt;=_TM2,OR(TH!L682="1111",TH!M682="1111")),TH!D682,""),"")</f>
        <v/>
      </c>
      <c r="B682" s="531">
        <f t="shared" ref="B682:B832" si="77">IF(C682&lt;&gt;"",MONTH(C682),"")</f>
        <v>7</v>
      </c>
      <c r="C682" s="315">
        <f t="shared" ref="C682:C832" si="78">E682</f>
        <v>42944</v>
      </c>
      <c r="D682" s="315" t="s">
        <v>461</v>
      </c>
      <c r="E682" s="288">
        <v>42944</v>
      </c>
      <c r="F682" s="248" t="s">
        <v>1281</v>
      </c>
      <c r="G682" s="314" t="s">
        <v>440</v>
      </c>
      <c r="H682" s="472"/>
      <c r="I682" s="307"/>
      <c r="J682" s="307"/>
      <c r="K682" s="532">
        <v>1000</v>
      </c>
      <c r="L682" s="533" t="s">
        <v>9</v>
      </c>
      <c r="M682" s="533" t="s">
        <v>24</v>
      </c>
      <c r="N682" s="525" t="str">
        <f>IF(AND('331-CT'!$E$7=TH!H682,OR(L682="331",M682="331")),"331",IF(AND(OR(L682="131",M682="131"),H682='131-CT'!$E$7),"131",""))</f>
        <v/>
      </c>
      <c r="O682" s="525" t="str">
        <f>IF(AND($B682&gt;='111'!$N$11,$B682&lt;='111'!$O$11,OR($L682=$O$7,$M682=$O$7)),"x","")</f>
        <v/>
      </c>
      <c r="P682" s="525" t="str">
        <f>IF(AND($L682=$O$7,$B682&lt;'111'!$N$11),"x","")</f>
        <v/>
      </c>
      <c r="Q682" s="525" t="str">
        <f>IF(AND($M682=$O$7,$B682&lt;'111'!$N$11),"x","")</f>
        <v/>
      </c>
      <c r="R682" s="525" t="str">
        <f>IF(ISERROR(FIND('112'!$M$9,G682,1)),"",IF((AND(FIND('112'!$M$9,G682,1)&gt;=1,$B682&gt;='112'!$N$8,$B682&lt;='112'!$O$8,OR($L682='112'!$I$6,$M682='112'!$I$6))),"x",""))</f>
        <v/>
      </c>
      <c r="S682" s="525" t="str">
        <f>IF(ISERROR(FIND('112'!$M$9,G682,1)),"",IF((AND(LEFT(G682,2)=LEFT('112'!$M$9,2),B682&lt;'112'!$N$8,$L682='112'!$I$6)),"x",""))</f>
        <v/>
      </c>
      <c r="T682" s="525" t="str">
        <f>IF(ISERROR(FIND('112'!$M$9,G682,1)),"",IF((AND(RIGHT(G682,2)=RIGHT('112'!$M$9,2),B682&lt;'112'!$N$8,$M682='112'!$I$6)),"x",""))</f>
        <v>x</v>
      </c>
      <c r="U682" s="525" t="str">
        <f>IF(AND(B682&gt;='IN-NX'!$P$3,B682&lt;='IN-NX'!$Q$3,'IN-NX'!$D$7=D682,OR(LEFT(L682,2)="15",AND(LEFT(M682,2)&lt;&gt;"15",LEFT(M682,2)&lt;&gt;"33"))),"x","")</f>
        <v/>
      </c>
      <c r="V682" s="525" t="str">
        <f>IF(AND(OR(LEFT(TH!L682,2)="15",LEFT(TH!M682,2)="15"),'152-CT'!$J$8=TH!F682),"x","")</f>
        <v/>
      </c>
      <c r="W682" s="525" t="str">
        <f>IF(AND(OR(LEFT(TH!L682,2)="15",LEFT(TH!M682,2)="15"),TK!$E$7=TH!F682),"x","")</f>
        <v/>
      </c>
      <c r="X682" s="525" t="str">
        <f>IF(AND('341-CT'!$E$9=H682,OR(LEFT(L682,3)=$X$7,LEFT(M682,3)=$X$7)),"x","")</f>
        <v/>
      </c>
      <c r="Y682" s="525" t="str">
        <f>IF(OR(TH!L682=TH!$Y$7,M682=TH!$Y$7),"x","")</f>
        <v/>
      </c>
      <c r="Z682" s="525" t="str">
        <f>IF(AND(B682&lt;=NKC!$N$8,B682&gt;=NKC!$M$8),"x","")</f>
        <v/>
      </c>
      <c r="AA682" s="535">
        <v>3</v>
      </c>
    </row>
    <row r="683" spans="1:28" s="503" customFormat="1" ht="15.75" customHeight="1">
      <c r="A683" s="517" t="str">
        <f>IF(B683&lt;&gt;"",IF(AND(B683&gt;=_TM1,B683&lt;=_TM2,OR(TH!L683="1111",TH!M683="1111")),TH!D683,""),"")</f>
        <v/>
      </c>
      <c r="B683" s="531">
        <f t="shared" si="77"/>
        <v>7</v>
      </c>
      <c r="C683" s="315">
        <f t="shared" si="78"/>
        <v>42947</v>
      </c>
      <c r="D683" s="315" t="s">
        <v>456</v>
      </c>
      <c r="E683" s="288">
        <v>42947</v>
      </c>
      <c r="F683" s="248" t="s">
        <v>458</v>
      </c>
      <c r="G683" s="314" t="s">
        <v>440</v>
      </c>
      <c r="H683" s="473"/>
      <c r="I683" s="307"/>
      <c r="J683" s="307"/>
      <c r="K683" s="532">
        <v>5987</v>
      </c>
      <c r="L683" s="533" t="s">
        <v>24</v>
      </c>
      <c r="M683" s="533" t="s">
        <v>38</v>
      </c>
      <c r="N683" s="525" t="str">
        <f>IF(AND('331-CT'!$E$7=TH!H683,OR(L683="331",M683="331")),"331",IF(AND(OR(L683="131",M683="131"),H683='131-CT'!$E$7),"131",""))</f>
        <v/>
      </c>
      <c r="O683" s="525" t="str">
        <f>IF(AND($B683&gt;='111'!$N$11,$B683&lt;='111'!$O$11,OR($L683=$O$7,$M683=$O$7)),"x","")</f>
        <v/>
      </c>
      <c r="P683" s="525" t="str">
        <f>IF(AND($L683=$O$7,$B683&lt;'111'!$N$11),"x","")</f>
        <v/>
      </c>
      <c r="Q683" s="525" t="str">
        <f>IF(AND($M683=$O$7,$B683&lt;'111'!$N$11),"x","")</f>
        <v/>
      </c>
      <c r="R683" s="525" t="str">
        <f>IF(ISERROR(FIND('112'!$M$9,G683,1)),"",IF((AND(FIND('112'!$M$9,G683,1)&gt;=1,$B683&gt;='112'!$N$8,$B683&lt;='112'!$O$8,OR($L683='112'!$I$6,$M683='112'!$I$6))),"x",""))</f>
        <v/>
      </c>
      <c r="S683" s="525" t="str">
        <f>IF(ISERROR(FIND('112'!$M$9,G683,1)),"",IF((AND(LEFT(G683,2)=LEFT('112'!$M$9,2),B683&lt;'112'!$N$8,$L683='112'!$I$6)),"x",""))</f>
        <v>x</v>
      </c>
      <c r="T683" s="525" t="str">
        <f>IF(ISERROR(FIND('112'!$M$9,G683,1)),"",IF((AND(RIGHT(G683,2)=RIGHT('112'!$M$9,2),B683&lt;'112'!$N$8,$M683='112'!$I$6)),"x",""))</f>
        <v/>
      </c>
      <c r="U683" s="525" t="str">
        <f>IF(AND(B683&gt;='IN-NX'!$P$3,B683&lt;='IN-NX'!$Q$3,'IN-NX'!$D$7=D683,OR(LEFT(L683,2)="15",AND(LEFT(M683,2)&lt;&gt;"15",LEFT(M683,2)&lt;&gt;"33"))),"x","")</f>
        <v/>
      </c>
      <c r="V683" s="525" t="str">
        <f>IF(AND(OR(LEFT(TH!L683,2)="15",LEFT(TH!M683,2)="15"),'152-CT'!$J$8=TH!F683),"x","")</f>
        <v/>
      </c>
      <c r="W683" s="525" t="str">
        <f>IF(AND(OR(LEFT(TH!L683,2)="15",LEFT(TH!M683,2)="15"),TK!$E$7=TH!F683),"x","")</f>
        <v/>
      </c>
      <c r="X683" s="525" t="str">
        <f>IF(AND('341-CT'!$E$9=H683,OR(LEFT(L683,3)=$X$7,LEFT(M683,3)=$X$7)),"x","")</f>
        <v/>
      </c>
      <c r="Y683" s="525" t="str">
        <f>IF(OR(TH!L683=TH!$Y$7,M683=TH!$Y$7),"x","")</f>
        <v/>
      </c>
      <c r="Z683" s="525" t="str">
        <f>IF(AND(B683&lt;=NKC!$N$8,B683&gt;=NKC!$M$8),"x","")</f>
        <v/>
      </c>
      <c r="AA683" s="535"/>
    </row>
    <row r="684" spans="1:28" s="503" customFormat="1" ht="15.75" customHeight="1">
      <c r="A684" s="517" t="str">
        <f>IF(B684&lt;&gt;"",IF(AND(B684&gt;=_TM1,B684&lt;=_TM2,OR(TH!L684="1111",TH!M684="1111")),TH!D684,""),"")</f>
        <v/>
      </c>
      <c r="B684" s="531">
        <f t="shared" si="77"/>
        <v>8</v>
      </c>
      <c r="C684" s="315">
        <f t="shared" si="78"/>
        <v>42957</v>
      </c>
      <c r="D684" s="315" t="s">
        <v>461</v>
      </c>
      <c r="E684" s="288">
        <v>42957</v>
      </c>
      <c r="F684" s="248" t="s">
        <v>457</v>
      </c>
      <c r="G684" s="314" t="s">
        <v>440</v>
      </c>
      <c r="H684" s="473" t="s">
        <v>284</v>
      </c>
      <c r="I684" s="307"/>
      <c r="J684" s="307"/>
      <c r="K684" s="532">
        <v>28223894</v>
      </c>
      <c r="L684" s="533" t="s">
        <v>24</v>
      </c>
      <c r="M684" s="533" t="s">
        <v>223</v>
      </c>
      <c r="N684" s="525" t="str">
        <f>IF(AND('331-CT'!$E$7=TH!H684,OR(L684="331",M684="331")),"331",IF(AND(OR(L684="131",M684="131"),H684='131-CT'!$E$7),"131",""))</f>
        <v/>
      </c>
      <c r="O684" s="525" t="str">
        <f>IF(AND($B684&gt;='111'!$N$11,$B684&lt;='111'!$O$11,OR($L684=$O$7,$M684=$O$7)),"x","")</f>
        <v/>
      </c>
      <c r="P684" s="525" t="str">
        <f>IF(AND($L684=$O$7,$B684&lt;'111'!$N$11),"x","")</f>
        <v/>
      </c>
      <c r="Q684" s="525" t="str">
        <f>IF(AND($M684=$O$7,$B684&lt;'111'!$N$11),"x","")</f>
        <v/>
      </c>
      <c r="R684" s="525" t="str">
        <f>IF(ISERROR(FIND('112'!$M$9,G684,1)),"",IF((AND(FIND('112'!$M$9,G684,1)&gt;=1,$B684&gt;='112'!$N$8,$B684&lt;='112'!$O$8,OR($L684='112'!$I$6,$M684='112'!$I$6))),"x",""))</f>
        <v/>
      </c>
      <c r="S684" s="525" t="str">
        <f>IF(ISERROR(FIND('112'!$M$9,G684,1)),"",IF((AND(LEFT(G684,2)=LEFT('112'!$M$9,2),B684&lt;'112'!$N$8,$L684='112'!$I$6)),"x",""))</f>
        <v>x</v>
      </c>
      <c r="T684" s="525" t="str">
        <f>IF(ISERROR(FIND('112'!$M$9,G684,1)),"",IF((AND(RIGHT(G684,2)=RIGHT('112'!$M$9,2),B684&lt;'112'!$N$8,$M684='112'!$I$6)),"x",""))</f>
        <v/>
      </c>
      <c r="U684" s="525" t="str">
        <f>IF(AND(B684&gt;='IN-NX'!$P$3,B684&lt;='IN-NX'!$Q$3,'IN-NX'!$D$7=D684,OR(LEFT(L684,2)="15",AND(LEFT(M684,2)&lt;&gt;"15",LEFT(M684,2)&lt;&gt;"33"))),"x","")</f>
        <v/>
      </c>
      <c r="V684" s="525" t="str">
        <f>IF(AND(OR(LEFT(TH!L684,2)="15",LEFT(TH!M684,2)="15"),'152-CT'!$J$8=TH!F684),"x","")</f>
        <v/>
      </c>
      <c r="W684" s="525" t="str">
        <f>IF(AND(OR(LEFT(TH!L684,2)="15",LEFT(TH!M684,2)="15"),TK!$E$7=TH!F684),"x","")</f>
        <v/>
      </c>
      <c r="X684" s="525" t="str">
        <f>IF(AND('341-CT'!$E$9=H684,OR(LEFT(L684,3)=$X$7,LEFT(M684,3)=$X$7)),"x","")</f>
        <v/>
      </c>
      <c r="Y684" s="525" t="str">
        <f>IF(OR(TH!L684=TH!$Y$7,M684=TH!$Y$7),"x","")</f>
        <v/>
      </c>
      <c r="Z684" s="525" t="str">
        <f>IF(AND(B684&lt;=NKC!$N$8,B684&gt;=NKC!$M$8),"x","")</f>
        <v/>
      </c>
      <c r="AA684" s="535"/>
    </row>
    <row r="685" spans="1:28" s="503" customFormat="1" ht="15.75" customHeight="1">
      <c r="A685" s="517" t="str">
        <f>IF(B685&lt;&gt;"",IF(AND(B685&gt;=_TM1,B685&lt;=_TM2,OR(TH!L685="1111",TH!M685="1111")),TH!D685,""),"")</f>
        <v/>
      </c>
      <c r="B685" s="531">
        <f t="shared" si="77"/>
        <v>8</v>
      </c>
      <c r="C685" s="315">
        <f t="shared" si="78"/>
        <v>42961</v>
      </c>
      <c r="D685" s="315" t="s">
        <v>461</v>
      </c>
      <c r="E685" s="288">
        <v>42961</v>
      </c>
      <c r="F685" s="248" t="s">
        <v>457</v>
      </c>
      <c r="G685" s="314" t="s">
        <v>440</v>
      </c>
      <c r="H685" s="248" t="s">
        <v>1413</v>
      </c>
      <c r="I685" s="307"/>
      <c r="J685" s="307"/>
      <c r="K685" s="532">
        <v>10830000</v>
      </c>
      <c r="L685" s="533" t="s">
        <v>24</v>
      </c>
      <c r="M685" s="533" t="s">
        <v>223</v>
      </c>
      <c r="N685" s="525" t="str">
        <f>IF(AND('331-CT'!$E$7=TH!H685,OR(L685="331",M685="331")),"331",IF(AND(OR(L685="131",M685="131"),H685='131-CT'!$E$7),"131",""))</f>
        <v/>
      </c>
      <c r="O685" s="525" t="str">
        <f>IF(AND($B685&gt;='111'!$N$11,$B685&lt;='111'!$O$11,OR($L685=$O$7,$M685=$O$7)),"x","")</f>
        <v/>
      </c>
      <c r="P685" s="525" t="str">
        <f>IF(AND($L685=$O$7,$B685&lt;'111'!$N$11),"x","")</f>
        <v/>
      </c>
      <c r="Q685" s="525" t="str">
        <f>IF(AND($M685=$O$7,$B685&lt;'111'!$N$11),"x","")</f>
        <v/>
      </c>
      <c r="R685" s="525" t="str">
        <f>IF(ISERROR(FIND('112'!$M$9,G685,1)),"",IF((AND(FIND('112'!$M$9,G685,1)&gt;=1,$B685&gt;='112'!$N$8,$B685&lt;='112'!$O$8,OR($L685='112'!$I$6,$M685='112'!$I$6))),"x",""))</f>
        <v/>
      </c>
      <c r="S685" s="525" t="str">
        <f>IF(ISERROR(FIND('112'!$M$9,G685,1)),"",IF((AND(LEFT(G685,2)=LEFT('112'!$M$9,2),B685&lt;'112'!$N$8,$L685='112'!$I$6)),"x",""))</f>
        <v>x</v>
      </c>
      <c r="T685" s="525" t="str">
        <f>IF(ISERROR(FIND('112'!$M$9,G685,1)),"",IF((AND(RIGHT(G685,2)=RIGHT('112'!$M$9,2),B685&lt;'112'!$N$8,$M685='112'!$I$6)),"x",""))</f>
        <v/>
      </c>
      <c r="U685" s="525" t="str">
        <f>IF(AND(B685&gt;='IN-NX'!$P$3,B685&lt;='IN-NX'!$Q$3,'IN-NX'!$D$7=D685,OR(LEFT(L685,2)="15",AND(LEFT(M685,2)&lt;&gt;"15",LEFT(M685,2)&lt;&gt;"33"))),"x","")</f>
        <v/>
      </c>
      <c r="V685" s="525" t="str">
        <f>IF(AND(OR(LEFT(TH!L685,2)="15",LEFT(TH!M685,2)="15"),'152-CT'!$J$8=TH!F685),"x","")</f>
        <v/>
      </c>
      <c r="W685" s="525" t="str">
        <f>IF(AND(OR(LEFT(TH!L685,2)="15",LEFT(TH!M685,2)="15"),TK!$E$7=TH!F685),"x","")</f>
        <v/>
      </c>
      <c r="X685" s="525" t="str">
        <f>IF(AND('341-CT'!$E$9=H685,OR(LEFT(L685,3)=$X$7,LEFT(M685,3)=$X$7)),"x","")</f>
        <v/>
      </c>
      <c r="Y685" s="525" t="str">
        <f>IF(OR(TH!L685=TH!$Y$7,M685=TH!$Y$7),"x","")</f>
        <v/>
      </c>
      <c r="Z685" s="525" t="str">
        <f>IF(AND(B685&lt;=NKC!$N$8,B685&gt;=NKC!$M$8),"x","")</f>
        <v/>
      </c>
      <c r="AA685" s="535"/>
      <c r="AB685" s="536"/>
    </row>
    <row r="686" spans="1:28" s="503" customFormat="1" ht="15.75" customHeight="1">
      <c r="A686" s="517" t="str">
        <f>IF(B686&lt;&gt;"",IF(AND(B686&gt;=_TM1,B686&lt;=_TM2,OR(TH!L686="1111",TH!M686="1111")),TH!D686,""),"")</f>
        <v/>
      </c>
      <c r="B686" s="531">
        <f t="shared" si="77"/>
        <v>8</v>
      </c>
      <c r="C686" s="315">
        <f t="shared" si="78"/>
        <v>42968</v>
      </c>
      <c r="D686" s="315" t="s">
        <v>461</v>
      </c>
      <c r="E686" s="288">
        <v>42968</v>
      </c>
      <c r="F686" s="248" t="s">
        <v>457</v>
      </c>
      <c r="G686" s="314" t="s">
        <v>440</v>
      </c>
      <c r="H686" s="473" t="s">
        <v>284</v>
      </c>
      <c r="I686" s="307"/>
      <c r="J686" s="307"/>
      <c r="K686" s="532">
        <v>64355936</v>
      </c>
      <c r="L686" s="533" t="s">
        <v>24</v>
      </c>
      <c r="M686" s="533" t="s">
        <v>223</v>
      </c>
      <c r="N686" s="525" t="str">
        <f>IF(AND('331-CT'!$E$7=TH!H686,OR(L686="331",M686="331")),"331",IF(AND(OR(L686="131",M686="131"),H686='131-CT'!$E$7),"131",""))</f>
        <v/>
      </c>
      <c r="O686" s="525" t="str">
        <f>IF(AND($B686&gt;='111'!$N$11,$B686&lt;='111'!$O$11,OR($L686=$O$7,$M686=$O$7)),"x","")</f>
        <v/>
      </c>
      <c r="P686" s="525" t="str">
        <f>IF(AND($L686=$O$7,$B686&lt;'111'!$N$11),"x","")</f>
        <v/>
      </c>
      <c r="Q686" s="525" t="str">
        <f>IF(AND($M686=$O$7,$B686&lt;'111'!$N$11),"x","")</f>
        <v/>
      </c>
      <c r="R686" s="525" t="str">
        <f>IF(ISERROR(FIND('112'!$M$9,G686,1)),"",IF((AND(FIND('112'!$M$9,G686,1)&gt;=1,$B686&gt;='112'!$N$8,$B686&lt;='112'!$O$8,OR($L686='112'!$I$6,$M686='112'!$I$6))),"x",""))</f>
        <v/>
      </c>
      <c r="S686" s="525" t="str">
        <f>IF(ISERROR(FIND('112'!$M$9,G686,1)),"",IF((AND(LEFT(G686,2)=LEFT('112'!$M$9,2),B686&lt;'112'!$N$8,$L686='112'!$I$6)),"x",""))</f>
        <v>x</v>
      </c>
      <c r="T686" s="525" t="str">
        <f>IF(ISERROR(FIND('112'!$M$9,G686,1)),"",IF((AND(RIGHT(G686,2)=RIGHT('112'!$M$9,2),B686&lt;'112'!$N$8,$M686='112'!$I$6)),"x",""))</f>
        <v/>
      </c>
      <c r="U686" s="525" t="str">
        <f>IF(AND(B686&gt;='IN-NX'!$P$3,B686&lt;='IN-NX'!$Q$3,'IN-NX'!$D$7=D686,OR(LEFT(L686,2)="15",AND(LEFT(M686,2)&lt;&gt;"15",LEFT(M686,2)&lt;&gt;"33"))),"x","")</f>
        <v/>
      </c>
      <c r="V686" s="525" t="str">
        <f>IF(AND(OR(LEFT(TH!L686,2)="15",LEFT(TH!M686,2)="15"),'152-CT'!$J$8=TH!F686),"x","")</f>
        <v/>
      </c>
      <c r="W686" s="525" t="str">
        <f>IF(AND(OR(LEFT(TH!L686,2)="15",LEFT(TH!M686,2)="15"),TK!$E$7=TH!F686),"x","")</f>
        <v/>
      </c>
      <c r="X686" s="525" t="str">
        <f>IF(AND('341-CT'!$E$9=H686,OR(LEFT(L686,3)=$X$7,LEFT(M686,3)=$X$7)),"x","")</f>
        <v/>
      </c>
      <c r="Y686" s="525" t="str">
        <f>IF(OR(TH!L686=TH!$Y$7,M686=TH!$Y$7),"x","")</f>
        <v/>
      </c>
      <c r="Z686" s="525" t="str">
        <f>IF(AND(B686&lt;=NKC!$N$8,B686&gt;=NKC!$M$8),"x","")</f>
        <v/>
      </c>
      <c r="AA686" s="535"/>
    </row>
    <row r="687" spans="1:28" s="503" customFormat="1" ht="15.75" customHeight="1">
      <c r="A687" s="517" t="str">
        <f>IF(B687&lt;&gt;"",IF(AND(B687&gt;=_TM1,B687&lt;=_TM2,OR(TH!L687="1111",TH!M687="1111")),TH!D687,""),"")</f>
        <v/>
      </c>
      <c r="B687" s="531">
        <f t="shared" si="77"/>
        <v>8</v>
      </c>
      <c r="C687" s="315">
        <f t="shared" si="78"/>
        <v>42969</v>
      </c>
      <c r="D687" s="315" t="s">
        <v>461</v>
      </c>
      <c r="E687" s="288">
        <v>42969</v>
      </c>
      <c r="F687" s="248" t="s">
        <v>1265</v>
      </c>
      <c r="G687" s="314" t="s">
        <v>440</v>
      </c>
      <c r="H687" s="473" t="s">
        <v>460</v>
      </c>
      <c r="I687" s="307"/>
      <c r="J687" s="307"/>
      <c r="K687" s="532">
        <v>20000000</v>
      </c>
      <c r="L687" s="533" t="s">
        <v>24</v>
      </c>
      <c r="M687" s="533" t="s">
        <v>45</v>
      </c>
      <c r="N687" s="525" t="str">
        <f>IF(AND('331-CT'!$E$7=TH!H687,OR(L687="331",M687="331")),"331",IF(AND(OR(L687="131",M687="131"),H687='131-CT'!$E$7),"131",""))</f>
        <v/>
      </c>
      <c r="O687" s="525" t="str">
        <f>IF(AND($B687&gt;='111'!$N$11,$B687&lt;='111'!$O$11,OR($L687=$O$7,$M687=$O$7)),"x","")</f>
        <v/>
      </c>
      <c r="P687" s="525" t="str">
        <f>IF(AND($L687=$O$7,$B687&lt;'111'!$N$11),"x","")</f>
        <v/>
      </c>
      <c r="Q687" s="525" t="str">
        <f>IF(AND($M687=$O$7,$B687&lt;'111'!$N$11),"x","")</f>
        <v>x</v>
      </c>
      <c r="R687" s="525" t="str">
        <f>IF(ISERROR(FIND('112'!$M$9,G687,1)),"",IF((AND(FIND('112'!$M$9,G687,1)&gt;=1,$B687&gt;='112'!$N$8,$B687&lt;='112'!$O$8,OR($L687='112'!$I$6,$M687='112'!$I$6))),"x",""))</f>
        <v/>
      </c>
      <c r="S687" s="525" t="str">
        <f>IF(ISERROR(FIND('112'!$M$9,G687,1)),"",IF((AND(LEFT(G687,2)=LEFT('112'!$M$9,2),B687&lt;'112'!$N$8,$L687='112'!$I$6)),"x",""))</f>
        <v>x</v>
      </c>
      <c r="T687" s="525" t="str">
        <f>IF(ISERROR(FIND('112'!$M$9,G687,1)),"",IF((AND(RIGHT(G687,2)=RIGHT('112'!$M$9,2),B687&lt;'112'!$N$8,$M687='112'!$I$6)),"x",""))</f>
        <v/>
      </c>
      <c r="U687" s="525" t="str">
        <f>IF(AND(B687&gt;='IN-NX'!$P$3,B687&lt;='IN-NX'!$Q$3,'IN-NX'!$D$7=D687,OR(LEFT(L687,2)="15",AND(LEFT(M687,2)&lt;&gt;"15",LEFT(M687,2)&lt;&gt;"33"))),"x","")</f>
        <v/>
      </c>
      <c r="V687" s="525" t="str">
        <f>IF(AND(OR(LEFT(TH!L687,2)="15",LEFT(TH!M687,2)="15"),'152-CT'!$J$8=TH!F687),"x","")</f>
        <v/>
      </c>
      <c r="W687" s="525" t="str">
        <f>IF(AND(OR(LEFT(TH!L687,2)="15",LEFT(TH!M687,2)="15"),TK!$E$7=TH!F687),"x","")</f>
        <v/>
      </c>
      <c r="X687" s="525" t="str">
        <f>IF(AND('341-CT'!$E$9=H687,OR(LEFT(L687,3)=$X$7,LEFT(M687,3)=$X$7)),"x","")</f>
        <v/>
      </c>
      <c r="Y687" s="525" t="str">
        <f>IF(OR(TH!L687=TH!$Y$7,M687=TH!$Y$7),"x","")</f>
        <v/>
      </c>
      <c r="Z687" s="525" t="str">
        <f>IF(AND(B687&lt;=NKC!$N$8,B687&gt;=NKC!$M$8),"x","")</f>
        <v/>
      </c>
      <c r="AA687" s="535"/>
      <c r="AB687" s="536"/>
    </row>
    <row r="688" spans="1:28" s="503" customFormat="1" ht="15.75" customHeight="1">
      <c r="A688" s="517" t="str">
        <f>IF(B688&lt;&gt;"",IF(AND(B688&gt;=_TM1,B688&lt;=_TM2,OR(TH!L688="1111",TH!M688="1111")),TH!D688,""),"")</f>
        <v/>
      </c>
      <c r="B688" s="531">
        <f t="shared" si="77"/>
        <v>8</v>
      </c>
      <c r="C688" s="315">
        <f t="shared" si="78"/>
        <v>42970</v>
      </c>
      <c r="D688" s="315" t="s">
        <v>461</v>
      </c>
      <c r="E688" s="288">
        <v>42970</v>
      </c>
      <c r="F688" s="248" t="s">
        <v>1265</v>
      </c>
      <c r="G688" s="314" t="s">
        <v>440</v>
      </c>
      <c r="H688" s="473" t="s">
        <v>460</v>
      </c>
      <c r="I688" s="307"/>
      <c r="J688" s="307"/>
      <c r="K688" s="532">
        <v>8000000</v>
      </c>
      <c r="L688" s="533" t="s">
        <v>24</v>
      </c>
      <c r="M688" s="533" t="s">
        <v>45</v>
      </c>
      <c r="N688" s="525" t="str">
        <f>IF(AND('331-CT'!$E$7=TH!H688,OR(L688="331",M688="331")),"331",IF(AND(OR(L688="131",M688="131"),H688='131-CT'!$E$7),"131",""))</f>
        <v/>
      </c>
      <c r="O688" s="525" t="str">
        <f>IF(AND($B688&gt;='111'!$N$11,$B688&lt;='111'!$O$11,OR($L688=$O$7,$M688=$O$7)),"x","")</f>
        <v/>
      </c>
      <c r="P688" s="525" t="str">
        <f>IF(AND($L688=$O$7,$B688&lt;'111'!$N$11),"x","")</f>
        <v/>
      </c>
      <c r="Q688" s="525" t="str">
        <f>IF(AND($M688=$O$7,$B688&lt;'111'!$N$11),"x","")</f>
        <v>x</v>
      </c>
      <c r="R688" s="525" t="str">
        <f>IF(ISERROR(FIND('112'!$M$9,G688,1)),"",IF((AND(FIND('112'!$M$9,G688,1)&gt;=1,$B688&gt;='112'!$N$8,$B688&lt;='112'!$O$8,OR($L688='112'!$I$6,$M688='112'!$I$6))),"x",""))</f>
        <v/>
      </c>
      <c r="S688" s="525" t="str">
        <f>IF(ISERROR(FIND('112'!$M$9,G688,1)),"",IF((AND(LEFT(G688,2)=LEFT('112'!$M$9,2),B688&lt;'112'!$N$8,$L688='112'!$I$6)),"x",""))</f>
        <v>x</v>
      </c>
      <c r="T688" s="525" t="str">
        <f>IF(ISERROR(FIND('112'!$M$9,G688,1)),"",IF((AND(RIGHT(G688,2)=RIGHT('112'!$M$9,2),B688&lt;'112'!$N$8,$M688='112'!$I$6)),"x",""))</f>
        <v/>
      </c>
      <c r="U688" s="525" t="str">
        <f>IF(AND(B688&gt;='IN-NX'!$P$3,B688&lt;='IN-NX'!$Q$3,'IN-NX'!$D$7=D688,OR(LEFT(L688,2)="15",AND(LEFT(M688,2)&lt;&gt;"15",LEFT(M688,2)&lt;&gt;"33"))),"x","")</f>
        <v/>
      </c>
      <c r="V688" s="525" t="str">
        <f>IF(AND(OR(LEFT(TH!L688,2)="15",LEFT(TH!M688,2)="15"),'152-CT'!$J$8=TH!F688),"x","")</f>
        <v/>
      </c>
      <c r="W688" s="525" t="str">
        <f>IF(AND(OR(LEFT(TH!L688,2)="15",LEFT(TH!M688,2)="15"),TK!$E$7=TH!F688),"x","")</f>
        <v/>
      </c>
      <c r="X688" s="525" t="str">
        <f>IF(AND('341-CT'!$E$9=H688,OR(LEFT(L688,3)=$X$7,LEFT(M688,3)=$X$7)),"x","")</f>
        <v/>
      </c>
      <c r="Y688" s="525" t="str">
        <f>IF(OR(TH!L688=TH!$Y$7,M688=TH!$Y$7),"x","")</f>
        <v/>
      </c>
      <c r="Z688" s="525" t="str">
        <f>IF(AND(B688&lt;=NKC!$N$8,B688&gt;=NKC!$M$8),"x","")</f>
        <v/>
      </c>
      <c r="AA688" s="535"/>
    </row>
    <row r="689" spans="1:28" s="503" customFormat="1" ht="15.75" customHeight="1">
      <c r="A689" s="517" t="str">
        <f>IF(B689&lt;&gt;"",IF(AND(B689&gt;=_TM1,B689&lt;=_TM2,OR(TH!L689="1111",TH!M689="1111")),TH!D689,""),"")</f>
        <v/>
      </c>
      <c r="B689" s="531">
        <f t="shared" si="77"/>
        <v>8</v>
      </c>
      <c r="C689" s="315">
        <f t="shared" si="78"/>
        <v>42972</v>
      </c>
      <c r="D689" s="315" t="s">
        <v>461</v>
      </c>
      <c r="E689" s="288">
        <v>42972</v>
      </c>
      <c r="F689" s="248" t="s">
        <v>1265</v>
      </c>
      <c r="G689" s="314" t="s">
        <v>440</v>
      </c>
      <c r="H689" s="473" t="s">
        <v>460</v>
      </c>
      <c r="I689" s="307"/>
      <c r="J689" s="307"/>
      <c r="K689" s="532">
        <v>36000000</v>
      </c>
      <c r="L689" s="533" t="s">
        <v>24</v>
      </c>
      <c r="M689" s="533" t="s">
        <v>45</v>
      </c>
      <c r="N689" s="525" t="str">
        <f>IF(AND('331-CT'!$E$7=TH!H689,OR(L689="331",M689="331")),"331",IF(AND(OR(L689="131",M689="131"),H689='131-CT'!$E$7),"131",""))</f>
        <v/>
      </c>
      <c r="O689" s="525" t="str">
        <f>IF(AND($B689&gt;='111'!$N$11,$B689&lt;='111'!$O$11,OR($L689=$O$7,$M689=$O$7)),"x","")</f>
        <v/>
      </c>
      <c r="P689" s="525" t="str">
        <f>IF(AND($L689=$O$7,$B689&lt;'111'!$N$11),"x","")</f>
        <v/>
      </c>
      <c r="Q689" s="525" t="str">
        <f>IF(AND($M689=$O$7,$B689&lt;'111'!$N$11),"x","")</f>
        <v>x</v>
      </c>
      <c r="R689" s="525" t="str">
        <f>IF(ISERROR(FIND('112'!$M$9,G689,1)),"",IF((AND(FIND('112'!$M$9,G689,1)&gt;=1,$B689&gt;='112'!$N$8,$B689&lt;='112'!$O$8,OR($L689='112'!$I$6,$M689='112'!$I$6))),"x",""))</f>
        <v/>
      </c>
      <c r="S689" s="525" t="str">
        <f>IF(ISERROR(FIND('112'!$M$9,G689,1)),"",IF((AND(LEFT(G689,2)=LEFT('112'!$M$9,2),B689&lt;'112'!$N$8,$L689='112'!$I$6)),"x",""))</f>
        <v>x</v>
      </c>
      <c r="T689" s="525" t="str">
        <f>IF(ISERROR(FIND('112'!$M$9,G689,1)),"",IF((AND(RIGHT(G689,2)=RIGHT('112'!$M$9,2),B689&lt;'112'!$N$8,$M689='112'!$I$6)),"x",""))</f>
        <v/>
      </c>
      <c r="U689" s="525" t="str">
        <f>IF(AND(B689&gt;='IN-NX'!$P$3,B689&lt;='IN-NX'!$Q$3,'IN-NX'!$D$7=D689,OR(LEFT(L689,2)="15",AND(LEFT(M689,2)&lt;&gt;"15",LEFT(M689,2)&lt;&gt;"33"))),"x","")</f>
        <v/>
      </c>
      <c r="V689" s="525" t="str">
        <f>IF(AND(OR(LEFT(TH!L689,2)="15",LEFT(TH!M689,2)="15"),'152-CT'!$J$8=TH!F689),"x","")</f>
        <v/>
      </c>
      <c r="W689" s="525" t="str">
        <f>IF(AND(OR(LEFT(TH!L689,2)="15",LEFT(TH!M689,2)="15"),TK!$E$7=TH!F689),"x","")</f>
        <v/>
      </c>
      <c r="X689" s="525" t="str">
        <f>IF(AND('341-CT'!$E$9=H689,OR(LEFT(L689,3)=$X$7,LEFT(M689,3)=$X$7)),"x","")</f>
        <v/>
      </c>
      <c r="Y689" s="525" t="str">
        <f>IF(OR(TH!L689=TH!$Y$7,M689=TH!$Y$7),"x","")</f>
        <v/>
      </c>
      <c r="Z689" s="525" t="str">
        <f>IF(AND(B689&lt;=NKC!$N$8,B689&gt;=NKC!$M$8),"x","")</f>
        <v/>
      </c>
      <c r="AA689" s="535"/>
    </row>
    <row r="690" spans="1:28" s="503" customFormat="1" ht="15.75" customHeight="1">
      <c r="A690" s="517" t="str">
        <f>IF(B690&lt;&gt;"",IF(AND(B690&gt;=_TM1,B690&lt;=_TM2,OR(TH!L690="1111",TH!M690="1111")),TH!D690,""),"")</f>
        <v/>
      </c>
      <c r="B690" s="531">
        <f t="shared" si="77"/>
        <v>8</v>
      </c>
      <c r="C690" s="315">
        <f t="shared" si="78"/>
        <v>42975</v>
      </c>
      <c r="D690" s="315" t="s">
        <v>461</v>
      </c>
      <c r="E690" s="288">
        <v>42975</v>
      </c>
      <c r="F690" s="248" t="s">
        <v>808</v>
      </c>
      <c r="G690" s="314" t="s">
        <v>440</v>
      </c>
      <c r="H690" s="621" t="s">
        <v>1723</v>
      </c>
      <c r="I690" s="307"/>
      <c r="J690" s="307"/>
      <c r="K690" s="532">
        <v>99300000</v>
      </c>
      <c r="L690" s="533" t="s">
        <v>24</v>
      </c>
      <c r="M690" s="533" t="s">
        <v>441</v>
      </c>
      <c r="N690" s="525" t="str">
        <f>IF(AND('331-CT'!$E$7=TH!H690,OR(L690="331",M690="331")),"331",IF(AND(OR(L690="131",M690="131"),H690='131-CT'!$E$7),"131",""))</f>
        <v/>
      </c>
      <c r="O690" s="525" t="str">
        <f>IF(AND($B690&gt;='111'!$N$11,$B690&lt;='111'!$O$11,OR($L690=$O$7,$M690=$O$7)),"x","")</f>
        <v/>
      </c>
      <c r="P690" s="525" t="str">
        <f>IF(AND($L690=$O$7,$B690&lt;'111'!$N$11),"x","")</f>
        <v/>
      </c>
      <c r="Q690" s="525" t="str">
        <f>IF(AND($M690=$O$7,$B690&lt;'111'!$N$11),"x","")</f>
        <v/>
      </c>
      <c r="R690" s="525" t="str">
        <f>IF(ISERROR(FIND('112'!$M$9,G690,1)),"",IF((AND(FIND('112'!$M$9,G690,1)&gt;=1,$B690&gt;='112'!$N$8,$B690&lt;='112'!$O$8,OR($L690='112'!$I$6,$M690='112'!$I$6))),"x",""))</f>
        <v/>
      </c>
      <c r="S690" s="525" t="str">
        <f>IF(ISERROR(FIND('112'!$M$9,G690,1)),"",IF((AND(LEFT(G690,2)=LEFT('112'!$M$9,2),B690&lt;'112'!$N$8,$L690='112'!$I$6)),"x",""))</f>
        <v>x</v>
      </c>
      <c r="T690" s="525" t="str">
        <f>IF(ISERROR(FIND('112'!$M$9,G690,1)),"",IF((AND(RIGHT(G690,2)=RIGHT('112'!$M$9,2),B690&lt;'112'!$N$8,$M690='112'!$I$6)),"x",""))</f>
        <v/>
      </c>
      <c r="U690" s="525" t="str">
        <f>IF(AND(B690&gt;='IN-NX'!$P$3,B690&lt;='IN-NX'!$Q$3,'IN-NX'!$D$7=D690,OR(LEFT(L690,2)="15",AND(LEFT(M690,2)&lt;&gt;"15",LEFT(M690,2)&lt;&gt;"33"))),"x","")</f>
        <v/>
      </c>
      <c r="V690" s="525" t="str">
        <f>IF(AND(OR(LEFT(TH!L690,2)="15",LEFT(TH!M690,2)="15"),'152-CT'!$J$8=TH!F690),"x","")</f>
        <v/>
      </c>
      <c r="W690" s="525" t="str">
        <f>IF(AND(OR(LEFT(TH!L690,2)="15",LEFT(TH!M690,2)="15"),TK!$E$7=TH!F690),"x","")</f>
        <v/>
      </c>
      <c r="X690" s="525" t="str">
        <f>IF(AND('341-CT'!$E$9=H690,OR(LEFT(L690,3)=$X$7,LEFT(M690,3)=$X$7)),"x","")</f>
        <v/>
      </c>
      <c r="Y690" s="525" t="str">
        <f>IF(OR(TH!L690=TH!$Y$7,M690=TH!$Y$7),"x","")</f>
        <v/>
      </c>
      <c r="Z690" s="525" t="str">
        <f>IF(AND(B690&lt;=NKC!$N$8,B690&gt;=NKC!$M$8),"x","")</f>
        <v/>
      </c>
      <c r="AA690" s="535"/>
      <c r="AB690" s="536"/>
    </row>
    <row r="691" spans="1:28" s="503" customFormat="1" ht="15.75" customHeight="1">
      <c r="A691" s="517" t="str">
        <f>IF(B691&lt;&gt;"",IF(AND(B691&gt;=_TM1,B691&lt;=_TM2,OR(TH!L691="1111",TH!M691="1111")),TH!D691,""),"")</f>
        <v/>
      </c>
      <c r="B691" s="531">
        <f t="shared" si="77"/>
        <v>8</v>
      </c>
      <c r="C691" s="315">
        <f t="shared" si="78"/>
        <v>42978</v>
      </c>
      <c r="D691" s="315" t="s">
        <v>461</v>
      </c>
      <c r="E691" s="288">
        <v>42978</v>
      </c>
      <c r="F691" s="248" t="s">
        <v>458</v>
      </c>
      <c r="G691" s="314" t="s">
        <v>440</v>
      </c>
      <c r="H691" s="473"/>
      <c r="I691" s="307"/>
      <c r="J691" s="307"/>
      <c r="K691" s="532">
        <v>1012</v>
      </c>
      <c r="L691" s="533" t="s">
        <v>24</v>
      </c>
      <c r="M691" s="533" t="s">
        <v>38</v>
      </c>
      <c r="N691" s="525" t="str">
        <f>IF(AND('331-CT'!$E$7=TH!H691,OR(L691="331",M691="331")),"331",IF(AND(OR(L691="131",M691="131"),H691='131-CT'!$E$7),"131",""))</f>
        <v/>
      </c>
      <c r="O691" s="525" t="str">
        <f>IF(AND($B691&gt;='111'!$N$11,$B691&lt;='111'!$O$11,OR($L691=$O$7,$M691=$O$7)),"x","")</f>
        <v/>
      </c>
      <c r="P691" s="525" t="str">
        <f>IF(AND($L691=$O$7,$B691&lt;'111'!$N$11),"x","")</f>
        <v/>
      </c>
      <c r="Q691" s="525" t="str">
        <f>IF(AND($M691=$O$7,$B691&lt;'111'!$N$11),"x","")</f>
        <v/>
      </c>
      <c r="R691" s="525" t="str">
        <f>IF(ISERROR(FIND('112'!$M$9,G691,1)),"",IF((AND(FIND('112'!$M$9,G691,1)&gt;=1,$B691&gt;='112'!$N$8,$B691&lt;='112'!$O$8,OR($L691='112'!$I$6,$M691='112'!$I$6))),"x",""))</f>
        <v/>
      </c>
      <c r="S691" s="525" t="str">
        <f>IF(ISERROR(FIND('112'!$M$9,G691,1)),"",IF((AND(LEFT(G691,2)=LEFT('112'!$M$9,2),B691&lt;'112'!$N$8,$L691='112'!$I$6)),"x",""))</f>
        <v>x</v>
      </c>
      <c r="T691" s="525" t="str">
        <f>IF(ISERROR(FIND('112'!$M$9,G691,1)),"",IF((AND(RIGHT(G691,2)=RIGHT('112'!$M$9,2),B691&lt;'112'!$N$8,$M691='112'!$I$6)),"x",""))</f>
        <v/>
      </c>
      <c r="U691" s="525" t="str">
        <f>IF(AND(B691&gt;='IN-NX'!$P$3,B691&lt;='IN-NX'!$Q$3,'IN-NX'!$D$7=D691,OR(LEFT(L691,2)="15",AND(LEFT(M691,2)&lt;&gt;"15",LEFT(M691,2)&lt;&gt;"33"))),"x","")</f>
        <v/>
      </c>
      <c r="V691" s="525" t="str">
        <f>IF(AND(OR(LEFT(TH!L691,2)="15",LEFT(TH!M691,2)="15"),'152-CT'!$J$8=TH!F691),"x","")</f>
        <v/>
      </c>
      <c r="W691" s="525" t="str">
        <f>IF(AND(OR(LEFT(TH!L691,2)="15",LEFT(TH!M691,2)="15"),TK!$E$7=TH!F691),"x","")</f>
        <v/>
      </c>
      <c r="X691" s="525" t="str">
        <f>IF(AND('341-CT'!$E$9=H691,OR(LEFT(L691,3)=$X$7,LEFT(M691,3)=$X$7)),"x","")</f>
        <v/>
      </c>
      <c r="Y691" s="525" t="str">
        <f>IF(OR(TH!L691=TH!$Y$7,M691=TH!$Y$7),"x","")</f>
        <v/>
      </c>
      <c r="Z691" s="525" t="str">
        <f>IF(AND(B691&lt;=NKC!$N$8,B691&gt;=NKC!$M$8),"x","")</f>
        <v/>
      </c>
      <c r="AA691" s="535"/>
    </row>
    <row r="692" spans="1:28" s="503" customFormat="1" ht="15.75" customHeight="1">
      <c r="A692" s="517" t="str">
        <f>IF(B692&lt;&gt;"",IF(AND(B692&gt;=_TM1,B692&lt;=_TM2,OR(TH!L692="1111",TH!M692="1111")),TH!D692,""),"")</f>
        <v/>
      </c>
      <c r="B692" s="531">
        <f t="shared" ref="B692:B798" si="79">IF(C692&lt;&gt;"",MONTH(C692),"")</f>
        <v>9</v>
      </c>
      <c r="C692" s="315">
        <f t="shared" ref="C692:C798" si="80">E692</f>
        <v>42991</v>
      </c>
      <c r="D692" s="315" t="s">
        <v>461</v>
      </c>
      <c r="E692" s="288">
        <v>42991</v>
      </c>
      <c r="F692" s="248" t="s">
        <v>457</v>
      </c>
      <c r="G692" s="314" t="s">
        <v>440</v>
      </c>
      <c r="H692" s="473" t="s">
        <v>284</v>
      </c>
      <c r="I692" s="307"/>
      <c r="J692" s="307"/>
      <c r="K692" s="532">
        <v>8759326</v>
      </c>
      <c r="L692" s="533" t="s">
        <v>24</v>
      </c>
      <c r="M692" s="533" t="s">
        <v>223</v>
      </c>
      <c r="N692" s="525" t="str">
        <f>IF(AND('331-CT'!$E$7=TH!H692,OR(L692="331",M692="331")),"331",IF(AND(OR(L692="131",M692="131"),H692='131-CT'!$E$7),"131",""))</f>
        <v/>
      </c>
      <c r="O692" s="525" t="str">
        <f>IF(AND($B692&gt;='111'!$N$11,$B692&lt;='111'!$O$11,OR($L692=$O$7,$M692=$O$7)),"x","")</f>
        <v/>
      </c>
      <c r="P692" s="525" t="str">
        <f>IF(AND($L692=$O$7,$B692&lt;'111'!$N$11),"x","")</f>
        <v/>
      </c>
      <c r="Q692" s="525" t="str">
        <f>IF(AND($M692=$O$7,$B692&lt;'111'!$N$11),"x","")</f>
        <v/>
      </c>
      <c r="R692" s="525" t="str">
        <f>IF(ISERROR(FIND('112'!$M$9,G692,1)),"",IF((AND(FIND('112'!$M$9,G692,1)&gt;=1,$B692&gt;='112'!$N$8,$B692&lt;='112'!$O$8,OR($L692='112'!$I$6,$M692='112'!$I$6))),"x",""))</f>
        <v/>
      </c>
      <c r="S692" s="525" t="str">
        <f>IF(ISERROR(FIND('112'!$M$9,G692,1)),"",IF((AND(LEFT(G692,2)=LEFT('112'!$M$9,2),B692&lt;'112'!$N$8,$L692='112'!$I$6)),"x",""))</f>
        <v>x</v>
      </c>
      <c r="T692" s="525" t="str">
        <f>IF(ISERROR(FIND('112'!$M$9,G692,1)),"",IF((AND(RIGHT(G692,2)=RIGHT('112'!$M$9,2),B692&lt;'112'!$N$8,$M692='112'!$I$6)),"x",""))</f>
        <v/>
      </c>
      <c r="U692" s="525" t="str">
        <f>IF(AND(B692&gt;='IN-NX'!$P$3,B692&lt;='IN-NX'!$Q$3,'IN-NX'!$D$7=D692,OR(LEFT(L692,2)="15",AND(LEFT(M692,2)&lt;&gt;"15",LEFT(M692,2)&lt;&gt;"33"))),"x","")</f>
        <v/>
      </c>
      <c r="V692" s="525" t="str">
        <f>IF(AND(OR(LEFT(TH!L692,2)="15",LEFT(TH!M692,2)="15"),'152-CT'!$J$8=TH!F692),"x","")</f>
        <v/>
      </c>
      <c r="W692" s="525" t="str">
        <f>IF(AND(OR(LEFT(TH!L692,2)="15",LEFT(TH!M692,2)="15"),TK!$E$7=TH!F692),"x","")</f>
        <v/>
      </c>
      <c r="X692" s="525" t="str">
        <f>IF(AND('341-CT'!$E$9=H692,OR(LEFT(L692,3)=$X$7,LEFT(M692,3)=$X$7)),"x","")</f>
        <v/>
      </c>
      <c r="Y692" s="525" t="str">
        <f>IF(OR(TH!L692=TH!$Y$7,M692=TH!$Y$7),"x","")</f>
        <v/>
      </c>
      <c r="Z692" s="525" t="str">
        <f>IF(AND(B692&lt;=NKC!$N$8,B692&gt;=NKC!$M$8),"x","")</f>
        <v/>
      </c>
      <c r="AA692" s="535"/>
    </row>
    <row r="693" spans="1:28" s="503" customFormat="1" ht="15.75" customHeight="1">
      <c r="A693" s="517" t="str">
        <f>IF(B693&lt;&gt;"",IF(AND(B693&gt;=_TM1,B693&lt;=_TM2,OR(TH!L693="1111",TH!M693="1111")),TH!D693,""),"")</f>
        <v/>
      </c>
      <c r="B693" s="531">
        <f t="shared" si="79"/>
        <v>9</v>
      </c>
      <c r="C693" s="315">
        <f t="shared" si="80"/>
        <v>42998</v>
      </c>
      <c r="D693" s="315" t="s">
        <v>461</v>
      </c>
      <c r="E693" s="288">
        <v>42998</v>
      </c>
      <c r="F693" s="248" t="s">
        <v>457</v>
      </c>
      <c r="G693" s="314" t="s">
        <v>440</v>
      </c>
      <c r="H693" s="473" t="s">
        <v>284</v>
      </c>
      <c r="I693" s="307"/>
      <c r="J693" s="307"/>
      <c r="K693" s="532">
        <v>170191527</v>
      </c>
      <c r="L693" s="533" t="s">
        <v>24</v>
      </c>
      <c r="M693" s="533" t="s">
        <v>223</v>
      </c>
      <c r="N693" s="525" t="str">
        <f>IF(AND('331-CT'!$E$7=TH!H693,OR(L693="331",M693="331")),"331",IF(AND(OR(L693="131",M693="131"),H693='131-CT'!$E$7),"131",""))</f>
        <v/>
      </c>
      <c r="O693" s="525" t="str">
        <f>IF(AND($B693&gt;='111'!$N$11,$B693&lt;='111'!$O$11,OR($L693=$O$7,$M693=$O$7)),"x","")</f>
        <v/>
      </c>
      <c r="P693" s="525" t="str">
        <f>IF(AND($L693=$O$7,$B693&lt;'111'!$N$11),"x","")</f>
        <v/>
      </c>
      <c r="Q693" s="525" t="str">
        <f>IF(AND($M693=$O$7,$B693&lt;'111'!$N$11),"x","")</f>
        <v/>
      </c>
      <c r="R693" s="525" t="str">
        <f>IF(ISERROR(FIND('112'!$M$9,G693,1)),"",IF((AND(FIND('112'!$M$9,G693,1)&gt;=1,$B693&gt;='112'!$N$8,$B693&lt;='112'!$O$8,OR($L693='112'!$I$6,$M693='112'!$I$6))),"x",""))</f>
        <v/>
      </c>
      <c r="S693" s="525" t="str">
        <f>IF(ISERROR(FIND('112'!$M$9,G693,1)),"",IF((AND(LEFT(G693,2)=LEFT('112'!$M$9,2),B693&lt;'112'!$N$8,$L693='112'!$I$6)),"x",""))</f>
        <v>x</v>
      </c>
      <c r="T693" s="525" t="str">
        <f>IF(ISERROR(FIND('112'!$M$9,G693,1)),"",IF((AND(RIGHT(G693,2)=RIGHT('112'!$M$9,2),B693&lt;'112'!$N$8,$M693='112'!$I$6)),"x",""))</f>
        <v/>
      </c>
      <c r="U693" s="525" t="str">
        <f>IF(AND(B693&gt;='IN-NX'!$P$3,B693&lt;='IN-NX'!$Q$3,'IN-NX'!$D$7=D693,OR(LEFT(L693,2)="15",AND(LEFT(M693,2)&lt;&gt;"15",LEFT(M693,2)&lt;&gt;"33"))),"x","")</f>
        <v/>
      </c>
      <c r="V693" s="525" t="str">
        <f>IF(AND(OR(LEFT(TH!L693,2)="15",LEFT(TH!M693,2)="15"),'152-CT'!$J$8=TH!F693),"x","")</f>
        <v/>
      </c>
      <c r="W693" s="525" t="str">
        <f>IF(AND(OR(LEFT(TH!L693,2)="15",LEFT(TH!M693,2)="15"),TK!$E$7=TH!F693),"x","")</f>
        <v/>
      </c>
      <c r="X693" s="525" t="str">
        <f>IF(AND('341-CT'!$E$9=H693,OR(LEFT(L693,3)=$X$7,LEFT(M693,3)=$X$7)),"x","")</f>
        <v/>
      </c>
      <c r="Y693" s="525" t="str">
        <f>IF(OR(TH!L693=TH!$Y$7,M693=TH!$Y$7),"x","")</f>
        <v/>
      </c>
      <c r="Z693" s="525" t="str">
        <f>IF(AND(B693&lt;=NKC!$N$8,B693&gt;=NKC!$M$8),"x","")</f>
        <v/>
      </c>
      <c r="AA693" s="535"/>
      <c r="AB693" s="536"/>
    </row>
    <row r="694" spans="1:28" s="503" customFormat="1" ht="15.75" customHeight="1">
      <c r="A694" s="517" t="str">
        <f>IF(B694&lt;&gt;"",IF(AND(B694&gt;=_TM1,B694&lt;=_TM2,OR(TH!L694="1111",TH!M694="1111")),TH!D694,""),"")</f>
        <v/>
      </c>
      <c r="B694" s="531">
        <f t="shared" si="79"/>
        <v>9</v>
      </c>
      <c r="C694" s="315">
        <f t="shared" si="80"/>
        <v>42999</v>
      </c>
      <c r="D694" s="315" t="s">
        <v>461</v>
      </c>
      <c r="E694" s="288">
        <v>42999</v>
      </c>
      <c r="F694" s="248" t="s">
        <v>808</v>
      </c>
      <c r="G694" s="314" t="s">
        <v>440</v>
      </c>
      <c r="H694" s="621" t="s">
        <v>1724</v>
      </c>
      <c r="I694" s="307"/>
      <c r="J694" s="307"/>
      <c r="K694" s="532">
        <v>107600000</v>
      </c>
      <c r="L694" s="533" t="s">
        <v>24</v>
      </c>
      <c r="M694" s="533" t="s">
        <v>441</v>
      </c>
      <c r="N694" s="525" t="str">
        <f>IF(AND('331-CT'!$E$7=TH!H694,OR(L694="331",M694="331")),"331",IF(AND(OR(L694="131",M694="131"),H694='131-CT'!$E$7),"131",""))</f>
        <v/>
      </c>
      <c r="O694" s="525" t="str">
        <f>IF(AND($B694&gt;='111'!$N$11,$B694&lt;='111'!$O$11,OR($L694=$O$7,$M694=$O$7)),"x","")</f>
        <v/>
      </c>
      <c r="P694" s="525" t="str">
        <f>IF(AND($L694=$O$7,$B694&lt;'111'!$N$11),"x","")</f>
        <v/>
      </c>
      <c r="Q694" s="525" t="str">
        <f>IF(AND($M694=$O$7,$B694&lt;'111'!$N$11),"x","")</f>
        <v/>
      </c>
      <c r="R694" s="525" t="str">
        <f>IF(ISERROR(FIND('112'!$M$9,G694,1)),"",IF((AND(FIND('112'!$M$9,G694,1)&gt;=1,$B694&gt;='112'!$N$8,$B694&lt;='112'!$O$8,OR($L694='112'!$I$6,$M694='112'!$I$6))),"x",""))</f>
        <v/>
      </c>
      <c r="S694" s="525" t="str">
        <f>IF(ISERROR(FIND('112'!$M$9,G694,1)),"",IF((AND(LEFT(G694,2)=LEFT('112'!$M$9,2),B694&lt;'112'!$N$8,$L694='112'!$I$6)),"x",""))</f>
        <v>x</v>
      </c>
      <c r="T694" s="525" t="str">
        <f>IF(ISERROR(FIND('112'!$M$9,G694,1)),"",IF((AND(RIGHT(G694,2)=RIGHT('112'!$M$9,2),B694&lt;'112'!$N$8,$M694='112'!$I$6)),"x",""))</f>
        <v/>
      </c>
      <c r="U694" s="525" t="str">
        <f>IF(AND(B694&gt;='IN-NX'!$P$3,B694&lt;='IN-NX'!$Q$3,'IN-NX'!$D$7=D694,OR(LEFT(L694,2)="15",AND(LEFT(M694,2)&lt;&gt;"15",LEFT(M694,2)&lt;&gt;"33"))),"x","")</f>
        <v/>
      </c>
      <c r="V694" s="525" t="str">
        <f>IF(AND(OR(LEFT(TH!L694,2)="15",LEFT(TH!M694,2)="15"),'152-CT'!$J$8=TH!F694),"x","")</f>
        <v/>
      </c>
      <c r="W694" s="525" t="str">
        <f>IF(AND(OR(LEFT(TH!L694,2)="15",LEFT(TH!M694,2)="15"),TK!$E$7=TH!F694),"x","")</f>
        <v/>
      </c>
      <c r="X694" s="525" t="str">
        <f>IF(AND('341-CT'!$E$9=H694,OR(LEFT(L694,3)=$X$7,LEFT(M694,3)=$X$7)),"x","")</f>
        <v/>
      </c>
      <c r="Y694" s="525" t="str">
        <f>IF(OR(TH!L694=TH!$Y$7,M694=TH!$Y$7),"x","")</f>
        <v/>
      </c>
      <c r="Z694" s="525" t="str">
        <f>IF(AND(B694&lt;=NKC!$N$8,B694&gt;=NKC!$M$8),"x","")</f>
        <v/>
      </c>
      <c r="AA694" s="535"/>
    </row>
    <row r="695" spans="1:28" s="503" customFormat="1" ht="15.75" customHeight="1">
      <c r="A695" s="517" t="str">
        <f>IF(B695&lt;&gt;"",IF(AND(B695&gt;=_TM1,B695&lt;=_TM2,OR(TH!L695="1111",TH!M695="1111")),TH!D695,""),"")</f>
        <v/>
      </c>
      <c r="B695" s="531">
        <f t="shared" si="79"/>
        <v>9</v>
      </c>
      <c r="C695" s="315">
        <f t="shared" si="80"/>
        <v>43008</v>
      </c>
      <c r="D695" s="315" t="s">
        <v>461</v>
      </c>
      <c r="E695" s="288">
        <v>43008</v>
      </c>
      <c r="F695" s="248" t="s">
        <v>458</v>
      </c>
      <c r="G695" s="314" t="s">
        <v>440</v>
      </c>
      <c r="H695" s="472"/>
      <c r="I695" s="307"/>
      <c r="J695" s="307"/>
      <c r="K695" s="532">
        <v>515</v>
      </c>
      <c r="L695" s="533" t="s">
        <v>24</v>
      </c>
      <c r="M695" s="533" t="s">
        <v>38</v>
      </c>
      <c r="N695" s="525" t="str">
        <f>IF(AND('331-CT'!$E$7=TH!H695,OR(L695="331",M695="331")),"331",IF(AND(OR(L695="131",M695="131"),H695='131-CT'!$E$7),"131",""))</f>
        <v/>
      </c>
      <c r="O695" s="525" t="str">
        <f>IF(AND($B695&gt;='111'!$N$11,$B695&lt;='111'!$O$11,OR($L695=$O$7,$M695=$O$7)),"x","")</f>
        <v/>
      </c>
      <c r="P695" s="525" t="str">
        <f>IF(AND($L695=$O$7,$B695&lt;'111'!$N$11),"x","")</f>
        <v/>
      </c>
      <c r="Q695" s="525" t="str">
        <f>IF(AND($M695=$O$7,$B695&lt;'111'!$N$11),"x","")</f>
        <v/>
      </c>
      <c r="R695" s="525" t="str">
        <f>IF(ISERROR(FIND('112'!$M$9,G695,1)),"",IF((AND(FIND('112'!$M$9,G695,1)&gt;=1,$B695&gt;='112'!$N$8,$B695&lt;='112'!$O$8,OR($L695='112'!$I$6,$M695='112'!$I$6))),"x",""))</f>
        <v/>
      </c>
      <c r="S695" s="525" t="str">
        <f>IF(ISERROR(FIND('112'!$M$9,G695,1)),"",IF((AND(LEFT(G695,2)=LEFT('112'!$M$9,2),B695&lt;'112'!$N$8,$L695='112'!$I$6)),"x",""))</f>
        <v>x</v>
      </c>
      <c r="T695" s="525" t="str">
        <f>IF(ISERROR(FIND('112'!$M$9,G695,1)),"",IF((AND(RIGHT(G695,2)=RIGHT('112'!$M$9,2),B695&lt;'112'!$N$8,$M695='112'!$I$6)),"x",""))</f>
        <v/>
      </c>
      <c r="U695" s="525" t="str">
        <f>IF(AND(B695&gt;='IN-NX'!$P$3,B695&lt;='IN-NX'!$Q$3,'IN-NX'!$D$7=D695,OR(LEFT(L695,2)="15",AND(LEFT(M695,2)&lt;&gt;"15",LEFT(M695,2)&lt;&gt;"33"))),"x","")</f>
        <v/>
      </c>
      <c r="V695" s="525" t="str">
        <f>IF(AND(OR(LEFT(TH!L695,2)="15",LEFT(TH!M695,2)="15"),'152-CT'!$J$8=TH!F695),"x","")</f>
        <v/>
      </c>
      <c r="W695" s="525" t="str">
        <f>IF(AND(OR(LEFT(TH!L695,2)="15",LEFT(TH!M695,2)="15"),TK!$E$7=TH!F695),"x","")</f>
        <v/>
      </c>
      <c r="X695" s="525" t="str">
        <f>IF(AND('341-CT'!$E$9=H695,OR(LEFT(L695,3)=$X$7,LEFT(M695,3)=$X$7)),"x","")</f>
        <v/>
      </c>
      <c r="Y695" s="525" t="str">
        <f>IF(OR(TH!L695=TH!$Y$7,M695=TH!$Y$7),"x","")</f>
        <v/>
      </c>
      <c r="Z695" s="525" t="str">
        <f>IF(AND(B695&lt;=NKC!$N$8,B695&gt;=NKC!$M$8),"x","")</f>
        <v/>
      </c>
      <c r="AA695" s="535"/>
      <c r="AB695" s="536"/>
    </row>
    <row r="696" spans="1:28" s="503" customFormat="1" ht="15.75" customHeight="1">
      <c r="A696" s="517" t="str">
        <f>IF(B696&lt;&gt;"",IF(AND(B696&gt;=_TM1,B696&lt;=_TM2,OR(TH!L696="1111",TH!M696="1111")),TH!D696,""),"")</f>
        <v/>
      </c>
      <c r="B696" s="531">
        <f t="shared" ref="B696:B742" si="81">IF(C696&lt;&gt;"",MONTH(C696),"")</f>
        <v>8</v>
      </c>
      <c r="C696" s="315">
        <f t="shared" ref="C696:C742" si="82">E696</f>
        <v>42958</v>
      </c>
      <c r="D696" s="315" t="s">
        <v>461</v>
      </c>
      <c r="E696" s="288">
        <v>42958</v>
      </c>
      <c r="F696" s="249" t="s">
        <v>827</v>
      </c>
      <c r="G696" s="314" t="s">
        <v>440</v>
      </c>
      <c r="H696" s="473" t="s">
        <v>460</v>
      </c>
      <c r="I696" s="307"/>
      <c r="J696" s="307"/>
      <c r="K696" s="532">
        <v>20000000</v>
      </c>
      <c r="L696" s="533" t="s">
        <v>45</v>
      </c>
      <c r="M696" s="533" t="s">
        <v>24</v>
      </c>
      <c r="N696" s="525" t="str">
        <f>IF(AND('331-CT'!$E$7=TH!H696,OR(L696="331",M696="331")),"331",IF(AND(OR(L696="131",M696="131"),H696='131-CT'!$E$7),"131",""))</f>
        <v/>
      </c>
      <c r="O696" s="525" t="str">
        <f>IF(AND($B696&gt;='111'!$N$11,$B696&lt;='111'!$O$11,OR($L696=$O$7,$M696=$O$7)),"x","")</f>
        <v/>
      </c>
      <c r="P696" s="525" t="str">
        <f>IF(AND($L696=$O$7,$B696&lt;'111'!$N$11),"x","")</f>
        <v>x</v>
      </c>
      <c r="Q696" s="525" t="str">
        <f>IF(AND($M696=$O$7,$B696&lt;'111'!$N$11),"x","")</f>
        <v/>
      </c>
      <c r="R696" s="525" t="str">
        <f>IF(ISERROR(FIND('112'!$M$9,G696,1)),"",IF((AND(FIND('112'!$M$9,G696,1)&gt;=1,$B696&gt;='112'!$N$8,$B696&lt;='112'!$O$8,OR($L696='112'!$I$6,$M696='112'!$I$6))),"x",""))</f>
        <v/>
      </c>
      <c r="S696" s="525" t="str">
        <f>IF(ISERROR(FIND('112'!$M$9,G696,1)),"",IF((AND(LEFT(G696,2)=LEFT('112'!$M$9,2),B696&lt;'112'!$N$8,$L696='112'!$I$6)),"x",""))</f>
        <v/>
      </c>
      <c r="T696" s="525" t="str">
        <f>IF(ISERROR(FIND('112'!$M$9,G696,1)),"",IF((AND(RIGHT(G696,2)=RIGHT('112'!$M$9,2),B696&lt;'112'!$N$8,$M696='112'!$I$6)),"x",""))</f>
        <v>x</v>
      </c>
      <c r="U696" s="525" t="str">
        <f>IF(AND(B696&gt;='IN-NX'!$P$3,B696&lt;='IN-NX'!$Q$3,'IN-NX'!$D$7=D696,OR(LEFT(L696,2)="15",AND(LEFT(M696,2)&lt;&gt;"15",LEFT(M696,2)&lt;&gt;"33"))),"x","")</f>
        <v/>
      </c>
      <c r="V696" s="525" t="str">
        <f>IF(AND(OR(LEFT(TH!L696,2)="15",LEFT(TH!M696,2)="15"),'152-CT'!$J$8=TH!F696),"x","")</f>
        <v/>
      </c>
      <c r="W696" s="525" t="str">
        <f>IF(AND(OR(LEFT(TH!L696,2)="15",LEFT(TH!M696,2)="15"),TK!$E$7=TH!F696),"x","")</f>
        <v/>
      </c>
      <c r="X696" s="525" t="str">
        <f>IF(AND('341-CT'!$E$9=H696,OR(LEFT(L696,3)=$X$7,LEFT(M696,3)=$X$7)),"x","")</f>
        <v/>
      </c>
      <c r="Y696" s="525" t="str">
        <f>IF(OR(TH!L696=TH!$Y$7,M696=TH!$Y$7),"x","")</f>
        <v/>
      </c>
      <c r="Z696" s="525" t="str">
        <f>IF(AND(B696&lt;=NKC!$N$8,B696&gt;=NKC!$M$8),"x","")</f>
        <v/>
      </c>
      <c r="AA696" s="535"/>
    </row>
    <row r="697" spans="1:28" s="503" customFormat="1" ht="15.75" customHeight="1">
      <c r="A697" s="517" t="str">
        <f>IF(B697&lt;&gt;"",IF(AND(B697&gt;=_TM1,B697&lt;=_TM2,OR(TH!L697="1111",TH!M697="1111")),TH!D697,""),"")</f>
        <v/>
      </c>
      <c r="B697" s="531">
        <f t="shared" si="81"/>
        <v>8</v>
      </c>
      <c r="C697" s="315">
        <f t="shared" si="82"/>
        <v>42958</v>
      </c>
      <c r="D697" s="315" t="s">
        <v>461</v>
      </c>
      <c r="E697" s="288">
        <v>42958</v>
      </c>
      <c r="F697" s="248" t="s">
        <v>1280</v>
      </c>
      <c r="G697" s="314" t="s">
        <v>440</v>
      </c>
      <c r="H697" s="472"/>
      <c r="I697" s="307"/>
      <c r="J697" s="307"/>
      <c r="K697" s="532">
        <v>40000</v>
      </c>
      <c r="L697" s="533" t="s">
        <v>81</v>
      </c>
      <c r="M697" s="533" t="s">
        <v>24</v>
      </c>
      <c r="N697" s="525" t="str">
        <f>IF(AND('331-CT'!$E$7=TH!H697,OR(L697="331",M697="331")),"331",IF(AND(OR(L697="131",M697="131"),H697='131-CT'!$E$7),"131",""))</f>
        <v/>
      </c>
      <c r="O697" s="525" t="str">
        <f>IF(AND($B697&gt;='111'!$N$11,$B697&lt;='111'!$O$11,OR($L697=$O$7,$M697=$O$7)),"x","")</f>
        <v/>
      </c>
      <c r="P697" s="525" t="str">
        <f>IF(AND($L697=$O$7,$B697&lt;'111'!$N$11),"x","")</f>
        <v/>
      </c>
      <c r="Q697" s="525" t="str">
        <f>IF(AND($M697=$O$7,$B697&lt;'111'!$N$11),"x","")</f>
        <v/>
      </c>
      <c r="R697" s="525" t="str">
        <f>IF(ISERROR(FIND('112'!$M$9,G697,1)),"",IF((AND(FIND('112'!$M$9,G697,1)&gt;=1,$B697&gt;='112'!$N$8,$B697&lt;='112'!$O$8,OR($L697='112'!$I$6,$M697='112'!$I$6))),"x",""))</f>
        <v/>
      </c>
      <c r="S697" s="525" t="str">
        <f>IF(ISERROR(FIND('112'!$M$9,G697,1)),"",IF((AND(LEFT(G697,2)=LEFT('112'!$M$9,2),B697&lt;'112'!$N$8,$L697='112'!$I$6)),"x",""))</f>
        <v/>
      </c>
      <c r="T697" s="525" t="str">
        <f>IF(ISERROR(FIND('112'!$M$9,G697,1)),"",IF((AND(RIGHT(G697,2)=RIGHT('112'!$M$9,2),B697&lt;'112'!$N$8,$M697='112'!$I$6)),"x",""))</f>
        <v>x</v>
      </c>
      <c r="U697" s="525" t="str">
        <f>IF(AND(B697&gt;='IN-NX'!$P$3,B697&lt;='IN-NX'!$Q$3,'IN-NX'!$D$7=D697,OR(LEFT(L697,2)="15",AND(LEFT(M697,2)&lt;&gt;"15",LEFT(M697,2)&lt;&gt;"33"))),"x","")</f>
        <v/>
      </c>
      <c r="V697" s="525" t="str">
        <f>IF(AND(OR(LEFT(TH!L697,2)="15",LEFT(TH!M697,2)="15"),'152-CT'!$J$8=TH!F697),"x","")</f>
        <v/>
      </c>
      <c r="W697" s="525" t="str">
        <f>IF(AND(OR(LEFT(TH!L697,2)="15",LEFT(TH!M697,2)="15"),TK!$E$7=TH!F697),"x","")</f>
        <v/>
      </c>
      <c r="X697" s="525" t="str">
        <f>IF(AND('341-CT'!$E$9=H697,OR(LEFT(L697,3)=$X$7,LEFT(M697,3)=$X$7)),"x","")</f>
        <v/>
      </c>
      <c r="Y697" s="525" t="str">
        <f>IF(OR(TH!L697=TH!$Y$7,M697=TH!$Y$7),"x","")</f>
        <v/>
      </c>
      <c r="Z697" s="525" t="str">
        <f>IF(AND(B697&lt;=NKC!$N$8,B697&gt;=NKC!$M$8),"x","")</f>
        <v/>
      </c>
      <c r="AA697" s="535">
        <v>3</v>
      </c>
    </row>
    <row r="698" spans="1:28" s="503" customFormat="1" ht="15.75" customHeight="1">
      <c r="A698" s="517" t="str">
        <f>IF(B698&lt;&gt;"",IF(AND(B698&gt;=_TM1,B698&lt;=_TM2,OR(TH!L698="1111",TH!M698="1111")),TH!D698,""),"")</f>
        <v/>
      </c>
      <c r="B698" s="531">
        <f t="shared" si="81"/>
        <v>8</v>
      </c>
      <c r="C698" s="315">
        <f t="shared" si="82"/>
        <v>42958</v>
      </c>
      <c r="D698" s="315" t="s">
        <v>461</v>
      </c>
      <c r="E698" s="288">
        <v>42958</v>
      </c>
      <c r="F698" s="248" t="s">
        <v>1281</v>
      </c>
      <c r="G698" s="314" t="s">
        <v>440</v>
      </c>
      <c r="H698" s="472"/>
      <c r="I698" s="307"/>
      <c r="J698" s="307"/>
      <c r="K698" s="532">
        <v>4000</v>
      </c>
      <c r="L698" s="533" t="s">
        <v>9</v>
      </c>
      <c r="M698" s="533" t="s">
        <v>24</v>
      </c>
      <c r="N698" s="525" t="str">
        <f>IF(AND('331-CT'!$E$7=TH!H698,OR(L698="331",M698="331")),"331",IF(AND(OR(L698="131",M698="131"),H698='131-CT'!$E$7),"131",""))</f>
        <v/>
      </c>
      <c r="O698" s="525" t="str">
        <f>IF(AND($B698&gt;='111'!$N$11,$B698&lt;='111'!$O$11,OR($L698=$O$7,$M698=$O$7)),"x","")</f>
        <v/>
      </c>
      <c r="P698" s="525" t="str">
        <f>IF(AND($L698=$O$7,$B698&lt;'111'!$N$11),"x","")</f>
        <v/>
      </c>
      <c r="Q698" s="525" t="str">
        <f>IF(AND($M698=$O$7,$B698&lt;'111'!$N$11),"x","")</f>
        <v/>
      </c>
      <c r="R698" s="525" t="str">
        <f>IF(ISERROR(FIND('112'!$M$9,G698,1)),"",IF((AND(FIND('112'!$M$9,G698,1)&gt;=1,$B698&gt;='112'!$N$8,$B698&lt;='112'!$O$8,OR($L698='112'!$I$6,$M698='112'!$I$6))),"x",""))</f>
        <v/>
      </c>
      <c r="S698" s="525" t="str">
        <f>IF(ISERROR(FIND('112'!$M$9,G698,1)),"",IF((AND(LEFT(G698,2)=LEFT('112'!$M$9,2),B698&lt;'112'!$N$8,$L698='112'!$I$6)),"x",""))</f>
        <v/>
      </c>
      <c r="T698" s="525" t="str">
        <f>IF(ISERROR(FIND('112'!$M$9,G698,1)),"",IF((AND(RIGHT(G698,2)=RIGHT('112'!$M$9,2),B698&lt;'112'!$N$8,$M698='112'!$I$6)),"x",""))</f>
        <v>x</v>
      </c>
      <c r="U698" s="525" t="str">
        <f>IF(AND(B698&gt;='IN-NX'!$P$3,B698&lt;='IN-NX'!$Q$3,'IN-NX'!$D$7=D698,OR(LEFT(L698,2)="15",AND(LEFT(M698,2)&lt;&gt;"15",LEFT(M698,2)&lt;&gt;"33"))),"x","")</f>
        <v/>
      </c>
      <c r="V698" s="525" t="str">
        <f>IF(AND(OR(LEFT(TH!L698,2)="15",LEFT(TH!M698,2)="15"),'152-CT'!$J$8=TH!F698),"x","")</f>
        <v/>
      </c>
      <c r="W698" s="525" t="str">
        <f>IF(AND(OR(LEFT(TH!L698,2)="15",LEFT(TH!M698,2)="15"),TK!$E$7=TH!F698),"x","")</f>
        <v/>
      </c>
      <c r="X698" s="525" t="str">
        <f>IF(AND('341-CT'!$E$9=H698,OR(LEFT(L698,3)=$X$7,LEFT(M698,3)=$X$7)),"x","")</f>
        <v/>
      </c>
      <c r="Y698" s="525" t="str">
        <f>IF(OR(TH!L698=TH!$Y$7,M698=TH!$Y$7),"x","")</f>
        <v/>
      </c>
      <c r="Z698" s="525" t="str">
        <f>IF(AND(B698&lt;=NKC!$N$8,B698&gt;=NKC!$M$8),"x","")</f>
        <v/>
      </c>
      <c r="AA698" s="535">
        <v>3</v>
      </c>
      <c r="AB698" s="536"/>
    </row>
    <row r="699" spans="1:28" s="503" customFormat="1" ht="15.75" customHeight="1">
      <c r="A699" s="517" t="str">
        <f>IF(B699&lt;&gt;"",IF(AND(B699&gt;=_TM1,B699&lt;=_TM2,OR(TH!L699="1111",TH!M699="1111")),TH!D699,""),"")</f>
        <v/>
      </c>
      <c r="B699" s="531">
        <f t="shared" si="81"/>
        <v>8</v>
      </c>
      <c r="C699" s="315">
        <f t="shared" si="82"/>
        <v>42958</v>
      </c>
      <c r="D699" s="315" t="s">
        <v>461</v>
      </c>
      <c r="E699" s="288">
        <v>42958</v>
      </c>
      <c r="F699" s="249" t="s">
        <v>827</v>
      </c>
      <c r="G699" s="314" t="s">
        <v>440</v>
      </c>
      <c r="H699" s="473" t="s">
        <v>460</v>
      </c>
      <c r="I699" s="307"/>
      <c r="J699" s="307"/>
      <c r="K699" s="532">
        <v>3700000</v>
      </c>
      <c r="L699" s="533" t="s">
        <v>45</v>
      </c>
      <c r="M699" s="533" t="s">
        <v>24</v>
      </c>
      <c r="N699" s="525" t="str">
        <f>IF(AND('331-CT'!$E$7=TH!H699,OR(L699="331",M699="331")),"331",IF(AND(OR(L699="131",M699="131"),H699='131-CT'!$E$7),"131",""))</f>
        <v/>
      </c>
      <c r="O699" s="525" t="str">
        <f>IF(AND($B699&gt;='111'!$N$11,$B699&lt;='111'!$O$11,OR($L699=$O$7,$M699=$O$7)),"x","")</f>
        <v/>
      </c>
      <c r="P699" s="525" t="str">
        <f>IF(AND($L699=$O$7,$B699&lt;'111'!$N$11),"x","")</f>
        <v>x</v>
      </c>
      <c r="Q699" s="525" t="str">
        <f>IF(AND($M699=$O$7,$B699&lt;'111'!$N$11),"x","")</f>
        <v/>
      </c>
      <c r="R699" s="525" t="str">
        <f>IF(ISERROR(FIND('112'!$M$9,G699,1)),"",IF((AND(FIND('112'!$M$9,G699,1)&gt;=1,$B699&gt;='112'!$N$8,$B699&lt;='112'!$O$8,OR($L699='112'!$I$6,$M699='112'!$I$6))),"x",""))</f>
        <v/>
      </c>
      <c r="S699" s="525" t="str">
        <f>IF(ISERROR(FIND('112'!$M$9,G699,1)),"",IF((AND(LEFT(G699,2)=LEFT('112'!$M$9,2),B699&lt;'112'!$N$8,$L699='112'!$I$6)),"x",""))</f>
        <v/>
      </c>
      <c r="T699" s="525" t="str">
        <f>IF(ISERROR(FIND('112'!$M$9,G699,1)),"",IF((AND(RIGHT(G699,2)=RIGHT('112'!$M$9,2),B699&lt;'112'!$N$8,$M699='112'!$I$6)),"x",""))</f>
        <v>x</v>
      </c>
      <c r="U699" s="525" t="str">
        <f>IF(AND(B699&gt;='IN-NX'!$P$3,B699&lt;='IN-NX'!$Q$3,'IN-NX'!$D$7=D699,OR(LEFT(L699,2)="15",AND(LEFT(M699,2)&lt;&gt;"15",LEFT(M699,2)&lt;&gt;"33"))),"x","")</f>
        <v/>
      </c>
      <c r="V699" s="525" t="str">
        <f>IF(AND(OR(LEFT(TH!L699,2)="15",LEFT(TH!M699,2)="15"),'152-CT'!$J$8=TH!F699),"x","")</f>
        <v/>
      </c>
      <c r="W699" s="525" t="str">
        <f>IF(AND(OR(LEFT(TH!L699,2)="15",LEFT(TH!M699,2)="15"),TK!$E$7=TH!F699),"x","")</f>
        <v/>
      </c>
      <c r="X699" s="525" t="str">
        <f>IF(AND('341-CT'!$E$9=H699,OR(LEFT(L699,3)=$X$7,LEFT(M699,3)=$X$7)),"x","")</f>
        <v/>
      </c>
      <c r="Y699" s="525" t="str">
        <f>IF(OR(TH!L699=TH!$Y$7,M699=TH!$Y$7),"x","")</f>
        <v/>
      </c>
      <c r="Z699" s="525" t="str">
        <f>IF(AND(B699&lt;=NKC!$N$8,B699&gt;=NKC!$M$8),"x","")</f>
        <v/>
      </c>
      <c r="AA699" s="535"/>
    </row>
    <row r="700" spans="1:28" s="503" customFormat="1" ht="15.75" customHeight="1">
      <c r="A700" s="517" t="str">
        <f>IF(B700&lt;&gt;"",IF(AND(B700&gt;=_TM1,B700&lt;=_TM2,OR(TH!L700="1111",TH!M700="1111")),TH!D700,""),"")</f>
        <v/>
      </c>
      <c r="B700" s="531">
        <f t="shared" si="81"/>
        <v>8</v>
      </c>
      <c r="C700" s="315">
        <f t="shared" si="82"/>
        <v>42958</v>
      </c>
      <c r="D700" s="315" t="s">
        <v>461</v>
      </c>
      <c r="E700" s="288">
        <v>42958</v>
      </c>
      <c r="F700" s="248" t="s">
        <v>1280</v>
      </c>
      <c r="G700" s="314" t="s">
        <v>440</v>
      </c>
      <c r="H700" s="472"/>
      <c r="I700" s="307"/>
      <c r="J700" s="307"/>
      <c r="K700" s="532">
        <v>10000</v>
      </c>
      <c r="L700" s="533" t="s">
        <v>81</v>
      </c>
      <c r="M700" s="533" t="s">
        <v>24</v>
      </c>
      <c r="N700" s="525" t="str">
        <f>IF(AND('331-CT'!$E$7=TH!H700,OR(L700="331",M700="331")),"331",IF(AND(OR(L700="131",M700="131"),H700='131-CT'!$E$7),"131",""))</f>
        <v/>
      </c>
      <c r="O700" s="525" t="str">
        <f>IF(AND($B700&gt;='111'!$N$11,$B700&lt;='111'!$O$11,OR($L700=$O$7,$M700=$O$7)),"x","")</f>
        <v/>
      </c>
      <c r="P700" s="525" t="str">
        <f>IF(AND($L700=$O$7,$B700&lt;'111'!$N$11),"x","")</f>
        <v/>
      </c>
      <c r="Q700" s="525" t="str">
        <f>IF(AND($M700=$O$7,$B700&lt;'111'!$N$11),"x","")</f>
        <v/>
      </c>
      <c r="R700" s="525" t="str">
        <f>IF(ISERROR(FIND('112'!$M$9,G700,1)),"",IF((AND(FIND('112'!$M$9,G700,1)&gt;=1,$B700&gt;='112'!$N$8,$B700&lt;='112'!$O$8,OR($L700='112'!$I$6,$M700='112'!$I$6))),"x",""))</f>
        <v/>
      </c>
      <c r="S700" s="525" t="str">
        <f>IF(ISERROR(FIND('112'!$M$9,G700,1)),"",IF((AND(LEFT(G700,2)=LEFT('112'!$M$9,2),B700&lt;'112'!$N$8,$L700='112'!$I$6)),"x",""))</f>
        <v/>
      </c>
      <c r="T700" s="525" t="str">
        <f>IF(ISERROR(FIND('112'!$M$9,G700,1)),"",IF((AND(RIGHT(G700,2)=RIGHT('112'!$M$9,2),B700&lt;'112'!$N$8,$M700='112'!$I$6)),"x",""))</f>
        <v>x</v>
      </c>
      <c r="U700" s="525" t="str">
        <f>IF(AND(B700&gt;='IN-NX'!$P$3,B700&lt;='IN-NX'!$Q$3,'IN-NX'!$D$7=D700,OR(LEFT(L700,2)="15",AND(LEFT(M700,2)&lt;&gt;"15",LEFT(M700,2)&lt;&gt;"33"))),"x","")</f>
        <v/>
      </c>
      <c r="V700" s="525" t="str">
        <f>IF(AND(OR(LEFT(TH!L700,2)="15",LEFT(TH!M700,2)="15"),'152-CT'!$J$8=TH!F700),"x","")</f>
        <v/>
      </c>
      <c r="W700" s="525" t="str">
        <f>IF(AND(OR(LEFT(TH!L700,2)="15",LEFT(TH!M700,2)="15"),TK!$E$7=TH!F700),"x","")</f>
        <v/>
      </c>
      <c r="X700" s="525" t="str">
        <f>IF(AND('341-CT'!$E$9=H700,OR(LEFT(L700,3)=$X$7,LEFT(M700,3)=$X$7)),"x","")</f>
        <v/>
      </c>
      <c r="Y700" s="525" t="str">
        <f>IF(OR(TH!L700=TH!$Y$7,M700=TH!$Y$7),"x","")</f>
        <v/>
      </c>
      <c r="Z700" s="525" t="str">
        <f>IF(AND(B700&lt;=NKC!$N$8,B700&gt;=NKC!$M$8),"x","")</f>
        <v/>
      </c>
      <c r="AA700" s="535">
        <v>3</v>
      </c>
    </row>
    <row r="701" spans="1:28" s="503" customFormat="1" ht="15.75" customHeight="1">
      <c r="A701" s="517" t="str">
        <f>IF(B701&lt;&gt;"",IF(AND(B701&gt;=_TM1,B701&lt;=_TM2,OR(TH!L701="1111",TH!M701="1111")),TH!D701,""),"")</f>
        <v/>
      </c>
      <c r="B701" s="531">
        <f t="shared" si="81"/>
        <v>8</v>
      </c>
      <c r="C701" s="315">
        <f t="shared" si="82"/>
        <v>42958</v>
      </c>
      <c r="D701" s="315" t="s">
        <v>461</v>
      </c>
      <c r="E701" s="288">
        <v>42958</v>
      </c>
      <c r="F701" s="248" t="s">
        <v>1281</v>
      </c>
      <c r="G701" s="314" t="s">
        <v>440</v>
      </c>
      <c r="H701" s="472"/>
      <c r="I701" s="307"/>
      <c r="J701" s="307"/>
      <c r="K701" s="532">
        <v>1000</v>
      </c>
      <c r="L701" s="533" t="s">
        <v>9</v>
      </c>
      <c r="M701" s="533" t="s">
        <v>24</v>
      </c>
      <c r="N701" s="525" t="str">
        <f>IF(AND('331-CT'!$E$7=TH!H701,OR(L701="331",M701="331")),"331",IF(AND(OR(L701="131",M701="131"),H701='131-CT'!$E$7),"131",""))</f>
        <v/>
      </c>
      <c r="O701" s="525" t="str">
        <f>IF(AND($B701&gt;='111'!$N$11,$B701&lt;='111'!$O$11,OR($L701=$O$7,$M701=$O$7)),"x","")</f>
        <v/>
      </c>
      <c r="P701" s="525" t="str">
        <f>IF(AND($L701=$O$7,$B701&lt;'111'!$N$11),"x","")</f>
        <v/>
      </c>
      <c r="Q701" s="525" t="str">
        <f>IF(AND($M701=$O$7,$B701&lt;'111'!$N$11),"x","")</f>
        <v/>
      </c>
      <c r="R701" s="525" t="str">
        <f>IF(ISERROR(FIND('112'!$M$9,G701,1)),"",IF((AND(FIND('112'!$M$9,G701,1)&gt;=1,$B701&gt;='112'!$N$8,$B701&lt;='112'!$O$8,OR($L701='112'!$I$6,$M701='112'!$I$6))),"x",""))</f>
        <v/>
      </c>
      <c r="S701" s="525" t="str">
        <f>IF(ISERROR(FIND('112'!$M$9,G701,1)),"",IF((AND(LEFT(G701,2)=LEFT('112'!$M$9,2),B701&lt;'112'!$N$8,$L701='112'!$I$6)),"x",""))</f>
        <v/>
      </c>
      <c r="T701" s="525" t="str">
        <f>IF(ISERROR(FIND('112'!$M$9,G701,1)),"",IF((AND(RIGHT(G701,2)=RIGHT('112'!$M$9,2),B701&lt;'112'!$N$8,$M701='112'!$I$6)),"x",""))</f>
        <v>x</v>
      </c>
      <c r="U701" s="525" t="str">
        <f>IF(AND(B701&gt;='IN-NX'!$P$3,B701&lt;='IN-NX'!$Q$3,'IN-NX'!$D$7=D701,OR(LEFT(L701,2)="15",AND(LEFT(M701,2)&lt;&gt;"15",LEFT(M701,2)&lt;&gt;"33"))),"x","")</f>
        <v/>
      </c>
      <c r="V701" s="525" t="str">
        <f>IF(AND(OR(LEFT(TH!L701,2)="15",LEFT(TH!M701,2)="15"),'152-CT'!$J$8=TH!F701),"x","")</f>
        <v/>
      </c>
      <c r="W701" s="525" t="str">
        <f>IF(AND(OR(LEFT(TH!L701,2)="15",LEFT(TH!M701,2)="15"),TK!$E$7=TH!F701),"x","")</f>
        <v/>
      </c>
      <c r="X701" s="525" t="str">
        <f>IF(AND('341-CT'!$E$9=H701,OR(LEFT(L701,3)=$X$7,LEFT(M701,3)=$X$7)),"x","")</f>
        <v/>
      </c>
      <c r="Y701" s="525" t="str">
        <f>IF(OR(TH!L701=TH!$Y$7,M701=TH!$Y$7),"x","")</f>
        <v/>
      </c>
      <c r="Z701" s="525" t="str">
        <f>IF(AND(B701&lt;=NKC!$N$8,B701&gt;=NKC!$M$8),"x","")</f>
        <v/>
      </c>
      <c r="AA701" s="535">
        <v>3</v>
      </c>
      <c r="AB701" s="536"/>
    </row>
    <row r="702" spans="1:28" s="503" customFormat="1" ht="15.75" customHeight="1">
      <c r="A702" s="517" t="str">
        <f>IF(B702&lt;&gt;"",IF(AND(B702&gt;=_TM1,B702&lt;=_TM2,OR(TH!L702="1111",TH!M702="1111")),TH!D702,""),"")</f>
        <v/>
      </c>
      <c r="B702" s="531">
        <f t="shared" si="81"/>
        <v>8</v>
      </c>
      <c r="C702" s="315">
        <f t="shared" si="82"/>
        <v>42958</v>
      </c>
      <c r="D702" s="315" t="s">
        <v>461</v>
      </c>
      <c r="E702" s="288">
        <v>42958</v>
      </c>
      <c r="F702" s="249" t="s">
        <v>827</v>
      </c>
      <c r="G702" s="314" t="s">
        <v>440</v>
      </c>
      <c r="H702" s="473" t="s">
        <v>460</v>
      </c>
      <c r="I702" s="307"/>
      <c r="J702" s="307"/>
      <c r="K702" s="532">
        <v>4400000</v>
      </c>
      <c r="L702" s="533" t="s">
        <v>45</v>
      </c>
      <c r="M702" s="533" t="s">
        <v>24</v>
      </c>
      <c r="N702" s="525" t="str">
        <f>IF(AND('331-CT'!$E$7=TH!H702,OR(L702="331",M702="331")),"331",IF(AND(OR(L702="131",M702="131"),H702='131-CT'!$E$7),"131",""))</f>
        <v/>
      </c>
      <c r="O702" s="525" t="str">
        <f>IF(AND($B702&gt;='111'!$N$11,$B702&lt;='111'!$O$11,OR($L702=$O$7,$M702=$O$7)),"x","")</f>
        <v/>
      </c>
      <c r="P702" s="525" t="str">
        <f>IF(AND($L702=$O$7,$B702&lt;'111'!$N$11),"x","")</f>
        <v>x</v>
      </c>
      <c r="Q702" s="525" t="str">
        <f>IF(AND($M702=$O$7,$B702&lt;'111'!$N$11),"x","")</f>
        <v/>
      </c>
      <c r="R702" s="525" t="str">
        <f>IF(ISERROR(FIND('112'!$M$9,G702,1)),"",IF((AND(FIND('112'!$M$9,G702,1)&gt;=1,$B702&gt;='112'!$N$8,$B702&lt;='112'!$O$8,OR($L702='112'!$I$6,$M702='112'!$I$6))),"x",""))</f>
        <v/>
      </c>
      <c r="S702" s="525" t="str">
        <f>IF(ISERROR(FIND('112'!$M$9,G702,1)),"",IF((AND(LEFT(G702,2)=LEFT('112'!$M$9,2),B702&lt;'112'!$N$8,$L702='112'!$I$6)),"x",""))</f>
        <v/>
      </c>
      <c r="T702" s="525" t="str">
        <f>IF(ISERROR(FIND('112'!$M$9,G702,1)),"",IF((AND(RIGHT(G702,2)=RIGHT('112'!$M$9,2),B702&lt;'112'!$N$8,$M702='112'!$I$6)),"x",""))</f>
        <v>x</v>
      </c>
      <c r="U702" s="525" t="str">
        <f>IF(AND(B702&gt;='IN-NX'!$P$3,B702&lt;='IN-NX'!$Q$3,'IN-NX'!$D$7=D702,OR(LEFT(L702,2)="15",AND(LEFT(M702,2)&lt;&gt;"15",LEFT(M702,2)&lt;&gt;"33"))),"x","")</f>
        <v/>
      </c>
      <c r="V702" s="525" t="str">
        <f>IF(AND(OR(LEFT(TH!L702,2)="15",LEFT(TH!M702,2)="15"),'152-CT'!$J$8=TH!F702),"x","")</f>
        <v/>
      </c>
      <c r="W702" s="525" t="str">
        <f>IF(AND(OR(LEFT(TH!L702,2)="15",LEFT(TH!M702,2)="15"),TK!$E$7=TH!F702),"x","")</f>
        <v/>
      </c>
      <c r="X702" s="525" t="str">
        <f>IF(AND('341-CT'!$E$9=H702,OR(LEFT(L702,3)=$X$7,LEFT(M702,3)=$X$7)),"x","")</f>
        <v/>
      </c>
      <c r="Y702" s="525" t="str">
        <f>IF(OR(TH!L702=TH!$Y$7,M702=TH!$Y$7),"x","")</f>
        <v/>
      </c>
      <c r="Z702" s="525" t="str">
        <f>IF(AND(B702&lt;=NKC!$N$8,B702&gt;=NKC!$M$8),"x","")</f>
        <v/>
      </c>
      <c r="AA702" s="535"/>
    </row>
    <row r="703" spans="1:28" s="503" customFormat="1" ht="15.75" customHeight="1">
      <c r="A703" s="517" t="str">
        <f>IF(B703&lt;&gt;"",IF(AND(B703&gt;=_TM1,B703&lt;=_TM2,OR(TH!L703="1111",TH!M703="1111")),TH!D703,""),"")</f>
        <v/>
      </c>
      <c r="B703" s="531">
        <f t="shared" si="81"/>
        <v>8</v>
      </c>
      <c r="C703" s="315">
        <f t="shared" si="82"/>
        <v>42958</v>
      </c>
      <c r="D703" s="315" t="s">
        <v>461</v>
      </c>
      <c r="E703" s="288">
        <v>42958</v>
      </c>
      <c r="F703" s="248" t="s">
        <v>1280</v>
      </c>
      <c r="G703" s="314" t="s">
        <v>440</v>
      </c>
      <c r="H703" s="472"/>
      <c r="I703" s="307"/>
      <c r="J703" s="307"/>
      <c r="K703" s="532">
        <v>10000</v>
      </c>
      <c r="L703" s="533" t="s">
        <v>81</v>
      </c>
      <c r="M703" s="533" t="s">
        <v>24</v>
      </c>
      <c r="N703" s="525" t="str">
        <f>IF(AND('331-CT'!$E$7=TH!H703,OR(L703="331",M703="331")),"331",IF(AND(OR(L703="131",M703="131"),H703='131-CT'!$E$7),"131",""))</f>
        <v/>
      </c>
      <c r="O703" s="525" t="str">
        <f>IF(AND($B703&gt;='111'!$N$11,$B703&lt;='111'!$O$11,OR($L703=$O$7,$M703=$O$7)),"x","")</f>
        <v/>
      </c>
      <c r="P703" s="525" t="str">
        <f>IF(AND($L703=$O$7,$B703&lt;'111'!$N$11),"x","")</f>
        <v/>
      </c>
      <c r="Q703" s="525" t="str">
        <f>IF(AND($M703=$O$7,$B703&lt;'111'!$N$11),"x","")</f>
        <v/>
      </c>
      <c r="R703" s="525" t="str">
        <f>IF(ISERROR(FIND('112'!$M$9,G703,1)),"",IF((AND(FIND('112'!$M$9,G703,1)&gt;=1,$B703&gt;='112'!$N$8,$B703&lt;='112'!$O$8,OR($L703='112'!$I$6,$M703='112'!$I$6))),"x",""))</f>
        <v/>
      </c>
      <c r="S703" s="525" t="str">
        <f>IF(ISERROR(FIND('112'!$M$9,G703,1)),"",IF((AND(LEFT(G703,2)=LEFT('112'!$M$9,2),B703&lt;'112'!$N$8,$L703='112'!$I$6)),"x",""))</f>
        <v/>
      </c>
      <c r="T703" s="525" t="str">
        <f>IF(ISERROR(FIND('112'!$M$9,G703,1)),"",IF((AND(RIGHT(G703,2)=RIGHT('112'!$M$9,2),B703&lt;'112'!$N$8,$M703='112'!$I$6)),"x",""))</f>
        <v>x</v>
      </c>
      <c r="U703" s="525" t="str">
        <f>IF(AND(B703&gt;='IN-NX'!$P$3,B703&lt;='IN-NX'!$Q$3,'IN-NX'!$D$7=D703,OR(LEFT(L703,2)="15",AND(LEFT(M703,2)&lt;&gt;"15",LEFT(M703,2)&lt;&gt;"33"))),"x","")</f>
        <v/>
      </c>
      <c r="V703" s="525" t="str">
        <f>IF(AND(OR(LEFT(TH!L703,2)="15",LEFT(TH!M703,2)="15"),'152-CT'!$J$8=TH!F703),"x","")</f>
        <v/>
      </c>
      <c r="W703" s="525" t="str">
        <f>IF(AND(OR(LEFT(TH!L703,2)="15",LEFT(TH!M703,2)="15"),TK!$E$7=TH!F703),"x","")</f>
        <v/>
      </c>
      <c r="X703" s="525" t="str">
        <f>IF(AND('341-CT'!$E$9=H703,OR(LEFT(L703,3)=$X$7,LEFT(M703,3)=$X$7)),"x","")</f>
        <v/>
      </c>
      <c r="Y703" s="525" t="str">
        <f>IF(OR(TH!L703=TH!$Y$7,M703=TH!$Y$7),"x","")</f>
        <v/>
      </c>
      <c r="Z703" s="525" t="str">
        <f>IF(AND(B703&lt;=NKC!$N$8,B703&gt;=NKC!$M$8),"x","")</f>
        <v/>
      </c>
      <c r="AA703" s="535">
        <v>3</v>
      </c>
      <c r="AB703" s="536"/>
    </row>
    <row r="704" spans="1:28" s="503" customFormat="1" ht="15.75" customHeight="1">
      <c r="A704" s="517" t="str">
        <f>IF(B704&lt;&gt;"",IF(AND(B704&gt;=_TM1,B704&lt;=_TM2,OR(TH!L704="1111",TH!M704="1111")),TH!D704,""),"")</f>
        <v/>
      </c>
      <c r="B704" s="531">
        <f t="shared" si="81"/>
        <v>8</v>
      </c>
      <c r="C704" s="315">
        <f t="shared" si="82"/>
        <v>42958</v>
      </c>
      <c r="D704" s="315" t="s">
        <v>461</v>
      </c>
      <c r="E704" s="288">
        <v>42958</v>
      </c>
      <c r="F704" s="248" t="s">
        <v>1281</v>
      </c>
      <c r="G704" s="314" t="s">
        <v>440</v>
      </c>
      <c r="H704" s="472"/>
      <c r="I704" s="307"/>
      <c r="J704" s="307"/>
      <c r="K704" s="532">
        <v>1000</v>
      </c>
      <c r="L704" s="533" t="s">
        <v>9</v>
      </c>
      <c r="M704" s="533" t="s">
        <v>24</v>
      </c>
      <c r="N704" s="525" t="str">
        <f>IF(AND('331-CT'!$E$7=TH!H704,OR(L704="331",M704="331")),"331",IF(AND(OR(L704="131",M704="131"),H704='131-CT'!$E$7),"131",""))</f>
        <v/>
      </c>
      <c r="O704" s="525" t="str">
        <f>IF(AND($B704&gt;='111'!$N$11,$B704&lt;='111'!$O$11,OR($L704=$O$7,$M704=$O$7)),"x","")</f>
        <v/>
      </c>
      <c r="P704" s="525" t="str">
        <f>IF(AND($L704=$O$7,$B704&lt;'111'!$N$11),"x","")</f>
        <v/>
      </c>
      <c r="Q704" s="525" t="str">
        <f>IF(AND($M704=$O$7,$B704&lt;'111'!$N$11),"x","")</f>
        <v/>
      </c>
      <c r="R704" s="525" t="str">
        <f>IF(ISERROR(FIND('112'!$M$9,G704,1)),"",IF((AND(FIND('112'!$M$9,G704,1)&gt;=1,$B704&gt;='112'!$N$8,$B704&lt;='112'!$O$8,OR($L704='112'!$I$6,$M704='112'!$I$6))),"x",""))</f>
        <v/>
      </c>
      <c r="S704" s="525" t="str">
        <f>IF(ISERROR(FIND('112'!$M$9,G704,1)),"",IF((AND(LEFT(G704,2)=LEFT('112'!$M$9,2),B704&lt;'112'!$N$8,$L704='112'!$I$6)),"x",""))</f>
        <v/>
      </c>
      <c r="T704" s="525" t="str">
        <f>IF(ISERROR(FIND('112'!$M$9,G704,1)),"",IF((AND(RIGHT(G704,2)=RIGHT('112'!$M$9,2),B704&lt;'112'!$N$8,$M704='112'!$I$6)),"x",""))</f>
        <v>x</v>
      </c>
      <c r="U704" s="525" t="str">
        <f>IF(AND(B704&gt;='IN-NX'!$P$3,B704&lt;='IN-NX'!$Q$3,'IN-NX'!$D$7=D704,OR(LEFT(L704,2)="15",AND(LEFT(M704,2)&lt;&gt;"15",LEFT(M704,2)&lt;&gt;"33"))),"x","")</f>
        <v/>
      </c>
      <c r="V704" s="525" t="str">
        <f>IF(AND(OR(LEFT(TH!L704,2)="15",LEFT(TH!M704,2)="15"),'152-CT'!$J$8=TH!F704),"x","")</f>
        <v/>
      </c>
      <c r="W704" s="525" t="str">
        <f>IF(AND(OR(LEFT(TH!L704,2)="15",LEFT(TH!M704,2)="15"),TK!$E$7=TH!F704),"x","")</f>
        <v/>
      </c>
      <c r="X704" s="525" t="str">
        <f>IF(AND('341-CT'!$E$9=H704,OR(LEFT(L704,3)=$X$7,LEFT(M704,3)=$X$7)),"x","")</f>
        <v/>
      </c>
      <c r="Y704" s="525" t="str">
        <f>IF(OR(TH!L704=TH!$Y$7,M704=TH!$Y$7),"x","")</f>
        <v/>
      </c>
      <c r="Z704" s="525" t="str">
        <f>IF(AND(B704&lt;=NKC!$N$8,B704&gt;=NKC!$M$8),"x","")</f>
        <v/>
      </c>
      <c r="AA704" s="535">
        <v>3</v>
      </c>
    </row>
    <row r="705" spans="1:28" s="503" customFormat="1" ht="15.75" customHeight="1">
      <c r="A705" s="517" t="str">
        <f>IF(B705&lt;&gt;"",IF(AND(B705&gt;=_TM1,B705&lt;=_TM2,OR(TH!L705="1111",TH!M705="1111")),TH!D705,""),"")</f>
        <v/>
      </c>
      <c r="B705" s="531">
        <f t="shared" si="81"/>
        <v>8</v>
      </c>
      <c r="C705" s="315">
        <f t="shared" si="82"/>
        <v>42961</v>
      </c>
      <c r="D705" s="315" t="s">
        <v>461</v>
      </c>
      <c r="E705" s="288">
        <v>42961</v>
      </c>
      <c r="F705" s="249" t="s">
        <v>827</v>
      </c>
      <c r="G705" s="314" t="s">
        <v>440</v>
      </c>
      <c r="H705" s="473" t="s">
        <v>460</v>
      </c>
      <c r="I705" s="307"/>
      <c r="J705" s="307"/>
      <c r="K705" s="532">
        <v>10800000</v>
      </c>
      <c r="L705" s="533" t="s">
        <v>45</v>
      </c>
      <c r="M705" s="533" t="s">
        <v>24</v>
      </c>
      <c r="N705" s="525" t="str">
        <f>IF(AND('331-CT'!$E$7=TH!H705,OR(L705="331",M705="331")),"331",IF(AND(OR(L705="131",M705="131"),H705='131-CT'!$E$7),"131",""))</f>
        <v/>
      </c>
      <c r="O705" s="525" t="str">
        <f>IF(AND($B705&gt;='111'!$N$11,$B705&lt;='111'!$O$11,OR($L705=$O$7,$M705=$O$7)),"x","")</f>
        <v/>
      </c>
      <c r="P705" s="525" t="str">
        <f>IF(AND($L705=$O$7,$B705&lt;'111'!$N$11),"x","")</f>
        <v>x</v>
      </c>
      <c r="Q705" s="525" t="str">
        <f>IF(AND($M705=$O$7,$B705&lt;'111'!$N$11),"x","")</f>
        <v/>
      </c>
      <c r="R705" s="525" t="str">
        <f>IF(ISERROR(FIND('112'!$M$9,G705,1)),"",IF((AND(FIND('112'!$M$9,G705,1)&gt;=1,$B705&gt;='112'!$N$8,$B705&lt;='112'!$O$8,OR($L705='112'!$I$6,$M705='112'!$I$6))),"x",""))</f>
        <v/>
      </c>
      <c r="S705" s="525" t="str">
        <f>IF(ISERROR(FIND('112'!$M$9,G705,1)),"",IF((AND(LEFT(G705,2)=LEFT('112'!$M$9,2),B705&lt;'112'!$N$8,$L705='112'!$I$6)),"x",""))</f>
        <v/>
      </c>
      <c r="T705" s="525" t="str">
        <f>IF(ISERROR(FIND('112'!$M$9,G705,1)),"",IF((AND(RIGHT(G705,2)=RIGHT('112'!$M$9,2),B705&lt;'112'!$N$8,$M705='112'!$I$6)),"x",""))</f>
        <v>x</v>
      </c>
      <c r="U705" s="525" t="str">
        <f>IF(AND(B705&gt;='IN-NX'!$P$3,B705&lt;='IN-NX'!$Q$3,'IN-NX'!$D$7=D705,OR(LEFT(L705,2)="15",AND(LEFT(M705,2)&lt;&gt;"15",LEFT(M705,2)&lt;&gt;"33"))),"x","")</f>
        <v/>
      </c>
      <c r="V705" s="525" t="str">
        <f>IF(AND(OR(LEFT(TH!L705,2)="15",LEFT(TH!M705,2)="15"),'152-CT'!$J$8=TH!F705),"x","")</f>
        <v/>
      </c>
      <c r="W705" s="525" t="str">
        <f>IF(AND(OR(LEFT(TH!L705,2)="15",LEFT(TH!M705,2)="15"),TK!$E$7=TH!F705),"x","")</f>
        <v/>
      </c>
      <c r="X705" s="525" t="str">
        <f>IF(AND('341-CT'!$E$9=H705,OR(LEFT(L705,3)=$X$7,LEFT(M705,3)=$X$7)),"x","")</f>
        <v/>
      </c>
      <c r="Y705" s="525" t="str">
        <f>IF(OR(TH!L705=TH!$Y$7,M705=TH!$Y$7),"x","")</f>
        <v/>
      </c>
      <c r="Z705" s="525" t="str">
        <f>IF(AND(B705&lt;=NKC!$N$8,B705&gt;=NKC!$M$8),"x","")</f>
        <v/>
      </c>
      <c r="AA705" s="535"/>
    </row>
    <row r="706" spans="1:28" s="503" customFormat="1" ht="15.75" customHeight="1">
      <c r="A706" s="517" t="str">
        <f>IF(B706&lt;&gt;"",IF(AND(B706&gt;=_TM1,B706&lt;=_TM2,OR(TH!L706="1111",TH!M706="1111")),TH!D706,""),"")</f>
        <v/>
      </c>
      <c r="B706" s="531">
        <f t="shared" si="81"/>
        <v>8</v>
      </c>
      <c r="C706" s="315">
        <f t="shared" si="82"/>
        <v>42961</v>
      </c>
      <c r="D706" s="315" t="s">
        <v>461</v>
      </c>
      <c r="E706" s="288">
        <v>42961</v>
      </c>
      <c r="F706" s="248" t="s">
        <v>1280</v>
      </c>
      <c r="G706" s="314" t="s">
        <v>440</v>
      </c>
      <c r="H706" s="472"/>
      <c r="I706" s="307"/>
      <c r="J706" s="307"/>
      <c r="K706" s="532">
        <v>21600</v>
      </c>
      <c r="L706" s="533" t="s">
        <v>81</v>
      </c>
      <c r="M706" s="533" t="s">
        <v>24</v>
      </c>
      <c r="N706" s="525" t="str">
        <f>IF(AND('331-CT'!$E$7=TH!H706,OR(L706="331",M706="331")),"331",IF(AND(OR(L706="131",M706="131"),H706='131-CT'!$E$7),"131",""))</f>
        <v/>
      </c>
      <c r="O706" s="525" t="str">
        <f>IF(AND($B706&gt;='111'!$N$11,$B706&lt;='111'!$O$11,OR($L706=$O$7,$M706=$O$7)),"x","")</f>
        <v/>
      </c>
      <c r="P706" s="525" t="str">
        <f>IF(AND($L706=$O$7,$B706&lt;'111'!$N$11),"x","")</f>
        <v/>
      </c>
      <c r="Q706" s="525" t="str">
        <f>IF(AND($M706=$O$7,$B706&lt;'111'!$N$11),"x","")</f>
        <v/>
      </c>
      <c r="R706" s="525" t="str">
        <f>IF(ISERROR(FIND('112'!$M$9,G706,1)),"",IF((AND(FIND('112'!$M$9,G706,1)&gt;=1,$B706&gt;='112'!$N$8,$B706&lt;='112'!$O$8,OR($L706='112'!$I$6,$M706='112'!$I$6))),"x",""))</f>
        <v/>
      </c>
      <c r="S706" s="525" t="str">
        <f>IF(ISERROR(FIND('112'!$M$9,G706,1)),"",IF((AND(LEFT(G706,2)=LEFT('112'!$M$9,2),B706&lt;'112'!$N$8,$L706='112'!$I$6)),"x",""))</f>
        <v/>
      </c>
      <c r="T706" s="525" t="str">
        <f>IF(ISERROR(FIND('112'!$M$9,G706,1)),"",IF((AND(RIGHT(G706,2)=RIGHT('112'!$M$9,2),B706&lt;'112'!$N$8,$M706='112'!$I$6)),"x",""))</f>
        <v>x</v>
      </c>
      <c r="U706" s="525" t="str">
        <f>IF(AND(B706&gt;='IN-NX'!$P$3,B706&lt;='IN-NX'!$Q$3,'IN-NX'!$D$7=D706,OR(LEFT(L706,2)="15",AND(LEFT(M706,2)&lt;&gt;"15",LEFT(M706,2)&lt;&gt;"33"))),"x","")</f>
        <v/>
      </c>
      <c r="V706" s="525" t="str">
        <f>IF(AND(OR(LEFT(TH!L706,2)="15",LEFT(TH!M706,2)="15"),'152-CT'!$J$8=TH!F706),"x","")</f>
        <v/>
      </c>
      <c r="W706" s="525" t="str">
        <f>IF(AND(OR(LEFT(TH!L706,2)="15",LEFT(TH!M706,2)="15"),TK!$E$7=TH!F706),"x","")</f>
        <v/>
      </c>
      <c r="X706" s="525" t="str">
        <f>IF(AND('341-CT'!$E$9=H706,OR(LEFT(L706,3)=$X$7,LEFT(M706,3)=$X$7)),"x","")</f>
        <v/>
      </c>
      <c r="Y706" s="525" t="str">
        <f>IF(OR(TH!L706=TH!$Y$7,M706=TH!$Y$7),"x","")</f>
        <v/>
      </c>
      <c r="Z706" s="525" t="str">
        <f>IF(AND(B706&lt;=NKC!$N$8,B706&gt;=NKC!$M$8),"x","")</f>
        <v/>
      </c>
      <c r="AA706" s="535">
        <v>3</v>
      </c>
      <c r="AB706" s="536"/>
    </row>
    <row r="707" spans="1:28" s="503" customFormat="1" ht="15.75" customHeight="1">
      <c r="A707" s="517" t="str">
        <f>IF(B707&lt;&gt;"",IF(AND(B707&gt;=_TM1,B707&lt;=_TM2,OR(TH!L707="1111",TH!M707="1111")),TH!D707,""),"")</f>
        <v/>
      </c>
      <c r="B707" s="531">
        <f t="shared" si="81"/>
        <v>8</v>
      </c>
      <c r="C707" s="315">
        <f t="shared" si="82"/>
        <v>42961</v>
      </c>
      <c r="D707" s="315" t="s">
        <v>461</v>
      </c>
      <c r="E707" s="288">
        <v>42961</v>
      </c>
      <c r="F707" s="248" t="s">
        <v>1281</v>
      </c>
      <c r="G707" s="314" t="s">
        <v>440</v>
      </c>
      <c r="H707" s="472"/>
      <c r="I707" s="307"/>
      <c r="J707" s="307"/>
      <c r="K707" s="532">
        <v>2160</v>
      </c>
      <c r="L707" s="533" t="s">
        <v>9</v>
      </c>
      <c r="M707" s="533" t="s">
        <v>24</v>
      </c>
      <c r="N707" s="525" t="str">
        <f>IF(AND('331-CT'!$E$7=TH!H707,OR(L707="331",M707="331")),"331",IF(AND(OR(L707="131",M707="131"),H707='131-CT'!$E$7),"131",""))</f>
        <v/>
      </c>
      <c r="O707" s="525" t="str">
        <f>IF(AND($B707&gt;='111'!$N$11,$B707&lt;='111'!$O$11,OR($L707=$O$7,$M707=$O$7)),"x","")</f>
        <v/>
      </c>
      <c r="P707" s="525" t="str">
        <f>IF(AND($L707=$O$7,$B707&lt;'111'!$N$11),"x","")</f>
        <v/>
      </c>
      <c r="Q707" s="525" t="str">
        <f>IF(AND($M707=$O$7,$B707&lt;'111'!$N$11),"x","")</f>
        <v/>
      </c>
      <c r="R707" s="525" t="str">
        <f>IF(ISERROR(FIND('112'!$M$9,G707,1)),"",IF((AND(FIND('112'!$M$9,G707,1)&gt;=1,$B707&gt;='112'!$N$8,$B707&lt;='112'!$O$8,OR($L707='112'!$I$6,$M707='112'!$I$6))),"x",""))</f>
        <v/>
      </c>
      <c r="S707" s="525" t="str">
        <f>IF(ISERROR(FIND('112'!$M$9,G707,1)),"",IF((AND(LEFT(G707,2)=LEFT('112'!$M$9,2),B707&lt;'112'!$N$8,$L707='112'!$I$6)),"x",""))</f>
        <v/>
      </c>
      <c r="T707" s="525" t="str">
        <f>IF(ISERROR(FIND('112'!$M$9,G707,1)),"",IF((AND(RIGHT(G707,2)=RIGHT('112'!$M$9,2),B707&lt;'112'!$N$8,$M707='112'!$I$6)),"x",""))</f>
        <v>x</v>
      </c>
      <c r="U707" s="525" t="str">
        <f>IF(AND(B707&gt;='IN-NX'!$P$3,B707&lt;='IN-NX'!$Q$3,'IN-NX'!$D$7=D707,OR(LEFT(L707,2)="15",AND(LEFT(M707,2)&lt;&gt;"15",LEFT(M707,2)&lt;&gt;"33"))),"x","")</f>
        <v/>
      </c>
      <c r="V707" s="525" t="str">
        <f>IF(AND(OR(LEFT(TH!L707,2)="15",LEFT(TH!M707,2)="15"),'152-CT'!$J$8=TH!F707),"x","")</f>
        <v/>
      </c>
      <c r="W707" s="525" t="str">
        <f>IF(AND(OR(LEFT(TH!L707,2)="15",LEFT(TH!M707,2)="15"),TK!$E$7=TH!F707),"x","")</f>
        <v/>
      </c>
      <c r="X707" s="525" t="str">
        <f>IF(AND('341-CT'!$E$9=H707,OR(LEFT(L707,3)=$X$7,LEFT(M707,3)=$X$7)),"x","")</f>
        <v/>
      </c>
      <c r="Y707" s="525" t="str">
        <f>IF(OR(TH!L707=TH!$Y$7,M707=TH!$Y$7),"x","")</f>
        <v/>
      </c>
      <c r="Z707" s="525" t="str">
        <f>IF(AND(B707&lt;=NKC!$N$8,B707&gt;=NKC!$M$8),"x","")</f>
        <v/>
      </c>
      <c r="AA707" s="535">
        <v>3</v>
      </c>
    </row>
    <row r="708" spans="1:28" s="503" customFormat="1" ht="15.75" customHeight="1">
      <c r="A708" s="517" t="str">
        <f>IF(B708&lt;&gt;"",IF(AND(B708&gt;=_TM1,B708&lt;=_TM2,OR(TH!L708="1111",TH!M708="1111")),TH!D708,""),"")</f>
        <v/>
      </c>
      <c r="B708" s="531">
        <f t="shared" si="81"/>
        <v>8</v>
      </c>
      <c r="C708" s="315">
        <f t="shared" si="82"/>
        <v>42966</v>
      </c>
      <c r="D708" s="315" t="s">
        <v>461</v>
      </c>
      <c r="E708" s="288">
        <v>42966</v>
      </c>
      <c r="F708" s="249" t="s">
        <v>828</v>
      </c>
      <c r="G708" s="314" t="s">
        <v>440</v>
      </c>
      <c r="H708" s="621" t="s">
        <v>1500</v>
      </c>
      <c r="I708" s="307"/>
      <c r="J708" s="307"/>
      <c r="K708" s="532">
        <v>74062</v>
      </c>
      <c r="L708" s="533" t="s">
        <v>79</v>
      </c>
      <c r="M708" s="533" t="s">
        <v>24</v>
      </c>
      <c r="N708" s="525" t="str">
        <f>IF(AND('331-CT'!$E$7=TH!H708,OR(L708="331",M708="331")),"331",IF(AND(OR(L708="131",M708="131"),H708='131-CT'!$E$7),"131",""))</f>
        <v/>
      </c>
      <c r="O708" s="525" t="str">
        <f>IF(AND($B708&gt;='111'!$N$11,$B708&lt;='111'!$O$11,OR($L708=$O$7,$M708=$O$7)),"x","")</f>
        <v/>
      </c>
      <c r="P708" s="525" t="str">
        <f>IF(AND($L708=$O$7,$B708&lt;'111'!$N$11),"x","")</f>
        <v/>
      </c>
      <c r="Q708" s="525" t="str">
        <f>IF(AND($M708=$O$7,$B708&lt;'111'!$N$11),"x","")</f>
        <v/>
      </c>
      <c r="R708" s="525" t="str">
        <f>IF(ISERROR(FIND('112'!$M$9,G708,1)),"",IF((AND(FIND('112'!$M$9,G708,1)&gt;=1,$B708&gt;='112'!$N$8,$B708&lt;='112'!$O$8,OR($L708='112'!$I$6,$M708='112'!$I$6))),"x",""))</f>
        <v/>
      </c>
      <c r="S708" s="525" t="str">
        <f>IF(ISERROR(FIND('112'!$M$9,G708,1)),"",IF((AND(LEFT(G708,2)=LEFT('112'!$M$9,2),B708&lt;'112'!$N$8,$L708='112'!$I$6)),"x",""))</f>
        <v/>
      </c>
      <c r="T708" s="525" t="str">
        <f>IF(ISERROR(FIND('112'!$M$9,G708,1)),"",IF((AND(RIGHT(G708,2)=RIGHT('112'!$M$9,2),B708&lt;'112'!$N$8,$M708='112'!$I$6)),"x",""))</f>
        <v>x</v>
      </c>
      <c r="U708" s="525" t="str">
        <f>IF(AND(B708&gt;='IN-NX'!$P$3,B708&lt;='IN-NX'!$Q$3,'IN-NX'!$D$7=D708,OR(LEFT(L708,2)="15",AND(LEFT(M708,2)&lt;&gt;"15",LEFT(M708,2)&lt;&gt;"33"))),"x","")</f>
        <v/>
      </c>
      <c r="V708" s="525" t="str">
        <f>IF(AND(OR(LEFT(TH!L708,2)="15",LEFT(TH!M708,2)="15"),'152-CT'!$J$8=TH!F708),"x","")</f>
        <v/>
      </c>
      <c r="W708" s="525" t="str">
        <f>IF(AND(OR(LEFT(TH!L708,2)="15",LEFT(TH!M708,2)="15"),TK!$E$7=TH!F708),"x","")</f>
        <v/>
      </c>
      <c r="X708" s="525" t="str">
        <f>IF(AND('341-CT'!$E$9=H708,OR(LEFT(L708,3)=$X$7,LEFT(M708,3)=$X$7)),"x","")</f>
        <v/>
      </c>
      <c r="Y708" s="525" t="str">
        <f>IF(OR(TH!L708=TH!$Y$7,M708=TH!$Y$7),"x","")</f>
        <v/>
      </c>
      <c r="Z708" s="525" t="str">
        <f>IF(AND(B708&lt;=NKC!$N$8,B708&gt;=NKC!$M$8),"x","")</f>
        <v/>
      </c>
      <c r="AA708" s="535"/>
    </row>
    <row r="709" spans="1:28" s="503" customFormat="1" ht="15.75" customHeight="1">
      <c r="A709" s="517" t="str">
        <f>IF(B709&lt;&gt;"",IF(AND(B709&gt;=_TM1,B709&lt;=_TM2,OR(TH!L709="1111",TH!M709="1111")),TH!D709,""),"")</f>
        <v/>
      </c>
      <c r="B709" s="531">
        <f t="shared" si="81"/>
        <v>8</v>
      </c>
      <c r="C709" s="315">
        <f t="shared" si="82"/>
        <v>42968</v>
      </c>
      <c r="D709" s="315" t="s">
        <v>461</v>
      </c>
      <c r="E709" s="288">
        <v>42968</v>
      </c>
      <c r="F709" s="249" t="s">
        <v>828</v>
      </c>
      <c r="G709" s="314" t="s">
        <v>440</v>
      </c>
      <c r="H709" s="621" t="s">
        <v>1500</v>
      </c>
      <c r="I709" s="307"/>
      <c r="J709" s="307"/>
      <c r="K709" s="532">
        <v>2337</v>
      </c>
      <c r="L709" s="533" t="s">
        <v>79</v>
      </c>
      <c r="M709" s="533" t="s">
        <v>24</v>
      </c>
      <c r="N709" s="525" t="str">
        <f>IF(AND('331-CT'!$E$7=TH!H709,OR(L709="331",M709="331")),"331",IF(AND(OR(L709="131",M709="131"),H709='131-CT'!$E$7),"131",""))</f>
        <v/>
      </c>
      <c r="O709" s="525" t="str">
        <f>IF(AND($B709&gt;='111'!$N$11,$B709&lt;='111'!$O$11,OR($L709=$O$7,$M709=$O$7)),"x","")</f>
        <v/>
      </c>
      <c r="P709" s="525" t="str">
        <f>IF(AND($L709=$O$7,$B709&lt;'111'!$N$11),"x","")</f>
        <v/>
      </c>
      <c r="Q709" s="525" t="str">
        <f>IF(AND($M709=$O$7,$B709&lt;'111'!$N$11),"x","")</f>
        <v/>
      </c>
      <c r="R709" s="525" t="str">
        <f>IF(ISERROR(FIND('112'!$M$9,G709,1)),"",IF((AND(FIND('112'!$M$9,G709,1)&gt;=1,$B709&gt;='112'!$N$8,$B709&lt;='112'!$O$8,OR($L709='112'!$I$6,$M709='112'!$I$6))),"x",""))</f>
        <v/>
      </c>
      <c r="S709" s="525" t="str">
        <f>IF(ISERROR(FIND('112'!$M$9,G709,1)),"",IF((AND(LEFT(G709,2)=LEFT('112'!$M$9,2),B709&lt;'112'!$N$8,$L709='112'!$I$6)),"x",""))</f>
        <v/>
      </c>
      <c r="T709" s="525" t="str">
        <f>IF(ISERROR(FIND('112'!$M$9,G709,1)),"",IF((AND(RIGHT(G709,2)=RIGHT('112'!$M$9,2),B709&lt;'112'!$N$8,$M709='112'!$I$6)),"x",""))</f>
        <v>x</v>
      </c>
      <c r="U709" s="525" t="str">
        <f>IF(AND(B709&gt;='IN-NX'!$P$3,B709&lt;='IN-NX'!$Q$3,'IN-NX'!$D$7=D709,OR(LEFT(L709,2)="15",AND(LEFT(M709,2)&lt;&gt;"15",LEFT(M709,2)&lt;&gt;"33"))),"x","")</f>
        <v/>
      </c>
      <c r="V709" s="525" t="str">
        <f>IF(AND(OR(LEFT(TH!L709,2)="15",LEFT(TH!M709,2)="15"),'152-CT'!$J$8=TH!F709),"x","")</f>
        <v/>
      </c>
      <c r="W709" s="525" t="str">
        <f>IF(AND(OR(LEFT(TH!L709,2)="15",LEFT(TH!M709,2)="15"),TK!$E$7=TH!F709),"x","")</f>
        <v/>
      </c>
      <c r="X709" s="525" t="str">
        <f>IF(AND('341-CT'!$E$9=H709,OR(LEFT(L709,3)=$X$7,LEFT(M709,3)=$X$7)),"x","")</f>
        <v/>
      </c>
      <c r="Y709" s="525" t="str">
        <f>IF(OR(TH!L709=TH!$Y$7,M709=TH!$Y$7),"x","")</f>
        <v/>
      </c>
      <c r="Z709" s="525" t="str">
        <f>IF(AND(B709&lt;=NKC!$N$8,B709&gt;=NKC!$M$8),"x","")</f>
        <v/>
      </c>
      <c r="AA709" s="535"/>
    </row>
    <row r="710" spans="1:28" s="503" customFormat="1" ht="15.75" customHeight="1">
      <c r="A710" s="517" t="str">
        <f>IF(B710&lt;&gt;"",IF(AND(B710&gt;=_TM1,B710&lt;=_TM2,OR(TH!L710="1111",TH!M710="1111")),TH!D710,""),"")</f>
        <v/>
      </c>
      <c r="B710" s="531">
        <f t="shared" si="81"/>
        <v>8</v>
      </c>
      <c r="C710" s="315">
        <f t="shared" si="82"/>
        <v>42968</v>
      </c>
      <c r="D710" s="315" t="s">
        <v>461</v>
      </c>
      <c r="E710" s="288">
        <v>42968</v>
      </c>
      <c r="F710" s="249" t="s">
        <v>828</v>
      </c>
      <c r="G710" s="314" t="s">
        <v>440</v>
      </c>
      <c r="H710" s="621" t="s">
        <v>1500</v>
      </c>
      <c r="I710" s="307"/>
      <c r="J710" s="307"/>
      <c r="K710" s="532">
        <v>4674</v>
      </c>
      <c r="L710" s="533" t="s">
        <v>79</v>
      </c>
      <c r="M710" s="533" t="s">
        <v>24</v>
      </c>
      <c r="N710" s="525" t="str">
        <f>IF(AND('331-CT'!$E$7=TH!H710,OR(L710="331",M710="331")),"331",IF(AND(OR(L710="131",M710="131"),H710='131-CT'!$E$7),"131",""))</f>
        <v/>
      </c>
      <c r="O710" s="525" t="str">
        <f>IF(AND($B710&gt;='111'!$N$11,$B710&lt;='111'!$O$11,OR($L710=$O$7,$M710=$O$7)),"x","")</f>
        <v/>
      </c>
      <c r="P710" s="525" t="str">
        <f>IF(AND($L710=$O$7,$B710&lt;'111'!$N$11),"x","")</f>
        <v/>
      </c>
      <c r="Q710" s="525" t="str">
        <f>IF(AND($M710=$O$7,$B710&lt;'111'!$N$11),"x","")</f>
        <v/>
      </c>
      <c r="R710" s="525" t="str">
        <f>IF(ISERROR(FIND('112'!$M$9,G710,1)),"",IF((AND(FIND('112'!$M$9,G710,1)&gt;=1,$B710&gt;='112'!$N$8,$B710&lt;='112'!$O$8,OR($L710='112'!$I$6,$M710='112'!$I$6))),"x",""))</f>
        <v/>
      </c>
      <c r="S710" s="525" t="str">
        <f>IF(ISERROR(FIND('112'!$M$9,G710,1)),"",IF((AND(LEFT(G710,2)=LEFT('112'!$M$9,2),B710&lt;'112'!$N$8,$L710='112'!$I$6)),"x",""))</f>
        <v/>
      </c>
      <c r="T710" s="525" t="str">
        <f>IF(ISERROR(FIND('112'!$M$9,G710,1)),"",IF((AND(RIGHT(G710,2)=RIGHT('112'!$M$9,2),B710&lt;'112'!$N$8,$M710='112'!$I$6)),"x",""))</f>
        <v>x</v>
      </c>
      <c r="U710" s="525" t="str">
        <f>IF(AND(B710&gt;='IN-NX'!$P$3,B710&lt;='IN-NX'!$Q$3,'IN-NX'!$D$7=D710,OR(LEFT(L710,2)="15",AND(LEFT(M710,2)&lt;&gt;"15",LEFT(M710,2)&lt;&gt;"33"))),"x","")</f>
        <v/>
      </c>
      <c r="V710" s="525" t="str">
        <f>IF(AND(OR(LEFT(TH!L710,2)="15",LEFT(TH!M710,2)="15"),'152-CT'!$J$8=TH!F710),"x","")</f>
        <v/>
      </c>
      <c r="W710" s="525" t="str">
        <f>IF(AND(OR(LEFT(TH!L710,2)="15",LEFT(TH!M710,2)="15"),TK!$E$7=TH!F710),"x","")</f>
        <v/>
      </c>
      <c r="X710" s="525" t="str">
        <f>IF(AND('341-CT'!$E$9=H710,OR(LEFT(L710,3)=$X$7,LEFT(M710,3)=$X$7)),"x","")</f>
        <v/>
      </c>
      <c r="Y710" s="525" t="str">
        <f>IF(OR(TH!L710=TH!$Y$7,M710=TH!$Y$7),"x","")</f>
        <v/>
      </c>
      <c r="Z710" s="525" t="str">
        <f>IF(AND(B710&lt;=NKC!$N$8,B710&gt;=NKC!$M$8),"x","")</f>
        <v/>
      </c>
      <c r="AA710" s="535"/>
      <c r="AB710" s="536"/>
    </row>
    <row r="711" spans="1:28" s="503" customFormat="1" ht="15.75" customHeight="1">
      <c r="A711" s="517" t="str">
        <f>IF(B711&lt;&gt;"",IF(AND(B711&gt;=_TM1,B711&lt;=_TM2,OR(TH!L711="1111",TH!M711="1111")),TH!D711,""),"")</f>
        <v/>
      </c>
      <c r="B711" s="531">
        <f t="shared" si="81"/>
        <v>8</v>
      </c>
      <c r="C711" s="315">
        <f t="shared" si="82"/>
        <v>42968</v>
      </c>
      <c r="D711" s="315" t="s">
        <v>461</v>
      </c>
      <c r="E711" s="288">
        <v>42968</v>
      </c>
      <c r="F711" s="249" t="s">
        <v>828</v>
      </c>
      <c r="G711" s="314" t="s">
        <v>440</v>
      </c>
      <c r="H711" s="621" t="s">
        <v>1500</v>
      </c>
      <c r="I711" s="307"/>
      <c r="J711" s="307"/>
      <c r="K711" s="532">
        <v>1146424</v>
      </c>
      <c r="L711" s="533" t="s">
        <v>79</v>
      </c>
      <c r="M711" s="533" t="s">
        <v>24</v>
      </c>
      <c r="N711" s="525" t="str">
        <f>IF(AND('331-CT'!$E$7=TH!H711,OR(L711="331",M711="331")),"331",IF(AND(OR(L711="131",M711="131"),H711='131-CT'!$E$7),"131",""))</f>
        <v/>
      </c>
      <c r="O711" s="525" t="str">
        <f>IF(AND($B711&gt;='111'!$N$11,$B711&lt;='111'!$O$11,OR($L711=$O$7,$M711=$O$7)),"x","")</f>
        <v/>
      </c>
      <c r="P711" s="525" t="str">
        <f>IF(AND($L711=$O$7,$B711&lt;'111'!$N$11),"x","")</f>
        <v/>
      </c>
      <c r="Q711" s="525" t="str">
        <f>IF(AND($M711=$O$7,$B711&lt;'111'!$N$11),"x","")</f>
        <v/>
      </c>
      <c r="R711" s="525" t="str">
        <f>IF(ISERROR(FIND('112'!$M$9,G711,1)),"",IF((AND(FIND('112'!$M$9,G711,1)&gt;=1,$B711&gt;='112'!$N$8,$B711&lt;='112'!$O$8,OR($L711='112'!$I$6,$M711='112'!$I$6))),"x",""))</f>
        <v/>
      </c>
      <c r="S711" s="525" t="str">
        <f>IF(ISERROR(FIND('112'!$M$9,G711,1)),"",IF((AND(LEFT(G711,2)=LEFT('112'!$M$9,2),B711&lt;'112'!$N$8,$L711='112'!$I$6)),"x",""))</f>
        <v/>
      </c>
      <c r="T711" s="525" t="str">
        <f>IF(ISERROR(FIND('112'!$M$9,G711,1)),"",IF((AND(RIGHT(G711,2)=RIGHT('112'!$M$9,2),B711&lt;'112'!$N$8,$M711='112'!$I$6)),"x",""))</f>
        <v>x</v>
      </c>
      <c r="U711" s="525" t="str">
        <f>IF(AND(B711&gt;='IN-NX'!$P$3,B711&lt;='IN-NX'!$Q$3,'IN-NX'!$D$7=D711,OR(LEFT(L711,2)="15",AND(LEFT(M711,2)&lt;&gt;"15",LEFT(M711,2)&lt;&gt;"33"))),"x","")</f>
        <v/>
      </c>
      <c r="V711" s="525" t="str">
        <f>IF(AND(OR(LEFT(TH!L711,2)="15",LEFT(TH!M711,2)="15"),'152-CT'!$J$8=TH!F711),"x","")</f>
        <v/>
      </c>
      <c r="W711" s="525" t="str">
        <f>IF(AND(OR(LEFT(TH!L711,2)="15",LEFT(TH!M711,2)="15"),TK!$E$7=TH!F711),"x","")</f>
        <v/>
      </c>
      <c r="X711" s="525" t="str">
        <f>IF(AND('341-CT'!$E$9=H711,OR(LEFT(L711,3)=$X$7,LEFT(M711,3)=$X$7)),"x","")</f>
        <v/>
      </c>
      <c r="Y711" s="525" t="str">
        <f>IF(OR(TH!L711=TH!$Y$7,M711=TH!$Y$7),"x","")</f>
        <v/>
      </c>
      <c r="Z711" s="525" t="str">
        <f>IF(AND(B711&lt;=NKC!$N$8,B711&gt;=NKC!$M$8),"x","")</f>
        <v/>
      </c>
      <c r="AA711" s="535"/>
    </row>
    <row r="712" spans="1:28" s="503" customFormat="1" ht="15.75" customHeight="1">
      <c r="A712" s="517" t="str">
        <f>IF(B712&lt;&gt;"",IF(AND(B712&gt;=_TM1,B712&lt;=_TM2,OR(TH!L712="1111",TH!M712="1111")),TH!D712,""),"")</f>
        <v/>
      </c>
      <c r="B712" s="531">
        <f t="shared" si="81"/>
        <v>8</v>
      </c>
      <c r="C712" s="315">
        <f t="shared" si="82"/>
        <v>42968</v>
      </c>
      <c r="D712" s="315" t="s">
        <v>461</v>
      </c>
      <c r="E712" s="288">
        <v>42968</v>
      </c>
      <c r="F712" s="249" t="s">
        <v>829</v>
      </c>
      <c r="G712" s="314" t="s">
        <v>440</v>
      </c>
      <c r="H712" s="621" t="s">
        <v>1500</v>
      </c>
      <c r="I712" s="307"/>
      <c r="J712" s="307"/>
      <c r="K712" s="532">
        <v>7710000</v>
      </c>
      <c r="L712" s="534" t="s">
        <v>441</v>
      </c>
      <c r="M712" s="533" t="s">
        <v>24</v>
      </c>
      <c r="N712" s="525" t="str">
        <f>IF(AND('331-CT'!$E$7=TH!H712,OR(L712="331",M712="331")),"331",IF(AND(OR(L712="131",M712="131"),H712='131-CT'!$E$7),"131",""))</f>
        <v/>
      </c>
      <c r="O712" s="525" t="str">
        <f>IF(AND($B712&gt;='111'!$N$11,$B712&lt;='111'!$O$11,OR($L712=$O$7,$M712=$O$7)),"x","")</f>
        <v/>
      </c>
      <c r="P712" s="525" t="str">
        <f>IF(AND($L712=$O$7,$B712&lt;'111'!$N$11),"x","")</f>
        <v/>
      </c>
      <c r="Q712" s="525" t="str">
        <f>IF(AND($M712=$O$7,$B712&lt;'111'!$N$11),"x","")</f>
        <v/>
      </c>
      <c r="R712" s="525" t="str">
        <f>IF(ISERROR(FIND('112'!$M$9,G712,1)),"",IF((AND(FIND('112'!$M$9,G712,1)&gt;=1,$B712&gt;='112'!$N$8,$B712&lt;='112'!$O$8,OR($L712='112'!$I$6,$M712='112'!$I$6))),"x",""))</f>
        <v/>
      </c>
      <c r="S712" s="525" t="str">
        <f>IF(ISERROR(FIND('112'!$M$9,G712,1)),"",IF((AND(LEFT(G712,2)=LEFT('112'!$M$9,2),B712&lt;'112'!$N$8,$L712='112'!$I$6)),"x",""))</f>
        <v/>
      </c>
      <c r="T712" s="525" t="str">
        <f>IF(ISERROR(FIND('112'!$M$9,G712,1)),"",IF((AND(RIGHT(G712,2)=RIGHT('112'!$M$9,2),B712&lt;'112'!$N$8,$M712='112'!$I$6)),"x",""))</f>
        <v>x</v>
      </c>
      <c r="U712" s="525" t="str">
        <f>IF(AND(B712&gt;='IN-NX'!$P$3,B712&lt;='IN-NX'!$Q$3,'IN-NX'!$D$7=D712,OR(LEFT(L712,2)="15",AND(LEFT(M712,2)&lt;&gt;"15",LEFT(M712,2)&lt;&gt;"33"))),"x","")</f>
        <v/>
      </c>
      <c r="V712" s="525" t="str">
        <f>IF(AND(OR(LEFT(TH!L712,2)="15",LEFT(TH!M712,2)="15"),'152-CT'!$J$8=TH!F712),"x","")</f>
        <v/>
      </c>
      <c r="W712" s="525" t="str">
        <f>IF(AND(OR(LEFT(TH!L712,2)="15",LEFT(TH!M712,2)="15"),TK!$E$7=TH!F712),"x","")</f>
        <v/>
      </c>
      <c r="X712" s="525" t="str">
        <f>IF(AND('341-CT'!$E$9=H712,OR(LEFT(L712,3)=$X$7,LEFT(M712,3)=$X$7)),"x","")</f>
        <v/>
      </c>
      <c r="Y712" s="525" t="str">
        <f>IF(OR(TH!L712=TH!$Y$7,M712=TH!$Y$7),"x","")</f>
        <v/>
      </c>
      <c r="Z712" s="525" t="str">
        <f>IF(AND(B712&lt;=NKC!$N$8,B712&gt;=NKC!$M$8),"x","")</f>
        <v/>
      </c>
      <c r="AA712" s="535"/>
    </row>
    <row r="713" spans="1:28" s="503" customFormat="1" ht="15.75" customHeight="1">
      <c r="A713" s="517" t="str">
        <f>IF(B713&lt;&gt;"",IF(AND(B713&gt;=_TM1,B713&lt;=_TM2,OR(TH!L713="1111",TH!M713="1111")),TH!D713,""),"")</f>
        <v/>
      </c>
      <c r="B713" s="531">
        <f t="shared" si="81"/>
        <v>8</v>
      </c>
      <c r="C713" s="315">
        <f t="shared" si="82"/>
        <v>42968</v>
      </c>
      <c r="D713" s="315" t="s">
        <v>461</v>
      </c>
      <c r="E713" s="288">
        <v>42968</v>
      </c>
      <c r="F713" s="249" t="s">
        <v>827</v>
      </c>
      <c r="G713" s="314" t="s">
        <v>440</v>
      </c>
      <c r="H713" s="473" t="s">
        <v>460</v>
      </c>
      <c r="I713" s="307"/>
      <c r="J713" s="307"/>
      <c r="K713" s="532">
        <v>2000000</v>
      </c>
      <c r="L713" s="533" t="s">
        <v>45</v>
      </c>
      <c r="M713" s="533" t="s">
        <v>24</v>
      </c>
      <c r="N713" s="525" t="str">
        <f>IF(AND('331-CT'!$E$7=TH!H713,OR(L713="331",M713="331")),"331",IF(AND(OR(L713="131",M713="131"),H713='131-CT'!$E$7),"131",""))</f>
        <v/>
      </c>
      <c r="O713" s="525" t="str">
        <f>IF(AND($B713&gt;='111'!$N$11,$B713&lt;='111'!$O$11,OR($L713=$O$7,$M713=$O$7)),"x","")</f>
        <v/>
      </c>
      <c r="P713" s="525" t="str">
        <f>IF(AND($L713=$O$7,$B713&lt;'111'!$N$11),"x","")</f>
        <v>x</v>
      </c>
      <c r="Q713" s="525" t="str">
        <f>IF(AND($M713=$O$7,$B713&lt;'111'!$N$11),"x","")</f>
        <v/>
      </c>
      <c r="R713" s="525" t="str">
        <f>IF(ISERROR(FIND('112'!$M$9,G713,1)),"",IF((AND(FIND('112'!$M$9,G713,1)&gt;=1,$B713&gt;='112'!$N$8,$B713&lt;='112'!$O$8,OR($L713='112'!$I$6,$M713='112'!$I$6))),"x",""))</f>
        <v/>
      </c>
      <c r="S713" s="525" t="str">
        <f>IF(ISERROR(FIND('112'!$M$9,G713,1)),"",IF((AND(LEFT(G713,2)=LEFT('112'!$M$9,2),B713&lt;'112'!$N$8,$L713='112'!$I$6)),"x",""))</f>
        <v/>
      </c>
      <c r="T713" s="525" t="str">
        <f>IF(ISERROR(FIND('112'!$M$9,G713,1)),"",IF((AND(RIGHT(G713,2)=RIGHT('112'!$M$9,2),B713&lt;'112'!$N$8,$M713='112'!$I$6)),"x",""))</f>
        <v>x</v>
      </c>
      <c r="U713" s="525" t="str">
        <f>IF(AND(B713&gt;='IN-NX'!$P$3,B713&lt;='IN-NX'!$Q$3,'IN-NX'!$D$7=D713,OR(LEFT(L713,2)="15",AND(LEFT(M713,2)&lt;&gt;"15",LEFT(M713,2)&lt;&gt;"33"))),"x","")</f>
        <v/>
      </c>
      <c r="V713" s="525" t="str">
        <f>IF(AND(OR(LEFT(TH!L713,2)="15",LEFT(TH!M713,2)="15"),'152-CT'!$J$8=TH!F713),"x","")</f>
        <v/>
      </c>
      <c r="W713" s="525" t="str">
        <f>IF(AND(OR(LEFT(TH!L713,2)="15",LEFT(TH!M713,2)="15"),TK!$E$7=TH!F713),"x","")</f>
        <v/>
      </c>
      <c r="X713" s="525" t="str">
        <f>IF(AND('341-CT'!$E$9=H713,OR(LEFT(L713,3)=$X$7,LEFT(M713,3)=$X$7)),"x","")</f>
        <v/>
      </c>
      <c r="Y713" s="525" t="str">
        <f>IF(OR(TH!L713=TH!$Y$7,M713=TH!$Y$7),"x","")</f>
        <v/>
      </c>
      <c r="Z713" s="525" t="str">
        <f>IF(AND(B713&lt;=NKC!$N$8,B713&gt;=NKC!$M$8),"x","")</f>
        <v/>
      </c>
      <c r="AA713" s="535"/>
      <c r="AB713" s="536"/>
    </row>
    <row r="714" spans="1:28" s="503" customFormat="1" ht="15.75" customHeight="1">
      <c r="A714" s="517" t="str">
        <f>IF(B714&lt;&gt;"",IF(AND(B714&gt;=_TM1,B714&lt;=_TM2,OR(TH!L714="1111",TH!M714="1111")),TH!D714,""),"")</f>
        <v/>
      </c>
      <c r="B714" s="531">
        <f t="shared" si="81"/>
        <v>8</v>
      </c>
      <c r="C714" s="315">
        <f t="shared" si="82"/>
        <v>42968</v>
      </c>
      <c r="D714" s="315" t="s">
        <v>461</v>
      </c>
      <c r="E714" s="288">
        <v>42968</v>
      </c>
      <c r="F714" s="248" t="s">
        <v>1280</v>
      </c>
      <c r="G714" s="314" t="s">
        <v>440</v>
      </c>
      <c r="H714" s="472"/>
      <c r="I714" s="307"/>
      <c r="J714" s="307"/>
      <c r="K714" s="532">
        <v>40000</v>
      </c>
      <c r="L714" s="533" t="s">
        <v>81</v>
      </c>
      <c r="M714" s="533" t="s">
        <v>24</v>
      </c>
      <c r="N714" s="525" t="str">
        <f>IF(AND('331-CT'!$E$7=TH!H714,OR(L714="331",M714="331")),"331",IF(AND(OR(L714="131",M714="131"),H714='131-CT'!$E$7),"131",""))</f>
        <v/>
      </c>
      <c r="O714" s="525" t="str">
        <f>IF(AND($B714&gt;='111'!$N$11,$B714&lt;='111'!$O$11,OR($L714=$O$7,$M714=$O$7)),"x","")</f>
        <v/>
      </c>
      <c r="P714" s="525" t="str">
        <f>IF(AND($L714=$O$7,$B714&lt;'111'!$N$11),"x","")</f>
        <v/>
      </c>
      <c r="Q714" s="525" t="str">
        <f>IF(AND($M714=$O$7,$B714&lt;'111'!$N$11),"x","")</f>
        <v/>
      </c>
      <c r="R714" s="525" t="str">
        <f>IF(ISERROR(FIND('112'!$M$9,G714,1)),"",IF((AND(FIND('112'!$M$9,G714,1)&gt;=1,$B714&gt;='112'!$N$8,$B714&lt;='112'!$O$8,OR($L714='112'!$I$6,$M714='112'!$I$6))),"x",""))</f>
        <v/>
      </c>
      <c r="S714" s="525" t="str">
        <f>IF(ISERROR(FIND('112'!$M$9,G714,1)),"",IF((AND(LEFT(G714,2)=LEFT('112'!$M$9,2),B714&lt;'112'!$N$8,$L714='112'!$I$6)),"x",""))</f>
        <v/>
      </c>
      <c r="T714" s="525" t="str">
        <f>IF(ISERROR(FIND('112'!$M$9,G714,1)),"",IF((AND(RIGHT(G714,2)=RIGHT('112'!$M$9,2),B714&lt;'112'!$N$8,$M714='112'!$I$6)),"x",""))</f>
        <v>x</v>
      </c>
      <c r="U714" s="525" t="str">
        <f>IF(AND(B714&gt;='IN-NX'!$P$3,B714&lt;='IN-NX'!$Q$3,'IN-NX'!$D$7=D714,OR(LEFT(L714,2)="15",AND(LEFT(M714,2)&lt;&gt;"15",LEFT(M714,2)&lt;&gt;"33"))),"x","")</f>
        <v/>
      </c>
      <c r="V714" s="525" t="str">
        <f>IF(AND(OR(LEFT(TH!L714,2)="15",LEFT(TH!M714,2)="15"),'152-CT'!$J$8=TH!F714),"x","")</f>
        <v/>
      </c>
      <c r="W714" s="525" t="str">
        <f>IF(AND(OR(LEFT(TH!L714,2)="15",LEFT(TH!M714,2)="15"),TK!$E$7=TH!F714),"x","")</f>
        <v/>
      </c>
      <c r="X714" s="525" t="str">
        <f>IF(AND('341-CT'!$E$9=H714,OR(LEFT(L714,3)=$X$7,LEFT(M714,3)=$X$7)),"x","")</f>
        <v/>
      </c>
      <c r="Y714" s="525" t="str">
        <f>IF(OR(TH!L714=TH!$Y$7,M714=TH!$Y$7),"x","")</f>
        <v/>
      </c>
      <c r="Z714" s="525" t="str">
        <f>IF(AND(B714&lt;=NKC!$N$8,B714&gt;=NKC!$M$8),"x","")</f>
        <v/>
      </c>
      <c r="AA714" s="535">
        <v>3</v>
      </c>
    </row>
    <row r="715" spans="1:28" s="503" customFormat="1" ht="15.75" customHeight="1">
      <c r="A715" s="517" t="str">
        <f>IF(B715&lt;&gt;"",IF(AND(B715&gt;=_TM1,B715&lt;=_TM2,OR(TH!L715="1111",TH!M715="1111")),TH!D715,""),"")</f>
        <v/>
      </c>
      <c r="B715" s="531">
        <f t="shared" si="81"/>
        <v>8</v>
      </c>
      <c r="C715" s="315">
        <f t="shared" si="82"/>
        <v>42968</v>
      </c>
      <c r="D715" s="315" t="s">
        <v>461</v>
      </c>
      <c r="E715" s="288">
        <v>42968</v>
      </c>
      <c r="F715" s="248" t="s">
        <v>1281</v>
      </c>
      <c r="G715" s="314" t="s">
        <v>440</v>
      </c>
      <c r="H715" s="472"/>
      <c r="I715" s="307"/>
      <c r="J715" s="307"/>
      <c r="K715" s="532">
        <v>4000</v>
      </c>
      <c r="L715" s="533" t="s">
        <v>9</v>
      </c>
      <c r="M715" s="533" t="s">
        <v>24</v>
      </c>
      <c r="N715" s="525" t="str">
        <f>IF(AND('331-CT'!$E$7=TH!H715,OR(L715="331",M715="331")),"331",IF(AND(OR(L715="131",M715="131"),H715='131-CT'!$E$7),"131",""))</f>
        <v/>
      </c>
      <c r="O715" s="525" t="str">
        <f>IF(AND($B715&gt;='111'!$N$11,$B715&lt;='111'!$O$11,OR($L715=$O$7,$M715=$O$7)),"x","")</f>
        <v/>
      </c>
      <c r="P715" s="525" t="str">
        <f>IF(AND($L715=$O$7,$B715&lt;'111'!$N$11),"x","")</f>
        <v/>
      </c>
      <c r="Q715" s="525" t="str">
        <f>IF(AND($M715=$O$7,$B715&lt;'111'!$N$11),"x","")</f>
        <v/>
      </c>
      <c r="R715" s="525" t="str">
        <f>IF(ISERROR(FIND('112'!$M$9,G715,1)),"",IF((AND(FIND('112'!$M$9,G715,1)&gt;=1,$B715&gt;='112'!$N$8,$B715&lt;='112'!$O$8,OR($L715='112'!$I$6,$M715='112'!$I$6))),"x",""))</f>
        <v/>
      </c>
      <c r="S715" s="525" t="str">
        <f>IF(ISERROR(FIND('112'!$M$9,G715,1)),"",IF((AND(LEFT(G715,2)=LEFT('112'!$M$9,2),B715&lt;'112'!$N$8,$L715='112'!$I$6)),"x",""))</f>
        <v/>
      </c>
      <c r="T715" s="525" t="str">
        <f>IF(ISERROR(FIND('112'!$M$9,G715,1)),"",IF((AND(RIGHT(G715,2)=RIGHT('112'!$M$9,2),B715&lt;'112'!$N$8,$M715='112'!$I$6)),"x",""))</f>
        <v>x</v>
      </c>
      <c r="U715" s="525" t="str">
        <f>IF(AND(B715&gt;='IN-NX'!$P$3,B715&lt;='IN-NX'!$Q$3,'IN-NX'!$D$7=D715,OR(LEFT(L715,2)="15",AND(LEFT(M715,2)&lt;&gt;"15",LEFT(M715,2)&lt;&gt;"33"))),"x","")</f>
        <v/>
      </c>
      <c r="V715" s="525" t="str">
        <f>IF(AND(OR(LEFT(TH!L715,2)="15",LEFT(TH!M715,2)="15"),'152-CT'!$J$8=TH!F715),"x","")</f>
        <v/>
      </c>
      <c r="W715" s="525" t="str">
        <f>IF(AND(OR(LEFT(TH!L715,2)="15",LEFT(TH!M715,2)="15"),TK!$E$7=TH!F715),"x","")</f>
        <v/>
      </c>
      <c r="X715" s="525" t="str">
        <f>IF(AND('341-CT'!$E$9=H715,OR(LEFT(L715,3)=$X$7,LEFT(M715,3)=$X$7)),"x","")</f>
        <v/>
      </c>
      <c r="Y715" s="525" t="str">
        <f>IF(OR(TH!L715=TH!$Y$7,M715=TH!$Y$7),"x","")</f>
        <v/>
      </c>
      <c r="Z715" s="525" t="str">
        <f>IF(AND(B715&lt;=NKC!$N$8,B715&gt;=NKC!$M$8),"x","")</f>
        <v/>
      </c>
      <c r="AA715" s="535">
        <v>3</v>
      </c>
      <c r="AB715" s="536"/>
    </row>
    <row r="716" spans="1:28" s="503" customFormat="1" ht="15.75" customHeight="1">
      <c r="A716" s="517" t="str">
        <f>IF(B716&lt;&gt;"",IF(AND(B716&gt;=_TM1,B716&lt;=_TM2,OR(TH!L716="1111",TH!M716="1111")),TH!D716,""),"")</f>
        <v/>
      </c>
      <c r="B716" s="531">
        <f t="shared" si="81"/>
        <v>8</v>
      </c>
      <c r="C716" s="315">
        <f t="shared" si="82"/>
        <v>42968</v>
      </c>
      <c r="D716" s="315" t="s">
        <v>461</v>
      </c>
      <c r="E716" s="288">
        <v>42968</v>
      </c>
      <c r="F716" s="249" t="s">
        <v>828</v>
      </c>
      <c r="G716" s="314" t="s">
        <v>440</v>
      </c>
      <c r="H716" s="621" t="s">
        <v>1272</v>
      </c>
      <c r="I716" s="307"/>
      <c r="J716" s="307"/>
      <c r="K716" s="532">
        <v>1248867</v>
      </c>
      <c r="L716" s="533" t="s">
        <v>79</v>
      </c>
      <c r="M716" s="533" t="s">
        <v>24</v>
      </c>
      <c r="N716" s="525" t="str">
        <f>IF(AND('331-CT'!$E$7=TH!H716,OR(L716="331",M716="331")),"331",IF(AND(OR(L716="131",M716="131"),H716='131-CT'!$E$7),"131",""))</f>
        <v/>
      </c>
      <c r="O716" s="525" t="str">
        <f>IF(AND($B716&gt;='111'!$N$11,$B716&lt;='111'!$O$11,OR($L716=$O$7,$M716=$O$7)),"x","")</f>
        <v/>
      </c>
      <c r="P716" s="525" t="str">
        <f>IF(AND($L716=$O$7,$B716&lt;'111'!$N$11),"x","")</f>
        <v/>
      </c>
      <c r="Q716" s="525" t="str">
        <f>IF(AND($M716=$O$7,$B716&lt;'111'!$N$11),"x","")</f>
        <v/>
      </c>
      <c r="R716" s="525" t="str">
        <f>IF(ISERROR(FIND('112'!$M$9,G716,1)),"",IF((AND(FIND('112'!$M$9,G716,1)&gt;=1,$B716&gt;='112'!$N$8,$B716&lt;='112'!$O$8,OR($L716='112'!$I$6,$M716='112'!$I$6))),"x",""))</f>
        <v/>
      </c>
      <c r="S716" s="525" t="str">
        <f>IF(ISERROR(FIND('112'!$M$9,G716,1)),"",IF((AND(LEFT(G716,2)=LEFT('112'!$M$9,2),B716&lt;'112'!$N$8,$L716='112'!$I$6)),"x",""))</f>
        <v/>
      </c>
      <c r="T716" s="525" t="str">
        <f>IF(ISERROR(FIND('112'!$M$9,G716,1)),"",IF((AND(RIGHT(G716,2)=RIGHT('112'!$M$9,2),B716&lt;'112'!$N$8,$M716='112'!$I$6)),"x",""))</f>
        <v>x</v>
      </c>
      <c r="U716" s="525" t="str">
        <f>IF(AND(B716&gt;='IN-NX'!$P$3,B716&lt;='IN-NX'!$Q$3,'IN-NX'!$D$7=D716,OR(LEFT(L716,2)="15",AND(LEFT(M716,2)&lt;&gt;"15",LEFT(M716,2)&lt;&gt;"33"))),"x","")</f>
        <v/>
      </c>
      <c r="V716" s="525" t="str">
        <f>IF(AND(OR(LEFT(TH!L716,2)="15",LEFT(TH!M716,2)="15"),'152-CT'!$J$8=TH!F716),"x","")</f>
        <v/>
      </c>
      <c r="W716" s="525" t="str">
        <f>IF(AND(OR(LEFT(TH!L716,2)="15",LEFT(TH!M716,2)="15"),TK!$E$7=TH!F716),"x","")</f>
        <v/>
      </c>
      <c r="X716" s="525" t="str">
        <f>IF(AND('341-CT'!$E$9=H716,OR(LEFT(L716,3)=$X$7,LEFT(M716,3)=$X$7)),"x","")</f>
        <v/>
      </c>
      <c r="Y716" s="525" t="str">
        <f>IF(OR(TH!L716=TH!$Y$7,M716=TH!$Y$7),"x","")</f>
        <v/>
      </c>
      <c r="Z716" s="525" t="str">
        <f>IF(AND(B716&lt;=NKC!$N$8,B716&gt;=NKC!$M$8),"x","")</f>
        <v/>
      </c>
      <c r="AA716" s="535"/>
    </row>
    <row r="717" spans="1:28" s="503" customFormat="1" ht="15.75" customHeight="1">
      <c r="A717" s="517" t="str">
        <f>IF(B717&lt;&gt;"",IF(AND(B717&gt;=_TM1,B717&lt;=_TM2,OR(TH!L717="1111",TH!M717="1111")),TH!D717,""),"")</f>
        <v/>
      </c>
      <c r="B717" s="531">
        <f t="shared" si="81"/>
        <v>8</v>
      </c>
      <c r="C717" s="315">
        <f t="shared" si="82"/>
        <v>42968</v>
      </c>
      <c r="D717" s="315" t="s">
        <v>461</v>
      </c>
      <c r="E717" s="288">
        <v>42968</v>
      </c>
      <c r="F717" s="249" t="s">
        <v>829</v>
      </c>
      <c r="G717" s="314" t="s">
        <v>440</v>
      </c>
      <c r="H717" s="621" t="s">
        <v>1272</v>
      </c>
      <c r="I717" s="307"/>
      <c r="J717" s="307"/>
      <c r="K717" s="532">
        <v>11140000</v>
      </c>
      <c r="L717" s="534" t="s">
        <v>441</v>
      </c>
      <c r="M717" s="533" t="s">
        <v>24</v>
      </c>
      <c r="N717" s="525" t="str">
        <f>IF(AND('331-CT'!$E$7=TH!H717,OR(L717="331",M717="331")),"331",IF(AND(OR(L717="131",M717="131"),H717='131-CT'!$E$7),"131",""))</f>
        <v/>
      </c>
      <c r="O717" s="525" t="str">
        <f>IF(AND($B717&gt;='111'!$N$11,$B717&lt;='111'!$O$11,OR($L717=$O$7,$M717=$O$7)),"x","")</f>
        <v/>
      </c>
      <c r="P717" s="525" t="str">
        <f>IF(AND($L717=$O$7,$B717&lt;'111'!$N$11),"x","")</f>
        <v/>
      </c>
      <c r="Q717" s="525" t="str">
        <f>IF(AND($M717=$O$7,$B717&lt;'111'!$N$11),"x","")</f>
        <v/>
      </c>
      <c r="R717" s="525" t="str">
        <f>IF(ISERROR(FIND('112'!$M$9,G717,1)),"",IF((AND(FIND('112'!$M$9,G717,1)&gt;=1,$B717&gt;='112'!$N$8,$B717&lt;='112'!$O$8,OR($L717='112'!$I$6,$M717='112'!$I$6))),"x",""))</f>
        <v/>
      </c>
      <c r="S717" s="525" t="str">
        <f>IF(ISERROR(FIND('112'!$M$9,G717,1)),"",IF((AND(LEFT(G717,2)=LEFT('112'!$M$9,2),B717&lt;'112'!$N$8,$L717='112'!$I$6)),"x",""))</f>
        <v/>
      </c>
      <c r="T717" s="525" t="str">
        <f>IF(ISERROR(FIND('112'!$M$9,G717,1)),"",IF((AND(RIGHT(G717,2)=RIGHT('112'!$M$9,2),B717&lt;'112'!$N$8,$M717='112'!$I$6)),"x",""))</f>
        <v>x</v>
      </c>
      <c r="U717" s="525" t="str">
        <f>IF(AND(B717&gt;='IN-NX'!$P$3,B717&lt;='IN-NX'!$Q$3,'IN-NX'!$D$7=D717,OR(LEFT(L717,2)="15",AND(LEFT(M717,2)&lt;&gt;"15",LEFT(M717,2)&lt;&gt;"33"))),"x","")</f>
        <v/>
      </c>
      <c r="V717" s="525" t="str">
        <f>IF(AND(OR(LEFT(TH!L717,2)="15",LEFT(TH!M717,2)="15"),'152-CT'!$J$8=TH!F717),"x","")</f>
        <v/>
      </c>
      <c r="W717" s="525" t="str">
        <f>IF(AND(OR(LEFT(TH!L717,2)="15",LEFT(TH!M717,2)="15"),TK!$E$7=TH!F717),"x","")</f>
        <v/>
      </c>
      <c r="X717" s="525" t="str">
        <f>IF(AND('341-CT'!$E$9=H717,OR(LEFT(L717,3)=$X$7,LEFT(M717,3)=$X$7)),"x","")</f>
        <v/>
      </c>
      <c r="Y717" s="525" t="str">
        <f>IF(OR(TH!L717=TH!$Y$7,M717=TH!$Y$7),"x","")</f>
        <v/>
      </c>
      <c r="Z717" s="525" t="str">
        <f>IF(AND(B717&lt;=NKC!$N$8,B717&gt;=NKC!$M$8),"x","")</f>
        <v/>
      </c>
      <c r="AA717" s="535"/>
    </row>
    <row r="718" spans="1:28" s="503" customFormat="1" ht="15.75" customHeight="1">
      <c r="A718" s="517" t="str">
        <f>IF(B718&lt;&gt;"",IF(AND(B718&gt;=_TM1,B718&lt;=_TM2,OR(TH!L718="1111",TH!M718="1111")),TH!D718,""),"")</f>
        <v/>
      </c>
      <c r="B718" s="531">
        <f t="shared" si="81"/>
        <v>8</v>
      </c>
      <c r="C718" s="315">
        <f t="shared" si="82"/>
        <v>42968</v>
      </c>
      <c r="D718" s="315" t="s">
        <v>461</v>
      </c>
      <c r="E718" s="288">
        <v>42968</v>
      </c>
      <c r="F718" s="249" t="s">
        <v>828</v>
      </c>
      <c r="G718" s="314" t="s">
        <v>440</v>
      </c>
      <c r="H718" s="621" t="s">
        <v>1276</v>
      </c>
      <c r="I718" s="307"/>
      <c r="J718" s="307"/>
      <c r="K718" s="532">
        <v>1658427</v>
      </c>
      <c r="L718" s="533" t="s">
        <v>79</v>
      </c>
      <c r="M718" s="533" t="s">
        <v>24</v>
      </c>
      <c r="N718" s="525" t="str">
        <f>IF(AND('331-CT'!$E$7=TH!H718,OR(L718="331",M718="331")),"331",IF(AND(OR(L718="131",M718="131"),H718='131-CT'!$E$7),"131",""))</f>
        <v/>
      </c>
      <c r="O718" s="525" t="str">
        <f>IF(AND($B718&gt;='111'!$N$11,$B718&lt;='111'!$O$11,OR($L718=$O$7,$M718=$O$7)),"x","")</f>
        <v/>
      </c>
      <c r="P718" s="525" t="str">
        <f>IF(AND($L718=$O$7,$B718&lt;'111'!$N$11),"x","")</f>
        <v/>
      </c>
      <c r="Q718" s="525" t="str">
        <f>IF(AND($M718=$O$7,$B718&lt;'111'!$N$11),"x","")</f>
        <v/>
      </c>
      <c r="R718" s="525" t="str">
        <f>IF(ISERROR(FIND('112'!$M$9,G718,1)),"",IF((AND(FIND('112'!$M$9,G718,1)&gt;=1,$B718&gt;='112'!$N$8,$B718&lt;='112'!$O$8,OR($L718='112'!$I$6,$M718='112'!$I$6))),"x",""))</f>
        <v/>
      </c>
      <c r="S718" s="525" t="str">
        <f>IF(ISERROR(FIND('112'!$M$9,G718,1)),"",IF((AND(LEFT(G718,2)=LEFT('112'!$M$9,2),B718&lt;'112'!$N$8,$L718='112'!$I$6)),"x",""))</f>
        <v/>
      </c>
      <c r="T718" s="525" t="str">
        <f>IF(ISERROR(FIND('112'!$M$9,G718,1)),"",IF((AND(RIGHT(G718,2)=RIGHT('112'!$M$9,2),B718&lt;'112'!$N$8,$M718='112'!$I$6)),"x",""))</f>
        <v>x</v>
      </c>
      <c r="U718" s="525" t="str">
        <f>IF(AND(B718&gt;='IN-NX'!$P$3,B718&lt;='IN-NX'!$Q$3,'IN-NX'!$D$7=D718,OR(LEFT(L718,2)="15",AND(LEFT(M718,2)&lt;&gt;"15",LEFT(M718,2)&lt;&gt;"33"))),"x","")</f>
        <v/>
      </c>
      <c r="V718" s="525" t="str">
        <f>IF(AND(OR(LEFT(TH!L718,2)="15",LEFT(TH!M718,2)="15"),'152-CT'!$J$8=TH!F718),"x","")</f>
        <v/>
      </c>
      <c r="W718" s="525" t="str">
        <f>IF(AND(OR(LEFT(TH!L718,2)="15",LEFT(TH!M718,2)="15"),TK!$E$7=TH!F718),"x","")</f>
        <v/>
      </c>
      <c r="X718" s="525" t="str">
        <f>IF(AND('341-CT'!$E$9=H718,OR(LEFT(L718,3)=$X$7,LEFT(M718,3)=$X$7)),"x","")</f>
        <v/>
      </c>
      <c r="Y718" s="525" t="str">
        <f>IF(OR(TH!L718=TH!$Y$7,M718=TH!$Y$7),"x","")</f>
        <v/>
      </c>
      <c r="Z718" s="525" t="str">
        <f>IF(AND(B718&lt;=NKC!$N$8,B718&gt;=NKC!$M$8),"x","")</f>
        <v/>
      </c>
      <c r="AA718" s="535"/>
      <c r="AB718" s="536"/>
    </row>
    <row r="719" spans="1:28" s="503" customFormat="1" ht="15.75" customHeight="1">
      <c r="A719" s="517" t="str">
        <f>IF(B719&lt;&gt;"",IF(AND(B719&gt;=_TM1,B719&lt;=_TM2,OR(TH!L719="1111",TH!M719="1111")),TH!D719,""),"")</f>
        <v/>
      </c>
      <c r="B719" s="531">
        <f t="shared" si="81"/>
        <v>8</v>
      </c>
      <c r="C719" s="315">
        <f t="shared" si="82"/>
        <v>42968</v>
      </c>
      <c r="D719" s="315" t="s">
        <v>461</v>
      </c>
      <c r="E719" s="288">
        <v>42968</v>
      </c>
      <c r="F719" s="249" t="s">
        <v>829</v>
      </c>
      <c r="G719" s="314" t="s">
        <v>440</v>
      </c>
      <c r="H719" s="621" t="s">
        <v>1276</v>
      </c>
      <c r="I719" s="307"/>
      <c r="J719" s="307"/>
      <c r="K719" s="532">
        <v>11550000</v>
      </c>
      <c r="L719" s="534" t="s">
        <v>441</v>
      </c>
      <c r="M719" s="533" t="s">
        <v>24</v>
      </c>
      <c r="N719" s="525" t="str">
        <f>IF(AND('331-CT'!$E$7=TH!H719,OR(L719="331",M719="331")),"331",IF(AND(OR(L719="131",M719="131"),H719='131-CT'!$E$7),"131",""))</f>
        <v/>
      </c>
      <c r="O719" s="525" t="str">
        <f>IF(AND($B719&gt;='111'!$N$11,$B719&lt;='111'!$O$11,OR($L719=$O$7,$M719=$O$7)),"x","")</f>
        <v/>
      </c>
      <c r="P719" s="525" t="str">
        <f>IF(AND($L719=$O$7,$B719&lt;'111'!$N$11),"x","")</f>
        <v/>
      </c>
      <c r="Q719" s="525" t="str">
        <f>IF(AND($M719=$O$7,$B719&lt;'111'!$N$11),"x","")</f>
        <v/>
      </c>
      <c r="R719" s="525" t="str">
        <f>IF(ISERROR(FIND('112'!$M$9,G719,1)),"",IF((AND(FIND('112'!$M$9,G719,1)&gt;=1,$B719&gt;='112'!$N$8,$B719&lt;='112'!$O$8,OR($L719='112'!$I$6,$M719='112'!$I$6))),"x",""))</f>
        <v/>
      </c>
      <c r="S719" s="525" t="str">
        <f>IF(ISERROR(FIND('112'!$M$9,G719,1)),"",IF((AND(LEFT(G719,2)=LEFT('112'!$M$9,2),B719&lt;'112'!$N$8,$L719='112'!$I$6)),"x",""))</f>
        <v/>
      </c>
      <c r="T719" s="525" t="str">
        <f>IF(ISERROR(FIND('112'!$M$9,G719,1)),"",IF((AND(RIGHT(G719,2)=RIGHT('112'!$M$9,2),B719&lt;'112'!$N$8,$M719='112'!$I$6)),"x",""))</f>
        <v>x</v>
      </c>
      <c r="U719" s="525" t="str">
        <f>IF(AND(B719&gt;='IN-NX'!$P$3,B719&lt;='IN-NX'!$Q$3,'IN-NX'!$D$7=D719,OR(LEFT(L719,2)="15",AND(LEFT(M719,2)&lt;&gt;"15",LEFT(M719,2)&lt;&gt;"33"))),"x","")</f>
        <v/>
      </c>
      <c r="V719" s="525" t="str">
        <f>IF(AND(OR(LEFT(TH!L719,2)="15",LEFT(TH!M719,2)="15"),'152-CT'!$J$8=TH!F719),"x","")</f>
        <v/>
      </c>
      <c r="W719" s="525" t="str">
        <f>IF(AND(OR(LEFT(TH!L719,2)="15",LEFT(TH!M719,2)="15"),TK!$E$7=TH!F719),"x","")</f>
        <v/>
      </c>
      <c r="X719" s="525" t="str">
        <f>IF(AND('341-CT'!$E$9=H719,OR(LEFT(L719,3)=$X$7,LEFT(M719,3)=$X$7)),"x","")</f>
        <v/>
      </c>
      <c r="Y719" s="525" t="str">
        <f>IF(OR(TH!L719=TH!$Y$7,M719=TH!$Y$7),"x","")</f>
        <v/>
      </c>
      <c r="Z719" s="525" t="str">
        <f>IF(AND(B719&lt;=NKC!$N$8,B719&gt;=NKC!$M$8),"x","")</f>
        <v/>
      </c>
      <c r="AA719" s="535"/>
    </row>
    <row r="720" spans="1:28" s="503" customFormat="1" ht="15.75" customHeight="1">
      <c r="A720" s="517" t="str">
        <f>IF(B720&lt;&gt;"",IF(AND(B720&gt;=_TM1,B720&lt;=_TM2,OR(TH!L720="1111",TH!M720="1111")),TH!D720,""),"")</f>
        <v/>
      </c>
      <c r="B720" s="531">
        <f t="shared" ref="B720:B731" si="83">IF(C720&lt;&gt;"",MONTH(C720),"")</f>
        <v>8</v>
      </c>
      <c r="C720" s="315">
        <f t="shared" ref="C720:C731" si="84">E720</f>
        <v>42968</v>
      </c>
      <c r="D720" s="315" t="s">
        <v>461</v>
      </c>
      <c r="E720" s="288">
        <v>42968</v>
      </c>
      <c r="F720" s="249" t="s">
        <v>828</v>
      </c>
      <c r="G720" s="314" t="s">
        <v>440</v>
      </c>
      <c r="H720" s="621" t="s">
        <v>1274</v>
      </c>
      <c r="I720" s="307"/>
      <c r="J720" s="307"/>
      <c r="K720" s="532">
        <v>1395907</v>
      </c>
      <c r="L720" s="533" t="s">
        <v>79</v>
      </c>
      <c r="M720" s="533" t="s">
        <v>24</v>
      </c>
      <c r="N720" s="525" t="str">
        <f>IF(AND('331-CT'!$E$7=TH!H720,OR(L720="331",M720="331")),"331",IF(AND(OR(L720="131",M720="131"),H720='131-CT'!$E$7),"131",""))</f>
        <v/>
      </c>
      <c r="O720" s="525" t="str">
        <f>IF(AND($B720&gt;='111'!$N$11,$B720&lt;='111'!$O$11,OR($L720=$O$7,$M720=$O$7)),"x","")</f>
        <v/>
      </c>
      <c r="P720" s="525" t="str">
        <f>IF(AND($L720=$O$7,$B720&lt;'111'!$N$11),"x","")</f>
        <v/>
      </c>
      <c r="Q720" s="525" t="str">
        <f>IF(AND($M720=$O$7,$B720&lt;'111'!$N$11),"x","")</f>
        <v/>
      </c>
      <c r="R720" s="525" t="str">
        <f>IF(ISERROR(FIND('112'!$M$9,G720,1)),"",IF((AND(FIND('112'!$M$9,G720,1)&gt;=1,$B720&gt;='112'!$N$8,$B720&lt;='112'!$O$8,OR($L720='112'!$I$6,$M720='112'!$I$6))),"x",""))</f>
        <v/>
      </c>
      <c r="S720" s="525" t="str">
        <f>IF(ISERROR(FIND('112'!$M$9,G720,1)),"",IF((AND(LEFT(G720,2)=LEFT('112'!$M$9,2),B720&lt;'112'!$N$8,$L720='112'!$I$6)),"x",""))</f>
        <v/>
      </c>
      <c r="T720" s="525" t="str">
        <f>IF(ISERROR(FIND('112'!$M$9,G720,1)),"",IF((AND(RIGHT(G720,2)=RIGHT('112'!$M$9,2),B720&lt;'112'!$N$8,$M720='112'!$I$6)),"x",""))</f>
        <v>x</v>
      </c>
      <c r="U720" s="525" t="str">
        <f>IF(AND(B720&gt;='IN-NX'!$P$3,B720&lt;='IN-NX'!$Q$3,'IN-NX'!$D$7=D720,OR(LEFT(L720,2)="15",AND(LEFT(M720,2)&lt;&gt;"15",LEFT(M720,2)&lt;&gt;"33"))),"x","")</f>
        <v/>
      </c>
      <c r="V720" s="525" t="str">
        <f>IF(AND(OR(LEFT(TH!L720,2)="15",LEFT(TH!M720,2)="15"),'152-CT'!$J$8=TH!F720),"x","")</f>
        <v/>
      </c>
      <c r="W720" s="525" t="str">
        <f>IF(AND(OR(LEFT(TH!L720,2)="15",LEFT(TH!M720,2)="15"),TK!$E$7=TH!F720),"x","")</f>
        <v/>
      </c>
      <c r="X720" s="525" t="str">
        <f>IF(AND('341-CT'!$E$9=H720,OR(LEFT(L720,3)=$X$7,LEFT(M720,3)=$X$7)),"x","")</f>
        <v/>
      </c>
      <c r="Y720" s="525" t="str">
        <f>IF(OR(TH!L720=TH!$Y$7,M720=TH!$Y$7),"x","")</f>
        <v/>
      </c>
      <c r="Z720" s="525" t="str">
        <f>IF(AND(B720&lt;=NKC!$N$8,B720&gt;=NKC!$M$8),"x","")</f>
        <v/>
      </c>
      <c r="AA720" s="535"/>
    </row>
    <row r="721" spans="1:28" s="503" customFormat="1" ht="15.75" customHeight="1">
      <c r="A721" s="517" t="str">
        <f>IF(B721&lt;&gt;"",IF(AND(B721&gt;=_TM1,B721&lt;=_TM2,OR(TH!L721="1111",TH!M721="1111")),TH!D721,""),"")</f>
        <v/>
      </c>
      <c r="B721" s="531">
        <f t="shared" si="83"/>
        <v>8</v>
      </c>
      <c r="C721" s="315">
        <f t="shared" si="84"/>
        <v>42968</v>
      </c>
      <c r="D721" s="315" t="s">
        <v>461</v>
      </c>
      <c r="E721" s="288">
        <v>42968</v>
      </c>
      <c r="F721" s="249" t="s">
        <v>829</v>
      </c>
      <c r="G721" s="314" t="s">
        <v>440</v>
      </c>
      <c r="H721" s="621" t="s">
        <v>1274</v>
      </c>
      <c r="I721" s="307"/>
      <c r="J721" s="307"/>
      <c r="K721" s="532">
        <v>10920000</v>
      </c>
      <c r="L721" s="534" t="s">
        <v>441</v>
      </c>
      <c r="M721" s="533" t="s">
        <v>24</v>
      </c>
      <c r="N721" s="525" t="str">
        <f>IF(AND('331-CT'!$E$7=TH!H721,OR(L721="331",M721="331")),"331",IF(AND(OR(L721="131",M721="131"),H721='131-CT'!$E$7),"131",""))</f>
        <v/>
      </c>
      <c r="O721" s="525" t="str">
        <f>IF(AND($B721&gt;='111'!$N$11,$B721&lt;='111'!$O$11,OR($L721=$O$7,$M721=$O$7)),"x","")</f>
        <v/>
      </c>
      <c r="P721" s="525" t="str">
        <f>IF(AND($L721=$O$7,$B721&lt;'111'!$N$11),"x","")</f>
        <v/>
      </c>
      <c r="Q721" s="525" t="str">
        <f>IF(AND($M721=$O$7,$B721&lt;'111'!$N$11),"x","")</f>
        <v/>
      </c>
      <c r="R721" s="525" t="str">
        <f>IF(ISERROR(FIND('112'!$M$9,G721,1)),"",IF((AND(FIND('112'!$M$9,G721,1)&gt;=1,$B721&gt;='112'!$N$8,$B721&lt;='112'!$O$8,OR($L721='112'!$I$6,$M721='112'!$I$6))),"x",""))</f>
        <v/>
      </c>
      <c r="S721" s="525" t="str">
        <f>IF(ISERROR(FIND('112'!$M$9,G721,1)),"",IF((AND(LEFT(G721,2)=LEFT('112'!$M$9,2),B721&lt;'112'!$N$8,$L721='112'!$I$6)),"x",""))</f>
        <v/>
      </c>
      <c r="T721" s="525" t="str">
        <f>IF(ISERROR(FIND('112'!$M$9,G721,1)),"",IF((AND(RIGHT(G721,2)=RIGHT('112'!$M$9,2),B721&lt;'112'!$N$8,$M721='112'!$I$6)),"x",""))</f>
        <v>x</v>
      </c>
      <c r="U721" s="525" t="str">
        <f>IF(AND(B721&gt;='IN-NX'!$P$3,B721&lt;='IN-NX'!$Q$3,'IN-NX'!$D$7=D721,OR(LEFT(L721,2)="15",AND(LEFT(M721,2)&lt;&gt;"15",LEFT(M721,2)&lt;&gt;"33"))),"x","")</f>
        <v/>
      </c>
      <c r="V721" s="525" t="str">
        <f>IF(AND(OR(LEFT(TH!L721,2)="15",LEFT(TH!M721,2)="15"),'152-CT'!$J$8=TH!F721),"x","")</f>
        <v/>
      </c>
      <c r="W721" s="525" t="str">
        <f>IF(AND(OR(LEFT(TH!L721,2)="15",LEFT(TH!M721,2)="15"),TK!$E$7=TH!F721),"x","")</f>
        <v/>
      </c>
      <c r="X721" s="525" t="str">
        <f>IF(AND('341-CT'!$E$9=H721,OR(LEFT(L721,3)=$X$7,LEFT(M721,3)=$X$7)),"x","")</f>
        <v/>
      </c>
      <c r="Y721" s="525" t="str">
        <f>IF(OR(TH!L721=TH!$Y$7,M721=TH!$Y$7),"x","")</f>
        <v/>
      </c>
      <c r="Z721" s="525" t="str">
        <f>IF(AND(B721&lt;=NKC!$N$8,B721&gt;=NKC!$M$8),"x","")</f>
        <v/>
      </c>
      <c r="AA721" s="535"/>
    </row>
    <row r="722" spans="1:28" s="503" customFormat="1" ht="15.75" customHeight="1">
      <c r="A722" s="517" t="str">
        <f>IF(B722&lt;&gt;"",IF(AND(B722&gt;=_TM1,B722&lt;=_TM2,OR(TH!L722="1111",TH!M722="1111")),TH!D722,""),"")</f>
        <v/>
      </c>
      <c r="B722" s="531">
        <f t="shared" si="83"/>
        <v>8</v>
      </c>
      <c r="C722" s="315">
        <f t="shared" si="84"/>
        <v>42968</v>
      </c>
      <c r="D722" s="315" t="s">
        <v>461</v>
      </c>
      <c r="E722" s="288">
        <v>42968</v>
      </c>
      <c r="F722" s="249" t="s">
        <v>828</v>
      </c>
      <c r="G722" s="314" t="s">
        <v>440</v>
      </c>
      <c r="H722" s="621" t="s">
        <v>1266</v>
      </c>
      <c r="I722" s="307"/>
      <c r="J722" s="307"/>
      <c r="K722" s="532">
        <v>1232856</v>
      </c>
      <c r="L722" s="533" t="s">
        <v>79</v>
      </c>
      <c r="M722" s="533" t="s">
        <v>24</v>
      </c>
      <c r="N722" s="525" t="str">
        <f>IF(AND('331-CT'!$E$7=TH!H722,OR(L722="331",M722="331")),"331",IF(AND(OR(L722="131",M722="131"),H722='131-CT'!$E$7),"131",""))</f>
        <v/>
      </c>
      <c r="O722" s="525" t="str">
        <f>IF(AND($B722&gt;='111'!$N$11,$B722&lt;='111'!$O$11,OR($L722=$O$7,$M722=$O$7)),"x","")</f>
        <v/>
      </c>
      <c r="P722" s="525" t="str">
        <f>IF(AND($L722=$O$7,$B722&lt;'111'!$N$11),"x","")</f>
        <v/>
      </c>
      <c r="Q722" s="525" t="str">
        <f>IF(AND($M722=$O$7,$B722&lt;'111'!$N$11),"x","")</f>
        <v/>
      </c>
      <c r="R722" s="525" t="str">
        <f>IF(ISERROR(FIND('112'!$M$9,G722,1)),"",IF((AND(FIND('112'!$M$9,G722,1)&gt;=1,$B722&gt;='112'!$N$8,$B722&lt;='112'!$O$8,OR($L722='112'!$I$6,$M722='112'!$I$6))),"x",""))</f>
        <v/>
      </c>
      <c r="S722" s="525" t="str">
        <f>IF(ISERROR(FIND('112'!$M$9,G722,1)),"",IF((AND(LEFT(G722,2)=LEFT('112'!$M$9,2),B722&lt;'112'!$N$8,$L722='112'!$I$6)),"x",""))</f>
        <v/>
      </c>
      <c r="T722" s="525" t="str">
        <f>IF(ISERROR(FIND('112'!$M$9,G722,1)),"",IF((AND(RIGHT(G722,2)=RIGHT('112'!$M$9,2),B722&lt;'112'!$N$8,$M722='112'!$I$6)),"x",""))</f>
        <v>x</v>
      </c>
      <c r="U722" s="525" t="str">
        <f>IF(AND(B722&gt;='IN-NX'!$P$3,B722&lt;='IN-NX'!$Q$3,'IN-NX'!$D$7=D722,OR(LEFT(L722,2)="15",AND(LEFT(M722,2)&lt;&gt;"15",LEFT(M722,2)&lt;&gt;"33"))),"x","")</f>
        <v/>
      </c>
      <c r="V722" s="525" t="str">
        <f>IF(AND(OR(LEFT(TH!L722,2)="15",LEFT(TH!M722,2)="15"),'152-CT'!$J$8=TH!F722),"x","")</f>
        <v/>
      </c>
      <c r="W722" s="525" t="str">
        <f>IF(AND(OR(LEFT(TH!L722,2)="15",LEFT(TH!M722,2)="15"),TK!$E$7=TH!F722),"x","")</f>
        <v/>
      </c>
      <c r="X722" s="525" t="str">
        <f>IF(AND('341-CT'!$E$9=H722,OR(LEFT(L722,3)=$X$7,LEFT(M722,3)=$X$7)),"x","")</f>
        <v/>
      </c>
      <c r="Y722" s="525" t="str">
        <f>IF(OR(TH!L722=TH!$Y$7,M722=TH!$Y$7),"x","")</f>
        <v/>
      </c>
      <c r="Z722" s="525" t="str">
        <f>IF(AND(B722&lt;=NKC!$N$8,B722&gt;=NKC!$M$8),"x","")</f>
        <v/>
      </c>
      <c r="AA722" s="535"/>
      <c r="AB722" s="536"/>
    </row>
    <row r="723" spans="1:28" s="503" customFormat="1" ht="15.75" customHeight="1">
      <c r="A723" s="517" t="str">
        <f>IF(B723&lt;&gt;"",IF(AND(B723&gt;=_TM1,B723&lt;=_TM2,OR(TH!L723="1111",TH!M723="1111")),TH!D723,""),"")</f>
        <v/>
      </c>
      <c r="B723" s="531">
        <f t="shared" si="83"/>
        <v>8</v>
      </c>
      <c r="C723" s="315">
        <f t="shared" si="84"/>
        <v>42968</v>
      </c>
      <c r="D723" s="315" t="s">
        <v>461</v>
      </c>
      <c r="E723" s="288">
        <v>42968</v>
      </c>
      <c r="F723" s="249" t="s">
        <v>829</v>
      </c>
      <c r="G723" s="314" t="s">
        <v>440</v>
      </c>
      <c r="H723" s="621" t="s">
        <v>1266</v>
      </c>
      <c r="I723" s="307"/>
      <c r="J723" s="307"/>
      <c r="K723" s="532">
        <v>7000000</v>
      </c>
      <c r="L723" s="534" t="s">
        <v>441</v>
      </c>
      <c r="M723" s="533" t="s">
        <v>24</v>
      </c>
      <c r="N723" s="525" t="str">
        <f>IF(AND('331-CT'!$E$7=TH!H723,OR(L723="331",M723="331")),"331",IF(AND(OR(L723="131",M723="131"),H723='131-CT'!$E$7),"131",""))</f>
        <v/>
      </c>
      <c r="O723" s="525" t="str">
        <f>IF(AND($B723&gt;='111'!$N$11,$B723&lt;='111'!$O$11,OR($L723=$O$7,$M723=$O$7)),"x","")</f>
        <v/>
      </c>
      <c r="P723" s="525" t="str">
        <f>IF(AND($L723=$O$7,$B723&lt;'111'!$N$11),"x","")</f>
        <v/>
      </c>
      <c r="Q723" s="525" t="str">
        <f>IF(AND($M723=$O$7,$B723&lt;'111'!$N$11),"x","")</f>
        <v/>
      </c>
      <c r="R723" s="525" t="str">
        <f>IF(ISERROR(FIND('112'!$M$9,G723,1)),"",IF((AND(FIND('112'!$M$9,G723,1)&gt;=1,$B723&gt;='112'!$N$8,$B723&lt;='112'!$O$8,OR($L723='112'!$I$6,$M723='112'!$I$6))),"x",""))</f>
        <v/>
      </c>
      <c r="S723" s="525" t="str">
        <f>IF(ISERROR(FIND('112'!$M$9,G723,1)),"",IF((AND(LEFT(G723,2)=LEFT('112'!$M$9,2),B723&lt;'112'!$N$8,$L723='112'!$I$6)),"x",""))</f>
        <v/>
      </c>
      <c r="T723" s="525" t="str">
        <f>IF(ISERROR(FIND('112'!$M$9,G723,1)),"",IF((AND(RIGHT(G723,2)=RIGHT('112'!$M$9,2),B723&lt;'112'!$N$8,$M723='112'!$I$6)),"x",""))</f>
        <v>x</v>
      </c>
      <c r="U723" s="525" t="str">
        <f>IF(AND(B723&gt;='IN-NX'!$P$3,B723&lt;='IN-NX'!$Q$3,'IN-NX'!$D$7=D723,OR(LEFT(L723,2)="15",AND(LEFT(M723,2)&lt;&gt;"15",LEFT(M723,2)&lt;&gt;"33"))),"x","")</f>
        <v/>
      </c>
      <c r="V723" s="525" t="str">
        <f>IF(AND(OR(LEFT(TH!L723,2)="15",LEFT(TH!M723,2)="15"),'152-CT'!$J$8=TH!F723),"x","")</f>
        <v/>
      </c>
      <c r="W723" s="525" t="str">
        <f>IF(AND(OR(LEFT(TH!L723,2)="15",LEFT(TH!M723,2)="15"),TK!$E$7=TH!F723),"x","")</f>
        <v/>
      </c>
      <c r="X723" s="525" t="str">
        <f>IF(AND('341-CT'!$E$9=H723,OR(LEFT(L723,3)=$X$7,LEFT(M723,3)=$X$7)),"x","")</f>
        <v/>
      </c>
      <c r="Y723" s="525" t="str">
        <f>IF(OR(TH!L723=TH!$Y$7,M723=TH!$Y$7),"x","")</f>
        <v/>
      </c>
      <c r="Z723" s="525" t="str">
        <f>IF(AND(B723&lt;=NKC!$N$8,B723&gt;=NKC!$M$8),"x","")</f>
        <v/>
      </c>
      <c r="AA723" s="535"/>
    </row>
    <row r="724" spans="1:28" s="503" customFormat="1" ht="15.75" customHeight="1">
      <c r="A724" s="517" t="str">
        <f>IF(B724&lt;&gt;"",IF(AND(B724&gt;=_TM1,B724&lt;=_TM2,OR(TH!L724="1111",TH!M724="1111")),TH!D724,""),"")</f>
        <v/>
      </c>
      <c r="B724" s="531">
        <f t="shared" si="83"/>
        <v>8</v>
      </c>
      <c r="C724" s="315">
        <f t="shared" si="84"/>
        <v>42968</v>
      </c>
      <c r="D724" s="315" t="s">
        <v>461</v>
      </c>
      <c r="E724" s="288">
        <v>42968</v>
      </c>
      <c r="F724" s="249" t="s">
        <v>828</v>
      </c>
      <c r="G724" s="314" t="s">
        <v>440</v>
      </c>
      <c r="H724" s="621" t="s">
        <v>1283</v>
      </c>
      <c r="I724" s="307"/>
      <c r="J724" s="307"/>
      <c r="K724" s="532">
        <v>1041444</v>
      </c>
      <c r="L724" s="533" t="s">
        <v>79</v>
      </c>
      <c r="M724" s="533" t="s">
        <v>24</v>
      </c>
      <c r="N724" s="525" t="str">
        <f>IF(AND('331-CT'!$E$7=TH!H724,OR(L724="331",M724="331")),"331",IF(AND(OR(L724="131",M724="131"),H724='131-CT'!$E$7),"131",""))</f>
        <v/>
      </c>
      <c r="O724" s="525" t="str">
        <f>IF(AND($B724&gt;='111'!$N$11,$B724&lt;='111'!$O$11,OR($L724=$O$7,$M724=$O$7)),"x","")</f>
        <v/>
      </c>
      <c r="P724" s="525" t="str">
        <f>IF(AND($L724=$O$7,$B724&lt;'111'!$N$11),"x","")</f>
        <v/>
      </c>
      <c r="Q724" s="525" t="str">
        <f>IF(AND($M724=$O$7,$B724&lt;'111'!$N$11),"x","")</f>
        <v/>
      </c>
      <c r="R724" s="525" t="str">
        <f>IF(ISERROR(FIND('112'!$M$9,G724,1)),"",IF((AND(FIND('112'!$M$9,G724,1)&gt;=1,$B724&gt;='112'!$N$8,$B724&lt;='112'!$O$8,OR($L724='112'!$I$6,$M724='112'!$I$6))),"x",""))</f>
        <v/>
      </c>
      <c r="S724" s="525" t="str">
        <f>IF(ISERROR(FIND('112'!$M$9,G724,1)),"",IF((AND(LEFT(G724,2)=LEFT('112'!$M$9,2),B724&lt;'112'!$N$8,$L724='112'!$I$6)),"x",""))</f>
        <v/>
      </c>
      <c r="T724" s="525" t="str">
        <f>IF(ISERROR(FIND('112'!$M$9,G724,1)),"",IF((AND(RIGHT(G724,2)=RIGHT('112'!$M$9,2),B724&lt;'112'!$N$8,$M724='112'!$I$6)),"x",""))</f>
        <v>x</v>
      </c>
      <c r="U724" s="525" t="str">
        <f>IF(AND(B724&gt;='IN-NX'!$P$3,B724&lt;='IN-NX'!$Q$3,'IN-NX'!$D$7=D724,OR(LEFT(L724,2)="15",AND(LEFT(M724,2)&lt;&gt;"15",LEFT(M724,2)&lt;&gt;"33"))),"x","")</f>
        <v/>
      </c>
      <c r="V724" s="525" t="str">
        <f>IF(AND(OR(LEFT(TH!L724,2)="15",LEFT(TH!M724,2)="15"),'152-CT'!$J$8=TH!F724),"x","")</f>
        <v/>
      </c>
      <c r="W724" s="525" t="str">
        <f>IF(AND(OR(LEFT(TH!L724,2)="15",LEFT(TH!M724,2)="15"),TK!$E$7=TH!F724),"x","")</f>
        <v/>
      </c>
      <c r="X724" s="525" t="str">
        <f>IF(AND('341-CT'!$E$9=H724,OR(LEFT(L724,3)=$X$7,LEFT(M724,3)=$X$7)),"x","")</f>
        <v/>
      </c>
      <c r="Y724" s="525" t="str">
        <f>IF(OR(TH!L724=TH!$Y$7,M724=TH!$Y$7),"x","")</f>
        <v/>
      </c>
      <c r="Z724" s="525" t="str">
        <f>IF(AND(B724&lt;=NKC!$N$8,B724&gt;=NKC!$M$8),"x","")</f>
        <v/>
      </c>
      <c r="AA724" s="535"/>
    </row>
    <row r="725" spans="1:28" s="503" customFormat="1" ht="15.75" customHeight="1">
      <c r="A725" s="517" t="str">
        <f>IF(B725&lt;&gt;"",IF(AND(B725&gt;=_TM1,B725&lt;=_TM2,OR(TH!L725="1111",TH!M725="1111")),TH!D725,""),"")</f>
        <v/>
      </c>
      <c r="B725" s="531">
        <f t="shared" si="83"/>
        <v>8</v>
      </c>
      <c r="C725" s="315">
        <f t="shared" si="84"/>
        <v>42968</v>
      </c>
      <c r="D725" s="315" t="s">
        <v>461</v>
      </c>
      <c r="E725" s="288">
        <v>42968</v>
      </c>
      <c r="F725" s="249" t="s">
        <v>829</v>
      </c>
      <c r="G725" s="314" t="s">
        <v>440</v>
      </c>
      <c r="H725" s="621" t="s">
        <v>1283</v>
      </c>
      <c r="I725" s="307"/>
      <c r="J725" s="307"/>
      <c r="K725" s="532">
        <v>6261000</v>
      </c>
      <c r="L725" s="534" t="s">
        <v>441</v>
      </c>
      <c r="M725" s="533" t="s">
        <v>24</v>
      </c>
      <c r="N725" s="525" t="str">
        <f>IF(AND('331-CT'!$E$7=TH!H725,OR(L725="331",M725="331")),"331",IF(AND(OR(L725="131",M725="131"),H725='131-CT'!$E$7),"131",""))</f>
        <v/>
      </c>
      <c r="O725" s="525" t="str">
        <f>IF(AND($B725&gt;='111'!$N$11,$B725&lt;='111'!$O$11,OR($L725=$O$7,$M725=$O$7)),"x","")</f>
        <v/>
      </c>
      <c r="P725" s="525" t="str">
        <f>IF(AND($L725=$O$7,$B725&lt;'111'!$N$11),"x","")</f>
        <v/>
      </c>
      <c r="Q725" s="525" t="str">
        <f>IF(AND($M725=$O$7,$B725&lt;'111'!$N$11),"x","")</f>
        <v/>
      </c>
      <c r="R725" s="525" t="str">
        <f>IF(ISERROR(FIND('112'!$M$9,G725,1)),"",IF((AND(FIND('112'!$M$9,G725,1)&gt;=1,$B725&gt;='112'!$N$8,$B725&lt;='112'!$O$8,OR($L725='112'!$I$6,$M725='112'!$I$6))),"x",""))</f>
        <v/>
      </c>
      <c r="S725" s="525" t="str">
        <f>IF(ISERROR(FIND('112'!$M$9,G725,1)),"",IF((AND(LEFT(G725,2)=LEFT('112'!$M$9,2),B725&lt;'112'!$N$8,$L725='112'!$I$6)),"x",""))</f>
        <v/>
      </c>
      <c r="T725" s="525" t="str">
        <f>IF(ISERROR(FIND('112'!$M$9,G725,1)),"",IF((AND(RIGHT(G725,2)=RIGHT('112'!$M$9,2),B725&lt;'112'!$N$8,$M725='112'!$I$6)),"x",""))</f>
        <v>x</v>
      </c>
      <c r="U725" s="525" t="str">
        <f>IF(AND(B725&gt;='IN-NX'!$P$3,B725&lt;='IN-NX'!$Q$3,'IN-NX'!$D$7=D725,OR(LEFT(L725,2)="15",AND(LEFT(M725,2)&lt;&gt;"15",LEFT(M725,2)&lt;&gt;"33"))),"x","")</f>
        <v/>
      </c>
      <c r="V725" s="525" t="str">
        <f>IF(AND(OR(LEFT(TH!L725,2)="15",LEFT(TH!M725,2)="15"),'152-CT'!$J$8=TH!F725),"x","")</f>
        <v/>
      </c>
      <c r="W725" s="525" t="str">
        <f>IF(AND(OR(LEFT(TH!L725,2)="15",LEFT(TH!M725,2)="15"),TK!$E$7=TH!F725),"x","")</f>
        <v/>
      </c>
      <c r="X725" s="525" t="str">
        <f>IF(AND('341-CT'!$E$9=H725,OR(LEFT(L725,3)=$X$7,LEFT(M725,3)=$X$7)),"x","")</f>
        <v/>
      </c>
      <c r="Y725" s="525" t="str">
        <f>IF(OR(TH!L725=TH!$Y$7,M725=TH!$Y$7),"x","")</f>
        <v/>
      </c>
      <c r="Z725" s="525" t="str">
        <f>IF(AND(B725&lt;=NKC!$N$8,B725&gt;=NKC!$M$8),"x","")</f>
        <v/>
      </c>
      <c r="AA725" s="535"/>
      <c r="AB725" s="536"/>
    </row>
    <row r="726" spans="1:28" s="503" customFormat="1" ht="15.75" customHeight="1">
      <c r="A726" s="517" t="str">
        <f>IF(B726&lt;&gt;"",IF(AND(B726&gt;=_TM1,B726&lt;=_TM2,OR(TH!L726="1111",TH!M726="1111")),TH!D726,""),"")</f>
        <v/>
      </c>
      <c r="B726" s="531">
        <f t="shared" si="83"/>
        <v>8</v>
      </c>
      <c r="C726" s="315">
        <f t="shared" si="84"/>
        <v>42969</v>
      </c>
      <c r="D726" s="315" t="s">
        <v>461</v>
      </c>
      <c r="E726" s="288">
        <v>42969</v>
      </c>
      <c r="F726" s="249" t="s">
        <v>828</v>
      </c>
      <c r="G726" s="314" t="s">
        <v>440</v>
      </c>
      <c r="H726" s="621" t="s">
        <v>1271</v>
      </c>
      <c r="I726" s="307"/>
      <c r="J726" s="307"/>
      <c r="K726" s="532">
        <v>6128</v>
      </c>
      <c r="L726" s="533" t="s">
        <v>79</v>
      </c>
      <c r="M726" s="533" t="s">
        <v>24</v>
      </c>
      <c r="N726" s="525" t="str">
        <f>IF(AND('331-CT'!$E$7=TH!H726,OR(L726="331",M726="331")),"331",IF(AND(OR(L726="131",M726="131"),H726='131-CT'!$E$7),"131",""))</f>
        <v/>
      </c>
      <c r="O726" s="525" t="str">
        <f>IF(AND($B726&gt;='111'!$N$11,$B726&lt;='111'!$O$11,OR($L726=$O$7,$M726=$O$7)),"x","")</f>
        <v/>
      </c>
      <c r="P726" s="525" t="str">
        <f>IF(AND($L726=$O$7,$B726&lt;'111'!$N$11),"x","")</f>
        <v/>
      </c>
      <c r="Q726" s="525" t="str">
        <f>IF(AND($M726=$O$7,$B726&lt;'111'!$N$11),"x","")</f>
        <v/>
      </c>
      <c r="R726" s="525" t="str">
        <f>IF(ISERROR(FIND('112'!$M$9,G726,1)),"",IF((AND(FIND('112'!$M$9,G726,1)&gt;=1,$B726&gt;='112'!$N$8,$B726&lt;='112'!$O$8,OR($L726='112'!$I$6,$M726='112'!$I$6))),"x",""))</f>
        <v/>
      </c>
      <c r="S726" s="525" t="str">
        <f>IF(ISERROR(FIND('112'!$M$9,G726,1)),"",IF((AND(LEFT(G726,2)=LEFT('112'!$M$9,2),B726&lt;'112'!$N$8,$L726='112'!$I$6)),"x",""))</f>
        <v/>
      </c>
      <c r="T726" s="525" t="str">
        <f>IF(ISERROR(FIND('112'!$M$9,G726,1)),"",IF((AND(RIGHT(G726,2)=RIGHT('112'!$M$9,2),B726&lt;'112'!$N$8,$M726='112'!$I$6)),"x",""))</f>
        <v>x</v>
      </c>
      <c r="U726" s="525" t="str">
        <f>IF(AND(B726&gt;='IN-NX'!$P$3,B726&lt;='IN-NX'!$Q$3,'IN-NX'!$D$7=D726,OR(LEFT(L726,2)="15",AND(LEFT(M726,2)&lt;&gt;"15",LEFT(M726,2)&lt;&gt;"33"))),"x","")</f>
        <v/>
      </c>
      <c r="V726" s="525" t="str">
        <f>IF(AND(OR(LEFT(TH!L726,2)="15",LEFT(TH!M726,2)="15"),'152-CT'!$J$8=TH!F726),"x","")</f>
        <v/>
      </c>
      <c r="W726" s="525" t="str">
        <f>IF(AND(OR(LEFT(TH!L726,2)="15",LEFT(TH!M726,2)="15"),TK!$E$7=TH!F726),"x","")</f>
        <v/>
      </c>
      <c r="X726" s="525" t="str">
        <f>IF(AND('341-CT'!$E$9=H726,OR(LEFT(L726,3)=$X$7,LEFT(M726,3)=$X$7)),"x","")</f>
        <v/>
      </c>
      <c r="Y726" s="525" t="str">
        <f>IF(OR(TH!L726=TH!$Y$7,M726=TH!$Y$7),"x","")</f>
        <v/>
      </c>
      <c r="Z726" s="525" t="str">
        <f>IF(AND(B726&lt;=NKC!$N$8,B726&gt;=NKC!$M$8),"x","")</f>
        <v/>
      </c>
      <c r="AA726" s="535"/>
    </row>
    <row r="727" spans="1:28" s="503" customFormat="1" ht="15.75" customHeight="1">
      <c r="A727" s="517" t="str">
        <f>IF(B727&lt;&gt;"",IF(AND(B727&gt;=_TM1,B727&lt;=_TM2,OR(TH!L727="1111",TH!M727="1111")),TH!D727,""),"")</f>
        <v/>
      </c>
      <c r="B727" s="531">
        <f t="shared" si="83"/>
        <v>8</v>
      </c>
      <c r="C727" s="315">
        <f t="shared" si="84"/>
        <v>42969</v>
      </c>
      <c r="D727" s="315" t="s">
        <v>461</v>
      </c>
      <c r="E727" s="288">
        <v>42969</v>
      </c>
      <c r="F727" s="249" t="s">
        <v>828</v>
      </c>
      <c r="G727" s="314" t="s">
        <v>440</v>
      </c>
      <c r="H727" s="621" t="s">
        <v>1271</v>
      </c>
      <c r="I727" s="307"/>
      <c r="J727" s="307"/>
      <c r="K727" s="532">
        <v>12256</v>
      </c>
      <c r="L727" s="533" t="s">
        <v>79</v>
      </c>
      <c r="M727" s="533" t="s">
        <v>24</v>
      </c>
      <c r="N727" s="525" t="str">
        <f>IF(AND('331-CT'!$E$7=TH!H727,OR(L727="331",M727="331")),"331",IF(AND(OR(L727="131",M727="131"),H727='131-CT'!$E$7),"131",""))</f>
        <v/>
      </c>
      <c r="O727" s="525" t="str">
        <f>IF(AND($B727&gt;='111'!$N$11,$B727&lt;='111'!$O$11,OR($L727=$O$7,$M727=$O$7)),"x","")</f>
        <v/>
      </c>
      <c r="P727" s="525" t="str">
        <f>IF(AND($L727=$O$7,$B727&lt;'111'!$N$11),"x","")</f>
        <v/>
      </c>
      <c r="Q727" s="525" t="str">
        <f>IF(AND($M727=$O$7,$B727&lt;'111'!$N$11),"x","")</f>
        <v/>
      </c>
      <c r="R727" s="525" t="str">
        <f>IF(ISERROR(FIND('112'!$M$9,G727,1)),"",IF((AND(FIND('112'!$M$9,G727,1)&gt;=1,$B727&gt;='112'!$N$8,$B727&lt;='112'!$O$8,OR($L727='112'!$I$6,$M727='112'!$I$6))),"x",""))</f>
        <v/>
      </c>
      <c r="S727" s="525" t="str">
        <f>IF(ISERROR(FIND('112'!$M$9,G727,1)),"",IF((AND(LEFT(G727,2)=LEFT('112'!$M$9,2),B727&lt;'112'!$N$8,$L727='112'!$I$6)),"x",""))</f>
        <v/>
      </c>
      <c r="T727" s="525" t="str">
        <f>IF(ISERROR(FIND('112'!$M$9,G727,1)),"",IF((AND(RIGHT(G727,2)=RIGHT('112'!$M$9,2),B727&lt;'112'!$N$8,$M727='112'!$I$6)),"x",""))</f>
        <v>x</v>
      </c>
      <c r="U727" s="525" t="str">
        <f>IF(AND(B727&gt;='IN-NX'!$P$3,B727&lt;='IN-NX'!$Q$3,'IN-NX'!$D$7=D727,OR(LEFT(L727,2)="15",AND(LEFT(M727,2)&lt;&gt;"15",LEFT(M727,2)&lt;&gt;"33"))),"x","")</f>
        <v/>
      </c>
      <c r="V727" s="525" t="str">
        <f>IF(AND(OR(LEFT(TH!L727,2)="15",LEFT(TH!M727,2)="15"),'152-CT'!$J$8=TH!F727),"x","")</f>
        <v/>
      </c>
      <c r="W727" s="525" t="str">
        <f>IF(AND(OR(LEFT(TH!L727,2)="15",LEFT(TH!M727,2)="15"),TK!$E$7=TH!F727),"x","")</f>
        <v/>
      </c>
      <c r="X727" s="525" t="str">
        <f>IF(AND('341-CT'!$E$9=H727,OR(LEFT(L727,3)=$X$7,LEFT(M727,3)=$X$7)),"x","")</f>
        <v/>
      </c>
      <c r="Y727" s="525" t="str">
        <f>IF(OR(TH!L727=TH!$Y$7,M727=TH!$Y$7),"x","")</f>
        <v/>
      </c>
      <c r="Z727" s="525" t="str">
        <f>IF(AND(B727&lt;=NKC!$N$8,B727&gt;=NKC!$M$8),"x","")</f>
        <v/>
      </c>
      <c r="AA727" s="535"/>
      <c r="AB727" s="536"/>
    </row>
    <row r="728" spans="1:28" s="503" customFormat="1" ht="15.75" customHeight="1">
      <c r="A728" s="517" t="str">
        <f>IF(B728&lt;&gt;"",IF(AND(B728&gt;=_TM1,B728&lt;=_TM2,OR(TH!L728="1111",TH!M728="1111")),TH!D728,""),"")</f>
        <v/>
      </c>
      <c r="B728" s="531">
        <f t="shared" si="83"/>
        <v>8</v>
      </c>
      <c r="C728" s="315">
        <f t="shared" si="84"/>
        <v>42969</v>
      </c>
      <c r="D728" s="315" t="s">
        <v>461</v>
      </c>
      <c r="E728" s="288">
        <v>42969</v>
      </c>
      <c r="F728" s="249" t="s">
        <v>828</v>
      </c>
      <c r="G728" s="314" t="s">
        <v>440</v>
      </c>
      <c r="H728" s="621" t="s">
        <v>1271</v>
      </c>
      <c r="I728" s="307"/>
      <c r="J728" s="307"/>
      <c r="K728" s="532">
        <v>2478952</v>
      </c>
      <c r="L728" s="533" t="s">
        <v>79</v>
      </c>
      <c r="M728" s="533" t="s">
        <v>24</v>
      </c>
      <c r="N728" s="525" t="str">
        <f>IF(AND('331-CT'!$E$7=TH!H728,OR(L728="331",M728="331")),"331",IF(AND(OR(L728="131",M728="131"),H728='131-CT'!$E$7),"131",""))</f>
        <v/>
      </c>
      <c r="O728" s="525" t="str">
        <f>IF(AND($B728&gt;='111'!$N$11,$B728&lt;='111'!$O$11,OR($L728=$O$7,$M728=$O$7)),"x","")</f>
        <v/>
      </c>
      <c r="P728" s="525" t="str">
        <f>IF(AND($L728=$O$7,$B728&lt;'111'!$N$11),"x","")</f>
        <v/>
      </c>
      <c r="Q728" s="525" t="str">
        <f>IF(AND($M728=$O$7,$B728&lt;'111'!$N$11),"x","")</f>
        <v/>
      </c>
      <c r="R728" s="525" t="str">
        <f>IF(ISERROR(FIND('112'!$M$9,G728,1)),"",IF((AND(FIND('112'!$M$9,G728,1)&gt;=1,$B728&gt;='112'!$N$8,$B728&lt;='112'!$O$8,OR($L728='112'!$I$6,$M728='112'!$I$6))),"x",""))</f>
        <v/>
      </c>
      <c r="S728" s="525" t="str">
        <f>IF(ISERROR(FIND('112'!$M$9,G728,1)),"",IF((AND(LEFT(G728,2)=LEFT('112'!$M$9,2),B728&lt;'112'!$N$8,$L728='112'!$I$6)),"x",""))</f>
        <v/>
      </c>
      <c r="T728" s="525" t="str">
        <f>IF(ISERROR(FIND('112'!$M$9,G728,1)),"",IF((AND(RIGHT(G728,2)=RIGHT('112'!$M$9,2),B728&lt;'112'!$N$8,$M728='112'!$I$6)),"x",""))</f>
        <v>x</v>
      </c>
      <c r="U728" s="525" t="str">
        <f>IF(AND(B728&gt;='IN-NX'!$P$3,B728&lt;='IN-NX'!$Q$3,'IN-NX'!$D$7=D728,OR(LEFT(L728,2)="15",AND(LEFT(M728,2)&lt;&gt;"15",LEFT(M728,2)&lt;&gt;"33"))),"x","")</f>
        <v/>
      </c>
      <c r="V728" s="525" t="str">
        <f>IF(AND(OR(LEFT(TH!L728,2)="15",LEFT(TH!M728,2)="15"),'152-CT'!$J$8=TH!F728),"x","")</f>
        <v/>
      </c>
      <c r="W728" s="525" t="str">
        <f>IF(AND(OR(LEFT(TH!L728,2)="15",LEFT(TH!M728,2)="15"),TK!$E$7=TH!F728),"x","")</f>
        <v/>
      </c>
      <c r="X728" s="525" t="str">
        <f>IF(AND('341-CT'!$E$9=H728,OR(LEFT(L728,3)=$X$7,LEFT(M728,3)=$X$7)),"x","")</f>
        <v/>
      </c>
      <c r="Y728" s="525" t="str">
        <f>IF(OR(TH!L728=TH!$Y$7,M728=TH!$Y$7),"x","")</f>
        <v/>
      </c>
      <c r="Z728" s="525" t="str">
        <f>IF(AND(B728&lt;=NKC!$N$8,B728&gt;=NKC!$M$8),"x","")</f>
        <v/>
      </c>
      <c r="AA728" s="535"/>
    </row>
    <row r="729" spans="1:28" s="503" customFormat="1" ht="15.75" customHeight="1">
      <c r="A729" s="517" t="str">
        <f>IF(B729&lt;&gt;"",IF(AND(B729&gt;=_TM1,B729&lt;=_TM2,OR(TH!L729="1111",TH!M729="1111")),TH!D729,""),"")</f>
        <v/>
      </c>
      <c r="B729" s="531">
        <f t="shared" si="83"/>
        <v>8</v>
      </c>
      <c r="C729" s="315">
        <f t="shared" si="84"/>
        <v>42969</v>
      </c>
      <c r="D729" s="315" t="s">
        <v>461</v>
      </c>
      <c r="E729" s="288">
        <v>42969</v>
      </c>
      <c r="F729" s="249" t="s">
        <v>829</v>
      </c>
      <c r="G729" s="314" t="s">
        <v>440</v>
      </c>
      <c r="H729" s="621" t="s">
        <v>1271</v>
      </c>
      <c r="I729" s="307"/>
      <c r="J729" s="307"/>
      <c r="K729" s="532">
        <v>17502664</v>
      </c>
      <c r="L729" s="534" t="s">
        <v>441</v>
      </c>
      <c r="M729" s="533" t="s">
        <v>24</v>
      </c>
      <c r="N729" s="525" t="str">
        <f>IF(AND('331-CT'!$E$7=TH!H729,OR(L729="331",M729="331")),"331",IF(AND(OR(L729="131",M729="131"),H729='131-CT'!$E$7),"131",""))</f>
        <v/>
      </c>
      <c r="O729" s="525" t="str">
        <f>IF(AND($B729&gt;='111'!$N$11,$B729&lt;='111'!$O$11,OR($L729=$O$7,$M729=$O$7)),"x","")</f>
        <v/>
      </c>
      <c r="P729" s="525" t="str">
        <f>IF(AND($L729=$O$7,$B729&lt;'111'!$N$11),"x","")</f>
        <v/>
      </c>
      <c r="Q729" s="525" t="str">
        <f>IF(AND($M729=$O$7,$B729&lt;'111'!$N$11),"x","")</f>
        <v/>
      </c>
      <c r="R729" s="525" t="str">
        <f>IF(ISERROR(FIND('112'!$M$9,G729,1)),"",IF((AND(FIND('112'!$M$9,G729,1)&gt;=1,$B729&gt;='112'!$N$8,$B729&lt;='112'!$O$8,OR($L729='112'!$I$6,$M729='112'!$I$6))),"x",""))</f>
        <v/>
      </c>
      <c r="S729" s="525" t="str">
        <f>IF(ISERROR(FIND('112'!$M$9,G729,1)),"",IF((AND(LEFT(G729,2)=LEFT('112'!$M$9,2),B729&lt;'112'!$N$8,$L729='112'!$I$6)),"x",""))</f>
        <v/>
      </c>
      <c r="T729" s="525" t="str">
        <f>IF(ISERROR(FIND('112'!$M$9,G729,1)),"",IF((AND(RIGHT(G729,2)=RIGHT('112'!$M$9,2),B729&lt;'112'!$N$8,$M729='112'!$I$6)),"x",""))</f>
        <v>x</v>
      </c>
      <c r="U729" s="525" t="str">
        <f>IF(AND(B729&gt;='IN-NX'!$P$3,B729&lt;='IN-NX'!$Q$3,'IN-NX'!$D$7=D729,OR(LEFT(L729,2)="15",AND(LEFT(M729,2)&lt;&gt;"15",LEFT(M729,2)&lt;&gt;"33"))),"x","")</f>
        <v/>
      </c>
      <c r="V729" s="525" t="str">
        <f>IF(AND(OR(LEFT(TH!L729,2)="15",LEFT(TH!M729,2)="15"),'152-CT'!$J$8=TH!F729),"x","")</f>
        <v/>
      </c>
      <c r="W729" s="525" t="str">
        <f>IF(AND(OR(LEFT(TH!L729,2)="15",LEFT(TH!M729,2)="15"),TK!$E$7=TH!F729),"x","")</f>
        <v/>
      </c>
      <c r="X729" s="525" t="str">
        <f>IF(AND('341-CT'!$E$9=H729,OR(LEFT(L729,3)=$X$7,LEFT(M729,3)=$X$7)),"x","")</f>
        <v>x</v>
      </c>
      <c r="Y729" s="525" t="str">
        <f>IF(OR(TH!L729=TH!$Y$7,M729=TH!$Y$7),"x","")</f>
        <v/>
      </c>
      <c r="Z729" s="525" t="str">
        <f>IF(AND(B729&lt;=NKC!$N$8,B729&gt;=NKC!$M$8),"x","")</f>
        <v/>
      </c>
      <c r="AA729" s="535"/>
    </row>
    <row r="730" spans="1:28" s="503" customFormat="1" ht="15.75" customHeight="1">
      <c r="A730" s="517" t="str">
        <f>IF(B730&lt;&gt;"",IF(AND(B730&gt;=_TM1,B730&lt;=_TM2,OR(TH!L730="1111",TH!M730="1111")),TH!D730,""),"")</f>
        <v/>
      </c>
      <c r="B730" s="531">
        <f t="shared" si="83"/>
        <v>8</v>
      </c>
      <c r="C730" s="315">
        <f t="shared" si="84"/>
        <v>42970</v>
      </c>
      <c r="D730" s="315" t="s">
        <v>461</v>
      </c>
      <c r="E730" s="288">
        <v>42970</v>
      </c>
      <c r="F730" s="249" t="s">
        <v>828</v>
      </c>
      <c r="G730" s="314" t="s">
        <v>440</v>
      </c>
      <c r="H730" s="621" t="s">
        <v>1271</v>
      </c>
      <c r="I730" s="307"/>
      <c r="J730" s="307"/>
      <c r="K730" s="532">
        <v>1160</v>
      </c>
      <c r="L730" s="533" t="s">
        <v>79</v>
      </c>
      <c r="M730" s="533" t="s">
        <v>24</v>
      </c>
      <c r="N730" s="525" t="str">
        <f>IF(AND('331-CT'!$E$7=TH!H730,OR(L730="331",M730="331")),"331",IF(AND(OR(L730="131",M730="131"),H730='131-CT'!$E$7),"131",""))</f>
        <v/>
      </c>
      <c r="O730" s="525" t="str">
        <f>IF(AND($B730&gt;='111'!$N$11,$B730&lt;='111'!$O$11,OR($L730=$O$7,$M730=$O$7)),"x","")</f>
        <v/>
      </c>
      <c r="P730" s="525" t="str">
        <f>IF(AND($L730=$O$7,$B730&lt;'111'!$N$11),"x","")</f>
        <v/>
      </c>
      <c r="Q730" s="525" t="str">
        <f>IF(AND($M730=$O$7,$B730&lt;'111'!$N$11),"x","")</f>
        <v/>
      </c>
      <c r="R730" s="525" t="str">
        <f>IF(ISERROR(FIND('112'!$M$9,G730,1)),"",IF((AND(FIND('112'!$M$9,G730,1)&gt;=1,$B730&gt;='112'!$N$8,$B730&lt;='112'!$O$8,OR($L730='112'!$I$6,$M730='112'!$I$6))),"x",""))</f>
        <v/>
      </c>
      <c r="S730" s="525" t="str">
        <f>IF(ISERROR(FIND('112'!$M$9,G730,1)),"",IF((AND(LEFT(G730,2)=LEFT('112'!$M$9,2),B730&lt;'112'!$N$8,$L730='112'!$I$6)),"x",""))</f>
        <v/>
      </c>
      <c r="T730" s="525" t="str">
        <f>IF(ISERROR(FIND('112'!$M$9,G730,1)),"",IF((AND(RIGHT(G730,2)=RIGHT('112'!$M$9,2),B730&lt;'112'!$N$8,$M730='112'!$I$6)),"x",""))</f>
        <v>x</v>
      </c>
      <c r="U730" s="525" t="str">
        <f>IF(AND(B730&gt;='IN-NX'!$P$3,B730&lt;='IN-NX'!$Q$3,'IN-NX'!$D$7=D730,OR(LEFT(L730,2)="15",AND(LEFT(M730,2)&lt;&gt;"15",LEFT(M730,2)&lt;&gt;"33"))),"x","")</f>
        <v/>
      </c>
      <c r="V730" s="525" t="str">
        <f>IF(AND(OR(LEFT(TH!L730,2)="15",LEFT(TH!M730,2)="15"),'152-CT'!$J$8=TH!F730),"x","")</f>
        <v/>
      </c>
      <c r="W730" s="525" t="str">
        <f>IF(AND(OR(LEFT(TH!L730,2)="15",LEFT(TH!M730,2)="15"),TK!$E$7=TH!F730),"x","")</f>
        <v/>
      </c>
      <c r="X730" s="525" t="str">
        <f>IF(AND('341-CT'!$E$9=H730,OR(LEFT(L730,3)=$X$7,LEFT(M730,3)=$X$7)),"x","")</f>
        <v/>
      </c>
      <c r="Y730" s="525" t="str">
        <f>IF(OR(TH!L730=TH!$Y$7,M730=TH!$Y$7),"x","")</f>
        <v/>
      </c>
      <c r="Z730" s="525" t="str">
        <f>IF(AND(B730&lt;=NKC!$N$8,B730&gt;=NKC!$M$8),"x","")</f>
        <v/>
      </c>
      <c r="AA730" s="535"/>
      <c r="AB730" s="536"/>
    </row>
    <row r="731" spans="1:28" s="503" customFormat="1" ht="15.75" customHeight="1">
      <c r="A731" s="517" t="str">
        <f>IF(B731&lt;&gt;"",IF(AND(B731&gt;=_TM1,B731&lt;=_TM2,OR(TH!L731="1111",TH!M731="1111")),TH!D731,""),"")</f>
        <v/>
      </c>
      <c r="B731" s="531">
        <f t="shared" si="83"/>
        <v>8</v>
      </c>
      <c r="C731" s="315">
        <f t="shared" si="84"/>
        <v>42970</v>
      </c>
      <c r="D731" s="315" t="s">
        <v>461</v>
      </c>
      <c r="E731" s="288">
        <v>42970</v>
      </c>
      <c r="F731" s="249" t="s">
        <v>828</v>
      </c>
      <c r="G731" s="314" t="s">
        <v>440</v>
      </c>
      <c r="H731" s="621" t="s">
        <v>1271</v>
      </c>
      <c r="I731" s="307"/>
      <c r="J731" s="307"/>
      <c r="K731" s="532">
        <v>2321</v>
      </c>
      <c r="L731" s="533" t="s">
        <v>79</v>
      </c>
      <c r="M731" s="533" t="s">
        <v>24</v>
      </c>
      <c r="N731" s="525" t="str">
        <f>IF(AND('331-CT'!$E$7=TH!H731,OR(L731="331",M731="331")),"331",IF(AND(OR(L731="131",M731="131"),H731='131-CT'!$E$7),"131",""))</f>
        <v/>
      </c>
      <c r="O731" s="525" t="str">
        <f>IF(AND($B731&gt;='111'!$N$11,$B731&lt;='111'!$O$11,OR($L731=$O$7,$M731=$O$7)),"x","")</f>
        <v/>
      </c>
      <c r="P731" s="525" t="str">
        <f>IF(AND($L731=$O$7,$B731&lt;'111'!$N$11),"x","")</f>
        <v/>
      </c>
      <c r="Q731" s="525" t="str">
        <f>IF(AND($M731=$O$7,$B731&lt;'111'!$N$11),"x","")</f>
        <v/>
      </c>
      <c r="R731" s="525" t="str">
        <f>IF(ISERROR(FIND('112'!$M$9,G731,1)),"",IF((AND(FIND('112'!$M$9,G731,1)&gt;=1,$B731&gt;='112'!$N$8,$B731&lt;='112'!$O$8,OR($L731='112'!$I$6,$M731='112'!$I$6))),"x",""))</f>
        <v/>
      </c>
      <c r="S731" s="525" t="str">
        <f>IF(ISERROR(FIND('112'!$M$9,G731,1)),"",IF((AND(LEFT(G731,2)=LEFT('112'!$M$9,2),B731&lt;'112'!$N$8,$L731='112'!$I$6)),"x",""))</f>
        <v/>
      </c>
      <c r="T731" s="525" t="str">
        <f>IF(ISERROR(FIND('112'!$M$9,G731,1)),"",IF((AND(RIGHT(G731,2)=RIGHT('112'!$M$9,2),B731&lt;'112'!$N$8,$M731='112'!$I$6)),"x",""))</f>
        <v>x</v>
      </c>
      <c r="U731" s="525" t="str">
        <f>IF(AND(B731&gt;='IN-NX'!$P$3,B731&lt;='IN-NX'!$Q$3,'IN-NX'!$D$7=D731,OR(LEFT(L731,2)="15",AND(LEFT(M731,2)&lt;&gt;"15",LEFT(M731,2)&lt;&gt;"33"))),"x","")</f>
        <v/>
      </c>
      <c r="V731" s="525" t="str">
        <f>IF(AND(OR(LEFT(TH!L731,2)="15",LEFT(TH!M731,2)="15"),'152-CT'!$J$8=TH!F731),"x","")</f>
        <v/>
      </c>
      <c r="W731" s="525" t="str">
        <f>IF(AND(OR(LEFT(TH!L731,2)="15",LEFT(TH!M731,2)="15"),TK!$E$7=TH!F731),"x","")</f>
        <v/>
      </c>
      <c r="X731" s="525" t="str">
        <f>IF(AND('341-CT'!$E$9=H731,OR(LEFT(L731,3)=$X$7,LEFT(M731,3)=$X$7)),"x","")</f>
        <v/>
      </c>
      <c r="Y731" s="525" t="str">
        <f>IF(OR(TH!L731=TH!$Y$7,M731=TH!$Y$7),"x","")</f>
        <v/>
      </c>
      <c r="Z731" s="525" t="str">
        <f>IF(AND(B731&lt;=NKC!$N$8,B731&gt;=NKC!$M$8),"x","")</f>
        <v/>
      </c>
      <c r="AA731" s="535"/>
    </row>
    <row r="732" spans="1:28" s="503" customFormat="1" ht="15.75" customHeight="1">
      <c r="A732" s="517" t="str">
        <f>IF(B732&lt;&gt;"",IF(AND(B732&gt;=_TM1,B732&lt;=_TM2,OR(TH!L732="1111",TH!M732="1111")),TH!D732,""),"")</f>
        <v/>
      </c>
      <c r="B732" s="531">
        <f t="shared" si="81"/>
        <v>8</v>
      </c>
      <c r="C732" s="315">
        <f t="shared" si="82"/>
        <v>42970</v>
      </c>
      <c r="D732" s="315" t="s">
        <v>461</v>
      </c>
      <c r="E732" s="288">
        <v>42970</v>
      </c>
      <c r="F732" s="249" t="s">
        <v>829</v>
      </c>
      <c r="G732" s="314" t="s">
        <v>440</v>
      </c>
      <c r="H732" s="621" t="s">
        <v>1271</v>
      </c>
      <c r="I732" s="307"/>
      <c r="J732" s="307"/>
      <c r="K732" s="532">
        <v>4667336</v>
      </c>
      <c r="L732" s="534" t="s">
        <v>441</v>
      </c>
      <c r="M732" s="533" t="s">
        <v>24</v>
      </c>
      <c r="N732" s="525" t="str">
        <f>IF(AND('331-CT'!$E$7=TH!H732,OR(L732="331",M732="331")),"331",IF(AND(OR(L732="131",M732="131"),H732='131-CT'!$E$7),"131",""))</f>
        <v/>
      </c>
      <c r="O732" s="525" t="str">
        <f>IF(AND($B732&gt;='111'!$N$11,$B732&lt;='111'!$O$11,OR($L732=$O$7,$M732=$O$7)),"x","")</f>
        <v/>
      </c>
      <c r="P732" s="525" t="str">
        <f>IF(AND($L732=$O$7,$B732&lt;'111'!$N$11),"x","")</f>
        <v/>
      </c>
      <c r="Q732" s="525" t="str">
        <f>IF(AND($M732=$O$7,$B732&lt;'111'!$N$11),"x","")</f>
        <v/>
      </c>
      <c r="R732" s="525" t="str">
        <f>IF(ISERROR(FIND('112'!$M$9,G732,1)),"",IF((AND(FIND('112'!$M$9,G732,1)&gt;=1,$B732&gt;='112'!$N$8,$B732&lt;='112'!$O$8,OR($L732='112'!$I$6,$M732='112'!$I$6))),"x",""))</f>
        <v/>
      </c>
      <c r="S732" s="525" t="str">
        <f>IF(ISERROR(FIND('112'!$M$9,G732,1)),"",IF((AND(LEFT(G732,2)=LEFT('112'!$M$9,2),B732&lt;'112'!$N$8,$L732='112'!$I$6)),"x",""))</f>
        <v/>
      </c>
      <c r="T732" s="525" t="str">
        <f>IF(ISERROR(FIND('112'!$M$9,G732,1)),"",IF((AND(RIGHT(G732,2)=RIGHT('112'!$M$9,2),B732&lt;'112'!$N$8,$M732='112'!$I$6)),"x",""))</f>
        <v>x</v>
      </c>
      <c r="U732" s="525" t="str">
        <f>IF(AND(B732&gt;='IN-NX'!$P$3,B732&lt;='IN-NX'!$Q$3,'IN-NX'!$D$7=D732,OR(LEFT(L732,2)="15",AND(LEFT(M732,2)&lt;&gt;"15",LEFT(M732,2)&lt;&gt;"33"))),"x","")</f>
        <v/>
      </c>
      <c r="V732" s="525" t="str">
        <f>IF(AND(OR(LEFT(TH!L732,2)="15",LEFT(TH!M732,2)="15"),'152-CT'!$J$8=TH!F732),"x","")</f>
        <v/>
      </c>
      <c r="W732" s="525" t="str">
        <f>IF(AND(OR(LEFT(TH!L732,2)="15",LEFT(TH!M732,2)="15"),TK!$E$7=TH!F732),"x","")</f>
        <v/>
      </c>
      <c r="X732" s="525" t="str">
        <f>IF(AND('341-CT'!$E$9=H732,OR(LEFT(L732,3)=$X$7,LEFT(M732,3)=$X$7)),"x","")</f>
        <v>x</v>
      </c>
      <c r="Y732" s="525" t="str">
        <f>IF(OR(TH!L732=TH!$Y$7,M732=TH!$Y$7),"x","")</f>
        <v/>
      </c>
      <c r="Z732" s="525" t="str">
        <f>IF(AND(B732&lt;=NKC!$N$8,B732&gt;=NKC!$M$8),"x","")</f>
        <v/>
      </c>
      <c r="AA732" s="535"/>
    </row>
    <row r="733" spans="1:28" s="503" customFormat="1" ht="15.75" customHeight="1">
      <c r="A733" s="517" t="str">
        <f>IF(B733&lt;&gt;"",IF(AND(B733&gt;=_TM1,B733&lt;=_TM2,OR(TH!L733="1111",TH!M733="1111")),TH!D733,""),"")</f>
        <v/>
      </c>
      <c r="B733" s="531">
        <f t="shared" si="81"/>
        <v>8</v>
      </c>
      <c r="C733" s="315">
        <f t="shared" si="82"/>
        <v>42970</v>
      </c>
      <c r="D733" s="315" t="s">
        <v>461</v>
      </c>
      <c r="E733" s="288">
        <v>42970</v>
      </c>
      <c r="F733" s="249" t="s">
        <v>827</v>
      </c>
      <c r="G733" s="314" t="s">
        <v>440</v>
      </c>
      <c r="H733" s="473" t="s">
        <v>460</v>
      </c>
      <c r="I733" s="307"/>
      <c r="J733" s="307"/>
      <c r="K733" s="532">
        <v>2000000</v>
      </c>
      <c r="L733" s="533" t="s">
        <v>45</v>
      </c>
      <c r="M733" s="533" t="s">
        <v>24</v>
      </c>
      <c r="N733" s="525" t="str">
        <f>IF(AND('331-CT'!$E$7=TH!H733,OR(L733="331",M733="331")),"331",IF(AND(OR(L733="131",M733="131"),H733='131-CT'!$E$7),"131",""))</f>
        <v/>
      </c>
      <c r="O733" s="525" t="str">
        <f>IF(AND($B733&gt;='111'!$N$11,$B733&lt;='111'!$O$11,OR($L733=$O$7,$M733=$O$7)),"x","")</f>
        <v/>
      </c>
      <c r="P733" s="525" t="str">
        <f>IF(AND($L733=$O$7,$B733&lt;'111'!$N$11),"x","")</f>
        <v>x</v>
      </c>
      <c r="Q733" s="525" t="str">
        <f>IF(AND($M733=$O$7,$B733&lt;'111'!$N$11),"x","")</f>
        <v/>
      </c>
      <c r="R733" s="525" t="str">
        <f>IF(ISERROR(FIND('112'!$M$9,G733,1)),"",IF((AND(FIND('112'!$M$9,G733,1)&gt;=1,$B733&gt;='112'!$N$8,$B733&lt;='112'!$O$8,OR($L733='112'!$I$6,$M733='112'!$I$6))),"x",""))</f>
        <v/>
      </c>
      <c r="S733" s="525" t="str">
        <f>IF(ISERROR(FIND('112'!$M$9,G733,1)),"",IF((AND(LEFT(G733,2)=LEFT('112'!$M$9,2),B733&lt;'112'!$N$8,$L733='112'!$I$6)),"x",""))</f>
        <v/>
      </c>
      <c r="T733" s="525" t="str">
        <f>IF(ISERROR(FIND('112'!$M$9,G733,1)),"",IF((AND(RIGHT(G733,2)=RIGHT('112'!$M$9,2),B733&lt;'112'!$N$8,$M733='112'!$I$6)),"x",""))</f>
        <v>x</v>
      </c>
      <c r="U733" s="525" t="str">
        <f>IF(AND(B733&gt;='IN-NX'!$P$3,B733&lt;='IN-NX'!$Q$3,'IN-NX'!$D$7=D733,OR(LEFT(L733,2)="15",AND(LEFT(M733,2)&lt;&gt;"15",LEFT(M733,2)&lt;&gt;"33"))),"x","")</f>
        <v/>
      </c>
      <c r="V733" s="525" t="str">
        <f>IF(AND(OR(LEFT(TH!L733,2)="15",LEFT(TH!M733,2)="15"),'152-CT'!$J$8=TH!F733),"x","")</f>
        <v/>
      </c>
      <c r="W733" s="525" t="str">
        <f>IF(AND(OR(LEFT(TH!L733,2)="15",LEFT(TH!M733,2)="15"),TK!$E$7=TH!F733),"x","")</f>
        <v/>
      </c>
      <c r="X733" s="525" t="str">
        <f>IF(AND('341-CT'!$E$9=H733,OR(LEFT(L733,3)=$X$7,LEFT(M733,3)=$X$7)),"x","")</f>
        <v/>
      </c>
      <c r="Y733" s="525" t="str">
        <f>IF(OR(TH!L733=TH!$Y$7,M733=TH!$Y$7),"x","")</f>
        <v/>
      </c>
      <c r="Z733" s="525" t="str">
        <f>IF(AND(B733&lt;=NKC!$N$8,B733&gt;=NKC!$M$8),"x","")</f>
        <v/>
      </c>
      <c r="AA733" s="535"/>
      <c r="AB733" s="536"/>
    </row>
    <row r="734" spans="1:28" s="503" customFormat="1" ht="15.75" customHeight="1">
      <c r="A734" s="517" t="str">
        <f>IF(B734&lt;&gt;"",IF(AND(B734&gt;=_TM1,B734&lt;=_TM2,OR(TH!L734="1111",TH!M734="1111")),TH!D734,""),"")</f>
        <v/>
      </c>
      <c r="B734" s="531">
        <f t="shared" si="81"/>
        <v>8</v>
      </c>
      <c r="C734" s="315">
        <f t="shared" si="82"/>
        <v>42970</v>
      </c>
      <c r="D734" s="315" t="s">
        <v>461</v>
      </c>
      <c r="E734" s="288">
        <v>42970</v>
      </c>
      <c r="F734" s="248" t="s">
        <v>1280</v>
      </c>
      <c r="G734" s="314" t="s">
        <v>440</v>
      </c>
      <c r="H734" s="472"/>
      <c r="I734" s="307"/>
      <c r="J734" s="307"/>
      <c r="K734" s="532">
        <v>10000</v>
      </c>
      <c r="L734" s="533" t="s">
        <v>81</v>
      </c>
      <c r="M734" s="533" t="s">
        <v>24</v>
      </c>
      <c r="N734" s="525" t="str">
        <f>IF(AND('331-CT'!$E$7=TH!H734,OR(L734="331",M734="331")),"331",IF(AND(OR(L734="131",M734="131"),H734='131-CT'!$E$7),"131",""))</f>
        <v/>
      </c>
      <c r="O734" s="525" t="str">
        <f>IF(AND($B734&gt;='111'!$N$11,$B734&lt;='111'!$O$11,OR($L734=$O$7,$M734=$O$7)),"x","")</f>
        <v/>
      </c>
      <c r="P734" s="525" t="str">
        <f>IF(AND($L734=$O$7,$B734&lt;'111'!$N$11),"x","")</f>
        <v/>
      </c>
      <c r="Q734" s="525" t="str">
        <f>IF(AND($M734=$O$7,$B734&lt;'111'!$N$11),"x","")</f>
        <v/>
      </c>
      <c r="R734" s="525" t="str">
        <f>IF(ISERROR(FIND('112'!$M$9,G734,1)),"",IF((AND(FIND('112'!$M$9,G734,1)&gt;=1,$B734&gt;='112'!$N$8,$B734&lt;='112'!$O$8,OR($L734='112'!$I$6,$M734='112'!$I$6))),"x",""))</f>
        <v/>
      </c>
      <c r="S734" s="525" t="str">
        <f>IF(ISERROR(FIND('112'!$M$9,G734,1)),"",IF((AND(LEFT(G734,2)=LEFT('112'!$M$9,2),B734&lt;'112'!$N$8,$L734='112'!$I$6)),"x",""))</f>
        <v/>
      </c>
      <c r="T734" s="525" t="str">
        <f>IF(ISERROR(FIND('112'!$M$9,G734,1)),"",IF((AND(RIGHT(G734,2)=RIGHT('112'!$M$9,2),B734&lt;'112'!$N$8,$M734='112'!$I$6)),"x",""))</f>
        <v>x</v>
      </c>
      <c r="U734" s="525" t="str">
        <f>IF(AND(B734&gt;='IN-NX'!$P$3,B734&lt;='IN-NX'!$Q$3,'IN-NX'!$D$7=D734,OR(LEFT(L734,2)="15",AND(LEFT(M734,2)&lt;&gt;"15",LEFT(M734,2)&lt;&gt;"33"))),"x","")</f>
        <v/>
      </c>
      <c r="V734" s="525" t="str">
        <f>IF(AND(OR(LEFT(TH!L734,2)="15",LEFT(TH!M734,2)="15"),'152-CT'!$J$8=TH!F734),"x","")</f>
        <v/>
      </c>
      <c r="W734" s="525" t="str">
        <f>IF(AND(OR(LEFT(TH!L734,2)="15",LEFT(TH!M734,2)="15"),TK!$E$7=TH!F734),"x","")</f>
        <v/>
      </c>
      <c r="X734" s="525" t="str">
        <f>IF(AND('341-CT'!$E$9=H734,OR(LEFT(L734,3)=$X$7,LEFT(M734,3)=$X$7)),"x","")</f>
        <v/>
      </c>
      <c r="Y734" s="525" t="str">
        <f>IF(OR(TH!L734=TH!$Y$7,M734=TH!$Y$7),"x","")</f>
        <v/>
      </c>
      <c r="Z734" s="525" t="str">
        <f>IF(AND(B734&lt;=NKC!$N$8,B734&gt;=NKC!$M$8),"x","")</f>
        <v/>
      </c>
      <c r="AA734" s="535">
        <v>3</v>
      </c>
    </row>
    <row r="735" spans="1:28" s="503" customFormat="1" ht="15.75" customHeight="1">
      <c r="A735" s="517" t="str">
        <f>IF(B735&lt;&gt;"",IF(AND(B735&gt;=_TM1,B735&lt;=_TM2,OR(TH!L735="1111",TH!M735="1111")),TH!D735,""),"")</f>
        <v/>
      </c>
      <c r="B735" s="531">
        <f t="shared" si="81"/>
        <v>8</v>
      </c>
      <c r="C735" s="315">
        <f t="shared" si="82"/>
        <v>42970</v>
      </c>
      <c r="D735" s="315" t="s">
        <v>461</v>
      </c>
      <c r="E735" s="288">
        <v>42970</v>
      </c>
      <c r="F735" s="248" t="s">
        <v>1281</v>
      </c>
      <c r="G735" s="314" t="s">
        <v>440</v>
      </c>
      <c r="H735" s="472"/>
      <c r="I735" s="307"/>
      <c r="J735" s="307"/>
      <c r="K735" s="532">
        <v>1000</v>
      </c>
      <c r="L735" s="533" t="s">
        <v>9</v>
      </c>
      <c r="M735" s="533" t="s">
        <v>24</v>
      </c>
      <c r="N735" s="525" t="str">
        <f>IF(AND('331-CT'!$E$7=TH!H735,OR(L735="331",M735="331")),"331",IF(AND(OR(L735="131",M735="131"),H735='131-CT'!$E$7),"131",""))</f>
        <v/>
      </c>
      <c r="O735" s="525" t="str">
        <f>IF(AND($B735&gt;='111'!$N$11,$B735&lt;='111'!$O$11,OR($L735=$O$7,$M735=$O$7)),"x","")</f>
        <v/>
      </c>
      <c r="P735" s="525" t="str">
        <f>IF(AND($L735=$O$7,$B735&lt;'111'!$N$11),"x","")</f>
        <v/>
      </c>
      <c r="Q735" s="525" t="str">
        <f>IF(AND($M735=$O$7,$B735&lt;'111'!$N$11),"x","")</f>
        <v/>
      </c>
      <c r="R735" s="525" t="str">
        <f>IF(ISERROR(FIND('112'!$M$9,G735,1)),"",IF((AND(FIND('112'!$M$9,G735,1)&gt;=1,$B735&gt;='112'!$N$8,$B735&lt;='112'!$O$8,OR($L735='112'!$I$6,$M735='112'!$I$6))),"x",""))</f>
        <v/>
      </c>
      <c r="S735" s="525" t="str">
        <f>IF(ISERROR(FIND('112'!$M$9,G735,1)),"",IF((AND(LEFT(G735,2)=LEFT('112'!$M$9,2),B735&lt;'112'!$N$8,$L735='112'!$I$6)),"x",""))</f>
        <v/>
      </c>
      <c r="T735" s="525" t="str">
        <f>IF(ISERROR(FIND('112'!$M$9,G735,1)),"",IF((AND(RIGHT(G735,2)=RIGHT('112'!$M$9,2),B735&lt;'112'!$N$8,$M735='112'!$I$6)),"x",""))</f>
        <v>x</v>
      </c>
      <c r="U735" s="525" t="str">
        <f>IF(AND(B735&gt;='IN-NX'!$P$3,B735&lt;='IN-NX'!$Q$3,'IN-NX'!$D$7=D735,OR(LEFT(L735,2)="15",AND(LEFT(M735,2)&lt;&gt;"15",LEFT(M735,2)&lt;&gt;"33"))),"x","")</f>
        <v/>
      </c>
      <c r="V735" s="525" t="str">
        <f>IF(AND(OR(LEFT(TH!L735,2)="15",LEFT(TH!M735,2)="15"),'152-CT'!$J$8=TH!F735),"x","")</f>
        <v/>
      </c>
      <c r="W735" s="525" t="str">
        <f>IF(AND(OR(LEFT(TH!L735,2)="15",LEFT(TH!M735,2)="15"),TK!$E$7=TH!F735),"x","")</f>
        <v/>
      </c>
      <c r="X735" s="525" t="str">
        <f>IF(AND('341-CT'!$E$9=H735,OR(LEFT(L735,3)=$X$7,LEFT(M735,3)=$X$7)),"x","")</f>
        <v/>
      </c>
      <c r="Y735" s="525" t="str">
        <f>IF(OR(TH!L735=TH!$Y$7,M735=TH!$Y$7),"x","")</f>
        <v/>
      </c>
      <c r="Z735" s="525" t="str">
        <f>IF(AND(B735&lt;=NKC!$N$8,B735&gt;=NKC!$M$8),"x","")</f>
        <v/>
      </c>
      <c r="AA735" s="535">
        <v>3</v>
      </c>
    </row>
    <row r="736" spans="1:28" s="503" customFormat="1" ht="15.75" customHeight="1">
      <c r="A736" s="517" t="str">
        <f>IF(B736&lt;&gt;"",IF(AND(B736&gt;=_TM1,B736&lt;=_TM2,OR(TH!L736="1111",TH!M736="1111")),TH!D736,""),"")</f>
        <v/>
      </c>
      <c r="B736" s="531">
        <f t="shared" si="81"/>
        <v>8</v>
      </c>
      <c r="C736" s="315">
        <f t="shared" si="82"/>
        <v>42970</v>
      </c>
      <c r="D736" s="315" t="s">
        <v>461</v>
      </c>
      <c r="E736" s="288">
        <v>42970</v>
      </c>
      <c r="F736" s="249" t="s">
        <v>828</v>
      </c>
      <c r="G736" s="314" t="s">
        <v>440</v>
      </c>
      <c r="H736" s="472"/>
      <c r="I736" s="307"/>
      <c r="J736" s="307"/>
      <c r="K736" s="532">
        <v>7214</v>
      </c>
      <c r="L736" s="533" t="s">
        <v>79</v>
      </c>
      <c r="M736" s="533" t="s">
        <v>24</v>
      </c>
      <c r="N736" s="525" t="str">
        <f>IF(AND('331-CT'!$E$7=TH!H736,OR(L736="331",M736="331")),"331",IF(AND(OR(L736="131",M736="131"),H736='131-CT'!$E$7),"131",""))</f>
        <v/>
      </c>
      <c r="O736" s="525" t="str">
        <f>IF(AND($B736&gt;='111'!$N$11,$B736&lt;='111'!$O$11,OR($L736=$O$7,$M736=$O$7)),"x","")</f>
        <v/>
      </c>
      <c r="P736" s="525" t="str">
        <f>IF(AND($L736=$O$7,$B736&lt;'111'!$N$11),"x","")</f>
        <v/>
      </c>
      <c r="Q736" s="525" t="str">
        <f>IF(AND($M736=$O$7,$B736&lt;'111'!$N$11),"x","")</f>
        <v/>
      </c>
      <c r="R736" s="525" t="str">
        <f>IF(ISERROR(FIND('112'!$M$9,G736,1)),"",IF((AND(FIND('112'!$M$9,G736,1)&gt;=1,$B736&gt;='112'!$N$8,$B736&lt;='112'!$O$8,OR($L736='112'!$I$6,$M736='112'!$I$6))),"x",""))</f>
        <v/>
      </c>
      <c r="S736" s="525" t="str">
        <f>IF(ISERROR(FIND('112'!$M$9,G736,1)),"",IF((AND(LEFT(G736,2)=LEFT('112'!$M$9,2),B736&lt;'112'!$N$8,$L736='112'!$I$6)),"x",""))</f>
        <v/>
      </c>
      <c r="T736" s="525" t="str">
        <f>IF(ISERROR(FIND('112'!$M$9,G736,1)),"",IF((AND(RIGHT(G736,2)=RIGHT('112'!$M$9,2),B736&lt;'112'!$N$8,$M736='112'!$I$6)),"x",""))</f>
        <v>x</v>
      </c>
      <c r="U736" s="525" t="str">
        <f>IF(AND(B736&gt;='IN-NX'!$P$3,B736&lt;='IN-NX'!$Q$3,'IN-NX'!$D$7=D736,OR(LEFT(L736,2)="15",AND(LEFT(M736,2)&lt;&gt;"15",LEFT(M736,2)&lt;&gt;"33"))),"x","")</f>
        <v/>
      </c>
      <c r="V736" s="525" t="str">
        <f>IF(AND(OR(LEFT(TH!L736,2)="15",LEFT(TH!M736,2)="15"),'152-CT'!$J$8=TH!F736),"x","")</f>
        <v/>
      </c>
      <c r="W736" s="525" t="str">
        <f>IF(AND(OR(LEFT(TH!L736,2)="15",LEFT(TH!M736,2)="15"),TK!$E$7=TH!F736),"x","")</f>
        <v/>
      </c>
      <c r="X736" s="525" t="str">
        <f>IF(AND('341-CT'!$E$9=H736,OR(LEFT(L736,3)=$X$7,LEFT(M736,3)=$X$7)),"x","")</f>
        <v/>
      </c>
      <c r="Y736" s="525" t="str">
        <f>IF(OR(TH!L736=TH!$Y$7,M736=TH!$Y$7),"x","")</f>
        <v/>
      </c>
      <c r="Z736" s="525" t="str">
        <f>IF(AND(B736&lt;=NKC!$N$8,B736&gt;=NKC!$M$8),"x","")</f>
        <v/>
      </c>
      <c r="AA736" s="535"/>
      <c r="AB736" s="536"/>
    </row>
    <row r="737" spans="1:28" s="503" customFormat="1" ht="15.75" customHeight="1">
      <c r="A737" s="517" t="str">
        <f>IF(B737&lt;&gt;"",IF(AND(B737&gt;=_TM1,B737&lt;=_TM2,OR(TH!L737="1111",TH!M737="1111")),TH!D737,""),"")</f>
        <v/>
      </c>
      <c r="B737" s="531">
        <f t="shared" si="81"/>
        <v>8</v>
      </c>
      <c r="C737" s="315">
        <f t="shared" si="82"/>
        <v>42970</v>
      </c>
      <c r="D737" s="315" t="s">
        <v>461</v>
      </c>
      <c r="E737" s="288">
        <v>42970</v>
      </c>
      <c r="F737" s="249" t="s">
        <v>828</v>
      </c>
      <c r="G737" s="314" t="s">
        <v>440</v>
      </c>
      <c r="H737" s="473"/>
      <c r="I737" s="307"/>
      <c r="J737" s="307"/>
      <c r="K737" s="532">
        <v>14428</v>
      </c>
      <c r="L737" s="533" t="s">
        <v>79</v>
      </c>
      <c r="M737" s="533" t="s">
        <v>24</v>
      </c>
      <c r="N737" s="525" t="str">
        <f>IF(AND('331-CT'!$E$7=TH!H737,OR(L737="331",M737="331")),"331",IF(AND(OR(L737="131",M737="131"),H737='131-CT'!$E$7),"131",""))</f>
        <v/>
      </c>
      <c r="O737" s="525" t="str">
        <f>IF(AND($B737&gt;='111'!$N$11,$B737&lt;='111'!$O$11,OR($L737=$O$7,$M737=$O$7)),"x","")</f>
        <v/>
      </c>
      <c r="P737" s="525" t="str">
        <f>IF(AND($L737=$O$7,$B737&lt;'111'!$N$11),"x","")</f>
        <v/>
      </c>
      <c r="Q737" s="525" t="str">
        <f>IF(AND($M737=$O$7,$B737&lt;'111'!$N$11),"x","")</f>
        <v/>
      </c>
      <c r="R737" s="525" t="str">
        <f>IF(ISERROR(FIND('112'!$M$9,G737,1)),"",IF((AND(FIND('112'!$M$9,G737,1)&gt;=1,$B737&gt;='112'!$N$8,$B737&lt;='112'!$O$8,OR($L737='112'!$I$6,$M737='112'!$I$6))),"x",""))</f>
        <v/>
      </c>
      <c r="S737" s="525" t="str">
        <f>IF(ISERROR(FIND('112'!$M$9,G737,1)),"",IF((AND(LEFT(G737,2)=LEFT('112'!$M$9,2),B737&lt;'112'!$N$8,$L737='112'!$I$6)),"x",""))</f>
        <v/>
      </c>
      <c r="T737" s="525" t="str">
        <f>IF(ISERROR(FIND('112'!$M$9,G737,1)),"",IF((AND(RIGHT(G737,2)=RIGHT('112'!$M$9,2),B737&lt;'112'!$N$8,$M737='112'!$I$6)),"x",""))</f>
        <v>x</v>
      </c>
      <c r="U737" s="525" t="str">
        <f>IF(AND(B737&gt;='IN-NX'!$P$3,B737&lt;='IN-NX'!$Q$3,'IN-NX'!$D$7=D737,OR(LEFT(L737,2)="15",AND(LEFT(M737,2)&lt;&gt;"15",LEFT(M737,2)&lt;&gt;"33"))),"x","")</f>
        <v/>
      </c>
      <c r="V737" s="525" t="str">
        <f>IF(AND(OR(LEFT(TH!L737,2)="15",LEFT(TH!M737,2)="15"),'152-CT'!$J$8=TH!F737),"x","")</f>
        <v/>
      </c>
      <c r="W737" s="525" t="str">
        <f>IF(AND(OR(LEFT(TH!L737,2)="15",LEFT(TH!M737,2)="15"),TK!$E$7=TH!F737),"x","")</f>
        <v/>
      </c>
      <c r="X737" s="525" t="str">
        <f>IF(AND('341-CT'!$E$9=H737,OR(LEFT(L737,3)=$X$7,LEFT(M737,3)=$X$7)),"x","")</f>
        <v/>
      </c>
      <c r="Y737" s="525" t="str">
        <f>IF(OR(TH!L737=TH!$Y$7,M737=TH!$Y$7),"x","")</f>
        <v/>
      </c>
      <c r="Z737" s="525" t="str">
        <f>IF(AND(B737&lt;=NKC!$N$8,B737&gt;=NKC!$M$8),"x","")</f>
        <v/>
      </c>
      <c r="AA737" s="535"/>
    </row>
    <row r="738" spans="1:28" s="503" customFormat="1" ht="15.75" customHeight="1">
      <c r="A738" s="517" t="str">
        <f>IF(B738&lt;&gt;"",IF(AND(B738&gt;=_TM1,B738&lt;=_TM2,OR(TH!L738="1111",TH!M738="1111")),TH!D738,""),"")</f>
        <v/>
      </c>
      <c r="B738" s="531">
        <f t="shared" si="81"/>
        <v>8</v>
      </c>
      <c r="C738" s="315">
        <f t="shared" si="82"/>
        <v>42970</v>
      </c>
      <c r="D738" s="315" t="s">
        <v>461</v>
      </c>
      <c r="E738" s="288">
        <v>42970</v>
      </c>
      <c r="F738" s="249" t="s">
        <v>828</v>
      </c>
      <c r="G738" s="314" t="s">
        <v>440</v>
      </c>
      <c r="H738" s="472"/>
      <c r="I738" s="307"/>
      <c r="J738" s="307"/>
      <c r="K738" s="532">
        <v>1296541</v>
      </c>
      <c r="L738" s="533" t="s">
        <v>79</v>
      </c>
      <c r="M738" s="533" t="s">
        <v>24</v>
      </c>
      <c r="N738" s="525" t="str">
        <f>IF(AND('331-CT'!$E$7=TH!H738,OR(L738="331",M738="331")),"331",IF(AND(OR(L738="131",M738="131"),H738='131-CT'!$E$7),"131",""))</f>
        <v/>
      </c>
      <c r="O738" s="525" t="str">
        <f>IF(AND($B738&gt;='111'!$N$11,$B738&lt;='111'!$O$11,OR($L738=$O$7,$M738=$O$7)),"x","")</f>
        <v/>
      </c>
      <c r="P738" s="525" t="str">
        <f>IF(AND($L738=$O$7,$B738&lt;'111'!$N$11),"x","")</f>
        <v/>
      </c>
      <c r="Q738" s="525" t="str">
        <f>IF(AND($M738=$O$7,$B738&lt;'111'!$N$11),"x","")</f>
        <v/>
      </c>
      <c r="R738" s="525" t="str">
        <f>IF(ISERROR(FIND('112'!$M$9,G738,1)),"",IF((AND(FIND('112'!$M$9,G738,1)&gt;=1,$B738&gt;='112'!$N$8,$B738&lt;='112'!$O$8,OR($L738='112'!$I$6,$M738='112'!$I$6))),"x",""))</f>
        <v/>
      </c>
      <c r="S738" s="525" t="str">
        <f>IF(ISERROR(FIND('112'!$M$9,G738,1)),"",IF((AND(LEFT(G738,2)=LEFT('112'!$M$9,2),B738&lt;'112'!$N$8,$L738='112'!$I$6)),"x",""))</f>
        <v/>
      </c>
      <c r="T738" s="525" t="str">
        <f>IF(ISERROR(FIND('112'!$M$9,G738,1)),"",IF((AND(RIGHT(G738,2)=RIGHT('112'!$M$9,2),B738&lt;'112'!$N$8,$M738='112'!$I$6)),"x",""))</f>
        <v>x</v>
      </c>
      <c r="U738" s="525" t="str">
        <f>IF(AND(B738&gt;='IN-NX'!$P$3,B738&lt;='IN-NX'!$Q$3,'IN-NX'!$D$7=D738,OR(LEFT(L738,2)="15",AND(LEFT(M738,2)&lt;&gt;"15",LEFT(M738,2)&lt;&gt;"33"))),"x","")</f>
        <v/>
      </c>
      <c r="V738" s="525" t="str">
        <f>IF(AND(OR(LEFT(TH!L738,2)="15",LEFT(TH!M738,2)="15"),'152-CT'!$J$8=TH!F738),"x","")</f>
        <v/>
      </c>
      <c r="W738" s="525" t="str">
        <f>IF(AND(OR(LEFT(TH!L738,2)="15",LEFT(TH!M738,2)="15"),TK!$E$7=TH!F738),"x","")</f>
        <v/>
      </c>
      <c r="X738" s="525" t="str">
        <f>IF(AND('341-CT'!$E$9=H738,OR(LEFT(L738,3)=$X$7,LEFT(M738,3)=$X$7)),"x","")</f>
        <v/>
      </c>
      <c r="Y738" s="525" t="str">
        <f>IF(OR(TH!L738=TH!$Y$7,M738=TH!$Y$7),"x","")</f>
        <v/>
      </c>
      <c r="Z738" s="525" t="str">
        <f>IF(AND(B738&lt;=NKC!$N$8,B738&gt;=NKC!$M$8),"x","")</f>
        <v/>
      </c>
      <c r="AA738" s="535"/>
      <c r="AB738" s="536"/>
    </row>
    <row r="739" spans="1:28" s="503" customFormat="1" ht="15.75" customHeight="1">
      <c r="A739" s="517" t="str">
        <f>IF(B739&lt;&gt;"",IF(AND(B739&gt;=_TM1,B739&lt;=_TM2,OR(TH!L739="1111",TH!M739="1111")),TH!D739,""),"")</f>
        <v/>
      </c>
      <c r="B739" s="531">
        <f t="shared" si="81"/>
        <v>8</v>
      </c>
      <c r="C739" s="315">
        <f t="shared" si="82"/>
        <v>42972</v>
      </c>
      <c r="D739" s="315" t="s">
        <v>461</v>
      </c>
      <c r="E739" s="288">
        <v>42972</v>
      </c>
      <c r="F739" s="248" t="s">
        <v>831</v>
      </c>
      <c r="G739" s="314" t="s">
        <v>440</v>
      </c>
      <c r="H739" s="472" t="s">
        <v>832</v>
      </c>
      <c r="I739" s="307"/>
      <c r="J739" s="307"/>
      <c r="K739" s="532">
        <v>78317</v>
      </c>
      <c r="L739" s="533" t="s">
        <v>85</v>
      </c>
      <c r="M739" s="533" t="s">
        <v>24</v>
      </c>
      <c r="N739" s="525" t="str">
        <f>IF(AND('331-CT'!$E$7=TH!H739,OR(L739="331",M739="331")),"331",IF(AND(OR(L739="131",M739="131"),H739='131-CT'!$E$7),"131",""))</f>
        <v/>
      </c>
      <c r="O739" s="525" t="str">
        <f>IF(AND($B739&gt;='111'!$N$11,$B739&lt;='111'!$O$11,OR($L739=$O$7,$M739=$O$7)),"x","")</f>
        <v/>
      </c>
      <c r="P739" s="525" t="str">
        <f>IF(AND($L739=$O$7,$B739&lt;'111'!$N$11),"x","")</f>
        <v/>
      </c>
      <c r="Q739" s="525" t="str">
        <f>IF(AND($M739=$O$7,$B739&lt;'111'!$N$11),"x","")</f>
        <v/>
      </c>
      <c r="R739" s="525" t="str">
        <f>IF(ISERROR(FIND('112'!$M$9,G739,1)),"",IF((AND(FIND('112'!$M$9,G739,1)&gt;=1,$B739&gt;='112'!$N$8,$B739&lt;='112'!$O$8,OR($L739='112'!$I$6,$M739='112'!$I$6))),"x",""))</f>
        <v/>
      </c>
      <c r="S739" s="525" t="str">
        <f>IF(ISERROR(FIND('112'!$M$9,G739,1)),"",IF((AND(LEFT(G739,2)=LEFT('112'!$M$9,2),B739&lt;'112'!$N$8,$L739='112'!$I$6)),"x",""))</f>
        <v/>
      </c>
      <c r="T739" s="525" t="str">
        <f>IF(ISERROR(FIND('112'!$M$9,G739,1)),"",IF((AND(RIGHT(G739,2)=RIGHT('112'!$M$9,2),B739&lt;'112'!$N$8,$M739='112'!$I$6)),"x",""))</f>
        <v>x</v>
      </c>
      <c r="U739" s="525" t="str">
        <f>IF(AND(B739&gt;='IN-NX'!$P$3,B739&lt;='IN-NX'!$Q$3,'IN-NX'!$D$7=D739,OR(LEFT(L739,2)="15",AND(LEFT(M739,2)&lt;&gt;"15",LEFT(M739,2)&lt;&gt;"33"))),"x","")</f>
        <v/>
      </c>
      <c r="V739" s="525" t="str">
        <f>IF(AND(OR(LEFT(TH!L739,2)="15",LEFT(TH!M739,2)="15"),'152-CT'!$J$8=TH!F739),"x","")</f>
        <v/>
      </c>
      <c r="W739" s="525" t="str">
        <f>IF(AND(OR(LEFT(TH!L739,2)="15",LEFT(TH!M739,2)="15"),TK!$E$7=TH!F739),"x","")</f>
        <v/>
      </c>
      <c r="X739" s="525" t="str">
        <f>IF(AND('341-CT'!$E$9=H739,OR(LEFT(L739,3)=$X$7,LEFT(M739,3)=$X$7)),"x","")</f>
        <v/>
      </c>
      <c r="Y739" s="525" t="str">
        <f>IF(OR(TH!L739=TH!$Y$7,M739=TH!$Y$7),"x","")</f>
        <v/>
      </c>
      <c r="Z739" s="525" t="str">
        <f>IF(AND(B739&lt;=NKC!$N$8,B739&gt;=NKC!$M$8),"x","")</f>
        <v/>
      </c>
      <c r="AA739" s="535"/>
    </row>
    <row r="740" spans="1:28" s="503" customFormat="1" ht="15.75" customHeight="1">
      <c r="A740" s="517" t="str">
        <f>IF(B740&lt;&gt;"",IF(AND(B740&gt;=_TM1,B740&lt;=_TM2,OR(TH!L740="1111",TH!M740="1111")),TH!D740,""),"")</f>
        <v/>
      </c>
      <c r="B740" s="531">
        <f t="shared" si="81"/>
        <v>8</v>
      </c>
      <c r="C740" s="315">
        <f t="shared" si="82"/>
        <v>42972</v>
      </c>
      <c r="D740" s="315" t="s">
        <v>461</v>
      </c>
      <c r="E740" s="288">
        <v>42972</v>
      </c>
      <c r="F740" s="249" t="s">
        <v>828</v>
      </c>
      <c r="G740" s="314" t="s">
        <v>440</v>
      </c>
      <c r="H740" s="621" t="s">
        <v>1275</v>
      </c>
      <c r="I740" s="307"/>
      <c r="J740" s="307"/>
      <c r="K740" s="532">
        <v>14219</v>
      </c>
      <c r="L740" s="533" t="s">
        <v>79</v>
      </c>
      <c r="M740" s="533" t="s">
        <v>24</v>
      </c>
      <c r="N740" s="525" t="str">
        <f>IF(AND('331-CT'!$E$7=TH!H740,OR(L740="331",M740="331")),"331",IF(AND(OR(L740="131",M740="131"),H740='131-CT'!$E$7),"131",""))</f>
        <v/>
      </c>
      <c r="O740" s="525" t="str">
        <f>IF(AND($B740&gt;='111'!$N$11,$B740&lt;='111'!$O$11,OR($L740=$O$7,$M740=$O$7)),"x","")</f>
        <v/>
      </c>
      <c r="P740" s="525" t="str">
        <f>IF(AND($L740=$O$7,$B740&lt;'111'!$N$11),"x","")</f>
        <v/>
      </c>
      <c r="Q740" s="525" t="str">
        <f>IF(AND($M740=$O$7,$B740&lt;'111'!$N$11),"x","")</f>
        <v/>
      </c>
      <c r="R740" s="525" t="str">
        <f>IF(ISERROR(FIND('112'!$M$9,G740,1)),"",IF((AND(FIND('112'!$M$9,G740,1)&gt;=1,$B740&gt;='112'!$N$8,$B740&lt;='112'!$O$8,OR($L740='112'!$I$6,$M740='112'!$I$6))),"x",""))</f>
        <v/>
      </c>
      <c r="S740" s="525" t="str">
        <f>IF(ISERROR(FIND('112'!$M$9,G740,1)),"",IF((AND(LEFT(G740,2)=LEFT('112'!$M$9,2),B740&lt;'112'!$N$8,$L740='112'!$I$6)),"x",""))</f>
        <v/>
      </c>
      <c r="T740" s="525" t="str">
        <f>IF(ISERROR(FIND('112'!$M$9,G740,1)),"",IF((AND(RIGHT(G740,2)=RIGHT('112'!$M$9,2),B740&lt;'112'!$N$8,$M740='112'!$I$6)),"x",""))</f>
        <v>x</v>
      </c>
      <c r="U740" s="525" t="str">
        <f>IF(AND(B740&gt;='IN-NX'!$P$3,B740&lt;='IN-NX'!$Q$3,'IN-NX'!$D$7=D740,OR(LEFT(L740,2)="15",AND(LEFT(M740,2)&lt;&gt;"15",LEFT(M740,2)&lt;&gt;"33"))),"x","")</f>
        <v/>
      </c>
      <c r="V740" s="525" t="str">
        <f>IF(AND(OR(LEFT(TH!L740,2)="15",LEFT(TH!M740,2)="15"),'152-CT'!$J$8=TH!F740),"x","")</f>
        <v/>
      </c>
      <c r="W740" s="525" t="str">
        <f>IF(AND(OR(LEFT(TH!L740,2)="15",LEFT(TH!M740,2)="15"),TK!$E$7=TH!F740),"x","")</f>
        <v/>
      </c>
      <c r="X740" s="525" t="str">
        <f>IF(AND('341-CT'!$E$9=H740,OR(LEFT(L740,3)=$X$7,LEFT(M740,3)=$X$7)),"x","")</f>
        <v/>
      </c>
      <c r="Y740" s="525" t="str">
        <f>IF(OR(TH!L740=TH!$Y$7,M740=TH!$Y$7),"x","")</f>
        <v/>
      </c>
      <c r="Z740" s="525" t="str">
        <f>IF(AND(B740&lt;=NKC!$N$8,B740&gt;=NKC!$M$8),"x","")</f>
        <v/>
      </c>
      <c r="AA740" s="535"/>
    </row>
    <row r="741" spans="1:28" s="503" customFormat="1" ht="15.75" customHeight="1">
      <c r="A741" s="517" t="str">
        <f>IF(B741&lt;&gt;"",IF(AND(B741&gt;=_TM1,B741&lt;=_TM2,OR(TH!L741="1111",TH!M741="1111")),TH!D741,""),"")</f>
        <v/>
      </c>
      <c r="B741" s="531">
        <f t="shared" si="81"/>
        <v>8</v>
      </c>
      <c r="C741" s="315">
        <f t="shared" si="82"/>
        <v>42972</v>
      </c>
      <c r="D741" s="315" t="s">
        <v>461</v>
      </c>
      <c r="E741" s="288">
        <v>42972</v>
      </c>
      <c r="F741" s="249" t="s">
        <v>828</v>
      </c>
      <c r="G741" s="314" t="s">
        <v>440</v>
      </c>
      <c r="H741" s="621" t="s">
        <v>1275</v>
      </c>
      <c r="I741" s="307"/>
      <c r="J741" s="307"/>
      <c r="K741" s="532">
        <v>28439</v>
      </c>
      <c r="L741" s="533" t="s">
        <v>79</v>
      </c>
      <c r="M741" s="533" t="s">
        <v>24</v>
      </c>
      <c r="N741" s="525" t="str">
        <f>IF(AND('331-CT'!$E$7=TH!H741,OR(L741="331",M741="331")),"331",IF(AND(OR(L741="131",M741="131"),H741='131-CT'!$E$7),"131",""))</f>
        <v/>
      </c>
      <c r="O741" s="525" t="str">
        <f>IF(AND($B741&gt;='111'!$N$11,$B741&lt;='111'!$O$11,OR($L741=$O$7,$M741=$O$7)),"x","")</f>
        <v/>
      </c>
      <c r="P741" s="525" t="str">
        <f>IF(AND($L741=$O$7,$B741&lt;'111'!$N$11),"x","")</f>
        <v/>
      </c>
      <c r="Q741" s="525" t="str">
        <f>IF(AND($M741=$O$7,$B741&lt;'111'!$N$11),"x","")</f>
        <v/>
      </c>
      <c r="R741" s="525" t="str">
        <f>IF(ISERROR(FIND('112'!$M$9,G741,1)),"",IF((AND(FIND('112'!$M$9,G741,1)&gt;=1,$B741&gt;='112'!$N$8,$B741&lt;='112'!$O$8,OR($L741='112'!$I$6,$M741='112'!$I$6))),"x",""))</f>
        <v/>
      </c>
      <c r="S741" s="525" t="str">
        <f>IF(ISERROR(FIND('112'!$M$9,G741,1)),"",IF((AND(LEFT(G741,2)=LEFT('112'!$M$9,2),B741&lt;'112'!$N$8,$L741='112'!$I$6)),"x",""))</f>
        <v/>
      </c>
      <c r="T741" s="525" t="str">
        <f>IF(ISERROR(FIND('112'!$M$9,G741,1)),"",IF((AND(RIGHT(G741,2)=RIGHT('112'!$M$9,2),B741&lt;'112'!$N$8,$M741='112'!$I$6)),"x",""))</f>
        <v>x</v>
      </c>
      <c r="U741" s="525" t="str">
        <f>IF(AND(B741&gt;='IN-NX'!$P$3,B741&lt;='IN-NX'!$Q$3,'IN-NX'!$D$7=D741,OR(LEFT(L741,2)="15",AND(LEFT(M741,2)&lt;&gt;"15",LEFT(M741,2)&lt;&gt;"33"))),"x","")</f>
        <v/>
      </c>
      <c r="V741" s="525" t="str">
        <f>IF(AND(OR(LEFT(TH!L741,2)="15",LEFT(TH!M741,2)="15"),'152-CT'!$J$8=TH!F741),"x","")</f>
        <v/>
      </c>
      <c r="W741" s="525" t="str">
        <f>IF(AND(OR(LEFT(TH!L741,2)="15",LEFT(TH!M741,2)="15"),TK!$E$7=TH!F741),"x","")</f>
        <v/>
      </c>
      <c r="X741" s="525" t="str">
        <f>IF(AND('341-CT'!$E$9=H741,OR(LEFT(L741,3)=$X$7,LEFT(M741,3)=$X$7)),"x","")</f>
        <v/>
      </c>
      <c r="Y741" s="525" t="str">
        <f>IF(OR(TH!L741=TH!$Y$7,M741=TH!$Y$7),"x","")</f>
        <v/>
      </c>
      <c r="Z741" s="525" t="str">
        <f>IF(AND(B741&lt;=NKC!$N$8,B741&gt;=NKC!$M$8),"x","")</f>
        <v/>
      </c>
      <c r="AA741" s="535"/>
      <c r="AB741" s="536"/>
    </row>
    <row r="742" spans="1:28" s="503" customFormat="1" ht="15.75" customHeight="1">
      <c r="A742" s="517" t="str">
        <f>IF(B742&lt;&gt;"",IF(AND(B742&gt;=_TM1,B742&lt;=_TM2,OR(TH!L742="1111",TH!M742="1111")),TH!D742,""),"")</f>
        <v/>
      </c>
      <c r="B742" s="531">
        <f t="shared" si="81"/>
        <v>8</v>
      </c>
      <c r="C742" s="315">
        <f t="shared" si="82"/>
        <v>42972</v>
      </c>
      <c r="D742" s="315" t="s">
        <v>461</v>
      </c>
      <c r="E742" s="288">
        <v>42972</v>
      </c>
      <c r="F742" s="249" t="s">
        <v>828</v>
      </c>
      <c r="G742" s="314" t="s">
        <v>440</v>
      </c>
      <c r="H742" s="621" t="s">
        <v>1275</v>
      </c>
      <c r="I742" s="307"/>
      <c r="J742" s="307"/>
      <c r="K742" s="532">
        <v>1798750</v>
      </c>
      <c r="L742" s="533" t="s">
        <v>79</v>
      </c>
      <c r="M742" s="533" t="s">
        <v>24</v>
      </c>
      <c r="N742" s="525" t="str">
        <f>IF(AND('331-CT'!$E$7=TH!H742,OR(L742="331",M742="331")),"331",IF(AND(OR(L742="131",M742="131"),H742='131-CT'!$E$7),"131",""))</f>
        <v/>
      </c>
      <c r="O742" s="525" t="str">
        <f>IF(AND($B742&gt;='111'!$N$11,$B742&lt;='111'!$O$11,OR($L742=$O$7,$M742=$O$7)),"x","")</f>
        <v/>
      </c>
      <c r="P742" s="525" t="str">
        <f>IF(AND($L742=$O$7,$B742&lt;'111'!$N$11),"x","")</f>
        <v/>
      </c>
      <c r="Q742" s="525" t="str">
        <f>IF(AND($M742=$O$7,$B742&lt;'111'!$N$11),"x","")</f>
        <v/>
      </c>
      <c r="R742" s="525" t="str">
        <f>IF(ISERROR(FIND('112'!$M$9,G742,1)),"",IF((AND(FIND('112'!$M$9,G742,1)&gt;=1,$B742&gt;='112'!$N$8,$B742&lt;='112'!$O$8,OR($L742='112'!$I$6,$M742='112'!$I$6))),"x",""))</f>
        <v/>
      </c>
      <c r="S742" s="525" t="str">
        <f>IF(ISERROR(FIND('112'!$M$9,G742,1)),"",IF((AND(LEFT(G742,2)=LEFT('112'!$M$9,2),B742&lt;'112'!$N$8,$L742='112'!$I$6)),"x",""))</f>
        <v/>
      </c>
      <c r="T742" s="525" t="str">
        <f>IF(ISERROR(FIND('112'!$M$9,G742,1)),"",IF((AND(RIGHT(G742,2)=RIGHT('112'!$M$9,2),B742&lt;'112'!$N$8,$M742='112'!$I$6)),"x",""))</f>
        <v>x</v>
      </c>
      <c r="U742" s="525" t="str">
        <f>IF(AND(B742&gt;='IN-NX'!$P$3,B742&lt;='IN-NX'!$Q$3,'IN-NX'!$D$7=D742,OR(LEFT(L742,2)="15",AND(LEFT(M742,2)&lt;&gt;"15",LEFT(M742,2)&lt;&gt;"33"))),"x","")</f>
        <v/>
      </c>
      <c r="V742" s="525" t="str">
        <f>IF(AND(OR(LEFT(TH!L742,2)="15",LEFT(TH!M742,2)="15"),'152-CT'!$J$8=TH!F742),"x","")</f>
        <v/>
      </c>
      <c r="W742" s="525" t="str">
        <f>IF(AND(OR(LEFT(TH!L742,2)="15",LEFT(TH!M742,2)="15"),TK!$E$7=TH!F742),"x","")</f>
        <v/>
      </c>
      <c r="X742" s="525" t="str">
        <f>IF(AND('341-CT'!$E$9=H742,OR(LEFT(L742,3)=$X$7,LEFT(M742,3)=$X$7)),"x","")</f>
        <v/>
      </c>
      <c r="Y742" s="525" t="str">
        <f>IF(OR(TH!L742=TH!$Y$7,M742=TH!$Y$7),"x","")</f>
        <v/>
      </c>
      <c r="Z742" s="525" t="str">
        <f>IF(AND(B742&lt;=NKC!$N$8,B742&gt;=NKC!$M$8),"x","")</f>
        <v/>
      </c>
      <c r="AA742" s="535"/>
    </row>
    <row r="743" spans="1:28" s="503" customFormat="1" ht="15.75" customHeight="1">
      <c r="A743" s="517" t="str">
        <f>IF(B743&lt;&gt;"",IF(AND(B743&gt;=_TM1,B743&lt;=_TM2,OR(TH!L743="1111",TH!M743="1111")),TH!D743,""),"")</f>
        <v/>
      </c>
      <c r="B743" s="531">
        <f t="shared" si="79"/>
        <v>8</v>
      </c>
      <c r="C743" s="315">
        <f t="shared" si="80"/>
        <v>42972</v>
      </c>
      <c r="D743" s="315" t="s">
        <v>461</v>
      </c>
      <c r="E743" s="288">
        <v>42972</v>
      </c>
      <c r="F743" s="249" t="s">
        <v>829</v>
      </c>
      <c r="G743" s="314" t="s">
        <v>440</v>
      </c>
      <c r="H743" s="621" t="s">
        <v>1275</v>
      </c>
      <c r="I743" s="307"/>
      <c r="J743" s="307"/>
      <c r="K743" s="532">
        <v>12500000</v>
      </c>
      <c r="L743" s="534" t="s">
        <v>441</v>
      </c>
      <c r="M743" s="533" t="s">
        <v>24</v>
      </c>
      <c r="N743" s="525" t="str">
        <f>IF(AND('331-CT'!$E$7=TH!H743,OR(L743="331",M743="331")),"331",IF(AND(OR(L743="131",M743="131"),H743='131-CT'!$E$7),"131",""))</f>
        <v/>
      </c>
      <c r="O743" s="525" t="str">
        <f>IF(AND($B743&gt;='111'!$N$11,$B743&lt;='111'!$O$11,OR($L743=$O$7,$M743=$O$7)),"x","")</f>
        <v/>
      </c>
      <c r="P743" s="525" t="str">
        <f>IF(AND($L743=$O$7,$B743&lt;'111'!$N$11),"x","")</f>
        <v/>
      </c>
      <c r="Q743" s="525" t="str">
        <f>IF(AND($M743=$O$7,$B743&lt;'111'!$N$11),"x","")</f>
        <v/>
      </c>
      <c r="R743" s="525" t="str">
        <f>IF(ISERROR(FIND('112'!$M$9,G743,1)),"",IF((AND(FIND('112'!$M$9,G743,1)&gt;=1,$B743&gt;='112'!$N$8,$B743&lt;='112'!$O$8,OR($L743='112'!$I$6,$M743='112'!$I$6))),"x",""))</f>
        <v/>
      </c>
      <c r="S743" s="525" t="str">
        <f>IF(ISERROR(FIND('112'!$M$9,G743,1)),"",IF((AND(LEFT(G743,2)=LEFT('112'!$M$9,2),B743&lt;'112'!$N$8,$L743='112'!$I$6)),"x",""))</f>
        <v/>
      </c>
      <c r="T743" s="525" t="str">
        <f>IF(ISERROR(FIND('112'!$M$9,G743,1)),"",IF((AND(RIGHT(G743,2)=RIGHT('112'!$M$9,2),B743&lt;'112'!$N$8,$M743='112'!$I$6)),"x",""))</f>
        <v>x</v>
      </c>
      <c r="U743" s="525" t="str">
        <f>IF(AND(B743&gt;='IN-NX'!$P$3,B743&lt;='IN-NX'!$Q$3,'IN-NX'!$D$7=D743,OR(LEFT(L743,2)="15",AND(LEFT(M743,2)&lt;&gt;"15",LEFT(M743,2)&lt;&gt;"33"))),"x","")</f>
        <v/>
      </c>
      <c r="V743" s="525" t="str">
        <f>IF(AND(OR(LEFT(TH!L743,2)="15",LEFT(TH!M743,2)="15"),'152-CT'!$J$8=TH!F743),"x","")</f>
        <v/>
      </c>
      <c r="W743" s="525" t="str">
        <f>IF(AND(OR(LEFT(TH!L743,2)="15",LEFT(TH!M743,2)="15"),TK!$E$7=TH!F743),"x","")</f>
        <v/>
      </c>
      <c r="X743" s="525" t="str">
        <f>IF(AND('341-CT'!$E$9=H743,OR(LEFT(L743,3)=$X$7,LEFT(M743,3)=$X$7)),"x","")</f>
        <v/>
      </c>
      <c r="Y743" s="525" t="str">
        <f>IF(OR(TH!L743=TH!$Y$7,M743=TH!$Y$7),"x","")</f>
        <v/>
      </c>
      <c r="Z743" s="525" t="str">
        <f>IF(AND(B743&lt;=NKC!$N$8,B743&gt;=NKC!$M$8),"x","")</f>
        <v/>
      </c>
      <c r="AA743" s="535"/>
    </row>
    <row r="744" spans="1:28" s="503" customFormat="1" ht="15.75" customHeight="1">
      <c r="A744" s="517" t="str">
        <f>IF(B744&lt;&gt;"",IF(AND(B744&gt;=_TM1,B744&lt;=_TM2,OR(TH!L744="1111",TH!M744="1111")),TH!D744,""),"")</f>
        <v/>
      </c>
      <c r="B744" s="531">
        <f t="shared" si="79"/>
        <v>8</v>
      </c>
      <c r="C744" s="315">
        <f t="shared" si="80"/>
        <v>42972</v>
      </c>
      <c r="D744" s="315" t="s">
        <v>461</v>
      </c>
      <c r="E744" s="288">
        <v>42972</v>
      </c>
      <c r="F744" s="249" t="s">
        <v>828</v>
      </c>
      <c r="G744" s="314" t="s">
        <v>440</v>
      </c>
      <c r="H744" s="621" t="s">
        <v>1273</v>
      </c>
      <c r="I744" s="307"/>
      <c r="J744" s="307"/>
      <c r="K744" s="532">
        <v>11027</v>
      </c>
      <c r="L744" s="533" t="s">
        <v>79</v>
      </c>
      <c r="M744" s="533" t="s">
        <v>24</v>
      </c>
      <c r="N744" s="525" t="str">
        <f>IF(AND('331-CT'!$E$7=TH!H744,OR(L744="331",M744="331")),"331",IF(AND(OR(L744="131",M744="131"),H744='131-CT'!$E$7),"131",""))</f>
        <v/>
      </c>
      <c r="O744" s="525" t="str">
        <f>IF(AND($B744&gt;='111'!$N$11,$B744&lt;='111'!$O$11,OR($L744=$O$7,$M744=$O$7)),"x","")</f>
        <v/>
      </c>
      <c r="P744" s="525" t="str">
        <f>IF(AND($L744=$O$7,$B744&lt;'111'!$N$11),"x","")</f>
        <v/>
      </c>
      <c r="Q744" s="525" t="str">
        <f>IF(AND($M744=$O$7,$B744&lt;'111'!$N$11),"x","")</f>
        <v/>
      </c>
      <c r="R744" s="525" t="str">
        <f>IF(ISERROR(FIND('112'!$M$9,G744,1)),"",IF((AND(FIND('112'!$M$9,G744,1)&gt;=1,$B744&gt;='112'!$N$8,$B744&lt;='112'!$O$8,OR($L744='112'!$I$6,$M744='112'!$I$6))),"x",""))</f>
        <v/>
      </c>
      <c r="S744" s="525" t="str">
        <f>IF(ISERROR(FIND('112'!$M$9,G744,1)),"",IF((AND(LEFT(G744,2)=LEFT('112'!$M$9,2),B744&lt;'112'!$N$8,$L744='112'!$I$6)),"x",""))</f>
        <v/>
      </c>
      <c r="T744" s="525" t="str">
        <f>IF(ISERROR(FIND('112'!$M$9,G744,1)),"",IF((AND(RIGHT(G744,2)=RIGHT('112'!$M$9,2),B744&lt;'112'!$N$8,$M744='112'!$I$6)),"x",""))</f>
        <v>x</v>
      </c>
      <c r="U744" s="525" t="str">
        <f>IF(AND(B744&gt;='IN-NX'!$P$3,B744&lt;='IN-NX'!$Q$3,'IN-NX'!$D$7=D744,OR(LEFT(L744,2)="15",AND(LEFT(M744,2)&lt;&gt;"15",LEFT(M744,2)&lt;&gt;"33"))),"x","")</f>
        <v/>
      </c>
      <c r="V744" s="525" t="str">
        <f>IF(AND(OR(LEFT(TH!L744,2)="15",LEFT(TH!M744,2)="15"),'152-CT'!$J$8=TH!F744),"x","")</f>
        <v/>
      </c>
      <c r="W744" s="525" t="str">
        <f>IF(AND(OR(LEFT(TH!L744,2)="15",LEFT(TH!M744,2)="15"),TK!$E$7=TH!F744),"x","")</f>
        <v/>
      </c>
      <c r="X744" s="525" t="str">
        <f>IF(AND('341-CT'!$E$9=H744,OR(LEFT(L744,3)=$X$7,LEFT(M744,3)=$X$7)),"x","")</f>
        <v/>
      </c>
      <c r="Y744" s="525" t="str">
        <f>IF(OR(TH!L744=TH!$Y$7,M744=TH!$Y$7),"x","")</f>
        <v/>
      </c>
      <c r="Z744" s="525" t="str">
        <f>IF(AND(B744&lt;=NKC!$N$8,B744&gt;=NKC!$M$8),"x","")</f>
        <v/>
      </c>
      <c r="AA744" s="535"/>
    </row>
    <row r="745" spans="1:28" s="503" customFormat="1" ht="15.75" customHeight="1">
      <c r="A745" s="517" t="str">
        <f>IF(B745&lt;&gt;"",IF(AND(B745&gt;=_TM1,B745&lt;=_TM2,OR(TH!L745="1111",TH!M745="1111")),TH!D745,""),"")</f>
        <v/>
      </c>
      <c r="B745" s="531">
        <f t="shared" si="79"/>
        <v>8</v>
      </c>
      <c r="C745" s="315">
        <f t="shared" si="80"/>
        <v>42972</v>
      </c>
      <c r="D745" s="315" t="s">
        <v>461</v>
      </c>
      <c r="E745" s="288">
        <v>42972</v>
      </c>
      <c r="F745" s="249" t="s">
        <v>828</v>
      </c>
      <c r="G745" s="314" t="s">
        <v>440</v>
      </c>
      <c r="H745" s="621" t="s">
        <v>1273</v>
      </c>
      <c r="I745" s="307"/>
      <c r="J745" s="307"/>
      <c r="K745" s="532">
        <v>22055</v>
      </c>
      <c r="L745" s="533" t="s">
        <v>79</v>
      </c>
      <c r="M745" s="533" t="s">
        <v>24</v>
      </c>
      <c r="N745" s="525" t="str">
        <f>IF(AND('331-CT'!$E$7=TH!H745,OR(L745="331",M745="331")),"331",IF(AND(OR(L745="131",M745="131"),H745='131-CT'!$E$7),"131",""))</f>
        <v/>
      </c>
      <c r="O745" s="525" t="str">
        <f>IF(AND($B745&gt;='111'!$N$11,$B745&lt;='111'!$O$11,OR($L745=$O$7,$M745=$O$7)),"x","")</f>
        <v/>
      </c>
      <c r="P745" s="525" t="str">
        <f>IF(AND($L745=$O$7,$B745&lt;'111'!$N$11),"x","")</f>
        <v/>
      </c>
      <c r="Q745" s="525" t="str">
        <f>IF(AND($M745=$O$7,$B745&lt;'111'!$N$11),"x","")</f>
        <v/>
      </c>
      <c r="R745" s="525" t="str">
        <f>IF(ISERROR(FIND('112'!$M$9,G745,1)),"",IF((AND(FIND('112'!$M$9,G745,1)&gt;=1,$B745&gt;='112'!$N$8,$B745&lt;='112'!$O$8,OR($L745='112'!$I$6,$M745='112'!$I$6))),"x",""))</f>
        <v/>
      </c>
      <c r="S745" s="525" t="str">
        <f>IF(ISERROR(FIND('112'!$M$9,G745,1)),"",IF((AND(LEFT(G745,2)=LEFT('112'!$M$9,2),B745&lt;'112'!$N$8,$L745='112'!$I$6)),"x",""))</f>
        <v/>
      </c>
      <c r="T745" s="525" t="str">
        <f>IF(ISERROR(FIND('112'!$M$9,G745,1)),"",IF((AND(RIGHT(G745,2)=RIGHT('112'!$M$9,2),B745&lt;'112'!$N$8,$M745='112'!$I$6)),"x",""))</f>
        <v>x</v>
      </c>
      <c r="U745" s="525" t="str">
        <f>IF(AND(B745&gt;='IN-NX'!$P$3,B745&lt;='IN-NX'!$Q$3,'IN-NX'!$D$7=D745,OR(LEFT(L745,2)="15",AND(LEFT(M745,2)&lt;&gt;"15",LEFT(M745,2)&lt;&gt;"33"))),"x","")</f>
        <v/>
      </c>
      <c r="V745" s="525" t="str">
        <f>IF(AND(OR(LEFT(TH!L745,2)="15",LEFT(TH!M745,2)="15"),'152-CT'!$J$8=TH!F745),"x","")</f>
        <v/>
      </c>
      <c r="W745" s="525" t="str">
        <f>IF(AND(OR(LEFT(TH!L745,2)="15",LEFT(TH!M745,2)="15"),TK!$E$7=TH!F745),"x","")</f>
        <v/>
      </c>
      <c r="X745" s="525" t="str">
        <f>IF(AND('341-CT'!$E$9=H745,OR(LEFT(L745,3)=$X$7,LEFT(M745,3)=$X$7)),"x","")</f>
        <v/>
      </c>
      <c r="Y745" s="525" t="str">
        <f>IF(OR(TH!L745=TH!$Y$7,M745=TH!$Y$7),"x","")</f>
        <v/>
      </c>
      <c r="Z745" s="525" t="str">
        <f>IF(AND(B745&lt;=NKC!$N$8,B745&gt;=NKC!$M$8),"x","")</f>
        <v/>
      </c>
      <c r="AA745" s="535"/>
      <c r="AB745" s="536"/>
    </row>
    <row r="746" spans="1:28" s="503" customFormat="1" ht="15.75" customHeight="1">
      <c r="A746" s="517" t="str">
        <f>IF(B746&lt;&gt;"",IF(AND(B746&gt;=_TM1,B746&lt;=_TM2,OR(TH!L746="1111",TH!M746="1111")),TH!D746,""),"")</f>
        <v/>
      </c>
      <c r="B746" s="531">
        <f t="shared" si="79"/>
        <v>8</v>
      </c>
      <c r="C746" s="315">
        <f t="shared" si="80"/>
        <v>42972</v>
      </c>
      <c r="D746" s="315" t="s">
        <v>461</v>
      </c>
      <c r="E746" s="288">
        <v>42972</v>
      </c>
      <c r="F746" s="249" t="s">
        <v>828</v>
      </c>
      <c r="G746" s="314" t="s">
        <v>440</v>
      </c>
      <c r="H746" s="621" t="s">
        <v>1273</v>
      </c>
      <c r="I746" s="307"/>
      <c r="J746" s="307"/>
      <c r="K746" s="532">
        <v>1258880</v>
      </c>
      <c r="L746" s="533" t="s">
        <v>79</v>
      </c>
      <c r="M746" s="533" t="s">
        <v>24</v>
      </c>
      <c r="N746" s="525" t="str">
        <f>IF(AND('331-CT'!$E$7=TH!H746,OR(L746="331",M746="331")),"331",IF(AND(OR(L746="131",M746="131"),H746='131-CT'!$E$7),"131",""))</f>
        <v/>
      </c>
      <c r="O746" s="525" t="str">
        <f>IF(AND($B746&gt;='111'!$N$11,$B746&lt;='111'!$O$11,OR($L746=$O$7,$M746=$O$7)),"x","")</f>
        <v/>
      </c>
      <c r="P746" s="525" t="str">
        <f>IF(AND($L746=$O$7,$B746&lt;'111'!$N$11),"x","")</f>
        <v/>
      </c>
      <c r="Q746" s="525" t="str">
        <f>IF(AND($M746=$O$7,$B746&lt;'111'!$N$11),"x","")</f>
        <v/>
      </c>
      <c r="R746" s="525" t="str">
        <f>IF(ISERROR(FIND('112'!$M$9,G746,1)),"",IF((AND(FIND('112'!$M$9,G746,1)&gt;=1,$B746&gt;='112'!$N$8,$B746&lt;='112'!$O$8,OR($L746='112'!$I$6,$M746='112'!$I$6))),"x",""))</f>
        <v/>
      </c>
      <c r="S746" s="525" t="str">
        <f>IF(ISERROR(FIND('112'!$M$9,G746,1)),"",IF((AND(LEFT(G746,2)=LEFT('112'!$M$9,2),B746&lt;'112'!$N$8,$L746='112'!$I$6)),"x",""))</f>
        <v/>
      </c>
      <c r="T746" s="525" t="str">
        <f>IF(ISERROR(FIND('112'!$M$9,G746,1)),"",IF((AND(RIGHT(G746,2)=RIGHT('112'!$M$9,2),B746&lt;'112'!$N$8,$M746='112'!$I$6)),"x",""))</f>
        <v>x</v>
      </c>
      <c r="U746" s="525" t="str">
        <f>IF(AND(B746&gt;='IN-NX'!$P$3,B746&lt;='IN-NX'!$Q$3,'IN-NX'!$D$7=D746,OR(LEFT(L746,2)="15",AND(LEFT(M746,2)&lt;&gt;"15",LEFT(M746,2)&lt;&gt;"33"))),"x","")</f>
        <v/>
      </c>
      <c r="V746" s="525" t="str">
        <f>IF(AND(OR(LEFT(TH!L746,2)="15",LEFT(TH!M746,2)="15"),'152-CT'!$J$8=TH!F746),"x","")</f>
        <v/>
      </c>
      <c r="W746" s="525" t="str">
        <f>IF(AND(OR(LEFT(TH!L746,2)="15",LEFT(TH!M746,2)="15"),TK!$E$7=TH!F746),"x","")</f>
        <v/>
      </c>
      <c r="X746" s="525" t="str">
        <f>IF(AND('341-CT'!$E$9=H746,OR(LEFT(L746,3)=$X$7,LEFT(M746,3)=$X$7)),"x","")</f>
        <v/>
      </c>
      <c r="Y746" s="525" t="str">
        <f>IF(OR(TH!L746=TH!$Y$7,M746=TH!$Y$7),"x","")</f>
        <v/>
      </c>
      <c r="Z746" s="525" t="str">
        <f>IF(AND(B746&lt;=NKC!$N$8,B746&gt;=NKC!$M$8),"x","")</f>
        <v/>
      </c>
      <c r="AA746" s="535"/>
    </row>
    <row r="747" spans="1:28" s="503" customFormat="1" ht="15.75" customHeight="1">
      <c r="A747" s="517" t="str">
        <f>IF(B747&lt;&gt;"",IF(AND(B747&gt;=_TM1,B747&lt;=_TM2,OR(TH!L747="1111",TH!M747="1111")),TH!D747,""),"")</f>
        <v/>
      </c>
      <c r="B747" s="531">
        <f t="shared" si="79"/>
        <v>8</v>
      </c>
      <c r="C747" s="315">
        <f t="shared" si="80"/>
        <v>42972</v>
      </c>
      <c r="D747" s="315" t="s">
        <v>461</v>
      </c>
      <c r="E747" s="288">
        <v>42972</v>
      </c>
      <c r="F747" s="249" t="s">
        <v>829</v>
      </c>
      <c r="G747" s="314" t="s">
        <v>440</v>
      </c>
      <c r="H747" s="621" t="s">
        <v>1273</v>
      </c>
      <c r="I747" s="307"/>
      <c r="J747" s="307"/>
      <c r="K747" s="532">
        <v>9830000</v>
      </c>
      <c r="L747" s="534" t="s">
        <v>441</v>
      </c>
      <c r="M747" s="533" t="s">
        <v>24</v>
      </c>
      <c r="N747" s="525" t="str">
        <f>IF(AND('331-CT'!$E$7=TH!H747,OR(L747="331",M747="331")),"331",IF(AND(OR(L747="131",M747="131"),H747='131-CT'!$E$7),"131",""))</f>
        <v/>
      </c>
      <c r="O747" s="525" t="str">
        <f>IF(AND($B747&gt;='111'!$N$11,$B747&lt;='111'!$O$11,OR($L747=$O$7,$M747=$O$7)),"x","")</f>
        <v/>
      </c>
      <c r="P747" s="525" t="str">
        <f>IF(AND($L747=$O$7,$B747&lt;'111'!$N$11),"x","")</f>
        <v/>
      </c>
      <c r="Q747" s="525" t="str">
        <f>IF(AND($M747=$O$7,$B747&lt;'111'!$N$11),"x","")</f>
        <v/>
      </c>
      <c r="R747" s="525" t="str">
        <f>IF(ISERROR(FIND('112'!$M$9,G747,1)),"",IF((AND(FIND('112'!$M$9,G747,1)&gt;=1,$B747&gt;='112'!$N$8,$B747&lt;='112'!$O$8,OR($L747='112'!$I$6,$M747='112'!$I$6))),"x",""))</f>
        <v/>
      </c>
      <c r="S747" s="525" t="str">
        <f>IF(ISERROR(FIND('112'!$M$9,G747,1)),"",IF((AND(LEFT(G747,2)=LEFT('112'!$M$9,2),B747&lt;'112'!$N$8,$L747='112'!$I$6)),"x",""))</f>
        <v/>
      </c>
      <c r="T747" s="525" t="str">
        <f>IF(ISERROR(FIND('112'!$M$9,G747,1)),"",IF((AND(RIGHT(G747,2)=RIGHT('112'!$M$9,2),B747&lt;'112'!$N$8,$M747='112'!$I$6)),"x",""))</f>
        <v>x</v>
      </c>
      <c r="U747" s="525" t="str">
        <f>IF(AND(B747&gt;='IN-NX'!$P$3,B747&lt;='IN-NX'!$Q$3,'IN-NX'!$D$7=D747,OR(LEFT(L747,2)="15",AND(LEFT(M747,2)&lt;&gt;"15",LEFT(M747,2)&lt;&gt;"33"))),"x","")</f>
        <v/>
      </c>
      <c r="V747" s="525" t="str">
        <f>IF(AND(OR(LEFT(TH!L747,2)="15",LEFT(TH!M747,2)="15"),'152-CT'!$J$8=TH!F747),"x","")</f>
        <v/>
      </c>
      <c r="W747" s="525" t="str">
        <f>IF(AND(OR(LEFT(TH!L747,2)="15",LEFT(TH!M747,2)="15"),TK!$E$7=TH!F747),"x","")</f>
        <v/>
      </c>
      <c r="X747" s="525" t="str">
        <f>IF(AND('341-CT'!$E$9=H747,OR(LEFT(L747,3)=$X$7,LEFT(M747,3)=$X$7)),"x","")</f>
        <v/>
      </c>
      <c r="Y747" s="525" t="str">
        <f>IF(OR(TH!L747=TH!$Y$7,M747=TH!$Y$7),"x","")</f>
        <v/>
      </c>
      <c r="Z747" s="525" t="str">
        <f>IF(AND(B747&lt;=NKC!$N$8,B747&gt;=NKC!$M$8),"x","")</f>
        <v/>
      </c>
      <c r="AA747" s="535"/>
    </row>
    <row r="748" spans="1:28" s="503" customFormat="1" ht="15.75" customHeight="1">
      <c r="A748" s="517" t="str">
        <f>IF(B748&lt;&gt;"",IF(AND(B748&gt;=_TM1,B748&lt;=_TM2,OR(TH!L748="1111",TH!M748="1111")),TH!D748,""),"")</f>
        <v/>
      </c>
      <c r="B748" s="531">
        <f t="shared" si="79"/>
        <v>8</v>
      </c>
      <c r="C748" s="315">
        <f t="shared" si="80"/>
        <v>42972</v>
      </c>
      <c r="D748" s="315" t="s">
        <v>461</v>
      </c>
      <c r="E748" s="288">
        <v>42972</v>
      </c>
      <c r="F748" s="249" t="s">
        <v>828</v>
      </c>
      <c r="G748" s="314" t="s">
        <v>440</v>
      </c>
      <c r="H748" s="621" t="s">
        <v>1283</v>
      </c>
      <c r="I748" s="307"/>
      <c r="J748" s="307"/>
      <c r="K748" s="532">
        <v>239</v>
      </c>
      <c r="L748" s="533" t="s">
        <v>79</v>
      </c>
      <c r="M748" s="533" t="s">
        <v>24</v>
      </c>
      <c r="N748" s="525" t="str">
        <f>IF(AND('331-CT'!$E$7=TH!H748,OR(L748="331",M748="331")),"331",IF(AND(OR(L748="131",M748="131"),H748='131-CT'!$E$7),"131",""))</f>
        <v/>
      </c>
      <c r="O748" s="525" t="str">
        <f>IF(AND($B748&gt;='111'!$N$11,$B748&lt;='111'!$O$11,OR($L748=$O$7,$M748=$O$7)),"x","")</f>
        <v/>
      </c>
      <c r="P748" s="525" t="str">
        <f>IF(AND($L748=$O$7,$B748&lt;'111'!$N$11),"x","")</f>
        <v/>
      </c>
      <c r="Q748" s="525" t="str">
        <f>IF(AND($M748=$O$7,$B748&lt;'111'!$N$11),"x","")</f>
        <v/>
      </c>
      <c r="R748" s="525" t="str">
        <f>IF(ISERROR(FIND('112'!$M$9,G748,1)),"",IF((AND(FIND('112'!$M$9,G748,1)&gt;=1,$B748&gt;='112'!$N$8,$B748&lt;='112'!$O$8,OR($L748='112'!$I$6,$M748='112'!$I$6))),"x",""))</f>
        <v/>
      </c>
      <c r="S748" s="525" t="str">
        <f>IF(ISERROR(FIND('112'!$M$9,G748,1)),"",IF((AND(LEFT(G748,2)=LEFT('112'!$M$9,2),B748&lt;'112'!$N$8,$L748='112'!$I$6)),"x",""))</f>
        <v/>
      </c>
      <c r="T748" s="525" t="str">
        <f>IF(ISERROR(FIND('112'!$M$9,G748,1)),"",IF((AND(RIGHT(G748,2)=RIGHT('112'!$M$9,2),B748&lt;'112'!$N$8,$M748='112'!$I$6)),"x",""))</f>
        <v>x</v>
      </c>
      <c r="U748" s="525" t="str">
        <f>IF(AND(B748&gt;='IN-NX'!$P$3,B748&lt;='IN-NX'!$Q$3,'IN-NX'!$D$7=D748,OR(LEFT(L748,2)="15",AND(LEFT(M748,2)&lt;&gt;"15",LEFT(M748,2)&lt;&gt;"33"))),"x","")</f>
        <v/>
      </c>
      <c r="V748" s="525" t="str">
        <f>IF(AND(OR(LEFT(TH!L748,2)="15",LEFT(TH!M748,2)="15"),'152-CT'!$J$8=TH!F748),"x","")</f>
        <v/>
      </c>
      <c r="W748" s="525" t="str">
        <f>IF(AND(OR(LEFT(TH!L748,2)="15",LEFT(TH!M748,2)="15"),TK!$E$7=TH!F748),"x","")</f>
        <v/>
      </c>
      <c r="X748" s="525" t="str">
        <f>IF(AND('341-CT'!$E$9=H748,OR(LEFT(L748,3)=$X$7,LEFT(M748,3)=$X$7)),"x","")</f>
        <v/>
      </c>
      <c r="Y748" s="525" t="str">
        <f>IF(OR(TH!L748=TH!$Y$7,M748=TH!$Y$7),"x","")</f>
        <v/>
      </c>
      <c r="Z748" s="525" t="str">
        <f>IF(AND(B748&lt;=NKC!$N$8,B748&gt;=NKC!$M$8),"x","")</f>
        <v/>
      </c>
      <c r="AA748" s="535"/>
      <c r="AB748" s="536"/>
    </row>
    <row r="749" spans="1:28" s="503" customFormat="1" ht="15.75" customHeight="1">
      <c r="A749" s="517" t="str">
        <f>IF(B749&lt;&gt;"",IF(AND(B749&gt;=_TM1,B749&lt;=_TM2,OR(TH!L749="1111",TH!M749="1111")),TH!D749,""),"")</f>
        <v/>
      </c>
      <c r="B749" s="531">
        <f t="shared" si="79"/>
        <v>8</v>
      </c>
      <c r="C749" s="315">
        <f t="shared" si="80"/>
        <v>42972</v>
      </c>
      <c r="D749" s="315" t="s">
        <v>461</v>
      </c>
      <c r="E749" s="288">
        <v>42972</v>
      </c>
      <c r="F749" s="249" t="s">
        <v>828</v>
      </c>
      <c r="G749" s="314" t="s">
        <v>440</v>
      </c>
      <c r="H749" s="621" t="s">
        <v>1283</v>
      </c>
      <c r="I749" s="307"/>
      <c r="J749" s="307"/>
      <c r="K749" s="532">
        <v>478</v>
      </c>
      <c r="L749" s="533" t="s">
        <v>79</v>
      </c>
      <c r="M749" s="533" t="s">
        <v>24</v>
      </c>
      <c r="N749" s="525" t="str">
        <f>IF(AND('331-CT'!$E$7=TH!H749,OR(L749="331",M749="331")),"331",IF(AND(OR(L749="131",M749="131"),H749='131-CT'!$E$7),"131",""))</f>
        <v/>
      </c>
      <c r="O749" s="525" t="str">
        <f>IF(AND($B749&gt;='111'!$N$11,$B749&lt;='111'!$O$11,OR($L749=$O$7,$M749=$O$7)),"x","")</f>
        <v/>
      </c>
      <c r="P749" s="525" t="str">
        <f>IF(AND($L749=$O$7,$B749&lt;'111'!$N$11),"x","")</f>
        <v/>
      </c>
      <c r="Q749" s="525" t="str">
        <f>IF(AND($M749=$O$7,$B749&lt;'111'!$N$11),"x","")</f>
        <v/>
      </c>
      <c r="R749" s="525" t="str">
        <f>IF(ISERROR(FIND('112'!$M$9,G749,1)),"",IF((AND(FIND('112'!$M$9,G749,1)&gt;=1,$B749&gt;='112'!$N$8,$B749&lt;='112'!$O$8,OR($L749='112'!$I$6,$M749='112'!$I$6))),"x",""))</f>
        <v/>
      </c>
      <c r="S749" s="525" t="str">
        <f>IF(ISERROR(FIND('112'!$M$9,G749,1)),"",IF((AND(LEFT(G749,2)=LEFT('112'!$M$9,2),B749&lt;'112'!$N$8,$L749='112'!$I$6)),"x",""))</f>
        <v/>
      </c>
      <c r="T749" s="525" t="str">
        <f>IF(ISERROR(FIND('112'!$M$9,G749,1)),"",IF((AND(RIGHT(G749,2)=RIGHT('112'!$M$9,2),B749&lt;'112'!$N$8,$M749='112'!$I$6)),"x",""))</f>
        <v>x</v>
      </c>
      <c r="U749" s="525" t="str">
        <f>IF(AND(B749&gt;='IN-NX'!$P$3,B749&lt;='IN-NX'!$Q$3,'IN-NX'!$D$7=D749,OR(LEFT(L749,2)="15",AND(LEFT(M749,2)&lt;&gt;"15",LEFT(M749,2)&lt;&gt;"33"))),"x","")</f>
        <v/>
      </c>
      <c r="V749" s="525" t="str">
        <f>IF(AND(OR(LEFT(TH!L749,2)="15",LEFT(TH!M749,2)="15"),'152-CT'!$J$8=TH!F749),"x","")</f>
        <v/>
      </c>
      <c r="W749" s="525" t="str">
        <f>IF(AND(OR(LEFT(TH!L749,2)="15",LEFT(TH!M749,2)="15"),TK!$E$7=TH!F749),"x","")</f>
        <v/>
      </c>
      <c r="X749" s="525" t="str">
        <f>IF(AND('341-CT'!$E$9=H749,OR(LEFT(L749,3)=$X$7,LEFT(M749,3)=$X$7)),"x","")</f>
        <v/>
      </c>
      <c r="Y749" s="525" t="str">
        <f>IF(OR(TH!L749=TH!$Y$7,M749=TH!$Y$7),"x","")</f>
        <v/>
      </c>
      <c r="Z749" s="525" t="str">
        <f>IF(AND(B749&lt;=NKC!$N$8,B749&gt;=NKC!$M$8),"x","")</f>
        <v/>
      </c>
      <c r="AA749" s="535"/>
    </row>
    <row r="750" spans="1:28" s="503" customFormat="1" ht="15.75" customHeight="1">
      <c r="A750" s="517" t="str">
        <f>IF(B750&lt;&gt;"",IF(AND(B750&gt;=_TM1,B750&lt;=_TM2,OR(TH!L750="1111",TH!M750="1111")),TH!D750,""),"")</f>
        <v/>
      </c>
      <c r="B750" s="531">
        <f t="shared" si="79"/>
        <v>8</v>
      </c>
      <c r="C750" s="315">
        <f t="shared" si="80"/>
        <v>42972</v>
      </c>
      <c r="D750" s="315" t="s">
        <v>461</v>
      </c>
      <c r="E750" s="288">
        <v>42972</v>
      </c>
      <c r="F750" s="249" t="s">
        <v>829</v>
      </c>
      <c r="G750" s="314" t="s">
        <v>440</v>
      </c>
      <c r="H750" s="621" t="s">
        <v>1283</v>
      </c>
      <c r="I750" s="307"/>
      <c r="J750" s="307"/>
      <c r="K750" s="532">
        <v>239000</v>
      </c>
      <c r="L750" s="534" t="s">
        <v>441</v>
      </c>
      <c r="M750" s="533" t="s">
        <v>24</v>
      </c>
      <c r="N750" s="525" t="str">
        <f>IF(AND('331-CT'!$E$7=TH!H750,OR(L750="331",M750="331")),"331",IF(AND(OR(L750="131",M750="131"),H750='131-CT'!$E$7),"131",""))</f>
        <v/>
      </c>
      <c r="O750" s="525" t="str">
        <f>IF(AND($B750&gt;='111'!$N$11,$B750&lt;='111'!$O$11,OR($L750=$O$7,$M750=$O$7)),"x","")</f>
        <v/>
      </c>
      <c r="P750" s="525" t="str">
        <f>IF(AND($L750=$O$7,$B750&lt;'111'!$N$11),"x","")</f>
        <v/>
      </c>
      <c r="Q750" s="525" t="str">
        <f>IF(AND($M750=$O$7,$B750&lt;'111'!$N$11),"x","")</f>
        <v/>
      </c>
      <c r="R750" s="525" t="str">
        <f>IF(ISERROR(FIND('112'!$M$9,G750,1)),"",IF((AND(FIND('112'!$M$9,G750,1)&gt;=1,$B750&gt;='112'!$N$8,$B750&lt;='112'!$O$8,OR($L750='112'!$I$6,$M750='112'!$I$6))),"x",""))</f>
        <v/>
      </c>
      <c r="S750" s="525" t="str">
        <f>IF(ISERROR(FIND('112'!$M$9,G750,1)),"",IF((AND(LEFT(G750,2)=LEFT('112'!$M$9,2),B750&lt;'112'!$N$8,$L750='112'!$I$6)),"x",""))</f>
        <v/>
      </c>
      <c r="T750" s="525" t="str">
        <f>IF(ISERROR(FIND('112'!$M$9,G750,1)),"",IF((AND(RIGHT(G750,2)=RIGHT('112'!$M$9,2),B750&lt;'112'!$N$8,$M750='112'!$I$6)),"x",""))</f>
        <v>x</v>
      </c>
      <c r="U750" s="525" t="str">
        <f>IF(AND(B750&gt;='IN-NX'!$P$3,B750&lt;='IN-NX'!$Q$3,'IN-NX'!$D$7=D750,OR(LEFT(L750,2)="15",AND(LEFT(M750,2)&lt;&gt;"15",LEFT(M750,2)&lt;&gt;"33"))),"x","")</f>
        <v/>
      </c>
      <c r="V750" s="525" t="str">
        <f>IF(AND(OR(LEFT(TH!L750,2)="15",LEFT(TH!M750,2)="15"),'152-CT'!$J$8=TH!F750),"x","")</f>
        <v/>
      </c>
      <c r="W750" s="525" t="str">
        <f>IF(AND(OR(LEFT(TH!L750,2)="15",LEFT(TH!M750,2)="15"),TK!$E$7=TH!F750),"x","")</f>
        <v/>
      </c>
      <c r="X750" s="525" t="str">
        <f>IF(AND('341-CT'!$E$9=H750,OR(LEFT(L750,3)=$X$7,LEFT(M750,3)=$X$7)),"x","")</f>
        <v/>
      </c>
      <c r="Y750" s="525" t="str">
        <f>IF(OR(TH!L750=TH!$Y$7,M750=TH!$Y$7),"x","")</f>
        <v/>
      </c>
      <c r="Z750" s="525" t="str">
        <f>IF(AND(B750&lt;=NKC!$N$8,B750&gt;=NKC!$M$8),"x","")</f>
        <v/>
      </c>
      <c r="AA750" s="535"/>
      <c r="AB750" s="536"/>
    </row>
    <row r="751" spans="1:28" s="503" customFormat="1" ht="15.75" customHeight="1">
      <c r="A751" s="517" t="str">
        <f>IF(B751&lt;&gt;"",IF(AND(B751&gt;=_TM1,B751&lt;=_TM2,OR(TH!L751="1111",TH!M751="1111")),TH!D751,""),"")</f>
        <v/>
      </c>
      <c r="B751" s="531">
        <f t="shared" si="79"/>
        <v>8</v>
      </c>
      <c r="C751" s="315">
        <f t="shared" si="80"/>
        <v>42972</v>
      </c>
      <c r="D751" s="315" t="s">
        <v>461</v>
      </c>
      <c r="E751" s="288">
        <v>42972</v>
      </c>
      <c r="F751" s="249" t="s">
        <v>828</v>
      </c>
      <c r="G751" s="314" t="s">
        <v>440</v>
      </c>
      <c r="H751" s="621" t="s">
        <v>830</v>
      </c>
      <c r="I751" s="307"/>
      <c r="J751" s="307"/>
      <c r="K751" s="532">
        <v>6389</v>
      </c>
      <c r="L751" s="533" t="s">
        <v>79</v>
      </c>
      <c r="M751" s="533" t="s">
        <v>24</v>
      </c>
      <c r="N751" s="525" t="str">
        <f>IF(AND('331-CT'!$E$7=TH!H751,OR(L751="331",M751="331")),"331",IF(AND(OR(L751="131",M751="131"),H751='131-CT'!$E$7),"131",""))</f>
        <v/>
      </c>
      <c r="O751" s="525" t="str">
        <f>IF(AND($B751&gt;='111'!$N$11,$B751&lt;='111'!$O$11,OR($L751=$O$7,$M751=$O$7)),"x","")</f>
        <v/>
      </c>
      <c r="P751" s="525" t="str">
        <f>IF(AND($L751=$O$7,$B751&lt;'111'!$N$11),"x","")</f>
        <v/>
      </c>
      <c r="Q751" s="525" t="str">
        <f>IF(AND($M751=$O$7,$B751&lt;'111'!$N$11),"x","")</f>
        <v/>
      </c>
      <c r="R751" s="525" t="str">
        <f>IF(ISERROR(FIND('112'!$M$9,G751,1)),"",IF((AND(FIND('112'!$M$9,G751,1)&gt;=1,$B751&gt;='112'!$N$8,$B751&lt;='112'!$O$8,OR($L751='112'!$I$6,$M751='112'!$I$6))),"x",""))</f>
        <v/>
      </c>
      <c r="S751" s="525" t="str">
        <f>IF(ISERROR(FIND('112'!$M$9,G751,1)),"",IF((AND(LEFT(G751,2)=LEFT('112'!$M$9,2),B751&lt;'112'!$N$8,$L751='112'!$I$6)),"x",""))</f>
        <v/>
      </c>
      <c r="T751" s="525" t="str">
        <f>IF(ISERROR(FIND('112'!$M$9,G751,1)),"",IF((AND(RIGHT(G751,2)=RIGHT('112'!$M$9,2),B751&lt;'112'!$N$8,$M751='112'!$I$6)),"x",""))</f>
        <v>x</v>
      </c>
      <c r="U751" s="525" t="str">
        <f>IF(AND(B751&gt;='IN-NX'!$P$3,B751&lt;='IN-NX'!$Q$3,'IN-NX'!$D$7=D751,OR(LEFT(L751,2)="15",AND(LEFT(M751,2)&lt;&gt;"15",LEFT(M751,2)&lt;&gt;"33"))),"x","")</f>
        <v/>
      </c>
      <c r="V751" s="525" t="str">
        <f>IF(AND(OR(LEFT(TH!L751,2)="15",LEFT(TH!M751,2)="15"),'152-CT'!$J$8=TH!F751),"x","")</f>
        <v/>
      </c>
      <c r="W751" s="525" t="str">
        <f>IF(AND(OR(LEFT(TH!L751,2)="15",LEFT(TH!M751,2)="15"),TK!$E$7=TH!F751),"x","")</f>
        <v/>
      </c>
      <c r="X751" s="525" t="str">
        <f>IF(AND('341-CT'!$E$9=H751,OR(LEFT(L751,3)=$X$7,LEFT(M751,3)=$X$7)),"x","")</f>
        <v/>
      </c>
      <c r="Y751" s="525" t="str">
        <f>IF(OR(TH!L751=TH!$Y$7,M751=TH!$Y$7),"x","")</f>
        <v/>
      </c>
      <c r="Z751" s="525" t="str">
        <f>IF(AND(B751&lt;=NKC!$N$8,B751&gt;=NKC!$M$8),"x","")</f>
        <v/>
      </c>
      <c r="AA751" s="535"/>
    </row>
    <row r="752" spans="1:28" s="503" customFormat="1" ht="15.75" customHeight="1">
      <c r="A752" s="517" t="str">
        <f>IF(B752&lt;&gt;"",IF(AND(B752&gt;=_TM1,B752&lt;=_TM2,OR(TH!L752="1111",TH!M752="1111")),TH!D752,""),"")</f>
        <v/>
      </c>
      <c r="B752" s="531">
        <f t="shared" si="79"/>
        <v>8</v>
      </c>
      <c r="C752" s="315">
        <f t="shared" si="80"/>
        <v>42972</v>
      </c>
      <c r="D752" s="315" t="s">
        <v>461</v>
      </c>
      <c r="E752" s="288">
        <v>42972</v>
      </c>
      <c r="F752" s="249" t="s">
        <v>828</v>
      </c>
      <c r="G752" s="314" t="s">
        <v>440</v>
      </c>
      <c r="H752" s="621" t="s">
        <v>830</v>
      </c>
      <c r="I752" s="307"/>
      <c r="J752" s="307"/>
      <c r="K752" s="532">
        <v>12779</v>
      </c>
      <c r="L752" s="533" t="s">
        <v>79</v>
      </c>
      <c r="M752" s="533" t="s">
        <v>24</v>
      </c>
      <c r="N752" s="525" t="str">
        <f>IF(AND('331-CT'!$E$7=TH!H752,OR(L752="331",M752="331")),"331",IF(AND(OR(L752="131",M752="131"),H752='131-CT'!$E$7),"131",""))</f>
        <v/>
      </c>
      <c r="O752" s="525" t="str">
        <f>IF(AND($B752&gt;='111'!$N$11,$B752&lt;='111'!$O$11,OR($L752=$O$7,$M752=$O$7)),"x","")</f>
        <v/>
      </c>
      <c r="P752" s="525" t="str">
        <f>IF(AND($L752=$O$7,$B752&lt;'111'!$N$11),"x","")</f>
        <v/>
      </c>
      <c r="Q752" s="525" t="str">
        <f>IF(AND($M752=$O$7,$B752&lt;'111'!$N$11),"x","")</f>
        <v/>
      </c>
      <c r="R752" s="525" t="str">
        <f>IF(ISERROR(FIND('112'!$M$9,G752,1)),"",IF((AND(FIND('112'!$M$9,G752,1)&gt;=1,$B752&gt;='112'!$N$8,$B752&lt;='112'!$O$8,OR($L752='112'!$I$6,$M752='112'!$I$6))),"x",""))</f>
        <v/>
      </c>
      <c r="S752" s="525" t="str">
        <f>IF(ISERROR(FIND('112'!$M$9,G752,1)),"",IF((AND(LEFT(G752,2)=LEFT('112'!$M$9,2),B752&lt;'112'!$N$8,$L752='112'!$I$6)),"x",""))</f>
        <v/>
      </c>
      <c r="T752" s="525" t="str">
        <f>IF(ISERROR(FIND('112'!$M$9,G752,1)),"",IF((AND(RIGHT(G752,2)=RIGHT('112'!$M$9,2),B752&lt;'112'!$N$8,$M752='112'!$I$6)),"x",""))</f>
        <v>x</v>
      </c>
      <c r="U752" s="525" t="str">
        <f>IF(AND(B752&gt;='IN-NX'!$P$3,B752&lt;='IN-NX'!$Q$3,'IN-NX'!$D$7=D752,OR(LEFT(L752,2)="15",AND(LEFT(M752,2)&lt;&gt;"15",LEFT(M752,2)&lt;&gt;"33"))),"x","")</f>
        <v/>
      </c>
      <c r="V752" s="525" t="str">
        <f>IF(AND(OR(LEFT(TH!L752,2)="15",LEFT(TH!M752,2)="15"),'152-CT'!$J$8=TH!F752),"x","")</f>
        <v/>
      </c>
      <c r="W752" s="525" t="str">
        <f>IF(AND(OR(LEFT(TH!L752,2)="15",LEFT(TH!M752,2)="15"),TK!$E$7=TH!F752),"x","")</f>
        <v/>
      </c>
      <c r="X752" s="525" t="str">
        <f>IF(AND('341-CT'!$E$9=H752,OR(LEFT(L752,3)=$X$7,LEFT(M752,3)=$X$7)),"x","")</f>
        <v/>
      </c>
      <c r="Y752" s="525" t="str">
        <f>IF(OR(TH!L752=TH!$Y$7,M752=TH!$Y$7),"x","")</f>
        <v/>
      </c>
      <c r="Z752" s="525" t="str">
        <f>IF(AND(B752&lt;=NKC!$N$8,B752&gt;=NKC!$M$8),"x","")</f>
        <v/>
      </c>
      <c r="AA752" s="535"/>
    </row>
    <row r="753" spans="1:28" s="503" customFormat="1" ht="15.75" customHeight="1">
      <c r="A753" s="517" t="str">
        <f>IF(B753&lt;&gt;"",IF(AND(B753&gt;=_TM1,B753&lt;=_TM2,OR(TH!L753="1111",TH!M753="1111")),TH!D753,""),"")</f>
        <v/>
      </c>
      <c r="B753" s="531">
        <f t="shared" si="79"/>
        <v>8</v>
      </c>
      <c r="C753" s="315">
        <f t="shared" si="80"/>
        <v>42972</v>
      </c>
      <c r="D753" s="315" t="s">
        <v>461</v>
      </c>
      <c r="E753" s="288">
        <v>42972</v>
      </c>
      <c r="F753" s="249" t="s">
        <v>828</v>
      </c>
      <c r="G753" s="314" t="s">
        <v>440</v>
      </c>
      <c r="H753" s="621" t="s">
        <v>830</v>
      </c>
      <c r="I753" s="307"/>
      <c r="J753" s="307"/>
      <c r="K753" s="532">
        <v>624553</v>
      </c>
      <c r="L753" s="533" t="s">
        <v>79</v>
      </c>
      <c r="M753" s="533" t="s">
        <v>24</v>
      </c>
      <c r="N753" s="525" t="str">
        <f>IF(AND('331-CT'!$E$7=TH!H753,OR(L753="331",M753="331")),"331",IF(AND(OR(L753="131",M753="131"),H753='131-CT'!$E$7),"131",""))</f>
        <v/>
      </c>
      <c r="O753" s="525" t="str">
        <f>IF(AND($B753&gt;='111'!$N$11,$B753&lt;='111'!$O$11,OR($L753=$O$7,$M753=$O$7)),"x","")</f>
        <v/>
      </c>
      <c r="P753" s="525" t="str">
        <f>IF(AND($L753=$O$7,$B753&lt;'111'!$N$11),"x","")</f>
        <v/>
      </c>
      <c r="Q753" s="525" t="str">
        <f>IF(AND($M753=$O$7,$B753&lt;'111'!$N$11),"x","")</f>
        <v/>
      </c>
      <c r="R753" s="525" t="str">
        <f>IF(ISERROR(FIND('112'!$M$9,G753,1)),"",IF((AND(FIND('112'!$M$9,G753,1)&gt;=1,$B753&gt;='112'!$N$8,$B753&lt;='112'!$O$8,OR($L753='112'!$I$6,$M753='112'!$I$6))),"x",""))</f>
        <v/>
      </c>
      <c r="S753" s="525" t="str">
        <f>IF(ISERROR(FIND('112'!$M$9,G753,1)),"",IF((AND(LEFT(G753,2)=LEFT('112'!$M$9,2),B753&lt;'112'!$N$8,$L753='112'!$I$6)),"x",""))</f>
        <v/>
      </c>
      <c r="T753" s="525" t="str">
        <f>IF(ISERROR(FIND('112'!$M$9,G753,1)),"",IF((AND(RIGHT(G753,2)=RIGHT('112'!$M$9,2),B753&lt;'112'!$N$8,$M753='112'!$I$6)),"x",""))</f>
        <v>x</v>
      </c>
      <c r="U753" s="525" t="str">
        <f>IF(AND(B753&gt;='IN-NX'!$P$3,B753&lt;='IN-NX'!$Q$3,'IN-NX'!$D$7=D753,OR(LEFT(L753,2)="15",AND(LEFT(M753,2)&lt;&gt;"15",LEFT(M753,2)&lt;&gt;"33"))),"x","")</f>
        <v/>
      </c>
      <c r="V753" s="525" t="str">
        <f>IF(AND(OR(LEFT(TH!L753,2)="15",LEFT(TH!M753,2)="15"),'152-CT'!$J$8=TH!F753),"x","")</f>
        <v/>
      </c>
      <c r="W753" s="525" t="str">
        <f>IF(AND(OR(LEFT(TH!L753,2)="15",LEFT(TH!M753,2)="15"),TK!$E$7=TH!F753),"x","")</f>
        <v/>
      </c>
      <c r="X753" s="525" t="str">
        <f>IF(AND('341-CT'!$E$9=H753,OR(LEFT(L753,3)=$X$7,LEFT(M753,3)=$X$7)),"x","")</f>
        <v/>
      </c>
      <c r="Y753" s="525" t="str">
        <f>IF(OR(TH!L753=TH!$Y$7,M753=TH!$Y$7),"x","")</f>
        <v/>
      </c>
      <c r="Z753" s="525" t="str">
        <f>IF(AND(B753&lt;=NKC!$N$8,B753&gt;=NKC!$M$8),"x","")</f>
        <v/>
      </c>
      <c r="AA753" s="535"/>
      <c r="AB753" s="536"/>
    </row>
    <row r="754" spans="1:28" s="503" customFormat="1" ht="15.75" customHeight="1">
      <c r="A754" s="517" t="str">
        <f>IF(B754&lt;&gt;"",IF(AND(B754&gt;=_TM1,B754&lt;=_TM2,OR(TH!L754="1111",TH!M754="1111")),TH!D754,""),"")</f>
        <v/>
      </c>
      <c r="B754" s="531">
        <f t="shared" si="79"/>
        <v>8</v>
      </c>
      <c r="C754" s="315">
        <f t="shared" si="80"/>
        <v>42972</v>
      </c>
      <c r="D754" s="315" t="s">
        <v>461</v>
      </c>
      <c r="E754" s="288">
        <v>42972</v>
      </c>
      <c r="F754" s="249" t="s">
        <v>829</v>
      </c>
      <c r="G754" s="314" t="s">
        <v>440</v>
      </c>
      <c r="H754" s="621" t="s">
        <v>830</v>
      </c>
      <c r="I754" s="307"/>
      <c r="J754" s="307"/>
      <c r="K754" s="532">
        <v>9420000</v>
      </c>
      <c r="L754" s="534" t="s">
        <v>441</v>
      </c>
      <c r="M754" s="533" t="s">
        <v>24</v>
      </c>
      <c r="N754" s="525" t="str">
        <f>IF(AND('331-CT'!$E$7=TH!H754,OR(L754="331",M754="331")),"331",IF(AND(OR(L754="131",M754="131"),H754='131-CT'!$E$7),"131",""))</f>
        <v/>
      </c>
      <c r="O754" s="525" t="str">
        <f>IF(AND($B754&gt;='111'!$N$11,$B754&lt;='111'!$O$11,OR($L754=$O$7,$M754=$O$7)),"x","")</f>
        <v/>
      </c>
      <c r="P754" s="525" t="str">
        <f>IF(AND($L754=$O$7,$B754&lt;'111'!$N$11),"x","")</f>
        <v/>
      </c>
      <c r="Q754" s="525" t="str">
        <f>IF(AND($M754=$O$7,$B754&lt;'111'!$N$11),"x","")</f>
        <v/>
      </c>
      <c r="R754" s="525" t="str">
        <f>IF(ISERROR(FIND('112'!$M$9,G754,1)),"",IF((AND(FIND('112'!$M$9,G754,1)&gt;=1,$B754&gt;='112'!$N$8,$B754&lt;='112'!$O$8,OR($L754='112'!$I$6,$M754='112'!$I$6))),"x",""))</f>
        <v/>
      </c>
      <c r="S754" s="525" t="str">
        <f>IF(ISERROR(FIND('112'!$M$9,G754,1)),"",IF((AND(LEFT(G754,2)=LEFT('112'!$M$9,2),B754&lt;'112'!$N$8,$L754='112'!$I$6)),"x",""))</f>
        <v/>
      </c>
      <c r="T754" s="525" t="str">
        <f>IF(ISERROR(FIND('112'!$M$9,G754,1)),"",IF((AND(RIGHT(G754,2)=RIGHT('112'!$M$9,2),B754&lt;'112'!$N$8,$M754='112'!$I$6)),"x",""))</f>
        <v>x</v>
      </c>
      <c r="U754" s="525" t="str">
        <f>IF(AND(B754&gt;='IN-NX'!$P$3,B754&lt;='IN-NX'!$Q$3,'IN-NX'!$D$7=D754,OR(LEFT(L754,2)="15",AND(LEFT(M754,2)&lt;&gt;"15",LEFT(M754,2)&lt;&gt;"33"))),"x","")</f>
        <v/>
      </c>
      <c r="V754" s="525" t="str">
        <f>IF(AND(OR(LEFT(TH!L754,2)="15",LEFT(TH!M754,2)="15"),'152-CT'!$J$8=TH!F754),"x","")</f>
        <v/>
      </c>
      <c r="W754" s="525" t="str">
        <f>IF(AND(OR(LEFT(TH!L754,2)="15",LEFT(TH!M754,2)="15"),TK!$E$7=TH!F754),"x","")</f>
        <v/>
      </c>
      <c r="X754" s="525" t="str">
        <f>IF(AND('341-CT'!$E$9=H754,OR(LEFT(L754,3)=$X$7,LEFT(M754,3)=$X$7)),"x","")</f>
        <v/>
      </c>
      <c r="Y754" s="525" t="str">
        <f>IF(OR(TH!L754=TH!$Y$7,M754=TH!$Y$7),"x","")</f>
        <v/>
      </c>
      <c r="Z754" s="525" t="str">
        <f>IF(AND(B754&lt;=NKC!$N$8,B754&gt;=NKC!$M$8),"x","")</f>
        <v/>
      </c>
      <c r="AA754" s="535"/>
    </row>
    <row r="755" spans="1:28" s="503" customFormat="1" ht="15.75" customHeight="1">
      <c r="A755" s="517" t="str">
        <f>IF(B755&lt;&gt;"",IF(AND(B755&gt;=_TM1,B755&lt;=_TM2,OR(TH!L755="1111",TH!M755="1111")),TH!D755,""),"")</f>
        <v/>
      </c>
      <c r="B755" s="531">
        <f t="shared" ref="B755:B765" si="85">IF(C755&lt;&gt;"",MONTH(C755),"")</f>
        <v>8</v>
      </c>
      <c r="C755" s="315">
        <f t="shared" ref="C755:C765" si="86">E755</f>
        <v>42975</v>
      </c>
      <c r="D755" s="315" t="s">
        <v>461</v>
      </c>
      <c r="E755" s="288">
        <v>42975</v>
      </c>
      <c r="F755" s="249" t="s">
        <v>468</v>
      </c>
      <c r="G755" s="314" t="s">
        <v>440</v>
      </c>
      <c r="H755" s="473" t="s">
        <v>1142</v>
      </c>
      <c r="I755" s="307"/>
      <c r="J755" s="307"/>
      <c r="K755" s="532">
        <v>99300000</v>
      </c>
      <c r="L755" s="534" t="s">
        <v>8</v>
      </c>
      <c r="M755" s="533" t="s">
        <v>24</v>
      </c>
      <c r="N755" s="525" t="str">
        <f>IF(AND('331-CT'!$E$7=TH!H755,OR(L755="331",M755="331")),"331",IF(AND(OR(L755="131",M755="131"),H755='131-CT'!$E$7),"131",""))</f>
        <v/>
      </c>
      <c r="O755" s="525" t="str">
        <f>IF(AND($B755&gt;='111'!$N$11,$B755&lt;='111'!$O$11,OR($L755=$O$7,$M755=$O$7)),"x","")</f>
        <v/>
      </c>
      <c r="P755" s="525" t="str">
        <f>IF(AND($L755=$O$7,$B755&lt;'111'!$N$11),"x","")</f>
        <v/>
      </c>
      <c r="Q755" s="525" t="str">
        <f>IF(AND($M755=$O$7,$B755&lt;'111'!$N$11),"x","")</f>
        <v/>
      </c>
      <c r="R755" s="525" t="str">
        <f>IF(ISERROR(FIND('112'!$M$9,G755,1)),"",IF((AND(FIND('112'!$M$9,G755,1)&gt;=1,$B755&gt;='112'!$N$8,$B755&lt;='112'!$O$8,OR($L755='112'!$I$6,$M755='112'!$I$6))),"x",""))</f>
        <v/>
      </c>
      <c r="S755" s="525" t="str">
        <f>IF(ISERROR(FIND('112'!$M$9,G755,1)),"",IF((AND(LEFT(G755,2)=LEFT('112'!$M$9,2),B755&lt;'112'!$N$8,$L755='112'!$I$6)),"x",""))</f>
        <v/>
      </c>
      <c r="T755" s="525" t="str">
        <f>IF(ISERROR(FIND('112'!$M$9,G755,1)),"",IF((AND(RIGHT(G755,2)=RIGHT('112'!$M$9,2),B755&lt;'112'!$N$8,$M755='112'!$I$6)),"x",""))</f>
        <v>x</v>
      </c>
      <c r="U755" s="525" t="str">
        <f>IF(AND(B755&gt;='IN-NX'!$P$3,B755&lt;='IN-NX'!$Q$3,'IN-NX'!$D$7=D755,OR(LEFT(L755,2)="15",AND(LEFT(M755,2)&lt;&gt;"15",LEFT(M755,2)&lt;&gt;"33"))),"x","")</f>
        <v/>
      </c>
      <c r="V755" s="525" t="str">
        <f>IF(AND(OR(LEFT(TH!L755,2)="15",LEFT(TH!M755,2)="15"),'152-CT'!$J$8=TH!F755),"x","")</f>
        <v/>
      </c>
      <c r="W755" s="525" t="str">
        <f>IF(AND(OR(LEFT(TH!L755,2)="15",LEFT(TH!M755,2)="15"),TK!$E$7=TH!F755),"x","")</f>
        <v/>
      </c>
      <c r="X755" s="525" t="str">
        <f>IF(AND('341-CT'!$E$9=H755,OR(LEFT(L755,3)=$X$7,LEFT(M755,3)=$X$7)),"x","")</f>
        <v/>
      </c>
      <c r="Y755" s="525" t="str">
        <f>IF(OR(TH!L755=TH!$Y$7,M755=TH!$Y$7),"x","")</f>
        <v/>
      </c>
      <c r="Z755" s="525" t="str">
        <f>IF(AND(B755&lt;=NKC!$N$8,B755&gt;=NKC!$M$8),"x","")</f>
        <v/>
      </c>
      <c r="AA755" s="535"/>
    </row>
    <row r="756" spans="1:28" s="503" customFormat="1" ht="15.75" customHeight="1">
      <c r="A756" s="517" t="str">
        <f>IF(B756&lt;&gt;"",IF(AND(B756&gt;=_TM1,B756&lt;=_TM2,OR(TH!L756="1111",TH!M756="1111")),TH!D756,""),"")</f>
        <v/>
      </c>
      <c r="B756" s="531">
        <f t="shared" si="85"/>
        <v>8</v>
      </c>
      <c r="C756" s="315">
        <f t="shared" si="86"/>
        <v>42975</v>
      </c>
      <c r="D756" s="315" t="s">
        <v>461</v>
      </c>
      <c r="E756" s="288">
        <v>42975</v>
      </c>
      <c r="F756" s="248" t="s">
        <v>463</v>
      </c>
      <c r="G756" s="314" t="s">
        <v>440</v>
      </c>
      <c r="H756" s="472"/>
      <c r="I756" s="307"/>
      <c r="J756" s="307"/>
      <c r="K756" s="532">
        <v>20000</v>
      </c>
      <c r="L756" s="533" t="s">
        <v>81</v>
      </c>
      <c r="M756" s="533" t="s">
        <v>24</v>
      </c>
      <c r="N756" s="525" t="str">
        <f>IF(AND('331-CT'!$E$7=TH!H756,OR(L756="331",M756="331")),"331",IF(AND(OR(L756="131",M756="131"),H756='131-CT'!$E$7),"131",""))</f>
        <v/>
      </c>
      <c r="O756" s="525" t="str">
        <f>IF(AND($B756&gt;='111'!$N$11,$B756&lt;='111'!$O$11,OR($L756=$O$7,$M756=$O$7)),"x","")</f>
        <v/>
      </c>
      <c r="P756" s="525" t="str">
        <f>IF(AND($L756=$O$7,$B756&lt;'111'!$N$11),"x","")</f>
        <v/>
      </c>
      <c r="Q756" s="525" t="str">
        <f>IF(AND($M756=$O$7,$B756&lt;'111'!$N$11),"x","")</f>
        <v/>
      </c>
      <c r="R756" s="525" t="str">
        <f>IF(ISERROR(FIND('112'!$M$9,G756,1)),"",IF((AND(FIND('112'!$M$9,G756,1)&gt;=1,$B756&gt;='112'!$N$8,$B756&lt;='112'!$O$8,OR($L756='112'!$I$6,$M756='112'!$I$6))),"x",""))</f>
        <v/>
      </c>
      <c r="S756" s="525" t="str">
        <f>IF(ISERROR(FIND('112'!$M$9,G756,1)),"",IF((AND(LEFT(G756,2)=LEFT('112'!$M$9,2),B756&lt;'112'!$N$8,$L756='112'!$I$6)),"x",""))</f>
        <v/>
      </c>
      <c r="T756" s="525" t="str">
        <f>IF(ISERROR(FIND('112'!$M$9,G756,1)),"",IF((AND(RIGHT(G756,2)=RIGHT('112'!$M$9,2),B756&lt;'112'!$N$8,$M756='112'!$I$6)),"x",""))</f>
        <v>x</v>
      </c>
      <c r="U756" s="525" t="str">
        <f>IF(AND(B756&gt;='IN-NX'!$P$3,B756&lt;='IN-NX'!$Q$3,'IN-NX'!$D$7=D756,OR(LEFT(L756,2)="15",AND(LEFT(M756,2)&lt;&gt;"15",LEFT(M756,2)&lt;&gt;"33"))),"x","")</f>
        <v/>
      </c>
      <c r="V756" s="525" t="str">
        <f>IF(AND(OR(LEFT(TH!L756,2)="15",LEFT(TH!M756,2)="15"),'152-CT'!$J$8=TH!F756),"x","")</f>
        <v/>
      </c>
      <c r="W756" s="525" t="str">
        <f>IF(AND(OR(LEFT(TH!L756,2)="15",LEFT(TH!M756,2)="15"),TK!$E$7=TH!F756),"x","")</f>
        <v/>
      </c>
      <c r="X756" s="525" t="str">
        <f>IF(AND('341-CT'!$E$9=H756,OR(LEFT(L756,3)=$X$7,LEFT(M756,3)=$X$7)),"x","")</f>
        <v/>
      </c>
      <c r="Y756" s="525" t="str">
        <f>IF(OR(TH!L756=TH!$Y$7,M756=TH!$Y$7),"x","")</f>
        <v/>
      </c>
      <c r="Z756" s="525" t="str">
        <f>IF(AND(B756&lt;=NKC!$N$8,B756&gt;=NKC!$M$8),"x","")</f>
        <v/>
      </c>
      <c r="AA756" s="535">
        <v>3</v>
      </c>
      <c r="AB756" s="536"/>
    </row>
    <row r="757" spans="1:28" s="503" customFormat="1" ht="15.75" customHeight="1">
      <c r="A757" s="517" t="str">
        <f>IF(B757&lt;&gt;"",IF(AND(B757&gt;=_TM1,B757&lt;=_TM2,OR(TH!L757="1111",TH!M757="1111")),TH!D757,""),"")</f>
        <v/>
      </c>
      <c r="B757" s="531">
        <f t="shared" si="85"/>
        <v>8</v>
      </c>
      <c r="C757" s="315">
        <f t="shared" si="86"/>
        <v>42975</v>
      </c>
      <c r="D757" s="315" t="s">
        <v>461</v>
      </c>
      <c r="E757" s="288">
        <v>42975</v>
      </c>
      <c r="F757" s="248" t="s">
        <v>464</v>
      </c>
      <c r="G757" s="314" t="s">
        <v>440</v>
      </c>
      <c r="H757" s="472"/>
      <c r="I757" s="307"/>
      <c r="J757" s="307"/>
      <c r="K757" s="532">
        <v>2000</v>
      </c>
      <c r="L757" s="533" t="s">
        <v>9</v>
      </c>
      <c r="M757" s="533" t="s">
        <v>24</v>
      </c>
      <c r="N757" s="525" t="str">
        <f>IF(AND('331-CT'!$E$7=TH!H757,OR(L757="331",M757="331")),"331",IF(AND(OR(L757="131",M757="131"),H757='131-CT'!$E$7),"131",""))</f>
        <v/>
      </c>
      <c r="O757" s="525" t="str">
        <f>IF(AND($B757&gt;='111'!$N$11,$B757&lt;='111'!$O$11,OR($L757=$O$7,$M757=$O$7)),"x","")</f>
        <v/>
      </c>
      <c r="P757" s="525" t="str">
        <f>IF(AND($L757=$O$7,$B757&lt;'111'!$N$11),"x","")</f>
        <v/>
      </c>
      <c r="Q757" s="525" t="str">
        <f>IF(AND($M757=$O$7,$B757&lt;'111'!$N$11),"x","")</f>
        <v/>
      </c>
      <c r="R757" s="525" t="str">
        <f>IF(ISERROR(FIND('112'!$M$9,G757,1)),"",IF((AND(FIND('112'!$M$9,G757,1)&gt;=1,$B757&gt;='112'!$N$8,$B757&lt;='112'!$O$8,OR($L757='112'!$I$6,$M757='112'!$I$6))),"x",""))</f>
        <v/>
      </c>
      <c r="S757" s="525" t="str">
        <f>IF(ISERROR(FIND('112'!$M$9,G757,1)),"",IF((AND(LEFT(G757,2)=LEFT('112'!$M$9,2),B757&lt;'112'!$N$8,$L757='112'!$I$6)),"x",""))</f>
        <v/>
      </c>
      <c r="T757" s="525" t="str">
        <f>IF(ISERROR(FIND('112'!$M$9,G757,1)),"",IF((AND(RIGHT(G757,2)=RIGHT('112'!$M$9,2),B757&lt;'112'!$N$8,$M757='112'!$I$6)),"x",""))</f>
        <v>x</v>
      </c>
      <c r="U757" s="525" t="str">
        <f>IF(AND(B757&gt;='IN-NX'!$P$3,B757&lt;='IN-NX'!$Q$3,'IN-NX'!$D$7=D757,OR(LEFT(L757,2)="15",AND(LEFT(M757,2)&lt;&gt;"15",LEFT(M757,2)&lt;&gt;"33"))),"x","")</f>
        <v/>
      </c>
      <c r="V757" s="525" t="str">
        <f>IF(AND(OR(LEFT(TH!L757,2)="15",LEFT(TH!M757,2)="15"),'152-CT'!$J$8=TH!F757),"x","")</f>
        <v/>
      </c>
      <c r="W757" s="525" t="str">
        <f>IF(AND(OR(LEFT(TH!L757,2)="15",LEFT(TH!M757,2)="15"),TK!$E$7=TH!F757),"x","")</f>
        <v/>
      </c>
      <c r="X757" s="525" t="str">
        <f>IF(AND('341-CT'!$E$9=H757,OR(LEFT(L757,3)=$X$7,LEFT(M757,3)=$X$7)),"x","")</f>
        <v/>
      </c>
      <c r="Y757" s="525" t="str">
        <f>IF(OR(TH!L757=TH!$Y$7,M757=TH!$Y$7),"x","")</f>
        <v/>
      </c>
      <c r="Z757" s="525" t="str">
        <f>IF(AND(B757&lt;=NKC!$N$8,B757&gt;=NKC!$M$8),"x","")</f>
        <v/>
      </c>
      <c r="AA757" s="535">
        <v>3</v>
      </c>
    </row>
    <row r="758" spans="1:28" s="503" customFormat="1" ht="15.75" customHeight="1">
      <c r="A758" s="517" t="str">
        <f>IF(B758&lt;&gt;"",IF(AND(B758&gt;=_TM1,B758&lt;=_TM2,OR(TH!L758="1111",TH!M758="1111")),TH!D758,""),"")</f>
        <v/>
      </c>
      <c r="B758" s="531">
        <f t="shared" si="85"/>
        <v>9</v>
      </c>
      <c r="C758" s="315">
        <f t="shared" si="86"/>
        <v>42991</v>
      </c>
      <c r="D758" s="315" t="s">
        <v>461</v>
      </c>
      <c r="E758" s="288">
        <v>42991</v>
      </c>
      <c r="F758" s="249" t="s">
        <v>827</v>
      </c>
      <c r="G758" s="314" t="s">
        <v>440</v>
      </c>
      <c r="H758" s="473" t="s">
        <v>460</v>
      </c>
      <c r="I758" s="307"/>
      <c r="J758" s="307"/>
      <c r="K758" s="532">
        <v>8800000</v>
      </c>
      <c r="L758" s="533" t="s">
        <v>45</v>
      </c>
      <c r="M758" s="533" t="s">
        <v>24</v>
      </c>
      <c r="N758" s="525" t="str">
        <f>IF(AND('331-CT'!$E$7=TH!H758,OR(L758="331",M758="331")),"331",IF(AND(OR(L758="131",M758="131"),H758='131-CT'!$E$7),"131",""))</f>
        <v/>
      </c>
      <c r="O758" s="525" t="str">
        <f>IF(AND($B758&gt;='111'!$N$11,$B758&lt;='111'!$O$11,OR($L758=$O$7,$M758=$O$7)),"x","")</f>
        <v/>
      </c>
      <c r="P758" s="525" t="str">
        <f>IF(AND($L758=$O$7,$B758&lt;'111'!$N$11),"x","")</f>
        <v>x</v>
      </c>
      <c r="Q758" s="525" t="str">
        <f>IF(AND($M758=$O$7,$B758&lt;'111'!$N$11),"x","")</f>
        <v/>
      </c>
      <c r="R758" s="525" t="str">
        <f>IF(ISERROR(FIND('112'!$M$9,G758,1)),"",IF((AND(FIND('112'!$M$9,G758,1)&gt;=1,$B758&gt;='112'!$N$8,$B758&lt;='112'!$O$8,OR($L758='112'!$I$6,$M758='112'!$I$6))),"x",""))</f>
        <v/>
      </c>
      <c r="S758" s="525" t="str">
        <f>IF(ISERROR(FIND('112'!$M$9,G758,1)),"",IF((AND(LEFT(G758,2)=LEFT('112'!$M$9,2),B758&lt;'112'!$N$8,$L758='112'!$I$6)),"x",""))</f>
        <v/>
      </c>
      <c r="T758" s="525" t="str">
        <f>IF(ISERROR(FIND('112'!$M$9,G758,1)),"",IF((AND(RIGHT(G758,2)=RIGHT('112'!$M$9,2),B758&lt;'112'!$N$8,$M758='112'!$I$6)),"x",""))</f>
        <v>x</v>
      </c>
      <c r="U758" s="525" t="str">
        <f>IF(AND(B758&gt;='IN-NX'!$P$3,B758&lt;='IN-NX'!$Q$3,'IN-NX'!$D$7=D758,OR(LEFT(L758,2)="15",AND(LEFT(M758,2)&lt;&gt;"15",LEFT(M758,2)&lt;&gt;"33"))),"x","")</f>
        <v/>
      </c>
      <c r="V758" s="525" t="str">
        <f>IF(AND(OR(LEFT(TH!L758,2)="15",LEFT(TH!M758,2)="15"),'152-CT'!$J$8=TH!F758),"x","")</f>
        <v/>
      </c>
      <c r="W758" s="525" t="str">
        <f>IF(AND(OR(LEFT(TH!L758,2)="15",LEFT(TH!M758,2)="15"),TK!$E$7=TH!F758),"x","")</f>
        <v/>
      </c>
      <c r="X758" s="525" t="str">
        <f>IF(AND('341-CT'!$E$9=H758,OR(LEFT(L758,3)=$X$7,LEFT(M758,3)=$X$7)),"x","")</f>
        <v/>
      </c>
      <c r="Y758" s="525" t="str">
        <f>IF(OR(TH!L758=TH!$Y$7,M758=TH!$Y$7),"x","")</f>
        <v/>
      </c>
      <c r="Z758" s="525" t="str">
        <f>IF(AND(B758&lt;=NKC!$N$8,B758&gt;=NKC!$M$8),"x","")</f>
        <v/>
      </c>
      <c r="AA758" s="535"/>
    </row>
    <row r="759" spans="1:28" s="503" customFormat="1" ht="15.75" customHeight="1">
      <c r="A759" s="517" t="str">
        <f>IF(B759&lt;&gt;"",IF(AND(B759&gt;=_TM1,B759&lt;=_TM2,OR(TH!L759="1111",TH!M759="1111")),TH!D759,""),"")</f>
        <v/>
      </c>
      <c r="B759" s="531">
        <f t="shared" si="85"/>
        <v>9</v>
      </c>
      <c r="C759" s="315">
        <f t="shared" si="86"/>
        <v>42991</v>
      </c>
      <c r="D759" s="315" t="s">
        <v>461</v>
      </c>
      <c r="E759" s="288">
        <v>42991</v>
      </c>
      <c r="F759" s="248" t="s">
        <v>1280</v>
      </c>
      <c r="G759" s="314" t="s">
        <v>440</v>
      </c>
      <c r="H759" s="472"/>
      <c r="I759" s="307"/>
      <c r="J759" s="307"/>
      <c r="K759" s="532">
        <v>17600</v>
      </c>
      <c r="L759" s="533" t="s">
        <v>81</v>
      </c>
      <c r="M759" s="533" t="s">
        <v>24</v>
      </c>
      <c r="N759" s="525" t="str">
        <f>IF(AND('331-CT'!$E$7=TH!H759,OR(L759="331",M759="331")),"331",IF(AND(OR(L759="131",M759="131"),H759='131-CT'!$E$7),"131",""))</f>
        <v/>
      </c>
      <c r="O759" s="525" t="str">
        <f>IF(AND($B759&gt;='111'!$N$11,$B759&lt;='111'!$O$11,OR($L759=$O$7,$M759=$O$7)),"x","")</f>
        <v/>
      </c>
      <c r="P759" s="525" t="str">
        <f>IF(AND($L759=$O$7,$B759&lt;'111'!$N$11),"x","")</f>
        <v/>
      </c>
      <c r="Q759" s="525" t="str">
        <f>IF(AND($M759=$O$7,$B759&lt;'111'!$N$11),"x","")</f>
        <v/>
      </c>
      <c r="R759" s="525" t="str">
        <f>IF(ISERROR(FIND('112'!$M$9,G759,1)),"",IF((AND(FIND('112'!$M$9,G759,1)&gt;=1,$B759&gt;='112'!$N$8,$B759&lt;='112'!$O$8,OR($L759='112'!$I$6,$M759='112'!$I$6))),"x",""))</f>
        <v/>
      </c>
      <c r="S759" s="525" t="str">
        <f>IF(ISERROR(FIND('112'!$M$9,G759,1)),"",IF((AND(LEFT(G759,2)=LEFT('112'!$M$9,2),B759&lt;'112'!$N$8,$L759='112'!$I$6)),"x",""))</f>
        <v/>
      </c>
      <c r="T759" s="525" t="str">
        <f>IF(ISERROR(FIND('112'!$M$9,G759,1)),"",IF((AND(RIGHT(G759,2)=RIGHT('112'!$M$9,2),B759&lt;'112'!$N$8,$M759='112'!$I$6)),"x",""))</f>
        <v>x</v>
      </c>
      <c r="U759" s="525" t="str">
        <f>IF(AND(B759&gt;='IN-NX'!$P$3,B759&lt;='IN-NX'!$Q$3,'IN-NX'!$D$7=D759,OR(LEFT(L759,2)="15",AND(LEFT(M759,2)&lt;&gt;"15",LEFT(M759,2)&lt;&gt;"33"))),"x","")</f>
        <v/>
      </c>
      <c r="V759" s="525" t="str">
        <f>IF(AND(OR(LEFT(TH!L759,2)="15",LEFT(TH!M759,2)="15"),'152-CT'!$J$8=TH!F759),"x","")</f>
        <v/>
      </c>
      <c r="W759" s="525" t="str">
        <f>IF(AND(OR(LEFT(TH!L759,2)="15",LEFT(TH!M759,2)="15"),TK!$E$7=TH!F759),"x","")</f>
        <v/>
      </c>
      <c r="X759" s="525" t="str">
        <f>IF(AND('341-CT'!$E$9=H759,OR(LEFT(L759,3)=$X$7,LEFT(M759,3)=$X$7)),"x","")</f>
        <v/>
      </c>
      <c r="Y759" s="525" t="str">
        <f>IF(OR(TH!L759=TH!$Y$7,M759=TH!$Y$7),"x","")</f>
        <v/>
      </c>
      <c r="Z759" s="525" t="str">
        <f>IF(AND(B759&lt;=NKC!$N$8,B759&gt;=NKC!$M$8),"x","")</f>
        <v/>
      </c>
      <c r="AA759" s="535">
        <v>3</v>
      </c>
      <c r="AB759" s="536"/>
    </row>
    <row r="760" spans="1:28" s="503" customFormat="1" ht="15.75" customHeight="1">
      <c r="A760" s="517" t="str">
        <f>IF(B760&lt;&gt;"",IF(AND(B760&gt;=_TM1,B760&lt;=_TM2,OR(TH!L760="1111",TH!M760="1111")),TH!D760,""),"")</f>
        <v/>
      </c>
      <c r="B760" s="531">
        <f t="shared" si="85"/>
        <v>9</v>
      </c>
      <c r="C760" s="315">
        <f t="shared" si="86"/>
        <v>42991</v>
      </c>
      <c r="D760" s="315" t="s">
        <v>461</v>
      </c>
      <c r="E760" s="288">
        <v>42991</v>
      </c>
      <c r="F760" s="248" t="s">
        <v>1281</v>
      </c>
      <c r="G760" s="314" t="s">
        <v>440</v>
      </c>
      <c r="H760" s="472"/>
      <c r="I760" s="307"/>
      <c r="J760" s="307"/>
      <c r="K760" s="532">
        <v>1760</v>
      </c>
      <c r="L760" s="533" t="s">
        <v>9</v>
      </c>
      <c r="M760" s="533" t="s">
        <v>24</v>
      </c>
      <c r="N760" s="525" t="str">
        <f>IF(AND('331-CT'!$E$7=TH!H760,OR(L760="331",M760="331")),"331",IF(AND(OR(L760="131",M760="131"),H760='131-CT'!$E$7),"131",""))</f>
        <v/>
      </c>
      <c r="O760" s="525" t="str">
        <f>IF(AND($B760&gt;='111'!$N$11,$B760&lt;='111'!$O$11,OR($L760=$O$7,$M760=$O$7)),"x","")</f>
        <v/>
      </c>
      <c r="P760" s="525" t="str">
        <f>IF(AND($L760=$O$7,$B760&lt;'111'!$N$11),"x","")</f>
        <v/>
      </c>
      <c r="Q760" s="525" t="str">
        <f>IF(AND($M760=$O$7,$B760&lt;'111'!$N$11),"x","")</f>
        <v/>
      </c>
      <c r="R760" s="525" t="str">
        <f>IF(ISERROR(FIND('112'!$M$9,G760,1)),"",IF((AND(FIND('112'!$M$9,G760,1)&gt;=1,$B760&gt;='112'!$N$8,$B760&lt;='112'!$O$8,OR($L760='112'!$I$6,$M760='112'!$I$6))),"x",""))</f>
        <v/>
      </c>
      <c r="S760" s="525" t="str">
        <f>IF(ISERROR(FIND('112'!$M$9,G760,1)),"",IF((AND(LEFT(G760,2)=LEFT('112'!$M$9,2),B760&lt;'112'!$N$8,$L760='112'!$I$6)),"x",""))</f>
        <v/>
      </c>
      <c r="T760" s="525" t="str">
        <f>IF(ISERROR(FIND('112'!$M$9,G760,1)),"",IF((AND(RIGHT(G760,2)=RIGHT('112'!$M$9,2),B760&lt;'112'!$N$8,$M760='112'!$I$6)),"x",""))</f>
        <v>x</v>
      </c>
      <c r="U760" s="525" t="str">
        <f>IF(AND(B760&gt;='IN-NX'!$P$3,B760&lt;='IN-NX'!$Q$3,'IN-NX'!$D$7=D760,OR(LEFT(L760,2)="15",AND(LEFT(M760,2)&lt;&gt;"15",LEFT(M760,2)&lt;&gt;"33"))),"x","")</f>
        <v/>
      </c>
      <c r="V760" s="525" t="str">
        <f>IF(AND(OR(LEFT(TH!L760,2)="15",LEFT(TH!M760,2)="15"),'152-CT'!$J$8=TH!F760),"x","")</f>
        <v/>
      </c>
      <c r="W760" s="525" t="str">
        <f>IF(AND(OR(LEFT(TH!L760,2)="15",LEFT(TH!M760,2)="15"),TK!$E$7=TH!F760),"x","")</f>
        <v/>
      </c>
      <c r="X760" s="525" t="str">
        <f>IF(AND('341-CT'!$E$9=H760,OR(LEFT(L760,3)=$X$7,LEFT(M760,3)=$X$7)),"x","")</f>
        <v/>
      </c>
      <c r="Y760" s="525" t="str">
        <f>IF(OR(TH!L760=TH!$Y$7,M760=TH!$Y$7),"x","")</f>
        <v/>
      </c>
      <c r="Z760" s="525" t="str">
        <f>IF(AND(B760&lt;=NKC!$N$8,B760&gt;=NKC!$M$8),"x","")</f>
        <v/>
      </c>
      <c r="AA760" s="535">
        <v>3</v>
      </c>
    </row>
    <row r="761" spans="1:28" s="503" customFormat="1" ht="15.75" customHeight="1">
      <c r="A761" s="517" t="str">
        <f>IF(B761&lt;&gt;"",IF(AND(B761&gt;=_TM1,B761&lt;=_TM2,OR(TH!L761="1111",TH!M761="1111")),TH!D761,""),"")</f>
        <v/>
      </c>
      <c r="B761" s="531">
        <f t="shared" si="85"/>
        <v>9</v>
      </c>
      <c r="C761" s="315">
        <f t="shared" si="86"/>
        <v>42998</v>
      </c>
      <c r="D761" s="315" t="s">
        <v>461</v>
      </c>
      <c r="E761" s="288">
        <v>42998</v>
      </c>
      <c r="F761" s="249" t="s">
        <v>827</v>
      </c>
      <c r="G761" s="314" t="s">
        <v>440</v>
      </c>
      <c r="H761" s="473" t="s">
        <v>460</v>
      </c>
      <c r="I761" s="307"/>
      <c r="J761" s="307"/>
      <c r="K761" s="532">
        <v>20000000</v>
      </c>
      <c r="L761" s="533" t="s">
        <v>45</v>
      </c>
      <c r="M761" s="533" t="s">
        <v>24</v>
      </c>
      <c r="N761" s="525" t="str">
        <f>IF(AND('331-CT'!$E$7=TH!H761,OR(L761="331",M761="331")),"331",IF(AND(OR(L761="131",M761="131"),H761='131-CT'!$E$7),"131",""))</f>
        <v/>
      </c>
      <c r="O761" s="525" t="str">
        <f>IF(AND($B761&gt;='111'!$N$11,$B761&lt;='111'!$O$11,OR($L761=$O$7,$M761=$O$7)),"x","")</f>
        <v/>
      </c>
      <c r="P761" s="525" t="str">
        <f>IF(AND($L761=$O$7,$B761&lt;'111'!$N$11),"x","")</f>
        <v>x</v>
      </c>
      <c r="Q761" s="525" t="str">
        <f>IF(AND($M761=$O$7,$B761&lt;'111'!$N$11),"x","")</f>
        <v/>
      </c>
      <c r="R761" s="525" t="str">
        <f>IF(ISERROR(FIND('112'!$M$9,G761,1)),"",IF((AND(FIND('112'!$M$9,G761,1)&gt;=1,$B761&gt;='112'!$N$8,$B761&lt;='112'!$O$8,OR($L761='112'!$I$6,$M761='112'!$I$6))),"x",""))</f>
        <v/>
      </c>
      <c r="S761" s="525" t="str">
        <f>IF(ISERROR(FIND('112'!$M$9,G761,1)),"",IF((AND(LEFT(G761,2)=LEFT('112'!$M$9,2),B761&lt;'112'!$N$8,$L761='112'!$I$6)),"x",""))</f>
        <v/>
      </c>
      <c r="T761" s="525" t="str">
        <f>IF(ISERROR(FIND('112'!$M$9,G761,1)),"",IF((AND(RIGHT(G761,2)=RIGHT('112'!$M$9,2),B761&lt;'112'!$N$8,$M761='112'!$I$6)),"x",""))</f>
        <v>x</v>
      </c>
      <c r="U761" s="525" t="str">
        <f>IF(AND(B761&gt;='IN-NX'!$P$3,B761&lt;='IN-NX'!$Q$3,'IN-NX'!$D$7=D761,OR(LEFT(L761,2)="15",AND(LEFT(M761,2)&lt;&gt;"15",LEFT(M761,2)&lt;&gt;"33"))),"x","")</f>
        <v/>
      </c>
      <c r="V761" s="525" t="str">
        <f>IF(AND(OR(LEFT(TH!L761,2)="15",LEFT(TH!M761,2)="15"),'152-CT'!$J$8=TH!F761),"x","")</f>
        <v/>
      </c>
      <c r="W761" s="525" t="str">
        <f>IF(AND(OR(LEFT(TH!L761,2)="15",LEFT(TH!M761,2)="15"),TK!$E$7=TH!F761),"x","")</f>
        <v/>
      </c>
      <c r="X761" s="525" t="str">
        <f>IF(AND('341-CT'!$E$9=H761,OR(LEFT(L761,3)=$X$7,LEFT(M761,3)=$X$7)),"x","")</f>
        <v/>
      </c>
      <c r="Y761" s="525" t="str">
        <f>IF(OR(TH!L761=TH!$Y$7,M761=TH!$Y$7),"x","")</f>
        <v/>
      </c>
      <c r="Z761" s="525" t="str">
        <f>IF(AND(B761&lt;=NKC!$N$8,B761&gt;=NKC!$M$8),"x","")</f>
        <v/>
      </c>
      <c r="AA761" s="535"/>
      <c r="AB761" s="536"/>
    </row>
    <row r="762" spans="1:28" s="503" customFormat="1" ht="15.75" customHeight="1">
      <c r="A762" s="517" t="str">
        <f>IF(B762&lt;&gt;"",IF(AND(B762&gt;=_TM1,B762&lt;=_TM2,OR(TH!L762="1111",TH!M762="1111")),TH!D762,""),"")</f>
        <v/>
      </c>
      <c r="B762" s="531">
        <f t="shared" si="85"/>
        <v>9</v>
      </c>
      <c r="C762" s="315">
        <f t="shared" si="86"/>
        <v>42998</v>
      </c>
      <c r="D762" s="315" t="s">
        <v>461</v>
      </c>
      <c r="E762" s="288">
        <v>42998</v>
      </c>
      <c r="F762" s="248" t="s">
        <v>1280</v>
      </c>
      <c r="G762" s="314" t="s">
        <v>440</v>
      </c>
      <c r="H762" s="472"/>
      <c r="I762" s="307"/>
      <c r="J762" s="307"/>
      <c r="K762" s="532">
        <v>40000</v>
      </c>
      <c r="L762" s="533" t="s">
        <v>81</v>
      </c>
      <c r="M762" s="533" t="s">
        <v>24</v>
      </c>
      <c r="N762" s="525" t="str">
        <f>IF(AND('331-CT'!$E$7=TH!H762,OR(L762="331",M762="331")),"331",IF(AND(OR(L762="131",M762="131"),H762='131-CT'!$E$7),"131",""))</f>
        <v/>
      </c>
      <c r="O762" s="525" t="str">
        <f>IF(AND($B762&gt;='111'!$N$11,$B762&lt;='111'!$O$11,OR($L762=$O$7,$M762=$O$7)),"x","")</f>
        <v/>
      </c>
      <c r="P762" s="525" t="str">
        <f>IF(AND($L762=$O$7,$B762&lt;'111'!$N$11),"x","")</f>
        <v/>
      </c>
      <c r="Q762" s="525" t="str">
        <f>IF(AND($M762=$O$7,$B762&lt;'111'!$N$11),"x","")</f>
        <v/>
      </c>
      <c r="R762" s="525" t="str">
        <f>IF(ISERROR(FIND('112'!$M$9,G762,1)),"",IF((AND(FIND('112'!$M$9,G762,1)&gt;=1,$B762&gt;='112'!$N$8,$B762&lt;='112'!$O$8,OR($L762='112'!$I$6,$M762='112'!$I$6))),"x",""))</f>
        <v/>
      </c>
      <c r="S762" s="525" t="str">
        <f>IF(ISERROR(FIND('112'!$M$9,G762,1)),"",IF((AND(LEFT(G762,2)=LEFT('112'!$M$9,2),B762&lt;'112'!$N$8,$L762='112'!$I$6)),"x",""))</f>
        <v/>
      </c>
      <c r="T762" s="525" t="str">
        <f>IF(ISERROR(FIND('112'!$M$9,G762,1)),"",IF((AND(RIGHT(G762,2)=RIGHT('112'!$M$9,2),B762&lt;'112'!$N$8,$M762='112'!$I$6)),"x",""))</f>
        <v>x</v>
      </c>
      <c r="U762" s="525" t="str">
        <f>IF(AND(B762&gt;='IN-NX'!$P$3,B762&lt;='IN-NX'!$Q$3,'IN-NX'!$D$7=D762,OR(LEFT(L762,2)="15",AND(LEFT(M762,2)&lt;&gt;"15",LEFT(M762,2)&lt;&gt;"33"))),"x","")</f>
        <v/>
      </c>
      <c r="V762" s="525" t="str">
        <f>IF(AND(OR(LEFT(TH!L762,2)="15",LEFT(TH!M762,2)="15"),'152-CT'!$J$8=TH!F762),"x","")</f>
        <v/>
      </c>
      <c r="W762" s="525" t="str">
        <f>IF(AND(OR(LEFT(TH!L762,2)="15",LEFT(TH!M762,2)="15"),TK!$E$7=TH!F762),"x","")</f>
        <v/>
      </c>
      <c r="X762" s="525" t="str">
        <f>IF(AND('341-CT'!$E$9=H762,OR(LEFT(L762,3)=$X$7,LEFT(M762,3)=$X$7)),"x","")</f>
        <v/>
      </c>
      <c r="Y762" s="525" t="str">
        <f>IF(OR(TH!L762=TH!$Y$7,M762=TH!$Y$7),"x","")</f>
        <v/>
      </c>
      <c r="Z762" s="525" t="str">
        <f>IF(AND(B762&lt;=NKC!$N$8,B762&gt;=NKC!$M$8),"x","")</f>
        <v/>
      </c>
      <c r="AA762" s="535">
        <v>3</v>
      </c>
    </row>
    <row r="763" spans="1:28" s="503" customFormat="1" ht="15.75" customHeight="1">
      <c r="A763" s="517" t="str">
        <f>IF(B763&lt;&gt;"",IF(AND(B763&gt;=_TM1,B763&lt;=_TM2,OR(TH!L763="1111",TH!M763="1111")),TH!D763,""),"")</f>
        <v/>
      </c>
      <c r="B763" s="531">
        <f t="shared" si="85"/>
        <v>9</v>
      </c>
      <c r="C763" s="315">
        <f t="shared" si="86"/>
        <v>42998</v>
      </c>
      <c r="D763" s="315" t="s">
        <v>461</v>
      </c>
      <c r="E763" s="288">
        <v>42998</v>
      </c>
      <c r="F763" s="248" t="s">
        <v>1281</v>
      </c>
      <c r="G763" s="314" t="s">
        <v>440</v>
      </c>
      <c r="H763" s="472"/>
      <c r="I763" s="307"/>
      <c r="J763" s="307"/>
      <c r="K763" s="532">
        <v>4000</v>
      </c>
      <c r="L763" s="533" t="s">
        <v>9</v>
      </c>
      <c r="M763" s="533" t="s">
        <v>24</v>
      </c>
      <c r="N763" s="525" t="str">
        <f>IF(AND('331-CT'!$E$7=TH!H763,OR(L763="331",M763="331")),"331",IF(AND(OR(L763="131",M763="131"),H763='131-CT'!$E$7),"131",""))</f>
        <v/>
      </c>
      <c r="O763" s="525" t="str">
        <f>IF(AND($B763&gt;='111'!$N$11,$B763&lt;='111'!$O$11,OR($L763=$O$7,$M763=$O$7)),"x","")</f>
        <v/>
      </c>
      <c r="P763" s="525" t="str">
        <f>IF(AND($L763=$O$7,$B763&lt;'111'!$N$11),"x","")</f>
        <v/>
      </c>
      <c r="Q763" s="525" t="str">
        <f>IF(AND($M763=$O$7,$B763&lt;'111'!$N$11),"x","")</f>
        <v/>
      </c>
      <c r="R763" s="525" t="str">
        <f>IF(ISERROR(FIND('112'!$M$9,G763,1)),"",IF((AND(FIND('112'!$M$9,G763,1)&gt;=1,$B763&gt;='112'!$N$8,$B763&lt;='112'!$O$8,OR($L763='112'!$I$6,$M763='112'!$I$6))),"x",""))</f>
        <v/>
      </c>
      <c r="S763" s="525" t="str">
        <f>IF(ISERROR(FIND('112'!$M$9,G763,1)),"",IF((AND(LEFT(G763,2)=LEFT('112'!$M$9,2),B763&lt;'112'!$N$8,$L763='112'!$I$6)),"x",""))</f>
        <v/>
      </c>
      <c r="T763" s="525" t="str">
        <f>IF(ISERROR(FIND('112'!$M$9,G763,1)),"",IF((AND(RIGHT(G763,2)=RIGHT('112'!$M$9,2),B763&lt;'112'!$N$8,$M763='112'!$I$6)),"x",""))</f>
        <v>x</v>
      </c>
      <c r="U763" s="525" t="str">
        <f>IF(AND(B763&gt;='IN-NX'!$P$3,B763&lt;='IN-NX'!$Q$3,'IN-NX'!$D$7=D763,OR(LEFT(L763,2)="15",AND(LEFT(M763,2)&lt;&gt;"15",LEFT(M763,2)&lt;&gt;"33"))),"x","")</f>
        <v/>
      </c>
      <c r="V763" s="525" t="str">
        <f>IF(AND(OR(LEFT(TH!L763,2)="15",LEFT(TH!M763,2)="15"),'152-CT'!$J$8=TH!F763),"x","")</f>
        <v/>
      </c>
      <c r="W763" s="525" t="str">
        <f>IF(AND(OR(LEFT(TH!L763,2)="15",LEFT(TH!M763,2)="15"),TK!$E$7=TH!F763),"x","")</f>
        <v/>
      </c>
      <c r="X763" s="525" t="str">
        <f>IF(AND('341-CT'!$E$9=H763,OR(LEFT(L763,3)=$X$7,LEFT(M763,3)=$X$7)),"x","")</f>
        <v/>
      </c>
      <c r="Y763" s="525" t="str">
        <f>IF(OR(TH!L763=TH!$Y$7,M763=TH!$Y$7),"x","")</f>
        <v/>
      </c>
      <c r="Z763" s="525" t="str">
        <f>IF(AND(B763&lt;=NKC!$N$8,B763&gt;=NKC!$M$8),"x","")</f>
        <v/>
      </c>
      <c r="AA763" s="535">
        <v>3</v>
      </c>
    </row>
    <row r="764" spans="1:28" s="503" customFormat="1" ht="15.75" customHeight="1">
      <c r="A764" s="517" t="str">
        <f>IF(B764&lt;&gt;"",IF(AND(B764&gt;=_TM1,B764&lt;=_TM2,OR(TH!L764="1111",TH!M764="1111")),TH!D764,""),"")</f>
        <v/>
      </c>
      <c r="B764" s="531">
        <f t="shared" si="85"/>
        <v>9</v>
      </c>
      <c r="C764" s="315">
        <f t="shared" si="86"/>
        <v>42998</v>
      </c>
      <c r="D764" s="315" t="s">
        <v>461</v>
      </c>
      <c r="E764" s="288">
        <v>42998</v>
      </c>
      <c r="F764" s="249" t="s">
        <v>827</v>
      </c>
      <c r="G764" s="314" t="s">
        <v>440</v>
      </c>
      <c r="H764" s="473" t="s">
        <v>460</v>
      </c>
      <c r="I764" s="307"/>
      <c r="J764" s="307"/>
      <c r="K764" s="532">
        <v>17000000</v>
      </c>
      <c r="L764" s="533" t="s">
        <v>45</v>
      </c>
      <c r="M764" s="533" t="s">
        <v>24</v>
      </c>
      <c r="N764" s="525" t="str">
        <f>IF(AND('331-CT'!$E$7=TH!H764,OR(L764="331",M764="331")),"331",IF(AND(OR(L764="131",M764="131"),H764='131-CT'!$E$7),"131",""))</f>
        <v/>
      </c>
      <c r="O764" s="525" t="str">
        <f>IF(AND($B764&gt;='111'!$N$11,$B764&lt;='111'!$O$11,OR($L764=$O$7,$M764=$O$7)),"x","")</f>
        <v/>
      </c>
      <c r="P764" s="525" t="str">
        <f>IF(AND($L764=$O$7,$B764&lt;'111'!$N$11),"x","")</f>
        <v>x</v>
      </c>
      <c r="Q764" s="525" t="str">
        <f>IF(AND($M764=$O$7,$B764&lt;'111'!$N$11),"x","")</f>
        <v/>
      </c>
      <c r="R764" s="525" t="str">
        <f>IF(ISERROR(FIND('112'!$M$9,G764,1)),"",IF((AND(FIND('112'!$M$9,G764,1)&gt;=1,$B764&gt;='112'!$N$8,$B764&lt;='112'!$O$8,OR($L764='112'!$I$6,$M764='112'!$I$6))),"x",""))</f>
        <v/>
      </c>
      <c r="S764" s="525" t="str">
        <f>IF(ISERROR(FIND('112'!$M$9,G764,1)),"",IF((AND(LEFT(G764,2)=LEFT('112'!$M$9,2),B764&lt;'112'!$N$8,$L764='112'!$I$6)),"x",""))</f>
        <v/>
      </c>
      <c r="T764" s="525" t="str">
        <f>IF(ISERROR(FIND('112'!$M$9,G764,1)),"",IF((AND(RIGHT(G764,2)=RIGHT('112'!$M$9,2),B764&lt;'112'!$N$8,$M764='112'!$I$6)),"x",""))</f>
        <v>x</v>
      </c>
      <c r="U764" s="525" t="str">
        <f>IF(AND(B764&gt;='IN-NX'!$P$3,B764&lt;='IN-NX'!$Q$3,'IN-NX'!$D$7=D764,OR(LEFT(L764,2)="15",AND(LEFT(M764,2)&lt;&gt;"15",LEFT(M764,2)&lt;&gt;"33"))),"x","")</f>
        <v/>
      </c>
      <c r="V764" s="525" t="str">
        <f>IF(AND(OR(LEFT(TH!L764,2)="15",LEFT(TH!M764,2)="15"),'152-CT'!$J$8=TH!F764),"x","")</f>
        <v/>
      </c>
      <c r="W764" s="525" t="str">
        <f>IF(AND(OR(LEFT(TH!L764,2)="15",LEFT(TH!M764,2)="15"),TK!$E$7=TH!F764),"x","")</f>
        <v/>
      </c>
      <c r="X764" s="525" t="str">
        <f>IF(AND('341-CT'!$E$9=H764,OR(LEFT(L764,3)=$X$7,LEFT(M764,3)=$X$7)),"x","")</f>
        <v/>
      </c>
      <c r="Y764" s="525" t="str">
        <f>IF(OR(TH!L764=TH!$Y$7,M764=TH!$Y$7),"x","")</f>
        <v/>
      </c>
      <c r="Z764" s="525" t="str">
        <f>IF(AND(B764&lt;=NKC!$N$8,B764&gt;=NKC!$M$8),"x","")</f>
        <v/>
      </c>
      <c r="AA764" s="535"/>
      <c r="AB764" s="536"/>
    </row>
    <row r="765" spans="1:28" s="503" customFormat="1" ht="15.75" customHeight="1">
      <c r="A765" s="517" t="str">
        <f>IF(B765&lt;&gt;"",IF(AND(B765&gt;=_TM1,B765&lt;=_TM2,OR(TH!L765="1111",TH!M765="1111")),TH!D765,""),"")</f>
        <v/>
      </c>
      <c r="B765" s="531">
        <f t="shared" si="85"/>
        <v>9</v>
      </c>
      <c r="C765" s="315">
        <f t="shared" si="86"/>
        <v>42998</v>
      </c>
      <c r="D765" s="315" t="s">
        <v>461</v>
      </c>
      <c r="E765" s="288">
        <v>42998</v>
      </c>
      <c r="F765" s="248" t="s">
        <v>1280</v>
      </c>
      <c r="G765" s="314" t="s">
        <v>440</v>
      </c>
      <c r="H765" s="472"/>
      <c r="I765" s="307"/>
      <c r="J765" s="307"/>
      <c r="K765" s="532">
        <v>34000</v>
      </c>
      <c r="L765" s="533" t="s">
        <v>81</v>
      </c>
      <c r="M765" s="533" t="s">
        <v>24</v>
      </c>
      <c r="N765" s="525" t="str">
        <f>IF(AND('331-CT'!$E$7=TH!H765,OR(L765="331",M765="331")),"331",IF(AND(OR(L765="131",M765="131"),H765='131-CT'!$E$7),"131",""))</f>
        <v/>
      </c>
      <c r="O765" s="525" t="str">
        <f>IF(AND($B765&gt;='111'!$N$11,$B765&lt;='111'!$O$11,OR($L765=$O$7,$M765=$O$7)),"x","")</f>
        <v/>
      </c>
      <c r="P765" s="525" t="str">
        <f>IF(AND($L765=$O$7,$B765&lt;'111'!$N$11),"x","")</f>
        <v/>
      </c>
      <c r="Q765" s="525" t="str">
        <f>IF(AND($M765=$O$7,$B765&lt;'111'!$N$11),"x","")</f>
        <v/>
      </c>
      <c r="R765" s="525" t="str">
        <f>IF(ISERROR(FIND('112'!$M$9,G765,1)),"",IF((AND(FIND('112'!$M$9,G765,1)&gt;=1,$B765&gt;='112'!$N$8,$B765&lt;='112'!$O$8,OR($L765='112'!$I$6,$M765='112'!$I$6))),"x",""))</f>
        <v/>
      </c>
      <c r="S765" s="525" t="str">
        <f>IF(ISERROR(FIND('112'!$M$9,G765,1)),"",IF((AND(LEFT(G765,2)=LEFT('112'!$M$9,2),B765&lt;'112'!$N$8,$L765='112'!$I$6)),"x",""))</f>
        <v/>
      </c>
      <c r="T765" s="525" t="str">
        <f>IF(ISERROR(FIND('112'!$M$9,G765,1)),"",IF((AND(RIGHT(G765,2)=RIGHT('112'!$M$9,2),B765&lt;'112'!$N$8,$M765='112'!$I$6)),"x",""))</f>
        <v>x</v>
      </c>
      <c r="U765" s="525" t="str">
        <f>IF(AND(B765&gt;='IN-NX'!$P$3,B765&lt;='IN-NX'!$Q$3,'IN-NX'!$D$7=D765,OR(LEFT(L765,2)="15",AND(LEFT(M765,2)&lt;&gt;"15",LEFT(M765,2)&lt;&gt;"33"))),"x","")</f>
        <v/>
      </c>
      <c r="V765" s="525" t="str">
        <f>IF(AND(OR(LEFT(TH!L765,2)="15",LEFT(TH!M765,2)="15"),'152-CT'!$J$8=TH!F765),"x","")</f>
        <v/>
      </c>
      <c r="W765" s="525" t="str">
        <f>IF(AND(OR(LEFT(TH!L765,2)="15",LEFT(TH!M765,2)="15"),TK!$E$7=TH!F765),"x","")</f>
        <v/>
      </c>
      <c r="X765" s="525" t="str">
        <f>IF(AND('341-CT'!$E$9=H765,OR(LEFT(L765,3)=$X$7,LEFT(M765,3)=$X$7)),"x","")</f>
        <v/>
      </c>
      <c r="Y765" s="525" t="str">
        <f>IF(OR(TH!L765=TH!$Y$7,M765=TH!$Y$7),"x","")</f>
        <v/>
      </c>
      <c r="Z765" s="525" t="str">
        <f>IF(AND(B765&lt;=NKC!$N$8,B765&gt;=NKC!$M$8),"x","")</f>
        <v/>
      </c>
      <c r="AA765" s="535">
        <v>3</v>
      </c>
    </row>
    <row r="766" spans="1:28" s="503" customFormat="1" ht="15.75" customHeight="1">
      <c r="A766" s="517" t="str">
        <f>IF(B766&lt;&gt;"",IF(AND(B766&gt;=_TM1,B766&lt;=_TM2,OR(TH!L766="1111",TH!M766="1111")),TH!D766,""),"")</f>
        <v/>
      </c>
      <c r="B766" s="531">
        <f t="shared" si="79"/>
        <v>9</v>
      </c>
      <c r="C766" s="315">
        <f t="shared" si="80"/>
        <v>42998</v>
      </c>
      <c r="D766" s="315" t="s">
        <v>461</v>
      </c>
      <c r="E766" s="288">
        <v>42998</v>
      </c>
      <c r="F766" s="248" t="s">
        <v>1281</v>
      </c>
      <c r="G766" s="314" t="s">
        <v>440</v>
      </c>
      <c r="H766" s="472"/>
      <c r="I766" s="307"/>
      <c r="J766" s="307"/>
      <c r="K766" s="532">
        <v>3400</v>
      </c>
      <c r="L766" s="533" t="s">
        <v>9</v>
      </c>
      <c r="M766" s="533" t="s">
        <v>24</v>
      </c>
      <c r="N766" s="525" t="str">
        <f>IF(AND('331-CT'!$E$7=TH!H766,OR(L766="331",M766="331")),"331",IF(AND(OR(L766="131",M766="131"),H766='131-CT'!$E$7),"131",""))</f>
        <v/>
      </c>
      <c r="O766" s="525" t="str">
        <f>IF(AND($B766&gt;='111'!$N$11,$B766&lt;='111'!$O$11,OR($L766=$O$7,$M766=$O$7)),"x","")</f>
        <v/>
      </c>
      <c r="P766" s="525" t="str">
        <f>IF(AND($L766=$O$7,$B766&lt;'111'!$N$11),"x","")</f>
        <v/>
      </c>
      <c r="Q766" s="525" t="str">
        <f>IF(AND($M766=$O$7,$B766&lt;'111'!$N$11),"x","")</f>
        <v/>
      </c>
      <c r="R766" s="525" t="str">
        <f>IF(ISERROR(FIND('112'!$M$9,G766,1)),"",IF((AND(FIND('112'!$M$9,G766,1)&gt;=1,$B766&gt;='112'!$N$8,$B766&lt;='112'!$O$8,OR($L766='112'!$I$6,$M766='112'!$I$6))),"x",""))</f>
        <v/>
      </c>
      <c r="S766" s="525" t="str">
        <f>IF(ISERROR(FIND('112'!$M$9,G766,1)),"",IF((AND(LEFT(G766,2)=LEFT('112'!$M$9,2),B766&lt;'112'!$N$8,$L766='112'!$I$6)),"x",""))</f>
        <v/>
      </c>
      <c r="T766" s="525" t="str">
        <f>IF(ISERROR(FIND('112'!$M$9,G766,1)),"",IF((AND(RIGHT(G766,2)=RIGHT('112'!$M$9,2),B766&lt;'112'!$N$8,$M766='112'!$I$6)),"x",""))</f>
        <v>x</v>
      </c>
      <c r="U766" s="525" t="str">
        <f>IF(AND(B766&gt;='IN-NX'!$P$3,B766&lt;='IN-NX'!$Q$3,'IN-NX'!$D$7=D766,OR(LEFT(L766,2)="15",AND(LEFT(M766,2)&lt;&gt;"15",LEFT(M766,2)&lt;&gt;"33"))),"x","")</f>
        <v/>
      </c>
      <c r="V766" s="525" t="str">
        <f>IF(AND(OR(LEFT(TH!L766,2)="15",LEFT(TH!M766,2)="15"),'152-CT'!$J$8=TH!F766),"x","")</f>
        <v/>
      </c>
      <c r="W766" s="525" t="str">
        <f>IF(AND(OR(LEFT(TH!L766,2)="15",LEFT(TH!M766,2)="15"),TK!$E$7=TH!F766),"x","")</f>
        <v/>
      </c>
      <c r="X766" s="525" t="str">
        <f>IF(AND('341-CT'!$E$9=H766,OR(LEFT(L766,3)=$X$7,LEFT(M766,3)=$X$7)),"x","")</f>
        <v/>
      </c>
      <c r="Y766" s="525" t="str">
        <f>IF(OR(TH!L766=TH!$Y$7,M766=TH!$Y$7),"x","")</f>
        <v/>
      </c>
      <c r="Z766" s="525" t="str">
        <f>IF(AND(B766&lt;=NKC!$N$8,B766&gt;=NKC!$M$8),"x","")</f>
        <v/>
      </c>
      <c r="AA766" s="535">
        <v>3</v>
      </c>
    </row>
    <row r="767" spans="1:28" s="503" customFormat="1" ht="15.75" customHeight="1">
      <c r="A767" s="517" t="str">
        <f>IF(B767&lt;&gt;"",IF(AND(B767&gt;=_TM1,B767&lt;=_TM2,OR(TH!L767="1111",TH!M767="1111")),TH!D767,""),"")</f>
        <v/>
      </c>
      <c r="B767" s="531">
        <f t="shared" ref="B767:B776" si="87">IF(C767&lt;&gt;"",MONTH(C767),"")</f>
        <v>9</v>
      </c>
      <c r="C767" s="315">
        <f t="shared" ref="C767:C776" si="88">E767</f>
        <v>42998</v>
      </c>
      <c r="D767" s="315" t="s">
        <v>461</v>
      </c>
      <c r="E767" s="288">
        <v>42998</v>
      </c>
      <c r="F767" s="249" t="s">
        <v>828</v>
      </c>
      <c r="G767" s="314" t="s">
        <v>440</v>
      </c>
      <c r="H767" s="621" t="s">
        <v>1723</v>
      </c>
      <c r="I767" s="307"/>
      <c r="J767" s="307"/>
      <c r="K767" s="532">
        <v>1199048</v>
      </c>
      <c r="L767" s="533" t="s">
        <v>79</v>
      </c>
      <c r="M767" s="533" t="s">
        <v>24</v>
      </c>
      <c r="N767" s="525" t="str">
        <f>IF(AND('331-CT'!$E$7=TH!H767,OR(L767="331",M767="331")),"331",IF(AND(OR(L767="131",M767="131"),H767='131-CT'!$E$7),"131",""))</f>
        <v/>
      </c>
      <c r="O767" s="525" t="str">
        <f>IF(AND($B767&gt;='111'!$N$11,$B767&lt;='111'!$O$11,OR($L767=$O$7,$M767=$O$7)),"x","")</f>
        <v/>
      </c>
      <c r="P767" s="525" t="str">
        <f>IF(AND($L767=$O$7,$B767&lt;'111'!$N$11),"x","")</f>
        <v/>
      </c>
      <c r="Q767" s="525" t="str">
        <f>IF(AND($M767=$O$7,$B767&lt;'111'!$N$11),"x","")</f>
        <v/>
      </c>
      <c r="R767" s="525" t="str">
        <f>IF(ISERROR(FIND('112'!$M$9,G767,1)),"",IF((AND(FIND('112'!$M$9,G767,1)&gt;=1,$B767&gt;='112'!$N$8,$B767&lt;='112'!$O$8,OR($L767='112'!$I$6,$M767='112'!$I$6))),"x",""))</f>
        <v/>
      </c>
      <c r="S767" s="525" t="str">
        <f>IF(ISERROR(FIND('112'!$M$9,G767,1)),"",IF((AND(LEFT(G767,2)=LEFT('112'!$M$9,2),B767&lt;'112'!$N$8,$L767='112'!$I$6)),"x",""))</f>
        <v/>
      </c>
      <c r="T767" s="525" t="str">
        <f>IF(ISERROR(FIND('112'!$M$9,G767,1)),"",IF((AND(RIGHT(G767,2)=RIGHT('112'!$M$9,2),B767&lt;'112'!$N$8,$M767='112'!$I$6)),"x",""))</f>
        <v>x</v>
      </c>
      <c r="U767" s="525" t="str">
        <f>IF(AND(B767&gt;='IN-NX'!$P$3,B767&lt;='IN-NX'!$Q$3,'IN-NX'!$D$7=D767,OR(LEFT(L767,2)="15",AND(LEFT(M767,2)&lt;&gt;"15",LEFT(M767,2)&lt;&gt;"33"))),"x","")</f>
        <v/>
      </c>
      <c r="V767" s="525" t="str">
        <f>IF(AND(OR(LEFT(TH!L767,2)="15",LEFT(TH!M767,2)="15"),'152-CT'!$J$8=TH!F767),"x","")</f>
        <v/>
      </c>
      <c r="W767" s="525" t="str">
        <f>IF(AND(OR(LEFT(TH!L767,2)="15",LEFT(TH!M767,2)="15"),TK!$E$7=TH!F767),"x","")</f>
        <v/>
      </c>
      <c r="X767" s="525" t="str">
        <f>IF(AND('341-CT'!$E$9=H767,OR(LEFT(L767,3)=$X$7,LEFT(M767,3)=$X$7)),"x","")</f>
        <v/>
      </c>
      <c r="Y767" s="525" t="str">
        <f>IF(OR(TH!L767=TH!$Y$7,M767=TH!$Y$7),"x","")</f>
        <v/>
      </c>
      <c r="Z767" s="525" t="str">
        <f>IF(AND(B767&lt;=NKC!$N$8,B767&gt;=NKC!$M$8),"x","")</f>
        <v/>
      </c>
      <c r="AA767" s="535"/>
      <c r="AB767" s="536"/>
    </row>
    <row r="768" spans="1:28" s="503" customFormat="1" ht="15.75" customHeight="1">
      <c r="A768" s="517" t="str">
        <f>IF(B768&lt;&gt;"",IF(AND(B768&gt;=_TM1,B768&lt;=_TM2,OR(TH!L768="1111",TH!M768="1111")),TH!D768,""),"")</f>
        <v/>
      </c>
      <c r="B768" s="531">
        <f t="shared" si="87"/>
        <v>9</v>
      </c>
      <c r="C768" s="315">
        <f t="shared" si="88"/>
        <v>42998</v>
      </c>
      <c r="D768" s="315" t="s">
        <v>461</v>
      </c>
      <c r="E768" s="288">
        <v>42998</v>
      </c>
      <c r="F768" s="249" t="s">
        <v>829</v>
      </c>
      <c r="G768" s="314" t="s">
        <v>440</v>
      </c>
      <c r="H768" s="621" t="s">
        <v>1723</v>
      </c>
      <c r="I768" s="307"/>
      <c r="J768" s="307"/>
      <c r="K768" s="532">
        <v>8275000</v>
      </c>
      <c r="L768" s="534" t="s">
        <v>441</v>
      </c>
      <c r="M768" s="533" t="s">
        <v>24</v>
      </c>
      <c r="N768" s="525" t="str">
        <f>IF(AND('331-CT'!$E$7=TH!H768,OR(L768="331",M768="331")),"331",IF(AND(OR(L768="131",M768="131"),H768='131-CT'!$E$7),"131",""))</f>
        <v/>
      </c>
      <c r="O768" s="525" t="str">
        <f>IF(AND($B768&gt;='111'!$N$11,$B768&lt;='111'!$O$11,OR($L768=$O$7,$M768=$O$7)),"x","")</f>
        <v/>
      </c>
      <c r="P768" s="525" t="str">
        <f>IF(AND($L768=$O$7,$B768&lt;'111'!$N$11),"x","")</f>
        <v/>
      </c>
      <c r="Q768" s="525" t="str">
        <f>IF(AND($M768=$O$7,$B768&lt;'111'!$N$11),"x","")</f>
        <v/>
      </c>
      <c r="R768" s="525" t="str">
        <f>IF(ISERROR(FIND('112'!$M$9,G768,1)),"",IF((AND(FIND('112'!$M$9,G768,1)&gt;=1,$B768&gt;='112'!$N$8,$B768&lt;='112'!$O$8,OR($L768='112'!$I$6,$M768='112'!$I$6))),"x",""))</f>
        <v/>
      </c>
      <c r="S768" s="525" t="str">
        <f>IF(ISERROR(FIND('112'!$M$9,G768,1)),"",IF((AND(LEFT(G768,2)=LEFT('112'!$M$9,2),B768&lt;'112'!$N$8,$L768='112'!$I$6)),"x",""))</f>
        <v/>
      </c>
      <c r="T768" s="525" t="str">
        <f>IF(ISERROR(FIND('112'!$M$9,G768,1)),"",IF((AND(RIGHT(G768,2)=RIGHT('112'!$M$9,2),B768&lt;'112'!$N$8,$M768='112'!$I$6)),"x",""))</f>
        <v>x</v>
      </c>
      <c r="U768" s="525" t="str">
        <f>IF(AND(B768&gt;='IN-NX'!$P$3,B768&lt;='IN-NX'!$Q$3,'IN-NX'!$D$7=D768,OR(LEFT(L768,2)="15",AND(LEFT(M768,2)&lt;&gt;"15",LEFT(M768,2)&lt;&gt;"33"))),"x","")</f>
        <v/>
      </c>
      <c r="V768" s="525" t="str">
        <f>IF(AND(OR(LEFT(TH!L768,2)="15",LEFT(TH!M768,2)="15"),'152-CT'!$J$8=TH!F768),"x","")</f>
        <v/>
      </c>
      <c r="W768" s="525" t="str">
        <f>IF(AND(OR(LEFT(TH!L768,2)="15",LEFT(TH!M768,2)="15"),TK!$E$7=TH!F768),"x","")</f>
        <v/>
      </c>
      <c r="X768" s="525" t="str">
        <f>IF(AND('341-CT'!$E$9=H768,OR(LEFT(L768,3)=$X$7,LEFT(M768,3)=$X$7)),"x","")</f>
        <v/>
      </c>
      <c r="Y768" s="525" t="str">
        <f>IF(OR(TH!L768=TH!$Y$7,M768=TH!$Y$7),"x","")</f>
        <v/>
      </c>
      <c r="Z768" s="525" t="str">
        <f>IF(AND(B768&lt;=NKC!$N$8,B768&gt;=NKC!$M$8),"x","")</f>
        <v/>
      </c>
      <c r="AA768" s="535"/>
    </row>
    <row r="769" spans="1:28" s="503" customFormat="1" ht="15.75" customHeight="1">
      <c r="A769" s="517" t="str">
        <f>IF(B769&lt;&gt;"",IF(AND(B769&gt;=_TM1,B769&lt;=_TM2,OR(TH!L769="1111",TH!M769="1111")),TH!D769,""),"")</f>
        <v/>
      </c>
      <c r="B769" s="531">
        <f t="shared" si="87"/>
        <v>9</v>
      </c>
      <c r="C769" s="315">
        <f t="shared" si="88"/>
        <v>42998</v>
      </c>
      <c r="D769" s="315" t="s">
        <v>461</v>
      </c>
      <c r="E769" s="288">
        <v>42998</v>
      </c>
      <c r="F769" s="249" t="s">
        <v>828</v>
      </c>
      <c r="G769" s="314" t="s">
        <v>440</v>
      </c>
      <c r="H769" s="621" t="s">
        <v>1276</v>
      </c>
      <c r="I769" s="307"/>
      <c r="J769" s="307"/>
      <c r="K769" s="532">
        <v>1376808</v>
      </c>
      <c r="L769" s="533" t="s">
        <v>79</v>
      </c>
      <c r="M769" s="533" t="s">
        <v>24</v>
      </c>
      <c r="N769" s="525" t="str">
        <f>IF(AND('331-CT'!$E$7=TH!H769,OR(L769="331",M769="331")),"331",IF(AND(OR(L769="131",M769="131"),H769='131-CT'!$E$7),"131",""))</f>
        <v/>
      </c>
      <c r="O769" s="525" t="str">
        <f>IF(AND($B769&gt;='111'!$N$11,$B769&lt;='111'!$O$11,OR($L769=$O$7,$M769=$O$7)),"x","")</f>
        <v/>
      </c>
      <c r="P769" s="525" t="str">
        <f>IF(AND($L769=$O$7,$B769&lt;'111'!$N$11),"x","")</f>
        <v/>
      </c>
      <c r="Q769" s="525" t="str">
        <f>IF(AND($M769=$O$7,$B769&lt;'111'!$N$11),"x","")</f>
        <v/>
      </c>
      <c r="R769" s="525" t="str">
        <f>IF(ISERROR(FIND('112'!$M$9,G769,1)),"",IF((AND(FIND('112'!$M$9,G769,1)&gt;=1,$B769&gt;='112'!$N$8,$B769&lt;='112'!$O$8,OR($L769='112'!$I$6,$M769='112'!$I$6))),"x",""))</f>
        <v/>
      </c>
      <c r="S769" s="525" t="str">
        <f>IF(ISERROR(FIND('112'!$M$9,G769,1)),"",IF((AND(LEFT(G769,2)=LEFT('112'!$M$9,2),B769&lt;'112'!$N$8,$L769='112'!$I$6)),"x",""))</f>
        <v/>
      </c>
      <c r="T769" s="525" t="str">
        <f>IF(ISERROR(FIND('112'!$M$9,G769,1)),"",IF((AND(RIGHT(G769,2)=RIGHT('112'!$M$9,2),B769&lt;'112'!$N$8,$M769='112'!$I$6)),"x",""))</f>
        <v>x</v>
      </c>
      <c r="U769" s="525" t="str">
        <f>IF(AND(B769&gt;='IN-NX'!$P$3,B769&lt;='IN-NX'!$Q$3,'IN-NX'!$D$7=D769,OR(LEFT(L769,2)="15",AND(LEFT(M769,2)&lt;&gt;"15",LEFT(M769,2)&lt;&gt;"33"))),"x","")</f>
        <v/>
      </c>
      <c r="V769" s="525" t="str">
        <f>IF(AND(OR(LEFT(TH!L769,2)="15",LEFT(TH!M769,2)="15"),'152-CT'!$J$8=TH!F769),"x","")</f>
        <v/>
      </c>
      <c r="W769" s="525" t="str">
        <f>IF(AND(OR(LEFT(TH!L769,2)="15",LEFT(TH!M769,2)="15"),TK!$E$7=TH!F769),"x","")</f>
        <v/>
      </c>
      <c r="X769" s="525" t="str">
        <f>IF(AND('341-CT'!$E$9=H769,OR(LEFT(L769,3)=$X$7,LEFT(M769,3)=$X$7)),"x","")</f>
        <v/>
      </c>
      <c r="Y769" s="525" t="str">
        <f>IF(OR(TH!L769=TH!$Y$7,M769=TH!$Y$7),"x","")</f>
        <v/>
      </c>
      <c r="Z769" s="525" t="str">
        <f>IF(AND(B769&lt;=NKC!$N$8,B769&gt;=NKC!$M$8),"x","")</f>
        <v/>
      </c>
      <c r="AA769" s="535"/>
    </row>
    <row r="770" spans="1:28" s="503" customFormat="1" ht="15.75" customHeight="1">
      <c r="A770" s="517" t="str">
        <f>IF(B770&lt;&gt;"",IF(AND(B770&gt;=_TM1,B770&lt;=_TM2,OR(TH!L770="1111",TH!M770="1111")),TH!D770,""),"")</f>
        <v/>
      </c>
      <c r="B770" s="531">
        <f t="shared" si="87"/>
        <v>9</v>
      </c>
      <c r="C770" s="315">
        <f t="shared" si="88"/>
        <v>42998</v>
      </c>
      <c r="D770" s="315" t="s">
        <v>461</v>
      </c>
      <c r="E770" s="288">
        <v>42998</v>
      </c>
      <c r="F770" s="249" t="s">
        <v>829</v>
      </c>
      <c r="G770" s="314" t="s">
        <v>440</v>
      </c>
      <c r="H770" s="621" t="s">
        <v>1276</v>
      </c>
      <c r="I770" s="307"/>
      <c r="J770" s="307"/>
      <c r="K770" s="532">
        <v>11550000</v>
      </c>
      <c r="L770" s="534" t="s">
        <v>441</v>
      </c>
      <c r="M770" s="533" t="s">
        <v>24</v>
      </c>
      <c r="N770" s="525" t="str">
        <f>IF(AND('331-CT'!$E$7=TH!H770,OR(L770="331",M770="331")),"331",IF(AND(OR(L770="131",M770="131"),H770='131-CT'!$E$7),"131",""))</f>
        <v/>
      </c>
      <c r="O770" s="525" t="str">
        <f>IF(AND($B770&gt;='111'!$N$11,$B770&lt;='111'!$O$11,OR($L770=$O$7,$M770=$O$7)),"x","")</f>
        <v/>
      </c>
      <c r="P770" s="525" t="str">
        <f>IF(AND($L770=$O$7,$B770&lt;'111'!$N$11),"x","")</f>
        <v/>
      </c>
      <c r="Q770" s="525" t="str">
        <f>IF(AND($M770=$O$7,$B770&lt;'111'!$N$11),"x","")</f>
        <v/>
      </c>
      <c r="R770" s="525" t="str">
        <f>IF(ISERROR(FIND('112'!$M$9,G770,1)),"",IF((AND(FIND('112'!$M$9,G770,1)&gt;=1,$B770&gt;='112'!$N$8,$B770&lt;='112'!$O$8,OR($L770='112'!$I$6,$M770='112'!$I$6))),"x",""))</f>
        <v/>
      </c>
      <c r="S770" s="525" t="str">
        <f>IF(ISERROR(FIND('112'!$M$9,G770,1)),"",IF((AND(LEFT(G770,2)=LEFT('112'!$M$9,2),B770&lt;'112'!$N$8,$L770='112'!$I$6)),"x",""))</f>
        <v/>
      </c>
      <c r="T770" s="525" t="str">
        <f>IF(ISERROR(FIND('112'!$M$9,G770,1)),"",IF((AND(RIGHT(G770,2)=RIGHT('112'!$M$9,2),B770&lt;'112'!$N$8,$M770='112'!$I$6)),"x",""))</f>
        <v>x</v>
      </c>
      <c r="U770" s="525" t="str">
        <f>IF(AND(B770&gt;='IN-NX'!$P$3,B770&lt;='IN-NX'!$Q$3,'IN-NX'!$D$7=D770,OR(LEFT(L770,2)="15",AND(LEFT(M770,2)&lt;&gt;"15",LEFT(M770,2)&lt;&gt;"33"))),"x","")</f>
        <v/>
      </c>
      <c r="V770" s="525" t="str">
        <f>IF(AND(OR(LEFT(TH!L770,2)="15",LEFT(TH!M770,2)="15"),'152-CT'!$J$8=TH!F770),"x","")</f>
        <v/>
      </c>
      <c r="W770" s="525" t="str">
        <f>IF(AND(OR(LEFT(TH!L770,2)="15",LEFT(TH!M770,2)="15"),TK!$E$7=TH!F770),"x","")</f>
        <v/>
      </c>
      <c r="X770" s="525" t="str">
        <f>IF(AND('341-CT'!$E$9=H770,OR(LEFT(L770,3)=$X$7,LEFT(M770,3)=$X$7)),"x","")</f>
        <v/>
      </c>
      <c r="Y770" s="525" t="str">
        <f>IF(OR(TH!L770=TH!$Y$7,M770=TH!$Y$7),"x","")</f>
        <v/>
      </c>
      <c r="Z770" s="525" t="str">
        <f>IF(AND(B770&lt;=NKC!$N$8,B770&gt;=NKC!$M$8),"x","")</f>
        <v/>
      </c>
      <c r="AA770" s="535"/>
      <c r="AB770" s="536"/>
    </row>
    <row r="771" spans="1:28" s="503" customFormat="1" ht="15.75" customHeight="1">
      <c r="A771" s="517" t="str">
        <f>IF(B771&lt;&gt;"",IF(AND(B771&gt;=_TM1,B771&lt;=_TM2,OR(TH!L771="1111",TH!M771="1111")),TH!D771,""),"")</f>
        <v/>
      </c>
      <c r="B771" s="531">
        <f t="shared" si="87"/>
        <v>9</v>
      </c>
      <c r="C771" s="315">
        <f t="shared" si="88"/>
        <v>42998</v>
      </c>
      <c r="D771" s="315" t="s">
        <v>461</v>
      </c>
      <c r="E771" s="288">
        <v>42998</v>
      </c>
      <c r="F771" s="249" t="s">
        <v>828</v>
      </c>
      <c r="G771" s="314" t="s">
        <v>440</v>
      </c>
      <c r="H771" s="621" t="s">
        <v>1271</v>
      </c>
      <c r="I771" s="307"/>
      <c r="J771" s="307"/>
      <c r="K771" s="532">
        <v>1983618</v>
      </c>
      <c r="L771" s="533" t="s">
        <v>79</v>
      </c>
      <c r="M771" s="533" t="s">
        <v>24</v>
      </c>
      <c r="N771" s="525" t="str">
        <f>IF(AND('331-CT'!$E$7=TH!H771,OR(L771="331",M771="331")),"331",IF(AND(OR(L771="131",M771="131"),H771='131-CT'!$E$7),"131",""))</f>
        <v/>
      </c>
      <c r="O771" s="525" t="str">
        <f>IF(AND($B771&gt;='111'!$N$11,$B771&lt;='111'!$O$11,OR($L771=$O$7,$M771=$O$7)),"x","")</f>
        <v/>
      </c>
      <c r="P771" s="525" t="str">
        <f>IF(AND($L771=$O$7,$B771&lt;'111'!$N$11),"x","")</f>
        <v/>
      </c>
      <c r="Q771" s="525" t="str">
        <f>IF(AND($M771=$O$7,$B771&lt;'111'!$N$11),"x","")</f>
        <v/>
      </c>
      <c r="R771" s="525" t="str">
        <f>IF(ISERROR(FIND('112'!$M$9,G771,1)),"",IF((AND(FIND('112'!$M$9,G771,1)&gt;=1,$B771&gt;='112'!$N$8,$B771&lt;='112'!$O$8,OR($L771='112'!$I$6,$M771='112'!$I$6))),"x",""))</f>
        <v/>
      </c>
      <c r="S771" s="525" t="str">
        <f>IF(ISERROR(FIND('112'!$M$9,G771,1)),"",IF((AND(LEFT(G771,2)=LEFT('112'!$M$9,2),B771&lt;'112'!$N$8,$L771='112'!$I$6)),"x",""))</f>
        <v/>
      </c>
      <c r="T771" s="525" t="str">
        <f>IF(ISERROR(FIND('112'!$M$9,G771,1)),"",IF((AND(RIGHT(G771,2)=RIGHT('112'!$M$9,2),B771&lt;'112'!$N$8,$M771='112'!$I$6)),"x",""))</f>
        <v>x</v>
      </c>
      <c r="U771" s="525" t="str">
        <f>IF(AND(B771&gt;='IN-NX'!$P$3,B771&lt;='IN-NX'!$Q$3,'IN-NX'!$D$7=D771,OR(LEFT(L771,2)="15",AND(LEFT(M771,2)&lt;&gt;"15",LEFT(M771,2)&lt;&gt;"33"))),"x","")</f>
        <v/>
      </c>
      <c r="V771" s="525" t="str">
        <f>IF(AND(OR(LEFT(TH!L771,2)="15",LEFT(TH!M771,2)="15"),'152-CT'!$J$8=TH!F771),"x","")</f>
        <v/>
      </c>
      <c r="W771" s="525" t="str">
        <f>IF(AND(OR(LEFT(TH!L771,2)="15",LEFT(TH!M771,2)="15"),TK!$E$7=TH!F771),"x","")</f>
        <v/>
      </c>
      <c r="X771" s="525" t="str">
        <f>IF(AND('341-CT'!$E$9=H771,OR(LEFT(L771,3)=$X$7,LEFT(M771,3)=$X$7)),"x","")</f>
        <v/>
      </c>
      <c r="Y771" s="525" t="str">
        <f>IF(OR(TH!L771=TH!$Y$7,M771=TH!$Y$7),"x","")</f>
        <v/>
      </c>
      <c r="Z771" s="525" t="str">
        <f>IF(AND(B771&lt;=NKC!$N$8,B771&gt;=NKC!$M$8),"x","")</f>
        <v/>
      </c>
      <c r="AA771" s="535"/>
    </row>
    <row r="772" spans="1:28" s="503" customFormat="1" ht="15.75" customHeight="1">
      <c r="A772" s="517" t="str">
        <f>IF(B772&lt;&gt;"",IF(AND(B772&gt;=_TM1,B772&lt;=_TM2,OR(TH!L772="1111",TH!M772="1111")),TH!D772,""),"")</f>
        <v/>
      </c>
      <c r="B772" s="531">
        <f t="shared" si="87"/>
        <v>9</v>
      </c>
      <c r="C772" s="315">
        <f t="shared" si="88"/>
        <v>42998</v>
      </c>
      <c r="D772" s="315" t="s">
        <v>461</v>
      </c>
      <c r="E772" s="288">
        <v>42998</v>
      </c>
      <c r="F772" s="249" t="s">
        <v>829</v>
      </c>
      <c r="G772" s="314" t="s">
        <v>440</v>
      </c>
      <c r="H772" s="621" t="s">
        <v>1271</v>
      </c>
      <c r="I772" s="307"/>
      <c r="J772" s="307"/>
      <c r="K772" s="532">
        <v>22170000</v>
      </c>
      <c r="L772" s="534" t="s">
        <v>441</v>
      </c>
      <c r="M772" s="533" t="s">
        <v>24</v>
      </c>
      <c r="N772" s="525" t="str">
        <f>IF(AND('331-CT'!$E$7=TH!H772,OR(L772="331",M772="331")),"331",IF(AND(OR(L772="131",M772="131"),H772='131-CT'!$E$7),"131",""))</f>
        <v/>
      </c>
      <c r="O772" s="525" t="str">
        <f>IF(AND($B772&gt;='111'!$N$11,$B772&lt;='111'!$O$11,OR($L772=$O$7,$M772=$O$7)),"x","")</f>
        <v/>
      </c>
      <c r="P772" s="525" t="str">
        <f>IF(AND($L772=$O$7,$B772&lt;'111'!$N$11),"x","")</f>
        <v/>
      </c>
      <c r="Q772" s="525" t="str">
        <f>IF(AND($M772=$O$7,$B772&lt;'111'!$N$11),"x","")</f>
        <v/>
      </c>
      <c r="R772" s="525" t="str">
        <f>IF(ISERROR(FIND('112'!$M$9,G772,1)),"",IF((AND(FIND('112'!$M$9,G772,1)&gt;=1,$B772&gt;='112'!$N$8,$B772&lt;='112'!$O$8,OR($L772='112'!$I$6,$M772='112'!$I$6))),"x",""))</f>
        <v/>
      </c>
      <c r="S772" s="525" t="str">
        <f>IF(ISERROR(FIND('112'!$M$9,G772,1)),"",IF((AND(LEFT(G772,2)=LEFT('112'!$M$9,2),B772&lt;'112'!$N$8,$L772='112'!$I$6)),"x",""))</f>
        <v/>
      </c>
      <c r="T772" s="525" t="str">
        <f>IF(ISERROR(FIND('112'!$M$9,G772,1)),"",IF((AND(RIGHT(G772,2)=RIGHT('112'!$M$9,2),B772&lt;'112'!$N$8,$M772='112'!$I$6)),"x",""))</f>
        <v>x</v>
      </c>
      <c r="U772" s="525" t="str">
        <f>IF(AND(B772&gt;='IN-NX'!$P$3,B772&lt;='IN-NX'!$Q$3,'IN-NX'!$D$7=D772,OR(LEFT(L772,2)="15",AND(LEFT(M772,2)&lt;&gt;"15",LEFT(M772,2)&lt;&gt;"33"))),"x","")</f>
        <v/>
      </c>
      <c r="V772" s="525" t="str">
        <f>IF(AND(OR(LEFT(TH!L772,2)="15",LEFT(TH!M772,2)="15"),'152-CT'!$J$8=TH!F772),"x","")</f>
        <v/>
      </c>
      <c r="W772" s="525" t="str">
        <f>IF(AND(OR(LEFT(TH!L772,2)="15",LEFT(TH!M772,2)="15"),TK!$E$7=TH!F772),"x","")</f>
        <v/>
      </c>
      <c r="X772" s="525" t="str">
        <f>IF(AND('341-CT'!$E$9=H772,OR(LEFT(L772,3)=$X$7,LEFT(M772,3)=$X$7)),"x","")</f>
        <v>x</v>
      </c>
      <c r="Y772" s="525" t="str">
        <f>IF(OR(TH!L772=TH!$Y$7,M772=TH!$Y$7),"x","")</f>
        <v/>
      </c>
      <c r="Z772" s="525" t="str">
        <f>IF(AND(B772&lt;=NKC!$N$8,B772&gt;=NKC!$M$8),"x","")</f>
        <v/>
      </c>
      <c r="AA772" s="535"/>
      <c r="AB772" s="536"/>
    </row>
    <row r="773" spans="1:28" s="503" customFormat="1" ht="15.75" customHeight="1">
      <c r="A773" s="517" t="str">
        <f>IF(B773&lt;&gt;"",IF(AND(B773&gt;=_TM1,B773&lt;=_TM2,OR(TH!L773="1111",TH!M773="1111")),TH!D773,""),"")</f>
        <v/>
      </c>
      <c r="B773" s="531">
        <f t="shared" si="87"/>
        <v>9</v>
      </c>
      <c r="C773" s="315">
        <f t="shared" si="88"/>
        <v>42998</v>
      </c>
      <c r="D773" s="315" t="s">
        <v>461</v>
      </c>
      <c r="E773" s="288">
        <v>42998</v>
      </c>
      <c r="F773" s="249" t="s">
        <v>828</v>
      </c>
      <c r="G773" s="314" t="s">
        <v>440</v>
      </c>
      <c r="H773" s="621" t="s">
        <v>1272</v>
      </c>
      <c r="I773" s="307"/>
      <c r="J773" s="307"/>
      <c r="K773" s="532">
        <v>997328</v>
      </c>
      <c r="L773" s="533" t="s">
        <v>79</v>
      </c>
      <c r="M773" s="533" t="s">
        <v>24</v>
      </c>
      <c r="N773" s="525" t="str">
        <f>IF(AND('331-CT'!$E$7=TH!H773,OR(L773="331",M773="331")),"331",IF(AND(OR(L773="131",M773="131"),H773='131-CT'!$E$7),"131",""))</f>
        <v/>
      </c>
      <c r="O773" s="525" t="str">
        <f>IF(AND($B773&gt;='111'!$N$11,$B773&lt;='111'!$O$11,OR($L773=$O$7,$M773=$O$7)),"x","")</f>
        <v/>
      </c>
      <c r="P773" s="525" t="str">
        <f>IF(AND($L773=$O$7,$B773&lt;'111'!$N$11),"x","")</f>
        <v/>
      </c>
      <c r="Q773" s="525" t="str">
        <f>IF(AND($M773=$O$7,$B773&lt;'111'!$N$11),"x","")</f>
        <v/>
      </c>
      <c r="R773" s="525" t="str">
        <f>IF(ISERROR(FIND('112'!$M$9,G773,1)),"",IF((AND(FIND('112'!$M$9,G773,1)&gt;=1,$B773&gt;='112'!$N$8,$B773&lt;='112'!$O$8,OR($L773='112'!$I$6,$M773='112'!$I$6))),"x",""))</f>
        <v/>
      </c>
      <c r="S773" s="525" t="str">
        <f>IF(ISERROR(FIND('112'!$M$9,G773,1)),"",IF((AND(LEFT(G773,2)=LEFT('112'!$M$9,2),B773&lt;'112'!$N$8,$L773='112'!$I$6)),"x",""))</f>
        <v/>
      </c>
      <c r="T773" s="525" t="str">
        <f>IF(ISERROR(FIND('112'!$M$9,G773,1)),"",IF((AND(RIGHT(G773,2)=RIGHT('112'!$M$9,2),B773&lt;'112'!$N$8,$M773='112'!$I$6)),"x",""))</f>
        <v>x</v>
      </c>
      <c r="U773" s="525" t="str">
        <f>IF(AND(B773&gt;='IN-NX'!$P$3,B773&lt;='IN-NX'!$Q$3,'IN-NX'!$D$7=D773,OR(LEFT(L773,2)="15",AND(LEFT(M773,2)&lt;&gt;"15",LEFT(M773,2)&lt;&gt;"33"))),"x","")</f>
        <v/>
      </c>
      <c r="V773" s="525" t="str">
        <f>IF(AND(OR(LEFT(TH!L773,2)="15",LEFT(TH!M773,2)="15"),'152-CT'!$J$8=TH!F773),"x","")</f>
        <v/>
      </c>
      <c r="W773" s="525" t="str">
        <f>IF(AND(OR(LEFT(TH!L773,2)="15",LEFT(TH!M773,2)="15"),TK!$E$7=TH!F773),"x","")</f>
        <v/>
      </c>
      <c r="X773" s="525" t="str">
        <f>IF(AND('341-CT'!$E$9=H773,OR(LEFT(L773,3)=$X$7,LEFT(M773,3)=$X$7)),"x","")</f>
        <v/>
      </c>
      <c r="Y773" s="525" t="str">
        <f>IF(OR(TH!L773=TH!$Y$7,M773=TH!$Y$7),"x","")</f>
        <v/>
      </c>
      <c r="Z773" s="525" t="str">
        <f>IF(AND(B773&lt;=NKC!$N$8,B773&gt;=NKC!$M$8),"x","")</f>
        <v/>
      </c>
      <c r="AA773" s="535"/>
    </row>
    <row r="774" spans="1:28" s="503" customFormat="1" ht="15.75" customHeight="1">
      <c r="A774" s="517" t="str">
        <f>IF(B774&lt;&gt;"",IF(AND(B774&gt;=_TM1,B774&lt;=_TM2,OR(TH!L774="1111",TH!M774="1111")),TH!D774,""),"")</f>
        <v/>
      </c>
      <c r="B774" s="531">
        <f t="shared" si="87"/>
        <v>9</v>
      </c>
      <c r="C774" s="315">
        <f t="shared" si="88"/>
        <v>42998</v>
      </c>
      <c r="D774" s="315" t="s">
        <v>461</v>
      </c>
      <c r="E774" s="288">
        <v>42998</v>
      </c>
      <c r="F774" s="249" t="s">
        <v>829</v>
      </c>
      <c r="G774" s="314" t="s">
        <v>440</v>
      </c>
      <c r="H774" s="621" t="s">
        <v>1272</v>
      </c>
      <c r="I774" s="307"/>
      <c r="J774" s="307"/>
      <c r="K774" s="532">
        <v>11140000</v>
      </c>
      <c r="L774" s="534" t="s">
        <v>441</v>
      </c>
      <c r="M774" s="533" t="s">
        <v>24</v>
      </c>
      <c r="N774" s="525" t="str">
        <f>IF(AND('331-CT'!$E$7=TH!H774,OR(L774="331",M774="331")),"331",IF(AND(OR(L774="131",M774="131"),H774='131-CT'!$E$7),"131",""))</f>
        <v/>
      </c>
      <c r="O774" s="525" t="str">
        <f>IF(AND($B774&gt;='111'!$N$11,$B774&lt;='111'!$O$11,OR($L774=$O$7,$M774=$O$7)),"x","")</f>
        <v/>
      </c>
      <c r="P774" s="525" t="str">
        <f>IF(AND($L774=$O$7,$B774&lt;'111'!$N$11),"x","")</f>
        <v/>
      </c>
      <c r="Q774" s="525" t="str">
        <f>IF(AND($M774=$O$7,$B774&lt;'111'!$N$11),"x","")</f>
        <v/>
      </c>
      <c r="R774" s="525" t="str">
        <f>IF(ISERROR(FIND('112'!$M$9,G774,1)),"",IF((AND(FIND('112'!$M$9,G774,1)&gt;=1,$B774&gt;='112'!$N$8,$B774&lt;='112'!$O$8,OR($L774='112'!$I$6,$M774='112'!$I$6))),"x",""))</f>
        <v/>
      </c>
      <c r="S774" s="525" t="str">
        <f>IF(ISERROR(FIND('112'!$M$9,G774,1)),"",IF((AND(LEFT(G774,2)=LEFT('112'!$M$9,2),B774&lt;'112'!$N$8,$L774='112'!$I$6)),"x",""))</f>
        <v/>
      </c>
      <c r="T774" s="525" t="str">
        <f>IF(ISERROR(FIND('112'!$M$9,G774,1)),"",IF((AND(RIGHT(G774,2)=RIGHT('112'!$M$9,2),B774&lt;'112'!$N$8,$M774='112'!$I$6)),"x",""))</f>
        <v>x</v>
      </c>
      <c r="U774" s="525" t="str">
        <f>IF(AND(B774&gt;='IN-NX'!$P$3,B774&lt;='IN-NX'!$Q$3,'IN-NX'!$D$7=D774,OR(LEFT(L774,2)="15",AND(LEFT(M774,2)&lt;&gt;"15",LEFT(M774,2)&lt;&gt;"33"))),"x","")</f>
        <v/>
      </c>
      <c r="V774" s="525" t="str">
        <f>IF(AND(OR(LEFT(TH!L774,2)="15",LEFT(TH!M774,2)="15"),'152-CT'!$J$8=TH!F774),"x","")</f>
        <v/>
      </c>
      <c r="W774" s="525" t="str">
        <f>IF(AND(OR(LEFT(TH!L774,2)="15",LEFT(TH!M774,2)="15"),TK!$E$7=TH!F774),"x","")</f>
        <v/>
      </c>
      <c r="X774" s="525" t="str">
        <f>IF(AND('341-CT'!$E$9=H774,OR(LEFT(L774,3)=$X$7,LEFT(M774,3)=$X$7)),"x","")</f>
        <v/>
      </c>
      <c r="Y774" s="525" t="str">
        <f>IF(OR(TH!L774=TH!$Y$7,M774=TH!$Y$7),"x","")</f>
        <v/>
      </c>
      <c r="Z774" s="525" t="str">
        <f>IF(AND(B774&lt;=NKC!$N$8,B774&gt;=NKC!$M$8),"x","")</f>
        <v/>
      </c>
      <c r="AA774" s="535"/>
    </row>
    <row r="775" spans="1:28" s="503" customFormat="1" ht="15.75" customHeight="1">
      <c r="A775" s="517" t="str">
        <f>IF(B775&lt;&gt;"",IF(AND(B775&gt;=_TM1,B775&lt;=_TM2,OR(TH!L775="1111",TH!M775="1111")),TH!D775,""),"")</f>
        <v/>
      </c>
      <c r="B775" s="531">
        <f t="shared" si="87"/>
        <v>9</v>
      </c>
      <c r="C775" s="315">
        <f t="shared" si="88"/>
        <v>42998</v>
      </c>
      <c r="D775" s="315" t="s">
        <v>461</v>
      </c>
      <c r="E775" s="288">
        <v>42998</v>
      </c>
      <c r="F775" s="249" t="s">
        <v>828</v>
      </c>
      <c r="G775" s="314" t="s">
        <v>440</v>
      </c>
      <c r="H775" s="621" t="s">
        <v>1273</v>
      </c>
      <c r="I775" s="307"/>
      <c r="J775" s="307"/>
      <c r="K775" s="532">
        <v>1027013</v>
      </c>
      <c r="L775" s="533" t="s">
        <v>79</v>
      </c>
      <c r="M775" s="533" t="s">
        <v>24</v>
      </c>
      <c r="N775" s="525" t="str">
        <f>IF(AND('331-CT'!$E$7=TH!H775,OR(L775="331",M775="331")),"331",IF(AND(OR(L775="131",M775="131"),H775='131-CT'!$E$7),"131",""))</f>
        <v/>
      </c>
      <c r="O775" s="525" t="str">
        <f>IF(AND($B775&gt;='111'!$N$11,$B775&lt;='111'!$O$11,OR($L775=$O$7,$M775=$O$7)),"x","")</f>
        <v/>
      </c>
      <c r="P775" s="525" t="str">
        <f>IF(AND($L775=$O$7,$B775&lt;'111'!$N$11),"x","")</f>
        <v/>
      </c>
      <c r="Q775" s="525" t="str">
        <f>IF(AND($M775=$O$7,$B775&lt;'111'!$N$11),"x","")</f>
        <v/>
      </c>
      <c r="R775" s="525" t="str">
        <f>IF(ISERROR(FIND('112'!$M$9,G775,1)),"",IF((AND(FIND('112'!$M$9,G775,1)&gt;=1,$B775&gt;='112'!$N$8,$B775&lt;='112'!$O$8,OR($L775='112'!$I$6,$M775='112'!$I$6))),"x",""))</f>
        <v/>
      </c>
      <c r="S775" s="525" t="str">
        <f>IF(ISERROR(FIND('112'!$M$9,G775,1)),"",IF((AND(LEFT(G775,2)=LEFT('112'!$M$9,2),B775&lt;'112'!$N$8,$L775='112'!$I$6)),"x",""))</f>
        <v/>
      </c>
      <c r="T775" s="525" t="str">
        <f>IF(ISERROR(FIND('112'!$M$9,G775,1)),"",IF((AND(RIGHT(G775,2)=RIGHT('112'!$M$9,2),B775&lt;'112'!$N$8,$M775='112'!$I$6)),"x",""))</f>
        <v>x</v>
      </c>
      <c r="U775" s="525" t="str">
        <f>IF(AND(B775&gt;='IN-NX'!$P$3,B775&lt;='IN-NX'!$Q$3,'IN-NX'!$D$7=D775,OR(LEFT(L775,2)="15",AND(LEFT(M775,2)&lt;&gt;"15",LEFT(M775,2)&lt;&gt;"33"))),"x","")</f>
        <v/>
      </c>
      <c r="V775" s="525" t="str">
        <f>IF(AND(OR(LEFT(TH!L775,2)="15",LEFT(TH!M775,2)="15"),'152-CT'!$J$8=TH!F775),"x","")</f>
        <v/>
      </c>
      <c r="W775" s="525" t="str">
        <f>IF(AND(OR(LEFT(TH!L775,2)="15",LEFT(TH!M775,2)="15"),TK!$E$7=TH!F775),"x","")</f>
        <v/>
      </c>
      <c r="X775" s="525" t="str">
        <f>IF(AND('341-CT'!$E$9=H775,OR(LEFT(L775,3)=$X$7,LEFT(M775,3)=$X$7)),"x","")</f>
        <v/>
      </c>
      <c r="Y775" s="525" t="str">
        <f>IF(OR(TH!L775=TH!$Y$7,M775=TH!$Y$7),"x","")</f>
        <v/>
      </c>
      <c r="Z775" s="525" t="str">
        <f>IF(AND(B775&lt;=NKC!$N$8,B775&gt;=NKC!$M$8),"x","")</f>
        <v/>
      </c>
      <c r="AA775" s="535"/>
      <c r="AB775" s="536"/>
    </row>
    <row r="776" spans="1:28" s="503" customFormat="1" ht="15.75" customHeight="1">
      <c r="A776" s="517" t="str">
        <f>IF(B776&lt;&gt;"",IF(AND(B776&gt;=_TM1,B776&lt;=_TM2,OR(TH!L776="1111",TH!M776="1111")),TH!D776,""),"")</f>
        <v/>
      </c>
      <c r="B776" s="531">
        <f t="shared" si="87"/>
        <v>9</v>
      </c>
      <c r="C776" s="315">
        <f t="shared" si="88"/>
        <v>42998</v>
      </c>
      <c r="D776" s="315" t="s">
        <v>461</v>
      </c>
      <c r="E776" s="288">
        <v>42998</v>
      </c>
      <c r="F776" s="249" t="s">
        <v>829</v>
      </c>
      <c r="G776" s="314" t="s">
        <v>440</v>
      </c>
      <c r="H776" s="621" t="s">
        <v>1273</v>
      </c>
      <c r="I776" s="307"/>
      <c r="J776" s="307"/>
      <c r="K776" s="532">
        <v>9830000</v>
      </c>
      <c r="L776" s="534" t="s">
        <v>441</v>
      </c>
      <c r="M776" s="533" t="s">
        <v>24</v>
      </c>
      <c r="N776" s="525" t="str">
        <f>IF(AND('331-CT'!$E$7=TH!H776,OR(L776="331",M776="331")),"331",IF(AND(OR(L776="131",M776="131"),H776='131-CT'!$E$7),"131",""))</f>
        <v/>
      </c>
      <c r="O776" s="525" t="str">
        <f>IF(AND($B776&gt;='111'!$N$11,$B776&lt;='111'!$O$11,OR($L776=$O$7,$M776=$O$7)),"x","")</f>
        <v/>
      </c>
      <c r="P776" s="525" t="str">
        <f>IF(AND($L776=$O$7,$B776&lt;'111'!$N$11),"x","")</f>
        <v/>
      </c>
      <c r="Q776" s="525" t="str">
        <f>IF(AND($M776=$O$7,$B776&lt;'111'!$N$11),"x","")</f>
        <v/>
      </c>
      <c r="R776" s="525" t="str">
        <f>IF(ISERROR(FIND('112'!$M$9,G776,1)),"",IF((AND(FIND('112'!$M$9,G776,1)&gt;=1,$B776&gt;='112'!$N$8,$B776&lt;='112'!$O$8,OR($L776='112'!$I$6,$M776='112'!$I$6))),"x",""))</f>
        <v/>
      </c>
      <c r="S776" s="525" t="str">
        <f>IF(ISERROR(FIND('112'!$M$9,G776,1)),"",IF((AND(LEFT(G776,2)=LEFT('112'!$M$9,2),B776&lt;'112'!$N$8,$L776='112'!$I$6)),"x",""))</f>
        <v/>
      </c>
      <c r="T776" s="525" t="str">
        <f>IF(ISERROR(FIND('112'!$M$9,G776,1)),"",IF((AND(RIGHT(G776,2)=RIGHT('112'!$M$9,2),B776&lt;'112'!$N$8,$M776='112'!$I$6)),"x",""))</f>
        <v>x</v>
      </c>
      <c r="U776" s="525" t="str">
        <f>IF(AND(B776&gt;='IN-NX'!$P$3,B776&lt;='IN-NX'!$Q$3,'IN-NX'!$D$7=D776,OR(LEFT(L776,2)="15",AND(LEFT(M776,2)&lt;&gt;"15",LEFT(M776,2)&lt;&gt;"33"))),"x","")</f>
        <v/>
      </c>
      <c r="V776" s="525" t="str">
        <f>IF(AND(OR(LEFT(TH!L776,2)="15",LEFT(TH!M776,2)="15"),'152-CT'!$J$8=TH!F776),"x","")</f>
        <v/>
      </c>
      <c r="W776" s="525" t="str">
        <f>IF(AND(OR(LEFT(TH!L776,2)="15",LEFT(TH!M776,2)="15"),TK!$E$7=TH!F776),"x","")</f>
        <v/>
      </c>
      <c r="X776" s="525" t="str">
        <f>IF(AND('341-CT'!$E$9=H776,OR(LEFT(L776,3)=$X$7,LEFT(M776,3)=$X$7)),"x","")</f>
        <v/>
      </c>
      <c r="Y776" s="525" t="str">
        <f>IF(OR(TH!L776=TH!$Y$7,M776=TH!$Y$7),"x","")</f>
        <v/>
      </c>
      <c r="Z776" s="525" t="str">
        <f>IF(AND(B776&lt;=NKC!$N$8,B776&gt;=NKC!$M$8),"x","")</f>
        <v/>
      </c>
      <c r="AA776" s="535"/>
    </row>
    <row r="777" spans="1:28" s="503" customFormat="1" ht="15.75" customHeight="1">
      <c r="A777" s="517" t="str">
        <f>IF(B777&lt;&gt;"",IF(AND(B777&gt;=_TM1,B777&lt;=_TM2,OR(TH!L777="1111",TH!M777="1111")),TH!D777,""),"")</f>
        <v/>
      </c>
      <c r="B777" s="531">
        <f t="shared" si="79"/>
        <v>9</v>
      </c>
      <c r="C777" s="315">
        <f t="shared" si="80"/>
        <v>42998</v>
      </c>
      <c r="D777" s="315" t="s">
        <v>461</v>
      </c>
      <c r="E777" s="288">
        <v>42998</v>
      </c>
      <c r="F777" s="249" t="s">
        <v>828</v>
      </c>
      <c r="G777" s="314" t="s">
        <v>440</v>
      </c>
      <c r="H777" s="621" t="s">
        <v>1275</v>
      </c>
      <c r="I777" s="307"/>
      <c r="J777" s="307"/>
      <c r="K777" s="532">
        <v>1491667</v>
      </c>
      <c r="L777" s="533" t="s">
        <v>79</v>
      </c>
      <c r="M777" s="533" t="s">
        <v>24</v>
      </c>
      <c r="N777" s="525" t="str">
        <f>IF(AND('331-CT'!$E$7=TH!H777,OR(L777="331",M777="331")),"331",IF(AND(OR(L777="131",M777="131"),H777='131-CT'!$E$7),"131",""))</f>
        <v/>
      </c>
      <c r="O777" s="525" t="str">
        <f>IF(AND($B777&gt;='111'!$N$11,$B777&lt;='111'!$O$11,OR($L777=$O$7,$M777=$O$7)),"x","")</f>
        <v/>
      </c>
      <c r="P777" s="525" t="str">
        <f>IF(AND($L777=$O$7,$B777&lt;'111'!$N$11),"x","")</f>
        <v/>
      </c>
      <c r="Q777" s="525" t="str">
        <f>IF(AND($M777=$O$7,$B777&lt;'111'!$N$11),"x","")</f>
        <v/>
      </c>
      <c r="R777" s="525" t="str">
        <f>IF(ISERROR(FIND('112'!$M$9,G777,1)),"",IF((AND(FIND('112'!$M$9,G777,1)&gt;=1,$B777&gt;='112'!$N$8,$B777&lt;='112'!$O$8,OR($L777='112'!$I$6,$M777='112'!$I$6))),"x",""))</f>
        <v/>
      </c>
      <c r="S777" s="525" t="str">
        <f>IF(ISERROR(FIND('112'!$M$9,G777,1)),"",IF((AND(LEFT(G777,2)=LEFT('112'!$M$9,2),B777&lt;'112'!$N$8,$L777='112'!$I$6)),"x",""))</f>
        <v/>
      </c>
      <c r="T777" s="525" t="str">
        <f>IF(ISERROR(FIND('112'!$M$9,G777,1)),"",IF((AND(RIGHT(G777,2)=RIGHT('112'!$M$9,2),B777&lt;'112'!$N$8,$M777='112'!$I$6)),"x",""))</f>
        <v>x</v>
      </c>
      <c r="U777" s="525" t="str">
        <f>IF(AND(B777&gt;='IN-NX'!$P$3,B777&lt;='IN-NX'!$Q$3,'IN-NX'!$D$7=D777,OR(LEFT(L777,2)="15",AND(LEFT(M777,2)&lt;&gt;"15",LEFT(M777,2)&lt;&gt;"33"))),"x","")</f>
        <v/>
      </c>
      <c r="V777" s="525" t="str">
        <f>IF(AND(OR(LEFT(TH!L777,2)="15",LEFT(TH!M777,2)="15"),'152-CT'!$J$8=TH!F777),"x","")</f>
        <v/>
      </c>
      <c r="W777" s="525" t="str">
        <f>IF(AND(OR(LEFT(TH!L777,2)="15",LEFT(TH!M777,2)="15"),TK!$E$7=TH!F777),"x","")</f>
        <v/>
      </c>
      <c r="X777" s="525" t="str">
        <f>IF(AND('341-CT'!$E$9=H777,OR(LEFT(L777,3)=$X$7,LEFT(M777,3)=$X$7)),"x","")</f>
        <v/>
      </c>
      <c r="Y777" s="525" t="str">
        <f>IF(OR(TH!L777=TH!$Y$7,M777=TH!$Y$7),"x","")</f>
        <v/>
      </c>
      <c r="Z777" s="525" t="str">
        <f>IF(AND(B777&lt;=NKC!$N$8,B777&gt;=NKC!$M$8),"x","")</f>
        <v/>
      </c>
      <c r="AA777" s="535"/>
      <c r="AB777" s="536"/>
    </row>
    <row r="778" spans="1:28" s="503" customFormat="1" ht="15.75" customHeight="1">
      <c r="A778" s="517" t="str">
        <f>IF(B778&lt;&gt;"",IF(AND(B778&gt;=_TM1,B778&lt;=_TM2,OR(TH!L778="1111",TH!M778="1111")),TH!D778,""),"")</f>
        <v/>
      </c>
      <c r="B778" s="531">
        <f t="shared" si="79"/>
        <v>9</v>
      </c>
      <c r="C778" s="315">
        <f t="shared" si="80"/>
        <v>42998</v>
      </c>
      <c r="D778" s="315" t="s">
        <v>461</v>
      </c>
      <c r="E778" s="288">
        <v>42998</v>
      </c>
      <c r="F778" s="249" t="s">
        <v>829</v>
      </c>
      <c r="G778" s="314" t="s">
        <v>440</v>
      </c>
      <c r="H778" s="621" t="s">
        <v>1275</v>
      </c>
      <c r="I778" s="307"/>
      <c r="J778" s="307"/>
      <c r="K778" s="532">
        <v>12500000</v>
      </c>
      <c r="L778" s="534" t="s">
        <v>441</v>
      </c>
      <c r="M778" s="533" t="s">
        <v>24</v>
      </c>
      <c r="N778" s="525" t="str">
        <f>IF(AND('331-CT'!$E$7=TH!H778,OR(L778="331",M778="331")),"331",IF(AND(OR(L778="131",M778="131"),H778='131-CT'!$E$7),"131",""))</f>
        <v/>
      </c>
      <c r="O778" s="525" t="str">
        <f>IF(AND($B778&gt;='111'!$N$11,$B778&lt;='111'!$O$11,OR($L778=$O$7,$M778=$O$7)),"x","")</f>
        <v/>
      </c>
      <c r="P778" s="525" t="str">
        <f>IF(AND($L778=$O$7,$B778&lt;'111'!$N$11),"x","")</f>
        <v/>
      </c>
      <c r="Q778" s="525" t="str">
        <f>IF(AND($M778=$O$7,$B778&lt;'111'!$N$11),"x","")</f>
        <v/>
      </c>
      <c r="R778" s="525" t="str">
        <f>IF(ISERROR(FIND('112'!$M$9,G778,1)),"",IF((AND(FIND('112'!$M$9,G778,1)&gt;=1,$B778&gt;='112'!$N$8,$B778&lt;='112'!$O$8,OR($L778='112'!$I$6,$M778='112'!$I$6))),"x",""))</f>
        <v/>
      </c>
      <c r="S778" s="525" t="str">
        <f>IF(ISERROR(FIND('112'!$M$9,G778,1)),"",IF((AND(LEFT(G778,2)=LEFT('112'!$M$9,2),B778&lt;'112'!$N$8,$L778='112'!$I$6)),"x",""))</f>
        <v/>
      </c>
      <c r="T778" s="525" t="str">
        <f>IF(ISERROR(FIND('112'!$M$9,G778,1)),"",IF((AND(RIGHT(G778,2)=RIGHT('112'!$M$9,2),B778&lt;'112'!$N$8,$M778='112'!$I$6)),"x",""))</f>
        <v>x</v>
      </c>
      <c r="U778" s="525" t="str">
        <f>IF(AND(B778&gt;='IN-NX'!$P$3,B778&lt;='IN-NX'!$Q$3,'IN-NX'!$D$7=D778,OR(LEFT(L778,2)="15",AND(LEFT(M778,2)&lt;&gt;"15",LEFT(M778,2)&lt;&gt;"33"))),"x","")</f>
        <v/>
      </c>
      <c r="V778" s="525" t="str">
        <f>IF(AND(OR(LEFT(TH!L778,2)="15",LEFT(TH!M778,2)="15"),'152-CT'!$J$8=TH!F778),"x","")</f>
        <v/>
      </c>
      <c r="W778" s="525" t="str">
        <f>IF(AND(OR(LEFT(TH!L778,2)="15",LEFT(TH!M778,2)="15"),TK!$E$7=TH!F778),"x","")</f>
        <v/>
      </c>
      <c r="X778" s="525" t="str">
        <f>IF(AND('341-CT'!$E$9=H778,OR(LEFT(L778,3)=$X$7,LEFT(M778,3)=$X$7)),"x","")</f>
        <v/>
      </c>
      <c r="Y778" s="525" t="str">
        <f>IF(OR(TH!L778=TH!$Y$7,M778=TH!$Y$7),"x","")</f>
        <v/>
      </c>
      <c r="Z778" s="525" t="str">
        <f>IF(AND(B778&lt;=NKC!$N$8,B778&gt;=NKC!$M$8),"x","")</f>
        <v/>
      </c>
      <c r="AA778" s="535"/>
    </row>
    <row r="779" spans="1:28" s="503" customFormat="1" ht="15.75" customHeight="1">
      <c r="A779" s="517" t="str">
        <f>IF(B779&lt;&gt;"",IF(AND(B779&gt;=_TM1,B779&lt;=_TM2,OR(TH!L779="1111",TH!M779="1111")),TH!D779,""),"")</f>
        <v/>
      </c>
      <c r="B779" s="531">
        <f t="shared" si="79"/>
        <v>9</v>
      </c>
      <c r="C779" s="315">
        <f t="shared" si="80"/>
        <v>42998</v>
      </c>
      <c r="D779" s="315" t="s">
        <v>461</v>
      </c>
      <c r="E779" s="288">
        <v>42998</v>
      </c>
      <c r="F779" s="249" t="s">
        <v>828</v>
      </c>
      <c r="G779" s="314" t="s">
        <v>440</v>
      </c>
      <c r="H779" s="621" t="s">
        <v>1500</v>
      </c>
      <c r="I779" s="307"/>
      <c r="J779" s="307"/>
      <c r="K779" s="532">
        <v>1381370</v>
      </c>
      <c r="L779" s="533" t="s">
        <v>79</v>
      </c>
      <c r="M779" s="533" t="s">
        <v>24</v>
      </c>
      <c r="N779" s="525" t="str">
        <f>IF(AND('331-CT'!$E$7=TH!H779,OR(L779="331",M779="331")),"331",IF(AND(OR(L779="131",M779="131"),H779='131-CT'!$E$7),"131",""))</f>
        <v/>
      </c>
      <c r="O779" s="525" t="str">
        <f>IF(AND($B779&gt;='111'!$N$11,$B779&lt;='111'!$O$11,OR($L779=$O$7,$M779=$O$7)),"x","")</f>
        <v/>
      </c>
      <c r="P779" s="525" t="str">
        <f>IF(AND($L779=$O$7,$B779&lt;'111'!$N$11),"x","")</f>
        <v/>
      </c>
      <c r="Q779" s="525" t="str">
        <f>IF(AND($M779=$O$7,$B779&lt;'111'!$N$11),"x","")</f>
        <v/>
      </c>
      <c r="R779" s="525" t="str">
        <f>IF(ISERROR(FIND('112'!$M$9,G779,1)),"",IF((AND(FIND('112'!$M$9,G779,1)&gt;=1,$B779&gt;='112'!$N$8,$B779&lt;='112'!$O$8,OR($L779='112'!$I$6,$M779='112'!$I$6))),"x",""))</f>
        <v/>
      </c>
      <c r="S779" s="525" t="str">
        <f>IF(ISERROR(FIND('112'!$M$9,G779,1)),"",IF((AND(LEFT(G779,2)=LEFT('112'!$M$9,2),B779&lt;'112'!$N$8,$L779='112'!$I$6)),"x",""))</f>
        <v/>
      </c>
      <c r="T779" s="525" t="str">
        <f>IF(ISERROR(FIND('112'!$M$9,G779,1)),"",IF((AND(RIGHT(G779,2)=RIGHT('112'!$M$9,2),B779&lt;'112'!$N$8,$M779='112'!$I$6)),"x",""))</f>
        <v>x</v>
      </c>
      <c r="U779" s="525" t="str">
        <f>IF(AND(B779&gt;='IN-NX'!$P$3,B779&lt;='IN-NX'!$Q$3,'IN-NX'!$D$7=D779,OR(LEFT(L779,2)="15",AND(LEFT(M779,2)&lt;&gt;"15",LEFT(M779,2)&lt;&gt;"33"))),"x","")</f>
        <v/>
      </c>
      <c r="V779" s="525" t="str">
        <f>IF(AND(OR(LEFT(TH!L779,2)="15",LEFT(TH!M779,2)="15"),'152-CT'!$J$8=TH!F779),"x","")</f>
        <v/>
      </c>
      <c r="W779" s="525" t="str">
        <f>IF(AND(OR(LEFT(TH!L779,2)="15",LEFT(TH!M779,2)="15"),TK!$E$7=TH!F779),"x","")</f>
        <v/>
      </c>
      <c r="X779" s="525" t="str">
        <f>IF(AND('341-CT'!$E$9=H779,OR(LEFT(L779,3)=$X$7,LEFT(M779,3)=$X$7)),"x","")</f>
        <v/>
      </c>
      <c r="Y779" s="525" t="str">
        <f>IF(OR(TH!L779=TH!$Y$7,M779=TH!$Y$7),"x","")</f>
        <v/>
      </c>
      <c r="Z779" s="525" t="str">
        <f>IF(AND(B779&lt;=NKC!$N$8,B779&gt;=NKC!$M$8),"x","")</f>
        <v/>
      </c>
      <c r="AA779" s="535"/>
    </row>
    <row r="780" spans="1:28" s="503" customFormat="1" ht="15.75" customHeight="1">
      <c r="A780" s="517" t="str">
        <f>IF(B780&lt;&gt;"",IF(AND(B780&gt;=_TM1,B780&lt;=_TM2,OR(TH!L780="1111",TH!M780="1111")),TH!D780,""),"")</f>
        <v/>
      </c>
      <c r="B780" s="531">
        <f t="shared" si="79"/>
        <v>9</v>
      </c>
      <c r="C780" s="315">
        <f t="shared" si="80"/>
        <v>42998</v>
      </c>
      <c r="D780" s="315" t="s">
        <v>461</v>
      </c>
      <c r="E780" s="288">
        <v>42998</v>
      </c>
      <c r="F780" s="249" t="s">
        <v>829</v>
      </c>
      <c r="G780" s="314" t="s">
        <v>440</v>
      </c>
      <c r="H780" s="621" t="s">
        <v>1500</v>
      </c>
      <c r="I780" s="307"/>
      <c r="J780" s="307"/>
      <c r="K780" s="532">
        <v>7710000</v>
      </c>
      <c r="L780" s="534" t="s">
        <v>441</v>
      </c>
      <c r="M780" s="533" t="s">
        <v>24</v>
      </c>
      <c r="N780" s="525" t="str">
        <f>IF(AND('331-CT'!$E$7=TH!H780,OR(L780="331",M780="331")),"331",IF(AND(OR(L780="131",M780="131"),H780='131-CT'!$E$7),"131",""))</f>
        <v/>
      </c>
      <c r="O780" s="525" t="str">
        <f>IF(AND($B780&gt;='111'!$N$11,$B780&lt;='111'!$O$11,OR($L780=$O$7,$M780=$O$7)),"x","")</f>
        <v/>
      </c>
      <c r="P780" s="525" t="str">
        <f>IF(AND($L780=$O$7,$B780&lt;'111'!$N$11),"x","")</f>
        <v/>
      </c>
      <c r="Q780" s="525" t="str">
        <f>IF(AND($M780=$O$7,$B780&lt;'111'!$N$11),"x","")</f>
        <v/>
      </c>
      <c r="R780" s="525" t="str">
        <f>IF(ISERROR(FIND('112'!$M$9,G780,1)),"",IF((AND(FIND('112'!$M$9,G780,1)&gt;=1,$B780&gt;='112'!$N$8,$B780&lt;='112'!$O$8,OR($L780='112'!$I$6,$M780='112'!$I$6))),"x",""))</f>
        <v/>
      </c>
      <c r="S780" s="525" t="str">
        <f>IF(ISERROR(FIND('112'!$M$9,G780,1)),"",IF((AND(LEFT(G780,2)=LEFT('112'!$M$9,2),B780&lt;'112'!$N$8,$L780='112'!$I$6)),"x",""))</f>
        <v/>
      </c>
      <c r="T780" s="525" t="str">
        <f>IF(ISERROR(FIND('112'!$M$9,G780,1)),"",IF((AND(RIGHT(G780,2)=RIGHT('112'!$M$9,2),B780&lt;'112'!$N$8,$M780='112'!$I$6)),"x",""))</f>
        <v>x</v>
      </c>
      <c r="U780" s="525" t="str">
        <f>IF(AND(B780&gt;='IN-NX'!$P$3,B780&lt;='IN-NX'!$Q$3,'IN-NX'!$D$7=D780,OR(LEFT(L780,2)="15",AND(LEFT(M780,2)&lt;&gt;"15",LEFT(M780,2)&lt;&gt;"33"))),"x","")</f>
        <v/>
      </c>
      <c r="V780" s="525" t="str">
        <f>IF(AND(OR(LEFT(TH!L780,2)="15",LEFT(TH!M780,2)="15"),'152-CT'!$J$8=TH!F780),"x","")</f>
        <v/>
      </c>
      <c r="W780" s="525" t="str">
        <f>IF(AND(OR(LEFT(TH!L780,2)="15",LEFT(TH!M780,2)="15"),TK!$E$7=TH!F780),"x","")</f>
        <v/>
      </c>
      <c r="X780" s="525" t="str">
        <f>IF(AND('341-CT'!$E$9=H780,OR(LEFT(L780,3)=$X$7,LEFT(M780,3)=$X$7)),"x","")</f>
        <v/>
      </c>
      <c r="Y780" s="525" t="str">
        <f>IF(OR(TH!L780=TH!$Y$7,M780=TH!$Y$7),"x","")</f>
        <v/>
      </c>
      <c r="Z780" s="525" t="str">
        <f>IF(AND(B780&lt;=NKC!$N$8,B780&gt;=NKC!$M$8),"x","")</f>
        <v/>
      </c>
      <c r="AA780" s="535"/>
      <c r="AB780" s="536"/>
    </row>
    <row r="781" spans="1:28" s="503" customFormat="1" ht="15.75" customHeight="1">
      <c r="A781" s="517" t="str">
        <f>IF(B781&lt;&gt;"",IF(AND(B781&gt;=_TM1,B781&lt;=_TM2,OR(TH!L781="1111",TH!M781="1111")),TH!D781,""),"")</f>
        <v/>
      </c>
      <c r="B781" s="531">
        <f t="shared" si="79"/>
        <v>9</v>
      </c>
      <c r="C781" s="315">
        <f t="shared" si="80"/>
        <v>42998</v>
      </c>
      <c r="D781" s="315" t="s">
        <v>461</v>
      </c>
      <c r="E781" s="288">
        <v>42998</v>
      </c>
      <c r="F781" s="249" t="s">
        <v>828</v>
      </c>
      <c r="G781" s="314" t="s">
        <v>440</v>
      </c>
      <c r="H781" s="621" t="s">
        <v>1266</v>
      </c>
      <c r="I781" s="307"/>
      <c r="J781" s="307"/>
      <c r="K781" s="532">
        <v>1044361</v>
      </c>
      <c r="L781" s="533" t="s">
        <v>79</v>
      </c>
      <c r="M781" s="533" t="s">
        <v>24</v>
      </c>
      <c r="N781" s="525" t="str">
        <f>IF(AND('331-CT'!$E$7=TH!H781,OR(L781="331",M781="331")),"331",IF(AND(OR(L781="131",M781="131"),H781='131-CT'!$E$7),"131",""))</f>
        <v/>
      </c>
      <c r="O781" s="525" t="str">
        <f>IF(AND($B781&gt;='111'!$N$11,$B781&lt;='111'!$O$11,OR($L781=$O$7,$M781=$O$7)),"x","")</f>
        <v/>
      </c>
      <c r="P781" s="525" t="str">
        <f>IF(AND($L781=$O$7,$B781&lt;'111'!$N$11),"x","")</f>
        <v/>
      </c>
      <c r="Q781" s="525" t="str">
        <f>IF(AND($M781=$O$7,$B781&lt;'111'!$N$11),"x","")</f>
        <v/>
      </c>
      <c r="R781" s="525" t="str">
        <f>IF(ISERROR(FIND('112'!$M$9,G781,1)),"",IF((AND(FIND('112'!$M$9,G781,1)&gt;=1,$B781&gt;='112'!$N$8,$B781&lt;='112'!$O$8,OR($L781='112'!$I$6,$M781='112'!$I$6))),"x",""))</f>
        <v/>
      </c>
      <c r="S781" s="525" t="str">
        <f>IF(ISERROR(FIND('112'!$M$9,G781,1)),"",IF((AND(LEFT(G781,2)=LEFT('112'!$M$9,2),B781&lt;'112'!$N$8,$L781='112'!$I$6)),"x",""))</f>
        <v/>
      </c>
      <c r="T781" s="525" t="str">
        <f>IF(ISERROR(FIND('112'!$M$9,G781,1)),"",IF((AND(RIGHT(G781,2)=RIGHT('112'!$M$9,2),B781&lt;'112'!$N$8,$M781='112'!$I$6)),"x",""))</f>
        <v>x</v>
      </c>
      <c r="U781" s="525" t="str">
        <f>IF(AND(B781&gt;='IN-NX'!$P$3,B781&lt;='IN-NX'!$Q$3,'IN-NX'!$D$7=D781,OR(LEFT(L781,2)="15",AND(LEFT(M781,2)&lt;&gt;"15",LEFT(M781,2)&lt;&gt;"33"))),"x","")</f>
        <v/>
      </c>
      <c r="V781" s="525" t="str">
        <f>IF(AND(OR(LEFT(TH!L781,2)="15",LEFT(TH!M781,2)="15"),'152-CT'!$J$8=TH!F781),"x","")</f>
        <v/>
      </c>
      <c r="W781" s="525" t="str">
        <f>IF(AND(OR(LEFT(TH!L781,2)="15",LEFT(TH!M781,2)="15"),TK!$E$7=TH!F781),"x","")</f>
        <v/>
      </c>
      <c r="X781" s="525" t="str">
        <f>IF(AND('341-CT'!$E$9=H781,OR(LEFT(L781,3)=$X$7,LEFT(M781,3)=$X$7)),"x","")</f>
        <v/>
      </c>
      <c r="Y781" s="525" t="str">
        <f>IF(OR(TH!L781=TH!$Y$7,M781=TH!$Y$7),"x","")</f>
        <v/>
      </c>
      <c r="Z781" s="525" t="str">
        <f>IF(AND(B781&lt;=NKC!$N$8,B781&gt;=NKC!$M$8),"x","")</f>
        <v/>
      </c>
      <c r="AA781" s="535"/>
    </row>
    <row r="782" spans="1:28" s="503" customFormat="1" ht="15.75" customHeight="1">
      <c r="A782" s="517" t="str">
        <f>IF(B782&lt;&gt;"",IF(AND(B782&gt;=_TM1,B782&lt;=_TM2,OR(TH!L782="1111",TH!M782="1111")),TH!D782,""),"")</f>
        <v/>
      </c>
      <c r="B782" s="531">
        <f t="shared" si="79"/>
        <v>9</v>
      </c>
      <c r="C782" s="315">
        <f t="shared" si="80"/>
        <v>42998</v>
      </c>
      <c r="D782" s="315" t="s">
        <v>461</v>
      </c>
      <c r="E782" s="288">
        <v>42998</v>
      </c>
      <c r="F782" s="249" t="s">
        <v>829</v>
      </c>
      <c r="G782" s="314" t="s">
        <v>440</v>
      </c>
      <c r="H782" s="621" t="s">
        <v>1266</v>
      </c>
      <c r="I782" s="307"/>
      <c r="J782" s="307"/>
      <c r="K782" s="532">
        <v>7000000</v>
      </c>
      <c r="L782" s="534" t="s">
        <v>441</v>
      </c>
      <c r="M782" s="533" t="s">
        <v>24</v>
      </c>
      <c r="N782" s="525" t="str">
        <f>IF(AND('331-CT'!$E$7=TH!H782,OR(L782="331",M782="331")),"331",IF(AND(OR(L782="131",M782="131"),H782='131-CT'!$E$7),"131",""))</f>
        <v/>
      </c>
      <c r="O782" s="525" t="str">
        <f>IF(AND($B782&gt;='111'!$N$11,$B782&lt;='111'!$O$11,OR($L782=$O$7,$M782=$O$7)),"x","")</f>
        <v/>
      </c>
      <c r="P782" s="525" t="str">
        <f>IF(AND($L782=$O$7,$B782&lt;'111'!$N$11),"x","")</f>
        <v/>
      </c>
      <c r="Q782" s="525" t="str">
        <f>IF(AND($M782=$O$7,$B782&lt;'111'!$N$11),"x","")</f>
        <v/>
      </c>
      <c r="R782" s="525" t="str">
        <f>IF(ISERROR(FIND('112'!$M$9,G782,1)),"",IF((AND(FIND('112'!$M$9,G782,1)&gt;=1,$B782&gt;='112'!$N$8,$B782&lt;='112'!$O$8,OR($L782='112'!$I$6,$M782='112'!$I$6))),"x",""))</f>
        <v/>
      </c>
      <c r="S782" s="525" t="str">
        <f>IF(ISERROR(FIND('112'!$M$9,G782,1)),"",IF((AND(LEFT(G782,2)=LEFT('112'!$M$9,2),B782&lt;'112'!$N$8,$L782='112'!$I$6)),"x",""))</f>
        <v/>
      </c>
      <c r="T782" s="525" t="str">
        <f>IF(ISERROR(FIND('112'!$M$9,G782,1)),"",IF((AND(RIGHT(G782,2)=RIGHT('112'!$M$9,2),B782&lt;'112'!$N$8,$M782='112'!$I$6)),"x",""))</f>
        <v>x</v>
      </c>
      <c r="U782" s="525" t="str">
        <f>IF(AND(B782&gt;='IN-NX'!$P$3,B782&lt;='IN-NX'!$Q$3,'IN-NX'!$D$7=D782,OR(LEFT(L782,2)="15",AND(LEFT(M782,2)&lt;&gt;"15",LEFT(M782,2)&lt;&gt;"33"))),"x","")</f>
        <v/>
      </c>
      <c r="V782" s="525" t="str">
        <f>IF(AND(OR(LEFT(TH!L782,2)="15",LEFT(TH!M782,2)="15"),'152-CT'!$J$8=TH!F782),"x","")</f>
        <v/>
      </c>
      <c r="W782" s="525" t="str">
        <f>IF(AND(OR(LEFT(TH!L782,2)="15",LEFT(TH!M782,2)="15"),TK!$E$7=TH!F782),"x","")</f>
        <v/>
      </c>
      <c r="X782" s="525" t="str">
        <f>IF(AND('341-CT'!$E$9=H782,OR(LEFT(L782,3)=$X$7,LEFT(M782,3)=$X$7)),"x","")</f>
        <v/>
      </c>
      <c r="Y782" s="525" t="str">
        <f>IF(OR(TH!L782=TH!$Y$7,M782=TH!$Y$7),"x","")</f>
        <v/>
      </c>
      <c r="Z782" s="525" t="str">
        <f>IF(AND(B782&lt;=NKC!$N$8,B782&gt;=NKC!$M$8),"x","")</f>
        <v/>
      </c>
      <c r="AA782" s="535"/>
      <c r="AB782" s="536"/>
    </row>
    <row r="783" spans="1:28" s="503" customFormat="1" ht="15.75" customHeight="1">
      <c r="A783" s="517" t="str">
        <f>IF(B783&lt;&gt;"",IF(AND(B783&gt;=_TM1,B783&lt;=_TM2,OR(TH!L783="1111",TH!M783="1111")),TH!D783,""),"")</f>
        <v/>
      </c>
      <c r="B783" s="531">
        <f t="shared" si="79"/>
        <v>9</v>
      </c>
      <c r="C783" s="315">
        <f t="shared" si="80"/>
        <v>42998</v>
      </c>
      <c r="D783" s="315" t="s">
        <v>461</v>
      </c>
      <c r="E783" s="288">
        <v>42998</v>
      </c>
      <c r="F783" s="249" t="s">
        <v>828</v>
      </c>
      <c r="G783" s="314" t="s">
        <v>440</v>
      </c>
      <c r="H783" s="621" t="s">
        <v>1283</v>
      </c>
      <c r="I783" s="307"/>
      <c r="J783" s="307"/>
      <c r="K783" s="532">
        <v>872950</v>
      </c>
      <c r="L783" s="533" t="s">
        <v>79</v>
      </c>
      <c r="M783" s="533" t="s">
        <v>24</v>
      </c>
      <c r="N783" s="525" t="str">
        <f>IF(AND('331-CT'!$E$7=TH!H783,OR(L783="331",M783="331")),"331",IF(AND(OR(L783="131",M783="131"),H783='131-CT'!$E$7),"131",""))</f>
        <v/>
      </c>
      <c r="O783" s="525" t="str">
        <f>IF(AND($B783&gt;='111'!$N$11,$B783&lt;='111'!$O$11,OR($L783=$O$7,$M783=$O$7)),"x","")</f>
        <v/>
      </c>
      <c r="P783" s="525" t="str">
        <f>IF(AND($L783=$O$7,$B783&lt;'111'!$N$11),"x","")</f>
        <v/>
      </c>
      <c r="Q783" s="525" t="str">
        <f>IF(AND($M783=$O$7,$B783&lt;'111'!$N$11),"x","")</f>
        <v/>
      </c>
      <c r="R783" s="525" t="str">
        <f>IF(ISERROR(FIND('112'!$M$9,G783,1)),"",IF((AND(FIND('112'!$M$9,G783,1)&gt;=1,$B783&gt;='112'!$N$8,$B783&lt;='112'!$O$8,OR($L783='112'!$I$6,$M783='112'!$I$6))),"x",""))</f>
        <v/>
      </c>
      <c r="S783" s="525" t="str">
        <f>IF(ISERROR(FIND('112'!$M$9,G783,1)),"",IF((AND(LEFT(G783,2)=LEFT('112'!$M$9,2),B783&lt;'112'!$N$8,$L783='112'!$I$6)),"x",""))</f>
        <v/>
      </c>
      <c r="T783" s="525" t="str">
        <f>IF(ISERROR(FIND('112'!$M$9,G783,1)),"",IF((AND(RIGHT(G783,2)=RIGHT('112'!$M$9,2),B783&lt;'112'!$N$8,$M783='112'!$I$6)),"x",""))</f>
        <v>x</v>
      </c>
      <c r="U783" s="525" t="str">
        <f>IF(AND(B783&gt;='IN-NX'!$P$3,B783&lt;='IN-NX'!$Q$3,'IN-NX'!$D$7=D783,OR(LEFT(L783,2)="15",AND(LEFT(M783,2)&lt;&gt;"15",LEFT(M783,2)&lt;&gt;"33"))),"x","")</f>
        <v/>
      </c>
      <c r="V783" s="525" t="str">
        <f>IF(AND(OR(LEFT(TH!L783,2)="15",LEFT(TH!M783,2)="15"),'152-CT'!$J$8=TH!F783),"x","")</f>
        <v/>
      </c>
      <c r="W783" s="525" t="str">
        <f>IF(AND(OR(LEFT(TH!L783,2)="15",LEFT(TH!M783,2)="15"),TK!$E$7=TH!F783),"x","")</f>
        <v/>
      </c>
      <c r="X783" s="525" t="str">
        <f>IF(AND('341-CT'!$E$9=H783,OR(LEFT(L783,3)=$X$7,LEFT(M783,3)=$X$7)),"x","")</f>
        <v/>
      </c>
      <c r="Y783" s="525" t="str">
        <f>IF(OR(TH!L783=TH!$Y$7,M783=TH!$Y$7),"x","")</f>
        <v/>
      </c>
      <c r="Z783" s="525" t="str">
        <f>IF(AND(B783&lt;=NKC!$N$8,B783&gt;=NKC!$M$8),"x","")</f>
        <v/>
      </c>
      <c r="AA783" s="535"/>
    </row>
    <row r="784" spans="1:28" s="503" customFormat="1" ht="15.75" customHeight="1">
      <c r="A784" s="517" t="str">
        <f>IF(B784&lt;&gt;"",IF(AND(B784&gt;=_TM1,B784&lt;=_TM2,OR(TH!L784="1111",TH!M784="1111")),TH!D784,""),"")</f>
        <v/>
      </c>
      <c r="B784" s="531">
        <f t="shared" si="79"/>
        <v>9</v>
      </c>
      <c r="C784" s="315">
        <f t="shared" si="80"/>
        <v>42998</v>
      </c>
      <c r="D784" s="315" t="s">
        <v>461</v>
      </c>
      <c r="E784" s="288">
        <v>42998</v>
      </c>
      <c r="F784" s="249" t="s">
        <v>829</v>
      </c>
      <c r="G784" s="314" t="s">
        <v>440</v>
      </c>
      <c r="H784" s="621" t="s">
        <v>1283</v>
      </c>
      <c r="I784" s="307"/>
      <c r="J784" s="307"/>
      <c r="K784" s="532">
        <v>6500000</v>
      </c>
      <c r="L784" s="534" t="s">
        <v>441</v>
      </c>
      <c r="M784" s="533" t="s">
        <v>24</v>
      </c>
      <c r="N784" s="525" t="str">
        <f>IF(AND('331-CT'!$E$7=TH!H784,OR(L784="331",M784="331")),"331",IF(AND(OR(L784="131",M784="131"),H784='131-CT'!$E$7),"131",""))</f>
        <v/>
      </c>
      <c r="O784" s="525" t="str">
        <f>IF(AND($B784&gt;='111'!$N$11,$B784&lt;='111'!$O$11,OR($L784=$O$7,$M784=$O$7)),"x","")</f>
        <v/>
      </c>
      <c r="P784" s="525" t="str">
        <f>IF(AND($L784=$O$7,$B784&lt;'111'!$N$11),"x","")</f>
        <v/>
      </c>
      <c r="Q784" s="525" t="str">
        <f>IF(AND($M784=$O$7,$B784&lt;'111'!$N$11),"x","")</f>
        <v/>
      </c>
      <c r="R784" s="525" t="str">
        <f>IF(ISERROR(FIND('112'!$M$9,G784,1)),"",IF((AND(FIND('112'!$M$9,G784,1)&gt;=1,$B784&gt;='112'!$N$8,$B784&lt;='112'!$O$8,OR($L784='112'!$I$6,$M784='112'!$I$6))),"x",""))</f>
        <v/>
      </c>
      <c r="S784" s="525" t="str">
        <f>IF(ISERROR(FIND('112'!$M$9,G784,1)),"",IF((AND(LEFT(G784,2)=LEFT('112'!$M$9,2),B784&lt;'112'!$N$8,$L784='112'!$I$6)),"x",""))</f>
        <v/>
      </c>
      <c r="T784" s="525" t="str">
        <f>IF(ISERROR(FIND('112'!$M$9,G784,1)),"",IF((AND(RIGHT(G784,2)=RIGHT('112'!$M$9,2),B784&lt;'112'!$N$8,$M784='112'!$I$6)),"x",""))</f>
        <v>x</v>
      </c>
      <c r="U784" s="525" t="str">
        <f>IF(AND(B784&gt;='IN-NX'!$P$3,B784&lt;='IN-NX'!$Q$3,'IN-NX'!$D$7=D784,OR(LEFT(L784,2)="15",AND(LEFT(M784,2)&lt;&gt;"15",LEFT(M784,2)&lt;&gt;"33"))),"x","")</f>
        <v/>
      </c>
      <c r="V784" s="525" t="str">
        <f>IF(AND(OR(LEFT(TH!L784,2)="15",LEFT(TH!M784,2)="15"),'152-CT'!$J$8=TH!F784),"x","")</f>
        <v/>
      </c>
      <c r="W784" s="525" t="str">
        <f>IF(AND(OR(LEFT(TH!L784,2)="15",LEFT(TH!M784,2)="15"),TK!$E$7=TH!F784),"x","")</f>
        <v/>
      </c>
      <c r="X784" s="525" t="str">
        <f>IF(AND('341-CT'!$E$9=H784,OR(LEFT(L784,3)=$X$7,LEFT(M784,3)=$X$7)),"x","")</f>
        <v/>
      </c>
      <c r="Y784" s="525" t="str">
        <f>IF(OR(TH!L784=TH!$Y$7,M784=TH!$Y$7),"x","")</f>
        <v/>
      </c>
      <c r="Z784" s="525" t="str">
        <f>IF(AND(B784&lt;=NKC!$N$8,B784&gt;=NKC!$M$8),"x","")</f>
        <v/>
      </c>
      <c r="AA784" s="535"/>
    </row>
    <row r="785" spans="1:28" s="503" customFormat="1" ht="15.75" customHeight="1">
      <c r="A785" s="517" t="str">
        <f>IF(B785&lt;&gt;"",IF(AND(B785&gt;=_TM1,B785&lt;=_TM2,OR(TH!L785="1111",TH!M785="1111")),TH!D785,""),"")</f>
        <v/>
      </c>
      <c r="B785" s="531">
        <f t="shared" si="79"/>
        <v>9</v>
      </c>
      <c r="C785" s="315">
        <f t="shared" si="80"/>
        <v>42998</v>
      </c>
      <c r="D785" s="315" t="s">
        <v>461</v>
      </c>
      <c r="E785" s="288">
        <v>42998</v>
      </c>
      <c r="F785" s="249" t="s">
        <v>828</v>
      </c>
      <c r="G785" s="314" t="s">
        <v>440</v>
      </c>
      <c r="H785" s="621" t="s">
        <v>830</v>
      </c>
      <c r="I785" s="307"/>
      <c r="J785" s="307"/>
      <c r="K785" s="532">
        <v>1616358</v>
      </c>
      <c r="L785" s="533" t="s">
        <v>79</v>
      </c>
      <c r="M785" s="533" t="s">
        <v>24</v>
      </c>
      <c r="N785" s="525" t="str">
        <f>IF(AND('331-CT'!$E$7=TH!H785,OR(L785="331",M785="331")),"331",IF(AND(OR(L785="131",M785="131"),H785='131-CT'!$E$7),"131",""))</f>
        <v/>
      </c>
      <c r="O785" s="525" t="str">
        <f>IF(AND($B785&gt;='111'!$N$11,$B785&lt;='111'!$O$11,OR($L785=$O$7,$M785=$O$7)),"x","")</f>
        <v/>
      </c>
      <c r="P785" s="525" t="str">
        <f>IF(AND($L785=$O$7,$B785&lt;'111'!$N$11),"x","")</f>
        <v/>
      </c>
      <c r="Q785" s="525" t="str">
        <f>IF(AND($M785=$O$7,$B785&lt;'111'!$N$11),"x","")</f>
        <v/>
      </c>
      <c r="R785" s="525" t="str">
        <f>IF(ISERROR(FIND('112'!$M$9,G785,1)),"",IF((AND(FIND('112'!$M$9,G785,1)&gt;=1,$B785&gt;='112'!$N$8,$B785&lt;='112'!$O$8,OR($L785='112'!$I$6,$M785='112'!$I$6))),"x",""))</f>
        <v/>
      </c>
      <c r="S785" s="525" t="str">
        <f>IF(ISERROR(FIND('112'!$M$9,G785,1)),"",IF((AND(LEFT(G785,2)=LEFT('112'!$M$9,2),B785&lt;'112'!$N$8,$L785='112'!$I$6)),"x",""))</f>
        <v/>
      </c>
      <c r="T785" s="525" t="str">
        <f>IF(ISERROR(FIND('112'!$M$9,G785,1)),"",IF((AND(RIGHT(G785,2)=RIGHT('112'!$M$9,2),B785&lt;'112'!$N$8,$M785='112'!$I$6)),"x",""))</f>
        <v>x</v>
      </c>
      <c r="U785" s="525" t="str">
        <f>IF(AND(B785&gt;='IN-NX'!$P$3,B785&lt;='IN-NX'!$Q$3,'IN-NX'!$D$7=D785,OR(LEFT(L785,2)="15",AND(LEFT(M785,2)&lt;&gt;"15",LEFT(M785,2)&lt;&gt;"33"))),"x","")</f>
        <v/>
      </c>
      <c r="V785" s="525" t="str">
        <f>IF(AND(OR(LEFT(TH!L785,2)="15",LEFT(TH!M785,2)="15"),'152-CT'!$J$8=TH!F785),"x","")</f>
        <v/>
      </c>
      <c r="W785" s="525" t="str">
        <f>IF(AND(OR(LEFT(TH!L785,2)="15",LEFT(TH!M785,2)="15"),TK!$E$7=TH!F785),"x","")</f>
        <v/>
      </c>
      <c r="X785" s="525" t="str">
        <f>IF(AND('341-CT'!$E$9=H785,OR(LEFT(L785,3)=$X$7,LEFT(M785,3)=$X$7)),"x","")</f>
        <v/>
      </c>
      <c r="Y785" s="525" t="str">
        <f>IF(OR(TH!L785=TH!$Y$7,M785=TH!$Y$7),"x","")</f>
        <v/>
      </c>
      <c r="Z785" s="525" t="str">
        <f>IF(AND(B785&lt;=NKC!$N$8,B785&gt;=NKC!$M$8),"x","")</f>
        <v/>
      </c>
      <c r="AA785" s="535"/>
      <c r="AB785" s="536"/>
    </row>
    <row r="786" spans="1:28" s="503" customFormat="1" ht="15.75" customHeight="1">
      <c r="A786" s="517" t="str">
        <f>IF(B786&lt;&gt;"",IF(AND(B786&gt;=_TM1,B786&lt;=_TM2,OR(TH!L786="1111",TH!M786="1111")),TH!D786,""),"")</f>
        <v/>
      </c>
      <c r="B786" s="531">
        <f t="shared" si="79"/>
        <v>9</v>
      </c>
      <c r="C786" s="315">
        <f t="shared" si="80"/>
        <v>42998</v>
      </c>
      <c r="D786" s="315" t="s">
        <v>461</v>
      </c>
      <c r="E786" s="288">
        <v>42998</v>
      </c>
      <c r="F786" s="249" t="s">
        <v>829</v>
      </c>
      <c r="G786" s="314" t="s">
        <v>440</v>
      </c>
      <c r="H786" s="621" t="s">
        <v>830</v>
      </c>
      <c r="I786" s="307"/>
      <c r="J786" s="307"/>
      <c r="K786" s="532">
        <v>9420000</v>
      </c>
      <c r="L786" s="534" t="s">
        <v>441</v>
      </c>
      <c r="M786" s="533" t="s">
        <v>24</v>
      </c>
      <c r="N786" s="525" t="str">
        <f>IF(AND('331-CT'!$E$7=TH!H786,OR(L786="331",M786="331")),"331",IF(AND(OR(L786="131",M786="131"),H786='131-CT'!$E$7),"131",""))</f>
        <v/>
      </c>
      <c r="O786" s="525" t="str">
        <f>IF(AND($B786&gt;='111'!$N$11,$B786&lt;='111'!$O$11,OR($L786=$O$7,$M786=$O$7)),"x","")</f>
        <v/>
      </c>
      <c r="P786" s="525" t="str">
        <f>IF(AND($L786=$O$7,$B786&lt;'111'!$N$11),"x","")</f>
        <v/>
      </c>
      <c r="Q786" s="525" t="str">
        <f>IF(AND($M786=$O$7,$B786&lt;'111'!$N$11),"x","")</f>
        <v/>
      </c>
      <c r="R786" s="525" t="str">
        <f>IF(ISERROR(FIND('112'!$M$9,G786,1)),"",IF((AND(FIND('112'!$M$9,G786,1)&gt;=1,$B786&gt;='112'!$N$8,$B786&lt;='112'!$O$8,OR($L786='112'!$I$6,$M786='112'!$I$6))),"x",""))</f>
        <v/>
      </c>
      <c r="S786" s="525" t="str">
        <f>IF(ISERROR(FIND('112'!$M$9,G786,1)),"",IF((AND(LEFT(G786,2)=LEFT('112'!$M$9,2),B786&lt;'112'!$N$8,$L786='112'!$I$6)),"x",""))</f>
        <v/>
      </c>
      <c r="T786" s="525" t="str">
        <f>IF(ISERROR(FIND('112'!$M$9,G786,1)),"",IF((AND(RIGHT(G786,2)=RIGHT('112'!$M$9,2),B786&lt;'112'!$N$8,$M786='112'!$I$6)),"x",""))</f>
        <v>x</v>
      </c>
      <c r="U786" s="525" t="str">
        <f>IF(AND(B786&gt;='IN-NX'!$P$3,B786&lt;='IN-NX'!$Q$3,'IN-NX'!$D$7=D786,OR(LEFT(L786,2)="15",AND(LEFT(M786,2)&lt;&gt;"15",LEFT(M786,2)&lt;&gt;"33"))),"x","")</f>
        <v/>
      </c>
      <c r="V786" s="525" t="str">
        <f>IF(AND(OR(LEFT(TH!L786,2)="15",LEFT(TH!M786,2)="15"),'152-CT'!$J$8=TH!F786),"x","")</f>
        <v/>
      </c>
      <c r="W786" s="525" t="str">
        <f>IF(AND(OR(LEFT(TH!L786,2)="15",LEFT(TH!M786,2)="15"),TK!$E$7=TH!F786),"x","")</f>
        <v/>
      </c>
      <c r="X786" s="525" t="str">
        <f>IF(AND('341-CT'!$E$9=H786,OR(LEFT(L786,3)=$X$7,LEFT(M786,3)=$X$7)),"x","")</f>
        <v/>
      </c>
      <c r="Y786" s="525" t="str">
        <f>IF(OR(TH!L786=TH!$Y$7,M786=TH!$Y$7),"x","")</f>
        <v/>
      </c>
      <c r="Z786" s="525" t="str">
        <f>IF(AND(B786&lt;=NKC!$N$8,B786&gt;=NKC!$M$8),"x","")</f>
        <v/>
      </c>
      <c r="AA786" s="535"/>
    </row>
    <row r="787" spans="1:28" s="503" customFormat="1" ht="15.75" customHeight="1">
      <c r="A787" s="517" t="str">
        <f>IF(B787&lt;&gt;"",IF(AND(B787&gt;=_TM1,B787&lt;=_TM2,OR(TH!L787="1111",TH!M787="1111")),TH!D787,""),"")</f>
        <v/>
      </c>
      <c r="B787" s="531">
        <f t="shared" ref="B787:B796" si="89">IF(C787&lt;&gt;"",MONTH(C787),"")</f>
        <v>9</v>
      </c>
      <c r="C787" s="315">
        <f t="shared" ref="C787:C796" si="90">E787</f>
        <v>42998</v>
      </c>
      <c r="D787" s="315" t="s">
        <v>461</v>
      </c>
      <c r="E787" s="288">
        <v>42998</v>
      </c>
      <c r="F787" s="249" t="s">
        <v>828</v>
      </c>
      <c r="G787" s="314" t="s">
        <v>440</v>
      </c>
      <c r="H787" s="621" t="s">
        <v>1274</v>
      </c>
      <c r="I787" s="307"/>
      <c r="J787" s="307"/>
      <c r="K787" s="532">
        <v>1139633</v>
      </c>
      <c r="L787" s="533" t="s">
        <v>79</v>
      </c>
      <c r="M787" s="533" t="s">
        <v>24</v>
      </c>
      <c r="N787" s="525" t="str">
        <f>IF(AND('331-CT'!$E$7=TH!H787,OR(L787="331",M787="331")),"331",IF(AND(OR(L787="131",M787="131"),H787='131-CT'!$E$7),"131",""))</f>
        <v/>
      </c>
      <c r="O787" s="525" t="str">
        <f>IF(AND($B787&gt;='111'!$N$11,$B787&lt;='111'!$O$11,OR($L787=$O$7,$M787=$O$7)),"x","")</f>
        <v/>
      </c>
      <c r="P787" s="525" t="str">
        <f>IF(AND($L787=$O$7,$B787&lt;'111'!$N$11),"x","")</f>
        <v/>
      </c>
      <c r="Q787" s="525" t="str">
        <f>IF(AND($M787=$O$7,$B787&lt;'111'!$N$11),"x","")</f>
        <v/>
      </c>
      <c r="R787" s="525" t="str">
        <f>IF(ISERROR(FIND('112'!$M$9,G787,1)),"",IF((AND(FIND('112'!$M$9,G787,1)&gt;=1,$B787&gt;='112'!$N$8,$B787&lt;='112'!$O$8,OR($L787='112'!$I$6,$M787='112'!$I$6))),"x",""))</f>
        <v/>
      </c>
      <c r="S787" s="525" t="str">
        <f>IF(ISERROR(FIND('112'!$M$9,G787,1)),"",IF((AND(LEFT(G787,2)=LEFT('112'!$M$9,2),B787&lt;'112'!$N$8,$L787='112'!$I$6)),"x",""))</f>
        <v/>
      </c>
      <c r="T787" s="525" t="str">
        <f>IF(ISERROR(FIND('112'!$M$9,G787,1)),"",IF((AND(RIGHT(G787,2)=RIGHT('112'!$M$9,2),B787&lt;'112'!$N$8,$M787='112'!$I$6)),"x",""))</f>
        <v>x</v>
      </c>
      <c r="U787" s="525" t="str">
        <f>IF(AND(B787&gt;='IN-NX'!$P$3,B787&lt;='IN-NX'!$Q$3,'IN-NX'!$D$7=D787,OR(LEFT(L787,2)="15",AND(LEFT(M787,2)&lt;&gt;"15",LEFT(M787,2)&lt;&gt;"33"))),"x","")</f>
        <v/>
      </c>
      <c r="V787" s="525" t="str">
        <f>IF(AND(OR(LEFT(TH!L787,2)="15",LEFT(TH!M787,2)="15"),'152-CT'!$J$8=TH!F787),"x","")</f>
        <v/>
      </c>
      <c r="W787" s="525" t="str">
        <f>IF(AND(OR(LEFT(TH!L787,2)="15",LEFT(TH!M787,2)="15"),TK!$E$7=TH!F787),"x","")</f>
        <v/>
      </c>
      <c r="X787" s="525" t="str">
        <f>IF(AND('341-CT'!$E$9=H787,OR(LEFT(L787,3)=$X$7,LEFT(M787,3)=$X$7)),"x","")</f>
        <v/>
      </c>
      <c r="Y787" s="525" t="str">
        <f>IF(OR(TH!L787=TH!$Y$7,M787=TH!$Y$7),"x","")</f>
        <v/>
      </c>
      <c r="Z787" s="525" t="str">
        <f>IF(AND(B787&lt;=NKC!$N$8,B787&gt;=NKC!$M$8),"x","")</f>
        <v/>
      </c>
      <c r="AA787" s="535"/>
      <c r="AB787" s="536"/>
    </row>
    <row r="788" spans="1:28" s="503" customFormat="1" ht="15.75" customHeight="1">
      <c r="A788" s="517" t="str">
        <f>IF(B788&lt;&gt;"",IF(AND(B788&gt;=_TM1,B788&lt;=_TM2,OR(TH!L788="1111",TH!M788="1111")),TH!D788,""),"")</f>
        <v/>
      </c>
      <c r="B788" s="531">
        <f t="shared" si="89"/>
        <v>9</v>
      </c>
      <c r="C788" s="315">
        <f t="shared" si="90"/>
        <v>42998</v>
      </c>
      <c r="D788" s="315" t="s">
        <v>461</v>
      </c>
      <c r="E788" s="288">
        <v>42998</v>
      </c>
      <c r="F788" s="249" t="s">
        <v>829</v>
      </c>
      <c r="G788" s="314" t="s">
        <v>440</v>
      </c>
      <c r="H788" s="621" t="s">
        <v>1274</v>
      </c>
      <c r="I788" s="307"/>
      <c r="J788" s="307"/>
      <c r="K788" s="532">
        <v>10920000</v>
      </c>
      <c r="L788" s="534" t="s">
        <v>441</v>
      </c>
      <c r="M788" s="533" t="s">
        <v>24</v>
      </c>
      <c r="N788" s="525" t="str">
        <f>IF(AND('331-CT'!$E$7=TH!H788,OR(L788="331",M788="331")),"331",IF(AND(OR(L788="131",M788="131"),H788='131-CT'!$E$7),"131",""))</f>
        <v/>
      </c>
      <c r="O788" s="525" t="str">
        <f>IF(AND($B788&gt;='111'!$N$11,$B788&lt;='111'!$O$11,OR($L788=$O$7,$M788=$O$7)),"x","")</f>
        <v/>
      </c>
      <c r="P788" s="525" t="str">
        <f>IF(AND($L788=$O$7,$B788&lt;'111'!$N$11),"x","")</f>
        <v/>
      </c>
      <c r="Q788" s="525" t="str">
        <f>IF(AND($M788=$O$7,$B788&lt;'111'!$N$11),"x","")</f>
        <v/>
      </c>
      <c r="R788" s="525" t="str">
        <f>IF(ISERROR(FIND('112'!$M$9,G788,1)),"",IF((AND(FIND('112'!$M$9,G788,1)&gt;=1,$B788&gt;='112'!$N$8,$B788&lt;='112'!$O$8,OR($L788='112'!$I$6,$M788='112'!$I$6))),"x",""))</f>
        <v/>
      </c>
      <c r="S788" s="525" t="str">
        <f>IF(ISERROR(FIND('112'!$M$9,G788,1)),"",IF((AND(LEFT(G788,2)=LEFT('112'!$M$9,2),B788&lt;'112'!$N$8,$L788='112'!$I$6)),"x",""))</f>
        <v/>
      </c>
      <c r="T788" s="525" t="str">
        <f>IF(ISERROR(FIND('112'!$M$9,G788,1)),"",IF((AND(RIGHT(G788,2)=RIGHT('112'!$M$9,2),B788&lt;'112'!$N$8,$M788='112'!$I$6)),"x",""))</f>
        <v>x</v>
      </c>
      <c r="U788" s="525" t="str">
        <f>IF(AND(B788&gt;='IN-NX'!$P$3,B788&lt;='IN-NX'!$Q$3,'IN-NX'!$D$7=D788,OR(LEFT(L788,2)="15",AND(LEFT(M788,2)&lt;&gt;"15",LEFT(M788,2)&lt;&gt;"33"))),"x","")</f>
        <v/>
      </c>
      <c r="V788" s="525" t="str">
        <f>IF(AND(OR(LEFT(TH!L788,2)="15",LEFT(TH!M788,2)="15"),'152-CT'!$J$8=TH!F788),"x","")</f>
        <v/>
      </c>
      <c r="W788" s="525" t="str">
        <f>IF(AND(OR(LEFT(TH!L788,2)="15",LEFT(TH!M788,2)="15"),TK!$E$7=TH!F788),"x","")</f>
        <v/>
      </c>
      <c r="X788" s="525" t="str">
        <f>IF(AND('341-CT'!$E$9=H788,OR(LEFT(L788,3)=$X$7,LEFT(M788,3)=$X$7)),"x","")</f>
        <v/>
      </c>
      <c r="Y788" s="525" t="str">
        <f>IF(OR(TH!L788=TH!$Y$7,M788=TH!$Y$7),"x","")</f>
        <v/>
      </c>
      <c r="Z788" s="525" t="str">
        <f>IF(AND(B788&lt;=NKC!$N$8,B788&gt;=NKC!$M$8),"x","")</f>
        <v/>
      </c>
      <c r="AA788" s="535"/>
    </row>
    <row r="789" spans="1:28" s="503" customFormat="1" ht="15.75" customHeight="1">
      <c r="A789" s="517" t="str">
        <f>IF(B789&lt;&gt;"",IF(AND(B789&gt;=_TM1,B789&lt;=_TM2,OR(TH!L789="1111",TH!M789="1111")),TH!D789,""),"")</f>
        <v/>
      </c>
      <c r="B789" s="531">
        <f t="shared" si="89"/>
        <v>9</v>
      </c>
      <c r="C789" s="315">
        <f t="shared" si="90"/>
        <v>42999</v>
      </c>
      <c r="D789" s="315" t="s">
        <v>461</v>
      </c>
      <c r="E789" s="288">
        <v>42999</v>
      </c>
      <c r="F789" s="249" t="s">
        <v>468</v>
      </c>
      <c r="G789" s="314" t="s">
        <v>440</v>
      </c>
      <c r="H789" s="473" t="s">
        <v>1501</v>
      </c>
      <c r="I789" s="307"/>
      <c r="J789" s="307"/>
      <c r="K789" s="532">
        <v>107600000</v>
      </c>
      <c r="L789" s="534" t="s">
        <v>8</v>
      </c>
      <c r="M789" s="533" t="s">
        <v>24</v>
      </c>
      <c r="N789" s="525" t="str">
        <f>IF(AND('331-CT'!$E$7=TH!H789,OR(L789="331",M789="331")),"331",IF(AND(OR(L789="131",M789="131"),H789='131-CT'!$E$7),"131",""))</f>
        <v/>
      </c>
      <c r="O789" s="525" t="str">
        <f>IF(AND($B789&gt;='111'!$N$11,$B789&lt;='111'!$O$11,OR($L789=$O$7,$M789=$O$7)),"x","")</f>
        <v/>
      </c>
      <c r="P789" s="525" t="str">
        <f>IF(AND($L789=$O$7,$B789&lt;'111'!$N$11),"x","")</f>
        <v/>
      </c>
      <c r="Q789" s="525" t="str">
        <f>IF(AND($M789=$O$7,$B789&lt;'111'!$N$11),"x","")</f>
        <v/>
      </c>
      <c r="R789" s="525" t="str">
        <f>IF(ISERROR(FIND('112'!$M$9,G789,1)),"",IF((AND(FIND('112'!$M$9,G789,1)&gt;=1,$B789&gt;='112'!$N$8,$B789&lt;='112'!$O$8,OR($L789='112'!$I$6,$M789='112'!$I$6))),"x",""))</f>
        <v/>
      </c>
      <c r="S789" s="525" t="str">
        <f>IF(ISERROR(FIND('112'!$M$9,G789,1)),"",IF((AND(LEFT(G789,2)=LEFT('112'!$M$9,2),B789&lt;'112'!$N$8,$L789='112'!$I$6)),"x",""))</f>
        <v/>
      </c>
      <c r="T789" s="525" t="str">
        <f>IF(ISERROR(FIND('112'!$M$9,G789,1)),"",IF((AND(RIGHT(G789,2)=RIGHT('112'!$M$9,2),B789&lt;'112'!$N$8,$M789='112'!$I$6)),"x",""))</f>
        <v>x</v>
      </c>
      <c r="U789" s="525" t="str">
        <f>IF(AND(B789&gt;='IN-NX'!$P$3,B789&lt;='IN-NX'!$Q$3,'IN-NX'!$D$7=D789,OR(LEFT(L789,2)="15",AND(LEFT(M789,2)&lt;&gt;"15",LEFT(M789,2)&lt;&gt;"33"))),"x","")</f>
        <v/>
      </c>
      <c r="V789" s="525" t="str">
        <f>IF(AND(OR(LEFT(TH!L789,2)="15",LEFT(TH!M789,2)="15"),'152-CT'!$J$8=TH!F789),"x","")</f>
        <v/>
      </c>
      <c r="W789" s="525" t="str">
        <f>IF(AND(OR(LEFT(TH!L789,2)="15",LEFT(TH!M789,2)="15"),TK!$E$7=TH!F789),"x","")</f>
        <v/>
      </c>
      <c r="X789" s="525" t="str">
        <f>IF(AND('341-CT'!$E$9=H789,OR(LEFT(L789,3)=$X$7,LEFT(M789,3)=$X$7)),"x","")</f>
        <v/>
      </c>
      <c r="Y789" s="525" t="str">
        <f>IF(OR(TH!L789=TH!$Y$7,M789=TH!$Y$7),"x","")</f>
        <v/>
      </c>
      <c r="Z789" s="525" t="str">
        <f>IF(AND(B789&lt;=NKC!$N$8,B789&gt;=NKC!$M$8),"x","")</f>
        <v/>
      </c>
      <c r="AA789" s="535"/>
    </row>
    <row r="790" spans="1:28" s="503" customFormat="1" ht="15.75" customHeight="1">
      <c r="A790" s="517" t="str">
        <f>IF(B790&lt;&gt;"",IF(AND(B790&gt;=_TM1,B790&lt;=_TM2,OR(TH!L790="1111",TH!M790="1111")),TH!D790,""),"")</f>
        <v/>
      </c>
      <c r="B790" s="531">
        <f t="shared" si="89"/>
        <v>9</v>
      </c>
      <c r="C790" s="315">
        <f t="shared" si="90"/>
        <v>42999</v>
      </c>
      <c r="D790" s="315" t="s">
        <v>461</v>
      </c>
      <c r="E790" s="288">
        <v>42999</v>
      </c>
      <c r="F790" s="248" t="s">
        <v>463</v>
      </c>
      <c r="G790" s="314" t="s">
        <v>440</v>
      </c>
      <c r="H790" s="472"/>
      <c r="I790" s="307"/>
      <c r="J790" s="307"/>
      <c r="K790" s="532">
        <v>53800</v>
      </c>
      <c r="L790" s="533" t="s">
        <v>81</v>
      </c>
      <c r="M790" s="533" t="s">
        <v>24</v>
      </c>
      <c r="N790" s="525" t="str">
        <f>IF(AND('331-CT'!$E$7=TH!H790,OR(L790="331",M790="331")),"331",IF(AND(OR(L790="131",M790="131"),H790='131-CT'!$E$7),"131",""))</f>
        <v/>
      </c>
      <c r="O790" s="525" t="str">
        <f>IF(AND($B790&gt;='111'!$N$11,$B790&lt;='111'!$O$11,OR($L790=$O$7,$M790=$O$7)),"x","")</f>
        <v/>
      </c>
      <c r="P790" s="525" t="str">
        <f>IF(AND($L790=$O$7,$B790&lt;'111'!$N$11),"x","")</f>
        <v/>
      </c>
      <c r="Q790" s="525" t="str">
        <f>IF(AND($M790=$O$7,$B790&lt;'111'!$N$11),"x","")</f>
        <v/>
      </c>
      <c r="R790" s="525" t="str">
        <f>IF(ISERROR(FIND('112'!$M$9,G790,1)),"",IF((AND(FIND('112'!$M$9,G790,1)&gt;=1,$B790&gt;='112'!$N$8,$B790&lt;='112'!$O$8,OR($L790='112'!$I$6,$M790='112'!$I$6))),"x",""))</f>
        <v/>
      </c>
      <c r="S790" s="525" t="str">
        <f>IF(ISERROR(FIND('112'!$M$9,G790,1)),"",IF((AND(LEFT(G790,2)=LEFT('112'!$M$9,2),B790&lt;'112'!$N$8,$L790='112'!$I$6)),"x",""))</f>
        <v/>
      </c>
      <c r="T790" s="525" t="str">
        <f>IF(ISERROR(FIND('112'!$M$9,G790,1)),"",IF((AND(RIGHT(G790,2)=RIGHT('112'!$M$9,2),B790&lt;'112'!$N$8,$M790='112'!$I$6)),"x",""))</f>
        <v>x</v>
      </c>
      <c r="U790" s="525" t="str">
        <f>IF(AND(B790&gt;='IN-NX'!$P$3,B790&lt;='IN-NX'!$Q$3,'IN-NX'!$D$7=D790,OR(LEFT(L790,2)="15",AND(LEFT(M790,2)&lt;&gt;"15",LEFT(M790,2)&lt;&gt;"33"))),"x","")</f>
        <v/>
      </c>
      <c r="V790" s="525" t="str">
        <f>IF(AND(OR(LEFT(TH!L790,2)="15",LEFT(TH!M790,2)="15"),'152-CT'!$J$8=TH!F790),"x","")</f>
        <v/>
      </c>
      <c r="W790" s="525" t="str">
        <f>IF(AND(OR(LEFT(TH!L790,2)="15",LEFT(TH!M790,2)="15"),TK!$E$7=TH!F790),"x","")</f>
        <v/>
      </c>
      <c r="X790" s="525" t="str">
        <f>IF(AND('341-CT'!$E$9=H790,OR(LEFT(L790,3)=$X$7,LEFT(M790,3)=$X$7)),"x","")</f>
        <v/>
      </c>
      <c r="Y790" s="525" t="str">
        <f>IF(OR(TH!L790=TH!$Y$7,M790=TH!$Y$7),"x","")</f>
        <v/>
      </c>
      <c r="Z790" s="525" t="str">
        <f>IF(AND(B790&lt;=NKC!$N$8,B790&gt;=NKC!$M$8),"x","")</f>
        <v/>
      </c>
      <c r="AA790" s="535">
        <v>3</v>
      </c>
      <c r="AB790" s="536"/>
    </row>
    <row r="791" spans="1:28" s="503" customFormat="1" ht="15.75" customHeight="1">
      <c r="A791" s="517" t="str">
        <f>IF(B791&lt;&gt;"",IF(AND(B791&gt;=_TM1,B791&lt;=_TM2,OR(TH!L791="1111",TH!M791="1111")),TH!D791,""),"")</f>
        <v/>
      </c>
      <c r="B791" s="531">
        <f t="shared" si="89"/>
        <v>9</v>
      </c>
      <c r="C791" s="315">
        <f t="shared" si="90"/>
        <v>42999</v>
      </c>
      <c r="D791" s="315" t="s">
        <v>461</v>
      </c>
      <c r="E791" s="288">
        <v>42999</v>
      </c>
      <c r="F791" s="248" t="s">
        <v>464</v>
      </c>
      <c r="G791" s="314" t="s">
        <v>440</v>
      </c>
      <c r="H791" s="472"/>
      <c r="I791" s="307"/>
      <c r="J791" s="307"/>
      <c r="K791" s="532">
        <v>5380</v>
      </c>
      <c r="L791" s="533" t="s">
        <v>9</v>
      </c>
      <c r="M791" s="533" t="s">
        <v>24</v>
      </c>
      <c r="N791" s="525" t="str">
        <f>IF(AND('331-CT'!$E$7=TH!H791,OR(L791="331",M791="331")),"331",IF(AND(OR(L791="131",M791="131"),H791='131-CT'!$E$7),"131",""))</f>
        <v/>
      </c>
      <c r="O791" s="525" t="str">
        <f>IF(AND($B791&gt;='111'!$N$11,$B791&lt;='111'!$O$11,OR($L791=$O$7,$M791=$O$7)),"x","")</f>
        <v/>
      </c>
      <c r="P791" s="525" t="str">
        <f>IF(AND($L791=$O$7,$B791&lt;'111'!$N$11),"x","")</f>
        <v/>
      </c>
      <c r="Q791" s="525" t="str">
        <f>IF(AND($M791=$O$7,$B791&lt;'111'!$N$11),"x","")</f>
        <v/>
      </c>
      <c r="R791" s="525" t="str">
        <f>IF(ISERROR(FIND('112'!$M$9,G791,1)),"",IF((AND(FIND('112'!$M$9,G791,1)&gt;=1,$B791&gt;='112'!$N$8,$B791&lt;='112'!$O$8,OR($L791='112'!$I$6,$M791='112'!$I$6))),"x",""))</f>
        <v/>
      </c>
      <c r="S791" s="525" t="str">
        <f>IF(ISERROR(FIND('112'!$M$9,G791,1)),"",IF((AND(LEFT(G791,2)=LEFT('112'!$M$9,2),B791&lt;'112'!$N$8,$L791='112'!$I$6)),"x",""))</f>
        <v/>
      </c>
      <c r="T791" s="525" t="str">
        <f>IF(ISERROR(FIND('112'!$M$9,G791,1)),"",IF((AND(RIGHT(G791,2)=RIGHT('112'!$M$9,2),B791&lt;'112'!$N$8,$M791='112'!$I$6)),"x",""))</f>
        <v>x</v>
      </c>
      <c r="U791" s="525" t="str">
        <f>IF(AND(B791&gt;='IN-NX'!$P$3,B791&lt;='IN-NX'!$Q$3,'IN-NX'!$D$7=D791,OR(LEFT(L791,2)="15",AND(LEFT(M791,2)&lt;&gt;"15",LEFT(M791,2)&lt;&gt;"33"))),"x","")</f>
        <v/>
      </c>
      <c r="V791" s="525" t="str">
        <f>IF(AND(OR(LEFT(TH!L791,2)="15",LEFT(TH!M791,2)="15"),'152-CT'!$J$8=TH!F791),"x","")</f>
        <v/>
      </c>
      <c r="W791" s="525" t="str">
        <f>IF(AND(OR(LEFT(TH!L791,2)="15",LEFT(TH!M791,2)="15"),TK!$E$7=TH!F791),"x","")</f>
        <v/>
      </c>
      <c r="X791" s="525" t="str">
        <f>IF(AND('341-CT'!$E$9=H791,OR(LEFT(L791,3)=$X$7,LEFT(M791,3)=$X$7)),"x","")</f>
        <v/>
      </c>
      <c r="Y791" s="525" t="str">
        <f>IF(OR(TH!L791=TH!$Y$7,M791=TH!$Y$7),"x","")</f>
        <v/>
      </c>
      <c r="Z791" s="525" t="str">
        <f>IF(AND(B791&lt;=NKC!$N$8,B791&gt;=NKC!$M$8),"x","")</f>
        <v/>
      </c>
      <c r="AA791" s="535">
        <v>3</v>
      </c>
    </row>
    <row r="792" spans="1:28" s="503" customFormat="1" ht="15.75" customHeight="1">
      <c r="A792" s="517" t="str">
        <f>IF(B792&lt;&gt;"",IF(AND(B792&gt;=_TM1,B792&lt;=_TM2,OR(TH!L792="1111",TH!M792="1111")),TH!D792,""),"")</f>
        <v/>
      </c>
      <c r="B792" s="531">
        <f t="shared" si="89"/>
        <v>9</v>
      </c>
      <c r="C792" s="315">
        <f t="shared" si="90"/>
        <v>43001</v>
      </c>
      <c r="D792" s="315" t="s">
        <v>461</v>
      </c>
      <c r="E792" s="288">
        <v>43001</v>
      </c>
      <c r="F792" s="249" t="s">
        <v>827</v>
      </c>
      <c r="G792" s="314" t="s">
        <v>440</v>
      </c>
      <c r="H792" s="473" t="s">
        <v>460</v>
      </c>
      <c r="I792" s="307"/>
      <c r="J792" s="307"/>
      <c r="K792" s="532">
        <v>1900000</v>
      </c>
      <c r="L792" s="533" t="s">
        <v>45</v>
      </c>
      <c r="M792" s="533" t="s">
        <v>24</v>
      </c>
      <c r="N792" s="525" t="str">
        <f>IF(AND('331-CT'!$E$7=TH!H792,OR(L792="331",M792="331")),"331",IF(AND(OR(L792="131",M792="131"),H792='131-CT'!$E$7),"131",""))</f>
        <v/>
      </c>
      <c r="O792" s="525" t="str">
        <f>IF(AND($B792&gt;='111'!$N$11,$B792&lt;='111'!$O$11,OR($L792=$O$7,$M792=$O$7)),"x","")</f>
        <v/>
      </c>
      <c r="P792" s="525" t="str">
        <f>IF(AND($L792=$O$7,$B792&lt;'111'!$N$11),"x","")</f>
        <v>x</v>
      </c>
      <c r="Q792" s="525" t="str">
        <f>IF(AND($M792=$O$7,$B792&lt;'111'!$N$11),"x","")</f>
        <v/>
      </c>
      <c r="R792" s="525" t="str">
        <f>IF(ISERROR(FIND('112'!$M$9,G792,1)),"",IF((AND(FIND('112'!$M$9,G792,1)&gt;=1,$B792&gt;='112'!$N$8,$B792&lt;='112'!$O$8,OR($L792='112'!$I$6,$M792='112'!$I$6))),"x",""))</f>
        <v/>
      </c>
      <c r="S792" s="525" t="str">
        <f>IF(ISERROR(FIND('112'!$M$9,G792,1)),"",IF((AND(LEFT(G792,2)=LEFT('112'!$M$9,2),B792&lt;'112'!$N$8,$L792='112'!$I$6)),"x",""))</f>
        <v/>
      </c>
      <c r="T792" s="525" t="str">
        <f>IF(ISERROR(FIND('112'!$M$9,G792,1)),"",IF((AND(RIGHT(G792,2)=RIGHT('112'!$M$9,2),B792&lt;'112'!$N$8,$M792='112'!$I$6)),"x",""))</f>
        <v>x</v>
      </c>
      <c r="U792" s="525" t="str">
        <f>IF(AND(B792&gt;='IN-NX'!$P$3,B792&lt;='IN-NX'!$Q$3,'IN-NX'!$D$7=D792,OR(LEFT(L792,2)="15",AND(LEFT(M792,2)&lt;&gt;"15",LEFT(M792,2)&lt;&gt;"33"))),"x","")</f>
        <v/>
      </c>
      <c r="V792" s="525" t="str">
        <f>IF(AND(OR(LEFT(TH!L792,2)="15",LEFT(TH!M792,2)="15"),'152-CT'!$J$8=TH!F792),"x","")</f>
        <v/>
      </c>
      <c r="W792" s="525" t="str">
        <f>IF(AND(OR(LEFT(TH!L792,2)="15",LEFT(TH!M792,2)="15"),TK!$E$7=TH!F792),"x","")</f>
        <v/>
      </c>
      <c r="X792" s="525" t="str">
        <f>IF(AND('341-CT'!$E$9=H792,OR(LEFT(L792,3)=$X$7,LEFT(M792,3)=$X$7)),"x","")</f>
        <v/>
      </c>
      <c r="Y792" s="525" t="str">
        <f>IF(OR(TH!L792=TH!$Y$7,M792=TH!$Y$7),"x","")</f>
        <v/>
      </c>
      <c r="Z792" s="525" t="str">
        <f>IF(AND(B792&lt;=NKC!$N$8,B792&gt;=NKC!$M$8),"x","")</f>
        <v/>
      </c>
      <c r="AA792" s="535"/>
      <c r="AB792" s="536"/>
    </row>
    <row r="793" spans="1:28" s="503" customFormat="1" ht="15.75" customHeight="1">
      <c r="A793" s="517" t="str">
        <f>IF(B793&lt;&gt;"",IF(AND(B793&gt;=_TM1,B793&lt;=_TM2,OR(TH!L793="1111",TH!M793="1111")),TH!D793,""),"")</f>
        <v/>
      </c>
      <c r="B793" s="531">
        <f t="shared" si="89"/>
        <v>9</v>
      </c>
      <c r="C793" s="315">
        <f t="shared" si="90"/>
        <v>43001</v>
      </c>
      <c r="D793" s="315" t="s">
        <v>461</v>
      </c>
      <c r="E793" s="288">
        <v>43001</v>
      </c>
      <c r="F793" s="248" t="s">
        <v>1280</v>
      </c>
      <c r="G793" s="314" t="s">
        <v>440</v>
      </c>
      <c r="H793" s="472"/>
      <c r="I793" s="307"/>
      <c r="J793" s="307"/>
      <c r="K793" s="532">
        <v>38000</v>
      </c>
      <c r="L793" s="533" t="s">
        <v>81</v>
      </c>
      <c r="M793" s="533" t="s">
        <v>24</v>
      </c>
      <c r="N793" s="525" t="str">
        <f>IF(AND('331-CT'!$E$7=TH!H793,OR(L793="331",M793="331")),"331",IF(AND(OR(L793="131",M793="131"),H793='131-CT'!$E$7),"131",""))</f>
        <v/>
      </c>
      <c r="O793" s="525" t="str">
        <f>IF(AND($B793&gt;='111'!$N$11,$B793&lt;='111'!$O$11,OR($L793=$O$7,$M793=$O$7)),"x","")</f>
        <v/>
      </c>
      <c r="P793" s="525" t="str">
        <f>IF(AND($L793=$O$7,$B793&lt;'111'!$N$11),"x","")</f>
        <v/>
      </c>
      <c r="Q793" s="525" t="str">
        <f>IF(AND($M793=$O$7,$B793&lt;'111'!$N$11),"x","")</f>
        <v/>
      </c>
      <c r="R793" s="525" t="str">
        <f>IF(ISERROR(FIND('112'!$M$9,G793,1)),"",IF((AND(FIND('112'!$M$9,G793,1)&gt;=1,$B793&gt;='112'!$N$8,$B793&lt;='112'!$O$8,OR($L793='112'!$I$6,$M793='112'!$I$6))),"x",""))</f>
        <v/>
      </c>
      <c r="S793" s="525" t="str">
        <f>IF(ISERROR(FIND('112'!$M$9,G793,1)),"",IF((AND(LEFT(G793,2)=LEFT('112'!$M$9,2),B793&lt;'112'!$N$8,$L793='112'!$I$6)),"x",""))</f>
        <v/>
      </c>
      <c r="T793" s="525" t="str">
        <f>IF(ISERROR(FIND('112'!$M$9,G793,1)),"",IF((AND(RIGHT(G793,2)=RIGHT('112'!$M$9,2),B793&lt;'112'!$N$8,$M793='112'!$I$6)),"x",""))</f>
        <v>x</v>
      </c>
      <c r="U793" s="525" t="str">
        <f>IF(AND(B793&gt;='IN-NX'!$P$3,B793&lt;='IN-NX'!$Q$3,'IN-NX'!$D$7=D793,OR(LEFT(L793,2)="15",AND(LEFT(M793,2)&lt;&gt;"15",LEFT(M793,2)&lt;&gt;"33"))),"x","")</f>
        <v/>
      </c>
      <c r="V793" s="525" t="str">
        <f>IF(AND(OR(LEFT(TH!L793,2)="15",LEFT(TH!M793,2)="15"),'152-CT'!$J$8=TH!F793),"x","")</f>
        <v/>
      </c>
      <c r="W793" s="525" t="str">
        <f>IF(AND(OR(LEFT(TH!L793,2)="15",LEFT(TH!M793,2)="15"),TK!$E$7=TH!F793),"x","")</f>
        <v/>
      </c>
      <c r="X793" s="525" t="str">
        <f>IF(AND('341-CT'!$E$9=H793,OR(LEFT(L793,3)=$X$7,LEFT(M793,3)=$X$7)),"x","")</f>
        <v/>
      </c>
      <c r="Y793" s="525" t="str">
        <f>IF(OR(TH!L793=TH!$Y$7,M793=TH!$Y$7),"x","")</f>
        <v/>
      </c>
      <c r="Z793" s="525" t="str">
        <f>IF(AND(B793&lt;=NKC!$N$8,B793&gt;=NKC!$M$8),"x","")</f>
        <v/>
      </c>
      <c r="AA793" s="535">
        <v>3</v>
      </c>
    </row>
    <row r="794" spans="1:28" s="503" customFormat="1" ht="15.75" customHeight="1">
      <c r="A794" s="517" t="str">
        <f>IF(B794&lt;&gt;"",IF(AND(B794&gt;=_TM1,B794&lt;=_TM2,OR(TH!L794="1111",TH!M794="1111")),TH!D794,""),"")</f>
        <v/>
      </c>
      <c r="B794" s="531">
        <f t="shared" si="89"/>
        <v>9</v>
      </c>
      <c r="C794" s="315">
        <f t="shared" si="90"/>
        <v>43001</v>
      </c>
      <c r="D794" s="315" t="s">
        <v>461</v>
      </c>
      <c r="E794" s="288">
        <v>43001</v>
      </c>
      <c r="F794" s="248" t="s">
        <v>1281</v>
      </c>
      <c r="G794" s="314" t="s">
        <v>440</v>
      </c>
      <c r="H794" s="472"/>
      <c r="I794" s="307"/>
      <c r="J794" s="307"/>
      <c r="K794" s="532">
        <v>3800</v>
      </c>
      <c r="L794" s="533" t="s">
        <v>9</v>
      </c>
      <c r="M794" s="533" t="s">
        <v>24</v>
      </c>
      <c r="N794" s="525" t="str">
        <f>IF(AND('331-CT'!$E$7=TH!H794,OR(L794="331",M794="331")),"331",IF(AND(OR(L794="131",M794="131"),H794='131-CT'!$E$7),"131",""))</f>
        <v/>
      </c>
      <c r="O794" s="525" t="str">
        <f>IF(AND($B794&gt;='111'!$N$11,$B794&lt;='111'!$O$11,OR($L794=$O$7,$M794=$O$7)),"x","")</f>
        <v/>
      </c>
      <c r="P794" s="525" t="str">
        <f>IF(AND($L794=$O$7,$B794&lt;'111'!$N$11),"x","")</f>
        <v/>
      </c>
      <c r="Q794" s="525" t="str">
        <f>IF(AND($M794=$O$7,$B794&lt;'111'!$N$11),"x","")</f>
        <v/>
      </c>
      <c r="R794" s="525" t="str">
        <f>IF(ISERROR(FIND('112'!$M$9,G794,1)),"",IF((AND(FIND('112'!$M$9,G794,1)&gt;=1,$B794&gt;='112'!$N$8,$B794&lt;='112'!$O$8,OR($L794='112'!$I$6,$M794='112'!$I$6))),"x",""))</f>
        <v/>
      </c>
      <c r="S794" s="525" t="str">
        <f>IF(ISERROR(FIND('112'!$M$9,G794,1)),"",IF((AND(LEFT(G794,2)=LEFT('112'!$M$9,2),B794&lt;'112'!$N$8,$L794='112'!$I$6)),"x",""))</f>
        <v/>
      </c>
      <c r="T794" s="525" t="str">
        <f>IF(ISERROR(FIND('112'!$M$9,G794,1)),"",IF((AND(RIGHT(G794,2)=RIGHT('112'!$M$9,2),B794&lt;'112'!$N$8,$M794='112'!$I$6)),"x",""))</f>
        <v>x</v>
      </c>
      <c r="U794" s="525" t="str">
        <f>IF(AND(B794&gt;='IN-NX'!$P$3,B794&lt;='IN-NX'!$Q$3,'IN-NX'!$D$7=D794,OR(LEFT(L794,2)="15",AND(LEFT(M794,2)&lt;&gt;"15",LEFT(M794,2)&lt;&gt;"33"))),"x","")</f>
        <v/>
      </c>
      <c r="V794" s="525" t="str">
        <f>IF(AND(OR(LEFT(TH!L794,2)="15",LEFT(TH!M794,2)="15"),'152-CT'!$J$8=TH!F794),"x","")</f>
        <v/>
      </c>
      <c r="W794" s="525" t="str">
        <f>IF(AND(OR(LEFT(TH!L794,2)="15",LEFT(TH!M794,2)="15"),TK!$E$7=TH!F794),"x","")</f>
        <v/>
      </c>
      <c r="X794" s="525" t="str">
        <f>IF(AND('341-CT'!$E$9=H794,OR(LEFT(L794,3)=$X$7,LEFT(M794,3)=$X$7)),"x","")</f>
        <v/>
      </c>
      <c r="Y794" s="525" t="str">
        <f>IF(OR(TH!L794=TH!$Y$7,M794=TH!$Y$7),"x","")</f>
        <v/>
      </c>
      <c r="Z794" s="525" t="str">
        <f>IF(AND(B794&lt;=NKC!$N$8,B794&gt;=NKC!$M$8),"x","")</f>
        <v/>
      </c>
      <c r="AA794" s="535">
        <v>3</v>
      </c>
    </row>
    <row r="795" spans="1:28" s="503" customFormat="1" ht="15.75" customHeight="1">
      <c r="A795" s="517" t="str">
        <f>IF(B795&lt;&gt;"",IF(AND(B795&gt;=_TM1,B795&lt;=_TM2,OR(TH!L795="1111",TH!M795="1111")),TH!D795,""),"")</f>
        <v/>
      </c>
      <c r="B795" s="531">
        <f t="shared" si="89"/>
        <v>9</v>
      </c>
      <c r="C795" s="315">
        <f t="shared" si="90"/>
        <v>43003</v>
      </c>
      <c r="D795" s="315" t="s">
        <v>461</v>
      </c>
      <c r="E795" s="288">
        <v>43003</v>
      </c>
      <c r="F795" s="248" t="s">
        <v>831</v>
      </c>
      <c r="G795" s="314" t="s">
        <v>440</v>
      </c>
      <c r="H795" s="472" t="s">
        <v>832</v>
      </c>
      <c r="I795" s="307"/>
      <c r="J795" s="307"/>
      <c r="K795" s="532">
        <v>37846</v>
      </c>
      <c r="L795" s="533" t="s">
        <v>85</v>
      </c>
      <c r="M795" s="533" t="s">
        <v>24</v>
      </c>
      <c r="N795" s="525" t="str">
        <f>IF(AND('331-CT'!$E$7=TH!H795,OR(L795="331",M795="331")),"331",IF(AND(OR(L795="131",M795="131"),H795='131-CT'!$E$7),"131",""))</f>
        <v/>
      </c>
      <c r="O795" s="525" t="str">
        <f>IF(AND($B795&gt;='111'!$N$11,$B795&lt;='111'!$O$11,OR($L795=$O$7,$M795=$O$7)),"x","")</f>
        <v/>
      </c>
      <c r="P795" s="525" t="str">
        <f>IF(AND($L795=$O$7,$B795&lt;'111'!$N$11),"x","")</f>
        <v/>
      </c>
      <c r="Q795" s="525" t="str">
        <f>IF(AND($M795=$O$7,$B795&lt;'111'!$N$11),"x","")</f>
        <v/>
      </c>
      <c r="R795" s="525" t="str">
        <f>IF(ISERROR(FIND('112'!$M$9,G795,1)),"",IF((AND(FIND('112'!$M$9,G795,1)&gt;=1,$B795&gt;='112'!$N$8,$B795&lt;='112'!$O$8,OR($L795='112'!$I$6,$M795='112'!$I$6))),"x",""))</f>
        <v/>
      </c>
      <c r="S795" s="525" t="str">
        <f>IF(ISERROR(FIND('112'!$M$9,G795,1)),"",IF((AND(LEFT(G795,2)=LEFT('112'!$M$9,2),B795&lt;'112'!$N$8,$L795='112'!$I$6)),"x",""))</f>
        <v/>
      </c>
      <c r="T795" s="525" t="str">
        <f>IF(ISERROR(FIND('112'!$M$9,G795,1)),"",IF((AND(RIGHT(G795,2)=RIGHT('112'!$M$9,2),B795&lt;'112'!$N$8,$M795='112'!$I$6)),"x",""))</f>
        <v>x</v>
      </c>
      <c r="U795" s="525" t="str">
        <f>IF(AND(B795&gt;='IN-NX'!$P$3,B795&lt;='IN-NX'!$Q$3,'IN-NX'!$D$7=D795,OR(LEFT(L795,2)="15",AND(LEFT(M795,2)&lt;&gt;"15",LEFT(M795,2)&lt;&gt;"33"))),"x","")</f>
        <v/>
      </c>
      <c r="V795" s="525" t="str">
        <f>IF(AND(OR(LEFT(TH!L795,2)="15",LEFT(TH!M795,2)="15"),'152-CT'!$J$8=TH!F795),"x","")</f>
        <v/>
      </c>
      <c r="W795" s="525" t="str">
        <f>IF(AND(OR(LEFT(TH!L795,2)="15",LEFT(TH!M795,2)="15"),TK!$E$7=TH!F795),"x","")</f>
        <v/>
      </c>
      <c r="X795" s="525" t="str">
        <f>IF(AND('341-CT'!$E$9=H795,OR(LEFT(L795,3)=$X$7,LEFT(M795,3)=$X$7)),"x","")</f>
        <v/>
      </c>
      <c r="Y795" s="525" t="str">
        <f>IF(OR(TH!L795=TH!$Y$7,M795=TH!$Y$7),"x","")</f>
        <v/>
      </c>
      <c r="Z795" s="525" t="str">
        <f>IF(AND(B795&lt;=NKC!$N$8,B795&gt;=NKC!$M$8),"x","")</f>
        <v/>
      </c>
      <c r="AA795" s="535"/>
      <c r="AB795" s="536"/>
    </row>
    <row r="796" spans="1:28" s="503" customFormat="1" ht="15.75" customHeight="1">
      <c r="A796" s="517" t="str">
        <f>IF(B796&lt;&gt;"",IF(AND(B796&gt;=_TM1,B796&lt;=_TM2,OR(TH!L796="1111",TH!M796="1111")),TH!D796,""),"")</f>
        <v/>
      </c>
      <c r="B796" s="531">
        <f t="shared" si="89"/>
        <v>9</v>
      </c>
      <c r="C796" s="315">
        <f t="shared" si="90"/>
        <v>43004</v>
      </c>
      <c r="D796" s="315" t="s">
        <v>461</v>
      </c>
      <c r="E796" s="288">
        <v>43004</v>
      </c>
      <c r="F796" s="248" t="s">
        <v>1725</v>
      </c>
      <c r="G796" s="314"/>
      <c r="H796" s="473" t="s">
        <v>447</v>
      </c>
      <c r="I796" s="307"/>
      <c r="J796" s="307"/>
      <c r="K796" s="532">
        <v>1276685004</v>
      </c>
      <c r="L796" s="533" t="s">
        <v>8</v>
      </c>
      <c r="M796" s="533" t="s">
        <v>45</v>
      </c>
      <c r="N796" s="525" t="str">
        <f>IF(AND('331-CT'!$E$7=TH!H796,OR(L796="331",M796="331")),"331",IF(AND(OR(L796="131",M796="131"),H796='131-CT'!$E$7),"131",""))</f>
        <v/>
      </c>
      <c r="O796" s="525" t="str">
        <f>IF(AND($B796&gt;='111'!$N$11,$B796&lt;='111'!$O$11,OR($L796=$O$7,$M796=$O$7)),"x","")</f>
        <v/>
      </c>
      <c r="P796" s="525" t="str">
        <f>IF(AND($L796=$O$7,$B796&lt;'111'!$N$11),"x","")</f>
        <v/>
      </c>
      <c r="Q796" s="525" t="str">
        <f>IF(AND($M796=$O$7,$B796&lt;'111'!$N$11),"x","")</f>
        <v>x</v>
      </c>
      <c r="R796" s="525" t="str">
        <f>IF(ISERROR(FIND('112'!$M$9,G796,1)),"",IF((AND(FIND('112'!$M$9,G796,1)&gt;=1,$B796&gt;='112'!$N$8,$B796&lt;='112'!$O$8,OR($L796='112'!$I$6,$M796='112'!$I$6))),"x",""))</f>
        <v/>
      </c>
      <c r="S796" s="525" t="str">
        <f>IF(ISERROR(FIND('112'!$M$9,G796,1)),"",IF((AND(LEFT(G796,2)=LEFT('112'!$M$9,2),B796&lt;'112'!$N$8,$L796='112'!$I$6)),"x",""))</f>
        <v/>
      </c>
      <c r="T796" s="525" t="str">
        <f>IF(ISERROR(FIND('112'!$M$9,G796,1)),"",IF((AND(RIGHT(G796,2)=RIGHT('112'!$M$9,2),B796&lt;'112'!$N$8,$M796='112'!$I$6)),"x",""))</f>
        <v/>
      </c>
      <c r="U796" s="525" t="str">
        <f>IF(AND(B796&gt;='IN-NX'!$P$3,B796&lt;='IN-NX'!$Q$3,'IN-NX'!$D$7=D796,OR(LEFT(L796,2)="15",AND(LEFT(M796,2)&lt;&gt;"15",LEFT(M796,2)&lt;&gt;"33"))),"x","")</f>
        <v/>
      </c>
      <c r="V796" s="525" t="str">
        <f>IF(AND(OR(LEFT(TH!L796,2)="15",LEFT(TH!M796,2)="15"),'152-CT'!$J$8=TH!F796),"x","")</f>
        <v/>
      </c>
      <c r="W796" s="525" t="str">
        <f>IF(AND(OR(LEFT(TH!L796,2)="15",LEFT(TH!M796,2)="15"),TK!$E$7=TH!F796),"x","")</f>
        <v/>
      </c>
      <c r="X796" s="525" t="str">
        <f>IF(AND('341-CT'!$E$9=H796,OR(LEFT(L796,3)=$X$7,LEFT(M796,3)=$X$7)),"x","")</f>
        <v/>
      </c>
      <c r="Y796" s="525" t="str">
        <f>IF(OR(TH!L796=TH!$Y$7,M796=TH!$Y$7),"x","")</f>
        <v/>
      </c>
      <c r="Z796" s="525" t="str">
        <f>IF(AND(B796&lt;=NKC!$N$8,B796&gt;=NKC!$M$8),"x","")</f>
        <v/>
      </c>
      <c r="AA796" s="535"/>
    </row>
    <row r="797" spans="1:28" s="503" customFormat="1" ht="15.75" customHeight="1">
      <c r="A797" s="517" t="str">
        <f>IF(B797&lt;&gt;"",IF(AND(B797&gt;=_TM1,B797&lt;=_TM2,OR(TH!L797="1111",TH!M797="1111")),TH!D797,""),"")</f>
        <v/>
      </c>
      <c r="B797" s="531">
        <f t="shared" si="79"/>
        <v>9</v>
      </c>
      <c r="C797" s="315">
        <f t="shared" si="80"/>
        <v>43005</v>
      </c>
      <c r="D797" s="315" t="s">
        <v>461</v>
      </c>
      <c r="E797" s="288">
        <v>43005</v>
      </c>
      <c r="F797" s="248" t="s">
        <v>1725</v>
      </c>
      <c r="G797" s="314"/>
      <c r="H797" s="532" t="s">
        <v>1501</v>
      </c>
      <c r="I797" s="307"/>
      <c r="J797" s="307"/>
      <c r="K797" s="532">
        <v>700000000</v>
      </c>
      <c r="L797" s="533" t="s">
        <v>8</v>
      </c>
      <c r="M797" s="533" t="s">
        <v>45</v>
      </c>
      <c r="N797" s="525" t="str">
        <f>IF(AND('331-CT'!$E$7=TH!H797,OR(L797="331",M797="331")),"331",IF(AND(OR(L797="131",M797="131"),H797='131-CT'!$E$7),"131",""))</f>
        <v/>
      </c>
      <c r="O797" s="525" t="str">
        <f>IF(AND($B797&gt;='111'!$N$11,$B797&lt;='111'!$O$11,OR($L797=$O$7,$M797=$O$7)),"x","")</f>
        <v/>
      </c>
      <c r="P797" s="525" t="str">
        <f>IF(AND($L797=$O$7,$B797&lt;'111'!$N$11),"x","")</f>
        <v/>
      </c>
      <c r="Q797" s="525" t="str">
        <f>IF(AND($M797=$O$7,$B797&lt;'111'!$N$11),"x","")</f>
        <v>x</v>
      </c>
      <c r="R797" s="525" t="str">
        <f>IF(ISERROR(FIND('112'!$M$9,G797,1)),"",IF((AND(FIND('112'!$M$9,G797,1)&gt;=1,$B797&gt;='112'!$N$8,$B797&lt;='112'!$O$8,OR($L797='112'!$I$6,$M797='112'!$I$6))),"x",""))</f>
        <v/>
      </c>
      <c r="S797" s="525" t="str">
        <f>IF(ISERROR(FIND('112'!$M$9,G797,1)),"",IF((AND(LEFT(G797,2)=LEFT('112'!$M$9,2),B797&lt;'112'!$N$8,$L797='112'!$I$6)),"x",""))</f>
        <v/>
      </c>
      <c r="T797" s="525" t="str">
        <f>IF(ISERROR(FIND('112'!$M$9,G797,1)),"",IF((AND(RIGHT(G797,2)=RIGHT('112'!$M$9,2),B797&lt;'112'!$N$8,$M797='112'!$I$6)),"x",""))</f>
        <v/>
      </c>
      <c r="U797" s="525" t="str">
        <f>IF(AND(B797&gt;='IN-NX'!$P$3,B797&lt;='IN-NX'!$Q$3,'IN-NX'!$D$7=D797,OR(LEFT(L797,2)="15",AND(LEFT(M797,2)&lt;&gt;"15",LEFT(M797,2)&lt;&gt;"33"))),"x","")</f>
        <v/>
      </c>
      <c r="V797" s="525" t="str">
        <f>IF(AND(OR(LEFT(TH!L797,2)="15",LEFT(TH!M797,2)="15"),'152-CT'!$J$8=TH!F797),"x","")</f>
        <v/>
      </c>
      <c r="W797" s="525" t="str">
        <f>IF(AND(OR(LEFT(TH!L797,2)="15",LEFT(TH!M797,2)="15"),TK!$E$7=TH!F797),"x","")</f>
        <v/>
      </c>
      <c r="X797" s="525" t="str">
        <f>IF(AND('341-CT'!$E$9=H797,OR(LEFT(L797,3)=$X$7,LEFT(M797,3)=$X$7)),"x","")</f>
        <v/>
      </c>
      <c r="Y797" s="525" t="str">
        <f>IF(OR(TH!L797=TH!$Y$7,M797=TH!$Y$7),"x","")</f>
        <v/>
      </c>
      <c r="Z797" s="525" t="str">
        <f>IF(AND(B797&lt;=NKC!$N$8,B797&gt;=NKC!$M$8),"x","")</f>
        <v/>
      </c>
      <c r="AA797" s="535"/>
      <c r="AB797" s="536"/>
    </row>
    <row r="798" spans="1:28" s="503" customFormat="1" ht="15.75" customHeight="1">
      <c r="A798" s="517" t="str">
        <f>IF(B798&lt;&gt;"",IF(AND(B798&gt;=_TM1,B798&lt;=_TM2,OR(TH!L798="1111",TH!M798="1111")),TH!D798,""),"")</f>
        <v/>
      </c>
      <c r="B798" s="531">
        <f t="shared" si="79"/>
        <v>9</v>
      </c>
      <c r="C798" s="315">
        <f t="shared" si="80"/>
        <v>43006</v>
      </c>
      <c r="D798" s="315" t="s">
        <v>461</v>
      </c>
      <c r="E798" s="288">
        <v>43006</v>
      </c>
      <c r="F798" s="248" t="s">
        <v>1725</v>
      </c>
      <c r="G798" s="314"/>
      <c r="H798" s="473" t="s">
        <v>1071</v>
      </c>
      <c r="I798" s="307"/>
      <c r="J798" s="307"/>
      <c r="K798" s="532">
        <v>151307475</v>
      </c>
      <c r="L798" s="533" t="s">
        <v>8</v>
      </c>
      <c r="M798" s="533" t="s">
        <v>45</v>
      </c>
      <c r="N798" s="525" t="str">
        <f>IF(AND('331-CT'!$E$7=TH!H798,OR(L798="331",M798="331")),"331",IF(AND(OR(L798="131",M798="131"),H798='131-CT'!$E$7),"131",""))</f>
        <v/>
      </c>
      <c r="O798" s="525" t="str">
        <f>IF(AND($B798&gt;='111'!$N$11,$B798&lt;='111'!$O$11,OR($L798=$O$7,$M798=$O$7)),"x","")</f>
        <v/>
      </c>
      <c r="P798" s="525" t="str">
        <f>IF(AND($L798=$O$7,$B798&lt;'111'!$N$11),"x","")</f>
        <v/>
      </c>
      <c r="Q798" s="525" t="str">
        <f>IF(AND($M798=$O$7,$B798&lt;'111'!$N$11),"x","")</f>
        <v>x</v>
      </c>
      <c r="R798" s="525" t="str">
        <f>IF(ISERROR(FIND('112'!$M$9,G798,1)),"",IF((AND(FIND('112'!$M$9,G798,1)&gt;=1,$B798&gt;='112'!$N$8,$B798&lt;='112'!$O$8,OR($L798='112'!$I$6,$M798='112'!$I$6))),"x",""))</f>
        <v/>
      </c>
      <c r="S798" s="525" t="str">
        <f>IF(ISERROR(FIND('112'!$M$9,G798,1)),"",IF((AND(LEFT(G798,2)=LEFT('112'!$M$9,2),B798&lt;'112'!$N$8,$L798='112'!$I$6)),"x",""))</f>
        <v/>
      </c>
      <c r="T798" s="525" t="str">
        <f>IF(ISERROR(FIND('112'!$M$9,G798,1)),"",IF((AND(RIGHT(G798,2)=RIGHT('112'!$M$9,2),B798&lt;'112'!$N$8,$M798='112'!$I$6)),"x",""))</f>
        <v/>
      </c>
      <c r="U798" s="525" t="str">
        <f>IF(AND(B798&gt;='IN-NX'!$P$3,B798&lt;='IN-NX'!$Q$3,'IN-NX'!$D$7=D798,OR(LEFT(L798,2)="15",AND(LEFT(M798,2)&lt;&gt;"15",LEFT(M798,2)&lt;&gt;"33"))),"x","")</f>
        <v/>
      </c>
      <c r="V798" s="525" t="str">
        <f>IF(AND(OR(LEFT(TH!L798,2)="15",LEFT(TH!M798,2)="15"),'152-CT'!$J$8=TH!F798),"x","")</f>
        <v/>
      </c>
      <c r="W798" s="525" t="str">
        <f>IF(AND(OR(LEFT(TH!L798,2)="15",LEFT(TH!M798,2)="15"),TK!$E$7=TH!F798),"x","")</f>
        <v/>
      </c>
      <c r="X798" s="525" t="str">
        <f>IF(AND('341-CT'!$E$9=H798,OR(LEFT(L798,3)=$X$7,LEFT(M798,3)=$X$7)),"x","")</f>
        <v/>
      </c>
      <c r="Y798" s="525" t="str">
        <f>IF(OR(TH!L798=TH!$Y$7,M798=TH!$Y$7),"x","")</f>
        <v/>
      </c>
      <c r="Z798" s="525" t="str">
        <f>IF(AND(B798&lt;=NKC!$N$8,B798&gt;=NKC!$M$8),"x","")</f>
        <v/>
      </c>
      <c r="AA798" s="535"/>
    </row>
    <row r="799" spans="1:28" s="503" customFormat="1" ht="15.75" customHeight="1">
      <c r="A799" s="517" t="str">
        <f>IF(B799&lt;&gt;"",IF(AND(B799&gt;=_TM1,B799&lt;=_TM2,OR(TH!L799="1111",TH!M799="1111")),TH!D799,""),"")</f>
        <v/>
      </c>
      <c r="B799" s="531">
        <f t="shared" si="77"/>
        <v>9</v>
      </c>
      <c r="C799" s="315">
        <f t="shared" si="78"/>
        <v>43007</v>
      </c>
      <c r="D799" s="315" t="s">
        <v>461</v>
      </c>
      <c r="E799" s="288">
        <v>43007</v>
      </c>
      <c r="F799" s="248" t="s">
        <v>1725</v>
      </c>
      <c r="G799" s="314"/>
      <c r="H799" s="473" t="s">
        <v>271</v>
      </c>
      <c r="I799" s="307"/>
      <c r="J799" s="307"/>
      <c r="K799" s="532">
        <v>26020617</v>
      </c>
      <c r="L799" s="533" t="s">
        <v>8</v>
      </c>
      <c r="M799" s="533" t="s">
        <v>45</v>
      </c>
      <c r="N799" s="525" t="str">
        <f>IF(AND('331-CT'!$E$7=TH!H799,OR(L799="331",M799="331")),"331",IF(AND(OR(L799="131",M799="131"),H799='131-CT'!$E$7),"131",""))</f>
        <v>331</v>
      </c>
      <c r="O799" s="525" t="str">
        <f>IF(AND($B799&gt;='111'!$N$11,$B799&lt;='111'!$O$11,OR($L799=$O$7,$M799=$O$7)),"x","")</f>
        <v/>
      </c>
      <c r="P799" s="525" t="str">
        <f>IF(AND($L799=$O$7,$B799&lt;'111'!$N$11),"x","")</f>
        <v/>
      </c>
      <c r="Q799" s="525" t="str">
        <f>IF(AND($M799=$O$7,$B799&lt;'111'!$N$11),"x","")</f>
        <v>x</v>
      </c>
      <c r="R799" s="525" t="str">
        <f>IF(ISERROR(FIND('112'!$M$9,G799,1)),"",IF((AND(FIND('112'!$M$9,G799,1)&gt;=1,$B799&gt;='112'!$N$8,$B799&lt;='112'!$O$8,OR($L799='112'!$I$6,$M799='112'!$I$6))),"x",""))</f>
        <v/>
      </c>
      <c r="S799" s="525" t="str">
        <f>IF(ISERROR(FIND('112'!$M$9,G799,1)),"",IF((AND(LEFT(G799,2)=LEFT('112'!$M$9,2),B799&lt;'112'!$N$8,$L799='112'!$I$6)),"x",""))</f>
        <v/>
      </c>
      <c r="T799" s="525" t="str">
        <f>IF(ISERROR(FIND('112'!$M$9,G799,1)),"",IF((AND(RIGHT(G799,2)=RIGHT('112'!$M$9,2),B799&lt;'112'!$N$8,$M799='112'!$I$6)),"x",""))</f>
        <v/>
      </c>
      <c r="U799" s="525" t="str">
        <f>IF(AND(B799&gt;='IN-NX'!$P$3,B799&lt;='IN-NX'!$Q$3,'IN-NX'!$D$7=D799,OR(LEFT(L799,2)="15",AND(LEFT(M799,2)&lt;&gt;"15",LEFT(M799,2)&lt;&gt;"33"))),"x","")</f>
        <v/>
      </c>
      <c r="V799" s="525" t="str">
        <f>IF(AND(OR(LEFT(TH!L799,2)="15",LEFT(TH!M799,2)="15"),'152-CT'!$J$8=TH!F799),"x","")</f>
        <v/>
      </c>
      <c r="W799" s="525" t="str">
        <f>IF(AND(OR(LEFT(TH!L799,2)="15",LEFT(TH!M799,2)="15"),TK!$E$7=TH!F799),"x","")</f>
        <v/>
      </c>
      <c r="X799" s="525" t="str">
        <f>IF(AND('341-CT'!$E$9=H799,OR(LEFT(L799,3)=$X$7,LEFT(M799,3)=$X$7)),"x","")</f>
        <v/>
      </c>
      <c r="Y799" s="525" t="str">
        <f>IF(OR(TH!L799=TH!$Y$7,M799=TH!$Y$7),"x","")</f>
        <v/>
      </c>
      <c r="Z799" s="525" t="str">
        <f>IF(AND(B799&lt;=NKC!$N$8,B799&gt;=NKC!$M$8),"x","")</f>
        <v/>
      </c>
      <c r="AA799" s="535"/>
    </row>
    <row r="800" spans="1:28" s="503" customFormat="1" ht="15.75" customHeight="1">
      <c r="A800" s="517" t="str">
        <f>IF(B800&lt;&gt;"",IF(AND(B800&gt;=_TM1,B800&lt;=_TM2,OR(TH!L800="1111",TH!M800="1111")),TH!D800,""),"")</f>
        <v/>
      </c>
      <c r="B800" s="531">
        <f t="shared" si="77"/>
        <v>9</v>
      </c>
      <c r="C800" s="315">
        <f t="shared" si="78"/>
        <v>43008</v>
      </c>
      <c r="D800" s="315" t="s">
        <v>461</v>
      </c>
      <c r="E800" s="288">
        <v>43008</v>
      </c>
      <c r="F800" s="248" t="s">
        <v>1726</v>
      </c>
      <c r="G800" s="314"/>
      <c r="H800" s="472" t="s">
        <v>299</v>
      </c>
      <c r="I800" s="307"/>
      <c r="J800" s="307"/>
      <c r="K800" s="282">
        <v>67062809</v>
      </c>
      <c r="L800" s="533" t="s">
        <v>45</v>
      </c>
      <c r="M800" s="533" t="s">
        <v>223</v>
      </c>
      <c r="N800" s="525" t="str">
        <f>IF(AND('331-CT'!$E$7=TH!H800,OR(L800="331",M800="331")),"331",IF(AND(OR(L800="131",M800="131"),H800='131-CT'!$E$7),"131",""))</f>
        <v/>
      </c>
      <c r="O800" s="525" t="str">
        <f>IF(AND($B800&gt;='111'!$N$11,$B800&lt;='111'!$O$11,OR($L800=$O$7,$M800=$O$7)),"x","")</f>
        <v/>
      </c>
      <c r="P800" s="525" t="str">
        <f>IF(AND($L800=$O$7,$B800&lt;'111'!$N$11),"x","")</f>
        <v>x</v>
      </c>
      <c r="Q800" s="525" t="str">
        <f>IF(AND($M800=$O$7,$B800&lt;'111'!$N$11),"x","")</f>
        <v/>
      </c>
      <c r="R800" s="525" t="str">
        <f>IF(ISERROR(FIND('112'!$M$9,G800,1)),"",IF((AND(FIND('112'!$M$9,G800,1)&gt;=1,$B800&gt;='112'!$N$8,$B800&lt;='112'!$O$8,OR($L800='112'!$I$6,$M800='112'!$I$6))),"x",""))</f>
        <v/>
      </c>
      <c r="S800" s="525" t="str">
        <f>IF(ISERROR(FIND('112'!$M$9,G800,1)),"",IF((AND(LEFT(G800,2)=LEFT('112'!$M$9,2),B800&lt;'112'!$N$8,$L800='112'!$I$6)),"x",""))</f>
        <v/>
      </c>
      <c r="T800" s="525" t="str">
        <f>IF(ISERROR(FIND('112'!$M$9,G800,1)),"",IF((AND(RIGHT(G800,2)=RIGHT('112'!$M$9,2),B800&lt;'112'!$N$8,$M800='112'!$I$6)),"x",""))</f>
        <v/>
      </c>
      <c r="U800" s="525" t="str">
        <f>IF(AND(B800&gt;='IN-NX'!$P$3,B800&lt;='IN-NX'!$Q$3,'IN-NX'!$D$7=D800,OR(LEFT(L800,2)="15",AND(LEFT(M800,2)&lt;&gt;"15",LEFT(M800,2)&lt;&gt;"33"))),"x","")</f>
        <v/>
      </c>
      <c r="V800" s="525" t="str">
        <f>IF(AND(OR(LEFT(TH!L800,2)="15",LEFT(TH!M800,2)="15"),'152-CT'!$J$8=TH!F800),"x","")</f>
        <v/>
      </c>
      <c r="W800" s="525" t="str">
        <f>IF(AND(OR(LEFT(TH!L800,2)="15",LEFT(TH!M800,2)="15"),TK!$E$7=TH!F800),"x","")</f>
        <v/>
      </c>
      <c r="X800" s="525" t="str">
        <f>IF(AND('341-CT'!$E$9=H800,OR(LEFT(L800,3)=$X$7,LEFT(M800,3)=$X$7)),"x","")</f>
        <v/>
      </c>
      <c r="Y800" s="525" t="str">
        <f>IF(OR(TH!L800=TH!$Y$7,M800=TH!$Y$7),"x","")</f>
        <v/>
      </c>
      <c r="Z800" s="525" t="str">
        <f>IF(AND(B800&lt;=NKC!$N$8,B800&gt;=NKC!$M$8),"x","")</f>
        <v/>
      </c>
      <c r="AA800" s="535"/>
      <c r="AB800" s="536"/>
    </row>
    <row r="801" spans="1:28" s="503" customFormat="1" ht="15.75" customHeight="1">
      <c r="A801" s="517" t="str">
        <f>IF(B801&lt;&gt;"",IF(AND(B801&gt;=_TM1,B801&lt;=_TM2,OR(TH!L801="1111",TH!M801="1111")),TH!D801,""),"")</f>
        <v/>
      </c>
      <c r="B801" s="531">
        <f t="shared" si="77"/>
        <v>10</v>
      </c>
      <c r="C801" s="315">
        <f t="shared" si="78"/>
        <v>43009</v>
      </c>
      <c r="D801" s="315" t="s">
        <v>461</v>
      </c>
      <c r="E801" s="288">
        <v>43009</v>
      </c>
      <c r="F801" s="248" t="s">
        <v>1726</v>
      </c>
      <c r="G801" s="314"/>
      <c r="H801" s="473" t="s">
        <v>278</v>
      </c>
      <c r="I801" s="307"/>
      <c r="J801" s="307"/>
      <c r="K801" s="282">
        <v>41229443</v>
      </c>
      <c r="L801" s="533" t="s">
        <v>45</v>
      </c>
      <c r="M801" s="533" t="s">
        <v>223</v>
      </c>
      <c r="N801" s="525" t="str">
        <f>IF(AND('331-CT'!$E$7=TH!H801,OR(L801="331",M801="331")),"331",IF(AND(OR(L801="131",M801="131"),H801='131-CT'!$E$7),"131",""))</f>
        <v/>
      </c>
      <c r="O801" s="525" t="str">
        <f>IF(AND($B801&gt;='111'!$N$11,$B801&lt;='111'!$O$11,OR($L801=$O$7,$M801=$O$7)),"x","")</f>
        <v>x</v>
      </c>
      <c r="P801" s="525" t="str">
        <f>IF(AND($L801=$O$7,$B801&lt;'111'!$N$11),"x","")</f>
        <v/>
      </c>
      <c r="Q801" s="525" t="str">
        <f>IF(AND($M801=$O$7,$B801&lt;'111'!$N$11),"x","")</f>
        <v/>
      </c>
      <c r="R801" s="525" t="str">
        <f>IF(ISERROR(FIND('112'!$M$9,G801,1)),"",IF((AND(FIND('112'!$M$9,G801,1)&gt;=1,$B801&gt;='112'!$N$8,$B801&lt;='112'!$O$8,OR($L801='112'!$I$6,$M801='112'!$I$6))),"x",""))</f>
        <v/>
      </c>
      <c r="S801" s="525" t="str">
        <f>IF(ISERROR(FIND('112'!$M$9,G801,1)),"",IF((AND(LEFT(G801,2)=LEFT('112'!$M$9,2),B801&lt;'112'!$N$8,$L801='112'!$I$6)),"x",""))</f>
        <v/>
      </c>
      <c r="T801" s="525" t="str">
        <f>IF(ISERROR(FIND('112'!$M$9,G801,1)),"",IF((AND(RIGHT(G801,2)=RIGHT('112'!$M$9,2),B801&lt;'112'!$N$8,$M801='112'!$I$6)),"x",""))</f>
        <v/>
      </c>
      <c r="U801" s="525" t="str">
        <f>IF(AND(B801&gt;='IN-NX'!$P$3,B801&lt;='IN-NX'!$Q$3,'IN-NX'!$D$7=D801,OR(LEFT(L801,2)="15",AND(LEFT(M801,2)&lt;&gt;"15",LEFT(M801,2)&lt;&gt;"33"))),"x","")</f>
        <v/>
      </c>
      <c r="V801" s="525" t="str">
        <f>IF(AND(OR(LEFT(TH!L801,2)="15",LEFT(TH!M801,2)="15"),'152-CT'!$J$8=TH!F801),"x","")</f>
        <v/>
      </c>
      <c r="W801" s="525" t="str">
        <f>IF(AND(OR(LEFT(TH!L801,2)="15",LEFT(TH!M801,2)="15"),TK!$E$7=TH!F801),"x","")</f>
        <v/>
      </c>
      <c r="X801" s="525" t="str">
        <f>IF(AND('341-CT'!$E$9=H801,OR(LEFT(L801,3)=$X$7,LEFT(M801,3)=$X$7)),"x","")</f>
        <v/>
      </c>
      <c r="Y801" s="525" t="str">
        <f>IF(OR(TH!L801=TH!$Y$7,M801=TH!$Y$7),"x","")</f>
        <v/>
      </c>
      <c r="Z801" s="525" t="str">
        <f>IF(AND(B801&lt;=NKC!$N$8,B801&gt;=NKC!$M$8),"x","")</f>
        <v/>
      </c>
      <c r="AA801" s="535"/>
    </row>
    <row r="802" spans="1:28" s="503" customFormat="1" ht="15.75" customHeight="1">
      <c r="A802" s="517" t="str">
        <f>IF(B802&lt;&gt;"",IF(AND(B802&gt;=_TM1,B802&lt;=_TM2,OR(TH!L802="1111",TH!M802="1111")),TH!D802,""),"")</f>
        <v/>
      </c>
      <c r="B802" s="531">
        <f t="shared" si="77"/>
        <v>10</v>
      </c>
      <c r="C802" s="315">
        <f t="shared" si="78"/>
        <v>43010</v>
      </c>
      <c r="D802" s="315" t="s">
        <v>461</v>
      </c>
      <c r="E802" s="288">
        <v>43010</v>
      </c>
      <c r="F802" s="248" t="s">
        <v>1726</v>
      </c>
      <c r="G802" s="314"/>
      <c r="H802" s="474" t="s">
        <v>280</v>
      </c>
      <c r="I802" s="307"/>
      <c r="J802" s="307"/>
      <c r="K802" s="282">
        <v>20001508</v>
      </c>
      <c r="L802" s="533" t="s">
        <v>45</v>
      </c>
      <c r="M802" s="533" t="s">
        <v>223</v>
      </c>
      <c r="N802" s="525" t="str">
        <f>IF(AND('331-CT'!$E$7=TH!H802,OR(L802="331",M802="331")),"331",IF(AND(OR(L802="131",M802="131"),H802='131-CT'!$E$7),"131",""))</f>
        <v/>
      </c>
      <c r="O802" s="525" t="str">
        <f>IF(AND($B802&gt;='111'!$N$11,$B802&lt;='111'!$O$11,OR($L802=$O$7,$M802=$O$7)),"x","")</f>
        <v>x</v>
      </c>
      <c r="P802" s="525" t="str">
        <f>IF(AND($L802=$O$7,$B802&lt;'111'!$N$11),"x","")</f>
        <v/>
      </c>
      <c r="Q802" s="525" t="str">
        <f>IF(AND($M802=$O$7,$B802&lt;'111'!$N$11),"x","")</f>
        <v/>
      </c>
      <c r="R802" s="525" t="str">
        <f>IF(ISERROR(FIND('112'!$M$9,G802,1)),"",IF((AND(FIND('112'!$M$9,G802,1)&gt;=1,$B802&gt;='112'!$N$8,$B802&lt;='112'!$O$8,OR($L802='112'!$I$6,$M802='112'!$I$6))),"x",""))</f>
        <v/>
      </c>
      <c r="S802" s="525" t="str">
        <f>IF(ISERROR(FIND('112'!$M$9,G802,1)),"",IF((AND(LEFT(G802,2)=LEFT('112'!$M$9,2),B802&lt;'112'!$N$8,$L802='112'!$I$6)),"x",""))</f>
        <v/>
      </c>
      <c r="T802" s="525" t="str">
        <f>IF(ISERROR(FIND('112'!$M$9,G802,1)),"",IF((AND(RIGHT(G802,2)=RIGHT('112'!$M$9,2),B802&lt;'112'!$N$8,$M802='112'!$I$6)),"x",""))</f>
        <v/>
      </c>
      <c r="U802" s="525" t="str">
        <f>IF(AND(B802&gt;='IN-NX'!$P$3,B802&lt;='IN-NX'!$Q$3,'IN-NX'!$D$7=D802,OR(LEFT(L802,2)="15",AND(LEFT(M802,2)&lt;&gt;"15",LEFT(M802,2)&lt;&gt;"33"))),"x","")</f>
        <v/>
      </c>
      <c r="V802" s="525" t="str">
        <f>IF(AND(OR(LEFT(TH!L802,2)="15",LEFT(TH!M802,2)="15"),'152-CT'!$J$8=TH!F802),"x","")</f>
        <v/>
      </c>
      <c r="W802" s="525" t="str">
        <f>IF(AND(OR(LEFT(TH!L802,2)="15",LEFT(TH!M802,2)="15"),TK!$E$7=TH!F802),"x","")</f>
        <v/>
      </c>
      <c r="X802" s="525" t="str">
        <f>IF(AND('341-CT'!$E$9=H802,OR(LEFT(L802,3)=$X$7,LEFT(M802,3)=$X$7)),"x","")</f>
        <v/>
      </c>
      <c r="Y802" s="525" t="str">
        <f>IF(OR(TH!L802=TH!$Y$7,M802=TH!$Y$7),"x","")</f>
        <v/>
      </c>
      <c r="Z802" s="525" t="str">
        <f>IF(AND(B802&lt;=NKC!$N$8,B802&gt;=NKC!$M$8),"x","")</f>
        <v/>
      </c>
      <c r="AA802" s="535"/>
      <c r="AB802" s="536"/>
    </row>
    <row r="803" spans="1:28" s="503" customFormat="1" ht="15.75" customHeight="1">
      <c r="A803" s="517" t="str">
        <f>IF(B803&lt;&gt;"",IF(AND(B803&gt;=_TM1,B803&lt;=_TM2,OR(TH!L803="1111",TH!M803="1111")),TH!D803,""),"")</f>
        <v/>
      </c>
      <c r="B803" s="531">
        <f t="shared" si="77"/>
        <v>10</v>
      </c>
      <c r="C803" s="315">
        <f t="shared" si="78"/>
        <v>43011</v>
      </c>
      <c r="D803" s="315" t="s">
        <v>461</v>
      </c>
      <c r="E803" s="288">
        <v>43011</v>
      </c>
      <c r="F803" s="248" t="s">
        <v>1726</v>
      </c>
      <c r="G803" s="314"/>
      <c r="H803" s="472" t="s">
        <v>298</v>
      </c>
      <c r="I803" s="307"/>
      <c r="J803" s="307"/>
      <c r="K803" s="282">
        <v>10864040</v>
      </c>
      <c r="L803" s="533" t="s">
        <v>45</v>
      </c>
      <c r="M803" s="533" t="s">
        <v>223</v>
      </c>
      <c r="N803" s="525" t="str">
        <f>IF(AND('331-CT'!$E$7=TH!H803,OR(L803="331",M803="331")),"331",IF(AND(OR(L803="131",M803="131"),H803='131-CT'!$E$7),"131",""))</f>
        <v/>
      </c>
      <c r="O803" s="525" t="str">
        <f>IF(AND($B803&gt;='111'!$N$11,$B803&lt;='111'!$O$11,OR($L803=$O$7,$M803=$O$7)),"x","")</f>
        <v>x</v>
      </c>
      <c r="P803" s="525" t="str">
        <f>IF(AND($L803=$O$7,$B803&lt;'111'!$N$11),"x","")</f>
        <v/>
      </c>
      <c r="Q803" s="525" t="str">
        <f>IF(AND($M803=$O$7,$B803&lt;'111'!$N$11),"x","")</f>
        <v/>
      </c>
      <c r="R803" s="525" t="str">
        <f>IF(ISERROR(FIND('112'!$M$9,G803,1)),"",IF((AND(FIND('112'!$M$9,G803,1)&gt;=1,$B803&gt;='112'!$N$8,$B803&lt;='112'!$O$8,OR($L803='112'!$I$6,$M803='112'!$I$6))),"x",""))</f>
        <v/>
      </c>
      <c r="S803" s="525" t="str">
        <f>IF(ISERROR(FIND('112'!$M$9,G803,1)),"",IF((AND(LEFT(G803,2)=LEFT('112'!$M$9,2),B803&lt;'112'!$N$8,$L803='112'!$I$6)),"x",""))</f>
        <v/>
      </c>
      <c r="T803" s="525" t="str">
        <f>IF(ISERROR(FIND('112'!$M$9,G803,1)),"",IF((AND(RIGHT(G803,2)=RIGHT('112'!$M$9,2),B803&lt;'112'!$N$8,$M803='112'!$I$6)),"x",""))</f>
        <v/>
      </c>
      <c r="U803" s="525" t="str">
        <f>IF(AND(B803&gt;='IN-NX'!$P$3,B803&lt;='IN-NX'!$Q$3,'IN-NX'!$D$7=D803,OR(LEFT(L803,2)="15",AND(LEFT(M803,2)&lt;&gt;"15",LEFT(M803,2)&lt;&gt;"33"))),"x","")</f>
        <v/>
      </c>
      <c r="V803" s="525" t="str">
        <f>IF(AND(OR(LEFT(TH!L803,2)="15",LEFT(TH!M803,2)="15"),'152-CT'!$J$8=TH!F803),"x","")</f>
        <v/>
      </c>
      <c r="W803" s="525" t="str">
        <f>IF(AND(OR(LEFT(TH!L803,2)="15",LEFT(TH!M803,2)="15"),TK!$E$7=TH!F803),"x","")</f>
        <v/>
      </c>
      <c r="X803" s="525" t="str">
        <f>IF(AND('341-CT'!$E$9=H803,OR(LEFT(L803,3)=$X$7,LEFT(M803,3)=$X$7)),"x","")</f>
        <v/>
      </c>
      <c r="Y803" s="525" t="str">
        <f>IF(OR(TH!L803=TH!$Y$7,M803=TH!$Y$7),"x","")</f>
        <v/>
      </c>
      <c r="Z803" s="525" t="str">
        <f>IF(AND(B803&lt;=NKC!$N$8,B803&gt;=NKC!$M$8),"x","")</f>
        <v/>
      </c>
      <c r="AA803" s="535"/>
    </row>
    <row r="804" spans="1:28" s="503" customFormat="1" ht="15.75" customHeight="1">
      <c r="A804" s="517" t="str">
        <f>IF(B804&lt;&gt;"",IF(AND(B804&gt;=_TM1,B804&lt;=_TM2,OR(TH!L804="1111",TH!M804="1111")),TH!D804,""),"")</f>
        <v/>
      </c>
      <c r="B804" s="531">
        <f t="shared" ref="B804:B820" si="91">IF(C804&lt;&gt;"",MONTH(C804),"")</f>
        <v>10</v>
      </c>
      <c r="C804" s="315">
        <f t="shared" ref="C804:C820" si="92">E804</f>
        <v>43012</v>
      </c>
      <c r="D804" s="315" t="s">
        <v>461</v>
      </c>
      <c r="E804" s="288">
        <v>43012</v>
      </c>
      <c r="F804" s="248" t="s">
        <v>1726</v>
      </c>
      <c r="G804" s="314"/>
      <c r="H804" s="473" t="s">
        <v>284</v>
      </c>
      <c r="I804" s="307"/>
      <c r="J804" s="307"/>
      <c r="K804" s="282">
        <v>128085673</v>
      </c>
      <c r="L804" s="533" t="s">
        <v>45</v>
      </c>
      <c r="M804" s="533" t="s">
        <v>223</v>
      </c>
      <c r="N804" s="525" t="str">
        <f>IF(AND('331-CT'!$E$7=TH!H804,OR(L804="331",M804="331")),"331",IF(AND(OR(L804="131",M804="131"),H804='131-CT'!$E$7),"131",""))</f>
        <v/>
      </c>
      <c r="O804" s="525" t="str">
        <f>IF(AND($B804&gt;='111'!$N$11,$B804&lt;='111'!$O$11,OR($L804=$O$7,$M804=$O$7)),"x","")</f>
        <v>x</v>
      </c>
      <c r="P804" s="525" t="str">
        <f>IF(AND($L804=$O$7,$B804&lt;'111'!$N$11),"x","")</f>
        <v/>
      </c>
      <c r="Q804" s="525" t="str">
        <f>IF(AND($M804=$O$7,$B804&lt;'111'!$N$11),"x","")</f>
        <v/>
      </c>
      <c r="R804" s="525" t="str">
        <f>IF(ISERROR(FIND('112'!$M$9,G804,1)),"",IF((AND(FIND('112'!$M$9,G804,1)&gt;=1,$B804&gt;='112'!$N$8,$B804&lt;='112'!$O$8,OR($L804='112'!$I$6,$M804='112'!$I$6))),"x",""))</f>
        <v/>
      </c>
      <c r="S804" s="525" t="str">
        <f>IF(ISERROR(FIND('112'!$M$9,G804,1)),"",IF((AND(LEFT(G804,2)=LEFT('112'!$M$9,2),B804&lt;'112'!$N$8,$L804='112'!$I$6)),"x",""))</f>
        <v/>
      </c>
      <c r="T804" s="525" t="str">
        <f>IF(ISERROR(FIND('112'!$M$9,G804,1)),"",IF((AND(RIGHT(G804,2)=RIGHT('112'!$M$9,2),B804&lt;'112'!$N$8,$M804='112'!$I$6)),"x",""))</f>
        <v/>
      </c>
      <c r="U804" s="525" t="str">
        <f>IF(AND(B804&gt;='IN-NX'!$P$3,B804&lt;='IN-NX'!$Q$3,'IN-NX'!$D$7=D804,OR(LEFT(L804,2)="15",AND(LEFT(M804,2)&lt;&gt;"15",LEFT(M804,2)&lt;&gt;"33"))),"x","")</f>
        <v/>
      </c>
      <c r="V804" s="525" t="str">
        <f>IF(AND(OR(LEFT(TH!L804,2)="15",LEFT(TH!M804,2)="15"),'152-CT'!$J$8=TH!F804),"x","")</f>
        <v/>
      </c>
      <c r="W804" s="525" t="str">
        <f>IF(AND(OR(LEFT(TH!L804,2)="15",LEFT(TH!M804,2)="15"),TK!$E$7=TH!F804),"x","")</f>
        <v/>
      </c>
      <c r="X804" s="525" t="str">
        <f>IF(AND('341-CT'!$E$9=H804,OR(LEFT(L804,3)=$X$7,LEFT(M804,3)=$X$7)),"x","")</f>
        <v/>
      </c>
      <c r="Y804" s="525" t="str">
        <f>IF(OR(TH!L804=TH!$Y$7,M804=TH!$Y$7),"x","")</f>
        <v/>
      </c>
      <c r="Z804" s="525" t="str">
        <f>IF(AND(B804&lt;=NKC!$N$8,B804&gt;=NKC!$M$8),"x","")</f>
        <v/>
      </c>
      <c r="AA804" s="535"/>
    </row>
    <row r="805" spans="1:28" s="503" customFormat="1" ht="15.75" customHeight="1">
      <c r="A805" s="517" t="str">
        <f>IF(B805&lt;&gt;"",IF(AND(B805&gt;=_TM1,B805&lt;=_TM2,OR(TH!L805="1111",TH!M805="1111")),TH!D805,""),"")</f>
        <v/>
      </c>
      <c r="B805" s="531">
        <f t="shared" si="91"/>
        <v>10</v>
      </c>
      <c r="C805" s="315">
        <f t="shared" si="92"/>
        <v>43013</v>
      </c>
      <c r="D805" s="315" t="s">
        <v>461</v>
      </c>
      <c r="E805" s="288">
        <v>43013</v>
      </c>
      <c r="F805" s="248" t="s">
        <v>1726</v>
      </c>
      <c r="G805" s="314"/>
      <c r="H805" s="472" t="s">
        <v>512</v>
      </c>
      <c r="I805" s="307"/>
      <c r="J805" s="307"/>
      <c r="K805" s="282">
        <v>3300000</v>
      </c>
      <c r="L805" s="533" t="s">
        <v>45</v>
      </c>
      <c r="M805" s="533" t="s">
        <v>223</v>
      </c>
      <c r="N805" s="525" t="str">
        <f>IF(AND('331-CT'!$E$7=TH!H805,OR(L805="331",M805="331")),"331",IF(AND(OR(L805="131",M805="131"),H805='131-CT'!$E$7),"131",""))</f>
        <v/>
      </c>
      <c r="O805" s="525" t="str">
        <f>IF(AND($B805&gt;='111'!$N$11,$B805&lt;='111'!$O$11,OR($L805=$O$7,$M805=$O$7)),"x","")</f>
        <v>x</v>
      </c>
      <c r="P805" s="525" t="str">
        <f>IF(AND($L805=$O$7,$B805&lt;'111'!$N$11),"x","")</f>
        <v/>
      </c>
      <c r="Q805" s="525" t="str">
        <f>IF(AND($M805=$O$7,$B805&lt;'111'!$N$11),"x","")</f>
        <v/>
      </c>
      <c r="R805" s="525" t="str">
        <f>IF(ISERROR(FIND('112'!$M$9,G805,1)),"",IF((AND(FIND('112'!$M$9,G805,1)&gt;=1,$B805&gt;='112'!$N$8,$B805&lt;='112'!$O$8,OR($L805='112'!$I$6,$M805='112'!$I$6))),"x",""))</f>
        <v/>
      </c>
      <c r="S805" s="525" t="str">
        <f>IF(ISERROR(FIND('112'!$M$9,G805,1)),"",IF((AND(LEFT(G805,2)=LEFT('112'!$M$9,2),B805&lt;'112'!$N$8,$L805='112'!$I$6)),"x",""))</f>
        <v/>
      </c>
      <c r="T805" s="525" t="str">
        <f>IF(ISERROR(FIND('112'!$M$9,G805,1)),"",IF((AND(RIGHT(G805,2)=RIGHT('112'!$M$9,2),B805&lt;'112'!$N$8,$M805='112'!$I$6)),"x",""))</f>
        <v/>
      </c>
      <c r="U805" s="525" t="str">
        <f>IF(AND(B805&gt;='IN-NX'!$P$3,B805&lt;='IN-NX'!$Q$3,'IN-NX'!$D$7=D805,OR(LEFT(L805,2)="15",AND(LEFT(M805,2)&lt;&gt;"15",LEFT(M805,2)&lt;&gt;"33"))),"x","")</f>
        <v/>
      </c>
      <c r="V805" s="525" t="str">
        <f>IF(AND(OR(LEFT(TH!L805,2)="15",LEFT(TH!M805,2)="15"),'152-CT'!$J$8=TH!F805),"x","")</f>
        <v/>
      </c>
      <c r="W805" s="525" t="str">
        <f>IF(AND(OR(LEFT(TH!L805,2)="15",LEFT(TH!M805,2)="15"),TK!$E$7=TH!F805),"x","")</f>
        <v/>
      </c>
      <c r="X805" s="525" t="str">
        <f>IF(AND('341-CT'!$E$9=H805,OR(LEFT(L805,3)=$X$7,LEFT(M805,3)=$X$7)),"x","")</f>
        <v/>
      </c>
      <c r="Y805" s="525" t="str">
        <f>IF(OR(TH!L805=TH!$Y$7,M805=TH!$Y$7),"x","")</f>
        <v/>
      </c>
      <c r="Z805" s="525" t="str">
        <f>IF(AND(B805&lt;=NKC!$N$8,B805&gt;=NKC!$M$8),"x","")</f>
        <v/>
      </c>
      <c r="AA805" s="535"/>
      <c r="AB805" s="536"/>
    </row>
    <row r="806" spans="1:28" s="503" customFormat="1" ht="15.75" customHeight="1">
      <c r="A806" s="517" t="str">
        <f>IF(B806&lt;&gt;"",IF(AND(B806&gt;=_TM1,B806&lt;=_TM2,OR(TH!L806="1111",TH!M806="1111")),TH!D806,""),"")</f>
        <v/>
      </c>
      <c r="B806" s="531">
        <f t="shared" si="91"/>
        <v>10</v>
      </c>
      <c r="C806" s="315">
        <f t="shared" si="92"/>
        <v>43014</v>
      </c>
      <c r="D806" s="315" t="s">
        <v>461</v>
      </c>
      <c r="E806" s="288">
        <v>43014</v>
      </c>
      <c r="F806" s="248" t="s">
        <v>1726</v>
      </c>
      <c r="G806" s="314"/>
      <c r="H806" s="473" t="s">
        <v>373</v>
      </c>
      <c r="I806" s="307"/>
      <c r="J806" s="307"/>
      <c r="K806" s="282">
        <v>1999140</v>
      </c>
      <c r="L806" s="533" t="s">
        <v>45</v>
      </c>
      <c r="M806" s="533" t="s">
        <v>223</v>
      </c>
      <c r="N806" s="525" t="str">
        <f>IF(AND('331-CT'!$E$7=TH!H806,OR(L806="331",M806="331")),"331",IF(AND(OR(L806="131",M806="131"),H806='131-CT'!$E$7),"131",""))</f>
        <v/>
      </c>
      <c r="O806" s="525" t="str">
        <f>IF(AND($B806&gt;='111'!$N$11,$B806&lt;='111'!$O$11,OR($L806=$O$7,$M806=$O$7)),"x","")</f>
        <v>x</v>
      </c>
      <c r="P806" s="525" t="str">
        <f>IF(AND($L806=$O$7,$B806&lt;'111'!$N$11),"x","")</f>
        <v/>
      </c>
      <c r="Q806" s="525" t="str">
        <f>IF(AND($M806=$O$7,$B806&lt;'111'!$N$11),"x","")</f>
        <v/>
      </c>
      <c r="R806" s="525" t="str">
        <f>IF(ISERROR(FIND('112'!$M$9,G806,1)),"",IF((AND(FIND('112'!$M$9,G806,1)&gt;=1,$B806&gt;='112'!$N$8,$B806&lt;='112'!$O$8,OR($L806='112'!$I$6,$M806='112'!$I$6))),"x",""))</f>
        <v/>
      </c>
      <c r="S806" s="525" t="str">
        <f>IF(ISERROR(FIND('112'!$M$9,G806,1)),"",IF((AND(LEFT(G806,2)=LEFT('112'!$M$9,2),B806&lt;'112'!$N$8,$L806='112'!$I$6)),"x",""))</f>
        <v/>
      </c>
      <c r="T806" s="525" t="str">
        <f>IF(ISERROR(FIND('112'!$M$9,G806,1)),"",IF((AND(RIGHT(G806,2)=RIGHT('112'!$M$9,2),B806&lt;'112'!$N$8,$M806='112'!$I$6)),"x",""))</f>
        <v/>
      </c>
      <c r="U806" s="525" t="str">
        <f>IF(AND(B806&gt;='IN-NX'!$P$3,B806&lt;='IN-NX'!$Q$3,'IN-NX'!$D$7=D806,OR(LEFT(L806,2)="15",AND(LEFT(M806,2)&lt;&gt;"15",LEFT(M806,2)&lt;&gt;"33"))),"x","")</f>
        <v/>
      </c>
      <c r="V806" s="525" t="str">
        <f>IF(AND(OR(LEFT(TH!L806,2)="15",LEFT(TH!M806,2)="15"),'152-CT'!$J$8=TH!F806),"x","")</f>
        <v/>
      </c>
      <c r="W806" s="525" t="str">
        <f>IF(AND(OR(LEFT(TH!L806,2)="15",LEFT(TH!M806,2)="15"),TK!$E$7=TH!F806),"x","")</f>
        <v/>
      </c>
      <c r="X806" s="525" t="str">
        <f>IF(AND('341-CT'!$E$9=H806,OR(LEFT(L806,3)=$X$7,LEFT(M806,3)=$X$7)),"x","")</f>
        <v/>
      </c>
      <c r="Y806" s="525" t="str">
        <f>IF(OR(TH!L806=TH!$Y$7,M806=TH!$Y$7),"x","")</f>
        <v/>
      </c>
      <c r="Z806" s="525" t="str">
        <f>IF(AND(B806&lt;=NKC!$N$8,B806&gt;=NKC!$M$8),"x","")</f>
        <v/>
      </c>
      <c r="AA806" s="535"/>
    </row>
    <row r="807" spans="1:28" s="503" customFormat="1" ht="15.75" customHeight="1">
      <c r="A807" s="517" t="str">
        <f>IF(B807&lt;&gt;"",IF(AND(B807&gt;=_TM1,B807&lt;=_TM2,OR(TH!L807="1111",TH!M807="1111")),TH!D807,""),"")</f>
        <v/>
      </c>
      <c r="B807" s="531">
        <f t="shared" si="91"/>
        <v>9</v>
      </c>
      <c r="C807" s="315">
        <f t="shared" si="92"/>
        <v>43008</v>
      </c>
      <c r="D807" s="315" t="s">
        <v>461</v>
      </c>
      <c r="E807" s="288">
        <v>43008</v>
      </c>
      <c r="F807" s="248" t="s">
        <v>1726</v>
      </c>
      <c r="G807" s="314"/>
      <c r="H807" s="472" t="s">
        <v>286</v>
      </c>
      <c r="I807" s="307"/>
      <c r="J807" s="307"/>
      <c r="K807" s="282">
        <v>14929200</v>
      </c>
      <c r="L807" s="533" t="s">
        <v>45</v>
      </c>
      <c r="M807" s="533" t="s">
        <v>223</v>
      </c>
      <c r="N807" s="525" t="str">
        <f>IF(AND('331-CT'!$E$7=TH!H807,OR(L807="331",M807="331")),"331",IF(AND(OR(L807="131",M807="131"),H807='131-CT'!$E$7),"131",""))</f>
        <v/>
      </c>
      <c r="O807" s="525" t="str">
        <f>IF(AND($B807&gt;='111'!$N$11,$B807&lt;='111'!$O$11,OR($L807=$O$7,$M807=$O$7)),"x","")</f>
        <v/>
      </c>
      <c r="P807" s="525" t="str">
        <f>IF(AND($L807=$O$7,$B807&lt;'111'!$N$11),"x","")</f>
        <v>x</v>
      </c>
      <c r="Q807" s="525" t="str">
        <f>IF(AND($M807=$O$7,$B807&lt;'111'!$N$11),"x","")</f>
        <v/>
      </c>
      <c r="R807" s="525" t="str">
        <f>IF(ISERROR(FIND('112'!$M$9,G807,1)),"",IF((AND(FIND('112'!$M$9,G807,1)&gt;=1,$B807&gt;='112'!$N$8,$B807&lt;='112'!$O$8,OR($L807='112'!$I$6,$M807='112'!$I$6))),"x",""))</f>
        <v/>
      </c>
      <c r="S807" s="525" t="str">
        <f>IF(ISERROR(FIND('112'!$M$9,G807,1)),"",IF((AND(LEFT(G807,2)=LEFT('112'!$M$9,2),B807&lt;'112'!$N$8,$L807='112'!$I$6)),"x",""))</f>
        <v/>
      </c>
      <c r="T807" s="525" t="str">
        <f>IF(ISERROR(FIND('112'!$M$9,G807,1)),"",IF((AND(RIGHT(G807,2)=RIGHT('112'!$M$9,2),B807&lt;'112'!$N$8,$M807='112'!$I$6)),"x",""))</f>
        <v/>
      </c>
      <c r="U807" s="525" t="str">
        <f>IF(AND(B807&gt;='IN-NX'!$P$3,B807&lt;='IN-NX'!$Q$3,'IN-NX'!$D$7=D807,OR(LEFT(L807,2)="15",AND(LEFT(M807,2)&lt;&gt;"15",LEFT(M807,2)&lt;&gt;"33"))),"x","")</f>
        <v/>
      </c>
      <c r="V807" s="525" t="str">
        <f>IF(AND(OR(LEFT(TH!L807,2)="15",LEFT(TH!M807,2)="15"),'152-CT'!$J$8=TH!F807),"x","")</f>
        <v/>
      </c>
      <c r="W807" s="525" t="str">
        <f>IF(AND(OR(LEFT(TH!L807,2)="15",LEFT(TH!M807,2)="15"),TK!$E$7=TH!F807),"x","")</f>
        <v/>
      </c>
      <c r="X807" s="525" t="str">
        <f>IF(AND('341-CT'!$E$9=H807,OR(LEFT(L807,3)=$X$7,LEFT(M807,3)=$X$7)),"x","")</f>
        <v/>
      </c>
      <c r="Y807" s="525" t="str">
        <f>IF(OR(TH!L807=TH!$Y$7,M807=TH!$Y$7),"x","")</f>
        <v/>
      </c>
      <c r="Z807" s="525" t="str">
        <f>IF(AND(B807&lt;=NKC!$N$8,B807&gt;=NKC!$M$8),"x","")</f>
        <v/>
      </c>
      <c r="AA807" s="535"/>
      <c r="AB807" s="536"/>
    </row>
    <row r="808" spans="1:28" s="503" customFormat="1" ht="15.75" customHeight="1">
      <c r="A808" s="517" t="str">
        <f>IF(B808&lt;&gt;"",IF(AND(B808&gt;=_TM1,B808&lt;=_TM2,OR(TH!L808="1111",TH!M808="1111")),TH!D808,""),"")</f>
        <v/>
      </c>
      <c r="B808" s="531">
        <f t="shared" si="91"/>
        <v>10</v>
      </c>
      <c r="C808" s="315">
        <f t="shared" si="92"/>
        <v>43009</v>
      </c>
      <c r="D808" s="315" t="s">
        <v>461</v>
      </c>
      <c r="E808" s="288">
        <v>43009</v>
      </c>
      <c r="F808" s="248" t="s">
        <v>1726</v>
      </c>
      <c r="G808" s="314"/>
      <c r="H808" s="473" t="s">
        <v>285</v>
      </c>
      <c r="I808" s="307"/>
      <c r="J808" s="307"/>
      <c r="K808" s="282">
        <v>1320000</v>
      </c>
      <c r="L808" s="533" t="s">
        <v>45</v>
      </c>
      <c r="M808" s="533" t="s">
        <v>223</v>
      </c>
      <c r="N808" s="525" t="str">
        <f>IF(AND('331-CT'!$E$7=TH!H808,OR(L808="331",M808="331")),"331",IF(AND(OR(L808="131",M808="131"),H808='131-CT'!$E$7),"131",""))</f>
        <v/>
      </c>
      <c r="O808" s="525" t="str">
        <f>IF(AND($B808&gt;='111'!$N$11,$B808&lt;='111'!$O$11,OR($L808=$O$7,$M808=$O$7)),"x","")</f>
        <v>x</v>
      </c>
      <c r="P808" s="525" t="str">
        <f>IF(AND($L808=$O$7,$B808&lt;'111'!$N$11),"x","")</f>
        <v/>
      </c>
      <c r="Q808" s="525" t="str">
        <f>IF(AND($M808=$O$7,$B808&lt;'111'!$N$11),"x","")</f>
        <v/>
      </c>
      <c r="R808" s="525" t="str">
        <f>IF(ISERROR(FIND('112'!$M$9,G808,1)),"",IF((AND(FIND('112'!$M$9,G808,1)&gt;=1,$B808&gt;='112'!$N$8,$B808&lt;='112'!$O$8,OR($L808='112'!$I$6,$M808='112'!$I$6))),"x",""))</f>
        <v/>
      </c>
      <c r="S808" s="525" t="str">
        <f>IF(ISERROR(FIND('112'!$M$9,G808,1)),"",IF((AND(LEFT(G808,2)=LEFT('112'!$M$9,2),B808&lt;'112'!$N$8,$L808='112'!$I$6)),"x",""))</f>
        <v/>
      </c>
      <c r="T808" s="525" t="str">
        <f>IF(ISERROR(FIND('112'!$M$9,G808,1)),"",IF((AND(RIGHT(G808,2)=RIGHT('112'!$M$9,2),B808&lt;'112'!$N$8,$M808='112'!$I$6)),"x",""))</f>
        <v/>
      </c>
      <c r="U808" s="525" t="str">
        <f>IF(AND(B808&gt;='IN-NX'!$P$3,B808&lt;='IN-NX'!$Q$3,'IN-NX'!$D$7=D808,OR(LEFT(L808,2)="15",AND(LEFT(M808,2)&lt;&gt;"15",LEFT(M808,2)&lt;&gt;"33"))),"x","")</f>
        <v/>
      </c>
      <c r="V808" s="525" t="str">
        <f>IF(AND(OR(LEFT(TH!L808,2)="15",LEFT(TH!M808,2)="15"),'152-CT'!$J$8=TH!F808),"x","")</f>
        <v/>
      </c>
      <c r="W808" s="525" t="str">
        <f>IF(AND(OR(LEFT(TH!L808,2)="15",LEFT(TH!M808,2)="15"),TK!$E$7=TH!F808),"x","")</f>
        <v/>
      </c>
      <c r="X808" s="525" t="str">
        <f>IF(AND('341-CT'!$E$9=H808,OR(LEFT(L808,3)=$X$7,LEFT(M808,3)=$X$7)),"x","")</f>
        <v/>
      </c>
      <c r="Y808" s="525" t="str">
        <f>IF(OR(TH!L808=TH!$Y$7,M808=TH!$Y$7),"x","")</f>
        <v/>
      </c>
      <c r="Z808" s="525" t="str">
        <f>IF(AND(B808&lt;=NKC!$N$8,B808&gt;=NKC!$M$8),"x","")</f>
        <v/>
      </c>
      <c r="AA808" s="535"/>
    </row>
    <row r="809" spans="1:28" s="503" customFormat="1" ht="15.75" customHeight="1">
      <c r="A809" s="517" t="str">
        <f>IF(B809&lt;&gt;"",IF(AND(B809&gt;=_TM1,B809&lt;=_TM2,OR(TH!L809="1111",TH!M809="1111")),TH!D809,""),"")</f>
        <v/>
      </c>
      <c r="B809" s="531">
        <f t="shared" si="91"/>
        <v>10</v>
      </c>
      <c r="C809" s="315">
        <f t="shared" si="92"/>
        <v>43010</v>
      </c>
      <c r="D809" s="315" t="s">
        <v>461</v>
      </c>
      <c r="E809" s="288">
        <v>43010</v>
      </c>
      <c r="F809" s="248" t="s">
        <v>1726</v>
      </c>
      <c r="G809" s="314"/>
      <c r="H809" s="473" t="s">
        <v>279</v>
      </c>
      <c r="I809" s="307"/>
      <c r="J809" s="307"/>
      <c r="K809" s="282">
        <v>129693827</v>
      </c>
      <c r="L809" s="533" t="s">
        <v>45</v>
      </c>
      <c r="M809" s="533" t="s">
        <v>223</v>
      </c>
      <c r="N809" s="525" t="str">
        <f>IF(AND('331-CT'!$E$7=TH!H809,OR(L809="331",M809="331")),"331",IF(AND(OR(L809="131",M809="131"),H809='131-CT'!$E$7),"131",""))</f>
        <v/>
      </c>
      <c r="O809" s="525" t="str">
        <f>IF(AND($B809&gt;='111'!$N$11,$B809&lt;='111'!$O$11,OR($L809=$O$7,$M809=$O$7)),"x","")</f>
        <v>x</v>
      </c>
      <c r="P809" s="525" t="str">
        <f>IF(AND($L809=$O$7,$B809&lt;'111'!$N$11),"x","")</f>
        <v/>
      </c>
      <c r="Q809" s="525" t="str">
        <f>IF(AND($M809=$O$7,$B809&lt;'111'!$N$11),"x","")</f>
        <v/>
      </c>
      <c r="R809" s="525" t="str">
        <f>IF(ISERROR(FIND('112'!$M$9,G809,1)),"",IF((AND(FIND('112'!$M$9,G809,1)&gt;=1,$B809&gt;='112'!$N$8,$B809&lt;='112'!$O$8,OR($L809='112'!$I$6,$M809='112'!$I$6))),"x",""))</f>
        <v/>
      </c>
      <c r="S809" s="525" t="str">
        <f>IF(ISERROR(FIND('112'!$M$9,G809,1)),"",IF((AND(LEFT(G809,2)=LEFT('112'!$M$9,2),B809&lt;'112'!$N$8,$L809='112'!$I$6)),"x",""))</f>
        <v/>
      </c>
      <c r="T809" s="525" t="str">
        <f>IF(ISERROR(FIND('112'!$M$9,G809,1)),"",IF((AND(RIGHT(G809,2)=RIGHT('112'!$M$9,2),B809&lt;'112'!$N$8,$M809='112'!$I$6)),"x",""))</f>
        <v/>
      </c>
      <c r="U809" s="525" t="str">
        <f>IF(AND(B809&gt;='IN-NX'!$P$3,B809&lt;='IN-NX'!$Q$3,'IN-NX'!$D$7=D809,OR(LEFT(L809,2)="15",AND(LEFT(M809,2)&lt;&gt;"15",LEFT(M809,2)&lt;&gt;"33"))),"x","")</f>
        <v/>
      </c>
      <c r="V809" s="525" t="str">
        <f>IF(AND(OR(LEFT(TH!L809,2)="15",LEFT(TH!M809,2)="15"),'152-CT'!$J$8=TH!F809),"x","")</f>
        <v/>
      </c>
      <c r="W809" s="525" t="str">
        <f>IF(AND(OR(LEFT(TH!L809,2)="15",LEFT(TH!M809,2)="15"),TK!$E$7=TH!F809),"x","")</f>
        <v/>
      </c>
      <c r="X809" s="525" t="str">
        <f>IF(AND('341-CT'!$E$9=H809,OR(LEFT(L809,3)=$X$7,LEFT(M809,3)=$X$7)),"x","")</f>
        <v/>
      </c>
      <c r="Y809" s="525" t="str">
        <f>IF(OR(TH!L809=TH!$Y$7,M809=TH!$Y$7),"x","")</f>
        <v/>
      </c>
      <c r="Z809" s="525" t="str">
        <f>IF(AND(B809&lt;=NKC!$N$8,B809&gt;=NKC!$M$8),"x","")</f>
        <v/>
      </c>
      <c r="AA809" s="535"/>
      <c r="AB809" s="536"/>
    </row>
    <row r="810" spans="1:28" s="503" customFormat="1" ht="15.75" customHeight="1">
      <c r="A810" s="517" t="str">
        <f>IF(B810&lt;&gt;"",IF(AND(B810&gt;=_TM1,B810&lt;=_TM2,OR(TH!L810="1111",TH!M810="1111")),TH!D810,""),"")</f>
        <v/>
      </c>
      <c r="B810" s="531">
        <f t="shared" si="91"/>
        <v>10</v>
      </c>
      <c r="C810" s="315">
        <f t="shared" si="92"/>
        <v>43011</v>
      </c>
      <c r="D810" s="315" t="s">
        <v>461</v>
      </c>
      <c r="E810" s="288">
        <v>43011</v>
      </c>
      <c r="F810" s="248" t="s">
        <v>1726</v>
      </c>
      <c r="G810" s="314"/>
      <c r="H810" s="473" t="s">
        <v>374</v>
      </c>
      <c r="I810" s="307"/>
      <c r="J810" s="307"/>
      <c r="K810" s="282">
        <v>69812220</v>
      </c>
      <c r="L810" s="533" t="s">
        <v>45</v>
      </c>
      <c r="M810" s="533" t="s">
        <v>223</v>
      </c>
      <c r="N810" s="525" t="str">
        <f>IF(AND('331-CT'!$E$7=TH!H810,OR(L810="331",M810="331")),"331",IF(AND(OR(L810="131",M810="131"),H810='131-CT'!$E$7),"131",""))</f>
        <v/>
      </c>
      <c r="O810" s="525" t="str">
        <f>IF(AND($B810&gt;='111'!$N$11,$B810&lt;='111'!$O$11,OR($L810=$O$7,$M810=$O$7)),"x","")</f>
        <v>x</v>
      </c>
      <c r="P810" s="525" t="str">
        <f>IF(AND($L810=$O$7,$B810&lt;'111'!$N$11),"x","")</f>
        <v/>
      </c>
      <c r="Q810" s="525" t="str">
        <f>IF(AND($M810=$O$7,$B810&lt;'111'!$N$11),"x","")</f>
        <v/>
      </c>
      <c r="R810" s="525" t="str">
        <f>IF(ISERROR(FIND('112'!$M$9,G810,1)),"",IF((AND(FIND('112'!$M$9,G810,1)&gt;=1,$B810&gt;='112'!$N$8,$B810&lt;='112'!$O$8,OR($L810='112'!$I$6,$M810='112'!$I$6))),"x",""))</f>
        <v/>
      </c>
      <c r="S810" s="525" t="str">
        <f>IF(ISERROR(FIND('112'!$M$9,G810,1)),"",IF((AND(LEFT(G810,2)=LEFT('112'!$M$9,2),B810&lt;'112'!$N$8,$L810='112'!$I$6)),"x",""))</f>
        <v/>
      </c>
      <c r="T810" s="525" t="str">
        <f>IF(ISERROR(FIND('112'!$M$9,G810,1)),"",IF((AND(RIGHT(G810,2)=RIGHT('112'!$M$9,2),B810&lt;'112'!$N$8,$M810='112'!$I$6)),"x",""))</f>
        <v/>
      </c>
      <c r="U810" s="525" t="str">
        <f>IF(AND(B810&gt;='IN-NX'!$P$3,B810&lt;='IN-NX'!$Q$3,'IN-NX'!$D$7=D810,OR(LEFT(L810,2)="15",AND(LEFT(M810,2)&lt;&gt;"15",LEFT(M810,2)&lt;&gt;"33"))),"x","")</f>
        <v/>
      </c>
      <c r="V810" s="525" t="str">
        <f>IF(AND(OR(LEFT(TH!L810,2)="15",LEFT(TH!M810,2)="15"),'152-CT'!$J$8=TH!F810),"x","")</f>
        <v/>
      </c>
      <c r="W810" s="525" t="str">
        <f>IF(AND(OR(LEFT(TH!L810,2)="15",LEFT(TH!M810,2)="15"),TK!$E$7=TH!F810),"x","")</f>
        <v/>
      </c>
      <c r="X810" s="525" t="str">
        <f>IF(AND('341-CT'!$E$9=H810,OR(LEFT(L810,3)=$X$7,LEFT(M810,3)=$X$7)),"x","")</f>
        <v/>
      </c>
      <c r="Y810" s="525" t="str">
        <f>IF(OR(TH!L810=TH!$Y$7,M810=TH!$Y$7),"x","")</f>
        <v/>
      </c>
      <c r="Z810" s="525" t="str">
        <f>IF(AND(B810&lt;=NKC!$N$8,B810&gt;=NKC!$M$8),"x","")</f>
        <v/>
      </c>
      <c r="AA810" s="535"/>
    </row>
    <row r="811" spans="1:28" s="503" customFormat="1" ht="15.75" customHeight="1">
      <c r="A811" s="517" t="str">
        <f>IF(B811&lt;&gt;"",IF(AND(B811&gt;=_TM1,B811&lt;=_TM2,OR(TH!L811="1111",TH!M811="1111")),TH!D811,""),"")</f>
        <v/>
      </c>
      <c r="B811" s="531">
        <f t="shared" si="91"/>
        <v>10</v>
      </c>
      <c r="C811" s="315">
        <f t="shared" si="92"/>
        <v>43012</v>
      </c>
      <c r="D811" s="315" t="s">
        <v>461</v>
      </c>
      <c r="E811" s="288">
        <v>43012</v>
      </c>
      <c r="F811" s="248" t="s">
        <v>1726</v>
      </c>
      <c r="G811" s="314"/>
      <c r="H811" s="473" t="s">
        <v>1093</v>
      </c>
      <c r="I811" s="307"/>
      <c r="J811" s="307"/>
      <c r="K811" s="282">
        <v>44087439</v>
      </c>
      <c r="L811" s="533" t="s">
        <v>45</v>
      </c>
      <c r="M811" s="533" t="s">
        <v>223</v>
      </c>
      <c r="N811" s="525" t="str">
        <f>IF(AND('331-CT'!$E$7=TH!H811,OR(L811="331",M811="331")),"331",IF(AND(OR(L811="131",M811="131"),H811='131-CT'!$E$7),"131",""))</f>
        <v/>
      </c>
      <c r="O811" s="525" t="str">
        <f>IF(AND($B811&gt;='111'!$N$11,$B811&lt;='111'!$O$11,OR($L811=$O$7,$M811=$O$7)),"x","")</f>
        <v>x</v>
      </c>
      <c r="P811" s="525" t="str">
        <f>IF(AND($L811=$O$7,$B811&lt;'111'!$N$11),"x","")</f>
        <v/>
      </c>
      <c r="Q811" s="525" t="str">
        <f>IF(AND($M811=$O$7,$B811&lt;'111'!$N$11),"x","")</f>
        <v/>
      </c>
      <c r="R811" s="525" t="str">
        <f>IF(ISERROR(FIND('112'!$M$9,G811,1)),"",IF((AND(FIND('112'!$M$9,G811,1)&gt;=1,$B811&gt;='112'!$N$8,$B811&lt;='112'!$O$8,OR($L811='112'!$I$6,$M811='112'!$I$6))),"x",""))</f>
        <v/>
      </c>
      <c r="S811" s="525" t="str">
        <f>IF(ISERROR(FIND('112'!$M$9,G811,1)),"",IF((AND(LEFT(G811,2)=LEFT('112'!$M$9,2),B811&lt;'112'!$N$8,$L811='112'!$I$6)),"x",""))</f>
        <v/>
      </c>
      <c r="T811" s="525" t="str">
        <f>IF(ISERROR(FIND('112'!$M$9,G811,1)),"",IF((AND(RIGHT(G811,2)=RIGHT('112'!$M$9,2),B811&lt;'112'!$N$8,$M811='112'!$I$6)),"x",""))</f>
        <v/>
      </c>
      <c r="U811" s="525" t="str">
        <f>IF(AND(B811&gt;='IN-NX'!$P$3,B811&lt;='IN-NX'!$Q$3,'IN-NX'!$D$7=D811,OR(LEFT(L811,2)="15",AND(LEFT(M811,2)&lt;&gt;"15",LEFT(M811,2)&lt;&gt;"33"))),"x","")</f>
        <v/>
      </c>
      <c r="V811" s="525" t="str">
        <f>IF(AND(OR(LEFT(TH!L811,2)="15",LEFT(TH!M811,2)="15"),'152-CT'!$J$8=TH!F811),"x","")</f>
        <v/>
      </c>
      <c r="W811" s="525" t="str">
        <f>IF(AND(OR(LEFT(TH!L811,2)="15",LEFT(TH!M811,2)="15"),TK!$E$7=TH!F811),"x","")</f>
        <v/>
      </c>
      <c r="X811" s="525" t="str">
        <f>IF(AND('341-CT'!$E$9=H811,OR(LEFT(L811,3)=$X$7,LEFT(M811,3)=$X$7)),"x","")</f>
        <v/>
      </c>
      <c r="Y811" s="525" t="str">
        <f>IF(OR(TH!L811=TH!$Y$7,M811=TH!$Y$7),"x","")</f>
        <v/>
      </c>
      <c r="Z811" s="525" t="str">
        <f>IF(AND(B811&lt;=NKC!$N$8,B811&gt;=NKC!$M$8),"x","")</f>
        <v/>
      </c>
      <c r="AA811" s="535"/>
    </row>
    <row r="812" spans="1:28" s="503" customFormat="1" ht="15.75" customHeight="1">
      <c r="A812" s="517" t="str">
        <f>IF(B812&lt;&gt;"",IF(AND(B812&gt;=_TM1,B812&lt;=_TM2,OR(TH!L812="1111",TH!M812="1111")),TH!D812,""),"")</f>
        <v/>
      </c>
      <c r="B812" s="531">
        <f t="shared" si="91"/>
        <v>10</v>
      </c>
      <c r="C812" s="315">
        <f t="shared" si="92"/>
        <v>43013</v>
      </c>
      <c r="D812" s="315" t="s">
        <v>461</v>
      </c>
      <c r="E812" s="288">
        <v>43013</v>
      </c>
      <c r="F812" s="248" t="s">
        <v>1726</v>
      </c>
      <c r="G812" s="314"/>
      <c r="H812" s="473" t="s">
        <v>378</v>
      </c>
      <c r="I812" s="307"/>
      <c r="J812" s="307"/>
      <c r="K812" s="282">
        <v>16427400</v>
      </c>
      <c r="L812" s="533" t="s">
        <v>45</v>
      </c>
      <c r="M812" s="533" t="s">
        <v>223</v>
      </c>
      <c r="N812" s="525" t="str">
        <f>IF(AND('331-CT'!$E$7=TH!H812,OR(L812="331",M812="331")),"331",IF(AND(OR(L812="131",M812="131"),H812='131-CT'!$E$7),"131",""))</f>
        <v/>
      </c>
      <c r="O812" s="525" t="str">
        <f>IF(AND($B812&gt;='111'!$N$11,$B812&lt;='111'!$O$11,OR($L812=$O$7,$M812=$O$7)),"x","")</f>
        <v>x</v>
      </c>
      <c r="P812" s="525" t="str">
        <f>IF(AND($L812=$O$7,$B812&lt;'111'!$N$11),"x","")</f>
        <v/>
      </c>
      <c r="Q812" s="525" t="str">
        <f>IF(AND($M812=$O$7,$B812&lt;'111'!$N$11),"x","")</f>
        <v/>
      </c>
      <c r="R812" s="525" t="str">
        <f>IF(ISERROR(FIND('112'!$M$9,G812,1)),"",IF((AND(FIND('112'!$M$9,G812,1)&gt;=1,$B812&gt;='112'!$N$8,$B812&lt;='112'!$O$8,OR($L812='112'!$I$6,$M812='112'!$I$6))),"x",""))</f>
        <v/>
      </c>
      <c r="S812" s="525" t="str">
        <f>IF(ISERROR(FIND('112'!$M$9,G812,1)),"",IF((AND(LEFT(G812,2)=LEFT('112'!$M$9,2),B812&lt;'112'!$N$8,$L812='112'!$I$6)),"x",""))</f>
        <v/>
      </c>
      <c r="T812" s="525" t="str">
        <f>IF(ISERROR(FIND('112'!$M$9,G812,1)),"",IF((AND(RIGHT(G812,2)=RIGHT('112'!$M$9,2),B812&lt;'112'!$N$8,$M812='112'!$I$6)),"x",""))</f>
        <v/>
      </c>
      <c r="U812" s="525" t="str">
        <f>IF(AND(B812&gt;='IN-NX'!$P$3,B812&lt;='IN-NX'!$Q$3,'IN-NX'!$D$7=D812,OR(LEFT(L812,2)="15",AND(LEFT(M812,2)&lt;&gt;"15",LEFT(M812,2)&lt;&gt;"33"))),"x","")</f>
        <v/>
      </c>
      <c r="V812" s="525" t="str">
        <f>IF(AND(OR(LEFT(TH!L812,2)="15",LEFT(TH!M812,2)="15"),'152-CT'!$J$8=TH!F812),"x","")</f>
        <v/>
      </c>
      <c r="W812" s="525" t="str">
        <f>IF(AND(OR(LEFT(TH!L812,2)="15",LEFT(TH!M812,2)="15"),TK!$E$7=TH!F812),"x","")</f>
        <v/>
      </c>
      <c r="X812" s="525" t="str">
        <f>IF(AND('341-CT'!$E$9=H812,OR(LEFT(L812,3)=$X$7,LEFT(M812,3)=$X$7)),"x","")</f>
        <v/>
      </c>
      <c r="Y812" s="525" t="str">
        <f>IF(OR(TH!L812=TH!$Y$7,M812=TH!$Y$7),"x","")</f>
        <v/>
      </c>
      <c r="Z812" s="525" t="str">
        <f>IF(AND(B812&lt;=NKC!$N$8,B812&gt;=NKC!$M$8),"x","")</f>
        <v/>
      </c>
      <c r="AA812" s="535"/>
      <c r="AB812" s="536"/>
    </row>
    <row r="813" spans="1:28" s="503" customFormat="1" ht="15.75" customHeight="1">
      <c r="A813" s="517" t="str">
        <f>IF(B813&lt;&gt;"",IF(AND(B813&gt;=_TM1,B813&lt;=_TM2,OR(TH!L813="1111",TH!M813="1111")),TH!D813,""),"")</f>
        <v/>
      </c>
      <c r="B813" s="531">
        <f t="shared" si="91"/>
        <v>10</v>
      </c>
      <c r="C813" s="315">
        <f t="shared" si="92"/>
        <v>43014</v>
      </c>
      <c r="D813" s="315" t="s">
        <v>461</v>
      </c>
      <c r="E813" s="288">
        <v>43014</v>
      </c>
      <c r="F813" s="248" t="s">
        <v>1726</v>
      </c>
      <c r="G813" s="314"/>
      <c r="H813" s="472" t="s">
        <v>515</v>
      </c>
      <c r="I813" s="307"/>
      <c r="J813" s="307"/>
      <c r="K813" s="282">
        <v>715000</v>
      </c>
      <c r="L813" s="533" t="s">
        <v>45</v>
      </c>
      <c r="M813" s="533" t="s">
        <v>223</v>
      </c>
      <c r="N813" s="525" t="str">
        <f>IF(AND('331-CT'!$E$7=TH!H813,OR(L813="331",M813="331")),"331",IF(AND(OR(L813="131",M813="131"),H813='131-CT'!$E$7),"131",""))</f>
        <v/>
      </c>
      <c r="O813" s="525" t="str">
        <f>IF(AND($B813&gt;='111'!$N$11,$B813&lt;='111'!$O$11,OR($L813=$O$7,$M813=$O$7)),"x","")</f>
        <v>x</v>
      </c>
      <c r="P813" s="525" t="str">
        <f>IF(AND($L813=$O$7,$B813&lt;'111'!$N$11),"x","")</f>
        <v/>
      </c>
      <c r="Q813" s="525" t="str">
        <f>IF(AND($M813=$O$7,$B813&lt;'111'!$N$11),"x","")</f>
        <v/>
      </c>
      <c r="R813" s="525" t="str">
        <f>IF(ISERROR(FIND('112'!$M$9,G813,1)),"",IF((AND(FIND('112'!$M$9,G813,1)&gt;=1,$B813&gt;='112'!$N$8,$B813&lt;='112'!$O$8,OR($L813='112'!$I$6,$M813='112'!$I$6))),"x",""))</f>
        <v/>
      </c>
      <c r="S813" s="525" t="str">
        <f>IF(ISERROR(FIND('112'!$M$9,G813,1)),"",IF((AND(LEFT(G813,2)=LEFT('112'!$M$9,2),B813&lt;'112'!$N$8,$L813='112'!$I$6)),"x",""))</f>
        <v/>
      </c>
      <c r="T813" s="525" t="str">
        <f>IF(ISERROR(FIND('112'!$M$9,G813,1)),"",IF((AND(RIGHT(G813,2)=RIGHT('112'!$M$9,2),B813&lt;'112'!$N$8,$M813='112'!$I$6)),"x",""))</f>
        <v/>
      </c>
      <c r="U813" s="525" t="str">
        <f>IF(AND(B813&gt;='IN-NX'!$P$3,B813&lt;='IN-NX'!$Q$3,'IN-NX'!$D$7=D813,OR(LEFT(L813,2)="15",AND(LEFT(M813,2)&lt;&gt;"15",LEFT(M813,2)&lt;&gt;"33"))),"x","")</f>
        <v/>
      </c>
      <c r="V813" s="525" t="str">
        <f>IF(AND(OR(LEFT(TH!L813,2)="15",LEFT(TH!M813,2)="15"),'152-CT'!$J$8=TH!F813),"x","")</f>
        <v/>
      </c>
      <c r="W813" s="525" t="str">
        <f>IF(AND(OR(LEFT(TH!L813,2)="15",LEFT(TH!M813,2)="15"),TK!$E$7=TH!F813),"x","")</f>
        <v/>
      </c>
      <c r="X813" s="525" t="str">
        <f>IF(AND('341-CT'!$E$9=H813,OR(LEFT(L813,3)=$X$7,LEFT(M813,3)=$X$7)),"x","")</f>
        <v/>
      </c>
      <c r="Y813" s="525" t="str">
        <f>IF(OR(TH!L813=TH!$Y$7,M813=TH!$Y$7),"x","")</f>
        <v/>
      </c>
      <c r="Z813" s="525" t="str">
        <f>IF(AND(B813&lt;=NKC!$N$8,B813&gt;=NKC!$M$8),"x","")</f>
        <v/>
      </c>
      <c r="AA813" s="535"/>
    </row>
    <row r="814" spans="1:28" s="503" customFormat="1" ht="15.75" customHeight="1">
      <c r="A814" s="517" t="str">
        <f>IF(B814&lt;&gt;"",IF(AND(B814&gt;=_TM1,B814&lt;=_TM2,OR(TH!L814="1111",TH!M814="1111")),TH!D814,""),"")</f>
        <v/>
      </c>
      <c r="B814" s="531">
        <f t="shared" si="91"/>
        <v>9</v>
      </c>
      <c r="C814" s="315">
        <f t="shared" si="92"/>
        <v>43008</v>
      </c>
      <c r="D814" s="315" t="s">
        <v>461</v>
      </c>
      <c r="E814" s="288">
        <v>43008</v>
      </c>
      <c r="F814" s="248" t="s">
        <v>1726</v>
      </c>
      <c r="G814" s="314"/>
      <c r="H814" s="473" t="s">
        <v>1111</v>
      </c>
      <c r="I814" s="307"/>
      <c r="J814" s="307"/>
      <c r="K814" s="282">
        <v>9746000</v>
      </c>
      <c r="L814" s="533" t="s">
        <v>45</v>
      </c>
      <c r="M814" s="533" t="s">
        <v>223</v>
      </c>
      <c r="N814" s="525" t="str">
        <f>IF(AND('331-CT'!$E$7=TH!H814,OR(L814="331",M814="331")),"331",IF(AND(OR(L814="131",M814="131"),H814='131-CT'!$E$7),"131",""))</f>
        <v/>
      </c>
      <c r="O814" s="525" t="str">
        <f>IF(AND($B814&gt;='111'!$N$11,$B814&lt;='111'!$O$11,OR($L814=$O$7,$M814=$O$7)),"x","")</f>
        <v/>
      </c>
      <c r="P814" s="525" t="str">
        <f>IF(AND($L814=$O$7,$B814&lt;'111'!$N$11),"x","")</f>
        <v>x</v>
      </c>
      <c r="Q814" s="525" t="str">
        <f>IF(AND($M814=$O$7,$B814&lt;'111'!$N$11),"x","")</f>
        <v/>
      </c>
      <c r="R814" s="525" t="str">
        <f>IF(ISERROR(FIND('112'!$M$9,G814,1)),"",IF((AND(FIND('112'!$M$9,G814,1)&gt;=1,$B814&gt;='112'!$N$8,$B814&lt;='112'!$O$8,OR($L814='112'!$I$6,$M814='112'!$I$6))),"x",""))</f>
        <v/>
      </c>
      <c r="S814" s="525" t="str">
        <f>IF(ISERROR(FIND('112'!$M$9,G814,1)),"",IF((AND(LEFT(G814,2)=LEFT('112'!$M$9,2),B814&lt;'112'!$N$8,$L814='112'!$I$6)),"x",""))</f>
        <v/>
      </c>
      <c r="T814" s="525" t="str">
        <f>IF(ISERROR(FIND('112'!$M$9,G814,1)),"",IF((AND(RIGHT(G814,2)=RIGHT('112'!$M$9,2),B814&lt;'112'!$N$8,$M814='112'!$I$6)),"x",""))</f>
        <v/>
      </c>
      <c r="U814" s="525" t="str">
        <f>IF(AND(B814&gt;='IN-NX'!$P$3,B814&lt;='IN-NX'!$Q$3,'IN-NX'!$D$7=D814,OR(LEFT(L814,2)="15",AND(LEFT(M814,2)&lt;&gt;"15",LEFT(M814,2)&lt;&gt;"33"))),"x","")</f>
        <v/>
      </c>
      <c r="V814" s="525" t="str">
        <f>IF(AND(OR(LEFT(TH!L814,2)="15",LEFT(TH!M814,2)="15"),'152-CT'!$J$8=TH!F814),"x","")</f>
        <v/>
      </c>
      <c r="W814" s="525" t="str">
        <f>IF(AND(OR(LEFT(TH!L814,2)="15",LEFT(TH!M814,2)="15"),TK!$E$7=TH!F814),"x","")</f>
        <v/>
      </c>
      <c r="X814" s="525" t="str">
        <f>IF(AND('341-CT'!$E$9=H814,OR(LEFT(L814,3)=$X$7,LEFT(M814,3)=$X$7)),"x","")</f>
        <v/>
      </c>
      <c r="Y814" s="525" t="str">
        <f>IF(OR(TH!L814=TH!$Y$7,M814=TH!$Y$7),"x","")</f>
        <v/>
      </c>
      <c r="Z814" s="525" t="str">
        <f>IF(AND(B814&lt;=NKC!$N$8,B814&gt;=NKC!$M$8),"x","")</f>
        <v/>
      </c>
      <c r="AA814" s="535"/>
      <c r="AB814" s="536"/>
    </row>
    <row r="815" spans="1:28" s="503" customFormat="1" ht="15.75" customHeight="1">
      <c r="A815" s="517" t="str">
        <f>IF(B815&lt;&gt;"",IF(AND(B815&gt;=_TM1,B815&lt;=_TM2,OR(TH!L815="1111",TH!M815="1111")),TH!D815,""),"")</f>
        <v/>
      </c>
      <c r="B815" s="531">
        <f t="shared" si="91"/>
        <v>10</v>
      </c>
      <c r="C815" s="315">
        <f t="shared" si="92"/>
        <v>43009</v>
      </c>
      <c r="D815" s="315" t="s">
        <v>461</v>
      </c>
      <c r="E815" s="288">
        <v>43009</v>
      </c>
      <c r="F815" s="248" t="s">
        <v>1726</v>
      </c>
      <c r="G815" s="314"/>
      <c r="H815" s="472" t="s">
        <v>294</v>
      </c>
      <c r="I815" s="307"/>
      <c r="J815" s="307"/>
      <c r="K815" s="282">
        <v>25869505</v>
      </c>
      <c r="L815" s="533" t="s">
        <v>45</v>
      </c>
      <c r="M815" s="533" t="s">
        <v>223</v>
      </c>
      <c r="N815" s="525" t="str">
        <f>IF(AND('331-CT'!$E$7=TH!H815,OR(L815="331",M815="331")),"331",IF(AND(OR(L815="131",M815="131"),H815='131-CT'!$E$7),"131",""))</f>
        <v/>
      </c>
      <c r="O815" s="525" t="str">
        <f>IF(AND($B815&gt;='111'!$N$11,$B815&lt;='111'!$O$11,OR($L815=$O$7,$M815=$O$7)),"x","")</f>
        <v>x</v>
      </c>
      <c r="P815" s="525" t="str">
        <f>IF(AND($L815=$O$7,$B815&lt;'111'!$N$11),"x","")</f>
        <v/>
      </c>
      <c r="Q815" s="525" t="str">
        <f>IF(AND($M815=$O$7,$B815&lt;'111'!$N$11),"x","")</f>
        <v/>
      </c>
      <c r="R815" s="525" t="str">
        <f>IF(ISERROR(FIND('112'!$M$9,G815,1)),"",IF((AND(FIND('112'!$M$9,G815,1)&gt;=1,$B815&gt;='112'!$N$8,$B815&lt;='112'!$O$8,OR($L815='112'!$I$6,$M815='112'!$I$6))),"x",""))</f>
        <v/>
      </c>
      <c r="S815" s="525" t="str">
        <f>IF(ISERROR(FIND('112'!$M$9,G815,1)),"",IF((AND(LEFT(G815,2)=LEFT('112'!$M$9,2),B815&lt;'112'!$N$8,$L815='112'!$I$6)),"x",""))</f>
        <v/>
      </c>
      <c r="T815" s="525" t="str">
        <f>IF(ISERROR(FIND('112'!$M$9,G815,1)),"",IF((AND(RIGHT(G815,2)=RIGHT('112'!$M$9,2),B815&lt;'112'!$N$8,$M815='112'!$I$6)),"x",""))</f>
        <v/>
      </c>
      <c r="U815" s="525" t="str">
        <f>IF(AND(B815&gt;='IN-NX'!$P$3,B815&lt;='IN-NX'!$Q$3,'IN-NX'!$D$7=D815,OR(LEFT(L815,2)="15",AND(LEFT(M815,2)&lt;&gt;"15",LEFT(M815,2)&lt;&gt;"33"))),"x","")</f>
        <v/>
      </c>
      <c r="V815" s="525" t="str">
        <f>IF(AND(OR(LEFT(TH!L815,2)="15",LEFT(TH!M815,2)="15"),'152-CT'!$J$8=TH!F815),"x","")</f>
        <v/>
      </c>
      <c r="W815" s="525" t="str">
        <f>IF(AND(OR(LEFT(TH!L815,2)="15",LEFT(TH!M815,2)="15"),TK!$E$7=TH!F815),"x","")</f>
        <v/>
      </c>
      <c r="X815" s="525" t="str">
        <f>IF(AND('341-CT'!$E$9=H815,OR(LEFT(L815,3)=$X$7,LEFT(M815,3)=$X$7)),"x","")</f>
        <v/>
      </c>
      <c r="Y815" s="525" t="str">
        <f>IF(OR(TH!L815=TH!$Y$7,M815=TH!$Y$7),"x","")</f>
        <v/>
      </c>
      <c r="Z815" s="525" t="str">
        <f>IF(AND(B815&lt;=NKC!$N$8,B815&gt;=NKC!$M$8),"x","")</f>
        <v/>
      </c>
      <c r="AA815" s="535"/>
    </row>
    <row r="816" spans="1:28" s="503" customFormat="1" ht="15.75" customHeight="1">
      <c r="A816" s="517" t="str">
        <f>IF(B816&lt;&gt;"",IF(AND(B816&gt;=_TM1,B816&lt;=_TM2,OR(TH!L816="1111",TH!M816="1111")),TH!D816,""),"")</f>
        <v/>
      </c>
      <c r="B816" s="531">
        <f t="shared" si="91"/>
        <v>10</v>
      </c>
      <c r="C816" s="315">
        <f t="shared" si="92"/>
        <v>43010</v>
      </c>
      <c r="D816" s="315" t="s">
        <v>461</v>
      </c>
      <c r="E816" s="288">
        <v>43010</v>
      </c>
      <c r="F816" s="248" t="s">
        <v>1726</v>
      </c>
      <c r="G816" s="314"/>
      <c r="H816" s="473" t="s">
        <v>562</v>
      </c>
      <c r="I816" s="307"/>
      <c r="J816" s="307"/>
      <c r="K816" s="282">
        <v>8800000</v>
      </c>
      <c r="L816" s="533" t="s">
        <v>45</v>
      </c>
      <c r="M816" s="533" t="s">
        <v>223</v>
      </c>
      <c r="N816" s="525" t="str">
        <f>IF(AND('331-CT'!$E$7=TH!H816,OR(L816="331",M816="331")),"331",IF(AND(OR(L816="131",M816="131"),H816='131-CT'!$E$7),"131",""))</f>
        <v/>
      </c>
      <c r="O816" s="525" t="str">
        <f>IF(AND($B816&gt;='111'!$N$11,$B816&lt;='111'!$O$11,OR($L816=$O$7,$M816=$O$7)),"x","")</f>
        <v>x</v>
      </c>
      <c r="P816" s="525" t="str">
        <f>IF(AND($L816=$O$7,$B816&lt;'111'!$N$11),"x","")</f>
        <v/>
      </c>
      <c r="Q816" s="525" t="str">
        <f>IF(AND($M816=$O$7,$B816&lt;'111'!$N$11),"x","")</f>
        <v/>
      </c>
      <c r="R816" s="525" t="str">
        <f>IF(ISERROR(FIND('112'!$M$9,G816,1)),"",IF((AND(FIND('112'!$M$9,G816,1)&gt;=1,$B816&gt;='112'!$N$8,$B816&lt;='112'!$O$8,OR($L816='112'!$I$6,$M816='112'!$I$6))),"x",""))</f>
        <v/>
      </c>
      <c r="S816" s="525" t="str">
        <f>IF(ISERROR(FIND('112'!$M$9,G816,1)),"",IF((AND(LEFT(G816,2)=LEFT('112'!$M$9,2),B816&lt;'112'!$N$8,$L816='112'!$I$6)),"x",""))</f>
        <v/>
      </c>
      <c r="T816" s="525" t="str">
        <f>IF(ISERROR(FIND('112'!$M$9,G816,1)),"",IF((AND(RIGHT(G816,2)=RIGHT('112'!$M$9,2),B816&lt;'112'!$N$8,$M816='112'!$I$6)),"x",""))</f>
        <v/>
      </c>
      <c r="U816" s="525" t="str">
        <f>IF(AND(B816&gt;='IN-NX'!$P$3,B816&lt;='IN-NX'!$Q$3,'IN-NX'!$D$7=D816,OR(LEFT(L816,2)="15",AND(LEFT(M816,2)&lt;&gt;"15",LEFT(M816,2)&lt;&gt;"33"))),"x","")</f>
        <v/>
      </c>
      <c r="V816" s="525" t="str">
        <f>IF(AND(OR(LEFT(TH!L816,2)="15",LEFT(TH!M816,2)="15"),'152-CT'!$J$8=TH!F816),"x","")</f>
        <v/>
      </c>
      <c r="W816" s="525" t="str">
        <f>IF(AND(OR(LEFT(TH!L816,2)="15",LEFT(TH!M816,2)="15"),TK!$E$7=TH!F816),"x","")</f>
        <v/>
      </c>
      <c r="X816" s="525" t="str">
        <f>IF(AND('341-CT'!$E$9=H816,OR(LEFT(L816,3)=$X$7,LEFT(M816,3)=$X$7)),"x","")</f>
        <v/>
      </c>
      <c r="Y816" s="525" t="str">
        <f>IF(OR(TH!L816=TH!$Y$7,M816=TH!$Y$7),"x","")</f>
        <v/>
      </c>
      <c r="Z816" s="525" t="str">
        <f>IF(AND(B816&lt;=NKC!$N$8,B816&gt;=NKC!$M$8),"x","")</f>
        <v/>
      </c>
      <c r="AA816" s="535"/>
      <c r="AB816" s="536"/>
    </row>
    <row r="817" spans="1:28" s="503" customFormat="1" ht="15.75" customHeight="1">
      <c r="A817" s="517" t="str">
        <f>IF(B817&lt;&gt;"",IF(AND(B817&gt;=_TM1,B817&lt;=_TM2,OR(TH!L817="1111",TH!M817="1111")),TH!D817,""),"")</f>
        <v/>
      </c>
      <c r="B817" s="531">
        <f t="shared" si="91"/>
        <v>10</v>
      </c>
      <c r="C817" s="315">
        <f t="shared" si="92"/>
        <v>43011</v>
      </c>
      <c r="D817" s="315" t="s">
        <v>461</v>
      </c>
      <c r="E817" s="288">
        <v>43011</v>
      </c>
      <c r="F817" s="248" t="s">
        <v>1726</v>
      </c>
      <c r="G817" s="314"/>
      <c r="H817" s="473" t="s">
        <v>392</v>
      </c>
      <c r="I817" s="307"/>
      <c r="J817" s="307"/>
      <c r="K817" s="282">
        <v>7067500</v>
      </c>
      <c r="L817" s="533" t="s">
        <v>45</v>
      </c>
      <c r="M817" s="533" t="s">
        <v>223</v>
      </c>
      <c r="N817" s="525" t="str">
        <f>IF(AND('331-CT'!$E$7=TH!H817,OR(L817="331",M817="331")),"331",IF(AND(OR(L817="131",M817="131"),H817='131-CT'!$E$7),"131",""))</f>
        <v/>
      </c>
      <c r="O817" s="525" t="str">
        <f>IF(AND($B817&gt;='111'!$N$11,$B817&lt;='111'!$O$11,OR($L817=$O$7,$M817=$O$7)),"x","")</f>
        <v>x</v>
      </c>
      <c r="P817" s="525" t="str">
        <f>IF(AND($L817=$O$7,$B817&lt;'111'!$N$11),"x","")</f>
        <v/>
      </c>
      <c r="Q817" s="525" t="str">
        <f>IF(AND($M817=$O$7,$B817&lt;'111'!$N$11),"x","")</f>
        <v/>
      </c>
      <c r="R817" s="525" t="str">
        <f>IF(ISERROR(FIND('112'!$M$9,G817,1)),"",IF((AND(FIND('112'!$M$9,G817,1)&gt;=1,$B817&gt;='112'!$N$8,$B817&lt;='112'!$O$8,OR($L817='112'!$I$6,$M817='112'!$I$6))),"x",""))</f>
        <v/>
      </c>
      <c r="S817" s="525" t="str">
        <f>IF(ISERROR(FIND('112'!$M$9,G817,1)),"",IF((AND(LEFT(G817,2)=LEFT('112'!$M$9,2),B817&lt;'112'!$N$8,$L817='112'!$I$6)),"x",""))</f>
        <v/>
      </c>
      <c r="T817" s="525" t="str">
        <f>IF(ISERROR(FIND('112'!$M$9,G817,1)),"",IF((AND(RIGHT(G817,2)=RIGHT('112'!$M$9,2),B817&lt;'112'!$N$8,$M817='112'!$I$6)),"x",""))</f>
        <v/>
      </c>
      <c r="U817" s="525" t="str">
        <f>IF(AND(B817&gt;='IN-NX'!$P$3,B817&lt;='IN-NX'!$Q$3,'IN-NX'!$D$7=D817,OR(LEFT(L817,2)="15",AND(LEFT(M817,2)&lt;&gt;"15",LEFT(M817,2)&lt;&gt;"33"))),"x","")</f>
        <v/>
      </c>
      <c r="V817" s="525" t="str">
        <f>IF(AND(OR(LEFT(TH!L817,2)="15",LEFT(TH!M817,2)="15"),'152-CT'!$J$8=TH!F817),"x","")</f>
        <v/>
      </c>
      <c r="W817" s="525" t="str">
        <f>IF(AND(OR(LEFT(TH!L817,2)="15",LEFT(TH!M817,2)="15"),TK!$E$7=TH!F817),"x","")</f>
        <v/>
      </c>
      <c r="X817" s="525" t="str">
        <f>IF(AND('341-CT'!$E$9=H817,OR(LEFT(L817,3)=$X$7,LEFT(M817,3)=$X$7)),"x","")</f>
        <v/>
      </c>
      <c r="Y817" s="525" t="str">
        <f>IF(OR(TH!L817=TH!$Y$7,M817=TH!$Y$7),"x","")</f>
        <v/>
      </c>
      <c r="Z817" s="525" t="str">
        <f>IF(AND(B817&lt;=NKC!$N$8,B817&gt;=NKC!$M$8),"x","")</f>
        <v/>
      </c>
      <c r="AA817" s="535"/>
    </row>
    <row r="818" spans="1:28" s="503" customFormat="1" ht="15.75" customHeight="1">
      <c r="A818" s="517" t="str">
        <f>IF(B818&lt;&gt;"",IF(AND(B818&gt;=_TM1,B818&lt;=_TM2,OR(TH!L818="1111",TH!M818="1111")),TH!D818,""),"")</f>
        <v/>
      </c>
      <c r="B818" s="531">
        <f t="shared" si="91"/>
        <v>10</v>
      </c>
      <c r="C818" s="315">
        <f t="shared" si="92"/>
        <v>43012</v>
      </c>
      <c r="D818" s="315" t="s">
        <v>461</v>
      </c>
      <c r="E818" s="288">
        <v>43012</v>
      </c>
      <c r="F818" s="248" t="s">
        <v>1726</v>
      </c>
      <c r="G818" s="314"/>
      <c r="H818" s="473" t="s">
        <v>439</v>
      </c>
      <c r="I818" s="307"/>
      <c r="J818" s="307"/>
      <c r="K818" s="282">
        <v>49939173</v>
      </c>
      <c r="L818" s="533" t="s">
        <v>45</v>
      </c>
      <c r="M818" s="533" t="s">
        <v>223</v>
      </c>
      <c r="N818" s="525" t="str">
        <f>IF(AND('331-CT'!$E$7=TH!H818,OR(L818="331",M818="331")),"331",IF(AND(OR(L818="131",M818="131"),H818='131-CT'!$E$7),"131",""))</f>
        <v/>
      </c>
      <c r="O818" s="525" t="str">
        <f>IF(AND($B818&gt;='111'!$N$11,$B818&lt;='111'!$O$11,OR($L818=$O$7,$M818=$O$7)),"x","")</f>
        <v>x</v>
      </c>
      <c r="P818" s="525" t="str">
        <f>IF(AND($L818=$O$7,$B818&lt;'111'!$N$11),"x","")</f>
        <v/>
      </c>
      <c r="Q818" s="525" t="str">
        <f>IF(AND($M818=$O$7,$B818&lt;'111'!$N$11),"x","")</f>
        <v/>
      </c>
      <c r="R818" s="525" t="str">
        <f>IF(ISERROR(FIND('112'!$M$9,G818,1)),"",IF((AND(FIND('112'!$M$9,G818,1)&gt;=1,$B818&gt;='112'!$N$8,$B818&lt;='112'!$O$8,OR($L818='112'!$I$6,$M818='112'!$I$6))),"x",""))</f>
        <v/>
      </c>
      <c r="S818" s="525" t="str">
        <f>IF(ISERROR(FIND('112'!$M$9,G818,1)),"",IF((AND(LEFT(G818,2)=LEFT('112'!$M$9,2),B818&lt;'112'!$N$8,$L818='112'!$I$6)),"x",""))</f>
        <v/>
      </c>
      <c r="T818" s="525" t="str">
        <f>IF(ISERROR(FIND('112'!$M$9,G818,1)),"",IF((AND(RIGHT(G818,2)=RIGHT('112'!$M$9,2),B818&lt;'112'!$N$8,$M818='112'!$I$6)),"x",""))</f>
        <v/>
      </c>
      <c r="U818" s="525" t="str">
        <f>IF(AND(B818&gt;='IN-NX'!$P$3,B818&lt;='IN-NX'!$Q$3,'IN-NX'!$D$7=D818,OR(LEFT(L818,2)="15",AND(LEFT(M818,2)&lt;&gt;"15",LEFT(M818,2)&lt;&gt;"33"))),"x","")</f>
        <v/>
      </c>
      <c r="V818" s="525" t="str">
        <f>IF(AND(OR(LEFT(TH!L818,2)="15",LEFT(TH!M818,2)="15"),'152-CT'!$J$8=TH!F818),"x","")</f>
        <v/>
      </c>
      <c r="W818" s="525" t="str">
        <f>IF(AND(OR(LEFT(TH!L818,2)="15",LEFT(TH!M818,2)="15"),TK!$E$7=TH!F818),"x","")</f>
        <v/>
      </c>
      <c r="X818" s="525" t="str">
        <f>IF(AND('341-CT'!$E$9=H818,OR(LEFT(L818,3)=$X$7,LEFT(M818,3)=$X$7)),"x","")</f>
        <v/>
      </c>
      <c r="Y818" s="525" t="str">
        <f>IF(OR(TH!L818=TH!$Y$7,M818=TH!$Y$7),"x","")</f>
        <v/>
      </c>
      <c r="Z818" s="525" t="str">
        <f>IF(AND(B818&lt;=NKC!$N$8,B818&gt;=NKC!$M$8),"x","")</f>
        <v/>
      </c>
      <c r="AA818" s="535"/>
    </row>
    <row r="819" spans="1:28" s="503" customFormat="1" ht="15.75" customHeight="1">
      <c r="A819" s="517" t="str">
        <f>IF(B819&lt;&gt;"",IF(AND(B819&gt;=_TM1,B819&lt;=_TM2,OR(TH!L819="1111",TH!M819="1111")),TH!D819,""),"")</f>
        <v/>
      </c>
      <c r="B819" s="531">
        <f t="shared" si="91"/>
        <v>10</v>
      </c>
      <c r="C819" s="315">
        <f t="shared" si="92"/>
        <v>43013</v>
      </c>
      <c r="D819" s="315" t="s">
        <v>461</v>
      </c>
      <c r="E819" s="288">
        <v>43013</v>
      </c>
      <c r="F819" s="248" t="s">
        <v>1726</v>
      </c>
      <c r="G819" s="314"/>
      <c r="H819" s="473" t="s">
        <v>422</v>
      </c>
      <c r="I819" s="307"/>
      <c r="J819" s="307"/>
      <c r="K819" s="282">
        <v>47190000</v>
      </c>
      <c r="L819" s="533" t="s">
        <v>45</v>
      </c>
      <c r="M819" s="533" t="s">
        <v>223</v>
      </c>
      <c r="N819" s="525" t="str">
        <f>IF(AND('331-CT'!$E$7=TH!H819,OR(L819="331",M819="331")),"331",IF(AND(OR(L819="131",M819="131"),H819='131-CT'!$E$7),"131",""))</f>
        <v/>
      </c>
      <c r="O819" s="525" t="str">
        <f>IF(AND($B819&gt;='111'!$N$11,$B819&lt;='111'!$O$11,OR($L819=$O$7,$M819=$O$7)),"x","")</f>
        <v>x</v>
      </c>
      <c r="P819" s="525" t="str">
        <f>IF(AND($L819=$O$7,$B819&lt;'111'!$N$11),"x","")</f>
        <v/>
      </c>
      <c r="Q819" s="525" t="str">
        <f>IF(AND($M819=$O$7,$B819&lt;'111'!$N$11),"x","")</f>
        <v/>
      </c>
      <c r="R819" s="525" t="str">
        <f>IF(ISERROR(FIND('112'!$M$9,G819,1)),"",IF((AND(FIND('112'!$M$9,G819,1)&gt;=1,$B819&gt;='112'!$N$8,$B819&lt;='112'!$O$8,OR($L819='112'!$I$6,$M819='112'!$I$6))),"x",""))</f>
        <v/>
      </c>
      <c r="S819" s="525" t="str">
        <f>IF(ISERROR(FIND('112'!$M$9,G819,1)),"",IF((AND(LEFT(G819,2)=LEFT('112'!$M$9,2),B819&lt;'112'!$N$8,$L819='112'!$I$6)),"x",""))</f>
        <v/>
      </c>
      <c r="T819" s="525" t="str">
        <f>IF(ISERROR(FIND('112'!$M$9,G819,1)),"",IF((AND(RIGHT(G819,2)=RIGHT('112'!$M$9,2),B819&lt;'112'!$N$8,$M819='112'!$I$6)),"x",""))</f>
        <v/>
      </c>
      <c r="U819" s="525" t="str">
        <f>IF(AND(B819&gt;='IN-NX'!$P$3,B819&lt;='IN-NX'!$Q$3,'IN-NX'!$D$7=D819,OR(LEFT(L819,2)="15",AND(LEFT(M819,2)&lt;&gt;"15",LEFT(M819,2)&lt;&gt;"33"))),"x","")</f>
        <v/>
      </c>
      <c r="V819" s="525" t="str">
        <f>IF(AND(OR(LEFT(TH!L819,2)="15",LEFT(TH!M819,2)="15"),'152-CT'!$J$8=TH!F819),"x","")</f>
        <v/>
      </c>
      <c r="W819" s="525" t="str">
        <f>IF(AND(OR(LEFT(TH!L819,2)="15",LEFT(TH!M819,2)="15"),TK!$E$7=TH!F819),"x","")</f>
        <v/>
      </c>
      <c r="X819" s="525" t="str">
        <f>IF(AND('341-CT'!$E$9=H819,OR(LEFT(L819,3)=$X$7,LEFT(M819,3)=$X$7)),"x","")</f>
        <v/>
      </c>
      <c r="Y819" s="525" t="str">
        <f>IF(OR(TH!L819=TH!$Y$7,M819=TH!$Y$7),"x","")</f>
        <v/>
      </c>
      <c r="Z819" s="525" t="str">
        <f>IF(AND(B819&lt;=NKC!$N$8,B819&gt;=NKC!$M$8),"x","")</f>
        <v/>
      </c>
      <c r="AA819" s="535"/>
      <c r="AB819" s="536"/>
    </row>
    <row r="820" spans="1:28" s="503" customFormat="1" ht="15.75" customHeight="1">
      <c r="A820" s="517" t="str">
        <f>IF(B820&lt;&gt;"",IF(AND(B820&gt;=_TM1,B820&lt;=_TM2,OR(TH!L820="1111",TH!M820="1111")),TH!D820,""),"")</f>
        <v/>
      </c>
      <c r="B820" s="531">
        <f t="shared" si="91"/>
        <v>10</v>
      </c>
      <c r="C820" s="315">
        <f t="shared" si="92"/>
        <v>43014</v>
      </c>
      <c r="D820" s="315" t="s">
        <v>461</v>
      </c>
      <c r="E820" s="288">
        <v>43014</v>
      </c>
      <c r="F820" s="248" t="s">
        <v>1726</v>
      </c>
      <c r="G820" s="314"/>
      <c r="H820" s="473" t="s">
        <v>595</v>
      </c>
      <c r="I820" s="307"/>
      <c r="J820" s="307"/>
      <c r="K820" s="282">
        <v>2022500</v>
      </c>
      <c r="L820" s="533" t="s">
        <v>45</v>
      </c>
      <c r="M820" s="533" t="s">
        <v>223</v>
      </c>
      <c r="N820" s="525" t="str">
        <f>IF(AND('331-CT'!$E$7=TH!H820,OR(L820="331",M820="331")),"331",IF(AND(OR(L820="131",M820="131"),H820='131-CT'!$E$7),"131",""))</f>
        <v/>
      </c>
      <c r="O820" s="525" t="str">
        <f>IF(AND($B820&gt;='111'!$N$11,$B820&lt;='111'!$O$11,OR($L820=$O$7,$M820=$O$7)),"x","")</f>
        <v>x</v>
      </c>
      <c r="P820" s="525" t="str">
        <f>IF(AND($L820=$O$7,$B820&lt;'111'!$N$11),"x","")</f>
        <v/>
      </c>
      <c r="Q820" s="525" t="str">
        <f>IF(AND($M820=$O$7,$B820&lt;'111'!$N$11),"x","")</f>
        <v/>
      </c>
      <c r="R820" s="525" t="str">
        <f>IF(ISERROR(FIND('112'!$M$9,G820,1)),"",IF((AND(FIND('112'!$M$9,G820,1)&gt;=1,$B820&gt;='112'!$N$8,$B820&lt;='112'!$O$8,OR($L820='112'!$I$6,$M820='112'!$I$6))),"x",""))</f>
        <v/>
      </c>
      <c r="S820" s="525" t="str">
        <f>IF(ISERROR(FIND('112'!$M$9,G820,1)),"",IF((AND(LEFT(G820,2)=LEFT('112'!$M$9,2),B820&lt;'112'!$N$8,$L820='112'!$I$6)),"x",""))</f>
        <v/>
      </c>
      <c r="T820" s="525" t="str">
        <f>IF(ISERROR(FIND('112'!$M$9,G820,1)),"",IF((AND(RIGHT(G820,2)=RIGHT('112'!$M$9,2),B820&lt;'112'!$N$8,$M820='112'!$I$6)),"x",""))</f>
        <v/>
      </c>
      <c r="U820" s="525" t="str">
        <f>IF(AND(B820&gt;='IN-NX'!$P$3,B820&lt;='IN-NX'!$Q$3,'IN-NX'!$D$7=D820,OR(LEFT(L820,2)="15",AND(LEFT(M820,2)&lt;&gt;"15",LEFT(M820,2)&lt;&gt;"33"))),"x","")</f>
        <v/>
      </c>
      <c r="V820" s="525" t="str">
        <f>IF(AND(OR(LEFT(TH!L820,2)="15",LEFT(TH!M820,2)="15"),'152-CT'!$J$8=TH!F820),"x","")</f>
        <v/>
      </c>
      <c r="W820" s="525" t="str">
        <f>IF(AND(OR(LEFT(TH!L820,2)="15",LEFT(TH!M820,2)="15"),TK!$E$7=TH!F820),"x","")</f>
        <v/>
      </c>
      <c r="X820" s="525" t="str">
        <f>IF(AND('341-CT'!$E$9=H820,OR(LEFT(L820,3)=$X$7,LEFT(M820,3)=$X$7)),"x","")</f>
        <v/>
      </c>
      <c r="Y820" s="525" t="str">
        <f>IF(OR(TH!L820=TH!$Y$7,M820=TH!$Y$7),"x","")</f>
        <v/>
      </c>
      <c r="Z820" s="525" t="str">
        <f>IF(AND(B820&lt;=NKC!$N$8,B820&gt;=NKC!$M$8),"x","")</f>
        <v/>
      </c>
      <c r="AA820" s="535"/>
    </row>
    <row r="821" spans="1:28" s="503" customFormat="1" ht="15.75" customHeight="1">
      <c r="A821" s="517" t="str">
        <f>IF(B821&lt;&gt;"",IF(AND(B821&gt;=_TM1,B821&lt;=_TM2,OR(TH!L821="1111",TH!M821="1111")),TH!D821,""),"")</f>
        <v/>
      </c>
      <c r="B821" s="531">
        <f t="shared" si="77"/>
        <v>10</v>
      </c>
      <c r="C821" s="315">
        <f t="shared" si="78"/>
        <v>43012</v>
      </c>
      <c r="D821" s="315" t="s">
        <v>461</v>
      </c>
      <c r="E821" s="288">
        <v>43012</v>
      </c>
      <c r="F821" s="248" t="s">
        <v>1726</v>
      </c>
      <c r="G821" s="314"/>
      <c r="H821" s="473" t="s">
        <v>1193</v>
      </c>
      <c r="I821" s="307"/>
      <c r="J821" s="307"/>
      <c r="K821" s="282">
        <v>948200</v>
      </c>
      <c r="L821" s="533" t="s">
        <v>45</v>
      </c>
      <c r="M821" s="533" t="s">
        <v>223</v>
      </c>
      <c r="N821" s="525" t="str">
        <f>IF(AND('331-CT'!$E$7=TH!H821,OR(L821="331",M821="331")),"331",IF(AND(OR(L821="131",M821="131"),H821='131-CT'!$E$7),"131",""))</f>
        <v/>
      </c>
      <c r="O821" s="525" t="str">
        <f>IF(AND($B821&gt;='111'!$N$11,$B821&lt;='111'!$O$11,OR($L821=$O$7,$M821=$O$7)),"x","")</f>
        <v>x</v>
      </c>
      <c r="P821" s="525" t="str">
        <f>IF(AND($L821=$O$7,$B821&lt;'111'!$N$11),"x","")</f>
        <v/>
      </c>
      <c r="Q821" s="525" t="str">
        <f>IF(AND($M821=$O$7,$B821&lt;'111'!$N$11),"x","")</f>
        <v/>
      </c>
      <c r="R821" s="525" t="str">
        <f>IF(ISERROR(FIND('112'!$M$9,G821,1)),"",IF((AND(FIND('112'!$M$9,G821,1)&gt;=1,$B821&gt;='112'!$N$8,$B821&lt;='112'!$O$8,OR($L821='112'!$I$6,$M821='112'!$I$6))),"x",""))</f>
        <v/>
      </c>
      <c r="S821" s="525" t="str">
        <f>IF(ISERROR(FIND('112'!$M$9,G821,1)),"",IF((AND(LEFT(G821,2)=LEFT('112'!$M$9,2),B821&lt;'112'!$N$8,$L821='112'!$I$6)),"x",""))</f>
        <v/>
      </c>
      <c r="T821" s="525" t="str">
        <f>IF(ISERROR(FIND('112'!$M$9,G821,1)),"",IF((AND(RIGHT(G821,2)=RIGHT('112'!$M$9,2),B821&lt;'112'!$N$8,$M821='112'!$I$6)),"x",""))</f>
        <v/>
      </c>
      <c r="U821" s="525" t="str">
        <f>IF(AND(B821&gt;='IN-NX'!$P$3,B821&lt;='IN-NX'!$Q$3,'IN-NX'!$D$7=D821,OR(LEFT(L821,2)="15",AND(LEFT(M821,2)&lt;&gt;"15",LEFT(M821,2)&lt;&gt;"33"))),"x","")</f>
        <v/>
      </c>
      <c r="V821" s="525" t="str">
        <f>IF(AND(OR(LEFT(TH!L821,2)="15",LEFT(TH!M821,2)="15"),'152-CT'!$J$8=TH!F821),"x","")</f>
        <v/>
      </c>
      <c r="W821" s="525" t="str">
        <f>IF(AND(OR(LEFT(TH!L821,2)="15",LEFT(TH!M821,2)="15"),TK!$E$7=TH!F821),"x","")</f>
        <v/>
      </c>
      <c r="X821" s="525" t="str">
        <f>IF(AND('341-CT'!$E$9=H821,OR(LEFT(L821,3)=$X$7,LEFT(M821,3)=$X$7)),"x","")</f>
        <v/>
      </c>
      <c r="Y821" s="525" t="str">
        <f>IF(OR(TH!L821=TH!$Y$7,M821=TH!$Y$7),"x","")</f>
        <v/>
      </c>
      <c r="Z821" s="525" t="str">
        <f>IF(AND(B821&lt;=NKC!$N$8,B821&gt;=NKC!$M$8),"x","")</f>
        <v/>
      </c>
      <c r="AA821" s="535"/>
    </row>
    <row r="822" spans="1:28" s="503" customFormat="1" ht="15.75" customHeight="1">
      <c r="A822" s="517" t="str">
        <f>IF(B822&lt;&gt;"",IF(AND(B822&gt;=_TM1,B822&lt;=_TM2,OR(TH!L822="1111",TH!M822="1111")),TH!D822,""),"")</f>
        <v/>
      </c>
      <c r="B822" s="531">
        <f t="shared" si="77"/>
        <v>10</v>
      </c>
      <c r="C822" s="315">
        <f t="shared" si="78"/>
        <v>43013</v>
      </c>
      <c r="D822" s="315" t="s">
        <v>461</v>
      </c>
      <c r="E822" s="288">
        <v>43013</v>
      </c>
      <c r="F822" s="248" t="s">
        <v>1726</v>
      </c>
      <c r="G822" s="314"/>
      <c r="H822" s="473" t="s">
        <v>1218</v>
      </c>
      <c r="I822" s="307"/>
      <c r="J822" s="307"/>
      <c r="K822" s="282">
        <v>571973950</v>
      </c>
      <c r="L822" s="533" t="s">
        <v>45</v>
      </c>
      <c r="M822" s="533" t="s">
        <v>223</v>
      </c>
      <c r="N822" s="525" t="str">
        <f>IF(AND('331-CT'!$E$7=TH!H822,OR(L822="331",M822="331")),"331",IF(AND(OR(L822="131",M822="131"),H822='131-CT'!$E$7),"131",""))</f>
        <v/>
      </c>
      <c r="O822" s="525" t="str">
        <f>IF(AND($B822&gt;='111'!$N$11,$B822&lt;='111'!$O$11,OR($L822=$O$7,$M822=$O$7)),"x","")</f>
        <v>x</v>
      </c>
      <c r="P822" s="525" t="str">
        <f>IF(AND($L822=$O$7,$B822&lt;'111'!$N$11),"x","")</f>
        <v/>
      </c>
      <c r="Q822" s="525" t="str">
        <f>IF(AND($M822=$O$7,$B822&lt;'111'!$N$11),"x","")</f>
        <v/>
      </c>
      <c r="R822" s="525" t="str">
        <f>IF(ISERROR(FIND('112'!$M$9,G822,1)),"",IF((AND(FIND('112'!$M$9,G822,1)&gt;=1,$B822&gt;='112'!$N$8,$B822&lt;='112'!$O$8,OR($L822='112'!$I$6,$M822='112'!$I$6))),"x",""))</f>
        <v/>
      </c>
      <c r="S822" s="525" t="str">
        <f>IF(ISERROR(FIND('112'!$M$9,G822,1)),"",IF((AND(LEFT(G822,2)=LEFT('112'!$M$9,2),B822&lt;'112'!$N$8,$L822='112'!$I$6)),"x",""))</f>
        <v/>
      </c>
      <c r="T822" s="525" t="str">
        <f>IF(ISERROR(FIND('112'!$M$9,G822,1)),"",IF((AND(RIGHT(G822,2)=RIGHT('112'!$M$9,2),B822&lt;'112'!$N$8,$M822='112'!$I$6)),"x",""))</f>
        <v/>
      </c>
      <c r="U822" s="525" t="str">
        <f>IF(AND(B822&gt;='IN-NX'!$P$3,B822&lt;='IN-NX'!$Q$3,'IN-NX'!$D$7=D822,OR(LEFT(L822,2)="15",AND(LEFT(M822,2)&lt;&gt;"15",LEFT(M822,2)&lt;&gt;"33"))),"x","")</f>
        <v/>
      </c>
      <c r="V822" s="525" t="str">
        <f>IF(AND(OR(LEFT(TH!L822,2)="15",LEFT(TH!M822,2)="15"),'152-CT'!$J$8=TH!F822),"x","")</f>
        <v/>
      </c>
      <c r="W822" s="525" t="str">
        <f>IF(AND(OR(LEFT(TH!L822,2)="15",LEFT(TH!M822,2)="15"),TK!$E$7=TH!F822),"x","")</f>
        <v/>
      </c>
      <c r="X822" s="525" t="str">
        <f>IF(AND('341-CT'!$E$9=H822,OR(LEFT(L822,3)=$X$7,LEFT(M822,3)=$X$7)),"x","")</f>
        <v/>
      </c>
      <c r="Y822" s="525" t="str">
        <f>IF(OR(TH!L822=TH!$Y$7,M822=TH!$Y$7),"x","")</f>
        <v/>
      </c>
      <c r="Z822" s="525" t="str">
        <f>IF(AND(B822&lt;=NKC!$N$8,B822&gt;=NKC!$M$8),"x","")</f>
        <v/>
      </c>
      <c r="AA822" s="535"/>
      <c r="AB822" s="536"/>
    </row>
    <row r="823" spans="1:28" s="503" customFormat="1" ht="15.75" customHeight="1">
      <c r="A823" s="517" t="str">
        <f>IF(B823&lt;&gt;"",IF(AND(B823&gt;=_TM1,B823&lt;=_TM2,OR(TH!L823="1111",TH!M823="1111")),TH!D823,""),"")</f>
        <v/>
      </c>
      <c r="B823" s="531">
        <f t="shared" si="77"/>
        <v>10</v>
      </c>
      <c r="C823" s="315">
        <f t="shared" si="78"/>
        <v>43014</v>
      </c>
      <c r="D823" s="315" t="s">
        <v>461</v>
      </c>
      <c r="E823" s="288">
        <v>43014</v>
      </c>
      <c r="F823" s="248" t="s">
        <v>1726</v>
      </c>
      <c r="G823" s="314"/>
      <c r="H823" s="473" t="s">
        <v>1303</v>
      </c>
      <c r="I823" s="307"/>
      <c r="J823" s="307"/>
      <c r="K823" s="282">
        <v>0</v>
      </c>
      <c r="L823" s="533" t="s">
        <v>45</v>
      </c>
      <c r="M823" s="533" t="s">
        <v>223</v>
      </c>
      <c r="N823" s="525" t="str">
        <f>IF(AND('331-CT'!$E$7=TH!H823,OR(L823="331",M823="331")),"331",IF(AND(OR(L823="131",M823="131"),H823='131-CT'!$E$7),"131",""))</f>
        <v/>
      </c>
      <c r="O823" s="525" t="str">
        <f>IF(AND($B823&gt;='111'!$N$11,$B823&lt;='111'!$O$11,OR($L823=$O$7,$M823=$O$7)),"x","")</f>
        <v>x</v>
      </c>
      <c r="P823" s="525" t="str">
        <f>IF(AND($L823=$O$7,$B823&lt;'111'!$N$11),"x","")</f>
        <v/>
      </c>
      <c r="Q823" s="525" t="str">
        <f>IF(AND($M823=$O$7,$B823&lt;'111'!$N$11),"x","")</f>
        <v/>
      </c>
      <c r="R823" s="525" t="str">
        <f>IF(ISERROR(FIND('112'!$M$9,G823,1)),"",IF((AND(FIND('112'!$M$9,G823,1)&gt;=1,$B823&gt;='112'!$N$8,$B823&lt;='112'!$O$8,OR($L823='112'!$I$6,$M823='112'!$I$6))),"x",""))</f>
        <v/>
      </c>
      <c r="S823" s="525" t="str">
        <f>IF(ISERROR(FIND('112'!$M$9,G823,1)),"",IF((AND(LEFT(G823,2)=LEFT('112'!$M$9,2),B823&lt;'112'!$N$8,$L823='112'!$I$6)),"x",""))</f>
        <v/>
      </c>
      <c r="T823" s="525" t="str">
        <f>IF(ISERROR(FIND('112'!$M$9,G823,1)),"",IF((AND(RIGHT(G823,2)=RIGHT('112'!$M$9,2),B823&lt;'112'!$N$8,$M823='112'!$I$6)),"x",""))</f>
        <v/>
      </c>
      <c r="U823" s="525" t="str">
        <f>IF(AND(B823&gt;='IN-NX'!$P$3,B823&lt;='IN-NX'!$Q$3,'IN-NX'!$D$7=D823,OR(LEFT(L823,2)="15",AND(LEFT(M823,2)&lt;&gt;"15",LEFT(M823,2)&lt;&gt;"33"))),"x","")</f>
        <v/>
      </c>
      <c r="V823" s="525" t="str">
        <f>IF(AND(OR(LEFT(TH!L823,2)="15",LEFT(TH!M823,2)="15"),'152-CT'!$J$8=TH!F823),"x","")</f>
        <v/>
      </c>
      <c r="W823" s="525" t="str">
        <f>IF(AND(OR(LEFT(TH!L823,2)="15",LEFT(TH!M823,2)="15"),TK!$E$7=TH!F823),"x","")</f>
        <v/>
      </c>
      <c r="X823" s="525" t="str">
        <f>IF(AND('341-CT'!$E$9=H823,OR(LEFT(L823,3)=$X$7,LEFT(M823,3)=$X$7)),"x","")</f>
        <v/>
      </c>
      <c r="Y823" s="525" t="str">
        <f>IF(OR(TH!L823=TH!$Y$7,M823=TH!$Y$7),"x","")</f>
        <v/>
      </c>
      <c r="Z823" s="525" t="str">
        <f>IF(AND(B823&lt;=NKC!$N$8,B823&gt;=NKC!$M$8),"x","")</f>
        <v/>
      </c>
      <c r="AA823" s="535"/>
    </row>
    <row r="824" spans="1:28" s="503" customFormat="1" ht="15.75" customHeight="1">
      <c r="A824" s="517" t="str">
        <f>IF(B824&lt;&gt;"",IF(AND(B824&gt;=_TM1,B824&lt;=_TM2,OR(TH!L824="1111",TH!M824="1111")),TH!D824,""),"")</f>
        <v/>
      </c>
      <c r="B824" s="531">
        <f t="shared" ref="B824:B830" si="93">IF(C824&lt;&gt;"",MONTH(C824),"")</f>
        <v>9</v>
      </c>
      <c r="C824" s="315">
        <f t="shared" ref="C824:C830" si="94">E824</f>
        <v>43008</v>
      </c>
      <c r="D824" s="315" t="s">
        <v>461</v>
      </c>
      <c r="E824" s="288">
        <v>43008</v>
      </c>
      <c r="F824" s="248" t="s">
        <v>1726</v>
      </c>
      <c r="G824" s="314"/>
      <c r="H824" s="473" t="s">
        <v>1309</v>
      </c>
      <c r="I824" s="307"/>
      <c r="J824" s="307"/>
      <c r="K824" s="282">
        <v>80019305</v>
      </c>
      <c r="L824" s="533" t="s">
        <v>45</v>
      </c>
      <c r="M824" s="533" t="s">
        <v>223</v>
      </c>
      <c r="N824" s="525" t="str">
        <f>IF(AND('331-CT'!$E$7=TH!H824,OR(L824="331",M824="331")),"331",IF(AND(OR(L824="131",M824="131"),H824='131-CT'!$E$7),"131",""))</f>
        <v/>
      </c>
      <c r="O824" s="525" t="str">
        <f>IF(AND($B824&gt;='111'!$N$11,$B824&lt;='111'!$O$11,OR($L824=$O$7,$M824=$O$7)),"x","")</f>
        <v/>
      </c>
      <c r="P824" s="525" t="str">
        <f>IF(AND($L824=$O$7,$B824&lt;'111'!$N$11),"x","")</f>
        <v>x</v>
      </c>
      <c r="Q824" s="525" t="str">
        <f>IF(AND($M824=$O$7,$B824&lt;'111'!$N$11),"x","")</f>
        <v/>
      </c>
      <c r="R824" s="525" t="str">
        <f>IF(ISERROR(FIND('112'!$M$9,G824,1)),"",IF((AND(FIND('112'!$M$9,G824,1)&gt;=1,$B824&gt;='112'!$N$8,$B824&lt;='112'!$O$8,OR($L824='112'!$I$6,$M824='112'!$I$6))),"x",""))</f>
        <v/>
      </c>
      <c r="S824" s="525" t="str">
        <f>IF(ISERROR(FIND('112'!$M$9,G824,1)),"",IF((AND(LEFT(G824,2)=LEFT('112'!$M$9,2),B824&lt;'112'!$N$8,$L824='112'!$I$6)),"x",""))</f>
        <v/>
      </c>
      <c r="T824" s="525" t="str">
        <f>IF(ISERROR(FIND('112'!$M$9,G824,1)),"",IF((AND(RIGHT(G824,2)=RIGHT('112'!$M$9,2),B824&lt;'112'!$N$8,$M824='112'!$I$6)),"x",""))</f>
        <v/>
      </c>
      <c r="U824" s="525" t="str">
        <f>IF(AND(B824&gt;='IN-NX'!$P$3,B824&lt;='IN-NX'!$Q$3,'IN-NX'!$D$7=D824,OR(LEFT(L824,2)="15",AND(LEFT(M824,2)&lt;&gt;"15",LEFT(M824,2)&lt;&gt;"33"))),"x","")</f>
        <v/>
      </c>
      <c r="V824" s="525" t="str">
        <f>IF(AND(OR(LEFT(TH!L824,2)="15",LEFT(TH!M824,2)="15"),'152-CT'!$J$8=TH!F824),"x","")</f>
        <v/>
      </c>
      <c r="W824" s="525" t="str">
        <f>IF(AND(OR(LEFT(TH!L824,2)="15",LEFT(TH!M824,2)="15"),TK!$E$7=TH!F824),"x","")</f>
        <v/>
      </c>
      <c r="X824" s="525" t="str">
        <f>IF(AND('341-CT'!$E$9=H824,OR(LEFT(L824,3)=$X$7,LEFT(M824,3)=$X$7)),"x","")</f>
        <v/>
      </c>
      <c r="Y824" s="525" t="str">
        <f>IF(OR(TH!L824=TH!$Y$7,M824=TH!$Y$7),"x","")</f>
        <v/>
      </c>
      <c r="Z824" s="525" t="str">
        <f>IF(AND(B824&lt;=NKC!$N$8,B824&gt;=NKC!$M$8),"x","")</f>
        <v/>
      </c>
      <c r="AA824" s="535"/>
      <c r="AB824" s="536"/>
    </row>
    <row r="825" spans="1:28" s="503" customFormat="1" ht="15.75" customHeight="1">
      <c r="A825" s="517" t="str">
        <f>IF(B825&lt;&gt;"",IF(AND(B825&gt;=_TM1,B825&lt;=_TM2,OR(TH!L825="1111",TH!M825="1111")),TH!D825,""),"")</f>
        <v/>
      </c>
      <c r="B825" s="531">
        <f t="shared" si="93"/>
        <v>10</v>
      </c>
      <c r="C825" s="315">
        <f t="shared" si="94"/>
        <v>43009</v>
      </c>
      <c r="D825" s="315" t="s">
        <v>461</v>
      </c>
      <c r="E825" s="288">
        <v>43009</v>
      </c>
      <c r="F825" s="248" t="s">
        <v>1726</v>
      </c>
      <c r="G825" s="314"/>
      <c r="H825" s="248" t="s">
        <v>1413</v>
      </c>
      <c r="I825" s="307"/>
      <c r="J825" s="307"/>
      <c r="K825" s="282">
        <v>0</v>
      </c>
      <c r="L825" s="533" t="s">
        <v>45</v>
      </c>
      <c r="M825" s="533" t="s">
        <v>223</v>
      </c>
      <c r="N825" s="525" t="str">
        <f>IF(AND('331-CT'!$E$7=TH!H825,OR(L825="331",M825="331")),"331",IF(AND(OR(L825="131",M825="131"),H825='131-CT'!$E$7),"131",""))</f>
        <v/>
      </c>
      <c r="O825" s="525" t="str">
        <f>IF(AND($B825&gt;='111'!$N$11,$B825&lt;='111'!$O$11,OR($L825=$O$7,$M825=$O$7)),"x","")</f>
        <v>x</v>
      </c>
      <c r="P825" s="525" t="str">
        <f>IF(AND($L825=$O$7,$B825&lt;'111'!$N$11),"x","")</f>
        <v/>
      </c>
      <c r="Q825" s="525" t="str">
        <f>IF(AND($M825=$O$7,$B825&lt;'111'!$N$11),"x","")</f>
        <v/>
      </c>
      <c r="R825" s="525" t="str">
        <f>IF(ISERROR(FIND('112'!$M$9,G825,1)),"",IF((AND(FIND('112'!$M$9,G825,1)&gt;=1,$B825&gt;='112'!$N$8,$B825&lt;='112'!$O$8,OR($L825='112'!$I$6,$M825='112'!$I$6))),"x",""))</f>
        <v/>
      </c>
      <c r="S825" s="525" t="str">
        <f>IF(ISERROR(FIND('112'!$M$9,G825,1)),"",IF((AND(LEFT(G825,2)=LEFT('112'!$M$9,2),B825&lt;'112'!$N$8,$L825='112'!$I$6)),"x",""))</f>
        <v/>
      </c>
      <c r="T825" s="525" t="str">
        <f>IF(ISERROR(FIND('112'!$M$9,G825,1)),"",IF((AND(RIGHT(G825,2)=RIGHT('112'!$M$9,2),B825&lt;'112'!$N$8,$M825='112'!$I$6)),"x",""))</f>
        <v/>
      </c>
      <c r="U825" s="525" t="str">
        <f>IF(AND(B825&gt;='IN-NX'!$P$3,B825&lt;='IN-NX'!$Q$3,'IN-NX'!$D$7=D825,OR(LEFT(L825,2)="15",AND(LEFT(M825,2)&lt;&gt;"15",LEFT(M825,2)&lt;&gt;"33"))),"x","")</f>
        <v/>
      </c>
      <c r="V825" s="525" t="str">
        <f>IF(AND(OR(LEFT(TH!L825,2)="15",LEFT(TH!M825,2)="15"),'152-CT'!$J$8=TH!F825),"x","")</f>
        <v/>
      </c>
      <c r="W825" s="525" t="str">
        <f>IF(AND(OR(LEFT(TH!L825,2)="15",LEFT(TH!M825,2)="15"),TK!$E$7=TH!F825),"x","")</f>
        <v/>
      </c>
      <c r="X825" s="525" t="str">
        <f>IF(AND('341-CT'!$E$9=H825,OR(LEFT(L825,3)=$X$7,LEFT(M825,3)=$X$7)),"x","")</f>
        <v/>
      </c>
      <c r="Y825" s="525" t="str">
        <f>IF(OR(TH!L825=TH!$Y$7,M825=TH!$Y$7),"x","")</f>
        <v/>
      </c>
      <c r="Z825" s="525" t="str">
        <f>IF(AND(B825&lt;=NKC!$N$8,B825&gt;=NKC!$M$8),"x","")</f>
        <v/>
      </c>
      <c r="AA825" s="535"/>
    </row>
    <row r="826" spans="1:28" s="503" customFormat="1" ht="15.75" customHeight="1">
      <c r="A826" s="517" t="str">
        <f>IF(B826&lt;&gt;"",IF(AND(B826&gt;=_TM1,B826&lt;=_TM2,OR(TH!L826="1111",TH!M826="1111")),TH!D826,""),"")</f>
        <v/>
      </c>
      <c r="B826" s="531">
        <f t="shared" si="93"/>
        <v>10</v>
      </c>
      <c r="C826" s="315">
        <f t="shared" si="94"/>
        <v>43010</v>
      </c>
      <c r="D826" s="315" t="s">
        <v>461</v>
      </c>
      <c r="E826" s="288">
        <v>43010</v>
      </c>
      <c r="F826" s="248" t="s">
        <v>1726</v>
      </c>
      <c r="G826" s="314"/>
      <c r="H826" s="248" t="s">
        <v>1374</v>
      </c>
      <c r="I826" s="307"/>
      <c r="J826" s="307"/>
      <c r="K826" s="282">
        <v>134898550</v>
      </c>
      <c r="L826" s="533" t="s">
        <v>45</v>
      </c>
      <c r="M826" s="533" t="s">
        <v>223</v>
      </c>
      <c r="N826" s="525" t="str">
        <f>IF(AND('331-CT'!$E$7=TH!H826,OR(L826="331",M826="331")),"331",IF(AND(OR(L826="131",M826="131"),H826='131-CT'!$E$7),"131",""))</f>
        <v/>
      </c>
      <c r="O826" s="525" t="str">
        <f>IF(AND($B826&gt;='111'!$N$11,$B826&lt;='111'!$O$11,OR($L826=$O$7,$M826=$O$7)),"x","")</f>
        <v>x</v>
      </c>
      <c r="P826" s="525" t="str">
        <f>IF(AND($L826=$O$7,$B826&lt;'111'!$N$11),"x","")</f>
        <v/>
      </c>
      <c r="Q826" s="525" t="str">
        <f>IF(AND($M826=$O$7,$B826&lt;'111'!$N$11),"x","")</f>
        <v/>
      </c>
      <c r="R826" s="525" t="str">
        <f>IF(ISERROR(FIND('112'!$M$9,G826,1)),"",IF((AND(FIND('112'!$M$9,G826,1)&gt;=1,$B826&gt;='112'!$N$8,$B826&lt;='112'!$O$8,OR($L826='112'!$I$6,$M826='112'!$I$6))),"x",""))</f>
        <v/>
      </c>
      <c r="S826" s="525" t="str">
        <f>IF(ISERROR(FIND('112'!$M$9,G826,1)),"",IF((AND(LEFT(G826,2)=LEFT('112'!$M$9,2),B826&lt;'112'!$N$8,$L826='112'!$I$6)),"x",""))</f>
        <v/>
      </c>
      <c r="T826" s="525" t="str">
        <f>IF(ISERROR(FIND('112'!$M$9,G826,1)),"",IF((AND(RIGHT(G826,2)=RIGHT('112'!$M$9,2),B826&lt;'112'!$N$8,$M826='112'!$I$6)),"x",""))</f>
        <v/>
      </c>
      <c r="U826" s="525" t="str">
        <f>IF(AND(B826&gt;='IN-NX'!$P$3,B826&lt;='IN-NX'!$Q$3,'IN-NX'!$D$7=D826,OR(LEFT(L826,2)="15",AND(LEFT(M826,2)&lt;&gt;"15",LEFT(M826,2)&lt;&gt;"33"))),"x","")</f>
        <v/>
      </c>
      <c r="V826" s="525" t="str">
        <f>IF(AND(OR(LEFT(TH!L826,2)="15",LEFT(TH!M826,2)="15"),'152-CT'!$J$8=TH!F826),"x","")</f>
        <v/>
      </c>
      <c r="W826" s="525" t="str">
        <f>IF(AND(OR(LEFT(TH!L826,2)="15",LEFT(TH!M826,2)="15"),TK!$E$7=TH!F826),"x","")</f>
        <v/>
      </c>
      <c r="X826" s="525" t="str">
        <f>IF(AND('341-CT'!$E$9=H826,OR(LEFT(L826,3)=$X$7,LEFT(M826,3)=$X$7)),"x","")</f>
        <v/>
      </c>
      <c r="Y826" s="525" t="str">
        <f>IF(OR(TH!L826=TH!$Y$7,M826=TH!$Y$7),"x","")</f>
        <v/>
      </c>
      <c r="Z826" s="525" t="str">
        <f>IF(AND(B826&lt;=NKC!$N$8,B826&gt;=NKC!$M$8),"x","")</f>
        <v/>
      </c>
      <c r="AA826" s="535"/>
      <c r="AB826" s="536"/>
    </row>
    <row r="827" spans="1:28" s="503" customFormat="1" ht="15.75" customHeight="1">
      <c r="A827" s="517" t="str">
        <f>IF(B827&lt;&gt;"",IF(AND(B827&gt;=_TM1,B827&lt;=_TM2,OR(TH!L827="1111",TH!M827="1111")),TH!D827,""),"")</f>
        <v/>
      </c>
      <c r="B827" s="531">
        <f t="shared" si="93"/>
        <v>10</v>
      </c>
      <c r="C827" s="315">
        <f t="shared" si="94"/>
        <v>43011</v>
      </c>
      <c r="D827" s="315" t="s">
        <v>461</v>
      </c>
      <c r="E827" s="288">
        <v>43011</v>
      </c>
      <c r="F827" s="248" t="s">
        <v>1726</v>
      </c>
      <c r="G827" s="314"/>
      <c r="H827" s="248" t="s">
        <v>1429</v>
      </c>
      <c r="I827" s="307"/>
      <c r="J827" s="307"/>
      <c r="K827" s="282">
        <v>2953500</v>
      </c>
      <c r="L827" s="533" t="s">
        <v>45</v>
      </c>
      <c r="M827" s="533" t="s">
        <v>223</v>
      </c>
      <c r="N827" s="525" t="str">
        <f>IF(AND('331-CT'!$E$7=TH!H827,OR(L827="331",M827="331")),"331",IF(AND(OR(L827="131",M827="131"),H827='131-CT'!$E$7),"131",""))</f>
        <v/>
      </c>
      <c r="O827" s="525" t="str">
        <f>IF(AND($B827&gt;='111'!$N$11,$B827&lt;='111'!$O$11,OR($L827=$O$7,$M827=$O$7)),"x","")</f>
        <v>x</v>
      </c>
      <c r="P827" s="525" t="str">
        <f>IF(AND($L827=$O$7,$B827&lt;'111'!$N$11),"x","")</f>
        <v/>
      </c>
      <c r="Q827" s="525" t="str">
        <f>IF(AND($M827=$O$7,$B827&lt;'111'!$N$11),"x","")</f>
        <v/>
      </c>
      <c r="R827" s="525" t="str">
        <f>IF(ISERROR(FIND('112'!$M$9,G827,1)),"",IF((AND(FIND('112'!$M$9,G827,1)&gt;=1,$B827&gt;='112'!$N$8,$B827&lt;='112'!$O$8,OR($L827='112'!$I$6,$M827='112'!$I$6))),"x",""))</f>
        <v/>
      </c>
      <c r="S827" s="525" t="str">
        <f>IF(ISERROR(FIND('112'!$M$9,G827,1)),"",IF((AND(LEFT(G827,2)=LEFT('112'!$M$9,2),B827&lt;'112'!$N$8,$L827='112'!$I$6)),"x",""))</f>
        <v/>
      </c>
      <c r="T827" s="525" t="str">
        <f>IF(ISERROR(FIND('112'!$M$9,G827,1)),"",IF((AND(RIGHT(G827,2)=RIGHT('112'!$M$9,2),B827&lt;'112'!$N$8,$M827='112'!$I$6)),"x",""))</f>
        <v/>
      </c>
      <c r="U827" s="525" t="str">
        <f>IF(AND(B827&gt;='IN-NX'!$P$3,B827&lt;='IN-NX'!$Q$3,'IN-NX'!$D$7=D827,OR(LEFT(L827,2)="15",AND(LEFT(M827,2)&lt;&gt;"15",LEFT(M827,2)&lt;&gt;"33"))),"x","")</f>
        <v/>
      </c>
      <c r="V827" s="525" t="str">
        <f>IF(AND(OR(LEFT(TH!L827,2)="15",LEFT(TH!M827,2)="15"),'152-CT'!$J$8=TH!F827),"x","")</f>
        <v/>
      </c>
      <c r="W827" s="525" t="str">
        <f>IF(AND(OR(LEFT(TH!L827,2)="15",LEFT(TH!M827,2)="15"),TK!$E$7=TH!F827),"x","")</f>
        <v/>
      </c>
      <c r="X827" s="525" t="str">
        <f>IF(AND('341-CT'!$E$9=H827,OR(LEFT(L827,3)=$X$7,LEFT(M827,3)=$X$7)),"x","")</f>
        <v/>
      </c>
      <c r="Y827" s="525" t="str">
        <f>IF(OR(TH!L827=TH!$Y$7,M827=TH!$Y$7),"x","")</f>
        <v/>
      </c>
      <c r="Z827" s="525" t="str">
        <f>IF(AND(B827&lt;=NKC!$N$8,B827&gt;=NKC!$M$8),"x","")</f>
        <v/>
      </c>
      <c r="AA827" s="535"/>
    </row>
    <row r="828" spans="1:28" s="503" customFormat="1" ht="15.75" customHeight="1">
      <c r="A828" s="517" t="str">
        <f>IF(B828&lt;&gt;"",IF(AND(B828&gt;=_TM1,B828&lt;=_TM2,OR(TH!L828="1111",TH!M828="1111")),TH!D828,""),"")</f>
        <v/>
      </c>
      <c r="B828" s="531">
        <f t="shared" si="93"/>
        <v>10</v>
      </c>
      <c r="C828" s="315">
        <f t="shared" si="94"/>
        <v>43012</v>
      </c>
      <c r="D828" s="315" t="s">
        <v>461</v>
      </c>
      <c r="E828" s="288">
        <v>43012</v>
      </c>
      <c r="F828" s="248" t="s">
        <v>1726</v>
      </c>
      <c r="G828" s="314"/>
      <c r="H828" s="248" t="s">
        <v>1431</v>
      </c>
      <c r="I828" s="307"/>
      <c r="J828" s="307"/>
      <c r="K828" s="282">
        <v>13271500</v>
      </c>
      <c r="L828" s="533" t="s">
        <v>45</v>
      </c>
      <c r="M828" s="533" t="s">
        <v>223</v>
      </c>
      <c r="N828" s="525" t="str">
        <f>IF(AND('331-CT'!$E$7=TH!H828,OR(L828="331",M828="331")),"331",IF(AND(OR(L828="131",M828="131"),H828='131-CT'!$E$7),"131",""))</f>
        <v/>
      </c>
      <c r="O828" s="525" t="str">
        <f>IF(AND($B828&gt;='111'!$N$11,$B828&lt;='111'!$O$11,OR($L828=$O$7,$M828=$O$7)),"x","")</f>
        <v>x</v>
      </c>
      <c r="P828" s="525" t="str">
        <f>IF(AND($L828=$O$7,$B828&lt;'111'!$N$11),"x","")</f>
        <v/>
      </c>
      <c r="Q828" s="525" t="str">
        <f>IF(AND($M828=$O$7,$B828&lt;'111'!$N$11),"x","")</f>
        <v/>
      </c>
      <c r="R828" s="525" t="str">
        <f>IF(ISERROR(FIND('112'!$M$9,G828,1)),"",IF((AND(FIND('112'!$M$9,G828,1)&gt;=1,$B828&gt;='112'!$N$8,$B828&lt;='112'!$O$8,OR($L828='112'!$I$6,$M828='112'!$I$6))),"x",""))</f>
        <v/>
      </c>
      <c r="S828" s="525" t="str">
        <f>IF(ISERROR(FIND('112'!$M$9,G828,1)),"",IF((AND(LEFT(G828,2)=LEFT('112'!$M$9,2),B828&lt;'112'!$N$8,$L828='112'!$I$6)),"x",""))</f>
        <v/>
      </c>
      <c r="T828" s="525" t="str">
        <f>IF(ISERROR(FIND('112'!$M$9,G828,1)),"",IF((AND(RIGHT(G828,2)=RIGHT('112'!$M$9,2),B828&lt;'112'!$N$8,$M828='112'!$I$6)),"x",""))</f>
        <v/>
      </c>
      <c r="U828" s="525" t="str">
        <f>IF(AND(B828&gt;='IN-NX'!$P$3,B828&lt;='IN-NX'!$Q$3,'IN-NX'!$D$7=D828,OR(LEFT(L828,2)="15",AND(LEFT(M828,2)&lt;&gt;"15",LEFT(M828,2)&lt;&gt;"33"))),"x","")</f>
        <v/>
      </c>
      <c r="V828" s="525" t="str">
        <f>IF(AND(OR(LEFT(TH!L828,2)="15",LEFT(TH!M828,2)="15"),'152-CT'!$J$8=TH!F828),"x","")</f>
        <v/>
      </c>
      <c r="W828" s="525" t="str">
        <f>IF(AND(OR(LEFT(TH!L828,2)="15",LEFT(TH!M828,2)="15"),TK!$E$7=TH!F828),"x","")</f>
        <v/>
      </c>
      <c r="X828" s="525" t="str">
        <f>IF(AND('341-CT'!$E$9=H828,OR(LEFT(L828,3)=$X$7,LEFT(M828,3)=$X$7)),"x","")</f>
        <v/>
      </c>
      <c r="Y828" s="525" t="str">
        <f>IF(OR(TH!L828=TH!$Y$7,M828=TH!$Y$7),"x","")</f>
        <v/>
      </c>
      <c r="Z828" s="525" t="str">
        <f>IF(AND(B828&lt;=NKC!$N$8,B828&gt;=NKC!$M$8),"x","")</f>
        <v/>
      </c>
      <c r="AA828" s="535"/>
    </row>
    <row r="829" spans="1:28" s="503" customFormat="1" ht="15.75" customHeight="1">
      <c r="A829" s="517" t="str">
        <f>IF(B829&lt;&gt;"",IF(AND(B829&gt;=_TM1,B829&lt;=_TM2,OR(TH!L829="1111",TH!M829="1111")),TH!D829,""),"")</f>
        <v/>
      </c>
      <c r="B829" s="531">
        <f t="shared" si="93"/>
        <v>10</v>
      </c>
      <c r="C829" s="315">
        <f t="shared" si="94"/>
        <v>43013</v>
      </c>
      <c r="D829" s="315" t="s">
        <v>461</v>
      </c>
      <c r="E829" s="288">
        <v>43013</v>
      </c>
      <c r="F829" s="248" t="s">
        <v>1726</v>
      </c>
      <c r="G829" s="314"/>
      <c r="H829" s="248" t="s">
        <v>1442</v>
      </c>
      <c r="I829" s="307"/>
      <c r="J829" s="307"/>
      <c r="K829" s="282">
        <v>120135400</v>
      </c>
      <c r="L829" s="533" t="s">
        <v>45</v>
      </c>
      <c r="M829" s="533" t="s">
        <v>223</v>
      </c>
      <c r="N829" s="525" t="str">
        <f>IF(AND('331-CT'!$E$7=TH!H829,OR(L829="331",M829="331")),"331",IF(AND(OR(L829="131",M829="131"),H829='131-CT'!$E$7),"131",""))</f>
        <v/>
      </c>
      <c r="O829" s="525" t="str">
        <f>IF(AND($B829&gt;='111'!$N$11,$B829&lt;='111'!$O$11,OR($L829=$O$7,$M829=$O$7)),"x","")</f>
        <v>x</v>
      </c>
      <c r="P829" s="525" t="str">
        <f>IF(AND($L829=$O$7,$B829&lt;'111'!$N$11),"x","")</f>
        <v/>
      </c>
      <c r="Q829" s="525" t="str">
        <f>IF(AND($M829=$O$7,$B829&lt;'111'!$N$11),"x","")</f>
        <v/>
      </c>
      <c r="R829" s="525" t="str">
        <f>IF(ISERROR(FIND('112'!$M$9,G829,1)),"",IF((AND(FIND('112'!$M$9,G829,1)&gt;=1,$B829&gt;='112'!$N$8,$B829&lt;='112'!$O$8,OR($L829='112'!$I$6,$M829='112'!$I$6))),"x",""))</f>
        <v/>
      </c>
      <c r="S829" s="525" t="str">
        <f>IF(ISERROR(FIND('112'!$M$9,G829,1)),"",IF((AND(LEFT(G829,2)=LEFT('112'!$M$9,2),B829&lt;'112'!$N$8,$L829='112'!$I$6)),"x",""))</f>
        <v/>
      </c>
      <c r="T829" s="525" t="str">
        <f>IF(ISERROR(FIND('112'!$M$9,G829,1)),"",IF((AND(RIGHT(G829,2)=RIGHT('112'!$M$9,2),B829&lt;'112'!$N$8,$M829='112'!$I$6)),"x",""))</f>
        <v/>
      </c>
      <c r="U829" s="525" t="str">
        <f>IF(AND(B829&gt;='IN-NX'!$P$3,B829&lt;='IN-NX'!$Q$3,'IN-NX'!$D$7=D829,OR(LEFT(L829,2)="15",AND(LEFT(M829,2)&lt;&gt;"15",LEFT(M829,2)&lt;&gt;"33"))),"x","")</f>
        <v/>
      </c>
      <c r="V829" s="525" t="str">
        <f>IF(AND(OR(LEFT(TH!L829,2)="15",LEFT(TH!M829,2)="15"),'152-CT'!$J$8=TH!F829),"x","")</f>
        <v/>
      </c>
      <c r="W829" s="525" t="str">
        <f>IF(AND(OR(LEFT(TH!L829,2)="15",LEFT(TH!M829,2)="15"),TK!$E$7=TH!F829),"x","")</f>
        <v/>
      </c>
      <c r="X829" s="525" t="str">
        <f>IF(AND('341-CT'!$E$9=H829,OR(LEFT(L829,3)=$X$7,LEFT(M829,3)=$X$7)),"x","")</f>
        <v/>
      </c>
      <c r="Y829" s="525" t="str">
        <f>IF(OR(TH!L829=TH!$Y$7,M829=TH!$Y$7),"x","")</f>
        <v/>
      </c>
      <c r="Z829" s="525" t="str">
        <f>IF(AND(B829&lt;=NKC!$N$8,B829&gt;=NKC!$M$8),"x","")</f>
        <v/>
      </c>
      <c r="AA829" s="535"/>
      <c r="AB829" s="536"/>
    </row>
    <row r="830" spans="1:28" s="503" customFormat="1" ht="15.75" customHeight="1">
      <c r="A830" s="517" t="str">
        <f>IF(B830&lt;&gt;"",IF(AND(B830&gt;=_TM1,B830&lt;=_TM2,OR(TH!L830="1111",TH!M830="1111")),TH!D830,""),"")</f>
        <v/>
      </c>
      <c r="B830" s="531">
        <f t="shared" si="93"/>
        <v>10</v>
      </c>
      <c r="C830" s="315">
        <f t="shared" si="94"/>
        <v>43014</v>
      </c>
      <c r="D830" s="315" t="s">
        <v>461</v>
      </c>
      <c r="E830" s="288">
        <v>43014</v>
      </c>
      <c r="F830" s="248" t="s">
        <v>1726</v>
      </c>
      <c r="G830" s="314"/>
      <c r="H830" s="248" t="s">
        <v>1684</v>
      </c>
      <c r="I830" s="307"/>
      <c r="J830" s="307"/>
      <c r="K830" s="282">
        <v>548735</v>
      </c>
      <c r="L830" s="533" t="s">
        <v>45</v>
      </c>
      <c r="M830" s="533" t="s">
        <v>223</v>
      </c>
      <c r="N830" s="525" t="str">
        <f>IF(AND('331-CT'!$E$7=TH!H830,OR(L830="331",M830="331")),"331",IF(AND(OR(L830="131",M830="131"),H830='131-CT'!$E$7),"131",""))</f>
        <v/>
      </c>
      <c r="O830" s="525" t="str">
        <f>IF(AND($B830&gt;='111'!$N$11,$B830&lt;='111'!$O$11,OR($L830=$O$7,$M830=$O$7)),"x","")</f>
        <v>x</v>
      </c>
      <c r="P830" s="525" t="str">
        <f>IF(AND($L830=$O$7,$B830&lt;'111'!$N$11),"x","")</f>
        <v/>
      </c>
      <c r="Q830" s="525" t="str">
        <f>IF(AND($M830=$O$7,$B830&lt;'111'!$N$11),"x","")</f>
        <v/>
      </c>
      <c r="R830" s="525" t="str">
        <f>IF(ISERROR(FIND('112'!$M$9,G830,1)),"",IF((AND(FIND('112'!$M$9,G830,1)&gt;=1,$B830&gt;='112'!$N$8,$B830&lt;='112'!$O$8,OR($L830='112'!$I$6,$M830='112'!$I$6))),"x",""))</f>
        <v/>
      </c>
      <c r="S830" s="525" t="str">
        <f>IF(ISERROR(FIND('112'!$M$9,G830,1)),"",IF((AND(LEFT(G830,2)=LEFT('112'!$M$9,2),B830&lt;'112'!$N$8,$L830='112'!$I$6)),"x",""))</f>
        <v/>
      </c>
      <c r="T830" s="525" t="str">
        <f>IF(ISERROR(FIND('112'!$M$9,G830,1)),"",IF((AND(RIGHT(G830,2)=RIGHT('112'!$M$9,2),B830&lt;'112'!$N$8,$M830='112'!$I$6)),"x",""))</f>
        <v/>
      </c>
      <c r="U830" s="525" t="str">
        <f>IF(AND(B830&gt;='IN-NX'!$P$3,B830&lt;='IN-NX'!$Q$3,'IN-NX'!$D$7=D830,OR(LEFT(L830,2)="15",AND(LEFT(M830,2)&lt;&gt;"15",LEFT(M830,2)&lt;&gt;"33"))),"x","")</f>
        <v/>
      </c>
      <c r="V830" s="525" t="str">
        <f>IF(AND(OR(LEFT(TH!L830,2)="15",LEFT(TH!M830,2)="15"),'152-CT'!$J$8=TH!F830),"x","")</f>
        <v/>
      </c>
      <c r="W830" s="525" t="str">
        <f>IF(AND(OR(LEFT(TH!L830,2)="15",LEFT(TH!M830,2)="15"),TK!$E$7=TH!F830),"x","")</f>
        <v/>
      </c>
      <c r="X830" s="525" t="str">
        <f>IF(AND('341-CT'!$E$9=H830,OR(LEFT(L830,3)=$X$7,LEFT(M830,3)=$X$7)),"x","")</f>
        <v/>
      </c>
      <c r="Y830" s="525" t="str">
        <f>IF(OR(TH!L830=TH!$Y$7,M830=TH!$Y$7),"x","")</f>
        <v/>
      </c>
      <c r="Z830" s="525" t="str">
        <f>IF(AND(B830&lt;=NKC!$N$8,B830&gt;=NKC!$M$8),"x","")</f>
        <v/>
      </c>
      <c r="AA830" s="535"/>
    </row>
    <row r="831" spans="1:28" s="503" customFormat="1" ht="15.75" customHeight="1">
      <c r="A831" s="517" t="str">
        <f>IF(B831&lt;&gt;"",IF(AND(B831&gt;=_TM1,B831&lt;=_TM2,OR(TH!L831="1111",TH!M831="1111")),TH!D831,""),"")</f>
        <v/>
      </c>
      <c r="B831" s="531">
        <f t="shared" si="77"/>
        <v>9</v>
      </c>
      <c r="C831" s="315">
        <f t="shared" si="78"/>
        <v>43008</v>
      </c>
      <c r="D831" s="315" t="s">
        <v>461</v>
      </c>
      <c r="E831" s="288">
        <v>43008</v>
      </c>
      <c r="F831" s="248" t="s">
        <v>1726</v>
      </c>
      <c r="G831" s="314"/>
      <c r="H831" s="248" t="s">
        <v>1690</v>
      </c>
      <c r="I831" s="307"/>
      <c r="J831" s="307"/>
      <c r="K831" s="282">
        <v>6374445</v>
      </c>
      <c r="L831" s="533" t="s">
        <v>45</v>
      </c>
      <c r="M831" s="533" t="s">
        <v>223</v>
      </c>
      <c r="N831" s="525" t="str">
        <f>IF(AND('331-CT'!$E$7=TH!H831,OR(L831="331",M831="331")),"331",IF(AND(OR(L831="131",M831="131"),H831='131-CT'!$E$7),"131",""))</f>
        <v/>
      </c>
      <c r="O831" s="525" t="str">
        <f>IF(AND($B831&gt;='111'!$N$11,$B831&lt;='111'!$O$11,OR($L831=$O$7,$M831=$O$7)),"x","")</f>
        <v/>
      </c>
      <c r="P831" s="525" t="str">
        <f>IF(AND($L831=$O$7,$B831&lt;'111'!$N$11),"x","")</f>
        <v>x</v>
      </c>
      <c r="Q831" s="525" t="str">
        <f>IF(AND($M831=$O$7,$B831&lt;'111'!$N$11),"x","")</f>
        <v/>
      </c>
      <c r="R831" s="525" t="str">
        <f>IF(ISERROR(FIND('112'!$M$9,G831,1)),"",IF((AND(FIND('112'!$M$9,G831,1)&gt;=1,$B831&gt;='112'!$N$8,$B831&lt;='112'!$O$8,OR($L831='112'!$I$6,$M831='112'!$I$6))),"x",""))</f>
        <v/>
      </c>
      <c r="S831" s="525" t="str">
        <f>IF(ISERROR(FIND('112'!$M$9,G831,1)),"",IF((AND(LEFT(G831,2)=LEFT('112'!$M$9,2),B831&lt;'112'!$N$8,$L831='112'!$I$6)),"x",""))</f>
        <v/>
      </c>
      <c r="T831" s="525" t="str">
        <f>IF(ISERROR(FIND('112'!$M$9,G831,1)),"",IF((AND(RIGHT(G831,2)=RIGHT('112'!$M$9,2),B831&lt;'112'!$N$8,$M831='112'!$I$6)),"x",""))</f>
        <v/>
      </c>
      <c r="U831" s="525" t="str">
        <f>IF(AND(B831&gt;='IN-NX'!$P$3,B831&lt;='IN-NX'!$Q$3,'IN-NX'!$D$7=D831,OR(LEFT(L831,2)="15",AND(LEFT(M831,2)&lt;&gt;"15",LEFT(M831,2)&lt;&gt;"33"))),"x","")</f>
        <v/>
      </c>
      <c r="V831" s="525" t="str">
        <f>IF(AND(OR(LEFT(TH!L831,2)="15",LEFT(TH!M831,2)="15"),'152-CT'!$J$8=TH!F831),"x","")</f>
        <v/>
      </c>
      <c r="W831" s="525" t="str">
        <f>IF(AND(OR(LEFT(TH!L831,2)="15",LEFT(TH!M831,2)="15"),TK!$E$7=TH!F831),"x","")</f>
        <v/>
      </c>
      <c r="X831" s="525" t="str">
        <f>IF(AND('341-CT'!$E$9=H831,OR(LEFT(L831,3)=$X$7,LEFT(M831,3)=$X$7)),"x","")</f>
        <v/>
      </c>
      <c r="Y831" s="525" t="str">
        <f>IF(OR(TH!L831=TH!$Y$7,M831=TH!$Y$7),"x","")</f>
        <v/>
      </c>
      <c r="Z831" s="525" t="str">
        <f>IF(AND(B831&lt;=NKC!$N$8,B831&gt;=NKC!$M$8),"x","")</f>
        <v/>
      </c>
      <c r="AA831" s="535"/>
      <c r="AB831" s="536"/>
    </row>
    <row r="832" spans="1:28" s="503" customFormat="1" ht="15.75" customHeight="1">
      <c r="A832" s="517" t="str">
        <f>IF(B832&lt;&gt;"",IF(AND(B832&gt;=_TM1,B832&lt;=_TM2,OR(TH!L832="1111",TH!M832="1111")),TH!D832,""),"")</f>
        <v/>
      </c>
      <c r="B832" s="531">
        <f t="shared" si="77"/>
        <v>10</v>
      </c>
      <c r="C832" s="315">
        <f t="shared" si="78"/>
        <v>43009</v>
      </c>
      <c r="D832" s="315" t="s">
        <v>461</v>
      </c>
      <c r="E832" s="288">
        <v>43009</v>
      </c>
      <c r="F832" s="248" t="s">
        <v>1726</v>
      </c>
      <c r="G832" s="314"/>
      <c r="H832" s="473" t="s">
        <v>420</v>
      </c>
      <c r="I832" s="307"/>
      <c r="J832" s="307"/>
      <c r="K832" s="532">
        <v>828229619</v>
      </c>
      <c r="L832" s="533" t="s">
        <v>45</v>
      </c>
      <c r="M832" s="533" t="s">
        <v>223</v>
      </c>
      <c r="N832" s="525" t="str">
        <f>IF(AND('331-CT'!$E$7=TH!H832,OR(L832="331",M832="331")),"331",IF(AND(OR(L832="131",M832="131"),H832='131-CT'!$E$7),"131",""))</f>
        <v>131</v>
      </c>
      <c r="O832" s="525" t="str">
        <f>IF(AND($B832&gt;='111'!$N$11,$B832&lt;='111'!$O$11,OR($L832=$O$7,$M832=$O$7)),"x","")</f>
        <v>x</v>
      </c>
      <c r="P832" s="525" t="str">
        <f>IF(AND($L832=$O$7,$B832&lt;'111'!$N$11),"x","")</f>
        <v/>
      </c>
      <c r="Q832" s="525" t="str">
        <f>IF(AND($M832=$O$7,$B832&lt;'111'!$N$11),"x","")</f>
        <v/>
      </c>
      <c r="R832" s="525" t="str">
        <f>IF(ISERROR(FIND('112'!$M$9,G832,1)),"",IF((AND(FIND('112'!$M$9,G832,1)&gt;=1,$B832&gt;='112'!$N$8,$B832&lt;='112'!$O$8,OR($L832='112'!$I$6,$M832='112'!$I$6))),"x",""))</f>
        <v/>
      </c>
      <c r="S832" s="525" t="str">
        <f>IF(ISERROR(FIND('112'!$M$9,G832,1)),"",IF((AND(LEFT(G832,2)=LEFT('112'!$M$9,2),B832&lt;'112'!$N$8,$L832='112'!$I$6)),"x",""))</f>
        <v/>
      </c>
      <c r="T832" s="525" t="str">
        <f>IF(ISERROR(FIND('112'!$M$9,G832,1)),"",IF((AND(RIGHT(G832,2)=RIGHT('112'!$M$9,2),B832&lt;'112'!$N$8,$M832='112'!$I$6)),"x",""))</f>
        <v/>
      </c>
      <c r="U832" s="525" t="str">
        <f>IF(AND(B832&gt;='IN-NX'!$P$3,B832&lt;='IN-NX'!$Q$3,'IN-NX'!$D$7=D832,OR(LEFT(L832,2)="15",AND(LEFT(M832,2)&lt;&gt;"15",LEFT(M832,2)&lt;&gt;"33"))),"x","")</f>
        <v/>
      </c>
      <c r="V832" s="525" t="str">
        <f>IF(AND(OR(LEFT(TH!L832,2)="15",LEFT(TH!M832,2)="15"),'152-CT'!$J$8=TH!F832),"x","")</f>
        <v/>
      </c>
      <c r="W832" s="525" t="str">
        <f>IF(AND(OR(LEFT(TH!L832,2)="15",LEFT(TH!M832,2)="15"),TK!$E$7=TH!F832),"x","")</f>
        <v/>
      </c>
      <c r="X832" s="525" t="str">
        <f>IF(AND('341-CT'!$E$9=H832,OR(LEFT(L832,3)=$X$7,LEFT(M832,3)=$X$7)),"x","")</f>
        <v/>
      </c>
      <c r="Y832" s="525" t="str">
        <f>IF(OR(TH!L832=TH!$Y$7,M832=TH!$Y$7),"x","")</f>
        <v/>
      </c>
      <c r="Z832" s="525" t="str">
        <f>IF(AND(B832&lt;=NKC!$N$8,B832&gt;=NKC!$M$8),"x","")</f>
        <v/>
      </c>
      <c r="AA832" s="535"/>
    </row>
    <row r="833" spans="1:28" s="503" customFormat="1" ht="15.75" customHeight="1">
      <c r="A833" s="517" t="str">
        <f>IF(B833&lt;&gt;"",IF(AND(B833&gt;=_TM1,B833&lt;=_TM2,OR(TH!L833="1111",TH!M833="1111")),TH!D833,""),"")</f>
        <v/>
      </c>
      <c r="B833" s="531">
        <f t="shared" si="75"/>
        <v>10</v>
      </c>
      <c r="C833" s="315">
        <f t="shared" si="76"/>
        <v>43010</v>
      </c>
      <c r="D833" s="315" t="s">
        <v>461</v>
      </c>
      <c r="E833" s="288">
        <v>43010</v>
      </c>
      <c r="F833" s="248" t="s">
        <v>1726</v>
      </c>
      <c r="G833" s="314"/>
      <c r="H833" s="473" t="s">
        <v>375</v>
      </c>
      <c r="I833" s="307"/>
      <c r="J833" s="307"/>
      <c r="K833" s="532">
        <v>300000000</v>
      </c>
      <c r="L833" s="533" t="s">
        <v>45</v>
      </c>
      <c r="M833" s="533" t="s">
        <v>223</v>
      </c>
      <c r="N833" s="525" t="str">
        <f>IF(AND('331-CT'!$E$7=TH!H833,OR(L833="331",M833="331")),"331",IF(AND(OR(L833="131",M833="131"),H833='131-CT'!$E$7),"131",""))</f>
        <v/>
      </c>
      <c r="O833" s="525" t="str">
        <f>IF(AND($B833&gt;='111'!$N$11,$B833&lt;='111'!$O$11,OR($L833=$O$7,$M833=$O$7)),"x","")</f>
        <v>x</v>
      </c>
      <c r="P833" s="525" t="str">
        <f>IF(AND($L833=$O$7,$B833&lt;'111'!$N$11),"x","")</f>
        <v/>
      </c>
      <c r="Q833" s="525" t="str">
        <f>IF(AND($M833=$O$7,$B833&lt;'111'!$N$11),"x","")</f>
        <v/>
      </c>
      <c r="R833" s="525" t="str">
        <f>IF(ISERROR(FIND('112'!$M$9,G833,1)),"",IF((AND(FIND('112'!$M$9,G833,1)&gt;=1,$B833&gt;='112'!$N$8,$B833&lt;='112'!$O$8,OR($L833='112'!$I$6,$M833='112'!$I$6))),"x",""))</f>
        <v/>
      </c>
      <c r="S833" s="525" t="str">
        <f>IF(ISERROR(FIND('112'!$M$9,G833,1)),"",IF((AND(LEFT(G833,2)=LEFT('112'!$M$9,2),B833&lt;'112'!$N$8,$L833='112'!$I$6)),"x",""))</f>
        <v/>
      </c>
      <c r="T833" s="525" t="str">
        <f>IF(ISERROR(FIND('112'!$M$9,G833,1)),"",IF((AND(RIGHT(G833,2)=RIGHT('112'!$M$9,2),B833&lt;'112'!$N$8,$M833='112'!$I$6)),"x",""))</f>
        <v/>
      </c>
      <c r="U833" s="525" t="str">
        <f>IF(AND(B833&gt;='IN-NX'!$P$3,B833&lt;='IN-NX'!$Q$3,'IN-NX'!$D$7=D833,OR(LEFT(L833,2)="15",AND(LEFT(M833,2)&lt;&gt;"15",LEFT(M833,2)&lt;&gt;"33"))),"x","")</f>
        <v/>
      </c>
      <c r="V833" s="525" t="str">
        <f>IF(AND(OR(LEFT(TH!L833,2)="15",LEFT(TH!M833,2)="15"),'152-CT'!$J$8=TH!F833),"x","")</f>
        <v/>
      </c>
      <c r="W833" s="525" t="str">
        <f>IF(AND(OR(LEFT(TH!L833,2)="15",LEFT(TH!M833,2)="15"),TK!$E$7=TH!F833),"x","")</f>
        <v/>
      </c>
      <c r="X833" s="525" t="str">
        <f>IF(AND('341-CT'!$E$9=H833,OR(LEFT(L833,3)=$X$7,LEFT(M833,3)=$X$7)),"x","")</f>
        <v/>
      </c>
      <c r="Y833" s="525" t="str">
        <f>IF(OR(TH!L833=TH!$Y$7,M833=TH!$Y$7),"x","")</f>
        <v/>
      </c>
      <c r="Z833" s="525" t="str">
        <f>IF(AND(B833&lt;=NKC!$N$8,B833&gt;=NKC!$M$8),"x","")</f>
        <v/>
      </c>
      <c r="AA833" s="535"/>
      <c r="AB833" s="536"/>
    </row>
    <row r="834" spans="1:28" s="503" customFormat="1" ht="15.75" customHeight="1">
      <c r="A834" s="517" t="str">
        <f>IF(B834&lt;&gt;"",IF(AND(B834&gt;=_TM1,B834&lt;=_TM2,OR(TH!L834="1111",TH!M834="1111")),TH!D834,""),"")</f>
        <v/>
      </c>
      <c r="B834" s="531">
        <f t="shared" si="75"/>
        <v>10</v>
      </c>
      <c r="C834" s="315">
        <f t="shared" si="76"/>
        <v>43011</v>
      </c>
      <c r="D834" s="315" t="s">
        <v>461</v>
      </c>
      <c r="E834" s="288">
        <v>43011</v>
      </c>
      <c r="F834" s="248" t="s">
        <v>1726</v>
      </c>
      <c r="G834" s="314"/>
      <c r="H834" s="473"/>
      <c r="I834" s="307"/>
      <c r="J834" s="307"/>
      <c r="K834" s="532"/>
      <c r="L834" s="533" t="s">
        <v>45</v>
      </c>
      <c r="M834" s="533" t="s">
        <v>223</v>
      </c>
      <c r="N834" s="525" t="str">
        <f>IF(AND('331-CT'!$E$7=TH!H834,OR(L834="331",M834="331")),"331",IF(AND(OR(L834="131",M834="131"),H834='131-CT'!$E$7),"131",""))</f>
        <v/>
      </c>
      <c r="O834" s="525" t="str">
        <f>IF(AND($B834&gt;='111'!$N$11,$B834&lt;='111'!$O$11,OR($L834=$O$7,$M834=$O$7)),"x","")</f>
        <v>x</v>
      </c>
      <c r="P834" s="525" t="str">
        <f>IF(AND($L834=$O$7,$B834&lt;'111'!$N$11),"x","")</f>
        <v/>
      </c>
      <c r="Q834" s="525" t="str">
        <f>IF(AND($M834=$O$7,$B834&lt;'111'!$N$11),"x","")</f>
        <v/>
      </c>
      <c r="R834" s="525" t="str">
        <f>IF(ISERROR(FIND('112'!$M$9,G834,1)),"",IF((AND(FIND('112'!$M$9,G834,1)&gt;=1,$B834&gt;='112'!$N$8,$B834&lt;='112'!$O$8,OR($L834='112'!$I$6,$M834='112'!$I$6))),"x",""))</f>
        <v/>
      </c>
      <c r="S834" s="525" t="str">
        <f>IF(ISERROR(FIND('112'!$M$9,G834,1)),"",IF((AND(LEFT(G834,2)=LEFT('112'!$M$9,2),B834&lt;'112'!$N$8,$L834='112'!$I$6)),"x",""))</f>
        <v/>
      </c>
      <c r="T834" s="525" t="str">
        <f>IF(ISERROR(FIND('112'!$M$9,G834,1)),"",IF((AND(RIGHT(G834,2)=RIGHT('112'!$M$9,2),B834&lt;'112'!$N$8,$M834='112'!$I$6)),"x",""))</f>
        <v/>
      </c>
      <c r="U834" s="525" t="str">
        <f>IF(AND(B834&gt;='IN-NX'!$P$3,B834&lt;='IN-NX'!$Q$3,'IN-NX'!$D$7=D834,OR(LEFT(L834,2)="15",AND(LEFT(M834,2)&lt;&gt;"15",LEFT(M834,2)&lt;&gt;"33"))),"x","")</f>
        <v/>
      </c>
      <c r="V834" s="525" t="str">
        <f>IF(AND(OR(LEFT(TH!L834,2)="15",LEFT(TH!M834,2)="15"),'152-CT'!$J$8=TH!F834),"x","")</f>
        <v/>
      </c>
      <c r="W834" s="525" t="str">
        <f>IF(AND(OR(LEFT(TH!L834,2)="15",LEFT(TH!M834,2)="15"),TK!$E$7=TH!F834),"x","")</f>
        <v/>
      </c>
      <c r="X834" s="525" t="str">
        <f>IF(AND('341-CT'!$E$9=H834,OR(LEFT(L834,3)=$X$7,LEFT(M834,3)=$X$7)),"x","")</f>
        <v/>
      </c>
      <c r="Y834" s="525" t="str">
        <f>IF(OR(TH!L834=TH!$Y$7,M834=TH!$Y$7),"x","")</f>
        <v/>
      </c>
      <c r="Z834" s="525" t="str">
        <f>IF(AND(B834&lt;=NKC!$N$8,B834&gt;=NKC!$M$8),"x","")</f>
        <v/>
      </c>
      <c r="AA834" s="535"/>
    </row>
    <row r="835" spans="1:28" s="503" customFormat="1" ht="15.75" customHeight="1">
      <c r="A835" s="517" t="str">
        <f>IF(B835&lt;&gt;"",IF(AND(B835&gt;=_TM1,B835&lt;=_TM2,OR(TH!L835="1111",TH!M835="1111")),TH!D835,""),"")</f>
        <v/>
      </c>
      <c r="B835" s="531">
        <f t="shared" si="71"/>
        <v>10</v>
      </c>
      <c r="C835" s="315">
        <f t="shared" si="72"/>
        <v>43012</v>
      </c>
      <c r="D835" s="315" t="s">
        <v>461</v>
      </c>
      <c r="E835" s="288">
        <v>43012</v>
      </c>
      <c r="F835" s="248" t="s">
        <v>1726</v>
      </c>
      <c r="G835" s="314"/>
      <c r="H835" s="472"/>
      <c r="I835" s="307"/>
      <c r="J835" s="307"/>
      <c r="K835" s="532"/>
      <c r="L835" s="533" t="s">
        <v>45</v>
      </c>
      <c r="M835" s="533" t="s">
        <v>223</v>
      </c>
      <c r="N835" s="525" t="str">
        <f>IF(AND('331-CT'!$E$7=TH!H835,OR(L835="331",M835="331")),"331",IF(AND(OR(L835="131",M835="131"),H835='131-CT'!$E$7),"131",""))</f>
        <v/>
      </c>
      <c r="O835" s="525" t="str">
        <f>IF(AND($B835&gt;='111'!$N$11,$B835&lt;='111'!$O$11,OR($L835=$O$7,$M835=$O$7)),"x","")</f>
        <v>x</v>
      </c>
      <c r="P835" s="525" t="str">
        <f>IF(AND($L835=$O$7,$B835&lt;'111'!$N$11),"x","")</f>
        <v/>
      </c>
      <c r="Q835" s="525" t="str">
        <f>IF(AND($M835=$O$7,$B835&lt;'111'!$N$11),"x","")</f>
        <v/>
      </c>
      <c r="R835" s="525" t="str">
        <f>IF(ISERROR(FIND('112'!$M$9,G835,1)),"",IF((AND(FIND('112'!$M$9,G835,1)&gt;=1,$B835&gt;='112'!$N$8,$B835&lt;='112'!$O$8,OR($L835='112'!$I$6,$M835='112'!$I$6))),"x",""))</f>
        <v/>
      </c>
      <c r="S835" s="525" t="str">
        <f>IF(ISERROR(FIND('112'!$M$9,G835,1)),"",IF((AND(LEFT(G835,2)=LEFT('112'!$M$9,2),B835&lt;'112'!$N$8,$L835='112'!$I$6)),"x",""))</f>
        <v/>
      </c>
      <c r="T835" s="525" t="str">
        <f>IF(ISERROR(FIND('112'!$M$9,G835,1)),"",IF((AND(RIGHT(G835,2)=RIGHT('112'!$M$9,2),B835&lt;'112'!$N$8,$M835='112'!$I$6)),"x",""))</f>
        <v/>
      </c>
      <c r="U835" s="525" t="str">
        <f>IF(AND(B835&gt;='IN-NX'!$P$3,B835&lt;='IN-NX'!$Q$3,'IN-NX'!$D$7=D835,OR(LEFT(L835,2)="15",AND(LEFT(M835,2)&lt;&gt;"15",LEFT(M835,2)&lt;&gt;"33"))),"x","")</f>
        <v/>
      </c>
      <c r="V835" s="525" t="str">
        <f>IF(AND(OR(LEFT(TH!L835,2)="15",LEFT(TH!M835,2)="15"),'152-CT'!$J$8=TH!F835),"x","")</f>
        <v/>
      </c>
      <c r="W835" s="525" t="str">
        <f>IF(AND(OR(LEFT(TH!L835,2)="15",LEFT(TH!M835,2)="15"),TK!$E$7=TH!F835),"x","")</f>
        <v/>
      </c>
      <c r="X835" s="525" t="str">
        <f>IF(AND('341-CT'!$E$9=H835,OR(LEFT(L835,3)=$X$7,LEFT(M835,3)=$X$7)),"x","")</f>
        <v/>
      </c>
      <c r="Y835" s="525" t="str">
        <f>IF(OR(TH!L835=TH!$Y$7,M835=TH!$Y$7),"x","")</f>
        <v/>
      </c>
      <c r="Z835" s="525" t="str">
        <f>IF(AND(B835&lt;=NKC!$N$8,B835&gt;=NKC!$M$8),"x","")</f>
        <v/>
      </c>
      <c r="AA835" s="535"/>
    </row>
    <row r="836" spans="1:28" s="503" customFormat="1" ht="15.75" customHeight="1">
      <c r="A836" s="517" t="str">
        <f>IF(B836&lt;&gt;"",IF(AND(B836&gt;=_TM1,B836&lt;=_TM2,OR(TH!L836="1111",TH!M836="1111")),TH!D836,""),"")</f>
        <v/>
      </c>
      <c r="B836" s="531">
        <f t="shared" si="71"/>
        <v>10</v>
      </c>
      <c r="C836" s="315">
        <f t="shared" si="72"/>
        <v>43013</v>
      </c>
      <c r="D836" s="315" t="s">
        <v>461</v>
      </c>
      <c r="E836" s="288">
        <v>43013</v>
      </c>
      <c r="F836" s="248" t="s">
        <v>1726</v>
      </c>
      <c r="G836" s="314"/>
      <c r="H836" s="472"/>
      <c r="I836" s="307"/>
      <c r="J836" s="307"/>
      <c r="K836" s="532"/>
      <c r="L836" s="533" t="s">
        <v>45</v>
      </c>
      <c r="M836" s="533" t="s">
        <v>223</v>
      </c>
      <c r="N836" s="525" t="str">
        <f>IF(AND('331-CT'!$E$7=TH!H836,OR(L836="331",M836="331")),"331",IF(AND(OR(L836="131",M836="131"),H836='131-CT'!$E$7),"131",""))</f>
        <v/>
      </c>
      <c r="O836" s="525" t="str">
        <f>IF(AND($B836&gt;='111'!$N$11,$B836&lt;='111'!$O$11,OR($L836=$O$7,$M836=$O$7)),"x","")</f>
        <v>x</v>
      </c>
      <c r="P836" s="525" t="str">
        <f>IF(AND($L836=$O$7,$B836&lt;'111'!$N$11),"x","")</f>
        <v/>
      </c>
      <c r="Q836" s="525" t="str">
        <f>IF(AND($M836=$O$7,$B836&lt;'111'!$N$11),"x","")</f>
        <v/>
      </c>
      <c r="R836" s="525" t="str">
        <f>IF(ISERROR(FIND('112'!$M$9,G836,1)),"",IF((AND(FIND('112'!$M$9,G836,1)&gt;=1,$B836&gt;='112'!$N$8,$B836&lt;='112'!$O$8,OR($L836='112'!$I$6,$M836='112'!$I$6))),"x",""))</f>
        <v/>
      </c>
      <c r="S836" s="525" t="str">
        <f>IF(ISERROR(FIND('112'!$M$9,G836,1)),"",IF((AND(LEFT(G836,2)=LEFT('112'!$M$9,2),B836&lt;'112'!$N$8,$L836='112'!$I$6)),"x",""))</f>
        <v/>
      </c>
      <c r="T836" s="525" t="str">
        <f>IF(ISERROR(FIND('112'!$M$9,G836,1)),"",IF((AND(RIGHT(G836,2)=RIGHT('112'!$M$9,2),B836&lt;'112'!$N$8,$M836='112'!$I$6)),"x",""))</f>
        <v/>
      </c>
      <c r="U836" s="525" t="str">
        <f>IF(AND(B836&gt;='IN-NX'!$P$3,B836&lt;='IN-NX'!$Q$3,'IN-NX'!$D$7=D836,OR(LEFT(L836,2)="15",AND(LEFT(M836,2)&lt;&gt;"15",LEFT(M836,2)&lt;&gt;"33"))),"x","")</f>
        <v/>
      </c>
      <c r="V836" s="525" t="str">
        <f>IF(AND(OR(LEFT(TH!L836,2)="15",LEFT(TH!M836,2)="15"),'152-CT'!$J$8=TH!F836),"x","")</f>
        <v/>
      </c>
      <c r="W836" s="525" t="str">
        <f>IF(AND(OR(LEFT(TH!L836,2)="15",LEFT(TH!M836,2)="15"),TK!$E$7=TH!F836),"x","")</f>
        <v/>
      </c>
      <c r="X836" s="525" t="str">
        <f>IF(AND('341-CT'!$E$9=H836,OR(LEFT(L836,3)=$X$7,LEFT(M836,3)=$X$7)),"x","")</f>
        <v/>
      </c>
      <c r="Y836" s="525" t="str">
        <f>IF(OR(TH!L836=TH!$Y$7,M836=TH!$Y$7),"x","")</f>
        <v/>
      </c>
      <c r="Z836" s="525" t="str">
        <f>IF(AND(B836&lt;=NKC!$N$8,B836&gt;=NKC!$M$8),"x","")</f>
        <v/>
      </c>
      <c r="AA836" s="535"/>
      <c r="AB836" s="536"/>
    </row>
    <row r="837" spans="1:28" s="503" customFormat="1" ht="15.75" customHeight="1">
      <c r="A837" s="517" t="str">
        <f>IF(B837&lt;&gt;"",IF(AND(B837&gt;=_TM1,B837&lt;=_TM2,OR(TH!L837="1111",TH!M837="1111")),TH!D837,""),"")</f>
        <v/>
      </c>
      <c r="B837" s="531">
        <f t="shared" si="71"/>
        <v>10</v>
      </c>
      <c r="C837" s="315">
        <f t="shared" si="72"/>
        <v>43014</v>
      </c>
      <c r="D837" s="315" t="s">
        <v>461</v>
      </c>
      <c r="E837" s="288">
        <v>43014</v>
      </c>
      <c r="F837" s="248" t="s">
        <v>1726</v>
      </c>
      <c r="G837" s="314"/>
      <c r="H837" s="473"/>
      <c r="I837" s="307"/>
      <c r="J837" s="307"/>
      <c r="K837" s="532"/>
      <c r="L837" s="533" t="s">
        <v>45</v>
      </c>
      <c r="M837" s="533" t="s">
        <v>223</v>
      </c>
      <c r="N837" s="525" t="str">
        <f>IF(AND('331-CT'!$E$7=TH!H837,OR(L837="331",M837="331")),"331",IF(AND(OR(L837="131",M837="131"),H837='131-CT'!$E$7),"131",""))</f>
        <v/>
      </c>
      <c r="O837" s="525" t="str">
        <f>IF(AND($B837&gt;='111'!$N$11,$B837&lt;='111'!$O$11,OR($L837=$O$7,$M837=$O$7)),"x","")</f>
        <v>x</v>
      </c>
      <c r="P837" s="525" t="str">
        <f>IF(AND($L837=$O$7,$B837&lt;'111'!$N$11),"x","")</f>
        <v/>
      </c>
      <c r="Q837" s="525" t="str">
        <f>IF(AND($M837=$O$7,$B837&lt;'111'!$N$11),"x","")</f>
        <v/>
      </c>
      <c r="R837" s="525" t="str">
        <f>IF(ISERROR(FIND('112'!$M$9,G837,1)),"",IF((AND(FIND('112'!$M$9,G837,1)&gt;=1,$B837&gt;='112'!$N$8,$B837&lt;='112'!$O$8,OR($L837='112'!$I$6,$M837='112'!$I$6))),"x",""))</f>
        <v/>
      </c>
      <c r="S837" s="525" t="str">
        <f>IF(ISERROR(FIND('112'!$M$9,G837,1)),"",IF((AND(LEFT(G837,2)=LEFT('112'!$M$9,2),B837&lt;'112'!$N$8,$L837='112'!$I$6)),"x",""))</f>
        <v/>
      </c>
      <c r="T837" s="525" t="str">
        <f>IF(ISERROR(FIND('112'!$M$9,G837,1)),"",IF((AND(RIGHT(G837,2)=RIGHT('112'!$M$9,2),B837&lt;'112'!$N$8,$M837='112'!$I$6)),"x",""))</f>
        <v/>
      </c>
      <c r="U837" s="525" t="str">
        <f>IF(AND(B837&gt;='IN-NX'!$P$3,B837&lt;='IN-NX'!$Q$3,'IN-NX'!$D$7=D837,OR(LEFT(L837,2)="15",AND(LEFT(M837,2)&lt;&gt;"15",LEFT(M837,2)&lt;&gt;"33"))),"x","")</f>
        <v/>
      </c>
      <c r="V837" s="525" t="str">
        <f>IF(AND(OR(LEFT(TH!L837,2)="15",LEFT(TH!M837,2)="15"),'152-CT'!$J$8=TH!F837),"x","")</f>
        <v/>
      </c>
      <c r="W837" s="525" t="str">
        <f>IF(AND(OR(LEFT(TH!L837,2)="15",LEFT(TH!M837,2)="15"),TK!$E$7=TH!F837),"x","")</f>
        <v/>
      </c>
      <c r="X837" s="525" t="str">
        <f>IF(AND('341-CT'!$E$9=H837,OR(LEFT(L837,3)=$X$7,LEFT(M837,3)=$X$7)),"x","")</f>
        <v/>
      </c>
      <c r="Y837" s="525" t="str">
        <f>IF(OR(TH!L837=TH!$Y$7,M837=TH!$Y$7),"x","")</f>
        <v/>
      </c>
      <c r="Z837" s="525" t="str">
        <f>IF(AND(B837&lt;=NKC!$N$8,B837&gt;=NKC!$M$8),"x","")</f>
        <v/>
      </c>
      <c r="AA837" s="535"/>
    </row>
    <row r="838" spans="1:28" s="576" customFormat="1" ht="15.75" customHeight="1">
      <c r="A838" s="517" t="str">
        <f>IF(B838&lt;&gt;"",IF(AND(B838&gt;=_TM1,B838&lt;=_TM2,OR(TH!L838="1111",TH!M838="1111")),TH!D838,""),"")</f>
        <v/>
      </c>
      <c r="B838" s="756">
        <f t="shared" ref="B838:B843" si="95">IF(C838&lt;&gt;"",MONTH(C838),"")</f>
        <v>7</v>
      </c>
      <c r="C838" s="757">
        <f t="shared" ref="C838:C843" si="96">E838</f>
        <v>42917</v>
      </c>
      <c r="D838" s="758" t="s">
        <v>476</v>
      </c>
      <c r="E838" s="757">
        <v>42917</v>
      </c>
      <c r="F838" s="759" t="s">
        <v>1513</v>
      </c>
      <c r="G838" s="760" t="s">
        <v>1515</v>
      </c>
      <c r="H838" s="761" t="s">
        <v>1501</v>
      </c>
      <c r="I838" s="762"/>
      <c r="J838" s="762"/>
      <c r="K838" s="763">
        <v>167350000</v>
      </c>
      <c r="L838" s="764" t="s">
        <v>1507</v>
      </c>
      <c r="M838" s="764" t="s">
        <v>8</v>
      </c>
      <c r="N838" s="525" t="str">
        <f>IF(AND('331-CT'!$E$7=TH!H838,OR(L838="331",M838="331")),"331",IF(AND(OR(L838="131",M838="131"),H838='131-CT'!$E$7),"131",""))</f>
        <v/>
      </c>
      <c r="O838" s="525" t="str">
        <f>IF(AND($B838&gt;='111'!$N$11,$B838&lt;='111'!$O$11,OR($L838=$O$7,$M838=$O$7)),"x","")</f>
        <v/>
      </c>
      <c r="P838" s="525" t="str">
        <f>IF(AND($L838=$O$7,$B838&lt;'111'!$N$11),"x","")</f>
        <v/>
      </c>
      <c r="Q838" s="525" t="str">
        <f>IF(AND($M838=$O$7,$B838&lt;'111'!$N$11),"x","")</f>
        <v/>
      </c>
      <c r="R838" s="525" t="str">
        <f>IF(ISERROR(FIND('112'!$M$9,G838,1)),"",IF((AND(FIND('112'!$M$9,G838,1)&gt;=1,$B838&gt;='112'!$N$8,$B838&lt;='112'!$O$8,OR($L838='112'!$I$6,$M838='112'!$I$6))),"x",""))</f>
        <v/>
      </c>
      <c r="S838" s="525" t="str">
        <f>IF(ISERROR(FIND('112'!$M$9,G838,1)),"",IF((AND(LEFT(G838,2)=LEFT('112'!$M$9,2),B838&lt;'112'!$N$8,$L838='112'!$I$6)),"x",""))</f>
        <v/>
      </c>
      <c r="T838" s="525" t="str">
        <f>IF(ISERROR(FIND('112'!$M$9,G838,1)),"",IF((AND(RIGHT(G838,2)=RIGHT('112'!$M$9,2),B838&lt;'112'!$N$8,$M838='112'!$I$6)),"x",""))</f>
        <v/>
      </c>
      <c r="U838" s="525" t="str">
        <f>IF(AND(B838&gt;='IN-NX'!$P$3,B838&lt;='IN-NX'!$Q$3,'IN-NX'!$D$7=D838,OR(LEFT(L838,2)="15",AND(LEFT(M838,2)&lt;&gt;"15",LEFT(M838,2)&lt;&gt;"33"))),"x","")</f>
        <v/>
      </c>
      <c r="V838" s="525" t="str">
        <f>IF(AND(OR(LEFT(TH!L838,2)="15",LEFT(TH!M838,2)="15"),'152-CT'!$J$8=TH!F838),"x","")</f>
        <v/>
      </c>
      <c r="W838" s="525" t="str">
        <f>IF(AND(OR(LEFT(TH!L838,2)="15",LEFT(TH!M838,2)="15"),TK!$E$7=TH!F838),"x","")</f>
        <v/>
      </c>
      <c r="X838" s="525" t="str">
        <f>IF(AND('341-CT'!$E$9=H838,OR(LEFT(L838,3)=$X$7,LEFT(M838,3)=$X$7)),"x","")</f>
        <v/>
      </c>
      <c r="Y838" s="525" t="str">
        <f>IF(OR(TH!L838=TH!$Y$7,M838=TH!$Y$7),"x","")</f>
        <v/>
      </c>
      <c r="Z838" s="525" t="str">
        <f>IF(AND(B838&lt;=NKC!$N$8,B838&gt;=NKC!$M$8),"x","")</f>
        <v/>
      </c>
      <c r="AA838" s="526">
        <v>3</v>
      </c>
      <c r="AB838" s="527"/>
    </row>
    <row r="839" spans="1:28" s="576" customFormat="1" ht="15.75" customHeight="1">
      <c r="A839" s="517" t="str">
        <f>IF(B839&lt;&gt;"",IF(AND(B839&gt;=_TM1,B839&lt;=_TM2,OR(TH!L839="1111",TH!M839="1111")),TH!D839,""),"")</f>
        <v/>
      </c>
      <c r="B839" s="756">
        <f t="shared" si="95"/>
        <v>7</v>
      </c>
      <c r="C839" s="757">
        <f t="shared" si="96"/>
        <v>42917</v>
      </c>
      <c r="D839" s="758" t="s">
        <v>476</v>
      </c>
      <c r="E839" s="757">
        <v>42917</v>
      </c>
      <c r="F839" s="759" t="s">
        <v>1514</v>
      </c>
      <c r="G839" s="760" t="s">
        <v>1515</v>
      </c>
      <c r="H839" s="761" t="s">
        <v>1501</v>
      </c>
      <c r="I839" s="762"/>
      <c r="J839" s="762"/>
      <c r="K839" s="763">
        <v>16735000</v>
      </c>
      <c r="L839" s="764" t="s">
        <v>9</v>
      </c>
      <c r="M839" s="764" t="s">
        <v>8</v>
      </c>
      <c r="N839" s="525" t="str">
        <f>IF(AND('331-CT'!$E$7=TH!H839,OR(L839="331",M839="331")),"331",IF(AND(OR(L839="131",M839="131"),H839='131-CT'!$E$7),"131",""))</f>
        <v/>
      </c>
      <c r="O839" s="525" t="str">
        <f>IF(AND($B839&gt;='111'!$N$11,$B839&lt;='111'!$O$11,OR($L839=$O$7,$M839=$O$7)),"x","")</f>
        <v/>
      </c>
      <c r="P839" s="525" t="str">
        <f>IF(AND($L839=$O$7,$B839&lt;'111'!$N$11),"x","")</f>
        <v/>
      </c>
      <c r="Q839" s="525" t="str">
        <f>IF(AND($M839=$O$7,$B839&lt;'111'!$N$11),"x","")</f>
        <v/>
      </c>
      <c r="R839" s="525" t="str">
        <f>IF(ISERROR(FIND('112'!$M$9,G839,1)),"",IF((AND(FIND('112'!$M$9,G839,1)&gt;=1,$B839&gt;='112'!$N$8,$B839&lt;='112'!$O$8,OR($L839='112'!$I$6,$M839='112'!$I$6))),"x",""))</f>
        <v/>
      </c>
      <c r="S839" s="525" t="str">
        <f>IF(ISERROR(FIND('112'!$M$9,G839,1)),"",IF((AND(LEFT(G839,2)=LEFT('112'!$M$9,2),B839&lt;'112'!$N$8,$L839='112'!$I$6)),"x",""))</f>
        <v/>
      </c>
      <c r="T839" s="525" t="str">
        <f>IF(ISERROR(FIND('112'!$M$9,G839,1)),"",IF((AND(RIGHT(G839,2)=RIGHT('112'!$M$9,2),B839&lt;'112'!$N$8,$M839='112'!$I$6)),"x",""))</f>
        <v/>
      </c>
      <c r="U839" s="525" t="str">
        <f>IF(AND(B839&gt;='IN-NX'!$P$3,B839&lt;='IN-NX'!$Q$3,'IN-NX'!$D$7=D839,OR(LEFT(L839,2)="15",AND(LEFT(M839,2)&lt;&gt;"15",LEFT(M839,2)&lt;&gt;"33"))),"x","")</f>
        <v/>
      </c>
      <c r="V839" s="525" t="str">
        <f>IF(AND(OR(LEFT(TH!L839,2)="15",LEFT(TH!M839,2)="15"),'152-CT'!$J$8=TH!F839),"x","")</f>
        <v/>
      </c>
      <c r="W839" s="525" t="str">
        <f>IF(AND(OR(LEFT(TH!L839,2)="15",LEFT(TH!M839,2)="15"),TK!$E$7=TH!F839),"x","")</f>
        <v/>
      </c>
      <c r="X839" s="525" t="str">
        <f>IF(AND('341-CT'!$E$9=H839,OR(LEFT(L839,3)=$X$7,LEFT(M839,3)=$X$7)),"x","")</f>
        <v/>
      </c>
      <c r="Y839" s="525" t="str">
        <f>IF(OR(TH!L839=TH!$Y$7,M839=TH!$Y$7),"x","")</f>
        <v/>
      </c>
      <c r="Z839" s="525" t="str">
        <f>IF(AND(B839&lt;=NKC!$N$8,B839&gt;=NKC!$M$8),"x","")</f>
        <v/>
      </c>
      <c r="AA839" s="526">
        <v>3</v>
      </c>
      <c r="AB839" s="527"/>
    </row>
    <row r="840" spans="1:28" s="576" customFormat="1" ht="15.75" customHeight="1">
      <c r="A840" s="517" t="str">
        <f>IF(B840&lt;&gt;"",IF(AND(B840&gt;=_TM1,B840&lt;=_TM2,OR(TH!L840="1111",TH!M840="1111")),TH!D840,""),"")</f>
        <v/>
      </c>
      <c r="B840" s="756">
        <f t="shared" ref="B840" si="97">IF(C840&lt;&gt;"",MONTH(C840),"")</f>
        <v>7</v>
      </c>
      <c r="C840" s="757">
        <f t="shared" ref="C840" si="98">E840</f>
        <v>42920</v>
      </c>
      <c r="D840" s="758" t="s">
        <v>476</v>
      </c>
      <c r="E840" s="757">
        <v>42920</v>
      </c>
      <c r="F840" s="759" t="s">
        <v>1516</v>
      </c>
      <c r="G840" s="760" t="s">
        <v>1519</v>
      </c>
      <c r="H840" s="761" t="s">
        <v>1501</v>
      </c>
      <c r="I840" s="762"/>
      <c r="J840" s="762"/>
      <c r="K840" s="763">
        <v>41265000</v>
      </c>
      <c r="L840" s="764" t="s">
        <v>1507</v>
      </c>
      <c r="M840" s="764" t="s">
        <v>8</v>
      </c>
      <c r="N840" s="525" t="str">
        <f>IF(AND('331-CT'!$E$7=TH!H840,OR(L840="331",M840="331")),"331",IF(AND(OR(L840="131",M840="131"),H840='131-CT'!$E$7),"131",""))</f>
        <v/>
      </c>
      <c r="O840" s="525" t="str">
        <f>IF(AND($B840&gt;='111'!$N$11,$B840&lt;='111'!$O$11,OR($L840=$O$7,$M840=$O$7)),"x","")</f>
        <v/>
      </c>
      <c r="P840" s="525" t="str">
        <f>IF(AND($L840=$O$7,$B840&lt;'111'!$N$11),"x","")</f>
        <v/>
      </c>
      <c r="Q840" s="525" t="str">
        <f>IF(AND($M840=$O$7,$B840&lt;'111'!$N$11),"x","")</f>
        <v/>
      </c>
      <c r="R840" s="525" t="str">
        <f>IF(ISERROR(FIND('112'!$M$9,G840,1)),"",IF((AND(FIND('112'!$M$9,G840,1)&gt;=1,$B840&gt;='112'!$N$8,$B840&lt;='112'!$O$8,OR($L840='112'!$I$6,$M840='112'!$I$6))),"x",""))</f>
        <v/>
      </c>
      <c r="S840" s="525" t="str">
        <f>IF(ISERROR(FIND('112'!$M$9,G840,1)),"",IF((AND(LEFT(G840,2)=LEFT('112'!$M$9,2),B840&lt;'112'!$N$8,$L840='112'!$I$6)),"x",""))</f>
        <v/>
      </c>
      <c r="T840" s="525" t="str">
        <f>IF(ISERROR(FIND('112'!$M$9,G840,1)),"",IF((AND(RIGHT(G840,2)=RIGHT('112'!$M$9,2),B840&lt;'112'!$N$8,$M840='112'!$I$6)),"x",""))</f>
        <v/>
      </c>
      <c r="U840" s="525" t="str">
        <f>IF(AND(B840&gt;='IN-NX'!$P$3,B840&lt;='IN-NX'!$Q$3,'IN-NX'!$D$7=D840,OR(LEFT(L840,2)="15",AND(LEFT(M840,2)&lt;&gt;"15",LEFT(M840,2)&lt;&gt;"33"))),"x","")</f>
        <v/>
      </c>
      <c r="V840" s="525" t="str">
        <f>IF(AND(OR(LEFT(TH!L840,2)="15",LEFT(TH!M840,2)="15"),'152-CT'!$J$8=TH!F840),"x","")</f>
        <v/>
      </c>
      <c r="W840" s="525" t="str">
        <f>IF(AND(OR(LEFT(TH!L840,2)="15",LEFT(TH!M840,2)="15"),TK!$E$7=TH!F840),"x","")</f>
        <v/>
      </c>
      <c r="X840" s="525" t="str">
        <f>IF(AND('341-CT'!$E$9=H840,OR(LEFT(L840,3)=$X$7,LEFT(M840,3)=$X$7)),"x","")</f>
        <v/>
      </c>
      <c r="Y840" s="525" t="str">
        <f>IF(OR(TH!L840=TH!$Y$7,M840=TH!$Y$7),"x","")</f>
        <v/>
      </c>
      <c r="Z840" s="525" t="str">
        <f>IF(AND(B840&lt;=NKC!$N$8,B840&gt;=NKC!$M$8),"x","")</f>
        <v/>
      </c>
      <c r="AA840" s="526">
        <v>3</v>
      </c>
      <c r="AB840" s="527"/>
    </row>
    <row r="841" spans="1:28" s="576" customFormat="1" ht="15.75" customHeight="1">
      <c r="A841" s="517" t="str">
        <f>IF(B841&lt;&gt;"",IF(AND(B841&gt;=_TM1,B841&lt;=_TM2,OR(TH!L841="1111",TH!M841="1111")),TH!D841,""),"")</f>
        <v/>
      </c>
      <c r="B841" s="756">
        <f t="shared" si="95"/>
        <v>7</v>
      </c>
      <c r="C841" s="757">
        <f t="shared" si="96"/>
        <v>42920</v>
      </c>
      <c r="D841" s="758" t="s">
        <v>476</v>
      </c>
      <c r="E841" s="757">
        <v>42920</v>
      </c>
      <c r="F841" s="759" t="s">
        <v>1517</v>
      </c>
      <c r="G841" s="760" t="s">
        <v>1519</v>
      </c>
      <c r="H841" s="761" t="s">
        <v>1501</v>
      </c>
      <c r="I841" s="762"/>
      <c r="J841" s="762"/>
      <c r="K841" s="763">
        <v>40995000</v>
      </c>
      <c r="L841" s="764" t="s">
        <v>1507</v>
      </c>
      <c r="M841" s="764" t="s">
        <v>8</v>
      </c>
      <c r="N841" s="525" t="str">
        <f>IF(AND('331-CT'!$E$7=TH!H841,OR(L841="331",M841="331")),"331",IF(AND(OR(L841="131",M841="131"),H841='131-CT'!$E$7),"131",""))</f>
        <v/>
      </c>
      <c r="O841" s="525" t="str">
        <f>IF(AND($B841&gt;='111'!$N$11,$B841&lt;='111'!$O$11,OR($L841=$O$7,$M841=$O$7)),"x","")</f>
        <v/>
      </c>
      <c r="P841" s="525" t="str">
        <f>IF(AND($L841=$O$7,$B841&lt;'111'!$N$11),"x","")</f>
        <v/>
      </c>
      <c r="Q841" s="525" t="str">
        <f>IF(AND($M841=$O$7,$B841&lt;'111'!$N$11),"x","")</f>
        <v/>
      </c>
      <c r="R841" s="525" t="str">
        <f>IF(ISERROR(FIND('112'!$M$9,G841,1)),"",IF((AND(FIND('112'!$M$9,G841,1)&gt;=1,$B841&gt;='112'!$N$8,$B841&lt;='112'!$O$8,OR($L841='112'!$I$6,$M841='112'!$I$6))),"x",""))</f>
        <v/>
      </c>
      <c r="S841" s="525" t="str">
        <f>IF(ISERROR(FIND('112'!$M$9,G841,1)),"",IF((AND(LEFT(G841,2)=LEFT('112'!$M$9,2),B841&lt;'112'!$N$8,$L841='112'!$I$6)),"x",""))</f>
        <v/>
      </c>
      <c r="T841" s="525" t="str">
        <f>IF(ISERROR(FIND('112'!$M$9,G841,1)),"",IF((AND(RIGHT(G841,2)=RIGHT('112'!$M$9,2),B841&lt;'112'!$N$8,$M841='112'!$I$6)),"x",""))</f>
        <v/>
      </c>
      <c r="U841" s="525" t="str">
        <f>IF(AND(B841&gt;='IN-NX'!$P$3,B841&lt;='IN-NX'!$Q$3,'IN-NX'!$D$7=D841,OR(LEFT(L841,2)="15",AND(LEFT(M841,2)&lt;&gt;"15",LEFT(M841,2)&lt;&gt;"33"))),"x","")</f>
        <v/>
      </c>
      <c r="V841" s="525" t="str">
        <f>IF(AND(OR(LEFT(TH!L841,2)="15",LEFT(TH!M841,2)="15"),'152-CT'!$J$8=TH!F841),"x","")</f>
        <v/>
      </c>
      <c r="W841" s="525" t="str">
        <f>IF(AND(OR(LEFT(TH!L841,2)="15",LEFT(TH!M841,2)="15"),TK!$E$7=TH!F841),"x","")</f>
        <v/>
      </c>
      <c r="X841" s="525" t="str">
        <f>IF(AND('341-CT'!$E$9=H841,OR(LEFT(L841,3)=$X$7,LEFT(M841,3)=$X$7)),"x","")</f>
        <v/>
      </c>
      <c r="Y841" s="525" t="str">
        <f>IF(OR(TH!L841=TH!$Y$7,M841=TH!$Y$7),"x","")</f>
        <v/>
      </c>
      <c r="Z841" s="525" t="str">
        <f>IF(AND(B841&lt;=NKC!$N$8,B841&gt;=NKC!$M$8),"x","")</f>
        <v/>
      </c>
      <c r="AA841" s="526">
        <v>3</v>
      </c>
      <c r="AB841" s="527"/>
    </row>
    <row r="842" spans="1:28" s="576" customFormat="1" ht="15.75" customHeight="1">
      <c r="A842" s="517" t="str">
        <f>IF(B842&lt;&gt;"",IF(AND(B842&gt;=_TM1,B842&lt;=_TM2,OR(TH!L842="1111",TH!M842="1111")),TH!D842,""),"")</f>
        <v/>
      </c>
      <c r="B842" s="756">
        <f t="shared" si="95"/>
        <v>7</v>
      </c>
      <c r="C842" s="757">
        <f t="shared" si="96"/>
        <v>42920</v>
      </c>
      <c r="D842" s="758" t="s">
        <v>476</v>
      </c>
      <c r="E842" s="757">
        <v>42920</v>
      </c>
      <c r="F842" s="759" t="s">
        <v>1518</v>
      </c>
      <c r="G842" s="760" t="s">
        <v>1519</v>
      </c>
      <c r="H842" s="761" t="s">
        <v>1501</v>
      </c>
      <c r="I842" s="762"/>
      <c r="J842" s="762"/>
      <c r="K842" s="763">
        <v>8226000</v>
      </c>
      <c r="L842" s="764" t="s">
        <v>9</v>
      </c>
      <c r="M842" s="764" t="s">
        <v>8</v>
      </c>
      <c r="N842" s="525" t="str">
        <f>IF(AND('331-CT'!$E$7=TH!H842,OR(L842="331",M842="331")),"331",IF(AND(OR(L842="131",M842="131"),H842='131-CT'!$E$7),"131",""))</f>
        <v/>
      </c>
      <c r="O842" s="525" t="str">
        <f>IF(AND($B842&gt;='111'!$N$11,$B842&lt;='111'!$O$11,OR($L842=$O$7,$M842=$O$7)),"x","")</f>
        <v/>
      </c>
      <c r="P842" s="525" t="str">
        <f>IF(AND($L842=$O$7,$B842&lt;'111'!$N$11),"x","")</f>
        <v/>
      </c>
      <c r="Q842" s="525" t="str">
        <f>IF(AND($M842=$O$7,$B842&lt;'111'!$N$11),"x","")</f>
        <v/>
      </c>
      <c r="R842" s="525" t="str">
        <f>IF(ISERROR(FIND('112'!$M$9,G842,1)),"",IF((AND(FIND('112'!$M$9,G842,1)&gt;=1,$B842&gt;='112'!$N$8,$B842&lt;='112'!$O$8,OR($L842='112'!$I$6,$M842='112'!$I$6))),"x",""))</f>
        <v/>
      </c>
      <c r="S842" s="525" t="str">
        <f>IF(ISERROR(FIND('112'!$M$9,G842,1)),"",IF((AND(LEFT(G842,2)=LEFT('112'!$M$9,2),B842&lt;'112'!$N$8,$L842='112'!$I$6)),"x",""))</f>
        <v/>
      </c>
      <c r="T842" s="525" t="str">
        <f>IF(ISERROR(FIND('112'!$M$9,G842,1)),"",IF((AND(RIGHT(G842,2)=RIGHT('112'!$M$9,2),B842&lt;'112'!$N$8,$M842='112'!$I$6)),"x",""))</f>
        <v/>
      </c>
      <c r="U842" s="525" t="str">
        <f>IF(AND(B842&gt;='IN-NX'!$P$3,B842&lt;='IN-NX'!$Q$3,'IN-NX'!$D$7=D842,OR(LEFT(L842,2)="15",AND(LEFT(M842,2)&lt;&gt;"15",LEFT(M842,2)&lt;&gt;"33"))),"x","")</f>
        <v/>
      </c>
      <c r="V842" s="525" t="str">
        <f>IF(AND(OR(LEFT(TH!L842,2)="15",LEFT(TH!M842,2)="15"),'152-CT'!$J$8=TH!F842),"x","")</f>
        <v/>
      </c>
      <c r="W842" s="525" t="str">
        <f>IF(AND(OR(LEFT(TH!L842,2)="15",LEFT(TH!M842,2)="15"),TK!$E$7=TH!F842),"x","")</f>
        <v/>
      </c>
      <c r="X842" s="525" t="str">
        <f>IF(AND('341-CT'!$E$9=H842,OR(LEFT(L842,3)=$X$7,LEFT(M842,3)=$X$7)),"x","")</f>
        <v/>
      </c>
      <c r="Y842" s="525" t="str">
        <f>IF(OR(TH!L842=TH!$Y$7,M842=TH!$Y$7),"x","")</f>
        <v/>
      </c>
      <c r="Z842" s="525" t="str">
        <f>IF(AND(B842&lt;=NKC!$N$8,B842&gt;=NKC!$M$8),"x","")</f>
        <v/>
      </c>
      <c r="AA842" s="526">
        <v>3</v>
      </c>
      <c r="AB842" s="527"/>
    </row>
    <row r="843" spans="1:28" s="576" customFormat="1" ht="15.75" customHeight="1">
      <c r="A843" s="517" t="str">
        <f>IF(B843&lt;&gt;"",IF(AND(B843&gt;=_TM1,B843&lt;=_TM2,OR(TH!L843="1111",TH!M843="1111")),TH!D843,""),"")</f>
        <v/>
      </c>
      <c r="B843" s="756">
        <f t="shared" si="95"/>
        <v>7</v>
      </c>
      <c r="C843" s="757">
        <f t="shared" si="96"/>
        <v>42923</v>
      </c>
      <c r="D843" s="758" t="s">
        <v>476</v>
      </c>
      <c r="E843" s="757">
        <v>42923</v>
      </c>
      <c r="F843" s="759" t="s">
        <v>1520</v>
      </c>
      <c r="G843" s="760" t="s">
        <v>1560</v>
      </c>
      <c r="H843" s="761" t="s">
        <v>1501</v>
      </c>
      <c r="I843" s="762"/>
      <c r="J843" s="762"/>
      <c r="K843" s="763">
        <v>35161000</v>
      </c>
      <c r="L843" s="764" t="s">
        <v>1507</v>
      </c>
      <c r="M843" s="764" t="s">
        <v>8</v>
      </c>
      <c r="N843" s="525" t="str">
        <f>IF(AND('331-CT'!$E$7=TH!H843,OR(L843="331",M843="331")),"331",IF(AND(OR(L843="131",M843="131"),H843='131-CT'!$E$7),"131",""))</f>
        <v/>
      </c>
      <c r="O843" s="525" t="str">
        <f>IF(AND($B843&gt;='111'!$N$11,$B843&lt;='111'!$O$11,OR($L843=$O$7,$M843=$O$7)),"x","")</f>
        <v/>
      </c>
      <c r="P843" s="525" t="str">
        <f>IF(AND($L843=$O$7,$B843&lt;'111'!$N$11),"x","")</f>
        <v/>
      </c>
      <c r="Q843" s="525" t="str">
        <f>IF(AND($M843=$O$7,$B843&lt;'111'!$N$11),"x","")</f>
        <v/>
      </c>
      <c r="R843" s="525" t="str">
        <f>IF(ISERROR(FIND('112'!$M$9,G843,1)),"",IF((AND(FIND('112'!$M$9,G843,1)&gt;=1,$B843&gt;='112'!$N$8,$B843&lt;='112'!$O$8,OR($L843='112'!$I$6,$M843='112'!$I$6))),"x",""))</f>
        <v/>
      </c>
      <c r="S843" s="525" t="str">
        <f>IF(ISERROR(FIND('112'!$M$9,G843,1)),"",IF((AND(LEFT(G843,2)=LEFT('112'!$M$9,2),B843&lt;'112'!$N$8,$L843='112'!$I$6)),"x",""))</f>
        <v/>
      </c>
      <c r="T843" s="525" t="str">
        <f>IF(ISERROR(FIND('112'!$M$9,G843,1)),"",IF((AND(RIGHT(G843,2)=RIGHT('112'!$M$9,2),B843&lt;'112'!$N$8,$M843='112'!$I$6)),"x",""))</f>
        <v/>
      </c>
      <c r="U843" s="525" t="str">
        <f>IF(AND(B843&gt;='IN-NX'!$P$3,B843&lt;='IN-NX'!$Q$3,'IN-NX'!$D$7=D843,OR(LEFT(L843,2)="15",AND(LEFT(M843,2)&lt;&gt;"15",LEFT(M843,2)&lt;&gt;"33"))),"x","")</f>
        <v/>
      </c>
      <c r="V843" s="525" t="str">
        <f>IF(AND(OR(LEFT(TH!L843,2)="15",LEFT(TH!M843,2)="15"),'152-CT'!$J$8=TH!F843),"x","")</f>
        <v/>
      </c>
      <c r="W843" s="525" t="str">
        <f>IF(AND(OR(LEFT(TH!L843,2)="15",LEFT(TH!M843,2)="15"),TK!$E$7=TH!F843),"x","")</f>
        <v/>
      </c>
      <c r="X843" s="525" t="str">
        <f>IF(AND('341-CT'!$E$9=H843,OR(LEFT(L843,3)=$X$7,LEFT(M843,3)=$X$7)),"x","")</f>
        <v/>
      </c>
      <c r="Y843" s="525" t="str">
        <f>IF(OR(TH!L843=TH!$Y$7,M843=TH!$Y$7),"x","")</f>
        <v/>
      </c>
      <c r="Z843" s="525" t="str">
        <f>IF(AND(B843&lt;=NKC!$N$8,B843&gt;=NKC!$M$8),"x","")</f>
        <v/>
      </c>
      <c r="AA843" s="526">
        <v>3</v>
      </c>
      <c r="AB843" s="527"/>
    </row>
    <row r="844" spans="1:28" s="576" customFormat="1" ht="15.75" customHeight="1">
      <c r="A844" s="517" t="str">
        <f>IF(B844&lt;&gt;"",IF(AND(B844&gt;=_TM1,B844&lt;=_TM2,OR(TH!L844="1111",TH!M844="1111")),TH!D844,""),"")</f>
        <v/>
      </c>
      <c r="B844" s="756">
        <f t="shared" ref="B844:B845" si="99">IF(C844&lt;&gt;"",MONTH(C844),"")</f>
        <v>7</v>
      </c>
      <c r="C844" s="757">
        <f t="shared" ref="C844:C845" si="100">E844</f>
        <v>42923</v>
      </c>
      <c r="D844" s="758" t="s">
        <v>476</v>
      </c>
      <c r="E844" s="757">
        <v>42923</v>
      </c>
      <c r="F844" s="759" t="s">
        <v>1521</v>
      </c>
      <c r="G844" s="760" t="s">
        <v>1560</v>
      </c>
      <c r="H844" s="761" t="s">
        <v>1501</v>
      </c>
      <c r="I844" s="762"/>
      <c r="J844" s="762"/>
      <c r="K844" s="763">
        <v>35420000</v>
      </c>
      <c r="L844" s="764" t="s">
        <v>1507</v>
      </c>
      <c r="M844" s="764" t="s">
        <v>8</v>
      </c>
      <c r="N844" s="525" t="str">
        <f>IF(AND('331-CT'!$E$7=TH!H844,OR(L844="331",M844="331")),"331",IF(AND(OR(L844="131",M844="131"),H844='131-CT'!$E$7),"131",""))</f>
        <v/>
      </c>
      <c r="O844" s="525" t="str">
        <f>IF(AND($B844&gt;='111'!$N$11,$B844&lt;='111'!$O$11,OR($L844=$O$7,$M844=$O$7)),"x","")</f>
        <v/>
      </c>
      <c r="P844" s="525" t="str">
        <f>IF(AND($L844=$O$7,$B844&lt;'111'!$N$11),"x","")</f>
        <v/>
      </c>
      <c r="Q844" s="525" t="str">
        <f>IF(AND($M844=$O$7,$B844&lt;'111'!$N$11),"x","")</f>
        <v/>
      </c>
      <c r="R844" s="525" t="str">
        <f>IF(ISERROR(FIND('112'!$M$9,G844,1)),"",IF((AND(FIND('112'!$M$9,G844,1)&gt;=1,$B844&gt;='112'!$N$8,$B844&lt;='112'!$O$8,OR($L844='112'!$I$6,$M844='112'!$I$6))),"x",""))</f>
        <v/>
      </c>
      <c r="S844" s="525" t="str">
        <f>IF(ISERROR(FIND('112'!$M$9,G844,1)),"",IF((AND(LEFT(G844,2)=LEFT('112'!$M$9,2),B844&lt;'112'!$N$8,$L844='112'!$I$6)),"x",""))</f>
        <v/>
      </c>
      <c r="T844" s="525" t="str">
        <f>IF(ISERROR(FIND('112'!$M$9,G844,1)),"",IF((AND(RIGHT(G844,2)=RIGHT('112'!$M$9,2),B844&lt;'112'!$N$8,$M844='112'!$I$6)),"x",""))</f>
        <v/>
      </c>
      <c r="U844" s="525" t="str">
        <f>IF(AND(B844&gt;='IN-NX'!$P$3,B844&lt;='IN-NX'!$Q$3,'IN-NX'!$D$7=D844,OR(LEFT(L844,2)="15",AND(LEFT(M844,2)&lt;&gt;"15",LEFT(M844,2)&lt;&gt;"33"))),"x","")</f>
        <v/>
      </c>
      <c r="V844" s="525" t="str">
        <f>IF(AND(OR(LEFT(TH!L844,2)="15",LEFT(TH!M844,2)="15"),'152-CT'!$J$8=TH!F844),"x","")</f>
        <v/>
      </c>
      <c r="W844" s="525" t="str">
        <f>IF(AND(OR(LEFT(TH!L844,2)="15",LEFT(TH!M844,2)="15"),TK!$E$7=TH!F844),"x","")</f>
        <v/>
      </c>
      <c r="X844" s="525" t="str">
        <f>IF(AND('341-CT'!$E$9=H844,OR(LEFT(L844,3)=$X$7,LEFT(M844,3)=$X$7)),"x","")</f>
        <v/>
      </c>
      <c r="Y844" s="525" t="str">
        <f>IF(OR(TH!L844=TH!$Y$7,M844=TH!$Y$7),"x","")</f>
        <v/>
      </c>
      <c r="Z844" s="525" t="str">
        <f>IF(AND(B844&lt;=NKC!$N$8,B844&gt;=NKC!$M$8),"x","")</f>
        <v/>
      </c>
      <c r="AA844" s="526">
        <v>3</v>
      </c>
      <c r="AB844" s="527"/>
    </row>
    <row r="845" spans="1:28" s="576" customFormat="1" ht="15.75" customHeight="1">
      <c r="A845" s="517" t="str">
        <f>IF(B845&lt;&gt;"",IF(AND(B845&gt;=_TM1,B845&lt;=_TM2,OR(TH!L845="1111",TH!M845="1111")),TH!D845,""),"")</f>
        <v/>
      </c>
      <c r="B845" s="756">
        <f t="shared" si="99"/>
        <v>7</v>
      </c>
      <c r="C845" s="757">
        <f t="shared" si="100"/>
        <v>42923</v>
      </c>
      <c r="D845" s="758" t="s">
        <v>476</v>
      </c>
      <c r="E845" s="757">
        <v>42923</v>
      </c>
      <c r="F845" s="759" t="s">
        <v>1522</v>
      </c>
      <c r="G845" s="760" t="s">
        <v>1523</v>
      </c>
      <c r="H845" s="761" t="s">
        <v>1501</v>
      </c>
      <c r="I845" s="762"/>
      <c r="J845" s="762"/>
      <c r="K845" s="763">
        <v>7058100</v>
      </c>
      <c r="L845" s="764" t="s">
        <v>9</v>
      </c>
      <c r="M845" s="764" t="s">
        <v>8</v>
      </c>
      <c r="N845" s="525" t="str">
        <f>IF(AND('331-CT'!$E$7=TH!H845,OR(L845="331",M845="331")),"331",IF(AND(OR(L845="131",M845="131"),H845='131-CT'!$E$7),"131",""))</f>
        <v/>
      </c>
      <c r="O845" s="525" t="str">
        <f>IF(AND($B845&gt;='111'!$N$11,$B845&lt;='111'!$O$11,OR($L845=$O$7,$M845=$O$7)),"x","")</f>
        <v/>
      </c>
      <c r="P845" s="525" t="str">
        <f>IF(AND($L845=$O$7,$B845&lt;'111'!$N$11),"x","")</f>
        <v/>
      </c>
      <c r="Q845" s="525" t="str">
        <f>IF(AND($M845=$O$7,$B845&lt;'111'!$N$11),"x","")</f>
        <v/>
      </c>
      <c r="R845" s="525" t="str">
        <f>IF(ISERROR(FIND('112'!$M$9,G845,1)),"",IF((AND(FIND('112'!$M$9,G845,1)&gt;=1,$B845&gt;='112'!$N$8,$B845&lt;='112'!$O$8,OR($L845='112'!$I$6,$M845='112'!$I$6))),"x",""))</f>
        <v/>
      </c>
      <c r="S845" s="525" t="str">
        <f>IF(ISERROR(FIND('112'!$M$9,G845,1)),"",IF((AND(LEFT(G845,2)=LEFT('112'!$M$9,2),B845&lt;'112'!$N$8,$L845='112'!$I$6)),"x",""))</f>
        <v/>
      </c>
      <c r="T845" s="525" t="str">
        <f>IF(ISERROR(FIND('112'!$M$9,G845,1)),"",IF((AND(RIGHT(G845,2)=RIGHT('112'!$M$9,2),B845&lt;'112'!$N$8,$M845='112'!$I$6)),"x",""))</f>
        <v/>
      </c>
      <c r="U845" s="525" t="str">
        <f>IF(AND(B845&gt;='IN-NX'!$P$3,B845&lt;='IN-NX'!$Q$3,'IN-NX'!$D$7=D845,OR(LEFT(L845,2)="15",AND(LEFT(M845,2)&lt;&gt;"15",LEFT(M845,2)&lt;&gt;"33"))),"x","")</f>
        <v/>
      </c>
      <c r="V845" s="525" t="str">
        <f>IF(AND(OR(LEFT(TH!L845,2)="15",LEFT(TH!M845,2)="15"),'152-CT'!$J$8=TH!F845),"x","")</f>
        <v/>
      </c>
      <c r="W845" s="525" t="str">
        <f>IF(AND(OR(LEFT(TH!L845,2)="15",LEFT(TH!M845,2)="15"),TK!$E$7=TH!F845),"x","")</f>
        <v/>
      </c>
      <c r="X845" s="525" t="str">
        <f>IF(AND('341-CT'!$E$9=H845,OR(LEFT(L845,3)=$X$7,LEFT(M845,3)=$X$7)),"x","")</f>
        <v/>
      </c>
      <c r="Y845" s="525" t="str">
        <f>IF(OR(TH!L845=TH!$Y$7,M845=TH!$Y$7),"x","")</f>
        <v/>
      </c>
      <c r="Z845" s="525" t="str">
        <f>IF(AND(B845&lt;=NKC!$N$8,B845&gt;=NKC!$M$8),"x","")</f>
        <v/>
      </c>
      <c r="AA845" s="526">
        <v>3</v>
      </c>
      <c r="AB845" s="527"/>
    </row>
    <row r="846" spans="1:28" s="503" customFormat="1" ht="15.75" customHeight="1">
      <c r="A846" s="517">
        <f>IF(B846&lt;&gt;"",IF(AND(B846&gt;=_TM1,B846&lt;=_TM2,OR(TH!L846="1111",TH!M846="1111")),TH!D846,""),"")</f>
        <v>0</v>
      </c>
      <c r="B846" s="531">
        <f t="shared" ref="B846:B877" si="101">IF(C846&lt;&gt;"",MONTH(C846),"")</f>
        <v>1</v>
      </c>
      <c r="C846" s="315">
        <f t="shared" ref="C846:C877" si="102">E846</f>
        <v>42740</v>
      </c>
      <c r="D846" s="537"/>
      <c r="E846" s="315">
        <v>42740</v>
      </c>
      <c r="F846" s="249" t="s">
        <v>854</v>
      </c>
      <c r="G846" s="314" t="s">
        <v>855</v>
      </c>
      <c r="H846" s="473" t="s">
        <v>852</v>
      </c>
      <c r="I846" s="307"/>
      <c r="J846" s="307"/>
      <c r="K846" s="532">
        <f>188248+423703+302698</f>
        <v>914649</v>
      </c>
      <c r="L846" s="539" t="s">
        <v>81</v>
      </c>
      <c r="M846" s="539" t="s">
        <v>45</v>
      </c>
      <c r="N846" s="525" t="str">
        <f>IF(AND('331-CT'!$E$7=TH!H846,OR(L846="331",M846="331")),"331",IF(AND(OR(L846="131",M846="131"),H846='131-CT'!$E$7),"131",""))</f>
        <v/>
      </c>
      <c r="O846" s="525" t="str">
        <f>IF(AND($B846&gt;='111'!$N$11,$B846&lt;='111'!$O$11,OR($L846=$O$7,$M846=$O$7)),"x","")</f>
        <v/>
      </c>
      <c r="P846" s="525" t="str">
        <f>IF(AND($L846=$O$7,$B846&lt;'111'!$N$11),"x","")</f>
        <v/>
      </c>
      <c r="Q846" s="525" t="str">
        <f>IF(AND($M846=$O$7,$B846&lt;'111'!$N$11),"x","")</f>
        <v>x</v>
      </c>
      <c r="R846" s="525" t="str">
        <f>IF(ISERROR(FIND('112'!$M$9,G846,1)),"",IF((AND(FIND('112'!$M$9,G846,1)&gt;=1,$B846&gt;='112'!$N$8,$B846&lt;='112'!$O$8,OR($L846='112'!$I$6,$M846='112'!$I$6))),"x",""))</f>
        <v/>
      </c>
      <c r="S846" s="525" t="str">
        <f>IF(ISERROR(FIND('112'!$M$9,G846,1)),"",IF((AND(LEFT(G846,2)=LEFT('112'!$M$9,2),B846&lt;'112'!$N$8,$L846='112'!$I$6)),"x",""))</f>
        <v/>
      </c>
      <c r="T846" s="525" t="str">
        <f>IF(ISERROR(FIND('112'!$M$9,G846,1)),"",IF((AND(RIGHT(G846,2)=RIGHT('112'!$M$9,2),B846&lt;'112'!$N$8,$M846='112'!$I$6)),"x",""))</f>
        <v/>
      </c>
      <c r="U846" s="525" t="str">
        <f>IF(AND(B846&gt;='IN-NX'!$P$3,B846&lt;='IN-NX'!$Q$3,'IN-NX'!$D$7=D846,OR(LEFT(L846,2)="15",AND(LEFT(M846,2)&lt;&gt;"15",LEFT(M846,2)&lt;&gt;"33"))),"x","")</f>
        <v/>
      </c>
      <c r="V846" s="525" t="str">
        <f>IF(AND(OR(LEFT(TH!L846,2)="15",LEFT(TH!M846,2)="15"),'152-CT'!$J$8=TH!F846),"x","")</f>
        <v/>
      </c>
      <c r="W846" s="525" t="str">
        <f>IF(AND(OR(LEFT(TH!L846,2)="15",LEFT(TH!M846,2)="15"),TK!$E$7=TH!F846),"x","")</f>
        <v/>
      </c>
      <c r="X846" s="525" t="str">
        <f>IF(AND('341-CT'!$E$9=H846,OR(LEFT(L846,3)=$X$7,LEFT(M846,3)=$X$7)),"x","")</f>
        <v/>
      </c>
      <c r="Y846" s="525" t="str">
        <f>IF(OR(TH!L846=TH!$Y$7,M846=TH!$Y$7),"x","")</f>
        <v/>
      </c>
      <c r="Z846" s="525" t="str">
        <f>IF(AND(B846&lt;=NKC!$N$8,B846&gt;=NKC!$M$8),"x","")</f>
        <v>x</v>
      </c>
      <c r="AA846" s="535">
        <v>1</v>
      </c>
      <c r="AB846" s="536"/>
    </row>
    <row r="847" spans="1:28" s="503" customFormat="1" ht="15.75" customHeight="1">
      <c r="A847" s="517">
        <f>IF(B847&lt;&gt;"",IF(AND(B847&gt;=_TM1,B847&lt;=_TM2,OR(TH!L847="1111",TH!M847="1111")),TH!D847,""),"")</f>
        <v>0</v>
      </c>
      <c r="B847" s="531">
        <f t="shared" si="101"/>
        <v>1</v>
      </c>
      <c r="C847" s="315">
        <f t="shared" si="102"/>
        <v>42740</v>
      </c>
      <c r="D847" s="537"/>
      <c r="E847" s="315">
        <v>42740</v>
      </c>
      <c r="F847" s="249" t="s">
        <v>853</v>
      </c>
      <c r="G847" s="314" t="s">
        <v>856</v>
      </c>
      <c r="H847" s="473" t="s">
        <v>852</v>
      </c>
      <c r="I847" s="307"/>
      <c r="J847" s="307"/>
      <c r="K847" s="532">
        <f>18825+42370+30270</f>
        <v>91465</v>
      </c>
      <c r="L847" s="539" t="s">
        <v>9</v>
      </c>
      <c r="M847" s="539" t="s">
        <v>45</v>
      </c>
      <c r="N847" s="525" t="str">
        <f>IF(AND('331-CT'!$E$7=TH!H847,OR(L847="331",M847="331")),"331",IF(AND(OR(L847="131",M847="131"),H847='131-CT'!$E$7),"131",""))</f>
        <v/>
      </c>
      <c r="O847" s="525" t="str">
        <f>IF(AND($B847&gt;='111'!$N$11,$B847&lt;='111'!$O$11,OR($L847=$O$7,$M847=$O$7)),"x","")</f>
        <v/>
      </c>
      <c r="P847" s="525" t="str">
        <f>IF(AND($L847=$O$7,$B847&lt;'111'!$N$11),"x","")</f>
        <v/>
      </c>
      <c r="Q847" s="525" t="str">
        <f>IF(AND($M847=$O$7,$B847&lt;'111'!$N$11),"x","")</f>
        <v>x</v>
      </c>
      <c r="R847" s="525" t="str">
        <f>IF(ISERROR(FIND('112'!$M$9,G847,1)),"",IF((AND(FIND('112'!$M$9,G847,1)&gt;=1,$B847&gt;='112'!$N$8,$B847&lt;='112'!$O$8,OR($L847='112'!$I$6,$M847='112'!$I$6))),"x",""))</f>
        <v/>
      </c>
      <c r="S847" s="525" t="str">
        <f>IF(ISERROR(FIND('112'!$M$9,G847,1)),"",IF((AND(LEFT(G847,2)=LEFT('112'!$M$9,2),B847&lt;'112'!$N$8,$L847='112'!$I$6)),"x",""))</f>
        <v/>
      </c>
      <c r="T847" s="525" t="str">
        <f>IF(ISERROR(FIND('112'!$M$9,G847,1)),"",IF((AND(RIGHT(G847,2)=RIGHT('112'!$M$9,2),B847&lt;'112'!$N$8,$M847='112'!$I$6)),"x",""))</f>
        <v/>
      </c>
      <c r="U847" s="525" t="str">
        <f>IF(AND(B847&gt;='IN-NX'!$P$3,B847&lt;='IN-NX'!$Q$3,'IN-NX'!$D$7=D847,OR(LEFT(L847,2)="15",AND(LEFT(M847,2)&lt;&gt;"15",LEFT(M847,2)&lt;&gt;"33"))),"x","")</f>
        <v/>
      </c>
      <c r="V847" s="525" t="str">
        <f>IF(AND(OR(LEFT(TH!L847,2)="15",LEFT(TH!M847,2)="15"),'152-CT'!$J$8=TH!F847),"x","")</f>
        <v/>
      </c>
      <c r="W847" s="525" t="str">
        <f>IF(AND(OR(LEFT(TH!L847,2)="15",LEFT(TH!M847,2)="15"),TK!$E$7=TH!F847),"x","")</f>
        <v/>
      </c>
      <c r="X847" s="525" t="str">
        <f>IF(AND('341-CT'!$E$9=H847,OR(LEFT(L847,3)=$X$7,LEFT(M847,3)=$X$7)),"x","")</f>
        <v/>
      </c>
      <c r="Y847" s="525" t="str">
        <f>IF(OR(TH!L847=TH!$Y$7,M847=TH!$Y$7),"x","")</f>
        <v/>
      </c>
      <c r="Z847" s="525" t="str">
        <f>IF(AND(B847&lt;=NKC!$N$8,B847&gt;=NKC!$M$8),"x","")</f>
        <v>x</v>
      </c>
      <c r="AA847" s="535">
        <v>1</v>
      </c>
      <c r="AB847" s="536"/>
    </row>
    <row r="848" spans="1:28" s="503" customFormat="1" ht="15.75" customHeight="1">
      <c r="A848" s="517">
        <f>IF(B848&lt;&gt;"",IF(AND(B848&gt;=_TM1,B848&lt;=_TM2,OR(TH!L848="1111",TH!M848="1111")),TH!D848,""),"")</f>
        <v>0</v>
      </c>
      <c r="B848" s="531">
        <f t="shared" si="101"/>
        <v>1</v>
      </c>
      <c r="C848" s="315">
        <f t="shared" si="102"/>
        <v>42758</v>
      </c>
      <c r="D848" s="537"/>
      <c r="E848" s="315">
        <v>42758</v>
      </c>
      <c r="F848" s="249" t="s">
        <v>516</v>
      </c>
      <c r="G848" s="314" t="s">
        <v>519</v>
      </c>
      <c r="H848" s="473" t="s">
        <v>518</v>
      </c>
      <c r="I848" s="307"/>
      <c r="J848" s="307"/>
      <c r="K848" s="532">
        <v>1118727</v>
      </c>
      <c r="L848" s="539" t="s">
        <v>81</v>
      </c>
      <c r="M848" s="539" t="s">
        <v>45</v>
      </c>
      <c r="N848" s="525" t="str">
        <f>IF(AND('331-CT'!$E$7=TH!H848,OR(L848="331",M848="331")),"331",IF(AND(OR(L848="131",M848="131"),H848='131-CT'!$E$7),"131",""))</f>
        <v/>
      </c>
      <c r="O848" s="525" t="str">
        <f>IF(AND($B848&gt;='111'!$N$11,$B848&lt;='111'!$O$11,OR($L848=$O$7,$M848=$O$7)),"x","")</f>
        <v/>
      </c>
      <c r="P848" s="525" t="str">
        <f>IF(AND($L848=$O$7,$B848&lt;'111'!$N$11),"x","")</f>
        <v/>
      </c>
      <c r="Q848" s="525" t="str">
        <f>IF(AND($M848=$O$7,$B848&lt;'111'!$N$11),"x","")</f>
        <v>x</v>
      </c>
      <c r="R848" s="525" t="str">
        <f>IF(ISERROR(FIND('112'!$M$9,G848,1)),"",IF((AND(FIND('112'!$M$9,G848,1)&gt;=1,$B848&gt;='112'!$N$8,$B848&lt;='112'!$O$8,OR($L848='112'!$I$6,$M848='112'!$I$6))),"x",""))</f>
        <v/>
      </c>
      <c r="S848" s="525" t="str">
        <f>IF(ISERROR(FIND('112'!$M$9,G848,1)),"",IF((AND(LEFT(G848,2)=LEFT('112'!$M$9,2),B848&lt;'112'!$N$8,$L848='112'!$I$6)),"x",""))</f>
        <v/>
      </c>
      <c r="T848" s="525" t="str">
        <f>IF(ISERROR(FIND('112'!$M$9,G848,1)),"",IF((AND(RIGHT(G848,2)=RIGHT('112'!$M$9,2),B848&lt;'112'!$N$8,$M848='112'!$I$6)),"x",""))</f>
        <v/>
      </c>
      <c r="U848" s="525" t="str">
        <f>IF(AND(B848&gt;='IN-NX'!$P$3,B848&lt;='IN-NX'!$Q$3,'IN-NX'!$D$7=D848,OR(LEFT(L848,2)="15",AND(LEFT(M848,2)&lt;&gt;"15",LEFT(M848,2)&lt;&gt;"33"))),"x","")</f>
        <v/>
      </c>
      <c r="V848" s="525" t="str">
        <f>IF(AND(OR(LEFT(TH!L848,2)="15",LEFT(TH!M848,2)="15"),'152-CT'!$J$8=TH!F848),"x","")</f>
        <v/>
      </c>
      <c r="W848" s="525" t="str">
        <f>IF(AND(OR(LEFT(TH!L848,2)="15",LEFT(TH!M848,2)="15"),TK!$E$7=TH!F848),"x","")</f>
        <v/>
      </c>
      <c r="X848" s="525" t="str">
        <f>IF(AND('341-CT'!$E$9=H848,OR(LEFT(L848,3)=$X$7,LEFT(M848,3)=$X$7)),"x","")</f>
        <v/>
      </c>
      <c r="Y848" s="525" t="str">
        <f>IF(OR(TH!L848=TH!$Y$7,M848=TH!$Y$7),"x","")</f>
        <v/>
      </c>
      <c r="Z848" s="525" t="str">
        <f>IF(AND(B848&lt;=NKC!$N$8,B848&gt;=NKC!$M$8),"x","")</f>
        <v>x</v>
      </c>
      <c r="AA848" s="535">
        <v>1</v>
      </c>
      <c r="AB848" s="536"/>
    </row>
    <row r="849" spans="1:28" s="503" customFormat="1" ht="15.75" customHeight="1">
      <c r="A849" s="517">
        <f>IF(B849&lt;&gt;"",IF(AND(B849&gt;=_TM1,B849&lt;=_TM2,OR(TH!L849="1111",TH!M849="1111")),TH!D849,""),"")</f>
        <v>0</v>
      </c>
      <c r="B849" s="531">
        <f t="shared" si="101"/>
        <v>1</v>
      </c>
      <c r="C849" s="315">
        <f t="shared" si="102"/>
        <v>42758</v>
      </c>
      <c r="D849" s="537"/>
      <c r="E849" s="315">
        <v>42758</v>
      </c>
      <c r="F849" s="249" t="s">
        <v>517</v>
      </c>
      <c r="G849" s="314" t="s">
        <v>519</v>
      </c>
      <c r="H849" s="473" t="s">
        <v>518</v>
      </c>
      <c r="I849" s="307"/>
      <c r="J849" s="307"/>
      <c r="K849" s="532">
        <v>111873</v>
      </c>
      <c r="L849" s="539" t="s">
        <v>9</v>
      </c>
      <c r="M849" s="539" t="s">
        <v>45</v>
      </c>
      <c r="N849" s="525" t="str">
        <f>IF(AND('331-CT'!$E$7=TH!H849,OR(L849="331",M849="331")),"331",IF(AND(OR(L849="131",M849="131"),H849='131-CT'!$E$7),"131",""))</f>
        <v/>
      </c>
      <c r="O849" s="525" t="str">
        <f>IF(AND($B849&gt;='111'!$N$11,$B849&lt;='111'!$O$11,OR($L849=$O$7,$M849=$O$7)),"x","")</f>
        <v/>
      </c>
      <c r="P849" s="525" t="str">
        <f>IF(AND($L849=$O$7,$B849&lt;'111'!$N$11),"x","")</f>
        <v/>
      </c>
      <c r="Q849" s="525" t="str">
        <f>IF(AND($M849=$O$7,$B849&lt;'111'!$N$11),"x","")</f>
        <v>x</v>
      </c>
      <c r="R849" s="525" t="str">
        <f>IF(ISERROR(FIND('112'!$M$9,G849,1)),"",IF((AND(FIND('112'!$M$9,G849,1)&gt;=1,$B849&gt;='112'!$N$8,$B849&lt;='112'!$O$8,OR($L849='112'!$I$6,$M849='112'!$I$6))),"x",""))</f>
        <v/>
      </c>
      <c r="S849" s="525" t="str">
        <f>IF(ISERROR(FIND('112'!$M$9,G849,1)),"",IF((AND(LEFT(G849,2)=LEFT('112'!$M$9,2),B849&lt;'112'!$N$8,$L849='112'!$I$6)),"x",""))</f>
        <v/>
      </c>
      <c r="T849" s="525" t="str">
        <f>IF(ISERROR(FIND('112'!$M$9,G849,1)),"",IF((AND(RIGHT(G849,2)=RIGHT('112'!$M$9,2),B849&lt;'112'!$N$8,$M849='112'!$I$6)),"x",""))</f>
        <v/>
      </c>
      <c r="U849" s="525" t="str">
        <f>IF(AND(B849&gt;='IN-NX'!$P$3,B849&lt;='IN-NX'!$Q$3,'IN-NX'!$D$7=D849,OR(LEFT(L849,2)="15",AND(LEFT(M849,2)&lt;&gt;"15",LEFT(M849,2)&lt;&gt;"33"))),"x","")</f>
        <v/>
      </c>
      <c r="V849" s="525" t="str">
        <f>IF(AND(OR(LEFT(TH!L849,2)="15",LEFT(TH!M849,2)="15"),'152-CT'!$J$8=TH!F849),"x","")</f>
        <v/>
      </c>
      <c r="W849" s="525" t="str">
        <f>IF(AND(OR(LEFT(TH!L849,2)="15",LEFT(TH!M849,2)="15"),TK!$E$7=TH!F849),"x","")</f>
        <v/>
      </c>
      <c r="X849" s="525" t="str">
        <f>IF(AND('341-CT'!$E$9=H849,OR(LEFT(L849,3)=$X$7,LEFT(M849,3)=$X$7)),"x","")</f>
        <v/>
      </c>
      <c r="Y849" s="525" t="str">
        <f>IF(OR(TH!L849=TH!$Y$7,M849=TH!$Y$7),"x","")</f>
        <v/>
      </c>
      <c r="Z849" s="525" t="str">
        <f>IF(AND(B849&lt;=NKC!$N$8,B849&gt;=NKC!$M$8),"x","")</f>
        <v>x</v>
      </c>
      <c r="AA849" s="535">
        <v>1</v>
      </c>
    </row>
    <row r="850" spans="1:28" s="503" customFormat="1" ht="15.75" customHeight="1">
      <c r="A850" s="517">
        <f>IF(B850&lt;&gt;"",IF(AND(B850&gt;=_TM1,B850&lt;=_TM2,OR(TH!L850="1111",TH!M850="1111")),TH!D850,""),"")</f>
        <v>0</v>
      </c>
      <c r="B850" s="531">
        <f t="shared" si="101"/>
        <v>1</v>
      </c>
      <c r="C850" s="315">
        <f t="shared" si="102"/>
        <v>42766</v>
      </c>
      <c r="D850" s="537"/>
      <c r="E850" s="315">
        <v>42766</v>
      </c>
      <c r="F850" s="249" t="s">
        <v>867</v>
      </c>
      <c r="G850" s="314"/>
      <c r="H850" s="473"/>
      <c r="I850" s="307"/>
      <c r="J850" s="307"/>
      <c r="K850" s="532">
        <f>ROUND((35000*2+30000*3+15000*12+10000*8+5000*6)/1.1,0)</f>
        <v>409091</v>
      </c>
      <c r="L850" s="539" t="s">
        <v>81</v>
      </c>
      <c r="M850" s="539" t="s">
        <v>45</v>
      </c>
      <c r="N850" s="525" t="str">
        <f>IF(AND('331-CT'!$E$7=TH!H850,OR(L850="331",M850="331")),"331",IF(AND(OR(L850="131",M850="131"),H850='131-CT'!$E$7),"131",""))</f>
        <v/>
      </c>
      <c r="O850" s="525" t="str">
        <f>IF(AND($B850&gt;='111'!$N$11,$B850&lt;='111'!$O$11,OR($L850=$O$7,$M850=$O$7)),"x","")</f>
        <v/>
      </c>
      <c r="P850" s="525" t="str">
        <f>IF(AND($L850=$O$7,$B850&lt;'111'!$N$11),"x","")</f>
        <v/>
      </c>
      <c r="Q850" s="525" t="str">
        <f>IF(AND($M850=$O$7,$B850&lt;'111'!$N$11),"x","")</f>
        <v>x</v>
      </c>
      <c r="R850" s="525" t="str">
        <f>IF(ISERROR(FIND('112'!$M$9,G850,1)),"",IF((AND(FIND('112'!$M$9,G850,1)&gt;=1,$B850&gt;='112'!$N$8,$B850&lt;='112'!$O$8,OR($L850='112'!$I$6,$M850='112'!$I$6))),"x",""))</f>
        <v/>
      </c>
      <c r="S850" s="525" t="str">
        <f>IF(ISERROR(FIND('112'!$M$9,G850,1)),"",IF((AND(LEFT(G850,2)=LEFT('112'!$M$9,2),B850&lt;'112'!$N$8,$L850='112'!$I$6)),"x",""))</f>
        <v/>
      </c>
      <c r="T850" s="525" t="str">
        <f>IF(ISERROR(FIND('112'!$M$9,G850,1)),"",IF((AND(RIGHT(G850,2)=RIGHT('112'!$M$9,2),B850&lt;'112'!$N$8,$M850='112'!$I$6)),"x",""))</f>
        <v/>
      </c>
      <c r="U850" s="525" t="str">
        <f>IF(AND(B850&gt;='IN-NX'!$P$3,B850&lt;='IN-NX'!$Q$3,'IN-NX'!$D$7=D850,OR(LEFT(L850,2)="15",AND(LEFT(M850,2)&lt;&gt;"15",LEFT(M850,2)&lt;&gt;"33"))),"x","")</f>
        <v/>
      </c>
      <c r="V850" s="525" t="str">
        <f>IF(AND(OR(LEFT(TH!L850,2)="15",LEFT(TH!M850,2)="15"),'152-CT'!$J$8=TH!F850),"x","")</f>
        <v/>
      </c>
      <c r="W850" s="525" t="str">
        <f>IF(AND(OR(LEFT(TH!L850,2)="15",LEFT(TH!M850,2)="15"),TK!$E$7=TH!F850),"x","")</f>
        <v/>
      </c>
      <c r="X850" s="525" t="str">
        <f>IF(AND('341-CT'!$E$9=H850,OR(LEFT(L850,3)=$X$7,LEFT(M850,3)=$X$7)),"x","")</f>
        <v/>
      </c>
      <c r="Y850" s="525" t="str">
        <f>IF(OR(TH!L850=TH!$Y$7,M850=TH!$Y$7),"x","")</f>
        <v/>
      </c>
      <c r="Z850" s="525" t="str">
        <f>IF(AND(B850&lt;=NKC!$N$8,B850&gt;=NKC!$M$8),"x","")</f>
        <v>x</v>
      </c>
      <c r="AA850" s="535">
        <v>1</v>
      </c>
      <c r="AB850" s="536"/>
    </row>
    <row r="851" spans="1:28" s="503" customFormat="1" ht="15.75" customHeight="1">
      <c r="A851" s="517">
        <f>IF(B851&lt;&gt;"",IF(AND(B851&gt;=_TM1,B851&lt;=_TM2,OR(TH!L851="1111",TH!M851="1111")),TH!D851,""),"")</f>
        <v>0</v>
      </c>
      <c r="B851" s="531">
        <f t="shared" si="101"/>
        <v>1</v>
      </c>
      <c r="C851" s="315">
        <f t="shared" si="102"/>
        <v>42766</v>
      </c>
      <c r="D851" s="537"/>
      <c r="E851" s="315">
        <v>42766</v>
      </c>
      <c r="F851" s="249" t="s">
        <v>868</v>
      </c>
      <c r="G851" s="314"/>
      <c r="H851" s="473"/>
      <c r="I851" s="307"/>
      <c r="J851" s="307"/>
      <c r="K851" s="532">
        <v>40909</v>
      </c>
      <c r="L851" s="539" t="s">
        <v>9</v>
      </c>
      <c r="M851" s="539" t="s">
        <v>45</v>
      </c>
      <c r="N851" s="525" t="str">
        <f>IF(AND('331-CT'!$E$7=TH!H851,OR(L851="331",M851="331")),"331",IF(AND(OR(L851="131",M851="131"),H851='131-CT'!$E$7),"131",""))</f>
        <v/>
      </c>
      <c r="O851" s="525" t="str">
        <f>IF(AND($B851&gt;='111'!$N$11,$B851&lt;='111'!$O$11,OR($L851=$O$7,$M851=$O$7)),"x","")</f>
        <v/>
      </c>
      <c r="P851" s="525" t="str">
        <f>IF(AND($L851=$O$7,$B851&lt;'111'!$N$11),"x","")</f>
        <v/>
      </c>
      <c r="Q851" s="525" t="str">
        <f>IF(AND($M851=$O$7,$B851&lt;'111'!$N$11),"x","")</f>
        <v>x</v>
      </c>
      <c r="R851" s="525" t="str">
        <f>IF(ISERROR(FIND('112'!$M$9,G851,1)),"",IF((AND(FIND('112'!$M$9,G851,1)&gt;=1,$B851&gt;='112'!$N$8,$B851&lt;='112'!$O$8,OR($L851='112'!$I$6,$M851='112'!$I$6))),"x",""))</f>
        <v/>
      </c>
      <c r="S851" s="525" t="str">
        <f>IF(ISERROR(FIND('112'!$M$9,G851,1)),"",IF((AND(LEFT(G851,2)=LEFT('112'!$M$9,2),B851&lt;'112'!$N$8,$L851='112'!$I$6)),"x",""))</f>
        <v/>
      </c>
      <c r="T851" s="525" t="str">
        <f>IF(ISERROR(FIND('112'!$M$9,G851,1)),"",IF((AND(RIGHT(G851,2)=RIGHT('112'!$M$9,2),B851&lt;'112'!$N$8,$M851='112'!$I$6)),"x",""))</f>
        <v/>
      </c>
      <c r="U851" s="525" t="str">
        <f>IF(AND(B851&gt;='IN-NX'!$P$3,B851&lt;='IN-NX'!$Q$3,'IN-NX'!$D$7=D851,OR(LEFT(L851,2)="15",AND(LEFT(M851,2)&lt;&gt;"15",LEFT(M851,2)&lt;&gt;"33"))),"x","")</f>
        <v/>
      </c>
      <c r="V851" s="525" t="str">
        <f>IF(AND(OR(LEFT(TH!L851,2)="15",LEFT(TH!M851,2)="15"),'152-CT'!$J$8=TH!F851),"x","")</f>
        <v/>
      </c>
      <c r="W851" s="525" t="str">
        <f>IF(AND(OR(LEFT(TH!L851,2)="15",LEFT(TH!M851,2)="15"),TK!$E$7=TH!F851),"x","")</f>
        <v/>
      </c>
      <c r="X851" s="525" t="str">
        <f>IF(AND('341-CT'!$E$9=H851,OR(LEFT(L851,3)=$X$7,LEFT(M851,3)=$X$7)),"x","")</f>
        <v/>
      </c>
      <c r="Y851" s="525" t="str">
        <f>IF(OR(TH!L851=TH!$Y$7,M851=TH!$Y$7),"x","")</f>
        <v/>
      </c>
      <c r="Z851" s="525" t="str">
        <f>IF(AND(B851&lt;=NKC!$N$8,B851&gt;=NKC!$M$8),"x","")</f>
        <v>x</v>
      </c>
      <c r="AA851" s="535">
        <v>1</v>
      </c>
      <c r="AB851" s="536"/>
    </row>
    <row r="852" spans="1:28" s="503" customFormat="1" ht="15.75" customHeight="1">
      <c r="A852" s="517">
        <f>IF(B852&lt;&gt;"",IF(AND(B852&gt;=_TM1,B852&lt;=_TM2,OR(TH!L852="1111",TH!M852="1111")),TH!D852,""),"")</f>
        <v>0</v>
      </c>
      <c r="B852" s="531">
        <f t="shared" si="101"/>
        <v>2</v>
      </c>
      <c r="C852" s="315">
        <f t="shared" si="102"/>
        <v>42769</v>
      </c>
      <c r="D852" s="537"/>
      <c r="E852" s="315">
        <v>42769</v>
      </c>
      <c r="F852" s="249" t="s">
        <v>521</v>
      </c>
      <c r="G852" s="314" t="s">
        <v>520</v>
      </c>
      <c r="H852" s="473" t="s">
        <v>523</v>
      </c>
      <c r="I852" s="307"/>
      <c r="J852" s="307"/>
      <c r="K852" s="532">
        <v>918982</v>
      </c>
      <c r="L852" s="539" t="s">
        <v>81</v>
      </c>
      <c r="M852" s="539" t="s">
        <v>45</v>
      </c>
      <c r="N852" s="525" t="str">
        <f>IF(AND('331-CT'!$E$7=TH!H852,OR(L852="331",M852="331")),"331",IF(AND(OR(L852="131",M852="131"),H852='131-CT'!$E$7),"131",""))</f>
        <v/>
      </c>
      <c r="O852" s="525" t="str">
        <f>IF(AND($B852&gt;='111'!$N$11,$B852&lt;='111'!$O$11,OR($L852=$O$7,$M852=$O$7)),"x","")</f>
        <v/>
      </c>
      <c r="P852" s="525" t="str">
        <f>IF(AND($L852=$O$7,$B852&lt;'111'!$N$11),"x","")</f>
        <v/>
      </c>
      <c r="Q852" s="525" t="str">
        <f>IF(AND($M852=$O$7,$B852&lt;'111'!$N$11),"x","")</f>
        <v>x</v>
      </c>
      <c r="R852" s="525" t="str">
        <f>IF(ISERROR(FIND('112'!$M$9,G852,1)),"",IF((AND(FIND('112'!$M$9,G852,1)&gt;=1,$B852&gt;='112'!$N$8,$B852&lt;='112'!$O$8,OR($L852='112'!$I$6,$M852='112'!$I$6))),"x",""))</f>
        <v/>
      </c>
      <c r="S852" s="525" t="str">
        <f>IF(ISERROR(FIND('112'!$M$9,G852,1)),"",IF((AND(LEFT(G852,2)=LEFT('112'!$M$9,2),B852&lt;'112'!$N$8,$L852='112'!$I$6)),"x",""))</f>
        <v/>
      </c>
      <c r="T852" s="525" t="str">
        <f>IF(ISERROR(FIND('112'!$M$9,G852,1)),"",IF((AND(RIGHT(G852,2)=RIGHT('112'!$M$9,2),B852&lt;'112'!$N$8,$M852='112'!$I$6)),"x",""))</f>
        <v/>
      </c>
      <c r="U852" s="525" t="str">
        <f>IF(AND(B852&gt;='IN-NX'!$P$3,B852&lt;='IN-NX'!$Q$3,'IN-NX'!$D$7=D852,OR(LEFT(L852,2)="15",AND(LEFT(M852,2)&lt;&gt;"15",LEFT(M852,2)&lt;&gt;"33"))),"x","")</f>
        <v/>
      </c>
      <c r="V852" s="525" t="str">
        <f>IF(AND(OR(LEFT(TH!L852,2)="15",LEFT(TH!M852,2)="15"),'152-CT'!$J$8=TH!F852),"x","")</f>
        <v/>
      </c>
      <c r="W852" s="525" t="str">
        <f>IF(AND(OR(LEFT(TH!L852,2)="15",LEFT(TH!M852,2)="15"),TK!$E$7=TH!F852),"x","")</f>
        <v/>
      </c>
      <c r="X852" s="525" t="str">
        <f>IF(AND('341-CT'!$E$9=H852,OR(LEFT(L852,3)=$X$7,LEFT(M852,3)=$X$7)),"x","")</f>
        <v/>
      </c>
      <c r="Y852" s="525" t="str">
        <f>IF(OR(TH!L852=TH!$Y$7,M852=TH!$Y$7),"x","")</f>
        <v/>
      </c>
      <c r="Z852" s="525" t="str">
        <f>IF(AND(B852&lt;=NKC!$N$8,B852&gt;=NKC!$M$8),"x","")</f>
        <v>x</v>
      </c>
      <c r="AA852" s="535">
        <v>1</v>
      </c>
      <c r="AB852" s="536"/>
    </row>
    <row r="853" spans="1:28" s="503" customFormat="1" ht="15.75" customHeight="1">
      <c r="A853" s="517">
        <f>IF(B853&lt;&gt;"",IF(AND(B853&gt;=_TM1,B853&lt;=_TM2,OR(TH!L853="1111",TH!M853="1111")),TH!D853,""),"")</f>
        <v>0</v>
      </c>
      <c r="B853" s="531">
        <f t="shared" si="101"/>
        <v>2</v>
      </c>
      <c r="C853" s="315">
        <f t="shared" si="102"/>
        <v>42769</v>
      </c>
      <c r="D853" s="537"/>
      <c r="E853" s="315">
        <v>42769</v>
      </c>
      <c r="F853" s="249" t="s">
        <v>522</v>
      </c>
      <c r="G853" s="314" t="s">
        <v>520</v>
      </c>
      <c r="H853" s="473" t="s">
        <v>523</v>
      </c>
      <c r="I853" s="307"/>
      <c r="J853" s="307"/>
      <c r="K853" s="532">
        <v>91898</v>
      </c>
      <c r="L853" s="539" t="s">
        <v>9</v>
      </c>
      <c r="M853" s="539" t="s">
        <v>45</v>
      </c>
      <c r="N853" s="525" t="str">
        <f>IF(AND('331-CT'!$E$7=TH!H853,OR(L853="331",M853="331")),"331",IF(AND(OR(L853="131",M853="131"),H853='131-CT'!$E$7),"131",""))</f>
        <v/>
      </c>
      <c r="O853" s="525" t="str">
        <f>IF(AND($B853&gt;='111'!$N$11,$B853&lt;='111'!$O$11,OR($L853=$O$7,$M853=$O$7)),"x","")</f>
        <v/>
      </c>
      <c r="P853" s="525" t="str">
        <f>IF(AND($L853=$O$7,$B853&lt;'111'!$N$11),"x","")</f>
        <v/>
      </c>
      <c r="Q853" s="525" t="str">
        <f>IF(AND($M853=$O$7,$B853&lt;'111'!$N$11),"x","")</f>
        <v>x</v>
      </c>
      <c r="R853" s="525" t="str">
        <f>IF(ISERROR(FIND('112'!$M$9,G853,1)),"",IF((AND(FIND('112'!$M$9,G853,1)&gt;=1,$B853&gt;='112'!$N$8,$B853&lt;='112'!$O$8,OR($L853='112'!$I$6,$M853='112'!$I$6))),"x",""))</f>
        <v/>
      </c>
      <c r="S853" s="525" t="str">
        <f>IF(ISERROR(FIND('112'!$M$9,G853,1)),"",IF((AND(LEFT(G853,2)=LEFT('112'!$M$9,2),B853&lt;'112'!$N$8,$L853='112'!$I$6)),"x",""))</f>
        <v/>
      </c>
      <c r="T853" s="525" t="str">
        <f>IF(ISERROR(FIND('112'!$M$9,G853,1)),"",IF((AND(RIGHT(G853,2)=RIGHT('112'!$M$9,2),B853&lt;'112'!$N$8,$M853='112'!$I$6)),"x",""))</f>
        <v/>
      </c>
      <c r="U853" s="525" t="str">
        <f>IF(AND(B853&gt;='IN-NX'!$P$3,B853&lt;='IN-NX'!$Q$3,'IN-NX'!$D$7=D853,OR(LEFT(L853,2)="15",AND(LEFT(M853,2)&lt;&gt;"15",LEFT(M853,2)&lt;&gt;"33"))),"x","")</f>
        <v/>
      </c>
      <c r="V853" s="525" t="str">
        <f>IF(AND(OR(LEFT(TH!L853,2)="15",LEFT(TH!M853,2)="15"),'152-CT'!$J$8=TH!F853),"x","")</f>
        <v/>
      </c>
      <c r="W853" s="525" t="str">
        <f>IF(AND(OR(LEFT(TH!L853,2)="15",LEFT(TH!M853,2)="15"),TK!$E$7=TH!F853),"x","")</f>
        <v/>
      </c>
      <c r="X853" s="525" t="str">
        <f>IF(AND('341-CT'!$E$9=H853,OR(LEFT(L853,3)=$X$7,LEFT(M853,3)=$X$7)),"x","")</f>
        <v/>
      </c>
      <c r="Y853" s="525" t="str">
        <f>IF(OR(TH!L853=TH!$Y$7,M853=TH!$Y$7),"x","")</f>
        <v/>
      </c>
      <c r="Z853" s="525" t="str">
        <f>IF(AND(B853&lt;=NKC!$N$8,B853&gt;=NKC!$M$8),"x","")</f>
        <v>x</v>
      </c>
      <c r="AA853" s="535">
        <v>1</v>
      </c>
      <c r="AB853" s="536"/>
    </row>
    <row r="854" spans="1:28" s="503" customFormat="1" ht="15.75" customHeight="1">
      <c r="A854" s="517">
        <f>IF(B854&lt;&gt;"",IF(AND(B854&gt;=_TM1,B854&lt;=_TM2,OR(TH!L854="1111",TH!M854="1111")),TH!D854,""),"")</f>
        <v>0</v>
      </c>
      <c r="B854" s="531">
        <f t="shared" si="101"/>
        <v>2</v>
      </c>
      <c r="C854" s="315">
        <f t="shared" si="102"/>
        <v>42770</v>
      </c>
      <c r="D854" s="537"/>
      <c r="E854" s="315">
        <v>42770</v>
      </c>
      <c r="F854" s="249" t="s">
        <v>857</v>
      </c>
      <c r="G854" s="314" t="s">
        <v>859</v>
      </c>
      <c r="H854" s="473" t="s">
        <v>852</v>
      </c>
      <c r="I854" s="307"/>
      <c r="J854" s="307"/>
      <c r="K854" s="532">
        <f>424105+189611+255443</f>
        <v>869159</v>
      </c>
      <c r="L854" s="539" t="s">
        <v>81</v>
      </c>
      <c r="M854" s="539" t="s">
        <v>45</v>
      </c>
      <c r="N854" s="525" t="str">
        <f>IF(AND('331-CT'!$E$7=TH!H854,OR(L854="331",M854="331")),"331",IF(AND(OR(L854="131",M854="131"),H854='131-CT'!$E$7),"131",""))</f>
        <v/>
      </c>
      <c r="O854" s="525" t="str">
        <f>IF(AND($B854&gt;='111'!$N$11,$B854&lt;='111'!$O$11,OR($L854=$O$7,$M854=$O$7)),"x","")</f>
        <v/>
      </c>
      <c r="P854" s="525" t="str">
        <f>IF(AND($L854=$O$7,$B854&lt;'111'!$N$11),"x","")</f>
        <v/>
      </c>
      <c r="Q854" s="525" t="str">
        <f>IF(AND($M854=$O$7,$B854&lt;'111'!$N$11),"x","")</f>
        <v>x</v>
      </c>
      <c r="R854" s="525" t="str">
        <f>IF(ISERROR(FIND('112'!$M$9,G854,1)),"",IF((AND(FIND('112'!$M$9,G854,1)&gt;=1,$B854&gt;='112'!$N$8,$B854&lt;='112'!$O$8,OR($L854='112'!$I$6,$M854='112'!$I$6))),"x",""))</f>
        <v/>
      </c>
      <c r="S854" s="525" t="str">
        <f>IF(ISERROR(FIND('112'!$M$9,G854,1)),"",IF((AND(LEFT(G854,2)=LEFT('112'!$M$9,2),B854&lt;'112'!$N$8,$L854='112'!$I$6)),"x",""))</f>
        <v/>
      </c>
      <c r="T854" s="525" t="str">
        <f>IF(ISERROR(FIND('112'!$M$9,G854,1)),"",IF((AND(RIGHT(G854,2)=RIGHT('112'!$M$9,2),B854&lt;'112'!$N$8,$M854='112'!$I$6)),"x",""))</f>
        <v/>
      </c>
      <c r="U854" s="525" t="str">
        <f>IF(AND(B854&gt;='IN-NX'!$P$3,B854&lt;='IN-NX'!$Q$3,'IN-NX'!$D$7=D854,OR(LEFT(L854,2)="15",AND(LEFT(M854,2)&lt;&gt;"15",LEFT(M854,2)&lt;&gt;"33"))),"x","")</f>
        <v/>
      </c>
      <c r="V854" s="525" t="str">
        <f>IF(AND(OR(LEFT(TH!L854,2)="15",LEFT(TH!M854,2)="15"),'152-CT'!$J$8=TH!F854),"x","")</f>
        <v/>
      </c>
      <c r="W854" s="525" t="str">
        <f>IF(AND(OR(LEFT(TH!L854,2)="15",LEFT(TH!M854,2)="15"),TK!$E$7=TH!F854),"x","")</f>
        <v/>
      </c>
      <c r="X854" s="525" t="str">
        <f>IF(AND('341-CT'!$E$9=H854,OR(LEFT(L854,3)=$X$7,LEFT(M854,3)=$X$7)),"x","")</f>
        <v/>
      </c>
      <c r="Y854" s="525" t="str">
        <f>IF(OR(TH!L854=TH!$Y$7,M854=TH!$Y$7),"x","")</f>
        <v/>
      </c>
      <c r="Z854" s="525" t="str">
        <f>IF(AND(B854&lt;=NKC!$N$8,B854&gt;=NKC!$M$8),"x","")</f>
        <v>x</v>
      </c>
      <c r="AA854" s="535">
        <v>1</v>
      </c>
      <c r="AB854" s="536"/>
    </row>
    <row r="855" spans="1:28" s="503" customFormat="1" ht="15.75" customHeight="1">
      <c r="A855" s="517">
        <f>IF(B855&lt;&gt;"",IF(AND(B855&gt;=_TM1,B855&lt;=_TM2,OR(TH!L855="1111",TH!M855="1111")),TH!D855,""),"")</f>
        <v>0</v>
      </c>
      <c r="B855" s="531">
        <f t="shared" si="101"/>
        <v>2</v>
      </c>
      <c r="C855" s="315">
        <f t="shared" si="102"/>
        <v>42770</v>
      </c>
      <c r="D855" s="537"/>
      <c r="E855" s="315">
        <v>42770</v>
      </c>
      <c r="F855" s="249" t="s">
        <v>853</v>
      </c>
      <c r="G855" s="314" t="s">
        <v>860</v>
      </c>
      <c r="H855" s="473" t="s">
        <v>852</v>
      </c>
      <c r="I855" s="307"/>
      <c r="J855" s="307"/>
      <c r="K855" s="532">
        <f>42411+18961+25544</f>
        <v>86916</v>
      </c>
      <c r="L855" s="539" t="s">
        <v>9</v>
      </c>
      <c r="M855" s="539" t="s">
        <v>45</v>
      </c>
      <c r="N855" s="525" t="str">
        <f>IF(AND('331-CT'!$E$7=TH!H855,OR(L855="331",M855="331")),"331",IF(AND(OR(L855="131",M855="131"),H855='131-CT'!$E$7),"131",""))</f>
        <v/>
      </c>
      <c r="O855" s="525" t="str">
        <f>IF(AND($B855&gt;='111'!$N$11,$B855&lt;='111'!$O$11,OR($L855=$O$7,$M855=$O$7)),"x","")</f>
        <v/>
      </c>
      <c r="P855" s="525" t="str">
        <f>IF(AND($L855=$O$7,$B855&lt;'111'!$N$11),"x","")</f>
        <v/>
      </c>
      <c r="Q855" s="525" t="str">
        <f>IF(AND($M855=$O$7,$B855&lt;'111'!$N$11),"x","")</f>
        <v>x</v>
      </c>
      <c r="R855" s="525" t="str">
        <f>IF(ISERROR(FIND('112'!$M$9,G855,1)),"",IF((AND(FIND('112'!$M$9,G855,1)&gt;=1,$B855&gt;='112'!$N$8,$B855&lt;='112'!$O$8,OR($L855='112'!$I$6,$M855='112'!$I$6))),"x",""))</f>
        <v/>
      </c>
      <c r="S855" s="525" t="str">
        <f>IF(ISERROR(FIND('112'!$M$9,G855,1)),"",IF((AND(LEFT(G855,2)=LEFT('112'!$M$9,2),B855&lt;'112'!$N$8,$L855='112'!$I$6)),"x",""))</f>
        <v/>
      </c>
      <c r="T855" s="525" t="str">
        <f>IF(ISERROR(FIND('112'!$M$9,G855,1)),"",IF((AND(RIGHT(G855,2)=RIGHT('112'!$M$9,2),B855&lt;'112'!$N$8,$M855='112'!$I$6)),"x",""))</f>
        <v/>
      </c>
      <c r="U855" s="525" t="str">
        <f>IF(AND(B855&gt;='IN-NX'!$P$3,B855&lt;='IN-NX'!$Q$3,'IN-NX'!$D$7=D855,OR(LEFT(L855,2)="15",AND(LEFT(M855,2)&lt;&gt;"15",LEFT(M855,2)&lt;&gt;"33"))),"x","")</f>
        <v/>
      </c>
      <c r="V855" s="525" t="str">
        <f>IF(AND(OR(LEFT(TH!L855,2)="15",LEFT(TH!M855,2)="15"),'152-CT'!$J$8=TH!F855),"x","")</f>
        <v/>
      </c>
      <c r="W855" s="525" t="str">
        <f>IF(AND(OR(LEFT(TH!L855,2)="15",LEFT(TH!M855,2)="15"),TK!$E$7=TH!F855),"x","")</f>
        <v/>
      </c>
      <c r="X855" s="525" t="str">
        <f>IF(AND('341-CT'!$E$9=H855,OR(LEFT(L855,3)=$X$7,LEFT(M855,3)=$X$7)),"x","")</f>
        <v/>
      </c>
      <c r="Y855" s="525" t="str">
        <f>IF(OR(TH!L855=TH!$Y$7,M855=TH!$Y$7),"x","")</f>
        <v/>
      </c>
      <c r="Z855" s="525" t="str">
        <f>IF(AND(B855&lt;=NKC!$N$8,B855&gt;=NKC!$M$8),"x","")</f>
        <v>x</v>
      </c>
      <c r="AA855" s="535">
        <v>1</v>
      </c>
      <c r="AB855" s="536"/>
    </row>
    <row r="856" spans="1:28" s="503" customFormat="1" ht="15.75" customHeight="1">
      <c r="A856" s="517">
        <f>IF(B856&lt;&gt;"",IF(AND(B856&gt;=_TM1,B856&lt;=_TM2,OR(TH!L856="1111",TH!M856="1111")),TH!D856,""),"")</f>
        <v>0</v>
      </c>
      <c r="B856" s="531">
        <f t="shared" si="101"/>
        <v>2</v>
      </c>
      <c r="C856" s="315">
        <f t="shared" si="102"/>
        <v>42777</v>
      </c>
      <c r="D856" s="537"/>
      <c r="E856" s="315">
        <v>42777</v>
      </c>
      <c r="F856" s="249" t="s">
        <v>516</v>
      </c>
      <c r="G856" s="314" t="s">
        <v>839</v>
      </c>
      <c r="H856" s="473" t="s">
        <v>840</v>
      </c>
      <c r="I856" s="307"/>
      <c r="J856" s="307"/>
      <c r="K856" s="532">
        <v>1356364</v>
      </c>
      <c r="L856" s="539" t="s">
        <v>81</v>
      </c>
      <c r="M856" s="539" t="s">
        <v>45</v>
      </c>
      <c r="N856" s="525" t="str">
        <f>IF(AND('331-CT'!$E$7=TH!H856,OR(L856="331",M856="331")),"331",IF(AND(OR(L856="131",M856="131"),H856='131-CT'!$E$7),"131",""))</f>
        <v/>
      </c>
      <c r="O856" s="525" t="str">
        <f>IF(AND($B856&gt;='111'!$N$11,$B856&lt;='111'!$O$11,OR($L856=$O$7,$M856=$O$7)),"x","")</f>
        <v/>
      </c>
      <c r="P856" s="525" t="str">
        <f>IF(AND($L856=$O$7,$B856&lt;'111'!$N$11),"x","")</f>
        <v/>
      </c>
      <c r="Q856" s="525" t="str">
        <f>IF(AND($M856=$O$7,$B856&lt;'111'!$N$11),"x","")</f>
        <v>x</v>
      </c>
      <c r="R856" s="525" t="str">
        <f>IF(ISERROR(FIND('112'!$M$9,G856,1)),"",IF((AND(FIND('112'!$M$9,G856,1)&gt;=1,$B856&gt;='112'!$N$8,$B856&lt;='112'!$O$8,OR($L856='112'!$I$6,$M856='112'!$I$6))),"x",""))</f>
        <v/>
      </c>
      <c r="S856" s="525" t="str">
        <f>IF(ISERROR(FIND('112'!$M$9,G856,1)),"",IF((AND(LEFT(G856,2)=LEFT('112'!$M$9,2),B856&lt;'112'!$N$8,$L856='112'!$I$6)),"x",""))</f>
        <v/>
      </c>
      <c r="T856" s="525" t="str">
        <f>IF(ISERROR(FIND('112'!$M$9,G856,1)),"",IF((AND(RIGHT(G856,2)=RIGHT('112'!$M$9,2),B856&lt;'112'!$N$8,$M856='112'!$I$6)),"x",""))</f>
        <v/>
      </c>
      <c r="U856" s="525" t="str">
        <f>IF(AND(B856&gt;='IN-NX'!$P$3,B856&lt;='IN-NX'!$Q$3,'IN-NX'!$D$7=D856,OR(LEFT(L856,2)="15",AND(LEFT(M856,2)&lt;&gt;"15",LEFT(M856,2)&lt;&gt;"33"))),"x","")</f>
        <v/>
      </c>
      <c r="V856" s="525" t="str">
        <f>IF(AND(OR(LEFT(TH!L856,2)="15",LEFT(TH!M856,2)="15"),'152-CT'!$J$8=TH!F856),"x","")</f>
        <v/>
      </c>
      <c r="W856" s="525" t="str">
        <f>IF(AND(OR(LEFT(TH!L856,2)="15",LEFT(TH!M856,2)="15"),TK!$E$7=TH!F856),"x","")</f>
        <v/>
      </c>
      <c r="X856" s="525" t="str">
        <f>IF(AND('341-CT'!$E$9=H856,OR(LEFT(L856,3)=$X$7,LEFT(M856,3)=$X$7)),"x","")</f>
        <v/>
      </c>
      <c r="Y856" s="525" t="str">
        <f>IF(OR(TH!L856=TH!$Y$7,M856=TH!$Y$7),"x","")</f>
        <v/>
      </c>
      <c r="Z856" s="525" t="str">
        <f>IF(AND(B856&lt;=NKC!$N$8,B856&gt;=NKC!$M$8),"x","")</f>
        <v>x</v>
      </c>
      <c r="AA856" s="535">
        <v>1</v>
      </c>
      <c r="AB856" s="536"/>
    </row>
    <row r="857" spans="1:28" s="503" customFormat="1" ht="15.75" customHeight="1">
      <c r="A857" s="517">
        <f>IF(B857&lt;&gt;"",IF(AND(B857&gt;=_TM1,B857&lt;=_TM2,OR(TH!L857="1111",TH!M857="1111")),TH!D857,""),"")</f>
        <v>0</v>
      </c>
      <c r="B857" s="531">
        <f t="shared" si="101"/>
        <v>2</v>
      </c>
      <c r="C857" s="315">
        <f t="shared" si="102"/>
        <v>42777</v>
      </c>
      <c r="D857" s="537"/>
      <c r="E857" s="315">
        <v>42777</v>
      </c>
      <c r="F857" s="249" t="s">
        <v>517</v>
      </c>
      <c r="G857" s="314" t="s">
        <v>839</v>
      </c>
      <c r="H857" s="473" t="s">
        <v>840</v>
      </c>
      <c r="I857" s="307"/>
      <c r="J857" s="307"/>
      <c r="K857" s="532">
        <v>135636</v>
      </c>
      <c r="L857" s="539" t="s">
        <v>9</v>
      </c>
      <c r="M857" s="539" t="s">
        <v>45</v>
      </c>
      <c r="N857" s="525" t="str">
        <f>IF(AND('331-CT'!$E$7=TH!H857,OR(L857="331",M857="331")),"331",IF(AND(OR(L857="131",M857="131"),H857='131-CT'!$E$7),"131",""))</f>
        <v/>
      </c>
      <c r="O857" s="525" t="str">
        <f>IF(AND($B857&gt;='111'!$N$11,$B857&lt;='111'!$O$11,OR($L857=$O$7,$M857=$O$7)),"x","")</f>
        <v/>
      </c>
      <c r="P857" s="525" t="str">
        <f>IF(AND($L857=$O$7,$B857&lt;'111'!$N$11),"x","")</f>
        <v/>
      </c>
      <c r="Q857" s="525" t="str">
        <f>IF(AND($M857=$O$7,$B857&lt;'111'!$N$11),"x","")</f>
        <v>x</v>
      </c>
      <c r="R857" s="525" t="str">
        <f>IF(ISERROR(FIND('112'!$M$9,G857,1)),"",IF((AND(FIND('112'!$M$9,G857,1)&gt;=1,$B857&gt;='112'!$N$8,$B857&lt;='112'!$O$8,OR($L857='112'!$I$6,$M857='112'!$I$6))),"x",""))</f>
        <v/>
      </c>
      <c r="S857" s="525" t="str">
        <f>IF(ISERROR(FIND('112'!$M$9,G857,1)),"",IF((AND(LEFT(G857,2)=LEFT('112'!$M$9,2),B857&lt;'112'!$N$8,$L857='112'!$I$6)),"x",""))</f>
        <v/>
      </c>
      <c r="T857" s="525" t="str">
        <f>IF(ISERROR(FIND('112'!$M$9,G857,1)),"",IF((AND(RIGHT(G857,2)=RIGHT('112'!$M$9,2),B857&lt;'112'!$N$8,$M857='112'!$I$6)),"x",""))</f>
        <v/>
      </c>
      <c r="U857" s="525" t="str">
        <f>IF(AND(B857&gt;='IN-NX'!$P$3,B857&lt;='IN-NX'!$Q$3,'IN-NX'!$D$7=D857,OR(LEFT(L857,2)="15",AND(LEFT(M857,2)&lt;&gt;"15",LEFT(M857,2)&lt;&gt;"33"))),"x","")</f>
        <v/>
      </c>
      <c r="V857" s="525" t="str">
        <f>IF(AND(OR(LEFT(TH!L857,2)="15",LEFT(TH!M857,2)="15"),'152-CT'!$J$8=TH!F857),"x","")</f>
        <v/>
      </c>
      <c r="W857" s="525" t="str">
        <f>IF(AND(OR(LEFT(TH!L857,2)="15",LEFT(TH!M857,2)="15"),TK!$E$7=TH!F857),"x","")</f>
        <v/>
      </c>
      <c r="X857" s="525" t="str">
        <f>IF(AND('341-CT'!$E$9=H857,OR(LEFT(L857,3)=$X$7,LEFT(M857,3)=$X$7)),"x","")</f>
        <v/>
      </c>
      <c r="Y857" s="525" t="str">
        <f>IF(OR(TH!L857=TH!$Y$7,M857=TH!$Y$7),"x","")</f>
        <v/>
      </c>
      <c r="Z857" s="525" t="str">
        <f>IF(AND(B857&lt;=NKC!$N$8,B857&gt;=NKC!$M$8),"x","")</f>
        <v>x</v>
      </c>
      <c r="AA857" s="535">
        <v>1</v>
      </c>
    </row>
    <row r="858" spans="1:28" s="503" customFormat="1" ht="15.75" customHeight="1">
      <c r="A858" s="517">
        <f>IF(B858&lt;&gt;"",IF(AND(B858&gt;=_TM1,B858&lt;=_TM2,OR(TH!L858="1111",TH!M858="1111")),TH!D858,""),"")</f>
        <v>0</v>
      </c>
      <c r="B858" s="531">
        <f t="shared" si="101"/>
        <v>2</v>
      </c>
      <c r="C858" s="315">
        <f t="shared" si="102"/>
        <v>42788</v>
      </c>
      <c r="D858" s="537"/>
      <c r="E858" s="315">
        <v>42788</v>
      </c>
      <c r="F858" s="249" t="s">
        <v>516</v>
      </c>
      <c r="G858" s="314" t="s">
        <v>841</v>
      </c>
      <c r="H858" s="473" t="s">
        <v>518</v>
      </c>
      <c r="I858" s="307"/>
      <c r="J858" s="307"/>
      <c r="K858" s="532">
        <v>422000</v>
      </c>
      <c r="L858" s="539" t="s">
        <v>81</v>
      </c>
      <c r="M858" s="539" t="s">
        <v>45</v>
      </c>
      <c r="N858" s="525" t="str">
        <f>IF(AND('331-CT'!$E$7=TH!H858,OR(L858="331",M858="331")),"331",IF(AND(OR(L858="131",M858="131"),H858='131-CT'!$E$7),"131",""))</f>
        <v/>
      </c>
      <c r="O858" s="525" t="str">
        <f>IF(AND($B858&gt;='111'!$N$11,$B858&lt;='111'!$O$11,OR($L858=$O$7,$M858=$O$7)),"x","")</f>
        <v/>
      </c>
      <c r="P858" s="525" t="str">
        <f>IF(AND($L858=$O$7,$B858&lt;'111'!$N$11),"x","")</f>
        <v/>
      </c>
      <c r="Q858" s="525" t="str">
        <f>IF(AND($M858=$O$7,$B858&lt;'111'!$N$11),"x","")</f>
        <v>x</v>
      </c>
      <c r="R858" s="525" t="str">
        <f>IF(ISERROR(FIND('112'!$M$9,G858,1)),"",IF((AND(FIND('112'!$M$9,G858,1)&gt;=1,$B858&gt;='112'!$N$8,$B858&lt;='112'!$O$8,OR($L858='112'!$I$6,$M858='112'!$I$6))),"x",""))</f>
        <v/>
      </c>
      <c r="S858" s="525" t="str">
        <f>IF(ISERROR(FIND('112'!$M$9,G858,1)),"",IF((AND(LEFT(G858,2)=LEFT('112'!$M$9,2),B858&lt;'112'!$N$8,$L858='112'!$I$6)),"x",""))</f>
        <v/>
      </c>
      <c r="T858" s="525" t="str">
        <f>IF(ISERROR(FIND('112'!$M$9,G858,1)),"",IF((AND(RIGHT(G858,2)=RIGHT('112'!$M$9,2),B858&lt;'112'!$N$8,$M858='112'!$I$6)),"x",""))</f>
        <v/>
      </c>
      <c r="U858" s="525" t="str">
        <f>IF(AND(B858&gt;='IN-NX'!$P$3,B858&lt;='IN-NX'!$Q$3,'IN-NX'!$D$7=D858,OR(LEFT(L858,2)="15",AND(LEFT(M858,2)&lt;&gt;"15",LEFT(M858,2)&lt;&gt;"33"))),"x","")</f>
        <v/>
      </c>
      <c r="V858" s="525" t="str">
        <f>IF(AND(OR(LEFT(TH!L858,2)="15",LEFT(TH!M858,2)="15"),'152-CT'!$J$8=TH!F858),"x","")</f>
        <v/>
      </c>
      <c r="W858" s="525" t="str">
        <f>IF(AND(OR(LEFT(TH!L858,2)="15",LEFT(TH!M858,2)="15"),TK!$E$7=TH!F858),"x","")</f>
        <v/>
      </c>
      <c r="X858" s="525" t="str">
        <f>IF(AND('341-CT'!$E$9=H858,OR(LEFT(L858,3)=$X$7,LEFT(M858,3)=$X$7)),"x","")</f>
        <v/>
      </c>
      <c r="Y858" s="525" t="str">
        <f>IF(OR(TH!L858=TH!$Y$7,M858=TH!$Y$7),"x","")</f>
        <v/>
      </c>
      <c r="Z858" s="525" t="str">
        <f>IF(AND(B858&lt;=NKC!$N$8,B858&gt;=NKC!$M$8),"x","")</f>
        <v>x</v>
      </c>
      <c r="AA858" s="535">
        <v>1</v>
      </c>
      <c r="AB858" s="536"/>
    </row>
    <row r="859" spans="1:28" s="503" customFormat="1" ht="15.75" customHeight="1">
      <c r="A859" s="517">
        <f>IF(B859&lt;&gt;"",IF(AND(B859&gt;=_TM1,B859&lt;=_TM2,OR(TH!L859="1111",TH!M859="1111")),TH!D859,""),"")</f>
        <v>0</v>
      </c>
      <c r="B859" s="531">
        <f t="shared" si="101"/>
        <v>2</v>
      </c>
      <c r="C859" s="315">
        <f t="shared" si="102"/>
        <v>42788</v>
      </c>
      <c r="D859" s="537"/>
      <c r="E859" s="315">
        <v>42788</v>
      </c>
      <c r="F859" s="249" t="s">
        <v>517</v>
      </c>
      <c r="G859" s="314" t="s">
        <v>841</v>
      </c>
      <c r="H859" s="473" t="s">
        <v>518</v>
      </c>
      <c r="I859" s="307"/>
      <c r="J859" s="307"/>
      <c r="K859" s="532">
        <v>42200</v>
      </c>
      <c r="L859" s="539" t="s">
        <v>9</v>
      </c>
      <c r="M859" s="539" t="s">
        <v>45</v>
      </c>
      <c r="N859" s="525" t="str">
        <f>IF(AND('331-CT'!$E$7=TH!H859,OR(L859="331",M859="331")),"331",IF(AND(OR(L859="131",M859="131"),H859='131-CT'!$E$7),"131",""))</f>
        <v/>
      </c>
      <c r="O859" s="525" t="str">
        <f>IF(AND($B859&gt;='111'!$N$11,$B859&lt;='111'!$O$11,OR($L859=$O$7,$M859=$O$7)),"x","")</f>
        <v/>
      </c>
      <c r="P859" s="525" t="str">
        <f>IF(AND($L859=$O$7,$B859&lt;'111'!$N$11),"x","")</f>
        <v/>
      </c>
      <c r="Q859" s="525" t="str">
        <f>IF(AND($M859=$O$7,$B859&lt;'111'!$N$11),"x","")</f>
        <v>x</v>
      </c>
      <c r="R859" s="525" t="str">
        <f>IF(ISERROR(FIND('112'!$M$9,G859,1)),"",IF((AND(FIND('112'!$M$9,G859,1)&gt;=1,$B859&gt;='112'!$N$8,$B859&lt;='112'!$O$8,OR($L859='112'!$I$6,$M859='112'!$I$6))),"x",""))</f>
        <v/>
      </c>
      <c r="S859" s="525" t="str">
        <f>IF(ISERROR(FIND('112'!$M$9,G859,1)),"",IF((AND(LEFT(G859,2)=LEFT('112'!$M$9,2),B859&lt;'112'!$N$8,$L859='112'!$I$6)),"x",""))</f>
        <v/>
      </c>
      <c r="T859" s="525" t="str">
        <f>IF(ISERROR(FIND('112'!$M$9,G859,1)),"",IF((AND(RIGHT(G859,2)=RIGHT('112'!$M$9,2),B859&lt;'112'!$N$8,$M859='112'!$I$6)),"x",""))</f>
        <v/>
      </c>
      <c r="U859" s="525" t="str">
        <f>IF(AND(B859&gt;='IN-NX'!$P$3,B859&lt;='IN-NX'!$Q$3,'IN-NX'!$D$7=D859,OR(LEFT(L859,2)="15",AND(LEFT(M859,2)&lt;&gt;"15",LEFT(M859,2)&lt;&gt;"33"))),"x","")</f>
        <v/>
      </c>
      <c r="V859" s="525" t="str">
        <f>IF(AND(OR(LEFT(TH!L859,2)="15",LEFT(TH!M859,2)="15"),'152-CT'!$J$8=TH!F859),"x","")</f>
        <v/>
      </c>
      <c r="W859" s="525" t="str">
        <f>IF(AND(OR(LEFT(TH!L859,2)="15",LEFT(TH!M859,2)="15"),TK!$E$7=TH!F859),"x","")</f>
        <v/>
      </c>
      <c r="X859" s="525" t="str">
        <f>IF(AND('341-CT'!$E$9=H859,OR(LEFT(L859,3)=$X$7,LEFT(M859,3)=$X$7)),"x","")</f>
        <v/>
      </c>
      <c r="Y859" s="525" t="str">
        <f>IF(OR(TH!L859=TH!$Y$7,M859=TH!$Y$7),"x","")</f>
        <v/>
      </c>
      <c r="Z859" s="525" t="str">
        <f>IF(AND(B859&lt;=NKC!$N$8,B859&gt;=NKC!$M$8),"x","")</f>
        <v>x</v>
      </c>
      <c r="AA859" s="535">
        <v>1</v>
      </c>
    </row>
    <row r="860" spans="1:28" s="503" customFormat="1" ht="15.75" customHeight="1">
      <c r="A860" s="517">
        <f>IF(B860&lt;&gt;"",IF(AND(B860&gt;=_TM1,B860&lt;=_TM2,OR(TH!L860="1111",TH!M860="1111")),TH!D860,""),"")</f>
        <v>0</v>
      </c>
      <c r="B860" s="531">
        <f t="shared" si="101"/>
        <v>2</v>
      </c>
      <c r="C860" s="315">
        <f t="shared" si="102"/>
        <v>42788</v>
      </c>
      <c r="D860" s="537"/>
      <c r="E860" s="315">
        <v>42788</v>
      </c>
      <c r="F860" s="249" t="s">
        <v>521</v>
      </c>
      <c r="G860" s="314" t="s">
        <v>842</v>
      </c>
      <c r="H860" s="473" t="s">
        <v>843</v>
      </c>
      <c r="I860" s="307"/>
      <c r="J860" s="307"/>
      <c r="K860" s="532">
        <v>910000</v>
      </c>
      <c r="L860" s="539" t="s">
        <v>81</v>
      </c>
      <c r="M860" s="539" t="s">
        <v>45</v>
      </c>
      <c r="N860" s="525" t="str">
        <f>IF(AND('331-CT'!$E$7=TH!H860,OR(L860="331",M860="331")),"331",IF(AND(OR(L860="131",M860="131"),H860='131-CT'!$E$7),"131",""))</f>
        <v/>
      </c>
      <c r="O860" s="525" t="str">
        <f>IF(AND($B860&gt;='111'!$N$11,$B860&lt;='111'!$O$11,OR($L860=$O$7,$M860=$O$7)),"x","")</f>
        <v/>
      </c>
      <c r="P860" s="525" t="str">
        <f>IF(AND($L860=$O$7,$B860&lt;'111'!$N$11),"x","")</f>
        <v/>
      </c>
      <c r="Q860" s="525" t="str">
        <f>IF(AND($M860=$O$7,$B860&lt;'111'!$N$11),"x","")</f>
        <v>x</v>
      </c>
      <c r="R860" s="525" t="str">
        <f>IF(ISERROR(FIND('112'!$M$9,G860,1)),"",IF((AND(FIND('112'!$M$9,G860,1)&gt;=1,$B860&gt;='112'!$N$8,$B860&lt;='112'!$O$8,OR($L860='112'!$I$6,$M860='112'!$I$6))),"x",""))</f>
        <v/>
      </c>
      <c r="S860" s="525" t="str">
        <f>IF(ISERROR(FIND('112'!$M$9,G860,1)),"",IF((AND(LEFT(G860,2)=LEFT('112'!$M$9,2),B860&lt;'112'!$N$8,$L860='112'!$I$6)),"x",""))</f>
        <v/>
      </c>
      <c r="T860" s="525" t="str">
        <f>IF(ISERROR(FIND('112'!$M$9,G860,1)),"",IF((AND(RIGHT(G860,2)=RIGHT('112'!$M$9,2),B860&lt;'112'!$N$8,$M860='112'!$I$6)),"x",""))</f>
        <v/>
      </c>
      <c r="U860" s="525" t="str">
        <f>IF(AND(B860&gt;='IN-NX'!$P$3,B860&lt;='IN-NX'!$Q$3,'IN-NX'!$D$7=D860,OR(LEFT(L860,2)="15",AND(LEFT(M860,2)&lt;&gt;"15",LEFT(M860,2)&lt;&gt;"33"))),"x","")</f>
        <v/>
      </c>
      <c r="V860" s="525" t="str">
        <f>IF(AND(OR(LEFT(TH!L860,2)="15",LEFT(TH!M860,2)="15"),'152-CT'!$J$8=TH!F860),"x","")</f>
        <v/>
      </c>
      <c r="W860" s="525" t="str">
        <f>IF(AND(OR(LEFT(TH!L860,2)="15",LEFT(TH!M860,2)="15"),TK!$E$7=TH!F860),"x","")</f>
        <v/>
      </c>
      <c r="X860" s="525" t="str">
        <f>IF(AND('341-CT'!$E$9=H860,OR(LEFT(L860,3)=$X$7,LEFT(M860,3)=$X$7)),"x","")</f>
        <v/>
      </c>
      <c r="Y860" s="525" t="str">
        <f>IF(OR(TH!L860=TH!$Y$7,M860=TH!$Y$7),"x","")</f>
        <v/>
      </c>
      <c r="Z860" s="525" t="str">
        <f>IF(AND(B860&lt;=NKC!$N$8,B860&gt;=NKC!$M$8),"x","")</f>
        <v>x</v>
      </c>
      <c r="AA860" s="535">
        <v>1</v>
      </c>
      <c r="AB860" s="536"/>
    </row>
    <row r="861" spans="1:28" s="503" customFormat="1" ht="15.75" customHeight="1">
      <c r="A861" s="517">
        <f>IF(B861&lt;&gt;"",IF(AND(B861&gt;=_TM1,B861&lt;=_TM2,OR(TH!L861="1111",TH!M861="1111")),TH!D861,""),"")</f>
        <v>0</v>
      </c>
      <c r="B861" s="531">
        <f t="shared" si="101"/>
        <v>2</v>
      </c>
      <c r="C861" s="315">
        <f t="shared" si="102"/>
        <v>42788</v>
      </c>
      <c r="D861" s="537"/>
      <c r="E861" s="315">
        <v>42788</v>
      </c>
      <c r="F861" s="249" t="s">
        <v>522</v>
      </c>
      <c r="G861" s="314" t="s">
        <v>842</v>
      </c>
      <c r="H861" s="473" t="s">
        <v>843</v>
      </c>
      <c r="I861" s="307"/>
      <c r="J861" s="307"/>
      <c r="K861" s="532">
        <v>91000</v>
      </c>
      <c r="L861" s="539" t="s">
        <v>9</v>
      </c>
      <c r="M861" s="539" t="s">
        <v>45</v>
      </c>
      <c r="N861" s="525" t="str">
        <f>IF(AND('331-CT'!$E$7=TH!H861,OR(L861="331",M861="331")),"331",IF(AND(OR(L861="131",M861="131"),H861='131-CT'!$E$7),"131",""))</f>
        <v/>
      </c>
      <c r="O861" s="525" t="str">
        <f>IF(AND($B861&gt;='111'!$N$11,$B861&lt;='111'!$O$11,OR($L861=$O$7,$M861=$O$7)),"x","")</f>
        <v/>
      </c>
      <c r="P861" s="525" t="str">
        <f>IF(AND($L861=$O$7,$B861&lt;'111'!$N$11),"x","")</f>
        <v/>
      </c>
      <c r="Q861" s="525" t="str">
        <f>IF(AND($M861=$O$7,$B861&lt;'111'!$N$11),"x","")</f>
        <v>x</v>
      </c>
      <c r="R861" s="525" t="str">
        <f>IF(ISERROR(FIND('112'!$M$9,G861,1)),"",IF((AND(FIND('112'!$M$9,G861,1)&gt;=1,$B861&gt;='112'!$N$8,$B861&lt;='112'!$O$8,OR($L861='112'!$I$6,$M861='112'!$I$6))),"x",""))</f>
        <v/>
      </c>
      <c r="S861" s="525" t="str">
        <f>IF(ISERROR(FIND('112'!$M$9,G861,1)),"",IF((AND(LEFT(G861,2)=LEFT('112'!$M$9,2),B861&lt;'112'!$N$8,$L861='112'!$I$6)),"x",""))</f>
        <v/>
      </c>
      <c r="T861" s="525" t="str">
        <f>IF(ISERROR(FIND('112'!$M$9,G861,1)),"",IF((AND(RIGHT(G861,2)=RIGHT('112'!$M$9,2),B861&lt;'112'!$N$8,$M861='112'!$I$6)),"x",""))</f>
        <v/>
      </c>
      <c r="U861" s="525" t="str">
        <f>IF(AND(B861&gt;='IN-NX'!$P$3,B861&lt;='IN-NX'!$Q$3,'IN-NX'!$D$7=D861,OR(LEFT(L861,2)="15",AND(LEFT(M861,2)&lt;&gt;"15",LEFT(M861,2)&lt;&gt;"33"))),"x","")</f>
        <v/>
      </c>
      <c r="V861" s="525" t="str">
        <f>IF(AND(OR(LEFT(TH!L861,2)="15",LEFT(TH!M861,2)="15"),'152-CT'!$J$8=TH!F861),"x","")</f>
        <v/>
      </c>
      <c r="W861" s="525" t="str">
        <f>IF(AND(OR(LEFT(TH!L861,2)="15",LEFT(TH!M861,2)="15"),TK!$E$7=TH!F861),"x","")</f>
        <v/>
      </c>
      <c r="X861" s="525" t="str">
        <f>IF(AND('341-CT'!$E$9=H861,OR(LEFT(L861,3)=$X$7,LEFT(M861,3)=$X$7)),"x","")</f>
        <v/>
      </c>
      <c r="Y861" s="525" t="str">
        <f>IF(OR(TH!L861=TH!$Y$7,M861=TH!$Y$7),"x","")</f>
        <v/>
      </c>
      <c r="Z861" s="525" t="str">
        <f>IF(AND(B861&lt;=NKC!$N$8,B861&gt;=NKC!$M$8),"x","")</f>
        <v>x</v>
      </c>
      <c r="AA861" s="535">
        <v>1</v>
      </c>
      <c r="AB861" s="536"/>
    </row>
    <row r="862" spans="1:28" s="503" customFormat="1" ht="15.75" customHeight="1">
      <c r="A862" s="517">
        <f>IF(B862&lt;&gt;"",IF(AND(B862&gt;=_TM1,B862&lt;=_TM2,OR(TH!L862="1111",TH!M862="1111")),TH!D862,""),"")</f>
        <v>0</v>
      </c>
      <c r="B862" s="531">
        <f t="shared" si="101"/>
        <v>2</v>
      </c>
      <c r="C862" s="315">
        <f t="shared" si="102"/>
        <v>42794</v>
      </c>
      <c r="D862" s="537"/>
      <c r="E862" s="315">
        <v>42794</v>
      </c>
      <c r="F862" s="249" t="s">
        <v>1205</v>
      </c>
      <c r="G862" s="314" t="s">
        <v>864</v>
      </c>
      <c r="H862" s="473" t="s">
        <v>863</v>
      </c>
      <c r="I862" s="307"/>
      <c r="J862" s="307"/>
      <c r="K862" s="532">
        <f>56364+23684+32058</f>
        <v>112106</v>
      </c>
      <c r="L862" s="539" t="s">
        <v>81</v>
      </c>
      <c r="M862" s="539" t="s">
        <v>45</v>
      </c>
      <c r="N862" s="525" t="str">
        <f>IF(AND('331-CT'!$E$7=TH!H862,OR(L862="331",M862="331")),"331",IF(AND(OR(L862="131",M862="131"),H862='131-CT'!$E$7),"131",""))</f>
        <v/>
      </c>
      <c r="O862" s="525" t="str">
        <f>IF(AND($B862&gt;='111'!$N$11,$B862&lt;='111'!$O$11,OR($L862=$O$7,$M862=$O$7)),"x","")</f>
        <v/>
      </c>
      <c r="P862" s="525" t="str">
        <f>IF(AND($L862=$O$7,$B862&lt;'111'!$N$11),"x","")</f>
        <v/>
      </c>
      <c r="Q862" s="525" t="str">
        <f>IF(AND($M862=$O$7,$B862&lt;'111'!$N$11),"x","")</f>
        <v>x</v>
      </c>
      <c r="R862" s="525" t="str">
        <f>IF(ISERROR(FIND('112'!$M$9,G862,1)),"",IF((AND(FIND('112'!$M$9,G862,1)&gt;=1,$B862&gt;='112'!$N$8,$B862&lt;='112'!$O$8,OR($L862='112'!$I$6,$M862='112'!$I$6))),"x",""))</f>
        <v/>
      </c>
      <c r="S862" s="525" t="str">
        <f>IF(ISERROR(FIND('112'!$M$9,G862,1)),"",IF((AND(LEFT(G862,2)=LEFT('112'!$M$9,2),B862&lt;'112'!$N$8,$L862='112'!$I$6)),"x",""))</f>
        <v/>
      </c>
      <c r="T862" s="525" t="str">
        <f>IF(ISERROR(FIND('112'!$M$9,G862,1)),"",IF((AND(RIGHT(G862,2)=RIGHT('112'!$M$9,2),B862&lt;'112'!$N$8,$M862='112'!$I$6)),"x",""))</f>
        <v/>
      </c>
      <c r="U862" s="525" t="str">
        <f>IF(AND(B862&gt;='IN-NX'!$P$3,B862&lt;='IN-NX'!$Q$3,'IN-NX'!$D$7=D862,OR(LEFT(L862,2)="15",AND(LEFT(M862,2)&lt;&gt;"15",LEFT(M862,2)&lt;&gt;"33"))),"x","")</f>
        <v/>
      </c>
      <c r="V862" s="525" t="str">
        <f>IF(AND(OR(LEFT(TH!L862,2)="15",LEFT(TH!M862,2)="15"),'152-CT'!$J$8=TH!F862),"x","")</f>
        <v/>
      </c>
      <c r="W862" s="525" t="str">
        <f>IF(AND(OR(LEFT(TH!L862,2)="15",LEFT(TH!M862,2)="15"),TK!$E$7=TH!F862),"x","")</f>
        <v/>
      </c>
      <c r="X862" s="525" t="str">
        <f>IF(AND('341-CT'!$E$9=H862,OR(LEFT(L862,3)=$X$7,LEFT(M862,3)=$X$7)),"x","")</f>
        <v/>
      </c>
      <c r="Y862" s="525" t="str">
        <f>IF(OR(TH!L862=TH!$Y$7,M862=TH!$Y$7),"x","")</f>
        <v/>
      </c>
      <c r="Z862" s="525" t="str">
        <f>IF(AND(B862&lt;=NKC!$N$8,B862&gt;=NKC!$M$8),"x","")</f>
        <v>x</v>
      </c>
      <c r="AA862" s="535">
        <v>1</v>
      </c>
      <c r="AB862" s="536"/>
    </row>
    <row r="863" spans="1:28" s="503" customFormat="1" ht="15.75" customHeight="1">
      <c r="A863" s="517">
        <f>IF(B863&lt;&gt;"",IF(AND(B863&gt;=_TM1,B863&lt;=_TM2,OR(TH!L863="1111",TH!M863="1111")),TH!D863,""),"")</f>
        <v>0</v>
      </c>
      <c r="B863" s="531">
        <f t="shared" si="101"/>
        <v>2</v>
      </c>
      <c r="C863" s="315">
        <f t="shared" si="102"/>
        <v>42794</v>
      </c>
      <c r="D863" s="537"/>
      <c r="E863" s="315">
        <v>42794</v>
      </c>
      <c r="F863" s="249" t="s">
        <v>1206</v>
      </c>
      <c r="G863" s="314" t="s">
        <v>865</v>
      </c>
      <c r="H863" s="473" t="s">
        <v>863</v>
      </c>
      <c r="I863" s="307"/>
      <c r="J863" s="307"/>
      <c r="K863" s="532">
        <f>3206+5636+2368</f>
        <v>11210</v>
      </c>
      <c r="L863" s="539" t="s">
        <v>9</v>
      </c>
      <c r="M863" s="539" t="s">
        <v>45</v>
      </c>
      <c r="N863" s="525" t="str">
        <f>IF(AND('331-CT'!$E$7=TH!H863,OR(L863="331",M863="331")),"331",IF(AND(OR(L863="131",M863="131"),H863='131-CT'!$E$7),"131",""))</f>
        <v/>
      </c>
      <c r="O863" s="525" t="str">
        <f>IF(AND($B863&gt;='111'!$N$11,$B863&lt;='111'!$O$11,OR($L863=$O$7,$M863=$O$7)),"x","")</f>
        <v/>
      </c>
      <c r="P863" s="525" t="str">
        <f>IF(AND($L863=$O$7,$B863&lt;'111'!$N$11),"x","")</f>
        <v/>
      </c>
      <c r="Q863" s="525" t="str">
        <f>IF(AND($M863=$O$7,$B863&lt;'111'!$N$11),"x","")</f>
        <v>x</v>
      </c>
      <c r="R863" s="525" t="str">
        <f>IF(ISERROR(FIND('112'!$M$9,G863,1)),"",IF((AND(FIND('112'!$M$9,G863,1)&gt;=1,$B863&gt;='112'!$N$8,$B863&lt;='112'!$O$8,OR($L863='112'!$I$6,$M863='112'!$I$6))),"x",""))</f>
        <v/>
      </c>
      <c r="S863" s="525" t="str">
        <f>IF(ISERROR(FIND('112'!$M$9,G863,1)),"",IF((AND(LEFT(G863,2)=LEFT('112'!$M$9,2),B863&lt;'112'!$N$8,$L863='112'!$I$6)),"x",""))</f>
        <v/>
      </c>
      <c r="T863" s="525" t="str">
        <f>IF(ISERROR(FIND('112'!$M$9,G863,1)),"",IF((AND(RIGHT(G863,2)=RIGHT('112'!$M$9,2),B863&lt;'112'!$N$8,$M863='112'!$I$6)),"x",""))</f>
        <v/>
      </c>
      <c r="U863" s="525" t="str">
        <f>IF(AND(B863&gt;='IN-NX'!$P$3,B863&lt;='IN-NX'!$Q$3,'IN-NX'!$D$7=D863,OR(LEFT(L863,2)="15",AND(LEFT(M863,2)&lt;&gt;"15",LEFT(M863,2)&lt;&gt;"33"))),"x","")</f>
        <v/>
      </c>
      <c r="V863" s="525" t="str">
        <f>IF(AND(OR(LEFT(TH!L863,2)="15",LEFT(TH!M863,2)="15"),'152-CT'!$J$8=TH!F863),"x","")</f>
        <v/>
      </c>
      <c r="W863" s="525" t="str">
        <f>IF(AND(OR(LEFT(TH!L863,2)="15",LEFT(TH!M863,2)="15"),TK!$E$7=TH!F863),"x","")</f>
        <v/>
      </c>
      <c r="X863" s="525" t="str">
        <f>IF(AND('341-CT'!$E$9=H863,OR(LEFT(L863,3)=$X$7,LEFT(M863,3)=$X$7)),"x","")</f>
        <v/>
      </c>
      <c r="Y863" s="525" t="str">
        <f>IF(OR(TH!L863=TH!$Y$7,M863=TH!$Y$7),"x","")</f>
        <v/>
      </c>
      <c r="Z863" s="525" t="str">
        <f>IF(AND(B863&lt;=NKC!$N$8,B863&gt;=NKC!$M$8),"x","")</f>
        <v>x</v>
      </c>
      <c r="AA863" s="535">
        <v>1</v>
      </c>
      <c r="AB863" s="536"/>
    </row>
    <row r="864" spans="1:28" s="503" customFormat="1" ht="15.75" customHeight="1">
      <c r="A864" s="517">
        <f>IF(B864&lt;&gt;"",IF(AND(B864&gt;=_TM1,B864&lt;=_TM2,OR(TH!L864="1111",TH!M864="1111")),TH!D864,""),"")</f>
        <v>0</v>
      </c>
      <c r="B864" s="531">
        <f t="shared" si="101"/>
        <v>2</v>
      </c>
      <c r="C864" s="315">
        <f t="shared" si="102"/>
        <v>42794</v>
      </c>
      <c r="D864" s="537"/>
      <c r="E864" s="315">
        <v>42794</v>
      </c>
      <c r="F864" s="249" t="s">
        <v>1207</v>
      </c>
      <c r="G864" s="314" t="s">
        <v>1210</v>
      </c>
      <c r="H864" s="473" t="s">
        <v>863</v>
      </c>
      <c r="I864" s="307"/>
      <c r="J864" s="307"/>
      <c r="K864" s="532">
        <f>172727+172727+4065</f>
        <v>349519</v>
      </c>
      <c r="L864" s="539" t="s">
        <v>81</v>
      </c>
      <c r="M864" s="539" t="s">
        <v>45</v>
      </c>
      <c r="N864" s="525" t="str">
        <f>IF(AND('331-CT'!$E$7=TH!H864,OR(L864="331",M864="331")),"331",IF(AND(OR(L864="131",M864="131"),H864='131-CT'!$E$7),"131",""))</f>
        <v/>
      </c>
      <c r="O864" s="525" t="str">
        <f>IF(AND($B864&gt;='111'!$N$11,$B864&lt;='111'!$O$11,OR($L864=$O$7,$M864=$O$7)),"x","")</f>
        <v/>
      </c>
      <c r="P864" s="525" t="str">
        <f>IF(AND($L864=$O$7,$B864&lt;'111'!$N$11),"x","")</f>
        <v/>
      </c>
      <c r="Q864" s="525" t="str">
        <f>IF(AND($M864=$O$7,$B864&lt;'111'!$N$11),"x","")</f>
        <v>x</v>
      </c>
      <c r="R864" s="525" t="str">
        <f>IF(ISERROR(FIND('112'!$M$9,G864,1)),"",IF((AND(FIND('112'!$M$9,G864,1)&gt;=1,$B864&gt;='112'!$N$8,$B864&lt;='112'!$O$8,OR($L864='112'!$I$6,$M864='112'!$I$6))),"x",""))</f>
        <v/>
      </c>
      <c r="S864" s="525" t="str">
        <f>IF(ISERROR(FIND('112'!$M$9,G864,1)),"",IF((AND(LEFT(G864,2)=LEFT('112'!$M$9,2),B864&lt;'112'!$N$8,$L864='112'!$I$6)),"x",""))</f>
        <v/>
      </c>
      <c r="T864" s="525" t="str">
        <f>IF(ISERROR(FIND('112'!$M$9,G864,1)),"",IF((AND(RIGHT(G864,2)=RIGHT('112'!$M$9,2),B864&lt;'112'!$N$8,$M864='112'!$I$6)),"x",""))</f>
        <v/>
      </c>
      <c r="U864" s="525" t="str">
        <f>IF(AND(B864&gt;='IN-NX'!$P$3,B864&lt;='IN-NX'!$Q$3,'IN-NX'!$D$7=D864,OR(LEFT(L864,2)="15",AND(LEFT(M864,2)&lt;&gt;"15",LEFT(M864,2)&lt;&gt;"33"))),"x","")</f>
        <v/>
      </c>
      <c r="V864" s="525" t="str">
        <f>IF(AND(OR(LEFT(TH!L864,2)="15",LEFT(TH!M864,2)="15"),'152-CT'!$J$8=TH!F864),"x","")</f>
        <v/>
      </c>
      <c r="W864" s="525" t="str">
        <f>IF(AND(OR(LEFT(TH!L864,2)="15",LEFT(TH!M864,2)="15"),TK!$E$7=TH!F864),"x","")</f>
        <v/>
      </c>
      <c r="X864" s="525" t="str">
        <f>IF(AND('341-CT'!$E$9=H864,OR(LEFT(L864,3)=$X$7,LEFT(M864,3)=$X$7)),"x","")</f>
        <v/>
      </c>
      <c r="Y864" s="525" t="str">
        <f>IF(OR(TH!L864=TH!$Y$7,M864=TH!$Y$7),"x","")</f>
        <v/>
      </c>
      <c r="Z864" s="525" t="str">
        <f>IF(AND(B864&lt;=NKC!$N$8,B864&gt;=NKC!$M$8),"x","")</f>
        <v>x</v>
      </c>
      <c r="AA864" s="535">
        <v>2</v>
      </c>
      <c r="AB864" s="536"/>
    </row>
    <row r="865" spans="1:28" s="503" customFormat="1" ht="15.75" customHeight="1">
      <c r="A865" s="517">
        <f>IF(B865&lt;&gt;"",IF(AND(B865&gt;=_TM1,B865&lt;=_TM2,OR(TH!L865="1111",TH!M865="1111")),TH!D865,""),"")</f>
        <v>0</v>
      </c>
      <c r="B865" s="531">
        <f t="shared" si="101"/>
        <v>2</v>
      </c>
      <c r="C865" s="315">
        <f t="shared" si="102"/>
        <v>42794</v>
      </c>
      <c r="D865" s="537"/>
      <c r="E865" s="315">
        <v>42794</v>
      </c>
      <c r="F865" s="249" t="s">
        <v>1208</v>
      </c>
      <c r="G865" s="314" t="s">
        <v>1210</v>
      </c>
      <c r="H865" s="473" t="s">
        <v>863</v>
      </c>
      <c r="I865" s="307"/>
      <c r="J865" s="307"/>
      <c r="K865" s="532">
        <f>17273+17273+406</f>
        <v>34952</v>
      </c>
      <c r="L865" s="588" t="s">
        <v>9</v>
      </c>
      <c r="M865" s="539" t="s">
        <v>45</v>
      </c>
      <c r="N865" s="525" t="str">
        <f>IF(AND('331-CT'!$E$7=TH!H865,OR(L865="331",M865="331")),"331",IF(AND(OR(L865="131",M865="131"),H865='131-CT'!$E$7),"131",""))</f>
        <v/>
      </c>
      <c r="O865" s="525" t="str">
        <f>IF(AND($B865&gt;='111'!$N$11,$B865&lt;='111'!$O$11,OR($L865=$O$7,$M865=$O$7)),"x","")</f>
        <v/>
      </c>
      <c r="P865" s="525" t="str">
        <f>IF(AND($L865=$O$7,$B865&lt;'111'!$N$11),"x","")</f>
        <v/>
      </c>
      <c r="Q865" s="525" t="str">
        <f>IF(AND($M865=$O$7,$B865&lt;'111'!$N$11),"x","")</f>
        <v>x</v>
      </c>
      <c r="R865" s="525" t="str">
        <f>IF(ISERROR(FIND('112'!$M$9,G865,1)),"",IF((AND(FIND('112'!$M$9,G865,1)&gt;=1,$B865&gt;='112'!$N$8,$B865&lt;='112'!$O$8,OR($L865='112'!$I$6,$M865='112'!$I$6))),"x",""))</f>
        <v/>
      </c>
      <c r="S865" s="525" t="str">
        <f>IF(ISERROR(FIND('112'!$M$9,G865,1)),"",IF((AND(LEFT(G865,2)=LEFT('112'!$M$9,2),B865&lt;'112'!$N$8,$L865='112'!$I$6)),"x",""))</f>
        <v/>
      </c>
      <c r="T865" s="525" t="str">
        <f>IF(ISERROR(FIND('112'!$M$9,G865,1)),"",IF((AND(RIGHT(G865,2)=RIGHT('112'!$M$9,2),B865&lt;'112'!$N$8,$M865='112'!$I$6)),"x",""))</f>
        <v/>
      </c>
      <c r="U865" s="525" t="str">
        <f>IF(AND(B865&gt;='IN-NX'!$P$3,B865&lt;='IN-NX'!$Q$3,'IN-NX'!$D$7=D865,OR(LEFT(L865,2)="15",AND(LEFT(M865,2)&lt;&gt;"15",LEFT(M865,2)&lt;&gt;"33"))),"x","")</f>
        <v/>
      </c>
      <c r="V865" s="525" t="str">
        <f>IF(AND(OR(LEFT(TH!L865,2)="15",LEFT(TH!M865,2)="15"),'152-CT'!$J$8=TH!F865),"x","")</f>
        <v/>
      </c>
      <c r="W865" s="525" t="str">
        <f>IF(AND(OR(LEFT(TH!L865,2)="15",LEFT(TH!M865,2)="15"),TK!$E$7=TH!F865),"x","")</f>
        <v/>
      </c>
      <c r="X865" s="525" t="str">
        <f>IF(AND('341-CT'!$E$9=H865,OR(LEFT(L865,3)=$X$7,LEFT(M865,3)=$X$7)),"x","")</f>
        <v/>
      </c>
      <c r="Y865" s="525" t="str">
        <f>IF(OR(TH!L865=TH!$Y$7,M865=TH!$Y$7),"x","")</f>
        <v/>
      </c>
      <c r="Z865" s="525" t="str">
        <f>IF(AND(B865&lt;=NKC!$N$8,B865&gt;=NKC!$M$8),"x","")</f>
        <v>x</v>
      </c>
      <c r="AA865" s="535">
        <v>2</v>
      </c>
      <c r="AB865" s="536"/>
    </row>
    <row r="866" spans="1:28" s="503" customFormat="1" ht="15.75" customHeight="1">
      <c r="A866" s="517">
        <f>IF(B866&lt;&gt;"",IF(AND(B866&gt;=_TM1,B866&lt;=_TM2,OR(TH!L866="1111",TH!M866="1111")),TH!D866,""),"")</f>
        <v>0</v>
      </c>
      <c r="B866" s="531">
        <f t="shared" si="101"/>
        <v>2</v>
      </c>
      <c r="C866" s="315">
        <f t="shared" si="102"/>
        <v>42794</v>
      </c>
      <c r="D866" s="537"/>
      <c r="E866" s="315">
        <v>42794</v>
      </c>
      <c r="F866" s="249" t="s">
        <v>867</v>
      </c>
      <c r="G866" s="314"/>
      <c r="H866" s="473"/>
      <c r="I866" s="307"/>
      <c r="J866" s="307"/>
      <c r="K866" s="532">
        <f>ROUND((35000*2+15000*10+5000*6+10000*10)/1.1,0)</f>
        <v>318182</v>
      </c>
      <c r="L866" s="539" t="s">
        <v>81</v>
      </c>
      <c r="M866" s="539" t="s">
        <v>45</v>
      </c>
      <c r="N866" s="525" t="str">
        <f>IF(AND('331-CT'!$E$7=TH!H866,OR(L866="331",M866="331")),"331",IF(AND(OR(L866="131",M866="131"),H866='131-CT'!$E$7),"131",""))</f>
        <v/>
      </c>
      <c r="O866" s="525" t="str">
        <f>IF(AND($B866&gt;='111'!$N$11,$B866&lt;='111'!$O$11,OR($L866=$O$7,$M866=$O$7)),"x","")</f>
        <v/>
      </c>
      <c r="P866" s="525" t="str">
        <f>IF(AND($L866=$O$7,$B866&lt;'111'!$N$11),"x","")</f>
        <v/>
      </c>
      <c r="Q866" s="525" t="str">
        <f>IF(AND($M866=$O$7,$B866&lt;'111'!$N$11),"x","")</f>
        <v>x</v>
      </c>
      <c r="R866" s="525" t="str">
        <f>IF(ISERROR(FIND('112'!$M$9,G866,1)),"",IF((AND(FIND('112'!$M$9,G866,1)&gt;=1,$B866&gt;='112'!$N$8,$B866&lt;='112'!$O$8,OR($L866='112'!$I$6,$M866='112'!$I$6))),"x",""))</f>
        <v/>
      </c>
      <c r="S866" s="525" t="str">
        <f>IF(ISERROR(FIND('112'!$M$9,G866,1)),"",IF((AND(LEFT(G866,2)=LEFT('112'!$M$9,2),B866&lt;'112'!$N$8,$L866='112'!$I$6)),"x",""))</f>
        <v/>
      </c>
      <c r="T866" s="525" t="str">
        <f>IF(ISERROR(FIND('112'!$M$9,G866,1)),"",IF((AND(RIGHT(G866,2)=RIGHT('112'!$M$9,2),B866&lt;'112'!$N$8,$M866='112'!$I$6)),"x",""))</f>
        <v/>
      </c>
      <c r="U866" s="525" t="str">
        <f>IF(AND(B866&gt;='IN-NX'!$P$3,B866&lt;='IN-NX'!$Q$3,'IN-NX'!$D$7=D866,OR(LEFT(L866,2)="15",AND(LEFT(M866,2)&lt;&gt;"15",LEFT(M866,2)&lt;&gt;"33"))),"x","")</f>
        <v/>
      </c>
      <c r="V866" s="525" t="str">
        <f>IF(AND(OR(LEFT(TH!L866,2)="15",LEFT(TH!M866,2)="15"),'152-CT'!$J$8=TH!F866),"x","")</f>
        <v/>
      </c>
      <c r="W866" s="525" t="str">
        <f>IF(AND(OR(LEFT(TH!L866,2)="15",LEFT(TH!M866,2)="15"),TK!$E$7=TH!F866),"x","")</f>
        <v/>
      </c>
      <c r="X866" s="525" t="str">
        <f>IF(AND('341-CT'!$E$9=H866,OR(LEFT(L866,3)=$X$7,LEFT(M866,3)=$X$7)),"x","")</f>
        <v/>
      </c>
      <c r="Y866" s="525" t="str">
        <f>IF(OR(TH!L866=TH!$Y$7,M866=TH!$Y$7),"x","")</f>
        <v/>
      </c>
      <c r="Z866" s="525" t="str">
        <f>IF(AND(B866&lt;=NKC!$N$8,B866&gt;=NKC!$M$8),"x","")</f>
        <v>x</v>
      </c>
      <c r="AA866" s="535">
        <v>1</v>
      </c>
      <c r="AB866" s="536"/>
    </row>
    <row r="867" spans="1:28" s="503" customFormat="1" ht="15.75" customHeight="1">
      <c r="A867" s="517">
        <f>IF(B867&lt;&gt;"",IF(AND(B867&gt;=_TM1,B867&lt;=_TM2,OR(TH!L867="1111",TH!M867="1111")),TH!D867,""),"")</f>
        <v>0</v>
      </c>
      <c r="B867" s="531">
        <f t="shared" si="101"/>
        <v>2</v>
      </c>
      <c r="C867" s="315">
        <f t="shared" si="102"/>
        <v>42794</v>
      </c>
      <c r="D867" s="537"/>
      <c r="E867" s="315">
        <v>42794</v>
      </c>
      <c r="F867" s="249" t="s">
        <v>868</v>
      </c>
      <c r="G867" s="314"/>
      <c r="H867" s="473"/>
      <c r="I867" s="307"/>
      <c r="J867" s="307"/>
      <c r="K867" s="532">
        <v>31818</v>
      </c>
      <c r="L867" s="539" t="s">
        <v>9</v>
      </c>
      <c r="M867" s="539" t="s">
        <v>45</v>
      </c>
      <c r="N867" s="525" t="str">
        <f>IF(AND('331-CT'!$E$7=TH!H867,OR(L867="331",M867="331")),"331",IF(AND(OR(L867="131",M867="131"),H867='131-CT'!$E$7),"131",""))</f>
        <v/>
      </c>
      <c r="O867" s="525" t="str">
        <f>IF(AND($B867&gt;='111'!$N$11,$B867&lt;='111'!$O$11,OR($L867=$O$7,$M867=$O$7)),"x","")</f>
        <v/>
      </c>
      <c r="P867" s="525" t="str">
        <f>IF(AND($L867=$O$7,$B867&lt;'111'!$N$11),"x","")</f>
        <v/>
      </c>
      <c r="Q867" s="525" t="str">
        <f>IF(AND($M867=$O$7,$B867&lt;'111'!$N$11),"x","")</f>
        <v>x</v>
      </c>
      <c r="R867" s="525" t="str">
        <f>IF(ISERROR(FIND('112'!$M$9,G867,1)),"",IF((AND(FIND('112'!$M$9,G867,1)&gt;=1,$B867&gt;='112'!$N$8,$B867&lt;='112'!$O$8,OR($L867='112'!$I$6,$M867='112'!$I$6))),"x",""))</f>
        <v/>
      </c>
      <c r="S867" s="525" t="str">
        <f>IF(ISERROR(FIND('112'!$M$9,G867,1)),"",IF((AND(LEFT(G867,2)=LEFT('112'!$M$9,2),B867&lt;'112'!$N$8,$L867='112'!$I$6)),"x",""))</f>
        <v/>
      </c>
      <c r="T867" s="525" t="str">
        <f>IF(ISERROR(FIND('112'!$M$9,G867,1)),"",IF((AND(RIGHT(G867,2)=RIGHT('112'!$M$9,2),B867&lt;'112'!$N$8,$M867='112'!$I$6)),"x",""))</f>
        <v/>
      </c>
      <c r="U867" s="525" t="str">
        <f>IF(AND(B867&gt;='IN-NX'!$P$3,B867&lt;='IN-NX'!$Q$3,'IN-NX'!$D$7=D867,OR(LEFT(L867,2)="15",AND(LEFT(M867,2)&lt;&gt;"15",LEFT(M867,2)&lt;&gt;"33"))),"x","")</f>
        <v/>
      </c>
      <c r="V867" s="525" t="str">
        <f>IF(AND(OR(LEFT(TH!L867,2)="15",LEFT(TH!M867,2)="15"),'152-CT'!$J$8=TH!F867),"x","")</f>
        <v/>
      </c>
      <c r="W867" s="525" t="str">
        <f>IF(AND(OR(LEFT(TH!L867,2)="15",LEFT(TH!M867,2)="15"),TK!$E$7=TH!F867),"x","")</f>
        <v/>
      </c>
      <c r="X867" s="525" t="str">
        <f>IF(AND('341-CT'!$E$9=H867,OR(LEFT(L867,3)=$X$7,LEFT(M867,3)=$X$7)),"x","")</f>
        <v/>
      </c>
      <c r="Y867" s="525" t="str">
        <f>IF(OR(TH!L867=TH!$Y$7,M867=TH!$Y$7),"x","")</f>
        <v/>
      </c>
      <c r="Z867" s="525" t="str">
        <f>IF(AND(B867&lt;=NKC!$N$8,B867&gt;=NKC!$M$8),"x","")</f>
        <v>x</v>
      </c>
      <c r="AA867" s="535">
        <v>1</v>
      </c>
      <c r="AB867" s="536"/>
    </row>
    <row r="868" spans="1:28" s="503" customFormat="1" ht="15.75" customHeight="1">
      <c r="A868" s="517">
        <f>IF(B868&lt;&gt;"",IF(AND(B868&gt;=_TM1,B868&lt;=_TM2,OR(TH!L868="1111",TH!M868="1111")),TH!D868,""),"")</f>
        <v>0</v>
      </c>
      <c r="B868" s="531">
        <f t="shared" si="101"/>
        <v>3</v>
      </c>
      <c r="C868" s="315">
        <f t="shared" si="102"/>
        <v>42795</v>
      </c>
      <c r="D868" s="537"/>
      <c r="E868" s="315">
        <v>42795</v>
      </c>
      <c r="F868" s="249" t="s">
        <v>521</v>
      </c>
      <c r="G868" s="314" t="s">
        <v>844</v>
      </c>
      <c r="H868" s="473" t="s">
        <v>523</v>
      </c>
      <c r="I868" s="307"/>
      <c r="J868" s="307"/>
      <c r="K868" s="532">
        <v>1092000</v>
      </c>
      <c r="L868" s="539" t="s">
        <v>81</v>
      </c>
      <c r="M868" s="539" t="s">
        <v>45</v>
      </c>
      <c r="N868" s="525" t="str">
        <f>IF(AND('331-CT'!$E$7=TH!H868,OR(L868="331",M868="331")),"331",IF(AND(OR(L868="131",M868="131"),H868='131-CT'!$E$7),"131",""))</f>
        <v/>
      </c>
      <c r="O868" s="525" t="str">
        <f>IF(AND($B868&gt;='111'!$N$11,$B868&lt;='111'!$O$11,OR($L868=$O$7,$M868=$O$7)),"x","")</f>
        <v/>
      </c>
      <c r="P868" s="525" t="str">
        <f>IF(AND($L868=$O$7,$B868&lt;'111'!$N$11),"x","")</f>
        <v/>
      </c>
      <c r="Q868" s="525" t="str">
        <f>IF(AND($M868=$O$7,$B868&lt;'111'!$N$11),"x","")</f>
        <v>x</v>
      </c>
      <c r="R868" s="525" t="str">
        <f>IF(ISERROR(FIND('112'!$M$9,G868,1)),"",IF((AND(FIND('112'!$M$9,G868,1)&gt;=1,$B868&gt;='112'!$N$8,$B868&lt;='112'!$O$8,OR($L868='112'!$I$6,$M868='112'!$I$6))),"x",""))</f>
        <v/>
      </c>
      <c r="S868" s="525" t="str">
        <f>IF(ISERROR(FIND('112'!$M$9,G868,1)),"",IF((AND(LEFT(G868,2)=LEFT('112'!$M$9,2),B868&lt;'112'!$N$8,$L868='112'!$I$6)),"x",""))</f>
        <v/>
      </c>
      <c r="T868" s="525" t="str">
        <f>IF(ISERROR(FIND('112'!$M$9,G868,1)),"",IF((AND(RIGHT(G868,2)=RIGHT('112'!$M$9,2),B868&lt;'112'!$N$8,$M868='112'!$I$6)),"x",""))</f>
        <v/>
      </c>
      <c r="U868" s="525" t="str">
        <f>IF(AND(B868&gt;='IN-NX'!$P$3,B868&lt;='IN-NX'!$Q$3,'IN-NX'!$D$7=D868,OR(LEFT(L868,2)="15",AND(LEFT(M868,2)&lt;&gt;"15",LEFT(M868,2)&lt;&gt;"33"))),"x","")</f>
        <v/>
      </c>
      <c r="V868" s="525" t="str">
        <f>IF(AND(OR(LEFT(TH!L868,2)="15",LEFT(TH!M868,2)="15"),'152-CT'!$J$8=TH!F868),"x","")</f>
        <v/>
      </c>
      <c r="W868" s="525" t="str">
        <f>IF(AND(OR(LEFT(TH!L868,2)="15",LEFT(TH!M868,2)="15"),TK!$E$7=TH!F868),"x","")</f>
        <v/>
      </c>
      <c r="X868" s="525" t="str">
        <f>IF(AND('341-CT'!$E$9=H868,OR(LEFT(L868,3)=$X$7,LEFT(M868,3)=$X$7)),"x","")</f>
        <v/>
      </c>
      <c r="Y868" s="525" t="str">
        <f>IF(OR(TH!L868=TH!$Y$7,M868=TH!$Y$7),"x","")</f>
        <v/>
      </c>
      <c r="Z868" s="525" t="str">
        <f>IF(AND(B868&lt;=NKC!$N$8,B868&gt;=NKC!$M$8),"x","")</f>
        <v>x</v>
      </c>
      <c r="AA868" s="535">
        <v>1</v>
      </c>
      <c r="AB868" s="536"/>
    </row>
    <row r="869" spans="1:28" s="503" customFormat="1" ht="15.75" customHeight="1">
      <c r="A869" s="517">
        <f>IF(B869&lt;&gt;"",IF(AND(B869&gt;=_TM1,B869&lt;=_TM2,OR(TH!L869="1111",TH!M869="1111")),TH!D869,""),"")</f>
        <v>0</v>
      </c>
      <c r="B869" s="531">
        <f t="shared" si="101"/>
        <v>3</v>
      </c>
      <c r="C869" s="315">
        <f t="shared" si="102"/>
        <v>42795</v>
      </c>
      <c r="D869" s="537"/>
      <c r="E869" s="315">
        <v>42795</v>
      </c>
      <c r="F869" s="249" t="s">
        <v>522</v>
      </c>
      <c r="G869" s="314" t="s">
        <v>844</v>
      </c>
      <c r="H869" s="473" t="s">
        <v>523</v>
      </c>
      <c r="I869" s="307"/>
      <c r="J869" s="307"/>
      <c r="K869" s="532">
        <v>109200</v>
      </c>
      <c r="L869" s="539" t="s">
        <v>9</v>
      </c>
      <c r="M869" s="539" t="s">
        <v>45</v>
      </c>
      <c r="N869" s="525" t="str">
        <f>IF(AND('331-CT'!$E$7=TH!H869,OR(L869="331",M869="331")),"331",IF(AND(OR(L869="131",M869="131"),H869='131-CT'!$E$7),"131",""))</f>
        <v/>
      </c>
      <c r="O869" s="525" t="str">
        <f>IF(AND($B869&gt;='111'!$N$11,$B869&lt;='111'!$O$11,OR($L869=$O$7,$M869=$O$7)),"x","")</f>
        <v/>
      </c>
      <c r="P869" s="525" t="str">
        <f>IF(AND($L869=$O$7,$B869&lt;'111'!$N$11),"x","")</f>
        <v/>
      </c>
      <c r="Q869" s="525" t="str">
        <f>IF(AND($M869=$O$7,$B869&lt;'111'!$N$11),"x","")</f>
        <v>x</v>
      </c>
      <c r="R869" s="525" t="str">
        <f>IF(ISERROR(FIND('112'!$M$9,G869,1)),"",IF((AND(FIND('112'!$M$9,G869,1)&gt;=1,$B869&gt;='112'!$N$8,$B869&lt;='112'!$O$8,OR($L869='112'!$I$6,$M869='112'!$I$6))),"x",""))</f>
        <v/>
      </c>
      <c r="S869" s="525" t="str">
        <f>IF(ISERROR(FIND('112'!$M$9,G869,1)),"",IF((AND(LEFT(G869,2)=LEFT('112'!$M$9,2),B869&lt;'112'!$N$8,$L869='112'!$I$6)),"x",""))</f>
        <v/>
      </c>
      <c r="T869" s="525" t="str">
        <f>IF(ISERROR(FIND('112'!$M$9,G869,1)),"",IF((AND(RIGHT(G869,2)=RIGHT('112'!$M$9,2),B869&lt;'112'!$N$8,$M869='112'!$I$6)),"x",""))</f>
        <v/>
      </c>
      <c r="U869" s="525" t="str">
        <f>IF(AND(B869&gt;='IN-NX'!$P$3,B869&lt;='IN-NX'!$Q$3,'IN-NX'!$D$7=D869,OR(LEFT(L869,2)="15",AND(LEFT(M869,2)&lt;&gt;"15",LEFT(M869,2)&lt;&gt;"33"))),"x","")</f>
        <v/>
      </c>
      <c r="V869" s="525" t="str">
        <f>IF(AND(OR(LEFT(TH!L869,2)="15",LEFT(TH!M869,2)="15"),'152-CT'!$J$8=TH!F869),"x","")</f>
        <v/>
      </c>
      <c r="W869" s="525" t="str">
        <f>IF(AND(OR(LEFT(TH!L869,2)="15",LEFT(TH!M869,2)="15"),TK!$E$7=TH!F869),"x","")</f>
        <v/>
      </c>
      <c r="X869" s="525" t="str">
        <f>IF(AND('341-CT'!$E$9=H869,OR(LEFT(L869,3)=$X$7,LEFT(M869,3)=$X$7)),"x","")</f>
        <v/>
      </c>
      <c r="Y869" s="525" t="str">
        <f>IF(OR(TH!L869=TH!$Y$7,M869=TH!$Y$7),"x","")</f>
        <v/>
      </c>
      <c r="Z869" s="525" t="str">
        <f>IF(AND(B869&lt;=NKC!$N$8,B869&gt;=NKC!$M$8),"x","")</f>
        <v>x</v>
      </c>
      <c r="AA869" s="535">
        <v>1</v>
      </c>
      <c r="AB869" s="536"/>
    </row>
    <row r="870" spans="1:28" s="503" customFormat="1" ht="15.75" customHeight="1">
      <c r="A870" s="517">
        <f>IF(B870&lt;&gt;"",IF(AND(B870&gt;=_TM1,B870&lt;=_TM2,OR(TH!L870="1111",TH!M870="1111")),TH!D870,""),"")</f>
        <v>0</v>
      </c>
      <c r="B870" s="531">
        <f t="shared" si="101"/>
        <v>3</v>
      </c>
      <c r="C870" s="315">
        <f t="shared" si="102"/>
        <v>42798</v>
      </c>
      <c r="D870" s="537"/>
      <c r="E870" s="315">
        <v>42798</v>
      </c>
      <c r="F870" s="249" t="s">
        <v>858</v>
      </c>
      <c r="G870" s="314" t="s">
        <v>861</v>
      </c>
      <c r="H870" s="473" t="s">
        <v>852</v>
      </c>
      <c r="I870" s="307"/>
      <c r="J870" s="307"/>
      <c r="K870" s="532">
        <f>513018+221142+419567</f>
        <v>1153727</v>
      </c>
      <c r="L870" s="539" t="s">
        <v>81</v>
      </c>
      <c r="M870" s="539" t="s">
        <v>45</v>
      </c>
      <c r="N870" s="525" t="str">
        <f>IF(AND('331-CT'!$E$7=TH!H870,OR(L870="331",M870="331")),"331",IF(AND(OR(L870="131",M870="131"),H870='131-CT'!$E$7),"131",""))</f>
        <v/>
      </c>
      <c r="O870" s="525" t="str">
        <f>IF(AND($B870&gt;='111'!$N$11,$B870&lt;='111'!$O$11,OR($L870=$O$7,$M870=$O$7)),"x","")</f>
        <v/>
      </c>
      <c r="P870" s="525" t="str">
        <f>IF(AND($L870=$O$7,$B870&lt;'111'!$N$11),"x","")</f>
        <v/>
      </c>
      <c r="Q870" s="525" t="str">
        <f>IF(AND($M870=$O$7,$B870&lt;'111'!$N$11),"x","")</f>
        <v>x</v>
      </c>
      <c r="R870" s="525" t="str">
        <f>IF(ISERROR(FIND('112'!$M$9,G870,1)),"",IF((AND(FIND('112'!$M$9,G870,1)&gt;=1,$B870&gt;='112'!$N$8,$B870&lt;='112'!$O$8,OR($L870='112'!$I$6,$M870='112'!$I$6))),"x",""))</f>
        <v/>
      </c>
      <c r="S870" s="525" t="str">
        <f>IF(ISERROR(FIND('112'!$M$9,G870,1)),"",IF((AND(LEFT(G870,2)=LEFT('112'!$M$9,2),B870&lt;'112'!$N$8,$L870='112'!$I$6)),"x",""))</f>
        <v/>
      </c>
      <c r="T870" s="525" t="str">
        <f>IF(ISERROR(FIND('112'!$M$9,G870,1)),"",IF((AND(RIGHT(G870,2)=RIGHT('112'!$M$9,2),B870&lt;'112'!$N$8,$M870='112'!$I$6)),"x",""))</f>
        <v/>
      </c>
      <c r="U870" s="525" t="str">
        <f>IF(AND(B870&gt;='IN-NX'!$P$3,B870&lt;='IN-NX'!$Q$3,'IN-NX'!$D$7=D870,OR(LEFT(L870,2)="15",AND(LEFT(M870,2)&lt;&gt;"15",LEFT(M870,2)&lt;&gt;"33"))),"x","")</f>
        <v/>
      </c>
      <c r="V870" s="525" t="str">
        <f>IF(AND(OR(LEFT(TH!L870,2)="15",LEFT(TH!M870,2)="15"),'152-CT'!$J$8=TH!F870),"x","")</f>
        <v/>
      </c>
      <c r="W870" s="525" t="str">
        <f>IF(AND(OR(LEFT(TH!L870,2)="15",LEFT(TH!M870,2)="15"),TK!$E$7=TH!F870),"x","")</f>
        <v/>
      </c>
      <c r="X870" s="525" t="str">
        <f>IF(AND('341-CT'!$E$9=H870,OR(LEFT(L870,3)=$X$7,LEFT(M870,3)=$X$7)),"x","")</f>
        <v/>
      </c>
      <c r="Y870" s="525" t="str">
        <f>IF(OR(TH!L870=TH!$Y$7,M870=TH!$Y$7),"x","")</f>
        <v/>
      </c>
      <c r="Z870" s="525" t="str">
        <f>IF(AND(B870&lt;=NKC!$N$8,B870&gt;=NKC!$M$8),"x","")</f>
        <v>x</v>
      </c>
      <c r="AA870" s="535">
        <v>1</v>
      </c>
      <c r="AB870" s="536"/>
    </row>
    <row r="871" spans="1:28" s="503" customFormat="1" ht="15.75" customHeight="1">
      <c r="A871" s="517">
        <f>IF(B871&lt;&gt;"",IF(AND(B871&gt;=_TM1,B871&lt;=_TM2,OR(TH!L871="1111",TH!M871="1111")),TH!D871,""),"")</f>
        <v>0</v>
      </c>
      <c r="B871" s="531">
        <f t="shared" si="101"/>
        <v>3</v>
      </c>
      <c r="C871" s="315">
        <f t="shared" si="102"/>
        <v>42798</v>
      </c>
      <c r="D871" s="537"/>
      <c r="E871" s="315">
        <v>42798</v>
      </c>
      <c r="F871" s="249" t="s">
        <v>853</v>
      </c>
      <c r="G871" s="314" t="s">
        <v>862</v>
      </c>
      <c r="H871" s="473" t="s">
        <v>852</v>
      </c>
      <c r="I871" s="307"/>
      <c r="J871" s="307"/>
      <c r="K871" s="532">
        <f>51302+22114+41957</f>
        <v>115373</v>
      </c>
      <c r="L871" s="539" t="s">
        <v>9</v>
      </c>
      <c r="M871" s="539" t="s">
        <v>45</v>
      </c>
      <c r="N871" s="525" t="str">
        <f>IF(AND('331-CT'!$E$7=TH!H871,OR(L871="331",M871="331")),"331",IF(AND(OR(L871="131",M871="131"),H871='131-CT'!$E$7),"131",""))</f>
        <v/>
      </c>
      <c r="O871" s="525" t="str">
        <f>IF(AND($B871&gt;='111'!$N$11,$B871&lt;='111'!$O$11,OR($L871=$O$7,$M871=$O$7)),"x","")</f>
        <v/>
      </c>
      <c r="P871" s="525" t="str">
        <f>IF(AND($L871=$O$7,$B871&lt;'111'!$N$11),"x","")</f>
        <v/>
      </c>
      <c r="Q871" s="525" t="str">
        <f>IF(AND($M871=$O$7,$B871&lt;'111'!$N$11),"x","")</f>
        <v>x</v>
      </c>
      <c r="R871" s="525" t="str">
        <f>IF(ISERROR(FIND('112'!$M$9,G871,1)),"",IF((AND(FIND('112'!$M$9,G871,1)&gt;=1,$B871&gt;='112'!$N$8,$B871&lt;='112'!$O$8,OR($L871='112'!$I$6,$M871='112'!$I$6))),"x",""))</f>
        <v/>
      </c>
      <c r="S871" s="525" t="str">
        <f>IF(ISERROR(FIND('112'!$M$9,G871,1)),"",IF((AND(LEFT(G871,2)=LEFT('112'!$M$9,2),B871&lt;'112'!$N$8,$L871='112'!$I$6)),"x",""))</f>
        <v/>
      </c>
      <c r="T871" s="525" t="str">
        <f>IF(ISERROR(FIND('112'!$M$9,G871,1)),"",IF((AND(RIGHT(G871,2)=RIGHT('112'!$M$9,2),B871&lt;'112'!$N$8,$M871='112'!$I$6)),"x",""))</f>
        <v/>
      </c>
      <c r="U871" s="525" t="str">
        <f>IF(AND(B871&gt;='IN-NX'!$P$3,B871&lt;='IN-NX'!$Q$3,'IN-NX'!$D$7=D871,OR(LEFT(L871,2)="15",AND(LEFT(M871,2)&lt;&gt;"15",LEFT(M871,2)&lt;&gt;"33"))),"x","")</f>
        <v/>
      </c>
      <c r="V871" s="525" t="str">
        <f>IF(AND(OR(LEFT(TH!L871,2)="15",LEFT(TH!M871,2)="15"),'152-CT'!$J$8=TH!F871),"x","")</f>
        <v/>
      </c>
      <c r="W871" s="525" t="str">
        <f>IF(AND(OR(LEFT(TH!L871,2)="15",LEFT(TH!M871,2)="15"),TK!$E$7=TH!F871),"x","")</f>
        <v/>
      </c>
      <c r="X871" s="525" t="str">
        <f>IF(AND('341-CT'!$E$9=H871,OR(LEFT(L871,3)=$X$7,LEFT(M871,3)=$X$7)),"x","")</f>
        <v/>
      </c>
      <c r="Y871" s="525" t="str">
        <f>IF(OR(TH!L871=TH!$Y$7,M871=TH!$Y$7),"x","")</f>
        <v/>
      </c>
      <c r="Z871" s="525" t="str">
        <f>IF(AND(B871&lt;=NKC!$N$8,B871&gt;=NKC!$M$8),"x","")</f>
        <v>x</v>
      </c>
      <c r="AA871" s="535">
        <v>1</v>
      </c>
      <c r="AB871" s="536"/>
    </row>
    <row r="872" spans="1:28" s="503" customFormat="1" ht="15.75" customHeight="1">
      <c r="A872" s="517">
        <f>IF(B872&lt;&gt;"",IF(AND(B872&gt;=_TM1,B872&lt;=_TM2,OR(TH!L872="1111",TH!M872="1111")),TH!D872,""),"")</f>
        <v>0</v>
      </c>
      <c r="B872" s="531">
        <f t="shared" si="101"/>
        <v>3</v>
      </c>
      <c r="C872" s="315">
        <f t="shared" si="102"/>
        <v>42800</v>
      </c>
      <c r="D872" s="537"/>
      <c r="E872" s="315">
        <v>42800</v>
      </c>
      <c r="F872" s="249" t="s">
        <v>846</v>
      </c>
      <c r="G872" s="314" t="s">
        <v>848</v>
      </c>
      <c r="H872" s="249" t="s">
        <v>845</v>
      </c>
      <c r="I872" s="307"/>
      <c r="J872" s="307"/>
      <c r="K872" s="532">
        <v>1709091</v>
      </c>
      <c r="L872" s="539" t="s">
        <v>81</v>
      </c>
      <c r="M872" s="539" t="s">
        <v>45</v>
      </c>
      <c r="N872" s="525" t="str">
        <f>IF(AND('331-CT'!$E$7=TH!H872,OR(L872="331",M872="331")),"331",IF(AND(OR(L872="131",M872="131"),H872='131-CT'!$E$7),"131",""))</f>
        <v/>
      </c>
      <c r="O872" s="525" t="str">
        <f>IF(AND($B872&gt;='111'!$N$11,$B872&lt;='111'!$O$11,OR($L872=$O$7,$M872=$O$7)),"x","")</f>
        <v/>
      </c>
      <c r="P872" s="525" t="str">
        <f>IF(AND($L872=$O$7,$B872&lt;'111'!$N$11),"x","")</f>
        <v/>
      </c>
      <c r="Q872" s="525" t="str">
        <f>IF(AND($M872=$O$7,$B872&lt;'111'!$N$11),"x","")</f>
        <v>x</v>
      </c>
      <c r="R872" s="525" t="str">
        <f>IF(ISERROR(FIND('112'!$M$9,G872,1)),"",IF((AND(FIND('112'!$M$9,G872,1)&gt;=1,$B872&gt;='112'!$N$8,$B872&lt;='112'!$O$8,OR($L872='112'!$I$6,$M872='112'!$I$6))),"x",""))</f>
        <v/>
      </c>
      <c r="S872" s="525" t="str">
        <f>IF(ISERROR(FIND('112'!$M$9,G872,1)),"",IF((AND(LEFT(G872,2)=LEFT('112'!$M$9,2),B872&lt;'112'!$N$8,$L872='112'!$I$6)),"x",""))</f>
        <v/>
      </c>
      <c r="T872" s="525" t="str">
        <f>IF(ISERROR(FIND('112'!$M$9,G872,1)),"",IF((AND(RIGHT(G872,2)=RIGHT('112'!$M$9,2),B872&lt;'112'!$N$8,$M872='112'!$I$6)),"x",""))</f>
        <v/>
      </c>
      <c r="U872" s="525" t="str">
        <f>IF(AND(B872&gt;='IN-NX'!$P$3,B872&lt;='IN-NX'!$Q$3,'IN-NX'!$D$7=D872,OR(LEFT(L872,2)="15",AND(LEFT(M872,2)&lt;&gt;"15",LEFT(M872,2)&lt;&gt;"33"))),"x","")</f>
        <v/>
      </c>
      <c r="V872" s="525" t="str">
        <f>IF(AND(OR(LEFT(TH!L872,2)="15",LEFT(TH!M872,2)="15"),'152-CT'!$J$8=TH!F872),"x","")</f>
        <v/>
      </c>
      <c r="W872" s="525" t="str">
        <f>IF(AND(OR(LEFT(TH!L872,2)="15",LEFT(TH!M872,2)="15"),TK!$E$7=TH!F872),"x","")</f>
        <v/>
      </c>
      <c r="X872" s="525" t="str">
        <f>IF(AND('341-CT'!$E$9=H872,OR(LEFT(L872,3)=$X$7,LEFT(M872,3)=$X$7)),"x","")</f>
        <v/>
      </c>
      <c r="Y872" s="525" t="str">
        <f>IF(OR(TH!L872=TH!$Y$7,M872=TH!$Y$7),"x","")</f>
        <v/>
      </c>
      <c r="Z872" s="525" t="str">
        <f>IF(AND(B872&lt;=NKC!$N$8,B872&gt;=NKC!$M$8),"x","")</f>
        <v>x</v>
      </c>
      <c r="AA872" s="535">
        <v>1</v>
      </c>
      <c r="AB872" s="536"/>
    </row>
    <row r="873" spans="1:28" s="503" customFormat="1" ht="15.75" customHeight="1">
      <c r="A873" s="517">
        <f>IF(B873&lt;&gt;"",IF(AND(B873&gt;=_TM1,B873&lt;=_TM2,OR(TH!L873="1111",TH!M873="1111")),TH!D873,""),"")</f>
        <v>0</v>
      </c>
      <c r="B873" s="531">
        <f t="shared" si="101"/>
        <v>3</v>
      </c>
      <c r="C873" s="315">
        <f t="shared" si="102"/>
        <v>42800</v>
      </c>
      <c r="D873" s="537"/>
      <c r="E873" s="315">
        <v>42800</v>
      </c>
      <c r="F873" s="249" t="s">
        <v>847</v>
      </c>
      <c r="G873" s="314" t="s">
        <v>848</v>
      </c>
      <c r="H873" s="249" t="s">
        <v>845</v>
      </c>
      <c r="I873" s="307"/>
      <c r="J873" s="307"/>
      <c r="K873" s="532">
        <v>170909</v>
      </c>
      <c r="L873" s="539" t="s">
        <v>9</v>
      </c>
      <c r="M873" s="539" t="s">
        <v>45</v>
      </c>
      <c r="N873" s="525" t="str">
        <f>IF(AND('331-CT'!$E$7=TH!H873,OR(L873="331",M873="331")),"331",IF(AND(OR(L873="131",M873="131"),H873='131-CT'!$E$7),"131",""))</f>
        <v/>
      </c>
      <c r="O873" s="525" t="str">
        <f>IF(AND($B873&gt;='111'!$N$11,$B873&lt;='111'!$O$11,OR($L873=$O$7,$M873=$O$7)),"x","")</f>
        <v/>
      </c>
      <c r="P873" s="525" t="str">
        <f>IF(AND($L873=$O$7,$B873&lt;'111'!$N$11),"x","")</f>
        <v/>
      </c>
      <c r="Q873" s="525" t="str">
        <f>IF(AND($M873=$O$7,$B873&lt;'111'!$N$11),"x","")</f>
        <v>x</v>
      </c>
      <c r="R873" s="525" t="str">
        <f>IF(ISERROR(FIND('112'!$M$9,G873,1)),"",IF((AND(FIND('112'!$M$9,G873,1)&gt;=1,$B873&gt;='112'!$N$8,$B873&lt;='112'!$O$8,OR($L873='112'!$I$6,$M873='112'!$I$6))),"x",""))</f>
        <v/>
      </c>
      <c r="S873" s="525" t="str">
        <f>IF(ISERROR(FIND('112'!$M$9,G873,1)),"",IF((AND(LEFT(G873,2)=LEFT('112'!$M$9,2),B873&lt;'112'!$N$8,$L873='112'!$I$6)),"x",""))</f>
        <v/>
      </c>
      <c r="T873" s="525" t="str">
        <f>IF(ISERROR(FIND('112'!$M$9,G873,1)),"",IF((AND(RIGHT(G873,2)=RIGHT('112'!$M$9,2),B873&lt;'112'!$N$8,$M873='112'!$I$6)),"x",""))</f>
        <v/>
      </c>
      <c r="U873" s="525" t="str">
        <f>IF(AND(B873&gt;='IN-NX'!$P$3,B873&lt;='IN-NX'!$Q$3,'IN-NX'!$D$7=D873,OR(LEFT(L873,2)="15",AND(LEFT(M873,2)&lt;&gt;"15",LEFT(M873,2)&lt;&gt;"33"))),"x","")</f>
        <v/>
      </c>
      <c r="V873" s="525" t="str">
        <f>IF(AND(OR(LEFT(TH!L873,2)="15",LEFT(TH!M873,2)="15"),'152-CT'!$J$8=TH!F873),"x","")</f>
        <v/>
      </c>
      <c r="W873" s="525" t="str">
        <f>IF(AND(OR(LEFT(TH!L873,2)="15",LEFT(TH!M873,2)="15"),TK!$E$7=TH!F873),"x","")</f>
        <v/>
      </c>
      <c r="X873" s="525" t="str">
        <f>IF(AND('341-CT'!$E$9=H873,OR(LEFT(L873,3)=$X$7,LEFT(M873,3)=$X$7)),"x","")</f>
        <v/>
      </c>
      <c r="Y873" s="525" t="str">
        <f>IF(OR(TH!L873=TH!$Y$7,M873=TH!$Y$7),"x","")</f>
        <v/>
      </c>
      <c r="Z873" s="525" t="str">
        <f>IF(AND(B873&lt;=NKC!$N$8,B873&gt;=NKC!$M$8),"x","")</f>
        <v>x</v>
      </c>
      <c r="AA873" s="535">
        <v>1</v>
      </c>
      <c r="AB873" s="536"/>
    </row>
    <row r="874" spans="1:28" s="503" customFormat="1" ht="15.75" customHeight="1">
      <c r="A874" s="517">
        <f>IF(B874&lt;&gt;"",IF(AND(B874&gt;=_TM1,B874&lt;=_TM2,OR(TH!L874="1111",TH!M874="1111")),TH!D874,""),"")</f>
        <v>0</v>
      </c>
      <c r="B874" s="531">
        <f t="shared" si="101"/>
        <v>3</v>
      </c>
      <c r="C874" s="315">
        <f t="shared" si="102"/>
        <v>42822</v>
      </c>
      <c r="D874" s="537"/>
      <c r="E874" s="315">
        <v>42822</v>
      </c>
      <c r="F874" s="249" t="s">
        <v>1209</v>
      </c>
      <c r="G874" s="314" t="s">
        <v>1211</v>
      </c>
      <c r="H874" s="473" t="s">
        <v>863</v>
      </c>
      <c r="I874" s="307"/>
      <c r="J874" s="307"/>
      <c r="K874" s="532">
        <f>121389+4982</f>
        <v>126371</v>
      </c>
      <c r="L874" s="539" t="s">
        <v>81</v>
      </c>
      <c r="M874" s="539" t="s">
        <v>45</v>
      </c>
      <c r="N874" s="525" t="str">
        <f>IF(AND('331-CT'!$E$7=TH!H874,OR(L874="331",M874="331")),"331",IF(AND(OR(L874="131",M874="131"),H874='131-CT'!$E$7),"131",""))</f>
        <v/>
      </c>
      <c r="O874" s="525" t="str">
        <f>IF(AND($B874&gt;='111'!$N$11,$B874&lt;='111'!$O$11,OR($L874=$O$7,$M874=$O$7)),"x","")</f>
        <v/>
      </c>
      <c r="P874" s="525" t="str">
        <f>IF(AND($L874=$O$7,$B874&lt;'111'!$N$11),"x","")</f>
        <v/>
      </c>
      <c r="Q874" s="525" t="str">
        <f>IF(AND($M874=$O$7,$B874&lt;'111'!$N$11),"x","")</f>
        <v>x</v>
      </c>
      <c r="R874" s="525" t="str">
        <f>IF(ISERROR(FIND('112'!$M$9,G874,1)),"",IF((AND(FIND('112'!$M$9,G874,1)&gt;=1,$B874&gt;='112'!$N$8,$B874&lt;='112'!$O$8,OR($L874='112'!$I$6,$M874='112'!$I$6))),"x",""))</f>
        <v/>
      </c>
      <c r="S874" s="525" t="str">
        <f>IF(ISERROR(FIND('112'!$M$9,G874,1)),"",IF((AND(LEFT(G874,2)=LEFT('112'!$M$9,2),B874&lt;'112'!$N$8,$L874='112'!$I$6)),"x",""))</f>
        <v/>
      </c>
      <c r="T874" s="525" t="str">
        <f>IF(ISERROR(FIND('112'!$M$9,G874,1)),"",IF((AND(RIGHT(G874,2)=RIGHT('112'!$M$9,2),B874&lt;'112'!$N$8,$M874='112'!$I$6)),"x",""))</f>
        <v/>
      </c>
      <c r="U874" s="525" t="str">
        <f>IF(AND(B874&gt;='IN-NX'!$P$3,B874&lt;='IN-NX'!$Q$3,'IN-NX'!$D$7=D874,OR(LEFT(L874,2)="15",AND(LEFT(M874,2)&lt;&gt;"15",LEFT(M874,2)&lt;&gt;"33"))),"x","")</f>
        <v/>
      </c>
      <c r="V874" s="525" t="str">
        <f>IF(AND(OR(LEFT(TH!L874,2)="15",LEFT(TH!M874,2)="15"),'152-CT'!$J$8=TH!F874),"x","")</f>
        <v/>
      </c>
      <c r="W874" s="525" t="str">
        <f>IF(AND(OR(LEFT(TH!L874,2)="15",LEFT(TH!M874,2)="15"),TK!$E$7=TH!F874),"x","")</f>
        <v/>
      </c>
      <c r="X874" s="525" t="str">
        <f>IF(AND('341-CT'!$E$9=H874,OR(LEFT(L874,3)=$X$7,LEFT(M874,3)=$X$7)),"x","")</f>
        <v/>
      </c>
      <c r="Y874" s="525" t="str">
        <f>IF(OR(TH!L874=TH!$Y$7,M874=TH!$Y$7),"x","")</f>
        <v/>
      </c>
      <c r="Z874" s="525" t="str">
        <f>IF(AND(B874&lt;=NKC!$N$8,B874&gt;=NKC!$M$8),"x","")</f>
        <v>x</v>
      </c>
      <c r="AA874" s="535">
        <v>2</v>
      </c>
      <c r="AB874" s="536"/>
    </row>
    <row r="875" spans="1:28" s="503" customFormat="1" ht="15.75" customHeight="1">
      <c r="A875" s="517">
        <f>IF(B875&lt;&gt;"",IF(AND(B875&gt;=_TM1,B875&lt;=_TM2,OR(TH!L875="1111",TH!M875="1111")),TH!D875,""),"")</f>
        <v>0</v>
      </c>
      <c r="B875" s="531">
        <f t="shared" si="101"/>
        <v>3</v>
      </c>
      <c r="C875" s="315">
        <f t="shared" si="102"/>
        <v>42822</v>
      </c>
      <c r="D875" s="537"/>
      <c r="E875" s="315">
        <v>42822</v>
      </c>
      <c r="F875" s="249" t="s">
        <v>1201</v>
      </c>
      <c r="G875" s="314" t="s">
        <v>1211</v>
      </c>
      <c r="H875" s="473" t="s">
        <v>863</v>
      </c>
      <c r="I875" s="307"/>
      <c r="J875" s="307"/>
      <c r="K875" s="532">
        <f>12139+498</f>
        <v>12637</v>
      </c>
      <c r="L875" s="588" t="s">
        <v>9</v>
      </c>
      <c r="M875" s="539" t="s">
        <v>45</v>
      </c>
      <c r="N875" s="525" t="str">
        <f>IF(AND('331-CT'!$E$7=TH!H875,OR(L875="331",M875="331")),"331",IF(AND(OR(L875="131",M875="131"),H875='131-CT'!$E$7),"131",""))</f>
        <v/>
      </c>
      <c r="O875" s="525" t="str">
        <f>IF(AND($B875&gt;='111'!$N$11,$B875&lt;='111'!$O$11,OR($L875=$O$7,$M875=$O$7)),"x","")</f>
        <v/>
      </c>
      <c r="P875" s="525" t="str">
        <f>IF(AND($L875=$O$7,$B875&lt;'111'!$N$11),"x","")</f>
        <v/>
      </c>
      <c r="Q875" s="525" t="str">
        <f>IF(AND($M875=$O$7,$B875&lt;'111'!$N$11),"x","")</f>
        <v>x</v>
      </c>
      <c r="R875" s="525" t="str">
        <f>IF(ISERROR(FIND('112'!$M$9,G875,1)),"",IF((AND(FIND('112'!$M$9,G875,1)&gt;=1,$B875&gt;='112'!$N$8,$B875&lt;='112'!$O$8,OR($L875='112'!$I$6,$M875='112'!$I$6))),"x",""))</f>
        <v/>
      </c>
      <c r="S875" s="525" t="str">
        <f>IF(ISERROR(FIND('112'!$M$9,G875,1)),"",IF((AND(LEFT(G875,2)=LEFT('112'!$M$9,2),B875&lt;'112'!$N$8,$L875='112'!$I$6)),"x",""))</f>
        <v/>
      </c>
      <c r="T875" s="525" t="str">
        <f>IF(ISERROR(FIND('112'!$M$9,G875,1)),"",IF((AND(RIGHT(G875,2)=RIGHT('112'!$M$9,2),B875&lt;'112'!$N$8,$M875='112'!$I$6)),"x",""))</f>
        <v/>
      </c>
      <c r="U875" s="525" t="str">
        <f>IF(AND(B875&gt;='IN-NX'!$P$3,B875&lt;='IN-NX'!$Q$3,'IN-NX'!$D$7=D875,OR(LEFT(L875,2)="15",AND(LEFT(M875,2)&lt;&gt;"15",LEFT(M875,2)&lt;&gt;"33"))),"x","")</f>
        <v/>
      </c>
      <c r="V875" s="525" t="str">
        <f>IF(AND(OR(LEFT(TH!L875,2)="15",LEFT(TH!M875,2)="15"),'152-CT'!$J$8=TH!F875),"x","")</f>
        <v/>
      </c>
      <c r="W875" s="525" t="str">
        <f>IF(AND(OR(LEFT(TH!L875,2)="15",LEFT(TH!M875,2)="15"),TK!$E$7=TH!F875),"x","")</f>
        <v/>
      </c>
      <c r="X875" s="525" t="str">
        <f>IF(AND('341-CT'!$E$9=H875,OR(LEFT(L875,3)=$X$7,LEFT(M875,3)=$X$7)),"x","")</f>
        <v/>
      </c>
      <c r="Y875" s="525" t="str">
        <f>IF(OR(TH!L875=TH!$Y$7,M875=TH!$Y$7),"x","")</f>
        <v/>
      </c>
      <c r="Z875" s="525" t="str">
        <f>IF(AND(B875&lt;=NKC!$N$8,B875&gt;=NKC!$M$8),"x","")</f>
        <v>x</v>
      </c>
      <c r="AA875" s="535">
        <v>2</v>
      </c>
      <c r="AB875" s="536"/>
    </row>
    <row r="876" spans="1:28" s="503" customFormat="1" ht="15.75" customHeight="1">
      <c r="A876" s="517">
        <f>IF(B876&lt;&gt;"",IF(AND(B876&gt;=_TM1,B876&lt;=_TM2,OR(TH!L876="1111",TH!M876="1111")),TH!D876,""),"")</f>
        <v>0</v>
      </c>
      <c r="B876" s="531">
        <f t="shared" si="101"/>
        <v>3</v>
      </c>
      <c r="C876" s="315">
        <f t="shared" si="102"/>
        <v>42824</v>
      </c>
      <c r="D876" s="537"/>
      <c r="E876" s="315">
        <v>42824</v>
      </c>
      <c r="F876" s="249" t="s">
        <v>521</v>
      </c>
      <c r="G876" s="314" t="s">
        <v>849</v>
      </c>
      <c r="H876" s="473" t="s">
        <v>523</v>
      </c>
      <c r="I876" s="307"/>
      <c r="J876" s="307"/>
      <c r="K876" s="532">
        <v>2464255</v>
      </c>
      <c r="L876" s="539" t="s">
        <v>81</v>
      </c>
      <c r="M876" s="539" t="s">
        <v>45</v>
      </c>
      <c r="N876" s="525" t="str">
        <f>IF(AND('331-CT'!$E$7=TH!H876,OR(L876="331",M876="331")),"331",IF(AND(OR(L876="131",M876="131"),H876='131-CT'!$E$7),"131",""))</f>
        <v/>
      </c>
      <c r="O876" s="525" t="str">
        <f>IF(AND($B876&gt;='111'!$N$11,$B876&lt;='111'!$O$11,OR($L876=$O$7,$M876=$O$7)),"x","")</f>
        <v/>
      </c>
      <c r="P876" s="525" t="str">
        <f>IF(AND($L876=$O$7,$B876&lt;'111'!$N$11),"x","")</f>
        <v/>
      </c>
      <c r="Q876" s="525" t="str">
        <f>IF(AND($M876=$O$7,$B876&lt;'111'!$N$11),"x","")</f>
        <v>x</v>
      </c>
      <c r="R876" s="525" t="str">
        <f>IF(ISERROR(FIND('112'!$M$9,G876,1)),"",IF((AND(FIND('112'!$M$9,G876,1)&gt;=1,$B876&gt;='112'!$N$8,$B876&lt;='112'!$O$8,OR($L876='112'!$I$6,$M876='112'!$I$6))),"x",""))</f>
        <v/>
      </c>
      <c r="S876" s="525" t="str">
        <f>IF(ISERROR(FIND('112'!$M$9,G876,1)),"",IF((AND(LEFT(G876,2)=LEFT('112'!$M$9,2),B876&lt;'112'!$N$8,$L876='112'!$I$6)),"x",""))</f>
        <v/>
      </c>
      <c r="T876" s="525" t="str">
        <f>IF(ISERROR(FIND('112'!$M$9,G876,1)),"",IF((AND(RIGHT(G876,2)=RIGHT('112'!$M$9,2),B876&lt;'112'!$N$8,$M876='112'!$I$6)),"x",""))</f>
        <v/>
      </c>
      <c r="U876" s="525" t="str">
        <f>IF(AND(B876&gt;='IN-NX'!$P$3,B876&lt;='IN-NX'!$Q$3,'IN-NX'!$D$7=D876,OR(LEFT(L876,2)="15",AND(LEFT(M876,2)&lt;&gt;"15",LEFT(M876,2)&lt;&gt;"33"))),"x","")</f>
        <v/>
      </c>
      <c r="V876" s="525" t="str">
        <f>IF(AND(OR(LEFT(TH!L876,2)="15",LEFT(TH!M876,2)="15"),'152-CT'!$J$8=TH!F876),"x","")</f>
        <v/>
      </c>
      <c r="W876" s="525" t="str">
        <f>IF(AND(OR(LEFT(TH!L876,2)="15",LEFT(TH!M876,2)="15"),TK!$E$7=TH!F876),"x","")</f>
        <v/>
      </c>
      <c r="X876" s="525" t="str">
        <f>IF(AND('341-CT'!$E$9=H876,OR(LEFT(L876,3)=$X$7,LEFT(M876,3)=$X$7)),"x","")</f>
        <v/>
      </c>
      <c r="Y876" s="525" t="str">
        <f>IF(OR(TH!L876=TH!$Y$7,M876=TH!$Y$7),"x","")</f>
        <v/>
      </c>
      <c r="Z876" s="525" t="str">
        <f>IF(AND(B876&lt;=NKC!$N$8,B876&gt;=NKC!$M$8),"x","")</f>
        <v>x</v>
      </c>
      <c r="AA876" s="535">
        <v>1</v>
      </c>
      <c r="AB876" s="536"/>
    </row>
    <row r="877" spans="1:28" s="503" customFormat="1" ht="15.75" customHeight="1">
      <c r="A877" s="517">
        <f>IF(B877&lt;&gt;"",IF(AND(B877&gt;=_TM1,B877&lt;=_TM2,OR(TH!L877="1111",TH!M877="1111")),TH!D877,""),"")</f>
        <v>0</v>
      </c>
      <c r="B877" s="531">
        <f t="shared" si="101"/>
        <v>3</v>
      </c>
      <c r="C877" s="315">
        <f t="shared" si="102"/>
        <v>42824</v>
      </c>
      <c r="D877" s="537"/>
      <c r="E877" s="315">
        <v>42824</v>
      </c>
      <c r="F877" s="249" t="s">
        <v>522</v>
      </c>
      <c r="G877" s="314" t="s">
        <v>849</v>
      </c>
      <c r="H877" s="473" t="s">
        <v>523</v>
      </c>
      <c r="I877" s="307"/>
      <c r="J877" s="307"/>
      <c r="K877" s="532">
        <v>246425</v>
      </c>
      <c r="L877" s="539" t="s">
        <v>9</v>
      </c>
      <c r="M877" s="539" t="s">
        <v>45</v>
      </c>
      <c r="N877" s="525" t="str">
        <f>IF(AND('331-CT'!$E$7=TH!H877,OR(L877="331",M877="331")),"331",IF(AND(OR(L877="131",M877="131"),H877='131-CT'!$E$7),"131",""))</f>
        <v/>
      </c>
      <c r="O877" s="525" t="str">
        <f>IF(AND($B877&gt;='111'!$N$11,$B877&lt;='111'!$O$11,OR($L877=$O$7,$M877=$O$7)),"x","")</f>
        <v/>
      </c>
      <c r="P877" s="525" t="str">
        <f>IF(AND($L877=$O$7,$B877&lt;'111'!$N$11),"x","")</f>
        <v/>
      </c>
      <c r="Q877" s="525" t="str">
        <f>IF(AND($M877=$O$7,$B877&lt;'111'!$N$11),"x","")</f>
        <v>x</v>
      </c>
      <c r="R877" s="525" t="str">
        <f>IF(ISERROR(FIND('112'!$M$9,G877,1)),"",IF((AND(FIND('112'!$M$9,G877,1)&gt;=1,$B877&gt;='112'!$N$8,$B877&lt;='112'!$O$8,OR($L877='112'!$I$6,$M877='112'!$I$6))),"x",""))</f>
        <v/>
      </c>
      <c r="S877" s="525" t="str">
        <f>IF(ISERROR(FIND('112'!$M$9,G877,1)),"",IF((AND(LEFT(G877,2)=LEFT('112'!$M$9,2),B877&lt;'112'!$N$8,$L877='112'!$I$6)),"x",""))</f>
        <v/>
      </c>
      <c r="T877" s="525" t="str">
        <f>IF(ISERROR(FIND('112'!$M$9,G877,1)),"",IF((AND(RIGHT(G877,2)=RIGHT('112'!$M$9,2),B877&lt;'112'!$N$8,$M877='112'!$I$6)),"x",""))</f>
        <v/>
      </c>
      <c r="U877" s="525" t="str">
        <f>IF(AND(B877&gt;='IN-NX'!$P$3,B877&lt;='IN-NX'!$Q$3,'IN-NX'!$D$7=D877,OR(LEFT(L877,2)="15",AND(LEFT(M877,2)&lt;&gt;"15",LEFT(M877,2)&lt;&gt;"33"))),"x","")</f>
        <v/>
      </c>
      <c r="V877" s="525" t="str">
        <f>IF(AND(OR(LEFT(TH!L877,2)="15",LEFT(TH!M877,2)="15"),'152-CT'!$J$8=TH!F877),"x","")</f>
        <v/>
      </c>
      <c r="W877" s="525" t="str">
        <f>IF(AND(OR(LEFT(TH!L877,2)="15",LEFT(TH!M877,2)="15"),TK!$E$7=TH!F877),"x","")</f>
        <v/>
      </c>
      <c r="X877" s="525" t="str">
        <f>IF(AND('341-CT'!$E$9=H877,OR(LEFT(L877,3)=$X$7,LEFT(M877,3)=$X$7)),"x","")</f>
        <v/>
      </c>
      <c r="Y877" s="525" t="str">
        <f>IF(OR(TH!L877=TH!$Y$7,M877=TH!$Y$7),"x","")</f>
        <v/>
      </c>
      <c r="Z877" s="525" t="str">
        <f>IF(AND(B877&lt;=NKC!$N$8,B877&gt;=NKC!$M$8),"x","")</f>
        <v>x</v>
      </c>
      <c r="AA877" s="535">
        <v>1</v>
      </c>
      <c r="AB877" s="536"/>
    </row>
    <row r="878" spans="1:28" s="503" customFormat="1" ht="15.75" customHeight="1">
      <c r="A878" s="517">
        <f>IF(B878&lt;&gt;"",IF(AND(B878&gt;=_TM1,B878&lt;=_TM2,OR(TH!L878="1111",TH!M878="1111")),TH!D878,""),"")</f>
        <v>0</v>
      </c>
      <c r="B878" s="531">
        <f t="shared" ref="B878:B911" si="103">IF(C878&lt;&gt;"",MONTH(C878),"")</f>
        <v>3</v>
      </c>
      <c r="C878" s="315">
        <f t="shared" ref="C878:C911" si="104">E878</f>
        <v>42825</v>
      </c>
      <c r="D878" s="537"/>
      <c r="E878" s="315">
        <v>42825</v>
      </c>
      <c r="F878" s="249" t="s">
        <v>521</v>
      </c>
      <c r="G878" s="314" t="s">
        <v>607</v>
      </c>
      <c r="H878" s="473" t="s">
        <v>608</v>
      </c>
      <c r="I878" s="307"/>
      <c r="J878" s="307"/>
      <c r="K878" s="532">
        <v>4551327</v>
      </c>
      <c r="L878" s="539" t="s">
        <v>81</v>
      </c>
      <c r="M878" s="539" t="s">
        <v>45</v>
      </c>
      <c r="N878" s="525" t="str">
        <f>IF(AND('331-CT'!$E$7=TH!H878,OR(L878="331",M878="331")),"331",IF(AND(OR(L878="131",M878="131"),H878='131-CT'!$E$7),"131",""))</f>
        <v/>
      </c>
      <c r="O878" s="525" t="str">
        <f>IF(AND($B878&gt;='111'!$N$11,$B878&lt;='111'!$O$11,OR($L878=$O$7,$M878=$O$7)),"x","")</f>
        <v/>
      </c>
      <c r="P878" s="525" t="str">
        <f>IF(AND($L878=$O$7,$B878&lt;'111'!$N$11),"x","")</f>
        <v/>
      </c>
      <c r="Q878" s="525" t="str">
        <f>IF(AND($M878=$O$7,$B878&lt;'111'!$N$11),"x","")</f>
        <v>x</v>
      </c>
      <c r="R878" s="525" t="str">
        <f>IF(ISERROR(FIND('112'!$M$9,G878,1)),"",IF((AND(FIND('112'!$M$9,G878,1)&gt;=1,$B878&gt;='112'!$N$8,$B878&lt;='112'!$O$8,OR($L878='112'!$I$6,$M878='112'!$I$6))),"x",""))</f>
        <v/>
      </c>
      <c r="S878" s="525" t="str">
        <f>IF(ISERROR(FIND('112'!$M$9,G878,1)),"",IF((AND(LEFT(G878,2)=LEFT('112'!$M$9,2),B878&lt;'112'!$N$8,$L878='112'!$I$6)),"x",""))</f>
        <v/>
      </c>
      <c r="T878" s="525" t="str">
        <f>IF(ISERROR(FIND('112'!$M$9,G878,1)),"",IF((AND(RIGHT(G878,2)=RIGHT('112'!$M$9,2),B878&lt;'112'!$N$8,$M878='112'!$I$6)),"x",""))</f>
        <v/>
      </c>
      <c r="U878" s="525" t="str">
        <f>IF(AND(B878&gt;='IN-NX'!$P$3,B878&lt;='IN-NX'!$Q$3,'IN-NX'!$D$7=D878,OR(LEFT(L878,2)="15",AND(LEFT(M878,2)&lt;&gt;"15",LEFT(M878,2)&lt;&gt;"33"))),"x","")</f>
        <v/>
      </c>
      <c r="V878" s="525" t="str">
        <f>IF(AND(OR(LEFT(TH!L878,2)="15",LEFT(TH!M878,2)="15"),'152-CT'!$J$8=TH!F878),"x","")</f>
        <v/>
      </c>
      <c r="W878" s="525" t="str">
        <f>IF(AND(OR(LEFT(TH!L878,2)="15",LEFT(TH!M878,2)="15"),TK!$E$7=TH!F878),"x","")</f>
        <v/>
      </c>
      <c r="X878" s="525" t="str">
        <f>IF(AND('341-CT'!$E$9=H878,OR(LEFT(L878,3)=$X$7,LEFT(M878,3)=$X$7)),"x","")</f>
        <v/>
      </c>
      <c r="Y878" s="525" t="str">
        <f>IF(OR(TH!L878=TH!$Y$7,M878=TH!$Y$7),"x","")</f>
        <v/>
      </c>
      <c r="Z878" s="525" t="str">
        <f>IF(AND(B878&lt;=NKC!$N$8,B878&gt;=NKC!$M$8),"x","")</f>
        <v>x</v>
      </c>
      <c r="AA878" s="535">
        <v>1</v>
      </c>
      <c r="AB878" s="536"/>
    </row>
    <row r="879" spans="1:28" s="503" customFormat="1" ht="15.75" customHeight="1">
      <c r="A879" s="517">
        <f>IF(B879&lt;&gt;"",IF(AND(B879&gt;=_TM1,B879&lt;=_TM2,OR(TH!L879="1111",TH!M879="1111")),TH!D879,""),"")</f>
        <v>0</v>
      </c>
      <c r="B879" s="531">
        <f t="shared" si="103"/>
        <v>3</v>
      </c>
      <c r="C879" s="315">
        <f t="shared" si="104"/>
        <v>42825</v>
      </c>
      <c r="D879" s="537"/>
      <c r="E879" s="315">
        <v>42825</v>
      </c>
      <c r="F879" s="249" t="s">
        <v>522</v>
      </c>
      <c r="G879" s="314" t="s">
        <v>607</v>
      </c>
      <c r="H879" s="473" t="s">
        <v>608</v>
      </c>
      <c r="I879" s="307"/>
      <c r="J879" s="307"/>
      <c r="K879" s="532">
        <v>455133</v>
      </c>
      <c r="L879" s="539" t="s">
        <v>9</v>
      </c>
      <c r="M879" s="539" t="s">
        <v>45</v>
      </c>
      <c r="N879" s="525" t="str">
        <f>IF(AND('331-CT'!$E$7=TH!H879,OR(L879="331",M879="331")),"331",IF(AND(OR(L879="131",M879="131"),H879='131-CT'!$E$7),"131",""))</f>
        <v/>
      </c>
      <c r="O879" s="525" t="str">
        <f>IF(AND($B879&gt;='111'!$N$11,$B879&lt;='111'!$O$11,OR($L879=$O$7,$M879=$O$7)),"x","")</f>
        <v/>
      </c>
      <c r="P879" s="525" t="str">
        <f>IF(AND($L879=$O$7,$B879&lt;'111'!$N$11),"x","")</f>
        <v/>
      </c>
      <c r="Q879" s="525" t="str">
        <f>IF(AND($M879=$O$7,$B879&lt;'111'!$N$11),"x","")</f>
        <v>x</v>
      </c>
      <c r="R879" s="525" t="str">
        <f>IF(ISERROR(FIND('112'!$M$9,G879,1)),"",IF((AND(FIND('112'!$M$9,G879,1)&gt;=1,$B879&gt;='112'!$N$8,$B879&lt;='112'!$O$8,OR($L879='112'!$I$6,$M879='112'!$I$6))),"x",""))</f>
        <v/>
      </c>
      <c r="S879" s="525" t="str">
        <f>IF(ISERROR(FIND('112'!$M$9,G879,1)),"",IF((AND(LEFT(G879,2)=LEFT('112'!$M$9,2),B879&lt;'112'!$N$8,$L879='112'!$I$6)),"x",""))</f>
        <v/>
      </c>
      <c r="T879" s="525" t="str">
        <f>IF(ISERROR(FIND('112'!$M$9,G879,1)),"",IF((AND(RIGHT(G879,2)=RIGHT('112'!$M$9,2),B879&lt;'112'!$N$8,$M879='112'!$I$6)),"x",""))</f>
        <v/>
      </c>
      <c r="U879" s="525" t="str">
        <f>IF(AND(B879&gt;='IN-NX'!$P$3,B879&lt;='IN-NX'!$Q$3,'IN-NX'!$D$7=D879,OR(LEFT(L879,2)="15",AND(LEFT(M879,2)&lt;&gt;"15",LEFT(M879,2)&lt;&gt;"33"))),"x","")</f>
        <v/>
      </c>
      <c r="V879" s="525" t="str">
        <f>IF(AND(OR(LEFT(TH!L879,2)="15",LEFT(TH!M879,2)="15"),'152-CT'!$J$8=TH!F879),"x","")</f>
        <v/>
      </c>
      <c r="W879" s="525" t="str">
        <f>IF(AND(OR(LEFT(TH!L879,2)="15",LEFT(TH!M879,2)="15"),TK!$E$7=TH!F879),"x","")</f>
        <v/>
      </c>
      <c r="X879" s="525" t="str">
        <f>IF(AND('341-CT'!$E$9=H879,OR(LEFT(L879,3)=$X$7,LEFT(M879,3)=$X$7)),"x","")</f>
        <v/>
      </c>
      <c r="Y879" s="525" t="str">
        <f>IF(OR(TH!L879=TH!$Y$7,M879=TH!$Y$7),"x","")</f>
        <v/>
      </c>
      <c r="Z879" s="525" t="str">
        <f>IF(AND(B879&lt;=NKC!$N$8,B879&gt;=NKC!$M$8),"x","")</f>
        <v>x</v>
      </c>
      <c r="AA879" s="535">
        <v>1</v>
      </c>
      <c r="AB879" s="536"/>
    </row>
    <row r="880" spans="1:28" s="503" customFormat="1" ht="15.75" customHeight="1">
      <c r="A880" s="517">
        <f>IF(B880&lt;&gt;"",IF(AND(B880&gt;=_TM1,B880&lt;=_TM2,OR(TH!L880="1111",TH!M880="1111")),TH!D880,""),"")</f>
        <v>0</v>
      </c>
      <c r="B880" s="531">
        <f t="shared" si="103"/>
        <v>3</v>
      </c>
      <c r="C880" s="315">
        <f t="shared" si="104"/>
        <v>42825</v>
      </c>
      <c r="D880" s="537"/>
      <c r="E880" s="315">
        <v>42825</v>
      </c>
      <c r="F880" s="249" t="s">
        <v>867</v>
      </c>
      <c r="G880" s="314"/>
      <c r="H880" s="473"/>
      <c r="I880" s="307"/>
      <c r="J880" s="307"/>
      <c r="K880" s="532">
        <f>ROUND((35000*4+15000*3+10000*9+5000*3)/1.1,0)</f>
        <v>263636</v>
      </c>
      <c r="L880" s="539" t="s">
        <v>81</v>
      </c>
      <c r="M880" s="539" t="s">
        <v>45</v>
      </c>
      <c r="N880" s="525" t="str">
        <f>IF(AND('331-CT'!$E$7=TH!H880,OR(L880="331",M880="331")),"331",IF(AND(OR(L880="131",M880="131"),H880='131-CT'!$E$7),"131",""))</f>
        <v/>
      </c>
      <c r="O880" s="525" t="str">
        <f>IF(AND($B880&gt;='111'!$N$11,$B880&lt;='111'!$O$11,OR($L880=$O$7,$M880=$O$7)),"x","")</f>
        <v/>
      </c>
      <c r="P880" s="525" t="str">
        <f>IF(AND($L880=$O$7,$B880&lt;'111'!$N$11),"x","")</f>
        <v/>
      </c>
      <c r="Q880" s="525" t="str">
        <f>IF(AND($M880=$O$7,$B880&lt;'111'!$N$11),"x","")</f>
        <v>x</v>
      </c>
      <c r="R880" s="525" t="str">
        <f>IF(ISERROR(FIND('112'!$M$9,G880,1)),"",IF((AND(FIND('112'!$M$9,G880,1)&gt;=1,$B880&gt;='112'!$N$8,$B880&lt;='112'!$O$8,OR($L880='112'!$I$6,$M880='112'!$I$6))),"x",""))</f>
        <v/>
      </c>
      <c r="S880" s="525" t="str">
        <f>IF(ISERROR(FIND('112'!$M$9,G880,1)),"",IF((AND(LEFT(G880,2)=LEFT('112'!$M$9,2),B880&lt;'112'!$N$8,$L880='112'!$I$6)),"x",""))</f>
        <v/>
      </c>
      <c r="T880" s="525" t="str">
        <f>IF(ISERROR(FIND('112'!$M$9,G880,1)),"",IF((AND(RIGHT(G880,2)=RIGHT('112'!$M$9,2),B880&lt;'112'!$N$8,$M880='112'!$I$6)),"x",""))</f>
        <v/>
      </c>
      <c r="U880" s="525" t="str">
        <f>IF(AND(B880&gt;='IN-NX'!$P$3,B880&lt;='IN-NX'!$Q$3,'IN-NX'!$D$7=D880,OR(LEFT(L880,2)="15",AND(LEFT(M880,2)&lt;&gt;"15",LEFT(M880,2)&lt;&gt;"33"))),"x","")</f>
        <v/>
      </c>
      <c r="V880" s="525" t="str">
        <f>IF(AND(OR(LEFT(TH!L880,2)="15",LEFT(TH!M880,2)="15"),'152-CT'!$J$8=TH!F880),"x","")</f>
        <v/>
      </c>
      <c r="W880" s="525" t="str">
        <f>IF(AND(OR(LEFT(TH!L880,2)="15",LEFT(TH!M880,2)="15"),TK!$E$7=TH!F880),"x","")</f>
        <v/>
      </c>
      <c r="X880" s="525" t="str">
        <f>IF(AND('341-CT'!$E$9=H880,OR(LEFT(L880,3)=$X$7,LEFT(M880,3)=$X$7)),"x","")</f>
        <v/>
      </c>
      <c r="Y880" s="525" t="str">
        <f>IF(OR(TH!L880=TH!$Y$7,M880=TH!$Y$7),"x","")</f>
        <v/>
      </c>
      <c r="Z880" s="525" t="str">
        <f>IF(AND(B880&lt;=NKC!$N$8,B880&gt;=NKC!$M$8),"x","")</f>
        <v>x</v>
      </c>
      <c r="AA880" s="535">
        <v>1</v>
      </c>
      <c r="AB880" s="536"/>
    </row>
    <row r="881" spans="1:28" s="503" customFormat="1" ht="15.75" customHeight="1">
      <c r="A881" s="517">
        <f>IF(B881&lt;&gt;"",IF(AND(B881&gt;=_TM1,B881&lt;=_TM2,OR(TH!L881="1111",TH!M881="1111")),TH!D881,""),"")</f>
        <v>0</v>
      </c>
      <c r="B881" s="531">
        <f t="shared" si="103"/>
        <v>3</v>
      </c>
      <c r="C881" s="315">
        <f t="shared" si="104"/>
        <v>42825</v>
      </c>
      <c r="D881" s="537"/>
      <c r="E881" s="315">
        <v>42825</v>
      </c>
      <c r="F881" s="249" t="s">
        <v>868</v>
      </c>
      <c r="G881" s="314"/>
      <c r="H881" s="473"/>
      <c r="I881" s="307"/>
      <c r="J881" s="307"/>
      <c r="K881" s="532">
        <v>26364</v>
      </c>
      <c r="L881" s="539" t="s">
        <v>9</v>
      </c>
      <c r="M881" s="539" t="s">
        <v>45</v>
      </c>
      <c r="N881" s="525" t="str">
        <f>IF(AND('331-CT'!$E$7=TH!H881,OR(L881="331",M881="331")),"331",IF(AND(OR(L881="131",M881="131"),H881='131-CT'!$E$7),"131",""))</f>
        <v/>
      </c>
      <c r="O881" s="525" t="str">
        <f>IF(AND($B881&gt;='111'!$N$11,$B881&lt;='111'!$O$11,OR($L881=$O$7,$M881=$O$7)),"x","")</f>
        <v/>
      </c>
      <c r="P881" s="525" t="str">
        <f>IF(AND($L881=$O$7,$B881&lt;'111'!$N$11),"x","")</f>
        <v/>
      </c>
      <c r="Q881" s="525" t="str">
        <f>IF(AND($M881=$O$7,$B881&lt;'111'!$N$11),"x","")</f>
        <v>x</v>
      </c>
      <c r="R881" s="525" t="str">
        <f>IF(ISERROR(FIND('112'!$M$9,G881,1)),"",IF((AND(FIND('112'!$M$9,G881,1)&gt;=1,$B881&gt;='112'!$N$8,$B881&lt;='112'!$O$8,OR($L881='112'!$I$6,$M881='112'!$I$6))),"x",""))</f>
        <v/>
      </c>
      <c r="S881" s="525" t="str">
        <f>IF(ISERROR(FIND('112'!$M$9,G881,1)),"",IF((AND(LEFT(G881,2)=LEFT('112'!$M$9,2),B881&lt;'112'!$N$8,$L881='112'!$I$6)),"x",""))</f>
        <v/>
      </c>
      <c r="T881" s="525" t="str">
        <f>IF(ISERROR(FIND('112'!$M$9,G881,1)),"",IF((AND(RIGHT(G881,2)=RIGHT('112'!$M$9,2),B881&lt;'112'!$N$8,$M881='112'!$I$6)),"x",""))</f>
        <v/>
      </c>
      <c r="U881" s="525" t="str">
        <f>IF(AND(B881&gt;='IN-NX'!$P$3,B881&lt;='IN-NX'!$Q$3,'IN-NX'!$D$7=D881,OR(LEFT(L881,2)="15",AND(LEFT(M881,2)&lt;&gt;"15",LEFT(M881,2)&lt;&gt;"33"))),"x","")</f>
        <v/>
      </c>
      <c r="V881" s="525" t="str">
        <f>IF(AND(OR(LEFT(TH!L881,2)="15",LEFT(TH!M881,2)="15"),'152-CT'!$J$8=TH!F881),"x","")</f>
        <v/>
      </c>
      <c r="W881" s="525" t="str">
        <f>IF(AND(OR(LEFT(TH!L881,2)="15",LEFT(TH!M881,2)="15"),TK!$E$7=TH!F881),"x","")</f>
        <v/>
      </c>
      <c r="X881" s="525" t="str">
        <f>IF(AND('341-CT'!$E$9=H881,OR(LEFT(L881,3)=$X$7,LEFT(M881,3)=$X$7)),"x","")</f>
        <v/>
      </c>
      <c r="Y881" s="525" t="str">
        <f>IF(OR(TH!L881=TH!$Y$7,M881=TH!$Y$7),"x","")</f>
        <v/>
      </c>
      <c r="Z881" s="525" t="str">
        <f>IF(AND(B881&lt;=NKC!$N$8,B881&gt;=NKC!$M$8),"x","")</f>
        <v>x</v>
      </c>
      <c r="AA881" s="535">
        <v>1</v>
      </c>
      <c r="AB881" s="536"/>
    </row>
    <row r="882" spans="1:28" s="503" customFormat="1" ht="15.75" customHeight="1">
      <c r="A882" s="517" t="str">
        <f>IF(B882&lt;&gt;"",IF(AND(B882&gt;=_TM1,B882&lt;=_TM2,OR(TH!L882="1111",TH!M882="1111")),TH!D882,""),"")</f>
        <v/>
      </c>
      <c r="B882" s="531">
        <f t="shared" si="103"/>
        <v>4</v>
      </c>
      <c r="C882" s="315">
        <f t="shared" si="104"/>
        <v>42826</v>
      </c>
      <c r="D882" s="537"/>
      <c r="E882" s="315">
        <v>42826</v>
      </c>
      <c r="F882" s="249" t="s">
        <v>1202</v>
      </c>
      <c r="G882" s="314" t="s">
        <v>1212</v>
      </c>
      <c r="H882" s="473" t="s">
        <v>863</v>
      </c>
      <c r="I882" s="307"/>
      <c r="J882" s="307"/>
      <c r="K882" s="532">
        <f>163200+9314</f>
        <v>172514</v>
      </c>
      <c r="L882" s="539" t="s">
        <v>81</v>
      </c>
      <c r="M882" s="539" t="s">
        <v>45</v>
      </c>
      <c r="N882" s="525" t="str">
        <f>IF(AND('331-CT'!$E$7=TH!H882,OR(L882="331",M882="331")),"331",IF(AND(OR(L882="131",M882="131"),H882='131-CT'!$E$7),"131",""))</f>
        <v/>
      </c>
      <c r="O882" s="525" t="str">
        <f>IF(AND($B882&gt;='111'!$N$11,$B882&lt;='111'!$O$11,OR($L882=$O$7,$M882=$O$7)),"x","")</f>
        <v/>
      </c>
      <c r="P882" s="525" t="str">
        <f>IF(AND($L882=$O$7,$B882&lt;'111'!$N$11),"x","")</f>
        <v/>
      </c>
      <c r="Q882" s="525" t="str">
        <f>IF(AND($M882=$O$7,$B882&lt;'111'!$N$11),"x","")</f>
        <v>x</v>
      </c>
      <c r="R882" s="525" t="str">
        <f>IF(ISERROR(FIND('112'!$M$9,G882,1)),"",IF((AND(FIND('112'!$M$9,G882,1)&gt;=1,$B882&gt;='112'!$N$8,$B882&lt;='112'!$O$8,OR($L882='112'!$I$6,$M882='112'!$I$6))),"x",""))</f>
        <v/>
      </c>
      <c r="S882" s="525" t="str">
        <f>IF(ISERROR(FIND('112'!$M$9,G882,1)),"",IF((AND(LEFT(G882,2)=LEFT('112'!$M$9,2),B882&lt;'112'!$N$8,$L882='112'!$I$6)),"x",""))</f>
        <v/>
      </c>
      <c r="T882" s="525" t="str">
        <f>IF(ISERROR(FIND('112'!$M$9,G882,1)),"",IF((AND(RIGHT(G882,2)=RIGHT('112'!$M$9,2),B882&lt;'112'!$N$8,$M882='112'!$I$6)),"x",""))</f>
        <v/>
      </c>
      <c r="U882" s="525" t="str">
        <f>IF(AND(B882&gt;='IN-NX'!$P$3,B882&lt;='IN-NX'!$Q$3,'IN-NX'!$D$7=D882,OR(LEFT(L882,2)="15",AND(LEFT(M882,2)&lt;&gt;"15",LEFT(M882,2)&lt;&gt;"33"))),"x","")</f>
        <v/>
      </c>
      <c r="V882" s="525" t="str">
        <f>IF(AND(OR(LEFT(TH!L882,2)="15",LEFT(TH!M882,2)="15"),'152-CT'!$J$8=TH!F882),"x","")</f>
        <v/>
      </c>
      <c r="W882" s="525" t="str">
        <f>IF(AND(OR(LEFT(TH!L882,2)="15",LEFT(TH!M882,2)="15"),TK!$E$7=TH!F882),"x","")</f>
        <v/>
      </c>
      <c r="X882" s="525" t="str">
        <f>IF(AND('341-CT'!$E$9=H882,OR(LEFT(L882,3)=$X$7,LEFT(M882,3)=$X$7)),"x","")</f>
        <v/>
      </c>
      <c r="Y882" s="525" t="str">
        <f>IF(OR(TH!L882=TH!$Y$7,M882=TH!$Y$7),"x","")</f>
        <v/>
      </c>
      <c r="Z882" s="525" t="str">
        <f>IF(AND(B882&lt;=NKC!$N$8,B882&gt;=NKC!$M$8),"x","")</f>
        <v/>
      </c>
      <c r="AA882" s="535">
        <v>2</v>
      </c>
      <c r="AB882" s="536"/>
    </row>
    <row r="883" spans="1:28" s="503" customFormat="1" ht="15.75" customHeight="1">
      <c r="A883" s="517" t="str">
        <f>IF(B883&lt;&gt;"",IF(AND(B883&gt;=_TM1,B883&lt;=_TM2,OR(TH!L883="1111",TH!M883="1111")),TH!D883,""),"")</f>
        <v/>
      </c>
      <c r="B883" s="531">
        <f t="shared" si="103"/>
        <v>4</v>
      </c>
      <c r="C883" s="315">
        <f t="shared" si="104"/>
        <v>42826</v>
      </c>
      <c r="D883" s="537"/>
      <c r="E883" s="315">
        <v>42826</v>
      </c>
      <c r="F883" s="249" t="s">
        <v>1201</v>
      </c>
      <c r="G883" s="314" t="s">
        <v>1212</v>
      </c>
      <c r="H883" s="473" t="s">
        <v>863</v>
      </c>
      <c r="I883" s="307"/>
      <c r="J883" s="307"/>
      <c r="K883" s="532">
        <f>16320+931</f>
        <v>17251</v>
      </c>
      <c r="L883" s="588" t="s">
        <v>9</v>
      </c>
      <c r="M883" s="539" t="s">
        <v>45</v>
      </c>
      <c r="N883" s="525" t="str">
        <f>IF(AND('331-CT'!$E$7=TH!H883,OR(L883="331",M883="331")),"331",IF(AND(OR(L883="131",M883="131"),H883='131-CT'!$E$7),"131",""))</f>
        <v/>
      </c>
      <c r="O883" s="525" t="str">
        <f>IF(AND($B883&gt;='111'!$N$11,$B883&lt;='111'!$O$11,OR($L883=$O$7,$M883=$O$7)),"x","")</f>
        <v/>
      </c>
      <c r="P883" s="525" t="str">
        <f>IF(AND($L883=$O$7,$B883&lt;'111'!$N$11),"x","")</f>
        <v/>
      </c>
      <c r="Q883" s="525" t="str">
        <f>IF(AND($M883=$O$7,$B883&lt;'111'!$N$11),"x","")</f>
        <v>x</v>
      </c>
      <c r="R883" s="525" t="str">
        <f>IF(ISERROR(FIND('112'!$M$9,G883,1)),"",IF((AND(FIND('112'!$M$9,G883,1)&gt;=1,$B883&gt;='112'!$N$8,$B883&lt;='112'!$O$8,OR($L883='112'!$I$6,$M883='112'!$I$6))),"x",""))</f>
        <v/>
      </c>
      <c r="S883" s="525" t="str">
        <f>IF(ISERROR(FIND('112'!$M$9,G883,1)),"",IF((AND(LEFT(G883,2)=LEFT('112'!$M$9,2),B883&lt;'112'!$N$8,$L883='112'!$I$6)),"x",""))</f>
        <v/>
      </c>
      <c r="T883" s="525" t="str">
        <f>IF(ISERROR(FIND('112'!$M$9,G883,1)),"",IF((AND(RIGHT(G883,2)=RIGHT('112'!$M$9,2),B883&lt;'112'!$N$8,$M883='112'!$I$6)),"x",""))</f>
        <v/>
      </c>
      <c r="U883" s="525" t="str">
        <f>IF(AND(B883&gt;='IN-NX'!$P$3,B883&lt;='IN-NX'!$Q$3,'IN-NX'!$D$7=D883,OR(LEFT(L883,2)="15",AND(LEFT(M883,2)&lt;&gt;"15",LEFT(M883,2)&lt;&gt;"33"))),"x","")</f>
        <v/>
      </c>
      <c r="V883" s="525" t="str">
        <f>IF(AND(OR(LEFT(TH!L883,2)="15",LEFT(TH!M883,2)="15"),'152-CT'!$J$8=TH!F883),"x","")</f>
        <v/>
      </c>
      <c r="W883" s="525" t="str">
        <f>IF(AND(OR(LEFT(TH!L883,2)="15",LEFT(TH!M883,2)="15"),TK!$E$7=TH!F883),"x","")</f>
        <v/>
      </c>
      <c r="X883" s="525" t="str">
        <f>IF(AND('341-CT'!$E$9=H883,OR(LEFT(L883,3)=$X$7,LEFT(M883,3)=$X$7)),"x","")</f>
        <v/>
      </c>
      <c r="Y883" s="525" t="str">
        <f>IF(OR(TH!L883=TH!$Y$7,M883=TH!$Y$7),"x","")</f>
        <v/>
      </c>
      <c r="Z883" s="525" t="str">
        <f>IF(AND(B883&lt;=NKC!$N$8,B883&gt;=NKC!$M$8),"x","")</f>
        <v/>
      </c>
      <c r="AA883" s="535">
        <v>2</v>
      </c>
      <c r="AB883" s="536"/>
    </row>
    <row r="884" spans="1:28" s="503" customFormat="1" ht="15.75" customHeight="1">
      <c r="A884" s="517" t="str">
        <f>IF(B884&lt;&gt;"",IF(AND(B884&gt;=_TM1,B884&lt;=_TM2,OR(TH!L884="1111",TH!M884="1111")),TH!D884,""),"")</f>
        <v/>
      </c>
      <c r="B884" s="531">
        <f t="shared" si="103"/>
        <v>4</v>
      </c>
      <c r="C884" s="315">
        <f t="shared" si="104"/>
        <v>42829</v>
      </c>
      <c r="D884" s="537"/>
      <c r="E884" s="315">
        <v>42829</v>
      </c>
      <c r="F884" s="249" t="s">
        <v>1198</v>
      </c>
      <c r="G884" s="314" t="s">
        <v>1215</v>
      </c>
      <c r="H884" s="473" t="s">
        <v>852</v>
      </c>
      <c r="I884" s="307"/>
      <c r="J884" s="307"/>
      <c r="K884" s="532">
        <f>401767+284609+407097</f>
        <v>1093473</v>
      </c>
      <c r="L884" s="539" t="s">
        <v>81</v>
      </c>
      <c r="M884" s="539" t="s">
        <v>45</v>
      </c>
      <c r="N884" s="525" t="str">
        <f>IF(AND('331-CT'!$E$7=TH!H884,OR(L884="331",M884="331")),"331",IF(AND(OR(L884="131",M884="131"),H884='131-CT'!$E$7),"131",""))</f>
        <v/>
      </c>
      <c r="O884" s="525" t="str">
        <f>IF(AND($B884&gt;='111'!$N$11,$B884&lt;='111'!$O$11,OR($L884=$O$7,$M884=$O$7)),"x","")</f>
        <v/>
      </c>
      <c r="P884" s="525" t="str">
        <f>IF(AND($L884=$O$7,$B884&lt;'111'!$N$11),"x","")</f>
        <v/>
      </c>
      <c r="Q884" s="525" t="str">
        <f>IF(AND($M884=$O$7,$B884&lt;'111'!$N$11),"x","")</f>
        <v>x</v>
      </c>
      <c r="R884" s="525" t="str">
        <f>IF(ISERROR(FIND('112'!$M$9,G884,1)),"",IF((AND(FIND('112'!$M$9,G884,1)&gt;=1,$B884&gt;='112'!$N$8,$B884&lt;='112'!$O$8,OR($L884='112'!$I$6,$M884='112'!$I$6))),"x",""))</f>
        <v/>
      </c>
      <c r="S884" s="525" t="str">
        <f>IF(ISERROR(FIND('112'!$M$9,G884,1)),"",IF((AND(LEFT(G884,2)=LEFT('112'!$M$9,2),B884&lt;'112'!$N$8,$L884='112'!$I$6)),"x",""))</f>
        <v/>
      </c>
      <c r="T884" s="525" t="str">
        <f>IF(ISERROR(FIND('112'!$M$9,G884,1)),"",IF((AND(RIGHT(G884,2)=RIGHT('112'!$M$9,2),B884&lt;'112'!$N$8,$M884='112'!$I$6)),"x",""))</f>
        <v/>
      </c>
      <c r="U884" s="525" t="str">
        <f>IF(AND(B884&gt;='IN-NX'!$P$3,B884&lt;='IN-NX'!$Q$3,'IN-NX'!$D$7=D884,OR(LEFT(L884,2)="15",AND(LEFT(M884,2)&lt;&gt;"15",LEFT(M884,2)&lt;&gt;"33"))),"x","")</f>
        <v/>
      </c>
      <c r="V884" s="525" t="str">
        <f>IF(AND(OR(LEFT(TH!L884,2)="15",LEFT(TH!M884,2)="15"),'152-CT'!$J$8=TH!F884),"x","")</f>
        <v/>
      </c>
      <c r="W884" s="525" t="str">
        <f>IF(AND(OR(LEFT(TH!L884,2)="15",LEFT(TH!M884,2)="15"),TK!$E$7=TH!F884),"x","")</f>
        <v/>
      </c>
      <c r="X884" s="525" t="str">
        <f>IF(AND('341-CT'!$E$9=H884,OR(LEFT(L884,3)=$X$7,LEFT(M884,3)=$X$7)),"x","")</f>
        <v/>
      </c>
      <c r="Y884" s="525" t="str">
        <f>IF(OR(TH!L884=TH!$Y$7,M884=TH!$Y$7),"x","")</f>
        <v/>
      </c>
      <c r="Z884" s="525" t="str">
        <f>IF(AND(B884&lt;=NKC!$N$8,B884&gt;=NKC!$M$8),"x","")</f>
        <v/>
      </c>
      <c r="AA884" s="535">
        <v>2</v>
      </c>
      <c r="AB884" s="536"/>
    </row>
    <row r="885" spans="1:28" s="503" customFormat="1" ht="15.75" customHeight="1">
      <c r="A885" s="517" t="str">
        <f>IF(B885&lt;&gt;"",IF(AND(B885&gt;=_TM1,B885&lt;=_TM2,OR(TH!L885="1111",TH!M885="1111")),TH!D885,""),"")</f>
        <v/>
      </c>
      <c r="B885" s="531">
        <f t="shared" si="103"/>
        <v>4</v>
      </c>
      <c r="C885" s="315">
        <f t="shared" si="104"/>
        <v>42829</v>
      </c>
      <c r="D885" s="537"/>
      <c r="E885" s="315">
        <v>42829</v>
      </c>
      <c r="F885" s="249" t="s">
        <v>853</v>
      </c>
      <c r="G885" s="314" t="s">
        <v>1215</v>
      </c>
      <c r="H885" s="473" t="s">
        <v>852</v>
      </c>
      <c r="I885" s="307"/>
      <c r="J885" s="307"/>
      <c r="K885" s="532">
        <f>40177+28461+40710</f>
        <v>109348</v>
      </c>
      <c r="L885" s="588" t="s">
        <v>9</v>
      </c>
      <c r="M885" s="539" t="s">
        <v>45</v>
      </c>
      <c r="N885" s="525" t="str">
        <f>IF(AND('331-CT'!$E$7=TH!H885,OR(L885="331",M885="331")),"331",IF(AND(OR(L885="131",M885="131"),H885='131-CT'!$E$7),"131",""))</f>
        <v/>
      </c>
      <c r="O885" s="525" t="str">
        <f>IF(AND($B885&gt;='111'!$N$11,$B885&lt;='111'!$O$11,OR($L885=$O$7,$M885=$O$7)),"x","")</f>
        <v/>
      </c>
      <c r="P885" s="525" t="str">
        <f>IF(AND($L885=$O$7,$B885&lt;'111'!$N$11),"x","")</f>
        <v/>
      </c>
      <c r="Q885" s="525" t="str">
        <f>IF(AND($M885=$O$7,$B885&lt;'111'!$N$11),"x","")</f>
        <v>x</v>
      </c>
      <c r="R885" s="525" t="str">
        <f>IF(ISERROR(FIND('112'!$M$9,G885,1)),"",IF((AND(FIND('112'!$M$9,G885,1)&gt;=1,$B885&gt;='112'!$N$8,$B885&lt;='112'!$O$8,OR($L885='112'!$I$6,$M885='112'!$I$6))),"x",""))</f>
        <v/>
      </c>
      <c r="S885" s="525" t="str">
        <f>IF(ISERROR(FIND('112'!$M$9,G885,1)),"",IF((AND(LEFT(G885,2)=LEFT('112'!$M$9,2),B885&lt;'112'!$N$8,$L885='112'!$I$6)),"x",""))</f>
        <v/>
      </c>
      <c r="T885" s="525" t="str">
        <f>IF(ISERROR(FIND('112'!$M$9,G885,1)),"",IF((AND(RIGHT(G885,2)=RIGHT('112'!$M$9,2),B885&lt;'112'!$N$8,$M885='112'!$I$6)),"x",""))</f>
        <v/>
      </c>
      <c r="U885" s="525" t="str">
        <f>IF(AND(B885&gt;='IN-NX'!$P$3,B885&lt;='IN-NX'!$Q$3,'IN-NX'!$D$7=D885,OR(LEFT(L885,2)="15",AND(LEFT(M885,2)&lt;&gt;"15",LEFT(M885,2)&lt;&gt;"33"))),"x","")</f>
        <v/>
      </c>
      <c r="V885" s="525" t="str">
        <f>IF(AND(OR(LEFT(TH!L885,2)="15",LEFT(TH!M885,2)="15"),'152-CT'!$J$8=TH!F885),"x","")</f>
        <v/>
      </c>
      <c r="W885" s="525" t="str">
        <f>IF(AND(OR(LEFT(TH!L885,2)="15",LEFT(TH!M885,2)="15"),TK!$E$7=TH!F885),"x","")</f>
        <v/>
      </c>
      <c r="X885" s="525" t="str">
        <f>IF(AND('341-CT'!$E$9=H885,OR(LEFT(L885,3)=$X$7,LEFT(M885,3)=$X$7)),"x","")</f>
        <v/>
      </c>
      <c r="Y885" s="525" t="str">
        <f>IF(OR(TH!L885=TH!$Y$7,M885=TH!$Y$7),"x","")</f>
        <v/>
      </c>
      <c r="Z885" s="525" t="str">
        <f>IF(AND(B885&lt;=NKC!$N$8,B885&gt;=NKC!$M$8),"x","")</f>
        <v/>
      </c>
      <c r="AA885" s="535">
        <v>2</v>
      </c>
      <c r="AB885" s="536"/>
    </row>
    <row r="886" spans="1:28" s="503" customFormat="1" ht="15.75" customHeight="1">
      <c r="A886" s="517" t="str">
        <f>IF(B886&lt;&gt;"",IF(AND(B886&gt;=_TM1,B886&lt;=_TM2,OR(TH!L886="1111",TH!M886="1111")),TH!D886,""),"")</f>
        <v/>
      </c>
      <c r="B886" s="531">
        <f t="shared" ref="B886:B887" si="105">IF(C886&lt;&gt;"",MONTH(C886),"")</f>
        <v>4</v>
      </c>
      <c r="C886" s="315">
        <f t="shared" ref="C886:C887" si="106">E886</f>
        <v>42849</v>
      </c>
      <c r="D886" s="537"/>
      <c r="E886" s="315">
        <v>42849</v>
      </c>
      <c r="F886" s="249" t="s">
        <v>521</v>
      </c>
      <c r="G886" s="314" t="s">
        <v>1284</v>
      </c>
      <c r="H886" s="473" t="s">
        <v>1285</v>
      </c>
      <c r="I886" s="307"/>
      <c r="J886" s="307"/>
      <c r="K886" s="532">
        <v>909091</v>
      </c>
      <c r="L886" s="539" t="s">
        <v>81</v>
      </c>
      <c r="M886" s="539" t="s">
        <v>45</v>
      </c>
      <c r="N886" s="525" t="str">
        <f>IF(AND('331-CT'!$E$7=TH!H886,OR(L886="331",M886="331")),"331",IF(AND(OR(L886="131",M886="131"),H886='131-CT'!$E$7),"131",""))</f>
        <v/>
      </c>
      <c r="O886" s="525" t="str">
        <f>IF(AND($B886&gt;='111'!$N$11,$B886&lt;='111'!$O$11,OR($L886=$O$7,$M886=$O$7)),"x","")</f>
        <v/>
      </c>
      <c r="P886" s="525" t="str">
        <f>IF(AND($L886=$O$7,$B886&lt;'111'!$N$11),"x","")</f>
        <v/>
      </c>
      <c r="Q886" s="525" t="str">
        <f>IF(AND($M886=$O$7,$B886&lt;'111'!$N$11),"x","")</f>
        <v>x</v>
      </c>
      <c r="R886" s="525" t="str">
        <f>IF(ISERROR(FIND('112'!$M$9,G886,1)),"",IF((AND(FIND('112'!$M$9,G886,1)&gt;=1,$B886&gt;='112'!$N$8,$B886&lt;='112'!$O$8,OR($L886='112'!$I$6,$M886='112'!$I$6))),"x",""))</f>
        <v/>
      </c>
      <c r="S886" s="525" t="str">
        <f>IF(ISERROR(FIND('112'!$M$9,G886,1)),"",IF((AND(LEFT(G886,2)=LEFT('112'!$M$9,2),B886&lt;'112'!$N$8,$L886='112'!$I$6)),"x",""))</f>
        <v/>
      </c>
      <c r="T886" s="525" t="str">
        <f>IF(ISERROR(FIND('112'!$M$9,G886,1)),"",IF((AND(RIGHT(G886,2)=RIGHT('112'!$M$9,2),B886&lt;'112'!$N$8,$M886='112'!$I$6)),"x",""))</f>
        <v/>
      </c>
      <c r="U886" s="525" t="str">
        <f>IF(AND(B886&gt;='IN-NX'!$P$3,B886&lt;='IN-NX'!$Q$3,'IN-NX'!$D$7=D886,OR(LEFT(L886,2)="15",AND(LEFT(M886,2)&lt;&gt;"15",LEFT(M886,2)&lt;&gt;"33"))),"x","")</f>
        <v/>
      </c>
      <c r="V886" s="525" t="str">
        <f>IF(AND(OR(LEFT(TH!L886,2)="15",LEFT(TH!M886,2)="15"),'152-CT'!$J$8=TH!F886),"x","")</f>
        <v/>
      </c>
      <c r="W886" s="525" t="str">
        <f>IF(AND(OR(LEFT(TH!L886,2)="15",LEFT(TH!M886,2)="15"),TK!$E$7=TH!F886),"x","")</f>
        <v/>
      </c>
      <c r="X886" s="525" t="str">
        <f>IF(AND('341-CT'!$E$9=H886,OR(LEFT(L886,3)=$X$7,LEFT(M886,3)=$X$7)),"x","")</f>
        <v/>
      </c>
      <c r="Y886" s="525" t="str">
        <f>IF(OR(TH!L886=TH!$Y$7,M886=TH!$Y$7),"x","")</f>
        <v/>
      </c>
      <c r="Z886" s="525" t="str">
        <f>IF(AND(B886&lt;=NKC!$N$8,B886&gt;=NKC!$M$8),"x","")</f>
        <v/>
      </c>
      <c r="AA886" s="535">
        <v>2</v>
      </c>
      <c r="AB886" s="536"/>
    </row>
    <row r="887" spans="1:28" s="503" customFormat="1" ht="15.75" customHeight="1">
      <c r="A887" s="517" t="str">
        <f>IF(B887&lt;&gt;"",IF(AND(B887&gt;=_TM1,B887&lt;=_TM2,OR(TH!L887="1111",TH!M887="1111")),TH!D887,""),"")</f>
        <v/>
      </c>
      <c r="B887" s="531">
        <f t="shared" si="105"/>
        <v>4</v>
      </c>
      <c r="C887" s="315">
        <f t="shared" si="106"/>
        <v>42849</v>
      </c>
      <c r="D887" s="537"/>
      <c r="E887" s="315">
        <v>42849</v>
      </c>
      <c r="F887" s="249" t="s">
        <v>522</v>
      </c>
      <c r="G887" s="314" t="s">
        <v>1284</v>
      </c>
      <c r="H887" s="473" t="s">
        <v>1285</v>
      </c>
      <c r="I887" s="307"/>
      <c r="J887" s="307"/>
      <c r="K887" s="532">
        <v>90909</v>
      </c>
      <c r="L887" s="539" t="s">
        <v>9</v>
      </c>
      <c r="M887" s="539" t="s">
        <v>45</v>
      </c>
      <c r="N887" s="525" t="str">
        <f>IF(AND('331-CT'!$E$7=TH!H887,OR(L887="331",M887="331")),"331",IF(AND(OR(L887="131",M887="131"),H887='131-CT'!$E$7),"131",""))</f>
        <v/>
      </c>
      <c r="O887" s="525" t="str">
        <f>IF(AND($B887&gt;='111'!$N$11,$B887&lt;='111'!$O$11,OR($L887=$O$7,$M887=$O$7)),"x","")</f>
        <v/>
      </c>
      <c r="P887" s="525" t="str">
        <f>IF(AND($L887=$O$7,$B887&lt;'111'!$N$11),"x","")</f>
        <v/>
      </c>
      <c r="Q887" s="525" t="str">
        <f>IF(AND($M887=$O$7,$B887&lt;'111'!$N$11),"x","")</f>
        <v>x</v>
      </c>
      <c r="R887" s="525" t="str">
        <f>IF(ISERROR(FIND('112'!$M$9,G887,1)),"",IF((AND(FIND('112'!$M$9,G887,1)&gt;=1,$B887&gt;='112'!$N$8,$B887&lt;='112'!$O$8,OR($L887='112'!$I$6,$M887='112'!$I$6))),"x",""))</f>
        <v/>
      </c>
      <c r="S887" s="525" t="str">
        <f>IF(ISERROR(FIND('112'!$M$9,G887,1)),"",IF((AND(LEFT(G887,2)=LEFT('112'!$M$9,2),B887&lt;'112'!$N$8,$L887='112'!$I$6)),"x",""))</f>
        <v/>
      </c>
      <c r="T887" s="525" t="str">
        <f>IF(ISERROR(FIND('112'!$M$9,G887,1)),"",IF((AND(RIGHT(G887,2)=RIGHT('112'!$M$9,2),B887&lt;'112'!$N$8,$M887='112'!$I$6)),"x",""))</f>
        <v/>
      </c>
      <c r="U887" s="525" t="str">
        <f>IF(AND(B887&gt;='IN-NX'!$P$3,B887&lt;='IN-NX'!$Q$3,'IN-NX'!$D$7=D887,OR(LEFT(L887,2)="15",AND(LEFT(M887,2)&lt;&gt;"15",LEFT(M887,2)&lt;&gt;"33"))),"x","")</f>
        <v/>
      </c>
      <c r="V887" s="525" t="str">
        <f>IF(AND(OR(LEFT(TH!L887,2)="15",LEFT(TH!M887,2)="15"),'152-CT'!$J$8=TH!F887),"x","")</f>
        <v/>
      </c>
      <c r="W887" s="525" t="str">
        <f>IF(AND(OR(LEFT(TH!L887,2)="15",LEFT(TH!M887,2)="15"),TK!$E$7=TH!F887),"x","")</f>
        <v/>
      </c>
      <c r="X887" s="525" t="str">
        <f>IF(AND('341-CT'!$E$9=H887,OR(LEFT(L887,3)=$X$7,LEFT(M887,3)=$X$7)),"x","")</f>
        <v/>
      </c>
      <c r="Y887" s="525" t="str">
        <f>IF(OR(TH!L887=TH!$Y$7,M887=TH!$Y$7),"x","")</f>
        <v/>
      </c>
      <c r="Z887" s="525" t="str">
        <f>IF(AND(B887&lt;=NKC!$N$8,B887&gt;=NKC!$M$8),"x","")</f>
        <v/>
      </c>
      <c r="AA887" s="535">
        <v>2</v>
      </c>
      <c r="AB887" s="536"/>
    </row>
    <row r="888" spans="1:28" s="503" customFormat="1" ht="15.75" customHeight="1">
      <c r="A888" s="517" t="str">
        <f>IF(B888&lt;&gt;"",IF(AND(B888&gt;=_TM1,B888&lt;=_TM2,OR(TH!L888="1111",TH!M888="1111")),TH!D888,""),"")</f>
        <v/>
      </c>
      <c r="B888" s="531">
        <f t="shared" si="103"/>
        <v>4</v>
      </c>
      <c r="C888" s="315">
        <f t="shared" si="104"/>
        <v>42853</v>
      </c>
      <c r="D888" s="537"/>
      <c r="E888" s="315">
        <v>42853</v>
      </c>
      <c r="F888" s="249" t="s">
        <v>1117</v>
      </c>
      <c r="G888" s="314" t="s">
        <v>1119</v>
      </c>
      <c r="H888" s="473" t="s">
        <v>1120</v>
      </c>
      <c r="I888" s="307"/>
      <c r="J888" s="307"/>
      <c r="K888" s="532">
        <v>4581801</v>
      </c>
      <c r="L888" s="539" t="s">
        <v>81</v>
      </c>
      <c r="M888" s="539" t="s">
        <v>45</v>
      </c>
      <c r="N888" s="525" t="str">
        <f>IF(AND('331-CT'!$E$7=TH!H888,OR(L888="331",M888="331")),"331",IF(AND(OR(L888="131",M888="131"),H888='131-CT'!$E$7),"131",""))</f>
        <v/>
      </c>
      <c r="O888" s="525" t="str">
        <f>IF(AND($B888&gt;='111'!$N$11,$B888&lt;='111'!$O$11,OR($L888=$O$7,$M888=$O$7)),"x","")</f>
        <v/>
      </c>
      <c r="P888" s="525" t="str">
        <f>IF(AND($L888=$O$7,$B888&lt;'111'!$N$11),"x","")</f>
        <v/>
      </c>
      <c r="Q888" s="525" t="str">
        <f>IF(AND($M888=$O$7,$B888&lt;'111'!$N$11),"x","")</f>
        <v>x</v>
      </c>
      <c r="R888" s="525" t="str">
        <f>IF(ISERROR(FIND('112'!$M$9,G888,1)),"",IF((AND(FIND('112'!$M$9,G888,1)&gt;=1,$B888&gt;='112'!$N$8,$B888&lt;='112'!$O$8,OR($L888='112'!$I$6,$M888='112'!$I$6))),"x",""))</f>
        <v/>
      </c>
      <c r="S888" s="525" t="str">
        <f>IF(ISERROR(FIND('112'!$M$9,G888,1)),"",IF((AND(LEFT(G888,2)=LEFT('112'!$M$9,2),B888&lt;'112'!$N$8,$L888='112'!$I$6)),"x",""))</f>
        <v/>
      </c>
      <c r="T888" s="525" t="str">
        <f>IF(ISERROR(FIND('112'!$M$9,G888,1)),"",IF((AND(RIGHT(G888,2)=RIGHT('112'!$M$9,2),B888&lt;'112'!$N$8,$M888='112'!$I$6)),"x",""))</f>
        <v/>
      </c>
      <c r="U888" s="525" t="str">
        <f>IF(AND(B888&gt;='IN-NX'!$P$3,B888&lt;='IN-NX'!$Q$3,'IN-NX'!$D$7=D888,OR(LEFT(L888,2)="15",AND(LEFT(M888,2)&lt;&gt;"15",LEFT(M888,2)&lt;&gt;"33"))),"x","")</f>
        <v/>
      </c>
      <c r="V888" s="525" t="str">
        <f>IF(AND(OR(LEFT(TH!L888,2)="15",LEFT(TH!M888,2)="15"),'152-CT'!$J$8=TH!F888),"x","")</f>
        <v/>
      </c>
      <c r="W888" s="525" t="str">
        <f>IF(AND(OR(LEFT(TH!L888,2)="15",LEFT(TH!M888,2)="15"),TK!$E$7=TH!F888),"x","")</f>
        <v/>
      </c>
      <c r="X888" s="525" t="str">
        <f>IF(AND('341-CT'!$E$9=H888,OR(LEFT(L888,3)=$X$7,LEFT(M888,3)=$X$7)),"x","")</f>
        <v/>
      </c>
      <c r="Y888" s="525" t="str">
        <f>IF(OR(TH!L888=TH!$Y$7,M888=TH!$Y$7),"x","")</f>
        <v/>
      </c>
      <c r="Z888" s="525" t="str">
        <f>IF(AND(B888&lt;=NKC!$N$8,B888&gt;=NKC!$M$8),"x","")</f>
        <v/>
      </c>
      <c r="AA888" s="535">
        <v>2</v>
      </c>
      <c r="AB888" s="536"/>
    </row>
    <row r="889" spans="1:28" s="503" customFormat="1" ht="15.75" customHeight="1">
      <c r="A889" s="517" t="str">
        <f>IF(B889&lt;&gt;"",IF(AND(B889&gt;=_TM1,B889&lt;=_TM2,OR(TH!L889="1111",TH!M889="1111")),TH!D889,""),"")</f>
        <v/>
      </c>
      <c r="B889" s="531">
        <f t="shared" si="103"/>
        <v>4</v>
      </c>
      <c r="C889" s="315">
        <f t="shared" si="104"/>
        <v>42853</v>
      </c>
      <c r="D889" s="537"/>
      <c r="E889" s="315">
        <v>42853</v>
      </c>
      <c r="F889" s="249" t="s">
        <v>1118</v>
      </c>
      <c r="G889" s="314" t="s">
        <v>1119</v>
      </c>
      <c r="H889" s="473" t="s">
        <v>1120</v>
      </c>
      <c r="I889" s="307"/>
      <c r="J889" s="307"/>
      <c r="K889" s="532">
        <v>458180</v>
      </c>
      <c r="L889" s="539" t="s">
        <v>9</v>
      </c>
      <c r="M889" s="539" t="s">
        <v>45</v>
      </c>
      <c r="N889" s="525" t="str">
        <f>IF(AND('331-CT'!$E$7=TH!H889,OR(L889="331",M889="331")),"331",IF(AND(OR(L889="131",M889="131"),H889='131-CT'!$E$7),"131",""))</f>
        <v/>
      </c>
      <c r="O889" s="525" t="str">
        <f>IF(AND($B889&gt;='111'!$N$11,$B889&lt;='111'!$O$11,OR($L889=$O$7,$M889=$O$7)),"x","")</f>
        <v/>
      </c>
      <c r="P889" s="525" t="str">
        <f>IF(AND($L889=$O$7,$B889&lt;'111'!$N$11),"x","")</f>
        <v/>
      </c>
      <c r="Q889" s="525" t="str">
        <f>IF(AND($M889=$O$7,$B889&lt;'111'!$N$11),"x","")</f>
        <v>x</v>
      </c>
      <c r="R889" s="525" t="str">
        <f>IF(ISERROR(FIND('112'!$M$9,G889,1)),"",IF((AND(FIND('112'!$M$9,G889,1)&gt;=1,$B889&gt;='112'!$N$8,$B889&lt;='112'!$O$8,OR($L889='112'!$I$6,$M889='112'!$I$6))),"x",""))</f>
        <v/>
      </c>
      <c r="S889" s="525" t="str">
        <f>IF(ISERROR(FIND('112'!$M$9,G889,1)),"",IF((AND(LEFT(G889,2)=LEFT('112'!$M$9,2),B889&lt;'112'!$N$8,$L889='112'!$I$6)),"x",""))</f>
        <v/>
      </c>
      <c r="T889" s="525" t="str">
        <f>IF(ISERROR(FIND('112'!$M$9,G889,1)),"",IF((AND(RIGHT(G889,2)=RIGHT('112'!$M$9,2),B889&lt;'112'!$N$8,$M889='112'!$I$6)),"x",""))</f>
        <v/>
      </c>
      <c r="U889" s="525" t="str">
        <f>IF(AND(B889&gt;='IN-NX'!$P$3,B889&lt;='IN-NX'!$Q$3,'IN-NX'!$D$7=D889,OR(LEFT(L889,2)="15",AND(LEFT(M889,2)&lt;&gt;"15",LEFT(M889,2)&lt;&gt;"33"))),"x","")</f>
        <v/>
      </c>
      <c r="V889" s="525" t="str">
        <f>IF(AND(OR(LEFT(TH!L889,2)="15",LEFT(TH!M889,2)="15"),'152-CT'!$J$8=TH!F889),"x","")</f>
        <v/>
      </c>
      <c r="W889" s="525" t="str">
        <f>IF(AND(OR(LEFT(TH!L889,2)="15",LEFT(TH!M889,2)="15"),TK!$E$7=TH!F889),"x","")</f>
        <v/>
      </c>
      <c r="X889" s="525" t="str">
        <f>IF(AND('341-CT'!$E$9=H889,OR(LEFT(L889,3)=$X$7,LEFT(M889,3)=$X$7)),"x","")</f>
        <v/>
      </c>
      <c r="Y889" s="525" t="str">
        <f>IF(OR(TH!L889=TH!$Y$7,M889=TH!$Y$7),"x","")</f>
        <v/>
      </c>
      <c r="Z889" s="525" t="str">
        <f>IF(AND(B889&lt;=NKC!$N$8,B889&gt;=NKC!$M$8),"x","")</f>
        <v/>
      </c>
      <c r="AA889" s="535">
        <v>2</v>
      </c>
      <c r="AB889" s="536"/>
    </row>
    <row r="890" spans="1:28" s="503" customFormat="1" ht="15.75" customHeight="1">
      <c r="A890" s="517" t="str">
        <f>IF(B890&lt;&gt;"",IF(AND(B890&gt;=_TM1,B890&lt;=_TM2,OR(TH!L890="1111",TH!M890="1111")),TH!D890,""),"")</f>
        <v/>
      </c>
      <c r="B890" s="531">
        <f t="shared" si="103"/>
        <v>4</v>
      </c>
      <c r="C890" s="315">
        <f t="shared" si="104"/>
        <v>42854</v>
      </c>
      <c r="D890" s="537"/>
      <c r="E890" s="315">
        <v>42854</v>
      </c>
      <c r="F890" s="249" t="s">
        <v>867</v>
      </c>
      <c r="G890" s="314"/>
      <c r="H890" s="473"/>
      <c r="I890" s="307"/>
      <c r="J890" s="307"/>
      <c r="K890" s="532">
        <f>ROUND((35000*2+20000*4+15000*10+10000*11+5000*5)/1.1,0)</f>
        <v>395455</v>
      </c>
      <c r="L890" s="539" t="s">
        <v>81</v>
      </c>
      <c r="M890" s="539" t="s">
        <v>45</v>
      </c>
      <c r="N890" s="525" t="str">
        <f>IF(AND('331-CT'!$E$7=TH!H890,OR(L890="331",M890="331")),"331",IF(AND(OR(L890="131",M890="131"),H890='131-CT'!$E$7),"131",""))</f>
        <v/>
      </c>
      <c r="O890" s="525" t="str">
        <f>IF(AND($B890&gt;='111'!$N$11,$B890&lt;='111'!$O$11,OR($L890=$O$7,$M890=$O$7)),"x","")</f>
        <v/>
      </c>
      <c r="P890" s="525" t="str">
        <f>IF(AND($L890=$O$7,$B890&lt;'111'!$N$11),"x","")</f>
        <v/>
      </c>
      <c r="Q890" s="525" t="str">
        <f>IF(AND($M890=$O$7,$B890&lt;'111'!$N$11),"x","")</f>
        <v>x</v>
      </c>
      <c r="R890" s="525" t="str">
        <f>IF(ISERROR(FIND('112'!$M$9,G890,1)),"",IF((AND(FIND('112'!$M$9,G890,1)&gt;=1,$B890&gt;='112'!$N$8,$B890&lt;='112'!$O$8,OR($L890='112'!$I$6,$M890='112'!$I$6))),"x",""))</f>
        <v/>
      </c>
      <c r="S890" s="525" t="str">
        <f>IF(ISERROR(FIND('112'!$M$9,G890,1)),"",IF((AND(LEFT(G890,2)=LEFT('112'!$M$9,2),B890&lt;'112'!$N$8,$L890='112'!$I$6)),"x",""))</f>
        <v/>
      </c>
      <c r="T890" s="525" t="str">
        <f>IF(ISERROR(FIND('112'!$M$9,G890,1)),"",IF((AND(RIGHT(G890,2)=RIGHT('112'!$M$9,2),B890&lt;'112'!$N$8,$M890='112'!$I$6)),"x",""))</f>
        <v/>
      </c>
      <c r="U890" s="525" t="str">
        <f>IF(AND(B890&gt;='IN-NX'!$P$3,B890&lt;='IN-NX'!$Q$3,'IN-NX'!$D$7=D890,OR(LEFT(L890,2)="15",AND(LEFT(M890,2)&lt;&gt;"15",LEFT(M890,2)&lt;&gt;"33"))),"x","")</f>
        <v/>
      </c>
      <c r="V890" s="525" t="str">
        <f>IF(AND(OR(LEFT(TH!L890,2)="15",LEFT(TH!M890,2)="15"),'152-CT'!$J$8=TH!F890),"x","")</f>
        <v/>
      </c>
      <c r="W890" s="525" t="str">
        <f>IF(AND(OR(LEFT(TH!L890,2)="15",LEFT(TH!M890,2)="15"),TK!$E$7=TH!F890),"x","")</f>
        <v/>
      </c>
      <c r="X890" s="525" t="str">
        <f>IF(AND('341-CT'!$E$9=H890,OR(LEFT(L890,3)=$X$7,LEFT(M890,3)=$X$7)),"x","")</f>
        <v/>
      </c>
      <c r="Y890" s="525" t="str">
        <f>IF(OR(TH!L890=TH!$Y$7,M890=TH!$Y$7),"x","")</f>
        <v/>
      </c>
      <c r="Z890" s="525" t="str">
        <f>IF(AND(B890&lt;=NKC!$N$8,B890&gt;=NKC!$M$8),"x","")</f>
        <v/>
      </c>
      <c r="AA890" s="535">
        <v>2</v>
      </c>
      <c r="AB890" s="536"/>
    </row>
    <row r="891" spans="1:28" s="503" customFormat="1" ht="15.75" customHeight="1">
      <c r="A891" s="517" t="str">
        <f>IF(B891&lt;&gt;"",IF(AND(B891&gt;=_TM1,B891&lt;=_TM2,OR(TH!L891="1111",TH!M891="1111")),TH!D891,""),"")</f>
        <v/>
      </c>
      <c r="B891" s="531">
        <f t="shared" si="103"/>
        <v>4</v>
      </c>
      <c r="C891" s="315">
        <f t="shared" si="104"/>
        <v>42854</v>
      </c>
      <c r="D891" s="537"/>
      <c r="E891" s="315">
        <v>42854</v>
      </c>
      <c r="F891" s="249" t="s">
        <v>868</v>
      </c>
      <c r="G891" s="314"/>
      <c r="H891" s="473"/>
      <c r="I891" s="307"/>
      <c r="J891" s="307"/>
      <c r="K891" s="532">
        <v>39545</v>
      </c>
      <c r="L891" s="539" t="s">
        <v>9</v>
      </c>
      <c r="M891" s="539" t="s">
        <v>45</v>
      </c>
      <c r="N891" s="525" t="str">
        <f>IF(AND('331-CT'!$E$7=TH!H891,OR(L891="331",M891="331")),"331",IF(AND(OR(L891="131",M891="131"),H891='131-CT'!$E$7),"131",""))</f>
        <v/>
      </c>
      <c r="O891" s="525" t="str">
        <f>IF(AND($B891&gt;='111'!$N$11,$B891&lt;='111'!$O$11,OR($L891=$O$7,$M891=$O$7)),"x","")</f>
        <v/>
      </c>
      <c r="P891" s="525" t="str">
        <f>IF(AND($L891=$O$7,$B891&lt;'111'!$N$11),"x","")</f>
        <v/>
      </c>
      <c r="Q891" s="525" t="str">
        <f>IF(AND($M891=$O$7,$B891&lt;'111'!$N$11),"x","")</f>
        <v>x</v>
      </c>
      <c r="R891" s="525" t="str">
        <f>IF(ISERROR(FIND('112'!$M$9,G891,1)),"",IF((AND(FIND('112'!$M$9,G891,1)&gt;=1,$B891&gt;='112'!$N$8,$B891&lt;='112'!$O$8,OR($L891='112'!$I$6,$M891='112'!$I$6))),"x",""))</f>
        <v/>
      </c>
      <c r="S891" s="525" t="str">
        <f>IF(ISERROR(FIND('112'!$M$9,G891,1)),"",IF((AND(LEFT(G891,2)=LEFT('112'!$M$9,2),B891&lt;'112'!$N$8,$L891='112'!$I$6)),"x",""))</f>
        <v/>
      </c>
      <c r="T891" s="525" t="str">
        <f>IF(ISERROR(FIND('112'!$M$9,G891,1)),"",IF((AND(RIGHT(G891,2)=RIGHT('112'!$M$9,2),B891&lt;'112'!$N$8,$M891='112'!$I$6)),"x",""))</f>
        <v/>
      </c>
      <c r="U891" s="525" t="str">
        <f>IF(AND(B891&gt;='IN-NX'!$P$3,B891&lt;='IN-NX'!$Q$3,'IN-NX'!$D$7=D891,OR(LEFT(L891,2)="15",AND(LEFT(M891,2)&lt;&gt;"15",LEFT(M891,2)&lt;&gt;"33"))),"x","")</f>
        <v/>
      </c>
      <c r="V891" s="525" t="str">
        <f>IF(AND(OR(LEFT(TH!L891,2)="15",LEFT(TH!M891,2)="15"),'152-CT'!$J$8=TH!F891),"x","")</f>
        <v/>
      </c>
      <c r="W891" s="525" t="str">
        <f>IF(AND(OR(LEFT(TH!L891,2)="15",LEFT(TH!M891,2)="15"),TK!$E$7=TH!F891),"x","")</f>
        <v/>
      </c>
      <c r="X891" s="525" t="str">
        <f>IF(AND('341-CT'!$E$9=H891,OR(LEFT(L891,3)=$X$7,LEFT(M891,3)=$X$7)),"x","")</f>
        <v/>
      </c>
      <c r="Y891" s="525" t="str">
        <f>IF(OR(TH!L891=TH!$Y$7,M891=TH!$Y$7),"x","")</f>
        <v/>
      </c>
      <c r="Z891" s="525" t="str">
        <f>IF(AND(B891&lt;=NKC!$N$8,B891&gt;=NKC!$M$8),"x","")</f>
        <v/>
      </c>
      <c r="AA891" s="535">
        <v>2</v>
      </c>
      <c r="AB891" s="536"/>
    </row>
    <row r="892" spans="1:28" s="503" customFormat="1" ht="15.75" customHeight="1">
      <c r="A892" s="517" t="str">
        <f>IF(B892&lt;&gt;"",IF(AND(B892&gt;=_TM1,B892&lt;=_TM2,OR(TH!L892="1111",TH!M892="1111")),TH!D892,""),"")</f>
        <v/>
      </c>
      <c r="B892" s="531">
        <f t="shared" si="103"/>
        <v>5</v>
      </c>
      <c r="C892" s="315">
        <f t="shared" si="104"/>
        <v>42856</v>
      </c>
      <c r="D892" s="537"/>
      <c r="E892" s="315">
        <v>42856</v>
      </c>
      <c r="F892" s="249" t="s">
        <v>1203</v>
      </c>
      <c r="G892" s="314" t="s">
        <v>1213</v>
      </c>
      <c r="H892" s="473" t="s">
        <v>863</v>
      </c>
      <c r="I892" s="307"/>
      <c r="J892" s="307"/>
      <c r="K892" s="532">
        <f>168182+30892</f>
        <v>199074</v>
      </c>
      <c r="L892" s="539" t="s">
        <v>81</v>
      </c>
      <c r="M892" s="539" t="s">
        <v>45</v>
      </c>
      <c r="N892" s="525" t="str">
        <f>IF(AND('331-CT'!$E$7=TH!H892,OR(L892="331",M892="331")),"331",IF(AND(OR(L892="131",M892="131"),H892='131-CT'!$E$7),"131",""))</f>
        <v/>
      </c>
      <c r="O892" s="525" t="str">
        <f>IF(AND($B892&gt;='111'!$N$11,$B892&lt;='111'!$O$11,OR($L892=$O$7,$M892=$O$7)),"x","")</f>
        <v/>
      </c>
      <c r="P892" s="525" t="str">
        <f>IF(AND($L892=$O$7,$B892&lt;'111'!$N$11),"x","")</f>
        <v/>
      </c>
      <c r="Q892" s="525" t="str">
        <f>IF(AND($M892=$O$7,$B892&lt;'111'!$N$11),"x","")</f>
        <v>x</v>
      </c>
      <c r="R892" s="525" t="str">
        <f>IF(ISERROR(FIND('112'!$M$9,G892,1)),"",IF((AND(FIND('112'!$M$9,G892,1)&gt;=1,$B892&gt;='112'!$N$8,$B892&lt;='112'!$O$8,OR($L892='112'!$I$6,$M892='112'!$I$6))),"x",""))</f>
        <v/>
      </c>
      <c r="S892" s="525" t="str">
        <f>IF(ISERROR(FIND('112'!$M$9,G892,1)),"",IF((AND(LEFT(G892,2)=LEFT('112'!$M$9,2),B892&lt;'112'!$N$8,$L892='112'!$I$6)),"x",""))</f>
        <v/>
      </c>
      <c r="T892" s="525" t="str">
        <f>IF(ISERROR(FIND('112'!$M$9,G892,1)),"",IF((AND(RIGHT(G892,2)=RIGHT('112'!$M$9,2),B892&lt;'112'!$N$8,$M892='112'!$I$6)),"x",""))</f>
        <v/>
      </c>
      <c r="U892" s="525" t="str">
        <f>IF(AND(B892&gt;='IN-NX'!$P$3,B892&lt;='IN-NX'!$Q$3,'IN-NX'!$D$7=D892,OR(LEFT(L892,2)="15",AND(LEFT(M892,2)&lt;&gt;"15",LEFT(M892,2)&lt;&gt;"33"))),"x","")</f>
        <v/>
      </c>
      <c r="V892" s="525" t="str">
        <f>IF(AND(OR(LEFT(TH!L892,2)="15",LEFT(TH!M892,2)="15"),'152-CT'!$J$8=TH!F892),"x","")</f>
        <v/>
      </c>
      <c r="W892" s="525" t="str">
        <f>IF(AND(OR(LEFT(TH!L892,2)="15",LEFT(TH!M892,2)="15"),TK!$E$7=TH!F892),"x","")</f>
        <v/>
      </c>
      <c r="X892" s="525" t="str">
        <f>IF(AND('341-CT'!$E$9=H892,OR(LEFT(L892,3)=$X$7,LEFT(M892,3)=$X$7)),"x","")</f>
        <v/>
      </c>
      <c r="Y892" s="525" t="str">
        <f>IF(OR(TH!L892=TH!$Y$7,M892=TH!$Y$7),"x","")</f>
        <v/>
      </c>
      <c r="Z892" s="525" t="str">
        <f>IF(AND(B892&lt;=NKC!$N$8,B892&gt;=NKC!$M$8),"x","")</f>
        <v/>
      </c>
      <c r="AA892" s="535">
        <v>2</v>
      </c>
      <c r="AB892" s="536"/>
    </row>
    <row r="893" spans="1:28" s="503" customFormat="1" ht="15.75" customHeight="1">
      <c r="A893" s="517" t="str">
        <f>IF(B893&lt;&gt;"",IF(AND(B893&gt;=_TM1,B893&lt;=_TM2,OR(TH!L893="1111",TH!M893="1111")),TH!D893,""),"")</f>
        <v/>
      </c>
      <c r="B893" s="531">
        <f t="shared" si="103"/>
        <v>5</v>
      </c>
      <c r="C893" s="315">
        <f t="shared" si="104"/>
        <v>42856</v>
      </c>
      <c r="D893" s="537"/>
      <c r="E893" s="315">
        <v>42856</v>
      </c>
      <c r="F893" s="249" t="s">
        <v>1201</v>
      </c>
      <c r="G893" s="314" t="s">
        <v>1213</v>
      </c>
      <c r="H893" s="473" t="s">
        <v>863</v>
      </c>
      <c r="I893" s="307"/>
      <c r="J893" s="307"/>
      <c r="K893" s="532">
        <f>16818+3089</f>
        <v>19907</v>
      </c>
      <c r="L893" s="588" t="s">
        <v>9</v>
      </c>
      <c r="M893" s="539" t="s">
        <v>45</v>
      </c>
      <c r="N893" s="525" t="str">
        <f>IF(AND('331-CT'!$E$7=TH!H893,OR(L893="331",M893="331")),"331",IF(AND(OR(L893="131",M893="131"),H893='131-CT'!$E$7),"131",""))</f>
        <v/>
      </c>
      <c r="O893" s="525" t="str">
        <f>IF(AND($B893&gt;='111'!$N$11,$B893&lt;='111'!$O$11,OR($L893=$O$7,$M893=$O$7)),"x","")</f>
        <v/>
      </c>
      <c r="P893" s="525" t="str">
        <f>IF(AND($L893=$O$7,$B893&lt;'111'!$N$11),"x","")</f>
        <v/>
      </c>
      <c r="Q893" s="525" t="str">
        <f>IF(AND($M893=$O$7,$B893&lt;'111'!$N$11),"x","")</f>
        <v>x</v>
      </c>
      <c r="R893" s="525" t="str">
        <f>IF(ISERROR(FIND('112'!$M$9,G893,1)),"",IF((AND(FIND('112'!$M$9,G893,1)&gt;=1,$B893&gt;='112'!$N$8,$B893&lt;='112'!$O$8,OR($L893='112'!$I$6,$M893='112'!$I$6))),"x",""))</f>
        <v/>
      </c>
      <c r="S893" s="525" t="str">
        <f>IF(ISERROR(FIND('112'!$M$9,G893,1)),"",IF((AND(LEFT(G893,2)=LEFT('112'!$M$9,2),B893&lt;'112'!$N$8,$L893='112'!$I$6)),"x",""))</f>
        <v/>
      </c>
      <c r="T893" s="525" t="str">
        <f>IF(ISERROR(FIND('112'!$M$9,G893,1)),"",IF((AND(RIGHT(G893,2)=RIGHT('112'!$M$9,2),B893&lt;'112'!$N$8,$M893='112'!$I$6)),"x",""))</f>
        <v/>
      </c>
      <c r="U893" s="525" t="str">
        <f>IF(AND(B893&gt;='IN-NX'!$P$3,B893&lt;='IN-NX'!$Q$3,'IN-NX'!$D$7=D893,OR(LEFT(L893,2)="15",AND(LEFT(M893,2)&lt;&gt;"15",LEFT(M893,2)&lt;&gt;"33"))),"x","")</f>
        <v/>
      </c>
      <c r="V893" s="525" t="str">
        <f>IF(AND(OR(LEFT(TH!L893,2)="15",LEFT(TH!M893,2)="15"),'152-CT'!$J$8=TH!F893),"x","")</f>
        <v/>
      </c>
      <c r="W893" s="525" t="str">
        <f>IF(AND(OR(LEFT(TH!L893,2)="15",LEFT(TH!M893,2)="15"),TK!$E$7=TH!F893),"x","")</f>
        <v/>
      </c>
      <c r="X893" s="525" t="str">
        <f>IF(AND('341-CT'!$E$9=H893,OR(LEFT(L893,3)=$X$7,LEFT(M893,3)=$X$7)),"x","")</f>
        <v/>
      </c>
      <c r="Y893" s="525" t="str">
        <f>IF(OR(TH!L893=TH!$Y$7,M893=TH!$Y$7),"x","")</f>
        <v/>
      </c>
      <c r="Z893" s="525" t="str">
        <f>IF(AND(B893&lt;=NKC!$N$8,B893&gt;=NKC!$M$8),"x","")</f>
        <v/>
      </c>
      <c r="AA893" s="535">
        <v>2</v>
      </c>
      <c r="AB893" s="536"/>
    </row>
    <row r="894" spans="1:28" s="503" customFormat="1" ht="15.75" customHeight="1">
      <c r="A894" s="517" t="str">
        <f>IF(B894&lt;&gt;"",IF(AND(B894&gt;=_TM1,B894&lt;=_TM2,OR(TH!L894="1111",TH!M894="1111")),TH!D894,""),"")</f>
        <v/>
      </c>
      <c r="B894" s="531">
        <f t="shared" si="103"/>
        <v>5</v>
      </c>
      <c r="C894" s="315">
        <f t="shared" si="104"/>
        <v>42859</v>
      </c>
      <c r="D894" s="537"/>
      <c r="E894" s="315">
        <v>42859</v>
      </c>
      <c r="F894" s="249" t="s">
        <v>1199</v>
      </c>
      <c r="G894" s="314" t="s">
        <v>1216</v>
      </c>
      <c r="H894" s="473" t="s">
        <v>852</v>
      </c>
      <c r="I894" s="307"/>
      <c r="J894" s="307"/>
      <c r="K894" s="532">
        <f>418776+333716+421379</f>
        <v>1173871</v>
      </c>
      <c r="L894" s="539" t="s">
        <v>81</v>
      </c>
      <c r="M894" s="539" t="s">
        <v>45</v>
      </c>
      <c r="N894" s="525" t="str">
        <f>IF(AND('331-CT'!$E$7=TH!H894,OR(L894="331",M894="331")),"331",IF(AND(OR(L894="131",M894="131"),H894='131-CT'!$E$7),"131",""))</f>
        <v/>
      </c>
      <c r="O894" s="525" t="str">
        <f>IF(AND($B894&gt;='111'!$N$11,$B894&lt;='111'!$O$11,OR($L894=$O$7,$M894=$O$7)),"x","")</f>
        <v/>
      </c>
      <c r="P894" s="525" t="str">
        <f>IF(AND($L894=$O$7,$B894&lt;'111'!$N$11),"x","")</f>
        <v/>
      </c>
      <c r="Q894" s="525" t="str">
        <f>IF(AND($M894=$O$7,$B894&lt;'111'!$N$11),"x","")</f>
        <v>x</v>
      </c>
      <c r="R894" s="525" t="str">
        <f>IF(ISERROR(FIND('112'!$M$9,G894,1)),"",IF((AND(FIND('112'!$M$9,G894,1)&gt;=1,$B894&gt;='112'!$N$8,$B894&lt;='112'!$O$8,OR($L894='112'!$I$6,$M894='112'!$I$6))),"x",""))</f>
        <v/>
      </c>
      <c r="S894" s="525" t="str">
        <f>IF(ISERROR(FIND('112'!$M$9,G894,1)),"",IF((AND(LEFT(G894,2)=LEFT('112'!$M$9,2),B894&lt;'112'!$N$8,$L894='112'!$I$6)),"x",""))</f>
        <v/>
      </c>
      <c r="T894" s="525" t="str">
        <f>IF(ISERROR(FIND('112'!$M$9,G894,1)),"",IF((AND(RIGHT(G894,2)=RIGHT('112'!$M$9,2),B894&lt;'112'!$N$8,$M894='112'!$I$6)),"x",""))</f>
        <v/>
      </c>
      <c r="U894" s="525" t="str">
        <f>IF(AND(B894&gt;='IN-NX'!$P$3,B894&lt;='IN-NX'!$Q$3,'IN-NX'!$D$7=D894,OR(LEFT(L894,2)="15",AND(LEFT(M894,2)&lt;&gt;"15",LEFT(M894,2)&lt;&gt;"33"))),"x","")</f>
        <v/>
      </c>
      <c r="V894" s="525" t="str">
        <f>IF(AND(OR(LEFT(TH!L894,2)="15",LEFT(TH!M894,2)="15"),'152-CT'!$J$8=TH!F894),"x","")</f>
        <v/>
      </c>
      <c r="W894" s="525" t="str">
        <f>IF(AND(OR(LEFT(TH!L894,2)="15",LEFT(TH!M894,2)="15"),TK!$E$7=TH!F894),"x","")</f>
        <v/>
      </c>
      <c r="X894" s="525" t="str">
        <f>IF(AND('341-CT'!$E$9=H894,OR(LEFT(L894,3)=$X$7,LEFT(M894,3)=$X$7)),"x","")</f>
        <v/>
      </c>
      <c r="Y894" s="525" t="str">
        <f>IF(OR(TH!L894=TH!$Y$7,M894=TH!$Y$7),"x","")</f>
        <v/>
      </c>
      <c r="Z894" s="525" t="str">
        <f>IF(AND(B894&lt;=NKC!$N$8,B894&gt;=NKC!$M$8),"x","")</f>
        <v/>
      </c>
      <c r="AA894" s="535">
        <v>2</v>
      </c>
      <c r="AB894" s="536"/>
    </row>
    <row r="895" spans="1:28" s="503" customFormat="1" ht="15.75" customHeight="1">
      <c r="A895" s="517" t="str">
        <f>IF(B895&lt;&gt;"",IF(AND(B895&gt;=_TM1,B895&lt;=_TM2,OR(TH!L895="1111",TH!M895="1111")),TH!D895,""),"")</f>
        <v/>
      </c>
      <c r="B895" s="531">
        <f t="shared" si="103"/>
        <v>5</v>
      </c>
      <c r="C895" s="315">
        <f t="shared" si="104"/>
        <v>42859</v>
      </c>
      <c r="D895" s="537"/>
      <c r="E895" s="315">
        <v>42859</v>
      </c>
      <c r="F895" s="249" t="s">
        <v>853</v>
      </c>
      <c r="G895" s="314" t="s">
        <v>1216</v>
      </c>
      <c r="H895" s="473" t="s">
        <v>852</v>
      </c>
      <c r="I895" s="307"/>
      <c r="J895" s="307"/>
      <c r="K895" s="532">
        <f>41878+33372+42138</f>
        <v>117388</v>
      </c>
      <c r="L895" s="588" t="s">
        <v>9</v>
      </c>
      <c r="M895" s="539" t="s">
        <v>45</v>
      </c>
      <c r="N895" s="525" t="str">
        <f>IF(AND('331-CT'!$E$7=TH!H895,OR(L895="331",M895="331")),"331",IF(AND(OR(L895="131",M895="131"),H895='131-CT'!$E$7),"131",""))</f>
        <v/>
      </c>
      <c r="O895" s="525" t="str">
        <f>IF(AND($B895&gt;='111'!$N$11,$B895&lt;='111'!$O$11,OR($L895=$O$7,$M895=$O$7)),"x","")</f>
        <v/>
      </c>
      <c r="P895" s="525" t="str">
        <f>IF(AND($L895=$O$7,$B895&lt;'111'!$N$11),"x","")</f>
        <v/>
      </c>
      <c r="Q895" s="525" t="str">
        <f>IF(AND($M895=$O$7,$B895&lt;'111'!$N$11),"x","")</f>
        <v>x</v>
      </c>
      <c r="R895" s="525" t="str">
        <f>IF(ISERROR(FIND('112'!$M$9,G895,1)),"",IF((AND(FIND('112'!$M$9,G895,1)&gt;=1,$B895&gt;='112'!$N$8,$B895&lt;='112'!$O$8,OR($L895='112'!$I$6,$M895='112'!$I$6))),"x",""))</f>
        <v/>
      </c>
      <c r="S895" s="525" t="str">
        <f>IF(ISERROR(FIND('112'!$M$9,G895,1)),"",IF((AND(LEFT(G895,2)=LEFT('112'!$M$9,2),B895&lt;'112'!$N$8,$L895='112'!$I$6)),"x",""))</f>
        <v/>
      </c>
      <c r="T895" s="525" t="str">
        <f>IF(ISERROR(FIND('112'!$M$9,G895,1)),"",IF((AND(RIGHT(G895,2)=RIGHT('112'!$M$9,2),B895&lt;'112'!$N$8,$M895='112'!$I$6)),"x",""))</f>
        <v/>
      </c>
      <c r="U895" s="525" t="str">
        <f>IF(AND(B895&gt;='IN-NX'!$P$3,B895&lt;='IN-NX'!$Q$3,'IN-NX'!$D$7=D895,OR(LEFT(L895,2)="15",AND(LEFT(M895,2)&lt;&gt;"15",LEFT(M895,2)&lt;&gt;"33"))),"x","")</f>
        <v/>
      </c>
      <c r="V895" s="525" t="str">
        <f>IF(AND(OR(LEFT(TH!L895,2)="15",LEFT(TH!M895,2)="15"),'152-CT'!$J$8=TH!F895),"x","")</f>
        <v/>
      </c>
      <c r="W895" s="525" t="str">
        <f>IF(AND(OR(LEFT(TH!L895,2)="15",LEFT(TH!M895,2)="15"),TK!$E$7=TH!F895),"x","")</f>
        <v/>
      </c>
      <c r="X895" s="525" t="str">
        <f>IF(AND('341-CT'!$E$9=H895,OR(LEFT(L895,3)=$X$7,LEFT(M895,3)=$X$7)),"x","")</f>
        <v/>
      </c>
      <c r="Y895" s="525" t="str">
        <f>IF(OR(TH!L895=TH!$Y$7,M895=TH!$Y$7),"x","")</f>
        <v/>
      </c>
      <c r="Z895" s="525" t="str">
        <f>IF(AND(B895&lt;=NKC!$N$8,B895&gt;=NKC!$M$8),"x","")</f>
        <v/>
      </c>
      <c r="AA895" s="535">
        <v>2</v>
      </c>
      <c r="AB895" s="536"/>
    </row>
    <row r="896" spans="1:28" s="503" customFormat="1" ht="15.75" customHeight="1">
      <c r="A896" s="517" t="str">
        <f>IF(B896&lt;&gt;"",IF(AND(B896&gt;=_TM1,B896&lt;=_TM2,OR(TH!L896="1111",TH!M896="1111")),TH!D896,""),"")</f>
        <v/>
      </c>
      <c r="B896" s="531">
        <f t="shared" si="103"/>
        <v>5</v>
      </c>
      <c r="C896" s="315">
        <f t="shared" si="104"/>
        <v>42866</v>
      </c>
      <c r="D896" s="537"/>
      <c r="E896" s="315">
        <v>42866</v>
      </c>
      <c r="F896" s="249" t="s">
        <v>516</v>
      </c>
      <c r="G896" s="314" t="s">
        <v>1121</v>
      </c>
      <c r="H896" s="473" t="s">
        <v>1122</v>
      </c>
      <c r="I896" s="307"/>
      <c r="J896" s="307"/>
      <c r="K896" s="532">
        <v>1025000</v>
      </c>
      <c r="L896" s="539" t="s">
        <v>81</v>
      </c>
      <c r="M896" s="539" t="s">
        <v>45</v>
      </c>
      <c r="N896" s="525" t="str">
        <f>IF(AND('331-CT'!$E$7=TH!H896,OR(L896="331",M896="331")),"331",IF(AND(OR(L896="131",M896="131"),H896='131-CT'!$E$7),"131",""))</f>
        <v/>
      </c>
      <c r="O896" s="525" t="str">
        <f>IF(AND($B896&gt;='111'!$N$11,$B896&lt;='111'!$O$11,OR($L896=$O$7,$M896=$O$7)),"x","")</f>
        <v/>
      </c>
      <c r="P896" s="525" t="str">
        <f>IF(AND($L896=$O$7,$B896&lt;'111'!$N$11),"x","")</f>
        <v/>
      </c>
      <c r="Q896" s="525" t="str">
        <f>IF(AND($M896=$O$7,$B896&lt;'111'!$N$11),"x","")</f>
        <v>x</v>
      </c>
      <c r="R896" s="525" t="str">
        <f>IF(ISERROR(FIND('112'!$M$9,G896,1)),"",IF((AND(FIND('112'!$M$9,G896,1)&gt;=1,$B896&gt;='112'!$N$8,$B896&lt;='112'!$O$8,OR($L896='112'!$I$6,$M896='112'!$I$6))),"x",""))</f>
        <v/>
      </c>
      <c r="S896" s="525" t="str">
        <f>IF(ISERROR(FIND('112'!$M$9,G896,1)),"",IF((AND(LEFT(G896,2)=LEFT('112'!$M$9,2),B896&lt;'112'!$N$8,$L896='112'!$I$6)),"x",""))</f>
        <v/>
      </c>
      <c r="T896" s="525" t="str">
        <f>IF(ISERROR(FIND('112'!$M$9,G896,1)),"",IF((AND(RIGHT(G896,2)=RIGHT('112'!$M$9,2),B896&lt;'112'!$N$8,$M896='112'!$I$6)),"x",""))</f>
        <v/>
      </c>
      <c r="U896" s="525" t="str">
        <f>IF(AND(B896&gt;='IN-NX'!$P$3,B896&lt;='IN-NX'!$Q$3,'IN-NX'!$D$7=D896,OR(LEFT(L896,2)="15",AND(LEFT(M896,2)&lt;&gt;"15",LEFT(M896,2)&lt;&gt;"33"))),"x","")</f>
        <v/>
      </c>
      <c r="V896" s="525" t="str">
        <f>IF(AND(OR(LEFT(TH!L896,2)="15",LEFT(TH!M896,2)="15"),'152-CT'!$J$8=TH!F896),"x","")</f>
        <v/>
      </c>
      <c r="W896" s="525" t="str">
        <f>IF(AND(OR(LEFT(TH!L896,2)="15",LEFT(TH!M896,2)="15"),TK!$E$7=TH!F896),"x","")</f>
        <v/>
      </c>
      <c r="X896" s="525" t="str">
        <f>IF(AND('341-CT'!$E$9=H896,OR(LEFT(L896,3)=$X$7,LEFT(M896,3)=$X$7)),"x","")</f>
        <v/>
      </c>
      <c r="Y896" s="525" t="str">
        <f>IF(OR(TH!L896=TH!$Y$7,M896=TH!$Y$7),"x","")</f>
        <v/>
      </c>
      <c r="Z896" s="525" t="str">
        <f>IF(AND(B896&lt;=NKC!$N$8,B896&gt;=NKC!$M$8),"x","")</f>
        <v/>
      </c>
      <c r="AA896" s="535">
        <v>2</v>
      </c>
      <c r="AB896" s="536"/>
    </row>
    <row r="897" spans="1:28" s="503" customFormat="1" ht="15.75" customHeight="1">
      <c r="A897" s="517" t="str">
        <f>IF(B897&lt;&gt;"",IF(AND(B897&gt;=_TM1,B897&lt;=_TM2,OR(TH!L897="1111",TH!M897="1111")),TH!D897,""),"")</f>
        <v/>
      </c>
      <c r="B897" s="531">
        <f t="shared" si="103"/>
        <v>5</v>
      </c>
      <c r="C897" s="315">
        <f t="shared" si="104"/>
        <v>42866</v>
      </c>
      <c r="D897" s="537"/>
      <c r="E897" s="315">
        <v>42866</v>
      </c>
      <c r="F897" s="249" t="s">
        <v>517</v>
      </c>
      <c r="G897" s="314" t="s">
        <v>1121</v>
      </c>
      <c r="H897" s="473" t="s">
        <v>1122</v>
      </c>
      <c r="I897" s="307"/>
      <c r="J897" s="307"/>
      <c r="K897" s="532">
        <v>102500</v>
      </c>
      <c r="L897" s="539" t="s">
        <v>9</v>
      </c>
      <c r="M897" s="539" t="s">
        <v>45</v>
      </c>
      <c r="N897" s="525" t="str">
        <f>IF(AND('331-CT'!$E$7=TH!H897,OR(L897="331",M897="331")),"331",IF(AND(OR(L897="131",M897="131"),H897='131-CT'!$E$7),"131",""))</f>
        <v/>
      </c>
      <c r="O897" s="525" t="str">
        <f>IF(AND($B897&gt;='111'!$N$11,$B897&lt;='111'!$O$11,OR($L897=$O$7,$M897=$O$7)),"x","")</f>
        <v/>
      </c>
      <c r="P897" s="525" t="str">
        <f>IF(AND($L897=$O$7,$B897&lt;'111'!$N$11),"x","")</f>
        <v/>
      </c>
      <c r="Q897" s="525" t="str">
        <f>IF(AND($M897=$O$7,$B897&lt;'111'!$N$11),"x","")</f>
        <v>x</v>
      </c>
      <c r="R897" s="525" t="str">
        <f>IF(ISERROR(FIND('112'!$M$9,G897,1)),"",IF((AND(FIND('112'!$M$9,G897,1)&gt;=1,$B897&gt;='112'!$N$8,$B897&lt;='112'!$O$8,OR($L897='112'!$I$6,$M897='112'!$I$6))),"x",""))</f>
        <v/>
      </c>
      <c r="S897" s="525" t="str">
        <f>IF(ISERROR(FIND('112'!$M$9,G897,1)),"",IF((AND(LEFT(G897,2)=LEFT('112'!$M$9,2),B897&lt;'112'!$N$8,$L897='112'!$I$6)),"x",""))</f>
        <v/>
      </c>
      <c r="T897" s="525" t="str">
        <f>IF(ISERROR(FIND('112'!$M$9,G897,1)),"",IF((AND(RIGHT(G897,2)=RIGHT('112'!$M$9,2),B897&lt;'112'!$N$8,$M897='112'!$I$6)),"x",""))</f>
        <v/>
      </c>
      <c r="U897" s="525" t="str">
        <f>IF(AND(B897&gt;='IN-NX'!$P$3,B897&lt;='IN-NX'!$Q$3,'IN-NX'!$D$7=D897,OR(LEFT(L897,2)="15",AND(LEFT(M897,2)&lt;&gt;"15",LEFT(M897,2)&lt;&gt;"33"))),"x","")</f>
        <v/>
      </c>
      <c r="V897" s="525" t="str">
        <f>IF(AND(OR(LEFT(TH!L897,2)="15",LEFT(TH!M897,2)="15"),'152-CT'!$J$8=TH!F897),"x","")</f>
        <v/>
      </c>
      <c r="W897" s="525" t="str">
        <f>IF(AND(OR(LEFT(TH!L897,2)="15",LEFT(TH!M897,2)="15"),TK!$E$7=TH!F897),"x","")</f>
        <v/>
      </c>
      <c r="X897" s="525" t="str">
        <f>IF(AND('341-CT'!$E$9=H897,OR(LEFT(L897,3)=$X$7,LEFT(M897,3)=$X$7)),"x","")</f>
        <v/>
      </c>
      <c r="Y897" s="525" t="str">
        <f>IF(OR(TH!L897=TH!$Y$7,M897=TH!$Y$7),"x","")</f>
        <v/>
      </c>
      <c r="Z897" s="525" t="str">
        <f>IF(AND(B897&lt;=NKC!$N$8,B897&gt;=NKC!$M$8),"x","")</f>
        <v/>
      </c>
      <c r="AA897" s="535">
        <v>2</v>
      </c>
      <c r="AB897" s="536"/>
    </row>
    <row r="898" spans="1:28" s="503" customFormat="1" ht="15.75" customHeight="1">
      <c r="A898" s="517" t="str">
        <f>IF(B898&lt;&gt;"",IF(AND(B898&gt;=_TM1,B898&lt;=_TM2,OR(TH!L898="1111",TH!M898="1111")),TH!D898,""),"")</f>
        <v/>
      </c>
      <c r="B898" s="531">
        <f t="shared" si="103"/>
        <v>5</v>
      </c>
      <c r="C898" s="315">
        <f t="shared" si="104"/>
        <v>42867</v>
      </c>
      <c r="D898" s="537"/>
      <c r="E898" s="315">
        <v>42867</v>
      </c>
      <c r="F898" s="249" t="s">
        <v>521</v>
      </c>
      <c r="G898" s="314" t="s">
        <v>1123</v>
      </c>
      <c r="H898" s="473" t="s">
        <v>523</v>
      </c>
      <c r="I898" s="307"/>
      <c r="J898" s="307"/>
      <c r="K898" s="532">
        <v>1829818</v>
      </c>
      <c r="L898" s="539" t="s">
        <v>81</v>
      </c>
      <c r="M898" s="539" t="s">
        <v>45</v>
      </c>
      <c r="N898" s="525" t="str">
        <f>IF(AND('331-CT'!$E$7=TH!H898,OR(L898="331",M898="331")),"331",IF(AND(OR(L898="131",M898="131"),H898='131-CT'!$E$7),"131",""))</f>
        <v/>
      </c>
      <c r="O898" s="525" t="str">
        <f>IF(AND($B898&gt;='111'!$N$11,$B898&lt;='111'!$O$11,OR($L898=$O$7,$M898=$O$7)),"x","")</f>
        <v/>
      </c>
      <c r="P898" s="525" t="str">
        <f>IF(AND($L898=$O$7,$B898&lt;'111'!$N$11),"x","")</f>
        <v/>
      </c>
      <c r="Q898" s="525" t="str">
        <f>IF(AND($M898=$O$7,$B898&lt;'111'!$N$11),"x","")</f>
        <v>x</v>
      </c>
      <c r="R898" s="525" t="str">
        <f>IF(ISERROR(FIND('112'!$M$9,G898,1)),"",IF((AND(FIND('112'!$M$9,G898,1)&gt;=1,$B898&gt;='112'!$N$8,$B898&lt;='112'!$O$8,OR($L898='112'!$I$6,$M898='112'!$I$6))),"x",""))</f>
        <v/>
      </c>
      <c r="S898" s="525" t="str">
        <f>IF(ISERROR(FIND('112'!$M$9,G898,1)),"",IF((AND(LEFT(G898,2)=LEFT('112'!$M$9,2),B898&lt;'112'!$N$8,$L898='112'!$I$6)),"x",""))</f>
        <v/>
      </c>
      <c r="T898" s="525" t="str">
        <f>IF(ISERROR(FIND('112'!$M$9,G898,1)),"",IF((AND(RIGHT(G898,2)=RIGHT('112'!$M$9,2),B898&lt;'112'!$N$8,$M898='112'!$I$6)),"x",""))</f>
        <v/>
      </c>
      <c r="U898" s="525" t="str">
        <f>IF(AND(B898&gt;='IN-NX'!$P$3,B898&lt;='IN-NX'!$Q$3,'IN-NX'!$D$7=D898,OR(LEFT(L898,2)="15",AND(LEFT(M898,2)&lt;&gt;"15",LEFT(M898,2)&lt;&gt;"33"))),"x","")</f>
        <v/>
      </c>
      <c r="V898" s="525" t="str">
        <f>IF(AND(OR(LEFT(TH!L898,2)="15",LEFT(TH!M898,2)="15"),'152-CT'!$J$8=TH!F898),"x","")</f>
        <v/>
      </c>
      <c r="W898" s="525" t="str">
        <f>IF(AND(OR(LEFT(TH!L898,2)="15",LEFT(TH!M898,2)="15"),TK!$E$7=TH!F898),"x","")</f>
        <v/>
      </c>
      <c r="X898" s="525" t="str">
        <f>IF(AND('341-CT'!$E$9=H898,OR(LEFT(L898,3)=$X$7,LEFT(M898,3)=$X$7)),"x","")</f>
        <v/>
      </c>
      <c r="Y898" s="525" t="str">
        <f>IF(OR(TH!L898=TH!$Y$7,M898=TH!$Y$7),"x","")</f>
        <v/>
      </c>
      <c r="Z898" s="525" t="str">
        <f>IF(AND(B898&lt;=NKC!$N$8,B898&gt;=NKC!$M$8),"x","")</f>
        <v/>
      </c>
      <c r="AA898" s="535">
        <v>2</v>
      </c>
      <c r="AB898" s="536"/>
    </row>
    <row r="899" spans="1:28" s="503" customFormat="1" ht="15.75" customHeight="1">
      <c r="A899" s="517" t="str">
        <f>IF(B899&lt;&gt;"",IF(AND(B899&gt;=_TM1,B899&lt;=_TM2,OR(TH!L899="1111",TH!M899="1111")),TH!D899,""),"")</f>
        <v/>
      </c>
      <c r="B899" s="531">
        <f t="shared" si="103"/>
        <v>5</v>
      </c>
      <c r="C899" s="315">
        <f t="shared" si="104"/>
        <v>42867</v>
      </c>
      <c r="D899" s="537"/>
      <c r="E899" s="315">
        <v>42867</v>
      </c>
      <c r="F899" s="249" t="s">
        <v>522</v>
      </c>
      <c r="G899" s="314" t="s">
        <v>1123</v>
      </c>
      <c r="H899" s="473" t="s">
        <v>523</v>
      </c>
      <c r="I899" s="307"/>
      <c r="J899" s="307"/>
      <c r="K899" s="532">
        <v>182982</v>
      </c>
      <c r="L899" s="539" t="s">
        <v>9</v>
      </c>
      <c r="M899" s="539" t="s">
        <v>45</v>
      </c>
      <c r="N899" s="525" t="str">
        <f>IF(AND('331-CT'!$E$7=TH!H899,OR(L899="331",M899="331")),"331",IF(AND(OR(L899="131",M899="131"),H899='131-CT'!$E$7),"131",""))</f>
        <v/>
      </c>
      <c r="O899" s="525" t="str">
        <f>IF(AND($B899&gt;='111'!$N$11,$B899&lt;='111'!$O$11,OR($L899=$O$7,$M899=$O$7)),"x","")</f>
        <v/>
      </c>
      <c r="P899" s="525" t="str">
        <f>IF(AND($L899=$O$7,$B899&lt;'111'!$N$11),"x","")</f>
        <v/>
      </c>
      <c r="Q899" s="525" t="str">
        <f>IF(AND($M899=$O$7,$B899&lt;'111'!$N$11),"x","")</f>
        <v>x</v>
      </c>
      <c r="R899" s="525" t="str">
        <f>IF(ISERROR(FIND('112'!$M$9,G899,1)),"",IF((AND(FIND('112'!$M$9,G899,1)&gt;=1,$B899&gt;='112'!$N$8,$B899&lt;='112'!$O$8,OR($L899='112'!$I$6,$M899='112'!$I$6))),"x",""))</f>
        <v/>
      </c>
      <c r="S899" s="525" t="str">
        <f>IF(ISERROR(FIND('112'!$M$9,G899,1)),"",IF((AND(LEFT(G899,2)=LEFT('112'!$M$9,2),B899&lt;'112'!$N$8,$L899='112'!$I$6)),"x",""))</f>
        <v/>
      </c>
      <c r="T899" s="525" t="str">
        <f>IF(ISERROR(FIND('112'!$M$9,G899,1)),"",IF((AND(RIGHT(G899,2)=RIGHT('112'!$M$9,2),B899&lt;'112'!$N$8,$M899='112'!$I$6)),"x",""))</f>
        <v/>
      </c>
      <c r="U899" s="525" t="str">
        <f>IF(AND(B899&gt;='IN-NX'!$P$3,B899&lt;='IN-NX'!$Q$3,'IN-NX'!$D$7=D899,OR(LEFT(L899,2)="15",AND(LEFT(M899,2)&lt;&gt;"15",LEFT(M899,2)&lt;&gt;"33"))),"x","")</f>
        <v/>
      </c>
      <c r="V899" s="525" t="str">
        <f>IF(AND(OR(LEFT(TH!L899,2)="15",LEFT(TH!M899,2)="15"),'152-CT'!$J$8=TH!F899),"x","")</f>
        <v/>
      </c>
      <c r="W899" s="525" t="str">
        <f>IF(AND(OR(LEFT(TH!L899,2)="15",LEFT(TH!M899,2)="15"),TK!$E$7=TH!F899),"x","")</f>
        <v/>
      </c>
      <c r="X899" s="525" t="str">
        <f>IF(AND('341-CT'!$E$9=H899,OR(LEFT(L899,3)=$X$7,LEFT(M899,3)=$X$7)),"x","")</f>
        <v/>
      </c>
      <c r="Y899" s="525" t="str">
        <f>IF(OR(TH!L899=TH!$Y$7,M899=TH!$Y$7),"x","")</f>
        <v/>
      </c>
      <c r="Z899" s="525" t="str">
        <f>IF(AND(B899&lt;=NKC!$N$8,B899&gt;=NKC!$M$8),"x","")</f>
        <v/>
      </c>
      <c r="AA899" s="535">
        <v>2</v>
      </c>
      <c r="AB899" s="536"/>
    </row>
    <row r="900" spans="1:28" s="503" customFormat="1" ht="15.75" customHeight="1">
      <c r="A900" s="517" t="str">
        <f>IF(B900&lt;&gt;"",IF(AND(B900&gt;=_TM1,B900&lt;=_TM2,OR(TH!L900="1111",TH!M900="1111")),TH!D900,""),"")</f>
        <v/>
      </c>
      <c r="B900" s="531">
        <f t="shared" si="103"/>
        <v>5</v>
      </c>
      <c r="C900" s="315">
        <f t="shared" si="104"/>
        <v>42886</v>
      </c>
      <c r="D900" s="537"/>
      <c r="E900" s="315">
        <v>42886</v>
      </c>
      <c r="F900" s="249" t="s">
        <v>867</v>
      </c>
      <c r="G900" s="314"/>
      <c r="H900" s="473"/>
      <c r="I900" s="307"/>
      <c r="J900" s="307"/>
      <c r="K900" s="532">
        <f>ROUND((35000*3+15000*11+10000*12+5000*8)/1.1,0)</f>
        <v>390909</v>
      </c>
      <c r="L900" s="539" t="s">
        <v>81</v>
      </c>
      <c r="M900" s="539" t="s">
        <v>45</v>
      </c>
      <c r="N900" s="525" t="str">
        <f>IF(AND('331-CT'!$E$7=TH!H900,OR(L900="331",M900="331")),"331",IF(AND(OR(L900="131",M900="131"),H900='131-CT'!$E$7),"131",""))</f>
        <v/>
      </c>
      <c r="O900" s="525" t="str">
        <f>IF(AND($B900&gt;='111'!$N$11,$B900&lt;='111'!$O$11,OR($L900=$O$7,$M900=$O$7)),"x","")</f>
        <v/>
      </c>
      <c r="P900" s="525" t="str">
        <f>IF(AND($L900=$O$7,$B900&lt;'111'!$N$11),"x","")</f>
        <v/>
      </c>
      <c r="Q900" s="525" t="str">
        <f>IF(AND($M900=$O$7,$B900&lt;'111'!$N$11),"x","")</f>
        <v>x</v>
      </c>
      <c r="R900" s="525" t="str">
        <f>IF(ISERROR(FIND('112'!$M$9,G900,1)),"",IF((AND(FIND('112'!$M$9,G900,1)&gt;=1,$B900&gt;='112'!$N$8,$B900&lt;='112'!$O$8,OR($L900='112'!$I$6,$M900='112'!$I$6))),"x",""))</f>
        <v/>
      </c>
      <c r="S900" s="525" t="str">
        <f>IF(ISERROR(FIND('112'!$M$9,G900,1)),"",IF((AND(LEFT(G900,2)=LEFT('112'!$M$9,2),B900&lt;'112'!$N$8,$L900='112'!$I$6)),"x",""))</f>
        <v/>
      </c>
      <c r="T900" s="525" t="str">
        <f>IF(ISERROR(FIND('112'!$M$9,G900,1)),"",IF((AND(RIGHT(G900,2)=RIGHT('112'!$M$9,2),B900&lt;'112'!$N$8,$M900='112'!$I$6)),"x",""))</f>
        <v/>
      </c>
      <c r="U900" s="525" t="str">
        <f>IF(AND(B900&gt;='IN-NX'!$P$3,B900&lt;='IN-NX'!$Q$3,'IN-NX'!$D$7=D900,OR(LEFT(L900,2)="15",AND(LEFT(M900,2)&lt;&gt;"15",LEFT(M900,2)&lt;&gt;"33"))),"x","")</f>
        <v/>
      </c>
      <c r="V900" s="525" t="str">
        <f>IF(AND(OR(LEFT(TH!L900,2)="15",LEFT(TH!M900,2)="15"),'152-CT'!$J$8=TH!F900),"x","")</f>
        <v/>
      </c>
      <c r="W900" s="525" t="str">
        <f>IF(AND(OR(LEFT(TH!L900,2)="15",LEFT(TH!M900,2)="15"),TK!$E$7=TH!F900),"x","")</f>
        <v/>
      </c>
      <c r="X900" s="525" t="str">
        <f>IF(AND('341-CT'!$E$9=H900,OR(LEFT(L900,3)=$X$7,LEFT(M900,3)=$X$7)),"x","")</f>
        <v/>
      </c>
      <c r="Y900" s="525" t="str">
        <f>IF(OR(TH!L900=TH!$Y$7,M900=TH!$Y$7),"x","")</f>
        <v/>
      </c>
      <c r="Z900" s="525" t="str">
        <f>IF(AND(B900&lt;=NKC!$N$8,B900&gt;=NKC!$M$8),"x","")</f>
        <v/>
      </c>
      <c r="AA900" s="535">
        <v>2</v>
      </c>
      <c r="AB900" s="536"/>
    </row>
    <row r="901" spans="1:28" s="503" customFormat="1" ht="15.75" customHeight="1">
      <c r="A901" s="517" t="str">
        <f>IF(B901&lt;&gt;"",IF(AND(B901&gt;=_TM1,B901&lt;=_TM2,OR(TH!L901="1111",TH!M901="1111")),TH!D901,""),"")</f>
        <v/>
      </c>
      <c r="B901" s="531">
        <f t="shared" si="103"/>
        <v>5</v>
      </c>
      <c r="C901" s="315">
        <f t="shared" si="104"/>
        <v>42886</v>
      </c>
      <c r="D901" s="537"/>
      <c r="E901" s="315">
        <v>42886</v>
      </c>
      <c r="F901" s="249" t="s">
        <v>868</v>
      </c>
      <c r="G901" s="314"/>
      <c r="H901" s="473"/>
      <c r="I901" s="307"/>
      <c r="J901" s="307"/>
      <c r="K901" s="532">
        <v>39091</v>
      </c>
      <c r="L901" s="539" t="s">
        <v>9</v>
      </c>
      <c r="M901" s="539" t="s">
        <v>45</v>
      </c>
      <c r="N901" s="525" t="str">
        <f>IF(AND('331-CT'!$E$7=TH!H901,OR(L901="331",M901="331")),"331",IF(AND(OR(L901="131",M901="131"),H901='131-CT'!$E$7),"131",""))</f>
        <v/>
      </c>
      <c r="O901" s="525" t="str">
        <f>IF(AND($B901&gt;='111'!$N$11,$B901&lt;='111'!$O$11,OR($L901=$O$7,$M901=$O$7)),"x","")</f>
        <v/>
      </c>
      <c r="P901" s="525" t="str">
        <f>IF(AND($L901=$O$7,$B901&lt;'111'!$N$11),"x","")</f>
        <v/>
      </c>
      <c r="Q901" s="525" t="str">
        <f>IF(AND($M901=$O$7,$B901&lt;'111'!$N$11),"x","")</f>
        <v>x</v>
      </c>
      <c r="R901" s="525" t="str">
        <f>IF(ISERROR(FIND('112'!$M$9,G901,1)),"",IF((AND(FIND('112'!$M$9,G901,1)&gt;=1,$B901&gt;='112'!$N$8,$B901&lt;='112'!$O$8,OR($L901='112'!$I$6,$M901='112'!$I$6))),"x",""))</f>
        <v/>
      </c>
      <c r="S901" s="525" t="str">
        <f>IF(ISERROR(FIND('112'!$M$9,G901,1)),"",IF((AND(LEFT(G901,2)=LEFT('112'!$M$9,2),B901&lt;'112'!$N$8,$L901='112'!$I$6)),"x",""))</f>
        <v/>
      </c>
      <c r="T901" s="525" t="str">
        <f>IF(ISERROR(FIND('112'!$M$9,G901,1)),"",IF((AND(RIGHT(G901,2)=RIGHT('112'!$M$9,2),B901&lt;'112'!$N$8,$M901='112'!$I$6)),"x",""))</f>
        <v/>
      </c>
      <c r="U901" s="525" t="str">
        <f>IF(AND(B901&gt;='IN-NX'!$P$3,B901&lt;='IN-NX'!$Q$3,'IN-NX'!$D$7=D901,OR(LEFT(L901,2)="15",AND(LEFT(M901,2)&lt;&gt;"15",LEFT(M901,2)&lt;&gt;"33"))),"x","")</f>
        <v/>
      </c>
      <c r="V901" s="525" t="str">
        <f>IF(AND(OR(LEFT(TH!L901,2)="15",LEFT(TH!M901,2)="15"),'152-CT'!$J$8=TH!F901),"x","")</f>
        <v/>
      </c>
      <c r="W901" s="525" t="str">
        <f>IF(AND(OR(LEFT(TH!L901,2)="15",LEFT(TH!M901,2)="15"),TK!$E$7=TH!F901),"x","")</f>
        <v/>
      </c>
      <c r="X901" s="525" t="str">
        <f>IF(AND('341-CT'!$E$9=H901,OR(LEFT(L901,3)=$X$7,LEFT(M901,3)=$X$7)),"x","")</f>
        <v/>
      </c>
      <c r="Y901" s="525" t="str">
        <f>IF(OR(TH!L901=TH!$Y$7,M901=TH!$Y$7),"x","")</f>
        <v/>
      </c>
      <c r="Z901" s="525" t="str">
        <f>IF(AND(B901&lt;=NKC!$N$8,B901&gt;=NKC!$M$8),"x","")</f>
        <v/>
      </c>
      <c r="AA901" s="535">
        <v>2</v>
      </c>
      <c r="AB901" s="536"/>
    </row>
    <row r="902" spans="1:28" s="503" customFormat="1" ht="15.75" customHeight="1">
      <c r="A902" s="517" t="str">
        <f>IF(B902&lt;&gt;"",IF(AND(B902&gt;=_TM1,B902&lt;=_TM2,OR(TH!L902="1111",TH!M902="1111")),TH!D902,""),"")</f>
        <v/>
      </c>
      <c r="B902" s="531">
        <f t="shared" si="103"/>
        <v>6</v>
      </c>
      <c r="C902" s="315">
        <f t="shared" si="104"/>
        <v>42887</v>
      </c>
      <c r="D902" s="537"/>
      <c r="E902" s="315">
        <v>42887</v>
      </c>
      <c r="F902" s="249" t="s">
        <v>1204</v>
      </c>
      <c r="G902" s="314" t="s">
        <v>1214</v>
      </c>
      <c r="H902" s="473" t="s">
        <v>863</v>
      </c>
      <c r="I902" s="307"/>
      <c r="J902" s="307"/>
      <c r="K902" s="532">
        <f>163636+27027</f>
        <v>190663</v>
      </c>
      <c r="L902" s="539" t="s">
        <v>81</v>
      </c>
      <c r="M902" s="539" t="s">
        <v>45</v>
      </c>
      <c r="N902" s="525" t="str">
        <f>IF(AND('331-CT'!$E$7=TH!H902,OR(L902="331",M902="331")),"331",IF(AND(OR(L902="131",M902="131"),H902='131-CT'!$E$7),"131",""))</f>
        <v/>
      </c>
      <c r="O902" s="525" t="str">
        <f>IF(AND($B902&gt;='111'!$N$11,$B902&lt;='111'!$O$11,OR($L902=$O$7,$M902=$O$7)),"x","")</f>
        <v/>
      </c>
      <c r="P902" s="525" t="str">
        <f>IF(AND($L902=$O$7,$B902&lt;'111'!$N$11),"x","")</f>
        <v/>
      </c>
      <c r="Q902" s="525" t="str">
        <f>IF(AND($M902=$O$7,$B902&lt;'111'!$N$11),"x","")</f>
        <v>x</v>
      </c>
      <c r="R902" s="525" t="str">
        <f>IF(ISERROR(FIND('112'!$M$9,G902,1)),"",IF((AND(FIND('112'!$M$9,G902,1)&gt;=1,$B902&gt;='112'!$N$8,$B902&lt;='112'!$O$8,OR($L902='112'!$I$6,$M902='112'!$I$6))),"x",""))</f>
        <v/>
      </c>
      <c r="S902" s="525" t="str">
        <f>IF(ISERROR(FIND('112'!$M$9,G902,1)),"",IF((AND(LEFT(G902,2)=LEFT('112'!$M$9,2),B902&lt;'112'!$N$8,$L902='112'!$I$6)),"x",""))</f>
        <v/>
      </c>
      <c r="T902" s="525" t="str">
        <f>IF(ISERROR(FIND('112'!$M$9,G902,1)),"",IF((AND(RIGHT(G902,2)=RIGHT('112'!$M$9,2),B902&lt;'112'!$N$8,$M902='112'!$I$6)),"x",""))</f>
        <v/>
      </c>
      <c r="U902" s="525" t="str">
        <f>IF(AND(B902&gt;='IN-NX'!$P$3,B902&lt;='IN-NX'!$Q$3,'IN-NX'!$D$7=D902,OR(LEFT(L902,2)="15",AND(LEFT(M902,2)&lt;&gt;"15",LEFT(M902,2)&lt;&gt;"33"))),"x","")</f>
        <v/>
      </c>
      <c r="V902" s="525" t="str">
        <f>IF(AND(OR(LEFT(TH!L902,2)="15",LEFT(TH!M902,2)="15"),'152-CT'!$J$8=TH!F902),"x","")</f>
        <v/>
      </c>
      <c r="W902" s="525" t="str">
        <f>IF(AND(OR(LEFT(TH!L902,2)="15",LEFT(TH!M902,2)="15"),TK!$E$7=TH!F902),"x","")</f>
        <v/>
      </c>
      <c r="X902" s="525" t="str">
        <f>IF(AND('341-CT'!$E$9=H902,OR(LEFT(L902,3)=$X$7,LEFT(M902,3)=$X$7)),"x","")</f>
        <v/>
      </c>
      <c r="Y902" s="525" t="str">
        <f>IF(OR(TH!L902=TH!$Y$7,M902=TH!$Y$7),"x","")</f>
        <v/>
      </c>
      <c r="Z902" s="525" t="str">
        <f>IF(AND(B902&lt;=NKC!$N$8,B902&gt;=NKC!$M$8),"x","")</f>
        <v/>
      </c>
      <c r="AA902" s="535">
        <v>2</v>
      </c>
      <c r="AB902" s="536"/>
    </row>
    <row r="903" spans="1:28" s="503" customFormat="1" ht="15.75" customHeight="1">
      <c r="A903" s="517" t="str">
        <f>IF(B903&lt;&gt;"",IF(AND(B903&gt;=_TM1,B903&lt;=_TM2,OR(TH!L903="1111",TH!M903="1111")),TH!D903,""),"")</f>
        <v/>
      </c>
      <c r="B903" s="531">
        <f t="shared" si="103"/>
        <v>6</v>
      </c>
      <c r="C903" s="315">
        <f t="shared" si="104"/>
        <v>42887</v>
      </c>
      <c r="D903" s="537"/>
      <c r="E903" s="315">
        <v>42887</v>
      </c>
      <c r="F903" s="249" t="s">
        <v>1201</v>
      </c>
      <c r="G903" s="314" t="s">
        <v>1214</v>
      </c>
      <c r="H903" s="473" t="s">
        <v>863</v>
      </c>
      <c r="I903" s="307"/>
      <c r="J903" s="307"/>
      <c r="K903" s="532">
        <f>16364+2703</f>
        <v>19067</v>
      </c>
      <c r="L903" s="588" t="s">
        <v>9</v>
      </c>
      <c r="M903" s="539" t="s">
        <v>45</v>
      </c>
      <c r="N903" s="525" t="str">
        <f>IF(AND('331-CT'!$E$7=TH!H903,OR(L903="331",M903="331")),"331",IF(AND(OR(L903="131",M903="131"),H903='131-CT'!$E$7),"131",""))</f>
        <v/>
      </c>
      <c r="O903" s="525" t="str">
        <f>IF(AND($B903&gt;='111'!$N$11,$B903&lt;='111'!$O$11,OR($L903=$O$7,$M903=$O$7)),"x","")</f>
        <v/>
      </c>
      <c r="P903" s="525" t="str">
        <f>IF(AND($L903=$O$7,$B903&lt;'111'!$N$11),"x","")</f>
        <v/>
      </c>
      <c r="Q903" s="525" t="str">
        <f>IF(AND($M903=$O$7,$B903&lt;'111'!$N$11),"x","")</f>
        <v>x</v>
      </c>
      <c r="R903" s="525" t="str">
        <f>IF(ISERROR(FIND('112'!$M$9,G903,1)),"",IF((AND(FIND('112'!$M$9,G903,1)&gt;=1,$B903&gt;='112'!$N$8,$B903&lt;='112'!$O$8,OR($L903='112'!$I$6,$M903='112'!$I$6))),"x",""))</f>
        <v/>
      </c>
      <c r="S903" s="525" t="str">
        <f>IF(ISERROR(FIND('112'!$M$9,G903,1)),"",IF((AND(LEFT(G903,2)=LEFT('112'!$M$9,2),B903&lt;'112'!$N$8,$L903='112'!$I$6)),"x",""))</f>
        <v/>
      </c>
      <c r="T903" s="525" t="str">
        <f>IF(ISERROR(FIND('112'!$M$9,G903,1)),"",IF((AND(RIGHT(G903,2)=RIGHT('112'!$M$9,2),B903&lt;'112'!$N$8,$M903='112'!$I$6)),"x",""))</f>
        <v/>
      </c>
      <c r="U903" s="525" t="str">
        <f>IF(AND(B903&gt;='IN-NX'!$P$3,B903&lt;='IN-NX'!$Q$3,'IN-NX'!$D$7=D903,OR(LEFT(L903,2)="15",AND(LEFT(M903,2)&lt;&gt;"15",LEFT(M903,2)&lt;&gt;"33"))),"x","")</f>
        <v/>
      </c>
      <c r="V903" s="525" t="str">
        <f>IF(AND(OR(LEFT(TH!L903,2)="15",LEFT(TH!M903,2)="15"),'152-CT'!$J$8=TH!F903),"x","")</f>
        <v/>
      </c>
      <c r="W903" s="525" t="str">
        <f>IF(AND(OR(LEFT(TH!L903,2)="15",LEFT(TH!M903,2)="15"),TK!$E$7=TH!F903),"x","")</f>
        <v/>
      </c>
      <c r="X903" s="525" t="str">
        <f>IF(AND('341-CT'!$E$9=H903,OR(LEFT(L903,3)=$X$7,LEFT(M903,3)=$X$7)),"x","")</f>
        <v/>
      </c>
      <c r="Y903" s="525" t="str">
        <f>IF(OR(TH!L903=TH!$Y$7,M903=TH!$Y$7),"x","")</f>
        <v/>
      </c>
      <c r="Z903" s="525" t="str">
        <f>IF(AND(B903&lt;=NKC!$N$8,B903&gt;=NKC!$M$8),"x","")</f>
        <v/>
      </c>
      <c r="AA903" s="535">
        <v>2</v>
      </c>
      <c r="AB903" s="536"/>
    </row>
    <row r="904" spans="1:28" s="503" customFormat="1" ht="15.75" customHeight="1">
      <c r="A904" s="517" t="str">
        <f>IF(B904&lt;&gt;"",IF(AND(B904&gt;=_TM1,B904&lt;=_TM2,OR(TH!L904="1111",TH!M904="1111")),TH!D904,""),"")</f>
        <v/>
      </c>
      <c r="B904" s="531">
        <f t="shared" si="103"/>
        <v>6</v>
      </c>
      <c r="C904" s="315">
        <f t="shared" si="104"/>
        <v>42890</v>
      </c>
      <c r="D904" s="537"/>
      <c r="E904" s="315">
        <v>42890</v>
      </c>
      <c r="F904" s="249" t="s">
        <v>1200</v>
      </c>
      <c r="G904" s="314" t="s">
        <v>1261</v>
      </c>
      <c r="H904" s="473" t="s">
        <v>852</v>
      </c>
      <c r="I904" s="307"/>
      <c r="J904" s="307"/>
      <c r="K904" s="532">
        <f>428825+201220+575486</f>
        <v>1205531</v>
      </c>
      <c r="L904" s="539" t="s">
        <v>81</v>
      </c>
      <c r="M904" s="539" t="s">
        <v>45</v>
      </c>
      <c r="N904" s="525" t="str">
        <f>IF(AND('331-CT'!$E$7=TH!H904,OR(L904="331",M904="331")),"331",IF(AND(OR(L904="131",M904="131"),H904='131-CT'!$E$7),"131",""))</f>
        <v/>
      </c>
      <c r="O904" s="525" t="str">
        <f>IF(AND($B904&gt;='111'!$N$11,$B904&lt;='111'!$O$11,OR($L904=$O$7,$M904=$O$7)),"x","")</f>
        <v/>
      </c>
      <c r="P904" s="525" t="str">
        <f>IF(AND($L904=$O$7,$B904&lt;'111'!$N$11),"x","")</f>
        <v/>
      </c>
      <c r="Q904" s="525" t="str">
        <f>IF(AND($M904=$O$7,$B904&lt;'111'!$N$11),"x","")</f>
        <v>x</v>
      </c>
      <c r="R904" s="525" t="str">
        <f>IF(ISERROR(FIND('112'!$M$9,G904,1)),"",IF((AND(FIND('112'!$M$9,G904,1)&gt;=1,$B904&gt;='112'!$N$8,$B904&lt;='112'!$O$8,OR($L904='112'!$I$6,$M904='112'!$I$6))),"x",""))</f>
        <v/>
      </c>
      <c r="S904" s="525" t="str">
        <f>IF(ISERROR(FIND('112'!$M$9,G904,1)),"",IF((AND(LEFT(G904,2)=LEFT('112'!$M$9,2),B904&lt;'112'!$N$8,$L904='112'!$I$6)),"x",""))</f>
        <v/>
      </c>
      <c r="T904" s="525" t="str">
        <f>IF(ISERROR(FIND('112'!$M$9,G904,1)),"",IF((AND(RIGHT(G904,2)=RIGHT('112'!$M$9,2),B904&lt;'112'!$N$8,$M904='112'!$I$6)),"x",""))</f>
        <v/>
      </c>
      <c r="U904" s="525" t="str">
        <f>IF(AND(B904&gt;='IN-NX'!$P$3,B904&lt;='IN-NX'!$Q$3,'IN-NX'!$D$7=D904,OR(LEFT(L904,2)="15",AND(LEFT(M904,2)&lt;&gt;"15",LEFT(M904,2)&lt;&gt;"33"))),"x","")</f>
        <v/>
      </c>
      <c r="V904" s="525" t="str">
        <f>IF(AND(OR(LEFT(TH!L904,2)="15",LEFT(TH!M904,2)="15"),'152-CT'!$J$8=TH!F904),"x","")</f>
        <v/>
      </c>
      <c r="W904" s="525" t="str">
        <f>IF(AND(OR(LEFT(TH!L904,2)="15",LEFT(TH!M904,2)="15"),TK!$E$7=TH!F904),"x","")</f>
        <v/>
      </c>
      <c r="X904" s="525" t="str">
        <f>IF(AND('341-CT'!$E$9=H904,OR(LEFT(L904,3)=$X$7,LEFT(M904,3)=$X$7)),"x","")</f>
        <v/>
      </c>
      <c r="Y904" s="525" t="str">
        <f>IF(OR(TH!L904=TH!$Y$7,M904=TH!$Y$7),"x","")</f>
        <v/>
      </c>
      <c r="Z904" s="525" t="str">
        <f>IF(AND(B904&lt;=NKC!$N$8,B904&gt;=NKC!$M$8),"x","")</f>
        <v/>
      </c>
      <c r="AA904" s="535">
        <v>2</v>
      </c>
      <c r="AB904" s="536"/>
    </row>
    <row r="905" spans="1:28" s="503" customFormat="1" ht="15.75" customHeight="1">
      <c r="A905" s="517" t="str">
        <f>IF(B905&lt;&gt;"",IF(AND(B905&gt;=_TM1,B905&lt;=_TM2,OR(TH!L905="1111",TH!M905="1111")),TH!D905,""),"")</f>
        <v/>
      </c>
      <c r="B905" s="531">
        <f t="shared" si="103"/>
        <v>6</v>
      </c>
      <c r="C905" s="315">
        <f t="shared" si="104"/>
        <v>42890</v>
      </c>
      <c r="D905" s="537"/>
      <c r="E905" s="315">
        <v>42890</v>
      </c>
      <c r="F905" s="249" t="s">
        <v>853</v>
      </c>
      <c r="G905" s="314" t="s">
        <v>1261</v>
      </c>
      <c r="H905" s="473" t="s">
        <v>852</v>
      </c>
      <c r="I905" s="307"/>
      <c r="J905" s="307"/>
      <c r="K905" s="532">
        <f>42883+20122+57549</f>
        <v>120554</v>
      </c>
      <c r="L905" s="588" t="s">
        <v>9</v>
      </c>
      <c r="M905" s="539" t="s">
        <v>45</v>
      </c>
      <c r="N905" s="525" t="str">
        <f>IF(AND('331-CT'!$E$7=TH!H905,OR(L905="331",M905="331")),"331",IF(AND(OR(L905="131",M905="131"),H905='131-CT'!$E$7),"131",""))</f>
        <v/>
      </c>
      <c r="O905" s="525" t="str">
        <f>IF(AND($B905&gt;='111'!$N$11,$B905&lt;='111'!$O$11,OR($L905=$O$7,$M905=$O$7)),"x","")</f>
        <v/>
      </c>
      <c r="P905" s="525" t="str">
        <f>IF(AND($L905=$O$7,$B905&lt;'111'!$N$11),"x","")</f>
        <v/>
      </c>
      <c r="Q905" s="525" t="str">
        <f>IF(AND($M905=$O$7,$B905&lt;'111'!$N$11),"x","")</f>
        <v>x</v>
      </c>
      <c r="R905" s="525" t="str">
        <f>IF(ISERROR(FIND('112'!$M$9,G905,1)),"",IF((AND(FIND('112'!$M$9,G905,1)&gt;=1,$B905&gt;='112'!$N$8,$B905&lt;='112'!$O$8,OR($L905='112'!$I$6,$M905='112'!$I$6))),"x",""))</f>
        <v/>
      </c>
      <c r="S905" s="525" t="str">
        <f>IF(ISERROR(FIND('112'!$M$9,G905,1)),"",IF((AND(LEFT(G905,2)=LEFT('112'!$M$9,2),B905&lt;'112'!$N$8,$L905='112'!$I$6)),"x",""))</f>
        <v/>
      </c>
      <c r="T905" s="525" t="str">
        <f>IF(ISERROR(FIND('112'!$M$9,G905,1)),"",IF((AND(RIGHT(G905,2)=RIGHT('112'!$M$9,2),B905&lt;'112'!$N$8,$M905='112'!$I$6)),"x",""))</f>
        <v/>
      </c>
      <c r="U905" s="525" t="str">
        <f>IF(AND(B905&gt;='IN-NX'!$P$3,B905&lt;='IN-NX'!$Q$3,'IN-NX'!$D$7=D905,OR(LEFT(L905,2)="15",AND(LEFT(M905,2)&lt;&gt;"15",LEFT(M905,2)&lt;&gt;"33"))),"x","")</f>
        <v/>
      </c>
      <c r="V905" s="525" t="str">
        <f>IF(AND(OR(LEFT(TH!L905,2)="15",LEFT(TH!M905,2)="15"),'152-CT'!$J$8=TH!F905),"x","")</f>
        <v/>
      </c>
      <c r="W905" s="525" t="str">
        <f>IF(AND(OR(LEFT(TH!L905,2)="15",LEFT(TH!M905,2)="15"),TK!$E$7=TH!F905),"x","")</f>
        <v/>
      </c>
      <c r="X905" s="525" t="str">
        <f>IF(AND('341-CT'!$E$9=H905,OR(LEFT(L905,3)=$X$7,LEFT(M905,3)=$X$7)),"x","")</f>
        <v/>
      </c>
      <c r="Y905" s="525" t="str">
        <f>IF(OR(TH!L905=TH!$Y$7,M905=TH!$Y$7),"x","")</f>
        <v/>
      </c>
      <c r="Z905" s="525" t="str">
        <f>IF(AND(B905&lt;=NKC!$N$8,B905&gt;=NKC!$M$8),"x","")</f>
        <v/>
      </c>
      <c r="AA905" s="535">
        <v>2</v>
      </c>
      <c r="AB905" s="536"/>
    </row>
    <row r="906" spans="1:28" s="503" customFormat="1" ht="15.75" customHeight="1">
      <c r="A906" s="517" t="str">
        <f>IF(B906&lt;&gt;"",IF(AND(B906&gt;=_TM1,B906&lt;=_TM2,OR(TH!L906="1111",TH!M906="1111")),TH!D906,""),"")</f>
        <v/>
      </c>
      <c r="B906" s="531">
        <f t="shared" si="103"/>
        <v>6</v>
      </c>
      <c r="C906" s="315">
        <f t="shared" si="104"/>
        <v>42894</v>
      </c>
      <c r="D906" s="537"/>
      <c r="E906" s="315">
        <v>42894</v>
      </c>
      <c r="F906" s="249" t="s">
        <v>521</v>
      </c>
      <c r="G906" s="314" t="s">
        <v>1124</v>
      </c>
      <c r="H906" s="473" t="s">
        <v>523</v>
      </c>
      <c r="I906" s="307"/>
      <c r="J906" s="307"/>
      <c r="K906" s="532">
        <v>1372509</v>
      </c>
      <c r="L906" s="539" t="s">
        <v>81</v>
      </c>
      <c r="M906" s="539" t="s">
        <v>45</v>
      </c>
      <c r="N906" s="525" t="str">
        <f>IF(AND('331-CT'!$E$7=TH!H906,OR(L906="331",M906="331")),"331",IF(AND(OR(L906="131",M906="131"),H906='131-CT'!$E$7),"131",""))</f>
        <v/>
      </c>
      <c r="O906" s="525" t="str">
        <f>IF(AND($B906&gt;='111'!$N$11,$B906&lt;='111'!$O$11,OR($L906=$O$7,$M906=$O$7)),"x","")</f>
        <v/>
      </c>
      <c r="P906" s="525" t="str">
        <f>IF(AND($L906=$O$7,$B906&lt;'111'!$N$11),"x","")</f>
        <v/>
      </c>
      <c r="Q906" s="525" t="str">
        <f>IF(AND($M906=$O$7,$B906&lt;'111'!$N$11),"x","")</f>
        <v>x</v>
      </c>
      <c r="R906" s="525" t="str">
        <f>IF(ISERROR(FIND('112'!$M$9,G906,1)),"",IF((AND(FIND('112'!$M$9,G906,1)&gt;=1,$B906&gt;='112'!$N$8,$B906&lt;='112'!$O$8,OR($L906='112'!$I$6,$M906='112'!$I$6))),"x",""))</f>
        <v/>
      </c>
      <c r="S906" s="525" t="str">
        <f>IF(ISERROR(FIND('112'!$M$9,G906,1)),"",IF((AND(LEFT(G906,2)=LEFT('112'!$M$9,2),B906&lt;'112'!$N$8,$L906='112'!$I$6)),"x",""))</f>
        <v/>
      </c>
      <c r="T906" s="525" t="str">
        <f>IF(ISERROR(FIND('112'!$M$9,G906,1)),"",IF((AND(RIGHT(G906,2)=RIGHT('112'!$M$9,2),B906&lt;'112'!$N$8,$M906='112'!$I$6)),"x",""))</f>
        <v/>
      </c>
      <c r="U906" s="525" t="str">
        <f>IF(AND(B906&gt;='IN-NX'!$P$3,B906&lt;='IN-NX'!$Q$3,'IN-NX'!$D$7=D906,OR(LEFT(L906,2)="15",AND(LEFT(M906,2)&lt;&gt;"15",LEFT(M906,2)&lt;&gt;"33"))),"x","")</f>
        <v/>
      </c>
      <c r="V906" s="525" t="str">
        <f>IF(AND(OR(LEFT(TH!L906,2)="15",LEFT(TH!M906,2)="15"),'152-CT'!$J$8=TH!F906),"x","")</f>
        <v/>
      </c>
      <c r="W906" s="525" t="str">
        <f>IF(AND(OR(LEFT(TH!L906,2)="15",LEFT(TH!M906,2)="15"),TK!$E$7=TH!F906),"x","")</f>
        <v/>
      </c>
      <c r="X906" s="525" t="str">
        <f>IF(AND('341-CT'!$E$9=H906,OR(LEFT(L906,3)=$X$7,LEFT(M906,3)=$X$7)),"x","")</f>
        <v/>
      </c>
      <c r="Y906" s="525" t="str">
        <f>IF(OR(TH!L906=TH!$Y$7,M906=TH!$Y$7),"x","")</f>
        <v/>
      </c>
      <c r="Z906" s="525" t="str">
        <f>IF(AND(B906&lt;=NKC!$N$8,B906&gt;=NKC!$M$8),"x","")</f>
        <v/>
      </c>
      <c r="AA906" s="535">
        <v>2</v>
      </c>
      <c r="AB906" s="536"/>
    </row>
    <row r="907" spans="1:28" s="503" customFormat="1" ht="15.75" customHeight="1">
      <c r="A907" s="517" t="str">
        <f>IF(B907&lt;&gt;"",IF(AND(B907&gt;=_TM1,B907&lt;=_TM2,OR(TH!L907="1111",TH!M907="1111")),TH!D907,""),"")</f>
        <v/>
      </c>
      <c r="B907" s="531">
        <f t="shared" si="103"/>
        <v>6</v>
      </c>
      <c r="C907" s="315">
        <f t="shared" si="104"/>
        <v>42894</v>
      </c>
      <c r="D907" s="537"/>
      <c r="E907" s="315">
        <v>42894</v>
      </c>
      <c r="F907" s="249" t="s">
        <v>522</v>
      </c>
      <c r="G907" s="314" t="s">
        <v>1124</v>
      </c>
      <c r="H907" s="473" t="s">
        <v>523</v>
      </c>
      <c r="I907" s="307"/>
      <c r="J907" s="307"/>
      <c r="K907" s="532">
        <v>137251</v>
      </c>
      <c r="L907" s="539" t="s">
        <v>9</v>
      </c>
      <c r="M907" s="539" t="s">
        <v>45</v>
      </c>
      <c r="N907" s="525" t="str">
        <f>IF(AND('331-CT'!$E$7=TH!H907,OR(L907="331",M907="331")),"331",IF(AND(OR(L907="131",M907="131"),H907='131-CT'!$E$7),"131",""))</f>
        <v/>
      </c>
      <c r="O907" s="525" t="str">
        <f>IF(AND($B907&gt;='111'!$N$11,$B907&lt;='111'!$O$11,OR($L907=$O$7,$M907=$O$7)),"x","")</f>
        <v/>
      </c>
      <c r="P907" s="525" t="str">
        <f>IF(AND($L907=$O$7,$B907&lt;'111'!$N$11),"x","")</f>
        <v/>
      </c>
      <c r="Q907" s="525" t="str">
        <f>IF(AND($M907=$O$7,$B907&lt;'111'!$N$11),"x","")</f>
        <v>x</v>
      </c>
      <c r="R907" s="525" t="str">
        <f>IF(ISERROR(FIND('112'!$M$9,G907,1)),"",IF((AND(FIND('112'!$M$9,G907,1)&gt;=1,$B907&gt;='112'!$N$8,$B907&lt;='112'!$O$8,OR($L907='112'!$I$6,$M907='112'!$I$6))),"x",""))</f>
        <v/>
      </c>
      <c r="S907" s="525" t="str">
        <f>IF(ISERROR(FIND('112'!$M$9,G907,1)),"",IF((AND(LEFT(G907,2)=LEFT('112'!$M$9,2),B907&lt;'112'!$N$8,$L907='112'!$I$6)),"x",""))</f>
        <v/>
      </c>
      <c r="T907" s="525" t="str">
        <f>IF(ISERROR(FIND('112'!$M$9,G907,1)),"",IF((AND(RIGHT(G907,2)=RIGHT('112'!$M$9,2),B907&lt;'112'!$N$8,$M907='112'!$I$6)),"x",""))</f>
        <v/>
      </c>
      <c r="U907" s="525" t="str">
        <f>IF(AND(B907&gt;='IN-NX'!$P$3,B907&lt;='IN-NX'!$Q$3,'IN-NX'!$D$7=D907,OR(LEFT(L907,2)="15",AND(LEFT(M907,2)&lt;&gt;"15",LEFT(M907,2)&lt;&gt;"33"))),"x","")</f>
        <v/>
      </c>
      <c r="V907" s="525" t="str">
        <f>IF(AND(OR(LEFT(TH!L907,2)="15",LEFT(TH!M907,2)="15"),'152-CT'!$J$8=TH!F907),"x","")</f>
        <v/>
      </c>
      <c r="W907" s="525" t="str">
        <f>IF(AND(OR(LEFT(TH!L907,2)="15",LEFT(TH!M907,2)="15"),TK!$E$7=TH!F907),"x","")</f>
        <v/>
      </c>
      <c r="X907" s="525" t="str">
        <f>IF(AND('341-CT'!$E$9=H907,OR(LEFT(L907,3)=$X$7,LEFT(M907,3)=$X$7)),"x","")</f>
        <v/>
      </c>
      <c r="Y907" s="525" t="str">
        <f>IF(OR(TH!L907=TH!$Y$7,M907=TH!$Y$7),"x","")</f>
        <v/>
      </c>
      <c r="Z907" s="525" t="str">
        <f>IF(AND(B907&lt;=NKC!$N$8,B907&gt;=NKC!$M$8),"x","")</f>
        <v/>
      </c>
      <c r="AA907" s="535">
        <v>2</v>
      </c>
      <c r="AB907" s="536"/>
    </row>
    <row r="908" spans="1:28" s="503" customFormat="1" ht="15.75" customHeight="1">
      <c r="A908" s="517" t="str">
        <f>IF(B908&lt;&gt;"",IF(AND(B908&gt;=_TM1,B908&lt;=_TM2,OR(TH!L908="1111",TH!M908="1111")),TH!D908,""),"")</f>
        <v/>
      </c>
      <c r="B908" s="531">
        <f t="shared" si="103"/>
        <v>6</v>
      </c>
      <c r="C908" s="315">
        <f t="shared" si="104"/>
        <v>42914</v>
      </c>
      <c r="D908" s="537"/>
      <c r="E908" s="315">
        <v>42914</v>
      </c>
      <c r="F908" s="249" t="s">
        <v>521</v>
      </c>
      <c r="G908" s="314" t="s">
        <v>1253</v>
      </c>
      <c r="H908" s="473" t="s">
        <v>1252</v>
      </c>
      <c r="I908" s="307"/>
      <c r="J908" s="307"/>
      <c r="K908" s="532">
        <v>4545455</v>
      </c>
      <c r="L908" s="539" t="s">
        <v>81</v>
      </c>
      <c r="M908" s="539" t="s">
        <v>45</v>
      </c>
      <c r="N908" s="525" t="str">
        <f>IF(AND('331-CT'!$E$7=TH!H908,OR(L908="331",M908="331")),"331",IF(AND(OR(L908="131",M908="131"),H908='131-CT'!$E$7),"131",""))</f>
        <v/>
      </c>
      <c r="O908" s="525" t="str">
        <f>IF(AND($B908&gt;='111'!$N$11,$B908&lt;='111'!$O$11,OR($L908=$O$7,$M908=$O$7)),"x","")</f>
        <v/>
      </c>
      <c r="P908" s="525" t="str">
        <f>IF(AND($L908=$O$7,$B908&lt;'111'!$N$11),"x","")</f>
        <v/>
      </c>
      <c r="Q908" s="525" t="str">
        <f>IF(AND($M908=$O$7,$B908&lt;'111'!$N$11),"x","")</f>
        <v>x</v>
      </c>
      <c r="R908" s="525" t="str">
        <f>IF(ISERROR(FIND('112'!$M$9,G908,1)),"",IF((AND(FIND('112'!$M$9,G908,1)&gt;=1,$B908&gt;='112'!$N$8,$B908&lt;='112'!$O$8,OR($L908='112'!$I$6,$M908='112'!$I$6))),"x",""))</f>
        <v/>
      </c>
      <c r="S908" s="525" t="str">
        <f>IF(ISERROR(FIND('112'!$M$9,G908,1)),"",IF((AND(LEFT(G908,2)=LEFT('112'!$M$9,2),B908&lt;'112'!$N$8,$L908='112'!$I$6)),"x",""))</f>
        <v/>
      </c>
      <c r="T908" s="525" t="str">
        <f>IF(ISERROR(FIND('112'!$M$9,G908,1)),"",IF((AND(RIGHT(G908,2)=RIGHT('112'!$M$9,2),B908&lt;'112'!$N$8,$M908='112'!$I$6)),"x",""))</f>
        <v/>
      </c>
      <c r="U908" s="525" t="str">
        <f>IF(AND(B908&gt;='IN-NX'!$P$3,B908&lt;='IN-NX'!$Q$3,'IN-NX'!$D$7=D908,OR(LEFT(L908,2)="15",AND(LEFT(M908,2)&lt;&gt;"15",LEFT(M908,2)&lt;&gt;"33"))),"x","")</f>
        <v/>
      </c>
      <c r="V908" s="525" t="str">
        <f>IF(AND(OR(LEFT(TH!L908,2)="15",LEFT(TH!M908,2)="15"),'152-CT'!$J$8=TH!F908),"x","")</f>
        <v/>
      </c>
      <c r="W908" s="525" t="str">
        <f>IF(AND(OR(LEFT(TH!L908,2)="15",LEFT(TH!M908,2)="15"),TK!$E$7=TH!F908),"x","")</f>
        <v/>
      </c>
      <c r="X908" s="525" t="str">
        <f>IF(AND('341-CT'!$E$9=H908,OR(LEFT(L908,3)=$X$7,LEFT(M908,3)=$X$7)),"x","")</f>
        <v/>
      </c>
      <c r="Y908" s="525" t="str">
        <f>IF(OR(TH!L908=TH!$Y$7,M908=TH!$Y$7),"x","")</f>
        <v/>
      </c>
      <c r="Z908" s="525" t="str">
        <f>IF(AND(B908&lt;=NKC!$N$8,B908&gt;=NKC!$M$8),"x","")</f>
        <v/>
      </c>
      <c r="AA908" s="535">
        <v>2</v>
      </c>
      <c r="AB908" s="536"/>
    </row>
    <row r="909" spans="1:28" s="503" customFormat="1" ht="15.75" customHeight="1">
      <c r="A909" s="517" t="str">
        <f>IF(B909&lt;&gt;"",IF(AND(B909&gt;=_TM1,B909&lt;=_TM2,OR(TH!L909="1111",TH!M909="1111")),TH!D909,""),"")</f>
        <v/>
      </c>
      <c r="B909" s="531">
        <f t="shared" si="103"/>
        <v>6</v>
      </c>
      <c r="C909" s="315">
        <f t="shared" si="104"/>
        <v>42914</v>
      </c>
      <c r="D909" s="537"/>
      <c r="E909" s="315">
        <v>42914</v>
      </c>
      <c r="F909" s="249" t="s">
        <v>522</v>
      </c>
      <c r="G909" s="314" t="s">
        <v>1253</v>
      </c>
      <c r="H909" s="473" t="s">
        <v>1252</v>
      </c>
      <c r="I909" s="307"/>
      <c r="J909" s="307"/>
      <c r="K909" s="532">
        <v>454545</v>
      </c>
      <c r="L909" s="539" t="s">
        <v>9</v>
      </c>
      <c r="M909" s="539" t="s">
        <v>45</v>
      </c>
      <c r="N909" s="525" t="str">
        <f>IF(AND('331-CT'!$E$7=TH!H909,OR(L909="331",M909="331")),"331",IF(AND(OR(L909="131",M909="131"),H909='131-CT'!$E$7),"131",""))</f>
        <v/>
      </c>
      <c r="O909" s="525" t="str">
        <f>IF(AND($B909&gt;='111'!$N$11,$B909&lt;='111'!$O$11,OR($L909=$O$7,$M909=$O$7)),"x","")</f>
        <v/>
      </c>
      <c r="P909" s="525" t="str">
        <f>IF(AND($L909=$O$7,$B909&lt;'111'!$N$11),"x","")</f>
        <v/>
      </c>
      <c r="Q909" s="525" t="str">
        <f>IF(AND($M909=$O$7,$B909&lt;'111'!$N$11),"x","")</f>
        <v>x</v>
      </c>
      <c r="R909" s="525" t="str">
        <f>IF(ISERROR(FIND('112'!$M$9,G909,1)),"",IF((AND(FIND('112'!$M$9,G909,1)&gt;=1,$B909&gt;='112'!$N$8,$B909&lt;='112'!$O$8,OR($L909='112'!$I$6,$M909='112'!$I$6))),"x",""))</f>
        <v/>
      </c>
      <c r="S909" s="525" t="str">
        <f>IF(ISERROR(FIND('112'!$M$9,G909,1)),"",IF((AND(LEFT(G909,2)=LEFT('112'!$M$9,2),B909&lt;'112'!$N$8,$L909='112'!$I$6)),"x",""))</f>
        <v/>
      </c>
      <c r="T909" s="525" t="str">
        <f>IF(ISERROR(FIND('112'!$M$9,G909,1)),"",IF((AND(RIGHT(G909,2)=RIGHT('112'!$M$9,2),B909&lt;'112'!$N$8,$M909='112'!$I$6)),"x",""))</f>
        <v/>
      </c>
      <c r="U909" s="525" t="str">
        <f>IF(AND(B909&gt;='IN-NX'!$P$3,B909&lt;='IN-NX'!$Q$3,'IN-NX'!$D$7=D909,OR(LEFT(L909,2)="15",AND(LEFT(M909,2)&lt;&gt;"15",LEFT(M909,2)&lt;&gt;"33"))),"x","")</f>
        <v/>
      </c>
      <c r="V909" s="525" t="str">
        <f>IF(AND(OR(LEFT(TH!L909,2)="15",LEFT(TH!M909,2)="15"),'152-CT'!$J$8=TH!F909),"x","")</f>
        <v/>
      </c>
      <c r="W909" s="525" t="str">
        <f>IF(AND(OR(LEFT(TH!L909,2)="15",LEFT(TH!M909,2)="15"),TK!$E$7=TH!F909),"x","")</f>
        <v/>
      </c>
      <c r="X909" s="525" t="str">
        <f>IF(AND('341-CT'!$E$9=H909,OR(LEFT(L909,3)=$X$7,LEFT(M909,3)=$X$7)),"x","")</f>
        <v/>
      </c>
      <c r="Y909" s="525" t="str">
        <f>IF(OR(TH!L909=TH!$Y$7,M909=TH!$Y$7),"x","")</f>
        <v/>
      </c>
      <c r="Z909" s="525" t="str">
        <f>IF(AND(B909&lt;=NKC!$N$8,B909&gt;=NKC!$M$8),"x","")</f>
        <v/>
      </c>
      <c r="AA909" s="535">
        <v>2</v>
      </c>
      <c r="AB909" s="536"/>
    </row>
    <row r="910" spans="1:28" s="503" customFormat="1" ht="15.75" customHeight="1">
      <c r="A910" s="517" t="str">
        <f>IF(B910&lt;&gt;"",IF(AND(B910&gt;=_TM1,B910&lt;=_TM2,OR(TH!L910="1111",TH!M910="1111")),TH!D910,""),"")</f>
        <v/>
      </c>
      <c r="B910" s="531">
        <f t="shared" si="103"/>
        <v>6</v>
      </c>
      <c r="C910" s="315">
        <f t="shared" si="104"/>
        <v>42916</v>
      </c>
      <c r="D910" s="537"/>
      <c r="E910" s="315">
        <v>42916</v>
      </c>
      <c r="F910" s="249" t="s">
        <v>867</v>
      </c>
      <c r="G910" s="314"/>
      <c r="H910" s="473"/>
      <c r="I910" s="307"/>
      <c r="J910" s="307"/>
      <c r="K910" s="532">
        <f>ROUND((35000*5+15000*6+10000*12+5000*5)/1.1,0)</f>
        <v>372727</v>
      </c>
      <c r="L910" s="539" t="s">
        <v>81</v>
      </c>
      <c r="M910" s="539" t="s">
        <v>45</v>
      </c>
      <c r="N910" s="525" t="str">
        <f>IF(AND('331-CT'!$E$7=TH!H910,OR(L910="331",M910="331")),"331",IF(AND(OR(L910="131",M910="131"),H910='131-CT'!$E$7),"131",""))</f>
        <v/>
      </c>
      <c r="O910" s="525" t="str">
        <f>IF(AND($B910&gt;='111'!$N$11,$B910&lt;='111'!$O$11,OR($L910=$O$7,$M910=$O$7)),"x","")</f>
        <v/>
      </c>
      <c r="P910" s="525" t="str">
        <f>IF(AND($L910=$O$7,$B910&lt;'111'!$N$11),"x","")</f>
        <v/>
      </c>
      <c r="Q910" s="525" t="str">
        <f>IF(AND($M910=$O$7,$B910&lt;'111'!$N$11),"x","")</f>
        <v>x</v>
      </c>
      <c r="R910" s="525" t="str">
        <f>IF(ISERROR(FIND('112'!$M$9,G910,1)),"",IF((AND(FIND('112'!$M$9,G910,1)&gt;=1,$B910&gt;='112'!$N$8,$B910&lt;='112'!$O$8,OR($L910='112'!$I$6,$M910='112'!$I$6))),"x",""))</f>
        <v/>
      </c>
      <c r="S910" s="525" t="str">
        <f>IF(ISERROR(FIND('112'!$M$9,G910,1)),"",IF((AND(LEFT(G910,2)=LEFT('112'!$M$9,2),B910&lt;'112'!$N$8,$L910='112'!$I$6)),"x",""))</f>
        <v/>
      </c>
      <c r="T910" s="525" t="str">
        <f>IF(ISERROR(FIND('112'!$M$9,G910,1)),"",IF((AND(RIGHT(G910,2)=RIGHT('112'!$M$9,2),B910&lt;'112'!$N$8,$M910='112'!$I$6)),"x",""))</f>
        <v/>
      </c>
      <c r="U910" s="525" t="str">
        <f>IF(AND(B910&gt;='IN-NX'!$P$3,B910&lt;='IN-NX'!$Q$3,'IN-NX'!$D$7=D910,OR(LEFT(L910,2)="15",AND(LEFT(M910,2)&lt;&gt;"15",LEFT(M910,2)&lt;&gt;"33"))),"x","")</f>
        <v/>
      </c>
      <c r="V910" s="525" t="str">
        <f>IF(AND(OR(LEFT(TH!L910,2)="15",LEFT(TH!M910,2)="15"),'152-CT'!$J$8=TH!F910),"x","")</f>
        <v/>
      </c>
      <c r="W910" s="525" t="str">
        <f>IF(AND(OR(LEFT(TH!L910,2)="15",LEFT(TH!M910,2)="15"),TK!$E$7=TH!F910),"x","")</f>
        <v/>
      </c>
      <c r="X910" s="525" t="str">
        <f>IF(AND('341-CT'!$E$9=H910,OR(LEFT(L910,3)=$X$7,LEFT(M910,3)=$X$7)),"x","")</f>
        <v/>
      </c>
      <c r="Y910" s="525" t="str">
        <f>IF(OR(TH!L910=TH!$Y$7,M910=TH!$Y$7),"x","")</f>
        <v/>
      </c>
      <c r="Z910" s="525" t="str">
        <f>IF(AND(B910&lt;=NKC!$N$8,B910&gt;=NKC!$M$8),"x","")</f>
        <v/>
      </c>
      <c r="AA910" s="535">
        <v>2</v>
      </c>
      <c r="AB910" s="536"/>
    </row>
    <row r="911" spans="1:28" s="503" customFormat="1" ht="15.75" customHeight="1">
      <c r="A911" s="517" t="str">
        <f>IF(B911&lt;&gt;"",IF(AND(B911&gt;=_TM1,B911&lt;=_TM2,OR(TH!L911="1111",TH!M911="1111")),TH!D911,""),"")</f>
        <v/>
      </c>
      <c r="B911" s="531">
        <f t="shared" si="103"/>
        <v>6</v>
      </c>
      <c r="C911" s="315">
        <f t="shared" si="104"/>
        <v>42916</v>
      </c>
      <c r="D911" s="537"/>
      <c r="E911" s="315">
        <v>42916</v>
      </c>
      <c r="F911" s="249" t="s">
        <v>868</v>
      </c>
      <c r="G911" s="314"/>
      <c r="H911" s="473"/>
      <c r="I911" s="307"/>
      <c r="J911" s="307"/>
      <c r="K911" s="532">
        <v>37273</v>
      </c>
      <c r="L911" s="539" t="s">
        <v>9</v>
      </c>
      <c r="M911" s="539" t="s">
        <v>45</v>
      </c>
      <c r="N911" s="525" t="str">
        <f>IF(AND('331-CT'!$E$7=TH!H911,OR(L911="331",M911="331")),"331",IF(AND(OR(L911="131",M911="131"),H911='131-CT'!$E$7),"131",""))</f>
        <v/>
      </c>
      <c r="O911" s="525" t="str">
        <f>IF(AND($B911&gt;='111'!$N$11,$B911&lt;='111'!$O$11,OR($L911=$O$7,$M911=$O$7)),"x","")</f>
        <v/>
      </c>
      <c r="P911" s="525" t="str">
        <f>IF(AND($L911=$O$7,$B911&lt;'111'!$N$11),"x","")</f>
        <v/>
      </c>
      <c r="Q911" s="525" t="str">
        <f>IF(AND($M911=$O$7,$B911&lt;'111'!$N$11),"x","")</f>
        <v>x</v>
      </c>
      <c r="R911" s="525" t="str">
        <f>IF(ISERROR(FIND('112'!$M$9,G911,1)),"",IF((AND(FIND('112'!$M$9,G911,1)&gt;=1,$B911&gt;='112'!$N$8,$B911&lt;='112'!$O$8,OR($L911='112'!$I$6,$M911='112'!$I$6))),"x",""))</f>
        <v/>
      </c>
      <c r="S911" s="525" t="str">
        <f>IF(ISERROR(FIND('112'!$M$9,G911,1)),"",IF((AND(LEFT(G911,2)=LEFT('112'!$M$9,2),B911&lt;'112'!$N$8,$L911='112'!$I$6)),"x",""))</f>
        <v/>
      </c>
      <c r="T911" s="525" t="str">
        <f>IF(ISERROR(FIND('112'!$M$9,G911,1)),"",IF((AND(RIGHT(G911,2)=RIGHT('112'!$M$9,2),B911&lt;'112'!$N$8,$M911='112'!$I$6)),"x",""))</f>
        <v/>
      </c>
      <c r="U911" s="525" t="str">
        <f>IF(AND(B911&gt;='IN-NX'!$P$3,B911&lt;='IN-NX'!$Q$3,'IN-NX'!$D$7=D911,OR(LEFT(L911,2)="15",AND(LEFT(M911,2)&lt;&gt;"15",LEFT(M911,2)&lt;&gt;"33"))),"x","")</f>
        <v/>
      </c>
      <c r="V911" s="525" t="str">
        <f>IF(AND(OR(LEFT(TH!L911,2)="15",LEFT(TH!M911,2)="15"),'152-CT'!$J$8=TH!F911),"x","")</f>
        <v/>
      </c>
      <c r="W911" s="525" t="str">
        <f>IF(AND(OR(LEFT(TH!L911,2)="15",LEFT(TH!M911,2)="15"),TK!$E$7=TH!F911),"x","")</f>
        <v/>
      </c>
      <c r="X911" s="525" t="str">
        <f>IF(AND('341-CT'!$E$9=H911,OR(LEFT(L911,3)=$X$7,LEFT(M911,3)=$X$7)),"x","")</f>
        <v/>
      </c>
      <c r="Y911" s="525" t="str">
        <f>IF(OR(TH!L911=TH!$Y$7,M911=TH!$Y$7),"x","")</f>
        <v/>
      </c>
      <c r="Z911" s="525" t="str">
        <f>IF(AND(B911&lt;=NKC!$N$8,B911&gt;=NKC!$M$8),"x","")</f>
        <v/>
      </c>
      <c r="AA911" s="535">
        <v>2</v>
      </c>
      <c r="AB911" s="536"/>
    </row>
    <row r="912" spans="1:28" s="503" customFormat="1" ht="15.75" customHeight="1">
      <c r="A912" s="517" t="str">
        <f>IF(B912&lt;&gt;"",IF(AND(B912&gt;=_TM1,B912&lt;=_TM2,OR(TH!L916="1111",TH!M916="1111")),TH!D916,""),"")</f>
        <v/>
      </c>
      <c r="B912" s="531">
        <f t="shared" ref="B912:B945" si="107">IF(C912&lt;&gt;"",MONTH(C912),"")</f>
        <v>7</v>
      </c>
      <c r="C912" s="315">
        <f t="shared" ref="C912:C945" si="108">E912</f>
        <v>42917</v>
      </c>
      <c r="D912" s="537"/>
      <c r="E912" s="315">
        <v>42917</v>
      </c>
      <c r="F912" s="249" t="s">
        <v>1571</v>
      </c>
      <c r="G912" s="314" t="s">
        <v>1574</v>
      </c>
      <c r="H912" s="473" t="s">
        <v>863</v>
      </c>
      <c r="I912" s="307"/>
      <c r="J912" s="307"/>
      <c r="K912" s="532">
        <f>168182+20000</f>
        <v>188182</v>
      </c>
      <c r="L912" s="539" t="s">
        <v>81</v>
      </c>
      <c r="M912" s="539" t="s">
        <v>45</v>
      </c>
      <c r="N912" s="525" t="str">
        <f>IF(AND('331-CT'!$E$7=TH!H916,OR(L912="331",M912="331")),"331",IF(AND(OR(L912="131",M912="131"),H912='131-CT'!$E$7),"131",""))</f>
        <v/>
      </c>
      <c r="O912" s="525" t="str">
        <f>IF(AND($B912&gt;='111'!$N$11,$B912&lt;='111'!$O$11,OR($L912=$O$7,$M912=$O$7)),"x","")</f>
        <v/>
      </c>
      <c r="P912" s="525" t="str">
        <f>IF(AND($L912=$O$7,$B912&lt;'111'!$N$11),"x","")</f>
        <v/>
      </c>
      <c r="Q912" s="525" t="str">
        <f>IF(AND($M912=$O$7,$B912&lt;'111'!$N$11),"x","")</f>
        <v>x</v>
      </c>
      <c r="R912" s="525" t="str">
        <f>IF(ISERROR(FIND('112'!$M$9,G912,1)),"",IF((AND(FIND('112'!$M$9,G912,1)&gt;=1,$B912&gt;='112'!$N$8,$B912&lt;='112'!$O$8,OR($L912='112'!$I$6,$M912='112'!$I$6))),"x",""))</f>
        <v/>
      </c>
      <c r="S912" s="525" t="str">
        <f>IF(ISERROR(FIND('112'!$M$9,G912,1)),"",IF((AND(LEFT(G912,2)=LEFT('112'!$M$9,2),B912&lt;'112'!$N$8,$L912='112'!$I$6)),"x",""))</f>
        <v/>
      </c>
      <c r="T912" s="525" t="str">
        <f>IF(ISERROR(FIND('112'!$M$9,G912,1)),"",IF((AND(RIGHT(G912,2)=RIGHT('112'!$M$9,2),B912&lt;'112'!$N$8,$M912='112'!$I$6)),"x",""))</f>
        <v/>
      </c>
      <c r="U912" s="525" t="str">
        <f>IF(AND(B912&gt;='IN-NX'!$P$3,B912&lt;='IN-NX'!$Q$3,'IN-NX'!$D$7=D912,OR(LEFT(L912,2)="15",AND(LEFT(M912,2)&lt;&gt;"15",LEFT(M912,2)&lt;&gt;"33"))),"x","")</f>
        <v/>
      </c>
      <c r="V912" s="525" t="str">
        <f>IF(AND(OR(LEFT(TH!L916,2)="15",LEFT(TH!M916,2)="15"),'152-CT'!$J$8=TH!F916),"x","")</f>
        <v/>
      </c>
      <c r="W912" s="525" t="str">
        <f>IF(AND(OR(LEFT(TH!L916,2)="15",LEFT(TH!M916,2)="15"),TK!$E$7=TH!F916),"x","")</f>
        <v/>
      </c>
      <c r="X912" s="525" t="str">
        <f>IF(AND('341-CT'!$E$9=H912,OR(LEFT(L912,3)=$X$7,LEFT(M912,3)=$X$7)),"x","")</f>
        <v/>
      </c>
      <c r="Y912" s="525" t="str">
        <f>IF(OR(TH!L916=TH!$Y$7,M912=TH!$Y$7),"x","")</f>
        <v/>
      </c>
      <c r="Z912" s="525" t="str">
        <f>IF(AND(B912&lt;=NKC!$N$8,B912&gt;=NKC!$M$8),"x","")</f>
        <v/>
      </c>
      <c r="AA912" s="535">
        <v>3</v>
      </c>
      <c r="AB912" s="536"/>
    </row>
    <row r="913" spans="1:28" s="503" customFormat="1" ht="15.75" customHeight="1">
      <c r="A913" s="517" t="str">
        <f>IF(B913&lt;&gt;"",IF(AND(B913&gt;=_TM1,B913&lt;=_TM2,OR(TH!L917="1111",TH!M917="1111")),TH!D917,""),"")</f>
        <v/>
      </c>
      <c r="B913" s="531">
        <f t="shared" si="107"/>
        <v>7</v>
      </c>
      <c r="C913" s="315">
        <f t="shared" si="108"/>
        <v>42917</v>
      </c>
      <c r="D913" s="537"/>
      <c r="E913" s="315">
        <v>42917</v>
      </c>
      <c r="F913" s="249" t="s">
        <v>1201</v>
      </c>
      <c r="G913" s="314" t="s">
        <v>1574</v>
      </c>
      <c r="H913" s="473" t="s">
        <v>863</v>
      </c>
      <c r="I913" s="307"/>
      <c r="J913" s="307"/>
      <c r="K913" s="532">
        <f>2000+16818</f>
        <v>18818</v>
      </c>
      <c r="L913" s="588" t="s">
        <v>9</v>
      </c>
      <c r="M913" s="539" t="s">
        <v>45</v>
      </c>
      <c r="N913" s="525" t="str">
        <f>IF(AND('331-CT'!$E$7=TH!H917,OR(L913="331",M913="331")),"331",IF(AND(OR(L913="131",M913="131"),H913='131-CT'!$E$7),"131",""))</f>
        <v/>
      </c>
      <c r="O913" s="525" t="str">
        <f>IF(AND($B913&gt;='111'!$N$11,$B913&lt;='111'!$O$11,OR($L913=$O$7,$M913=$O$7)),"x","")</f>
        <v/>
      </c>
      <c r="P913" s="525" t="str">
        <f>IF(AND($L913=$O$7,$B913&lt;'111'!$N$11),"x","")</f>
        <v/>
      </c>
      <c r="Q913" s="525" t="str">
        <f>IF(AND($M913=$O$7,$B913&lt;'111'!$N$11),"x","")</f>
        <v>x</v>
      </c>
      <c r="R913" s="525" t="str">
        <f>IF(ISERROR(FIND('112'!$M$9,G913,1)),"",IF((AND(FIND('112'!$M$9,G913,1)&gt;=1,$B913&gt;='112'!$N$8,$B913&lt;='112'!$O$8,OR($L913='112'!$I$6,$M913='112'!$I$6))),"x",""))</f>
        <v/>
      </c>
      <c r="S913" s="525" t="str">
        <f>IF(ISERROR(FIND('112'!$M$9,G913,1)),"",IF((AND(LEFT(G913,2)=LEFT('112'!$M$9,2),B913&lt;'112'!$N$8,$L913='112'!$I$6)),"x",""))</f>
        <v/>
      </c>
      <c r="T913" s="525" t="str">
        <f>IF(ISERROR(FIND('112'!$M$9,G913,1)),"",IF((AND(RIGHT(G913,2)=RIGHT('112'!$M$9,2),B913&lt;'112'!$N$8,$M913='112'!$I$6)),"x",""))</f>
        <v/>
      </c>
      <c r="U913" s="525" t="str">
        <f>IF(AND(B913&gt;='IN-NX'!$P$3,B913&lt;='IN-NX'!$Q$3,'IN-NX'!$D$7=D913,OR(LEFT(L913,2)="15",AND(LEFT(M913,2)&lt;&gt;"15",LEFT(M913,2)&lt;&gt;"33"))),"x","")</f>
        <v/>
      </c>
      <c r="V913" s="525" t="str">
        <f>IF(AND(OR(LEFT(TH!L917,2)="15",LEFT(TH!M917,2)="15"),'152-CT'!$J$8=TH!F917),"x","")</f>
        <v/>
      </c>
      <c r="W913" s="525" t="str">
        <f>IF(AND(OR(LEFT(TH!L917,2)="15",LEFT(TH!M917,2)="15"),TK!$E$7=TH!F917),"x","")</f>
        <v/>
      </c>
      <c r="X913" s="525" t="str">
        <f>IF(AND('341-CT'!$E$9=H913,OR(LEFT(L913,3)=$X$7,LEFT(M913,3)=$X$7)),"x","")</f>
        <v/>
      </c>
      <c r="Y913" s="525" t="str">
        <f>IF(OR(TH!L917=TH!$Y$7,M913=TH!$Y$7),"x","")</f>
        <v/>
      </c>
      <c r="Z913" s="525" t="str">
        <f>IF(AND(B913&lt;=NKC!$N$8,B913&gt;=NKC!$M$8),"x","")</f>
        <v/>
      </c>
      <c r="AA913" s="535">
        <v>3</v>
      </c>
      <c r="AB913" s="536"/>
    </row>
    <row r="914" spans="1:28" s="503" customFormat="1" ht="15.75" customHeight="1">
      <c r="A914" s="517" t="str">
        <f>IF(B914&lt;&gt;"",IF(AND(B914&gt;=_TM1,B914&lt;=_TM2,OR(TH!L922="1111",TH!M922="1111")),TH!D922,""),"")</f>
        <v/>
      </c>
      <c r="B914" s="531">
        <f t="shared" si="107"/>
        <v>7</v>
      </c>
      <c r="C914" s="315">
        <f t="shared" si="108"/>
        <v>42920</v>
      </c>
      <c r="D914" s="537"/>
      <c r="E914" s="315">
        <v>42920</v>
      </c>
      <c r="F914" s="249" t="s">
        <v>1577</v>
      </c>
      <c r="G914" s="314" t="s">
        <v>1580</v>
      </c>
      <c r="H914" s="473" t="s">
        <v>852</v>
      </c>
      <c r="I914" s="307"/>
      <c r="J914" s="307"/>
      <c r="K914" s="532">
        <f>206260+398760+570293</f>
        <v>1175313</v>
      </c>
      <c r="L914" s="539" t="s">
        <v>81</v>
      </c>
      <c r="M914" s="539" t="s">
        <v>45</v>
      </c>
      <c r="N914" s="525" t="str">
        <f>IF(AND('331-CT'!$E$7=TH!H922,OR(L914="331",M914="331")),"331",IF(AND(OR(L914="131",M914="131"),H914='131-CT'!$E$7),"131",""))</f>
        <v/>
      </c>
      <c r="O914" s="525" t="str">
        <f>IF(AND($B914&gt;='111'!$N$11,$B914&lt;='111'!$O$11,OR($L914=$O$7,$M914=$O$7)),"x","")</f>
        <v/>
      </c>
      <c r="P914" s="525" t="str">
        <f>IF(AND($L914=$O$7,$B914&lt;'111'!$N$11),"x","")</f>
        <v/>
      </c>
      <c r="Q914" s="525" t="str">
        <f>IF(AND($M914=$O$7,$B914&lt;'111'!$N$11),"x","")</f>
        <v>x</v>
      </c>
      <c r="R914" s="525" t="str">
        <f>IF(ISERROR(FIND('112'!$M$9,G914,1)),"",IF((AND(FIND('112'!$M$9,G914,1)&gt;=1,$B914&gt;='112'!$N$8,$B914&lt;='112'!$O$8,OR($L914='112'!$I$6,$M914='112'!$I$6))),"x",""))</f>
        <v/>
      </c>
      <c r="S914" s="525" t="str">
        <f>IF(ISERROR(FIND('112'!$M$9,G914,1)),"",IF((AND(LEFT(G914,2)=LEFT('112'!$M$9,2),B914&lt;'112'!$N$8,$L914='112'!$I$6)),"x",""))</f>
        <v/>
      </c>
      <c r="T914" s="525" t="str">
        <f>IF(ISERROR(FIND('112'!$M$9,G914,1)),"",IF((AND(RIGHT(G914,2)=RIGHT('112'!$M$9,2),B914&lt;'112'!$N$8,$M914='112'!$I$6)),"x",""))</f>
        <v/>
      </c>
      <c r="U914" s="525" t="str">
        <f>IF(AND(B914&gt;='IN-NX'!$P$3,B914&lt;='IN-NX'!$Q$3,'IN-NX'!$D$7=D914,OR(LEFT(L914,2)="15",AND(LEFT(M914,2)&lt;&gt;"15",LEFT(M914,2)&lt;&gt;"33"))),"x","")</f>
        <v/>
      </c>
      <c r="V914" s="525" t="str">
        <f>IF(AND(OR(LEFT(TH!L922,2)="15",LEFT(TH!M922,2)="15"),'152-CT'!$J$8=TH!F922),"x","")</f>
        <v/>
      </c>
      <c r="W914" s="525" t="str">
        <f>IF(AND(OR(LEFT(TH!L922,2)="15",LEFT(TH!M922,2)="15"),TK!$E$7=TH!F922),"x","")</f>
        <v/>
      </c>
      <c r="X914" s="525" t="str">
        <f>IF(AND('341-CT'!$E$9=H914,OR(LEFT(L914,3)=$X$7,LEFT(M914,3)=$X$7)),"x","")</f>
        <v/>
      </c>
      <c r="Y914" s="525" t="str">
        <f>IF(OR(TH!L922=TH!$Y$7,M914=TH!$Y$7),"x","")</f>
        <v/>
      </c>
      <c r="Z914" s="525" t="str">
        <f>IF(AND(B914&lt;=NKC!$N$8,B914&gt;=NKC!$M$8),"x","")</f>
        <v/>
      </c>
      <c r="AA914" s="535">
        <v>3</v>
      </c>
      <c r="AB914" s="536"/>
    </row>
    <row r="915" spans="1:28" s="503" customFormat="1" ht="15.75" customHeight="1">
      <c r="A915" s="517" t="str">
        <f>IF(B915&lt;&gt;"",IF(AND(B915&gt;=_TM1,B915&lt;=_TM2,OR(TH!L923="1111",TH!M923="1111")),TH!D923,""),"")</f>
        <v/>
      </c>
      <c r="B915" s="531">
        <f t="shared" si="107"/>
        <v>7</v>
      </c>
      <c r="C915" s="315">
        <f t="shared" si="108"/>
        <v>42920</v>
      </c>
      <c r="D915" s="537"/>
      <c r="E915" s="315">
        <v>42920</v>
      </c>
      <c r="F915" s="249" t="s">
        <v>853</v>
      </c>
      <c r="G915" s="314" t="s">
        <v>1580</v>
      </c>
      <c r="H915" s="473" t="s">
        <v>852</v>
      </c>
      <c r="I915" s="307"/>
      <c r="J915" s="307"/>
      <c r="K915" s="532">
        <f>20626+39876+57029</f>
        <v>117531</v>
      </c>
      <c r="L915" s="588" t="s">
        <v>9</v>
      </c>
      <c r="M915" s="539" t="s">
        <v>45</v>
      </c>
      <c r="N915" s="525" t="str">
        <f>IF(AND('331-CT'!$E$7=TH!H923,OR(L915="331",M915="331")),"331",IF(AND(OR(L915="131",M915="131"),H915='131-CT'!$E$7),"131",""))</f>
        <v/>
      </c>
      <c r="O915" s="525" t="str">
        <f>IF(AND($B915&gt;='111'!$N$11,$B915&lt;='111'!$O$11,OR($L915=$O$7,$M915=$O$7)),"x","")</f>
        <v/>
      </c>
      <c r="P915" s="525" t="str">
        <f>IF(AND($L915=$O$7,$B915&lt;'111'!$N$11),"x","")</f>
        <v/>
      </c>
      <c r="Q915" s="525" t="str">
        <f>IF(AND($M915=$O$7,$B915&lt;'111'!$N$11),"x","")</f>
        <v>x</v>
      </c>
      <c r="R915" s="525" t="str">
        <f>IF(ISERROR(FIND('112'!$M$9,G915,1)),"",IF((AND(FIND('112'!$M$9,G915,1)&gt;=1,$B915&gt;='112'!$N$8,$B915&lt;='112'!$O$8,OR($L915='112'!$I$6,$M915='112'!$I$6))),"x",""))</f>
        <v/>
      </c>
      <c r="S915" s="525" t="str">
        <f>IF(ISERROR(FIND('112'!$M$9,G915,1)),"",IF((AND(LEFT(G915,2)=LEFT('112'!$M$9,2),B915&lt;'112'!$N$8,$L915='112'!$I$6)),"x",""))</f>
        <v/>
      </c>
      <c r="T915" s="525" t="str">
        <f>IF(ISERROR(FIND('112'!$M$9,G915,1)),"",IF((AND(RIGHT(G915,2)=RIGHT('112'!$M$9,2),B915&lt;'112'!$N$8,$M915='112'!$I$6)),"x",""))</f>
        <v/>
      </c>
      <c r="U915" s="525" t="str">
        <f>IF(AND(B915&gt;='IN-NX'!$P$3,B915&lt;='IN-NX'!$Q$3,'IN-NX'!$D$7=D915,OR(LEFT(L915,2)="15",AND(LEFT(M915,2)&lt;&gt;"15",LEFT(M915,2)&lt;&gt;"33"))),"x","")</f>
        <v/>
      </c>
      <c r="V915" s="525" t="str">
        <f>IF(AND(OR(LEFT(TH!L923,2)="15",LEFT(TH!M923,2)="15"),'152-CT'!$J$8=TH!F923),"x","")</f>
        <v/>
      </c>
      <c r="W915" s="525" t="str">
        <f>IF(AND(OR(LEFT(TH!L923,2)="15",LEFT(TH!M923,2)="15"),TK!$E$7=TH!F923),"x","")</f>
        <v/>
      </c>
      <c r="X915" s="525" t="str">
        <f>IF(AND('341-CT'!$E$9=H915,OR(LEFT(L915,3)=$X$7,LEFT(M915,3)=$X$7)),"x","")</f>
        <v/>
      </c>
      <c r="Y915" s="525" t="str">
        <f>IF(OR(TH!L923=TH!$Y$7,M915=TH!$Y$7),"x","")</f>
        <v/>
      </c>
      <c r="Z915" s="525" t="str">
        <f>IF(AND(B915&lt;=NKC!$N$8,B915&gt;=NKC!$M$8),"x","")</f>
        <v/>
      </c>
      <c r="AA915" s="535">
        <v>3</v>
      </c>
      <c r="AB915" s="536"/>
    </row>
    <row r="916" spans="1:28" s="503" customFormat="1" ht="15.75" customHeight="1">
      <c r="A916" s="517" t="str">
        <f>IF(B916&lt;&gt;"",IF(AND(B916&gt;=_TM1,B916&lt;=_TM2,OR(TH!L928="1111",TH!M928="1111")),TH!D928,""),"")</f>
        <v/>
      </c>
      <c r="B916" s="531">
        <f t="shared" si="107"/>
        <v>7</v>
      </c>
      <c r="C916" s="315">
        <f t="shared" si="108"/>
        <v>42941</v>
      </c>
      <c r="D916" s="537"/>
      <c r="E916" s="315">
        <v>42941</v>
      </c>
      <c r="F916" s="249" t="s">
        <v>516</v>
      </c>
      <c r="G916" s="314" t="s">
        <v>1705</v>
      </c>
      <c r="H916" s="473" t="s">
        <v>1706</v>
      </c>
      <c r="I916" s="307"/>
      <c r="J916" s="307"/>
      <c r="K916" s="532">
        <v>1741500</v>
      </c>
      <c r="L916" s="539" t="s">
        <v>81</v>
      </c>
      <c r="M916" s="539" t="s">
        <v>45</v>
      </c>
      <c r="N916" s="525" t="str">
        <f>IF(AND('331-CT'!$E$7=TH!H928,OR(L916="331",M916="331")),"331",IF(AND(OR(L916="131",M916="131"),H916='131-CT'!$E$7),"131",""))</f>
        <v/>
      </c>
      <c r="O916" s="525" t="str">
        <f>IF(AND($B916&gt;='111'!$N$11,$B916&lt;='111'!$O$11,OR($L916=$O$7,$M916=$O$7)),"x","")</f>
        <v/>
      </c>
      <c r="P916" s="525" t="str">
        <f>IF(AND($L916=$O$7,$B916&lt;'111'!$N$11),"x","")</f>
        <v/>
      </c>
      <c r="Q916" s="525" t="str">
        <f>IF(AND($M916=$O$7,$B916&lt;'111'!$N$11),"x","")</f>
        <v>x</v>
      </c>
      <c r="R916" s="525" t="str">
        <f>IF(ISERROR(FIND('112'!$M$9,G916,1)),"",IF((AND(FIND('112'!$M$9,G916,1)&gt;=1,$B916&gt;='112'!$N$8,$B916&lt;='112'!$O$8,OR($L916='112'!$I$6,$M916='112'!$I$6))),"x",""))</f>
        <v/>
      </c>
      <c r="S916" s="525" t="str">
        <f>IF(ISERROR(FIND('112'!$M$9,G916,1)),"",IF((AND(LEFT(G916,2)=LEFT('112'!$M$9,2),B916&lt;'112'!$N$8,$L916='112'!$I$6)),"x",""))</f>
        <v/>
      </c>
      <c r="T916" s="525" t="str">
        <f>IF(ISERROR(FIND('112'!$M$9,G916,1)),"",IF((AND(RIGHT(G916,2)=RIGHT('112'!$M$9,2),B916&lt;'112'!$N$8,$M916='112'!$I$6)),"x",""))</f>
        <v/>
      </c>
      <c r="U916" s="525" t="str">
        <f>IF(AND(B916&gt;='IN-NX'!$P$3,B916&lt;='IN-NX'!$Q$3,'IN-NX'!$D$7=D916,OR(LEFT(L916,2)="15",AND(LEFT(M916,2)&lt;&gt;"15",LEFT(M916,2)&lt;&gt;"33"))),"x","")</f>
        <v/>
      </c>
      <c r="V916" s="525" t="str">
        <f>IF(AND(OR(LEFT(TH!L928,2)="15",LEFT(TH!M928,2)="15"),'152-CT'!$J$8=TH!F928),"x","")</f>
        <v/>
      </c>
      <c r="W916" s="525" t="str">
        <f>IF(AND(OR(LEFT(TH!L928,2)="15",LEFT(TH!M928,2)="15"),TK!$E$7=TH!F928),"x","")</f>
        <v/>
      </c>
      <c r="X916" s="525" t="str">
        <f>IF(AND('341-CT'!$E$9=H916,OR(LEFT(L916,3)=$X$7,LEFT(M916,3)=$X$7)),"x","")</f>
        <v/>
      </c>
      <c r="Y916" s="525" t="str">
        <f>IF(OR(TH!L928=TH!$Y$7,M916=TH!$Y$7),"x","")</f>
        <v/>
      </c>
      <c r="Z916" s="525" t="str">
        <f>IF(AND(B916&lt;=NKC!$N$8,B916&gt;=NKC!$M$8),"x","")</f>
        <v/>
      </c>
      <c r="AA916" s="535">
        <v>3</v>
      </c>
      <c r="AB916" s="536"/>
    </row>
    <row r="917" spans="1:28" s="503" customFormat="1" ht="15.75" customHeight="1">
      <c r="A917" s="517" t="str">
        <f>IF(B917&lt;&gt;"",IF(AND(B917&gt;=_TM1,B917&lt;=_TM2,OR(TH!L929="1111",TH!M929="1111")),TH!D929,""),"")</f>
        <v/>
      </c>
      <c r="B917" s="531">
        <f t="shared" si="107"/>
        <v>7</v>
      </c>
      <c r="C917" s="315">
        <f t="shared" si="108"/>
        <v>42941</v>
      </c>
      <c r="D917" s="537"/>
      <c r="E917" s="315">
        <v>42941</v>
      </c>
      <c r="F917" s="249" t="s">
        <v>517</v>
      </c>
      <c r="G917" s="314" t="s">
        <v>1705</v>
      </c>
      <c r="H917" s="473" t="s">
        <v>1706</v>
      </c>
      <c r="I917" s="307"/>
      <c r="J917" s="307"/>
      <c r="K917" s="532">
        <v>174150</v>
      </c>
      <c r="L917" s="588" t="s">
        <v>9</v>
      </c>
      <c r="M917" s="539" t="s">
        <v>45</v>
      </c>
      <c r="N917" s="525" t="str">
        <f>IF(AND('331-CT'!$E$7=TH!H929,OR(L917="331",M917="331")),"331",IF(AND(OR(L917="131",M917="131"),H917='131-CT'!$E$7),"131",""))</f>
        <v/>
      </c>
      <c r="O917" s="525" t="str">
        <f>IF(AND($B917&gt;='111'!$N$11,$B917&lt;='111'!$O$11,OR($L917=$O$7,$M917=$O$7)),"x","")</f>
        <v/>
      </c>
      <c r="P917" s="525" t="str">
        <f>IF(AND($L917=$O$7,$B917&lt;'111'!$N$11),"x","")</f>
        <v/>
      </c>
      <c r="Q917" s="525" t="str">
        <f>IF(AND($M917=$O$7,$B917&lt;'111'!$N$11),"x","")</f>
        <v>x</v>
      </c>
      <c r="R917" s="525" t="str">
        <f>IF(ISERROR(FIND('112'!$M$9,G917,1)),"",IF((AND(FIND('112'!$M$9,G917,1)&gt;=1,$B917&gt;='112'!$N$8,$B917&lt;='112'!$O$8,OR($L917='112'!$I$6,$M917='112'!$I$6))),"x",""))</f>
        <v/>
      </c>
      <c r="S917" s="525" t="str">
        <f>IF(ISERROR(FIND('112'!$M$9,G917,1)),"",IF((AND(LEFT(G917,2)=LEFT('112'!$M$9,2),B917&lt;'112'!$N$8,$L917='112'!$I$6)),"x",""))</f>
        <v/>
      </c>
      <c r="T917" s="525" t="str">
        <f>IF(ISERROR(FIND('112'!$M$9,G917,1)),"",IF((AND(RIGHT(G917,2)=RIGHT('112'!$M$9,2),B917&lt;'112'!$N$8,$M917='112'!$I$6)),"x",""))</f>
        <v/>
      </c>
      <c r="U917" s="525" t="str">
        <f>IF(AND(B917&gt;='IN-NX'!$P$3,B917&lt;='IN-NX'!$Q$3,'IN-NX'!$D$7=D917,OR(LEFT(L917,2)="15",AND(LEFT(M917,2)&lt;&gt;"15",LEFT(M917,2)&lt;&gt;"33"))),"x","")</f>
        <v/>
      </c>
      <c r="V917" s="525" t="str">
        <f>IF(AND(OR(LEFT(TH!L929,2)="15",LEFT(TH!M929,2)="15"),'152-CT'!$J$8=TH!F929),"x","")</f>
        <v/>
      </c>
      <c r="W917" s="525" t="str">
        <f>IF(AND(OR(LEFT(TH!L929,2)="15",LEFT(TH!M929,2)="15"),TK!$E$7=TH!F929),"x","")</f>
        <v/>
      </c>
      <c r="X917" s="525" t="str">
        <f>IF(AND('341-CT'!$E$9=H917,OR(LEFT(L917,3)=$X$7,LEFT(M917,3)=$X$7)),"x","")</f>
        <v/>
      </c>
      <c r="Y917" s="525" t="str">
        <f>IF(OR(TH!L929=TH!$Y$7,M917=TH!$Y$7),"x","")</f>
        <v/>
      </c>
      <c r="Z917" s="525" t="str">
        <f>IF(AND(B917&lt;=NKC!$N$8,B917&gt;=NKC!$M$8),"x","")</f>
        <v/>
      </c>
      <c r="AA917" s="535">
        <v>3</v>
      </c>
      <c r="AB917" s="536"/>
    </row>
    <row r="918" spans="1:28" s="503" customFormat="1" ht="15.75" customHeight="1">
      <c r="A918" s="517" t="str">
        <f>IF(B918&lt;&gt;"",IF(AND(B918&gt;=_TM1,B918&lt;=_TM2,OR(TH!L930="1111",TH!M930="1111")),TH!D930,""),"")</f>
        <v/>
      </c>
      <c r="B918" s="531">
        <f t="shared" si="107"/>
        <v>7</v>
      </c>
      <c r="C918" s="315">
        <f t="shared" si="108"/>
        <v>42942</v>
      </c>
      <c r="D918" s="537"/>
      <c r="E918" s="315">
        <v>42942</v>
      </c>
      <c r="F918" s="249" t="s">
        <v>521</v>
      </c>
      <c r="G918" s="314" t="s">
        <v>1707</v>
      </c>
      <c r="H918" s="824" t="s">
        <v>523</v>
      </c>
      <c r="I918" s="307"/>
      <c r="J918" s="307"/>
      <c r="K918" s="532">
        <v>1368327</v>
      </c>
      <c r="L918" s="539" t="s">
        <v>81</v>
      </c>
      <c r="M918" s="539" t="s">
        <v>45</v>
      </c>
      <c r="N918" s="525" t="str">
        <f>IF(AND('331-CT'!$E$7=TH!H930,OR(L918="331",M918="331")),"331",IF(AND(OR(L918="131",M918="131"),H918='131-CT'!$E$7),"131",""))</f>
        <v/>
      </c>
      <c r="O918" s="525" t="str">
        <f>IF(AND($B918&gt;='111'!$N$11,$B918&lt;='111'!$O$11,OR($L918=$O$7,$M918=$O$7)),"x","")</f>
        <v/>
      </c>
      <c r="P918" s="525" t="str">
        <f>IF(AND($L918=$O$7,$B918&lt;'111'!$N$11),"x","")</f>
        <v/>
      </c>
      <c r="Q918" s="525" t="str">
        <f>IF(AND($M918=$O$7,$B918&lt;'111'!$N$11),"x","")</f>
        <v>x</v>
      </c>
      <c r="R918" s="525" t="str">
        <f>IF(ISERROR(FIND('112'!$M$9,G918,1)),"",IF((AND(FIND('112'!$M$9,G918,1)&gt;=1,$B918&gt;='112'!$N$8,$B918&lt;='112'!$O$8,OR($L918='112'!$I$6,$M918='112'!$I$6))),"x",""))</f>
        <v/>
      </c>
      <c r="S918" s="525" t="str">
        <f>IF(ISERROR(FIND('112'!$M$9,G918,1)),"",IF((AND(LEFT(G918,2)=LEFT('112'!$M$9,2),B918&lt;'112'!$N$8,$L918='112'!$I$6)),"x",""))</f>
        <v/>
      </c>
      <c r="T918" s="525" t="str">
        <f>IF(ISERROR(FIND('112'!$M$9,G918,1)),"",IF((AND(RIGHT(G918,2)=RIGHT('112'!$M$9,2),B918&lt;'112'!$N$8,$M918='112'!$I$6)),"x",""))</f>
        <v/>
      </c>
      <c r="U918" s="525" t="str">
        <f>IF(AND(B918&gt;='IN-NX'!$P$3,B918&lt;='IN-NX'!$Q$3,'IN-NX'!$D$7=D918,OR(LEFT(L918,2)="15",AND(LEFT(M918,2)&lt;&gt;"15",LEFT(M918,2)&lt;&gt;"33"))),"x","")</f>
        <v/>
      </c>
      <c r="V918" s="525" t="str">
        <f>IF(AND(OR(LEFT(TH!L930,2)="15",LEFT(TH!M930,2)="15"),'152-CT'!$J$8=TH!F930),"x","")</f>
        <v/>
      </c>
      <c r="W918" s="525" t="str">
        <f>IF(AND(OR(LEFT(TH!L930,2)="15",LEFT(TH!M930,2)="15"),TK!$E$7=TH!F930),"x","")</f>
        <v/>
      </c>
      <c r="X918" s="525" t="str">
        <f>IF(AND('341-CT'!$E$9=H918,OR(LEFT(L918,3)=$X$7,LEFT(M918,3)=$X$7)),"x","")</f>
        <v/>
      </c>
      <c r="Y918" s="525" t="str">
        <f>IF(OR(TH!L930=TH!$Y$7,M918=TH!$Y$7),"x","")</f>
        <v/>
      </c>
      <c r="Z918" s="525" t="str">
        <f>IF(AND(B918&lt;=NKC!$N$8,B918&gt;=NKC!$M$8),"x","")</f>
        <v/>
      </c>
      <c r="AA918" s="535">
        <v>3</v>
      </c>
      <c r="AB918" s="536"/>
    </row>
    <row r="919" spans="1:28" s="503" customFormat="1" ht="15.75" customHeight="1">
      <c r="A919" s="517" t="str">
        <f>IF(B919&lt;&gt;"",IF(AND(B919&gt;=_TM1,B919&lt;=_TM2,OR(TH!L931="1111",TH!M931="1111")),TH!D931,""),"")</f>
        <v/>
      </c>
      <c r="B919" s="531">
        <f t="shared" si="107"/>
        <v>7</v>
      </c>
      <c r="C919" s="315">
        <f t="shared" si="108"/>
        <v>42942</v>
      </c>
      <c r="D919" s="537"/>
      <c r="E919" s="315">
        <v>42942</v>
      </c>
      <c r="F919" s="249" t="s">
        <v>522</v>
      </c>
      <c r="G919" s="314" t="s">
        <v>1707</v>
      </c>
      <c r="H919" s="824" t="s">
        <v>523</v>
      </c>
      <c r="I919" s="307"/>
      <c r="J919" s="307"/>
      <c r="K919" s="532">
        <v>136833</v>
      </c>
      <c r="L919" s="588" t="s">
        <v>9</v>
      </c>
      <c r="M919" s="539" t="s">
        <v>45</v>
      </c>
      <c r="N919" s="525" t="str">
        <f>IF(AND('331-CT'!$E$7=TH!H931,OR(L919="331",M919="331")),"331",IF(AND(OR(L919="131",M919="131"),H919='131-CT'!$E$7),"131",""))</f>
        <v/>
      </c>
      <c r="O919" s="525" t="str">
        <f>IF(AND($B919&gt;='111'!$N$11,$B919&lt;='111'!$O$11,OR($L919=$O$7,$M919=$O$7)),"x","")</f>
        <v/>
      </c>
      <c r="P919" s="525" t="str">
        <f>IF(AND($L919=$O$7,$B919&lt;'111'!$N$11),"x","")</f>
        <v/>
      </c>
      <c r="Q919" s="525" t="str">
        <f>IF(AND($M919=$O$7,$B919&lt;'111'!$N$11),"x","")</f>
        <v>x</v>
      </c>
      <c r="R919" s="525" t="str">
        <f>IF(ISERROR(FIND('112'!$M$9,G919,1)),"",IF((AND(FIND('112'!$M$9,G919,1)&gt;=1,$B919&gt;='112'!$N$8,$B919&lt;='112'!$O$8,OR($L919='112'!$I$6,$M919='112'!$I$6))),"x",""))</f>
        <v/>
      </c>
      <c r="S919" s="525" t="str">
        <f>IF(ISERROR(FIND('112'!$M$9,G919,1)),"",IF((AND(LEFT(G919,2)=LEFT('112'!$M$9,2),B919&lt;'112'!$N$8,$L919='112'!$I$6)),"x",""))</f>
        <v/>
      </c>
      <c r="T919" s="525" t="str">
        <f>IF(ISERROR(FIND('112'!$M$9,G919,1)),"",IF((AND(RIGHT(G919,2)=RIGHT('112'!$M$9,2),B919&lt;'112'!$N$8,$M919='112'!$I$6)),"x",""))</f>
        <v/>
      </c>
      <c r="U919" s="525" t="str">
        <f>IF(AND(B919&gt;='IN-NX'!$P$3,B919&lt;='IN-NX'!$Q$3,'IN-NX'!$D$7=D919,OR(LEFT(L919,2)="15",AND(LEFT(M919,2)&lt;&gt;"15",LEFT(M919,2)&lt;&gt;"33"))),"x","")</f>
        <v/>
      </c>
      <c r="V919" s="525" t="str">
        <f>IF(AND(OR(LEFT(TH!L931,2)="15",LEFT(TH!M931,2)="15"),'152-CT'!$J$8=TH!F931),"x","")</f>
        <v/>
      </c>
      <c r="W919" s="525" t="str">
        <f>IF(AND(OR(LEFT(TH!L931,2)="15",LEFT(TH!M931,2)="15"),TK!$E$7=TH!F931),"x","")</f>
        <v/>
      </c>
      <c r="X919" s="525" t="str">
        <f>IF(AND('341-CT'!$E$9=H919,OR(LEFT(L919,3)=$X$7,LEFT(M919,3)=$X$7)),"x","")</f>
        <v/>
      </c>
      <c r="Y919" s="525" t="str">
        <f>IF(OR(TH!L931=TH!$Y$7,M919=TH!$Y$7),"x","")</f>
        <v/>
      </c>
      <c r="Z919" s="525" t="str">
        <f>IF(AND(B919&lt;=NKC!$N$8,B919&gt;=NKC!$M$8),"x","")</f>
        <v/>
      </c>
      <c r="AA919" s="535">
        <v>3</v>
      </c>
      <c r="AB919" s="536"/>
    </row>
    <row r="920" spans="1:28" s="503" customFormat="1" ht="15.75" customHeight="1">
      <c r="A920" s="517" t="str">
        <f>IF(B920&lt;&gt;"",IF(AND(B920&gt;=_TM1,B920&lt;=_TM2,OR(TH!L932="1111",TH!M932="1111")),TH!D932,""),"")</f>
        <v/>
      </c>
      <c r="B920" s="531">
        <f t="shared" si="107"/>
        <v>7</v>
      </c>
      <c r="C920" s="315">
        <f t="shared" si="108"/>
        <v>42943</v>
      </c>
      <c r="D920" s="537"/>
      <c r="E920" s="315">
        <v>42943</v>
      </c>
      <c r="F920" s="249" t="s">
        <v>521</v>
      </c>
      <c r="G920" s="314" t="s">
        <v>1708</v>
      </c>
      <c r="H920" s="825" t="s">
        <v>1285</v>
      </c>
      <c r="I920" s="307"/>
      <c r="J920" s="307"/>
      <c r="K920" s="532">
        <v>909091</v>
      </c>
      <c r="L920" s="539" t="s">
        <v>81</v>
      </c>
      <c r="M920" s="539" t="s">
        <v>45</v>
      </c>
      <c r="N920" s="525" t="str">
        <f>IF(AND('331-CT'!$E$7=TH!H932,OR(L920="331",M920="331")),"331",IF(AND(OR(L920="131",M920="131"),H920='131-CT'!$E$7),"131",""))</f>
        <v/>
      </c>
      <c r="O920" s="525" t="str">
        <f>IF(AND($B920&gt;='111'!$N$11,$B920&lt;='111'!$O$11,OR($L920=$O$7,$M920=$O$7)),"x","")</f>
        <v/>
      </c>
      <c r="P920" s="525" t="str">
        <f>IF(AND($L920=$O$7,$B920&lt;'111'!$N$11),"x","")</f>
        <v/>
      </c>
      <c r="Q920" s="525" t="str">
        <f>IF(AND($M920=$O$7,$B920&lt;'111'!$N$11),"x","")</f>
        <v>x</v>
      </c>
      <c r="R920" s="525" t="str">
        <f>IF(ISERROR(FIND('112'!$M$9,G920,1)),"",IF((AND(FIND('112'!$M$9,G920,1)&gt;=1,$B920&gt;='112'!$N$8,$B920&lt;='112'!$O$8,OR($L920='112'!$I$6,$M920='112'!$I$6))),"x",""))</f>
        <v/>
      </c>
      <c r="S920" s="525" t="str">
        <f>IF(ISERROR(FIND('112'!$M$9,G920,1)),"",IF((AND(LEFT(G920,2)=LEFT('112'!$M$9,2),B920&lt;'112'!$N$8,$L920='112'!$I$6)),"x",""))</f>
        <v/>
      </c>
      <c r="T920" s="525" t="str">
        <f>IF(ISERROR(FIND('112'!$M$9,G920,1)),"",IF((AND(RIGHT(G920,2)=RIGHT('112'!$M$9,2),B920&lt;'112'!$N$8,$M920='112'!$I$6)),"x",""))</f>
        <v/>
      </c>
      <c r="U920" s="525" t="str">
        <f>IF(AND(B920&gt;='IN-NX'!$P$3,B920&lt;='IN-NX'!$Q$3,'IN-NX'!$D$7=D920,OR(LEFT(L920,2)="15",AND(LEFT(M920,2)&lt;&gt;"15",LEFT(M920,2)&lt;&gt;"33"))),"x","")</f>
        <v/>
      </c>
      <c r="V920" s="525" t="str">
        <f>IF(AND(OR(LEFT(TH!L932,2)="15",LEFT(TH!M932,2)="15"),'152-CT'!$J$8=TH!F932),"x","")</f>
        <v/>
      </c>
      <c r="W920" s="525" t="str">
        <f>IF(AND(OR(LEFT(TH!L932,2)="15",LEFT(TH!M932,2)="15"),TK!$E$7=TH!F932),"x","")</f>
        <v/>
      </c>
      <c r="X920" s="525" t="str">
        <f>IF(AND('341-CT'!$E$9=H920,OR(LEFT(L920,3)=$X$7,LEFT(M920,3)=$X$7)),"x","")</f>
        <v/>
      </c>
      <c r="Y920" s="525" t="str">
        <f>IF(OR(TH!L932=TH!$Y$7,M920=TH!$Y$7),"x","")</f>
        <v/>
      </c>
      <c r="Z920" s="525" t="str">
        <f>IF(AND(B920&lt;=NKC!$N$8,B920&gt;=NKC!$M$8),"x","")</f>
        <v/>
      </c>
      <c r="AA920" s="535">
        <v>3</v>
      </c>
      <c r="AB920" s="536"/>
    </row>
    <row r="921" spans="1:28" s="503" customFormat="1" ht="15.75" customHeight="1">
      <c r="A921" s="517" t="str">
        <f>IF(B921&lt;&gt;"",IF(AND(B921&gt;=_TM1,B921&lt;=_TM2,OR(TH!L933="1111",TH!M933="1111")),TH!D933,""),"")</f>
        <v/>
      </c>
      <c r="B921" s="531">
        <f t="shared" si="107"/>
        <v>7</v>
      </c>
      <c r="C921" s="315">
        <f t="shared" si="108"/>
        <v>42943</v>
      </c>
      <c r="D921" s="537"/>
      <c r="E921" s="315">
        <v>42943</v>
      </c>
      <c r="F921" s="249" t="s">
        <v>522</v>
      </c>
      <c r="G921" s="314" t="s">
        <v>1708</v>
      </c>
      <c r="H921" s="825" t="s">
        <v>1285</v>
      </c>
      <c r="I921" s="307"/>
      <c r="J921" s="307"/>
      <c r="K921" s="532">
        <v>90909</v>
      </c>
      <c r="L921" s="588" t="s">
        <v>9</v>
      </c>
      <c r="M921" s="539" t="s">
        <v>45</v>
      </c>
      <c r="N921" s="525" t="str">
        <f>IF(AND('331-CT'!$E$7=TH!H933,OR(L921="331",M921="331")),"331",IF(AND(OR(L921="131",M921="131"),H921='131-CT'!$E$7),"131",""))</f>
        <v/>
      </c>
      <c r="O921" s="525" t="str">
        <f>IF(AND($B921&gt;='111'!$N$11,$B921&lt;='111'!$O$11,OR($L921=$O$7,$M921=$O$7)),"x","")</f>
        <v/>
      </c>
      <c r="P921" s="525" t="str">
        <f>IF(AND($L921=$O$7,$B921&lt;'111'!$N$11),"x","")</f>
        <v/>
      </c>
      <c r="Q921" s="525" t="str">
        <f>IF(AND($M921=$O$7,$B921&lt;'111'!$N$11),"x","")</f>
        <v>x</v>
      </c>
      <c r="R921" s="525" t="str">
        <f>IF(ISERROR(FIND('112'!$M$9,G921,1)),"",IF((AND(FIND('112'!$M$9,G921,1)&gt;=1,$B921&gt;='112'!$N$8,$B921&lt;='112'!$O$8,OR($L921='112'!$I$6,$M921='112'!$I$6))),"x",""))</f>
        <v/>
      </c>
      <c r="S921" s="525" t="str">
        <f>IF(ISERROR(FIND('112'!$M$9,G921,1)),"",IF((AND(LEFT(G921,2)=LEFT('112'!$M$9,2),B921&lt;'112'!$N$8,$L921='112'!$I$6)),"x",""))</f>
        <v/>
      </c>
      <c r="T921" s="525" t="str">
        <f>IF(ISERROR(FIND('112'!$M$9,G921,1)),"",IF((AND(RIGHT(G921,2)=RIGHT('112'!$M$9,2),B921&lt;'112'!$N$8,$M921='112'!$I$6)),"x",""))</f>
        <v/>
      </c>
      <c r="U921" s="525" t="str">
        <f>IF(AND(B921&gt;='IN-NX'!$P$3,B921&lt;='IN-NX'!$Q$3,'IN-NX'!$D$7=D921,OR(LEFT(L921,2)="15",AND(LEFT(M921,2)&lt;&gt;"15",LEFT(M921,2)&lt;&gt;"33"))),"x","")</f>
        <v/>
      </c>
      <c r="V921" s="525" t="str">
        <f>IF(AND(OR(LEFT(TH!L933,2)="15",LEFT(TH!M933,2)="15"),'152-CT'!$J$8=TH!F933),"x","")</f>
        <v/>
      </c>
      <c r="W921" s="525" t="str">
        <f>IF(AND(OR(LEFT(TH!L933,2)="15",LEFT(TH!M933,2)="15"),TK!$E$7=TH!F933),"x","")</f>
        <v/>
      </c>
      <c r="X921" s="525" t="str">
        <f>IF(AND('341-CT'!$E$9=H921,OR(LEFT(L921,3)=$X$7,LEFT(M921,3)=$X$7)),"x","")</f>
        <v/>
      </c>
      <c r="Y921" s="525" t="str">
        <f>IF(OR(TH!L933=TH!$Y$7,M921=TH!$Y$7),"x","")</f>
        <v/>
      </c>
      <c r="Z921" s="525" t="str">
        <f>IF(AND(B921&lt;=NKC!$N$8,B921&gt;=NKC!$M$8),"x","")</f>
        <v/>
      </c>
      <c r="AA921" s="535">
        <v>3</v>
      </c>
      <c r="AB921" s="536"/>
    </row>
    <row r="922" spans="1:28" s="503" customFormat="1" ht="15.75" customHeight="1">
      <c r="A922" s="517" t="str">
        <f>IF(B922&lt;&gt;"",IF(AND(B922&gt;=_TM1,B922&lt;=_TM2,OR(TH!L934="1111",TH!M934="1111")),TH!D934,""),"")</f>
        <v/>
      </c>
      <c r="B922" s="531">
        <f t="shared" si="107"/>
        <v>7</v>
      </c>
      <c r="C922" s="315">
        <f t="shared" si="108"/>
        <v>42943</v>
      </c>
      <c r="D922" s="537"/>
      <c r="E922" s="315">
        <v>42943</v>
      </c>
      <c r="F922" s="249" t="s">
        <v>521</v>
      </c>
      <c r="G922" s="314" t="s">
        <v>1709</v>
      </c>
      <c r="H922" s="473" t="s">
        <v>1710</v>
      </c>
      <c r="I922" s="307"/>
      <c r="J922" s="307"/>
      <c r="K922" s="826">
        <v>491636</v>
      </c>
      <c r="L922" s="539" t="s">
        <v>81</v>
      </c>
      <c r="M922" s="539" t="s">
        <v>45</v>
      </c>
      <c r="N922" s="525" t="str">
        <f>IF(AND('331-CT'!$E$7=TH!H934,OR(L922="331",M922="331")),"331",IF(AND(OR(L922="131",M922="131"),H922='131-CT'!$E$7),"131",""))</f>
        <v/>
      </c>
      <c r="O922" s="525" t="str">
        <f>IF(AND($B922&gt;='111'!$N$11,$B922&lt;='111'!$O$11,OR($L922=$O$7,$M922=$O$7)),"x","")</f>
        <v/>
      </c>
      <c r="P922" s="525" t="str">
        <f>IF(AND($L922=$O$7,$B922&lt;'111'!$N$11),"x","")</f>
        <v/>
      </c>
      <c r="Q922" s="525" t="str">
        <f>IF(AND($M922=$O$7,$B922&lt;'111'!$N$11),"x","")</f>
        <v>x</v>
      </c>
      <c r="R922" s="525" t="str">
        <f>IF(ISERROR(FIND('112'!$M$9,G922,1)),"",IF((AND(FIND('112'!$M$9,G922,1)&gt;=1,$B922&gt;='112'!$N$8,$B922&lt;='112'!$O$8,OR($L922='112'!$I$6,$M922='112'!$I$6))),"x",""))</f>
        <v/>
      </c>
      <c r="S922" s="525" t="str">
        <f>IF(ISERROR(FIND('112'!$M$9,G922,1)),"",IF((AND(LEFT(G922,2)=LEFT('112'!$M$9,2),B922&lt;'112'!$N$8,$L922='112'!$I$6)),"x",""))</f>
        <v/>
      </c>
      <c r="T922" s="525" t="str">
        <f>IF(ISERROR(FIND('112'!$M$9,G922,1)),"",IF((AND(RIGHT(G922,2)=RIGHT('112'!$M$9,2),B922&lt;'112'!$N$8,$M922='112'!$I$6)),"x",""))</f>
        <v/>
      </c>
      <c r="U922" s="525" t="str">
        <f>IF(AND(B922&gt;='IN-NX'!$P$3,B922&lt;='IN-NX'!$Q$3,'IN-NX'!$D$7=D922,OR(LEFT(L922,2)="15",AND(LEFT(M922,2)&lt;&gt;"15",LEFT(M922,2)&lt;&gt;"33"))),"x","")</f>
        <v/>
      </c>
      <c r="V922" s="525" t="str">
        <f>IF(AND(OR(LEFT(TH!L934,2)="15",LEFT(TH!M934,2)="15"),'152-CT'!$J$8=TH!F934),"x","")</f>
        <v/>
      </c>
      <c r="W922" s="525" t="str">
        <f>IF(AND(OR(LEFT(TH!L934,2)="15",LEFT(TH!M934,2)="15"),TK!$E$7=TH!F934),"x","")</f>
        <v/>
      </c>
      <c r="X922" s="525" t="str">
        <f>IF(AND('341-CT'!$E$9=H922,OR(LEFT(L922,3)=$X$7,LEFT(M922,3)=$X$7)),"x","")</f>
        <v/>
      </c>
      <c r="Y922" s="525" t="str">
        <f>IF(OR(TH!L934=TH!$Y$7,M922=TH!$Y$7),"x","")</f>
        <v/>
      </c>
      <c r="Z922" s="525" t="str">
        <f>IF(AND(B922&lt;=NKC!$N$8,B922&gt;=NKC!$M$8),"x","")</f>
        <v/>
      </c>
      <c r="AA922" s="535">
        <v>3</v>
      </c>
      <c r="AB922" s="536"/>
    </row>
    <row r="923" spans="1:28" s="503" customFormat="1" ht="15.75" customHeight="1">
      <c r="A923" s="517" t="str">
        <f>IF(B923&lt;&gt;"",IF(AND(B923&gt;=_TM1,B923&lt;=_TM2,OR(TH!L935="1111",TH!M935="1111")),TH!D935,""),"")</f>
        <v/>
      </c>
      <c r="B923" s="531">
        <f t="shared" si="107"/>
        <v>7</v>
      </c>
      <c r="C923" s="315">
        <f t="shared" si="108"/>
        <v>42943</v>
      </c>
      <c r="D923" s="537"/>
      <c r="E923" s="315">
        <v>42943</v>
      </c>
      <c r="F923" s="249" t="s">
        <v>522</v>
      </c>
      <c r="G923" s="314" t="s">
        <v>1709</v>
      </c>
      <c r="H923" s="473" t="s">
        <v>1710</v>
      </c>
      <c r="I923" s="307"/>
      <c r="J923" s="307"/>
      <c r="K923" s="532">
        <v>49164</v>
      </c>
      <c r="L923" s="588" t="s">
        <v>9</v>
      </c>
      <c r="M923" s="539" t="s">
        <v>45</v>
      </c>
      <c r="N923" s="525" t="str">
        <f>IF(AND('331-CT'!$E$7=TH!H935,OR(L923="331",M923="331")),"331",IF(AND(OR(L923="131",M923="131"),H923='131-CT'!$E$7),"131",""))</f>
        <v/>
      </c>
      <c r="O923" s="525" t="str">
        <f>IF(AND($B923&gt;='111'!$N$11,$B923&lt;='111'!$O$11,OR($L923=$O$7,$M923=$O$7)),"x","")</f>
        <v/>
      </c>
      <c r="P923" s="525" t="str">
        <f>IF(AND($L923=$O$7,$B923&lt;'111'!$N$11),"x","")</f>
        <v/>
      </c>
      <c r="Q923" s="525" t="str">
        <f>IF(AND($M923=$O$7,$B923&lt;'111'!$N$11),"x","")</f>
        <v>x</v>
      </c>
      <c r="R923" s="525" t="str">
        <f>IF(ISERROR(FIND('112'!$M$9,G923,1)),"",IF((AND(FIND('112'!$M$9,G923,1)&gt;=1,$B923&gt;='112'!$N$8,$B923&lt;='112'!$O$8,OR($L923='112'!$I$6,$M923='112'!$I$6))),"x",""))</f>
        <v/>
      </c>
      <c r="S923" s="525" t="str">
        <f>IF(ISERROR(FIND('112'!$M$9,G923,1)),"",IF((AND(LEFT(G923,2)=LEFT('112'!$M$9,2),B923&lt;'112'!$N$8,$L923='112'!$I$6)),"x",""))</f>
        <v/>
      </c>
      <c r="T923" s="525" t="str">
        <f>IF(ISERROR(FIND('112'!$M$9,G923,1)),"",IF((AND(RIGHT(G923,2)=RIGHT('112'!$M$9,2),B923&lt;'112'!$N$8,$M923='112'!$I$6)),"x",""))</f>
        <v/>
      </c>
      <c r="U923" s="525" t="str">
        <f>IF(AND(B923&gt;='IN-NX'!$P$3,B923&lt;='IN-NX'!$Q$3,'IN-NX'!$D$7=D923,OR(LEFT(L923,2)="15",AND(LEFT(M923,2)&lt;&gt;"15",LEFT(M923,2)&lt;&gt;"33"))),"x","")</f>
        <v/>
      </c>
      <c r="V923" s="525" t="str">
        <f>IF(AND(OR(LEFT(TH!L935,2)="15",LEFT(TH!M935,2)="15"),'152-CT'!$J$8=TH!F935),"x","")</f>
        <v/>
      </c>
      <c r="W923" s="525" t="str">
        <f>IF(AND(OR(LEFT(TH!L935,2)="15",LEFT(TH!M935,2)="15"),TK!$E$7=TH!F935),"x","")</f>
        <v/>
      </c>
      <c r="X923" s="525" t="str">
        <f>IF(AND('341-CT'!$E$9=H923,OR(LEFT(L923,3)=$X$7,LEFT(M923,3)=$X$7)),"x","")</f>
        <v/>
      </c>
      <c r="Y923" s="525" t="str">
        <f>IF(OR(TH!L935=TH!$Y$7,M923=TH!$Y$7),"x","")</f>
        <v/>
      </c>
      <c r="Z923" s="525" t="str">
        <f>IF(AND(B923&lt;=NKC!$N$8,B923&gt;=NKC!$M$8),"x","")</f>
        <v/>
      </c>
      <c r="AA923" s="535">
        <v>3</v>
      </c>
      <c r="AB923" s="536"/>
    </row>
    <row r="924" spans="1:28" s="503" customFormat="1" ht="15.75" customHeight="1">
      <c r="A924" s="517" t="str">
        <f>IF(B924&lt;&gt;"",IF(AND(B924&gt;=_TM1,B924&lt;=_TM2,OR(TH!L936="1111",TH!M936="1111")),TH!D936,""),"")</f>
        <v/>
      </c>
      <c r="B924" s="531">
        <f t="shared" si="107"/>
        <v>7</v>
      </c>
      <c r="C924" s="315">
        <f t="shared" si="108"/>
        <v>42944</v>
      </c>
      <c r="D924" s="537"/>
      <c r="E924" s="315">
        <v>42944</v>
      </c>
      <c r="F924" s="249" t="s">
        <v>521</v>
      </c>
      <c r="G924" s="314" t="s">
        <v>1711</v>
      </c>
      <c r="H924" s="473" t="s">
        <v>1712</v>
      </c>
      <c r="I924" s="307"/>
      <c r="J924" s="307"/>
      <c r="K924" s="532">
        <v>826509</v>
      </c>
      <c r="L924" s="539" t="s">
        <v>81</v>
      </c>
      <c r="M924" s="539" t="s">
        <v>45</v>
      </c>
      <c r="N924" s="525" t="str">
        <f>IF(AND('331-CT'!$E$7=TH!H936,OR(L924="331",M924="331")),"331",IF(AND(OR(L924="131",M924="131"),H924='131-CT'!$E$7),"131",""))</f>
        <v/>
      </c>
      <c r="O924" s="525" t="str">
        <f>IF(AND($B924&gt;='111'!$N$11,$B924&lt;='111'!$O$11,OR($L924=$O$7,$M924=$O$7)),"x","")</f>
        <v/>
      </c>
      <c r="P924" s="525" t="str">
        <f>IF(AND($L924=$O$7,$B924&lt;'111'!$N$11),"x","")</f>
        <v/>
      </c>
      <c r="Q924" s="525" t="str">
        <f>IF(AND($M924=$O$7,$B924&lt;'111'!$N$11),"x","")</f>
        <v>x</v>
      </c>
      <c r="R924" s="525" t="str">
        <f>IF(ISERROR(FIND('112'!$M$9,G924,1)),"",IF((AND(FIND('112'!$M$9,G924,1)&gt;=1,$B924&gt;='112'!$N$8,$B924&lt;='112'!$O$8,OR($L924='112'!$I$6,$M924='112'!$I$6))),"x",""))</f>
        <v/>
      </c>
      <c r="S924" s="525" t="str">
        <f>IF(ISERROR(FIND('112'!$M$9,G924,1)),"",IF((AND(LEFT(G924,2)=LEFT('112'!$M$9,2),B924&lt;'112'!$N$8,$L924='112'!$I$6)),"x",""))</f>
        <v/>
      </c>
      <c r="T924" s="525" t="str">
        <f>IF(ISERROR(FIND('112'!$M$9,G924,1)),"",IF((AND(RIGHT(G924,2)=RIGHT('112'!$M$9,2),B924&lt;'112'!$N$8,$M924='112'!$I$6)),"x",""))</f>
        <v/>
      </c>
      <c r="U924" s="525" t="str">
        <f>IF(AND(B924&gt;='IN-NX'!$P$3,B924&lt;='IN-NX'!$Q$3,'IN-NX'!$D$7=D924,OR(LEFT(L924,2)="15",AND(LEFT(M924,2)&lt;&gt;"15",LEFT(M924,2)&lt;&gt;"33"))),"x","")</f>
        <v/>
      </c>
      <c r="V924" s="525" t="str">
        <f>IF(AND(OR(LEFT(TH!L936,2)="15",LEFT(TH!M936,2)="15"),'152-CT'!$J$8=TH!F936),"x","")</f>
        <v/>
      </c>
      <c r="W924" s="525" t="str">
        <f>IF(AND(OR(LEFT(TH!L936,2)="15",LEFT(TH!M936,2)="15"),TK!$E$7=TH!F936),"x","")</f>
        <v/>
      </c>
      <c r="X924" s="525" t="str">
        <f>IF(AND('341-CT'!$E$9=H924,OR(LEFT(L924,3)=$X$7,LEFT(M924,3)=$X$7)),"x","")</f>
        <v/>
      </c>
      <c r="Y924" s="525" t="str">
        <f>IF(OR(TH!L936=TH!$Y$7,M924=TH!$Y$7),"x","")</f>
        <v/>
      </c>
      <c r="Z924" s="525" t="str">
        <f>IF(AND(B924&lt;=NKC!$N$8,B924&gt;=NKC!$M$8),"x","")</f>
        <v/>
      </c>
      <c r="AA924" s="535">
        <v>3</v>
      </c>
      <c r="AB924" s="536"/>
    </row>
    <row r="925" spans="1:28" s="503" customFormat="1" ht="15.75" customHeight="1">
      <c r="A925" s="517" t="str">
        <f>IF(B925&lt;&gt;"",IF(AND(B925&gt;=_TM1,B925&lt;=_TM2,OR(TH!L937="1111",TH!M937="1111")),TH!D937,""),"")</f>
        <v/>
      </c>
      <c r="B925" s="531">
        <f t="shared" si="107"/>
        <v>7</v>
      </c>
      <c r="C925" s="315">
        <f t="shared" si="108"/>
        <v>42944</v>
      </c>
      <c r="D925" s="537"/>
      <c r="E925" s="315">
        <v>42944</v>
      </c>
      <c r="F925" s="249" t="s">
        <v>522</v>
      </c>
      <c r="G925" s="314" t="s">
        <v>1711</v>
      </c>
      <c r="H925" s="473" t="s">
        <v>1712</v>
      </c>
      <c r="I925" s="307"/>
      <c r="J925" s="307"/>
      <c r="K925" s="532">
        <v>82651</v>
      </c>
      <c r="L925" s="588" t="s">
        <v>9</v>
      </c>
      <c r="M925" s="539" t="s">
        <v>45</v>
      </c>
      <c r="N925" s="525" t="str">
        <f>IF(AND('331-CT'!$E$7=TH!H937,OR(L925="331",M925="331")),"331",IF(AND(OR(L925="131",M925="131"),H925='131-CT'!$E$7),"131",""))</f>
        <v/>
      </c>
      <c r="O925" s="525" t="str">
        <f>IF(AND($B925&gt;='111'!$N$11,$B925&lt;='111'!$O$11,OR($L925=$O$7,$M925=$O$7)),"x","")</f>
        <v/>
      </c>
      <c r="P925" s="525" t="str">
        <f>IF(AND($L925=$O$7,$B925&lt;'111'!$N$11),"x","")</f>
        <v/>
      </c>
      <c r="Q925" s="525" t="str">
        <f>IF(AND($M925=$O$7,$B925&lt;'111'!$N$11),"x","")</f>
        <v>x</v>
      </c>
      <c r="R925" s="525" t="str">
        <f>IF(ISERROR(FIND('112'!$M$9,G925,1)),"",IF((AND(FIND('112'!$M$9,G925,1)&gt;=1,$B925&gt;='112'!$N$8,$B925&lt;='112'!$O$8,OR($L925='112'!$I$6,$M925='112'!$I$6))),"x",""))</f>
        <v/>
      </c>
      <c r="S925" s="525" t="str">
        <f>IF(ISERROR(FIND('112'!$M$9,G925,1)),"",IF((AND(LEFT(G925,2)=LEFT('112'!$M$9,2),B925&lt;'112'!$N$8,$L925='112'!$I$6)),"x",""))</f>
        <v/>
      </c>
      <c r="T925" s="525" t="str">
        <f>IF(ISERROR(FIND('112'!$M$9,G925,1)),"",IF((AND(RIGHT(G925,2)=RIGHT('112'!$M$9,2),B925&lt;'112'!$N$8,$M925='112'!$I$6)),"x",""))</f>
        <v/>
      </c>
      <c r="U925" s="525" t="str">
        <f>IF(AND(B925&gt;='IN-NX'!$P$3,B925&lt;='IN-NX'!$Q$3,'IN-NX'!$D$7=D925,OR(LEFT(L925,2)="15",AND(LEFT(M925,2)&lt;&gt;"15",LEFT(M925,2)&lt;&gt;"33"))),"x","")</f>
        <v/>
      </c>
      <c r="V925" s="525" t="str">
        <f>IF(AND(OR(LEFT(TH!L937,2)="15",LEFT(TH!M937,2)="15"),'152-CT'!$J$8=TH!F937),"x","")</f>
        <v/>
      </c>
      <c r="W925" s="525" t="str">
        <f>IF(AND(OR(LEFT(TH!L937,2)="15",LEFT(TH!M937,2)="15"),TK!$E$7=TH!F937),"x","")</f>
        <v/>
      </c>
      <c r="X925" s="525" t="str">
        <f>IF(AND('341-CT'!$E$9=H925,OR(LEFT(L925,3)=$X$7,LEFT(M925,3)=$X$7)),"x","")</f>
        <v/>
      </c>
      <c r="Y925" s="525" t="str">
        <f>IF(OR(TH!L937=TH!$Y$7,M925=TH!$Y$7),"x","")</f>
        <v/>
      </c>
      <c r="Z925" s="525" t="str">
        <f>IF(AND(B925&lt;=NKC!$N$8,B925&gt;=NKC!$M$8),"x","")</f>
        <v/>
      </c>
      <c r="AA925" s="535">
        <v>3</v>
      </c>
      <c r="AB925" s="536"/>
    </row>
    <row r="926" spans="1:28" s="503" customFormat="1" ht="15.75" customHeight="1">
      <c r="A926" s="517" t="str">
        <f>IF(B926&lt;&gt;"",IF(AND(B926&gt;=_TM1,B926&lt;=_TM2,OR(TH!L918="1111",TH!M918="1111")),TH!D918,""),"")</f>
        <v/>
      </c>
      <c r="B926" s="531">
        <f t="shared" si="107"/>
        <v>8</v>
      </c>
      <c r="C926" s="315">
        <f t="shared" si="108"/>
        <v>42948</v>
      </c>
      <c r="D926" s="537"/>
      <c r="E926" s="315">
        <v>42948</v>
      </c>
      <c r="F926" s="249" t="s">
        <v>1572</v>
      </c>
      <c r="G926" s="314" t="s">
        <v>1575</v>
      </c>
      <c r="H926" s="473" t="s">
        <v>863</v>
      </c>
      <c r="I926" s="307"/>
      <c r="J926" s="307"/>
      <c r="K926" s="532">
        <f>20000+168182</f>
        <v>188182</v>
      </c>
      <c r="L926" s="539" t="s">
        <v>81</v>
      </c>
      <c r="M926" s="539" t="s">
        <v>45</v>
      </c>
      <c r="N926" s="525" t="str">
        <f>IF(AND('331-CT'!$E$7=TH!H918,OR(L926="331",M926="331")),"331",IF(AND(OR(L926="131",M926="131"),H926='131-CT'!$E$7),"131",""))</f>
        <v/>
      </c>
      <c r="O926" s="525" t="str">
        <f>IF(AND($B926&gt;='111'!$N$11,$B926&lt;='111'!$O$11,OR($L926=$O$7,$M926=$O$7)),"x","")</f>
        <v/>
      </c>
      <c r="P926" s="525" t="str">
        <f>IF(AND($L926=$O$7,$B926&lt;'111'!$N$11),"x","")</f>
        <v/>
      </c>
      <c r="Q926" s="525" t="str">
        <f>IF(AND($M926=$O$7,$B926&lt;'111'!$N$11),"x","")</f>
        <v>x</v>
      </c>
      <c r="R926" s="525" t="str">
        <f>IF(ISERROR(FIND('112'!$M$9,G926,1)),"",IF((AND(FIND('112'!$M$9,G926,1)&gt;=1,$B926&gt;='112'!$N$8,$B926&lt;='112'!$O$8,OR($L926='112'!$I$6,$M926='112'!$I$6))),"x",""))</f>
        <v/>
      </c>
      <c r="S926" s="525" t="str">
        <f>IF(ISERROR(FIND('112'!$M$9,G926,1)),"",IF((AND(LEFT(G926,2)=LEFT('112'!$M$9,2),B926&lt;'112'!$N$8,$L926='112'!$I$6)),"x",""))</f>
        <v/>
      </c>
      <c r="T926" s="525" t="str">
        <f>IF(ISERROR(FIND('112'!$M$9,G926,1)),"",IF((AND(RIGHT(G926,2)=RIGHT('112'!$M$9,2),B926&lt;'112'!$N$8,$M926='112'!$I$6)),"x",""))</f>
        <v/>
      </c>
      <c r="U926" s="525" t="str">
        <f>IF(AND(B926&gt;='IN-NX'!$P$3,B926&lt;='IN-NX'!$Q$3,'IN-NX'!$D$7=D926,OR(LEFT(L926,2)="15",AND(LEFT(M926,2)&lt;&gt;"15",LEFT(M926,2)&lt;&gt;"33"))),"x","")</f>
        <v/>
      </c>
      <c r="V926" s="525" t="str">
        <f>IF(AND(OR(LEFT(TH!L918,2)="15",LEFT(TH!M918,2)="15"),'152-CT'!$J$8=TH!F918),"x","")</f>
        <v/>
      </c>
      <c r="W926" s="525" t="str">
        <f>IF(AND(OR(LEFT(TH!L918,2)="15",LEFT(TH!M918,2)="15"),TK!$E$7=TH!F918),"x","")</f>
        <v/>
      </c>
      <c r="X926" s="525" t="str">
        <f>IF(AND('341-CT'!$E$9=H926,OR(LEFT(L926,3)=$X$7,LEFT(M926,3)=$X$7)),"x","")</f>
        <v/>
      </c>
      <c r="Y926" s="525" t="str">
        <f>IF(OR(TH!L918=TH!$Y$7,M926=TH!$Y$7),"x","")</f>
        <v/>
      </c>
      <c r="Z926" s="525" t="str">
        <f>IF(AND(B926&lt;=NKC!$N$8,B926&gt;=NKC!$M$8),"x","")</f>
        <v/>
      </c>
      <c r="AA926" s="535">
        <v>3</v>
      </c>
      <c r="AB926" s="536"/>
    </row>
    <row r="927" spans="1:28" s="503" customFormat="1" ht="15.75" customHeight="1">
      <c r="A927" s="517" t="str">
        <f>IF(B927&lt;&gt;"",IF(AND(B927&gt;=_TM1,B927&lt;=_TM2,OR(TH!L919="1111",TH!M919="1111")),TH!D919,""),"")</f>
        <v/>
      </c>
      <c r="B927" s="531">
        <f t="shared" si="107"/>
        <v>8</v>
      </c>
      <c r="C927" s="315">
        <f t="shared" si="108"/>
        <v>42948</v>
      </c>
      <c r="D927" s="537"/>
      <c r="E927" s="315">
        <v>42948</v>
      </c>
      <c r="F927" s="249" t="s">
        <v>1201</v>
      </c>
      <c r="G927" s="314" t="s">
        <v>1575</v>
      </c>
      <c r="H927" s="473" t="s">
        <v>863</v>
      </c>
      <c r="I927" s="307"/>
      <c r="J927" s="307"/>
      <c r="K927" s="532">
        <f>2000+16818</f>
        <v>18818</v>
      </c>
      <c r="L927" s="588" t="s">
        <v>9</v>
      </c>
      <c r="M927" s="539" t="s">
        <v>45</v>
      </c>
      <c r="N927" s="525" t="str">
        <f>IF(AND('331-CT'!$E$7=TH!H919,OR(L927="331",M927="331")),"331",IF(AND(OR(L927="131",M927="131"),H927='131-CT'!$E$7),"131",""))</f>
        <v/>
      </c>
      <c r="O927" s="525" t="str">
        <f>IF(AND($B927&gt;='111'!$N$11,$B927&lt;='111'!$O$11,OR($L927=$O$7,$M927=$O$7)),"x","")</f>
        <v/>
      </c>
      <c r="P927" s="525" t="str">
        <f>IF(AND($L927=$O$7,$B927&lt;'111'!$N$11),"x","")</f>
        <v/>
      </c>
      <c r="Q927" s="525" t="str">
        <f>IF(AND($M927=$O$7,$B927&lt;'111'!$N$11),"x","")</f>
        <v>x</v>
      </c>
      <c r="R927" s="525" t="str">
        <f>IF(ISERROR(FIND('112'!$M$9,G927,1)),"",IF((AND(FIND('112'!$M$9,G927,1)&gt;=1,$B927&gt;='112'!$N$8,$B927&lt;='112'!$O$8,OR($L927='112'!$I$6,$M927='112'!$I$6))),"x",""))</f>
        <v/>
      </c>
      <c r="S927" s="525" t="str">
        <f>IF(ISERROR(FIND('112'!$M$9,G927,1)),"",IF((AND(LEFT(G927,2)=LEFT('112'!$M$9,2),B927&lt;'112'!$N$8,$L927='112'!$I$6)),"x",""))</f>
        <v/>
      </c>
      <c r="T927" s="525" t="str">
        <f>IF(ISERROR(FIND('112'!$M$9,G927,1)),"",IF((AND(RIGHT(G927,2)=RIGHT('112'!$M$9,2),B927&lt;'112'!$N$8,$M927='112'!$I$6)),"x",""))</f>
        <v/>
      </c>
      <c r="U927" s="525" t="str">
        <f>IF(AND(B927&gt;='IN-NX'!$P$3,B927&lt;='IN-NX'!$Q$3,'IN-NX'!$D$7=D927,OR(LEFT(L927,2)="15",AND(LEFT(M927,2)&lt;&gt;"15",LEFT(M927,2)&lt;&gt;"33"))),"x","")</f>
        <v/>
      </c>
      <c r="V927" s="525" t="str">
        <f>IF(AND(OR(LEFT(TH!L919,2)="15",LEFT(TH!M919,2)="15"),'152-CT'!$J$8=TH!F919),"x","")</f>
        <v/>
      </c>
      <c r="W927" s="525" t="str">
        <f>IF(AND(OR(LEFT(TH!L919,2)="15",LEFT(TH!M919,2)="15"),TK!$E$7=TH!F919),"x","")</f>
        <v/>
      </c>
      <c r="X927" s="525" t="str">
        <f>IF(AND('341-CT'!$E$9=H927,OR(LEFT(L927,3)=$X$7,LEFT(M927,3)=$X$7)),"x","")</f>
        <v/>
      </c>
      <c r="Y927" s="525" t="str">
        <f>IF(OR(TH!L919=TH!$Y$7,M927=TH!$Y$7),"x","")</f>
        <v/>
      </c>
      <c r="Z927" s="525" t="str">
        <f>IF(AND(B927&lt;=NKC!$N$8,B927&gt;=NKC!$M$8),"x","")</f>
        <v/>
      </c>
      <c r="AA927" s="535">
        <v>3</v>
      </c>
      <c r="AB927" s="536"/>
    </row>
    <row r="928" spans="1:28" s="503" customFormat="1" ht="15.75" customHeight="1">
      <c r="A928" s="517" t="str">
        <f>IF(B928&lt;&gt;"",IF(AND(B928&gt;=_TM1,B928&lt;=_TM2,OR(TH!L924="1111",TH!M924="1111")),TH!D924,""),"")</f>
        <v/>
      </c>
      <c r="B928" s="531">
        <f t="shared" si="107"/>
        <v>8</v>
      </c>
      <c r="C928" s="315">
        <f t="shared" si="108"/>
        <v>42951</v>
      </c>
      <c r="D928" s="537"/>
      <c r="E928" s="315">
        <v>42951</v>
      </c>
      <c r="F928" s="249" t="s">
        <v>1578</v>
      </c>
      <c r="G928" s="314" t="s">
        <v>1261</v>
      </c>
      <c r="H928" s="473" t="s">
        <v>852</v>
      </c>
      <c r="I928" s="307"/>
      <c r="J928" s="307"/>
      <c r="K928" s="532">
        <f>183890+291055</f>
        <v>474945</v>
      </c>
      <c r="L928" s="539" t="s">
        <v>81</v>
      </c>
      <c r="M928" s="539" t="s">
        <v>45</v>
      </c>
      <c r="N928" s="525" t="str">
        <f>IF(AND('331-CT'!$E$7=TH!H924,OR(L928="331",M928="331")),"331",IF(AND(OR(L928="131",M928="131"),H928='131-CT'!$E$7),"131",""))</f>
        <v/>
      </c>
      <c r="O928" s="525" t="str">
        <f>IF(AND($B928&gt;='111'!$N$11,$B928&lt;='111'!$O$11,OR($L928=$O$7,$M928=$O$7)),"x","")</f>
        <v/>
      </c>
      <c r="P928" s="525" t="str">
        <f>IF(AND($L928=$O$7,$B928&lt;'111'!$N$11),"x","")</f>
        <v/>
      </c>
      <c r="Q928" s="525" t="str">
        <f>IF(AND($M928=$O$7,$B928&lt;'111'!$N$11),"x","")</f>
        <v>x</v>
      </c>
      <c r="R928" s="525" t="str">
        <f>IF(ISERROR(FIND('112'!$M$9,G928,1)),"",IF((AND(FIND('112'!$M$9,G928,1)&gt;=1,$B928&gt;='112'!$N$8,$B928&lt;='112'!$O$8,OR($L928='112'!$I$6,$M928='112'!$I$6))),"x",""))</f>
        <v/>
      </c>
      <c r="S928" s="525" t="str">
        <f>IF(ISERROR(FIND('112'!$M$9,G928,1)),"",IF((AND(LEFT(G928,2)=LEFT('112'!$M$9,2),B928&lt;'112'!$N$8,$L928='112'!$I$6)),"x",""))</f>
        <v/>
      </c>
      <c r="T928" s="525" t="str">
        <f>IF(ISERROR(FIND('112'!$M$9,G928,1)),"",IF((AND(RIGHT(G928,2)=RIGHT('112'!$M$9,2),B928&lt;'112'!$N$8,$M928='112'!$I$6)),"x",""))</f>
        <v/>
      </c>
      <c r="U928" s="525" t="str">
        <f>IF(AND(B928&gt;='IN-NX'!$P$3,B928&lt;='IN-NX'!$Q$3,'IN-NX'!$D$7=D928,OR(LEFT(L928,2)="15",AND(LEFT(M928,2)&lt;&gt;"15",LEFT(M928,2)&lt;&gt;"33"))),"x","")</f>
        <v/>
      </c>
      <c r="V928" s="525" t="str">
        <f>IF(AND(OR(LEFT(TH!L924,2)="15",LEFT(TH!M924,2)="15"),'152-CT'!$J$8=TH!F924),"x","")</f>
        <v/>
      </c>
      <c r="W928" s="525" t="str">
        <f>IF(AND(OR(LEFT(TH!L924,2)="15",LEFT(TH!M924,2)="15"),TK!$E$7=TH!F924),"x","")</f>
        <v/>
      </c>
      <c r="X928" s="525" t="str">
        <f>IF(AND('341-CT'!$E$9=H928,OR(LEFT(L928,3)=$X$7,LEFT(M928,3)=$X$7)),"x","")</f>
        <v/>
      </c>
      <c r="Y928" s="525" t="str">
        <f>IF(OR(TH!L924=TH!$Y$7,M928=TH!$Y$7),"x","")</f>
        <v/>
      </c>
      <c r="Z928" s="525" t="str">
        <f>IF(AND(B928&lt;=NKC!$N$8,B928&gt;=NKC!$M$8),"x","")</f>
        <v/>
      </c>
      <c r="AA928" s="535">
        <v>3</v>
      </c>
      <c r="AB928" s="536"/>
    </row>
    <row r="929" spans="1:28" s="503" customFormat="1" ht="15.75" customHeight="1">
      <c r="A929" s="517" t="str">
        <f>IF(B929&lt;&gt;"",IF(AND(B929&gt;=_TM1,B929&lt;=_TM2,OR(TH!L925="1111",TH!M925="1111")),TH!D925,""),"")</f>
        <v/>
      </c>
      <c r="B929" s="531">
        <f t="shared" si="107"/>
        <v>8</v>
      </c>
      <c r="C929" s="315">
        <f t="shared" si="108"/>
        <v>42951</v>
      </c>
      <c r="D929" s="537"/>
      <c r="E929" s="315">
        <v>42951</v>
      </c>
      <c r="F929" s="249" t="s">
        <v>853</v>
      </c>
      <c r="G929" s="314" t="s">
        <v>1261</v>
      </c>
      <c r="H929" s="473" t="s">
        <v>852</v>
      </c>
      <c r="I929" s="307"/>
      <c r="J929" s="307"/>
      <c r="K929" s="532">
        <f>18389+29106</f>
        <v>47495</v>
      </c>
      <c r="L929" s="588" t="s">
        <v>9</v>
      </c>
      <c r="M929" s="539" t="s">
        <v>45</v>
      </c>
      <c r="N929" s="525" t="str">
        <f>IF(AND('331-CT'!$E$7=TH!H925,OR(L929="331",M929="331")),"331",IF(AND(OR(L929="131",M929="131"),H929='131-CT'!$E$7),"131",""))</f>
        <v/>
      </c>
      <c r="O929" s="525" t="str">
        <f>IF(AND($B929&gt;='111'!$N$11,$B929&lt;='111'!$O$11,OR($L929=$O$7,$M929=$O$7)),"x","")</f>
        <v/>
      </c>
      <c r="P929" s="525" t="str">
        <f>IF(AND($L929=$O$7,$B929&lt;'111'!$N$11),"x","")</f>
        <v/>
      </c>
      <c r="Q929" s="525" t="str">
        <f>IF(AND($M929=$O$7,$B929&lt;'111'!$N$11),"x","")</f>
        <v>x</v>
      </c>
      <c r="R929" s="525" t="str">
        <f>IF(ISERROR(FIND('112'!$M$9,G929,1)),"",IF((AND(FIND('112'!$M$9,G929,1)&gt;=1,$B929&gt;='112'!$N$8,$B929&lt;='112'!$O$8,OR($L929='112'!$I$6,$M929='112'!$I$6))),"x",""))</f>
        <v/>
      </c>
      <c r="S929" s="525" t="str">
        <f>IF(ISERROR(FIND('112'!$M$9,G929,1)),"",IF((AND(LEFT(G929,2)=LEFT('112'!$M$9,2),B929&lt;'112'!$N$8,$L929='112'!$I$6)),"x",""))</f>
        <v/>
      </c>
      <c r="T929" s="525" t="str">
        <f>IF(ISERROR(FIND('112'!$M$9,G929,1)),"",IF((AND(RIGHT(G929,2)=RIGHT('112'!$M$9,2),B929&lt;'112'!$N$8,$M929='112'!$I$6)),"x",""))</f>
        <v/>
      </c>
      <c r="U929" s="525" t="str">
        <f>IF(AND(B929&gt;='IN-NX'!$P$3,B929&lt;='IN-NX'!$Q$3,'IN-NX'!$D$7=D929,OR(LEFT(L929,2)="15",AND(LEFT(M929,2)&lt;&gt;"15",LEFT(M929,2)&lt;&gt;"33"))),"x","")</f>
        <v/>
      </c>
      <c r="V929" s="525" t="str">
        <f>IF(AND(OR(LEFT(TH!L925,2)="15",LEFT(TH!M925,2)="15"),'152-CT'!$J$8=TH!F925),"x","")</f>
        <v/>
      </c>
      <c r="W929" s="525" t="str">
        <f>IF(AND(OR(LEFT(TH!L925,2)="15",LEFT(TH!M925,2)="15"),TK!$E$7=TH!F925),"x","")</f>
        <v/>
      </c>
      <c r="X929" s="525" t="str">
        <f>IF(AND('341-CT'!$E$9=H929,OR(LEFT(L929,3)=$X$7,LEFT(M929,3)=$X$7)),"x","")</f>
        <v/>
      </c>
      <c r="Y929" s="525" t="str">
        <f>IF(OR(TH!L925=TH!$Y$7,M929=TH!$Y$7),"x","")</f>
        <v/>
      </c>
      <c r="Z929" s="525" t="str">
        <f>IF(AND(B929&lt;=NKC!$N$8,B929&gt;=NKC!$M$8),"x","")</f>
        <v/>
      </c>
      <c r="AA929" s="535">
        <v>3</v>
      </c>
      <c r="AB929" s="536"/>
    </row>
    <row r="930" spans="1:28" s="503" customFormat="1" ht="15.75" customHeight="1">
      <c r="A930" s="517" t="str">
        <f>IF(B930&lt;&gt;"",IF(AND(B930&gt;=_TM1,B930&lt;=_TM2,OR(TH!L938="1111",TH!M938="1111")),TH!D938,""),"")</f>
        <v/>
      </c>
      <c r="B930" s="531">
        <f t="shared" si="107"/>
        <v>8</v>
      </c>
      <c r="C930" s="315">
        <f t="shared" si="108"/>
        <v>42952</v>
      </c>
      <c r="D930" s="537"/>
      <c r="E930" s="315">
        <v>42952</v>
      </c>
      <c r="F930" s="249" t="s">
        <v>516</v>
      </c>
      <c r="G930" s="314" t="s">
        <v>1714</v>
      </c>
      <c r="H930" s="824" t="s">
        <v>1713</v>
      </c>
      <c r="I930" s="307"/>
      <c r="J930" s="307"/>
      <c r="K930" s="532">
        <v>7103636</v>
      </c>
      <c r="L930" s="539" t="s">
        <v>81</v>
      </c>
      <c r="M930" s="539" t="s">
        <v>45</v>
      </c>
      <c r="N930" s="525" t="str">
        <f>IF(AND('331-CT'!$E$7=TH!H938,OR(L930="331",M930="331")),"331",IF(AND(OR(L930="131",M930="131"),H930='131-CT'!$E$7),"131",""))</f>
        <v/>
      </c>
      <c r="O930" s="525" t="str">
        <f>IF(AND($B930&gt;='111'!$N$11,$B930&lt;='111'!$O$11,OR($L930=$O$7,$M930=$O$7)),"x","")</f>
        <v/>
      </c>
      <c r="P930" s="525" t="str">
        <f>IF(AND($L930=$O$7,$B930&lt;'111'!$N$11),"x","")</f>
        <v/>
      </c>
      <c r="Q930" s="525" t="str">
        <f>IF(AND($M930=$O$7,$B930&lt;'111'!$N$11),"x","")</f>
        <v>x</v>
      </c>
      <c r="R930" s="525" t="str">
        <f>IF(ISERROR(FIND('112'!$M$9,G930,1)),"",IF((AND(FIND('112'!$M$9,G930,1)&gt;=1,$B930&gt;='112'!$N$8,$B930&lt;='112'!$O$8,OR($L930='112'!$I$6,$M930='112'!$I$6))),"x",""))</f>
        <v/>
      </c>
      <c r="S930" s="525" t="str">
        <f>IF(ISERROR(FIND('112'!$M$9,G930,1)),"",IF((AND(LEFT(G930,2)=LEFT('112'!$M$9,2),B930&lt;'112'!$N$8,$L930='112'!$I$6)),"x",""))</f>
        <v/>
      </c>
      <c r="T930" s="525" t="str">
        <f>IF(ISERROR(FIND('112'!$M$9,G930,1)),"",IF((AND(RIGHT(G930,2)=RIGHT('112'!$M$9,2),B930&lt;'112'!$N$8,$M930='112'!$I$6)),"x",""))</f>
        <v/>
      </c>
      <c r="U930" s="525" t="str">
        <f>IF(AND(B930&gt;='IN-NX'!$P$3,B930&lt;='IN-NX'!$Q$3,'IN-NX'!$D$7=D930,OR(LEFT(L930,2)="15",AND(LEFT(M930,2)&lt;&gt;"15",LEFT(M930,2)&lt;&gt;"33"))),"x","")</f>
        <v/>
      </c>
      <c r="V930" s="525" t="str">
        <f>IF(AND(OR(LEFT(TH!L938,2)="15",LEFT(TH!M938,2)="15"),'152-CT'!$J$8=TH!F938),"x","")</f>
        <v/>
      </c>
      <c r="W930" s="525" t="str">
        <f>IF(AND(OR(LEFT(TH!L938,2)="15",LEFT(TH!M938,2)="15"),TK!$E$7=TH!F938),"x","")</f>
        <v/>
      </c>
      <c r="X930" s="525" t="str">
        <f>IF(AND('341-CT'!$E$9=H930,OR(LEFT(L930,3)=$X$7,LEFT(M930,3)=$X$7)),"x","")</f>
        <v/>
      </c>
      <c r="Y930" s="525" t="str">
        <f>IF(OR(TH!L938=TH!$Y$7,M930=TH!$Y$7),"x","")</f>
        <v/>
      </c>
      <c r="Z930" s="525" t="str">
        <f>IF(AND(B930&lt;=NKC!$N$8,B930&gt;=NKC!$M$8),"x","")</f>
        <v/>
      </c>
      <c r="AA930" s="535">
        <v>3</v>
      </c>
      <c r="AB930" s="536"/>
    </row>
    <row r="931" spans="1:28" s="503" customFormat="1" ht="15.75" customHeight="1">
      <c r="A931" s="517" t="str">
        <f>IF(B931&lt;&gt;"",IF(AND(B931&gt;=_TM1,B931&lt;=_TM2,OR(TH!L939="1111",TH!M939="1111")),TH!D939,""),"")</f>
        <v/>
      </c>
      <c r="B931" s="531">
        <f t="shared" si="107"/>
        <v>8</v>
      </c>
      <c r="C931" s="315">
        <f t="shared" si="108"/>
        <v>42952</v>
      </c>
      <c r="D931" s="537"/>
      <c r="E931" s="315">
        <v>42952</v>
      </c>
      <c r="F931" s="249" t="s">
        <v>517</v>
      </c>
      <c r="G931" s="314" t="s">
        <v>1714</v>
      </c>
      <c r="H931" s="824" t="s">
        <v>1713</v>
      </c>
      <c r="I931" s="307"/>
      <c r="J931" s="307"/>
      <c r="K931" s="532">
        <v>710364</v>
      </c>
      <c r="L931" s="588" t="s">
        <v>9</v>
      </c>
      <c r="M931" s="539" t="s">
        <v>45</v>
      </c>
      <c r="N931" s="525" t="str">
        <f>IF(AND('331-CT'!$E$7=TH!H939,OR(L931="331",M931="331")),"331",IF(AND(OR(L931="131",M931="131"),H931='131-CT'!$E$7),"131",""))</f>
        <v/>
      </c>
      <c r="O931" s="525" t="str">
        <f>IF(AND($B931&gt;='111'!$N$11,$B931&lt;='111'!$O$11,OR($L931=$O$7,$M931=$O$7)),"x","")</f>
        <v/>
      </c>
      <c r="P931" s="525" t="str">
        <f>IF(AND($L931=$O$7,$B931&lt;'111'!$N$11),"x","")</f>
        <v/>
      </c>
      <c r="Q931" s="525" t="str">
        <f>IF(AND($M931=$O$7,$B931&lt;'111'!$N$11),"x","")</f>
        <v>x</v>
      </c>
      <c r="R931" s="525" t="str">
        <f>IF(ISERROR(FIND('112'!$M$9,G931,1)),"",IF((AND(FIND('112'!$M$9,G931,1)&gt;=1,$B931&gt;='112'!$N$8,$B931&lt;='112'!$O$8,OR($L931='112'!$I$6,$M931='112'!$I$6))),"x",""))</f>
        <v/>
      </c>
      <c r="S931" s="525" t="str">
        <f>IF(ISERROR(FIND('112'!$M$9,G931,1)),"",IF((AND(LEFT(G931,2)=LEFT('112'!$M$9,2),B931&lt;'112'!$N$8,$L931='112'!$I$6)),"x",""))</f>
        <v/>
      </c>
      <c r="T931" s="525" t="str">
        <f>IF(ISERROR(FIND('112'!$M$9,G931,1)),"",IF((AND(RIGHT(G931,2)=RIGHT('112'!$M$9,2),B931&lt;'112'!$N$8,$M931='112'!$I$6)),"x",""))</f>
        <v/>
      </c>
      <c r="U931" s="525" t="str">
        <f>IF(AND(B931&gt;='IN-NX'!$P$3,B931&lt;='IN-NX'!$Q$3,'IN-NX'!$D$7=D931,OR(LEFT(L931,2)="15",AND(LEFT(M931,2)&lt;&gt;"15",LEFT(M931,2)&lt;&gt;"33"))),"x","")</f>
        <v/>
      </c>
      <c r="V931" s="525" t="str">
        <f>IF(AND(OR(LEFT(TH!L939,2)="15",LEFT(TH!M939,2)="15"),'152-CT'!$J$8=TH!F939),"x","")</f>
        <v/>
      </c>
      <c r="W931" s="525" t="str">
        <f>IF(AND(OR(LEFT(TH!L939,2)="15",LEFT(TH!M939,2)="15"),TK!$E$7=TH!F939),"x","")</f>
        <v/>
      </c>
      <c r="X931" s="525" t="str">
        <f>IF(AND('341-CT'!$E$9=H931,OR(LEFT(L931,3)=$X$7,LEFT(M931,3)=$X$7)),"x","")</f>
        <v/>
      </c>
      <c r="Y931" s="525" t="str">
        <f>IF(OR(TH!L939=TH!$Y$7,M931=TH!$Y$7),"x","")</f>
        <v/>
      </c>
      <c r="Z931" s="525" t="str">
        <f>IF(AND(B931&lt;=NKC!$N$8,B931&gt;=NKC!$M$8),"x","")</f>
        <v/>
      </c>
      <c r="AA931" s="535">
        <v>3</v>
      </c>
      <c r="AB931" s="536"/>
    </row>
    <row r="932" spans="1:28" s="503" customFormat="1" ht="15.75" customHeight="1">
      <c r="A932" s="517" t="str">
        <f>IF(B932&lt;&gt;"",IF(AND(B932&gt;=_TM1,B932&lt;=_TM2,OR(TH!L940="1111",TH!M940="1111")),TH!D940,""),"")</f>
        <v/>
      </c>
      <c r="B932" s="531">
        <f t="shared" si="107"/>
        <v>8</v>
      </c>
      <c r="C932" s="315">
        <f t="shared" si="108"/>
        <v>42976</v>
      </c>
      <c r="D932" s="537"/>
      <c r="E932" s="315">
        <v>42976</v>
      </c>
      <c r="F932" s="249" t="s">
        <v>521</v>
      </c>
      <c r="G932" s="314" t="s">
        <v>1715</v>
      </c>
      <c r="H932" s="824" t="s">
        <v>523</v>
      </c>
      <c r="I932" s="307"/>
      <c r="J932" s="307"/>
      <c r="K932" s="532">
        <v>2369373</v>
      </c>
      <c r="L932" s="539" t="s">
        <v>81</v>
      </c>
      <c r="M932" s="539" t="s">
        <v>45</v>
      </c>
      <c r="N932" s="525" t="str">
        <f>IF(AND('331-CT'!$E$7=TH!H940,OR(L932="331",M932="331")),"331",IF(AND(OR(L932="131",M932="131"),H932='131-CT'!$E$7),"131",""))</f>
        <v/>
      </c>
      <c r="O932" s="525" t="str">
        <f>IF(AND($B932&gt;='111'!$N$11,$B932&lt;='111'!$O$11,OR($L932=$O$7,$M932=$O$7)),"x","")</f>
        <v/>
      </c>
      <c r="P932" s="525" t="str">
        <f>IF(AND($L932=$O$7,$B932&lt;'111'!$N$11),"x","")</f>
        <v/>
      </c>
      <c r="Q932" s="525" t="str">
        <f>IF(AND($M932=$O$7,$B932&lt;'111'!$N$11),"x","")</f>
        <v>x</v>
      </c>
      <c r="R932" s="525" t="str">
        <f>IF(ISERROR(FIND('112'!$M$9,G932,1)),"",IF((AND(FIND('112'!$M$9,G932,1)&gt;=1,$B932&gt;='112'!$N$8,$B932&lt;='112'!$O$8,OR($L932='112'!$I$6,$M932='112'!$I$6))),"x",""))</f>
        <v/>
      </c>
      <c r="S932" s="525" t="str">
        <f>IF(ISERROR(FIND('112'!$M$9,G932,1)),"",IF((AND(LEFT(G932,2)=LEFT('112'!$M$9,2),B932&lt;'112'!$N$8,$L932='112'!$I$6)),"x",""))</f>
        <v/>
      </c>
      <c r="T932" s="525" t="str">
        <f>IF(ISERROR(FIND('112'!$M$9,G932,1)),"",IF((AND(RIGHT(G932,2)=RIGHT('112'!$M$9,2),B932&lt;'112'!$N$8,$M932='112'!$I$6)),"x",""))</f>
        <v/>
      </c>
      <c r="U932" s="525" t="str">
        <f>IF(AND(B932&gt;='IN-NX'!$P$3,B932&lt;='IN-NX'!$Q$3,'IN-NX'!$D$7=D932,OR(LEFT(L932,2)="15",AND(LEFT(M932,2)&lt;&gt;"15",LEFT(M932,2)&lt;&gt;"33"))),"x","")</f>
        <v/>
      </c>
      <c r="V932" s="525" t="str">
        <f>IF(AND(OR(LEFT(TH!L940,2)="15",LEFT(TH!M940,2)="15"),'152-CT'!$J$8=TH!F940),"x","")</f>
        <v/>
      </c>
      <c r="W932" s="525" t="str">
        <f>IF(AND(OR(LEFT(TH!L940,2)="15",LEFT(TH!M940,2)="15"),TK!$E$7=TH!F940),"x","")</f>
        <v/>
      </c>
      <c r="X932" s="525" t="str">
        <f>IF(AND('341-CT'!$E$9=H932,OR(LEFT(L932,3)=$X$7,LEFT(M932,3)=$X$7)),"x","")</f>
        <v/>
      </c>
      <c r="Y932" s="525" t="str">
        <f>IF(OR(TH!L940=TH!$Y$7,M932=TH!$Y$7),"x","")</f>
        <v/>
      </c>
      <c r="Z932" s="525" t="str">
        <f>IF(AND(B932&lt;=NKC!$N$8,B932&gt;=NKC!$M$8),"x","")</f>
        <v/>
      </c>
      <c r="AA932" s="535">
        <v>3</v>
      </c>
      <c r="AB932" s="536"/>
    </row>
    <row r="933" spans="1:28" s="503" customFormat="1" ht="15.75" customHeight="1">
      <c r="A933" s="517" t="str">
        <f>IF(B933&lt;&gt;"",IF(AND(B933&gt;=_TM1,B933&lt;=_TM2,OR(TH!L941="1111",TH!M941="1111")),TH!D941,""),"")</f>
        <v/>
      </c>
      <c r="B933" s="531">
        <f t="shared" si="107"/>
        <v>8</v>
      </c>
      <c r="C933" s="315">
        <f t="shared" si="108"/>
        <v>42976</v>
      </c>
      <c r="D933" s="537"/>
      <c r="E933" s="315">
        <v>42976</v>
      </c>
      <c r="F933" s="249" t="s">
        <v>522</v>
      </c>
      <c r="G933" s="314" t="s">
        <v>1715</v>
      </c>
      <c r="H933" s="824" t="s">
        <v>523</v>
      </c>
      <c r="I933" s="307"/>
      <c r="J933" s="307"/>
      <c r="K933" s="532">
        <v>236937</v>
      </c>
      <c r="L933" s="588" t="s">
        <v>9</v>
      </c>
      <c r="M933" s="539" t="s">
        <v>45</v>
      </c>
      <c r="N933" s="525" t="str">
        <f>IF(AND('331-CT'!$E$7=TH!H941,OR(L933="331",M933="331")),"331",IF(AND(OR(L933="131",M933="131"),H933='131-CT'!$E$7),"131",""))</f>
        <v/>
      </c>
      <c r="O933" s="525" t="str">
        <f>IF(AND($B933&gt;='111'!$N$11,$B933&lt;='111'!$O$11,OR($L933=$O$7,$M933=$O$7)),"x","")</f>
        <v/>
      </c>
      <c r="P933" s="525" t="str">
        <f>IF(AND($L933=$O$7,$B933&lt;'111'!$N$11),"x","")</f>
        <v/>
      </c>
      <c r="Q933" s="525" t="str">
        <f>IF(AND($M933=$O$7,$B933&lt;'111'!$N$11),"x","")</f>
        <v>x</v>
      </c>
      <c r="R933" s="525" t="str">
        <f>IF(ISERROR(FIND('112'!$M$9,G933,1)),"",IF((AND(FIND('112'!$M$9,G933,1)&gt;=1,$B933&gt;='112'!$N$8,$B933&lt;='112'!$O$8,OR($L933='112'!$I$6,$M933='112'!$I$6))),"x",""))</f>
        <v/>
      </c>
      <c r="S933" s="525" t="str">
        <f>IF(ISERROR(FIND('112'!$M$9,G933,1)),"",IF((AND(LEFT(G933,2)=LEFT('112'!$M$9,2),B933&lt;'112'!$N$8,$L933='112'!$I$6)),"x",""))</f>
        <v/>
      </c>
      <c r="T933" s="525" t="str">
        <f>IF(ISERROR(FIND('112'!$M$9,G933,1)),"",IF((AND(RIGHT(G933,2)=RIGHT('112'!$M$9,2),B933&lt;'112'!$N$8,$M933='112'!$I$6)),"x",""))</f>
        <v/>
      </c>
      <c r="U933" s="525" t="str">
        <f>IF(AND(B933&gt;='IN-NX'!$P$3,B933&lt;='IN-NX'!$Q$3,'IN-NX'!$D$7=D933,OR(LEFT(L933,2)="15",AND(LEFT(M933,2)&lt;&gt;"15",LEFT(M933,2)&lt;&gt;"33"))),"x","")</f>
        <v/>
      </c>
      <c r="V933" s="525" t="str">
        <f>IF(AND(OR(LEFT(TH!L941,2)="15",LEFT(TH!M941,2)="15"),'152-CT'!$J$8=TH!F941),"x","")</f>
        <v/>
      </c>
      <c r="W933" s="525" t="str">
        <f>IF(AND(OR(LEFT(TH!L941,2)="15",LEFT(TH!M941,2)="15"),TK!$E$7=TH!F941),"x","")</f>
        <v/>
      </c>
      <c r="X933" s="525" t="str">
        <f>IF(AND('341-CT'!$E$9=H933,OR(LEFT(L933,3)=$X$7,LEFT(M933,3)=$X$7)),"x","")</f>
        <v/>
      </c>
      <c r="Y933" s="525" t="str">
        <f>IF(OR(TH!L941=TH!$Y$7,M933=TH!$Y$7),"x","")</f>
        <v/>
      </c>
      <c r="Z933" s="525" t="str">
        <f>IF(AND(B933&lt;=NKC!$N$8,B933&gt;=NKC!$M$8),"x","")</f>
        <v/>
      </c>
      <c r="AA933" s="535">
        <v>3</v>
      </c>
      <c r="AB933" s="536"/>
    </row>
    <row r="934" spans="1:28" s="503" customFormat="1" ht="15.75" customHeight="1">
      <c r="A934" s="517" t="str">
        <f>IF(B934&lt;&gt;"",IF(AND(B934&gt;=_TM1,B934&lt;=_TM2,OR(TH!L912="1111",TH!M912="1111")),TH!D912,""),"")</f>
        <v/>
      </c>
      <c r="B934" s="531">
        <f t="shared" si="107"/>
        <v>8</v>
      </c>
      <c r="C934" s="315">
        <f t="shared" si="108"/>
        <v>42978</v>
      </c>
      <c r="D934" s="537"/>
      <c r="E934" s="315">
        <v>42978</v>
      </c>
      <c r="F934" s="249" t="s">
        <v>867</v>
      </c>
      <c r="G934" s="314"/>
      <c r="H934" s="473"/>
      <c r="I934" s="307"/>
      <c r="J934" s="307"/>
      <c r="K934" s="532">
        <f>ROUND((35000*2+15000*11+10000*6+5000*1)/1.1,0)</f>
        <v>272727</v>
      </c>
      <c r="L934" s="539" t="s">
        <v>81</v>
      </c>
      <c r="M934" s="539" t="s">
        <v>45</v>
      </c>
      <c r="N934" s="525" t="str">
        <f>IF(AND('331-CT'!$E$7=TH!H912,OR(L934="331",M934="331")),"331",IF(AND(OR(L934="131",M934="131"),H934='131-CT'!$E$7),"131",""))</f>
        <v/>
      </c>
      <c r="O934" s="525" t="str">
        <f>IF(AND($B934&gt;='111'!$N$11,$B934&lt;='111'!$O$11,OR($L934=$O$7,$M934=$O$7)),"x","")</f>
        <v/>
      </c>
      <c r="P934" s="525" t="str">
        <f>IF(AND($L934=$O$7,$B934&lt;'111'!$N$11),"x","")</f>
        <v/>
      </c>
      <c r="Q934" s="525" t="str">
        <f>IF(AND($M934=$O$7,$B934&lt;'111'!$N$11),"x","")</f>
        <v>x</v>
      </c>
      <c r="R934" s="525" t="str">
        <f>IF(ISERROR(FIND('112'!$M$9,G934,1)),"",IF((AND(FIND('112'!$M$9,G934,1)&gt;=1,$B934&gt;='112'!$N$8,$B934&lt;='112'!$O$8,OR($L934='112'!$I$6,$M934='112'!$I$6))),"x",""))</f>
        <v/>
      </c>
      <c r="S934" s="525" t="str">
        <f>IF(ISERROR(FIND('112'!$M$9,G934,1)),"",IF((AND(LEFT(G934,2)=LEFT('112'!$M$9,2),B934&lt;'112'!$N$8,$L934='112'!$I$6)),"x",""))</f>
        <v/>
      </c>
      <c r="T934" s="525" t="str">
        <f>IF(ISERROR(FIND('112'!$M$9,G934,1)),"",IF((AND(RIGHT(G934,2)=RIGHT('112'!$M$9,2),B934&lt;'112'!$N$8,$M934='112'!$I$6)),"x",""))</f>
        <v/>
      </c>
      <c r="U934" s="525" t="str">
        <f>IF(AND(B934&gt;='IN-NX'!$P$3,B934&lt;='IN-NX'!$Q$3,'IN-NX'!$D$7=D934,OR(LEFT(L934,2)="15",AND(LEFT(M934,2)&lt;&gt;"15",LEFT(M934,2)&lt;&gt;"33"))),"x","")</f>
        <v/>
      </c>
      <c r="V934" s="525" t="str">
        <f>IF(AND(OR(LEFT(TH!L912,2)="15",LEFT(TH!M912,2)="15"),'152-CT'!$J$8=TH!F912),"x","")</f>
        <v/>
      </c>
      <c r="W934" s="525" t="str">
        <f>IF(AND(OR(LEFT(TH!L912,2)="15",LEFT(TH!M912,2)="15"),TK!$E$7=TH!F912),"x","")</f>
        <v/>
      </c>
      <c r="X934" s="525" t="str">
        <f>IF(AND('341-CT'!$E$9=H934,OR(LEFT(L934,3)=$X$7,LEFT(M934,3)=$X$7)),"x","")</f>
        <v/>
      </c>
      <c r="Y934" s="525" t="str">
        <f>IF(OR(TH!L912=TH!$Y$7,M934=TH!$Y$7),"x","")</f>
        <v/>
      </c>
      <c r="Z934" s="525" t="str">
        <f>IF(AND(B934&lt;=NKC!$N$8,B934&gt;=NKC!$M$8),"x","")</f>
        <v/>
      </c>
      <c r="AA934" s="535">
        <v>3</v>
      </c>
      <c r="AB934" s="536"/>
    </row>
    <row r="935" spans="1:28" s="503" customFormat="1" ht="15.75" customHeight="1">
      <c r="A935" s="517" t="str">
        <f>IF(B935&lt;&gt;"",IF(AND(B935&gt;=_TM1,B935&lt;=_TM2,OR(TH!L913="1111",TH!M913="1111")),TH!D913,""),"")</f>
        <v/>
      </c>
      <c r="B935" s="531">
        <f t="shared" si="107"/>
        <v>8</v>
      </c>
      <c r="C935" s="315">
        <f t="shared" si="108"/>
        <v>42978</v>
      </c>
      <c r="D935" s="537"/>
      <c r="E935" s="315">
        <v>42978</v>
      </c>
      <c r="F935" s="249" t="s">
        <v>868</v>
      </c>
      <c r="G935" s="314"/>
      <c r="H935" s="473"/>
      <c r="I935" s="307"/>
      <c r="J935" s="307"/>
      <c r="K935" s="532">
        <v>27273</v>
      </c>
      <c r="L935" s="539" t="s">
        <v>9</v>
      </c>
      <c r="M935" s="539" t="s">
        <v>45</v>
      </c>
      <c r="N935" s="525" t="str">
        <f>IF(AND('331-CT'!$E$7=TH!H913,OR(L935="331",M935="331")),"331",IF(AND(OR(L935="131",M935="131"),H935='131-CT'!$E$7),"131",""))</f>
        <v/>
      </c>
      <c r="O935" s="525" t="str">
        <f>IF(AND($B935&gt;='111'!$N$11,$B935&lt;='111'!$O$11,OR($L935=$O$7,$M935=$O$7)),"x","")</f>
        <v/>
      </c>
      <c r="P935" s="525" t="str">
        <f>IF(AND($L935=$O$7,$B935&lt;'111'!$N$11),"x","")</f>
        <v/>
      </c>
      <c r="Q935" s="525" t="str">
        <f>IF(AND($M935=$O$7,$B935&lt;'111'!$N$11),"x","")</f>
        <v>x</v>
      </c>
      <c r="R935" s="525" t="str">
        <f>IF(ISERROR(FIND('112'!$M$9,G935,1)),"",IF((AND(FIND('112'!$M$9,G935,1)&gt;=1,$B935&gt;='112'!$N$8,$B935&lt;='112'!$O$8,OR($L935='112'!$I$6,$M935='112'!$I$6))),"x",""))</f>
        <v/>
      </c>
      <c r="S935" s="525" t="str">
        <f>IF(ISERROR(FIND('112'!$M$9,G935,1)),"",IF((AND(LEFT(G935,2)=LEFT('112'!$M$9,2),B935&lt;'112'!$N$8,$L935='112'!$I$6)),"x",""))</f>
        <v/>
      </c>
      <c r="T935" s="525" t="str">
        <f>IF(ISERROR(FIND('112'!$M$9,G935,1)),"",IF((AND(RIGHT(G935,2)=RIGHT('112'!$M$9,2),B935&lt;'112'!$N$8,$M935='112'!$I$6)),"x",""))</f>
        <v/>
      </c>
      <c r="U935" s="525" t="str">
        <f>IF(AND(B935&gt;='IN-NX'!$P$3,B935&lt;='IN-NX'!$Q$3,'IN-NX'!$D$7=D935,OR(LEFT(L935,2)="15",AND(LEFT(M935,2)&lt;&gt;"15",LEFT(M935,2)&lt;&gt;"33"))),"x","")</f>
        <v/>
      </c>
      <c r="V935" s="525" t="str">
        <f>IF(AND(OR(LEFT(TH!L913,2)="15",LEFT(TH!M913,2)="15"),'152-CT'!$J$8=TH!F913),"x","")</f>
        <v/>
      </c>
      <c r="W935" s="525" t="str">
        <f>IF(AND(OR(LEFT(TH!L913,2)="15",LEFT(TH!M913,2)="15"),TK!$E$7=TH!F913),"x","")</f>
        <v/>
      </c>
      <c r="X935" s="525" t="str">
        <f>IF(AND('341-CT'!$E$9=H935,OR(LEFT(L935,3)=$X$7,LEFT(M935,3)=$X$7)),"x","")</f>
        <v/>
      </c>
      <c r="Y935" s="525" t="str">
        <f>IF(OR(TH!L913=TH!$Y$7,M935=TH!$Y$7),"x","")</f>
        <v/>
      </c>
      <c r="Z935" s="525" t="str">
        <f>IF(AND(B935&lt;=NKC!$N$8,B935&gt;=NKC!$M$8),"x","")</f>
        <v/>
      </c>
      <c r="AA935" s="535">
        <v>3</v>
      </c>
      <c r="AB935" s="536"/>
    </row>
    <row r="936" spans="1:28" s="503" customFormat="1" ht="15.75" customHeight="1">
      <c r="A936" s="517" t="str">
        <f>IF(B936&lt;&gt;"",IF(AND(B936&gt;=_TM1,B936&lt;=_TM2,OR(TH!L920="1111",TH!M920="1111")),TH!D920,""),"")</f>
        <v/>
      </c>
      <c r="B936" s="531">
        <f t="shared" si="107"/>
        <v>9</v>
      </c>
      <c r="C936" s="315">
        <f t="shared" si="108"/>
        <v>42979</v>
      </c>
      <c r="D936" s="537"/>
      <c r="E936" s="315">
        <v>42979</v>
      </c>
      <c r="F936" s="249" t="s">
        <v>1573</v>
      </c>
      <c r="G936" s="314" t="s">
        <v>1576</v>
      </c>
      <c r="H936" s="473" t="s">
        <v>863</v>
      </c>
      <c r="I936" s="307"/>
      <c r="J936" s="307"/>
      <c r="K936" s="532">
        <f>82613+168182</f>
        <v>250795</v>
      </c>
      <c r="L936" s="539" t="s">
        <v>81</v>
      </c>
      <c r="M936" s="539" t="s">
        <v>45</v>
      </c>
      <c r="N936" s="525" t="str">
        <f>IF(AND('331-CT'!$E$7=TH!H920,OR(L936="331",M936="331")),"331",IF(AND(OR(L936="131",M936="131"),H936='131-CT'!$E$7),"131",""))</f>
        <v/>
      </c>
      <c r="O936" s="525" t="str">
        <f>IF(AND($B936&gt;='111'!$N$11,$B936&lt;='111'!$O$11,OR($L936=$O$7,$M936=$O$7)),"x","")</f>
        <v/>
      </c>
      <c r="P936" s="525" t="str">
        <f>IF(AND($L936=$O$7,$B936&lt;'111'!$N$11),"x","")</f>
        <v/>
      </c>
      <c r="Q936" s="525" t="str">
        <f>IF(AND($M936=$O$7,$B936&lt;'111'!$N$11),"x","")</f>
        <v>x</v>
      </c>
      <c r="R936" s="525" t="str">
        <f>IF(ISERROR(FIND('112'!$M$9,G936,1)),"",IF((AND(FIND('112'!$M$9,G936,1)&gt;=1,$B936&gt;='112'!$N$8,$B936&lt;='112'!$O$8,OR($L936='112'!$I$6,$M936='112'!$I$6))),"x",""))</f>
        <v/>
      </c>
      <c r="S936" s="525" t="str">
        <f>IF(ISERROR(FIND('112'!$M$9,G936,1)),"",IF((AND(LEFT(G936,2)=LEFT('112'!$M$9,2),B936&lt;'112'!$N$8,$L936='112'!$I$6)),"x",""))</f>
        <v/>
      </c>
      <c r="T936" s="525" t="str">
        <f>IF(ISERROR(FIND('112'!$M$9,G936,1)),"",IF((AND(RIGHT(G936,2)=RIGHT('112'!$M$9,2),B936&lt;'112'!$N$8,$M936='112'!$I$6)),"x",""))</f>
        <v/>
      </c>
      <c r="U936" s="525" t="str">
        <f>IF(AND(B936&gt;='IN-NX'!$P$3,B936&lt;='IN-NX'!$Q$3,'IN-NX'!$D$7=D936,OR(LEFT(L936,2)="15",AND(LEFT(M936,2)&lt;&gt;"15",LEFT(M936,2)&lt;&gt;"33"))),"x","")</f>
        <v/>
      </c>
      <c r="V936" s="525" t="str">
        <f>IF(AND(OR(LEFT(TH!L920,2)="15",LEFT(TH!M920,2)="15"),'152-CT'!$J$8=TH!F920),"x","")</f>
        <v/>
      </c>
      <c r="W936" s="525" t="str">
        <f>IF(AND(OR(LEFT(TH!L920,2)="15",LEFT(TH!M920,2)="15"),TK!$E$7=TH!F920),"x","")</f>
        <v/>
      </c>
      <c r="X936" s="525" t="str">
        <f>IF(AND('341-CT'!$E$9=H936,OR(LEFT(L936,3)=$X$7,LEFT(M936,3)=$X$7)),"x","")</f>
        <v/>
      </c>
      <c r="Y936" s="525" t="str">
        <f>IF(OR(TH!L920=TH!$Y$7,M936=TH!$Y$7),"x","")</f>
        <v/>
      </c>
      <c r="Z936" s="525" t="str">
        <f>IF(AND(B936&lt;=NKC!$N$8,B936&gt;=NKC!$M$8),"x","")</f>
        <v/>
      </c>
      <c r="AA936" s="535">
        <v>3</v>
      </c>
      <c r="AB936" s="536"/>
    </row>
    <row r="937" spans="1:28" s="503" customFormat="1" ht="15.75" customHeight="1">
      <c r="A937" s="517" t="str">
        <f>IF(B937&lt;&gt;"",IF(AND(B937&gt;=_TM1,B937&lt;=_TM2,OR(TH!L921="1111",TH!M921="1111")),TH!D921,""),"")</f>
        <v/>
      </c>
      <c r="B937" s="531">
        <f t="shared" si="107"/>
        <v>9</v>
      </c>
      <c r="C937" s="315">
        <f t="shared" si="108"/>
        <v>42979</v>
      </c>
      <c r="D937" s="537"/>
      <c r="E937" s="315">
        <v>42979</v>
      </c>
      <c r="F937" s="249" t="s">
        <v>1201</v>
      </c>
      <c r="G937" s="314" t="s">
        <v>1576</v>
      </c>
      <c r="H937" s="473" t="s">
        <v>863</v>
      </c>
      <c r="I937" s="307"/>
      <c r="J937" s="307"/>
      <c r="K937" s="532">
        <f>16818+8261</f>
        <v>25079</v>
      </c>
      <c r="L937" s="588" t="s">
        <v>9</v>
      </c>
      <c r="M937" s="539" t="s">
        <v>45</v>
      </c>
      <c r="N937" s="525" t="str">
        <f>IF(AND('331-CT'!$E$7=TH!H921,OR(L937="331",M937="331")),"331",IF(AND(OR(L937="131",M937="131"),H937='131-CT'!$E$7),"131",""))</f>
        <v/>
      </c>
      <c r="O937" s="525" t="str">
        <f>IF(AND($B937&gt;='111'!$N$11,$B937&lt;='111'!$O$11,OR($L937=$O$7,$M937=$O$7)),"x","")</f>
        <v/>
      </c>
      <c r="P937" s="525" t="str">
        <f>IF(AND($L937=$O$7,$B937&lt;'111'!$N$11),"x","")</f>
        <v/>
      </c>
      <c r="Q937" s="525" t="str">
        <f>IF(AND($M937=$O$7,$B937&lt;'111'!$N$11),"x","")</f>
        <v>x</v>
      </c>
      <c r="R937" s="525" t="str">
        <f>IF(ISERROR(FIND('112'!$M$9,G937,1)),"",IF((AND(FIND('112'!$M$9,G937,1)&gt;=1,$B937&gt;='112'!$N$8,$B937&lt;='112'!$O$8,OR($L937='112'!$I$6,$M937='112'!$I$6))),"x",""))</f>
        <v/>
      </c>
      <c r="S937" s="525" t="str">
        <f>IF(ISERROR(FIND('112'!$M$9,G937,1)),"",IF((AND(LEFT(G937,2)=LEFT('112'!$M$9,2),B937&lt;'112'!$N$8,$L937='112'!$I$6)),"x",""))</f>
        <v/>
      </c>
      <c r="T937" s="525" t="str">
        <f>IF(ISERROR(FIND('112'!$M$9,G937,1)),"",IF((AND(RIGHT(G937,2)=RIGHT('112'!$M$9,2),B937&lt;'112'!$N$8,$M937='112'!$I$6)),"x",""))</f>
        <v/>
      </c>
      <c r="U937" s="525" t="str">
        <f>IF(AND(B937&gt;='IN-NX'!$P$3,B937&lt;='IN-NX'!$Q$3,'IN-NX'!$D$7=D937,OR(LEFT(L937,2)="15",AND(LEFT(M937,2)&lt;&gt;"15",LEFT(M937,2)&lt;&gt;"33"))),"x","")</f>
        <v/>
      </c>
      <c r="V937" s="525" t="str">
        <f>IF(AND(OR(LEFT(TH!L921,2)="15",LEFT(TH!M921,2)="15"),'152-CT'!$J$8=TH!F921),"x","")</f>
        <v/>
      </c>
      <c r="W937" s="525" t="str">
        <f>IF(AND(OR(LEFT(TH!L921,2)="15",LEFT(TH!M921,2)="15"),TK!$E$7=TH!F921),"x","")</f>
        <v/>
      </c>
      <c r="X937" s="525" t="str">
        <f>IF(AND('341-CT'!$E$9=H937,OR(LEFT(L937,3)=$X$7,LEFT(M937,3)=$X$7)),"x","")</f>
        <v/>
      </c>
      <c r="Y937" s="525" t="str">
        <f>IF(OR(TH!L921=TH!$Y$7,M937=TH!$Y$7),"x","")</f>
        <v/>
      </c>
      <c r="Z937" s="525" t="str">
        <f>IF(AND(B937&lt;=NKC!$N$8,B937&gt;=NKC!$M$8),"x","")</f>
        <v/>
      </c>
      <c r="AA937" s="535">
        <v>3</v>
      </c>
      <c r="AB937" s="536"/>
    </row>
    <row r="938" spans="1:28" s="503" customFormat="1" ht="15.75" customHeight="1">
      <c r="A938" s="517" t="str">
        <f>IF(B938&lt;&gt;"",IF(AND(B938&gt;=_TM1,B938&lt;=_TM2,OR(TH!L942="1111",TH!M942="1111")),TH!D942,""),"")</f>
        <v/>
      </c>
      <c r="B938" s="531">
        <f t="shared" si="107"/>
        <v>9</v>
      </c>
      <c r="C938" s="315">
        <f t="shared" si="108"/>
        <v>42979</v>
      </c>
      <c r="D938" s="537"/>
      <c r="E938" s="315">
        <v>42979</v>
      </c>
      <c r="F938" s="249" t="s">
        <v>1716</v>
      </c>
      <c r="G938" s="314" t="s">
        <v>1718</v>
      </c>
      <c r="H938" s="473" t="s">
        <v>1719</v>
      </c>
      <c r="I938" s="307"/>
      <c r="J938" s="307"/>
      <c r="K938" s="532">
        <v>903000</v>
      </c>
      <c r="L938" s="539" t="s">
        <v>81</v>
      </c>
      <c r="M938" s="539" t="s">
        <v>45</v>
      </c>
      <c r="N938" s="525" t="str">
        <f>IF(AND('331-CT'!$E$7=TH!H942,OR(L938="331",M938="331")),"331",IF(AND(OR(L938="131",M938="131"),H938='131-CT'!$E$7),"131",""))</f>
        <v/>
      </c>
      <c r="O938" s="525" t="str">
        <f>IF(AND($B938&gt;='111'!$N$11,$B938&lt;='111'!$O$11,OR($L938=$O$7,$M938=$O$7)),"x","")</f>
        <v/>
      </c>
      <c r="P938" s="525" t="str">
        <f>IF(AND($L938=$O$7,$B938&lt;'111'!$N$11),"x","")</f>
        <v/>
      </c>
      <c r="Q938" s="525" t="str">
        <f>IF(AND($M938=$O$7,$B938&lt;'111'!$N$11),"x","")</f>
        <v>x</v>
      </c>
      <c r="R938" s="525" t="str">
        <f>IF(ISERROR(FIND('112'!$M$9,G938,1)),"",IF((AND(FIND('112'!$M$9,G938,1)&gt;=1,$B938&gt;='112'!$N$8,$B938&lt;='112'!$O$8,OR($L938='112'!$I$6,$M938='112'!$I$6))),"x",""))</f>
        <v/>
      </c>
      <c r="S938" s="525" t="str">
        <f>IF(ISERROR(FIND('112'!$M$9,G938,1)),"",IF((AND(LEFT(G938,2)=LEFT('112'!$M$9,2),B938&lt;'112'!$N$8,$L938='112'!$I$6)),"x",""))</f>
        <v/>
      </c>
      <c r="T938" s="525" t="str">
        <f>IF(ISERROR(FIND('112'!$M$9,G938,1)),"",IF((AND(RIGHT(G938,2)=RIGHT('112'!$M$9,2),B938&lt;'112'!$N$8,$M938='112'!$I$6)),"x",""))</f>
        <v/>
      </c>
      <c r="U938" s="525" t="str">
        <f>IF(AND(B938&gt;='IN-NX'!$P$3,B938&lt;='IN-NX'!$Q$3,'IN-NX'!$D$7=D938,OR(LEFT(L938,2)="15",AND(LEFT(M938,2)&lt;&gt;"15",LEFT(M938,2)&lt;&gt;"33"))),"x","")</f>
        <v/>
      </c>
      <c r="V938" s="525" t="str">
        <f>IF(AND(OR(LEFT(TH!L942,2)="15",LEFT(TH!M942,2)="15"),'152-CT'!$J$8=TH!F942),"x","")</f>
        <v/>
      </c>
      <c r="W938" s="525" t="str">
        <f>IF(AND(OR(LEFT(TH!L942,2)="15",LEFT(TH!M942,2)="15"),TK!$E$7=TH!F942),"x","")</f>
        <v/>
      </c>
      <c r="X938" s="525" t="str">
        <f>IF(AND('341-CT'!$E$9=H938,OR(LEFT(L938,3)=$X$7,LEFT(M938,3)=$X$7)),"x","")</f>
        <v/>
      </c>
      <c r="Y938" s="525" t="str">
        <f>IF(OR(TH!L942=TH!$Y$7,M938=TH!$Y$7),"x","")</f>
        <v/>
      </c>
      <c r="Z938" s="525" t="str">
        <f>IF(AND(B938&lt;=NKC!$N$8,B938&gt;=NKC!$M$8),"x","")</f>
        <v/>
      </c>
      <c r="AA938" s="535">
        <v>3</v>
      </c>
      <c r="AB938" s="536"/>
    </row>
    <row r="939" spans="1:28" s="503" customFormat="1" ht="15.75" customHeight="1">
      <c r="A939" s="517" t="str">
        <f>IF(B939&lt;&gt;"",IF(AND(B939&gt;=_TM1,B939&lt;=_TM2,OR(TH!L943="1111",TH!M943="1111")),TH!D943,""),"")</f>
        <v/>
      </c>
      <c r="B939" s="531">
        <f t="shared" si="107"/>
        <v>9</v>
      </c>
      <c r="C939" s="315">
        <f t="shared" si="108"/>
        <v>42979</v>
      </c>
      <c r="D939" s="537"/>
      <c r="E939" s="315">
        <v>42979</v>
      </c>
      <c r="F939" s="249" t="s">
        <v>1717</v>
      </c>
      <c r="G939" s="314" t="s">
        <v>1718</v>
      </c>
      <c r="H939" s="473" t="s">
        <v>1719</v>
      </c>
      <c r="I939" s="307"/>
      <c r="J939" s="307"/>
      <c r="K939" s="532">
        <v>90300</v>
      </c>
      <c r="L939" s="588" t="s">
        <v>9</v>
      </c>
      <c r="M939" s="539" t="s">
        <v>45</v>
      </c>
      <c r="N939" s="525" t="str">
        <f>IF(AND('331-CT'!$E$7=TH!H943,OR(L939="331",M939="331")),"331",IF(AND(OR(L939="131",M939="131"),H939='131-CT'!$E$7),"131",""))</f>
        <v/>
      </c>
      <c r="O939" s="525" t="str">
        <f>IF(AND($B939&gt;='111'!$N$11,$B939&lt;='111'!$O$11,OR($L939=$O$7,$M939=$O$7)),"x","")</f>
        <v/>
      </c>
      <c r="P939" s="525" t="str">
        <f>IF(AND($L939=$O$7,$B939&lt;'111'!$N$11),"x","")</f>
        <v/>
      </c>
      <c r="Q939" s="525" t="str">
        <f>IF(AND($M939=$O$7,$B939&lt;'111'!$N$11),"x","")</f>
        <v>x</v>
      </c>
      <c r="R939" s="525" t="str">
        <f>IF(ISERROR(FIND('112'!$M$9,G939,1)),"",IF((AND(FIND('112'!$M$9,G939,1)&gt;=1,$B939&gt;='112'!$N$8,$B939&lt;='112'!$O$8,OR($L939='112'!$I$6,$M939='112'!$I$6))),"x",""))</f>
        <v/>
      </c>
      <c r="S939" s="525" t="str">
        <f>IF(ISERROR(FIND('112'!$M$9,G939,1)),"",IF((AND(LEFT(G939,2)=LEFT('112'!$M$9,2),B939&lt;'112'!$N$8,$L939='112'!$I$6)),"x",""))</f>
        <v/>
      </c>
      <c r="T939" s="525" t="str">
        <f>IF(ISERROR(FIND('112'!$M$9,G939,1)),"",IF((AND(RIGHT(G939,2)=RIGHT('112'!$M$9,2),B939&lt;'112'!$N$8,$M939='112'!$I$6)),"x",""))</f>
        <v/>
      </c>
      <c r="U939" s="525" t="str">
        <f>IF(AND(B939&gt;='IN-NX'!$P$3,B939&lt;='IN-NX'!$Q$3,'IN-NX'!$D$7=D939,OR(LEFT(L939,2)="15",AND(LEFT(M939,2)&lt;&gt;"15",LEFT(M939,2)&lt;&gt;"33"))),"x","")</f>
        <v/>
      </c>
      <c r="V939" s="525" t="str">
        <f>IF(AND(OR(LEFT(TH!L943,2)="15",LEFT(TH!M943,2)="15"),'152-CT'!$J$8=TH!F943),"x","")</f>
        <v/>
      </c>
      <c r="W939" s="525" t="str">
        <f>IF(AND(OR(LEFT(TH!L943,2)="15",LEFT(TH!M943,2)="15"),TK!$E$7=TH!F943),"x","")</f>
        <v/>
      </c>
      <c r="X939" s="525" t="str">
        <f>IF(AND('341-CT'!$E$9=H939,OR(LEFT(L939,3)=$X$7,LEFT(M939,3)=$X$7)),"x","")</f>
        <v/>
      </c>
      <c r="Y939" s="525" t="str">
        <f>IF(OR(TH!L943=TH!$Y$7,M939=TH!$Y$7),"x","")</f>
        <v/>
      </c>
      <c r="Z939" s="525" t="str">
        <f>IF(AND(B939&lt;=NKC!$N$8,B939&gt;=NKC!$M$8),"x","")</f>
        <v/>
      </c>
      <c r="AA939" s="535">
        <v>3</v>
      </c>
      <c r="AB939" s="536"/>
    </row>
    <row r="940" spans="1:28" s="503" customFormat="1" ht="15.75" customHeight="1">
      <c r="A940" s="517" t="str">
        <f>IF(B940&lt;&gt;"",IF(AND(B940&gt;=_TM1,B940&lt;=_TM2,OR(TH!L926="1111",TH!M926="1111")),TH!D926,""),"")</f>
        <v/>
      </c>
      <c r="B940" s="531">
        <f t="shared" si="107"/>
        <v>9</v>
      </c>
      <c r="C940" s="315">
        <f t="shared" si="108"/>
        <v>42982</v>
      </c>
      <c r="D940" s="537"/>
      <c r="E940" s="315">
        <v>42982</v>
      </c>
      <c r="F940" s="249" t="s">
        <v>1579</v>
      </c>
      <c r="G940" s="314" t="s">
        <v>1261</v>
      </c>
      <c r="H940" s="473" t="s">
        <v>852</v>
      </c>
      <c r="I940" s="307"/>
      <c r="J940" s="307"/>
      <c r="K940" s="532">
        <f>182012</f>
        <v>182012</v>
      </c>
      <c r="L940" s="539" t="s">
        <v>81</v>
      </c>
      <c r="M940" s="539" t="s">
        <v>45</v>
      </c>
      <c r="N940" s="525" t="str">
        <f>IF(AND('331-CT'!$E$7=TH!H926,OR(L940="331",M940="331")),"331",IF(AND(OR(L940="131",M940="131"),H940='131-CT'!$E$7),"131",""))</f>
        <v/>
      </c>
      <c r="O940" s="525" t="str">
        <f>IF(AND($B940&gt;='111'!$N$11,$B940&lt;='111'!$O$11,OR($L940=$O$7,$M940=$O$7)),"x","")</f>
        <v/>
      </c>
      <c r="P940" s="525" t="str">
        <f>IF(AND($L940=$O$7,$B940&lt;'111'!$N$11),"x","")</f>
        <v/>
      </c>
      <c r="Q940" s="525" t="str">
        <f>IF(AND($M940=$O$7,$B940&lt;'111'!$N$11),"x","")</f>
        <v>x</v>
      </c>
      <c r="R940" s="525" t="str">
        <f>IF(ISERROR(FIND('112'!$M$9,G940,1)),"",IF((AND(FIND('112'!$M$9,G940,1)&gt;=1,$B940&gt;='112'!$N$8,$B940&lt;='112'!$O$8,OR($L940='112'!$I$6,$M940='112'!$I$6))),"x",""))</f>
        <v/>
      </c>
      <c r="S940" s="525" t="str">
        <f>IF(ISERROR(FIND('112'!$M$9,G940,1)),"",IF((AND(LEFT(G940,2)=LEFT('112'!$M$9,2),B940&lt;'112'!$N$8,$L940='112'!$I$6)),"x",""))</f>
        <v/>
      </c>
      <c r="T940" s="525" t="str">
        <f>IF(ISERROR(FIND('112'!$M$9,G940,1)),"",IF((AND(RIGHT(G940,2)=RIGHT('112'!$M$9,2),B940&lt;'112'!$N$8,$M940='112'!$I$6)),"x",""))</f>
        <v/>
      </c>
      <c r="U940" s="525" t="str">
        <f>IF(AND(B940&gt;='IN-NX'!$P$3,B940&lt;='IN-NX'!$Q$3,'IN-NX'!$D$7=D940,OR(LEFT(L940,2)="15",AND(LEFT(M940,2)&lt;&gt;"15",LEFT(M940,2)&lt;&gt;"33"))),"x","")</f>
        <v/>
      </c>
      <c r="V940" s="525" t="str">
        <f>IF(AND(OR(LEFT(TH!L926,2)="15",LEFT(TH!M926,2)="15"),'152-CT'!$J$8=TH!F926),"x","")</f>
        <v/>
      </c>
      <c r="W940" s="525" t="str">
        <f>IF(AND(OR(LEFT(TH!L926,2)="15",LEFT(TH!M926,2)="15"),TK!$E$7=TH!F926),"x","")</f>
        <v/>
      </c>
      <c r="X940" s="525" t="str">
        <f>IF(AND('341-CT'!$E$9=H940,OR(LEFT(L940,3)=$X$7,LEFT(M940,3)=$X$7)),"x","")</f>
        <v/>
      </c>
      <c r="Y940" s="525" t="str">
        <f>IF(OR(TH!L926=TH!$Y$7,M940=TH!$Y$7),"x","")</f>
        <v/>
      </c>
      <c r="Z940" s="525" t="str">
        <f>IF(AND(B940&lt;=NKC!$N$8,B940&gt;=NKC!$M$8),"x","")</f>
        <v/>
      </c>
      <c r="AA940" s="535">
        <v>3</v>
      </c>
      <c r="AB940" s="536"/>
    </row>
    <row r="941" spans="1:28" s="503" customFormat="1" ht="15.75" customHeight="1">
      <c r="A941" s="517" t="str">
        <f>IF(B941&lt;&gt;"",IF(AND(B941&gt;=_TM1,B941&lt;=_TM2,OR(TH!L927="1111",TH!M927="1111")),TH!D927,""),"")</f>
        <v/>
      </c>
      <c r="B941" s="531">
        <f t="shared" si="107"/>
        <v>9</v>
      </c>
      <c r="C941" s="315">
        <f t="shared" si="108"/>
        <v>42982</v>
      </c>
      <c r="D941" s="537"/>
      <c r="E941" s="315">
        <v>42982</v>
      </c>
      <c r="F941" s="249" t="s">
        <v>853</v>
      </c>
      <c r="G941" s="314" t="s">
        <v>1261</v>
      </c>
      <c r="H941" s="473" t="s">
        <v>852</v>
      </c>
      <c r="I941" s="307"/>
      <c r="J941" s="307"/>
      <c r="K941" s="532">
        <f>18201</f>
        <v>18201</v>
      </c>
      <c r="L941" s="588" t="s">
        <v>9</v>
      </c>
      <c r="M941" s="539" t="s">
        <v>45</v>
      </c>
      <c r="N941" s="525" t="str">
        <f>IF(AND('331-CT'!$E$7=TH!H927,OR(L941="331",M941="331")),"331",IF(AND(OR(L941="131",M941="131"),H941='131-CT'!$E$7),"131",""))</f>
        <v/>
      </c>
      <c r="O941" s="525" t="str">
        <f>IF(AND($B941&gt;='111'!$N$11,$B941&lt;='111'!$O$11,OR($L941=$O$7,$M941=$O$7)),"x","")</f>
        <v/>
      </c>
      <c r="P941" s="525" t="str">
        <f>IF(AND($L941=$O$7,$B941&lt;'111'!$N$11),"x","")</f>
        <v/>
      </c>
      <c r="Q941" s="525" t="str">
        <f>IF(AND($M941=$O$7,$B941&lt;'111'!$N$11),"x","")</f>
        <v>x</v>
      </c>
      <c r="R941" s="525" t="str">
        <f>IF(ISERROR(FIND('112'!$M$9,G941,1)),"",IF((AND(FIND('112'!$M$9,G941,1)&gt;=1,$B941&gt;='112'!$N$8,$B941&lt;='112'!$O$8,OR($L941='112'!$I$6,$M941='112'!$I$6))),"x",""))</f>
        <v/>
      </c>
      <c r="S941" s="525" t="str">
        <f>IF(ISERROR(FIND('112'!$M$9,G941,1)),"",IF((AND(LEFT(G941,2)=LEFT('112'!$M$9,2),B941&lt;'112'!$N$8,$L941='112'!$I$6)),"x",""))</f>
        <v/>
      </c>
      <c r="T941" s="525" t="str">
        <f>IF(ISERROR(FIND('112'!$M$9,G941,1)),"",IF((AND(RIGHT(G941,2)=RIGHT('112'!$M$9,2),B941&lt;'112'!$N$8,$M941='112'!$I$6)),"x",""))</f>
        <v/>
      </c>
      <c r="U941" s="525" t="str">
        <f>IF(AND(B941&gt;='IN-NX'!$P$3,B941&lt;='IN-NX'!$Q$3,'IN-NX'!$D$7=D941,OR(LEFT(L941,2)="15",AND(LEFT(M941,2)&lt;&gt;"15",LEFT(M941,2)&lt;&gt;"33"))),"x","")</f>
        <v/>
      </c>
      <c r="V941" s="525" t="str">
        <f>IF(AND(OR(LEFT(TH!L927,2)="15",LEFT(TH!M927,2)="15"),'152-CT'!$J$8=TH!F927),"x","")</f>
        <v/>
      </c>
      <c r="W941" s="525" t="str">
        <f>IF(AND(OR(LEFT(TH!L927,2)="15",LEFT(TH!M927,2)="15"),TK!$E$7=TH!F927),"x","")</f>
        <v/>
      </c>
      <c r="X941" s="525" t="str">
        <f>IF(AND('341-CT'!$E$9=H941,OR(LEFT(L941,3)=$X$7,LEFT(M941,3)=$X$7)),"x","")</f>
        <v/>
      </c>
      <c r="Y941" s="525" t="str">
        <f>IF(OR(TH!L927=TH!$Y$7,M941=TH!$Y$7),"x","")</f>
        <v/>
      </c>
      <c r="Z941" s="525" t="str">
        <f>IF(AND(B941&lt;=NKC!$N$8,B941&gt;=NKC!$M$8),"x","")</f>
        <v/>
      </c>
      <c r="AA941" s="535">
        <v>3</v>
      </c>
      <c r="AB941" s="536"/>
    </row>
    <row r="942" spans="1:28" s="503" customFormat="1" ht="15.75" customHeight="1">
      <c r="A942" s="517" t="str">
        <f>IF(B942&lt;&gt;"",IF(AND(B942&gt;=_TM1,B942&lt;=_TM2,OR(TH!L944="1111",TH!M944="1111")),TH!D944,""),"")</f>
        <v/>
      </c>
      <c r="B942" s="531">
        <f t="shared" si="107"/>
        <v>9</v>
      </c>
      <c r="C942" s="315">
        <f t="shared" si="108"/>
        <v>43004</v>
      </c>
      <c r="D942" s="537"/>
      <c r="E942" s="315">
        <v>43004</v>
      </c>
      <c r="F942" s="249" t="s">
        <v>1721</v>
      </c>
      <c r="G942" s="314" t="s">
        <v>1720</v>
      </c>
      <c r="H942" s="249" t="s">
        <v>845</v>
      </c>
      <c r="I942" s="307"/>
      <c r="J942" s="307"/>
      <c r="K942" s="532">
        <v>480909</v>
      </c>
      <c r="L942" s="539" t="s">
        <v>81</v>
      </c>
      <c r="M942" s="539" t="s">
        <v>45</v>
      </c>
      <c r="N942" s="525" t="str">
        <f>IF(AND('331-CT'!$E$7=TH!H944,OR(L942="331",M942="331")),"331",IF(AND(OR(L942="131",M942="131"),H942='131-CT'!$E$7),"131",""))</f>
        <v/>
      </c>
      <c r="O942" s="525" t="str">
        <f>IF(AND($B942&gt;='111'!$N$11,$B942&lt;='111'!$O$11,OR($L942=$O$7,$M942=$O$7)),"x","")</f>
        <v/>
      </c>
      <c r="P942" s="525" t="str">
        <f>IF(AND($L942=$O$7,$B942&lt;'111'!$N$11),"x","")</f>
        <v/>
      </c>
      <c r="Q942" s="525" t="str">
        <f>IF(AND($M942=$O$7,$B942&lt;'111'!$N$11),"x","")</f>
        <v>x</v>
      </c>
      <c r="R942" s="525" t="str">
        <f>IF(ISERROR(FIND('112'!$M$9,G942,1)),"",IF((AND(FIND('112'!$M$9,G942,1)&gt;=1,$B942&gt;='112'!$N$8,$B942&lt;='112'!$O$8,OR($L942='112'!$I$6,$M942='112'!$I$6))),"x",""))</f>
        <v/>
      </c>
      <c r="S942" s="525" t="str">
        <f>IF(ISERROR(FIND('112'!$M$9,G942,1)),"",IF((AND(LEFT(G942,2)=LEFT('112'!$M$9,2),B942&lt;'112'!$N$8,$L942='112'!$I$6)),"x",""))</f>
        <v/>
      </c>
      <c r="T942" s="525" t="str">
        <f>IF(ISERROR(FIND('112'!$M$9,G942,1)),"",IF((AND(RIGHT(G942,2)=RIGHT('112'!$M$9,2),B942&lt;'112'!$N$8,$M942='112'!$I$6)),"x",""))</f>
        <v/>
      </c>
      <c r="U942" s="525" t="str">
        <f>IF(AND(B942&gt;='IN-NX'!$P$3,B942&lt;='IN-NX'!$Q$3,'IN-NX'!$D$7=D942,OR(LEFT(L942,2)="15",AND(LEFT(M942,2)&lt;&gt;"15",LEFT(M942,2)&lt;&gt;"33"))),"x","")</f>
        <v/>
      </c>
      <c r="V942" s="525" t="str">
        <f>IF(AND(OR(LEFT(TH!L944,2)="15",LEFT(TH!M944,2)="15"),'152-CT'!$J$8=TH!F944),"x","")</f>
        <v/>
      </c>
      <c r="W942" s="525" t="str">
        <f>IF(AND(OR(LEFT(TH!L944,2)="15",LEFT(TH!M944,2)="15"),TK!$E$7=TH!F944),"x","")</f>
        <v/>
      </c>
      <c r="X942" s="525" t="str">
        <f>IF(AND('341-CT'!$E$9=H942,OR(LEFT(L942,3)=$X$7,LEFT(M942,3)=$X$7)),"x","")</f>
        <v/>
      </c>
      <c r="Y942" s="525" t="str">
        <f>IF(OR(TH!L944=TH!$Y$7,M942=TH!$Y$7),"x","")</f>
        <v/>
      </c>
      <c r="Z942" s="525" t="str">
        <f>IF(AND(B942&lt;=NKC!$N$8,B942&gt;=NKC!$M$8),"x","")</f>
        <v/>
      </c>
      <c r="AA942" s="535">
        <v>3</v>
      </c>
      <c r="AB942" s="536"/>
    </row>
    <row r="943" spans="1:28" s="503" customFormat="1" ht="15.75" customHeight="1">
      <c r="A943" s="517" t="str">
        <f>IF(B943&lt;&gt;"",IF(AND(B943&gt;=_TM1,B943&lt;=_TM2,OR(TH!L945="1111",TH!M945="1111")),TH!D945,""),"")</f>
        <v/>
      </c>
      <c r="B943" s="531">
        <f t="shared" si="107"/>
        <v>9</v>
      </c>
      <c r="C943" s="315">
        <f t="shared" si="108"/>
        <v>43004</v>
      </c>
      <c r="D943" s="537"/>
      <c r="E943" s="315">
        <v>43004</v>
      </c>
      <c r="F943" s="249" t="s">
        <v>1722</v>
      </c>
      <c r="G943" s="314" t="s">
        <v>1720</v>
      </c>
      <c r="H943" s="249" t="s">
        <v>845</v>
      </c>
      <c r="I943" s="307"/>
      <c r="J943" s="307"/>
      <c r="K943" s="532">
        <v>48091</v>
      </c>
      <c r="L943" s="539" t="s">
        <v>9</v>
      </c>
      <c r="M943" s="539" t="s">
        <v>45</v>
      </c>
      <c r="N943" s="525" t="str">
        <f>IF(AND('331-CT'!$E$7=TH!H945,OR(L943="331",M943="331")),"331",IF(AND(OR(L943="131",M943="131"),H943='131-CT'!$E$7),"131",""))</f>
        <v/>
      </c>
      <c r="O943" s="525" t="str">
        <f>IF(AND($B943&gt;='111'!$N$11,$B943&lt;='111'!$O$11,OR($L943=$O$7,$M943=$O$7)),"x","")</f>
        <v/>
      </c>
      <c r="P943" s="525" t="str">
        <f>IF(AND($L943=$O$7,$B943&lt;'111'!$N$11),"x","")</f>
        <v/>
      </c>
      <c r="Q943" s="525" t="str">
        <f>IF(AND($M943=$O$7,$B943&lt;'111'!$N$11),"x","")</f>
        <v>x</v>
      </c>
      <c r="R943" s="525" t="str">
        <f>IF(ISERROR(FIND('112'!$M$9,G943,1)),"",IF((AND(FIND('112'!$M$9,G943,1)&gt;=1,$B943&gt;='112'!$N$8,$B943&lt;='112'!$O$8,OR($L943='112'!$I$6,$M943='112'!$I$6))),"x",""))</f>
        <v/>
      </c>
      <c r="S943" s="525" t="str">
        <f>IF(ISERROR(FIND('112'!$M$9,G943,1)),"",IF((AND(LEFT(G943,2)=LEFT('112'!$M$9,2),B943&lt;'112'!$N$8,$L943='112'!$I$6)),"x",""))</f>
        <v/>
      </c>
      <c r="T943" s="525" t="str">
        <f>IF(ISERROR(FIND('112'!$M$9,G943,1)),"",IF((AND(RIGHT(G943,2)=RIGHT('112'!$M$9,2),B943&lt;'112'!$N$8,$M943='112'!$I$6)),"x",""))</f>
        <v/>
      </c>
      <c r="U943" s="525" t="str">
        <f>IF(AND(B943&gt;='IN-NX'!$P$3,B943&lt;='IN-NX'!$Q$3,'IN-NX'!$D$7=D943,OR(LEFT(L943,2)="15",AND(LEFT(M943,2)&lt;&gt;"15",LEFT(M943,2)&lt;&gt;"33"))),"x","")</f>
        <v/>
      </c>
      <c r="V943" s="525" t="str">
        <f>IF(AND(OR(LEFT(TH!L945,2)="15",LEFT(TH!M945,2)="15"),'152-CT'!$J$8=TH!F945),"x","")</f>
        <v/>
      </c>
      <c r="W943" s="525" t="str">
        <f>IF(AND(OR(LEFT(TH!L945,2)="15",LEFT(TH!M945,2)="15"),TK!$E$7=TH!F945),"x","")</f>
        <v/>
      </c>
      <c r="X943" s="525" t="str">
        <f>IF(AND('341-CT'!$E$9=H943,OR(LEFT(L943,3)=$X$7,LEFT(M943,3)=$X$7)),"x","")</f>
        <v/>
      </c>
      <c r="Y943" s="525" t="str">
        <f>IF(OR(TH!L945=TH!$Y$7,M943=TH!$Y$7),"x","")</f>
        <v/>
      </c>
      <c r="Z943" s="525" t="str">
        <f>IF(AND(B943&lt;=NKC!$N$8,B943&gt;=NKC!$M$8),"x","")</f>
        <v/>
      </c>
      <c r="AA943" s="535">
        <v>3</v>
      </c>
      <c r="AB943" s="536"/>
    </row>
    <row r="944" spans="1:28" s="503" customFormat="1" ht="15.75" customHeight="1">
      <c r="A944" s="517" t="str">
        <f>IF(B944&lt;&gt;"",IF(AND(B944&gt;=_TM1,B944&lt;=_TM2,OR(TH!L914="1111",TH!M914="1111")),TH!D914,""),"")</f>
        <v/>
      </c>
      <c r="B944" s="531">
        <f t="shared" si="107"/>
        <v>9</v>
      </c>
      <c r="C944" s="315">
        <f t="shared" si="108"/>
        <v>43008</v>
      </c>
      <c r="D944" s="537"/>
      <c r="E944" s="315">
        <v>43008</v>
      </c>
      <c r="F944" s="249" t="s">
        <v>867</v>
      </c>
      <c r="G944" s="314"/>
      <c r="H944" s="473"/>
      <c r="I944" s="307"/>
      <c r="J944" s="307"/>
      <c r="K944" s="532">
        <f>ROUND((35000*2+15000*10+10000*7+5000*3)/1.1,0)</f>
        <v>277273</v>
      </c>
      <c r="L944" s="539" t="s">
        <v>81</v>
      </c>
      <c r="M944" s="539" t="s">
        <v>45</v>
      </c>
      <c r="N944" s="525" t="str">
        <f>IF(AND('331-CT'!$E$7=TH!H914,OR(L944="331",M944="331")),"331",IF(AND(OR(L944="131",M944="131"),H944='131-CT'!$E$7),"131",""))</f>
        <v/>
      </c>
      <c r="O944" s="525" t="str">
        <f>IF(AND($B944&gt;='111'!$N$11,$B944&lt;='111'!$O$11,OR($L944=$O$7,$M944=$O$7)),"x","")</f>
        <v/>
      </c>
      <c r="P944" s="525" t="str">
        <f>IF(AND($L944=$O$7,$B944&lt;'111'!$N$11),"x","")</f>
        <v/>
      </c>
      <c r="Q944" s="525" t="str">
        <f>IF(AND($M944=$O$7,$B944&lt;'111'!$N$11),"x","")</f>
        <v>x</v>
      </c>
      <c r="R944" s="525" t="str">
        <f>IF(ISERROR(FIND('112'!$M$9,G944,1)),"",IF((AND(FIND('112'!$M$9,G944,1)&gt;=1,$B944&gt;='112'!$N$8,$B944&lt;='112'!$O$8,OR($L944='112'!$I$6,$M944='112'!$I$6))),"x",""))</f>
        <v/>
      </c>
      <c r="S944" s="525" t="str">
        <f>IF(ISERROR(FIND('112'!$M$9,G944,1)),"",IF((AND(LEFT(G944,2)=LEFT('112'!$M$9,2),B944&lt;'112'!$N$8,$L944='112'!$I$6)),"x",""))</f>
        <v/>
      </c>
      <c r="T944" s="525" t="str">
        <f>IF(ISERROR(FIND('112'!$M$9,G944,1)),"",IF((AND(RIGHT(G944,2)=RIGHT('112'!$M$9,2),B944&lt;'112'!$N$8,$M944='112'!$I$6)),"x",""))</f>
        <v/>
      </c>
      <c r="U944" s="525" t="str">
        <f>IF(AND(B944&gt;='IN-NX'!$P$3,B944&lt;='IN-NX'!$Q$3,'IN-NX'!$D$7=D944,OR(LEFT(L944,2)="15",AND(LEFT(M944,2)&lt;&gt;"15",LEFT(M944,2)&lt;&gt;"33"))),"x","")</f>
        <v/>
      </c>
      <c r="V944" s="525" t="str">
        <f>IF(AND(OR(LEFT(TH!L914,2)="15",LEFT(TH!M914,2)="15"),'152-CT'!$J$8=TH!F914),"x","")</f>
        <v/>
      </c>
      <c r="W944" s="525" t="str">
        <f>IF(AND(OR(LEFT(TH!L914,2)="15",LEFT(TH!M914,2)="15"),TK!$E$7=TH!F914),"x","")</f>
        <v/>
      </c>
      <c r="X944" s="525" t="str">
        <f>IF(AND('341-CT'!$E$9=H944,OR(LEFT(L944,3)=$X$7,LEFT(M944,3)=$X$7)),"x","")</f>
        <v/>
      </c>
      <c r="Y944" s="525" t="str">
        <f>IF(OR(TH!L914=TH!$Y$7,M944=TH!$Y$7),"x","")</f>
        <v/>
      </c>
      <c r="Z944" s="525" t="str">
        <f>IF(AND(B944&lt;=NKC!$N$8,B944&gt;=NKC!$M$8),"x","")</f>
        <v/>
      </c>
      <c r="AA944" s="535">
        <v>3</v>
      </c>
      <c r="AB944" s="536"/>
    </row>
    <row r="945" spans="1:28" s="503" customFormat="1" ht="15.75" customHeight="1">
      <c r="A945" s="517" t="str">
        <f>IF(B945&lt;&gt;"",IF(AND(B945&gt;=_TM1,B945&lt;=_TM2,OR(TH!L915="1111",TH!M915="1111")),TH!D915,""),"")</f>
        <v/>
      </c>
      <c r="B945" s="531">
        <f t="shared" si="107"/>
        <v>9</v>
      </c>
      <c r="C945" s="315">
        <f t="shared" si="108"/>
        <v>43008</v>
      </c>
      <c r="D945" s="537"/>
      <c r="E945" s="315">
        <v>43008</v>
      </c>
      <c r="F945" s="249" t="s">
        <v>868</v>
      </c>
      <c r="G945" s="314"/>
      <c r="H945" s="473"/>
      <c r="I945" s="307"/>
      <c r="J945" s="307"/>
      <c r="K945" s="532">
        <v>27727</v>
      </c>
      <c r="L945" s="539" t="s">
        <v>9</v>
      </c>
      <c r="M945" s="539" t="s">
        <v>45</v>
      </c>
      <c r="N945" s="525" t="str">
        <f>IF(AND('331-CT'!$E$7=TH!H915,OR(L945="331",M945="331")),"331",IF(AND(OR(L945="131",M945="131"),H945='131-CT'!$E$7),"131",""))</f>
        <v/>
      </c>
      <c r="O945" s="525" t="str">
        <f>IF(AND($B945&gt;='111'!$N$11,$B945&lt;='111'!$O$11,OR($L945=$O$7,$M945=$O$7)),"x","")</f>
        <v/>
      </c>
      <c r="P945" s="525" t="str">
        <f>IF(AND($L945=$O$7,$B945&lt;'111'!$N$11),"x","")</f>
        <v/>
      </c>
      <c r="Q945" s="525" t="str">
        <f>IF(AND($M945=$O$7,$B945&lt;'111'!$N$11),"x","")</f>
        <v>x</v>
      </c>
      <c r="R945" s="525" t="str">
        <f>IF(ISERROR(FIND('112'!$M$9,G945,1)),"",IF((AND(FIND('112'!$M$9,G945,1)&gt;=1,$B945&gt;='112'!$N$8,$B945&lt;='112'!$O$8,OR($L945='112'!$I$6,$M945='112'!$I$6))),"x",""))</f>
        <v/>
      </c>
      <c r="S945" s="525" t="str">
        <f>IF(ISERROR(FIND('112'!$M$9,G945,1)),"",IF((AND(LEFT(G945,2)=LEFT('112'!$M$9,2),B945&lt;'112'!$N$8,$L945='112'!$I$6)),"x",""))</f>
        <v/>
      </c>
      <c r="T945" s="525" t="str">
        <f>IF(ISERROR(FIND('112'!$M$9,G945,1)),"",IF((AND(RIGHT(G945,2)=RIGHT('112'!$M$9,2),B945&lt;'112'!$N$8,$M945='112'!$I$6)),"x",""))</f>
        <v/>
      </c>
      <c r="U945" s="525" t="str">
        <f>IF(AND(B945&gt;='IN-NX'!$P$3,B945&lt;='IN-NX'!$Q$3,'IN-NX'!$D$7=D945,OR(LEFT(L945,2)="15",AND(LEFT(M945,2)&lt;&gt;"15",LEFT(M945,2)&lt;&gt;"33"))),"x","")</f>
        <v/>
      </c>
      <c r="V945" s="525" t="str">
        <f>IF(AND(OR(LEFT(TH!L915,2)="15",LEFT(TH!M915,2)="15"),'152-CT'!$J$8=TH!F915),"x","")</f>
        <v/>
      </c>
      <c r="W945" s="525" t="str">
        <f>IF(AND(OR(LEFT(TH!L915,2)="15",LEFT(TH!M915,2)="15"),TK!$E$7=TH!F915),"x","")</f>
        <v/>
      </c>
      <c r="X945" s="525" t="str">
        <f>IF(AND('341-CT'!$E$9=H945,OR(LEFT(L945,3)=$X$7,LEFT(M945,3)=$X$7)),"x","")</f>
        <v/>
      </c>
      <c r="Y945" s="525" t="str">
        <f>IF(OR(TH!L915=TH!$Y$7,M945=TH!$Y$7),"x","")</f>
        <v/>
      </c>
      <c r="Z945" s="525" t="str">
        <f>IF(AND(B945&lt;=NKC!$N$8,B945&gt;=NKC!$M$8),"x","")</f>
        <v/>
      </c>
      <c r="AA945" s="535">
        <v>3</v>
      </c>
      <c r="AB945" s="536"/>
    </row>
    <row r="946" spans="1:28" s="503" customFormat="1" ht="15.75" customHeight="1">
      <c r="A946" s="517" t="str">
        <f>IF(B946&lt;&gt;"",IF(AND(B946&gt;=_TM1,B946&lt;=_TM2,OR(TH!L946="1111",TH!M946="1111")),TH!D946,""),"")</f>
        <v/>
      </c>
      <c r="B946" s="531">
        <f t="shared" ref="B946:B1009" si="109">IF(C946&lt;&gt;"",MONTH(C946),"")</f>
        <v>1</v>
      </c>
      <c r="C946" s="315">
        <f t="shared" ref="C946:C1009" si="110">E946</f>
        <v>42739</v>
      </c>
      <c r="D946" s="315" t="s">
        <v>894</v>
      </c>
      <c r="E946" s="288">
        <v>42739</v>
      </c>
      <c r="F946" s="249" t="s">
        <v>493</v>
      </c>
      <c r="G946" s="314" t="s">
        <v>478</v>
      </c>
      <c r="H946" s="472" t="s">
        <v>287</v>
      </c>
      <c r="I946" s="307">
        <v>3980</v>
      </c>
      <c r="J946" s="307">
        <v>9200</v>
      </c>
      <c r="K946" s="532">
        <f>ROUND(I946*J946,0)</f>
        <v>36616000</v>
      </c>
      <c r="L946" s="534" t="s">
        <v>223</v>
      </c>
      <c r="M946" s="534" t="s">
        <v>162</v>
      </c>
      <c r="N946" s="525" t="str">
        <f>IF(AND('331-CT'!$E$7=TH!H946,OR(L946="331",M946="331")),"331",IF(AND(OR(L946="131",M946="131"),H946='131-CT'!$E$7),"131",""))</f>
        <v/>
      </c>
      <c r="O946" s="525" t="str">
        <f>IF(AND($B946&gt;='111'!$N$11,$B946&lt;='111'!$O$11,OR($L946=$O$7,$M946=$O$7)),"x","")</f>
        <v/>
      </c>
      <c r="P946" s="525" t="str">
        <f>IF(AND($L946=$O$7,$B946&lt;'111'!$N$11),"x","")</f>
        <v/>
      </c>
      <c r="Q946" s="525" t="str">
        <f>IF(AND($M946=$O$7,$B946&lt;'111'!$N$11),"x","")</f>
        <v/>
      </c>
      <c r="R946" s="525" t="str">
        <f>IF(ISERROR(FIND('112'!$M$9,G946,1)),"",IF((AND(FIND('112'!$M$9,G946,1)&gt;=1,$B946&gt;='112'!$N$8,$B946&lt;='112'!$O$8,OR($L946='112'!$I$6,$M946='112'!$I$6))),"x",""))</f>
        <v/>
      </c>
      <c r="S946" s="525" t="str">
        <f>IF(ISERROR(FIND('112'!$M$9,G946,1)),"",IF((AND(LEFT(G946,2)=LEFT('112'!$M$9,2),B946&lt;'112'!$N$8,$L946='112'!$I$6)),"x",""))</f>
        <v/>
      </c>
      <c r="T946" s="525" t="str">
        <f>IF(ISERROR(FIND('112'!$M$9,G946,1)),"",IF((AND(RIGHT(G946,2)=RIGHT('112'!$M$9,2),B946&lt;'112'!$N$8,$M946='112'!$I$6)),"x",""))</f>
        <v/>
      </c>
      <c r="U946" s="525" t="str">
        <f>IF(AND(B946&gt;='IN-NX'!$P$3,B946&lt;='IN-NX'!$Q$3,'IN-NX'!$D$7=D946,OR(LEFT(L946,2)="15",AND(LEFT(M946,2)&lt;&gt;"15",LEFT(M946,2)&lt;&gt;"33"))),"x","")</f>
        <v/>
      </c>
      <c r="V946" s="525" t="str">
        <f>IF(AND(OR(LEFT(TH!L946,2)="15",LEFT(TH!M946,2)="15"),'152-CT'!$J$8=TH!F946),"x","")</f>
        <v/>
      </c>
      <c r="W946" s="525" t="str">
        <f>IF(AND(OR(LEFT(TH!L946,2)="15",LEFT(TH!M946,2)="15"),TK!$E$7=TH!F946),"x","")</f>
        <v/>
      </c>
      <c r="X946" s="525" t="str">
        <f>IF(AND('341-CT'!$E$9=H946,OR(LEFT(L946,3)=$X$7,LEFT(M946,3)=$X$7)),"x","")</f>
        <v/>
      </c>
      <c r="Y946" s="525" t="str">
        <f>IF(OR(TH!L946=TH!$Y$7,M946=TH!$Y$7),"x","")</f>
        <v/>
      </c>
      <c r="Z946" s="525" t="str">
        <f>IF(AND(B946&lt;=NKC!$N$8,B946&gt;=NKC!$M$8),"x","")</f>
        <v>x</v>
      </c>
      <c r="AA946" s="535"/>
    </row>
    <row r="947" spans="1:28" s="503" customFormat="1" ht="15.75" customHeight="1">
      <c r="A947" s="517" t="str">
        <f>IF(B947&lt;&gt;"",IF(AND(B947&gt;=_TM1,B947&lt;=_TM2,OR(TH!L947="1111",TH!M947="1111")),TH!D947,""),"")</f>
        <v/>
      </c>
      <c r="B947" s="531">
        <f t="shared" si="109"/>
        <v>1</v>
      </c>
      <c r="C947" s="315">
        <f t="shared" si="110"/>
        <v>42739</v>
      </c>
      <c r="D947" s="315" t="s">
        <v>894</v>
      </c>
      <c r="E947" s="288">
        <v>42739</v>
      </c>
      <c r="F947" s="249" t="s">
        <v>494</v>
      </c>
      <c r="G947" s="314" t="s">
        <v>478</v>
      </c>
      <c r="H947" s="472" t="s">
        <v>287</v>
      </c>
      <c r="I947" s="307"/>
      <c r="J947" s="307"/>
      <c r="K947" s="532">
        <v>3661600</v>
      </c>
      <c r="L947" s="534" t="s">
        <v>223</v>
      </c>
      <c r="M947" s="534" t="s">
        <v>259</v>
      </c>
      <c r="N947" s="525" t="str">
        <f>IF(AND('331-CT'!$E$7=TH!H947,OR(L947="331",M947="331")),"331",IF(AND(OR(L947="131",M947="131"),H947='131-CT'!$E$7),"131",""))</f>
        <v/>
      </c>
      <c r="O947" s="525" t="str">
        <f>IF(AND($B947&gt;='111'!$N$11,$B947&lt;='111'!$O$11,OR($L947=$O$7,$M947=$O$7)),"x","")</f>
        <v/>
      </c>
      <c r="P947" s="525" t="str">
        <f>IF(AND($L947=$O$7,$B947&lt;'111'!$N$11),"x","")</f>
        <v/>
      </c>
      <c r="Q947" s="525" t="str">
        <f>IF(AND($M947=$O$7,$B947&lt;'111'!$N$11),"x","")</f>
        <v/>
      </c>
      <c r="R947" s="525" t="str">
        <f>IF(ISERROR(FIND('112'!$M$9,G947,1)),"",IF((AND(FIND('112'!$M$9,G947,1)&gt;=1,$B947&gt;='112'!$N$8,$B947&lt;='112'!$O$8,OR($L947='112'!$I$6,$M947='112'!$I$6))),"x",""))</f>
        <v/>
      </c>
      <c r="S947" s="525" t="str">
        <f>IF(ISERROR(FIND('112'!$M$9,G947,1)),"",IF((AND(LEFT(G947,2)=LEFT('112'!$M$9,2),B947&lt;'112'!$N$8,$L947='112'!$I$6)),"x",""))</f>
        <v/>
      </c>
      <c r="T947" s="525" t="str">
        <f>IF(ISERROR(FIND('112'!$M$9,G947,1)),"",IF((AND(RIGHT(G947,2)=RIGHT('112'!$M$9,2),B947&lt;'112'!$N$8,$M947='112'!$I$6)),"x",""))</f>
        <v/>
      </c>
      <c r="U947" s="525" t="str">
        <f>IF(AND(B947&gt;='IN-NX'!$P$3,B947&lt;='IN-NX'!$Q$3,'IN-NX'!$D$7=D947,OR(LEFT(L947,2)="15",AND(LEFT(M947,2)&lt;&gt;"15",LEFT(M947,2)&lt;&gt;"33"))),"x","")</f>
        <v/>
      </c>
      <c r="V947" s="525" t="str">
        <f>IF(AND(OR(LEFT(TH!L947,2)="15",LEFT(TH!M947,2)="15"),'152-CT'!$J$8=TH!F947),"x","")</f>
        <v/>
      </c>
      <c r="W947" s="525" t="str">
        <f>IF(AND(OR(LEFT(TH!L947,2)="15",LEFT(TH!M947,2)="15"),TK!$E$7=TH!F947),"x","")</f>
        <v/>
      </c>
      <c r="X947" s="525" t="str">
        <f>IF(AND('341-CT'!$E$9=H947,OR(LEFT(L947,3)=$X$7,LEFT(M947,3)=$X$7)),"x","")</f>
        <v/>
      </c>
      <c r="Y947" s="525" t="str">
        <f>IF(OR(TH!L947=TH!$Y$7,M947=TH!$Y$7),"x","")</f>
        <v/>
      </c>
      <c r="Z947" s="525" t="str">
        <f>IF(AND(B947&lt;=NKC!$N$8,B947&gt;=NKC!$M$8),"x","")</f>
        <v>x</v>
      </c>
      <c r="AA947" s="535"/>
    </row>
    <row r="948" spans="1:28" s="503" customFormat="1" ht="15.75" customHeight="1">
      <c r="A948" s="517" t="str">
        <f>IF(B948&lt;&gt;"",IF(AND(B948&gt;=_TM1,B948&lt;=_TM2,OR(TH!L948="1111",TH!M948="1111")),TH!D948,""),"")</f>
        <v/>
      </c>
      <c r="B948" s="531">
        <f t="shared" si="109"/>
        <v>1</v>
      </c>
      <c r="C948" s="315">
        <f t="shared" si="110"/>
        <v>42741</v>
      </c>
      <c r="D948" s="315" t="s">
        <v>895</v>
      </c>
      <c r="E948" s="288">
        <v>42741</v>
      </c>
      <c r="F948" s="249" t="s">
        <v>495</v>
      </c>
      <c r="G948" s="314" t="s">
        <v>479</v>
      </c>
      <c r="H948" s="472" t="s">
        <v>515</v>
      </c>
      <c r="I948" s="307">
        <v>20</v>
      </c>
      <c r="J948" s="307">
        <v>28000</v>
      </c>
      <c r="K948" s="532">
        <f>ROUND(I948*J948,0)</f>
        <v>560000</v>
      </c>
      <c r="L948" s="534" t="s">
        <v>223</v>
      </c>
      <c r="M948" s="534" t="s">
        <v>162</v>
      </c>
      <c r="N948" s="525" t="str">
        <f>IF(AND('331-CT'!$E$7=TH!H948,OR(L948="331",M948="331")),"331",IF(AND(OR(L948="131",M948="131"),H948='131-CT'!$E$7),"131",""))</f>
        <v/>
      </c>
      <c r="O948" s="525" t="str">
        <f>IF(AND($B948&gt;='111'!$N$11,$B948&lt;='111'!$O$11,OR($L948=$O$7,$M948=$O$7)),"x","")</f>
        <v/>
      </c>
      <c r="P948" s="525" t="str">
        <f>IF(AND($L948=$O$7,$B948&lt;'111'!$N$11),"x","")</f>
        <v/>
      </c>
      <c r="Q948" s="525" t="str">
        <f>IF(AND($M948=$O$7,$B948&lt;'111'!$N$11),"x","")</f>
        <v/>
      </c>
      <c r="R948" s="525" t="str">
        <f>IF(ISERROR(FIND('112'!$M$9,G948,1)),"",IF((AND(FIND('112'!$M$9,G948,1)&gt;=1,$B948&gt;='112'!$N$8,$B948&lt;='112'!$O$8,OR($L948='112'!$I$6,$M948='112'!$I$6))),"x",""))</f>
        <v/>
      </c>
      <c r="S948" s="525" t="str">
        <f>IF(ISERROR(FIND('112'!$M$9,G948,1)),"",IF((AND(LEFT(G948,2)=LEFT('112'!$M$9,2),B948&lt;'112'!$N$8,$L948='112'!$I$6)),"x",""))</f>
        <v/>
      </c>
      <c r="T948" s="525" t="str">
        <f>IF(ISERROR(FIND('112'!$M$9,G948,1)),"",IF((AND(RIGHT(G948,2)=RIGHT('112'!$M$9,2),B948&lt;'112'!$N$8,$M948='112'!$I$6)),"x",""))</f>
        <v/>
      </c>
      <c r="U948" s="525" t="str">
        <f>IF(AND(B948&gt;='IN-NX'!$P$3,B948&lt;='IN-NX'!$Q$3,'IN-NX'!$D$7=D948,OR(LEFT(L948,2)="15",AND(LEFT(M948,2)&lt;&gt;"15",LEFT(M948,2)&lt;&gt;"33"))),"x","")</f>
        <v/>
      </c>
      <c r="V948" s="525" t="str">
        <f>IF(AND(OR(LEFT(TH!L948,2)="15",LEFT(TH!M948,2)="15"),'152-CT'!$J$8=TH!F948),"x","")</f>
        <v/>
      </c>
      <c r="W948" s="525" t="str">
        <f>IF(AND(OR(LEFT(TH!L948,2)="15",LEFT(TH!M948,2)="15"),TK!$E$7=TH!F948),"x","")</f>
        <v/>
      </c>
      <c r="X948" s="525" t="str">
        <f>IF(AND('341-CT'!$E$9=H948,OR(LEFT(L948,3)=$X$7,LEFT(M948,3)=$X$7)),"x","")</f>
        <v/>
      </c>
      <c r="Y948" s="525" t="str">
        <f>IF(OR(TH!L948=TH!$Y$7,M948=TH!$Y$7),"x","")</f>
        <v/>
      </c>
      <c r="Z948" s="525" t="str">
        <f>IF(AND(B948&lt;=NKC!$N$8,B948&gt;=NKC!$M$8),"x","")</f>
        <v>x</v>
      </c>
      <c r="AA948" s="535"/>
    </row>
    <row r="949" spans="1:28" s="503" customFormat="1" ht="15.75" customHeight="1">
      <c r="A949" s="517" t="str">
        <f>IF(B949&lt;&gt;"",IF(AND(B949&gt;=_TM1,B949&lt;=_TM2,OR(TH!L949="1111",TH!M949="1111")),TH!D949,""),"")</f>
        <v/>
      </c>
      <c r="B949" s="531">
        <f t="shared" si="109"/>
        <v>1</v>
      </c>
      <c r="C949" s="315">
        <f t="shared" si="110"/>
        <v>42741</v>
      </c>
      <c r="D949" s="315" t="s">
        <v>895</v>
      </c>
      <c r="E949" s="288">
        <v>42741</v>
      </c>
      <c r="F949" s="249" t="s">
        <v>496</v>
      </c>
      <c r="G949" s="314" t="s">
        <v>479</v>
      </c>
      <c r="H949" s="472" t="s">
        <v>515</v>
      </c>
      <c r="I949" s="307">
        <v>20</v>
      </c>
      <c r="J949" s="307">
        <v>4500</v>
      </c>
      <c r="K949" s="532">
        <f>ROUND(I949*J949,0)</f>
        <v>90000</v>
      </c>
      <c r="L949" s="534" t="s">
        <v>223</v>
      </c>
      <c r="M949" s="534" t="s">
        <v>162</v>
      </c>
      <c r="N949" s="525" t="str">
        <f>IF(AND('331-CT'!$E$7=TH!H949,OR(L949="331",M949="331")),"331",IF(AND(OR(L949="131",M949="131"),H949='131-CT'!$E$7),"131",""))</f>
        <v/>
      </c>
      <c r="O949" s="525" t="str">
        <f>IF(AND($B949&gt;='111'!$N$11,$B949&lt;='111'!$O$11,OR($L949=$O$7,$M949=$O$7)),"x","")</f>
        <v/>
      </c>
      <c r="P949" s="525" t="str">
        <f>IF(AND($L949=$O$7,$B949&lt;'111'!$N$11),"x","")</f>
        <v/>
      </c>
      <c r="Q949" s="525" t="str">
        <f>IF(AND($M949=$O$7,$B949&lt;'111'!$N$11),"x","")</f>
        <v/>
      </c>
      <c r="R949" s="525" t="str">
        <f>IF(ISERROR(FIND('112'!$M$9,G949,1)),"",IF((AND(FIND('112'!$M$9,G949,1)&gt;=1,$B949&gt;='112'!$N$8,$B949&lt;='112'!$O$8,OR($L949='112'!$I$6,$M949='112'!$I$6))),"x",""))</f>
        <v/>
      </c>
      <c r="S949" s="525" t="str">
        <f>IF(ISERROR(FIND('112'!$M$9,G949,1)),"",IF((AND(LEFT(G949,2)=LEFT('112'!$M$9,2),B949&lt;'112'!$N$8,$L949='112'!$I$6)),"x",""))</f>
        <v/>
      </c>
      <c r="T949" s="525" t="str">
        <f>IF(ISERROR(FIND('112'!$M$9,G949,1)),"",IF((AND(RIGHT(G949,2)=RIGHT('112'!$M$9,2),B949&lt;'112'!$N$8,$M949='112'!$I$6)),"x",""))</f>
        <v/>
      </c>
      <c r="U949" s="525" t="str">
        <f>IF(AND(B949&gt;='IN-NX'!$P$3,B949&lt;='IN-NX'!$Q$3,'IN-NX'!$D$7=D949,OR(LEFT(L949,2)="15",AND(LEFT(M949,2)&lt;&gt;"15",LEFT(M949,2)&lt;&gt;"33"))),"x","")</f>
        <v/>
      </c>
      <c r="V949" s="525" t="str">
        <f>IF(AND(OR(LEFT(TH!L949,2)="15",LEFT(TH!M949,2)="15"),'152-CT'!$J$8=TH!F949),"x","")</f>
        <v/>
      </c>
      <c r="W949" s="525" t="str">
        <f>IF(AND(OR(LEFT(TH!L949,2)="15",LEFT(TH!M949,2)="15"),TK!$E$7=TH!F949),"x","")</f>
        <v/>
      </c>
      <c r="X949" s="525" t="str">
        <f>IF(AND('341-CT'!$E$9=H949,OR(LEFT(L949,3)=$X$7,LEFT(M949,3)=$X$7)),"x","")</f>
        <v/>
      </c>
      <c r="Y949" s="525" t="str">
        <f>IF(OR(TH!L949=TH!$Y$7,M949=TH!$Y$7),"x","")</f>
        <v/>
      </c>
      <c r="Z949" s="525" t="str">
        <f>IF(AND(B949&lt;=NKC!$N$8,B949&gt;=NKC!$M$8),"x","")</f>
        <v>x</v>
      </c>
      <c r="AA949" s="535"/>
    </row>
    <row r="950" spans="1:28" s="503" customFormat="1" ht="15.75" customHeight="1">
      <c r="A950" s="517" t="str">
        <f>IF(B950&lt;&gt;"",IF(AND(B950&gt;=_TM1,B950&lt;=_TM2,OR(TH!L950="1111",TH!M950="1111")),TH!D950,""),"")</f>
        <v/>
      </c>
      <c r="B950" s="531">
        <f t="shared" si="109"/>
        <v>1</v>
      </c>
      <c r="C950" s="315">
        <f t="shared" si="110"/>
        <v>42741</v>
      </c>
      <c r="D950" s="315" t="s">
        <v>895</v>
      </c>
      <c r="E950" s="288">
        <v>42741</v>
      </c>
      <c r="F950" s="249" t="s">
        <v>494</v>
      </c>
      <c r="G950" s="314" t="s">
        <v>479</v>
      </c>
      <c r="H950" s="472" t="s">
        <v>515</v>
      </c>
      <c r="I950" s="307"/>
      <c r="J950" s="307"/>
      <c r="K950" s="532">
        <v>65000</v>
      </c>
      <c r="L950" s="534" t="s">
        <v>223</v>
      </c>
      <c r="M950" s="534" t="s">
        <v>259</v>
      </c>
      <c r="N950" s="525" t="str">
        <f>IF(AND('331-CT'!$E$7=TH!H950,OR(L950="331",M950="331")),"331",IF(AND(OR(L950="131",M950="131"),H950='131-CT'!$E$7),"131",""))</f>
        <v/>
      </c>
      <c r="O950" s="525" t="str">
        <f>IF(AND($B950&gt;='111'!$N$11,$B950&lt;='111'!$O$11,OR($L950=$O$7,$M950=$O$7)),"x","")</f>
        <v/>
      </c>
      <c r="P950" s="525" t="str">
        <f>IF(AND($L950=$O$7,$B950&lt;'111'!$N$11),"x","")</f>
        <v/>
      </c>
      <c r="Q950" s="525" t="str">
        <f>IF(AND($M950=$O$7,$B950&lt;'111'!$N$11),"x","")</f>
        <v/>
      </c>
      <c r="R950" s="525" t="str">
        <f>IF(ISERROR(FIND('112'!$M$9,G950,1)),"",IF((AND(FIND('112'!$M$9,G950,1)&gt;=1,$B950&gt;='112'!$N$8,$B950&lt;='112'!$O$8,OR($L950='112'!$I$6,$M950='112'!$I$6))),"x",""))</f>
        <v/>
      </c>
      <c r="S950" s="525" t="str">
        <f>IF(ISERROR(FIND('112'!$M$9,G950,1)),"",IF((AND(LEFT(G950,2)=LEFT('112'!$M$9,2),B950&lt;'112'!$N$8,$L950='112'!$I$6)),"x",""))</f>
        <v/>
      </c>
      <c r="T950" s="525" t="str">
        <f>IF(ISERROR(FIND('112'!$M$9,G950,1)),"",IF((AND(RIGHT(G950,2)=RIGHT('112'!$M$9,2),B950&lt;'112'!$N$8,$M950='112'!$I$6)),"x",""))</f>
        <v/>
      </c>
      <c r="U950" s="525" t="str">
        <f>IF(AND(B950&gt;='IN-NX'!$P$3,B950&lt;='IN-NX'!$Q$3,'IN-NX'!$D$7=D950,OR(LEFT(L950,2)="15",AND(LEFT(M950,2)&lt;&gt;"15",LEFT(M950,2)&lt;&gt;"33"))),"x","")</f>
        <v/>
      </c>
      <c r="V950" s="525" t="str">
        <f>IF(AND(OR(LEFT(TH!L950,2)="15",LEFT(TH!M950,2)="15"),'152-CT'!$J$8=TH!F950),"x","")</f>
        <v/>
      </c>
      <c r="W950" s="525" t="str">
        <f>IF(AND(OR(LEFT(TH!L950,2)="15",LEFT(TH!M950,2)="15"),TK!$E$7=TH!F950),"x","")</f>
        <v/>
      </c>
      <c r="X950" s="525" t="str">
        <f>IF(AND('341-CT'!$E$9=H950,OR(LEFT(L950,3)=$X$7,LEFT(M950,3)=$X$7)),"x","")</f>
        <v/>
      </c>
      <c r="Y950" s="525" t="str">
        <f>IF(OR(TH!L950=TH!$Y$7,M950=TH!$Y$7),"x","")</f>
        <v/>
      </c>
      <c r="Z950" s="525" t="str">
        <f>IF(AND(B950&lt;=NKC!$N$8,B950&gt;=NKC!$M$8),"x","")</f>
        <v>x</v>
      </c>
      <c r="AA950" s="535"/>
    </row>
    <row r="951" spans="1:28" s="503" customFormat="1" ht="15.75" customHeight="1">
      <c r="A951" s="517" t="str">
        <f>IF(B951&lt;&gt;"",IF(AND(B951&gt;=_TM1,B951&lt;=_TM2,OR(TH!L951="1111",TH!M951="1111")),TH!D951,""),"")</f>
        <v/>
      </c>
      <c r="B951" s="531">
        <f t="shared" si="109"/>
        <v>1</v>
      </c>
      <c r="C951" s="315">
        <f t="shared" si="110"/>
        <v>42741</v>
      </c>
      <c r="D951" s="315" t="s">
        <v>896</v>
      </c>
      <c r="E951" s="288">
        <v>42741</v>
      </c>
      <c r="F951" s="249" t="s">
        <v>497</v>
      </c>
      <c r="G951" s="314" t="s">
        <v>480</v>
      </c>
      <c r="H951" s="473" t="s">
        <v>279</v>
      </c>
      <c r="I951" s="307">
        <v>25</v>
      </c>
      <c r="J951" s="307">
        <v>33120</v>
      </c>
      <c r="K951" s="532">
        <f>ROUND(I951*J951,0)</f>
        <v>828000</v>
      </c>
      <c r="L951" s="534" t="s">
        <v>223</v>
      </c>
      <c r="M951" s="534" t="s">
        <v>162</v>
      </c>
      <c r="N951" s="525" t="str">
        <f>IF(AND('331-CT'!$E$7=TH!H951,OR(L951="331",M951="331")),"331",IF(AND(OR(L951="131",M951="131"),H951='131-CT'!$E$7),"131",""))</f>
        <v/>
      </c>
      <c r="O951" s="525" t="str">
        <f>IF(AND($B951&gt;='111'!$N$11,$B951&lt;='111'!$O$11,OR($L951=$O$7,$M951=$O$7)),"x","")</f>
        <v/>
      </c>
      <c r="P951" s="525" t="str">
        <f>IF(AND($L951=$O$7,$B951&lt;'111'!$N$11),"x","")</f>
        <v/>
      </c>
      <c r="Q951" s="525" t="str">
        <f>IF(AND($M951=$O$7,$B951&lt;'111'!$N$11),"x","")</f>
        <v/>
      </c>
      <c r="R951" s="525" t="str">
        <f>IF(ISERROR(FIND('112'!$M$9,G951,1)),"",IF((AND(FIND('112'!$M$9,G951,1)&gt;=1,$B951&gt;='112'!$N$8,$B951&lt;='112'!$O$8,OR($L951='112'!$I$6,$M951='112'!$I$6))),"x",""))</f>
        <v/>
      </c>
      <c r="S951" s="525" t="str">
        <f>IF(ISERROR(FIND('112'!$M$9,G951,1)),"",IF((AND(LEFT(G951,2)=LEFT('112'!$M$9,2),B951&lt;'112'!$N$8,$L951='112'!$I$6)),"x",""))</f>
        <v/>
      </c>
      <c r="T951" s="525" t="str">
        <f>IF(ISERROR(FIND('112'!$M$9,G951,1)),"",IF((AND(RIGHT(G951,2)=RIGHT('112'!$M$9,2),B951&lt;'112'!$N$8,$M951='112'!$I$6)),"x",""))</f>
        <v/>
      </c>
      <c r="U951" s="525" t="str">
        <f>IF(AND(B951&gt;='IN-NX'!$P$3,B951&lt;='IN-NX'!$Q$3,'IN-NX'!$D$7=D951,OR(LEFT(L951,2)="15",AND(LEFT(M951,2)&lt;&gt;"15",LEFT(M951,2)&lt;&gt;"33"))),"x","")</f>
        <v/>
      </c>
      <c r="V951" s="525" t="str">
        <f>IF(AND(OR(LEFT(TH!L951,2)="15",LEFT(TH!M951,2)="15"),'152-CT'!$J$8=TH!F951),"x","")</f>
        <v/>
      </c>
      <c r="W951" s="525" t="str">
        <f>IF(AND(OR(LEFT(TH!L951,2)="15",LEFT(TH!M951,2)="15"),TK!$E$7=TH!F951),"x","")</f>
        <v/>
      </c>
      <c r="X951" s="525" t="str">
        <f>IF(AND('341-CT'!$E$9=H951,OR(LEFT(L951,3)=$X$7,LEFT(M951,3)=$X$7)),"x","")</f>
        <v/>
      </c>
      <c r="Y951" s="525" t="str">
        <f>IF(OR(TH!L951=TH!$Y$7,M951=TH!$Y$7),"x","")</f>
        <v/>
      </c>
      <c r="Z951" s="525" t="str">
        <f>IF(AND(B951&lt;=NKC!$N$8,B951&gt;=NKC!$M$8),"x","")</f>
        <v>x</v>
      </c>
      <c r="AA951" s="535"/>
    </row>
    <row r="952" spans="1:28" s="503" customFormat="1" ht="15.75" customHeight="1">
      <c r="A952" s="517" t="str">
        <f>IF(B952&lt;&gt;"",IF(AND(B952&gt;=_TM1,B952&lt;=_TM2,OR(TH!L952="1111",TH!M952="1111")),TH!D952,""),"")</f>
        <v/>
      </c>
      <c r="B952" s="531">
        <f t="shared" si="109"/>
        <v>1</v>
      </c>
      <c r="C952" s="315">
        <f t="shared" si="110"/>
        <v>42741</v>
      </c>
      <c r="D952" s="315" t="s">
        <v>896</v>
      </c>
      <c r="E952" s="288">
        <v>42741</v>
      </c>
      <c r="F952" s="249" t="s">
        <v>498</v>
      </c>
      <c r="G952" s="314" t="s">
        <v>480</v>
      </c>
      <c r="H952" s="473" t="s">
        <v>279</v>
      </c>
      <c r="I952" s="307">
        <v>100</v>
      </c>
      <c r="J952" s="307">
        <v>8450</v>
      </c>
      <c r="K952" s="532">
        <f>ROUND(I952*J952,0)</f>
        <v>845000</v>
      </c>
      <c r="L952" s="534" t="s">
        <v>223</v>
      </c>
      <c r="M952" s="534" t="s">
        <v>162</v>
      </c>
      <c r="N952" s="525" t="str">
        <f>IF(AND('331-CT'!$E$7=TH!H952,OR(L952="331",M952="331")),"331",IF(AND(OR(L952="131",M952="131"),H952='131-CT'!$E$7),"131",""))</f>
        <v/>
      </c>
      <c r="O952" s="525" t="str">
        <f>IF(AND($B952&gt;='111'!$N$11,$B952&lt;='111'!$O$11,OR($L952=$O$7,$M952=$O$7)),"x","")</f>
        <v/>
      </c>
      <c r="P952" s="525" t="str">
        <f>IF(AND($L952=$O$7,$B952&lt;'111'!$N$11),"x","")</f>
        <v/>
      </c>
      <c r="Q952" s="525" t="str">
        <f>IF(AND($M952=$O$7,$B952&lt;'111'!$N$11),"x","")</f>
        <v/>
      </c>
      <c r="R952" s="525" t="str">
        <f>IF(ISERROR(FIND('112'!$M$9,G952,1)),"",IF((AND(FIND('112'!$M$9,G952,1)&gt;=1,$B952&gt;='112'!$N$8,$B952&lt;='112'!$O$8,OR($L952='112'!$I$6,$M952='112'!$I$6))),"x",""))</f>
        <v/>
      </c>
      <c r="S952" s="525" t="str">
        <f>IF(ISERROR(FIND('112'!$M$9,G952,1)),"",IF((AND(LEFT(G952,2)=LEFT('112'!$M$9,2),B952&lt;'112'!$N$8,$L952='112'!$I$6)),"x",""))</f>
        <v/>
      </c>
      <c r="T952" s="525" t="str">
        <f>IF(ISERROR(FIND('112'!$M$9,G952,1)),"",IF((AND(RIGHT(G952,2)=RIGHT('112'!$M$9,2),B952&lt;'112'!$N$8,$M952='112'!$I$6)),"x",""))</f>
        <v/>
      </c>
      <c r="U952" s="525" t="str">
        <f>IF(AND(B952&gt;='IN-NX'!$P$3,B952&lt;='IN-NX'!$Q$3,'IN-NX'!$D$7=D952,OR(LEFT(L952,2)="15",AND(LEFT(M952,2)&lt;&gt;"15",LEFT(M952,2)&lt;&gt;"33"))),"x","")</f>
        <v/>
      </c>
      <c r="V952" s="525" t="str">
        <f>IF(AND(OR(LEFT(TH!L952,2)="15",LEFT(TH!M952,2)="15"),'152-CT'!$J$8=TH!F952),"x","")</f>
        <v/>
      </c>
      <c r="W952" s="525" t="str">
        <f>IF(AND(OR(LEFT(TH!L952,2)="15",LEFT(TH!M952,2)="15"),TK!$E$7=TH!F952),"x","")</f>
        <v/>
      </c>
      <c r="X952" s="525" t="str">
        <f>IF(AND('341-CT'!$E$9=H952,OR(LEFT(L952,3)=$X$7,LEFT(M952,3)=$X$7)),"x","")</f>
        <v/>
      </c>
      <c r="Y952" s="525" t="str">
        <f>IF(OR(TH!L952=TH!$Y$7,M952=TH!$Y$7),"x","")</f>
        <v/>
      </c>
      <c r="Z952" s="525" t="str">
        <f>IF(AND(B952&lt;=NKC!$N$8,B952&gt;=NKC!$M$8),"x","")</f>
        <v>x</v>
      </c>
      <c r="AA952" s="535"/>
    </row>
    <row r="953" spans="1:28" s="503" customFormat="1" ht="15.75" customHeight="1">
      <c r="A953" s="517" t="str">
        <f>IF(B953&lt;&gt;"",IF(AND(B953&gt;=_TM1,B953&lt;=_TM2,OR(TH!L953="1111",TH!M953="1111")),TH!D953,""),"")</f>
        <v/>
      </c>
      <c r="B953" s="531">
        <f t="shared" si="109"/>
        <v>1</v>
      </c>
      <c r="C953" s="315">
        <f t="shared" si="110"/>
        <v>42741</v>
      </c>
      <c r="D953" s="315" t="s">
        <v>896</v>
      </c>
      <c r="E953" s="288">
        <v>42741</v>
      </c>
      <c r="F953" s="249" t="s">
        <v>494</v>
      </c>
      <c r="G953" s="314" t="s">
        <v>480</v>
      </c>
      <c r="H953" s="473" t="s">
        <v>279</v>
      </c>
      <c r="I953" s="307"/>
      <c r="J953" s="307"/>
      <c r="K953" s="532">
        <v>167300</v>
      </c>
      <c r="L953" s="534" t="s">
        <v>223</v>
      </c>
      <c r="M953" s="534" t="s">
        <v>259</v>
      </c>
      <c r="N953" s="525" t="str">
        <f>IF(AND('331-CT'!$E$7=TH!H953,OR(L953="331",M953="331")),"331",IF(AND(OR(L953="131",M953="131"),H953='131-CT'!$E$7),"131",""))</f>
        <v/>
      </c>
      <c r="O953" s="525" t="str">
        <f>IF(AND($B953&gt;='111'!$N$11,$B953&lt;='111'!$O$11,OR($L953=$O$7,$M953=$O$7)),"x","")</f>
        <v/>
      </c>
      <c r="P953" s="525" t="str">
        <f>IF(AND($L953=$O$7,$B953&lt;'111'!$N$11),"x","")</f>
        <v/>
      </c>
      <c r="Q953" s="525" t="str">
        <f>IF(AND($M953=$O$7,$B953&lt;'111'!$N$11),"x","")</f>
        <v/>
      </c>
      <c r="R953" s="525" t="str">
        <f>IF(ISERROR(FIND('112'!$M$9,G953,1)),"",IF((AND(FIND('112'!$M$9,G953,1)&gt;=1,$B953&gt;='112'!$N$8,$B953&lt;='112'!$O$8,OR($L953='112'!$I$6,$M953='112'!$I$6))),"x",""))</f>
        <v/>
      </c>
      <c r="S953" s="525" t="str">
        <f>IF(ISERROR(FIND('112'!$M$9,G953,1)),"",IF((AND(LEFT(G953,2)=LEFT('112'!$M$9,2),B953&lt;'112'!$N$8,$L953='112'!$I$6)),"x",""))</f>
        <v/>
      </c>
      <c r="T953" s="525" t="str">
        <f>IF(ISERROR(FIND('112'!$M$9,G953,1)),"",IF((AND(RIGHT(G953,2)=RIGHT('112'!$M$9,2),B953&lt;'112'!$N$8,$M953='112'!$I$6)),"x",""))</f>
        <v/>
      </c>
      <c r="U953" s="525" t="str">
        <f>IF(AND(B953&gt;='IN-NX'!$P$3,B953&lt;='IN-NX'!$Q$3,'IN-NX'!$D$7=D953,OR(LEFT(L953,2)="15",AND(LEFT(M953,2)&lt;&gt;"15",LEFT(M953,2)&lt;&gt;"33"))),"x","")</f>
        <v/>
      </c>
      <c r="V953" s="525" t="str">
        <f>IF(AND(OR(LEFT(TH!L953,2)="15",LEFT(TH!M953,2)="15"),'152-CT'!$J$8=TH!F953),"x","")</f>
        <v/>
      </c>
      <c r="W953" s="525" t="str">
        <f>IF(AND(OR(LEFT(TH!L953,2)="15",LEFT(TH!M953,2)="15"),TK!$E$7=TH!F953),"x","")</f>
        <v/>
      </c>
      <c r="X953" s="525" t="str">
        <f>IF(AND('341-CT'!$E$9=H953,OR(LEFT(L953,3)=$X$7,LEFT(M953,3)=$X$7)),"x","")</f>
        <v/>
      </c>
      <c r="Y953" s="525" t="str">
        <f>IF(OR(TH!L953=TH!$Y$7,M953=TH!$Y$7),"x","")</f>
        <v/>
      </c>
      <c r="Z953" s="525" t="str">
        <f>IF(AND(B953&lt;=NKC!$N$8,B953&gt;=NKC!$M$8),"x","")</f>
        <v>x</v>
      </c>
      <c r="AA953" s="535"/>
    </row>
    <row r="954" spans="1:28" s="503" customFormat="1" ht="15.75" customHeight="1">
      <c r="A954" s="517" t="str">
        <f>IF(B954&lt;&gt;"",IF(AND(B954&gt;=_TM1,B954&lt;=_TM2,OR(TH!L954="1111",TH!M954="1111")),TH!D954,""),"")</f>
        <v/>
      </c>
      <c r="B954" s="531">
        <f t="shared" si="109"/>
        <v>1</v>
      </c>
      <c r="C954" s="315">
        <f t="shared" si="110"/>
        <v>42741</v>
      </c>
      <c r="D954" s="315" t="s">
        <v>897</v>
      </c>
      <c r="E954" s="288">
        <v>42741</v>
      </c>
      <c r="F954" s="249" t="s">
        <v>380</v>
      </c>
      <c r="G954" s="314" t="s">
        <v>481</v>
      </c>
      <c r="H954" s="473" t="s">
        <v>420</v>
      </c>
      <c r="I954" s="307">
        <v>37000</v>
      </c>
      <c r="J954" s="307">
        <v>8400</v>
      </c>
      <c r="K954" s="532">
        <f>ROUND(I954*J954,0)</f>
        <v>310800000</v>
      </c>
      <c r="L954" s="534" t="s">
        <v>223</v>
      </c>
      <c r="M954" s="534" t="s">
        <v>162</v>
      </c>
      <c r="N954" s="525" t="str">
        <f>IF(AND('331-CT'!$E$7=TH!H954,OR(L954="331",M954="331")),"331",IF(AND(OR(L954="131",M954="131"),H954='131-CT'!$E$7),"131",""))</f>
        <v>131</v>
      </c>
      <c r="O954" s="525" t="str">
        <f>IF(AND($B954&gt;='111'!$N$11,$B954&lt;='111'!$O$11,OR($L954=$O$7,$M954=$O$7)),"x","")</f>
        <v/>
      </c>
      <c r="P954" s="525" t="str">
        <f>IF(AND($L954=$O$7,$B954&lt;'111'!$N$11),"x","")</f>
        <v/>
      </c>
      <c r="Q954" s="525" t="str">
        <f>IF(AND($M954=$O$7,$B954&lt;'111'!$N$11),"x","")</f>
        <v/>
      </c>
      <c r="R954" s="525" t="str">
        <f>IF(ISERROR(FIND('112'!$M$9,G954,1)),"",IF((AND(FIND('112'!$M$9,G954,1)&gt;=1,$B954&gt;='112'!$N$8,$B954&lt;='112'!$O$8,OR($L954='112'!$I$6,$M954='112'!$I$6))),"x",""))</f>
        <v/>
      </c>
      <c r="S954" s="525" t="str">
        <f>IF(ISERROR(FIND('112'!$M$9,G954,1)),"",IF((AND(LEFT(G954,2)=LEFT('112'!$M$9,2),B954&lt;'112'!$N$8,$L954='112'!$I$6)),"x",""))</f>
        <v/>
      </c>
      <c r="T954" s="525" t="str">
        <f>IF(ISERROR(FIND('112'!$M$9,G954,1)),"",IF((AND(RIGHT(G954,2)=RIGHT('112'!$M$9,2),B954&lt;'112'!$N$8,$M954='112'!$I$6)),"x",""))</f>
        <v/>
      </c>
      <c r="U954" s="525" t="str">
        <f>IF(AND(B954&gt;='IN-NX'!$P$3,B954&lt;='IN-NX'!$Q$3,'IN-NX'!$D$7=D954,OR(LEFT(L954,2)="15",AND(LEFT(M954,2)&lt;&gt;"15",LEFT(M954,2)&lt;&gt;"33"))),"x","")</f>
        <v/>
      </c>
      <c r="V954" s="525" t="str">
        <f>IF(AND(OR(LEFT(TH!L954,2)="15",LEFT(TH!M954,2)="15"),'152-CT'!$J$8=TH!F954),"x","")</f>
        <v/>
      </c>
      <c r="W954" s="525" t="str">
        <f>IF(AND(OR(LEFT(TH!L954,2)="15",LEFT(TH!M954,2)="15"),TK!$E$7=TH!F954),"x","")</f>
        <v/>
      </c>
      <c r="X954" s="525" t="str">
        <f>IF(AND('341-CT'!$E$9=H954,OR(LEFT(L954,3)=$X$7,LEFT(M954,3)=$X$7)),"x","")</f>
        <v/>
      </c>
      <c r="Y954" s="525" t="str">
        <f>IF(OR(TH!L954=TH!$Y$7,M954=TH!$Y$7),"x","")</f>
        <v/>
      </c>
      <c r="Z954" s="525" t="str">
        <f>IF(AND(B954&lt;=NKC!$N$8,B954&gt;=NKC!$M$8),"x","")</f>
        <v>x</v>
      </c>
      <c r="AA954" s="535"/>
    </row>
    <row r="955" spans="1:28" s="503" customFormat="1" ht="15.75" customHeight="1">
      <c r="A955" s="517" t="str">
        <f>IF(B955&lt;&gt;"",IF(AND(B955&gt;=_TM1,B955&lt;=_TM2,OR(TH!L955="1111",TH!M955="1111")),TH!D955,""),"")</f>
        <v/>
      </c>
      <c r="B955" s="531">
        <f t="shared" si="109"/>
        <v>1</v>
      </c>
      <c r="C955" s="315">
        <f t="shared" si="110"/>
        <v>42741</v>
      </c>
      <c r="D955" s="315" t="s">
        <v>897</v>
      </c>
      <c r="E955" s="288">
        <v>42741</v>
      </c>
      <c r="F955" s="249" t="s">
        <v>499</v>
      </c>
      <c r="G955" s="314" t="s">
        <v>481</v>
      </c>
      <c r="H955" s="473" t="s">
        <v>420</v>
      </c>
      <c r="I955" s="307"/>
      <c r="J955" s="307"/>
      <c r="K955" s="532">
        <v>31080000</v>
      </c>
      <c r="L955" s="534" t="s">
        <v>223</v>
      </c>
      <c r="M955" s="534" t="s">
        <v>259</v>
      </c>
      <c r="N955" s="525" t="str">
        <f>IF(AND('331-CT'!$E$7=TH!H955,OR(L955="331",M955="331")),"331",IF(AND(OR(L955="131",M955="131"),H955='131-CT'!$E$7),"131",""))</f>
        <v>131</v>
      </c>
      <c r="O955" s="525" t="str">
        <f>IF(AND($B955&gt;='111'!$N$11,$B955&lt;='111'!$O$11,OR($L955=$O$7,$M955=$O$7)),"x","")</f>
        <v/>
      </c>
      <c r="P955" s="525" t="str">
        <f>IF(AND($L955=$O$7,$B955&lt;'111'!$N$11),"x","")</f>
        <v/>
      </c>
      <c r="Q955" s="525" t="str">
        <f>IF(AND($M955=$O$7,$B955&lt;'111'!$N$11),"x","")</f>
        <v/>
      </c>
      <c r="R955" s="525" t="str">
        <f>IF(ISERROR(FIND('112'!$M$9,G955,1)),"",IF((AND(FIND('112'!$M$9,G955,1)&gt;=1,$B955&gt;='112'!$N$8,$B955&lt;='112'!$O$8,OR($L955='112'!$I$6,$M955='112'!$I$6))),"x",""))</f>
        <v/>
      </c>
      <c r="S955" s="525" t="str">
        <f>IF(ISERROR(FIND('112'!$M$9,G955,1)),"",IF((AND(LEFT(G955,2)=LEFT('112'!$M$9,2),B955&lt;'112'!$N$8,$L955='112'!$I$6)),"x",""))</f>
        <v/>
      </c>
      <c r="T955" s="525" t="str">
        <f>IF(ISERROR(FIND('112'!$M$9,G955,1)),"",IF((AND(RIGHT(G955,2)=RIGHT('112'!$M$9,2),B955&lt;'112'!$N$8,$M955='112'!$I$6)),"x",""))</f>
        <v/>
      </c>
      <c r="U955" s="525" t="str">
        <f>IF(AND(B955&gt;='IN-NX'!$P$3,B955&lt;='IN-NX'!$Q$3,'IN-NX'!$D$7=D955,OR(LEFT(L955,2)="15",AND(LEFT(M955,2)&lt;&gt;"15",LEFT(M955,2)&lt;&gt;"33"))),"x","")</f>
        <v/>
      </c>
      <c r="V955" s="525" t="str">
        <f>IF(AND(OR(LEFT(TH!L955,2)="15",LEFT(TH!M955,2)="15"),'152-CT'!$J$8=TH!F955),"x","")</f>
        <v/>
      </c>
      <c r="W955" s="525" t="str">
        <f>IF(AND(OR(LEFT(TH!L955,2)="15",LEFT(TH!M955,2)="15"),TK!$E$7=TH!F955),"x","")</f>
        <v/>
      </c>
      <c r="X955" s="525" t="str">
        <f>IF(AND('341-CT'!$E$9=H955,OR(LEFT(L955,3)=$X$7,LEFT(M955,3)=$X$7)),"x","")</f>
        <v/>
      </c>
      <c r="Y955" s="525" t="str">
        <f>IF(OR(TH!L955=TH!$Y$7,M955=TH!$Y$7),"x","")</f>
        <v/>
      </c>
      <c r="Z955" s="525" t="str">
        <f>IF(AND(B955&lt;=NKC!$N$8,B955&gt;=NKC!$M$8),"x","")</f>
        <v>x</v>
      </c>
      <c r="AA955" s="535"/>
    </row>
    <row r="956" spans="1:28" s="503" customFormat="1" ht="15.75" customHeight="1">
      <c r="A956" s="517">
        <f>IF(B956&lt;&gt;"",IF(AND(B956&gt;=_TM1,B956&lt;=_TM2,OR(TH!L956="1111",TH!M956="1111")),TH!D956,""),"")</f>
        <v>0</v>
      </c>
      <c r="B956" s="531">
        <f t="shared" si="109"/>
        <v>1</v>
      </c>
      <c r="C956" s="315">
        <f t="shared" si="110"/>
        <v>42745</v>
      </c>
      <c r="D956" s="537"/>
      <c r="E956" s="537">
        <v>42745</v>
      </c>
      <c r="F956" s="249" t="s">
        <v>1099</v>
      </c>
      <c r="G956" s="314" t="s">
        <v>482</v>
      </c>
      <c r="H956" s="473" t="s">
        <v>513</v>
      </c>
      <c r="I956" s="307"/>
      <c r="J956" s="307"/>
      <c r="K956" s="532">
        <v>1600000</v>
      </c>
      <c r="L956" s="534" t="s">
        <v>45</v>
      </c>
      <c r="M956" s="534" t="s">
        <v>275</v>
      </c>
      <c r="N956" s="525" t="str">
        <f>IF(AND('331-CT'!$E$7=TH!H956,OR(L956="331",M956="331")),"331",IF(AND(OR(L956="131",M956="131"),H956='131-CT'!$E$7),"131",""))</f>
        <v/>
      </c>
      <c r="O956" s="525" t="str">
        <f>IF(AND($B956&gt;='111'!$N$11,$B956&lt;='111'!$O$11,OR($L956=$O$7,$M956=$O$7)),"x","")</f>
        <v/>
      </c>
      <c r="P956" s="525" t="str">
        <f>IF(AND($L956=$O$7,$B956&lt;'111'!$N$11),"x","")</f>
        <v>x</v>
      </c>
      <c r="Q956" s="525" t="str">
        <f>IF(AND($M956=$O$7,$B956&lt;'111'!$N$11),"x","")</f>
        <v/>
      </c>
      <c r="R956" s="525" t="str">
        <f>IF(ISERROR(FIND('112'!$M$9,G956,1)),"",IF((AND(FIND('112'!$M$9,G956,1)&gt;=1,$B956&gt;='112'!$N$8,$B956&lt;='112'!$O$8,OR($L956='112'!$I$6,$M956='112'!$I$6))),"x",""))</f>
        <v/>
      </c>
      <c r="S956" s="525" t="str">
        <f>IF(ISERROR(FIND('112'!$M$9,G956,1)),"",IF((AND(LEFT(G956,2)=LEFT('112'!$M$9,2),B956&lt;'112'!$N$8,$L956='112'!$I$6)),"x",""))</f>
        <v/>
      </c>
      <c r="T956" s="525" t="str">
        <f>IF(ISERROR(FIND('112'!$M$9,G956,1)),"",IF((AND(RIGHT(G956,2)=RIGHT('112'!$M$9,2),B956&lt;'112'!$N$8,$M956='112'!$I$6)),"x",""))</f>
        <v/>
      </c>
      <c r="U956" s="525" t="str">
        <f>IF(AND(B956&gt;='IN-NX'!$P$3,B956&lt;='IN-NX'!$Q$3,'IN-NX'!$D$7=D956,OR(LEFT(L956,2)="15",AND(LEFT(M956,2)&lt;&gt;"15",LEFT(M956,2)&lt;&gt;"33"))),"x","")</f>
        <v/>
      </c>
      <c r="V956" s="525" t="str">
        <f>IF(AND(OR(LEFT(TH!L956,2)="15",LEFT(TH!M956,2)="15"),'152-CT'!$J$8=TH!F956),"x","")</f>
        <v/>
      </c>
      <c r="W956" s="525" t="str">
        <f>IF(AND(OR(LEFT(TH!L956,2)="15",LEFT(TH!M956,2)="15"),TK!$E$7=TH!F956),"x","")</f>
        <v/>
      </c>
      <c r="X956" s="525" t="str">
        <f>IF(AND('341-CT'!$E$9=H956,OR(LEFT(L956,3)=$X$7,LEFT(M956,3)=$X$7)),"x","")</f>
        <v/>
      </c>
      <c r="Y956" s="525" t="str">
        <f>IF(OR(TH!L956=TH!$Y$7,M956=TH!$Y$7),"x","")</f>
        <v/>
      </c>
      <c r="Z956" s="525" t="str">
        <f>IF(AND(B956&lt;=NKC!$N$8,B956&gt;=NKC!$M$8),"x","")</f>
        <v>x</v>
      </c>
      <c r="AA956" s="535"/>
      <c r="AB956" s="536"/>
    </row>
    <row r="957" spans="1:28" s="503" customFormat="1" ht="15.75" customHeight="1">
      <c r="A957" s="517">
        <f>IF(B957&lt;&gt;"",IF(AND(B957&gt;=_TM1,B957&lt;=_TM2,OR(TH!L957="1111",TH!M957="1111")),TH!D957,""),"")</f>
        <v>0</v>
      </c>
      <c r="B957" s="531">
        <f t="shared" si="109"/>
        <v>1</v>
      </c>
      <c r="C957" s="315">
        <f t="shared" si="110"/>
        <v>42745</v>
      </c>
      <c r="D957" s="537"/>
      <c r="E957" s="537">
        <v>42745</v>
      </c>
      <c r="F957" s="249" t="s">
        <v>1102</v>
      </c>
      <c r="G957" s="314" t="s">
        <v>482</v>
      </c>
      <c r="H957" s="473" t="s">
        <v>513</v>
      </c>
      <c r="I957" s="307"/>
      <c r="J957" s="307"/>
      <c r="K957" s="532">
        <v>160000</v>
      </c>
      <c r="L957" s="534" t="s">
        <v>45</v>
      </c>
      <c r="M957" s="534" t="s">
        <v>259</v>
      </c>
      <c r="N957" s="525" t="str">
        <f>IF(AND('331-CT'!$E$7=TH!H957,OR(L957="331",M957="331")),"331",IF(AND(OR(L957="131",M957="131"),H957='131-CT'!$E$7),"131",""))</f>
        <v/>
      </c>
      <c r="O957" s="525" t="str">
        <f>IF(AND($B957&gt;='111'!$N$11,$B957&lt;='111'!$O$11,OR($L957=$O$7,$M957=$O$7)),"x","")</f>
        <v/>
      </c>
      <c r="P957" s="525" t="str">
        <f>IF(AND($L957=$O$7,$B957&lt;'111'!$N$11),"x","")</f>
        <v>x</v>
      </c>
      <c r="Q957" s="525" t="str">
        <f>IF(AND($M957=$O$7,$B957&lt;'111'!$N$11),"x","")</f>
        <v/>
      </c>
      <c r="R957" s="525" t="str">
        <f>IF(ISERROR(FIND('112'!$M$9,G957,1)),"",IF((AND(FIND('112'!$M$9,G957,1)&gt;=1,$B957&gt;='112'!$N$8,$B957&lt;='112'!$O$8,OR($L957='112'!$I$6,$M957='112'!$I$6))),"x",""))</f>
        <v/>
      </c>
      <c r="S957" s="525" t="str">
        <f>IF(ISERROR(FIND('112'!$M$9,G957,1)),"",IF((AND(LEFT(G957,2)=LEFT('112'!$M$9,2),B957&lt;'112'!$N$8,$L957='112'!$I$6)),"x",""))</f>
        <v/>
      </c>
      <c r="T957" s="525" t="str">
        <f>IF(ISERROR(FIND('112'!$M$9,G957,1)),"",IF((AND(RIGHT(G957,2)=RIGHT('112'!$M$9,2),B957&lt;'112'!$N$8,$M957='112'!$I$6)),"x",""))</f>
        <v/>
      </c>
      <c r="U957" s="525" t="str">
        <f>IF(AND(B957&gt;='IN-NX'!$P$3,B957&lt;='IN-NX'!$Q$3,'IN-NX'!$D$7=D957,OR(LEFT(L957,2)="15",AND(LEFT(M957,2)&lt;&gt;"15",LEFT(M957,2)&lt;&gt;"33"))),"x","")</f>
        <v/>
      </c>
      <c r="V957" s="525" t="str">
        <f>IF(AND(OR(LEFT(TH!L957,2)="15",LEFT(TH!M957,2)="15"),'152-CT'!$J$8=TH!F957),"x","")</f>
        <v/>
      </c>
      <c r="W957" s="525" t="str">
        <f>IF(AND(OR(LEFT(TH!L957,2)="15",LEFT(TH!M957,2)="15"),TK!$E$7=TH!F957),"x","")</f>
        <v/>
      </c>
      <c r="X957" s="525" t="str">
        <f>IF(AND('341-CT'!$E$9=H957,OR(LEFT(L957,3)=$X$7,LEFT(M957,3)=$X$7)),"x","")</f>
        <v/>
      </c>
      <c r="Y957" s="525" t="str">
        <f>IF(OR(TH!L957=TH!$Y$7,M957=TH!$Y$7),"x","")</f>
        <v/>
      </c>
      <c r="Z957" s="525" t="str">
        <f>IF(AND(B957&lt;=NKC!$N$8,B957&gt;=NKC!$M$8),"x","")</f>
        <v>x</v>
      </c>
      <c r="AA957" s="535"/>
    </row>
    <row r="958" spans="1:28" s="503" customFormat="1" ht="15.75" customHeight="1">
      <c r="A958" s="517" t="str">
        <f>IF(B958&lt;&gt;"",IF(AND(B958&gt;=_TM1,B958&lt;=_TM2,OR(TH!L958="1111",TH!M958="1111")),TH!D958,""),"")</f>
        <v/>
      </c>
      <c r="B958" s="531">
        <f t="shared" si="109"/>
        <v>1</v>
      </c>
      <c r="C958" s="315">
        <f t="shared" si="110"/>
        <v>42745</v>
      </c>
      <c r="D958" s="315" t="s">
        <v>898</v>
      </c>
      <c r="E958" s="537">
        <v>42745</v>
      </c>
      <c r="F958" s="249" t="s">
        <v>500</v>
      </c>
      <c r="G958" s="314" t="s">
        <v>483</v>
      </c>
      <c r="H958" s="474" t="s">
        <v>280</v>
      </c>
      <c r="I958" s="307">
        <v>300</v>
      </c>
      <c r="J958" s="307">
        <v>8030</v>
      </c>
      <c r="K958" s="532">
        <f>ROUND(I958*J958,0)</f>
        <v>2409000</v>
      </c>
      <c r="L958" s="534" t="s">
        <v>223</v>
      </c>
      <c r="M958" s="534" t="s">
        <v>162</v>
      </c>
      <c r="N958" s="525" t="str">
        <f>IF(AND('331-CT'!$E$7=TH!H958,OR(L958="331",M958="331")),"331",IF(AND(OR(L958="131",M958="131"),H958='131-CT'!$E$7),"131",""))</f>
        <v/>
      </c>
      <c r="O958" s="525" t="str">
        <f>IF(AND($B958&gt;='111'!$N$11,$B958&lt;='111'!$O$11,OR($L958=$O$7,$M958=$O$7)),"x","")</f>
        <v/>
      </c>
      <c r="P958" s="525" t="str">
        <f>IF(AND($L958=$O$7,$B958&lt;'111'!$N$11),"x","")</f>
        <v/>
      </c>
      <c r="Q958" s="525" t="str">
        <f>IF(AND($M958=$O$7,$B958&lt;'111'!$N$11),"x","")</f>
        <v/>
      </c>
      <c r="R958" s="525" t="str">
        <f>IF(ISERROR(FIND('112'!$M$9,G958,1)),"",IF((AND(FIND('112'!$M$9,G958,1)&gt;=1,$B958&gt;='112'!$N$8,$B958&lt;='112'!$O$8,OR($L958='112'!$I$6,$M958='112'!$I$6))),"x",""))</f>
        <v/>
      </c>
      <c r="S958" s="525" t="str">
        <f>IF(ISERROR(FIND('112'!$M$9,G958,1)),"",IF((AND(LEFT(G958,2)=LEFT('112'!$M$9,2),B958&lt;'112'!$N$8,$L958='112'!$I$6)),"x",""))</f>
        <v/>
      </c>
      <c r="T958" s="525" t="str">
        <f>IF(ISERROR(FIND('112'!$M$9,G958,1)),"",IF((AND(RIGHT(G958,2)=RIGHT('112'!$M$9,2),B958&lt;'112'!$N$8,$M958='112'!$I$6)),"x",""))</f>
        <v/>
      </c>
      <c r="U958" s="525" t="str">
        <f>IF(AND(B958&gt;='IN-NX'!$P$3,B958&lt;='IN-NX'!$Q$3,'IN-NX'!$D$7=D958,OR(LEFT(L958,2)="15",AND(LEFT(M958,2)&lt;&gt;"15",LEFT(M958,2)&lt;&gt;"33"))),"x","")</f>
        <v/>
      </c>
      <c r="V958" s="525" t="str">
        <f>IF(AND(OR(LEFT(TH!L958,2)="15",LEFT(TH!M958,2)="15"),'152-CT'!$J$8=TH!F958),"x","")</f>
        <v/>
      </c>
      <c r="W958" s="525" t="str">
        <f>IF(AND(OR(LEFT(TH!L958,2)="15",LEFT(TH!M958,2)="15"),TK!$E$7=TH!F958),"x","")</f>
        <v/>
      </c>
      <c r="X958" s="525" t="str">
        <f>IF(AND('341-CT'!$E$9=H958,OR(LEFT(L958,3)=$X$7,LEFT(M958,3)=$X$7)),"x","")</f>
        <v/>
      </c>
      <c r="Y958" s="525" t="str">
        <f>IF(OR(TH!L958=TH!$Y$7,M958=TH!$Y$7),"x","")</f>
        <v/>
      </c>
      <c r="Z958" s="525" t="str">
        <f>IF(AND(B958&lt;=NKC!$N$8,B958&gt;=NKC!$M$8),"x","")</f>
        <v>x</v>
      </c>
      <c r="AA958" s="535"/>
    </row>
    <row r="959" spans="1:28" s="503" customFormat="1" ht="15.75" customHeight="1">
      <c r="A959" s="517" t="str">
        <f>IF(B959&lt;&gt;"",IF(AND(B959&gt;=_TM1,B959&lt;=_TM2,OR(TH!L959="1111",TH!M959="1111")),TH!D959,""),"")</f>
        <v/>
      </c>
      <c r="B959" s="531">
        <f t="shared" si="109"/>
        <v>1</v>
      </c>
      <c r="C959" s="315">
        <f t="shared" si="110"/>
        <v>42745</v>
      </c>
      <c r="D959" s="315" t="s">
        <v>898</v>
      </c>
      <c r="E959" s="537">
        <v>42745</v>
      </c>
      <c r="F959" s="249" t="s">
        <v>494</v>
      </c>
      <c r="G959" s="314" t="s">
        <v>483</v>
      </c>
      <c r="H959" s="474" t="s">
        <v>280</v>
      </c>
      <c r="I959" s="307"/>
      <c r="J959" s="307"/>
      <c r="K959" s="532">
        <v>240900</v>
      </c>
      <c r="L959" s="534" t="s">
        <v>223</v>
      </c>
      <c r="M959" s="534" t="s">
        <v>259</v>
      </c>
      <c r="N959" s="525" t="str">
        <f>IF(AND('331-CT'!$E$7=TH!H959,OR(L959="331",M959="331")),"331",IF(AND(OR(L959="131",M959="131"),H959='131-CT'!$E$7),"131",""))</f>
        <v/>
      </c>
      <c r="O959" s="525" t="str">
        <f>IF(AND($B959&gt;='111'!$N$11,$B959&lt;='111'!$O$11,OR($L959=$O$7,$M959=$O$7)),"x","")</f>
        <v/>
      </c>
      <c r="P959" s="525" t="str">
        <f>IF(AND($L959=$O$7,$B959&lt;'111'!$N$11),"x","")</f>
        <v/>
      </c>
      <c r="Q959" s="525" t="str">
        <f>IF(AND($M959=$O$7,$B959&lt;'111'!$N$11),"x","")</f>
        <v/>
      </c>
      <c r="R959" s="525" t="str">
        <f>IF(ISERROR(FIND('112'!$M$9,G959,1)),"",IF((AND(FIND('112'!$M$9,G959,1)&gt;=1,$B959&gt;='112'!$N$8,$B959&lt;='112'!$O$8,OR($L959='112'!$I$6,$M959='112'!$I$6))),"x",""))</f>
        <v/>
      </c>
      <c r="S959" s="525" t="str">
        <f>IF(ISERROR(FIND('112'!$M$9,G959,1)),"",IF((AND(LEFT(G959,2)=LEFT('112'!$M$9,2),B959&lt;'112'!$N$8,$L959='112'!$I$6)),"x",""))</f>
        <v/>
      </c>
      <c r="T959" s="525" t="str">
        <f>IF(ISERROR(FIND('112'!$M$9,G959,1)),"",IF((AND(RIGHT(G959,2)=RIGHT('112'!$M$9,2),B959&lt;'112'!$N$8,$M959='112'!$I$6)),"x",""))</f>
        <v/>
      </c>
      <c r="U959" s="525" t="str">
        <f>IF(AND(B959&gt;='IN-NX'!$P$3,B959&lt;='IN-NX'!$Q$3,'IN-NX'!$D$7=D959,OR(LEFT(L959,2)="15",AND(LEFT(M959,2)&lt;&gt;"15",LEFT(M959,2)&lt;&gt;"33"))),"x","")</f>
        <v/>
      </c>
      <c r="V959" s="525" t="str">
        <f>IF(AND(OR(LEFT(TH!L959,2)="15",LEFT(TH!M959,2)="15"),'152-CT'!$J$8=TH!F959),"x","")</f>
        <v/>
      </c>
      <c r="W959" s="525" t="str">
        <f>IF(AND(OR(LEFT(TH!L959,2)="15",LEFT(TH!M959,2)="15"),TK!$E$7=TH!F959),"x","")</f>
        <v/>
      </c>
      <c r="X959" s="525" t="str">
        <f>IF(AND('341-CT'!$E$9=H959,OR(LEFT(L959,3)=$X$7,LEFT(M959,3)=$X$7)),"x","")</f>
        <v/>
      </c>
      <c r="Y959" s="525" t="str">
        <f>IF(OR(TH!L959=TH!$Y$7,M959=TH!$Y$7),"x","")</f>
        <v/>
      </c>
      <c r="Z959" s="525" t="str">
        <f>IF(AND(B959&lt;=NKC!$N$8,B959&gt;=NKC!$M$8),"x","")</f>
        <v>x</v>
      </c>
      <c r="AA959" s="535"/>
      <c r="AB959" s="536"/>
    </row>
    <row r="960" spans="1:28" s="503" customFormat="1" ht="15.75" customHeight="1">
      <c r="A960" s="517" t="str">
        <f>IF(B960&lt;&gt;"",IF(AND(B960&gt;=_TM1,B960&lt;=_TM2,OR(TH!L960="1111",TH!M960="1111")),TH!D960,""),"")</f>
        <v/>
      </c>
      <c r="B960" s="531">
        <f t="shared" si="109"/>
        <v>1</v>
      </c>
      <c r="C960" s="315">
        <f t="shared" si="110"/>
        <v>42747</v>
      </c>
      <c r="D960" s="315" t="s">
        <v>899</v>
      </c>
      <c r="E960" s="315">
        <v>42747</v>
      </c>
      <c r="F960" s="249" t="s">
        <v>274</v>
      </c>
      <c r="G960" s="314" t="s">
        <v>484</v>
      </c>
      <c r="H960" s="473" t="s">
        <v>394</v>
      </c>
      <c r="I960" s="307">
        <v>437</v>
      </c>
      <c r="J960" s="307">
        <v>11000</v>
      </c>
      <c r="K960" s="532">
        <f>ROUND(I960*J960,0)</f>
        <v>4807000</v>
      </c>
      <c r="L960" s="534" t="s">
        <v>223</v>
      </c>
      <c r="M960" s="534" t="s">
        <v>162</v>
      </c>
      <c r="N960" s="525" t="str">
        <f>IF(AND('331-CT'!$E$7=TH!H960,OR(L960="331",M960="331")),"331",IF(AND(OR(L960="131",M960="131"),H960='131-CT'!$E$7),"131",""))</f>
        <v/>
      </c>
      <c r="O960" s="525" t="str">
        <f>IF(AND($B960&gt;='111'!$N$11,$B960&lt;='111'!$O$11,OR($L960=$O$7,$M960=$O$7)),"x","")</f>
        <v/>
      </c>
      <c r="P960" s="525" t="str">
        <f>IF(AND($L960=$O$7,$B960&lt;'111'!$N$11),"x","")</f>
        <v/>
      </c>
      <c r="Q960" s="525" t="str">
        <f>IF(AND($M960=$O$7,$B960&lt;'111'!$N$11),"x","")</f>
        <v/>
      </c>
      <c r="R960" s="525" t="str">
        <f>IF(ISERROR(FIND('112'!$M$9,G960,1)),"",IF((AND(FIND('112'!$M$9,G960,1)&gt;=1,$B960&gt;='112'!$N$8,$B960&lt;='112'!$O$8,OR($L960='112'!$I$6,$M960='112'!$I$6))),"x",""))</f>
        <v/>
      </c>
      <c r="S960" s="525" t="str">
        <f>IF(ISERROR(FIND('112'!$M$9,G960,1)),"",IF((AND(LEFT(G960,2)=LEFT('112'!$M$9,2),B960&lt;'112'!$N$8,$L960='112'!$I$6)),"x",""))</f>
        <v/>
      </c>
      <c r="T960" s="525" t="str">
        <f>IF(ISERROR(FIND('112'!$M$9,G960,1)),"",IF((AND(RIGHT(G960,2)=RIGHT('112'!$M$9,2),B960&lt;'112'!$N$8,$M960='112'!$I$6)),"x",""))</f>
        <v/>
      </c>
      <c r="U960" s="525" t="str">
        <f>IF(AND(B960&gt;='IN-NX'!$P$3,B960&lt;='IN-NX'!$Q$3,'IN-NX'!$D$7=D960,OR(LEFT(L960,2)="15",AND(LEFT(M960,2)&lt;&gt;"15",LEFT(M960,2)&lt;&gt;"33"))),"x","")</f>
        <v/>
      </c>
      <c r="V960" s="525" t="str">
        <f>IF(AND(OR(LEFT(TH!L960,2)="15",LEFT(TH!M960,2)="15"),'152-CT'!$J$8=TH!F960),"x","")</f>
        <v/>
      </c>
      <c r="W960" s="525" t="str">
        <f>IF(AND(OR(LEFT(TH!L960,2)="15",LEFT(TH!M960,2)="15"),TK!$E$7=TH!F960),"x","")</f>
        <v/>
      </c>
      <c r="X960" s="525" t="str">
        <f>IF(AND('341-CT'!$E$9=H960,OR(LEFT(L960,3)=$X$7,LEFT(M960,3)=$X$7)),"x","")</f>
        <v/>
      </c>
      <c r="Y960" s="525" t="str">
        <f>IF(OR(TH!L960=TH!$Y$7,M960=TH!$Y$7),"x","")</f>
        <v/>
      </c>
      <c r="Z960" s="525" t="str">
        <f>IF(AND(B960&lt;=NKC!$N$8,B960&gt;=NKC!$M$8),"x","")</f>
        <v>x</v>
      </c>
      <c r="AA960" s="535"/>
    </row>
    <row r="961" spans="1:28" s="503" customFormat="1" ht="15.75" customHeight="1">
      <c r="A961" s="517" t="str">
        <f>IF(B961&lt;&gt;"",IF(AND(B961&gt;=_TM1,B961&lt;=_TM2,OR(TH!L961="1111",TH!M961="1111")),TH!D961,""),"")</f>
        <v/>
      </c>
      <c r="B961" s="531">
        <f t="shared" si="109"/>
        <v>1</v>
      </c>
      <c r="C961" s="315">
        <f t="shared" si="110"/>
        <v>42747</v>
      </c>
      <c r="D961" s="315" t="s">
        <v>899</v>
      </c>
      <c r="E961" s="315">
        <v>42747</v>
      </c>
      <c r="F961" s="249" t="s">
        <v>501</v>
      </c>
      <c r="G961" s="314" t="s">
        <v>484</v>
      </c>
      <c r="H961" s="473" t="s">
        <v>394</v>
      </c>
      <c r="I961" s="307"/>
      <c r="J961" s="307"/>
      <c r="K961" s="532">
        <v>480700</v>
      </c>
      <c r="L961" s="534" t="s">
        <v>223</v>
      </c>
      <c r="M961" s="534" t="s">
        <v>259</v>
      </c>
      <c r="N961" s="525" t="str">
        <f>IF(AND('331-CT'!$E$7=TH!H961,OR(L961="331",M961="331")),"331",IF(AND(OR(L961="131",M961="131"),H961='131-CT'!$E$7),"131",""))</f>
        <v/>
      </c>
      <c r="O961" s="525" t="str">
        <f>IF(AND($B961&gt;='111'!$N$11,$B961&lt;='111'!$O$11,OR($L961=$O$7,$M961=$O$7)),"x","")</f>
        <v/>
      </c>
      <c r="P961" s="525" t="str">
        <f>IF(AND($L961=$O$7,$B961&lt;'111'!$N$11),"x","")</f>
        <v/>
      </c>
      <c r="Q961" s="525" t="str">
        <f>IF(AND($M961=$O$7,$B961&lt;'111'!$N$11),"x","")</f>
        <v/>
      </c>
      <c r="R961" s="525" t="str">
        <f>IF(ISERROR(FIND('112'!$M$9,G961,1)),"",IF((AND(FIND('112'!$M$9,G961,1)&gt;=1,$B961&gt;='112'!$N$8,$B961&lt;='112'!$O$8,OR($L961='112'!$I$6,$M961='112'!$I$6))),"x",""))</f>
        <v/>
      </c>
      <c r="S961" s="525" t="str">
        <f>IF(ISERROR(FIND('112'!$M$9,G961,1)),"",IF((AND(LEFT(G961,2)=LEFT('112'!$M$9,2),B961&lt;'112'!$N$8,$L961='112'!$I$6)),"x",""))</f>
        <v/>
      </c>
      <c r="T961" s="525" t="str">
        <f>IF(ISERROR(FIND('112'!$M$9,G961,1)),"",IF((AND(RIGHT(G961,2)=RIGHT('112'!$M$9,2),B961&lt;'112'!$N$8,$M961='112'!$I$6)),"x",""))</f>
        <v/>
      </c>
      <c r="U961" s="525" t="str">
        <f>IF(AND(B961&gt;='IN-NX'!$P$3,B961&lt;='IN-NX'!$Q$3,'IN-NX'!$D$7=D961,OR(LEFT(L961,2)="15",AND(LEFT(M961,2)&lt;&gt;"15",LEFT(M961,2)&lt;&gt;"33"))),"x","")</f>
        <v/>
      </c>
      <c r="V961" s="525" t="str">
        <f>IF(AND(OR(LEFT(TH!L961,2)="15",LEFT(TH!M961,2)="15"),'152-CT'!$J$8=TH!F961),"x","")</f>
        <v/>
      </c>
      <c r="W961" s="525" t="str">
        <f>IF(AND(OR(LEFT(TH!L961,2)="15",LEFT(TH!M961,2)="15"),TK!$E$7=TH!F961),"x","")</f>
        <v/>
      </c>
      <c r="X961" s="525" t="str">
        <f>IF(AND('341-CT'!$E$9=H961,OR(LEFT(L961,3)=$X$7,LEFT(M961,3)=$X$7)),"x","")</f>
        <v/>
      </c>
      <c r="Y961" s="525" t="str">
        <f>IF(OR(TH!L961=TH!$Y$7,M961=TH!$Y$7),"x","")</f>
        <v/>
      </c>
      <c r="Z961" s="525" t="str">
        <f>IF(AND(B961&lt;=NKC!$N$8,B961&gt;=NKC!$M$8),"x","")</f>
        <v>x</v>
      </c>
      <c r="AA961" s="535"/>
    </row>
    <row r="962" spans="1:28" s="503" customFormat="1" ht="15.75" customHeight="1">
      <c r="A962" s="517" t="str">
        <f>IF(B962&lt;&gt;"",IF(AND(B962&gt;=_TM1,B962&lt;=_TM2,OR(TH!L962="1111",TH!M962="1111")),TH!D962,""),"")</f>
        <v/>
      </c>
      <c r="B962" s="531">
        <f t="shared" si="109"/>
        <v>1</v>
      </c>
      <c r="C962" s="315">
        <f t="shared" si="110"/>
        <v>42749</v>
      </c>
      <c r="D962" s="315" t="s">
        <v>900</v>
      </c>
      <c r="E962" s="315">
        <v>42749</v>
      </c>
      <c r="F962" s="249" t="s">
        <v>274</v>
      </c>
      <c r="G962" s="314" t="s">
        <v>485</v>
      </c>
      <c r="H962" s="473" t="s">
        <v>379</v>
      </c>
      <c r="I962" s="307">
        <v>520</v>
      </c>
      <c r="J962" s="307">
        <v>10500</v>
      </c>
      <c r="K962" s="532">
        <f>ROUND(I962*J962,0)</f>
        <v>5460000</v>
      </c>
      <c r="L962" s="534" t="s">
        <v>223</v>
      </c>
      <c r="M962" s="534" t="s">
        <v>162</v>
      </c>
      <c r="N962" s="525" t="str">
        <f>IF(AND('331-CT'!$E$7=TH!H962,OR(L962="331",M962="331")),"331",IF(AND(OR(L962="131",M962="131"),H962='131-CT'!$E$7),"131",""))</f>
        <v/>
      </c>
      <c r="O962" s="525" t="str">
        <f>IF(AND($B962&gt;='111'!$N$11,$B962&lt;='111'!$O$11,OR($L962=$O$7,$M962=$O$7)),"x","")</f>
        <v/>
      </c>
      <c r="P962" s="525" t="str">
        <f>IF(AND($L962=$O$7,$B962&lt;'111'!$N$11),"x","")</f>
        <v/>
      </c>
      <c r="Q962" s="525" t="str">
        <f>IF(AND($M962=$O$7,$B962&lt;'111'!$N$11),"x","")</f>
        <v/>
      </c>
      <c r="R962" s="525" t="str">
        <f>IF(ISERROR(FIND('112'!$M$9,G962,1)),"",IF((AND(FIND('112'!$M$9,G962,1)&gt;=1,$B962&gt;='112'!$N$8,$B962&lt;='112'!$O$8,OR($L962='112'!$I$6,$M962='112'!$I$6))),"x",""))</f>
        <v/>
      </c>
      <c r="S962" s="525" t="str">
        <f>IF(ISERROR(FIND('112'!$M$9,G962,1)),"",IF((AND(LEFT(G962,2)=LEFT('112'!$M$9,2),B962&lt;'112'!$N$8,$L962='112'!$I$6)),"x",""))</f>
        <v/>
      </c>
      <c r="T962" s="525" t="str">
        <f>IF(ISERROR(FIND('112'!$M$9,G962,1)),"",IF((AND(RIGHT(G962,2)=RIGHT('112'!$M$9,2),B962&lt;'112'!$N$8,$M962='112'!$I$6)),"x",""))</f>
        <v/>
      </c>
      <c r="U962" s="525" t="str">
        <f>IF(AND(B962&gt;='IN-NX'!$P$3,B962&lt;='IN-NX'!$Q$3,'IN-NX'!$D$7=D962,OR(LEFT(L962,2)="15",AND(LEFT(M962,2)&lt;&gt;"15",LEFT(M962,2)&lt;&gt;"33"))),"x","")</f>
        <v/>
      </c>
      <c r="V962" s="525" t="str">
        <f>IF(AND(OR(LEFT(TH!L962,2)="15",LEFT(TH!M962,2)="15"),'152-CT'!$J$8=TH!F962),"x","")</f>
        <v/>
      </c>
      <c r="W962" s="525" t="str">
        <f>IF(AND(OR(LEFT(TH!L962,2)="15",LEFT(TH!M962,2)="15"),TK!$E$7=TH!F962),"x","")</f>
        <v/>
      </c>
      <c r="X962" s="525" t="str">
        <f>IF(AND('341-CT'!$E$9=H962,OR(LEFT(L962,3)=$X$7,LEFT(M962,3)=$X$7)),"x","")</f>
        <v/>
      </c>
      <c r="Y962" s="525" t="str">
        <f>IF(OR(TH!L962=TH!$Y$7,M962=TH!$Y$7),"x","")</f>
        <v/>
      </c>
      <c r="Z962" s="525" t="str">
        <f>IF(AND(B962&lt;=NKC!$N$8,B962&gt;=NKC!$M$8),"x","")</f>
        <v>x</v>
      </c>
      <c r="AA962" s="535"/>
    </row>
    <row r="963" spans="1:28" s="503" customFormat="1" ht="15.75" customHeight="1">
      <c r="A963" s="517" t="str">
        <f>IF(B963&lt;&gt;"",IF(AND(B963&gt;=_TM1,B963&lt;=_TM2,OR(TH!L963="1111",TH!M963="1111")),TH!D963,""),"")</f>
        <v/>
      </c>
      <c r="B963" s="531">
        <f t="shared" si="109"/>
        <v>1</v>
      </c>
      <c r="C963" s="315">
        <f t="shared" si="110"/>
        <v>42749</v>
      </c>
      <c r="D963" s="315" t="s">
        <v>900</v>
      </c>
      <c r="E963" s="315">
        <v>42749</v>
      </c>
      <c r="F963" s="249" t="s">
        <v>501</v>
      </c>
      <c r="G963" s="314" t="s">
        <v>485</v>
      </c>
      <c r="H963" s="473" t="s">
        <v>379</v>
      </c>
      <c r="I963" s="307"/>
      <c r="J963" s="307"/>
      <c r="K963" s="532">
        <v>546000</v>
      </c>
      <c r="L963" s="534" t="s">
        <v>223</v>
      </c>
      <c r="M963" s="534" t="s">
        <v>259</v>
      </c>
      <c r="N963" s="525" t="str">
        <f>IF(AND('331-CT'!$E$7=TH!H963,OR(L963="331",M963="331")),"331",IF(AND(OR(L963="131",M963="131"),H963='131-CT'!$E$7),"131",""))</f>
        <v/>
      </c>
      <c r="O963" s="525" t="str">
        <f>IF(AND($B963&gt;='111'!$N$11,$B963&lt;='111'!$O$11,OR($L963=$O$7,$M963=$O$7)),"x","")</f>
        <v/>
      </c>
      <c r="P963" s="525" t="str">
        <f>IF(AND($L963=$O$7,$B963&lt;'111'!$N$11),"x","")</f>
        <v/>
      </c>
      <c r="Q963" s="525" t="str">
        <f>IF(AND($M963=$O$7,$B963&lt;'111'!$N$11),"x","")</f>
        <v/>
      </c>
      <c r="R963" s="525" t="str">
        <f>IF(ISERROR(FIND('112'!$M$9,G963,1)),"",IF((AND(FIND('112'!$M$9,G963,1)&gt;=1,$B963&gt;='112'!$N$8,$B963&lt;='112'!$O$8,OR($L963='112'!$I$6,$M963='112'!$I$6))),"x",""))</f>
        <v/>
      </c>
      <c r="S963" s="525" t="str">
        <f>IF(ISERROR(FIND('112'!$M$9,G963,1)),"",IF((AND(LEFT(G963,2)=LEFT('112'!$M$9,2),B963&lt;'112'!$N$8,$L963='112'!$I$6)),"x",""))</f>
        <v/>
      </c>
      <c r="T963" s="525" t="str">
        <f>IF(ISERROR(FIND('112'!$M$9,G963,1)),"",IF((AND(RIGHT(G963,2)=RIGHT('112'!$M$9,2),B963&lt;'112'!$N$8,$M963='112'!$I$6)),"x",""))</f>
        <v/>
      </c>
      <c r="U963" s="525" t="str">
        <f>IF(AND(B963&gt;='IN-NX'!$P$3,B963&lt;='IN-NX'!$Q$3,'IN-NX'!$D$7=D963,OR(LEFT(L963,2)="15",AND(LEFT(M963,2)&lt;&gt;"15",LEFT(M963,2)&lt;&gt;"33"))),"x","")</f>
        <v/>
      </c>
      <c r="V963" s="525" t="str">
        <f>IF(AND(OR(LEFT(TH!L963,2)="15",LEFT(TH!M963,2)="15"),'152-CT'!$J$8=TH!F963),"x","")</f>
        <v/>
      </c>
      <c r="W963" s="525" t="str">
        <f>IF(AND(OR(LEFT(TH!L963,2)="15",LEFT(TH!M963,2)="15"),TK!$E$7=TH!F963),"x","")</f>
        <v/>
      </c>
      <c r="X963" s="525" t="str">
        <f>IF(AND('341-CT'!$E$9=H963,OR(LEFT(L963,3)=$X$7,LEFT(M963,3)=$X$7)),"x","")</f>
        <v/>
      </c>
      <c r="Y963" s="525" t="str">
        <f>IF(OR(TH!L963=TH!$Y$7,M963=TH!$Y$7),"x","")</f>
        <v/>
      </c>
      <c r="Z963" s="525" t="str">
        <f>IF(AND(B963&lt;=NKC!$N$8,B963&gt;=NKC!$M$8),"x","")</f>
        <v>x</v>
      </c>
      <c r="AA963" s="535"/>
      <c r="AB963" s="536"/>
    </row>
    <row r="964" spans="1:28" s="503" customFormat="1" ht="15.75" customHeight="1">
      <c r="A964" s="517" t="str">
        <f>IF(B964&lt;&gt;"",IF(AND(B964&gt;=_TM1,B964&lt;=_TM2,OR(TH!L964="1111",TH!M964="1111")),TH!D964,""),"")</f>
        <v/>
      </c>
      <c r="B964" s="531">
        <f t="shared" si="109"/>
        <v>1</v>
      </c>
      <c r="C964" s="315">
        <f t="shared" si="110"/>
        <v>42751</v>
      </c>
      <c r="D964" s="315" t="s">
        <v>901</v>
      </c>
      <c r="E964" s="315">
        <v>42751</v>
      </c>
      <c r="F964" s="249" t="s">
        <v>502</v>
      </c>
      <c r="G964" s="314" t="s">
        <v>486</v>
      </c>
      <c r="H964" s="473" t="s">
        <v>279</v>
      </c>
      <c r="I964" s="307">
        <v>50</v>
      </c>
      <c r="J964" s="307">
        <v>12758</v>
      </c>
      <c r="K964" s="532">
        <f>ROUND(I964*J964,0)</f>
        <v>637900</v>
      </c>
      <c r="L964" s="534" t="s">
        <v>223</v>
      </c>
      <c r="M964" s="534" t="s">
        <v>162</v>
      </c>
      <c r="N964" s="525" t="str">
        <f>IF(AND('331-CT'!$E$7=TH!H964,OR(L964="331",M964="331")),"331",IF(AND(OR(L964="131",M964="131"),H964='131-CT'!$E$7),"131",""))</f>
        <v/>
      </c>
      <c r="O964" s="525" t="str">
        <f>IF(AND($B964&gt;='111'!$N$11,$B964&lt;='111'!$O$11,OR($L964=$O$7,$M964=$O$7)),"x","")</f>
        <v/>
      </c>
      <c r="P964" s="525" t="str">
        <f>IF(AND($L964=$O$7,$B964&lt;'111'!$N$11),"x","")</f>
        <v/>
      </c>
      <c r="Q964" s="525" t="str">
        <f>IF(AND($M964=$O$7,$B964&lt;'111'!$N$11),"x","")</f>
        <v/>
      </c>
      <c r="R964" s="525" t="str">
        <f>IF(ISERROR(FIND('112'!$M$9,G964,1)),"",IF((AND(FIND('112'!$M$9,G964,1)&gt;=1,$B964&gt;='112'!$N$8,$B964&lt;='112'!$O$8,OR($L964='112'!$I$6,$M964='112'!$I$6))),"x",""))</f>
        <v/>
      </c>
      <c r="S964" s="525" t="str">
        <f>IF(ISERROR(FIND('112'!$M$9,G964,1)),"",IF((AND(LEFT(G964,2)=LEFT('112'!$M$9,2),B964&lt;'112'!$N$8,$L964='112'!$I$6)),"x",""))</f>
        <v/>
      </c>
      <c r="T964" s="525" t="str">
        <f>IF(ISERROR(FIND('112'!$M$9,G964,1)),"",IF((AND(RIGHT(G964,2)=RIGHT('112'!$M$9,2),B964&lt;'112'!$N$8,$M964='112'!$I$6)),"x",""))</f>
        <v/>
      </c>
      <c r="U964" s="525" t="str">
        <f>IF(AND(B964&gt;='IN-NX'!$P$3,B964&lt;='IN-NX'!$Q$3,'IN-NX'!$D$7=D964,OR(LEFT(L964,2)="15",AND(LEFT(M964,2)&lt;&gt;"15",LEFT(M964,2)&lt;&gt;"33"))),"x","")</f>
        <v/>
      </c>
      <c r="V964" s="525" t="str">
        <f>IF(AND(OR(LEFT(TH!L964,2)="15",LEFT(TH!M964,2)="15"),'152-CT'!$J$8=TH!F964),"x","")</f>
        <v/>
      </c>
      <c r="W964" s="525" t="str">
        <f>IF(AND(OR(LEFT(TH!L964,2)="15",LEFT(TH!M964,2)="15"),TK!$E$7=TH!F964),"x","")</f>
        <v/>
      </c>
      <c r="X964" s="525" t="str">
        <f>IF(AND('341-CT'!$E$9=H964,OR(LEFT(L964,3)=$X$7,LEFT(M964,3)=$X$7)),"x","")</f>
        <v/>
      </c>
      <c r="Y964" s="525" t="str">
        <f>IF(OR(TH!L964=TH!$Y$7,M964=TH!$Y$7),"x","")</f>
        <v/>
      </c>
      <c r="Z964" s="525" t="str">
        <f>IF(AND(B964&lt;=NKC!$N$8,B964&gt;=NKC!$M$8),"x","")</f>
        <v>x</v>
      </c>
      <c r="AA964" s="535"/>
    </row>
    <row r="965" spans="1:28" s="503" customFormat="1" ht="15.75" customHeight="1">
      <c r="A965" s="517" t="str">
        <f>IF(B965&lt;&gt;"",IF(AND(B965&gt;=_TM1,B965&lt;=_TM2,OR(TH!L965="1111",TH!M965="1111")),TH!D965,""),"")</f>
        <v/>
      </c>
      <c r="B965" s="531">
        <f t="shared" si="109"/>
        <v>1</v>
      </c>
      <c r="C965" s="315">
        <f t="shared" si="110"/>
        <v>42751</v>
      </c>
      <c r="D965" s="315" t="s">
        <v>901</v>
      </c>
      <c r="E965" s="315">
        <v>42751</v>
      </c>
      <c r="F965" s="249" t="s">
        <v>494</v>
      </c>
      <c r="G965" s="314" t="s">
        <v>486</v>
      </c>
      <c r="H965" s="473" t="s">
        <v>279</v>
      </c>
      <c r="I965" s="307"/>
      <c r="J965" s="307"/>
      <c r="K965" s="532">
        <v>63790</v>
      </c>
      <c r="L965" s="534" t="s">
        <v>223</v>
      </c>
      <c r="M965" s="534" t="s">
        <v>259</v>
      </c>
      <c r="N965" s="525" t="str">
        <f>IF(AND('331-CT'!$E$7=TH!H965,OR(L965="331",M965="331")),"331",IF(AND(OR(L965="131",M965="131"),H965='131-CT'!$E$7),"131",""))</f>
        <v/>
      </c>
      <c r="O965" s="525" t="str">
        <f>IF(AND($B965&gt;='111'!$N$11,$B965&lt;='111'!$O$11,OR($L965=$O$7,$M965=$O$7)),"x","")</f>
        <v/>
      </c>
      <c r="P965" s="525" t="str">
        <f>IF(AND($L965=$O$7,$B965&lt;'111'!$N$11),"x","")</f>
        <v/>
      </c>
      <c r="Q965" s="525" t="str">
        <f>IF(AND($M965=$O$7,$B965&lt;'111'!$N$11),"x","")</f>
        <v/>
      </c>
      <c r="R965" s="525" t="str">
        <f>IF(ISERROR(FIND('112'!$M$9,G965,1)),"",IF((AND(FIND('112'!$M$9,G965,1)&gt;=1,$B965&gt;='112'!$N$8,$B965&lt;='112'!$O$8,OR($L965='112'!$I$6,$M965='112'!$I$6))),"x",""))</f>
        <v/>
      </c>
      <c r="S965" s="525" t="str">
        <f>IF(ISERROR(FIND('112'!$M$9,G965,1)),"",IF((AND(LEFT(G965,2)=LEFT('112'!$M$9,2),B965&lt;'112'!$N$8,$L965='112'!$I$6)),"x",""))</f>
        <v/>
      </c>
      <c r="T965" s="525" t="str">
        <f>IF(ISERROR(FIND('112'!$M$9,G965,1)),"",IF((AND(RIGHT(G965,2)=RIGHT('112'!$M$9,2),B965&lt;'112'!$N$8,$M965='112'!$I$6)),"x",""))</f>
        <v/>
      </c>
      <c r="U965" s="525" t="str">
        <f>IF(AND(B965&gt;='IN-NX'!$P$3,B965&lt;='IN-NX'!$Q$3,'IN-NX'!$D$7=D965,OR(LEFT(L965,2)="15",AND(LEFT(M965,2)&lt;&gt;"15",LEFT(M965,2)&lt;&gt;"33"))),"x","")</f>
        <v/>
      </c>
      <c r="V965" s="525" t="str">
        <f>IF(AND(OR(LEFT(TH!L965,2)="15",LEFT(TH!M965,2)="15"),'152-CT'!$J$8=TH!F965),"x","")</f>
        <v/>
      </c>
      <c r="W965" s="525" t="str">
        <f>IF(AND(OR(LEFT(TH!L965,2)="15",LEFT(TH!M965,2)="15"),TK!$E$7=TH!F965),"x","")</f>
        <v/>
      </c>
      <c r="X965" s="525" t="str">
        <f>IF(AND('341-CT'!$E$9=H965,OR(LEFT(L965,3)=$X$7,LEFT(M965,3)=$X$7)),"x","")</f>
        <v/>
      </c>
      <c r="Y965" s="525" t="str">
        <f>IF(OR(TH!L965=TH!$Y$7,M965=TH!$Y$7),"x","")</f>
        <v/>
      </c>
      <c r="Z965" s="525" t="str">
        <f>IF(AND(B965&lt;=NKC!$N$8,B965&gt;=NKC!$M$8),"x","")</f>
        <v>x</v>
      </c>
      <c r="AA965" s="535"/>
      <c r="AB965" s="536"/>
    </row>
    <row r="966" spans="1:28" s="503" customFormat="1" ht="15.75" customHeight="1">
      <c r="A966" s="517">
        <f>IF(B966&lt;&gt;"",IF(AND(B966&gt;=_TM1,B966&lt;=_TM2,OR(TH!L966="1111",TH!M966="1111")),TH!D966,""),"")</f>
        <v>0</v>
      </c>
      <c r="B966" s="531">
        <f t="shared" si="109"/>
        <v>1</v>
      </c>
      <c r="C966" s="315">
        <f t="shared" si="110"/>
        <v>42753</v>
      </c>
      <c r="D966" s="537"/>
      <c r="E966" s="315">
        <v>42753</v>
      </c>
      <c r="F966" s="249" t="s">
        <v>1099</v>
      </c>
      <c r="G966" s="314" t="s">
        <v>487</v>
      </c>
      <c r="H966" s="473" t="s">
        <v>514</v>
      </c>
      <c r="I966" s="307"/>
      <c r="J966" s="307"/>
      <c r="K966" s="532">
        <v>2000000</v>
      </c>
      <c r="L966" s="534" t="s">
        <v>45</v>
      </c>
      <c r="M966" s="534" t="s">
        <v>275</v>
      </c>
      <c r="N966" s="525" t="str">
        <f>IF(AND('331-CT'!$E$7=TH!H966,OR(L966="331",M966="331")),"331",IF(AND(OR(L966="131",M966="131"),H966='131-CT'!$E$7),"131",""))</f>
        <v/>
      </c>
      <c r="O966" s="525" t="str">
        <f>IF(AND($B966&gt;='111'!$N$11,$B966&lt;='111'!$O$11,OR($L966=$O$7,$M966=$O$7)),"x","")</f>
        <v/>
      </c>
      <c r="P966" s="525" t="str">
        <f>IF(AND($L966=$O$7,$B966&lt;'111'!$N$11),"x","")</f>
        <v>x</v>
      </c>
      <c r="Q966" s="525" t="str">
        <f>IF(AND($M966=$O$7,$B966&lt;'111'!$N$11),"x","")</f>
        <v/>
      </c>
      <c r="R966" s="525" t="str">
        <f>IF(ISERROR(FIND('112'!$M$9,G966,1)),"",IF((AND(FIND('112'!$M$9,G966,1)&gt;=1,$B966&gt;='112'!$N$8,$B966&lt;='112'!$O$8,OR($L966='112'!$I$6,$M966='112'!$I$6))),"x",""))</f>
        <v/>
      </c>
      <c r="S966" s="525" t="str">
        <f>IF(ISERROR(FIND('112'!$M$9,G966,1)),"",IF((AND(LEFT(G966,2)=LEFT('112'!$M$9,2),B966&lt;'112'!$N$8,$L966='112'!$I$6)),"x",""))</f>
        <v/>
      </c>
      <c r="T966" s="525" t="str">
        <f>IF(ISERROR(FIND('112'!$M$9,G966,1)),"",IF((AND(RIGHT(G966,2)=RIGHT('112'!$M$9,2),B966&lt;'112'!$N$8,$M966='112'!$I$6)),"x",""))</f>
        <v/>
      </c>
      <c r="U966" s="525" t="str">
        <f>IF(AND(B966&gt;='IN-NX'!$P$3,B966&lt;='IN-NX'!$Q$3,'IN-NX'!$D$7=D966,OR(LEFT(L966,2)="15",AND(LEFT(M966,2)&lt;&gt;"15",LEFT(M966,2)&lt;&gt;"33"))),"x","")</f>
        <v/>
      </c>
      <c r="V966" s="525" t="str">
        <f>IF(AND(OR(LEFT(TH!L966,2)="15",LEFT(TH!M966,2)="15"),'152-CT'!$J$8=TH!F966),"x","")</f>
        <v/>
      </c>
      <c r="W966" s="525" t="str">
        <f>IF(AND(OR(LEFT(TH!L966,2)="15",LEFT(TH!M966,2)="15"),TK!$E$7=TH!F966),"x","")</f>
        <v/>
      </c>
      <c r="X966" s="525" t="str">
        <f>IF(AND('341-CT'!$E$9=H966,OR(LEFT(L966,3)=$X$7,LEFT(M966,3)=$X$7)),"x","")</f>
        <v/>
      </c>
      <c r="Y966" s="525" t="str">
        <f>IF(OR(TH!L966=TH!$Y$7,M966=TH!$Y$7),"x","")</f>
        <v/>
      </c>
      <c r="Z966" s="525" t="str">
        <f>IF(AND(B966&lt;=NKC!$N$8,B966&gt;=NKC!$M$8),"x","")</f>
        <v>x</v>
      </c>
      <c r="AA966" s="535"/>
    </row>
    <row r="967" spans="1:28" s="503" customFormat="1" ht="15.75" customHeight="1">
      <c r="A967" s="517">
        <f>IF(B967&lt;&gt;"",IF(AND(B967&gt;=_TM1,B967&lt;=_TM2,OR(TH!L967="1111",TH!M967="1111")),TH!D967,""),"")</f>
        <v>0</v>
      </c>
      <c r="B967" s="531">
        <f t="shared" si="109"/>
        <v>1</v>
      </c>
      <c r="C967" s="315">
        <f t="shared" si="110"/>
        <v>42753</v>
      </c>
      <c r="D967" s="537"/>
      <c r="E967" s="315">
        <v>42753</v>
      </c>
      <c r="F967" s="249" t="s">
        <v>1102</v>
      </c>
      <c r="G967" s="314" t="s">
        <v>487</v>
      </c>
      <c r="H967" s="473" t="s">
        <v>514</v>
      </c>
      <c r="I967" s="307"/>
      <c r="J967" s="307"/>
      <c r="K967" s="532">
        <v>200000</v>
      </c>
      <c r="L967" s="534" t="s">
        <v>45</v>
      </c>
      <c r="M967" s="534" t="s">
        <v>259</v>
      </c>
      <c r="N967" s="525" t="str">
        <f>IF(AND('331-CT'!$E$7=TH!H967,OR(L967="331",M967="331")),"331",IF(AND(OR(L967="131",M967="131"),H967='131-CT'!$E$7),"131",""))</f>
        <v/>
      </c>
      <c r="O967" s="525" t="str">
        <f>IF(AND($B967&gt;='111'!$N$11,$B967&lt;='111'!$O$11,OR($L967=$O$7,$M967=$O$7)),"x","")</f>
        <v/>
      </c>
      <c r="P967" s="525" t="str">
        <f>IF(AND($L967=$O$7,$B967&lt;'111'!$N$11),"x","")</f>
        <v>x</v>
      </c>
      <c r="Q967" s="525" t="str">
        <f>IF(AND($M967=$O$7,$B967&lt;'111'!$N$11),"x","")</f>
        <v/>
      </c>
      <c r="R967" s="525" t="str">
        <f>IF(ISERROR(FIND('112'!$M$9,G967,1)),"",IF((AND(FIND('112'!$M$9,G967,1)&gt;=1,$B967&gt;='112'!$N$8,$B967&lt;='112'!$O$8,OR($L967='112'!$I$6,$M967='112'!$I$6))),"x",""))</f>
        <v/>
      </c>
      <c r="S967" s="525" t="str">
        <f>IF(ISERROR(FIND('112'!$M$9,G967,1)),"",IF((AND(LEFT(G967,2)=LEFT('112'!$M$9,2),B967&lt;'112'!$N$8,$L967='112'!$I$6)),"x",""))</f>
        <v/>
      </c>
      <c r="T967" s="525" t="str">
        <f>IF(ISERROR(FIND('112'!$M$9,G967,1)),"",IF((AND(RIGHT(G967,2)=RIGHT('112'!$M$9,2),B967&lt;'112'!$N$8,$M967='112'!$I$6)),"x",""))</f>
        <v/>
      </c>
      <c r="U967" s="525" t="str">
        <f>IF(AND(B967&gt;='IN-NX'!$P$3,B967&lt;='IN-NX'!$Q$3,'IN-NX'!$D$7=D967,OR(LEFT(L967,2)="15",AND(LEFT(M967,2)&lt;&gt;"15",LEFT(M967,2)&lt;&gt;"33"))),"x","")</f>
        <v/>
      </c>
      <c r="V967" s="525" t="str">
        <f>IF(AND(OR(LEFT(TH!L967,2)="15",LEFT(TH!M967,2)="15"),'152-CT'!$J$8=TH!F967),"x","")</f>
        <v/>
      </c>
      <c r="W967" s="525" t="str">
        <f>IF(AND(OR(LEFT(TH!L967,2)="15",LEFT(TH!M967,2)="15"),TK!$E$7=TH!F967),"x","")</f>
        <v/>
      </c>
      <c r="X967" s="525" t="str">
        <f>IF(AND('341-CT'!$E$9=H967,OR(LEFT(L967,3)=$X$7,LEFT(M967,3)=$X$7)),"x","")</f>
        <v/>
      </c>
      <c r="Y967" s="525" t="str">
        <f>IF(OR(TH!L967=TH!$Y$7,M967=TH!$Y$7),"x","")</f>
        <v/>
      </c>
      <c r="Z967" s="525" t="str">
        <f>IF(AND(B967&lt;=NKC!$N$8,B967&gt;=NKC!$M$8),"x","")</f>
        <v>x</v>
      </c>
      <c r="AA967" s="535"/>
    </row>
    <row r="968" spans="1:28" s="503" customFormat="1" ht="15.75" customHeight="1">
      <c r="A968" s="517" t="str">
        <f>IF(B968&lt;&gt;"",IF(AND(B968&gt;=_TM1,B968&lt;=_TM2,OR(TH!L968="1111",TH!M968="1111")),TH!D968,""),"")</f>
        <v/>
      </c>
      <c r="B968" s="531">
        <f t="shared" si="109"/>
        <v>1</v>
      </c>
      <c r="C968" s="315">
        <f t="shared" si="110"/>
        <v>42753</v>
      </c>
      <c r="D968" s="315" t="s">
        <v>902</v>
      </c>
      <c r="E968" s="315">
        <v>42753</v>
      </c>
      <c r="F968" s="249" t="s">
        <v>503</v>
      </c>
      <c r="G968" s="314" t="s">
        <v>488</v>
      </c>
      <c r="H968" s="473" t="s">
        <v>375</v>
      </c>
      <c r="I968" s="307">
        <v>2100</v>
      </c>
      <c r="J968" s="307">
        <v>8500</v>
      </c>
      <c r="K968" s="532">
        <f>ROUND(I968*J968,0)</f>
        <v>17850000</v>
      </c>
      <c r="L968" s="534" t="s">
        <v>223</v>
      </c>
      <c r="M968" s="534" t="s">
        <v>162</v>
      </c>
      <c r="N968" s="525" t="str">
        <f>IF(AND('331-CT'!$E$7=TH!H968,OR(L968="331",M968="331")),"331",IF(AND(OR(L968="131",M968="131"),H968='131-CT'!$E$7),"131",""))</f>
        <v/>
      </c>
      <c r="O968" s="525" t="str">
        <f>IF(AND($B968&gt;='111'!$N$11,$B968&lt;='111'!$O$11,OR($L968=$O$7,$M968=$O$7)),"x","")</f>
        <v/>
      </c>
      <c r="P968" s="525" t="str">
        <f>IF(AND($L968=$O$7,$B968&lt;'111'!$N$11),"x","")</f>
        <v/>
      </c>
      <c r="Q968" s="525" t="str">
        <f>IF(AND($M968=$O$7,$B968&lt;'111'!$N$11),"x","")</f>
        <v/>
      </c>
      <c r="R968" s="525" t="str">
        <f>IF(ISERROR(FIND('112'!$M$9,G968,1)),"",IF((AND(FIND('112'!$M$9,G968,1)&gt;=1,$B968&gt;='112'!$N$8,$B968&lt;='112'!$O$8,OR($L968='112'!$I$6,$M968='112'!$I$6))),"x",""))</f>
        <v/>
      </c>
      <c r="S968" s="525" t="str">
        <f>IF(ISERROR(FIND('112'!$M$9,G968,1)),"",IF((AND(LEFT(G968,2)=LEFT('112'!$M$9,2),B968&lt;'112'!$N$8,$L968='112'!$I$6)),"x",""))</f>
        <v/>
      </c>
      <c r="T968" s="525" t="str">
        <f>IF(ISERROR(FIND('112'!$M$9,G968,1)),"",IF((AND(RIGHT(G968,2)=RIGHT('112'!$M$9,2),B968&lt;'112'!$N$8,$M968='112'!$I$6)),"x",""))</f>
        <v/>
      </c>
      <c r="U968" s="525" t="str">
        <f>IF(AND(B968&gt;='IN-NX'!$P$3,B968&lt;='IN-NX'!$Q$3,'IN-NX'!$D$7=D968,OR(LEFT(L968,2)="15",AND(LEFT(M968,2)&lt;&gt;"15",LEFT(M968,2)&lt;&gt;"33"))),"x","")</f>
        <v/>
      </c>
      <c r="V968" s="525" t="str">
        <f>IF(AND(OR(LEFT(TH!L968,2)="15",LEFT(TH!M968,2)="15"),'152-CT'!$J$8=TH!F968),"x","")</f>
        <v/>
      </c>
      <c r="W968" s="525" t="str">
        <f>IF(AND(OR(LEFT(TH!L968,2)="15",LEFT(TH!M968,2)="15"),TK!$E$7=TH!F968),"x","")</f>
        <v/>
      </c>
      <c r="X968" s="525" t="str">
        <f>IF(AND('341-CT'!$E$9=H968,OR(LEFT(L968,3)=$X$7,LEFT(M968,3)=$X$7)),"x","")</f>
        <v/>
      </c>
      <c r="Y968" s="525" t="str">
        <f>IF(OR(TH!L968=TH!$Y$7,M968=TH!$Y$7),"x","")</f>
        <v/>
      </c>
      <c r="Z968" s="525" t="str">
        <f>IF(AND(B968&lt;=NKC!$N$8,B968&gt;=NKC!$M$8),"x","")</f>
        <v>x</v>
      </c>
      <c r="AA968" s="535"/>
    </row>
    <row r="969" spans="1:28" s="503" customFormat="1" ht="15.75" customHeight="1">
      <c r="A969" s="517" t="str">
        <f>IF(B969&lt;&gt;"",IF(AND(B969&gt;=_TM1,B969&lt;=_TM2,OR(TH!L969="1111",TH!M969="1111")),TH!D969,""),"")</f>
        <v/>
      </c>
      <c r="B969" s="531">
        <f t="shared" si="109"/>
        <v>1</v>
      </c>
      <c r="C969" s="315">
        <f t="shared" si="110"/>
        <v>42753</v>
      </c>
      <c r="D969" s="315" t="s">
        <v>902</v>
      </c>
      <c r="E969" s="315">
        <v>42753</v>
      </c>
      <c r="F969" s="249" t="s">
        <v>501</v>
      </c>
      <c r="G969" s="314" t="s">
        <v>488</v>
      </c>
      <c r="H969" s="473" t="s">
        <v>375</v>
      </c>
      <c r="I969" s="307"/>
      <c r="J969" s="307"/>
      <c r="K969" s="532">
        <v>1785000</v>
      </c>
      <c r="L969" s="534" t="s">
        <v>223</v>
      </c>
      <c r="M969" s="534" t="s">
        <v>259</v>
      </c>
      <c r="N969" s="525" t="str">
        <f>IF(AND('331-CT'!$E$7=TH!H969,OR(L969="331",M969="331")),"331",IF(AND(OR(L969="131",M969="131"),H969='131-CT'!$E$7),"131",""))</f>
        <v/>
      </c>
      <c r="O969" s="525" t="str">
        <f>IF(AND($B969&gt;='111'!$N$11,$B969&lt;='111'!$O$11,OR($L969=$O$7,$M969=$O$7)),"x","")</f>
        <v/>
      </c>
      <c r="P969" s="525" t="str">
        <f>IF(AND($L969=$O$7,$B969&lt;'111'!$N$11),"x","")</f>
        <v/>
      </c>
      <c r="Q969" s="525" t="str">
        <f>IF(AND($M969=$O$7,$B969&lt;'111'!$N$11),"x","")</f>
        <v/>
      </c>
      <c r="R969" s="525" t="str">
        <f>IF(ISERROR(FIND('112'!$M$9,G969,1)),"",IF((AND(FIND('112'!$M$9,G969,1)&gt;=1,$B969&gt;='112'!$N$8,$B969&lt;='112'!$O$8,OR($L969='112'!$I$6,$M969='112'!$I$6))),"x",""))</f>
        <v/>
      </c>
      <c r="S969" s="525" t="str">
        <f>IF(ISERROR(FIND('112'!$M$9,G969,1)),"",IF((AND(LEFT(G969,2)=LEFT('112'!$M$9,2),B969&lt;'112'!$N$8,$L969='112'!$I$6)),"x",""))</f>
        <v/>
      </c>
      <c r="T969" s="525" t="str">
        <f>IF(ISERROR(FIND('112'!$M$9,G969,1)),"",IF((AND(RIGHT(G969,2)=RIGHT('112'!$M$9,2),B969&lt;'112'!$N$8,$M969='112'!$I$6)),"x",""))</f>
        <v/>
      </c>
      <c r="U969" s="525" t="str">
        <f>IF(AND(B969&gt;='IN-NX'!$P$3,B969&lt;='IN-NX'!$Q$3,'IN-NX'!$D$7=D969,OR(LEFT(L969,2)="15",AND(LEFT(M969,2)&lt;&gt;"15",LEFT(M969,2)&lt;&gt;"33"))),"x","")</f>
        <v/>
      </c>
      <c r="V969" s="525" t="str">
        <f>IF(AND(OR(LEFT(TH!L969,2)="15",LEFT(TH!M969,2)="15"),'152-CT'!$J$8=TH!F969),"x","")</f>
        <v/>
      </c>
      <c r="W969" s="525" t="str">
        <f>IF(AND(OR(LEFT(TH!L969,2)="15",LEFT(TH!M969,2)="15"),TK!$E$7=TH!F969),"x","")</f>
        <v/>
      </c>
      <c r="X969" s="525" t="str">
        <f>IF(AND('341-CT'!$E$9=H969,OR(LEFT(L969,3)=$X$7,LEFT(M969,3)=$X$7)),"x","")</f>
        <v/>
      </c>
      <c r="Y969" s="525" t="str">
        <f>IF(OR(TH!L969=TH!$Y$7,M969=TH!$Y$7),"x","")</f>
        <v/>
      </c>
      <c r="Z969" s="525" t="str">
        <f>IF(AND(B969&lt;=NKC!$N$8,B969&gt;=NKC!$M$8),"x","")</f>
        <v>x</v>
      </c>
      <c r="AA969" s="535"/>
    </row>
    <row r="970" spans="1:28" s="503" customFormat="1" ht="15.75" customHeight="1">
      <c r="A970" s="517">
        <f>IF(B970&lt;&gt;"",IF(AND(B970&gt;=_TM1,B970&lt;=_TM2,OR(TH!L970="1111",TH!M970="1111")),TH!D970,""),"")</f>
        <v>0</v>
      </c>
      <c r="B970" s="531">
        <f t="shared" si="109"/>
        <v>1</v>
      </c>
      <c r="C970" s="315">
        <f t="shared" si="110"/>
        <v>42753</v>
      </c>
      <c r="D970" s="537"/>
      <c r="E970" s="315">
        <v>42753</v>
      </c>
      <c r="F970" s="249" t="s">
        <v>1099</v>
      </c>
      <c r="G970" s="314" t="s">
        <v>489</v>
      </c>
      <c r="H970" s="473" t="s">
        <v>513</v>
      </c>
      <c r="I970" s="307"/>
      <c r="J970" s="307"/>
      <c r="K970" s="532">
        <v>4600000</v>
      </c>
      <c r="L970" s="534" t="s">
        <v>45</v>
      </c>
      <c r="M970" s="534" t="s">
        <v>275</v>
      </c>
      <c r="N970" s="525" t="str">
        <f>IF(AND('331-CT'!$E$7=TH!H970,OR(L970="331",M970="331")),"331",IF(AND(OR(L970="131",M970="131"),H970='131-CT'!$E$7),"131",""))</f>
        <v/>
      </c>
      <c r="O970" s="525" t="str">
        <f>IF(AND($B970&gt;='111'!$N$11,$B970&lt;='111'!$O$11,OR($L970=$O$7,$M970=$O$7)),"x","")</f>
        <v/>
      </c>
      <c r="P970" s="525" t="str">
        <f>IF(AND($L970=$O$7,$B970&lt;'111'!$N$11),"x","")</f>
        <v>x</v>
      </c>
      <c r="Q970" s="525" t="str">
        <f>IF(AND($M970=$O$7,$B970&lt;'111'!$N$11),"x","")</f>
        <v/>
      </c>
      <c r="R970" s="525" t="str">
        <f>IF(ISERROR(FIND('112'!$M$9,G970,1)),"",IF((AND(FIND('112'!$M$9,G970,1)&gt;=1,$B970&gt;='112'!$N$8,$B970&lt;='112'!$O$8,OR($L970='112'!$I$6,$M970='112'!$I$6))),"x",""))</f>
        <v/>
      </c>
      <c r="S970" s="525" t="str">
        <f>IF(ISERROR(FIND('112'!$M$9,G970,1)),"",IF((AND(LEFT(G970,2)=LEFT('112'!$M$9,2),B970&lt;'112'!$N$8,$L970='112'!$I$6)),"x",""))</f>
        <v/>
      </c>
      <c r="T970" s="525" t="str">
        <f>IF(ISERROR(FIND('112'!$M$9,G970,1)),"",IF((AND(RIGHT(G970,2)=RIGHT('112'!$M$9,2),B970&lt;'112'!$N$8,$M970='112'!$I$6)),"x",""))</f>
        <v/>
      </c>
      <c r="U970" s="525" t="str">
        <f>IF(AND(B970&gt;='IN-NX'!$P$3,B970&lt;='IN-NX'!$Q$3,'IN-NX'!$D$7=D970,OR(LEFT(L970,2)="15",AND(LEFT(M970,2)&lt;&gt;"15",LEFT(M970,2)&lt;&gt;"33"))),"x","")</f>
        <v/>
      </c>
      <c r="V970" s="525" t="str">
        <f>IF(AND(OR(LEFT(TH!L970,2)="15",LEFT(TH!M970,2)="15"),'152-CT'!$J$8=TH!F970),"x","")</f>
        <v/>
      </c>
      <c r="W970" s="525" t="str">
        <f>IF(AND(OR(LEFT(TH!L970,2)="15",LEFT(TH!M970,2)="15"),TK!$E$7=TH!F970),"x","")</f>
        <v/>
      </c>
      <c r="X970" s="525" t="str">
        <f>IF(AND('341-CT'!$E$9=H970,OR(LEFT(L970,3)=$X$7,LEFT(M970,3)=$X$7)),"x","")</f>
        <v/>
      </c>
      <c r="Y970" s="525" t="str">
        <f>IF(OR(TH!L970=TH!$Y$7,M970=TH!$Y$7),"x","")</f>
        <v/>
      </c>
      <c r="Z970" s="525" t="str">
        <f>IF(AND(B970&lt;=NKC!$N$8,B970&gt;=NKC!$M$8),"x","")</f>
        <v>x</v>
      </c>
      <c r="AA970" s="535"/>
    </row>
    <row r="971" spans="1:28" s="503" customFormat="1" ht="15.75" customHeight="1">
      <c r="A971" s="517">
        <f>IF(B971&lt;&gt;"",IF(AND(B971&gt;=_TM1,B971&lt;=_TM2,OR(TH!L971="1111",TH!M971="1111")),TH!D971,""),"")</f>
        <v>0</v>
      </c>
      <c r="B971" s="531">
        <f t="shared" si="109"/>
        <v>1</v>
      </c>
      <c r="C971" s="315">
        <f t="shared" si="110"/>
        <v>42753</v>
      </c>
      <c r="D971" s="537"/>
      <c r="E971" s="315">
        <v>42753</v>
      </c>
      <c r="F971" s="249" t="s">
        <v>1102</v>
      </c>
      <c r="G971" s="314" t="s">
        <v>489</v>
      </c>
      <c r="H971" s="473" t="s">
        <v>513</v>
      </c>
      <c r="I971" s="307"/>
      <c r="J971" s="307"/>
      <c r="K971" s="532">
        <v>460000</v>
      </c>
      <c r="L971" s="534" t="s">
        <v>45</v>
      </c>
      <c r="M971" s="534" t="s">
        <v>259</v>
      </c>
      <c r="N971" s="525" t="str">
        <f>IF(AND('331-CT'!$E$7=TH!H971,OR(L971="331",M971="331")),"331",IF(AND(OR(L971="131",M971="131"),H971='131-CT'!$E$7),"131",""))</f>
        <v/>
      </c>
      <c r="O971" s="525" t="str">
        <f>IF(AND($B971&gt;='111'!$N$11,$B971&lt;='111'!$O$11,OR($L971=$O$7,$M971=$O$7)),"x","")</f>
        <v/>
      </c>
      <c r="P971" s="525" t="str">
        <f>IF(AND($L971=$O$7,$B971&lt;'111'!$N$11),"x","")</f>
        <v>x</v>
      </c>
      <c r="Q971" s="525" t="str">
        <f>IF(AND($M971=$O$7,$B971&lt;'111'!$N$11),"x","")</f>
        <v/>
      </c>
      <c r="R971" s="525" t="str">
        <f>IF(ISERROR(FIND('112'!$M$9,G971,1)),"",IF((AND(FIND('112'!$M$9,G971,1)&gt;=1,$B971&gt;='112'!$N$8,$B971&lt;='112'!$O$8,OR($L971='112'!$I$6,$M971='112'!$I$6))),"x",""))</f>
        <v/>
      </c>
      <c r="S971" s="525" t="str">
        <f>IF(ISERROR(FIND('112'!$M$9,G971,1)),"",IF((AND(LEFT(G971,2)=LEFT('112'!$M$9,2),B971&lt;'112'!$N$8,$L971='112'!$I$6)),"x",""))</f>
        <v/>
      </c>
      <c r="T971" s="525" t="str">
        <f>IF(ISERROR(FIND('112'!$M$9,G971,1)),"",IF((AND(RIGHT(G971,2)=RIGHT('112'!$M$9,2),B971&lt;'112'!$N$8,$M971='112'!$I$6)),"x",""))</f>
        <v/>
      </c>
      <c r="U971" s="525" t="str">
        <f>IF(AND(B971&gt;='IN-NX'!$P$3,B971&lt;='IN-NX'!$Q$3,'IN-NX'!$D$7=D971,OR(LEFT(L971,2)="15",AND(LEFT(M971,2)&lt;&gt;"15",LEFT(M971,2)&lt;&gt;"33"))),"x","")</f>
        <v/>
      </c>
      <c r="V971" s="525" t="str">
        <f>IF(AND(OR(LEFT(TH!L971,2)="15",LEFT(TH!M971,2)="15"),'152-CT'!$J$8=TH!F971),"x","")</f>
        <v/>
      </c>
      <c r="W971" s="525" t="str">
        <f>IF(AND(OR(LEFT(TH!L971,2)="15",LEFT(TH!M971,2)="15"),TK!$E$7=TH!F971),"x","")</f>
        <v/>
      </c>
      <c r="X971" s="525" t="str">
        <f>IF(AND('341-CT'!$E$9=H971,OR(LEFT(L971,3)=$X$7,LEFT(M971,3)=$X$7)),"x","")</f>
        <v/>
      </c>
      <c r="Y971" s="525" t="str">
        <f>IF(OR(TH!L971=TH!$Y$7,M971=TH!$Y$7),"x","")</f>
        <v/>
      </c>
      <c r="Z971" s="525" t="str">
        <f>IF(AND(B971&lt;=NKC!$N$8,B971&gt;=NKC!$M$8),"x","")</f>
        <v>x</v>
      </c>
      <c r="AA971" s="535"/>
    </row>
    <row r="972" spans="1:28" s="503" customFormat="1" ht="15.75" customHeight="1">
      <c r="A972" s="517" t="str">
        <f>IF(B972&lt;&gt;"",IF(AND(B972&gt;=_TM1,B972&lt;=_TM2,OR(TH!L972="1111",TH!M972="1111")),TH!D972,""),"")</f>
        <v/>
      </c>
      <c r="B972" s="531">
        <f t="shared" si="109"/>
        <v>1</v>
      </c>
      <c r="C972" s="315">
        <f t="shared" si="110"/>
        <v>42754</v>
      </c>
      <c r="D972" s="315" t="s">
        <v>903</v>
      </c>
      <c r="E972" s="315">
        <v>42754</v>
      </c>
      <c r="F972" s="249" t="s">
        <v>503</v>
      </c>
      <c r="G972" s="314" t="s">
        <v>490</v>
      </c>
      <c r="H972" s="473" t="s">
        <v>375</v>
      </c>
      <c r="I972" s="307">
        <v>1995</v>
      </c>
      <c r="J972" s="307">
        <v>8500</v>
      </c>
      <c r="K972" s="532">
        <f>ROUND(I972*J972,0)</f>
        <v>16957500</v>
      </c>
      <c r="L972" s="534" t="s">
        <v>223</v>
      </c>
      <c r="M972" s="534" t="s">
        <v>162</v>
      </c>
      <c r="N972" s="525" t="str">
        <f>IF(AND('331-CT'!$E$7=TH!H972,OR(L972="331",M972="331")),"331",IF(AND(OR(L972="131",M972="131"),H972='131-CT'!$E$7),"131",""))</f>
        <v/>
      </c>
      <c r="O972" s="525" t="str">
        <f>IF(AND($B972&gt;='111'!$N$11,$B972&lt;='111'!$O$11,OR($L972=$O$7,$M972=$O$7)),"x","")</f>
        <v/>
      </c>
      <c r="P972" s="525" t="str">
        <f>IF(AND($L972=$O$7,$B972&lt;'111'!$N$11),"x","")</f>
        <v/>
      </c>
      <c r="Q972" s="525" t="str">
        <f>IF(AND($M972=$O$7,$B972&lt;'111'!$N$11),"x","")</f>
        <v/>
      </c>
      <c r="R972" s="525" t="str">
        <f>IF(ISERROR(FIND('112'!$M$9,G972,1)),"",IF((AND(FIND('112'!$M$9,G972,1)&gt;=1,$B972&gt;='112'!$N$8,$B972&lt;='112'!$O$8,OR($L972='112'!$I$6,$M972='112'!$I$6))),"x",""))</f>
        <v/>
      </c>
      <c r="S972" s="525" t="str">
        <f>IF(ISERROR(FIND('112'!$M$9,G972,1)),"",IF((AND(LEFT(G972,2)=LEFT('112'!$M$9,2),B972&lt;'112'!$N$8,$L972='112'!$I$6)),"x",""))</f>
        <v/>
      </c>
      <c r="T972" s="525" t="str">
        <f>IF(ISERROR(FIND('112'!$M$9,G972,1)),"",IF((AND(RIGHT(G972,2)=RIGHT('112'!$M$9,2),B972&lt;'112'!$N$8,$M972='112'!$I$6)),"x",""))</f>
        <v/>
      </c>
      <c r="U972" s="525" t="str">
        <f>IF(AND(B972&gt;='IN-NX'!$P$3,B972&lt;='IN-NX'!$Q$3,'IN-NX'!$D$7=D972,OR(LEFT(L972,2)="15",AND(LEFT(M972,2)&lt;&gt;"15",LEFT(M972,2)&lt;&gt;"33"))),"x","")</f>
        <v/>
      </c>
      <c r="V972" s="525" t="str">
        <f>IF(AND(OR(LEFT(TH!L972,2)="15",LEFT(TH!M972,2)="15"),'152-CT'!$J$8=TH!F972),"x","")</f>
        <v/>
      </c>
      <c r="W972" s="525" t="str">
        <f>IF(AND(OR(LEFT(TH!L972,2)="15",LEFT(TH!M972,2)="15"),TK!$E$7=TH!F972),"x","")</f>
        <v/>
      </c>
      <c r="X972" s="525" t="str">
        <f>IF(AND('341-CT'!$E$9=H972,OR(LEFT(L972,3)=$X$7,LEFT(M972,3)=$X$7)),"x","")</f>
        <v/>
      </c>
      <c r="Y972" s="525" t="str">
        <f>IF(OR(TH!L972=TH!$Y$7,M972=TH!$Y$7),"x","")</f>
        <v/>
      </c>
      <c r="Z972" s="525" t="str">
        <f>IF(AND(B972&lt;=NKC!$N$8,B972&gt;=NKC!$M$8),"x","")</f>
        <v>x</v>
      </c>
      <c r="AA972" s="535"/>
    </row>
    <row r="973" spans="1:28" s="503" customFormat="1" ht="15.75" customHeight="1">
      <c r="A973" s="517" t="str">
        <f>IF(B973&lt;&gt;"",IF(AND(B973&gt;=_TM1,B973&lt;=_TM2,OR(TH!L973="1111",TH!M973="1111")),TH!D973,""),"")</f>
        <v/>
      </c>
      <c r="B973" s="531">
        <f t="shared" si="109"/>
        <v>1</v>
      </c>
      <c r="C973" s="315">
        <f t="shared" si="110"/>
        <v>42754</v>
      </c>
      <c r="D973" s="315" t="s">
        <v>903</v>
      </c>
      <c r="E973" s="315">
        <v>42754</v>
      </c>
      <c r="F973" s="249" t="s">
        <v>501</v>
      </c>
      <c r="G973" s="314" t="s">
        <v>490</v>
      </c>
      <c r="H973" s="473" t="s">
        <v>375</v>
      </c>
      <c r="I973" s="307"/>
      <c r="J973" s="307"/>
      <c r="K973" s="532">
        <v>1695750</v>
      </c>
      <c r="L973" s="534" t="s">
        <v>223</v>
      </c>
      <c r="M973" s="534" t="s">
        <v>259</v>
      </c>
      <c r="N973" s="525" t="str">
        <f>IF(AND('331-CT'!$E$7=TH!H973,OR(L973="331",M973="331")),"331",IF(AND(OR(L973="131",M973="131"),H973='131-CT'!$E$7),"131",""))</f>
        <v/>
      </c>
      <c r="O973" s="525" t="str">
        <f>IF(AND($B973&gt;='111'!$N$11,$B973&lt;='111'!$O$11,OR($L973=$O$7,$M973=$O$7)),"x","")</f>
        <v/>
      </c>
      <c r="P973" s="525" t="str">
        <f>IF(AND($L973=$O$7,$B973&lt;'111'!$N$11),"x","")</f>
        <v/>
      </c>
      <c r="Q973" s="525" t="str">
        <f>IF(AND($M973=$O$7,$B973&lt;'111'!$N$11),"x","")</f>
        <v/>
      </c>
      <c r="R973" s="525" t="str">
        <f>IF(ISERROR(FIND('112'!$M$9,G973,1)),"",IF((AND(FIND('112'!$M$9,G973,1)&gt;=1,$B973&gt;='112'!$N$8,$B973&lt;='112'!$O$8,OR($L973='112'!$I$6,$M973='112'!$I$6))),"x",""))</f>
        <v/>
      </c>
      <c r="S973" s="525" t="str">
        <f>IF(ISERROR(FIND('112'!$M$9,G973,1)),"",IF((AND(LEFT(G973,2)=LEFT('112'!$M$9,2),B973&lt;'112'!$N$8,$L973='112'!$I$6)),"x",""))</f>
        <v/>
      </c>
      <c r="T973" s="525" t="str">
        <f>IF(ISERROR(FIND('112'!$M$9,G973,1)),"",IF((AND(RIGHT(G973,2)=RIGHT('112'!$M$9,2),B973&lt;'112'!$N$8,$M973='112'!$I$6)),"x",""))</f>
        <v/>
      </c>
      <c r="U973" s="525" t="str">
        <f>IF(AND(B973&gt;='IN-NX'!$P$3,B973&lt;='IN-NX'!$Q$3,'IN-NX'!$D$7=D973,OR(LEFT(L973,2)="15",AND(LEFT(M973,2)&lt;&gt;"15",LEFT(M973,2)&lt;&gt;"33"))),"x","")</f>
        <v/>
      </c>
      <c r="V973" s="525" t="str">
        <f>IF(AND(OR(LEFT(TH!L973,2)="15",LEFT(TH!M973,2)="15"),'152-CT'!$J$8=TH!F973),"x","")</f>
        <v/>
      </c>
      <c r="W973" s="525" t="str">
        <f>IF(AND(OR(LEFT(TH!L973,2)="15",LEFT(TH!M973,2)="15"),TK!$E$7=TH!F973),"x","")</f>
        <v/>
      </c>
      <c r="X973" s="525" t="str">
        <f>IF(AND('341-CT'!$E$9=H973,OR(LEFT(L973,3)=$X$7,LEFT(M973,3)=$X$7)),"x","")</f>
        <v/>
      </c>
      <c r="Y973" s="525" t="str">
        <f>IF(OR(TH!L973=TH!$Y$7,M973=TH!$Y$7),"x","")</f>
        <v/>
      </c>
      <c r="Z973" s="525" t="str">
        <f>IF(AND(B973&lt;=NKC!$N$8,B973&gt;=NKC!$M$8),"x","")</f>
        <v>x</v>
      </c>
      <c r="AA973" s="535"/>
    </row>
    <row r="974" spans="1:28" s="503" customFormat="1" ht="15.75" customHeight="1">
      <c r="A974" s="517" t="str">
        <f>IF(B974&lt;&gt;"",IF(AND(B974&gt;=_TM1,B974&lt;=_TM2,OR(TH!L974="1111",TH!M974="1111")),TH!D974,""),"")</f>
        <v/>
      </c>
      <c r="B974" s="531">
        <f t="shared" si="109"/>
        <v>1</v>
      </c>
      <c r="C974" s="315">
        <f t="shared" si="110"/>
        <v>42755</v>
      </c>
      <c r="D974" s="315" t="s">
        <v>904</v>
      </c>
      <c r="E974" s="315">
        <v>42755</v>
      </c>
      <c r="F974" s="249" t="s">
        <v>504</v>
      </c>
      <c r="G974" s="314" t="s">
        <v>491</v>
      </c>
      <c r="H974" s="473" t="s">
        <v>283</v>
      </c>
      <c r="I974" s="307">
        <v>1700</v>
      </c>
      <c r="J974" s="307">
        <v>35000</v>
      </c>
      <c r="K974" s="532">
        <f>ROUND(I974*J974,0)</f>
        <v>59500000</v>
      </c>
      <c r="L974" s="534" t="s">
        <v>223</v>
      </c>
      <c r="M974" s="534" t="s">
        <v>162</v>
      </c>
      <c r="N974" s="525" t="str">
        <f>IF(AND('331-CT'!$E$7=TH!H974,OR(L974="331",M974="331")),"331",IF(AND(OR(L974="131",M974="131"),H974='131-CT'!$E$7),"131",""))</f>
        <v/>
      </c>
      <c r="O974" s="525" t="str">
        <f>IF(AND($B974&gt;='111'!$N$11,$B974&lt;='111'!$O$11,OR($L974=$O$7,$M974=$O$7)),"x","")</f>
        <v/>
      </c>
      <c r="P974" s="525" t="str">
        <f>IF(AND($L974=$O$7,$B974&lt;'111'!$N$11),"x","")</f>
        <v/>
      </c>
      <c r="Q974" s="525" t="str">
        <f>IF(AND($M974=$O$7,$B974&lt;'111'!$N$11),"x","")</f>
        <v/>
      </c>
      <c r="R974" s="525" t="str">
        <f>IF(ISERROR(FIND('112'!$M$9,G974,1)),"",IF((AND(FIND('112'!$M$9,G974,1)&gt;=1,$B974&gt;='112'!$N$8,$B974&lt;='112'!$O$8,OR($L974='112'!$I$6,$M974='112'!$I$6))),"x",""))</f>
        <v/>
      </c>
      <c r="S974" s="525" t="str">
        <f>IF(ISERROR(FIND('112'!$M$9,G974,1)),"",IF((AND(LEFT(G974,2)=LEFT('112'!$M$9,2),B974&lt;'112'!$N$8,$L974='112'!$I$6)),"x",""))</f>
        <v/>
      </c>
      <c r="T974" s="525" t="str">
        <f>IF(ISERROR(FIND('112'!$M$9,G974,1)),"",IF((AND(RIGHT(G974,2)=RIGHT('112'!$M$9,2),B974&lt;'112'!$N$8,$M974='112'!$I$6)),"x",""))</f>
        <v/>
      </c>
      <c r="U974" s="525" t="str">
        <f>IF(AND(B974&gt;='IN-NX'!$P$3,B974&lt;='IN-NX'!$Q$3,'IN-NX'!$D$7=D974,OR(LEFT(L974,2)="15",AND(LEFT(M974,2)&lt;&gt;"15",LEFT(M974,2)&lt;&gt;"33"))),"x","")</f>
        <v/>
      </c>
      <c r="V974" s="525" t="str">
        <f>IF(AND(OR(LEFT(TH!L974,2)="15",LEFT(TH!M974,2)="15"),'152-CT'!$J$8=TH!F974),"x","")</f>
        <v/>
      </c>
      <c r="W974" s="525" t="str">
        <f>IF(AND(OR(LEFT(TH!L974,2)="15",LEFT(TH!M974,2)="15"),TK!$E$7=TH!F974),"x","")</f>
        <v/>
      </c>
      <c r="X974" s="525" t="str">
        <f>IF(AND('341-CT'!$E$9=H974,OR(LEFT(L974,3)=$X$7,LEFT(M974,3)=$X$7)),"x","")</f>
        <v/>
      </c>
      <c r="Y974" s="525" t="str">
        <f>IF(OR(TH!L974=TH!$Y$7,M974=TH!$Y$7),"x","")</f>
        <v/>
      </c>
      <c r="Z974" s="525" t="str">
        <f>IF(AND(B974&lt;=NKC!$N$8,B974&gt;=NKC!$M$8),"x","")</f>
        <v>x</v>
      </c>
      <c r="AA974" s="535"/>
    </row>
    <row r="975" spans="1:28" s="503" customFormat="1" ht="15.75" customHeight="1">
      <c r="A975" s="517" t="str">
        <f>IF(B975&lt;&gt;"",IF(AND(B975&gt;=_TM1,B975&lt;=_TM2,OR(TH!L975="1111",TH!M975="1111")),TH!D975,""),"")</f>
        <v/>
      </c>
      <c r="B975" s="531">
        <f t="shared" si="109"/>
        <v>1</v>
      </c>
      <c r="C975" s="315">
        <f t="shared" si="110"/>
        <v>42755</v>
      </c>
      <c r="D975" s="315" t="s">
        <v>904</v>
      </c>
      <c r="E975" s="315">
        <v>42755</v>
      </c>
      <c r="F975" s="249" t="s">
        <v>505</v>
      </c>
      <c r="G975" s="314" t="s">
        <v>491</v>
      </c>
      <c r="H975" s="473" t="s">
        <v>283</v>
      </c>
      <c r="I975" s="307">
        <v>1500</v>
      </c>
      <c r="J975" s="307">
        <v>32500</v>
      </c>
      <c r="K975" s="532">
        <f>ROUND(I975*J975,0)</f>
        <v>48750000</v>
      </c>
      <c r="L975" s="534" t="s">
        <v>223</v>
      </c>
      <c r="M975" s="534" t="s">
        <v>162</v>
      </c>
      <c r="N975" s="525" t="str">
        <f>IF(AND('331-CT'!$E$7=TH!H975,OR(L975="331",M975="331")),"331",IF(AND(OR(L975="131",M975="131"),H975='131-CT'!$E$7),"131",""))</f>
        <v/>
      </c>
      <c r="O975" s="525" t="str">
        <f>IF(AND($B975&gt;='111'!$N$11,$B975&lt;='111'!$O$11,OR($L975=$O$7,$M975=$O$7)),"x","")</f>
        <v/>
      </c>
      <c r="P975" s="525" t="str">
        <f>IF(AND($L975=$O$7,$B975&lt;'111'!$N$11),"x","")</f>
        <v/>
      </c>
      <c r="Q975" s="525" t="str">
        <f>IF(AND($M975=$O$7,$B975&lt;'111'!$N$11),"x","")</f>
        <v/>
      </c>
      <c r="R975" s="525" t="str">
        <f>IF(ISERROR(FIND('112'!$M$9,G975,1)),"",IF((AND(FIND('112'!$M$9,G975,1)&gt;=1,$B975&gt;='112'!$N$8,$B975&lt;='112'!$O$8,OR($L975='112'!$I$6,$M975='112'!$I$6))),"x",""))</f>
        <v/>
      </c>
      <c r="S975" s="525" t="str">
        <f>IF(ISERROR(FIND('112'!$M$9,G975,1)),"",IF((AND(LEFT(G975,2)=LEFT('112'!$M$9,2),B975&lt;'112'!$N$8,$L975='112'!$I$6)),"x",""))</f>
        <v/>
      </c>
      <c r="T975" s="525" t="str">
        <f>IF(ISERROR(FIND('112'!$M$9,G975,1)),"",IF((AND(RIGHT(G975,2)=RIGHT('112'!$M$9,2),B975&lt;'112'!$N$8,$M975='112'!$I$6)),"x",""))</f>
        <v/>
      </c>
      <c r="U975" s="525" t="str">
        <f>IF(AND(B975&gt;='IN-NX'!$P$3,B975&lt;='IN-NX'!$Q$3,'IN-NX'!$D$7=D975,OR(LEFT(L975,2)="15",AND(LEFT(M975,2)&lt;&gt;"15",LEFT(M975,2)&lt;&gt;"33"))),"x","")</f>
        <v/>
      </c>
      <c r="V975" s="525" t="str">
        <f>IF(AND(OR(LEFT(TH!L975,2)="15",LEFT(TH!M975,2)="15"),'152-CT'!$J$8=TH!F975),"x","")</f>
        <v/>
      </c>
      <c r="W975" s="525" t="str">
        <f>IF(AND(OR(LEFT(TH!L975,2)="15",LEFT(TH!M975,2)="15"),TK!$E$7=TH!F975),"x","")</f>
        <v/>
      </c>
      <c r="X975" s="525" t="str">
        <f>IF(AND('341-CT'!$E$9=H975,OR(LEFT(L975,3)=$X$7,LEFT(M975,3)=$X$7)),"x","")</f>
        <v/>
      </c>
      <c r="Y975" s="525" t="str">
        <f>IF(OR(TH!L975=TH!$Y$7,M975=TH!$Y$7),"x","")</f>
        <v/>
      </c>
      <c r="Z975" s="525" t="str">
        <f>IF(AND(B975&lt;=NKC!$N$8,B975&gt;=NKC!$M$8),"x","")</f>
        <v>x</v>
      </c>
      <c r="AA975" s="535"/>
    </row>
    <row r="976" spans="1:28" s="503" customFormat="1" ht="15.75" customHeight="1">
      <c r="A976" s="517" t="str">
        <f>IF(B976&lt;&gt;"",IF(AND(B976&gt;=_TM1,B976&lt;=_TM2,OR(TH!L976="1111",TH!M976="1111")),TH!D976,""),"")</f>
        <v/>
      </c>
      <c r="B976" s="531">
        <f t="shared" si="109"/>
        <v>1</v>
      </c>
      <c r="C976" s="315">
        <f t="shared" si="110"/>
        <v>42755</v>
      </c>
      <c r="D976" s="315" t="s">
        <v>904</v>
      </c>
      <c r="E976" s="315">
        <v>42755</v>
      </c>
      <c r="F976" s="249" t="s">
        <v>274</v>
      </c>
      <c r="G976" s="314" t="s">
        <v>491</v>
      </c>
      <c r="H976" s="473" t="s">
        <v>283</v>
      </c>
      <c r="I976" s="307">
        <v>4600</v>
      </c>
      <c r="J976" s="307">
        <v>18500</v>
      </c>
      <c r="K976" s="532">
        <f>ROUND(I976*J976,0)</f>
        <v>85100000</v>
      </c>
      <c r="L976" s="534" t="s">
        <v>223</v>
      </c>
      <c r="M976" s="534" t="s">
        <v>162</v>
      </c>
      <c r="N976" s="525" t="str">
        <f>IF(AND('331-CT'!$E$7=TH!H976,OR(L976="331",M976="331")),"331",IF(AND(OR(L976="131",M976="131"),H976='131-CT'!$E$7),"131",""))</f>
        <v/>
      </c>
      <c r="O976" s="525" t="str">
        <f>IF(AND($B976&gt;='111'!$N$11,$B976&lt;='111'!$O$11,OR($L976=$O$7,$M976=$O$7)),"x","")</f>
        <v/>
      </c>
      <c r="P976" s="525" t="str">
        <f>IF(AND($L976=$O$7,$B976&lt;'111'!$N$11),"x","")</f>
        <v/>
      </c>
      <c r="Q976" s="525" t="str">
        <f>IF(AND($M976=$O$7,$B976&lt;'111'!$N$11),"x","")</f>
        <v/>
      </c>
      <c r="R976" s="525" t="str">
        <f>IF(ISERROR(FIND('112'!$M$9,G976,1)),"",IF((AND(FIND('112'!$M$9,G976,1)&gt;=1,$B976&gt;='112'!$N$8,$B976&lt;='112'!$O$8,OR($L976='112'!$I$6,$M976='112'!$I$6))),"x",""))</f>
        <v/>
      </c>
      <c r="S976" s="525" t="str">
        <f>IF(ISERROR(FIND('112'!$M$9,G976,1)),"",IF((AND(LEFT(G976,2)=LEFT('112'!$M$9,2),B976&lt;'112'!$N$8,$L976='112'!$I$6)),"x",""))</f>
        <v/>
      </c>
      <c r="T976" s="525" t="str">
        <f>IF(ISERROR(FIND('112'!$M$9,G976,1)),"",IF((AND(RIGHT(G976,2)=RIGHT('112'!$M$9,2),B976&lt;'112'!$N$8,$M976='112'!$I$6)),"x",""))</f>
        <v/>
      </c>
      <c r="U976" s="525" t="str">
        <f>IF(AND(B976&gt;='IN-NX'!$P$3,B976&lt;='IN-NX'!$Q$3,'IN-NX'!$D$7=D976,OR(LEFT(L976,2)="15",AND(LEFT(M976,2)&lt;&gt;"15",LEFT(M976,2)&lt;&gt;"33"))),"x","")</f>
        <v/>
      </c>
      <c r="V976" s="525" t="str">
        <f>IF(AND(OR(LEFT(TH!L976,2)="15",LEFT(TH!M976,2)="15"),'152-CT'!$J$8=TH!F976),"x","")</f>
        <v/>
      </c>
      <c r="W976" s="525" t="str">
        <f>IF(AND(OR(LEFT(TH!L976,2)="15",LEFT(TH!M976,2)="15"),TK!$E$7=TH!F976),"x","")</f>
        <v/>
      </c>
      <c r="X976" s="525" t="str">
        <f>IF(AND('341-CT'!$E$9=H976,OR(LEFT(L976,3)=$X$7,LEFT(M976,3)=$X$7)),"x","")</f>
        <v/>
      </c>
      <c r="Y976" s="525" t="str">
        <f>IF(OR(TH!L976=TH!$Y$7,M976=TH!$Y$7),"x","")</f>
        <v/>
      </c>
      <c r="Z976" s="525" t="str">
        <f>IF(AND(B976&lt;=NKC!$N$8,B976&gt;=NKC!$M$8),"x","")</f>
        <v>x</v>
      </c>
      <c r="AA976" s="535"/>
    </row>
    <row r="977" spans="1:30" s="503" customFormat="1" ht="15.75" customHeight="1">
      <c r="A977" s="517" t="str">
        <f>IF(B977&lt;&gt;"",IF(AND(B977&gt;=_TM1,B977&lt;=_TM2,OR(TH!L977="1111",TH!M977="1111")),TH!D977,""),"")</f>
        <v/>
      </c>
      <c r="B977" s="531">
        <f t="shared" si="109"/>
        <v>1</v>
      </c>
      <c r="C977" s="315">
        <f t="shared" si="110"/>
        <v>42755</v>
      </c>
      <c r="D977" s="315" t="s">
        <v>904</v>
      </c>
      <c r="E977" s="315">
        <v>42755</v>
      </c>
      <c r="F977" s="249" t="s">
        <v>273</v>
      </c>
      <c r="G977" s="314" t="s">
        <v>491</v>
      </c>
      <c r="H977" s="473" t="s">
        <v>283</v>
      </c>
      <c r="I977" s="307">
        <v>4500</v>
      </c>
      <c r="J977" s="307">
        <v>18500</v>
      </c>
      <c r="K977" s="532">
        <f>ROUND(I977*J977,0)</f>
        <v>83250000</v>
      </c>
      <c r="L977" s="534" t="s">
        <v>223</v>
      </c>
      <c r="M977" s="534" t="s">
        <v>162</v>
      </c>
      <c r="N977" s="525" t="str">
        <f>IF(AND('331-CT'!$E$7=TH!H977,OR(L977="331",M977="331")),"331",IF(AND(OR(L977="131",M977="131"),H977='131-CT'!$E$7),"131",""))</f>
        <v/>
      </c>
      <c r="O977" s="525" t="str">
        <f>IF(AND($B977&gt;='111'!$N$11,$B977&lt;='111'!$O$11,OR($L977=$O$7,$M977=$O$7)),"x","")</f>
        <v/>
      </c>
      <c r="P977" s="525" t="str">
        <f>IF(AND($L977=$O$7,$B977&lt;'111'!$N$11),"x","")</f>
        <v/>
      </c>
      <c r="Q977" s="525" t="str">
        <f>IF(AND($M977=$O$7,$B977&lt;'111'!$N$11),"x","")</f>
        <v/>
      </c>
      <c r="R977" s="525" t="str">
        <f>IF(ISERROR(FIND('112'!$M$9,G977,1)),"",IF((AND(FIND('112'!$M$9,G977,1)&gt;=1,$B977&gt;='112'!$N$8,$B977&lt;='112'!$O$8,OR($L977='112'!$I$6,$M977='112'!$I$6))),"x",""))</f>
        <v/>
      </c>
      <c r="S977" s="525" t="str">
        <f>IF(ISERROR(FIND('112'!$M$9,G977,1)),"",IF((AND(LEFT(G977,2)=LEFT('112'!$M$9,2),B977&lt;'112'!$N$8,$L977='112'!$I$6)),"x",""))</f>
        <v/>
      </c>
      <c r="T977" s="525" t="str">
        <f>IF(ISERROR(FIND('112'!$M$9,G977,1)),"",IF((AND(RIGHT(G977,2)=RIGHT('112'!$M$9,2),B977&lt;'112'!$N$8,$M977='112'!$I$6)),"x",""))</f>
        <v/>
      </c>
      <c r="U977" s="525" t="str">
        <f>IF(AND(B977&gt;='IN-NX'!$P$3,B977&lt;='IN-NX'!$Q$3,'IN-NX'!$D$7=D977,OR(LEFT(L977,2)="15",AND(LEFT(M977,2)&lt;&gt;"15",LEFT(M977,2)&lt;&gt;"33"))),"x","")</f>
        <v/>
      </c>
      <c r="V977" s="525" t="str">
        <f>IF(AND(OR(LEFT(TH!L977,2)="15",LEFT(TH!M977,2)="15"),'152-CT'!$J$8=TH!F977),"x","")</f>
        <v/>
      </c>
      <c r="W977" s="525" t="str">
        <f>IF(AND(OR(LEFT(TH!L977,2)="15",LEFT(TH!M977,2)="15"),TK!$E$7=TH!F977),"x","")</f>
        <v/>
      </c>
      <c r="X977" s="525" t="str">
        <f>IF(AND('341-CT'!$E$9=H977,OR(LEFT(L977,3)=$X$7,LEFT(M977,3)=$X$7)),"x","")</f>
        <v/>
      </c>
      <c r="Y977" s="525" t="str">
        <f>IF(OR(TH!L977=TH!$Y$7,M977=TH!$Y$7),"x","")</f>
        <v/>
      </c>
      <c r="Z977" s="525" t="str">
        <f>IF(AND(B977&lt;=NKC!$N$8,B977&gt;=NKC!$M$8),"x","")</f>
        <v>x</v>
      </c>
      <c r="AA977" s="535"/>
    </row>
    <row r="978" spans="1:30" s="503" customFormat="1" ht="15.75" customHeight="1">
      <c r="A978" s="517" t="str">
        <f>IF(B978&lt;&gt;"",IF(AND(B978&gt;=_TM1,B978&lt;=_TM2,OR(TH!L978="1111",TH!M978="1111")),TH!D978,""),"")</f>
        <v/>
      </c>
      <c r="B978" s="531">
        <f t="shared" si="109"/>
        <v>1</v>
      </c>
      <c r="C978" s="315">
        <f t="shared" si="110"/>
        <v>42755</v>
      </c>
      <c r="D978" s="315" t="s">
        <v>904</v>
      </c>
      <c r="E978" s="315">
        <v>42755</v>
      </c>
      <c r="F978" s="249" t="s">
        <v>494</v>
      </c>
      <c r="G978" s="314" t="s">
        <v>491</v>
      </c>
      <c r="H978" s="473" t="s">
        <v>283</v>
      </c>
      <c r="I978" s="307"/>
      <c r="J978" s="307"/>
      <c r="K978" s="532">
        <v>27660000</v>
      </c>
      <c r="L978" s="534" t="s">
        <v>223</v>
      </c>
      <c r="M978" s="534" t="s">
        <v>259</v>
      </c>
      <c r="N978" s="525" t="str">
        <f>IF(AND('331-CT'!$E$7=TH!H978,OR(L978="331",M978="331")),"331",IF(AND(OR(L978="131",M978="131"),H978='131-CT'!$E$7),"131",""))</f>
        <v/>
      </c>
      <c r="O978" s="525" t="str">
        <f>IF(AND($B978&gt;='111'!$N$11,$B978&lt;='111'!$O$11,OR($L978=$O$7,$M978=$O$7)),"x","")</f>
        <v/>
      </c>
      <c r="P978" s="525" t="str">
        <f>IF(AND($L978=$O$7,$B978&lt;'111'!$N$11),"x","")</f>
        <v/>
      </c>
      <c r="Q978" s="525" t="str">
        <f>IF(AND($M978=$O$7,$B978&lt;'111'!$N$11),"x","")</f>
        <v/>
      </c>
      <c r="R978" s="525" t="str">
        <f>IF(ISERROR(FIND('112'!$M$9,G978,1)),"",IF((AND(FIND('112'!$M$9,G978,1)&gt;=1,$B978&gt;='112'!$N$8,$B978&lt;='112'!$O$8,OR($L978='112'!$I$6,$M978='112'!$I$6))),"x",""))</f>
        <v/>
      </c>
      <c r="S978" s="525" t="str">
        <f>IF(ISERROR(FIND('112'!$M$9,G978,1)),"",IF((AND(LEFT(G978,2)=LEFT('112'!$M$9,2),B978&lt;'112'!$N$8,$L978='112'!$I$6)),"x",""))</f>
        <v/>
      </c>
      <c r="T978" s="525" t="str">
        <f>IF(ISERROR(FIND('112'!$M$9,G978,1)),"",IF((AND(RIGHT(G978,2)=RIGHT('112'!$M$9,2),B978&lt;'112'!$N$8,$M978='112'!$I$6)),"x",""))</f>
        <v/>
      </c>
      <c r="U978" s="525" t="str">
        <f>IF(AND(B978&gt;='IN-NX'!$P$3,B978&lt;='IN-NX'!$Q$3,'IN-NX'!$D$7=D978,OR(LEFT(L978,2)="15",AND(LEFT(M978,2)&lt;&gt;"15",LEFT(M978,2)&lt;&gt;"33"))),"x","")</f>
        <v/>
      </c>
      <c r="V978" s="525" t="str">
        <f>IF(AND(OR(LEFT(TH!L978,2)="15",LEFT(TH!M978,2)="15"),'152-CT'!$J$8=TH!F978),"x","")</f>
        <v/>
      </c>
      <c r="W978" s="525" t="str">
        <f>IF(AND(OR(LEFT(TH!L978,2)="15",LEFT(TH!M978,2)="15"),TK!$E$7=TH!F978),"x","")</f>
        <v/>
      </c>
      <c r="X978" s="525" t="str">
        <f>IF(AND('341-CT'!$E$9=H978,OR(LEFT(L978,3)=$X$7,LEFT(M978,3)=$X$7)),"x","")</f>
        <v/>
      </c>
      <c r="Y978" s="525" t="str">
        <f>IF(OR(TH!L978=TH!$Y$7,M978=TH!$Y$7),"x","")</f>
        <v/>
      </c>
      <c r="Z978" s="525" t="str">
        <f>IF(AND(B978&lt;=NKC!$N$8,B978&gt;=NKC!$M$8),"x","")</f>
        <v>x</v>
      </c>
      <c r="AA978" s="535"/>
    </row>
    <row r="979" spans="1:30" s="503" customFormat="1" ht="15.75" customHeight="1">
      <c r="A979" s="517" t="str">
        <f>IF(B979&lt;&gt;"",IF(AND(B979&gt;=_TM1,B979&lt;=_TM2,OR(TH!L979="1111",TH!M979="1111")),TH!D979,""),"")</f>
        <v/>
      </c>
      <c r="B979" s="531">
        <f t="shared" si="109"/>
        <v>1</v>
      </c>
      <c r="C979" s="315">
        <f t="shared" si="110"/>
        <v>42755</v>
      </c>
      <c r="D979" s="315" t="s">
        <v>905</v>
      </c>
      <c r="E979" s="315">
        <v>42755</v>
      </c>
      <c r="F979" s="249" t="s">
        <v>506</v>
      </c>
      <c r="G979" s="314" t="s">
        <v>492</v>
      </c>
      <c r="H979" s="472" t="s">
        <v>512</v>
      </c>
      <c r="I979" s="307">
        <v>300</v>
      </c>
      <c r="J979" s="307">
        <v>10000</v>
      </c>
      <c r="K979" s="532">
        <f>ROUND(I979*J979,0)</f>
        <v>3000000</v>
      </c>
      <c r="L979" s="534" t="s">
        <v>223</v>
      </c>
      <c r="M979" s="534" t="s">
        <v>162</v>
      </c>
      <c r="N979" s="525" t="str">
        <f>IF(AND('331-CT'!$E$7=TH!H979,OR(L979="331",M979="331")),"331",IF(AND(OR(L979="131",M979="131"),H979='131-CT'!$E$7),"131",""))</f>
        <v/>
      </c>
      <c r="O979" s="525" t="str">
        <f>IF(AND($B979&gt;='111'!$N$11,$B979&lt;='111'!$O$11,OR($L979=$O$7,$M979=$O$7)),"x","")</f>
        <v/>
      </c>
      <c r="P979" s="525" t="str">
        <f>IF(AND($L979=$O$7,$B979&lt;'111'!$N$11),"x","")</f>
        <v/>
      </c>
      <c r="Q979" s="525" t="str">
        <f>IF(AND($M979=$O$7,$B979&lt;'111'!$N$11),"x","")</f>
        <v/>
      </c>
      <c r="R979" s="525" t="str">
        <f>IF(ISERROR(FIND('112'!$M$9,G979,1)),"",IF((AND(FIND('112'!$M$9,G979,1)&gt;=1,$B979&gt;='112'!$N$8,$B979&lt;='112'!$O$8,OR($L979='112'!$I$6,$M979='112'!$I$6))),"x",""))</f>
        <v/>
      </c>
      <c r="S979" s="525" t="str">
        <f>IF(ISERROR(FIND('112'!$M$9,G979,1)),"",IF((AND(LEFT(G979,2)=LEFT('112'!$M$9,2),B979&lt;'112'!$N$8,$L979='112'!$I$6)),"x",""))</f>
        <v/>
      </c>
      <c r="T979" s="525" t="str">
        <f>IF(ISERROR(FIND('112'!$M$9,G979,1)),"",IF((AND(RIGHT(G979,2)=RIGHT('112'!$M$9,2),B979&lt;'112'!$N$8,$M979='112'!$I$6)),"x",""))</f>
        <v/>
      </c>
      <c r="U979" s="525" t="str">
        <f>IF(AND(B979&gt;='IN-NX'!$P$3,B979&lt;='IN-NX'!$Q$3,'IN-NX'!$D$7=D979,OR(LEFT(L979,2)="15",AND(LEFT(M979,2)&lt;&gt;"15",LEFT(M979,2)&lt;&gt;"33"))),"x","")</f>
        <v/>
      </c>
      <c r="V979" s="525" t="str">
        <f>IF(AND(OR(LEFT(TH!L979,2)="15",LEFT(TH!M979,2)="15"),'152-CT'!$J$8=TH!F979),"x","")</f>
        <v/>
      </c>
      <c r="W979" s="525" t="str">
        <f>IF(AND(OR(LEFT(TH!L979,2)="15",LEFT(TH!M979,2)="15"),TK!$E$7=TH!F979),"x","")</f>
        <v/>
      </c>
      <c r="X979" s="525" t="str">
        <f>IF(AND('341-CT'!$E$9=H979,OR(LEFT(L979,3)=$X$7,LEFT(M979,3)=$X$7)),"x","")</f>
        <v/>
      </c>
      <c r="Y979" s="525" t="str">
        <f>IF(OR(TH!L979=TH!$Y$7,M979=TH!$Y$7),"x","")</f>
        <v/>
      </c>
      <c r="Z979" s="525" t="str">
        <f>IF(AND(B979&lt;=NKC!$N$8,B979&gt;=NKC!$M$8),"x","")</f>
        <v>x</v>
      </c>
      <c r="AA979" s="535"/>
    </row>
    <row r="980" spans="1:30" s="503" customFormat="1" ht="15.75" customHeight="1">
      <c r="A980" s="517" t="str">
        <f>IF(B980&lt;&gt;"",IF(AND(B980&gt;=_TM1,B980&lt;=_TM2,OR(TH!L980="1111",TH!M980="1111")),TH!D980,""),"")</f>
        <v/>
      </c>
      <c r="B980" s="531">
        <f t="shared" si="109"/>
        <v>1</v>
      </c>
      <c r="C980" s="315">
        <f t="shared" si="110"/>
        <v>42755</v>
      </c>
      <c r="D980" s="315" t="s">
        <v>905</v>
      </c>
      <c r="E980" s="315">
        <v>42755</v>
      </c>
      <c r="F980" s="249" t="s">
        <v>494</v>
      </c>
      <c r="G980" s="314" t="s">
        <v>492</v>
      </c>
      <c r="H980" s="472" t="s">
        <v>512</v>
      </c>
      <c r="I980" s="307"/>
      <c r="J980" s="307"/>
      <c r="K980" s="532">
        <v>300000</v>
      </c>
      <c r="L980" s="534" t="s">
        <v>223</v>
      </c>
      <c r="M980" s="534" t="s">
        <v>259</v>
      </c>
      <c r="N980" s="525" t="str">
        <f>IF(AND('331-CT'!$E$7=TH!H980,OR(L980="331",M980="331")),"331",IF(AND(OR(L980="131",M980="131"),H980='131-CT'!$E$7),"131",""))</f>
        <v/>
      </c>
      <c r="O980" s="525" t="str">
        <f>IF(AND($B980&gt;='111'!$N$11,$B980&lt;='111'!$O$11,OR($L980=$O$7,$M980=$O$7)),"x","")</f>
        <v/>
      </c>
      <c r="P980" s="525" t="str">
        <f>IF(AND($L980=$O$7,$B980&lt;'111'!$N$11),"x","")</f>
        <v/>
      </c>
      <c r="Q980" s="525" t="str">
        <f>IF(AND($M980=$O$7,$B980&lt;'111'!$N$11),"x","")</f>
        <v/>
      </c>
      <c r="R980" s="525" t="str">
        <f>IF(ISERROR(FIND('112'!$M$9,G980,1)),"",IF((AND(FIND('112'!$M$9,G980,1)&gt;=1,$B980&gt;='112'!$N$8,$B980&lt;='112'!$O$8,OR($L980='112'!$I$6,$M980='112'!$I$6))),"x",""))</f>
        <v/>
      </c>
      <c r="S980" s="525" t="str">
        <f>IF(ISERROR(FIND('112'!$M$9,G980,1)),"",IF((AND(LEFT(G980,2)=LEFT('112'!$M$9,2),B980&lt;'112'!$N$8,$L980='112'!$I$6)),"x",""))</f>
        <v/>
      </c>
      <c r="T980" s="525" t="str">
        <f>IF(ISERROR(FIND('112'!$M$9,G980,1)),"",IF((AND(RIGHT(G980,2)=RIGHT('112'!$M$9,2),B980&lt;'112'!$N$8,$M980='112'!$I$6)),"x",""))</f>
        <v/>
      </c>
      <c r="U980" s="525" t="str">
        <f>IF(AND(B980&gt;='IN-NX'!$P$3,B980&lt;='IN-NX'!$Q$3,'IN-NX'!$D$7=D980,OR(LEFT(L980,2)="15",AND(LEFT(M980,2)&lt;&gt;"15",LEFT(M980,2)&lt;&gt;"33"))),"x","")</f>
        <v/>
      </c>
      <c r="V980" s="525" t="str">
        <f>IF(AND(OR(LEFT(TH!L980,2)="15",LEFT(TH!M980,2)="15"),'152-CT'!$J$8=TH!F980),"x","")</f>
        <v/>
      </c>
      <c r="W980" s="525" t="str">
        <f>IF(AND(OR(LEFT(TH!L980,2)="15",LEFT(TH!M980,2)="15"),TK!$E$7=TH!F980),"x","")</f>
        <v/>
      </c>
      <c r="X980" s="525" t="str">
        <f>IF(AND('341-CT'!$E$9=H980,OR(LEFT(L980,3)=$X$7,LEFT(M980,3)=$X$7)),"x","")</f>
        <v/>
      </c>
      <c r="Y980" s="525" t="str">
        <f>IF(OR(TH!L980=TH!$Y$7,M980=TH!$Y$7),"x","")</f>
        <v/>
      </c>
      <c r="Z980" s="525" t="str">
        <f>IF(AND(B980&lt;=NKC!$N$8,B980&gt;=NKC!$M$8),"x","")</f>
        <v>x</v>
      </c>
      <c r="AA980" s="535"/>
      <c r="AB980" s="536"/>
    </row>
    <row r="981" spans="1:30" s="503" customFormat="1" ht="15.75" customHeight="1">
      <c r="A981" s="517" t="str">
        <f>IF(B981&lt;&gt;"",IF(AND(B981&gt;=_TM1,B981&lt;=_TM2,OR(TH!L981="1111",TH!M981="1111")),TH!D981,""),"")</f>
        <v/>
      </c>
      <c r="B981" s="531">
        <f t="shared" si="109"/>
        <v>1</v>
      </c>
      <c r="C981" s="315">
        <f t="shared" si="110"/>
        <v>42756</v>
      </c>
      <c r="D981" s="315" t="s">
        <v>906</v>
      </c>
      <c r="E981" s="315">
        <v>42756</v>
      </c>
      <c r="F981" s="249" t="s">
        <v>503</v>
      </c>
      <c r="G981" s="314" t="s">
        <v>507</v>
      </c>
      <c r="H981" s="473" t="s">
        <v>375</v>
      </c>
      <c r="I981" s="307">
        <v>1800</v>
      </c>
      <c r="J981" s="307">
        <v>8500</v>
      </c>
      <c r="K981" s="532">
        <f>ROUND(I981*J981,0)</f>
        <v>15300000</v>
      </c>
      <c r="L981" s="534" t="s">
        <v>223</v>
      </c>
      <c r="M981" s="534" t="s">
        <v>162</v>
      </c>
      <c r="N981" s="525" t="str">
        <f>IF(AND('331-CT'!$E$7=TH!H981,OR(L981="331",M981="331")),"331",IF(AND(OR(L981="131",M981="131"),H981='131-CT'!$E$7),"131",""))</f>
        <v/>
      </c>
      <c r="O981" s="525" t="str">
        <f>IF(AND($B981&gt;='111'!$N$11,$B981&lt;='111'!$O$11,OR($L981=$O$7,$M981=$O$7)),"x","")</f>
        <v/>
      </c>
      <c r="P981" s="525" t="str">
        <f>IF(AND($L981=$O$7,$B981&lt;'111'!$N$11),"x","")</f>
        <v/>
      </c>
      <c r="Q981" s="525" t="str">
        <f>IF(AND($M981=$O$7,$B981&lt;'111'!$N$11),"x","")</f>
        <v/>
      </c>
      <c r="R981" s="525" t="str">
        <f>IF(ISERROR(FIND('112'!$M$9,G981,1)),"",IF((AND(FIND('112'!$M$9,G981,1)&gt;=1,$B981&gt;='112'!$N$8,$B981&lt;='112'!$O$8,OR($L981='112'!$I$6,$M981='112'!$I$6))),"x",""))</f>
        <v/>
      </c>
      <c r="S981" s="525" t="str">
        <f>IF(ISERROR(FIND('112'!$M$9,G981,1)),"",IF((AND(LEFT(G981,2)=LEFT('112'!$M$9,2),B981&lt;'112'!$N$8,$L981='112'!$I$6)),"x",""))</f>
        <v/>
      </c>
      <c r="T981" s="525" t="str">
        <f>IF(ISERROR(FIND('112'!$M$9,G981,1)),"",IF((AND(RIGHT(G981,2)=RIGHT('112'!$M$9,2),B981&lt;'112'!$N$8,$M981='112'!$I$6)),"x",""))</f>
        <v/>
      </c>
      <c r="U981" s="525" t="str">
        <f>IF(AND(B981&gt;='IN-NX'!$P$3,B981&lt;='IN-NX'!$Q$3,'IN-NX'!$D$7=D981,OR(LEFT(L981,2)="15",AND(LEFT(M981,2)&lt;&gt;"15",LEFT(M981,2)&lt;&gt;"33"))),"x","")</f>
        <v/>
      </c>
      <c r="V981" s="525" t="str">
        <f>IF(AND(OR(LEFT(TH!L981,2)="15",LEFT(TH!M981,2)="15"),'152-CT'!$J$8=TH!F981),"x","")</f>
        <v/>
      </c>
      <c r="W981" s="525" t="str">
        <f>IF(AND(OR(LEFT(TH!L981,2)="15",LEFT(TH!M981,2)="15"),TK!$E$7=TH!F981),"x","")</f>
        <v/>
      </c>
      <c r="X981" s="525" t="str">
        <f>IF(AND('341-CT'!$E$9=H981,OR(LEFT(L981,3)=$X$7,LEFT(M981,3)=$X$7)),"x","")</f>
        <v/>
      </c>
      <c r="Y981" s="525" t="str">
        <f>IF(OR(TH!L981=TH!$Y$7,M981=TH!$Y$7),"x","")</f>
        <v/>
      </c>
      <c r="Z981" s="525" t="str">
        <f>IF(AND(B981&lt;=NKC!$N$8,B981&gt;=NKC!$M$8),"x","")</f>
        <v>x</v>
      </c>
      <c r="AA981" s="535"/>
    </row>
    <row r="982" spans="1:30" s="503" customFormat="1" ht="15.75" customHeight="1">
      <c r="A982" s="517" t="str">
        <f>IF(B982&lt;&gt;"",IF(AND(B982&gt;=_TM1,B982&lt;=_TM2,OR(TH!L982="1111",TH!M982="1111")),TH!D982,""),"")</f>
        <v/>
      </c>
      <c r="B982" s="531">
        <f t="shared" si="109"/>
        <v>1</v>
      </c>
      <c r="C982" s="315">
        <f t="shared" si="110"/>
        <v>42756</v>
      </c>
      <c r="D982" s="315" t="s">
        <v>906</v>
      </c>
      <c r="E982" s="315">
        <v>42756</v>
      </c>
      <c r="F982" s="249" t="s">
        <v>501</v>
      </c>
      <c r="G982" s="314" t="s">
        <v>507</v>
      </c>
      <c r="H982" s="473" t="s">
        <v>375</v>
      </c>
      <c r="I982" s="307"/>
      <c r="J982" s="307"/>
      <c r="K982" s="532">
        <v>1530000</v>
      </c>
      <c r="L982" s="534" t="s">
        <v>223</v>
      </c>
      <c r="M982" s="534" t="s">
        <v>259</v>
      </c>
      <c r="N982" s="525" t="str">
        <f>IF(AND('331-CT'!$E$7=TH!H982,OR(L982="331",M982="331")),"331",IF(AND(OR(L982="131",M982="131"),H982='131-CT'!$E$7),"131",""))</f>
        <v/>
      </c>
      <c r="O982" s="525" t="str">
        <f>IF(AND($B982&gt;='111'!$N$11,$B982&lt;='111'!$O$11,OR($L982=$O$7,$M982=$O$7)),"x","")</f>
        <v/>
      </c>
      <c r="P982" s="525" t="str">
        <f>IF(AND($L982=$O$7,$B982&lt;'111'!$N$11),"x","")</f>
        <v/>
      </c>
      <c r="Q982" s="525" t="str">
        <f>IF(AND($M982=$O$7,$B982&lt;'111'!$N$11),"x","")</f>
        <v/>
      </c>
      <c r="R982" s="525" t="str">
        <f>IF(ISERROR(FIND('112'!$M$9,G982,1)),"",IF((AND(FIND('112'!$M$9,G982,1)&gt;=1,$B982&gt;='112'!$N$8,$B982&lt;='112'!$O$8,OR($L982='112'!$I$6,$M982='112'!$I$6))),"x",""))</f>
        <v/>
      </c>
      <c r="S982" s="525" t="str">
        <f>IF(ISERROR(FIND('112'!$M$9,G982,1)),"",IF((AND(LEFT(G982,2)=LEFT('112'!$M$9,2),B982&lt;'112'!$N$8,$L982='112'!$I$6)),"x",""))</f>
        <v/>
      </c>
      <c r="T982" s="525" t="str">
        <f>IF(ISERROR(FIND('112'!$M$9,G982,1)),"",IF((AND(RIGHT(G982,2)=RIGHT('112'!$M$9,2),B982&lt;'112'!$N$8,$M982='112'!$I$6)),"x",""))</f>
        <v/>
      </c>
      <c r="U982" s="525" t="str">
        <f>IF(AND(B982&gt;='IN-NX'!$P$3,B982&lt;='IN-NX'!$Q$3,'IN-NX'!$D$7=D982,OR(LEFT(L982,2)="15",AND(LEFT(M982,2)&lt;&gt;"15",LEFT(M982,2)&lt;&gt;"33"))),"x","")</f>
        <v/>
      </c>
      <c r="V982" s="525" t="str">
        <f>IF(AND(OR(LEFT(TH!L982,2)="15",LEFT(TH!M982,2)="15"),'152-CT'!$J$8=TH!F982),"x","")</f>
        <v/>
      </c>
      <c r="W982" s="525" t="str">
        <f>IF(AND(OR(LEFT(TH!L982,2)="15",LEFT(TH!M982,2)="15"),TK!$E$7=TH!F982),"x","")</f>
        <v/>
      </c>
      <c r="X982" s="525" t="str">
        <f>IF(AND('341-CT'!$E$9=H982,OR(LEFT(L982,3)=$X$7,LEFT(M982,3)=$X$7)),"x","")</f>
        <v/>
      </c>
      <c r="Y982" s="525" t="str">
        <f>IF(OR(TH!L982=TH!$Y$7,M982=TH!$Y$7),"x","")</f>
        <v/>
      </c>
      <c r="Z982" s="525" t="str">
        <f>IF(AND(B982&lt;=NKC!$N$8,B982&gt;=NKC!$M$8),"x","")</f>
        <v>x</v>
      </c>
      <c r="AA982" s="535"/>
      <c r="AB982" s="536"/>
    </row>
    <row r="983" spans="1:30" s="503" customFormat="1" ht="15.75" customHeight="1">
      <c r="A983" s="517" t="str">
        <f>IF(B983&lt;&gt;"",IF(AND(B983&gt;=_TM1,B983&lt;=_TM2,OR(TH!L983="1111",TH!M983="1111")),TH!D983,""),"")</f>
        <v/>
      </c>
      <c r="B983" s="531">
        <f t="shared" si="109"/>
        <v>1</v>
      </c>
      <c r="C983" s="315">
        <f t="shared" si="110"/>
        <v>42758</v>
      </c>
      <c r="D983" s="315" t="s">
        <v>907</v>
      </c>
      <c r="E983" s="315">
        <v>42758</v>
      </c>
      <c r="F983" s="249" t="s">
        <v>503</v>
      </c>
      <c r="G983" s="314" t="s">
        <v>508</v>
      </c>
      <c r="H983" s="473" t="s">
        <v>375</v>
      </c>
      <c r="I983" s="307">
        <v>2005</v>
      </c>
      <c r="J983" s="307">
        <v>8500</v>
      </c>
      <c r="K983" s="532">
        <f>ROUND(I983*J983,0)</f>
        <v>17042500</v>
      </c>
      <c r="L983" s="534" t="s">
        <v>223</v>
      </c>
      <c r="M983" s="534" t="s">
        <v>162</v>
      </c>
      <c r="N983" s="525" t="str">
        <f>IF(AND('331-CT'!$E$7=TH!H983,OR(L983="331",M983="331")),"331",IF(AND(OR(L983="131",M983="131"),H983='131-CT'!$E$7),"131",""))</f>
        <v/>
      </c>
      <c r="O983" s="525" t="str">
        <f>IF(AND($B983&gt;='111'!$N$11,$B983&lt;='111'!$O$11,OR($L983=$O$7,$M983=$O$7)),"x","")</f>
        <v/>
      </c>
      <c r="P983" s="525" t="str">
        <f>IF(AND($L983=$O$7,$B983&lt;'111'!$N$11),"x","")</f>
        <v/>
      </c>
      <c r="Q983" s="525" t="str">
        <f>IF(AND($M983=$O$7,$B983&lt;'111'!$N$11),"x","")</f>
        <v/>
      </c>
      <c r="R983" s="525" t="str">
        <f>IF(ISERROR(FIND('112'!$M$9,G983,1)),"",IF((AND(FIND('112'!$M$9,G983,1)&gt;=1,$B983&gt;='112'!$N$8,$B983&lt;='112'!$O$8,OR($L983='112'!$I$6,$M983='112'!$I$6))),"x",""))</f>
        <v/>
      </c>
      <c r="S983" s="525" t="str">
        <f>IF(ISERROR(FIND('112'!$M$9,G983,1)),"",IF((AND(LEFT(G983,2)=LEFT('112'!$M$9,2),B983&lt;'112'!$N$8,$L983='112'!$I$6)),"x",""))</f>
        <v/>
      </c>
      <c r="T983" s="525" t="str">
        <f>IF(ISERROR(FIND('112'!$M$9,G983,1)),"",IF((AND(RIGHT(G983,2)=RIGHT('112'!$M$9,2),B983&lt;'112'!$N$8,$M983='112'!$I$6)),"x",""))</f>
        <v/>
      </c>
      <c r="U983" s="525" t="str">
        <f>IF(AND(B983&gt;='IN-NX'!$P$3,B983&lt;='IN-NX'!$Q$3,'IN-NX'!$D$7=D983,OR(LEFT(L983,2)="15",AND(LEFT(M983,2)&lt;&gt;"15",LEFT(M983,2)&lt;&gt;"33"))),"x","")</f>
        <v/>
      </c>
      <c r="V983" s="525" t="str">
        <f>IF(AND(OR(LEFT(TH!L983,2)="15",LEFT(TH!M983,2)="15"),'152-CT'!$J$8=TH!F983),"x","")</f>
        <v/>
      </c>
      <c r="W983" s="525" t="str">
        <f>IF(AND(OR(LEFT(TH!L983,2)="15",LEFT(TH!M983,2)="15"),TK!$E$7=TH!F983),"x","")</f>
        <v/>
      </c>
      <c r="X983" s="525" t="str">
        <f>IF(AND('341-CT'!$E$9=H983,OR(LEFT(L983,3)=$X$7,LEFT(M983,3)=$X$7)),"x","")</f>
        <v/>
      </c>
      <c r="Y983" s="525" t="str">
        <f>IF(OR(TH!L983=TH!$Y$7,M983=TH!$Y$7),"x","")</f>
        <v/>
      </c>
      <c r="Z983" s="525" t="str">
        <f>IF(AND(B983&lt;=NKC!$N$8,B983&gt;=NKC!$M$8),"x","")</f>
        <v>x</v>
      </c>
      <c r="AA983" s="535"/>
    </row>
    <row r="984" spans="1:30" s="503" customFormat="1" ht="15.75" customHeight="1">
      <c r="A984" s="517" t="str">
        <f>IF(B984&lt;&gt;"",IF(AND(B984&gt;=_TM1,B984&lt;=_TM2,OR(TH!L984="1111",TH!M984="1111")),TH!D984,""),"")</f>
        <v/>
      </c>
      <c r="B984" s="531">
        <f t="shared" si="109"/>
        <v>1</v>
      </c>
      <c r="C984" s="315">
        <f t="shared" si="110"/>
        <v>42758</v>
      </c>
      <c r="D984" s="315" t="s">
        <v>907</v>
      </c>
      <c r="E984" s="315">
        <v>42758</v>
      </c>
      <c r="F984" s="249" t="s">
        <v>501</v>
      </c>
      <c r="G984" s="314" t="s">
        <v>508</v>
      </c>
      <c r="H984" s="473" t="s">
        <v>375</v>
      </c>
      <c r="I984" s="307"/>
      <c r="J984" s="307"/>
      <c r="K984" s="532">
        <v>1704250</v>
      </c>
      <c r="L984" s="534" t="s">
        <v>223</v>
      </c>
      <c r="M984" s="534" t="s">
        <v>259</v>
      </c>
      <c r="N984" s="525" t="str">
        <f>IF(AND('331-CT'!$E$7=TH!H984,OR(L984="331",M984="331")),"331",IF(AND(OR(L984="131",M984="131"),H984='131-CT'!$E$7),"131",""))</f>
        <v/>
      </c>
      <c r="O984" s="525" t="str">
        <f>IF(AND($B984&gt;='111'!$N$11,$B984&lt;='111'!$O$11,OR($L984=$O$7,$M984=$O$7)),"x","")</f>
        <v/>
      </c>
      <c r="P984" s="525" t="str">
        <f>IF(AND($L984=$O$7,$B984&lt;'111'!$N$11),"x","")</f>
        <v/>
      </c>
      <c r="Q984" s="525" t="str">
        <f>IF(AND($M984=$O$7,$B984&lt;'111'!$N$11),"x","")</f>
        <v/>
      </c>
      <c r="R984" s="525" t="str">
        <f>IF(ISERROR(FIND('112'!$M$9,G984,1)),"",IF((AND(FIND('112'!$M$9,G984,1)&gt;=1,$B984&gt;='112'!$N$8,$B984&lt;='112'!$O$8,OR($L984='112'!$I$6,$M984='112'!$I$6))),"x",""))</f>
        <v/>
      </c>
      <c r="S984" s="525" t="str">
        <f>IF(ISERROR(FIND('112'!$M$9,G984,1)),"",IF((AND(LEFT(G984,2)=LEFT('112'!$M$9,2),B984&lt;'112'!$N$8,$L984='112'!$I$6)),"x",""))</f>
        <v/>
      </c>
      <c r="T984" s="525" t="str">
        <f>IF(ISERROR(FIND('112'!$M$9,G984,1)),"",IF((AND(RIGHT(G984,2)=RIGHT('112'!$M$9,2),B984&lt;'112'!$N$8,$M984='112'!$I$6)),"x",""))</f>
        <v/>
      </c>
      <c r="U984" s="525" t="str">
        <f>IF(AND(B984&gt;='IN-NX'!$P$3,B984&lt;='IN-NX'!$Q$3,'IN-NX'!$D$7=D984,OR(LEFT(L984,2)="15",AND(LEFT(M984,2)&lt;&gt;"15",LEFT(M984,2)&lt;&gt;"33"))),"x","")</f>
        <v/>
      </c>
      <c r="V984" s="525" t="str">
        <f>IF(AND(OR(LEFT(TH!L984,2)="15",LEFT(TH!M984,2)="15"),'152-CT'!$J$8=TH!F984),"x","")</f>
        <v/>
      </c>
      <c r="W984" s="525" t="str">
        <f>IF(AND(OR(LEFT(TH!L984,2)="15",LEFT(TH!M984,2)="15"),TK!$E$7=TH!F984),"x","")</f>
        <v/>
      </c>
      <c r="X984" s="525" t="str">
        <f>IF(AND('341-CT'!$E$9=H984,OR(LEFT(L984,3)=$X$7,LEFT(M984,3)=$X$7)),"x","")</f>
        <v/>
      </c>
      <c r="Y984" s="525" t="str">
        <f>IF(OR(TH!L984=TH!$Y$7,M984=TH!$Y$7),"x","")</f>
        <v/>
      </c>
      <c r="Z984" s="525" t="str">
        <f>IF(AND(B984&lt;=NKC!$N$8,B984&gt;=NKC!$M$8),"x","")</f>
        <v>x</v>
      </c>
      <c r="AA984" s="535"/>
      <c r="AB984" s="536"/>
    </row>
    <row r="985" spans="1:30" s="503" customFormat="1" ht="15.75" customHeight="1">
      <c r="A985" s="517">
        <f>IF(B985&lt;&gt;"",IF(AND(B985&gt;=_TM1,B985&lt;=_TM2,OR(TH!L985="1111",TH!M985="1111")),TH!D985,""),"")</f>
        <v>0</v>
      </c>
      <c r="B985" s="531">
        <f t="shared" si="109"/>
        <v>1</v>
      </c>
      <c r="C985" s="315">
        <f t="shared" si="110"/>
        <v>42758</v>
      </c>
      <c r="D985" s="537"/>
      <c r="E985" s="315">
        <v>42758</v>
      </c>
      <c r="F985" s="249" t="s">
        <v>1099</v>
      </c>
      <c r="G985" s="314" t="s">
        <v>509</v>
      </c>
      <c r="H985" s="473" t="s">
        <v>511</v>
      </c>
      <c r="I985" s="307"/>
      <c r="J985" s="307"/>
      <c r="K985" s="532">
        <v>13300000</v>
      </c>
      <c r="L985" s="534" t="s">
        <v>45</v>
      </c>
      <c r="M985" s="534" t="s">
        <v>275</v>
      </c>
      <c r="N985" s="525" t="str">
        <f>IF(AND('331-CT'!$E$7=TH!H985,OR(L985="331",M985="331")),"331",IF(AND(OR(L985="131",M985="131"),H985='131-CT'!$E$7),"131",""))</f>
        <v/>
      </c>
      <c r="O985" s="525" t="str">
        <f>IF(AND($B985&gt;='111'!$N$11,$B985&lt;='111'!$O$11,OR($L985=$O$7,$M985=$O$7)),"x","")</f>
        <v/>
      </c>
      <c r="P985" s="525" t="str">
        <f>IF(AND($L985=$O$7,$B985&lt;'111'!$N$11),"x","")</f>
        <v>x</v>
      </c>
      <c r="Q985" s="525" t="str">
        <f>IF(AND($M985=$O$7,$B985&lt;'111'!$N$11),"x","")</f>
        <v/>
      </c>
      <c r="R985" s="525" t="str">
        <f>IF(ISERROR(FIND('112'!$M$9,G985,1)),"",IF((AND(FIND('112'!$M$9,G985,1)&gt;=1,$B985&gt;='112'!$N$8,$B985&lt;='112'!$O$8,OR($L985='112'!$I$6,$M985='112'!$I$6))),"x",""))</f>
        <v/>
      </c>
      <c r="S985" s="525" t="str">
        <f>IF(ISERROR(FIND('112'!$M$9,G985,1)),"",IF((AND(LEFT(G985,2)=LEFT('112'!$M$9,2),B985&lt;'112'!$N$8,$L985='112'!$I$6)),"x",""))</f>
        <v/>
      </c>
      <c r="T985" s="525" t="str">
        <f>IF(ISERROR(FIND('112'!$M$9,G985,1)),"",IF((AND(RIGHT(G985,2)=RIGHT('112'!$M$9,2),B985&lt;'112'!$N$8,$M985='112'!$I$6)),"x",""))</f>
        <v/>
      </c>
      <c r="U985" s="525" t="str">
        <f>IF(AND(B985&gt;='IN-NX'!$P$3,B985&lt;='IN-NX'!$Q$3,'IN-NX'!$D$7=D985,OR(LEFT(L985,2)="15",AND(LEFT(M985,2)&lt;&gt;"15",LEFT(M985,2)&lt;&gt;"33"))),"x","")</f>
        <v/>
      </c>
      <c r="V985" s="525" t="str">
        <f>IF(AND(OR(LEFT(TH!L985,2)="15",LEFT(TH!M985,2)="15"),'152-CT'!$J$8=TH!F985),"x","")</f>
        <v/>
      </c>
      <c r="W985" s="525" t="str">
        <f>IF(AND(OR(LEFT(TH!L985,2)="15",LEFT(TH!M985,2)="15"),TK!$E$7=TH!F985),"x","")</f>
        <v/>
      </c>
      <c r="X985" s="525" t="str">
        <f>IF(AND('341-CT'!$E$9=H985,OR(LEFT(L985,3)=$X$7,LEFT(M985,3)=$X$7)),"x","")</f>
        <v/>
      </c>
      <c r="Y985" s="525" t="str">
        <f>IF(OR(TH!L985=TH!$Y$7,M985=TH!$Y$7),"x","")</f>
        <v/>
      </c>
      <c r="Z985" s="525" t="str">
        <f>IF(AND(B985&lt;=NKC!$N$8,B985&gt;=NKC!$M$8),"x","")</f>
        <v>x</v>
      </c>
      <c r="AA985" s="535"/>
    </row>
    <row r="986" spans="1:30" s="503" customFormat="1" ht="15.75" customHeight="1">
      <c r="A986" s="517">
        <f>IF(B986&lt;&gt;"",IF(AND(B986&gt;=_TM1,B986&lt;=_TM2,OR(TH!L986="1111",TH!M986="1111")),TH!D986,""),"")</f>
        <v>0</v>
      </c>
      <c r="B986" s="531">
        <f t="shared" si="109"/>
        <v>1</v>
      </c>
      <c r="C986" s="315">
        <f t="shared" si="110"/>
        <v>42758</v>
      </c>
      <c r="D986" s="537"/>
      <c r="E986" s="315">
        <v>42758</v>
      </c>
      <c r="F986" s="249" t="s">
        <v>1102</v>
      </c>
      <c r="G986" s="314" t="s">
        <v>509</v>
      </c>
      <c r="H986" s="473" t="s">
        <v>511</v>
      </c>
      <c r="I986" s="307"/>
      <c r="J986" s="307"/>
      <c r="K986" s="532">
        <v>1330000</v>
      </c>
      <c r="L986" s="534" t="s">
        <v>45</v>
      </c>
      <c r="M986" s="534" t="s">
        <v>259</v>
      </c>
      <c r="N986" s="525" t="str">
        <f>IF(AND('331-CT'!$E$7=TH!H986,OR(L986="331",M986="331")),"331",IF(AND(OR(L986="131",M986="131"),H986='131-CT'!$E$7),"131",""))</f>
        <v/>
      </c>
      <c r="O986" s="525" t="str">
        <f>IF(AND($B986&gt;='111'!$N$11,$B986&lt;='111'!$O$11,OR($L986=$O$7,$M986=$O$7)),"x","")</f>
        <v/>
      </c>
      <c r="P986" s="525" t="str">
        <f>IF(AND($L986=$O$7,$B986&lt;'111'!$N$11),"x","")</f>
        <v>x</v>
      </c>
      <c r="Q986" s="525" t="str">
        <f>IF(AND($M986=$O$7,$B986&lt;'111'!$N$11),"x","")</f>
        <v/>
      </c>
      <c r="R986" s="525" t="str">
        <f>IF(ISERROR(FIND('112'!$M$9,G986,1)),"",IF((AND(FIND('112'!$M$9,G986,1)&gt;=1,$B986&gt;='112'!$N$8,$B986&lt;='112'!$O$8,OR($L986='112'!$I$6,$M986='112'!$I$6))),"x",""))</f>
        <v/>
      </c>
      <c r="S986" s="525" t="str">
        <f>IF(ISERROR(FIND('112'!$M$9,G986,1)),"",IF((AND(LEFT(G986,2)=LEFT('112'!$M$9,2),B986&lt;'112'!$N$8,$L986='112'!$I$6)),"x",""))</f>
        <v/>
      </c>
      <c r="T986" s="525" t="str">
        <f>IF(ISERROR(FIND('112'!$M$9,G986,1)),"",IF((AND(RIGHT(G986,2)=RIGHT('112'!$M$9,2),B986&lt;'112'!$N$8,$M986='112'!$I$6)),"x",""))</f>
        <v/>
      </c>
      <c r="U986" s="525" t="str">
        <f>IF(AND(B986&gt;='IN-NX'!$P$3,B986&lt;='IN-NX'!$Q$3,'IN-NX'!$D$7=D986,OR(LEFT(L986,2)="15",AND(LEFT(M986,2)&lt;&gt;"15",LEFT(M986,2)&lt;&gt;"33"))),"x","")</f>
        <v/>
      </c>
      <c r="V986" s="525" t="str">
        <f>IF(AND(OR(LEFT(TH!L986,2)="15",LEFT(TH!M986,2)="15"),'152-CT'!$J$8=TH!F986),"x","")</f>
        <v/>
      </c>
      <c r="W986" s="525" t="str">
        <f>IF(AND(OR(LEFT(TH!L986,2)="15",LEFT(TH!M986,2)="15"),TK!$E$7=TH!F986),"x","")</f>
        <v/>
      </c>
      <c r="X986" s="525" t="str">
        <f>IF(AND('341-CT'!$E$9=H986,OR(LEFT(L986,3)=$X$7,LEFT(M986,3)=$X$7)),"x","")</f>
        <v/>
      </c>
      <c r="Y986" s="525" t="str">
        <f>IF(OR(TH!L986=TH!$Y$7,M986=TH!$Y$7),"x","")</f>
        <v/>
      </c>
      <c r="Z986" s="525" t="str">
        <f>IF(AND(B986&lt;=NKC!$N$8,B986&gt;=NKC!$M$8),"x","")</f>
        <v>x</v>
      </c>
      <c r="AA986" s="535"/>
    </row>
    <row r="987" spans="1:30" s="503" customFormat="1" ht="15.75" customHeight="1">
      <c r="A987" s="517" t="str">
        <f>IF(B987&lt;&gt;"",IF(AND(B987&gt;=_TM1,B987&lt;=_TM2,OR(TH!L987="1111",TH!M987="1111")),TH!D987,""),"")</f>
        <v/>
      </c>
      <c r="B987" s="531">
        <f t="shared" si="109"/>
        <v>1</v>
      </c>
      <c r="C987" s="315">
        <f t="shared" si="110"/>
        <v>42758</v>
      </c>
      <c r="D987" s="315" t="s">
        <v>908</v>
      </c>
      <c r="E987" s="315">
        <v>42758</v>
      </c>
      <c r="F987" s="249" t="s">
        <v>611</v>
      </c>
      <c r="G987" s="314" t="s">
        <v>510</v>
      </c>
      <c r="H987" s="473" t="s">
        <v>284</v>
      </c>
      <c r="I987" s="307">
        <v>111</v>
      </c>
      <c r="J987" s="307">
        <v>40545.990990990991</v>
      </c>
      <c r="K987" s="532">
        <f t="shared" ref="K987:K1018" si="111">ROUND(I987*J987,0)</f>
        <v>4500605</v>
      </c>
      <c r="L987" s="534" t="s">
        <v>223</v>
      </c>
      <c r="M987" s="534" t="s">
        <v>162</v>
      </c>
      <c r="N987" s="525" t="str">
        <f>IF(AND('331-CT'!$E$7=TH!H987,OR(L987="331",M987="331")),"331",IF(AND(OR(L987="131",M987="131"),H987='131-CT'!$E$7),"131",""))</f>
        <v/>
      </c>
      <c r="O987" s="525" t="str">
        <f>IF(AND($B987&gt;='111'!$N$11,$B987&lt;='111'!$O$11,OR($L987=$O$7,$M987=$O$7)),"x","")</f>
        <v/>
      </c>
      <c r="P987" s="525" t="str">
        <f>IF(AND($L987=$O$7,$B987&lt;'111'!$N$11),"x","")</f>
        <v/>
      </c>
      <c r="Q987" s="525" t="str">
        <f>IF(AND($M987=$O$7,$B987&lt;'111'!$N$11),"x","")</f>
        <v/>
      </c>
      <c r="R987" s="525" t="str">
        <f>IF(ISERROR(FIND('112'!$M$9,G987,1)),"",IF((AND(FIND('112'!$M$9,G987,1)&gt;=1,$B987&gt;='112'!$N$8,$B987&lt;='112'!$O$8,OR($L987='112'!$I$6,$M987='112'!$I$6))),"x",""))</f>
        <v/>
      </c>
      <c r="S987" s="525" t="str">
        <f>IF(ISERROR(FIND('112'!$M$9,G987,1)),"",IF((AND(LEFT(G987,2)=LEFT('112'!$M$9,2),B987&lt;'112'!$N$8,$L987='112'!$I$6)),"x",""))</f>
        <v/>
      </c>
      <c r="T987" s="525" t="str">
        <f>IF(ISERROR(FIND('112'!$M$9,G987,1)),"",IF((AND(RIGHT(G987,2)=RIGHT('112'!$M$9,2),B987&lt;'112'!$N$8,$M987='112'!$I$6)),"x",""))</f>
        <v/>
      </c>
      <c r="U987" s="525" t="str">
        <f>IF(AND(B987&gt;='IN-NX'!$P$3,B987&lt;='IN-NX'!$Q$3,'IN-NX'!$D$7=D987,OR(LEFT(L987,2)="15",AND(LEFT(M987,2)&lt;&gt;"15",LEFT(M987,2)&lt;&gt;"33"))),"x","")</f>
        <v/>
      </c>
      <c r="V987" s="525" t="str">
        <f>IF(AND(OR(LEFT(TH!L987,2)="15",LEFT(TH!M987,2)="15"),'152-CT'!$J$8=TH!F987),"x","")</f>
        <v/>
      </c>
      <c r="W987" s="525" t="str">
        <f>IF(AND(OR(LEFT(TH!L987,2)="15",LEFT(TH!M987,2)="15"),TK!$E$7=TH!F987),"x","")</f>
        <v/>
      </c>
      <c r="X987" s="525" t="str">
        <f>IF(AND('341-CT'!$E$9=H987,OR(LEFT(L987,3)=$X$7,LEFT(M987,3)=$X$7)),"x","")</f>
        <v/>
      </c>
      <c r="Y987" s="525" t="str">
        <f>IF(OR(TH!L987=TH!$Y$7,M987=TH!$Y$7),"x","")</f>
        <v/>
      </c>
      <c r="Z987" s="525" t="str">
        <f>IF(AND(B987&lt;=NKC!$N$8,B987&gt;=NKC!$M$8),"x","")</f>
        <v>x</v>
      </c>
      <c r="AA987" s="535"/>
      <c r="AD987" s="560"/>
    </row>
    <row r="988" spans="1:30" s="503" customFormat="1" ht="15.75" customHeight="1">
      <c r="A988" s="517" t="str">
        <f>IF(B988&lt;&gt;"",IF(AND(B988&gt;=_TM1,B988&lt;=_TM2,OR(TH!L988="1111",TH!M988="1111")),TH!D988,""),"")</f>
        <v/>
      </c>
      <c r="B988" s="531">
        <f t="shared" si="109"/>
        <v>1</v>
      </c>
      <c r="C988" s="315">
        <f t="shared" si="110"/>
        <v>42758</v>
      </c>
      <c r="D988" s="315" t="s">
        <v>908</v>
      </c>
      <c r="E988" s="315">
        <v>42758</v>
      </c>
      <c r="F988" s="249" t="s">
        <v>612</v>
      </c>
      <c r="G988" s="314" t="s">
        <v>510</v>
      </c>
      <c r="H988" s="473" t="s">
        <v>284</v>
      </c>
      <c r="I988" s="307">
        <v>80</v>
      </c>
      <c r="J988" s="307">
        <v>67377.987500000003</v>
      </c>
      <c r="K988" s="532">
        <f t="shared" si="111"/>
        <v>5390239</v>
      </c>
      <c r="L988" s="534" t="s">
        <v>223</v>
      </c>
      <c r="M988" s="534" t="s">
        <v>162</v>
      </c>
      <c r="N988" s="525" t="str">
        <f>IF(AND('331-CT'!$E$7=TH!H988,OR(L988="331",M988="331")),"331",IF(AND(OR(L988="131",M988="131"),H988='131-CT'!$E$7),"131",""))</f>
        <v/>
      </c>
      <c r="O988" s="525" t="str">
        <f>IF(AND($B988&gt;='111'!$N$11,$B988&lt;='111'!$O$11,OR($L988=$O$7,$M988=$O$7)),"x","")</f>
        <v/>
      </c>
      <c r="P988" s="525" t="str">
        <f>IF(AND($L988=$O$7,$B988&lt;'111'!$N$11),"x","")</f>
        <v/>
      </c>
      <c r="Q988" s="525" t="str">
        <f>IF(AND($M988=$O$7,$B988&lt;'111'!$N$11),"x","")</f>
        <v/>
      </c>
      <c r="R988" s="525" t="str">
        <f>IF(ISERROR(FIND('112'!$M$9,G988,1)),"",IF((AND(FIND('112'!$M$9,G988,1)&gt;=1,$B988&gt;='112'!$N$8,$B988&lt;='112'!$O$8,OR($L988='112'!$I$6,$M988='112'!$I$6))),"x",""))</f>
        <v/>
      </c>
      <c r="S988" s="525" t="str">
        <f>IF(ISERROR(FIND('112'!$M$9,G988,1)),"",IF((AND(LEFT(G988,2)=LEFT('112'!$M$9,2),B988&lt;'112'!$N$8,$L988='112'!$I$6)),"x",""))</f>
        <v/>
      </c>
      <c r="T988" s="525" t="str">
        <f>IF(ISERROR(FIND('112'!$M$9,G988,1)),"",IF((AND(RIGHT(G988,2)=RIGHT('112'!$M$9,2),B988&lt;'112'!$N$8,$M988='112'!$I$6)),"x",""))</f>
        <v/>
      </c>
      <c r="U988" s="525" t="str">
        <f>IF(AND(B988&gt;='IN-NX'!$P$3,B988&lt;='IN-NX'!$Q$3,'IN-NX'!$D$7=D988,OR(LEFT(L988,2)="15",AND(LEFT(M988,2)&lt;&gt;"15",LEFT(M988,2)&lt;&gt;"33"))),"x","")</f>
        <v/>
      </c>
      <c r="V988" s="525" t="str">
        <f>IF(AND(OR(LEFT(TH!L988,2)="15",LEFT(TH!M988,2)="15"),'152-CT'!$J$8=TH!F988),"x","")</f>
        <v/>
      </c>
      <c r="W988" s="525" t="str">
        <f>IF(AND(OR(LEFT(TH!L988,2)="15",LEFT(TH!M988,2)="15"),TK!$E$7=TH!F988),"x","")</f>
        <v/>
      </c>
      <c r="X988" s="525" t="str">
        <f>IF(AND('341-CT'!$E$9=H988,OR(LEFT(L988,3)=$X$7,LEFT(M988,3)=$X$7)),"x","")</f>
        <v/>
      </c>
      <c r="Y988" s="525" t="str">
        <f>IF(OR(TH!L988=TH!$Y$7,M988=TH!$Y$7),"x","")</f>
        <v/>
      </c>
      <c r="Z988" s="525" t="str">
        <f>IF(AND(B988&lt;=NKC!$N$8,B988&gt;=NKC!$M$8),"x","")</f>
        <v>x</v>
      </c>
      <c r="AA988" s="535"/>
      <c r="AD988" s="560"/>
    </row>
    <row r="989" spans="1:30" s="503" customFormat="1" ht="15.75" customHeight="1">
      <c r="A989" s="517" t="str">
        <f>IF(B989&lt;&gt;"",IF(AND(B989&gt;=_TM1,B989&lt;=_TM2,OR(TH!L989="1111",TH!M989="1111")),TH!D989,""),"")</f>
        <v/>
      </c>
      <c r="B989" s="531">
        <f t="shared" si="109"/>
        <v>1</v>
      </c>
      <c r="C989" s="315">
        <f t="shared" si="110"/>
        <v>42758</v>
      </c>
      <c r="D989" s="315" t="s">
        <v>908</v>
      </c>
      <c r="E989" s="315">
        <v>42758</v>
      </c>
      <c r="F989" s="249" t="s">
        <v>613</v>
      </c>
      <c r="G989" s="314" t="s">
        <v>510</v>
      </c>
      <c r="H989" s="473" t="s">
        <v>284</v>
      </c>
      <c r="I989" s="307">
        <v>130</v>
      </c>
      <c r="J989" s="307">
        <v>88624</v>
      </c>
      <c r="K989" s="532">
        <f t="shared" si="111"/>
        <v>11521120</v>
      </c>
      <c r="L989" s="534" t="s">
        <v>223</v>
      </c>
      <c r="M989" s="534" t="s">
        <v>162</v>
      </c>
      <c r="N989" s="525" t="str">
        <f>IF(AND('331-CT'!$E$7=TH!H989,OR(L989="331",M989="331")),"331",IF(AND(OR(L989="131",M989="131"),H989='131-CT'!$E$7),"131",""))</f>
        <v/>
      </c>
      <c r="O989" s="525" t="str">
        <f>IF(AND($B989&gt;='111'!$N$11,$B989&lt;='111'!$O$11,OR($L989=$O$7,$M989=$O$7)),"x","")</f>
        <v/>
      </c>
      <c r="P989" s="525" t="str">
        <f>IF(AND($L989=$O$7,$B989&lt;'111'!$N$11),"x","")</f>
        <v/>
      </c>
      <c r="Q989" s="525" t="str">
        <f>IF(AND($M989=$O$7,$B989&lt;'111'!$N$11),"x","")</f>
        <v/>
      </c>
      <c r="R989" s="525" t="str">
        <f>IF(ISERROR(FIND('112'!$M$9,G989,1)),"",IF((AND(FIND('112'!$M$9,G989,1)&gt;=1,$B989&gt;='112'!$N$8,$B989&lt;='112'!$O$8,OR($L989='112'!$I$6,$M989='112'!$I$6))),"x",""))</f>
        <v/>
      </c>
      <c r="S989" s="525" t="str">
        <f>IF(ISERROR(FIND('112'!$M$9,G989,1)),"",IF((AND(LEFT(G989,2)=LEFT('112'!$M$9,2),B989&lt;'112'!$N$8,$L989='112'!$I$6)),"x",""))</f>
        <v/>
      </c>
      <c r="T989" s="525" t="str">
        <f>IF(ISERROR(FIND('112'!$M$9,G989,1)),"",IF((AND(RIGHT(G989,2)=RIGHT('112'!$M$9,2),B989&lt;'112'!$N$8,$M989='112'!$I$6)),"x",""))</f>
        <v/>
      </c>
      <c r="U989" s="525" t="str">
        <f>IF(AND(B989&gt;='IN-NX'!$P$3,B989&lt;='IN-NX'!$Q$3,'IN-NX'!$D$7=D989,OR(LEFT(L989,2)="15",AND(LEFT(M989,2)&lt;&gt;"15",LEFT(M989,2)&lt;&gt;"33"))),"x","")</f>
        <v/>
      </c>
      <c r="V989" s="525" t="str">
        <f>IF(AND(OR(LEFT(TH!L989,2)="15",LEFT(TH!M989,2)="15"),'152-CT'!$J$8=TH!F989),"x","")</f>
        <v/>
      </c>
      <c r="W989" s="525" t="str">
        <f>IF(AND(OR(LEFT(TH!L989,2)="15",LEFT(TH!M989,2)="15"),TK!$E$7=TH!F989),"x","")</f>
        <v/>
      </c>
      <c r="X989" s="525" t="str">
        <f>IF(AND('341-CT'!$E$9=H989,OR(LEFT(L989,3)=$X$7,LEFT(M989,3)=$X$7)),"x","")</f>
        <v/>
      </c>
      <c r="Y989" s="525" t="str">
        <f>IF(OR(TH!L989=TH!$Y$7,M989=TH!$Y$7),"x","")</f>
        <v/>
      </c>
      <c r="Z989" s="525" t="str">
        <f>IF(AND(B989&lt;=NKC!$N$8,B989&gt;=NKC!$M$8),"x","")</f>
        <v>x</v>
      </c>
      <c r="AA989" s="535"/>
    </row>
    <row r="990" spans="1:30" s="503" customFormat="1" ht="15.75" customHeight="1">
      <c r="A990" s="517" t="str">
        <f>IF(B990&lt;&gt;"",IF(AND(B990&gt;=_TM1,B990&lt;=_TM2,OR(TH!L990="1111",TH!M990="1111")),TH!D990,""),"")</f>
        <v/>
      </c>
      <c r="B990" s="531">
        <f t="shared" si="109"/>
        <v>1</v>
      </c>
      <c r="C990" s="315">
        <f t="shared" si="110"/>
        <v>42758</v>
      </c>
      <c r="D990" s="315" t="s">
        <v>908</v>
      </c>
      <c r="E990" s="315">
        <v>42758</v>
      </c>
      <c r="F990" s="249" t="s">
        <v>614</v>
      </c>
      <c r="G990" s="314" t="s">
        <v>510</v>
      </c>
      <c r="H990" s="473" t="s">
        <v>284</v>
      </c>
      <c r="I990" s="307">
        <v>140</v>
      </c>
      <c r="J990" s="307">
        <v>17678</v>
      </c>
      <c r="K990" s="532">
        <f t="shared" si="111"/>
        <v>2474920</v>
      </c>
      <c r="L990" s="534" t="s">
        <v>223</v>
      </c>
      <c r="M990" s="534" t="s">
        <v>162</v>
      </c>
      <c r="N990" s="525" t="str">
        <f>IF(AND('331-CT'!$E$7=TH!H990,OR(L990="331",M990="331")),"331",IF(AND(OR(L990="131",M990="131"),H990='131-CT'!$E$7),"131",""))</f>
        <v/>
      </c>
      <c r="O990" s="525" t="str">
        <f>IF(AND($B990&gt;='111'!$N$11,$B990&lt;='111'!$O$11,OR($L990=$O$7,$M990=$O$7)),"x","")</f>
        <v/>
      </c>
      <c r="P990" s="525" t="str">
        <f>IF(AND($L990=$O$7,$B990&lt;'111'!$N$11),"x","")</f>
        <v/>
      </c>
      <c r="Q990" s="525" t="str">
        <f>IF(AND($M990=$O$7,$B990&lt;'111'!$N$11),"x","")</f>
        <v/>
      </c>
      <c r="R990" s="525" t="str">
        <f>IF(ISERROR(FIND('112'!$M$9,G990,1)),"",IF((AND(FIND('112'!$M$9,G990,1)&gt;=1,$B990&gt;='112'!$N$8,$B990&lt;='112'!$O$8,OR($L990='112'!$I$6,$M990='112'!$I$6))),"x",""))</f>
        <v/>
      </c>
      <c r="S990" s="525" t="str">
        <f>IF(ISERROR(FIND('112'!$M$9,G990,1)),"",IF((AND(LEFT(G990,2)=LEFT('112'!$M$9,2),B990&lt;'112'!$N$8,$L990='112'!$I$6)),"x",""))</f>
        <v/>
      </c>
      <c r="T990" s="525" t="str">
        <f>IF(ISERROR(FIND('112'!$M$9,G990,1)),"",IF((AND(RIGHT(G990,2)=RIGHT('112'!$M$9,2),B990&lt;'112'!$N$8,$M990='112'!$I$6)),"x",""))</f>
        <v/>
      </c>
      <c r="U990" s="525" t="str">
        <f>IF(AND(B990&gt;='IN-NX'!$P$3,B990&lt;='IN-NX'!$Q$3,'IN-NX'!$D$7=D990,OR(LEFT(L990,2)="15",AND(LEFT(M990,2)&lt;&gt;"15",LEFT(M990,2)&lt;&gt;"33"))),"x","")</f>
        <v/>
      </c>
      <c r="V990" s="525" t="str">
        <f>IF(AND(OR(LEFT(TH!L990,2)="15",LEFT(TH!M990,2)="15"),'152-CT'!$J$8=TH!F990),"x","")</f>
        <v/>
      </c>
      <c r="W990" s="525" t="str">
        <f>IF(AND(OR(LEFT(TH!L990,2)="15",LEFT(TH!M990,2)="15"),TK!$E$7=TH!F990),"x","")</f>
        <v/>
      </c>
      <c r="X990" s="525" t="str">
        <f>IF(AND('341-CT'!$E$9=H990,OR(LEFT(L990,3)=$X$7,LEFT(M990,3)=$X$7)),"x","")</f>
        <v/>
      </c>
      <c r="Y990" s="525" t="str">
        <f>IF(OR(TH!L990=TH!$Y$7,M990=TH!$Y$7),"x","")</f>
        <v/>
      </c>
      <c r="Z990" s="525" t="str">
        <f>IF(AND(B990&lt;=NKC!$N$8,B990&gt;=NKC!$M$8),"x","")</f>
        <v>x</v>
      </c>
      <c r="AA990" s="535"/>
    </row>
    <row r="991" spans="1:30" s="503" customFormat="1" ht="15.75" customHeight="1">
      <c r="A991" s="517" t="str">
        <f>IF(B991&lt;&gt;"",IF(AND(B991&gt;=_TM1,B991&lt;=_TM2,OR(TH!L991="1111",TH!M991="1111")),TH!D991,""),"")</f>
        <v/>
      </c>
      <c r="B991" s="531">
        <f t="shared" si="109"/>
        <v>1</v>
      </c>
      <c r="C991" s="315">
        <f t="shared" si="110"/>
        <v>42758</v>
      </c>
      <c r="D991" s="315" t="s">
        <v>908</v>
      </c>
      <c r="E991" s="315">
        <v>42758</v>
      </c>
      <c r="F991" s="249" t="s">
        <v>615</v>
      </c>
      <c r="G991" s="314" t="s">
        <v>510</v>
      </c>
      <c r="H991" s="473" t="s">
        <v>284</v>
      </c>
      <c r="I991" s="307">
        <v>70</v>
      </c>
      <c r="J991" s="307">
        <v>35806</v>
      </c>
      <c r="K991" s="532">
        <f t="shared" si="111"/>
        <v>2506420</v>
      </c>
      <c r="L991" s="534" t="s">
        <v>223</v>
      </c>
      <c r="M991" s="534" t="s">
        <v>162</v>
      </c>
      <c r="N991" s="525" t="str">
        <f>IF(AND('331-CT'!$E$7=TH!H991,OR(L991="331",M991="331")),"331",IF(AND(OR(L991="131",M991="131"),H991='131-CT'!$E$7),"131",""))</f>
        <v/>
      </c>
      <c r="O991" s="525" t="str">
        <f>IF(AND($B991&gt;='111'!$N$11,$B991&lt;='111'!$O$11,OR($L991=$O$7,$M991=$O$7)),"x","")</f>
        <v/>
      </c>
      <c r="P991" s="525" t="str">
        <f>IF(AND($L991=$O$7,$B991&lt;'111'!$N$11),"x","")</f>
        <v/>
      </c>
      <c r="Q991" s="525" t="str">
        <f>IF(AND($M991=$O$7,$B991&lt;'111'!$N$11),"x","")</f>
        <v/>
      </c>
      <c r="R991" s="525" t="str">
        <f>IF(ISERROR(FIND('112'!$M$9,G991,1)),"",IF((AND(FIND('112'!$M$9,G991,1)&gt;=1,$B991&gt;='112'!$N$8,$B991&lt;='112'!$O$8,OR($L991='112'!$I$6,$M991='112'!$I$6))),"x",""))</f>
        <v/>
      </c>
      <c r="S991" s="525" t="str">
        <f>IF(ISERROR(FIND('112'!$M$9,G991,1)),"",IF((AND(LEFT(G991,2)=LEFT('112'!$M$9,2),B991&lt;'112'!$N$8,$L991='112'!$I$6)),"x",""))</f>
        <v/>
      </c>
      <c r="T991" s="525" t="str">
        <f>IF(ISERROR(FIND('112'!$M$9,G991,1)),"",IF((AND(RIGHT(G991,2)=RIGHT('112'!$M$9,2),B991&lt;'112'!$N$8,$M991='112'!$I$6)),"x",""))</f>
        <v/>
      </c>
      <c r="U991" s="525" t="str">
        <f>IF(AND(B991&gt;='IN-NX'!$P$3,B991&lt;='IN-NX'!$Q$3,'IN-NX'!$D$7=D991,OR(LEFT(L991,2)="15",AND(LEFT(M991,2)&lt;&gt;"15",LEFT(M991,2)&lt;&gt;"33"))),"x","")</f>
        <v/>
      </c>
      <c r="V991" s="525" t="str">
        <f>IF(AND(OR(LEFT(TH!L991,2)="15",LEFT(TH!M991,2)="15"),'152-CT'!$J$8=TH!F991),"x","")</f>
        <v/>
      </c>
      <c r="W991" s="525" t="str">
        <f>IF(AND(OR(LEFT(TH!L991,2)="15",LEFT(TH!M991,2)="15"),TK!$E$7=TH!F991),"x","")</f>
        <v/>
      </c>
      <c r="X991" s="525" t="str">
        <f>IF(AND('341-CT'!$E$9=H991,OR(LEFT(L991,3)=$X$7,LEFT(M991,3)=$X$7)),"x","")</f>
        <v/>
      </c>
      <c r="Y991" s="525" t="str">
        <f>IF(OR(TH!L991=TH!$Y$7,M991=TH!$Y$7),"x","")</f>
        <v/>
      </c>
      <c r="Z991" s="525" t="str">
        <f>IF(AND(B991&lt;=NKC!$N$8,B991&gt;=NKC!$M$8),"x","")</f>
        <v>x</v>
      </c>
      <c r="AA991" s="535"/>
    </row>
    <row r="992" spans="1:30" s="503" customFormat="1" ht="15.75" customHeight="1">
      <c r="A992" s="517" t="str">
        <f>IF(B992&lt;&gt;"",IF(AND(B992&gt;=_TM1,B992&lt;=_TM2,OR(TH!L992="1111",TH!M992="1111")),TH!D992,""),"")</f>
        <v/>
      </c>
      <c r="B992" s="531">
        <f t="shared" si="109"/>
        <v>1</v>
      </c>
      <c r="C992" s="315">
        <f t="shared" si="110"/>
        <v>42758</v>
      </c>
      <c r="D992" s="315" t="s">
        <v>908</v>
      </c>
      <c r="E992" s="315">
        <v>42758</v>
      </c>
      <c r="F992" s="249" t="s">
        <v>616</v>
      </c>
      <c r="G992" s="314" t="s">
        <v>510</v>
      </c>
      <c r="H992" s="473" t="s">
        <v>284</v>
      </c>
      <c r="I992" s="307">
        <v>80</v>
      </c>
      <c r="J992" s="307">
        <v>12002</v>
      </c>
      <c r="K992" s="532">
        <f t="shared" si="111"/>
        <v>960160</v>
      </c>
      <c r="L992" s="534" t="s">
        <v>223</v>
      </c>
      <c r="M992" s="534" t="s">
        <v>162</v>
      </c>
      <c r="N992" s="525" t="str">
        <f>IF(AND('331-CT'!$E$7=TH!H992,OR(L992="331",M992="331")),"331",IF(AND(OR(L992="131",M992="131"),H992='131-CT'!$E$7),"131",""))</f>
        <v/>
      </c>
      <c r="O992" s="525" t="str">
        <f>IF(AND($B992&gt;='111'!$N$11,$B992&lt;='111'!$O$11,OR($L992=$O$7,$M992=$O$7)),"x","")</f>
        <v/>
      </c>
      <c r="P992" s="525" t="str">
        <f>IF(AND($L992=$O$7,$B992&lt;'111'!$N$11),"x","")</f>
        <v/>
      </c>
      <c r="Q992" s="525" t="str">
        <f>IF(AND($M992=$O$7,$B992&lt;'111'!$N$11),"x","")</f>
        <v/>
      </c>
      <c r="R992" s="525" t="str">
        <f>IF(ISERROR(FIND('112'!$M$9,G992,1)),"",IF((AND(FIND('112'!$M$9,G992,1)&gt;=1,$B992&gt;='112'!$N$8,$B992&lt;='112'!$O$8,OR($L992='112'!$I$6,$M992='112'!$I$6))),"x",""))</f>
        <v/>
      </c>
      <c r="S992" s="525" t="str">
        <f>IF(ISERROR(FIND('112'!$M$9,G992,1)),"",IF((AND(LEFT(G992,2)=LEFT('112'!$M$9,2),B992&lt;'112'!$N$8,$L992='112'!$I$6)),"x",""))</f>
        <v/>
      </c>
      <c r="T992" s="525" t="str">
        <f>IF(ISERROR(FIND('112'!$M$9,G992,1)),"",IF((AND(RIGHT(G992,2)=RIGHT('112'!$M$9,2),B992&lt;'112'!$N$8,$M992='112'!$I$6)),"x",""))</f>
        <v/>
      </c>
      <c r="U992" s="525" t="str">
        <f>IF(AND(B992&gt;='IN-NX'!$P$3,B992&lt;='IN-NX'!$Q$3,'IN-NX'!$D$7=D992,OR(LEFT(L992,2)="15",AND(LEFT(M992,2)&lt;&gt;"15",LEFT(M992,2)&lt;&gt;"33"))),"x","")</f>
        <v/>
      </c>
      <c r="V992" s="525" t="str">
        <f>IF(AND(OR(LEFT(TH!L992,2)="15",LEFT(TH!M992,2)="15"),'152-CT'!$J$8=TH!F992),"x","")</f>
        <v/>
      </c>
      <c r="W992" s="525" t="str">
        <f>IF(AND(OR(LEFT(TH!L992,2)="15",LEFT(TH!M992,2)="15"),TK!$E$7=TH!F992),"x","")</f>
        <v/>
      </c>
      <c r="X992" s="525" t="str">
        <f>IF(AND('341-CT'!$E$9=H992,OR(LEFT(L992,3)=$X$7,LEFT(M992,3)=$X$7)),"x","")</f>
        <v/>
      </c>
      <c r="Y992" s="525" t="str">
        <f>IF(OR(TH!L992=TH!$Y$7,M992=TH!$Y$7),"x","")</f>
        <v/>
      </c>
      <c r="Z992" s="525" t="str">
        <f>IF(AND(B992&lt;=NKC!$N$8,B992&gt;=NKC!$M$8),"x","")</f>
        <v>x</v>
      </c>
      <c r="AA992" s="535"/>
    </row>
    <row r="993" spans="1:27" s="503" customFormat="1" ht="15.75" customHeight="1">
      <c r="A993" s="517" t="str">
        <f>IF(B993&lt;&gt;"",IF(AND(B993&gt;=_TM1,B993&lt;=_TM2,OR(TH!L993="1111",TH!M993="1111")),TH!D993,""),"")</f>
        <v/>
      </c>
      <c r="B993" s="531">
        <f t="shared" si="109"/>
        <v>1</v>
      </c>
      <c r="C993" s="315">
        <f t="shared" si="110"/>
        <v>42758</v>
      </c>
      <c r="D993" s="315" t="s">
        <v>908</v>
      </c>
      <c r="E993" s="315">
        <v>42758</v>
      </c>
      <c r="F993" s="249" t="s">
        <v>617</v>
      </c>
      <c r="G993" s="314" t="s">
        <v>510</v>
      </c>
      <c r="H993" s="473" t="s">
        <v>284</v>
      </c>
      <c r="I993" s="307">
        <v>15</v>
      </c>
      <c r="J993" s="307">
        <v>56030</v>
      </c>
      <c r="K993" s="532">
        <f t="shared" si="111"/>
        <v>840450</v>
      </c>
      <c r="L993" s="534" t="s">
        <v>223</v>
      </c>
      <c r="M993" s="534" t="s">
        <v>162</v>
      </c>
      <c r="N993" s="525" t="str">
        <f>IF(AND('331-CT'!$E$7=TH!H993,OR(L993="331",M993="331")),"331",IF(AND(OR(L993="131",M993="131"),H993='131-CT'!$E$7),"131",""))</f>
        <v/>
      </c>
      <c r="O993" s="525" t="str">
        <f>IF(AND($B993&gt;='111'!$N$11,$B993&lt;='111'!$O$11,OR($L993=$O$7,$M993=$O$7)),"x","")</f>
        <v/>
      </c>
      <c r="P993" s="525" t="str">
        <f>IF(AND($L993=$O$7,$B993&lt;'111'!$N$11),"x","")</f>
        <v/>
      </c>
      <c r="Q993" s="525" t="str">
        <f>IF(AND($M993=$O$7,$B993&lt;'111'!$N$11),"x","")</f>
        <v/>
      </c>
      <c r="R993" s="525" t="str">
        <f>IF(ISERROR(FIND('112'!$M$9,G993,1)),"",IF((AND(FIND('112'!$M$9,G993,1)&gt;=1,$B993&gt;='112'!$N$8,$B993&lt;='112'!$O$8,OR($L993='112'!$I$6,$M993='112'!$I$6))),"x",""))</f>
        <v/>
      </c>
      <c r="S993" s="525" t="str">
        <f>IF(ISERROR(FIND('112'!$M$9,G993,1)),"",IF((AND(LEFT(G993,2)=LEFT('112'!$M$9,2),B993&lt;'112'!$N$8,$L993='112'!$I$6)),"x",""))</f>
        <v/>
      </c>
      <c r="T993" s="525" t="str">
        <f>IF(ISERROR(FIND('112'!$M$9,G993,1)),"",IF((AND(RIGHT(G993,2)=RIGHT('112'!$M$9,2),B993&lt;'112'!$N$8,$M993='112'!$I$6)),"x",""))</f>
        <v/>
      </c>
      <c r="U993" s="525" t="str">
        <f>IF(AND(B993&gt;='IN-NX'!$P$3,B993&lt;='IN-NX'!$Q$3,'IN-NX'!$D$7=D993,OR(LEFT(L993,2)="15",AND(LEFT(M993,2)&lt;&gt;"15",LEFT(M993,2)&lt;&gt;"33"))),"x","")</f>
        <v/>
      </c>
      <c r="V993" s="525" t="str">
        <f>IF(AND(OR(LEFT(TH!L993,2)="15",LEFT(TH!M993,2)="15"),'152-CT'!$J$8=TH!F993),"x","")</f>
        <v/>
      </c>
      <c r="W993" s="525" t="str">
        <f>IF(AND(OR(LEFT(TH!L993,2)="15",LEFT(TH!M993,2)="15"),TK!$E$7=TH!F993),"x","")</f>
        <v/>
      </c>
      <c r="X993" s="525" t="str">
        <f>IF(AND('341-CT'!$E$9=H993,OR(LEFT(L993,3)=$X$7,LEFT(M993,3)=$X$7)),"x","")</f>
        <v/>
      </c>
      <c r="Y993" s="525" t="str">
        <f>IF(OR(TH!L993=TH!$Y$7,M993=TH!$Y$7),"x","")</f>
        <v/>
      </c>
      <c r="Z993" s="525" t="str">
        <f>IF(AND(B993&lt;=NKC!$N$8,B993&gt;=NKC!$M$8),"x","")</f>
        <v>x</v>
      </c>
      <c r="AA993" s="535"/>
    </row>
    <row r="994" spans="1:27" s="503" customFormat="1" ht="15.75" customHeight="1">
      <c r="A994" s="517" t="str">
        <f>IF(B994&lt;&gt;"",IF(AND(B994&gt;=_TM1,B994&lt;=_TM2,OR(TH!L994="1111",TH!M994="1111")),TH!D994,""),"")</f>
        <v/>
      </c>
      <c r="B994" s="531">
        <f t="shared" si="109"/>
        <v>1</v>
      </c>
      <c r="C994" s="315">
        <f t="shared" si="110"/>
        <v>42758</v>
      </c>
      <c r="D994" s="315" t="s">
        <v>908</v>
      </c>
      <c r="E994" s="315">
        <v>42758</v>
      </c>
      <c r="F994" s="249" t="s">
        <v>618</v>
      </c>
      <c r="G994" s="314" t="s">
        <v>510</v>
      </c>
      <c r="H994" s="473" t="s">
        <v>284</v>
      </c>
      <c r="I994" s="307">
        <v>5</v>
      </c>
      <c r="J994" s="307">
        <v>56794</v>
      </c>
      <c r="K994" s="532">
        <f t="shared" si="111"/>
        <v>283970</v>
      </c>
      <c r="L994" s="534" t="s">
        <v>223</v>
      </c>
      <c r="M994" s="534" t="s">
        <v>162</v>
      </c>
      <c r="N994" s="525" t="str">
        <f>IF(AND('331-CT'!$E$7=TH!H994,OR(L994="331",M994="331")),"331",IF(AND(OR(L994="131",M994="131"),H994='131-CT'!$E$7),"131",""))</f>
        <v/>
      </c>
      <c r="O994" s="525" t="str">
        <f>IF(AND($B994&gt;='111'!$N$11,$B994&lt;='111'!$O$11,OR($L994=$O$7,$M994=$O$7)),"x","")</f>
        <v/>
      </c>
      <c r="P994" s="525" t="str">
        <f>IF(AND($L994=$O$7,$B994&lt;'111'!$N$11),"x","")</f>
        <v/>
      </c>
      <c r="Q994" s="525" t="str">
        <f>IF(AND($M994=$O$7,$B994&lt;'111'!$N$11),"x","")</f>
        <v/>
      </c>
      <c r="R994" s="525" t="str">
        <f>IF(ISERROR(FIND('112'!$M$9,G994,1)),"",IF((AND(FIND('112'!$M$9,G994,1)&gt;=1,$B994&gt;='112'!$N$8,$B994&lt;='112'!$O$8,OR($L994='112'!$I$6,$M994='112'!$I$6))),"x",""))</f>
        <v/>
      </c>
      <c r="S994" s="525" t="str">
        <f>IF(ISERROR(FIND('112'!$M$9,G994,1)),"",IF((AND(LEFT(G994,2)=LEFT('112'!$M$9,2),B994&lt;'112'!$N$8,$L994='112'!$I$6)),"x",""))</f>
        <v/>
      </c>
      <c r="T994" s="525" t="str">
        <f>IF(ISERROR(FIND('112'!$M$9,G994,1)),"",IF((AND(RIGHT(G994,2)=RIGHT('112'!$M$9,2),B994&lt;'112'!$N$8,$M994='112'!$I$6)),"x",""))</f>
        <v/>
      </c>
      <c r="U994" s="525" t="str">
        <f>IF(AND(B994&gt;='IN-NX'!$P$3,B994&lt;='IN-NX'!$Q$3,'IN-NX'!$D$7=D994,OR(LEFT(L994,2)="15",AND(LEFT(M994,2)&lt;&gt;"15",LEFT(M994,2)&lt;&gt;"33"))),"x","")</f>
        <v/>
      </c>
      <c r="V994" s="525" t="str">
        <f>IF(AND(OR(LEFT(TH!L994,2)="15",LEFT(TH!M994,2)="15"),'152-CT'!$J$8=TH!F994),"x","")</f>
        <v/>
      </c>
      <c r="W994" s="525" t="str">
        <f>IF(AND(OR(LEFT(TH!L994,2)="15",LEFT(TH!M994,2)="15"),TK!$E$7=TH!F994),"x","")</f>
        <v/>
      </c>
      <c r="X994" s="525" t="str">
        <f>IF(AND('341-CT'!$E$9=H994,OR(LEFT(L994,3)=$X$7,LEFT(M994,3)=$X$7)),"x","")</f>
        <v/>
      </c>
      <c r="Y994" s="525" t="str">
        <f>IF(OR(TH!L994=TH!$Y$7,M994=TH!$Y$7),"x","")</f>
        <v/>
      </c>
      <c r="Z994" s="525" t="str">
        <f>IF(AND(B994&lt;=NKC!$N$8,B994&gt;=NKC!$M$8),"x","")</f>
        <v>x</v>
      </c>
      <c r="AA994" s="535"/>
    </row>
    <row r="995" spans="1:27" s="503" customFormat="1" ht="15.75" customHeight="1">
      <c r="A995" s="517" t="str">
        <f>IF(B995&lt;&gt;"",IF(AND(B995&gt;=_TM1,B995&lt;=_TM2,OR(TH!L995="1111",TH!M995="1111")),TH!D995,""),"")</f>
        <v/>
      </c>
      <c r="B995" s="531">
        <f t="shared" si="109"/>
        <v>1</v>
      </c>
      <c r="C995" s="315">
        <f t="shared" si="110"/>
        <v>42758</v>
      </c>
      <c r="D995" s="315" t="s">
        <v>908</v>
      </c>
      <c r="E995" s="315">
        <v>42758</v>
      </c>
      <c r="F995" s="249" t="s">
        <v>619</v>
      </c>
      <c r="G995" s="314" t="s">
        <v>510</v>
      </c>
      <c r="H995" s="473" t="s">
        <v>284</v>
      </c>
      <c r="I995" s="307">
        <v>94</v>
      </c>
      <c r="J995" s="307">
        <v>20239</v>
      </c>
      <c r="K995" s="532">
        <f t="shared" si="111"/>
        <v>1902466</v>
      </c>
      <c r="L995" s="534" t="s">
        <v>223</v>
      </c>
      <c r="M995" s="534" t="s">
        <v>162</v>
      </c>
      <c r="N995" s="525" t="str">
        <f>IF(AND('331-CT'!$E$7=TH!H995,OR(L995="331",M995="331")),"331",IF(AND(OR(L995="131",M995="131"),H995='131-CT'!$E$7),"131",""))</f>
        <v/>
      </c>
      <c r="O995" s="525" t="str">
        <f>IF(AND($B995&gt;='111'!$N$11,$B995&lt;='111'!$O$11,OR($L995=$O$7,$M995=$O$7)),"x","")</f>
        <v/>
      </c>
      <c r="P995" s="525" t="str">
        <f>IF(AND($L995=$O$7,$B995&lt;'111'!$N$11),"x","")</f>
        <v/>
      </c>
      <c r="Q995" s="525" t="str">
        <f>IF(AND($M995=$O$7,$B995&lt;'111'!$N$11),"x","")</f>
        <v/>
      </c>
      <c r="R995" s="525" t="str">
        <f>IF(ISERROR(FIND('112'!$M$9,G995,1)),"",IF((AND(FIND('112'!$M$9,G995,1)&gt;=1,$B995&gt;='112'!$N$8,$B995&lt;='112'!$O$8,OR($L995='112'!$I$6,$M995='112'!$I$6))),"x",""))</f>
        <v/>
      </c>
      <c r="S995" s="525" t="str">
        <f>IF(ISERROR(FIND('112'!$M$9,G995,1)),"",IF((AND(LEFT(G995,2)=LEFT('112'!$M$9,2),B995&lt;'112'!$N$8,$L995='112'!$I$6)),"x",""))</f>
        <v/>
      </c>
      <c r="T995" s="525" t="str">
        <f>IF(ISERROR(FIND('112'!$M$9,G995,1)),"",IF((AND(RIGHT(G995,2)=RIGHT('112'!$M$9,2),B995&lt;'112'!$N$8,$M995='112'!$I$6)),"x",""))</f>
        <v/>
      </c>
      <c r="U995" s="525" t="str">
        <f>IF(AND(B995&gt;='IN-NX'!$P$3,B995&lt;='IN-NX'!$Q$3,'IN-NX'!$D$7=D995,OR(LEFT(L995,2)="15",AND(LEFT(M995,2)&lt;&gt;"15",LEFT(M995,2)&lt;&gt;"33"))),"x","")</f>
        <v/>
      </c>
      <c r="V995" s="525" t="str">
        <f>IF(AND(OR(LEFT(TH!L995,2)="15",LEFT(TH!M995,2)="15"),'152-CT'!$J$8=TH!F995),"x","")</f>
        <v/>
      </c>
      <c r="W995" s="525" t="str">
        <f>IF(AND(OR(LEFT(TH!L995,2)="15",LEFT(TH!M995,2)="15"),TK!$E$7=TH!F995),"x","")</f>
        <v/>
      </c>
      <c r="X995" s="525" t="str">
        <f>IF(AND('341-CT'!$E$9=H995,OR(LEFT(L995,3)=$X$7,LEFT(M995,3)=$X$7)),"x","")</f>
        <v/>
      </c>
      <c r="Y995" s="525" t="str">
        <f>IF(OR(TH!L995=TH!$Y$7,M995=TH!$Y$7),"x","")</f>
        <v/>
      </c>
      <c r="Z995" s="525" t="str">
        <f>IF(AND(B995&lt;=NKC!$N$8,B995&gt;=NKC!$M$8),"x","")</f>
        <v>x</v>
      </c>
      <c r="AA995" s="535"/>
    </row>
    <row r="996" spans="1:27" s="503" customFormat="1" ht="15.75" customHeight="1">
      <c r="A996" s="517" t="str">
        <f>IF(B996&lt;&gt;"",IF(AND(B996&gt;=_TM1,B996&lt;=_TM2,OR(TH!L996="1111",TH!M996="1111")),TH!D996,""),"")</f>
        <v/>
      </c>
      <c r="B996" s="531">
        <f t="shared" si="109"/>
        <v>1</v>
      </c>
      <c r="C996" s="315">
        <f t="shared" si="110"/>
        <v>42758</v>
      </c>
      <c r="D996" s="315" t="s">
        <v>908</v>
      </c>
      <c r="E996" s="315">
        <v>42758</v>
      </c>
      <c r="F996" s="249" t="s">
        <v>620</v>
      </c>
      <c r="G996" s="314" t="s">
        <v>510</v>
      </c>
      <c r="H996" s="473" t="s">
        <v>284</v>
      </c>
      <c r="I996" s="307">
        <v>40</v>
      </c>
      <c r="J996" s="307">
        <v>22150</v>
      </c>
      <c r="K996" s="532">
        <f t="shared" si="111"/>
        <v>886000</v>
      </c>
      <c r="L996" s="534" t="s">
        <v>223</v>
      </c>
      <c r="M996" s="534" t="s">
        <v>162</v>
      </c>
      <c r="N996" s="525" t="str">
        <f>IF(AND('331-CT'!$E$7=TH!H996,OR(L996="331",M996="331")),"331",IF(AND(OR(L996="131",M996="131"),H996='131-CT'!$E$7),"131",""))</f>
        <v/>
      </c>
      <c r="O996" s="525" t="str">
        <f>IF(AND($B996&gt;='111'!$N$11,$B996&lt;='111'!$O$11,OR($L996=$O$7,$M996=$O$7)),"x","")</f>
        <v/>
      </c>
      <c r="P996" s="525" t="str">
        <f>IF(AND($L996=$O$7,$B996&lt;'111'!$N$11),"x","")</f>
        <v/>
      </c>
      <c r="Q996" s="525" t="str">
        <f>IF(AND($M996=$O$7,$B996&lt;'111'!$N$11),"x","")</f>
        <v/>
      </c>
      <c r="R996" s="525" t="str">
        <f>IF(ISERROR(FIND('112'!$M$9,G996,1)),"",IF((AND(FIND('112'!$M$9,G996,1)&gt;=1,$B996&gt;='112'!$N$8,$B996&lt;='112'!$O$8,OR($L996='112'!$I$6,$M996='112'!$I$6))),"x",""))</f>
        <v/>
      </c>
      <c r="S996" s="525" t="str">
        <f>IF(ISERROR(FIND('112'!$M$9,G996,1)),"",IF((AND(LEFT(G996,2)=LEFT('112'!$M$9,2),B996&lt;'112'!$N$8,$L996='112'!$I$6)),"x",""))</f>
        <v/>
      </c>
      <c r="T996" s="525" t="str">
        <f>IF(ISERROR(FIND('112'!$M$9,G996,1)),"",IF((AND(RIGHT(G996,2)=RIGHT('112'!$M$9,2),B996&lt;'112'!$N$8,$M996='112'!$I$6)),"x",""))</f>
        <v/>
      </c>
      <c r="U996" s="525" t="str">
        <f>IF(AND(B996&gt;='IN-NX'!$P$3,B996&lt;='IN-NX'!$Q$3,'IN-NX'!$D$7=D996,OR(LEFT(L996,2)="15",AND(LEFT(M996,2)&lt;&gt;"15",LEFT(M996,2)&lt;&gt;"33"))),"x","")</f>
        <v/>
      </c>
      <c r="V996" s="525" t="str">
        <f>IF(AND(OR(LEFT(TH!L996,2)="15",LEFT(TH!M996,2)="15"),'152-CT'!$J$8=TH!F996),"x","")</f>
        <v/>
      </c>
      <c r="W996" s="525" t="str">
        <f>IF(AND(OR(LEFT(TH!L996,2)="15",LEFT(TH!M996,2)="15"),TK!$E$7=TH!F996),"x","")</f>
        <v/>
      </c>
      <c r="X996" s="525" t="str">
        <f>IF(AND('341-CT'!$E$9=H996,OR(LEFT(L996,3)=$X$7,LEFT(M996,3)=$X$7)),"x","")</f>
        <v/>
      </c>
      <c r="Y996" s="525" t="str">
        <f>IF(OR(TH!L996=TH!$Y$7,M996=TH!$Y$7),"x","")</f>
        <v/>
      </c>
      <c r="Z996" s="525" t="str">
        <f>IF(AND(B996&lt;=NKC!$N$8,B996&gt;=NKC!$M$8),"x","")</f>
        <v>x</v>
      </c>
      <c r="AA996" s="535"/>
    </row>
    <row r="997" spans="1:27" s="503" customFormat="1" ht="15.75" customHeight="1">
      <c r="A997" s="517" t="str">
        <f>IF(B997&lt;&gt;"",IF(AND(B997&gt;=_TM1,B997&lt;=_TM2,OR(TH!L997="1111",TH!M997="1111")),TH!D997,""),"")</f>
        <v/>
      </c>
      <c r="B997" s="531">
        <f t="shared" si="109"/>
        <v>1</v>
      </c>
      <c r="C997" s="315">
        <f t="shared" si="110"/>
        <v>42758</v>
      </c>
      <c r="D997" s="315" t="s">
        <v>908</v>
      </c>
      <c r="E997" s="315">
        <v>42758</v>
      </c>
      <c r="F997" s="249" t="s">
        <v>621</v>
      </c>
      <c r="G997" s="314" t="s">
        <v>510</v>
      </c>
      <c r="H997" s="473" t="s">
        <v>284</v>
      </c>
      <c r="I997" s="307">
        <v>50</v>
      </c>
      <c r="J997" s="307">
        <v>62005</v>
      </c>
      <c r="K997" s="532">
        <f t="shared" si="111"/>
        <v>3100250</v>
      </c>
      <c r="L997" s="534" t="s">
        <v>223</v>
      </c>
      <c r="M997" s="534" t="s">
        <v>162</v>
      </c>
      <c r="N997" s="525" t="str">
        <f>IF(AND('331-CT'!$E$7=TH!H997,OR(L997="331",M997="331")),"331",IF(AND(OR(L997="131",M997="131"),H997='131-CT'!$E$7),"131",""))</f>
        <v/>
      </c>
      <c r="O997" s="525" t="str">
        <f>IF(AND($B997&gt;='111'!$N$11,$B997&lt;='111'!$O$11,OR($L997=$O$7,$M997=$O$7)),"x","")</f>
        <v/>
      </c>
      <c r="P997" s="525" t="str">
        <f>IF(AND($L997=$O$7,$B997&lt;'111'!$N$11),"x","")</f>
        <v/>
      </c>
      <c r="Q997" s="525" t="str">
        <f>IF(AND($M997=$O$7,$B997&lt;'111'!$N$11),"x","")</f>
        <v/>
      </c>
      <c r="R997" s="525" t="str">
        <f>IF(ISERROR(FIND('112'!$M$9,G997,1)),"",IF((AND(FIND('112'!$M$9,G997,1)&gt;=1,$B997&gt;='112'!$N$8,$B997&lt;='112'!$O$8,OR($L997='112'!$I$6,$M997='112'!$I$6))),"x",""))</f>
        <v/>
      </c>
      <c r="S997" s="525" t="str">
        <f>IF(ISERROR(FIND('112'!$M$9,G997,1)),"",IF((AND(LEFT(G997,2)=LEFT('112'!$M$9,2),B997&lt;'112'!$N$8,$L997='112'!$I$6)),"x",""))</f>
        <v/>
      </c>
      <c r="T997" s="525" t="str">
        <f>IF(ISERROR(FIND('112'!$M$9,G997,1)),"",IF((AND(RIGHT(G997,2)=RIGHT('112'!$M$9,2),B997&lt;'112'!$N$8,$M997='112'!$I$6)),"x",""))</f>
        <v/>
      </c>
      <c r="U997" s="525" t="str">
        <f>IF(AND(B997&gt;='IN-NX'!$P$3,B997&lt;='IN-NX'!$Q$3,'IN-NX'!$D$7=D997,OR(LEFT(L997,2)="15",AND(LEFT(M997,2)&lt;&gt;"15",LEFT(M997,2)&lt;&gt;"33"))),"x","")</f>
        <v/>
      </c>
      <c r="V997" s="525" t="str">
        <f>IF(AND(OR(LEFT(TH!L997,2)="15",LEFT(TH!M997,2)="15"),'152-CT'!$J$8=TH!F997),"x","")</f>
        <v/>
      </c>
      <c r="W997" s="525" t="str">
        <f>IF(AND(OR(LEFT(TH!L997,2)="15",LEFT(TH!M997,2)="15"),TK!$E$7=TH!F997),"x","")</f>
        <v/>
      </c>
      <c r="X997" s="525" t="str">
        <f>IF(AND('341-CT'!$E$9=H997,OR(LEFT(L997,3)=$X$7,LEFT(M997,3)=$X$7)),"x","")</f>
        <v/>
      </c>
      <c r="Y997" s="525" t="str">
        <f>IF(OR(TH!L997=TH!$Y$7,M997=TH!$Y$7),"x","")</f>
        <v/>
      </c>
      <c r="Z997" s="525" t="str">
        <f>IF(AND(B997&lt;=NKC!$N$8,B997&gt;=NKC!$M$8),"x","")</f>
        <v>x</v>
      </c>
      <c r="AA997" s="535"/>
    </row>
    <row r="998" spans="1:27" s="503" customFormat="1" ht="15.75" customHeight="1">
      <c r="A998" s="517" t="str">
        <f>IF(B998&lt;&gt;"",IF(AND(B998&gt;=_TM1,B998&lt;=_TM2,OR(TH!L998="1111",TH!M998="1111")),TH!D998,""),"")</f>
        <v/>
      </c>
      <c r="B998" s="531">
        <f t="shared" si="109"/>
        <v>1</v>
      </c>
      <c r="C998" s="315">
        <f t="shared" si="110"/>
        <v>42758</v>
      </c>
      <c r="D998" s="315" t="s">
        <v>908</v>
      </c>
      <c r="E998" s="315">
        <v>42758</v>
      </c>
      <c r="F998" s="249" t="s">
        <v>622</v>
      </c>
      <c r="G998" s="314" t="s">
        <v>510</v>
      </c>
      <c r="H998" s="473" t="s">
        <v>284</v>
      </c>
      <c r="I998" s="307">
        <v>170</v>
      </c>
      <c r="J998" s="307">
        <v>8242</v>
      </c>
      <c r="K998" s="532">
        <f t="shared" si="111"/>
        <v>1401140</v>
      </c>
      <c r="L998" s="534" t="s">
        <v>223</v>
      </c>
      <c r="M998" s="534" t="s">
        <v>162</v>
      </c>
      <c r="N998" s="525" t="str">
        <f>IF(AND('331-CT'!$E$7=TH!H998,OR(L998="331",M998="331")),"331",IF(AND(OR(L998="131",M998="131"),H998='131-CT'!$E$7),"131",""))</f>
        <v/>
      </c>
      <c r="O998" s="525" t="str">
        <f>IF(AND($B998&gt;='111'!$N$11,$B998&lt;='111'!$O$11,OR($L998=$O$7,$M998=$O$7)),"x","")</f>
        <v/>
      </c>
      <c r="P998" s="525" t="str">
        <f>IF(AND($L998=$O$7,$B998&lt;'111'!$N$11),"x","")</f>
        <v/>
      </c>
      <c r="Q998" s="525" t="str">
        <f>IF(AND($M998=$O$7,$B998&lt;'111'!$N$11),"x","")</f>
        <v/>
      </c>
      <c r="R998" s="525" t="str">
        <f>IF(ISERROR(FIND('112'!$M$9,G998,1)),"",IF((AND(FIND('112'!$M$9,G998,1)&gt;=1,$B998&gt;='112'!$N$8,$B998&lt;='112'!$O$8,OR($L998='112'!$I$6,$M998='112'!$I$6))),"x",""))</f>
        <v/>
      </c>
      <c r="S998" s="525" t="str">
        <f>IF(ISERROR(FIND('112'!$M$9,G998,1)),"",IF((AND(LEFT(G998,2)=LEFT('112'!$M$9,2),B998&lt;'112'!$N$8,$L998='112'!$I$6)),"x",""))</f>
        <v/>
      </c>
      <c r="T998" s="525" t="str">
        <f>IF(ISERROR(FIND('112'!$M$9,G998,1)),"",IF((AND(RIGHT(G998,2)=RIGHT('112'!$M$9,2),B998&lt;'112'!$N$8,$M998='112'!$I$6)),"x",""))</f>
        <v/>
      </c>
      <c r="U998" s="525" t="str">
        <f>IF(AND(B998&gt;='IN-NX'!$P$3,B998&lt;='IN-NX'!$Q$3,'IN-NX'!$D$7=D998,OR(LEFT(L998,2)="15",AND(LEFT(M998,2)&lt;&gt;"15",LEFT(M998,2)&lt;&gt;"33"))),"x","")</f>
        <v/>
      </c>
      <c r="V998" s="525" t="str">
        <f>IF(AND(OR(LEFT(TH!L998,2)="15",LEFT(TH!M998,2)="15"),'152-CT'!$J$8=TH!F998),"x","")</f>
        <v/>
      </c>
      <c r="W998" s="525" t="str">
        <f>IF(AND(OR(LEFT(TH!L998,2)="15",LEFT(TH!M998,2)="15"),TK!$E$7=TH!F998),"x","")</f>
        <v/>
      </c>
      <c r="X998" s="525" t="str">
        <f>IF(AND('341-CT'!$E$9=H998,OR(LEFT(L998,3)=$X$7,LEFT(M998,3)=$X$7)),"x","")</f>
        <v/>
      </c>
      <c r="Y998" s="525" t="str">
        <f>IF(OR(TH!L998=TH!$Y$7,M998=TH!$Y$7),"x","")</f>
        <v/>
      </c>
      <c r="Z998" s="525" t="str">
        <f>IF(AND(B998&lt;=NKC!$N$8,B998&gt;=NKC!$M$8),"x","")</f>
        <v>x</v>
      </c>
      <c r="AA998" s="535"/>
    </row>
    <row r="999" spans="1:27" s="503" customFormat="1" ht="15.75" customHeight="1">
      <c r="A999" s="517" t="str">
        <f>IF(B999&lt;&gt;"",IF(AND(B999&gt;=_TM1,B999&lt;=_TM2,OR(TH!L999="1111",TH!M999="1111")),TH!D999,""),"")</f>
        <v/>
      </c>
      <c r="B999" s="531">
        <f t="shared" si="109"/>
        <v>1</v>
      </c>
      <c r="C999" s="315">
        <f t="shared" si="110"/>
        <v>42758</v>
      </c>
      <c r="D999" s="315" t="s">
        <v>909</v>
      </c>
      <c r="E999" s="315">
        <v>42758</v>
      </c>
      <c r="F999" s="249" t="s">
        <v>623</v>
      </c>
      <c r="G999" s="314" t="s">
        <v>510</v>
      </c>
      <c r="H999" s="473" t="s">
        <v>284</v>
      </c>
      <c r="I999" s="307">
        <v>58</v>
      </c>
      <c r="J999" s="307">
        <v>45217</v>
      </c>
      <c r="K999" s="532">
        <f t="shared" si="111"/>
        <v>2622586</v>
      </c>
      <c r="L999" s="534" t="s">
        <v>223</v>
      </c>
      <c r="M999" s="534" t="s">
        <v>162</v>
      </c>
      <c r="N999" s="525" t="str">
        <f>IF(AND('331-CT'!$E$7=TH!H999,OR(L999="331",M999="331")),"331",IF(AND(OR(L999="131",M999="131"),H999='131-CT'!$E$7),"131",""))</f>
        <v/>
      </c>
      <c r="O999" s="525" t="str">
        <f>IF(AND($B999&gt;='111'!$N$11,$B999&lt;='111'!$O$11,OR($L999=$O$7,$M999=$O$7)),"x","")</f>
        <v/>
      </c>
      <c r="P999" s="525" t="str">
        <f>IF(AND($L999=$O$7,$B999&lt;'111'!$N$11),"x","")</f>
        <v/>
      </c>
      <c r="Q999" s="525" t="str">
        <f>IF(AND($M999=$O$7,$B999&lt;'111'!$N$11),"x","")</f>
        <v/>
      </c>
      <c r="R999" s="525" t="str">
        <f>IF(ISERROR(FIND('112'!$M$9,G999,1)),"",IF((AND(FIND('112'!$M$9,G999,1)&gt;=1,$B999&gt;='112'!$N$8,$B999&lt;='112'!$O$8,OR($L999='112'!$I$6,$M999='112'!$I$6))),"x",""))</f>
        <v/>
      </c>
      <c r="S999" s="525" t="str">
        <f>IF(ISERROR(FIND('112'!$M$9,G999,1)),"",IF((AND(LEFT(G999,2)=LEFT('112'!$M$9,2),B999&lt;'112'!$N$8,$L999='112'!$I$6)),"x",""))</f>
        <v/>
      </c>
      <c r="T999" s="525" t="str">
        <f>IF(ISERROR(FIND('112'!$M$9,G999,1)),"",IF((AND(RIGHT(G999,2)=RIGHT('112'!$M$9,2),B999&lt;'112'!$N$8,$M999='112'!$I$6)),"x",""))</f>
        <v/>
      </c>
      <c r="U999" s="525" t="str">
        <f>IF(AND(B999&gt;='IN-NX'!$P$3,B999&lt;='IN-NX'!$Q$3,'IN-NX'!$D$7=D999,OR(LEFT(L999,2)="15",AND(LEFT(M999,2)&lt;&gt;"15",LEFT(M999,2)&lt;&gt;"33"))),"x","")</f>
        <v/>
      </c>
      <c r="V999" s="525" t="str">
        <f>IF(AND(OR(LEFT(TH!L999,2)="15",LEFT(TH!M999,2)="15"),'152-CT'!$J$8=TH!F999),"x","")</f>
        <v/>
      </c>
      <c r="W999" s="525" t="str">
        <f>IF(AND(OR(LEFT(TH!L999,2)="15",LEFT(TH!M999,2)="15"),TK!$E$7=TH!F999),"x","")</f>
        <v/>
      </c>
      <c r="X999" s="525" t="str">
        <f>IF(AND('341-CT'!$E$9=H999,OR(LEFT(L999,3)=$X$7,LEFT(M999,3)=$X$7)),"x","")</f>
        <v/>
      </c>
      <c r="Y999" s="525" t="str">
        <f>IF(OR(TH!L999=TH!$Y$7,M999=TH!$Y$7),"x","")</f>
        <v/>
      </c>
      <c r="Z999" s="525" t="str">
        <f>IF(AND(B999&lt;=NKC!$N$8,B999&gt;=NKC!$M$8),"x","")</f>
        <v>x</v>
      </c>
      <c r="AA999" s="535"/>
    </row>
    <row r="1000" spans="1:27" s="503" customFormat="1" ht="15.75" customHeight="1">
      <c r="A1000" s="517" t="str">
        <f>IF(B1000&lt;&gt;"",IF(AND(B1000&gt;=_TM1,B1000&lt;=_TM2,OR(TH!L1000="1111",TH!M1000="1111")),TH!D1000,""),"")</f>
        <v/>
      </c>
      <c r="B1000" s="531">
        <f t="shared" si="109"/>
        <v>1</v>
      </c>
      <c r="C1000" s="315">
        <f t="shared" si="110"/>
        <v>42758</v>
      </c>
      <c r="D1000" s="315" t="s">
        <v>909</v>
      </c>
      <c r="E1000" s="315">
        <v>42758</v>
      </c>
      <c r="F1000" s="249" t="s">
        <v>624</v>
      </c>
      <c r="G1000" s="314" t="s">
        <v>510</v>
      </c>
      <c r="H1000" s="473" t="s">
        <v>284</v>
      </c>
      <c r="I1000" s="307">
        <v>5</v>
      </c>
      <c r="J1000" s="307">
        <v>35387</v>
      </c>
      <c r="K1000" s="532">
        <f t="shared" si="111"/>
        <v>176935</v>
      </c>
      <c r="L1000" s="534" t="s">
        <v>223</v>
      </c>
      <c r="M1000" s="534" t="s">
        <v>162</v>
      </c>
      <c r="N1000" s="525" t="str">
        <f>IF(AND('331-CT'!$E$7=TH!H1000,OR(L1000="331",M1000="331")),"331",IF(AND(OR(L1000="131",M1000="131"),H1000='131-CT'!$E$7),"131",""))</f>
        <v/>
      </c>
      <c r="O1000" s="525" t="str">
        <f>IF(AND($B1000&gt;='111'!$N$11,$B1000&lt;='111'!$O$11,OR($L1000=$O$7,$M1000=$O$7)),"x","")</f>
        <v/>
      </c>
      <c r="P1000" s="525" t="str">
        <f>IF(AND($L1000=$O$7,$B1000&lt;'111'!$N$11),"x","")</f>
        <v/>
      </c>
      <c r="Q1000" s="525" t="str">
        <f>IF(AND($M1000=$O$7,$B1000&lt;'111'!$N$11),"x","")</f>
        <v/>
      </c>
      <c r="R1000" s="525" t="str">
        <f>IF(ISERROR(FIND('112'!$M$9,G1000,1)),"",IF((AND(FIND('112'!$M$9,G1000,1)&gt;=1,$B1000&gt;='112'!$N$8,$B1000&lt;='112'!$O$8,OR($L1000='112'!$I$6,$M1000='112'!$I$6))),"x",""))</f>
        <v/>
      </c>
      <c r="S1000" s="525" t="str">
        <f>IF(ISERROR(FIND('112'!$M$9,G1000,1)),"",IF((AND(LEFT(G1000,2)=LEFT('112'!$M$9,2),B1000&lt;'112'!$N$8,$L1000='112'!$I$6)),"x",""))</f>
        <v/>
      </c>
      <c r="T1000" s="525" t="str">
        <f>IF(ISERROR(FIND('112'!$M$9,G1000,1)),"",IF((AND(RIGHT(G1000,2)=RIGHT('112'!$M$9,2),B1000&lt;'112'!$N$8,$M1000='112'!$I$6)),"x",""))</f>
        <v/>
      </c>
      <c r="U1000" s="525" t="str">
        <f>IF(AND(B1000&gt;='IN-NX'!$P$3,B1000&lt;='IN-NX'!$Q$3,'IN-NX'!$D$7=D1000,OR(LEFT(L1000,2)="15",AND(LEFT(M1000,2)&lt;&gt;"15",LEFT(M1000,2)&lt;&gt;"33"))),"x","")</f>
        <v/>
      </c>
      <c r="V1000" s="525" t="str">
        <f>IF(AND(OR(LEFT(TH!L1000,2)="15",LEFT(TH!M1000,2)="15"),'152-CT'!$J$8=TH!F1000),"x","")</f>
        <v/>
      </c>
      <c r="W1000" s="525" t="str">
        <f>IF(AND(OR(LEFT(TH!L1000,2)="15",LEFT(TH!M1000,2)="15"),TK!$E$7=TH!F1000),"x","")</f>
        <v/>
      </c>
      <c r="X1000" s="525" t="str">
        <f>IF(AND('341-CT'!$E$9=H1000,OR(LEFT(L1000,3)=$X$7,LEFT(M1000,3)=$X$7)),"x","")</f>
        <v/>
      </c>
      <c r="Y1000" s="525" t="str">
        <f>IF(OR(TH!L1000=TH!$Y$7,M1000=TH!$Y$7),"x","")</f>
        <v/>
      </c>
      <c r="Z1000" s="525" t="str">
        <f>IF(AND(B1000&lt;=NKC!$N$8,B1000&gt;=NKC!$M$8),"x","")</f>
        <v>x</v>
      </c>
      <c r="AA1000" s="535"/>
    </row>
    <row r="1001" spans="1:27" s="503" customFormat="1" ht="15.75" customHeight="1">
      <c r="A1001" s="517" t="str">
        <f>IF(B1001&lt;&gt;"",IF(AND(B1001&gt;=_TM1,B1001&lt;=_TM2,OR(TH!L1001="1111",TH!M1001="1111")),TH!D1001,""),"")</f>
        <v/>
      </c>
      <c r="B1001" s="531">
        <f t="shared" si="109"/>
        <v>1</v>
      </c>
      <c r="C1001" s="315">
        <f t="shared" si="110"/>
        <v>42758</v>
      </c>
      <c r="D1001" s="315" t="s">
        <v>909</v>
      </c>
      <c r="E1001" s="315">
        <v>42758</v>
      </c>
      <c r="F1001" s="249" t="s">
        <v>625</v>
      </c>
      <c r="G1001" s="314" t="s">
        <v>510</v>
      </c>
      <c r="H1001" s="473" t="s">
        <v>284</v>
      </c>
      <c r="I1001" s="307">
        <v>12</v>
      </c>
      <c r="J1001" s="307">
        <v>38130</v>
      </c>
      <c r="K1001" s="532">
        <f t="shared" si="111"/>
        <v>457560</v>
      </c>
      <c r="L1001" s="534" t="s">
        <v>223</v>
      </c>
      <c r="M1001" s="534" t="s">
        <v>162</v>
      </c>
      <c r="N1001" s="525" t="str">
        <f>IF(AND('331-CT'!$E$7=TH!H1001,OR(L1001="331",M1001="331")),"331",IF(AND(OR(L1001="131",M1001="131"),H1001='131-CT'!$E$7),"131",""))</f>
        <v/>
      </c>
      <c r="O1001" s="525" t="str">
        <f>IF(AND($B1001&gt;='111'!$N$11,$B1001&lt;='111'!$O$11,OR($L1001=$O$7,$M1001=$O$7)),"x","")</f>
        <v/>
      </c>
      <c r="P1001" s="525" t="str">
        <f>IF(AND($L1001=$O$7,$B1001&lt;'111'!$N$11),"x","")</f>
        <v/>
      </c>
      <c r="Q1001" s="525" t="str">
        <f>IF(AND($M1001=$O$7,$B1001&lt;'111'!$N$11),"x","")</f>
        <v/>
      </c>
      <c r="R1001" s="525" t="str">
        <f>IF(ISERROR(FIND('112'!$M$9,G1001,1)),"",IF((AND(FIND('112'!$M$9,G1001,1)&gt;=1,$B1001&gt;='112'!$N$8,$B1001&lt;='112'!$O$8,OR($L1001='112'!$I$6,$M1001='112'!$I$6))),"x",""))</f>
        <v/>
      </c>
      <c r="S1001" s="525" t="str">
        <f>IF(ISERROR(FIND('112'!$M$9,G1001,1)),"",IF((AND(LEFT(G1001,2)=LEFT('112'!$M$9,2),B1001&lt;'112'!$N$8,$L1001='112'!$I$6)),"x",""))</f>
        <v/>
      </c>
      <c r="T1001" s="525" t="str">
        <f>IF(ISERROR(FIND('112'!$M$9,G1001,1)),"",IF((AND(RIGHT(G1001,2)=RIGHT('112'!$M$9,2),B1001&lt;'112'!$N$8,$M1001='112'!$I$6)),"x",""))</f>
        <v/>
      </c>
      <c r="U1001" s="525" t="str">
        <f>IF(AND(B1001&gt;='IN-NX'!$P$3,B1001&lt;='IN-NX'!$Q$3,'IN-NX'!$D$7=D1001,OR(LEFT(L1001,2)="15",AND(LEFT(M1001,2)&lt;&gt;"15",LEFT(M1001,2)&lt;&gt;"33"))),"x","")</f>
        <v/>
      </c>
      <c r="V1001" s="525" t="str">
        <f>IF(AND(OR(LEFT(TH!L1001,2)="15",LEFT(TH!M1001,2)="15"),'152-CT'!$J$8=TH!F1001),"x","")</f>
        <v/>
      </c>
      <c r="W1001" s="525" t="str">
        <f>IF(AND(OR(LEFT(TH!L1001,2)="15",LEFT(TH!M1001,2)="15"),TK!$E$7=TH!F1001),"x","")</f>
        <v/>
      </c>
      <c r="X1001" s="525" t="str">
        <f>IF(AND('341-CT'!$E$9=H1001,OR(LEFT(L1001,3)=$X$7,LEFT(M1001,3)=$X$7)),"x","")</f>
        <v/>
      </c>
      <c r="Y1001" s="525" t="str">
        <f>IF(OR(TH!L1001=TH!$Y$7,M1001=TH!$Y$7),"x","")</f>
        <v/>
      </c>
      <c r="Z1001" s="525" t="str">
        <f>IF(AND(B1001&lt;=NKC!$N$8,B1001&gt;=NKC!$M$8),"x","")</f>
        <v>x</v>
      </c>
      <c r="AA1001" s="535"/>
    </row>
    <row r="1002" spans="1:27" s="503" customFormat="1" ht="15.75" customHeight="1">
      <c r="A1002" s="517" t="str">
        <f>IF(B1002&lt;&gt;"",IF(AND(B1002&gt;=_TM1,B1002&lt;=_TM2,OR(TH!L1002="1111",TH!M1002="1111")),TH!D1002,""),"")</f>
        <v/>
      </c>
      <c r="B1002" s="531">
        <f t="shared" si="109"/>
        <v>1</v>
      </c>
      <c r="C1002" s="315">
        <f t="shared" si="110"/>
        <v>42758</v>
      </c>
      <c r="D1002" s="315" t="s">
        <v>909</v>
      </c>
      <c r="E1002" s="315">
        <v>42758</v>
      </c>
      <c r="F1002" s="249" t="s">
        <v>626</v>
      </c>
      <c r="G1002" s="314" t="s">
        <v>510</v>
      </c>
      <c r="H1002" s="473" t="s">
        <v>284</v>
      </c>
      <c r="I1002" s="307">
        <v>25</v>
      </c>
      <c r="J1002" s="307">
        <v>22205</v>
      </c>
      <c r="K1002" s="532">
        <f t="shared" si="111"/>
        <v>555125</v>
      </c>
      <c r="L1002" s="534" t="s">
        <v>223</v>
      </c>
      <c r="M1002" s="534" t="s">
        <v>162</v>
      </c>
      <c r="N1002" s="525" t="str">
        <f>IF(AND('331-CT'!$E$7=TH!H1002,OR(L1002="331",M1002="331")),"331",IF(AND(OR(L1002="131",M1002="131"),H1002='131-CT'!$E$7),"131",""))</f>
        <v/>
      </c>
      <c r="O1002" s="525" t="str">
        <f>IF(AND($B1002&gt;='111'!$N$11,$B1002&lt;='111'!$O$11,OR($L1002=$O$7,$M1002=$O$7)),"x","")</f>
        <v/>
      </c>
      <c r="P1002" s="525" t="str">
        <f>IF(AND($L1002=$O$7,$B1002&lt;'111'!$N$11),"x","")</f>
        <v/>
      </c>
      <c r="Q1002" s="525" t="str">
        <f>IF(AND($M1002=$O$7,$B1002&lt;'111'!$N$11),"x","")</f>
        <v/>
      </c>
      <c r="R1002" s="525" t="str">
        <f>IF(ISERROR(FIND('112'!$M$9,G1002,1)),"",IF((AND(FIND('112'!$M$9,G1002,1)&gt;=1,$B1002&gt;='112'!$N$8,$B1002&lt;='112'!$O$8,OR($L1002='112'!$I$6,$M1002='112'!$I$6))),"x",""))</f>
        <v/>
      </c>
      <c r="S1002" s="525" t="str">
        <f>IF(ISERROR(FIND('112'!$M$9,G1002,1)),"",IF((AND(LEFT(G1002,2)=LEFT('112'!$M$9,2),B1002&lt;'112'!$N$8,$L1002='112'!$I$6)),"x",""))</f>
        <v/>
      </c>
      <c r="T1002" s="525" t="str">
        <f>IF(ISERROR(FIND('112'!$M$9,G1002,1)),"",IF((AND(RIGHT(G1002,2)=RIGHT('112'!$M$9,2),B1002&lt;'112'!$N$8,$M1002='112'!$I$6)),"x",""))</f>
        <v/>
      </c>
      <c r="U1002" s="525" t="str">
        <f>IF(AND(B1002&gt;='IN-NX'!$P$3,B1002&lt;='IN-NX'!$Q$3,'IN-NX'!$D$7=D1002,OR(LEFT(L1002,2)="15",AND(LEFT(M1002,2)&lt;&gt;"15",LEFT(M1002,2)&lt;&gt;"33"))),"x","")</f>
        <v/>
      </c>
      <c r="V1002" s="525" t="str">
        <f>IF(AND(OR(LEFT(TH!L1002,2)="15",LEFT(TH!M1002,2)="15"),'152-CT'!$J$8=TH!F1002),"x","")</f>
        <v/>
      </c>
      <c r="W1002" s="525" t="str">
        <f>IF(AND(OR(LEFT(TH!L1002,2)="15",LEFT(TH!M1002,2)="15"),TK!$E$7=TH!F1002),"x","")</f>
        <v/>
      </c>
      <c r="X1002" s="525" t="str">
        <f>IF(AND('341-CT'!$E$9=H1002,OR(LEFT(L1002,3)=$X$7,LEFT(M1002,3)=$X$7)),"x","")</f>
        <v/>
      </c>
      <c r="Y1002" s="525" t="str">
        <f>IF(OR(TH!L1002=TH!$Y$7,M1002=TH!$Y$7),"x","")</f>
        <v/>
      </c>
      <c r="Z1002" s="525" t="str">
        <f>IF(AND(B1002&lt;=NKC!$N$8,B1002&gt;=NKC!$M$8),"x","")</f>
        <v>x</v>
      </c>
      <c r="AA1002" s="535"/>
    </row>
    <row r="1003" spans="1:27" s="503" customFormat="1" ht="15.75" customHeight="1">
      <c r="A1003" s="517" t="str">
        <f>IF(B1003&lt;&gt;"",IF(AND(B1003&gt;=_TM1,B1003&lt;=_TM2,OR(TH!L1003="1111",TH!M1003="1111")),TH!D1003,""),"")</f>
        <v/>
      </c>
      <c r="B1003" s="531">
        <f t="shared" si="109"/>
        <v>1</v>
      </c>
      <c r="C1003" s="315">
        <f t="shared" si="110"/>
        <v>42758</v>
      </c>
      <c r="D1003" s="315" t="s">
        <v>909</v>
      </c>
      <c r="E1003" s="315">
        <v>42758</v>
      </c>
      <c r="F1003" s="249" t="s">
        <v>627</v>
      </c>
      <c r="G1003" s="314" t="s">
        <v>510</v>
      </c>
      <c r="H1003" s="473" t="s">
        <v>284</v>
      </c>
      <c r="I1003" s="307">
        <v>5</v>
      </c>
      <c r="J1003" s="307">
        <v>33299</v>
      </c>
      <c r="K1003" s="532">
        <f t="shared" si="111"/>
        <v>166495</v>
      </c>
      <c r="L1003" s="534" t="s">
        <v>223</v>
      </c>
      <c r="M1003" s="534" t="s">
        <v>162</v>
      </c>
      <c r="N1003" s="525" t="str">
        <f>IF(AND('331-CT'!$E$7=TH!H1003,OR(L1003="331",M1003="331")),"331",IF(AND(OR(L1003="131",M1003="131"),H1003='131-CT'!$E$7),"131",""))</f>
        <v/>
      </c>
      <c r="O1003" s="525" t="str">
        <f>IF(AND($B1003&gt;='111'!$N$11,$B1003&lt;='111'!$O$11,OR($L1003=$O$7,$M1003=$O$7)),"x","")</f>
        <v/>
      </c>
      <c r="P1003" s="525" t="str">
        <f>IF(AND($L1003=$O$7,$B1003&lt;'111'!$N$11),"x","")</f>
        <v/>
      </c>
      <c r="Q1003" s="525" t="str">
        <f>IF(AND($M1003=$O$7,$B1003&lt;'111'!$N$11),"x","")</f>
        <v/>
      </c>
      <c r="R1003" s="525" t="str">
        <f>IF(ISERROR(FIND('112'!$M$9,G1003,1)),"",IF((AND(FIND('112'!$M$9,G1003,1)&gt;=1,$B1003&gt;='112'!$N$8,$B1003&lt;='112'!$O$8,OR($L1003='112'!$I$6,$M1003='112'!$I$6))),"x",""))</f>
        <v/>
      </c>
      <c r="S1003" s="525" t="str">
        <f>IF(ISERROR(FIND('112'!$M$9,G1003,1)),"",IF((AND(LEFT(G1003,2)=LEFT('112'!$M$9,2),B1003&lt;'112'!$N$8,$L1003='112'!$I$6)),"x",""))</f>
        <v/>
      </c>
      <c r="T1003" s="525" t="str">
        <f>IF(ISERROR(FIND('112'!$M$9,G1003,1)),"",IF((AND(RIGHT(G1003,2)=RIGHT('112'!$M$9,2),B1003&lt;'112'!$N$8,$M1003='112'!$I$6)),"x",""))</f>
        <v/>
      </c>
      <c r="U1003" s="525" t="str">
        <f>IF(AND(B1003&gt;='IN-NX'!$P$3,B1003&lt;='IN-NX'!$Q$3,'IN-NX'!$D$7=D1003,OR(LEFT(L1003,2)="15",AND(LEFT(M1003,2)&lt;&gt;"15",LEFT(M1003,2)&lt;&gt;"33"))),"x","")</f>
        <v/>
      </c>
      <c r="V1003" s="525" t="str">
        <f>IF(AND(OR(LEFT(TH!L1003,2)="15",LEFT(TH!M1003,2)="15"),'152-CT'!$J$8=TH!F1003),"x","")</f>
        <v/>
      </c>
      <c r="W1003" s="525" t="str">
        <f>IF(AND(OR(LEFT(TH!L1003,2)="15",LEFT(TH!M1003,2)="15"),TK!$E$7=TH!F1003),"x","")</f>
        <v/>
      </c>
      <c r="X1003" s="525" t="str">
        <f>IF(AND('341-CT'!$E$9=H1003,OR(LEFT(L1003,3)=$X$7,LEFT(M1003,3)=$X$7)),"x","")</f>
        <v/>
      </c>
      <c r="Y1003" s="525" t="str">
        <f>IF(OR(TH!L1003=TH!$Y$7,M1003=TH!$Y$7),"x","")</f>
        <v/>
      </c>
      <c r="Z1003" s="525" t="str">
        <f>IF(AND(B1003&lt;=NKC!$N$8,B1003&gt;=NKC!$M$8),"x","")</f>
        <v>x</v>
      </c>
      <c r="AA1003" s="535"/>
    </row>
    <row r="1004" spans="1:27" s="503" customFormat="1" ht="15.75" customHeight="1">
      <c r="A1004" s="517" t="str">
        <f>IF(B1004&lt;&gt;"",IF(AND(B1004&gt;=_TM1,B1004&lt;=_TM2,OR(TH!L1004="1111",TH!M1004="1111")),TH!D1004,""),"")</f>
        <v/>
      </c>
      <c r="B1004" s="531">
        <f t="shared" si="109"/>
        <v>1</v>
      </c>
      <c r="C1004" s="315">
        <f t="shared" si="110"/>
        <v>42758</v>
      </c>
      <c r="D1004" s="315" t="s">
        <v>909</v>
      </c>
      <c r="E1004" s="315">
        <v>42758</v>
      </c>
      <c r="F1004" s="249" t="s">
        <v>628</v>
      </c>
      <c r="G1004" s="314" t="s">
        <v>510</v>
      </c>
      <c r="H1004" s="473" t="s">
        <v>284</v>
      </c>
      <c r="I1004" s="307">
        <v>5</v>
      </c>
      <c r="J1004" s="307">
        <v>99212</v>
      </c>
      <c r="K1004" s="532">
        <f t="shared" si="111"/>
        <v>496060</v>
      </c>
      <c r="L1004" s="534" t="s">
        <v>223</v>
      </c>
      <c r="M1004" s="534" t="s">
        <v>162</v>
      </c>
      <c r="N1004" s="525" t="str">
        <f>IF(AND('331-CT'!$E$7=TH!H1004,OR(L1004="331",M1004="331")),"331",IF(AND(OR(L1004="131",M1004="131"),H1004='131-CT'!$E$7),"131",""))</f>
        <v/>
      </c>
      <c r="O1004" s="525" t="str">
        <f>IF(AND($B1004&gt;='111'!$N$11,$B1004&lt;='111'!$O$11,OR($L1004=$O$7,$M1004=$O$7)),"x","")</f>
        <v/>
      </c>
      <c r="P1004" s="525" t="str">
        <f>IF(AND($L1004=$O$7,$B1004&lt;'111'!$N$11),"x","")</f>
        <v/>
      </c>
      <c r="Q1004" s="525" t="str">
        <f>IF(AND($M1004=$O$7,$B1004&lt;'111'!$N$11),"x","")</f>
        <v/>
      </c>
      <c r="R1004" s="525" t="str">
        <f>IF(ISERROR(FIND('112'!$M$9,G1004,1)),"",IF((AND(FIND('112'!$M$9,G1004,1)&gt;=1,$B1004&gt;='112'!$N$8,$B1004&lt;='112'!$O$8,OR($L1004='112'!$I$6,$M1004='112'!$I$6))),"x",""))</f>
        <v/>
      </c>
      <c r="S1004" s="525" t="str">
        <f>IF(ISERROR(FIND('112'!$M$9,G1004,1)),"",IF((AND(LEFT(G1004,2)=LEFT('112'!$M$9,2),B1004&lt;'112'!$N$8,$L1004='112'!$I$6)),"x",""))</f>
        <v/>
      </c>
      <c r="T1004" s="525" t="str">
        <f>IF(ISERROR(FIND('112'!$M$9,G1004,1)),"",IF((AND(RIGHT(G1004,2)=RIGHT('112'!$M$9,2),B1004&lt;'112'!$N$8,$M1004='112'!$I$6)),"x",""))</f>
        <v/>
      </c>
      <c r="U1004" s="525" t="str">
        <f>IF(AND(B1004&gt;='IN-NX'!$P$3,B1004&lt;='IN-NX'!$Q$3,'IN-NX'!$D$7=D1004,OR(LEFT(L1004,2)="15",AND(LEFT(M1004,2)&lt;&gt;"15",LEFT(M1004,2)&lt;&gt;"33"))),"x","")</f>
        <v/>
      </c>
      <c r="V1004" s="525" t="str">
        <f>IF(AND(OR(LEFT(TH!L1004,2)="15",LEFT(TH!M1004,2)="15"),'152-CT'!$J$8=TH!F1004),"x","")</f>
        <v/>
      </c>
      <c r="W1004" s="525" t="str">
        <f>IF(AND(OR(LEFT(TH!L1004,2)="15",LEFT(TH!M1004,2)="15"),TK!$E$7=TH!F1004),"x","")</f>
        <v/>
      </c>
      <c r="X1004" s="525" t="str">
        <f>IF(AND('341-CT'!$E$9=H1004,OR(LEFT(L1004,3)=$X$7,LEFT(M1004,3)=$X$7)),"x","")</f>
        <v/>
      </c>
      <c r="Y1004" s="525" t="str">
        <f>IF(OR(TH!L1004=TH!$Y$7,M1004=TH!$Y$7),"x","")</f>
        <v/>
      </c>
      <c r="Z1004" s="525" t="str">
        <f>IF(AND(B1004&lt;=NKC!$N$8,B1004&gt;=NKC!$M$8),"x","")</f>
        <v>x</v>
      </c>
      <c r="AA1004" s="535"/>
    </row>
    <row r="1005" spans="1:27" s="503" customFormat="1" ht="15.75" customHeight="1">
      <c r="A1005" s="517" t="str">
        <f>IF(B1005&lt;&gt;"",IF(AND(B1005&gt;=_TM1,B1005&lt;=_TM2,OR(TH!L1005="1111",TH!M1005="1111")),TH!D1005,""),"")</f>
        <v/>
      </c>
      <c r="B1005" s="531">
        <f t="shared" si="109"/>
        <v>1</v>
      </c>
      <c r="C1005" s="315">
        <f t="shared" si="110"/>
        <v>42758</v>
      </c>
      <c r="D1005" s="315" t="s">
        <v>909</v>
      </c>
      <c r="E1005" s="315">
        <v>42758</v>
      </c>
      <c r="F1005" s="249" t="s">
        <v>629</v>
      </c>
      <c r="G1005" s="314" t="s">
        <v>510</v>
      </c>
      <c r="H1005" s="473" t="s">
        <v>284</v>
      </c>
      <c r="I1005" s="307">
        <v>10</v>
      </c>
      <c r="J1005" s="307">
        <v>25258</v>
      </c>
      <c r="K1005" s="532">
        <f t="shared" si="111"/>
        <v>252580</v>
      </c>
      <c r="L1005" s="534" t="s">
        <v>223</v>
      </c>
      <c r="M1005" s="534" t="s">
        <v>162</v>
      </c>
      <c r="N1005" s="525" t="str">
        <f>IF(AND('331-CT'!$E$7=TH!H1005,OR(L1005="331",M1005="331")),"331",IF(AND(OR(L1005="131",M1005="131"),H1005='131-CT'!$E$7),"131",""))</f>
        <v/>
      </c>
      <c r="O1005" s="525" t="str">
        <f>IF(AND($B1005&gt;='111'!$N$11,$B1005&lt;='111'!$O$11,OR($L1005=$O$7,$M1005=$O$7)),"x","")</f>
        <v/>
      </c>
      <c r="P1005" s="525" t="str">
        <f>IF(AND($L1005=$O$7,$B1005&lt;'111'!$N$11),"x","")</f>
        <v/>
      </c>
      <c r="Q1005" s="525" t="str">
        <f>IF(AND($M1005=$O$7,$B1005&lt;'111'!$N$11),"x","")</f>
        <v/>
      </c>
      <c r="R1005" s="525" t="str">
        <f>IF(ISERROR(FIND('112'!$M$9,G1005,1)),"",IF((AND(FIND('112'!$M$9,G1005,1)&gt;=1,$B1005&gt;='112'!$N$8,$B1005&lt;='112'!$O$8,OR($L1005='112'!$I$6,$M1005='112'!$I$6))),"x",""))</f>
        <v/>
      </c>
      <c r="S1005" s="525" t="str">
        <f>IF(ISERROR(FIND('112'!$M$9,G1005,1)),"",IF((AND(LEFT(G1005,2)=LEFT('112'!$M$9,2),B1005&lt;'112'!$N$8,$L1005='112'!$I$6)),"x",""))</f>
        <v/>
      </c>
      <c r="T1005" s="525" t="str">
        <f>IF(ISERROR(FIND('112'!$M$9,G1005,1)),"",IF((AND(RIGHT(G1005,2)=RIGHT('112'!$M$9,2),B1005&lt;'112'!$N$8,$M1005='112'!$I$6)),"x",""))</f>
        <v/>
      </c>
      <c r="U1005" s="525" t="str">
        <f>IF(AND(B1005&gt;='IN-NX'!$P$3,B1005&lt;='IN-NX'!$Q$3,'IN-NX'!$D$7=D1005,OR(LEFT(L1005,2)="15",AND(LEFT(M1005,2)&lt;&gt;"15",LEFT(M1005,2)&lt;&gt;"33"))),"x","")</f>
        <v/>
      </c>
      <c r="V1005" s="525" t="str">
        <f>IF(AND(OR(LEFT(TH!L1005,2)="15",LEFT(TH!M1005,2)="15"),'152-CT'!$J$8=TH!F1005),"x","")</f>
        <v/>
      </c>
      <c r="W1005" s="525" t="str">
        <f>IF(AND(OR(LEFT(TH!L1005,2)="15",LEFT(TH!M1005,2)="15"),TK!$E$7=TH!F1005),"x","")</f>
        <v/>
      </c>
      <c r="X1005" s="525" t="str">
        <f>IF(AND('341-CT'!$E$9=H1005,OR(LEFT(L1005,3)=$X$7,LEFT(M1005,3)=$X$7)),"x","")</f>
        <v/>
      </c>
      <c r="Y1005" s="525" t="str">
        <f>IF(OR(TH!L1005=TH!$Y$7,M1005=TH!$Y$7),"x","")</f>
        <v/>
      </c>
      <c r="Z1005" s="525" t="str">
        <f>IF(AND(B1005&lt;=NKC!$N$8,B1005&gt;=NKC!$M$8),"x","")</f>
        <v>x</v>
      </c>
      <c r="AA1005" s="535"/>
    </row>
    <row r="1006" spans="1:27" s="503" customFormat="1" ht="15.75" customHeight="1">
      <c r="A1006" s="517" t="str">
        <f>IF(B1006&lt;&gt;"",IF(AND(B1006&gt;=_TM1,B1006&lt;=_TM2,OR(TH!L1006="1111",TH!M1006="1111")),TH!D1006,""),"")</f>
        <v/>
      </c>
      <c r="B1006" s="531">
        <f t="shared" si="109"/>
        <v>1</v>
      </c>
      <c r="C1006" s="315">
        <f t="shared" si="110"/>
        <v>42758</v>
      </c>
      <c r="D1006" s="315" t="s">
        <v>909</v>
      </c>
      <c r="E1006" s="315">
        <v>42758</v>
      </c>
      <c r="F1006" s="249" t="s">
        <v>630</v>
      </c>
      <c r="G1006" s="314" t="s">
        <v>510</v>
      </c>
      <c r="H1006" s="473" t="s">
        <v>284</v>
      </c>
      <c r="I1006" s="307">
        <v>5</v>
      </c>
      <c r="J1006" s="307">
        <v>23736</v>
      </c>
      <c r="K1006" s="532">
        <f t="shared" si="111"/>
        <v>118680</v>
      </c>
      <c r="L1006" s="534" t="s">
        <v>223</v>
      </c>
      <c r="M1006" s="534" t="s">
        <v>162</v>
      </c>
      <c r="N1006" s="525" t="str">
        <f>IF(AND('331-CT'!$E$7=TH!H1006,OR(L1006="331",M1006="331")),"331",IF(AND(OR(L1006="131",M1006="131"),H1006='131-CT'!$E$7),"131",""))</f>
        <v/>
      </c>
      <c r="O1006" s="525" t="str">
        <f>IF(AND($B1006&gt;='111'!$N$11,$B1006&lt;='111'!$O$11,OR($L1006=$O$7,$M1006=$O$7)),"x","")</f>
        <v/>
      </c>
      <c r="P1006" s="525" t="str">
        <f>IF(AND($L1006=$O$7,$B1006&lt;'111'!$N$11),"x","")</f>
        <v/>
      </c>
      <c r="Q1006" s="525" t="str">
        <f>IF(AND($M1006=$O$7,$B1006&lt;'111'!$N$11),"x","")</f>
        <v/>
      </c>
      <c r="R1006" s="525" t="str">
        <f>IF(ISERROR(FIND('112'!$M$9,G1006,1)),"",IF((AND(FIND('112'!$M$9,G1006,1)&gt;=1,$B1006&gt;='112'!$N$8,$B1006&lt;='112'!$O$8,OR($L1006='112'!$I$6,$M1006='112'!$I$6))),"x",""))</f>
        <v/>
      </c>
      <c r="S1006" s="525" t="str">
        <f>IF(ISERROR(FIND('112'!$M$9,G1006,1)),"",IF((AND(LEFT(G1006,2)=LEFT('112'!$M$9,2),B1006&lt;'112'!$N$8,$L1006='112'!$I$6)),"x",""))</f>
        <v/>
      </c>
      <c r="T1006" s="525" t="str">
        <f>IF(ISERROR(FIND('112'!$M$9,G1006,1)),"",IF((AND(RIGHT(G1006,2)=RIGHT('112'!$M$9,2),B1006&lt;'112'!$N$8,$M1006='112'!$I$6)),"x",""))</f>
        <v/>
      </c>
      <c r="U1006" s="525" t="str">
        <f>IF(AND(B1006&gt;='IN-NX'!$P$3,B1006&lt;='IN-NX'!$Q$3,'IN-NX'!$D$7=D1006,OR(LEFT(L1006,2)="15",AND(LEFT(M1006,2)&lt;&gt;"15",LEFT(M1006,2)&lt;&gt;"33"))),"x","")</f>
        <v/>
      </c>
      <c r="V1006" s="525" t="str">
        <f>IF(AND(OR(LEFT(TH!L1006,2)="15",LEFT(TH!M1006,2)="15"),'152-CT'!$J$8=TH!F1006),"x","")</f>
        <v/>
      </c>
      <c r="W1006" s="525" t="str">
        <f>IF(AND(OR(LEFT(TH!L1006,2)="15",LEFT(TH!M1006,2)="15"),TK!$E$7=TH!F1006),"x","")</f>
        <v/>
      </c>
      <c r="X1006" s="525" t="str">
        <f>IF(AND('341-CT'!$E$9=H1006,OR(LEFT(L1006,3)=$X$7,LEFT(M1006,3)=$X$7)),"x","")</f>
        <v/>
      </c>
      <c r="Y1006" s="525" t="str">
        <f>IF(OR(TH!L1006=TH!$Y$7,M1006=TH!$Y$7),"x","")</f>
        <v/>
      </c>
      <c r="Z1006" s="525" t="str">
        <f>IF(AND(B1006&lt;=NKC!$N$8,B1006&gt;=NKC!$M$8),"x","")</f>
        <v>x</v>
      </c>
      <c r="AA1006" s="535"/>
    </row>
    <row r="1007" spans="1:27" s="503" customFormat="1" ht="15.75" customHeight="1">
      <c r="A1007" s="517" t="str">
        <f>IF(B1007&lt;&gt;"",IF(AND(B1007&gt;=_TM1,B1007&lt;=_TM2,OR(TH!L1007="1111",TH!M1007="1111")),TH!D1007,""),"")</f>
        <v/>
      </c>
      <c r="B1007" s="531">
        <f t="shared" si="109"/>
        <v>1</v>
      </c>
      <c r="C1007" s="315">
        <f t="shared" si="110"/>
        <v>42758</v>
      </c>
      <c r="D1007" s="315" t="s">
        <v>909</v>
      </c>
      <c r="E1007" s="315">
        <v>42758</v>
      </c>
      <c r="F1007" s="249" t="s">
        <v>631</v>
      </c>
      <c r="G1007" s="314" t="s">
        <v>510</v>
      </c>
      <c r="H1007" s="473" t="s">
        <v>284</v>
      </c>
      <c r="I1007" s="307">
        <v>3</v>
      </c>
      <c r="J1007" s="307">
        <v>28583</v>
      </c>
      <c r="K1007" s="532">
        <f t="shared" si="111"/>
        <v>85749</v>
      </c>
      <c r="L1007" s="534" t="s">
        <v>223</v>
      </c>
      <c r="M1007" s="534" t="s">
        <v>162</v>
      </c>
      <c r="N1007" s="525" t="str">
        <f>IF(AND('331-CT'!$E$7=TH!H1007,OR(L1007="331",M1007="331")),"331",IF(AND(OR(L1007="131",M1007="131"),H1007='131-CT'!$E$7),"131",""))</f>
        <v/>
      </c>
      <c r="O1007" s="525" t="str">
        <f>IF(AND($B1007&gt;='111'!$N$11,$B1007&lt;='111'!$O$11,OR($L1007=$O$7,$M1007=$O$7)),"x","")</f>
        <v/>
      </c>
      <c r="P1007" s="525" t="str">
        <f>IF(AND($L1007=$O$7,$B1007&lt;'111'!$N$11),"x","")</f>
        <v/>
      </c>
      <c r="Q1007" s="525" t="str">
        <f>IF(AND($M1007=$O$7,$B1007&lt;'111'!$N$11),"x","")</f>
        <v/>
      </c>
      <c r="R1007" s="525" t="str">
        <f>IF(ISERROR(FIND('112'!$M$9,G1007,1)),"",IF((AND(FIND('112'!$M$9,G1007,1)&gt;=1,$B1007&gt;='112'!$N$8,$B1007&lt;='112'!$O$8,OR($L1007='112'!$I$6,$M1007='112'!$I$6))),"x",""))</f>
        <v/>
      </c>
      <c r="S1007" s="525" t="str">
        <f>IF(ISERROR(FIND('112'!$M$9,G1007,1)),"",IF((AND(LEFT(G1007,2)=LEFT('112'!$M$9,2),B1007&lt;'112'!$N$8,$L1007='112'!$I$6)),"x",""))</f>
        <v/>
      </c>
      <c r="T1007" s="525" t="str">
        <f>IF(ISERROR(FIND('112'!$M$9,G1007,1)),"",IF((AND(RIGHT(G1007,2)=RIGHT('112'!$M$9,2),B1007&lt;'112'!$N$8,$M1007='112'!$I$6)),"x",""))</f>
        <v/>
      </c>
      <c r="U1007" s="525" t="str">
        <f>IF(AND(B1007&gt;='IN-NX'!$P$3,B1007&lt;='IN-NX'!$Q$3,'IN-NX'!$D$7=D1007,OR(LEFT(L1007,2)="15",AND(LEFT(M1007,2)&lt;&gt;"15",LEFT(M1007,2)&lt;&gt;"33"))),"x","")</f>
        <v/>
      </c>
      <c r="V1007" s="525" t="str">
        <f>IF(AND(OR(LEFT(TH!L1007,2)="15",LEFT(TH!M1007,2)="15"),'152-CT'!$J$8=TH!F1007),"x","")</f>
        <v/>
      </c>
      <c r="W1007" s="525" t="str">
        <f>IF(AND(OR(LEFT(TH!L1007,2)="15",LEFT(TH!M1007,2)="15"),TK!$E$7=TH!F1007),"x","")</f>
        <v/>
      </c>
      <c r="X1007" s="525" t="str">
        <f>IF(AND('341-CT'!$E$9=H1007,OR(LEFT(L1007,3)=$X$7,LEFT(M1007,3)=$X$7)),"x","")</f>
        <v/>
      </c>
      <c r="Y1007" s="525" t="str">
        <f>IF(OR(TH!L1007=TH!$Y$7,M1007=TH!$Y$7),"x","")</f>
        <v/>
      </c>
      <c r="Z1007" s="525" t="str">
        <f>IF(AND(B1007&lt;=NKC!$N$8,B1007&gt;=NKC!$M$8),"x","")</f>
        <v>x</v>
      </c>
      <c r="AA1007" s="535"/>
    </row>
    <row r="1008" spans="1:27" s="503" customFormat="1" ht="15.75" customHeight="1">
      <c r="A1008" s="517" t="str">
        <f>IF(B1008&lt;&gt;"",IF(AND(B1008&gt;=_TM1,B1008&lt;=_TM2,OR(TH!L1008="1111",TH!M1008="1111")),TH!D1008,""),"")</f>
        <v/>
      </c>
      <c r="B1008" s="531">
        <f t="shared" si="109"/>
        <v>1</v>
      </c>
      <c r="C1008" s="315">
        <f t="shared" si="110"/>
        <v>42758</v>
      </c>
      <c r="D1008" s="315" t="s">
        <v>909</v>
      </c>
      <c r="E1008" s="315">
        <v>42758</v>
      </c>
      <c r="F1008" s="249" t="s">
        <v>632</v>
      </c>
      <c r="G1008" s="314" t="s">
        <v>510</v>
      </c>
      <c r="H1008" s="473" t="s">
        <v>284</v>
      </c>
      <c r="I1008" s="307">
        <v>10</v>
      </c>
      <c r="J1008" s="307">
        <v>53873</v>
      </c>
      <c r="K1008" s="532">
        <f t="shared" si="111"/>
        <v>538730</v>
      </c>
      <c r="L1008" s="534" t="s">
        <v>223</v>
      </c>
      <c r="M1008" s="534" t="s">
        <v>162</v>
      </c>
      <c r="N1008" s="525" t="str">
        <f>IF(AND('331-CT'!$E$7=TH!H1008,OR(L1008="331",M1008="331")),"331",IF(AND(OR(L1008="131",M1008="131"),H1008='131-CT'!$E$7),"131",""))</f>
        <v/>
      </c>
      <c r="O1008" s="525" t="str">
        <f>IF(AND($B1008&gt;='111'!$N$11,$B1008&lt;='111'!$O$11,OR($L1008=$O$7,$M1008=$O$7)),"x","")</f>
        <v/>
      </c>
      <c r="P1008" s="525" t="str">
        <f>IF(AND($L1008=$O$7,$B1008&lt;'111'!$N$11),"x","")</f>
        <v/>
      </c>
      <c r="Q1008" s="525" t="str">
        <f>IF(AND($M1008=$O$7,$B1008&lt;'111'!$N$11),"x","")</f>
        <v/>
      </c>
      <c r="R1008" s="525" t="str">
        <f>IF(ISERROR(FIND('112'!$M$9,G1008,1)),"",IF((AND(FIND('112'!$M$9,G1008,1)&gt;=1,$B1008&gt;='112'!$N$8,$B1008&lt;='112'!$O$8,OR($L1008='112'!$I$6,$M1008='112'!$I$6))),"x",""))</f>
        <v/>
      </c>
      <c r="S1008" s="525" t="str">
        <f>IF(ISERROR(FIND('112'!$M$9,G1008,1)),"",IF((AND(LEFT(G1008,2)=LEFT('112'!$M$9,2),B1008&lt;'112'!$N$8,$L1008='112'!$I$6)),"x",""))</f>
        <v/>
      </c>
      <c r="T1008" s="525" t="str">
        <f>IF(ISERROR(FIND('112'!$M$9,G1008,1)),"",IF((AND(RIGHT(G1008,2)=RIGHT('112'!$M$9,2),B1008&lt;'112'!$N$8,$M1008='112'!$I$6)),"x",""))</f>
        <v/>
      </c>
      <c r="U1008" s="525" t="str">
        <f>IF(AND(B1008&gt;='IN-NX'!$P$3,B1008&lt;='IN-NX'!$Q$3,'IN-NX'!$D$7=D1008,OR(LEFT(L1008,2)="15",AND(LEFT(M1008,2)&lt;&gt;"15",LEFT(M1008,2)&lt;&gt;"33"))),"x","")</f>
        <v/>
      </c>
      <c r="V1008" s="525" t="str">
        <f>IF(AND(OR(LEFT(TH!L1008,2)="15",LEFT(TH!M1008,2)="15"),'152-CT'!$J$8=TH!F1008),"x","")</f>
        <v/>
      </c>
      <c r="W1008" s="525" t="str">
        <f>IF(AND(OR(LEFT(TH!L1008,2)="15",LEFT(TH!M1008,2)="15"),TK!$E$7=TH!F1008),"x","")</f>
        <v/>
      </c>
      <c r="X1008" s="525" t="str">
        <f>IF(AND('341-CT'!$E$9=H1008,OR(LEFT(L1008,3)=$X$7,LEFT(M1008,3)=$X$7)),"x","")</f>
        <v/>
      </c>
      <c r="Y1008" s="525" t="str">
        <f>IF(OR(TH!L1008=TH!$Y$7,M1008=TH!$Y$7),"x","")</f>
        <v/>
      </c>
      <c r="Z1008" s="525" t="str">
        <f>IF(AND(B1008&lt;=NKC!$N$8,B1008&gt;=NKC!$M$8),"x","")</f>
        <v>x</v>
      </c>
      <c r="AA1008" s="535"/>
    </row>
    <row r="1009" spans="1:27" s="503" customFormat="1" ht="15.75" customHeight="1">
      <c r="A1009" s="517" t="str">
        <f>IF(B1009&lt;&gt;"",IF(AND(B1009&gt;=_TM1,B1009&lt;=_TM2,OR(TH!L1009="1111",TH!M1009="1111")),TH!D1009,""),"")</f>
        <v/>
      </c>
      <c r="B1009" s="531">
        <f t="shared" si="109"/>
        <v>1</v>
      </c>
      <c r="C1009" s="315">
        <f t="shared" si="110"/>
        <v>42758</v>
      </c>
      <c r="D1009" s="315" t="s">
        <v>909</v>
      </c>
      <c r="E1009" s="315">
        <v>42758</v>
      </c>
      <c r="F1009" s="249" t="s">
        <v>633</v>
      </c>
      <c r="G1009" s="314" t="s">
        <v>510</v>
      </c>
      <c r="H1009" s="473" t="s">
        <v>284</v>
      </c>
      <c r="I1009" s="307">
        <v>15</v>
      </c>
      <c r="J1009" s="307">
        <v>42021</v>
      </c>
      <c r="K1009" s="532">
        <f t="shared" si="111"/>
        <v>630315</v>
      </c>
      <c r="L1009" s="534" t="s">
        <v>223</v>
      </c>
      <c r="M1009" s="534" t="s">
        <v>162</v>
      </c>
      <c r="N1009" s="525" t="str">
        <f>IF(AND('331-CT'!$E$7=TH!H1009,OR(L1009="331",M1009="331")),"331",IF(AND(OR(L1009="131",M1009="131"),H1009='131-CT'!$E$7),"131",""))</f>
        <v/>
      </c>
      <c r="O1009" s="525" t="str">
        <f>IF(AND($B1009&gt;='111'!$N$11,$B1009&lt;='111'!$O$11,OR($L1009=$O$7,$M1009=$O$7)),"x","")</f>
        <v/>
      </c>
      <c r="P1009" s="525" t="str">
        <f>IF(AND($L1009=$O$7,$B1009&lt;'111'!$N$11),"x","")</f>
        <v/>
      </c>
      <c r="Q1009" s="525" t="str">
        <f>IF(AND($M1009=$O$7,$B1009&lt;'111'!$N$11),"x","")</f>
        <v/>
      </c>
      <c r="R1009" s="525" t="str">
        <f>IF(ISERROR(FIND('112'!$M$9,G1009,1)),"",IF((AND(FIND('112'!$M$9,G1009,1)&gt;=1,$B1009&gt;='112'!$N$8,$B1009&lt;='112'!$O$8,OR($L1009='112'!$I$6,$M1009='112'!$I$6))),"x",""))</f>
        <v/>
      </c>
      <c r="S1009" s="525" t="str">
        <f>IF(ISERROR(FIND('112'!$M$9,G1009,1)),"",IF((AND(LEFT(G1009,2)=LEFT('112'!$M$9,2),B1009&lt;'112'!$N$8,$L1009='112'!$I$6)),"x",""))</f>
        <v/>
      </c>
      <c r="T1009" s="525" t="str">
        <f>IF(ISERROR(FIND('112'!$M$9,G1009,1)),"",IF((AND(RIGHT(G1009,2)=RIGHT('112'!$M$9,2),B1009&lt;'112'!$N$8,$M1009='112'!$I$6)),"x",""))</f>
        <v/>
      </c>
      <c r="U1009" s="525" t="str">
        <f>IF(AND(B1009&gt;='IN-NX'!$P$3,B1009&lt;='IN-NX'!$Q$3,'IN-NX'!$D$7=D1009,OR(LEFT(L1009,2)="15",AND(LEFT(M1009,2)&lt;&gt;"15",LEFT(M1009,2)&lt;&gt;"33"))),"x","")</f>
        <v/>
      </c>
      <c r="V1009" s="525" t="str">
        <f>IF(AND(OR(LEFT(TH!L1009,2)="15",LEFT(TH!M1009,2)="15"),'152-CT'!$J$8=TH!F1009),"x","")</f>
        <v/>
      </c>
      <c r="W1009" s="525" t="str">
        <f>IF(AND(OR(LEFT(TH!L1009,2)="15",LEFT(TH!M1009,2)="15"),TK!$E$7=TH!F1009),"x","")</f>
        <v/>
      </c>
      <c r="X1009" s="525" t="str">
        <f>IF(AND('341-CT'!$E$9=H1009,OR(LEFT(L1009,3)=$X$7,LEFT(M1009,3)=$X$7)),"x","")</f>
        <v/>
      </c>
      <c r="Y1009" s="525" t="str">
        <f>IF(OR(TH!L1009=TH!$Y$7,M1009=TH!$Y$7),"x","")</f>
        <v/>
      </c>
      <c r="Z1009" s="525" t="str">
        <f>IF(AND(B1009&lt;=NKC!$N$8,B1009&gt;=NKC!$M$8),"x","")</f>
        <v>x</v>
      </c>
      <c r="AA1009" s="535"/>
    </row>
    <row r="1010" spans="1:27" s="503" customFormat="1" ht="15.75" customHeight="1">
      <c r="A1010" s="517" t="str">
        <f>IF(B1010&lt;&gt;"",IF(AND(B1010&gt;=_TM1,B1010&lt;=_TM2,OR(TH!L1010="1111",TH!M1010="1111")),TH!D1010,""),"")</f>
        <v/>
      </c>
      <c r="B1010" s="531">
        <f t="shared" ref="B1010:B1073" si="112">IF(C1010&lt;&gt;"",MONTH(C1010),"")</f>
        <v>1</v>
      </c>
      <c r="C1010" s="315">
        <f t="shared" ref="C1010:C1073" si="113">E1010</f>
        <v>42758</v>
      </c>
      <c r="D1010" s="315" t="s">
        <v>909</v>
      </c>
      <c r="E1010" s="315">
        <v>42758</v>
      </c>
      <c r="F1010" s="249" t="s">
        <v>634</v>
      </c>
      <c r="G1010" s="314" t="s">
        <v>510</v>
      </c>
      <c r="H1010" s="473" t="s">
        <v>284</v>
      </c>
      <c r="I1010" s="307">
        <v>10</v>
      </c>
      <c r="J1010" s="307">
        <v>31547</v>
      </c>
      <c r="K1010" s="532">
        <f t="shared" si="111"/>
        <v>315470</v>
      </c>
      <c r="L1010" s="534" t="s">
        <v>223</v>
      </c>
      <c r="M1010" s="534" t="s">
        <v>162</v>
      </c>
      <c r="N1010" s="525" t="str">
        <f>IF(AND('331-CT'!$E$7=TH!H1010,OR(L1010="331",M1010="331")),"331",IF(AND(OR(L1010="131",M1010="131"),H1010='131-CT'!$E$7),"131",""))</f>
        <v/>
      </c>
      <c r="O1010" s="525" t="str">
        <f>IF(AND($B1010&gt;='111'!$N$11,$B1010&lt;='111'!$O$11,OR($L1010=$O$7,$M1010=$O$7)),"x","")</f>
        <v/>
      </c>
      <c r="P1010" s="525" t="str">
        <f>IF(AND($L1010=$O$7,$B1010&lt;'111'!$N$11),"x","")</f>
        <v/>
      </c>
      <c r="Q1010" s="525" t="str">
        <f>IF(AND($M1010=$O$7,$B1010&lt;'111'!$N$11),"x","")</f>
        <v/>
      </c>
      <c r="R1010" s="525" t="str">
        <f>IF(ISERROR(FIND('112'!$M$9,G1010,1)),"",IF((AND(FIND('112'!$M$9,G1010,1)&gt;=1,$B1010&gt;='112'!$N$8,$B1010&lt;='112'!$O$8,OR($L1010='112'!$I$6,$M1010='112'!$I$6))),"x",""))</f>
        <v/>
      </c>
      <c r="S1010" s="525" t="str">
        <f>IF(ISERROR(FIND('112'!$M$9,G1010,1)),"",IF((AND(LEFT(G1010,2)=LEFT('112'!$M$9,2),B1010&lt;'112'!$N$8,$L1010='112'!$I$6)),"x",""))</f>
        <v/>
      </c>
      <c r="T1010" s="525" t="str">
        <f>IF(ISERROR(FIND('112'!$M$9,G1010,1)),"",IF((AND(RIGHT(G1010,2)=RIGHT('112'!$M$9,2),B1010&lt;'112'!$N$8,$M1010='112'!$I$6)),"x",""))</f>
        <v/>
      </c>
      <c r="U1010" s="525" t="str">
        <f>IF(AND(B1010&gt;='IN-NX'!$P$3,B1010&lt;='IN-NX'!$Q$3,'IN-NX'!$D$7=D1010,OR(LEFT(L1010,2)="15",AND(LEFT(M1010,2)&lt;&gt;"15",LEFT(M1010,2)&lt;&gt;"33"))),"x","")</f>
        <v/>
      </c>
      <c r="V1010" s="525" t="str">
        <f>IF(AND(OR(LEFT(TH!L1010,2)="15",LEFT(TH!M1010,2)="15"),'152-CT'!$J$8=TH!F1010),"x","")</f>
        <v/>
      </c>
      <c r="W1010" s="525" t="str">
        <f>IF(AND(OR(LEFT(TH!L1010,2)="15",LEFT(TH!M1010,2)="15"),TK!$E$7=TH!F1010),"x","")</f>
        <v/>
      </c>
      <c r="X1010" s="525" t="str">
        <f>IF(AND('341-CT'!$E$9=H1010,OR(LEFT(L1010,3)=$X$7,LEFT(M1010,3)=$X$7)),"x","")</f>
        <v/>
      </c>
      <c r="Y1010" s="525" t="str">
        <f>IF(OR(TH!L1010=TH!$Y$7,M1010=TH!$Y$7),"x","")</f>
        <v/>
      </c>
      <c r="Z1010" s="525" t="str">
        <f>IF(AND(B1010&lt;=NKC!$N$8,B1010&gt;=NKC!$M$8),"x","")</f>
        <v>x</v>
      </c>
      <c r="AA1010" s="535"/>
    </row>
    <row r="1011" spans="1:27" s="503" customFormat="1" ht="15.75" customHeight="1">
      <c r="A1011" s="517" t="str">
        <f>IF(B1011&lt;&gt;"",IF(AND(B1011&gt;=_TM1,B1011&lt;=_TM2,OR(TH!L1011="1111",TH!M1011="1111")),TH!D1011,""),"")</f>
        <v/>
      </c>
      <c r="B1011" s="531">
        <f t="shared" si="112"/>
        <v>1</v>
      </c>
      <c r="C1011" s="315">
        <f t="shared" si="113"/>
        <v>42758</v>
      </c>
      <c r="D1011" s="315" t="s">
        <v>910</v>
      </c>
      <c r="E1011" s="315">
        <v>42758</v>
      </c>
      <c r="F1011" s="249" t="s">
        <v>635</v>
      </c>
      <c r="G1011" s="314" t="s">
        <v>510</v>
      </c>
      <c r="H1011" s="473" t="s">
        <v>284</v>
      </c>
      <c r="I1011" s="307">
        <v>16</v>
      </c>
      <c r="J1011" s="307">
        <v>135786</v>
      </c>
      <c r="K1011" s="532">
        <f t="shared" si="111"/>
        <v>2172576</v>
      </c>
      <c r="L1011" s="534" t="s">
        <v>223</v>
      </c>
      <c r="M1011" s="534" t="s">
        <v>162</v>
      </c>
      <c r="N1011" s="525" t="str">
        <f>IF(AND('331-CT'!$E$7=TH!H1011,OR(L1011="331",M1011="331")),"331",IF(AND(OR(L1011="131",M1011="131"),H1011='131-CT'!$E$7),"131",""))</f>
        <v/>
      </c>
      <c r="O1011" s="525" t="str">
        <f>IF(AND($B1011&gt;='111'!$N$11,$B1011&lt;='111'!$O$11,OR($L1011=$O$7,$M1011=$O$7)),"x","")</f>
        <v/>
      </c>
      <c r="P1011" s="525" t="str">
        <f>IF(AND($L1011=$O$7,$B1011&lt;'111'!$N$11),"x","")</f>
        <v/>
      </c>
      <c r="Q1011" s="525" t="str">
        <f>IF(AND($M1011=$O$7,$B1011&lt;'111'!$N$11),"x","")</f>
        <v/>
      </c>
      <c r="R1011" s="525" t="str">
        <f>IF(ISERROR(FIND('112'!$M$9,G1011,1)),"",IF((AND(FIND('112'!$M$9,G1011,1)&gt;=1,$B1011&gt;='112'!$N$8,$B1011&lt;='112'!$O$8,OR($L1011='112'!$I$6,$M1011='112'!$I$6))),"x",""))</f>
        <v/>
      </c>
      <c r="S1011" s="525" t="str">
        <f>IF(ISERROR(FIND('112'!$M$9,G1011,1)),"",IF((AND(LEFT(G1011,2)=LEFT('112'!$M$9,2),B1011&lt;'112'!$N$8,$L1011='112'!$I$6)),"x",""))</f>
        <v/>
      </c>
      <c r="T1011" s="525" t="str">
        <f>IF(ISERROR(FIND('112'!$M$9,G1011,1)),"",IF((AND(RIGHT(G1011,2)=RIGHT('112'!$M$9,2),B1011&lt;'112'!$N$8,$M1011='112'!$I$6)),"x",""))</f>
        <v/>
      </c>
      <c r="U1011" s="525" t="str">
        <f>IF(AND(B1011&gt;='IN-NX'!$P$3,B1011&lt;='IN-NX'!$Q$3,'IN-NX'!$D$7=D1011,OR(LEFT(L1011,2)="15",AND(LEFT(M1011,2)&lt;&gt;"15",LEFT(M1011,2)&lt;&gt;"33"))),"x","")</f>
        <v/>
      </c>
      <c r="V1011" s="525" t="str">
        <f>IF(AND(OR(LEFT(TH!L1011,2)="15",LEFT(TH!M1011,2)="15"),'152-CT'!$J$8=TH!F1011),"x","")</f>
        <v/>
      </c>
      <c r="W1011" s="525" t="str">
        <f>IF(AND(OR(LEFT(TH!L1011,2)="15",LEFT(TH!M1011,2)="15"),TK!$E$7=TH!F1011),"x","")</f>
        <v/>
      </c>
      <c r="X1011" s="525" t="str">
        <f>IF(AND('341-CT'!$E$9=H1011,OR(LEFT(L1011,3)=$X$7,LEFT(M1011,3)=$X$7)),"x","")</f>
        <v/>
      </c>
      <c r="Y1011" s="525" t="str">
        <f>IF(OR(TH!L1011=TH!$Y$7,M1011=TH!$Y$7),"x","")</f>
        <v/>
      </c>
      <c r="Z1011" s="525" t="str">
        <f>IF(AND(B1011&lt;=NKC!$N$8,B1011&gt;=NKC!$M$8),"x","")</f>
        <v>x</v>
      </c>
      <c r="AA1011" s="535"/>
    </row>
    <row r="1012" spans="1:27" s="503" customFormat="1" ht="15.75" customHeight="1">
      <c r="A1012" s="517" t="str">
        <f>IF(B1012&lt;&gt;"",IF(AND(B1012&gt;=_TM1,B1012&lt;=_TM2,OR(TH!L1012="1111",TH!M1012="1111")),TH!D1012,""),"")</f>
        <v/>
      </c>
      <c r="B1012" s="531">
        <f t="shared" si="112"/>
        <v>1</v>
      </c>
      <c r="C1012" s="315">
        <f t="shared" si="113"/>
        <v>42758</v>
      </c>
      <c r="D1012" s="315" t="s">
        <v>910</v>
      </c>
      <c r="E1012" s="315">
        <v>42758</v>
      </c>
      <c r="F1012" s="249" t="s">
        <v>636</v>
      </c>
      <c r="G1012" s="314" t="s">
        <v>510</v>
      </c>
      <c r="H1012" s="473" t="s">
        <v>284</v>
      </c>
      <c r="I1012" s="307">
        <v>16</v>
      </c>
      <c r="J1012" s="307">
        <v>58590</v>
      </c>
      <c r="K1012" s="532">
        <f t="shared" si="111"/>
        <v>937440</v>
      </c>
      <c r="L1012" s="534" t="s">
        <v>223</v>
      </c>
      <c r="M1012" s="534" t="s">
        <v>162</v>
      </c>
      <c r="N1012" s="525" t="str">
        <f>IF(AND('331-CT'!$E$7=TH!H1012,OR(L1012="331",M1012="331")),"331",IF(AND(OR(L1012="131",M1012="131"),H1012='131-CT'!$E$7),"131",""))</f>
        <v/>
      </c>
      <c r="O1012" s="525" t="str">
        <f>IF(AND($B1012&gt;='111'!$N$11,$B1012&lt;='111'!$O$11,OR($L1012=$O$7,$M1012=$O$7)),"x","")</f>
        <v/>
      </c>
      <c r="P1012" s="525" t="str">
        <f>IF(AND($L1012=$O$7,$B1012&lt;'111'!$N$11),"x","")</f>
        <v/>
      </c>
      <c r="Q1012" s="525" t="str">
        <f>IF(AND($M1012=$O$7,$B1012&lt;'111'!$N$11),"x","")</f>
        <v/>
      </c>
      <c r="R1012" s="525" t="str">
        <f>IF(ISERROR(FIND('112'!$M$9,G1012,1)),"",IF((AND(FIND('112'!$M$9,G1012,1)&gt;=1,$B1012&gt;='112'!$N$8,$B1012&lt;='112'!$O$8,OR($L1012='112'!$I$6,$M1012='112'!$I$6))),"x",""))</f>
        <v/>
      </c>
      <c r="S1012" s="525" t="str">
        <f>IF(ISERROR(FIND('112'!$M$9,G1012,1)),"",IF((AND(LEFT(G1012,2)=LEFT('112'!$M$9,2),B1012&lt;'112'!$N$8,$L1012='112'!$I$6)),"x",""))</f>
        <v/>
      </c>
      <c r="T1012" s="525" t="str">
        <f>IF(ISERROR(FIND('112'!$M$9,G1012,1)),"",IF((AND(RIGHT(G1012,2)=RIGHT('112'!$M$9,2),B1012&lt;'112'!$N$8,$M1012='112'!$I$6)),"x",""))</f>
        <v/>
      </c>
      <c r="U1012" s="525" t="str">
        <f>IF(AND(B1012&gt;='IN-NX'!$P$3,B1012&lt;='IN-NX'!$Q$3,'IN-NX'!$D$7=D1012,OR(LEFT(L1012,2)="15",AND(LEFT(M1012,2)&lt;&gt;"15",LEFT(M1012,2)&lt;&gt;"33"))),"x","")</f>
        <v/>
      </c>
      <c r="V1012" s="525" t="str">
        <f>IF(AND(OR(LEFT(TH!L1012,2)="15",LEFT(TH!M1012,2)="15"),'152-CT'!$J$8=TH!F1012),"x","")</f>
        <v/>
      </c>
      <c r="W1012" s="525" t="str">
        <f>IF(AND(OR(LEFT(TH!L1012,2)="15",LEFT(TH!M1012,2)="15"),TK!$E$7=TH!F1012),"x","")</f>
        <v/>
      </c>
      <c r="X1012" s="525" t="str">
        <f>IF(AND('341-CT'!$E$9=H1012,OR(LEFT(L1012,3)=$X$7,LEFT(M1012,3)=$X$7)),"x","")</f>
        <v/>
      </c>
      <c r="Y1012" s="525" t="str">
        <f>IF(OR(TH!L1012=TH!$Y$7,M1012=TH!$Y$7),"x","")</f>
        <v/>
      </c>
      <c r="Z1012" s="525" t="str">
        <f>IF(AND(B1012&lt;=NKC!$N$8,B1012&gt;=NKC!$M$8),"x","")</f>
        <v>x</v>
      </c>
      <c r="AA1012" s="535"/>
    </row>
    <row r="1013" spans="1:27" s="503" customFormat="1" ht="15.75" customHeight="1">
      <c r="A1013" s="517" t="str">
        <f>IF(B1013&lt;&gt;"",IF(AND(B1013&gt;=_TM1,B1013&lt;=_TM2,OR(TH!L1013="1111",TH!M1013="1111")),TH!D1013,""),"")</f>
        <v/>
      </c>
      <c r="B1013" s="531">
        <f t="shared" si="112"/>
        <v>1</v>
      </c>
      <c r="C1013" s="315">
        <f t="shared" si="113"/>
        <v>42758</v>
      </c>
      <c r="D1013" s="315" t="s">
        <v>910</v>
      </c>
      <c r="E1013" s="315">
        <v>42758</v>
      </c>
      <c r="F1013" s="249" t="s">
        <v>637</v>
      </c>
      <c r="G1013" s="314" t="s">
        <v>510</v>
      </c>
      <c r="H1013" s="473" t="s">
        <v>284</v>
      </c>
      <c r="I1013" s="307">
        <v>12</v>
      </c>
      <c r="J1013" s="307">
        <v>129948.00000000001</v>
      </c>
      <c r="K1013" s="532">
        <f t="shared" si="111"/>
        <v>1559376</v>
      </c>
      <c r="L1013" s="534" t="s">
        <v>223</v>
      </c>
      <c r="M1013" s="534" t="s">
        <v>162</v>
      </c>
      <c r="N1013" s="525" t="str">
        <f>IF(AND('331-CT'!$E$7=TH!H1013,OR(L1013="331",M1013="331")),"331",IF(AND(OR(L1013="131",M1013="131"),H1013='131-CT'!$E$7),"131",""))</f>
        <v/>
      </c>
      <c r="O1013" s="525" t="str">
        <f>IF(AND($B1013&gt;='111'!$N$11,$B1013&lt;='111'!$O$11,OR($L1013=$O$7,$M1013=$O$7)),"x","")</f>
        <v/>
      </c>
      <c r="P1013" s="525" t="str">
        <f>IF(AND($L1013=$O$7,$B1013&lt;'111'!$N$11),"x","")</f>
        <v/>
      </c>
      <c r="Q1013" s="525" t="str">
        <f>IF(AND($M1013=$O$7,$B1013&lt;'111'!$N$11),"x","")</f>
        <v/>
      </c>
      <c r="R1013" s="525" t="str">
        <f>IF(ISERROR(FIND('112'!$M$9,G1013,1)),"",IF((AND(FIND('112'!$M$9,G1013,1)&gt;=1,$B1013&gt;='112'!$N$8,$B1013&lt;='112'!$O$8,OR($L1013='112'!$I$6,$M1013='112'!$I$6))),"x",""))</f>
        <v/>
      </c>
      <c r="S1013" s="525" t="str">
        <f>IF(ISERROR(FIND('112'!$M$9,G1013,1)),"",IF((AND(LEFT(G1013,2)=LEFT('112'!$M$9,2),B1013&lt;'112'!$N$8,$L1013='112'!$I$6)),"x",""))</f>
        <v/>
      </c>
      <c r="T1013" s="525" t="str">
        <f>IF(ISERROR(FIND('112'!$M$9,G1013,1)),"",IF((AND(RIGHT(G1013,2)=RIGHT('112'!$M$9,2),B1013&lt;'112'!$N$8,$M1013='112'!$I$6)),"x",""))</f>
        <v/>
      </c>
      <c r="U1013" s="525" t="str">
        <f>IF(AND(B1013&gt;='IN-NX'!$P$3,B1013&lt;='IN-NX'!$Q$3,'IN-NX'!$D$7=D1013,OR(LEFT(L1013,2)="15",AND(LEFT(M1013,2)&lt;&gt;"15",LEFT(M1013,2)&lt;&gt;"33"))),"x","")</f>
        <v/>
      </c>
      <c r="V1013" s="525" t="str">
        <f>IF(AND(OR(LEFT(TH!L1013,2)="15",LEFT(TH!M1013,2)="15"),'152-CT'!$J$8=TH!F1013),"x","")</f>
        <v/>
      </c>
      <c r="W1013" s="525" t="str">
        <f>IF(AND(OR(LEFT(TH!L1013,2)="15",LEFT(TH!M1013,2)="15"),TK!$E$7=TH!F1013),"x","")</f>
        <v/>
      </c>
      <c r="X1013" s="525" t="str">
        <f>IF(AND('341-CT'!$E$9=H1013,OR(LEFT(L1013,3)=$X$7,LEFT(M1013,3)=$X$7)),"x","")</f>
        <v/>
      </c>
      <c r="Y1013" s="525" t="str">
        <f>IF(OR(TH!L1013=TH!$Y$7,M1013=TH!$Y$7),"x","")</f>
        <v/>
      </c>
      <c r="Z1013" s="525" t="str">
        <f>IF(AND(B1013&lt;=NKC!$N$8,B1013&gt;=NKC!$M$8),"x","")</f>
        <v>x</v>
      </c>
      <c r="AA1013" s="535"/>
    </row>
    <row r="1014" spans="1:27" s="503" customFormat="1" ht="15.75" customHeight="1">
      <c r="A1014" s="517" t="str">
        <f>IF(B1014&lt;&gt;"",IF(AND(B1014&gt;=_TM1,B1014&lt;=_TM2,OR(TH!L1014="1111",TH!M1014="1111")),TH!D1014,""),"")</f>
        <v/>
      </c>
      <c r="B1014" s="531">
        <f t="shared" si="112"/>
        <v>1</v>
      </c>
      <c r="C1014" s="315">
        <f t="shared" si="113"/>
        <v>42758</v>
      </c>
      <c r="D1014" s="315" t="s">
        <v>910</v>
      </c>
      <c r="E1014" s="315">
        <v>42758</v>
      </c>
      <c r="F1014" s="249" t="s">
        <v>629</v>
      </c>
      <c r="G1014" s="314" t="s">
        <v>510</v>
      </c>
      <c r="H1014" s="473" t="s">
        <v>284</v>
      </c>
      <c r="I1014" s="307">
        <v>48</v>
      </c>
      <c r="J1014" s="307">
        <v>37787.200000000004</v>
      </c>
      <c r="K1014" s="532">
        <f t="shared" si="111"/>
        <v>1813786</v>
      </c>
      <c r="L1014" s="534" t="s">
        <v>223</v>
      </c>
      <c r="M1014" s="534" t="s">
        <v>162</v>
      </c>
      <c r="N1014" s="525" t="str">
        <f>IF(AND('331-CT'!$E$7=TH!H1014,OR(L1014="331",M1014="331")),"331",IF(AND(OR(L1014="131",M1014="131"),H1014='131-CT'!$E$7),"131",""))</f>
        <v/>
      </c>
      <c r="O1014" s="525" t="str">
        <f>IF(AND($B1014&gt;='111'!$N$11,$B1014&lt;='111'!$O$11,OR($L1014=$O$7,$M1014=$O$7)),"x","")</f>
        <v/>
      </c>
      <c r="P1014" s="525" t="str">
        <f>IF(AND($L1014=$O$7,$B1014&lt;'111'!$N$11),"x","")</f>
        <v/>
      </c>
      <c r="Q1014" s="525" t="str">
        <f>IF(AND($M1014=$O$7,$B1014&lt;'111'!$N$11),"x","")</f>
        <v/>
      </c>
      <c r="R1014" s="525" t="str">
        <f>IF(ISERROR(FIND('112'!$M$9,G1014,1)),"",IF((AND(FIND('112'!$M$9,G1014,1)&gt;=1,$B1014&gt;='112'!$N$8,$B1014&lt;='112'!$O$8,OR($L1014='112'!$I$6,$M1014='112'!$I$6))),"x",""))</f>
        <v/>
      </c>
      <c r="S1014" s="525" t="str">
        <f>IF(ISERROR(FIND('112'!$M$9,G1014,1)),"",IF((AND(LEFT(G1014,2)=LEFT('112'!$M$9,2),B1014&lt;'112'!$N$8,$L1014='112'!$I$6)),"x",""))</f>
        <v/>
      </c>
      <c r="T1014" s="525" t="str">
        <f>IF(ISERROR(FIND('112'!$M$9,G1014,1)),"",IF((AND(RIGHT(G1014,2)=RIGHT('112'!$M$9,2),B1014&lt;'112'!$N$8,$M1014='112'!$I$6)),"x",""))</f>
        <v/>
      </c>
      <c r="U1014" s="525" t="str">
        <f>IF(AND(B1014&gt;='IN-NX'!$P$3,B1014&lt;='IN-NX'!$Q$3,'IN-NX'!$D$7=D1014,OR(LEFT(L1014,2)="15",AND(LEFT(M1014,2)&lt;&gt;"15",LEFT(M1014,2)&lt;&gt;"33"))),"x","")</f>
        <v/>
      </c>
      <c r="V1014" s="525" t="str">
        <f>IF(AND(OR(LEFT(TH!L1014,2)="15",LEFT(TH!M1014,2)="15"),'152-CT'!$J$8=TH!F1014),"x","")</f>
        <v/>
      </c>
      <c r="W1014" s="525" t="str">
        <f>IF(AND(OR(LEFT(TH!L1014,2)="15",LEFT(TH!M1014,2)="15"),TK!$E$7=TH!F1014),"x","")</f>
        <v/>
      </c>
      <c r="X1014" s="525" t="str">
        <f>IF(AND('341-CT'!$E$9=H1014,OR(LEFT(L1014,3)=$X$7,LEFT(M1014,3)=$X$7)),"x","")</f>
        <v/>
      </c>
      <c r="Y1014" s="525" t="str">
        <f>IF(OR(TH!L1014=TH!$Y$7,M1014=TH!$Y$7),"x","")</f>
        <v/>
      </c>
      <c r="Z1014" s="525" t="str">
        <f>IF(AND(B1014&lt;=NKC!$N$8,B1014&gt;=NKC!$M$8),"x","")</f>
        <v>x</v>
      </c>
      <c r="AA1014" s="535"/>
    </row>
    <row r="1015" spans="1:27" s="503" customFormat="1" ht="15.75" customHeight="1">
      <c r="A1015" s="517" t="str">
        <f>IF(B1015&lt;&gt;"",IF(AND(B1015&gt;=_TM1,B1015&lt;=_TM2,OR(TH!L1015="1111",TH!M1015="1111")),TH!D1015,""),"")</f>
        <v/>
      </c>
      <c r="B1015" s="531">
        <f t="shared" si="112"/>
        <v>1</v>
      </c>
      <c r="C1015" s="315">
        <f t="shared" si="113"/>
        <v>42758</v>
      </c>
      <c r="D1015" s="315" t="s">
        <v>910</v>
      </c>
      <c r="E1015" s="315">
        <v>42758</v>
      </c>
      <c r="F1015" s="249" t="s">
        <v>638</v>
      </c>
      <c r="G1015" s="314" t="s">
        <v>510</v>
      </c>
      <c r="H1015" s="473" t="s">
        <v>284</v>
      </c>
      <c r="I1015" s="307">
        <v>24</v>
      </c>
      <c r="J1015" s="307">
        <v>37089.08</v>
      </c>
      <c r="K1015" s="532">
        <f t="shared" si="111"/>
        <v>890138</v>
      </c>
      <c r="L1015" s="534" t="s">
        <v>223</v>
      </c>
      <c r="M1015" s="534" t="s">
        <v>162</v>
      </c>
      <c r="N1015" s="525" t="str">
        <f>IF(AND('331-CT'!$E$7=TH!H1015,OR(L1015="331",M1015="331")),"331",IF(AND(OR(L1015="131",M1015="131"),H1015='131-CT'!$E$7),"131",""))</f>
        <v/>
      </c>
      <c r="O1015" s="525" t="str">
        <f>IF(AND($B1015&gt;='111'!$N$11,$B1015&lt;='111'!$O$11,OR($L1015=$O$7,$M1015=$O$7)),"x","")</f>
        <v/>
      </c>
      <c r="P1015" s="525" t="str">
        <f>IF(AND($L1015=$O$7,$B1015&lt;'111'!$N$11),"x","")</f>
        <v/>
      </c>
      <c r="Q1015" s="525" t="str">
        <f>IF(AND($M1015=$O$7,$B1015&lt;'111'!$N$11),"x","")</f>
        <v/>
      </c>
      <c r="R1015" s="525" t="str">
        <f>IF(ISERROR(FIND('112'!$M$9,G1015,1)),"",IF((AND(FIND('112'!$M$9,G1015,1)&gt;=1,$B1015&gt;='112'!$N$8,$B1015&lt;='112'!$O$8,OR($L1015='112'!$I$6,$M1015='112'!$I$6))),"x",""))</f>
        <v/>
      </c>
      <c r="S1015" s="525" t="str">
        <f>IF(ISERROR(FIND('112'!$M$9,G1015,1)),"",IF((AND(LEFT(G1015,2)=LEFT('112'!$M$9,2),B1015&lt;'112'!$N$8,$L1015='112'!$I$6)),"x",""))</f>
        <v/>
      </c>
      <c r="T1015" s="525" t="str">
        <f>IF(ISERROR(FIND('112'!$M$9,G1015,1)),"",IF((AND(RIGHT(G1015,2)=RIGHT('112'!$M$9,2),B1015&lt;'112'!$N$8,$M1015='112'!$I$6)),"x",""))</f>
        <v/>
      </c>
      <c r="U1015" s="525" t="str">
        <f>IF(AND(B1015&gt;='IN-NX'!$P$3,B1015&lt;='IN-NX'!$Q$3,'IN-NX'!$D$7=D1015,OR(LEFT(L1015,2)="15",AND(LEFT(M1015,2)&lt;&gt;"15",LEFT(M1015,2)&lt;&gt;"33"))),"x","")</f>
        <v/>
      </c>
      <c r="V1015" s="525" t="str">
        <f>IF(AND(OR(LEFT(TH!L1015,2)="15",LEFT(TH!M1015,2)="15"),'152-CT'!$J$8=TH!F1015),"x","")</f>
        <v/>
      </c>
      <c r="W1015" s="525" t="str">
        <f>IF(AND(OR(LEFT(TH!L1015,2)="15",LEFT(TH!M1015,2)="15"),TK!$E$7=TH!F1015),"x","")</f>
        <v/>
      </c>
      <c r="X1015" s="525" t="str">
        <f>IF(AND('341-CT'!$E$9=H1015,OR(LEFT(L1015,3)=$X$7,LEFT(M1015,3)=$X$7)),"x","")</f>
        <v/>
      </c>
      <c r="Y1015" s="525" t="str">
        <f>IF(OR(TH!L1015=TH!$Y$7,M1015=TH!$Y$7),"x","")</f>
        <v/>
      </c>
      <c r="Z1015" s="525" t="str">
        <f>IF(AND(B1015&lt;=NKC!$N$8,B1015&gt;=NKC!$M$8),"x","")</f>
        <v>x</v>
      </c>
      <c r="AA1015" s="535"/>
    </row>
    <row r="1016" spans="1:27" s="503" customFormat="1" ht="15.75" customHeight="1">
      <c r="A1016" s="517" t="str">
        <f>IF(B1016&lt;&gt;"",IF(AND(B1016&gt;=_TM1,B1016&lt;=_TM2,OR(TH!L1016="1111",TH!M1016="1111")),TH!D1016,""),"")</f>
        <v/>
      </c>
      <c r="B1016" s="531">
        <f t="shared" si="112"/>
        <v>1</v>
      </c>
      <c r="C1016" s="315">
        <f t="shared" si="113"/>
        <v>42758</v>
      </c>
      <c r="D1016" s="315" t="s">
        <v>910</v>
      </c>
      <c r="E1016" s="315">
        <v>42758</v>
      </c>
      <c r="F1016" s="249" t="s">
        <v>639</v>
      </c>
      <c r="G1016" s="314" t="s">
        <v>510</v>
      </c>
      <c r="H1016" s="473" t="s">
        <v>284</v>
      </c>
      <c r="I1016" s="307">
        <v>6</v>
      </c>
      <c r="J1016" s="307">
        <v>114450</v>
      </c>
      <c r="K1016" s="532">
        <f t="shared" si="111"/>
        <v>686700</v>
      </c>
      <c r="L1016" s="534" t="s">
        <v>223</v>
      </c>
      <c r="M1016" s="534" t="s">
        <v>162</v>
      </c>
      <c r="N1016" s="525" t="str">
        <f>IF(AND('331-CT'!$E$7=TH!H1016,OR(L1016="331",M1016="331")),"331",IF(AND(OR(L1016="131",M1016="131"),H1016='131-CT'!$E$7),"131",""))</f>
        <v/>
      </c>
      <c r="O1016" s="525" t="str">
        <f>IF(AND($B1016&gt;='111'!$N$11,$B1016&lt;='111'!$O$11,OR($L1016=$O$7,$M1016=$O$7)),"x","")</f>
        <v/>
      </c>
      <c r="P1016" s="525" t="str">
        <f>IF(AND($L1016=$O$7,$B1016&lt;'111'!$N$11),"x","")</f>
        <v/>
      </c>
      <c r="Q1016" s="525" t="str">
        <f>IF(AND($M1016=$O$7,$B1016&lt;'111'!$N$11),"x","")</f>
        <v/>
      </c>
      <c r="R1016" s="525" t="str">
        <f>IF(ISERROR(FIND('112'!$M$9,G1016,1)),"",IF((AND(FIND('112'!$M$9,G1016,1)&gt;=1,$B1016&gt;='112'!$N$8,$B1016&lt;='112'!$O$8,OR($L1016='112'!$I$6,$M1016='112'!$I$6))),"x",""))</f>
        <v/>
      </c>
      <c r="S1016" s="525" t="str">
        <f>IF(ISERROR(FIND('112'!$M$9,G1016,1)),"",IF((AND(LEFT(G1016,2)=LEFT('112'!$M$9,2),B1016&lt;'112'!$N$8,$L1016='112'!$I$6)),"x",""))</f>
        <v/>
      </c>
      <c r="T1016" s="525" t="str">
        <f>IF(ISERROR(FIND('112'!$M$9,G1016,1)),"",IF((AND(RIGHT(G1016,2)=RIGHT('112'!$M$9,2),B1016&lt;'112'!$N$8,$M1016='112'!$I$6)),"x",""))</f>
        <v/>
      </c>
      <c r="U1016" s="525" t="str">
        <f>IF(AND(B1016&gt;='IN-NX'!$P$3,B1016&lt;='IN-NX'!$Q$3,'IN-NX'!$D$7=D1016,OR(LEFT(L1016,2)="15",AND(LEFT(M1016,2)&lt;&gt;"15",LEFT(M1016,2)&lt;&gt;"33"))),"x","")</f>
        <v/>
      </c>
      <c r="V1016" s="525" t="str">
        <f>IF(AND(OR(LEFT(TH!L1016,2)="15",LEFT(TH!M1016,2)="15"),'152-CT'!$J$8=TH!F1016),"x","")</f>
        <v/>
      </c>
      <c r="W1016" s="525" t="str">
        <f>IF(AND(OR(LEFT(TH!L1016,2)="15",LEFT(TH!M1016,2)="15"),TK!$E$7=TH!F1016),"x","")</f>
        <v/>
      </c>
      <c r="X1016" s="525" t="str">
        <f>IF(AND('341-CT'!$E$9=H1016,OR(LEFT(L1016,3)=$X$7,LEFT(M1016,3)=$X$7)),"x","")</f>
        <v/>
      </c>
      <c r="Y1016" s="525" t="str">
        <f>IF(OR(TH!L1016=TH!$Y$7,M1016=TH!$Y$7),"x","")</f>
        <v/>
      </c>
      <c r="Z1016" s="525" t="str">
        <f>IF(AND(B1016&lt;=NKC!$N$8,B1016&gt;=NKC!$M$8),"x","")</f>
        <v>x</v>
      </c>
      <c r="AA1016" s="535"/>
    </row>
    <row r="1017" spans="1:27" s="503" customFormat="1" ht="15.75" customHeight="1">
      <c r="A1017" s="517" t="str">
        <f>IF(B1017&lt;&gt;"",IF(AND(B1017&gt;=_TM1,B1017&lt;=_TM2,OR(TH!L1017="1111",TH!M1017="1111")),TH!D1017,""),"")</f>
        <v/>
      </c>
      <c r="B1017" s="531">
        <f t="shared" si="112"/>
        <v>1</v>
      </c>
      <c r="C1017" s="315">
        <f t="shared" si="113"/>
        <v>42758</v>
      </c>
      <c r="D1017" s="315" t="s">
        <v>910</v>
      </c>
      <c r="E1017" s="315">
        <v>42758</v>
      </c>
      <c r="F1017" s="249" t="s">
        <v>640</v>
      </c>
      <c r="G1017" s="314" t="s">
        <v>510</v>
      </c>
      <c r="H1017" s="473" t="s">
        <v>284</v>
      </c>
      <c r="I1017" s="307">
        <v>6</v>
      </c>
      <c r="J1017" s="307">
        <v>118540.8</v>
      </c>
      <c r="K1017" s="532">
        <f t="shared" si="111"/>
        <v>711245</v>
      </c>
      <c r="L1017" s="534" t="s">
        <v>223</v>
      </c>
      <c r="M1017" s="534" t="s">
        <v>162</v>
      </c>
      <c r="N1017" s="525" t="str">
        <f>IF(AND('331-CT'!$E$7=TH!H1017,OR(L1017="331",M1017="331")),"331",IF(AND(OR(L1017="131",M1017="131"),H1017='131-CT'!$E$7),"131",""))</f>
        <v/>
      </c>
      <c r="O1017" s="525" t="str">
        <f>IF(AND($B1017&gt;='111'!$N$11,$B1017&lt;='111'!$O$11,OR($L1017=$O$7,$M1017=$O$7)),"x","")</f>
        <v/>
      </c>
      <c r="P1017" s="525" t="str">
        <f>IF(AND($L1017=$O$7,$B1017&lt;'111'!$N$11),"x","")</f>
        <v/>
      </c>
      <c r="Q1017" s="525" t="str">
        <f>IF(AND($M1017=$O$7,$B1017&lt;'111'!$N$11),"x","")</f>
        <v/>
      </c>
      <c r="R1017" s="525" t="str">
        <f>IF(ISERROR(FIND('112'!$M$9,G1017,1)),"",IF((AND(FIND('112'!$M$9,G1017,1)&gt;=1,$B1017&gt;='112'!$N$8,$B1017&lt;='112'!$O$8,OR($L1017='112'!$I$6,$M1017='112'!$I$6))),"x",""))</f>
        <v/>
      </c>
      <c r="S1017" s="525" t="str">
        <f>IF(ISERROR(FIND('112'!$M$9,G1017,1)),"",IF((AND(LEFT(G1017,2)=LEFT('112'!$M$9,2),B1017&lt;'112'!$N$8,$L1017='112'!$I$6)),"x",""))</f>
        <v/>
      </c>
      <c r="T1017" s="525" t="str">
        <f>IF(ISERROR(FIND('112'!$M$9,G1017,1)),"",IF((AND(RIGHT(G1017,2)=RIGHT('112'!$M$9,2),B1017&lt;'112'!$N$8,$M1017='112'!$I$6)),"x",""))</f>
        <v/>
      </c>
      <c r="U1017" s="525" t="str">
        <f>IF(AND(B1017&gt;='IN-NX'!$P$3,B1017&lt;='IN-NX'!$Q$3,'IN-NX'!$D$7=D1017,OR(LEFT(L1017,2)="15",AND(LEFT(M1017,2)&lt;&gt;"15",LEFT(M1017,2)&lt;&gt;"33"))),"x","")</f>
        <v/>
      </c>
      <c r="V1017" s="525" t="str">
        <f>IF(AND(OR(LEFT(TH!L1017,2)="15",LEFT(TH!M1017,2)="15"),'152-CT'!$J$8=TH!F1017),"x","")</f>
        <v/>
      </c>
      <c r="W1017" s="525" t="str">
        <f>IF(AND(OR(LEFT(TH!L1017,2)="15",LEFT(TH!M1017,2)="15"),TK!$E$7=TH!F1017),"x","")</f>
        <v/>
      </c>
      <c r="X1017" s="525" t="str">
        <f>IF(AND('341-CT'!$E$9=H1017,OR(LEFT(L1017,3)=$X$7,LEFT(M1017,3)=$X$7)),"x","")</f>
        <v/>
      </c>
      <c r="Y1017" s="525" t="str">
        <f>IF(OR(TH!L1017=TH!$Y$7,M1017=TH!$Y$7),"x","")</f>
        <v/>
      </c>
      <c r="Z1017" s="525" t="str">
        <f>IF(AND(B1017&lt;=NKC!$N$8,B1017&gt;=NKC!$M$8),"x","")</f>
        <v>x</v>
      </c>
      <c r="AA1017" s="535"/>
    </row>
    <row r="1018" spans="1:27" s="503" customFormat="1" ht="15.75" customHeight="1">
      <c r="A1018" s="517" t="str">
        <f>IF(B1018&lt;&gt;"",IF(AND(B1018&gt;=_TM1,B1018&lt;=_TM2,OR(TH!L1018="1111",TH!M1018="1111")),TH!D1018,""),"")</f>
        <v/>
      </c>
      <c r="B1018" s="531">
        <f t="shared" si="112"/>
        <v>1</v>
      </c>
      <c r="C1018" s="315">
        <f t="shared" si="113"/>
        <v>42758</v>
      </c>
      <c r="D1018" s="315" t="s">
        <v>910</v>
      </c>
      <c r="E1018" s="315">
        <v>42758</v>
      </c>
      <c r="F1018" s="249" t="s">
        <v>641</v>
      </c>
      <c r="G1018" s="314" t="s">
        <v>510</v>
      </c>
      <c r="H1018" s="473" t="s">
        <v>284</v>
      </c>
      <c r="I1018" s="307">
        <v>6</v>
      </c>
      <c r="J1018" s="307">
        <v>48174</v>
      </c>
      <c r="K1018" s="532">
        <f t="shared" si="111"/>
        <v>289044</v>
      </c>
      <c r="L1018" s="534" t="s">
        <v>223</v>
      </c>
      <c r="M1018" s="534" t="s">
        <v>162</v>
      </c>
      <c r="N1018" s="525" t="str">
        <f>IF(AND('331-CT'!$E$7=TH!H1018,OR(L1018="331",M1018="331")),"331",IF(AND(OR(L1018="131",M1018="131"),H1018='131-CT'!$E$7),"131",""))</f>
        <v/>
      </c>
      <c r="O1018" s="525" t="str">
        <f>IF(AND($B1018&gt;='111'!$N$11,$B1018&lt;='111'!$O$11,OR($L1018=$O$7,$M1018=$O$7)),"x","")</f>
        <v/>
      </c>
      <c r="P1018" s="525" t="str">
        <f>IF(AND($L1018=$O$7,$B1018&lt;'111'!$N$11),"x","")</f>
        <v/>
      </c>
      <c r="Q1018" s="525" t="str">
        <f>IF(AND($M1018=$O$7,$B1018&lt;'111'!$N$11),"x","")</f>
        <v/>
      </c>
      <c r="R1018" s="525" t="str">
        <f>IF(ISERROR(FIND('112'!$M$9,G1018,1)),"",IF((AND(FIND('112'!$M$9,G1018,1)&gt;=1,$B1018&gt;='112'!$N$8,$B1018&lt;='112'!$O$8,OR($L1018='112'!$I$6,$M1018='112'!$I$6))),"x",""))</f>
        <v/>
      </c>
      <c r="S1018" s="525" t="str">
        <f>IF(ISERROR(FIND('112'!$M$9,G1018,1)),"",IF((AND(LEFT(G1018,2)=LEFT('112'!$M$9,2),B1018&lt;'112'!$N$8,$L1018='112'!$I$6)),"x",""))</f>
        <v/>
      </c>
      <c r="T1018" s="525" t="str">
        <f>IF(ISERROR(FIND('112'!$M$9,G1018,1)),"",IF((AND(RIGHT(G1018,2)=RIGHT('112'!$M$9,2),B1018&lt;'112'!$N$8,$M1018='112'!$I$6)),"x",""))</f>
        <v/>
      </c>
      <c r="U1018" s="525" t="str">
        <f>IF(AND(B1018&gt;='IN-NX'!$P$3,B1018&lt;='IN-NX'!$Q$3,'IN-NX'!$D$7=D1018,OR(LEFT(L1018,2)="15",AND(LEFT(M1018,2)&lt;&gt;"15",LEFT(M1018,2)&lt;&gt;"33"))),"x","")</f>
        <v/>
      </c>
      <c r="V1018" s="525" t="str">
        <f>IF(AND(OR(LEFT(TH!L1018,2)="15",LEFT(TH!M1018,2)="15"),'152-CT'!$J$8=TH!F1018),"x","")</f>
        <v/>
      </c>
      <c r="W1018" s="525" t="str">
        <f>IF(AND(OR(LEFT(TH!L1018,2)="15",LEFT(TH!M1018,2)="15"),TK!$E$7=TH!F1018),"x","")</f>
        <v/>
      </c>
      <c r="X1018" s="525" t="str">
        <f>IF(AND('341-CT'!$E$9=H1018,OR(LEFT(L1018,3)=$X$7,LEFT(M1018,3)=$X$7)),"x","")</f>
        <v/>
      </c>
      <c r="Y1018" s="525" t="str">
        <f>IF(OR(TH!L1018=TH!$Y$7,M1018=TH!$Y$7),"x","")</f>
        <v/>
      </c>
      <c r="Z1018" s="525" t="str">
        <f>IF(AND(B1018&lt;=NKC!$N$8,B1018&gt;=NKC!$M$8),"x","")</f>
        <v>x</v>
      </c>
      <c r="AA1018" s="535"/>
    </row>
    <row r="1019" spans="1:27" s="503" customFormat="1" ht="15.75" customHeight="1">
      <c r="A1019" s="517" t="str">
        <f>IF(B1019&lt;&gt;"",IF(AND(B1019&gt;=_TM1,B1019&lt;=_TM2,OR(TH!L1019="1111",TH!M1019="1111")),TH!D1019,""),"")</f>
        <v/>
      </c>
      <c r="B1019" s="531">
        <f t="shared" si="112"/>
        <v>1</v>
      </c>
      <c r="C1019" s="315">
        <f t="shared" si="113"/>
        <v>42758</v>
      </c>
      <c r="D1019" s="315" t="s">
        <v>910</v>
      </c>
      <c r="E1019" s="315">
        <v>42758</v>
      </c>
      <c r="F1019" s="249" t="s">
        <v>642</v>
      </c>
      <c r="G1019" s="314" t="s">
        <v>510</v>
      </c>
      <c r="H1019" s="473" t="s">
        <v>284</v>
      </c>
      <c r="I1019" s="307">
        <v>65</v>
      </c>
      <c r="J1019" s="307">
        <v>19431</v>
      </c>
      <c r="K1019" s="532">
        <f t="shared" ref="K1019:K1050" si="114">ROUND(I1019*J1019,0)</f>
        <v>1263015</v>
      </c>
      <c r="L1019" s="534" t="s">
        <v>223</v>
      </c>
      <c r="M1019" s="534" t="s">
        <v>162</v>
      </c>
      <c r="N1019" s="525" t="str">
        <f>IF(AND('331-CT'!$E$7=TH!H1019,OR(L1019="331",M1019="331")),"331",IF(AND(OR(L1019="131",M1019="131"),H1019='131-CT'!$E$7),"131",""))</f>
        <v/>
      </c>
      <c r="O1019" s="525" t="str">
        <f>IF(AND($B1019&gt;='111'!$N$11,$B1019&lt;='111'!$O$11,OR($L1019=$O$7,$M1019=$O$7)),"x","")</f>
        <v/>
      </c>
      <c r="P1019" s="525" t="str">
        <f>IF(AND($L1019=$O$7,$B1019&lt;'111'!$N$11),"x","")</f>
        <v/>
      </c>
      <c r="Q1019" s="525" t="str">
        <f>IF(AND($M1019=$O$7,$B1019&lt;'111'!$N$11),"x","")</f>
        <v/>
      </c>
      <c r="R1019" s="525" t="str">
        <f>IF(ISERROR(FIND('112'!$M$9,G1019,1)),"",IF((AND(FIND('112'!$M$9,G1019,1)&gt;=1,$B1019&gt;='112'!$N$8,$B1019&lt;='112'!$O$8,OR($L1019='112'!$I$6,$M1019='112'!$I$6))),"x",""))</f>
        <v/>
      </c>
      <c r="S1019" s="525" t="str">
        <f>IF(ISERROR(FIND('112'!$M$9,G1019,1)),"",IF((AND(LEFT(G1019,2)=LEFT('112'!$M$9,2),B1019&lt;'112'!$N$8,$L1019='112'!$I$6)),"x",""))</f>
        <v/>
      </c>
      <c r="T1019" s="525" t="str">
        <f>IF(ISERROR(FIND('112'!$M$9,G1019,1)),"",IF((AND(RIGHT(G1019,2)=RIGHT('112'!$M$9,2),B1019&lt;'112'!$N$8,$M1019='112'!$I$6)),"x",""))</f>
        <v/>
      </c>
      <c r="U1019" s="525" t="str">
        <f>IF(AND(B1019&gt;='IN-NX'!$P$3,B1019&lt;='IN-NX'!$Q$3,'IN-NX'!$D$7=D1019,OR(LEFT(L1019,2)="15",AND(LEFT(M1019,2)&lt;&gt;"15",LEFT(M1019,2)&lt;&gt;"33"))),"x","")</f>
        <v/>
      </c>
      <c r="V1019" s="525" t="str">
        <f>IF(AND(OR(LEFT(TH!L1019,2)="15",LEFT(TH!M1019,2)="15"),'152-CT'!$J$8=TH!F1019),"x","")</f>
        <v/>
      </c>
      <c r="W1019" s="525" t="str">
        <f>IF(AND(OR(LEFT(TH!L1019,2)="15",LEFT(TH!M1019,2)="15"),TK!$E$7=TH!F1019),"x","")</f>
        <v/>
      </c>
      <c r="X1019" s="525" t="str">
        <f>IF(AND('341-CT'!$E$9=H1019,OR(LEFT(L1019,3)=$X$7,LEFT(M1019,3)=$X$7)),"x","")</f>
        <v/>
      </c>
      <c r="Y1019" s="525" t="str">
        <f>IF(OR(TH!L1019=TH!$Y$7,M1019=TH!$Y$7),"x","")</f>
        <v/>
      </c>
      <c r="Z1019" s="525" t="str">
        <f>IF(AND(B1019&lt;=NKC!$N$8,B1019&gt;=NKC!$M$8),"x","")</f>
        <v>x</v>
      </c>
      <c r="AA1019" s="535"/>
    </row>
    <row r="1020" spans="1:27" s="503" customFormat="1" ht="15.75" customHeight="1">
      <c r="A1020" s="517" t="str">
        <f>IF(B1020&lt;&gt;"",IF(AND(B1020&gt;=_TM1,B1020&lt;=_TM2,OR(TH!L1020="1111",TH!M1020="1111")),TH!D1020,""),"")</f>
        <v/>
      </c>
      <c r="B1020" s="531">
        <f t="shared" si="112"/>
        <v>1</v>
      </c>
      <c r="C1020" s="315">
        <f t="shared" si="113"/>
        <v>42758</v>
      </c>
      <c r="D1020" s="315" t="s">
        <v>910</v>
      </c>
      <c r="E1020" s="315">
        <v>42758</v>
      </c>
      <c r="F1020" s="249" t="s">
        <v>643</v>
      </c>
      <c r="G1020" s="314" t="s">
        <v>510</v>
      </c>
      <c r="H1020" s="473" t="s">
        <v>284</v>
      </c>
      <c r="I1020" s="307">
        <v>22</v>
      </c>
      <c r="J1020" s="307">
        <v>88297.920000000013</v>
      </c>
      <c r="K1020" s="532">
        <f t="shared" si="114"/>
        <v>1942554</v>
      </c>
      <c r="L1020" s="534" t="s">
        <v>223</v>
      </c>
      <c r="M1020" s="534" t="s">
        <v>162</v>
      </c>
      <c r="N1020" s="525" t="str">
        <f>IF(AND('331-CT'!$E$7=TH!H1020,OR(L1020="331",M1020="331")),"331",IF(AND(OR(L1020="131",M1020="131"),H1020='131-CT'!$E$7),"131",""))</f>
        <v/>
      </c>
      <c r="O1020" s="525" t="str">
        <f>IF(AND($B1020&gt;='111'!$N$11,$B1020&lt;='111'!$O$11,OR($L1020=$O$7,$M1020=$O$7)),"x","")</f>
        <v/>
      </c>
      <c r="P1020" s="525" t="str">
        <f>IF(AND($L1020=$O$7,$B1020&lt;'111'!$N$11),"x","")</f>
        <v/>
      </c>
      <c r="Q1020" s="525" t="str">
        <f>IF(AND($M1020=$O$7,$B1020&lt;'111'!$N$11),"x","")</f>
        <v/>
      </c>
      <c r="R1020" s="525" t="str">
        <f>IF(ISERROR(FIND('112'!$M$9,G1020,1)),"",IF((AND(FIND('112'!$M$9,G1020,1)&gt;=1,$B1020&gt;='112'!$N$8,$B1020&lt;='112'!$O$8,OR($L1020='112'!$I$6,$M1020='112'!$I$6))),"x",""))</f>
        <v/>
      </c>
      <c r="S1020" s="525" t="str">
        <f>IF(ISERROR(FIND('112'!$M$9,G1020,1)),"",IF((AND(LEFT(G1020,2)=LEFT('112'!$M$9,2),B1020&lt;'112'!$N$8,$L1020='112'!$I$6)),"x",""))</f>
        <v/>
      </c>
      <c r="T1020" s="525" t="str">
        <f>IF(ISERROR(FIND('112'!$M$9,G1020,1)),"",IF((AND(RIGHT(G1020,2)=RIGHT('112'!$M$9,2),B1020&lt;'112'!$N$8,$M1020='112'!$I$6)),"x",""))</f>
        <v/>
      </c>
      <c r="U1020" s="525" t="str">
        <f>IF(AND(B1020&gt;='IN-NX'!$P$3,B1020&lt;='IN-NX'!$Q$3,'IN-NX'!$D$7=D1020,OR(LEFT(L1020,2)="15",AND(LEFT(M1020,2)&lt;&gt;"15",LEFT(M1020,2)&lt;&gt;"33"))),"x","")</f>
        <v/>
      </c>
      <c r="V1020" s="525" t="str">
        <f>IF(AND(OR(LEFT(TH!L1020,2)="15",LEFT(TH!M1020,2)="15"),'152-CT'!$J$8=TH!F1020),"x","")</f>
        <v/>
      </c>
      <c r="W1020" s="525" t="str">
        <f>IF(AND(OR(LEFT(TH!L1020,2)="15",LEFT(TH!M1020,2)="15"),TK!$E$7=TH!F1020),"x","")</f>
        <v/>
      </c>
      <c r="X1020" s="525" t="str">
        <f>IF(AND('341-CT'!$E$9=H1020,OR(LEFT(L1020,3)=$X$7,LEFT(M1020,3)=$X$7)),"x","")</f>
        <v/>
      </c>
      <c r="Y1020" s="525" t="str">
        <f>IF(OR(TH!L1020=TH!$Y$7,M1020=TH!$Y$7),"x","")</f>
        <v/>
      </c>
      <c r="Z1020" s="525" t="str">
        <f>IF(AND(B1020&lt;=NKC!$N$8,B1020&gt;=NKC!$M$8),"x","")</f>
        <v>x</v>
      </c>
      <c r="AA1020" s="535"/>
    </row>
    <row r="1021" spans="1:27" s="503" customFormat="1" ht="15.75" customHeight="1">
      <c r="A1021" s="517" t="str">
        <f>IF(B1021&lt;&gt;"",IF(AND(B1021&gt;=_TM1,B1021&lt;=_TM2,OR(TH!L1021="1111",TH!M1021="1111")),TH!D1021,""),"")</f>
        <v/>
      </c>
      <c r="B1021" s="531">
        <f t="shared" si="112"/>
        <v>1</v>
      </c>
      <c r="C1021" s="315">
        <f t="shared" si="113"/>
        <v>42758</v>
      </c>
      <c r="D1021" s="315" t="s">
        <v>910</v>
      </c>
      <c r="E1021" s="315">
        <v>42758</v>
      </c>
      <c r="F1021" s="249" t="s">
        <v>644</v>
      </c>
      <c r="G1021" s="314" t="s">
        <v>510</v>
      </c>
      <c r="H1021" s="473" t="s">
        <v>284</v>
      </c>
      <c r="I1021" s="307">
        <v>12</v>
      </c>
      <c r="J1021" s="307">
        <v>62407.80000000001</v>
      </c>
      <c r="K1021" s="532">
        <f t="shared" si="114"/>
        <v>748894</v>
      </c>
      <c r="L1021" s="534" t="s">
        <v>223</v>
      </c>
      <c r="M1021" s="534" t="s">
        <v>162</v>
      </c>
      <c r="N1021" s="525" t="str">
        <f>IF(AND('331-CT'!$E$7=TH!H1021,OR(L1021="331",M1021="331")),"331",IF(AND(OR(L1021="131",M1021="131"),H1021='131-CT'!$E$7),"131",""))</f>
        <v/>
      </c>
      <c r="O1021" s="525" t="str">
        <f>IF(AND($B1021&gt;='111'!$N$11,$B1021&lt;='111'!$O$11,OR($L1021=$O$7,$M1021=$O$7)),"x","")</f>
        <v/>
      </c>
      <c r="P1021" s="525" t="str">
        <f>IF(AND($L1021=$O$7,$B1021&lt;'111'!$N$11),"x","")</f>
        <v/>
      </c>
      <c r="Q1021" s="525" t="str">
        <f>IF(AND($M1021=$O$7,$B1021&lt;'111'!$N$11),"x","")</f>
        <v/>
      </c>
      <c r="R1021" s="525" t="str">
        <f>IF(ISERROR(FIND('112'!$M$9,G1021,1)),"",IF((AND(FIND('112'!$M$9,G1021,1)&gt;=1,$B1021&gt;='112'!$N$8,$B1021&lt;='112'!$O$8,OR($L1021='112'!$I$6,$M1021='112'!$I$6))),"x",""))</f>
        <v/>
      </c>
      <c r="S1021" s="525" t="str">
        <f>IF(ISERROR(FIND('112'!$M$9,G1021,1)),"",IF((AND(LEFT(G1021,2)=LEFT('112'!$M$9,2),B1021&lt;'112'!$N$8,$L1021='112'!$I$6)),"x",""))</f>
        <v/>
      </c>
      <c r="T1021" s="525" t="str">
        <f>IF(ISERROR(FIND('112'!$M$9,G1021,1)),"",IF((AND(RIGHT(G1021,2)=RIGHT('112'!$M$9,2),B1021&lt;'112'!$N$8,$M1021='112'!$I$6)),"x",""))</f>
        <v/>
      </c>
      <c r="U1021" s="525" t="str">
        <f>IF(AND(B1021&gt;='IN-NX'!$P$3,B1021&lt;='IN-NX'!$Q$3,'IN-NX'!$D$7=D1021,OR(LEFT(L1021,2)="15",AND(LEFT(M1021,2)&lt;&gt;"15",LEFT(M1021,2)&lt;&gt;"33"))),"x","")</f>
        <v/>
      </c>
      <c r="V1021" s="525" t="str">
        <f>IF(AND(OR(LEFT(TH!L1021,2)="15",LEFT(TH!M1021,2)="15"),'152-CT'!$J$8=TH!F1021),"x","")</f>
        <v/>
      </c>
      <c r="W1021" s="525" t="str">
        <f>IF(AND(OR(LEFT(TH!L1021,2)="15",LEFT(TH!M1021,2)="15"),TK!$E$7=TH!F1021),"x","")</f>
        <v/>
      </c>
      <c r="X1021" s="525" t="str">
        <f>IF(AND('341-CT'!$E$9=H1021,OR(LEFT(L1021,3)=$X$7,LEFT(M1021,3)=$X$7)),"x","")</f>
        <v/>
      </c>
      <c r="Y1021" s="525" t="str">
        <f>IF(OR(TH!L1021=TH!$Y$7,M1021=TH!$Y$7),"x","")</f>
        <v/>
      </c>
      <c r="Z1021" s="525" t="str">
        <f>IF(AND(B1021&lt;=NKC!$N$8,B1021&gt;=NKC!$M$8),"x","")</f>
        <v>x</v>
      </c>
      <c r="AA1021" s="535"/>
    </row>
    <row r="1022" spans="1:27" s="503" customFormat="1" ht="15.75" customHeight="1">
      <c r="A1022" s="517" t="str">
        <f>IF(B1022&lt;&gt;"",IF(AND(B1022&gt;=_TM1,B1022&lt;=_TM2,OR(TH!L1022="1111",TH!M1022="1111")),TH!D1022,""),"")</f>
        <v/>
      </c>
      <c r="B1022" s="531">
        <f t="shared" si="112"/>
        <v>1</v>
      </c>
      <c r="C1022" s="315">
        <f t="shared" si="113"/>
        <v>42758</v>
      </c>
      <c r="D1022" s="315" t="s">
        <v>910</v>
      </c>
      <c r="E1022" s="315">
        <v>42758</v>
      </c>
      <c r="F1022" s="249" t="s">
        <v>645</v>
      </c>
      <c r="G1022" s="314" t="s">
        <v>510</v>
      </c>
      <c r="H1022" s="473" t="s">
        <v>284</v>
      </c>
      <c r="I1022" s="307">
        <v>12</v>
      </c>
      <c r="J1022" s="307">
        <v>147063</v>
      </c>
      <c r="K1022" s="532">
        <f t="shared" si="114"/>
        <v>1764756</v>
      </c>
      <c r="L1022" s="534" t="s">
        <v>223</v>
      </c>
      <c r="M1022" s="534" t="s">
        <v>162</v>
      </c>
      <c r="N1022" s="525" t="str">
        <f>IF(AND('331-CT'!$E$7=TH!H1022,OR(L1022="331",M1022="331")),"331",IF(AND(OR(L1022="131",M1022="131"),H1022='131-CT'!$E$7),"131",""))</f>
        <v/>
      </c>
      <c r="O1022" s="525" t="str">
        <f>IF(AND($B1022&gt;='111'!$N$11,$B1022&lt;='111'!$O$11,OR($L1022=$O$7,$M1022=$O$7)),"x","")</f>
        <v/>
      </c>
      <c r="P1022" s="525" t="str">
        <f>IF(AND($L1022=$O$7,$B1022&lt;'111'!$N$11),"x","")</f>
        <v/>
      </c>
      <c r="Q1022" s="525" t="str">
        <f>IF(AND($M1022=$O$7,$B1022&lt;'111'!$N$11),"x","")</f>
        <v/>
      </c>
      <c r="R1022" s="525" t="str">
        <f>IF(ISERROR(FIND('112'!$M$9,G1022,1)),"",IF((AND(FIND('112'!$M$9,G1022,1)&gt;=1,$B1022&gt;='112'!$N$8,$B1022&lt;='112'!$O$8,OR($L1022='112'!$I$6,$M1022='112'!$I$6))),"x",""))</f>
        <v/>
      </c>
      <c r="S1022" s="525" t="str">
        <f>IF(ISERROR(FIND('112'!$M$9,G1022,1)),"",IF((AND(LEFT(G1022,2)=LEFT('112'!$M$9,2),B1022&lt;'112'!$N$8,$L1022='112'!$I$6)),"x",""))</f>
        <v/>
      </c>
      <c r="T1022" s="525" t="str">
        <f>IF(ISERROR(FIND('112'!$M$9,G1022,1)),"",IF((AND(RIGHT(G1022,2)=RIGHT('112'!$M$9,2),B1022&lt;'112'!$N$8,$M1022='112'!$I$6)),"x",""))</f>
        <v/>
      </c>
      <c r="U1022" s="525" t="str">
        <f>IF(AND(B1022&gt;='IN-NX'!$P$3,B1022&lt;='IN-NX'!$Q$3,'IN-NX'!$D$7=D1022,OR(LEFT(L1022,2)="15",AND(LEFT(M1022,2)&lt;&gt;"15",LEFT(M1022,2)&lt;&gt;"33"))),"x","")</f>
        <v/>
      </c>
      <c r="V1022" s="525" t="str">
        <f>IF(AND(OR(LEFT(TH!L1022,2)="15",LEFT(TH!M1022,2)="15"),'152-CT'!$J$8=TH!F1022),"x","")</f>
        <v/>
      </c>
      <c r="W1022" s="525" t="str">
        <f>IF(AND(OR(LEFT(TH!L1022,2)="15",LEFT(TH!M1022,2)="15"),TK!$E$7=TH!F1022),"x","")</f>
        <v/>
      </c>
      <c r="X1022" s="525" t="str">
        <f>IF(AND('341-CT'!$E$9=H1022,OR(LEFT(L1022,3)=$X$7,LEFT(M1022,3)=$X$7)),"x","")</f>
        <v/>
      </c>
      <c r="Y1022" s="525" t="str">
        <f>IF(OR(TH!L1022=TH!$Y$7,M1022=TH!$Y$7),"x","")</f>
        <v/>
      </c>
      <c r="Z1022" s="525" t="str">
        <f>IF(AND(B1022&lt;=NKC!$N$8,B1022&gt;=NKC!$M$8),"x","")</f>
        <v>x</v>
      </c>
      <c r="AA1022" s="535"/>
    </row>
    <row r="1023" spans="1:27" s="503" customFormat="1" ht="15.75" customHeight="1">
      <c r="A1023" s="517" t="str">
        <f>IF(B1023&lt;&gt;"",IF(AND(B1023&gt;=_TM1,B1023&lt;=_TM2,OR(TH!L1023="1111",TH!M1023="1111")),TH!D1023,""),"")</f>
        <v/>
      </c>
      <c r="B1023" s="531">
        <f t="shared" si="112"/>
        <v>1</v>
      </c>
      <c r="C1023" s="315">
        <f t="shared" si="113"/>
        <v>42758</v>
      </c>
      <c r="D1023" s="315" t="s">
        <v>911</v>
      </c>
      <c r="E1023" s="315">
        <v>42758</v>
      </c>
      <c r="F1023" s="249" t="s">
        <v>646</v>
      </c>
      <c r="G1023" s="314" t="s">
        <v>510</v>
      </c>
      <c r="H1023" s="473" t="s">
        <v>284</v>
      </c>
      <c r="I1023" s="307">
        <v>12</v>
      </c>
      <c r="J1023" s="307">
        <v>46851.000000000007</v>
      </c>
      <c r="K1023" s="532">
        <f t="shared" si="114"/>
        <v>562212</v>
      </c>
      <c r="L1023" s="534" t="s">
        <v>223</v>
      </c>
      <c r="M1023" s="534" t="s">
        <v>162</v>
      </c>
      <c r="N1023" s="525" t="str">
        <f>IF(AND('331-CT'!$E$7=TH!H1023,OR(L1023="331",M1023="331")),"331",IF(AND(OR(L1023="131",M1023="131"),H1023='131-CT'!$E$7),"131",""))</f>
        <v/>
      </c>
      <c r="O1023" s="525" t="str">
        <f>IF(AND($B1023&gt;='111'!$N$11,$B1023&lt;='111'!$O$11,OR($L1023=$O$7,$M1023=$O$7)),"x","")</f>
        <v/>
      </c>
      <c r="P1023" s="525" t="str">
        <f>IF(AND($L1023=$O$7,$B1023&lt;'111'!$N$11),"x","")</f>
        <v/>
      </c>
      <c r="Q1023" s="525" t="str">
        <f>IF(AND($M1023=$O$7,$B1023&lt;'111'!$N$11),"x","")</f>
        <v/>
      </c>
      <c r="R1023" s="525" t="str">
        <f>IF(ISERROR(FIND('112'!$M$9,G1023,1)),"",IF((AND(FIND('112'!$M$9,G1023,1)&gt;=1,$B1023&gt;='112'!$N$8,$B1023&lt;='112'!$O$8,OR($L1023='112'!$I$6,$M1023='112'!$I$6))),"x",""))</f>
        <v/>
      </c>
      <c r="S1023" s="525" t="str">
        <f>IF(ISERROR(FIND('112'!$M$9,G1023,1)),"",IF((AND(LEFT(G1023,2)=LEFT('112'!$M$9,2),B1023&lt;'112'!$N$8,$L1023='112'!$I$6)),"x",""))</f>
        <v/>
      </c>
      <c r="T1023" s="525" t="str">
        <f>IF(ISERROR(FIND('112'!$M$9,G1023,1)),"",IF((AND(RIGHT(G1023,2)=RIGHT('112'!$M$9,2),B1023&lt;'112'!$N$8,$M1023='112'!$I$6)),"x",""))</f>
        <v/>
      </c>
      <c r="U1023" s="525" t="str">
        <f>IF(AND(B1023&gt;='IN-NX'!$P$3,B1023&lt;='IN-NX'!$Q$3,'IN-NX'!$D$7=D1023,OR(LEFT(L1023,2)="15",AND(LEFT(M1023,2)&lt;&gt;"15",LEFT(M1023,2)&lt;&gt;"33"))),"x","")</f>
        <v/>
      </c>
      <c r="V1023" s="525" t="str">
        <f>IF(AND(OR(LEFT(TH!L1023,2)="15",LEFT(TH!M1023,2)="15"),'152-CT'!$J$8=TH!F1023),"x","")</f>
        <v/>
      </c>
      <c r="W1023" s="525" t="str">
        <f>IF(AND(OR(LEFT(TH!L1023,2)="15",LEFT(TH!M1023,2)="15"),TK!$E$7=TH!F1023),"x","")</f>
        <v/>
      </c>
      <c r="X1023" s="525" t="str">
        <f>IF(AND('341-CT'!$E$9=H1023,OR(LEFT(L1023,3)=$X$7,LEFT(M1023,3)=$X$7)),"x","")</f>
        <v/>
      </c>
      <c r="Y1023" s="525" t="str">
        <f>IF(OR(TH!L1023=TH!$Y$7,M1023=TH!$Y$7),"x","")</f>
        <v/>
      </c>
      <c r="Z1023" s="525" t="str">
        <f>IF(AND(B1023&lt;=NKC!$N$8,B1023&gt;=NKC!$M$8),"x","")</f>
        <v>x</v>
      </c>
      <c r="AA1023" s="535"/>
    </row>
    <row r="1024" spans="1:27" s="503" customFormat="1" ht="15.75" customHeight="1">
      <c r="A1024" s="517" t="str">
        <f>IF(B1024&lt;&gt;"",IF(AND(B1024&gt;=_TM1,B1024&lt;=_TM2,OR(TH!L1024="1111",TH!M1024="1111")),TH!D1024,""),"")</f>
        <v/>
      </c>
      <c r="B1024" s="531">
        <f t="shared" si="112"/>
        <v>1</v>
      </c>
      <c r="C1024" s="315">
        <f t="shared" si="113"/>
        <v>42758</v>
      </c>
      <c r="D1024" s="315" t="s">
        <v>911</v>
      </c>
      <c r="E1024" s="315">
        <v>42758</v>
      </c>
      <c r="F1024" s="249" t="s">
        <v>647</v>
      </c>
      <c r="G1024" s="314" t="s">
        <v>510</v>
      </c>
      <c r="H1024" s="473" t="s">
        <v>284</v>
      </c>
      <c r="I1024" s="307">
        <v>8</v>
      </c>
      <c r="J1024" s="307">
        <v>112728</v>
      </c>
      <c r="K1024" s="532">
        <f t="shared" si="114"/>
        <v>901824</v>
      </c>
      <c r="L1024" s="534" t="s">
        <v>223</v>
      </c>
      <c r="M1024" s="534" t="s">
        <v>162</v>
      </c>
      <c r="N1024" s="525" t="str">
        <f>IF(AND('331-CT'!$E$7=TH!H1024,OR(L1024="331",M1024="331")),"331",IF(AND(OR(L1024="131",M1024="131"),H1024='131-CT'!$E$7),"131",""))</f>
        <v/>
      </c>
      <c r="O1024" s="525" t="str">
        <f>IF(AND($B1024&gt;='111'!$N$11,$B1024&lt;='111'!$O$11,OR($L1024=$O$7,$M1024=$O$7)),"x","")</f>
        <v/>
      </c>
      <c r="P1024" s="525" t="str">
        <f>IF(AND($L1024=$O$7,$B1024&lt;'111'!$N$11),"x","")</f>
        <v/>
      </c>
      <c r="Q1024" s="525" t="str">
        <f>IF(AND($M1024=$O$7,$B1024&lt;'111'!$N$11),"x","")</f>
        <v/>
      </c>
      <c r="R1024" s="525" t="str">
        <f>IF(ISERROR(FIND('112'!$M$9,G1024,1)),"",IF((AND(FIND('112'!$M$9,G1024,1)&gt;=1,$B1024&gt;='112'!$N$8,$B1024&lt;='112'!$O$8,OR($L1024='112'!$I$6,$M1024='112'!$I$6))),"x",""))</f>
        <v/>
      </c>
      <c r="S1024" s="525" t="str">
        <f>IF(ISERROR(FIND('112'!$M$9,G1024,1)),"",IF((AND(LEFT(G1024,2)=LEFT('112'!$M$9,2),B1024&lt;'112'!$N$8,$L1024='112'!$I$6)),"x",""))</f>
        <v/>
      </c>
      <c r="T1024" s="525" t="str">
        <f>IF(ISERROR(FIND('112'!$M$9,G1024,1)),"",IF((AND(RIGHT(G1024,2)=RIGHT('112'!$M$9,2),B1024&lt;'112'!$N$8,$M1024='112'!$I$6)),"x",""))</f>
        <v/>
      </c>
      <c r="U1024" s="525" t="str">
        <f>IF(AND(B1024&gt;='IN-NX'!$P$3,B1024&lt;='IN-NX'!$Q$3,'IN-NX'!$D$7=D1024,OR(LEFT(L1024,2)="15",AND(LEFT(M1024,2)&lt;&gt;"15",LEFT(M1024,2)&lt;&gt;"33"))),"x","")</f>
        <v/>
      </c>
      <c r="V1024" s="525" t="str">
        <f>IF(AND(OR(LEFT(TH!L1024,2)="15",LEFT(TH!M1024,2)="15"),'152-CT'!$J$8=TH!F1024),"x","")</f>
        <v/>
      </c>
      <c r="W1024" s="525" t="str">
        <f>IF(AND(OR(LEFT(TH!L1024,2)="15",LEFT(TH!M1024,2)="15"),TK!$E$7=TH!F1024),"x","")</f>
        <v/>
      </c>
      <c r="X1024" s="525" t="str">
        <f>IF(AND('341-CT'!$E$9=H1024,OR(LEFT(L1024,3)=$X$7,LEFT(M1024,3)=$X$7)),"x","")</f>
        <v/>
      </c>
      <c r="Y1024" s="525" t="str">
        <f>IF(OR(TH!L1024=TH!$Y$7,M1024=TH!$Y$7),"x","")</f>
        <v/>
      </c>
      <c r="Z1024" s="525" t="str">
        <f>IF(AND(B1024&lt;=NKC!$N$8,B1024&gt;=NKC!$M$8),"x","")</f>
        <v>x</v>
      </c>
      <c r="AA1024" s="535"/>
    </row>
    <row r="1025" spans="1:27" s="503" customFormat="1" ht="15.75" customHeight="1">
      <c r="A1025" s="517" t="str">
        <f>IF(B1025&lt;&gt;"",IF(AND(B1025&gt;=_TM1,B1025&lt;=_TM2,OR(TH!L1025="1111",TH!M1025="1111")),TH!D1025,""),"")</f>
        <v/>
      </c>
      <c r="B1025" s="531">
        <f t="shared" si="112"/>
        <v>1</v>
      </c>
      <c r="C1025" s="315">
        <f t="shared" si="113"/>
        <v>42758</v>
      </c>
      <c r="D1025" s="315" t="s">
        <v>911</v>
      </c>
      <c r="E1025" s="315">
        <v>42758</v>
      </c>
      <c r="F1025" s="249" t="s">
        <v>648</v>
      </c>
      <c r="G1025" s="314" t="s">
        <v>510</v>
      </c>
      <c r="H1025" s="473" t="s">
        <v>284</v>
      </c>
      <c r="I1025" s="307">
        <v>4</v>
      </c>
      <c r="J1025" s="307">
        <v>49480.200000000004</v>
      </c>
      <c r="K1025" s="532">
        <f t="shared" si="114"/>
        <v>197921</v>
      </c>
      <c r="L1025" s="534" t="s">
        <v>223</v>
      </c>
      <c r="M1025" s="534" t="s">
        <v>162</v>
      </c>
      <c r="N1025" s="525" t="str">
        <f>IF(AND('331-CT'!$E$7=TH!H1025,OR(L1025="331",M1025="331")),"331",IF(AND(OR(L1025="131",M1025="131"),H1025='131-CT'!$E$7),"131",""))</f>
        <v/>
      </c>
      <c r="O1025" s="525" t="str">
        <f>IF(AND($B1025&gt;='111'!$N$11,$B1025&lt;='111'!$O$11,OR($L1025=$O$7,$M1025=$O$7)),"x","")</f>
        <v/>
      </c>
      <c r="P1025" s="525" t="str">
        <f>IF(AND($L1025=$O$7,$B1025&lt;'111'!$N$11),"x","")</f>
        <v/>
      </c>
      <c r="Q1025" s="525" t="str">
        <f>IF(AND($M1025=$O$7,$B1025&lt;'111'!$N$11),"x","")</f>
        <v/>
      </c>
      <c r="R1025" s="525" t="str">
        <f>IF(ISERROR(FIND('112'!$M$9,G1025,1)),"",IF((AND(FIND('112'!$M$9,G1025,1)&gt;=1,$B1025&gt;='112'!$N$8,$B1025&lt;='112'!$O$8,OR($L1025='112'!$I$6,$M1025='112'!$I$6))),"x",""))</f>
        <v/>
      </c>
      <c r="S1025" s="525" t="str">
        <f>IF(ISERROR(FIND('112'!$M$9,G1025,1)),"",IF((AND(LEFT(G1025,2)=LEFT('112'!$M$9,2),B1025&lt;'112'!$N$8,$L1025='112'!$I$6)),"x",""))</f>
        <v/>
      </c>
      <c r="T1025" s="525" t="str">
        <f>IF(ISERROR(FIND('112'!$M$9,G1025,1)),"",IF((AND(RIGHT(G1025,2)=RIGHT('112'!$M$9,2),B1025&lt;'112'!$N$8,$M1025='112'!$I$6)),"x",""))</f>
        <v/>
      </c>
      <c r="U1025" s="525" t="str">
        <f>IF(AND(B1025&gt;='IN-NX'!$P$3,B1025&lt;='IN-NX'!$Q$3,'IN-NX'!$D$7=D1025,OR(LEFT(L1025,2)="15",AND(LEFT(M1025,2)&lt;&gt;"15",LEFT(M1025,2)&lt;&gt;"33"))),"x","")</f>
        <v/>
      </c>
      <c r="V1025" s="525" t="str">
        <f>IF(AND(OR(LEFT(TH!L1025,2)="15",LEFT(TH!M1025,2)="15"),'152-CT'!$J$8=TH!F1025),"x","")</f>
        <v/>
      </c>
      <c r="W1025" s="525" t="str">
        <f>IF(AND(OR(LEFT(TH!L1025,2)="15",LEFT(TH!M1025,2)="15"),TK!$E$7=TH!F1025),"x","")</f>
        <v/>
      </c>
      <c r="X1025" s="525" t="str">
        <f>IF(AND('341-CT'!$E$9=H1025,OR(LEFT(L1025,3)=$X$7,LEFT(M1025,3)=$X$7)),"x","")</f>
        <v/>
      </c>
      <c r="Y1025" s="525" t="str">
        <f>IF(OR(TH!L1025=TH!$Y$7,M1025=TH!$Y$7),"x","")</f>
        <v/>
      </c>
      <c r="Z1025" s="525" t="str">
        <f>IF(AND(B1025&lt;=NKC!$N$8,B1025&gt;=NKC!$M$8),"x","")</f>
        <v>x</v>
      </c>
      <c r="AA1025" s="535"/>
    </row>
    <row r="1026" spans="1:27" s="503" customFormat="1" ht="15.75" customHeight="1">
      <c r="A1026" s="517" t="str">
        <f>IF(B1026&lt;&gt;"",IF(AND(B1026&gt;=_TM1,B1026&lt;=_TM2,OR(TH!L1026="1111",TH!M1026="1111")),TH!D1026,""),"")</f>
        <v/>
      </c>
      <c r="B1026" s="531">
        <f t="shared" si="112"/>
        <v>1</v>
      </c>
      <c r="C1026" s="315">
        <f t="shared" si="113"/>
        <v>42758</v>
      </c>
      <c r="D1026" s="315" t="s">
        <v>911</v>
      </c>
      <c r="E1026" s="315">
        <v>42758</v>
      </c>
      <c r="F1026" s="249" t="s">
        <v>649</v>
      </c>
      <c r="G1026" s="314" t="s">
        <v>510</v>
      </c>
      <c r="H1026" s="473" t="s">
        <v>284</v>
      </c>
      <c r="I1026" s="307">
        <v>8</v>
      </c>
      <c r="J1026" s="307">
        <v>69350.399999999994</v>
      </c>
      <c r="K1026" s="532">
        <f t="shared" si="114"/>
        <v>554803</v>
      </c>
      <c r="L1026" s="534" t="s">
        <v>223</v>
      </c>
      <c r="M1026" s="534" t="s">
        <v>162</v>
      </c>
      <c r="N1026" s="525" t="str">
        <f>IF(AND('331-CT'!$E$7=TH!H1026,OR(L1026="331",M1026="331")),"331",IF(AND(OR(L1026="131",M1026="131"),H1026='131-CT'!$E$7),"131",""))</f>
        <v/>
      </c>
      <c r="O1026" s="525" t="str">
        <f>IF(AND($B1026&gt;='111'!$N$11,$B1026&lt;='111'!$O$11,OR($L1026=$O$7,$M1026=$O$7)),"x","")</f>
        <v/>
      </c>
      <c r="P1026" s="525" t="str">
        <f>IF(AND($L1026=$O$7,$B1026&lt;'111'!$N$11),"x","")</f>
        <v/>
      </c>
      <c r="Q1026" s="525" t="str">
        <f>IF(AND($M1026=$O$7,$B1026&lt;'111'!$N$11),"x","")</f>
        <v/>
      </c>
      <c r="R1026" s="525" t="str">
        <f>IF(ISERROR(FIND('112'!$M$9,G1026,1)),"",IF((AND(FIND('112'!$M$9,G1026,1)&gt;=1,$B1026&gt;='112'!$N$8,$B1026&lt;='112'!$O$8,OR($L1026='112'!$I$6,$M1026='112'!$I$6))),"x",""))</f>
        <v/>
      </c>
      <c r="S1026" s="525" t="str">
        <f>IF(ISERROR(FIND('112'!$M$9,G1026,1)),"",IF((AND(LEFT(G1026,2)=LEFT('112'!$M$9,2),B1026&lt;'112'!$N$8,$L1026='112'!$I$6)),"x",""))</f>
        <v/>
      </c>
      <c r="T1026" s="525" t="str">
        <f>IF(ISERROR(FIND('112'!$M$9,G1026,1)),"",IF((AND(RIGHT(G1026,2)=RIGHT('112'!$M$9,2),B1026&lt;'112'!$N$8,$M1026='112'!$I$6)),"x",""))</f>
        <v/>
      </c>
      <c r="U1026" s="525" t="str">
        <f>IF(AND(B1026&gt;='IN-NX'!$P$3,B1026&lt;='IN-NX'!$Q$3,'IN-NX'!$D$7=D1026,OR(LEFT(L1026,2)="15",AND(LEFT(M1026,2)&lt;&gt;"15",LEFT(M1026,2)&lt;&gt;"33"))),"x","")</f>
        <v/>
      </c>
      <c r="V1026" s="525" t="str">
        <f>IF(AND(OR(LEFT(TH!L1026,2)="15",LEFT(TH!M1026,2)="15"),'152-CT'!$J$8=TH!F1026),"x","")</f>
        <v/>
      </c>
      <c r="W1026" s="525" t="str">
        <f>IF(AND(OR(LEFT(TH!L1026,2)="15",LEFT(TH!M1026,2)="15"),TK!$E$7=TH!F1026),"x","")</f>
        <v/>
      </c>
      <c r="X1026" s="525" t="str">
        <f>IF(AND('341-CT'!$E$9=H1026,OR(LEFT(L1026,3)=$X$7,LEFT(M1026,3)=$X$7)),"x","")</f>
        <v/>
      </c>
      <c r="Y1026" s="525" t="str">
        <f>IF(OR(TH!L1026=TH!$Y$7,M1026=TH!$Y$7),"x","")</f>
        <v/>
      </c>
      <c r="Z1026" s="525" t="str">
        <f>IF(AND(B1026&lt;=NKC!$N$8,B1026&gt;=NKC!$M$8),"x","")</f>
        <v>x</v>
      </c>
      <c r="AA1026" s="535"/>
    </row>
    <row r="1027" spans="1:27" s="503" customFormat="1" ht="15.75" customHeight="1">
      <c r="A1027" s="517" t="str">
        <f>IF(B1027&lt;&gt;"",IF(AND(B1027&gt;=_TM1,B1027&lt;=_TM2,OR(TH!L1027="1111",TH!M1027="1111")),TH!D1027,""),"")</f>
        <v/>
      </c>
      <c r="B1027" s="531">
        <f t="shared" si="112"/>
        <v>1</v>
      </c>
      <c r="C1027" s="315">
        <f t="shared" si="113"/>
        <v>42758</v>
      </c>
      <c r="D1027" s="315" t="s">
        <v>911</v>
      </c>
      <c r="E1027" s="315">
        <v>42758</v>
      </c>
      <c r="F1027" s="249" t="s">
        <v>611</v>
      </c>
      <c r="G1027" s="314" t="s">
        <v>510</v>
      </c>
      <c r="H1027" s="473" t="s">
        <v>284</v>
      </c>
      <c r="I1027" s="307">
        <v>4</v>
      </c>
      <c r="J1027" s="307">
        <v>44814</v>
      </c>
      <c r="K1027" s="532">
        <f t="shared" si="114"/>
        <v>179256</v>
      </c>
      <c r="L1027" s="534" t="s">
        <v>223</v>
      </c>
      <c r="M1027" s="534" t="s">
        <v>162</v>
      </c>
      <c r="N1027" s="525" t="str">
        <f>IF(AND('331-CT'!$E$7=TH!H1027,OR(L1027="331",M1027="331")),"331",IF(AND(OR(L1027="131",M1027="131"),H1027='131-CT'!$E$7),"131",""))</f>
        <v/>
      </c>
      <c r="O1027" s="525" t="str">
        <f>IF(AND($B1027&gt;='111'!$N$11,$B1027&lt;='111'!$O$11,OR($L1027=$O$7,$M1027=$O$7)),"x","")</f>
        <v/>
      </c>
      <c r="P1027" s="525" t="str">
        <f>IF(AND($L1027=$O$7,$B1027&lt;'111'!$N$11),"x","")</f>
        <v/>
      </c>
      <c r="Q1027" s="525" t="str">
        <f>IF(AND($M1027=$O$7,$B1027&lt;'111'!$N$11),"x","")</f>
        <v/>
      </c>
      <c r="R1027" s="525" t="str">
        <f>IF(ISERROR(FIND('112'!$M$9,G1027,1)),"",IF((AND(FIND('112'!$M$9,G1027,1)&gt;=1,$B1027&gt;='112'!$N$8,$B1027&lt;='112'!$O$8,OR($L1027='112'!$I$6,$M1027='112'!$I$6))),"x",""))</f>
        <v/>
      </c>
      <c r="S1027" s="525" t="str">
        <f>IF(ISERROR(FIND('112'!$M$9,G1027,1)),"",IF((AND(LEFT(G1027,2)=LEFT('112'!$M$9,2),B1027&lt;'112'!$N$8,$L1027='112'!$I$6)),"x",""))</f>
        <v/>
      </c>
      <c r="T1027" s="525" t="str">
        <f>IF(ISERROR(FIND('112'!$M$9,G1027,1)),"",IF((AND(RIGHT(G1027,2)=RIGHT('112'!$M$9,2),B1027&lt;'112'!$N$8,$M1027='112'!$I$6)),"x",""))</f>
        <v/>
      </c>
      <c r="U1027" s="525" t="str">
        <f>IF(AND(B1027&gt;='IN-NX'!$P$3,B1027&lt;='IN-NX'!$Q$3,'IN-NX'!$D$7=D1027,OR(LEFT(L1027,2)="15",AND(LEFT(M1027,2)&lt;&gt;"15",LEFT(M1027,2)&lt;&gt;"33"))),"x","")</f>
        <v/>
      </c>
      <c r="V1027" s="525" t="str">
        <f>IF(AND(OR(LEFT(TH!L1027,2)="15",LEFT(TH!M1027,2)="15"),'152-CT'!$J$8=TH!F1027),"x","")</f>
        <v/>
      </c>
      <c r="W1027" s="525" t="str">
        <f>IF(AND(OR(LEFT(TH!L1027,2)="15",LEFT(TH!M1027,2)="15"),TK!$E$7=TH!F1027),"x","")</f>
        <v/>
      </c>
      <c r="X1027" s="525" t="str">
        <f>IF(AND('341-CT'!$E$9=H1027,OR(LEFT(L1027,3)=$X$7,LEFT(M1027,3)=$X$7)),"x","")</f>
        <v/>
      </c>
      <c r="Y1027" s="525" t="str">
        <f>IF(OR(TH!L1027=TH!$Y$7,M1027=TH!$Y$7),"x","")</f>
        <v/>
      </c>
      <c r="Z1027" s="525" t="str">
        <f>IF(AND(B1027&lt;=NKC!$N$8,B1027&gt;=NKC!$M$8),"x","")</f>
        <v>x</v>
      </c>
      <c r="AA1027" s="535"/>
    </row>
    <row r="1028" spans="1:27" s="503" customFormat="1" ht="15.75" customHeight="1">
      <c r="A1028" s="517" t="str">
        <f>IF(B1028&lt;&gt;"",IF(AND(B1028&gt;=_TM1,B1028&lt;=_TM2,OR(TH!L1028="1111",TH!M1028="1111")),TH!D1028,""),"")</f>
        <v/>
      </c>
      <c r="B1028" s="531">
        <f t="shared" si="112"/>
        <v>1</v>
      </c>
      <c r="C1028" s="315">
        <f t="shared" si="113"/>
        <v>42758</v>
      </c>
      <c r="D1028" s="315" t="s">
        <v>911</v>
      </c>
      <c r="E1028" s="315">
        <v>42758</v>
      </c>
      <c r="F1028" s="249" t="s">
        <v>650</v>
      </c>
      <c r="G1028" s="314" t="s">
        <v>510</v>
      </c>
      <c r="H1028" s="473" t="s">
        <v>284</v>
      </c>
      <c r="I1028" s="307">
        <v>20</v>
      </c>
      <c r="J1028" s="307">
        <v>79332.161999999997</v>
      </c>
      <c r="K1028" s="532">
        <f t="shared" si="114"/>
        <v>1586643</v>
      </c>
      <c r="L1028" s="534" t="s">
        <v>223</v>
      </c>
      <c r="M1028" s="534" t="s">
        <v>162</v>
      </c>
      <c r="N1028" s="525" t="str">
        <f>IF(AND('331-CT'!$E$7=TH!H1028,OR(L1028="331",M1028="331")),"331",IF(AND(OR(L1028="131",M1028="131"),H1028='131-CT'!$E$7),"131",""))</f>
        <v/>
      </c>
      <c r="O1028" s="525" t="str">
        <f>IF(AND($B1028&gt;='111'!$N$11,$B1028&lt;='111'!$O$11,OR($L1028=$O$7,$M1028=$O$7)),"x","")</f>
        <v/>
      </c>
      <c r="P1028" s="525" t="str">
        <f>IF(AND($L1028=$O$7,$B1028&lt;'111'!$N$11),"x","")</f>
        <v/>
      </c>
      <c r="Q1028" s="525" t="str">
        <f>IF(AND($M1028=$O$7,$B1028&lt;'111'!$N$11),"x","")</f>
        <v/>
      </c>
      <c r="R1028" s="525" t="str">
        <f>IF(ISERROR(FIND('112'!$M$9,G1028,1)),"",IF((AND(FIND('112'!$M$9,G1028,1)&gt;=1,$B1028&gt;='112'!$N$8,$B1028&lt;='112'!$O$8,OR($L1028='112'!$I$6,$M1028='112'!$I$6))),"x",""))</f>
        <v/>
      </c>
      <c r="S1028" s="525" t="str">
        <f>IF(ISERROR(FIND('112'!$M$9,G1028,1)),"",IF((AND(LEFT(G1028,2)=LEFT('112'!$M$9,2),B1028&lt;'112'!$N$8,$L1028='112'!$I$6)),"x",""))</f>
        <v/>
      </c>
      <c r="T1028" s="525" t="str">
        <f>IF(ISERROR(FIND('112'!$M$9,G1028,1)),"",IF((AND(RIGHT(G1028,2)=RIGHT('112'!$M$9,2),B1028&lt;'112'!$N$8,$M1028='112'!$I$6)),"x",""))</f>
        <v/>
      </c>
      <c r="U1028" s="525" t="str">
        <f>IF(AND(B1028&gt;='IN-NX'!$P$3,B1028&lt;='IN-NX'!$Q$3,'IN-NX'!$D$7=D1028,OR(LEFT(L1028,2)="15",AND(LEFT(M1028,2)&lt;&gt;"15",LEFT(M1028,2)&lt;&gt;"33"))),"x","")</f>
        <v/>
      </c>
      <c r="V1028" s="525" t="str">
        <f>IF(AND(OR(LEFT(TH!L1028,2)="15",LEFT(TH!M1028,2)="15"),'152-CT'!$J$8=TH!F1028),"x","")</f>
        <v/>
      </c>
      <c r="W1028" s="525" t="str">
        <f>IF(AND(OR(LEFT(TH!L1028,2)="15",LEFT(TH!M1028,2)="15"),TK!$E$7=TH!F1028),"x","")</f>
        <v/>
      </c>
      <c r="X1028" s="525" t="str">
        <f>IF(AND('341-CT'!$E$9=H1028,OR(LEFT(L1028,3)=$X$7,LEFT(M1028,3)=$X$7)),"x","")</f>
        <v/>
      </c>
      <c r="Y1028" s="525" t="str">
        <f>IF(OR(TH!L1028=TH!$Y$7,M1028=TH!$Y$7),"x","")</f>
        <v/>
      </c>
      <c r="Z1028" s="525" t="str">
        <f>IF(AND(B1028&lt;=NKC!$N$8,B1028&gt;=NKC!$M$8),"x","")</f>
        <v>x</v>
      </c>
      <c r="AA1028" s="535"/>
    </row>
    <row r="1029" spans="1:27" s="503" customFormat="1" ht="15.75" customHeight="1">
      <c r="A1029" s="517" t="str">
        <f>IF(B1029&lt;&gt;"",IF(AND(B1029&gt;=_TM1,B1029&lt;=_TM2,OR(TH!L1029="1111",TH!M1029="1111")),TH!D1029,""),"")</f>
        <v/>
      </c>
      <c r="B1029" s="531">
        <f t="shared" si="112"/>
        <v>1</v>
      </c>
      <c r="C1029" s="315">
        <f t="shared" si="113"/>
        <v>42758</v>
      </c>
      <c r="D1029" s="315" t="s">
        <v>911</v>
      </c>
      <c r="E1029" s="315">
        <v>42758</v>
      </c>
      <c r="F1029" s="249" t="s">
        <v>651</v>
      </c>
      <c r="G1029" s="314" t="s">
        <v>510</v>
      </c>
      <c r="H1029" s="473" t="s">
        <v>284</v>
      </c>
      <c r="I1029" s="307">
        <v>20</v>
      </c>
      <c r="J1029" s="307">
        <v>112639.833</v>
      </c>
      <c r="K1029" s="532">
        <f t="shared" si="114"/>
        <v>2252797</v>
      </c>
      <c r="L1029" s="534" t="s">
        <v>223</v>
      </c>
      <c r="M1029" s="534" t="s">
        <v>162</v>
      </c>
      <c r="N1029" s="525" t="str">
        <f>IF(AND('331-CT'!$E$7=TH!H1029,OR(L1029="331",M1029="331")),"331",IF(AND(OR(L1029="131",M1029="131"),H1029='131-CT'!$E$7),"131",""))</f>
        <v/>
      </c>
      <c r="O1029" s="525" t="str">
        <f>IF(AND($B1029&gt;='111'!$N$11,$B1029&lt;='111'!$O$11,OR($L1029=$O$7,$M1029=$O$7)),"x","")</f>
        <v/>
      </c>
      <c r="P1029" s="525" t="str">
        <f>IF(AND($L1029=$O$7,$B1029&lt;'111'!$N$11),"x","")</f>
        <v/>
      </c>
      <c r="Q1029" s="525" t="str">
        <f>IF(AND($M1029=$O$7,$B1029&lt;'111'!$N$11),"x","")</f>
        <v/>
      </c>
      <c r="R1029" s="525" t="str">
        <f>IF(ISERROR(FIND('112'!$M$9,G1029,1)),"",IF((AND(FIND('112'!$M$9,G1029,1)&gt;=1,$B1029&gt;='112'!$N$8,$B1029&lt;='112'!$O$8,OR($L1029='112'!$I$6,$M1029='112'!$I$6))),"x",""))</f>
        <v/>
      </c>
      <c r="S1029" s="525" t="str">
        <f>IF(ISERROR(FIND('112'!$M$9,G1029,1)),"",IF((AND(LEFT(G1029,2)=LEFT('112'!$M$9,2),B1029&lt;'112'!$N$8,$L1029='112'!$I$6)),"x",""))</f>
        <v/>
      </c>
      <c r="T1029" s="525" t="str">
        <f>IF(ISERROR(FIND('112'!$M$9,G1029,1)),"",IF((AND(RIGHT(G1029,2)=RIGHT('112'!$M$9,2),B1029&lt;'112'!$N$8,$M1029='112'!$I$6)),"x",""))</f>
        <v/>
      </c>
      <c r="U1029" s="525" t="str">
        <f>IF(AND(B1029&gt;='IN-NX'!$P$3,B1029&lt;='IN-NX'!$Q$3,'IN-NX'!$D$7=D1029,OR(LEFT(L1029,2)="15",AND(LEFT(M1029,2)&lt;&gt;"15",LEFT(M1029,2)&lt;&gt;"33"))),"x","")</f>
        <v/>
      </c>
      <c r="V1029" s="525" t="str">
        <f>IF(AND(OR(LEFT(TH!L1029,2)="15",LEFT(TH!M1029,2)="15"),'152-CT'!$J$8=TH!F1029),"x","")</f>
        <v/>
      </c>
      <c r="W1029" s="525" t="str">
        <f>IF(AND(OR(LEFT(TH!L1029,2)="15",LEFT(TH!M1029,2)="15"),TK!$E$7=TH!F1029),"x","")</f>
        <v/>
      </c>
      <c r="X1029" s="525" t="str">
        <f>IF(AND('341-CT'!$E$9=H1029,OR(LEFT(L1029,3)=$X$7,LEFT(M1029,3)=$X$7)),"x","")</f>
        <v/>
      </c>
      <c r="Y1029" s="525" t="str">
        <f>IF(OR(TH!L1029=TH!$Y$7,M1029=TH!$Y$7),"x","")</f>
        <v/>
      </c>
      <c r="Z1029" s="525" t="str">
        <f>IF(AND(B1029&lt;=NKC!$N$8,B1029&gt;=NKC!$M$8),"x","")</f>
        <v>x</v>
      </c>
      <c r="AA1029" s="535"/>
    </row>
    <row r="1030" spans="1:27" s="503" customFormat="1" ht="15.75" customHeight="1">
      <c r="A1030" s="517" t="str">
        <f>IF(B1030&lt;&gt;"",IF(AND(B1030&gt;=_TM1,B1030&lt;=_TM2,OR(TH!L1030="1111",TH!M1030="1111")),TH!D1030,""),"")</f>
        <v/>
      </c>
      <c r="B1030" s="531">
        <f t="shared" si="112"/>
        <v>1</v>
      </c>
      <c r="C1030" s="315">
        <f t="shared" si="113"/>
        <v>42758</v>
      </c>
      <c r="D1030" s="315" t="s">
        <v>911</v>
      </c>
      <c r="E1030" s="315">
        <v>42758</v>
      </c>
      <c r="F1030" s="249" t="s">
        <v>652</v>
      </c>
      <c r="G1030" s="314" t="s">
        <v>510</v>
      </c>
      <c r="H1030" s="473" t="s">
        <v>284</v>
      </c>
      <c r="I1030" s="307">
        <v>72</v>
      </c>
      <c r="J1030" s="307">
        <v>29092.800000000003</v>
      </c>
      <c r="K1030" s="532">
        <f t="shared" si="114"/>
        <v>2094682</v>
      </c>
      <c r="L1030" s="534" t="s">
        <v>223</v>
      </c>
      <c r="M1030" s="534" t="s">
        <v>162</v>
      </c>
      <c r="N1030" s="525" t="str">
        <f>IF(AND('331-CT'!$E$7=TH!H1030,OR(L1030="331",M1030="331")),"331",IF(AND(OR(L1030="131",M1030="131"),H1030='131-CT'!$E$7),"131",""))</f>
        <v/>
      </c>
      <c r="O1030" s="525" t="str">
        <f>IF(AND($B1030&gt;='111'!$N$11,$B1030&lt;='111'!$O$11,OR($L1030=$O$7,$M1030=$O$7)),"x","")</f>
        <v/>
      </c>
      <c r="P1030" s="525" t="str">
        <f>IF(AND($L1030=$O$7,$B1030&lt;'111'!$N$11),"x","")</f>
        <v/>
      </c>
      <c r="Q1030" s="525" t="str">
        <f>IF(AND($M1030=$O$7,$B1030&lt;'111'!$N$11),"x","")</f>
        <v/>
      </c>
      <c r="R1030" s="525" t="str">
        <f>IF(ISERROR(FIND('112'!$M$9,G1030,1)),"",IF((AND(FIND('112'!$M$9,G1030,1)&gt;=1,$B1030&gt;='112'!$N$8,$B1030&lt;='112'!$O$8,OR($L1030='112'!$I$6,$M1030='112'!$I$6))),"x",""))</f>
        <v/>
      </c>
      <c r="S1030" s="525" t="str">
        <f>IF(ISERROR(FIND('112'!$M$9,G1030,1)),"",IF((AND(LEFT(G1030,2)=LEFT('112'!$M$9,2),B1030&lt;'112'!$N$8,$L1030='112'!$I$6)),"x",""))</f>
        <v/>
      </c>
      <c r="T1030" s="525" t="str">
        <f>IF(ISERROR(FIND('112'!$M$9,G1030,1)),"",IF((AND(RIGHT(G1030,2)=RIGHT('112'!$M$9,2),B1030&lt;'112'!$N$8,$M1030='112'!$I$6)),"x",""))</f>
        <v/>
      </c>
      <c r="U1030" s="525" t="str">
        <f>IF(AND(B1030&gt;='IN-NX'!$P$3,B1030&lt;='IN-NX'!$Q$3,'IN-NX'!$D$7=D1030,OR(LEFT(L1030,2)="15",AND(LEFT(M1030,2)&lt;&gt;"15",LEFT(M1030,2)&lt;&gt;"33"))),"x","")</f>
        <v/>
      </c>
      <c r="V1030" s="525" t="str">
        <f>IF(AND(OR(LEFT(TH!L1030,2)="15",LEFT(TH!M1030,2)="15"),'152-CT'!$J$8=TH!F1030),"x","")</f>
        <v/>
      </c>
      <c r="W1030" s="525" t="str">
        <f>IF(AND(OR(LEFT(TH!L1030,2)="15",LEFT(TH!M1030,2)="15"),TK!$E$7=TH!F1030),"x","")</f>
        <v/>
      </c>
      <c r="X1030" s="525" t="str">
        <f>IF(AND('341-CT'!$E$9=H1030,OR(LEFT(L1030,3)=$X$7,LEFT(M1030,3)=$X$7)),"x","")</f>
        <v/>
      </c>
      <c r="Y1030" s="525" t="str">
        <f>IF(OR(TH!L1030=TH!$Y$7,M1030=TH!$Y$7),"x","")</f>
        <v/>
      </c>
      <c r="Z1030" s="525" t="str">
        <f>IF(AND(B1030&lt;=NKC!$N$8,B1030&gt;=NKC!$M$8),"x","")</f>
        <v>x</v>
      </c>
      <c r="AA1030" s="535"/>
    </row>
    <row r="1031" spans="1:27" s="503" customFormat="1" ht="15.75" customHeight="1">
      <c r="A1031" s="517" t="str">
        <f>IF(B1031&lt;&gt;"",IF(AND(B1031&gt;=_TM1,B1031&lt;=_TM2,OR(TH!L1031="1111",TH!M1031="1111")),TH!D1031,""),"")</f>
        <v/>
      </c>
      <c r="B1031" s="531">
        <f t="shared" si="112"/>
        <v>1</v>
      </c>
      <c r="C1031" s="315">
        <f t="shared" si="113"/>
        <v>42758</v>
      </c>
      <c r="D1031" s="315" t="s">
        <v>911</v>
      </c>
      <c r="E1031" s="315">
        <v>42758</v>
      </c>
      <c r="F1031" s="249" t="s">
        <v>653</v>
      </c>
      <c r="G1031" s="314" t="s">
        <v>510</v>
      </c>
      <c r="H1031" s="473" t="s">
        <v>284</v>
      </c>
      <c r="I1031" s="307">
        <v>8</v>
      </c>
      <c r="J1031" s="307">
        <v>65007.600000000006</v>
      </c>
      <c r="K1031" s="532">
        <f t="shared" si="114"/>
        <v>520061</v>
      </c>
      <c r="L1031" s="534" t="s">
        <v>223</v>
      </c>
      <c r="M1031" s="534" t="s">
        <v>162</v>
      </c>
      <c r="N1031" s="525" t="str">
        <f>IF(AND('331-CT'!$E$7=TH!H1031,OR(L1031="331",M1031="331")),"331",IF(AND(OR(L1031="131",M1031="131"),H1031='131-CT'!$E$7),"131",""))</f>
        <v/>
      </c>
      <c r="O1031" s="525" t="str">
        <f>IF(AND($B1031&gt;='111'!$N$11,$B1031&lt;='111'!$O$11,OR($L1031=$O$7,$M1031=$O$7)),"x","")</f>
        <v/>
      </c>
      <c r="P1031" s="525" t="str">
        <f>IF(AND($L1031=$O$7,$B1031&lt;'111'!$N$11),"x","")</f>
        <v/>
      </c>
      <c r="Q1031" s="525" t="str">
        <f>IF(AND($M1031=$O$7,$B1031&lt;'111'!$N$11),"x","")</f>
        <v/>
      </c>
      <c r="R1031" s="525" t="str">
        <f>IF(ISERROR(FIND('112'!$M$9,G1031,1)),"",IF((AND(FIND('112'!$M$9,G1031,1)&gt;=1,$B1031&gt;='112'!$N$8,$B1031&lt;='112'!$O$8,OR($L1031='112'!$I$6,$M1031='112'!$I$6))),"x",""))</f>
        <v/>
      </c>
      <c r="S1031" s="525" t="str">
        <f>IF(ISERROR(FIND('112'!$M$9,G1031,1)),"",IF((AND(LEFT(G1031,2)=LEFT('112'!$M$9,2),B1031&lt;'112'!$N$8,$L1031='112'!$I$6)),"x",""))</f>
        <v/>
      </c>
      <c r="T1031" s="525" t="str">
        <f>IF(ISERROR(FIND('112'!$M$9,G1031,1)),"",IF((AND(RIGHT(G1031,2)=RIGHT('112'!$M$9,2),B1031&lt;'112'!$N$8,$M1031='112'!$I$6)),"x",""))</f>
        <v/>
      </c>
      <c r="U1031" s="525" t="str">
        <f>IF(AND(B1031&gt;='IN-NX'!$P$3,B1031&lt;='IN-NX'!$Q$3,'IN-NX'!$D$7=D1031,OR(LEFT(L1031,2)="15",AND(LEFT(M1031,2)&lt;&gt;"15",LEFT(M1031,2)&lt;&gt;"33"))),"x","")</f>
        <v/>
      </c>
      <c r="V1031" s="525" t="str">
        <f>IF(AND(OR(LEFT(TH!L1031,2)="15",LEFT(TH!M1031,2)="15"),'152-CT'!$J$8=TH!F1031),"x","")</f>
        <v/>
      </c>
      <c r="W1031" s="525" t="str">
        <f>IF(AND(OR(LEFT(TH!L1031,2)="15",LEFT(TH!M1031,2)="15"),TK!$E$7=TH!F1031),"x","")</f>
        <v/>
      </c>
      <c r="X1031" s="525" t="str">
        <f>IF(AND('341-CT'!$E$9=H1031,OR(LEFT(L1031,3)=$X$7,LEFT(M1031,3)=$X$7)),"x","")</f>
        <v/>
      </c>
      <c r="Y1031" s="525" t="str">
        <f>IF(OR(TH!L1031=TH!$Y$7,M1031=TH!$Y$7),"x","")</f>
        <v/>
      </c>
      <c r="Z1031" s="525" t="str">
        <f>IF(AND(B1031&lt;=NKC!$N$8,B1031&gt;=NKC!$M$8),"x","")</f>
        <v>x</v>
      </c>
      <c r="AA1031" s="535"/>
    </row>
    <row r="1032" spans="1:27" s="503" customFormat="1" ht="15.75" customHeight="1">
      <c r="A1032" s="517" t="str">
        <f>IF(B1032&lt;&gt;"",IF(AND(B1032&gt;=_TM1,B1032&lt;=_TM2,OR(TH!L1032="1111",TH!M1032="1111")),TH!D1032,""),"")</f>
        <v/>
      </c>
      <c r="B1032" s="531">
        <f t="shared" si="112"/>
        <v>1</v>
      </c>
      <c r="C1032" s="315">
        <f t="shared" si="113"/>
        <v>42758</v>
      </c>
      <c r="D1032" s="315" t="s">
        <v>911</v>
      </c>
      <c r="E1032" s="315">
        <v>42758</v>
      </c>
      <c r="F1032" s="249" t="s">
        <v>654</v>
      </c>
      <c r="G1032" s="314" t="s">
        <v>510</v>
      </c>
      <c r="H1032" s="473" t="s">
        <v>284</v>
      </c>
      <c r="I1032" s="307">
        <v>15</v>
      </c>
      <c r="J1032" s="307">
        <v>76910.400000000009</v>
      </c>
      <c r="K1032" s="532">
        <f t="shared" si="114"/>
        <v>1153656</v>
      </c>
      <c r="L1032" s="534" t="s">
        <v>223</v>
      </c>
      <c r="M1032" s="534" t="s">
        <v>162</v>
      </c>
      <c r="N1032" s="525" t="str">
        <f>IF(AND('331-CT'!$E$7=TH!H1032,OR(L1032="331",M1032="331")),"331",IF(AND(OR(L1032="131",M1032="131"),H1032='131-CT'!$E$7),"131",""))</f>
        <v/>
      </c>
      <c r="O1032" s="525" t="str">
        <f>IF(AND($B1032&gt;='111'!$N$11,$B1032&lt;='111'!$O$11,OR($L1032=$O$7,$M1032=$O$7)),"x","")</f>
        <v/>
      </c>
      <c r="P1032" s="525" t="str">
        <f>IF(AND($L1032=$O$7,$B1032&lt;'111'!$N$11),"x","")</f>
        <v/>
      </c>
      <c r="Q1032" s="525" t="str">
        <f>IF(AND($M1032=$O$7,$B1032&lt;'111'!$N$11),"x","")</f>
        <v/>
      </c>
      <c r="R1032" s="525" t="str">
        <f>IF(ISERROR(FIND('112'!$M$9,G1032,1)),"",IF((AND(FIND('112'!$M$9,G1032,1)&gt;=1,$B1032&gt;='112'!$N$8,$B1032&lt;='112'!$O$8,OR($L1032='112'!$I$6,$M1032='112'!$I$6))),"x",""))</f>
        <v/>
      </c>
      <c r="S1032" s="525" t="str">
        <f>IF(ISERROR(FIND('112'!$M$9,G1032,1)),"",IF((AND(LEFT(G1032,2)=LEFT('112'!$M$9,2),B1032&lt;'112'!$N$8,$L1032='112'!$I$6)),"x",""))</f>
        <v/>
      </c>
      <c r="T1032" s="525" t="str">
        <f>IF(ISERROR(FIND('112'!$M$9,G1032,1)),"",IF((AND(RIGHT(G1032,2)=RIGHT('112'!$M$9,2),B1032&lt;'112'!$N$8,$M1032='112'!$I$6)),"x",""))</f>
        <v/>
      </c>
      <c r="U1032" s="525" t="str">
        <f>IF(AND(B1032&gt;='IN-NX'!$P$3,B1032&lt;='IN-NX'!$Q$3,'IN-NX'!$D$7=D1032,OR(LEFT(L1032,2)="15",AND(LEFT(M1032,2)&lt;&gt;"15",LEFT(M1032,2)&lt;&gt;"33"))),"x","")</f>
        <v/>
      </c>
      <c r="V1032" s="525" t="str">
        <f>IF(AND(OR(LEFT(TH!L1032,2)="15",LEFT(TH!M1032,2)="15"),'152-CT'!$J$8=TH!F1032),"x","")</f>
        <v/>
      </c>
      <c r="W1032" s="525" t="str">
        <f>IF(AND(OR(LEFT(TH!L1032,2)="15",LEFT(TH!M1032,2)="15"),TK!$E$7=TH!F1032),"x","")</f>
        <v/>
      </c>
      <c r="X1032" s="525" t="str">
        <f>IF(AND('341-CT'!$E$9=H1032,OR(LEFT(L1032,3)=$X$7,LEFT(M1032,3)=$X$7)),"x","")</f>
        <v/>
      </c>
      <c r="Y1032" s="525" t="str">
        <f>IF(OR(TH!L1032=TH!$Y$7,M1032=TH!$Y$7),"x","")</f>
        <v/>
      </c>
      <c r="Z1032" s="525" t="str">
        <f>IF(AND(B1032&lt;=NKC!$N$8,B1032&gt;=NKC!$M$8),"x","")</f>
        <v>x</v>
      </c>
      <c r="AA1032" s="535"/>
    </row>
    <row r="1033" spans="1:27" s="503" customFormat="1" ht="15.75" customHeight="1">
      <c r="A1033" s="517" t="str">
        <f>IF(B1033&lt;&gt;"",IF(AND(B1033&gt;=_TM1,B1033&lt;=_TM2,OR(TH!L1033="1111",TH!M1033="1111")),TH!D1033,""),"")</f>
        <v/>
      </c>
      <c r="B1033" s="531">
        <f t="shared" si="112"/>
        <v>1</v>
      </c>
      <c r="C1033" s="315">
        <f t="shared" si="113"/>
        <v>42758</v>
      </c>
      <c r="D1033" s="315" t="s">
        <v>911</v>
      </c>
      <c r="E1033" s="315">
        <v>42758</v>
      </c>
      <c r="F1033" s="249" t="s">
        <v>655</v>
      </c>
      <c r="G1033" s="314" t="s">
        <v>510</v>
      </c>
      <c r="H1033" s="473" t="s">
        <v>284</v>
      </c>
      <c r="I1033" s="307">
        <v>30</v>
      </c>
      <c r="J1033" s="307">
        <v>51566</v>
      </c>
      <c r="K1033" s="532">
        <f t="shared" si="114"/>
        <v>1546980</v>
      </c>
      <c r="L1033" s="534" t="s">
        <v>223</v>
      </c>
      <c r="M1033" s="534" t="s">
        <v>162</v>
      </c>
      <c r="N1033" s="525" t="str">
        <f>IF(AND('331-CT'!$E$7=TH!H1033,OR(L1033="331",M1033="331")),"331",IF(AND(OR(L1033="131",M1033="131"),H1033='131-CT'!$E$7),"131",""))</f>
        <v/>
      </c>
      <c r="O1033" s="525" t="str">
        <f>IF(AND($B1033&gt;='111'!$N$11,$B1033&lt;='111'!$O$11,OR($L1033=$O$7,$M1033=$O$7)),"x","")</f>
        <v/>
      </c>
      <c r="P1033" s="525" t="str">
        <f>IF(AND($L1033=$O$7,$B1033&lt;'111'!$N$11),"x","")</f>
        <v/>
      </c>
      <c r="Q1033" s="525" t="str">
        <f>IF(AND($M1033=$O$7,$B1033&lt;'111'!$N$11),"x","")</f>
        <v/>
      </c>
      <c r="R1033" s="525" t="str">
        <f>IF(ISERROR(FIND('112'!$M$9,G1033,1)),"",IF((AND(FIND('112'!$M$9,G1033,1)&gt;=1,$B1033&gt;='112'!$N$8,$B1033&lt;='112'!$O$8,OR($L1033='112'!$I$6,$M1033='112'!$I$6))),"x",""))</f>
        <v/>
      </c>
      <c r="S1033" s="525" t="str">
        <f>IF(ISERROR(FIND('112'!$M$9,G1033,1)),"",IF((AND(LEFT(G1033,2)=LEFT('112'!$M$9,2),B1033&lt;'112'!$N$8,$L1033='112'!$I$6)),"x",""))</f>
        <v/>
      </c>
      <c r="T1033" s="525" t="str">
        <f>IF(ISERROR(FIND('112'!$M$9,G1033,1)),"",IF((AND(RIGHT(G1033,2)=RIGHT('112'!$M$9,2),B1033&lt;'112'!$N$8,$M1033='112'!$I$6)),"x",""))</f>
        <v/>
      </c>
      <c r="U1033" s="525" t="str">
        <f>IF(AND(B1033&gt;='IN-NX'!$P$3,B1033&lt;='IN-NX'!$Q$3,'IN-NX'!$D$7=D1033,OR(LEFT(L1033,2)="15",AND(LEFT(M1033,2)&lt;&gt;"15",LEFT(M1033,2)&lt;&gt;"33"))),"x","")</f>
        <v/>
      </c>
      <c r="V1033" s="525" t="str">
        <f>IF(AND(OR(LEFT(TH!L1033,2)="15",LEFT(TH!M1033,2)="15"),'152-CT'!$J$8=TH!F1033),"x","")</f>
        <v/>
      </c>
      <c r="W1033" s="525" t="str">
        <f>IF(AND(OR(LEFT(TH!L1033,2)="15",LEFT(TH!M1033,2)="15"),TK!$E$7=TH!F1033),"x","")</f>
        <v/>
      </c>
      <c r="X1033" s="525" t="str">
        <f>IF(AND('341-CT'!$E$9=H1033,OR(LEFT(L1033,3)=$X$7,LEFT(M1033,3)=$X$7)),"x","")</f>
        <v/>
      </c>
      <c r="Y1033" s="525" t="str">
        <f>IF(OR(TH!L1033=TH!$Y$7,M1033=TH!$Y$7),"x","")</f>
        <v/>
      </c>
      <c r="Z1033" s="525" t="str">
        <f>IF(AND(B1033&lt;=NKC!$N$8,B1033&gt;=NKC!$M$8),"x","")</f>
        <v>x</v>
      </c>
      <c r="AA1033" s="535"/>
    </row>
    <row r="1034" spans="1:27" s="503" customFormat="1" ht="15.75" customHeight="1">
      <c r="A1034" s="517" t="str">
        <f>IF(B1034&lt;&gt;"",IF(AND(B1034&gt;=_TM1,B1034&lt;=_TM2,OR(TH!L1034="1111",TH!M1034="1111")),TH!D1034,""),"")</f>
        <v/>
      </c>
      <c r="B1034" s="531">
        <f t="shared" si="112"/>
        <v>1</v>
      </c>
      <c r="C1034" s="315">
        <f t="shared" si="113"/>
        <v>42758</v>
      </c>
      <c r="D1034" s="315" t="s">
        <v>911</v>
      </c>
      <c r="E1034" s="315">
        <v>42758</v>
      </c>
      <c r="F1034" s="249" t="s">
        <v>656</v>
      </c>
      <c r="G1034" s="314" t="s">
        <v>510</v>
      </c>
      <c r="H1034" s="473" t="s">
        <v>284</v>
      </c>
      <c r="I1034" s="307">
        <v>15</v>
      </c>
      <c r="J1034" s="307">
        <v>79275.000000000015</v>
      </c>
      <c r="K1034" s="532">
        <f t="shared" si="114"/>
        <v>1189125</v>
      </c>
      <c r="L1034" s="534" t="s">
        <v>223</v>
      </c>
      <c r="M1034" s="534" t="s">
        <v>162</v>
      </c>
      <c r="N1034" s="525" t="str">
        <f>IF(AND('331-CT'!$E$7=TH!H1034,OR(L1034="331",M1034="331")),"331",IF(AND(OR(L1034="131",M1034="131"),H1034='131-CT'!$E$7),"131",""))</f>
        <v/>
      </c>
      <c r="O1034" s="525" t="str">
        <f>IF(AND($B1034&gt;='111'!$N$11,$B1034&lt;='111'!$O$11,OR($L1034=$O$7,$M1034=$O$7)),"x","")</f>
        <v/>
      </c>
      <c r="P1034" s="525" t="str">
        <f>IF(AND($L1034=$O$7,$B1034&lt;'111'!$N$11),"x","")</f>
        <v/>
      </c>
      <c r="Q1034" s="525" t="str">
        <f>IF(AND($M1034=$O$7,$B1034&lt;'111'!$N$11),"x","")</f>
        <v/>
      </c>
      <c r="R1034" s="525" t="str">
        <f>IF(ISERROR(FIND('112'!$M$9,G1034,1)),"",IF((AND(FIND('112'!$M$9,G1034,1)&gt;=1,$B1034&gt;='112'!$N$8,$B1034&lt;='112'!$O$8,OR($L1034='112'!$I$6,$M1034='112'!$I$6))),"x",""))</f>
        <v/>
      </c>
      <c r="S1034" s="525" t="str">
        <f>IF(ISERROR(FIND('112'!$M$9,G1034,1)),"",IF((AND(LEFT(G1034,2)=LEFT('112'!$M$9,2),B1034&lt;'112'!$N$8,$L1034='112'!$I$6)),"x",""))</f>
        <v/>
      </c>
      <c r="T1034" s="525" t="str">
        <f>IF(ISERROR(FIND('112'!$M$9,G1034,1)),"",IF((AND(RIGHT(G1034,2)=RIGHT('112'!$M$9,2),B1034&lt;'112'!$N$8,$M1034='112'!$I$6)),"x",""))</f>
        <v/>
      </c>
      <c r="U1034" s="525" t="str">
        <f>IF(AND(B1034&gt;='IN-NX'!$P$3,B1034&lt;='IN-NX'!$Q$3,'IN-NX'!$D$7=D1034,OR(LEFT(L1034,2)="15",AND(LEFT(M1034,2)&lt;&gt;"15",LEFT(M1034,2)&lt;&gt;"33"))),"x","")</f>
        <v/>
      </c>
      <c r="V1034" s="525" t="str">
        <f>IF(AND(OR(LEFT(TH!L1034,2)="15",LEFT(TH!M1034,2)="15"),'152-CT'!$J$8=TH!F1034),"x","")</f>
        <v/>
      </c>
      <c r="W1034" s="525" t="str">
        <f>IF(AND(OR(LEFT(TH!L1034,2)="15",LEFT(TH!M1034,2)="15"),TK!$E$7=TH!F1034),"x","")</f>
        <v/>
      </c>
      <c r="X1034" s="525" t="str">
        <f>IF(AND('341-CT'!$E$9=H1034,OR(LEFT(L1034,3)=$X$7,LEFT(M1034,3)=$X$7)),"x","")</f>
        <v/>
      </c>
      <c r="Y1034" s="525" t="str">
        <f>IF(OR(TH!L1034=TH!$Y$7,M1034=TH!$Y$7),"x","")</f>
        <v/>
      </c>
      <c r="Z1034" s="525" t="str">
        <f>IF(AND(B1034&lt;=NKC!$N$8,B1034&gt;=NKC!$M$8),"x","")</f>
        <v>x</v>
      </c>
      <c r="AA1034" s="535"/>
    </row>
    <row r="1035" spans="1:27" s="503" customFormat="1" ht="15.75" customHeight="1">
      <c r="A1035" s="517" t="str">
        <f>IF(B1035&lt;&gt;"",IF(AND(B1035&gt;=_TM1,B1035&lt;=_TM2,OR(TH!L1035="1111",TH!M1035="1111")),TH!D1035,""),"")</f>
        <v/>
      </c>
      <c r="B1035" s="531">
        <f t="shared" si="112"/>
        <v>1</v>
      </c>
      <c r="C1035" s="315">
        <f t="shared" si="113"/>
        <v>42758</v>
      </c>
      <c r="D1035" s="315" t="s">
        <v>912</v>
      </c>
      <c r="E1035" s="315">
        <v>42758</v>
      </c>
      <c r="F1035" s="249" t="s">
        <v>657</v>
      </c>
      <c r="G1035" s="314" t="s">
        <v>510</v>
      </c>
      <c r="H1035" s="473" t="s">
        <v>284</v>
      </c>
      <c r="I1035" s="307">
        <v>20</v>
      </c>
      <c r="J1035" s="307">
        <v>53614.593000000001</v>
      </c>
      <c r="K1035" s="532">
        <f t="shared" si="114"/>
        <v>1072292</v>
      </c>
      <c r="L1035" s="534" t="s">
        <v>223</v>
      </c>
      <c r="M1035" s="534" t="s">
        <v>162</v>
      </c>
      <c r="N1035" s="525" t="str">
        <f>IF(AND('331-CT'!$E$7=TH!H1035,OR(L1035="331",M1035="331")),"331",IF(AND(OR(L1035="131",M1035="131"),H1035='131-CT'!$E$7),"131",""))</f>
        <v/>
      </c>
      <c r="O1035" s="525" t="str">
        <f>IF(AND($B1035&gt;='111'!$N$11,$B1035&lt;='111'!$O$11,OR($L1035=$O$7,$M1035=$O$7)),"x","")</f>
        <v/>
      </c>
      <c r="P1035" s="525" t="str">
        <f>IF(AND($L1035=$O$7,$B1035&lt;'111'!$N$11),"x","")</f>
        <v/>
      </c>
      <c r="Q1035" s="525" t="str">
        <f>IF(AND($M1035=$O$7,$B1035&lt;'111'!$N$11),"x","")</f>
        <v/>
      </c>
      <c r="R1035" s="525" t="str">
        <f>IF(ISERROR(FIND('112'!$M$9,G1035,1)),"",IF((AND(FIND('112'!$M$9,G1035,1)&gt;=1,$B1035&gt;='112'!$N$8,$B1035&lt;='112'!$O$8,OR($L1035='112'!$I$6,$M1035='112'!$I$6))),"x",""))</f>
        <v/>
      </c>
      <c r="S1035" s="525" t="str">
        <f>IF(ISERROR(FIND('112'!$M$9,G1035,1)),"",IF((AND(LEFT(G1035,2)=LEFT('112'!$M$9,2),B1035&lt;'112'!$N$8,$L1035='112'!$I$6)),"x",""))</f>
        <v/>
      </c>
      <c r="T1035" s="525" t="str">
        <f>IF(ISERROR(FIND('112'!$M$9,G1035,1)),"",IF((AND(RIGHT(G1035,2)=RIGHT('112'!$M$9,2),B1035&lt;'112'!$N$8,$M1035='112'!$I$6)),"x",""))</f>
        <v/>
      </c>
      <c r="U1035" s="525" t="str">
        <f>IF(AND(B1035&gt;='IN-NX'!$P$3,B1035&lt;='IN-NX'!$Q$3,'IN-NX'!$D$7=D1035,OR(LEFT(L1035,2)="15",AND(LEFT(M1035,2)&lt;&gt;"15",LEFT(M1035,2)&lt;&gt;"33"))),"x","")</f>
        <v/>
      </c>
      <c r="V1035" s="525" t="str">
        <f>IF(AND(OR(LEFT(TH!L1035,2)="15",LEFT(TH!M1035,2)="15"),'152-CT'!$J$8=TH!F1035),"x","")</f>
        <v/>
      </c>
      <c r="W1035" s="525" t="str">
        <f>IF(AND(OR(LEFT(TH!L1035,2)="15",LEFT(TH!M1035,2)="15"),TK!$E$7=TH!F1035),"x","")</f>
        <v/>
      </c>
      <c r="X1035" s="525" t="str">
        <f>IF(AND('341-CT'!$E$9=H1035,OR(LEFT(L1035,3)=$X$7,LEFT(M1035,3)=$X$7)),"x","")</f>
        <v/>
      </c>
      <c r="Y1035" s="525" t="str">
        <f>IF(OR(TH!L1035=TH!$Y$7,M1035=TH!$Y$7),"x","")</f>
        <v/>
      </c>
      <c r="Z1035" s="525" t="str">
        <f>IF(AND(B1035&lt;=NKC!$N$8,B1035&gt;=NKC!$M$8),"x","")</f>
        <v>x</v>
      </c>
      <c r="AA1035" s="535"/>
    </row>
    <row r="1036" spans="1:27" s="503" customFormat="1" ht="15.75" customHeight="1">
      <c r="A1036" s="517" t="str">
        <f>IF(B1036&lt;&gt;"",IF(AND(B1036&gt;=_TM1,B1036&lt;=_TM2,OR(TH!L1036="1111",TH!M1036="1111")),TH!D1036,""),"")</f>
        <v/>
      </c>
      <c r="B1036" s="531">
        <f t="shared" si="112"/>
        <v>1</v>
      </c>
      <c r="C1036" s="315">
        <f t="shared" si="113"/>
        <v>42758</v>
      </c>
      <c r="D1036" s="315" t="s">
        <v>912</v>
      </c>
      <c r="E1036" s="315">
        <v>42758</v>
      </c>
      <c r="F1036" s="249" t="s">
        <v>658</v>
      </c>
      <c r="G1036" s="314" t="s">
        <v>510</v>
      </c>
      <c r="H1036" s="473" t="s">
        <v>284</v>
      </c>
      <c r="I1036" s="307">
        <v>30</v>
      </c>
      <c r="J1036" s="307">
        <v>66599</v>
      </c>
      <c r="K1036" s="532">
        <f t="shared" si="114"/>
        <v>1997970</v>
      </c>
      <c r="L1036" s="534" t="s">
        <v>223</v>
      </c>
      <c r="M1036" s="534" t="s">
        <v>162</v>
      </c>
      <c r="N1036" s="525" t="str">
        <f>IF(AND('331-CT'!$E$7=TH!H1036,OR(L1036="331",M1036="331")),"331",IF(AND(OR(L1036="131",M1036="131"),H1036='131-CT'!$E$7),"131",""))</f>
        <v/>
      </c>
      <c r="O1036" s="525" t="str">
        <f>IF(AND($B1036&gt;='111'!$N$11,$B1036&lt;='111'!$O$11,OR($L1036=$O$7,$M1036=$O$7)),"x","")</f>
        <v/>
      </c>
      <c r="P1036" s="525" t="str">
        <f>IF(AND($L1036=$O$7,$B1036&lt;'111'!$N$11),"x","")</f>
        <v/>
      </c>
      <c r="Q1036" s="525" t="str">
        <f>IF(AND($M1036=$O$7,$B1036&lt;'111'!$N$11),"x","")</f>
        <v/>
      </c>
      <c r="R1036" s="525" t="str">
        <f>IF(ISERROR(FIND('112'!$M$9,G1036,1)),"",IF((AND(FIND('112'!$M$9,G1036,1)&gt;=1,$B1036&gt;='112'!$N$8,$B1036&lt;='112'!$O$8,OR($L1036='112'!$I$6,$M1036='112'!$I$6))),"x",""))</f>
        <v/>
      </c>
      <c r="S1036" s="525" t="str">
        <f>IF(ISERROR(FIND('112'!$M$9,G1036,1)),"",IF((AND(LEFT(G1036,2)=LEFT('112'!$M$9,2),B1036&lt;'112'!$N$8,$L1036='112'!$I$6)),"x",""))</f>
        <v/>
      </c>
      <c r="T1036" s="525" t="str">
        <f>IF(ISERROR(FIND('112'!$M$9,G1036,1)),"",IF((AND(RIGHT(G1036,2)=RIGHT('112'!$M$9,2),B1036&lt;'112'!$N$8,$M1036='112'!$I$6)),"x",""))</f>
        <v/>
      </c>
      <c r="U1036" s="525" t="str">
        <f>IF(AND(B1036&gt;='IN-NX'!$P$3,B1036&lt;='IN-NX'!$Q$3,'IN-NX'!$D$7=D1036,OR(LEFT(L1036,2)="15",AND(LEFT(M1036,2)&lt;&gt;"15",LEFT(M1036,2)&lt;&gt;"33"))),"x","")</f>
        <v/>
      </c>
      <c r="V1036" s="525" t="str">
        <f>IF(AND(OR(LEFT(TH!L1036,2)="15",LEFT(TH!M1036,2)="15"),'152-CT'!$J$8=TH!F1036),"x","")</f>
        <v/>
      </c>
      <c r="W1036" s="525" t="str">
        <f>IF(AND(OR(LEFT(TH!L1036,2)="15",LEFT(TH!M1036,2)="15"),TK!$E$7=TH!F1036),"x","")</f>
        <v/>
      </c>
      <c r="X1036" s="525" t="str">
        <f>IF(AND('341-CT'!$E$9=H1036,OR(LEFT(L1036,3)=$X$7,LEFT(M1036,3)=$X$7)),"x","")</f>
        <v/>
      </c>
      <c r="Y1036" s="525" t="str">
        <f>IF(OR(TH!L1036=TH!$Y$7,M1036=TH!$Y$7),"x","")</f>
        <v/>
      </c>
      <c r="Z1036" s="525" t="str">
        <f>IF(AND(B1036&lt;=NKC!$N$8,B1036&gt;=NKC!$M$8),"x","")</f>
        <v>x</v>
      </c>
      <c r="AA1036" s="535"/>
    </row>
    <row r="1037" spans="1:27" s="503" customFormat="1" ht="15.75" customHeight="1">
      <c r="A1037" s="517" t="str">
        <f>IF(B1037&lt;&gt;"",IF(AND(B1037&gt;=_TM1,B1037&lt;=_TM2,OR(TH!L1037="1111",TH!M1037="1111")),TH!D1037,""),"")</f>
        <v/>
      </c>
      <c r="B1037" s="531">
        <f t="shared" si="112"/>
        <v>1</v>
      </c>
      <c r="C1037" s="315">
        <f t="shared" si="113"/>
        <v>42758</v>
      </c>
      <c r="D1037" s="315" t="s">
        <v>912</v>
      </c>
      <c r="E1037" s="315">
        <v>42758</v>
      </c>
      <c r="F1037" s="249" t="s">
        <v>658</v>
      </c>
      <c r="G1037" s="314" t="s">
        <v>510</v>
      </c>
      <c r="H1037" s="473" t="s">
        <v>284</v>
      </c>
      <c r="I1037" s="307">
        <v>18</v>
      </c>
      <c r="J1037" s="307">
        <v>70086</v>
      </c>
      <c r="K1037" s="532">
        <f t="shared" si="114"/>
        <v>1261548</v>
      </c>
      <c r="L1037" s="534" t="s">
        <v>223</v>
      </c>
      <c r="M1037" s="534" t="s">
        <v>162</v>
      </c>
      <c r="N1037" s="525" t="str">
        <f>IF(AND('331-CT'!$E$7=TH!H1037,OR(L1037="331",M1037="331")),"331",IF(AND(OR(L1037="131",M1037="131"),H1037='131-CT'!$E$7),"131",""))</f>
        <v/>
      </c>
      <c r="O1037" s="525" t="str">
        <f>IF(AND($B1037&gt;='111'!$N$11,$B1037&lt;='111'!$O$11,OR($L1037=$O$7,$M1037=$O$7)),"x","")</f>
        <v/>
      </c>
      <c r="P1037" s="525" t="str">
        <f>IF(AND($L1037=$O$7,$B1037&lt;'111'!$N$11),"x","")</f>
        <v/>
      </c>
      <c r="Q1037" s="525" t="str">
        <f>IF(AND($M1037=$O$7,$B1037&lt;'111'!$N$11),"x","")</f>
        <v/>
      </c>
      <c r="R1037" s="525" t="str">
        <f>IF(ISERROR(FIND('112'!$M$9,G1037,1)),"",IF((AND(FIND('112'!$M$9,G1037,1)&gt;=1,$B1037&gt;='112'!$N$8,$B1037&lt;='112'!$O$8,OR($L1037='112'!$I$6,$M1037='112'!$I$6))),"x",""))</f>
        <v/>
      </c>
      <c r="S1037" s="525" t="str">
        <f>IF(ISERROR(FIND('112'!$M$9,G1037,1)),"",IF((AND(LEFT(G1037,2)=LEFT('112'!$M$9,2),B1037&lt;'112'!$N$8,$L1037='112'!$I$6)),"x",""))</f>
        <v/>
      </c>
      <c r="T1037" s="525" t="str">
        <f>IF(ISERROR(FIND('112'!$M$9,G1037,1)),"",IF((AND(RIGHT(G1037,2)=RIGHT('112'!$M$9,2),B1037&lt;'112'!$N$8,$M1037='112'!$I$6)),"x",""))</f>
        <v/>
      </c>
      <c r="U1037" s="525" t="str">
        <f>IF(AND(B1037&gt;='IN-NX'!$P$3,B1037&lt;='IN-NX'!$Q$3,'IN-NX'!$D$7=D1037,OR(LEFT(L1037,2)="15",AND(LEFT(M1037,2)&lt;&gt;"15",LEFT(M1037,2)&lt;&gt;"33"))),"x","")</f>
        <v/>
      </c>
      <c r="V1037" s="525" t="str">
        <f>IF(AND(OR(LEFT(TH!L1037,2)="15",LEFT(TH!M1037,2)="15"),'152-CT'!$J$8=TH!F1037),"x","")</f>
        <v/>
      </c>
      <c r="W1037" s="525" t="str">
        <f>IF(AND(OR(LEFT(TH!L1037,2)="15",LEFT(TH!M1037,2)="15"),TK!$E$7=TH!F1037),"x","")</f>
        <v/>
      </c>
      <c r="X1037" s="525" t="str">
        <f>IF(AND('341-CT'!$E$9=H1037,OR(LEFT(L1037,3)=$X$7,LEFT(M1037,3)=$X$7)),"x","")</f>
        <v/>
      </c>
      <c r="Y1037" s="525" t="str">
        <f>IF(OR(TH!L1037=TH!$Y$7,M1037=TH!$Y$7),"x","")</f>
        <v/>
      </c>
      <c r="Z1037" s="525" t="str">
        <f>IF(AND(B1037&lt;=NKC!$N$8,B1037&gt;=NKC!$M$8),"x","")</f>
        <v>x</v>
      </c>
      <c r="AA1037" s="535"/>
    </row>
    <row r="1038" spans="1:27" s="503" customFormat="1" ht="15.75" customHeight="1">
      <c r="A1038" s="517" t="str">
        <f>IF(B1038&lt;&gt;"",IF(AND(B1038&gt;=_TM1,B1038&lt;=_TM2,OR(TH!L1038="1111",TH!M1038="1111")),TH!D1038,""),"")</f>
        <v/>
      </c>
      <c r="B1038" s="531">
        <f t="shared" si="112"/>
        <v>1</v>
      </c>
      <c r="C1038" s="315">
        <f t="shared" si="113"/>
        <v>42758</v>
      </c>
      <c r="D1038" s="315" t="s">
        <v>912</v>
      </c>
      <c r="E1038" s="315">
        <v>42758</v>
      </c>
      <c r="F1038" s="249" t="s">
        <v>659</v>
      </c>
      <c r="G1038" s="314" t="s">
        <v>510</v>
      </c>
      <c r="H1038" s="473" t="s">
        <v>284</v>
      </c>
      <c r="I1038" s="307">
        <v>4</v>
      </c>
      <c r="J1038" s="307">
        <v>82895</v>
      </c>
      <c r="K1038" s="532">
        <f t="shared" si="114"/>
        <v>331580</v>
      </c>
      <c r="L1038" s="534" t="s">
        <v>223</v>
      </c>
      <c r="M1038" s="534" t="s">
        <v>162</v>
      </c>
      <c r="N1038" s="525" t="str">
        <f>IF(AND('331-CT'!$E$7=TH!H1038,OR(L1038="331",M1038="331")),"331",IF(AND(OR(L1038="131",M1038="131"),H1038='131-CT'!$E$7),"131",""))</f>
        <v/>
      </c>
      <c r="O1038" s="525" t="str">
        <f>IF(AND($B1038&gt;='111'!$N$11,$B1038&lt;='111'!$O$11,OR($L1038=$O$7,$M1038=$O$7)),"x","")</f>
        <v/>
      </c>
      <c r="P1038" s="525" t="str">
        <f>IF(AND($L1038=$O$7,$B1038&lt;'111'!$N$11),"x","")</f>
        <v/>
      </c>
      <c r="Q1038" s="525" t="str">
        <f>IF(AND($M1038=$O$7,$B1038&lt;'111'!$N$11),"x","")</f>
        <v/>
      </c>
      <c r="R1038" s="525" t="str">
        <f>IF(ISERROR(FIND('112'!$M$9,G1038,1)),"",IF((AND(FIND('112'!$M$9,G1038,1)&gt;=1,$B1038&gt;='112'!$N$8,$B1038&lt;='112'!$O$8,OR($L1038='112'!$I$6,$M1038='112'!$I$6))),"x",""))</f>
        <v/>
      </c>
      <c r="S1038" s="525" t="str">
        <f>IF(ISERROR(FIND('112'!$M$9,G1038,1)),"",IF((AND(LEFT(G1038,2)=LEFT('112'!$M$9,2),B1038&lt;'112'!$N$8,$L1038='112'!$I$6)),"x",""))</f>
        <v/>
      </c>
      <c r="T1038" s="525" t="str">
        <f>IF(ISERROR(FIND('112'!$M$9,G1038,1)),"",IF((AND(RIGHT(G1038,2)=RIGHT('112'!$M$9,2),B1038&lt;'112'!$N$8,$M1038='112'!$I$6)),"x",""))</f>
        <v/>
      </c>
      <c r="U1038" s="525" t="str">
        <f>IF(AND(B1038&gt;='IN-NX'!$P$3,B1038&lt;='IN-NX'!$Q$3,'IN-NX'!$D$7=D1038,OR(LEFT(L1038,2)="15",AND(LEFT(M1038,2)&lt;&gt;"15",LEFT(M1038,2)&lt;&gt;"33"))),"x","")</f>
        <v/>
      </c>
      <c r="V1038" s="525" t="str">
        <f>IF(AND(OR(LEFT(TH!L1038,2)="15",LEFT(TH!M1038,2)="15"),'152-CT'!$J$8=TH!F1038),"x","")</f>
        <v/>
      </c>
      <c r="W1038" s="525" t="str">
        <f>IF(AND(OR(LEFT(TH!L1038,2)="15",LEFT(TH!M1038,2)="15"),TK!$E$7=TH!F1038),"x","")</f>
        <v/>
      </c>
      <c r="X1038" s="525" t="str">
        <f>IF(AND('341-CT'!$E$9=H1038,OR(LEFT(L1038,3)=$X$7,LEFT(M1038,3)=$X$7)),"x","")</f>
        <v/>
      </c>
      <c r="Y1038" s="525" t="str">
        <f>IF(OR(TH!L1038=TH!$Y$7,M1038=TH!$Y$7),"x","")</f>
        <v/>
      </c>
      <c r="Z1038" s="525" t="str">
        <f>IF(AND(B1038&lt;=NKC!$N$8,B1038&gt;=NKC!$M$8),"x","")</f>
        <v>x</v>
      </c>
      <c r="AA1038" s="535"/>
    </row>
    <row r="1039" spans="1:27" s="503" customFormat="1" ht="15.75" customHeight="1">
      <c r="A1039" s="517" t="str">
        <f>IF(B1039&lt;&gt;"",IF(AND(B1039&gt;=_TM1,B1039&lt;=_TM2,OR(TH!L1039="1111",TH!M1039="1111")),TH!D1039,""),"")</f>
        <v/>
      </c>
      <c r="B1039" s="531">
        <f t="shared" si="112"/>
        <v>1</v>
      </c>
      <c r="C1039" s="315">
        <f t="shared" si="113"/>
        <v>42758</v>
      </c>
      <c r="D1039" s="315" t="s">
        <v>912</v>
      </c>
      <c r="E1039" s="315">
        <v>42758</v>
      </c>
      <c r="F1039" s="249" t="s">
        <v>660</v>
      </c>
      <c r="G1039" s="314" t="s">
        <v>510</v>
      </c>
      <c r="H1039" s="473" t="s">
        <v>284</v>
      </c>
      <c r="I1039" s="307">
        <v>8</v>
      </c>
      <c r="J1039" s="307">
        <v>99792</v>
      </c>
      <c r="K1039" s="532">
        <f t="shared" si="114"/>
        <v>798336</v>
      </c>
      <c r="L1039" s="534" t="s">
        <v>223</v>
      </c>
      <c r="M1039" s="534" t="s">
        <v>162</v>
      </c>
      <c r="N1039" s="525" t="str">
        <f>IF(AND('331-CT'!$E$7=TH!H1039,OR(L1039="331",M1039="331")),"331",IF(AND(OR(L1039="131",M1039="131"),H1039='131-CT'!$E$7),"131",""))</f>
        <v/>
      </c>
      <c r="O1039" s="525" t="str">
        <f>IF(AND($B1039&gt;='111'!$N$11,$B1039&lt;='111'!$O$11,OR($L1039=$O$7,$M1039=$O$7)),"x","")</f>
        <v/>
      </c>
      <c r="P1039" s="525" t="str">
        <f>IF(AND($L1039=$O$7,$B1039&lt;'111'!$N$11),"x","")</f>
        <v/>
      </c>
      <c r="Q1039" s="525" t="str">
        <f>IF(AND($M1039=$O$7,$B1039&lt;'111'!$N$11),"x","")</f>
        <v/>
      </c>
      <c r="R1039" s="525" t="str">
        <f>IF(ISERROR(FIND('112'!$M$9,G1039,1)),"",IF((AND(FIND('112'!$M$9,G1039,1)&gt;=1,$B1039&gt;='112'!$N$8,$B1039&lt;='112'!$O$8,OR($L1039='112'!$I$6,$M1039='112'!$I$6))),"x",""))</f>
        <v/>
      </c>
      <c r="S1039" s="525" t="str">
        <f>IF(ISERROR(FIND('112'!$M$9,G1039,1)),"",IF((AND(LEFT(G1039,2)=LEFT('112'!$M$9,2),B1039&lt;'112'!$N$8,$L1039='112'!$I$6)),"x",""))</f>
        <v/>
      </c>
      <c r="T1039" s="525" t="str">
        <f>IF(ISERROR(FIND('112'!$M$9,G1039,1)),"",IF((AND(RIGHT(G1039,2)=RIGHT('112'!$M$9,2),B1039&lt;'112'!$N$8,$M1039='112'!$I$6)),"x",""))</f>
        <v/>
      </c>
      <c r="U1039" s="525" t="str">
        <f>IF(AND(B1039&gt;='IN-NX'!$P$3,B1039&lt;='IN-NX'!$Q$3,'IN-NX'!$D$7=D1039,OR(LEFT(L1039,2)="15",AND(LEFT(M1039,2)&lt;&gt;"15",LEFT(M1039,2)&lt;&gt;"33"))),"x","")</f>
        <v/>
      </c>
      <c r="V1039" s="525" t="str">
        <f>IF(AND(OR(LEFT(TH!L1039,2)="15",LEFT(TH!M1039,2)="15"),'152-CT'!$J$8=TH!F1039),"x","")</f>
        <v/>
      </c>
      <c r="W1039" s="525" t="str">
        <f>IF(AND(OR(LEFT(TH!L1039,2)="15",LEFT(TH!M1039,2)="15"),TK!$E$7=TH!F1039),"x","")</f>
        <v/>
      </c>
      <c r="X1039" s="525" t="str">
        <f>IF(AND('341-CT'!$E$9=H1039,OR(LEFT(L1039,3)=$X$7,LEFT(M1039,3)=$X$7)),"x","")</f>
        <v/>
      </c>
      <c r="Y1039" s="525" t="str">
        <f>IF(OR(TH!L1039=TH!$Y$7,M1039=TH!$Y$7),"x","")</f>
        <v/>
      </c>
      <c r="Z1039" s="525" t="str">
        <f>IF(AND(B1039&lt;=NKC!$N$8,B1039&gt;=NKC!$M$8),"x","")</f>
        <v>x</v>
      </c>
      <c r="AA1039" s="535"/>
    </row>
    <row r="1040" spans="1:27" s="503" customFormat="1" ht="15.75" customHeight="1">
      <c r="A1040" s="517" t="str">
        <f>IF(B1040&lt;&gt;"",IF(AND(B1040&gt;=_TM1,B1040&lt;=_TM2,OR(TH!L1040="1111",TH!M1040="1111")),TH!D1040,""),"")</f>
        <v/>
      </c>
      <c r="B1040" s="531">
        <f t="shared" si="112"/>
        <v>1</v>
      </c>
      <c r="C1040" s="315">
        <f t="shared" si="113"/>
        <v>42758</v>
      </c>
      <c r="D1040" s="315" t="s">
        <v>912</v>
      </c>
      <c r="E1040" s="315">
        <v>42758</v>
      </c>
      <c r="F1040" s="249" t="s">
        <v>661</v>
      </c>
      <c r="G1040" s="314" t="s">
        <v>510</v>
      </c>
      <c r="H1040" s="473" t="s">
        <v>284</v>
      </c>
      <c r="I1040" s="307">
        <v>7</v>
      </c>
      <c r="J1040" s="307">
        <v>64474</v>
      </c>
      <c r="K1040" s="532">
        <f t="shared" si="114"/>
        <v>451318</v>
      </c>
      <c r="L1040" s="534" t="s">
        <v>223</v>
      </c>
      <c r="M1040" s="534" t="s">
        <v>162</v>
      </c>
      <c r="N1040" s="525" t="str">
        <f>IF(AND('331-CT'!$E$7=TH!H1040,OR(L1040="331",M1040="331")),"331",IF(AND(OR(L1040="131",M1040="131"),H1040='131-CT'!$E$7),"131",""))</f>
        <v/>
      </c>
      <c r="O1040" s="525" t="str">
        <f>IF(AND($B1040&gt;='111'!$N$11,$B1040&lt;='111'!$O$11,OR($L1040=$O$7,$M1040=$O$7)),"x","")</f>
        <v/>
      </c>
      <c r="P1040" s="525" t="str">
        <f>IF(AND($L1040=$O$7,$B1040&lt;'111'!$N$11),"x","")</f>
        <v/>
      </c>
      <c r="Q1040" s="525" t="str">
        <f>IF(AND($M1040=$O$7,$B1040&lt;'111'!$N$11),"x","")</f>
        <v/>
      </c>
      <c r="R1040" s="525" t="str">
        <f>IF(ISERROR(FIND('112'!$M$9,G1040,1)),"",IF((AND(FIND('112'!$M$9,G1040,1)&gt;=1,$B1040&gt;='112'!$N$8,$B1040&lt;='112'!$O$8,OR($L1040='112'!$I$6,$M1040='112'!$I$6))),"x",""))</f>
        <v/>
      </c>
      <c r="S1040" s="525" t="str">
        <f>IF(ISERROR(FIND('112'!$M$9,G1040,1)),"",IF((AND(LEFT(G1040,2)=LEFT('112'!$M$9,2),B1040&lt;'112'!$N$8,$L1040='112'!$I$6)),"x",""))</f>
        <v/>
      </c>
      <c r="T1040" s="525" t="str">
        <f>IF(ISERROR(FIND('112'!$M$9,G1040,1)),"",IF((AND(RIGHT(G1040,2)=RIGHT('112'!$M$9,2),B1040&lt;'112'!$N$8,$M1040='112'!$I$6)),"x",""))</f>
        <v/>
      </c>
      <c r="U1040" s="525" t="str">
        <f>IF(AND(B1040&gt;='IN-NX'!$P$3,B1040&lt;='IN-NX'!$Q$3,'IN-NX'!$D$7=D1040,OR(LEFT(L1040,2)="15",AND(LEFT(M1040,2)&lt;&gt;"15",LEFT(M1040,2)&lt;&gt;"33"))),"x","")</f>
        <v/>
      </c>
      <c r="V1040" s="525" t="str">
        <f>IF(AND(OR(LEFT(TH!L1040,2)="15",LEFT(TH!M1040,2)="15"),'152-CT'!$J$8=TH!F1040),"x","")</f>
        <v/>
      </c>
      <c r="W1040" s="525" t="str">
        <f>IF(AND(OR(LEFT(TH!L1040,2)="15",LEFT(TH!M1040,2)="15"),TK!$E$7=TH!F1040),"x","")</f>
        <v/>
      </c>
      <c r="X1040" s="525" t="str">
        <f>IF(AND('341-CT'!$E$9=H1040,OR(LEFT(L1040,3)=$X$7,LEFT(M1040,3)=$X$7)),"x","")</f>
        <v/>
      </c>
      <c r="Y1040" s="525" t="str">
        <f>IF(OR(TH!L1040=TH!$Y$7,M1040=TH!$Y$7),"x","")</f>
        <v/>
      </c>
      <c r="Z1040" s="525" t="str">
        <f>IF(AND(B1040&lt;=NKC!$N$8,B1040&gt;=NKC!$M$8),"x","")</f>
        <v>x</v>
      </c>
      <c r="AA1040" s="535"/>
    </row>
    <row r="1041" spans="1:27" s="503" customFormat="1" ht="15.75" customHeight="1">
      <c r="A1041" s="517" t="str">
        <f>IF(B1041&lt;&gt;"",IF(AND(B1041&gt;=_TM1,B1041&lt;=_TM2,OR(TH!L1041="1111",TH!M1041="1111")),TH!D1041,""),"")</f>
        <v/>
      </c>
      <c r="B1041" s="531">
        <f t="shared" si="112"/>
        <v>1</v>
      </c>
      <c r="C1041" s="315">
        <f t="shared" si="113"/>
        <v>42758</v>
      </c>
      <c r="D1041" s="315" t="s">
        <v>912</v>
      </c>
      <c r="E1041" s="315">
        <v>42758</v>
      </c>
      <c r="F1041" s="249" t="s">
        <v>662</v>
      </c>
      <c r="G1041" s="314" t="s">
        <v>510</v>
      </c>
      <c r="H1041" s="473" t="s">
        <v>284</v>
      </c>
      <c r="I1041" s="307">
        <v>4</v>
      </c>
      <c r="J1041" s="307">
        <v>107419</v>
      </c>
      <c r="K1041" s="532">
        <f t="shared" si="114"/>
        <v>429676</v>
      </c>
      <c r="L1041" s="534" t="s">
        <v>223</v>
      </c>
      <c r="M1041" s="534" t="s">
        <v>162</v>
      </c>
      <c r="N1041" s="525" t="str">
        <f>IF(AND('331-CT'!$E$7=TH!H1041,OR(L1041="331",M1041="331")),"331",IF(AND(OR(L1041="131",M1041="131"),H1041='131-CT'!$E$7),"131",""))</f>
        <v/>
      </c>
      <c r="O1041" s="525" t="str">
        <f>IF(AND($B1041&gt;='111'!$N$11,$B1041&lt;='111'!$O$11,OR($L1041=$O$7,$M1041=$O$7)),"x","")</f>
        <v/>
      </c>
      <c r="P1041" s="525" t="str">
        <f>IF(AND($L1041=$O$7,$B1041&lt;'111'!$N$11),"x","")</f>
        <v/>
      </c>
      <c r="Q1041" s="525" t="str">
        <f>IF(AND($M1041=$O$7,$B1041&lt;'111'!$N$11),"x","")</f>
        <v/>
      </c>
      <c r="R1041" s="525" t="str">
        <f>IF(ISERROR(FIND('112'!$M$9,G1041,1)),"",IF((AND(FIND('112'!$M$9,G1041,1)&gt;=1,$B1041&gt;='112'!$N$8,$B1041&lt;='112'!$O$8,OR($L1041='112'!$I$6,$M1041='112'!$I$6))),"x",""))</f>
        <v/>
      </c>
      <c r="S1041" s="525" t="str">
        <f>IF(ISERROR(FIND('112'!$M$9,G1041,1)),"",IF((AND(LEFT(G1041,2)=LEFT('112'!$M$9,2),B1041&lt;'112'!$N$8,$L1041='112'!$I$6)),"x",""))</f>
        <v/>
      </c>
      <c r="T1041" s="525" t="str">
        <f>IF(ISERROR(FIND('112'!$M$9,G1041,1)),"",IF((AND(RIGHT(G1041,2)=RIGHT('112'!$M$9,2),B1041&lt;'112'!$N$8,$M1041='112'!$I$6)),"x",""))</f>
        <v/>
      </c>
      <c r="U1041" s="525" t="str">
        <f>IF(AND(B1041&gt;='IN-NX'!$P$3,B1041&lt;='IN-NX'!$Q$3,'IN-NX'!$D$7=D1041,OR(LEFT(L1041,2)="15",AND(LEFT(M1041,2)&lt;&gt;"15",LEFT(M1041,2)&lt;&gt;"33"))),"x","")</f>
        <v/>
      </c>
      <c r="V1041" s="525" t="str">
        <f>IF(AND(OR(LEFT(TH!L1041,2)="15",LEFT(TH!M1041,2)="15"),'152-CT'!$J$8=TH!F1041),"x","")</f>
        <v/>
      </c>
      <c r="W1041" s="525" t="str">
        <f>IF(AND(OR(LEFT(TH!L1041,2)="15",LEFT(TH!M1041,2)="15"),TK!$E$7=TH!F1041),"x","")</f>
        <v/>
      </c>
      <c r="X1041" s="525" t="str">
        <f>IF(AND('341-CT'!$E$9=H1041,OR(LEFT(L1041,3)=$X$7,LEFT(M1041,3)=$X$7)),"x","")</f>
        <v/>
      </c>
      <c r="Y1041" s="525" t="str">
        <f>IF(OR(TH!L1041=TH!$Y$7,M1041=TH!$Y$7),"x","")</f>
        <v/>
      </c>
      <c r="Z1041" s="525" t="str">
        <f>IF(AND(B1041&lt;=NKC!$N$8,B1041&gt;=NKC!$M$8),"x","")</f>
        <v>x</v>
      </c>
      <c r="AA1041" s="535"/>
    </row>
    <row r="1042" spans="1:27" s="503" customFormat="1" ht="15.75" customHeight="1">
      <c r="A1042" s="517" t="str">
        <f>IF(B1042&lt;&gt;"",IF(AND(B1042&gt;=_TM1,B1042&lt;=_TM2,OR(TH!L1042="1111",TH!M1042="1111")),TH!D1042,""),"")</f>
        <v/>
      </c>
      <c r="B1042" s="531">
        <f t="shared" si="112"/>
        <v>1</v>
      </c>
      <c r="C1042" s="315">
        <f t="shared" si="113"/>
        <v>42758</v>
      </c>
      <c r="D1042" s="315" t="s">
        <v>912</v>
      </c>
      <c r="E1042" s="315">
        <v>42758</v>
      </c>
      <c r="F1042" s="249" t="s">
        <v>663</v>
      </c>
      <c r="G1042" s="314" t="s">
        <v>510</v>
      </c>
      <c r="H1042" s="473" t="s">
        <v>284</v>
      </c>
      <c r="I1042" s="307">
        <v>12</v>
      </c>
      <c r="J1042" s="307">
        <v>45864</v>
      </c>
      <c r="K1042" s="532">
        <f t="shared" si="114"/>
        <v>550368</v>
      </c>
      <c r="L1042" s="534" t="s">
        <v>223</v>
      </c>
      <c r="M1042" s="534" t="s">
        <v>162</v>
      </c>
      <c r="N1042" s="525" t="str">
        <f>IF(AND('331-CT'!$E$7=TH!H1042,OR(L1042="331",M1042="331")),"331",IF(AND(OR(L1042="131",M1042="131"),H1042='131-CT'!$E$7),"131",""))</f>
        <v/>
      </c>
      <c r="O1042" s="525" t="str">
        <f>IF(AND($B1042&gt;='111'!$N$11,$B1042&lt;='111'!$O$11,OR($L1042=$O$7,$M1042=$O$7)),"x","")</f>
        <v/>
      </c>
      <c r="P1042" s="525" t="str">
        <f>IF(AND($L1042=$O$7,$B1042&lt;'111'!$N$11),"x","")</f>
        <v/>
      </c>
      <c r="Q1042" s="525" t="str">
        <f>IF(AND($M1042=$O$7,$B1042&lt;'111'!$N$11),"x","")</f>
        <v/>
      </c>
      <c r="R1042" s="525" t="str">
        <f>IF(ISERROR(FIND('112'!$M$9,G1042,1)),"",IF((AND(FIND('112'!$M$9,G1042,1)&gt;=1,$B1042&gt;='112'!$N$8,$B1042&lt;='112'!$O$8,OR($L1042='112'!$I$6,$M1042='112'!$I$6))),"x",""))</f>
        <v/>
      </c>
      <c r="S1042" s="525" t="str">
        <f>IF(ISERROR(FIND('112'!$M$9,G1042,1)),"",IF((AND(LEFT(G1042,2)=LEFT('112'!$M$9,2),B1042&lt;'112'!$N$8,$L1042='112'!$I$6)),"x",""))</f>
        <v/>
      </c>
      <c r="T1042" s="525" t="str">
        <f>IF(ISERROR(FIND('112'!$M$9,G1042,1)),"",IF((AND(RIGHT(G1042,2)=RIGHT('112'!$M$9,2),B1042&lt;'112'!$N$8,$M1042='112'!$I$6)),"x",""))</f>
        <v/>
      </c>
      <c r="U1042" s="525" t="str">
        <f>IF(AND(B1042&gt;='IN-NX'!$P$3,B1042&lt;='IN-NX'!$Q$3,'IN-NX'!$D$7=D1042,OR(LEFT(L1042,2)="15",AND(LEFT(M1042,2)&lt;&gt;"15",LEFT(M1042,2)&lt;&gt;"33"))),"x","")</f>
        <v/>
      </c>
      <c r="V1042" s="525" t="str">
        <f>IF(AND(OR(LEFT(TH!L1042,2)="15",LEFT(TH!M1042,2)="15"),'152-CT'!$J$8=TH!F1042),"x","")</f>
        <v/>
      </c>
      <c r="W1042" s="525" t="str">
        <f>IF(AND(OR(LEFT(TH!L1042,2)="15",LEFT(TH!M1042,2)="15"),TK!$E$7=TH!F1042),"x","")</f>
        <v/>
      </c>
      <c r="X1042" s="525" t="str">
        <f>IF(AND('341-CT'!$E$9=H1042,OR(LEFT(L1042,3)=$X$7,LEFT(M1042,3)=$X$7)),"x","")</f>
        <v/>
      </c>
      <c r="Y1042" s="525" t="str">
        <f>IF(OR(TH!L1042=TH!$Y$7,M1042=TH!$Y$7),"x","")</f>
        <v/>
      </c>
      <c r="Z1042" s="525" t="str">
        <f>IF(AND(B1042&lt;=NKC!$N$8,B1042&gt;=NKC!$M$8),"x","")</f>
        <v>x</v>
      </c>
      <c r="AA1042" s="535"/>
    </row>
    <row r="1043" spans="1:27" s="503" customFormat="1" ht="15.75" customHeight="1">
      <c r="A1043" s="517" t="str">
        <f>IF(B1043&lt;&gt;"",IF(AND(B1043&gt;=_TM1,B1043&lt;=_TM2,OR(TH!L1043="1111",TH!M1043="1111")),TH!D1043,""),"")</f>
        <v/>
      </c>
      <c r="B1043" s="531">
        <f t="shared" si="112"/>
        <v>1</v>
      </c>
      <c r="C1043" s="315">
        <f t="shared" si="113"/>
        <v>42758</v>
      </c>
      <c r="D1043" s="315" t="s">
        <v>912</v>
      </c>
      <c r="E1043" s="315">
        <v>42758</v>
      </c>
      <c r="F1043" s="249" t="s">
        <v>664</v>
      </c>
      <c r="G1043" s="314" t="s">
        <v>510</v>
      </c>
      <c r="H1043" s="473" t="s">
        <v>284</v>
      </c>
      <c r="I1043" s="307">
        <v>6</v>
      </c>
      <c r="J1043" s="307">
        <v>48019</v>
      </c>
      <c r="K1043" s="532">
        <f t="shared" si="114"/>
        <v>288114</v>
      </c>
      <c r="L1043" s="534" t="s">
        <v>223</v>
      </c>
      <c r="M1043" s="534" t="s">
        <v>162</v>
      </c>
      <c r="N1043" s="525" t="str">
        <f>IF(AND('331-CT'!$E$7=TH!H1043,OR(L1043="331",M1043="331")),"331",IF(AND(OR(L1043="131",M1043="131"),H1043='131-CT'!$E$7),"131",""))</f>
        <v/>
      </c>
      <c r="O1043" s="525" t="str">
        <f>IF(AND($B1043&gt;='111'!$N$11,$B1043&lt;='111'!$O$11,OR($L1043=$O$7,$M1043=$O$7)),"x","")</f>
        <v/>
      </c>
      <c r="P1043" s="525" t="str">
        <f>IF(AND($L1043=$O$7,$B1043&lt;'111'!$N$11),"x","")</f>
        <v/>
      </c>
      <c r="Q1043" s="525" t="str">
        <f>IF(AND($M1043=$O$7,$B1043&lt;'111'!$N$11),"x","")</f>
        <v/>
      </c>
      <c r="R1043" s="525" t="str">
        <f>IF(ISERROR(FIND('112'!$M$9,G1043,1)),"",IF((AND(FIND('112'!$M$9,G1043,1)&gt;=1,$B1043&gt;='112'!$N$8,$B1043&lt;='112'!$O$8,OR($L1043='112'!$I$6,$M1043='112'!$I$6))),"x",""))</f>
        <v/>
      </c>
      <c r="S1043" s="525" t="str">
        <f>IF(ISERROR(FIND('112'!$M$9,G1043,1)),"",IF((AND(LEFT(G1043,2)=LEFT('112'!$M$9,2),B1043&lt;'112'!$N$8,$L1043='112'!$I$6)),"x",""))</f>
        <v/>
      </c>
      <c r="T1043" s="525" t="str">
        <f>IF(ISERROR(FIND('112'!$M$9,G1043,1)),"",IF((AND(RIGHT(G1043,2)=RIGHT('112'!$M$9,2),B1043&lt;'112'!$N$8,$M1043='112'!$I$6)),"x",""))</f>
        <v/>
      </c>
      <c r="U1043" s="525" t="str">
        <f>IF(AND(B1043&gt;='IN-NX'!$P$3,B1043&lt;='IN-NX'!$Q$3,'IN-NX'!$D$7=D1043,OR(LEFT(L1043,2)="15",AND(LEFT(M1043,2)&lt;&gt;"15",LEFT(M1043,2)&lt;&gt;"33"))),"x","")</f>
        <v/>
      </c>
      <c r="V1043" s="525" t="str">
        <f>IF(AND(OR(LEFT(TH!L1043,2)="15",LEFT(TH!M1043,2)="15"),'152-CT'!$J$8=TH!F1043),"x","")</f>
        <v/>
      </c>
      <c r="W1043" s="525" t="str">
        <f>IF(AND(OR(LEFT(TH!L1043,2)="15",LEFT(TH!M1043,2)="15"),TK!$E$7=TH!F1043),"x","")</f>
        <v/>
      </c>
      <c r="X1043" s="525" t="str">
        <f>IF(AND('341-CT'!$E$9=H1043,OR(LEFT(L1043,3)=$X$7,LEFT(M1043,3)=$X$7)),"x","")</f>
        <v/>
      </c>
      <c r="Y1043" s="525" t="str">
        <f>IF(OR(TH!L1043=TH!$Y$7,M1043=TH!$Y$7),"x","")</f>
        <v/>
      </c>
      <c r="Z1043" s="525" t="str">
        <f>IF(AND(B1043&lt;=NKC!$N$8,B1043&gt;=NKC!$M$8),"x","")</f>
        <v>x</v>
      </c>
      <c r="AA1043" s="535"/>
    </row>
    <row r="1044" spans="1:27" s="503" customFormat="1" ht="15.75" customHeight="1">
      <c r="A1044" s="517" t="str">
        <f>IF(B1044&lt;&gt;"",IF(AND(B1044&gt;=_TM1,B1044&lt;=_TM2,OR(TH!L1044="1111",TH!M1044="1111")),TH!D1044,""),"")</f>
        <v/>
      </c>
      <c r="B1044" s="531">
        <f t="shared" si="112"/>
        <v>1</v>
      </c>
      <c r="C1044" s="315">
        <f t="shared" si="113"/>
        <v>42758</v>
      </c>
      <c r="D1044" s="315" t="s">
        <v>912</v>
      </c>
      <c r="E1044" s="315">
        <v>42758</v>
      </c>
      <c r="F1044" s="249" t="s">
        <v>665</v>
      </c>
      <c r="G1044" s="314" t="s">
        <v>510</v>
      </c>
      <c r="H1044" s="473" t="s">
        <v>284</v>
      </c>
      <c r="I1044" s="307">
        <v>70</v>
      </c>
      <c r="J1044" s="307">
        <v>14722</v>
      </c>
      <c r="K1044" s="532">
        <f t="shared" si="114"/>
        <v>1030540</v>
      </c>
      <c r="L1044" s="534" t="s">
        <v>223</v>
      </c>
      <c r="M1044" s="534" t="s">
        <v>162</v>
      </c>
      <c r="N1044" s="525" t="str">
        <f>IF(AND('331-CT'!$E$7=TH!H1044,OR(L1044="331",M1044="331")),"331",IF(AND(OR(L1044="131",M1044="131"),H1044='131-CT'!$E$7),"131",""))</f>
        <v/>
      </c>
      <c r="O1044" s="525" t="str">
        <f>IF(AND($B1044&gt;='111'!$N$11,$B1044&lt;='111'!$O$11,OR($L1044=$O$7,$M1044=$O$7)),"x","")</f>
        <v/>
      </c>
      <c r="P1044" s="525" t="str">
        <f>IF(AND($L1044=$O$7,$B1044&lt;'111'!$N$11),"x","")</f>
        <v/>
      </c>
      <c r="Q1044" s="525" t="str">
        <f>IF(AND($M1044=$O$7,$B1044&lt;'111'!$N$11),"x","")</f>
        <v/>
      </c>
      <c r="R1044" s="525" t="str">
        <f>IF(ISERROR(FIND('112'!$M$9,G1044,1)),"",IF((AND(FIND('112'!$M$9,G1044,1)&gt;=1,$B1044&gt;='112'!$N$8,$B1044&lt;='112'!$O$8,OR($L1044='112'!$I$6,$M1044='112'!$I$6))),"x",""))</f>
        <v/>
      </c>
      <c r="S1044" s="525" t="str">
        <f>IF(ISERROR(FIND('112'!$M$9,G1044,1)),"",IF((AND(LEFT(G1044,2)=LEFT('112'!$M$9,2),B1044&lt;'112'!$N$8,$L1044='112'!$I$6)),"x",""))</f>
        <v/>
      </c>
      <c r="T1044" s="525" t="str">
        <f>IF(ISERROR(FIND('112'!$M$9,G1044,1)),"",IF((AND(RIGHT(G1044,2)=RIGHT('112'!$M$9,2),B1044&lt;'112'!$N$8,$M1044='112'!$I$6)),"x",""))</f>
        <v/>
      </c>
      <c r="U1044" s="525" t="str">
        <f>IF(AND(B1044&gt;='IN-NX'!$P$3,B1044&lt;='IN-NX'!$Q$3,'IN-NX'!$D$7=D1044,OR(LEFT(L1044,2)="15",AND(LEFT(M1044,2)&lt;&gt;"15",LEFT(M1044,2)&lt;&gt;"33"))),"x","")</f>
        <v/>
      </c>
      <c r="V1044" s="525" t="str">
        <f>IF(AND(OR(LEFT(TH!L1044,2)="15",LEFT(TH!M1044,2)="15"),'152-CT'!$J$8=TH!F1044),"x","")</f>
        <v/>
      </c>
      <c r="W1044" s="525" t="str">
        <f>IF(AND(OR(LEFT(TH!L1044,2)="15",LEFT(TH!M1044,2)="15"),TK!$E$7=TH!F1044),"x","")</f>
        <v/>
      </c>
      <c r="X1044" s="525" t="str">
        <f>IF(AND('341-CT'!$E$9=H1044,OR(LEFT(L1044,3)=$X$7,LEFT(M1044,3)=$X$7)),"x","")</f>
        <v/>
      </c>
      <c r="Y1044" s="525" t="str">
        <f>IF(OR(TH!L1044=TH!$Y$7,M1044=TH!$Y$7),"x","")</f>
        <v/>
      </c>
      <c r="Z1044" s="525" t="str">
        <f>IF(AND(B1044&lt;=NKC!$N$8,B1044&gt;=NKC!$M$8),"x","")</f>
        <v>x</v>
      </c>
      <c r="AA1044" s="535"/>
    </row>
    <row r="1045" spans="1:27" s="503" customFormat="1" ht="15.75" customHeight="1">
      <c r="A1045" s="517" t="str">
        <f>IF(B1045&lt;&gt;"",IF(AND(B1045&gt;=_TM1,B1045&lt;=_TM2,OR(TH!L1045="1111",TH!M1045="1111")),TH!D1045,""),"")</f>
        <v/>
      </c>
      <c r="B1045" s="531">
        <f t="shared" si="112"/>
        <v>1</v>
      </c>
      <c r="C1045" s="315">
        <f t="shared" si="113"/>
        <v>42758</v>
      </c>
      <c r="D1045" s="315" t="s">
        <v>912</v>
      </c>
      <c r="E1045" s="315">
        <v>42758</v>
      </c>
      <c r="F1045" s="249" t="s">
        <v>666</v>
      </c>
      <c r="G1045" s="314" t="s">
        <v>510</v>
      </c>
      <c r="H1045" s="473" t="s">
        <v>284</v>
      </c>
      <c r="I1045" s="307">
        <v>56</v>
      </c>
      <c r="J1045" s="307">
        <v>19395</v>
      </c>
      <c r="K1045" s="532">
        <f t="shared" si="114"/>
        <v>1086120</v>
      </c>
      <c r="L1045" s="534" t="s">
        <v>223</v>
      </c>
      <c r="M1045" s="534" t="s">
        <v>162</v>
      </c>
      <c r="N1045" s="525" t="str">
        <f>IF(AND('331-CT'!$E$7=TH!H1045,OR(L1045="331",M1045="331")),"331",IF(AND(OR(L1045="131",M1045="131"),H1045='131-CT'!$E$7),"131",""))</f>
        <v/>
      </c>
      <c r="O1045" s="525" t="str">
        <f>IF(AND($B1045&gt;='111'!$N$11,$B1045&lt;='111'!$O$11,OR($L1045=$O$7,$M1045=$O$7)),"x","")</f>
        <v/>
      </c>
      <c r="P1045" s="525" t="str">
        <f>IF(AND($L1045=$O$7,$B1045&lt;'111'!$N$11),"x","")</f>
        <v/>
      </c>
      <c r="Q1045" s="525" t="str">
        <f>IF(AND($M1045=$O$7,$B1045&lt;'111'!$N$11),"x","")</f>
        <v/>
      </c>
      <c r="R1045" s="525" t="str">
        <f>IF(ISERROR(FIND('112'!$M$9,G1045,1)),"",IF((AND(FIND('112'!$M$9,G1045,1)&gt;=1,$B1045&gt;='112'!$N$8,$B1045&lt;='112'!$O$8,OR($L1045='112'!$I$6,$M1045='112'!$I$6))),"x",""))</f>
        <v/>
      </c>
      <c r="S1045" s="525" t="str">
        <f>IF(ISERROR(FIND('112'!$M$9,G1045,1)),"",IF((AND(LEFT(G1045,2)=LEFT('112'!$M$9,2),B1045&lt;'112'!$N$8,$L1045='112'!$I$6)),"x",""))</f>
        <v/>
      </c>
      <c r="T1045" s="525" t="str">
        <f>IF(ISERROR(FIND('112'!$M$9,G1045,1)),"",IF((AND(RIGHT(G1045,2)=RIGHT('112'!$M$9,2),B1045&lt;'112'!$N$8,$M1045='112'!$I$6)),"x",""))</f>
        <v/>
      </c>
      <c r="U1045" s="525" t="str">
        <f>IF(AND(B1045&gt;='IN-NX'!$P$3,B1045&lt;='IN-NX'!$Q$3,'IN-NX'!$D$7=D1045,OR(LEFT(L1045,2)="15",AND(LEFT(M1045,2)&lt;&gt;"15",LEFT(M1045,2)&lt;&gt;"33"))),"x","")</f>
        <v/>
      </c>
      <c r="V1045" s="525" t="str">
        <f>IF(AND(OR(LEFT(TH!L1045,2)="15",LEFT(TH!M1045,2)="15"),'152-CT'!$J$8=TH!F1045),"x","")</f>
        <v/>
      </c>
      <c r="W1045" s="525" t="str">
        <f>IF(AND(OR(LEFT(TH!L1045,2)="15",LEFT(TH!M1045,2)="15"),TK!$E$7=TH!F1045),"x","")</f>
        <v/>
      </c>
      <c r="X1045" s="525" t="str">
        <f>IF(AND('341-CT'!$E$9=H1045,OR(LEFT(L1045,3)=$X$7,LEFT(M1045,3)=$X$7)),"x","")</f>
        <v/>
      </c>
      <c r="Y1045" s="525" t="str">
        <f>IF(OR(TH!L1045=TH!$Y$7,M1045=TH!$Y$7),"x","")</f>
        <v/>
      </c>
      <c r="Z1045" s="525" t="str">
        <f>IF(AND(B1045&lt;=NKC!$N$8,B1045&gt;=NKC!$M$8),"x","")</f>
        <v>x</v>
      </c>
      <c r="AA1045" s="535"/>
    </row>
    <row r="1046" spans="1:27" s="503" customFormat="1" ht="15.75" customHeight="1">
      <c r="A1046" s="517" t="str">
        <f>IF(B1046&lt;&gt;"",IF(AND(B1046&gt;=_TM1,B1046&lt;=_TM2,OR(TH!L1046="1111",TH!M1046="1111")),TH!D1046,""),"")</f>
        <v/>
      </c>
      <c r="B1046" s="531">
        <f t="shared" si="112"/>
        <v>1</v>
      </c>
      <c r="C1046" s="315">
        <f t="shared" si="113"/>
        <v>42758</v>
      </c>
      <c r="D1046" s="315" t="s">
        <v>912</v>
      </c>
      <c r="E1046" s="315">
        <v>42758</v>
      </c>
      <c r="F1046" s="249" t="s">
        <v>667</v>
      </c>
      <c r="G1046" s="314" t="s">
        <v>510</v>
      </c>
      <c r="H1046" s="473" t="s">
        <v>284</v>
      </c>
      <c r="I1046" s="307">
        <v>3</v>
      </c>
      <c r="J1046" s="307">
        <v>40018</v>
      </c>
      <c r="K1046" s="532">
        <f t="shared" si="114"/>
        <v>120054</v>
      </c>
      <c r="L1046" s="534" t="s">
        <v>223</v>
      </c>
      <c r="M1046" s="534" t="s">
        <v>162</v>
      </c>
      <c r="N1046" s="525" t="str">
        <f>IF(AND('331-CT'!$E$7=TH!H1046,OR(L1046="331",M1046="331")),"331",IF(AND(OR(L1046="131",M1046="131"),H1046='131-CT'!$E$7),"131",""))</f>
        <v/>
      </c>
      <c r="O1046" s="525" t="str">
        <f>IF(AND($B1046&gt;='111'!$N$11,$B1046&lt;='111'!$O$11,OR($L1046=$O$7,$M1046=$O$7)),"x","")</f>
        <v/>
      </c>
      <c r="P1046" s="525" t="str">
        <f>IF(AND($L1046=$O$7,$B1046&lt;'111'!$N$11),"x","")</f>
        <v/>
      </c>
      <c r="Q1046" s="525" t="str">
        <f>IF(AND($M1046=$O$7,$B1046&lt;'111'!$N$11),"x","")</f>
        <v/>
      </c>
      <c r="R1046" s="525" t="str">
        <f>IF(ISERROR(FIND('112'!$M$9,G1046,1)),"",IF((AND(FIND('112'!$M$9,G1046,1)&gt;=1,$B1046&gt;='112'!$N$8,$B1046&lt;='112'!$O$8,OR($L1046='112'!$I$6,$M1046='112'!$I$6))),"x",""))</f>
        <v/>
      </c>
      <c r="S1046" s="525" t="str">
        <f>IF(ISERROR(FIND('112'!$M$9,G1046,1)),"",IF((AND(LEFT(G1046,2)=LEFT('112'!$M$9,2),B1046&lt;'112'!$N$8,$L1046='112'!$I$6)),"x",""))</f>
        <v/>
      </c>
      <c r="T1046" s="525" t="str">
        <f>IF(ISERROR(FIND('112'!$M$9,G1046,1)),"",IF((AND(RIGHT(G1046,2)=RIGHT('112'!$M$9,2),B1046&lt;'112'!$N$8,$M1046='112'!$I$6)),"x",""))</f>
        <v/>
      </c>
      <c r="U1046" s="525" t="str">
        <f>IF(AND(B1046&gt;='IN-NX'!$P$3,B1046&lt;='IN-NX'!$Q$3,'IN-NX'!$D$7=D1046,OR(LEFT(L1046,2)="15",AND(LEFT(M1046,2)&lt;&gt;"15",LEFT(M1046,2)&lt;&gt;"33"))),"x","")</f>
        <v/>
      </c>
      <c r="V1046" s="525" t="str">
        <f>IF(AND(OR(LEFT(TH!L1046,2)="15",LEFT(TH!M1046,2)="15"),'152-CT'!$J$8=TH!F1046),"x","")</f>
        <v/>
      </c>
      <c r="W1046" s="525" t="str">
        <f>IF(AND(OR(LEFT(TH!L1046,2)="15",LEFT(TH!M1046,2)="15"),TK!$E$7=TH!F1046),"x","")</f>
        <v/>
      </c>
      <c r="X1046" s="525" t="str">
        <f>IF(AND('341-CT'!$E$9=H1046,OR(LEFT(L1046,3)=$X$7,LEFT(M1046,3)=$X$7)),"x","")</f>
        <v/>
      </c>
      <c r="Y1046" s="525" t="str">
        <f>IF(OR(TH!L1046=TH!$Y$7,M1046=TH!$Y$7),"x","")</f>
        <v/>
      </c>
      <c r="Z1046" s="525" t="str">
        <f>IF(AND(B1046&lt;=NKC!$N$8,B1046&gt;=NKC!$M$8),"x","")</f>
        <v>x</v>
      </c>
      <c r="AA1046" s="535"/>
    </row>
    <row r="1047" spans="1:27" s="503" customFormat="1" ht="15.75" customHeight="1">
      <c r="A1047" s="517" t="str">
        <f>IF(B1047&lt;&gt;"",IF(AND(B1047&gt;=_TM1,B1047&lt;=_TM2,OR(TH!L1047="1111",TH!M1047="1111")),TH!D1047,""),"")</f>
        <v/>
      </c>
      <c r="B1047" s="531">
        <f t="shared" si="112"/>
        <v>1</v>
      </c>
      <c r="C1047" s="315">
        <f t="shared" si="113"/>
        <v>42758</v>
      </c>
      <c r="D1047" s="315" t="s">
        <v>913</v>
      </c>
      <c r="E1047" s="315">
        <v>42758</v>
      </c>
      <c r="F1047" s="249" t="s">
        <v>668</v>
      </c>
      <c r="G1047" s="314" t="s">
        <v>510</v>
      </c>
      <c r="H1047" s="473" t="s">
        <v>284</v>
      </c>
      <c r="I1047" s="307">
        <v>144</v>
      </c>
      <c r="J1047" s="307">
        <v>8712</v>
      </c>
      <c r="K1047" s="532">
        <f t="shared" si="114"/>
        <v>1254528</v>
      </c>
      <c r="L1047" s="534" t="s">
        <v>223</v>
      </c>
      <c r="M1047" s="534" t="s">
        <v>162</v>
      </c>
      <c r="N1047" s="525" t="str">
        <f>IF(AND('331-CT'!$E$7=TH!H1047,OR(L1047="331",M1047="331")),"331",IF(AND(OR(L1047="131",M1047="131"),H1047='131-CT'!$E$7),"131",""))</f>
        <v/>
      </c>
      <c r="O1047" s="525" t="str">
        <f>IF(AND($B1047&gt;='111'!$N$11,$B1047&lt;='111'!$O$11,OR($L1047=$O$7,$M1047=$O$7)),"x","")</f>
        <v/>
      </c>
      <c r="P1047" s="525" t="str">
        <f>IF(AND($L1047=$O$7,$B1047&lt;'111'!$N$11),"x","")</f>
        <v/>
      </c>
      <c r="Q1047" s="525" t="str">
        <f>IF(AND($M1047=$O$7,$B1047&lt;'111'!$N$11),"x","")</f>
        <v/>
      </c>
      <c r="R1047" s="525" t="str">
        <f>IF(ISERROR(FIND('112'!$M$9,G1047,1)),"",IF((AND(FIND('112'!$M$9,G1047,1)&gt;=1,$B1047&gt;='112'!$N$8,$B1047&lt;='112'!$O$8,OR($L1047='112'!$I$6,$M1047='112'!$I$6))),"x",""))</f>
        <v/>
      </c>
      <c r="S1047" s="525" t="str">
        <f>IF(ISERROR(FIND('112'!$M$9,G1047,1)),"",IF((AND(LEFT(G1047,2)=LEFT('112'!$M$9,2),B1047&lt;'112'!$N$8,$L1047='112'!$I$6)),"x",""))</f>
        <v/>
      </c>
      <c r="T1047" s="525" t="str">
        <f>IF(ISERROR(FIND('112'!$M$9,G1047,1)),"",IF((AND(RIGHT(G1047,2)=RIGHT('112'!$M$9,2),B1047&lt;'112'!$N$8,$M1047='112'!$I$6)),"x",""))</f>
        <v/>
      </c>
      <c r="U1047" s="525" t="str">
        <f>IF(AND(B1047&gt;='IN-NX'!$P$3,B1047&lt;='IN-NX'!$Q$3,'IN-NX'!$D$7=D1047,OR(LEFT(L1047,2)="15",AND(LEFT(M1047,2)&lt;&gt;"15",LEFT(M1047,2)&lt;&gt;"33"))),"x","")</f>
        <v/>
      </c>
      <c r="V1047" s="525" t="str">
        <f>IF(AND(OR(LEFT(TH!L1047,2)="15",LEFT(TH!M1047,2)="15"),'152-CT'!$J$8=TH!F1047),"x","")</f>
        <v/>
      </c>
      <c r="W1047" s="525" t="str">
        <f>IF(AND(OR(LEFT(TH!L1047,2)="15",LEFT(TH!M1047,2)="15"),TK!$E$7=TH!F1047),"x","")</f>
        <v/>
      </c>
      <c r="X1047" s="525" t="str">
        <f>IF(AND('341-CT'!$E$9=H1047,OR(LEFT(L1047,3)=$X$7,LEFT(M1047,3)=$X$7)),"x","")</f>
        <v/>
      </c>
      <c r="Y1047" s="525" t="str">
        <f>IF(OR(TH!L1047=TH!$Y$7,M1047=TH!$Y$7),"x","")</f>
        <v/>
      </c>
      <c r="Z1047" s="525" t="str">
        <f>IF(AND(B1047&lt;=NKC!$N$8,B1047&gt;=NKC!$M$8),"x","")</f>
        <v>x</v>
      </c>
      <c r="AA1047" s="535"/>
    </row>
    <row r="1048" spans="1:27" s="503" customFormat="1" ht="15.75" customHeight="1">
      <c r="A1048" s="517" t="str">
        <f>IF(B1048&lt;&gt;"",IF(AND(B1048&gt;=_TM1,B1048&lt;=_TM2,OR(TH!L1048="1111",TH!M1048="1111")),TH!D1048,""),"")</f>
        <v/>
      </c>
      <c r="B1048" s="531">
        <f t="shared" si="112"/>
        <v>1</v>
      </c>
      <c r="C1048" s="315">
        <f t="shared" si="113"/>
        <v>42758</v>
      </c>
      <c r="D1048" s="315" t="s">
        <v>913</v>
      </c>
      <c r="E1048" s="315">
        <v>42758</v>
      </c>
      <c r="F1048" s="249" t="s">
        <v>669</v>
      </c>
      <c r="G1048" s="314" t="s">
        <v>510</v>
      </c>
      <c r="H1048" s="473" t="s">
        <v>284</v>
      </c>
      <c r="I1048" s="307">
        <v>176</v>
      </c>
      <c r="J1048" s="307">
        <v>7643</v>
      </c>
      <c r="K1048" s="532">
        <f t="shared" si="114"/>
        <v>1345168</v>
      </c>
      <c r="L1048" s="534" t="s">
        <v>223</v>
      </c>
      <c r="M1048" s="534" t="s">
        <v>162</v>
      </c>
      <c r="N1048" s="525" t="str">
        <f>IF(AND('331-CT'!$E$7=TH!H1048,OR(L1048="331",M1048="331")),"331",IF(AND(OR(L1048="131",M1048="131"),H1048='131-CT'!$E$7),"131",""))</f>
        <v/>
      </c>
      <c r="O1048" s="525" t="str">
        <f>IF(AND($B1048&gt;='111'!$N$11,$B1048&lt;='111'!$O$11,OR($L1048=$O$7,$M1048=$O$7)),"x","")</f>
        <v/>
      </c>
      <c r="P1048" s="525" t="str">
        <f>IF(AND($L1048=$O$7,$B1048&lt;'111'!$N$11),"x","")</f>
        <v/>
      </c>
      <c r="Q1048" s="525" t="str">
        <f>IF(AND($M1048=$O$7,$B1048&lt;'111'!$N$11),"x","")</f>
        <v/>
      </c>
      <c r="R1048" s="525" t="str">
        <f>IF(ISERROR(FIND('112'!$M$9,G1048,1)),"",IF((AND(FIND('112'!$M$9,G1048,1)&gt;=1,$B1048&gt;='112'!$N$8,$B1048&lt;='112'!$O$8,OR($L1048='112'!$I$6,$M1048='112'!$I$6))),"x",""))</f>
        <v/>
      </c>
      <c r="S1048" s="525" t="str">
        <f>IF(ISERROR(FIND('112'!$M$9,G1048,1)),"",IF((AND(LEFT(G1048,2)=LEFT('112'!$M$9,2),B1048&lt;'112'!$N$8,$L1048='112'!$I$6)),"x",""))</f>
        <v/>
      </c>
      <c r="T1048" s="525" t="str">
        <f>IF(ISERROR(FIND('112'!$M$9,G1048,1)),"",IF((AND(RIGHT(G1048,2)=RIGHT('112'!$M$9,2),B1048&lt;'112'!$N$8,$M1048='112'!$I$6)),"x",""))</f>
        <v/>
      </c>
      <c r="U1048" s="525" t="str">
        <f>IF(AND(B1048&gt;='IN-NX'!$P$3,B1048&lt;='IN-NX'!$Q$3,'IN-NX'!$D$7=D1048,OR(LEFT(L1048,2)="15",AND(LEFT(M1048,2)&lt;&gt;"15",LEFT(M1048,2)&lt;&gt;"33"))),"x","")</f>
        <v/>
      </c>
      <c r="V1048" s="525" t="str">
        <f>IF(AND(OR(LEFT(TH!L1048,2)="15",LEFT(TH!M1048,2)="15"),'152-CT'!$J$8=TH!F1048),"x","")</f>
        <v/>
      </c>
      <c r="W1048" s="525" t="str">
        <f>IF(AND(OR(LEFT(TH!L1048,2)="15",LEFT(TH!M1048,2)="15"),TK!$E$7=TH!F1048),"x","")</f>
        <v/>
      </c>
      <c r="X1048" s="525" t="str">
        <f>IF(AND('341-CT'!$E$9=H1048,OR(LEFT(L1048,3)=$X$7,LEFT(M1048,3)=$X$7)),"x","")</f>
        <v/>
      </c>
      <c r="Y1048" s="525" t="str">
        <f>IF(OR(TH!L1048=TH!$Y$7,M1048=TH!$Y$7),"x","")</f>
        <v/>
      </c>
      <c r="Z1048" s="525" t="str">
        <f>IF(AND(B1048&lt;=NKC!$N$8,B1048&gt;=NKC!$M$8),"x","")</f>
        <v>x</v>
      </c>
      <c r="AA1048" s="535"/>
    </row>
    <row r="1049" spans="1:27" s="503" customFormat="1" ht="15.75" customHeight="1">
      <c r="A1049" s="517" t="str">
        <f>IF(B1049&lt;&gt;"",IF(AND(B1049&gt;=_TM1,B1049&lt;=_TM2,OR(TH!L1049="1111",TH!M1049="1111")),TH!D1049,""),"")</f>
        <v/>
      </c>
      <c r="B1049" s="531">
        <f t="shared" si="112"/>
        <v>1</v>
      </c>
      <c r="C1049" s="315">
        <f t="shared" si="113"/>
        <v>42758</v>
      </c>
      <c r="D1049" s="315" t="s">
        <v>913</v>
      </c>
      <c r="E1049" s="315">
        <v>42758</v>
      </c>
      <c r="F1049" s="249" t="s">
        <v>670</v>
      </c>
      <c r="G1049" s="314" t="s">
        <v>510</v>
      </c>
      <c r="H1049" s="473" t="s">
        <v>284</v>
      </c>
      <c r="I1049" s="307">
        <v>100</v>
      </c>
      <c r="J1049" s="307">
        <v>9464</v>
      </c>
      <c r="K1049" s="532">
        <f t="shared" si="114"/>
        <v>946400</v>
      </c>
      <c r="L1049" s="534" t="s">
        <v>223</v>
      </c>
      <c r="M1049" s="534" t="s">
        <v>162</v>
      </c>
      <c r="N1049" s="525" t="str">
        <f>IF(AND('331-CT'!$E$7=TH!H1049,OR(L1049="331",M1049="331")),"331",IF(AND(OR(L1049="131",M1049="131"),H1049='131-CT'!$E$7),"131",""))</f>
        <v/>
      </c>
      <c r="O1049" s="525" t="str">
        <f>IF(AND($B1049&gt;='111'!$N$11,$B1049&lt;='111'!$O$11,OR($L1049=$O$7,$M1049=$O$7)),"x","")</f>
        <v/>
      </c>
      <c r="P1049" s="525" t="str">
        <f>IF(AND($L1049=$O$7,$B1049&lt;'111'!$N$11),"x","")</f>
        <v/>
      </c>
      <c r="Q1049" s="525" t="str">
        <f>IF(AND($M1049=$O$7,$B1049&lt;'111'!$N$11),"x","")</f>
        <v/>
      </c>
      <c r="R1049" s="525" t="str">
        <f>IF(ISERROR(FIND('112'!$M$9,G1049,1)),"",IF((AND(FIND('112'!$M$9,G1049,1)&gt;=1,$B1049&gt;='112'!$N$8,$B1049&lt;='112'!$O$8,OR($L1049='112'!$I$6,$M1049='112'!$I$6))),"x",""))</f>
        <v/>
      </c>
      <c r="S1049" s="525" t="str">
        <f>IF(ISERROR(FIND('112'!$M$9,G1049,1)),"",IF((AND(LEFT(G1049,2)=LEFT('112'!$M$9,2),B1049&lt;'112'!$N$8,$L1049='112'!$I$6)),"x",""))</f>
        <v/>
      </c>
      <c r="T1049" s="525" t="str">
        <f>IF(ISERROR(FIND('112'!$M$9,G1049,1)),"",IF((AND(RIGHT(G1049,2)=RIGHT('112'!$M$9,2),B1049&lt;'112'!$N$8,$M1049='112'!$I$6)),"x",""))</f>
        <v/>
      </c>
      <c r="U1049" s="525" t="str">
        <f>IF(AND(B1049&gt;='IN-NX'!$P$3,B1049&lt;='IN-NX'!$Q$3,'IN-NX'!$D$7=D1049,OR(LEFT(L1049,2)="15",AND(LEFT(M1049,2)&lt;&gt;"15",LEFT(M1049,2)&lt;&gt;"33"))),"x","")</f>
        <v/>
      </c>
      <c r="V1049" s="525" t="str">
        <f>IF(AND(OR(LEFT(TH!L1049,2)="15",LEFT(TH!M1049,2)="15"),'152-CT'!$J$8=TH!F1049),"x","")</f>
        <v/>
      </c>
      <c r="W1049" s="525" t="str">
        <f>IF(AND(OR(LEFT(TH!L1049,2)="15",LEFT(TH!M1049,2)="15"),TK!$E$7=TH!F1049),"x","")</f>
        <v/>
      </c>
      <c r="X1049" s="525" t="str">
        <f>IF(AND('341-CT'!$E$9=H1049,OR(LEFT(L1049,3)=$X$7,LEFT(M1049,3)=$X$7)),"x","")</f>
        <v/>
      </c>
      <c r="Y1049" s="525" t="str">
        <f>IF(OR(TH!L1049=TH!$Y$7,M1049=TH!$Y$7),"x","")</f>
        <v/>
      </c>
      <c r="Z1049" s="525" t="str">
        <f>IF(AND(B1049&lt;=NKC!$N$8,B1049&gt;=NKC!$M$8),"x","")</f>
        <v>x</v>
      </c>
      <c r="AA1049" s="535"/>
    </row>
    <row r="1050" spans="1:27" s="503" customFormat="1" ht="15.75" customHeight="1">
      <c r="A1050" s="517" t="str">
        <f>IF(B1050&lt;&gt;"",IF(AND(B1050&gt;=_TM1,B1050&lt;=_TM2,OR(TH!L1050="1111",TH!M1050="1111")),TH!D1050,""),"")</f>
        <v/>
      </c>
      <c r="B1050" s="531">
        <f t="shared" si="112"/>
        <v>1</v>
      </c>
      <c r="C1050" s="315">
        <f t="shared" si="113"/>
        <v>42758</v>
      </c>
      <c r="D1050" s="315" t="s">
        <v>913</v>
      </c>
      <c r="E1050" s="315">
        <v>42758</v>
      </c>
      <c r="F1050" s="249" t="s">
        <v>671</v>
      </c>
      <c r="G1050" s="314" t="s">
        <v>510</v>
      </c>
      <c r="H1050" s="473" t="s">
        <v>284</v>
      </c>
      <c r="I1050" s="307">
        <v>320</v>
      </c>
      <c r="J1050" s="307">
        <v>7793</v>
      </c>
      <c r="K1050" s="532">
        <f t="shared" si="114"/>
        <v>2493760</v>
      </c>
      <c r="L1050" s="534" t="s">
        <v>223</v>
      </c>
      <c r="M1050" s="534" t="s">
        <v>162</v>
      </c>
      <c r="N1050" s="525" t="str">
        <f>IF(AND('331-CT'!$E$7=TH!H1050,OR(L1050="331",M1050="331")),"331",IF(AND(OR(L1050="131",M1050="131"),H1050='131-CT'!$E$7),"131",""))</f>
        <v/>
      </c>
      <c r="O1050" s="525" t="str">
        <f>IF(AND($B1050&gt;='111'!$N$11,$B1050&lt;='111'!$O$11,OR($L1050=$O$7,$M1050=$O$7)),"x","")</f>
        <v/>
      </c>
      <c r="P1050" s="525" t="str">
        <f>IF(AND($L1050=$O$7,$B1050&lt;'111'!$N$11),"x","")</f>
        <v/>
      </c>
      <c r="Q1050" s="525" t="str">
        <f>IF(AND($M1050=$O$7,$B1050&lt;'111'!$N$11),"x","")</f>
        <v/>
      </c>
      <c r="R1050" s="525" t="str">
        <f>IF(ISERROR(FIND('112'!$M$9,G1050,1)),"",IF((AND(FIND('112'!$M$9,G1050,1)&gt;=1,$B1050&gt;='112'!$N$8,$B1050&lt;='112'!$O$8,OR($L1050='112'!$I$6,$M1050='112'!$I$6))),"x",""))</f>
        <v/>
      </c>
      <c r="S1050" s="525" t="str">
        <f>IF(ISERROR(FIND('112'!$M$9,G1050,1)),"",IF((AND(LEFT(G1050,2)=LEFT('112'!$M$9,2),B1050&lt;'112'!$N$8,$L1050='112'!$I$6)),"x",""))</f>
        <v/>
      </c>
      <c r="T1050" s="525" t="str">
        <f>IF(ISERROR(FIND('112'!$M$9,G1050,1)),"",IF((AND(RIGHT(G1050,2)=RIGHT('112'!$M$9,2),B1050&lt;'112'!$N$8,$M1050='112'!$I$6)),"x",""))</f>
        <v/>
      </c>
      <c r="U1050" s="525" t="str">
        <f>IF(AND(B1050&gt;='IN-NX'!$P$3,B1050&lt;='IN-NX'!$Q$3,'IN-NX'!$D$7=D1050,OR(LEFT(L1050,2)="15",AND(LEFT(M1050,2)&lt;&gt;"15",LEFT(M1050,2)&lt;&gt;"33"))),"x","")</f>
        <v/>
      </c>
      <c r="V1050" s="525" t="str">
        <f>IF(AND(OR(LEFT(TH!L1050,2)="15",LEFT(TH!M1050,2)="15"),'152-CT'!$J$8=TH!F1050),"x","")</f>
        <v/>
      </c>
      <c r="W1050" s="525" t="str">
        <f>IF(AND(OR(LEFT(TH!L1050,2)="15",LEFT(TH!M1050,2)="15"),TK!$E$7=TH!F1050),"x","")</f>
        <v/>
      </c>
      <c r="X1050" s="525" t="str">
        <f>IF(AND('341-CT'!$E$9=H1050,OR(LEFT(L1050,3)=$X$7,LEFT(M1050,3)=$X$7)),"x","")</f>
        <v/>
      </c>
      <c r="Y1050" s="525" t="str">
        <f>IF(OR(TH!L1050=TH!$Y$7,M1050=TH!$Y$7),"x","")</f>
        <v/>
      </c>
      <c r="Z1050" s="525" t="str">
        <f>IF(AND(B1050&lt;=NKC!$N$8,B1050&gt;=NKC!$M$8),"x","")</f>
        <v>x</v>
      </c>
      <c r="AA1050" s="535"/>
    </row>
    <row r="1051" spans="1:27" s="503" customFormat="1" ht="15.75" customHeight="1">
      <c r="A1051" s="517" t="str">
        <f>IF(B1051&lt;&gt;"",IF(AND(B1051&gt;=_TM1,B1051&lt;=_TM2,OR(TH!L1051="1111",TH!M1051="1111")),TH!D1051,""),"")</f>
        <v/>
      </c>
      <c r="B1051" s="531">
        <f t="shared" si="112"/>
        <v>1</v>
      </c>
      <c r="C1051" s="315">
        <f t="shared" si="113"/>
        <v>42758</v>
      </c>
      <c r="D1051" s="315" t="s">
        <v>913</v>
      </c>
      <c r="E1051" s="315">
        <v>42758</v>
      </c>
      <c r="F1051" s="249" t="s">
        <v>672</v>
      </c>
      <c r="G1051" s="314" t="s">
        <v>510</v>
      </c>
      <c r="H1051" s="473" t="s">
        <v>284</v>
      </c>
      <c r="I1051" s="307">
        <v>35</v>
      </c>
      <c r="J1051" s="307">
        <v>22494</v>
      </c>
      <c r="K1051" s="532">
        <f t="shared" ref="K1051:K1057" si="115">ROUND(I1051*J1051,0)</f>
        <v>787290</v>
      </c>
      <c r="L1051" s="534" t="s">
        <v>223</v>
      </c>
      <c r="M1051" s="534" t="s">
        <v>162</v>
      </c>
      <c r="N1051" s="525" t="str">
        <f>IF(AND('331-CT'!$E$7=TH!H1051,OR(L1051="331",M1051="331")),"331",IF(AND(OR(L1051="131",M1051="131"),H1051='131-CT'!$E$7),"131",""))</f>
        <v/>
      </c>
      <c r="O1051" s="525" t="str">
        <f>IF(AND($B1051&gt;='111'!$N$11,$B1051&lt;='111'!$O$11,OR($L1051=$O$7,$M1051=$O$7)),"x","")</f>
        <v/>
      </c>
      <c r="P1051" s="525" t="str">
        <f>IF(AND($L1051=$O$7,$B1051&lt;'111'!$N$11),"x","")</f>
        <v/>
      </c>
      <c r="Q1051" s="525" t="str">
        <f>IF(AND($M1051=$O$7,$B1051&lt;'111'!$N$11),"x","")</f>
        <v/>
      </c>
      <c r="R1051" s="525" t="str">
        <f>IF(ISERROR(FIND('112'!$M$9,G1051,1)),"",IF((AND(FIND('112'!$M$9,G1051,1)&gt;=1,$B1051&gt;='112'!$N$8,$B1051&lt;='112'!$O$8,OR($L1051='112'!$I$6,$M1051='112'!$I$6))),"x",""))</f>
        <v/>
      </c>
      <c r="S1051" s="525" t="str">
        <f>IF(ISERROR(FIND('112'!$M$9,G1051,1)),"",IF((AND(LEFT(G1051,2)=LEFT('112'!$M$9,2),B1051&lt;'112'!$N$8,$L1051='112'!$I$6)),"x",""))</f>
        <v/>
      </c>
      <c r="T1051" s="525" t="str">
        <f>IF(ISERROR(FIND('112'!$M$9,G1051,1)),"",IF((AND(RIGHT(G1051,2)=RIGHT('112'!$M$9,2),B1051&lt;'112'!$N$8,$M1051='112'!$I$6)),"x",""))</f>
        <v/>
      </c>
      <c r="U1051" s="525" t="str">
        <f>IF(AND(B1051&gt;='IN-NX'!$P$3,B1051&lt;='IN-NX'!$Q$3,'IN-NX'!$D$7=D1051,OR(LEFT(L1051,2)="15",AND(LEFT(M1051,2)&lt;&gt;"15",LEFT(M1051,2)&lt;&gt;"33"))),"x","")</f>
        <v/>
      </c>
      <c r="V1051" s="525" t="str">
        <f>IF(AND(OR(LEFT(TH!L1051,2)="15",LEFT(TH!M1051,2)="15"),'152-CT'!$J$8=TH!F1051),"x","")</f>
        <v/>
      </c>
      <c r="W1051" s="525" t="str">
        <f>IF(AND(OR(LEFT(TH!L1051,2)="15",LEFT(TH!M1051,2)="15"),TK!$E$7=TH!F1051),"x","")</f>
        <v/>
      </c>
      <c r="X1051" s="525" t="str">
        <f>IF(AND('341-CT'!$E$9=H1051,OR(LEFT(L1051,3)=$X$7,LEFT(M1051,3)=$X$7)),"x","")</f>
        <v/>
      </c>
      <c r="Y1051" s="525" t="str">
        <f>IF(OR(TH!L1051=TH!$Y$7,M1051=TH!$Y$7),"x","")</f>
        <v/>
      </c>
      <c r="Z1051" s="525" t="str">
        <f>IF(AND(B1051&lt;=NKC!$N$8,B1051&gt;=NKC!$M$8),"x","")</f>
        <v>x</v>
      </c>
      <c r="AA1051" s="535"/>
    </row>
    <row r="1052" spans="1:27" s="503" customFormat="1" ht="15.75" customHeight="1">
      <c r="A1052" s="517" t="str">
        <f>IF(B1052&lt;&gt;"",IF(AND(B1052&gt;=_TM1,B1052&lt;=_TM2,OR(TH!L1052="1111",TH!M1052="1111")),TH!D1052,""),"")</f>
        <v/>
      </c>
      <c r="B1052" s="531">
        <f t="shared" si="112"/>
        <v>1</v>
      </c>
      <c r="C1052" s="315">
        <f t="shared" si="113"/>
        <v>42758</v>
      </c>
      <c r="D1052" s="315" t="s">
        <v>913</v>
      </c>
      <c r="E1052" s="315">
        <v>42758</v>
      </c>
      <c r="F1052" s="249" t="s">
        <v>673</v>
      </c>
      <c r="G1052" s="314" t="s">
        <v>510</v>
      </c>
      <c r="H1052" s="473" t="s">
        <v>284</v>
      </c>
      <c r="I1052" s="307">
        <v>50</v>
      </c>
      <c r="J1052" s="307">
        <v>15522</v>
      </c>
      <c r="K1052" s="532">
        <f t="shared" si="115"/>
        <v>776100</v>
      </c>
      <c r="L1052" s="534" t="s">
        <v>223</v>
      </c>
      <c r="M1052" s="534" t="s">
        <v>162</v>
      </c>
      <c r="N1052" s="525" t="str">
        <f>IF(AND('331-CT'!$E$7=TH!H1052,OR(L1052="331",M1052="331")),"331",IF(AND(OR(L1052="131",M1052="131"),H1052='131-CT'!$E$7),"131",""))</f>
        <v/>
      </c>
      <c r="O1052" s="525" t="str">
        <f>IF(AND($B1052&gt;='111'!$N$11,$B1052&lt;='111'!$O$11,OR($L1052=$O$7,$M1052=$O$7)),"x","")</f>
        <v/>
      </c>
      <c r="P1052" s="525" t="str">
        <f>IF(AND($L1052=$O$7,$B1052&lt;'111'!$N$11),"x","")</f>
        <v/>
      </c>
      <c r="Q1052" s="525" t="str">
        <f>IF(AND($M1052=$O$7,$B1052&lt;'111'!$N$11),"x","")</f>
        <v/>
      </c>
      <c r="R1052" s="525" t="str">
        <f>IF(ISERROR(FIND('112'!$M$9,G1052,1)),"",IF((AND(FIND('112'!$M$9,G1052,1)&gt;=1,$B1052&gt;='112'!$N$8,$B1052&lt;='112'!$O$8,OR($L1052='112'!$I$6,$M1052='112'!$I$6))),"x",""))</f>
        <v/>
      </c>
      <c r="S1052" s="525" t="str">
        <f>IF(ISERROR(FIND('112'!$M$9,G1052,1)),"",IF((AND(LEFT(G1052,2)=LEFT('112'!$M$9,2),B1052&lt;'112'!$N$8,$L1052='112'!$I$6)),"x",""))</f>
        <v/>
      </c>
      <c r="T1052" s="525" t="str">
        <f>IF(ISERROR(FIND('112'!$M$9,G1052,1)),"",IF((AND(RIGHT(G1052,2)=RIGHT('112'!$M$9,2),B1052&lt;'112'!$N$8,$M1052='112'!$I$6)),"x",""))</f>
        <v/>
      </c>
      <c r="U1052" s="525" t="str">
        <f>IF(AND(B1052&gt;='IN-NX'!$P$3,B1052&lt;='IN-NX'!$Q$3,'IN-NX'!$D$7=D1052,OR(LEFT(L1052,2)="15",AND(LEFT(M1052,2)&lt;&gt;"15",LEFT(M1052,2)&lt;&gt;"33"))),"x","")</f>
        <v/>
      </c>
      <c r="V1052" s="525" t="str">
        <f>IF(AND(OR(LEFT(TH!L1052,2)="15",LEFT(TH!M1052,2)="15"),'152-CT'!$J$8=TH!F1052),"x","")</f>
        <v/>
      </c>
      <c r="W1052" s="525" t="str">
        <f>IF(AND(OR(LEFT(TH!L1052,2)="15",LEFT(TH!M1052,2)="15"),TK!$E$7=TH!F1052),"x","")</f>
        <v/>
      </c>
      <c r="X1052" s="525" t="str">
        <f>IF(AND('341-CT'!$E$9=H1052,OR(LEFT(L1052,3)=$X$7,LEFT(M1052,3)=$X$7)),"x","")</f>
        <v/>
      </c>
      <c r="Y1052" s="525" t="str">
        <f>IF(OR(TH!L1052=TH!$Y$7,M1052=TH!$Y$7),"x","")</f>
        <v/>
      </c>
      <c r="Z1052" s="525" t="str">
        <f>IF(AND(B1052&lt;=NKC!$N$8,B1052&gt;=NKC!$M$8),"x","")</f>
        <v>x</v>
      </c>
      <c r="AA1052" s="535"/>
    </row>
    <row r="1053" spans="1:27" s="503" customFormat="1" ht="15.75" customHeight="1">
      <c r="A1053" s="517" t="str">
        <f>IF(B1053&lt;&gt;"",IF(AND(B1053&gt;=_TM1,B1053&lt;=_TM2,OR(TH!L1053="1111",TH!M1053="1111")),TH!D1053,""),"")</f>
        <v/>
      </c>
      <c r="B1053" s="531">
        <f t="shared" si="112"/>
        <v>1</v>
      </c>
      <c r="C1053" s="315">
        <f t="shared" si="113"/>
        <v>42758</v>
      </c>
      <c r="D1053" s="315" t="s">
        <v>913</v>
      </c>
      <c r="E1053" s="315">
        <v>42758</v>
      </c>
      <c r="F1053" s="249" t="s">
        <v>674</v>
      </c>
      <c r="G1053" s="314" t="s">
        <v>510</v>
      </c>
      <c r="H1053" s="473" t="s">
        <v>284</v>
      </c>
      <c r="I1053" s="307">
        <v>126</v>
      </c>
      <c r="J1053" s="307">
        <v>10198</v>
      </c>
      <c r="K1053" s="532">
        <f t="shared" si="115"/>
        <v>1284948</v>
      </c>
      <c r="L1053" s="534" t="s">
        <v>223</v>
      </c>
      <c r="M1053" s="534" t="s">
        <v>162</v>
      </c>
      <c r="N1053" s="525" t="str">
        <f>IF(AND('331-CT'!$E$7=TH!H1053,OR(L1053="331",M1053="331")),"331",IF(AND(OR(L1053="131",M1053="131"),H1053='131-CT'!$E$7),"131",""))</f>
        <v/>
      </c>
      <c r="O1053" s="525" t="str">
        <f>IF(AND($B1053&gt;='111'!$N$11,$B1053&lt;='111'!$O$11,OR($L1053=$O$7,$M1053=$O$7)),"x","")</f>
        <v/>
      </c>
      <c r="P1053" s="525" t="str">
        <f>IF(AND($L1053=$O$7,$B1053&lt;'111'!$N$11),"x","")</f>
        <v/>
      </c>
      <c r="Q1053" s="525" t="str">
        <f>IF(AND($M1053=$O$7,$B1053&lt;'111'!$N$11),"x","")</f>
        <v/>
      </c>
      <c r="R1053" s="525" t="str">
        <f>IF(ISERROR(FIND('112'!$M$9,G1053,1)),"",IF((AND(FIND('112'!$M$9,G1053,1)&gt;=1,$B1053&gt;='112'!$N$8,$B1053&lt;='112'!$O$8,OR($L1053='112'!$I$6,$M1053='112'!$I$6))),"x",""))</f>
        <v/>
      </c>
      <c r="S1053" s="525" t="str">
        <f>IF(ISERROR(FIND('112'!$M$9,G1053,1)),"",IF((AND(LEFT(G1053,2)=LEFT('112'!$M$9,2),B1053&lt;'112'!$N$8,$L1053='112'!$I$6)),"x",""))</f>
        <v/>
      </c>
      <c r="T1053" s="525" t="str">
        <f>IF(ISERROR(FIND('112'!$M$9,G1053,1)),"",IF((AND(RIGHT(G1053,2)=RIGHT('112'!$M$9,2),B1053&lt;'112'!$N$8,$M1053='112'!$I$6)),"x",""))</f>
        <v/>
      </c>
      <c r="U1053" s="525" t="str">
        <f>IF(AND(B1053&gt;='IN-NX'!$P$3,B1053&lt;='IN-NX'!$Q$3,'IN-NX'!$D$7=D1053,OR(LEFT(L1053,2)="15",AND(LEFT(M1053,2)&lt;&gt;"15",LEFT(M1053,2)&lt;&gt;"33"))),"x","")</f>
        <v/>
      </c>
      <c r="V1053" s="525" t="str">
        <f>IF(AND(OR(LEFT(TH!L1053,2)="15",LEFT(TH!M1053,2)="15"),'152-CT'!$J$8=TH!F1053),"x","")</f>
        <v/>
      </c>
      <c r="W1053" s="525" t="str">
        <f>IF(AND(OR(LEFT(TH!L1053,2)="15",LEFT(TH!M1053,2)="15"),TK!$E$7=TH!F1053),"x","")</f>
        <v/>
      </c>
      <c r="X1053" s="525" t="str">
        <f>IF(AND('341-CT'!$E$9=H1053,OR(LEFT(L1053,3)=$X$7,LEFT(M1053,3)=$X$7)),"x","")</f>
        <v/>
      </c>
      <c r="Y1053" s="525" t="str">
        <f>IF(OR(TH!L1053=TH!$Y$7,M1053=TH!$Y$7),"x","")</f>
        <v/>
      </c>
      <c r="Z1053" s="525" t="str">
        <f>IF(AND(B1053&lt;=NKC!$N$8,B1053&gt;=NKC!$M$8),"x","")</f>
        <v>x</v>
      </c>
      <c r="AA1053" s="535"/>
    </row>
    <row r="1054" spans="1:27" s="503" customFormat="1" ht="15.75" customHeight="1">
      <c r="A1054" s="517" t="str">
        <f>IF(B1054&lt;&gt;"",IF(AND(B1054&gt;=_TM1,B1054&lt;=_TM2,OR(TH!L1054="1111",TH!M1054="1111")),TH!D1054,""),"")</f>
        <v/>
      </c>
      <c r="B1054" s="531">
        <f t="shared" si="112"/>
        <v>1</v>
      </c>
      <c r="C1054" s="315">
        <f t="shared" si="113"/>
        <v>42758</v>
      </c>
      <c r="D1054" s="315" t="s">
        <v>913</v>
      </c>
      <c r="E1054" s="315">
        <v>42758</v>
      </c>
      <c r="F1054" s="249" t="s">
        <v>675</v>
      </c>
      <c r="G1054" s="314" t="s">
        <v>510</v>
      </c>
      <c r="H1054" s="473" t="s">
        <v>284</v>
      </c>
      <c r="I1054" s="307">
        <v>72</v>
      </c>
      <c r="J1054" s="307">
        <v>11806</v>
      </c>
      <c r="K1054" s="532">
        <f t="shared" si="115"/>
        <v>850032</v>
      </c>
      <c r="L1054" s="534" t="s">
        <v>223</v>
      </c>
      <c r="M1054" s="534" t="s">
        <v>162</v>
      </c>
      <c r="N1054" s="525" t="str">
        <f>IF(AND('331-CT'!$E$7=TH!H1054,OR(L1054="331",M1054="331")),"331",IF(AND(OR(L1054="131",M1054="131"),H1054='131-CT'!$E$7),"131",""))</f>
        <v/>
      </c>
      <c r="O1054" s="525" t="str">
        <f>IF(AND($B1054&gt;='111'!$N$11,$B1054&lt;='111'!$O$11,OR($L1054=$O$7,$M1054=$O$7)),"x","")</f>
        <v/>
      </c>
      <c r="P1054" s="525" t="str">
        <f>IF(AND($L1054=$O$7,$B1054&lt;'111'!$N$11),"x","")</f>
        <v/>
      </c>
      <c r="Q1054" s="525" t="str">
        <f>IF(AND($M1054=$O$7,$B1054&lt;'111'!$N$11),"x","")</f>
        <v/>
      </c>
      <c r="R1054" s="525" t="str">
        <f>IF(ISERROR(FIND('112'!$M$9,G1054,1)),"",IF((AND(FIND('112'!$M$9,G1054,1)&gt;=1,$B1054&gt;='112'!$N$8,$B1054&lt;='112'!$O$8,OR($L1054='112'!$I$6,$M1054='112'!$I$6))),"x",""))</f>
        <v/>
      </c>
      <c r="S1054" s="525" t="str">
        <f>IF(ISERROR(FIND('112'!$M$9,G1054,1)),"",IF((AND(LEFT(G1054,2)=LEFT('112'!$M$9,2),B1054&lt;'112'!$N$8,$L1054='112'!$I$6)),"x",""))</f>
        <v/>
      </c>
      <c r="T1054" s="525" t="str">
        <f>IF(ISERROR(FIND('112'!$M$9,G1054,1)),"",IF((AND(RIGHT(G1054,2)=RIGHT('112'!$M$9,2),B1054&lt;'112'!$N$8,$M1054='112'!$I$6)),"x",""))</f>
        <v/>
      </c>
      <c r="U1054" s="525" t="str">
        <f>IF(AND(B1054&gt;='IN-NX'!$P$3,B1054&lt;='IN-NX'!$Q$3,'IN-NX'!$D$7=D1054,OR(LEFT(L1054,2)="15",AND(LEFT(M1054,2)&lt;&gt;"15",LEFT(M1054,2)&lt;&gt;"33"))),"x","")</f>
        <v/>
      </c>
      <c r="V1054" s="525" t="str">
        <f>IF(AND(OR(LEFT(TH!L1054,2)="15",LEFT(TH!M1054,2)="15"),'152-CT'!$J$8=TH!F1054),"x","")</f>
        <v/>
      </c>
      <c r="W1054" s="525" t="str">
        <f>IF(AND(OR(LEFT(TH!L1054,2)="15",LEFT(TH!M1054,2)="15"),TK!$E$7=TH!F1054),"x","")</f>
        <v/>
      </c>
      <c r="X1054" s="525" t="str">
        <f>IF(AND('341-CT'!$E$9=H1054,OR(LEFT(L1054,3)=$X$7,LEFT(M1054,3)=$X$7)),"x","")</f>
        <v/>
      </c>
      <c r="Y1054" s="525" t="str">
        <f>IF(OR(TH!L1054=TH!$Y$7,M1054=TH!$Y$7),"x","")</f>
        <v/>
      </c>
      <c r="Z1054" s="525" t="str">
        <f>IF(AND(B1054&lt;=NKC!$N$8,B1054&gt;=NKC!$M$8),"x","")</f>
        <v>x</v>
      </c>
      <c r="AA1054" s="535"/>
    </row>
    <row r="1055" spans="1:27" s="503" customFormat="1" ht="15.75" customHeight="1">
      <c r="A1055" s="517" t="str">
        <f>IF(B1055&lt;&gt;"",IF(AND(B1055&gt;=_TM1,B1055&lt;=_TM2,OR(TH!L1055="1111",TH!M1055="1111")),TH!D1055,""),"")</f>
        <v/>
      </c>
      <c r="B1055" s="531">
        <f t="shared" si="112"/>
        <v>1</v>
      </c>
      <c r="C1055" s="315">
        <f t="shared" si="113"/>
        <v>42758</v>
      </c>
      <c r="D1055" s="315" t="s">
        <v>913</v>
      </c>
      <c r="E1055" s="315">
        <v>42758</v>
      </c>
      <c r="F1055" s="249" t="s">
        <v>676</v>
      </c>
      <c r="G1055" s="314" t="s">
        <v>510</v>
      </c>
      <c r="H1055" s="473" t="s">
        <v>284</v>
      </c>
      <c r="I1055" s="307">
        <v>120</v>
      </c>
      <c r="J1055" s="307">
        <v>12659</v>
      </c>
      <c r="K1055" s="532">
        <f t="shared" si="115"/>
        <v>1519080</v>
      </c>
      <c r="L1055" s="534" t="s">
        <v>223</v>
      </c>
      <c r="M1055" s="534" t="s">
        <v>162</v>
      </c>
      <c r="N1055" s="525" t="str">
        <f>IF(AND('331-CT'!$E$7=TH!H1055,OR(L1055="331",M1055="331")),"331",IF(AND(OR(L1055="131",M1055="131"),H1055='131-CT'!$E$7),"131",""))</f>
        <v/>
      </c>
      <c r="O1055" s="525" t="str">
        <f>IF(AND($B1055&gt;='111'!$N$11,$B1055&lt;='111'!$O$11,OR($L1055=$O$7,$M1055=$O$7)),"x","")</f>
        <v/>
      </c>
      <c r="P1055" s="525" t="str">
        <f>IF(AND($L1055=$O$7,$B1055&lt;'111'!$N$11),"x","")</f>
        <v/>
      </c>
      <c r="Q1055" s="525" t="str">
        <f>IF(AND($M1055=$O$7,$B1055&lt;'111'!$N$11),"x","")</f>
        <v/>
      </c>
      <c r="R1055" s="525" t="str">
        <f>IF(ISERROR(FIND('112'!$M$9,G1055,1)),"",IF((AND(FIND('112'!$M$9,G1055,1)&gt;=1,$B1055&gt;='112'!$N$8,$B1055&lt;='112'!$O$8,OR($L1055='112'!$I$6,$M1055='112'!$I$6))),"x",""))</f>
        <v/>
      </c>
      <c r="S1055" s="525" t="str">
        <f>IF(ISERROR(FIND('112'!$M$9,G1055,1)),"",IF((AND(LEFT(G1055,2)=LEFT('112'!$M$9,2),B1055&lt;'112'!$N$8,$L1055='112'!$I$6)),"x",""))</f>
        <v/>
      </c>
      <c r="T1055" s="525" t="str">
        <f>IF(ISERROR(FIND('112'!$M$9,G1055,1)),"",IF((AND(RIGHT(G1055,2)=RIGHT('112'!$M$9,2),B1055&lt;'112'!$N$8,$M1055='112'!$I$6)),"x",""))</f>
        <v/>
      </c>
      <c r="U1055" s="525" t="str">
        <f>IF(AND(B1055&gt;='IN-NX'!$P$3,B1055&lt;='IN-NX'!$Q$3,'IN-NX'!$D$7=D1055,OR(LEFT(L1055,2)="15",AND(LEFT(M1055,2)&lt;&gt;"15",LEFT(M1055,2)&lt;&gt;"33"))),"x","")</f>
        <v/>
      </c>
      <c r="V1055" s="525" t="str">
        <f>IF(AND(OR(LEFT(TH!L1055,2)="15",LEFT(TH!M1055,2)="15"),'152-CT'!$J$8=TH!F1055),"x","")</f>
        <v/>
      </c>
      <c r="W1055" s="525" t="str">
        <f>IF(AND(OR(LEFT(TH!L1055,2)="15",LEFT(TH!M1055,2)="15"),TK!$E$7=TH!F1055),"x","")</f>
        <v/>
      </c>
      <c r="X1055" s="525" t="str">
        <f>IF(AND('341-CT'!$E$9=H1055,OR(LEFT(L1055,3)=$X$7,LEFT(M1055,3)=$X$7)),"x","")</f>
        <v/>
      </c>
      <c r="Y1055" s="525" t="str">
        <f>IF(OR(TH!L1055=TH!$Y$7,M1055=TH!$Y$7),"x","")</f>
        <v/>
      </c>
      <c r="Z1055" s="525" t="str">
        <f>IF(AND(B1055&lt;=NKC!$N$8,B1055&gt;=NKC!$M$8),"x","")</f>
        <v>x</v>
      </c>
      <c r="AA1055" s="535"/>
    </row>
    <row r="1056" spans="1:27" s="503" customFormat="1" ht="15.75" customHeight="1">
      <c r="A1056" s="517" t="str">
        <f>IF(B1056&lt;&gt;"",IF(AND(B1056&gt;=_TM1,B1056&lt;=_TM2,OR(TH!L1056="1111",TH!M1056="1111")),TH!D1056,""),"")</f>
        <v/>
      </c>
      <c r="B1056" s="531">
        <f t="shared" si="112"/>
        <v>1</v>
      </c>
      <c r="C1056" s="315">
        <f t="shared" si="113"/>
        <v>42758</v>
      </c>
      <c r="D1056" s="315" t="s">
        <v>913</v>
      </c>
      <c r="E1056" s="315">
        <v>42758</v>
      </c>
      <c r="F1056" s="249" t="s">
        <v>677</v>
      </c>
      <c r="G1056" s="314" t="s">
        <v>510</v>
      </c>
      <c r="H1056" s="473" t="s">
        <v>284</v>
      </c>
      <c r="I1056" s="307">
        <v>117</v>
      </c>
      <c r="J1056" s="307">
        <v>9456</v>
      </c>
      <c r="K1056" s="532">
        <f t="shared" si="115"/>
        <v>1106352</v>
      </c>
      <c r="L1056" s="534" t="s">
        <v>223</v>
      </c>
      <c r="M1056" s="534" t="s">
        <v>162</v>
      </c>
      <c r="N1056" s="525" t="str">
        <f>IF(AND('331-CT'!$E$7=TH!H1056,OR(L1056="331",M1056="331")),"331",IF(AND(OR(L1056="131",M1056="131"),H1056='131-CT'!$E$7),"131",""))</f>
        <v/>
      </c>
      <c r="O1056" s="525" t="str">
        <f>IF(AND($B1056&gt;='111'!$N$11,$B1056&lt;='111'!$O$11,OR($L1056=$O$7,$M1056=$O$7)),"x","")</f>
        <v/>
      </c>
      <c r="P1056" s="525" t="str">
        <f>IF(AND($L1056=$O$7,$B1056&lt;'111'!$N$11),"x","")</f>
        <v/>
      </c>
      <c r="Q1056" s="525" t="str">
        <f>IF(AND($M1056=$O$7,$B1056&lt;'111'!$N$11),"x","")</f>
        <v/>
      </c>
      <c r="R1056" s="525" t="str">
        <f>IF(ISERROR(FIND('112'!$M$9,G1056,1)),"",IF((AND(FIND('112'!$M$9,G1056,1)&gt;=1,$B1056&gt;='112'!$N$8,$B1056&lt;='112'!$O$8,OR($L1056='112'!$I$6,$M1056='112'!$I$6))),"x",""))</f>
        <v/>
      </c>
      <c r="S1056" s="525" t="str">
        <f>IF(ISERROR(FIND('112'!$M$9,G1056,1)),"",IF((AND(LEFT(G1056,2)=LEFT('112'!$M$9,2),B1056&lt;'112'!$N$8,$L1056='112'!$I$6)),"x",""))</f>
        <v/>
      </c>
      <c r="T1056" s="525" t="str">
        <f>IF(ISERROR(FIND('112'!$M$9,G1056,1)),"",IF((AND(RIGHT(G1056,2)=RIGHT('112'!$M$9,2),B1056&lt;'112'!$N$8,$M1056='112'!$I$6)),"x",""))</f>
        <v/>
      </c>
      <c r="U1056" s="525" t="str">
        <f>IF(AND(B1056&gt;='IN-NX'!$P$3,B1056&lt;='IN-NX'!$Q$3,'IN-NX'!$D$7=D1056,OR(LEFT(L1056,2)="15",AND(LEFT(M1056,2)&lt;&gt;"15",LEFT(M1056,2)&lt;&gt;"33"))),"x","")</f>
        <v/>
      </c>
      <c r="V1056" s="525" t="str">
        <f>IF(AND(OR(LEFT(TH!L1056,2)="15",LEFT(TH!M1056,2)="15"),'152-CT'!$J$8=TH!F1056),"x","")</f>
        <v/>
      </c>
      <c r="W1056" s="525" t="str">
        <f>IF(AND(OR(LEFT(TH!L1056,2)="15",LEFT(TH!M1056,2)="15"),TK!$E$7=TH!F1056),"x","")</f>
        <v/>
      </c>
      <c r="X1056" s="525" t="str">
        <f>IF(AND('341-CT'!$E$9=H1056,OR(LEFT(L1056,3)=$X$7,LEFT(M1056,3)=$X$7)),"x","")</f>
        <v/>
      </c>
      <c r="Y1056" s="525" t="str">
        <f>IF(OR(TH!L1056=TH!$Y$7,M1056=TH!$Y$7),"x","")</f>
        <v/>
      </c>
      <c r="Z1056" s="525" t="str">
        <f>IF(AND(B1056&lt;=NKC!$N$8,B1056&gt;=NKC!$M$8),"x","")</f>
        <v>x</v>
      </c>
      <c r="AA1056" s="535"/>
    </row>
    <row r="1057" spans="1:28" s="503" customFormat="1" ht="15.75" customHeight="1">
      <c r="A1057" s="517" t="str">
        <f>IF(B1057&lt;&gt;"",IF(AND(B1057&gt;=_TM1,B1057&lt;=_TM2,OR(TH!L1057="1111",TH!M1057="1111")),TH!D1057,""),"")</f>
        <v/>
      </c>
      <c r="B1057" s="531">
        <f t="shared" si="112"/>
        <v>1</v>
      </c>
      <c r="C1057" s="315">
        <f t="shared" si="113"/>
        <v>42758</v>
      </c>
      <c r="D1057" s="315" t="s">
        <v>913</v>
      </c>
      <c r="E1057" s="315">
        <v>42758</v>
      </c>
      <c r="F1057" s="249" t="s">
        <v>768</v>
      </c>
      <c r="G1057" s="314" t="s">
        <v>510</v>
      </c>
      <c r="H1057" s="473" t="s">
        <v>284</v>
      </c>
      <c r="I1057" s="307">
        <v>1620</v>
      </c>
      <c r="J1057" s="307">
        <v>250</v>
      </c>
      <c r="K1057" s="532">
        <f t="shared" si="115"/>
        <v>405000</v>
      </c>
      <c r="L1057" s="534" t="s">
        <v>223</v>
      </c>
      <c r="M1057" s="534" t="s">
        <v>162</v>
      </c>
      <c r="N1057" s="525" t="str">
        <f>IF(AND('331-CT'!$E$7=TH!H1057,OR(L1057="331",M1057="331")),"331",IF(AND(OR(L1057="131",M1057="131"),H1057='131-CT'!$E$7),"131",""))</f>
        <v/>
      </c>
      <c r="O1057" s="525" t="str">
        <f>IF(AND($B1057&gt;='111'!$N$11,$B1057&lt;='111'!$O$11,OR($L1057=$O$7,$M1057=$O$7)),"x","")</f>
        <v/>
      </c>
      <c r="P1057" s="525" t="str">
        <f>IF(AND($L1057=$O$7,$B1057&lt;'111'!$N$11),"x","")</f>
        <v/>
      </c>
      <c r="Q1057" s="525" t="str">
        <f>IF(AND($M1057=$O$7,$B1057&lt;'111'!$N$11),"x","")</f>
        <v/>
      </c>
      <c r="R1057" s="525" t="str">
        <f>IF(ISERROR(FIND('112'!$M$9,G1057,1)),"",IF((AND(FIND('112'!$M$9,G1057,1)&gt;=1,$B1057&gt;='112'!$N$8,$B1057&lt;='112'!$O$8,OR($L1057='112'!$I$6,$M1057='112'!$I$6))),"x",""))</f>
        <v/>
      </c>
      <c r="S1057" s="525" t="str">
        <f>IF(ISERROR(FIND('112'!$M$9,G1057,1)),"",IF((AND(LEFT(G1057,2)=LEFT('112'!$M$9,2),B1057&lt;'112'!$N$8,$L1057='112'!$I$6)),"x",""))</f>
        <v/>
      </c>
      <c r="T1057" s="525" t="str">
        <f>IF(ISERROR(FIND('112'!$M$9,G1057,1)),"",IF((AND(RIGHT(G1057,2)=RIGHT('112'!$M$9,2),B1057&lt;'112'!$N$8,$M1057='112'!$I$6)),"x",""))</f>
        <v/>
      </c>
      <c r="U1057" s="525" t="str">
        <f>IF(AND(B1057&gt;='IN-NX'!$P$3,B1057&lt;='IN-NX'!$Q$3,'IN-NX'!$D$7=D1057,OR(LEFT(L1057,2)="15",AND(LEFT(M1057,2)&lt;&gt;"15",LEFT(M1057,2)&lt;&gt;"33"))),"x","")</f>
        <v/>
      </c>
      <c r="V1057" s="525" t="str">
        <f>IF(AND(OR(LEFT(TH!L1057,2)="15",LEFT(TH!M1057,2)="15"),'152-CT'!$J$8=TH!F1057),"x","")</f>
        <v/>
      </c>
      <c r="W1057" s="525" t="str">
        <f>IF(AND(OR(LEFT(TH!L1057,2)="15",LEFT(TH!M1057,2)="15"),TK!$E$7=TH!F1057),"x","")</f>
        <v/>
      </c>
      <c r="X1057" s="525" t="str">
        <f>IF(AND('341-CT'!$E$9=H1057,OR(LEFT(L1057,3)=$X$7,LEFT(M1057,3)=$X$7)),"x","")</f>
        <v/>
      </c>
      <c r="Y1057" s="525" t="str">
        <f>IF(OR(TH!L1057=TH!$Y$7,M1057=TH!$Y$7),"x","")</f>
        <v/>
      </c>
      <c r="Z1057" s="525" t="str">
        <f>IF(AND(B1057&lt;=NKC!$N$8,B1057&gt;=NKC!$M$8),"x","")</f>
        <v>x</v>
      </c>
      <c r="AA1057" s="535"/>
    </row>
    <row r="1058" spans="1:28" s="503" customFormat="1" ht="15.75" customHeight="1">
      <c r="A1058" s="517" t="str">
        <f>IF(B1058&lt;&gt;"",IF(AND(B1058&gt;=_TM1,B1058&lt;=_TM2,OR(TH!L1058="1111",TH!M1058="1111")),TH!D1058,""),"")</f>
        <v/>
      </c>
      <c r="B1058" s="531">
        <f t="shared" si="112"/>
        <v>1</v>
      </c>
      <c r="C1058" s="315">
        <f t="shared" si="113"/>
        <v>42758</v>
      </c>
      <c r="D1058" s="315" t="s">
        <v>913</v>
      </c>
      <c r="E1058" s="315">
        <v>42758</v>
      </c>
      <c r="F1058" s="249" t="s">
        <v>494</v>
      </c>
      <c r="G1058" s="314" t="s">
        <v>510</v>
      </c>
      <c r="H1058" s="473" t="s">
        <v>284</v>
      </c>
      <c r="I1058" s="307"/>
      <c r="J1058" s="307"/>
      <c r="K1058" s="532">
        <v>9189008</v>
      </c>
      <c r="L1058" s="534" t="s">
        <v>223</v>
      </c>
      <c r="M1058" s="534" t="s">
        <v>259</v>
      </c>
      <c r="N1058" s="525" t="str">
        <f>IF(AND('331-CT'!$E$7=TH!H1058,OR(L1058="331",M1058="331")),"331",IF(AND(OR(L1058="131",M1058="131"),H1058='131-CT'!$E$7),"131",""))</f>
        <v/>
      </c>
      <c r="O1058" s="525" t="str">
        <f>IF(AND($B1058&gt;='111'!$N$11,$B1058&lt;='111'!$O$11,OR($L1058=$O$7,$M1058=$O$7)),"x","")</f>
        <v/>
      </c>
      <c r="P1058" s="525" t="str">
        <f>IF(AND($L1058=$O$7,$B1058&lt;'111'!$N$11),"x","")</f>
        <v/>
      </c>
      <c r="Q1058" s="525" t="str">
        <f>IF(AND($M1058=$O$7,$B1058&lt;'111'!$N$11),"x","")</f>
        <v/>
      </c>
      <c r="R1058" s="525" t="str">
        <f>IF(ISERROR(FIND('112'!$M$9,G1058,1)),"",IF((AND(FIND('112'!$M$9,G1058,1)&gt;=1,$B1058&gt;='112'!$N$8,$B1058&lt;='112'!$O$8,OR($L1058='112'!$I$6,$M1058='112'!$I$6))),"x",""))</f>
        <v/>
      </c>
      <c r="S1058" s="525" t="str">
        <f>IF(ISERROR(FIND('112'!$M$9,G1058,1)),"",IF((AND(LEFT(G1058,2)=LEFT('112'!$M$9,2),B1058&lt;'112'!$N$8,$L1058='112'!$I$6)),"x",""))</f>
        <v/>
      </c>
      <c r="T1058" s="525" t="str">
        <f>IF(ISERROR(FIND('112'!$M$9,G1058,1)),"",IF((AND(RIGHT(G1058,2)=RIGHT('112'!$M$9,2),B1058&lt;'112'!$N$8,$M1058='112'!$I$6)),"x",""))</f>
        <v/>
      </c>
      <c r="U1058" s="525" t="str">
        <f>IF(AND(B1058&gt;='IN-NX'!$P$3,B1058&lt;='IN-NX'!$Q$3,'IN-NX'!$D$7=D1058,OR(LEFT(L1058,2)="15",AND(LEFT(M1058,2)&lt;&gt;"15",LEFT(M1058,2)&lt;&gt;"33"))),"x","")</f>
        <v/>
      </c>
      <c r="V1058" s="525" t="str">
        <f>IF(AND(OR(LEFT(TH!L1058,2)="15",LEFT(TH!M1058,2)="15"),'152-CT'!$J$8=TH!F1058),"x","")</f>
        <v/>
      </c>
      <c r="W1058" s="525" t="str">
        <f>IF(AND(OR(LEFT(TH!L1058,2)="15",LEFT(TH!M1058,2)="15"),TK!$E$7=TH!F1058),"x","")</f>
        <v/>
      </c>
      <c r="X1058" s="525" t="str">
        <f>IF(AND('341-CT'!$E$9=H1058,OR(LEFT(L1058,3)=$X$7,LEFT(M1058,3)=$X$7)),"x","")</f>
        <v/>
      </c>
      <c r="Y1058" s="525" t="str">
        <f>IF(OR(TH!L1058=TH!$Y$7,M1058=TH!$Y$7),"x","")</f>
        <v/>
      </c>
      <c r="Z1058" s="525" t="str">
        <f>IF(AND(B1058&lt;=NKC!$N$8,B1058&gt;=NKC!$M$8),"x","")</f>
        <v>x</v>
      </c>
      <c r="AA1058" s="535"/>
    </row>
    <row r="1059" spans="1:28" s="503" customFormat="1" ht="15.75" customHeight="1">
      <c r="A1059" s="517" t="str">
        <f>IF(B1059&lt;&gt;"",IF(AND(B1059&gt;=_TM1,B1059&lt;=_TM2,OR(TH!L1059="1111",TH!M1059="1111")),TH!D1059,""),"")</f>
        <v/>
      </c>
      <c r="B1059" s="531">
        <f t="shared" si="112"/>
        <v>1</v>
      </c>
      <c r="C1059" s="315">
        <f t="shared" si="113"/>
        <v>42759</v>
      </c>
      <c r="D1059" s="315" t="s">
        <v>914</v>
      </c>
      <c r="E1059" s="315">
        <v>42759</v>
      </c>
      <c r="F1059" s="249" t="s">
        <v>328</v>
      </c>
      <c r="G1059" s="314" t="s">
        <v>527</v>
      </c>
      <c r="H1059" s="473" t="s">
        <v>439</v>
      </c>
      <c r="I1059" s="307">
        <v>505</v>
      </c>
      <c r="J1059" s="307">
        <v>18245</v>
      </c>
      <c r="K1059" s="532">
        <f>ROUND(I1059*J1059,0)</f>
        <v>9213725</v>
      </c>
      <c r="L1059" s="534" t="s">
        <v>223</v>
      </c>
      <c r="M1059" s="534" t="s">
        <v>162</v>
      </c>
      <c r="N1059" s="525" t="str">
        <f>IF(AND('331-CT'!$E$7=TH!H1059,OR(L1059="331",M1059="331")),"331",IF(AND(OR(L1059="131",M1059="131"),H1059='131-CT'!$E$7),"131",""))</f>
        <v/>
      </c>
      <c r="O1059" s="525" t="str">
        <f>IF(AND($B1059&gt;='111'!$N$11,$B1059&lt;='111'!$O$11,OR($L1059=$O$7,$M1059=$O$7)),"x","")</f>
        <v/>
      </c>
      <c r="P1059" s="525" t="str">
        <f>IF(AND($L1059=$O$7,$B1059&lt;'111'!$N$11),"x","")</f>
        <v/>
      </c>
      <c r="Q1059" s="525" t="str">
        <f>IF(AND($M1059=$O$7,$B1059&lt;'111'!$N$11),"x","")</f>
        <v/>
      </c>
      <c r="R1059" s="525" t="str">
        <f>IF(ISERROR(FIND('112'!$M$9,G1059,1)),"",IF((AND(FIND('112'!$M$9,G1059,1)&gt;=1,$B1059&gt;='112'!$N$8,$B1059&lt;='112'!$O$8,OR($L1059='112'!$I$6,$M1059='112'!$I$6))),"x",""))</f>
        <v/>
      </c>
      <c r="S1059" s="525" t="str">
        <f>IF(ISERROR(FIND('112'!$M$9,G1059,1)),"",IF((AND(LEFT(G1059,2)=LEFT('112'!$M$9,2),B1059&lt;'112'!$N$8,$L1059='112'!$I$6)),"x",""))</f>
        <v/>
      </c>
      <c r="T1059" s="525" t="str">
        <f>IF(ISERROR(FIND('112'!$M$9,G1059,1)),"",IF((AND(RIGHT(G1059,2)=RIGHT('112'!$M$9,2),B1059&lt;'112'!$N$8,$M1059='112'!$I$6)),"x",""))</f>
        <v/>
      </c>
      <c r="U1059" s="525" t="str">
        <f>IF(AND(B1059&gt;='IN-NX'!$P$3,B1059&lt;='IN-NX'!$Q$3,'IN-NX'!$D$7=D1059,OR(LEFT(L1059,2)="15",AND(LEFT(M1059,2)&lt;&gt;"15",LEFT(M1059,2)&lt;&gt;"33"))),"x","")</f>
        <v/>
      </c>
      <c r="V1059" s="525" t="str">
        <f>IF(AND(OR(LEFT(TH!L1059,2)="15",LEFT(TH!M1059,2)="15"),'152-CT'!$J$8=TH!F1059),"x","")</f>
        <v/>
      </c>
      <c r="W1059" s="525" t="str">
        <f>IF(AND(OR(LEFT(TH!L1059,2)="15",LEFT(TH!M1059,2)="15"),TK!$E$7=TH!F1059),"x","")</f>
        <v/>
      </c>
      <c r="X1059" s="525" t="str">
        <f>IF(AND('341-CT'!$E$9=H1059,OR(LEFT(L1059,3)=$X$7,LEFT(M1059,3)=$X$7)),"x","")</f>
        <v/>
      </c>
      <c r="Y1059" s="525" t="str">
        <f>IF(OR(TH!L1059=TH!$Y$7,M1059=TH!$Y$7),"x","")</f>
        <v/>
      </c>
      <c r="Z1059" s="525" t="str">
        <f>IF(AND(B1059&lt;=NKC!$N$8,B1059&gt;=NKC!$M$8),"x","")</f>
        <v>x</v>
      </c>
      <c r="AA1059" s="535"/>
    </row>
    <row r="1060" spans="1:28" s="503" customFormat="1" ht="15.75" customHeight="1">
      <c r="A1060" s="517" t="str">
        <f>IF(B1060&lt;&gt;"",IF(AND(B1060&gt;=_TM1,B1060&lt;=_TM2,OR(TH!L1060="1111",TH!M1060="1111")),TH!D1060,""),"")</f>
        <v/>
      </c>
      <c r="B1060" s="531">
        <f t="shared" si="112"/>
        <v>1</v>
      </c>
      <c r="C1060" s="315">
        <f t="shared" si="113"/>
        <v>42759</v>
      </c>
      <c r="D1060" s="315" t="s">
        <v>914</v>
      </c>
      <c r="E1060" s="315">
        <v>42759</v>
      </c>
      <c r="F1060" s="249" t="s">
        <v>356</v>
      </c>
      <c r="G1060" s="314" t="s">
        <v>527</v>
      </c>
      <c r="H1060" s="473" t="s">
        <v>439</v>
      </c>
      <c r="I1060" s="307">
        <v>138</v>
      </c>
      <c r="J1060" s="307">
        <v>17809</v>
      </c>
      <c r="K1060" s="532">
        <f>ROUND(I1060*J1060,0)</f>
        <v>2457642</v>
      </c>
      <c r="L1060" s="534" t="s">
        <v>223</v>
      </c>
      <c r="M1060" s="534" t="s">
        <v>162</v>
      </c>
      <c r="N1060" s="525" t="str">
        <f>IF(AND('331-CT'!$E$7=TH!H1060,OR(L1060="331",M1060="331")),"331",IF(AND(OR(L1060="131",M1060="131"),H1060='131-CT'!$E$7),"131",""))</f>
        <v/>
      </c>
      <c r="O1060" s="525" t="str">
        <f>IF(AND($B1060&gt;='111'!$N$11,$B1060&lt;='111'!$O$11,OR($L1060=$O$7,$M1060=$O$7)),"x","")</f>
        <v/>
      </c>
      <c r="P1060" s="525" t="str">
        <f>IF(AND($L1060=$O$7,$B1060&lt;'111'!$N$11),"x","")</f>
        <v/>
      </c>
      <c r="Q1060" s="525" t="str">
        <f>IF(AND($M1060=$O$7,$B1060&lt;'111'!$N$11),"x","")</f>
        <v/>
      </c>
      <c r="R1060" s="525" t="str">
        <f>IF(ISERROR(FIND('112'!$M$9,G1060,1)),"",IF((AND(FIND('112'!$M$9,G1060,1)&gt;=1,$B1060&gt;='112'!$N$8,$B1060&lt;='112'!$O$8,OR($L1060='112'!$I$6,$M1060='112'!$I$6))),"x",""))</f>
        <v/>
      </c>
      <c r="S1060" s="525" t="str">
        <f>IF(ISERROR(FIND('112'!$M$9,G1060,1)),"",IF((AND(LEFT(G1060,2)=LEFT('112'!$M$9,2),B1060&lt;'112'!$N$8,$L1060='112'!$I$6)),"x",""))</f>
        <v/>
      </c>
      <c r="T1060" s="525" t="str">
        <f>IF(ISERROR(FIND('112'!$M$9,G1060,1)),"",IF((AND(RIGHT(G1060,2)=RIGHT('112'!$M$9,2),B1060&lt;'112'!$N$8,$M1060='112'!$I$6)),"x",""))</f>
        <v/>
      </c>
      <c r="U1060" s="525" t="str">
        <f>IF(AND(B1060&gt;='IN-NX'!$P$3,B1060&lt;='IN-NX'!$Q$3,'IN-NX'!$D$7=D1060,OR(LEFT(L1060,2)="15",AND(LEFT(M1060,2)&lt;&gt;"15",LEFT(M1060,2)&lt;&gt;"33"))),"x","")</f>
        <v/>
      </c>
      <c r="V1060" s="525" t="str">
        <f>IF(AND(OR(LEFT(TH!L1060,2)="15",LEFT(TH!M1060,2)="15"),'152-CT'!$J$8=TH!F1060),"x","")</f>
        <v/>
      </c>
      <c r="W1060" s="525" t="str">
        <f>IF(AND(OR(LEFT(TH!L1060,2)="15",LEFT(TH!M1060,2)="15"),TK!$E$7=TH!F1060),"x","")</f>
        <v/>
      </c>
      <c r="X1060" s="525" t="str">
        <f>IF(AND('341-CT'!$E$9=H1060,OR(LEFT(L1060,3)=$X$7,LEFT(M1060,3)=$X$7)),"x","")</f>
        <v/>
      </c>
      <c r="Y1060" s="525" t="str">
        <f>IF(OR(TH!L1060=TH!$Y$7,M1060=TH!$Y$7),"x","")</f>
        <v/>
      </c>
      <c r="Z1060" s="525" t="str">
        <f>IF(AND(B1060&lt;=NKC!$N$8,B1060&gt;=NKC!$M$8),"x","")</f>
        <v>x</v>
      </c>
      <c r="AA1060" s="535"/>
    </row>
    <row r="1061" spans="1:28" s="503" customFormat="1" ht="15.75" customHeight="1">
      <c r="A1061" s="517" t="str">
        <f>IF(B1061&lt;&gt;"",IF(AND(B1061&gt;=_TM1,B1061&lt;=_TM2,OR(TH!L1061="1111",TH!M1061="1111")),TH!D1061,""),"")</f>
        <v/>
      </c>
      <c r="B1061" s="531">
        <f t="shared" si="112"/>
        <v>1</v>
      </c>
      <c r="C1061" s="315">
        <f t="shared" si="113"/>
        <v>42759</v>
      </c>
      <c r="D1061" s="315" t="s">
        <v>914</v>
      </c>
      <c r="E1061" s="315">
        <v>42759</v>
      </c>
      <c r="F1061" s="249" t="s">
        <v>357</v>
      </c>
      <c r="G1061" s="314" t="s">
        <v>527</v>
      </c>
      <c r="H1061" s="473" t="s">
        <v>439</v>
      </c>
      <c r="I1061" s="307">
        <v>99</v>
      </c>
      <c r="J1061" s="307">
        <v>19810</v>
      </c>
      <c r="K1061" s="532">
        <f>ROUND(I1061*J1061,0)</f>
        <v>1961190</v>
      </c>
      <c r="L1061" s="534" t="s">
        <v>223</v>
      </c>
      <c r="M1061" s="534" t="s">
        <v>162</v>
      </c>
      <c r="N1061" s="525" t="str">
        <f>IF(AND('331-CT'!$E$7=TH!H1061,OR(L1061="331",M1061="331")),"331",IF(AND(OR(L1061="131",M1061="131"),H1061='131-CT'!$E$7),"131",""))</f>
        <v/>
      </c>
      <c r="O1061" s="525" t="str">
        <f>IF(AND($B1061&gt;='111'!$N$11,$B1061&lt;='111'!$O$11,OR($L1061=$O$7,$M1061=$O$7)),"x","")</f>
        <v/>
      </c>
      <c r="P1061" s="525" t="str">
        <f>IF(AND($L1061=$O$7,$B1061&lt;'111'!$N$11),"x","")</f>
        <v/>
      </c>
      <c r="Q1061" s="525" t="str">
        <f>IF(AND($M1061=$O$7,$B1061&lt;'111'!$N$11),"x","")</f>
        <v/>
      </c>
      <c r="R1061" s="525" t="str">
        <f>IF(ISERROR(FIND('112'!$M$9,G1061,1)),"",IF((AND(FIND('112'!$M$9,G1061,1)&gt;=1,$B1061&gt;='112'!$N$8,$B1061&lt;='112'!$O$8,OR($L1061='112'!$I$6,$M1061='112'!$I$6))),"x",""))</f>
        <v/>
      </c>
      <c r="S1061" s="525" t="str">
        <f>IF(ISERROR(FIND('112'!$M$9,G1061,1)),"",IF((AND(LEFT(G1061,2)=LEFT('112'!$M$9,2),B1061&lt;'112'!$N$8,$L1061='112'!$I$6)),"x",""))</f>
        <v/>
      </c>
      <c r="T1061" s="525" t="str">
        <f>IF(ISERROR(FIND('112'!$M$9,G1061,1)),"",IF((AND(RIGHT(G1061,2)=RIGHT('112'!$M$9,2),B1061&lt;'112'!$N$8,$M1061='112'!$I$6)),"x",""))</f>
        <v/>
      </c>
      <c r="U1061" s="525" t="str">
        <f>IF(AND(B1061&gt;='IN-NX'!$P$3,B1061&lt;='IN-NX'!$Q$3,'IN-NX'!$D$7=D1061,OR(LEFT(L1061,2)="15",AND(LEFT(M1061,2)&lt;&gt;"15",LEFT(M1061,2)&lt;&gt;"33"))),"x","")</f>
        <v/>
      </c>
      <c r="V1061" s="525" t="str">
        <f>IF(AND(OR(LEFT(TH!L1061,2)="15",LEFT(TH!M1061,2)="15"),'152-CT'!$J$8=TH!F1061),"x","")</f>
        <v/>
      </c>
      <c r="W1061" s="525" t="str">
        <f>IF(AND(OR(LEFT(TH!L1061,2)="15",LEFT(TH!M1061,2)="15"),TK!$E$7=TH!F1061),"x","")</f>
        <v/>
      </c>
      <c r="X1061" s="525" t="str">
        <f>IF(AND('341-CT'!$E$9=H1061,OR(LEFT(L1061,3)=$X$7,LEFT(M1061,3)=$X$7)),"x","")</f>
        <v/>
      </c>
      <c r="Y1061" s="525" t="str">
        <f>IF(OR(TH!L1061=TH!$Y$7,M1061=TH!$Y$7),"x","")</f>
        <v/>
      </c>
      <c r="Z1061" s="525" t="str">
        <f>IF(AND(B1061&lt;=NKC!$N$8,B1061&gt;=NKC!$M$8),"x","")</f>
        <v>x</v>
      </c>
      <c r="AA1061" s="535"/>
    </row>
    <row r="1062" spans="1:28" s="503" customFormat="1" ht="15.75" customHeight="1">
      <c r="A1062" s="517" t="str">
        <f>IF(B1062&lt;&gt;"",IF(AND(B1062&gt;=_TM1,B1062&lt;=_TM2,OR(TH!L1062="1111",TH!M1062="1111")),TH!D1062,""),"")</f>
        <v/>
      </c>
      <c r="B1062" s="531">
        <f t="shared" si="112"/>
        <v>1</v>
      </c>
      <c r="C1062" s="315">
        <f t="shared" si="113"/>
        <v>42759</v>
      </c>
      <c r="D1062" s="315" t="s">
        <v>914</v>
      </c>
      <c r="E1062" s="315">
        <v>42759</v>
      </c>
      <c r="F1062" s="249" t="s">
        <v>501</v>
      </c>
      <c r="G1062" s="314" t="s">
        <v>527</v>
      </c>
      <c r="H1062" s="473" t="s">
        <v>439</v>
      </c>
      <c r="I1062" s="307"/>
      <c r="J1062" s="307"/>
      <c r="K1062" s="532">
        <v>1363256</v>
      </c>
      <c r="L1062" s="534" t="s">
        <v>223</v>
      </c>
      <c r="M1062" s="534" t="s">
        <v>259</v>
      </c>
      <c r="N1062" s="525" t="str">
        <f>IF(AND('331-CT'!$E$7=TH!H1062,OR(L1062="331",M1062="331")),"331",IF(AND(OR(L1062="131",M1062="131"),H1062='131-CT'!$E$7),"131",""))</f>
        <v/>
      </c>
      <c r="O1062" s="525" t="str">
        <f>IF(AND($B1062&gt;='111'!$N$11,$B1062&lt;='111'!$O$11,OR($L1062=$O$7,$M1062=$O$7)),"x","")</f>
        <v/>
      </c>
      <c r="P1062" s="525" t="str">
        <f>IF(AND($L1062=$O$7,$B1062&lt;'111'!$N$11),"x","")</f>
        <v/>
      </c>
      <c r="Q1062" s="525" t="str">
        <f>IF(AND($M1062=$O$7,$B1062&lt;'111'!$N$11),"x","")</f>
        <v/>
      </c>
      <c r="R1062" s="525" t="str">
        <f>IF(ISERROR(FIND('112'!$M$9,G1062,1)),"",IF((AND(FIND('112'!$M$9,G1062,1)&gt;=1,$B1062&gt;='112'!$N$8,$B1062&lt;='112'!$O$8,OR($L1062='112'!$I$6,$M1062='112'!$I$6))),"x",""))</f>
        <v/>
      </c>
      <c r="S1062" s="525" t="str">
        <f>IF(ISERROR(FIND('112'!$M$9,G1062,1)),"",IF((AND(LEFT(G1062,2)=LEFT('112'!$M$9,2),B1062&lt;'112'!$N$8,$L1062='112'!$I$6)),"x",""))</f>
        <v/>
      </c>
      <c r="T1062" s="525" t="str">
        <f>IF(ISERROR(FIND('112'!$M$9,G1062,1)),"",IF((AND(RIGHT(G1062,2)=RIGHT('112'!$M$9,2),B1062&lt;'112'!$N$8,$M1062='112'!$I$6)),"x",""))</f>
        <v/>
      </c>
      <c r="U1062" s="525" t="str">
        <f>IF(AND(B1062&gt;='IN-NX'!$P$3,B1062&lt;='IN-NX'!$Q$3,'IN-NX'!$D$7=D1062,OR(LEFT(L1062,2)="15",AND(LEFT(M1062,2)&lt;&gt;"15",LEFT(M1062,2)&lt;&gt;"33"))),"x","")</f>
        <v/>
      </c>
      <c r="V1062" s="525" t="str">
        <f>IF(AND(OR(LEFT(TH!L1062,2)="15",LEFT(TH!M1062,2)="15"),'152-CT'!$J$8=TH!F1062),"x","")</f>
        <v/>
      </c>
      <c r="W1062" s="525" t="str">
        <f>IF(AND(OR(LEFT(TH!L1062,2)="15",LEFT(TH!M1062,2)="15"),TK!$E$7=TH!F1062),"x","")</f>
        <v/>
      </c>
      <c r="X1062" s="525" t="str">
        <f>IF(AND('341-CT'!$E$9=H1062,OR(LEFT(L1062,3)=$X$7,LEFT(M1062,3)=$X$7)),"x","")</f>
        <v/>
      </c>
      <c r="Y1062" s="525" t="str">
        <f>IF(OR(TH!L1062=TH!$Y$7,M1062=TH!$Y$7),"x","")</f>
        <v/>
      </c>
      <c r="Z1062" s="525" t="str">
        <f>IF(AND(B1062&lt;=NKC!$N$8,B1062&gt;=NKC!$M$8),"x","")</f>
        <v>x</v>
      </c>
      <c r="AA1062" s="535"/>
      <c r="AB1062" s="536"/>
    </row>
    <row r="1063" spans="1:28" s="503" customFormat="1" ht="15.75" customHeight="1">
      <c r="A1063" s="517" t="str">
        <f>IF(B1063&lt;&gt;"",IF(AND(B1063&gt;=_TM1,B1063&lt;=_TM2,OR(TH!L1063="1111",TH!M1063="1111")),TH!D1063,""),"")</f>
        <v/>
      </c>
      <c r="B1063" s="531">
        <f t="shared" si="112"/>
        <v>2</v>
      </c>
      <c r="C1063" s="315">
        <f t="shared" si="113"/>
        <v>42772</v>
      </c>
      <c r="D1063" s="315" t="s">
        <v>915</v>
      </c>
      <c r="E1063" s="315">
        <v>42772</v>
      </c>
      <c r="F1063" s="249" t="s">
        <v>493</v>
      </c>
      <c r="G1063" s="314" t="s">
        <v>528</v>
      </c>
      <c r="H1063" s="472" t="s">
        <v>289</v>
      </c>
      <c r="I1063" s="307">
        <v>4400</v>
      </c>
      <c r="J1063" s="307">
        <v>9200</v>
      </c>
      <c r="K1063" s="532">
        <f>ROUND(I1063*J1063,0)</f>
        <v>40480000</v>
      </c>
      <c r="L1063" s="534" t="s">
        <v>223</v>
      </c>
      <c r="M1063" s="534" t="s">
        <v>162</v>
      </c>
      <c r="N1063" s="525" t="str">
        <f>IF(AND('331-CT'!$E$7=TH!H1063,OR(L1063="331",M1063="331")),"331",IF(AND(OR(L1063="131",M1063="131"),H1063='131-CT'!$E$7),"131",""))</f>
        <v/>
      </c>
      <c r="O1063" s="525" t="str">
        <f>IF(AND($B1063&gt;='111'!$N$11,$B1063&lt;='111'!$O$11,OR($L1063=$O$7,$M1063=$O$7)),"x","")</f>
        <v/>
      </c>
      <c r="P1063" s="525" t="str">
        <f>IF(AND($L1063=$O$7,$B1063&lt;'111'!$N$11),"x","")</f>
        <v/>
      </c>
      <c r="Q1063" s="525" t="str">
        <f>IF(AND($M1063=$O$7,$B1063&lt;'111'!$N$11),"x","")</f>
        <v/>
      </c>
      <c r="R1063" s="525" t="str">
        <f>IF(ISERROR(FIND('112'!$M$9,G1063,1)),"",IF((AND(FIND('112'!$M$9,G1063,1)&gt;=1,$B1063&gt;='112'!$N$8,$B1063&lt;='112'!$O$8,OR($L1063='112'!$I$6,$M1063='112'!$I$6))),"x",""))</f>
        <v/>
      </c>
      <c r="S1063" s="525" t="str">
        <f>IF(ISERROR(FIND('112'!$M$9,G1063,1)),"",IF((AND(LEFT(G1063,2)=LEFT('112'!$M$9,2),B1063&lt;'112'!$N$8,$L1063='112'!$I$6)),"x",""))</f>
        <v/>
      </c>
      <c r="T1063" s="525" t="str">
        <f>IF(ISERROR(FIND('112'!$M$9,G1063,1)),"",IF((AND(RIGHT(G1063,2)=RIGHT('112'!$M$9,2),B1063&lt;'112'!$N$8,$M1063='112'!$I$6)),"x",""))</f>
        <v/>
      </c>
      <c r="U1063" s="525" t="str">
        <f>IF(AND(B1063&gt;='IN-NX'!$P$3,B1063&lt;='IN-NX'!$Q$3,'IN-NX'!$D$7=D1063,OR(LEFT(L1063,2)="15",AND(LEFT(M1063,2)&lt;&gt;"15",LEFT(M1063,2)&lt;&gt;"33"))),"x","")</f>
        <v/>
      </c>
      <c r="V1063" s="525" t="str">
        <f>IF(AND(OR(LEFT(TH!L1063,2)="15",LEFT(TH!M1063,2)="15"),'152-CT'!$J$8=TH!F1063),"x","")</f>
        <v/>
      </c>
      <c r="W1063" s="525" t="str">
        <f>IF(AND(OR(LEFT(TH!L1063,2)="15",LEFT(TH!M1063,2)="15"),TK!$E$7=TH!F1063),"x","")</f>
        <v/>
      </c>
      <c r="X1063" s="525" t="str">
        <f>IF(AND('341-CT'!$E$9=H1063,OR(LEFT(L1063,3)=$X$7,LEFT(M1063,3)=$X$7)),"x","")</f>
        <v/>
      </c>
      <c r="Y1063" s="525" t="str">
        <f>IF(OR(TH!L1063=TH!$Y$7,M1063=TH!$Y$7),"x","")</f>
        <v/>
      </c>
      <c r="Z1063" s="525" t="str">
        <f>IF(AND(B1063&lt;=NKC!$N$8,B1063&gt;=NKC!$M$8),"x","")</f>
        <v>x</v>
      </c>
      <c r="AA1063" s="535"/>
    </row>
    <row r="1064" spans="1:28" s="503" customFormat="1" ht="15.75" customHeight="1">
      <c r="A1064" s="517" t="str">
        <f>IF(B1064&lt;&gt;"",IF(AND(B1064&gt;=_TM1,B1064&lt;=_TM2,OR(TH!L1064="1111",TH!M1064="1111")),TH!D1064,""),"")</f>
        <v/>
      </c>
      <c r="B1064" s="531">
        <f t="shared" si="112"/>
        <v>2</v>
      </c>
      <c r="C1064" s="315">
        <f t="shared" si="113"/>
        <v>42772</v>
      </c>
      <c r="D1064" s="315" t="s">
        <v>915</v>
      </c>
      <c r="E1064" s="315">
        <v>42772</v>
      </c>
      <c r="F1064" s="249" t="s">
        <v>494</v>
      </c>
      <c r="G1064" s="314" t="s">
        <v>528</v>
      </c>
      <c r="H1064" s="472" t="s">
        <v>289</v>
      </c>
      <c r="I1064" s="307"/>
      <c r="J1064" s="307"/>
      <c r="K1064" s="532">
        <v>4048000</v>
      </c>
      <c r="L1064" s="534" t="s">
        <v>223</v>
      </c>
      <c r="M1064" s="534" t="s">
        <v>259</v>
      </c>
      <c r="N1064" s="525" t="str">
        <f>IF(AND('331-CT'!$E$7=TH!H1064,OR(L1064="331",M1064="331")),"331",IF(AND(OR(L1064="131",M1064="131"),H1064='131-CT'!$E$7),"131",""))</f>
        <v/>
      </c>
      <c r="O1064" s="525" t="str">
        <f>IF(AND($B1064&gt;='111'!$N$11,$B1064&lt;='111'!$O$11,OR($L1064=$O$7,$M1064=$O$7)),"x","")</f>
        <v/>
      </c>
      <c r="P1064" s="525" t="str">
        <f>IF(AND($L1064=$O$7,$B1064&lt;'111'!$N$11),"x","")</f>
        <v/>
      </c>
      <c r="Q1064" s="525" t="str">
        <f>IF(AND($M1064=$O$7,$B1064&lt;'111'!$N$11),"x","")</f>
        <v/>
      </c>
      <c r="R1064" s="525" t="str">
        <f>IF(ISERROR(FIND('112'!$M$9,G1064,1)),"",IF((AND(FIND('112'!$M$9,G1064,1)&gt;=1,$B1064&gt;='112'!$N$8,$B1064&lt;='112'!$O$8,OR($L1064='112'!$I$6,$M1064='112'!$I$6))),"x",""))</f>
        <v/>
      </c>
      <c r="S1064" s="525" t="str">
        <f>IF(ISERROR(FIND('112'!$M$9,G1064,1)),"",IF((AND(LEFT(G1064,2)=LEFT('112'!$M$9,2),B1064&lt;'112'!$N$8,$L1064='112'!$I$6)),"x",""))</f>
        <v/>
      </c>
      <c r="T1064" s="525" t="str">
        <f>IF(ISERROR(FIND('112'!$M$9,G1064,1)),"",IF((AND(RIGHT(G1064,2)=RIGHT('112'!$M$9,2),B1064&lt;'112'!$N$8,$M1064='112'!$I$6)),"x",""))</f>
        <v/>
      </c>
      <c r="U1064" s="525" t="str">
        <f>IF(AND(B1064&gt;='IN-NX'!$P$3,B1064&lt;='IN-NX'!$Q$3,'IN-NX'!$D$7=D1064,OR(LEFT(L1064,2)="15",AND(LEFT(M1064,2)&lt;&gt;"15",LEFT(M1064,2)&lt;&gt;"33"))),"x","")</f>
        <v/>
      </c>
      <c r="V1064" s="525" t="str">
        <f>IF(AND(OR(LEFT(TH!L1064,2)="15",LEFT(TH!M1064,2)="15"),'152-CT'!$J$8=TH!F1064),"x","")</f>
        <v/>
      </c>
      <c r="W1064" s="525" t="str">
        <f>IF(AND(OR(LEFT(TH!L1064,2)="15",LEFT(TH!M1064,2)="15"),TK!$E$7=TH!F1064),"x","")</f>
        <v/>
      </c>
      <c r="X1064" s="525" t="str">
        <f>IF(AND('341-CT'!$E$9=H1064,OR(LEFT(L1064,3)=$X$7,LEFT(M1064,3)=$X$7)),"x","")</f>
        <v/>
      </c>
      <c r="Y1064" s="525" t="str">
        <f>IF(OR(TH!L1064=TH!$Y$7,M1064=TH!$Y$7),"x","")</f>
        <v/>
      </c>
      <c r="Z1064" s="525" t="str">
        <f>IF(AND(B1064&lt;=NKC!$N$8,B1064&gt;=NKC!$M$8),"x","")</f>
        <v>x</v>
      </c>
      <c r="AA1064" s="535"/>
      <c r="AB1064" s="536"/>
    </row>
    <row r="1065" spans="1:28" s="503" customFormat="1" ht="15.75" customHeight="1">
      <c r="A1065" s="517" t="str">
        <f>IF(B1065&lt;&gt;"",IF(AND(B1065&gt;=_TM1,B1065&lt;=_TM2,OR(TH!L1065="1111",TH!M1065="1111")),TH!D1065,""),"")</f>
        <v/>
      </c>
      <c r="B1065" s="531">
        <f t="shared" si="112"/>
        <v>2</v>
      </c>
      <c r="C1065" s="315">
        <f t="shared" si="113"/>
        <v>42773</v>
      </c>
      <c r="D1065" s="315" t="s">
        <v>916</v>
      </c>
      <c r="E1065" s="315">
        <v>42773</v>
      </c>
      <c r="F1065" s="249" t="s">
        <v>503</v>
      </c>
      <c r="G1065" s="314" t="s">
        <v>529</v>
      </c>
      <c r="H1065" s="473" t="s">
        <v>375</v>
      </c>
      <c r="I1065" s="307">
        <v>2000</v>
      </c>
      <c r="J1065" s="307">
        <v>8500</v>
      </c>
      <c r="K1065" s="532">
        <f>ROUND(I1065*J1065,0)</f>
        <v>17000000</v>
      </c>
      <c r="L1065" s="534" t="s">
        <v>223</v>
      </c>
      <c r="M1065" s="534" t="s">
        <v>162</v>
      </c>
      <c r="N1065" s="525" t="str">
        <f>IF(AND('331-CT'!$E$7=TH!H1065,OR(L1065="331",M1065="331")),"331",IF(AND(OR(L1065="131",M1065="131"),H1065='131-CT'!$E$7),"131",""))</f>
        <v/>
      </c>
      <c r="O1065" s="525" t="str">
        <f>IF(AND($B1065&gt;='111'!$N$11,$B1065&lt;='111'!$O$11,OR($L1065=$O$7,$M1065=$O$7)),"x","")</f>
        <v/>
      </c>
      <c r="P1065" s="525" t="str">
        <f>IF(AND($L1065=$O$7,$B1065&lt;'111'!$N$11),"x","")</f>
        <v/>
      </c>
      <c r="Q1065" s="525" t="str">
        <f>IF(AND($M1065=$O$7,$B1065&lt;'111'!$N$11),"x","")</f>
        <v/>
      </c>
      <c r="R1065" s="525" t="str">
        <f>IF(ISERROR(FIND('112'!$M$9,G1065,1)),"",IF((AND(FIND('112'!$M$9,G1065,1)&gt;=1,$B1065&gt;='112'!$N$8,$B1065&lt;='112'!$O$8,OR($L1065='112'!$I$6,$M1065='112'!$I$6))),"x",""))</f>
        <v/>
      </c>
      <c r="S1065" s="525" t="str">
        <f>IF(ISERROR(FIND('112'!$M$9,G1065,1)),"",IF((AND(LEFT(G1065,2)=LEFT('112'!$M$9,2),B1065&lt;'112'!$N$8,$L1065='112'!$I$6)),"x",""))</f>
        <v/>
      </c>
      <c r="T1065" s="525" t="str">
        <f>IF(ISERROR(FIND('112'!$M$9,G1065,1)),"",IF((AND(RIGHT(G1065,2)=RIGHT('112'!$M$9,2),B1065&lt;'112'!$N$8,$M1065='112'!$I$6)),"x",""))</f>
        <v/>
      </c>
      <c r="U1065" s="525" t="str">
        <f>IF(AND(B1065&gt;='IN-NX'!$P$3,B1065&lt;='IN-NX'!$Q$3,'IN-NX'!$D$7=D1065,OR(LEFT(L1065,2)="15",AND(LEFT(M1065,2)&lt;&gt;"15",LEFT(M1065,2)&lt;&gt;"33"))),"x","")</f>
        <v/>
      </c>
      <c r="V1065" s="525" t="str">
        <f>IF(AND(OR(LEFT(TH!L1065,2)="15",LEFT(TH!M1065,2)="15"),'152-CT'!$J$8=TH!F1065),"x","")</f>
        <v/>
      </c>
      <c r="W1065" s="525" t="str">
        <f>IF(AND(OR(LEFT(TH!L1065,2)="15",LEFT(TH!M1065,2)="15"),TK!$E$7=TH!F1065),"x","")</f>
        <v/>
      </c>
      <c r="X1065" s="525" t="str">
        <f>IF(AND('341-CT'!$E$9=H1065,OR(LEFT(L1065,3)=$X$7,LEFT(M1065,3)=$X$7)),"x","")</f>
        <v/>
      </c>
      <c r="Y1065" s="525" t="str">
        <f>IF(OR(TH!L1065=TH!$Y$7,M1065=TH!$Y$7),"x","")</f>
        <v/>
      </c>
      <c r="Z1065" s="525" t="str">
        <f>IF(AND(B1065&lt;=NKC!$N$8,B1065&gt;=NKC!$M$8),"x","")</f>
        <v>x</v>
      </c>
      <c r="AA1065" s="535"/>
    </row>
    <row r="1066" spans="1:28" s="503" customFormat="1" ht="15.75" customHeight="1">
      <c r="A1066" s="517" t="str">
        <f>IF(B1066&lt;&gt;"",IF(AND(B1066&gt;=_TM1,B1066&lt;=_TM2,OR(TH!L1066="1111",TH!M1066="1111")),TH!D1066,""),"")</f>
        <v/>
      </c>
      <c r="B1066" s="531">
        <f t="shared" si="112"/>
        <v>2</v>
      </c>
      <c r="C1066" s="315">
        <f t="shared" si="113"/>
        <v>42773</v>
      </c>
      <c r="D1066" s="315" t="s">
        <v>916</v>
      </c>
      <c r="E1066" s="315">
        <v>42773</v>
      </c>
      <c r="F1066" s="249" t="s">
        <v>501</v>
      </c>
      <c r="G1066" s="314" t="s">
        <v>529</v>
      </c>
      <c r="H1066" s="473" t="s">
        <v>375</v>
      </c>
      <c r="I1066" s="307"/>
      <c r="J1066" s="307"/>
      <c r="K1066" s="532">
        <v>1700000</v>
      </c>
      <c r="L1066" s="534" t="s">
        <v>223</v>
      </c>
      <c r="M1066" s="534" t="s">
        <v>259</v>
      </c>
      <c r="N1066" s="525" t="str">
        <f>IF(AND('331-CT'!$E$7=TH!H1066,OR(L1066="331",M1066="331")),"331",IF(AND(OR(L1066="131",M1066="131"),H1066='131-CT'!$E$7),"131",""))</f>
        <v/>
      </c>
      <c r="O1066" s="525" t="str">
        <f>IF(AND($B1066&gt;='111'!$N$11,$B1066&lt;='111'!$O$11,OR($L1066=$O$7,$M1066=$O$7)),"x","")</f>
        <v/>
      </c>
      <c r="P1066" s="525" t="str">
        <f>IF(AND($L1066=$O$7,$B1066&lt;'111'!$N$11),"x","")</f>
        <v/>
      </c>
      <c r="Q1066" s="525" t="str">
        <f>IF(AND($M1066=$O$7,$B1066&lt;'111'!$N$11),"x","")</f>
        <v/>
      </c>
      <c r="R1066" s="525" t="str">
        <f>IF(ISERROR(FIND('112'!$M$9,G1066,1)),"",IF((AND(FIND('112'!$M$9,G1066,1)&gt;=1,$B1066&gt;='112'!$N$8,$B1066&lt;='112'!$O$8,OR($L1066='112'!$I$6,$M1066='112'!$I$6))),"x",""))</f>
        <v/>
      </c>
      <c r="S1066" s="525" t="str">
        <f>IF(ISERROR(FIND('112'!$M$9,G1066,1)),"",IF((AND(LEFT(G1066,2)=LEFT('112'!$M$9,2),B1066&lt;'112'!$N$8,$L1066='112'!$I$6)),"x",""))</f>
        <v/>
      </c>
      <c r="T1066" s="525" t="str">
        <f>IF(ISERROR(FIND('112'!$M$9,G1066,1)),"",IF((AND(RIGHT(G1066,2)=RIGHT('112'!$M$9,2),B1066&lt;'112'!$N$8,$M1066='112'!$I$6)),"x",""))</f>
        <v/>
      </c>
      <c r="U1066" s="525" t="str">
        <f>IF(AND(B1066&gt;='IN-NX'!$P$3,B1066&lt;='IN-NX'!$Q$3,'IN-NX'!$D$7=D1066,OR(LEFT(L1066,2)="15",AND(LEFT(M1066,2)&lt;&gt;"15",LEFT(M1066,2)&lt;&gt;"33"))),"x","")</f>
        <v/>
      </c>
      <c r="V1066" s="525" t="str">
        <f>IF(AND(OR(LEFT(TH!L1066,2)="15",LEFT(TH!M1066,2)="15"),'152-CT'!$J$8=TH!F1066),"x","")</f>
        <v/>
      </c>
      <c r="W1066" s="525" t="str">
        <f>IF(AND(OR(LEFT(TH!L1066,2)="15",LEFT(TH!M1066,2)="15"),TK!$E$7=TH!F1066),"x","")</f>
        <v/>
      </c>
      <c r="X1066" s="525" t="str">
        <f>IF(AND('341-CT'!$E$9=H1066,OR(LEFT(L1066,3)=$X$7,LEFT(M1066,3)=$X$7)),"x","")</f>
        <v/>
      </c>
      <c r="Y1066" s="525" t="str">
        <f>IF(OR(TH!L1066=TH!$Y$7,M1066=TH!$Y$7),"x","")</f>
        <v/>
      </c>
      <c r="Z1066" s="525" t="str">
        <f>IF(AND(B1066&lt;=NKC!$N$8,B1066&gt;=NKC!$M$8),"x","")</f>
        <v>x</v>
      </c>
      <c r="AA1066" s="535"/>
      <c r="AB1066" s="536"/>
    </row>
    <row r="1067" spans="1:28" s="503" customFormat="1" ht="15.75" customHeight="1">
      <c r="A1067" s="517" t="str">
        <f>IF(B1067&lt;&gt;"",IF(AND(B1067&gt;=_TM1,B1067&lt;=_TM2,OR(TH!L1067="1111",TH!M1067="1111")),TH!D1067,""),"")</f>
        <v/>
      </c>
      <c r="B1067" s="531">
        <f t="shared" si="112"/>
        <v>2</v>
      </c>
      <c r="C1067" s="315">
        <f t="shared" si="113"/>
        <v>42779</v>
      </c>
      <c r="D1067" s="315" t="s">
        <v>917</v>
      </c>
      <c r="E1067" s="315">
        <v>42779</v>
      </c>
      <c r="F1067" s="249" t="s">
        <v>500</v>
      </c>
      <c r="G1067" s="314" t="s">
        <v>530</v>
      </c>
      <c r="H1067" s="474" t="s">
        <v>280</v>
      </c>
      <c r="I1067" s="307">
        <v>300</v>
      </c>
      <c r="J1067" s="307">
        <v>8030</v>
      </c>
      <c r="K1067" s="532">
        <f>ROUND(I1067*J1067,0)</f>
        <v>2409000</v>
      </c>
      <c r="L1067" s="534" t="s">
        <v>223</v>
      </c>
      <c r="M1067" s="534" t="s">
        <v>162</v>
      </c>
      <c r="N1067" s="525" t="str">
        <f>IF(AND('331-CT'!$E$7=TH!H1067,OR(L1067="331",M1067="331")),"331",IF(AND(OR(L1067="131",M1067="131"),H1067='131-CT'!$E$7),"131",""))</f>
        <v/>
      </c>
      <c r="O1067" s="525" t="str">
        <f>IF(AND($B1067&gt;='111'!$N$11,$B1067&lt;='111'!$O$11,OR($L1067=$O$7,$M1067=$O$7)),"x","")</f>
        <v/>
      </c>
      <c r="P1067" s="525" t="str">
        <f>IF(AND($L1067=$O$7,$B1067&lt;'111'!$N$11),"x","")</f>
        <v/>
      </c>
      <c r="Q1067" s="525" t="str">
        <f>IF(AND($M1067=$O$7,$B1067&lt;'111'!$N$11),"x","")</f>
        <v/>
      </c>
      <c r="R1067" s="525" t="str">
        <f>IF(ISERROR(FIND('112'!$M$9,G1067,1)),"",IF((AND(FIND('112'!$M$9,G1067,1)&gt;=1,$B1067&gt;='112'!$N$8,$B1067&lt;='112'!$O$8,OR($L1067='112'!$I$6,$M1067='112'!$I$6))),"x",""))</f>
        <v/>
      </c>
      <c r="S1067" s="525" t="str">
        <f>IF(ISERROR(FIND('112'!$M$9,G1067,1)),"",IF((AND(LEFT(G1067,2)=LEFT('112'!$M$9,2),B1067&lt;'112'!$N$8,$L1067='112'!$I$6)),"x",""))</f>
        <v/>
      </c>
      <c r="T1067" s="525" t="str">
        <f>IF(ISERROR(FIND('112'!$M$9,G1067,1)),"",IF((AND(RIGHT(G1067,2)=RIGHT('112'!$M$9,2),B1067&lt;'112'!$N$8,$M1067='112'!$I$6)),"x",""))</f>
        <v/>
      </c>
      <c r="U1067" s="525" t="str">
        <f>IF(AND(B1067&gt;='IN-NX'!$P$3,B1067&lt;='IN-NX'!$Q$3,'IN-NX'!$D$7=D1067,OR(LEFT(L1067,2)="15",AND(LEFT(M1067,2)&lt;&gt;"15",LEFT(M1067,2)&lt;&gt;"33"))),"x","")</f>
        <v/>
      </c>
      <c r="V1067" s="525" t="str">
        <f>IF(AND(OR(LEFT(TH!L1067,2)="15",LEFT(TH!M1067,2)="15"),'152-CT'!$J$8=TH!F1067),"x","")</f>
        <v/>
      </c>
      <c r="W1067" s="525" t="str">
        <f>IF(AND(OR(LEFT(TH!L1067,2)="15",LEFT(TH!M1067,2)="15"),TK!$E$7=TH!F1067),"x","")</f>
        <v/>
      </c>
      <c r="X1067" s="525" t="str">
        <f>IF(AND('341-CT'!$E$9=H1067,OR(LEFT(L1067,3)=$X$7,LEFT(M1067,3)=$X$7)),"x","")</f>
        <v/>
      </c>
      <c r="Y1067" s="525" t="str">
        <f>IF(OR(TH!L1067=TH!$Y$7,M1067=TH!$Y$7),"x","")</f>
        <v/>
      </c>
      <c r="Z1067" s="525" t="str">
        <f>IF(AND(B1067&lt;=NKC!$N$8,B1067&gt;=NKC!$M$8),"x","")</f>
        <v>x</v>
      </c>
      <c r="AA1067" s="535"/>
    </row>
    <row r="1068" spans="1:28" s="503" customFormat="1" ht="15.75" customHeight="1">
      <c r="A1068" s="517" t="str">
        <f>IF(B1068&lt;&gt;"",IF(AND(B1068&gt;=_TM1,B1068&lt;=_TM2,OR(TH!L1068="1111",TH!M1068="1111")),TH!D1068,""),"")</f>
        <v/>
      </c>
      <c r="B1068" s="531">
        <f t="shared" si="112"/>
        <v>2</v>
      </c>
      <c r="C1068" s="315">
        <f t="shared" si="113"/>
        <v>42779</v>
      </c>
      <c r="D1068" s="315" t="s">
        <v>917</v>
      </c>
      <c r="E1068" s="315">
        <v>42779</v>
      </c>
      <c r="F1068" s="249" t="s">
        <v>494</v>
      </c>
      <c r="G1068" s="314" t="s">
        <v>530</v>
      </c>
      <c r="H1068" s="474" t="s">
        <v>280</v>
      </c>
      <c r="I1068" s="307"/>
      <c r="J1068" s="307"/>
      <c r="K1068" s="532">
        <v>240900</v>
      </c>
      <c r="L1068" s="534" t="s">
        <v>223</v>
      </c>
      <c r="M1068" s="534" t="s">
        <v>259</v>
      </c>
      <c r="N1068" s="525" t="str">
        <f>IF(AND('331-CT'!$E$7=TH!H1068,OR(L1068="331",M1068="331")),"331",IF(AND(OR(L1068="131",M1068="131"),H1068='131-CT'!$E$7),"131",""))</f>
        <v/>
      </c>
      <c r="O1068" s="525" t="str">
        <f>IF(AND($B1068&gt;='111'!$N$11,$B1068&lt;='111'!$O$11,OR($L1068=$O$7,$M1068=$O$7)),"x","")</f>
        <v/>
      </c>
      <c r="P1068" s="525" t="str">
        <f>IF(AND($L1068=$O$7,$B1068&lt;'111'!$N$11),"x","")</f>
        <v/>
      </c>
      <c r="Q1068" s="525" t="str">
        <f>IF(AND($M1068=$O$7,$B1068&lt;'111'!$N$11),"x","")</f>
        <v/>
      </c>
      <c r="R1068" s="525" t="str">
        <f>IF(ISERROR(FIND('112'!$M$9,G1068,1)),"",IF((AND(FIND('112'!$M$9,G1068,1)&gt;=1,$B1068&gt;='112'!$N$8,$B1068&lt;='112'!$O$8,OR($L1068='112'!$I$6,$M1068='112'!$I$6))),"x",""))</f>
        <v/>
      </c>
      <c r="S1068" s="525" t="str">
        <f>IF(ISERROR(FIND('112'!$M$9,G1068,1)),"",IF((AND(LEFT(G1068,2)=LEFT('112'!$M$9,2),B1068&lt;'112'!$N$8,$L1068='112'!$I$6)),"x",""))</f>
        <v/>
      </c>
      <c r="T1068" s="525" t="str">
        <f>IF(ISERROR(FIND('112'!$M$9,G1068,1)),"",IF((AND(RIGHT(G1068,2)=RIGHT('112'!$M$9,2),B1068&lt;'112'!$N$8,$M1068='112'!$I$6)),"x",""))</f>
        <v/>
      </c>
      <c r="U1068" s="525" t="str">
        <f>IF(AND(B1068&gt;='IN-NX'!$P$3,B1068&lt;='IN-NX'!$Q$3,'IN-NX'!$D$7=D1068,OR(LEFT(L1068,2)="15",AND(LEFT(M1068,2)&lt;&gt;"15",LEFT(M1068,2)&lt;&gt;"33"))),"x","")</f>
        <v/>
      </c>
      <c r="V1068" s="525" t="str">
        <f>IF(AND(OR(LEFT(TH!L1068,2)="15",LEFT(TH!M1068,2)="15"),'152-CT'!$J$8=TH!F1068),"x","")</f>
        <v/>
      </c>
      <c r="W1068" s="525" t="str">
        <f>IF(AND(OR(LEFT(TH!L1068,2)="15",LEFT(TH!M1068,2)="15"),TK!$E$7=TH!F1068),"x","")</f>
        <v/>
      </c>
      <c r="X1068" s="525" t="str">
        <f>IF(AND('341-CT'!$E$9=H1068,OR(LEFT(L1068,3)=$X$7,LEFT(M1068,3)=$X$7)),"x","")</f>
        <v/>
      </c>
      <c r="Y1068" s="525" t="str">
        <f>IF(OR(TH!L1068=TH!$Y$7,M1068=TH!$Y$7),"x","")</f>
        <v/>
      </c>
      <c r="Z1068" s="525" t="str">
        <f>IF(AND(B1068&lt;=NKC!$N$8,B1068&gt;=NKC!$M$8),"x","")</f>
        <v>x</v>
      </c>
      <c r="AA1068" s="535"/>
      <c r="AB1068" s="536"/>
    </row>
    <row r="1069" spans="1:28" s="503" customFormat="1" ht="15.75" customHeight="1">
      <c r="A1069" s="517" t="str">
        <f>IF(B1069&lt;&gt;"",IF(AND(B1069&gt;=_TM1,B1069&lt;=_TM2,OR(TH!L1069="1111",TH!M1069="1111")),TH!D1069,""),"")</f>
        <v/>
      </c>
      <c r="B1069" s="531">
        <f t="shared" si="112"/>
        <v>2</v>
      </c>
      <c r="C1069" s="315">
        <f t="shared" si="113"/>
        <v>42782</v>
      </c>
      <c r="D1069" s="315" t="s">
        <v>918</v>
      </c>
      <c r="E1069" s="315">
        <v>42782</v>
      </c>
      <c r="F1069" s="249" t="s">
        <v>558</v>
      </c>
      <c r="G1069" s="314" t="s">
        <v>531</v>
      </c>
      <c r="H1069" s="473" t="s">
        <v>279</v>
      </c>
      <c r="I1069" s="307">
        <v>400</v>
      </c>
      <c r="J1069" s="307">
        <v>18200</v>
      </c>
      <c r="K1069" s="532">
        <f>ROUND(I1069*J1069,0)</f>
        <v>7280000</v>
      </c>
      <c r="L1069" s="534" t="s">
        <v>223</v>
      </c>
      <c r="M1069" s="534" t="s">
        <v>162</v>
      </c>
      <c r="N1069" s="525" t="str">
        <f>IF(AND('331-CT'!$E$7=TH!H1069,OR(L1069="331",M1069="331")),"331",IF(AND(OR(L1069="131",M1069="131"),H1069='131-CT'!$E$7),"131",""))</f>
        <v/>
      </c>
      <c r="O1069" s="525" t="str">
        <f>IF(AND($B1069&gt;='111'!$N$11,$B1069&lt;='111'!$O$11,OR($L1069=$O$7,$M1069=$O$7)),"x","")</f>
        <v/>
      </c>
      <c r="P1069" s="525" t="str">
        <f>IF(AND($L1069=$O$7,$B1069&lt;'111'!$N$11),"x","")</f>
        <v/>
      </c>
      <c r="Q1069" s="525" t="str">
        <f>IF(AND($M1069=$O$7,$B1069&lt;'111'!$N$11),"x","")</f>
        <v/>
      </c>
      <c r="R1069" s="525" t="str">
        <f>IF(ISERROR(FIND('112'!$M$9,G1069,1)),"",IF((AND(FIND('112'!$M$9,G1069,1)&gt;=1,$B1069&gt;='112'!$N$8,$B1069&lt;='112'!$O$8,OR($L1069='112'!$I$6,$M1069='112'!$I$6))),"x",""))</f>
        <v/>
      </c>
      <c r="S1069" s="525" t="str">
        <f>IF(ISERROR(FIND('112'!$M$9,G1069,1)),"",IF((AND(LEFT(G1069,2)=LEFT('112'!$M$9,2),B1069&lt;'112'!$N$8,$L1069='112'!$I$6)),"x",""))</f>
        <v/>
      </c>
      <c r="T1069" s="525" t="str">
        <f>IF(ISERROR(FIND('112'!$M$9,G1069,1)),"",IF((AND(RIGHT(G1069,2)=RIGHT('112'!$M$9,2),B1069&lt;'112'!$N$8,$M1069='112'!$I$6)),"x",""))</f>
        <v/>
      </c>
      <c r="U1069" s="525" t="str">
        <f>IF(AND(B1069&gt;='IN-NX'!$P$3,B1069&lt;='IN-NX'!$Q$3,'IN-NX'!$D$7=D1069,OR(LEFT(L1069,2)="15",AND(LEFT(M1069,2)&lt;&gt;"15",LEFT(M1069,2)&lt;&gt;"33"))),"x","")</f>
        <v/>
      </c>
      <c r="V1069" s="525" t="str">
        <f>IF(AND(OR(LEFT(TH!L1069,2)="15",LEFT(TH!M1069,2)="15"),'152-CT'!$J$8=TH!F1069),"x","")</f>
        <v/>
      </c>
      <c r="W1069" s="525" t="str">
        <f>IF(AND(OR(LEFT(TH!L1069,2)="15",LEFT(TH!M1069,2)="15"),TK!$E$7=TH!F1069),"x","")</f>
        <v/>
      </c>
      <c r="X1069" s="525" t="str">
        <f>IF(AND('341-CT'!$E$9=H1069,OR(LEFT(L1069,3)=$X$7,LEFT(M1069,3)=$X$7)),"x","")</f>
        <v/>
      </c>
      <c r="Y1069" s="525" t="str">
        <f>IF(OR(TH!L1069=TH!$Y$7,M1069=TH!$Y$7),"x","")</f>
        <v/>
      </c>
      <c r="Z1069" s="525" t="str">
        <f>IF(AND(B1069&lt;=NKC!$N$8,B1069&gt;=NKC!$M$8),"x","")</f>
        <v>x</v>
      </c>
      <c r="AA1069" s="535"/>
    </row>
    <row r="1070" spans="1:28" s="503" customFormat="1" ht="15.75" customHeight="1">
      <c r="A1070" s="517" t="str">
        <f>IF(B1070&lt;&gt;"",IF(AND(B1070&gt;=_TM1,B1070&lt;=_TM2,OR(TH!L1070="1111",TH!M1070="1111")),TH!D1070,""),"")</f>
        <v/>
      </c>
      <c r="B1070" s="531">
        <f t="shared" si="112"/>
        <v>2</v>
      </c>
      <c r="C1070" s="315">
        <f t="shared" si="113"/>
        <v>42782</v>
      </c>
      <c r="D1070" s="315" t="s">
        <v>918</v>
      </c>
      <c r="E1070" s="315">
        <v>42782</v>
      </c>
      <c r="F1070" s="249" t="s">
        <v>494</v>
      </c>
      <c r="G1070" s="314" t="s">
        <v>531</v>
      </c>
      <c r="H1070" s="473" t="s">
        <v>279</v>
      </c>
      <c r="I1070" s="307"/>
      <c r="J1070" s="307"/>
      <c r="K1070" s="532">
        <v>728000</v>
      </c>
      <c r="L1070" s="534" t="s">
        <v>223</v>
      </c>
      <c r="M1070" s="534" t="s">
        <v>259</v>
      </c>
      <c r="N1070" s="525" t="str">
        <f>IF(AND('331-CT'!$E$7=TH!H1070,OR(L1070="331",M1070="331")),"331",IF(AND(OR(L1070="131",M1070="131"),H1070='131-CT'!$E$7),"131",""))</f>
        <v/>
      </c>
      <c r="O1070" s="525" t="str">
        <f>IF(AND($B1070&gt;='111'!$N$11,$B1070&lt;='111'!$O$11,OR($L1070=$O$7,$M1070=$O$7)),"x","")</f>
        <v/>
      </c>
      <c r="P1070" s="525" t="str">
        <f>IF(AND($L1070=$O$7,$B1070&lt;'111'!$N$11),"x","")</f>
        <v/>
      </c>
      <c r="Q1070" s="525" t="str">
        <f>IF(AND($M1070=$O$7,$B1070&lt;'111'!$N$11),"x","")</f>
        <v/>
      </c>
      <c r="R1070" s="525" t="str">
        <f>IF(ISERROR(FIND('112'!$M$9,G1070,1)),"",IF((AND(FIND('112'!$M$9,G1070,1)&gt;=1,$B1070&gt;='112'!$N$8,$B1070&lt;='112'!$O$8,OR($L1070='112'!$I$6,$M1070='112'!$I$6))),"x",""))</f>
        <v/>
      </c>
      <c r="S1070" s="525" t="str">
        <f>IF(ISERROR(FIND('112'!$M$9,G1070,1)),"",IF((AND(LEFT(G1070,2)=LEFT('112'!$M$9,2),B1070&lt;'112'!$N$8,$L1070='112'!$I$6)),"x",""))</f>
        <v/>
      </c>
      <c r="T1070" s="525" t="str">
        <f>IF(ISERROR(FIND('112'!$M$9,G1070,1)),"",IF((AND(RIGHT(G1070,2)=RIGHT('112'!$M$9,2),B1070&lt;'112'!$N$8,$M1070='112'!$I$6)),"x",""))</f>
        <v/>
      </c>
      <c r="U1070" s="525" t="str">
        <f>IF(AND(B1070&gt;='IN-NX'!$P$3,B1070&lt;='IN-NX'!$Q$3,'IN-NX'!$D$7=D1070,OR(LEFT(L1070,2)="15",AND(LEFT(M1070,2)&lt;&gt;"15",LEFT(M1070,2)&lt;&gt;"33"))),"x","")</f>
        <v/>
      </c>
      <c r="V1070" s="525" t="str">
        <f>IF(AND(OR(LEFT(TH!L1070,2)="15",LEFT(TH!M1070,2)="15"),'152-CT'!$J$8=TH!F1070),"x","")</f>
        <v/>
      </c>
      <c r="W1070" s="525" t="str">
        <f>IF(AND(OR(LEFT(TH!L1070,2)="15",LEFT(TH!M1070,2)="15"),TK!$E$7=TH!F1070),"x","")</f>
        <v/>
      </c>
      <c r="X1070" s="525" t="str">
        <f>IF(AND('341-CT'!$E$9=H1070,OR(LEFT(L1070,3)=$X$7,LEFT(M1070,3)=$X$7)),"x","")</f>
        <v/>
      </c>
      <c r="Y1070" s="525" t="str">
        <f>IF(OR(TH!L1070=TH!$Y$7,M1070=TH!$Y$7),"x","")</f>
        <v/>
      </c>
      <c r="Z1070" s="525" t="str">
        <f>IF(AND(B1070&lt;=NKC!$N$8,B1070&gt;=NKC!$M$8),"x","")</f>
        <v>x</v>
      </c>
      <c r="AA1070" s="535"/>
      <c r="AB1070" s="536"/>
    </row>
    <row r="1071" spans="1:28" s="503" customFormat="1" ht="15.75" customHeight="1">
      <c r="A1071" s="517">
        <f>IF(B1071&lt;&gt;"",IF(AND(B1071&gt;=_TM1,B1071&lt;=_TM2,OR(TH!L1071="1111",TH!M1071="1111")),TH!D1071,""),"")</f>
        <v>0</v>
      </c>
      <c r="B1071" s="531">
        <f t="shared" si="112"/>
        <v>2</v>
      </c>
      <c r="C1071" s="315">
        <f t="shared" si="113"/>
        <v>42782</v>
      </c>
      <c r="D1071" s="537"/>
      <c r="E1071" s="315">
        <v>42782</v>
      </c>
      <c r="F1071" s="249" t="s">
        <v>1099</v>
      </c>
      <c r="G1071" s="314" t="s">
        <v>532</v>
      </c>
      <c r="H1071" s="473" t="s">
        <v>559</v>
      </c>
      <c r="I1071" s="307"/>
      <c r="J1071" s="307"/>
      <c r="K1071" s="532">
        <v>4725000</v>
      </c>
      <c r="L1071" s="534" t="s">
        <v>45</v>
      </c>
      <c r="M1071" s="534" t="s">
        <v>275</v>
      </c>
      <c r="N1071" s="525" t="str">
        <f>IF(AND('331-CT'!$E$7=TH!H1071,OR(L1071="331",M1071="331")),"331",IF(AND(OR(L1071="131",M1071="131"),H1071='131-CT'!$E$7),"131",""))</f>
        <v/>
      </c>
      <c r="O1071" s="525" t="str">
        <f>IF(AND($B1071&gt;='111'!$N$11,$B1071&lt;='111'!$O$11,OR($L1071=$O$7,$M1071=$O$7)),"x","")</f>
        <v/>
      </c>
      <c r="P1071" s="525" t="str">
        <f>IF(AND($L1071=$O$7,$B1071&lt;'111'!$N$11),"x","")</f>
        <v>x</v>
      </c>
      <c r="Q1071" s="525" t="str">
        <f>IF(AND($M1071=$O$7,$B1071&lt;'111'!$N$11),"x","")</f>
        <v/>
      </c>
      <c r="R1071" s="525" t="str">
        <f>IF(ISERROR(FIND('112'!$M$9,G1071,1)),"",IF((AND(FIND('112'!$M$9,G1071,1)&gt;=1,$B1071&gt;='112'!$N$8,$B1071&lt;='112'!$O$8,OR($L1071='112'!$I$6,$M1071='112'!$I$6))),"x",""))</f>
        <v/>
      </c>
      <c r="S1071" s="525" t="str">
        <f>IF(ISERROR(FIND('112'!$M$9,G1071,1)),"",IF((AND(LEFT(G1071,2)=LEFT('112'!$M$9,2),B1071&lt;'112'!$N$8,$L1071='112'!$I$6)),"x",""))</f>
        <v/>
      </c>
      <c r="T1071" s="525" t="str">
        <f>IF(ISERROR(FIND('112'!$M$9,G1071,1)),"",IF((AND(RIGHT(G1071,2)=RIGHT('112'!$M$9,2),B1071&lt;'112'!$N$8,$M1071='112'!$I$6)),"x",""))</f>
        <v/>
      </c>
      <c r="U1071" s="525" t="str">
        <f>IF(AND(B1071&gt;='IN-NX'!$P$3,B1071&lt;='IN-NX'!$Q$3,'IN-NX'!$D$7=D1071,OR(LEFT(L1071,2)="15",AND(LEFT(M1071,2)&lt;&gt;"15",LEFT(M1071,2)&lt;&gt;"33"))),"x","")</f>
        <v/>
      </c>
      <c r="V1071" s="525" t="str">
        <f>IF(AND(OR(LEFT(TH!L1071,2)="15",LEFT(TH!M1071,2)="15"),'152-CT'!$J$8=TH!F1071),"x","")</f>
        <v/>
      </c>
      <c r="W1071" s="525" t="str">
        <f>IF(AND(OR(LEFT(TH!L1071,2)="15",LEFT(TH!M1071,2)="15"),TK!$E$7=TH!F1071),"x","")</f>
        <v/>
      </c>
      <c r="X1071" s="525" t="str">
        <f>IF(AND('341-CT'!$E$9=H1071,OR(LEFT(L1071,3)=$X$7,LEFT(M1071,3)=$X$7)),"x","")</f>
        <v/>
      </c>
      <c r="Y1071" s="525" t="str">
        <f>IF(OR(TH!L1071=TH!$Y$7,M1071=TH!$Y$7),"x","")</f>
        <v/>
      </c>
      <c r="Z1071" s="525" t="str">
        <f>IF(AND(B1071&lt;=NKC!$N$8,B1071&gt;=NKC!$M$8),"x","")</f>
        <v>x</v>
      </c>
      <c r="AA1071" s="535"/>
      <c r="AB1071" s="536"/>
    </row>
    <row r="1072" spans="1:28" s="503" customFormat="1" ht="15.75" customHeight="1">
      <c r="A1072" s="517">
        <f>IF(B1072&lt;&gt;"",IF(AND(B1072&gt;=_TM1,B1072&lt;=_TM2,OR(TH!L1072="1111",TH!M1072="1111")),TH!D1072,""),"")</f>
        <v>0</v>
      </c>
      <c r="B1072" s="531">
        <f t="shared" si="112"/>
        <v>2</v>
      </c>
      <c r="C1072" s="315">
        <f t="shared" si="113"/>
        <v>42782</v>
      </c>
      <c r="D1072" s="537"/>
      <c r="E1072" s="315">
        <v>42782</v>
      </c>
      <c r="F1072" s="249" t="s">
        <v>1102</v>
      </c>
      <c r="G1072" s="314" t="s">
        <v>532</v>
      </c>
      <c r="H1072" s="473" t="s">
        <v>559</v>
      </c>
      <c r="I1072" s="307"/>
      <c r="J1072" s="307"/>
      <c r="K1072" s="532">
        <v>472500</v>
      </c>
      <c r="L1072" s="534" t="s">
        <v>45</v>
      </c>
      <c r="M1072" s="534" t="s">
        <v>259</v>
      </c>
      <c r="N1072" s="525" t="str">
        <f>IF(AND('331-CT'!$E$7=TH!H1072,OR(L1072="331",M1072="331")),"331",IF(AND(OR(L1072="131",M1072="131"),H1072='131-CT'!$E$7),"131",""))</f>
        <v/>
      </c>
      <c r="O1072" s="525" t="str">
        <f>IF(AND($B1072&gt;='111'!$N$11,$B1072&lt;='111'!$O$11,OR($L1072=$O$7,$M1072=$O$7)),"x","")</f>
        <v/>
      </c>
      <c r="P1072" s="525" t="str">
        <f>IF(AND($L1072=$O$7,$B1072&lt;'111'!$N$11),"x","")</f>
        <v>x</v>
      </c>
      <c r="Q1072" s="525" t="str">
        <f>IF(AND($M1072=$O$7,$B1072&lt;'111'!$N$11),"x","")</f>
        <v/>
      </c>
      <c r="R1072" s="525" t="str">
        <f>IF(ISERROR(FIND('112'!$M$9,G1072,1)),"",IF((AND(FIND('112'!$M$9,G1072,1)&gt;=1,$B1072&gt;='112'!$N$8,$B1072&lt;='112'!$O$8,OR($L1072='112'!$I$6,$M1072='112'!$I$6))),"x",""))</f>
        <v/>
      </c>
      <c r="S1072" s="525" t="str">
        <f>IF(ISERROR(FIND('112'!$M$9,G1072,1)),"",IF((AND(LEFT(G1072,2)=LEFT('112'!$M$9,2),B1072&lt;'112'!$N$8,$L1072='112'!$I$6)),"x",""))</f>
        <v/>
      </c>
      <c r="T1072" s="525" t="str">
        <f>IF(ISERROR(FIND('112'!$M$9,G1072,1)),"",IF((AND(RIGHT(G1072,2)=RIGHT('112'!$M$9,2),B1072&lt;'112'!$N$8,$M1072='112'!$I$6)),"x",""))</f>
        <v/>
      </c>
      <c r="U1072" s="525" t="str">
        <f>IF(AND(B1072&gt;='IN-NX'!$P$3,B1072&lt;='IN-NX'!$Q$3,'IN-NX'!$D$7=D1072,OR(LEFT(L1072,2)="15",AND(LEFT(M1072,2)&lt;&gt;"15",LEFT(M1072,2)&lt;&gt;"33"))),"x","")</f>
        <v/>
      </c>
      <c r="V1072" s="525" t="str">
        <f>IF(AND(OR(LEFT(TH!L1072,2)="15",LEFT(TH!M1072,2)="15"),'152-CT'!$J$8=TH!F1072),"x","")</f>
        <v/>
      </c>
      <c r="W1072" s="525" t="str">
        <f>IF(AND(OR(LEFT(TH!L1072,2)="15",LEFT(TH!M1072,2)="15"),TK!$E$7=TH!F1072),"x","")</f>
        <v/>
      </c>
      <c r="X1072" s="525" t="str">
        <f>IF(AND('341-CT'!$E$9=H1072,OR(LEFT(L1072,3)=$X$7,LEFT(M1072,3)=$X$7)),"x","")</f>
        <v/>
      </c>
      <c r="Y1072" s="525" t="str">
        <f>IF(OR(TH!L1072=TH!$Y$7,M1072=TH!$Y$7),"x","")</f>
        <v/>
      </c>
      <c r="Z1072" s="525" t="str">
        <f>IF(AND(B1072&lt;=NKC!$N$8,B1072&gt;=NKC!$M$8),"x","")</f>
        <v>x</v>
      </c>
      <c r="AA1072" s="535"/>
      <c r="AB1072" s="536"/>
    </row>
    <row r="1073" spans="1:28" s="503" customFormat="1" ht="15.75" customHeight="1">
      <c r="A1073" s="517" t="str">
        <f>IF(B1073&lt;&gt;"",IF(AND(B1073&gt;=_TM1,B1073&lt;=_TM2,OR(TH!L1073="1111",TH!M1073="1111")),TH!D1073,""),"")</f>
        <v/>
      </c>
      <c r="B1073" s="531">
        <f t="shared" si="112"/>
        <v>2</v>
      </c>
      <c r="C1073" s="315">
        <f t="shared" si="113"/>
        <v>42783</v>
      </c>
      <c r="D1073" s="315" t="s">
        <v>919</v>
      </c>
      <c r="E1073" s="315">
        <v>42783</v>
      </c>
      <c r="F1073" s="249" t="s">
        <v>503</v>
      </c>
      <c r="G1073" s="314" t="s">
        <v>533</v>
      </c>
      <c r="H1073" s="473" t="s">
        <v>375</v>
      </c>
      <c r="I1073" s="307">
        <v>1900</v>
      </c>
      <c r="J1073" s="307">
        <v>8500</v>
      </c>
      <c r="K1073" s="532">
        <f>ROUND(I1073*J1073,0)</f>
        <v>16150000</v>
      </c>
      <c r="L1073" s="534" t="s">
        <v>223</v>
      </c>
      <c r="M1073" s="534" t="s">
        <v>162</v>
      </c>
      <c r="N1073" s="525" t="str">
        <f>IF(AND('331-CT'!$E$7=TH!H1073,OR(L1073="331",M1073="331")),"331",IF(AND(OR(L1073="131",M1073="131"),H1073='131-CT'!$E$7),"131",""))</f>
        <v/>
      </c>
      <c r="O1073" s="525" t="str">
        <f>IF(AND($B1073&gt;='111'!$N$11,$B1073&lt;='111'!$O$11,OR($L1073=$O$7,$M1073=$O$7)),"x","")</f>
        <v/>
      </c>
      <c r="P1073" s="525" t="str">
        <f>IF(AND($L1073=$O$7,$B1073&lt;'111'!$N$11),"x","")</f>
        <v/>
      </c>
      <c r="Q1073" s="525" t="str">
        <f>IF(AND($M1073=$O$7,$B1073&lt;'111'!$N$11),"x","")</f>
        <v/>
      </c>
      <c r="R1073" s="525" t="str">
        <f>IF(ISERROR(FIND('112'!$M$9,G1073,1)),"",IF((AND(FIND('112'!$M$9,G1073,1)&gt;=1,$B1073&gt;='112'!$N$8,$B1073&lt;='112'!$O$8,OR($L1073='112'!$I$6,$M1073='112'!$I$6))),"x",""))</f>
        <v/>
      </c>
      <c r="S1073" s="525" t="str">
        <f>IF(ISERROR(FIND('112'!$M$9,G1073,1)),"",IF((AND(LEFT(G1073,2)=LEFT('112'!$M$9,2),B1073&lt;'112'!$N$8,$L1073='112'!$I$6)),"x",""))</f>
        <v/>
      </c>
      <c r="T1073" s="525" t="str">
        <f>IF(ISERROR(FIND('112'!$M$9,G1073,1)),"",IF((AND(RIGHT(G1073,2)=RIGHT('112'!$M$9,2),B1073&lt;'112'!$N$8,$M1073='112'!$I$6)),"x",""))</f>
        <v/>
      </c>
      <c r="U1073" s="525" t="str">
        <f>IF(AND(B1073&gt;='IN-NX'!$P$3,B1073&lt;='IN-NX'!$Q$3,'IN-NX'!$D$7=D1073,OR(LEFT(L1073,2)="15",AND(LEFT(M1073,2)&lt;&gt;"15",LEFT(M1073,2)&lt;&gt;"33"))),"x","")</f>
        <v/>
      </c>
      <c r="V1073" s="525" t="str">
        <f>IF(AND(OR(LEFT(TH!L1073,2)="15",LEFT(TH!M1073,2)="15"),'152-CT'!$J$8=TH!F1073),"x","")</f>
        <v/>
      </c>
      <c r="W1073" s="525" t="str">
        <f>IF(AND(OR(LEFT(TH!L1073,2)="15",LEFT(TH!M1073,2)="15"),TK!$E$7=TH!F1073),"x","")</f>
        <v/>
      </c>
      <c r="X1073" s="525" t="str">
        <f>IF(AND('341-CT'!$E$9=H1073,OR(LEFT(L1073,3)=$X$7,LEFT(M1073,3)=$X$7)),"x","")</f>
        <v/>
      </c>
      <c r="Y1073" s="525" t="str">
        <f>IF(OR(TH!L1073=TH!$Y$7,M1073=TH!$Y$7),"x","")</f>
        <v/>
      </c>
      <c r="Z1073" s="525" t="str">
        <f>IF(AND(B1073&lt;=NKC!$N$8,B1073&gt;=NKC!$M$8),"x","")</f>
        <v>x</v>
      </c>
      <c r="AA1073" s="535"/>
    </row>
    <row r="1074" spans="1:28" s="503" customFormat="1" ht="15.75" customHeight="1">
      <c r="A1074" s="517" t="str">
        <f>IF(B1074&lt;&gt;"",IF(AND(B1074&gt;=_TM1,B1074&lt;=_TM2,OR(TH!L1074="1111",TH!M1074="1111")),TH!D1074,""),"")</f>
        <v/>
      </c>
      <c r="B1074" s="531">
        <f t="shared" ref="B1074:B1139" si="116">IF(C1074&lt;&gt;"",MONTH(C1074),"")</f>
        <v>2</v>
      </c>
      <c r="C1074" s="315">
        <f t="shared" ref="C1074:C1139" si="117">E1074</f>
        <v>42783</v>
      </c>
      <c r="D1074" s="315" t="s">
        <v>919</v>
      </c>
      <c r="E1074" s="315">
        <v>42783</v>
      </c>
      <c r="F1074" s="249" t="s">
        <v>501</v>
      </c>
      <c r="G1074" s="314" t="s">
        <v>533</v>
      </c>
      <c r="H1074" s="473" t="s">
        <v>375</v>
      </c>
      <c r="I1074" s="307"/>
      <c r="J1074" s="307"/>
      <c r="K1074" s="532">
        <v>1615000</v>
      </c>
      <c r="L1074" s="534" t="s">
        <v>223</v>
      </c>
      <c r="M1074" s="534" t="s">
        <v>259</v>
      </c>
      <c r="N1074" s="525" t="str">
        <f>IF(AND('331-CT'!$E$7=TH!H1074,OR(L1074="331",M1074="331")),"331",IF(AND(OR(L1074="131",M1074="131"),H1074='131-CT'!$E$7),"131",""))</f>
        <v/>
      </c>
      <c r="O1074" s="525" t="str">
        <f>IF(AND($B1074&gt;='111'!$N$11,$B1074&lt;='111'!$O$11,OR($L1074=$O$7,$M1074=$O$7)),"x","")</f>
        <v/>
      </c>
      <c r="P1074" s="525" t="str">
        <f>IF(AND($L1074=$O$7,$B1074&lt;'111'!$N$11),"x","")</f>
        <v/>
      </c>
      <c r="Q1074" s="525" t="str">
        <f>IF(AND($M1074=$O$7,$B1074&lt;'111'!$N$11),"x","")</f>
        <v/>
      </c>
      <c r="R1074" s="525" t="str">
        <f>IF(ISERROR(FIND('112'!$M$9,G1074,1)),"",IF((AND(FIND('112'!$M$9,G1074,1)&gt;=1,$B1074&gt;='112'!$N$8,$B1074&lt;='112'!$O$8,OR($L1074='112'!$I$6,$M1074='112'!$I$6))),"x",""))</f>
        <v/>
      </c>
      <c r="S1074" s="525" t="str">
        <f>IF(ISERROR(FIND('112'!$M$9,G1074,1)),"",IF((AND(LEFT(G1074,2)=LEFT('112'!$M$9,2),B1074&lt;'112'!$N$8,$L1074='112'!$I$6)),"x",""))</f>
        <v/>
      </c>
      <c r="T1074" s="525" t="str">
        <f>IF(ISERROR(FIND('112'!$M$9,G1074,1)),"",IF((AND(RIGHT(G1074,2)=RIGHT('112'!$M$9,2),B1074&lt;'112'!$N$8,$M1074='112'!$I$6)),"x",""))</f>
        <v/>
      </c>
      <c r="U1074" s="525" t="str">
        <f>IF(AND(B1074&gt;='IN-NX'!$P$3,B1074&lt;='IN-NX'!$Q$3,'IN-NX'!$D$7=D1074,OR(LEFT(L1074,2)="15",AND(LEFT(M1074,2)&lt;&gt;"15",LEFT(M1074,2)&lt;&gt;"33"))),"x","")</f>
        <v/>
      </c>
      <c r="V1074" s="525" t="str">
        <f>IF(AND(OR(LEFT(TH!L1074,2)="15",LEFT(TH!M1074,2)="15"),'152-CT'!$J$8=TH!F1074),"x","")</f>
        <v/>
      </c>
      <c r="W1074" s="525" t="str">
        <f>IF(AND(OR(LEFT(TH!L1074,2)="15",LEFT(TH!M1074,2)="15"),TK!$E$7=TH!F1074),"x","")</f>
        <v/>
      </c>
      <c r="X1074" s="525" t="str">
        <f>IF(AND('341-CT'!$E$9=H1074,OR(LEFT(L1074,3)=$X$7,LEFT(M1074,3)=$X$7)),"x","")</f>
        <v/>
      </c>
      <c r="Y1074" s="525" t="str">
        <f>IF(OR(TH!L1074=TH!$Y$7,M1074=TH!$Y$7),"x","")</f>
        <v/>
      </c>
      <c r="Z1074" s="525" t="str">
        <f>IF(AND(B1074&lt;=NKC!$N$8,B1074&gt;=NKC!$M$8),"x","")</f>
        <v>x</v>
      </c>
      <c r="AA1074" s="535"/>
      <c r="AB1074" s="536"/>
    </row>
    <row r="1075" spans="1:28" s="503" customFormat="1" ht="15.75" customHeight="1">
      <c r="A1075" s="517" t="str">
        <f>IF(B1075&lt;&gt;"",IF(AND(B1075&gt;=_TM1,B1075&lt;=_TM2,OR(TH!L1075="1111",TH!M1075="1111")),TH!D1075,""),"")</f>
        <v/>
      </c>
      <c r="B1075" s="531">
        <f t="shared" si="116"/>
        <v>2</v>
      </c>
      <c r="C1075" s="315">
        <f t="shared" si="117"/>
        <v>42786</v>
      </c>
      <c r="D1075" s="315" t="s">
        <v>920</v>
      </c>
      <c r="E1075" s="315">
        <v>42786</v>
      </c>
      <c r="F1075" s="249" t="s">
        <v>353</v>
      </c>
      <c r="G1075" s="314" t="s">
        <v>534</v>
      </c>
      <c r="H1075" s="473" t="s">
        <v>439</v>
      </c>
      <c r="I1075" s="307">
        <v>400</v>
      </c>
      <c r="J1075" s="307">
        <v>18580</v>
      </c>
      <c r="K1075" s="532">
        <f>ROUND(I1075*J1075,0)</f>
        <v>7432000</v>
      </c>
      <c r="L1075" s="534" t="s">
        <v>223</v>
      </c>
      <c r="M1075" s="534" t="s">
        <v>162</v>
      </c>
      <c r="N1075" s="525" t="str">
        <f>IF(AND('331-CT'!$E$7=TH!H1075,OR(L1075="331",M1075="331")),"331",IF(AND(OR(L1075="131",M1075="131"),H1075='131-CT'!$E$7),"131",""))</f>
        <v/>
      </c>
      <c r="O1075" s="525" t="str">
        <f>IF(AND($B1075&gt;='111'!$N$11,$B1075&lt;='111'!$O$11,OR($L1075=$O$7,$M1075=$O$7)),"x","")</f>
        <v/>
      </c>
      <c r="P1075" s="525" t="str">
        <f>IF(AND($L1075=$O$7,$B1075&lt;'111'!$N$11),"x","")</f>
        <v/>
      </c>
      <c r="Q1075" s="525" t="str">
        <f>IF(AND($M1075=$O$7,$B1075&lt;'111'!$N$11),"x","")</f>
        <v/>
      </c>
      <c r="R1075" s="525" t="str">
        <f>IF(ISERROR(FIND('112'!$M$9,G1075,1)),"",IF((AND(FIND('112'!$M$9,G1075,1)&gt;=1,$B1075&gt;='112'!$N$8,$B1075&lt;='112'!$O$8,OR($L1075='112'!$I$6,$M1075='112'!$I$6))),"x",""))</f>
        <v/>
      </c>
      <c r="S1075" s="525" t="str">
        <f>IF(ISERROR(FIND('112'!$M$9,G1075,1)),"",IF((AND(LEFT(G1075,2)=LEFT('112'!$M$9,2),B1075&lt;'112'!$N$8,$L1075='112'!$I$6)),"x",""))</f>
        <v/>
      </c>
      <c r="T1075" s="525" t="str">
        <f>IF(ISERROR(FIND('112'!$M$9,G1075,1)),"",IF((AND(RIGHT(G1075,2)=RIGHT('112'!$M$9,2),B1075&lt;'112'!$N$8,$M1075='112'!$I$6)),"x",""))</f>
        <v/>
      </c>
      <c r="U1075" s="525" t="str">
        <f>IF(AND(B1075&gt;='IN-NX'!$P$3,B1075&lt;='IN-NX'!$Q$3,'IN-NX'!$D$7=D1075,OR(LEFT(L1075,2)="15",AND(LEFT(M1075,2)&lt;&gt;"15",LEFT(M1075,2)&lt;&gt;"33"))),"x","")</f>
        <v/>
      </c>
      <c r="V1075" s="525" t="str">
        <f>IF(AND(OR(LEFT(TH!L1075,2)="15",LEFT(TH!M1075,2)="15"),'152-CT'!$J$8=TH!F1075),"x","")</f>
        <v/>
      </c>
      <c r="W1075" s="525" t="str">
        <f>IF(AND(OR(LEFT(TH!L1075,2)="15",LEFT(TH!M1075,2)="15"),TK!$E$7=TH!F1075),"x","")</f>
        <v/>
      </c>
      <c r="X1075" s="525" t="str">
        <f>IF(AND('341-CT'!$E$9=H1075,OR(LEFT(L1075,3)=$X$7,LEFT(M1075,3)=$X$7)),"x","")</f>
        <v/>
      </c>
      <c r="Y1075" s="525" t="str">
        <f>IF(OR(TH!L1075=TH!$Y$7,M1075=TH!$Y$7),"x","")</f>
        <v/>
      </c>
      <c r="Z1075" s="525" t="str">
        <f>IF(AND(B1075&lt;=NKC!$N$8,B1075&gt;=NKC!$M$8),"x","")</f>
        <v>x</v>
      </c>
      <c r="AA1075" s="535"/>
    </row>
    <row r="1076" spans="1:28" s="503" customFormat="1" ht="15.75" customHeight="1">
      <c r="A1076" s="517" t="str">
        <f>IF(B1076&lt;&gt;"",IF(AND(B1076&gt;=_TM1,B1076&lt;=_TM2,OR(TH!L1076="1111",TH!M1076="1111")),TH!D1076,""),"")</f>
        <v/>
      </c>
      <c r="B1076" s="531">
        <f t="shared" si="116"/>
        <v>2</v>
      </c>
      <c r="C1076" s="315">
        <f t="shared" si="117"/>
        <v>42786</v>
      </c>
      <c r="D1076" s="315" t="s">
        <v>920</v>
      </c>
      <c r="E1076" s="315">
        <v>42786</v>
      </c>
      <c r="F1076" s="249" t="s">
        <v>366</v>
      </c>
      <c r="G1076" s="314" t="s">
        <v>534</v>
      </c>
      <c r="H1076" s="473" t="s">
        <v>439</v>
      </c>
      <c r="I1076" s="307">
        <v>183</v>
      </c>
      <c r="J1076" s="307">
        <v>32390</v>
      </c>
      <c r="K1076" s="532">
        <f>ROUND(I1076*J1076,0)</f>
        <v>5927370</v>
      </c>
      <c r="L1076" s="534" t="s">
        <v>223</v>
      </c>
      <c r="M1076" s="534" t="s">
        <v>162</v>
      </c>
      <c r="N1076" s="525" t="str">
        <f>IF(AND('331-CT'!$E$7=TH!H1076,OR(L1076="331",M1076="331")),"331",IF(AND(OR(L1076="131",M1076="131"),H1076='131-CT'!$E$7),"131",""))</f>
        <v/>
      </c>
      <c r="O1076" s="525" t="str">
        <f>IF(AND($B1076&gt;='111'!$N$11,$B1076&lt;='111'!$O$11,OR($L1076=$O$7,$M1076=$O$7)),"x","")</f>
        <v/>
      </c>
      <c r="P1076" s="525" t="str">
        <f>IF(AND($L1076=$O$7,$B1076&lt;'111'!$N$11),"x","")</f>
        <v/>
      </c>
      <c r="Q1076" s="525" t="str">
        <f>IF(AND($M1076=$O$7,$B1076&lt;'111'!$N$11),"x","")</f>
        <v/>
      </c>
      <c r="R1076" s="525" t="str">
        <f>IF(ISERROR(FIND('112'!$M$9,G1076,1)),"",IF((AND(FIND('112'!$M$9,G1076,1)&gt;=1,$B1076&gt;='112'!$N$8,$B1076&lt;='112'!$O$8,OR($L1076='112'!$I$6,$M1076='112'!$I$6))),"x",""))</f>
        <v/>
      </c>
      <c r="S1076" s="525" t="str">
        <f>IF(ISERROR(FIND('112'!$M$9,G1076,1)),"",IF((AND(LEFT(G1076,2)=LEFT('112'!$M$9,2),B1076&lt;'112'!$N$8,$L1076='112'!$I$6)),"x",""))</f>
        <v/>
      </c>
      <c r="T1076" s="525" t="str">
        <f>IF(ISERROR(FIND('112'!$M$9,G1076,1)),"",IF((AND(RIGHT(G1076,2)=RIGHT('112'!$M$9,2),B1076&lt;'112'!$N$8,$M1076='112'!$I$6)),"x",""))</f>
        <v/>
      </c>
      <c r="U1076" s="525" t="str">
        <f>IF(AND(B1076&gt;='IN-NX'!$P$3,B1076&lt;='IN-NX'!$Q$3,'IN-NX'!$D$7=D1076,OR(LEFT(L1076,2)="15",AND(LEFT(M1076,2)&lt;&gt;"15",LEFT(M1076,2)&lt;&gt;"33"))),"x","")</f>
        <v/>
      </c>
      <c r="V1076" s="525" t="str">
        <f>IF(AND(OR(LEFT(TH!L1076,2)="15",LEFT(TH!M1076,2)="15"),'152-CT'!$J$8=TH!F1076),"x","")</f>
        <v/>
      </c>
      <c r="W1076" s="525" t="str">
        <f>IF(AND(OR(LEFT(TH!L1076,2)="15",LEFT(TH!M1076,2)="15"),TK!$E$7=TH!F1076),"x","")</f>
        <v/>
      </c>
      <c r="X1076" s="525" t="str">
        <f>IF(AND('341-CT'!$E$9=H1076,OR(LEFT(L1076,3)=$X$7,LEFT(M1076,3)=$X$7)),"x","")</f>
        <v/>
      </c>
      <c r="Y1076" s="525" t="str">
        <f>IF(OR(TH!L1076=TH!$Y$7,M1076=TH!$Y$7),"x","")</f>
        <v/>
      </c>
      <c r="Z1076" s="525" t="str">
        <f>IF(AND(B1076&lt;=NKC!$N$8,B1076&gt;=NKC!$M$8),"x","")</f>
        <v>x</v>
      </c>
      <c r="AA1076" s="535"/>
    </row>
    <row r="1077" spans="1:28" s="503" customFormat="1" ht="15.75" customHeight="1">
      <c r="A1077" s="517" t="str">
        <f>IF(B1077&lt;&gt;"",IF(AND(B1077&gt;=_TM1,B1077&lt;=_TM2,OR(TH!L1077="1111",TH!M1077="1111")),TH!D1077,""),"")</f>
        <v/>
      </c>
      <c r="B1077" s="531">
        <f t="shared" si="116"/>
        <v>2</v>
      </c>
      <c r="C1077" s="315">
        <f t="shared" si="117"/>
        <v>42786</v>
      </c>
      <c r="D1077" s="315" t="s">
        <v>920</v>
      </c>
      <c r="E1077" s="315">
        <v>42786</v>
      </c>
      <c r="F1077" s="249" t="s">
        <v>368</v>
      </c>
      <c r="G1077" s="314" t="s">
        <v>534</v>
      </c>
      <c r="H1077" s="473" t="s">
        <v>439</v>
      </c>
      <c r="I1077" s="307">
        <v>123</v>
      </c>
      <c r="J1077" s="307">
        <v>25649</v>
      </c>
      <c r="K1077" s="532">
        <f>ROUND(I1077*J1077,0)</f>
        <v>3154827</v>
      </c>
      <c r="L1077" s="534" t="s">
        <v>223</v>
      </c>
      <c r="M1077" s="534" t="s">
        <v>162</v>
      </c>
      <c r="N1077" s="525" t="str">
        <f>IF(AND('331-CT'!$E$7=TH!H1077,OR(L1077="331",M1077="331")),"331",IF(AND(OR(L1077="131",M1077="131"),H1077='131-CT'!$E$7),"131",""))</f>
        <v/>
      </c>
      <c r="O1077" s="525" t="str">
        <f>IF(AND($B1077&gt;='111'!$N$11,$B1077&lt;='111'!$O$11,OR($L1077=$O$7,$M1077=$O$7)),"x","")</f>
        <v/>
      </c>
      <c r="P1077" s="525" t="str">
        <f>IF(AND($L1077=$O$7,$B1077&lt;'111'!$N$11),"x","")</f>
        <v/>
      </c>
      <c r="Q1077" s="525" t="str">
        <f>IF(AND($M1077=$O$7,$B1077&lt;'111'!$N$11),"x","")</f>
        <v/>
      </c>
      <c r="R1077" s="525" t="str">
        <f>IF(ISERROR(FIND('112'!$M$9,G1077,1)),"",IF((AND(FIND('112'!$M$9,G1077,1)&gt;=1,$B1077&gt;='112'!$N$8,$B1077&lt;='112'!$O$8,OR($L1077='112'!$I$6,$M1077='112'!$I$6))),"x",""))</f>
        <v/>
      </c>
      <c r="S1077" s="525" t="str">
        <f>IF(ISERROR(FIND('112'!$M$9,G1077,1)),"",IF((AND(LEFT(G1077,2)=LEFT('112'!$M$9,2),B1077&lt;'112'!$N$8,$L1077='112'!$I$6)),"x",""))</f>
        <v/>
      </c>
      <c r="T1077" s="525" t="str">
        <f>IF(ISERROR(FIND('112'!$M$9,G1077,1)),"",IF((AND(RIGHT(G1077,2)=RIGHT('112'!$M$9,2),B1077&lt;'112'!$N$8,$M1077='112'!$I$6)),"x",""))</f>
        <v/>
      </c>
      <c r="U1077" s="525" t="str">
        <f>IF(AND(B1077&gt;='IN-NX'!$P$3,B1077&lt;='IN-NX'!$Q$3,'IN-NX'!$D$7=D1077,OR(LEFT(L1077,2)="15",AND(LEFT(M1077,2)&lt;&gt;"15",LEFT(M1077,2)&lt;&gt;"33"))),"x","")</f>
        <v/>
      </c>
      <c r="V1077" s="525" t="str">
        <f>IF(AND(OR(LEFT(TH!L1077,2)="15",LEFT(TH!M1077,2)="15"),'152-CT'!$J$8=TH!F1077),"x","")</f>
        <v/>
      </c>
      <c r="W1077" s="525" t="str">
        <f>IF(AND(OR(LEFT(TH!L1077,2)="15",LEFT(TH!M1077,2)="15"),TK!$E$7=TH!F1077),"x","")</f>
        <v/>
      </c>
      <c r="X1077" s="525" t="str">
        <f>IF(AND('341-CT'!$E$9=H1077,OR(LEFT(L1077,3)=$X$7,LEFT(M1077,3)=$X$7)),"x","")</f>
        <v/>
      </c>
      <c r="Y1077" s="525" t="str">
        <f>IF(OR(TH!L1077=TH!$Y$7,M1077=TH!$Y$7),"x","")</f>
        <v/>
      </c>
      <c r="Z1077" s="525" t="str">
        <f>IF(AND(B1077&lt;=NKC!$N$8,B1077&gt;=NKC!$M$8),"x","")</f>
        <v>x</v>
      </c>
      <c r="AA1077" s="535"/>
    </row>
    <row r="1078" spans="1:28" s="503" customFormat="1" ht="15.75" customHeight="1">
      <c r="A1078" s="517" t="str">
        <f>IF(B1078&lt;&gt;"",IF(AND(B1078&gt;=_TM1,B1078&lt;=_TM2,OR(TH!L1078="1111",TH!M1078="1111")),TH!D1078,""),"")</f>
        <v/>
      </c>
      <c r="B1078" s="531">
        <f t="shared" si="116"/>
        <v>2</v>
      </c>
      <c r="C1078" s="315">
        <f t="shared" si="117"/>
        <v>42786</v>
      </c>
      <c r="D1078" s="315" t="s">
        <v>920</v>
      </c>
      <c r="E1078" s="315">
        <v>42786</v>
      </c>
      <c r="F1078" s="249" t="s">
        <v>501</v>
      </c>
      <c r="G1078" s="314" t="s">
        <v>534</v>
      </c>
      <c r="H1078" s="473" t="s">
        <v>439</v>
      </c>
      <c r="I1078" s="307"/>
      <c r="J1078" s="307"/>
      <c r="K1078" s="532">
        <v>1651420</v>
      </c>
      <c r="L1078" s="534" t="s">
        <v>223</v>
      </c>
      <c r="M1078" s="534" t="s">
        <v>259</v>
      </c>
      <c r="N1078" s="525" t="str">
        <f>IF(AND('331-CT'!$E$7=TH!H1078,OR(L1078="331",M1078="331")),"331",IF(AND(OR(L1078="131",M1078="131"),H1078='131-CT'!$E$7),"131",""))</f>
        <v/>
      </c>
      <c r="O1078" s="525" t="str">
        <f>IF(AND($B1078&gt;='111'!$N$11,$B1078&lt;='111'!$O$11,OR($L1078=$O$7,$M1078=$O$7)),"x","")</f>
        <v/>
      </c>
      <c r="P1078" s="525" t="str">
        <f>IF(AND($L1078=$O$7,$B1078&lt;'111'!$N$11),"x","")</f>
        <v/>
      </c>
      <c r="Q1078" s="525" t="str">
        <f>IF(AND($M1078=$O$7,$B1078&lt;'111'!$N$11),"x","")</f>
        <v/>
      </c>
      <c r="R1078" s="525" t="str">
        <f>IF(ISERROR(FIND('112'!$M$9,G1078,1)),"",IF((AND(FIND('112'!$M$9,G1078,1)&gt;=1,$B1078&gt;='112'!$N$8,$B1078&lt;='112'!$O$8,OR($L1078='112'!$I$6,$M1078='112'!$I$6))),"x",""))</f>
        <v/>
      </c>
      <c r="S1078" s="525" t="str">
        <f>IF(ISERROR(FIND('112'!$M$9,G1078,1)),"",IF((AND(LEFT(G1078,2)=LEFT('112'!$M$9,2),B1078&lt;'112'!$N$8,$L1078='112'!$I$6)),"x",""))</f>
        <v/>
      </c>
      <c r="T1078" s="525" t="str">
        <f>IF(ISERROR(FIND('112'!$M$9,G1078,1)),"",IF((AND(RIGHT(G1078,2)=RIGHT('112'!$M$9,2),B1078&lt;'112'!$N$8,$M1078='112'!$I$6)),"x",""))</f>
        <v/>
      </c>
      <c r="U1078" s="525" t="str">
        <f>IF(AND(B1078&gt;='IN-NX'!$P$3,B1078&lt;='IN-NX'!$Q$3,'IN-NX'!$D$7=D1078,OR(LEFT(L1078,2)="15",AND(LEFT(M1078,2)&lt;&gt;"15",LEFT(M1078,2)&lt;&gt;"33"))),"x","")</f>
        <v/>
      </c>
      <c r="V1078" s="525" t="str">
        <f>IF(AND(OR(LEFT(TH!L1078,2)="15",LEFT(TH!M1078,2)="15"),'152-CT'!$J$8=TH!F1078),"x","")</f>
        <v/>
      </c>
      <c r="W1078" s="525" t="str">
        <f>IF(AND(OR(LEFT(TH!L1078,2)="15",LEFT(TH!M1078,2)="15"),TK!$E$7=TH!F1078),"x","")</f>
        <v/>
      </c>
      <c r="X1078" s="525" t="str">
        <f>IF(AND('341-CT'!$E$9=H1078,OR(LEFT(L1078,3)=$X$7,LEFT(M1078,3)=$X$7)),"x","")</f>
        <v/>
      </c>
      <c r="Y1078" s="525" t="str">
        <f>IF(OR(TH!L1078=TH!$Y$7,M1078=TH!$Y$7),"x","")</f>
        <v/>
      </c>
      <c r="Z1078" s="525" t="str">
        <f>IF(AND(B1078&lt;=NKC!$N$8,B1078&gt;=NKC!$M$8),"x","")</f>
        <v>x</v>
      </c>
      <c r="AA1078" s="535"/>
      <c r="AB1078" s="536"/>
    </row>
    <row r="1079" spans="1:28" s="503" customFormat="1" ht="15.75" customHeight="1">
      <c r="A1079" s="517" t="str">
        <f>IF(B1079&lt;&gt;"",IF(AND(B1079&gt;=_TM1,B1079&lt;=_TM2,OR(TH!L1079="1111",TH!M1079="1111")),TH!D1079,""),"")</f>
        <v/>
      </c>
      <c r="B1079" s="531">
        <f t="shared" si="116"/>
        <v>2</v>
      </c>
      <c r="C1079" s="315">
        <f t="shared" si="117"/>
        <v>42788</v>
      </c>
      <c r="D1079" s="315" t="s">
        <v>921</v>
      </c>
      <c r="E1079" s="315">
        <v>42788</v>
      </c>
      <c r="F1079" s="249" t="s">
        <v>560</v>
      </c>
      <c r="G1079" s="314" t="s">
        <v>535</v>
      </c>
      <c r="H1079" s="472" t="s">
        <v>299</v>
      </c>
      <c r="I1079" s="307">
        <v>500</v>
      </c>
      <c r="J1079" s="307">
        <v>17500</v>
      </c>
      <c r="K1079" s="532">
        <f>ROUND(I1079*J1079,0)</f>
        <v>8750000</v>
      </c>
      <c r="L1079" s="534" t="s">
        <v>223</v>
      </c>
      <c r="M1079" s="534" t="s">
        <v>162</v>
      </c>
      <c r="N1079" s="525" t="str">
        <f>IF(AND('331-CT'!$E$7=TH!H1079,OR(L1079="331",M1079="331")),"331",IF(AND(OR(L1079="131",M1079="131"),H1079='131-CT'!$E$7),"131",""))</f>
        <v/>
      </c>
      <c r="O1079" s="525" t="str">
        <f>IF(AND($B1079&gt;='111'!$N$11,$B1079&lt;='111'!$O$11,OR($L1079=$O$7,$M1079=$O$7)),"x","")</f>
        <v/>
      </c>
      <c r="P1079" s="525" t="str">
        <f>IF(AND($L1079=$O$7,$B1079&lt;'111'!$N$11),"x","")</f>
        <v/>
      </c>
      <c r="Q1079" s="525" t="str">
        <f>IF(AND($M1079=$O$7,$B1079&lt;'111'!$N$11),"x","")</f>
        <v/>
      </c>
      <c r="R1079" s="525" t="str">
        <f>IF(ISERROR(FIND('112'!$M$9,G1079,1)),"",IF((AND(FIND('112'!$M$9,G1079,1)&gt;=1,$B1079&gt;='112'!$N$8,$B1079&lt;='112'!$O$8,OR($L1079='112'!$I$6,$M1079='112'!$I$6))),"x",""))</f>
        <v/>
      </c>
      <c r="S1079" s="525" t="str">
        <f>IF(ISERROR(FIND('112'!$M$9,G1079,1)),"",IF((AND(LEFT(G1079,2)=LEFT('112'!$M$9,2),B1079&lt;'112'!$N$8,$L1079='112'!$I$6)),"x",""))</f>
        <v/>
      </c>
      <c r="T1079" s="525" t="str">
        <f>IF(ISERROR(FIND('112'!$M$9,G1079,1)),"",IF((AND(RIGHT(G1079,2)=RIGHT('112'!$M$9,2),B1079&lt;'112'!$N$8,$M1079='112'!$I$6)),"x",""))</f>
        <v/>
      </c>
      <c r="U1079" s="525" t="str">
        <f>IF(AND(B1079&gt;='IN-NX'!$P$3,B1079&lt;='IN-NX'!$Q$3,'IN-NX'!$D$7=D1079,OR(LEFT(L1079,2)="15",AND(LEFT(M1079,2)&lt;&gt;"15",LEFT(M1079,2)&lt;&gt;"33"))),"x","")</f>
        <v/>
      </c>
      <c r="V1079" s="525" t="str">
        <f>IF(AND(OR(LEFT(TH!L1079,2)="15",LEFT(TH!M1079,2)="15"),'152-CT'!$J$8=TH!F1079),"x","")</f>
        <v/>
      </c>
      <c r="W1079" s="525" t="str">
        <f>IF(AND(OR(LEFT(TH!L1079,2)="15",LEFT(TH!M1079,2)="15"),TK!$E$7=TH!F1079),"x","")</f>
        <v/>
      </c>
      <c r="X1079" s="525" t="str">
        <f>IF(AND('341-CT'!$E$9=H1079,OR(LEFT(L1079,3)=$X$7,LEFT(M1079,3)=$X$7)),"x","")</f>
        <v/>
      </c>
      <c r="Y1079" s="525" t="str">
        <f>IF(OR(TH!L1079=TH!$Y$7,M1079=TH!$Y$7),"x","")</f>
        <v/>
      </c>
      <c r="Z1079" s="525" t="str">
        <f>IF(AND(B1079&lt;=NKC!$N$8,B1079&gt;=NKC!$M$8),"x","")</f>
        <v>x</v>
      </c>
      <c r="AA1079" s="535"/>
    </row>
    <row r="1080" spans="1:28" s="503" customFormat="1" ht="15.75" customHeight="1">
      <c r="A1080" s="517" t="str">
        <f>IF(B1080&lt;&gt;"",IF(AND(B1080&gt;=_TM1,B1080&lt;=_TM2,OR(TH!L1080="1111",TH!M1080="1111")),TH!D1080,""),"")</f>
        <v/>
      </c>
      <c r="B1080" s="531">
        <f t="shared" si="116"/>
        <v>2</v>
      </c>
      <c r="C1080" s="315">
        <f t="shared" si="117"/>
        <v>42788</v>
      </c>
      <c r="D1080" s="315" t="s">
        <v>921</v>
      </c>
      <c r="E1080" s="315">
        <v>42788</v>
      </c>
      <c r="F1080" s="249" t="s">
        <v>501</v>
      </c>
      <c r="G1080" s="314" t="s">
        <v>535</v>
      </c>
      <c r="H1080" s="472" t="s">
        <v>299</v>
      </c>
      <c r="I1080" s="307"/>
      <c r="J1080" s="307"/>
      <c r="K1080" s="532">
        <v>875000</v>
      </c>
      <c r="L1080" s="534" t="s">
        <v>223</v>
      </c>
      <c r="M1080" s="534" t="s">
        <v>259</v>
      </c>
      <c r="N1080" s="525" t="str">
        <f>IF(AND('331-CT'!$E$7=TH!H1080,OR(L1080="331",M1080="331")),"331",IF(AND(OR(L1080="131",M1080="131"),H1080='131-CT'!$E$7),"131",""))</f>
        <v/>
      </c>
      <c r="O1080" s="525" t="str">
        <f>IF(AND($B1080&gt;='111'!$N$11,$B1080&lt;='111'!$O$11,OR($L1080=$O$7,$M1080=$O$7)),"x","")</f>
        <v/>
      </c>
      <c r="P1080" s="525" t="str">
        <f>IF(AND($L1080=$O$7,$B1080&lt;'111'!$N$11),"x","")</f>
        <v/>
      </c>
      <c r="Q1080" s="525" t="str">
        <f>IF(AND($M1080=$O$7,$B1080&lt;'111'!$N$11),"x","")</f>
        <v/>
      </c>
      <c r="R1080" s="525" t="str">
        <f>IF(ISERROR(FIND('112'!$M$9,G1080,1)),"",IF((AND(FIND('112'!$M$9,G1080,1)&gt;=1,$B1080&gt;='112'!$N$8,$B1080&lt;='112'!$O$8,OR($L1080='112'!$I$6,$M1080='112'!$I$6))),"x",""))</f>
        <v/>
      </c>
      <c r="S1080" s="525" t="str">
        <f>IF(ISERROR(FIND('112'!$M$9,G1080,1)),"",IF((AND(LEFT(G1080,2)=LEFT('112'!$M$9,2),B1080&lt;'112'!$N$8,$L1080='112'!$I$6)),"x",""))</f>
        <v/>
      </c>
      <c r="T1080" s="525" t="str">
        <f>IF(ISERROR(FIND('112'!$M$9,G1080,1)),"",IF((AND(RIGHT(G1080,2)=RIGHT('112'!$M$9,2),B1080&lt;'112'!$N$8,$M1080='112'!$I$6)),"x",""))</f>
        <v/>
      </c>
      <c r="U1080" s="525" t="str">
        <f>IF(AND(B1080&gt;='IN-NX'!$P$3,B1080&lt;='IN-NX'!$Q$3,'IN-NX'!$D$7=D1080,OR(LEFT(L1080,2)="15",AND(LEFT(M1080,2)&lt;&gt;"15",LEFT(M1080,2)&lt;&gt;"33"))),"x","")</f>
        <v/>
      </c>
      <c r="V1080" s="525" t="str">
        <f>IF(AND(OR(LEFT(TH!L1080,2)="15",LEFT(TH!M1080,2)="15"),'152-CT'!$J$8=TH!F1080),"x","")</f>
        <v/>
      </c>
      <c r="W1080" s="525" t="str">
        <f>IF(AND(OR(LEFT(TH!L1080,2)="15",LEFT(TH!M1080,2)="15"),TK!$E$7=TH!F1080),"x","")</f>
        <v/>
      </c>
      <c r="X1080" s="525" t="str">
        <f>IF(AND('341-CT'!$E$9=H1080,OR(LEFT(L1080,3)=$X$7,LEFT(M1080,3)=$X$7)),"x","")</f>
        <v/>
      </c>
      <c r="Y1080" s="525" t="str">
        <f>IF(OR(TH!L1080=TH!$Y$7,M1080=TH!$Y$7),"x","")</f>
        <v/>
      </c>
      <c r="Z1080" s="525" t="str">
        <f>IF(AND(B1080&lt;=NKC!$N$8,B1080&gt;=NKC!$M$8),"x","")</f>
        <v>x</v>
      </c>
      <c r="AA1080" s="535"/>
      <c r="AB1080" s="536"/>
    </row>
    <row r="1081" spans="1:28" s="503" customFormat="1" ht="15.75" customHeight="1">
      <c r="A1081" s="517" t="str">
        <f>IF(B1081&lt;&gt;"",IF(AND(B1081&gt;=_TM1,B1081&lt;=_TM2,OR(TH!L1081="1111",TH!M1081="1111")),TH!D1081,""),"")</f>
        <v/>
      </c>
      <c r="B1081" s="531">
        <f t="shared" si="116"/>
        <v>2</v>
      </c>
      <c r="C1081" s="315">
        <f t="shared" si="117"/>
        <v>42788</v>
      </c>
      <c r="D1081" s="315" t="s">
        <v>922</v>
      </c>
      <c r="E1081" s="315">
        <v>42788</v>
      </c>
      <c r="F1081" s="249" t="s">
        <v>561</v>
      </c>
      <c r="G1081" s="314" t="s">
        <v>536</v>
      </c>
      <c r="H1081" s="473" t="s">
        <v>562</v>
      </c>
      <c r="I1081" s="307">
        <v>500</v>
      </c>
      <c r="J1081" s="307">
        <v>16000</v>
      </c>
      <c r="K1081" s="532">
        <f>ROUND(I1081*J1081,0)</f>
        <v>8000000</v>
      </c>
      <c r="L1081" s="534" t="s">
        <v>223</v>
      </c>
      <c r="M1081" s="534" t="s">
        <v>162</v>
      </c>
      <c r="N1081" s="525" t="str">
        <f>IF(AND('331-CT'!$E$7=TH!H1081,OR(L1081="331",M1081="331")),"331",IF(AND(OR(L1081="131",M1081="131"),H1081='131-CT'!$E$7),"131",""))</f>
        <v/>
      </c>
      <c r="O1081" s="525" t="str">
        <f>IF(AND($B1081&gt;='111'!$N$11,$B1081&lt;='111'!$O$11,OR($L1081=$O$7,$M1081=$O$7)),"x","")</f>
        <v/>
      </c>
      <c r="P1081" s="525" t="str">
        <f>IF(AND($L1081=$O$7,$B1081&lt;'111'!$N$11),"x","")</f>
        <v/>
      </c>
      <c r="Q1081" s="525" t="str">
        <f>IF(AND($M1081=$O$7,$B1081&lt;'111'!$N$11),"x","")</f>
        <v/>
      </c>
      <c r="R1081" s="525" t="str">
        <f>IF(ISERROR(FIND('112'!$M$9,G1081,1)),"",IF((AND(FIND('112'!$M$9,G1081,1)&gt;=1,$B1081&gt;='112'!$N$8,$B1081&lt;='112'!$O$8,OR($L1081='112'!$I$6,$M1081='112'!$I$6))),"x",""))</f>
        <v/>
      </c>
      <c r="S1081" s="525" t="str">
        <f>IF(ISERROR(FIND('112'!$M$9,G1081,1)),"",IF((AND(LEFT(G1081,2)=LEFT('112'!$M$9,2),B1081&lt;'112'!$N$8,$L1081='112'!$I$6)),"x",""))</f>
        <v/>
      </c>
      <c r="T1081" s="525" t="str">
        <f>IF(ISERROR(FIND('112'!$M$9,G1081,1)),"",IF((AND(RIGHT(G1081,2)=RIGHT('112'!$M$9,2),B1081&lt;'112'!$N$8,$M1081='112'!$I$6)),"x",""))</f>
        <v/>
      </c>
      <c r="U1081" s="525" t="str">
        <f>IF(AND(B1081&gt;='IN-NX'!$P$3,B1081&lt;='IN-NX'!$Q$3,'IN-NX'!$D$7=D1081,OR(LEFT(L1081,2)="15",AND(LEFT(M1081,2)&lt;&gt;"15",LEFT(M1081,2)&lt;&gt;"33"))),"x","")</f>
        <v/>
      </c>
      <c r="V1081" s="525" t="str">
        <f>IF(AND(OR(LEFT(TH!L1081,2)="15",LEFT(TH!M1081,2)="15"),'152-CT'!$J$8=TH!F1081),"x","")</f>
        <v/>
      </c>
      <c r="W1081" s="525" t="str">
        <f>IF(AND(OR(LEFT(TH!L1081,2)="15",LEFT(TH!M1081,2)="15"),TK!$E$7=TH!F1081),"x","")</f>
        <v/>
      </c>
      <c r="X1081" s="525" t="str">
        <f>IF(AND('341-CT'!$E$9=H1081,OR(LEFT(L1081,3)=$X$7,LEFT(M1081,3)=$X$7)),"x","")</f>
        <v/>
      </c>
      <c r="Y1081" s="525" t="str">
        <f>IF(OR(TH!L1081=TH!$Y$7,M1081=TH!$Y$7),"x","")</f>
        <v/>
      </c>
      <c r="Z1081" s="525" t="str">
        <f>IF(AND(B1081&lt;=NKC!$N$8,B1081&gt;=NKC!$M$8),"x","")</f>
        <v>x</v>
      </c>
      <c r="AA1081" s="535"/>
    </row>
    <row r="1082" spans="1:28" s="503" customFormat="1" ht="15.75" customHeight="1">
      <c r="A1082" s="517" t="str">
        <f>IF(B1082&lt;&gt;"",IF(AND(B1082&gt;=_TM1,B1082&lt;=_TM2,OR(TH!L1082="1111",TH!M1082="1111")),TH!D1082,""),"")</f>
        <v/>
      </c>
      <c r="B1082" s="531">
        <f t="shared" si="116"/>
        <v>2</v>
      </c>
      <c r="C1082" s="315">
        <f t="shared" si="117"/>
        <v>42788</v>
      </c>
      <c r="D1082" s="315" t="s">
        <v>922</v>
      </c>
      <c r="E1082" s="315">
        <v>42788</v>
      </c>
      <c r="F1082" s="249" t="s">
        <v>501</v>
      </c>
      <c r="G1082" s="314" t="s">
        <v>536</v>
      </c>
      <c r="H1082" s="473" t="s">
        <v>562</v>
      </c>
      <c r="I1082" s="307"/>
      <c r="J1082" s="307"/>
      <c r="K1082" s="532">
        <v>800000</v>
      </c>
      <c r="L1082" s="534" t="s">
        <v>223</v>
      </c>
      <c r="M1082" s="534" t="s">
        <v>259</v>
      </c>
      <c r="N1082" s="525" t="str">
        <f>IF(AND('331-CT'!$E$7=TH!H1082,OR(L1082="331",M1082="331")),"331",IF(AND(OR(L1082="131",M1082="131"),H1082='131-CT'!$E$7),"131",""))</f>
        <v/>
      </c>
      <c r="O1082" s="525" t="str">
        <f>IF(AND($B1082&gt;='111'!$N$11,$B1082&lt;='111'!$O$11,OR($L1082=$O$7,$M1082=$O$7)),"x","")</f>
        <v/>
      </c>
      <c r="P1082" s="525" t="str">
        <f>IF(AND($L1082=$O$7,$B1082&lt;'111'!$N$11),"x","")</f>
        <v/>
      </c>
      <c r="Q1082" s="525" t="str">
        <f>IF(AND($M1082=$O$7,$B1082&lt;'111'!$N$11),"x","")</f>
        <v/>
      </c>
      <c r="R1082" s="525" t="str">
        <f>IF(ISERROR(FIND('112'!$M$9,G1082,1)),"",IF((AND(FIND('112'!$M$9,G1082,1)&gt;=1,$B1082&gt;='112'!$N$8,$B1082&lt;='112'!$O$8,OR($L1082='112'!$I$6,$M1082='112'!$I$6))),"x",""))</f>
        <v/>
      </c>
      <c r="S1082" s="525" t="str">
        <f>IF(ISERROR(FIND('112'!$M$9,G1082,1)),"",IF((AND(LEFT(G1082,2)=LEFT('112'!$M$9,2),B1082&lt;'112'!$N$8,$L1082='112'!$I$6)),"x",""))</f>
        <v/>
      </c>
      <c r="T1082" s="525" t="str">
        <f>IF(ISERROR(FIND('112'!$M$9,G1082,1)),"",IF((AND(RIGHT(G1082,2)=RIGHT('112'!$M$9,2),B1082&lt;'112'!$N$8,$M1082='112'!$I$6)),"x",""))</f>
        <v/>
      </c>
      <c r="U1082" s="525" t="str">
        <f>IF(AND(B1082&gt;='IN-NX'!$P$3,B1082&lt;='IN-NX'!$Q$3,'IN-NX'!$D$7=D1082,OR(LEFT(L1082,2)="15",AND(LEFT(M1082,2)&lt;&gt;"15",LEFT(M1082,2)&lt;&gt;"33"))),"x","")</f>
        <v/>
      </c>
      <c r="V1082" s="525" t="str">
        <f>IF(AND(OR(LEFT(TH!L1082,2)="15",LEFT(TH!M1082,2)="15"),'152-CT'!$J$8=TH!F1082),"x","")</f>
        <v/>
      </c>
      <c r="W1082" s="525" t="str">
        <f>IF(AND(OR(LEFT(TH!L1082,2)="15",LEFT(TH!M1082,2)="15"),TK!$E$7=TH!F1082),"x","")</f>
        <v/>
      </c>
      <c r="X1082" s="525" t="str">
        <f>IF(AND('341-CT'!$E$9=H1082,OR(LEFT(L1082,3)=$X$7,LEFT(M1082,3)=$X$7)),"x","")</f>
        <v/>
      </c>
      <c r="Y1082" s="525" t="str">
        <f>IF(OR(TH!L1082=TH!$Y$7,M1082=TH!$Y$7),"x","")</f>
        <v/>
      </c>
      <c r="Z1082" s="525" t="str">
        <f>IF(AND(B1082&lt;=NKC!$N$8,B1082&gt;=NKC!$M$8),"x","")</f>
        <v>x</v>
      </c>
      <c r="AA1082" s="535"/>
      <c r="AB1082" s="536"/>
    </row>
    <row r="1083" spans="1:28" s="503" customFormat="1" ht="15.75" customHeight="1">
      <c r="A1083" s="517" t="str">
        <f>IF(B1083&lt;&gt;"",IF(AND(B1083&gt;=_TM1,B1083&lt;=_TM2,OR(TH!L1083="1111",TH!M1083="1111")),TH!D1083,""),"")</f>
        <v/>
      </c>
      <c r="B1083" s="531">
        <f t="shared" si="116"/>
        <v>2</v>
      </c>
      <c r="C1083" s="315">
        <f t="shared" si="117"/>
        <v>42789</v>
      </c>
      <c r="D1083" s="315" t="s">
        <v>923</v>
      </c>
      <c r="E1083" s="315">
        <v>42789</v>
      </c>
      <c r="F1083" s="249" t="s">
        <v>503</v>
      </c>
      <c r="G1083" s="314" t="s">
        <v>537</v>
      </c>
      <c r="H1083" s="473" t="s">
        <v>375</v>
      </c>
      <c r="I1083" s="307">
        <v>1800</v>
      </c>
      <c r="J1083" s="307">
        <v>8500</v>
      </c>
      <c r="K1083" s="532">
        <f>ROUND(I1083*J1083,0)</f>
        <v>15300000</v>
      </c>
      <c r="L1083" s="534" t="s">
        <v>223</v>
      </c>
      <c r="M1083" s="534" t="s">
        <v>162</v>
      </c>
      <c r="N1083" s="525" t="str">
        <f>IF(AND('331-CT'!$E$7=TH!H1083,OR(L1083="331",M1083="331")),"331",IF(AND(OR(L1083="131",M1083="131"),H1083='131-CT'!$E$7),"131",""))</f>
        <v/>
      </c>
      <c r="O1083" s="525" t="str">
        <f>IF(AND($B1083&gt;='111'!$N$11,$B1083&lt;='111'!$O$11,OR($L1083=$O$7,$M1083=$O$7)),"x","")</f>
        <v/>
      </c>
      <c r="P1083" s="525" t="str">
        <f>IF(AND($L1083=$O$7,$B1083&lt;'111'!$N$11),"x","")</f>
        <v/>
      </c>
      <c r="Q1083" s="525" t="str">
        <f>IF(AND($M1083=$O$7,$B1083&lt;'111'!$N$11),"x","")</f>
        <v/>
      </c>
      <c r="R1083" s="525" t="str">
        <f>IF(ISERROR(FIND('112'!$M$9,G1083,1)),"",IF((AND(FIND('112'!$M$9,G1083,1)&gt;=1,$B1083&gt;='112'!$N$8,$B1083&lt;='112'!$O$8,OR($L1083='112'!$I$6,$M1083='112'!$I$6))),"x",""))</f>
        <v/>
      </c>
      <c r="S1083" s="525" t="str">
        <f>IF(ISERROR(FIND('112'!$M$9,G1083,1)),"",IF((AND(LEFT(G1083,2)=LEFT('112'!$M$9,2),B1083&lt;'112'!$N$8,$L1083='112'!$I$6)),"x",""))</f>
        <v/>
      </c>
      <c r="T1083" s="525" t="str">
        <f>IF(ISERROR(FIND('112'!$M$9,G1083,1)),"",IF((AND(RIGHT(G1083,2)=RIGHT('112'!$M$9,2),B1083&lt;'112'!$N$8,$M1083='112'!$I$6)),"x",""))</f>
        <v/>
      </c>
      <c r="U1083" s="525" t="str">
        <f>IF(AND(B1083&gt;='IN-NX'!$P$3,B1083&lt;='IN-NX'!$Q$3,'IN-NX'!$D$7=D1083,OR(LEFT(L1083,2)="15",AND(LEFT(M1083,2)&lt;&gt;"15",LEFT(M1083,2)&lt;&gt;"33"))),"x","")</f>
        <v/>
      </c>
      <c r="V1083" s="525" t="str">
        <f>IF(AND(OR(LEFT(TH!L1083,2)="15",LEFT(TH!M1083,2)="15"),'152-CT'!$J$8=TH!F1083),"x","")</f>
        <v/>
      </c>
      <c r="W1083" s="525" t="str">
        <f>IF(AND(OR(LEFT(TH!L1083,2)="15",LEFT(TH!M1083,2)="15"),TK!$E$7=TH!F1083),"x","")</f>
        <v/>
      </c>
      <c r="X1083" s="525" t="str">
        <f>IF(AND('341-CT'!$E$9=H1083,OR(LEFT(L1083,3)=$X$7,LEFT(M1083,3)=$X$7)),"x","")</f>
        <v/>
      </c>
      <c r="Y1083" s="525" t="str">
        <f>IF(OR(TH!L1083=TH!$Y$7,M1083=TH!$Y$7),"x","")</f>
        <v/>
      </c>
      <c r="Z1083" s="525" t="str">
        <f>IF(AND(B1083&lt;=NKC!$N$8,B1083&gt;=NKC!$M$8),"x","")</f>
        <v>x</v>
      </c>
      <c r="AA1083" s="535"/>
    </row>
    <row r="1084" spans="1:28" s="503" customFormat="1" ht="15.75" customHeight="1">
      <c r="A1084" s="517" t="str">
        <f>IF(B1084&lt;&gt;"",IF(AND(B1084&gt;=_TM1,B1084&lt;=_TM2,OR(TH!L1084="1111",TH!M1084="1111")),TH!D1084,""),"")</f>
        <v/>
      </c>
      <c r="B1084" s="531">
        <f t="shared" si="116"/>
        <v>2</v>
      </c>
      <c r="C1084" s="315">
        <f t="shared" si="117"/>
        <v>42789</v>
      </c>
      <c r="D1084" s="315" t="s">
        <v>923</v>
      </c>
      <c r="E1084" s="315">
        <v>42789</v>
      </c>
      <c r="F1084" s="249" t="s">
        <v>501</v>
      </c>
      <c r="G1084" s="314" t="s">
        <v>537</v>
      </c>
      <c r="H1084" s="473" t="s">
        <v>375</v>
      </c>
      <c r="I1084" s="307"/>
      <c r="J1084" s="307"/>
      <c r="K1084" s="532">
        <v>1530000</v>
      </c>
      <c r="L1084" s="534" t="s">
        <v>223</v>
      </c>
      <c r="M1084" s="534" t="s">
        <v>259</v>
      </c>
      <c r="N1084" s="525" t="str">
        <f>IF(AND('331-CT'!$E$7=TH!H1084,OR(L1084="331",M1084="331")),"331",IF(AND(OR(L1084="131",M1084="131"),H1084='131-CT'!$E$7),"131",""))</f>
        <v/>
      </c>
      <c r="O1084" s="525" t="str">
        <f>IF(AND($B1084&gt;='111'!$N$11,$B1084&lt;='111'!$O$11,OR($L1084=$O$7,$M1084=$O$7)),"x","")</f>
        <v/>
      </c>
      <c r="P1084" s="525" t="str">
        <f>IF(AND($L1084=$O$7,$B1084&lt;'111'!$N$11),"x","")</f>
        <v/>
      </c>
      <c r="Q1084" s="525" t="str">
        <f>IF(AND($M1084=$O$7,$B1084&lt;'111'!$N$11),"x","")</f>
        <v/>
      </c>
      <c r="R1084" s="525" t="str">
        <f>IF(ISERROR(FIND('112'!$M$9,G1084,1)),"",IF((AND(FIND('112'!$M$9,G1084,1)&gt;=1,$B1084&gt;='112'!$N$8,$B1084&lt;='112'!$O$8,OR($L1084='112'!$I$6,$M1084='112'!$I$6))),"x",""))</f>
        <v/>
      </c>
      <c r="S1084" s="525" t="str">
        <f>IF(ISERROR(FIND('112'!$M$9,G1084,1)),"",IF((AND(LEFT(G1084,2)=LEFT('112'!$M$9,2),B1084&lt;'112'!$N$8,$L1084='112'!$I$6)),"x",""))</f>
        <v/>
      </c>
      <c r="T1084" s="525" t="str">
        <f>IF(ISERROR(FIND('112'!$M$9,G1084,1)),"",IF((AND(RIGHT(G1084,2)=RIGHT('112'!$M$9,2),B1084&lt;'112'!$N$8,$M1084='112'!$I$6)),"x",""))</f>
        <v/>
      </c>
      <c r="U1084" s="525" t="str">
        <f>IF(AND(B1084&gt;='IN-NX'!$P$3,B1084&lt;='IN-NX'!$Q$3,'IN-NX'!$D$7=D1084,OR(LEFT(L1084,2)="15",AND(LEFT(M1084,2)&lt;&gt;"15",LEFT(M1084,2)&lt;&gt;"33"))),"x","")</f>
        <v/>
      </c>
      <c r="V1084" s="525" t="str">
        <f>IF(AND(OR(LEFT(TH!L1084,2)="15",LEFT(TH!M1084,2)="15"),'152-CT'!$J$8=TH!F1084),"x","")</f>
        <v/>
      </c>
      <c r="W1084" s="525" t="str">
        <f>IF(AND(OR(LEFT(TH!L1084,2)="15",LEFT(TH!M1084,2)="15"),TK!$E$7=TH!F1084),"x","")</f>
        <v/>
      </c>
      <c r="X1084" s="525" t="str">
        <f>IF(AND('341-CT'!$E$9=H1084,OR(LEFT(L1084,3)=$X$7,LEFT(M1084,3)=$X$7)),"x","")</f>
        <v/>
      </c>
      <c r="Y1084" s="525" t="str">
        <f>IF(OR(TH!L1084=TH!$Y$7,M1084=TH!$Y$7),"x","")</f>
        <v/>
      </c>
      <c r="Z1084" s="525" t="str">
        <f>IF(AND(B1084&lt;=NKC!$N$8,B1084&gt;=NKC!$M$8),"x","")</f>
        <v>x</v>
      </c>
      <c r="AA1084" s="535"/>
      <c r="AB1084" s="536"/>
    </row>
    <row r="1085" spans="1:28" s="503" customFormat="1" ht="15.75" customHeight="1">
      <c r="A1085" s="517" t="str">
        <f>IF(B1085&lt;&gt;"",IF(AND(B1085&gt;=_TM1,B1085&lt;=_TM2,OR(TH!L1085="1111",TH!M1085="1111")),TH!D1085,""),"")</f>
        <v/>
      </c>
      <c r="B1085" s="531">
        <f t="shared" si="116"/>
        <v>2</v>
      </c>
      <c r="C1085" s="315">
        <f t="shared" si="117"/>
        <v>42789</v>
      </c>
      <c r="D1085" s="315" t="s">
        <v>924</v>
      </c>
      <c r="E1085" s="315">
        <v>42789</v>
      </c>
      <c r="F1085" s="249" t="s">
        <v>274</v>
      </c>
      <c r="G1085" s="314" t="s">
        <v>538</v>
      </c>
      <c r="H1085" s="473" t="s">
        <v>379</v>
      </c>
      <c r="I1085" s="307">
        <v>1063</v>
      </c>
      <c r="J1085" s="307">
        <v>10500</v>
      </c>
      <c r="K1085" s="532">
        <f>ROUND(I1085*J1085,0)</f>
        <v>11161500</v>
      </c>
      <c r="L1085" s="534" t="s">
        <v>223</v>
      </c>
      <c r="M1085" s="534" t="s">
        <v>162</v>
      </c>
      <c r="N1085" s="525" t="str">
        <f>IF(AND('331-CT'!$E$7=TH!H1085,OR(L1085="331",M1085="331")),"331",IF(AND(OR(L1085="131",M1085="131"),H1085='131-CT'!$E$7),"131",""))</f>
        <v/>
      </c>
      <c r="O1085" s="525" t="str">
        <f>IF(AND($B1085&gt;='111'!$N$11,$B1085&lt;='111'!$O$11,OR($L1085=$O$7,$M1085=$O$7)),"x","")</f>
        <v/>
      </c>
      <c r="P1085" s="525" t="str">
        <f>IF(AND($L1085=$O$7,$B1085&lt;'111'!$N$11),"x","")</f>
        <v/>
      </c>
      <c r="Q1085" s="525" t="str">
        <f>IF(AND($M1085=$O$7,$B1085&lt;'111'!$N$11),"x","")</f>
        <v/>
      </c>
      <c r="R1085" s="525" t="str">
        <f>IF(ISERROR(FIND('112'!$M$9,G1085,1)),"",IF((AND(FIND('112'!$M$9,G1085,1)&gt;=1,$B1085&gt;='112'!$N$8,$B1085&lt;='112'!$O$8,OR($L1085='112'!$I$6,$M1085='112'!$I$6))),"x",""))</f>
        <v/>
      </c>
      <c r="S1085" s="525" t="str">
        <f>IF(ISERROR(FIND('112'!$M$9,G1085,1)),"",IF((AND(LEFT(G1085,2)=LEFT('112'!$M$9,2),B1085&lt;'112'!$N$8,$L1085='112'!$I$6)),"x",""))</f>
        <v/>
      </c>
      <c r="T1085" s="525" t="str">
        <f>IF(ISERROR(FIND('112'!$M$9,G1085,1)),"",IF((AND(RIGHT(G1085,2)=RIGHT('112'!$M$9,2),B1085&lt;'112'!$N$8,$M1085='112'!$I$6)),"x",""))</f>
        <v/>
      </c>
      <c r="U1085" s="525" t="str">
        <f>IF(AND(B1085&gt;='IN-NX'!$P$3,B1085&lt;='IN-NX'!$Q$3,'IN-NX'!$D$7=D1085,OR(LEFT(L1085,2)="15",AND(LEFT(M1085,2)&lt;&gt;"15",LEFT(M1085,2)&lt;&gt;"33"))),"x","")</f>
        <v/>
      </c>
      <c r="V1085" s="525" t="str">
        <f>IF(AND(OR(LEFT(TH!L1085,2)="15",LEFT(TH!M1085,2)="15"),'152-CT'!$J$8=TH!F1085),"x","")</f>
        <v/>
      </c>
      <c r="W1085" s="525" t="str">
        <f>IF(AND(OR(LEFT(TH!L1085,2)="15",LEFT(TH!M1085,2)="15"),TK!$E$7=TH!F1085),"x","")</f>
        <v/>
      </c>
      <c r="X1085" s="525" t="str">
        <f>IF(AND('341-CT'!$E$9=H1085,OR(LEFT(L1085,3)=$X$7,LEFT(M1085,3)=$X$7)),"x","")</f>
        <v/>
      </c>
      <c r="Y1085" s="525" t="str">
        <f>IF(OR(TH!L1085=TH!$Y$7,M1085=TH!$Y$7),"x","")</f>
        <v/>
      </c>
      <c r="Z1085" s="525" t="str">
        <f>IF(AND(B1085&lt;=NKC!$N$8,B1085&gt;=NKC!$M$8),"x","")</f>
        <v>x</v>
      </c>
      <c r="AA1085" s="535"/>
    </row>
    <row r="1086" spans="1:28" s="503" customFormat="1" ht="15.75" customHeight="1">
      <c r="A1086" s="517" t="str">
        <f>IF(B1086&lt;&gt;"",IF(AND(B1086&gt;=_TM1,B1086&lt;=_TM2,OR(TH!L1086="1111",TH!M1086="1111")),TH!D1086,""),"")</f>
        <v/>
      </c>
      <c r="B1086" s="531">
        <f t="shared" si="116"/>
        <v>2</v>
      </c>
      <c r="C1086" s="315">
        <f t="shared" si="117"/>
        <v>42789</v>
      </c>
      <c r="D1086" s="315" t="s">
        <v>924</v>
      </c>
      <c r="E1086" s="315">
        <v>42789</v>
      </c>
      <c r="F1086" s="249" t="s">
        <v>501</v>
      </c>
      <c r="G1086" s="314" t="s">
        <v>538</v>
      </c>
      <c r="H1086" s="473" t="s">
        <v>379</v>
      </c>
      <c r="I1086" s="307"/>
      <c r="J1086" s="307"/>
      <c r="K1086" s="532">
        <v>1116150</v>
      </c>
      <c r="L1086" s="534" t="s">
        <v>223</v>
      </c>
      <c r="M1086" s="534" t="s">
        <v>259</v>
      </c>
      <c r="N1086" s="525" t="str">
        <f>IF(AND('331-CT'!$E$7=TH!H1086,OR(L1086="331",M1086="331")),"331",IF(AND(OR(L1086="131",M1086="131"),H1086='131-CT'!$E$7),"131",""))</f>
        <v/>
      </c>
      <c r="O1086" s="525" t="str">
        <f>IF(AND($B1086&gt;='111'!$N$11,$B1086&lt;='111'!$O$11,OR($L1086=$O$7,$M1086=$O$7)),"x","")</f>
        <v/>
      </c>
      <c r="P1086" s="525" t="str">
        <f>IF(AND($L1086=$O$7,$B1086&lt;'111'!$N$11),"x","")</f>
        <v/>
      </c>
      <c r="Q1086" s="525" t="str">
        <f>IF(AND($M1086=$O$7,$B1086&lt;'111'!$N$11),"x","")</f>
        <v/>
      </c>
      <c r="R1086" s="525" t="str">
        <f>IF(ISERROR(FIND('112'!$M$9,G1086,1)),"",IF((AND(FIND('112'!$M$9,G1086,1)&gt;=1,$B1086&gt;='112'!$N$8,$B1086&lt;='112'!$O$8,OR($L1086='112'!$I$6,$M1086='112'!$I$6))),"x",""))</f>
        <v/>
      </c>
      <c r="S1086" s="525" t="str">
        <f>IF(ISERROR(FIND('112'!$M$9,G1086,1)),"",IF((AND(LEFT(G1086,2)=LEFT('112'!$M$9,2),B1086&lt;'112'!$N$8,$L1086='112'!$I$6)),"x",""))</f>
        <v/>
      </c>
      <c r="T1086" s="525" t="str">
        <f>IF(ISERROR(FIND('112'!$M$9,G1086,1)),"",IF((AND(RIGHT(G1086,2)=RIGHT('112'!$M$9,2),B1086&lt;'112'!$N$8,$M1086='112'!$I$6)),"x",""))</f>
        <v/>
      </c>
      <c r="U1086" s="525" t="str">
        <f>IF(AND(B1086&gt;='IN-NX'!$P$3,B1086&lt;='IN-NX'!$Q$3,'IN-NX'!$D$7=D1086,OR(LEFT(L1086,2)="15",AND(LEFT(M1086,2)&lt;&gt;"15",LEFT(M1086,2)&lt;&gt;"33"))),"x","")</f>
        <v/>
      </c>
      <c r="V1086" s="525" t="str">
        <f>IF(AND(OR(LEFT(TH!L1086,2)="15",LEFT(TH!M1086,2)="15"),'152-CT'!$J$8=TH!F1086),"x","")</f>
        <v/>
      </c>
      <c r="W1086" s="525" t="str">
        <f>IF(AND(OR(LEFT(TH!L1086,2)="15",LEFT(TH!M1086,2)="15"),TK!$E$7=TH!F1086),"x","")</f>
        <v/>
      </c>
      <c r="X1086" s="525" t="str">
        <f>IF(AND('341-CT'!$E$9=H1086,OR(LEFT(L1086,3)=$X$7,LEFT(M1086,3)=$X$7)),"x","")</f>
        <v/>
      </c>
      <c r="Y1086" s="525" t="str">
        <f>IF(OR(TH!L1086=TH!$Y$7,M1086=TH!$Y$7),"x","")</f>
        <v/>
      </c>
      <c r="Z1086" s="525" t="str">
        <f>IF(AND(B1086&lt;=NKC!$N$8,B1086&gt;=NKC!$M$8),"x","")</f>
        <v>x</v>
      </c>
      <c r="AA1086" s="535"/>
      <c r="AB1086" s="536"/>
    </row>
    <row r="1087" spans="1:28" s="503" customFormat="1" ht="15.75" customHeight="1">
      <c r="A1087" s="517">
        <f>IF(B1087&lt;&gt;"",IF(AND(B1087&gt;=_TM1,B1087&lt;=_TM2,OR(TH!L1087="1111",TH!M1087="1111")),TH!D1087,""),"")</f>
        <v>0</v>
      </c>
      <c r="B1087" s="531">
        <f t="shared" si="116"/>
        <v>2</v>
      </c>
      <c r="C1087" s="315">
        <f t="shared" si="117"/>
        <v>42790</v>
      </c>
      <c r="D1087" s="537"/>
      <c r="E1087" s="315">
        <v>42790</v>
      </c>
      <c r="F1087" s="249" t="s">
        <v>1099</v>
      </c>
      <c r="G1087" s="314" t="s">
        <v>539</v>
      </c>
      <c r="H1087" s="473" t="s">
        <v>511</v>
      </c>
      <c r="I1087" s="307"/>
      <c r="J1087" s="307"/>
      <c r="K1087" s="532">
        <v>5500000</v>
      </c>
      <c r="L1087" s="534" t="s">
        <v>45</v>
      </c>
      <c r="M1087" s="534" t="s">
        <v>275</v>
      </c>
      <c r="N1087" s="525" t="str">
        <f>IF(AND('331-CT'!$E$7=TH!H1087,OR(L1087="331",M1087="331")),"331",IF(AND(OR(L1087="131",M1087="131"),H1087='131-CT'!$E$7),"131",""))</f>
        <v/>
      </c>
      <c r="O1087" s="525" t="str">
        <f>IF(AND($B1087&gt;='111'!$N$11,$B1087&lt;='111'!$O$11,OR($L1087=$O$7,$M1087=$O$7)),"x","")</f>
        <v/>
      </c>
      <c r="P1087" s="525" t="str">
        <f>IF(AND($L1087=$O$7,$B1087&lt;'111'!$N$11),"x","")</f>
        <v>x</v>
      </c>
      <c r="Q1087" s="525" t="str">
        <f>IF(AND($M1087=$O$7,$B1087&lt;'111'!$N$11),"x","")</f>
        <v/>
      </c>
      <c r="R1087" s="525" t="str">
        <f>IF(ISERROR(FIND('112'!$M$9,G1087,1)),"",IF((AND(FIND('112'!$M$9,G1087,1)&gt;=1,$B1087&gt;='112'!$N$8,$B1087&lt;='112'!$O$8,OR($L1087='112'!$I$6,$M1087='112'!$I$6))),"x",""))</f>
        <v/>
      </c>
      <c r="S1087" s="525" t="str">
        <f>IF(ISERROR(FIND('112'!$M$9,G1087,1)),"",IF((AND(LEFT(G1087,2)=LEFT('112'!$M$9,2),B1087&lt;'112'!$N$8,$L1087='112'!$I$6)),"x",""))</f>
        <v/>
      </c>
      <c r="T1087" s="525" t="str">
        <f>IF(ISERROR(FIND('112'!$M$9,G1087,1)),"",IF((AND(RIGHT(G1087,2)=RIGHT('112'!$M$9,2),B1087&lt;'112'!$N$8,$M1087='112'!$I$6)),"x",""))</f>
        <v/>
      </c>
      <c r="U1087" s="525" t="str">
        <f>IF(AND(B1087&gt;='IN-NX'!$P$3,B1087&lt;='IN-NX'!$Q$3,'IN-NX'!$D$7=D1087,OR(LEFT(L1087,2)="15",AND(LEFT(M1087,2)&lt;&gt;"15",LEFT(M1087,2)&lt;&gt;"33"))),"x","")</f>
        <v/>
      </c>
      <c r="V1087" s="525" t="str">
        <f>IF(AND(OR(LEFT(TH!L1087,2)="15",LEFT(TH!M1087,2)="15"),'152-CT'!$J$8=TH!F1087),"x","")</f>
        <v/>
      </c>
      <c r="W1087" s="525" t="str">
        <f>IF(AND(OR(LEFT(TH!L1087,2)="15",LEFT(TH!M1087,2)="15"),TK!$E$7=TH!F1087),"x","")</f>
        <v/>
      </c>
      <c r="X1087" s="525" t="str">
        <f>IF(AND('341-CT'!$E$9=H1087,OR(LEFT(L1087,3)=$X$7,LEFT(M1087,3)=$X$7)),"x","")</f>
        <v/>
      </c>
      <c r="Y1087" s="525" t="str">
        <f>IF(OR(TH!L1087=TH!$Y$7,M1087=TH!$Y$7),"x","")</f>
        <v/>
      </c>
      <c r="Z1087" s="525" t="str">
        <f>IF(AND(B1087&lt;=NKC!$N$8,B1087&gt;=NKC!$M$8),"x","")</f>
        <v>x</v>
      </c>
      <c r="AA1087" s="535"/>
      <c r="AB1087" s="536"/>
    </row>
    <row r="1088" spans="1:28" s="503" customFormat="1" ht="15.75" customHeight="1">
      <c r="A1088" s="517">
        <f>IF(B1088&lt;&gt;"",IF(AND(B1088&gt;=_TM1,B1088&lt;=_TM2,OR(TH!L1088="1111",TH!M1088="1111")),TH!D1088,""),"")</f>
        <v>0</v>
      </c>
      <c r="B1088" s="531">
        <f t="shared" si="116"/>
        <v>2</v>
      </c>
      <c r="C1088" s="315">
        <f t="shared" si="117"/>
        <v>42790</v>
      </c>
      <c r="D1088" s="537"/>
      <c r="E1088" s="315">
        <v>42790</v>
      </c>
      <c r="F1088" s="249" t="s">
        <v>1102</v>
      </c>
      <c r="G1088" s="314" t="s">
        <v>539</v>
      </c>
      <c r="H1088" s="473" t="s">
        <v>511</v>
      </c>
      <c r="I1088" s="307"/>
      <c r="J1088" s="307"/>
      <c r="K1088" s="532">
        <v>550000</v>
      </c>
      <c r="L1088" s="534" t="s">
        <v>45</v>
      </c>
      <c r="M1088" s="534" t="s">
        <v>259</v>
      </c>
      <c r="N1088" s="525" t="str">
        <f>IF(AND('331-CT'!$E$7=TH!H1088,OR(L1088="331",M1088="331")),"331",IF(AND(OR(L1088="131",M1088="131"),H1088='131-CT'!$E$7),"131",""))</f>
        <v/>
      </c>
      <c r="O1088" s="525" t="str">
        <f>IF(AND($B1088&gt;='111'!$N$11,$B1088&lt;='111'!$O$11,OR($L1088=$O$7,$M1088=$O$7)),"x","")</f>
        <v/>
      </c>
      <c r="P1088" s="525" t="str">
        <f>IF(AND($L1088=$O$7,$B1088&lt;'111'!$N$11),"x","")</f>
        <v>x</v>
      </c>
      <c r="Q1088" s="525" t="str">
        <f>IF(AND($M1088=$O$7,$B1088&lt;'111'!$N$11),"x","")</f>
        <v/>
      </c>
      <c r="R1088" s="525" t="str">
        <f>IF(ISERROR(FIND('112'!$M$9,G1088,1)),"",IF((AND(FIND('112'!$M$9,G1088,1)&gt;=1,$B1088&gt;='112'!$N$8,$B1088&lt;='112'!$O$8,OR($L1088='112'!$I$6,$M1088='112'!$I$6))),"x",""))</f>
        <v/>
      </c>
      <c r="S1088" s="525" t="str">
        <f>IF(ISERROR(FIND('112'!$M$9,G1088,1)),"",IF((AND(LEFT(G1088,2)=LEFT('112'!$M$9,2),B1088&lt;'112'!$N$8,$L1088='112'!$I$6)),"x",""))</f>
        <v/>
      </c>
      <c r="T1088" s="525" t="str">
        <f>IF(ISERROR(FIND('112'!$M$9,G1088,1)),"",IF((AND(RIGHT(G1088,2)=RIGHT('112'!$M$9,2),B1088&lt;'112'!$N$8,$M1088='112'!$I$6)),"x",""))</f>
        <v/>
      </c>
      <c r="U1088" s="525" t="str">
        <f>IF(AND(B1088&gt;='IN-NX'!$P$3,B1088&lt;='IN-NX'!$Q$3,'IN-NX'!$D$7=D1088,OR(LEFT(L1088,2)="15",AND(LEFT(M1088,2)&lt;&gt;"15",LEFT(M1088,2)&lt;&gt;"33"))),"x","")</f>
        <v/>
      </c>
      <c r="V1088" s="525" t="str">
        <f>IF(AND(OR(LEFT(TH!L1088,2)="15",LEFT(TH!M1088,2)="15"),'152-CT'!$J$8=TH!F1088),"x","")</f>
        <v/>
      </c>
      <c r="W1088" s="525" t="str">
        <f>IF(AND(OR(LEFT(TH!L1088,2)="15",LEFT(TH!M1088,2)="15"),TK!$E$7=TH!F1088),"x","")</f>
        <v/>
      </c>
      <c r="X1088" s="525" t="str">
        <f>IF(AND('341-CT'!$E$9=H1088,OR(LEFT(L1088,3)=$X$7,LEFT(M1088,3)=$X$7)),"x","")</f>
        <v/>
      </c>
      <c r="Y1088" s="525" t="str">
        <f>IF(OR(TH!L1088=TH!$Y$7,M1088=TH!$Y$7),"x","")</f>
        <v/>
      </c>
      <c r="Z1088" s="525" t="str">
        <f>IF(AND(B1088&lt;=NKC!$N$8,B1088&gt;=NKC!$M$8),"x","")</f>
        <v>x</v>
      </c>
      <c r="AA1088" s="535"/>
      <c r="AB1088" s="536"/>
    </row>
    <row r="1089" spans="1:28" s="503" customFormat="1" ht="15.75" customHeight="1">
      <c r="A1089" s="517" t="str">
        <f>IF(B1089&lt;&gt;"",IF(AND(B1089&gt;=_TM1,B1089&lt;=_TM2,OR(TH!L1089="1111",TH!M1089="1111")),TH!D1089,""),"")</f>
        <v/>
      </c>
      <c r="B1089" s="531">
        <f t="shared" si="116"/>
        <v>2</v>
      </c>
      <c r="C1089" s="315">
        <f t="shared" si="117"/>
        <v>42790</v>
      </c>
      <c r="D1089" s="315" t="s">
        <v>925</v>
      </c>
      <c r="E1089" s="315">
        <v>42790</v>
      </c>
      <c r="F1089" s="249" t="s">
        <v>504</v>
      </c>
      <c r="G1089" s="314" t="s">
        <v>540</v>
      </c>
      <c r="H1089" s="473" t="s">
        <v>283</v>
      </c>
      <c r="I1089" s="307">
        <v>1850</v>
      </c>
      <c r="J1089" s="307">
        <v>35000</v>
      </c>
      <c r="K1089" s="532">
        <f>ROUND(I1089*J1089,0)</f>
        <v>64750000</v>
      </c>
      <c r="L1089" s="534" t="s">
        <v>223</v>
      </c>
      <c r="M1089" s="534" t="s">
        <v>162</v>
      </c>
      <c r="N1089" s="525" t="str">
        <f>IF(AND('331-CT'!$E$7=TH!H1089,OR(L1089="331",M1089="331")),"331",IF(AND(OR(L1089="131",M1089="131"),H1089='131-CT'!$E$7),"131",""))</f>
        <v/>
      </c>
      <c r="O1089" s="525" t="str">
        <f>IF(AND($B1089&gt;='111'!$N$11,$B1089&lt;='111'!$O$11,OR($L1089=$O$7,$M1089=$O$7)),"x","")</f>
        <v/>
      </c>
      <c r="P1089" s="525" t="str">
        <f>IF(AND($L1089=$O$7,$B1089&lt;'111'!$N$11),"x","")</f>
        <v/>
      </c>
      <c r="Q1089" s="525" t="str">
        <f>IF(AND($M1089=$O$7,$B1089&lt;'111'!$N$11),"x","")</f>
        <v/>
      </c>
      <c r="R1089" s="525" t="str">
        <f>IF(ISERROR(FIND('112'!$M$9,G1089,1)),"",IF((AND(FIND('112'!$M$9,G1089,1)&gt;=1,$B1089&gt;='112'!$N$8,$B1089&lt;='112'!$O$8,OR($L1089='112'!$I$6,$M1089='112'!$I$6))),"x",""))</f>
        <v/>
      </c>
      <c r="S1089" s="525" t="str">
        <f>IF(ISERROR(FIND('112'!$M$9,G1089,1)),"",IF((AND(LEFT(G1089,2)=LEFT('112'!$M$9,2),B1089&lt;'112'!$N$8,$L1089='112'!$I$6)),"x",""))</f>
        <v/>
      </c>
      <c r="T1089" s="525" t="str">
        <f>IF(ISERROR(FIND('112'!$M$9,G1089,1)),"",IF((AND(RIGHT(G1089,2)=RIGHT('112'!$M$9,2),B1089&lt;'112'!$N$8,$M1089='112'!$I$6)),"x",""))</f>
        <v/>
      </c>
      <c r="U1089" s="525" t="str">
        <f>IF(AND(B1089&gt;='IN-NX'!$P$3,B1089&lt;='IN-NX'!$Q$3,'IN-NX'!$D$7=D1089,OR(LEFT(L1089,2)="15",AND(LEFT(M1089,2)&lt;&gt;"15",LEFT(M1089,2)&lt;&gt;"33"))),"x","")</f>
        <v/>
      </c>
      <c r="V1089" s="525" t="str">
        <f>IF(AND(OR(LEFT(TH!L1089,2)="15",LEFT(TH!M1089,2)="15"),'152-CT'!$J$8=TH!F1089),"x","")</f>
        <v/>
      </c>
      <c r="W1089" s="525" t="str">
        <f>IF(AND(OR(LEFT(TH!L1089,2)="15",LEFT(TH!M1089,2)="15"),TK!$E$7=TH!F1089),"x","")</f>
        <v/>
      </c>
      <c r="X1089" s="525" t="str">
        <f>IF(AND('341-CT'!$E$9=H1089,OR(LEFT(L1089,3)=$X$7,LEFT(M1089,3)=$X$7)),"x","")</f>
        <v/>
      </c>
      <c r="Y1089" s="525" t="str">
        <f>IF(OR(TH!L1089=TH!$Y$7,M1089=TH!$Y$7),"x","")</f>
        <v/>
      </c>
      <c r="Z1089" s="525" t="str">
        <f>IF(AND(B1089&lt;=NKC!$N$8,B1089&gt;=NKC!$M$8),"x","")</f>
        <v>x</v>
      </c>
      <c r="AA1089" s="535"/>
    </row>
    <row r="1090" spans="1:28" s="503" customFormat="1" ht="15.75" customHeight="1">
      <c r="A1090" s="517" t="str">
        <f>IF(B1090&lt;&gt;"",IF(AND(B1090&gt;=_TM1,B1090&lt;=_TM2,OR(TH!L1090="1111",TH!M1090="1111")),TH!D1090,""),"")</f>
        <v/>
      </c>
      <c r="B1090" s="531">
        <f t="shared" si="116"/>
        <v>2</v>
      </c>
      <c r="C1090" s="315">
        <f t="shared" si="117"/>
        <v>42790</v>
      </c>
      <c r="D1090" s="315" t="s">
        <v>925</v>
      </c>
      <c r="E1090" s="315">
        <v>42790</v>
      </c>
      <c r="F1090" s="249" t="s">
        <v>505</v>
      </c>
      <c r="G1090" s="314" t="s">
        <v>540</v>
      </c>
      <c r="H1090" s="473" t="s">
        <v>283</v>
      </c>
      <c r="I1090" s="307">
        <v>518</v>
      </c>
      <c r="J1090" s="307">
        <v>32500</v>
      </c>
      <c r="K1090" s="532">
        <f>ROUND(I1090*J1090,0)</f>
        <v>16835000</v>
      </c>
      <c r="L1090" s="534" t="s">
        <v>223</v>
      </c>
      <c r="M1090" s="534" t="s">
        <v>162</v>
      </c>
      <c r="N1090" s="525" t="str">
        <f>IF(AND('331-CT'!$E$7=TH!H1090,OR(L1090="331",M1090="331")),"331",IF(AND(OR(L1090="131",M1090="131"),H1090='131-CT'!$E$7),"131",""))</f>
        <v/>
      </c>
      <c r="O1090" s="525" t="str">
        <f>IF(AND($B1090&gt;='111'!$N$11,$B1090&lt;='111'!$O$11,OR($L1090=$O$7,$M1090=$O$7)),"x","")</f>
        <v/>
      </c>
      <c r="P1090" s="525" t="str">
        <f>IF(AND($L1090=$O$7,$B1090&lt;'111'!$N$11),"x","")</f>
        <v/>
      </c>
      <c r="Q1090" s="525" t="str">
        <f>IF(AND($M1090=$O$7,$B1090&lt;'111'!$N$11),"x","")</f>
        <v/>
      </c>
      <c r="R1090" s="525" t="str">
        <f>IF(ISERROR(FIND('112'!$M$9,G1090,1)),"",IF((AND(FIND('112'!$M$9,G1090,1)&gt;=1,$B1090&gt;='112'!$N$8,$B1090&lt;='112'!$O$8,OR($L1090='112'!$I$6,$M1090='112'!$I$6))),"x",""))</f>
        <v/>
      </c>
      <c r="S1090" s="525" t="str">
        <f>IF(ISERROR(FIND('112'!$M$9,G1090,1)),"",IF((AND(LEFT(G1090,2)=LEFT('112'!$M$9,2),B1090&lt;'112'!$N$8,$L1090='112'!$I$6)),"x",""))</f>
        <v/>
      </c>
      <c r="T1090" s="525" t="str">
        <f>IF(ISERROR(FIND('112'!$M$9,G1090,1)),"",IF((AND(RIGHT(G1090,2)=RIGHT('112'!$M$9,2),B1090&lt;'112'!$N$8,$M1090='112'!$I$6)),"x",""))</f>
        <v/>
      </c>
      <c r="U1090" s="525" t="str">
        <f>IF(AND(B1090&gt;='IN-NX'!$P$3,B1090&lt;='IN-NX'!$Q$3,'IN-NX'!$D$7=D1090,OR(LEFT(L1090,2)="15",AND(LEFT(M1090,2)&lt;&gt;"15",LEFT(M1090,2)&lt;&gt;"33"))),"x","")</f>
        <v/>
      </c>
      <c r="V1090" s="525" t="str">
        <f>IF(AND(OR(LEFT(TH!L1090,2)="15",LEFT(TH!M1090,2)="15"),'152-CT'!$J$8=TH!F1090),"x","")</f>
        <v/>
      </c>
      <c r="W1090" s="525" t="str">
        <f>IF(AND(OR(LEFT(TH!L1090,2)="15",LEFT(TH!M1090,2)="15"),TK!$E$7=TH!F1090),"x","")</f>
        <v/>
      </c>
      <c r="X1090" s="525" t="str">
        <f>IF(AND('341-CT'!$E$9=H1090,OR(LEFT(L1090,3)=$X$7,LEFT(M1090,3)=$X$7)),"x","")</f>
        <v/>
      </c>
      <c r="Y1090" s="525" t="str">
        <f>IF(OR(TH!L1090=TH!$Y$7,M1090=TH!$Y$7),"x","")</f>
        <v/>
      </c>
      <c r="Z1090" s="525" t="str">
        <f>IF(AND(B1090&lt;=NKC!$N$8,B1090&gt;=NKC!$M$8),"x","")</f>
        <v>x</v>
      </c>
      <c r="AA1090" s="535"/>
    </row>
    <row r="1091" spans="1:28" s="503" customFormat="1" ht="15.75" customHeight="1">
      <c r="A1091" s="517" t="str">
        <f>IF(B1091&lt;&gt;"",IF(AND(B1091&gt;=_TM1,B1091&lt;=_TM2,OR(TH!L1091="1111",TH!M1091="1111")),TH!D1091,""),"")</f>
        <v/>
      </c>
      <c r="B1091" s="531">
        <f t="shared" si="116"/>
        <v>2</v>
      </c>
      <c r="C1091" s="315">
        <f t="shared" si="117"/>
        <v>42790</v>
      </c>
      <c r="D1091" s="315" t="s">
        <v>925</v>
      </c>
      <c r="E1091" s="315">
        <v>42790</v>
      </c>
      <c r="F1091" s="249" t="s">
        <v>274</v>
      </c>
      <c r="G1091" s="314" t="s">
        <v>540</v>
      </c>
      <c r="H1091" s="473" t="s">
        <v>283</v>
      </c>
      <c r="I1091" s="307">
        <v>3111</v>
      </c>
      <c r="J1091" s="307">
        <v>18500</v>
      </c>
      <c r="K1091" s="532">
        <f>ROUND(I1091*J1091,0)</f>
        <v>57553500</v>
      </c>
      <c r="L1091" s="534" t="s">
        <v>223</v>
      </c>
      <c r="M1091" s="534" t="s">
        <v>162</v>
      </c>
      <c r="N1091" s="525" t="str">
        <f>IF(AND('331-CT'!$E$7=TH!H1091,OR(L1091="331",M1091="331")),"331",IF(AND(OR(L1091="131",M1091="131"),H1091='131-CT'!$E$7),"131",""))</f>
        <v/>
      </c>
      <c r="O1091" s="525" t="str">
        <f>IF(AND($B1091&gt;='111'!$N$11,$B1091&lt;='111'!$O$11,OR($L1091=$O$7,$M1091=$O$7)),"x","")</f>
        <v/>
      </c>
      <c r="P1091" s="525" t="str">
        <f>IF(AND($L1091=$O$7,$B1091&lt;'111'!$N$11),"x","")</f>
        <v/>
      </c>
      <c r="Q1091" s="525" t="str">
        <f>IF(AND($M1091=$O$7,$B1091&lt;'111'!$N$11),"x","")</f>
        <v/>
      </c>
      <c r="R1091" s="525" t="str">
        <f>IF(ISERROR(FIND('112'!$M$9,G1091,1)),"",IF((AND(FIND('112'!$M$9,G1091,1)&gt;=1,$B1091&gt;='112'!$N$8,$B1091&lt;='112'!$O$8,OR($L1091='112'!$I$6,$M1091='112'!$I$6))),"x",""))</f>
        <v/>
      </c>
      <c r="S1091" s="525" t="str">
        <f>IF(ISERROR(FIND('112'!$M$9,G1091,1)),"",IF((AND(LEFT(G1091,2)=LEFT('112'!$M$9,2),B1091&lt;'112'!$N$8,$L1091='112'!$I$6)),"x",""))</f>
        <v/>
      </c>
      <c r="T1091" s="525" t="str">
        <f>IF(ISERROR(FIND('112'!$M$9,G1091,1)),"",IF((AND(RIGHT(G1091,2)=RIGHT('112'!$M$9,2),B1091&lt;'112'!$N$8,$M1091='112'!$I$6)),"x",""))</f>
        <v/>
      </c>
      <c r="U1091" s="525" t="str">
        <f>IF(AND(B1091&gt;='IN-NX'!$P$3,B1091&lt;='IN-NX'!$Q$3,'IN-NX'!$D$7=D1091,OR(LEFT(L1091,2)="15",AND(LEFT(M1091,2)&lt;&gt;"15",LEFT(M1091,2)&lt;&gt;"33"))),"x","")</f>
        <v/>
      </c>
      <c r="V1091" s="525" t="str">
        <f>IF(AND(OR(LEFT(TH!L1091,2)="15",LEFT(TH!M1091,2)="15"),'152-CT'!$J$8=TH!F1091),"x","")</f>
        <v/>
      </c>
      <c r="W1091" s="525" t="str">
        <f>IF(AND(OR(LEFT(TH!L1091,2)="15",LEFT(TH!M1091,2)="15"),TK!$E$7=TH!F1091),"x","")</f>
        <v/>
      </c>
      <c r="X1091" s="525" t="str">
        <f>IF(AND('341-CT'!$E$9=H1091,OR(LEFT(L1091,3)=$X$7,LEFT(M1091,3)=$X$7)),"x","")</f>
        <v/>
      </c>
      <c r="Y1091" s="525" t="str">
        <f>IF(OR(TH!L1091=TH!$Y$7,M1091=TH!$Y$7),"x","")</f>
        <v/>
      </c>
      <c r="Z1091" s="525" t="str">
        <f>IF(AND(B1091&lt;=NKC!$N$8,B1091&gt;=NKC!$M$8),"x","")</f>
        <v>x</v>
      </c>
      <c r="AA1091" s="535"/>
    </row>
    <row r="1092" spans="1:28" s="503" customFormat="1" ht="15.75" customHeight="1">
      <c r="A1092" s="517" t="str">
        <f>IF(B1092&lt;&gt;"",IF(AND(B1092&gt;=_TM1,B1092&lt;=_TM2,OR(TH!L1092="1111",TH!M1092="1111")),TH!D1092,""),"")</f>
        <v/>
      </c>
      <c r="B1092" s="531">
        <f t="shared" si="116"/>
        <v>2</v>
      </c>
      <c r="C1092" s="315">
        <f t="shared" si="117"/>
        <v>42790</v>
      </c>
      <c r="D1092" s="315" t="s">
        <v>925</v>
      </c>
      <c r="E1092" s="315">
        <v>42790</v>
      </c>
      <c r="F1092" s="249" t="s">
        <v>503</v>
      </c>
      <c r="G1092" s="314" t="s">
        <v>540</v>
      </c>
      <c r="H1092" s="473" t="s">
        <v>283</v>
      </c>
      <c r="I1092" s="307">
        <v>3800</v>
      </c>
      <c r="J1092" s="307">
        <v>18500</v>
      </c>
      <c r="K1092" s="532">
        <f>ROUND(I1092*J1092,0)</f>
        <v>70300000</v>
      </c>
      <c r="L1092" s="534" t="s">
        <v>223</v>
      </c>
      <c r="M1092" s="534" t="s">
        <v>162</v>
      </c>
      <c r="N1092" s="525" t="str">
        <f>IF(AND('331-CT'!$E$7=TH!H1092,OR(L1092="331",M1092="331")),"331",IF(AND(OR(L1092="131",M1092="131"),H1092='131-CT'!$E$7),"131",""))</f>
        <v/>
      </c>
      <c r="O1092" s="525" t="str">
        <f>IF(AND($B1092&gt;='111'!$N$11,$B1092&lt;='111'!$O$11,OR($L1092=$O$7,$M1092=$O$7)),"x","")</f>
        <v/>
      </c>
      <c r="P1092" s="525" t="str">
        <f>IF(AND($L1092=$O$7,$B1092&lt;'111'!$N$11),"x","")</f>
        <v/>
      </c>
      <c r="Q1092" s="525" t="str">
        <f>IF(AND($M1092=$O$7,$B1092&lt;'111'!$N$11),"x","")</f>
        <v/>
      </c>
      <c r="R1092" s="525" t="str">
        <f>IF(ISERROR(FIND('112'!$M$9,G1092,1)),"",IF((AND(FIND('112'!$M$9,G1092,1)&gt;=1,$B1092&gt;='112'!$N$8,$B1092&lt;='112'!$O$8,OR($L1092='112'!$I$6,$M1092='112'!$I$6))),"x",""))</f>
        <v/>
      </c>
      <c r="S1092" s="525" t="str">
        <f>IF(ISERROR(FIND('112'!$M$9,G1092,1)),"",IF((AND(LEFT(G1092,2)=LEFT('112'!$M$9,2),B1092&lt;'112'!$N$8,$L1092='112'!$I$6)),"x",""))</f>
        <v/>
      </c>
      <c r="T1092" s="525" t="str">
        <f>IF(ISERROR(FIND('112'!$M$9,G1092,1)),"",IF((AND(RIGHT(G1092,2)=RIGHT('112'!$M$9,2),B1092&lt;'112'!$N$8,$M1092='112'!$I$6)),"x",""))</f>
        <v/>
      </c>
      <c r="U1092" s="525" t="str">
        <f>IF(AND(B1092&gt;='IN-NX'!$P$3,B1092&lt;='IN-NX'!$Q$3,'IN-NX'!$D$7=D1092,OR(LEFT(L1092,2)="15",AND(LEFT(M1092,2)&lt;&gt;"15",LEFT(M1092,2)&lt;&gt;"33"))),"x","")</f>
        <v/>
      </c>
      <c r="V1092" s="525" t="str">
        <f>IF(AND(OR(LEFT(TH!L1092,2)="15",LEFT(TH!M1092,2)="15"),'152-CT'!$J$8=TH!F1092),"x","")</f>
        <v/>
      </c>
      <c r="W1092" s="525" t="str">
        <f>IF(AND(OR(LEFT(TH!L1092,2)="15",LEFT(TH!M1092,2)="15"),TK!$E$7=TH!F1092),"x","")</f>
        <v/>
      </c>
      <c r="X1092" s="525" t="str">
        <f>IF(AND('341-CT'!$E$9=H1092,OR(LEFT(L1092,3)=$X$7,LEFT(M1092,3)=$X$7)),"x","")</f>
        <v/>
      </c>
      <c r="Y1092" s="525" t="str">
        <f>IF(OR(TH!L1092=TH!$Y$7,M1092=TH!$Y$7),"x","")</f>
        <v/>
      </c>
      <c r="Z1092" s="525" t="str">
        <f>IF(AND(B1092&lt;=NKC!$N$8,B1092&gt;=NKC!$M$8),"x","")</f>
        <v>x</v>
      </c>
      <c r="AA1092" s="535"/>
    </row>
    <row r="1093" spans="1:28" s="503" customFormat="1" ht="15.75" customHeight="1">
      <c r="A1093" s="517" t="str">
        <f>IF(B1093&lt;&gt;"",IF(AND(B1093&gt;=_TM1,B1093&lt;=_TM2,OR(TH!L1093="1111",TH!M1093="1111")),TH!D1093,""),"")</f>
        <v/>
      </c>
      <c r="B1093" s="531">
        <f t="shared" si="116"/>
        <v>2</v>
      </c>
      <c r="C1093" s="315">
        <f t="shared" si="117"/>
        <v>42790</v>
      </c>
      <c r="D1093" s="315" t="s">
        <v>925</v>
      </c>
      <c r="E1093" s="315">
        <v>42790</v>
      </c>
      <c r="F1093" s="249" t="s">
        <v>494</v>
      </c>
      <c r="G1093" s="314" t="s">
        <v>540</v>
      </c>
      <c r="H1093" s="473" t="s">
        <v>283</v>
      </c>
      <c r="I1093" s="307"/>
      <c r="J1093" s="307"/>
      <c r="K1093" s="532">
        <v>20943850</v>
      </c>
      <c r="L1093" s="534" t="s">
        <v>223</v>
      </c>
      <c r="M1093" s="534" t="s">
        <v>259</v>
      </c>
      <c r="N1093" s="525" t="str">
        <f>IF(AND('331-CT'!$E$7=TH!H1093,OR(L1093="331",M1093="331")),"331",IF(AND(OR(L1093="131",M1093="131"),H1093='131-CT'!$E$7),"131",""))</f>
        <v/>
      </c>
      <c r="O1093" s="525" t="str">
        <f>IF(AND($B1093&gt;='111'!$N$11,$B1093&lt;='111'!$O$11,OR($L1093=$O$7,$M1093=$O$7)),"x","")</f>
        <v/>
      </c>
      <c r="P1093" s="525" t="str">
        <f>IF(AND($L1093=$O$7,$B1093&lt;'111'!$N$11),"x","")</f>
        <v/>
      </c>
      <c r="Q1093" s="525" t="str">
        <f>IF(AND($M1093=$O$7,$B1093&lt;'111'!$N$11),"x","")</f>
        <v/>
      </c>
      <c r="R1093" s="525" t="str">
        <f>IF(ISERROR(FIND('112'!$M$9,G1093,1)),"",IF((AND(FIND('112'!$M$9,G1093,1)&gt;=1,$B1093&gt;='112'!$N$8,$B1093&lt;='112'!$O$8,OR($L1093='112'!$I$6,$M1093='112'!$I$6))),"x",""))</f>
        <v/>
      </c>
      <c r="S1093" s="525" t="str">
        <f>IF(ISERROR(FIND('112'!$M$9,G1093,1)),"",IF((AND(LEFT(G1093,2)=LEFT('112'!$M$9,2),B1093&lt;'112'!$N$8,$L1093='112'!$I$6)),"x",""))</f>
        <v/>
      </c>
      <c r="T1093" s="525" t="str">
        <f>IF(ISERROR(FIND('112'!$M$9,G1093,1)),"",IF((AND(RIGHT(G1093,2)=RIGHT('112'!$M$9,2),B1093&lt;'112'!$N$8,$M1093='112'!$I$6)),"x",""))</f>
        <v/>
      </c>
      <c r="U1093" s="525" t="str">
        <f>IF(AND(B1093&gt;='IN-NX'!$P$3,B1093&lt;='IN-NX'!$Q$3,'IN-NX'!$D$7=D1093,OR(LEFT(L1093,2)="15",AND(LEFT(M1093,2)&lt;&gt;"15",LEFT(M1093,2)&lt;&gt;"33"))),"x","")</f>
        <v/>
      </c>
      <c r="V1093" s="525" t="str">
        <f>IF(AND(OR(LEFT(TH!L1093,2)="15",LEFT(TH!M1093,2)="15"),'152-CT'!$J$8=TH!F1093),"x","")</f>
        <v/>
      </c>
      <c r="W1093" s="525" t="str">
        <f>IF(AND(OR(LEFT(TH!L1093,2)="15",LEFT(TH!M1093,2)="15"),TK!$E$7=TH!F1093),"x","")</f>
        <v/>
      </c>
      <c r="X1093" s="525" t="str">
        <f>IF(AND('341-CT'!$E$9=H1093,OR(LEFT(L1093,3)=$X$7,LEFT(M1093,3)=$X$7)),"x","")</f>
        <v/>
      </c>
      <c r="Y1093" s="525" t="str">
        <f>IF(OR(TH!L1093=TH!$Y$7,M1093=TH!$Y$7),"x","")</f>
        <v/>
      </c>
      <c r="Z1093" s="525" t="str">
        <f>IF(AND(B1093&lt;=NKC!$N$8,B1093&gt;=NKC!$M$8),"x","")</f>
        <v>x</v>
      </c>
      <c r="AA1093" s="535"/>
      <c r="AB1093" s="536"/>
    </row>
    <row r="1094" spans="1:28" s="503" customFormat="1" ht="15.75" customHeight="1">
      <c r="A1094" s="517" t="str">
        <f>IF(B1094&lt;&gt;"",IF(AND(B1094&gt;=_TM1,B1094&lt;=_TM2,OR(TH!L1094="1111",TH!M1094="1111")),TH!D1094,""),"")</f>
        <v/>
      </c>
      <c r="B1094" s="531">
        <f t="shared" si="116"/>
        <v>2</v>
      </c>
      <c r="C1094" s="315">
        <f t="shared" si="117"/>
        <v>42791</v>
      </c>
      <c r="D1094" s="315" t="s">
        <v>926</v>
      </c>
      <c r="E1094" s="315">
        <v>42791</v>
      </c>
      <c r="F1094" s="249" t="s">
        <v>563</v>
      </c>
      <c r="G1094" s="314" t="s">
        <v>541</v>
      </c>
      <c r="H1094" s="473" t="s">
        <v>279</v>
      </c>
      <c r="I1094" s="307">
        <v>100</v>
      </c>
      <c r="J1094" s="307">
        <v>29070</v>
      </c>
      <c r="K1094" s="532">
        <f>ROUND(I1094*J1094,0)</f>
        <v>2907000</v>
      </c>
      <c r="L1094" s="534" t="s">
        <v>223</v>
      </c>
      <c r="M1094" s="534" t="s">
        <v>162</v>
      </c>
      <c r="N1094" s="525" t="str">
        <f>IF(AND('331-CT'!$E$7=TH!H1094,OR(L1094="331",M1094="331")),"331",IF(AND(OR(L1094="131",M1094="131"),H1094='131-CT'!$E$7),"131",""))</f>
        <v/>
      </c>
      <c r="O1094" s="525" t="str">
        <f>IF(AND($B1094&gt;='111'!$N$11,$B1094&lt;='111'!$O$11,OR($L1094=$O$7,$M1094=$O$7)),"x","")</f>
        <v/>
      </c>
      <c r="P1094" s="525" t="str">
        <f>IF(AND($L1094=$O$7,$B1094&lt;'111'!$N$11),"x","")</f>
        <v/>
      </c>
      <c r="Q1094" s="525" t="str">
        <f>IF(AND($M1094=$O$7,$B1094&lt;'111'!$N$11),"x","")</f>
        <v/>
      </c>
      <c r="R1094" s="525" t="str">
        <f>IF(ISERROR(FIND('112'!$M$9,G1094,1)),"",IF((AND(FIND('112'!$M$9,G1094,1)&gt;=1,$B1094&gt;='112'!$N$8,$B1094&lt;='112'!$O$8,OR($L1094='112'!$I$6,$M1094='112'!$I$6))),"x",""))</f>
        <v/>
      </c>
      <c r="S1094" s="525" t="str">
        <f>IF(ISERROR(FIND('112'!$M$9,G1094,1)),"",IF((AND(LEFT(G1094,2)=LEFT('112'!$M$9,2),B1094&lt;'112'!$N$8,$L1094='112'!$I$6)),"x",""))</f>
        <v/>
      </c>
      <c r="T1094" s="525" t="str">
        <f>IF(ISERROR(FIND('112'!$M$9,G1094,1)),"",IF((AND(RIGHT(G1094,2)=RIGHT('112'!$M$9,2),B1094&lt;'112'!$N$8,$M1094='112'!$I$6)),"x",""))</f>
        <v/>
      </c>
      <c r="U1094" s="525" t="str">
        <f>IF(AND(B1094&gt;='IN-NX'!$P$3,B1094&lt;='IN-NX'!$Q$3,'IN-NX'!$D$7=D1094,OR(LEFT(L1094,2)="15",AND(LEFT(M1094,2)&lt;&gt;"15",LEFT(M1094,2)&lt;&gt;"33"))),"x","")</f>
        <v/>
      </c>
      <c r="V1094" s="525" t="str">
        <f>IF(AND(OR(LEFT(TH!L1094,2)="15",LEFT(TH!M1094,2)="15"),'152-CT'!$J$8=TH!F1094),"x","")</f>
        <v/>
      </c>
      <c r="W1094" s="525" t="str">
        <f>IF(AND(OR(LEFT(TH!L1094,2)="15",LEFT(TH!M1094,2)="15"),TK!$E$7=TH!F1094),"x","")</f>
        <v/>
      </c>
      <c r="X1094" s="525" t="str">
        <f>IF(AND('341-CT'!$E$9=H1094,OR(LEFT(L1094,3)=$X$7,LEFT(M1094,3)=$X$7)),"x","")</f>
        <v/>
      </c>
      <c r="Y1094" s="525" t="str">
        <f>IF(OR(TH!L1094=TH!$Y$7,M1094=TH!$Y$7),"x","")</f>
        <v/>
      </c>
      <c r="Z1094" s="525" t="str">
        <f>IF(AND(B1094&lt;=NKC!$N$8,B1094&gt;=NKC!$M$8),"x","")</f>
        <v>x</v>
      </c>
      <c r="AA1094" s="535"/>
    </row>
    <row r="1095" spans="1:28" s="503" customFormat="1" ht="15.75" customHeight="1">
      <c r="A1095" s="517" t="str">
        <f>IF(B1095&lt;&gt;"",IF(AND(B1095&gt;=_TM1,B1095&lt;=_TM2,OR(TH!L1095="1111",TH!M1095="1111")),TH!D1095,""),"")</f>
        <v/>
      </c>
      <c r="B1095" s="531">
        <f t="shared" si="116"/>
        <v>2</v>
      </c>
      <c r="C1095" s="315">
        <f t="shared" si="117"/>
        <v>42791</v>
      </c>
      <c r="D1095" s="315" t="s">
        <v>926</v>
      </c>
      <c r="E1095" s="315">
        <v>42791</v>
      </c>
      <c r="F1095" s="249" t="s">
        <v>564</v>
      </c>
      <c r="G1095" s="314" t="s">
        <v>541</v>
      </c>
      <c r="H1095" s="473" t="s">
        <v>279</v>
      </c>
      <c r="I1095" s="307">
        <v>18</v>
      </c>
      <c r="J1095" s="307">
        <v>21000</v>
      </c>
      <c r="K1095" s="532">
        <f>ROUND(I1095*J1095,0)</f>
        <v>378000</v>
      </c>
      <c r="L1095" s="534" t="s">
        <v>223</v>
      </c>
      <c r="M1095" s="534" t="s">
        <v>162</v>
      </c>
      <c r="N1095" s="525" t="str">
        <f>IF(AND('331-CT'!$E$7=TH!H1095,OR(L1095="331",M1095="331")),"331",IF(AND(OR(L1095="131",M1095="131"),H1095='131-CT'!$E$7),"131",""))</f>
        <v/>
      </c>
      <c r="O1095" s="525" t="str">
        <f>IF(AND($B1095&gt;='111'!$N$11,$B1095&lt;='111'!$O$11,OR($L1095=$O$7,$M1095=$O$7)),"x","")</f>
        <v/>
      </c>
      <c r="P1095" s="525" t="str">
        <f>IF(AND($L1095=$O$7,$B1095&lt;'111'!$N$11),"x","")</f>
        <v/>
      </c>
      <c r="Q1095" s="525" t="str">
        <f>IF(AND($M1095=$O$7,$B1095&lt;'111'!$N$11),"x","")</f>
        <v/>
      </c>
      <c r="R1095" s="525" t="str">
        <f>IF(ISERROR(FIND('112'!$M$9,G1095,1)),"",IF((AND(FIND('112'!$M$9,G1095,1)&gt;=1,$B1095&gt;='112'!$N$8,$B1095&lt;='112'!$O$8,OR($L1095='112'!$I$6,$M1095='112'!$I$6))),"x",""))</f>
        <v/>
      </c>
      <c r="S1095" s="525" t="str">
        <f>IF(ISERROR(FIND('112'!$M$9,G1095,1)),"",IF((AND(LEFT(G1095,2)=LEFT('112'!$M$9,2),B1095&lt;'112'!$N$8,$L1095='112'!$I$6)),"x",""))</f>
        <v/>
      </c>
      <c r="T1095" s="525" t="str">
        <f>IF(ISERROR(FIND('112'!$M$9,G1095,1)),"",IF((AND(RIGHT(G1095,2)=RIGHT('112'!$M$9,2),B1095&lt;'112'!$N$8,$M1095='112'!$I$6)),"x",""))</f>
        <v/>
      </c>
      <c r="U1095" s="525" t="str">
        <f>IF(AND(B1095&gt;='IN-NX'!$P$3,B1095&lt;='IN-NX'!$Q$3,'IN-NX'!$D$7=D1095,OR(LEFT(L1095,2)="15",AND(LEFT(M1095,2)&lt;&gt;"15",LEFT(M1095,2)&lt;&gt;"33"))),"x","")</f>
        <v/>
      </c>
      <c r="V1095" s="525" t="str">
        <f>IF(AND(OR(LEFT(TH!L1095,2)="15",LEFT(TH!M1095,2)="15"),'152-CT'!$J$8=TH!F1095),"x","")</f>
        <v/>
      </c>
      <c r="W1095" s="525" t="str">
        <f>IF(AND(OR(LEFT(TH!L1095,2)="15",LEFT(TH!M1095,2)="15"),TK!$E$7=TH!F1095),"x","")</f>
        <v/>
      </c>
      <c r="X1095" s="525" t="str">
        <f>IF(AND('341-CT'!$E$9=H1095,OR(LEFT(L1095,3)=$X$7,LEFT(M1095,3)=$X$7)),"x","")</f>
        <v/>
      </c>
      <c r="Y1095" s="525" t="str">
        <f>IF(OR(TH!L1095=TH!$Y$7,M1095=TH!$Y$7),"x","")</f>
        <v/>
      </c>
      <c r="Z1095" s="525" t="str">
        <f>IF(AND(B1095&lt;=NKC!$N$8,B1095&gt;=NKC!$M$8),"x","")</f>
        <v>x</v>
      </c>
      <c r="AA1095" s="535"/>
    </row>
    <row r="1096" spans="1:28" s="503" customFormat="1" ht="15.75" customHeight="1">
      <c r="A1096" s="517" t="str">
        <f>IF(B1096&lt;&gt;"",IF(AND(B1096&gt;=_TM1,B1096&lt;=_TM2,OR(TH!L1096="1111",TH!M1096="1111")),TH!D1096,""),"")</f>
        <v/>
      </c>
      <c r="B1096" s="531">
        <f t="shared" si="116"/>
        <v>2</v>
      </c>
      <c r="C1096" s="315">
        <f t="shared" si="117"/>
        <v>42791</v>
      </c>
      <c r="D1096" s="315" t="s">
        <v>926</v>
      </c>
      <c r="E1096" s="315">
        <v>42791</v>
      </c>
      <c r="F1096" s="249" t="s">
        <v>558</v>
      </c>
      <c r="G1096" s="314" t="s">
        <v>541</v>
      </c>
      <c r="H1096" s="473" t="s">
        <v>279</v>
      </c>
      <c r="I1096" s="307">
        <v>620</v>
      </c>
      <c r="J1096" s="307">
        <v>18200</v>
      </c>
      <c r="K1096" s="532">
        <f>ROUND(I1096*J1096,0)</f>
        <v>11284000</v>
      </c>
      <c r="L1096" s="534" t="s">
        <v>223</v>
      </c>
      <c r="M1096" s="534" t="s">
        <v>162</v>
      </c>
      <c r="N1096" s="525" t="str">
        <f>IF(AND('331-CT'!$E$7=TH!H1096,OR(L1096="331",M1096="331")),"331",IF(AND(OR(L1096="131",M1096="131"),H1096='131-CT'!$E$7),"131",""))</f>
        <v/>
      </c>
      <c r="O1096" s="525" t="str">
        <f>IF(AND($B1096&gt;='111'!$N$11,$B1096&lt;='111'!$O$11,OR($L1096=$O$7,$M1096=$O$7)),"x","")</f>
        <v/>
      </c>
      <c r="P1096" s="525" t="str">
        <f>IF(AND($L1096=$O$7,$B1096&lt;'111'!$N$11),"x","")</f>
        <v/>
      </c>
      <c r="Q1096" s="525" t="str">
        <f>IF(AND($M1096=$O$7,$B1096&lt;'111'!$N$11),"x","")</f>
        <v/>
      </c>
      <c r="R1096" s="525" t="str">
        <f>IF(ISERROR(FIND('112'!$M$9,G1096,1)),"",IF((AND(FIND('112'!$M$9,G1096,1)&gt;=1,$B1096&gt;='112'!$N$8,$B1096&lt;='112'!$O$8,OR($L1096='112'!$I$6,$M1096='112'!$I$6))),"x",""))</f>
        <v/>
      </c>
      <c r="S1096" s="525" t="str">
        <f>IF(ISERROR(FIND('112'!$M$9,G1096,1)),"",IF((AND(LEFT(G1096,2)=LEFT('112'!$M$9,2),B1096&lt;'112'!$N$8,$L1096='112'!$I$6)),"x",""))</f>
        <v/>
      </c>
      <c r="T1096" s="525" t="str">
        <f>IF(ISERROR(FIND('112'!$M$9,G1096,1)),"",IF((AND(RIGHT(G1096,2)=RIGHT('112'!$M$9,2),B1096&lt;'112'!$N$8,$M1096='112'!$I$6)),"x",""))</f>
        <v/>
      </c>
      <c r="U1096" s="525" t="str">
        <f>IF(AND(B1096&gt;='IN-NX'!$P$3,B1096&lt;='IN-NX'!$Q$3,'IN-NX'!$D$7=D1096,OR(LEFT(L1096,2)="15",AND(LEFT(M1096,2)&lt;&gt;"15",LEFT(M1096,2)&lt;&gt;"33"))),"x","")</f>
        <v/>
      </c>
      <c r="V1096" s="525" t="str">
        <f>IF(AND(OR(LEFT(TH!L1096,2)="15",LEFT(TH!M1096,2)="15"),'152-CT'!$J$8=TH!F1096),"x","")</f>
        <v/>
      </c>
      <c r="W1096" s="525" t="str">
        <f>IF(AND(OR(LEFT(TH!L1096,2)="15",LEFT(TH!M1096,2)="15"),TK!$E$7=TH!F1096),"x","")</f>
        <v/>
      </c>
      <c r="X1096" s="525" t="str">
        <f>IF(AND('341-CT'!$E$9=H1096,OR(LEFT(L1096,3)=$X$7,LEFT(M1096,3)=$X$7)),"x","")</f>
        <v/>
      </c>
      <c r="Y1096" s="525" t="str">
        <f>IF(OR(TH!L1096=TH!$Y$7,M1096=TH!$Y$7),"x","")</f>
        <v/>
      </c>
      <c r="Z1096" s="525" t="str">
        <f>IF(AND(B1096&lt;=NKC!$N$8,B1096&gt;=NKC!$M$8),"x","")</f>
        <v>x</v>
      </c>
      <c r="AA1096" s="535"/>
    </row>
    <row r="1097" spans="1:28" s="503" customFormat="1" ht="15.75" customHeight="1">
      <c r="A1097" s="517" t="str">
        <f>IF(B1097&lt;&gt;"",IF(AND(B1097&gt;=_TM1,B1097&lt;=_TM2,OR(TH!L1097="1111",TH!M1097="1111")),TH!D1097,""),"")</f>
        <v/>
      </c>
      <c r="B1097" s="531">
        <f t="shared" si="116"/>
        <v>2</v>
      </c>
      <c r="C1097" s="315">
        <f t="shared" si="117"/>
        <v>42791</v>
      </c>
      <c r="D1097" s="315" t="s">
        <v>926</v>
      </c>
      <c r="E1097" s="315">
        <v>42791</v>
      </c>
      <c r="F1097" s="249" t="s">
        <v>494</v>
      </c>
      <c r="G1097" s="314" t="s">
        <v>541</v>
      </c>
      <c r="H1097" s="473" t="s">
        <v>279</v>
      </c>
      <c r="I1097" s="307"/>
      <c r="J1097" s="307"/>
      <c r="K1097" s="532">
        <v>1456900</v>
      </c>
      <c r="L1097" s="534" t="s">
        <v>223</v>
      </c>
      <c r="M1097" s="534" t="s">
        <v>259</v>
      </c>
      <c r="N1097" s="525" t="str">
        <f>IF(AND('331-CT'!$E$7=TH!H1097,OR(L1097="331",M1097="331")),"331",IF(AND(OR(L1097="131",M1097="131"),H1097='131-CT'!$E$7),"131",""))</f>
        <v/>
      </c>
      <c r="O1097" s="525" t="str">
        <f>IF(AND($B1097&gt;='111'!$N$11,$B1097&lt;='111'!$O$11,OR($L1097=$O$7,$M1097=$O$7)),"x","")</f>
        <v/>
      </c>
      <c r="P1097" s="525" t="str">
        <f>IF(AND($L1097=$O$7,$B1097&lt;'111'!$N$11),"x","")</f>
        <v/>
      </c>
      <c r="Q1097" s="525" t="str">
        <f>IF(AND($M1097=$O$7,$B1097&lt;'111'!$N$11),"x","")</f>
        <v/>
      </c>
      <c r="R1097" s="525" t="str">
        <f>IF(ISERROR(FIND('112'!$M$9,G1097,1)),"",IF((AND(FIND('112'!$M$9,G1097,1)&gt;=1,$B1097&gt;='112'!$N$8,$B1097&lt;='112'!$O$8,OR($L1097='112'!$I$6,$M1097='112'!$I$6))),"x",""))</f>
        <v/>
      </c>
      <c r="S1097" s="525" t="str">
        <f>IF(ISERROR(FIND('112'!$M$9,G1097,1)),"",IF((AND(LEFT(G1097,2)=LEFT('112'!$M$9,2),B1097&lt;'112'!$N$8,$L1097='112'!$I$6)),"x",""))</f>
        <v/>
      </c>
      <c r="T1097" s="525" t="str">
        <f>IF(ISERROR(FIND('112'!$M$9,G1097,1)),"",IF((AND(RIGHT(G1097,2)=RIGHT('112'!$M$9,2),B1097&lt;'112'!$N$8,$M1097='112'!$I$6)),"x",""))</f>
        <v/>
      </c>
      <c r="U1097" s="525" t="str">
        <f>IF(AND(B1097&gt;='IN-NX'!$P$3,B1097&lt;='IN-NX'!$Q$3,'IN-NX'!$D$7=D1097,OR(LEFT(L1097,2)="15",AND(LEFT(M1097,2)&lt;&gt;"15",LEFT(M1097,2)&lt;&gt;"33"))),"x","")</f>
        <v/>
      </c>
      <c r="V1097" s="525" t="str">
        <f>IF(AND(OR(LEFT(TH!L1097,2)="15",LEFT(TH!M1097,2)="15"),'152-CT'!$J$8=TH!F1097),"x","")</f>
        <v/>
      </c>
      <c r="W1097" s="525" t="str">
        <f>IF(AND(OR(LEFT(TH!L1097,2)="15",LEFT(TH!M1097,2)="15"),TK!$E$7=TH!F1097),"x","")</f>
        <v/>
      </c>
      <c r="X1097" s="525" t="str">
        <f>IF(AND('341-CT'!$E$9=H1097,OR(LEFT(L1097,3)=$X$7,LEFT(M1097,3)=$X$7)),"x","")</f>
        <v/>
      </c>
      <c r="Y1097" s="525" t="str">
        <f>IF(OR(TH!L1097=TH!$Y$7,M1097=TH!$Y$7),"x","")</f>
        <v/>
      </c>
      <c r="Z1097" s="525" t="str">
        <f>IF(AND(B1097&lt;=NKC!$N$8,B1097&gt;=NKC!$M$8),"x","")</f>
        <v>x</v>
      </c>
      <c r="AA1097" s="535"/>
      <c r="AB1097" s="536"/>
    </row>
    <row r="1098" spans="1:28" s="503" customFormat="1" ht="15.75" customHeight="1">
      <c r="A1098" s="517" t="str">
        <f>IF(B1098&lt;&gt;"",IF(AND(B1098&gt;=_TM1,B1098&lt;=_TM2,OR(TH!L1098="1111",TH!M1098="1111")),TH!D1098,""),"")</f>
        <v/>
      </c>
      <c r="B1098" s="531">
        <f t="shared" si="116"/>
        <v>2</v>
      </c>
      <c r="C1098" s="315">
        <f t="shared" si="117"/>
        <v>42791</v>
      </c>
      <c r="D1098" s="315" t="s">
        <v>927</v>
      </c>
      <c r="E1098" s="315">
        <v>42791</v>
      </c>
      <c r="F1098" s="249" t="s">
        <v>704</v>
      </c>
      <c r="G1098" s="314" t="s">
        <v>542</v>
      </c>
      <c r="H1098" s="473" t="s">
        <v>284</v>
      </c>
      <c r="I1098" s="307">
        <v>90</v>
      </c>
      <c r="J1098" s="307">
        <v>17602</v>
      </c>
      <c r="K1098" s="532">
        <f t="shared" ref="K1098:K1126" si="118">ROUND(I1098*J1098,0)</f>
        <v>1584180</v>
      </c>
      <c r="L1098" s="534" t="s">
        <v>223</v>
      </c>
      <c r="M1098" s="534" t="s">
        <v>162</v>
      </c>
      <c r="N1098" s="525" t="str">
        <f>IF(AND('331-CT'!$E$7=TH!H1098,OR(L1098="331",M1098="331")),"331",IF(AND(OR(L1098="131",M1098="131"),H1098='131-CT'!$E$7),"131",""))</f>
        <v/>
      </c>
      <c r="O1098" s="525" t="str">
        <f>IF(AND($B1098&gt;='111'!$N$11,$B1098&lt;='111'!$O$11,OR($L1098=$O$7,$M1098=$O$7)),"x","")</f>
        <v/>
      </c>
      <c r="P1098" s="525" t="str">
        <f>IF(AND($L1098=$O$7,$B1098&lt;'111'!$N$11),"x","")</f>
        <v/>
      </c>
      <c r="Q1098" s="525" t="str">
        <f>IF(AND($M1098=$O$7,$B1098&lt;'111'!$N$11),"x","")</f>
        <v/>
      </c>
      <c r="R1098" s="525" t="str">
        <f>IF(ISERROR(FIND('112'!$M$9,G1098,1)),"",IF((AND(FIND('112'!$M$9,G1098,1)&gt;=1,$B1098&gt;='112'!$N$8,$B1098&lt;='112'!$O$8,OR($L1098='112'!$I$6,$M1098='112'!$I$6))),"x",""))</f>
        <v/>
      </c>
      <c r="S1098" s="525" t="str">
        <f>IF(ISERROR(FIND('112'!$M$9,G1098,1)),"",IF((AND(LEFT(G1098,2)=LEFT('112'!$M$9,2),B1098&lt;'112'!$N$8,$L1098='112'!$I$6)),"x",""))</f>
        <v/>
      </c>
      <c r="T1098" s="525" t="str">
        <f>IF(ISERROR(FIND('112'!$M$9,G1098,1)),"",IF((AND(RIGHT(G1098,2)=RIGHT('112'!$M$9,2),B1098&lt;'112'!$N$8,$M1098='112'!$I$6)),"x",""))</f>
        <v/>
      </c>
      <c r="U1098" s="525" t="str">
        <f>IF(AND(B1098&gt;='IN-NX'!$P$3,B1098&lt;='IN-NX'!$Q$3,'IN-NX'!$D$7=D1098,OR(LEFT(L1098,2)="15",AND(LEFT(M1098,2)&lt;&gt;"15",LEFT(M1098,2)&lt;&gt;"33"))),"x","")</f>
        <v/>
      </c>
      <c r="V1098" s="525" t="str">
        <f>IF(AND(OR(LEFT(TH!L1098,2)="15",LEFT(TH!M1098,2)="15"),'152-CT'!$J$8=TH!F1098),"x","")</f>
        <v/>
      </c>
      <c r="W1098" s="525" t="str">
        <f>IF(AND(OR(LEFT(TH!L1098,2)="15",LEFT(TH!M1098,2)="15"),TK!$E$7=TH!F1098),"x","")</f>
        <v/>
      </c>
      <c r="X1098" s="525" t="str">
        <f>IF(AND('341-CT'!$E$9=H1098,OR(LEFT(L1098,3)=$X$7,LEFT(M1098,3)=$X$7)),"x","")</f>
        <v/>
      </c>
      <c r="Y1098" s="525" t="str">
        <f>IF(OR(TH!L1098=TH!$Y$7,M1098=TH!$Y$7),"x","")</f>
        <v/>
      </c>
      <c r="Z1098" s="525" t="str">
        <f>IF(AND(B1098&lt;=NKC!$N$8,B1098&gt;=NKC!$M$8),"x","")</f>
        <v>x</v>
      </c>
      <c r="AA1098" s="535"/>
    </row>
    <row r="1099" spans="1:28" s="503" customFormat="1" ht="15.75" customHeight="1">
      <c r="A1099" s="517" t="str">
        <f>IF(B1099&lt;&gt;"",IF(AND(B1099&gt;=_TM1,B1099&lt;=_TM2,OR(TH!L1099="1111",TH!M1099="1111")),TH!D1099,""),"")</f>
        <v/>
      </c>
      <c r="B1099" s="531">
        <f t="shared" si="116"/>
        <v>2</v>
      </c>
      <c r="C1099" s="315">
        <f t="shared" si="117"/>
        <v>42791</v>
      </c>
      <c r="D1099" s="315" t="s">
        <v>927</v>
      </c>
      <c r="E1099" s="315">
        <v>42791</v>
      </c>
      <c r="F1099" s="249" t="s">
        <v>709</v>
      </c>
      <c r="G1099" s="314" t="s">
        <v>542</v>
      </c>
      <c r="H1099" s="473" t="s">
        <v>284</v>
      </c>
      <c r="I1099" s="307">
        <v>24</v>
      </c>
      <c r="J1099" s="307">
        <v>41174</v>
      </c>
      <c r="K1099" s="532">
        <f t="shared" si="118"/>
        <v>988176</v>
      </c>
      <c r="L1099" s="534" t="s">
        <v>223</v>
      </c>
      <c r="M1099" s="534" t="s">
        <v>162</v>
      </c>
      <c r="N1099" s="525" t="str">
        <f>IF(AND('331-CT'!$E$7=TH!H1099,OR(L1099="331",M1099="331")),"331",IF(AND(OR(L1099="131",M1099="131"),H1099='131-CT'!$E$7),"131",""))</f>
        <v/>
      </c>
      <c r="O1099" s="525" t="str">
        <f>IF(AND($B1099&gt;='111'!$N$11,$B1099&lt;='111'!$O$11,OR($L1099=$O$7,$M1099=$O$7)),"x","")</f>
        <v/>
      </c>
      <c r="P1099" s="525" t="str">
        <f>IF(AND($L1099=$O$7,$B1099&lt;'111'!$N$11),"x","")</f>
        <v/>
      </c>
      <c r="Q1099" s="525" t="str">
        <f>IF(AND($M1099=$O$7,$B1099&lt;'111'!$N$11),"x","")</f>
        <v/>
      </c>
      <c r="R1099" s="525" t="str">
        <f>IF(ISERROR(FIND('112'!$M$9,G1099,1)),"",IF((AND(FIND('112'!$M$9,G1099,1)&gt;=1,$B1099&gt;='112'!$N$8,$B1099&lt;='112'!$O$8,OR($L1099='112'!$I$6,$M1099='112'!$I$6))),"x",""))</f>
        <v/>
      </c>
      <c r="S1099" s="525" t="str">
        <f>IF(ISERROR(FIND('112'!$M$9,G1099,1)),"",IF((AND(LEFT(G1099,2)=LEFT('112'!$M$9,2),B1099&lt;'112'!$N$8,$L1099='112'!$I$6)),"x",""))</f>
        <v/>
      </c>
      <c r="T1099" s="525" t="str">
        <f>IF(ISERROR(FIND('112'!$M$9,G1099,1)),"",IF((AND(RIGHT(G1099,2)=RIGHT('112'!$M$9,2),B1099&lt;'112'!$N$8,$M1099='112'!$I$6)),"x",""))</f>
        <v/>
      </c>
      <c r="U1099" s="525" t="str">
        <f>IF(AND(B1099&gt;='IN-NX'!$P$3,B1099&lt;='IN-NX'!$Q$3,'IN-NX'!$D$7=D1099,OR(LEFT(L1099,2)="15",AND(LEFT(M1099,2)&lt;&gt;"15",LEFT(M1099,2)&lt;&gt;"33"))),"x","")</f>
        <v/>
      </c>
      <c r="V1099" s="525" t="str">
        <f>IF(AND(OR(LEFT(TH!L1099,2)="15",LEFT(TH!M1099,2)="15"),'152-CT'!$J$8=TH!F1099),"x","")</f>
        <v/>
      </c>
      <c r="W1099" s="525" t="str">
        <f>IF(AND(OR(LEFT(TH!L1099,2)="15",LEFT(TH!M1099,2)="15"),TK!$E$7=TH!F1099),"x","")</f>
        <v/>
      </c>
      <c r="X1099" s="525" t="str">
        <f>IF(AND('341-CT'!$E$9=H1099,OR(LEFT(L1099,3)=$X$7,LEFT(M1099,3)=$X$7)),"x","")</f>
        <v/>
      </c>
      <c r="Y1099" s="525" t="str">
        <f>IF(OR(TH!L1099=TH!$Y$7,M1099=TH!$Y$7),"x","")</f>
        <v/>
      </c>
      <c r="Z1099" s="525" t="str">
        <f>IF(AND(B1099&lt;=NKC!$N$8,B1099&gt;=NKC!$M$8),"x","")</f>
        <v>x</v>
      </c>
      <c r="AA1099" s="535"/>
    </row>
    <row r="1100" spans="1:28" s="503" customFormat="1" ht="15.75" customHeight="1">
      <c r="A1100" s="517" t="str">
        <f>IF(B1100&lt;&gt;"",IF(AND(B1100&gt;=_TM1,B1100&lt;=_TM2,OR(TH!L1100="1111",TH!M1100="1111")),TH!D1100,""),"")</f>
        <v/>
      </c>
      <c r="B1100" s="531">
        <f t="shared" si="116"/>
        <v>2</v>
      </c>
      <c r="C1100" s="315">
        <f t="shared" si="117"/>
        <v>42791</v>
      </c>
      <c r="D1100" s="315" t="s">
        <v>927</v>
      </c>
      <c r="E1100" s="315">
        <v>42791</v>
      </c>
      <c r="F1100" s="249" t="s">
        <v>712</v>
      </c>
      <c r="G1100" s="314" t="s">
        <v>542</v>
      </c>
      <c r="H1100" s="473" t="s">
        <v>284</v>
      </c>
      <c r="I1100" s="307">
        <v>24</v>
      </c>
      <c r="J1100" s="307">
        <v>49256</v>
      </c>
      <c r="K1100" s="532">
        <f t="shared" si="118"/>
        <v>1182144</v>
      </c>
      <c r="L1100" s="534" t="s">
        <v>223</v>
      </c>
      <c r="M1100" s="534" t="s">
        <v>162</v>
      </c>
      <c r="N1100" s="525" t="str">
        <f>IF(AND('331-CT'!$E$7=TH!H1100,OR(L1100="331",M1100="331")),"331",IF(AND(OR(L1100="131",M1100="131"),H1100='131-CT'!$E$7),"131",""))</f>
        <v/>
      </c>
      <c r="O1100" s="525" t="str">
        <f>IF(AND($B1100&gt;='111'!$N$11,$B1100&lt;='111'!$O$11,OR($L1100=$O$7,$M1100=$O$7)),"x","")</f>
        <v/>
      </c>
      <c r="P1100" s="525" t="str">
        <f>IF(AND($L1100=$O$7,$B1100&lt;'111'!$N$11),"x","")</f>
        <v/>
      </c>
      <c r="Q1100" s="525" t="str">
        <f>IF(AND($M1100=$O$7,$B1100&lt;'111'!$N$11),"x","")</f>
        <v/>
      </c>
      <c r="R1100" s="525" t="str">
        <f>IF(ISERROR(FIND('112'!$M$9,G1100,1)),"",IF((AND(FIND('112'!$M$9,G1100,1)&gt;=1,$B1100&gt;='112'!$N$8,$B1100&lt;='112'!$O$8,OR($L1100='112'!$I$6,$M1100='112'!$I$6))),"x",""))</f>
        <v/>
      </c>
      <c r="S1100" s="525" t="str">
        <f>IF(ISERROR(FIND('112'!$M$9,G1100,1)),"",IF((AND(LEFT(G1100,2)=LEFT('112'!$M$9,2),B1100&lt;'112'!$N$8,$L1100='112'!$I$6)),"x",""))</f>
        <v/>
      </c>
      <c r="T1100" s="525" t="str">
        <f>IF(ISERROR(FIND('112'!$M$9,G1100,1)),"",IF((AND(RIGHT(G1100,2)=RIGHT('112'!$M$9,2),B1100&lt;'112'!$N$8,$M1100='112'!$I$6)),"x",""))</f>
        <v/>
      </c>
      <c r="U1100" s="525" t="str">
        <f>IF(AND(B1100&gt;='IN-NX'!$P$3,B1100&lt;='IN-NX'!$Q$3,'IN-NX'!$D$7=D1100,OR(LEFT(L1100,2)="15",AND(LEFT(M1100,2)&lt;&gt;"15",LEFT(M1100,2)&lt;&gt;"33"))),"x","")</f>
        <v/>
      </c>
      <c r="V1100" s="525" t="str">
        <f>IF(AND(OR(LEFT(TH!L1100,2)="15",LEFT(TH!M1100,2)="15"),'152-CT'!$J$8=TH!F1100),"x","")</f>
        <v/>
      </c>
      <c r="W1100" s="525" t="str">
        <f>IF(AND(OR(LEFT(TH!L1100,2)="15",LEFT(TH!M1100,2)="15"),TK!$E$7=TH!F1100),"x","")</f>
        <v/>
      </c>
      <c r="X1100" s="525" t="str">
        <f>IF(AND('341-CT'!$E$9=H1100,OR(LEFT(L1100,3)=$X$7,LEFT(M1100,3)=$X$7)),"x","")</f>
        <v/>
      </c>
      <c r="Y1100" s="525" t="str">
        <f>IF(OR(TH!L1100=TH!$Y$7,M1100=TH!$Y$7),"x","")</f>
        <v/>
      </c>
      <c r="Z1100" s="525" t="str">
        <f>IF(AND(B1100&lt;=NKC!$N$8,B1100&gt;=NKC!$M$8),"x","")</f>
        <v>x</v>
      </c>
      <c r="AA1100" s="535"/>
    </row>
    <row r="1101" spans="1:28" s="503" customFormat="1" ht="15.75" customHeight="1">
      <c r="A1101" s="517" t="str">
        <f>IF(B1101&lt;&gt;"",IF(AND(B1101&gt;=_TM1,B1101&lt;=_TM2,OR(TH!L1101="1111",TH!M1101="1111")),TH!D1101,""),"")</f>
        <v/>
      </c>
      <c r="B1101" s="531">
        <f t="shared" si="116"/>
        <v>2</v>
      </c>
      <c r="C1101" s="315">
        <f t="shared" si="117"/>
        <v>42791</v>
      </c>
      <c r="D1101" s="315" t="s">
        <v>927</v>
      </c>
      <c r="E1101" s="315">
        <v>42791</v>
      </c>
      <c r="F1101" s="249" t="s">
        <v>724</v>
      </c>
      <c r="G1101" s="314" t="s">
        <v>542</v>
      </c>
      <c r="H1101" s="473" t="s">
        <v>284</v>
      </c>
      <c r="I1101" s="307">
        <v>48</v>
      </c>
      <c r="J1101" s="307">
        <v>8397</v>
      </c>
      <c r="K1101" s="532">
        <f t="shared" si="118"/>
        <v>403056</v>
      </c>
      <c r="L1101" s="534" t="s">
        <v>223</v>
      </c>
      <c r="M1101" s="534" t="s">
        <v>162</v>
      </c>
      <c r="N1101" s="525" t="str">
        <f>IF(AND('331-CT'!$E$7=TH!H1101,OR(L1101="331",M1101="331")),"331",IF(AND(OR(L1101="131",M1101="131"),H1101='131-CT'!$E$7),"131",""))</f>
        <v/>
      </c>
      <c r="O1101" s="525" t="str">
        <f>IF(AND($B1101&gt;='111'!$N$11,$B1101&lt;='111'!$O$11,OR($L1101=$O$7,$M1101=$O$7)),"x","")</f>
        <v/>
      </c>
      <c r="P1101" s="525" t="str">
        <f>IF(AND($L1101=$O$7,$B1101&lt;'111'!$N$11),"x","")</f>
        <v/>
      </c>
      <c r="Q1101" s="525" t="str">
        <f>IF(AND($M1101=$O$7,$B1101&lt;'111'!$N$11),"x","")</f>
        <v/>
      </c>
      <c r="R1101" s="525" t="str">
        <f>IF(ISERROR(FIND('112'!$M$9,G1101,1)),"",IF((AND(FIND('112'!$M$9,G1101,1)&gt;=1,$B1101&gt;='112'!$N$8,$B1101&lt;='112'!$O$8,OR($L1101='112'!$I$6,$M1101='112'!$I$6))),"x",""))</f>
        <v/>
      </c>
      <c r="S1101" s="525" t="str">
        <f>IF(ISERROR(FIND('112'!$M$9,G1101,1)),"",IF((AND(LEFT(G1101,2)=LEFT('112'!$M$9,2),B1101&lt;'112'!$N$8,$L1101='112'!$I$6)),"x",""))</f>
        <v/>
      </c>
      <c r="T1101" s="525" t="str">
        <f>IF(ISERROR(FIND('112'!$M$9,G1101,1)),"",IF((AND(RIGHT(G1101,2)=RIGHT('112'!$M$9,2),B1101&lt;'112'!$N$8,$M1101='112'!$I$6)),"x",""))</f>
        <v/>
      </c>
      <c r="U1101" s="525" t="str">
        <f>IF(AND(B1101&gt;='IN-NX'!$P$3,B1101&lt;='IN-NX'!$Q$3,'IN-NX'!$D$7=D1101,OR(LEFT(L1101,2)="15",AND(LEFT(M1101,2)&lt;&gt;"15",LEFT(M1101,2)&lt;&gt;"33"))),"x","")</f>
        <v/>
      </c>
      <c r="V1101" s="525" t="str">
        <f>IF(AND(OR(LEFT(TH!L1101,2)="15",LEFT(TH!M1101,2)="15"),'152-CT'!$J$8=TH!F1101),"x","")</f>
        <v/>
      </c>
      <c r="W1101" s="525" t="str">
        <f>IF(AND(OR(LEFT(TH!L1101,2)="15",LEFT(TH!M1101,2)="15"),TK!$E$7=TH!F1101),"x","")</f>
        <v/>
      </c>
      <c r="X1101" s="525" t="str">
        <f>IF(AND('341-CT'!$E$9=H1101,OR(LEFT(L1101,3)=$X$7,LEFT(M1101,3)=$X$7)),"x","")</f>
        <v/>
      </c>
      <c r="Y1101" s="525" t="str">
        <f>IF(OR(TH!L1101=TH!$Y$7,M1101=TH!$Y$7),"x","")</f>
        <v/>
      </c>
      <c r="Z1101" s="525" t="str">
        <f>IF(AND(B1101&lt;=NKC!$N$8,B1101&gt;=NKC!$M$8),"x","")</f>
        <v>x</v>
      </c>
      <c r="AA1101" s="535"/>
    </row>
    <row r="1102" spans="1:28" s="503" customFormat="1" ht="15.75" customHeight="1">
      <c r="A1102" s="517" t="str">
        <f>IF(B1102&lt;&gt;"",IF(AND(B1102&gt;=_TM1,B1102&lt;=_TM2,OR(TH!L1102="1111",TH!M1102="1111")),TH!D1102,""),"")</f>
        <v/>
      </c>
      <c r="B1102" s="531">
        <f t="shared" si="116"/>
        <v>2</v>
      </c>
      <c r="C1102" s="315">
        <f t="shared" si="117"/>
        <v>42791</v>
      </c>
      <c r="D1102" s="315" t="s">
        <v>927</v>
      </c>
      <c r="E1102" s="315">
        <v>42791</v>
      </c>
      <c r="F1102" s="249" t="s">
        <v>749</v>
      </c>
      <c r="G1102" s="314" t="s">
        <v>542</v>
      </c>
      <c r="H1102" s="473" t="s">
        <v>284</v>
      </c>
      <c r="I1102" s="307">
        <v>144</v>
      </c>
      <c r="J1102" s="307">
        <v>6515</v>
      </c>
      <c r="K1102" s="532">
        <f t="shared" si="118"/>
        <v>938160</v>
      </c>
      <c r="L1102" s="534" t="s">
        <v>223</v>
      </c>
      <c r="M1102" s="534" t="s">
        <v>162</v>
      </c>
      <c r="N1102" s="525" t="str">
        <f>IF(AND('331-CT'!$E$7=TH!H1102,OR(L1102="331",M1102="331")),"331",IF(AND(OR(L1102="131",M1102="131"),H1102='131-CT'!$E$7),"131",""))</f>
        <v/>
      </c>
      <c r="O1102" s="525" t="str">
        <f>IF(AND($B1102&gt;='111'!$N$11,$B1102&lt;='111'!$O$11,OR($L1102=$O$7,$M1102=$O$7)),"x","")</f>
        <v/>
      </c>
      <c r="P1102" s="525" t="str">
        <f>IF(AND($L1102=$O$7,$B1102&lt;'111'!$N$11),"x","")</f>
        <v/>
      </c>
      <c r="Q1102" s="525" t="str">
        <f>IF(AND($M1102=$O$7,$B1102&lt;'111'!$N$11),"x","")</f>
        <v/>
      </c>
      <c r="R1102" s="525" t="str">
        <f>IF(ISERROR(FIND('112'!$M$9,G1102,1)),"",IF((AND(FIND('112'!$M$9,G1102,1)&gt;=1,$B1102&gt;='112'!$N$8,$B1102&lt;='112'!$O$8,OR($L1102='112'!$I$6,$M1102='112'!$I$6))),"x",""))</f>
        <v/>
      </c>
      <c r="S1102" s="525" t="str">
        <f>IF(ISERROR(FIND('112'!$M$9,G1102,1)),"",IF((AND(LEFT(G1102,2)=LEFT('112'!$M$9,2),B1102&lt;'112'!$N$8,$L1102='112'!$I$6)),"x",""))</f>
        <v/>
      </c>
      <c r="T1102" s="525" t="str">
        <f>IF(ISERROR(FIND('112'!$M$9,G1102,1)),"",IF((AND(RIGHT(G1102,2)=RIGHT('112'!$M$9,2),B1102&lt;'112'!$N$8,$M1102='112'!$I$6)),"x",""))</f>
        <v/>
      </c>
      <c r="U1102" s="525" t="str">
        <f>IF(AND(B1102&gt;='IN-NX'!$P$3,B1102&lt;='IN-NX'!$Q$3,'IN-NX'!$D$7=D1102,OR(LEFT(L1102,2)="15",AND(LEFT(M1102,2)&lt;&gt;"15",LEFT(M1102,2)&lt;&gt;"33"))),"x","")</f>
        <v/>
      </c>
      <c r="V1102" s="525" t="str">
        <f>IF(AND(OR(LEFT(TH!L1102,2)="15",LEFT(TH!M1102,2)="15"),'152-CT'!$J$8=TH!F1102),"x","")</f>
        <v/>
      </c>
      <c r="W1102" s="525" t="str">
        <f>IF(AND(OR(LEFT(TH!L1102,2)="15",LEFT(TH!M1102,2)="15"),TK!$E$7=TH!F1102),"x","")</f>
        <v/>
      </c>
      <c r="X1102" s="525" t="str">
        <f>IF(AND('341-CT'!$E$9=H1102,OR(LEFT(L1102,3)=$X$7,LEFT(M1102,3)=$X$7)),"x","")</f>
        <v/>
      </c>
      <c r="Y1102" s="525" t="str">
        <f>IF(OR(TH!L1102=TH!$Y$7,M1102=TH!$Y$7),"x","")</f>
        <v/>
      </c>
      <c r="Z1102" s="525" t="str">
        <f>IF(AND(B1102&lt;=NKC!$N$8,B1102&gt;=NKC!$M$8),"x","")</f>
        <v>x</v>
      </c>
      <c r="AA1102" s="535"/>
    </row>
    <row r="1103" spans="1:28" s="503" customFormat="1" ht="15.75" customHeight="1">
      <c r="A1103" s="517" t="str">
        <f>IF(B1103&lt;&gt;"",IF(AND(B1103&gt;=_TM1,B1103&lt;=_TM2,OR(TH!L1103="1111",TH!M1103="1111")),TH!D1103,""),"")</f>
        <v/>
      </c>
      <c r="B1103" s="531">
        <f t="shared" si="116"/>
        <v>2</v>
      </c>
      <c r="C1103" s="315">
        <f t="shared" si="117"/>
        <v>42791</v>
      </c>
      <c r="D1103" s="315" t="s">
        <v>927</v>
      </c>
      <c r="E1103" s="315">
        <v>42791</v>
      </c>
      <c r="F1103" s="249" t="s">
        <v>670</v>
      </c>
      <c r="G1103" s="314" t="s">
        <v>542</v>
      </c>
      <c r="H1103" s="473" t="s">
        <v>284</v>
      </c>
      <c r="I1103" s="307">
        <v>108</v>
      </c>
      <c r="J1103" s="307">
        <v>9464</v>
      </c>
      <c r="K1103" s="532">
        <f t="shared" si="118"/>
        <v>1022112</v>
      </c>
      <c r="L1103" s="534" t="s">
        <v>223</v>
      </c>
      <c r="M1103" s="534" t="s">
        <v>162</v>
      </c>
      <c r="N1103" s="525" t="str">
        <f>IF(AND('331-CT'!$E$7=TH!H1103,OR(L1103="331",M1103="331")),"331",IF(AND(OR(L1103="131",M1103="131"),H1103='131-CT'!$E$7),"131",""))</f>
        <v/>
      </c>
      <c r="O1103" s="525" t="str">
        <f>IF(AND($B1103&gt;='111'!$N$11,$B1103&lt;='111'!$O$11,OR($L1103=$O$7,$M1103=$O$7)),"x","")</f>
        <v/>
      </c>
      <c r="P1103" s="525" t="str">
        <f>IF(AND($L1103=$O$7,$B1103&lt;'111'!$N$11),"x","")</f>
        <v/>
      </c>
      <c r="Q1103" s="525" t="str">
        <f>IF(AND($M1103=$O$7,$B1103&lt;'111'!$N$11),"x","")</f>
        <v/>
      </c>
      <c r="R1103" s="525" t="str">
        <f>IF(ISERROR(FIND('112'!$M$9,G1103,1)),"",IF((AND(FIND('112'!$M$9,G1103,1)&gt;=1,$B1103&gt;='112'!$N$8,$B1103&lt;='112'!$O$8,OR($L1103='112'!$I$6,$M1103='112'!$I$6))),"x",""))</f>
        <v/>
      </c>
      <c r="S1103" s="525" t="str">
        <f>IF(ISERROR(FIND('112'!$M$9,G1103,1)),"",IF((AND(LEFT(G1103,2)=LEFT('112'!$M$9,2),B1103&lt;'112'!$N$8,$L1103='112'!$I$6)),"x",""))</f>
        <v/>
      </c>
      <c r="T1103" s="525" t="str">
        <f>IF(ISERROR(FIND('112'!$M$9,G1103,1)),"",IF((AND(RIGHT(G1103,2)=RIGHT('112'!$M$9,2),B1103&lt;'112'!$N$8,$M1103='112'!$I$6)),"x",""))</f>
        <v/>
      </c>
      <c r="U1103" s="525" t="str">
        <f>IF(AND(B1103&gt;='IN-NX'!$P$3,B1103&lt;='IN-NX'!$Q$3,'IN-NX'!$D$7=D1103,OR(LEFT(L1103,2)="15",AND(LEFT(M1103,2)&lt;&gt;"15",LEFT(M1103,2)&lt;&gt;"33"))),"x","")</f>
        <v/>
      </c>
      <c r="V1103" s="525" t="str">
        <f>IF(AND(OR(LEFT(TH!L1103,2)="15",LEFT(TH!M1103,2)="15"),'152-CT'!$J$8=TH!F1103),"x","")</f>
        <v/>
      </c>
      <c r="W1103" s="525" t="str">
        <f>IF(AND(OR(LEFT(TH!L1103,2)="15",LEFT(TH!M1103,2)="15"),TK!$E$7=TH!F1103),"x","")</f>
        <v/>
      </c>
      <c r="X1103" s="525" t="str">
        <f>IF(AND('341-CT'!$E$9=H1103,OR(LEFT(L1103,3)=$X$7,LEFT(M1103,3)=$X$7)),"x","")</f>
        <v/>
      </c>
      <c r="Y1103" s="525" t="str">
        <f>IF(OR(TH!L1103=TH!$Y$7,M1103=TH!$Y$7),"x","")</f>
        <v/>
      </c>
      <c r="Z1103" s="525" t="str">
        <f>IF(AND(B1103&lt;=NKC!$N$8,B1103&gt;=NKC!$M$8),"x","")</f>
        <v>x</v>
      </c>
      <c r="AA1103" s="535"/>
    </row>
    <row r="1104" spans="1:28" s="503" customFormat="1" ht="15.75" customHeight="1">
      <c r="A1104" s="517" t="str">
        <f>IF(B1104&lt;&gt;"",IF(AND(B1104&gt;=_TM1,B1104&lt;=_TM2,OR(TH!L1104="1111",TH!M1104="1111")),TH!D1104,""),"")</f>
        <v/>
      </c>
      <c r="B1104" s="531">
        <f t="shared" si="116"/>
        <v>2</v>
      </c>
      <c r="C1104" s="315">
        <f t="shared" si="117"/>
        <v>42791</v>
      </c>
      <c r="D1104" s="315" t="s">
        <v>927</v>
      </c>
      <c r="E1104" s="315">
        <v>42791</v>
      </c>
      <c r="F1104" s="249" t="s">
        <v>750</v>
      </c>
      <c r="G1104" s="314" t="s">
        <v>542</v>
      </c>
      <c r="H1104" s="473" t="s">
        <v>284</v>
      </c>
      <c r="I1104" s="307">
        <v>8</v>
      </c>
      <c r="J1104" s="307">
        <v>76986</v>
      </c>
      <c r="K1104" s="532">
        <f t="shared" si="118"/>
        <v>615888</v>
      </c>
      <c r="L1104" s="534" t="s">
        <v>223</v>
      </c>
      <c r="M1104" s="534" t="s">
        <v>162</v>
      </c>
      <c r="N1104" s="525" t="str">
        <f>IF(AND('331-CT'!$E$7=TH!H1104,OR(L1104="331",M1104="331")),"331",IF(AND(OR(L1104="131",M1104="131"),H1104='131-CT'!$E$7),"131",""))</f>
        <v/>
      </c>
      <c r="O1104" s="525" t="str">
        <f>IF(AND($B1104&gt;='111'!$N$11,$B1104&lt;='111'!$O$11,OR($L1104=$O$7,$M1104=$O$7)),"x","")</f>
        <v/>
      </c>
      <c r="P1104" s="525" t="str">
        <f>IF(AND($L1104=$O$7,$B1104&lt;'111'!$N$11),"x","")</f>
        <v/>
      </c>
      <c r="Q1104" s="525" t="str">
        <f>IF(AND($M1104=$O$7,$B1104&lt;'111'!$N$11),"x","")</f>
        <v/>
      </c>
      <c r="R1104" s="525" t="str">
        <f>IF(ISERROR(FIND('112'!$M$9,G1104,1)),"",IF((AND(FIND('112'!$M$9,G1104,1)&gt;=1,$B1104&gt;='112'!$N$8,$B1104&lt;='112'!$O$8,OR($L1104='112'!$I$6,$M1104='112'!$I$6))),"x",""))</f>
        <v/>
      </c>
      <c r="S1104" s="525" t="str">
        <f>IF(ISERROR(FIND('112'!$M$9,G1104,1)),"",IF((AND(LEFT(G1104,2)=LEFT('112'!$M$9,2),B1104&lt;'112'!$N$8,$L1104='112'!$I$6)),"x",""))</f>
        <v/>
      </c>
      <c r="T1104" s="525" t="str">
        <f>IF(ISERROR(FIND('112'!$M$9,G1104,1)),"",IF((AND(RIGHT(G1104,2)=RIGHT('112'!$M$9,2),B1104&lt;'112'!$N$8,$M1104='112'!$I$6)),"x",""))</f>
        <v/>
      </c>
      <c r="U1104" s="525" t="str">
        <f>IF(AND(B1104&gt;='IN-NX'!$P$3,B1104&lt;='IN-NX'!$Q$3,'IN-NX'!$D$7=D1104,OR(LEFT(L1104,2)="15",AND(LEFT(M1104,2)&lt;&gt;"15",LEFT(M1104,2)&lt;&gt;"33"))),"x","")</f>
        <v/>
      </c>
      <c r="V1104" s="525" t="str">
        <f>IF(AND(OR(LEFT(TH!L1104,2)="15",LEFT(TH!M1104,2)="15"),'152-CT'!$J$8=TH!F1104),"x","")</f>
        <v/>
      </c>
      <c r="W1104" s="525" t="str">
        <f>IF(AND(OR(LEFT(TH!L1104,2)="15",LEFT(TH!M1104,2)="15"),TK!$E$7=TH!F1104),"x","")</f>
        <v/>
      </c>
      <c r="X1104" s="525" t="str">
        <f>IF(AND('341-CT'!$E$9=H1104,OR(LEFT(L1104,3)=$X$7,LEFT(M1104,3)=$X$7)),"x","")</f>
        <v/>
      </c>
      <c r="Y1104" s="525" t="str">
        <f>IF(OR(TH!L1104=TH!$Y$7,M1104=TH!$Y$7),"x","")</f>
        <v/>
      </c>
      <c r="Z1104" s="525" t="str">
        <f>IF(AND(B1104&lt;=NKC!$N$8,B1104&gt;=NKC!$M$8),"x","")</f>
        <v>x</v>
      </c>
      <c r="AA1104" s="535"/>
    </row>
    <row r="1105" spans="1:27" s="503" customFormat="1" ht="15.75" customHeight="1">
      <c r="A1105" s="517" t="str">
        <f>IF(B1105&lt;&gt;"",IF(AND(B1105&gt;=_TM1,B1105&lt;=_TM2,OR(TH!L1105="1111",TH!M1105="1111")),TH!D1105,""),"")</f>
        <v/>
      </c>
      <c r="B1105" s="531">
        <f t="shared" si="116"/>
        <v>2</v>
      </c>
      <c r="C1105" s="315">
        <f t="shared" si="117"/>
        <v>42791</v>
      </c>
      <c r="D1105" s="315" t="s">
        <v>927</v>
      </c>
      <c r="E1105" s="315">
        <v>42791</v>
      </c>
      <c r="F1105" s="249" t="s">
        <v>714</v>
      </c>
      <c r="G1105" s="314" t="s">
        <v>542</v>
      </c>
      <c r="H1105" s="473" t="s">
        <v>284</v>
      </c>
      <c r="I1105" s="307">
        <v>24</v>
      </c>
      <c r="J1105" s="307">
        <v>49208</v>
      </c>
      <c r="K1105" s="532">
        <f t="shared" si="118"/>
        <v>1180992</v>
      </c>
      <c r="L1105" s="534" t="s">
        <v>223</v>
      </c>
      <c r="M1105" s="534" t="s">
        <v>162</v>
      </c>
      <c r="N1105" s="525" t="str">
        <f>IF(AND('331-CT'!$E$7=TH!H1105,OR(L1105="331",M1105="331")),"331",IF(AND(OR(L1105="131",M1105="131"),H1105='131-CT'!$E$7),"131",""))</f>
        <v/>
      </c>
      <c r="O1105" s="525" t="str">
        <f>IF(AND($B1105&gt;='111'!$N$11,$B1105&lt;='111'!$O$11,OR($L1105=$O$7,$M1105=$O$7)),"x","")</f>
        <v/>
      </c>
      <c r="P1105" s="525" t="str">
        <f>IF(AND($L1105=$O$7,$B1105&lt;'111'!$N$11),"x","")</f>
        <v/>
      </c>
      <c r="Q1105" s="525" t="str">
        <f>IF(AND($M1105=$O$7,$B1105&lt;'111'!$N$11),"x","")</f>
        <v/>
      </c>
      <c r="R1105" s="525" t="str">
        <f>IF(ISERROR(FIND('112'!$M$9,G1105,1)),"",IF((AND(FIND('112'!$M$9,G1105,1)&gt;=1,$B1105&gt;='112'!$N$8,$B1105&lt;='112'!$O$8,OR($L1105='112'!$I$6,$M1105='112'!$I$6))),"x",""))</f>
        <v/>
      </c>
      <c r="S1105" s="525" t="str">
        <f>IF(ISERROR(FIND('112'!$M$9,G1105,1)),"",IF((AND(LEFT(G1105,2)=LEFT('112'!$M$9,2),B1105&lt;'112'!$N$8,$L1105='112'!$I$6)),"x",""))</f>
        <v/>
      </c>
      <c r="T1105" s="525" t="str">
        <f>IF(ISERROR(FIND('112'!$M$9,G1105,1)),"",IF((AND(RIGHT(G1105,2)=RIGHT('112'!$M$9,2),B1105&lt;'112'!$N$8,$M1105='112'!$I$6)),"x",""))</f>
        <v/>
      </c>
      <c r="U1105" s="525" t="str">
        <f>IF(AND(B1105&gt;='IN-NX'!$P$3,B1105&lt;='IN-NX'!$Q$3,'IN-NX'!$D$7=D1105,OR(LEFT(L1105,2)="15",AND(LEFT(M1105,2)&lt;&gt;"15",LEFT(M1105,2)&lt;&gt;"33"))),"x","")</f>
        <v/>
      </c>
      <c r="V1105" s="525" t="str">
        <f>IF(AND(OR(LEFT(TH!L1105,2)="15",LEFT(TH!M1105,2)="15"),'152-CT'!$J$8=TH!F1105),"x","")</f>
        <v/>
      </c>
      <c r="W1105" s="525" t="str">
        <f>IF(AND(OR(LEFT(TH!L1105,2)="15",LEFT(TH!M1105,2)="15"),TK!$E$7=TH!F1105),"x","")</f>
        <v/>
      </c>
      <c r="X1105" s="525" t="str">
        <f>IF(AND('341-CT'!$E$9=H1105,OR(LEFT(L1105,3)=$X$7,LEFT(M1105,3)=$X$7)),"x","")</f>
        <v/>
      </c>
      <c r="Y1105" s="525" t="str">
        <f>IF(OR(TH!L1105=TH!$Y$7,M1105=TH!$Y$7),"x","")</f>
        <v/>
      </c>
      <c r="Z1105" s="525" t="str">
        <f>IF(AND(B1105&lt;=NKC!$N$8,B1105&gt;=NKC!$M$8),"x","")</f>
        <v>x</v>
      </c>
      <c r="AA1105" s="535"/>
    </row>
    <row r="1106" spans="1:27" s="503" customFormat="1" ht="15.75" customHeight="1">
      <c r="A1106" s="517" t="str">
        <f>IF(B1106&lt;&gt;"",IF(AND(B1106&gt;=_TM1,B1106&lt;=_TM2,OR(TH!L1106="1111",TH!M1106="1111")),TH!D1106,""),"")</f>
        <v/>
      </c>
      <c r="B1106" s="531">
        <f t="shared" si="116"/>
        <v>2</v>
      </c>
      <c r="C1106" s="315">
        <f t="shared" si="117"/>
        <v>42791</v>
      </c>
      <c r="D1106" s="315" t="s">
        <v>927</v>
      </c>
      <c r="E1106" s="315">
        <v>42791</v>
      </c>
      <c r="F1106" s="249" t="s">
        <v>751</v>
      </c>
      <c r="G1106" s="314" t="s">
        <v>542</v>
      </c>
      <c r="H1106" s="473" t="s">
        <v>284</v>
      </c>
      <c r="I1106" s="307">
        <v>50</v>
      </c>
      <c r="J1106" s="307">
        <v>16050</v>
      </c>
      <c r="K1106" s="532">
        <f t="shared" si="118"/>
        <v>802500</v>
      </c>
      <c r="L1106" s="534" t="s">
        <v>223</v>
      </c>
      <c r="M1106" s="534" t="s">
        <v>162</v>
      </c>
      <c r="N1106" s="525" t="str">
        <f>IF(AND('331-CT'!$E$7=TH!H1106,OR(L1106="331",M1106="331")),"331",IF(AND(OR(L1106="131",M1106="131"),H1106='131-CT'!$E$7),"131",""))</f>
        <v/>
      </c>
      <c r="O1106" s="525" t="str">
        <f>IF(AND($B1106&gt;='111'!$N$11,$B1106&lt;='111'!$O$11,OR($L1106=$O$7,$M1106=$O$7)),"x","")</f>
        <v/>
      </c>
      <c r="P1106" s="525" t="str">
        <f>IF(AND($L1106=$O$7,$B1106&lt;'111'!$N$11),"x","")</f>
        <v/>
      </c>
      <c r="Q1106" s="525" t="str">
        <f>IF(AND($M1106=$O$7,$B1106&lt;'111'!$N$11),"x","")</f>
        <v/>
      </c>
      <c r="R1106" s="525" t="str">
        <f>IF(ISERROR(FIND('112'!$M$9,G1106,1)),"",IF((AND(FIND('112'!$M$9,G1106,1)&gt;=1,$B1106&gt;='112'!$N$8,$B1106&lt;='112'!$O$8,OR($L1106='112'!$I$6,$M1106='112'!$I$6))),"x",""))</f>
        <v/>
      </c>
      <c r="S1106" s="525" t="str">
        <f>IF(ISERROR(FIND('112'!$M$9,G1106,1)),"",IF((AND(LEFT(G1106,2)=LEFT('112'!$M$9,2),B1106&lt;'112'!$N$8,$L1106='112'!$I$6)),"x",""))</f>
        <v/>
      </c>
      <c r="T1106" s="525" t="str">
        <f>IF(ISERROR(FIND('112'!$M$9,G1106,1)),"",IF((AND(RIGHT(G1106,2)=RIGHT('112'!$M$9,2),B1106&lt;'112'!$N$8,$M1106='112'!$I$6)),"x",""))</f>
        <v/>
      </c>
      <c r="U1106" s="525" t="str">
        <f>IF(AND(B1106&gt;='IN-NX'!$P$3,B1106&lt;='IN-NX'!$Q$3,'IN-NX'!$D$7=D1106,OR(LEFT(L1106,2)="15",AND(LEFT(M1106,2)&lt;&gt;"15",LEFT(M1106,2)&lt;&gt;"33"))),"x","")</f>
        <v/>
      </c>
      <c r="V1106" s="525" t="str">
        <f>IF(AND(OR(LEFT(TH!L1106,2)="15",LEFT(TH!M1106,2)="15"),'152-CT'!$J$8=TH!F1106),"x","")</f>
        <v/>
      </c>
      <c r="W1106" s="525" t="str">
        <f>IF(AND(OR(LEFT(TH!L1106,2)="15",LEFT(TH!M1106,2)="15"),TK!$E$7=TH!F1106),"x","")</f>
        <v/>
      </c>
      <c r="X1106" s="525" t="str">
        <f>IF(AND('341-CT'!$E$9=H1106,OR(LEFT(L1106,3)=$X$7,LEFT(M1106,3)=$X$7)),"x","")</f>
        <v/>
      </c>
      <c r="Y1106" s="525" t="str">
        <f>IF(OR(TH!L1106=TH!$Y$7,M1106=TH!$Y$7),"x","")</f>
        <v/>
      </c>
      <c r="Z1106" s="525" t="str">
        <f>IF(AND(B1106&lt;=NKC!$N$8,B1106&gt;=NKC!$M$8),"x","")</f>
        <v>x</v>
      </c>
      <c r="AA1106" s="535"/>
    </row>
    <row r="1107" spans="1:27" s="503" customFormat="1" ht="15.75" customHeight="1">
      <c r="A1107" s="517" t="str">
        <f>IF(B1107&lt;&gt;"",IF(AND(B1107&gt;=_TM1,B1107&lt;=_TM2,OR(TH!L1107="1111",TH!M1107="1111")),TH!D1107,""),"")</f>
        <v/>
      </c>
      <c r="B1107" s="531">
        <f t="shared" si="116"/>
        <v>2</v>
      </c>
      <c r="C1107" s="315">
        <f t="shared" si="117"/>
        <v>42791</v>
      </c>
      <c r="D1107" s="315" t="s">
        <v>927</v>
      </c>
      <c r="E1107" s="315">
        <v>42791</v>
      </c>
      <c r="F1107" s="249" t="s">
        <v>752</v>
      </c>
      <c r="G1107" s="314" t="s">
        <v>542</v>
      </c>
      <c r="H1107" s="473" t="s">
        <v>284</v>
      </c>
      <c r="I1107" s="307">
        <v>117</v>
      </c>
      <c r="J1107" s="307">
        <v>10287</v>
      </c>
      <c r="K1107" s="532">
        <f t="shared" si="118"/>
        <v>1203579</v>
      </c>
      <c r="L1107" s="534" t="s">
        <v>223</v>
      </c>
      <c r="M1107" s="534" t="s">
        <v>162</v>
      </c>
      <c r="N1107" s="525" t="str">
        <f>IF(AND('331-CT'!$E$7=TH!H1107,OR(L1107="331",M1107="331")),"331",IF(AND(OR(L1107="131",M1107="131"),H1107='131-CT'!$E$7),"131",""))</f>
        <v/>
      </c>
      <c r="O1107" s="525" t="str">
        <f>IF(AND($B1107&gt;='111'!$N$11,$B1107&lt;='111'!$O$11,OR($L1107=$O$7,$M1107=$O$7)),"x","")</f>
        <v/>
      </c>
      <c r="P1107" s="525" t="str">
        <f>IF(AND($L1107=$O$7,$B1107&lt;'111'!$N$11),"x","")</f>
        <v/>
      </c>
      <c r="Q1107" s="525" t="str">
        <f>IF(AND($M1107=$O$7,$B1107&lt;'111'!$N$11),"x","")</f>
        <v/>
      </c>
      <c r="R1107" s="525" t="str">
        <f>IF(ISERROR(FIND('112'!$M$9,G1107,1)),"",IF((AND(FIND('112'!$M$9,G1107,1)&gt;=1,$B1107&gt;='112'!$N$8,$B1107&lt;='112'!$O$8,OR($L1107='112'!$I$6,$M1107='112'!$I$6))),"x",""))</f>
        <v/>
      </c>
      <c r="S1107" s="525" t="str">
        <f>IF(ISERROR(FIND('112'!$M$9,G1107,1)),"",IF((AND(LEFT(G1107,2)=LEFT('112'!$M$9,2),B1107&lt;'112'!$N$8,$L1107='112'!$I$6)),"x",""))</f>
        <v/>
      </c>
      <c r="T1107" s="525" t="str">
        <f>IF(ISERROR(FIND('112'!$M$9,G1107,1)),"",IF((AND(RIGHT(G1107,2)=RIGHT('112'!$M$9,2),B1107&lt;'112'!$N$8,$M1107='112'!$I$6)),"x",""))</f>
        <v/>
      </c>
      <c r="U1107" s="525" t="str">
        <f>IF(AND(B1107&gt;='IN-NX'!$P$3,B1107&lt;='IN-NX'!$Q$3,'IN-NX'!$D$7=D1107,OR(LEFT(L1107,2)="15",AND(LEFT(M1107,2)&lt;&gt;"15",LEFT(M1107,2)&lt;&gt;"33"))),"x","")</f>
        <v/>
      </c>
      <c r="V1107" s="525" t="str">
        <f>IF(AND(OR(LEFT(TH!L1107,2)="15",LEFT(TH!M1107,2)="15"),'152-CT'!$J$8=TH!F1107),"x","")</f>
        <v/>
      </c>
      <c r="W1107" s="525" t="str">
        <f>IF(AND(OR(LEFT(TH!L1107,2)="15",LEFT(TH!M1107,2)="15"),TK!$E$7=TH!F1107),"x","")</f>
        <v/>
      </c>
      <c r="X1107" s="525" t="str">
        <f>IF(AND('341-CT'!$E$9=H1107,OR(LEFT(L1107,3)=$X$7,LEFT(M1107,3)=$X$7)),"x","")</f>
        <v/>
      </c>
      <c r="Y1107" s="525" t="str">
        <f>IF(OR(TH!L1107=TH!$Y$7,M1107=TH!$Y$7),"x","")</f>
        <v/>
      </c>
      <c r="Z1107" s="525" t="str">
        <f>IF(AND(B1107&lt;=NKC!$N$8,B1107&gt;=NKC!$M$8),"x","")</f>
        <v>x</v>
      </c>
      <c r="AA1107" s="535"/>
    </row>
    <row r="1108" spans="1:27" s="503" customFormat="1" ht="15.75" customHeight="1">
      <c r="A1108" s="517" t="str">
        <f>IF(B1108&lt;&gt;"",IF(AND(B1108&gt;=_TM1,B1108&lt;=_TM2,OR(TH!L1108="1111",TH!M1108="1111")),TH!D1108,""),"")</f>
        <v/>
      </c>
      <c r="B1108" s="531">
        <f t="shared" si="116"/>
        <v>2</v>
      </c>
      <c r="C1108" s="315">
        <f t="shared" si="117"/>
        <v>42791</v>
      </c>
      <c r="D1108" s="315" t="s">
        <v>927</v>
      </c>
      <c r="E1108" s="315">
        <v>42791</v>
      </c>
      <c r="F1108" s="249" t="s">
        <v>626</v>
      </c>
      <c r="G1108" s="314" t="s">
        <v>542</v>
      </c>
      <c r="H1108" s="473" t="s">
        <v>284</v>
      </c>
      <c r="I1108" s="307">
        <v>50</v>
      </c>
      <c r="J1108" s="307">
        <v>33220</v>
      </c>
      <c r="K1108" s="532">
        <f t="shared" si="118"/>
        <v>1661000</v>
      </c>
      <c r="L1108" s="534" t="s">
        <v>223</v>
      </c>
      <c r="M1108" s="534" t="s">
        <v>162</v>
      </c>
      <c r="N1108" s="525" t="str">
        <f>IF(AND('331-CT'!$E$7=TH!H1108,OR(L1108="331",M1108="331")),"331",IF(AND(OR(L1108="131",M1108="131"),H1108='131-CT'!$E$7),"131",""))</f>
        <v/>
      </c>
      <c r="O1108" s="525" t="str">
        <f>IF(AND($B1108&gt;='111'!$N$11,$B1108&lt;='111'!$O$11,OR($L1108=$O$7,$M1108=$O$7)),"x","")</f>
        <v/>
      </c>
      <c r="P1108" s="525" t="str">
        <f>IF(AND($L1108=$O$7,$B1108&lt;'111'!$N$11),"x","")</f>
        <v/>
      </c>
      <c r="Q1108" s="525" t="str">
        <f>IF(AND($M1108=$O$7,$B1108&lt;'111'!$N$11),"x","")</f>
        <v/>
      </c>
      <c r="R1108" s="525" t="str">
        <f>IF(ISERROR(FIND('112'!$M$9,G1108,1)),"",IF((AND(FIND('112'!$M$9,G1108,1)&gt;=1,$B1108&gt;='112'!$N$8,$B1108&lt;='112'!$O$8,OR($L1108='112'!$I$6,$M1108='112'!$I$6))),"x",""))</f>
        <v/>
      </c>
      <c r="S1108" s="525" t="str">
        <f>IF(ISERROR(FIND('112'!$M$9,G1108,1)),"",IF((AND(LEFT(G1108,2)=LEFT('112'!$M$9,2),B1108&lt;'112'!$N$8,$L1108='112'!$I$6)),"x",""))</f>
        <v/>
      </c>
      <c r="T1108" s="525" t="str">
        <f>IF(ISERROR(FIND('112'!$M$9,G1108,1)),"",IF((AND(RIGHT(G1108,2)=RIGHT('112'!$M$9,2),B1108&lt;'112'!$N$8,$M1108='112'!$I$6)),"x",""))</f>
        <v/>
      </c>
      <c r="U1108" s="525" t="str">
        <f>IF(AND(B1108&gt;='IN-NX'!$P$3,B1108&lt;='IN-NX'!$Q$3,'IN-NX'!$D$7=D1108,OR(LEFT(L1108,2)="15",AND(LEFT(M1108,2)&lt;&gt;"15",LEFT(M1108,2)&lt;&gt;"33"))),"x","")</f>
        <v/>
      </c>
      <c r="V1108" s="525" t="str">
        <f>IF(AND(OR(LEFT(TH!L1108,2)="15",LEFT(TH!M1108,2)="15"),'152-CT'!$J$8=TH!F1108),"x","")</f>
        <v/>
      </c>
      <c r="W1108" s="525" t="str">
        <f>IF(AND(OR(LEFT(TH!L1108,2)="15",LEFT(TH!M1108,2)="15"),TK!$E$7=TH!F1108),"x","")</f>
        <v/>
      </c>
      <c r="X1108" s="525" t="str">
        <f>IF(AND('341-CT'!$E$9=H1108,OR(LEFT(L1108,3)=$X$7,LEFT(M1108,3)=$X$7)),"x","")</f>
        <v/>
      </c>
      <c r="Y1108" s="525" t="str">
        <f>IF(OR(TH!L1108=TH!$Y$7,M1108=TH!$Y$7),"x","")</f>
        <v/>
      </c>
      <c r="Z1108" s="525" t="str">
        <f>IF(AND(B1108&lt;=NKC!$N$8,B1108&gt;=NKC!$M$8),"x","")</f>
        <v>x</v>
      </c>
      <c r="AA1108" s="535"/>
    </row>
    <row r="1109" spans="1:27" s="503" customFormat="1" ht="15.75" customHeight="1">
      <c r="A1109" s="517" t="str">
        <f>IF(B1109&lt;&gt;"",IF(AND(B1109&gt;=_TM1,B1109&lt;=_TM2,OR(TH!L1109="1111",TH!M1109="1111")),TH!D1109,""),"")</f>
        <v/>
      </c>
      <c r="B1109" s="531">
        <f t="shared" si="116"/>
        <v>2</v>
      </c>
      <c r="C1109" s="315">
        <f t="shared" si="117"/>
        <v>42791</v>
      </c>
      <c r="D1109" s="315" t="s">
        <v>927</v>
      </c>
      <c r="E1109" s="315">
        <v>42791</v>
      </c>
      <c r="F1109" s="249" t="s">
        <v>627</v>
      </c>
      <c r="G1109" s="314" t="s">
        <v>542</v>
      </c>
      <c r="H1109" s="473" t="s">
        <v>284</v>
      </c>
      <c r="I1109" s="307">
        <v>234</v>
      </c>
      <c r="J1109" s="307">
        <v>49818</v>
      </c>
      <c r="K1109" s="532">
        <f t="shared" si="118"/>
        <v>11657412</v>
      </c>
      <c r="L1109" s="534" t="s">
        <v>223</v>
      </c>
      <c r="M1109" s="534" t="s">
        <v>162</v>
      </c>
      <c r="N1109" s="525" t="str">
        <f>IF(AND('331-CT'!$E$7=TH!H1109,OR(L1109="331",M1109="331")),"331",IF(AND(OR(L1109="131",M1109="131"),H1109='131-CT'!$E$7),"131",""))</f>
        <v/>
      </c>
      <c r="O1109" s="525" t="str">
        <f>IF(AND($B1109&gt;='111'!$N$11,$B1109&lt;='111'!$O$11,OR($L1109=$O$7,$M1109=$O$7)),"x","")</f>
        <v/>
      </c>
      <c r="P1109" s="525" t="str">
        <f>IF(AND($L1109=$O$7,$B1109&lt;'111'!$N$11),"x","")</f>
        <v/>
      </c>
      <c r="Q1109" s="525" t="str">
        <f>IF(AND($M1109=$O$7,$B1109&lt;'111'!$N$11),"x","")</f>
        <v/>
      </c>
      <c r="R1109" s="525" t="str">
        <f>IF(ISERROR(FIND('112'!$M$9,G1109,1)),"",IF((AND(FIND('112'!$M$9,G1109,1)&gt;=1,$B1109&gt;='112'!$N$8,$B1109&lt;='112'!$O$8,OR($L1109='112'!$I$6,$M1109='112'!$I$6))),"x",""))</f>
        <v/>
      </c>
      <c r="S1109" s="525" t="str">
        <f>IF(ISERROR(FIND('112'!$M$9,G1109,1)),"",IF((AND(LEFT(G1109,2)=LEFT('112'!$M$9,2),B1109&lt;'112'!$N$8,$L1109='112'!$I$6)),"x",""))</f>
        <v/>
      </c>
      <c r="T1109" s="525" t="str">
        <f>IF(ISERROR(FIND('112'!$M$9,G1109,1)),"",IF((AND(RIGHT(G1109,2)=RIGHT('112'!$M$9,2),B1109&lt;'112'!$N$8,$M1109='112'!$I$6)),"x",""))</f>
        <v/>
      </c>
      <c r="U1109" s="525" t="str">
        <f>IF(AND(B1109&gt;='IN-NX'!$P$3,B1109&lt;='IN-NX'!$Q$3,'IN-NX'!$D$7=D1109,OR(LEFT(L1109,2)="15",AND(LEFT(M1109,2)&lt;&gt;"15",LEFT(M1109,2)&lt;&gt;"33"))),"x","")</f>
        <v/>
      </c>
      <c r="V1109" s="525" t="str">
        <f>IF(AND(OR(LEFT(TH!L1109,2)="15",LEFT(TH!M1109,2)="15"),'152-CT'!$J$8=TH!F1109),"x","")</f>
        <v/>
      </c>
      <c r="W1109" s="525" t="str">
        <f>IF(AND(OR(LEFT(TH!L1109,2)="15",LEFT(TH!M1109,2)="15"),TK!$E$7=TH!F1109),"x","")</f>
        <v/>
      </c>
      <c r="X1109" s="525" t="str">
        <f>IF(AND('341-CT'!$E$9=H1109,OR(LEFT(L1109,3)=$X$7,LEFT(M1109,3)=$X$7)),"x","")</f>
        <v/>
      </c>
      <c r="Y1109" s="525" t="str">
        <f>IF(OR(TH!L1109=TH!$Y$7,M1109=TH!$Y$7),"x","")</f>
        <v/>
      </c>
      <c r="Z1109" s="525" t="str">
        <f>IF(AND(B1109&lt;=NKC!$N$8,B1109&gt;=NKC!$M$8),"x","")</f>
        <v>x</v>
      </c>
      <c r="AA1109" s="535"/>
    </row>
    <row r="1110" spans="1:27" s="503" customFormat="1" ht="15.75" customHeight="1">
      <c r="A1110" s="517" t="str">
        <f>IF(B1110&lt;&gt;"",IF(AND(B1110&gt;=_TM1,B1110&lt;=_TM2,OR(TH!L1110="1111",TH!M1110="1111")),TH!D1110,""),"")</f>
        <v/>
      </c>
      <c r="B1110" s="531">
        <f t="shared" si="116"/>
        <v>2</v>
      </c>
      <c r="C1110" s="315">
        <f t="shared" si="117"/>
        <v>42791</v>
      </c>
      <c r="D1110" s="315" t="s">
        <v>928</v>
      </c>
      <c r="E1110" s="315">
        <v>42791</v>
      </c>
      <c r="F1110" s="249" t="s">
        <v>753</v>
      </c>
      <c r="G1110" s="314" t="s">
        <v>542</v>
      </c>
      <c r="H1110" s="473" t="s">
        <v>284</v>
      </c>
      <c r="I1110" s="307">
        <v>39</v>
      </c>
      <c r="J1110" s="307">
        <v>39434</v>
      </c>
      <c r="K1110" s="532">
        <f t="shared" si="118"/>
        <v>1537926</v>
      </c>
      <c r="L1110" s="534" t="s">
        <v>223</v>
      </c>
      <c r="M1110" s="534" t="s">
        <v>162</v>
      </c>
      <c r="N1110" s="525" t="str">
        <f>IF(AND('331-CT'!$E$7=TH!H1110,OR(L1110="331",M1110="331")),"331",IF(AND(OR(L1110="131",M1110="131"),H1110='131-CT'!$E$7),"131",""))</f>
        <v/>
      </c>
      <c r="O1110" s="525" t="str">
        <f>IF(AND($B1110&gt;='111'!$N$11,$B1110&lt;='111'!$O$11,OR($L1110=$O$7,$M1110=$O$7)),"x","")</f>
        <v/>
      </c>
      <c r="P1110" s="525" t="str">
        <f>IF(AND($L1110=$O$7,$B1110&lt;'111'!$N$11),"x","")</f>
        <v/>
      </c>
      <c r="Q1110" s="525" t="str">
        <f>IF(AND($M1110=$O$7,$B1110&lt;'111'!$N$11),"x","")</f>
        <v/>
      </c>
      <c r="R1110" s="525" t="str">
        <f>IF(ISERROR(FIND('112'!$M$9,G1110,1)),"",IF((AND(FIND('112'!$M$9,G1110,1)&gt;=1,$B1110&gt;='112'!$N$8,$B1110&lt;='112'!$O$8,OR($L1110='112'!$I$6,$M1110='112'!$I$6))),"x",""))</f>
        <v/>
      </c>
      <c r="S1110" s="525" t="str">
        <f>IF(ISERROR(FIND('112'!$M$9,G1110,1)),"",IF((AND(LEFT(G1110,2)=LEFT('112'!$M$9,2),B1110&lt;'112'!$N$8,$L1110='112'!$I$6)),"x",""))</f>
        <v/>
      </c>
      <c r="T1110" s="525" t="str">
        <f>IF(ISERROR(FIND('112'!$M$9,G1110,1)),"",IF((AND(RIGHT(G1110,2)=RIGHT('112'!$M$9,2),B1110&lt;'112'!$N$8,$M1110='112'!$I$6)),"x",""))</f>
        <v/>
      </c>
      <c r="U1110" s="525" t="str">
        <f>IF(AND(B1110&gt;='IN-NX'!$P$3,B1110&lt;='IN-NX'!$Q$3,'IN-NX'!$D$7=D1110,OR(LEFT(L1110,2)="15",AND(LEFT(M1110,2)&lt;&gt;"15",LEFT(M1110,2)&lt;&gt;"33"))),"x","")</f>
        <v/>
      </c>
      <c r="V1110" s="525" t="str">
        <f>IF(AND(OR(LEFT(TH!L1110,2)="15",LEFT(TH!M1110,2)="15"),'152-CT'!$J$8=TH!F1110),"x","")</f>
        <v/>
      </c>
      <c r="W1110" s="525" t="str">
        <f>IF(AND(OR(LEFT(TH!L1110,2)="15",LEFT(TH!M1110,2)="15"),TK!$E$7=TH!F1110),"x","")</f>
        <v/>
      </c>
      <c r="X1110" s="525" t="str">
        <f>IF(AND('341-CT'!$E$9=H1110,OR(LEFT(L1110,3)=$X$7,LEFT(M1110,3)=$X$7)),"x","")</f>
        <v/>
      </c>
      <c r="Y1110" s="525" t="str">
        <f>IF(OR(TH!L1110=TH!$Y$7,M1110=TH!$Y$7),"x","")</f>
        <v/>
      </c>
      <c r="Z1110" s="525" t="str">
        <f>IF(AND(B1110&lt;=NKC!$N$8,B1110&gt;=NKC!$M$8),"x","")</f>
        <v>x</v>
      </c>
      <c r="AA1110" s="535"/>
    </row>
    <row r="1111" spans="1:27" s="503" customFormat="1" ht="15.75" customHeight="1">
      <c r="A1111" s="517" t="str">
        <f>IF(B1111&lt;&gt;"",IF(AND(B1111&gt;=_TM1,B1111&lt;=_TM2,OR(TH!L1111="1111",TH!M1111="1111")),TH!D1111,""),"")</f>
        <v/>
      </c>
      <c r="B1111" s="531">
        <f t="shared" si="116"/>
        <v>2</v>
      </c>
      <c r="C1111" s="315">
        <f t="shared" si="117"/>
        <v>42791</v>
      </c>
      <c r="D1111" s="315" t="s">
        <v>928</v>
      </c>
      <c r="E1111" s="315">
        <v>42791</v>
      </c>
      <c r="F1111" s="249" t="s">
        <v>710</v>
      </c>
      <c r="G1111" s="314" t="s">
        <v>542</v>
      </c>
      <c r="H1111" s="473" t="s">
        <v>284</v>
      </c>
      <c r="I1111" s="307">
        <v>12</v>
      </c>
      <c r="J1111" s="307">
        <v>20772</v>
      </c>
      <c r="K1111" s="532">
        <f t="shared" si="118"/>
        <v>249264</v>
      </c>
      <c r="L1111" s="534" t="s">
        <v>223</v>
      </c>
      <c r="M1111" s="534" t="s">
        <v>162</v>
      </c>
      <c r="N1111" s="525" t="str">
        <f>IF(AND('331-CT'!$E$7=TH!H1111,OR(L1111="331",M1111="331")),"331",IF(AND(OR(L1111="131",M1111="131"),H1111='131-CT'!$E$7),"131",""))</f>
        <v/>
      </c>
      <c r="O1111" s="525" t="str">
        <f>IF(AND($B1111&gt;='111'!$N$11,$B1111&lt;='111'!$O$11,OR($L1111=$O$7,$M1111=$O$7)),"x","")</f>
        <v/>
      </c>
      <c r="P1111" s="525" t="str">
        <f>IF(AND($L1111=$O$7,$B1111&lt;'111'!$N$11),"x","")</f>
        <v/>
      </c>
      <c r="Q1111" s="525" t="str">
        <f>IF(AND($M1111=$O$7,$B1111&lt;'111'!$N$11),"x","")</f>
        <v/>
      </c>
      <c r="R1111" s="525" t="str">
        <f>IF(ISERROR(FIND('112'!$M$9,G1111,1)),"",IF((AND(FIND('112'!$M$9,G1111,1)&gt;=1,$B1111&gt;='112'!$N$8,$B1111&lt;='112'!$O$8,OR($L1111='112'!$I$6,$M1111='112'!$I$6))),"x",""))</f>
        <v/>
      </c>
      <c r="S1111" s="525" t="str">
        <f>IF(ISERROR(FIND('112'!$M$9,G1111,1)),"",IF((AND(LEFT(G1111,2)=LEFT('112'!$M$9,2),B1111&lt;'112'!$N$8,$L1111='112'!$I$6)),"x",""))</f>
        <v/>
      </c>
      <c r="T1111" s="525" t="str">
        <f>IF(ISERROR(FIND('112'!$M$9,G1111,1)),"",IF((AND(RIGHT(G1111,2)=RIGHT('112'!$M$9,2),B1111&lt;'112'!$N$8,$M1111='112'!$I$6)),"x",""))</f>
        <v/>
      </c>
      <c r="U1111" s="525" t="str">
        <f>IF(AND(B1111&gt;='IN-NX'!$P$3,B1111&lt;='IN-NX'!$Q$3,'IN-NX'!$D$7=D1111,OR(LEFT(L1111,2)="15",AND(LEFT(M1111,2)&lt;&gt;"15",LEFT(M1111,2)&lt;&gt;"33"))),"x","")</f>
        <v/>
      </c>
      <c r="V1111" s="525" t="str">
        <f>IF(AND(OR(LEFT(TH!L1111,2)="15",LEFT(TH!M1111,2)="15"),'152-CT'!$J$8=TH!F1111),"x","")</f>
        <v/>
      </c>
      <c r="W1111" s="525" t="str">
        <f>IF(AND(OR(LEFT(TH!L1111,2)="15",LEFT(TH!M1111,2)="15"),TK!$E$7=TH!F1111),"x","")</f>
        <v/>
      </c>
      <c r="X1111" s="525" t="str">
        <f>IF(AND('341-CT'!$E$9=H1111,OR(LEFT(L1111,3)=$X$7,LEFT(M1111,3)=$X$7)),"x","")</f>
        <v/>
      </c>
      <c r="Y1111" s="525" t="str">
        <f>IF(OR(TH!L1111=TH!$Y$7,M1111=TH!$Y$7),"x","")</f>
        <v/>
      </c>
      <c r="Z1111" s="525" t="str">
        <f>IF(AND(B1111&lt;=NKC!$N$8,B1111&gt;=NKC!$M$8),"x","")</f>
        <v>x</v>
      </c>
      <c r="AA1111" s="535"/>
    </row>
    <row r="1112" spans="1:27" s="503" customFormat="1" ht="15.75" customHeight="1">
      <c r="A1112" s="517" t="str">
        <f>IF(B1112&lt;&gt;"",IF(AND(B1112&gt;=_TM1,B1112&lt;=_TM2,OR(TH!L1112="1111",TH!M1112="1111")),TH!D1112,""),"")</f>
        <v/>
      </c>
      <c r="B1112" s="531">
        <f t="shared" si="116"/>
        <v>2</v>
      </c>
      <c r="C1112" s="315">
        <f t="shared" si="117"/>
        <v>42791</v>
      </c>
      <c r="D1112" s="315" t="s">
        <v>928</v>
      </c>
      <c r="E1112" s="315">
        <v>42791</v>
      </c>
      <c r="F1112" s="249" t="s">
        <v>754</v>
      </c>
      <c r="G1112" s="314" t="s">
        <v>542</v>
      </c>
      <c r="H1112" s="473" t="s">
        <v>284</v>
      </c>
      <c r="I1112" s="307">
        <v>48</v>
      </c>
      <c r="J1112" s="307">
        <v>61047</v>
      </c>
      <c r="K1112" s="532">
        <f t="shared" si="118"/>
        <v>2930256</v>
      </c>
      <c r="L1112" s="534" t="s">
        <v>223</v>
      </c>
      <c r="M1112" s="534" t="s">
        <v>162</v>
      </c>
      <c r="N1112" s="525" t="str">
        <f>IF(AND('331-CT'!$E$7=TH!H1112,OR(L1112="331",M1112="331")),"331",IF(AND(OR(L1112="131",M1112="131"),H1112='131-CT'!$E$7),"131",""))</f>
        <v/>
      </c>
      <c r="O1112" s="525" t="str">
        <f>IF(AND($B1112&gt;='111'!$N$11,$B1112&lt;='111'!$O$11,OR($L1112=$O$7,$M1112=$O$7)),"x","")</f>
        <v/>
      </c>
      <c r="P1112" s="525" t="str">
        <f>IF(AND($L1112=$O$7,$B1112&lt;'111'!$N$11),"x","")</f>
        <v/>
      </c>
      <c r="Q1112" s="525" t="str">
        <f>IF(AND($M1112=$O$7,$B1112&lt;'111'!$N$11),"x","")</f>
        <v/>
      </c>
      <c r="R1112" s="525" t="str">
        <f>IF(ISERROR(FIND('112'!$M$9,G1112,1)),"",IF((AND(FIND('112'!$M$9,G1112,1)&gt;=1,$B1112&gt;='112'!$N$8,$B1112&lt;='112'!$O$8,OR($L1112='112'!$I$6,$M1112='112'!$I$6))),"x",""))</f>
        <v/>
      </c>
      <c r="S1112" s="525" t="str">
        <f>IF(ISERROR(FIND('112'!$M$9,G1112,1)),"",IF((AND(LEFT(G1112,2)=LEFT('112'!$M$9,2),B1112&lt;'112'!$N$8,$L1112='112'!$I$6)),"x",""))</f>
        <v/>
      </c>
      <c r="T1112" s="525" t="str">
        <f>IF(ISERROR(FIND('112'!$M$9,G1112,1)),"",IF((AND(RIGHT(G1112,2)=RIGHT('112'!$M$9,2),B1112&lt;'112'!$N$8,$M1112='112'!$I$6)),"x",""))</f>
        <v/>
      </c>
      <c r="U1112" s="525" t="str">
        <f>IF(AND(B1112&gt;='IN-NX'!$P$3,B1112&lt;='IN-NX'!$Q$3,'IN-NX'!$D$7=D1112,OR(LEFT(L1112,2)="15",AND(LEFT(M1112,2)&lt;&gt;"15",LEFT(M1112,2)&lt;&gt;"33"))),"x","")</f>
        <v/>
      </c>
      <c r="V1112" s="525" t="str">
        <f>IF(AND(OR(LEFT(TH!L1112,2)="15",LEFT(TH!M1112,2)="15"),'152-CT'!$J$8=TH!F1112),"x","")</f>
        <v/>
      </c>
      <c r="W1112" s="525" t="str">
        <f>IF(AND(OR(LEFT(TH!L1112,2)="15",LEFT(TH!M1112,2)="15"),TK!$E$7=TH!F1112),"x","")</f>
        <v/>
      </c>
      <c r="X1112" s="525" t="str">
        <f>IF(AND('341-CT'!$E$9=H1112,OR(LEFT(L1112,3)=$X$7,LEFT(M1112,3)=$X$7)),"x","")</f>
        <v/>
      </c>
      <c r="Y1112" s="525" t="str">
        <f>IF(OR(TH!L1112=TH!$Y$7,M1112=TH!$Y$7),"x","")</f>
        <v/>
      </c>
      <c r="Z1112" s="525" t="str">
        <f>IF(AND(B1112&lt;=NKC!$N$8,B1112&gt;=NKC!$M$8),"x","")</f>
        <v>x</v>
      </c>
      <c r="AA1112" s="535"/>
    </row>
    <row r="1113" spans="1:27" s="503" customFormat="1" ht="15.75" customHeight="1">
      <c r="A1113" s="517" t="str">
        <f>IF(B1113&lt;&gt;"",IF(AND(B1113&gt;=_TM1,B1113&lt;=_TM2,OR(TH!L1113="1111",TH!M1113="1111")),TH!D1113,""),"")</f>
        <v/>
      </c>
      <c r="B1113" s="531">
        <f t="shared" si="116"/>
        <v>2</v>
      </c>
      <c r="C1113" s="315">
        <f t="shared" si="117"/>
        <v>42791</v>
      </c>
      <c r="D1113" s="315" t="s">
        <v>928</v>
      </c>
      <c r="E1113" s="315">
        <v>42791</v>
      </c>
      <c r="F1113" s="249" t="s">
        <v>737</v>
      </c>
      <c r="G1113" s="314" t="s">
        <v>542</v>
      </c>
      <c r="H1113" s="473" t="s">
        <v>284</v>
      </c>
      <c r="I1113" s="307">
        <v>45</v>
      </c>
      <c r="J1113" s="307">
        <v>85785</v>
      </c>
      <c r="K1113" s="532">
        <f t="shared" si="118"/>
        <v>3860325</v>
      </c>
      <c r="L1113" s="534" t="s">
        <v>223</v>
      </c>
      <c r="M1113" s="534" t="s">
        <v>162</v>
      </c>
      <c r="N1113" s="525" t="str">
        <f>IF(AND('331-CT'!$E$7=TH!H1113,OR(L1113="331",M1113="331")),"331",IF(AND(OR(L1113="131",M1113="131"),H1113='131-CT'!$E$7),"131",""))</f>
        <v/>
      </c>
      <c r="O1113" s="525" t="str">
        <f>IF(AND($B1113&gt;='111'!$N$11,$B1113&lt;='111'!$O$11,OR($L1113=$O$7,$M1113=$O$7)),"x","")</f>
        <v/>
      </c>
      <c r="P1113" s="525" t="str">
        <f>IF(AND($L1113=$O$7,$B1113&lt;'111'!$N$11),"x","")</f>
        <v/>
      </c>
      <c r="Q1113" s="525" t="str">
        <f>IF(AND($M1113=$O$7,$B1113&lt;'111'!$N$11),"x","")</f>
        <v/>
      </c>
      <c r="R1113" s="525" t="str">
        <f>IF(ISERROR(FIND('112'!$M$9,G1113,1)),"",IF((AND(FIND('112'!$M$9,G1113,1)&gt;=1,$B1113&gt;='112'!$N$8,$B1113&lt;='112'!$O$8,OR($L1113='112'!$I$6,$M1113='112'!$I$6))),"x",""))</f>
        <v/>
      </c>
      <c r="S1113" s="525" t="str">
        <f>IF(ISERROR(FIND('112'!$M$9,G1113,1)),"",IF((AND(LEFT(G1113,2)=LEFT('112'!$M$9,2),B1113&lt;'112'!$N$8,$L1113='112'!$I$6)),"x",""))</f>
        <v/>
      </c>
      <c r="T1113" s="525" t="str">
        <f>IF(ISERROR(FIND('112'!$M$9,G1113,1)),"",IF((AND(RIGHT(G1113,2)=RIGHT('112'!$M$9,2),B1113&lt;'112'!$N$8,$M1113='112'!$I$6)),"x",""))</f>
        <v/>
      </c>
      <c r="U1113" s="525" t="str">
        <f>IF(AND(B1113&gt;='IN-NX'!$P$3,B1113&lt;='IN-NX'!$Q$3,'IN-NX'!$D$7=D1113,OR(LEFT(L1113,2)="15",AND(LEFT(M1113,2)&lt;&gt;"15",LEFT(M1113,2)&lt;&gt;"33"))),"x","")</f>
        <v/>
      </c>
      <c r="V1113" s="525" t="str">
        <f>IF(AND(OR(LEFT(TH!L1113,2)="15",LEFT(TH!M1113,2)="15"),'152-CT'!$J$8=TH!F1113),"x","")</f>
        <v/>
      </c>
      <c r="W1113" s="525" t="str">
        <f>IF(AND(OR(LEFT(TH!L1113,2)="15",LEFT(TH!M1113,2)="15"),TK!$E$7=TH!F1113),"x","")</f>
        <v/>
      </c>
      <c r="X1113" s="525" t="str">
        <f>IF(AND('341-CT'!$E$9=H1113,OR(LEFT(L1113,3)=$X$7,LEFT(M1113,3)=$X$7)),"x","")</f>
        <v/>
      </c>
      <c r="Y1113" s="525" t="str">
        <f>IF(OR(TH!L1113=TH!$Y$7,M1113=TH!$Y$7),"x","")</f>
        <v/>
      </c>
      <c r="Z1113" s="525" t="str">
        <f>IF(AND(B1113&lt;=NKC!$N$8,B1113&gt;=NKC!$M$8),"x","")</f>
        <v>x</v>
      </c>
      <c r="AA1113" s="535"/>
    </row>
    <row r="1114" spans="1:27" s="503" customFormat="1" ht="15.75" customHeight="1">
      <c r="A1114" s="517" t="str">
        <f>IF(B1114&lt;&gt;"",IF(AND(B1114&gt;=_TM1,B1114&lt;=_TM2,OR(TH!L1114="1111",TH!M1114="1111")),TH!D1114,""),"")</f>
        <v/>
      </c>
      <c r="B1114" s="531">
        <f t="shared" si="116"/>
        <v>2</v>
      </c>
      <c r="C1114" s="315">
        <f t="shared" si="117"/>
        <v>42791</v>
      </c>
      <c r="D1114" s="315" t="s">
        <v>928</v>
      </c>
      <c r="E1114" s="315">
        <v>42791</v>
      </c>
      <c r="F1114" s="249" t="s">
        <v>755</v>
      </c>
      <c r="G1114" s="314" t="s">
        <v>542</v>
      </c>
      <c r="H1114" s="473" t="s">
        <v>284</v>
      </c>
      <c r="I1114" s="307">
        <v>12</v>
      </c>
      <c r="J1114" s="307">
        <v>67165</v>
      </c>
      <c r="K1114" s="532">
        <f t="shared" si="118"/>
        <v>805980</v>
      </c>
      <c r="L1114" s="534" t="s">
        <v>223</v>
      </c>
      <c r="M1114" s="534" t="s">
        <v>162</v>
      </c>
      <c r="N1114" s="525" t="str">
        <f>IF(AND('331-CT'!$E$7=TH!H1114,OR(L1114="331",M1114="331")),"331",IF(AND(OR(L1114="131",M1114="131"),H1114='131-CT'!$E$7),"131",""))</f>
        <v/>
      </c>
      <c r="O1114" s="525" t="str">
        <f>IF(AND($B1114&gt;='111'!$N$11,$B1114&lt;='111'!$O$11,OR($L1114=$O$7,$M1114=$O$7)),"x","")</f>
        <v/>
      </c>
      <c r="P1114" s="525" t="str">
        <f>IF(AND($L1114=$O$7,$B1114&lt;'111'!$N$11),"x","")</f>
        <v/>
      </c>
      <c r="Q1114" s="525" t="str">
        <f>IF(AND($M1114=$O$7,$B1114&lt;'111'!$N$11),"x","")</f>
        <v/>
      </c>
      <c r="R1114" s="525" t="str">
        <f>IF(ISERROR(FIND('112'!$M$9,G1114,1)),"",IF((AND(FIND('112'!$M$9,G1114,1)&gt;=1,$B1114&gt;='112'!$N$8,$B1114&lt;='112'!$O$8,OR($L1114='112'!$I$6,$M1114='112'!$I$6))),"x",""))</f>
        <v/>
      </c>
      <c r="S1114" s="525" t="str">
        <f>IF(ISERROR(FIND('112'!$M$9,G1114,1)),"",IF((AND(LEFT(G1114,2)=LEFT('112'!$M$9,2),B1114&lt;'112'!$N$8,$L1114='112'!$I$6)),"x",""))</f>
        <v/>
      </c>
      <c r="T1114" s="525" t="str">
        <f>IF(ISERROR(FIND('112'!$M$9,G1114,1)),"",IF((AND(RIGHT(G1114,2)=RIGHT('112'!$M$9,2),B1114&lt;'112'!$N$8,$M1114='112'!$I$6)),"x",""))</f>
        <v/>
      </c>
      <c r="U1114" s="525" t="str">
        <f>IF(AND(B1114&gt;='IN-NX'!$P$3,B1114&lt;='IN-NX'!$Q$3,'IN-NX'!$D$7=D1114,OR(LEFT(L1114,2)="15",AND(LEFT(M1114,2)&lt;&gt;"15",LEFT(M1114,2)&lt;&gt;"33"))),"x","")</f>
        <v/>
      </c>
      <c r="V1114" s="525" t="str">
        <f>IF(AND(OR(LEFT(TH!L1114,2)="15",LEFT(TH!M1114,2)="15"),'152-CT'!$J$8=TH!F1114),"x","")</f>
        <v/>
      </c>
      <c r="W1114" s="525" t="str">
        <f>IF(AND(OR(LEFT(TH!L1114,2)="15",LEFT(TH!M1114,2)="15"),TK!$E$7=TH!F1114),"x","")</f>
        <v/>
      </c>
      <c r="X1114" s="525" t="str">
        <f>IF(AND('341-CT'!$E$9=H1114,OR(LEFT(L1114,3)=$X$7,LEFT(M1114,3)=$X$7)),"x","")</f>
        <v/>
      </c>
      <c r="Y1114" s="525" t="str">
        <f>IF(OR(TH!L1114=TH!$Y$7,M1114=TH!$Y$7),"x","")</f>
        <v/>
      </c>
      <c r="Z1114" s="525" t="str">
        <f>IF(AND(B1114&lt;=NKC!$N$8,B1114&gt;=NKC!$M$8),"x","")</f>
        <v>x</v>
      </c>
      <c r="AA1114" s="535"/>
    </row>
    <row r="1115" spans="1:27" s="503" customFormat="1" ht="15.75" customHeight="1">
      <c r="A1115" s="517" t="str">
        <f>IF(B1115&lt;&gt;"",IF(AND(B1115&gt;=_TM1,B1115&lt;=_TM2,OR(TH!L1115="1111",TH!M1115="1111")),TH!D1115,""),"")</f>
        <v/>
      </c>
      <c r="B1115" s="531">
        <f t="shared" si="116"/>
        <v>2</v>
      </c>
      <c r="C1115" s="315">
        <f t="shared" si="117"/>
        <v>42791</v>
      </c>
      <c r="D1115" s="315" t="s">
        <v>928</v>
      </c>
      <c r="E1115" s="315">
        <v>42791</v>
      </c>
      <c r="F1115" s="249" t="s">
        <v>667</v>
      </c>
      <c r="G1115" s="314" t="s">
        <v>542</v>
      </c>
      <c r="H1115" s="473" t="s">
        <v>284</v>
      </c>
      <c r="I1115" s="307">
        <v>35</v>
      </c>
      <c r="J1115" s="307">
        <v>59869</v>
      </c>
      <c r="K1115" s="532">
        <f t="shared" si="118"/>
        <v>2095415</v>
      </c>
      <c r="L1115" s="534" t="s">
        <v>223</v>
      </c>
      <c r="M1115" s="534" t="s">
        <v>162</v>
      </c>
      <c r="N1115" s="525" t="str">
        <f>IF(AND('331-CT'!$E$7=TH!H1115,OR(L1115="331",M1115="331")),"331",IF(AND(OR(L1115="131",M1115="131"),H1115='131-CT'!$E$7),"131",""))</f>
        <v/>
      </c>
      <c r="O1115" s="525" t="str">
        <f>IF(AND($B1115&gt;='111'!$N$11,$B1115&lt;='111'!$O$11,OR($L1115=$O$7,$M1115=$O$7)),"x","")</f>
        <v/>
      </c>
      <c r="P1115" s="525" t="str">
        <f>IF(AND($L1115=$O$7,$B1115&lt;'111'!$N$11),"x","")</f>
        <v/>
      </c>
      <c r="Q1115" s="525" t="str">
        <f>IF(AND($M1115=$O$7,$B1115&lt;'111'!$N$11),"x","")</f>
        <v/>
      </c>
      <c r="R1115" s="525" t="str">
        <f>IF(ISERROR(FIND('112'!$M$9,G1115,1)),"",IF((AND(FIND('112'!$M$9,G1115,1)&gt;=1,$B1115&gt;='112'!$N$8,$B1115&lt;='112'!$O$8,OR($L1115='112'!$I$6,$M1115='112'!$I$6))),"x",""))</f>
        <v/>
      </c>
      <c r="S1115" s="525" t="str">
        <f>IF(ISERROR(FIND('112'!$M$9,G1115,1)),"",IF((AND(LEFT(G1115,2)=LEFT('112'!$M$9,2),B1115&lt;'112'!$N$8,$L1115='112'!$I$6)),"x",""))</f>
        <v/>
      </c>
      <c r="T1115" s="525" t="str">
        <f>IF(ISERROR(FIND('112'!$M$9,G1115,1)),"",IF((AND(RIGHT(G1115,2)=RIGHT('112'!$M$9,2),B1115&lt;'112'!$N$8,$M1115='112'!$I$6)),"x",""))</f>
        <v/>
      </c>
      <c r="U1115" s="525" t="str">
        <f>IF(AND(B1115&gt;='IN-NX'!$P$3,B1115&lt;='IN-NX'!$Q$3,'IN-NX'!$D$7=D1115,OR(LEFT(L1115,2)="15",AND(LEFT(M1115,2)&lt;&gt;"15",LEFT(M1115,2)&lt;&gt;"33"))),"x","")</f>
        <v/>
      </c>
      <c r="V1115" s="525" t="str">
        <f>IF(AND(OR(LEFT(TH!L1115,2)="15",LEFT(TH!M1115,2)="15"),'152-CT'!$J$8=TH!F1115),"x","")</f>
        <v/>
      </c>
      <c r="W1115" s="525" t="str">
        <f>IF(AND(OR(LEFT(TH!L1115,2)="15",LEFT(TH!M1115,2)="15"),TK!$E$7=TH!F1115),"x","")</f>
        <v/>
      </c>
      <c r="X1115" s="525" t="str">
        <f>IF(AND('341-CT'!$E$9=H1115,OR(LEFT(L1115,3)=$X$7,LEFT(M1115,3)=$X$7)),"x","")</f>
        <v/>
      </c>
      <c r="Y1115" s="525" t="str">
        <f>IF(OR(TH!L1115=TH!$Y$7,M1115=TH!$Y$7),"x","")</f>
        <v/>
      </c>
      <c r="Z1115" s="525" t="str">
        <f>IF(AND(B1115&lt;=NKC!$N$8,B1115&gt;=NKC!$M$8),"x","")</f>
        <v>x</v>
      </c>
      <c r="AA1115" s="535"/>
    </row>
    <row r="1116" spans="1:27" s="503" customFormat="1" ht="15.75" customHeight="1">
      <c r="A1116" s="517" t="str">
        <f>IF(B1116&lt;&gt;"",IF(AND(B1116&gt;=_TM1,B1116&lt;=_TM2,OR(TH!L1116="1111",TH!M1116="1111")),TH!D1116,""),"")</f>
        <v/>
      </c>
      <c r="B1116" s="531">
        <f t="shared" si="116"/>
        <v>2</v>
      </c>
      <c r="C1116" s="315">
        <f t="shared" si="117"/>
        <v>42791</v>
      </c>
      <c r="D1116" s="315" t="s">
        <v>928</v>
      </c>
      <c r="E1116" s="315">
        <v>42791</v>
      </c>
      <c r="F1116" s="249" t="s">
        <v>756</v>
      </c>
      <c r="G1116" s="314" t="s">
        <v>542</v>
      </c>
      <c r="H1116" s="473" t="s">
        <v>284</v>
      </c>
      <c r="I1116" s="307">
        <v>70</v>
      </c>
      <c r="J1116" s="307">
        <v>38521</v>
      </c>
      <c r="K1116" s="532">
        <f t="shared" si="118"/>
        <v>2696470</v>
      </c>
      <c r="L1116" s="534" t="s">
        <v>223</v>
      </c>
      <c r="M1116" s="534" t="s">
        <v>162</v>
      </c>
      <c r="N1116" s="525" t="str">
        <f>IF(AND('331-CT'!$E$7=TH!H1116,OR(L1116="331",M1116="331")),"331",IF(AND(OR(L1116="131",M1116="131"),H1116='131-CT'!$E$7),"131",""))</f>
        <v/>
      </c>
      <c r="O1116" s="525" t="str">
        <f>IF(AND($B1116&gt;='111'!$N$11,$B1116&lt;='111'!$O$11,OR($L1116=$O$7,$M1116=$O$7)),"x","")</f>
        <v/>
      </c>
      <c r="P1116" s="525" t="str">
        <f>IF(AND($L1116=$O$7,$B1116&lt;'111'!$N$11),"x","")</f>
        <v/>
      </c>
      <c r="Q1116" s="525" t="str">
        <f>IF(AND($M1116=$O$7,$B1116&lt;'111'!$N$11),"x","")</f>
        <v/>
      </c>
      <c r="R1116" s="525" t="str">
        <f>IF(ISERROR(FIND('112'!$M$9,G1116,1)),"",IF((AND(FIND('112'!$M$9,G1116,1)&gt;=1,$B1116&gt;='112'!$N$8,$B1116&lt;='112'!$O$8,OR($L1116='112'!$I$6,$M1116='112'!$I$6))),"x",""))</f>
        <v/>
      </c>
      <c r="S1116" s="525" t="str">
        <f>IF(ISERROR(FIND('112'!$M$9,G1116,1)),"",IF((AND(LEFT(G1116,2)=LEFT('112'!$M$9,2),B1116&lt;'112'!$N$8,$L1116='112'!$I$6)),"x",""))</f>
        <v/>
      </c>
      <c r="T1116" s="525" t="str">
        <f>IF(ISERROR(FIND('112'!$M$9,G1116,1)),"",IF((AND(RIGHT(G1116,2)=RIGHT('112'!$M$9,2),B1116&lt;'112'!$N$8,$M1116='112'!$I$6)),"x",""))</f>
        <v/>
      </c>
      <c r="U1116" s="525" t="str">
        <f>IF(AND(B1116&gt;='IN-NX'!$P$3,B1116&lt;='IN-NX'!$Q$3,'IN-NX'!$D$7=D1116,OR(LEFT(L1116,2)="15",AND(LEFT(M1116,2)&lt;&gt;"15",LEFT(M1116,2)&lt;&gt;"33"))),"x","")</f>
        <v/>
      </c>
      <c r="V1116" s="525" t="str">
        <f>IF(AND(OR(LEFT(TH!L1116,2)="15",LEFT(TH!M1116,2)="15"),'152-CT'!$J$8=TH!F1116),"x","")</f>
        <v/>
      </c>
      <c r="W1116" s="525" t="str">
        <f>IF(AND(OR(LEFT(TH!L1116,2)="15",LEFT(TH!M1116,2)="15"),TK!$E$7=TH!F1116),"x","")</f>
        <v/>
      </c>
      <c r="X1116" s="525" t="str">
        <f>IF(AND('341-CT'!$E$9=H1116,OR(LEFT(L1116,3)=$X$7,LEFT(M1116,3)=$X$7)),"x","")</f>
        <v/>
      </c>
      <c r="Y1116" s="525" t="str">
        <f>IF(OR(TH!L1116=TH!$Y$7,M1116=TH!$Y$7),"x","")</f>
        <v/>
      </c>
      <c r="Z1116" s="525" t="str">
        <f>IF(AND(B1116&lt;=NKC!$N$8,B1116&gt;=NKC!$M$8),"x","")</f>
        <v>x</v>
      </c>
      <c r="AA1116" s="535"/>
    </row>
    <row r="1117" spans="1:27" s="503" customFormat="1" ht="15.75" customHeight="1">
      <c r="A1117" s="517" t="str">
        <f>IF(B1117&lt;&gt;"",IF(AND(B1117&gt;=_TM1,B1117&lt;=_TM2,OR(TH!L1117="1111",TH!M1117="1111")),TH!D1117,""),"")</f>
        <v/>
      </c>
      <c r="B1117" s="531">
        <f t="shared" si="116"/>
        <v>2</v>
      </c>
      <c r="C1117" s="315">
        <f t="shared" si="117"/>
        <v>42791</v>
      </c>
      <c r="D1117" s="315" t="s">
        <v>928</v>
      </c>
      <c r="E1117" s="315">
        <v>42791</v>
      </c>
      <c r="F1117" s="249" t="s">
        <v>757</v>
      </c>
      <c r="G1117" s="314" t="s">
        <v>542</v>
      </c>
      <c r="H1117" s="473" t="s">
        <v>284</v>
      </c>
      <c r="I1117" s="307">
        <v>12</v>
      </c>
      <c r="J1117" s="307">
        <v>45589</v>
      </c>
      <c r="K1117" s="532">
        <f t="shared" si="118"/>
        <v>547068</v>
      </c>
      <c r="L1117" s="534" t="s">
        <v>223</v>
      </c>
      <c r="M1117" s="534" t="s">
        <v>162</v>
      </c>
      <c r="N1117" s="525" t="str">
        <f>IF(AND('331-CT'!$E$7=TH!H1117,OR(L1117="331",M1117="331")),"331",IF(AND(OR(L1117="131",M1117="131"),H1117='131-CT'!$E$7),"131",""))</f>
        <v/>
      </c>
      <c r="O1117" s="525" t="str">
        <f>IF(AND($B1117&gt;='111'!$N$11,$B1117&lt;='111'!$O$11,OR($L1117=$O$7,$M1117=$O$7)),"x","")</f>
        <v/>
      </c>
      <c r="P1117" s="525" t="str">
        <f>IF(AND($L1117=$O$7,$B1117&lt;'111'!$N$11),"x","")</f>
        <v/>
      </c>
      <c r="Q1117" s="525" t="str">
        <f>IF(AND($M1117=$O$7,$B1117&lt;'111'!$N$11),"x","")</f>
        <v/>
      </c>
      <c r="R1117" s="525" t="str">
        <f>IF(ISERROR(FIND('112'!$M$9,G1117,1)),"",IF((AND(FIND('112'!$M$9,G1117,1)&gt;=1,$B1117&gt;='112'!$N$8,$B1117&lt;='112'!$O$8,OR($L1117='112'!$I$6,$M1117='112'!$I$6))),"x",""))</f>
        <v/>
      </c>
      <c r="S1117" s="525" t="str">
        <f>IF(ISERROR(FIND('112'!$M$9,G1117,1)),"",IF((AND(LEFT(G1117,2)=LEFT('112'!$M$9,2),B1117&lt;'112'!$N$8,$L1117='112'!$I$6)),"x",""))</f>
        <v/>
      </c>
      <c r="T1117" s="525" t="str">
        <f>IF(ISERROR(FIND('112'!$M$9,G1117,1)),"",IF((AND(RIGHT(G1117,2)=RIGHT('112'!$M$9,2),B1117&lt;'112'!$N$8,$M1117='112'!$I$6)),"x",""))</f>
        <v/>
      </c>
      <c r="U1117" s="525" t="str">
        <f>IF(AND(B1117&gt;='IN-NX'!$P$3,B1117&lt;='IN-NX'!$Q$3,'IN-NX'!$D$7=D1117,OR(LEFT(L1117,2)="15",AND(LEFT(M1117,2)&lt;&gt;"15",LEFT(M1117,2)&lt;&gt;"33"))),"x","")</f>
        <v/>
      </c>
      <c r="V1117" s="525" t="str">
        <f>IF(AND(OR(LEFT(TH!L1117,2)="15",LEFT(TH!M1117,2)="15"),'152-CT'!$J$8=TH!F1117),"x","")</f>
        <v/>
      </c>
      <c r="W1117" s="525" t="str">
        <f>IF(AND(OR(LEFT(TH!L1117,2)="15",LEFT(TH!M1117,2)="15"),TK!$E$7=TH!F1117),"x","")</f>
        <v/>
      </c>
      <c r="X1117" s="525" t="str">
        <f>IF(AND('341-CT'!$E$9=H1117,OR(LEFT(L1117,3)=$X$7,LEFT(M1117,3)=$X$7)),"x","")</f>
        <v/>
      </c>
      <c r="Y1117" s="525" t="str">
        <f>IF(OR(TH!L1117=TH!$Y$7,M1117=TH!$Y$7),"x","")</f>
        <v/>
      </c>
      <c r="Z1117" s="525" t="str">
        <f>IF(AND(B1117&lt;=NKC!$N$8,B1117&gt;=NKC!$M$8),"x","")</f>
        <v>x</v>
      </c>
      <c r="AA1117" s="535"/>
    </row>
    <row r="1118" spans="1:27" s="503" customFormat="1" ht="15.75" customHeight="1">
      <c r="A1118" s="517" t="str">
        <f>IF(B1118&lt;&gt;"",IF(AND(B1118&gt;=_TM1,B1118&lt;=_TM2,OR(TH!L1118="1111",TH!M1118="1111")),TH!D1118,""),"")</f>
        <v/>
      </c>
      <c r="B1118" s="531">
        <f t="shared" si="116"/>
        <v>2</v>
      </c>
      <c r="C1118" s="315">
        <f t="shared" si="117"/>
        <v>42791</v>
      </c>
      <c r="D1118" s="315" t="s">
        <v>928</v>
      </c>
      <c r="E1118" s="315">
        <v>42791</v>
      </c>
      <c r="F1118" s="249" t="s">
        <v>758</v>
      </c>
      <c r="G1118" s="314" t="s">
        <v>542</v>
      </c>
      <c r="H1118" s="473" t="s">
        <v>284</v>
      </c>
      <c r="I1118" s="307">
        <v>36</v>
      </c>
      <c r="J1118" s="307">
        <v>79545</v>
      </c>
      <c r="K1118" s="532">
        <f t="shared" si="118"/>
        <v>2863620</v>
      </c>
      <c r="L1118" s="534" t="s">
        <v>223</v>
      </c>
      <c r="M1118" s="534" t="s">
        <v>162</v>
      </c>
      <c r="N1118" s="525" t="str">
        <f>IF(AND('331-CT'!$E$7=TH!H1118,OR(L1118="331",M1118="331")),"331",IF(AND(OR(L1118="131",M1118="131"),H1118='131-CT'!$E$7),"131",""))</f>
        <v/>
      </c>
      <c r="O1118" s="525" t="str">
        <f>IF(AND($B1118&gt;='111'!$N$11,$B1118&lt;='111'!$O$11,OR($L1118=$O$7,$M1118=$O$7)),"x","")</f>
        <v/>
      </c>
      <c r="P1118" s="525" t="str">
        <f>IF(AND($L1118=$O$7,$B1118&lt;'111'!$N$11),"x","")</f>
        <v/>
      </c>
      <c r="Q1118" s="525" t="str">
        <f>IF(AND($M1118=$O$7,$B1118&lt;'111'!$N$11),"x","")</f>
        <v/>
      </c>
      <c r="R1118" s="525" t="str">
        <f>IF(ISERROR(FIND('112'!$M$9,G1118,1)),"",IF((AND(FIND('112'!$M$9,G1118,1)&gt;=1,$B1118&gt;='112'!$N$8,$B1118&lt;='112'!$O$8,OR($L1118='112'!$I$6,$M1118='112'!$I$6))),"x",""))</f>
        <v/>
      </c>
      <c r="S1118" s="525" t="str">
        <f>IF(ISERROR(FIND('112'!$M$9,G1118,1)),"",IF((AND(LEFT(G1118,2)=LEFT('112'!$M$9,2),B1118&lt;'112'!$N$8,$L1118='112'!$I$6)),"x",""))</f>
        <v/>
      </c>
      <c r="T1118" s="525" t="str">
        <f>IF(ISERROR(FIND('112'!$M$9,G1118,1)),"",IF((AND(RIGHT(G1118,2)=RIGHT('112'!$M$9,2),B1118&lt;'112'!$N$8,$M1118='112'!$I$6)),"x",""))</f>
        <v/>
      </c>
      <c r="U1118" s="525" t="str">
        <f>IF(AND(B1118&gt;='IN-NX'!$P$3,B1118&lt;='IN-NX'!$Q$3,'IN-NX'!$D$7=D1118,OR(LEFT(L1118,2)="15",AND(LEFT(M1118,2)&lt;&gt;"15",LEFT(M1118,2)&lt;&gt;"33"))),"x","")</f>
        <v/>
      </c>
      <c r="V1118" s="525" t="str">
        <f>IF(AND(OR(LEFT(TH!L1118,2)="15",LEFT(TH!M1118,2)="15"),'152-CT'!$J$8=TH!F1118),"x","")</f>
        <v/>
      </c>
      <c r="W1118" s="525" t="str">
        <f>IF(AND(OR(LEFT(TH!L1118,2)="15",LEFT(TH!M1118,2)="15"),TK!$E$7=TH!F1118),"x","")</f>
        <v/>
      </c>
      <c r="X1118" s="525" t="str">
        <f>IF(AND('341-CT'!$E$9=H1118,OR(LEFT(L1118,3)=$X$7,LEFT(M1118,3)=$X$7)),"x","")</f>
        <v/>
      </c>
      <c r="Y1118" s="525" t="str">
        <f>IF(OR(TH!L1118=TH!$Y$7,M1118=TH!$Y$7),"x","")</f>
        <v/>
      </c>
      <c r="Z1118" s="525" t="str">
        <f>IF(AND(B1118&lt;=NKC!$N$8,B1118&gt;=NKC!$M$8),"x","")</f>
        <v>x</v>
      </c>
      <c r="AA1118" s="535"/>
    </row>
    <row r="1119" spans="1:27" s="503" customFormat="1" ht="15.75" customHeight="1">
      <c r="A1119" s="517" t="str">
        <f>IF(B1119&lt;&gt;"",IF(AND(B1119&gt;=_TM1,B1119&lt;=_TM2,OR(TH!L1119="1111",TH!M1119="1111")),TH!D1119,""),"")</f>
        <v/>
      </c>
      <c r="B1119" s="531">
        <f t="shared" si="116"/>
        <v>2</v>
      </c>
      <c r="C1119" s="315">
        <f t="shared" si="117"/>
        <v>42791</v>
      </c>
      <c r="D1119" s="315" t="s">
        <v>928</v>
      </c>
      <c r="E1119" s="315">
        <v>42791</v>
      </c>
      <c r="F1119" s="249" t="s">
        <v>741</v>
      </c>
      <c r="G1119" s="314" t="s">
        <v>542</v>
      </c>
      <c r="H1119" s="473" t="s">
        <v>284</v>
      </c>
      <c r="I1119" s="307">
        <v>4</v>
      </c>
      <c r="J1119" s="307">
        <v>214662</v>
      </c>
      <c r="K1119" s="532">
        <f t="shared" si="118"/>
        <v>858648</v>
      </c>
      <c r="L1119" s="534" t="s">
        <v>223</v>
      </c>
      <c r="M1119" s="534" t="s">
        <v>162</v>
      </c>
      <c r="N1119" s="525" t="str">
        <f>IF(AND('331-CT'!$E$7=TH!H1119,OR(L1119="331",M1119="331")),"331",IF(AND(OR(L1119="131",M1119="131"),H1119='131-CT'!$E$7),"131",""))</f>
        <v/>
      </c>
      <c r="O1119" s="525" t="str">
        <f>IF(AND($B1119&gt;='111'!$N$11,$B1119&lt;='111'!$O$11,OR($L1119=$O$7,$M1119=$O$7)),"x","")</f>
        <v/>
      </c>
      <c r="P1119" s="525" t="str">
        <f>IF(AND($L1119=$O$7,$B1119&lt;'111'!$N$11),"x","")</f>
        <v/>
      </c>
      <c r="Q1119" s="525" t="str">
        <f>IF(AND($M1119=$O$7,$B1119&lt;'111'!$N$11),"x","")</f>
        <v/>
      </c>
      <c r="R1119" s="525" t="str">
        <f>IF(ISERROR(FIND('112'!$M$9,G1119,1)),"",IF((AND(FIND('112'!$M$9,G1119,1)&gt;=1,$B1119&gt;='112'!$N$8,$B1119&lt;='112'!$O$8,OR($L1119='112'!$I$6,$M1119='112'!$I$6))),"x",""))</f>
        <v/>
      </c>
      <c r="S1119" s="525" t="str">
        <f>IF(ISERROR(FIND('112'!$M$9,G1119,1)),"",IF((AND(LEFT(G1119,2)=LEFT('112'!$M$9,2),B1119&lt;'112'!$N$8,$L1119='112'!$I$6)),"x",""))</f>
        <v/>
      </c>
      <c r="T1119" s="525" t="str">
        <f>IF(ISERROR(FIND('112'!$M$9,G1119,1)),"",IF((AND(RIGHT(G1119,2)=RIGHT('112'!$M$9,2),B1119&lt;'112'!$N$8,$M1119='112'!$I$6)),"x",""))</f>
        <v/>
      </c>
      <c r="U1119" s="525" t="str">
        <f>IF(AND(B1119&gt;='IN-NX'!$P$3,B1119&lt;='IN-NX'!$Q$3,'IN-NX'!$D$7=D1119,OR(LEFT(L1119,2)="15",AND(LEFT(M1119,2)&lt;&gt;"15",LEFT(M1119,2)&lt;&gt;"33"))),"x","")</f>
        <v/>
      </c>
      <c r="V1119" s="525" t="str">
        <f>IF(AND(OR(LEFT(TH!L1119,2)="15",LEFT(TH!M1119,2)="15"),'152-CT'!$J$8=TH!F1119),"x","")</f>
        <v/>
      </c>
      <c r="W1119" s="525" t="str">
        <f>IF(AND(OR(LEFT(TH!L1119,2)="15",LEFT(TH!M1119,2)="15"),TK!$E$7=TH!F1119),"x","")</f>
        <v/>
      </c>
      <c r="X1119" s="525" t="str">
        <f>IF(AND('341-CT'!$E$9=H1119,OR(LEFT(L1119,3)=$X$7,LEFT(M1119,3)=$X$7)),"x","")</f>
        <v/>
      </c>
      <c r="Y1119" s="525" t="str">
        <f>IF(OR(TH!L1119=TH!$Y$7,M1119=TH!$Y$7),"x","")</f>
        <v/>
      </c>
      <c r="Z1119" s="525" t="str">
        <f>IF(AND(B1119&lt;=NKC!$N$8,B1119&gt;=NKC!$M$8),"x","")</f>
        <v>x</v>
      </c>
      <c r="AA1119" s="535"/>
    </row>
    <row r="1120" spans="1:27" s="503" customFormat="1" ht="15.75" customHeight="1">
      <c r="A1120" s="517" t="str">
        <f>IF(B1120&lt;&gt;"",IF(AND(B1120&gt;=_TM1,B1120&lt;=_TM2,OR(TH!L1120="1111",TH!M1120="1111")),TH!D1120,""),"")</f>
        <v/>
      </c>
      <c r="B1120" s="531">
        <f t="shared" si="116"/>
        <v>2</v>
      </c>
      <c r="C1120" s="315">
        <f t="shared" si="117"/>
        <v>42791</v>
      </c>
      <c r="D1120" s="315" t="s">
        <v>928</v>
      </c>
      <c r="E1120" s="315">
        <v>42791</v>
      </c>
      <c r="F1120" s="249" t="s">
        <v>759</v>
      </c>
      <c r="G1120" s="314" t="s">
        <v>542</v>
      </c>
      <c r="H1120" s="473" t="s">
        <v>284</v>
      </c>
      <c r="I1120" s="307">
        <v>100</v>
      </c>
      <c r="J1120" s="307">
        <v>32490</v>
      </c>
      <c r="K1120" s="532">
        <f t="shared" si="118"/>
        <v>3249000</v>
      </c>
      <c r="L1120" s="534" t="s">
        <v>223</v>
      </c>
      <c r="M1120" s="534" t="s">
        <v>162</v>
      </c>
      <c r="N1120" s="525" t="str">
        <f>IF(AND('331-CT'!$E$7=TH!H1120,OR(L1120="331",M1120="331")),"331",IF(AND(OR(L1120="131",M1120="131"),H1120='131-CT'!$E$7),"131",""))</f>
        <v/>
      </c>
      <c r="O1120" s="525" t="str">
        <f>IF(AND($B1120&gt;='111'!$N$11,$B1120&lt;='111'!$O$11,OR($L1120=$O$7,$M1120=$O$7)),"x","")</f>
        <v/>
      </c>
      <c r="P1120" s="525" t="str">
        <f>IF(AND($L1120=$O$7,$B1120&lt;'111'!$N$11),"x","")</f>
        <v/>
      </c>
      <c r="Q1120" s="525" t="str">
        <f>IF(AND($M1120=$O$7,$B1120&lt;'111'!$N$11),"x","")</f>
        <v/>
      </c>
      <c r="R1120" s="525" t="str">
        <f>IF(ISERROR(FIND('112'!$M$9,G1120,1)),"",IF((AND(FIND('112'!$M$9,G1120,1)&gt;=1,$B1120&gt;='112'!$N$8,$B1120&lt;='112'!$O$8,OR($L1120='112'!$I$6,$M1120='112'!$I$6))),"x",""))</f>
        <v/>
      </c>
      <c r="S1120" s="525" t="str">
        <f>IF(ISERROR(FIND('112'!$M$9,G1120,1)),"",IF((AND(LEFT(G1120,2)=LEFT('112'!$M$9,2),B1120&lt;'112'!$N$8,$L1120='112'!$I$6)),"x",""))</f>
        <v/>
      </c>
      <c r="T1120" s="525" t="str">
        <f>IF(ISERROR(FIND('112'!$M$9,G1120,1)),"",IF((AND(RIGHT(G1120,2)=RIGHT('112'!$M$9,2),B1120&lt;'112'!$N$8,$M1120='112'!$I$6)),"x",""))</f>
        <v/>
      </c>
      <c r="U1120" s="525" t="str">
        <f>IF(AND(B1120&gt;='IN-NX'!$P$3,B1120&lt;='IN-NX'!$Q$3,'IN-NX'!$D$7=D1120,OR(LEFT(L1120,2)="15",AND(LEFT(M1120,2)&lt;&gt;"15",LEFT(M1120,2)&lt;&gt;"33"))),"x","")</f>
        <v/>
      </c>
      <c r="V1120" s="525" t="str">
        <f>IF(AND(OR(LEFT(TH!L1120,2)="15",LEFT(TH!M1120,2)="15"),'152-CT'!$J$8=TH!F1120),"x","")</f>
        <v/>
      </c>
      <c r="W1120" s="525" t="str">
        <f>IF(AND(OR(LEFT(TH!L1120,2)="15",LEFT(TH!M1120,2)="15"),TK!$E$7=TH!F1120),"x","")</f>
        <v/>
      </c>
      <c r="X1120" s="525" t="str">
        <f>IF(AND('341-CT'!$E$9=H1120,OR(LEFT(L1120,3)=$X$7,LEFT(M1120,3)=$X$7)),"x","")</f>
        <v/>
      </c>
      <c r="Y1120" s="525" t="str">
        <f>IF(OR(TH!L1120=TH!$Y$7,M1120=TH!$Y$7),"x","")</f>
        <v/>
      </c>
      <c r="Z1120" s="525" t="str">
        <f>IF(AND(B1120&lt;=NKC!$N$8,B1120&gt;=NKC!$M$8),"x","")</f>
        <v>x</v>
      </c>
      <c r="AA1120" s="535"/>
    </row>
    <row r="1121" spans="1:28" s="503" customFormat="1" ht="15.75" customHeight="1">
      <c r="A1121" s="517" t="str">
        <f>IF(B1121&lt;&gt;"",IF(AND(B1121&gt;=_TM1,B1121&lt;=_TM2,OR(TH!L1121="1111",TH!M1121="1111")),TH!D1121,""),"")</f>
        <v/>
      </c>
      <c r="B1121" s="531">
        <f t="shared" si="116"/>
        <v>2</v>
      </c>
      <c r="C1121" s="315">
        <f t="shared" si="117"/>
        <v>42791</v>
      </c>
      <c r="D1121" s="315" t="s">
        <v>928</v>
      </c>
      <c r="E1121" s="315">
        <v>42791</v>
      </c>
      <c r="F1121" s="249" t="s">
        <v>683</v>
      </c>
      <c r="G1121" s="314" t="s">
        <v>542</v>
      </c>
      <c r="H1121" s="473" t="s">
        <v>284</v>
      </c>
      <c r="I1121" s="307">
        <v>10</v>
      </c>
      <c r="J1121" s="307">
        <v>36061</v>
      </c>
      <c r="K1121" s="532">
        <f t="shared" si="118"/>
        <v>360610</v>
      </c>
      <c r="L1121" s="534" t="s">
        <v>223</v>
      </c>
      <c r="M1121" s="534" t="s">
        <v>162</v>
      </c>
      <c r="N1121" s="525" t="str">
        <f>IF(AND('331-CT'!$E$7=TH!H1121,OR(L1121="331",M1121="331")),"331",IF(AND(OR(L1121="131",M1121="131"),H1121='131-CT'!$E$7),"131",""))</f>
        <v/>
      </c>
      <c r="O1121" s="525" t="str">
        <f>IF(AND($B1121&gt;='111'!$N$11,$B1121&lt;='111'!$O$11,OR($L1121=$O$7,$M1121=$O$7)),"x","")</f>
        <v/>
      </c>
      <c r="P1121" s="525" t="str">
        <f>IF(AND($L1121=$O$7,$B1121&lt;'111'!$N$11),"x","")</f>
        <v/>
      </c>
      <c r="Q1121" s="525" t="str">
        <f>IF(AND($M1121=$O$7,$B1121&lt;'111'!$N$11),"x","")</f>
        <v/>
      </c>
      <c r="R1121" s="525" t="str">
        <f>IF(ISERROR(FIND('112'!$M$9,G1121,1)),"",IF((AND(FIND('112'!$M$9,G1121,1)&gt;=1,$B1121&gt;='112'!$N$8,$B1121&lt;='112'!$O$8,OR($L1121='112'!$I$6,$M1121='112'!$I$6))),"x",""))</f>
        <v/>
      </c>
      <c r="S1121" s="525" t="str">
        <f>IF(ISERROR(FIND('112'!$M$9,G1121,1)),"",IF((AND(LEFT(G1121,2)=LEFT('112'!$M$9,2),B1121&lt;'112'!$N$8,$L1121='112'!$I$6)),"x",""))</f>
        <v/>
      </c>
      <c r="T1121" s="525" t="str">
        <f>IF(ISERROR(FIND('112'!$M$9,G1121,1)),"",IF((AND(RIGHT(G1121,2)=RIGHT('112'!$M$9,2),B1121&lt;'112'!$N$8,$M1121='112'!$I$6)),"x",""))</f>
        <v/>
      </c>
      <c r="U1121" s="525" t="str">
        <f>IF(AND(B1121&gt;='IN-NX'!$P$3,B1121&lt;='IN-NX'!$Q$3,'IN-NX'!$D$7=D1121,OR(LEFT(L1121,2)="15",AND(LEFT(M1121,2)&lt;&gt;"15",LEFT(M1121,2)&lt;&gt;"33"))),"x","")</f>
        <v/>
      </c>
      <c r="V1121" s="525" t="str">
        <f>IF(AND(OR(LEFT(TH!L1121,2)="15",LEFT(TH!M1121,2)="15"),'152-CT'!$J$8=TH!F1121),"x","")</f>
        <v/>
      </c>
      <c r="W1121" s="525" t="str">
        <f>IF(AND(OR(LEFT(TH!L1121,2)="15",LEFT(TH!M1121,2)="15"),TK!$E$7=TH!F1121),"x","")</f>
        <v/>
      </c>
      <c r="X1121" s="525" t="str">
        <f>IF(AND('341-CT'!$E$9=H1121,OR(LEFT(L1121,3)=$X$7,LEFT(M1121,3)=$X$7)),"x","")</f>
        <v/>
      </c>
      <c r="Y1121" s="525" t="str">
        <f>IF(OR(TH!L1121=TH!$Y$7,M1121=TH!$Y$7),"x","")</f>
        <v/>
      </c>
      <c r="Z1121" s="525" t="str">
        <f>IF(AND(B1121&lt;=NKC!$N$8,B1121&gt;=NKC!$M$8),"x","")</f>
        <v>x</v>
      </c>
      <c r="AA1121" s="535"/>
    </row>
    <row r="1122" spans="1:28" s="503" customFormat="1" ht="15.75" customHeight="1">
      <c r="A1122" s="517" t="str">
        <f>IF(B1122&lt;&gt;"",IF(AND(B1122&gt;=_TM1,B1122&lt;=_TM2,OR(TH!L1122="1111",TH!M1122="1111")),TH!D1122,""),"")</f>
        <v/>
      </c>
      <c r="B1122" s="531">
        <f t="shared" si="116"/>
        <v>2</v>
      </c>
      <c r="C1122" s="315">
        <f t="shared" si="117"/>
        <v>42791</v>
      </c>
      <c r="D1122" s="315" t="s">
        <v>929</v>
      </c>
      <c r="E1122" s="315">
        <v>42791</v>
      </c>
      <c r="F1122" s="249" t="s">
        <v>629</v>
      </c>
      <c r="G1122" s="314" t="s">
        <v>542</v>
      </c>
      <c r="H1122" s="473" t="s">
        <v>284</v>
      </c>
      <c r="I1122" s="307">
        <v>36</v>
      </c>
      <c r="J1122" s="307">
        <v>25257</v>
      </c>
      <c r="K1122" s="532">
        <f t="shared" si="118"/>
        <v>909252</v>
      </c>
      <c r="L1122" s="534" t="s">
        <v>223</v>
      </c>
      <c r="M1122" s="534" t="s">
        <v>162</v>
      </c>
      <c r="N1122" s="525" t="str">
        <f>IF(AND('331-CT'!$E$7=TH!H1122,OR(L1122="331",M1122="331")),"331",IF(AND(OR(L1122="131",M1122="131"),H1122='131-CT'!$E$7),"131",""))</f>
        <v/>
      </c>
      <c r="O1122" s="525" t="str">
        <f>IF(AND($B1122&gt;='111'!$N$11,$B1122&lt;='111'!$O$11,OR($L1122=$O$7,$M1122=$O$7)),"x","")</f>
        <v/>
      </c>
      <c r="P1122" s="525" t="str">
        <f>IF(AND($L1122=$O$7,$B1122&lt;'111'!$N$11),"x","")</f>
        <v/>
      </c>
      <c r="Q1122" s="525" t="str">
        <f>IF(AND($M1122=$O$7,$B1122&lt;'111'!$N$11),"x","")</f>
        <v/>
      </c>
      <c r="R1122" s="525" t="str">
        <f>IF(ISERROR(FIND('112'!$M$9,G1122,1)),"",IF((AND(FIND('112'!$M$9,G1122,1)&gt;=1,$B1122&gt;='112'!$N$8,$B1122&lt;='112'!$O$8,OR($L1122='112'!$I$6,$M1122='112'!$I$6))),"x",""))</f>
        <v/>
      </c>
      <c r="S1122" s="525" t="str">
        <f>IF(ISERROR(FIND('112'!$M$9,G1122,1)),"",IF((AND(LEFT(G1122,2)=LEFT('112'!$M$9,2),B1122&lt;'112'!$N$8,$L1122='112'!$I$6)),"x",""))</f>
        <v/>
      </c>
      <c r="T1122" s="525" t="str">
        <f>IF(ISERROR(FIND('112'!$M$9,G1122,1)),"",IF((AND(RIGHT(G1122,2)=RIGHT('112'!$M$9,2),B1122&lt;'112'!$N$8,$M1122='112'!$I$6)),"x",""))</f>
        <v/>
      </c>
      <c r="U1122" s="525" t="str">
        <f>IF(AND(B1122&gt;='IN-NX'!$P$3,B1122&lt;='IN-NX'!$Q$3,'IN-NX'!$D$7=D1122,OR(LEFT(L1122,2)="15",AND(LEFT(M1122,2)&lt;&gt;"15",LEFT(M1122,2)&lt;&gt;"33"))),"x","")</f>
        <v/>
      </c>
      <c r="V1122" s="525" t="str">
        <f>IF(AND(OR(LEFT(TH!L1122,2)="15",LEFT(TH!M1122,2)="15"),'152-CT'!$J$8=TH!F1122),"x","")</f>
        <v/>
      </c>
      <c r="W1122" s="525" t="str">
        <f>IF(AND(OR(LEFT(TH!L1122,2)="15",LEFT(TH!M1122,2)="15"),TK!$E$7=TH!F1122),"x","")</f>
        <v/>
      </c>
      <c r="X1122" s="525" t="str">
        <f>IF(AND('341-CT'!$E$9=H1122,OR(LEFT(L1122,3)=$X$7,LEFT(M1122,3)=$X$7)),"x","")</f>
        <v/>
      </c>
      <c r="Y1122" s="525" t="str">
        <f>IF(OR(TH!L1122=TH!$Y$7,M1122=TH!$Y$7),"x","")</f>
        <v/>
      </c>
      <c r="Z1122" s="525" t="str">
        <f>IF(AND(B1122&lt;=NKC!$N$8,B1122&gt;=NKC!$M$8),"x","")</f>
        <v>x</v>
      </c>
      <c r="AA1122" s="535"/>
    </row>
    <row r="1123" spans="1:28" s="503" customFormat="1" ht="15.75" customHeight="1">
      <c r="A1123" s="517" t="str">
        <f>IF(B1123&lt;&gt;"",IF(AND(B1123&gt;=_TM1,B1123&lt;=_TM2,OR(TH!L1123="1111",TH!M1123="1111")),TH!D1123,""),"")</f>
        <v/>
      </c>
      <c r="B1123" s="531">
        <f t="shared" si="116"/>
        <v>2</v>
      </c>
      <c r="C1123" s="315">
        <f t="shared" si="117"/>
        <v>42791</v>
      </c>
      <c r="D1123" s="315" t="s">
        <v>929</v>
      </c>
      <c r="E1123" s="315">
        <v>42791</v>
      </c>
      <c r="F1123" s="249" t="s">
        <v>760</v>
      </c>
      <c r="G1123" s="314" t="s">
        <v>542</v>
      </c>
      <c r="H1123" s="473" t="s">
        <v>284</v>
      </c>
      <c r="I1123" s="307">
        <v>40</v>
      </c>
      <c r="J1123" s="307">
        <v>26873</v>
      </c>
      <c r="K1123" s="532">
        <f t="shared" si="118"/>
        <v>1074920</v>
      </c>
      <c r="L1123" s="534" t="s">
        <v>223</v>
      </c>
      <c r="M1123" s="534" t="s">
        <v>162</v>
      </c>
      <c r="N1123" s="525" t="str">
        <f>IF(AND('331-CT'!$E$7=TH!H1123,OR(L1123="331",M1123="331")),"331",IF(AND(OR(L1123="131",M1123="131"),H1123='131-CT'!$E$7),"131",""))</f>
        <v/>
      </c>
      <c r="O1123" s="525" t="str">
        <f>IF(AND($B1123&gt;='111'!$N$11,$B1123&lt;='111'!$O$11,OR($L1123=$O$7,$M1123=$O$7)),"x","")</f>
        <v/>
      </c>
      <c r="P1123" s="525" t="str">
        <f>IF(AND($L1123=$O$7,$B1123&lt;'111'!$N$11),"x","")</f>
        <v/>
      </c>
      <c r="Q1123" s="525" t="str">
        <f>IF(AND($M1123=$O$7,$B1123&lt;'111'!$N$11),"x","")</f>
        <v/>
      </c>
      <c r="R1123" s="525" t="str">
        <f>IF(ISERROR(FIND('112'!$M$9,G1123,1)),"",IF((AND(FIND('112'!$M$9,G1123,1)&gt;=1,$B1123&gt;='112'!$N$8,$B1123&lt;='112'!$O$8,OR($L1123='112'!$I$6,$M1123='112'!$I$6))),"x",""))</f>
        <v/>
      </c>
      <c r="S1123" s="525" t="str">
        <f>IF(ISERROR(FIND('112'!$M$9,G1123,1)),"",IF((AND(LEFT(G1123,2)=LEFT('112'!$M$9,2),B1123&lt;'112'!$N$8,$L1123='112'!$I$6)),"x",""))</f>
        <v/>
      </c>
      <c r="T1123" s="525" t="str">
        <f>IF(ISERROR(FIND('112'!$M$9,G1123,1)),"",IF((AND(RIGHT(G1123,2)=RIGHT('112'!$M$9,2),B1123&lt;'112'!$N$8,$M1123='112'!$I$6)),"x",""))</f>
        <v/>
      </c>
      <c r="U1123" s="525" t="str">
        <f>IF(AND(B1123&gt;='IN-NX'!$P$3,B1123&lt;='IN-NX'!$Q$3,'IN-NX'!$D$7=D1123,OR(LEFT(L1123,2)="15",AND(LEFT(M1123,2)&lt;&gt;"15",LEFT(M1123,2)&lt;&gt;"33"))),"x","")</f>
        <v/>
      </c>
      <c r="V1123" s="525" t="str">
        <f>IF(AND(OR(LEFT(TH!L1123,2)="15",LEFT(TH!M1123,2)="15"),'152-CT'!$J$8=TH!F1123),"x","")</f>
        <v/>
      </c>
      <c r="W1123" s="525" t="str">
        <f>IF(AND(OR(LEFT(TH!L1123,2)="15",LEFT(TH!M1123,2)="15"),TK!$E$7=TH!F1123),"x","")</f>
        <v/>
      </c>
      <c r="X1123" s="525" t="str">
        <f>IF(AND('341-CT'!$E$9=H1123,OR(LEFT(L1123,3)=$X$7,LEFT(M1123,3)=$X$7)),"x","")</f>
        <v/>
      </c>
      <c r="Y1123" s="525" t="str">
        <f>IF(OR(TH!L1123=TH!$Y$7,M1123=TH!$Y$7),"x","")</f>
        <v/>
      </c>
      <c r="Z1123" s="525" t="str">
        <f>IF(AND(B1123&lt;=NKC!$N$8,B1123&gt;=NKC!$M$8),"x","")</f>
        <v>x</v>
      </c>
      <c r="AA1123" s="535"/>
    </row>
    <row r="1124" spans="1:28" s="503" customFormat="1" ht="15.75" customHeight="1">
      <c r="A1124" s="517" t="str">
        <f>IF(B1124&lt;&gt;"",IF(AND(B1124&gt;=_TM1,B1124&lt;=_TM2,OR(TH!L1124="1111",TH!M1124="1111")),TH!D1124,""),"")</f>
        <v/>
      </c>
      <c r="B1124" s="531">
        <f t="shared" si="116"/>
        <v>2</v>
      </c>
      <c r="C1124" s="315">
        <f t="shared" si="117"/>
        <v>42791</v>
      </c>
      <c r="D1124" s="315" t="s">
        <v>929</v>
      </c>
      <c r="E1124" s="315">
        <v>42791</v>
      </c>
      <c r="F1124" s="249" t="s">
        <v>761</v>
      </c>
      <c r="G1124" s="314" t="s">
        <v>542</v>
      </c>
      <c r="H1124" s="473" t="s">
        <v>284</v>
      </c>
      <c r="I1124" s="307">
        <v>36</v>
      </c>
      <c r="J1124" s="307">
        <v>35693</v>
      </c>
      <c r="K1124" s="532">
        <f t="shared" si="118"/>
        <v>1284948</v>
      </c>
      <c r="L1124" s="534" t="s">
        <v>223</v>
      </c>
      <c r="M1124" s="534" t="s">
        <v>162</v>
      </c>
      <c r="N1124" s="525" t="str">
        <f>IF(AND('331-CT'!$E$7=TH!H1124,OR(L1124="331",M1124="331")),"331",IF(AND(OR(L1124="131",M1124="131"),H1124='131-CT'!$E$7),"131",""))</f>
        <v/>
      </c>
      <c r="O1124" s="525" t="str">
        <f>IF(AND($B1124&gt;='111'!$N$11,$B1124&lt;='111'!$O$11,OR($L1124=$O$7,$M1124=$O$7)),"x","")</f>
        <v/>
      </c>
      <c r="P1124" s="525" t="str">
        <f>IF(AND($L1124=$O$7,$B1124&lt;'111'!$N$11),"x","")</f>
        <v/>
      </c>
      <c r="Q1124" s="525" t="str">
        <f>IF(AND($M1124=$O$7,$B1124&lt;'111'!$N$11),"x","")</f>
        <v/>
      </c>
      <c r="R1124" s="525" t="str">
        <f>IF(ISERROR(FIND('112'!$M$9,G1124,1)),"",IF((AND(FIND('112'!$M$9,G1124,1)&gt;=1,$B1124&gt;='112'!$N$8,$B1124&lt;='112'!$O$8,OR($L1124='112'!$I$6,$M1124='112'!$I$6))),"x",""))</f>
        <v/>
      </c>
      <c r="S1124" s="525" t="str">
        <f>IF(ISERROR(FIND('112'!$M$9,G1124,1)),"",IF((AND(LEFT(G1124,2)=LEFT('112'!$M$9,2),B1124&lt;'112'!$N$8,$L1124='112'!$I$6)),"x",""))</f>
        <v/>
      </c>
      <c r="T1124" s="525" t="str">
        <f>IF(ISERROR(FIND('112'!$M$9,G1124,1)),"",IF((AND(RIGHT(G1124,2)=RIGHT('112'!$M$9,2),B1124&lt;'112'!$N$8,$M1124='112'!$I$6)),"x",""))</f>
        <v/>
      </c>
      <c r="U1124" s="525" t="str">
        <f>IF(AND(B1124&gt;='IN-NX'!$P$3,B1124&lt;='IN-NX'!$Q$3,'IN-NX'!$D$7=D1124,OR(LEFT(L1124,2)="15",AND(LEFT(M1124,2)&lt;&gt;"15",LEFT(M1124,2)&lt;&gt;"33"))),"x","")</f>
        <v/>
      </c>
      <c r="V1124" s="525" t="str">
        <f>IF(AND(OR(LEFT(TH!L1124,2)="15",LEFT(TH!M1124,2)="15"),'152-CT'!$J$8=TH!F1124),"x","")</f>
        <v/>
      </c>
      <c r="W1124" s="525" t="str">
        <f>IF(AND(OR(LEFT(TH!L1124,2)="15",LEFT(TH!M1124,2)="15"),TK!$E$7=TH!F1124),"x","")</f>
        <v/>
      </c>
      <c r="X1124" s="525" t="str">
        <f>IF(AND('341-CT'!$E$9=H1124,OR(LEFT(L1124,3)=$X$7,LEFT(M1124,3)=$X$7)),"x","")</f>
        <v/>
      </c>
      <c r="Y1124" s="525" t="str">
        <f>IF(OR(TH!L1124=TH!$Y$7,M1124=TH!$Y$7),"x","")</f>
        <v/>
      </c>
      <c r="Z1124" s="525" t="str">
        <f>IF(AND(B1124&lt;=NKC!$N$8,B1124&gt;=NKC!$M$8),"x","")</f>
        <v>x</v>
      </c>
      <c r="AA1124" s="535"/>
    </row>
    <row r="1125" spans="1:28" s="503" customFormat="1" ht="15.75" customHeight="1">
      <c r="A1125" s="517" t="str">
        <f>IF(B1125&lt;&gt;"",IF(AND(B1125&gt;=_TM1,B1125&lt;=_TM2,OR(TH!L1125="1111",TH!M1125="1111")),TH!D1125,""),"")</f>
        <v/>
      </c>
      <c r="B1125" s="531">
        <f t="shared" si="116"/>
        <v>2</v>
      </c>
      <c r="C1125" s="315">
        <f t="shared" si="117"/>
        <v>42791</v>
      </c>
      <c r="D1125" s="315" t="s">
        <v>929</v>
      </c>
      <c r="E1125" s="315">
        <v>42791</v>
      </c>
      <c r="F1125" s="249" t="s">
        <v>630</v>
      </c>
      <c r="G1125" s="314" t="s">
        <v>542</v>
      </c>
      <c r="H1125" s="473" t="s">
        <v>284</v>
      </c>
      <c r="I1125" s="307">
        <v>12</v>
      </c>
      <c r="J1125" s="307">
        <v>35511</v>
      </c>
      <c r="K1125" s="532">
        <f t="shared" si="118"/>
        <v>426132</v>
      </c>
      <c r="L1125" s="534" t="s">
        <v>223</v>
      </c>
      <c r="M1125" s="534" t="s">
        <v>162</v>
      </c>
      <c r="N1125" s="525" t="str">
        <f>IF(AND('331-CT'!$E$7=TH!H1125,OR(L1125="331",M1125="331")),"331",IF(AND(OR(L1125="131",M1125="131"),H1125='131-CT'!$E$7),"131",""))</f>
        <v/>
      </c>
      <c r="O1125" s="525" t="str">
        <f>IF(AND($B1125&gt;='111'!$N$11,$B1125&lt;='111'!$O$11,OR($L1125=$O$7,$M1125=$O$7)),"x","")</f>
        <v/>
      </c>
      <c r="P1125" s="525" t="str">
        <f>IF(AND($L1125=$O$7,$B1125&lt;'111'!$N$11),"x","")</f>
        <v/>
      </c>
      <c r="Q1125" s="525" t="str">
        <f>IF(AND($M1125=$O$7,$B1125&lt;'111'!$N$11),"x","")</f>
        <v/>
      </c>
      <c r="R1125" s="525" t="str">
        <f>IF(ISERROR(FIND('112'!$M$9,G1125,1)),"",IF((AND(FIND('112'!$M$9,G1125,1)&gt;=1,$B1125&gt;='112'!$N$8,$B1125&lt;='112'!$O$8,OR($L1125='112'!$I$6,$M1125='112'!$I$6))),"x",""))</f>
        <v/>
      </c>
      <c r="S1125" s="525" t="str">
        <f>IF(ISERROR(FIND('112'!$M$9,G1125,1)),"",IF((AND(LEFT(G1125,2)=LEFT('112'!$M$9,2),B1125&lt;'112'!$N$8,$L1125='112'!$I$6)),"x",""))</f>
        <v/>
      </c>
      <c r="T1125" s="525" t="str">
        <f>IF(ISERROR(FIND('112'!$M$9,G1125,1)),"",IF((AND(RIGHT(G1125,2)=RIGHT('112'!$M$9,2),B1125&lt;'112'!$N$8,$M1125='112'!$I$6)),"x",""))</f>
        <v/>
      </c>
      <c r="U1125" s="525" t="str">
        <f>IF(AND(B1125&gt;='IN-NX'!$P$3,B1125&lt;='IN-NX'!$Q$3,'IN-NX'!$D$7=D1125,OR(LEFT(L1125,2)="15",AND(LEFT(M1125,2)&lt;&gt;"15",LEFT(M1125,2)&lt;&gt;"33"))),"x","")</f>
        <v/>
      </c>
      <c r="V1125" s="525" t="str">
        <f>IF(AND(OR(LEFT(TH!L1125,2)="15",LEFT(TH!M1125,2)="15"),'152-CT'!$J$8=TH!F1125),"x","")</f>
        <v/>
      </c>
      <c r="W1125" s="525" t="str">
        <f>IF(AND(OR(LEFT(TH!L1125,2)="15",LEFT(TH!M1125,2)="15"),TK!$E$7=TH!F1125),"x","")</f>
        <v/>
      </c>
      <c r="X1125" s="525" t="str">
        <f>IF(AND('341-CT'!$E$9=H1125,OR(LEFT(L1125,3)=$X$7,LEFT(M1125,3)=$X$7)),"x","")</f>
        <v/>
      </c>
      <c r="Y1125" s="525" t="str">
        <f>IF(OR(TH!L1125=TH!$Y$7,M1125=TH!$Y$7),"x","")</f>
        <v/>
      </c>
      <c r="Z1125" s="525" t="str">
        <f>IF(AND(B1125&lt;=NKC!$N$8,B1125&gt;=NKC!$M$8),"x","")</f>
        <v>x</v>
      </c>
      <c r="AA1125" s="535"/>
    </row>
    <row r="1126" spans="1:28" s="503" customFormat="1" ht="15.75" customHeight="1">
      <c r="A1126" s="517" t="str">
        <f>IF(B1126&lt;&gt;"",IF(AND(B1126&gt;=_TM1,B1126&lt;=_TM2,OR(TH!L1126="1111",TH!M1126="1111")),TH!D1126,""),"")</f>
        <v/>
      </c>
      <c r="B1126" s="531">
        <f t="shared" si="116"/>
        <v>2</v>
      </c>
      <c r="C1126" s="315">
        <f t="shared" si="117"/>
        <v>42791</v>
      </c>
      <c r="D1126" s="315" t="s">
        <v>929</v>
      </c>
      <c r="E1126" s="315">
        <v>42791</v>
      </c>
      <c r="F1126" s="249" t="s">
        <v>762</v>
      </c>
      <c r="G1126" s="314" t="s">
        <v>542</v>
      </c>
      <c r="H1126" s="473" t="s">
        <v>284</v>
      </c>
      <c r="I1126" s="307">
        <v>24</v>
      </c>
      <c r="J1126" s="307">
        <v>47633</v>
      </c>
      <c r="K1126" s="532">
        <f t="shared" si="118"/>
        <v>1143192</v>
      </c>
      <c r="L1126" s="534" t="s">
        <v>223</v>
      </c>
      <c r="M1126" s="534" t="s">
        <v>162</v>
      </c>
      <c r="N1126" s="525" t="str">
        <f>IF(AND('331-CT'!$E$7=TH!H1126,OR(L1126="331",M1126="331")),"331",IF(AND(OR(L1126="131",M1126="131"),H1126='131-CT'!$E$7),"131",""))</f>
        <v/>
      </c>
      <c r="O1126" s="525" t="str">
        <f>IF(AND($B1126&gt;='111'!$N$11,$B1126&lt;='111'!$O$11,OR($L1126=$O$7,$M1126=$O$7)),"x","")</f>
        <v/>
      </c>
      <c r="P1126" s="525" t="str">
        <f>IF(AND($L1126=$O$7,$B1126&lt;'111'!$N$11),"x","")</f>
        <v/>
      </c>
      <c r="Q1126" s="525" t="str">
        <f>IF(AND($M1126=$O$7,$B1126&lt;'111'!$N$11),"x","")</f>
        <v/>
      </c>
      <c r="R1126" s="525" t="str">
        <f>IF(ISERROR(FIND('112'!$M$9,G1126,1)),"",IF((AND(FIND('112'!$M$9,G1126,1)&gt;=1,$B1126&gt;='112'!$N$8,$B1126&lt;='112'!$O$8,OR($L1126='112'!$I$6,$M1126='112'!$I$6))),"x",""))</f>
        <v/>
      </c>
      <c r="S1126" s="525" t="str">
        <f>IF(ISERROR(FIND('112'!$M$9,G1126,1)),"",IF((AND(LEFT(G1126,2)=LEFT('112'!$M$9,2),B1126&lt;'112'!$N$8,$L1126='112'!$I$6)),"x",""))</f>
        <v/>
      </c>
      <c r="T1126" s="525" t="str">
        <f>IF(ISERROR(FIND('112'!$M$9,G1126,1)),"",IF((AND(RIGHT(G1126,2)=RIGHT('112'!$M$9,2),B1126&lt;'112'!$N$8,$M1126='112'!$I$6)),"x",""))</f>
        <v/>
      </c>
      <c r="U1126" s="525" t="str">
        <f>IF(AND(B1126&gt;='IN-NX'!$P$3,B1126&lt;='IN-NX'!$Q$3,'IN-NX'!$D$7=D1126,OR(LEFT(L1126,2)="15",AND(LEFT(M1126,2)&lt;&gt;"15",LEFT(M1126,2)&lt;&gt;"33"))),"x","")</f>
        <v/>
      </c>
      <c r="V1126" s="525" t="str">
        <f>IF(AND(OR(LEFT(TH!L1126,2)="15",LEFT(TH!M1126,2)="15"),'152-CT'!$J$8=TH!F1126),"x","")</f>
        <v/>
      </c>
      <c r="W1126" s="525" t="str">
        <f>IF(AND(OR(LEFT(TH!L1126,2)="15",LEFT(TH!M1126,2)="15"),TK!$E$7=TH!F1126),"x","")</f>
        <v/>
      </c>
      <c r="X1126" s="525" t="str">
        <f>IF(AND('341-CT'!$E$9=H1126,OR(LEFT(L1126,3)=$X$7,LEFT(M1126,3)=$X$7)),"x","")</f>
        <v/>
      </c>
      <c r="Y1126" s="525" t="str">
        <f>IF(OR(TH!L1126=TH!$Y$7,M1126=TH!$Y$7),"x","")</f>
        <v/>
      </c>
      <c r="Z1126" s="525" t="str">
        <f>IF(AND(B1126&lt;=NKC!$N$8,B1126&gt;=NKC!$M$8),"x","")</f>
        <v>x</v>
      </c>
      <c r="AA1126" s="535"/>
    </row>
    <row r="1127" spans="1:28" s="503" customFormat="1" ht="15.75" customHeight="1">
      <c r="A1127" s="517" t="str">
        <f>IF(B1127&lt;&gt;"",IF(AND(B1127&gt;=_TM1,B1127&lt;=_TM2,OR(TH!L1127="1111",TH!M1127="1111")),TH!D1127,""),"")</f>
        <v/>
      </c>
      <c r="B1127" s="531">
        <f t="shared" si="116"/>
        <v>2</v>
      </c>
      <c r="C1127" s="315">
        <f t="shared" si="117"/>
        <v>42791</v>
      </c>
      <c r="D1127" s="315" t="s">
        <v>929</v>
      </c>
      <c r="E1127" s="315">
        <v>42791</v>
      </c>
      <c r="F1127" s="249" t="s">
        <v>494</v>
      </c>
      <c r="G1127" s="314" t="s">
        <v>542</v>
      </c>
      <c r="H1127" s="473" t="s">
        <v>284</v>
      </c>
      <c r="I1127" s="307"/>
      <c r="J1127" s="307"/>
      <c r="K1127" s="532">
        <v>5013223</v>
      </c>
      <c r="L1127" s="534" t="s">
        <v>223</v>
      </c>
      <c r="M1127" s="534" t="s">
        <v>259</v>
      </c>
      <c r="N1127" s="525" t="str">
        <f>IF(AND('331-CT'!$E$7=TH!H1127,OR(L1127="331",M1127="331")),"331",IF(AND(OR(L1127="131",M1127="131"),H1127='131-CT'!$E$7),"131",""))</f>
        <v/>
      </c>
      <c r="O1127" s="525" t="str">
        <f>IF(AND($B1127&gt;='111'!$N$11,$B1127&lt;='111'!$O$11,OR($L1127=$O$7,$M1127=$O$7)),"x","")</f>
        <v/>
      </c>
      <c r="P1127" s="525" t="str">
        <f>IF(AND($L1127=$O$7,$B1127&lt;'111'!$N$11),"x","")</f>
        <v/>
      </c>
      <c r="Q1127" s="525" t="str">
        <f>IF(AND($M1127=$O$7,$B1127&lt;'111'!$N$11),"x","")</f>
        <v/>
      </c>
      <c r="R1127" s="525" t="str">
        <f>IF(ISERROR(FIND('112'!$M$9,G1127,1)),"",IF((AND(FIND('112'!$M$9,G1127,1)&gt;=1,$B1127&gt;='112'!$N$8,$B1127&lt;='112'!$O$8,OR($L1127='112'!$I$6,$M1127='112'!$I$6))),"x",""))</f>
        <v/>
      </c>
      <c r="S1127" s="525" t="str">
        <f>IF(ISERROR(FIND('112'!$M$9,G1127,1)),"",IF((AND(LEFT(G1127,2)=LEFT('112'!$M$9,2),B1127&lt;'112'!$N$8,$L1127='112'!$I$6)),"x",""))</f>
        <v/>
      </c>
      <c r="T1127" s="525" t="str">
        <f>IF(ISERROR(FIND('112'!$M$9,G1127,1)),"",IF((AND(RIGHT(G1127,2)=RIGHT('112'!$M$9,2),B1127&lt;'112'!$N$8,$M1127='112'!$I$6)),"x",""))</f>
        <v/>
      </c>
      <c r="U1127" s="525" t="str">
        <f>IF(AND(B1127&gt;='IN-NX'!$P$3,B1127&lt;='IN-NX'!$Q$3,'IN-NX'!$D$7=D1127,OR(LEFT(L1127,2)="15",AND(LEFT(M1127,2)&lt;&gt;"15",LEFT(M1127,2)&lt;&gt;"33"))),"x","")</f>
        <v/>
      </c>
      <c r="V1127" s="525" t="str">
        <f>IF(AND(OR(LEFT(TH!L1127,2)="15",LEFT(TH!M1127,2)="15"),'152-CT'!$J$8=TH!F1127),"x","")</f>
        <v/>
      </c>
      <c r="W1127" s="525" t="str">
        <f>IF(AND(OR(LEFT(TH!L1127,2)="15",LEFT(TH!M1127,2)="15"),TK!$E$7=TH!F1127),"x","")</f>
        <v/>
      </c>
      <c r="X1127" s="525" t="str">
        <f>IF(AND('341-CT'!$E$9=H1127,OR(LEFT(L1127,3)=$X$7,LEFT(M1127,3)=$X$7)),"x","")</f>
        <v/>
      </c>
      <c r="Y1127" s="525" t="str">
        <f>IF(OR(TH!L1127=TH!$Y$7,M1127=TH!$Y$7),"x","")</f>
        <v/>
      </c>
      <c r="Z1127" s="525" t="str">
        <f>IF(AND(B1127&lt;=NKC!$N$8,B1127&gt;=NKC!$M$8),"x","")</f>
        <v>x</v>
      </c>
      <c r="AA1127" s="535"/>
      <c r="AB1127" s="536"/>
    </row>
    <row r="1128" spans="1:28" s="503" customFormat="1" ht="15.75" customHeight="1">
      <c r="A1128" s="517">
        <f>IF(B1128&lt;&gt;"",IF(AND(B1128&gt;=_TM1,B1128&lt;=_TM2,OR(TH!L1128="1111",TH!M1128="1111")),TH!D1128,""),"")</f>
        <v>0</v>
      </c>
      <c r="B1128" s="531">
        <f t="shared" si="116"/>
        <v>2</v>
      </c>
      <c r="C1128" s="315">
        <f t="shared" si="117"/>
        <v>42791</v>
      </c>
      <c r="D1128" s="315"/>
      <c r="E1128" s="315">
        <v>42791</v>
      </c>
      <c r="F1128" s="249" t="s">
        <v>1099</v>
      </c>
      <c r="G1128" s="314" t="s">
        <v>543</v>
      </c>
      <c r="H1128" s="473" t="s">
        <v>566</v>
      </c>
      <c r="I1128" s="307"/>
      <c r="J1128" s="307"/>
      <c r="K1128" s="532">
        <v>1000000</v>
      </c>
      <c r="L1128" s="534" t="s">
        <v>45</v>
      </c>
      <c r="M1128" s="534" t="s">
        <v>275</v>
      </c>
      <c r="N1128" s="525" t="str">
        <f>IF(AND('331-CT'!$E$7=TH!H1128,OR(L1128="331",M1128="331")),"331",IF(AND(OR(L1128="131",M1128="131"),H1128='131-CT'!$E$7),"131",""))</f>
        <v/>
      </c>
      <c r="O1128" s="525" t="str">
        <f>IF(AND($B1128&gt;='111'!$N$11,$B1128&lt;='111'!$O$11,OR($L1128=$O$7,$M1128=$O$7)),"x","")</f>
        <v/>
      </c>
      <c r="P1128" s="525" t="str">
        <f>IF(AND($L1128=$O$7,$B1128&lt;'111'!$N$11),"x","")</f>
        <v>x</v>
      </c>
      <c r="Q1128" s="525" t="str">
        <f>IF(AND($M1128=$O$7,$B1128&lt;'111'!$N$11),"x","")</f>
        <v/>
      </c>
      <c r="R1128" s="525" t="str">
        <f>IF(ISERROR(FIND('112'!$M$9,G1128,1)),"",IF((AND(FIND('112'!$M$9,G1128,1)&gt;=1,$B1128&gt;='112'!$N$8,$B1128&lt;='112'!$O$8,OR($L1128='112'!$I$6,$M1128='112'!$I$6))),"x",""))</f>
        <v/>
      </c>
      <c r="S1128" s="525" t="str">
        <f>IF(ISERROR(FIND('112'!$M$9,G1128,1)),"",IF((AND(LEFT(G1128,2)=LEFT('112'!$M$9,2),B1128&lt;'112'!$N$8,$L1128='112'!$I$6)),"x",""))</f>
        <v/>
      </c>
      <c r="T1128" s="525" t="str">
        <f>IF(ISERROR(FIND('112'!$M$9,G1128,1)),"",IF((AND(RIGHT(G1128,2)=RIGHT('112'!$M$9,2),B1128&lt;'112'!$N$8,$M1128='112'!$I$6)),"x",""))</f>
        <v/>
      </c>
      <c r="U1128" s="525" t="str">
        <f>IF(AND(B1128&gt;='IN-NX'!$P$3,B1128&lt;='IN-NX'!$Q$3,'IN-NX'!$D$7=D1128,OR(LEFT(L1128,2)="15",AND(LEFT(M1128,2)&lt;&gt;"15",LEFT(M1128,2)&lt;&gt;"33"))),"x","")</f>
        <v/>
      </c>
      <c r="V1128" s="525" t="str">
        <f>IF(AND(OR(LEFT(TH!L1128,2)="15",LEFT(TH!M1128,2)="15"),'152-CT'!$J$8=TH!F1128),"x","")</f>
        <v/>
      </c>
      <c r="W1128" s="525" t="str">
        <f>IF(AND(OR(LEFT(TH!L1128,2)="15",LEFT(TH!M1128,2)="15"),TK!$E$7=TH!F1128),"x","")</f>
        <v/>
      </c>
      <c r="X1128" s="525" t="str">
        <f>IF(AND('341-CT'!$E$9=H1128,OR(LEFT(L1128,3)=$X$7,LEFT(M1128,3)=$X$7)),"x","")</f>
        <v/>
      </c>
      <c r="Y1128" s="525" t="str">
        <f>IF(OR(TH!L1128=TH!$Y$7,M1128=TH!$Y$7),"x","")</f>
        <v/>
      </c>
      <c r="Z1128" s="525" t="str">
        <f>IF(AND(B1128&lt;=NKC!$N$8,B1128&gt;=NKC!$M$8),"x","")</f>
        <v>x</v>
      </c>
      <c r="AA1128" s="535"/>
      <c r="AB1128" s="536"/>
    </row>
    <row r="1129" spans="1:28" s="503" customFormat="1" ht="15.75" customHeight="1">
      <c r="A1129" s="517">
        <f>IF(B1129&lt;&gt;"",IF(AND(B1129&gt;=_TM1,B1129&lt;=_TM2,OR(TH!L1129="1111",TH!M1129="1111")),TH!D1129,""),"")</f>
        <v>0</v>
      </c>
      <c r="B1129" s="531">
        <f t="shared" si="116"/>
        <v>2</v>
      </c>
      <c r="C1129" s="315">
        <f t="shared" si="117"/>
        <v>42791</v>
      </c>
      <c r="D1129" s="315"/>
      <c r="E1129" s="315">
        <v>42791</v>
      </c>
      <c r="F1129" s="249" t="s">
        <v>1102</v>
      </c>
      <c r="G1129" s="314" t="s">
        <v>543</v>
      </c>
      <c r="H1129" s="473" t="s">
        <v>566</v>
      </c>
      <c r="I1129" s="307"/>
      <c r="J1129" s="307"/>
      <c r="K1129" s="532">
        <v>100000</v>
      </c>
      <c r="L1129" s="534" t="s">
        <v>45</v>
      </c>
      <c r="M1129" s="534" t="s">
        <v>259</v>
      </c>
      <c r="N1129" s="525" t="str">
        <f>IF(AND('331-CT'!$E$7=TH!H1129,OR(L1129="331",M1129="331")),"331",IF(AND(OR(L1129="131",M1129="131"),H1129='131-CT'!$E$7),"131",""))</f>
        <v/>
      </c>
      <c r="O1129" s="525" t="str">
        <f>IF(AND($B1129&gt;='111'!$N$11,$B1129&lt;='111'!$O$11,OR($L1129=$O$7,$M1129=$O$7)),"x","")</f>
        <v/>
      </c>
      <c r="P1129" s="525" t="str">
        <f>IF(AND($L1129=$O$7,$B1129&lt;'111'!$N$11),"x","")</f>
        <v>x</v>
      </c>
      <c r="Q1129" s="525" t="str">
        <f>IF(AND($M1129=$O$7,$B1129&lt;'111'!$N$11),"x","")</f>
        <v/>
      </c>
      <c r="R1129" s="525" t="str">
        <f>IF(ISERROR(FIND('112'!$M$9,G1129,1)),"",IF((AND(FIND('112'!$M$9,G1129,1)&gt;=1,$B1129&gt;='112'!$N$8,$B1129&lt;='112'!$O$8,OR($L1129='112'!$I$6,$M1129='112'!$I$6))),"x",""))</f>
        <v/>
      </c>
      <c r="S1129" s="525" t="str">
        <f>IF(ISERROR(FIND('112'!$M$9,G1129,1)),"",IF((AND(LEFT(G1129,2)=LEFT('112'!$M$9,2),B1129&lt;'112'!$N$8,$L1129='112'!$I$6)),"x",""))</f>
        <v/>
      </c>
      <c r="T1129" s="525" t="str">
        <f>IF(ISERROR(FIND('112'!$M$9,G1129,1)),"",IF((AND(RIGHT(G1129,2)=RIGHT('112'!$M$9,2),B1129&lt;'112'!$N$8,$M1129='112'!$I$6)),"x",""))</f>
        <v/>
      </c>
      <c r="U1129" s="525" t="str">
        <f>IF(AND(B1129&gt;='IN-NX'!$P$3,B1129&lt;='IN-NX'!$Q$3,'IN-NX'!$D$7=D1129,OR(LEFT(L1129,2)="15",AND(LEFT(M1129,2)&lt;&gt;"15",LEFT(M1129,2)&lt;&gt;"33"))),"x","")</f>
        <v/>
      </c>
      <c r="V1129" s="525" t="str">
        <f>IF(AND(OR(LEFT(TH!L1129,2)="15",LEFT(TH!M1129,2)="15"),'152-CT'!$J$8=TH!F1129),"x","")</f>
        <v/>
      </c>
      <c r="W1129" s="525" t="str">
        <f>IF(AND(OR(LEFT(TH!L1129,2)="15",LEFT(TH!M1129,2)="15"),TK!$E$7=TH!F1129),"x","")</f>
        <v/>
      </c>
      <c r="X1129" s="525" t="str">
        <f>IF(AND('341-CT'!$E$9=H1129,OR(LEFT(L1129,3)=$X$7,LEFT(M1129,3)=$X$7)),"x","")</f>
        <v/>
      </c>
      <c r="Y1129" s="525" t="str">
        <f>IF(OR(TH!L1129=TH!$Y$7,M1129=TH!$Y$7),"x","")</f>
        <v/>
      </c>
      <c r="Z1129" s="525" t="str">
        <f>IF(AND(B1129&lt;=NKC!$N$8,B1129&gt;=NKC!$M$8),"x","")</f>
        <v>x</v>
      </c>
      <c r="AA1129" s="535"/>
      <c r="AB1129" s="536"/>
    </row>
    <row r="1130" spans="1:28" s="503" customFormat="1" ht="15.75" customHeight="1">
      <c r="A1130" s="517" t="str">
        <f>IF(B1130&lt;&gt;"",IF(AND(B1130&gt;=_TM1,B1130&lt;=_TM2,OR(TH!L1130="1111",TH!M1130="1111")),TH!D1130,""),"")</f>
        <v/>
      </c>
      <c r="B1130" s="531">
        <f t="shared" si="116"/>
        <v>2</v>
      </c>
      <c r="C1130" s="315">
        <f t="shared" si="117"/>
        <v>42793</v>
      </c>
      <c r="D1130" s="315" t="s">
        <v>930</v>
      </c>
      <c r="E1130" s="315">
        <v>42793</v>
      </c>
      <c r="F1130" s="249" t="s">
        <v>567</v>
      </c>
      <c r="G1130" s="314" t="s">
        <v>544</v>
      </c>
      <c r="H1130" s="473" t="s">
        <v>375</v>
      </c>
      <c r="I1130" s="307">
        <v>500</v>
      </c>
      <c r="J1130" s="307">
        <v>4000</v>
      </c>
      <c r="K1130" s="532">
        <f>ROUND(I1130*J1130,0)</f>
        <v>2000000</v>
      </c>
      <c r="L1130" s="534" t="s">
        <v>223</v>
      </c>
      <c r="M1130" s="534" t="s">
        <v>162</v>
      </c>
      <c r="N1130" s="525" t="str">
        <f>IF(AND('331-CT'!$E$7=TH!H1130,OR(L1130="331",M1130="331")),"331",IF(AND(OR(L1130="131",M1130="131"),H1130='131-CT'!$E$7),"131",""))</f>
        <v/>
      </c>
      <c r="O1130" s="525" t="str">
        <f>IF(AND($B1130&gt;='111'!$N$11,$B1130&lt;='111'!$O$11,OR($L1130=$O$7,$M1130=$O$7)),"x","")</f>
        <v/>
      </c>
      <c r="P1130" s="525" t="str">
        <f>IF(AND($L1130=$O$7,$B1130&lt;'111'!$N$11),"x","")</f>
        <v/>
      </c>
      <c r="Q1130" s="525" t="str">
        <f>IF(AND($M1130=$O$7,$B1130&lt;'111'!$N$11),"x","")</f>
        <v/>
      </c>
      <c r="R1130" s="525" t="str">
        <f>IF(ISERROR(FIND('112'!$M$9,G1130,1)),"",IF((AND(FIND('112'!$M$9,G1130,1)&gt;=1,$B1130&gt;='112'!$N$8,$B1130&lt;='112'!$O$8,OR($L1130='112'!$I$6,$M1130='112'!$I$6))),"x",""))</f>
        <v/>
      </c>
      <c r="S1130" s="525" t="str">
        <f>IF(ISERROR(FIND('112'!$M$9,G1130,1)),"",IF((AND(LEFT(G1130,2)=LEFT('112'!$M$9,2),B1130&lt;'112'!$N$8,$L1130='112'!$I$6)),"x",""))</f>
        <v/>
      </c>
      <c r="T1130" s="525" t="str">
        <f>IF(ISERROR(FIND('112'!$M$9,G1130,1)),"",IF((AND(RIGHT(G1130,2)=RIGHT('112'!$M$9,2),B1130&lt;'112'!$N$8,$M1130='112'!$I$6)),"x",""))</f>
        <v/>
      </c>
      <c r="U1130" s="525" t="str">
        <f>IF(AND(B1130&gt;='IN-NX'!$P$3,B1130&lt;='IN-NX'!$Q$3,'IN-NX'!$D$7=D1130,OR(LEFT(L1130,2)="15",AND(LEFT(M1130,2)&lt;&gt;"15",LEFT(M1130,2)&lt;&gt;"33"))),"x","")</f>
        <v/>
      </c>
      <c r="V1130" s="525" t="str">
        <f>IF(AND(OR(LEFT(TH!L1130,2)="15",LEFT(TH!M1130,2)="15"),'152-CT'!$J$8=TH!F1130),"x","")</f>
        <v/>
      </c>
      <c r="W1130" s="525" t="str">
        <f>IF(AND(OR(LEFT(TH!L1130,2)="15",LEFT(TH!M1130,2)="15"),TK!$E$7=TH!F1130),"x","")</f>
        <v/>
      </c>
      <c r="X1130" s="525" t="str">
        <f>IF(AND('341-CT'!$E$9=H1130,OR(LEFT(L1130,3)=$X$7,LEFT(M1130,3)=$X$7)),"x","")</f>
        <v/>
      </c>
      <c r="Y1130" s="525" t="str">
        <f>IF(OR(TH!L1130=TH!$Y$7,M1130=TH!$Y$7),"x","")</f>
        <v/>
      </c>
      <c r="Z1130" s="525" t="str">
        <f>IF(AND(B1130&lt;=NKC!$N$8,B1130&gt;=NKC!$M$8),"x","")</f>
        <v>x</v>
      </c>
      <c r="AA1130" s="535"/>
    </row>
    <row r="1131" spans="1:28" s="503" customFormat="1" ht="15.75" customHeight="1">
      <c r="A1131" s="517" t="str">
        <f>IF(B1131&lt;&gt;"",IF(AND(B1131&gt;=_TM1,B1131&lt;=_TM2,OR(TH!L1131="1111",TH!M1131="1111")),TH!D1131,""),"")</f>
        <v/>
      </c>
      <c r="B1131" s="531">
        <f t="shared" si="116"/>
        <v>2</v>
      </c>
      <c r="C1131" s="315">
        <f t="shared" si="117"/>
        <v>42793</v>
      </c>
      <c r="D1131" s="315" t="s">
        <v>930</v>
      </c>
      <c r="E1131" s="315">
        <v>42793</v>
      </c>
      <c r="F1131" s="249" t="s">
        <v>503</v>
      </c>
      <c r="G1131" s="314" t="s">
        <v>544</v>
      </c>
      <c r="H1131" s="473" t="s">
        <v>375</v>
      </c>
      <c r="I1131" s="307">
        <v>1400</v>
      </c>
      <c r="J1131" s="307">
        <v>8500</v>
      </c>
      <c r="K1131" s="532">
        <f>ROUND(I1131*J1131,0)</f>
        <v>11900000</v>
      </c>
      <c r="L1131" s="534" t="s">
        <v>223</v>
      </c>
      <c r="M1131" s="534" t="s">
        <v>162</v>
      </c>
      <c r="N1131" s="525" t="str">
        <f>IF(AND('331-CT'!$E$7=TH!H1131,OR(L1131="331",M1131="331")),"331",IF(AND(OR(L1131="131",M1131="131"),H1131='131-CT'!$E$7),"131",""))</f>
        <v/>
      </c>
      <c r="O1131" s="525" t="str">
        <f>IF(AND($B1131&gt;='111'!$N$11,$B1131&lt;='111'!$O$11,OR($L1131=$O$7,$M1131=$O$7)),"x","")</f>
        <v/>
      </c>
      <c r="P1131" s="525" t="str">
        <f>IF(AND($L1131=$O$7,$B1131&lt;'111'!$N$11),"x","")</f>
        <v/>
      </c>
      <c r="Q1131" s="525" t="str">
        <f>IF(AND($M1131=$O$7,$B1131&lt;'111'!$N$11),"x","")</f>
        <v/>
      </c>
      <c r="R1131" s="525" t="str">
        <f>IF(ISERROR(FIND('112'!$M$9,G1131,1)),"",IF((AND(FIND('112'!$M$9,G1131,1)&gt;=1,$B1131&gt;='112'!$N$8,$B1131&lt;='112'!$O$8,OR($L1131='112'!$I$6,$M1131='112'!$I$6))),"x",""))</f>
        <v/>
      </c>
      <c r="S1131" s="525" t="str">
        <f>IF(ISERROR(FIND('112'!$M$9,G1131,1)),"",IF((AND(LEFT(G1131,2)=LEFT('112'!$M$9,2),B1131&lt;'112'!$N$8,$L1131='112'!$I$6)),"x",""))</f>
        <v/>
      </c>
      <c r="T1131" s="525" t="str">
        <f>IF(ISERROR(FIND('112'!$M$9,G1131,1)),"",IF((AND(RIGHT(G1131,2)=RIGHT('112'!$M$9,2),B1131&lt;'112'!$N$8,$M1131='112'!$I$6)),"x",""))</f>
        <v/>
      </c>
      <c r="U1131" s="525" t="str">
        <f>IF(AND(B1131&gt;='IN-NX'!$P$3,B1131&lt;='IN-NX'!$Q$3,'IN-NX'!$D$7=D1131,OR(LEFT(L1131,2)="15",AND(LEFT(M1131,2)&lt;&gt;"15",LEFT(M1131,2)&lt;&gt;"33"))),"x","")</f>
        <v/>
      </c>
      <c r="V1131" s="525" t="str">
        <f>IF(AND(OR(LEFT(TH!L1131,2)="15",LEFT(TH!M1131,2)="15"),'152-CT'!$J$8=TH!F1131),"x","")</f>
        <v/>
      </c>
      <c r="W1131" s="525" t="str">
        <f>IF(AND(OR(LEFT(TH!L1131,2)="15",LEFT(TH!M1131,2)="15"),TK!$E$7=TH!F1131),"x","")</f>
        <v/>
      </c>
      <c r="X1131" s="525" t="str">
        <f>IF(AND('341-CT'!$E$9=H1131,OR(LEFT(L1131,3)=$X$7,LEFT(M1131,3)=$X$7)),"x","")</f>
        <v/>
      </c>
      <c r="Y1131" s="525" t="str">
        <f>IF(OR(TH!L1131=TH!$Y$7,M1131=TH!$Y$7),"x","")</f>
        <v/>
      </c>
      <c r="Z1131" s="525" t="str">
        <f>IF(AND(B1131&lt;=NKC!$N$8,B1131&gt;=NKC!$M$8),"x","")</f>
        <v>x</v>
      </c>
      <c r="AA1131" s="535"/>
    </row>
    <row r="1132" spans="1:28" s="503" customFormat="1" ht="15.75" customHeight="1">
      <c r="A1132" s="517" t="str">
        <f>IF(B1132&lt;&gt;"",IF(AND(B1132&gt;=_TM1,B1132&lt;=_TM2,OR(TH!L1132="1111",TH!M1132="1111")),TH!D1132,""),"")</f>
        <v/>
      </c>
      <c r="B1132" s="531">
        <f t="shared" si="116"/>
        <v>2</v>
      </c>
      <c r="C1132" s="315">
        <f t="shared" si="117"/>
        <v>42793</v>
      </c>
      <c r="D1132" s="315" t="s">
        <v>930</v>
      </c>
      <c r="E1132" s="315">
        <v>42793</v>
      </c>
      <c r="F1132" s="249" t="s">
        <v>494</v>
      </c>
      <c r="G1132" s="314" t="s">
        <v>544</v>
      </c>
      <c r="H1132" s="473" t="s">
        <v>375</v>
      </c>
      <c r="I1132" s="307"/>
      <c r="J1132" s="307"/>
      <c r="K1132" s="532">
        <v>1390000</v>
      </c>
      <c r="L1132" s="534" t="s">
        <v>223</v>
      </c>
      <c r="M1132" s="534" t="s">
        <v>259</v>
      </c>
      <c r="N1132" s="525" t="str">
        <f>IF(AND('331-CT'!$E$7=TH!H1132,OR(L1132="331",M1132="331")),"331",IF(AND(OR(L1132="131",M1132="131"),H1132='131-CT'!$E$7),"131",""))</f>
        <v/>
      </c>
      <c r="O1132" s="525" t="str">
        <f>IF(AND($B1132&gt;='111'!$N$11,$B1132&lt;='111'!$O$11,OR($L1132=$O$7,$M1132=$O$7)),"x","")</f>
        <v/>
      </c>
      <c r="P1132" s="525" t="str">
        <f>IF(AND($L1132=$O$7,$B1132&lt;'111'!$N$11),"x","")</f>
        <v/>
      </c>
      <c r="Q1132" s="525" t="str">
        <f>IF(AND($M1132=$O$7,$B1132&lt;'111'!$N$11),"x","")</f>
        <v/>
      </c>
      <c r="R1132" s="525" t="str">
        <f>IF(ISERROR(FIND('112'!$M$9,G1132,1)),"",IF((AND(FIND('112'!$M$9,G1132,1)&gt;=1,$B1132&gt;='112'!$N$8,$B1132&lt;='112'!$O$8,OR($L1132='112'!$I$6,$M1132='112'!$I$6))),"x",""))</f>
        <v/>
      </c>
      <c r="S1132" s="525" t="str">
        <f>IF(ISERROR(FIND('112'!$M$9,G1132,1)),"",IF((AND(LEFT(G1132,2)=LEFT('112'!$M$9,2),B1132&lt;'112'!$N$8,$L1132='112'!$I$6)),"x",""))</f>
        <v/>
      </c>
      <c r="T1132" s="525" t="str">
        <f>IF(ISERROR(FIND('112'!$M$9,G1132,1)),"",IF((AND(RIGHT(G1132,2)=RIGHT('112'!$M$9,2),B1132&lt;'112'!$N$8,$M1132='112'!$I$6)),"x",""))</f>
        <v/>
      </c>
      <c r="U1132" s="525" t="str">
        <f>IF(AND(B1132&gt;='IN-NX'!$P$3,B1132&lt;='IN-NX'!$Q$3,'IN-NX'!$D$7=D1132,OR(LEFT(L1132,2)="15",AND(LEFT(M1132,2)&lt;&gt;"15",LEFT(M1132,2)&lt;&gt;"33"))),"x","")</f>
        <v/>
      </c>
      <c r="V1132" s="525" t="str">
        <f>IF(AND(OR(LEFT(TH!L1132,2)="15",LEFT(TH!M1132,2)="15"),'152-CT'!$J$8=TH!F1132),"x","")</f>
        <v/>
      </c>
      <c r="W1132" s="525" t="str">
        <f>IF(AND(OR(LEFT(TH!L1132,2)="15",LEFT(TH!M1132,2)="15"),TK!$E$7=TH!F1132),"x","")</f>
        <v/>
      </c>
      <c r="X1132" s="525" t="str">
        <f>IF(AND('341-CT'!$E$9=H1132,OR(LEFT(L1132,3)=$X$7,LEFT(M1132,3)=$X$7)),"x","")</f>
        <v/>
      </c>
      <c r="Y1132" s="525" t="str">
        <f>IF(OR(TH!L1132=TH!$Y$7,M1132=TH!$Y$7),"x","")</f>
        <v/>
      </c>
      <c r="Z1132" s="525" t="str">
        <f>IF(AND(B1132&lt;=NKC!$N$8,B1132&gt;=NKC!$M$8),"x","")</f>
        <v>x</v>
      </c>
      <c r="AA1132" s="535"/>
      <c r="AB1132" s="536"/>
    </row>
    <row r="1133" spans="1:28" s="503" customFormat="1" ht="15.75" customHeight="1">
      <c r="A1133" s="517" t="str">
        <f>IF(B1133&lt;&gt;"",IF(AND(B1133&gt;=_TM1,B1133&lt;=_TM2,OR(TH!L1133="1111",TH!M1133="1111")),TH!D1133,""),"")</f>
        <v/>
      </c>
      <c r="B1133" s="531">
        <f t="shared" si="116"/>
        <v>2</v>
      </c>
      <c r="C1133" s="315">
        <f>E1133</f>
        <v>42794</v>
      </c>
      <c r="D1133" s="315" t="s">
        <v>931</v>
      </c>
      <c r="E1133" s="315">
        <v>42794</v>
      </c>
      <c r="F1133" s="249" t="s">
        <v>380</v>
      </c>
      <c r="G1133" s="314" t="s">
        <v>788</v>
      </c>
      <c r="H1133" s="473" t="s">
        <v>420</v>
      </c>
      <c r="I1133" s="307">
        <v>42000</v>
      </c>
      <c r="J1133" s="307">
        <v>8400</v>
      </c>
      <c r="K1133" s="532">
        <f>ROUND(I1133*J1133,0)</f>
        <v>352800000</v>
      </c>
      <c r="L1133" s="534" t="s">
        <v>223</v>
      </c>
      <c r="M1133" s="534" t="s">
        <v>162</v>
      </c>
      <c r="N1133" s="525" t="str">
        <f>IF(AND('331-CT'!$E$7=TH!H1133,OR(L1133="331",M1133="331")),"331",IF(AND(OR(L1133="131",M1133="131"),H1133='131-CT'!$E$7),"131",""))</f>
        <v>131</v>
      </c>
      <c r="O1133" s="525" t="str">
        <f>IF(AND($B1133&gt;='111'!$N$11,$B1133&lt;='111'!$O$11,OR($L1133=$O$7,$M1133=$O$7)),"x","")</f>
        <v/>
      </c>
      <c r="P1133" s="525" t="str">
        <f>IF(AND($L1133=$O$7,$B1133&lt;'111'!$N$11),"x","")</f>
        <v/>
      </c>
      <c r="Q1133" s="525" t="str">
        <f>IF(AND($M1133=$O$7,$B1133&lt;'111'!$N$11),"x","")</f>
        <v/>
      </c>
      <c r="R1133" s="525" t="str">
        <f>IF(ISERROR(FIND('112'!$M$9,G1133,1)),"",IF((AND(FIND('112'!$M$9,G1133,1)&gt;=1,$B1133&gt;='112'!$N$8,$B1133&lt;='112'!$O$8,OR($L1133='112'!$I$6,$M1133='112'!$I$6))),"x",""))</f>
        <v/>
      </c>
      <c r="S1133" s="525" t="str">
        <f>IF(ISERROR(FIND('112'!$M$9,G1133,1)),"",IF((AND(LEFT(G1133,2)=LEFT('112'!$M$9,2),B1133&lt;'112'!$N$8,$L1133='112'!$I$6)),"x",""))</f>
        <v/>
      </c>
      <c r="T1133" s="525" t="str">
        <f>IF(ISERROR(FIND('112'!$M$9,G1133,1)),"",IF((AND(RIGHT(G1133,2)=RIGHT('112'!$M$9,2),B1133&lt;'112'!$N$8,$M1133='112'!$I$6)),"x",""))</f>
        <v/>
      </c>
      <c r="U1133" s="525" t="str">
        <f>IF(AND(B1133&gt;='IN-NX'!$P$3,B1133&lt;='IN-NX'!$Q$3,'IN-NX'!$D$7=D1133,OR(LEFT(L1133,2)="15",AND(LEFT(M1133,2)&lt;&gt;"15",LEFT(M1133,2)&lt;&gt;"33"))),"x","")</f>
        <v/>
      </c>
      <c r="V1133" s="525" t="str">
        <f>IF(AND(OR(LEFT(TH!L1133,2)="15",LEFT(TH!M1133,2)="15"),'152-CT'!$J$8=TH!F1133),"x","")</f>
        <v/>
      </c>
      <c r="W1133" s="525" t="str">
        <f>IF(AND(OR(LEFT(TH!L1133,2)="15",LEFT(TH!M1133,2)="15"),TK!$E$7=TH!F1133),"x","")</f>
        <v/>
      </c>
      <c r="X1133" s="525" t="str">
        <f>IF(AND('341-CT'!$E$9=H1133,OR(LEFT(L1133,3)=$X$7,LEFT(M1133,3)=$X$7)),"x","")</f>
        <v/>
      </c>
      <c r="Y1133" s="525" t="str">
        <f>IF(OR(TH!L1133=TH!$Y$7,M1133=TH!$Y$7),"x","")</f>
        <v/>
      </c>
      <c r="Z1133" s="525" t="str">
        <f>IF(AND(B1133&lt;=NKC!$N$8,B1133&gt;=NKC!$M$8),"x","")</f>
        <v>x</v>
      </c>
      <c r="AA1133" s="535"/>
    </row>
    <row r="1134" spans="1:28" s="503" customFormat="1" ht="15.75" customHeight="1">
      <c r="A1134" s="517" t="str">
        <f>IF(B1134&lt;&gt;"",IF(AND(B1134&gt;=_TM1,B1134&lt;=_TM2,OR(TH!L1134="1111",TH!M1134="1111")),TH!D1134,""),"")</f>
        <v/>
      </c>
      <c r="B1134" s="531">
        <f t="shared" si="116"/>
        <v>2</v>
      </c>
      <c r="C1134" s="315">
        <f>E1134</f>
        <v>42794</v>
      </c>
      <c r="D1134" s="315" t="s">
        <v>931</v>
      </c>
      <c r="E1134" s="315">
        <v>42794</v>
      </c>
      <c r="F1134" s="249" t="s">
        <v>499</v>
      </c>
      <c r="G1134" s="314" t="s">
        <v>788</v>
      </c>
      <c r="H1134" s="473" t="s">
        <v>420</v>
      </c>
      <c r="I1134" s="307"/>
      <c r="J1134" s="307"/>
      <c r="K1134" s="532">
        <v>35280000</v>
      </c>
      <c r="L1134" s="534" t="s">
        <v>223</v>
      </c>
      <c r="M1134" s="534" t="s">
        <v>259</v>
      </c>
      <c r="N1134" s="525" t="str">
        <f>IF(AND('331-CT'!$E$7=TH!H1134,OR(L1134="331",M1134="331")),"331",IF(AND(OR(L1134="131",M1134="131"),H1134='131-CT'!$E$7),"131",""))</f>
        <v>131</v>
      </c>
      <c r="O1134" s="525" t="str">
        <f>IF(AND($B1134&gt;='111'!$N$11,$B1134&lt;='111'!$O$11,OR($L1134=$O$7,$M1134=$O$7)),"x","")</f>
        <v/>
      </c>
      <c r="P1134" s="525" t="str">
        <f>IF(AND($L1134=$O$7,$B1134&lt;'111'!$N$11),"x","")</f>
        <v/>
      </c>
      <c r="Q1134" s="525" t="str">
        <f>IF(AND($M1134=$O$7,$B1134&lt;'111'!$N$11),"x","")</f>
        <v/>
      </c>
      <c r="R1134" s="525" t="str">
        <f>IF(ISERROR(FIND('112'!$M$9,G1134,1)),"",IF((AND(FIND('112'!$M$9,G1134,1)&gt;=1,$B1134&gt;='112'!$N$8,$B1134&lt;='112'!$O$8,OR($L1134='112'!$I$6,$M1134='112'!$I$6))),"x",""))</f>
        <v/>
      </c>
      <c r="S1134" s="525" t="str">
        <f>IF(ISERROR(FIND('112'!$M$9,G1134,1)),"",IF((AND(LEFT(G1134,2)=LEFT('112'!$M$9,2),B1134&lt;'112'!$N$8,$L1134='112'!$I$6)),"x",""))</f>
        <v/>
      </c>
      <c r="T1134" s="525" t="str">
        <f>IF(ISERROR(FIND('112'!$M$9,G1134,1)),"",IF((AND(RIGHT(G1134,2)=RIGHT('112'!$M$9,2),B1134&lt;'112'!$N$8,$M1134='112'!$I$6)),"x",""))</f>
        <v/>
      </c>
      <c r="U1134" s="525" t="str">
        <f>IF(AND(B1134&gt;='IN-NX'!$P$3,B1134&lt;='IN-NX'!$Q$3,'IN-NX'!$D$7=D1134,OR(LEFT(L1134,2)="15",AND(LEFT(M1134,2)&lt;&gt;"15",LEFT(M1134,2)&lt;&gt;"33"))),"x","")</f>
        <v/>
      </c>
      <c r="V1134" s="525" t="str">
        <f>IF(AND(OR(LEFT(TH!L1134,2)="15",LEFT(TH!M1134,2)="15"),'152-CT'!$J$8=TH!F1134),"x","")</f>
        <v/>
      </c>
      <c r="W1134" s="525" t="str">
        <f>IF(AND(OR(LEFT(TH!L1134,2)="15",LEFT(TH!M1134,2)="15"),TK!$E$7=TH!F1134),"x","")</f>
        <v/>
      </c>
      <c r="X1134" s="525" t="str">
        <f>IF(AND('341-CT'!$E$9=H1134,OR(LEFT(L1134,3)=$X$7,LEFT(M1134,3)=$X$7)),"x","")</f>
        <v/>
      </c>
      <c r="Y1134" s="525" t="str">
        <f>IF(OR(TH!L1134=TH!$Y$7,M1134=TH!$Y$7),"x","")</f>
        <v/>
      </c>
      <c r="Z1134" s="525" t="str">
        <f>IF(AND(B1134&lt;=NKC!$N$8,B1134&gt;=NKC!$M$8),"x","")</f>
        <v>x</v>
      </c>
      <c r="AA1134" s="535"/>
      <c r="AB1134" s="536"/>
    </row>
    <row r="1135" spans="1:28" s="503" customFormat="1" ht="15.75" customHeight="1">
      <c r="A1135" s="517" t="str">
        <f>IF(B1135&lt;&gt;"",IF(AND(B1135&gt;=_TM1,B1135&lt;=_TM2,OR(TH!L1135="1111",TH!M1135="1111")),TH!D1135,""),"")</f>
        <v/>
      </c>
      <c r="B1135" s="531">
        <f t="shared" si="116"/>
        <v>3</v>
      </c>
      <c r="C1135" s="315">
        <f t="shared" si="117"/>
        <v>42800</v>
      </c>
      <c r="D1135" s="315" t="s">
        <v>932</v>
      </c>
      <c r="E1135" s="315">
        <v>42800</v>
      </c>
      <c r="F1135" s="249" t="s">
        <v>500</v>
      </c>
      <c r="G1135" s="314" t="s">
        <v>545</v>
      </c>
      <c r="H1135" s="474" t="s">
        <v>280</v>
      </c>
      <c r="I1135" s="307">
        <v>210</v>
      </c>
      <c r="J1135" s="307">
        <v>8030</v>
      </c>
      <c r="K1135" s="532">
        <f>ROUND(I1135*J1135,0)</f>
        <v>1686300</v>
      </c>
      <c r="L1135" s="534" t="s">
        <v>223</v>
      </c>
      <c r="M1135" s="534" t="s">
        <v>162</v>
      </c>
      <c r="N1135" s="525" t="str">
        <f>IF(AND('331-CT'!$E$7=TH!H1135,OR(L1135="331",M1135="331")),"331",IF(AND(OR(L1135="131",M1135="131"),H1135='131-CT'!$E$7),"131",""))</f>
        <v/>
      </c>
      <c r="O1135" s="525" t="str">
        <f>IF(AND($B1135&gt;='111'!$N$11,$B1135&lt;='111'!$O$11,OR($L1135=$O$7,$M1135=$O$7)),"x","")</f>
        <v/>
      </c>
      <c r="P1135" s="525" t="str">
        <f>IF(AND($L1135=$O$7,$B1135&lt;'111'!$N$11),"x","")</f>
        <v/>
      </c>
      <c r="Q1135" s="525" t="str">
        <f>IF(AND($M1135=$O$7,$B1135&lt;'111'!$N$11),"x","")</f>
        <v/>
      </c>
      <c r="R1135" s="525" t="str">
        <f>IF(ISERROR(FIND('112'!$M$9,G1135,1)),"",IF((AND(FIND('112'!$M$9,G1135,1)&gt;=1,$B1135&gt;='112'!$N$8,$B1135&lt;='112'!$O$8,OR($L1135='112'!$I$6,$M1135='112'!$I$6))),"x",""))</f>
        <v/>
      </c>
      <c r="S1135" s="525" t="str">
        <f>IF(ISERROR(FIND('112'!$M$9,G1135,1)),"",IF((AND(LEFT(G1135,2)=LEFT('112'!$M$9,2),B1135&lt;'112'!$N$8,$L1135='112'!$I$6)),"x",""))</f>
        <v/>
      </c>
      <c r="T1135" s="525" t="str">
        <f>IF(ISERROR(FIND('112'!$M$9,G1135,1)),"",IF((AND(RIGHT(G1135,2)=RIGHT('112'!$M$9,2),B1135&lt;'112'!$N$8,$M1135='112'!$I$6)),"x",""))</f>
        <v/>
      </c>
      <c r="U1135" s="525" t="str">
        <f>IF(AND(B1135&gt;='IN-NX'!$P$3,B1135&lt;='IN-NX'!$Q$3,'IN-NX'!$D$7=D1135,OR(LEFT(L1135,2)="15",AND(LEFT(M1135,2)&lt;&gt;"15",LEFT(M1135,2)&lt;&gt;"33"))),"x","")</f>
        <v/>
      </c>
      <c r="V1135" s="525" t="str">
        <f>IF(AND(OR(LEFT(TH!L1135,2)="15",LEFT(TH!M1135,2)="15"),'152-CT'!$J$8=TH!F1135),"x","")</f>
        <v/>
      </c>
      <c r="W1135" s="525" t="str">
        <f>IF(AND(OR(LEFT(TH!L1135,2)="15",LEFT(TH!M1135,2)="15"),TK!$E$7=TH!F1135),"x","")</f>
        <v/>
      </c>
      <c r="X1135" s="525" t="str">
        <f>IF(AND('341-CT'!$E$9=H1135,OR(LEFT(L1135,3)=$X$7,LEFT(M1135,3)=$X$7)),"x","")</f>
        <v/>
      </c>
      <c r="Y1135" s="525" t="str">
        <f>IF(OR(TH!L1135=TH!$Y$7,M1135=TH!$Y$7),"x","")</f>
        <v/>
      </c>
      <c r="Z1135" s="525" t="str">
        <f>IF(AND(B1135&lt;=NKC!$N$8,B1135&gt;=NKC!$M$8),"x","")</f>
        <v>x</v>
      </c>
      <c r="AA1135" s="535"/>
    </row>
    <row r="1136" spans="1:28" s="503" customFormat="1" ht="15.75" customHeight="1">
      <c r="A1136" s="517" t="str">
        <f>IF(B1136&lt;&gt;"",IF(AND(B1136&gt;=_TM1,B1136&lt;=_TM2,OR(TH!L1136="1111",TH!M1136="1111")),TH!D1136,""),"")</f>
        <v/>
      </c>
      <c r="B1136" s="531">
        <f t="shared" si="116"/>
        <v>3</v>
      </c>
      <c r="C1136" s="315">
        <f t="shared" si="117"/>
        <v>42800</v>
      </c>
      <c r="D1136" s="315" t="s">
        <v>932</v>
      </c>
      <c r="E1136" s="315">
        <v>42800</v>
      </c>
      <c r="F1136" s="249" t="s">
        <v>494</v>
      </c>
      <c r="G1136" s="314" t="s">
        <v>545</v>
      </c>
      <c r="H1136" s="474" t="s">
        <v>280</v>
      </c>
      <c r="I1136" s="307"/>
      <c r="J1136" s="307"/>
      <c r="K1136" s="532">
        <v>168630</v>
      </c>
      <c r="L1136" s="534" t="s">
        <v>223</v>
      </c>
      <c r="M1136" s="534" t="s">
        <v>259</v>
      </c>
      <c r="N1136" s="525" t="str">
        <f>IF(AND('331-CT'!$E$7=TH!H1136,OR(L1136="331",M1136="331")),"331",IF(AND(OR(L1136="131",M1136="131"),H1136='131-CT'!$E$7),"131",""))</f>
        <v/>
      </c>
      <c r="O1136" s="525" t="str">
        <f>IF(AND($B1136&gt;='111'!$N$11,$B1136&lt;='111'!$O$11,OR($L1136=$O$7,$M1136=$O$7)),"x","")</f>
        <v/>
      </c>
      <c r="P1136" s="525" t="str">
        <f>IF(AND($L1136=$O$7,$B1136&lt;'111'!$N$11),"x","")</f>
        <v/>
      </c>
      <c r="Q1136" s="525" t="str">
        <f>IF(AND($M1136=$O$7,$B1136&lt;'111'!$N$11),"x","")</f>
        <v/>
      </c>
      <c r="R1136" s="525" t="str">
        <f>IF(ISERROR(FIND('112'!$M$9,G1136,1)),"",IF((AND(FIND('112'!$M$9,G1136,1)&gt;=1,$B1136&gt;='112'!$N$8,$B1136&lt;='112'!$O$8,OR($L1136='112'!$I$6,$M1136='112'!$I$6))),"x",""))</f>
        <v/>
      </c>
      <c r="S1136" s="525" t="str">
        <f>IF(ISERROR(FIND('112'!$M$9,G1136,1)),"",IF((AND(LEFT(G1136,2)=LEFT('112'!$M$9,2),B1136&lt;'112'!$N$8,$L1136='112'!$I$6)),"x",""))</f>
        <v/>
      </c>
      <c r="T1136" s="525" t="str">
        <f>IF(ISERROR(FIND('112'!$M$9,G1136,1)),"",IF((AND(RIGHT(G1136,2)=RIGHT('112'!$M$9,2),B1136&lt;'112'!$N$8,$M1136='112'!$I$6)),"x",""))</f>
        <v/>
      </c>
      <c r="U1136" s="525" t="str">
        <f>IF(AND(B1136&gt;='IN-NX'!$P$3,B1136&lt;='IN-NX'!$Q$3,'IN-NX'!$D$7=D1136,OR(LEFT(L1136,2)="15",AND(LEFT(M1136,2)&lt;&gt;"15",LEFT(M1136,2)&lt;&gt;"33"))),"x","")</f>
        <v/>
      </c>
      <c r="V1136" s="525" t="str">
        <f>IF(AND(OR(LEFT(TH!L1136,2)="15",LEFT(TH!M1136,2)="15"),'152-CT'!$J$8=TH!F1136),"x","")</f>
        <v/>
      </c>
      <c r="W1136" s="525" t="str">
        <f>IF(AND(OR(LEFT(TH!L1136,2)="15",LEFT(TH!M1136,2)="15"),TK!$E$7=TH!F1136),"x","")</f>
        <v/>
      </c>
      <c r="X1136" s="525" t="str">
        <f>IF(AND('341-CT'!$E$9=H1136,OR(LEFT(L1136,3)=$X$7,LEFT(M1136,3)=$X$7)),"x","")</f>
        <v/>
      </c>
      <c r="Y1136" s="525" t="str">
        <f>IF(OR(TH!L1136=TH!$Y$7,M1136=TH!$Y$7),"x","")</f>
        <v/>
      </c>
      <c r="Z1136" s="525" t="str">
        <f>IF(AND(B1136&lt;=NKC!$N$8,B1136&gt;=NKC!$M$8),"x","")</f>
        <v>x</v>
      </c>
      <c r="AA1136" s="535"/>
      <c r="AB1136" s="536"/>
    </row>
    <row r="1137" spans="1:28" s="503" customFormat="1" ht="15.75" customHeight="1">
      <c r="A1137" s="517" t="str">
        <f>IF(B1137&lt;&gt;"",IF(AND(B1137&gt;=_TM1,B1137&lt;=_TM2,OR(TH!L1137="1111",TH!M1137="1111")),TH!D1137,""),"")</f>
        <v/>
      </c>
      <c r="B1137" s="531">
        <f t="shared" si="116"/>
        <v>3</v>
      </c>
      <c r="C1137" s="315">
        <f t="shared" si="117"/>
        <v>42801</v>
      </c>
      <c r="D1137" s="315" t="s">
        <v>933</v>
      </c>
      <c r="E1137" s="315">
        <v>42801</v>
      </c>
      <c r="F1137" s="249" t="s">
        <v>493</v>
      </c>
      <c r="G1137" s="314" t="s">
        <v>546</v>
      </c>
      <c r="H1137" s="472" t="s">
        <v>289</v>
      </c>
      <c r="I1137" s="307">
        <v>4750</v>
      </c>
      <c r="J1137" s="307">
        <v>9200</v>
      </c>
      <c r="K1137" s="532">
        <f>ROUND(I1137*J1137,0)</f>
        <v>43700000</v>
      </c>
      <c r="L1137" s="534" t="s">
        <v>223</v>
      </c>
      <c r="M1137" s="534" t="s">
        <v>162</v>
      </c>
      <c r="N1137" s="525" t="str">
        <f>IF(AND('331-CT'!$E$7=TH!H1137,OR(L1137="331",M1137="331")),"331",IF(AND(OR(L1137="131",M1137="131"),H1137='131-CT'!$E$7),"131",""))</f>
        <v/>
      </c>
      <c r="O1137" s="525" t="str">
        <f>IF(AND($B1137&gt;='111'!$N$11,$B1137&lt;='111'!$O$11,OR($L1137=$O$7,$M1137=$O$7)),"x","")</f>
        <v/>
      </c>
      <c r="P1137" s="525" t="str">
        <f>IF(AND($L1137=$O$7,$B1137&lt;'111'!$N$11),"x","")</f>
        <v/>
      </c>
      <c r="Q1137" s="525" t="str">
        <f>IF(AND($M1137=$O$7,$B1137&lt;'111'!$N$11),"x","")</f>
        <v/>
      </c>
      <c r="R1137" s="525" t="str">
        <f>IF(ISERROR(FIND('112'!$M$9,G1137,1)),"",IF((AND(FIND('112'!$M$9,G1137,1)&gt;=1,$B1137&gt;='112'!$N$8,$B1137&lt;='112'!$O$8,OR($L1137='112'!$I$6,$M1137='112'!$I$6))),"x",""))</f>
        <v/>
      </c>
      <c r="S1137" s="525" t="str">
        <f>IF(ISERROR(FIND('112'!$M$9,G1137,1)),"",IF((AND(LEFT(G1137,2)=LEFT('112'!$M$9,2),B1137&lt;'112'!$N$8,$L1137='112'!$I$6)),"x",""))</f>
        <v/>
      </c>
      <c r="T1137" s="525" t="str">
        <f>IF(ISERROR(FIND('112'!$M$9,G1137,1)),"",IF((AND(RIGHT(G1137,2)=RIGHT('112'!$M$9,2),B1137&lt;'112'!$N$8,$M1137='112'!$I$6)),"x",""))</f>
        <v/>
      </c>
      <c r="U1137" s="525" t="str">
        <f>IF(AND(B1137&gt;='IN-NX'!$P$3,B1137&lt;='IN-NX'!$Q$3,'IN-NX'!$D$7=D1137,OR(LEFT(L1137,2)="15",AND(LEFT(M1137,2)&lt;&gt;"15",LEFT(M1137,2)&lt;&gt;"33"))),"x","")</f>
        <v/>
      </c>
      <c r="V1137" s="525" t="str">
        <f>IF(AND(OR(LEFT(TH!L1137,2)="15",LEFT(TH!M1137,2)="15"),'152-CT'!$J$8=TH!F1137),"x","")</f>
        <v/>
      </c>
      <c r="W1137" s="525" t="str">
        <f>IF(AND(OR(LEFT(TH!L1137,2)="15",LEFT(TH!M1137,2)="15"),TK!$E$7=TH!F1137),"x","")</f>
        <v/>
      </c>
      <c r="X1137" s="525" t="str">
        <f>IF(AND('341-CT'!$E$9=H1137,OR(LEFT(L1137,3)=$X$7,LEFT(M1137,3)=$X$7)),"x","")</f>
        <v/>
      </c>
      <c r="Y1137" s="525" t="str">
        <f>IF(OR(TH!L1137=TH!$Y$7,M1137=TH!$Y$7),"x","")</f>
        <v/>
      </c>
      <c r="Z1137" s="525" t="str">
        <f>IF(AND(B1137&lt;=NKC!$N$8,B1137&gt;=NKC!$M$8),"x","")</f>
        <v>x</v>
      </c>
      <c r="AA1137" s="535"/>
    </row>
    <row r="1138" spans="1:28" s="503" customFormat="1" ht="15.75" customHeight="1">
      <c r="A1138" s="517" t="str">
        <f>IF(B1138&lt;&gt;"",IF(AND(B1138&gt;=_TM1,B1138&lt;=_TM2,OR(TH!L1138="1111",TH!M1138="1111")),TH!D1138,""),"")</f>
        <v/>
      </c>
      <c r="B1138" s="531">
        <f t="shared" si="116"/>
        <v>3</v>
      </c>
      <c r="C1138" s="315">
        <f t="shared" si="117"/>
        <v>42801</v>
      </c>
      <c r="D1138" s="315" t="s">
        <v>933</v>
      </c>
      <c r="E1138" s="315">
        <v>42801</v>
      </c>
      <c r="F1138" s="249" t="s">
        <v>494</v>
      </c>
      <c r="G1138" s="314" t="s">
        <v>546</v>
      </c>
      <c r="H1138" s="472" t="s">
        <v>289</v>
      </c>
      <c r="I1138" s="307"/>
      <c r="J1138" s="307"/>
      <c r="K1138" s="532">
        <v>4370000</v>
      </c>
      <c r="L1138" s="534" t="s">
        <v>223</v>
      </c>
      <c r="M1138" s="534" t="s">
        <v>259</v>
      </c>
      <c r="N1138" s="525" t="str">
        <f>IF(AND('331-CT'!$E$7=TH!H1138,OR(L1138="331",M1138="331")),"331",IF(AND(OR(L1138="131",M1138="131"),H1138='131-CT'!$E$7),"131",""))</f>
        <v/>
      </c>
      <c r="O1138" s="525" t="str">
        <f>IF(AND($B1138&gt;='111'!$N$11,$B1138&lt;='111'!$O$11,OR($L1138=$O$7,$M1138=$O$7)),"x","")</f>
        <v/>
      </c>
      <c r="P1138" s="525" t="str">
        <f>IF(AND($L1138=$O$7,$B1138&lt;'111'!$N$11),"x","")</f>
        <v/>
      </c>
      <c r="Q1138" s="525" t="str">
        <f>IF(AND($M1138=$O$7,$B1138&lt;'111'!$N$11),"x","")</f>
        <v/>
      </c>
      <c r="R1138" s="525" t="str">
        <f>IF(ISERROR(FIND('112'!$M$9,G1138,1)),"",IF((AND(FIND('112'!$M$9,G1138,1)&gt;=1,$B1138&gt;='112'!$N$8,$B1138&lt;='112'!$O$8,OR($L1138='112'!$I$6,$M1138='112'!$I$6))),"x",""))</f>
        <v/>
      </c>
      <c r="S1138" s="525" t="str">
        <f>IF(ISERROR(FIND('112'!$M$9,G1138,1)),"",IF((AND(LEFT(G1138,2)=LEFT('112'!$M$9,2),B1138&lt;'112'!$N$8,$L1138='112'!$I$6)),"x",""))</f>
        <v/>
      </c>
      <c r="T1138" s="525" t="str">
        <f>IF(ISERROR(FIND('112'!$M$9,G1138,1)),"",IF((AND(RIGHT(G1138,2)=RIGHT('112'!$M$9,2),B1138&lt;'112'!$N$8,$M1138='112'!$I$6)),"x",""))</f>
        <v/>
      </c>
      <c r="U1138" s="525" t="str">
        <f>IF(AND(B1138&gt;='IN-NX'!$P$3,B1138&lt;='IN-NX'!$Q$3,'IN-NX'!$D$7=D1138,OR(LEFT(L1138,2)="15",AND(LEFT(M1138,2)&lt;&gt;"15",LEFT(M1138,2)&lt;&gt;"33"))),"x","")</f>
        <v/>
      </c>
      <c r="V1138" s="525" t="str">
        <f>IF(AND(OR(LEFT(TH!L1138,2)="15",LEFT(TH!M1138,2)="15"),'152-CT'!$J$8=TH!F1138),"x","")</f>
        <v/>
      </c>
      <c r="W1138" s="525" t="str">
        <f>IF(AND(OR(LEFT(TH!L1138,2)="15",LEFT(TH!M1138,2)="15"),TK!$E$7=TH!F1138),"x","")</f>
        <v/>
      </c>
      <c r="X1138" s="525" t="str">
        <f>IF(AND('341-CT'!$E$9=H1138,OR(LEFT(L1138,3)=$X$7,LEFT(M1138,3)=$X$7)),"x","")</f>
        <v/>
      </c>
      <c r="Y1138" s="525" t="str">
        <f>IF(OR(TH!L1138=TH!$Y$7,M1138=TH!$Y$7),"x","")</f>
        <v/>
      </c>
      <c r="Z1138" s="525" t="str">
        <f>IF(AND(B1138&lt;=NKC!$N$8,B1138&gt;=NKC!$M$8),"x","")</f>
        <v>x</v>
      </c>
      <c r="AA1138" s="535"/>
      <c r="AB1138" s="536"/>
    </row>
    <row r="1139" spans="1:28" s="503" customFormat="1" ht="15.75" customHeight="1">
      <c r="A1139" s="517" t="str">
        <f>IF(B1139&lt;&gt;"",IF(AND(B1139&gt;=_TM1,B1139&lt;=_TM2,OR(TH!L1139="1111",TH!M1139="1111")),TH!D1139,""),"")</f>
        <v/>
      </c>
      <c r="B1139" s="531">
        <f t="shared" si="116"/>
        <v>3</v>
      </c>
      <c r="C1139" s="315">
        <f t="shared" si="117"/>
        <v>42802</v>
      </c>
      <c r="D1139" s="315" t="s">
        <v>934</v>
      </c>
      <c r="E1139" s="315">
        <v>42802</v>
      </c>
      <c r="F1139" s="249" t="s">
        <v>589</v>
      </c>
      <c r="G1139" s="314" t="s">
        <v>547</v>
      </c>
      <c r="H1139" s="473" t="s">
        <v>374</v>
      </c>
      <c r="I1139" s="307">
        <v>250</v>
      </c>
      <c r="J1139" s="307">
        <v>32230</v>
      </c>
      <c r="K1139" s="532">
        <f>ROUND(I1139*J1139,0)</f>
        <v>8057500</v>
      </c>
      <c r="L1139" s="534" t="s">
        <v>223</v>
      </c>
      <c r="M1139" s="534" t="s">
        <v>162</v>
      </c>
      <c r="N1139" s="525" t="str">
        <f>IF(AND('331-CT'!$E$7=TH!H1139,OR(L1139="331",M1139="331")),"331",IF(AND(OR(L1139="131",M1139="131"),H1139='131-CT'!$E$7),"131",""))</f>
        <v/>
      </c>
      <c r="O1139" s="525" t="str">
        <f>IF(AND($B1139&gt;='111'!$N$11,$B1139&lt;='111'!$O$11,OR($L1139=$O$7,$M1139=$O$7)),"x","")</f>
        <v/>
      </c>
      <c r="P1139" s="525" t="str">
        <f>IF(AND($L1139=$O$7,$B1139&lt;'111'!$N$11),"x","")</f>
        <v/>
      </c>
      <c r="Q1139" s="525" t="str">
        <f>IF(AND($M1139=$O$7,$B1139&lt;'111'!$N$11),"x","")</f>
        <v/>
      </c>
      <c r="R1139" s="525" t="str">
        <f>IF(ISERROR(FIND('112'!$M$9,G1139,1)),"",IF((AND(FIND('112'!$M$9,G1139,1)&gt;=1,$B1139&gt;='112'!$N$8,$B1139&lt;='112'!$O$8,OR($L1139='112'!$I$6,$M1139='112'!$I$6))),"x",""))</f>
        <v/>
      </c>
      <c r="S1139" s="525" t="str">
        <f>IF(ISERROR(FIND('112'!$M$9,G1139,1)),"",IF((AND(LEFT(G1139,2)=LEFT('112'!$M$9,2),B1139&lt;'112'!$N$8,$L1139='112'!$I$6)),"x",""))</f>
        <v/>
      </c>
      <c r="T1139" s="525" t="str">
        <f>IF(ISERROR(FIND('112'!$M$9,G1139,1)),"",IF((AND(RIGHT(G1139,2)=RIGHT('112'!$M$9,2),B1139&lt;'112'!$N$8,$M1139='112'!$I$6)),"x",""))</f>
        <v/>
      </c>
      <c r="U1139" s="525" t="str">
        <f>IF(AND(B1139&gt;='IN-NX'!$P$3,B1139&lt;='IN-NX'!$Q$3,'IN-NX'!$D$7=D1139,OR(LEFT(L1139,2)="15",AND(LEFT(M1139,2)&lt;&gt;"15",LEFT(M1139,2)&lt;&gt;"33"))),"x","")</f>
        <v/>
      </c>
      <c r="V1139" s="525" t="str">
        <f>IF(AND(OR(LEFT(TH!L1139,2)="15",LEFT(TH!M1139,2)="15"),'152-CT'!$J$8=TH!F1139),"x","")</f>
        <v/>
      </c>
      <c r="W1139" s="525" t="str">
        <f>IF(AND(OR(LEFT(TH!L1139,2)="15",LEFT(TH!M1139,2)="15"),TK!$E$7=TH!F1139),"x","")</f>
        <v/>
      </c>
      <c r="X1139" s="525" t="str">
        <f>IF(AND('341-CT'!$E$9=H1139,OR(LEFT(L1139,3)=$X$7,LEFT(M1139,3)=$X$7)),"x","")</f>
        <v/>
      </c>
      <c r="Y1139" s="525" t="str">
        <f>IF(OR(TH!L1139=TH!$Y$7,M1139=TH!$Y$7),"x","")</f>
        <v/>
      </c>
      <c r="Z1139" s="525" t="str">
        <f>IF(AND(B1139&lt;=NKC!$N$8,B1139&gt;=NKC!$M$8),"x","")</f>
        <v>x</v>
      </c>
      <c r="AA1139" s="535"/>
    </row>
    <row r="1140" spans="1:28" s="503" customFormat="1" ht="15.75" customHeight="1">
      <c r="A1140" s="517" t="str">
        <f>IF(B1140&lt;&gt;"",IF(AND(B1140&gt;=_TM1,B1140&lt;=_TM2,OR(TH!L1140="1111",TH!M1140="1111")),TH!D1140,""),"")</f>
        <v/>
      </c>
      <c r="B1140" s="531">
        <f t="shared" ref="B1140:B1299" si="119">IF(C1140&lt;&gt;"",MONTH(C1140),"")</f>
        <v>3</v>
      </c>
      <c r="C1140" s="315">
        <f t="shared" ref="C1140:C1299" si="120">E1140</f>
        <v>42802</v>
      </c>
      <c r="D1140" s="315" t="s">
        <v>934</v>
      </c>
      <c r="E1140" s="315">
        <v>42802</v>
      </c>
      <c r="F1140" s="249" t="s">
        <v>526</v>
      </c>
      <c r="G1140" s="314" t="s">
        <v>547</v>
      </c>
      <c r="H1140" s="473" t="s">
        <v>374</v>
      </c>
      <c r="I1140" s="307"/>
      <c r="J1140" s="307"/>
      <c r="K1140" s="532">
        <v>805750</v>
      </c>
      <c r="L1140" s="534" t="s">
        <v>223</v>
      </c>
      <c r="M1140" s="534" t="s">
        <v>259</v>
      </c>
      <c r="N1140" s="525" t="str">
        <f>IF(AND('331-CT'!$E$7=TH!H1140,OR(L1140="331",M1140="331")),"331",IF(AND(OR(L1140="131",M1140="131"),H1140='131-CT'!$E$7),"131",""))</f>
        <v/>
      </c>
      <c r="O1140" s="525" t="str">
        <f>IF(AND($B1140&gt;='111'!$N$11,$B1140&lt;='111'!$O$11,OR($L1140=$O$7,$M1140=$O$7)),"x","")</f>
        <v/>
      </c>
      <c r="P1140" s="525" t="str">
        <f>IF(AND($L1140=$O$7,$B1140&lt;'111'!$N$11),"x","")</f>
        <v/>
      </c>
      <c r="Q1140" s="525" t="str">
        <f>IF(AND($M1140=$O$7,$B1140&lt;'111'!$N$11),"x","")</f>
        <v/>
      </c>
      <c r="R1140" s="525" t="str">
        <f>IF(ISERROR(FIND('112'!$M$9,G1140,1)),"",IF((AND(FIND('112'!$M$9,G1140,1)&gt;=1,$B1140&gt;='112'!$N$8,$B1140&lt;='112'!$O$8,OR($L1140='112'!$I$6,$M1140='112'!$I$6))),"x",""))</f>
        <v/>
      </c>
      <c r="S1140" s="525" t="str">
        <f>IF(ISERROR(FIND('112'!$M$9,G1140,1)),"",IF((AND(LEFT(G1140,2)=LEFT('112'!$M$9,2),B1140&lt;'112'!$N$8,$L1140='112'!$I$6)),"x",""))</f>
        <v/>
      </c>
      <c r="T1140" s="525" t="str">
        <f>IF(ISERROR(FIND('112'!$M$9,G1140,1)),"",IF((AND(RIGHT(G1140,2)=RIGHT('112'!$M$9,2),B1140&lt;'112'!$N$8,$M1140='112'!$I$6)),"x",""))</f>
        <v/>
      </c>
      <c r="U1140" s="525" t="str">
        <f>IF(AND(B1140&gt;='IN-NX'!$P$3,B1140&lt;='IN-NX'!$Q$3,'IN-NX'!$D$7=D1140,OR(LEFT(L1140,2)="15",AND(LEFT(M1140,2)&lt;&gt;"15",LEFT(M1140,2)&lt;&gt;"33"))),"x","")</f>
        <v/>
      </c>
      <c r="V1140" s="525" t="str">
        <f>IF(AND(OR(LEFT(TH!L1140,2)="15",LEFT(TH!M1140,2)="15"),'152-CT'!$J$8=TH!F1140),"x","")</f>
        <v/>
      </c>
      <c r="W1140" s="525" t="str">
        <f>IF(AND(OR(LEFT(TH!L1140,2)="15",LEFT(TH!M1140,2)="15"),TK!$E$7=TH!F1140),"x","")</f>
        <v/>
      </c>
      <c r="X1140" s="525" t="str">
        <f>IF(AND('341-CT'!$E$9=H1140,OR(LEFT(L1140,3)=$X$7,LEFT(M1140,3)=$X$7)),"x","")</f>
        <v/>
      </c>
      <c r="Y1140" s="525" t="str">
        <f>IF(OR(TH!L1140=TH!$Y$7,M1140=TH!$Y$7),"x","")</f>
        <v/>
      </c>
      <c r="Z1140" s="525" t="str">
        <f>IF(AND(B1140&lt;=NKC!$N$8,B1140&gt;=NKC!$M$8),"x","")</f>
        <v>x</v>
      </c>
      <c r="AA1140" s="535"/>
      <c r="AB1140" s="536"/>
    </row>
    <row r="1141" spans="1:28" s="503" customFormat="1" ht="15.75" customHeight="1">
      <c r="A1141" s="517" t="str">
        <f>IF(B1141&lt;&gt;"",IF(AND(B1141&gt;=_TM1,B1141&lt;=_TM2,OR(TH!L1141="1111",TH!M1141="1111")),TH!D1141,""),"")</f>
        <v/>
      </c>
      <c r="B1141" s="531">
        <f t="shared" si="119"/>
        <v>3</v>
      </c>
      <c r="C1141" s="315">
        <f t="shared" si="120"/>
        <v>42803</v>
      </c>
      <c r="D1141" s="315" t="s">
        <v>935</v>
      </c>
      <c r="E1141" s="315">
        <v>42803</v>
      </c>
      <c r="F1141" s="249" t="s">
        <v>503</v>
      </c>
      <c r="G1141" s="314" t="s">
        <v>769</v>
      </c>
      <c r="H1141" s="473" t="s">
        <v>375</v>
      </c>
      <c r="I1141" s="307">
        <v>1991</v>
      </c>
      <c r="J1141" s="307">
        <v>8500</v>
      </c>
      <c r="K1141" s="532">
        <f>ROUND(I1141*J1141,0)</f>
        <v>16923500</v>
      </c>
      <c r="L1141" s="534" t="s">
        <v>223</v>
      </c>
      <c r="M1141" s="534" t="s">
        <v>162</v>
      </c>
      <c r="N1141" s="525" t="str">
        <f>IF(AND('331-CT'!$E$7=TH!H1141,OR(L1141="331",M1141="331")),"331",IF(AND(OR(L1141="131",M1141="131"),H1141='131-CT'!$E$7),"131",""))</f>
        <v/>
      </c>
      <c r="O1141" s="525" t="str">
        <f>IF(AND($B1141&gt;='111'!$N$11,$B1141&lt;='111'!$O$11,OR($L1141=$O$7,$M1141=$O$7)),"x","")</f>
        <v/>
      </c>
      <c r="P1141" s="525" t="str">
        <f>IF(AND($L1141=$O$7,$B1141&lt;'111'!$N$11),"x","")</f>
        <v/>
      </c>
      <c r="Q1141" s="525" t="str">
        <f>IF(AND($M1141=$O$7,$B1141&lt;'111'!$N$11),"x","")</f>
        <v/>
      </c>
      <c r="R1141" s="525" t="str">
        <f>IF(ISERROR(FIND('112'!$M$9,G1141,1)),"",IF((AND(FIND('112'!$M$9,G1141,1)&gt;=1,$B1141&gt;='112'!$N$8,$B1141&lt;='112'!$O$8,OR($L1141='112'!$I$6,$M1141='112'!$I$6))),"x",""))</f>
        <v/>
      </c>
      <c r="S1141" s="525" t="str">
        <f>IF(ISERROR(FIND('112'!$M$9,G1141,1)),"",IF((AND(LEFT(G1141,2)=LEFT('112'!$M$9,2),B1141&lt;'112'!$N$8,$L1141='112'!$I$6)),"x",""))</f>
        <v/>
      </c>
      <c r="T1141" s="525" t="str">
        <f>IF(ISERROR(FIND('112'!$M$9,G1141,1)),"",IF((AND(RIGHT(G1141,2)=RIGHT('112'!$M$9,2),B1141&lt;'112'!$N$8,$M1141='112'!$I$6)),"x",""))</f>
        <v/>
      </c>
      <c r="U1141" s="525" t="str">
        <f>IF(AND(B1141&gt;='IN-NX'!$P$3,B1141&lt;='IN-NX'!$Q$3,'IN-NX'!$D$7=D1141,OR(LEFT(L1141,2)="15",AND(LEFT(M1141,2)&lt;&gt;"15",LEFT(M1141,2)&lt;&gt;"33"))),"x","")</f>
        <v/>
      </c>
      <c r="V1141" s="525" t="str">
        <f>IF(AND(OR(LEFT(TH!L1141,2)="15",LEFT(TH!M1141,2)="15"),'152-CT'!$J$8=TH!F1141),"x","")</f>
        <v/>
      </c>
      <c r="W1141" s="525" t="str">
        <f>IF(AND(OR(LEFT(TH!L1141,2)="15",LEFT(TH!M1141,2)="15"),TK!$E$7=TH!F1141),"x","")</f>
        <v/>
      </c>
      <c r="X1141" s="525" t="str">
        <f>IF(AND('341-CT'!$E$9=H1141,OR(LEFT(L1141,3)=$X$7,LEFT(M1141,3)=$X$7)),"x","")</f>
        <v/>
      </c>
      <c r="Y1141" s="525" t="str">
        <f>IF(OR(TH!L1141=TH!$Y$7,M1141=TH!$Y$7),"x","")</f>
        <v/>
      </c>
      <c r="Z1141" s="525" t="str">
        <f>IF(AND(B1141&lt;=NKC!$N$8,B1141&gt;=NKC!$M$8),"x","")</f>
        <v>x</v>
      </c>
      <c r="AA1141" s="535"/>
    </row>
    <row r="1142" spans="1:28" s="503" customFormat="1" ht="15.75" customHeight="1">
      <c r="A1142" s="517" t="str">
        <f>IF(B1142&lt;&gt;"",IF(AND(B1142&gt;=_TM1,B1142&lt;=_TM2,OR(TH!L1142="1111",TH!M1142="1111")),TH!D1142,""),"")</f>
        <v/>
      </c>
      <c r="B1142" s="531">
        <f t="shared" si="119"/>
        <v>3</v>
      </c>
      <c r="C1142" s="315">
        <f t="shared" si="120"/>
        <v>42803</v>
      </c>
      <c r="D1142" s="315" t="s">
        <v>935</v>
      </c>
      <c r="E1142" s="315">
        <v>42803</v>
      </c>
      <c r="F1142" s="249" t="s">
        <v>770</v>
      </c>
      <c r="G1142" s="314" t="s">
        <v>769</v>
      </c>
      <c r="H1142" s="473" t="s">
        <v>375</v>
      </c>
      <c r="I1142" s="307"/>
      <c r="J1142" s="307"/>
      <c r="K1142" s="532">
        <v>1692350</v>
      </c>
      <c r="L1142" s="534" t="s">
        <v>223</v>
      </c>
      <c r="M1142" s="534" t="s">
        <v>259</v>
      </c>
      <c r="N1142" s="525" t="str">
        <f>IF(AND('331-CT'!$E$7=TH!H1142,OR(L1142="331",M1142="331")),"331",IF(AND(OR(L1142="131",M1142="131"),H1142='131-CT'!$E$7),"131",""))</f>
        <v/>
      </c>
      <c r="O1142" s="525" t="str">
        <f>IF(AND($B1142&gt;='111'!$N$11,$B1142&lt;='111'!$O$11,OR($L1142=$O$7,$M1142=$O$7)),"x","")</f>
        <v/>
      </c>
      <c r="P1142" s="525" t="str">
        <f>IF(AND($L1142=$O$7,$B1142&lt;'111'!$N$11),"x","")</f>
        <v/>
      </c>
      <c r="Q1142" s="525" t="str">
        <f>IF(AND($M1142=$O$7,$B1142&lt;'111'!$N$11),"x","")</f>
        <v/>
      </c>
      <c r="R1142" s="525" t="str">
        <f>IF(ISERROR(FIND('112'!$M$9,G1142,1)),"",IF((AND(FIND('112'!$M$9,G1142,1)&gt;=1,$B1142&gt;='112'!$N$8,$B1142&lt;='112'!$O$8,OR($L1142='112'!$I$6,$M1142='112'!$I$6))),"x",""))</f>
        <v/>
      </c>
      <c r="S1142" s="525" t="str">
        <f>IF(ISERROR(FIND('112'!$M$9,G1142,1)),"",IF((AND(LEFT(G1142,2)=LEFT('112'!$M$9,2),B1142&lt;'112'!$N$8,$L1142='112'!$I$6)),"x",""))</f>
        <v/>
      </c>
      <c r="T1142" s="525" t="str">
        <f>IF(ISERROR(FIND('112'!$M$9,G1142,1)),"",IF((AND(RIGHT(G1142,2)=RIGHT('112'!$M$9,2),B1142&lt;'112'!$N$8,$M1142='112'!$I$6)),"x",""))</f>
        <v/>
      </c>
      <c r="U1142" s="525" t="str">
        <f>IF(AND(B1142&gt;='IN-NX'!$P$3,B1142&lt;='IN-NX'!$Q$3,'IN-NX'!$D$7=D1142,OR(LEFT(L1142,2)="15",AND(LEFT(M1142,2)&lt;&gt;"15",LEFT(M1142,2)&lt;&gt;"33"))),"x","")</f>
        <v/>
      </c>
      <c r="V1142" s="525" t="str">
        <f>IF(AND(OR(LEFT(TH!L1142,2)="15",LEFT(TH!M1142,2)="15"),'152-CT'!$J$8=TH!F1142),"x","")</f>
        <v/>
      </c>
      <c r="W1142" s="525" t="str">
        <f>IF(AND(OR(LEFT(TH!L1142,2)="15",LEFT(TH!M1142,2)="15"),TK!$E$7=TH!F1142),"x","")</f>
        <v/>
      </c>
      <c r="X1142" s="525" t="str">
        <f>IF(AND('341-CT'!$E$9=H1142,OR(LEFT(L1142,3)=$X$7,LEFT(M1142,3)=$X$7)),"x","")</f>
        <v/>
      </c>
      <c r="Y1142" s="525" t="str">
        <f>IF(OR(TH!L1142=TH!$Y$7,M1142=TH!$Y$7),"x","")</f>
        <v/>
      </c>
      <c r="Z1142" s="525" t="str">
        <f>IF(AND(B1142&lt;=NKC!$N$8,B1142&gt;=NKC!$M$8),"x","")</f>
        <v>x</v>
      </c>
      <c r="AA1142" s="535"/>
    </row>
    <row r="1143" spans="1:28" s="503" customFormat="1" ht="15.75" customHeight="1">
      <c r="A1143" s="517" t="str">
        <f>IF(B1143&lt;&gt;"",IF(AND(B1143&gt;=_TM1,B1143&lt;=_TM2,OR(TH!L1143="1111",TH!M1143="1111")),TH!D1143,""),"")</f>
        <v/>
      </c>
      <c r="B1143" s="531">
        <f t="shared" si="119"/>
        <v>3</v>
      </c>
      <c r="C1143" s="315">
        <f t="shared" si="120"/>
        <v>42805</v>
      </c>
      <c r="D1143" s="315" t="s">
        <v>936</v>
      </c>
      <c r="E1143" s="315">
        <v>42805</v>
      </c>
      <c r="F1143" s="249" t="s">
        <v>590</v>
      </c>
      <c r="G1143" s="314" t="s">
        <v>548</v>
      </c>
      <c r="H1143" s="474" t="s">
        <v>280</v>
      </c>
      <c r="I1143" s="307">
        <v>288</v>
      </c>
      <c r="J1143" s="307">
        <v>16500</v>
      </c>
      <c r="K1143" s="532">
        <f>ROUND(I1143*J1143,0)</f>
        <v>4752000</v>
      </c>
      <c r="L1143" s="534" t="s">
        <v>223</v>
      </c>
      <c r="M1143" s="534" t="s">
        <v>162</v>
      </c>
      <c r="N1143" s="525" t="str">
        <f>IF(AND('331-CT'!$E$7=TH!H1143,OR(L1143="331",M1143="331")),"331",IF(AND(OR(L1143="131",M1143="131"),H1143='131-CT'!$E$7),"131",""))</f>
        <v/>
      </c>
      <c r="O1143" s="525" t="str">
        <f>IF(AND($B1143&gt;='111'!$N$11,$B1143&lt;='111'!$O$11,OR($L1143=$O$7,$M1143=$O$7)),"x","")</f>
        <v/>
      </c>
      <c r="P1143" s="525" t="str">
        <f>IF(AND($L1143=$O$7,$B1143&lt;'111'!$N$11),"x","")</f>
        <v/>
      </c>
      <c r="Q1143" s="525" t="str">
        <f>IF(AND($M1143=$O$7,$B1143&lt;'111'!$N$11),"x","")</f>
        <v/>
      </c>
      <c r="R1143" s="525" t="str">
        <f>IF(ISERROR(FIND('112'!$M$9,G1143,1)),"",IF((AND(FIND('112'!$M$9,G1143,1)&gt;=1,$B1143&gt;='112'!$N$8,$B1143&lt;='112'!$O$8,OR($L1143='112'!$I$6,$M1143='112'!$I$6))),"x",""))</f>
        <v/>
      </c>
      <c r="S1143" s="525" t="str">
        <f>IF(ISERROR(FIND('112'!$M$9,G1143,1)),"",IF((AND(LEFT(G1143,2)=LEFT('112'!$M$9,2),B1143&lt;'112'!$N$8,$L1143='112'!$I$6)),"x",""))</f>
        <v/>
      </c>
      <c r="T1143" s="525" t="str">
        <f>IF(ISERROR(FIND('112'!$M$9,G1143,1)),"",IF((AND(RIGHT(G1143,2)=RIGHT('112'!$M$9,2),B1143&lt;'112'!$N$8,$M1143='112'!$I$6)),"x",""))</f>
        <v/>
      </c>
      <c r="U1143" s="525" t="str">
        <f>IF(AND(B1143&gt;='IN-NX'!$P$3,B1143&lt;='IN-NX'!$Q$3,'IN-NX'!$D$7=D1143,OR(LEFT(L1143,2)="15",AND(LEFT(M1143,2)&lt;&gt;"15",LEFT(M1143,2)&lt;&gt;"33"))),"x","")</f>
        <v/>
      </c>
      <c r="V1143" s="525" t="str">
        <f>IF(AND(OR(LEFT(TH!L1143,2)="15",LEFT(TH!M1143,2)="15"),'152-CT'!$J$8=TH!F1143),"x","")</f>
        <v/>
      </c>
      <c r="W1143" s="525" t="str">
        <f>IF(AND(OR(LEFT(TH!L1143,2)="15",LEFT(TH!M1143,2)="15"),TK!$E$7=TH!F1143),"x","")</f>
        <v/>
      </c>
      <c r="X1143" s="525" t="str">
        <f>IF(AND('341-CT'!$E$9=H1143,OR(LEFT(L1143,3)=$X$7,LEFT(M1143,3)=$X$7)),"x","")</f>
        <v/>
      </c>
      <c r="Y1143" s="525" t="str">
        <f>IF(OR(TH!L1143=TH!$Y$7,M1143=TH!$Y$7),"x","")</f>
        <v/>
      </c>
      <c r="Z1143" s="525" t="str">
        <f>IF(AND(B1143&lt;=NKC!$N$8,B1143&gt;=NKC!$M$8),"x","")</f>
        <v>x</v>
      </c>
      <c r="AA1143" s="535"/>
    </row>
    <row r="1144" spans="1:28" s="503" customFormat="1" ht="15.75" customHeight="1">
      <c r="A1144" s="517" t="str">
        <f>IF(B1144&lt;&gt;"",IF(AND(B1144&gt;=_TM1,B1144&lt;=_TM2,OR(TH!L1144="1111",TH!M1144="1111")),TH!D1144,""),"")</f>
        <v/>
      </c>
      <c r="B1144" s="531">
        <f t="shared" si="119"/>
        <v>3</v>
      </c>
      <c r="C1144" s="315">
        <f t="shared" si="120"/>
        <v>42805</v>
      </c>
      <c r="D1144" s="315" t="s">
        <v>936</v>
      </c>
      <c r="E1144" s="315">
        <v>42805</v>
      </c>
      <c r="F1144" s="249" t="s">
        <v>494</v>
      </c>
      <c r="G1144" s="314" t="s">
        <v>548</v>
      </c>
      <c r="H1144" s="474" t="s">
        <v>280</v>
      </c>
      <c r="I1144" s="307"/>
      <c r="J1144" s="307"/>
      <c r="K1144" s="532">
        <v>475200</v>
      </c>
      <c r="L1144" s="534" t="s">
        <v>223</v>
      </c>
      <c r="M1144" s="534" t="s">
        <v>259</v>
      </c>
      <c r="N1144" s="525" t="str">
        <f>IF(AND('331-CT'!$E$7=TH!H1144,OR(L1144="331",M1144="331")),"331",IF(AND(OR(L1144="131",M1144="131"),H1144='131-CT'!$E$7),"131",""))</f>
        <v/>
      </c>
      <c r="O1144" s="525" t="str">
        <f>IF(AND($B1144&gt;='111'!$N$11,$B1144&lt;='111'!$O$11,OR($L1144=$O$7,$M1144=$O$7)),"x","")</f>
        <v/>
      </c>
      <c r="P1144" s="525" t="str">
        <f>IF(AND($L1144=$O$7,$B1144&lt;'111'!$N$11),"x","")</f>
        <v/>
      </c>
      <c r="Q1144" s="525" t="str">
        <f>IF(AND($M1144=$O$7,$B1144&lt;'111'!$N$11),"x","")</f>
        <v/>
      </c>
      <c r="R1144" s="525" t="str">
        <f>IF(ISERROR(FIND('112'!$M$9,G1144,1)),"",IF((AND(FIND('112'!$M$9,G1144,1)&gt;=1,$B1144&gt;='112'!$N$8,$B1144&lt;='112'!$O$8,OR($L1144='112'!$I$6,$M1144='112'!$I$6))),"x",""))</f>
        <v/>
      </c>
      <c r="S1144" s="525" t="str">
        <f>IF(ISERROR(FIND('112'!$M$9,G1144,1)),"",IF((AND(LEFT(G1144,2)=LEFT('112'!$M$9,2),B1144&lt;'112'!$N$8,$L1144='112'!$I$6)),"x",""))</f>
        <v/>
      </c>
      <c r="T1144" s="525" t="str">
        <f>IF(ISERROR(FIND('112'!$M$9,G1144,1)),"",IF((AND(RIGHT(G1144,2)=RIGHT('112'!$M$9,2),B1144&lt;'112'!$N$8,$M1144='112'!$I$6)),"x",""))</f>
        <v/>
      </c>
      <c r="U1144" s="525" t="str">
        <f>IF(AND(B1144&gt;='IN-NX'!$P$3,B1144&lt;='IN-NX'!$Q$3,'IN-NX'!$D$7=D1144,OR(LEFT(L1144,2)="15",AND(LEFT(M1144,2)&lt;&gt;"15",LEFT(M1144,2)&lt;&gt;"33"))),"x","")</f>
        <v/>
      </c>
      <c r="V1144" s="525" t="str">
        <f>IF(AND(OR(LEFT(TH!L1144,2)="15",LEFT(TH!M1144,2)="15"),'152-CT'!$J$8=TH!F1144),"x","")</f>
        <v/>
      </c>
      <c r="W1144" s="525" t="str">
        <f>IF(AND(OR(LEFT(TH!L1144,2)="15",LEFT(TH!M1144,2)="15"),TK!$E$7=TH!F1144),"x","")</f>
        <v/>
      </c>
      <c r="X1144" s="525" t="str">
        <f>IF(AND('341-CT'!$E$9=H1144,OR(LEFT(L1144,3)=$X$7,LEFT(M1144,3)=$X$7)),"x","")</f>
        <v/>
      </c>
      <c r="Y1144" s="525" t="str">
        <f>IF(OR(TH!L1144=TH!$Y$7,M1144=TH!$Y$7),"x","")</f>
        <v/>
      </c>
      <c r="Z1144" s="525" t="str">
        <f>IF(AND(B1144&lt;=NKC!$N$8,B1144&gt;=NKC!$M$8),"x","")</f>
        <v>x</v>
      </c>
      <c r="AA1144" s="535"/>
      <c r="AB1144" s="536"/>
    </row>
    <row r="1145" spans="1:28" s="503" customFormat="1" ht="15.75" customHeight="1">
      <c r="A1145" s="517" t="str">
        <f>IF(B1145&lt;&gt;"",IF(AND(B1145&gt;=_TM1,B1145&lt;=_TM2,OR(TH!L1145="1111",TH!M1145="1111")),TH!D1145,""),"")</f>
        <v/>
      </c>
      <c r="B1145" s="531">
        <f t="shared" si="119"/>
        <v>3</v>
      </c>
      <c r="C1145" s="315">
        <f t="shared" si="120"/>
        <v>42807</v>
      </c>
      <c r="D1145" s="315" t="s">
        <v>937</v>
      </c>
      <c r="E1145" s="315">
        <v>42807</v>
      </c>
      <c r="F1145" s="249" t="s">
        <v>503</v>
      </c>
      <c r="G1145" s="314" t="s">
        <v>771</v>
      </c>
      <c r="H1145" s="473" t="s">
        <v>375</v>
      </c>
      <c r="I1145" s="307">
        <v>1890</v>
      </c>
      <c r="J1145" s="307">
        <v>8500</v>
      </c>
      <c r="K1145" s="532">
        <f>ROUND(I1145*J1145,0)</f>
        <v>16065000</v>
      </c>
      <c r="L1145" s="534" t="s">
        <v>223</v>
      </c>
      <c r="M1145" s="534" t="s">
        <v>162</v>
      </c>
      <c r="N1145" s="525" t="str">
        <f>IF(AND('331-CT'!$E$7=TH!H1145,OR(L1145="331",M1145="331")),"331",IF(AND(OR(L1145="131",M1145="131"),H1145='131-CT'!$E$7),"131",""))</f>
        <v/>
      </c>
      <c r="O1145" s="525" t="str">
        <f>IF(AND($B1145&gt;='111'!$N$11,$B1145&lt;='111'!$O$11,OR($L1145=$O$7,$M1145=$O$7)),"x","")</f>
        <v/>
      </c>
      <c r="P1145" s="525" t="str">
        <f>IF(AND($L1145=$O$7,$B1145&lt;'111'!$N$11),"x","")</f>
        <v/>
      </c>
      <c r="Q1145" s="525" t="str">
        <f>IF(AND($M1145=$O$7,$B1145&lt;'111'!$N$11),"x","")</f>
        <v/>
      </c>
      <c r="R1145" s="525" t="str">
        <f>IF(ISERROR(FIND('112'!$M$9,G1145,1)),"",IF((AND(FIND('112'!$M$9,G1145,1)&gt;=1,$B1145&gt;='112'!$N$8,$B1145&lt;='112'!$O$8,OR($L1145='112'!$I$6,$M1145='112'!$I$6))),"x",""))</f>
        <v/>
      </c>
      <c r="S1145" s="525" t="str">
        <f>IF(ISERROR(FIND('112'!$M$9,G1145,1)),"",IF((AND(LEFT(G1145,2)=LEFT('112'!$M$9,2),B1145&lt;'112'!$N$8,$L1145='112'!$I$6)),"x",""))</f>
        <v/>
      </c>
      <c r="T1145" s="525" t="str">
        <f>IF(ISERROR(FIND('112'!$M$9,G1145,1)),"",IF((AND(RIGHT(G1145,2)=RIGHT('112'!$M$9,2),B1145&lt;'112'!$N$8,$M1145='112'!$I$6)),"x",""))</f>
        <v/>
      </c>
      <c r="U1145" s="525" t="str">
        <f>IF(AND(B1145&gt;='IN-NX'!$P$3,B1145&lt;='IN-NX'!$Q$3,'IN-NX'!$D$7=D1145,OR(LEFT(L1145,2)="15",AND(LEFT(M1145,2)&lt;&gt;"15",LEFT(M1145,2)&lt;&gt;"33"))),"x","")</f>
        <v/>
      </c>
      <c r="V1145" s="525" t="str">
        <f>IF(AND(OR(LEFT(TH!L1145,2)="15",LEFT(TH!M1145,2)="15"),'152-CT'!$J$8=TH!F1145),"x","")</f>
        <v/>
      </c>
      <c r="W1145" s="525" t="str">
        <f>IF(AND(OR(LEFT(TH!L1145,2)="15",LEFT(TH!M1145,2)="15"),TK!$E$7=TH!F1145),"x","")</f>
        <v/>
      </c>
      <c r="X1145" s="525" t="str">
        <f>IF(AND('341-CT'!$E$9=H1145,OR(LEFT(L1145,3)=$X$7,LEFT(M1145,3)=$X$7)),"x","")</f>
        <v/>
      </c>
      <c r="Y1145" s="525" t="str">
        <f>IF(OR(TH!L1145=TH!$Y$7,M1145=TH!$Y$7),"x","")</f>
        <v/>
      </c>
      <c r="Z1145" s="525" t="str">
        <f>IF(AND(B1145&lt;=NKC!$N$8,B1145&gt;=NKC!$M$8),"x","")</f>
        <v>x</v>
      </c>
      <c r="AA1145" s="535"/>
    </row>
    <row r="1146" spans="1:28" s="503" customFormat="1" ht="15.75" customHeight="1">
      <c r="A1146" s="517" t="str">
        <f>IF(B1146&lt;&gt;"",IF(AND(B1146&gt;=_TM1,B1146&lt;=_TM2,OR(TH!L1146="1111",TH!M1146="1111")),TH!D1146,""),"")</f>
        <v/>
      </c>
      <c r="B1146" s="531">
        <f t="shared" si="119"/>
        <v>3</v>
      </c>
      <c r="C1146" s="315">
        <f t="shared" si="120"/>
        <v>42807</v>
      </c>
      <c r="D1146" s="315" t="s">
        <v>937</v>
      </c>
      <c r="E1146" s="315">
        <v>42807</v>
      </c>
      <c r="F1146" s="249" t="s">
        <v>770</v>
      </c>
      <c r="G1146" s="314" t="s">
        <v>771</v>
      </c>
      <c r="H1146" s="473" t="s">
        <v>375</v>
      </c>
      <c r="I1146" s="307"/>
      <c r="J1146" s="307"/>
      <c r="K1146" s="532">
        <v>1606500</v>
      </c>
      <c r="L1146" s="534" t="s">
        <v>223</v>
      </c>
      <c r="M1146" s="534" t="s">
        <v>259</v>
      </c>
      <c r="N1146" s="525" t="str">
        <f>IF(AND('331-CT'!$E$7=TH!H1146,OR(L1146="331",M1146="331")),"331",IF(AND(OR(L1146="131",M1146="131"),H1146='131-CT'!$E$7),"131",""))</f>
        <v/>
      </c>
      <c r="O1146" s="525" t="str">
        <f>IF(AND($B1146&gt;='111'!$N$11,$B1146&lt;='111'!$O$11,OR($L1146=$O$7,$M1146=$O$7)),"x","")</f>
        <v/>
      </c>
      <c r="P1146" s="525" t="str">
        <f>IF(AND($L1146=$O$7,$B1146&lt;'111'!$N$11),"x","")</f>
        <v/>
      </c>
      <c r="Q1146" s="525" t="str">
        <f>IF(AND($M1146=$O$7,$B1146&lt;'111'!$N$11),"x","")</f>
        <v/>
      </c>
      <c r="R1146" s="525" t="str">
        <f>IF(ISERROR(FIND('112'!$M$9,G1146,1)),"",IF((AND(FIND('112'!$M$9,G1146,1)&gt;=1,$B1146&gt;='112'!$N$8,$B1146&lt;='112'!$O$8,OR($L1146='112'!$I$6,$M1146='112'!$I$6))),"x",""))</f>
        <v/>
      </c>
      <c r="S1146" s="525" t="str">
        <f>IF(ISERROR(FIND('112'!$M$9,G1146,1)),"",IF((AND(LEFT(G1146,2)=LEFT('112'!$M$9,2),B1146&lt;'112'!$N$8,$L1146='112'!$I$6)),"x",""))</f>
        <v/>
      </c>
      <c r="T1146" s="525" t="str">
        <f>IF(ISERROR(FIND('112'!$M$9,G1146,1)),"",IF((AND(RIGHT(G1146,2)=RIGHT('112'!$M$9,2),B1146&lt;'112'!$N$8,$M1146='112'!$I$6)),"x",""))</f>
        <v/>
      </c>
      <c r="U1146" s="525" t="str">
        <f>IF(AND(B1146&gt;='IN-NX'!$P$3,B1146&lt;='IN-NX'!$Q$3,'IN-NX'!$D$7=D1146,OR(LEFT(L1146,2)="15",AND(LEFT(M1146,2)&lt;&gt;"15",LEFT(M1146,2)&lt;&gt;"33"))),"x","")</f>
        <v/>
      </c>
      <c r="V1146" s="525" t="str">
        <f>IF(AND(OR(LEFT(TH!L1146,2)="15",LEFT(TH!M1146,2)="15"),'152-CT'!$J$8=TH!F1146),"x","")</f>
        <v/>
      </c>
      <c r="W1146" s="525" t="str">
        <f>IF(AND(OR(LEFT(TH!L1146,2)="15",LEFT(TH!M1146,2)="15"),TK!$E$7=TH!F1146),"x","")</f>
        <v/>
      </c>
      <c r="X1146" s="525" t="str">
        <f>IF(AND('341-CT'!$E$9=H1146,OR(LEFT(L1146,3)=$X$7,LEFT(M1146,3)=$X$7)),"x","")</f>
        <v/>
      </c>
      <c r="Y1146" s="525" t="str">
        <f>IF(OR(TH!L1146=TH!$Y$7,M1146=TH!$Y$7),"x","")</f>
        <v/>
      </c>
      <c r="Z1146" s="525" t="str">
        <f>IF(AND(B1146&lt;=NKC!$N$8,B1146&gt;=NKC!$M$8),"x","")</f>
        <v>x</v>
      </c>
      <c r="AA1146" s="535"/>
    </row>
    <row r="1147" spans="1:28" s="503" customFormat="1" ht="15.75" customHeight="1">
      <c r="A1147" s="517" t="str">
        <f>IF(B1147&lt;&gt;"",IF(AND(B1147&gt;=_TM1,B1147&lt;=_TM2,OR(TH!L1147="1111",TH!M1147="1111")),TH!D1147,""),"")</f>
        <v/>
      </c>
      <c r="B1147" s="531">
        <f t="shared" si="119"/>
        <v>3</v>
      </c>
      <c r="C1147" s="315">
        <f t="shared" si="120"/>
        <v>42810</v>
      </c>
      <c r="D1147" s="315" t="s">
        <v>938</v>
      </c>
      <c r="E1147" s="315">
        <v>42810</v>
      </c>
      <c r="F1147" s="249" t="s">
        <v>591</v>
      </c>
      <c r="G1147" s="314" t="s">
        <v>549</v>
      </c>
      <c r="H1147" s="472" t="s">
        <v>298</v>
      </c>
      <c r="I1147" s="307">
        <v>309</v>
      </c>
      <c r="J1147" s="307">
        <v>14266</v>
      </c>
      <c r="K1147" s="532">
        <f>ROUND(I1147*J1147,0)</f>
        <v>4408194</v>
      </c>
      <c r="L1147" s="534" t="s">
        <v>223</v>
      </c>
      <c r="M1147" s="534" t="s">
        <v>162</v>
      </c>
      <c r="N1147" s="525" t="str">
        <f>IF(AND('331-CT'!$E$7=TH!H1147,OR(L1147="331",M1147="331")),"331",IF(AND(OR(L1147="131",M1147="131"),H1147='131-CT'!$E$7),"131",""))</f>
        <v/>
      </c>
      <c r="O1147" s="525" t="str">
        <f>IF(AND($B1147&gt;='111'!$N$11,$B1147&lt;='111'!$O$11,OR($L1147=$O$7,$M1147=$O$7)),"x","")</f>
        <v/>
      </c>
      <c r="P1147" s="525" t="str">
        <f>IF(AND($L1147=$O$7,$B1147&lt;'111'!$N$11),"x","")</f>
        <v/>
      </c>
      <c r="Q1147" s="525" t="str">
        <f>IF(AND($M1147=$O$7,$B1147&lt;'111'!$N$11),"x","")</f>
        <v/>
      </c>
      <c r="R1147" s="525" t="str">
        <f>IF(ISERROR(FIND('112'!$M$9,G1147,1)),"",IF((AND(FIND('112'!$M$9,G1147,1)&gt;=1,$B1147&gt;='112'!$N$8,$B1147&lt;='112'!$O$8,OR($L1147='112'!$I$6,$M1147='112'!$I$6))),"x",""))</f>
        <v/>
      </c>
      <c r="S1147" s="525" t="str">
        <f>IF(ISERROR(FIND('112'!$M$9,G1147,1)),"",IF((AND(LEFT(G1147,2)=LEFT('112'!$M$9,2),B1147&lt;'112'!$N$8,$L1147='112'!$I$6)),"x",""))</f>
        <v/>
      </c>
      <c r="T1147" s="525" t="str">
        <f>IF(ISERROR(FIND('112'!$M$9,G1147,1)),"",IF((AND(RIGHT(G1147,2)=RIGHT('112'!$M$9,2),B1147&lt;'112'!$N$8,$M1147='112'!$I$6)),"x",""))</f>
        <v/>
      </c>
      <c r="U1147" s="525" t="str">
        <f>IF(AND(B1147&gt;='IN-NX'!$P$3,B1147&lt;='IN-NX'!$Q$3,'IN-NX'!$D$7=D1147,OR(LEFT(L1147,2)="15",AND(LEFT(M1147,2)&lt;&gt;"15",LEFT(M1147,2)&lt;&gt;"33"))),"x","")</f>
        <v/>
      </c>
      <c r="V1147" s="525" t="str">
        <f>IF(AND(OR(LEFT(TH!L1147,2)="15",LEFT(TH!M1147,2)="15"),'152-CT'!$J$8=TH!F1147),"x","")</f>
        <v/>
      </c>
      <c r="W1147" s="525" t="str">
        <f>IF(AND(OR(LEFT(TH!L1147,2)="15",LEFT(TH!M1147,2)="15"),TK!$E$7=TH!F1147),"x","")</f>
        <v/>
      </c>
      <c r="X1147" s="525" t="str">
        <f>IF(AND('341-CT'!$E$9=H1147,OR(LEFT(L1147,3)=$X$7,LEFT(M1147,3)=$X$7)),"x","")</f>
        <v/>
      </c>
      <c r="Y1147" s="525" t="str">
        <f>IF(OR(TH!L1147=TH!$Y$7,M1147=TH!$Y$7),"x","")</f>
        <v/>
      </c>
      <c r="Z1147" s="525" t="str">
        <f>IF(AND(B1147&lt;=NKC!$N$8,B1147&gt;=NKC!$M$8),"x","")</f>
        <v>x</v>
      </c>
      <c r="AA1147" s="535"/>
    </row>
    <row r="1148" spans="1:28" s="503" customFormat="1" ht="15.75" customHeight="1">
      <c r="A1148" s="517" t="str">
        <f>IF(B1148&lt;&gt;"",IF(AND(B1148&gt;=_TM1,B1148&lt;=_TM2,OR(TH!L1148="1111",TH!M1148="1111")),TH!D1148,""),"")</f>
        <v/>
      </c>
      <c r="B1148" s="531">
        <f t="shared" si="119"/>
        <v>3</v>
      </c>
      <c r="C1148" s="315">
        <f t="shared" si="120"/>
        <v>42810</v>
      </c>
      <c r="D1148" s="315" t="s">
        <v>938</v>
      </c>
      <c r="E1148" s="315">
        <v>42810</v>
      </c>
      <c r="F1148" s="249" t="s">
        <v>592</v>
      </c>
      <c r="G1148" s="314" t="s">
        <v>549</v>
      </c>
      <c r="H1148" s="472" t="s">
        <v>298</v>
      </c>
      <c r="I1148" s="307">
        <v>306</v>
      </c>
      <c r="J1148" s="307">
        <v>13900</v>
      </c>
      <c r="K1148" s="532">
        <f>ROUND(I1148*J1148,0)</f>
        <v>4253400</v>
      </c>
      <c r="L1148" s="534" t="s">
        <v>223</v>
      </c>
      <c r="M1148" s="534" t="s">
        <v>162</v>
      </c>
      <c r="N1148" s="525" t="str">
        <f>IF(AND('331-CT'!$E$7=TH!H1148,OR(L1148="331",M1148="331")),"331",IF(AND(OR(L1148="131",M1148="131"),H1148='131-CT'!$E$7),"131",""))</f>
        <v/>
      </c>
      <c r="O1148" s="525" t="str">
        <f>IF(AND($B1148&gt;='111'!$N$11,$B1148&lt;='111'!$O$11,OR($L1148=$O$7,$M1148=$O$7)),"x","")</f>
        <v/>
      </c>
      <c r="P1148" s="525" t="str">
        <f>IF(AND($L1148=$O$7,$B1148&lt;'111'!$N$11),"x","")</f>
        <v/>
      </c>
      <c r="Q1148" s="525" t="str">
        <f>IF(AND($M1148=$O$7,$B1148&lt;'111'!$N$11),"x","")</f>
        <v/>
      </c>
      <c r="R1148" s="525" t="str">
        <f>IF(ISERROR(FIND('112'!$M$9,G1148,1)),"",IF((AND(FIND('112'!$M$9,G1148,1)&gt;=1,$B1148&gt;='112'!$N$8,$B1148&lt;='112'!$O$8,OR($L1148='112'!$I$6,$M1148='112'!$I$6))),"x",""))</f>
        <v/>
      </c>
      <c r="S1148" s="525" t="str">
        <f>IF(ISERROR(FIND('112'!$M$9,G1148,1)),"",IF((AND(LEFT(G1148,2)=LEFT('112'!$M$9,2),B1148&lt;'112'!$N$8,$L1148='112'!$I$6)),"x",""))</f>
        <v/>
      </c>
      <c r="T1148" s="525" t="str">
        <f>IF(ISERROR(FIND('112'!$M$9,G1148,1)),"",IF((AND(RIGHT(G1148,2)=RIGHT('112'!$M$9,2),B1148&lt;'112'!$N$8,$M1148='112'!$I$6)),"x",""))</f>
        <v/>
      </c>
      <c r="U1148" s="525" t="str">
        <f>IF(AND(B1148&gt;='IN-NX'!$P$3,B1148&lt;='IN-NX'!$Q$3,'IN-NX'!$D$7=D1148,OR(LEFT(L1148,2)="15",AND(LEFT(M1148,2)&lt;&gt;"15",LEFT(M1148,2)&lt;&gt;"33"))),"x","")</f>
        <v/>
      </c>
      <c r="V1148" s="525" t="str">
        <f>IF(AND(OR(LEFT(TH!L1148,2)="15",LEFT(TH!M1148,2)="15"),'152-CT'!$J$8=TH!F1148),"x","")</f>
        <v/>
      </c>
      <c r="W1148" s="525" t="str">
        <f>IF(AND(OR(LEFT(TH!L1148,2)="15",LEFT(TH!M1148,2)="15"),TK!$E$7=TH!F1148),"x","")</f>
        <v/>
      </c>
      <c r="X1148" s="525" t="str">
        <f>IF(AND('341-CT'!$E$9=H1148,OR(LEFT(L1148,3)=$X$7,LEFT(M1148,3)=$X$7)),"x","")</f>
        <v/>
      </c>
      <c r="Y1148" s="525" t="str">
        <f>IF(OR(TH!L1148=TH!$Y$7,M1148=TH!$Y$7),"x","")</f>
        <v/>
      </c>
      <c r="Z1148" s="525" t="str">
        <f>IF(AND(B1148&lt;=NKC!$N$8,B1148&gt;=NKC!$M$8),"x","")</f>
        <v>x</v>
      </c>
      <c r="AA1148" s="535"/>
    </row>
    <row r="1149" spans="1:28" s="503" customFormat="1" ht="15.75" customHeight="1">
      <c r="A1149" s="517" t="str">
        <f>IF(B1149&lt;&gt;"",IF(AND(B1149&gt;=_TM1,B1149&lt;=_TM2,OR(TH!L1149="1111",TH!M1149="1111")),TH!D1149,""),"")</f>
        <v/>
      </c>
      <c r="B1149" s="531">
        <f t="shared" si="119"/>
        <v>3</v>
      </c>
      <c r="C1149" s="315">
        <f t="shared" si="120"/>
        <v>42810</v>
      </c>
      <c r="D1149" s="315" t="s">
        <v>938</v>
      </c>
      <c r="E1149" s="315">
        <v>42810</v>
      </c>
      <c r="F1149" s="249" t="s">
        <v>494</v>
      </c>
      <c r="G1149" s="314" t="s">
        <v>549</v>
      </c>
      <c r="H1149" s="472" t="s">
        <v>298</v>
      </c>
      <c r="I1149" s="307"/>
      <c r="J1149" s="307"/>
      <c r="K1149" s="532">
        <v>866159</v>
      </c>
      <c r="L1149" s="534" t="s">
        <v>223</v>
      </c>
      <c r="M1149" s="534" t="s">
        <v>259</v>
      </c>
      <c r="N1149" s="525" t="str">
        <f>IF(AND('331-CT'!$E$7=TH!H1149,OR(L1149="331",M1149="331")),"331",IF(AND(OR(L1149="131",M1149="131"),H1149='131-CT'!$E$7),"131",""))</f>
        <v/>
      </c>
      <c r="O1149" s="525" t="str">
        <f>IF(AND($B1149&gt;='111'!$N$11,$B1149&lt;='111'!$O$11,OR($L1149=$O$7,$M1149=$O$7)),"x","")</f>
        <v/>
      </c>
      <c r="P1149" s="525" t="str">
        <f>IF(AND($L1149=$O$7,$B1149&lt;'111'!$N$11),"x","")</f>
        <v/>
      </c>
      <c r="Q1149" s="525" t="str">
        <f>IF(AND($M1149=$O$7,$B1149&lt;'111'!$N$11),"x","")</f>
        <v/>
      </c>
      <c r="R1149" s="525" t="str">
        <f>IF(ISERROR(FIND('112'!$M$9,G1149,1)),"",IF((AND(FIND('112'!$M$9,G1149,1)&gt;=1,$B1149&gt;='112'!$N$8,$B1149&lt;='112'!$O$8,OR($L1149='112'!$I$6,$M1149='112'!$I$6))),"x",""))</f>
        <v/>
      </c>
      <c r="S1149" s="525" t="str">
        <f>IF(ISERROR(FIND('112'!$M$9,G1149,1)),"",IF((AND(LEFT(G1149,2)=LEFT('112'!$M$9,2),B1149&lt;'112'!$N$8,$L1149='112'!$I$6)),"x",""))</f>
        <v/>
      </c>
      <c r="T1149" s="525" t="str">
        <f>IF(ISERROR(FIND('112'!$M$9,G1149,1)),"",IF((AND(RIGHT(G1149,2)=RIGHT('112'!$M$9,2),B1149&lt;'112'!$N$8,$M1149='112'!$I$6)),"x",""))</f>
        <v/>
      </c>
      <c r="U1149" s="525" t="str">
        <f>IF(AND(B1149&gt;='IN-NX'!$P$3,B1149&lt;='IN-NX'!$Q$3,'IN-NX'!$D$7=D1149,OR(LEFT(L1149,2)="15",AND(LEFT(M1149,2)&lt;&gt;"15",LEFT(M1149,2)&lt;&gt;"33"))),"x","")</f>
        <v/>
      </c>
      <c r="V1149" s="525" t="str">
        <f>IF(AND(OR(LEFT(TH!L1149,2)="15",LEFT(TH!M1149,2)="15"),'152-CT'!$J$8=TH!F1149),"x","")</f>
        <v/>
      </c>
      <c r="W1149" s="525" t="str">
        <f>IF(AND(OR(LEFT(TH!L1149,2)="15",LEFT(TH!M1149,2)="15"),TK!$E$7=TH!F1149),"x","")</f>
        <v/>
      </c>
      <c r="X1149" s="525" t="str">
        <f>IF(AND('341-CT'!$E$9=H1149,OR(LEFT(L1149,3)=$X$7,LEFT(M1149,3)=$X$7)),"x","")</f>
        <v/>
      </c>
      <c r="Y1149" s="525" t="str">
        <f>IF(OR(TH!L1149=TH!$Y$7,M1149=TH!$Y$7),"x","")</f>
        <v/>
      </c>
      <c r="Z1149" s="525" t="str">
        <f>IF(AND(B1149&lt;=NKC!$N$8,B1149&gt;=NKC!$M$8),"x","")</f>
        <v>x</v>
      </c>
      <c r="AA1149" s="535"/>
      <c r="AB1149" s="536"/>
    </row>
    <row r="1150" spans="1:28" s="503" customFormat="1" ht="15.75" customHeight="1">
      <c r="A1150" s="517" t="str">
        <f>IF(B1150&lt;&gt;"",IF(AND(B1150&gt;=_TM1,B1150&lt;=_TM2,OR(TH!L1150="1111",TH!M1150="1111")),TH!D1150,""),"")</f>
        <v/>
      </c>
      <c r="B1150" s="531">
        <f t="shared" si="119"/>
        <v>3</v>
      </c>
      <c r="C1150" s="315">
        <f t="shared" si="120"/>
        <v>42811</v>
      </c>
      <c r="D1150" s="315" t="s">
        <v>939</v>
      </c>
      <c r="E1150" s="315">
        <v>42811</v>
      </c>
      <c r="F1150" s="249" t="s">
        <v>763</v>
      </c>
      <c r="G1150" s="314" t="s">
        <v>550</v>
      </c>
      <c r="H1150" s="473" t="s">
        <v>593</v>
      </c>
      <c r="I1150" s="307">
        <v>7240</v>
      </c>
      <c r="J1150" s="307">
        <v>3770</v>
      </c>
      <c r="K1150" s="532">
        <f>ROUND(I1150*J1150,0)</f>
        <v>27294800</v>
      </c>
      <c r="L1150" s="534" t="s">
        <v>223</v>
      </c>
      <c r="M1150" s="534" t="s">
        <v>162</v>
      </c>
      <c r="N1150" s="525" t="str">
        <f>IF(AND('331-CT'!$E$7=TH!H1150,OR(L1150="331",M1150="331")),"331",IF(AND(OR(L1150="131",M1150="131"),H1150='131-CT'!$E$7),"131",""))</f>
        <v/>
      </c>
      <c r="O1150" s="525" t="str">
        <f>IF(AND($B1150&gt;='111'!$N$11,$B1150&lt;='111'!$O$11,OR($L1150=$O$7,$M1150=$O$7)),"x","")</f>
        <v/>
      </c>
      <c r="P1150" s="525" t="str">
        <f>IF(AND($L1150=$O$7,$B1150&lt;'111'!$N$11),"x","")</f>
        <v/>
      </c>
      <c r="Q1150" s="525" t="str">
        <f>IF(AND($M1150=$O$7,$B1150&lt;'111'!$N$11),"x","")</f>
        <v/>
      </c>
      <c r="R1150" s="525" t="str">
        <f>IF(ISERROR(FIND('112'!$M$9,G1150,1)),"",IF((AND(FIND('112'!$M$9,G1150,1)&gt;=1,$B1150&gt;='112'!$N$8,$B1150&lt;='112'!$O$8,OR($L1150='112'!$I$6,$M1150='112'!$I$6))),"x",""))</f>
        <v/>
      </c>
      <c r="S1150" s="525" t="str">
        <f>IF(ISERROR(FIND('112'!$M$9,G1150,1)),"",IF((AND(LEFT(G1150,2)=LEFT('112'!$M$9,2),B1150&lt;'112'!$N$8,$L1150='112'!$I$6)),"x",""))</f>
        <v/>
      </c>
      <c r="T1150" s="525" t="str">
        <f>IF(ISERROR(FIND('112'!$M$9,G1150,1)),"",IF((AND(RIGHT(G1150,2)=RIGHT('112'!$M$9,2),B1150&lt;'112'!$N$8,$M1150='112'!$I$6)),"x",""))</f>
        <v/>
      </c>
      <c r="U1150" s="525" t="str">
        <f>IF(AND(B1150&gt;='IN-NX'!$P$3,B1150&lt;='IN-NX'!$Q$3,'IN-NX'!$D$7=D1150,OR(LEFT(L1150,2)="15",AND(LEFT(M1150,2)&lt;&gt;"15",LEFT(M1150,2)&lt;&gt;"33"))),"x","")</f>
        <v/>
      </c>
      <c r="V1150" s="525" t="str">
        <f>IF(AND(OR(LEFT(TH!L1150,2)="15",LEFT(TH!M1150,2)="15"),'152-CT'!$J$8=TH!F1150),"x","")</f>
        <v/>
      </c>
      <c r="W1150" s="525" t="str">
        <f>IF(AND(OR(LEFT(TH!L1150,2)="15",LEFT(TH!M1150,2)="15"),TK!$E$7=TH!F1150),"x","")</f>
        <v/>
      </c>
      <c r="X1150" s="525" t="str">
        <f>IF(AND('341-CT'!$E$9=H1150,OR(LEFT(L1150,3)=$X$7,LEFT(M1150,3)=$X$7)),"x","")</f>
        <v/>
      </c>
      <c r="Y1150" s="525" t="str">
        <f>IF(OR(TH!L1150=TH!$Y$7,M1150=TH!$Y$7),"x","")</f>
        <v/>
      </c>
      <c r="Z1150" s="525" t="str">
        <f>IF(AND(B1150&lt;=NKC!$N$8,B1150&gt;=NKC!$M$8),"x","")</f>
        <v>x</v>
      </c>
      <c r="AA1150" s="535"/>
    </row>
    <row r="1151" spans="1:28" s="503" customFormat="1" ht="15.75" customHeight="1">
      <c r="A1151" s="517" t="str">
        <f>IF(B1151&lt;&gt;"",IF(AND(B1151&gt;=_TM1,B1151&lt;=_TM2,OR(TH!L1151="1111",TH!M1151="1111")),TH!D1151,""),"")</f>
        <v/>
      </c>
      <c r="B1151" s="531">
        <f t="shared" si="119"/>
        <v>3</v>
      </c>
      <c r="C1151" s="315">
        <f t="shared" si="120"/>
        <v>42811</v>
      </c>
      <c r="D1151" s="315" t="s">
        <v>939</v>
      </c>
      <c r="E1151" s="315">
        <v>42811</v>
      </c>
      <c r="F1151" s="249" t="s">
        <v>764</v>
      </c>
      <c r="G1151" s="314" t="s">
        <v>550</v>
      </c>
      <c r="H1151" s="473" t="s">
        <v>593</v>
      </c>
      <c r="I1151" s="307">
        <v>500</v>
      </c>
      <c r="J1151" s="307">
        <v>4070</v>
      </c>
      <c r="K1151" s="532">
        <f>ROUND(I1151*J1151,0)</f>
        <v>2035000</v>
      </c>
      <c r="L1151" s="534" t="s">
        <v>223</v>
      </c>
      <c r="M1151" s="534" t="s">
        <v>162</v>
      </c>
      <c r="N1151" s="525" t="str">
        <f>IF(AND('331-CT'!$E$7=TH!H1151,OR(L1151="331",M1151="331")),"331",IF(AND(OR(L1151="131",M1151="131"),H1151='131-CT'!$E$7),"131",""))</f>
        <v/>
      </c>
      <c r="O1151" s="525" t="str">
        <f>IF(AND($B1151&gt;='111'!$N$11,$B1151&lt;='111'!$O$11,OR($L1151=$O$7,$M1151=$O$7)),"x","")</f>
        <v/>
      </c>
      <c r="P1151" s="525" t="str">
        <f>IF(AND($L1151=$O$7,$B1151&lt;'111'!$N$11),"x","")</f>
        <v/>
      </c>
      <c r="Q1151" s="525" t="str">
        <f>IF(AND($M1151=$O$7,$B1151&lt;'111'!$N$11),"x","")</f>
        <v/>
      </c>
      <c r="R1151" s="525" t="str">
        <f>IF(ISERROR(FIND('112'!$M$9,G1151,1)),"",IF((AND(FIND('112'!$M$9,G1151,1)&gt;=1,$B1151&gt;='112'!$N$8,$B1151&lt;='112'!$O$8,OR($L1151='112'!$I$6,$M1151='112'!$I$6))),"x",""))</f>
        <v/>
      </c>
      <c r="S1151" s="525" t="str">
        <f>IF(ISERROR(FIND('112'!$M$9,G1151,1)),"",IF((AND(LEFT(G1151,2)=LEFT('112'!$M$9,2),B1151&lt;'112'!$N$8,$L1151='112'!$I$6)),"x",""))</f>
        <v/>
      </c>
      <c r="T1151" s="525" t="str">
        <f>IF(ISERROR(FIND('112'!$M$9,G1151,1)),"",IF((AND(RIGHT(G1151,2)=RIGHT('112'!$M$9,2),B1151&lt;'112'!$N$8,$M1151='112'!$I$6)),"x",""))</f>
        <v/>
      </c>
      <c r="U1151" s="525" t="str">
        <f>IF(AND(B1151&gt;='IN-NX'!$P$3,B1151&lt;='IN-NX'!$Q$3,'IN-NX'!$D$7=D1151,OR(LEFT(L1151,2)="15",AND(LEFT(M1151,2)&lt;&gt;"15",LEFT(M1151,2)&lt;&gt;"33"))),"x","")</f>
        <v/>
      </c>
      <c r="V1151" s="525" t="str">
        <f>IF(AND(OR(LEFT(TH!L1151,2)="15",LEFT(TH!M1151,2)="15"),'152-CT'!$J$8=TH!F1151),"x","")</f>
        <v/>
      </c>
      <c r="W1151" s="525" t="str">
        <f>IF(AND(OR(LEFT(TH!L1151,2)="15",LEFT(TH!M1151,2)="15"),TK!$E$7=TH!F1151),"x","")</f>
        <v/>
      </c>
      <c r="X1151" s="525" t="str">
        <f>IF(AND('341-CT'!$E$9=H1151,OR(LEFT(L1151,3)=$X$7,LEFT(M1151,3)=$X$7)),"x","")</f>
        <v/>
      </c>
      <c r="Y1151" s="525" t="str">
        <f>IF(OR(TH!L1151=TH!$Y$7,M1151=TH!$Y$7),"x","")</f>
        <v/>
      </c>
      <c r="Z1151" s="525" t="str">
        <f>IF(AND(B1151&lt;=NKC!$N$8,B1151&gt;=NKC!$M$8),"x","")</f>
        <v>x</v>
      </c>
      <c r="AA1151" s="535"/>
    </row>
    <row r="1152" spans="1:28" s="503" customFormat="1" ht="15.75" customHeight="1">
      <c r="A1152" s="517" t="str">
        <f>IF(B1152&lt;&gt;"",IF(AND(B1152&gt;=_TM1,B1152&lt;=_TM2,OR(TH!L1152="1111",TH!M1152="1111")),TH!D1152,""),"")</f>
        <v/>
      </c>
      <c r="B1152" s="531">
        <f t="shared" si="119"/>
        <v>3</v>
      </c>
      <c r="C1152" s="315">
        <f t="shared" si="120"/>
        <v>42811</v>
      </c>
      <c r="D1152" s="315" t="s">
        <v>939</v>
      </c>
      <c r="E1152" s="315">
        <v>42811</v>
      </c>
      <c r="F1152" s="249" t="s">
        <v>765</v>
      </c>
      <c r="G1152" s="314" t="s">
        <v>550</v>
      </c>
      <c r="H1152" s="473" t="s">
        <v>593</v>
      </c>
      <c r="I1152" s="307">
        <v>1</v>
      </c>
      <c r="J1152" s="307">
        <v>2000000</v>
      </c>
      <c r="K1152" s="532">
        <f>ROUND(I1152*J1152,0)</f>
        <v>2000000</v>
      </c>
      <c r="L1152" s="534" t="s">
        <v>223</v>
      </c>
      <c r="M1152" s="534" t="s">
        <v>162</v>
      </c>
      <c r="N1152" s="525" t="str">
        <f>IF(AND('331-CT'!$E$7=TH!H1152,OR(L1152="331",M1152="331")),"331",IF(AND(OR(L1152="131",M1152="131"),H1152='131-CT'!$E$7),"131",""))</f>
        <v/>
      </c>
      <c r="O1152" s="525" t="str">
        <f>IF(AND($B1152&gt;='111'!$N$11,$B1152&lt;='111'!$O$11,OR($L1152=$O$7,$M1152=$O$7)),"x","")</f>
        <v/>
      </c>
      <c r="P1152" s="525" t="str">
        <f>IF(AND($L1152=$O$7,$B1152&lt;'111'!$N$11),"x","")</f>
        <v/>
      </c>
      <c r="Q1152" s="525" t="str">
        <f>IF(AND($M1152=$O$7,$B1152&lt;'111'!$N$11),"x","")</f>
        <v/>
      </c>
      <c r="R1152" s="525" t="str">
        <f>IF(ISERROR(FIND('112'!$M$9,G1152,1)),"",IF((AND(FIND('112'!$M$9,G1152,1)&gt;=1,$B1152&gt;='112'!$N$8,$B1152&lt;='112'!$O$8,OR($L1152='112'!$I$6,$M1152='112'!$I$6))),"x",""))</f>
        <v/>
      </c>
      <c r="S1152" s="525" t="str">
        <f>IF(ISERROR(FIND('112'!$M$9,G1152,1)),"",IF((AND(LEFT(G1152,2)=LEFT('112'!$M$9,2),B1152&lt;'112'!$N$8,$L1152='112'!$I$6)),"x",""))</f>
        <v/>
      </c>
      <c r="T1152" s="525" t="str">
        <f>IF(ISERROR(FIND('112'!$M$9,G1152,1)),"",IF((AND(RIGHT(G1152,2)=RIGHT('112'!$M$9,2),B1152&lt;'112'!$N$8,$M1152='112'!$I$6)),"x",""))</f>
        <v/>
      </c>
      <c r="U1152" s="525" t="str">
        <f>IF(AND(B1152&gt;='IN-NX'!$P$3,B1152&lt;='IN-NX'!$Q$3,'IN-NX'!$D$7=D1152,OR(LEFT(L1152,2)="15",AND(LEFT(M1152,2)&lt;&gt;"15",LEFT(M1152,2)&lt;&gt;"33"))),"x","")</f>
        <v/>
      </c>
      <c r="V1152" s="525" t="str">
        <f>IF(AND(OR(LEFT(TH!L1152,2)="15",LEFT(TH!M1152,2)="15"),'152-CT'!$J$8=TH!F1152),"x","")</f>
        <v/>
      </c>
      <c r="W1152" s="525" t="str">
        <f>IF(AND(OR(LEFT(TH!L1152,2)="15",LEFT(TH!M1152,2)="15"),TK!$E$7=TH!F1152),"x","")</f>
        <v/>
      </c>
      <c r="X1152" s="525" t="str">
        <f>IF(AND('341-CT'!$E$9=H1152,OR(LEFT(L1152,3)=$X$7,LEFT(M1152,3)=$X$7)),"x","")</f>
        <v/>
      </c>
      <c r="Y1152" s="525" t="str">
        <f>IF(OR(TH!L1152=TH!$Y$7,M1152=TH!$Y$7),"x","")</f>
        <v/>
      </c>
      <c r="Z1152" s="525" t="str">
        <f>IF(AND(B1152&lt;=NKC!$N$8,B1152&gt;=NKC!$M$8),"x","")</f>
        <v>x</v>
      </c>
      <c r="AA1152" s="535"/>
    </row>
    <row r="1153" spans="1:28" s="503" customFormat="1" ht="15.75" customHeight="1">
      <c r="A1153" s="517" t="str">
        <f>IF(B1153&lt;&gt;"",IF(AND(B1153&gt;=_TM1,B1153&lt;=_TM2,OR(TH!L1153="1111",TH!M1153="1111")),TH!D1153,""),"")</f>
        <v/>
      </c>
      <c r="B1153" s="531">
        <f t="shared" si="119"/>
        <v>3</v>
      </c>
      <c r="C1153" s="315">
        <f t="shared" si="120"/>
        <v>42811</v>
      </c>
      <c r="D1153" s="315" t="s">
        <v>939</v>
      </c>
      <c r="E1153" s="315">
        <v>42811</v>
      </c>
      <c r="F1153" s="249" t="s">
        <v>766</v>
      </c>
      <c r="G1153" s="314" t="s">
        <v>550</v>
      </c>
      <c r="H1153" s="473" t="s">
        <v>593</v>
      </c>
      <c r="I1153" s="307">
        <v>605</v>
      </c>
      <c r="J1153" s="307">
        <v>17391</v>
      </c>
      <c r="K1153" s="532">
        <f>ROUND(I1153*J1153,0)</f>
        <v>10521555</v>
      </c>
      <c r="L1153" s="534" t="s">
        <v>223</v>
      </c>
      <c r="M1153" s="534" t="s">
        <v>162</v>
      </c>
      <c r="N1153" s="525" t="str">
        <f>IF(AND('331-CT'!$E$7=TH!H1153,OR(L1153="331",M1153="331")),"331",IF(AND(OR(L1153="131",M1153="131"),H1153='131-CT'!$E$7),"131",""))</f>
        <v/>
      </c>
      <c r="O1153" s="525" t="str">
        <f>IF(AND($B1153&gt;='111'!$N$11,$B1153&lt;='111'!$O$11,OR($L1153=$O$7,$M1153=$O$7)),"x","")</f>
        <v/>
      </c>
      <c r="P1153" s="525" t="str">
        <f>IF(AND($L1153=$O$7,$B1153&lt;'111'!$N$11),"x","")</f>
        <v/>
      </c>
      <c r="Q1153" s="525" t="str">
        <f>IF(AND($M1153=$O$7,$B1153&lt;'111'!$N$11),"x","")</f>
        <v/>
      </c>
      <c r="R1153" s="525" t="str">
        <f>IF(ISERROR(FIND('112'!$M$9,G1153,1)),"",IF((AND(FIND('112'!$M$9,G1153,1)&gt;=1,$B1153&gt;='112'!$N$8,$B1153&lt;='112'!$O$8,OR($L1153='112'!$I$6,$M1153='112'!$I$6))),"x",""))</f>
        <v/>
      </c>
      <c r="S1153" s="525" t="str">
        <f>IF(ISERROR(FIND('112'!$M$9,G1153,1)),"",IF((AND(LEFT(G1153,2)=LEFT('112'!$M$9,2),B1153&lt;'112'!$N$8,$L1153='112'!$I$6)),"x",""))</f>
        <v/>
      </c>
      <c r="T1153" s="525" t="str">
        <f>IF(ISERROR(FIND('112'!$M$9,G1153,1)),"",IF((AND(RIGHT(G1153,2)=RIGHT('112'!$M$9,2),B1153&lt;'112'!$N$8,$M1153='112'!$I$6)),"x",""))</f>
        <v/>
      </c>
      <c r="U1153" s="525" t="str">
        <f>IF(AND(B1153&gt;='IN-NX'!$P$3,B1153&lt;='IN-NX'!$Q$3,'IN-NX'!$D$7=D1153,OR(LEFT(L1153,2)="15",AND(LEFT(M1153,2)&lt;&gt;"15",LEFT(M1153,2)&lt;&gt;"33"))),"x","")</f>
        <v/>
      </c>
      <c r="V1153" s="525" t="str">
        <f>IF(AND(OR(LEFT(TH!L1153,2)="15",LEFT(TH!M1153,2)="15"),'152-CT'!$J$8=TH!F1153),"x","")</f>
        <v/>
      </c>
      <c r="W1153" s="525" t="str">
        <f>IF(AND(OR(LEFT(TH!L1153,2)="15",LEFT(TH!M1153,2)="15"),TK!$E$7=TH!F1153),"x","")</f>
        <v/>
      </c>
      <c r="X1153" s="525" t="str">
        <f>IF(AND('341-CT'!$E$9=H1153,OR(LEFT(L1153,3)=$X$7,LEFT(M1153,3)=$X$7)),"x","")</f>
        <v/>
      </c>
      <c r="Y1153" s="525" t="str">
        <f>IF(OR(TH!L1153=TH!$Y$7,M1153=TH!$Y$7),"x","")</f>
        <v/>
      </c>
      <c r="Z1153" s="525" t="str">
        <f>IF(AND(B1153&lt;=NKC!$N$8,B1153&gt;=NKC!$M$8),"x","")</f>
        <v>x</v>
      </c>
      <c r="AA1153" s="535"/>
    </row>
    <row r="1154" spans="1:28" s="503" customFormat="1" ht="15.75" customHeight="1">
      <c r="A1154" s="517" t="str">
        <f>IF(B1154&lt;&gt;"",IF(AND(B1154&gt;=_TM1,B1154&lt;=_TM2,OR(TH!L1154="1111",TH!M1154="1111")),TH!D1154,""),"")</f>
        <v/>
      </c>
      <c r="B1154" s="531">
        <f t="shared" si="119"/>
        <v>3</v>
      </c>
      <c r="C1154" s="315">
        <f t="shared" si="120"/>
        <v>42811</v>
      </c>
      <c r="D1154" s="315" t="s">
        <v>939</v>
      </c>
      <c r="E1154" s="315">
        <v>42811</v>
      </c>
      <c r="F1154" s="249" t="s">
        <v>767</v>
      </c>
      <c r="G1154" s="314" t="s">
        <v>550</v>
      </c>
      <c r="H1154" s="473" t="s">
        <v>593</v>
      </c>
      <c r="I1154" s="307">
        <v>25</v>
      </c>
      <c r="J1154" s="307">
        <v>21551</v>
      </c>
      <c r="K1154" s="532">
        <f>ROUND(I1154*J1154,0)</f>
        <v>538775</v>
      </c>
      <c r="L1154" s="534" t="s">
        <v>223</v>
      </c>
      <c r="M1154" s="534" t="s">
        <v>162</v>
      </c>
      <c r="N1154" s="525" t="str">
        <f>IF(AND('331-CT'!$E$7=TH!H1154,OR(L1154="331",M1154="331")),"331",IF(AND(OR(L1154="131",M1154="131"),H1154='131-CT'!$E$7),"131",""))</f>
        <v/>
      </c>
      <c r="O1154" s="525" t="str">
        <f>IF(AND($B1154&gt;='111'!$N$11,$B1154&lt;='111'!$O$11,OR($L1154=$O$7,$M1154=$O$7)),"x","")</f>
        <v/>
      </c>
      <c r="P1154" s="525" t="str">
        <f>IF(AND($L1154=$O$7,$B1154&lt;'111'!$N$11),"x","")</f>
        <v/>
      </c>
      <c r="Q1154" s="525" t="str">
        <f>IF(AND($M1154=$O$7,$B1154&lt;'111'!$N$11),"x","")</f>
        <v/>
      </c>
      <c r="R1154" s="525" t="str">
        <f>IF(ISERROR(FIND('112'!$M$9,G1154,1)),"",IF((AND(FIND('112'!$M$9,G1154,1)&gt;=1,$B1154&gt;='112'!$N$8,$B1154&lt;='112'!$O$8,OR($L1154='112'!$I$6,$M1154='112'!$I$6))),"x",""))</f>
        <v/>
      </c>
      <c r="S1154" s="525" t="str">
        <f>IF(ISERROR(FIND('112'!$M$9,G1154,1)),"",IF((AND(LEFT(G1154,2)=LEFT('112'!$M$9,2),B1154&lt;'112'!$N$8,$L1154='112'!$I$6)),"x",""))</f>
        <v/>
      </c>
      <c r="T1154" s="525" t="str">
        <f>IF(ISERROR(FIND('112'!$M$9,G1154,1)),"",IF((AND(RIGHT(G1154,2)=RIGHT('112'!$M$9,2),B1154&lt;'112'!$N$8,$M1154='112'!$I$6)),"x",""))</f>
        <v/>
      </c>
      <c r="U1154" s="525" t="str">
        <f>IF(AND(B1154&gt;='IN-NX'!$P$3,B1154&lt;='IN-NX'!$Q$3,'IN-NX'!$D$7=D1154,OR(LEFT(L1154,2)="15",AND(LEFT(M1154,2)&lt;&gt;"15",LEFT(M1154,2)&lt;&gt;"33"))),"x","")</f>
        <v/>
      </c>
      <c r="V1154" s="525" t="str">
        <f>IF(AND(OR(LEFT(TH!L1154,2)="15",LEFT(TH!M1154,2)="15"),'152-CT'!$J$8=TH!F1154),"x","")</f>
        <v/>
      </c>
      <c r="W1154" s="525" t="str">
        <f>IF(AND(OR(LEFT(TH!L1154,2)="15",LEFT(TH!M1154,2)="15"),TK!$E$7=TH!F1154),"x","")</f>
        <v/>
      </c>
      <c r="X1154" s="525" t="str">
        <f>IF(AND('341-CT'!$E$9=H1154,OR(LEFT(L1154,3)=$X$7,LEFT(M1154,3)=$X$7)),"x","")</f>
        <v/>
      </c>
      <c r="Y1154" s="525" t="str">
        <f>IF(OR(TH!L1154=TH!$Y$7,M1154=TH!$Y$7),"x","")</f>
        <v/>
      </c>
      <c r="Z1154" s="525" t="str">
        <f>IF(AND(B1154&lt;=NKC!$N$8,B1154&gt;=NKC!$M$8),"x","")</f>
        <v>x</v>
      </c>
      <c r="AA1154" s="535"/>
    </row>
    <row r="1155" spans="1:28" s="503" customFormat="1" ht="15.75" customHeight="1">
      <c r="A1155" s="517" t="str">
        <f>IF(B1155&lt;&gt;"",IF(AND(B1155&gt;=_TM1,B1155&lt;=_TM2,OR(TH!L1155="1111",TH!M1155="1111")),TH!D1155,""),"")</f>
        <v/>
      </c>
      <c r="B1155" s="531">
        <f t="shared" si="119"/>
        <v>3</v>
      </c>
      <c r="C1155" s="315">
        <f t="shared" si="120"/>
        <v>42811</v>
      </c>
      <c r="D1155" s="315" t="s">
        <v>939</v>
      </c>
      <c r="E1155" s="315">
        <v>42811</v>
      </c>
      <c r="F1155" s="249" t="s">
        <v>494</v>
      </c>
      <c r="G1155" s="314" t="s">
        <v>550</v>
      </c>
      <c r="H1155" s="473" t="s">
        <v>593</v>
      </c>
      <c r="I1155" s="307"/>
      <c r="J1155" s="307"/>
      <c r="K1155" s="532">
        <v>4239013</v>
      </c>
      <c r="L1155" s="534" t="s">
        <v>223</v>
      </c>
      <c r="M1155" s="534" t="s">
        <v>259</v>
      </c>
      <c r="N1155" s="525" t="str">
        <f>IF(AND('331-CT'!$E$7=TH!H1155,OR(L1155="331",M1155="331")),"331",IF(AND(OR(L1155="131",M1155="131"),H1155='131-CT'!$E$7),"131",""))</f>
        <v/>
      </c>
      <c r="O1155" s="525" t="str">
        <f>IF(AND($B1155&gt;='111'!$N$11,$B1155&lt;='111'!$O$11,OR($L1155=$O$7,$M1155=$O$7)),"x","")</f>
        <v/>
      </c>
      <c r="P1155" s="525" t="str">
        <f>IF(AND($L1155=$O$7,$B1155&lt;'111'!$N$11),"x","")</f>
        <v/>
      </c>
      <c r="Q1155" s="525" t="str">
        <f>IF(AND($M1155=$O$7,$B1155&lt;'111'!$N$11),"x","")</f>
        <v/>
      </c>
      <c r="R1155" s="525" t="str">
        <f>IF(ISERROR(FIND('112'!$M$9,G1155,1)),"",IF((AND(FIND('112'!$M$9,G1155,1)&gt;=1,$B1155&gt;='112'!$N$8,$B1155&lt;='112'!$O$8,OR($L1155='112'!$I$6,$M1155='112'!$I$6))),"x",""))</f>
        <v/>
      </c>
      <c r="S1155" s="525" t="str">
        <f>IF(ISERROR(FIND('112'!$M$9,G1155,1)),"",IF((AND(LEFT(G1155,2)=LEFT('112'!$M$9,2),B1155&lt;'112'!$N$8,$L1155='112'!$I$6)),"x",""))</f>
        <v/>
      </c>
      <c r="T1155" s="525" t="str">
        <f>IF(ISERROR(FIND('112'!$M$9,G1155,1)),"",IF((AND(RIGHT(G1155,2)=RIGHT('112'!$M$9,2),B1155&lt;'112'!$N$8,$M1155='112'!$I$6)),"x",""))</f>
        <v/>
      </c>
      <c r="U1155" s="525" t="str">
        <f>IF(AND(B1155&gt;='IN-NX'!$P$3,B1155&lt;='IN-NX'!$Q$3,'IN-NX'!$D$7=D1155,OR(LEFT(L1155,2)="15",AND(LEFT(M1155,2)&lt;&gt;"15",LEFT(M1155,2)&lt;&gt;"33"))),"x","")</f>
        <v/>
      </c>
      <c r="V1155" s="525" t="str">
        <f>IF(AND(OR(LEFT(TH!L1155,2)="15",LEFT(TH!M1155,2)="15"),'152-CT'!$J$8=TH!F1155),"x","")</f>
        <v/>
      </c>
      <c r="W1155" s="525" t="str">
        <f>IF(AND(OR(LEFT(TH!L1155,2)="15",LEFT(TH!M1155,2)="15"),TK!$E$7=TH!F1155),"x","")</f>
        <v/>
      </c>
      <c r="X1155" s="525" t="str">
        <f>IF(AND('341-CT'!$E$9=H1155,OR(LEFT(L1155,3)=$X$7,LEFT(M1155,3)=$X$7)),"x","")</f>
        <v/>
      </c>
      <c r="Y1155" s="525" t="str">
        <f>IF(OR(TH!L1155=TH!$Y$7,M1155=TH!$Y$7),"x","")</f>
        <v/>
      </c>
      <c r="Z1155" s="525" t="str">
        <f>IF(AND(B1155&lt;=NKC!$N$8,B1155&gt;=NKC!$M$8),"x","")</f>
        <v>x</v>
      </c>
      <c r="AA1155" s="535"/>
      <c r="AB1155" s="536"/>
    </row>
    <row r="1156" spans="1:28" s="503" customFormat="1" ht="15.75" customHeight="1">
      <c r="A1156" s="517" t="str">
        <f>IF(B1156&lt;&gt;"",IF(AND(B1156&gt;=_TM1,B1156&lt;=_TM2,OR(TH!L1156="1111",TH!M1156="1111")),TH!D1156,""),"")</f>
        <v/>
      </c>
      <c r="B1156" s="531">
        <f t="shared" si="119"/>
        <v>3</v>
      </c>
      <c r="C1156" s="315">
        <f t="shared" si="120"/>
        <v>42811</v>
      </c>
      <c r="D1156" s="315" t="s">
        <v>940</v>
      </c>
      <c r="E1156" s="315">
        <v>42811</v>
      </c>
      <c r="F1156" s="249" t="s">
        <v>503</v>
      </c>
      <c r="G1156" s="314" t="s">
        <v>772</v>
      </c>
      <c r="H1156" s="473" t="s">
        <v>375</v>
      </c>
      <c r="I1156" s="307">
        <v>2050</v>
      </c>
      <c r="J1156" s="307">
        <v>8500</v>
      </c>
      <c r="K1156" s="532">
        <f>ROUND(I1156*J1156,0)</f>
        <v>17425000</v>
      </c>
      <c r="L1156" s="534" t="s">
        <v>223</v>
      </c>
      <c r="M1156" s="534" t="s">
        <v>162</v>
      </c>
      <c r="N1156" s="525" t="str">
        <f>IF(AND('331-CT'!$E$7=TH!H1156,OR(L1156="331",M1156="331")),"331",IF(AND(OR(L1156="131",M1156="131"),H1156='131-CT'!$E$7),"131",""))</f>
        <v/>
      </c>
      <c r="O1156" s="525" t="str">
        <f>IF(AND($B1156&gt;='111'!$N$11,$B1156&lt;='111'!$O$11,OR($L1156=$O$7,$M1156=$O$7)),"x","")</f>
        <v/>
      </c>
      <c r="P1156" s="525" t="str">
        <f>IF(AND($L1156=$O$7,$B1156&lt;'111'!$N$11),"x","")</f>
        <v/>
      </c>
      <c r="Q1156" s="525" t="str">
        <f>IF(AND($M1156=$O$7,$B1156&lt;'111'!$N$11),"x","")</f>
        <v/>
      </c>
      <c r="R1156" s="525" t="str">
        <f>IF(ISERROR(FIND('112'!$M$9,G1156,1)),"",IF((AND(FIND('112'!$M$9,G1156,1)&gt;=1,$B1156&gt;='112'!$N$8,$B1156&lt;='112'!$O$8,OR($L1156='112'!$I$6,$M1156='112'!$I$6))),"x",""))</f>
        <v/>
      </c>
      <c r="S1156" s="525" t="str">
        <f>IF(ISERROR(FIND('112'!$M$9,G1156,1)),"",IF((AND(LEFT(G1156,2)=LEFT('112'!$M$9,2),B1156&lt;'112'!$N$8,$L1156='112'!$I$6)),"x",""))</f>
        <v/>
      </c>
      <c r="T1156" s="525" t="str">
        <f>IF(ISERROR(FIND('112'!$M$9,G1156,1)),"",IF((AND(RIGHT(G1156,2)=RIGHT('112'!$M$9,2),B1156&lt;'112'!$N$8,$M1156='112'!$I$6)),"x",""))</f>
        <v/>
      </c>
      <c r="U1156" s="525" t="str">
        <f>IF(AND(B1156&gt;='IN-NX'!$P$3,B1156&lt;='IN-NX'!$Q$3,'IN-NX'!$D$7=D1156,OR(LEFT(L1156,2)="15",AND(LEFT(M1156,2)&lt;&gt;"15",LEFT(M1156,2)&lt;&gt;"33"))),"x","")</f>
        <v/>
      </c>
      <c r="V1156" s="525" t="str">
        <f>IF(AND(OR(LEFT(TH!L1156,2)="15",LEFT(TH!M1156,2)="15"),'152-CT'!$J$8=TH!F1156),"x","")</f>
        <v/>
      </c>
      <c r="W1156" s="525" t="str">
        <f>IF(AND(OR(LEFT(TH!L1156,2)="15",LEFT(TH!M1156,2)="15"),TK!$E$7=TH!F1156),"x","")</f>
        <v/>
      </c>
      <c r="X1156" s="525" t="str">
        <f>IF(AND('341-CT'!$E$9=H1156,OR(LEFT(L1156,3)=$X$7,LEFT(M1156,3)=$X$7)),"x","")</f>
        <v/>
      </c>
      <c r="Y1156" s="525" t="str">
        <f>IF(OR(TH!L1156=TH!$Y$7,M1156=TH!$Y$7),"x","")</f>
        <v/>
      </c>
      <c r="Z1156" s="525" t="str">
        <f>IF(AND(B1156&lt;=NKC!$N$8,B1156&gt;=NKC!$M$8),"x","")</f>
        <v>x</v>
      </c>
      <c r="AA1156" s="535"/>
    </row>
    <row r="1157" spans="1:28" s="503" customFormat="1" ht="15.75" customHeight="1">
      <c r="A1157" s="517" t="str">
        <f>IF(B1157&lt;&gt;"",IF(AND(B1157&gt;=_TM1,B1157&lt;=_TM2,OR(TH!L1157="1111",TH!M1157="1111")),TH!D1157,""),"")</f>
        <v/>
      </c>
      <c r="B1157" s="531">
        <f t="shared" si="119"/>
        <v>3</v>
      </c>
      <c r="C1157" s="315">
        <f t="shared" si="120"/>
        <v>42811</v>
      </c>
      <c r="D1157" s="315" t="s">
        <v>940</v>
      </c>
      <c r="E1157" s="315">
        <v>42811</v>
      </c>
      <c r="F1157" s="249" t="s">
        <v>770</v>
      </c>
      <c r="G1157" s="314" t="s">
        <v>772</v>
      </c>
      <c r="H1157" s="473" t="s">
        <v>375</v>
      </c>
      <c r="I1157" s="307"/>
      <c r="J1157" s="307"/>
      <c r="K1157" s="532">
        <v>1742500</v>
      </c>
      <c r="L1157" s="534" t="s">
        <v>223</v>
      </c>
      <c r="M1157" s="534" t="s">
        <v>259</v>
      </c>
      <c r="N1157" s="525" t="str">
        <f>IF(AND('331-CT'!$E$7=TH!H1157,OR(L1157="331",M1157="331")),"331",IF(AND(OR(L1157="131",M1157="131"),H1157='131-CT'!$E$7),"131",""))</f>
        <v/>
      </c>
      <c r="O1157" s="525" t="str">
        <f>IF(AND($B1157&gt;='111'!$N$11,$B1157&lt;='111'!$O$11,OR($L1157=$O$7,$M1157=$O$7)),"x","")</f>
        <v/>
      </c>
      <c r="P1157" s="525" t="str">
        <f>IF(AND($L1157=$O$7,$B1157&lt;'111'!$N$11),"x","")</f>
        <v/>
      </c>
      <c r="Q1157" s="525" t="str">
        <f>IF(AND($M1157=$O$7,$B1157&lt;'111'!$N$11),"x","")</f>
        <v/>
      </c>
      <c r="R1157" s="525" t="str">
        <f>IF(ISERROR(FIND('112'!$M$9,G1157,1)),"",IF((AND(FIND('112'!$M$9,G1157,1)&gt;=1,$B1157&gt;='112'!$N$8,$B1157&lt;='112'!$O$8,OR($L1157='112'!$I$6,$M1157='112'!$I$6))),"x",""))</f>
        <v/>
      </c>
      <c r="S1157" s="525" t="str">
        <f>IF(ISERROR(FIND('112'!$M$9,G1157,1)),"",IF((AND(LEFT(G1157,2)=LEFT('112'!$M$9,2),B1157&lt;'112'!$N$8,$L1157='112'!$I$6)),"x",""))</f>
        <v/>
      </c>
      <c r="T1157" s="525" t="str">
        <f>IF(ISERROR(FIND('112'!$M$9,G1157,1)),"",IF((AND(RIGHT(G1157,2)=RIGHT('112'!$M$9,2),B1157&lt;'112'!$N$8,$M1157='112'!$I$6)),"x",""))</f>
        <v/>
      </c>
      <c r="U1157" s="525" t="str">
        <f>IF(AND(B1157&gt;='IN-NX'!$P$3,B1157&lt;='IN-NX'!$Q$3,'IN-NX'!$D$7=D1157,OR(LEFT(L1157,2)="15",AND(LEFT(M1157,2)&lt;&gt;"15",LEFT(M1157,2)&lt;&gt;"33"))),"x","")</f>
        <v/>
      </c>
      <c r="V1157" s="525" t="str">
        <f>IF(AND(OR(LEFT(TH!L1157,2)="15",LEFT(TH!M1157,2)="15"),'152-CT'!$J$8=TH!F1157),"x","")</f>
        <v/>
      </c>
      <c r="W1157" s="525" t="str">
        <f>IF(AND(OR(LEFT(TH!L1157,2)="15",LEFT(TH!M1157,2)="15"),TK!$E$7=TH!F1157),"x","")</f>
        <v/>
      </c>
      <c r="X1157" s="525" t="str">
        <f>IF(AND('341-CT'!$E$9=H1157,OR(LEFT(L1157,3)=$X$7,LEFT(M1157,3)=$X$7)),"x","")</f>
        <v/>
      </c>
      <c r="Y1157" s="525" t="str">
        <f>IF(OR(TH!L1157=TH!$Y$7,M1157=TH!$Y$7),"x","")</f>
        <v/>
      </c>
      <c r="Z1157" s="525" t="str">
        <f>IF(AND(B1157&lt;=NKC!$N$8,B1157&gt;=NKC!$M$8),"x","")</f>
        <v>x</v>
      </c>
      <c r="AA1157" s="535"/>
    </row>
    <row r="1158" spans="1:28" s="503" customFormat="1" ht="15.75" customHeight="1">
      <c r="A1158" s="517">
        <f>IF(B1158&lt;&gt;"",IF(AND(B1158&gt;=_TM1,B1158&lt;=_TM2,OR(TH!L1158="1111",TH!M1158="1111")),TH!D1158,""),"")</f>
        <v>0</v>
      </c>
      <c r="B1158" s="531">
        <f t="shared" si="119"/>
        <v>3</v>
      </c>
      <c r="C1158" s="315">
        <f t="shared" si="120"/>
        <v>42812</v>
      </c>
      <c r="D1158" s="537"/>
      <c r="E1158" s="315">
        <v>42812</v>
      </c>
      <c r="F1158" s="249" t="s">
        <v>1099</v>
      </c>
      <c r="G1158" s="314" t="s">
        <v>551</v>
      </c>
      <c r="H1158" s="473" t="s">
        <v>594</v>
      </c>
      <c r="I1158" s="307"/>
      <c r="J1158" s="307"/>
      <c r="K1158" s="532">
        <v>1800000</v>
      </c>
      <c r="L1158" s="534" t="s">
        <v>45</v>
      </c>
      <c r="M1158" s="534" t="s">
        <v>275</v>
      </c>
      <c r="N1158" s="525" t="str">
        <f>IF(AND('331-CT'!$E$7=TH!H1158,OR(L1158="331",M1158="331")),"331",IF(AND(OR(L1158="131",M1158="131"),H1158='131-CT'!$E$7),"131",""))</f>
        <v/>
      </c>
      <c r="O1158" s="525" t="str">
        <f>IF(AND($B1158&gt;='111'!$N$11,$B1158&lt;='111'!$O$11,OR($L1158=$O$7,$M1158=$O$7)),"x","")</f>
        <v/>
      </c>
      <c r="P1158" s="525" t="str">
        <f>IF(AND($L1158=$O$7,$B1158&lt;'111'!$N$11),"x","")</f>
        <v>x</v>
      </c>
      <c r="Q1158" s="525" t="str">
        <f>IF(AND($M1158=$O$7,$B1158&lt;'111'!$N$11),"x","")</f>
        <v/>
      </c>
      <c r="R1158" s="525" t="str">
        <f>IF(ISERROR(FIND('112'!$M$9,G1158,1)),"",IF((AND(FIND('112'!$M$9,G1158,1)&gt;=1,$B1158&gt;='112'!$N$8,$B1158&lt;='112'!$O$8,OR($L1158='112'!$I$6,$M1158='112'!$I$6))),"x",""))</f>
        <v/>
      </c>
      <c r="S1158" s="525" t="str">
        <f>IF(ISERROR(FIND('112'!$M$9,G1158,1)),"",IF((AND(LEFT(G1158,2)=LEFT('112'!$M$9,2),B1158&lt;'112'!$N$8,$L1158='112'!$I$6)),"x",""))</f>
        <v/>
      </c>
      <c r="T1158" s="525" t="str">
        <f>IF(ISERROR(FIND('112'!$M$9,G1158,1)),"",IF((AND(RIGHT(G1158,2)=RIGHT('112'!$M$9,2),B1158&lt;'112'!$N$8,$M1158='112'!$I$6)),"x",""))</f>
        <v/>
      </c>
      <c r="U1158" s="525" t="str">
        <f>IF(AND(B1158&gt;='IN-NX'!$P$3,B1158&lt;='IN-NX'!$Q$3,'IN-NX'!$D$7=D1158,OR(LEFT(L1158,2)="15",AND(LEFT(M1158,2)&lt;&gt;"15",LEFT(M1158,2)&lt;&gt;"33"))),"x","")</f>
        <v/>
      </c>
      <c r="V1158" s="525" t="str">
        <f>IF(AND(OR(LEFT(TH!L1158,2)="15",LEFT(TH!M1158,2)="15"),'152-CT'!$J$8=TH!F1158),"x","")</f>
        <v/>
      </c>
      <c r="W1158" s="525" t="str">
        <f>IF(AND(OR(LEFT(TH!L1158,2)="15",LEFT(TH!M1158,2)="15"),TK!$E$7=TH!F1158),"x","")</f>
        <v/>
      </c>
      <c r="X1158" s="525" t="str">
        <f>IF(AND('341-CT'!$E$9=H1158,OR(LEFT(L1158,3)=$X$7,LEFT(M1158,3)=$X$7)),"x","")</f>
        <v/>
      </c>
      <c r="Y1158" s="525" t="str">
        <f>IF(OR(TH!L1158=TH!$Y$7,M1158=TH!$Y$7),"x","")</f>
        <v/>
      </c>
      <c r="Z1158" s="525" t="str">
        <f>IF(AND(B1158&lt;=NKC!$N$8,B1158&gt;=NKC!$M$8),"x","")</f>
        <v>x</v>
      </c>
      <c r="AA1158" s="535"/>
      <c r="AB1158" s="536"/>
    </row>
    <row r="1159" spans="1:28" s="503" customFormat="1" ht="15.75" customHeight="1">
      <c r="A1159" s="517">
        <f>IF(B1159&lt;&gt;"",IF(AND(B1159&gt;=_TM1,B1159&lt;=_TM2,OR(TH!L1159="1111",TH!M1159="1111")),TH!D1159,""),"")</f>
        <v>0</v>
      </c>
      <c r="B1159" s="531">
        <f t="shared" si="119"/>
        <v>3</v>
      </c>
      <c r="C1159" s="315">
        <f t="shared" si="120"/>
        <v>42812</v>
      </c>
      <c r="D1159" s="537"/>
      <c r="E1159" s="315">
        <v>42812</v>
      </c>
      <c r="F1159" s="249" t="s">
        <v>1102</v>
      </c>
      <c r="G1159" s="314" t="s">
        <v>551</v>
      </c>
      <c r="H1159" s="473" t="s">
        <v>594</v>
      </c>
      <c r="I1159" s="307"/>
      <c r="J1159" s="307"/>
      <c r="K1159" s="532">
        <v>180000</v>
      </c>
      <c r="L1159" s="534" t="s">
        <v>45</v>
      </c>
      <c r="M1159" s="534" t="s">
        <v>259</v>
      </c>
      <c r="N1159" s="525" t="str">
        <f>IF(AND('331-CT'!$E$7=TH!H1159,OR(L1159="331",M1159="331")),"331",IF(AND(OR(L1159="131",M1159="131"),H1159='131-CT'!$E$7),"131",""))</f>
        <v/>
      </c>
      <c r="O1159" s="525" t="str">
        <f>IF(AND($B1159&gt;='111'!$N$11,$B1159&lt;='111'!$O$11,OR($L1159=$O$7,$M1159=$O$7)),"x","")</f>
        <v/>
      </c>
      <c r="P1159" s="525" t="str">
        <f>IF(AND($L1159=$O$7,$B1159&lt;'111'!$N$11),"x","")</f>
        <v>x</v>
      </c>
      <c r="Q1159" s="525" t="str">
        <f>IF(AND($M1159=$O$7,$B1159&lt;'111'!$N$11),"x","")</f>
        <v/>
      </c>
      <c r="R1159" s="525" t="str">
        <f>IF(ISERROR(FIND('112'!$M$9,G1159,1)),"",IF((AND(FIND('112'!$M$9,G1159,1)&gt;=1,$B1159&gt;='112'!$N$8,$B1159&lt;='112'!$O$8,OR($L1159='112'!$I$6,$M1159='112'!$I$6))),"x",""))</f>
        <v/>
      </c>
      <c r="S1159" s="525" t="str">
        <f>IF(ISERROR(FIND('112'!$M$9,G1159,1)),"",IF((AND(LEFT(G1159,2)=LEFT('112'!$M$9,2),B1159&lt;'112'!$N$8,$L1159='112'!$I$6)),"x",""))</f>
        <v/>
      </c>
      <c r="T1159" s="525" t="str">
        <f>IF(ISERROR(FIND('112'!$M$9,G1159,1)),"",IF((AND(RIGHT(G1159,2)=RIGHT('112'!$M$9,2),B1159&lt;'112'!$N$8,$M1159='112'!$I$6)),"x",""))</f>
        <v/>
      </c>
      <c r="U1159" s="525" t="str">
        <f>IF(AND(B1159&gt;='IN-NX'!$P$3,B1159&lt;='IN-NX'!$Q$3,'IN-NX'!$D$7=D1159,OR(LEFT(L1159,2)="15",AND(LEFT(M1159,2)&lt;&gt;"15",LEFT(M1159,2)&lt;&gt;"33"))),"x","")</f>
        <v/>
      </c>
      <c r="V1159" s="525" t="str">
        <f>IF(AND(OR(LEFT(TH!L1159,2)="15",LEFT(TH!M1159,2)="15"),'152-CT'!$J$8=TH!F1159),"x","")</f>
        <v/>
      </c>
      <c r="W1159" s="525" t="str">
        <f>IF(AND(OR(LEFT(TH!L1159,2)="15",LEFT(TH!M1159,2)="15"),TK!$E$7=TH!F1159),"x","")</f>
        <v/>
      </c>
      <c r="X1159" s="525" t="str">
        <f>IF(AND('341-CT'!$E$9=H1159,OR(LEFT(L1159,3)=$X$7,LEFT(M1159,3)=$X$7)),"x","")</f>
        <v/>
      </c>
      <c r="Y1159" s="525" t="str">
        <f>IF(OR(TH!L1159=TH!$Y$7,M1159=TH!$Y$7),"x","")</f>
        <v/>
      </c>
      <c r="Z1159" s="525" t="str">
        <f>IF(AND(B1159&lt;=NKC!$N$8,B1159&gt;=NKC!$M$8),"x","")</f>
        <v>x</v>
      </c>
      <c r="AA1159" s="535"/>
      <c r="AB1159" s="536"/>
    </row>
    <row r="1160" spans="1:28" s="503" customFormat="1" ht="15.75" customHeight="1">
      <c r="A1160" s="517" t="str">
        <f>IF(B1160&lt;&gt;"",IF(AND(B1160&gt;=_TM1,B1160&lt;=_TM2,OR(TH!L1160="1111",TH!M1160="1111")),TH!D1160,""),"")</f>
        <v/>
      </c>
      <c r="B1160" s="531">
        <f t="shared" si="119"/>
        <v>3</v>
      </c>
      <c r="C1160" s="315">
        <f t="shared" si="120"/>
        <v>42814</v>
      </c>
      <c r="D1160" s="315" t="s">
        <v>941</v>
      </c>
      <c r="E1160" s="315">
        <v>42814</v>
      </c>
      <c r="F1160" s="249" t="s">
        <v>504</v>
      </c>
      <c r="G1160" s="314" t="s">
        <v>552</v>
      </c>
      <c r="H1160" s="473" t="s">
        <v>283</v>
      </c>
      <c r="I1160" s="307">
        <v>1700</v>
      </c>
      <c r="J1160" s="307">
        <v>35000</v>
      </c>
      <c r="K1160" s="532">
        <f>ROUND(I1160*J1160,0)</f>
        <v>59500000</v>
      </c>
      <c r="L1160" s="534" t="s">
        <v>223</v>
      </c>
      <c r="M1160" s="534" t="s">
        <v>162</v>
      </c>
      <c r="N1160" s="525" t="str">
        <f>IF(AND('331-CT'!$E$7=TH!H1160,OR(L1160="331",M1160="331")),"331",IF(AND(OR(L1160="131",M1160="131"),H1160='131-CT'!$E$7),"131",""))</f>
        <v/>
      </c>
      <c r="O1160" s="525" t="str">
        <f>IF(AND($B1160&gt;='111'!$N$11,$B1160&lt;='111'!$O$11,OR($L1160=$O$7,$M1160=$O$7)),"x","")</f>
        <v/>
      </c>
      <c r="P1160" s="525" t="str">
        <f>IF(AND($L1160=$O$7,$B1160&lt;'111'!$N$11),"x","")</f>
        <v/>
      </c>
      <c r="Q1160" s="525" t="str">
        <f>IF(AND($M1160=$O$7,$B1160&lt;'111'!$N$11),"x","")</f>
        <v/>
      </c>
      <c r="R1160" s="525" t="str">
        <f>IF(ISERROR(FIND('112'!$M$9,G1160,1)),"",IF((AND(FIND('112'!$M$9,G1160,1)&gt;=1,$B1160&gt;='112'!$N$8,$B1160&lt;='112'!$O$8,OR($L1160='112'!$I$6,$M1160='112'!$I$6))),"x",""))</f>
        <v/>
      </c>
      <c r="S1160" s="525" t="str">
        <f>IF(ISERROR(FIND('112'!$M$9,G1160,1)),"",IF((AND(LEFT(G1160,2)=LEFT('112'!$M$9,2),B1160&lt;'112'!$N$8,$L1160='112'!$I$6)),"x",""))</f>
        <v/>
      </c>
      <c r="T1160" s="525" t="str">
        <f>IF(ISERROR(FIND('112'!$M$9,G1160,1)),"",IF((AND(RIGHT(G1160,2)=RIGHT('112'!$M$9,2),B1160&lt;'112'!$N$8,$M1160='112'!$I$6)),"x",""))</f>
        <v/>
      </c>
      <c r="U1160" s="525" t="str">
        <f>IF(AND(B1160&gt;='IN-NX'!$P$3,B1160&lt;='IN-NX'!$Q$3,'IN-NX'!$D$7=D1160,OR(LEFT(L1160,2)="15",AND(LEFT(M1160,2)&lt;&gt;"15",LEFT(M1160,2)&lt;&gt;"33"))),"x","")</f>
        <v/>
      </c>
      <c r="V1160" s="525" t="str">
        <f>IF(AND(OR(LEFT(TH!L1160,2)="15",LEFT(TH!M1160,2)="15"),'152-CT'!$J$8=TH!F1160),"x","")</f>
        <v/>
      </c>
      <c r="W1160" s="525" t="str">
        <f>IF(AND(OR(LEFT(TH!L1160,2)="15",LEFT(TH!M1160,2)="15"),TK!$E$7=TH!F1160),"x","")</f>
        <v/>
      </c>
      <c r="X1160" s="525" t="str">
        <f>IF(AND('341-CT'!$E$9=H1160,OR(LEFT(L1160,3)=$X$7,LEFT(M1160,3)=$X$7)),"x","")</f>
        <v/>
      </c>
      <c r="Y1160" s="525" t="str">
        <f>IF(OR(TH!L1160=TH!$Y$7,M1160=TH!$Y$7),"x","")</f>
        <v/>
      </c>
      <c r="Z1160" s="525" t="str">
        <f>IF(AND(B1160&lt;=NKC!$N$8,B1160&gt;=NKC!$M$8),"x","")</f>
        <v>x</v>
      </c>
      <c r="AA1160" s="535"/>
    </row>
    <row r="1161" spans="1:28" s="503" customFormat="1" ht="15.75" customHeight="1">
      <c r="A1161" s="517" t="str">
        <f>IF(B1161&lt;&gt;"",IF(AND(B1161&gt;=_TM1,B1161&lt;=_TM2,OR(TH!L1161="1111",TH!M1161="1111")),TH!D1161,""),"")</f>
        <v/>
      </c>
      <c r="B1161" s="531">
        <f t="shared" si="119"/>
        <v>3</v>
      </c>
      <c r="C1161" s="315">
        <f t="shared" si="120"/>
        <v>42814</v>
      </c>
      <c r="D1161" s="315" t="s">
        <v>941</v>
      </c>
      <c r="E1161" s="315">
        <v>42814</v>
      </c>
      <c r="F1161" s="249" t="s">
        <v>505</v>
      </c>
      <c r="G1161" s="314" t="s">
        <v>552</v>
      </c>
      <c r="H1161" s="473" t="s">
        <v>283</v>
      </c>
      <c r="I1161" s="307">
        <v>1500</v>
      </c>
      <c r="J1161" s="307">
        <v>32500</v>
      </c>
      <c r="K1161" s="532">
        <f>ROUND(I1161*J1161,0)</f>
        <v>48750000</v>
      </c>
      <c r="L1161" s="534" t="s">
        <v>223</v>
      </c>
      <c r="M1161" s="534" t="s">
        <v>162</v>
      </c>
      <c r="N1161" s="525" t="str">
        <f>IF(AND('331-CT'!$E$7=TH!H1161,OR(L1161="331",M1161="331")),"331",IF(AND(OR(L1161="131",M1161="131"),H1161='131-CT'!$E$7),"131",""))</f>
        <v/>
      </c>
      <c r="O1161" s="525" t="str">
        <f>IF(AND($B1161&gt;='111'!$N$11,$B1161&lt;='111'!$O$11,OR($L1161=$O$7,$M1161=$O$7)),"x","")</f>
        <v/>
      </c>
      <c r="P1161" s="525" t="str">
        <f>IF(AND($L1161=$O$7,$B1161&lt;'111'!$N$11),"x","")</f>
        <v/>
      </c>
      <c r="Q1161" s="525" t="str">
        <f>IF(AND($M1161=$O$7,$B1161&lt;'111'!$N$11),"x","")</f>
        <v/>
      </c>
      <c r="R1161" s="525" t="str">
        <f>IF(ISERROR(FIND('112'!$M$9,G1161,1)),"",IF((AND(FIND('112'!$M$9,G1161,1)&gt;=1,$B1161&gt;='112'!$N$8,$B1161&lt;='112'!$O$8,OR($L1161='112'!$I$6,$M1161='112'!$I$6))),"x",""))</f>
        <v/>
      </c>
      <c r="S1161" s="525" t="str">
        <f>IF(ISERROR(FIND('112'!$M$9,G1161,1)),"",IF((AND(LEFT(G1161,2)=LEFT('112'!$M$9,2),B1161&lt;'112'!$N$8,$L1161='112'!$I$6)),"x",""))</f>
        <v/>
      </c>
      <c r="T1161" s="525" t="str">
        <f>IF(ISERROR(FIND('112'!$M$9,G1161,1)),"",IF((AND(RIGHT(G1161,2)=RIGHT('112'!$M$9,2),B1161&lt;'112'!$N$8,$M1161='112'!$I$6)),"x",""))</f>
        <v/>
      </c>
      <c r="U1161" s="525" t="str">
        <f>IF(AND(B1161&gt;='IN-NX'!$P$3,B1161&lt;='IN-NX'!$Q$3,'IN-NX'!$D$7=D1161,OR(LEFT(L1161,2)="15",AND(LEFT(M1161,2)&lt;&gt;"15",LEFT(M1161,2)&lt;&gt;"33"))),"x","")</f>
        <v/>
      </c>
      <c r="V1161" s="525" t="str">
        <f>IF(AND(OR(LEFT(TH!L1161,2)="15",LEFT(TH!M1161,2)="15"),'152-CT'!$J$8=TH!F1161),"x","")</f>
        <v/>
      </c>
      <c r="W1161" s="525" t="str">
        <f>IF(AND(OR(LEFT(TH!L1161,2)="15",LEFT(TH!M1161,2)="15"),TK!$E$7=TH!F1161),"x","")</f>
        <v/>
      </c>
      <c r="X1161" s="525" t="str">
        <f>IF(AND('341-CT'!$E$9=H1161,OR(LEFT(L1161,3)=$X$7,LEFT(M1161,3)=$X$7)),"x","")</f>
        <v/>
      </c>
      <c r="Y1161" s="525" t="str">
        <f>IF(OR(TH!L1161=TH!$Y$7,M1161=TH!$Y$7),"x","")</f>
        <v/>
      </c>
      <c r="Z1161" s="525" t="str">
        <f>IF(AND(B1161&lt;=NKC!$N$8,B1161&gt;=NKC!$M$8),"x","")</f>
        <v>x</v>
      </c>
      <c r="AA1161" s="535"/>
    </row>
    <row r="1162" spans="1:28" s="503" customFormat="1" ht="15.75" customHeight="1">
      <c r="A1162" s="517" t="str">
        <f>IF(B1162&lt;&gt;"",IF(AND(B1162&gt;=_TM1,B1162&lt;=_TM2,OR(TH!L1162="1111",TH!M1162="1111")),TH!D1162,""),"")</f>
        <v/>
      </c>
      <c r="B1162" s="531">
        <f t="shared" si="119"/>
        <v>3</v>
      </c>
      <c r="C1162" s="315">
        <f t="shared" si="120"/>
        <v>42814</v>
      </c>
      <c r="D1162" s="315" t="s">
        <v>941</v>
      </c>
      <c r="E1162" s="315">
        <v>42814</v>
      </c>
      <c r="F1162" s="249" t="s">
        <v>274</v>
      </c>
      <c r="G1162" s="314" t="s">
        <v>552</v>
      </c>
      <c r="H1162" s="473" t="s">
        <v>283</v>
      </c>
      <c r="I1162" s="307">
        <v>4600</v>
      </c>
      <c r="J1162" s="307">
        <v>18500</v>
      </c>
      <c r="K1162" s="532">
        <f>ROUND(I1162*J1162,0)</f>
        <v>85100000</v>
      </c>
      <c r="L1162" s="534" t="s">
        <v>223</v>
      </c>
      <c r="M1162" s="534" t="s">
        <v>162</v>
      </c>
      <c r="N1162" s="525" t="str">
        <f>IF(AND('331-CT'!$E$7=TH!H1162,OR(L1162="331",M1162="331")),"331",IF(AND(OR(L1162="131",M1162="131"),H1162='131-CT'!$E$7),"131",""))</f>
        <v/>
      </c>
      <c r="O1162" s="525" t="str">
        <f>IF(AND($B1162&gt;='111'!$N$11,$B1162&lt;='111'!$O$11,OR($L1162=$O$7,$M1162=$O$7)),"x","")</f>
        <v/>
      </c>
      <c r="P1162" s="525" t="str">
        <f>IF(AND($L1162=$O$7,$B1162&lt;'111'!$N$11),"x","")</f>
        <v/>
      </c>
      <c r="Q1162" s="525" t="str">
        <f>IF(AND($M1162=$O$7,$B1162&lt;'111'!$N$11),"x","")</f>
        <v/>
      </c>
      <c r="R1162" s="525" t="str">
        <f>IF(ISERROR(FIND('112'!$M$9,G1162,1)),"",IF((AND(FIND('112'!$M$9,G1162,1)&gt;=1,$B1162&gt;='112'!$N$8,$B1162&lt;='112'!$O$8,OR($L1162='112'!$I$6,$M1162='112'!$I$6))),"x",""))</f>
        <v/>
      </c>
      <c r="S1162" s="525" t="str">
        <f>IF(ISERROR(FIND('112'!$M$9,G1162,1)),"",IF((AND(LEFT(G1162,2)=LEFT('112'!$M$9,2),B1162&lt;'112'!$N$8,$L1162='112'!$I$6)),"x",""))</f>
        <v/>
      </c>
      <c r="T1162" s="525" t="str">
        <f>IF(ISERROR(FIND('112'!$M$9,G1162,1)),"",IF((AND(RIGHT(G1162,2)=RIGHT('112'!$M$9,2),B1162&lt;'112'!$N$8,$M1162='112'!$I$6)),"x",""))</f>
        <v/>
      </c>
      <c r="U1162" s="525" t="str">
        <f>IF(AND(B1162&gt;='IN-NX'!$P$3,B1162&lt;='IN-NX'!$Q$3,'IN-NX'!$D$7=D1162,OR(LEFT(L1162,2)="15",AND(LEFT(M1162,2)&lt;&gt;"15",LEFT(M1162,2)&lt;&gt;"33"))),"x","")</f>
        <v/>
      </c>
      <c r="V1162" s="525" t="str">
        <f>IF(AND(OR(LEFT(TH!L1162,2)="15",LEFT(TH!M1162,2)="15"),'152-CT'!$J$8=TH!F1162),"x","")</f>
        <v/>
      </c>
      <c r="W1162" s="525" t="str">
        <f>IF(AND(OR(LEFT(TH!L1162,2)="15",LEFT(TH!M1162,2)="15"),TK!$E$7=TH!F1162),"x","")</f>
        <v/>
      </c>
      <c r="X1162" s="525" t="str">
        <f>IF(AND('341-CT'!$E$9=H1162,OR(LEFT(L1162,3)=$X$7,LEFT(M1162,3)=$X$7)),"x","")</f>
        <v/>
      </c>
      <c r="Y1162" s="525" t="str">
        <f>IF(OR(TH!L1162=TH!$Y$7,M1162=TH!$Y$7),"x","")</f>
        <v/>
      </c>
      <c r="Z1162" s="525" t="str">
        <f>IF(AND(B1162&lt;=NKC!$N$8,B1162&gt;=NKC!$M$8),"x","")</f>
        <v>x</v>
      </c>
      <c r="AA1162" s="535"/>
    </row>
    <row r="1163" spans="1:28" s="503" customFormat="1" ht="15.75" customHeight="1">
      <c r="A1163" s="517" t="str">
        <f>IF(B1163&lt;&gt;"",IF(AND(B1163&gt;=_TM1,B1163&lt;=_TM2,OR(TH!L1163="1111",TH!M1163="1111")),TH!D1163,""),"")</f>
        <v/>
      </c>
      <c r="B1163" s="531">
        <f t="shared" si="119"/>
        <v>3</v>
      </c>
      <c r="C1163" s="315">
        <f t="shared" si="120"/>
        <v>42814</v>
      </c>
      <c r="D1163" s="315" t="s">
        <v>941</v>
      </c>
      <c r="E1163" s="315">
        <v>42814</v>
      </c>
      <c r="F1163" s="249" t="s">
        <v>503</v>
      </c>
      <c r="G1163" s="314" t="s">
        <v>552</v>
      </c>
      <c r="H1163" s="473" t="s">
        <v>283</v>
      </c>
      <c r="I1163" s="307">
        <v>4500</v>
      </c>
      <c r="J1163" s="307">
        <v>18500</v>
      </c>
      <c r="K1163" s="532">
        <f>ROUND(I1163*J1163,0)</f>
        <v>83250000</v>
      </c>
      <c r="L1163" s="534" t="s">
        <v>223</v>
      </c>
      <c r="M1163" s="534" t="s">
        <v>162</v>
      </c>
      <c r="N1163" s="525" t="str">
        <f>IF(AND('331-CT'!$E$7=TH!H1163,OR(L1163="331",M1163="331")),"331",IF(AND(OR(L1163="131",M1163="131"),H1163='131-CT'!$E$7),"131",""))</f>
        <v/>
      </c>
      <c r="O1163" s="525" t="str">
        <f>IF(AND($B1163&gt;='111'!$N$11,$B1163&lt;='111'!$O$11,OR($L1163=$O$7,$M1163=$O$7)),"x","")</f>
        <v/>
      </c>
      <c r="P1163" s="525" t="str">
        <f>IF(AND($L1163=$O$7,$B1163&lt;'111'!$N$11),"x","")</f>
        <v/>
      </c>
      <c r="Q1163" s="525" t="str">
        <f>IF(AND($M1163=$O$7,$B1163&lt;'111'!$N$11),"x","")</f>
        <v/>
      </c>
      <c r="R1163" s="525" t="str">
        <f>IF(ISERROR(FIND('112'!$M$9,G1163,1)),"",IF((AND(FIND('112'!$M$9,G1163,1)&gt;=1,$B1163&gt;='112'!$N$8,$B1163&lt;='112'!$O$8,OR($L1163='112'!$I$6,$M1163='112'!$I$6))),"x",""))</f>
        <v/>
      </c>
      <c r="S1163" s="525" t="str">
        <f>IF(ISERROR(FIND('112'!$M$9,G1163,1)),"",IF((AND(LEFT(G1163,2)=LEFT('112'!$M$9,2),B1163&lt;'112'!$N$8,$L1163='112'!$I$6)),"x",""))</f>
        <v/>
      </c>
      <c r="T1163" s="525" t="str">
        <f>IF(ISERROR(FIND('112'!$M$9,G1163,1)),"",IF((AND(RIGHT(G1163,2)=RIGHT('112'!$M$9,2),B1163&lt;'112'!$N$8,$M1163='112'!$I$6)),"x",""))</f>
        <v/>
      </c>
      <c r="U1163" s="525" t="str">
        <f>IF(AND(B1163&gt;='IN-NX'!$P$3,B1163&lt;='IN-NX'!$Q$3,'IN-NX'!$D$7=D1163,OR(LEFT(L1163,2)="15",AND(LEFT(M1163,2)&lt;&gt;"15",LEFT(M1163,2)&lt;&gt;"33"))),"x","")</f>
        <v/>
      </c>
      <c r="V1163" s="525" t="str">
        <f>IF(AND(OR(LEFT(TH!L1163,2)="15",LEFT(TH!M1163,2)="15"),'152-CT'!$J$8=TH!F1163),"x","")</f>
        <v/>
      </c>
      <c r="W1163" s="525" t="str">
        <f>IF(AND(OR(LEFT(TH!L1163,2)="15",LEFT(TH!M1163,2)="15"),TK!$E$7=TH!F1163),"x","")</f>
        <v/>
      </c>
      <c r="X1163" s="525" t="str">
        <f>IF(AND('341-CT'!$E$9=H1163,OR(LEFT(L1163,3)=$X$7,LEFT(M1163,3)=$X$7)),"x","")</f>
        <v/>
      </c>
      <c r="Y1163" s="525" t="str">
        <f>IF(OR(TH!L1163=TH!$Y$7,M1163=TH!$Y$7),"x","")</f>
        <v/>
      </c>
      <c r="Z1163" s="525" t="str">
        <f>IF(AND(B1163&lt;=NKC!$N$8,B1163&gt;=NKC!$M$8),"x","")</f>
        <v>x</v>
      </c>
      <c r="AA1163" s="535"/>
    </row>
    <row r="1164" spans="1:28" s="503" customFormat="1" ht="15.75" customHeight="1">
      <c r="A1164" s="517" t="str">
        <f>IF(B1164&lt;&gt;"",IF(AND(B1164&gt;=_TM1,B1164&lt;=_TM2,OR(TH!L1164="1111",TH!M1164="1111")),TH!D1164,""),"")</f>
        <v/>
      </c>
      <c r="B1164" s="531">
        <f t="shared" si="119"/>
        <v>3</v>
      </c>
      <c r="C1164" s="315">
        <f t="shared" si="120"/>
        <v>42814</v>
      </c>
      <c r="D1164" s="315" t="s">
        <v>941</v>
      </c>
      <c r="E1164" s="315">
        <v>42814</v>
      </c>
      <c r="F1164" s="249" t="s">
        <v>494</v>
      </c>
      <c r="G1164" s="314" t="s">
        <v>552</v>
      </c>
      <c r="H1164" s="473" t="s">
        <v>283</v>
      </c>
      <c r="I1164" s="307"/>
      <c r="J1164" s="307"/>
      <c r="K1164" s="532">
        <v>27660000</v>
      </c>
      <c r="L1164" s="534" t="s">
        <v>223</v>
      </c>
      <c r="M1164" s="534" t="s">
        <v>259</v>
      </c>
      <c r="N1164" s="525" t="str">
        <f>IF(AND('331-CT'!$E$7=TH!H1164,OR(L1164="331",M1164="331")),"331",IF(AND(OR(L1164="131",M1164="131"),H1164='131-CT'!$E$7),"131",""))</f>
        <v/>
      </c>
      <c r="O1164" s="525" t="str">
        <f>IF(AND($B1164&gt;='111'!$N$11,$B1164&lt;='111'!$O$11,OR($L1164=$O$7,$M1164=$O$7)),"x","")</f>
        <v/>
      </c>
      <c r="P1164" s="525" t="str">
        <f>IF(AND($L1164=$O$7,$B1164&lt;'111'!$N$11),"x","")</f>
        <v/>
      </c>
      <c r="Q1164" s="525" t="str">
        <f>IF(AND($M1164=$O$7,$B1164&lt;'111'!$N$11),"x","")</f>
        <v/>
      </c>
      <c r="R1164" s="525" t="str">
        <f>IF(ISERROR(FIND('112'!$M$9,G1164,1)),"",IF((AND(FIND('112'!$M$9,G1164,1)&gt;=1,$B1164&gt;='112'!$N$8,$B1164&lt;='112'!$O$8,OR($L1164='112'!$I$6,$M1164='112'!$I$6))),"x",""))</f>
        <v/>
      </c>
      <c r="S1164" s="525" t="str">
        <f>IF(ISERROR(FIND('112'!$M$9,G1164,1)),"",IF((AND(LEFT(G1164,2)=LEFT('112'!$M$9,2),B1164&lt;'112'!$N$8,$L1164='112'!$I$6)),"x",""))</f>
        <v/>
      </c>
      <c r="T1164" s="525" t="str">
        <f>IF(ISERROR(FIND('112'!$M$9,G1164,1)),"",IF((AND(RIGHT(G1164,2)=RIGHT('112'!$M$9,2),B1164&lt;'112'!$N$8,$M1164='112'!$I$6)),"x",""))</f>
        <v/>
      </c>
      <c r="U1164" s="525" t="str">
        <f>IF(AND(B1164&gt;='IN-NX'!$P$3,B1164&lt;='IN-NX'!$Q$3,'IN-NX'!$D$7=D1164,OR(LEFT(L1164,2)="15",AND(LEFT(M1164,2)&lt;&gt;"15",LEFT(M1164,2)&lt;&gt;"33"))),"x","")</f>
        <v/>
      </c>
      <c r="V1164" s="525" t="str">
        <f>IF(AND(OR(LEFT(TH!L1164,2)="15",LEFT(TH!M1164,2)="15"),'152-CT'!$J$8=TH!F1164),"x","")</f>
        <v/>
      </c>
      <c r="W1164" s="525" t="str">
        <f>IF(AND(OR(LEFT(TH!L1164,2)="15",LEFT(TH!M1164,2)="15"),TK!$E$7=TH!F1164),"x","")</f>
        <v/>
      </c>
      <c r="X1164" s="525" t="str">
        <f>IF(AND('341-CT'!$E$9=H1164,OR(LEFT(L1164,3)=$X$7,LEFT(M1164,3)=$X$7)),"x","")</f>
        <v/>
      </c>
      <c r="Y1164" s="525" t="str">
        <f>IF(OR(TH!L1164=TH!$Y$7,M1164=TH!$Y$7),"x","")</f>
        <v/>
      </c>
      <c r="Z1164" s="525" t="str">
        <f>IF(AND(B1164&lt;=NKC!$N$8,B1164&gt;=NKC!$M$8),"x","")</f>
        <v>x</v>
      </c>
      <c r="AA1164" s="535"/>
      <c r="AB1164" s="536"/>
    </row>
    <row r="1165" spans="1:28" s="503" customFormat="1" ht="15.75" customHeight="1">
      <c r="A1165" s="517" t="str">
        <f>IF(B1165&lt;&gt;"",IF(AND(B1165&gt;=_TM1,B1165&lt;=_TM2,OR(TH!L1165="1111",TH!M1165="1111")),TH!D1165,""),"")</f>
        <v/>
      </c>
      <c r="B1165" s="531">
        <f t="shared" si="119"/>
        <v>3</v>
      </c>
      <c r="C1165" s="315">
        <f t="shared" si="120"/>
        <v>42814</v>
      </c>
      <c r="D1165" s="315" t="s">
        <v>942</v>
      </c>
      <c r="E1165" s="315">
        <v>42814</v>
      </c>
      <c r="F1165" s="249" t="s">
        <v>596</v>
      </c>
      <c r="G1165" s="314" t="s">
        <v>553</v>
      </c>
      <c r="H1165" s="473" t="s">
        <v>595</v>
      </c>
      <c r="I1165" s="307">
        <v>250</v>
      </c>
      <c r="J1165" s="307">
        <v>7800</v>
      </c>
      <c r="K1165" s="532">
        <f>ROUND(I1165*J1165,0)</f>
        <v>1950000</v>
      </c>
      <c r="L1165" s="534" t="s">
        <v>223</v>
      </c>
      <c r="M1165" s="534" t="s">
        <v>162</v>
      </c>
      <c r="N1165" s="525" t="str">
        <f>IF(AND('331-CT'!$E$7=TH!H1165,OR(L1165="331",M1165="331")),"331",IF(AND(OR(L1165="131",M1165="131"),H1165='131-CT'!$E$7),"131",""))</f>
        <v/>
      </c>
      <c r="O1165" s="525" t="str">
        <f>IF(AND($B1165&gt;='111'!$N$11,$B1165&lt;='111'!$O$11,OR($L1165=$O$7,$M1165=$O$7)),"x","")</f>
        <v/>
      </c>
      <c r="P1165" s="525" t="str">
        <f>IF(AND($L1165=$O$7,$B1165&lt;'111'!$N$11),"x","")</f>
        <v/>
      </c>
      <c r="Q1165" s="525" t="str">
        <f>IF(AND($M1165=$O$7,$B1165&lt;'111'!$N$11),"x","")</f>
        <v/>
      </c>
      <c r="R1165" s="525" t="str">
        <f>IF(ISERROR(FIND('112'!$M$9,G1165,1)),"",IF((AND(FIND('112'!$M$9,G1165,1)&gt;=1,$B1165&gt;='112'!$N$8,$B1165&lt;='112'!$O$8,OR($L1165='112'!$I$6,$M1165='112'!$I$6))),"x",""))</f>
        <v/>
      </c>
      <c r="S1165" s="525" t="str">
        <f>IF(ISERROR(FIND('112'!$M$9,G1165,1)),"",IF((AND(LEFT(G1165,2)=LEFT('112'!$M$9,2),B1165&lt;'112'!$N$8,$L1165='112'!$I$6)),"x",""))</f>
        <v/>
      </c>
      <c r="T1165" s="525" t="str">
        <f>IF(ISERROR(FIND('112'!$M$9,G1165,1)),"",IF((AND(RIGHT(G1165,2)=RIGHT('112'!$M$9,2),B1165&lt;'112'!$N$8,$M1165='112'!$I$6)),"x",""))</f>
        <v/>
      </c>
      <c r="U1165" s="525" t="str">
        <f>IF(AND(B1165&gt;='IN-NX'!$P$3,B1165&lt;='IN-NX'!$Q$3,'IN-NX'!$D$7=D1165,OR(LEFT(L1165,2)="15",AND(LEFT(M1165,2)&lt;&gt;"15",LEFT(M1165,2)&lt;&gt;"33"))),"x","")</f>
        <v/>
      </c>
      <c r="V1165" s="525" t="str">
        <f>IF(AND(OR(LEFT(TH!L1165,2)="15",LEFT(TH!M1165,2)="15"),'152-CT'!$J$8=TH!F1165),"x","")</f>
        <v/>
      </c>
      <c r="W1165" s="525" t="str">
        <f>IF(AND(OR(LEFT(TH!L1165,2)="15",LEFT(TH!M1165,2)="15"),TK!$E$7=TH!F1165),"x","")</f>
        <v/>
      </c>
      <c r="X1165" s="525" t="str">
        <f>IF(AND('341-CT'!$E$9=H1165,OR(LEFT(L1165,3)=$X$7,LEFT(M1165,3)=$X$7)),"x","")</f>
        <v/>
      </c>
      <c r="Y1165" s="525" t="str">
        <f>IF(OR(TH!L1165=TH!$Y$7,M1165=TH!$Y$7),"x","")</f>
        <v/>
      </c>
      <c r="Z1165" s="525" t="str">
        <f>IF(AND(B1165&lt;=NKC!$N$8,B1165&gt;=NKC!$M$8),"x","")</f>
        <v>x</v>
      </c>
      <c r="AA1165" s="535"/>
    </row>
    <row r="1166" spans="1:28" s="503" customFormat="1" ht="15.75" customHeight="1">
      <c r="A1166" s="517" t="str">
        <f>IF(B1166&lt;&gt;"",IF(AND(B1166&gt;=_TM1,B1166&lt;=_TM2,OR(TH!L1166="1111",TH!M1166="1111")),TH!D1166,""),"")</f>
        <v/>
      </c>
      <c r="B1166" s="531">
        <f t="shared" si="119"/>
        <v>3</v>
      </c>
      <c r="C1166" s="315">
        <f t="shared" si="120"/>
        <v>42814</v>
      </c>
      <c r="D1166" s="315" t="s">
        <v>942</v>
      </c>
      <c r="E1166" s="315">
        <v>42814</v>
      </c>
      <c r="F1166" s="249" t="s">
        <v>597</v>
      </c>
      <c r="G1166" s="314" t="s">
        <v>553</v>
      </c>
      <c r="H1166" s="473" t="s">
        <v>595</v>
      </c>
      <c r="I1166" s="307">
        <v>50</v>
      </c>
      <c r="J1166" s="307">
        <v>13500</v>
      </c>
      <c r="K1166" s="532">
        <f>ROUND(I1166*J1166,0)</f>
        <v>675000</v>
      </c>
      <c r="L1166" s="534" t="s">
        <v>223</v>
      </c>
      <c r="M1166" s="534" t="s">
        <v>162</v>
      </c>
      <c r="N1166" s="525" t="str">
        <f>IF(AND('331-CT'!$E$7=TH!H1166,OR(L1166="331",M1166="331")),"331",IF(AND(OR(L1166="131",M1166="131"),H1166='131-CT'!$E$7),"131",""))</f>
        <v/>
      </c>
      <c r="O1166" s="525" t="str">
        <f>IF(AND($B1166&gt;='111'!$N$11,$B1166&lt;='111'!$O$11,OR($L1166=$O$7,$M1166=$O$7)),"x","")</f>
        <v/>
      </c>
      <c r="P1166" s="525" t="str">
        <f>IF(AND($L1166=$O$7,$B1166&lt;'111'!$N$11),"x","")</f>
        <v/>
      </c>
      <c r="Q1166" s="525" t="str">
        <f>IF(AND($M1166=$O$7,$B1166&lt;'111'!$N$11),"x","")</f>
        <v/>
      </c>
      <c r="R1166" s="525" t="str">
        <f>IF(ISERROR(FIND('112'!$M$9,G1166,1)),"",IF((AND(FIND('112'!$M$9,G1166,1)&gt;=1,$B1166&gt;='112'!$N$8,$B1166&lt;='112'!$O$8,OR($L1166='112'!$I$6,$M1166='112'!$I$6))),"x",""))</f>
        <v/>
      </c>
      <c r="S1166" s="525" t="str">
        <f>IF(ISERROR(FIND('112'!$M$9,G1166,1)),"",IF((AND(LEFT(G1166,2)=LEFT('112'!$M$9,2),B1166&lt;'112'!$N$8,$L1166='112'!$I$6)),"x",""))</f>
        <v/>
      </c>
      <c r="T1166" s="525" t="str">
        <f>IF(ISERROR(FIND('112'!$M$9,G1166,1)),"",IF((AND(RIGHT(G1166,2)=RIGHT('112'!$M$9,2),B1166&lt;'112'!$N$8,$M1166='112'!$I$6)),"x",""))</f>
        <v/>
      </c>
      <c r="U1166" s="525" t="str">
        <f>IF(AND(B1166&gt;='IN-NX'!$P$3,B1166&lt;='IN-NX'!$Q$3,'IN-NX'!$D$7=D1166,OR(LEFT(L1166,2)="15",AND(LEFT(M1166,2)&lt;&gt;"15",LEFT(M1166,2)&lt;&gt;"33"))),"x","")</f>
        <v/>
      </c>
      <c r="V1166" s="525" t="str">
        <f>IF(AND(OR(LEFT(TH!L1166,2)="15",LEFT(TH!M1166,2)="15"),'152-CT'!$J$8=TH!F1166),"x","")</f>
        <v/>
      </c>
      <c r="W1166" s="525" t="str">
        <f>IF(AND(OR(LEFT(TH!L1166,2)="15",LEFT(TH!M1166,2)="15"),TK!$E$7=TH!F1166),"x","")</f>
        <v/>
      </c>
      <c r="X1166" s="525" t="str">
        <f>IF(AND('341-CT'!$E$9=H1166,OR(LEFT(L1166,3)=$X$7,LEFT(M1166,3)=$X$7)),"x","")</f>
        <v/>
      </c>
      <c r="Y1166" s="525" t="str">
        <f>IF(OR(TH!L1166=TH!$Y$7,M1166=TH!$Y$7),"x","")</f>
        <v/>
      </c>
      <c r="Z1166" s="525" t="str">
        <f>IF(AND(B1166&lt;=NKC!$N$8,B1166&gt;=NKC!$M$8),"x","")</f>
        <v>x</v>
      </c>
      <c r="AA1166" s="535"/>
    </row>
    <row r="1167" spans="1:28" s="503" customFormat="1" ht="15.75" customHeight="1">
      <c r="A1167" s="517" t="str">
        <f>IF(B1167&lt;&gt;"",IF(AND(B1167&gt;=_TM1,B1167&lt;=_TM2,OR(TH!L1167="1111",TH!M1167="1111")),TH!D1167,""),"")</f>
        <v/>
      </c>
      <c r="B1167" s="531">
        <f t="shared" si="119"/>
        <v>3</v>
      </c>
      <c r="C1167" s="315">
        <f t="shared" si="120"/>
        <v>42814</v>
      </c>
      <c r="D1167" s="315" t="s">
        <v>942</v>
      </c>
      <c r="E1167" s="315">
        <v>42814</v>
      </c>
      <c r="F1167" s="249" t="s">
        <v>598</v>
      </c>
      <c r="G1167" s="314" t="s">
        <v>553</v>
      </c>
      <c r="H1167" s="473" t="s">
        <v>595</v>
      </c>
      <c r="I1167" s="307">
        <v>360</v>
      </c>
      <c r="J1167" s="307">
        <v>22000</v>
      </c>
      <c r="K1167" s="532">
        <f>ROUND(I1167*J1167,0)</f>
        <v>7920000</v>
      </c>
      <c r="L1167" s="534" t="s">
        <v>223</v>
      </c>
      <c r="M1167" s="534" t="s">
        <v>162</v>
      </c>
      <c r="N1167" s="525" t="str">
        <f>IF(AND('331-CT'!$E$7=TH!H1167,OR(L1167="331",M1167="331")),"331",IF(AND(OR(L1167="131",M1167="131"),H1167='131-CT'!$E$7),"131",""))</f>
        <v/>
      </c>
      <c r="O1167" s="525" t="str">
        <f>IF(AND($B1167&gt;='111'!$N$11,$B1167&lt;='111'!$O$11,OR($L1167=$O$7,$M1167=$O$7)),"x","")</f>
        <v/>
      </c>
      <c r="P1167" s="525" t="str">
        <f>IF(AND($L1167=$O$7,$B1167&lt;'111'!$N$11),"x","")</f>
        <v/>
      </c>
      <c r="Q1167" s="525" t="str">
        <f>IF(AND($M1167=$O$7,$B1167&lt;'111'!$N$11),"x","")</f>
        <v/>
      </c>
      <c r="R1167" s="525" t="str">
        <f>IF(ISERROR(FIND('112'!$M$9,G1167,1)),"",IF((AND(FIND('112'!$M$9,G1167,1)&gt;=1,$B1167&gt;='112'!$N$8,$B1167&lt;='112'!$O$8,OR($L1167='112'!$I$6,$M1167='112'!$I$6))),"x",""))</f>
        <v/>
      </c>
      <c r="S1167" s="525" t="str">
        <f>IF(ISERROR(FIND('112'!$M$9,G1167,1)),"",IF((AND(LEFT(G1167,2)=LEFT('112'!$M$9,2),B1167&lt;'112'!$N$8,$L1167='112'!$I$6)),"x",""))</f>
        <v/>
      </c>
      <c r="T1167" s="525" t="str">
        <f>IF(ISERROR(FIND('112'!$M$9,G1167,1)),"",IF((AND(RIGHT(G1167,2)=RIGHT('112'!$M$9,2),B1167&lt;'112'!$N$8,$M1167='112'!$I$6)),"x",""))</f>
        <v/>
      </c>
      <c r="U1167" s="525" t="str">
        <f>IF(AND(B1167&gt;='IN-NX'!$P$3,B1167&lt;='IN-NX'!$Q$3,'IN-NX'!$D$7=D1167,OR(LEFT(L1167,2)="15",AND(LEFT(M1167,2)&lt;&gt;"15",LEFT(M1167,2)&lt;&gt;"33"))),"x","")</f>
        <v/>
      </c>
      <c r="V1167" s="525" t="str">
        <f>IF(AND(OR(LEFT(TH!L1167,2)="15",LEFT(TH!M1167,2)="15"),'152-CT'!$J$8=TH!F1167),"x","")</f>
        <v/>
      </c>
      <c r="W1167" s="525" t="str">
        <f>IF(AND(OR(LEFT(TH!L1167,2)="15",LEFT(TH!M1167,2)="15"),TK!$E$7=TH!F1167),"x","")</f>
        <v/>
      </c>
      <c r="X1167" s="525" t="str">
        <f>IF(AND('341-CT'!$E$9=H1167,OR(LEFT(L1167,3)=$X$7,LEFT(M1167,3)=$X$7)),"x","")</f>
        <v/>
      </c>
      <c r="Y1167" s="525" t="str">
        <f>IF(OR(TH!L1167=TH!$Y$7,M1167=TH!$Y$7),"x","")</f>
        <v/>
      </c>
      <c r="Z1167" s="525" t="str">
        <f>IF(AND(B1167&lt;=NKC!$N$8,B1167&gt;=NKC!$M$8),"x","")</f>
        <v>x</v>
      </c>
      <c r="AA1167" s="535"/>
    </row>
    <row r="1168" spans="1:28" s="503" customFormat="1" ht="15.75" customHeight="1">
      <c r="A1168" s="517" t="str">
        <f>IF(B1168&lt;&gt;"",IF(AND(B1168&gt;=_TM1,B1168&lt;=_TM2,OR(TH!L1168="1111",TH!M1168="1111")),TH!D1168,""),"")</f>
        <v/>
      </c>
      <c r="B1168" s="531">
        <f t="shared" si="119"/>
        <v>3</v>
      </c>
      <c r="C1168" s="315">
        <f t="shared" si="120"/>
        <v>42814</v>
      </c>
      <c r="D1168" s="315" t="s">
        <v>942</v>
      </c>
      <c r="E1168" s="315">
        <v>42814</v>
      </c>
      <c r="F1168" s="249" t="s">
        <v>599</v>
      </c>
      <c r="G1168" s="314" t="s">
        <v>553</v>
      </c>
      <c r="H1168" s="473" t="s">
        <v>595</v>
      </c>
      <c r="I1168" s="307">
        <v>650</v>
      </c>
      <c r="J1168" s="307">
        <v>8000</v>
      </c>
      <c r="K1168" s="532">
        <f>ROUND(I1168*J1168,0)</f>
        <v>5200000</v>
      </c>
      <c r="L1168" s="534" t="s">
        <v>223</v>
      </c>
      <c r="M1168" s="534" t="s">
        <v>162</v>
      </c>
      <c r="N1168" s="525" t="str">
        <f>IF(AND('331-CT'!$E$7=TH!H1168,OR(L1168="331",M1168="331")),"331",IF(AND(OR(L1168="131",M1168="131"),H1168='131-CT'!$E$7),"131",""))</f>
        <v/>
      </c>
      <c r="O1168" s="525" t="str">
        <f>IF(AND($B1168&gt;='111'!$N$11,$B1168&lt;='111'!$O$11,OR($L1168=$O$7,$M1168=$O$7)),"x","")</f>
        <v/>
      </c>
      <c r="P1168" s="525" t="str">
        <f>IF(AND($L1168=$O$7,$B1168&lt;'111'!$N$11),"x","")</f>
        <v/>
      </c>
      <c r="Q1168" s="525" t="str">
        <f>IF(AND($M1168=$O$7,$B1168&lt;'111'!$N$11),"x","")</f>
        <v/>
      </c>
      <c r="R1168" s="525" t="str">
        <f>IF(ISERROR(FIND('112'!$M$9,G1168,1)),"",IF((AND(FIND('112'!$M$9,G1168,1)&gt;=1,$B1168&gt;='112'!$N$8,$B1168&lt;='112'!$O$8,OR($L1168='112'!$I$6,$M1168='112'!$I$6))),"x",""))</f>
        <v/>
      </c>
      <c r="S1168" s="525" t="str">
        <f>IF(ISERROR(FIND('112'!$M$9,G1168,1)),"",IF((AND(LEFT(G1168,2)=LEFT('112'!$M$9,2),B1168&lt;'112'!$N$8,$L1168='112'!$I$6)),"x",""))</f>
        <v/>
      </c>
      <c r="T1168" s="525" t="str">
        <f>IF(ISERROR(FIND('112'!$M$9,G1168,1)),"",IF((AND(RIGHT(G1168,2)=RIGHT('112'!$M$9,2),B1168&lt;'112'!$N$8,$M1168='112'!$I$6)),"x",""))</f>
        <v/>
      </c>
      <c r="U1168" s="525" t="str">
        <f>IF(AND(B1168&gt;='IN-NX'!$P$3,B1168&lt;='IN-NX'!$Q$3,'IN-NX'!$D$7=D1168,OR(LEFT(L1168,2)="15",AND(LEFT(M1168,2)&lt;&gt;"15",LEFT(M1168,2)&lt;&gt;"33"))),"x","")</f>
        <v/>
      </c>
      <c r="V1168" s="525" t="str">
        <f>IF(AND(OR(LEFT(TH!L1168,2)="15",LEFT(TH!M1168,2)="15"),'152-CT'!$J$8=TH!F1168),"x","")</f>
        <v/>
      </c>
      <c r="W1168" s="525" t="str">
        <f>IF(AND(OR(LEFT(TH!L1168,2)="15",LEFT(TH!M1168,2)="15"),TK!$E$7=TH!F1168),"x","")</f>
        <v/>
      </c>
      <c r="X1168" s="525" t="str">
        <f>IF(AND('341-CT'!$E$9=H1168,OR(LEFT(L1168,3)=$X$7,LEFT(M1168,3)=$X$7)),"x","")</f>
        <v/>
      </c>
      <c r="Y1168" s="525" t="str">
        <f>IF(OR(TH!L1168=TH!$Y$7,M1168=TH!$Y$7),"x","")</f>
        <v/>
      </c>
      <c r="Z1168" s="525" t="str">
        <f>IF(AND(B1168&lt;=NKC!$N$8,B1168&gt;=NKC!$M$8),"x","")</f>
        <v>x</v>
      </c>
      <c r="AA1168" s="535"/>
    </row>
    <row r="1169" spans="1:28" s="503" customFormat="1" ht="15.75" customHeight="1">
      <c r="A1169" s="517" t="str">
        <f>IF(B1169&lt;&gt;"",IF(AND(B1169&gt;=_TM1,B1169&lt;=_TM2,OR(TH!L1169="1111",TH!M1169="1111")),TH!D1169,""),"")</f>
        <v/>
      </c>
      <c r="B1169" s="531">
        <f t="shared" si="119"/>
        <v>3</v>
      </c>
      <c r="C1169" s="315">
        <f t="shared" si="120"/>
        <v>42814</v>
      </c>
      <c r="D1169" s="315" t="s">
        <v>942</v>
      </c>
      <c r="E1169" s="315">
        <v>42814</v>
      </c>
      <c r="F1169" s="249" t="s">
        <v>765</v>
      </c>
      <c r="G1169" s="314" t="s">
        <v>553</v>
      </c>
      <c r="H1169" s="473" t="s">
        <v>595</v>
      </c>
      <c r="I1169" s="307">
        <v>1</v>
      </c>
      <c r="J1169" s="307">
        <v>2000000</v>
      </c>
      <c r="K1169" s="532">
        <f>ROUND(I1169*J1169,0)</f>
        <v>2000000</v>
      </c>
      <c r="L1169" s="534" t="s">
        <v>223</v>
      </c>
      <c r="M1169" s="534" t="s">
        <v>162</v>
      </c>
      <c r="N1169" s="525" t="str">
        <f>IF(AND('331-CT'!$E$7=TH!H1169,OR(L1169="331",M1169="331")),"331",IF(AND(OR(L1169="131",M1169="131"),H1169='131-CT'!$E$7),"131",""))</f>
        <v/>
      </c>
      <c r="O1169" s="525" t="str">
        <f>IF(AND($B1169&gt;='111'!$N$11,$B1169&lt;='111'!$O$11,OR($L1169=$O$7,$M1169=$O$7)),"x","")</f>
        <v/>
      </c>
      <c r="P1169" s="525" t="str">
        <f>IF(AND($L1169=$O$7,$B1169&lt;'111'!$N$11),"x","")</f>
        <v/>
      </c>
      <c r="Q1169" s="525" t="str">
        <f>IF(AND($M1169=$O$7,$B1169&lt;'111'!$N$11),"x","")</f>
        <v/>
      </c>
      <c r="R1169" s="525" t="str">
        <f>IF(ISERROR(FIND('112'!$M$9,G1169,1)),"",IF((AND(FIND('112'!$M$9,G1169,1)&gt;=1,$B1169&gt;='112'!$N$8,$B1169&lt;='112'!$O$8,OR($L1169='112'!$I$6,$M1169='112'!$I$6))),"x",""))</f>
        <v/>
      </c>
      <c r="S1169" s="525" t="str">
        <f>IF(ISERROR(FIND('112'!$M$9,G1169,1)),"",IF((AND(LEFT(G1169,2)=LEFT('112'!$M$9,2),B1169&lt;'112'!$N$8,$L1169='112'!$I$6)),"x",""))</f>
        <v/>
      </c>
      <c r="T1169" s="525" t="str">
        <f>IF(ISERROR(FIND('112'!$M$9,G1169,1)),"",IF((AND(RIGHT(G1169,2)=RIGHT('112'!$M$9,2),B1169&lt;'112'!$N$8,$M1169='112'!$I$6)),"x",""))</f>
        <v/>
      </c>
      <c r="U1169" s="525" t="str">
        <f>IF(AND(B1169&gt;='IN-NX'!$P$3,B1169&lt;='IN-NX'!$Q$3,'IN-NX'!$D$7=D1169,OR(LEFT(L1169,2)="15",AND(LEFT(M1169,2)&lt;&gt;"15",LEFT(M1169,2)&lt;&gt;"33"))),"x","")</f>
        <v/>
      </c>
      <c r="V1169" s="525" t="str">
        <f>IF(AND(OR(LEFT(TH!L1169,2)="15",LEFT(TH!M1169,2)="15"),'152-CT'!$J$8=TH!F1169),"x","")</f>
        <v/>
      </c>
      <c r="W1169" s="525" t="str">
        <f>IF(AND(OR(LEFT(TH!L1169,2)="15",LEFT(TH!M1169,2)="15"),TK!$E$7=TH!F1169),"x","")</f>
        <v/>
      </c>
      <c r="X1169" s="525" t="str">
        <f>IF(AND('341-CT'!$E$9=H1169,OR(LEFT(L1169,3)=$X$7,LEFT(M1169,3)=$X$7)),"x","")</f>
        <v/>
      </c>
      <c r="Y1169" s="525" t="str">
        <f>IF(OR(TH!L1169=TH!$Y$7,M1169=TH!$Y$7),"x","")</f>
        <v/>
      </c>
      <c r="Z1169" s="525" t="str">
        <f>IF(AND(B1169&lt;=NKC!$N$8,B1169&gt;=NKC!$M$8),"x","")</f>
        <v>x</v>
      </c>
      <c r="AA1169" s="535"/>
    </row>
    <row r="1170" spans="1:28" s="503" customFormat="1" ht="15.75" customHeight="1">
      <c r="A1170" s="517" t="str">
        <f>IF(B1170&lt;&gt;"",IF(AND(B1170&gt;=_TM1,B1170&lt;=_TM2,OR(TH!L1170="1111",TH!M1170="1111")),TH!D1170,""),"")</f>
        <v/>
      </c>
      <c r="B1170" s="531">
        <f t="shared" si="119"/>
        <v>3</v>
      </c>
      <c r="C1170" s="315">
        <f t="shared" si="120"/>
        <v>42814</v>
      </c>
      <c r="D1170" s="315" t="s">
        <v>942</v>
      </c>
      <c r="E1170" s="315">
        <v>42814</v>
      </c>
      <c r="F1170" s="249" t="s">
        <v>494</v>
      </c>
      <c r="G1170" s="314" t="s">
        <v>553</v>
      </c>
      <c r="H1170" s="473" t="s">
        <v>595</v>
      </c>
      <c r="I1170" s="307"/>
      <c r="J1170" s="307"/>
      <c r="K1170" s="532">
        <v>1774500</v>
      </c>
      <c r="L1170" s="534" t="s">
        <v>223</v>
      </c>
      <c r="M1170" s="534" t="s">
        <v>259</v>
      </c>
      <c r="N1170" s="525" t="str">
        <f>IF(AND('331-CT'!$E$7=TH!H1170,OR(L1170="331",M1170="331")),"331",IF(AND(OR(L1170="131",M1170="131"),H1170='131-CT'!$E$7),"131",""))</f>
        <v/>
      </c>
      <c r="O1170" s="525" t="str">
        <f>IF(AND($B1170&gt;='111'!$N$11,$B1170&lt;='111'!$O$11,OR($L1170=$O$7,$M1170=$O$7)),"x","")</f>
        <v/>
      </c>
      <c r="P1170" s="525" t="str">
        <f>IF(AND($L1170=$O$7,$B1170&lt;'111'!$N$11),"x","")</f>
        <v/>
      </c>
      <c r="Q1170" s="525" t="str">
        <f>IF(AND($M1170=$O$7,$B1170&lt;'111'!$N$11),"x","")</f>
        <v/>
      </c>
      <c r="R1170" s="525" t="str">
        <f>IF(ISERROR(FIND('112'!$M$9,G1170,1)),"",IF((AND(FIND('112'!$M$9,G1170,1)&gt;=1,$B1170&gt;='112'!$N$8,$B1170&lt;='112'!$O$8,OR($L1170='112'!$I$6,$M1170='112'!$I$6))),"x",""))</f>
        <v/>
      </c>
      <c r="S1170" s="525" t="str">
        <f>IF(ISERROR(FIND('112'!$M$9,G1170,1)),"",IF((AND(LEFT(G1170,2)=LEFT('112'!$M$9,2),B1170&lt;'112'!$N$8,$L1170='112'!$I$6)),"x",""))</f>
        <v/>
      </c>
      <c r="T1170" s="525" t="str">
        <f>IF(ISERROR(FIND('112'!$M$9,G1170,1)),"",IF((AND(RIGHT(G1170,2)=RIGHT('112'!$M$9,2),B1170&lt;'112'!$N$8,$M1170='112'!$I$6)),"x",""))</f>
        <v/>
      </c>
      <c r="U1170" s="525" t="str">
        <f>IF(AND(B1170&gt;='IN-NX'!$P$3,B1170&lt;='IN-NX'!$Q$3,'IN-NX'!$D$7=D1170,OR(LEFT(L1170,2)="15",AND(LEFT(M1170,2)&lt;&gt;"15",LEFT(M1170,2)&lt;&gt;"33"))),"x","")</f>
        <v/>
      </c>
      <c r="V1170" s="525" t="str">
        <f>IF(AND(OR(LEFT(TH!L1170,2)="15",LEFT(TH!M1170,2)="15"),'152-CT'!$J$8=TH!F1170),"x","")</f>
        <v/>
      </c>
      <c r="W1170" s="525" t="str">
        <f>IF(AND(OR(LEFT(TH!L1170,2)="15",LEFT(TH!M1170,2)="15"),TK!$E$7=TH!F1170),"x","")</f>
        <v/>
      </c>
      <c r="X1170" s="525" t="str">
        <f>IF(AND('341-CT'!$E$9=H1170,OR(LEFT(L1170,3)=$X$7,LEFT(M1170,3)=$X$7)),"x","")</f>
        <v/>
      </c>
      <c r="Y1170" s="525" t="str">
        <f>IF(OR(TH!L1170=TH!$Y$7,M1170=TH!$Y$7),"x","")</f>
        <v/>
      </c>
      <c r="Z1170" s="525" t="str">
        <f>IF(AND(B1170&lt;=NKC!$N$8,B1170&gt;=NKC!$M$8),"x","")</f>
        <v>x</v>
      </c>
      <c r="AA1170" s="535"/>
      <c r="AB1170" s="536"/>
    </row>
    <row r="1171" spans="1:28" s="503" customFormat="1" ht="15.75" customHeight="1">
      <c r="A1171" s="517" t="str">
        <f>IF(B1171&lt;&gt;"",IF(AND(B1171&gt;=_TM1,B1171&lt;=_TM2,OR(TH!L1171="1111",TH!M1171="1111")),TH!D1171,""),"")</f>
        <v/>
      </c>
      <c r="B1171" s="531">
        <f t="shared" si="119"/>
        <v>3</v>
      </c>
      <c r="C1171" s="315">
        <f t="shared" si="120"/>
        <v>42818</v>
      </c>
      <c r="D1171" s="315" t="s">
        <v>943</v>
      </c>
      <c r="E1171" s="315">
        <v>42818</v>
      </c>
      <c r="F1171" s="249" t="s">
        <v>588</v>
      </c>
      <c r="G1171" s="314" t="s">
        <v>554</v>
      </c>
      <c r="H1171" s="472" t="s">
        <v>298</v>
      </c>
      <c r="I1171" s="307">
        <v>310</v>
      </c>
      <c r="J1171" s="307">
        <v>16900</v>
      </c>
      <c r="K1171" s="532">
        <f>ROUND(I1171*J1171,0)</f>
        <v>5239000</v>
      </c>
      <c r="L1171" s="534" t="s">
        <v>223</v>
      </c>
      <c r="M1171" s="534" t="s">
        <v>162</v>
      </c>
      <c r="N1171" s="525" t="str">
        <f>IF(AND('331-CT'!$E$7=TH!H1171,OR(L1171="331",M1171="331")),"331",IF(AND(OR(L1171="131",M1171="131"),H1171='131-CT'!$E$7),"131",""))</f>
        <v/>
      </c>
      <c r="O1171" s="525" t="str">
        <f>IF(AND($B1171&gt;='111'!$N$11,$B1171&lt;='111'!$O$11,OR($L1171=$O$7,$M1171=$O$7)),"x","")</f>
        <v/>
      </c>
      <c r="P1171" s="525" t="str">
        <f>IF(AND($L1171=$O$7,$B1171&lt;'111'!$N$11),"x","")</f>
        <v/>
      </c>
      <c r="Q1171" s="525" t="str">
        <f>IF(AND($M1171=$O$7,$B1171&lt;'111'!$N$11),"x","")</f>
        <v/>
      </c>
      <c r="R1171" s="525" t="str">
        <f>IF(ISERROR(FIND('112'!$M$9,G1171,1)),"",IF((AND(FIND('112'!$M$9,G1171,1)&gt;=1,$B1171&gt;='112'!$N$8,$B1171&lt;='112'!$O$8,OR($L1171='112'!$I$6,$M1171='112'!$I$6))),"x",""))</f>
        <v/>
      </c>
      <c r="S1171" s="525" t="str">
        <f>IF(ISERROR(FIND('112'!$M$9,G1171,1)),"",IF((AND(LEFT(G1171,2)=LEFT('112'!$M$9,2),B1171&lt;'112'!$N$8,$L1171='112'!$I$6)),"x",""))</f>
        <v/>
      </c>
      <c r="T1171" s="525" t="str">
        <f>IF(ISERROR(FIND('112'!$M$9,G1171,1)),"",IF((AND(RIGHT(G1171,2)=RIGHT('112'!$M$9,2),B1171&lt;'112'!$N$8,$M1171='112'!$I$6)),"x",""))</f>
        <v/>
      </c>
      <c r="U1171" s="525" t="str">
        <f>IF(AND(B1171&gt;='IN-NX'!$P$3,B1171&lt;='IN-NX'!$Q$3,'IN-NX'!$D$7=D1171,OR(LEFT(L1171,2)="15",AND(LEFT(M1171,2)&lt;&gt;"15",LEFT(M1171,2)&lt;&gt;"33"))),"x","")</f>
        <v/>
      </c>
      <c r="V1171" s="525" t="str">
        <f>IF(AND(OR(LEFT(TH!L1171,2)="15",LEFT(TH!M1171,2)="15"),'152-CT'!$J$8=TH!F1171),"x","")</f>
        <v/>
      </c>
      <c r="W1171" s="525" t="str">
        <f>IF(AND(OR(LEFT(TH!L1171,2)="15",LEFT(TH!M1171,2)="15"),TK!$E$7=TH!F1171),"x","")</f>
        <v/>
      </c>
      <c r="X1171" s="525" t="str">
        <f>IF(AND('341-CT'!$E$9=H1171,OR(LEFT(L1171,3)=$X$7,LEFT(M1171,3)=$X$7)),"x","")</f>
        <v/>
      </c>
      <c r="Y1171" s="525" t="str">
        <f>IF(OR(TH!L1171=TH!$Y$7,M1171=TH!$Y$7),"x","")</f>
        <v/>
      </c>
      <c r="Z1171" s="525" t="str">
        <f>IF(AND(B1171&lt;=NKC!$N$8,B1171&gt;=NKC!$M$8),"x","")</f>
        <v>x</v>
      </c>
      <c r="AA1171" s="535"/>
    </row>
    <row r="1172" spans="1:28" s="503" customFormat="1" ht="15.75" customHeight="1">
      <c r="A1172" s="517" t="str">
        <f>IF(B1172&lt;&gt;"",IF(AND(B1172&gt;=_TM1,B1172&lt;=_TM2,OR(TH!L1172="1111",TH!M1172="1111")),TH!D1172,""),"")</f>
        <v/>
      </c>
      <c r="B1172" s="531">
        <f t="shared" si="119"/>
        <v>3</v>
      </c>
      <c r="C1172" s="315">
        <f t="shared" si="120"/>
        <v>42818</v>
      </c>
      <c r="D1172" s="315" t="s">
        <v>943</v>
      </c>
      <c r="E1172" s="315">
        <v>42818</v>
      </c>
      <c r="F1172" s="249" t="s">
        <v>587</v>
      </c>
      <c r="G1172" s="314" t="s">
        <v>554</v>
      </c>
      <c r="H1172" s="472" t="s">
        <v>298</v>
      </c>
      <c r="I1172" s="307">
        <v>620</v>
      </c>
      <c r="J1172" s="307">
        <v>2500</v>
      </c>
      <c r="K1172" s="532">
        <f>ROUND(I1172*J1172,0)</f>
        <v>1550000</v>
      </c>
      <c r="L1172" s="534" t="s">
        <v>223</v>
      </c>
      <c r="M1172" s="534" t="s">
        <v>162</v>
      </c>
      <c r="N1172" s="525" t="str">
        <f>IF(AND('331-CT'!$E$7=TH!H1172,OR(L1172="331",M1172="331")),"331",IF(AND(OR(L1172="131",M1172="131"),H1172='131-CT'!$E$7),"131",""))</f>
        <v/>
      </c>
      <c r="O1172" s="525" t="str">
        <f>IF(AND($B1172&gt;='111'!$N$11,$B1172&lt;='111'!$O$11,OR($L1172=$O$7,$M1172=$O$7)),"x","")</f>
        <v/>
      </c>
      <c r="P1172" s="525" t="str">
        <f>IF(AND($L1172=$O$7,$B1172&lt;'111'!$N$11),"x","")</f>
        <v/>
      </c>
      <c r="Q1172" s="525" t="str">
        <f>IF(AND($M1172=$O$7,$B1172&lt;'111'!$N$11),"x","")</f>
        <v/>
      </c>
      <c r="R1172" s="525" t="str">
        <f>IF(ISERROR(FIND('112'!$M$9,G1172,1)),"",IF((AND(FIND('112'!$M$9,G1172,1)&gt;=1,$B1172&gt;='112'!$N$8,$B1172&lt;='112'!$O$8,OR($L1172='112'!$I$6,$M1172='112'!$I$6))),"x",""))</f>
        <v/>
      </c>
      <c r="S1172" s="525" t="str">
        <f>IF(ISERROR(FIND('112'!$M$9,G1172,1)),"",IF((AND(LEFT(G1172,2)=LEFT('112'!$M$9,2),B1172&lt;'112'!$N$8,$L1172='112'!$I$6)),"x",""))</f>
        <v/>
      </c>
      <c r="T1172" s="525" t="str">
        <f>IF(ISERROR(FIND('112'!$M$9,G1172,1)),"",IF((AND(RIGHT(G1172,2)=RIGHT('112'!$M$9,2),B1172&lt;'112'!$N$8,$M1172='112'!$I$6)),"x",""))</f>
        <v/>
      </c>
      <c r="U1172" s="525" t="str">
        <f>IF(AND(B1172&gt;='IN-NX'!$P$3,B1172&lt;='IN-NX'!$Q$3,'IN-NX'!$D$7=D1172,OR(LEFT(L1172,2)="15",AND(LEFT(M1172,2)&lt;&gt;"15",LEFT(M1172,2)&lt;&gt;"33"))),"x","")</f>
        <v/>
      </c>
      <c r="V1172" s="525" t="str">
        <f>IF(AND(OR(LEFT(TH!L1172,2)="15",LEFT(TH!M1172,2)="15"),'152-CT'!$J$8=TH!F1172),"x","")</f>
        <v/>
      </c>
      <c r="W1172" s="525" t="str">
        <f>IF(AND(OR(LEFT(TH!L1172,2)="15",LEFT(TH!M1172,2)="15"),TK!$E$7=TH!F1172),"x","")</f>
        <v/>
      </c>
      <c r="X1172" s="525" t="str">
        <f>IF(AND('341-CT'!$E$9=H1172,OR(LEFT(L1172,3)=$X$7,LEFT(M1172,3)=$X$7)),"x","")</f>
        <v/>
      </c>
      <c r="Y1172" s="525" t="str">
        <f>IF(OR(TH!L1172=TH!$Y$7,M1172=TH!$Y$7),"x","")</f>
        <v/>
      </c>
      <c r="Z1172" s="525" t="str">
        <f>IF(AND(B1172&lt;=NKC!$N$8,B1172&gt;=NKC!$M$8),"x","")</f>
        <v>x</v>
      </c>
      <c r="AA1172" s="535"/>
    </row>
    <row r="1173" spans="1:28" s="503" customFormat="1" ht="15.75" customHeight="1">
      <c r="A1173" s="517" t="str">
        <f>IF(B1173&lt;&gt;"",IF(AND(B1173&gt;=_TM1,B1173&lt;=_TM2,OR(TH!L1173="1111",TH!M1173="1111")),TH!D1173,""),"")</f>
        <v/>
      </c>
      <c r="B1173" s="531">
        <f t="shared" si="119"/>
        <v>3</v>
      </c>
      <c r="C1173" s="315">
        <f t="shared" si="120"/>
        <v>42818</v>
      </c>
      <c r="D1173" s="315" t="s">
        <v>943</v>
      </c>
      <c r="E1173" s="315">
        <v>42818</v>
      </c>
      <c r="F1173" s="249" t="s">
        <v>494</v>
      </c>
      <c r="G1173" s="314" t="s">
        <v>554</v>
      </c>
      <c r="H1173" s="472" t="s">
        <v>298</v>
      </c>
      <c r="I1173" s="307"/>
      <c r="J1173" s="307"/>
      <c r="K1173" s="532">
        <v>678900</v>
      </c>
      <c r="L1173" s="534" t="s">
        <v>223</v>
      </c>
      <c r="M1173" s="534" t="s">
        <v>259</v>
      </c>
      <c r="N1173" s="525" t="str">
        <f>IF(AND('331-CT'!$E$7=TH!H1173,OR(L1173="331",M1173="331")),"331",IF(AND(OR(L1173="131",M1173="131"),H1173='131-CT'!$E$7),"131",""))</f>
        <v/>
      </c>
      <c r="O1173" s="525" t="str">
        <f>IF(AND($B1173&gt;='111'!$N$11,$B1173&lt;='111'!$O$11,OR($L1173=$O$7,$M1173=$O$7)),"x","")</f>
        <v/>
      </c>
      <c r="P1173" s="525" t="str">
        <f>IF(AND($L1173=$O$7,$B1173&lt;'111'!$N$11),"x","")</f>
        <v/>
      </c>
      <c r="Q1173" s="525" t="str">
        <f>IF(AND($M1173=$O$7,$B1173&lt;'111'!$N$11),"x","")</f>
        <v/>
      </c>
      <c r="R1173" s="525" t="str">
        <f>IF(ISERROR(FIND('112'!$M$9,G1173,1)),"",IF((AND(FIND('112'!$M$9,G1173,1)&gt;=1,$B1173&gt;='112'!$N$8,$B1173&lt;='112'!$O$8,OR($L1173='112'!$I$6,$M1173='112'!$I$6))),"x",""))</f>
        <v/>
      </c>
      <c r="S1173" s="525" t="str">
        <f>IF(ISERROR(FIND('112'!$M$9,G1173,1)),"",IF((AND(LEFT(G1173,2)=LEFT('112'!$M$9,2),B1173&lt;'112'!$N$8,$L1173='112'!$I$6)),"x",""))</f>
        <v/>
      </c>
      <c r="T1173" s="525" t="str">
        <f>IF(ISERROR(FIND('112'!$M$9,G1173,1)),"",IF((AND(RIGHT(G1173,2)=RIGHT('112'!$M$9,2),B1173&lt;'112'!$N$8,$M1173='112'!$I$6)),"x",""))</f>
        <v/>
      </c>
      <c r="U1173" s="525" t="str">
        <f>IF(AND(B1173&gt;='IN-NX'!$P$3,B1173&lt;='IN-NX'!$Q$3,'IN-NX'!$D$7=D1173,OR(LEFT(L1173,2)="15",AND(LEFT(M1173,2)&lt;&gt;"15",LEFT(M1173,2)&lt;&gt;"33"))),"x","")</f>
        <v/>
      </c>
      <c r="V1173" s="525" t="str">
        <f>IF(AND(OR(LEFT(TH!L1173,2)="15",LEFT(TH!M1173,2)="15"),'152-CT'!$J$8=TH!F1173),"x","")</f>
        <v/>
      </c>
      <c r="W1173" s="525" t="str">
        <f>IF(AND(OR(LEFT(TH!L1173,2)="15",LEFT(TH!M1173,2)="15"),TK!$E$7=TH!F1173),"x","")</f>
        <v/>
      </c>
      <c r="X1173" s="525" t="str">
        <f>IF(AND('341-CT'!$E$9=H1173,OR(LEFT(L1173,3)=$X$7,LEFT(M1173,3)=$X$7)),"x","")</f>
        <v/>
      </c>
      <c r="Y1173" s="525" t="str">
        <f>IF(OR(TH!L1173=TH!$Y$7,M1173=TH!$Y$7),"x","")</f>
        <v/>
      </c>
      <c r="Z1173" s="525" t="str">
        <f>IF(AND(B1173&lt;=NKC!$N$8,B1173&gt;=NKC!$M$8),"x","")</f>
        <v>x</v>
      </c>
      <c r="AA1173" s="535"/>
      <c r="AB1173" s="536"/>
    </row>
    <row r="1174" spans="1:28" s="503" customFormat="1" ht="15.75" customHeight="1">
      <c r="A1174" s="517">
        <f>IF(B1174&lt;&gt;"",IF(AND(B1174&gt;=_TM1,B1174&lt;=_TM2,OR(TH!L1174="1111",TH!M1174="1111")),TH!D1174,""),"")</f>
        <v>0</v>
      </c>
      <c r="B1174" s="531">
        <f t="shared" si="119"/>
        <v>3</v>
      </c>
      <c r="C1174" s="315">
        <f t="shared" si="120"/>
        <v>42819</v>
      </c>
      <c r="D1174" s="537"/>
      <c r="E1174" s="315">
        <v>42819</v>
      </c>
      <c r="F1174" s="249" t="s">
        <v>1099</v>
      </c>
      <c r="G1174" s="314" t="s">
        <v>555</v>
      </c>
      <c r="H1174" s="473" t="s">
        <v>600</v>
      </c>
      <c r="I1174" s="307"/>
      <c r="J1174" s="307"/>
      <c r="K1174" s="532">
        <v>6440000</v>
      </c>
      <c r="L1174" s="534" t="s">
        <v>45</v>
      </c>
      <c r="M1174" s="534" t="s">
        <v>275</v>
      </c>
      <c r="N1174" s="525" t="str">
        <f>IF(AND('331-CT'!$E$7=TH!H1174,OR(L1174="331",M1174="331")),"331",IF(AND(OR(L1174="131",M1174="131"),H1174='131-CT'!$E$7),"131",""))</f>
        <v/>
      </c>
      <c r="O1174" s="525" t="str">
        <f>IF(AND($B1174&gt;='111'!$N$11,$B1174&lt;='111'!$O$11,OR($L1174=$O$7,$M1174=$O$7)),"x","")</f>
        <v/>
      </c>
      <c r="P1174" s="525" t="str">
        <f>IF(AND($L1174=$O$7,$B1174&lt;'111'!$N$11),"x","")</f>
        <v>x</v>
      </c>
      <c r="Q1174" s="525" t="str">
        <f>IF(AND($M1174=$O$7,$B1174&lt;'111'!$N$11),"x","")</f>
        <v/>
      </c>
      <c r="R1174" s="525" t="str">
        <f>IF(ISERROR(FIND('112'!$M$9,G1174,1)),"",IF((AND(FIND('112'!$M$9,G1174,1)&gt;=1,$B1174&gt;='112'!$N$8,$B1174&lt;='112'!$O$8,OR($L1174='112'!$I$6,$M1174='112'!$I$6))),"x",""))</f>
        <v/>
      </c>
      <c r="S1174" s="525" t="str">
        <f>IF(ISERROR(FIND('112'!$M$9,G1174,1)),"",IF((AND(LEFT(G1174,2)=LEFT('112'!$M$9,2),B1174&lt;'112'!$N$8,$L1174='112'!$I$6)),"x",""))</f>
        <v/>
      </c>
      <c r="T1174" s="525" t="str">
        <f>IF(ISERROR(FIND('112'!$M$9,G1174,1)),"",IF((AND(RIGHT(G1174,2)=RIGHT('112'!$M$9,2),B1174&lt;'112'!$N$8,$M1174='112'!$I$6)),"x",""))</f>
        <v/>
      </c>
      <c r="U1174" s="525" t="str">
        <f>IF(AND(B1174&gt;='IN-NX'!$P$3,B1174&lt;='IN-NX'!$Q$3,'IN-NX'!$D$7=D1174,OR(LEFT(L1174,2)="15",AND(LEFT(M1174,2)&lt;&gt;"15",LEFT(M1174,2)&lt;&gt;"33"))),"x","")</f>
        <v/>
      </c>
      <c r="V1174" s="525" t="str">
        <f>IF(AND(OR(LEFT(TH!L1174,2)="15",LEFT(TH!M1174,2)="15"),'152-CT'!$J$8=TH!F1174),"x","")</f>
        <v/>
      </c>
      <c r="W1174" s="525" t="str">
        <f>IF(AND(OR(LEFT(TH!L1174,2)="15",LEFT(TH!M1174,2)="15"),TK!$E$7=TH!F1174),"x","")</f>
        <v/>
      </c>
      <c r="X1174" s="525" t="str">
        <f>IF(AND('341-CT'!$E$9=H1174,OR(LEFT(L1174,3)=$X$7,LEFT(M1174,3)=$X$7)),"x","")</f>
        <v/>
      </c>
      <c r="Y1174" s="525" t="str">
        <f>IF(OR(TH!L1174=TH!$Y$7,M1174=TH!$Y$7),"x","")</f>
        <v/>
      </c>
      <c r="Z1174" s="525" t="str">
        <f>IF(AND(B1174&lt;=NKC!$N$8,B1174&gt;=NKC!$M$8),"x","")</f>
        <v>x</v>
      </c>
      <c r="AA1174" s="535"/>
      <c r="AB1174" s="536"/>
    </row>
    <row r="1175" spans="1:28" s="503" customFormat="1" ht="15.75" customHeight="1">
      <c r="A1175" s="517">
        <f>IF(B1175&lt;&gt;"",IF(AND(B1175&gt;=_TM1,B1175&lt;=_TM2,OR(TH!L1175="1111",TH!M1175="1111")),TH!D1175,""),"")</f>
        <v>0</v>
      </c>
      <c r="B1175" s="531">
        <f t="shared" si="119"/>
        <v>3</v>
      </c>
      <c r="C1175" s="315">
        <f t="shared" si="120"/>
        <v>42819</v>
      </c>
      <c r="D1175" s="537"/>
      <c r="E1175" s="315">
        <v>42819</v>
      </c>
      <c r="F1175" s="249" t="s">
        <v>1102</v>
      </c>
      <c r="G1175" s="314" t="s">
        <v>555</v>
      </c>
      <c r="H1175" s="473" t="s">
        <v>600</v>
      </c>
      <c r="I1175" s="307"/>
      <c r="J1175" s="307"/>
      <c r="K1175" s="532">
        <v>644000</v>
      </c>
      <c r="L1175" s="534" t="s">
        <v>45</v>
      </c>
      <c r="M1175" s="534" t="s">
        <v>259</v>
      </c>
      <c r="N1175" s="525" t="str">
        <f>IF(AND('331-CT'!$E$7=TH!H1175,OR(L1175="331",M1175="331")),"331",IF(AND(OR(L1175="131",M1175="131"),H1175='131-CT'!$E$7),"131",""))</f>
        <v/>
      </c>
      <c r="O1175" s="525" t="str">
        <f>IF(AND($B1175&gt;='111'!$N$11,$B1175&lt;='111'!$O$11,OR($L1175=$O$7,$M1175=$O$7)),"x","")</f>
        <v/>
      </c>
      <c r="P1175" s="525" t="str">
        <f>IF(AND($L1175=$O$7,$B1175&lt;'111'!$N$11),"x","")</f>
        <v>x</v>
      </c>
      <c r="Q1175" s="525" t="str">
        <f>IF(AND($M1175=$O$7,$B1175&lt;'111'!$N$11),"x","")</f>
        <v/>
      </c>
      <c r="R1175" s="525" t="str">
        <f>IF(ISERROR(FIND('112'!$M$9,G1175,1)),"",IF((AND(FIND('112'!$M$9,G1175,1)&gt;=1,$B1175&gt;='112'!$N$8,$B1175&lt;='112'!$O$8,OR($L1175='112'!$I$6,$M1175='112'!$I$6))),"x",""))</f>
        <v/>
      </c>
      <c r="S1175" s="525" t="str">
        <f>IF(ISERROR(FIND('112'!$M$9,G1175,1)),"",IF((AND(LEFT(G1175,2)=LEFT('112'!$M$9,2),B1175&lt;'112'!$N$8,$L1175='112'!$I$6)),"x",""))</f>
        <v/>
      </c>
      <c r="T1175" s="525" t="str">
        <f>IF(ISERROR(FIND('112'!$M$9,G1175,1)),"",IF((AND(RIGHT(G1175,2)=RIGHT('112'!$M$9,2),B1175&lt;'112'!$N$8,$M1175='112'!$I$6)),"x",""))</f>
        <v/>
      </c>
      <c r="U1175" s="525" t="str">
        <f>IF(AND(B1175&gt;='IN-NX'!$P$3,B1175&lt;='IN-NX'!$Q$3,'IN-NX'!$D$7=D1175,OR(LEFT(L1175,2)="15",AND(LEFT(M1175,2)&lt;&gt;"15",LEFT(M1175,2)&lt;&gt;"33"))),"x","")</f>
        <v/>
      </c>
      <c r="V1175" s="525" t="str">
        <f>IF(AND(OR(LEFT(TH!L1175,2)="15",LEFT(TH!M1175,2)="15"),'152-CT'!$J$8=TH!F1175),"x","")</f>
        <v/>
      </c>
      <c r="W1175" s="525" t="str">
        <f>IF(AND(OR(LEFT(TH!L1175,2)="15",LEFT(TH!M1175,2)="15"),TK!$E$7=TH!F1175),"x","")</f>
        <v/>
      </c>
      <c r="X1175" s="525" t="str">
        <f>IF(AND('341-CT'!$E$9=H1175,OR(LEFT(L1175,3)=$X$7,LEFT(M1175,3)=$X$7)),"x","")</f>
        <v/>
      </c>
      <c r="Y1175" s="525" t="str">
        <f>IF(OR(TH!L1175=TH!$Y$7,M1175=TH!$Y$7),"x","")</f>
        <v/>
      </c>
      <c r="Z1175" s="525" t="str">
        <f>IF(AND(B1175&lt;=NKC!$N$8,B1175&gt;=NKC!$M$8),"x","")</f>
        <v>x</v>
      </c>
      <c r="AA1175" s="535"/>
      <c r="AB1175" s="536"/>
    </row>
    <row r="1176" spans="1:28" s="503" customFormat="1" ht="15.75" customHeight="1">
      <c r="A1176" s="517" t="str">
        <f>IF(B1176&lt;&gt;"",IF(AND(B1176&gt;=_TM1,B1176&lt;=_TM2,OR(TH!L1176="1111",TH!M1176="1111")),TH!D1176,""),"")</f>
        <v/>
      </c>
      <c r="B1176" s="531">
        <f t="shared" si="119"/>
        <v>3</v>
      </c>
      <c r="C1176" s="315">
        <f t="shared" si="120"/>
        <v>42819</v>
      </c>
      <c r="D1176" s="315" t="s">
        <v>944</v>
      </c>
      <c r="E1176" s="315">
        <v>42819</v>
      </c>
      <c r="F1176" s="249" t="s">
        <v>774</v>
      </c>
      <c r="G1176" s="314" t="s">
        <v>773</v>
      </c>
      <c r="H1176" s="473" t="s">
        <v>422</v>
      </c>
      <c r="I1176" s="307">
        <v>500</v>
      </c>
      <c r="J1176" s="307">
        <v>30000</v>
      </c>
      <c r="K1176" s="532">
        <f>ROUND(I1176*J1176,0)</f>
        <v>15000000</v>
      </c>
      <c r="L1176" s="534" t="s">
        <v>223</v>
      </c>
      <c r="M1176" s="534" t="s">
        <v>162</v>
      </c>
      <c r="N1176" s="525" t="str">
        <f>IF(AND('331-CT'!$E$7=TH!H1176,OR(L1176="331",M1176="331")),"331",IF(AND(OR(L1176="131",M1176="131"),H1176='131-CT'!$E$7),"131",""))</f>
        <v/>
      </c>
      <c r="O1176" s="525" t="str">
        <f>IF(AND($B1176&gt;='111'!$N$11,$B1176&lt;='111'!$O$11,OR($L1176=$O$7,$M1176=$O$7)),"x","")</f>
        <v/>
      </c>
      <c r="P1176" s="525" t="str">
        <f>IF(AND($L1176=$O$7,$B1176&lt;'111'!$N$11),"x","")</f>
        <v/>
      </c>
      <c r="Q1176" s="525" t="str">
        <f>IF(AND($M1176=$O$7,$B1176&lt;'111'!$N$11),"x","")</f>
        <v/>
      </c>
      <c r="R1176" s="525" t="str">
        <f>IF(ISERROR(FIND('112'!$M$9,G1176,1)),"",IF((AND(FIND('112'!$M$9,G1176,1)&gt;=1,$B1176&gt;='112'!$N$8,$B1176&lt;='112'!$O$8,OR($L1176='112'!$I$6,$M1176='112'!$I$6))),"x",""))</f>
        <v/>
      </c>
      <c r="S1176" s="525" t="str">
        <f>IF(ISERROR(FIND('112'!$M$9,G1176,1)),"",IF((AND(LEFT(G1176,2)=LEFT('112'!$M$9,2),B1176&lt;'112'!$N$8,$L1176='112'!$I$6)),"x",""))</f>
        <v/>
      </c>
      <c r="T1176" s="525" t="str">
        <f>IF(ISERROR(FIND('112'!$M$9,G1176,1)),"",IF((AND(RIGHT(G1176,2)=RIGHT('112'!$M$9,2),B1176&lt;'112'!$N$8,$M1176='112'!$I$6)),"x",""))</f>
        <v/>
      </c>
      <c r="U1176" s="525" t="str">
        <f>IF(AND(B1176&gt;='IN-NX'!$P$3,B1176&lt;='IN-NX'!$Q$3,'IN-NX'!$D$7=D1176,OR(LEFT(L1176,2)="15",AND(LEFT(M1176,2)&lt;&gt;"15",LEFT(M1176,2)&lt;&gt;"33"))),"x","")</f>
        <v/>
      </c>
      <c r="V1176" s="525" t="str">
        <f>IF(AND(OR(LEFT(TH!L1176,2)="15",LEFT(TH!M1176,2)="15"),'152-CT'!$J$8=TH!F1176),"x","")</f>
        <v/>
      </c>
      <c r="W1176" s="525" t="str">
        <f>IF(AND(OR(LEFT(TH!L1176,2)="15",LEFT(TH!M1176,2)="15"),TK!$E$7=TH!F1176),"x","")</f>
        <v/>
      </c>
      <c r="X1176" s="525" t="str">
        <f>IF(AND('341-CT'!$E$9=H1176,OR(LEFT(L1176,3)=$X$7,LEFT(M1176,3)=$X$7)),"x","")</f>
        <v/>
      </c>
      <c r="Y1176" s="525" t="str">
        <f>IF(OR(TH!L1176=TH!$Y$7,M1176=TH!$Y$7),"x","")</f>
        <v/>
      </c>
      <c r="Z1176" s="525" t="str">
        <f>IF(AND(B1176&lt;=NKC!$N$8,B1176&gt;=NKC!$M$8),"x","")</f>
        <v>x</v>
      </c>
      <c r="AA1176" s="535"/>
    </row>
    <row r="1177" spans="1:28" s="503" customFormat="1" ht="15.75" customHeight="1">
      <c r="A1177" s="517" t="str">
        <f>IF(B1177&lt;&gt;"",IF(AND(B1177&gt;=_TM1,B1177&lt;=_TM2,OR(TH!L1177="1111",TH!M1177="1111")),TH!D1177,""),"")</f>
        <v/>
      </c>
      <c r="B1177" s="531">
        <f t="shared" si="119"/>
        <v>3</v>
      </c>
      <c r="C1177" s="315">
        <f t="shared" si="120"/>
        <v>42819</v>
      </c>
      <c r="D1177" s="315" t="s">
        <v>944</v>
      </c>
      <c r="E1177" s="315">
        <v>42819</v>
      </c>
      <c r="F1177" s="249" t="s">
        <v>494</v>
      </c>
      <c r="G1177" s="314" t="s">
        <v>773</v>
      </c>
      <c r="H1177" s="473" t="s">
        <v>422</v>
      </c>
      <c r="I1177" s="307"/>
      <c r="J1177" s="307"/>
      <c r="K1177" s="532">
        <v>1500000</v>
      </c>
      <c r="L1177" s="534" t="s">
        <v>223</v>
      </c>
      <c r="M1177" s="534" t="s">
        <v>259</v>
      </c>
      <c r="N1177" s="525" t="str">
        <f>IF(AND('331-CT'!$E$7=TH!H1177,OR(L1177="331",M1177="331")),"331",IF(AND(OR(L1177="131",M1177="131"),H1177='131-CT'!$E$7),"131",""))</f>
        <v/>
      </c>
      <c r="O1177" s="525" t="str">
        <f>IF(AND($B1177&gt;='111'!$N$11,$B1177&lt;='111'!$O$11,OR($L1177=$O$7,$M1177=$O$7)),"x","")</f>
        <v/>
      </c>
      <c r="P1177" s="525" t="str">
        <f>IF(AND($L1177=$O$7,$B1177&lt;'111'!$N$11),"x","")</f>
        <v/>
      </c>
      <c r="Q1177" s="525" t="str">
        <f>IF(AND($M1177=$O$7,$B1177&lt;'111'!$N$11),"x","")</f>
        <v/>
      </c>
      <c r="R1177" s="525" t="str">
        <f>IF(ISERROR(FIND('112'!$M$9,G1177,1)),"",IF((AND(FIND('112'!$M$9,G1177,1)&gt;=1,$B1177&gt;='112'!$N$8,$B1177&lt;='112'!$O$8,OR($L1177='112'!$I$6,$M1177='112'!$I$6))),"x",""))</f>
        <v/>
      </c>
      <c r="S1177" s="525" t="str">
        <f>IF(ISERROR(FIND('112'!$M$9,G1177,1)),"",IF((AND(LEFT(G1177,2)=LEFT('112'!$M$9,2),B1177&lt;'112'!$N$8,$L1177='112'!$I$6)),"x",""))</f>
        <v/>
      </c>
      <c r="T1177" s="525" t="str">
        <f>IF(ISERROR(FIND('112'!$M$9,G1177,1)),"",IF((AND(RIGHT(G1177,2)=RIGHT('112'!$M$9,2),B1177&lt;'112'!$N$8,$M1177='112'!$I$6)),"x",""))</f>
        <v/>
      </c>
      <c r="U1177" s="525" t="str">
        <f>IF(AND(B1177&gt;='IN-NX'!$P$3,B1177&lt;='IN-NX'!$Q$3,'IN-NX'!$D$7=D1177,OR(LEFT(L1177,2)="15",AND(LEFT(M1177,2)&lt;&gt;"15",LEFT(M1177,2)&lt;&gt;"33"))),"x","")</f>
        <v/>
      </c>
      <c r="V1177" s="525" t="str">
        <f>IF(AND(OR(LEFT(TH!L1177,2)="15",LEFT(TH!M1177,2)="15"),'152-CT'!$J$8=TH!F1177),"x","")</f>
        <v/>
      </c>
      <c r="W1177" s="525" t="str">
        <f>IF(AND(OR(LEFT(TH!L1177,2)="15",LEFT(TH!M1177,2)="15"),TK!$E$7=TH!F1177),"x","")</f>
        <v/>
      </c>
      <c r="X1177" s="525" t="str">
        <f>IF(AND('341-CT'!$E$9=H1177,OR(LEFT(L1177,3)=$X$7,LEFT(M1177,3)=$X$7)),"x","")</f>
        <v/>
      </c>
      <c r="Y1177" s="525" t="str">
        <f>IF(OR(TH!L1177=TH!$Y$7,M1177=TH!$Y$7),"x","")</f>
        <v/>
      </c>
      <c r="Z1177" s="525" t="str">
        <f>IF(AND(B1177&lt;=NKC!$N$8,B1177&gt;=NKC!$M$8),"x","")</f>
        <v>x</v>
      </c>
      <c r="AA1177" s="535"/>
    </row>
    <row r="1178" spans="1:28" s="503" customFormat="1" ht="15.75" customHeight="1">
      <c r="A1178" s="517">
        <f>IF(B1178&lt;&gt;"",IF(AND(B1178&gt;=_TM1,B1178&lt;=_TM2,OR(TH!L1178="1111",TH!M1178="1111")),TH!D1178,""),"")</f>
        <v>0</v>
      </c>
      <c r="B1178" s="531">
        <f t="shared" si="119"/>
        <v>3</v>
      </c>
      <c r="C1178" s="315">
        <f t="shared" si="120"/>
        <v>42821</v>
      </c>
      <c r="D1178" s="537"/>
      <c r="E1178" s="315">
        <v>42821</v>
      </c>
      <c r="F1178" s="249" t="s">
        <v>1099</v>
      </c>
      <c r="G1178" s="314" t="s">
        <v>556</v>
      </c>
      <c r="H1178" s="473" t="s">
        <v>513</v>
      </c>
      <c r="I1178" s="307"/>
      <c r="J1178" s="307"/>
      <c r="K1178" s="532">
        <v>1600000</v>
      </c>
      <c r="L1178" s="534" t="s">
        <v>45</v>
      </c>
      <c r="M1178" s="534" t="s">
        <v>275</v>
      </c>
      <c r="N1178" s="525" t="str">
        <f>IF(AND('331-CT'!$E$7=TH!H1178,OR(L1178="331",M1178="331")),"331",IF(AND(OR(L1178="131",M1178="131"),H1178='131-CT'!$E$7),"131",""))</f>
        <v/>
      </c>
      <c r="O1178" s="525" t="str">
        <f>IF(AND($B1178&gt;='111'!$N$11,$B1178&lt;='111'!$O$11,OR($L1178=$O$7,$M1178=$O$7)),"x","")</f>
        <v/>
      </c>
      <c r="P1178" s="525" t="str">
        <f>IF(AND($L1178=$O$7,$B1178&lt;'111'!$N$11),"x","")</f>
        <v>x</v>
      </c>
      <c r="Q1178" s="525" t="str">
        <f>IF(AND($M1178=$O$7,$B1178&lt;'111'!$N$11),"x","")</f>
        <v/>
      </c>
      <c r="R1178" s="525" t="str">
        <f>IF(ISERROR(FIND('112'!$M$9,G1178,1)),"",IF((AND(FIND('112'!$M$9,G1178,1)&gt;=1,$B1178&gt;='112'!$N$8,$B1178&lt;='112'!$O$8,OR($L1178='112'!$I$6,$M1178='112'!$I$6))),"x",""))</f>
        <v/>
      </c>
      <c r="S1178" s="525" t="str">
        <f>IF(ISERROR(FIND('112'!$M$9,G1178,1)),"",IF((AND(LEFT(G1178,2)=LEFT('112'!$M$9,2),B1178&lt;'112'!$N$8,$L1178='112'!$I$6)),"x",""))</f>
        <v/>
      </c>
      <c r="T1178" s="525" t="str">
        <f>IF(ISERROR(FIND('112'!$M$9,G1178,1)),"",IF((AND(RIGHT(G1178,2)=RIGHT('112'!$M$9,2),B1178&lt;'112'!$N$8,$M1178='112'!$I$6)),"x",""))</f>
        <v/>
      </c>
      <c r="U1178" s="525" t="str">
        <f>IF(AND(B1178&gt;='IN-NX'!$P$3,B1178&lt;='IN-NX'!$Q$3,'IN-NX'!$D$7=D1178,OR(LEFT(L1178,2)="15",AND(LEFT(M1178,2)&lt;&gt;"15",LEFT(M1178,2)&lt;&gt;"33"))),"x","")</f>
        <v/>
      </c>
      <c r="V1178" s="525" t="str">
        <f>IF(AND(OR(LEFT(TH!L1178,2)="15",LEFT(TH!M1178,2)="15"),'152-CT'!$J$8=TH!F1178),"x","")</f>
        <v/>
      </c>
      <c r="W1178" s="525" t="str">
        <f>IF(AND(OR(LEFT(TH!L1178,2)="15",LEFT(TH!M1178,2)="15"),TK!$E$7=TH!F1178),"x","")</f>
        <v/>
      </c>
      <c r="X1178" s="525" t="str">
        <f>IF(AND('341-CT'!$E$9=H1178,OR(LEFT(L1178,3)=$X$7,LEFT(M1178,3)=$X$7)),"x","")</f>
        <v/>
      </c>
      <c r="Y1178" s="525" t="str">
        <f>IF(OR(TH!L1178=TH!$Y$7,M1178=TH!$Y$7),"x","")</f>
        <v/>
      </c>
      <c r="Z1178" s="525" t="str">
        <f>IF(AND(B1178&lt;=NKC!$N$8,B1178&gt;=NKC!$M$8),"x","")</f>
        <v>x</v>
      </c>
      <c r="AA1178" s="535"/>
      <c r="AB1178" s="536"/>
    </row>
    <row r="1179" spans="1:28" s="503" customFormat="1" ht="15.75" customHeight="1">
      <c r="A1179" s="517">
        <f>IF(B1179&lt;&gt;"",IF(AND(B1179&gt;=_TM1,B1179&lt;=_TM2,OR(TH!L1179="1111",TH!M1179="1111")),TH!D1179,""),"")</f>
        <v>0</v>
      </c>
      <c r="B1179" s="531">
        <f t="shared" si="119"/>
        <v>3</v>
      </c>
      <c r="C1179" s="315">
        <f t="shared" si="120"/>
        <v>42821</v>
      </c>
      <c r="D1179" s="537"/>
      <c r="E1179" s="315">
        <v>42821</v>
      </c>
      <c r="F1179" s="249" t="s">
        <v>1102</v>
      </c>
      <c r="G1179" s="314" t="s">
        <v>556</v>
      </c>
      <c r="H1179" s="473" t="s">
        <v>513</v>
      </c>
      <c r="I1179" s="307"/>
      <c r="J1179" s="307"/>
      <c r="K1179" s="532">
        <v>160000</v>
      </c>
      <c r="L1179" s="534" t="s">
        <v>45</v>
      </c>
      <c r="M1179" s="534" t="s">
        <v>259</v>
      </c>
      <c r="N1179" s="525" t="str">
        <f>IF(AND('331-CT'!$E$7=TH!H1179,OR(L1179="331",M1179="331")),"331",IF(AND(OR(L1179="131",M1179="131"),H1179='131-CT'!$E$7),"131",""))</f>
        <v/>
      </c>
      <c r="O1179" s="525" t="str">
        <f>IF(AND($B1179&gt;='111'!$N$11,$B1179&lt;='111'!$O$11,OR($L1179=$O$7,$M1179=$O$7)),"x","")</f>
        <v/>
      </c>
      <c r="P1179" s="525" t="str">
        <f>IF(AND($L1179=$O$7,$B1179&lt;'111'!$N$11),"x","")</f>
        <v>x</v>
      </c>
      <c r="Q1179" s="525" t="str">
        <f>IF(AND($M1179=$O$7,$B1179&lt;'111'!$N$11),"x","")</f>
        <v/>
      </c>
      <c r="R1179" s="525" t="str">
        <f>IF(ISERROR(FIND('112'!$M$9,G1179,1)),"",IF((AND(FIND('112'!$M$9,G1179,1)&gt;=1,$B1179&gt;='112'!$N$8,$B1179&lt;='112'!$O$8,OR($L1179='112'!$I$6,$M1179='112'!$I$6))),"x",""))</f>
        <v/>
      </c>
      <c r="S1179" s="525" t="str">
        <f>IF(ISERROR(FIND('112'!$M$9,G1179,1)),"",IF((AND(LEFT(G1179,2)=LEFT('112'!$M$9,2),B1179&lt;'112'!$N$8,$L1179='112'!$I$6)),"x",""))</f>
        <v/>
      </c>
      <c r="T1179" s="525" t="str">
        <f>IF(ISERROR(FIND('112'!$M$9,G1179,1)),"",IF((AND(RIGHT(G1179,2)=RIGHT('112'!$M$9,2),B1179&lt;'112'!$N$8,$M1179='112'!$I$6)),"x",""))</f>
        <v/>
      </c>
      <c r="U1179" s="525" t="str">
        <f>IF(AND(B1179&gt;='IN-NX'!$P$3,B1179&lt;='IN-NX'!$Q$3,'IN-NX'!$D$7=D1179,OR(LEFT(L1179,2)="15",AND(LEFT(M1179,2)&lt;&gt;"15",LEFT(M1179,2)&lt;&gt;"33"))),"x","")</f>
        <v/>
      </c>
      <c r="V1179" s="525" t="str">
        <f>IF(AND(OR(LEFT(TH!L1179,2)="15",LEFT(TH!M1179,2)="15"),'152-CT'!$J$8=TH!F1179),"x","")</f>
        <v/>
      </c>
      <c r="W1179" s="525" t="str">
        <f>IF(AND(OR(LEFT(TH!L1179,2)="15",LEFT(TH!M1179,2)="15"),TK!$E$7=TH!F1179),"x","")</f>
        <v/>
      </c>
      <c r="X1179" s="525" t="str">
        <f>IF(AND('341-CT'!$E$9=H1179,OR(LEFT(L1179,3)=$X$7,LEFT(M1179,3)=$X$7)),"x","")</f>
        <v/>
      </c>
      <c r="Y1179" s="525" t="str">
        <f>IF(OR(TH!L1179=TH!$Y$7,M1179=TH!$Y$7),"x","")</f>
        <v/>
      </c>
      <c r="Z1179" s="525" t="str">
        <f>IF(AND(B1179&lt;=NKC!$N$8,B1179&gt;=NKC!$M$8),"x","")</f>
        <v>x</v>
      </c>
      <c r="AA1179" s="535"/>
      <c r="AB1179" s="536"/>
    </row>
    <row r="1180" spans="1:28" s="503" customFormat="1" ht="15.75" customHeight="1">
      <c r="A1180" s="517">
        <f>IF(B1180&lt;&gt;"",IF(AND(B1180&gt;=_TM1,B1180&lt;=_TM2,OR(TH!L1180="1111",TH!M1180="1111")),TH!D1180,""),"")</f>
        <v>0</v>
      </c>
      <c r="B1180" s="531">
        <f t="shared" si="119"/>
        <v>3</v>
      </c>
      <c r="C1180" s="315">
        <f t="shared" si="120"/>
        <v>42821</v>
      </c>
      <c r="D1180" s="537"/>
      <c r="E1180" s="315">
        <v>42821</v>
      </c>
      <c r="F1180" s="249" t="s">
        <v>1099</v>
      </c>
      <c r="G1180" s="314" t="s">
        <v>557</v>
      </c>
      <c r="H1180" s="473" t="s">
        <v>601</v>
      </c>
      <c r="I1180" s="307"/>
      <c r="J1180" s="307"/>
      <c r="K1180" s="532">
        <v>1400000</v>
      </c>
      <c r="L1180" s="534" t="s">
        <v>45</v>
      </c>
      <c r="M1180" s="534" t="s">
        <v>275</v>
      </c>
      <c r="N1180" s="525" t="str">
        <f>IF(AND('331-CT'!$E$7=TH!H1180,OR(L1180="331",M1180="331")),"331",IF(AND(OR(L1180="131",M1180="131"),H1180='131-CT'!$E$7),"131",""))</f>
        <v/>
      </c>
      <c r="O1180" s="525" t="str">
        <f>IF(AND($B1180&gt;='111'!$N$11,$B1180&lt;='111'!$O$11,OR($L1180=$O$7,$M1180=$O$7)),"x","")</f>
        <v/>
      </c>
      <c r="P1180" s="525" t="str">
        <f>IF(AND($L1180=$O$7,$B1180&lt;'111'!$N$11),"x","")</f>
        <v>x</v>
      </c>
      <c r="Q1180" s="525" t="str">
        <f>IF(AND($M1180=$O$7,$B1180&lt;'111'!$N$11),"x","")</f>
        <v/>
      </c>
      <c r="R1180" s="525" t="str">
        <f>IF(ISERROR(FIND('112'!$M$9,G1180,1)),"",IF((AND(FIND('112'!$M$9,G1180,1)&gt;=1,$B1180&gt;='112'!$N$8,$B1180&lt;='112'!$O$8,OR($L1180='112'!$I$6,$M1180='112'!$I$6))),"x",""))</f>
        <v/>
      </c>
      <c r="S1180" s="525" t="str">
        <f>IF(ISERROR(FIND('112'!$M$9,G1180,1)),"",IF((AND(LEFT(G1180,2)=LEFT('112'!$M$9,2),B1180&lt;'112'!$N$8,$L1180='112'!$I$6)),"x",""))</f>
        <v/>
      </c>
      <c r="T1180" s="525" t="str">
        <f>IF(ISERROR(FIND('112'!$M$9,G1180,1)),"",IF((AND(RIGHT(G1180,2)=RIGHT('112'!$M$9,2),B1180&lt;'112'!$N$8,$M1180='112'!$I$6)),"x",""))</f>
        <v/>
      </c>
      <c r="U1180" s="525" t="str">
        <f>IF(AND(B1180&gt;='IN-NX'!$P$3,B1180&lt;='IN-NX'!$Q$3,'IN-NX'!$D$7=D1180,OR(LEFT(L1180,2)="15",AND(LEFT(M1180,2)&lt;&gt;"15",LEFT(M1180,2)&lt;&gt;"33"))),"x","")</f>
        <v/>
      </c>
      <c r="V1180" s="525" t="str">
        <f>IF(AND(OR(LEFT(TH!L1180,2)="15",LEFT(TH!M1180,2)="15"),'152-CT'!$J$8=TH!F1180),"x","")</f>
        <v/>
      </c>
      <c r="W1180" s="525" t="str">
        <f>IF(AND(OR(LEFT(TH!L1180,2)="15",LEFT(TH!M1180,2)="15"),TK!$E$7=TH!F1180),"x","")</f>
        <v/>
      </c>
      <c r="X1180" s="525" t="str">
        <f>IF(AND('341-CT'!$E$9=H1180,OR(LEFT(L1180,3)=$X$7,LEFT(M1180,3)=$X$7)),"x","")</f>
        <v/>
      </c>
      <c r="Y1180" s="525" t="str">
        <f>IF(OR(TH!L1180=TH!$Y$7,M1180=TH!$Y$7),"x","")</f>
        <v/>
      </c>
      <c r="Z1180" s="525" t="str">
        <f>IF(AND(B1180&lt;=NKC!$N$8,B1180&gt;=NKC!$M$8),"x","")</f>
        <v>x</v>
      </c>
      <c r="AA1180" s="535"/>
      <c r="AB1180" s="536"/>
    </row>
    <row r="1181" spans="1:28" s="503" customFormat="1" ht="15.75" customHeight="1">
      <c r="A1181" s="517">
        <f>IF(B1181&lt;&gt;"",IF(AND(B1181&gt;=_TM1,B1181&lt;=_TM2,OR(TH!L1181="1111",TH!M1181="1111")),TH!D1181,""),"")</f>
        <v>0</v>
      </c>
      <c r="B1181" s="531">
        <f t="shared" si="119"/>
        <v>3</v>
      </c>
      <c r="C1181" s="315">
        <f t="shared" si="120"/>
        <v>42821</v>
      </c>
      <c r="D1181" s="537"/>
      <c r="E1181" s="315">
        <v>42821</v>
      </c>
      <c r="F1181" s="249" t="s">
        <v>1102</v>
      </c>
      <c r="G1181" s="314" t="s">
        <v>557</v>
      </c>
      <c r="H1181" s="473" t="s">
        <v>601</v>
      </c>
      <c r="I1181" s="307"/>
      <c r="J1181" s="307"/>
      <c r="K1181" s="532">
        <v>140000</v>
      </c>
      <c r="L1181" s="534" t="s">
        <v>45</v>
      </c>
      <c r="M1181" s="534" t="s">
        <v>259</v>
      </c>
      <c r="N1181" s="525" t="str">
        <f>IF(AND('331-CT'!$E$7=TH!H1181,OR(L1181="331",M1181="331")),"331",IF(AND(OR(L1181="131",M1181="131"),H1181='131-CT'!$E$7),"131",""))</f>
        <v/>
      </c>
      <c r="O1181" s="525" t="str">
        <f>IF(AND($B1181&gt;='111'!$N$11,$B1181&lt;='111'!$O$11,OR($L1181=$O$7,$M1181=$O$7)),"x","")</f>
        <v/>
      </c>
      <c r="P1181" s="525" t="str">
        <f>IF(AND($L1181=$O$7,$B1181&lt;'111'!$N$11),"x","")</f>
        <v>x</v>
      </c>
      <c r="Q1181" s="525" t="str">
        <f>IF(AND($M1181=$O$7,$B1181&lt;'111'!$N$11),"x","")</f>
        <v/>
      </c>
      <c r="R1181" s="525" t="str">
        <f>IF(ISERROR(FIND('112'!$M$9,G1181,1)),"",IF((AND(FIND('112'!$M$9,G1181,1)&gt;=1,$B1181&gt;='112'!$N$8,$B1181&lt;='112'!$O$8,OR($L1181='112'!$I$6,$M1181='112'!$I$6))),"x",""))</f>
        <v/>
      </c>
      <c r="S1181" s="525" t="str">
        <f>IF(ISERROR(FIND('112'!$M$9,G1181,1)),"",IF((AND(LEFT(G1181,2)=LEFT('112'!$M$9,2),B1181&lt;'112'!$N$8,$L1181='112'!$I$6)),"x",""))</f>
        <v/>
      </c>
      <c r="T1181" s="525" t="str">
        <f>IF(ISERROR(FIND('112'!$M$9,G1181,1)),"",IF((AND(RIGHT(G1181,2)=RIGHT('112'!$M$9,2),B1181&lt;'112'!$N$8,$M1181='112'!$I$6)),"x",""))</f>
        <v/>
      </c>
      <c r="U1181" s="525" t="str">
        <f>IF(AND(B1181&gt;='IN-NX'!$P$3,B1181&lt;='IN-NX'!$Q$3,'IN-NX'!$D$7=D1181,OR(LEFT(L1181,2)="15",AND(LEFT(M1181,2)&lt;&gt;"15",LEFT(M1181,2)&lt;&gt;"33"))),"x","")</f>
        <v/>
      </c>
      <c r="V1181" s="525" t="str">
        <f>IF(AND(OR(LEFT(TH!L1181,2)="15",LEFT(TH!M1181,2)="15"),'152-CT'!$J$8=TH!F1181),"x","")</f>
        <v/>
      </c>
      <c r="W1181" s="525" t="str">
        <f>IF(AND(OR(LEFT(TH!L1181,2)="15",LEFT(TH!M1181,2)="15"),TK!$E$7=TH!F1181),"x","")</f>
        <v/>
      </c>
      <c r="X1181" s="525" t="str">
        <f>IF(AND('341-CT'!$E$9=H1181,OR(LEFT(L1181,3)=$X$7,LEFT(M1181,3)=$X$7)),"x","")</f>
        <v/>
      </c>
      <c r="Y1181" s="525" t="str">
        <f>IF(OR(TH!L1181=TH!$Y$7,M1181=TH!$Y$7),"x","")</f>
        <v/>
      </c>
      <c r="Z1181" s="525" t="str">
        <f>IF(AND(B1181&lt;=NKC!$N$8,B1181&gt;=NKC!$M$8),"x","")</f>
        <v>x</v>
      </c>
      <c r="AA1181" s="535"/>
      <c r="AB1181" s="536"/>
    </row>
    <row r="1182" spans="1:28" s="503" customFormat="1" ht="15.75" customHeight="1">
      <c r="A1182" s="517" t="str">
        <f>IF(B1182&lt;&gt;"",IF(AND(B1182&gt;=_TM1,B1182&lt;=_TM2,OR(TH!L1182="1111",TH!M1182="1111")),TH!D1182,""),"")</f>
        <v/>
      </c>
      <c r="B1182" s="531">
        <f t="shared" si="119"/>
        <v>3</v>
      </c>
      <c r="C1182" s="315">
        <f t="shared" si="120"/>
        <v>42825</v>
      </c>
      <c r="D1182" s="315" t="s">
        <v>945</v>
      </c>
      <c r="E1182" s="315">
        <v>42825</v>
      </c>
      <c r="F1182" s="249" t="s">
        <v>777</v>
      </c>
      <c r="G1182" s="314" t="s">
        <v>775</v>
      </c>
      <c r="H1182" s="473" t="s">
        <v>776</v>
      </c>
      <c r="I1182" s="307">
        <v>100</v>
      </c>
      <c r="J1182" s="307">
        <v>14415</v>
      </c>
      <c r="K1182" s="532">
        <f>ROUND(I1182*J1182,0)</f>
        <v>1441500</v>
      </c>
      <c r="L1182" s="534" t="s">
        <v>223</v>
      </c>
      <c r="M1182" s="534" t="s">
        <v>162</v>
      </c>
      <c r="N1182" s="525" t="str">
        <f>IF(AND('331-CT'!$E$7=TH!H1182,OR(L1182="331",M1182="331")),"331",IF(AND(OR(L1182="131",M1182="131"),H1182='131-CT'!$E$7),"131",""))</f>
        <v/>
      </c>
      <c r="O1182" s="525" t="str">
        <f>IF(AND($B1182&gt;='111'!$N$11,$B1182&lt;='111'!$O$11,OR($L1182=$O$7,$M1182=$O$7)),"x","")</f>
        <v/>
      </c>
      <c r="P1182" s="525" t="str">
        <f>IF(AND($L1182=$O$7,$B1182&lt;'111'!$N$11),"x","")</f>
        <v/>
      </c>
      <c r="Q1182" s="525" t="str">
        <f>IF(AND($M1182=$O$7,$B1182&lt;'111'!$N$11),"x","")</f>
        <v/>
      </c>
      <c r="R1182" s="525" t="str">
        <f>IF(ISERROR(FIND('112'!$M$9,G1182,1)),"",IF((AND(FIND('112'!$M$9,G1182,1)&gt;=1,$B1182&gt;='112'!$N$8,$B1182&lt;='112'!$O$8,OR($L1182='112'!$I$6,$M1182='112'!$I$6))),"x",""))</f>
        <v/>
      </c>
      <c r="S1182" s="525" t="str">
        <f>IF(ISERROR(FIND('112'!$M$9,G1182,1)),"",IF((AND(LEFT(G1182,2)=LEFT('112'!$M$9,2),B1182&lt;'112'!$N$8,$L1182='112'!$I$6)),"x",""))</f>
        <v/>
      </c>
      <c r="T1182" s="525" t="str">
        <f>IF(ISERROR(FIND('112'!$M$9,G1182,1)),"",IF((AND(RIGHT(G1182,2)=RIGHT('112'!$M$9,2),B1182&lt;'112'!$N$8,$M1182='112'!$I$6)),"x",""))</f>
        <v/>
      </c>
      <c r="U1182" s="525" t="str">
        <f>IF(AND(B1182&gt;='IN-NX'!$P$3,B1182&lt;='IN-NX'!$Q$3,'IN-NX'!$D$7=D1182,OR(LEFT(L1182,2)="15",AND(LEFT(M1182,2)&lt;&gt;"15",LEFT(M1182,2)&lt;&gt;"33"))),"x","")</f>
        <v/>
      </c>
      <c r="V1182" s="525" t="str">
        <f>IF(AND(OR(LEFT(TH!L1182,2)="15",LEFT(TH!M1182,2)="15"),'152-CT'!$J$8=TH!F1182),"x","")</f>
        <v/>
      </c>
      <c r="W1182" s="525" t="str">
        <f>IF(AND(OR(LEFT(TH!L1182,2)="15",LEFT(TH!M1182,2)="15"),TK!$E$7=TH!F1182),"x","")</f>
        <v/>
      </c>
      <c r="X1182" s="525" t="str">
        <f>IF(AND('341-CT'!$E$9=H1182,OR(LEFT(L1182,3)=$X$7,LEFT(M1182,3)=$X$7)),"x","")</f>
        <v/>
      </c>
      <c r="Y1182" s="525" t="str">
        <f>IF(OR(TH!L1182=TH!$Y$7,M1182=TH!$Y$7),"x","")</f>
        <v/>
      </c>
      <c r="Z1182" s="525" t="str">
        <f>IF(AND(B1182&lt;=NKC!$N$8,B1182&gt;=NKC!$M$8),"x","")</f>
        <v>x</v>
      </c>
      <c r="AA1182" s="535"/>
    </row>
    <row r="1183" spans="1:28" s="503" customFormat="1" ht="15.75" customHeight="1">
      <c r="A1183" s="517" t="str">
        <f>IF(B1183&lt;&gt;"",IF(AND(B1183&gt;=_TM1,B1183&lt;=_TM2,OR(TH!L1183="1111",TH!M1183="1111")),TH!D1183,""),"")</f>
        <v/>
      </c>
      <c r="B1183" s="531">
        <f t="shared" si="119"/>
        <v>3</v>
      </c>
      <c r="C1183" s="315">
        <f t="shared" si="120"/>
        <v>42825</v>
      </c>
      <c r="D1183" s="315" t="s">
        <v>945</v>
      </c>
      <c r="E1183" s="315">
        <v>42825</v>
      </c>
      <c r="F1183" s="249" t="s">
        <v>778</v>
      </c>
      <c r="G1183" s="314" t="s">
        <v>775</v>
      </c>
      <c r="H1183" s="473" t="s">
        <v>776</v>
      </c>
      <c r="I1183" s="307">
        <v>100</v>
      </c>
      <c r="J1183" s="307">
        <v>8681</v>
      </c>
      <c r="K1183" s="532">
        <f>ROUND(I1183*J1183,0)</f>
        <v>868100</v>
      </c>
      <c r="L1183" s="534" t="s">
        <v>223</v>
      </c>
      <c r="M1183" s="534" t="s">
        <v>162</v>
      </c>
      <c r="N1183" s="525" t="str">
        <f>IF(AND('331-CT'!$E$7=TH!H1183,OR(L1183="331",M1183="331")),"331",IF(AND(OR(L1183="131",M1183="131"),H1183='131-CT'!$E$7),"131",""))</f>
        <v/>
      </c>
      <c r="O1183" s="525" t="str">
        <f>IF(AND($B1183&gt;='111'!$N$11,$B1183&lt;='111'!$O$11,OR($L1183=$O$7,$M1183=$O$7)),"x","")</f>
        <v/>
      </c>
      <c r="P1183" s="525" t="str">
        <f>IF(AND($L1183=$O$7,$B1183&lt;'111'!$N$11),"x","")</f>
        <v/>
      </c>
      <c r="Q1183" s="525" t="str">
        <f>IF(AND($M1183=$O$7,$B1183&lt;'111'!$N$11),"x","")</f>
        <v/>
      </c>
      <c r="R1183" s="525" t="str">
        <f>IF(ISERROR(FIND('112'!$M$9,G1183,1)),"",IF((AND(FIND('112'!$M$9,G1183,1)&gt;=1,$B1183&gt;='112'!$N$8,$B1183&lt;='112'!$O$8,OR($L1183='112'!$I$6,$M1183='112'!$I$6))),"x",""))</f>
        <v/>
      </c>
      <c r="S1183" s="525" t="str">
        <f>IF(ISERROR(FIND('112'!$M$9,G1183,1)),"",IF((AND(LEFT(G1183,2)=LEFT('112'!$M$9,2),B1183&lt;'112'!$N$8,$L1183='112'!$I$6)),"x",""))</f>
        <v/>
      </c>
      <c r="T1183" s="525" t="str">
        <f>IF(ISERROR(FIND('112'!$M$9,G1183,1)),"",IF((AND(RIGHT(G1183,2)=RIGHT('112'!$M$9,2),B1183&lt;'112'!$N$8,$M1183='112'!$I$6)),"x",""))</f>
        <v/>
      </c>
      <c r="U1183" s="525" t="str">
        <f>IF(AND(B1183&gt;='IN-NX'!$P$3,B1183&lt;='IN-NX'!$Q$3,'IN-NX'!$D$7=D1183,OR(LEFT(L1183,2)="15",AND(LEFT(M1183,2)&lt;&gt;"15",LEFT(M1183,2)&lt;&gt;"33"))),"x","")</f>
        <v/>
      </c>
      <c r="V1183" s="525" t="str">
        <f>IF(AND(OR(LEFT(TH!L1183,2)="15",LEFT(TH!M1183,2)="15"),'152-CT'!$J$8=TH!F1183),"x","")</f>
        <v/>
      </c>
      <c r="W1183" s="525" t="str">
        <f>IF(AND(OR(LEFT(TH!L1183,2)="15",LEFT(TH!M1183,2)="15"),TK!$E$7=TH!F1183),"x","")</f>
        <v/>
      </c>
      <c r="X1183" s="525" t="str">
        <f>IF(AND('341-CT'!$E$9=H1183,OR(LEFT(L1183,3)=$X$7,LEFT(M1183,3)=$X$7)),"x","")</f>
        <v/>
      </c>
      <c r="Y1183" s="525" t="str">
        <f>IF(OR(TH!L1183=TH!$Y$7,M1183=TH!$Y$7),"x","")</f>
        <v/>
      </c>
      <c r="Z1183" s="525" t="str">
        <f>IF(AND(B1183&lt;=NKC!$N$8,B1183&gt;=NKC!$M$8),"x","")</f>
        <v>x</v>
      </c>
      <c r="AA1183" s="535"/>
    </row>
    <row r="1184" spans="1:28" s="503" customFormat="1" ht="15.75" customHeight="1">
      <c r="A1184" s="517" t="str">
        <f>IF(B1184&lt;&gt;"",IF(AND(B1184&gt;=_TM1,B1184&lt;=_TM2,OR(TH!L1184="1111",TH!M1184="1111")),TH!D1184,""),"")</f>
        <v/>
      </c>
      <c r="B1184" s="531">
        <f t="shared" si="119"/>
        <v>3</v>
      </c>
      <c r="C1184" s="315">
        <f t="shared" si="120"/>
        <v>42825</v>
      </c>
      <c r="D1184" s="315" t="s">
        <v>945</v>
      </c>
      <c r="E1184" s="315">
        <v>42825</v>
      </c>
      <c r="F1184" s="249" t="s">
        <v>779</v>
      </c>
      <c r="G1184" s="314" t="s">
        <v>775</v>
      </c>
      <c r="H1184" s="473" t="s">
        <v>776</v>
      </c>
      <c r="I1184" s="307">
        <v>200</v>
      </c>
      <c r="J1184" s="307">
        <v>3412</v>
      </c>
      <c r="K1184" s="532">
        <f>ROUND(I1184*J1184,0)</f>
        <v>682400</v>
      </c>
      <c r="L1184" s="534" t="s">
        <v>223</v>
      </c>
      <c r="M1184" s="534" t="s">
        <v>162</v>
      </c>
      <c r="N1184" s="525" t="str">
        <f>IF(AND('331-CT'!$E$7=TH!H1184,OR(L1184="331",M1184="331")),"331",IF(AND(OR(L1184="131",M1184="131"),H1184='131-CT'!$E$7),"131",""))</f>
        <v/>
      </c>
      <c r="O1184" s="525" t="str">
        <f>IF(AND($B1184&gt;='111'!$N$11,$B1184&lt;='111'!$O$11,OR($L1184=$O$7,$M1184=$O$7)),"x","")</f>
        <v/>
      </c>
      <c r="P1184" s="525" t="str">
        <f>IF(AND($L1184=$O$7,$B1184&lt;'111'!$N$11),"x","")</f>
        <v/>
      </c>
      <c r="Q1184" s="525" t="str">
        <f>IF(AND($M1184=$O$7,$B1184&lt;'111'!$N$11),"x","")</f>
        <v/>
      </c>
      <c r="R1184" s="525" t="str">
        <f>IF(ISERROR(FIND('112'!$M$9,G1184,1)),"",IF((AND(FIND('112'!$M$9,G1184,1)&gt;=1,$B1184&gt;='112'!$N$8,$B1184&lt;='112'!$O$8,OR($L1184='112'!$I$6,$M1184='112'!$I$6))),"x",""))</f>
        <v/>
      </c>
      <c r="S1184" s="525" t="str">
        <f>IF(ISERROR(FIND('112'!$M$9,G1184,1)),"",IF((AND(LEFT(G1184,2)=LEFT('112'!$M$9,2),B1184&lt;'112'!$N$8,$L1184='112'!$I$6)),"x",""))</f>
        <v/>
      </c>
      <c r="T1184" s="525" t="str">
        <f>IF(ISERROR(FIND('112'!$M$9,G1184,1)),"",IF((AND(RIGHT(G1184,2)=RIGHT('112'!$M$9,2),B1184&lt;'112'!$N$8,$M1184='112'!$I$6)),"x",""))</f>
        <v/>
      </c>
      <c r="U1184" s="525" t="str">
        <f>IF(AND(B1184&gt;='IN-NX'!$P$3,B1184&lt;='IN-NX'!$Q$3,'IN-NX'!$D$7=D1184,OR(LEFT(L1184,2)="15",AND(LEFT(M1184,2)&lt;&gt;"15",LEFT(M1184,2)&lt;&gt;"33"))),"x","")</f>
        <v/>
      </c>
      <c r="V1184" s="525" t="str">
        <f>IF(AND(OR(LEFT(TH!L1184,2)="15",LEFT(TH!M1184,2)="15"),'152-CT'!$J$8=TH!F1184),"x","")</f>
        <v/>
      </c>
      <c r="W1184" s="525" t="str">
        <f>IF(AND(OR(LEFT(TH!L1184,2)="15",LEFT(TH!M1184,2)="15"),TK!$E$7=TH!F1184),"x","")</f>
        <v/>
      </c>
      <c r="X1184" s="525" t="str">
        <f>IF(AND('341-CT'!$E$9=H1184,OR(LEFT(L1184,3)=$X$7,LEFT(M1184,3)=$X$7)),"x","")</f>
        <v/>
      </c>
      <c r="Y1184" s="525" t="str">
        <f>IF(OR(TH!L1184=TH!$Y$7,M1184=TH!$Y$7),"x","")</f>
        <v/>
      </c>
      <c r="Z1184" s="525" t="str">
        <f>IF(AND(B1184&lt;=NKC!$N$8,B1184&gt;=NKC!$M$8),"x","")</f>
        <v>x</v>
      </c>
      <c r="AA1184" s="535"/>
    </row>
    <row r="1185" spans="1:27" s="503" customFormat="1" ht="15.75" customHeight="1">
      <c r="A1185" s="517" t="str">
        <f>IF(B1185&lt;&gt;"",IF(AND(B1185&gt;=_TM1,B1185&lt;=_TM2,OR(TH!L1185="1111",TH!M1185="1111")),TH!D1185,""),"")</f>
        <v/>
      </c>
      <c r="B1185" s="531">
        <f t="shared" si="119"/>
        <v>3</v>
      </c>
      <c r="C1185" s="315">
        <f t="shared" si="120"/>
        <v>42825</v>
      </c>
      <c r="D1185" s="315" t="s">
        <v>945</v>
      </c>
      <c r="E1185" s="315">
        <v>42825</v>
      </c>
      <c r="F1185" s="249" t="s">
        <v>780</v>
      </c>
      <c r="G1185" s="314" t="s">
        <v>775</v>
      </c>
      <c r="H1185" s="473" t="s">
        <v>776</v>
      </c>
      <c r="I1185" s="307">
        <v>200</v>
      </c>
      <c r="J1185" s="307">
        <v>2028</v>
      </c>
      <c r="K1185" s="532">
        <f>ROUND(I1185*J1185,0)</f>
        <v>405600</v>
      </c>
      <c r="L1185" s="534" t="s">
        <v>223</v>
      </c>
      <c r="M1185" s="534" t="s">
        <v>162</v>
      </c>
      <c r="N1185" s="525" t="str">
        <f>IF(AND('331-CT'!$E$7=TH!H1185,OR(L1185="331",M1185="331")),"331",IF(AND(OR(L1185="131",M1185="131"),H1185='131-CT'!$E$7),"131",""))</f>
        <v/>
      </c>
      <c r="O1185" s="525" t="str">
        <f>IF(AND($B1185&gt;='111'!$N$11,$B1185&lt;='111'!$O$11,OR($L1185=$O$7,$M1185=$O$7)),"x","")</f>
        <v/>
      </c>
      <c r="P1185" s="525" t="str">
        <f>IF(AND($L1185=$O$7,$B1185&lt;'111'!$N$11),"x","")</f>
        <v/>
      </c>
      <c r="Q1185" s="525" t="str">
        <f>IF(AND($M1185=$O$7,$B1185&lt;'111'!$N$11),"x","")</f>
        <v/>
      </c>
      <c r="R1185" s="525" t="str">
        <f>IF(ISERROR(FIND('112'!$M$9,G1185,1)),"",IF((AND(FIND('112'!$M$9,G1185,1)&gt;=1,$B1185&gt;='112'!$N$8,$B1185&lt;='112'!$O$8,OR($L1185='112'!$I$6,$M1185='112'!$I$6))),"x",""))</f>
        <v/>
      </c>
      <c r="S1185" s="525" t="str">
        <f>IF(ISERROR(FIND('112'!$M$9,G1185,1)),"",IF((AND(LEFT(G1185,2)=LEFT('112'!$M$9,2),B1185&lt;'112'!$N$8,$L1185='112'!$I$6)),"x",""))</f>
        <v/>
      </c>
      <c r="T1185" s="525" t="str">
        <f>IF(ISERROR(FIND('112'!$M$9,G1185,1)),"",IF((AND(RIGHT(G1185,2)=RIGHT('112'!$M$9,2),B1185&lt;'112'!$N$8,$M1185='112'!$I$6)),"x",""))</f>
        <v/>
      </c>
      <c r="U1185" s="525" t="str">
        <f>IF(AND(B1185&gt;='IN-NX'!$P$3,B1185&lt;='IN-NX'!$Q$3,'IN-NX'!$D$7=D1185,OR(LEFT(L1185,2)="15",AND(LEFT(M1185,2)&lt;&gt;"15",LEFT(M1185,2)&lt;&gt;"33"))),"x","")</f>
        <v/>
      </c>
      <c r="V1185" s="525" t="str">
        <f>IF(AND(OR(LEFT(TH!L1185,2)="15",LEFT(TH!M1185,2)="15"),'152-CT'!$J$8=TH!F1185),"x","")</f>
        <v/>
      </c>
      <c r="W1185" s="525" t="str">
        <f>IF(AND(OR(LEFT(TH!L1185,2)="15",LEFT(TH!M1185,2)="15"),TK!$E$7=TH!F1185),"x","")</f>
        <v/>
      </c>
      <c r="X1185" s="525" t="str">
        <f>IF(AND('341-CT'!$E$9=H1185,OR(LEFT(L1185,3)=$X$7,LEFT(M1185,3)=$X$7)),"x","")</f>
        <v/>
      </c>
      <c r="Y1185" s="525" t="str">
        <f>IF(OR(TH!L1185=TH!$Y$7,M1185=TH!$Y$7),"x","")</f>
        <v/>
      </c>
      <c r="Z1185" s="525" t="str">
        <f>IF(AND(B1185&lt;=NKC!$N$8,B1185&gt;=NKC!$M$8),"x","")</f>
        <v>x</v>
      </c>
      <c r="AA1185" s="535"/>
    </row>
    <row r="1186" spans="1:27" s="503" customFormat="1" ht="15.75" customHeight="1">
      <c r="A1186" s="517" t="str">
        <f>IF(B1186&lt;&gt;"",IF(AND(B1186&gt;=_TM1,B1186&lt;=_TM2,OR(TH!L1186="1111",TH!M1186="1111")),TH!D1186,""),"")</f>
        <v/>
      </c>
      <c r="B1186" s="531">
        <f t="shared" si="119"/>
        <v>3</v>
      </c>
      <c r="C1186" s="315">
        <f t="shared" si="120"/>
        <v>42825</v>
      </c>
      <c r="D1186" s="315" t="s">
        <v>945</v>
      </c>
      <c r="E1186" s="315">
        <v>42825</v>
      </c>
      <c r="F1186" s="249" t="s">
        <v>494</v>
      </c>
      <c r="G1186" s="314" t="s">
        <v>775</v>
      </c>
      <c r="H1186" s="473" t="s">
        <v>776</v>
      </c>
      <c r="I1186" s="307"/>
      <c r="J1186" s="307"/>
      <c r="K1186" s="532">
        <v>339760</v>
      </c>
      <c r="L1186" s="534" t="s">
        <v>223</v>
      </c>
      <c r="M1186" s="534" t="s">
        <v>259</v>
      </c>
      <c r="N1186" s="525" t="str">
        <f>IF(AND('331-CT'!$E$7=TH!H1186,OR(L1186="331",M1186="331")),"331",IF(AND(OR(L1186="131",M1186="131"),H1186='131-CT'!$E$7),"131",""))</f>
        <v/>
      </c>
      <c r="O1186" s="525" t="str">
        <f>IF(AND($B1186&gt;='111'!$N$11,$B1186&lt;='111'!$O$11,OR($L1186=$O$7,$M1186=$O$7)),"x","")</f>
        <v/>
      </c>
      <c r="P1186" s="525" t="str">
        <f>IF(AND($L1186=$O$7,$B1186&lt;'111'!$N$11),"x","")</f>
        <v/>
      </c>
      <c r="Q1186" s="525" t="str">
        <f>IF(AND($M1186=$O$7,$B1186&lt;'111'!$N$11),"x","")</f>
        <v/>
      </c>
      <c r="R1186" s="525" t="str">
        <f>IF(ISERROR(FIND('112'!$M$9,G1186,1)),"",IF((AND(FIND('112'!$M$9,G1186,1)&gt;=1,$B1186&gt;='112'!$N$8,$B1186&lt;='112'!$O$8,OR($L1186='112'!$I$6,$M1186='112'!$I$6))),"x",""))</f>
        <v/>
      </c>
      <c r="S1186" s="525" t="str">
        <f>IF(ISERROR(FIND('112'!$M$9,G1186,1)),"",IF((AND(LEFT(G1186,2)=LEFT('112'!$M$9,2),B1186&lt;'112'!$N$8,$L1186='112'!$I$6)),"x",""))</f>
        <v/>
      </c>
      <c r="T1186" s="525" t="str">
        <f>IF(ISERROR(FIND('112'!$M$9,G1186,1)),"",IF((AND(RIGHT(G1186,2)=RIGHT('112'!$M$9,2),B1186&lt;'112'!$N$8,$M1186='112'!$I$6)),"x",""))</f>
        <v/>
      </c>
      <c r="U1186" s="525" t="str">
        <f>IF(AND(B1186&gt;='IN-NX'!$P$3,B1186&lt;='IN-NX'!$Q$3,'IN-NX'!$D$7=D1186,OR(LEFT(L1186,2)="15",AND(LEFT(M1186,2)&lt;&gt;"15",LEFT(M1186,2)&lt;&gt;"33"))),"x","")</f>
        <v/>
      </c>
      <c r="V1186" s="525" t="str">
        <f>IF(AND(OR(LEFT(TH!L1186,2)="15",LEFT(TH!M1186,2)="15"),'152-CT'!$J$8=TH!F1186),"x","")</f>
        <v/>
      </c>
      <c r="W1186" s="525" t="str">
        <f>IF(AND(OR(LEFT(TH!L1186,2)="15",LEFT(TH!M1186,2)="15"),TK!$E$7=TH!F1186),"x","")</f>
        <v/>
      </c>
      <c r="X1186" s="525" t="str">
        <f>IF(AND('341-CT'!$E$9=H1186,OR(LEFT(L1186,3)=$X$7,LEFT(M1186,3)=$X$7)),"x","")</f>
        <v/>
      </c>
      <c r="Y1186" s="525" t="str">
        <f>IF(OR(TH!L1186=TH!$Y$7,M1186=TH!$Y$7),"x","")</f>
        <v/>
      </c>
      <c r="Z1186" s="525" t="str">
        <f>IF(AND(B1186&lt;=NKC!$N$8,B1186&gt;=NKC!$M$8),"x","")</f>
        <v>x</v>
      </c>
      <c r="AA1186" s="535"/>
    </row>
    <row r="1187" spans="1:27" s="503" customFormat="1" ht="15.75" customHeight="1">
      <c r="A1187" s="517" t="str">
        <f>IF(B1187&lt;&gt;"",IF(AND(B1187&gt;=_TM1,B1187&lt;=_TM2,OR(TH!L1187="1111",TH!M1187="1111")),TH!D1187,""),"")</f>
        <v/>
      </c>
      <c r="B1187" s="531">
        <f t="shared" si="119"/>
        <v>3</v>
      </c>
      <c r="C1187" s="315">
        <f t="shared" si="120"/>
        <v>42825</v>
      </c>
      <c r="D1187" s="315" t="s">
        <v>946</v>
      </c>
      <c r="E1187" s="315">
        <v>42825</v>
      </c>
      <c r="F1187" s="249" t="s">
        <v>782</v>
      </c>
      <c r="G1187" s="314" t="s">
        <v>781</v>
      </c>
      <c r="H1187" s="473" t="s">
        <v>373</v>
      </c>
      <c r="I1187" s="307">
        <v>200</v>
      </c>
      <c r="J1187" s="307">
        <v>7087</v>
      </c>
      <c r="K1187" s="532">
        <f>ROUND(I1187*J1187,0)</f>
        <v>1417400</v>
      </c>
      <c r="L1187" s="534" t="s">
        <v>223</v>
      </c>
      <c r="M1187" s="534" t="s">
        <v>162</v>
      </c>
      <c r="N1187" s="525" t="str">
        <f>IF(AND('331-CT'!$E$7=TH!H1187,OR(L1187="331",M1187="331")),"331",IF(AND(OR(L1187="131",M1187="131"),H1187='131-CT'!$E$7),"131",""))</f>
        <v/>
      </c>
      <c r="O1187" s="525" t="str">
        <f>IF(AND($B1187&gt;='111'!$N$11,$B1187&lt;='111'!$O$11,OR($L1187=$O$7,$M1187=$O$7)),"x","")</f>
        <v/>
      </c>
      <c r="P1187" s="525" t="str">
        <f>IF(AND($L1187=$O$7,$B1187&lt;'111'!$N$11),"x","")</f>
        <v/>
      </c>
      <c r="Q1187" s="525" t="str">
        <f>IF(AND($M1187=$O$7,$B1187&lt;'111'!$N$11),"x","")</f>
        <v/>
      </c>
      <c r="R1187" s="525" t="str">
        <f>IF(ISERROR(FIND('112'!$M$9,G1187,1)),"",IF((AND(FIND('112'!$M$9,G1187,1)&gt;=1,$B1187&gt;='112'!$N$8,$B1187&lt;='112'!$O$8,OR($L1187='112'!$I$6,$M1187='112'!$I$6))),"x",""))</f>
        <v/>
      </c>
      <c r="S1187" s="525" t="str">
        <f>IF(ISERROR(FIND('112'!$M$9,G1187,1)),"",IF((AND(LEFT(G1187,2)=LEFT('112'!$M$9,2),B1187&lt;'112'!$N$8,$L1187='112'!$I$6)),"x",""))</f>
        <v/>
      </c>
      <c r="T1187" s="525" t="str">
        <f>IF(ISERROR(FIND('112'!$M$9,G1187,1)),"",IF((AND(RIGHT(G1187,2)=RIGHT('112'!$M$9,2),B1187&lt;'112'!$N$8,$M1187='112'!$I$6)),"x",""))</f>
        <v/>
      </c>
      <c r="U1187" s="525" t="str">
        <f>IF(AND(B1187&gt;='IN-NX'!$P$3,B1187&lt;='IN-NX'!$Q$3,'IN-NX'!$D$7=D1187,OR(LEFT(L1187,2)="15",AND(LEFT(M1187,2)&lt;&gt;"15",LEFT(M1187,2)&lt;&gt;"33"))),"x","")</f>
        <v/>
      </c>
      <c r="V1187" s="525" t="str">
        <f>IF(AND(OR(LEFT(TH!L1187,2)="15",LEFT(TH!M1187,2)="15"),'152-CT'!$J$8=TH!F1187),"x","")</f>
        <v/>
      </c>
      <c r="W1187" s="525" t="str">
        <f>IF(AND(OR(LEFT(TH!L1187,2)="15",LEFT(TH!M1187,2)="15"),TK!$E$7=TH!F1187),"x","")</f>
        <v/>
      </c>
      <c r="X1187" s="525" t="str">
        <f>IF(AND('341-CT'!$E$9=H1187,OR(LEFT(L1187,3)=$X$7,LEFT(M1187,3)=$X$7)),"x","")</f>
        <v/>
      </c>
      <c r="Y1187" s="525" t="str">
        <f>IF(OR(TH!L1187=TH!$Y$7,M1187=TH!$Y$7),"x","")</f>
        <v/>
      </c>
      <c r="Z1187" s="525" t="str">
        <f>IF(AND(B1187&lt;=NKC!$N$8,B1187&gt;=NKC!$M$8),"x","")</f>
        <v>x</v>
      </c>
      <c r="AA1187" s="535"/>
    </row>
    <row r="1188" spans="1:27" s="503" customFormat="1" ht="15.75" customHeight="1">
      <c r="A1188" s="517" t="str">
        <f>IF(B1188&lt;&gt;"",IF(AND(B1188&gt;=_TM1,B1188&lt;=_TM2,OR(TH!L1188="1111",TH!M1188="1111")),TH!D1188,""),"")</f>
        <v/>
      </c>
      <c r="B1188" s="531">
        <f t="shared" si="119"/>
        <v>3</v>
      </c>
      <c r="C1188" s="315">
        <f t="shared" si="120"/>
        <v>42825</v>
      </c>
      <c r="D1188" s="537" t="s">
        <v>476</v>
      </c>
      <c r="E1188" s="315">
        <v>42825</v>
      </c>
      <c r="F1188" s="249" t="s">
        <v>1099</v>
      </c>
      <c r="G1188" s="314" t="s">
        <v>781</v>
      </c>
      <c r="H1188" s="473" t="s">
        <v>373</v>
      </c>
      <c r="I1188" s="307"/>
      <c r="J1188" s="307"/>
      <c r="K1188" s="532">
        <v>400000</v>
      </c>
      <c r="L1188" s="534" t="s">
        <v>223</v>
      </c>
      <c r="M1188" s="534" t="s">
        <v>275</v>
      </c>
      <c r="N1188" s="525" t="str">
        <f>IF(AND('331-CT'!$E$7=TH!H1188,OR(L1188="331",M1188="331")),"331",IF(AND(OR(L1188="131",M1188="131"),H1188='131-CT'!$E$7),"131",""))</f>
        <v/>
      </c>
      <c r="O1188" s="525" t="str">
        <f>IF(AND($B1188&gt;='111'!$N$11,$B1188&lt;='111'!$O$11,OR($L1188=$O$7,$M1188=$O$7)),"x","")</f>
        <v/>
      </c>
      <c r="P1188" s="525" t="str">
        <f>IF(AND($L1188=$O$7,$B1188&lt;'111'!$N$11),"x","")</f>
        <v/>
      </c>
      <c r="Q1188" s="525" t="str">
        <f>IF(AND($M1188=$O$7,$B1188&lt;'111'!$N$11),"x","")</f>
        <v/>
      </c>
      <c r="R1188" s="525" t="str">
        <f>IF(ISERROR(FIND('112'!$M$9,G1188,1)),"",IF((AND(FIND('112'!$M$9,G1188,1)&gt;=1,$B1188&gt;='112'!$N$8,$B1188&lt;='112'!$O$8,OR($L1188='112'!$I$6,$M1188='112'!$I$6))),"x",""))</f>
        <v/>
      </c>
      <c r="S1188" s="525" t="str">
        <f>IF(ISERROR(FIND('112'!$M$9,G1188,1)),"",IF((AND(LEFT(G1188,2)=LEFT('112'!$M$9,2),B1188&lt;'112'!$N$8,$L1188='112'!$I$6)),"x",""))</f>
        <v/>
      </c>
      <c r="T1188" s="525" t="str">
        <f>IF(ISERROR(FIND('112'!$M$9,G1188,1)),"",IF((AND(RIGHT(G1188,2)=RIGHT('112'!$M$9,2),B1188&lt;'112'!$N$8,$M1188='112'!$I$6)),"x",""))</f>
        <v/>
      </c>
      <c r="U1188" s="525" t="str">
        <f>IF(AND(B1188&gt;='IN-NX'!$P$3,B1188&lt;='IN-NX'!$Q$3,'IN-NX'!$D$7=D1188,OR(LEFT(L1188,2)="15",AND(LEFT(M1188,2)&lt;&gt;"15",LEFT(M1188,2)&lt;&gt;"33"))),"x","")</f>
        <v/>
      </c>
      <c r="V1188" s="525" t="str">
        <f>IF(AND(OR(LEFT(TH!L1188,2)="15",LEFT(TH!M1188,2)="15"),'152-CT'!$J$8=TH!F1188),"x","")</f>
        <v/>
      </c>
      <c r="W1188" s="525" t="str">
        <f>IF(AND(OR(LEFT(TH!L1188,2)="15",LEFT(TH!M1188,2)="15"),TK!$E$7=TH!F1188),"x","")</f>
        <v/>
      </c>
      <c r="X1188" s="525" t="str">
        <f>IF(AND('341-CT'!$E$9=H1188,OR(LEFT(L1188,3)=$X$7,LEFT(M1188,3)=$X$7)),"x","")</f>
        <v/>
      </c>
      <c r="Y1188" s="525" t="str">
        <f>IF(OR(TH!L1188=TH!$Y$7,M1188=TH!$Y$7),"x","")</f>
        <v/>
      </c>
      <c r="Z1188" s="525" t="str">
        <f>IF(AND(B1188&lt;=NKC!$N$8,B1188&gt;=NKC!$M$8),"x","")</f>
        <v>x</v>
      </c>
      <c r="AA1188" s="535"/>
    </row>
    <row r="1189" spans="1:27" s="503" customFormat="1" ht="15.75" customHeight="1">
      <c r="A1189" s="517" t="str">
        <f>IF(B1189&lt;&gt;"",IF(AND(B1189&gt;=_TM1,B1189&lt;=_TM2,OR(TH!L1189="1111",TH!M1189="1111")),TH!D1189,""),"")</f>
        <v/>
      </c>
      <c r="B1189" s="531">
        <f t="shared" si="119"/>
        <v>3</v>
      </c>
      <c r="C1189" s="315">
        <f t="shared" si="120"/>
        <v>42825</v>
      </c>
      <c r="D1189" s="315" t="s">
        <v>946</v>
      </c>
      <c r="E1189" s="315">
        <v>42825</v>
      </c>
      <c r="F1189" s="249" t="s">
        <v>494</v>
      </c>
      <c r="G1189" s="314" t="s">
        <v>781</v>
      </c>
      <c r="H1189" s="473" t="s">
        <v>373</v>
      </c>
      <c r="I1189" s="307"/>
      <c r="J1189" s="307"/>
      <c r="K1189" s="532">
        <v>181740</v>
      </c>
      <c r="L1189" s="534" t="s">
        <v>223</v>
      </c>
      <c r="M1189" s="534" t="s">
        <v>259</v>
      </c>
      <c r="N1189" s="525" t="str">
        <f>IF(AND('331-CT'!$E$7=TH!H1189,OR(L1189="331",M1189="331")),"331",IF(AND(OR(L1189="131",M1189="131"),H1189='131-CT'!$E$7),"131",""))</f>
        <v/>
      </c>
      <c r="O1189" s="525" t="str">
        <f>IF(AND($B1189&gt;='111'!$N$11,$B1189&lt;='111'!$O$11,OR($L1189=$O$7,$M1189=$O$7)),"x","")</f>
        <v/>
      </c>
      <c r="P1189" s="525" t="str">
        <f>IF(AND($L1189=$O$7,$B1189&lt;'111'!$N$11),"x","")</f>
        <v/>
      </c>
      <c r="Q1189" s="525" t="str">
        <f>IF(AND($M1189=$O$7,$B1189&lt;'111'!$N$11),"x","")</f>
        <v/>
      </c>
      <c r="R1189" s="525" t="str">
        <f>IF(ISERROR(FIND('112'!$M$9,G1189,1)),"",IF((AND(FIND('112'!$M$9,G1189,1)&gt;=1,$B1189&gt;='112'!$N$8,$B1189&lt;='112'!$O$8,OR($L1189='112'!$I$6,$M1189='112'!$I$6))),"x",""))</f>
        <v/>
      </c>
      <c r="S1189" s="525" t="str">
        <f>IF(ISERROR(FIND('112'!$M$9,G1189,1)),"",IF((AND(LEFT(G1189,2)=LEFT('112'!$M$9,2),B1189&lt;'112'!$N$8,$L1189='112'!$I$6)),"x",""))</f>
        <v/>
      </c>
      <c r="T1189" s="525" t="str">
        <f>IF(ISERROR(FIND('112'!$M$9,G1189,1)),"",IF((AND(RIGHT(G1189,2)=RIGHT('112'!$M$9,2),B1189&lt;'112'!$N$8,$M1189='112'!$I$6)),"x",""))</f>
        <v/>
      </c>
      <c r="U1189" s="525" t="str">
        <f>IF(AND(B1189&gt;='IN-NX'!$P$3,B1189&lt;='IN-NX'!$Q$3,'IN-NX'!$D$7=D1189,OR(LEFT(L1189,2)="15",AND(LEFT(M1189,2)&lt;&gt;"15",LEFT(M1189,2)&lt;&gt;"33"))),"x","")</f>
        <v/>
      </c>
      <c r="V1189" s="525" t="str">
        <f>IF(AND(OR(LEFT(TH!L1189,2)="15",LEFT(TH!M1189,2)="15"),'152-CT'!$J$8=TH!F1189),"x","")</f>
        <v/>
      </c>
      <c r="W1189" s="525" t="str">
        <f>IF(AND(OR(LEFT(TH!L1189,2)="15",LEFT(TH!M1189,2)="15"),TK!$E$7=TH!F1189),"x","")</f>
        <v/>
      </c>
      <c r="X1189" s="525" t="str">
        <f>IF(AND('341-CT'!$E$9=H1189,OR(LEFT(L1189,3)=$X$7,LEFT(M1189,3)=$X$7)),"x","")</f>
        <v/>
      </c>
      <c r="Y1189" s="525" t="str">
        <f>IF(OR(TH!L1189=TH!$Y$7,M1189=TH!$Y$7),"x","")</f>
        <v/>
      </c>
      <c r="Z1189" s="525" t="str">
        <f>IF(AND(B1189&lt;=NKC!$N$8,B1189&gt;=NKC!$M$8),"x","")</f>
        <v>x</v>
      </c>
      <c r="AA1189" s="535"/>
    </row>
    <row r="1190" spans="1:27" s="503" customFormat="1" ht="15.75" customHeight="1">
      <c r="A1190" s="517">
        <f>IF(B1190&lt;&gt;"",IF(AND(B1190&gt;=_TM1,B1190&lt;=_TM2,OR(TH!L1190="1111",TH!M1190="1111")),TH!D1190,""),"")</f>
        <v>0</v>
      </c>
      <c r="B1190" s="531">
        <f t="shared" si="119"/>
        <v>3</v>
      </c>
      <c r="C1190" s="315">
        <f t="shared" si="120"/>
        <v>42825</v>
      </c>
      <c r="D1190" s="537"/>
      <c r="E1190" s="315">
        <v>42825</v>
      </c>
      <c r="F1190" s="249" t="s">
        <v>1099</v>
      </c>
      <c r="G1190" s="314" t="s">
        <v>783</v>
      </c>
      <c r="H1190" s="473" t="s">
        <v>784</v>
      </c>
      <c r="I1190" s="307"/>
      <c r="J1190" s="307"/>
      <c r="K1190" s="532">
        <v>6000000</v>
      </c>
      <c r="L1190" s="534" t="s">
        <v>45</v>
      </c>
      <c r="M1190" s="534" t="s">
        <v>275</v>
      </c>
      <c r="N1190" s="525" t="str">
        <f>IF(AND('331-CT'!$E$7=TH!H1190,OR(L1190="331",M1190="331")),"331",IF(AND(OR(L1190="131",M1190="131"),H1190='131-CT'!$E$7),"131",""))</f>
        <v/>
      </c>
      <c r="O1190" s="525" t="str">
        <f>IF(AND($B1190&gt;='111'!$N$11,$B1190&lt;='111'!$O$11,OR($L1190=$O$7,$M1190=$O$7)),"x","")</f>
        <v/>
      </c>
      <c r="P1190" s="525" t="str">
        <f>IF(AND($L1190=$O$7,$B1190&lt;'111'!$N$11),"x","")</f>
        <v>x</v>
      </c>
      <c r="Q1190" s="525" t="str">
        <f>IF(AND($M1190=$O$7,$B1190&lt;'111'!$N$11),"x","")</f>
        <v/>
      </c>
      <c r="R1190" s="525" t="str">
        <f>IF(ISERROR(FIND('112'!$M$9,G1190,1)),"",IF((AND(FIND('112'!$M$9,G1190,1)&gt;=1,$B1190&gt;='112'!$N$8,$B1190&lt;='112'!$O$8,OR($L1190='112'!$I$6,$M1190='112'!$I$6))),"x",""))</f>
        <v/>
      </c>
      <c r="S1190" s="525" t="str">
        <f>IF(ISERROR(FIND('112'!$M$9,G1190,1)),"",IF((AND(LEFT(G1190,2)=LEFT('112'!$M$9,2),B1190&lt;'112'!$N$8,$L1190='112'!$I$6)),"x",""))</f>
        <v/>
      </c>
      <c r="T1190" s="525" t="str">
        <f>IF(ISERROR(FIND('112'!$M$9,G1190,1)),"",IF((AND(RIGHT(G1190,2)=RIGHT('112'!$M$9,2),B1190&lt;'112'!$N$8,$M1190='112'!$I$6)),"x",""))</f>
        <v/>
      </c>
      <c r="U1190" s="525" t="str">
        <f>IF(AND(B1190&gt;='IN-NX'!$P$3,B1190&lt;='IN-NX'!$Q$3,'IN-NX'!$D$7=D1190,OR(LEFT(L1190,2)="15",AND(LEFT(M1190,2)&lt;&gt;"15",LEFT(M1190,2)&lt;&gt;"33"))),"x","")</f>
        <v/>
      </c>
      <c r="V1190" s="525" t="str">
        <f>IF(AND(OR(LEFT(TH!L1190,2)="15",LEFT(TH!M1190,2)="15"),'152-CT'!$J$8=TH!F1190),"x","")</f>
        <v/>
      </c>
      <c r="W1190" s="525" t="str">
        <f>IF(AND(OR(LEFT(TH!L1190,2)="15",LEFT(TH!M1190,2)="15"),TK!$E$7=TH!F1190),"x","")</f>
        <v/>
      </c>
      <c r="X1190" s="525" t="str">
        <f>IF(AND('341-CT'!$E$9=H1190,OR(LEFT(L1190,3)=$X$7,LEFT(M1190,3)=$X$7)),"x","")</f>
        <v/>
      </c>
      <c r="Y1190" s="525" t="str">
        <f>IF(OR(TH!L1190=TH!$Y$7,M1190=TH!$Y$7),"x","")</f>
        <v/>
      </c>
      <c r="Z1190" s="525" t="str">
        <f>IF(AND(B1190&lt;=NKC!$N$8,B1190&gt;=NKC!$M$8),"x","")</f>
        <v>x</v>
      </c>
      <c r="AA1190" s="535"/>
    </row>
    <row r="1191" spans="1:27" s="503" customFormat="1" ht="15.75" customHeight="1">
      <c r="A1191" s="517">
        <f>IF(B1191&lt;&gt;"",IF(AND(B1191&gt;=_TM1,B1191&lt;=_TM2,OR(TH!L1191="1111",TH!M1191="1111")),TH!D1191,""),"")</f>
        <v>0</v>
      </c>
      <c r="B1191" s="531">
        <f t="shared" si="119"/>
        <v>3</v>
      </c>
      <c r="C1191" s="315">
        <f t="shared" si="120"/>
        <v>42825</v>
      </c>
      <c r="D1191" s="537"/>
      <c r="E1191" s="315">
        <v>42825</v>
      </c>
      <c r="F1191" s="249" t="s">
        <v>1102</v>
      </c>
      <c r="G1191" s="314" t="s">
        <v>783</v>
      </c>
      <c r="H1191" s="473" t="s">
        <v>784</v>
      </c>
      <c r="I1191" s="307"/>
      <c r="J1191" s="307"/>
      <c r="K1191" s="532">
        <v>600000</v>
      </c>
      <c r="L1191" s="534" t="s">
        <v>45</v>
      </c>
      <c r="M1191" s="534" t="s">
        <v>259</v>
      </c>
      <c r="N1191" s="525" t="str">
        <f>IF(AND('331-CT'!$E$7=TH!H1191,OR(L1191="331",M1191="331")),"331",IF(AND(OR(L1191="131",M1191="131"),H1191='131-CT'!$E$7),"131",""))</f>
        <v/>
      </c>
      <c r="O1191" s="525" t="str">
        <f>IF(AND($B1191&gt;='111'!$N$11,$B1191&lt;='111'!$O$11,OR($L1191=$O$7,$M1191=$O$7)),"x","")</f>
        <v/>
      </c>
      <c r="P1191" s="525" t="str">
        <f>IF(AND($L1191=$O$7,$B1191&lt;'111'!$N$11),"x","")</f>
        <v>x</v>
      </c>
      <c r="Q1191" s="525" t="str">
        <f>IF(AND($M1191=$O$7,$B1191&lt;'111'!$N$11),"x","")</f>
        <v/>
      </c>
      <c r="R1191" s="525" t="str">
        <f>IF(ISERROR(FIND('112'!$M$9,G1191,1)),"",IF((AND(FIND('112'!$M$9,G1191,1)&gt;=1,$B1191&gt;='112'!$N$8,$B1191&lt;='112'!$O$8,OR($L1191='112'!$I$6,$M1191='112'!$I$6))),"x",""))</f>
        <v/>
      </c>
      <c r="S1191" s="525" t="str">
        <f>IF(ISERROR(FIND('112'!$M$9,G1191,1)),"",IF((AND(LEFT(G1191,2)=LEFT('112'!$M$9,2),B1191&lt;'112'!$N$8,$L1191='112'!$I$6)),"x",""))</f>
        <v/>
      </c>
      <c r="T1191" s="525" t="str">
        <f>IF(ISERROR(FIND('112'!$M$9,G1191,1)),"",IF((AND(RIGHT(G1191,2)=RIGHT('112'!$M$9,2),B1191&lt;'112'!$N$8,$M1191='112'!$I$6)),"x",""))</f>
        <v/>
      </c>
      <c r="U1191" s="525" t="str">
        <f>IF(AND(B1191&gt;='IN-NX'!$P$3,B1191&lt;='IN-NX'!$Q$3,'IN-NX'!$D$7=D1191,OR(LEFT(L1191,2)="15",AND(LEFT(M1191,2)&lt;&gt;"15",LEFT(M1191,2)&lt;&gt;"33"))),"x","")</f>
        <v/>
      </c>
      <c r="V1191" s="525" t="str">
        <f>IF(AND(OR(LEFT(TH!L1191,2)="15",LEFT(TH!M1191,2)="15"),'152-CT'!$J$8=TH!F1191),"x","")</f>
        <v/>
      </c>
      <c r="W1191" s="525" t="str">
        <f>IF(AND(OR(LEFT(TH!L1191,2)="15",LEFT(TH!M1191,2)="15"),TK!$E$7=TH!F1191),"x","")</f>
        <v/>
      </c>
      <c r="X1191" s="525" t="str">
        <f>IF(AND('341-CT'!$E$9=H1191,OR(LEFT(L1191,3)=$X$7,LEFT(M1191,3)=$X$7)),"x","")</f>
        <v/>
      </c>
      <c r="Y1191" s="525" t="str">
        <f>IF(OR(TH!L1191=TH!$Y$7,M1191=TH!$Y$7),"x","")</f>
        <v/>
      </c>
      <c r="Z1191" s="525" t="str">
        <f>IF(AND(B1191&lt;=NKC!$N$8,B1191&gt;=NKC!$M$8),"x","")</f>
        <v>x</v>
      </c>
      <c r="AA1191" s="535"/>
    </row>
    <row r="1192" spans="1:27" s="503" customFormat="1" ht="15.75" customHeight="1">
      <c r="A1192" s="517">
        <f>IF(B1192&lt;&gt;"",IF(AND(B1192&gt;=_TM1,B1192&lt;=_TM2,OR(TH!L1192="1111",TH!M1192="1111")),TH!D1192,""),"")</f>
        <v>0</v>
      </c>
      <c r="B1192" s="531">
        <f t="shared" si="119"/>
        <v>3</v>
      </c>
      <c r="C1192" s="315">
        <f t="shared" si="120"/>
        <v>42825</v>
      </c>
      <c r="D1192" s="537"/>
      <c r="E1192" s="315">
        <v>42825</v>
      </c>
      <c r="F1192" s="249" t="s">
        <v>1099</v>
      </c>
      <c r="G1192" s="314" t="s">
        <v>785</v>
      </c>
      <c r="H1192" s="473" t="s">
        <v>511</v>
      </c>
      <c r="I1192" s="307"/>
      <c r="J1192" s="307"/>
      <c r="K1192" s="532">
        <v>2500000</v>
      </c>
      <c r="L1192" s="534" t="s">
        <v>45</v>
      </c>
      <c r="M1192" s="534" t="s">
        <v>275</v>
      </c>
      <c r="N1192" s="525" t="str">
        <f>IF(AND('331-CT'!$E$7=TH!H1192,OR(L1192="331",M1192="331")),"331",IF(AND(OR(L1192="131",M1192="131"),H1192='131-CT'!$E$7),"131",""))</f>
        <v/>
      </c>
      <c r="O1192" s="525" t="str">
        <f>IF(AND($B1192&gt;='111'!$N$11,$B1192&lt;='111'!$O$11,OR($L1192=$O$7,$M1192=$O$7)),"x","")</f>
        <v/>
      </c>
      <c r="P1192" s="525" t="str">
        <f>IF(AND($L1192=$O$7,$B1192&lt;'111'!$N$11),"x","")</f>
        <v>x</v>
      </c>
      <c r="Q1192" s="525" t="str">
        <f>IF(AND($M1192=$O$7,$B1192&lt;'111'!$N$11),"x","")</f>
        <v/>
      </c>
      <c r="R1192" s="525" t="str">
        <f>IF(ISERROR(FIND('112'!$M$9,G1192,1)),"",IF((AND(FIND('112'!$M$9,G1192,1)&gt;=1,$B1192&gt;='112'!$N$8,$B1192&lt;='112'!$O$8,OR($L1192='112'!$I$6,$M1192='112'!$I$6))),"x",""))</f>
        <v/>
      </c>
      <c r="S1192" s="525" t="str">
        <f>IF(ISERROR(FIND('112'!$M$9,G1192,1)),"",IF((AND(LEFT(G1192,2)=LEFT('112'!$M$9,2),B1192&lt;'112'!$N$8,$L1192='112'!$I$6)),"x",""))</f>
        <v/>
      </c>
      <c r="T1192" s="525" t="str">
        <f>IF(ISERROR(FIND('112'!$M$9,G1192,1)),"",IF((AND(RIGHT(G1192,2)=RIGHT('112'!$M$9,2),B1192&lt;'112'!$N$8,$M1192='112'!$I$6)),"x",""))</f>
        <v/>
      </c>
      <c r="U1192" s="525" t="str">
        <f>IF(AND(B1192&gt;='IN-NX'!$P$3,B1192&lt;='IN-NX'!$Q$3,'IN-NX'!$D$7=D1192,OR(LEFT(L1192,2)="15",AND(LEFT(M1192,2)&lt;&gt;"15",LEFT(M1192,2)&lt;&gt;"33"))),"x","")</f>
        <v/>
      </c>
      <c r="V1192" s="525" t="str">
        <f>IF(AND(OR(LEFT(TH!L1192,2)="15",LEFT(TH!M1192,2)="15"),'152-CT'!$J$8=TH!F1192),"x","")</f>
        <v/>
      </c>
      <c r="W1192" s="525" t="str">
        <f>IF(AND(OR(LEFT(TH!L1192,2)="15",LEFT(TH!M1192,2)="15"),TK!$E$7=TH!F1192),"x","")</f>
        <v/>
      </c>
      <c r="X1192" s="525" t="str">
        <f>IF(AND('341-CT'!$E$9=H1192,OR(LEFT(L1192,3)=$X$7,LEFT(M1192,3)=$X$7)),"x","")</f>
        <v/>
      </c>
      <c r="Y1192" s="525" t="str">
        <f>IF(OR(TH!L1192=TH!$Y$7,M1192=TH!$Y$7),"x","")</f>
        <v/>
      </c>
      <c r="Z1192" s="525" t="str">
        <f>IF(AND(B1192&lt;=NKC!$N$8,B1192&gt;=NKC!$M$8),"x","")</f>
        <v>x</v>
      </c>
      <c r="AA1192" s="535"/>
    </row>
    <row r="1193" spans="1:27" s="503" customFormat="1" ht="15.75" customHeight="1">
      <c r="A1193" s="517">
        <f>IF(B1193&lt;&gt;"",IF(AND(B1193&gt;=_TM1,B1193&lt;=_TM2,OR(TH!L1193="1111",TH!M1193="1111")),TH!D1193,""),"")</f>
        <v>0</v>
      </c>
      <c r="B1193" s="531">
        <f t="shared" si="119"/>
        <v>3</v>
      </c>
      <c r="C1193" s="315">
        <f t="shared" si="120"/>
        <v>42825</v>
      </c>
      <c r="D1193" s="537"/>
      <c r="E1193" s="315">
        <v>42825</v>
      </c>
      <c r="F1193" s="249" t="s">
        <v>1102</v>
      </c>
      <c r="G1193" s="314" t="s">
        <v>785</v>
      </c>
      <c r="H1193" s="473" t="s">
        <v>511</v>
      </c>
      <c r="I1193" s="307"/>
      <c r="J1193" s="307"/>
      <c r="K1193" s="532">
        <v>250000</v>
      </c>
      <c r="L1193" s="534" t="s">
        <v>45</v>
      </c>
      <c r="M1193" s="534" t="s">
        <v>259</v>
      </c>
      <c r="N1193" s="525" t="str">
        <f>IF(AND('331-CT'!$E$7=TH!H1193,OR(L1193="331",M1193="331")),"331",IF(AND(OR(L1193="131",M1193="131"),H1193='131-CT'!$E$7),"131",""))</f>
        <v/>
      </c>
      <c r="O1193" s="525" t="str">
        <f>IF(AND($B1193&gt;='111'!$N$11,$B1193&lt;='111'!$O$11,OR($L1193=$O$7,$M1193=$O$7)),"x","")</f>
        <v/>
      </c>
      <c r="P1193" s="525" t="str">
        <f>IF(AND($L1193=$O$7,$B1193&lt;'111'!$N$11),"x","")</f>
        <v>x</v>
      </c>
      <c r="Q1193" s="525" t="str">
        <f>IF(AND($M1193=$O$7,$B1193&lt;'111'!$N$11),"x","")</f>
        <v/>
      </c>
      <c r="R1193" s="525" t="str">
        <f>IF(ISERROR(FIND('112'!$M$9,G1193,1)),"",IF((AND(FIND('112'!$M$9,G1193,1)&gt;=1,$B1193&gt;='112'!$N$8,$B1193&lt;='112'!$O$8,OR($L1193='112'!$I$6,$M1193='112'!$I$6))),"x",""))</f>
        <v/>
      </c>
      <c r="S1193" s="525" t="str">
        <f>IF(ISERROR(FIND('112'!$M$9,G1193,1)),"",IF((AND(LEFT(G1193,2)=LEFT('112'!$M$9,2),B1193&lt;'112'!$N$8,$L1193='112'!$I$6)),"x",""))</f>
        <v/>
      </c>
      <c r="T1193" s="525" t="str">
        <f>IF(ISERROR(FIND('112'!$M$9,G1193,1)),"",IF((AND(RIGHT(G1193,2)=RIGHT('112'!$M$9,2),B1193&lt;'112'!$N$8,$M1193='112'!$I$6)),"x",""))</f>
        <v/>
      </c>
      <c r="U1193" s="525" t="str">
        <f>IF(AND(B1193&gt;='IN-NX'!$P$3,B1193&lt;='IN-NX'!$Q$3,'IN-NX'!$D$7=D1193,OR(LEFT(L1193,2)="15",AND(LEFT(M1193,2)&lt;&gt;"15",LEFT(M1193,2)&lt;&gt;"33"))),"x","")</f>
        <v/>
      </c>
      <c r="V1193" s="525" t="str">
        <f>IF(AND(OR(LEFT(TH!L1193,2)="15",LEFT(TH!M1193,2)="15"),'152-CT'!$J$8=TH!F1193),"x","")</f>
        <v/>
      </c>
      <c r="W1193" s="525" t="str">
        <f>IF(AND(OR(LEFT(TH!L1193,2)="15",LEFT(TH!M1193,2)="15"),TK!$E$7=TH!F1193),"x","")</f>
        <v/>
      </c>
      <c r="X1193" s="525" t="str">
        <f>IF(AND('341-CT'!$E$9=H1193,OR(LEFT(L1193,3)=$X$7,LEFT(M1193,3)=$X$7)),"x","")</f>
        <v/>
      </c>
      <c r="Y1193" s="525" t="str">
        <f>IF(OR(TH!L1193=TH!$Y$7,M1193=TH!$Y$7),"x","")</f>
        <v/>
      </c>
      <c r="Z1193" s="525" t="str">
        <f>IF(AND(B1193&lt;=NKC!$N$8,B1193&gt;=NKC!$M$8),"x","")</f>
        <v>x</v>
      </c>
      <c r="AA1193" s="535"/>
    </row>
    <row r="1194" spans="1:27" s="503" customFormat="1" ht="15.75" customHeight="1">
      <c r="A1194" s="517" t="str">
        <f>IF(B1194&lt;&gt;"",IF(AND(B1194&gt;=_TM1,B1194&lt;=_TM2,OR(TH!L1194="1111",TH!M1194="1111")),TH!D1194,""),"")</f>
        <v/>
      </c>
      <c r="B1194" s="531">
        <f t="shared" si="119"/>
        <v>3</v>
      </c>
      <c r="C1194" s="315">
        <f t="shared" si="120"/>
        <v>42825</v>
      </c>
      <c r="D1194" s="315" t="s">
        <v>947</v>
      </c>
      <c r="E1194" s="315">
        <v>42825</v>
      </c>
      <c r="F1194" s="249" t="s">
        <v>790</v>
      </c>
      <c r="G1194" s="314" t="s">
        <v>789</v>
      </c>
      <c r="H1194" s="473" t="s">
        <v>284</v>
      </c>
      <c r="I1194" s="307">
        <v>76</v>
      </c>
      <c r="J1194" s="307">
        <v>19606</v>
      </c>
      <c r="K1194" s="532">
        <f t="shared" ref="K1194:K1203" si="121">ROUND(I1194*J1194,0)</f>
        <v>1490056</v>
      </c>
      <c r="L1194" s="534" t="s">
        <v>223</v>
      </c>
      <c r="M1194" s="534" t="s">
        <v>162</v>
      </c>
      <c r="N1194" s="525" t="str">
        <f>IF(AND('331-CT'!$E$7=TH!H1194,OR(L1194="331",M1194="331")),"331",IF(AND(OR(L1194="131",M1194="131"),H1194='131-CT'!$E$7),"131",""))</f>
        <v/>
      </c>
      <c r="O1194" s="525" t="str">
        <f>IF(AND($B1194&gt;='111'!$N$11,$B1194&lt;='111'!$O$11,OR($L1194=$O$7,$M1194=$O$7)),"x","")</f>
        <v/>
      </c>
      <c r="P1194" s="525" t="str">
        <f>IF(AND($L1194=$O$7,$B1194&lt;'111'!$N$11),"x","")</f>
        <v/>
      </c>
      <c r="Q1194" s="525" t="str">
        <f>IF(AND($M1194=$O$7,$B1194&lt;'111'!$N$11),"x","")</f>
        <v/>
      </c>
      <c r="R1194" s="525" t="str">
        <f>IF(ISERROR(FIND('112'!$M$9,G1194,1)),"",IF((AND(FIND('112'!$M$9,G1194,1)&gt;=1,$B1194&gt;='112'!$N$8,$B1194&lt;='112'!$O$8,OR($L1194='112'!$I$6,$M1194='112'!$I$6))),"x",""))</f>
        <v/>
      </c>
      <c r="S1194" s="525" t="str">
        <f>IF(ISERROR(FIND('112'!$M$9,G1194,1)),"",IF((AND(LEFT(G1194,2)=LEFT('112'!$M$9,2),B1194&lt;'112'!$N$8,$L1194='112'!$I$6)),"x",""))</f>
        <v/>
      </c>
      <c r="T1194" s="525" t="str">
        <f>IF(ISERROR(FIND('112'!$M$9,G1194,1)),"",IF((AND(RIGHT(G1194,2)=RIGHT('112'!$M$9,2),B1194&lt;'112'!$N$8,$M1194='112'!$I$6)),"x",""))</f>
        <v/>
      </c>
      <c r="U1194" s="525" t="str">
        <f>IF(AND(B1194&gt;='IN-NX'!$P$3,B1194&lt;='IN-NX'!$Q$3,'IN-NX'!$D$7=D1194,OR(LEFT(L1194,2)="15",AND(LEFT(M1194,2)&lt;&gt;"15",LEFT(M1194,2)&lt;&gt;"33"))),"x","")</f>
        <v/>
      </c>
      <c r="V1194" s="525" t="str">
        <f>IF(AND(OR(LEFT(TH!L1194,2)="15",LEFT(TH!M1194,2)="15"),'152-CT'!$J$8=TH!F1194),"x","")</f>
        <v/>
      </c>
      <c r="W1194" s="525" t="str">
        <f>IF(AND(OR(LEFT(TH!L1194,2)="15",LEFT(TH!M1194,2)="15"),TK!$E$7=TH!F1194),"x","")</f>
        <v/>
      </c>
      <c r="X1194" s="525" t="str">
        <f>IF(AND('341-CT'!$E$9=H1194,OR(LEFT(L1194,3)=$X$7,LEFT(M1194,3)=$X$7)),"x","")</f>
        <v/>
      </c>
      <c r="Y1194" s="525" t="str">
        <f>IF(OR(TH!L1194=TH!$Y$7,M1194=TH!$Y$7),"x","")</f>
        <v/>
      </c>
      <c r="Z1194" s="525" t="str">
        <f>IF(AND(B1194&lt;=NKC!$N$8,B1194&gt;=NKC!$M$8),"x","")</f>
        <v>x</v>
      </c>
      <c r="AA1194" s="535"/>
    </row>
    <row r="1195" spans="1:27" s="503" customFormat="1" ht="15.75" customHeight="1">
      <c r="A1195" s="517" t="str">
        <f>IF(B1195&lt;&gt;"",IF(AND(B1195&gt;=_TM1,B1195&lt;=_TM2,OR(TH!L1195="1111",TH!M1195="1111")),TH!D1195,""),"")</f>
        <v/>
      </c>
      <c r="B1195" s="531">
        <f t="shared" si="119"/>
        <v>3</v>
      </c>
      <c r="C1195" s="315">
        <f t="shared" si="120"/>
        <v>42825</v>
      </c>
      <c r="D1195" s="315" t="s">
        <v>947</v>
      </c>
      <c r="E1195" s="315">
        <v>42825</v>
      </c>
      <c r="F1195" s="249" t="s">
        <v>750</v>
      </c>
      <c r="G1195" s="314" t="s">
        <v>789</v>
      </c>
      <c r="H1195" s="473" t="s">
        <v>284</v>
      </c>
      <c r="I1195" s="307">
        <v>40</v>
      </c>
      <c r="J1195" s="307">
        <v>69654</v>
      </c>
      <c r="K1195" s="532">
        <f t="shared" si="121"/>
        <v>2786160</v>
      </c>
      <c r="L1195" s="534" t="s">
        <v>223</v>
      </c>
      <c r="M1195" s="534" t="s">
        <v>162</v>
      </c>
      <c r="N1195" s="525" t="str">
        <f>IF(AND('331-CT'!$E$7=TH!H1195,OR(L1195="331",M1195="331")),"331",IF(AND(OR(L1195="131",M1195="131"),H1195='131-CT'!$E$7),"131",""))</f>
        <v/>
      </c>
      <c r="O1195" s="525" t="str">
        <f>IF(AND($B1195&gt;='111'!$N$11,$B1195&lt;='111'!$O$11,OR($L1195=$O$7,$M1195=$O$7)),"x","")</f>
        <v/>
      </c>
      <c r="P1195" s="525" t="str">
        <f>IF(AND($L1195=$O$7,$B1195&lt;'111'!$N$11),"x","")</f>
        <v/>
      </c>
      <c r="Q1195" s="525" t="str">
        <f>IF(AND($M1195=$O$7,$B1195&lt;'111'!$N$11),"x","")</f>
        <v/>
      </c>
      <c r="R1195" s="525" t="str">
        <f>IF(ISERROR(FIND('112'!$M$9,G1195,1)),"",IF((AND(FIND('112'!$M$9,G1195,1)&gt;=1,$B1195&gt;='112'!$N$8,$B1195&lt;='112'!$O$8,OR($L1195='112'!$I$6,$M1195='112'!$I$6))),"x",""))</f>
        <v/>
      </c>
      <c r="S1195" s="525" t="str">
        <f>IF(ISERROR(FIND('112'!$M$9,G1195,1)),"",IF((AND(LEFT(G1195,2)=LEFT('112'!$M$9,2),B1195&lt;'112'!$N$8,$L1195='112'!$I$6)),"x",""))</f>
        <v/>
      </c>
      <c r="T1195" s="525" t="str">
        <f>IF(ISERROR(FIND('112'!$M$9,G1195,1)),"",IF((AND(RIGHT(G1195,2)=RIGHT('112'!$M$9,2),B1195&lt;'112'!$N$8,$M1195='112'!$I$6)),"x",""))</f>
        <v/>
      </c>
      <c r="U1195" s="525" t="str">
        <f>IF(AND(B1195&gt;='IN-NX'!$P$3,B1195&lt;='IN-NX'!$Q$3,'IN-NX'!$D$7=D1195,OR(LEFT(L1195,2)="15",AND(LEFT(M1195,2)&lt;&gt;"15",LEFT(M1195,2)&lt;&gt;"33"))),"x","")</f>
        <v/>
      </c>
      <c r="V1195" s="525" t="str">
        <f>IF(AND(OR(LEFT(TH!L1195,2)="15",LEFT(TH!M1195,2)="15"),'152-CT'!$J$8=TH!F1195),"x","")</f>
        <v/>
      </c>
      <c r="W1195" s="525" t="str">
        <f>IF(AND(OR(LEFT(TH!L1195,2)="15",LEFT(TH!M1195,2)="15"),TK!$E$7=TH!F1195),"x","")</f>
        <v/>
      </c>
      <c r="X1195" s="525" t="str">
        <f>IF(AND('341-CT'!$E$9=H1195,OR(LEFT(L1195,3)=$X$7,LEFT(M1195,3)=$X$7)),"x","")</f>
        <v/>
      </c>
      <c r="Y1195" s="525" t="str">
        <f>IF(OR(TH!L1195=TH!$Y$7,M1195=TH!$Y$7),"x","")</f>
        <v/>
      </c>
      <c r="Z1195" s="525" t="str">
        <f>IF(AND(B1195&lt;=NKC!$N$8,B1195&gt;=NKC!$M$8),"x","")</f>
        <v>x</v>
      </c>
      <c r="AA1195" s="535"/>
    </row>
    <row r="1196" spans="1:27" s="503" customFormat="1" ht="15.75" customHeight="1">
      <c r="A1196" s="517" t="str">
        <f>IF(B1196&lt;&gt;"",IF(AND(B1196&gt;=_TM1,B1196&lt;=_TM2,OR(TH!L1196="1111",TH!M1196="1111")),TH!D1196,""),"")</f>
        <v/>
      </c>
      <c r="B1196" s="531">
        <f t="shared" si="119"/>
        <v>3</v>
      </c>
      <c r="C1196" s="315">
        <f t="shared" si="120"/>
        <v>42825</v>
      </c>
      <c r="D1196" s="315" t="s">
        <v>947</v>
      </c>
      <c r="E1196" s="315">
        <v>42825</v>
      </c>
      <c r="F1196" s="249" t="s">
        <v>643</v>
      </c>
      <c r="G1196" s="314" t="s">
        <v>789</v>
      </c>
      <c r="H1196" s="473" t="s">
        <v>284</v>
      </c>
      <c r="I1196" s="307">
        <v>14</v>
      </c>
      <c r="J1196" s="307">
        <v>92736</v>
      </c>
      <c r="K1196" s="532">
        <f t="shared" si="121"/>
        <v>1298304</v>
      </c>
      <c r="L1196" s="534" t="s">
        <v>223</v>
      </c>
      <c r="M1196" s="534" t="s">
        <v>162</v>
      </c>
      <c r="N1196" s="525" t="str">
        <f>IF(AND('331-CT'!$E$7=TH!H1196,OR(L1196="331",M1196="331")),"331",IF(AND(OR(L1196="131",M1196="131"),H1196='131-CT'!$E$7),"131",""))</f>
        <v/>
      </c>
      <c r="O1196" s="525" t="str">
        <f>IF(AND($B1196&gt;='111'!$N$11,$B1196&lt;='111'!$O$11,OR($L1196=$O$7,$M1196=$O$7)),"x","")</f>
        <v/>
      </c>
      <c r="P1196" s="525" t="str">
        <f>IF(AND($L1196=$O$7,$B1196&lt;'111'!$N$11),"x","")</f>
        <v/>
      </c>
      <c r="Q1196" s="525" t="str">
        <f>IF(AND($M1196=$O$7,$B1196&lt;'111'!$N$11),"x","")</f>
        <v/>
      </c>
      <c r="R1196" s="525" t="str">
        <f>IF(ISERROR(FIND('112'!$M$9,G1196,1)),"",IF((AND(FIND('112'!$M$9,G1196,1)&gt;=1,$B1196&gt;='112'!$N$8,$B1196&lt;='112'!$O$8,OR($L1196='112'!$I$6,$M1196='112'!$I$6))),"x",""))</f>
        <v/>
      </c>
      <c r="S1196" s="525" t="str">
        <f>IF(ISERROR(FIND('112'!$M$9,G1196,1)),"",IF((AND(LEFT(G1196,2)=LEFT('112'!$M$9,2),B1196&lt;'112'!$N$8,$L1196='112'!$I$6)),"x",""))</f>
        <v/>
      </c>
      <c r="T1196" s="525" t="str">
        <f>IF(ISERROR(FIND('112'!$M$9,G1196,1)),"",IF((AND(RIGHT(G1196,2)=RIGHT('112'!$M$9,2),B1196&lt;'112'!$N$8,$M1196='112'!$I$6)),"x",""))</f>
        <v/>
      </c>
      <c r="U1196" s="525" t="str">
        <f>IF(AND(B1196&gt;='IN-NX'!$P$3,B1196&lt;='IN-NX'!$Q$3,'IN-NX'!$D$7=D1196,OR(LEFT(L1196,2)="15",AND(LEFT(M1196,2)&lt;&gt;"15",LEFT(M1196,2)&lt;&gt;"33"))),"x","")</f>
        <v/>
      </c>
      <c r="V1196" s="525" t="str">
        <f>IF(AND(OR(LEFT(TH!L1196,2)="15",LEFT(TH!M1196,2)="15"),'152-CT'!$J$8=TH!F1196),"x","")</f>
        <v/>
      </c>
      <c r="W1196" s="525" t="str">
        <f>IF(AND(OR(LEFT(TH!L1196,2)="15",LEFT(TH!M1196,2)="15"),TK!$E$7=TH!F1196),"x","")</f>
        <v/>
      </c>
      <c r="X1196" s="525" t="str">
        <f>IF(AND('341-CT'!$E$9=H1196,OR(LEFT(L1196,3)=$X$7,LEFT(M1196,3)=$X$7)),"x","")</f>
        <v/>
      </c>
      <c r="Y1196" s="525" t="str">
        <f>IF(OR(TH!L1196=TH!$Y$7,M1196=TH!$Y$7),"x","")</f>
        <v/>
      </c>
      <c r="Z1196" s="525" t="str">
        <f>IF(AND(B1196&lt;=NKC!$N$8,B1196&gt;=NKC!$M$8),"x","")</f>
        <v>x</v>
      </c>
      <c r="AA1196" s="535"/>
    </row>
    <row r="1197" spans="1:27" s="503" customFormat="1" ht="15.75" customHeight="1">
      <c r="A1197" s="517" t="str">
        <f>IF(B1197&lt;&gt;"",IF(AND(B1197&gt;=_TM1,B1197&lt;=_TM2,OR(TH!L1197="1111",TH!M1197="1111")),TH!D1197,""),"")</f>
        <v/>
      </c>
      <c r="B1197" s="531">
        <f t="shared" si="119"/>
        <v>3</v>
      </c>
      <c r="C1197" s="315">
        <f t="shared" si="120"/>
        <v>42825</v>
      </c>
      <c r="D1197" s="315" t="s">
        <v>947</v>
      </c>
      <c r="E1197" s="315">
        <v>42825</v>
      </c>
      <c r="F1197" s="249" t="s">
        <v>619</v>
      </c>
      <c r="G1197" s="314" t="s">
        <v>789</v>
      </c>
      <c r="H1197" s="473" t="s">
        <v>284</v>
      </c>
      <c r="I1197" s="307">
        <v>94</v>
      </c>
      <c r="J1197" s="307">
        <v>30278</v>
      </c>
      <c r="K1197" s="532">
        <f t="shared" si="121"/>
        <v>2846132</v>
      </c>
      <c r="L1197" s="534" t="s">
        <v>223</v>
      </c>
      <c r="M1197" s="534" t="s">
        <v>162</v>
      </c>
      <c r="N1197" s="525" t="str">
        <f>IF(AND('331-CT'!$E$7=TH!H1197,OR(L1197="331",M1197="331")),"331",IF(AND(OR(L1197="131",M1197="131"),H1197='131-CT'!$E$7),"131",""))</f>
        <v/>
      </c>
      <c r="O1197" s="525" t="str">
        <f>IF(AND($B1197&gt;='111'!$N$11,$B1197&lt;='111'!$O$11,OR($L1197=$O$7,$M1197=$O$7)),"x","")</f>
        <v/>
      </c>
      <c r="P1197" s="525" t="str">
        <f>IF(AND($L1197=$O$7,$B1197&lt;'111'!$N$11),"x","")</f>
        <v/>
      </c>
      <c r="Q1197" s="525" t="str">
        <f>IF(AND($M1197=$O$7,$B1197&lt;'111'!$N$11),"x","")</f>
        <v/>
      </c>
      <c r="R1197" s="525" t="str">
        <f>IF(ISERROR(FIND('112'!$M$9,G1197,1)),"",IF((AND(FIND('112'!$M$9,G1197,1)&gt;=1,$B1197&gt;='112'!$N$8,$B1197&lt;='112'!$O$8,OR($L1197='112'!$I$6,$M1197='112'!$I$6))),"x",""))</f>
        <v/>
      </c>
      <c r="S1197" s="525" t="str">
        <f>IF(ISERROR(FIND('112'!$M$9,G1197,1)),"",IF((AND(LEFT(G1197,2)=LEFT('112'!$M$9,2),B1197&lt;'112'!$N$8,$L1197='112'!$I$6)),"x",""))</f>
        <v/>
      </c>
      <c r="T1197" s="525" t="str">
        <f>IF(ISERROR(FIND('112'!$M$9,G1197,1)),"",IF((AND(RIGHT(G1197,2)=RIGHT('112'!$M$9,2),B1197&lt;'112'!$N$8,$M1197='112'!$I$6)),"x",""))</f>
        <v/>
      </c>
      <c r="U1197" s="525" t="str">
        <f>IF(AND(B1197&gt;='IN-NX'!$P$3,B1197&lt;='IN-NX'!$Q$3,'IN-NX'!$D$7=D1197,OR(LEFT(L1197,2)="15",AND(LEFT(M1197,2)&lt;&gt;"15",LEFT(M1197,2)&lt;&gt;"33"))),"x","")</f>
        <v/>
      </c>
      <c r="V1197" s="525" t="str">
        <f>IF(AND(OR(LEFT(TH!L1197,2)="15",LEFT(TH!M1197,2)="15"),'152-CT'!$J$8=TH!F1197),"x","")</f>
        <v/>
      </c>
      <c r="W1197" s="525" t="str">
        <f>IF(AND(OR(LEFT(TH!L1197,2)="15",LEFT(TH!M1197,2)="15"),TK!$E$7=TH!F1197),"x","")</f>
        <v/>
      </c>
      <c r="X1197" s="525" t="str">
        <f>IF(AND('341-CT'!$E$9=H1197,OR(LEFT(L1197,3)=$X$7,LEFT(M1197,3)=$X$7)),"x","")</f>
        <v/>
      </c>
      <c r="Y1197" s="525" t="str">
        <f>IF(OR(TH!L1197=TH!$Y$7,M1197=TH!$Y$7),"x","")</f>
        <v/>
      </c>
      <c r="Z1197" s="525" t="str">
        <f>IF(AND(B1197&lt;=NKC!$N$8,B1197&gt;=NKC!$M$8),"x","")</f>
        <v>x</v>
      </c>
      <c r="AA1197" s="535"/>
    </row>
    <row r="1198" spans="1:27" s="503" customFormat="1" ht="15.75" customHeight="1">
      <c r="A1198" s="517" t="str">
        <f>IF(B1198&lt;&gt;"",IF(AND(B1198&gt;=_TM1,B1198&lt;=_TM2,OR(TH!L1198="1111",TH!M1198="1111")),TH!D1198,""),"")</f>
        <v/>
      </c>
      <c r="B1198" s="531">
        <f t="shared" si="119"/>
        <v>3</v>
      </c>
      <c r="C1198" s="315">
        <f t="shared" si="120"/>
        <v>42825</v>
      </c>
      <c r="D1198" s="315" t="s">
        <v>947</v>
      </c>
      <c r="E1198" s="315">
        <v>42825</v>
      </c>
      <c r="F1198" s="249" t="s">
        <v>791</v>
      </c>
      <c r="G1198" s="314" t="s">
        <v>789</v>
      </c>
      <c r="H1198" s="473" t="s">
        <v>284</v>
      </c>
      <c r="I1198" s="307">
        <v>24</v>
      </c>
      <c r="J1198" s="307">
        <v>129903</v>
      </c>
      <c r="K1198" s="532">
        <f t="shared" si="121"/>
        <v>3117672</v>
      </c>
      <c r="L1198" s="534" t="s">
        <v>223</v>
      </c>
      <c r="M1198" s="534" t="s">
        <v>162</v>
      </c>
      <c r="N1198" s="525" t="str">
        <f>IF(AND('331-CT'!$E$7=TH!H1198,OR(L1198="331",M1198="331")),"331",IF(AND(OR(L1198="131",M1198="131"),H1198='131-CT'!$E$7),"131",""))</f>
        <v/>
      </c>
      <c r="O1198" s="525" t="str">
        <f>IF(AND($B1198&gt;='111'!$N$11,$B1198&lt;='111'!$O$11,OR($L1198=$O$7,$M1198=$O$7)),"x","")</f>
        <v/>
      </c>
      <c r="P1198" s="525" t="str">
        <f>IF(AND($L1198=$O$7,$B1198&lt;'111'!$N$11),"x","")</f>
        <v/>
      </c>
      <c r="Q1198" s="525" t="str">
        <f>IF(AND($M1198=$O$7,$B1198&lt;'111'!$N$11),"x","")</f>
        <v/>
      </c>
      <c r="R1198" s="525" t="str">
        <f>IF(ISERROR(FIND('112'!$M$9,G1198,1)),"",IF((AND(FIND('112'!$M$9,G1198,1)&gt;=1,$B1198&gt;='112'!$N$8,$B1198&lt;='112'!$O$8,OR($L1198='112'!$I$6,$M1198='112'!$I$6))),"x",""))</f>
        <v/>
      </c>
      <c r="S1198" s="525" t="str">
        <f>IF(ISERROR(FIND('112'!$M$9,G1198,1)),"",IF((AND(LEFT(G1198,2)=LEFT('112'!$M$9,2),B1198&lt;'112'!$N$8,$L1198='112'!$I$6)),"x",""))</f>
        <v/>
      </c>
      <c r="T1198" s="525" t="str">
        <f>IF(ISERROR(FIND('112'!$M$9,G1198,1)),"",IF((AND(RIGHT(G1198,2)=RIGHT('112'!$M$9,2),B1198&lt;'112'!$N$8,$M1198='112'!$I$6)),"x",""))</f>
        <v/>
      </c>
      <c r="U1198" s="525" t="str">
        <f>IF(AND(B1198&gt;='IN-NX'!$P$3,B1198&lt;='IN-NX'!$Q$3,'IN-NX'!$D$7=D1198,OR(LEFT(L1198,2)="15",AND(LEFT(M1198,2)&lt;&gt;"15",LEFT(M1198,2)&lt;&gt;"33"))),"x","")</f>
        <v/>
      </c>
      <c r="V1198" s="525" t="str">
        <f>IF(AND(OR(LEFT(TH!L1198,2)="15",LEFT(TH!M1198,2)="15"),'152-CT'!$J$8=TH!F1198),"x","")</f>
        <v/>
      </c>
      <c r="W1198" s="525" t="str">
        <f>IF(AND(OR(LEFT(TH!L1198,2)="15",LEFT(TH!M1198,2)="15"),TK!$E$7=TH!F1198),"x","")</f>
        <v/>
      </c>
      <c r="X1198" s="525" t="str">
        <f>IF(AND('341-CT'!$E$9=H1198,OR(LEFT(L1198,3)=$X$7,LEFT(M1198,3)=$X$7)),"x","")</f>
        <v/>
      </c>
      <c r="Y1198" s="525" t="str">
        <f>IF(OR(TH!L1198=TH!$Y$7,M1198=TH!$Y$7),"x","")</f>
        <v/>
      </c>
      <c r="Z1198" s="525" t="str">
        <f>IF(AND(B1198&lt;=NKC!$N$8,B1198&gt;=NKC!$M$8),"x","")</f>
        <v>x</v>
      </c>
      <c r="AA1198" s="535"/>
    </row>
    <row r="1199" spans="1:27" s="503" customFormat="1" ht="15.75" customHeight="1">
      <c r="A1199" s="517" t="str">
        <f>IF(B1199&lt;&gt;"",IF(AND(B1199&gt;=_TM1,B1199&lt;=_TM2,OR(TH!L1199="1111",TH!M1199="1111")),TH!D1199,""),"")</f>
        <v/>
      </c>
      <c r="B1199" s="531">
        <f t="shared" si="119"/>
        <v>3</v>
      </c>
      <c r="C1199" s="315">
        <f t="shared" si="120"/>
        <v>42825</v>
      </c>
      <c r="D1199" s="315" t="s">
        <v>947</v>
      </c>
      <c r="E1199" s="315">
        <v>42825</v>
      </c>
      <c r="F1199" s="249" t="s">
        <v>792</v>
      </c>
      <c r="G1199" s="314" t="s">
        <v>789</v>
      </c>
      <c r="H1199" s="473" t="s">
        <v>284</v>
      </c>
      <c r="I1199" s="307">
        <v>10</v>
      </c>
      <c r="J1199" s="307">
        <v>29566</v>
      </c>
      <c r="K1199" s="532">
        <f t="shared" si="121"/>
        <v>295660</v>
      </c>
      <c r="L1199" s="534" t="s">
        <v>223</v>
      </c>
      <c r="M1199" s="534" t="s">
        <v>162</v>
      </c>
      <c r="N1199" s="525" t="str">
        <f>IF(AND('331-CT'!$E$7=TH!H1199,OR(L1199="331",M1199="331")),"331",IF(AND(OR(L1199="131",M1199="131"),H1199='131-CT'!$E$7),"131",""))</f>
        <v/>
      </c>
      <c r="O1199" s="525" t="str">
        <f>IF(AND($B1199&gt;='111'!$N$11,$B1199&lt;='111'!$O$11,OR($L1199=$O$7,$M1199=$O$7)),"x","")</f>
        <v/>
      </c>
      <c r="P1199" s="525" t="str">
        <f>IF(AND($L1199=$O$7,$B1199&lt;'111'!$N$11),"x","")</f>
        <v/>
      </c>
      <c r="Q1199" s="525" t="str">
        <f>IF(AND($M1199=$O$7,$B1199&lt;'111'!$N$11),"x","")</f>
        <v/>
      </c>
      <c r="R1199" s="525" t="str">
        <f>IF(ISERROR(FIND('112'!$M$9,G1199,1)),"",IF((AND(FIND('112'!$M$9,G1199,1)&gt;=1,$B1199&gt;='112'!$N$8,$B1199&lt;='112'!$O$8,OR($L1199='112'!$I$6,$M1199='112'!$I$6))),"x",""))</f>
        <v/>
      </c>
      <c r="S1199" s="525" t="str">
        <f>IF(ISERROR(FIND('112'!$M$9,G1199,1)),"",IF((AND(LEFT(G1199,2)=LEFT('112'!$M$9,2),B1199&lt;'112'!$N$8,$L1199='112'!$I$6)),"x",""))</f>
        <v/>
      </c>
      <c r="T1199" s="525" t="str">
        <f>IF(ISERROR(FIND('112'!$M$9,G1199,1)),"",IF((AND(RIGHT(G1199,2)=RIGHT('112'!$M$9,2),B1199&lt;'112'!$N$8,$M1199='112'!$I$6)),"x",""))</f>
        <v/>
      </c>
      <c r="U1199" s="525" t="str">
        <f>IF(AND(B1199&gt;='IN-NX'!$P$3,B1199&lt;='IN-NX'!$Q$3,'IN-NX'!$D$7=D1199,OR(LEFT(L1199,2)="15",AND(LEFT(M1199,2)&lt;&gt;"15",LEFT(M1199,2)&lt;&gt;"33"))),"x","")</f>
        <v/>
      </c>
      <c r="V1199" s="525" t="str">
        <f>IF(AND(OR(LEFT(TH!L1199,2)="15",LEFT(TH!M1199,2)="15"),'152-CT'!$J$8=TH!F1199),"x","")</f>
        <v/>
      </c>
      <c r="W1199" s="525" t="str">
        <f>IF(AND(OR(LEFT(TH!L1199,2)="15",LEFT(TH!M1199,2)="15"),TK!$E$7=TH!F1199),"x","")</f>
        <v/>
      </c>
      <c r="X1199" s="525" t="str">
        <f>IF(AND('341-CT'!$E$9=H1199,OR(LEFT(L1199,3)=$X$7,LEFT(M1199,3)=$X$7)),"x","")</f>
        <v/>
      </c>
      <c r="Y1199" s="525" t="str">
        <f>IF(OR(TH!L1199=TH!$Y$7,M1199=TH!$Y$7),"x","")</f>
        <v/>
      </c>
      <c r="Z1199" s="525" t="str">
        <f>IF(AND(B1199&lt;=NKC!$N$8,B1199&gt;=NKC!$M$8),"x","")</f>
        <v>x</v>
      </c>
      <c r="AA1199" s="535"/>
    </row>
    <row r="1200" spans="1:27" s="503" customFormat="1" ht="15.75" customHeight="1">
      <c r="A1200" s="517" t="str">
        <f>IF(B1200&lt;&gt;"",IF(AND(B1200&gt;=_TM1,B1200&lt;=_TM2,OR(TH!L1200="1111",TH!M1200="1111")),TH!D1200,""),"")</f>
        <v/>
      </c>
      <c r="B1200" s="531">
        <f t="shared" si="119"/>
        <v>3</v>
      </c>
      <c r="C1200" s="315">
        <f t="shared" si="120"/>
        <v>42825</v>
      </c>
      <c r="D1200" s="315" t="s">
        <v>947</v>
      </c>
      <c r="E1200" s="315">
        <v>42825</v>
      </c>
      <c r="F1200" s="249" t="s">
        <v>665</v>
      </c>
      <c r="G1200" s="314" t="s">
        <v>789</v>
      </c>
      <c r="H1200" s="473" t="s">
        <v>284</v>
      </c>
      <c r="I1200" s="307">
        <v>42</v>
      </c>
      <c r="J1200" s="307">
        <v>14722</v>
      </c>
      <c r="K1200" s="532">
        <f t="shared" si="121"/>
        <v>618324</v>
      </c>
      <c r="L1200" s="534" t="s">
        <v>223</v>
      </c>
      <c r="M1200" s="534" t="s">
        <v>162</v>
      </c>
      <c r="N1200" s="525" t="str">
        <f>IF(AND('331-CT'!$E$7=TH!H1200,OR(L1200="331",M1200="331")),"331",IF(AND(OR(L1200="131",M1200="131"),H1200='131-CT'!$E$7),"131",""))</f>
        <v/>
      </c>
      <c r="O1200" s="525" t="str">
        <f>IF(AND($B1200&gt;='111'!$N$11,$B1200&lt;='111'!$O$11,OR($L1200=$O$7,$M1200=$O$7)),"x","")</f>
        <v/>
      </c>
      <c r="P1200" s="525" t="str">
        <f>IF(AND($L1200=$O$7,$B1200&lt;'111'!$N$11),"x","")</f>
        <v/>
      </c>
      <c r="Q1200" s="525" t="str">
        <f>IF(AND($M1200=$O$7,$B1200&lt;'111'!$N$11),"x","")</f>
        <v/>
      </c>
      <c r="R1200" s="525" t="str">
        <f>IF(ISERROR(FIND('112'!$M$9,G1200,1)),"",IF((AND(FIND('112'!$M$9,G1200,1)&gt;=1,$B1200&gt;='112'!$N$8,$B1200&lt;='112'!$O$8,OR($L1200='112'!$I$6,$M1200='112'!$I$6))),"x",""))</f>
        <v/>
      </c>
      <c r="S1200" s="525" t="str">
        <f>IF(ISERROR(FIND('112'!$M$9,G1200,1)),"",IF((AND(LEFT(G1200,2)=LEFT('112'!$M$9,2),B1200&lt;'112'!$N$8,$L1200='112'!$I$6)),"x",""))</f>
        <v/>
      </c>
      <c r="T1200" s="525" t="str">
        <f>IF(ISERROR(FIND('112'!$M$9,G1200,1)),"",IF((AND(RIGHT(G1200,2)=RIGHT('112'!$M$9,2),B1200&lt;'112'!$N$8,$M1200='112'!$I$6)),"x",""))</f>
        <v/>
      </c>
      <c r="U1200" s="525" t="str">
        <f>IF(AND(B1200&gt;='IN-NX'!$P$3,B1200&lt;='IN-NX'!$Q$3,'IN-NX'!$D$7=D1200,OR(LEFT(L1200,2)="15",AND(LEFT(M1200,2)&lt;&gt;"15",LEFT(M1200,2)&lt;&gt;"33"))),"x","")</f>
        <v/>
      </c>
      <c r="V1200" s="525" t="str">
        <f>IF(AND(OR(LEFT(TH!L1200,2)="15",LEFT(TH!M1200,2)="15"),'152-CT'!$J$8=TH!F1200),"x","")</f>
        <v/>
      </c>
      <c r="W1200" s="525" t="str">
        <f>IF(AND(OR(LEFT(TH!L1200,2)="15",LEFT(TH!M1200,2)="15"),TK!$E$7=TH!F1200),"x","")</f>
        <v/>
      </c>
      <c r="X1200" s="525" t="str">
        <f>IF(AND('341-CT'!$E$9=H1200,OR(LEFT(L1200,3)=$X$7,LEFT(M1200,3)=$X$7)),"x","")</f>
        <v/>
      </c>
      <c r="Y1200" s="525" t="str">
        <f>IF(OR(TH!L1200=TH!$Y$7,M1200=TH!$Y$7),"x","")</f>
        <v/>
      </c>
      <c r="Z1200" s="525" t="str">
        <f>IF(AND(B1200&lt;=NKC!$N$8,B1200&gt;=NKC!$M$8),"x","")</f>
        <v>x</v>
      </c>
      <c r="AA1200" s="535"/>
    </row>
    <row r="1201" spans="1:27" s="503" customFormat="1" ht="15.75" customHeight="1">
      <c r="A1201" s="517" t="str">
        <f>IF(B1201&lt;&gt;"",IF(AND(B1201&gt;=_TM1,B1201&lt;=_TM2,OR(TH!L1201="1111",TH!M1201="1111")),TH!D1201,""),"")</f>
        <v/>
      </c>
      <c r="B1201" s="531">
        <f t="shared" si="119"/>
        <v>3</v>
      </c>
      <c r="C1201" s="315">
        <f t="shared" si="120"/>
        <v>42825</v>
      </c>
      <c r="D1201" s="315" t="s">
        <v>947</v>
      </c>
      <c r="E1201" s="315">
        <v>42825</v>
      </c>
      <c r="F1201" s="249" t="s">
        <v>644</v>
      </c>
      <c r="G1201" s="314" t="s">
        <v>789</v>
      </c>
      <c r="H1201" s="473" t="s">
        <v>284</v>
      </c>
      <c r="I1201" s="307">
        <v>3</v>
      </c>
      <c r="J1201" s="307">
        <v>62408</v>
      </c>
      <c r="K1201" s="532">
        <f t="shared" si="121"/>
        <v>187224</v>
      </c>
      <c r="L1201" s="534" t="s">
        <v>223</v>
      </c>
      <c r="M1201" s="534" t="s">
        <v>162</v>
      </c>
      <c r="N1201" s="525" t="str">
        <f>IF(AND('331-CT'!$E$7=TH!H1201,OR(L1201="331",M1201="331")),"331",IF(AND(OR(L1201="131",M1201="131"),H1201='131-CT'!$E$7),"131",""))</f>
        <v/>
      </c>
      <c r="O1201" s="525" t="str">
        <f>IF(AND($B1201&gt;='111'!$N$11,$B1201&lt;='111'!$O$11,OR($L1201=$O$7,$M1201=$O$7)),"x","")</f>
        <v/>
      </c>
      <c r="P1201" s="525" t="str">
        <f>IF(AND($L1201=$O$7,$B1201&lt;'111'!$N$11),"x","")</f>
        <v/>
      </c>
      <c r="Q1201" s="525" t="str">
        <f>IF(AND($M1201=$O$7,$B1201&lt;'111'!$N$11),"x","")</f>
        <v/>
      </c>
      <c r="R1201" s="525" t="str">
        <f>IF(ISERROR(FIND('112'!$M$9,G1201,1)),"",IF((AND(FIND('112'!$M$9,G1201,1)&gt;=1,$B1201&gt;='112'!$N$8,$B1201&lt;='112'!$O$8,OR($L1201='112'!$I$6,$M1201='112'!$I$6))),"x",""))</f>
        <v/>
      </c>
      <c r="S1201" s="525" t="str">
        <f>IF(ISERROR(FIND('112'!$M$9,G1201,1)),"",IF((AND(LEFT(G1201,2)=LEFT('112'!$M$9,2),B1201&lt;'112'!$N$8,$L1201='112'!$I$6)),"x",""))</f>
        <v/>
      </c>
      <c r="T1201" s="525" t="str">
        <f>IF(ISERROR(FIND('112'!$M$9,G1201,1)),"",IF((AND(RIGHT(G1201,2)=RIGHT('112'!$M$9,2),B1201&lt;'112'!$N$8,$M1201='112'!$I$6)),"x",""))</f>
        <v/>
      </c>
      <c r="U1201" s="525" t="str">
        <f>IF(AND(B1201&gt;='IN-NX'!$P$3,B1201&lt;='IN-NX'!$Q$3,'IN-NX'!$D$7=D1201,OR(LEFT(L1201,2)="15",AND(LEFT(M1201,2)&lt;&gt;"15",LEFT(M1201,2)&lt;&gt;"33"))),"x","")</f>
        <v/>
      </c>
      <c r="V1201" s="525" t="str">
        <f>IF(AND(OR(LEFT(TH!L1201,2)="15",LEFT(TH!M1201,2)="15"),'152-CT'!$J$8=TH!F1201),"x","")</f>
        <v/>
      </c>
      <c r="W1201" s="525" t="str">
        <f>IF(AND(OR(LEFT(TH!L1201,2)="15",LEFT(TH!M1201,2)="15"),TK!$E$7=TH!F1201),"x","")</f>
        <v/>
      </c>
      <c r="X1201" s="525" t="str">
        <f>IF(AND('341-CT'!$E$9=H1201,OR(LEFT(L1201,3)=$X$7,LEFT(M1201,3)=$X$7)),"x","")</f>
        <v/>
      </c>
      <c r="Y1201" s="525" t="str">
        <f>IF(OR(TH!L1201=TH!$Y$7,M1201=TH!$Y$7),"x","")</f>
        <v/>
      </c>
      <c r="Z1201" s="525" t="str">
        <f>IF(AND(B1201&lt;=NKC!$N$8,B1201&gt;=NKC!$M$8),"x","")</f>
        <v>x</v>
      </c>
      <c r="AA1201" s="535"/>
    </row>
    <row r="1202" spans="1:27" s="503" customFormat="1" ht="15.75" customHeight="1">
      <c r="A1202" s="517" t="str">
        <f>IF(B1202&lt;&gt;"",IF(AND(B1202&gt;=_TM1,B1202&lt;=_TM2,OR(TH!L1202="1111",TH!M1202="1111")),TH!D1202,""),"")</f>
        <v/>
      </c>
      <c r="B1202" s="531">
        <f t="shared" si="119"/>
        <v>3</v>
      </c>
      <c r="C1202" s="315">
        <f t="shared" si="120"/>
        <v>42825</v>
      </c>
      <c r="D1202" s="315" t="s">
        <v>947</v>
      </c>
      <c r="E1202" s="315">
        <v>42825</v>
      </c>
      <c r="F1202" s="249" t="s">
        <v>793</v>
      </c>
      <c r="G1202" s="314" t="s">
        <v>789</v>
      </c>
      <c r="H1202" s="473" t="s">
        <v>284</v>
      </c>
      <c r="I1202" s="307">
        <v>12</v>
      </c>
      <c r="J1202" s="307">
        <v>99037</v>
      </c>
      <c r="K1202" s="532">
        <f t="shared" si="121"/>
        <v>1188444</v>
      </c>
      <c r="L1202" s="534" t="s">
        <v>223</v>
      </c>
      <c r="M1202" s="534" t="s">
        <v>162</v>
      </c>
      <c r="N1202" s="525" t="str">
        <f>IF(AND('331-CT'!$E$7=TH!H1202,OR(L1202="331",M1202="331")),"331",IF(AND(OR(L1202="131",M1202="131"),H1202='131-CT'!$E$7),"131",""))</f>
        <v/>
      </c>
      <c r="O1202" s="525" t="str">
        <f>IF(AND($B1202&gt;='111'!$N$11,$B1202&lt;='111'!$O$11,OR($L1202=$O$7,$M1202=$O$7)),"x","")</f>
        <v/>
      </c>
      <c r="P1202" s="525" t="str">
        <f>IF(AND($L1202=$O$7,$B1202&lt;'111'!$N$11),"x","")</f>
        <v/>
      </c>
      <c r="Q1202" s="525" t="str">
        <f>IF(AND($M1202=$O$7,$B1202&lt;'111'!$N$11),"x","")</f>
        <v/>
      </c>
      <c r="R1202" s="525" t="str">
        <f>IF(ISERROR(FIND('112'!$M$9,G1202,1)),"",IF((AND(FIND('112'!$M$9,G1202,1)&gt;=1,$B1202&gt;='112'!$N$8,$B1202&lt;='112'!$O$8,OR($L1202='112'!$I$6,$M1202='112'!$I$6))),"x",""))</f>
        <v/>
      </c>
      <c r="S1202" s="525" t="str">
        <f>IF(ISERROR(FIND('112'!$M$9,G1202,1)),"",IF((AND(LEFT(G1202,2)=LEFT('112'!$M$9,2),B1202&lt;'112'!$N$8,$L1202='112'!$I$6)),"x",""))</f>
        <v/>
      </c>
      <c r="T1202" s="525" t="str">
        <f>IF(ISERROR(FIND('112'!$M$9,G1202,1)),"",IF((AND(RIGHT(G1202,2)=RIGHT('112'!$M$9,2),B1202&lt;'112'!$N$8,$M1202='112'!$I$6)),"x",""))</f>
        <v/>
      </c>
      <c r="U1202" s="525" t="str">
        <f>IF(AND(B1202&gt;='IN-NX'!$P$3,B1202&lt;='IN-NX'!$Q$3,'IN-NX'!$D$7=D1202,OR(LEFT(L1202,2)="15",AND(LEFT(M1202,2)&lt;&gt;"15",LEFT(M1202,2)&lt;&gt;"33"))),"x","")</f>
        <v/>
      </c>
      <c r="V1202" s="525" t="str">
        <f>IF(AND(OR(LEFT(TH!L1202,2)="15",LEFT(TH!M1202,2)="15"),'152-CT'!$J$8=TH!F1202),"x","")</f>
        <v/>
      </c>
      <c r="W1202" s="525" t="str">
        <f>IF(AND(OR(LEFT(TH!L1202,2)="15",LEFT(TH!M1202,2)="15"),TK!$E$7=TH!F1202),"x","")</f>
        <v/>
      </c>
      <c r="X1202" s="525" t="str">
        <f>IF(AND('341-CT'!$E$9=H1202,OR(LEFT(L1202,3)=$X$7,LEFT(M1202,3)=$X$7)),"x","")</f>
        <v/>
      </c>
      <c r="Y1202" s="525" t="str">
        <f>IF(OR(TH!L1202=TH!$Y$7,M1202=TH!$Y$7),"x","")</f>
        <v/>
      </c>
      <c r="Z1202" s="525" t="str">
        <f>IF(AND(B1202&lt;=NKC!$N$8,B1202&gt;=NKC!$M$8),"x","")</f>
        <v>x</v>
      </c>
      <c r="AA1202" s="535"/>
    </row>
    <row r="1203" spans="1:27" s="503" customFormat="1" ht="15.75" customHeight="1">
      <c r="A1203" s="517" t="str">
        <f>IF(B1203&lt;&gt;"",IF(AND(B1203&gt;=_TM1,B1203&lt;=_TM2,OR(TH!L1203="1111",TH!M1203="1111")),TH!D1203,""),"")</f>
        <v/>
      </c>
      <c r="B1203" s="531">
        <f t="shared" si="119"/>
        <v>3</v>
      </c>
      <c r="C1203" s="315">
        <f t="shared" si="120"/>
        <v>42825</v>
      </c>
      <c r="D1203" s="315" t="s">
        <v>947</v>
      </c>
      <c r="E1203" s="315">
        <v>42825</v>
      </c>
      <c r="F1203" s="249" t="s">
        <v>794</v>
      </c>
      <c r="G1203" s="314" t="s">
        <v>789</v>
      </c>
      <c r="H1203" s="473" t="s">
        <v>284</v>
      </c>
      <c r="I1203" s="307">
        <v>12</v>
      </c>
      <c r="J1203" s="307">
        <v>56007</v>
      </c>
      <c r="K1203" s="532">
        <f t="shared" si="121"/>
        <v>672084</v>
      </c>
      <c r="L1203" s="534" t="s">
        <v>223</v>
      </c>
      <c r="M1203" s="534" t="s">
        <v>162</v>
      </c>
      <c r="N1203" s="525" t="str">
        <f>IF(AND('331-CT'!$E$7=TH!H1203,OR(L1203="331",M1203="331")),"331",IF(AND(OR(L1203="131",M1203="131"),H1203='131-CT'!$E$7),"131",""))</f>
        <v/>
      </c>
      <c r="O1203" s="525" t="str">
        <f>IF(AND($B1203&gt;='111'!$N$11,$B1203&lt;='111'!$O$11,OR($L1203=$O$7,$M1203=$O$7)),"x","")</f>
        <v/>
      </c>
      <c r="P1203" s="525" t="str">
        <f>IF(AND($L1203=$O$7,$B1203&lt;'111'!$N$11),"x","")</f>
        <v/>
      </c>
      <c r="Q1203" s="525" t="str">
        <f>IF(AND($M1203=$O$7,$B1203&lt;'111'!$N$11),"x","")</f>
        <v/>
      </c>
      <c r="R1203" s="525" t="str">
        <f>IF(ISERROR(FIND('112'!$M$9,G1203,1)),"",IF((AND(FIND('112'!$M$9,G1203,1)&gt;=1,$B1203&gt;='112'!$N$8,$B1203&lt;='112'!$O$8,OR($L1203='112'!$I$6,$M1203='112'!$I$6))),"x",""))</f>
        <v/>
      </c>
      <c r="S1203" s="525" t="str">
        <f>IF(ISERROR(FIND('112'!$M$9,G1203,1)),"",IF((AND(LEFT(G1203,2)=LEFT('112'!$M$9,2),B1203&lt;'112'!$N$8,$L1203='112'!$I$6)),"x",""))</f>
        <v/>
      </c>
      <c r="T1203" s="525" t="str">
        <f>IF(ISERROR(FIND('112'!$M$9,G1203,1)),"",IF((AND(RIGHT(G1203,2)=RIGHT('112'!$M$9,2),B1203&lt;'112'!$N$8,$M1203='112'!$I$6)),"x",""))</f>
        <v/>
      </c>
      <c r="U1203" s="525" t="str">
        <f>IF(AND(B1203&gt;='IN-NX'!$P$3,B1203&lt;='IN-NX'!$Q$3,'IN-NX'!$D$7=D1203,OR(LEFT(L1203,2)="15",AND(LEFT(M1203,2)&lt;&gt;"15",LEFT(M1203,2)&lt;&gt;"33"))),"x","")</f>
        <v/>
      </c>
      <c r="V1203" s="525" t="str">
        <f>IF(AND(OR(LEFT(TH!L1203,2)="15",LEFT(TH!M1203,2)="15"),'152-CT'!$J$8=TH!F1203),"x","")</f>
        <v/>
      </c>
      <c r="W1203" s="525" t="str">
        <f>IF(AND(OR(LEFT(TH!L1203,2)="15",LEFT(TH!M1203,2)="15"),TK!$E$7=TH!F1203),"x","")</f>
        <v/>
      </c>
      <c r="X1203" s="525" t="str">
        <f>IF(AND('341-CT'!$E$9=H1203,OR(LEFT(L1203,3)=$X$7,LEFT(M1203,3)=$X$7)),"x","")</f>
        <v/>
      </c>
      <c r="Y1203" s="525" t="str">
        <f>IF(OR(TH!L1203=TH!$Y$7,M1203=TH!$Y$7),"x","")</f>
        <v/>
      </c>
      <c r="Z1203" s="525" t="str">
        <f>IF(AND(B1203&lt;=NKC!$N$8,B1203&gt;=NKC!$M$8),"x","")</f>
        <v>x</v>
      </c>
      <c r="AA1203" s="535"/>
    </row>
    <row r="1204" spans="1:27" s="503" customFormat="1" ht="15.75" customHeight="1">
      <c r="A1204" s="517" t="str">
        <f>IF(B1204&lt;&gt;"",IF(AND(B1204&gt;=_TM1,B1204&lt;=_TM2,OR(TH!L1204="1111",TH!M1204="1111")),TH!D1204,""),"")</f>
        <v/>
      </c>
      <c r="B1204" s="531">
        <f t="shared" si="119"/>
        <v>3</v>
      </c>
      <c r="C1204" s="315">
        <f t="shared" ref="C1204:C1213" si="122">E1204</f>
        <v>42825</v>
      </c>
      <c r="D1204" s="315" t="s">
        <v>947</v>
      </c>
      <c r="E1204" s="315">
        <v>42825</v>
      </c>
      <c r="F1204" s="249" t="s">
        <v>630</v>
      </c>
      <c r="G1204" s="314" t="s">
        <v>789</v>
      </c>
      <c r="H1204" s="473" t="s">
        <v>284</v>
      </c>
      <c r="I1204" s="307">
        <v>24</v>
      </c>
      <c r="J1204" s="307">
        <v>35511</v>
      </c>
      <c r="K1204" s="532">
        <f t="shared" ref="K1204:K1213" si="123">ROUND(I1204*J1204,0)</f>
        <v>852264</v>
      </c>
      <c r="L1204" s="534" t="s">
        <v>223</v>
      </c>
      <c r="M1204" s="534" t="s">
        <v>162</v>
      </c>
      <c r="N1204" s="525" t="str">
        <f>IF(AND('331-CT'!$E$7=TH!H1204,OR(L1204="331",M1204="331")),"331",IF(AND(OR(L1204="131",M1204="131"),H1204='131-CT'!$E$7),"131",""))</f>
        <v/>
      </c>
      <c r="O1204" s="525" t="str">
        <f>IF(AND($B1204&gt;='111'!$N$11,$B1204&lt;='111'!$O$11,OR($L1204=$O$7,$M1204=$O$7)),"x","")</f>
        <v/>
      </c>
      <c r="P1204" s="525" t="str">
        <f>IF(AND($L1204=$O$7,$B1204&lt;'111'!$N$11),"x","")</f>
        <v/>
      </c>
      <c r="Q1204" s="525" t="str">
        <f>IF(AND($M1204=$O$7,$B1204&lt;'111'!$N$11),"x","")</f>
        <v/>
      </c>
      <c r="R1204" s="525" t="str">
        <f>IF(ISERROR(FIND('112'!$M$9,G1204,1)),"",IF((AND(FIND('112'!$M$9,G1204,1)&gt;=1,$B1204&gt;='112'!$N$8,$B1204&lt;='112'!$O$8,OR($L1204='112'!$I$6,$M1204='112'!$I$6))),"x",""))</f>
        <v/>
      </c>
      <c r="S1204" s="525" t="str">
        <f>IF(ISERROR(FIND('112'!$M$9,G1204,1)),"",IF((AND(LEFT(G1204,2)=LEFT('112'!$M$9,2),B1204&lt;'112'!$N$8,$L1204='112'!$I$6)),"x",""))</f>
        <v/>
      </c>
      <c r="T1204" s="525" t="str">
        <f>IF(ISERROR(FIND('112'!$M$9,G1204,1)),"",IF((AND(RIGHT(G1204,2)=RIGHT('112'!$M$9,2),B1204&lt;'112'!$N$8,$M1204='112'!$I$6)),"x",""))</f>
        <v/>
      </c>
      <c r="U1204" s="525" t="str">
        <f>IF(AND(B1204&gt;='IN-NX'!$P$3,B1204&lt;='IN-NX'!$Q$3,'IN-NX'!$D$7=D1204,OR(LEFT(L1204,2)="15",AND(LEFT(M1204,2)&lt;&gt;"15",LEFT(M1204,2)&lt;&gt;"33"))),"x","")</f>
        <v/>
      </c>
      <c r="V1204" s="525" t="str">
        <f>IF(AND(OR(LEFT(TH!L1204,2)="15",LEFT(TH!M1204,2)="15"),'152-CT'!$J$8=TH!F1204),"x","")</f>
        <v/>
      </c>
      <c r="W1204" s="525" t="str">
        <f>IF(AND(OR(LEFT(TH!L1204,2)="15",LEFT(TH!M1204,2)="15"),TK!$E$7=TH!F1204),"x","")</f>
        <v/>
      </c>
      <c r="X1204" s="525" t="str">
        <f>IF(AND('341-CT'!$E$9=H1204,OR(LEFT(L1204,3)=$X$7,LEFT(M1204,3)=$X$7)),"x","")</f>
        <v/>
      </c>
      <c r="Y1204" s="525" t="str">
        <f>IF(OR(TH!L1204=TH!$Y$7,M1204=TH!$Y$7),"x","")</f>
        <v/>
      </c>
      <c r="Z1204" s="525" t="str">
        <f>IF(AND(B1204&lt;=NKC!$N$8,B1204&gt;=NKC!$M$8),"x","")</f>
        <v>x</v>
      </c>
      <c r="AA1204" s="535"/>
    </row>
    <row r="1205" spans="1:27" s="503" customFormat="1" ht="15.75" customHeight="1">
      <c r="A1205" s="517" t="str">
        <f>IF(B1205&lt;&gt;"",IF(AND(B1205&gt;=_TM1,B1205&lt;=_TM2,OR(TH!L1205="1111",TH!M1205="1111")),TH!D1205,""),"")</f>
        <v/>
      </c>
      <c r="B1205" s="531">
        <f t="shared" si="119"/>
        <v>3</v>
      </c>
      <c r="C1205" s="315">
        <f t="shared" si="122"/>
        <v>42825</v>
      </c>
      <c r="D1205" s="315" t="s">
        <v>947</v>
      </c>
      <c r="E1205" s="315">
        <v>42825</v>
      </c>
      <c r="F1205" s="249" t="s">
        <v>795</v>
      </c>
      <c r="G1205" s="314" t="s">
        <v>789</v>
      </c>
      <c r="H1205" s="473" t="s">
        <v>284</v>
      </c>
      <c r="I1205" s="307">
        <v>87</v>
      </c>
      <c r="J1205" s="307">
        <v>72461</v>
      </c>
      <c r="K1205" s="532">
        <f t="shared" si="123"/>
        <v>6304107</v>
      </c>
      <c r="L1205" s="534" t="s">
        <v>223</v>
      </c>
      <c r="M1205" s="534" t="s">
        <v>162</v>
      </c>
      <c r="N1205" s="525" t="str">
        <f>IF(AND('331-CT'!$E$7=TH!H1205,OR(L1205="331",M1205="331")),"331",IF(AND(OR(L1205="131",M1205="131"),H1205='131-CT'!$E$7),"131",""))</f>
        <v/>
      </c>
      <c r="O1205" s="525" t="str">
        <f>IF(AND($B1205&gt;='111'!$N$11,$B1205&lt;='111'!$O$11,OR($L1205=$O$7,$M1205=$O$7)),"x","")</f>
        <v/>
      </c>
      <c r="P1205" s="525" t="str">
        <f>IF(AND($L1205=$O$7,$B1205&lt;'111'!$N$11),"x","")</f>
        <v/>
      </c>
      <c r="Q1205" s="525" t="str">
        <f>IF(AND($M1205=$O$7,$B1205&lt;'111'!$N$11),"x","")</f>
        <v/>
      </c>
      <c r="R1205" s="525" t="str">
        <f>IF(ISERROR(FIND('112'!$M$9,G1205,1)),"",IF((AND(FIND('112'!$M$9,G1205,1)&gt;=1,$B1205&gt;='112'!$N$8,$B1205&lt;='112'!$O$8,OR($L1205='112'!$I$6,$M1205='112'!$I$6))),"x",""))</f>
        <v/>
      </c>
      <c r="S1205" s="525" t="str">
        <f>IF(ISERROR(FIND('112'!$M$9,G1205,1)),"",IF((AND(LEFT(G1205,2)=LEFT('112'!$M$9,2),B1205&lt;'112'!$N$8,$L1205='112'!$I$6)),"x",""))</f>
        <v/>
      </c>
      <c r="T1205" s="525" t="str">
        <f>IF(ISERROR(FIND('112'!$M$9,G1205,1)),"",IF((AND(RIGHT(G1205,2)=RIGHT('112'!$M$9,2),B1205&lt;'112'!$N$8,$M1205='112'!$I$6)),"x",""))</f>
        <v/>
      </c>
      <c r="U1205" s="525" t="str">
        <f>IF(AND(B1205&gt;='IN-NX'!$P$3,B1205&lt;='IN-NX'!$Q$3,'IN-NX'!$D$7=D1205,OR(LEFT(L1205,2)="15",AND(LEFT(M1205,2)&lt;&gt;"15",LEFT(M1205,2)&lt;&gt;"33"))),"x","")</f>
        <v/>
      </c>
      <c r="V1205" s="525" t="str">
        <f>IF(AND(OR(LEFT(TH!L1205,2)="15",LEFT(TH!M1205,2)="15"),'152-CT'!$J$8=TH!F1205),"x","")</f>
        <v/>
      </c>
      <c r="W1205" s="525" t="str">
        <f>IF(AND(OR(LEFT(TH!L1205,2)="15",LEFT(TH!M1205,2)="15"),TK!$E$7=TH!F1205),"x","")</f>
        <v/>
      </c>
      <c r="X1205" s="525" t="str">
        <f>IF(AND('341-CT'!$E$9=H1205,OR(LEFT(L1205,3)=$X$7,LEFT(M1205,3)=$X$7)),"x","")</f>
        <v/>
      </c>
      <c r="Y1205" s="525" t="str">
        <f>IF(OR(TH!L1205=TH!$Y$7,M1205=TH!$Y$7),"x","")</f>
        <v/>
      </c>
      <c r="Z1205" s="525" t="str">
        <f>IF(AND(B1205&lt;=NKC!$N$8,B1205&gt;=NKC!$M$8),"x","")</f>
        <v>x</v>
      </c>
      <c r="AA1205" s="535"/>
    </row>
    <row r="1206" spans="1:27" s="503" customFormat="1" ht="15.75" customHeight="1">
      <c r="A1206" s="517" t="str">
        <f>IF(B1206&lt;&gt;"",IF(AND(B1206&gt;=_TM1,B1206&lt;=_TM2,OR(TH!L1206="1111",TH!M1206="1111")),TH!D1206,""),"")</f>
        <v/>
      </c>
      <c r="B1206" s="531">
        <f t="shared" si="119"/>
        <v>3</v>
      </c>
      <c r="C1206" s="315">
        <f t="shared" si="122"/>
        <v>42825</v>
      </c>
      <c r="D1206" s="315" t="s">
        <v>948</v>
      </c>
      <c r="E1206" s="315">
        <v>42825</v>
      </c>
      <c r="F1206" s="249" t="s">
        <v>688</v>
      </c>
      <c r="G1206" s="314" t="s">
        <v>789</v>
      </c>
      <c r="H1206" s="473" t="s">
        <v>284</v>
      </c>
      <c r="I1206" s="307">
        <v>8</v>
      </c>
      <c r="J1206" s="307">
        <v>232050</v>
      </c>
      <c r="K1206" s="532">
        <f t="shared" si="123"/>
        <v>1856400</v>
      </c>
      <c r="L1206" s="534" t="s">
        <v>223</v>
      </c>
      <c r="M1206" s="534" t="s">
        <v>162</v>
      </c>
      <c r="N1206" s="525" t="str">
        <f>IF(AND('331-CT'!$E$7=TH!H1206,OR(L1206="331",M1206="331")),"331",IF(AND(OR(L1206="131",M1206="131"),H1206='131-CT'!$E$7),"131",""))</f>
        <v/>
      </c>
      <c r="O1206" s="525" t="str">
        <f>IF(AND($B1206&gt;='111'!$N$11,$B1206&lt;='111'!$O$11,OR($L1206=$O$7,$M1206=$O$7)),"x","")</f>
        <v/>
      </c>
      <c r="P1206" s="525" t="str">
        <f>IF(AND($L1206=$O$7,$B1206&lt;'111'!$N$11),"x","")</f>
        <v/>
      </c>
      <c r="Q1206" s="525" t="str">
        <f>IF(AND($M1206=$O$7,$B1206&lt;'111'!$N$11),"x","")</f>
        <v/>
      </c>
      <c r="R1206" s="525" t="str">
        <f>IF(ISERROR(FIND('112'!$M$9,G1206,1)),"",IF((AND(FIND('112'!$M$9,G1206,1)&gt;=1,$B1206&gt;='112'!$N$8,$B1206&lt;='112'!$O$8,OR($L1206='112'!$I$6,$M1206='112'!$I$6))),"x",""))</f>
        <v/>
      </c>
      <c r="S1206" s="525" t="str">
        <f>IF(ISERROR(FIND('112'!$M$9,G1206,1)),"",IF((AND(LEFT(G1206,2)=LEFT('112'!$M$9,2),B1206&lt;'112'!$N$8,$L1206='112'!$I$6)),"x",""))</f>
        <v/>
      </c>
      <c r="T1206" s="525" t="str">
        <f>IF(ISERROR(FIND('112'!$M$9,G1206,1)),"",IF((AND(RIGHT(G1206,2)=RIGHT('112'!$M$9,2),B1206&lt;'112'!$N$8,$M1206='112'!$I$6)),"x",""))</f>
        <v/>
      </c>
      <c r="U1206" s="525" t="str">
        <f>IF(AND(B1206&gt;='IN-NX'!$P$3,B1206&lt;='IN-NX'!$Q$3,'IN-NX'!$D$7=D1206,OR(LEFT(L1206,2)="15",AND(LEFT(M1206,2)&lt;&gt;"15",LEFT(M1206,2)&lt;&gt;"33"))),"x","")</f>
        <v/>
      </c>
      <c r="V1206" s="525" t="str">
        <f>IF(AND(OR(LEFT(TH!L1206,2)="15",LEFT(TH!M1206,2)="15"),'152-CT'!$J$8=TH!F1206),"x","")</f>
        <v/>
      </c>
      <c r="W1206" s="525" t="str">
        <f>IF(AND(OR(LEFT(TH!L1206,2)="15",LEFT(TH!M1206,2)="15"),TK!$E$7=TH!F1206),"x","")</f>
        <v/>
      </c>
      <c r="X1206" s="525" t="str">
        <f>IF(AND('341-CT'!$E$9=H1206,OR(LEFT(L1206,3)=$X$7,LEFT(M1206,3)=$X$7)),"x","")</f>
        <v/>
      </c>
      <c r="Y1206" s="525" t="str">
        <f>IF(OR(TH!L1206=TH!$Y$7,M1206=TH!$Y$7),"x","")</f>
        <v/>
      </c>
      <c r="Z1206" s="525" t="str">
        <f>IF(AND(B1206&lt;=NKC!$N$8,B1206&gt;=NKC!$M$8),"x","")</f>
        <v>x</v>
      </c>
      <c r="AA1206" s="535"/>
    </row>
    <row r="1207" spans="1:27" s="503" customFormat="1" ht="15.75" customHeight="1">
      <c r="A1207" s="517" t="str">
        <f>IF(B1207&lt;&gt;"",IF(AND(B1207&gt;=_TM1,B1207&lt;=_TM2,OR(TH!L1207="1111",TH!M1207="1111")),TH!D1207,""),"")</f>
        <v/>
      </c>
      <c r="B1207" s="531">
        <f t="shared" si="119"/>
        <v>3</v>
      </c>
      <c r="C1207" s="315">
        <f t="shared" si="122"/>
        <v>42825</v>
      </c>
      <c r="D1207" s="315" t="s">
        <v>948</v>
      </c>
      <c r="E1207" s="315">
        <v>42825</v>
      </c>
      <c r="F1207" s="249" t="s">
        <v>684</v>
      </c>
      <c r="G1207" s="314" t="s">
        <v>789</v>
      </c>
      <c r="H1207" s="473" t="s">
        <v>284</v>
      </c>
      <c r="I1207" s="307">
        <v>13</v>
      </c>
      <c r="J1207" s="307">
        <v>157437</v>
      </c>
      <c r="K1207" s="532">
        <f t="shared" si="123"/>
        <v>2046681</v>
      </c>
      <c r="L1207" s="534" t="s">
        <v>223</v>
      </c>
      <c r="M1207" s="534" t="s">
        <v>162</v>
      </c>
      <c r="N1207" s="525" t="str">
        <f>IF(AND('331-CT'!$E$7=TH!H1207,OR(L1207="331",M1207="331")),"331",IF(AND(OR(L1207="131",M1207="131"),H1207='131-CT'!$E$7),"131",""))</f>
        <v/>
      </c>
      <c r="O1207" s="525" t="str">
        <f>IF(AND($B1207&gt;='111'!$N$11,$B1207&lt;='111'!$O$11,OR($L1207=$O$7,$M1207=$O$7)),"x","")</f>
        <v/>
      </c>
      <c r="P1207" s="525" t="str">
        <f>IF(AND($L1207=$O$7,$B1207&lt;'111'!$N$11),"x","")</f>
        <v/>
      </c>
      <c r="Q1207" s="525" t="str">
        <f>IF(AND($M1207=$O$7,$B1207&lt;'111'!$N$11),"x","")</f>
        <v/>
      </c>
      <c r="R1207" s="525" t="str">
        <f>IF(ISERROR(FIND('112'!$M$9,G1207,1)),"",IF((AND(FIND('112'!$M$9,G1207,1)&gt;=1,$B1207&gt;='112'!$N$8,$B1207&lt;='112'!$O$8,OR($L1207='112'!$I$6,$M1207='112'!$I$6))),"x",""))</f>
        <v/>
      </c>
      <c r="S1207" s="525" t="str">
        <f>IF(ISERROR(FIND('112'!$M$9,G1207,1)),"",IF((AND(LEFT(G1207,2)=LEFT('112'!$M$9,2),B1207&lt;'112'!$N$8,$L1207='112'!$I$6)),"x",""))</f>
        <v/>
      </c>
      <c r="T1207" s="525" t="str">
        <f>IF(ISERROR(FIND('112'!$M$9,G1207,1)),"",IF((AND(RIGHT(G1207,2)=RIGHT('112'!$M$9,2),B1207&lt;'112'!$N$8,$M1207='112'!$I$6)),"x",""))</f>
        <v/>
      </c>
      <c r="U1207" s="525" t="str">
        <f>IF(AND(B1207&gt;='IN-NX'!$P$3,B1207&lt;='IN-NX'!$Q$3,'IN-NX'!$D$7=D1207,OR(LEFT(L1207,2)="15",AND(LEFT(M1207,2)&lt;&gt;"15",LEFT(M1207,2)&lt;&gt;"33"))),"x","")</f>
        <v/>
      </c>
      <c r="V1207" s="525" t="str">
        <f>IF(AND(OR(LEFT(TH!L1207,2)="15",LEFT(TH!M1207,2)="15"),'152-CT'!$J$8=TH!F1207),"x","")</f>
        <v/>
      </c>
      <c r="W1207" s="525" t="str">
        <f>IF(AND(OR(LEFT(TH!L1207,2)="15",LEFT(TH!M1207,2)="15"),TK!$E$7=TH!F1207),"x","")</f>
        <v/>
      </c>
      <c r="X1207" s="525" t="str">
        <f>IF(AND('341-CT'!$E$9=H1207,OR(LEFT(L1207,3)=$X$7,LEFT(M1207,3)=$X$7)),"x","")</f>
        <v/>
      </c>
      <c r="Y1207" s="525" t="str">
        <f>IF(OR(TH!L1207=TH!$Y$7,M1207=TH!$Y$7),"x","")</f>
        <v/>
      </c>
      <c r="Z1207" s="525" t="str">
        <f>IF(AND(B1207&lt;=NKC!$N$8,B1207&gt;=NKC!$M$8),"x","")</f>
        <v>x</v>
      </c>
      <c r="AA1207" s="535"/>
    </row>
    <row r="1208" spans="1:27" s="503" customFormat="1" ht="15.75" customHeight="1">
      <c r="A1208" s="517" t="str">
        <f>IF(B1208&lt;&gt;"",IF(AND(B1208&gt;=_TM1,B1208&lt;=_TM2,OR(TH!L1208="1111",TH!M1208="1111")),TH!D1208,""),"")</f>
        <v/>
      </c>
      <c r="B1208" s="531">
        <f t="shared" si="119"/>
        <v>3</v>
      </c>
      <c r="C1208" s="315">
        <f t="shared" si="122"/>
        <v>42825</v>
      </c>
      <c r="D1208" s="315" t="s">
        <v>948</v>
      </c>
      <c r="E1208" s="315">
        <v>42825</v>
      </c>
      <c r="F1208" s="249" t="s">
        <v>796</v>
      </c>
      <c r="G1208" s="314" t="s">
        <v>789</v>
      </c>
      <c r="H1208" s="473" t="s">
        <v>284</v>
      </c>
      <c r="I1208" s="307">
        <v>22</v>
      </c>
      <c r="J1208" s="307">
        <v>50013</v>
      </c>
      <c r="K1208" s="532">
        <f t="shared" si="123"/>
        <v>1100286</v>
      </c>
      <c r="L1208" s="534" t="s">
        <v>223</v>
      </c>
      <c r="M1208" s="534" t="s">
        <v>162</v>
      </c>
      <c r="N1208" s="525" t="str">
        <f>IF(AND('331-CT'!$E$7=TH!H1208,OR(L1208="331",M1208="331")),"331",IF(AND(OR(L1208="131",M1208="131"),H1208='131-CT'!$E$7),"131",""))</f>
        <v/>
      </c>
      <c r="O1208" s="525" t="str">
        <f>IF(AND($B1208&gt;='111'!$N$11,$B1208&lt;='111'!$O$11,OR($L1208=$O$7,$M1208=$O$7)),"x","")</f>
        <v/>
      </c>
      <c r="P1208" s="525" t="str">
        <f>IF(AND($L1208=$O$7,$B1208&lt;'111'!$N$11),"x","")</f>
        <v/>
      </c>
      <c r="Q1208" s="525" t="str">
        <f>IF(AND($M1208=$O$7,$B1208&lt;'111'!$N$11),"x","")</f>
        <v/>
      </c>
      <c r="R1208" s="525" t="str">
        <f>IF(ISERROR(FIND('112'!$M$9,G1208,1)),"",IF((AND(FIND('112'!$M$9,G1208,1)&gt;=1,$B1208&gt;='112'!$N$8,$B1208&lt;='112'!$O$8,OR($L1208='112'!$I$6,$M1208='112'!$I$6))),"x",""))</f>
        <v/>
      </c>
      <c r="S1208" s="525" t="str">
        <f>IF(ISERROR(FIND('112'!$M$9,G1208,1)),"",IF((AND(LEFT(G1208,2)=LEFT('112'!$M$9,2),B1208&lt;'112'!$N$8,$L1208='112'!$I$6)),"x",""))</f>
        <v/>
      </c>
      <c r="T1208" s="525" t="str">
        <f>IF(ISERROR(FIND('112'!$M$9,G1208,1)),"",IF((AND(RIGHT(G1208,2)=RIGHT('112'!$M$9,2),B1208&lt;'112'!$N$8,$M1208='112'!$I$6)),"x",""))</f>
        <v/>
      </c>
      <c r="U1208" s="525" t="str">
        <f>IF(AND(B1208&gt;='IN-NX'!$P$3,B1208&lt;='IN-NX'!$Q$3,'IN-NX'!$D$7=D1208,OR(LEFT(L1208,2)="15",AND(LEFT(M1208,2)&lt;&gt;"15",LEFT(M1208,2)&lt;&gt;"33"))),"x","")</f>
        <v/>
      </c>
      <c r="V1208" s="525" t="str">
        <f>IF(AND(OR(LEFT(TH!L1208,2)="15",LEFT(TH!M1208,2)="15"),'152-CT'!$J$8=TH!F1208),"x","")</f>
        <v/>
      </c>
      <c r="W1208" s="525" t="str">
        <f>IF(AND(OR(LEFT(TH!L1208,2)="15",LEFT(TH!M1208,2)="15"),TK!$E$7=TH!F1208),"x","")</f>
        <v/>
      </c>
      <c r="X1208" s="525" t="str">
        <f>IF(AND('341-CT'!$E$9=H1208,OR(LEFT(L1208,3)=$X$7,LEFT(M1208,3)=$X$7)),"x","")</f>
        <v/>
      </c>
      <c r="Y1208" s="525" t="str">
        <f>IF(OR(TH!L1208=TH!$Y$7,M1208=TH!$Y$7),"x","")</f>
        <v/>
      </c>
      <c r="Z1208" s="525" t="str">
        <f>IF(AND(B1208&lt;=NKC!$N$8,B1208&gt;=NKC!$M$8),"x","")</f>
        <v>x</v>
      </c>
      <c r="AA1208" s="535"/>
    </row>
    <row r="1209" spans="1:27" s="503" customFormat="1" ht="15.75" customHeight="1">
      <c r="A1209" s="517" t="str">
        <f>IF(B1209&lt;&gt;"",IF(AND(B1209&gt;=_TM1,B1209&lt;=_TM2,OR(TH!L1209="1111",TH!M1209="1111")),TH!D1209,""),"")</f>
        <v/>
      </c>
      <c r="B1209" s="531">
        <f t="shared" si="119"/>
        <v>3</v>
      </c>
      <c r="C1209" s="315">
        <f t="shared" si="122"/>
        <v>42825</v>
      </c>
      <c r="D1209" s="315" t="s">
        <v>948</v>
      </c>
      <c r="E1209" s="315">
        <v>42825</v>
      </c>
      <c r="F1209" s="249" t="s">
        <v>691</v>
      </c>
      <c r="G1209" s="314" t="s">
        <v>789</v>
      </c>
      <c r="H1209" s="473" t="s">
        <v>284</v>
      </c>
      <c r="I1209" s="307">
        <v>30</v>
      </c>
      <c r="J1209" s="307">
        <v>50586</v>
      </c>
      <c r="K1209" s="532">
        <f t="shared" si="123"/>
        <v>1517580</v>
      </c>
      <c r="L1209" s="534" t="s">
        <v>223</v>
      </c>
      <c r="M1209" s="534" t="s">
        <v>162</v>
      </c>
      <c r="N1209" s="525" t="str">
        <f>IF(AND('331-CT'!$E$7=TH!H1209,OR(L1209="331",M1209="331")),"331",IF(AND(OR(L1209="131",M1209="131"),H1209='131-CT'!$E$7),"131",""))</f>
        <v/>
      </c>
      <c r="O1209" s="525" t="str">
        <f>IF(AND($B1209&gt;='111'!$N$11,$B1209&lt;='111'!$O$11,OR($L1209=$O$7,$M1209=$O$7)),"x","")</f>
        <v/>
      </c>
      <c r="P1209" s="525" t="str">
        <f>IF(AND($L1209=$O$7,$B1209&lt;'111'!$N$11),"x","")</f>
        <v/>
      </c>
      <c r="Q1209" s="525" t="str">
        <f>IF(AND($M1209=$O$7,$B1209&lt;'111'!$N$11),"x","")</f>
        <v/>
      </c>
      <c r="R1209" s="525" t="str">
        <f>IF(ISERROR(FIND('112'!$M$9,G1209,1)),"",IF((AND(FIND('112'!$M$9,G1209,1)&gt;=1,$B1209&gt;='112'!$N$8,$B1209&lt;='112'!$O$8,OR($L1209='112'!$I$6,$M1209='112'!$I$6))),"x",""))</f>
        <v/>
      </c>
      <c r="S1209" s="525" t="str">
        <f>IF(ISERROR(FIND('112'!$M$9,G1209,1)),"",IF((AND(LEFT(G1209,2)=LEFT('112'!$M$9,2),B1209&lt;'112'!$N$8,$L1209='112'!$I$6)),"x",""))</f>
        <v/>
      </c>
      <c r="T1209" s="525" t="str">
        <f>IF(ISERROR(FIND('112'!$M$9,G1209,1)),"",IF((AND(RIGHT(G1209,2)=RIGHT('112'!$M$9,2),B1209&lt;'112'!$N$8,$M1209='112'!$I$6)),"x",""))</f>
        <v/>
      </c>
      <c r="U1209" s="525" t="str">
        <f>IF(AND(B1209&gt;='IN-NX'!$P$3,B1209&lt;='IN-NX'!$Q$3,'IN-NX'!$D$7=D1209,OR(LEFT(L1209,2)="15",AND(LEFT(M1209,2)&lt;&gt;"15",LEFT(M1209,2)&lt;&gt;"33"))),"x","")</f>
        <v/>
      </c>
      <c r="V1209" s="525" t="str">
        <f>IF(AND(OR(LEFT(TH!L1209,2)="15",LEFT(TH!M1209,2)="15"),'152-CT'!$J$8=TH!F1209),"x","")</f>
        <v/>
      </c>
      <c r="W1209" s="525" t="str">
        <f>IF(AND(OR(LEFT(TH!L1209,2)="15",LEFT(TH!M1209,2)="15"),TK!$E$7=TH!F1209),"x","")</f>
        <v/>
      </c>
      <c r="X1209" s="525" t="str">
        <f>IF(AND('341-CT'!$E$9=H1209,OR(LEFT(L1209,3)=$X$7,LEFT(M1209,3)=$X$7)),"x","")</f>
        <v/>
      </c>
      <c r="Y1209" s="525" t="str">
        <f>IF(OR(TH!L1209=TH!$Y$7,M1209=TH!$Y$7),"x","")</f>
        <v/>
      </c>
      <c r="Z1209" s="525" t="str">
        <f>IF(AND(B1209&lt;=NKC!$N$8,B1209&gt;=NKC!$M$8),"x","")</f>
        <v>x</v>
      </c>
      <c r="AA1209" s="535"/>
    </row>
    <row r="1210" spans="1:27" s="503" customFormat="1" ht="15.75" customHeight="1">
      <c r="A1210" s="517" t="str">
        <f>IF(B1210&lt;&gt;"",IF(AND(B1210&gt;=_TM1,B1210&lt;=_TM2,OR(TH!L1210="1111",TH!M1210="1111")),TH!D1210,""),"")</f>
        <v/>
      </c>
      <c r="B1210" s="531">
        <f t="shared" si="119"/>
        <v>3</v>
      </c>
      <c r="C1210" s="315">
        <f t="shared" si="122"/>
        <v>42825</v>
      </c>
      <c r="D1210" s="315" t="s">
        <v>948</v>
      </c>
      <c r="E1210" s="315">
        <v>42825</v>
      </c>
      <c r="F1210" s="249" t="s">
        <v>647</v>
      </c>
      <c r="G1210" s="314" t="s">
        <v>789</v>
      </c>
      <c r="H1210" s="473" t="s">
        <v>284</v>
      </c>
      <c r="I1210" s="307">
        <v>12</v>
      </c>
      <c r="J1210" s="307">
        <v>112728</v>
      </c>
      <c r="K1210" s="532">
        <f t="shared" si="123"/>
        <v>1352736</v>
      </c>
      <c r="L1210" s="534" t="s">
        <v>223</v>
      </c>
      <c r="M1210" s="534" t="s">
        <v>162</v>
      </c>
      <c r="N1210" s="525" t="str">
        <f>IF(AND('331-CT'!$E$7=TH!H1210,OR(L1210="331",M1210="331")),"331",IF(AND(OR(L1210="131",M1210="131"),H1210='131-CT'!$E$7),"131",""))</f>
        <v/>
      </c>
      <c r="O1210" s="525" t="str">
        <f>IF(AND($B1210&gt;='111'!$N$11,$B1210&lt;='111'!$O$11,OR($L1210=$O$7,$M1210=$O$7)),"x","")</f>
        <v/>
      </c>
      <c r="P1210" s="525" t="str">
        <f>IF(AND($L1210=$O$7,$B1210&lt;'111'!$N$11),"x","")</f>
        <v/>
      </c>
      <c r="Q1210" s="525" t="str">
        <f>IF(AND($M1210=$O$7,$B1210&lt;'111'!$N$11),"x","")</f>
        <v/>
      </c>
      <c r="R1210" s="525" t="str">
        <f>IF(ISERROR(FIND('112'!$M$9,G1210,1)),"",IF((AND(FIND('112'!$M$9,G1210,1)&gt;=1,$B1210&gt;='112'!$N$8,$B1210&lt;='112'!$O$8,OR($L1210='112'!$I$6,$M1210='112'!$I$6))),"x",""))</f>
        <v/>
      </c>
      <c r="S1210" s="525" t="str">
        <f>IF(ISERROR(FIND('112'!$M$9,G1210,1)),"",IF((AND(LEFT(G1210,2)=LEFT('112'!$M$9,2),B1210&lt;'112'!$N$8,$L1210='112'!$I$6)),"x",""))</f>
        <v/>
      </c>
      <c r="T1210" s="525" t="str">
        <f>IF(ISERROR(FIND('112'!$M$9,G1210,1)),"",IF((AND(RIGHT(G1210,2)=RIGHT('112'!$M$9,2),B1210&lt;'112'!$N$8,$M1210='112'!$I$6)),"x",""))</f>
        <v/>
      </c>
      <c r="U1210" s="525" t="str">
        <f>IF(AND(B1210&gt;='IN-NX'!$P$3,B1210&lt;='IN-NX'!$Q$3,'IN-NX'!$D$7=D1210,OR(LEFT(L1210,2)="15",AND(LEFT(M1210,2)&lt;&gt;"15",LEFT(M1210,2)&lt;&gt;"33"))),"x","")</f>
        <v/>
      </c>
      <c r="V1210" s="525" t="str">
        <f>IF(AND(OR(LEFT(TH!L1210,2)="15",LEFT(TH!M1210,2)="15"),'152-CT'!$J$8=TH!F1210),"x","")</f>
        <v/>
      </c>
      <c r="W1210" s="525" t="str">
        <f>IF(AND(OR(LEFT(TH!L1210,2)="15",LEFT(TH!M1210,2)="15"),TK!$E$7=TH!F1210),"x","")</f>
        <v/>
      </c>
      <c r="X1210" s="525" t="str">
        <f>IF(AND('341-CT'!$E$9=H1210,OR(LEFT(L1210,3)=$X$7,LEFT(M1210,3)=$X$7)),"x","")</f>
        <v/>
      </c>
      <c r="Y1210" s="525" t="str">
        <f>IF(OR(TH!L1210=TH!$Y$7,M1210=TH!$Y$7),"x","")</f>
        <v/>
      </c>
      <c r="Z1210" s="525" t="str">
        <f>IF(AND(B1210&lt;=NKC!$N$8,B1210&gt;=NKC!$M$8),"x","")</f>
        <v>x</v>
      </c>
      <c r="AA1210" s="535"/>
    </row>
    <row r="1211" spans="1:27" s="503" customFormat="1" ht="15.75" customHeight="1">
      <c r="A1211" s="517" t="str">
        <f>IF(B1211&lt;&gt;"",IF(AND(B1211&gt;=_TM1,B1211&lt;=_TM2,OR(TH!L1211="1111",TH!M1211="1111")),TH!D1211,""),"")</f>
        <v/>
      </c>
      <c r="B1211" s="531">
        <f t="shared" si="119"/>
        <v>3</v>
      </c>
      <c r="C1211" s="315">
        <f t="shared" si="122"/>
        <v>42825</v>
      </c>
      <c r="D1211" s="315" t="s">
        <v>948</v>
      </c>
      <c r="E1211" s="315">
        <v>42825</v>
      </c>
      <c r="F1211" s="249" t="s">
        <v>611</v>
      </c>
      <c r="G1211" s="314" t="s">
        <v>789</v>
      </c>
      <c r="H1211" s="473" t="s">
        <v>284</v>
      </c>
      <c r="I1211" s="307">
        <v>54</v>
      </c>
      <c r="J1211" s="307">
        <v>44814</v>
      </c>
      <c r="K1211" s="532">
        <f t="shared" si="123"/>
        <v>2419956</v>
      </c>
      <c r="L1211" s="534" t="s">
        <v>223</v>
      </c>
      <c r="M1211" s="534" t="s">
        <v>162</v>
      </c>
      <c r="N1211" s="525" t="str">
        <f>IF(AND('331-CT'!$E$7=TH!H1211,OR(L1211="331",M1211="331")),"331",IF(AND(OR(L1211="131",M1211="131"),H1211='131-CT'!$E$7),"131",""))</f>
        <v/>
      </c>
      <c r="O1211" s="525" t="str">
        <f>IF(AND($B1211&gt;='111'!$N$11,$B1211&lt;='111'!$O$11,OR($L1211=$O$7,$M1211=$O$7)),"x","")</f>
        <v/>
      </c>
      <c r="P1211" s="525" t="str">
        <f>IF(AND($L1211=$O$7,$B1211&lt;'111'!$N$11),"x","")</f>
        <v/>
      </c>
      <c r="Q1211" s="525" t="str">
        <f>IF(AND($M1211=$O$7,$B1211&lt;'111'!$N$11),"x","")</f>
        <v/>
      </c>
      <c r="R1211" s="525" t="str">
        <f>IF(ISERROR(FIND('112'!$M$9,G1211,1)),"",IF((AND(FIND('112'!$M$9,G1211,1)&gt;=1,$B1211&gt;='112'!$N$8,$B1211&lt;='112'!$O$8,OR($L1211='112'!$I$6,$M1211='112'!$I$6))),"x",""))</f>
        <v/>
      </c>
      <c r="S1211" s="525" t="str">
        <f>IF(ISERROR(FIND('112'!$M$9,G1211,1)),"",IF((AND(LEFT(G1211,2)=LEFT('112'!$M$9,2),B1211&lt;'112'!$N$8,$L1211='112'!$I$6)),"x",""))</f>
        <v/>
      </c>
      <c r="T1211" s="525" t="str">
        <f>IF(ISERROR(FIND('112'!$M$9,G1211,1)),"",IF((AND(RIGHT(G1211,2)=RIGHT('112'!$M$9,2),B1211&lt;'112'!$N$8,$M1211='112'!$I$6)),"x",""))</f>
        <v/>
      </c>
      <c r="U1211" s="525" t="str">
        <f>IF(AND(B1211&gt;='IN-NX'!$P$3,B1211&lt;='IN-NX'!$Q$3,'IN-NX'!$D$7=D1211,OR(LEFT(L1211,2)="15",AND(LEFT(M1211,2)&lt;&gt;"15",LEFT(M1211,2)&lt;&gt;"33"))),"x","")</f>
        <v/>
      </c>
      <c r="V1211" s="525" t="str">
        <f>IF(AND(OR(LEFT(TH!L1211,2)="15",LEFT(TH!M1211,2)="15"),'152-CT'!$J$8=TH!F1211),"x","")</f>
        <v/>
      </c>
      <c r="W1211" s="525" t="str">
        <f>IF(AND(OR(LEFT(TH!L1211,2)="15",LEFT(TH!M1211,2)="15"),TK!$E$7=TH!F1211),"x","")</f>
        <v/>
      </c>
      <c r="X1211" s="525" t="str">
        <f>IF(AND('341-CT'!$E$9=H1211,OR(LEFT(L1211,3)=$X$7,LEFT(M1211,3)=$X$7)),"x","")</f>
        <v/>
      </c>
      <c r="Y1211" s="525" t="str">
        <f>IF(OR(TH!L1211=TH!$Y$7,M1211=TH!$Y$7),"x","")</f>
        <v/>
      </c>
      <c r="Z1211" s="525" t="str">
        <f>IF(AND(B1211&lt;=NKC!$N$8,B1211&gt;=NKC!$M$8),"x","")</f>
        <v>x</v>
      </c>
      <c r="AA1211" s="535"/>
    </row>
    <row r="1212" spans="1:27" s="503" customFormat="1" ht="15.75" customHeight="1">
      <c r="A1212" s="517" t="str">
        <f>IF(B1212&lt;&gt;"",IF(AND(B1212&gt;=_TM1,B1212&lt;=_TM2,OR(TH!L1212="1111",TH!M1212="1111")),TH!D1212,""),"")</f>
        <v/>
      </c>
      <c r="B1212" s="531">
        <f t="shared" si="119"/>
        <v>3</v>
      </c>
      <c r="C1212" s="315">
        <f t="shared" si="122"/>
        <v>42825</v>
      </c>
      <c r="D1212" s="315" t="s">
        <v>948</v>
      </c>
      <c r="E1212" s="315">
        <v>42825</v>
      </c>
      <c r="F1212" s="249" t="s">
        <v>695</v>
      </c>
      <c r="G1212" s="314" t="s">
        <v>789</v>
      </c>
      <c r="H1212" s="473" t="s">
        <v>284</v>
      </c>
      <c r="I1212" s="307">
        <v>10</v>
      </c>
      <c r="J1212" s="307">
        <v>105722</v>
      </c>
      <c r="K1212" s="532">
        <f t="shared" si="123"/>
        <v>1057220</v>
      </c>
      <c r="L1212" s="534" t="s">
        <v>223</v>
      </c>
      <c r="M1212" s="534" t="s">
        <v>162</v>
      </c>
      <c r="N1212" s="525" t="str">
        <f>IF(AND('331-CT'!$E$7=TH!H1212,OR(L1212="331",M1212="331")),"331",IF(AND(OR(L1212="131",M1212="131"),H1212='131-CT'!$E$7),"131",""))</f>
        <v/>
      </c>
      <c r="O1212" s="525" t="str">
        <f>IF(AND($B1212&gt;='111'!$N$11,$B1212&lt;='111'!$O$11,OR($L1212=$O$7,$M1212=$O$7)),"x","")</f>
        <v/>
      </c>
      <c r="P1212" s="525" t="str">
        <f>IF(AND($L1212=$O$7,$B1212&lt;'111'!$N$11),"x","")</f>
        <v/>
      </c>
      <c r="Q1212" s="525" t="str">
        <f>IF(AND($M1212=$O$7,$B1212&lt;'111'!$N$11),"x","")</f>
        <v/>
      </c>
      <c r="R1212" s="525" t="str">
        <f>IF(ISERROR(FIND('112'!$M$9,G1212,1)),"",IF((AND(FIND('112'!$M$9,G1212,1)&gt;=1,$B1212&gt;='112'!$N$8,$B1212&lt;='112'!$O$8,OR($L1212='112'!$I$6,$M1212='112'!$I$6))),"x",""))</f>
        <v/>
      </c>
      <c r="S1212" s="525" t="str">
        <f>IF(ISERROR(FIND('112'!$M$9,G1212,1)),"",IF((AND(LEFT(G1212,2)=LEFT('112'!$M$9,2),B1212&lt;'112'!$N$8,$L1212='112'!$I$6)),"x",""))</f>
        <v/>
      </c>
      <c r="T1212" s="525" t="str">
        <f>IF(ISERROR(FIND('112'!$M$9,G1212,1)),"",IF((AND(RIGHT(G1212,2)=RIGHT('112'!$M$9,2),B1212&lt;'112'!$N$8,$M1212='112'!$I$6)),"x",""))</f>
        <v/>
      </c>
      <c r="U1212" s="525" t="str">
        <f>IF(AND(B1212&gt;='IN-NX'!$P$3,B1212&lt;='IN-NX'!$Q$3,'IN-NX'!$D$7=D1212,OR(LEFT(L1212,2)="15",AND(LEFT(M1212,2)&lt;&gt;"15",LEFT(M1212,2)&lt;&gt;"33"))),"x","")</f>
        <v/>
      </c>
      <c r="V1212" s="525" t="str">
        <f>IF(AND(OR(LEFT(TH!L1212,2)="15",LEFT(TH!M1212,2)="15"),'152-CT'!$J$8=TH!F1212),"x","")</f>
        <v/>
      </c>
      <c r="W1212" s="525" t="str">
        <f>IF(AND(OR(LEFT(TH!L1212,2)="15",LEFT(TH!M1212,2)="15"),TK!$E$7=TH!F1212),"x","")</f>
        <v/>
      </c>
      <c r="X1212" s="525" t="str">
        <f>IF(AND('341-CT'!$E$9=H1212,OR(LEFT(L1212,3)=$X$7,LEFT(M1212,3)=$X$7)),"x","")</f>
        <v/>
      </c>
      <c r="Y1212" s="525" t="str">
        <f>IF(OR(TH!L1212=TH!$Y$7,M1212=TH!$Y$7),"x","")</f>
        <v/>
      </c>
      <c r="Z1212" s="525" t="str">
        <f>IF(AND(B1212&lt;=NKC!$N$8,B1212&gt;=NKC!$M$8),"x","")</f>
        <v>x</v>
      </c>
      <c r="AA1212" s="535"/>
    </row>
    <row r="1213" spans="1:27" s="503" customFormat="1" ht="15.75" customHeight="1">
      <c r="A1213" s="517" t="str">
        <f>IF(B1213&lt;&gt;"",IF(AND(B1213&gt;=_TM1,B1213&lt;=_TM2,OR(TH!L1213="1111",TH!M1213="1111")),TH!D1213,""),"")</f>
        <v/>
      </c>
      <c r="B1213" s="531">
        <f t="shared" si="119"/>
        <v>3</v>
      </c>
      <c r="C1213" s="315">
        <f t="shared" si="122"/>
        <v>42825</v>
      </c>
      <c r="D1213" s="315" t="s">
        <v>948</v>
      </c>
      <c r="E1213" s="315">
        <v>42825</v>
      </c>
      <c r="F1213" s="249" t="s">
        <v>649</v>
      </c>
      <c r="G1213" s="314" t="s">
        <v>789</v>
      </c>
      <c r="H1213" s="473" t="s">
        <v>284</v>
      </c>
      <c r="I1213" s="307">
        <v>14</v>
      </c>
      <c r="J1213" s="307">
        <v>69350</v>
      </c>
      <c r="K1213" s="532">
        <f t="shared" si="123"/>
        <v>970900</v>
      </c>
      <c r="L1213" s="534" t="s">
        <v>223</v>
      </c>
      <c r="M1213" s="534" t="s">
        <v>162</v>
      </c>
      <c r="N1213" s="525" t="str">
        <f>IF(AND('331-CT'!$E$7=TH!H1213,OR(L1213="331",M1213="331")),"331",IF(AND(OR(L1213="131",M1213="131"),H1213='131-CT'!$E$7),"131",""))</f>
        <v/>
      </c>
      <c r="O1213" s="525" t="str">
        <f>IF(AND($B1213&gt;='111'!$N$11,$B1213&lt;='111'!$O$11,OR($L1213=$O$7,$M1213=$O$7)),"x","")</f>
        <v/>
      </c>
      <c r="P1213" s="525" t="str">
        <f>IF(AND($L1213=$O$7,$B1213&lt;'111'!$N$11),"x","")</f>
        <v/>
      </c>
      <c r="Q1213" s="525" t="str">
        <f>IF(AND($M1213=$O$7,$B1213&lt;'111'!$N$11),"x","")</f>
        <v/>
      </c>
      <c r="R1213" s="525" t="str">
        <f>IF(ISERROR(FIND('112'!$M$9,G1213,1)),"",IF((AND(FIND('112'!$M$9,G1213,1)&gt;=1,$B1213&gt;='112'!$N$8,$B1213&lt;='112'!$O$8,OR($L1213='112'!$I$6,$M1213='112'!$I$6))),"x",""))</f>
        <v/>
      </c>
      <c r="S1213" s="525" t="str">
        <f>IF(ISERROR(FIND('112'!$M$9,G1213,1)),"",IF((AND(LEFT(G1213,2)=LEFT('112'!$M$9,2),B1213&lt;'112'!$N$8,$L1213='112'!$I$6)),"x",""))</f>
        <v/>
      </c>
      <c r="T1213" s="525" t="str">
        <f>IF(ISERROR(FIND('112'!$M$9,G1213,1)),"",IF((AND(RIGHT(G1213,2)=RIGHT('112'!$M$9,2),B1213&lt;'112'!$N$8,$M1213='112'!$I$6)),"x",""))</f>
        <v/>
      </c>
      <c r="U1213" s="525" t="str">
        <f>IF(AND(B1213&gt;='IN-NX'!$P$3,B1213&lt;='IN-NX'!$Q$3,'IN-NX'!$D$7=D1213,OR(LEFT(L1213,2)="15",AND(LEFT(M1213,2)&lt;&gt;"15",LEFT(M1213,2)&lt;&gt;"33"))),"x","")</f>
        <v/>
      </c>
      <c r="V1213" s="525" t="str">
        <f>IF(AND(OR(LEFT(TH!L1213,2)="15",LEFT(TH!M1213,2)="15"),'152-CT'!$J$8=TH!F1213),"x","")</f>
        <v/>
      </c>
      <c r="W1213" s="525" t="str">
        <f>IF(AND(OR(LEFT(TH!L1213,2)="15",LEFT(TH!M1213,2)="15"),TK!$E$7=TH!F1213),"x","")</f>
        <v/>
      </c>
      <c r="X1213" s="525" t="str">
        <f>IF(AND('341-CT'!$E$9=H1213,OR(LEFT(L1213,3)=$X$7,LEFT(M1213,3)=$X$7)),"x","")</f>
        <v/>
      </c>
      <c r="Y1213" s="525" t="str">
        <f>IF(OR(TH!L1213=TH!$Y$7,M1213=TH!$Y$7),"x","")</f>
        <v/>
      </c>
      <c r="Z1213" s="525" t="str">
        <f>IF(AND(B1213&lt;=NKC!$N$8,B1213&gt;=NKC!$M$8),"x","")</f>
        <v>x</v>
      </c>
      <c r="AA1213" s="535"/>
    </row>
    <row r="1214" spans="1:27" s="503" customFormat="1" ht="15.75" customHeight="1">
      <c r="A1214" s="517" t="str">
        <f>IF(B1214&lt;&gt;"",IF(AND(B1214&gt;=_TM1,B1214&lt;=_TM2,OR(TH!L1214="1111",TH!M1214="1111")),TH!D1214,""),"")</f>
        <v/>
      </c>
      <c r="B1214" s="531">
        <f t="shared" si="119"/>
        <v>3</v>
      </c>
      <c r="C1214" s="315">
        <f t="shared" si="120"/>
        <v>42825</v>
      </c>
      <c r="D1214" s="315" t="s">
        <v>948</v>
      </c>
      <c r="E1214" s="315">
        <v>42825</v>
      </c>
      <c r="F1214" s="249" t="s">
        <v>648</v>
      </c>
      <c r="G1214" s="314" t="s">
        <v>789</v>
      </c>
      <c r="H1214" s="473" t="s">
        <v>284</v>
      </c>
      <c r="I1214" s="307">
        <v>12</v>
      </c>
      <c r="J1214" s="307">
        <v>49480</v>
      </c>
      <c r="K1214" s="532">
        <f t="shared" ref="K1214:K1223" si="124">ROUND(I1214*J1214,0)</f>
        <v>593760</v>
      </c>
      <c r="L1214" s="534" t="s">
        <v>223</v>
      </c>
      <c r="M1214" s="534" t="s">
        <v>162</v>
      </c>
      <c r="N1214" s="525" t="str">
        <f>IF(AND('331-CT'!$E$7=TH!H1214,OR(L1214="331",M1214="331")),"331",IF(AND(OR(L1214="131",M1214="131"),H1214='131-CT'!$E$7),"131",""))</f>
        <v/>
      </c>
      <c r="O1214" s="525" t="str">
        <f>IF(AND($B1214&gt;='111'!$N$11,$B1214&lt;='111'!$O$11,OR($L1214=$O$7,$M1214=$O$7)),"x","")</f>
        <v/>
      </c>
      <c r="P1214" s="525" t="str">
        <f>IF(AND($L1214=$O$7,$B1214&lt;'111'!$N$11),"x","")</f>
        <v/>
      </c>
      <c r="Q1214" s="525" t="str">
        <f>IF(AND($M1214=$O$7,$B1214&lt;'111'!$N$11),"x","")</f>
        <v/>
      </c>
      <c r="R1214" s="525" t="str">
        <f>IF(ISERROR(FIND('112'!$M$9,G1214,1)),"",IF((AND(FIND('112'!$M$9,G1214,1)&gt;=1,$B1214&gt;='112'!$N$8,$B1214&lt;='112'!$O$8,OR($L1214='112'!$I$6,$M1214='112'!$I$6))),"x",""))</f>
        <v/>
      </c>
      <c r="S1214" s="525" t="str">
        <f>IF(ISERROR(FIND('112'!$M$9,G1214,1)),"",IF((AND(LEFT(G1214,2)=LEFT('112'!$M$9,2),B1214&lt;'112'!$N$8,$L1214='112'!$I$6)),"x",""))</f>
        <v/>
      </c>
      <c r="T1214" s="525" t="str">
        <f>IF(ISERROR(FIND('112'!$M$9,G1214,1)),"",IF((AND(RIGHT(G1214,2)=RIGHT('112'!$M$9,2),B1214&lt;'112'!$N$8,$M1214='112'!$I$6)),"x",""))</f>
        <v/>
      </c>
      <c r="U1214" s="525" t="str">
        <f>IF(AND(B1214&gt;='IN-NX'!$P$3,B1214&lt;='IN-NX'!$Q$3,'IN-NX'!$D$7=D1214,OR(LEFT(L1214,2)="15",AND(LEFT(M1214,2)&lt;&gt;"15",LEFT(M1214,2)&lt;&gt;"33"))),"x","")</f>
        <v/>
      </c>
      <c r="V1214" s="525" t="str">
        <f>IF(AND(OR(LEFT(TH!L1214,2)="15",LEFT(TH!M1214,2)="15"),'152-CT'!$J$8=TH!F1214),"x","")</f>
        <v/>
      </c>
      <c r="W1214" s="525" t="str">
        <f>IF(AND(OR(LEFT(TH!L1214,2)="15",LEFT(TH!M1214,2)="15"),TK!$E$7=TH!F1214),"x","")</f>
        <v/>
      </c>
      <c r="X1214" s="525" t="str">
        <f>IF(AND('341-CT'!$E$9=H1214,OR(LEFT(L1214,3)=$X$7,LEFT(M1214,3)=$X$7)),"x","")</f>
        <v/>
      </c>
      <c r="Y1214" s="525" t="str">
        <f>IF(OR(TH!L1214=TH!$Y$7,M1214=TH!$Y$7),"x","")</f>
        <v/>
      </c>
      <c r="Z1214" s="525" t="str">
        <f>IF(AND(B1214&lt;=NKC!$N$8,B1214&gt;=NKC!$M$8),"x","")</f>
        <v>x</v>
      </c>
      <c r="AA1214" s="535"/>
    </row>
    <row r="1215" spans="1:27" s="503" customFormat="1" ht="15.75" customHeight="1">
      <c r="A1215" s="517" t="str">
        <f>IF(B1215&lt;&gt;"",IF(AND(B1215&gt;=_TM1,B1215&lt;=_TM2,OR(TH!L1215="1111",TH!M1215="1111")),TH!D1215,""),"")</f>
        <v/>
      </c>
      <c r="B1215" s="531">
        <f t="shared" si="119"/>
        <v>3</v>
      </c>
      <c r="C1215" s="315">
        <f t="shared" si="120"/>
        <v>42825</v>
      </c>
      <c r="D1215" s="315" t="s">
        <v>948</v>
      </c>
      <c r="E1215" s="315">
        <v>42825</v>
      </c>
      <c r="F1215" s="249" t="s">
        <v>689</v>
      </c>
      <c r="G1215" s="314" t="s">
        <v>789</v>
      </c>
      <c r="H1215" s="473" t="s">
        <v>284</v>
      </c>
      <c r="I1215" s="307">
        <v>12</v>
      </c>
      <c r="J1215" s="307">
        <v>80564</v>
      </c>
      <c r="K1215" s="532">
        <f t="shared" si="124"/>
        <v>966768</v>
      </c>
      <c r="L1215" s="534" t="s">
        <v>223</v>
      </c>
      <c r="M1215" s="534" t="s">
        <v>162</v>
      </c>
      <c r="N1215" s="525" t="str">
        <f>IF(AND('331-CT'!$E$7=TH!H1215,OR(L1215="331",M1215="331")),"331",IF(AND(OR(L1215="131",M1215="131"),H1215='131-CT'!$E$7),"131",""))</f>
        <v/>
      </c>
      <c r="O1215" s="525" t="str">
        <f>IF(AND($B1215&gt;='111'!$N$11,$B1215&lt;='111'!$O$11,OR($L1215=$O$7,$M1215=$O$7)),"x","")</f>
        <v/>
      </c>
      <c r="P1215" s="525" t="str">
        <f>IF(AND($L1215=$O$7,$B1215&lt;'111'!$N$11),"x","")</f>
        <v/>
      </c>
      <c r="Q1215" s="525" t="str">
        <f>IF(AND($M1215=$O$7,$B1215&lt;'111'!$N$11),"x","")</f>
        <v/>
      </c>
      <c r="R1215" s="525" t="str">
        <f>IF(ISERROR(FIND('112'!$M$9,G1215,1)),"",IF((AND(FIND('112'!$M$9,G1215,1)&gt;=1,$B1215&gt;='112'!$N$8,$B1215&lt;='112'!$O$8,OR($L1215='112'!$I$6,$M1215='112'!$I$6))),"x",""))</f>
        <v/>
      </c>
      <c r="S1215" s="525" t="str">
        <f>IF(ISERROR(FIND('112'!$M$9,G1215,1)),"",IF((AND(LEFT(G1215,2)=LEFT('112'!$M$9,2),B1215&lt;'112'!$N$8,$L1215='112'!$I$6)),"x",""))</f>
        <v/>
      </c>
      <c r="T1215" s="525" t="str">
        <f>IF(ISERROR(FIND('112'!$M$9,G1215,1)),"",IF((AND(RIGHT(G1215,2)=RIGHT('112'!$M$9,2),B1215&lt;'112'!$N$8,$M1215='112'!$I$6)),"x",""))</f>
        <v/>
      </c>
      <c r="U1215" s="525" t="str">
        <f>IF(AND(B1215&gt;='IN-NX'!$P$3,B1215&lt;='IN-NX'!$Q$3,'IN-NX'!$D$7=D1215,OR(LEFT(L1215,2)="15",AND(LEFT(M1215,2)&lt;&gt;"15",LEFT(M1215,2)&lt;&gt;"33"))),"x","")</f>
        <v/>
      </c>
      <c r="V1215" s="525" t="str">
        <f>IF(AND(OR(LEFT(TH!L1215,2)="15",LEFT(TH!M1215,2)="15"),'152-CT'!$J$8=TH!F1215),"x","")</f>
        <v/>
      </c>
      <c r="W1215" s="525" t="str">
        <f>IF(AND(OR(LEFT(TH!L1215,2)="15",LEFT(TH!M1215,2)="15"),TK!$E$7=TH!F1215),"x","")</f>
        <v/>
      </c>
      <c r="X1215" s="525" t="str">
        <f>IF(AND('341-CT'!$E$9=H1215,OR(LEFT(L1215,3)=$X$7,LEFT(M1215,3)=$X$7)),"x","")</f>
        <v/>
      </c>
      <c r="Y1215" s="525" t="str">
        <f>IF(OR(TH!L1215=TH!$Y$7,M1215=TH!$Y$7),"x","")</f>
        <v/>
      </c>
      <c r="Z1215" s="525" t="str">
        <f>IF(AND(B1215&lt;=NKC!$N$8,B1215&gt;=NKC!$M$8),"x","")</f>
        <v>x</v>
      </c>
      <c r="AA1215" s="535"/>
    </row>
    <row r="1216" spans="1:27" s="503" customFormat="1" ht="15.75" customHeight="1">
      <c r="A1216" s="517" t="str">
        <f>IF(B1216&lt;&gt;"",IF(AND(B1216&gt;=_TM1,B1216&lt;=_TM2,OR(TH!L1216="1111",TH!M1216="1111")),TH!D1216,""),"")</f>
        <v/>
      </c>
      <c r="B1216" s="531">
        <f t="shared" si="119"/>
        <v>3</v>
      </c>
      <c r="C1216" s="315">
        <f t="shared" si="120"/>
        <v>42825</v>
      </c>
      <c r="D1216" s="315" t="s">
        <v>948</v>
      </c>
      <c r="E1216" s="315">
        <v>42825</v>
      </c>
      <c r="F1216" s="249" t="s">
        <v>692</v>
      </c>
      <c r="G1216" s="314" t="s">
        <v>789</v>
      </c>
      <c r="H1216" s="473" t="s">
        <v>284</v>
      </c>
      <c r="I1216" s="307">
        <v>9</v>
      </c>
      <c r="J1216" s="307">
        <v>186837</v>
      </c>
      <c r="K1216" s="532">
        <f t="shared" si="124"/>
        <v>1681533</v>
      </c>
      <c r="L1216" s="534" t="s">
        <v>223</v>
      </c>
      <c r="M1216" s="534" t="s">
        <v>162</v>
      </c>
      <c r="N1216" s="525" t="str">
        <f>IF(AND('331-CT'!$E$7=TH!H1216,OR(L1216="331",M1216="331")),"331",IF(AND(OR(L1216="131",M1216="131"),H1216='131-CT'!$E$7),"131",""))</f>
        <v/>
      </c>
      <c r="O1216" s="525" t="str">
        <f>IF(AND($B1216&gt;='111'!$N$11,$B1216&lt;='111'!$O$11,OR($L1216=$O$7,$M1216=$O$7)),"x","")</f>
        <v/>
      </c>
      <c r="P1216" s="525" t="str">
        <f>IF(AND($L1216=$O$7,$B1216&lt;'111'!$N$11),"x","")</f>
        <v/>
      </c>
      <c r="Q1216" s="525" t="str">
        <f>IF(AND($M1216=$O$7,$B1216&lt;'111'!$N$11),"x","")</f>
        <v/>
      </c>
      <c r="R1216" s="525" t="str">
        <f>IF(ISERROR(FIND('112'!$M$9,G1216,1)),"",IF((AND(FIND('112'!$M$9,G1216,1)&gt;=1,$B1216&gt;='112'!$N$8,$B1216&lt;='112'!$O$8,OR($L1216='112'!$I$6,$M1216='112'!$I$6))),"x",""))</f>
        <v/>
      </c>
      <c r="S1216" s="525" t="str">
        <f>IF(ISERROR(FIND('112'!$M$9,G1216,1)),"",IF((AND(LEFT(G1216,2)=LEFT('112'!$M$9,2),B1216&lt;'112'!$N$8,$L1216='112'!$I$6)),"x",""))</f>
        <v/>
      </c>
      <c r="T1216" s="525" t="str">
        <f>IF(ISERROR(FIND('112'!$M$9,G1216,1)),"",IF((AND(RIGHT(G1216,2)=RIGHT('112'!$M$9,2),B1216&lt;'112'!$N$8,$M1216='112'!$I$6)),"x",""))</f>
        <v/>
      </c>
      <c r="U1216" s="525" t="str">
        <f>IF(AND(B1216&gt;='IN-NX'!$P$3,B1216&lt;='IN-NX'!$Q$3,'IN-NX'!$D$7=D1216,OR(LEFT(L1216,2)="15",AND(LEFT(M1216,2)&lt;&gt;"15",LEFT(M1216,2)&lt;&gt;"33"))),"x","")</f>
        <v/>
      </c>
      <c r="V1216" s="525" t="str">
        <f>IF(AND(OR(LEFT(TH!L1216,2)="15",LEFT(TH!M1216,2)="15"),'152-CT'!$J$8=TH!F1216),"x","")</f>
        <v/>
      </c>
      <c r="W1216" s="525" t="str">
        <f>IF(AND(OR(LEFT(TH!L1216,2)="15",LEFT(TH!M1216,2)="15"),TK!$E$7=TH!F1216),"x","")</f>
        <v/>
      </c>
      <c r="X1216" s="525" t="str">
        <f>IF(AND('341-CT'!$E$9=H1216,OR(LEFT(L1216,3)=$X$7,LEFT(M1216,3)=$X$7)),"x","")</f>
        <v/>
      </c>
      <c r="Y1216" s="525" t="str">
        <f>IF(OR(TH!L1216=TH!$Y$7,M1216=TH!$Y$7),"x","")</f>
        <v/>
      </c>
      <c r="Z1216" s="525" t="str">
        <f>IF(AND(B1216&lt;=NKC!$N$8,B1216&gt;=NKC!$M$8),"x","")</f>
        <v>x</v>
      </c>
      <c r="AA1216" s="535"/>
    </row>
    <row r="1217" spans="1:27" s="503" customFormat="1" ht="15.75" customHeight="1">
      <c r="A1217" s="517" t="str">
        <f>IF(B1217&lt;&gt;"",IF(AND(B1217&gt;=_TM1,B1217&lt;=_TM2,OR(TH!L1217="1111",TH!M1217="1111")),TH!D1217,""),"")</f>
        <v/>
      </c>
      <c r="B1217" s="531">
        <f t="shared" si="119"/>
        <v>3</v>
      </c>
      <c r="C1217" s="315">
        <f t="shared" si="120"/>
        <v>42825</v>
      </c>
      <c r="D1217" s="315" t="s">
        <v>948</v>
      </c>
      <c r="E1217" s="315">
        <v>42825</v>
      </c>
      <c r="F1217" s="249" t="s">
        <v>690</v>
      </c>
      <c r="G1217" s="314" t="s">
        <v>789</v>
      </c>
      <c r="H1217" s="473" t="s">
        <v>284</v>
      </c>
      <c r="I1217" s="307">
        <v>4</v>
      </c>
      <c r="J1217" s="307">
        <v>122795</v>
      </c>
      <c r="K1217" s="532">
        <f t="shared" si="124"/>
        <v>491180</v>
      </c>
      <c r="L1217" s="534" t="s">
        <v>223</v>
      </c>
      <c r="M1217" s="534" t="s">
        <v>162</v>
      </c>
      <c r="N1217" s="525" t="str">
        <f>IF(AND('331-CT'!$E$7=TH!H1217,OR(L1217="331",M1217="331")),"331",IF(AND(OR(L1217="131",M1217="131"),H1217='131-CT'!$E$7),"131",""))</f>
        <v/>
      </c>
      <c r="O1217" s="525" t="str">
        <f>IF(AND($B1217&gt;='111'!$N$11,$B1217&lt;='111'!$O$11,OR($L1217=$O$7,$M1217=$O$7)),"x","")</f>
        <v/>
      </c>
      <c r="P1217" s="525" t="str">
        <f>IF(AND($L1217=$O$7,$B1217&lt;'111'!$N$11),"x","")</f>
        <v/>
      </c>
      <c r="Q1217" s="525" t="str">
        <f>IF(AND($M1217=$O$7,$B1217&lt;'111'!$N$11),"x","")</f>
        <v/>
      </c>
      <c r="R1217" s="525" t="str">
        <f>IF(ISERROR(FIND('112'!$M$9,G1217,1)),"",IF((AND(FIND('112'!$M$9,G1217,1)&gt;=1,$B1217&gt;='112'!$N$8,$B1217&lt;='112'!$O$8,OR($L1217='112'!$I$6,$M1217='112'!$I$6))),"x",""))</f>
        <v/>
      </c>
      <c r="S1217" s="525" t="str">
        <f>IF(ISERROR(FIND('112'!$M$9,G1217,1)),"",IF((AND(LEFT(G1217,2)=LEFT('112'!$M$9,2),B1217&lt;'112'!$N$8,$L1217='112'!$I$6)),"x",""))</f>
        <v/>
      </c>
      <c r="T1217" s="525" t="str">
        <f>IF(ISERROR(FIND('112'!$M$9,G1217,1)),"",IF((AND(RIGHT(G1217,2)=RIGHT('112'!$M$9,2),B1217&lt;'112'!$N$8,$M1217='112'!$I$6)),"x",""))</f>
        <v/>
      </c>
      <c r="U1217" s="525" t="str">
        <f>IF(AND(B1217&gt;='IN-NX'!$P$3,B1217&lt;='IN-NX'!$Q$3,'IN-NX'!$D$7=D1217,OR(LEFT(L1217,2)="15",AND(LEFT(M1217,2)&lt;&gt;"15",LEFT(M1217,2)&lt;&gt;"33"))),"x","")</f>
        <v/>
      </c>
      <c r="V1217" s="525" t="str">
        <f>IF(AND(OR(LEFT(TH!L1217,2)="15",LEFT(TH!M1217,2)="15"),'152-CT'!$J$8=TH!F1217),"x","")</f>
        <v/>
      </c>
      <c r="W1217" s="525" t="str">
        <f>IF(AND(OR(LEFT(TH!L1217,2)="15",LEFT(TH!M1217,2)="15"),TK!$E$7=TH!F1217),"x","")</f>
        <v/>
      </c>
      <c r="X1217" s="525" t="str">
        <f>IF(AND('341-CT'!$E$9=H1217,OR(LEFT(L1217,3)=$X$7,LEFT(M1217,3)=$X$7)),"x","")</f>
        <v/>
      </c>
      <c r="Y1217" s="525" t="str">
        <f>IF(OR(TH!L1217=TH!$Y$7,M1217=TH!$Y$7),"x","")</f>
        <v/>
      </c>
      <c r="Z1217" s="525" t="str">
        <f>IF(AND(B1217&lt;=NKC!$N$8,B1217&gt;=NKC!$M$8),"x","")</f>
        <v>x</v>
      </c>
      <c r="AA1217" s="535"/>
    </row>
    <row r="1218" spans="1:27" s="503" customFormat="1" ht="15.75" customHeight="1">
      <c r="A1218" s="517" t="str">
        <f>IF(B1218&lt;&gt;"",IF(AND(B1218&gt;=_TM1,B1218&lt;=_TM2,OR(TH!L1218="1111",TH!M1218="1111")),TH!D1218,""),"")</f>
        <v/>
      </c>
      <c r="B1218" s="531">
        <f t="shared" si="119"/>
        <v>3</v>
      </c>
      <c r="C1218" s="315">
        <f t="shared" si="120"/>
        <v>42825</v>
      </c>
      <c r="D1218" s="315" t="s">
        <v>949</v>
      </c>
      <c r="E1218" s="315">
        <v>42825</v>
      </c>
      <c r="F1218" s="249" t="s">
        <v>694</v>
      </c>
      <c r="G1218" s="314" t="s">
        <v>789</v>
      </c>
      <c r="H1218" s="473" t="s">
        <v>284</v>
      </c>
      <c r="I1218" s="307">
        <v>10</v>
      </c>
      <c r="J1218" s="307">
        <v>51232</v>
      </c>
      <c r="K1218" s="532">
        <f t="shared" si="124"/>
        <v>512320</v>
      </c>
      <c r="L1218" s="534" t="s">
        <v>223</v>
      </c>
      <c r="M1218" s="534" t="s">
        <v>162</v>
      </c>
      <c r="N1218" s="525" t="str">
        <f>IF(AND('331-CT'!$E$7=TH!H1218,OR(L1218="331",M1218="331")),"331",IF(AND(OR(L1218="131",M1218="131"),H1218='131-CT'!$E$7),"131",""))</f>
        <v/>
      </c>
      <c r="O1218" s="525" t="str">
        <f>IF(AND($B1218&gt;='111'!$N$11,$B1218&lt;='111'!$O$11,OR($L1218=$O$7,$M1218=$O$7)),"x","")</f>
        <v/>
      </c>
      <c r="P1218" s="525" t="str">
        <f>IF(AND($L1218=$O$7,$B1218&lt;'111'!$N$11),"x","")</f>
        <v/>
      </c>
      <c r="Q1218" s="525" t="str">
        <f>IF(AND($M1218=$O$7,$B1218&lt;'111'!$N$11),"x","")</f>
        <v/>
      </c>
      <c r="R1218" s="525" t="str">
        <f>IF(ISERROR(FIND('112'!$M$9,G1218,1)),"",IF((AND(FIND('112'!$M$9,G1218,1)&gt;=1,$B1218&gt;='112'!$N$8,$B1218&lt;='112'!$O$8,OR($L1218='112'!$I$6,$M1218='112'!$I$6))),"x",""))</f>
        <v/>
      </c>
      <c r="S1218" s="525" t="str">
        <f>IF(ISERROR(FIND('112'!$M$9,G1218,1)),"",IF((AND(LEFT(G1218,2)=LEFT('112'!$M$9,2),B1218&lt;'112'!$N$8,$L1218='112'!$I$6)),"x",""))</f>
        <v/>
      </c>
      <c r="T1218" s="525" t="str">
        <f>IF(ISERROR(FIND('112'!$M$9,G1218,1)),"",IF((AND(RIGHT(G1218,2)=RIGHT('112'!$M$9,2),B1218&lt;'112'!$N$8,$M1218='112'!$I$6)),"x",""))</f>
        <v/>
      </c>
      <c r="U1218" s="525" t="str">
        <f>IF(AND(B1218&gt;='IN-NX'!$P$3,B1218&lt;='IN-NX'!$Q$3,'IN-NX'!$D$7=D1218,OR(LEFT(L1218,2)="15",AND(LEFT(M1218,2)&lt;&gt;"15",LEFT(M1218,2)&lt;&gt;"33"))),"x","")</f>
        <v/>
      </c>
      <c r="V1218" s="525" t="str">
        <f>IF(AND(OR(LEFT(TH!L1218,2)="15",LEFT(TH!M1218,2)="15"),'152-CT'!$J$8=TH!F1218),"x","")</f>
        <v/>
      </c>
      <c r="W1218" s="525" t="str">
        <f>IF(AND(OR(LEFT(TH!L1218,2)="15",LEFT(TH!M1218,2)="15"),TK!$E$7=TH!F1218),"x","")</f>
        <v/>
      </c>
      <c r="X1218" s="525" t="str">
        <f>IF(AND('341-CT'!$E$9=H1218,OR(LEFT(L1218,3)=$X$7,LEFT(M1218,3)=$X$7)),"x","")</f>
        <v/>
      </c>
      <c r="Y1218" s="525" t="str">
        <f>IF(OR(TH!L1218=TH!$Y$7,M1218=TH!$Y$7),"x","")</f>
        <v/>
      </c>
      <c r="Z1218" s="525" t="str">
        <f>IF(AND(B1218&lt;=NKC!$N$8,B1218&gt;=NKC!$M$8),"x","")</f>
        <v>x</v>
      </c>
      <c r="AA1218" s="535"/>
    </row>
    <row r="1219" spans="1:27" s="503" customFormat="1" ht="15.75" customHeight="1">
      <c r="A1219" s="517" t="str">
        <f>IF(B1219&lt;&gt;"",IF(AND(B1219&gt;=_TM1,B1219&lt;=_TM2,OR(TH!L1219="1111",TH!M1219="1111")),TH!D1219,""),"")</f>
        <v/>
      </c>
      <c r="B1219" s="531">
        <f t="shared" si="119"/>
        <v>3</v>
      </c>
      <c r="C1219" s="315">
        <f t="shared" si="120"/>
        <v>42825</v>
      </c>
      <c r="D1219" s="315" t="s">
        <v>949</v>
      </c>
      <c r="E1219" s="315">
        <v>42825</v>
      </c>
      <c r="F1219" s="249" t="s">
        <v>663</v>
      </c>
      <c r="G1219" s="314" t="s">
        <v>789</v>
      </c>
      <c r="H1219" s="473" t="s">
        <v>284</v>
      </c>
      <c r="I1219" s="307">
        <v>14</v>
      </c>
      <c r="J1219" s="307">
        <v>45864</v>
      </c>
      <c r="K1219" s="532">
        <f t="shared" si="124"/>
        <v>642096</v>
      </c>
      <c r="L1219" s="534" t="s">
        <v>223</v>
      </c>
      <c r="M1219" s="534" t="s">
        <v>162</v>
      </c>
      <c r="N1219" s="525" t="str">
        <f>IF(AND('331-CT'!$E$7=TH!H1219,OR(L1219="331",M1219="331")),"331",IF(AND(OR(L1219="131",M1219="131"),H1219='131-CT'!$E$7),"131",""))</f>
        <v/>
      </c>
      <c r="O1219" s="525" t="str">
        <f>IF(AND($B1219&gt;='111'!$N$11,$B1219&lt;='111'!$O$11,OR($L1219=$O$7,$M1219=$O$7)),"x","")</f>
        <v/>
      </c>
      <c r="P1219" s="525" t="str">
        <f>IF(AND($L1219=$O$7,$B1219&lt;'111'!$N$11),"x","")</f>
        <v/>
      </c>
      <c r="Q1219" s="525" t="str">
        <f>IF(AND($M1219=$O$7,$B1219&lt;'111'!$N$11),"x","")</f>
        <v/>
      </c>
      <c r="R1219" s="525" t="str">
        <f>IF(ISERROR(FIND('112'!$M$9,G1219,1)),"",IF((AND(FIND('112'!$M$9,G1219,1)&gt;=1,$B1219&gt;='112'!$N$8,$B1219&lt;='112'!$O$8,OR($L1219='112'!$I$6,$M1219='112'!$I$6))),"x",""))</f>
        <v/>
      </c>
      <c r="S1219" s="525" t="str">
        <f>IF(ISERROR(FIND('112'!$M$9,G1219,1)),"",IF((AND(LEFT(G1219,2)=LEFT('112'!$M$9,2),B1219&lt;'112'!$N$8,$L1219='112'!$I$6)),"x",""))</f>
        <v/>
      </c>
      <c r="T1219" s="525" t="str">
        <f>IF(ISERROR(FIND('112'!$M$9,G1219,1)),"",IF((AND(RIGHT(G1219,2)=RIGHT('112'!$M$9,2),B1219&lt;'112'!$N$8,$M1219='112'!$I$6)),"x",""))</f>
        <v/>
      </c>
      <c r="U1219" s="525" t="str">
        <f>IF(AND(B1219&gt;='IN-NX'!$P$3,B1219&lt;='IN-NX'!$Q$3,'IN-NX'!$D$7=D1219,OR(LEFT(L1219,2)="15",AND(LEFT(M1219,2)&lt;&gt;"15",LEFT(M1219,2)&lt;&gt;"33"))),"x","")</f>
        <v/>
      </c>
      <c r="V1219" s="525" t="str">
        <f>IF(AND(OR(LEFT(TH!L1219,2)="15",LEFT(TH!M1219,2)="15"),'152-CT'!$J$8=TH!F1219),"x","")</f>
        <v/>
      </c>
      <c r="W1219" s="525" t="str">
        <f>IF(AND(OR(LEFT(TH!L1219,2)="15",LEFT(TH!M1219,2)="15"),TK!$E$7=TH!F1219),"x","")</f>
        <v/>
      </c>
      <c r="X1219" s="525" t="str">
        <f>IF(AND('341-CT'!$E$9=H1219,OR(LEFT(L1219,3)=$X$7,LEFT(M1219,3)=$X$7)),"x","")</f>
        <v/>
      </c>
      <c r="Y1219" s="525" t="str">
        <f>IF(OR(TH!L1219=TH!$Y$7,M1219=TH!$Y$7),"x","")</f>
        <v/>
      </c>
      <c r="Z1219" s="525" t="str">
        <f>IF(AND(B1219&lt;=NKC!$N$8,B1219&gt;=NKC!$M$8),"x","")</f>
        <v>x</v>
      </c>
      <c r="AA1219" s="535"/>
    </row>
    <row r="1220" spans="1:27" s="503" customFormat="1" ht="15.75" customHeight="1">
      <c r="A1220" s="517" t="str">
        <f>IF(B1220&lt;&gt;"",IF(AND(B1220&gt;=_TM1,B1220&lt;=_TM2,OR(TH!L1220="1111",TH!M1220="1111")),TH!D1220,""),"")</f>
        <v/>
      </c>
      <c r="B1220" s="531">
        <f t="shared" si="119"/>
        <v>3</v>
      </c>
      <c r="C1220" s="315">
        <f t="shared" si="120"/>
        <v>42825</v>
      </c>
      <c r="D1220" s="315" t="s">
        <v>949</v>
      </c>
      <c r="E1220" s="315">
        <v>42825</v>
      </c>
      <c r="F1220" s="249" t="s">
        <v>611</v>
      </c>
      <c r="G1220" s="314" t="s">
        <v>789</v>
      </c>
      <c r="H1220" s="473" t="s">
        <v>284</v>
      </c>
      <c r="I1220" s="307">
        <v>10</v>
      </c>
      <c r="J1220" s="307">
        <v>44841</v>
      </c>
      <c r="K1220" s="532">
        <f t="shared" si="124"/>
        <v>448410</v>
      </c>
      <c r="L1220" s="534" t="s">
        <v>223</v>
      </c>
      <c r="M1220" s="534" t="s">
        <v>162</v>
      </c>
      <c r="N1220" s="525" t="str">
        <f>IF(AND('331-CT'!$E$7=TH!H1220,OR(L1220="331",M1220="331")),"331",IF(AND(OR(L1220="131",M1220="131"),H1220='131-CT'!$E$7),"131",""))</f>
        <v/>
      </c>
      <c r="O1220" s="525" t="str">
        <f>IF(AND($B1220&gt;='111'!$N$11,$B1220&lt;='111'!$O$11,OR($L1220=$O$7,$M1220=$O$7)),"x","")</f>
        <v/>
      </c>
      <c r="P1220" s="525" t="str">
        <f>IF(AND($L1220=$O$7,$B1220&lt;'111'!$N$11),"x","")</f>
        <v/>
      </c>
      <c r="Q1220" s="525" t="str">
        <f>IF(AND($M1220=$O$7,$B1220&lt;'111'!$N$11),"x","")</f>
        <v/>
      </c>
      <c r="R1220" s="525" t="str">
        <f>IF(ISERROR(FIND('112'!$M$9,G1220,1)),"",IF((AND(FIND('112'!$M$9,G1220,1)&gt;=1,$B1220&gt;='112'!$N$8,$B1220&lt;='112'!$O$8,OR($L1220='112'!$I$6,$M1220='112'!$I$6))),"x",""))</f>
        <v/>
      </c>
      <c r="S1220" s="525" t="str">
        <f>IF(ISERROR(FIND('112'!$M$9,G1220,1)),"",IF((AND(LEFT(G1220,2)=LEFT('112'!$M$9,2),B1220&lt;'112'!$N$8,$L1220='112'!$I$6)),"x",""))</f>
        <v/>
      </c>
      <c r="T1220" s="525" t="str">
        <f>IF(ISERROR(FIND('112'!$M$9,G1220,1)),"",IF((AND(RIGHT(G1220,2)=RIGHT('112'!$M$9,2),B1220&lt;'112'!$N$8,$M1220='112'!$I$6)),"x",""))</f>
        <v/>
      </c>
      <c r="U1220" s="525" t="str">
        <f>IF(AND(B1220&gt;='IN-NX'!$P$3,B1220&lt;='IN-NX'!$Q$3,'IN-NX'!$D$7=D1220,OR(LEFT(L1220,2)="15",AND(LEFT(M1220,2)&lt;&gt;"15",LEFT(M1220,2)&lt;&gt;"33"))),"x","")</f>
        <v/>
      </c>
      <c r="V1220" s="525" t="str">
        <f>IF(AND(OR(LEFT(TH!L1220,2)="15",LEFT(TH!M1220,2)="15"),'152-CT'!$J$8=TH!F1220),"x","")</f>
        <v/>
      </c>
      <c r="W1220" s="525" t="str">
        <f>IF(AND(OR(LEFT(TH!L1220,2)="15",LEFT(TH!M1220,2)="15"),TK!$E$7=TH!F1220),"x","")</f>
        <v/>
      </c>
      <c r="X1220" s="525" t="str">
        <f>IF(AND('341-CT'!$E$9=H1220,OR(LEFT(L1220,3)=$X$7,LEFT(M1220,3)=$X$7)),"x","")</f>
        <v/>
      </c>
      <c r="Y1220" s="525" t="str">
        <f>IF(OR(TH!L1220=TH!$Y$7,M1220=TH!$Y$7),"x","")</f>
        <v/>
      </c>
      <c r="Z1220" s="525" t="str">
        <f>IF(AND(B1220&lt;=NKC!$N$8,B1220&gt;=NKC!$M$8),"x","")</f>
        <v>x</v>
      </c>
      <c r="AA1220" s="535"/>
    </row>
    <row r="1221" spans="1:27" s="503" customFormat="1" ht="15.75" customHeight="1">
      <c r="A1221" s="517" t="str">
        <f>IF(B1221&lt;&gt;"",IF(AND(B1221&gt;=_TM1,B1221&lt;=_TM2,OR(TH!L1221="1111",TH!M1221="1111")),TH!D1221,""),"")</f>
        <v/>
      </c>
      <c r="B1221" s="531">
        <f t="shared" si="119"/>
        <v>3</v>
      </c>
      <c r="C1221" s="315">
        <f t="shared" si="120"/>
        <v>42825</v>
      </c>
      <c r="D1221" s="315" t="s">
        <v>949</v>
      </c>
      <c r="E1221" s="315">
        <v>42825</v>
      </c>
      <c r="F1221" s="249" t="s">
        <v>696</v>
      </c>
      <c r="G1221" s="314" t="s">
        <v>789</v>
      </c>
      <c r="H1221" s="473" t="s">
        <v>284</v>
      </c>
      <c r="I1221" s="307">
        <v>8</v>
      </c>
      <c r="J1221" s="307">
        <v>153720</v>
      </c>
      <c r="K1221" s="532">
        <f t="shared" si="124"/>
        <v>1229760</v>
      </c>
      <c r="L1221" s="534" t="s">
        <v>223</v>
      </c>
      <c r="M1221" s="534" t="s">
        <v>162</v>
      </c>
      <c r="N1221" s="525" t="str">
        <f>IF(AND('331-CT'!$E$7=TH!H1221,OR(L1221="331",M1221="331")),"331",IF(AND(OR(L1221="131",M1221="131"),H1221='131-CT'!$E$7),"131",""))</f>
        <v/>
      </c>
      <c r="O1221" s="525" t="str">
        <f>IF(AND($B1221&gt;='111'!$N$11,$B1221&lt;='111'!$O$11,OR($L1221=$O$7,$M1221=$O$7)),"x","")</f>
        <v/>
      </c>
      <c r="P1221" s="525" t="str">
        <f>IF(AND($L1221=$O$7,$B1221&lt;'111'!$N$11),"x","")</f>
        <v/>
      </c>
      <c r="Q1221" s="525" t="str">
        <f>IF(AND($M1221=$O$7,$B1221&lt;'111'!$N$11),"x","")</f>
        <v/>
      </c>
      <c r="R1221" s="525" t="str">
        <f>IF(ISERROR(FIND('112'!$M$9,G1221,1)),"",IF((AND(FIND('112'!$M$9,G1221,1)&gt;=1,$B1221&gt;='112'!$N$8,$B1221&lt;='112'!$O$8,OR($L1221='112'!$I$6,$M1221='112'!$I$6))),"x",""))</f>
        <v/>
      </c>
      <c r="S1221" s="525" t="str">
        <f>IF(ISERROR(FIND('112'!$M$9,G1221,1)),"",IF((AND(LEFT(G1221,2)=LEFT('112'!$M$9,2),B1221&lt;'112'!$N$8,$L1221='112'!$I$6)),"x",""))</f>
        <v/>
      </c>
      <c r="T1221" s="525" t="str">
        <f>IF(ISERROR(FIND('112'!$M$9,G1221,1)),"",IF((AND(RIGHT(G1221,2)=RIGHT('112'!$M$9,2),B1221&lt;'112'!$N$8,$M1221='112'!$I$6)),"x",""))</f>
        <v/>
      </c>
      <c r="U1221" s="525" t="str">
        <f>IF(AND(B1221&gt;='IN-NX'!$P$3,B1221&lt;='IN-NX'!$Q$3,'IN-NX'!$D$7=D1221,OR(LEFT(L1221,2)="15",AND(LEFT(M1221,2)&lt;&gt;"15",LEFT(M1221,2)&lt;&gt;"33"))),"x","")</f>
        <v/>
      </c>
      <c r="V1221" s="525" t="str">
        <f>IF(AND(OR(LEFT(TH!L1221,2)="15",LEFT(TH!M1221,2)="15"),'152-CT'!$J$8=TH!F1221),"x","")</f>
        <v/>
      </c>
      <c r="W1221" s="525" t="str">
        <f>IF(AND(OR(LEFT(TH!L1221,2)="15",LEFT(TH!M1221,2)="15"),TK!$E$7=TH!F1221),"x","")</f>
        <v/>
      </c>
      <c r="X1221" s="525" t="str">
        <f>IF(AND('341-CT'!$E$9=H1221,OR(LEFT(L1221,3)=$X$7,LEFT(M1221,3)=$X$7)),"x","")</f>
        <v/>
      </c>
      <c r="Y1221" s="525" t="str">
        <f>IF(OR(TH!L1221=TH!$Y$7,M1221=TH!$Y$7),"x","")</f>
        <v/>
      </c>
      <c r="Z1221" s="525" t="str">
        <f>IF(AND(B1221&lt;=NKC!$N$8,B1221&gt;=NKC!$M$8),"x","")</f>
        <v>x</v>
      </c>
      <c r="AA1221" s="535"/>
    </row>
    <row r="1222" spans="1:27" s="503" customFormat="1" ht="15.75" customHeight="1">
      <c r="A1222" s="517" t="str">
        <f>IF(B1222&lt;&gt;"",IF(AND(B1222&gt;=_TM1,B1222&lt;=_TM2,OR(TH!L1222="1111",TH!M1222="1111")),TH!D1222,""),"")</f>
        <v/>
      </c>
      <c r="B1222" s="531">
        <f t="shared" si="119"/>
        <v>3</v>
      </c>
      <c r="C1222" s="315">
        <f t="shared" si="120"/>
        <v>42825</v>
      </c>
      <c r="D1222" s="315" t="s">
        <v>949</v>
      </c>
      <c r="E1222" s="315">
        <v>42825</v>
      </c>
      <c r="F1222" s="249" t="s">
        <v>697</v>
      </c>
      <c r="G1222" s="314" t="s">
        <v>789</v>
      </c>
      <c r="H1222" s="473" t="s">
        <v>284</v>
      </c>
      <c r="I1222" s="307">
        <v>36</v>
      </c>
      <c r="J1222" s="307">
        <v>71870</v>
      </c>
      <c r="K1222" s="532">
        <f t="shared" si="124"/>
        <v>2587320</v>
      </c>
      <c r="L1222" s="534" t="s">
        <v>223</v>
      </c>
      <c r="M1222" s="534" t="s">
        <v>162</v>
      </c>
      <c r="N1222" s="525" t="str">
        <f>IF(AND('331-CT'!$E$7=TH!H1222,OR(L1222="331",M1222="331")),"331",IF(AND(OR(L1222="131",M1222="131"),H1222='131-CT'!$E$7),"131",""))</f>
        <v/>
      </c>
      <c r="O1222" s="525" t="str">
        <f>IF(AND($B1222&gt;='111'!$N$11,$B1222&lt;='111'!$O$11,OR($L1222=$O$7,$M1222=$O$7)),"x","")</f>
        <v/>
      </c>
      <c r="P1222" s="525" t="str">
        <f>IF(AND($L1222=$O$7,$B1222&lt;'111'!$N$11),"x","")</f>
        <v/>
      </c>
      <c r="Q1222" s="525" t="str">
        <f>IF(AND($M1222=$O$7,$B1222&lt;'111'!$N$11),"x","")</f>
        <v/>
      </c>
      <c r="R1222" s="525" t="str">
        <f>IF(ISERROR(FIND('112'!$M$9,G1222,1)),"",IF((AND(FIND('112'!$M$9,G1222,1)&gt;=1,$B1222&gt;='112'!$N$8,$B1222&lt;='112'!$O$8,OR($L1222='112'!$I$6,$M1222='112'!$I$6))),"x",""))</f>
        <v/>
      </c>
      <c r="S1222" s="525" t="str">
        <f>IF(ISERROR(FIND('112'!$M$9,G1222,1)),"",IF((AND(LEFT(G1222,2)=LEFT('112'!$M$9,2),B1222&lt;'112'!$N$8,$L1222='112'!$I$6)),"x",""))</f>
        <v/>
      </c>
      <c r="T1222" s="525" t="str">
        <f>IF(ISERROR(FIND('112'!$M$9,G1222,1)),"",IF((AND(RIGHT(G1222,2)=RIGHT('112'!$M$9,2),B1222&lt;'112'!$N$8,$M1222='112'!$I$6)),"x",""))</f>
        <v/>
      </c>
      <c r="U1222" s="525" t="str">
        <f>IF(AND(B1222&gt;='IN-NX'!$P$3,B1222&lt;='IN-NX'!$Q$3,'IN-NX'!$D$7=D1222,OR(LEFT(L1222,2)="15",AND(LEFT(M1222,2)&lt;&gt;"15",LEFT(M1222,2)&lt;&gt;"33"))),"x","")</f>
        <v/>
      </c>
      <c r="V1222" s="525" t="str">
        <f>IF(AND(OR(LEFT(TH!L1222,2)="15",LEFT(TH!M1222,2)="15"),'152-CT'!$J$8=TH!F1222),"x","")</f>
        <v/>
      </c>
      <c r="W1222" s="525" t="str">
        <f>IF(AND(OR(LEFT(TH!L1222,2)="15",LEFT(TH!M1222,2)="15"),TK!$E$7=TH!F1222),"x","")</f>
        <v/>
      </c>
      <c r="X1222" s="525" t="str">
        <f>IF(AND('341-CT'!$E$9=H1222,OR(LEFT(L1222,3)=$X$7,LEFT(M1222,3)=$X$7)),"x","")</f>
        <v/>
      </c>
      <c r="Y1222" s="525" t="str">
        <f>IF(OR(TH!L1222=TH!$Y$7,M1222=TH!$Y$7),"x","")</f>
        <v/>
      </c>
      <c r="Z1222" s="525" t="str">
        <f>IF(AND(B1222&lt;=NKC!$N$8,B1222&gt;=NKC!$M$8),"x","")</f>
        <v>x</v>
      </c>
      <c r="AA1222" s="535"/>
    </row>
    <row r="1223" spans="1:27" s="503" customFormat="1" ht="15.75" customHeight="1">
      <c r="A1223" s="517" t="str">
        <f>IF(B1223&lt;&gt;"",IF(AND(B1223&gt;=_TM1,B1223&lt;=_TM2,OR(TH!L1223="1111",TH!M1223="1111")),TH!D1223,""),"")</f>
        <v/>
      </c>
      <c r="B1223" s="531">
        <f t="shared" si="119"/>
        <v>3</v>
      </c>
      <c r="C1223" s="315">
        <f t="shared" si="120"/>
        <v>42825</v>
      </c>
      <c r="D1223" s="315" t="s">
        <v>949</v>
      </c>
      <c r="E1223" s="315">
        <v>42825</v>
      </c>
      <c r="F1223" s="249" t="s">
        <v>699</v>
      </c>
      <c r="G1223" s="314" t="s">
        <v>789</v>
      </c>
      <c r="H1223" s="473" t="s">
        <v>284</v>
      </c>
      <c r="I1223" s="307">
        <v>16</v>
      </c>
      <c r="J1223" s="307">
        <v>49442</v>
      </c>
      <c r="K1223" s="532">
        <f t="shared" si="124"/>
        <v>791072</v>
      </c>
      <c r="L1223" s="534" t="s">
        <v>223</v>
      </c>
      <c r="M1223" s="534" t="s">
        <v>162</v>
      </c>
      <c r="N1223" s="525" t="str">
        <f>IF(AND('331-CT'!$E$7=TH!H1223,OR(L1223="331",M1223="331")),"331",IF(AND(OR(L1223="131",M1223="131"),H1223='131-CT'!$E$7),"131",""))</f>
        <v/>
      </c>
      <c r="O1223" s="525" t="str">
        <f>IF(AND($B1223&gt;='111'!$N$11,$B1223&lt;='111'!$O$11,OR($L1223=$O$7,$M1223=$O$7)),"x","")</f>
        <v/>
      </c>
      <c r="P1223" s="525" t="str">
        <f>IF(AND($L1223=$O$7,$B1223&lt;'111'!$N$11),"x","")</f>
        <v/>
      </c>
      <c r="Q1223" s="525" t="str">
        <f>IF(AND($M1223=$O$7,$B1223&lt;'111'!$N$11),"x","")</f>
        <v/>
      </c>
      <c r="R1223" s="525" t="str">
        <f>IF(ISERROR(FIND('112'!$M$9,G1223,1)),"",IF((AND(FIND('112'!$M$9,G1223,1)&gt;=1,$B1223&gt;='112'!$N$8,$B1223&lt;='112'!$O$8,OR($L1223='112'!$I$6,$M1223='112'!$I$6))),"x",""))</f>
        <v/>
      </c>
      <c r="S1223" s="525" t="str">
        <f>IF(ISERROR(FIND('112'!$M$9,G1223,1)),"",IF((AND(LEFT(G1223,2)=LEFT('112'!$M$9,2),B1223&lt;'112'!$N$8,$L1223='112'!$I$6)),"x",""))</f>
        <v/>
      </c>
      <c r="T1223" s="525" t="str">
        <f>IF(ISERROR(FIND('112'!$M$9,G1223,1)),"",IF((AND(RIGHT(G1223,2)=RIGHT('112'!$M$9,2),B1223&lt;'112'!$N$8,$M1223='112'!$I$6)),"x",""))</f>
        <v/>
      </c>
      <c r="U1223" s="525" t="str">
        <f>IF(AND(B1223&gt;='IN-NX'!$P$3,B1223&lt;='IN-NX'!$Q$3,'IN-NX'!$D$7=D1223,OR(LEFT(L1223,2)="15",AND(LEFT(M1223,2)&lt;&gt;"15",LEFT(M1223,2)&lt;&gt;"33"))),"x","")</f>
        <v/>
      </c>
      <c r="V1223" s="525" t="str">
        <f>IF(AND(OR(LEFT(TH!L1223,2)="15",LEFT(TH!M1223,2)="15"),'152-CT'!$J$8=TH!F1223),"x","")</f>
        <v/>
      </c>
      <c r="W1223" s="525" t="str">
        <f>IF(AND(OR(LEFT(TH!L1223,2)="15",LEFT(TH!M1223,2)="15"),TK!$E$7=TH!F1223),"x","")</f>
        <v/>
      </c>
      <c r="X1223" s="525" t="str">
        <f>IF(AND('341-CT'!$E$9=H1223,OR(LEFT(L1223,3)=$X$7,LEFT(M1223,3)=$X$7)),"x","")</f>
        <v/>
      </c>
      <c r="Y1223" s="525" t="str">
        <f>IF(OR(TH!L1223=TH!$Y$7,M1223=TH!$Y$7),"x","")</f>
        <v/>
      </c>
      <c r="Z1223" s="525" t="str">
        <f>IF(AND(B1223&lt;=NKC!$N$8,B1223&gt;=NKC!$M$8),"x","")</f>
        <v>x</v>
      </c>
      <c r="AA1223" s="535"/>
    </row>
    <row r="1224" spans="1:27" s="503" customFormat="1" ht="15.75" customHeight="1">
      <c r="A1224" s="517" t="str">
        <f>IF(B1224&lt;&gt;"",IF(AND(B1224&gt;=_TM1,B1224&lt;=_TM2,OR(TH!L1224="1111",TH!M1224="1111")),TH!D1224,""),"")</f>
        <v/>
      </c>
      <c r="B1224" s="531">
        <f t="shared" si="119"/>
        <v>3</v>
      </c>
      <c r="C1224" s="315">
        <f t="shared" ref="C1224:C1233" si="125">E1224</f>
        <v>42825</v>
      </c>
      <c r="D1224" s="315" t="s">
        <v>949</v>
      </c>
      <c r="E1224" s="315">
        <v>42825</v>
      </c>
      <c r="F1224" s="249" t="s">
        <v>681</v>
      </c>
      <c r="G1224" s="314" t="s">
        <v>789</v>
      </c>
      <c r="H1224" s="473" t="s">
        <v>284</v>
      </c>
      <c r="I1224" s="307">
        <v>14</v>
      </c>
      <c r="J1224" s="307">
        <v>26581</v>
      </c>
      <c r="K1224" s="532">
        <f t="shared" ref="K1224:K1233" si="126">ROUND(I1224*J1224,0)</f>
        <v>372134</v>
      </c>
      <c r="L1224" s="534" t="s">
        <v>223</v>
      </c>
      <c r="M1224" s="534" t="s">
        <v>162</v>
      </c>
      <c r="N1224" s="525" t="str">
        <f>IF(AND('331-CT'!$E$7=TH!H1224,OR(L1224="331",M1224="331")),"331",IF(AND(OR(L1224="131",M1224="131"),H1224='131-CT'!$E$7),"131",""))</f>
        <v/>
      </c>
      <c r="O1224" s="525" t="str">
        <f>IF(AND($B1224&gt;='111'!$N$11,$B1224&lt;='111'!$O$11,OR($L1224=$O$7,$M1224=$O$7)),"x","")</f>
        <v/>
      </c>
      <c r="P1224" s="525" t="str">
        <f>IF(AND($L1224=$O$7,$B1224&lt;'111'!$N$11),"x","")</f>
        <v/>
      </c>
      <c r="Q1224" s="525" t="str">
        <f>IF(AND($M1224=$O$7,$B1224&lt;'111'!$N$11),"x","")</f>
        <v/>
      </c>
      <c r="R1224" s="525" t="str">
        <f>IF(ISERROR(FIND('112'!$M$9,G1224,1)),"",IF((AND(FIND('112'!$M$9,G1224,1)&gt;=1,$B1224&gt;='112'!$N$8,$B1224&lt;='112'!$O$8,OR($L1224='112'!$I$6,$M1224='112'!$I$6))),"x",""))</f>
        <v/>
      </c>
      <c r="S1224" s="525" t="str">
        <f>IF(ISERROR(FIND('112'!$M$9,G1224,1)),"",IF((AND(LEFT(G1224,2)=LEFT('112'!$M$9,2),B1224&lt;'112'!$N$8,$L1224='112'!$I$6)),"x",""))</f>
        <v/>
      </c>
      <c r="T1224" s="525" t="str">
        <f>IF(ISERROR(FIND('112'!$M$9,G1224,1)),"",IF((AND(RIGHT(G1224,2)=RIGHT('112'!$M$9,2),B1224&lt;'112'!$N$8,$M1224='112'!$I$6)),"x",""))</f>
        <v/>
      </c>
      <c r="U1224" s="525" t="str">
        <f>IF(AND(B1224&gt;='IN-NX'!$P$3,B1224&lt;='IN-NX'!$Q$3,'IN-NX'!$D$7=D1224,OR(LEFT(L1224,2)="15",AND(LEFT(M1224,2)&lt;&gt;"15",LEFT(M1224,2)&lt;&gt;"33"))),"x","")</f>
        <v/>
      </c>
      <c r="V1224" s="525" t="str">
        <f>IF(AND(OR(LEFT(TH!L1224,2)="15",LEFT(TH!M1224,2)="15"),'152-CT'!$J$8=TH!F1224),"x","")</f>
        <v/>
      </c>
      <c r="W1224" s="525" t="str">
        <f>IF(AND(OR(LEFT(TH!L1224,2)="15",LEFT(TH!M1224,2)="15"),TK!$E$7=TH!F1224),"x","")</f>
        <v/>
      </c>
      <c r="X1224" s="525" t="str">
        <f>IF(AND('341-CT'!$E$9=H1224,OR(LEFT(L1224,3)=$X$7,LEFT(M1224,3)=$X$7)),"x","")</f>
        <v/>
      </c>
      <c r="Y1224" s="525" t="str">
        <f>IF(OR(TH!L1224=TH!$Y$7,M1224=TH!$Y$7),"x","")</f>
        <v/>
      </c>
      <c r="Z1224" s="525" t="str">
        <f>IF(AND(B1224&lt;=NKC!$N$8,B1224&gt;=NKC!$M$8),"x","")</f>
        <v>x</v>
      </c>
      <c r="AA1224" s="535"/>
    </row>
    <row r="1225" spans="1:27" s="503" customFormat="1" ht="15.75" customHeight="1">
      <c r="A1225" s="517" t="str">
        <f>IF(B1225&lt;&gt;"",IF(AND(B1225&gt;=_TM1,B1225&lt;=_TM2,OR(TH!L1225="1111",TH!M1225="1111")),TH!D1225,""),"")</f>
        <v/>
      </c>
      <c r="B1225" s="531">
        <f t="shared" si="119"/>
        <v>3</v>
      </c>
      <c r="C1225" s="315">
        <f t="shared" si="125"/>
        <v>42825</v>
      </c>
      <c r="D1225" s="315" t="s">
        <v>949</v>
      </c>
      <c r="E1225" s="315">
        <v>42825</v>
      </c>
      <c r="F1225" s="249" t="s">
        <v>682</v>
      </c>
      <c r="G1225" s="314" t="s">
        <v>789</v>
      </c>
      <c r="H1225" s="473" t="s">
        <v>284</v>
      </c>
      <c r="I1225" s="307">
        <v>3</v>
      </c>
      <c r="J1225" s="307">
        <v>147441</v>
      </c>
      <c r="K1225" s="532">
        <f t="shared" si="126"/>
        <v>442323</v>
      </c>
      <c r="L1225" s="534" t="s">
        <v>223</v>
      </c>
      <c r="M1225" s="534" t="s">
        <v>162</v>
      </c>
      <c r="N1225" s="525" t="str">
        <f>IF(AND('331-CT'!$E$7=TH!H1225,OR(L1225="331",M1225="331")),"331",IF(AND(OR(L1225="131",M1225="131"),H1225='131-CT'!$E$7),"131",""))</f>
        <v/>
      </c>
      <c r="O1225" s="525" t="str">
        <f>IF(AND($B1225&gt;='111'!$N$11,$B1225&lt;='111'!$O$11,OR($L1225=$O$7,$M1225=$O$7)),"x","")</f>
        <v/>
      </c>
      <c r="P1225" s="525" t="str">
        <f>IF(AND($L1225=$O$7,$B1225&lt;'111'!$N$11),"x","")</f>
        <v/>
      </c>
      <c r="Q1225" s="525" t="str">
        <f>IF(AND($M1225=$O$7,$B1225&lt;'111'!$N$11),"x","")</f>
        <v/>
      </c>
      <c r="R1225" s="525" t="str">
        <f>IF(ISERROR(FIND('112'!$M$9,G1225,1)),"",IF((AND(FIND('112'!$M$9,G1225,1)&gt;=1,$B1225&gt;='112'!$N$8,$B1225&lt;='112'!$O$8,OR($L1225='112'!$I$6,$M1225='112'!$I$6))),"x",""))</f>
        <v/>
      </c>
      <c r="S1225" s="525" t="str">
        <f>IF(ISERROR(FIND('112'!$M$9,G1225,1)),"",IF((AND(LEFT(G1225,2)=LEFT('112'!$M$9,2),B1225&lt;'112'!$N$8,$L1225='112'!$I$6)),"x",""))</f>
        <v/>
      </c>
      <c r="T1225" s="525" t="str">
        <f>IF(ISERROR(FIND('112'!$M$9,G1225,1)),"",IF((AND(RIGHT(G1225,2)=RIGHT('112'!$M$9,2),B1225&lt;'112'!$N$8,$M1225='112'!$I$6)),"x",""))</f>
        <v/>
      </c>
      <c r="U1225" s="525" t="str">
        <f>IF(AND(B1225&gt;='IN-NX'!$P$3,B1225&lt;='IN-NX'!$Q$3,'IN-NX'!$D$7=D1225,OR(LEFT(L1225,2)="15",AND(LEFT(M1225,2)&lt;&gt;"15",LEFT(M1225,2)&lt;&gt;"33"))),"x","")</f>
        <v/>
      </c>
      <c r="V1225" s="525" t="str">
        <f>IF(AND(OR(LEFT(TH!L1225,2)="15",LEFT(TH!M1225,2)="15"),'152-CT'!$J$8=TH!F1225),"x","")</f>
        <v/>
      </c>
      <c r="W1225" s="525" t="str">
        <f>IF(AND(OR(LEFT(TH!L1225,2)="15",LEFT(TH!M1225,2)="15"),TK!$E$7=TH!F1225),"x","")</f>
        <v/>
      </c>
      <c r="X1225" s="525" t="str">
        <f>IF(AND('341-CT'!$E$9=H1225,OR(LEFT(L1225,3)=$X$7,LEFT(M1225,3)=$X$7)),"x","")</f>
        <v/>
      </c>
      <c r="Y1225" s="525" t="str">
        <f>IF(OR(TH!L1225=TH!$Y$7,M1225=TH!$Y$7),"x","")</f>
        <v/>
      </c>
      <c r="Z1225" s="525" t="str">
        <f>IF(AND(B1225&lt;=NKC!$N$8,B1225&gt;=NKC!$M$8),"x","")</f>
        <v>x</v>
      </c>
      <c r="AA1225" s="535"/>
    </row>
    <row r="1226" spans="1:27" s="503" customFormat="1" ht="15.75" customHeight="1">
      <c r="A1226" s="517" t="str">
        <f>IF(B1226&lt;&gt;"",IF(AND(B1226&gt;=_TM1,B1226&lt;=_TM2,OR(TH!L1226="1111",TH!M1226="1111")),TH!D1226,""),"")</f>
        <v/>
      </c>
      <c r="B1226" s="531">
        <f t="shared" si="119"/>
        <v>3</v>
      </c>
      <c r="C1226" s="315">
        <f t="shared" si="125"/>
        <v>42825</v>
      </c>
      <c r="D1226" s="315" t="s">
        <v>949</v>
      </c>
      <c r="E1226" s="315">
        <v>42825</v>
      </c>
      <c r="F1226" s="249" t="s">
        <v>683</v>
      </c>
      <c r="G1226" s="314" t="s">
        <v>789</v>
      </c>
      <c r="H1226" s="473" t="s">
        <v>284</v>
      </c>
      <c r="I1226" s="307">
        <v>16</v>
      </c>
      <c r="J1226" s="307">
        <v>36061</v>
      </c>
      <c r="K1226" s="532">
        <f t="shared" si="126"/>
        <v>576976</v>
      </c>
      <c r="L1226" s="534" t="s">
        <v>223</v>
      </c>
      <c r="M1226" s="534" t="s">
        <v>162</v>
      </c>
      <c r="N1226" s="525" t="str">
        <f>IF(AND('331-CT'!$E$7=TH!H1226,OR(L1226="331",M1226="331")),"331",IF(AND(OR(L1226="131",M1226="131"),H1226='131-CT'!$E$7),"131",""))</f>
        <v/>
      </c>
      <c r="O1226" s="525" t="str">
        <f>IF(AND($B1226&gt;='111'!$N$11,$B1226&lt;='111'!$O$11,OR($L1226=$O$7,$M1226=$O$7)),"x","")</f>
        <v/>
      </c>
      <c r="P1226" s="525" t="str">
        <f>IF(AND($L1226=$O$7,$B1226&lt;'111'!$N$11),"x","")</f>
        <v/>
      </c>
      <c r="Q1226" s="525" t="str">
        <f>IF(AND($M1226=$O$7,$B1226&lt;'111'!$N$11),"x","")</f>
        <v/>
      </c>
      <c r="R1226" s="525" t="str">
        <f>IF(ISERROR(FIND('112'!$M$9,G1226,1)),"",IF((AND(FIND('112'!$M$9,G1226,1)&gt;=1,$B1226&gt;='112'!$N$8,$B1226&lt;='112'!$O$8,OR($L1226='112'!$I$6,$M1226='112'!$I$6))),"x",""))</f>
        <v/>
      </c>
      <c r="S1226" s="525" t="str">
        <f>IF(ISERROR(FIND('112'!$M$9,G1226,1)),"",IF((AND(LEFT(G1226,2)=LEFT('112'!$M$9,2),B1226&lt;'112'!$N$8,$L1226='112'!$I$6)),"x",""))</f>
        <v/>
      </c>
      <c r="T1226" s="525" t="str">
        <f>IF(ISERROR(FIND('112'!$M$9,G1226,1)),"",IF((AND(RIGHT(G1226,2)=RIGHT('112'!$M$9,2),B1226&lt;'112'!$N$8,$M1226='112'!$I$6)),"x",""))</f>
        <v/>
      </c>
      <c r="U1226" s="525" t="str">
        <f>IF(AND(B1226&gt;='IN-NX'!$P$3,B1226&lt;='IN-NX'!$Q$3,'IN-NX'!$D$7=D1226,OR(LEFT(L1226,2)="15",AND(LEFT(M1226,2)&lt;&gt;"15",LEFT(M1226,2)&lt;&gt;"33"))),"x","")</f>
        <v/>
      </c>
      <c r="V1226" s="525" t="str">
        <f>IF(AND(OR(LEFT(TH!L1226,2)="15",LEFT(TH!M1226,2)="15"),'152-CT'!$J$8=TH!F1226),"x","")</f>
        <v/>
      </c>
      <c r="W1226" s="525" t="str">
        <f>IF(AND(OR(LEFT(TH!L1226,2)="15",LEFT(TH!M1226,2)="15"),TK!$E$7=TH!F1226),"x","")</f>
        <v/>
      </c>
      <c r="X1226" s="525" t="str">
        <f>IF(AND('341-CT'!$E$9=H1226,OR(LEFT(L1226,3)=$X$7,LEFT(M1226,3)=$X$7)),"x","")</f>
        <v/>
      </c>
      <c r="Y1226" s="525" t="str">
        <f>IF(OR(TH!L1226=TH!$Y$7,M1226=TH!$Y$7),"x","")</f>
        <v/>
      </c>
      <c r="Z1226" s="525" t="str">
        <f>IF(AND(B1226&lt;=NKC!$N$8,B1226&gt;=NKC!$M$8),"x","")</f>
        <v>x</v>
      </c>
      <c r="AA1226" s="535"/>
    </row>
    <row r="1227" spans="1:27" s="503" customFormat="1" ht="15.75" customHeight="1">
      <c r="A1227" s="517" t="str">
        <f>IF(B1227&lt;&gt;"",IF(AND(B1227&gt;=_TM1,B1227&lt;=_TM2,OR(TH!L1227="1111",TH!M1227="1111")),TH!D1227,""),"")</f>
        <v/>
      </c>
      <c r="B1227" s="531">
        <f t="shared" si="119"/>
        <v>3</v>
      </c>
      <c r="C1227" s="315">
        <f t="shared" si="125"/>
        <v>42825</v>
      </c>
      <c r="D1227" s="315" t="s">
        <v>949</v>
      </c>
      <c r="E1227" s="315">
        <v>42825</v>
      </c>
      <c r="F1227" s="249" t="s">
        <v>685</v>
      </c>
      <c r="G1227" s="314" t="s">
        <v>789</v>
      </c>
      <c r="H1227" s="473" t="s">
        <v>284</v>
      </c>
      <c r="I1227" s="307">
        <v>6</v>
      </c>
      <c r="J1227" s="307">
        <v>36851</v>
      </c>
      <c r="K1227" s="532">
        <f t="shared" si="126"/>
        <v>221106</v>
      </c>
      <c r="L1227" s="534" t="s">
        <v>223</v>
      </c>
      <c r="M1227" s="534" t="s">
        <v>162</v>
      </c>
      <c r="N1227" s="525" t="str">
        <f>IF(AND('331-CT'!$E$7=TH!H1227,OR(L1227="331",M1227="331")),"331",IF(AND(OR(L1227="131",M1227="131"),H1227='131-CT'!$E$7),"131",""))</f>
        <v/>
      </c>
      <c r="O1227" s="525" t="str">
        <f>IF(AND($B1227&gt;='111'!$N$11,$B1227&lt;='111'!$O$11,OR($L1227=$O$7,$M1227=$O$7)),"x","")</f>
        <v/>
      </c>
      <c r="P1227" s="525" t="str">
        <f>IF(AND($L1227=$O$7,$B1227&lt;'111'!$N$11),"x","")</f>
        <v/>
      </c>
      <c r="Q1227" s="525" t="str">
        <f>IF(AND($M1227=$O$7,$B1227&lt;'111'!$N$11),"x","")</f>
        <v/>
      </c>
      <c r="R1227" s="525" t="str">
        <f>IF(ISERROR(FIND('112'!$M$9,G1227,1)),"",IF((AND(FIND('112'!$M$9,G1227,1)&gt;=1,$B1227&gt;='112'!$N$8,$B1227&lt;='112'!$O$8,OR($L1227='112'!$I$6,$M1227='112'!$I$6))),"x",""))</f>
        <v/>
      </c>
      <c r="S1227" s="525" t="str">
        <f>IF(ISERROR(FIND('112'!$M$9,G1227,1)),"",IF((AND(LEFT(G1227,2)=LEFT('112'!$M$9,2),B1227&lt;'112'!$N$8,$L1227='112'!$I$6)),"x",""))</f>
        <v/>
      </c>
      <c r="T1227" s="525" t="str">
        <f>IF(ISERROR(FIND('112'!$M$9,G1227,1)),"",IF((AND(RIGHT(G1227,2)=RIGHT('112'!$M$9,2),B1227&lt;'112'!$N$8,$M1227='112'!$I$6)),"x",""))</f>
        <v/>
      </c>
      <c r="U1227" s="525" t="str">
        <f>IF(AND(B1227&gt;='IN-NX'!$P$3,B1227&lt;='IN-NX'!$Q$3,'IN-NX'!$D$7=D1227,OR(LEFT(L1227,2)="15",AND(LEFT(M1227,2)&lt;&gt;"15",LEFT(M1227,2)&lt;&gt;"33"))),"x","")</f>
        <v/>
      </c>
      <c r="V1227" s="525" t="str">
        <f>IF(AND(OR(LEFT(TH!L1227,2)="15",LEFT(TH!M1227,2)="15"),'152-CT'!$J$8=TH!F1227),"x","")</f>
        <v/>
      </c>
      <c r="W1227" s="525" t="str">
        <f>IF(AND(OR(LEFT(TH!L1227,2)="15",LEFT(TH!M1227,2)="15"),TK!$E$7=TH!F1227),"x","")</f>
        <v/>
      </c>
      <c r="X1227" s="525" t="str">
        <f>IF(AND('341-CT'!$E$9=H1227,OR(LEFT(L1227,3)=$X$7,LEFT(M1227,3)=$X$7)),"x","")</f>
        <v/>
      </c>
      <c r="Y1227" s="525" t="str">
        <f>IF(OR(TH!L1227=TH!$Y$7,M1227=TH!$Y$7),"x","")</f>
        <v/>
      </c>
      <c r="Z1227" s="525" t="str">
        <f>IF(AND(B1227&lt;=NKC!$N$8,B1227&gt;=NKC!$M$8),"x","")</f>
        <v>x</v>
      </c>
      <c r="AA1227" s="535"/>
    </row>
    <row r="1228" spans="1:27" s="503" customFormat="1" ht="15.75" customHeight="1">
      <c r="A1228" s="517" t="str">
        <f>IF(B1228&lt;&gt;"",IF(AND(B1228&gt;=_TM1,B1228&lt;=_TM2,OR(TH!L1228="1111",TH!M1228="1111")),TH!D1228,""),"")</f>
        <v/>
      </c>
      <c r="B1228" s="531">
        <f t="shared" si="119"/>
        <v>3</v>
      </c>
      <c r="C1228" s="315">
        <f t="shared" si="125"/>
        <v>42825</v>
      </c>
      <c r="D1228" s="315" t="s">
        <v>949</v>
      </c>
      <c r="E1228" s="315">
        <v>42825</v>
      </c>
      <c r="F1228" s="249" t="s">
        <v>686</v>
      </c>
      <c r="G1228" s="314" t="s">
        <v>789</v>
      </c>
      <c r="H1228" s="473" t="s">
        <v>284</v>
      </c>
      <c r="I1228" s="307">
        <v>3</v>
      </c>
      <c r="J1228" s="307">
        <v>220500</v>
      </c>
      <c r="K1228" s="532">
        <f t="shared" si="126"/>
        <v>661500</v>
      </c>
      <c r="L1228" s="534" t="s">
        <v>223</v>
      </c>
      <c r="M1228" s="534" t="s">
        <v>162</v>
      </c>
      <c r="N1228" s="525" t="str">
        <f>IF(AND('331-CT'!$E$7=TH!H1228,OR(L1228="331",M1228="331")),"331",IF(AND(OR(L1228="131",M1228="131"),H1228='131-CT'!$E$7),"131",""))</f>
        <v/>
      </c>
      <c r="O1228" s="525" t="str">
        <f>IF(AND($B1228&gt;='111'!$N$11,$B1228&lt;='111'!$O$11,OR($L1228=$O$7,$M1228=$O$7)),"x","")</f>
        <v/>
      </c>
      <c r="P1228" s="525" t="str">
        <f>IF(AND($L1228=$O$7,$B1228&lt;'111'!$N$11),"x","")</f>
        <v/>
      </c>
      <c r="Q1228" s="525" t="str">
        <f>IF(AND($M1228=$O$7,$B1228&lt;'111'!$N$11),"x","")</f>
        <v/>
      </c>
      <c r="R1228" s="525" t="str">
        <f>IF(ISERROR(FIND('112'!$M$9,G1228,1)),"",IF((AND(FIND('112'!$M$9,G1228,1)&gt;=1,$B1228&gt;='112'!$N$8,$B1228&lt;='112'!$O$8,OR($L1228='112'!$I$6,$M1228='112'!$I$6))),"x",""))</f>
        <v/>
      </c>
      <c r="S1228" s="525" t="str">
        <f>IF(ISERROR(FIND('112'!$M$9,G1228,1)),"",IF((AND(LEFT(G1228,2)=LEFT('112'!$M$9,2),B1228&lt;'112'!$N$8,$L1228='112'!$I$6)),"x",""))</f>
        <v/>
      </c>
      <c r="T1228" s="525" t="str">
        <f>IF(ISERROR(FIND('112'!$M$9,G1228,1)),"",IF((AND(RIGHT(G1228,2)=RIGHT('112'!$M$9,2),B1228&lt;'112'!$N$8,$M1228='112'!$I$6)),"x",""))</f>
        <v/>
      </c>
      <c r="U1228" s="525" t="str">
        <f>IF(AND(B1228&gt;='IN-NX'!$P$3,B1228&lt;='IN-NX'!$Q$3,'IN-NX'!$D$7=D1228,OR(LEFT(L1228,2)="15",AND(LEFT(M1228,2)&lt;&gt;"15",LEFT(M1228,2)&lt;&gt;"33"))),"x","")</f>
        <v/>
      </c>
      <c r="V1228" s="525" t="str">
        <f>IF(AND(OR(LEFT(TH!L1228,2)="15",LEFT(TH!M1228,2)="15"),'152-CT'!$J$8=TH!F1228),"x","")</f>
        <v/>
      </c>
      <c r="W1228" s="525" t="str">
        <f>IF(AND(OR(LEFT(TH!L1228,2)="15",LEFT(TH!M1228,2)="15"),TK!$E$7=TH!F1228),"x","")</f>
        <v/>
      </c>
      <c r="X1228" s="525" t="str">
        <f>IF(AND('341-CT'!$E$9=H1228,OR(LEFT(L1228,3)=$X$7,LEFT(M1228,3)=$X$7)),"x","")</f>
        <v/>
      </c>
      <c r="Y1228" s="525" t="str">
        <f>IF(OR(TH!L1228=TH!$Y$7,M1228=TH!$Y$7),"x","")</f>
        <v/>
      </c>
      <c r="Z1228" s="525" t="str">
        <f>IF(AND(B1228&lt;=NKC!$N$8,B1228&gt;=NKC!$M$8),"x","")</f>
        <v>x</v>
      </c>
      <c r="AA1228" s="535"/>
    </row>
    <row r="1229" spans="1:27" s="503" customFormat="1" ht="15.75" customHeight="1">
      <c r="A1229" s="517" t="str">
        <f>IF(B1229&lt;&gt;"",IF(AND(B1229&gt;=_TM1,B1229&lt;=_TM2,OR(TH!L1229="1111",TH!M1229="1111")),TH!D1229,""),"")</f>
        <v/>
      </c>
      <c r="B1229" s="531">
        <f t="shared" si="119"/>
        <v>3</v>
      </c>
      <c r="C1229" s="315">
        <f t="shared" si="125"/>
        <v>42825</v>
      </c>
      <c r="D1229" s="315" t="s">
        <v>949</v>
      </c>
      <c r="E1229" s="315">
        <v>42825</v>
      </c>
      <c r="F1229" s="249" t="s">
        <v>645</v>
      </c>
      <c r="G1229" s="314" t="s">
        <v>789</v>
      </c>
      <c r="H1229" s="473" t="s">
        <v>284</v>
      </c>
      <c r="I1229" s="307">
        <v>38</v>
      </c>
      <c r="J1229" s="307">
        <v>133057</v>
      </c>
      <c r="K1229" s="532">
        <f t="shared" si="126"/>
        <v>5056166</v>
      </c>
      <c r="L1229" s="534" t="s">
        <v>223</v>
      </c>
      <c r="M1229" s="534" t="s">
        <v>162</v>
      </c>
      <c r="N1229" s="525" t="str">
        <f>IF(AND('331-CT'!$E$7=TH!H1229,OR(L1229="331",M1229="331")),"331",IF(AND(OR(L1229="131",M1229="131"),H1229='131-CT'!$E$7),"131",""))</f>
        <v/>
      </c>
      <c r="O1229" s="525" t="str">
        <f>IF(AND($B1229&gt;='111'!$N$11,$B1229&lt;='111'!$O$11,OR($L1229=$O$7,$M1229=$O$7)),"x","")</f>
        <v/>
      </c>
      <c r="P1229" s="525" t="str">
        <f>IF(AND($L1229=$O$7,$B1229&lt;'111'!$N$11),"x","")</f>
        <v/>
      </c>
      <c r="Q1229" s="525" t="str">
        <f>IF(AND($M1229=$O$7,$B1229&lt;'111'!$N$11),"x","")</f>
        <v/>
      </c>
      <c r="R1229" s="525" t="str">
        <f>IF(ISERROR(FIND('112'!$M$9,G1229,1)),"",IF((AND(FIND('112'!$M$9,G1229,1)&gt;=1,$B1229&gt;='112'!$N$8,$B1229&lt;='112'!$O$8,OR($L1229='112'!$I$6,$M1229='112'!$I$6))),"x",""))</f>
        <v/>
      </c>
      <c r="S1229" s="525" t="str">
        <f>IF(ISERROR(FIND('112'!$M$9,G1229,1)),"",IF((AND(LEFT(G1229,2)=LEFT('112'!$M$9,2),B1229&lt;'112'!$N$8,$L1229='112'!$I$6)),"x",""))</f>
        <v/>
      </c>
      <c r="T1229" s="525" t="str">
        <f>IF(ISERROR(FIND('112'!$M$9,G1229,1)),"",IF((AND(RIGHT(G1229,2)=RIGHT('112'!$M$9,2),B1229&lt;'112'!$N$8,$M1229='112'!$I$6)),"x",""))</f>
        <v/>
      </c>
      <c r="U1229" s="525" t="str">
        <f>IF(AND(B1229&gt;='IN-NX'!$P$3,B1229&lt;='IN-NX'!$Q$3,'IN-NX'!$D$7=D1229,OR(LEFT(L1229,2)="15",AND(LEFT(M1229,2)&lt;&gt;"15",LEFT(M1229,2)&lt;&gt;"33"))),"x","")</f>
        <v/>
      </c>
      <c r="V1229" s="525" t="str">
        <f>IF(AND(OR(LEFT(TH!L1229,2)="15",LEFT(TH!M1229,2)="15"),'152-CT'!$J$8=TH!F1229),"x","")</f>
        <v/>
      </c>
      <c r="W1229" s="525" t="str">
        <f>IF(AND(OR(LEFT(TH!L1229,2)="15",LEFT(TH!M1229,2)="15"),TK!$E$7=TH!F1229),"x","")</f>
        <v/>
      </c>
      <c r="X1229" s="525" t="str">
        <f>IF(AND('341-CT'!$E$9=H1229,OR(LEFT(L1229,3)=$X$7,LEFT(M1229,3)=$X$7)),"x","")</f>
        <v/>
      </c>
      <c r="Y1229" s="525" t="str">
        <f>IF(OR(TH!L1229=TH!$Y$7,M1229=TH!$Y$7),"x","")</f>
        <v/>
      </c>
      <c r="Z1229" s="525" t="str">
        <f>IF(AND(B1229&lt;=NKC!$N$8,B1229&gt;=NKC!$M$8),"x","")</f>
        <v>x</v>
      </c>
      <c r="AA1229" s="535"/>
    </row>
    <row r="1230" spans="1:27" s="503" customFormat="1" ht="15.75" customHeight="1">
      <c r="A1230" s="517" t="str">
        <f>IF(B1230&lt;&gt;"",IF(AND(B1230&gt;=_TM1,B1230&lt;=_TM2,OR(TH!L1230="1111",TH!M1230="1111")),TH!D1230,""),"")</f>
        <v/>
      </c>
      <c r="B1230" s="531">
        <f t="shared" si="119"/>
        <v>3</v>
      </c>
      <c r="C1230" s="315">
        <f t="shared" si="125"/>
        <v>42825</v>
      </c>
      <c r="D1230" s="315" t="s">
        <v>950</v>
      </c>
      <c r="E1230" s="315">
        <v>42825</v>
      </c>
      <c r="F1230" s="249" t="s">
        <v>797</v>
      </c>
      <c r="G1230" s="314" t="s">
        <v>789</v>
      </c>
      <c r="H1230" s="473" t="s">
        <v>284</v>
      </c>
      <c r="I1230" s="307">
        <v>38</v>
      </c>
      <c r="J1230" s="307">
        <v>41952</v>
      </c>
      <c r="K1230" s="532">
        <f t="shared" si="126"/>
        <v>1594176</v>
      </c>
      <c r="L1230" s="534" t="s">
        <v>223</v>
      </c>
      <c r="M1230" s="534" t="s">
        <v>162</v>
      </c>
      <c r="N1230" s="525" t="str">
        <f>IF(AND('331-CT'!$E$7=TH!H1230,OR(L1230="331",M1230="331")),"331",IF(AND(OR(L1230="131",M1230="131"),H1230='131-CT'!$E$7),"131",""))</f>
        <v/>
      </c>
      <c r="O1230" s="525" t="str">
        <f>IF(AND($B1230&gt;='111'!$N$11,$B1230&lt;='111'!$O$11,OR($L1230=$O$7,$M1230=$O$7)),"x","")</f>
        <v/>
      </c>
      <c r="P1230" s="525" t="str">
        <f>IF(AND($L1230=$O$7,$B1230&lt;'111'!$N$11),"x","")</f>
        <v/>
      </c>
      <c r="Q1230" s="525" t="str">
        <f>IF(AND($M1230=$O$7,$B1230&lt;'111'!$N$11),"x","")</f>
        <v/>
      </c>
      <c r="R1230" s="525" t="str">
        <f>IF(ISERROR(FIND('112'!$M$9,G1230,1)),"",IF((AND(FIND('112'!$M$9,G1230,1)&gt;=1,$B1230&gt;='112'!$N$8,$B1230&lt;='112'!$O$8,OR($L1230='112'!$I$6,$M1230='112'!$I$6))),"x",""))</f>
        <v/>
      </c>
      <c r="S1230" s="525" t="str">
        <f>IF(ISERROR(FIND('112'!$M$9,G1230,1)),"",IF((AND(LEFT(G1230,2)=LEFT('112'!$M$9,2),B1230&lt;'112'!$N$8,$L1230='112'!$I$6)),"x",""))</f>
        <v/>
      </c>
      <c r="T1230" s="525" t="str">
        <f>IF(ISERROR(FIND('112'!$M$9,G1230,1)),"",IF((AND(RIGHT(G1230,2)=RIGHT('112'!$M$9,2),B1230&lt;'112'!$N$8,$M1230='112'!$I$6)),"x",""))</f>
        <v/>
      </c>
      <c r="U1230" s="525" t="str">
        <f>IF(AND(B1230&gt;='IN-NX'!$P$3,B1230&lt;='IN-NX'!$Q$3,'IN-NX'!$D$7=D1230,OR(LEFT(L1230,2)="15",AND(LEFT(M1230,2)&lt;&gt;"15",LEFT(M1230,2)&lt;&gt;"33"))),"x","")</f>
        <v/>
      </c>
      <c r="V1230" s="525" t="str">
        <f>IF(AND(OR(LEFT(TH!L1230,2)="15",LEFT(TH!M1230,2)="15"),'152-CT'!$J$8=TH!F1230),"x","")</f>
        <v/>
      </c>
      <c r="W1230" s="525" t="str">
        <f>IF(AND(OR(LEFT(TH!L1230,2)="15",LEFT(TH!M1230,2)="15"),TK!$E$7=TH!F1230),"x","")</f>
        <v/>
      </c>
      <c r="X1230" s="525" t="str">
        <f>IF(AND('341-CT'!$E$9=H1230,OR(LEFT(L1230,3)=$X$7,LEFT(M1230,3)=$X$7)),"x","")</f>
        <v/>
      </c>
      <c r="Y1230" s="525" t="str">
        <f>IF(OR(TH!L1230=TH!$Y$7,M1230=TH!$Y$7),"x","")</f>
        <v/>
      </c>
      <c r="Z1230" s="525" t="str">
        <f>IF(AND(B1230&lt;=NKC!$N$8,B1230&gt;=NKC!$M$8),"x","")</f>
        <v>x</v>
      </c>
      <c r="AA1230" s="535"/>
    </row>
    <row r="1231" spans="1:27" s="503" customFormat="1" ht="15.75" customHeight="1">
      <c r="A1231" s="517" t="str">
        <f>IF(B1231&lt;&gt;"",IF(AND(B1231&gt;=_TM1,B1231&lt;=_TM2,OR(TH!L1231="1111",TH!M1231="1111")),TH!D1231,""),"")</f>
        <v/>
      </c>
      <c r="B1231" s="531">
        <f t="shared" si="119"/>
        <v>3</v>
      </c>
      <c r="C1231" s="315">
        <f t="shared" si="125"/>
        <v>42825</v>
      </c>
      <c r="D1231" s="315" t="s">
        <v>950</v>
      </c>
      <c r="E1231" s="315">
        <v>42825</v>
      </c>
      <c r="F1231" s="249" t="s">
        <v>680</v>
      </c>
      <c r="G1231" s="314" t="s">
        <v>789</v>
      </c>
      <c r="H1231" s="473" t="s">
        <v>284</v>
      </c>
      <c r="I1231" s="307">
        <v>56</v>
      </c>
      <c r="J1231" s="307">
        <v>80276</v>
      </c>
      <c r="K1231" s="532">
        <f t="shared" si="126"/>
        <v>4495456</v>
      </c>
      <c r="L1231" s="534" t="s">
        <v>223</v>
      </c>
      <c r="M1231" s="534" t="s">
        <v>162</v>
      </c>
      <c r="N1231" s="525" t="str">
        <f>IF(AND('331-CT'!$E$7=TH!H1231,OR(L1231="331",M1231="331")),"331",IF(AND(OR(L1231="131",M1231="131"),H1231='131-CT'!$E$7),"131",""))</f>
        <v/>
      </c>
      <c r="O1231" s="525" t="str">
        <f>IF(AND($B1231&gt;='111'!$N$11,$B1231&lt;='111'!$O$11,OR($L1231=$O$7,$M1231=$O$7)),"x","")</f>
        <v/>
      </c>
      <c r="P1231" s="525" t="str">
        <f>IF(AND($L1231=$O$7,$B1231&lt;'111'!$N$11),"x","")</f>
        <v/>
      </c>
      <c r="Q1231" s="525" t="str">
        <f>IF(AND($M1231=$O$7,$B1231&lt;'111'!$N$11),"x","")</f>
        <v/>
      </c>
      <c r="R1231" s="525" t="str">
        <f>IF(ISERROR(FIND('112'!$M$9,G1231,1)),"",IF((AND(FIND('112'!$M$9,G1231,1)&gt;=1,$B1231&gt;='112'!$N$8,$B1231&lt;='112'!$O$8,OR($L1231='112'!$I$6,$M1231='112'!$I$6))),"x",""))</f>
        <v/>
      </c>
      <c r="S1231" s="525" t="str">
        <f>IF(ISERROR(FIND('112'!$M$9,G1231,1)),"",IF((AND(LEFT(G1231,2)=LEFT('112'!$M$9,2),B1231&lt;'112'!$N$8,$L1231='112'!$I$6)),"x",""))</f>
        <v/>
      </c>
      <c r="T1231" s="525" t="str">
        <f>IF(ISERROR(FIND('112'!$M$9,G1231,1)),"",IF((AND(RIGHT(G1231,2)=RIGHT('112'!$M$9,2),B1231&lt;'112'!$N$8,$M1231='112'!$I$6)),"x",""))</f>
        <v/>
      </c>
      <c r="U1231" s="525" t="str">
        <f>IF(AND(B1231&gt;='IN-NX'!$P$3,B1231&lt;='IN-NX'!$Q$3,'IN-NX'!$D$7=D1231,OR(LEFT(L1231,2)="15",AND(LEFT(M1231,2)&lt;&gt;"15",LEFT(M1231,2)&lt;&gt;"33"))),"x","")</f>
        <v/>
      </c>
      <c r="V1231" s="525" t="str">
        <f>IF(AND(OR(LEFT(TH!L1231,2)="15",LEFT(TH!M1231,2)="15"),'152-CT'!$J$8=TH!F1231),"x","")</f>
        <v/>
      </c>
      <c r="W1231" s="525" t="str">
        <f>IF(AND(OR(LEFT(TH!L1231,2)="15",LEFT(TH!M1231,2)="15"),TK!$E$7=TH!F1231),"x","")</f>
        <v/>
      </c>
      <c r="X1231" s="525" t="str">
        <f>IF(AND('341-CT'!$E$9=H1231,OR(LEFT(L1231,3)=$X$7,LEFT(M1231,3)=$X$7)),"x","")</f>
        <v/>
      </c>
      <c r="Y1231" s="525" t="str">
        <f>IF(OR(TH!L1231=TH!$Y$7,M1231=TH!$Y$7),"x","")</f>
        <v/>
      </c>
      <c r="Z1231" s="525" t="str">
        <f>IF(AND(B1231&lt;=NKC!$N$8,B1231&gt;=NKC!$M$8),"x","")</f>
        <v>x</v>
      </c>
      <c r="AA1231" s="535"/>
    </row>
    <row r="1232" spans="1:27" s="503" customFormat="1" ht="15.75" customHeight="1">
      <c r="A1232" s="517" t="str">
        <f>IF(B1232&lt;&gt;"",IF(AND(B1232&gt;=_TM1,B1232&lt;=_TM2,OR(TH!L1232="1111",TH!M1232="1111")),TH!D1232,""),"")</f>
        <v/>
      </c>
      <c r="B1232" s="531">
        <f t="shared" si="119"/>
        <v>3</v>
      </c>
      <c r="C1232" s="315">
        <f t="shared" si="125"/>
        <v>42825</v>
      </c>
      <c r="D1232" s="315" t="s">
        <v>950</v>
      </c>
      <c r="E1232" s="315">
        <v>42825</v>
      </c>
      <c r="F1232" s="249" t="s">
        <v>625</v>
      </c>
      <c r="G1232" s="314" t="s">
        <v>789</v>
      </c>
      <c r="H1232" s="473" t="s">
        <v>284</v>
      </c>
      <c r="I1232" s="307">
        <v>22</v>
      </c>
      <c r="J1232" s="307">
        <v>38130</v>
      </c>
      <c r="K1232" s="532">
        <f t="shared" si="126"/>
        <v>838860</v>
      </c>
      <c r="L1232" s="534" t="s">
        <v>223</v>
      </c>
      <c r="M1232" s="534" t="s">
        <v>162</v>
      </c>
      <c r="N1232" s="525" t="str">
        <f>IF(AND('331-CT'!$E$7=TH!H1232,OR(L1232="331",M1232="331")),"331",IF(AND(OR(L1232="131",M1232="131"),H1232='131-CT'!$E$7),"131",""))</f>
        <v/>
      </c>
      <c r="O1232" s="525" t="str">
        <f>IF(AND($B1232&gt;='111'!$N$11,$B1232&lt;='111'!$O$11,OR($L1232=$O$7,$M1232=$O$7)),"x","")</f>
        <v/>
      </c>
      <c r="P1232" s="525" t="str">
        <f>IF(AND($L1232=$O$7,$B1232&lt;'111'!$N$11),"x","")</f>
        <v/>
      </c>
      <c r="Q1232" s="525" t="str">
        <f>IF(AND($M1232=$O$7,$B1232&lt;'111'!$N$11),"x","")</f>
        <v/>
      </c>
      <c r="R1232" s="525" t="str">
        <f>IF(ISERROR(FIND('112'!$M$9,G1232,1)),"",IF((AND(FIND('112'!$M$9,G1232,1)&gt;=1,$B1232&gt;='112'!$N$8,$B1232&lt;='112'!$O$8,OR($L1232='112'!$I$6,$M1232='112'!$I$6))),"x",""))</f>
        <v/>
      </c>
      <c r="S1232" s="525" t="str">
        <f>IF(ISERROR(FIND('112'!$M$9,G1232,1)),"",IF((AND(LEFT(G1232,2)=LEFT('112'!$M$9,2),B1232&lt;'112'!$N$8,$L1232='112'!$I$6)),"x",""))</f>
        <v/>
      </c>
      <c r="T1232" s="525" t="str">
        <f>IF(ISERROR(FIND('112'!$M$9,G1232,1)),"",IF((AND(RIGHT(G1232,2)=RIGHT('112'!$M$9,2),B1232&lt;'112'!$N$8,$M1232='112'!$I$6)),"x",""))</f>
        <v/>
      </c>
      <c r="U1232" s="525" t="str">
        <f>IF(AND(B1232&gt;='IN-NX'!$P$3,B1232&lt;='IN-NX'!$Q$3,'IN-NX'!$D$7=D1232,OR(LEFT(L1232,2)="15",AND(LEFT(M1232,2)&lt;&gt;"15",LEFT(M1232,2)&lt;&gt;"33"))),"x","")</f>
        <v/>
      </c>
      <c r="V1232" s="525" t="str">
        <f>IF(AND(OR(LEFT(TH!L1232,2)="15",LEFT(TH!M1232,2)="15"),'152-CT'!$J$8=TH!F1232),"x","")</f>
        <v/>
      </c>
      <c r="W1232" s="525" t="str">
        <f>IF(AND(OR(LEFT(TH!L1232,2)="15",LEFT(TH!M1232,2)="15"),TK!$E$7=TH!F1232),"x","")</f>
        <v/>
      </c>
      <c r="X1232" s="525" t="str">
        <f>IF(AND('341-CT'!$E$9=H1232,OR(LEFT(L1232,3)=$X$7,LEFT(M1232,3)=$X$7)),"x","")</f>
        <v/>
      </c>
      <c r="Y1232" s="525" t="str">
        <f>IF(OR(TH!L1232=TH!$Y$7,M1232=TH!$Y$7),"x","")</f>
        <v/>
      </c>
      <c r="Z1232" s="525" t="str">
        <f>IF(AND(B1232&lt;=NKC!$N$8,B1232&gt;=NKC!$M$8),"x","")</f>
        <v>x</v>
      </c>
      <c r="AA1232" s="535"/>
    </row>
    <row r="1233" spans="1:27" s="503" customFormat="1" ht="15.75" customHeight="1">
      <c r="A1233" s="517" t="str">
        <f>IF(B1233&lt;&gt;"",IF(AND(B1233&gt;=_TM1,B1233&lt;=_TM2,OR(TH!L1233="1111",TH!M1233="1111")),TH!D1233,""),"")</f>
        <v/>
      </c>
      <c r="B1233" s="531">
        <f t="shared" si="119"/>
        <v>3</v>
      </c>
      <c r="C1233" s="315">
        <f t="shared" si="125"/>
        <v>42825</v>
      </c>
      <c r="D1233" s="315" t="s">
        <v>950</v>
      </c>
      <c r="E1233" s="315">
        <v>42825</v>
      </c>
      <c r="F1233" s="249" t="s">
        <v>624</v>
      </c>
      <c r="G1233" s="314" t="s">
        <v>789</v>
      </c>
      <c r="H1233" s="473" t="s">
        <v>284</v>
      </c>
      <c r="I1233" s="307">
        <v>33</v>
      </c>
      <c r="J1233" s="307">
        <v>35387</v>
      </c>
      <c r="K1233" s="532">
        <f t="shared" si="126"/>
        <v>1167771</v>
      </c>
      <c r="L1233" s="534" t="s">
        <v>223</v>
      </c>
      <c r="M1233" s="534" t="s">
        <v>162</v>
      </c>
      <c r="N1233" s="525" t="str">
        <f>IF(AND('331-CT'!$E$7=TH!H1233,OR(L1233="331",M1233="331")),"331",IF(AND(OR(L1233="131",M1233="131"),H1233='131-CT'!$E$7),"131",""))</f>
        <v/>
      </c>
      <c r="O1233" s="525" t="str">
        <f>IF(AND($B1233&gt;='111'!$N$11,$B1233&lt;='111'!$O$11,OR($L1233=$O$7,$M1233=$O$7)),"x","")</f>
        <v/>
      </c>
      <c r="P1233" s="525" t="str">
        <f>IF(AND($L1233=$O$7,$B1233&lt;'111'!$N$11),"x","")</f>
        <v/>
      </c>
      <c r="Q1233" s="525" t="str">
        <f>IF(AND($M1233=$O$7,$B1233&lt;'111'!$N$11),"x","")</f>
        <v/>
      </c>
      <c r="R1233" s="525" t="str">
        <f>IF(ISERROR(FIND('112'!$M$9,G1233,1)),"",IF((AND(FIND('112'!$M$9,G1233,1)&gt;=1,$B1233&gt;='112'!$N$8,$B1233&lt;='112'!$O$8,OR($L1233='112'!$I$6,$M1233='112'!$I$6))),"x",""))</f>
        <v/>
      </c>
      <c r="S1233" s="525" t="str">
        <f>IF(ISERROR(FIND('112'!$M$9,G1233,1)),"",IF((AND(LEFT(G1233,2)=LEFT('112'!$M$9,2),B1233&lt;'112'!$N$8,$L1233='112'!$I$6)),"x",""))</f>
        <v/>
      </c>
      <c r="T1233" s="525" t="str">
        <f>IF(ISERROR(FIND('112'!$M$9,G1233,1)),"",IF((AND(RIGHT(G1233,2)=RIGHT('112'!$M$9,2),B1233&lt;'112'!$N$8,$M1233='112'!$I$6)),"x",""))</f>
        <v/>
      </c>
      <c r="U1233" s="525" t="str">
        <f>IF(AND(B1233&gt;='IN-NX'!$P$3,B1233&lt;='IN-NX'!$Q$3,'IN-NX'!$D$7=D1233,OR(LEFT(L1233,2)="15",AND(LEFT(M1233,2)&lt;&gt;"15",LEFT(M1233,2)&lt;&gt;"33"))),"x","")</f>
        <v/>
      </c>
      <c r="V1233" s="525" t="str">
        <f>IF(AND(OR(LEFT(TH!L1233,2)="15",LEFT(TH!M1233,2)="15"),'152-CT'!$J$8=TH!F1233),"x","")</f>
        <v/>
      </c>
      <c r="W1233" s="525" t="str">
        <f>IF(AND(OR(LEFT(TH!L1233,2)="15",LEFT(TH!M1233,2)="15"),TK!$E$7=TH!F1233),"x","")</f>
        <v/>
      </c>
      <c r="X1233" s="525" t="str">
        <f>IF(AND('341-CT'!$E$9=H1233,OR(LEFT(L1233,3)=$X$7,LEFT(M1233,3)=$X$7)),"x","")</f>
        <v/>
      </c>
      <c r="Y1233" s="525" t="str">
        <f>IF(OR(TH!L1233=TH!$Y$7,M1233=TH!$Y$7),"x","")</f>
        <v/>
      </c>
      <c r="Z1233" s="525" t="str">
        <f>IF(AND(B1233&lt;=NKC!$N$8,B1233&gt;=NKC!$M$8),"x","")</f>
        <v>x</v>
      </c>
      <c r="AA1233" s="535"/>
    </row>
    <row r="1234" spans="1:27" s="503" customFormat="1" ht="15.75" customHeight="1">
      <c r="A1234" s="517" t="str">
        <f>IF(B1234&lt;&gt;"",IF(AND(B1234&gt;=_TM1,B1234&lt;=_TM2,OR(TH!L1234="1111",TH!M1234="1111")),TH!D1234,""),"")</f>
        <v/>
      </c>
      <c r="B1234" s="531">
        <f t="shared" si="119"/>
        <v>3</v>
      </c>
      <c r="C1234" s="315">
        <f t="shared" si="120"/>
        <v>42825</v>
      </c>
      <c r="D1234" s="315" t="s">
        <v>950</v>
      </c>
      <c r="E1234" s="315">
        <v>42825</v>
      </c>
      <c r="F1234" s="249" t="s">
        <v>798</v>
      </c>
      <c r="G1234" s="314" t="s">
        <v>789</v>
      </c>
      <c r="H1234" s="473" t="s">
        <v>284</v>
      </c>
      <c r="I1234" s="307">
        <v>20</v>
      </c>
      <c r="J1234" s="307">
        <v>77368</v>
      </c>
      <c r="K1234" s="532">
        <f t="shared" ref="K1234:K1243" si="127">ROUND(I1234*J1234,0)</f>
        <v>1547360</v>
      </c>
      <c r="L1234" s="534" t="s">
        <v>223</v>
      </c>
      <c r="M1234" s="534" t="s">
        <v>162</v>
      </c>
      <c r="N1234" s="525" t="str">
        <f>IF(AND('331-CT'!$E$7=TH!H1234,OR(L1234="331",M1234="331")),"331",IF(AND(OR(L1234="131",M1234="131"),H1234='131-CT'!$E$7),"131",""))</f>
        <v/>
      </c>
      <c r="O1234" s="525" t="str">
        <f>IF(AND($B1234&gt;='111'!$N$11,$B1234&lt;='111'!$O$11,OR($L1234=$O$7,$M1234=$O$7)),"x","")</f>
        <v/>
      </c>
      <c r="P1234" s="525" t="str">
        <f>IF(AND($L1234=$O$7,$B1234&lt;'111'!$N$11),"x","")</f>
        <v/>
      </c>
      <c r="Q1234" s="525" t="str">
        <f>IF(AND($M1234=$O$7,$B1234&lt;'111'!$N$11),"x","")</f>
        <v/>
      </c>
      <c r="R1234" s="525" t="str">
        <f>IF(ISERROR(FIND('112'!$M$9,G1234,1)),"",IF((AND(FIND('112'!$M$9,G1234,1)&gt;=1,$B1234&gt;='112'!$N$8,$B1234&lt;='112'!$O$8,OR($L1234='112'!$I$6,$M1234='112'!$I$6))),"x",""))</f>
        <v/>
      </c>
      <c r="S1234" s="525" t="str">
        <f>IF(ISERROR(FIND('112'!$M$9,G1234,1)),"",IF((AND(LEFT(G1234,2)=LEFT('112'!$M$9,2),B1234&lt;'112'!$N$8,$L1234='112'!$I$6)),"x",""))</f>
        <v/>
      </c>
      <c r="T1234" s="525" t="str">
        <f>IF(ISERROR(FIND('112'!$M$9,G1234,1)),"",IF((AND(RIGHT(G1234,2)=RIGHT('112'!$M$9,2),B1234&lt;'112'!$N$8,$M1234='112'!$I$6)),"x",""))</f>
        <v/>
      </c>
      <c r="U1234" s="525" t="str">
        <f>IF(AND(B1234&gt;='IN-NX'!$P$3,B1234&lt;='IN-NX'!$Q$3,'IN-NX'!$D$7=D1234,OR(LEFT(L1234,2)="15",AND(LEFT(M1234,2)&lt;&gt;"15",LEFT(M1234,2)&lt;&gt;"33"))),"x","")</f>
        <v/>
      </c>
      <c r="V1234" s="525" t="str">
        <f>IF(AND(OR(LEFT(TH!L1234,2)="15",LEFT(TH!M1234,2)="15"),'152-CT'!$J$8=TH!F1234),"x","")</f>
        <v/>
      </c>
      <c r="W1234" s="525" t="str">
        <f>IF(AND(OR(LEFT(TH!L1234,2)="15",LEFT(TH!M1234,2)="15"),TK!$E$7=TH!F1234),"x","")</f>
        <v/>
      </c>
      <c r="X1234" s="525" t="str">
        <f>IF(AND('341-CT'!$E$9=H1234,OR(LEFT(L1234,3)=$X$7,LEFT(M1234,3)=$X$7)),"x","")</f>
        <v/>
      </c>
      <c r="Y1234" s="525" t="str">
        <f>IF(OR(TH!L1234=TH!$Y$7,M1234=TH!$Y$7),"x","")</f>
        <v/>
      </c>
      <c r="Z1234" s="525" t="str">
        <f>IF(AND(B1234&lt;=NKC!$N$8,B1234&gt;=NKC!$M$8),"x","")</f>
        <v>x</v>
      </c>
      <c r="AA1234" s="535"/>
    </row>
    <row r="1235" spans="1:27" s="503" customFormat="1" ht="15.75" customHeight="1">
      <c r="A1235" s="517" t="str">
        <f>IF(B1235&lt;&gt;"",IF(AND(B1235&gt;=_TM1,B1235&lt;=_TM2,OR(TH!L1235="1111",TH!M1235="1111")),TH!D1235,""),"")</f>
        <v/>
      </c>
      <c r="B1235" s="531">
        <f t="shared" si="119"/>
        <v>3</v>
      </c>
      <c r="C1235" s="315">
        <f t="shared" si="120"/>
        <v>42825</v>
      </c>
      <c r="D1235" s="315" t="s">
        <v>950</v>
      </c>
      <c r="E1235" s="315">
        <v>42825</v>
      </c>
      <c r="F1235" s="249" t="s">
        <v>687</v>
      </c>
      <c r="G1235" s="314" t="s">
        <v>789</v>
      </c>
      <c r="H1235" s="473" t="s">
        <v>284</v>
      </c>
      <c r="I1235" s="307">
        <v>14</v>
      </c>
      <c r="J1235" s="307">
        <v>42184</v>
      </c>
      <c r="K1235" s="532">
        <f t="shared" si="127"/>
        <v>590576</v>
      </c>
      <c r="L1235" s="534" t="s">
        <v>223</v>
      </c>
      <c r="M1235" s="534" t="s">
        <v>162</v>
      </c>
      <c r="N1235" s="525" t="str">
        <f>IF(AND('331-CT'!$E$7=TH!H1235,OR(L1235="331",M1235="331")),"331",IF(AND(OR(L1235="131",M1235="131"),H1235='131-CT'!$E$7),"131",""))</f>
        <v/>
      </c>
      <c r="O1235" s="525" t="str">
        <f>IF(AND($B1235&gt;='111'!$N$11,$B1235&lt;='111'!$O$11,OR($L1235=$O$7,$M1235=$O$7)),"x","")</f>
        <v/>
      </c>
      <c r="P1235" s="525" t="str">
        <f>IF(AND($L1235=$O$7,$B1235&lt;'111'!$N$11),"x","")</f>
        <v/>
      </c>
      <c r="Q1235" s="525" t="str">
        <f>IF(AND($M1235=$O$7,$B1235&lt;'111'!$N$11),"x","")</f>
        <v/>
      </c>
      <c r="R1235" s="525" t="str">
        <f>IF(ISERROR(FIND('112'!$M$9,G1235,1)),"",IF((AND(FIND('112'!$M$9,G1235,1)&gt;=1,$B1235&gt;='112'!$N$8,$B1235&lt;='112'!$O$8,OR($L1235='112'!$I$6,$M1235='112'!$I$6))),"x",""))</f>
        <v/>
      </c>
      <c r="S1235" s="525" t="str">
        <f>IF(ISERROR(FIND('112'!$M$9,G1235,1)),"",IF((AND(LEFT(G1235,2)=LEFT('112'!$M$9,2),B1235&lt;'112'!$N$8,$L1235='112'!$I$6)),"x",""))</f>
        <v/>
      </c>
      <c r="T1235" s="525" t="str">
        <f>IF(ISERROR(FIND('112'!$M$9,G1235,1)),"",IF((AND(RIGHT(G1235,2)=RIGHT('112'!$M$9,2),B1235&lt;'112'!$N$8,$M1235='112'!$I$6)),"x",""))</f>
        <v/>
      </c>
      <c r="U1235" s="525" t="str">
        <f>IF(AND(B1235&gt;='IN-NX'!$P$3,B1235&lt;='IN-NX'!$Q$3,'IN-NX'!$D$7=D1235,OR(LEFT(L1235,2)="15",AND(LEFT(M1235,2)&lt;&gt;"15",LEFT(M1235,2)&lt;&gt;"33"))),"x","")</f>
        <v/>
      </c>
      <c r="V1235" s="525" t="str">
        <f>IF(AND(OR(LEFT(TH!L1235,2)="15",LEFT(TH!M1235,2)="15"),'152-CT'!$J$8=TH!F1235),"x","")</f>
        <v/>
      </c>
      <c r="W1235" s="525" t="str">
        <f>IF(AND(OR(LEFT(TH!L1235,2)="15",LEFT(TH!M1235,2)="15"),TK!$E$7=TH!F1235),"x","")</f>
        <v/>
      </c>
      <c r="X1235" s="525" t="str">
        <f>IF(AND('341-CT'!$E$9=H1235,OR(LEFT(L1235,3)=$X$7,LEFT(M1235,3)=$X$7)),"x","")</f>
        <v/>
      </c>
      <c r="Y1235" s="525" t="str">
        <f>IF(OR(TH!L1235=TH!$Y$7,M1235=TH!$Y$7),"x","")</f>
        <v/>
      </c>
      <c r="Z1235" s="525" t="str">
        <f>IF(AND(B1235&lt;=NKC!$N$8,B1235&gt;=NKC!$M$8),"x","")</f>
        <v>x</v>
      </c>
      <c r="AA1235" s="535"/>
    </row>
    <row r="1236" spans="1:27" s="503" customFormat="1" ht="15.75" customHeight="1">
      <c r="A1236" s="517" t="str">
        <f>IF(B1236&lt;&gt;"",IF(AND(B1236&gt;=_TM1,B1236&lt;=_TM2,OR(TH!L1236="1111",TH!M1236="1111")),TH!D1236,""),"")</f>
        <v/>
      </c>
      <c r="B1236" s="531">
        <f t="shared" si="119"/>
        <v>3</v>
      </c>
      <c r="C1236" s="315">
        <f t="shared" si="120"/>
        <v>42825</v>
      </c>
      <c r="D1236" s="315" t="s">
        <v>950</v>
      </c>
      <c r="E1236" s="315">
        <v>42825</v>
      </c>
      <c r="F1236" s="249" t="s">
        <v>629</v>
      </c>
      <c r="G1236" s="314" t="s">
        <v>789</v>
      </c>
      <c r="H1236" s="473" t="s">
        <v>284</v>
      </c>
      <c r="I1236" s="307">
        <v>94</v>
      </c>
      <c r="J1236" s="307">
        <v>25257</v>
      </c>
      <c r="K1236" s="532">
        <f t="shared" si="127"/>
        <v>2374158</v>
      </c>
      <c r="L1236" s="534" t="s">
        <v>223</v>
      </c>
      <c r="M1236" s="534" t="s">
        <v>162</v>
      </c>
      <c r="N1236" s="525" t="str">
        <f>IF(AND('331-CT'!$E$7=TH!H1236,OR(L1236="331",M1236="331")),"331",IF(AND(OR(L1236="131",M1236="131"),H1236='131-CT'!$E$7),"131",""))</f>
        <v/>
      </c>
      <c r="O1236" s="525" t="str">
        <f>IF(AND($B1236&gt;='111'!$N$11,$B1236&lt;='111'!$O$11,OR($L1236=$O$7,$M1236=$O$7)),"x","")</f>
        <v/>
      </c>
      <c r="P1236" s="525" t="str">
        <f>IF(AND($L1236=$O$7,$B1236&lt;'111'!$N$11),"x","")</f>
        <v/>
      </c>
      <c r="Q1236" s="525" t="str">
        <f>IF(AND($M1236=$O$7,$B1236&lt;'111'!$N$11),"x","")</f>
        <v/>
      </c>
      <c r="R1236" s="525" t="str">
        <f>IF(ISERROR(FIND('112'!$M$9,G1236,1)),"",IF((AND(FIND('112'!$M$9,G1236,1)&gt;=1,$B1236&gt;='112'!$N$8,$B1236&lt;='112'!$O$8,OR($L1236='112'!$I$6,$M1236='112'!$I$6))),"x",""))</f>
        <v/>
      </c>
      <c r="S1236" s="525" t="str">
        <f>IF(ISERROR(FIND('112'!$M$9,G1236,1)),"",IF((AND(LEFT(G1236,2)=LEFT('112'!$M$9,2),B1236&lt;'112'!$N$8,$L1236='112'!$I$6)),"x",""))</f>
        <v/>
      </c>
      <c r="T1236" s="525" t="str">
        <f>IF(ISERROR(FIND('112'!$M$9,G1236,1)),"",IF((AND(RIGHT(G1236,2)=RIGHT('112'!$M$9,2),B1236&lt;'112'!$N$8,$M1236='112'!$I$6)),"x",""))</f>
        <v/>
      </c>
      <c r="U1236" s="525" t="str">
        <f>IF(AND(B1236&gt;='IN-NX'!$P$3,B1236&lt;='IN-NX'!$Q$3,'IN-NX'!$D$7=D1236,OR(LEFT(L1236,2)="15",AND(LEFT(M1236,2)&lt;&gt;"15",LEFT(M1236,2)&lt;&gt;"33"))),"x","")</f>
        <v/>
      </c>
      <c r="V1236" s="525" t="str">
        <f>IF(AND(OR(LEFT(TH!L1236,2)="15",LEFT(TH!M1236,2)="15"),'152-CT'!$J$8=TH!F1236),"x","")</f>
        <v/>
      </c>
      <c r="W1236" s="525" t="str">
        <f>IF(AND(OR(LEFT(TH!L1236,2)="15",LEFT(TH!M1236,2)="15"),TK!$E$7=TH!F1236),"x","")</f>
        <v/>
      </c>
      <c r="X1236" s="525" t="str">
        <f>IF(AND('341-CT'!$E$9=H1236,OR(LEFT(L1236,3)=$X$7,LEFT(M1236,3)=$X$7)),"x","")</f>
        <v/>
      </c>
      <c r="Y1236" s="525" t="str">
        <f>IF(OR(TH!L1236=TH!$Y$7,M1236=TH!$Y$7),"x","")</f>
        <v/>
      </c>
      <c r="Z1236" s="525" t="str">
        <f>IF(AND(B1236&lt;=NKC!$N$8,B1236&gt;=NKC!$M$8),"x","")</f>
        <v>x</v>
      </c>
      <c r="AA1236" s="535"/>
    </row>
    <row r="1237" spans="1:27" s="503" customFormat="1" ht="15.75" customHeight="1">
      <c r="A1237" s="517" t="str">
        <f>IF(B1237&lt;&gt;"",IF(AND(B1237&gt;=_TM1,B1237&lt;=_TM2,OR(TH!L1237="1111",TH!M1237="1111")),TH!D1237,""),"")</f>
        <v/>
      </c>
      <c r="B1237" s="531">
        <f t="shared" si="119"/>
        <v>3</v>
      </c>
      <c r="C1237" s="315">
        <f t="shared" si="120"/>
        <v>42825</v>
      </c>
      <c r="D1237" s="315" t="s">
        <v>950</v>
      </c>
      <c r="E1237" s="315">
        <v>42825</v>
      </c>
      <c r="F1237" s="249" t="s">
        <v>760</v>
      </c>
      <c r="G1237" s="314" t="s">
        <v>789</v>
      </c>
      <c r="H1237" s="473" t="s">
        <v>284</v>
      </c>
      <c r="I1237" s="307">
        <v>10</v>
      </c>
      <c r="J1237" s="307">
        <v>26837</v>
      </c>
      <c r="K1237" s="532">
        <f t="shared" si="127"/>
        <v>268370</v>
      </c>
      <c r="L1237" s="534" t="s">
        <v>223</v>
      </c>
      <c r="M1237" s="534" t="s">
        <v>162</v>
      </c>
      <c r="N1237" s="525" t="str">
        <f>IF(AND('331-CT'!$E$7=TH!H1237,OR(L1237="331",M1237="331")),"331",IF(AND(OR(L1237="131",M1237="131"),H1237='131-CT'!$E$7),"131",""))</f>
        <v/>
      </c>
      <c r="O1237" s="525" t="str">
        <f>IF(AND($B1237&gt;='111'!$N$11,$B1237&lt;='111'!$O$11,OR($L1237=$O$7,$M1237=$O$7)),"x","")</f>
        <v/>
      </c>
      <c r="P1237" s="525" t="str">
        <f>IF(AND($L1237=$O$7,$B1237&lt;'111'!$N$11),"x","")</f>
        <v/>
      </c>
      <c r="Q1237" s="525" t="str">
        <f>IF(AND($M1237=$O$7,$B1237&lt;'111'!$N$11),"x","")</f>
        <v/>
      </c>
      <c r="R1237" s="525" t="str">
        <f>IF(ISERROR(FIND('112'!$M$9,G1237,1)),"",IF((AND(FIND('112'!$M$9,G1237,1)&gt;=1,$B1237&gt;='112'!$N$8,$B1237&lt;='112'!$O$8,OR($L1237='112'!$I$6,$M1237='112'!$I$6))),"x",""))</f>
        <v/>
      </c>
      <c r="S1237" s="525" t="str">
        <f>IF(ISERROR(FIND('112'!$M$9,G1237,1)),"",IF((AND(LEFT(G1237,2)=LEFT('112'!$M$9,2),B1237&lt;'112'!$N$8,$L1237='112'!$I$6)),"x",""))</f>
        <v/>
      </c>
      <c r="T1237" s="525" t="str">
        <f>IF(ISERROR(FIND('112'!$M$9,G1237,1)),"",IF((AND(RIGHT(G1237,2)=RIGHT('112'!$M$9,2),B1237&lt;'112'!$N$8,$M1237='112'!$I$6)),"x",""))</f>
        <v/>
      </c>
      <c r="U1237" s="525" t="str">
        <f>IF(AND(B1237&gt;='IN-NX'!$P$3,B1237&lt;='IN-NX'!$Q$3,'IN-NX'!$D$7=D1237,OR(LEFT(L1237,2)="15",AND(LEFT(M1237,2)&lt;&gt;"15",LEFT(M1237,2)&lt;&gt;"33"))),"x","")</f>
        <v/>
      </c>
      <c r="V1237" s="525" t="str">
        <f>IF(AND(OR(LEFT(TH!L1237,2)="15",LEFT(TH!M1237,2)="15"),'152-CT'!$J$8=TH!F1237),"x","")</f>
        <v/>
      </c>
      <c r="W1237" s="525" t="str">
        <f>IF(AND(OR(LEFT(TH!L1237,2)="15",LEFT(TH!M1237,2)="15"),TK!$E$7=TH!F1237),"x","")</f>
        <v/>
      </c>
      <c r="X1237" s="525" t="str">
        <f>IF(AND('341-CT'!$E$9=H1237,OR(LEFT(L1237,3)=$X$7,LEFT(M1237,3)=$X$7)),"x","")</f>
        <v/>
      </c>
      <c r="Y1237" s="525" t="str">
        <f>IF(OR(TH!L1237=TH!$Y$7,M1237=TH!$Y$7),"x","")</f>
        <v/>
      </c>
      <c r="Z1237" s="525" t="str">
        <f>IF(AND(B1237&lt;=NKC!$N$8,B1237&gt;=NKC!$M$8),"x","")</f>
        <v>x</v>
      </c>
      <c r="AA1237" s="535"/>
    </row>
    <row r="1238" spans="1:27" s="503" customFormat="1" ht="15.75" customHeight="1">
      <c r="A1238" s="517" t="str">
        <f>IF(B1238&lt;&gt;"",IF(AND(B1238&gt;=_TM1,B1238&lt;=_TM2,OR(TH!L1238="1111",TH!M1238="1111")),TH!D1238,""),"")</f>
        <v/>
      </c>
      <c r="B1238" s="531">
        <f t="shared" si="119"/>
        <v>3</v>
      </c>
      <c r="C1238" s="315">
        <f t="shared" si="120"/>
        <v>42825</v>
      </c>
      <c r="D1238" s="315" t="s">
        <v>950</v>
      </c>
      <c r="E1238" s="315">
        <v>42825</v>
      </c>
      <c r="F1238" s="249" t="s">
        <v>679</v>
      </c>
      <c r="G1238" s="314" t="s">
        <v>789</v>
      </c>
      <c r="H1238" s="473" t="s">
        <v>284</v>
      </c>
      <c r="I1238" s="307">
        <v>20</v>
      </c>
      <c r="J1238" s="307">
        <v>46634</v>
      </c>
      <c r="K1238" s="532">
        <f t="shared" si="127"/>
        <v>932680</v>
      </c>
      <c r="L1238" s="534" t="s">
        <v>223</v>
      </c>
      <c r="M1238" s="534" t="s">
        <v>162</v>
      </c>
      <c r="N1238" s="525" t="str">
        <f>IF(AND('331-CT'!$E$7=TH!H1238,OR(L1238="331",M1238="331")),"331",IF(AND(OR(L1238="131",M1238="131"),H1238='131-CT'!$E$7),"131",""))</f>
        <v/>
      </c>
      <c r="O1238" s="525" t="str">
        <f>IF(AND($B1238&gt;='111'!$N$11,$B1238&lt;='111'!$O$11,OR($L1238=$O$7,$M1238=$O$7)),"x","")</f>
        <v/>
      </c>
      <c r="P1238" s="525" t="str">
        <f>IF(AND($L1238=$O$7,$B1238&lt;'111'!$N$11),"x","")</f>
        <v/>
      </c>
      <c r="Q1238" s="525" t="str">
        <f>IF(AND($M1238=$O$7,$B1238&lt;'111'!$N$11),"x","")</f>
        <v/>
      </c>
      <c r="R1238" s="525" t="str">
        <f>IF(ISERROR(FIND('112'!$M$9,G1238,1)),"",IF((AND(FIND('112'!$M$9,G1238,1)&gt;=1,$B1238&gt;='112'!$N$8,$B1238&lt;='112'!$O$8,OR($L1238='112'!$I$6,$M1238='112'!$I$6))),"x",""))</f>
        <v/>
      </c>
      <c r="S1238" s="525" t="str">
        <f>IF(ISERROR(FIND('112'!$M$9,G1238,1)),"",IF((AND(LEFT(G1238,2)=LEFT('112'!$M$9,2),B1238&lt;'112'!$N$8,$L1238='112'!$I$6)),"x",""))</f>
        <v/>
      </c>
      <c r="T1238" s="525" t="str">
        <f>IF(ISERROR(FIND('112'!$M$9,G1238,1)),"",IF((AND(RIGHT(G1238,2)=RIGHT('112'!$M$9,2),B1238&lt;'112'!$N$8,$M1238='112'!$I$6)),"x",""))</f>
        <v/>
      </c>
      <c r="U1238" s="525" t="str">
        <f>IF(AND(B1238&gt;='IN-NX'!$P$3,B1238&lt;='IN-NX'!$Q$3,'IN-NX'!$D$7=D1238,OR(LEFT(L1238,2)="15",AND(LEFT(M1238,2)&lt;&gt;"15",LEFT(M1238,2)&lt;&gt;"33"))),"x","")</f>
        <v/>
      </c>
      <c r="V1238" s="525" t="str">
        <f>IF(AND(OR(LEFT(TH!L1238,2)="15",LEFT(TH!M1238,2)="15"),'152-CT'!$J$8=TH!F1238),"x","")</f>
        <v/>
      </c>
      <c r="W1238" s="525" t="str">
        <f>IF(AND(OR(LEFT(TH!L1238,2)="15",LEFT(TH!M1238,2)="15"),TK!$E$7=TH!F1238),"x","")</f>
        <v/>
      </c>
      <c r="X1238" s="525" t="str">
        <f>IF(AND('341-CT'!$E$9=H1238,OR(LEFT(L1238,3)=$X$7,LEFT(M1238,3)=$X$7)),"x","")</f>
        <v/>
      </c>
      <c r="Y1238" s="525" t="str">
        <f>IF(OR(TH!L1238=TH!$Y$7,M1238=TH!$Y$7),"x","")</f>
        <v/>
      </c>
      <c r="Z1238" s="525" t="str">
        <f>IF(AND(B1238&lt;=NKC!$N$8,B1238&gt;=NKC!$M$8),"x","")</f>
        <v>x</v>
      </c>
      <c r="AA1238" s="535"/>
    </row>
    <row r="1239" spans="1:27" s="503" customFormat="1" ht="15.75" customHeight="1">
      <c r="A1239" s="517" t="str">
        <f>IF(B1239&lt;&gt;"",IF(AND(B1239&gt;=_TM1,B1239&lt;=_TM2,OR(TH!L1239="1111",TH!M1239="1111")),TH!D1239,""),"")</f>
        <v/>
      </c>
      <c r="B1239" s="531">
        <f t="shared" si="119"/>
        <v>3</v>
      </c>
      <c r="C1239" s="315">
        <f t="shared" si="120"/>
        <v>42825</v>
      </c>
      <c r="D1239" s="315" t="s">
        <v>950</v>
      </c>
      <c r="E1239" s="315">
        <v>42825</v>
      </c>
      <c r="F1239" s="249" t="s">
        <v>701</v>
      </c>
      <c r="G1239" s="314" t="s">
        <v>789</v>
      </c>
      <c r="H1239" s="473" t="s">
        <v>284</v>
      </c>
      <c r="I1239" s="307">
        <v>55</v>
      </c>
      <c r="J1239" s="307">
        <v>11087</v>
      </c>
      <c r="K1239" s="532">
        <f t="shared" si="127"/>
        <v>609785</v>
      </c>
      <c r="L1239" s="534" t="s">
        <v>223</v>
      </c>
      <c r="M1239" s="534" t="s">
        <v>162</v>
      </c>
      <c r="N1239" s="525" t="str">
        <f>IF(AND('331-CT'!$E$7=TH!H1239,OR(L1239="331",M1239="331")),"331",IF(AND(OR(L1239="131",M1239="131"),H1239='131-CT'!$E$7),"131",""))</f>
        <v/>
      </c>
      <c r="O1239" s="525" t="str">
        <f>IF(AND($B1239&gt;='111'!$N$11,$B1239&lt;='111'!$O$11,OR($L1239=$O$7,$M1239=$O$7)),"x","")</f>
        <v/>
      </c>
      <c r="P1239" s="525" t="str">
        <f>IF(AND($L1239=$O$7,$B1239&lt;'111'!$N$11),"x","")</f>
        <v/>
      </c>
      <c r="Q1239" s="525" t="str">
        <f>IF(AND($M1239=$O$7,$B1239&lt;'111'!$N$11),"x","")</f>
        <v/>
      </c>
      <c r="R1239" s="525" t="str">
        <f>IF(ISERROR(FIND('112'!$M$9,G1239,1)),"",IF((AND(FIND('112'!$M$9,G1239,1)&gt;=1,$B1239&gt;='112'!$N$8,$B1239&lt;='112'!$O$8,OR($L1239='112'!$I$6,$M1239='112'!$I$6))),"x",""))</f>
        <v/>
      </c>
      <c r="S1239" s="525" t="str">
        <f>IF(ISERROR(FIND('112'!$M$9,G1239,1)),"",IF((AND(LEFT(G1239,2)=LEFT('112'!$M$9,2),B1239&lt;'112'!$N$8,$L1239='112'!$I$6)),"x",""))</f>
        <v/>
      </c>
      <c r="T1239" s="525" t="str">
        <f>IF(ISERROR(FIND('112'!$M$9,G1239,1)),"",IF((AND(RIGHT(G1239,2)=RIGHT('112'!$M$9,2),B1239&lt;'112'!$N$8,$M1239='112'!$I$6)),"x",""))</f>
        <v/>
      </c>
      <c r="U1239" s="525" t="str">
        <f>IF(AND(B1239&gt;='IN-NX'!$P$3,B1239&lt;='IN-NX'!$Q$3,'IN-NX'!$D$7=D1239,OR(LEFT(L1239,2)="15",AND(LEFT(M1239,2)&lt;&gt;"15",LEFT(M1239,2)&lt;&gt;"33"))),"x","")</f>
        <v/>
      </c>
      <c r="V1239" s="525" t="str">
        <f>IF(AND(OR(LEFT(TH!L1239,2)="15",LEFT(TH!M1239,2)="15"),'152-CT'!$J$8=TH!F1239),"x","")</f>
        <v/>
      </c>
      <c r="W1239" s="525" t="str">
        <f>IF(AND(OR(LEFT(TH!L1239,2)="15",LEFT(TH!M1239,2)="15"),TK!$E$7=TH!F1239),"x","")</f>
        <v/>
      </c>
      <c r="X1239" s="525" t="str">
        <f>IF(AND('341-CT'!$E$9=H1239,OR(LEFT(L1239,3)=$X$7,LEFT(M1239,3)=$X$7)),"x","")</f>
        <v/>
      </c>
      <c r="Y1239" s="525" t="str">
        <f>IF(OR(TH!L1239=TH!$Y$7,M1239=TH!$Y$7),"x","")</f>
        <v/>
      </c>
      <c r="Z1239" s="525" t="str">
        <f>IF(AND(B1239&lt;=NKC!$N$8,B1239&gt;=NKC!$M$8),"x","")</f>
        <v>x</v>
      </c>
      <c r="AA1239" s="535"/>
    </row>
    <row r="1240" spans="1:27" s="503" customFormat="1" ht="15.75" customHeight="1">
      <c r="A1240" s="517" t="str">
        <f>IF(B1240&lt;&gt;"",IF(AND(B1240&gt;=_TM1,B1240&lt;=_TM2,OR(TH!L1240="1111",TH!M1240="1111")),TH!D1240,""),"")</f>
        <v/>
      </c>
      <c r="B1240" s="531">
        <f t="shared" si="119"/>
        <v>3</v>
      </c>
      <c r="C1240" s="315">
        <f t="shared" si="120"/>
        <v>42825</v>
      </c>
      <c r="D1240" s="315" t="s">
        <v>950</v>
      </c>
      <c r="E1240" s="315">
        <v>42825</v>
      </c>
      <c r="F1240" s="249" t="s">
        <v>702</v>
      </c>
      <c r="G1240" s="314" t="s">
        <v>789</v>
      </c>
      <c r="H1240" s="473" t="s">
        <v>284</v>
      </c>
      <c r="I1240" s="307">
        <v>78</v>
      </c>
      <c r="J1240" s="307">
        <v>20295</v>
      </c>
      <c r="K1240" s="532">
        <f t="shared" si="127"/>
        <v>1583010</v>
      </c>
      <c r="L1240" s="534" t="s">
        <v>223</v>
      </c>
      <c r="M1240" s="534" t="s">
        <v>162</v>
      </c>
      <c r="N1240" s="525" t="str">
        <f>IF(AND('331-CT'!$E$7=TH!H1240,OR(L1240="331",M1240="331")),"331",IF(AND(OR(L1240="131",M1240="131"),H1240='131-CT'!$E$7),"131",""))</f>
        <v/>
      </c>
      <c r="O1240" s="525" t="str">
        <f>IF(AND($B1240&gt;='111'!$N$11,$B1240&lt;='111'!$O$11,OR($L1240=$O$7,$M1240=$O$7)),"x","")</f>
        <v/>
      </c>
      <c r="P1240" s="525" t="str">
        <f>IF(AND($L1240=$O$7,$B1240&lt;'111'!$N$11),"x","")</f>
        <v/>
      </c>
      <c r="Q1240" s="525" t="str">
        <f>IF(AND($M1240=$O$7,$B1240&lt;'111'!$N$11),"x","")</f>
        <v/>
      </c>
      <c r="R1240" s="525" t="str">
        <f>IF(ISERROR(FIND('112'!$M$9,G1240,1)),"",IF((AND(FIND('112'!$M$9,G1240,1)&gt;=1,$B1240&gt;='112'!$N$8,$B1240&lt;='112'!$O$8,OR($L1240='112'!$I$6,$M1240='112'!$I$6))),"x",""))</f>
        <v/>
      </c>
      <c r="S1240" s="525" t="str">
        <f>IF(ISERROR(FIND('112'!$M$9,G1240,1)),"",IF((AND(LEFT(G1240,2)=LEFT('112'!$M$9,2),B1240&lt;'112'!$N$8,$L1240='112'!$I$6)),"x",""))</f>
        <v/>
      </c>
      <c r="T1240" s="525" t="str">
        <f>IF(ISERROR(FIND('112'!$M$9,G1240,1)),"",IF((AND(RIGHT(G1240,2)=RIGHT('112'!$M$9,2),B1240&lt;'112'!$N$8,$M1240='112'!$I$6)),"x",""))</f>
        <v/>
      </c>
      <c r="U1240" s="525" t="str">
        <f>IF(AND(B1240&gt;='IN-NX'!$P$3,B1240&lt;='IN-NX'!$Q$3,'IN-NX'!$D$7=D1240,OR(LEFT(L1240,2)="15",AND(LEFT(M1240,2)&lt;&gt;"15",LEFT(M1240,2)&lt;&gt;"33"))),"x","")</f>
        <v/>
      </c>
      <c r="V1240" s="525" t="str">
        <f>IF(AND(OR(LEFT(TH!L1240,2)="15",LEFT(TH!M1240,2)="15"),'152-CT'!$J$8=TH!F1240),"x","")</f>
        <v/>
      </c>
      <c r="W1240" s="525" t="str">
        <f>IF(AND(OR(LEFT(TH!L1240,2)="15",LEFT(TH!M1240,2)="15"),TK!$E$7=TH!F1240),"x","")</f>
        <v/>
      </c>
      <c r="X1240" s="525" t="str">
        <f>IF(AND('341-CT'!$E$9=H1240,OR(LEFT(L1240,3)=$X$7,LEFT(M1240,3)=$X$7)),"x","")</f>
        <v/>
      </c>
      <c r="Y1240" s="525" t="str">
        <f>IF(OR(TH!L1240=TH!$Y$7,M1240=TH!$Y$7),"x","")</f>
        <v/>
      </c>
      <c r="Z1240" s="525" t="str">
        <f>IF(AND(B1240&lt;=NKC!$N$8,B1240&gt;=NKC!$M$8),"x","")</f>
        <v>x</v>
      </c>
      <c r="AA1240" s="535"/>
    </row>
    <row r="1241" spans="1:27" s="503" customFormat="1" ht="15.75" customHeight="1">
      <c r="A1241" s="517" t="str">
        <f>IF(B1241&lt;&gt;"",IF(AND(B1241&gt;=_TM1,B1241&lt;=_TM2,OR(TH!L1241="1111",TH!M1241="1111")),TH!D1241,""),"")</f>
        <v/>
      </c>
      <c r="B1241" s="531">
        <f t="shared" si="119"/>
        <v>3</v>
      </c>
      <c r="C1241" s="315">
        <f t="shared" si="120"/>
        <v>42825</v>
      </c>
      <c r="D1241" s="315" t="s">
        <v>950</v>
      </c>
      <c r="E1241" s="315">
        <v>42825</v>
      </c>
      <c r="F1241" s="249" t="s">
        <v>659</v>
      </c>
      <c r="G1241" s="314" t="s">
        <v>789</v>
      </c>
      <c r="H1241" s="473" t="s">
        <v>284</v>
      </c>
      <c r="I1241" s="307">
        <v>4</v>
      </c>
      <c r="J1241" s="307">
        <v>82895</v>
      </c>
      <c r="K1241" s="532">
        <f t="shared" si="127"/>
        <v>331580</v>
      </c>
      <c r="L1241" s="534" t="s">
        <v>223</v>
      </c>
      <c r="M1241" s="534" t="s">
        <v>162</v>
      </c>
      <c r="N1241" s="525" t="str">
        <f>IF(AND('331-CT'!$E$7=TH!H1241,OR(L1241="331",M1241="331")),"331",IF(AND(OR(L1241="131",M1241="131"),H1241='131-CT'!$E$7),"131",""))</f>
        <v/>
      </c>
      <c r="O1241" s="525" t="str">
        <f>IF(AND($B1241&gt;='111'!$N$11,$B1241&lt;='111'!$O$11,OR($L1241=$O$7,$M1241=$O$7)),"x","")</f>
        <v/>
      </c>
      <c r="P1241" s="525" t="str">
        <f>IF(AND($L1241=$O$7,$B1241&lt;'111'!$N$11),"x","")</f>
        <v/>
      </c>
      <c r="Q1241" s="525" t="str">
        <f>IF(AND($M1241=$O$7,$B1241&lt;'111'!$N$11),"x","")</f>
        <v/>
      </c>
      <c r="R1241" s="525" t="str">
        <f>IF(ISERROR(FIND('112'!$M$9,G1241,1)),"",IF((AND(FIND('112'!$M$9,G1241,1)&gt;=1,$B1241&gt;='112'!$N$8,$B1241&lt;='112'!$O$8,OR($L1241='112'!$I$6,$M1241='112'!$I$6))),"x",""))</f>
        <v/>
      </c>
      <c r="S1241" s="525" t="str">
        <f>IF(ISERROR(FIND('112'!$M$9,G1241,1)),"",IF((AND(LEFT(G1241,2)=LEFT('112'!$M$9,2),B1241&lt;'112'!$N$8,$L1241='112'!$I$6)),"x",""))</f>
        <v/>
      </c>
      <c r="T1241" s="525" t="str">
        <f>IF(ISERROR(FIND('112'!$M$9,G1241,1)),"",IF((AND(RIGHT(G1241,2)=RIGHT('112'!$M$9,2),B1241&lt;'112'!$N$8,$M1241='112'!$I$6)),"x",""))</f>
        <v/>
      </c>
      <c r="U1241" s="525" t="str">
        <f>IF(AND(B1241&gt;='IN-NX'!$P$3,B1241&lt;='IN-NX'!$Q$3,'IN-NX'!$D$7=D1241,OR(LEFT(L1241,2)="15",AND(LEFT(M1241,2)&lt;&gt;"15",LEFT(M1241,2)&lt;&gt;"33"))),"x","")</f>
        <v/>
      </c>
      <c r="V1241" s="525" t="str">
        <f>IF(AND(OR(LEFT(TH!L1241,2)="15",LEFT(TH!M1241,2)="15"),'152-CT'!$J$8=TH!F1241),"x","")</f>
        <v/>
      </c>
      <c r="W1241" s="525" t="str">
        <f>IF(AND(OR(LEFT(TH!L1241,2)="15",LEFT(TH!M1241,2)="15"),TK!$E$7=TH!F1241),"x","")</f>
        <v/>
      </c>
      <c r="X1241" s="525" t="str">
        <f>IF(AND('341-CT'!$E$9=H1241,OR(LEFT(L1241,3)=$X$7,LEFT(M1241,3)=$X$7)),"x","")</f>
        <v/>
      </c>
      <c r="Y1241" s="525" t="str">
        <f>IF(OR(TH!L1241=TH!$Y$7,M1241=TH!$Y$7),"x","")</f>
        <v/>
      </c>
      <c r="Z1241" s="525" t="str">
        <f>IF(AND(B1241&lt;=NKC!$N$8,B1241&gt;=NKC!$M$8),"x","")</f>
        <v>x</v>
      </c>
      <c r="AA1241" s="535"/>
    </row>
    <row r="1242" spans="1:27" s="503" customFormat="1" ht="15.75" customHeight="1">
      <c r="A1242" s="517" t="str">
        <f>IF(B1242&lt;&gt;"",IF(AND(B1242&gt;=_TM1,B1242&lt;=_TM2,OR(TH!L1242="1111",TH!M1242="1111")),TH!D1242,""),"")</f>
        <v/>
      </c>
      <c r="B1242" s="531">
        <f t="shared" si="119"/>
        <v>3</v>
      </c>
      <c r="C1242" s="315">
        <f t="shared" si="120"/>
        <v>42825</v>
      </c>
      <c r="D1242" s="315" t="s">
        <v>951</v>
      </c>
      <c r="E1242" s="315">
        <v>42825</v>
      </c>
      <c r="F1242" s="249" t="s">
        <v>698</v>
      </c>
      <c r="G1242" s="314" t="s">
        <v>789</v>
      </c>
      <c r="H1242" s="473" t="s">
        <v>284</v>
      </c>
      <c r="I1242" s="307">
        <v>8</v>
      </c>
      <c r="J1242" s="307">
        <v>143237</v>
      </c>
      <c r="K1242" s="532">
        <f t="shared" si="127"/>
        <v>1145896</v>
      </c>
      <c r="L1242" s="534" t="s">
        <v>223</v>
      </c>
      <c r="M1242" s="534" t="s">
        <v>162</v>
      </c>
      <c r="N1242" s="525" t="str">
        <f>IF(AND('331-CT'!$E$7=TH!H1242,OR(L1242="331",M1242="331")),"331",IF(AND(OR(L1242="131",M1242="131"),H1242='131-CT'!$E$7),"131",""))</f>
        <v/>
      </c>
      <c r="O1242" s="525" t="str">
        <f>IF(AND($B1242&gt;='111'!$N$11,$B1242&lt;='111'!$O$11,OR($L1242=$O$7,$M1242=$O$7)),"x","")</f>
        <v/>
      </c>
      <c r="P1242" s="525" t="str">
        <f>IF(AND($L1242=$O$7,$B1242&lt;'111'!$N$11),"x","")</f>
        <v/>
      </c>
      <c r="Q1242" s="525" t="str">
        <f>IF(AND($M1242=$O$7,$B1242&lt;'111'!$N$11),"x","")</f>
        <v/>
      </c>
      <c r="R1242" s="525" t="str">
        <f>IF(ISERROR(FIND('112'!$M$9,G1242,1)),"",IF((AND(FIND('112'!$M$9,G1242,1)&gt;=1,$B1242&gt;='112'!$N$8,$B1242&lt;='112'!$O$8,OR($L1242='112'!$I$6,$M1242='112'!$I$6))),"x",""))</f>
        <v/>
      </c>
      <c r="S1242" s="525" t="str">
        <f>IF(ISERROR(FIND('112'!$M$9,G1242,1)),"",IF((AND(LEFT(G1242,2)=LEFT('112'!$M$9,2),B1242&lt;'112'!$N$8,$L1242='112'!$I$6)),"x",""))</f>
        <v/>
      </c>
      <c r="T1242" s="525" t="str">
        <f>IF(ISERROR(FIND('112'!$M$9,G1242,1)),"",IF((AND(RIGHT(G1242,2)=RIGHT('112'!$M$9,2),B1242&lt;'112'!$N$8,$M1242='112'!$I$6)),"x",""))</f>
        <v/>
      </c>
      <c r="U1242" s="525" t="str">
        <f>IF(AND(B1242&gt;='IN-NX'!$P$3,B1242&lt;='IN-NX'!$Q$3,'IN-NX'!$D$7=D1242,OR(LEFT(L1242,2)="15",AND(LEFT(M1242,2)&lt;&gt;"15",LEFT(M1242,2)&lt;&gt;"33"))),"x","")</f>
        <v/>
      </c>
      <c r="V1242" s="525" t="str">
        <f>IF(AND(OR(LEFT(TH!L1242,2)="15",LEFT(TH!M1242,2)="15"),'152-CT'!$J$8=TH!F1242),"x","")</f>
        <v/>
      </c>
      <c r="W1242" s="525" t="str">
        <f>IF(AND(OR(LEFT(TH!L1242,2)="15",LEFT(TH!M1242,2)="15"),TK!$E$7=TH!F1242),"x","")</f>
        <v/>
      </c>
      <c r="X1242" s="525" t="str">
        <f>IF(AND('341-CT'!$E$9=H1242,OR(LEFT(L1242,3)=$X$7,LEFT(M1242,3)=$X$7)),"x","")</f>
        <v/>
      </c>
      <c r="Y1242" s="525" t="str">
        <f>IF(OR(TH!L1242=TH!$Y$7,M1242=TH!$Y$7),"x","")</f>
        <v/>
      </c>
      <c r="Z1242" s="525" t="str">
        <f>IF(AND(B1242&lt;=NKC!$N$8,B1242&gt;=NKC!$M$8),"x","")</f>
        <v>x</v>
      </c>
      <c r="AA1242" s="535"/>
    </row>
    <row r="1243" spans="1:27" s="503" customFormat="1" ht="15.75" customHeight="1">
      <c r="A1243" s="517" t="str">
        <f>IF(B1243&lt;&gt;"",IF(AND(B1243&gt;=_TM1,B1243&lt;=_TM2,OR(TH!L1243="1111",TH!M1243="1111")),TH!D1243,""),"")</f>
        <v/>
      </c>
      <c r="B1243" s="531">
        <f t="shared" si="119"/>
        <v>3</v>
      </c>
      <c r="C1243" s="315">
        <f t="shared" si="120"/>
        <v>42825</v>
      </c>
      <c r="D1243" s="315" t="s">
        <v>951</v>
      </c>
      <c r="E1243" s="315">
        <v>42825</v>
      </c>
      <c r="F1243" s="249" t="s">
        <v>700</v>
      </c>
      <c r="G1243" s="314" t="s">
        <v>789</v>
      </c>
      <c r="H1243" s="473" t="s">
        <v>284</v>
      </c>
      <c r="I1243" s="307">
        <v>495</v>
      </c>
      <c r="J1243" s="307">
        <v>16590</v>
      </c>
      <c r="K1243" s="532">
        <f t="shared" si="127"/>
        <v>8212050</v>
      </c>
      <c r="L1243" s="534" t="s">
        <v>223</v>
      </c>
      <c r="M1243" s="534" t="s">
        <v>162</v>
      </c>
      <c r="N1243" s="525" t="str">
        <f>IF(AND('331-CT'!$E$7=TH!H1243,OR(L1243="331",M1243="331")),"331",IF(AND(OR(L1243="131",M1243="131"),H1243='131-CT'!$E$7),"131",""))</f>
        <v/>
      </c>
      <c r="O1243" s="525" t="str">
        <f>IF(AND($B1243&gt;='111'!$N$11,$B1243&lt;='111'!$O$11,OR($L1243=$O$7,$M1243=$O$7)),"x","")</f>
        <v/>
      </c>
      <c r="P1243" s="525" t="str">
        <f>IF(AND($L1243=$O$7,$B1243&lt;'111'!$N$11),"x","")</f>
        <v/>
      </c>
      <c r="Q1243" s="525" t="str">
        <f>IF(AND($M1243=$O$7,$B1243&lt;'111'!$N$11),"x","")</f>
        <v/>
      </c>
      <c r="R1243" s="525" t="str">
        <f>IF(ISERROR(FIND('112'!$M$9,G1243,1)),"",IF((AND(FIND('112'!$M$9,G1243,1)&gt;=1,$B1243&gt;='112'!$N$8,$B1243&lt;='112'!$O$8,OR($L1243='112'!$I$6,$M1243='112'!$I$6))),"x",""))</f>
        <v/>
      </c>
      <c r="S1243" s="525" t="str">
        <f>IF(ISERROR(FIND('112'!$M$9,G1243,1)),"",IF((AND(LEFT(G1243,2)=LEFT('112'!$M$9,2),B1243&lt;'112'!$N$8,$L1243='112'!$I$6)),"x",""))</f>
        <v/>
      </c>
      <c r="T1243" s="525" t="str">
        <f>IF(ISERROR(FIND('112'!$M$9,G1243,1)),"",IF((AND(RIGHT(G1243,2)=RIGHT('112'!$M$9,2),B1243&lt;'112'!$N$8,$M1243='112'!$I$6)),"x",""))</f>
        <v/>
      </c>
      <c r="U1243" s="525" t="str">
        <f>IF(AND(B1243&gt;='IN-NX'!$P$3,B1243&lt;='IN-NX'!$Q$3,'IN-NX'!$D$7=D1243,OR(LEFT(L1243,2)="15",AND(LEFT(M1243,2)&lt;&gt;"15",LEFT(M1243,2)&lt;&gt;"33"))),"x","")</f>
        <v/>
      </c>
      <c r="V1243" s="525" t="str">
        <f>IF(AND(OR(LEFT(TH!L1243,2)="15",LEFT(TH!M1243,2)="15"),'152-CT'!$J$8=TH!F1243),"x","")</f>
        <v/>
      </c>
      <c r="W1243" s="525" t="str">
        <f>IF(AND(OR(LEFT(TH!L1243,2)="15",LEFT(TH!M1243,2)="15"),TK!$E$7=TH!F1243),"x","")</f>
        <v/>
      </c>
      <c r="X1243" s="525" t="str">
        <f>IF(AND('341-CT'!$E$9=H1243,OR(LEFT(L1243,3)=$X$7,LEFT(M1243,3)=$X$7)),"x","")</f>
        <v/>
      </c>
      <c r="Y1243" s="525" t="str">
        <f>IF(OR(TH!L1243=TH!$Y$7,M1243=TH!$Y$7),"x","")</f>
        <v/>
      </c>
      <c r="Z1243" s="525" t="str">
        <f>IF(AND(B1243&lt;=NKC!$N$8,B1243&gt;=NKC!$M$8),"x","")</f>
        <v>x</v>
      </c>
      <c r="AA1243" s="535"/>
    </row>
    <row r="1244" spans="1:27" s="503" customFormat="1" ht="15.75" customHeight="1">
      <c r="A1244" s="517" t="str">
        <f>IF(B1244&lt;&gt;"",IF(AND(B1244&gt;=_TM1,B1244&lt;=_TM2,OR(TH!L1244="1111",TH!M1244="1111")),TH!D1244,""),"")</f>
        <v/>
      </c>
      <c r="B1244" s="531">
        <f t="shared" si="119"/>
        <v>3</v>
      </c>
      <c r="C1244" s="315">
        <f t="shared" ref="C1244:C1253" si="128">E1244</f>
        <v>42825</v>
      </c>
      <c r="D1244" s="315" t="s">
        <v>951</v>
      </c>
      <c r="E1244" s="315">
        <v>42825</v>
      </c>
      <c r="F1244" s="249" t="s">
        <v>703</v>
      </c>
      <c r="G1244" s="314" t="s">
        <v>789</v>
      </c>
      <c r="H1244" s="473" t="s">
        <v>284</v>
      </c>
      <c r="I1244" s="307">
        <v>230</v>
      </c>
      <c r="J1244" s="307">
        <v>66812</v>
      </c>
      <c r="K1244" s="532">
        <f t="shared" ref="K1244:K1253" si="129">ROUND(I1244*J1244,0)</f>
        <v>15366760</v>
      </c>
      <c r="L1244" s="534" t="s">
        <v>223</v>
      </c>
      <c r="M1244" s="534" t="s">
        <v>162</v>
      </c>
      <c r="N1244" s="525" t="str">
        <f>IF(AND('331-CT'!$E$7=TH!H1244,OR(L1244="331",M1244="331")),"331",IF(AND(OR(L1244="131",M1244="131"),H1244='131-CT'!$E$7),"131",""))</f>
        <v/>
      </c>
      <c r="O1244" s="525" t="str">
        <f>IF(AND($B1244&gt;='111'!$N$11,$B1244&lt;='111'!$O$11,OR($L1244=$O$7,$M1244=$O$7)),"x","")</f>
        <v/>
      </c>
      <c r="P1244" s="525" t="str">
        <f>IF(AND($L1244=$O$7,$B1244&lt;'111'!$N$11),"x","")</f>
        <v/>
      </c>
      <c r="Q1244" s="525" t="str">
        <f>IF(AND($M1244=$O$7,$B1244&lt;'111'!$N$11),"x","")</f>
        <v/>
      </c>
      <c r="R1244" s="525" t="str">
        <f>IF(ISERROR(FIND('112'!$M$9,G1244,1)),"",IF((AND(FIND('112'!$M$9,G1244,1)&gt;=1,$B1244&gt;='112'!$N$8,$B1244&lt;='112'!$O$8,OR($L1244='112'!$I$6,$M1244='112'!$I$6))),"x",""))</f>
        <v/>
      </c>
      <c r="S1244" s="525" t="str">
        <f>IF(ISERROR(FIND('112'!$M$9,G1244,1)),"",IF((AND(LEFT(G1244,2)=LEFT('112'!$M$9,2),B1244&lt;'112'!$N$8,$L1244='112'!$I$6)),"x",""))</f>
        <v/>
      </c>
      <c r="T1244" s="525" t="str">
        <f>IF(ISERROR(FIND('112'!$M$9,G1244,1)),"",IF((AND(RIGHT(G1244,2)=RIGHT('112'!$M$9,2),B1244&lt;'112'!$N$8,$M1244='112'!$I$6)),"x",""))</f>
        <v/>
      </c>
      <c r="U1244" s="525" t="str">
        <f>IF(AND(B1244&gt;='IN-NX'!$P$3,B1244&lt;='IN-NX'!$Q$3,'IN-NX'!$D$7=D1244,OR(LEFT(L1244,2)="15",AND(LEFT(M1244,2)&lt;&gt;"15",LEFT(M1244,2)&lt;&gt;"33"))),"x","")</f>
        <v/>
      </c>
      <c r="V1244" s="525" t="str">
        <f>IF(AND(OR(LEFT(TH!L1244,2)="15",LEFT(TH!M1244,2)="15"),'152-CT'!$J$8=TH!F1244),"x","")</f>
        <v/>
      </c>
      <c r="W1244" s="525" t="str">
        <f>IF(AND(OR(LEFT(TH!L1244,2)="15",LEFT(TH!M1244,2)="15"),TK!$E$7=TH!F1244),"x","")</f>
        <v/>
      </c>
      <c r="X1244" s="525" t="str">
        <f>IF(AND('341-CT'!$E$9=H1244,OR(LEFT(L1244,3)=$X$7,LEFT(M1244,3)=$X$7)),"x","")</f>
        <v/>
      </c>
      <c r="Y1244" s="525" t="str">
        <f>IF(OR(TH!L1244=TH!$Y$7,M1244=TH!$Y$7),"x","")</f>
        <v/>
      </c>
      <c r="Z1244" s="525" t="str">
        <f>IF(AND(B1244&lt;=NKC!$N$8,B1244&gt;=NKC!$M$8),"x","")</f>
        <v>x</v>
      </c>
      <c r="AA1244" s="535"/>
    </row>
    <row r="1245" spans="1:27" s="503" customFormat="1" ht="15.75" customHeight="1">
      <c r="A1245" s="517" t="str">
        <f>IF(B1245&lt;&gt;"",IF(AND(B1245&gt;=_TM1,B1245&lt;=_TM2,OR(TH!L1245="1111",TH!M1245="1111")),TH!D1245,""),"")</f>
        <v/>
      </c>
      <c r="B1245" s="531">
        <f t="shared" si="119"/>
        <v>3</v>
      </c>
      <c r="C1245" s="315">
        <f t="shared" si="128"/>
        <v>42825</v>
      </c>
      <c r="D1245" s="315" t="s">
        <v>951</v>
      </c>
      <c r="E1245" s="315">
        <v>42825</v>
      </c>
      <c r="F1245" s="249" t="s">
        <v>611</v>
      </c>
      <c r="G1245" s="314" t="s">
        <v>789</v>
      </c>
      <c r="H1245" s="473" t="s">
        <v>284</v>
      </c>
      <c r="I1245" s="307">
        <v>80</v>
      </c>
      <c r="J1245" s="307">
        <v>40546</v>
      </c>
      <c r="K1245" s="532">
        <f t="shared" si="129"/>
        <v>3243680</v>
      </c>
      <c r="L1245" s="534" t="s">
        <v>223</v>
      </c>
      <c r="M1245" s="534" t="s">
        <v>162</v>
      </c>
      <c r="N1245" s="525" t="str">
        <f>IF(AND('331-CT'!$E$7=TH!H1245,OR(L1245="331",M1245="331")),"331",IF(AND(OR(L1245="131",M1245="131"),H1245='131-CT'!$E$7),"131",""))</f>
        <v/>
      </c>
      <c r="O1245" s="525" t="str">
        <f>IF(AND($B1245&gt;='111'!$N$11,$B1245&lt;='111'!$O$11,OR($L1245=$O$7,$M1245=$O$7)),"x","")</f>
        <v/>
      </c>
      <c r="P1245" s="525" t="str">
        <f>IF(AND($L1245=$O$7,$B1245&lt;'111'!$N$11),"x","")</f>
        <v/>
      </c>
      <c r="Q1245" s="525" t="str">
        <f>IF(AND($M1245=$O$7,$B1245&lt;'111'!$N$11),"x","")</f>
        <v/>
      </c>
      <c r="R1245" s="525" t="str">
        <f>IF(ISERROR(FIND('112'!$M$9,G1245,1)),"",IF((AND(FIND('112'!$M$9,G1245,1)&gt;=1,$B1245&gt;='112'!$N$8,$B1245&lt;='112'!$O$8,OR($L1245='112'!$I$6,$M1245='112'!$I$6))),"x",""))</f>
        <v/>
      </c>
      <c r="S1245" s="525" t="str">
        <f>IF(ISERROR(FIND('112'!$M$9,G1245,1)),"",IF((AND(LEFT(G1245,2)=LEFT('112'!$M$9,2),B1245&lt;'112'!$N$8,$L1245='112'!$I$6)),"x",""))</f>
        <v/>
      </c>
      <c r="T1245" s="525" t="str">
        <f>IF(ISERROR(FIND('112'!$M$9,G1245,1)),"",IF((AND(RIGHT(G1245,2)=RIGHT('112'!$M$9,2),B1245&lt;'112'!$N$8,$M1245='112'!$I$6)),"x",""))</f>
        <v/>
      </c>
      <c r="U1245" s="525" t="str">
        <f>IF(AND(B1245&gt;='IN-NX'!$P$3,B1245&lt;='IN-NX'!$Q$3,'IN-NX'!$D$7=D1245,OR(LEFT(L1245,2)="15",AND(LEFT(M1245,2)&lt;&gt;"15",LEFT(M1245,2)&lt;&gt;"33"))),"x","")</f>
        <v/>
      </c>
      <c r="V1245" s="525" t="str">
        <f>IF(AND(OR(LEFT(TH!L1245,2)="15",LEFT(TH!M1245,2)="15"),'152-CT'!$J$8=TH!F1245),"x","")</f>
        <v/>
      </c>
      <c r="W1245" s="525" t="str">
        <f>IF(AND(OR(LEFT(TH!L1245,2)="15",LEFT(TH!M1245,2)="15"),TK!$E$7=TH!F1245),"x","")</f>
        <v/>
      </c>
      <c r="X1245" s="525" t="str">
        <f>IF(AND('341-CT'!$E$9=H1245,OR(LEFT(L1245,3)=$X$7,LEFT(M1245,3)=$X$7)),"x","")</f>
        <v/>
      </c>
      <c r="Y1245" s="525" t="str">
        <f>IF(OR(TH!L1245=TH!$Y$7,M1245=TH!$Y$7),"x","")</f>
        <v/>
      </c>
      <c r="Z1245" s="525" t="str">
        <f>IF(AND(B1245&lt;=NKC!$N$8,B1245&gt;=NKC!$M$8),"x","")</f>
        <v>x</v>
      </c>
      <c r="AA1245" s="535"/>
    </row>
    <row r="1246" spans="1:27" s="503" customFormat="1" ht="15.75" customHeight="1">
      <c r="A1246" s="517" t="str">
        <f>IF(B1246&lt;&gt;"",IF(AND(B1246&gt;=_TM1,B1246&lt;=_TM2,OR(TH!L1246="1111",TH!M1246="1111")),TH!D1246,""),"")</f>
        <v/>
      </c>
      <c r="B1246" s="531">
        <f t="shared" si="119"/>
        <v>3</v>
      </c>
      <c r="C1246" s="315">
        <f t="shared" si="128"/>
        <v>42825</v>
      </c>
      <c r="D1246" s="315" t="s">
        <v>951</v>
      </c>
      <c r="E1246" s="315">
        <v>42825</v>
      </c>
      <c r="F1246" s="249" t="s">
        <v>736</v>
      </c>
      <c r="G1246" s="314" t="s">
        <v>789</v>
      </c>
      <c r="H1246" s="473" t="s">
        <v>284</v>
      </c>
      <c r="I1246" s="307">
        <v>10</v>
      </c>
      <c r="J1246" s="307">
        <v>80102</v>
      </c>
      <c r="K1246" s="532">
        <f t="shared" si="129"/>
        <v>801020</v>
      </c>
      <c r="L1246" s="534" t="s">
        <v>223</v>
      </c>
      <c r="M1246" s="534" t="s">
        <v>162</v>
      </c>
      <c r="N1246" s="525" t="str">
        <f>IF(AND('331-CT'!$E$7=TH!H1246,OR(L1246="331",M1246="331")),"331",IF(AND(OR(L1246="131",M1246="131"),H1246='131-CT'!$E$7),"131",""))</f>
        <v/>
      </c>
      <c r="O1246" s="525" t="str">
        <f>IF(AND($B1246&gt;='111'!$N$11,$B1246&lt;='111'!$O$11,OR($L1246=$O$7,$M1246=$O$7)),"x","")</f>
        <v/>
      </c>
      <c r="P1246" s="525" t="str">
        <f>IF(AND($L1246=$O$7,$B1246&lt;'111'!$N$11),"x","")</f>
        <v/>
      </c>
      <c r="Q1246" s="525" t="str">
        <f>IF(AND($M1246=$O$7,$B1246&lt;'111'!$N$11),"x","")</f>
        <v/>
      </c>
      <c r="R1246" s="525" t="str">
        <f>IF(ISERROR(FIND('112'!$M$9,G1246,1)),"",IF((AND(FIND('112'!$M$9,G1246,1)&gt;=1,$B1246&gt;='112'!$N$8,$B1246&lt;='112'!$O$8,OR($L1246='112'!$I$6,$M1246='112'!$I$6))),"x",""))</f>
        <v/>
      </c>
      <c r="S1246" s="525" t="str">
        <f>IF(ISERROR(FIND('112'!$M$9,G1246,1)),"",IF((AND(LEFT(G1246,2)=LEFT('112'!$M$9,2),B1246&lt;'112'!$N$8,$L1246='112'!$I$6)),"x",""))</f>
        <v/>
      </c>
      <c r="T1246" s="525" t="str">
        <f>IF(ISERROR(FIND('112'!$M$9,G1246,1)),"",IF((AND(RIGHT(G1246,2)=RIGHT('112'!$M$9,2),B1246&lt;'112'!$N$8,$M1246='112'!$I$6)),"x",""))</f>
        <v/>
      </c>
      <c r="U1246" s="525" t="str">
        <f>IF(AND(B1246&gt;='IN-NX'!$P$3,B1246&lt;='IN-NX'!$Q$3,'IN-NX'!$D$7=D1246,OR(LEFT(L1246,2)="15",AND(LEFT(M1246,2)&lt;&gt;"15",LEFT(M1246,2)&lt;&gt;"33"))),"x","")</f>
        <v/>
      </c>
      <c r="V1246" s="525" t="str">
        <f>IF(AND(OR(LEFT(TH!L1246,2)="15",LEFT(TH!M1246,2)="15"),'152-CT'!$J$8=TH!F1246),"x","")</f>
        <v/>
      </c>
      <c r="W1246" s="525" t="str">
        <f>IF(AND(OR(LEFT(TH!L1246,2)="15",LEFT(TH!M1246,2)="15"),TK!$E$7=TH!F1246),"x","")</f>
        <v/>
      </c>
      <c r="X1246" s="525" t="str">
        <f>IF(AND('341-CT'!$E$9=H1246,OR(LEFT(L1246,3)=$X$7,LEFT(M1246,3)=$X$7)),"x","")</f>
        <v/>
      </c>
      <c r="Y1246" s="525" t="str">
        <f>IF(OR(TH!L1246=TH!$Y$7,M1246=TH!$Y$7),"x","")</f>
        <v/>
      </c>
      <c r="Z1246" s="525" t="str">
        <f>IF(AND(B1246&lt;=NKC!$N$8,B1246&gt;=NKC!$M$8),"x","")</f>
        <v>x</v>
      </c>
      <c r="AA1246" s="535"/>
    </row>
    <row r="1247" spans="1:27" s="503" customFormat="1" ht="15.75" customHeight="1">
      <c r="A1247" s="517" t="str">
        <f>IF(B1247&lt;&gt;"",IF(AND(B1247&gt;=_TM1,B1247&lt;=_TM2,OR(TH!L1247="1111",TH!M1247="1111")),TH!D1247,""),"")</f>
        <v/>
      </c>
      <c r="B1247" s="531">
        <f t="shared" si="119"/>
        <v>3</v>
      </c>
      <c r="C1247" s="315">
        <f t="shared" si="128"/>
        <v>42825</v>
      </c>
      <c r="D1247" s="315" t="s">
        <v>951</v>
      </c>
      <c r="E1247" s="315">
        <v>42825</v>
      </c>
      <c r="F1247" s="249" t="s">
        <v>799</v>
      </c>
      <c r="G1247" s="314" t="s">
        <v>789</v>
      </c>
      <c r="H1247" s="473" t="s">
        <v>284</v>
      </c>
      <c r="I1247" s="307">
        <v>20</v>
      </c>
      <c r="J1247" s="307">
        <v>43320</v>
      </c>
      <c r="K1247" s="532">
        <f t="shared" si="129"/>
        <v>866400</v>
      </c>
      <c r="L1247" s="534" t="s">
        <v>223</v>
      </c>
      <c r="M1247" s="534" t="s">
        <v>162</v>
      </c>
      <c r="N1247" s="525" t="str">
        <f>IF(AND('331-CT'!$E$7=TH!H1247,OR(L1247="331",M1247="331")),"331",IF(AND(OR(L1247="131",M1247="131"),H1247='131-CT'!$E$7),"131",""))</f>
        <v/>
      </c>
      <c r="O1247" s="525" t="str">
        <f>IF(AND($B1247&gt;='111'!$N$11,$B1247&lt;='111'!$O$11,OR($L1247=$O$7,$M1247=$O$7)),"x","")</f>
        <v/>
      </c>
      <c r="P1247" s="525" t="str">
        <f>IF(AND($L1247=$O$7,$B1247&lt;'111'!$N$11),"x","")</f>
        <v/>
      </c>
      <c r="Q1247" s="525" t="str">
        <f>IF(AND($M1247=$O$7,$B1247&lt;'111'!$N$11),"x","")</f>
        <v/>
      </c>
      <c r="R1247" s="525" t="str">
        <f>IF(ISERROR(FIND('112'!$M$9,G1247,1)),"",IF((AND(FIND('112'!$M$9,G1247,1)&gt;=1,$B1247&gt;='112'!$N$8,$B1247&lt;='112'!$O$8,OR($L1247='112'!$I$6,$M1247='112'!$I$6))),"x",""))</f>
        <v/>
      </c>
      <c r="S1247" s="525" t="str">
        <f>IF(ISERROR(FIND('112'!$M$9,G1247,1)),"",IF((AND(LEFT(G1247,2)=LEFT('112'!$M$9,2),B1247&lt;'112'!$N$8,$L1247='112'!$I$6)),"x",""))</f>
        <v/>
      </c>
      <c r="T1247" s="525" t="str">
        <f>IF(ISERROR(FIND('112'!$M$9,G1247,1)),"",IF((AND(RIGHT(G1247,2)=RIGHT('112'!$M$9,2),B1247&lt;'112'!$N$8,$M1247='112'!$I$6)),"x",""))</f>
        <v/>
      </c>
      <c r="U1247" s="525" t="str">
        <f>IF(AND(B1247&gt;='IN-NX'!$P$3,B1247&lt;='IN-NX'!$Q$3,'IN-NX'!$D$7=D1247,OR(LEFT(L1247,2)="15",AND(LEFT(M1247,2)&lt;&gt;"15",LEFT(M1247,2)&lt;&gt;"33"))),"x","")</f>
        <v/>
      </c>
      <c r="V1247" s="525" t="str">
        <f>IF(AND(OR(LEFT(TH!L1247,2)="15",LEFT(TH!M1247,2)="15"),'152-CT'!$J$8=TH!F1247),"x","")</f>
        <v/>
      </c>
      <c r="W1247" s="525" t="str">
        <f>IF(AND(OR(LEFT(TH!L1247,2)="15",LEFT(TH!M1247,2)="15"),TK!$E$7=TH!F1247),"x","")</f>
        <v/>
      </c>
      <c r="X1247" s="525" t="str">
        <f>IF(AND('341-CT'!$E$9=H1247,OR(LEFT(L1247,3)=$X$7,LEFT(M1247,3)=$X$7)),"x","")</f>
        <v/>
      </c>
      <c r="Y1247" s="525" t="str">
        <f>IF(OR(TH!L1247=TH!$Y$7,M1247=TH!$Y$7),"x","")</f>
        <v/>
      </c>
      <c r="Z1247" s="525" t="str">
        <f>IF(AND(B1247&lt;=NKC!$N$8,B1247&gt;=NKC!$M$8),"x","")</f>
        <v>x</v>
      </c>
      <c r="AA1247" s="535"/>
    </row>
    <row r="1248" spans="1:27" s="503" customFormat="1" ht="15.75" customHeight="1">
      <c r="A1248" s="517" t="str">
        <f>IF(B1248&lt;&gt;"",IF(AND(B1248&gt;=_TM1,B1248&lt;=_TM2,OR(TH!L1248="1111",TH!M1248="1111")),TH!D1248,""),"")</f>
        <v/>
      </c>
      <c r="B1248" s="531">
        <f t="shared" si="119"/>
        <v>3</v>
      </c>
      <c r="C1248" s="315">
        <f t="shared" si="128"/>
        <v>42825</v>
      </c>
      <c r="D1248" s="315" t="s">
        <v>951</v>
      </c>
      <c r="E1248" s="315">
        <v>42825</v>
      </c>
      <c r="F1248" s="249" t="s">
        <v>679</v>
      </c>
      <c r="G1248" s="314" t="s">
        <v>789</v>
      </c>
      <c r="H1248" s="473" t="s">
        <v>284</v>
      </c>
      <c r="I1248" s="307">
        <v>28</v>
      </c>
      <c r="J1248" s="307">
        <v>44880</v>
      </c>
      <c r="K1248" s="532">
        <f t="shared" si="129"/>
        <v>1256640</v>
      </c>
      <c r="L1248" s="534" t="s">
        <v>223</v>
      </c>
      <c r="M1248" s="534" t="s">
        <v>162</v>
      </c>
      <c r="N1248" s="525" t="str">
        <f>IF(AND('331-CT'!$E$7=TH!H1248,OR(L1248="331",M1248="331")),"331",IF(AND(OR(L1248="131",M1248="131"),H1248='131-CT'!$E$7),"131",""))</f>
        <v/>
      </c>
      <c r="O1248" s="525" t="str">
        <f>IF(AND($B1248&gt;='111'!$N$11,$B1248&lt;='111'!$O$11,OR($L1248=$O$7,$M1248=$O$7)),"x","")</f>
        <v/>
      </c>
      <c r="P1248" s="525" t="str">
        <f>IF(AND($L1248=$O$7,$B1248&lt;'111'!$N$11),"x","")</f>
        <v/>
      </c>
      <c r="Q1248" s="525" t="str">
        <f>IF(AND($M1248=$O$7,$B1248&lt;'111'!$N$11),"x","")</f>
        <v/>
      </c>
      <c r="R1248" s="525" t="str">
        <f>IF(ISERROR(FIND('112'!$M$9,G1248,1)),"",IF((AND(FIND('112'!$M$9,G1248,1)&gt;=1,$B1248&gt;='112'!$N$8,$B1248&lt;='112'!$O$8,OR($L1248='112'!$I$6,$M1248='112'!$I$6))),"x",""))</f>
        <v/>
      </c>
      <c r="S1248" s="525" t="str">
        <f>IF(ISERROR(FIND('112'!$M$9,G1248,1)),"",IF((AND(LEFT(G1248,2)=LEFT('112'!$M$9,2),B1248&lt;'112'!$N$8,$L1248='112'!$I$6)),"x",""))</f>
        <v/>
      </c>
      <c r="T1248" s="525" t="str">
        <f>IF(ISERROR(FIND('112'!$M$9,G1248,1)),"",IF((AND(RIGHT(G1248,2)=RIGHT('112'!$M$9,2),B1248&lt;'112'!$N$8,$M1248='112'!$I$6)),"x",""))</f>
        <v/>
      </c>
      <c r="U1248" s="525" t="str">
        <f>IF(AND(B1248&gt;='IN-NX'!$P$3,B1248&lt;='IN-NX'!$Q$3,'IN-NX'!$D$7=D1248,OR(LEFT(L1248,2)="15",AND(LEFT(M1248,2)&lt;&gt;"15",LEFT(M1248,2)&lt;&gt;"33"))),"x","")</f>
        <v/>
      </c>
      <c r="V1248" s="525" t="str">
        <f>IF(AND(OR(LEFT(TH!L1248,2)="15",LEFT(TH!M1248,2)="15"),'152-CT'!$J$8=TH!F1248),"x","")</f>
        <v/>
      </c>
      <c r="W1248" s="525" t="str">
        <f>IF(AND(OR(LEFT(TH!L1248,2)="15",LEFT(TH!M1248,2)="15"),TK!$E$7=TH!F1248),"x","")</f>
        <v/>
      </c>
      <c r="X1248" s="525" t="str">
        <f>IF(AND('341-CT'!$E$9=H1248,OR(LEFT(L1248,3)=$X$7,LEFT(M1248,3)=$X$7)),"x","")</f>
        <v/>
      </c>
      <c r="Y1248" s="525" t="str">
        <f>IF(OR(TH!L1248=TH!$Y$7,M1248=TH!$Y$7),"x","")</f>
        <v/>
      </c>
      <c r="Z1248" s="525" t="str">
        <f>IF(AND(B1248&lt;=NKC!$N$8,B1248&gt;=NKC!$M$8),"x","")</f>
        <v>x</v>
      </c>
      <c r="AA1248" s="535"/>
    </row>
    <row r="1249" spans="1:27" s="503" customFormat="1" ht="15.75" customHeight="1">
      <c r="A1249" s="517" t="str">
        <f>IF(B1249&lt;&gt;"",IF(AND(B1249&gt;=_TM1,B1249&lt;=_TM2,OR(TH!L1249="1111",TH!M1249="1111")),TH!D1249,""),"")</f>
        <v/>
      </c>
      <c r="B1249" s="531">
        <f t="shared" si="119"/>
        <v>3</v>
      </c>
      <c r="C1249" s="315">
        <f t="shared" si="128"/>
        <v>42825</v>
      </c>
      <c r="D1249" s="315" t="s">
        <v>951</v>
      </c>
      <c r="E1249" s="315">
        <v>42825</v>
      </c>
      <c r="F1249" s="249" t="s">
        <v>735</v>
      </c>
      <c r="G1249" s="314" t="s">
        <v>789</v>
      </c>
      <c r="H1249" s="473" t="s">
        <v>284</v>
      </c>
      <c r="I1249" s="307">
        <v>12</v>
      </c>
      <c r="J1249" s="307">
        <v>50673</v>
      </c>
      <c r="K1249" s="532">
        <f t="shared" si="129"/>
        <v>608076</v>
      </c>
      <c r="L1249" s="534" t="s">
        <v>223</v>
      </c>
      <c r="M1249" s="534" t="s">
        <v>162</v>
      </c>
      <c r="N1249" s="525" t="str">
        <f>IF(AND('331-CT'!$E$7=TH!H1249,OR(L1249="331",M1249="331")),"331",IF(AND(OR(L1249="131",M1249="131"),H1249='131-CT'!$E$7),"131",""))</f>
        <v/>
      </c>
      <c r="O1249" s="525" t="str">
        <f>IF(AND($B1249&gt;='111'!$N$11,$B1249&lt;='111'!$O$11,OR($L1249=$O$7,$M1249=$O$7)),"x","")</f>
        <v/>
      </c>
      <c r="P1249" s="525" t="str">
        <f>IF(AND($L1249=$O$7,$B1249&lt;'111'!$N$11),"x","")</f>
        <v/>
      </c>
      <c r="Q1249" s="525" t="str">
        <f>IF(AND($M1249=$O$7,$B1249&lt;'111'!$N$11),"x","")</f>
        <v/>
      </c>
      <c r="R1249" s="525" t="str">
        <f>IF(ISERROR(FIND('112'!$M$9,G1249,1)),"",IF((AND(FIND('112'!$M$9,G1249,1)&gt;=1,$B1249&gt;='112'!$N$8,$B1249&lt;='112'!$O$8,OR($L1249='112'!$I$6,$M1249='112'!$I$6))),"x",""))</f>
        <v/>
      </c>
      <c r="S1249" s="525" t="str">
        <f>IF(ISERROR(FIND('112'!$M$9,G1249,1)),"",IF((AND(LEFT(G1249,2)=LEFT('112'!$M$9,2),B1249&lt;'112'!$N$8,$L1249='112'!$I$6)),"x",""))</f>
        <v/>
      </c>
      <c r="T1249" s="525" t="str">
        <f>IF(ISERROR(FIND('112'!$M$9,G1249,1)),"",IF((AND(RIGHT(G1249,2)=RIGHT('112'!$M$9,2),B1249&lt;'112'!$N$8,$M1249='112'!$I$6)),"x",""))</f>
        <v/>
      </c>
      <c r="U1249" s="525" t="str">
        <f>IF(AND(B1249&gt;='IN-NX'!$P$3,B1249&lt;='IN-NX'!$Q$3,'IN-NX'!$D$7=D1249,OR(LEFT(L1249,2)="15",AND(LEFT(M1249,2)&lt;&gt;"15",LEFT(M1249,2)&lt;&gt;"33"))),"x","")</f>
        <v/>
      </c>
      <c r="V1249" s="525" t="str">
        <f>IF(AND(OR(LEFT(TH!L1249,2)="15",LEFT(TH!M1249,2)="15"),'152-CT'!$J$8=TH!F1249),"x","")</f>
        <v/>
      </c>
      <c r="W1249" s="525" t="str">
        <f>IF(AND(OR(LEFT(TH!L1249,2)="15",LEFT(TH!M1249,2)="15"),TK!$E$7=TH!F1249),"x","")</f>
        <v/>
      </c>
      <c r="X1249" s="525" t="str">
        <f>IF(AND('341-CT'!$E$9=H1249,OR(LEFT(L1249,3)=$X$7,LEFT(M1249,3)=$X$7)),"x","")</f>
        <v/>
      </c>
      <c r="Y1249" s="525" t="str">
        <f>IF(OR(TH!L1249=TH!$Y$7,M1249=TH!$Y$7),"x","")</f>
        <v/>
      </c>
      <c r="Z1249" s="525" t="str">
        <f>IF(AND(B1249&lt;=NKC!$N$8,B1249&gt;=NKC!$M$8),"x","")</f>
        <v>x</v>
      </c>
      <c r="AA1249" s="535"/>
    </row>
    <row r="1250" spans="1:27" s="503" customFormat="1" ht="15.75" customHeight="1">
      <c r="A1250" s="517" t="str">
        <f>IF(B1250&lt;&gt;"",IF(AND(B1250&gt;=_TM1,B1250&lt;=_TM2,OR(TH!L1250="1111",TH!M1250="1111")),TH!D1250,""),"")</f>
        <v/>
      </c>
      <c r="B1250" s="531">
        <f t="shared" si="119"/>
        <v>3</v>
      </c>
      <c r="C1250" s="315">
        <f t="shared" si="128"/>
        <v>42825</v>
      </c>
      <c r="D1250" s="315" t="s">
        <v>951</v>
      </c>
      <c r="E1250" s="315">
        <v>42825</v>
      </c>
      <c r="F1250" s="249" t="s">
        <v>731</v>
      </c>
      <c r="G1250" s="314" t="s">
        <v>789</v>
      </c>
      <c r="H1250" s="473" t="s">
        <v>284</v>
      </c>
      <c r="I1250" s="307">
        <v>12</v>
      </c>
      <c r="J1250" s="307">
        <v>56003</v>
      </c>
      <c r="K1250" s="532">
        <f t="shared" si="129"/>
        <v>672036</v>
      </c>
      <c r="L1250" s="534" t="s">
        <v>223</v>
      </c>
      <c r="M1250" s="534" t="s">
        <v>162</v>
      </c>
      <c r="N1250" s="525" t="str">
        <f>IF(AND('331-CT'!$E$7=TH!H1250,OR(L1250="331",M1250="331")),"331",IF(AND(OR(L1250="131",M1250="131"),H1250='131-CT'!$E$7),"131",""))</f>
        <v/>
      </c>
      <c r="O1250" s="525" t="str">
        <f>IF(AND($B1250&gt;='111'!$N$11,$B1250&lt;='111'!$O$11,OR($L1250=$O$7,$M1250=$O$7)),"x","")</f>
        <v/>
      </c>
      <c r="P1250" s="525" t="str">
        <f>IF(AND($L1250=$O$7,$B1250&lt;'111'!$N$11),"x","")</f>
        <v/>
      </c>
      <c r="Q1250" s="525" t="str">
        <f>IF(AND($M1250=$O$7,$B1250&lt;'111'!$N$11),"x","")</f>
        <v/>
      </c>
      <c r="R1250" s="525" t="str">
        <f>IF(ISERROR(FIND('112'!$M$9,G1250,1)),"",IF((AND(FIND('112'!$M$9,G1250,1)&gt;=1,$B1250&gt;='112'!$N$8,$B1250&lt;='112'!$O$8,OR($L1250='112'!$I$6,$M1250='112'!$I$6))),"x",""))</f>
        <v/>
      </c>
      <c r="S1250" s="525" t="str">
        <f>IF(ISERROR(FIND('112'!$M$9,G1250,1)),"",IF((AND(LEFT(G1250,2)=LEFT('112'!$M$9,2),B1250&lt;'112'!$N$8,$L1250='112'!$I$6)),"x",""))</f>
        <v/>
      </c>
      <c r="T1250" s="525" t="str">
        <f>IF(ISERROR(FIND('112'!$M$9,G1250,1)),"",IF((AND(RIGHT(G1250,2)=RIGHT('112'!$M$9,2),B1250&lt;'112'!$N$8,$M1250='112'!$I$6)),"x",""))</f>
        <v/>
      </c>
      <c r="U1250" s="525" t="str">
        <f>IF(AND(B1250&gt;='IN-NX'!$P$3,B1250&lt;='IN-NX'!$Q$3,'IN-NX'!$D$7=D1250,OR(LEFT(L1250,2)="15",AND(LEFT(M1250,2)&lt;&gt;"15",LEFT(M1250,2)&lt;&gt;"33"))),"x","")</f>
        <v/>
      </c>
      <c r="V1250" s="525" t="str">
        <f>IF(AND(OR(LEFT(TH!L1250,2)="15",LEFT(TH!M1250,2)="15"),'152-CT'!$J$8=TH!F1250),"x","")</f>
        <v/>
      </c>
      <c r="W1250" s="525" t="str">
        <f>IF(AND(OR(LEFT(TH!L1250,2)="15",LEFT(TH!M1250,2)="15"),TK!$E$7=TH!F1250),"x","")</f>
        <v/>
      </c>
      <c r="X1250" s="525" t="str">
        <f>IF(AND('341-CT'!$E$9=H1250,OR(LEFT(L1250,3)=$X$7,LEFT(M1250,3)=$X$7)),"x","")</f>
        <v/>
      </c>
      <c r="Y1250" s="525" t="str">
        <f>IF(OR(TH!L1250=TH!$Y$7,M1250=TH!$Y$7),"x","")</f>
        <v/>
      </c>
      <c r="Z1250" s="525" t="str">
        <f>IF(AND(B1250&lt;=NKC!$N$8,B1250&gt;=NKC!$M$8),"x","")</f>
        <v>x</v>
      </c>
      <c r="AA1250" s="535"/>
    </row>
    <row r="1251" spans="1:27" s="503" customFormat="1" ht="15.75" customHeight="1">
      <c r="A1251" s="517" t="str">
        <f>IF(B1251&lt;&gt;"",IF(AND(B1251&gt;=_TM1,B1251&lt;=_TM2,OR(TH!L1251="1111",TH!M1251="1111")),TH!D1251,""),"")</f>
        <v/>
      </c>
      <c r="B1251" s="531">
        <f t="shared" si="119"/>
        <v>3</v>
      </c>
      <c r="C1251" s="315">
        <f t="shared" si="128"/>
        <v>42825</v>
      </c>
      <c r="D1251" s="315" t="s">
        <v>951</v>
      </c>
      <c r="E1251" s="315">
        <v>42825</v>
      </c>
      <c r="F1251" s="249" t="s">
        <v>732</v>
      </c>
      <c r="G1251" s="314" t="s">
        <v>789</v>
      </c>
      <c r="H1251" s="473" t="s">
        <v>284</v>
      </c>
      <c r="I1251" s="307">
        <v>10</v>
      </c>
      <c r="J1251" s="307">
        <v>53105</v>
      </c>
      <c r="K1251" s="532">
        <f t="shared" si="129"/>
        <v>531050</v>
      </c>
      <c r="L1251" s="534" t="s">
        <v>223</v>
      </c>
      <c r="M1251" s="534" t="s">
        <v>162</v>
      </c>
      <c r="N1251" s="525" t="str">
        <f>IF(AND('331-CT'!$E$7=TH!H1251,OR(L1251="331",M1251="331")),"331",IF(AND(OR(L1251="131",M1251="131"),H1251='131-CT'!$E$7),"131",""))</f>
        <v/>
      </c>
      <c r="O1251" s="525" t="str">
        <f>IF(AND($B1251&gt;='111'!$N$11,$B1251&lt;='111'!$O$11,OR($L1251=$O$7,$M1251=$O$7)),"x","")</f>
        <v/>
      </c>
      <c r="P1251" s="525" t="str">
        <f>IF(AND($L1251=$O$7,$B1251&lt;'111'!$N$11),"x","")</f>
        <v/>
      </c>
      <c r="Q1251" s="525" t="str">
        <f>IF(AND($M1251=$O$7,$B1251&lt;'111'!$N$11),"x","")</f>
        <v/>
      </c>
      <c r="R1251" s="525" t="str">
        <f>IF(ISERROR(FIND('112'!$M$9,G1251,1)),"",IF((AND(FIND('112'!$M$9,G1251,1)&gt;=1,$B1251&gt;='112'!$N$8,$B1251&lt;='112'!$O$8,OR($L1251='112'!$I$6,$M1251='112'!$I$6))),"x",""))</f>
        <v/>
      </c>
      <c r="S1251" s="525" t="str">
        <f>IF(ISERROR(FIND('112'!$M$9,G1251,1)),"",IF((AND(LEFT(G1251,2)=LEFT('112'!$M$9,2),B1251&lt;'112'!$N$8,$L1251='112'!$I$6)),"x",""))</f>
        <v/>
      </c>
      <c r="T1251" s="525" t="str">
        <f>IF(ISERROR(FIND('112'!$M$9,G1251,1)),"",IF((AND(RIGHT(G1251,2)=RIGHT('112'!$M$9,2),B1251&lt;'112'!$N$8,$M1251='112'!$I$6)),"x",""))</f>
        <v/>
      </c>
      <c r="U1251" s="525" t="str">
        <f>IF(AND(B1251&gt;='IN-NX'!$P$3,B1251&lt;='IN-NX'!$Q$3,'IN-NX'!$D$7=D1251,OR(LEFT(L1251,2)="15",AND(LEFT(M1251,2)&lt;&gt;"15",LEFT(M1251,2)&lt;&gt;"33"))),"x","")</f>
        <v/>
      </c>
      <c r="V1251" s="525" t="str">
        <f>IF(AND(OR(LEFT(TH!L1251,2)="15",LEFT(TH!M1251,2)="15"),'152-CT'!$J$8=TH!F1251),"x","")</f>
        <v/>
      </c>
      <c r="W1251" s="525" t="str">
        <f>IF(AND(OR(LEFT(TH!L1251,2)="15",LEFT(TH!M1251,2)="15"),TK!$E$7=TH!F1251),"x","")</f>
        <v/>
      </c>
      <c r="X1251" s="525" t="str">
        <f>IF(AND('341-CT'!$E$9=H1251,OR(LEFT(L1251,3)=$X$7,LEFT(M1251,3)=$X$7)),"x","")</f>
        <v/>
      </c>
      <c r="Y1251" s="525" t="str">
        <f>IF(OR(TH!L1251=TH!$Y$7,M1251=TH!$Y$7),"x","")</f>
        <v/>
      </c>
      <c r="Z1251" s="525" t="str">
        <f>IF(AND(B1251&lt;=NKC!$N$8,B1251&gt;=NKC!$M$8),"x","")</f>
        <v>x</v>
      </c>
      <c r="AA1251" s="535"/>
    </row>
    <row r="1252" spans="1:27" s="503" customFormat="1" ht="15.75" customHeight="1">
      <c r="A1252" s="517" t="str">
        <f>IF(B1252&lt;&gt;"",IF(AND(B1252&gt;=_TM1,B1252&lt;=_TM2,OR(TH!L1252="1111",TH!M1252="1111")),TH!D1252,""),"")</f>
        <v/>
      </c>
      <c r="B1252" s="531">
        <f t="shared" si="119"/>
        <v>3</v>
      </c>
      <c r="C1252" s="315">
        <f t="shared" si="128"/>
        <v>42825</v>
      </c>
      <c r="D1252" s="315" t="s">
        <v>951</v>
      </c>
      <c r="E1252" s="315">
        <v>42825</v>
      </c>
      <c r="F1252" s="249" t="s">
        <v>733</v>
      </c>
      <c r="G1252" s="314" t="s">
        <v>789</v>
      </c>
      <c r="H1252" s="473" t="s">
        <v>284</v>
      </c>
      <c r="I1252" s="307">
        <v>100</v>
      </c>
      <c r="J1252" s="307">
        <v>43472</v>
      </c>
      <c r="K1252" s="532">
        <f t="shared" si="129"/>
        <v>4347200</v>
      </c>
      <c r="L1252" s="534" t="s">
        <v>223</v>
      </c>
      <c r="M1252" s="534" t="s">
        <v>162</v>
      </c>
      <c r="N1252" s="525" t="str">
        <f>IF(AND('331-CT'!$E$7=TH!H1252,OR(L1252="331",M1252="331")),"331",IF(AND(OR(L1252="131",M1252="131"),H1252='131-CT'!$E$7),"131",""))</f>
        <v/>
      </c>
      <c r="O1252" s="525" t="str">
        <f>IF(AND($B1252&gt;='111'!$N$11,$B1252&lt;='111'!$O$11,OR($L1252=$O$7,$M1252=$O$7)),"x","")</f>
        <v/>
      </c>
      <c r="P1252" s="525" t="str">
        <f>IF(AND($L1252=$O$7,$B1252&lt;'111'!$N$11),"x","")</f>
        <v/>
      </c>
      <c r="Q1252" s="525" t="str">
        <f>IF(AND($M1252=$O$7,$B1252&lt;'111'!$N$11),"x","")</f>
        <v/>
      </c>
      <c r="R1252" s="525" t="str">
        <f>IF(ISERROR(FIND('112'!$M$9,G1252,1)),"",IF((AND(FIND('112'!$M$9,G1252,1)&gt;=1,$B1252&gt;='112'!$N$8,$B1252&lt;='112'!$O$8,OR($L1252='112'!$I$6,$M1252='112'!$I$6))),"x",""))</f>
        <v/>
      </c>
      <c r="S1252" s="525" t="str">
        <f>IF(ISERROR(FIND('112'!$M$9,G1252,1)),"",IF((AND(LEFT(G1252,2)=LEFT('112'!$M$9,2),B1252&lt;'112'!$N$8,$L1252='112'!$I$6)),"x",""))</f>
        <v/>
      </c>
      <c r="T1252" s="525" t="str">
        <f>IF(ISERROR(FIND('112'!$M$9,G1252,1)),"",IF((AND(RIGHT(G1252,2)=RIGHT('112'!$M$9,2),B1252&lt;'112'!$N$8,$M1252='112'!$I$6)),"x",""))</f>
        <v/>
      </c>
      <c r="U1252" s="525" t="str">
        <f>IF(AND(B1252&gt;='IN-NX'!$P$3,B1252&lt;='IN-NX'!$Q$3,'IN-NX'!$D$7=D1252,OR(LEFT(L1252,2)="15",AND(LEFT(M1252,2)&lt;&gt;"15",LEFT(M1252,2)&lt;&gt;"33"))),"x","")</f>
        <v/>
      </c>
      <c r="V1252" s="525" t="str">
        <f>IF(AND(OR(LEFT(TH!L1252,2)="15",LEFT(TH!M1252,2)="15"),'152-CT'!$J$8=TH!F1252),"x","")</f>
        <v/>
      </c>
      <c r="W1252" s="525" t="str">
        <f>IF(AND(OR(LEFT(TH!L1252,2)="15",LEFT(TH!M1252,2)="15"),TK!$E$7=TH!F1252),"x","")</f>
        <v/>
      </c>
      <c r="X1252" s="525" t="str">
        <f>IF(AND('341-CT'!$E$9=H1252,OR(LEFT(L1252,3)=$X$7,LEFT(M1252,3)=$X$7)),"x","")</f>
        <v/>
      </c>
      <c r="Y1252" s="525" t="str">
        <f>IF(OR(TH!L1252=TH!$Y$7,M1252=TH!$Y$7),"x","")</f>
        <v/>
      </c>
      <c r="Z1252" s="525" t="str">
        <f>IF(AND(B1252&lt;=NKC!$N$8,B1252&gt;=NKC!$M$8),"x","")</f>
        <v>x</v>
      </c>
      <c r="AA1252" s="535"/>
    </row>
    <row r="1253" spans="1:27" s="503" customFormat="1" ht="15.75" customHeight="1">
      <c r="A1253" s="517" t="str">
        <f>IF(B1253&lt;&gt;"",IF(AND(B1253&gt;=_TM1,B1253&lt;=_TM2,OR(TH!L1253="1111",TH!M1253="1111")),TH!D1253,""),"")</f>
        <v/>
      </c>
      <c r="B1253" s="531">
        <f t="shared" si="119"/>
        <v>3</v>
      </c>
      <c r="C1253" s="315">
        <f t="shared" si="128"/>
        <v>42825</v>
      </c>
      <c r="D1253" s="315" t="s">
        <v>951</v>
      </c>
      <c r="E1253" s="315">
        <v>42825</v>
      </c>
      <c r="F1253" s="249" t="s">
        <v>734</v>
      </c>
      <c r="G1253" s="314" t="s">
        <v>789</v>
      </c>
      <c r="H1253" s="473" t="s">
        <v>284</v>
      </c>
      <c r="I1253" s="307">
        <v>26</v>
      </c>
      <c r="J1253" s="307">
        <v>90277</v>
      </c>
      <c r="K1253" s="532">
        <f t="shared" si="129"/>
        <v>2347202</v>
      </c>
      <c r="L1253" s="534" t="s">
        <v>223</v>
      </c>
      <c r="M1253" s="534" t="s">
        <v>162</v>
      </c>
      <c r="N1253" s="525" t="str">
        <f>IF(AND('331-CT'!$E$7=TH!H1253,OR(L1253="331",M1253="331")),"331",IF(AND(OR(L1253="131",M1253="131"),H1253='131-CT'!$E$7),"131",""))</f>
        <v/>
      </c>
      <c r="O1253" s="525" t="str">
        <f>IF(AND($B1253&gt;='111'!$N$11,$B1253&lt;='111'!$O$11,OR($L1253=$O$7,$M1253=$O$7)),"x","")</f>
        <v/>
      </c>
      <c r="P1253" s="525" t="str">
        <f>IF(AND($L1253=$O$7,$B1253&lt;'111'!$N$11),"x","")</f>
        <v/>
      </c>
      <c r="Q1253" s="525" t="str">
        <f>IF(AND($M1253=$O$7,$B1253&lt;'111'!$N$11),"x","")</f>
        <v/>
      </c>
      <c r="R1253" s="525" t="str">
        <f>IF(ISERROR(FIND('112'!$M$9,G1253,1)),"",IF((AND(FIND('112'!$M$9,G1253,1)&gt;=1,$B1253&gt;='112'!$N$8,$B1253&lt;='112'!$O$8,OR($L1253='112'!$I$6,$M1253='112'!$I$6))),"x",""))</f>
        <v/>
      </c>
      <c r="S1253" s="525" t="str">
        <f>IF(ISERROR(FIND('112'!$M$9,G1253,1)),"",IF((AND(LEFT(G1253,2)=LEFT('112'!$M$9,2),B1253&lt;'112'!$N$8,$L1253='112'!$I$6)),"x",""))</f>
        <v/>
      </c>
      <c r="T1253" s="525" t="str">
        <f>IF(ISERROR(FIND('112'!$M$9,G1253,1)),"",IF((AND(RIGHT(G1253,2)=RIGHT('112'!$M$9,2),B1253&lt;'112'!$N$8,$M1253='112'!$I$6)),"x",""))</f>
        <v/>
      </c>
      <c r="U1253" s="525" t="str">
        <f>IF(AND(B1253&gt;='IN-NX'!$P$3,B1253&lt;='IN-NX'!$Q$3,'IN-NX'!$D$7=D1253,OR(LEFT(L1253,2)="15",AND(LEFT(M1253,2)&lt;&gt;"15",LEFT(M1253,2)&lt;&gt;"33"))),"x","")</f>
        <v/>
      </c>
      <c r="V1253" s="525" t="str">
        <f>IF(AND(OR(LEFT(TH!L1253,2)="15",LEFT(TH!M1253,2)="15"),'152-CT'!$J$8=TH!F1253),"x","")</f>
        <v/>
      </c>
      <c r="W1253" s="525" t="str">
        <f>IF(AND(OR(LEFT(TH!L1253,2)="15",LEFT(TH!M1253,2)="15"),TK!$E$7=TH!F1253),"x","")</f>
        <v/>
      </c>
      <c r="X1253" s="525" t="str">
        <f>IF(AND('341-CT'!$E$9=H1253,OR(LEFT(L1253,3)=$X$7,LEFT(M1253,3)=$X$7)),"x","")</f>
        <v/>
      </c>
      <c r="Y1253" s="525" t="str">
        <f>IF(OR(TH!L1253=TH!$Y$7,M1253=TH!$Y$7),"x","")</f>
        <v/>
      </c>
      <c r="Z1253" s="525" t="str">
        <f>IF(AND(B1253&lt;=NKC!$N$8,B1253&gt;=NKC!$M$8),"x","")</f>
        <v>x</v>
      </c>
      <c r="AA1253" s="535"/>
    </row>
    <row r="1254" spans="1:27" s="503" customFormat="1" ht="15.75" customHeight="1">
      <c r="A1254" s="517" t="str">
        <f>IF(B1254&lt;&gt;"",IF(AND(B1254&gt;=_TM1,B1254&lt;=_TM2,OR(TH!L1254="1111",TH!M1254="1111")),TH!D1254,""),"")</f>
        <v/>
      </c>
      <c r="B1254" s="531">
        <f t="shared" si="119"/>
        <v>3</v>
      </c>
      <c r="C1254" s="315">
        <f t="shared" si="120"/>
        <v>42825</v>
      </c>
      <c r="D1254" s="315" t="s">
        <v>952</v>
      </c>
      <c r="E1254" s="315">
        <v>42825</v>
      </c>
      <c r="F1254" s="249" t="s">
        <v>687</v>
      </c>
      <c r="G1254" s="314" t="s">
        <v>789</v>
      </c>
      <c r="H1254" s="473" t="s">
        <v>284</v>
      </c>
      <c r="I1254" s="307">
        <v>6</v>
      </c>
      <c r="J1254" s="307">
        <v>42185</v>
      </c>
      <c r="K1254" s="532">
        <f t="shared" ref="K1254:K1263" si="130">ROUND(I1254*J1254,0)</f>
        <v>253110</v>
      </c>
      <c r="L1254" s="534" t="s">
        <v>223</v>
      </c>
      <c r="M1254" s="534" t="s">
        <v>162</v>
      </c>
      <c r="N1254" s="525" t="str">
        <f>IF(AND('331-CT'!$E$7=TH!H1254,OR(L1254="331",M1254="331")),"331",IF(AND(OR(L1254="131",M1254="131"),H1254='131-CT'!$E$7),"131",""))</f>
        <v/>
      </c>
      <c r="O1254" s="525" t="str">
        <f>IF(AND($B1254&gt;='111'!$N$11,$B1254&lt;='111'!$O$11,OR($L1254=$O$7,$M1254=$O$7)),"x","")</f>
        <v/>
      </c>
      <c r="P1254" s="525" t="str">
        <f>IF(AND($L1254=$O$7,$B1254&lt;'111'!$N$11),"x","")</f>
        <v/>
      </c>
      <c r="Q1254" s="525" t="str">
        <f>IF(AND($M1254=$O$7,$B1254&lt;'111'!$N$11),"x","")</f>
        <v/>
      </c>
      <c r="R1254" s="525" t="str">
        <f>IF(ISERROR(FIND('112'!$M$9,G1254,1)),"",IF((AND(FIND('112'!$M$9,G1254,1)&gt;=1,$B1254&gt;='112'!$N$8,$B1254&lt;='112'!$O$8,OR($L1254='112'!$I$6,$M1254='112'!$I$6))),"x",""))</f>
        <v/>
      </c>
      <c r="S1254" s="525" t="str">
        <f>IF(ISERROR(FIND('112'!$M$9,G1254,1)),"",IF((AND(LEFT(G1254,2)=LEFT('112'!$M$9,2),B1254&lt;'112'!$N$8,$L1254='112'!$I$6)),"x",""))</f>
        <v/>
      </c>
      <c r="T1254" s="525" t="str">
        <f>IF(ISERROR(FIND('112'!$M$9,G1254,1)),"",IF((AND(RIGHT(G1254,2)=RIGHT('112'!$M$9,2),B1254&lt;'112'!$N$8,$M1254='112'!$I$6)),"x",""))</f>
        <v/>
      </c>
      <c r="U1254" s="525" t="str">
        <f>IF(AND(B1254&gt;='IN-NX'!$P$3,B1254&lt;='IN-NX'!$Q$3,'IN-NX'!$D$7=D1254,OR(LEFT(L1254,2)="15",AND(LEFT(M1254,2)&lt;&gt;"15",LEFT(M1254,2)&lt;&gt;"33"))),"x","")</f>
        <v/>
      </c>
      <c r="V1254" s="525" t="str">
        <f>IF(AND(OR(LEFT(TH!L1254,2)="15",LEFT(TH!M1254,2)="15"),'152-CT'!$J$8=TH!F1254),"x","")</f>
        <v/>
      </c>
      <c r="W1254" s="525" t="str">
        <f>IF(AND(OR(LEFT(TH!L1254,2)="15",LEFT(TH!M1254,2)="15"),TK!$E$7=TH!F1254),"x","")</f>
        <v/>
      </c>
      <c r="X1254" s="525" t="str">
        <f>IF(AND('341-CT'!$E$9=H1254,OR(LEFT(L1254,3)=$X$7,LEFT(M1254,3)=$X$7)),"x","")</f>
        <v/>
      </c>
      <c r="Y1254" s="525" t="str">
        <f>IF(OR(TH!L1254=TH!$Y$7,M1254=TH!$Y$7),"x","")</f>
        <v/>
      </c>
      <c r="Z1254" s="525" t="str">
        <f>IF(AND(B1254&lt;=NKC!$N$8,B1254&gt;=NKC!$M$8),"x","")</f>
        <v>x</v>
      </c>
      <c r="AA1254" s="535"/>
    </row>
    <row r="1255" spans="1:27" s="503" customFormat="1" ht="15.75" customHeight="1">
      <c r="A1255" s="517" t="str">
        <f>IF(B1255&lt;&gt;"",IF(AND(B1255&gt;=_TM1,B1255&lt;=_TM2,OR(TH!L1255="1111",TH!M1255="1111")),TH!D1255,""),"")</f>
        <v/>
      </c>
      <c r="B1255" s="531">
        <f t="shared" si="119"/>
        <v>3</v>
      </c>
      <c r="C1255" s="315">
        <f t="shared" si="120"/>
        <v>42825</v>
      </c>
      <c r="D1255" s="315" t="s">
        <v>952</v>
      </c>
      <c r="E1255" s="315">
        <v>42825</v>
      </c>
      <c r="F1255" s="249" t="s">
        <v>704</v>
      </c>
      <c r="G1255" s="314" t="s">
        <v>789</v>
      </c>
      <c r="H1255" s="473" t="s">
        <v>284</v>
      </c>
      <c r="I1255" s="307">
        <v>246</v>
      </c>
      <c r="J1255" s="307">
        <v>17602</v>
      </c>
      <c r="K1255" s="532">
        <f t="shared" si="130"/>
        <v>4330092</v>
      </c>
      <c r="L1255" s="534" t="s">
        <v>223</v>
      </c>
      <c r="M1255" s="534" t="s">
        <v>162</v>
      </c>
      <c r="N1255" s="525" t="str">
        <f>IF(AND('331-CT'!$E$7=TH!H1255,OR(L1255="331",M1255="331")),"331",IF(AND(OR(L1255="131",M1255="131"),H1255='131-CT'!$E$7),"131",""))</f>
        <v/>
      </c>
      <c r="O1255" s="525" t="str">
        <f>IF(AND($B1255&gt;='111'!$N$11,$B1255&lt;='111'!$O$11,OR($L1255=$O$7,$M1255=$O$7)),"x","")</f>
        <v/>
      </c>
      <c r="P1255" s="525" t="str">
        <f>IF(AND($L1255=$O$7,$B1255&lt;'111'!$N$11),"x","")</f>
        <v/>
      </c>
      <c r="Q1255" s="525" t="str">
        <f>IF(AND($M1255=$O$7,$B1255&lt;'111'!$N$11),"x","")</f>
        <v/>
      </c>
      <c r="R1255" s="525" t="str">
        <f>IF(ISERROR(FIND('112'!$M$9,G1255,1)),"",IF((AND(FIND('112'!$M$9,G1255,1)&gt;=1,$B1255&gt;='112'!$N$8,$B1255&lt;='112'!$O$8,OR($L1255='112'!$I$6,$M1255='112'!$I$6))),"x",""))</f>
        <v/>
      </c>
      <c r="S1255" s="525" t="str">
        <f>IF(ISERROR(FIND('112'!$M$9,G1255,1)),"",IF((AND(LEFT(G1255,2)=LEFT('112'!$M$9,2),B1255&lt;'112'!$N$8,$L1255='112'!$I$6)),"x",""))</f>
        <v/>
      </c>
      <c r="T1255" s="525" t="str">
        <f>IF(ISERROR(FIND('112'!$M$9,G1255,1)),"",IF((AND(RIGHT(G1255,2)=RIGHT('112'!$M$9,2),B1255&lt;'112'!$N$8,$M1255='112'!$I$6)),"x",""))</f>
        <v/>
      </c>
      <c r="U1255" s="525" t="str">
        <f>IF(AND(B1255&gt;='IN-NX'!$P$3,B1255&lt;='IN-NX'!$Q$3,'IN-NX'!$D$7=D1255,OR(LEFT(L1255,2)="15",AND(LEFT(M1255,2)&lt;&gt;"15",LEFT(M1255,2)&lt;&gt;"33"))),"x","")</f>
        <v/>
      </c>
      <c r="V1255" s="525" t="str">
        <f>IF(AND(OR(LEFT(TH!L1255,2)="15",LEFT(TH!M1255,2)="15"),'152-CT'!$J$8=TH!F1255),"x","")</f>
        <v/>
      </c>
      <c r="W1255" s="525" t="str">
        <f>IF(AND(OR(LEFT(TH!L1255,2)="15",LEFT(TH!M1255,2)="15"),TK!$E$7=TH!F1255),"x","")</f>
        <v/>
      </c>
      <c r="X1255" s="525" t="str">
        <f>IF(AND('341-CT'!$E$9=H1255,OR(LEFT(L1255,3)=$X$7,LEFT(M1255,3)=$X$7)),"x","")</f>
        <v/>
      </c>
      <c r="Y1255" s="525" t="str">
        <f>IF(OR(TH!L1255=TH!$Y$7,M1255=TH!$Y$7),"x","")</f>
        <v/>
      </c>
      <c r="Z1255" s="525" t="str">
        <f>IF(AND(B1255&lt;=NKC!$N$8,B1255&gt;=NKC!$M$8),"x","")</f>
        <v>x</v>
      </c>
      <c r="AA1255" s="535"/>
    </row>
    <row r="1256" spans="1:27" s="503" customFormat="1" ht="15.75" customHeight="1">
      <c r="A1256" s="517" t="str">
        <f>IF(B1256&lt;&gt;"",IF(AND(B1256&gt;=_TM1,B1256&lt;=_TM2,OR(TH!L1256="1111",TH!M1256="1111")),TH!D1256,""),"")</f>
        <v/>
      </c>
      <c r="B1256" s="531">
        <f t="shared" si="119"/>
        <v>3</v>
      </c>
      <c r="C1256" s="315">
        <f t="shared" si="120"/>
        <v>42825</v>
      </c>
      <c r="D1256" s="315" t="s">
        <v>952</v>
      </c>
      <c r="E1256" s="315">
        <v>42825</v>
      </c>
      <c r="F1256" s="249" t="s">
        <v>705</v>
      </c>
      <c r="G1256" s="314" t="s">
        <v>789</v>
      </c>
      <c r="H1256" s="473" t="s">
        <v>284</v>
      </c>
      <c r="I1256" s="307">
        <v>32</v>
      </c>
      <c r="J1256" s="307">
        <v>45349</v>
      </c>
      <c r="K1256" s="532">
        <f t="shared" si="130"/>
        <v>1451168</v>
      </c>
      <c r="L1256" s="534" t="s">
        <v>223</v>
      </c>
      <c r="M1256" s="534" t="s">
        <v>162</v>
      </c>
      <c r="N1256" s="525" t="str">
        <f>IF(AND('331-CT'!$E$7=TH!H1256,OR(L1256="331",M1256="331")),"331",IF(AND(OR(L1256="131",M1256="131"),H1256='131-CT'!$E$7),"131",""))</f>
        <v/>
      </c>
      <c r="O1256" s="525" t="str">
        <f>IF(AND($B1256&gt;='111'!$N$11,$B1256&lt;='111'!$O$11,OR($L1256=$O$7,$M1256=$O$7)),"x","")</f>
        <v/>
      </c>
      <c r="P1256" s="525" t="str">
        <f>IF(AND($L1256=$O$7,$B1256&lt;'111'!$N$11),"x","")</f>
        <v/>
      </c>
      <c r="Q1256" s="525" t="str">
        <f>IF(AND($M1256=$O$7,$B1256&lt;'111'!$N$11),"x","")</f>
        <v/>
      </c>
      <c r="R1256" s="525" t="str">
        <f>IF(ISERROR(FIND('112'!$M$9,G1256,1)),"",IF((AND(FIND('112'!$M$9,G1256,1)&gt;=1,$B1256&gt;='112'!$N$8,$B1256&lt;='112'!$O$8,OR($L1256='112'!$I$6,$M1256='112'!$I$6))),"x",""))</f>
        <v/>
      </c>
      <c r="S1256" s="525" t="str">
        <f>IF(ISERROR(FIND('112'!$M$9,G1256,1)),"",IF((AND(LEFT(G1256,2)=LEFT('112'!$M$9,2),B1256&lt;'112'!$N$8,$L1256='112'!$I$6)),"x",""))</f>
        <v/>
      </c>
      <c r="T1256" s="525" t="str">
        <f>IF(ISERROR(FIND('112'!$M$9,G1256,1)),"",IF((AND(RIGHT(G1256,2)=RIGHT('112'!$M$9,2),B1256&lt;'112'!$N$8,$M1256='112'!$I$6)),"x",""))</f>
        <v/>
      </c>
      <c r="U1256" s="525" t="str">
        <f>IF(AND(B1256&gt;='IN-NX'!$P$3,B1256&lt;='IN-NX'!$Q$3,'IN-NX'!$D$7=D1256,OR(LEFT(L1256,2)="15",AND(LEFT(M1256,2)&lt;&gt;"15",LEFT(M1256,2)&lt;&gt;"33"))),"x","")</f>
        <v/>
      </c>
      <c r="V1256" s="525" t="str">
        <f>IF(AND(OR(LEFT(TH!L1256,2)="15",LEFT(TH!M1256,2)="15"),'152-CT'!$J$8=TH!F1256),"x","")</f>
        <v/>
      </c>
      <c r="W1256" s="525" t="str">
        <f>IF(AND(OR(LEFT(TH!L1256,2)="15",LEFT(TH!M1256,2)="15"),TK!$E$7=TH!F1256),"x","")</f>
        <v/>
      </c>
      <c r="X1256" s="525" t="str">
        <f>IF(AND('341-CT'!$E$9=H1256,OR(LEFT(L1256,3)=$X$7,LEFT(M1256,3)=$X$7)),"x","")</f>
        <v/>
      </c>
      <c r="Y1256" s="525" t="str">
        <f>IF(OR(TH!L1256=TH!$Y$7,M1256=TH!$Y$7),"x","")</f>
        <v/>
      </c>
      <c r="Z1256" s="525" t="str">
        <f>IF(AND(B1256&lt;=NKC!$N$8,B1256&gt;=NKC!$M$8),"x","")</f>
        <v>x</v>
      </c>
      <c r="AA1256" s="535"/>
    </row>
    <row r="1257" spans="1:27" s="503" customFormat="1" ht="15.75" customHeight="1">
      <c r="A1257" s="517" t="str">
        <f>IF(B1257&lt;&gt;"",IF(AND(B1257&gt;=_TM1,B1257&lt;=_TM2,OR(TH!L1257="1111",TH!M1257="1111")),TH!D1257,""),"")</f>
        <v/>
      </c>
      <c r="B1257" s="531">
        <f t="shared" si="119"/>
        <v>3</v>
      </c>
      <c r="C1257" s="315">
        <f t="shared" si="120"/>
        <v>42825</v>
      </c>
      <c r="D1257" s="315" t="s">
        <v>952</v>
      </c>
      <c r="E1257" s="315">
        <v>42825</v>
      </c>
      <c r="F1257" s="249" t="s">
        <v>706</v>
      </c>
      <c r="G1257" s="314" t="s">
        <v>789</v>
      </c>
      <c r="H1257" s="473" t="s">
        <v>284</v>
      </c>
      <c r="I1257" s="307">
        <v>8</v>
      </c>
      <c r="J1257" s="307">
        <v>24835</v>
      </c>
      <c r="K1257" s="532">
        <f t="shared" si="130"/>
        <v>198680</v>
      </c>
      <c r="L1257" s="534" t="s">
        <v>223</v>
      </c>
      <c r="M1257" s="534" t="s">
        <v>162</v>
      </c>
      <c r="N1257" s="525" t="str">
        <f>IF(AND('331-CT'!$E$7=TH!H1257,OR(L1257="331",M1257="331")),"331",IF(AND(OR(L1257="131",M1257="131"),H1257='131-CT'!$E$7),"131",""))</f>
        <v/>
      </c>
      <c r="O1257" s="525" t="str">
        <f>IF(AND($B1257&gt;='111'!$N$11,$B1257&lt;='111'!$O$11,OR($L1257=$O$7,$M1257=$O$7)),"x","")</f>
        <v/>
      </c>
      <c r="P1257" s="525" t="str">
        <f>IF(AND($L1257=$O$7,$B1257&lt;'111'!$N$11),"x","")</f>
        <v/>
      </c>
      <c r="Q1257" s="525" t="str">
        <f>IF(AND($M1257=$O$7,$B1257&lt;'111'!$N$11),"x","")</f>
        <v/>
      </c>
      <c r="R1257" s="525" t="str">
        <f>IF(ISERROR(FIND('112'!$M$9,G1257,1)),"",IF((AND(FIND('112'!$M$9,G1257,1)&gt;=1,$B1257&gt;='112'!$N$8,$B1257&lt;='112'!$O$8,OR($L1257='112'!$I$6,$M1257='112'!$I$6))),"x",""))</f>
        <v/>
      </c>
      <c r="S1257" s="525" t="str">
        <f>IF(ISERROR(FIND('112'!$M$9,G1257,1)),"",IF((AND(LEFT(G1257,2)=LEFT('112'!$M$9,2),B1257&lt;'112'!$N$8,$L1257='112'!$I$6)),"x",""))</f>
        <v/>
      </c>
      <c r="T1257" s="525" t="str">
        <f>IF(ISERROR(FIND('112'!$M$9,G1257,1)),"",IF((AND(RIGHT(G1257,2)=RIGHT('112'!$M$9,2),B1257&lt;'112'!$N$8,$M1257='112'!$I$6)),"x",""))</f>
        <v/>
      </c>
      <c r="U1257" s="525" t="str">
        <f>IF(AND(B1257&gt;='IN-NX'!$P$3,B1257&lt;='IN-NX'!$Q$3,'IN-NX'!$D$7=D1257,OR(LEFT(L1257,2)="15",AND(LEFT(M1257,2)&lt;&gt;"15",LEFT(M1257,2)&lt;&gt;"33"))),"x","")</f>
        <v/>
      </c>
      <c r="V1257" s="525" t="str">
        <f>IF(AND(OR(LEFT(TH!L1257,2)="15",LEFT(TH!M1257,2)="15"),'152-CT'!$J$8=TH!F1257),"x","")</f>
        <v/>
      </c>
      <c r="W1257" s="525" t="str">
        <f>IF(AND(OR(LEFT(TH!L1257,2)="15",LEFT(TH!M1257,2)="15"),TK!$E$7=TH!F1257),"x","")</f>
        <v/>
      </c>
      <c r="X1257" s="525" t="str">
        <f>IF(AND('341-CT'!$E$9=H1257,OR(LEFT(L1257,3)=$X$7,LEFT(M1257,3)=$X$7)),"x","")</f>
        <v/>
      </c>
      <c r="Y1257" s="525" t="str">
        <f>IF(OR(TH!L1257=TH!$Y$7,M1257=TH!$Y$7),"x","")</f>
        <v/>
      </c>
      <c r="Z1257" s="525" t="str">
        <f>IF(AND(B1257&lt;=NKC!$N$8,B1257&gt;=NKC!$M$8),"x","")</f>
        <v>x</v>
      </c>
      <c r="AA1257" s="535"/>
    </row>
    <row r="1258" spans="1:27" s="503" customFormat="1" ht="15.75" customHeight="1">
      <c r="A1258" s="517" t="str">
        <f>IF(B1258&lt;&gt;"",IF(AND(B1258&gt;=_TM1,B1258&lt;=_TM2,OR(TH!L1258="1111",TH!M1258="1111")),TH!D1258,""),"")</f>
        <v/>
      </c>
      <c r="B1258" s="531">
        <f t="shared" si="119"/>
        <v>3</v>
      </c>
      <c r="C1258" s="315">
        <f t="shared" si="120"/>
        <v>42825</v>
      </c>
      <c r="D1258" s="315" t="s">
        <v>952</v>
      </c>
      <c r="E1258" s="315">
        <v>42825</v>
      </c>
      <c r="F1258" s="249" t="s">
        <v>619</v>
      </c>
      <c r="G1258" s="314" t="s">
        <v>789</v>
      </c>
      <c r="H1258" s="473" t="s">
        <v>284</v>
      </c>
      <c r="I1258" s="307">
        <v>36</v>
      </c>
      <c r="J1258" s="307">
        <v>31864</v>
      </c>
      <c r="K1258" s="532">
        <f t="shared" si="130"/>
        <v>1147104</v>
      </c>
      <c r="L1258" s="534" t="s">
        <v>223</v>
      </c>
      <c r="M1258" s="534" t="s">
        <v>162</v>
      </c>
      <c r="N1258" s="525" t="str">
        <f>IF(AND('331-CT'!$E$7=TH!H1258,OR(L1258="331",M1258="331")),"331",IF(AND(OR(L1258="131",M1258="131"),H1258='131-CT'!$E$7),"131",""))</f>
        <v/>
      </c>
      <c r="O1258" s="525" t="str">
        <f>IF(AND($B1258&gt;='111'!$N$11,$B1258&lt;='111'!$O$11,OR($L1258=$O$7,$M1258=$O$7)),"x","")</f>
        <v/>
      </c>
      <c r="P1258" s="525" t="str">
        <f>IF(AND($L1258=$O$7,$B1258&lt;'111'!$N$11),"x","")</f>
        <v/>
      </c>
      <c r="Q1258" s="525" t="str">
        <f>IF(AND($M1258=$O$7,$B1258&lt;'111'!$N$11),"x","")</f>
        <v/>
      </c>
      <c r="R1258" s="525" t="str">
        <f>IF(ISERROR(FIND('112'!$M$9,G1258,1)),"",IF((AND(FIND('112'!$M$9,G1258,1)&gt;=1,$B1258&gt;='112'!$N$8,$B1258&lt;='112'!$O$8,OR($L1258='112'!$I$6,$M1258='112'!$I$6))),"x",""))</f>
        <v/>
      </c>
      <c r="S1258" s="525" t="str">
        <f>IF(ISERROR(FIND('112'!$M$9,G1258,1)),"",IF((AND(LEFT(G1258,2)=LEFT('112'!$M$9,2),B1258&lt;'112'!$N$8,$L1258='112'!$I$6)),"x",""))</f>
        <v/>
      </c>
      <c r="T1258" s="525" t="str">
        <f>IF(ISERROR(FIND('112'!$M$9,G1258,1)),"",IF((AND(RIGHT(G1258,2)=RIGHT('112'!$M$9,2),B1258&lt;'112'!$N$8,$M1258='112'!$I$6)),"x",""))</f>
        <v/>
      </c>
      <c r="U1258" s="525" t="str">
        <f>IF(AND(B1258&gt;='IN-NX'!$P$3,B1258&lt;='IN-NX'!$Q$3,'IN-NX'!$D$7=D1258,OR(LEFT(L1258,2)="15",AND(LEFT(M1258,2)&lt;&gt;"15",LEFT(M1258,2)&lt;&gt;"33"))),"x","")</f>
        <v/>
      </c>
      <c r="V1258" s="525" t="str">
        <f>IF(AND(OR(LEFT(TH!L1258,2)="15",LEFT(TH!M1258,2)="15"),'152-CT'!$J$8=TH!F1258),"x","")</f>
        <v/>
      </c>
      <c r="W1258" s="525" t="str">
        <f>IF(AND(OR(LEFT(TH!L1258,2)="15",LEFT(TH!M1258,2)="15"),TK!$E$7=TH!F1258),"x","")</f>
        <v/>
      </c>
      <c r="X1258" s="525" t="str">
        <f>IF(AND('341-CT'!$E$9=H1258,OR(LEFT(L1258,3)=$X$7,LEFT(M1258,3)=$X$7)),"x","")</f>
        <v/>
      </c>
      <c r="Y1258" s="525" t="str">
        <f>IF(OR(TH!L1258=TH!$Y$7,M1258=TH!$Y$7),"x","")</f>
        <v/>
      </c>
      <c r="Z1258" s="525" t="str">
        <f>IF(AND(B1258&lt;=NKC!$N$8,B1258&gt;=NKC!$M$8),"x","")</f>
        <v>x</v>
      </c>
      <c r="AA1258" s="535"/>
    </row>
    <row r="1259" spans="1:27" s="503" customFormat="1" ht="15.75" customHeight="1">
      <c r="A1259" s="517" t="str">
        <f>IF(B1259&lt;&gt;"",IF(AND(B1259&gt;=_TM1,B1259&lt;=_TM2,OR(TH!L1259="1111",TH!M1259="1111")),TH!D1259,""),"")</f>
        <v/>
      </c>
      <c r="B1259" s="531">
        <f t="shared" si="119"/>
        <v>3</v>
      </c>
      <c r="C1259" s="315">
        <f t="shared" si="120"/>
        <v>42825</v>
      </c>
      <c r="D1259" s="315" t="s">
        <v>952</v>
      </c>
      <c r="E1259" s="315">
        <v>42825</v>
      </c>
      <c r="F1259" s="249" t="s">
        <v>710</v>
      </c>
      <c r="G1259" s="314" t="s">
        <v>789</v>
      </c>
      <c r="H1259" s="473" t="s">
        <v>284</v>
      </c>
      <c r="I1259" s="307">
        <v>36</v>
      </c>
      <c r="J1259" s="307">
        <v>20772</v>
      </c>
      <c r="K1259" s="532">
        <f t="shared" si="130"/>
        <v>747792</v>
      </c>
      <c r="L1259" s="534" t="s">
        <v>223</v>
      </c>
      <c r="M1259" s="534" t="s">
        <v>162</v>
      </c>
      <c r="N1259" s="525" t="str">
        <f>IF(AND('331-CT'!$E$7=TH!H1259,OR(L1259="331",M1259="331")),"331",IF(AND(OR(L1259="131",M1259="131"),H1259='131-CT'!$E$7),"131",""))</f>
        <v/>
      </c>
      <c r="O1259" s="525" t="str">
        <f>IF(AND($B1259&gt;='111'!$N$11,$B1259&lt;='111'!$O$11,OR($L1259=$O$7,$M1259=$O$7)),"x","")</f>
        <v/>
      </c>
      <c r="P1259" s="525" t="str">
        <f>IF(AND($L1259=$O$7,$B1259&lt;'111'!$N$11),"x","")</f>
        <v/>
      </c>
      <c r="Q1259" s="525" t="str">
        <f>IF(AND($M1259=$O$7,$B1259&lt;'111'!$N$11),"x","")</f>
        <v/>
      </c>
      <c r="R1259" s="525" t="str">
        <f>IF(ISERROR(FIND('112'!$M$9,G1259,1)),"",IF((AND(FIND('112'!$M$9,G1259,1)&gt;=1,$B1259&gt;='112'!$N$8,$B1259&lt;='112'!$O$8,OR($L1259='112'!$I$6,$M1259='112'!$I$6))),"x",""))</f>
        <v/>
      </c>
      <c r="S1259" s="525" t="str">
        <f>IF(ISERROR(FIND('112'!$M$9,G1259,1)),"",IF((AND(LEFT(G1259,2)=LEFT('112'!$M$9,2),B1259&lt;'112'!$N$8,$L1259='112'!$I$6)),"x",""))</f>
        <v/>
      </c>
      <c r="T1259" s="525" t="str">
        <f>IF(ISERROR(FIND('112'!$M$9,G1259,1)),"",IF((AND(RIGHT(G1259,2)=RIGHT('112'!$M$9,2),B1259&lt;'112'!$N$8,$M1259='112'!$I$6)),"x",""))</f>
        <v/>
      </c>
      <c r="U1259" s="525" t="str">
        <f>IF(AND(B1259&gt;='IN-NX'!$P$3,B1259&lt;='IN-NX'!$Q$3,'IN-NX'!$D$7=D1259,OR(LEFT(L1259,2)="15",AND(LEFT(M1259,2)&lt;&gt;"15",LEFT(M1259,2)&lt;&gt;"33"))),"x","")</f>
        <v/>
      </c>
      <c r="V1259" s="525" t="str">
        <f>IF(AND(OR(LEFT(TH!L1259,2)="15",LEFT(TH!M1259,2)="15"),'152-CT'!$J$8=TH!F1259),"x","")</f>
        <v/>
      </c>
      <c r="W1259" s="525" t="str">
        <f>IF(AND(OR(LEFT(TH!L1259,2)="15",LEFT(TH!M1259,2)="15"),TK!$E$7=TH!F1259),"x","")</f>
        <v/>
      </c>
      <c r="X1259" s="525" t="str">
        <f>IF(AND('341-CT'!$E$9=H1259,OR(LEFT(L1259,3)=$X$7,LEFT(M1259,3)=$X$7)),"x","")</f>
        <v/>
      </c>
      <c r="Y1259" s="525" t="str">
        <f>IF(OR(TH!L1259=TH!$Y$7,M1259=TH!$Y$7),"x","")</f>
        <v/>
      </c>
      <c r="Z1259" s="525" t="str">
        <f>IF(AND(B1259&lt;=NKC!$N$8,B1259&gt;=NKC!$M$8),"x","")</f>
        <v>x</v>
      </c>
      <c r="AA1259" s="535"/>
    </row>
    <row r="1260" spans="1:27" s="503" customFormat="1" ht="15.75" customHeight="1">
      <c r="A1260" s="517" t="str">
        <f>IF(B1260&lt;&gt;"",IF(AND(B1260&gt;=_TM1,B1260&lt;=_TM2,OR(TH!L1260="1111",TH!M1260="1111")),TH!D1260,""),"")</f>
        <v/>
      </c>
      <c r="B1260" s="531">
        <f t="shared" si="119"/>
        <v>3</v>
      </c>
      <c r="C1260" s="315">
        <f t="shared" si="120"/>
        <v>42825</v>
      </c>
      <c r="D1260" s="315" t="s">
        <v>952</v>
      </c>
      <c r="E1260" s="315">
        <v>42825</v>
      </c>
      <c r="F1260" s="249" t="s">
        <v>711</v>
      </c>
      <c r="G1260" s="314" t="s">
        <v>789</v>
      </c>
      <c r="H1260" s="473" t="s">
        <v>284</v>
      </c>
      <c r="I1260" s="307">
        <v>36</v>
      </c>
      <c r="J1260" s="307">
        <v>21104</v>
      </c>
      <c r="K1260" s="532">
        <f t="shared" si="130"/>
        <v>759744</v>
      </c>
      <c r="L1260" s="534" t="s">
        <v>223</v>
      </c>
      <c r="M1260" s="534" t="s">
        <v>162</v>
      </c>
      <c r="N1260" s="525" t="str">
        <f>IF(AND('331-CT'!$E$7=TH!H1260,OR(L1260="331",M1260="331")),"331",IF(AND(OR(L1260="131",M1260="131"),H1260='131-CT'!$E$7),"131",""))</f>
        <v/>
      </c>
      <c r="O1260" s="525" t="str">
        <f>IF(AND($B1260&gt;='111'!$N$11,$B1260&lt;='111'!$O$11,OR($L1260=$O$7,$M1260=$O$7)),"x","")</f>
        <v/>
      </c>
      <c r="P1260" s="525" t="str">
        <f>IF(AND($L1260=$O$7,$B1260&lt;'111'!$N$11),"x","")</f>
        <v/>
      </c>
      <c r="Q1260" s="525" t="str">
        <f>IF(AND($M1260=$O$7,$B1260&lt;'111'!$N$11),"x","")</f>
        <v/>
      </c>
      <c r="R1260" s="525" t="str">
        <f>IF(ISERROR(FIND('112'!$M$9,G1260,1)),"",IF((AND(FIND('112'!$M$9,G1260,1)&gt;=1,$B1260&gt;='112'!$N$8,$B1260&lt;='112'!$O$8,OR($L1260='112'!$I$6,$M1260='112'!$I$6))),"x",""))</f>
        <v/>
      </c>
      <c r="S1260" s="525" t="str">
        <f>IF(ISERROR(FIND('112'!$M$9,G1260,1)),"",IF((AND(LEFT(G1260,2)=LEFT('112'!$M$9,2),B1260&lt;'112'!$N$8,$L1260='112'!$I$6)),"x",""))</f>
        <v/>
      </c>
      <c r="T1260" s="525" t="str">
        <f>IF(ISERROR(FIND('112'!$M$9,G1260,1)),"",IF((AND(RIGHT(G1260,2)=RIGHT('112'!$M$9,2),B1260&lt;'112'!$N$8,$M1260='112'!$I$6)),"x",""))</f>
        <v/>
      </c>
      <c r="U1260" s="525" t="str">
        <f>IF(AND(B1260&gt;='IN-NX'!$P$3,B1260&lt;='IN-NX'!$Q$3,'IN-NX'!$D$7=D1260,OR(LEFT(L1260,2)="15",AND(LEFT(M1260,2)&lt;&gt;"15",LEFT(M1260,2)&lt;&gt;"33"))),"x","")</f>
        <v/>
      </c>
      <c r="V1260" s="525" t="str">
        <f>IF(AND(OR(LEFT(TH!L1260,2)="15",LEFT(TH!M1260,2)="15"),'152-CT'!$J$8=TH!F1260),"x","")</f>
        <v/>
      </c>
      <c r="W1260" s="525" t="str">
        <f>IF(AND(OR(LEFT(TH!L1260,2)="15",LEFT(TH!M1260,2)="15"),TK!$E$7=TH!F1260),"x","")</f>
        <v/>
      </c>
      <c r="X1260" s="525" t="str">
        <f>IF(AND('341-CT'!$E$9=H1260,OR(LEFT(L1260,3)=$X$7,LEFT(M1260,3)=$X$7)),"x","")</f>
        <v/>
      </c>
      <c r="Y1260" s="525" t="str">
        <f>IF(OR(TH!L1260=TH!$Y$7,M1260=TH!$Y$7),"x","")</f>
        <v/>
      </c>
      <c r="Z1260" s="525" t="str">
        <f>IF(AND(B1260&lt;=NKC!$N$8,B1260&gt;=NKC!$M$8),"x","")</f>
        <v>x</v>
      </c>
      <c r="AA1260" s="535"/>
    </row>
    <row r="1261" spans="1:27" s="503" customFormat="1" ht="15.75" customHeight="1">
      <c r="A1261" s="517" t="str">
        <f>IF(B1261&lt;&gt;"",IF(AND(B1261&gt;=_TM1,B1261&lt;=_TM2,OR(TH!L1261="1111",TH!M1261="1111")),TH!D1261,""),"")</f>
        <v/>
      </c>
      <c r="B1261" s="531">
        <f t="shared" si="119"/>
        <v>3</v>
      </c>
      <c r="C1261" s="315">
        <f t="shared" si="120"/>
        <v>42825</v>
      </c>
      <c r="D1261" s="315" t="s">
        <v>952</v>
      </c>
      <c r="E1261" s="315">
        <v>42825</v>
      </c>
      <c r="F1261" s="249" t="s">
        <v>746</v>
      </c>
      <c r="G1261" s="314" t="s">
        <v>789</v>
      </c>
      <c r="H1261" s="473" t="s">
        <v>284</v>
      </c>
      <c r="I1261" s="307">
        <v>6</v>
      </c>
      <c r="J1261" s="307">
        <v>21265</v>
      </c>
      <c r="K1261" s="532">
        <f t="shared" si="130"/>
        <v>127590</v>
      </c>
      <c r="L1261" s="534" t="s">
        <v>223</v>
      </c>
      <c r="M1261" s="534" t="s">
        <v>162</v>
      </c>
      <c r="N1261" s="525" t="str">
        <f>IF(AND('331-CT'!$E$7=TH!H1261,OR(L1261="331",M1261="331")),"331",IF(AND(OR(L1261="131",M1261="131"),H1261='131-CT'!$E$7),"131",""))</f>
        <v/>
      </c>
      <c r="O1261" s="525" t="str">
        <f>IF(AND($B1261&gt;='111'!$N$11,$B1261&lt;='111'!$O$11,OR($L1261=$O$7,$M1261=$O$7)),"x","")</f>
        <v/>
      </c>
      <c r="P1261" s="525" t="str">
        <f>IF(AND($L1261=$O$7,$B1261&lt;'111'!$N$11),"x","")</f>
        <v/>
      </c>
      <c r="Q1261" s="525" t="str">
        <f>IF(AND($M1261=$O$7,$B1261&lt;'111'!$N$11),"x","")</f>
        <v/>
      </c>
      <c r="R1261" s="525" t="str">
        <f>IF(ISERROR(FIND('112'!$M$9,G1261,1)),"",IF((AND(FIND('112'!$M$9,G1261,1)&gt;=1,$B1261&gt;='112'!$N$8,$B1261&lt;='112'!$O$8,OR($L1261='112'!$I$6,$M1261='112'!$I$6))),"x",""))</f>
        <v/>
      </c>
      <c r="S1261" s="525" t="str">
        <f>IF(ISERROR(FIND('112'!$M$9,G1261,1)),"",IF((AND(LEFT(G1261,2)=LEFT('112'!$M$9,2),B1261&lt;'112'!$N$8,$L1261='112'!$I$6)),"x",""))</f>
        <v/>
      </c>
      <c r="T1261" s="525" t="str">
        <f>IF(ISERROR(FIND('112'!$M$9,G1261,1)),"",IF((AND(RIGHT(G1261,2)=RIGHT('112'!$M$9,2),B1261&lt;'112'!$N$8,$M1261='112'!$I$6)),"x",""))</f>
        <v/>
      </c>
      <c r="U1261" s="525" t="str">
        <f>IF(AND(B1261&gt;='IN-NX'!$P$3,B1261&lt;='IN-NX'!$Q$3,'IN-NX'!$D$7=D1261,OR(LEFT(L1261,2)="15",AND(LEFT(M1261,2)&lt;&gt;"15",LEFT(M1261,2)&lt;&gt;"33"))),"x","")</f>
        <v/>
      </c>
      <c r="V1261" s="525" t="str">
        <f>IF(AND(OR(LEFT(TH!L1261,2)="15",LEFT(TH!M1261,2)="15"),'152-CT'!$J$8=TH!F1261),"x","")</f>
        <v/>
      </c>
      <c r="W1261" s="525" t="str">
        <f>IF(AND(OR(LEFT(TH!L1261,2)="15",LEFT(TH!M1261,2)="15"),TK!$E$7=TH!F1261),"x","")</f>
        <v/>
      </c>
      <c r="X1261" s="525" t="str">
        <f>IF(AND('341-CT'!$E$9=H1261,OR(LEFT(L1261,3)=$X$7,LEFT(M1261,3)=$X$7)),"x","")</f>
        <v/>
      </c>
      <c r="Y1261" s="525" t="str">
        <f>IF(OR(TH!L1261=TH!$Y$7,M1261=TH!$Y$7),"x","")</f>
        <v/>
      </c>
      <c r="Z1261" s="525" t="str">
        <f>IF(AND(B1261&lt;=NKC!$N$8,B1261&gt;=NKC!$M$8),"x","")</f>
        <v>x</v>
      </c>
      <c r="AA1261" s="535"/>
    </row>
    <row r="1262" spans="1:27" s="503" customFormat="1" ht="15.75" customHeight="1">
      <c r="A1262" s="517" t="str">
        <f>IF(B1262&lt;&gt;"",IF(AND(B1262&gt;=_TM1,B1262&lt;=_TM2,OR(TH!L1262="1111",TH!M1262="1111")),TH!D1262,""),"")</f>
        <v/>
      </c>
      <c r="B1262" s="531">
        <f t="shared" si="119"/>
        <v>3</v>
      </c>
      <c r="C1262" s="315">
        <f t="shared" si="120"/>
        <v>42825</v>
      </c>
      <c r="D1262" s="315" t="s">
        <v>952</v>
      </c>
      <c r="E1262" s="315">
        <v>42825</v>
      </c>
      <c r="F1262" s="249" t="s">
        <v>712</v>
      </c>
      <c r="G1262" s="314" t="s">
        <v>789</v>
      </c>
      <c r="H1262" s="473" t="s">
        <v>284</v>
      </c>
      <c r="I1262" s="307">
        <v>36</v>
      </c>
      <c r="J1262" s="307">
        <v>49256</v>
      </c>
      <c r="K1262" s="532">
        <f t="shared" si="130"/>
        <v>1773216</v>
      </c>
      <c r="L1262" s="534" t="s">
        <v>223</v>
      </c>
      <c r="M1262" s="534" t="s">
        <v>162</v>
      </c>
      <c r="N1262" s="525" t="str">
        <f>IF(AND('331-CT'!$E$7=TH!H1262,OR(L1262="331",M1262="331")),"331",IF(AND(OR(L1262="131",M1262="131"),H1262='131-CT'!$E$7),"131",""))</f>
        <v/>
      </c>
      <c r="O1262" s="525" t="str">
        <f>IF(AND($B1262&gt;='111'!$N$11,$B1262&lt;='111'!$O$11,OR($L1262=$O$7,$M1262=$O$7)),"x","")</f>
        <v/>
      </c>
      <c r="P1262" s="525" t="str">
        <f>IF(AND($L1262=$O$7,$B1262&lt;'111'!$N$11),"x","")</f>
        <v/>
      </c>
      <c r="Q1262" s="525" t="str">
        <f>IF(AND($M1262=$O$7,$B1262&lt;'111'!$N$11),"x","")</f>
        <v/>
      </c>
      <c r="R1262" s="525" t="str">
        <f>IF(ISERROR(FIND('112'!$M$9,G1262,1)),"",IF((AND(FIND('112'!$M$9,G1262,1)&gt;=1,$B1262&gt;='112'!$N$8,$B1262&lt;='112'!$O$8,OR($L1262='112'!$I$6,$M1262='112'!$I$6))),"x",""))</f>
        <v/>
      </c>
      <c r="S1262" s="525" t="str">
        <f>IF(ISERROR(FIND('112'!$M$9,G1262,1)),"",IF((AND(LEFT(G1262,2)=LEFT('112'!$M$9,2),B1262&lt;'112'!$N$8,$L1262='112'!$I$6)),"x",""))</f>
        <v/>
      </c>
      <c r="T1262" s="525" t="str">
        <f>IF(ISERROR(FIND('112'!$M$9,G1262,1)),"",IF((AND(RIGHT(G1262,2)=RIGHT('112'!$M$9,2),B1262&lt;'112'!$N$8,$M1262='112'!$I$6)),"x",""))</f>
        <v/>
      </c>
      <c r="U1262" s="525" t="str">
        <f>IF(AND(B1262&gt;='IN-NX'!$P$3,B1262&lt;='IN-NX'!$Q$3,'IN-NX'!$D$7=D1262,OR(LEFT(L1262,2)="15",AND(LEFT(M1262,2)&lt;&gt;"15",LEFT(M1262,2)&lt;&gt;"33"))),"x","")</f>
        <v/>
      </c>
      <c r="V1262" s="525" t="str">
        <f>IF(AND(OR(LEFT(TH!L1262,2)="15",LEFT(TH!M1262,2)="15"),'152-CT'!$J$8=TH!F1262),"x","")</f>
        <v/>
      </c>
      <c r="W1262" s="525" t="str">
        <f>IF(AND(OR(LEFT(TH!L1262,2)="15",LEFT(TH!M1262,2)="15"),TK!$E$7=TH!F1262),"x","")</f>
        <v/>
      </c>
      <c r="X1262" s="525" t="str">
        <f>IF(AND('341-CT'!$E$9=H1262,OR(LEFT(L1262,3)=$X$7,LEFT(M1262,3)=$X$7)),"x","")</f>
        <v/>
      </c>
      <c r="Y1262" s="525" t="str">
        <f>IF(OR(TH!L1262=TH!$Y$7,M1262=TH!$Y$7),"x","")</f>
        <v/>
      </c>
      <c r="Z1262" s="525" t="str">
        <f>IF(AND(B1262&lt;=NKC!$N$8,B1262&gt;=NKC!$M$8),"x","")</f>
        <v>x</v>
      </c>
      <c r="AA1262" s="535"/>
    </row>
    <row r="1263" spans="1:27" s="503" customFormat="1" ht="15.75" customHeight="1">
      <c r="A1263" s="517" t="str">
        <f>IF(B1263&lt;&gt;"",IF(AND(B1263&gt;=_TM1,B1263&lt;=_TM2,OR(TH!L1263="1111",TH!M1263="1111")),TH!D1263,""),"")</f>
        <v/>
      </c>
      <c r="B1263" s="531">
        <f t="shared" si="119"/>
        <v>3</v>
      </c>
      <c r="C1263" s="315">
        <f t="shared" si="120"/>
        <v>42825</v>
      </c>
      <c r="D1263" s="315" t="s">
        <v>952</v>
      </c>
      <c r="E1263" s="315">
        <v>42825</v>
      </c>
      <c r="F1263" s="249" t="s">
        <v>715</v>
      </c>
      <c r="G1263" s="314" t="s">
        <v>789</v>
      </c>
      <c r="H1263" s="473" t="s">
        <v>284</v>
      </c>
      <c r="I1263" s="307">
        <v>48</v>
      </c>
      <c r="J1263" s="307">
        <v>37191</v>
      </c>
      <c r="K1263" s="532">
        <f t="shared" si="130"/>
        <v>1785168</v>
      </c>
      <c r="L1263" s="534" t="s">
        <v>223</v>
      </c>
      <c r="M1263" s="534" t="s">
        <v>162</v>
      </c>
      <c r="N1263" s="525" t="str">
        <f>IF(AND('331-CT'!$E$7=TH!H1263,OR(L1263="331",M1263="331")),"331",IF(AND(OR(L1263="131",M1263="131"),H1263='131-CT'!$E$7),"131",""))</f>
        <v/>
      </c>
      <c r="O1263" s="525" t="str">
        <f>IF(AND($B1263&gt;='111'!$N$11,$B1263&lt;='111'!$O$11,OR($L1263=$O$7,$M1263=$O$7)),"x","")</f>
        <v/>
      </c>
      <c r="P1263" s="525" t="str">
        <f>IF(AND($L1263=$O$7,$B1263&lt;'111'!$N$11),"x","")</f>
        <v/>
      </c>
      <c r="Q1263" s="525" t="str">
        <f>IF(AND($M1263=$O$7,$B1263&lt;'111'!$N$11),"x","")</f>
        <v/>
      </c>
      <c r="R1263" s="525" t="str">
        <f>IF(ISERROR(FIND('112'!$M$9,G1263,1)),"",IF((AND(FIND('112'!$M$9,G1263,1)&gt;=1,$B1263&gt;='112'!$N$8,$B1263&lt;='112'!$O$8,OR($L1263='112'!$I$6,$M1263='112'!$I$6))),"x",""))</f>
        <v/>
      </c>
      <c r="S1263" s="525" t="str">
        <f>IF(ISERROR(FIND('112'!$M$9,G1263,1)),"",IF((AND(LEFT(G1263,2)=LEFT('112'!$M$9,2),B1263&lt;'112'!$N$8,$L1263='112'!$I$6)),"x",""))</f>
        <v/>
      </c>
      <c r="T1263" s="525" t="str">
        <f>IF(ISERROR(FIND('112'!$M$9,G1263,1)),"",IF((AND(RIGHT(G1263,2)=RIGHT('112'!$M$9,2),B1263&lt;'112'!$N$8,$M1263='112'!$I$6)),"x",""))</f>
        <v/>
      </c>
      <c r="U1263" s="525" t="str">
        <f>IF(AND(B1263&gt;='IN-NX'!$P$3,B1263&lt;='IN-NX'!$Q$3,'IN-NX'!$D$7=D1263,OR(LEFT(L1263,2)="15",AND(LEFT(M1263,2)&lt;&gt;"15",LEFT(M1263,2)&lt;&gt;"33"))),"x","")</f>
        <v/>
      </c>
      <c r="V1263" s="525" t="str">
        <f>IF(AND(OR(LEFT(TH!L1263,2)="15",LEFT(TH!M1263,2)="15"),'152-CT'!$J$8=TH!F1263),"x","")</f>
        <v/>
      </c>
      <c r="W1263" s="525" t="str">
        <f>IF(AND(OR(LEFT(TH!L1263,2)="15",LEFT(TH!M1263,2)="15"),TK!$E$7=TH!F1263),"x","")</f>
        <v/>
      </c>
      <c r="X1263" s="525" t="str">
        <f>IF(AND('341-CT'!$E$9=H1263,OR(LEFT(L1263,3)=$X$7,LEFT(M1263,3)=$X$7)),"x","")</f>
        <v/>
      </c>
      <c r="Y1263" s="525" t="str">
        <f>IF(OR(TH!L1263=TH!$Y$7,M1263=TH!$Y$7),"x","")</f>
        <v/>
      </c>
      <c r="Z1263" s="525" t="str">
        <f>IF(AND(B1263&lt;=NKC!$N$8,B1263&gt;=NKC!$M$8),"x","")</f>
        <v>x</v>
      </c>
      <c r="AA1263" s="535"/>
    </row>
    <row r="1264" spans="1:27" s="503" customFormat="1" ht="15.75" customHeight="1">
      <c r="A1264" s="517" t="str">
        <f>IF(B1264&lt;&gt;"",IF(AND(B1264&gt;=_TM1,B1264&lt;=_TM2,OR(TH!L1264="1111",TH!M1264="1111")),TH!D1264,""),"")</f>
        <v/>
      </c>
      <c r="B1264" s="531">
        <f t="shared" si="119"/>
        <v>3</v>
      </c>
      <c r="C1264" s="315">
        <f t="shared" ref="C1264:C1273" si="131">E1264</f>
        <v>42825</v>
      </c>
      <c r="D1264" s="315" t="s">
        <v>952</v>
      </c>
      <c r="E1264" s="315">
        <v>42825</v>
      </c>
      <c r="F1264" s="249" t="s">
        <v>718</v>
      </c>
      <c r="G1264" s="314" t="s">
        <v>789</v>
      </c>
      <c r="H1264" s="473" t="s">
        <v>284</v>
      </c>
      <c r="I1264" s="307">
        <v>24</v>
      </c>
      <c r="J1264" s="307">
        <v>25131</v>
      </c>
      <c r="K1264" s="532">
        <f t="shared" ref="K1264:K1273" si="132">ROUND(I1264*J1264,0)</f>
        <v>603144</v>
      </c>
      <c r="L1264" s="534" t="s">
        <v>223</v>
      </c>
      <c r="M1264" s="534" t="s">
        <v>162</v>
      </c>
      <c r="N1264" s="525" t="str">
        <f>IF(AND('331-CT'!$E$7=TH!H1264,OR(L1264="331",M1264="331")),"331",IF(AND(OR(L1264="131",M1264="131"),H1264='131-CT'!$E$7),"131",""))</f>
        <v/>
      </c>
      <c r="O1264" s="525" t="str">
        <f>IF(AND($B1264&gt;='111'!$N$11,$B1264&lt;='111'!$O$11,OR($L1264=$O$7,$M1264=$O$7)),"x","")</f>
        <v/>
      </c>
      <c r="P1264" s="525" t="str">
        <f>IF(AND($L1264=$O$7,$B1264&lt;'111'!$N$11),"x","")</f>
        <v/>
      </c>
      <c r="Q1264" s="525" t="str">
        <f>IF(AND($M1264=$O$7,$B1264&lt;'111'!$N$11),"x","")</f>
        <v/>
      </c>
      <c r="R1264" s="525" t="str">
        <f>IF(ISERROR(FIND('112'!$M$9,G1264,1)),"",IF((AND(FIND('112'!$M$9,G1264,1)&gt;=1,$B1264&gt;='112'!$N$8,$B1264&lt;='112'!$O$8,OR($L1264='112'!$I$6,$M1264='112'!$I$6))),"x",""))</f>
        <v/>
      </c>
      <c r="S1264" s="525" t="str">
        <f>IF(ISERROR(FIND('112'!$M$9,G1264,1)),"",IF((AND(LEFT(G1264,2)=LEFT('112'!$M$9,2),B1264&lt;'112'!$N$8,$L1264='112'!$I$6)),"x",""))</f>
        <v/>
      </c>
      <c r="T1264" s="525" t="str">
        <f>IF(ISERROR(FIND('112'!$M$9,G1264,1)),"",IF((AND(RIGHT(G1264,2)=RIGHT('112'!$M$9,2),B1264&lt;'112'!$N$8,$M1264='112'!$I$6)),"x",""))</f>
        <v/>
      </c>
      <c r="U1264" s="525" t="str">
        <f>IF(AND(B1264&gt;='IN-NX'!$P$3,B1264&lt;='IN-NX'!$Q$3,'IN-NX'!$D$7=D1264,OR(LEFT(L1264,2)="15",AND(LEFT(M1264,2)&lt;&gt;"15",LEFT(M1264,2)&lt;&gt;"33"))),"x","")</f>
        <v/>
      </c>
      <c r="V1264" s="525" t="str">
        <f>IF(AND(OR(LEFT(TH!L1264,2)="15",LEFT(TH!M1264,2)="15"),'152-CT'!$J$8=TH!F1264),"x","")</f>
        <v/>
      </c>
      <c r="W1264" s="525" t="str">
        <f>IF(AND(OR(LEFT(TH!L1264,2)="15",LEFT(TH!M1264,2)="15"),TK!$E$7=TH!F1264),"x","")</f>
        <v/>
      </c>
      <c r="X1264" s="525" t="str">
        <f>IF(AND('341-CT'!$E$9=H1264,OR(LEFT(L1264,3)=$X$7,LEFT(M1264,3)=$X$7)),"x","")</f>
        <v/>
      </c>
      <c r="Y1264" s="525" t="str">
        <f>IF(OR(TH!L1264=TH!$Y$7,M1264=TH!$Y$7),"x","")</f>
        <v/>
      </c>
      <c r="Z1264" s="525" t="str">
        <f>IF(AND(B1264&lt;=NKC!$N$8,B1264&gt;=NKC!$M$8),"x","")</f>
        <v>x</v>
      </c>
      <c r="AA1264" s="535"/>
    </row>
    <row r="1265" spans="1:27" s="503" customFormat="1" ht="15.75" customHeight="1">
      <c r="A1265" s="517" t="str">
        <f>IF(B1265&lt;&gt;"",IF(AND(B1265&gt;=_TM1,B1265&lt;=_TM2,OR(TH!L1265="1111",TH!M1265="1111")),TH!D1265,""),"")</f>
        <v/>
      </c>
      <c r="B1265" s="531">
        <f t="shared" si="119"/>
        <v>3</v>
      </c>
      <c r="C1265" s="315">
        <f t="shared" si="131"/>
        <v>42825</v>
      </c>
      <c r="D1265" s="315" t="s">
        <v>952</v>
      </c>
      <c r="E1265" s="315">
        <v>42825</v>
      </c>
      <c r="F1265" s="249" t="s">
        <v>712</v>
      </c>
      <c r="G1265" s="314" t="s">
        <v>789</v>
      </c>
      <c r="H1265" s="473" t="s">
        <v>284</v>
      </c>
      <c r="I1265" s="307">
        <v>36</v>
      </c>
      <c r="J1265" s="307">
        <v>46805</v>
      </c>
      <c r="K1265" s="532">
        <f t="shared" si="132"/>
        <v>1684980</v>
      </c>
      <c r="L1265" s="534" t="s">
        <v>223</v>
      </c>
      <c r="M1265" s="534" t="s">
        <v>162</v>
      </c>
      <c r="N1265" s="525" t="str">
        <f>IF(AND('331-CT'!$E$7=TH!H1265,OR(L1265="331",M1265="331")),"331",IF(AND(OR(L1265="131",M1265="131"),H1265='131-CT'!$E$7),"131",""))</f>
        <v/>
      </c>
      <c r="O1265" s="525" t="str">
        <f>IF(AND($B1265&gt;='111'!$N$11,$B1265&lt;='111'!$O$11,OR($L1265=$O$7,$M1265=$O$7)),"x","")</f>
        <v/>
      </c>
      <c r="P1265" s="525" t="str">
        <f>IF(AND($L1265=$O$7,$B1265&lt;'111'!$N$11),"x","")</f>
        <v/>
      </c>
      <c r="Q1265" s="525" t="str">
        <f>IF(AND($M1265=$O$7,$B1265&lt;'111'!$N$11),"x","")</f>
        <v/>
      </c>
      <c r="R1265" s="525" t="str">
        <f>IF(ISERROR(FIND('112'!$M$9,G1265,1)),"",IF((AND(FIND('112'!$M$9,G1265,1)&gt;=1,$B1265&gt;='112'!$N$8,$B1265&lt;='112'!$O$8,OR($L1265='112'!$I$6,$M1265='112'!$I$6))),"x",""))</f>
        <v/>
      </c>
      <c r="S1265" s="525" t="str">
        <f>IF(ISERROR(FIND('112'!$M$9,G1265,1)),"",IF((AND(LEFT(G1265,2)=LEFT('112'!$M$9,2),B1265&lt;'112'!$N$8,$L1265='112'!$I$6)),"x",""))</f>
        <v/>
      </c>
      <c r="T1265" s="525" t="str">
        <f>IF(ISERROR(FIND('112'!$M$9,G1265,1)),"",IF((AND(RIGHT(G1265,2)=RIGHT('112'!$M$9,2),B1265&lt;'112'!$N$8,$M1265='112'!$I$6)),"x",""))</f>
        <v/>
      </c>
      <c r="U1265" s="525" t="str">
        <f>IF(AND(B1265&gt;='IN-NX'!$P$3,B1265&lt;='IN-NX'!$Q$3,'IN-NX'!$D$7=D1265,OR(LEFT(L1265,2)="15",AND(LEFT(M1265,2)&lt;&gt;"15",LEFT(M1265,2)&lt;&gt;"33"))),"x","")</f>
        <v/>
      </c>
      <c r="V1265" s="525" t="str">
        <f>IF(AND(OR(LEFT(TH!L1265,2)="15",LEFT(TH!M1265,2)="15"),'152-CT'!$J$8=TH!F1265),"x","")</f>
        <v/>
      </c>
      <c r="W1265" s="525" t="str">
        <f>IF(AND(OR(LEFT(TH!L1265,2)="15",LEFT(TH!M1265,2)="15"),TK!$E$7=TH!F1265),"x","")</f>
        <v/>
      </c>
      <c r="X1265" s="525" t="str">
        <f>IF(AND('341-CT'!$E$9=H1265,OR(LEFT(L1265,3)=$X$7,LEFT(M1265,3)=$X$7)),"x","")</f>
        <v/>
      </c>
      <c r="Y1265" s="525" t="str">
        <f>IF(OR(TH!L1265=TH!$Y$7,M1265=TH!$Y$7),"x","")</f>
        <v/>
      </c>
      <c r="Z1265" s="525" t="str">
        <f>IF(AND(B1265&lt;=NKC!$N$8,B1265&gt;=NKC!$M$8),"x","")</f>
        <v>x</v>
      </c>
      <c r="AA1265" s="535"/>
    </row>
    <row r="1266" spans="1:27" s="503" customFormat="1" ht="15.75" customHeight="1">
      <c r="A1266" s="517" t="str">
        <f>IF(B1266&lt;&gt;"",IF(AND(B1266&gt;=_TM1,B1266&lt;=_TM2,OR(TH!L1266="1111",TH!M1266="1111")),TH!D1266,""),"")</f>
        <v/>
      </c>
      <c r="B1266" s="531">
        <f t="shared" si="119"/>
        <v>3</v>
      </c>
      <c r="C1266" s="315">
        <f t="shared" si="131"/>
        <v>42825</v>
      </c>
      <c r="D1266" s="315" t="s">
        <v>953</v>
      </c>
      <c r="E1266" s="315">
        <v>42825</v>
      </c>
      <c r="F1266" s="249" t="s">
        <v>707</v>
      </c>
      <c r="G1266" s="314" t="s">
        <v>789</v>
      </c>
      <c r="H1266" s="473" t="s">
        <v>284</v>
      </c>
      <c r="I1266" s="307">
        <v>16</v>
      </c>
      <c r="J1266" s="307">
        <v>30353</v>
      </c>
      <c r="K1266" s="532">
        <f t="shared" si="132"/>
        <v>485648</v>
      </c>
      <c r="L1266" s="534" t="s">
        <v>223</v>
      </c>
      <c r="M1266" s="534" t="s">
        <v>162</v>
      </c>
      <c r="N1266" s="525" t="str">
        <f>IF(AND('331-CT'!$E$7=TH!H1266,OR(L1266="331",M1266="331")),"331",IF(AND(OR(L1266="131",M1266="131"),H1266='131-CT'!$E$7),"131",""))</f>
        <v/>
      </c>
      <c r="O1266" s="525" t="str">
        <f>IF(AND($B1266&gt;='111'!$N$11,$B1266&lt;='111'!$O$11,OR($L1266=$O$7,$M1266=$O$7)),"x","")</f>
        <v/>
      </c>
      <c r="P1266" s="525" t="str">
        <f>IF(AND($L1266=$O$7,$B1266&lt;'111'!$N$11),"x","")</f>
        <v/>
      </c>
      <c r="Q1266" s="525" t="str">
        <f>IF(AND($M1266=$O$7,$B1266&lt;'111'!$N$11),"x","")</f>
        <v/>
      </c>
      <c r="R1266" s="525" t="str">
        <f>IF(ISERROR(FIND('112'!$M$9,G1266,1)),"",IF((AND(FIND('112'!$M$9,G1266,1)&gt;=1,$B1266&gt;='112'!$N$8,$B1266&lt;='112'!$O$8,OR($L1266='112'!$I$6,$M1266='112'!$I$6))),"x",""))</f>
        <v/>
      </c>
      <c r="S1266" s="525" t="str">
        <f>IF(ISERROR(FIND('112'!$M$9,G1266,1)),"",IF((AND(LEFT(G1266,2)=LEFT('112'!$M$9,2),B1266&lt;'112'!$N$8,$L1266='112'!$I$6)),"x",""))</f>
        <v/>
      </c>
      <c r="T1266" s="525" t="str">
        <f>IF(ISERROR(FIND('112'!$M$9,G1266,1)),"",IF((AND(RIGHT(G1266,2)=RIGHT('112'!$M$9,2),B1266&lt;'112'!$N$8,$M1266='112'!$I$6)),"x",""))</f>
        <v/>
      </c>
      <c r="U1266" s="525" t="str">
        <f>IF(AND(B1266&gt;='IN-NX'!$P$3,B1266&lt;='IN-NX'!$Q$3,'IN-NX'!$D$7=D1266,OR(LEFT(L1266,2)="15",AND(LEFT(M1266,2)&lt;&gt;"15",LEFT(M1266,2)&lt;&gt;"33"))),"x","")</f>
        <v/>
      </c>
      <c r="V1266" s="525" t="str">
        <f>IF(AND(OR(LEFT(TH!L1266,2)="15",LEFT(TH!M1266,2)="15"),'152-CT'!$J$8=TH!F1266),"x","")</f>
        <v/>
      </c>
      <c r="W1266" s="525" t="str">
        <f>IF(AND(OR(LEFT(TH!L1266,2)="15",LEFT(TH!M1266,2)="15"),TK!$E$7=TH!F1266),"x","")</f>
        <v/>
      </c>
      <c r="X1266" s="525" t="str">
        <f>IF(AND('341-CT'!$E$9=H1266,OR(LEFT(L1266,3)=$X$7,LEFT(M1266,3)=$X$7)),"x","")</f>
        <v/>
      </c>
      <c r="Y1266" s="525" t="str">
        <f>IF(OR(TH!L1266=TH!$Y$7,M1266=TH!$Y$7),"x","")</f>
        <v/>
      </c>
      <c r="Z1266" s="525" t="str">
        <f>IF(AND(B1266&lt;=NKC!$N$8,B1266&gt;=NKC!$M$8),"x","")</f>
        <v>x</v>
      </c>
      <c r="AA1266" s="535"/>
    </row>
    <row r="1267" spans="1:27" s="503" customFormat="1" ht="15.75" customHeight="1">
      <c r="A1267" s="517" t="str">
        <f>IF(B1267&lt;&gt;"",IF(AND(B1267&gt;=_TM1,B1267&lt;=_TM2,OR(TH!L1267="1111",TH!M1267="1111")),TH!D1267,""),"")</f>
        <v/>
      </c>
      <c r="B1267" s="531">
        <f t="shared" si="119"/>
        <v>3</v>
      </c>
      <c r="C1267" s="315">
        <f t="shared" si="131"/>
        <v>42825</v>
      </c>
      <c r="D1267" s="315" t="s">
        <v>953</v>
      </c>
      <c r="E1267" s="315">
        <v>42825</v>
      </c>
      <c r="F1267" s="249" t="s">
        <v>708</v>
      </c>
      <c r="G1267" s="314" t="s">
        <v>789</v>
      </c>
      <c r="H1267" s="473" t="s">
        <v>284</v>
      </c>
      <c r="I1267" s="307">
        <v>48</v>
      </c>
      <c r="J1267" s="307">
        <v>36391</v>
      </c>
      <c r="K1267" s="532">
        <f t="shared" si="132"/>
        <v>1746768</v>
      </c>
      <c r="L1267" s="534" t="s">
        <v>223</v>
      </c>
      <c r="M1267" s="534" t="s">
        <v>162</v>
      </c>
      <c r="N1267" s="525" t="str">
        <f>IF(AND('331-CT'!$E$7=TH!H1267,OR(L1267="331",M1267="331")),"331",IF(AND(OR(L1267="131",M1267="131"),H1267='131-CT'!$E$7),"131",""))</f>
        <v/>
      </c>
      <c r="O1267" s="525" t="str">
        <f>IF(AND($B1267&gt;='111'!$N$11,$B1267&lt;='111'!$O$11,OR($L1267=$O$7,$M1267=$O$7)),"x","")</f>
        <v/>
      </c>
      <c r="P1267" s="525" t="str">
        <f>IF(AND($L1267=$O$7,$B1267&lt;'111'!$N$11),"x","")</f>
        <v/>
      </c>
      <c r="Q1267" s="525" t="str">
        <f>IF(AND($M1267=$O$7,$B1267&lt;'111'!$N$11),"x","")</f>
        <v/>
      </c>
      <c r="R1267" s="525" t="str">
        <f>IF(ISERROR(FIND('112'!$M$9,G1267,1)),"",IF((AND(FIND('112'!$M$9,G1267,1)&gt;=1,$B1267&gt;='112'!$N$8,$B1267&lt;='112'!$O$8,OR($L1267='112'!$I$6,$M1267='112'!$I$6))),"x",""))</f>
        <v/>
      </c>
      <c r="S1267" s="525" t="str">
        <f>IF(ISERROR(FIND('112'!$M$9,G1267,1)),"",IF((AND(LEFT(G1267,2)=LEFT('112'!$M$9,2),B1267&lt;'112'!$N$8,$L1267='112'!$I$6)),"x",""))</f>
        <v/>
      </c>
      <c r="T1267" s="525" t="str">
        <f>IF(ISERROR(FIND('112'!$M$9,G1267,1)),"",IF((AND(RIGHT(G1267,2)=RIGHT('112'!$M$9,2),B1267&lt;'112'!$N$8,$M1267='112'!$I$6)),"x",""))</f>
        <v/>
      </c>
      <c r="U1267" s="525" t="str">
        <f>IF(AND(B1267&gt;='IN-NX'!$P$3,B1267&lt;='IN-NX'!$Q$3,'IN-NX'!$D$7=D1267,OR(LEFT(L1267,2)="15",AND(LEFT(M1267,2)&lt;&gt;"15",LEFT(M1267,2)&lt;&gt;"33"))),"x","")</f>
        <v/>
      </c>
      <c r="V1267" s="525" t="str">
        <f>IF(AND(OR(LEFT(TH!L1267,2)="15",LEFT(TH!M1267,2)="15"),'152-CT'!$J$8=TH!F1267),"x","")</f>
        <v/>
      </c>
      <c r="W1267" s="525" t="str">
        <f>IF(AND(OR(LEFT(TH!L1267,2)="15",LEFT(TH!M1267,2)="15"),TK!$E$7=TH!F1267),"x","")</f>
        <v/>
      </c>
      <c r="X1267" s="525" t="str">
        <f>IF(AND('341-CT'!$E$9=H1267,OR(LEFT(L1267,3)=$X$7,LEFT(M1267,3)=$X$7)),"x","")</f>
        <v/>
      </c>
      <c r="Y1267" s="525" t="str">
        <f>IF(OR(TH!L1267=TH!$Y$7,M1267=TH!$Y$7),"x","")</f>
        <v/>
      </c>
      <c r="Z1267" s="525" t="str">
        <f>IF(AND(B1267&lt;=NKC!$N$8,B1267&gt;=NKC!$M$8),"x","")</f>
        <v>x</v>
      </c>
      <c r="AA1267" s="535"/>
    </row>
    <row r="1268" spans="1:27" s="503" customFormat="1" ht="15.75" customHeight="1">
      <c r="A1268" s="517" t="str">
        <f>IF(B1268&lt;&gt;"",IF(AND(B1268&gt;=_TM1,B1268&lt;=_TM2,OR(TH!L1268="1111",TH!M1268="1111")),TH!D1268,""),"")</f>
        <v/>
      </c>
      <c r="B1268" s="531">
        <f t="shared" si="119"/>
        <v>3</v>
      </c>
      <c r="C1268" s="315">
        <f t="shared" si="131"/>
        <v>42825</v>
      </c>
      <c r="D1268" s="315" t="s">
        <v>953</v>
      </c>
      <c r="E1268" s="315">
        <v>42825</v>
      </c>
      <c r="F1268" s="249" t="s">
        <v>709</v>
      </c>
      <c r="G1268" s="314" t="s">
        <v>789</v>
      </c>
      <c r="H1268" s="473" t="s">
        <v>284</v>
      </c>
      <c r="I1268" s="307">
        <v>48</v>
      </c>
      <c r="J1268" s="307">
        <v>41174</v>
      </c>
      <c r="K1268" s="532">
        <f t="shared" si="132"/>
        <v>1976352</v>
      </c>
      <c r="L1268" s="534" t="s">
        <v>223</v>
      </c>
      <c r="M1268" s="534" t="s">
        <v>162</v>
      </c>
      <c r="N1268" s="525" t="str">
        <f>IF(AND('331-CT'!$E$7=TH!H1268,OR(L1268="331",M1268="331")),"331",IF(AND(OR(L1268="131",M1268="131"),H1268='131-CT'!$E$7),"131",""))</f>
        <v/>
      </c>
      <c r="O1268" s="525" t="str">
        <f>IF(AND($B1268&gt;='111'!$N$11,$B1268&lt;='111'!$O$11,OR($L1268=$O$7,$M1268=$O$7)),"x","")</f>
        <v/>
      </c>
      <c r="P1268" s="525" t="str">
        <f>IF(AND($L1268=$O$7,$B1268&lt;'111'!$N$11),"x","")</f>
        <v/>
      </c>
      <c r="Q1268" s="525" t="str">
        <f>IF(AND($M1268=$O$7,$B1268&lt;'111'!$N$11),"x","")</f>
        <v/>
      </c>
      <c r="R1268" s="525" t="str">
        <f>IF(ISERROR(FIND('112'!$M$9,G1268,1)),"",IF((AND(FIND('112'!$M$9,G1268,1)&gt;=1,$B1268&gt;='112'!$N$8,$B1268&lt;='112'!$O$8,OR($L1268='112'!$I$6,$M1268='112'!$I$6))),"x",""))</f>
        <v/>
      </c>
      <c r="S1268" s="525" t="str">
        <f>IF(ISERROR(FIND('112'!$M$9,G1268,1)),"",IF((AND(LEFT(G1268,2)=LEFT('112'!$M$9,2),B1268&lt;'112'!$N$8,$L1268='112'!$I$6)),"x",""))</f>
        <v/>
      </c>
      <c r="T1268" s="525" t="str">
        <f>IF(ISERROR(FIND('112'!$M$9,G1268,1)),"",IF((AND(RIGHT(G1268,2)=RIGHT('112'!$M$9,2),B1268&lt;'112'!$N$8,$M1268='112'!$I$6)),"x",""))</f>
        <v/>
      </c>
      <c r="U1268" s="525" t="str">
        <f>IF(AND(B1268&gt;='IN-NX'!$P$3,B1268&lt;='IN-NX'!$Q$3,'IN-NX'!$D$7=D1268,OR(LEFT(L1268,2)="15",AND(LEFT(M1268,2)&lt;&gt;"15",LEFT(M1268,2)&lt;&gt;"33"))),"x","")</f>
        <v/>
      </c>
      <c r="V1268" s="525" t="str">
        <f>IF(AND(OR(LEFT(TH!L1268,2)="15",LEFT(TH!M1268,2)="15"),'152-CT'!$J$8=TH!F1268),"x","")</f>
        <v/>
      </c>
      <c r="W1268" s="525" t="str">
        <f>IF(AND(OR(LEFT(TH!L1268,2)="15",LEFT(TH!M1268,2)="15"),TK!$E$7=TH!F1268),"x","")</f>
        <v/>
      </c>
      <c r="X1268" s="525" t="str">
        <f>IF(AND('341-CT'!$E$9=H1268,OR(LEFT(L1268,3)=$X$7,LEFT(M1268,3)=$X$7)),"x","")</f>
        <v/>
      </c>
      <c r="Y1268" s="525" t="str">
        <f>IF(OR(TH!L1268=TH!$Y$7,M1268=TH!$Y$7),"x","")</f>
        <v/>
      </c>
      <c r="Z1268" s="525" t="str">
        <f>IF(AND(B1268&lt;=NKC!$N$8,B1268&gt;=NKC!$M$8),"x","")</f>
        <v>x</v>
      </c>
      <c r="AA1268" s="535"/>
    </row>
    <row r="1269" spans="1:27" s="503" customFormat="1" ht="15.75" customHeight="1">
      <c r="A1269" s="517" t="str">
        <f>IF(B1269&lt;&gt;"",IF(AND(B1269&gt;=_TM1,B1269&lt;=_TM2,OR(TH!L1269="1111",TH!M1269="1111")),TH!D1269,""),"")</f>
        <v/>
      </c>
      <c r="B1269" s="531">
        <f t="shared" si="119"/>
        <v>3</v>
      </c>
      <c r="C1269" s="315">
        <f t="shared" si="131"/>
        <v>42825</v>
      </c>
      <c r="D1269" s="315" t="s">
        <v>953</v>
      </c>
      <c r="E1269" s="315">
        <v>42825</v>
      </c>
      <c r="F1269" s="249" t="s">
        <v>713</v>
      </c>
      <c r="G1269" s="314" t="s">
        <v>789</v>
      </c>
      <c r="H1269" s="473" t="s">
        <v>284</v>
      </c>
      <c r="I1269" s="307">
        <v>30</v>
      </c>
      <c r="J1269" s="307">
        <v>33844</v>
      </c>
      <c r="K1269" s="532">
        <f t="shared" si="132"/>
        <v>1015320</v>
      </c>
      <c r="L1269" s="534" t="s">
        <v>223</v>
      </c>
      <c r="M1269" s="534" t="s">
        <v>162</v>
      </c>
      <c r="N1269" s="525" t="str">
        <f>IF(AND('331-CT'!$E$7=TH!H1269,OR(L1269="331",M1269="331")),"331",IF(AND(OR(L1269="131",M1269="131"),H1269='131-CT'!$E$7),"131",""))</f>
        <v/>
      </c>
      <c r="O1269" s="525" t="str">
        <f>IF(AND($B1269&gt;='111'!$N$11,$B1269&lt;='111'!$O$11,OR($L1269=$O$7,$M1269=$O$7)),"x","")</f>
        <v/>
      </c>
      <c r="P1269" s="525" t="str">
        <f>IF(AND($L1269=$O$7,$B1269&lt;'111'!$N$11),"x","")</f>
        <v/>
      </c>
      <c r="Q1269" s="525" t="str">
        <f>IF(AND($M1269=$O$7,$B1269&lt;'111'!$N$11),"x","")</f>
        <v/>
      </c>
      <c r="R1269" s="525" t="str">
        <f>IF(ISERROR(FIND('112'!$M$9,G1269,1)),"",IF((AND(FIND('112'!$M$9,G1269,1)&gt;=1,$B1269&gt;='112'!$N$8,$B1269&lt;='112'!$O$8,OR($L1269='112'!$I$6,$M1269='112'!$I$6))),"x",""))</f>
        <v/>
      </c>
      <c r="S1269" s="525" t="str">
        <f>IF(ISERROR(FIND('112'!$M$9,G1269,1)),"",IF((AND(LEFT(G1269,2)=LEFT('112'!$M$9,2),B1269&lt;'112'!$N$8,$L1269='112'!$I$6)),"x",""))</f>
        <v/>
      </c>
      <c r="T1269" s="525" t="str">
        <f>IF(ISERROR(FIND('112'!$M$9,G1269,1)),"",IF((AND(RIGHT(G1269,2)=RIGHT('112'!$M$9,2),B1269&lt;'112'!$N$8,$M1269='112'!$I$6)),"x",""))</f>
        <v/>
      </c>
      <c r="U1269" s="525" t="str">
        <f>IF(AND(B1269&gt;='IN-NX'!$P$3,B1269&lt;='IN-NX'!$Q$3,'IN-NX'!$D$7=D1269,OR(LEFT(L1269,2)="15",AND(LEFT(M1269,2)&lt;&gt;"15",LEFT(M1269,2)&lt;&gt;"33"))),"x","")</f>
        <v/>
      </c>
      <c r="V1269" s="525" t="str">
        <f>IF(AND(OR(LEFT(TH!L1269,2)="15",LEFT(TH!M1269,2)="15"),'152-CT'!$J$8=TH!F1269),"x","")</f>
        <v/>
      </c>
      <c r="W1269" s="525" t="str">
        <f>IF(AND(OR(LEFT(TH!L1269,2)="15",LEFT(TH!M1269,2)="15"),TK!$E$7=TH!F1269),"x","")</f>
        <v/>
      </c>
      <c r="X1269" s="525" t="str">
        <f>IF(AND('341-CT'!$E$9=H1269,OR(LEFT(L1269,3)=$X$7,LEFT(M1269,3)=$X$7)),"x","")</f>
        <v/>
      </c>
      <c r="Y1269" s="525" t="str">
        <f>IF(OR(TH!L1269=TH!$Y$7,M1269=TH!$Y$7),"x","")</f>
        <v/>
      </c>
      <c r="Z1269" s="525" t="str">
        <f>IF(AND(B1269&lt;=NKC!$N$8,B1269&gt;=NKC!$M$8),"x","")</f>
        <v>x</v>
      </c>
      <c r="AA1269" s="535"/>
    </row>
    <row r="1270" spans="1:27" s="503" customFormat="1" ht="15.75" customHeight="1">
      <c r="A1270" s="517" t="str">
        <f>IF(B1270&lt;&gt;"",IF(AND(B1270&gt;=_TM1,B1270&lt;=_TM2,OR(TH!L1270="1111",TH!M1270="1111")),TH!D1270,""),"")</f>
        <v/>
      </c>
      <c r="B1270" s="531">
        <f t="shared" si="119"/>
        <v>3</v>
      </c>
      <c r="C1270" s="315">
        <f t="shared" si="131"/>
        <v>42825</v>
      </c>
      <c r="D1270" s="315" t="s">
        <v>953</v>
      </c>
      <c r="E1270" s="315">
        <v>42825</v>
      </c>
      <c r="F1270" s="249" t="s">
        <v>619</v>
      </c>
      <c r="G1270" s="314" t="s">
        <v>789</v>
      </c>
      <c r="H1270" s="473" t="s">
        <v>284</v>
      </c>
      <c r="I1270" s="307">
        <v>24</v>
      </c>
      <c r="J1270" s="307">
        <v>20239</v>
      </c>
      <c r="K1270" s="532">
        <f t="shared" si="132"/>
        <v>485736</v>
      </c>
      <c r="L1270" s="534" t="s">
        <v>223</v>
      </c>
      <c r="M1270" s="534" t="s">
        <v>162</v>
      </c>
      <c r="N1270" s="525" t="str">
        <f>IF(AND('331-CT'!$E$7=TH!H1270,OR(L1270="331",M1270="331")),"331",IF(AND(OR(L1270="131",M1270="131"),H1270='131-CT'!$E$7),"131",""))</f>
        <v/>
      </c>
      <c r="O1270" s="525" t="str">
        <f>IF(AND($B1270&gt;='111'!$N$11,$B1270&lt;='111'!$O$11,OR($L1270=$O$7,$M1270=$O$7)),"x","")</f>
        <v/>
      </c>
      <c r="P1270" s="525" t="str">
        <f>IF(AND($L1270=$O$7,$B1270&lt;'111'!$N$11),"x","")</f>
        <v/>
      </c>
      <c r="Q1270" s="525" t="str">
        <f>IF(AND($M1270=$O$7,$B1270&lt;'111'!$N$11),"x","")</f>
        <v/>
      </c>
      <c r="R1270" s="525" t="str">
        <f>IF(ISERROR(FIND('112'!$M$9,G1270,1)),"",IF((AND(FIND('112'!$M$9,G1270,1)&gt;=1,$B1270&gt;='112'!$N$8,$B1270&lt;='112'!$O$8,OR($L1270='112'!$I$6,$M1270='112'!$I$6))),"x",""))</f>
        <v/>
      </c>
      <c r="S1270" s="525" t="str">
        <f>IF(ISERROR(FIND('112'!$M$9,G1270,1)),"",IF((AND(LEFT(G1270,2)=LEFT('112'!$M$9,2),B1270&lt;'112'!$N$8,$L1270='112'!$I$6)),"x",""))</f>
        <v/>
      </c>
      <c r="T1270" s="525" t="str">
        <f>IF(ISERROR(FIND('112'!$M$9,G1270,1)),"",IF((AND(RIGHT(G1270,2)=RIGHT('112'!$M$9,2),B1270&lt;'112'!$N$8,$M1270='112'!$I$6)),"x",""))</f>
        <v/>
      </c>
      <c r="U1270" s="525" t="str">
        <f>IF(AND(B1270&gt;='IN-NX'!$P$3,B1270&lt;='IN-NX'!$Q$3,'IN-NX'!$D$7=D1270,OR(LEFT(L1270,2)="15",AND(LEFT(M1270,2)&lt;&gt;"15",LEFT(M1270,2)&lt;&gt;"33"))),"x","")</f>
        <v/>
      </c>
      <c r="V1270" s="525" t="str">
        <f>IF(AND(OR(LEFT(TH!L1270,2)="15",LEFT(TH!M1270,2)="15"),'152-CT'!$J$8=TH!F1270),"x","")</f>
        <v/>
      </c>
      <c r="W1270" s="525" t="str">
        <f>IF(AND(OR(LEFT(TH!L1270,2)="15",LEFT(TH!M1270,2)="15"),TK!$E$7=TH!F1270),"x","")</f>
        <v/>
      </c>
      <c r="X1270" s="525" t="str">
        <f>IF(AND('341-CT'!$E$9=H1270,OR(LEFT(L1270,3)=$X$7,LEFT(M1270,3)=$X$7)),"x","")</f>
        <v/>
      </c>
      <c r="Y1270" s="525" t="str">
        <f>IF(OR(TH!L1270=TH!$Y$7,M1270=TH!$Y$7),"x","")</f>
        <v/>
      </c>
      <c r="Z1270" s="525" t="str">
        <f>IF(AND(B1270&lt;=NKC!$N$8,B1270&gt;=NKC!$M$8),"x","")</f>
        <v>x</v>
      </c>
      <c r="AA1270" s="535"/>
    </row>
    <row r="1271" spans="1:27" s="503" customFormat="1" ht="15.75" customHeight="1">
      <c r="A1271" s="517" t="str">
        <f>IF(B1271&lt;&gt;"",IF(AND(B1271&gt;=_TM1,B1271&lt;=_TM2,OR(TH!L1271="1111",TH!M1271="1111")),TH!D1271,""),"")</f>
        <v/>
      </c>
      <c r="B1271" s="531">
        <f t="shared" si="119"/>
        <v>3</v>
      </c>
      <c r="C1271" s="315">
        <f t="shared" si="131"/>
        <v>42825</v>
      </c>
      <c r="D1271" s="315" t="s">
        <v>953</v>
      </c>
      <c r="E1271" s="315">
        <v>42825</v>
      </c>
      <c r="F1271" s="249" t="s">
        <v>716</v>
      </c>
      <c r="G1271" s="314" t="s">
        <v>789</v>
      </c>
      <c r="H1271" s="473" t="s">
        <v>284</v>
      </c>
      <c r="I1271" s="307">
        <v>24</v>
      </c>
      <c r="J1271" s="307">
        <v>28270</v>
      </c>
      <c r="K1271" s="532">
        <f t="shared" si="132"/>
        <v>678480</v>
      </c>
      <c r="L1271" s="534" t="s">
        <v>223</v>
      </c>
      <c r="M1271" s="534" t="s">
        <v>162</v>
      </c>
      <c r="N1271" s="525" t="str">
        <f>IF(AND('331-CT'!$E$7=TH!H1271,OR(L1271="331",M1271="331")),"331",IF(AND(OR(L1271="131",M1271="131"),H1271='131-CT'!$E$7),"131",""))</f>
        <v/>
      </c>
      <c r="O1271" s="525" t="str">
        <f>IF(AND($B1271&gt;='111'!$N$11,$B1271&lt;='111'!$O$11,OR($L1271=$O$7,$M1271=$O$7)),"x","")</f>
        <v/>
      </c>
      <c r="P1271" s="525" t="str">
        <f>IF(AND($L1271=$O$7,$B1271&lt;'111'!$N$11),"x","")</f>
        <v/>
      </c>
      <c r="Q1271" s="525" t="str">
        <f>IF(AND($M1271=$O$7,$B1271&lt;'111'!$N$11),"x","")</f>
        <v/>
      </c>
      <c r="R1271" s="525" t="str">
        <f>IF(ISERROR(FIND('112'!$M$9,G1271,1)),"",IF((AND(FIND('112'!$M$9,G1271,1)&gt;=1,$B1271&gt;='112'!$N$8,$B1271&lt;='112'!$O$8,OR($L1271='112'!$I$6,$M1271='112'!$I$6))),"x",""))</f>
        <v/>
      </c>
      <c r="S1271" s="525" t="str">
        <f>IF(ISERROR(FIND('112'!$M$9,G1271,1)),"",IF((AND(LEFT(G1271,2)=LEFT('112'!$M$9,2),B1271&lt;'112'!$N$8,$L1271='112'!$I$6)),"x",""))</f>
        <v/>
      </c>
      <c r="T1271" s="525" t="str">
        <f>IF(ISERROR(FIND('112'!$M$9,G1271,1)),"",IF((AND(RIGHT(G1271,2)=RIGHT('112'!$M$9,2),B1271&lt;'112'!$N$8,$M1271='112'!$I$6)),"x",""))</f>
        <v/>
      </c>
      <c r="U1271" s="525" t="str">
        <f>IF(AND(B1271&gt;='IN-NX'!$P$3,B1271&lt;='IN-NX'!$Q$3,'IN-NX'!$D$7=D1271,OR(LEFT(L1271,2)="15",AND(LEFT(M1271,2)&lt;&gt;"15",LEFT(M1271,2)&lt;&gt;"33"))),"x","")</f>
        <v/>
      </c>
      <c r="V1271" s="525" t="str">
        <f>IF(AND(OR(LEFT(TH!L1271,2)="15",LEFT(TH!M1271,2)="15"),'152-CT'!$J$8=TH!F1271),"x","")</f>
        <v/>
      </c>
      <c r="W1271" s="525" t="str">
        <f>IF(AND(OR(LEFT(TH!L1271,2)="15",LEFT(TH!M1271,2)="15"),TK!$E$7=TH!F1271),"x","")</f>
        <v/>
      </c>
      <c r="X1271" s="525" t="str">
        <f>IF(AND('341-CT'!$E$9=H1271,OR(LEFT(L1271,3)=$X$7,LEFT(M1271,3)=$X$7)),"x","")</f>
        <v/>
      </c>
      <c r="Y1271" s="525" t="str">
        <f>IF(OR(TH!L1271=TH!$Y$7,M1271=TH!$Y$7),"x","")</f>
        <v/>
      </c>
      <c r="Z1271" s="525" t="str">
        <f>IF(AND(B1271&lt;=NKC!$N$8,B1271&gt;=NKC!$M$8),"x","")</f>
        <v>x</v>
      </c>
      <c r="AA1271" s="535"/>
    </row>
    <row r="1272" spans="1:27" s="503" customFormat="1" ht="15.75" customHeight="1">
      <c r="A1272" s="517" t="str">
        <f>IF(B1272&lt;&gt;"",IF(AND(B1272&gt;=_TM1,B1272&lt;=_TM2,OR(TH!L1272="1111",TH!M1272="1111")),TH!D1272,""),"")</f>
        <v/>
      </c>
      <c r="B1272" s="531">
        <f t="shared" si="119"/>
        <v>3</v>
      </c>
      <c r="C1272" s="315">
        <f t="shared" si="131"/>
        <v>42825</v>
      </c>
      <c r="D1272" s="315" t="s">
        <v>953</v>
      </c>
      <c r="E1272" s="315">
        <v>42825</v>
      </c>
      <c r="F1272" s="249" t="s">
        <v>717</v>
      </c>
      <c r="G1272" s="314" t="s">
        <v>789</v>
      </c>
      <c r="H1272" s="473" t="s">
        <v>284</v>
      </c>
      <c r="I1272" s="307">
        <v>24</v>
      </c>
      <c r="J1272" s="307">
        <v>24140</v>
      </c>
      <c r="K1272" s="532">
        <f t="shared" si="132"/>
        <v>579360</v>
      </c>
      <c r="L1272" s="534" t="s">
        <v>223</v>
      </c>
      <c r="M1272" s="534" t="s">
        <v>162</v>
      </c>
      <c r="N1272" s="525" t="str">
        <f>IF(AND('331-CT'!$E$7=TH!H1272,OR(L1272="331",M1272="331")),"331",IF(AND(OR(L1272="131",M1272="131"),H1272='131-CT'!$E$7),"131",""))</f>
        <v/>
      </c>
      <c r="O1272" s="525" t="str">
        <f>IF(AND($B1272&gt;='111'!$N$11,$B1272&lt;='111'!$O$11,OR($L1272=$O$7,$M1272=$O$7)),"x","")</f>
        <v/>
      </c>
      <c r="P1272" s="525" t="str">
        <f>IF(AND($L1272=$O$7,$B1272&lt;'111'!$N$11),"x","")</f>
        <v/>
      </c>
      <c r="Q1272" s="525" t="str">
        <f>IF(AND($M1272=$O$7,$B1272&lt;'111'!$N$11),"x","")</f>
        <v/>
      </c>
      <c r="R1272" s="525" t="str">
        <f>IF(ISERROR(FIND('112'!$M$9,G1272,1)),"",IF((AND(FIND('112'!$M$9,G1272,1)&gt;=1,$B1272&gt;='112'!$N$8,$B1272&lt;='112'!$O$8,OR($L1272='112'!$I$6,$M1272='112'!$I$6))),"x",""))</f>
        <v/>
      </c>
      <c r="S1272" s="525" t="str">
        <f>IF(ISERROR(FIND('112'!$M$9,G1272,1)),"",IF((AND(LEFT(G1272,2)=LEFT('112'!$M$9,2),B1272&lt;'112'!$N$8,$L1272='112'!$I$6)),"x",""))</f>
        <v/>
      </c>
      <c r="T1272" s="525" t="str">
        <f>IF(ISERROR(FIND('112'!$M$9,G1272,1)),"",IF((AND(RIGHT(G1272,2)=RIGHT('112'!$M$9,2),B1272&lt;'112'!$N$8,$M1272='112'!$I$6)),"x",""))</f>
        <v/>
      </c>
      <c r="U1272" s="525" t="str">
        <f>IF(AND(B1272&gt;='IN-NX'!$P$3,B1272&lt;='IN-NX'!$Q$3,'IN-NX'!$D$7=D1272,OR(LEFT(L1272,2)="15",AND(LEFT(M1272,2)&lt;&gt;"15",LEFT(M1272,2)&lt;&gt;"33"))),"x","")</f>
        <v/>
      </c>
      <c r="V1272" s="525" t="str">
        <f>IF(AND(OR(LEFT(TH!L1272,2)="15",LEFT(TH!M1272,2)="15"),'152-CT'!$J$8=TH!F1272),"x","")</f>
        <v/>
      </c>
      <c r="W1272" s="525" t="str">
        <f>IF(AND(OR(LEFT(TH!L1272,2)="15",LEFT(TH!M1272,2)="15"),TK!$E$7=TH!F1272),"x","")</f>
        <v/>
      </c>
      <c r="X1272" s="525" t="str">
        <f>IF(AND('341-CT'!$E$9=H1272,OR(LEFT(L1272,3)=$X$7,LEFT(M1272,3)=$X$7)),"x","")</f>
        <v/>
      </c>
      <c r="Y1272" s="525" t="str">
        <f>IF(OR(TH!L1272=TH!$Y$7,M1272=TH!$Y$7),"x","")</f>
        <v/>
      </c>
      <c r="Z1272" s="525" t="str">
        <f>IF(AND(B1272&lt;=NKC!$N$8,B1272&gt;=NKC!$M$8),"x","")</f>
        <v>x</v>
      </c>
      <c r="AA1272" s="535"/>
    </row>
    <row r="1273" spans="1:27" s="503" customFormat="1" ht="15.75" customHeight="1">
      <c r="A1273" s="517" t="str">
        <f>IF(B1273&lt;&gt;"",IF(AND(B1273&gt;=_TM1,B1273&lt;=_TM2,OR(TH!L1273="1111",TH!M1273="1111")),TH!D1273,""),"")</f>
        <v/>
      </c>
      <c r="B1273" s="531">
        <f t="shared" si="119"/>
        <v>3</v>
      </c>
      <c r="C1273" s="315">
        <f t="shared" si="131"/>
        <v>42825</v>
      </c>
      <c r="D1273" s="315" t="s">
        <v>953</v>
      </c>
      <c r="E1273" s="315">
        <v>42825</v>
      </c>
      <c r="F1273" s="249" t="s">
        <v>626</v>
      </c>
      <c r="G1273" s="314" t="s">
        <v>789</v>
      </c>
      <c r="H1273" s="473" t="s">
        <v>284</v>
      </c>
      <c r="I1273" s="307">
        <v>12</v>
      </c>
      <c r="J1273" s="307">
        <v>22205</v>
      </c>
      <c r="K1273" s="532">
        <f t="shared" si="132"/>
        <v>266460</v>
      </c>
      <c r="L1273" s="534" t="s">
        <v>223</v>
      </c>
      <c r="M1273" s="534" t="s">
        <v>162</v>
      </c>
      <c r="N1273" s="525" t="str">
        <f>IF(AND('331-CT'!$E$7=TH!H1273,OR(L1273="331",M1273="331")),"331",IF(AND(OR(L1273="131",M1273="131"),H1273='131-CT'!$E$7),"131",""))</f>
        <v/>
      </c>
      <c r="O1273" s="525" t="str">
        <f>IF(AND($B1273&gt;='111'!$N$11,$B1273&lt;='111'!$O$11,OR($L1273=$O$7,$M1273=$O$7)),"x","")</f>
        <v/>
      </c>
      <c r="P1273" s="525" t="str">
        <f>IF(AND($L1273=$O$7,$B1273&lt;'111'!$N$11),"x","")</f>
        <v/>
      </c>
      <c r="Q1273" s="525" t="str">
        <f>IF(AND($M1273=$O$7,$B1273&lt;'111'!$N$11),"x","")</f>
        <v/>
      </c>
      <c r="R1273" s="525" t="str">
        <f>IF(ISERROR(FIND('112'!$M$9,G1273,1)),"",IF((AND(FIND('112'!$M$9,G1273,1)&gt;=1,$B1273&gt;='112'!$N$8,$B1273&lt;='112'!$O$8,OR($L1273='112'!$I$6,$M1273='112'!$I$6))),"x",""))</f>
        <v/>
      </c>
      <c r="S1273" s="525" t="str">
        <f>IF(ISERROR(FIND('112'!$M$9,G1273,1)),"",IF((AND(LEFT(G1273,2)=LEFT('112'!$M$9,2),B1273&lt;'112'!$N$8,$L1273='112'!$I$6)),"x",""))</f>
        <v/>
      </c>
      <c r="T1273" s="525" t="str">
        <f>IF(ISERROR(FIND('112'!$M$9,G1273,1)),"",IF((AND(RIGHT(G1273,2)=RIGHT('112'!$M$9,2),B1273&lt;'112'!$N$8,$M1273='112'!$I$6)),"x",""))</f>
        <v/>
      </c>
      <c r="U1273" s="525" t="str">
        <f>IF(AND(B1273&gt;='IN-NX'!$P$3,B1273&lt;='IN-NX'!$Q$3,'IN-NX'!$D$7=D1273,OR(LEFT(L1273,2)="15",AND(LEFT(M1273,2)&lt;&gt;"15",LEFT(M1273,2)&lt;&gt;"33"))),"x","")</f>
        <v/>
      </c>
      <c r="V1273" s="525" t="str">
        <f>IF(AND(OR(LEFT(TH!L1273,2)="15",LEFT(TH!M1273,2)="15"),'152-CT'!$J$8=TH!F1273),"x","")</f>
        <v/>
      </c>
      <c r="W1273" s="525" t="str">
        <f>IF(AND(OR(LEFT(TH!L1273,2)="15",LEFT(TH!M1273,2)="15"),TK!$E$7=TH!F1273),"x","")</f>
        <v/>
      </c>
      <c r="X1273" s="525" t="str">
        <f>IF(AND('341-CT'!$E$9=H1273,OR(LEFT(L1273,3)=$X$7,LEFT(M1273,3)=$X$7)),"x","")</f>
        <v/>
      </c>
      <c r="Y1273" s="525" t="str">
        <f>IF(OR(TH!L1273=TH!$Y$7,M1273=TH!$Y$7),"x","")</f>
        <v/>
      </c>
      <c r="Z1273" s="525" t="str">
        <f>IF(AND(B1273&lt;=NKC!$N$8,B1273&gt;=NKC!$M$8),"x","")</f>
        <v>x</v>
      </c>
      <c r="AA1273" s="535"/>
    </row>
    <row r="1274" spans="1:27" s="503" customFormat="1" ht="15.75" customHeight="1">
      <c r="A1274" s="517" t="str">
        <f>IF(B1274&lt;&gt;"",IF(AND(B1274&gt;=_TM1,B1274&lt;=_TM2,OR(TH!L1274="1111",TH!M1274="1111")),TH!D1274,""),"")</f>
        <v/>
      </c>
      <c r="B1274" s="531">
        <f t="shared" si="119"/>
        <v>3</v>
      </c>
      <c r="C1274" s="315">
        <f t="shared" si="120"/>
        <v>42825</v>
      </c>
      <c r="D1274" s="315" t="s">
        <v>953</v>
      </c>
      <c r="E1274" s="315">
        <v>42825</v>
      </c>
      <c r="F1274" s="249" t="s">
        <v>719</v>
      </c>
      <c r="G1274" s="314" t="s">
        <v>789</v>
      </c>
      <c r="H1274" s="473" t="s">
        <v>284</v>
      </c>
      <c r="I1274" s="307">
        <v>36</v>
      </c>
      <c r="J1274" s="307">
        <v>13373</v>
      </c>
      <c r="K1274" s="532">
        <f t="shared" ref="K1274:K1283" si="133">ROUND(I1274*J1274,0)</f>
        <v>481428</v>
      </c>
      <c r="L1274" s="534" t="s">
        <v>223</v>
      </c>
      <c r="M1274" s="534" t="s">
        <v>162</v>
      </c>
      <c r="N1274" s="525" t="str">
        <f>IF(AND('331-CT'!$E$7=TH!H1274,OR(L1274="331",M1274="331")),"331",IF(AND(OR(L1274="131",M1274="131"),H1274='131-CT'!$E$7),"131",""))</f>
        <v/>
      </c>
      <c r="O1274" s="525" t="str">
        <f>IF(AND($B1274&gt;='111'!$N$11,$B1274&lt;='111'!$O$11,OR($L1274=$O$7,$M1274=$O$7)),"x","")</f>
        <v/>
      </c>
      <c r="P1274" s="525" t="str">
        <f>IF(AND($L1274=$O$7,$B1274&lt;'111'!$N$11),"x","")</f>
        <v/>
      </c>
      <c r="Q1274" s="525" t="str">
        <f>IF(AND($M1274=$O$7,$B1274&lt;'111'!$N$11),"x","")</f>
        <v/>
      </c>
      <c r="R1274" s="525" t="str">
        <f>IF(ISERROR(FIND('112'!$M$9,G1274,1)),"",IF((AND(FIND('112'!$M$9,G1274,1)&gt;=1,$B1274&gt;='112'!$N$8,$B1274&lt;='112'!$O$8,OR($L1274='112'!$I$6,$M1274='112'!$I$6))),"x",""))</f>
        <v/>
      </c>
      <c r="S1274" s="525" t="str">
        <f>IF(ISERROR(FIND('112'!$M$9,G1274,1)),"",IF((AND(LEFT(G1274,2)=LEFT('112'!$M$9,2),B1274&lt;'112'!$N$8,$L1274='112'!$I$6)),"x",""))</f>
        <v/>
      </c>
      <c r="T1274" s="525" t="str">
        <f>IF(ISERROR(FIND('112'!$M$9,G1274,1)),"",IF((AND(RIGHT(G1274,2)=RIGHT('112'!$M$9,2),B1274&lt;'112'!$N$8,$M1274='112'!$I$6)),"x",""))</f>
        <v/>
      </c>
      <c r="U1274" s="525" t="str">
        <f>IF(AND(B1274&gt;='IN-NX'!$P$3,B1274&lt;='IN-NX'!$Q$3,'IN-NX'!$D$7=D1274,OR(LEFT(L1274,2)="15",AND(LEFT(M1274,2)&lt;&gt;"15",LEFT(M1274,2)&lt;&gt;"33"))),"x","")</f>
        <v/>
      </c>
      <c r="V1274" s="525" t="str">
        <f>IF(AND(OR(LEFT(TH!L1274,2)="15",LEFT(TH!M1274,2)="15"),'152-CT'!$J$8=TH!F1274),"x","")</f>
        <v/>
      </c>
      <c r="W1274" s="525" t="str">
        <f>IF(AND(OR(LEFT(TH!L1274,2)="15",LEFT(TH!M1274,2)="15"),TK!$E$7=TH!F1274),"x","")</f>
        <v/>
      </c>
      <c r="X1274" s="525" t="str">
        <f>IF(AND('341-CT'!$E$9=H1274,OR(LEFT(L1274,3)=$X$7,LEFT(M1274,3)=$X$7)),"x","")</f>
        <v/>
      </c>
      <c r="Y1274" s="525" t="str">
        <f>IF(OR(TH!L1274=TH!$Y$7,M1274=TH!$Y$7),"x","")</f>
        <v/>
      </c>
      <c r="Z1274" s="525" t="str">
        <f>IF(AND(B1274&lt;=NKC!$N$8,B1274&gt;=NKC!$M$8),"x","")</f>
        <v>x</v>
      </c>
      <c r="AA1274" s="535"/>
    </row>
    <row r="1275" spans="1:27" s="503" customFormat="1" ht="15.75" customHeight="1">
      <c r="A1275" s="517" t="str">
        <f>IF(B1275&lt;&gt;"",IF(AND(B1275&gt;=_TM1,B1275&lt;=_TM2,OR(TH!L1275="1111",TH!M1275="1111")),TH!D1275,""),"")</f>
        <v/>
      </c>
      <c r="B1275" s="531">
        <f t="shared" si="119"/>
        <v>3</v>
      </c>
      <c r="C1275" s="315">
        <f t="shared" si="120"/>
        <v>42825</v>
      </c>
      <c r="D1275" s="315" t="s">
        <v>953</v>
      </c>
      <c r="E1275" s="315">
        <v>42825</v>
      </c>
      <c r="F1275" s="249" t="s">
        <v>720</v>
      </c>
      <c r="G1275" s="314" t="s">
        <v>789</v>
      </c>
      <c r="H1275" s="473" t="s">
        <v>284</v>
      </c>
      <c r="I1275" s="307">
        <v>48</v>
      </c>
      <c r="J1275" s="307">
        <v>7823</v>
      </c>
      <c r="K1275" s="532">
        <f t="shared" si="133"/>
        <v>375504</v>
      </c>
      <c r="L1275" s="534" t="s">
        <v>223</v>
      </c>
      <c r="M1275" s="534" t="s">
        <v>162</v>
      </c>
      <c r="N1275" s="525" t="str">
        <f>IF(AND('331-CT'!$E$7=TH!H1275,OR(L1275="331",M1275="331")),"331",IF(AND(OR(L1275="131",M1275="131"),H1275='131-CT'!$E$7),"131",""))</f>
        <v/>
      </c>
      <c r="O1275" s="525" t="str">
        <f>IF(AND($B1275&gt;='111'!$N$11,$B1275&lt;='111'!$O$11,OR($L1275=$O$7,$M1275=$O$7)),"x","")</f>
        <v/>
      </c>
      <c r="P1275" s="525" t="str">
        <f>IF(AND($L1275=$O$7,$B1275&lt;'111'!$N$11),"x","")</f>
        <v/>
      </c>
      <c r="Q1275" s="525" t="str">
        <f>IF(AND($M1275=$O$7,$B1275&lt;'111'!$N$11),"x","")</f>
        <v/>
      </c>
      <c r="R1275" s="525" t="str">
        <f>IF(ISERROR(FIND('112'!$M$9,G1275,1)),"",IF((AND(FIND('112'!$M$9,G1275,1)&gt;=1,$B1275&gt;='112'!$N$8,$B1275&lt;='112'!$O$8,OR($L1275='112'!$I$6,$M1275='112'!$I$6))),"x",""))</f>
        <v/>
      </c>
      <c r="S1275" s="525" t="str">
        <f>IF(ISERROR(FIND('112'!$M$9,G1275,1)),"",IF((AND(LEFT(G1275,2)=LEFT('112'!$M$9,2),B1275&lt;'112'!$N$8,$L1275='112'!$I$6)),"x",""))</f>
        <v/>
      </c>
      <c r="T1275" s="525" t="str">
        <f>IF(ISERROR(FIND('112'!$M$9,G1275,1)),"",IF((AND(RIGHT(G1275,2)=RIGHT('112'!$M$9,2),B1275&lt;'112'!$N$8,$M1275='112'!$I$6)),"x",""))</f>
        <v/>
      </c>
      <c r="U1275" s="525" t="str">
        <f>IF(AND(B1275&gt;='IN-NX'!$P$3,B1275&lt;='IN-NX'!$Q$3,'IN-NX'!$D$7=D1275,OR(LEFT(L1275,2)="15",AND(LEFT(M1275,2)&lt;&gt;"15",LEFT(M1275,2)&lt;&gt;"33"))),"x","")</f>
        <v/>
      </c>
      <c r="V1275" s="525" t="str">
        <f>IF(AND(OR(LEFT(TH!L1275,2)="15",LEFT(TH!M1275,2)="15"),'152-CT'!$J$8=TH!F1275),"x","")</f>
        <v/>
      </c>
      <c r="W1275" s="525" t="str">
        <f>IF(AND(OR(LEFT(TH!L1275,2)="15",LEFT(TH!M1275,2)="15"),TK!$E$7=TH!F1275),"x","")</f>
        <v/>
      </c>
      <c r="X1275" s="525" t="str">
        <f>IF(AND('341-CT'!$E$9=H1275,OR(LEFT(L1275,3)=$X$7,LEFT(M1275,3)=$X$7)),"x","")</f>
        <v/>
      </c>
      <c r="Y1275" s="525" t="str">
        <f>IF(OR(TH!L1275=TH!$Y$7,M1275=TH!$Y$7),"x","")</f>
        <v/>
      </c>
      <c r="Z1275" s="525" t="str">
        <f>IF(AND(B1275&lt;=NKC!$N$8,B1275&gt;=NKC!$M$8),"x","")</f>
        <v>x</v>
      </c>
      <c r="AA1275" s="535"/>
    </row>
    <row r="1276" spans="1:27" s="503" customFormat="1" ht="15.75" customHeight="1">
      <c r="A1276" s="517" t="str">
        <f>IF(B1276&lt;&gt;"",IF(AND(B1276&gt;=_TM1,B1276&lt;=_TM2,OR(TH!L1276="1111",TH!M1276="1111")),TH!D1276,""),"")</f>
        <v/>
      </c>
      <c r="B1276" s="531">
        <f t="shared" si="119"/>
        <v>3</v>
      </c>
      <c r="C1276" s="315">
        <f t="shared" si="120"/>
        <v>42825</v>
      </c>
      <c r="D1276" s="315" t="s">
        <v>953</v>
      </c>
      <c r="E1276" s="315">
        <v>42825</v>
      </c>
      <c r="F1276" s="249" t="s">
        <v>673</v>
      </c>
      <c r="G1276" s="314" t="s">
        <v>789</v>
      </c>
      <c r="H1276" s="473" t="s">
        <v>284</v>
      </c>
      <c r="I1276" s="307">
        <v>3</v>
      </c>
      <c r="J1276" s="307">
        <v>15522</v>
      </c>
      <c r="K1276" s="532">
        <f t="shared" si="133"/>
        <v>46566</v>
      </c>
      <c r="L1276" s="534" t="s">
        <v>223</v>
      </c>
      <c r="M1276" s="534" t="s">
        <v>162</v>
      </c>
      <c r="N1276" s="525" t="str">
        <f>IF(AND('331-CT'!$E$7=TH!H1276,OR(L1276="331",M1276="331")),"331",IF(AND(OR(L1276="131",M1276="131"),H1276='131-CT'!$E$7),"131",""))</f>
        <v/>
      </c>
      <c r="O1276" s="525" t="str">
        <f>IF(AND($B1276&gt;='111'!$N$11,$B1276&lt;='111'!$O$11,OR($L1276=$O$7,$M1276=$O$7)),"x","")</f>
        <v/>
      </c>
      <c r="P1276" s="525" t="str">
        <f>IF(AND($L1276=$O$7,$B1276&lt;'111'!$N$11),"x","")</f>
        <v/>
      </c>
      <c r="Q1276" s="525" t="str">
        <f>IF(AND($M1276=$O$7,$B1276&lt;'111'!$N$11),"x","")</f>
        <v/>
      </c>
      <c r="R1276" s="525" t="str">
        <f>IF(ISERROR(FIND('112'!$M$9,G1276,1)),"",IF((AND(FIND('112'!$M$9,G1276,1)&gt;=1,$B1276&gt;='112'!$N$8,$B1276&lt;='112'!$O$8,OR($L1276='112'!$I$6,$M1276='112'!$I$6))),"x",""))</f>
        <v/>
      </c>
      <c r="S1276" s="525" t="str">
        <f>IF(ISERROR(FIND('112'!$M$9,G1276,1)),"",IF((AND(LEFT(G1276,2)=LEFT('112'!$M$9,2),B1276&lt;'112'!$N$8,$L1276='112'!$I$6)),"x",""))</f>
        <v/>
      </c>
      <c r="T1276" s="525" t="str">
        <f>IF(ISERROR(FIND('112'!$M$9,G1276,1)),"",IF((AND(RIGHT(G1276,2)=RIGHT('112'!$M$9,2),B1276&lt;'112'!$N$8,$M1276='112'!$I$6)),"x",""))</f>
        <v/>
      </c>
      <c r="U1276" s="525" t="str">
        <f>IF(AND(B1276&gt;='IN-NX'!$P$3,B1276&lt;='IN-NX'!$Q$3,'IN-NX'!$D$7=D1276,OR(LEFT(L1276,2)="15",AND(LEFT(M1276,2)&lt;&gt;"15",LEFT(M1276,2)&lt;&gt;"33"))),"x","")</f>
        <v/>
      </c>
      <c r="V1276" s="525" t="str">
        <f>IF(AND(OR(LEFT(TH!L1276,2)="15",LEFT(TH!M1276,2)="15"),'152-CT'!$J$8=TH!F1276),"x","")</f>
        <v/>
      </c>
      <c r="W1276" s="525" t="str">
        <f>IF(AND(OR(LEFT(TH!L1276,2)="15",LEFT(TH!M1276,2)="15"),TK!$E$7=TH!F1276),"x","")</f>
        <v/>
      </c>
      <c r="X1276" s="525" t="str">
        <f>IF(AND('341-CT'!$E$9=H1276,OR(LEFT(L1276,3)=$X$7,LEFT(M1276,3)=$X$7)),"x","")</f>
        <v/>
      </c>
      <c r="Y1276" s="525" t="str">
        <f>IF(OR(TH!L1276=TH!$Y$7,M1276=TH!$Y$7),"x","")</f>
        <v/>
      </c>
      <c r="Z1276" s="525" t="str">
        <f>IF(AND(B1276&lt;=NKC!$N$8,B1276&gt;=NKC!$M$8),"x","")</f>
        <v>x</v>
      </c>
      <c r="AA1276" s="535"/>
    </row>
    <row r="1277" spans="1:27" s="503" customFormat="1" ht="15.75" customHeight="1">
      <c r="A1277" s="517" t="str">
        <f>IF(B1277&lt;&gt;"",IF(AND(B1277&gt;=_TM1,B1277&lt;=_TM2,OR(TH!L1277="1111",TH!M1277="1111")),TH!D1277,""),"")</f>
        <v/>
      </c>
      <c r="B1277" s="531">
        <f t="shared" si="119"/>
        <v>3</v>
      </c>
      <c r="C1277" s="315">
        <f t="shared" si="120"/>
        <v>42825</v>
      </c>
      <c r="D1277" s="315" t="s">
        <v>953</v>
      </c>
      <c r="E1277" s="315">
        <v>42825</v>
      </c>
      <c r="F1277" s="249" t="s">
        <v>721</v>
      </c>
      <c r="G1277" s="314" t="s">
        <v>789</v>
      </c>
      <c r="H1277" s="473" t="s">
        <v>284</v>
      </c>
      <c r="I1277" s="307">
        <v>24</v>
      </c>
      <c r="J1277" s="307">
        <v>7963</v>
      </c>
      <c r="K1277" s="532">
        <f t="shared" si="133"/>
        <v>191112</v>
      </c>
      <c r="L1277" s="534" t="s">
        <v>223</v>
      </c>
      <c r="M1277" s="534" t="s">
        <v>162</v>
      </c>
      <c r="N1277" s="525" t="str">
        <f>IF(AND('331-CT'!$E$7=TH!H1277,OR(L1277="331",M1277="331")),"331",IF(AND(OR(L1277="131",M1277="131"),H1277='131-CT'!$E$7),"131",""))</f>
        <v/>
      </c>
      <c r="O1277" s="525" t="str">
        <f>IF(AND($B1277&gt;='111'!$N$11,$B1277&lt;='111'!$O$11,OR($L1277=$O$7,$M1277=$O$7)),"x","")</f>
        <v/>
      </c>
      <c r="P1277" s="525" t="str">
        <f>IF(AND($L1277=$O$7,$B1277&lt;'111'!$N$11),"x","")</f>
        <v/>
      </c>
      <c r="Q1277" s="525" t="str">
        <f>IF(AND($M1277=$O$7,$B1277&lt;'111'!$N$11),"x","")</f>
        <v/>
      </c>
      <c r="R1277" s="525" t="str">
        <f>IF(ISERROR(FIND('112'!$M$9,G1277,1)),"",IF((AND(FIND('112'!$M$9,G1277,1)&gt;=1,$B1277&gt;='112'!$N$8,$B1277&lt;='112'!$O$8,OR($L1277='112'!$I$6,$M1277='112'!$I$6))),"x",""))</f>
        <v/>
      </c>
      <c r="S1277" s="525" t="str">
        <f>IF(ISERROR(FIND('112'!$M$9,G1277,1)),"",IF((AND(LEFT(G1277,2)=LEFT('112'!$M$9,2),B1277&lt;'112'!$N$8,$L1277='112'!$I$6)),"x",""))</f>
        <v/>
      </c>
      <c r="T1277" s="525" t="str">
        <f>IF(ISERROR(FIND('112'!$M$9,G1277,1)),"",IF((AND(RIGHT(G1277,2)=RIGHT('112'!$M$9,2),B1277&lt;'112'!$N$8,$M1277='112'!$I$6)),"x",""))</f>
        <v/>
      </c>
      <c r="U1277" s="525" t="str">
        <f>IF(AND(B1277&gt;='IN-NX'!$P$3,B1277&lt;='IN-NX'!$Q$3,'IN-NX'!$D$7=D1277,OR(LEFT(L1277,2)="15",AND(LEFT(M1277,2)&lt;&gt;"15",LEFT(M1277,2)&lt;&gt;"33"))),"x","")</f>
        <v/>
      </c>
      <c r="V1277" s="525" t="str">
        <f>IF(AND(OR(LEFT(TH!L1277,2)="15",LEFT(TH!M1277,2)="15"),'152-CT'!$J$8=TH!F1277),"x","")</f>
        <v/>
      </c>
      <c r="W1277" s="525" t="str">
        <f>IF(AND(OR(LEFT(TH!L1277,2)="15",LEFT(TH!M1277,2)="15"),TK!$E$7=TH!F1277),"x","")</f>
        <v/>
      </c>
      <c r="X1277" s="525" t="str">
        <f>IF(AND('341-CT'!$E$9=H1277,OR(LEFT(L1277,3)=$X$7,LEFT(M1277,3)=$X$7)),"x","")</f>
        <v/>
      </c>
      <c r="Y1277" s="525" t="str">
        <f>IF(OR(TH!L1277=TH!$Y$7,M1277=TH!$Y$7),"x","")</f>
        <v/>
      </c>
      <c r="Z1277" s="525" t="str">
        <f>IF(AND(B1277&lt;=NKC!$N$8,B1277&gt;=NKC!$M$8),"x","")</f>
        <v>x</v>
      </c>
      <c r="AA1277" s="535"/>
    </row>
    <row r="1278" spans="1:27" s="503" customFormat="1" ht="15.75" customHeight="1">
      <c r="A1278" s="517" t="str">
        <f>IF(B1278&lt;&gt;"",IF(AND(B1278&gt;=_TM1,B1278&lt;=_TM2,OR(TH!L1278="1111",TH!M1278="1111")),TH!D1278,""),"")</f>
        <v/>
      </c>
      <c r="B1278" s="531">
        <f t="shared" si="119"/>
        <v>3</v>
      </c>
      <c r="C1278" s="315">
        <f t="shared" si="120"/>
        <v>42825</v>
      </c>
      <c r="D1278" s="315" t="s">
        <v>954</v>
      </c>
      <c r="E1278" s="315">
        <v>42825</v>
      </c>
      <c r="F1278" s="249" t="s">
        <v>722</v>
      </c>
      <c r="G1278" s="314" t="s">
        <v>789</v>
      </c>
      <c r="H1278" s="473" t="s">
        <v>284</v>
      </c>
      <c r="I1278" s="307">
        <v>24</v>
      </c>
      <c r="J1278" s="307">
        <v>11572</v>
      </c>
      <c r="K1278" s="532">
        <f t="shared" si="133"/>
        <v>277728</v>
      </c>
      <c r="L1278" s="534" t="s">
        <v>223</v>
      </c>
      <c r="M1278" s="534" t="s">
        <v>162</v>
      </c>
      <c r="N1278" s="525" t="str">
        <f>IF(AND('331-CT'!$E$7=TH!H1278,OR(L1278="331",M1278="331")),"331",IF(AND(OR(L1278="131",M1278="131"),H1278='131-CT'!$E$7),"131",""))</f>
        <v/>
      </c>
      <c r="O1278" s="525" t="str">
        <f>IF(AND($B1278&gt;='111'!$N$11,$B1278&lt;='111'!$O$11,OR($L1278=$O$7,$M1278=$O$7)),"x","")</f>
        <v/>
      </c>
      <c r="P1278" s="525" t="str">
        <f>IF(AND($L1278=$O$7,$B1278&lt;'111'!$N$11),"x","")</f>
        <v/>
      </c>
      <c r="Q1278" s="525" t="str">
        <f>IF(AND($M1278=$O$7,$B1278&lt;'111'!$N$11),"x","")</f>
        <v/>
      </c>
      <c r="R1278" s="525" t="str">
        <f>IF(ISERROR(FIND('112'!$M$9,G1278,1)),"",IF((AND(FIND('112'!$M$9,G1278,1)&gt;=1,$B1278&gt;='112'!$N$8,$B1278&lt;='112'!$O$8,OR($L1278='112'!$I$6,$M1278='112'!$I$6))),"x",""))</f>
        <v/>
      </c>
      <c r="S1278" s="525" t="str">
        <f>IF(ISERROR(FIND('112'!$M$9,G1278,1)),"",IF((AND(LEFT(G1278,2)=LEFT('112'!$M$9,2),B1278&lt;'112'!$N$8,$L1278='112'!$I$6)),"x",""))</f>
        <v/>
      </c>
      <c r="T1278" s="525" t="str">
        <f>IF(ISERROR(FIND('112'!$M$9,G1278,1)),"",IF((AND(RIGHT(G1278,2)=RIGHT('112'!$M$9,2),B1278&lt;'112'!$N$8,$M1278='112'!$I$6)),"x",""))</f>
        <v/>
      </c>
      <c r="U1278" s="525" t="str">
        <f>IF(AND(B1278&gt;='IN-NX'!$P$3,B1278&lt;='IN-NX'!$Q$3,'IN-NX'!$D$7=D1278,OR(LEFT(L1278,2)="15",AND(LEFT(M1278,2)&lt;&gt;"15",LEFT(M1278,2)&lt;&gt;"33"))),"x","")</f>
        <v/>
      </c>
      <c r="V1278" s="525" t="str">
        <f>IF(AND(OR(LEFT(TH!L1278,2)="15",LEFT(TH!M1278,2)="15"),'152-CT'!$J$8=TH!F1278),"x","")</f>
        <v/>
      </c>
      <c r="W1278" s="525" t="str">
        <f>IF(AND(OR(LEFT(TH!L1278,2)="15",LEFT(TH!M1278,2)="15"),TK!$E$7=TH!F1278),"x","")</f>
        <v/>
      </c>
      <c r="X1278" s="525" t="str">
        <f>IF(AND('341-CT'!$E$9=H1278,OR(LEFT(L1278,3)=$X$7,LEFT(M1278,3)=$X$7)),"x","")</f>
        <v/>
      </c>
      <c r="Y1278" s="525" t="str">
        <f>IF(OR(TH!L1278=TH!$Y$7,M1278=TH!$Y$7),"x","")</f>
        <v/>
      </c>
      <c r="Z1278" s="525" t="str">
        <f>IF(AND(B1278&lt;=NKC!$N$8,B1278&gt;=NKC!$M$8),"x","")</f>
        <v>x</v>
      </c>
      <c r="AA1278" s="535"/>
    </row>
    <row r="1279" spans="1:27" s="503" customFormat="1" ht="15.75" customHeight="1">
      <c r="A1279" s="517" t="str">
        <f>IF(B1279&lt;&gt;"",IF(AND(B1279&gt;=_TM1,B1279&lt;=_TM2,OR(TH!L1279="1111",TH!M1279="1111")),TH!D1279,""),"")</f>
        <v/>
      </c>
      <c r="B1279" s="531">
        <f t="shared" si="119"/>
        <v>3</v>
      </c>
      <c r="C1279" s="315">
        <f t="shared" si="120"/>
        <v>42825</v>
      </c>
      <c r="D1279" s="315" t="s">
        <v>954</v>
      </c>
      <c r="E1279" s="315">
        <v>42825</v>
      </c>
      <c r="F1279" s="249" t="s">
        <v>723</v>
      </c>
      <c r="G1279" s="314" t="s">
        <v>789</v>
      </c>
      <c r="H1279" s="473" t="s">
        <v>284</v>
      </c>
      <c r="I1279" s="307">
        <v>16</v>
      </c>
      <c r="J1279" s="307">
        <v>10721</v>
      </c>
      <c r="K1279" s="532">
        <f t="shared" si="133"/>
        <v>171536</v>
      </c>
      <c r="L1279" s="534" t="s">
        <v>223</v>
      </c>
      <c r="M1279" s="534" t="s">
        <v>162</v>
      </c>
      <c r="N1279" s="525" t="str">
        <f>IF(AND('331-CT'!$E$7=TH!H1279,OR(L1279="331",M1279="331")),"331",IF(AND(OR(L1279="131",M1279="131"),H1279='131-CT'!$E$7),"131",""))</f>
        <v/>
      </c>
      <c r="O1279" s="525" t="str">
        <f>IF(AND($B1279&gt;='111'!$N$11,$B1279&lt;='111'!$O$11,OR($L1279=$O$7,$M1279=$O$7)),"x","")</f>
        <v/>
      </c>
      <c r="P1279" s="525" t="str">
        <f>IF(AND($L1279=$O$7,$B1279&lt;'111'!$N$11),"x","")</f>
        <v/>
      </c>
      <c r="Q1279" s="525" t="str">
        <f>IF(AND($M1279=$O$7,$B1279&lt;'111'!$N$11),"x","")</f>
        <v/>
      </c>
      <c r="R1279" s="525" t="str">
        <f>IF(ISERROR(FIND('112'!$M$9,G1279,1)),"",IF((AND(FIND('112'!$M$9,G1279,1)&gt;=1,$B1279&gt;='112'!$N$8,$B1279&lt;='112'!$O$8,OR($L1279='112'!$I$6,$M1279='112'!$I$6))),"x",""))</f>
        <v/>
      </c>
      <c r="S1279" s="525" t="str">
        <f>IF(ISERROR(FIND('112'!$M$9,G1279,1)),"",IF((AND(LEFT(G1279,2)=LEFT('112'!$M$9,2),B1279&lt;'112'!$N$8,$L1279='112'!$I$6)),"x",""))</f>
        <v/>
      </c>
      <c r="T1279" s="525" t="str">
        <f>IF(ISERROR(FIND('112'!$M$9,G1279,1)),"",IF((AND(RIGHT(G1279,2)=RIGHT('112'!$M$9,2),B1279&lt;'112'!$N$8,$M1279='112'!$I$6)),"x",""))</f>
        <v/>
      </c>
      <c r="U1279" s="525" t="str">
        <f>IF(AND(B1279&gt;='IN-NX'!$P$3,B1279&lt;='IN-NX'!$Q$3,'IN-NX'!$D$7=D1279,OR(LEFT(L1279,2)="15",AND(LEFT(M1279,2)&lt;&gt;"15",LEFT(M1279,2)&lt;&gt;"33"))),"x","")</f>
        <v/>
      </c>
      <c r="V1279" s="525" t="str">
        <f>IF(AND(OR(LEFT(TH!L1279,2)="15",LEFT(TH!M1279,2)="15"),'152-CT'!$J$8=TH!F1279),"x","")</f>
        <v/>
      </c>
      <c r="W1279" s="525" t="str">
        <f>IF(AND(OR(LEFT(TH!L1279,2)="15",LEFT(TH!M1279,2)="15"),TK!$E$7=TH!F1279),"x","")</f>
        <v/>
      </c>
      <c r="X1279" s="525" t="str">
        <f>IF(AND('341-CT'!$E$9=H1279,OR(LEFT(L1279,3)=$X$7,LEFT(M1279,3)=$X$7)),"x","")</f>
        <v/>
      </c>
      <c r="Y1279" s="525" t="str">
        <f>IF(OR(TH!L1279=TH!$Y$7,M1279=TH!$Y$7),"x","")</f>
        <v/>
      </c>
      <c r="Z1279" s="525" t="str">
        <f>IF(AND(B1279&lt;=NKC!$N$8,B1279&gt;=NKC!$M$8),"x","")</f>
        <v>x</v>
      </c>
      <c r="AA1279" s="535"/>
    </row>
    <row r="1280" spans="1:27" s="503" customFormat="1" ht="15.75" customHeight="1">
      <c r="A1280" s="517" t="str">
        <f>IF(B1280&lt;&gt;"",IF(AND(B1280&gt;=_TM1,B1280&lt;=_TM2,OR(TH!L1280="1111",TH!M1280="1111")),TH!D1280,""),"")</f>
        <v/>
      </c>
      <c r="B1280" s="531">
        <f t="shared" si="119"/>
        <v>3</v>
      </c>
      <c r="C1280" s="315">
        <f t="shared" si="120"/>
        <v>42825</v>
      </c>
      <c r="D1280" s="315" t="s">
        <v>954</v>
      </c>
      <c r="E1280" s="315">
        <v>42825</v>
      </c>
      <c r="F1280" s="249" t="s">
        <v>724</v>
      </c>
      <c r="G1280" s="314" t="s">
        <v>789</v>
      </c>
      <c r="H1280" s="473" t="s">
        <v>284</v>
      </c>
      <c r="I1280" s="307">
        <v>16</v>
      </c>
      <c r="J1280" s="307">
        <v>8397</v>
      </c>
      <c r="K1280" s="532">
        <f t="shared" si="133"/>
        <v>134352</v>
      </c>
      <c r="L1280" s="534" t="s">
        <v>223</v>
      </c>
      <c r="M1280" s="534" t="s">
        <v>162</v>
      </c>
      <c r="N1280" s="525" t="str">
        <f>IF(AND('331-CT'!$E$7=TH!H1280,OR(L1280="331",M1280="331")),"331",IF(AND(OR(L1280="131",M1280="131"),H1280='131-CT'!$E$7),"131",""))</f>
        <v/>
      </c>
      <c r="O1280" s="525" t="str">
        <f>IF(AND($B1280&gt;='111'!$N$11,$B1280&lt;='111'!$O$11,OR($L1280=$O$7,$M1280=$O$7)),"x","")</f>
        <v/>
      </c>
      <c r="P1280" s="525" t="str">
        <f>IF(AND($L1280=$O$7,$B1280&lt;'111'!$N$11),"x","")</f>
        <v/>
      </c>
      <c r="Q1280" s="525" t="str">
        <f>IF(AND($M1280=$O$7,$B1280&lt;'111'!$N$11),"x","")</f>
        <v/>
      </c>
      <c r="R1280" s="525" t="str">
        <f>IF(ISERROR(FIND('112'!$M$9,G1280,1)),"",IF((AND(FIND('112'!$M$9,G1280,1)&gt;=1,$B1280&gt;='112'!$N$8,$B1280&lt;='112'!$O$8,OR($L1280='112'!$I$6,$M1280='112'!$I$6))),"x",""))</f>
        <v/>
      </c>
      <c r="S1280" s="525" t="str">
        <f>IF(ISERROR(FIND('112'!$M$9,G1280,1)),"",IF((AND(LEFT(G1280,2)=LEFT('112'!$M$9,2),B1280&lt;'112'!$N$8,$L1280='112'!$I$6)),"x",""))</f>
        <v/>
      </c>
      <c r="T1280" s="525" t="str">
        <f>IF(ISERROR(FIND('112'!$M$9,G1280,1)),"",IF((AND(RIGHT(G1280,2)=RIGHT('112'!$M$9,2),B1280&lt;'112'!$N$8,$M1280='112'!$I$6)),"x",""))</f>
        <v/>
      </c>
      <c r="U1280" s="525" t="str">
        <f>IF(AND(B1280&gt;='IN-NX'!$P$3,B1280&lt;='IN-NX'!$Q$3,'IN-NX'!$D$7=D1280,OR(LEFT(L1280,2)="15",AND(LEFT(M1280,2)&lt;&gt;"15",LEFT(M1280,2)&lt;&gt;"33"))),"x","")</f>
        <v/>
      </c>
      <c r="V1280" s="525" t="str">
        <f>IF(AND(OR(LEFT(TH!L1280,2)="15",LEFT(TH!M1280,2)="15"),'152-CT'!$J$8=TH!F1280),"x","")</f>
        <v/>
      </c>
      <c r="W1280" s="525" t="str">
        <f>IF(AND(OR(LEFT(TH!L1280,2)="15",LEFT(TH!M1280,2)="15"),TK!$E$7=TH!F1280),"x","")</f>
        <v/>
      </c>
      <c r="X1280" s="525" t="str">
        <f>IF(AND('341-CT'!$E$9=H1280,OR(LEFT(L1280,3)=$X$7,LEFT(M1280,3)=$X$7)),"x","")</f>
        <v/>
      </c>
      <c r="Y1280" s="525" t="str">
        <f>IF(OR(TH!L1280=TH!$Y$7,M1280=TH!$Y$7),"x","")</f>
        <v/>
      </c>
      <c r="Z1280" s="525" t="str">
        <f>IF(AND(B1280&lt;=NKC!$N$8,B1280&gt;=NKC!$M$8),"x","")</f>
        <v>x</v>
      </c>
      <c r="AA1280" s="535"/>
    </row>
    <row r="1281" spans="1:27" s="503" customFormat="1" ht="15.75" customHeight="1">
      <c r="A1281" s="517" t="str">
        <f>IF(B1281&lt;&gt;"",IF(AND(B1281&gt;=_TM1,B1281&lt;=_TM2,OR(TH!L1281="1111",TH!M1281="1111")),TH!D1281,""),"")</f>
        <v/>
      </c>
      <c r="B1281" s="531">
        <f t="shared" si="119"/>
        <v>3</v>
      </c>
      <c r="C1281" s="315">
        <f t="shared" si="120"/>
        <v>42825</v>
      </c>
      <c r="D1281" s="315" t="s">
        <v>954</v>
      </c>
      <c r="E1281" s="315">
        <v>42825</v>
      </c>
      <c r="F1281" s="249" t="s">
        <v>725</v>
      </c>
      <c r="G1281" s="314" t="s">
        <v>789</v>
      </c>
      <c r="H1281" s="473" t="s">
        <v>284</v>
      </c>
      <c r="I1281" s="307">
        <v>12</v>
      </c>
      <c r="J1281" s="307">
        <v>19360</v>
      </c>
      <c r="K1281" s="532">
        <f t="shared" si="133"/>
        <v>232320</v>
      </c>
      <c r="L1281" s="534" t="s">
        <v>223</v>
      </c>
      <c r="M1281" s="534" t="s">
        <v>162</v>
      </c>
      <c r="N1281" s="525" t="str">
        <f>IF(AND('331-CT'!$E$7=TH!H1281,OR(L1281="331",M1281="331")),"331",IF(AND(OR(L1281="131",M1281="131"),H1281='131-CT'!$E$7),"131",""))</f>
        <v/>
      </c>
      <c r="O1281" s="525" t="str">
        <f>IF(AND($B1281&gt;='111'!$N$11,$B1281&lt;='111'!$O$11,OR($L1281=$O$7,$M1281=$O$7)),"x","")</f>
        <v/>
      </c>
      <c r="P1281" s="525" t="str">
        <f>IF(AND($L1281=$O$7,$B1281&lt;'111'!$N$11),"x","")</f>
        <v/>
      </c>
      <c r="Q1281" s="525" t="str">
        <f>IF(AND($M1281=$O$7,$B1281&lt;'111'!$N$11),"x","")</f>
        <v/>
      </c>
      <c r="R1281" s="525" t="str">
        <f>IF(ISERROR(FIND('112'!$M$9,G1281,1)),"",IF((AND(FIND('112'!$M$9,G1281,1)&gt;=1,$B1281&gt;='112'!$N$8,$B1281&lt;='112'!$O$8,OR($L1281='112'!$I$6,$M1281='112'!$I$6))),"x",""))</f>
        <v/>
      </c>
      <c r="S1281" s="525" t="str">
        <f>IF(ISERROR(FIND('112'!$M$9,G1281,1)),"",IF((AND(LEFT(G1281,2)=LEFT('112'!$M$9,2),B1281&lt;'112'!$N$8,$L1281='112'!$I$6)),"x",""))</f>
        <v/>
      </c>
      <c r="T1281" s="525" t="str">
        <f>IF(ISERROR(FIND('112'!$M$9,G1281,1)),"",IF((AND(RIGHT(G1281,2)=RIGHT('112'!$M$9,2),B1281&lt;'112'!$N$8,$M1281='112'!$I$6)),"x",""))</f>
        <v/>
      </c>
      <c r="U1281" s="525" t="str">
        <f>IF(AND(B1281&gt;='IN-NX'!$P$3,B1281&lt;='IN-NX'!$Q$3,'IN-NX'!$D$7=D1281,OR(LEFT(L1281,2)="15",AND(LEFT(M1281,2)&lt;&gt;"15",LEFT(M1281,2)&lt;&gt;"33"))),"x","")</f>
        <v/>
      </c>
      <c r="V1281" s="525" t="str">
        <f>IF(AND(OR(LEFT(TH!L1281,2)="15",LEFT(TH!M1281,2)="15"),'152-CT'!$J$8=TH!F1281),"x","")</f>
        <v/>
      </c>
      <c r="W1281" s="525" t="str">
        <f>IF(AND(OR(LEFT(TH!L1281,2)="15",LEFT(TH!M1281,2)="15"),TK!$E$7=TH!F1281),"x","")</f>
        <v/>
      </c>
      <c r="X1281" s="525" t="str">
        <f>IF(AND('341-CT'!$E$9=H1281,OR(LEFT(L1281,3)=$X$7,LEFT(M1281,3)=$X$7)),"x","")</f>
        <v/>
      </c>
      <c r="Y1281" s="525" t="str">
        <f>IF(OR(TH!L1281=TH!$Y$7,M1281=TH!$Y$7),"x","")</f>
        <v/>
      </c>
      <c r="Z1281" s="525" t="str">
        <f>IF(AND(B1281&lt;=NKC!$N$8,B1281&gt;=NKC!$M$8),"x","")</f>
        <v>x</v>
      </c>
      <c r="AA1281" s="535"/>
    </row>
    <row r="1282" spans="1:27" s="503" customFormat="1" ht="15.75" customHeight="1">
      <c r="A1282" s="517" t="str">
        <f>IF(B1282&lt;&gt;"",IF(AND(B1282&gt;=_TM1,B1282&lt;=_TM2,OR(TH!L1282="1111",TH!M1282="1111")),TH!D1282,""),"")</f>
        <v/>
      </c>
      <c r="B1282" s="531">
        <f t="shared" si="119"/>
        <v>3</v>
      </c>
      <c r="C1282" s="315">
        <f>E1282</f>
        <v>42825</v>
      </c>
      <c r="D1282" s="315" t="s">
        <v>954</v>
      </c>
      <c r="E1282" s="315">
        <v>42825</v>
      </c>
      <c r="F1282" s="249" t="s">
        <v>726</v>
      </c>
      <c r="G1282" s="314" t="s">
        <v>789</v>
      </c>
      <c r="H1282" s="473" t="s">
        <v>284</v>
      </c>
      <c r="I1282" s="307">
        <v>18</v>
      </c>
      <c r="J1282" s="307">
        <v>7998</v>
      </c>
      <c r="K1282" s="532">
        <f t="shared" si="133"/>
        <v>143964</v>
      </c>
      <c r="L1282" s="534" t="s">
        <v>223</v>
      </c>
      <c r="M1282" s="534" t="s">
        <v>162</v>
      </c>
      <c r="N1282" s="525" t="str">
        <f>IF(AND('331-CT'!$E$7=TH!H1282,OR(L1282="331",M1282="331")),"331",IF(AND(OR(L1282="131",M1282="131"),H1282='131-CT'!$E$7),"131",""))</f>
        <v/>
      </c>
      <c r="O1282" s="525" t="str">
        <f>IF(AND($B1282&gt;='111'!$N$11,$B1282&lt;='111'!$O$11,OR($L1282=$O$7,$M1282=$O$7)),"x","")</f>
        <v/>
      </c>
      <c r="P1282" s="525" t="str">
        <f>IF(AND($L1282=$O$7,$B1282&lt;'111'!$N$11),"x","")</f>
        <v/>
      </c>
      <c r="Q1282" s="525" t="str">
        <f>IF(AND($M1282=$O$7,$B1282&lt;'111'!$N$11),"x","")</f>
        <v/>
      </c>
      <c r="R1282" s="525" t="str">
        <f>IF(ISERROR(FIND('112'!$M$9,G1282,1)),"",IF((AND(FIND('112'!$M$9,G1282,1)&gt;=1,$B1282&gt;='112'!$N$8,$B1282&lt;='112'!$O$8,OR($L1282='112'!$I$6,$M1282='112'!$I$6))),"x",""))</f>
        <v/>
      </c>
      <c r="S1282" s="525" t="str">
        <f>IF(ISERROR(FIND('112'!$M$9,G1282,1)),"",IF((AND(LEFT(G1282,2)=LEFT('112'!$M$9,2),B1282&lt;'112'!$N$8,$L1282='112'!$I$6)),"x",""))</f>
        <v/>
      </c>
      <c r="T1282" s="525" t="str">
        <f>IF(ISERROR(FIND('112'!$M$9,G1282,1)),"",IF((AND(RIGHT(G1282,2)=RIGHT('112'!$M$9,2),B1282&lt;'112'!$N$8,$M1282='112'!$I$6)),"x",""))</f>
        <v/>
      </c>
      <c r="U1282" s="525" t="str">
        <f>IF(AND(B1282&gt;='IN-NX'!$P$3,B1282&lt;='IN-NX'!$Q$3,'IN-NX'!$D$7=D1282,OR(LEFT(L1282,2)="15",AND(LEFT(M1282,2)&lt;&gt;"15",LEFT(M1282,2)&lt;&gt;"33"))),"x","")</f>
        <v/>
      </c>
      <c r="V1282" s="525" t="str">
        <f>IF(AND(OR(LEFT(TH!L1282,2)="15",LEFT(TH!M1282,2)="15"),'152-CT'!$J$8=TH!F1282),"x","")</f>
        <v/>
      </c>
      <c r="W1282" s="525" t="str">
        <f>IF(AND(OR(LEFT(TH!L1282,2)="15",LEFT(TH!M1282,2)="15"),TK!$E$7=TH!F1282),"x","")</f>
        <v/>
      </c>
      <c r="X1282" s="525" t="str">
        <f>IF(AND('341-CT'!$E$9=H1282,OR(LEFT(L1282,3)=$X$7,LEFT(M1282,3)=$X$7)),"x","")</f>
        <v/>
      </c>
      <c r="Y1282" s="525" t="str">
        <f>IF(OR(TH!L1282=TH!$Y$7,M1282=TH!$Y$7),"x","")</f>
        <v/>
      </c>
      <c r="Z1282" s="525" t="str">
        <f>IF(AND(B1282&lt;=NKC!$N$8,B1282&gt;=NKC!$M$8),"x","")</f>
        <v>x</v>
      </c>
      <c r="AA1282" s="535"/>
    </row>
    <row r="1283" spans="1:27" s="503" customFormat="1" ht="15.75" customHeight="1">
      <c r="A1283" s="517" t="str">
        <f>IF(B1283&lt;&gt;"",IF(AND(B1283&gt;=_TM1,B1283&lt;=_TM2,OR(TH!L1283="1111",TH!M1283="1111")),TH!D1283,""),"")</f>
        <v/>
      </c>
      <c r="B1283" s="531">
        <f t="shared" si="119"/>
        <v>3</v>
      </c>
      <c r="C1283" s="315">
        <f>E1283</f>
        <v>42825</v>
      </c>
      <c r="D1283" s="315" t="s">
        <v>954</v>
      </c>
      <c r="E1283" s="315">
        <v>42825</v>
      </c>
      <c r="F1283" s="249" t="s">
        <v>727</v>
      </c>
      <c r="G1283" s="314" t="s">
        <v>789</v>
      </c>
      <c r="H1283" s="473" t="s">
        <v>284</v>
      </c>
      <c r="I1283" s="307">
        <v>24</v>
      </c>
      <c r="J1283" s="307">
        <v>22979</v>
      </c>
      <c r="K1283" s="532">
        <f t="shared" si="133"/>
        <v>551496</v>
      </c>
      <c r="L1283" s="534" t="s">
        <v>223</v>
      </c>
      <c r="M1283" s="534" t="s">
        <v>162</v>
      </c>
      <c r="N1283" s="525" t="str">
        <f>IF(AND('331-CT'!$E$7=TH!H1283,OR(L1283="331",M1283="331")),"331",IF(AND(OR(L1283="131",M1283="131"),H1283='131-CT'!$E$7),"131",""))</f>
        <v/>
      </c>
      <c r="O1283" s="525" t="str">
        <f>IF(AND($B1283&gt;='111'!$N$11,$B1283&lt;='111'!$O$11,OR($L1283=$O$7,$M1283=$O$7)),"x","")</f>
        <v/>
      </c>
      <c r="P1283" s="525" t="str">
        <f>IF(AND($L1283=$O$7,$B1283&lt;'111'!$N$11),"x","")</f>
        <v/>
      </c>
      <c r="Q1283" s="525" t="str">
        <f>IF(AND($M1283=$O$7,$B1283&lt;'111'!$N$11),"x","")</f>
        <v/>
      </c>
      <c r="R1283" s="525" t="str">
        <f>IF(ISERROR(FIND('112'!$M$9,G1283,1)),"",IF((AND(FIND('112'!$M$9,G1283,1)&gt;=1,$B1283&gt;='112'!$N$8,$B1283&lt;='112'!$O$8,OR($L1283='112'!$I$6,$M1283='112'!$I$6))),"x",""))</f>
        <v/>
      </c>
      <c r="S1283" s="525" t="str">
        <f>IF(ISERROR(FIND('112'!$M$9,G1283,1)),"",IF((AND(LEFT(G1283,2)=LEFT('112'!$M$9,2),B1283&lt;'112'!$N$8,$L1283='112'!$I$6)),"x",""))</f>
        <v/>
      </c>
      <c r="T1283" s="525" t="str">
        <f>IF(ISERROR(FIND('112'!$M$9,G1283,1)),"",IF((AND(RIGHT(G1283,2)=RIGHT('112'!$M$9,2),B1283&lt;'112'!$N$8,$M1283='112'!$I$6)),"x",""))</f>
        <v/>
      </c>
      <c r="U1283" s="525" t="str">
        <f>IF(AND(B1283&gt;='IN-NX'!$P$3,B1283&lt;='IN-NX'!$Q$3,'IN-NX'!$D$7=D1283,OR(LEFT(L1283,2)="15",AND(LEFT(M1283,2)&lt;&gt;"15",LEFT(M1283,2)&lt;&gt;"33"))),"x","")</f>
        <v/>
      </c>
      <c r="V1283" s="525" t="str">
        <f>IF(AND(OR(LEFT(TH!L1283,2)="15",LEFT(TH!M1283,2)="15"),'152-CT'!$J$8=TH!F1283),"x","")</f>
        <v/>
      </c>
      <c r="W1283" s="525" t="str">
        <f>IF(AND(OR(LEFT(TH!L1283,2)="15",LEFT(TH!M1283,2)="15"),TK!$E$7=TH!F1283),"x","")</f>
        <v/>
      </c>
      <c r="X1283" s="525" t="str">
        <f>IF(AND('341-CT'!$E$9=H1283,OR(LEFT(L1283,3)=$X$7,LEFT(M1283,3)=$X$7)),"x","")</f>
        <v/>
      </c>
      <c r="Y1283" s="525" t="str">
        <f>IF(OR(TH!L1283=TH!$Y$7,M1283=TH!$Y$7),"x","")</f>
        <v/>
      </c>
      <c r="Z1283" s="525" t="str">
        <f>IF(AND(B1283&lt;=NKC!$N$8,B1283&gt;=NKC!$M$8),"x","")</f>
        <v>x</v>
      </c>
      <c r="AA1283" s="535"/>
    </row>
    <row r="1284" spans="1:27" s="503" customFormat="1" ht="15.75" customHeight="1">
      <c r="A1284" s="517" t="str">
        <f>IF(B1284&lt;&gt;"",IF(AND(B1284&gt;=_TM1,B1284&lt;=_TM2,OR(TH!L1284="1111",TH!M1284="1111")),TH!D1284,""),"")</f>
        <v/>
      </c>
      <c r="B1284" s="531">
        <f t="shared" si="119"/>
        <v>3</v>
      </c>
      <c r="C1284" s="315">
        <f t="shared" ref="C1284:C1291" si="134">E1284</f>
        <v>42825</v>
      </c>
      <c r="D1284" s="315" t="s">
        <v>954</v>
      </c>
      <c r="E1284" s="315">
        <v>42825</v>
      </c>
      <c r="F1284" s="249" t="s">
        <v>728</v>
      </c>
      <c r="G1284" s="314" t="s">
        <v>789</v>
      </c>
      <c r="H1284" s="473" t="s">
        <v>284</v>
      </c>
      <c r="I1284" s="307">
        <v>12</v>
      </c>
      <c r="J1284" s="307">
        <v>20450</v>
      </c>
      <c r="K1284" s="532">
        <f t="shared" ref="K1284:K1291" si="135">ROUND(I1284*J1284,0)</f>
        <v>245400</v>
      </c>
      <c r="L1284" s="534" t="s">
        <v>223</v>
      </c>
      <c r="M1284" s="534" t="s">
        <v>162</v>
      </c>
      <c r="N1284" s="525" t="str">
        <f>IF(AND('331-CT'!$E$7=TH!H1284,OR(L1284="331",M1284="331")),"331",IF(AND(OR(L1284="131",M1284="131"),H1284='131-CT'!$E$7),"131",""))</f>
        <v/>
      </c>
      <c r="O1284" s="525" t="str">
        <f>IF(AND($B1284&gt;='111'!$N$11,$B1284&lt;='111'!$O$11,OR($L1284=$O$7,$M1284=$O$7)),"x","")</f>
        <v/>
      </c>
      <c r="P1284" s="525" t="str">
        <f>IF(AND($L1284=$O$7,$B1284&lt;'111'!$N$11),"x","")</f>
        <v/>
      </c>
      <c r="Q1284" s="525" t="str">
        <f>IF(AND($M1284=$O$7,$B1284&lt;'111'!$N$11),"x","")</f>
        <v/>
      </c>
      <c r="R1284" s="525" t="str">
        <f>IF(ISERROR(FIND('112'!$M$9,G1284,1)),"",IF((AND(FIND('112'!$M$9,G1284,1)&gt;=1,$B1284&gt;='112'!$N$8,$B1284&lt;='112'!$O$8,OR($L1284='112'!$I$6,$M1284='112'!$I$6))),"x",""))</f>
        <v/>
      </c>
      <c r="S1284" s="525" t="str">
        <f>IF(ISERROR(FIND('112'!$M$9,G1284,1)),"",IF((AND(LEFT(G1284,2)=LEFT('112'!$M$9,2),B1284&lt;'112'!$N$8,$L1284='112'!$I$6)),"x",""))</f>
        <v/>
      </c>
      <c r="T1284" s="525" t="str">
        <f>IF(ISERROR(FIND('112'!$M$9,G1284,1)),"",IF((AND(RIGHT(G1284,2)=RIGHT('112'!$M$9,2),B1284&lt;'112'!$N$8,$M1284='112'!$I$6)),"x",""))</f>
        <v/>
      </c>
      <c r="U1284" s="525" t="str">
        <f>IF(AND(B1284&gt;='IN-NX'!$P$3,B1284&lt;='IN-NX'!$Q$3,'IN-NX'!$D$7=D1284,OR(LEFT(L1284,2)="15",AND(LEFT(M1284,2)&lt;&gt;"15",LEFT(M1284,2)&lt;&gt;"33"))),"x","")</f>
        <v/>
      </c>
      <c r="V1284" s="525" t="str">
        <f>IF(AND(OR(LEFT(TH!L1284,2)="15",LEFT(TH!M1284,2)="15"),'152-CT'!$J$8=TH!F1284),"x","")</f>
        <v/>
      </c>
      <c r="W1284" s="525" t="str">
        <f>IF(AND(OR(LEFT(TH!L1284,2)="15",LEFT(TH!M1284,2)="15"),TK!$E$7=TH!F1284),"x","")</f>
        <v/>
      </c>
      <c r="X1284" s="525" t="str">
        <f>IF(AND('341-CT'!$E$9=H1284,OR(LEFT(L1284,3)=$X$7,LEFT(M1284,3)=$X$7)),"x","")</f>
        <v/>
      </c>
      <c r="Y1284" s="525" t="str">
        <f>IF(OR(TH!L1284=TH!$Y$7,M1284=TH!$Y$7),"x","")</f>
        <v/>
      </c>
      <c r="Z1284" s="525" t="str">
        <f>IF(AND(B1284&lt;=NKC!$N$8,B1284&gt;=NKC!$M$8),"x","")</f>
        <v>x</v>
      </c>
      <c r="AA1284" s="535"/>
    </row>
    <row r="1285" spans="1:27" s="503" customFormat="1" ht="15.75" customHeight="1">
      <c r="A1285" s="517" t="str">
        <f>IF(B1285&lt;&gt;"",IF(AND(B1285&gt;=_TM1,B1285&lt;=_TM2,OR(TH!L1285="1111",TH!M1285="1111")),TH!D1285,""),"")</f>
        <v/>
      </c>
      <c r="B1285" s="531">
        <f t="shared" si="119"/>
        <v>3</v>
      </c>
      <c r="C1285" s="315">
        <f t="shared" si="134"/>
        <v>42825</v>
      </c>
      <c r="D1285" s="315" t="s">
        <v>954</v>
      </c>
      <c r="E1285" s="315">
        <v>42825</v>
      </c>
      <c r="F1285" s="249" t="s">
        <v>729</v>
      </c>
      <c r="G1285" s="314" t="s">
        <v>789</v>
      </c>
      <c r="H1285" s="473" t="s">
        <v>284</v>
      </c>
      <c r="I1285" s="307">
        <v>24</v>
      </c>
      <c r="J1285" s="307">
        <v>12083</v>
      </c>
      <c r="K1285" s="532">
        <f t="shared" si="135"/>
        <v>289992</v>
      </c>
      <c r="L1285" s="534" t="s">
        <v>223</v>
      </c>
      <c r="M1285" s="534" t="s">
        <v>162</v>
      </c>
      <c r="N1285" s="525" t="str">
        <f>IF(AND('331-CT'!$E$7=TH!H1285,OR(L1285="331",M1285="331")),"331",IF(AND(OR(L1285="131",M1285="131"),H1285='131-CT'!$E$7),"131",""))</f>
        <v/>
      </c>
      <c r="O1285" s="525" t="str">
        <f>IF(AND($B1285&gt;='111'!$N$11,$B1285&lt;='111'!$O$11,OR($L1285=$O$7,$M1285=$O$7)),"x","")</f>
        <v/>
      </c>
      <c r="P1285" s="525" t="str">
        <f>IF(AND($L1285=$O$7,$B1285&lt;'111'!$N$11),"x","")</f>
        <v/>
      </c>
      <c r="Q1285" s="525" t="str">
        <f>IF(AND($M1285=$O$7,$B1285&lt;'111'!$N$11),"x","")</f>
        <v/>
      </c>
      <c r="R1285" s="525" t="str">
        <f>IF(ISERROR(FIND('112'!$M$9,G1285,1)),"",IF((AND(FIND('112'!$M$9,G1285,1)&gt;=1,$B1285&gt;='112'!$N$8,$B1285&lt;='112'!$O$8,OR($L1285='112'!$I$6,$M1285='112'!$I$6))),"x",""))</f>
        <v/>
      </c>
      <c r="S1285" s="525" t="str">
        <f>IF(ISERROR(FIND('112'!$M$9,G1285,1)),"",IF((AND(LEFT(G1285,2)=LEFT('112'!$M$9,2),B1285&lt;'112'!$N$8,$L1285='112'!$I$6)),"x",""))</f>
        <v/>
      </c>
      <c r="T1285" s="525" t="str">
        <f>IF(ISERROR(FIND('112'!$M$9,G1285,1)),"",IF((AND(RIGHT(G1285,2)=RIGHT('112'!$M$9,2),B1285&lt;'112'!$N$8,$M1285='112'!$I$6)),"x",""))</f>
        <v/>
      </c>
      <c r="U1285" s="525" t="str">
        <f>IF(AND(B1285&gt;='IN-NX'!$P$3,B1285&lt;='IN-NX'!$Q$3,'IN-NX'!$D$7=D1285,OR(LEFT(L1285,2)="15",AND(LEFT(M1285,2)&lt;&gt;"15",LEFT(M1285,2)&lt;&gt;"33"))),"x","")</f>
        <v/>
      </c>
      <c r="V1285" s="525" t="str">
        <f>IF(AND(OR(LEFT(TH!L1285,2)="15",LEFT(TH!M1285,2)="15"),'152-CT'!$J$8=TH!F1285),"x","")</f>
        <v/>
      </c>
      <c r="W1285" s="525" t="str">
        <f>IF(AND(OR(LEFT(TH!L1285,2)="15",LEFT(TH!M1285,2)="15"),TK!$E$7=TH!F1285),"x","")</f>
        <v/>
      </c>
      <c r="X1285" s="525" t="str">
        <f>IF(AND('341-CT'!$E$9=H1285,OR(LEFT(L1285,3)=$X$7,LEFT(M1285,3)=$X$7)),"x","")</f>
        <v/>
      </c>
      <c r="Y1285" s="525" t="str">
        <f>IF(OR(TH!L1285=TH!$Y$7,M1285=TH!$Y$7),"x","")</f>
        <v/>
      </c>
      <c r="Z1285" s="525" t="str">
        <f>IF(AND(B1285&lt;=NKC!$N$8,B1285&gt;=NKC!$M$8),"x","")</f>
        <v>x</v>
      </c>
      <c r="AA1285" s="535"/>
    </row>
    <row r="1286" spans="1:27" s="503" customFormat="1" ht="15.75" customHeight="1">
      <c r="A1286" s="517" t="str">
        <f>IF(B1286&lt;&gt;"",IF(AND(B1286&gt;=_TM1,B1286&lt;=_TM2,OR(TH!L1286="1111",TH!M1286="1111")),TH!D1286,""),"")</f>
        <v/>
      </c>
      <c r="B1286" s="531">
        <f t="shared" si="119"/>
        <v>3</v>
      </c>
      <c r="C1286" s="315">
        <f t="shared" si="134"/>
        <v>42825</v>
      </c>
      <c r="D1286" s="315" t="s">
        <v>954</v>
      </c>
      <c r="E1286" s="315">
        <v>42825</v>
      </c>
      <c r="F1286" s="249" t="s">
        <v>649</v>
      </c>
      <c r="G1286" s="314" t="s">
        <v>789</v>
      </c>
      <c r="H1286" s="473" t="s">
        <v>284</v>
      </c>
      <c r="I1286" s="307">
        <v>40</v>
      </c>
      <c r="J1286" s="307">
        <v>62746</v>
      </c>
      <c r="K1286" s="532">
        <f t="shared" si="135"/>
        <v>2509840</v>
      </c>
      <c r="L1286" s="534" t="s">
        <v>223</v>
      </c>
      <c r="M1286" s="534" t="s">
        <v>162</v>
      </c>
      <c r="N1286" s="525" t="str">
        <f>IF(AND('331-CT'!$E$7=TH!H1286,OR(L1286="331",M1286="331")),"331",IF(AND(OR(L1286="131",M1286="131"),H1286='131-CT'!$E$7),"131",""))</f>
        <v/>
      </c>
      <c r="O1286" s="525" t="str">
        <f>IF(AND($B1286&gt;='111'!$N$11,$B1286&lt;='111'!$O$11,OR($L1286=$O$7,$M1286=$O$7)),"x","")</f>
        <v/>
      </c>
      <c r="P1286" s="525" t="str">
        <f>IF(AND($L1286=$O$7,$B1286&lt;'111'!$N$11),"x","")</f>
        <v/>
      </c>
      <c r="Q1286" s="525" t="str">
        <f>IF(AND($M1286=$O$7,$B1286&lt;'111'!$N$11),"x","")</f>
        <v/>
      </c>
      <c r="R1286" s="525" t="str">
        <f>IF(ISERROR(FIND('112'!$M$9,G1286,1)),"",IF((AND(FIND('112'!$M$9,G1286,1)&gt;=1,$B1286&gt;='112'!$N$8,$B1286&lt;='112'!$O$8,OR($L1286='112'!$I$6,$M1286='112'!$I$6))),"x",""))</f>
        <v/>
      </c>
      <c r="S1286" s="525" t="str">
        <f>IF(ISERROR(FIND('112'!$M$9,G1286,1)),"",IF((AND(LEFT(G1286,2)=LEFT('112'!$M$9,2),B1286&lt;'112'!$N$8,$L1286='112'!$I$6)),"x",""))</f>
        <v/>
      </c>
      <c r="T1286" s="525" t="str">
        <f>IF(ISERROR(FIND('112'!$M$9,G1286,1)),"",IF((AND(RIGHT(G1286,2)=RIGHT('112'!$M$9,2),B1286&lt;'112'!$N$8,$M1286='112'!$I$6)),"x",""))</f>
        <v/>
      </c>
      <c r="U1286" s="525" t="str">
        <f>IF(AND(B1286&gt;='IN-NX'!$P$3,B1286&lt;='IN-NX'!$Q$3,'IN-NX'!$D$7=D1286,OR(LEFT(L1286,2)="15",AND(LEFT(M1286,2)&lt;&gt;"15",LEFT(M1286,2)&lt;&gt;"33"))),"x","")</f>
        <v/>
      </c>
      <c r="V1286" s="525" t="str">
        <f>IF(AND(OR(LEFT(TH!L1286,2)="15",LEFT(TH!M1286,2)="15"),'152-CT'!$J$8=TH!F1286),"x","")</f>
        <v/>
      </c>
      <c r="W1286" s="525" t="str">
        <f>IF(AND(OR(LEFT(TH!L1286,2)="15",LEFT(TH!M1286,2)="15"),TK!$E$7=TH!F1286),"x","")</f>
        <v/>
      </c>
      <c r="X1286" s="525" t="str">
        <f>IF(AND('341-CT'!$E$9=H1286,OR(LEFT(L1286,3)=$X$7,LEFT(M1286,3)=$X$7)),"x","")</f>
        <v/>
      </c>
      <c r="Y1286" s="525" t="str">
        <f>IF(OR(TH!L1286=TH!$Y$7,M1286=TH!$Y$7),"x","")</f>
        <v/>
      </c>
      <c r="Z1286" s="525" t="str">
        <f>IF(AND(B1286&lt;=NKC!$N$8,B1286&gt;=NKC!$M$8),"x","")</f>
        <v>x</v>
      </c>
      <c r="AA1286" s="535"/>
    </row>
    <row r="1287" spans="1:27" s="503" customFormat="1" ht="15.75" customHeight="1">
      <c r="A1287" s="517" t="str">
        <f>IF(B1287&lt;&gt;"",IF(AND(B1287&gt;=_TM1,B1287&lt;=_TM2,OR(TH!L1287="1111",TH!M1287="1111")),TH!D1287,""),"")</f>
        <v/>
      </c>
      <c r="B1287" s="531">
        <f t="shared" si="119"/>
        <v>3</v>
      </c>
      <c r="C1287" s="315">
        <f t="shared" si="134"/>
        <v>42825</v>
      </c>
      <c r="D1287" s="315" t="s">
        <v>954</v>
      </c>
      <c r="E1287" s="315">
        <v>42825</v>
      </c>
      <c r="F1287" s="249" t="s">
        <v>653</v>
      </c>
      <c r="G1287" s="314" t="s">
        <v>789</v>
      </c>
      <c r="H1287" s="473" t="s">
        <v>284</v>
      </c>
      <c r="I1287" s="307">
        <v>15</v>
      </c>
      <c r="J1287" s="307">
        <v>65008</v>
      </c>
      <c r="K1287" s="532">
        <f t="shared" si="135"/>
        <v>975120</v>
      </c>
      <c r="L1287" s="534" t="s">
        <v>223</v>
      </c>
      <c r="M1287" s="534" t="s">
        <v>162</v>
      </c>
      <c r="N1287" s="525" t="str">
        <f>IF(AND('331-CT'!$E$7=TH!H1287,OR(L1287="331",M1287="331")),"331",IF(AND(OR(L1287="131",M1287="131"),H1287='131-CT'!$E$7),"131",""))</f>
        <v/>
      </c>
      <c r="O1287" s="525" t="str">
        <f>IF(AND($B1287&gt;='111'!$N$11,$B1287&lt;='111'!$O$11,OR($L1287=$O$7,$M1287=$O$7)),"x","")</f>
        <v/>
      </c>
      <c r="P1287" s="525" t="str">
        <f>IF(AND($L1287=$O$7,$B1287&lt;'111'!$N$11),"x","")</f>
        <v/>
      </c>
      <c r="Q1287" s="525" t="str">
        <f>IF(AND($M1287=$O$7,$B1287&lt;'111'!$N$11),"x","")</f>
        <v/>
      </c>
      <c r="R1287" s="525" t="str">
        <f>IF(ISERROR(FIND('112'!$M$9,G1287,1)),"",IF((AND(FIND('112'!$M$9,G1287,1)&gt;=1,$B1287&gt;='112'!$N$8,$B1287&lt;='112'!$O$8,OR($L1287='112'!$I$6,$M1287='112'!$I$6))),"x",""))</f>
        <v/>
      </c>
      <c r="S1287" s="525" t="str">
        <f>IF(ISERROR(FIND('112'!$M$9,G1287,1)),"",IF((AND(LEFT(G1287,2)=LEFT('112'!$M$9,2),B1287&lt;'112'!$N$8,$L1287='112'!$I$6)),"x",""))</f>
        <v/>
      </c>
      <c r="T1287" s="525" t="str">
        <f>IF(ISERROR(FIND('112'!$M$9,G1287,1)),"",IF((AND(RIGHT(G1287,2)=RIGHT('112'!$M$9,2),B1287&lt;'112'!$N$8,$M1287='112'!$I$6)),"x",""))</f>
        <v/>
      </c>
      <c r="U1287" s="525" t="str">
        <f>IF(AND(B1287&gt;='IN-NX'!$P$3,B1287&lt;='IN-NX'!$Q$3,'IN-NX'!$D$7=D1287,OR(LEFT(L1287,2)="15",AND(LEFT(M1287,2)&lt;&gt;"15",LEFT(M1287,2)&lt;&gt;"33"))),"x","")</f>
        <v/>
      </c>
      <c r="V1287" s="525" t="str">
        <f>IF(AND(OR(LEFT(TH!L1287,2)="15",LEFT(TH!M1287,2)="15"),'152-CT'!$J$8=TH!F1287),"x","")</f>
        <v/>
      </c>
      <c r="W1287" s="525" t="str">
        <f>IF(AND(OR(LEFT(TH!L1287,2)="15",LEFT(TH!M1287,2)="15"),TK!$E$7=TH!F1287),"x","")</f>
        <v/>
      </c>
      <c r="X1287" s="525" t="str">
        <f>IF(AND('341-CT'!$E$9=H1287,OR(LEFT(L1287,3)=$X$7,LEFT(M1287,3)=$X$7)),"x","")</f>
        <v/>
      </c>
      <c r="Y1287" s="525" t="str">
        <f>IF(OR(TH!L1287=TH!$Y$7,M1287=TH!$Y$7),"x","")</f>
        <v/>
      </c>
      <c r="Z1287" s="525" t="str">
        <f>IF(AND(B1287&lt;=NKC!$N$8,B1287&gt;=NKC!$M$8),"x","")</f>
        <v>x</v>
      </c>
      <c r="AA1287" s="535"/>
    </row>
    <row r="1288" spans="1:27" s="503" customFormat="1" ht="15.75" customHeight="1">
      <c r="A1288" s="517" t="str">
        <f>IF(B1288&lt;&gt;"",IF(AND(B1288&gt;=_TM1,B1288&lt;=_TM2,OR(TH!L1288="1111",TH!M1288="1111")),TH!D1288,""),"")</f>
        <v/>
      </c>
      <c r="B1288" s="531">
        <f t="shared" si="119"/>
        <v>3</v>
      </c>
      <c r="C1288" s="315">
        <f t="shared" si="134"/>
        <v>42825</v>
      </c>
      <c r="D1288" s="315" t="s">
        <v>954</v>
      </c>
      <c r="E1288" s="315">
        <v>42825</v>
      </c>
      <c r="F1288" s="249" t="s">
        <v>654</v>
      </c>
      <c r="G1288" s="314" t="s">
        <v>789</v>
      </c>
      <c r="H1288" s="473" t="s">
        <v>284</v>
      </c>
      <c r="I1288" s="307">
        <v>20</v>
      </c>
      <c r="J1288" s="307">
        <v>73230</v>
      </c>
      <c r="K1288" s="532">
        <f t="shared" si="135"/>
        <v>1464600</v>
      </c>
      <c r="L1288" s="534" t="s">
        <v>223</v>
      </c>
      <c r="M1288" s="534" t="s">
        <v>162</v>
      </c>
      <c r="N1288" s="525" t="str">
        <f>IF(AND('331-CT'!$E$7=TH!H1288,OR(L1288="331",M1288="331")),"331",IF(AND(OR(L1288="131",M1288="131"),H1288='131-CT'!$E$7),"131",""))</f>
        <v/>
      </c>
      <c r="O1288" s="525" t="str">
        <f>IF(AND($B1288&gt;='111'!$N$11,$B1288&lt;='111'!$O$11,OR($L1288=$O$7,$M1288=$O$7)),"x","")</f>
        <v/>
      </c>
      <c r="P1288" s="525" t="str">
        <f>IF(AND($L1288=$O$7,$B1288&lt;'111'!$N$11),"x","")</f>
        <v/>
      </c>
      <c r="Q1288" s="525" t="str">
        <f>IF(AND($M1288=$O$7,$B1288&lt;'111'!$N$11),"x","")</f>
        <v/>
      </c>
      <c r="R1288" s="525" t="str">
        <f>IF(ISERROR(FIND('112'!$M$9,G1288,1)),"",IF((AND(FIND('112'!$M$9,G1288,1)&gt;=1,$B1288&gt;='112'!$N$8,$B1288&lt;='112'!$O$8,OR($L1288='112'!$I$6,$M1288='112'!$I$6))),"x",""))</f>
        <v/>
      </c>
      <c r="S1288" s="525" t="str">
        <f>IF(ISERROR(FIND('112'!$M$9,G1288,1)),"",IF((AND(LEFT(G1288,2)=LEFT('112'!$M$9,2),B1288&lt;'112'!$N$8,$L1288='112'!$I$6)),"x",""))</f>
        <v/>
      </c>
      <c r="T1288" s="525" t="str">
        <f>IF(ISERROR(FIND('112'!$M$9,G1288,1)),"",IF((AND(RIGHT(G1288,2)=RIGHT('112'!$M$9,2),B1288&lt;'112'!$N$8,$M1288='112'!$I$6)),"x",""))</f>
        <v/>
      </c>
      <c r="U1288" s="525" t="str">
        <f>IF(AND(B1288&gt;='IN-NX'!$P$3,B1288&lt;='IN-NX'!$Q$3,'IN-NX'!$D$7=D1288,OR(LEFT(L1288,2)="15",AND(LEFT(M1288,2)&lt;&gt;"15",LEFT(M1288,2)&lt;&gt;"33"))),"x","")</f>
        <v/>
      </c>
      <c r="V1288" s="525" t="str">
        <f>IF(AND(OR(LEFT(TH!L1288,2)="15",LEFT(TH!M1288,2)="15"),'152-CT'!$J$8=TH!F1288),"x","")</f>
        <v/>
      </c>
      <c r="W1288" s="525" t="str">
        <f>IF(AND(OR(LEFT(TH!L1288,2)="15",LEFT(TH!M1288,2)="15"),TK!$E$7=TH!F1288),"x","")</f>
        <v/>
      </c>
      <c r="X1288" s="525" t="str">
        <f>IF(AND('341-CT'!$E$9=H1288,OR(LEFT(L1288,3)=$X$7,LEFT(M1288,3)=$X$7)),"x","")</f>
        <v/>
      </c>
      <c r="Y1288" s="525" t="str">
        <f>IF(OR(TH!L1288=TH!$Y$7,M1288=TH!$Y$7),"x","")</f>
        <v/>
      </c>
      <c r="Z1288" s="525" t="str">
        <f>IF(AND(B1288&lt;=NKC!$N$8,B1288&gt;=NKC!$M$8),"x","")</f>
        <v>x</v>
      </c>
      <c r="AA1288" s="535"/>
    </row>
    <row r="1289" spans="1:27" s="503" customFormat="1" ht="15.75" customHeight="1">
      <c r="A1289" s="517" t="str">
        <f>IF(B1289&lt;&gt;"",IF(AND(B1289&gt;=_TM1,B1289&lt;=_TM2,OR(TH!L1289="1111",TH!M1289="1111")),TH!D1289,""),"")</f>
        <v/>
      </c>
      <c r="B1289" s="531">
        <f t="shared" si="119"/>
        <v>3</v>
      </c>
      <c r="C1289" s="315">
        <f t="shared" si="134"/>
        <v>42825</v>
      </c>
      <c r="D1289" s="315" t="s">
        <v>954</v>
      </c>
      <c r="E1289" s="315">
        <v>42825</v>
      </c>
      <c r="F1289" s="249" t="s">
        <v>737</v>
      </c>
      <c r="G1289" s="314" t="s">
        <v>789</v>
      </c>
      <c r="H1289" s="473" t="s">
        <v>284</v>
      </c>
      <c r="I1289" s="307">
        <v>30</v>
      </c>
      <c r="J1289" s="307">
        <v>85785</v>
      </c>
      <c r="K1289" s="532">
        <f t="shared" si="135"/>
        <v>2573550</v>
      </c>
      <c r="L1289" s="534" t="s">
        <v>223</v>
      </c>
      <c r="M1289" s="534" t="s">
        <v>162</v>
      </c>
      <c r="N1289" s="525" t="str">
        <f>IF(AND('331-CT'!$E$7=TH!H1289,OR(L1289="331",M1289="331")),"331",IF(AND(OR(L1289="131",M1289="131"),H1289='131-CT'!$E$7),"131",""))</f>
        <v/>
      </c>
      <c r="O1289" s="525" t="str">
        <f>IF(AND($B1289&gt;='111'!$N$11,$B1289&lt;='111'!$O$11,OR($L1289=$O$7,$M1289=$O$7)),"x","")</f>
        <v/>
      </c>
      <c r="P1289" s="525" t="str">
        <f>IF(AND($L1289=$O$7,$B1289&lt;'111'!$N$11),"x","")</f>
        <v/>
      </c>
      <c r="Q1289" s="525" t="str">
        <f>IF(AND($M1289=$O$7,$B1289&lt;'111'!$N$11),"x","")</f>
        <v/>
      </c>
      <c r="R1289" s="525" t="str">
        <f>IF(ISERROR(FIND('112'!$M$9,G1289,1)),"",IF((AND(FIND('112'!$M$9,G1289,1)&gt;=1,$B1289&gt;='112'!$N$8,$B1289&lt;='112'!$O$8,OR($L1289='112'!$I$6,$M1289='112'!$I$6))),"x",""))</f>
        <v/>
      </c>
      <c r="S1289" s="525" t="str">
        <f>IF(ISERROR(FIND('112'!$M$9,G1289,1)),"",IF((AND(LEFT(G1289,2)=LEFT('112'!$M$9,2),B1289&lt;'112'!$N$8,$L1289='112'!$I$6)),"x",""))</f>
        <v/>
      </c>
      <c r="T1289" s="525" t="str">
        <f>IF(ISERROR(FIND('112'!$M$9,G1289,1)),"",IF((AND(RIGHT(G1289,2)=RIGHT('112'!$M$9,2),B1289&lt;'112'!$N$8,$M1289='112'!$I$6)),"x",""))</f>
        <v/>
      </c>
      <c r="U1289" s="525" t="str">
        <f>IF(AND(B1289&gt;='IN-NX'!$P$3,B1289&lt;='IN-NX'!$Q$3,'IN-NX'!$D$7=D1289,OR(LEFT(L1289,2)="15",AND(LEFT(M1289,2)&lt;&gt;"15",LEFT(M1289,2)&lt;&gt;"33"))),"x","")</f>
        <v/>
      </c>
      <c r="V1289" s="525" t="str">
        <f>IF(AND(OR(LEFT(TH!L1289,2)="15",LEFT(TH!M1289,2)="15"),'152-CT'!$J$8=TH!F1289),"x","")</f>
        <v/>
      </c>
      <c r="W1289" s="525" t="str">
        <f>IF(AND(OR(LEFT(TH!L1289,2)="15",LEFT(TH!M1289,2)="15"),TK!$E$7=TH!F1289),"x","")</f>
        <v/>
      </c>
      <c r="X1289" s="525" t="str">
        <f>IF(AND('341-CT'!$E$9=H1289,OR(LEFT(L1289,3)=$X$7,LEFT(M1289,3)=$X$7)),"x","")</f>
        <v/>
      </c>
      <c r="Y1289" s="525" t="str">
        <f>IF(OR(TH!L1289=TH!$Y$7,M1289=TH!$Y$7),"x","")</f>
        <v/>
      </c>
      <c r="Z1289" s="525" t="str">
        <f>IF(AND(B1289&lt;=NKC!$N$8,B1289&gt;=NKC!$M$8),"x","")</f>
        <v>x</v>
      </c>
      <c r="AA1289" s="535"/>
    </row>
    <row r="1290" spans="1:27" s="503" customFormat="1" ht="15.75" customHeight="1">
      <c r="A1290" s="517" t="str">
        <f>IF(B1290&lt;&gt;"",IF(AND(B1290&gt;=_TM1,B1290&lt;=_TM2,OR(TH!L1290="1111",TH!M1290="1111")),TH!D1290,""),"")</f>
        <v/>
      </c>
      <c r="B1290" s="531">
        <f t="shared" si="119"/>
        <v>3</v>
      </c>
      <c r="C1290" s="315">
        <f t="shared" si="134"/>
        <v>42825</v>
      </c>
      <c r="D1290" s="315" t="s">
        <v>955</v>
      </c>
      <c r="E1290" s="315">
        <v>42825</v>
      </c>
      <c r="F1290" s="249" t="s">
        <v>730</v>
      </c>
      <c r="G1290" s="314" t="s">
        <v>789</v>
      </c>
      <c r="H1290" s="473" t="s">
        <v>284</v>
      </c>
      <c r="I1290" s="307">
        <v>6</v>
      </c>
      <c r="J1290" s="307">
        <v>37490</v>
      </c>
      <c r="K1290" s="532">
        <f t="shared" si="135"/>
        <v>224940</v>
      </c>
      <c r="L1290" s="534" t="s">
        <v>223</v>
      </c>
      <c r="M1290" s="534" t="s">
        <v>162</v>
      </c>
      <c r="N1290" s="525" t="str">
        <f>IF(AND('331-CT'!$E$7=TH!H1290,OR(L1290="331",M1290="331")),"331",IF(AND(OR(L1290="131",M1290="131"),H1290='131-CT'!$E$7),"131",""))</f>
        <v/>
      </c>
      <c r="O1290" s="525" t="str">
        <f>IF(AND($B1290&gt;='111'!$N$11,$B1290&lt;='111'!$O$11,OR($L1290=$O$7,$M1290=$O$7)),"x","")</f>
        <v/>
      </c>
      <c r="P1290" s="525" t="str">
        <f>IF(AND($L1290=$O$7,$B1290&lt;'111'!$N$11),"x","")</f>
        <v/>
      </c>
      <c r="Q1290" s="525" t="str">
        <f>IF(AND($M1290=$O$7,$B1290&lt;'111'!$N$11),"x","")</f>
        <v/>
      </c>
      <c r="R1290" s="525" t="str">
        <f>IF(ISERROR(FIND('112'!$M$9,G1290,1)),"",IF((AND(FIND('112'!$M$9,G1290,1)&gt;=1,$B1290&gt;='112'!$N$8,$B1290&lt;='112'!$O$8,OR($L1290='112'!$I$6,$M1290='112'!$I$6))),"x",""))</f>
        <v/>
      </c>
      <c r="S1290" s="525" t="str">
        <f>IF(ISERROR(FIND('112'!$M$9,G1290,1)),"",IF((AND(LEFT(G1290,2)=LEFT('112'!$M$9,2),B1290&lt;'112'!$N$8,$L1290='112'!$I$6)),"x",""))</f>
        <v/>
      </c>
      <c r="T1290" s="525" t="str">
        <f>IF(ISERROR(FIND('112'!$M$9,G1290,1)),"",IF((AND(RIGHT(G1290,2)=RIGHT('112'!$M$9,2),B1290&lt;'112'!$N$8,$M1290='112'!$I$6)),"x",""))</f>
        <v/>
      </c>
      <c r="U1290" s="525" t="str">
        <f>IF(AND(B1290&gt;='IN-NX'!$P$3,B1290&lt;='IN-NX'!$Q$3,'IN-NX'!$D$7=D1290,OR(LEFT(L1290,2)="15",AND(LEFT(M1290,2)&lt;&gt;"15",LEFT(M1290,2)&lt;&gt;"33"))),"x","")</f>
        <v/>
      </c>
      <c r="V1290" s="525" t="str">
        <f>IF(AND(OR(LEFT(TH!L1290,2)="15",LEFT(TH!M1290,2)="15"),'152-CT'!$J$8=TH!F1290),"x","")</f>
        <v/>
      </c>
      <c r="W1290" s="525" t="str">
        <f>IF(AND(OR(LEFT(TH!L1290,2)="15",LEFT(TH!M1290,2)="15"),TK!$E$7=TH!F1290),"x","")</f>
        <v/>
      </c>
      <c r="X1290" s="525" t="str">
        <f>IF(AND('341-CT'!$E$9=H1290,OR(LEFT(L1290,3)=$X$7,LEFT(M1290,3)=$X$7)),"x","")</f>
        <v/>
      </c>
      <c r="Y1290" s="525" t="str">
        <f>IF(OR(TH!L1290=TH!$Y$7,M1290=TH!$Y$7),"x","")</f>
        <v/>
      </c>
      <c r="Z1290" s="525" t="str">
        <f>IF(AND(B1290&lt;=NKC!$N$8,B1290&gt;=NKC!$M$8),"x","")</f>
        <v>x</v>
      </c>
      <c r="AA1290" s="535"/>
    </row>
    <row r="1291" spans="1:27" s="503" customFormat="1" ht="15.75" customHeight="1">
      <c r="A1291" s="517" t="str">
        <f>IF(B1291&lt;&gt;"",IF(AND(B1291&gt;=_TM1,B1291&lt;=_TM2,OR(TH!L1291="1111",TH!M1291="1111")),TH!D1291,""),"")</f>
        <v/>
      </c>
      <c r="B1291" s="531">
        <f t="shared" si="119"/>
        <v>3</v>
      </c>
      <c r="C1291" s="315">
        <f t="shared" si="134"/>
        <v>42825</v>
      </c>
      <c r="D1291" s="315" t="s">
        <v>955</v>
      </c>
      <c r="E1291" s="315">
        <v>42825</v>
      </c>
      <c r="F1291" s="249" t="s">
        <v>738</v>
      </c>
      <c r="G1291" s="314" t="s">
        <v>789</v>
      </c>
      <c r="H1291" s="473" t="s">
        <v>284</v>
      </c>
      <c r="I1291" s="307">
        <v>8</v>
      </c>
      <c r="J1291" s="307">
        <v>150570</v>
      </c>
      <c r="K1291" s="532">
        <f t="shared" si="135"/>
        <v>1204560</v>
      </c>
      <c r="L1291" s="534" t="s">
        <v>223</v>
      </c>
      <c r="M1291" s="534" t="s">
        <v>162</v>
      </c>
      <c r="N1291" s="525" t="str">
        <f>IF(AND('331-CT'!$E$7=TH!H1291,OR(L1291="331",M1291="331")),"331",IF(AND(OR(L1291="131",M1291="131"),H1291='131-CT'!$E$7),"131",""))</f>
        <v/>
      </c>
      <c r="O1291" s="525" t="str">
        <f>IF(AND($B1291&gt;='111'!$N$11,$B1291&lt;='111'!$O$11,OR($L1291=$O$7,$M1291=$O$7)),"x","")</f>
        <v/>
      </c>
      <c r="P1291" s="525" t="str">
        <f>IF(AND($L1291=$O$7,$B1291&lt;'111'!$N$11),"x","")</f>
        <v/>
      </c>
      <c r="Q1291" s="525" t="str">
        <f>IF(AND($M1291=$O$7,$B1291&lt;'111'!$N$11),"x","")</f>
        <v/>
      </c>
      <c r="R1291" s="525" t="str">
        <f>IF(ISERROR(FIND('112'!$M$9,G1291,1)),"",IF((AND(FIND('112'!$M$9,G1291,1)&gt;=1,$B1291&gt;='112'!$N$8,$B1291&lt;='112'!$O$8,OR($L1291='112'!$I$6,$M1291='112'!$I$6))),"x",""))</f>
        <v/>
      </c>
      <c r="S1291" s="525" t="str">
        <f>IF(ISERROR(FIND('112'!$M$9,G1291,1)),"",IF((AND(LEFT(G1291,2)=LEFT('112'!$M$9,2),B1291&lt;'112'!$N$8,$L1291='112'!$I$6)),"x",""))</f>
        <v/>
      </c>
      <c r="T1291" s="525" t="str">
        <f>IF(ISERROR(FIND('112'!$M$9,G1291,1)),"",IF((AND(RIGHT(G1291,2)=RIGHT('112'!$M$9,2),B1291&lt;'112'!$N$8,$M1291='112'!$I$6)),"x",""))</f>
        <v/>
      </c>
      <c r="U1291" s="525" t="str">
        <f>IF(AND(B1291&gt;='IN-NX'!$P$3,B1291&lt;='IN-NX'!$Q$3,'IN-NX'!$D$7=D1291,OR(LEFT(L1291,2)="15",AND(LEFT(M1291,2)&lt;&gt;"15",LEFT(M1291,2)&lt;&gt;"33"))),"x","")</f>
        <v/>
      </c>
      <c r="V1291" s="525" t="str">
        <f>IF(AND(OR(LEFT(TH!L1291,2)="15",LEFT(TH!M1291,2)="15"),'152-CT'!$J$8=TH!F1291),"x","")</f>
        <v/>
      </c>
      <c r="W1291" s="525" t="str">
        <f>IF(AND(OR(LEFT(TH!L1291,2)="15",LEFT(TH!M1291,2)="15"),TK!$E$7=TH!F1291),"x","")</f>
        <v/>
      </c>
      <c r="X1291" s="525" t="str">
        <f>IF(AND('341-CT'!$E$9=H1291,OR(LEFT(L1291,3)=$X$7,LEFT(M1291,3)=$X$7)),"x","")</f>
        <v/>
      </c>
      <c r="Y1291" s="525" t="str">
        <f>IF(OR(TH!L1291=TH!$Y$7,M1291=TH!$Y$7),"x","")</f>
        <v/>
      </c>
      <c r="Z1291" s="525" t="str">
        <f>IF(AND(B1291&lt;=NKC!$N$8,B1291&gt;=NKC!$M$8),"x","")</f>
        <v>x</v>
      </c>
      <c r="AA1291" s="535"/>
    </row>
    <row r="1292" spans="1:27" s="503" customFormat="1" ht="15.75" customHeight="1">
      <c r="A1292" s="517" t="str">
        <f>IF(B1292&lt;&gt;"",IF(AND(B1292&gt;=_TM1,B1292&lt;=_TM2,OR(TH!L1292="1111",TH!M1292="1111")),TH!D1292,""),"")</f>
        <v/>
      </c>
      <c r="B1292" s="531">
        <f t="shared" si="119"/>
        <v>3</v>
      </c>
      <c r="C1292" s="315">
        <f t="shared" si="120"/>
        <v>42825</v>
      </c>
      <c r="D1292" s="315" t="s">
        <v>955</v>
      </c>
      <c r="E1292" s="315">
        <v>42825</v>
      </c>
      <c r="F1292" s="249" t="s">
        <v>693</v>
      </c>
      <c r="G1292" s="314" t="s">
        <v>789</v>
      </c>
      <c r="H1292" s="473" t="s">
        <v>284</v>
      </c>
      <c r="I1292" s="307">
        <v>20</v>
      </c>
      <c r="J1292" s="307">
        <v>103488</v>
      </c>
      <c r="K1292" s="532">
        <f t="shared" ref="K1292:K1298" si="136">ROUND(I1292*J1292,0)</f>
        <v>2069760</v>
      </c>
      <c r="L1292" s="534" t="s">
        <v>223</v>
      </c>
      <c r="M1292" s="534" t="s">
        <v>162</v>
      </c>
      <c r="N1292" s="525" t="str">
        <f>IF(AND('331-CT'!$E$7=TH!H1292,OR(L1292="331",M1292="331")),"331",IF(AND(OR(L1292="131",M1292="131"),H1292='131-CT'!$E$7),"131",""))</f>
        <v/>
      </c>
      <c r="O1292" s="525" t="str">
        <f>IF(AND($B1292&gt;='111'!$N$11,$B1292&lt;='111'!$O$11,OR($L1292=$O$7,$M1292=$O$7)),"x","")</f>
        <v/>
      </c>
      <c r="P1292" s="525" t="str">
        <f>IF(AND($L1292=$O$7,$B1292&lt;'111'!$N$11),"x","")</f>
        <v/>
      </c>
      <c r="Q1292" s="525" t="str">
        <f>IF(AND($M1292=$O$7,$B1292&lt;'111'!$N$11),"x","")</f>
        <v/>
      </c>
      <c r="R1292" s="525" t="str">
        <f>IF(ISERROR(FIND('112'!$M$9,G1292,1)),"",IF((AND(FIND('112'!$M$9,G1292,1)&gt;=1,$B1292&gt;='112'!$N$8,$B1292&lt;='112'!$O$8,OR($L1292='112'!$I$6,$M1292='112'!$I$6))),"x",""))</f>
        <v/>
      </c>
      <c r="S1292" s="525" t="str">
        <f>IF(ISERROR(FIND('112'!$M$9,G1292,1)),"",IF((AND(LEFT(G1292,2)=LEFT('112'!$M$9,2),B1292&lt;'112'!$N$8,$L1292='112'!$I$6)),"x",""))</f>
        <v/>
      </c>
      <c r="T1292" s="525" t="str">
        <f>IF(ISERROR(FIND('112'!$M$9,G1292,1)),"",IF((AND(RIGHT(G1292,2)=RIGHT('112'!$M$9,2),B1292&lt;'112'!$N$8,$M1292='112'!$I$6)),"x",""))</f>
        <v/>
      </c>
      <c r="U1292" s="525" t="str">
        <f>IF(AND(B1292&gt;='IN-NX'!$P$3,B1292&lt;='IN-NX'!$Q$3,'IN-NX'!$D$7=D1292,OR(LEFT(L1292,2)="15",AND(LEFT(M1292,2)&lt;&gt;"15",LEFT(M1292,2)&lt;&gt;"33"))),"x","")</f>
        <v/>
      </c>
      <c r="V1292" s="525" t="str">
        <f>IF(AND(OR(LEFT(TH!L1292,2)="15",LEFT(TH!M1292,2)="15"),'152-CT'!$J$8=TH!F1292),"x","")</f>
        <v/>
      </c>
      <c r="W1292" s="525" t="str">
        <f>IF(AND(OR(LEFT(TH!L1292,2)="15",LEFT(TH!M1292,2)="15"),TK!$E$7=TH!F1292),"x","")</f>
        <v/>
      </c>
      <c r="X1292" s="525" t="str">
        <f>IF(AND('341-CT'!$E$9=H1292,OR(LEFT(L1292,3)=$X$7,LEFT(M1292,3)=$X$7)),"x","")</f>
        <v/>
      </c>
      <c r="Y1292" s="525" t="str">
        <f>IF(OR(TH!L1292=TH!$Y$7,M1292=TH!$Y$7),"x","")</f>
        <v/>
      </c>
      <c r="Z1292" s="525" t="str">
        <f>IF(AND(B1292&lt;=NKC!$N$8,B1292&gt;=NKC!$M$8),"x","")</f>
        <v>x</v>
      </c>
      <c r="AA1292" s="535"/>
    </row>
    <row r="1293" spans="1:27" s="503" customFormat="1" ht="15.75" customHeight="1">
      <c r="A1293" s="517" t="str">
        <f>IF(B1293&lt;&gt;"",IF(AND(B1293&gt;=_TM1,B1293&lt;=_TM2,OR(TH!L1293="1111",TH!M1293="1111")),TH!D1293,""),"")</f>
        <v/>
      </c>
      <c r="B1293" s="531">
        <f t="shared" si="119"/>
        <v>3</v>
      </c>
      <c r="C1293" s="315">
        <f t="shared" si="120"/>
        <v>42825</v>
      </c>
      <c r="D1293" s="315" t="s">
        <v>955</v>
      </c>
      <c r="E1293" s="315">
        <v>42825</v>
      </c>
      <c r="F1293" s="249" t="s">
        <v>611</v>
      </c>
      <c r="G1293" s="314" t="s">
        <v>789</v>
      </c>
      <c r="H1293" s="473" t="s">
        <v>284</v>
      </c>
      <c r="I1293" s="307">
        <v>12</v>
      </c>
      <c r="J1293" s="307">
        <v>42669</v>
      </c>
      <c r="K1293" s="532">
        <f t="shared" si="136"/>
        <v>512028</v>
      </c>
      <c r="L1293" s="534" t="s">
        <v>223</v>
      </c>
      <c r="M1293" s="534" t="s">
        <v>162</v>
      </c>
      <c r="N1293" s="525" t="str">
        <f>IF(AND('331-CT'!$E$7=TH!H1293,OR(L1293="331",M1293="331")),"331",IF(AND(OR(L1293="131",M1293="131"),H1293='131-CT'!$E$7),"131",""))</f>
        <v/>
      </c>
      <c r="O1293" s="525" t="str">
        <f>IF(AND($B1293&gt;='111'!$N$11,$B1293&lt;='111'!$O$11,OR($L1293=$O$7,$M1293=$O$7)),"x","")</f>
        <v/>
      </c>
      <c r="P1293" s="525" t="str">
        <f>IF(AND($L1293=$O$7,$B1293&lt;'111'!$N$11),"x","")</f>
        <v/>
      </c>
      <c r="Q1293" s="525" t="str">
        <f>IF(AND($M1293=$O$7,$B1293&lt;'111'!$N$11),"x","")</f>
        <v/>
      </c>
      <c r="R1293" s="525" t="str">
        <f>IF(ISERROR(FIND('112'!$M$9,G1293,1)),"",IF((AND(FIND('112'!$M$9,G1293,1)&gt;=1,$B1293&gt;='112'!$N$8,$B1293&lt;='112'!$O$8,OR($L1293='112'!$I$6,$M1293='112'!$I$6))),"x",""))</f>
        <v/>
      </c>
      <c r="S1293" s="525" t="str">
        <f>IF(ISERROR(FIND('112'!$M$9,G1293,1)),"",IF((AND(LEFT(G1293,2)=LEFT('112'!$M$9,2),B1293&lt;'112'!$N$8,$L1293='112'!$I$6)),"x",""))</f>
        <v/>
      </c>
      <c r="T1293" s="525" t="str">
        <f>IF(ISERROR(FIND('112'!$M$9,G1293,1)),"",IF((AND(RIGHT(G1293,2)=RIGHT('112'!$M$9,2),B1293&lt;'112'!$N$8,$M1293='112'!$I$6)),"x",""))</f>
        <v/>
      </c>
      <c r="U1293" s="525" t="str">
        <f>IF(AND(B1293&gt;='IN-NX'!$P$3,B1293&lt;='IN-NX'!$Q$3,'IN-NX'!$D$7=D1293,OR(LEFT(L1293,2)="15",AND(LEFT(M1293,2)&lt;&gt;"15",LEFT(M1293,2)&lt;&gt;"33"))),"x","")</f>
        <v/>
      </c>
      <c r="V1293" s="525" t="str">
        <f>IF(AND(OR(LEFT(TH!L1293,2)="15",LEFT(TH!M1293,2)="15"),'152-CT'!$J$8=TH!F1293),"x","")</f>
        <v/>
      </c>
      <c r="W1293" s="525" t="str">
        <f>IF(AND(OR(LEFT(TH!L1293,2)="15",LEFT(TH!M1293,2)="15"),TK!$E$7=TH!F1293),"x","")</f>
        <v/>
      </c>
      <c r="X1293" s="525" t="str">
        <f>IF(AND('341-CT'!$E$9=H1293,OR(LEFT(L1293,3)=$X$7,LEFT(M1293,3)=$X$7)),"x","")</f>
        <v/>
      </c>
      <c r="Y1293" s="525" t="str">
        <f>IF(OR(TH!L1293=TH!$Y$7,M1293=TH!$Y$7),"x","")</f>
        <v/>
      </c>
      <c r="Z1293" s="525" t="str">
        <f>IF(AND(B1293&lt;=NKC!$N$8,B1293&gt;=NKC!$M$8),"x","")</f>
        <v>x</v>
      </c>
      <c r="AA1293" s="535"/>
    </row>
    <row r="1294" spans="1:27" s="503" customFormat="1" ht="15.75" customHeight="1">
      <c r="A1294" s="517" t="str">
        <f>IF(B1294&lt;&gt;"",IF(AND(B1294&gt;=_TM1,B1294&lt;=_TM2,OR(TH!L1294="1111",TH!M1294="1111")),TH!D1294,""),"")</f>
        <v/>
      </c>
      <c r="B1294" s="531">
        <f t="shared" si="119"/>
        <v>3</v>
      </c>
      <c r="C1294" s="315">
        <f t="shared" si="120"/>
        <v>42825</v>
      </c>
      <c r="D1294" s="315" t="s">
        <v>955</v>
      </c>
      <c r="E1294" s="315">
        <v>42825</v>
      </c>
      <c r="F1294" s="249" t="s">
        <v>739</v>
      </c>
      <c r="G1294" s="314" t="s">
        <v>789</v>
      </c>
      <c r="H1294" s="473" t="s">
        <v>284</v>
      </c>
      <c r="I1294" s="307">
        <v>14</v>
      </c>
      <c r="J1294" s="307">
        <v>48980</v>
      </c>
      <c r="K1294" s="532">
        <f t="shared" si="136"/>
        <v>685720</v>
      </c>
      <c r="L1294" s="534" t="s">
        <v>223</v>
      </c>
      <c r="M1294" s="534" t="s">
        <v>162</v>
      </c>
      <c r="N1294" s="525" t="str">
        <f>IF(AND('331-CT'!$E$7=TH!H1294,OR(L1294="331",M1294="331")),"331",IF(AND(OR(L1294="131",M1294="131"),H1294='131-CT'!$E$7),"131",""))</f>
        <v/>
      </c>
      <c r="O1294" s="525" t="str">
        <f>IF(AND($B1294&gt;='111'!$N$11,$B1294&lt;='111'!$O$11,OR($L1294=$O$7,$M1294=$O$7)),"x","")</f>
        <v/>
      </c>
      <c r="P1294" s="525" t="str">
        <f>IF(AND($L1294=$O$7,$B1294&lt;'111'!$N$11),"x","")</f>
        <v/>
      </c>
      <c r="Q1294" s="525" t="str">
        <f>IF(AND($M1294=$O$7,$B1294&lt;'111'!$N$11),"x","")</f>
        <v/>
      </c>
      <c r="R1294" s="525" t="str">
        <f>IF(ISERROR(FIND('112'!$M$9,G1294,1)),"",IF((AND(FIND('112'!$M$9,G1294,1)&gt;=1,$B1294&gt;='112'!$N$8,$B1294&lt;='112'!$O$8,OR($L1294='112'!$I$6,$M1294='112'!$I$6))),"x",""))</f>
        <v/>
      </c>
      <c r="S1294" s="525" t="str">
        <f>IF(ISERROR(FIND('112'!$M$9,G1294,1)),"",IF((AND(LEFT(G1294,2)=LEFT('112'!$M$9,2),B1294&lt;'112'!$N$8,$L1294='112'!$I$6)),"x",""))</f>
        <v/>
      </c>
      <c r="T1294" s="525" t="str">
        <f>IF(ISERROR(FIND('112'!$M$9,G1294,1)),"",IF((AND(RIGHT(G1294,2)=RIGHT('112'!$M$9,2),B1294&lt;'112'!$N$8,$M1294='112'!$I$6)),"x",""))</f>
        <v/>
      </c>
      <c r="U1294" s="525" t="str">
        <f>IF(AND(B1294&gt;='IN-NX'!$P$3,B1294&lt;='IN-NX'!$Q$3,'IN-NX'!$D$7=D1294,OR(LEFT(L1294,2)="15",AND(LEFT(M1294,2)&lt;&gt;"15",LEFT(M1294,2)&lt;&gt;"33"))),"x","")</f>
        <v/>
      </c>
      <c r="V1294" s="525" t="str">
        <f>IF(AND(OR(LEFT(TH!L1294,2)="15",LEFT(TH!M1294,2)="15"),'152-CT'!$J$8=TH!F1294),"x","")</f>
        <v/>
      </c>
      <c r="W1294" s="525" t="str">
        <f>IF(AND(OR(LEFT(TH!L1294,2)="15",LEFT(TH!M1294,2)="15"),TK!$E$7=TH!F1294),"x","")</f>
        <v/>
      </c>
      <c r="X1294" s="525" t="str">
        <f>IF(AND('341-CT'!$E$9=H1294,OR(LEFT(L1294,3)=$X$7,LEFT(M1294,3)=$X$7)),"x","")</f>
        <v/>
      </c>
      <c r="Y1294" s="525" t="str">
        <f>IF(OR(TH!L1294=TH!$Y$7,M1294=TH!$Y$7),"x","")</f>
        <v/>
      </c>
      <c r="Z1294" s="525" t="str">
        <f>IF(AND(B1294&lt;=NKC!$N$8,B1294&gt;=NKC!$M$8),"x","")</f>
        <v>x</v>
      </c>
      <c r="AA1294" s="535"/>
    </row>
    <row r="1295" spans="1:27" s="503" customFormat="1" ht="15.75" customHeight="1">
      <c r="A1295" s="517" t="str">
        <f>IF(B1295&lt;&gt;"",IF(AND(B1295&gt;=_TM1,B1295&lt;=_TM2,OR(TH!L1295="1111",TH!M1295="1111")),TH!D1295,""),"")</f>
        <v/>
      </c>
      <c r="B1295" s="531">
        <f t="shared" si="119"/>
        <v>3</v>
      </c>
      <c r="C1295" s="315">
        <f>E1295</f>
        <v>42825</v>
      </c>
      <c r="D1295" s="315" t="s">
        <v>955</v>
      </c>
      <c r="E1295" s="315">
        <v>42825</v>
      </c>
      <c r="F1295" s="249" t="s">
        <v>740</v>
      </c>
      <c r="G1295" s="314" t="s">
        <v>789</v>
      </c>
      <c r="H1295" s="473" t="s">
        <v>284</v>
      </c>
      <c r="I1295" s="307">
        <v>4</v>
      </c>
      <c r="J1295" s="307">
        <v>163506</v>
      </c>
      <c r="K1295" s="532">
        <f>ROUND(I1295*J1295,0)</f>
        <v>654024</v>
      </c>
      <c r="L1295" s="534" t="s">
        <v>223</v>
      </c>
      <c r="M1295" s="534" t="s">
        <v>162</v>
      </c>
      <c r="N1295" s="525" t="str">
        <f>IF(AND('331-CT'!$E$7=TH!H1295,OR(L1295="331",M1295="331")),"331",IF(AND(OR(L1295="131",M1295="131"),H1295='131-CT'!$E$7),"131",""))</f>
        <v/>
      </c>
      <c r="O1295" s="525" t="str">
        <f>IF(AND($B1295&gt;='111'!$N$11,$B1295&lt;='111'!$O$11,OR($L1295=$O$7,$M1295=$O$7)),"x","")</f>
        <v/>
      </c>
      <c r="P1295" s="525" t="str">
        <f>IF(AND($L1295=$O$7,$B1295&lt;'111'!$N$11),"x","")</f>
        <v/>
      </c>
      <c r="Q1295" s="525" t="str">
        <f>IF(AND($M1295=$O$7,$B1295&lt;'111'!$N$11),"x","")</f>
        <v/>
      </c>
      <c r="R1295" s="525" t="str">
        <f>IF(ISERROR(FIND('112'!$M$9,G1295,1)),"",IF((AND(FIND('112'!$M$9,G1295,1)&gt;=1,$B1295&gt;='112'!$N$8,$B1295&lt;='112'!$O$8,OR($L1295='112'!$I$6,$M1295='112'!$I$6))),"x",""))</f>
        <v/>
      </c>
      <c r="S1295" s="525" t="str">
        <f>IF(ISERROR(FIND('112'!$M$9,G1295,1)),"",IF((AND(LEFT(G1295,2)=LEFT('112'!$M$9,2),B1295&lt;'112'!$N$8,$L1295='112'!$I$6)),"x",""))</f>
        <v/>
      </c>
      <c r="T1295" s="525" t="str">
        <f>IF(ISERROR(FIND('112'!$M$9,G1295,1)),"",IF((AND(RIGHT(G1295,2)=RIGHT('112'!$M$9,2),B1295&lt;'112'!$N$8,$M1295='112'!$I$6)),"x",""))</f>
        <v/>
      </c>
      <c r="U1295" s="525" t="str">
        <f>IF(AND(B1295&gt;='IN-NX'!$P$3,B1295&lt;='IN-NX'!$Q$3,'IN-NX'!$D$7=D1295,OR(LEFT(L1295,2)="15",AND(LEFT(M1295,2)&lt;&gt;"15",LEFT(M1295,2)&lt;&gt;"33"))),"x","")</f>
        <v/>
      </c>
      <c r="V1295" s="525" t="str">
        <f>IF(AND(OR(LEFT(TH!L1295,2)="15",LEFT(TH!M1295,2)="15"),'152-CT'!$J$8=TH!F1295),"x","")</f>
        <v/>
      </c>
      <c r="W1295" s="525" t="str">
        <f>IF(AND(OR(LEFT(TH!L1295,2)="15",LEFT(TH!M1295,2)="15"),TK!$E$7=TH!F1295),"x","")</f>
        <v/>
      </c>
      <c r="X1295" s="525" t="str">
        <f>IF(AND('341-CT'!$E$9=H1295,OR(LEFT(L1295,3)=$X$7,LEFT(M1295,3)=$X$7)),"x","")</f>
        <v/>
      </c>
      <c r="Y1295" s="525" t="str">
        <f>IF(OR(TH!L1295=TH!$Y$7,M1295=TH!$Y$7),"x","")</f>
        <v/>
      </c>
      <c r="Z1295" s="525" t="str">
        <f>IF(AND(B1295&lt;=NKC!$N$8,B1295&gt;=NKC!$M$8),"x","")</f>
        <v>x</v>
      </c>
      <c r="AA1295" s="535"/>
    </row>
    <row r="1296" spans="1:27" s="503" customFormat="1" ht="15.75" customHeight="1">
      <c r="A1296" s="517" t="str">
        <f>IF(B1296&lt;&gt;"",IF(AND(B1296&gt;=_TM1,B1296&lt;=_TM2,OR(TH!L1296="1111",TH!M1296="1111")),TH!D1296,""),"")</f>
        <v/>
      </c>
      <c r="B1296" s="531">
        <f t="shared" si="119"/>
        <v>3</v>
      </c>
      <c r="C1296" s="315">
        <f>E1296</f>
        <v>42825</v>
      </c>
      <c r="D1296" s="315" t="s">
        <v>955</v>
      </c>
      <c r="E1296" s="315">
        <v>42825</v>
      </c>
      <c r="F1296" s="249" t="s">
        <v>741</v>
      </c>
      <c r="G1296" s="314" t="s">
        <v>789</v>
      </c>
      <c r="H1296" s="473" t="s">
        <v>284</v>
      </c>
      <c r="I1296" s="307">
        <v>4</v>
      </c>
      <c r="J1296" s="307">
        <v>214662</v>
      </c>
      <c r="K1296" s="532">
        <f>ROUND(I1296*J1296,0)</f>
        <v>858648</v>
      </c>
      <c r="L1296" s="534" t="s">
        <v>223</v>
      </c>
      <c r="M1296" s="534" t="s">
        <v>162</v>
      </c>
      <c r="N1296" s="525" t="str">
        <f>IF(AND('331-CT'!$E$7=TH!H1296,OR(L1296="331",M1296="331")),"331",IF(AND(OR(L1296="131",M1296="131"),H1296='131-CT'!$E$7),"131",""))</f>
        <v/>
      </c>
      <c r="O1296" s="525" t="str">
        <f>IF(AND($B1296&gt;='111'!$N$11,$B1296&lt;='111'!$O$11,OR($L1296=$O$7,$M1296=$O$7)),"x","")</f>
        <v/>
      </c>
      <c r="P1296" s="525" t="str">
        <f>IF(AND($L1296=$O$7,$B1296&lt;'111'!$N$11),"x","")</f>
        <v/>
      </c>
      <c r="Q1296" s="525" t="str">
        <f>IF(AND($M1296=$O$7,$B1296&lt;'111'!$N$11),"x","")</f>
        <v/>
      </c>
      <c r="R1296" s="525" t="str">
        <f>IF(ISERROR(FIND('112'!$M$9,G1296,1)),"",IF((AND(FIND('112'!$M$9,G1296,1)&gt;=1,$B1296&gt;='112'!$N$8,$B1296&lt;='112'!$O$8,OR($L1296='112'!$I$6,$M1296='112'!$I$6))),"x",""))</f>
        <v/>
      </c>
      <c r="S1296" s="525" t="str">
        <f>IF(ISERROR(FIND('112'!$M$9,G1296,1)),"",IF((AND(LEFT(G1296,2)=LEFT('112'!$M$9,2),B1296&lt;'112'!$N$8,$L1296='112'!$I$6)),"x",""))</f>
        <v/>
      </c>
      <c r="T1296" s="525" t="str">
        <f>IF(ISERROR(FIND('112'!$M$9,G1296,1)),"",IF((AND(RIGHT(G1296,2)=RIGHT('112'!$M$9,2),B1296&lt;'112'!$N$8,$M1296='112'!$I$6)),"x",""))</f>
        <v/>
      </c>
      <c r="U1296" s="525" t="str">
        <f>IF(AND(B1296&gt;='IN-NX'!$P$3,B1296&lt;='IN-NX'!$Q$3,'IN-NX'!$D$7=D1296,OR(LEFT(L1296,2)="15",AND(LEFT(M1296,2)&lt;&gt;"15",LEFT(M1296,2)&lt;&gt;"33"))),"x","")</f>
        <v/>
      </c>
      <c r="V1296" s="525" t="str">
        <f>IF(AND(OR(LEFT(TH!L1296,2)="15",LEFT(TH!M1296,2)="15"),'152-CT'!$J$8=TH!F1296),"x","")</f>
        <v/>
      </c>
      <c r="W1296" s="525" t="str">
        <f>IF(AND(OR(LEFT(TH!L1296,2)="15",LEFT(TH!M1296,2)="15"),TK!$E$7=TH!F1296),"x","")</f>
        <v/>
      </c>
      <c r="X1296" s="525" t="str">
        <f>IF(AND('341-CT'!$E$9=H1296,OR(LEFT(L1296,3)=$X$7,LEFT(M1296,3)=$X$7)),"x","")</f>
        <v/>
      </c>
      <c r="Y1296" s="525" t="str">
        <f>IF(OR(TH!L1296=TH!$Y$7,M1296=TH!$Y$7),"x","")</f>
        <v/>
      </c>
      <c r="Z1296" s="525" t="str">
        <f>IF(AND(B1296&lt;=NKC!$N$8,B1296&gt;=NKC!$M$8),"x","")</f>
        <v>x</v>
      </c>
      <c r="AA1296" s="535"/>
    </row>
    <row r="1297" spans="1:29" s="503" customFormat="1" ht="15.75" customHeight="1">
      <c r="A1297" s="517" t="str">
        <f>IF(B1297&lt;&gt;"",IF(AND(B1297&gt;=_TM1,B1297&lt;=_TM2,OR(TH!L1297="1111",TH!M1297="1111")),TH!D1297,""),"")</f>
        <v/>
      </c>
      <c r="B1297" s="531">
        <f t="shared" si="119"/>
        <v>3</v>
      </c>
      <c r="C1297" s="315">
        <f>E1297</f>
        <v>42825</v>
      </c>
      <c r="D1297" s="315" t="s">
        <v>955</v>
      </c>
      <c r="E1297" s="315">
        <v>42825</v>
      </c>
      <c r="F1297" s="249" t="s">
        <v>494</v>
      </c>
      <c r="G1297" s="314" t="s">
        <v>789</v>
      </c>
      <c r="H1297" s="473" t="s">
        <v>284</v>
      </c>
      <c r="I1297" s="307"/>
      <c r="J1297" s="307"/>
      <c r="K1297" s="532">
        <v>14595451</v>
      </c>
      <c r="L1297" s="534" t="s">
        <v>223</v>
      </c>
      <c r="M1297" s="534" t="s">
        <v>259</v>
      </c>
      <c r="N1297" s="525" t="str">
        <f>IF(AND('331-CT'!$E$7=TH!H1297,OR(L1297="331",M1297="331")),"331",IF(AND(OR(L1297="131",M1297="131"),H1297='131-CT'!$E$7),"131",""))</f>
        <v/>
      </c>
      <c r="O1297" s="525" t="str">
        <f>IF(AND($B1297&gt;='111'!$N$11,$B1297&lt;='111'!$O$11,OR($L1297=$O$7,$M1297=$O$7)),"x","")</f>
        <v/>
      </c>
      <c r="P1297" s="525" t="str">
        <f>IF(AND($L1297=$O$7,$B1297&lt;'111'!$N$11),"x","")</f>
        <v/>
      </c>
      <c r="Q1297" s="525" t="str">
        <f>IF(AND($M1297=$O$7,$B1297&lt;'111'!$N$11),"x","")</f>
        <v/>
      </c>
      <c r="R1297" s="525" t="str">
        <f>IF(ISERROR(FIND('112'!$M$9,G1297,1)),"",IF((AND(FIND('112'!$M$9,G1297,1)&gt;=1,$B1297&gt;='112'!$N$8,$B1297&lt;='112'!$O$8,OR($L1297='112'!$I$6,$M1297='112'!$I$6))),"x",""))</f>
        <v/>
      </c>
      <c r="S1297" s="525" t="str">
        <f>IF(ISERROR(FIND('112'!$M$9,G1297,1)),"",IF((AND(LEFT(G1297,2)=LEFT('112'!$M$9,2),B1297&lt;'112'!$N$8,$L1297='112'!$I$6)),"x",""))</f>
        <v/>
      </c>
      <c r="T1297" s="525" t="str">
        <f>IF(ISERROR(FIND('112'!$M$9,G1297,1)),"",IF((AND(RIGHT(G1297,2)=RIGHT('112'!$M$9,2),B1297&lt;'112'!$N$8,$M1297='112'!$I$6)),"x",""))</f>
        <v/>
      </c>
      <c r="U1297" s="525" t="str">
        <f>IF(AND(B1297&gt;='IN-NX'!$P$3,B1297&lt;='IN-NX'!$Q$3,'IN-NX'!$D$7=D1297,OR(LEFT(L1297,2)="15",AND(LEFT(M1297,2)&lt;&gt;"15",LEFT(M1297,2)&lt;&gt;"33"))),"x","")</f>
        <v/>
      </c>
      <c r="V1297" s="525" t="str">
        <f>IF(AND(OR(LEFT(TH!L1297,2)="15",LEFT(TH!M1297,2)="15"),'152-CT'!$J$8=TH!F1297),"x","")</f>
        <v/>
      </c>
      <c r="W1297" s="525" t="str">
        <f>IF(AND(OR(LEFT(TH!L1297,2)="15",LEFT(TH!M1297,2)="15"),TK!$E$7=TH!F1297),"x","")</f>
        <v/>
      </c>
      <c r="X1297" s="525" t="str">
        <f>IF(AND('341-CT'!$E$9=H1297,OR(LEFT(L1297,3)=$X$7,LEFT(M1297,3)=$X$7)),"x","")</f>
        <v/>
      </c>
      <c r="Y1297" s="525" t="str">
        <f>IF(OR(TH!L1297=TH!$Y$7,M1297=TH!$Y$7),"x","")</f>
        <v/>
      </c>
      <c r="Z1297" s="525" t="str">
        <f>IF(AND(B1297&lt;=NKC!$N$8,B1297&gt;=NKC!$M$8),"x","")</f>
        <v>x</v>
      </c>
      <c r="AA1297" s="535"/>
    </row>
    <row r="1298" spans="1:29" s="576" customFormat="1" ht="15.75" customHeight="1">
      <c r="A1298" s="517" t="str">
        <f>IF(B1298&lt;&gt;"",IF(AND(B1298&gt;=_TM1,B1298&lt;=_TM2,OR(TH!L1298="1111",TH!M1298="1111")),TH!D1298,""),"")</f>
        <v/>
      </c>
      <c r="B1298" s="518">
        <f t="shared" si="119"/>
        <v>3</v>
      </c>
      <c r="C1298" s="571">
        <f t="shared" si="120"/>
        <v>42825</v>
      </c>
      <c r="D1298" s="315" t="s">
        <v>956</v>
      </c>
      <c r="E1298" s="571">
        <v>42825</v>
      </c>
      <c r="F1298" s="572" t="s">
        <v>380</v>
      </c>
      <c r="G1298" s="314" t="s">
        <v>836</v>
      </c>
      <c r="H1298" s="574" t="s">
        <v>420</v>
      </c>
      <c r="I1298" s="523">
        <v>25400</v>
      </c>
      <c r="J1298" s="523">
        <v>8400</v>
      </c>
      <c r="K1298" s="575">
        <f t="shared" si="136"/>
        <v>213360000</v>
      </c>
      <c r="L1298" s="525" t="s">
        <v>223</v>
      </c>
      <c r="M1298" s="534" t="s">
        <v>162</v>
      </c>
      <c r="N1298" s="525" t="str">
        <f>IF(AND('331-CT'!$E$7=TH!H1298,OR(L1298="331",M1298="331")),"331",IF(AND(OR(L1298="131",M1298="131"),H1298='131-CT'!$E$7),"131",""))</f>
        <v>131</v>
      </c>
      <c r="O1298" s="525" t="str">
        <f>IF(AND($B1298&gt;='111'!$N$11,$B1298&lt;='111'!$O$11,OR($L1298=$O$7,$M1298=$O$7)),"x","")</f>
        <v/>
      </c>
      <c r="P1298" s="525" t="str">
        <f>IF(AND($L1298=$O$7,$B1298&lt;'111'!$N$11),"x","")</f>
        <v/>
      </c>
      <c r="Q1298" s="525" t="str">
        <f>IF(AND($M1298=$O$7,$B1298&lt;'111'!$N$11),"x","")</f>
        <v/>
      </c>
      <c r="R1298" s="525" t="str">
        <f>IF(ISERROR(FIND('112'!$M$9,G1298,1)),"",IF((AND(FIND('112'!$M$9,G1298,1)&gt;=1,$B1298&gt;='112'!$N$8,$B1298&lt;='112'!$O$8,OR($L1298='112'!$I$6,$M1298='112'!$I$6))),"x",""))</f>
        <v/>
      </c>
      <c r="S1298" s="525" t="str">
        <f>IF(ISERROR(FIND('112'!$M$9,G1298,1)),"",IF((AND(LEFT(G1298,2)=LEFT('112'!$M$9,2),B1298&lt;'112'!$N$8,$L1298='112'!$I$6)),"x",""))</f>
        <v/>
      </c>
      <c r="T1298" s="525" t="str">
        <f>IF(ISERROR(FIND('112'!$M$9,G1298,1)),"",IF((AND(RIGHT(G1298,2)=RIGHT('112'!$M$9,2),B1298&lt;'112'!$N$8,$M1298='112'!$I$6)),"x",""))</f>
        <v/>
      </c>
      <c r="U1298" s="525" t="str">
        <f>IF(AND(B1298&gt;='IN-NX'!$P$3,B1298&lt;='IN-NX'!$Q$3,'IN-NX'!$D$7=D1298,OR(LEFT(L1298,2)="15",AND(LEFT(M1298,2)&lt;&gt;"15",LEFT(M1298,2)&lt;&gt;"33"))),"x","")</f>
        <v/>
      </c>
      <c r="V1298" s="525" t="str">
        <f>IF(AND(OR(LEFT(TH!L1298,2)="15",LEFT(TH!M1298,2)="15"),'152-CT'!$J$8=TH!F1298),"x","")</f>
        <v/>
      </c>
      <c r="W1298" s="525" t="str">
        <f>IF(AND(OR(LEFT(TH!L1298,2)="15",LEFT(TH!M1298,2)="15"),TK!$E$7=TH!F1298),"x","")</f>
        <v/>
      </c>
      <c r="X1298" s="525" t="str">
        <f>IF(AND('341-CT'!$E$9=H1298,OR(LEFT(L1298,3)=$X$7,LEFT(M1298,3)=$X$7)),"x","")</f>
        <v/>
      </c>
      <c r="Y1298" s="525" t="str">
        <f>IF(OR(TH!L1298=TH!$Y$7,M1298=TH!$Y$7),"x","")</f>
        <v/>
      </c>
      <c r="Z1298" s="525" t="str">
        <f>IF(AND(B1298&lt;=NKC!$N$8,B1298&gt;=NKC!$M$8),"x","")</f>
        <v>x</v>
      </c>
      <c r="AA1298" s="526"/>
      <c r="AC1298" s="503"/>
    </row>
    <row r="1299" spans="1:29" s="576" customFormat="1" ht="15.75" customHeight="1">
      <c r="A1299" s="517" t="str">
        <f>IF(B1299&lt;&gt;"",IF(AND(B1299&gt;=_TM1,B1299&lt;=_TM2,OR(TH!L1299="1111",TH!M1299="1111")),TH!D1299,""),"")</f>
        <v/>
      </c>
      <c r="B1299" s="518">
        <f t="shared" si="119"/>
        <v>3</v>
      </c>
      <c r="C1299" s="571">
        <f t="shared" si="120"/>
        <v>42825</v>
      </c>
      <c r="D1299" s="315" t="s">
        <v>956</v>
      </c>
      <c r="E1299" s="571">
        <v>42825</v>
      </c>
      <c r="F1299" s="572" t="s">
        <v>499</v>
      </c>
      <c r="G1299" s="314" t="s">
        <v>836</v>
      </c>
      <c r="H1299" s="574" t="s">
        <v>420</v>
      </c>
      <c r="I1299" s="523"/>
      <c r="J1299" s="523"/>
      <c r="K1299" s="575">
        <v>21336000</v>
      </c>
      <c r="L1299" s="525" t="s">
        <v>223</v>
      </c>
      <c r="M1299" s="525" t="s">
        <v>259</v>
      </c>
      <c r="N1299" s="525" t="str">
        <f>IF(AND('331-CT'!$E$7=TH!H1299,OR(L1299="331",M1299="331")),"331",IF(AND(OR(L1299="131",M1299="131"),H1299='131-CT'!$E$7),"131",""))</f>
        <v>131</v>
      </c>
      <c r="O1299" s="525" t="str">
        <f>IF(AND($B1299&gt;='111'!$N$11,$B1299&lt;='111'!$O$11,OR($L1299=$O$7,$M1299=$O$7)),"x","")</f>
        <v/>
      </c>
      <c r="P1299" s="525" t="str">
        <f>IF(AND($L1299=$O$7,$B1299&lt;'111'!$N$11),"x","")</f>
        <v/>
      </c>
      <c r="Q1299" s="525" t="str">
        <f>IF(AND($M1299=$O$7,$B1299&lt;'111'!$N$11),"x","")</f>
        <v/>
      </c>
      <c r="R1299" s="525" t="str">
        <f>IF(ISERROR(FIND('112'!$M$9,G1299,1)),"",IF((AND(FIND('112'!$M$9,G1299,1)&gt;=1,$B1299&gt;='112'!$N$8,$B1299&lt;='112'!$O$8,OR($L1299='112'!$I$6,$M1299='112'!$I$6))),"x",""))</f>
        <v/>
      </c>
      <c r="S1299" s="525" t="str">
        <f>IF(ISERROR(FIND('112'!$M$9,G1299,1)),"",IF((AND(LEFT(G1299,2)=LEFT('112'!$M$9,2),B1299&lt;'112'!$N$8,$L1299='112'!$I$6)),"x",""))</f>
        <v/>
      </c>
      <c r="T1299" s="525" t="str">
        <f>IF(ISERROR(FIND('112'!$M$9,G1299,1)),"",IF((AND(RIGHT(G1299,2)=RIGHT('112'!$M$9,2),B1299&lt;'112'!$N$8,$M1299='112'!$I$6)),"x",""))</f>
        <v/>
      </c>
      <c r="U1299" s="525" t="str">
        <f>IF(AND(B1299&gt;='IN-NX'!$P$3,B1299&lt;='IN-NX'!$Q$3,'IN-NX'!$D$7=D1299,OR(LEFT(L1299,2)="15",AND(LEFT(M1299,2)&lt;&gt;"15",LEFT(M1299,2)&lt;&gt;"33"))),"x","")</f>
        <v/>
      </c>
      <c r="V1299" s="525" t="str">
        <f>IF(AND(OR(LEFT(TH!L1299,2)="15",LEFT(TH!M1299,2)="15"),'152-CT'!$J$8=TH!F1299),"x","")</f>
        <v/>
      </c>
      <c r="W1299" s="525" t="str">
        <f>IF(AND(OR(LEFT(TH!L1299,2)="15",LEFT(TH!M1299,2)="15"),TK!$E$7=TH!F1299),"x","")</f>
        <v/>
      </c>
      <c r="X1299" s="525" t="str">
        <f>IF(AND('341-CT'!$E$9=H1299,OR(LEFT(L1299,3)=$X$7,LEFT(M1299,3)=$X$7)),"x","")</f>
        <v/>
      </c>
      <c r="Y1299" s="525" t="str">
        <f>IF(OR(TH!L1299=TH!$Y$7,M1299=TH!$Y$7),"x","")</f>
        <v/>
      </c>
      <c r="Z1299" s="525" t="str">
        <f>IF(AND(B1299&lt;=NKC!$N$8,B1299&gt;=NKC!$M$8),"x","")</f>
        <v>x</v>
      </c>
      <c r="AA1299" s="526"/>
      <c r="AC1299" s="503"/>
    </row>
    <row r="1300" spans="1:29" s="503" customFormat="1" ht="15.75" customHeight="1">
      <c r="A1300" s="517" t="str">
        <f>IF(B1300&lt;&gt;"",IF(AND(B1300&gt;=_TM1,B1300&lt;=_TM2,OR(TH!L1300="1111",TH!M1300="1111")),TH!D1300,""),"")</f>
        <v/>
      </c>
      <c r="B1300" s="531">
        <f t="shared" ref="B1300:B1363" si="137">IF(C1300&lt;&gt;"",MONTH(C1300),"")</f>
        <v>1</v>
      </c>
      <c r="C1300" s="315">
        <f t="shared" ref="C1300:C1363" si="138">E1300</f>
        <v>42739</v>
      </c>
      <c r="D1300" s="537" t="s">
        <v>957</v>
      </c>
      <c r="E1300" s="537">
        <v>42739</v>
      </c>
      <c r="F1300" s="249" t="s">
        <v>493</v>
      </c>
      <c r="G1300" s="314" t="s">
        <v>603</v>
      </c>
      <c r="H1300" s="473" t="s">
        <v>447</v>
      </c>
      <c r="I1300" s="307">
        <v>3980</v>
      </c>
      <c r="J1300" s="307">
        <v>8924</v>
      </c>
      <c r="K1300" s="532">
        <f>ROUND(I1300*J1300,0)</f>
        <v>35517520</v>
      </c>
      <c r="L1300" s="534" t="s">
        <v>292</v>
      </c>
      <c r="M1300" s="534" t="s">
        <v>8</v>
      </c>
      <c r="N1300" s="525" t="str">
        <f>IF(AND('331-CT'!$E$7=TH!H1300,OR(L1300="331",M1300="331")),"331",IF(AND(OR(L1300="131",M1300="131"),H1300='131-CT'!$E$7),"131",""))</f>
        <v/>
      </c>
      <c r="O1300" s="525" t="str">
        <f>IF(AND($B1300&gt;='111'!$N$11,$B1300&lt;='111'!$O$11,OR($L1300=$O$7,$M1300=$O$7)),"x","")</f>
        <v/>
      </c>
      <c r="P1300" s="525" t="str">
        <f>IF(AND($L1300=$O$7,$B1300&lt;'111'!$N$11),"x","")</f>
        <v/>
      </c>
      <c r="Q1300" s="525" t="str">
        <f>IF(AND($M1300=$O$7,$B1300&lt;'111'!$N$11),"x","")</f>
        <v/>
      </c>
      <c r="R1300" s="525" t="str">
        <f>IF(ISERROR(FIND('112'!$M$9,G1300,1)),"",IF((AND(FIND('112'!$M$9,G1300,1)&gt;=1,$B1300&gt;='112'!$N$8,$B1300&lt;='112'!$O$8,OR($L1300='112'!$I$6,$M1300='112'!$I$6))),"x",""))</f>
        <v/>
      </c>
      <c r="S1300" s="525" t="str">
        <f>IF(ISERROR(FIND('112'!$M$9,G1300,1)),"",IF((AND(LEFT(G1300,2)=LEFT('112'!$M$9,2),B1300&lt;'112'!$N$8,$L1300='112'!$I$6)),"x",""))</f>
        <v/>
      </c>
      <c r="T1300" s="525" t="str">
        <f>IF(ISERROR(FIND('112'!$M$9,G1300,1)),"",IF((AND(RIGHT(G1300,2)=RIGHT('112'!$M$9,2),B1300&lt;'112'!$N$8,$M1300='112'!$I$6)),"x",""))</f>
        <v/>
      </c>
      <c r="U1300" s="525" t="str">
        <f>IF(AND(B1300&gt;='IN-NX'!$P$3,B1300&lt;='IN-NX'!$Q$3,'IN-NX'!$D$7=D1300,OR(LEFT(L1300,2)="15",AND(LEFT(M1300,2)&lt;&gt;"15",LEFT(M1300,2)&lt;&gt;"33"))),"x","")</f>
        <v/>
      </c>
      <c r="V1300" s="525" t="str">
        <f>IF(AND(OR(LEFT(TH!L1300,2)="15",LEFT(TH!M1300,2)="15"),'152-CT'!$J$8=TH!F1300),"x","")</f>
        <v/>
      </c>
      <c r="W1300" s="525" t="str">
        <f>IF(AND(OR(LEFT(TH!L1300,2)="15",LEFT(TH!M1300,2)="15"),TK!$E$7=TH!F1300),"x","")</f>
        <v/>
      </c>
      <c r="X1300" s="525" t="str">
        <f>IF(AND('341-CT'!$E$9=H1300,OR(LEFT(L1300,3)=$X$7,LEFT(M1300,3)=$X$7)),"x","")</f>
        <v/>
      </c>
      <c r="Y1300" s="525" t="str">
        <f>IF(OR(TH!L1300=TH!$Y$7,M1300=TH!$Y$7),"x","")</f>
        <v/>
      </c>
      <c r="Z1300" s="525" t="str">
        <f>IF(AND(B1300&lt;=NKC!$N$8,B1300&gt;=NKC!$M$8),"x","")</f>
        <v>x</v>
      </c>
      <c r="AA1300" s="535">
        <v>1</v>
      </c>
    </row>
    <row r="1301" spans="1:29" s="503" customFormat="1" ht="15.75" customHeight="1">
      <c r="A1301" s="517" t="str">
        <f>IF(B1301&lt;&gt;"",IF(AND(B1301&gt;=_TM1,B1301&lt;=_TM2,OR(TH!L1301="1111",TH!M1301="1111")),TH!D1301,""),"")</f>
        <v/>
      </c>
      <c r="B1301" s="531">
        <f t="shared" si="137"/>
        <v>1</v>
      </c>
      <c r="C1301" s="315">
        <f t="shared" si="138"/>
        <v>42739</v>
      </c>
      <c r="D1301" s="537" t="s">
        <v>957</v>
      </c>
      <c r="E1301" s="537">
        <v>42739</v>
      </c>
      <c r="F1301" s="249" t="s">
        <v>497</v>
      </c>
      <c r="G1301" s="314" t="s">
        <v>603</v>
      </c>
      <c r="H1301" s="473" t="s">
        <v>447</v>
      </c>
      <c r="I1301" s="307">
        <v>25</v>
      </c>
      <c r="J1301" s="307">
        <v>32126</v>
      </c>
      <c r="K1301" s="532">
        <f>ROUND(I1301*J1301,0)</f>
        <v>803150</v>
      </c>
      <c r="L1301" s="534" t="s">
        <v>292</v>
      </c>
      <c r="M1301" s="534" t="s">
        <v>8</v>
      </c>
      <c r="N1301" s="525" t="str">
        <f>IF(AND('331-CT'!$E$7=TH!H1301,OR(L1301="331",M1301="331")),"331",IF(AND(OR(L1301="131",M1301="131"),H1301='131-CT'!$E$7),"131",""))</f>
        <v/>
      </c>
      <c r="O1301" s="525" t="str">
        <f>IF(AND($B1301&gt;='111'!$N$11,$B1301&lt;='111'!$O$11,OR($L1301=$O$7,$M1301=$O$7)),"x","")</f>
        <v/>
      </c>
      <c r="P1301" s="525" t="str">
        <f>IF(AND($L1301=$O$7,$B1301&lt;'111'!$N$11),"x","")</f>
        <v/>
      </c>
      <c r="Q1301" s="525" t="str">
        <f>IF(AND($M1301=$O$7,$B1301&lt;'111'!$N$11),"x","")</f>
        <v/>
      </c>
      <c r="R1301" s="525" t="str">
        <f>IF(ISERROR(FIND('112'!$M$9,G1301,1)),"",IF((AND(FIND('112'!$M$9,G1301,1)&gt;=1,$B1301&gt;='112'!$N$8,$B1301&lt;='112'!$O$8,OR($L1301='112'!$I$6,$M1301='112'!$I$6))),"x",""))</f>
        <v/>
      </c>
      <c r="S1301" s="525" t="str">
        <f>IF(ISERROR(FIND('112'!$M$9,G1301,1)),"",IF((AND(LEFT(G1301,2)=LEFT('112'!$M$9,2),B1301&lt;'112'!$N$8,$L1301='112'!$I$6)),"x",""))</f>
        <v/>
      </c>
      <c r="T1301" s="525" t="str">
        <f>IF(ISERROR(FIND('112'!$M$9,G1301,1)),"",IF((AND(RIGHT(G1301,2)=RIGHT('112'!$M$9,2),B1301&lt;'112'!$N$8,$M1301='112'!$I$6)),"x",""))</f>
        <v/>
      </c>
      <c r="U1301" s="525" t="str">
        <f>IF(AND(B1301&gt;='IN-NX'!$P$3,B1301&lt;='IN-NX'!$Q$3,'IN-NX'!$D$7=D1301,OR(LEFT(L1301,2)="15",AND(LEFT(M1301,2)&lt;&gt;"15",LEFT(M1301,2)&lt;&gt;"33"))),"x","")</f>
        <v/>
      </c>
      <c r="V1301" s="525" t="str">
        <f>IF(AND(OR(LEFT(TH!L1301,2)="15",LEFT(TH!M1301,2)="15"),'152-CT'!$J$8=TH!F1301),"x","")</f>
        <v/>
      </c>
      <c r="W1301" s="525" t="str">
        <f>IF(AND(OR(LEFT(TH!L1301,2)="15",LEFT(TH!M1301,2)="15"),TK!$E$7=TH!F1301),"x","")</f>
        <v/>
      </c>
      <c r="X1301" s="525" t="str">
        <f>IF(AND('341-CT'!$E$9=H1301,OR(LEFT(L1301,3)=$X$7,LEFT(M1301,3)=$X$7)),"x","")</f>
        <v/>
      </c>
      <c r="Y1301" s="525" t="str">
        <f>IF(OR(TH!L1301=TH!$Y$7,M1301=TH!$Y$7),"x","")</f>
        <v/>
      </c>
      <c r="Z1301" s="525" t="str">
        <f>IF(AND(B1301&lt;=NKC!$N$8,B1301&gt;=NKC!$M$8),"x","")</f>
        <v>x</v>
      </c>
      <c r="AA1301" s="535">
        <v>1</v>
      </c>
    </row>
    <row r="1302" spans="1:29" s="503" customFormat="1" ht="15.75" customHeight="1">
      <c r="A1302" s="517" t="str">
        <f>IF(B1302&lt;&gt;"",IF(AND(B1302&gt;=_TM1,B1302&lt;=_TM2,OR(TH!L1302="1111",TH!M1302="1111")),TH!D1302,""),"")</f>
        <v/>
      </c>
      <c r="B1302" s="531">
        <f t="shared" si="137"/>
        <v>1</v>
      </c>
      <c r="C1302" s="315">
        <f t="shared" si="138"/>
        <v>42739</v>
      </c>
      <c r="D1302" s="537" t="s">
        <v>957</v>
      </c>
      <c r="E1302" s="537">
        <v>42739</v>
      </c>
      <c r="F1302" s="249" t="s">
        <v>498</v>
      </c>
      <c r="G1302" s="314" t="s">
        <v>603</v>
      </c>
      <c r="H1302" s="473" t="s">
        <v>447</v>
      </c>
      <c r="I1302" s="307">
        <v>100</v>
      </c>
      <c r="J1302" s="307">
        <v>8197</v>
      </c>
      <c r="K1302" s="532">
        <f>ROUND(I1302*J1302,0)</f>
        <v>819700</v>
      </c>
      <c r="L1302" s="534" t="s">
        <v>292</v>
      </c>
      <c r="M1302" s="534" t="s">
        <v>8</v>
      </c>
      <c r="N1302" s="525" t="str">
        <f>IF(AND('331-CT'!$E$7=TH!H1302,OR(L1302="331",M1302="331")),"331",IF(AND(OR(L1302="131",M1302="131"),H1302='131-CT'!$E$7),"131",""))</f>
        <v/>
      </c>
      <c r="O1302" s="525" t="str">
        <f>IF(AND($B1302&gt;='111'!$N$11,$B1302&lt;='111'!$O$11,OR($L1302=$O$7,$M1302=$O$7)),"x","")</f>
        <v/>
      </c>
      <c r="P1302" s="525" t="str">
        <f>IF(AND($L1302=$O$7,$B1302&lt;'111'!$N$11),"x","")</f>
        <v/>
      </c>
      <c r="Q1302" s="525" t="str">
        <f>IF(AND($M1302=$O$7,$B1302&lt;'111'!$N$11),"x","")</f>
        <v/>
      </c>
      <c r="R1302" s="525" t="str">
        <f>IF(ISERROR(FIND('112'!$M$9,G1302,1)),"",IF((AND(FIND('112'!$M$9,G1302,1)&gt;=1,$B1302&gt;='112'!$N$8,$B1302&lt;='112'!$O$8,OR($L1302='112'!$I$6,$M1302='112'!$I$6))),"x",""))</f>
        <v/>
      </c>
      <c r="S1302" s="525" t="str">
        <f>IF(ISERROR(FIND('112'!$M$9,G1302,1)),"",IF((AND(LEFT(G1302,2)=LEFT('112'!$M$9,2),B1302&lt;'112'!$N$8,$L1302='112'!$I$6)),"x",""))</f>
        <v/>
      </c>
      <c r="T1302" s="525" t="str">
        <f>IF(ISERROR(FIND('112'!$M$9,G1302,1)),"",IF((AND(RIGHT(G1302,2)=RIGHT('112'!$M$9,2),B1302&lt;'112'!$N$8,$M1302='112'!$I$6)),"x",""))</f>
        <v/>
      </c>
      <c r="U1302" s="525" t="str">
        <f>IF(AND(B1302&gt;='IN-NX'!$P$3,B1302&lt;='IN-NX'!$Q$3,'IN-NX'!$D$7=D1302,OR(LEFT(L1302,2)="15",AND(LEFT(M1302,2)&lt;&gt;"15",LEFT(M1302,2)&lt;&gt;"33"))),"x","")</f>
        <v/>
      </c>
      <c r="V1302" s="525" t="str">
        <f>IF(AND(OR(LEFT(TH!L1302,2)="15",LEFT(TH!M1302,2)="15"),'152-CT'!$J$8=TH!F1302),"x","")</f>
        <v/>
      </c>
      <c r="W1302" s="525" t="str">
        <f>IF(AND(OR(LEFT(TH!L1302,2)="15",LEFT(TH!M1302,2)="15"),TK!$E$7=TH!F1302),"x","")</f>
        <v/>
      </c>
      <c r="X1302" s="525" t="str">
        <f>IF(AND('341-CT'!$E$9=H1302,OR(LEFT(L1302,3)=$X$7,LEFT(M1302,3)=$X$7)),"x","")</f>
        <v/>
      </c>
      <c r="Y1302" s="525" t="str">
        <f>IF(OR(TH!L1302=TH!$Y$7,M1302=TH!$Y$7),"x","")</f>
        <v/>
      </c>
      <c r="Z1302" s="525" t="str">
        <f>IF(AND(B1302&lt;=NKC!$N$8,B1302&gt;=NKC!$M$8),"x","")</f>
        <v>x</v>
      </c>
      <c r="AA1302" s="535">
        <v>1</v>
      </c>
    </row>
    <row r="1303" spans="1:29" s="503" customFormat="1" ht="15.75" customHeight="1">
      <c r="A1303" s="517" t="str">
        <f>IF(B1303&lt;&gt;"",IF(AND(B1303&gt;=_TM1,B1303&lt;=_TM2,OR(TH!L1303="1111",TH!M1303="1111")),TH!D1303,""),"")</f>
        <v/>
      </c>
      <c r="B1303" s="531">
        <f t="shared" si="137"/>
        <v>1</v>
      </c>
      <c r="C1303" s="315">
        <f t="shared" si="138"/>
        <v>42739</v>
      </c>
      <c r="D1303" s="537" t="s">
        <v>957</v>
      </c>
      <c r="E1303" s="537">
        <v>42739</v>
      </c>
      <c r="F1303" s="249" t="s">
        <v>380</v>
      </c>
      <c r="G1303" s="314" t="s">
        <v>603</v>
      </c>
      <c r="H1303" s="473" t="s">
        <v>447</v>
      </c>
      <c r="I1303" s="307">
        <v>37000</v>
      </c>
      <c r="J1303" s="307">
        <v>8148</v>
      </c>
      <c r="K1303" s="532">
        <f>ROUND(I1303*J1303,0)</f>
        <v>301476000</v>
      </c>
      <c r="L1303" s="534" t="s">
        <v>292</v>
      </c>
      <c r="M1303" s="534" t="s">
        <v>8</v>
      </c>
      <c r="N1303" s="525" t="str">
        <f>IF(AND('331-CT'!$E$7=TH!H1303,OR(L1303="331",M1303="331")),"331",IF(AND(OR(L1303="131",M1303="131"),H1303='131-CT'!$E$7),"131",""))</f>
        <v/>
      </c>
      <c r="O1303" s="525" t="str">
        <f>IF(AND($B1303&gt;='111'!$N$11,$B1303&lt;='111'!$O$11,OR($L1303=$O$7,$M1303=$O$7)),"x","")</f>
        <v/>
      </c>
      <c r="P1303" s="525" t="str">
        <f>IF(AND($L1303=$O$7,$B1303&lt;'111'!$N$11),"x","")</f>
        <v/>
      </c>
      <c r="Q1303" s="525" t="str">
        <f>IF(AND($M1303=$O$7,$B1303&lt;'111'!$N$11),"x","")</f>
        <v/>
      </c>
      <c r="R1303" s="525" t="str">
        <f>IF(ISERROR(FIND('112'!$M$9,G1303,1)),"",IF((AND(FIND('112'!$M$9,G1303,1)&gt;=1,$B1303&gt;='112'!$N$8,$B1303&lt;='112'!$O$8,OR($L1303='112'!$I$6,$M1303='112'!$I$6))),"x",""))</f>
        <v/>
      </c>
      <c r="S1303" s="525" t="str">
        <f>IF(ISERROR(FIND('112'!$M$9,G1303,1)),"",IF((AND(LEFT(G1303,2)=LEFT('112'!$M$9,2),B1303&lt;'112'!$N$8,$L1303='112'!$I$6)),"x",""))</f>
        <v/>
      </c>
      <c r="T1303" s="525" t="str">
        <f>IF(ISERROR(FIND('112'!$M$9,G1303,1)),"",IF((AND(RIGHT(G1303,2)=RIGHT('112'!$M$9,2),B1303&lt;'112'!$N$8,$M1303='112'!$I$6)),"x",""))</f>
        <v/>
      </c>
      <c r="U1303" s="525" t="str">
        <f>IF(AND(B1303&gt;='IN-NX'!$P$3,B1303&lt;='IN-NX'!$Q$3,'IN-NX'!$D$7=D1303,OR(LEFT(L1303,2)="15",AND(LEFT(M1303,2)&lt;&gt;"15",LEFT(M1303,2)&lt;&gt;"33"))),"x","")</f>
        <v/>
      </c>
      <c r="V1303" s="525" t="str">
        <f>IF(AND(OR(LEFT(TH!L1303,2)="15",LEFT(TH!M1303,2)="15"),'152-CT'!$J$8=TH!F1303),"x","")</f>
        <v/>
      </c>
      <c r="W1303" s="525" t="str">
        <f>IF(AND(OR(LEFT(TH!L1303,2)="15",LEFT(TH!M1303,2)="15"),TK!$E$7=TH!F1303),"x","")</f>
        <v/>
      </c>
      <c r="X1303" s="525" t="str">
        <f>IF(AND('341-CT'!$E$9=H1303,OR(LEFT(L1303,3)=$X$7,LEFT(M1303,3)=$X$7)),"x","")</f>
        <v/>
      </c>
      <c r="Y1303" s="525" t="str">
        <f>IF(OR(TH!L1303=TH!$Y$7,M1303=TH!$Y$7),"x","")</f>
        <v/>
      </c>
      <c r="Z1303" s="525" t="str">
        <f>IF(AND(B1303&lt;=NKC!$N$8,B1303&gt;=NKC!$M$8),"x","")</f>
        <v>x</v>
      </c>
      <c r="AA1303" s="535">
        <v>1</v>
      </c>
    </row>
    <row r="1304" spans="1:29" s="503" customFormat="1" ht="15.75" customHeight="1">
      <c r="A1304" s="517" t="str">
        <f>IF(B1304&lt;&gt;"",IF(AND(B1304&gt;=_TM1,B1304&lt;=_TM2,OR(TH!L1304="1111",TH!M1304="1111")),TH!D1304,""),"")</f>
        <v/>
      </c>
      <c r="B1304" s="531">
        <f t="shared" si="137"/>
        <v>1</v>
      </c>
      <c r="C1304" s="315">
        <f t="shared" si="138"/>
        <v>42739</v>
      </c>
      <c r="D1304" s="537" t="s">
        <v>957</v>
      </c>
      <c r="E1304" s="537">
        <v>42739</v>
      </c>
      <c r="F1304" s="249" t="s">
        <v>500</v>
      </c>
      <c r="G1304" s="314" t="s">
        <v>603</v>
      </c>
      <c r="H1304" s="473" t="s">
        <v>447</v>
      </c>
      <c r="I1304" s="307">
        <v>300</v>
      </c>
      <c r="J1304" s="307">
        <v>7789</v>
      </c>
      <c r="K1304" s="532">
        <f>ROUND(I1304*J1304,0)</f>
        <v>2336700</v>
      </c>
      <c r="L1304" s="534" t="s">
        <v>292</v>
      </c>
      <c r="M1304" s="534" t="s">
        <v>8</v>
      </c>
      <c r="N1304" s="525" t="str">
        <f>IF(AND('331-CT'!$E$7=TH!H1304,OR(L1304="331",M1304="331")),"331",IF(AND(OR(L1304="131",M1304="131"),H1304='131-CT'!$E$7),"131",""))</f>
        <v/>
      </c>
      <c r="O1304" s="525" t="str">
        <f>IF(AND($B1304&gt;='111'!$N$11,$B1304&lt;='111'!$O$11,OR($L1304=$O$7,$M1304=$O$7)),"x","")</f>
        <v/>
      </c>
      <c r="P1304" s="525" t="str">
        <f>IF(AND($L1304=$O$7,$B1304&lt;'111'!$N$11),"x","")</f>
        <v/>
      </c>
      <c r="Q1304" s="525" t="str">
        <f>IF(AND($M1304=$O$7,$B1304&lt;'111'!$N$11),"x","")</f>
        <v/>
      </c>
      <c r="R1304" s="525" t="str">
        <f>IF(ISERROR(FIND('112'!$M$9,G1304,1)),"",IF((AND(FIND('112'!$M$9,G1304,1)&gt;=1,$B1304&gt;='112'!$N$8,$B1304&lt;='112'!$O$8,OR($L1304='112'!$I$6,$M1304='112'!$I$6))),"x",""))</f>
        <v/>
      </c>
      <c r="S1304" s="525" t="str">
        <f>IF(ISERROR(FIND('112'!$M$9,G1304,1)),"",IF((AND(LEFT(G1304,2)=LEFT('112'!$M$9,2),B1304&lt;'112'!$N$8,$L1304='112'!$I$6)),"x",""))</f>
        <v/>
      </c>
      <c r="T1304" s="525" t="str">
        <f>IF(ISERROR(FIND('112'!$M$9,G1304,1)),"",IF((AND(RIGHT(G1304,2)=RIGHT('112'!$M$9,2),B1304&lt;'112'!$N$8,$M1304='112'!$I$6)),"x",""))</f>
        <v/>
      </c>
      <c r="U1304" s="525" t="str">
        <f>IF(AND(B1304&gt;='IN-NX'!$P$3,B1304&lt;='IN-NX'!$Q$3,'IN-NX'!$D$7=D1304,OR(LEFT(L1304,2)="15",AND(LEFT(M1304,2)&lt;&gt;"15",LEFT(M1304,2)&lt;&gt;"33"))),"x","")</f>
        <v/>
      </c>
      <c r="V1304" s="525" t="str">
        <f>IF(AND(OR(LEFT(TH!L1304,2)="15",LEFT(TH!M1304,2)="15"),'152-CT'!$J$8=TH!F1304),"x","")</f>
        <v/>
      </c>
      <c r="W1304" s="525" t="str">
        <f>IF(AND(OR(LEFT(TH!L1304,2)="15",LEFT(TH!M1304,2)="15"),TK!$E$7=TH!F1304),"x","")</f>
        <v/>
      </c>
      <c r="X1304" s="525" t="str">
        <f>IF(AND('341-CT'!$E$9=H1304,OR(LEFT(L1304,3)=$X$7,LEFT(M1304,3)=$X$7)),"x","")</f>
        <v/>
      </c>
      <c r="Y1304" s="525" t="str">
        <f>IF(OR(TH!L1304=TH!$Y$7,M1304=TH!$Y$7),"x","")</f>
        <v/>
      </c>
      <c r="Z1304" s="525" t="str">
        <f>IF(AND(B1304&lt;=NKC!$N$8,B1304&gt;=NKC!$M$8),"x","")</f>
        <v>x</v>
      </c>
      <c r="AA1304" s="535">
        <v>1</v>
      </c>
    </row>
    <row r="1305" spans="1:29" s="503" customFormat="1" ht="15.75" customHeight="1">
      <c r="A1305" s="517" t="str">
        <f>IF(B1305&lt;&gt;"",IF(AND(B1305&gt;=_TM1,B1305&lt;=_TM2,OR(TH!L1305="1111",TH!M1305="1111")),TH!D1305,""),"")</f>
        <v/>
      </c>
      <c r="B1305" s="531">
        <f t="shared" si="137"/>
        <v>1</v>
      </c>
      <c r="C1305" s="315">
        <f t="shared" si="138"/>
        <v>42739</v>
      </c>
      <c r="D1305" s="537" t="s">
        <v>957</v>
      </c>
      <c r="E1305" s="537">
        <v>42739</v>
      </c>
      <c r="F1305" s="249" t="s">
        <v>494</v>
      </c>
      <c r="G1305" s="314" t="s">
        <v>603</v>
      </c>
      <c r="H1305" s="473" t="s">
        <v>447</v>
      </c>
      <c r="I1305" s="307"/>
      <c r="J1305" s="307"/>
      <c r="K1305" s="532">
        <v>34095307</v>
      </c>
      <c r="L1305" s="534" t="s">
        <v>9</v>
      </c>
      <c r="M1305" s="534" t="s">
        <v>8</v>
      </c>
      <c r="N1305" s="525" t="str">
        <f>IF(AND('331-CT'!$E$7=TH!H1305,OR(L1305="331",M1305="331")),"331",IF(AND(OR(L1305="131",M1305="131"),H1305='131-CT'!$E$7),"131",""))</f>
        <v/>
      </c>
      <c r="O1305" s="525" t="str">
        <f>IF(AND($B1305&gt;='111'!$N$11,$B1305&lt;='111'!$O$11,OR($L1305=$O$7,$M1305=$O$7)),"x","")</f>
        <v/>
      </c>
      <c r="P1305" s="525" t="str">
        <f>IF(AND($L1305=$O$7,$B1305&lt;'111'!$N$11),"x","")</f>
        <v/>
      </c>
      <c r="Q1305" s="525" t="str">
        <f>IF(AND($M1305=$O$7,$B1305&lt;'111'!$N$11),"x","")</f>
        <v/>
      </c>
      <c r="R1305" s="525" t="str">
        <f>IF(ISERROR(FIND('112'!$M$9,G1305,1)),"",IF((AND(FIND('112'!$M$9,G1305,1)&gt;=1,$B1305&gt;='112'!$N$8,$B1305&lt;='112'!$O$8,OR($L1305='112'!$I$6,$M1305='112'!$I$6))),"x",""))</f>
        <v/>
      </c>
      <c r="S1305" s="525" t="str">
        <f>IF(ISERROR(FIND('112'!$M$9,G1305,1)),"",IF((AND(LEFT(G1305,2)=LEFT('112'!$M$9,2),B1305&lt;'112'!$N$8,$L1305='112'!$I$6)),"x",""))</f>
        <v/>
      </c>
      <c r="T1305" s="525" t="str">
        <f>IF(ISERROR(FIND('112'!$M$9,G1305,1)),"",IF((AND(RIGHT(G1305,2)=RIGHT('112'!$M$9,2),B1305&lt;'112'!$N$8,$M1305='112'!$I$6)),"x",""))</f>
        <v/>
      </c>
      <c r="U1305" s="525" t="str">
        <f>IF(AND(B1305&gt;='IN-NX'!$P$3,B1305&lt;='IN-NX'!$Q$3,'IN-NX'!$D$7=D1305,OR(LEFT(L1305,2)="15",AND(LEFT(M1305,2)&lt;&gt;"15",LEFT(M1305,2)&lt;&gt;"33"))),"x","")</f>
        <v/>
      </c>
      <c r="V1305" s="525" t="str">
        <f>IF(AND(OR(LEFT(TH!L1305,2)="15",LEFT(TH!M1305,2)="15"),'152-CT'!$J$8=TH!F1305),"x","")</f>
        <v/>
      </c>
      <c r="W1305" s="525" t="str">
        <f>IF(AND(OR(LEFT(TH!L1305,2)="15",LEFT(TH!M1305,2)="15"),TK!$E$7=TH!F1305),"x","")</f>
        <v/>
      </c>
      <c r="X1305" s="525" t="str">
        <f>IF(AND('341-CT'!$E$9=H1305,OR(LEFT(L1305,3)=$X$7,LEFT(M1305,3)=$X$7)),"x","")</f>
        <v/>
      </c>
      <c r="Y1305" s="525" t="str">
        <f>IF(OR(TH!L1305=TH!$Y$7,M1305=TH!$Y$7),"x","")</f>
        <v/>
      </c>
      <c r="Z1305" s="525" t="str">
        <f>IF(AND(B1305&lt;=NKC!$N$8,B1305&gt;=NKC!$M$8),"x","")</f>
        <v>x</v>
      </c>
      <c r="AA1305" s="535">
        <v>1</v>
      </c>
      <c r="AB1305" s="536"/>
    </row>
    <row r="1306" spans="1:29" s="503" customFormat="1" ht="15.75" customHeight="1">
      <c r="A1306" s="517" t="str">
        <f>IF(B1306&lt;&gt;"",IF(AND(B1306&gt;=_TM1,B1306&lt;=_TM2,OR(TH!L1306="1111",TH!M1306="1111")),TH!D1306,""),"")</f>
        <v/>
      </c>
      <c r="B1306" s="531">
        <f t="shared" si="137"/>
        <v>1</v>
      </c>
      <c r="C1306" s="315">
        <f t="shared" si="138"/>
        <v>42747</v>
      </c>
      <c r="D1306" s="537" t="s">
        <v>958</v>
      </c>
      <c r="E1306" s="537">
        <v>42747</v>
      </c>
      <c r="F1306" s="249" t="s">
        <v>274</v>
      </c>
      <c r="G1306" s="314" t="s">
        <v>602</v>
      </c>
      <c r="H1306" s="473" t="s">
        <v>447</v>
      </c>
      <c r="I1306" s="307">
        <v>437</v>
      </c>
      <c r="J1306" s="307">
        <v>10670</v>
      </c>
      <c r="K1306" s="532">
        <f>ROUND(I1306*J1306,0)</f>
        <v>4662790</v>
      </c>
      <c r="L1306" s="534" t="s">
        <v>292</v>
      </c>
      <c r="M1306" s="534" t="s">
        <v>8</v>
      </c>
      <c r="N1306" s="525" t="str">
        <f>IF(AND('331-CT'!$E$7=TH!H1306,OR(L1306="331",M1306="331")),"331",IF(AND(OR(L1306="131",M1306="131"),H1306='131-CT'!$E$7),"131",""))</f>
        <v/>
      </c>
      <c r="O1306" s="525" t="str">
        <f>IF(AND($B1306&gt;='111'!$N$11,$B1306&lt;='111'!$O$11,OR($L1306=$O$7,$M1306=$O$7)),"x","")</f>
        <v/>
      </c>
      <c r="P1306" s="525" t="str">
        <f>IF(AND($L1306=$O$7,$B1306&lt;'111'!$N$11),"x","")</f>
        <v/>
      </c>
      <c r="Q1306" s="525" t="str">
        <f>IF(AND($M1306=$O$7,$B1306&lt;'111'!$N$11),"x","")</f>
        <v/>
      </c>
      <c r="R1306" s="525" t="str">
        <f>IF(ISERROR(FIND('112'!$M$9,G1306,1)),"",IF((AND(FIND('112'!$M$9,G1306,1)&gt;=1,$B1306&gt;='112'!$N$8,$B1306&lt;='112'!$O$8,OR($L1306='112'!$I$6,$M1306='112'!$I$6))),"x",""))</f>
        <v/>
      </c>
      <c r="S1306" s="525" t="str">
        <f>IF(ISERROR(FIND('112'!$M$9,G1306,1)),"",IF((AND(LEFT(G1306,2)=LEFT('112'!$M$9,2),B1306&lt;'112'!$N$8,$L1306='112'!$I$6)),"x",""))</f>
        <v/>
      </c>
      <c r="T1306" s="525" t="str">
        <f>IF(ISERROR(FIND('112'!$M$9,G1306,1)),"",IF((AND(RIGHT(G1306,2)=RIGHT('112'!$M$9,2),B1306&lt;'112'!$N$8,$M1306='112'!$I$6)),"x",""))</f>
        <v/>
      </c>
      <c r="U1306" s="525" t="str">
        <f>IF(AND(B1306&gt;='IN-NX'!$P$3,B1306&lt;='IN-NX'!$Q$3,'IN-NX'!$D$7=D1306,OR(LEFT(L1306,2)="15",AND(LEFT(M1306,2)&lt;&gt;"15",LEFT(M1306,2)&lt;&gt;"33"))),"x","")</f>
        <v/>
      </c>
      <c r="V1306" s="525" t="str">
        <f>IF(AND(OR(LEFT(TH!L1306,2)="15",LEFT(TH!M1306,2)="15"),'152-CT'!$J$8=TH!F1306),"x","")</f>
        <v/>
      </c>
      <c r="W1306" s="525" t="str">
        <f>IF(AND(OR(LEFT(TH!L1306,2)="15",LEFT(TH!M1306,2)="15"),TK!$E$7=TH!F1306),"x","")</f>
        <v>x</v>
      </c>
      <c r="X1306" s="525" t="str">
        <f>IF(AND('341-CT'!$E$9=H1306,OR(LEFT(L1306,3)=$X$7,LEFT(M1306,3)=$X$7)),"x","")</f>
        <v/>
      </c>
      <c r="Y1306" s="525" t="str">
        <f>IF(OR(TH!L1306=TH!$Y$7,M1306=TH!$Y$7),"x","")</f>
        <v/>
      </c>
      <c r="Z1306" s="525" t="str">
        <f>IF(AND(B1306&lt;=NKC!$N$8,B1306&gt;=NKC!$M$8),"x","")</f>
        <v>x</v>
      </c>
      <c r="AA1306" s="535">
        <v>1</v>
      </c>
    </row>
    <row r="1307" spans="1:29" s="503" customFormat="1" ht="15.75" customHeight="1">
      <c r="A1307" s="517" t="str">
        <f>IF(B1307&lt;&gt;"",IF(AND(B1307&gt;=_TM1,B1307&lt;=_TM2,OR(TH!L1307="1111",TH!M1307="1111")),TH!D1307,""),"")</f>
        <v/>
      </c>
      <c r="B1307" s="531">
        <f t="shared" si="137"/>
        <v>1</v>
      </c>
      <c r="C1307" s="315">
        <f t="shared" si="138"/>
        <v>42747</v>
      </c>
      <c r="D1307" s="537" t="s">
        <v>958</v>
      </c>
      <c r="E1307" s="537">
        <v>42747</v>
      </c>
      <c r="F1307" s="249" t="s">
        <v>274</v>
      </c>
      <c r="G1307" s="314" t="s">
        <v>602</v>
      </c>
      <c r="H1307" s="473" t="s">
        <v>447</v>
      </c>
      <c r="I1307" s="307">
        <v>520</v>
      </c>
      <c r="J1307" s="307">
        <v>10185</v>
      </c>
      <c r="K1307" s="532">
        <f>ROUND(I1307*J1307,0)</f>
        <v>5296200</v>
      </c>
      <c r="L1307" s="534" t="s">
        <v>292</v>
      </c>
      <c r="M1307" s="534" t="s">
        <v>8</v>
      </c>
      <c r="N1307" s="525" t="str">
        <f>IF(AND('331-CT'!$E$7=TH!H1307,OR(L1307="331",M1307="331")),"331",IF(AND(OR(L1307="131",M1307="131"),H1307='131-CT'!$E$7),"131",""))</f>
        <v/>
      </c>
      <c r="O1307" s="525" t="str">
        <f>IF(AND($B1307&gt;='111'!$N$11,$B1307&lt;='111'!$O$11,OR($L1307=$O$7,$M1307=$O$7)),"x","")</f>
        <v/>
      </c>
      <c r="P1307" s="525" t="str">
        <f>IF(AND($L1307=$O$7,$B1307&lt;'111'!$N$11),"x","")</f>
        <v/>
      </c>
      <c r="Q1307" s="525" t="str">
        <f>IF(AND($M1307=$O$7,$B1307&lt;'111'!$N$11),"x","")</f>
        <v/>
      </c>
      <c r="R1307" s="525" t="str">
        <f>IF(ISERROR(FIND('112'!$M$9,G1307,1)),"",IF((AND(FIND('112'!$M$9,G1307,1)&gt;=1,$B1307&gt;='112'!$N$8,$B1307&lt;='112'!$O$8,OR($L1307='112'!$I$6,$M1307='112'!$I$6))),"x",""))</f>
        <v/>
      </c>
      <c r="S1307" s="525" t="str">
        <f>IF(ISERROR(FIND('112'!$M$9,G1307,1)),"",IF((AND(LEFT(G1307,2)=LEFT('112'!$M$9,2),B1307&lt;'112'!$N$8,$L1307='112'!$I$6)),"x",""))</f>
        <v/>
      </c>
      <c r="T1307" s="525" t="str">
        <f>IF(ISERROR(FIND('112'!$M$9,G1307,1)),"",IF((AND(RIGHT(G1307,2)=RIGHT('112'!$M$9,2),B1307&lt;'112'!$N$8,$M1307='112'!$I$6)),"x",""))</f>
        <v/>
      </c>
      <c r="U1307" s="525" t="str">
        <f>IF(AND(B1307&gt;='IN-NX'!$P$3,B1307&lt;='IN-NX'!$Q$3,'IN-NX'!$D$7=D1307,OR(LEFT(L1307,2)="15",AND(LEFT(M1307,2)&lt;&gt;"15",LEFT(M1307,2)&lt;&gt;"33"))),"x","")</f>
        <v/>
      </c>
      <c r="V1307" s="525" t="str">
        <f>IF(AND(OR(LEFT(TH!L1307,2)="15",LEFT(TH!M1307,2)="15"),'152-CT'!$J$8=TH!F1307),"x","")</f>
        <v/>
      </c>
      <c r="W1307" s="525" t="str">
        <f>IF(AND(OR(LEFT(TH!L1307,2)="15",LEFT(TH!M1307,2)="15"),TK!$E$7=TH!F1307),"x","")</f>
        <v>x</v>
      </c>
      <c r="X1307" s="525" t="str">
        <f>IF(AND('341-CT'!$E$9=H1307,OR(LEFT(L1307,3)=$X$7,LEFT(M1307,3)=$X$7)),"x","")</f>
        <v/>
      </c>
      <c r="Y1307" s="525" t="str">
        <f>IF(OR(TH!L1307=TH!$Y$7,M1307=TH!$Y$7),"x","")</f>
        <v/>
      </c>
      <c r="Z1307" s="525" t="str">
        <f>IF(AND(B1307&lt;=NKC!$N$8,B1307&gt;=NKC!$M$8),"x","")</f>
        <v>x</v>
      </c>
      <c r="AA1307" s="535">
        <v>1</v>
      </c>
    </row>
    <row r="1308" spans="1:29" s="503" customFormat="1" ht="15.75" customHeight="1">
      <c r="A1308" s="517" t="str">
        <f>IF(B1308&lt;&gt;"",IF(AND(B1308&gt;=_TM1,B1308&lt;=_TM2,OR(TH!L1308="1111",TH!M1308="1111")),TH!D1308,""),"")</f>
        <v/>
      </c>
      <c r="B1308" s="531">
        <f t="shared" si="137"/>
        <v>1</v>
      </c>
      <c r="C1308" s="315">
        <f t="shared" si="138"/>
        <v>42747</v>
      </c>
      <c r="D1308" s="537" t="s">
        <v>958</v>
      </c>
      <c r="E1308" s="537">
        <v>42747</v>
      </c>
      <c r="F1308" s="249" t="s">
        <v>502</v>
      </c>
      <c r="G1308" s="314" t="s">
        <v>602</v>
      </c>
      <c r="H1308" s="473" t="s">
        <v>447</v>
      </c>
      <c r="I1308" s="307">
        <v>50</v>
      </c>
      <c r="J1308" s="307">
        <v>12375</v>
      </c>
      <c r="K1308" s="532">
        <f>ROUND(I1308*J1308,0)</f>
        <v>618750</v>
      </c>
      <c r="L1308" s="534" t="s">
        <v>292</v>
      </c>
      <c r="M1308" s="534" t="s">
        <v>8</v>
      </c>
      <c r="N1308" s="525" t="str">
        <f>IF(AND('331-CT'!$E$7=TH!H1308,OR(L1308="331",M1308="331")),"331",IF(AND(OR(L1308="131",M1308="131"),H1308='131-CT'!$E$7),"131",""))</f>
        <v/>
      </c>
      <c r="O1308" s="525" t="str">
        <f>IF(AND($B1308&gt;='111'!$N$11,$B1308&lt;='111'!$O$11,OR($L1308=$O$7,$M1308=$O$7)),"x","")</f>
        <v/>
      </c>
      <c r="P1308" s="525" t="str">
        <f>IF(AND($L1308=$O$7,$B1308&lt;'111'!$N$11),"x","")</f>
        <v/>
      </c>
      <c r="Q1308" s="525" t="str">
        <f>IF(AND($M1308=$O$7,$B1308&lt;'111'!$N$11),"x","")</f>
        <v/>
      </c>
      <c r="R1308" s="525" t="str">
        <f>IF(ISERROR(FIND('112'!$M$9,G1308,1)),"",IF((AND(FIND('112'!$M$9,G1308,1)&gt;=1,$B1308&gt;='112'!$N$8,$B1308&lt;='112'!$O$8,OR($L1308='112'!$I$6,$M1308='112'!$I$6))),"x",""))</f>
        <v/>
      </c>
      <c r="S1308" s="525" t="str">
        <f>IF(ISERROR(FIND('112'!$M$9,G1308,1)),"",IF((AND(LEFT(G1308,2)=LEFT('112'!$M$9,2),B1308&lt;'112'!$N$8,$L1308='112'!$I$6)),"x",""))</f>
        <v/>
      </c>
      <c r="T1308" s="525" t="str">
        <f>IF(ISERROR(FIND('112'!$M$9,G1308,1)),"",IF((AND(RIGHT(G1308,2)=RIGHT('112'!$M$9,2),B1308&lt;'112'!$N$8,$M1308='112'!$I$6)),"x",""))</f>
        <v/>
      </c>
      <c r="U1308" s="525" t="str">
        <f>IF(AND(B1308&gt;='IN-NX'!$P$3,B1308&lt;='IN-NX'!$Q$3,'IN-NX'!$D$7=D1308,OR(LEFT(L1308,2)="15",AND(LEFT(M1308,2)&lt;&gt;"15",LEFT(M1308,2)&lt;&gt;"33"))),"x","")</f>
        <v/>
      </c>
      <c r="V1308" s="525" t="str">
        <f>IF(AND(OR(LEFT(TH!L1308,2)="15",LEFT(TH!M1308,2)="15"),'152-CT'!$J$8=TH!F1308),"x","")</f>
        <v/>
      </c>
      <c r="W1308" s="525" t="str">
        <f>IF(AND(OR(LEFT(TH!L1308,2)="15",LEFT(TH!M1308,2)="15"),TK!$E$7=TH!F1308),"x","")</f>
        <v/>
      </c>
      <c r="X1308" s="525" t="str">
        <f>IF(AND('341-CT'!$E$9=H1308,OR(LEFT(L1308,3)=$X$7,LEFT(M1308,3)=$X$7)),"x","")</f>
        <v/>
      </c>
      <c r="Y1308" s="525" t="str">
        <f>IF(OR(TH!L1308=TH!$Y$7,M1308=TH!$Y$7),"x","")</f>
        <v/>
      </c>
      <c r="Z1308" s="525" t="str">
        <f>IF(AND(B1308&lt;=NKC!$N$8,B1308&gt;=NKC!$M$8),"x","")</f>
        <v>x</v>
      </c>
      <c r="AA1308" s="535">
        <v>1</v>
      </c>
    </row>
    <row r="1309" spans="1:29" s="503" customFormat="1" ht="15.75" customHeight="1">
      <c r="A1309" s="517" t="str">
        <f>IF(B1309&lt;&gt;"",IF(AND(B1309&gt;=_TM1,B1309&lt;=_TM2,OR(TH!L1309="1111",TH!M1309="1111")),TH!D1309,""),"")</f>
        <v/>
      </c>
      <c r="B1309" s="531">
        <f t="shared" si="137"/>
        <v>1</v>
      </c>
      <c r="C1309" s="315">
        <f t="shared" si="138"/>
        <v>42747</v>
      </c>
      <c r="D1309" s="537" t="s">
        <v>958</v>
      </c>
      <c r="E1309" s="537">
        <v>42747</v>
      </c>
      <c r="F1309" s="249" t="s">
        <v>503</v>
      </c>
      <c r="G1309" s="314" t="s">
        <v>602</v>
      </c>
      <c r="H1309" s="473" t="s">
        <v>447</v>
      </c>
      <c r="I1309" s="307">
        <v>4095</v>
      </c>
      <c r="J1309" s="307">
        <v>8245</v>
      </c>
      <c r="K1309" s="532">
        <f>ROUND(I1309*J1309,0)</f>
        <v>33763275</v>
      </c>
      <c r="L1309" s="534" t="s">
        <v>292</v>
      </c>
      <c r="M1309" s="534" t="s">
        <v>8</v>
      </c>
      <c r="N1309" s="525" t="str">
        <f>IF(AND('331-CT'!$E$7=TH!H1309,OR(L1309="331",M1309="331")),"331",IF(AND(OR(L1309="131",M1309="131"),H1309='131-CT'!$E$7),"131",""))</f>
        <v/>
      </c>
      <c r="O1309" s="525" t="str">
        <f>IF(AND($B1309&gt;='111'!$N$11,$B1309&lt;='111'!$O$11,OR($L1309=$O$7,$M1309=$O$7)),"x","")</f>
        <v/>
      </c>
      <c r="P1309" s="525" t="str">
        <f>IF(AND($L1309=$O$7,$B1309&lt;'111'!$N$11),"x","")</f>
        <v/>
      </c>
      <c r="Q1309" s="525" t="str">
        <f>IF(AND($M1309=$O$7,$B1309&lt;'111'!$N$11),"x","")</f>
        <v/>
      </c>
      <c r="R1309" s="525" t="str">
        <f>IF(ISERROR(FIND('112'!$M$9,G1309,1)),"",IF((AND(FIND('112'!$M$9,G1309,1)&gt;=1,$B1309&gt;='112'!$N$8,$B1309&lt;='112'!$O$8,OR($L1309='112'!$I$6,$M1309='112'!$I$6))),"x",""))</f>
        <v/>
      </c>
      <c r="S1309" s="525" t="str">
        <f>IF(ISERROR(FIND('112'!$M$9,G1309,1)),"",IF((AND(LEFT(G1309,2)=LEFT('112'!$M$9,2),B1309&lt;'112'!$N$8,$L1309='112'!$I$6)),"x",""))</f>
        <v/>
      </c>
      <c r="T1309" s="525" t="str">
        <f>IF(ISERROR(FIND('112'!$M$9,G1309,1)),"",IF((AND(RIGHT(G1309,2)=RIGHT('112'!$M$9,2),B1309&lt;'112'!$N$8,$M1309='112'!$I$6)),"x",""))</f>
        <v/>
      </c>
      <c r="U1309" s="525" t="str">
        <f>IF(AND(B1309&gt;='IN-NX'!$P$3,B1309&lt;='IN-NX'!$Q$3,'IN-NX'!$D$7=D1309,OR(LEFT(L1309,2)="15",AND(LEFT(M1309,2)&lt;&gt;"15",LEFT(M1309,2)&lt;&gt;"33"))),"x","")</f>
        <v/>
      </c>
      <c r="V1309" s="525" t="str">
        <f>IF(AND(OR(LEFT(TH!L1309,2)="15",LEFT(TH!M1309,2)="15"),'152-CT'!$J$8=TH!F1309),"x","")</f>
        <v/>
      </c>
      <c r="W1309" s="525" t="str">
        <f>IF(AND(OR(LEFT(TH!L1309,2)="15",LEFT(TH!M1309,2)="15"),TK!$E$7=TH!F1309),"x","")</f>
        <v/>
      </c>
      <c r="X1309" s="525" t="str">
        <f>IF(AND('341-CT'!$E$9=H1309,OR(LEFT(L1309,3)=$X$7,LEFT(M1309,3)=$X$7)),"x","")</f>
        <v/>
      </c>
      <c r="Y1309" s="525" t="str">
        <f>IF(OR(TH!L1309=TH!$Y$7,M1309=TH!$Y$7),"x","")</f>
        <v/>
      </c>
      <c r="Z1309" s="525" t="str">
        <f>IF(AND(B1309&lt;=NKC!$N$8,B1309&gt;=NKC!$M$8),"x","")</f>
        <v>x</v>
      </c>
      <c r="AA1309" s="535">
        <v>1</v>
      </c>
    </row>
    <row r="1310" spans="1:29" s="503" customFormat="1" ht="15.75" customHeight="1">
      <c r="A1310" s="517" t="str">
        <f>IF(B1310&lt;&gt;"",IF(AND(B1310&gt;=_TM1,B1310&lt;=_TM2,OR(TH!L1310="1111",TH!M1310="1111")),TH!D1310,""),"")</f>
        <v/>
      </c>
      <c r="B1310" s="531">
        <f t="shared" si="137"/>
        <v>1</v>
      </c>
      <c r="C1310" s="315">
        <f t="shared" si="138"/>
        <v>42747</v>
      </c>
      <c r="D1310" s="537" t="s">
        <v>958</v>
      </c>
      <c r="E1310" s="537">
        <v>42747</v>
      </c>
      <c r="F1310" s="249" t="s">
        <v>501</v>
      </c>
      <c r="G1310" s="314" t="s">
        <v>602</v>
      </c>
      <c r="H1310" s="473" t="s">
        <v>447</v>
      </c>
      <c r="I1310" s="307"/>
      <c r="J1310" s="307"/>
      <c r="K1310" s="532">
        <v>4434102</v>
      </c>
      <c r="L1310" s="534" t="s">
        <v>9</v>
      </c>
      <c r="M1310" s="534" t="s">
        <v>8</v>
      </c>
      <c r="N1310" s="525" t="str">
        <f>IF(AND('331-CT'!$E$7=TH!H1310,OR(L1310="331",M1310="331")),"331",IF(AND(OR(L1310="131",M1310="131"),H1310='131-CT'!$E$7),"131",""))</f>
        <v/>
      </c>
      <c r="O1310" s="525" t="str">
        <f>IF(AND($B1310&gt;='111'!$N$11,$B1310&lt;='111'!$O$11,OR($L1310=$O$7,$M1310=$O$7)),"x","")</f>
        <v/>
      </c>
      <c r="P1310" s="525" t="str">
        <f>IF(AND($L1310=$O$7,$B1310&lt;'111'!$N$11),"x","")</f>
        <v/>
      </c>
      <c r="Q1310" s="525" t="str">
        <f>IF(AND($M1310=$O$7,$B1310&lt;'111'!$N$11),"x","")</f>
        <v/>
      </c>
      <c r="R1310" s="525" t="str">
        <f>IF(ISERROR(FIND('112'!$M$9,G1310,1)),"",IF((AND(FIND('112'!$M$9,G1310,1)&gt;=1,$B1310&gt;='112'!$N$8,$B1310&lt;='112'!$O$8,OR($L1310='112'!$I$6,$M1310='112'!$I$6))),"x",""))</f>
        <v/>
      </c>
      <c r="S1310" s="525" t="str">
        <f>IF(ISERROR(FIND('112'!$M$9,G1310,1)),"",IF((AND(LEFT(G1310,2)=LEFT('112'!$M$9,2),B1310&lt;'112'!$N$8,$L1310='112'!$I$6)),"x",""))</f>
        <v/>
      </c>
      <c r="T1310" s="525" t="str">
        <f>IF(ISERROR(FIND('112'!$M$9,G1310,1)),"",IF((AND(RIGHT(G1310,2)=RIGHT('112'!$M$9,2),B1310&lt;'112'!$N$8,$M1310='112'!$I$6)),"x",""))</f>
        <v/>
      </c>
      <c r="U1310" s="525" t="str">
        <f>IF(AND(B1310&gt;='IN-NX'!$P$3,B1310&lt;='IN-NX'!$Q$3,'IN-NX'!$D$7=D1310,OR(LEFT(L1310,2)="15",AND(LEFT(M1310,2)&lt;&gt;"15",LEFT(M1310,2)&lt;&gt;"33"))),"x","")</f>
        <v/>
      </c>
      <c r="V1310" s="525" t="str">
        <f>IF(AND(OR(LEFT(TH!L1310,2)="15",LEFT(TH!M1310,2)="15"),'152-CT'!$J$8=TH!F1310),"x","")</f>
        <v/>
      </c>
      <c r="W1310" s="525" t="str">
        <f>IF(AND(OR(LEFT(TH!L1310,2)="15",LEFT(TH!M1310,2)="15"),TK!$E$7=TH!F1310),"x","")</f>
        <v/>
      </c>
      <c r="X1310" s="525" t="str">
        <f>IF(AND('341-CT'!$E$9=H1310,OR(LEFT(L1310,3)=$X$7,LEFT(M1310,3)=$X$7)),"x","")</f>
        <v/>
      </c>
      <c r="Y1310" s="525" t="str">
        <f>IF(OR(TH!L1310=TH!$Y$7,M1310=TH!$Y$7),"x","")</f>
        <v/>
      </c>
      <c r="Z1310" s="525" t="str">
        <f>IF(AND(B1310&lt;=NKC!$N$8,B1310&gt;=NKC!$M$8),"x","")</f>
        <v>x</v>
      </c>
      <c r="AA1310" s="535">
        <v>1</v>
      </c>
      <c r="AB1310" s="536"/>
    </row>
    <row r="1311" spans="1:29" s="503" customFormat="1" ht="15.75" customHeight="1">
      <c r="A1311" s="517" t="str">
        <f>IF(B1311&lt;&gt;"",IF(AND(B1311&gt;=_TM1,B1311&lt;=_TM2,OR(TH!L1311="1111",TH!M1311="1111")),TH!D1311,""),"")</f>
        <v/>
      </c>
      <c r="B1311" s="531">
        <f t="shared" si="137"/>
        <v>1</v>
      </c>
      <c r="C1311" s="315">
        <f t="shared" si="138"/>
        <v>42749</v>
      </c>
      <c r="D1311" s="537" t="s">
        <v>959</v>
      </c>
      <c r="E1311" s="315">
        <v>42749</v>
      </c>
      <c r="F1311" s="249" t="s">
        <v>837</v>
      </c>
      <c r="G1311" s="314" t="s">
        <v>525</v>
      </c>
      <c r="H1311" s="473" t="s">
        <v>271</v>
      </c>
      <c r="I1311" s="307">
        <v>250</v>
      </c>
      <c r="J1311" s="307">
        <v>27342</v>
      </c>
      <c r="K1311" s="532">
        <f>ROUND(I1311*J1311,0)</f>
        <v>6835500</v>
      </c>
      <c r="L1311" s="534" t="s">
        <v>292</v>
      </c>
      <c r="M1311" s="534" t="s">
        <v>8</v>
      </c>
      <c r="N1311" s="525" t="str">
        <f>IF(AND('331-CT'!$E$7=TH!H1311,OR(L1311="331",M1311="331")),"331",IF(AND(OR(L1311="131",M1311="131"),H1311='131-CT'!$E$7),"131",""))</f>
        <v>331</v>
      </c>
      <c r="O1311" s="525" t="str">
        <f>IF(AND($B1311&gt;='111'!$N$11,$B1311&lt;='111'!$O$11,OR($L1311=$O$7,$M1311=$O$7)),"x","")</f>
        <v/>
      </c>
      <c r="P1311" s="525" t="str">
        <f>IF(AND($L1311=$O$7,$B1311&lt;'111'!$N$11),"x","")</f>
        <v/>
      </c>
      <c r="Q1311" s="525" t="str">
        <f>IF(AND($M1311=$O$7,$B1311&lt;'111'!$N$11),"x","")</f>
        <v/>
      </c>
      <c r="R1311" s="525" t="str">
        <f>IF(ISERROR(FIND('112'!$M$9,G1311,1)),"",IF((AND(FIND('112'!$M$9,G1311,1)&gt;=1,$B1311&gt;='112'!$N$8,$B1311&lt;='112'!$O$8,OR($L1311='112'!$I$6,$M1311='112'!$I$6))),"x",""))</f>
        <v/>
      </c>
      <c r="S1311" s="525" t="str">
        <f>IF(ISERROR(FIND('112'!$M$9,G1311,1)),"",IF((AND(LEFT(G1311,2)=LEFT('112'!$M$9,2),B1311&lt;'112'!$N$8,$L1311='112'!$I$6)),"x",""))</f>
        <v/>
      </c>
      <c r="T1311" s="525" t="str">
        <f>IF(ISERROR(FIND('112'!$M$9,G1311,1)),"",IF((AND(RIGHT(G1311,2)=RIGHT('112'!$M$9,2),B1311&lt;'112'!$N$8,$M1311='112'!$I$6)),"x",""))</f>
        <v/>
      </c>
      <c r="U1311" s="525" t="str">
        <f>IF(AND(B1311&gt;='IN-NX'!$P$3,B1311&lt;='IN-NX'!$Q$3,'IN-NX'!$D$7=D1311,OR(LEFT(L1311,2)="15",AND(LEFT(M1311,2)&lt;&gt;"15",LEFT(M1311,2)&lt;&gt;"33"))),"x","")</f>
        <v/>
      </c>
      <c r="V1311" s="525" t="str">
        <f>IF(AND(OR(LEFT(TH!L1311,2)="15",LEFT(TH!M1311,2)="15"),'152-CT'!$J$8=TH!F1311),"x","")</f>
        <v/>
      </c>
      <c r="W1311" s="525" t="str">
        <f>IF(AND(OR(LEFT(TH!L1311,2)="15",LEFT(TH!M1311,2)="15"),TK!$E$7=TH!F1311),"x","")</f>
        <v/>
      </c>
      <c r="X1311" s="525" t="str">
        <f>IF(AND('341-CT'!$E$9=H1311,OR(LEFT(L1311,3)=$X$7,LEFT(M1311,3)=$X$7)),"x","")</f>
        <v/>
      </c>
      <c r="Y1311" s="525" t="str">
        <f>IF(OR(TH!L1311=TH!$Y$7,M1311=TH!$Y$7),"x","")</f>
        <v/>
      </c>
      <c r="Z1311" s="525" t="str">
        <f>IF(AND(B1311&lt;=NKC!$N$8,B1311&gt;=NKC!$M$8),"x","")</f>
        <v>x</v>
      </c>
      <c r="AA1311" s="535">
        <v>1</v>
      </c>
    </row>
    <row r="1312" spans="1:29" s="503" customFormat="1" ht="15.75" customHeight="1">
      <c r="A1312" s="517" t="str">
        <f>IF(B1312&lt;&gt;"",IF(AND(B1312&gt;=_TM1,B1312&lt;=_TM2,OR(TH!L1312="1111",TH!M1312="1111")),TH!D1312,""),"")</f>
        <v/>
      </c>
      <c r="B1312" s="531">
        <f t="shared" si="137"/>
        <v>1</v>
      </c>
      <c r="C1312" s="315">
        <f t="shared" si="138"/>
        <v>42749</v>
      </c>
      <c r="D1312" s="537" t="s">
        <v>959</v>
      </c>
      <c r="E1312" s="315">
        <v>42749</v>
      </c>
      <c r="F1312" s="249" t="s">
        <v>838</v>
      </c>
      <c r="G1312" s="314" t="s">
        <v>525</v>
      </c>
      <c r="H1312" s="473" t="s">
        <v>271</v>
      </c>
      <c r="I1312" s="307">
        <v>200</v>
      </c>
      <c r="J1312" s="307">
        <v>27621</v>
      </c>
      <c r="K1312" s="532">
        <f>ROUND(I1312*J1312,0)</f>
        <v>5524200</v>
      </c>
      <c r="L1312" s="534" t="s">
        <v>292</v>
      </c>
      <c r="M1312" s="534" t="s">
        <v>8</v>
      </c>
      <c r="N1312" s="525" t="str">
        <f>IF(AND('331-CT'!$E$7=TH!H1312,OR(L1312="331",M1312="331")),"331",IF(AND(OR(L1312="131",M1312="131"),H1312='131-CT'!$E$7),"131",""))</f>
        <v>331</v>
      </c>
      <c r="O1312" s="525" t="str">
        <f>IF(AND($B1312&gt;='111'!$N$11,$B1312&lt;='111'!$O$11,OR($L1312=$O$7,$M1312=$O$7)),"x","")</f>
        <v/>
      </c>
      <c r="P1312" s="525" t="str">
        <f>IF(AND($L1312=$O$7,$B1312&lt;'111'!$N$11),"x","")</f>
        <v/>
      </c>
      <c r="Q1312" s="525" t="str">
        <f>IF(AND($M1312=$O$7,$B1312&lt;'111'!$N$11),"x","")</f>
        <v/>
      </c>
      <c r="R1312" s="525" t="str">
        <f>IF(ISERROR(FIND('112'!$M$9,G1312,1)),"",IF((AND(FIND('112'!$M$9,G1312,1)&gt;=1,$B1312&gt;='112'!$N$8,$B1312&lt;='112'!$O$8,OR($L1312='112'!$I$6,$M1312='112'!$I$6))),"x",""))</f>
        <v/>
      </c>
      <c r="S1312" s="525" t="str">
        <f>IF(ISERROR(FIND('112'!$M$9,G1312,1)),"",IF((AND(LEFT(G1312,2)=LEFT('112'!$M$9,2),B1312&lt;'112'!$N$8,$L1312='112'!$I$6)),"x",""))</f>
        <v/>
      </c>
      <c r="T1312" s="525" t="str">
        <f>IF(ISERROR(FIND('112'!$M$9,G1312,1)),"",IF((AND(RIGHT(G1312,2)=RIGHT('112'!$M$9,2),B1312&lt;'112'!$N$8,$M1312='112'!$I$6)),"x",""))</f>
        <v/>
      </c>
      <c r="U1312" s="525" t="str">
        <f>IF(AND(B1312&gt;='IN-NX'!$P$3,B1312&lt;='IN-NX'!$Q$3,'IN-NX'!$D$7=D1312,OR(LEFT(L1312,2)="15",AND(LEFT(M1312,2)&lt;&gt;"15",LEFT(M1312,2)&lt;&gt;"33"))),"x","")</f>
        <v/>
      </c>
      <c r="V1312" s="525" t="str">
        <f>IF(AND(OR(LEFT(TH!L1312,2)="15",LEFT(TH!M1312,2)="15"),'152-CT'!$J$8=TH!F1312),"x","")</f>
        <v/>
      </c>
      <c r="W1312" s="525" t="str">
        <f>IF(AND(OR(LEFT(TH!L1312,2)="15",LEFT(TH!M1312,2)="15"),TK!$E$7=TH!F1312),"x","")</f>
        <v/>
      </c>
      <c r="X1312" s="525" t="str">
        <f>IF(AND('341-CT'!$E$9=H1312,OR(LEFT(L1312,3)=$X$7,LEFT(M1312,3)=$X$7)),"x","")</f>
        <v/>
      </c>
      <c r="Y1312" s="525" t="str">
        <f>IF(OR(TH!L1312=TH!$Y$7,M1312=TH!$Y$7),"x","")</f>
        <v/>
      </c>
      <c r="Z1312" s="525" t="str">
        <f>IF(AND(B1312&lt;=NKC!$N$8,B1312&gt;=NKC!$M$8),"x","")</f>
        <v>x</v>
      </c>
      <c r="AA1312" s="535">
        <v>1</v>
      </c>
    </row>
    <row r="1313" spans="1:28" s="503" customFormat="1" ht="15.75" customHeight="1">
      <c r="A1313" s="517" t="str">
        <f>IF(B1313&lt;&gt;"",IF(AND(B1313&gt;=_TM1,B1313&lt;=_TM2,OR(TH!L1313="1111",TH!M1313="1111")),TH!D1313,""),"")</f>
        <v/>
      </c>
      <c r="B1313" s="531">
        <f t="shared" si="137"/>
        <v>1</v>
      </c>
      <c r="C1313" s="315">
        <f t="shared" si="138"/>
        <v>42749</v>
      </c>
      <c r="D1313" s="537" t="s">
        <v>959</v>
      </c>
      <c r="E1313" s="315">
        <v>42749</v>
      </c>
      <c r="F1313" s="249" t="s">
        <v>526</v>
      </c>
      <c r="G1313" s="314" t="s">
        <v>525</v>
      </c>
      <c r="H1313" s="473" t="s">
        <v>271</v>
      </c>
      <c r="I1313" s="307"/>
      <c r="J1313" s="307"/>
      <c r="K1313" s="532">
        <v>1235970</v>
      </c>
      <c r="L1313" s="534" t="s">
        <v>9</v>
      </c>
      <c r="M1313" s="534" t="s">
        <v>8</v>
      </c>
      <c r="N1313" s="525" t="str">
        <f>IF(AND('331-CT'!$E$7=TH!H1313,OR(L1313="331",M1313="331")),"331",IF(AND(OR(L1313="131",M1313="131"),H1313='131-CT'!$E$7),"131",""))</f>
        <v>331</v>
      </c>
      <c r="O1313" s="525" t="str">
        <f>IF(AND($B1313&gt;='111'!$N$11,$B1313&lt;='111'!$O$11,OR($L1313=$O$7,$M1313=$O$7)),"x","")</f>
        <v/>
      </c>
      <c r="P1313" s="525" t="str">
        <f>IF(AND($L1313=$O$7,$B1313&lt;'111'!$N$11),"x","")</f>
        <v/>
      </c>
      <c r="Q1313" s="525" t="str">
        <f>IF(AND($M1313=$O$7,$B1313&lt;'111'!$N$11),"x","")</f>
        <v/>
      </c>
      <c r="R1313" s="525" t="str">
        <f>IF(ISERROR(FIND('112'!$M$9,G1313,1)),"",IF((AND(FIND('112'!$M$9,G1313,1)&gt;=1,$B1313&gt;='112'!$N$8,$B1313&lt;='112'!$O$8,OR($L1313='112'!$I$6,$M1313='112'!$I$6))),"x",""))</f>
        <v/>
      </c>
      <c r="S1313" s="525" t="str">
        <f>IF(ISERROR(FIND('112'!$M$9,G1313,1)),"",IF((AND(LEFT(G1313,2)=LEFT('112'!$M$9,2),B1313&lt;'112'!$N$8,$L1313='112'!$I$6)),"x",""))</f>
        <v/>
      </c>
      <c r="T1313" s="525" t="str">
        <f>IF(ISERROR(FIND('112'!$M$9,G1313,1)),"",IF((AND(RIGHT(G1313,2)=RIGHT('112'!$M$9,2),B1313&lt;'112'!$N$8,$M1313='112'!$I$6)),"x",""))</f>
        <v/>
      </c>
      <c r="U1313" s="525" t="str">
        <f>IF(AND(B1313&gt;='IN-NX'!$P$3,B1313&lt;='IN-NX'!$Q$3,'IN-NX'!$D$7=D1313,OR(LEFT(L1313,2)="15",AND(LEFT(M1313,2)&lt;&gt;"15",LEFT(M1313,2)&lt;&gt;"33"))),"x","")</f>
        <v/>
      </c>
      <c r="V1313" s="525" t="str">
        <f>IF(AND(OR(LEFT(TH!L1313,2)="15",LEFT(TH!M1313,2)="15"),'152-CT'!$J$8=TH!F1313),"x","")</f>
        <v/>
      </c>
      <c r="W1313" s="525" t="str">
        <f>IF(AND(OR(LEFT(TH!L1313,2)="15",LEFT(TH!M1313,2)="15"),TK!$E$7=TH!F1313),"x","")</f>
        <v/>
      </c>
      <c r="X1313" s="525" t="str">
        <f>IF(AND('341-CT'!$E$9=H1313,OR(LEFT(L1313,3)=$X$7,LEFT(M1313,3)=$X$7)),"x","")</f>
        <v/>
      </c>
      <c r="Y1313" s="525" t="str">
        <f>IF(OR(TH!L1313=TH!$Y$7,M1313=TH!$Y$7),"x","")</f>
        <v/>
      </c>
      <c r="Z1313" s="525" t="str">
        <f>IF(AND(B1313&lt;=NKC!$N$8,B1313&gt;=NKC!$M$8),"x","")</f>
        <v>x</v>
      </c>
      <c r="AA1313" s="535">
        <v>1</v>
      </c>
      <c r="AB1313" s="536"/>
    </row>
    <row r="1314" spans="1:28" s="503" customFormat="1" ht="15.75" customHeight="1">
      <c r="A1314" s="517" t="str">
        <f>IF(B1314&lt;&gt;"",IF(AND(B1314&gt;=_TM1,B1314&lt;=_TM2,OR(TH!L1314="1111",TH!M1314="1111")),TH!D1314,""),"")</f>
        <v/>
      </c>
      <c r="B1314" s="531">
        <f t="shared" si="137"/>
        <v>1</v>
      </c>
      <c r="C1314" s="315">
        <f t="shared" si="138"/>
        <v>42755</v>
      </c>
      <c r="D1314" s="537" t="s">
        <v>960</v>
      </c>
      <c r="E1314" s="537">
        <v>42755</v>
      </c>
      <c r="F1314" s="249" t="s">
        <v>787</v>
      </c>
      <c r="G1314" s="314" t="s">
        <v>604</v>
      </c>
      <c r="H1314" s="473" t="s">
        <v>447</v>
      </c>
      <c r="I1314" s="307">
        <v>1700</v>
      </c>
      <c r="J1314" s="307">
        <v>3395</v>
      </c>
      <c r="K1314" s="532">
        <f t="shared" ref="K1314:K1319" si="139">ROUND(I1314*J1314,0)</f>
        <v>5771500</v>
      </c>
      <c r="L1314" s="534" t="s">
        <v>292</v>
      </c>
      <c r="M1314" s="534" t="s">
        <v>8</v>
      </c>
      <c r="N1314" s="525" t="str">
        <f>IF(AND('331-CT'!$E$7=TH!H1314,OR(L1314="331",M1314="331")),"331",IF(AND(OR(L1314="131",M1314="131"),H1314='131-CT'!$E$7),"131",""))</f>
        <v/>
      </c>
      <c r="O1314" s="525" t="str">
        <f>IF(AND($B1314&gt;='111'!$N$11,$B1314&lt;='111'!$O$11,OR($L1314=$O$7,$M1314=$O$7)),"x","")</f>
        <v/>
      </c>
      <c r="P1314" s="525" t="str">
        <f>IF(AND($L1314=$O$7,$B1314&lt;'111'!$N$11),"x","")</f>
        <v/>
      </c>
      <c r="Q1314" s="525" t="str">
        <f>IF(AND($M1314=$O$7,$B1314&lt;'111'!$N$11),"x","")</f>
        <v/>
      </c>
      <c r="R1314" s="525" t="str">
        <f>IF(ISERROR(FIND('112'!$M$9,G1314,1)),"",IF((AND(FIND('112'!$M$9,G1314,1)&gt;=1,$B1314&gt;='112'!$N$8,$B1314&lt;='112'!$O$8,OR($L1314='112'!$I$6,$M1314='112'!$I$6))),"x",""))</f>
        <v/>
      </c>
      <c r="S1314" s="525" t="str">
        <f>IF(ISERROR(FIND('112'!$M$9,G1314,1)),"",IF((AND(LEFT(G1314,2)=LEFT('112'!$M$9,2),B1314&lt;'112'!$N$8,$L1314='112'!$I$6)),"x",""))</f>
        <v/>
      </c>
      <c r="T1314" s="525" t="str">
        <f>IF(ISERROR(FIND('112'!$M$9,G1314,1)),"",IF((AND(RIGHT(G1314,2)=RIGHT('112'!$M$9,2),B1314&lt;'112'!$N$8,$M1314='112'!$I$6)),"x",""))</f>
        <v/>
      </c>
      <c r="U1314" s="525" t="str">
        <f>IF(AND(B1314&gt;='IN-NX'!$P$3,B1314&lt;='IN-NX'!$Q$3,'IN-NX'!$D$7=D1314,OR(LEFT(L1314,2)="15",AND(LEFT(M1314,2)&lt;&gt;"15",LEFT(M1314,2)&lt;&gt;"33"))),"x","")</f>
        <v/>
      </c>
      <c r="V1314" s="525" t="str">
        <f>IF(AND(OR(LEFT(TH!L1314,2)="15",LEFT(TH!M1314,2)="15"),'152-CT'!$J$8=TH!F1314),"x","")</f>
        <v/>
      </c>
      <c r="W1314" s="525" t="str">
        <f>IF(AND(OR(LEFT(TH!L1314,2)="15",LEFT(TH!M1314,2)="15"),TK!$E$7=TH!F1314),"x","")</f>
        <v/>
      </c>
      <c r="X1314" s="525" t="str">
        <f>IF(AND('341-CT'!$E$9=H1314,OR(LEFT(L1314,3)=$X$7,LEFT(M1314,3)=$X$7)),"x","")</f>
        <v/>
      </c>
      <c r="Y1314" s="525" t="str">
        <f>IF(OR(TH!L1314=TH!$Y$7,M1314=TH!$Y$7),"x","")</f>
        <v/>
      </c>
      <c r="Z1314" s="525" t="str">
        <f>IF(AND(B1314&lt;=NKC!$N$8,B1314&gt;=NKC!$M$8),"x","")</f>
        <v>x</v>
      </c>
      <c r="AA1314" s="535">
        <v>1</v>
      </c>
    </row>
    <row r="1315" spans="1:28" s="503" customFormat="1" ht="15.75" customHeight="1">
      <c r="A1315" s="517" t="str">
        <f>IF(B1315&lt;&gt;"",IF(AND(B1315&gt;=_TM1,B1315&lt;=_TM2,OR(TH!L1315="1111",TH!M1315="1111")),TH!D1315,""),"")</f>
        <v/>
      </c>
      <c r="B1315" s="531">
        <f t="shared" si="137"/>
        <v>1</v>
      </c>
      <c r="C1315" s="315">
        <f t="shared" si="138"/>
        <v>42755</v>
      </c>
      <c r="D1315" s="537" t="s">
        <v>960</v>
      </c>
      <c r="E1315" s="537">
        <v>42755</v>
      </c>
      <c r="F1315" s="249" t="s">
        <v>505</v>
      </c>
      <c r="G1315" s="314" t="s">
        <v>604</v>
      </c>
      <c r="H1315" s="473" t="s">
        <v>447</v>
      </c>
      <c r="I1315" s="307">
        <v>1500</v>
      </c>
      <c r="J1315" s="307">
        <v>31525</v>
      </c>
      <c r="K1315" s="532">
        <f t="shared" si="139"/>
        <v>47287500</v>
      </c>
      <c r="L1315" s="534" t="s">
        <v>292</v>
      </c>
      <c r="M1315" s="534" t="s">
        <v>8</v>
      </c>
      <c r="N1315" s="525" t="str">
        <f>IF(AND('331-CT'!$E$7=TH!H1315,OR(L1315="331",M1315="331")),"331",IF(AND(OR(L1315="131",M1315="131"),H1315='131-CT'!$E$7),"131",""))</f>
        <v/>
      </c>
      <c r="O1315" s="525" t="str">
        <f>IF(AND($B1315&gt;='111'!$N$11,$B1315&lt;='111'!$O$11,OR($L1315=$O$7,$M1315=$O$7)),"x","")</f>
        <v/>
      </c>
      <c r="P1315" s="525" t="str">
        <f>IF(AND($L1315=$O$7,$B1315&lt;'111'!$N$11),"x","")</f>
        <v/>
      </c>
      <c r="Q1315" s="525" t="str">
        <f>IF(AND($M1315=$O$7,$B1315&lt;'111'!$N$11),"x","")</f>
        <v/>
      </c>
      <c r="R1315" s="525" t="str">
        <f>IF(ISERROR(FIND('112'!$M$9,G1315,1)),"",IF((AND(FIND('112'!$M$9,G1315,1)&gt;=1,$B1315&gt;='112'!$N$8,$B1315&lt;='112'!$O$8,OR($L1315='112'!$I$6,$M1315='112'!$I$6))),"x",""))</f>
        <v/>
      </c>
      <c r="S1315" s="525" t="str">
        <f>IF(ISERROR(FIND('112'!$M$9,G1315,1)),"",IF((AND(LEFT(G1315,2)=LEFT('112'!$M$9,2),B1315&lt;'112'!$N$8,$L1315='112'!$I$6)),"x",""))</f>
        <v/>
      </c>
      <c r="T1315" s="525" t="str">
        <f>IF(ISERROR(FIND('112'!$M$9,G1315,1)),"",IF((AND(RIGHT(G1315,2)=RIGHT('112'!$M$9,2),B1315&lt;'112'!$N$8,$M1315='112'!$I$6)),"x",""))</f>
        <v/>
      </c>
      <c r="U1315" s="525" t="str">
        <f>IF(AND(B1315&gt;='IN-NX'!$P$3,B1315&lt;='IN-NX'!$Q$3,'IN-NX'!$D$7=D1315,OR(LEFT(L1315,2)="15",AND(LEFT(M1315,2)&lt;&gt;"15",LEFT(M1315,2)&lt;&gt;"33"))),"x","")</f>
        <v/>
      </c>
      <c r="V1315" s="525" t="str">
        <f>IF(AND(OR(LEFT(TH!L1315,2)="15",LEFT(TH!M1315,2)="15"),'152-CT'!$J$8=TH!F1315),"x","")</f>
        <v/>
      </c>
      <c r="W1315" s="525" t="str">
        <f>IF(AND(OR(LEFT(TH!L1315,2)="15",LEFT(TH!M1315,2)="15"),TK!$E$7=TH!F1315),"x","")</f>
        <v/>
      </c>
      <c r="X1315" s="525" t="str">
        <f>IF(AND('341-CT'!$E$9=H1315,OR(LEFT(L1315,3)=$X$7,LEFT(M1315,3)=$X$7)),"x","")</f>
        <v/>
      </c>
      <c r="Y1315" s="525" t="str">
        <f>IF(OR(TH!L1315=TH!$Y$7,M1315=TH!$Y$7),"x","")</f>
        <v/>
      </c>
      <c r="Z1315" s="525" t="str">
        <f>IF(AND(B1315&lt;=NKC!$N$8,B1315&gt;=NKC!$M$8),"x","")</f>
        <v>x</v>
      </c>
      <c r="AA1315" s="535">
        <v>1</v>
      </c>
    </row>
    <row r="1316" spans="1:28" s="503" customFormat="1" ht="15.75" customHeight="1">
      <c r="A1316" s="517" t="str">
        <f>IF(B1316&lt;&gt;"",IF(AND(B1316&gt;=_TM1,B1316&lt;=_TM2,OR(TH!L1316="1111",TH!M1316="1111")),TH!D1316,""),"")</f>
        <v/>
      </c>
      <c r="B1316" s="531">
        <f t="shared" si="137"/>
        <v>1</v>
      </c>
      <c r="C1316" s="315">
        <f t="shared" si="138"/>
        <v>42755</v>
      </c>
      <c r="D1316" s="537" t="s">
        <v>960</v>
      </c>
      <c r="E1316" s="537">
        <v>42755</v>
      </c>
      <c r="F1316" s="249" t="s">
        <v>274</v>
      </c>
      <c r="G1316" s="314" t="s">
        <v>604</v>
      </c>
      <c r="H1316" s="473" t="s">
        <v>447</v>
      </c>
      <c r="I1316" s="307">
        <v>4711</v>
      </c>
      <c r="J1316" s="307">
        <v>17945</v>
      </c>
      <c r="K1316" s="532">
        <f t="shared" si="139"/>
        <v>84538895</v>
      </c>
      <c r="L1316" s="534" t="s">
        <v>292</v>
      </c>
      <c r="M1316" s="534" t="s">
        <v>8</v>
      </c>
      <c r="N1316" s="525" t="str">
        <f>IF(AND('331-CT'!$E$7=TH!H1316,OR(L1316="331",M1316="331")),"331",IF(AND(OR(L1316="131",M1316="131"),H1316='131-CT'!$E$7),"131",""))</f>
        <v/>
      </c>
      <c r="O1316" s="525" t="str">
        <f>IF(AND($B1316&gt;='111'!$N$11,$B1316&lt;='111'!$O$11,OR($L1316=$O$7,$M1316=$O$7)),"x","")</f>
        <v/>
      </c>
      <c r="P1316" s="525" t="str">
        <f>IF(AND($L1316=$O$7,$B1316&lt;'111'!$N$11),"x","")</f>
        <v/>
      </c>
      <c r="Q1316" s="525" t="str">
        <f>IF(AND($M1316=$O$7,$B1316&lt;'111'!$N$11),"x","")</f>
        <v/>
      </c>
      <c r="R1316" s="525" t="str">
        <f>IF(ISERROR(FIND('112'!$M$9,G1316,1)),"",IF((AND(FIND('112'!$M$9,G1316,1)&gt;=1,$B1316&gt;='112'!$N$8,$B1316&lt;='112'!$O$8,OR($L1316='112'!$I$6,$M1316='112'!$I$6))),"x",""))</f>
        <v/>
      </c>
      <c r="S1316" s="525" t="str">
        <f>IF(ISERROR(FIND('112'!$M$9,G1316,1)),"",IF((AND(LEFT(G1316,2)=LEFT('112'!$M$9,2),B1316&lt;'112'!$N$8,$L1316='112'!$I$6)),"x",""))</f>
        <v/>
      </c>
      <c r="T1316" s="525" t="str">
        <f>IF(ISERROR(FIND('112'!$M$9,G1316,1)),"",IF((AND(RIGHT(G1316,2)=RIGHT('112'!$M$9,2),B1316&lt;'112'!$N$8,$M1316='112'!$I$6)),"x",""))</f>
        <v/>
      </c>
      <c r="U1316" s="525" t="str">
        <f>IF(AND(B1316&gt;='IN-NX'!$P$3,B1316&lt;='IN-NX'!$Q$3,'IN-NX'!$D$7=D1316,OR(LEFT(L1316,2)="15",AND(LEFT(M1316,2)&lt;&gt;"15",LEFT(M1316,2)&lt;&gt;"33"))),"x","")</f>
        <v/>
      </c>
      <c r="V1316" s="525" t="str">
        <f>IF(AND(OR(LEFT(TH!L1316,2)="15",LEFT(TH!M1316,2)="15"),'152-CT'!$J$8=TH!F1316),"x","")</f>
        <v/>
      </c>
      <c r="W1316" s="525" t="str">
        <f>IF(AND(OR(LEFT(TH!L1316,2)="15",LEFT(TH!M1316,2)="15"),TK!$E$7=TH!F1316),"x","")</f>
        <v>x</v>
      </c>
      <c r="X1316" s="525" t="str">
        <f>IF(AND('341-CT'!$E$9=H1316,OR(LEFT(L1316,3)=$X$7,LEFT(M1316,3)=$X$7)),"x","")</f>
        <v/>
      </c>
      <c r="Y1316" s="525" t="str">
        <f>IF(OR(TH!L1316=TH!$Y$7,M1316=TH!$Y$7),"x","")</f>
        <v/>
      </c>
      <c r="Z1316" s="525" t="str">
        <f>IF(AND(B1316&lt;=NKC!$N$8,B1316&gt;=NKC!$M$8),"x","")</f>
        <v>x</v>
      </c>
      <c r="AA1316" s="535">
        <v>1</v>
      </c>
    </row>
    <row r="1317" spans="1:28" s="503" customFormat="1" ht="15.75" customHeight="1">
      <c r="A1317" s="517" t="str">
        <f>IF(B1317&lt;&gt;"",IF(AND(B1317&gt;=_TM1,B1317&lt;=_TM2,OR(TH!L1317="1111",TH!M1317="1111")),TH!D1317,""),"")</f>
        <v/>
      </c>
      <c r="B1317" s="531">
        <f t="shared" si="137"/>
        <v>1</v>
      </c>
      <c r="C1317" s="315">
        <f t="shared" si="138"/>
        <v>42755</v>
      </c>
      <c r="D1317" s="537" t="s">
        <v>960</v>
      </c>
      <c r="E1317" s="537">
        <v>42755</v>
      </c>
      <c r="F1317" s="249" t="s">
        <v>273</v>
      </c>
      <c r="G1317" s="314" t="s">
        <v>604</v>
      </c>
      <c r="H1317" s="473" t="s">
        <v>447</v>
      </c>
      <c r="I1317" s="307">
        <v>4500</v>
      </c>
      <c r="J1317" s="307">
        <v>17945</v>
      </c>
      <c r="K1317" s="532">
        <f t="shared" si="139"/>
        <v>80752500</v>
      </c>
      <c r="L1317" s="534" t="s">
        <v>292</v>
      </c>
      <c r="M1317" s="534" t="s">
        <v>8</v>
      </c>
      <c r="N1317" s="525" t="str">
        <f>IF(AND('331-CT'!$E$7=TH!H1317,OR(L1317="331",M1317="331")),"331",IF(AND(OR(L1317="131",M1317="131"),H1317='131-CT'!$E$7),"131",""))</f>
        <v/>
      </c>
      <c r="O1317" s="525" t="str">
        <f>IF(AND($B1317&gt;='111'!$N$11,$B1317&lt;='111'!$O$11,OR($L1317=$O$7,$M1317=$O$7)),"x","")</f>
        <v/>
      </c>
      <c r="P1317" s="525" t="str">
        <f>IF(AND($L1317=$O$7,$B1317&lt;'111'!$N$11),"x","")</f>
        <v/>
      </c>
      <c r="Q1317" s="525" t="str">
        <f>IF(AND($M1317=$O$7,$B1317&lt;'111'!$N$11),"x","")</f>
        <v/>
      </c>
      <c r="R1317" s="525" t="str">
        <f>IF(ISERROR(FIND('112'!$M$9,G1317,1)),"",IF((AND(FIND('112'!$M$9,G1317,1)&gt;=1,$B1317&gt;='112'!$N$8,$B1317&lt;='112'!$O$8,OR($L1317='112'!$I$6,$M1317='112'!$I$6))),"x",""))</f>
        <v/>
      </c>
      <c r="S1317" s="525" t="str">
        <f>IF(ISERROR(FIND('112'!$M$9,G1317,1)),"",IF((AND(LEFT(G1317,2)=LEFT('112'!$M$9,2),B1317&lt;'112'!$N$8,$L1317='112'!$I$6)),"x",""))</f>
        <v/>
      </c>
      <c r="T1317" s="525" t="str">
        <f>IF(ISERROR(FIND('112'!$M$9,G1317,1)),"",IF((AND(RIGHT(G1317,2)=RIGHT('112'!$M$9,2),B1317&lt;'112'!$N$8,$M1317='112'!$I$6)),"x",""))</f>
        <v/>
      </c>
      <c r="U1317" s="525" t="str">
        <f>IF(AND(B1317&gt;='IN-NX'!$P$3,B1317&lt;='IN-NX'!$Q$3,'IN-NX'!$D$7=D1317,OR(LEFT(L1317,2)="15",AND(LEFT(M1317,2)&lt;&gt;"15",LEFT(M1317,2)&lt;&gt;"33"))),"x","")</f>
        <v/>
      </c>
      <c r="V1317" s="525" t="str">
        <f>IF(AND(OR(LEFT(TH!L1317,2)="15",LEFT(TH!M1317,2)="15"),'152-CT'!$J$8=TH!F1317),"x","")</f>
        <v>x</v>
      </c>
      <c r="W1317" s="525" t="str">
        <f>IF(AND(OR(LEFT(TH!L1317,2)="15",LEFT(TH!M1317,2)="15"),TK!$E$7=TH!F1317),"x","")</f>
        <v/>
      </c>
      <c r="X1317" s="525" t="str">
        <f>IF(AND('341-CT'!$E$9=H1317,OR(LEFT(L1317,3)=$X$7,LEFT(M1317,3)=$X$7)),"x","")</f>
        <v/>
      </c>
      <c r="Y1317" s="525" t="str">
        <f>IF(OR(TH!L1317=TH!$Y$7,M1317=TH!$Y$7),"x","")</f>
        <v/>
      </c>
      <c r="Z1317" s="525" t="str">
        <f>IF(AND(B1317&lt;=NKC!$N$8,B1317&gt;=NKC!$M$8),"x","")</f>
        <v>x</v>
      </c>
      <c r="AA1317" s="535">
        <v>1</v>
      </c>
    </row>
    <row r="1318" spans="1:28" s="503" customFormat="1" ht="15.75" customHeight="1">
      <c r="A1318" s="517" t="str">
        <f>IF(B1318&lt;&gt;"",IF(AND(B1318&gt;=_TM1,B1318&lt;=_TM2,OR(TH!L1318="1111",TH!M1318="1111")),TH!D1318,""),"")</f>
        <v/>
      </c>
      <c r="B1318" s="531">
        <f t="shared" si="137"/>
        <v>1</v>
      </c>
      <c r="C1318" s="315">
        <f t="shared" si="138"/>
        <v>42755</v>
      </c>
      <c r="D1318" s="537" t="s">
        <v>960</v>
      </c>
      <c r="E1318" s="537">
        <v>42755</v>
      </c>
      <c r="F1318" s="249" t="s">
        <v>503</v>
      </c>
      <c r="G1318" s="314" t="s">
        <v>604</v>
      </c>
      <c r="H1318" s="473" t="s">
        <v>447</v>
      </c>
      <c r="I1318" s="307">
        <v>3801</v>
      </c>
      <c r="J1318" s="307">
        <v>8245</v>
      </c>
      <c r="K1318" s="532">
        <f t="shared" si="139"/>
        <v>31339245</v>
      </c>
      <c r="L1318" s="534" t="s">
        <v>292</v>
      </c>
      <c r="M1318" s="534" t="s">
        <v>8</v>
      </c>
      <c r="N1318" s="525" t="str">
        <f>IF(AND('331-CT'!$E$7=TH!H1318,OR(L1318="331",M1318="331")),"331",IF(AND(OR(L1318="131",M1318="131"),H1318='131-CT'!$E$7),"131",""))</f>
        <v/>
      </c>
      <c r="O1318" s="525" t="str">
        <f>IF(AND($B1318&gt;='111'!$N$11,$B1318&lt;='111'!$O$11,OR($L1318=$O$7,$M1318=$O$7)),"x","")</f>
        <v/>
      </c>
      <c r="P1318" s="525" t="str">
        <f>IF(AND($L1318=$O$7,$B1318&lt;'111'!$N$11),"x","")</f>
        <v/>
      </c>
      <c r="Q1318" s="525" t="str">
        <f>IF(AND($M1318=$O$7,$B1318&lt;'111'!$N$11),"x","")</f>
        <v/>
      </c>
      <c r="R1318" s="525" t="str">
        <f>IF(ISERROR(FIND('112'!$M$9,G1318,1)),"",IF((AND(FIND('112'!$M$9,G1318,1)&gt;=1,$B1318&gt;='112'!$N$8,$B1318&lt;='112'!$O$8,OR($L1318='112'!$I$6,$M1318='112'!$I$6))),"x",""))</f>
        <v/>
      </c>
      <c r="S1318" s="525" t="str">
        <f>IF(ISERROR(FIND('112'!$M$9,G1318,1)),"",IF((AND(LEFT(G1318,2)=LEFT('112'!$M$9,2),B1318&lt;'112'!$N$8,$L1318='112'!$I$6)),"x",""))</f>
        <v/>
      </c>
      <c r="T1318" s="525" t="str">
        <f>IF(ISERROR(FIND('112'!$M$9,G1318,1)),"",IF((AND(RIGHT(G1318,2)=RIGHT('112'!$M$9,2),B1318&lt;'112'!$N$8,$M1318='112'!$I$6)),"x",""))</f>
        <v/>
      </c>
      <c r="U1318" s="525" t="str">
        <f>IF(AND(B1318&gt;='IN-NX'!$P$3,B1318&lt;='IN-NX'!$Q$3,'IN-NX'!$D$7=D1318,OR(LEFT(L1318,2)="15",AND(LEFT(M1318,2)&lt;&gt;"15",LEFT(M1318,2)&lt;&gt;"33"))),"x","")</f>
        <v/>
      </c>
      <c r="V1318" s="525" t="str">
        <f>IF(AND(OR(LEFT(TH!L1318,2)="15",LEFT(TH!M1318,2)="15"),'152-CT'!$J$8=TH!F1318),"x","")</f>
        <v/>
      </c>
      <c r="W1318" s="525" t="str">
        <f>IF(AND(OR(LEFT(TH!L1318,2)="15",LEFT(TH!M1318,2)="15"),TK!$E$7=TH!F1318),"x","")</f>
        <v/>
      </c>
      <c r="X1318" s="525" t="str">
        <f>IF(AND('341-CT'!$E$9=H1318,OR(LEFT(L1318,3)=$X$7,LEFT(M1318,3)=$X$7)),"x","")</f>
        <v/>
      </c>
      <c r="Y1318" s="525" t="str">
        <f>IF(OR(TH!L1318=TH!$Y$7,M1318=TH!$Y$7),"x","")</f>
        <v/>
      </c>
      <c r="Z1318" s="525" t="str">
        <f>IF(AND(B1318&lt;=NKC!$N$8,B1318&gt;=NKC!$M$8),"x","")</f>
        <v>x</v>
      </c>
      <c r="AA1318" s="535">
        <v>1</v>
      </c>
    </row>
    <row r="1319" spans="1:28" s="503" customFormat="1" ht="15.75" customHeight="1">
      <c r="A1319" s="517" t="str">
        <f>IF(B1319&lt;&gt;"",IF(AND(B1319&gt;=_TM1,B1319&lt;=_TM2,OR(TH!L1319="1111",TH!M1319="1111")),TH!D1319,""),"")</f>
        <v/>
      </c>
      <c r="B1319" s="531">
        <f t="shared" si="137"/>
        <v>1</v>
      </c>
      <c r="C1319" s="315">
        <f t="shared" si="138"/>
        <v>42755</v>
      </c>
      <c r="D1319" s="537" t="s">
        <v>960</v>
      </c>
      <c r="E1319" s="537">
        <v>42755</v>
      </c>
      <c r="F1319" s="249" t="s">
        <v>506</v>
      </c>
      <c r="G1319" s="314" t="s">
        <v>604</v>
      </c>
      <c r="H1319" s="473" t="s">
        <v>447</v>
      </c>
      <c r="I1319" s="307">
        <v>300</v>
      </c>
      <c r="J1319" s="307">
        <v>9700</v>
      </c>
      <c r="K1319" s="532">
        <f t="shared" si="139"/>
        <v>2910000</v>
      </c>
      <c r="L1319" s="534" t="s">
        <v>292</v>
      </c>
      <c r="M1319" s="534" t="s">
        <v>8</v>
      </c>
      <c r="N1319" s="525" t="str">
        <f>IF(AND('331-CT'!$E$7=TH!H1319,OR(L1319="331",M1319="331")),"331",IF(AND(OR(L1319="131",M1319="131"),H1319='131-CT'!$E$7),"131",""))</f>
        <v/>
      </c>
      <c r="O1319" s="525" t="str">
        <f>IF(AND($B1319&gt;='111'!$N$11,$B1319&lt;='111'!$O$11,OR($L1319=$O$7,$M1319=$O$7)),"x","")</f>
        <v/>
      </c>
      <c r="P1319" s="525" t="str">
        <f>IF(AND($L1319=$O$7,$B1319&lt;'111'!$N$11),"x","")</f>
        <v/>
      </c>
      <c r="Q1319" s="525" t="str">
        <f>IF(AND($M1319=$O$7,$B1319&lt;'111'!$N$11),"x","")</f>
        <v/>
      </c>
      <c r="R1319" s="525" t="str">
        <f>IF(ISERROR(FIND('112'!$M$9,G1319,1)),"",IF((AND(FIND('112'!$M$9,G1319,1)&gt;=1,$B1319&gt;='112'!$N$8,$B1319&lt;='112'!$O$8,OR($L1319='112'!$I$6,$M1319='112'!$I$6))),"x",""))</f>
        <v/>
      </c>
      <c r="S1319" s="525" t="str">
        <f>IF(ISERROR(FIND('112'!$M$9,G1319,1)),"",IF((AND(LEFT(G1319,2)=LEFT('112'!$M$9,2),B1319&lt;'112'!$N$8,$L1319='112'!$I$6)),"x",""))</f>
        <v/>
      </c>
      <c r="T1319" s="525" t="str">
        <f>IF(ISERROR(FIND('112'!$M$9,G1319,1)),"",IF((AND(RIGHT(G1319,2)=RIGHT('112'!$M$9,2),B1319&lt;'112'!$N$8,$M1319='112'!$I$6)),"x",""))</f>
        <v/>
      </c>
      <c r="U1319" s="525" t="str">
        <f>IF(AND(B1319&gt;='IN-NX'!$P$3,B1319&lt;='IN-NX'!$Q$3,'IN-NX'!$D$7=D1319,OR(LEFT(L1319,2)="15",AND(LEFT(M1319,2)&lt;&gt;"15",LEFT(M1319,2)&lt;&gt;"33"))),"x","")</f>
        <v/>
      </c>
      <c r="V1319" s="525" t="str">
        <f>IF(AND(OR(LEFT(TH!L1319,2)="15",LEFT(TH!M1319,2)="15"),'152-CT'!$J$8=TH!F1319),"x","")</f>
        <v/>
      </c>
      <c r="W1319" s="525" t="str">
        <f>IF(AND(OR(LEFT(TH!L1319,2)="15",LEFT(TH!M1319,2)="15"),TK!$E$7=TH!F1319),"x","")</f>
        <v/>
      </c>
      <c r="X1319" s="525" t="str">
        <f>IF(AND('341-CT'!$E$9=H1319,OR(LEFT(L1319,3)=$X$7,LEFT(M1319,3)=$X$7)),"x","")</f>
        <v/>
      </c>
      <c r="Y1319" s="525" t="str">
        <f>IF(OR(TH!L1319=TH!$Y$7,M1319=TH!$Y$7),"x","")</f>
        <v/>
      </c>
      <c r="Z1319" s="525" t="str">
        <f>IF(AND(B1319&lt;=NKC!$N$8,B1319&gt;=NKC!$M$8),"x","")</f>
        <v>x</v>
      </c>
      <c r="AA1319" s="535">
        <v>1</v>
      </c>
    </row>
    <row r="1320" spans="1:28" s="503" customFormat="1" ht="15.75" customHeight="1">
      <c r="A1320" s="517" t="str">
        <f>IF(B1320&lt;&gt;"",IF(AND(B1320&gt;=_TM1,B1320&lt;=_TM2,OR(TH!L1320="1111",TH!M1320="1111")),TH!D1320,""),"")</f>
        <v/>
      </c>
      <c r="B1320" s="531">
        <f t="shared" si="137"/>
        <v>1</v>
      </c>
      <c r="C1320" s="315">
        <f t="shared" si="138"/>
        <v>42755</v>
      </c>
      <c r="D1320" s="537" t="s">
        <v>960</v>
      </c>
      <c r="E1320" s="537">
        <v>42755</v>
      </c>
      <c r="F1320" s="249" t="s">
        <v>494</v>
      </c>
      <c r="G1320" s="314" t="s">
        <v>604</v>
      </c>
      <c r="H1320" s="473" t="s">
        <v>447</v>
      </c>
      <c r="I1320" s="307"/>
      <c r="J1320" s="307"/>
      <c r="K1320" s="532">
        <v>25259964</v>
      </c>
      <c r="L1320" s="534" t="s">
        <v>9</v>
      </c>
      <c r="M1320" s="534" t="s">
        <v>8</v>
      </c>
      <c r="N1320" s="525" t="str">
        <f>IF(AND('331-CT'!$E$7=TH!H1320,OR(L1320="331",M1320="331")),"331",IF(AND(OR(L1320="131",M1320="131"),H1320='131-CT'!$E$7),"131",""))</f>
        <v/>
      </c>
      <c r="O1320" s="525" t="str">
        <f>IF(AND($B1320&gt;='111'!$N$11,$B1320&lt;='111'!$O$11,OR($L1320=$O$7,$M1320=$O$7)),"x","")</f>
        <v/>
      </c>
      <c r="P1320" s="525" t="str">
        <f>IF(AND($L1320=$O$7,$B1320&lt;'111'!$N$11),"x","")</f>
        <v/>
      </c>
      <c r="Q1320" s="525" t="str">
        <f>IF(AND($M1320=$O$7,$B1320&lt;'111'!$N$11),"x","")</f>
        <v/>
      </c>
      <c r="R1320" s="525" t="str">
        <f>IF(ISERROR(FIND('112'!$M$9,G1320,1)),"",IF((AND(FIND('112'!$M$9,G1320,1)&gt;=1,$B1320&gt;='112'!$N$8,$B1320&lt;='112'!$O$8,OR($L1320='112'!$I$6,$M1320='112'!$I$6))),"x",""))</f>
        <v/>
      </c>
      <c r="S1320" s="525" t="str">
        <f>IF(ISERROR(FIND('112'!$M$9,G1320,1)),"",IF((AND(LEFT(G1320,2)=LEFT('112'!$M$9,2),B1320&lt;'112'!$N$8,$L1320='112'!$I$6)),"x",""))</f>
        <v/>
      </c>
      <c r="T1320" s="525" t="str">
        <f>IF(ISERROR(FIND('112'!$M$9,G1320,1)),"",IF((AND(RIGHT(G1320,2)=RIGHT('112'!$M$9,2),B1320&lt;'112'!$N$8,$M1320='112'!$I$6)),"x",""))</f>
        <v/>
      </c>
      <c r="U1320" s="525" t="str">
        <f>IF(AND(B1320&gt;='IN-NX'!$P$3,B1320&lt;='IN-NX'!$Q$3,'IN-NX'!$D$7=D1320,OR(LEFT(L1320,2)="15",AND(LEFT(M1320,2)&lt;&gt;"15",LEFT(M1320,2)&lt;&gt;"33"))),"x","")</f>
        <v/>
      </c>
      <c r="V1320" s="525" t="str">
        <f>IF(AND(OR(LEFT(TH!L1320,2)="15",LEFT(TH!M1320,2)="15"),'152-CT'!$J$8=TH!F1320),"x","")</f>
        <v/>
      </c>
      <c r="W1320" s="525" t="str">
        <f>IF(AND(OR(LEFT(TH!L1320,2)="15",LEFT(TH!M1320,2)="15"),TK!$E$7=TH!F1320),"x","")</f>
        <v/>
      </c>
      <c r="X1320" s="525" t="str">
        <f>IF(AND('341-CT'!$E$9=H1320,OR(LEFT(L1320,3)=$X$7,LEFT(M1320,3)=$X$7)),"x","")</f>
        <v/>
      </c>
      <c r="Y1320" s="525" t="str">
        <f>IF(OR(TH!L1320=TH!$Y$7,M1320=TH!$Y$7),"x","")</f>
        <v/>
      </c>
      <c r="Z1320" s="525" t="str">
        <f>IF(AND(B1320&lt;=NKC!$N$8,B1320&gt;=NKC!$M$8),"x","")</f>
        <v>x</v>
      </c>
      <c r="AA1320" s="535">
        <v>1</v>
      </c>
    </row>
    <row r="1321" spans="1:28" s="503" customFormat="1" ht="15.75" customHeight="1">
      <c r="A1321" s="517" t="str">
        <f>IF(B1321&lt;&gt;"",IF(AND(B1321&gt;=_TM1,B1321&lt;=_TM2,OR(TH!L1321="1111",TH!M1321="1111")),TH!D1321,""),"")</f>
        <v/>
      </c>
      <c r="B1321" s="531">
        <f t="shared" si="137"/>
        <v>1</v>
      </c>
      <c r="C1321" s="315">
        <f t="shared" si="138"/>
        <v>42757</v>
      </c>
      <c r="D1321" s="537" t="s">
        <v>961</v>
      </c>
      <c r="E1321" s="537">
        <v>42757</v>
      </c>
      <c r="F1321" s="249" t="s">
        <v>611</v>
      </c>
      <c r="G1321" s="314" t="s">
        <v>605</v>
      </c>
      <c r="H1321" s="473" t="s">
        <v>447</v>
      </c>
      <c r="I1321" s="307">
        <v>111</v>
      </c>
      <c r="J1321" s="307">
        <v>40545.990990990991</v>
      </c>
      <c r="K1321" s="532">
        <f t="shared" ref="K1321:K1352" si="140">ROUND(I1321*J1321,0)</f>
        <v>4500605</v>
      </c>
      <c r="L1321" s="534" t="s">
        <v>292</v>
      </c>
      <c r="M1321" s="534" t="s">
        <v>8</v>
      </c>
      <c r="N1321" s="525" t="str">
        <f>IF(AND('331-CT'!$E$7=TH!H1321,OR(L1321="331",M1321="331")),"331",IF(AND(OR(L1321="131",M1321="131"),H1321='131-CT'!$E$7),"131",""))</f>
        <v/>
      </c>
      <c r="O1321" s="525" t="str">
        <f>IF(AND($B1321&gt;='111'!$N$11,$B1321&lt;='111'!$O$11,OR($L1321=$O$7,$M1321=$O$7)),"x","")</f>
        <v/>
      </c>
      <c r="P1321" s="525" t="str">
        <f>IF(AND($L1321=$O$7,$B1321&lt;'111'!$N$11),"x","")</f>
        <v/>
      </c>
      <c r="Q1321" s="525" t="str">
        <f>IF(AND($M1321=$O$7,$B1321&lt;'111'!$N$11),"x","")</f>
        <v/>
      </c>
      <c r="R1321" s="525" t="str">
        <f>IF(ISERROR(FIND('112'!$M$9,G1321,1)),"",IF((AND(FIND('112'!$M$9,G1321,1)&gt;=1,$B1321&gt;='112'!$N$8,$B1321&lt;='112'!$O$8,OR($L1321='112'!$I$6,$M1321='112'!$I$6))),"x",""))</f>
        <v/>
      </c>
      <c r="S1321" s="525" t="str">
        <f>IF(ISERROR(FIND('112'!$M$9,G1321,1)),"",IF((AND(LEFT(G1321,2)=LEFT('112'!$M$9,2),B1321&lt;'112'!$N$8,$L1321='112'!$I$6)),"x",""))</f>
        <v/>
      </c>
      <c r="T1321" s="525" t="str">
        <f>IF(ISERROR(FIND('112'!$M$9,G1321,1)),"",IF((AND(RIGHT(G1321,2)=RIGHT('112'!$M$9,2),B1321&lt;'112'!$N$8,$M1321='112'!$I$6)),"x",""))</f>
        <v/>
      </c>
      <c r="U1321" s="525" t="str">
        <f>IF(AND(B1321&gt;='IN-NX'!$P$3,B1321&lt;='IN-NX'!$Q$3,'IN-NX'!$D$7=D1321,OR(LEFT(L1321,2)="15",AND(LEFT(M1321,2)&lt;&gt;"15",LEFT(M1321,2)&lt;&gt;"33"))),"x","")</f>
        <v/>
      </c>
      <c r="V1321" s="525" t="str">
        <f>IF(AND(OR(LEFT(TH!L1321,2)="15",LEFT(TH!M1321,2)="15"),'152-CT'!$J$8=TH!F1321),"x","")</f>
        <v/>
      </c>
      <c r="W1321" s="525" t="str">
        <f>IF(AND(OR(LEFT(TH!L1321,2)="15",LEFT(TH!M1321,2)="15"),TK!$E$7=TH!F1321),"x","")</f>
        <v/>
      </c>
      <c r="X1321" s="525" t="str">
        <f>IF(AND('341-CT'!$E$9=H1321,OR(LEFT(L1321,3)=$X$7,LEFT(M1321,3)=$X$7)),"x","")</f>
        <v/>
      </c>
      <c r="Y1321" s="525" t="str">
        <f>IF(OR(TH!L1321=TH!$Y$7,M1321=TH!$Y$7),"x","")</f>
        <v/>
      </c>
      <c r="Z1321" s="525" t="str">
        <f>IF(AND(B1321&lt;=NKC!$N$8,B1321&gt;=NKC!$M$8),"x","")</f>
        <v>x</v>
      </c>
      <c r="AA1321" s="535">
        <v>1</v>
      </c>
    </row>
    <row r="1322" spans="1:28" s="503" customFormat="1" ht="15.75" customHeight="1">
      <c r="A1322" s="517" t="str">
        <f>IF(B1322&lt;&gt;"",IF(AND(B1322&gt;=_TM1,B1322&lt;=_TM2,OR(TH!L1322="1111",TH!M1322="1111")),TH!D1322,""),"")</f>
        <v/>
      </c>
      <c r="B1322" s="531">
        <f t="shared" si="137"/>
        <v>1</v>
      </c>
      <c r="C1322" s="315">
        <f t="shared" si="138"/>
        <v>42757</v>
      </c>
      <c r="D1322" s="537" t="s">
        <v>961</v>
      </c>
      <c r="E1322" s="537">
        <v>42757</v>
      </c>
      <c r="F1322" s="249" t="s">
        <v>612</v>
      </c>
      <c r="G1322" s="314" t="s">
        <v>605</v>
      </c>
      <c r="H1322" s="473" t="s">
        <v>447</v>
      </c>
      <c r="I1322" s="307">
        <v>80</v>
      </c>
      <c r="J1322" s="307">
        <v>67377.987500000003</v>
      </c>
      <c r="K1322" s="532">
        <f t="shared" si="140"/>
        <v>5390239</v>
      </c>
      <c r="L1322" s="534" t="s">
        <v>292</v>
      </c>
      <c r="M1322" s="534" t="s">
        <v>8</v>
      </c>
      <c r="N1322" s="525" t="str">
        <f>IF(AND('331-CT'!$E$7=TH!H1322,OR(L1322="331",M1322="331")),"331",IF(AND(OR(L1322="131",M1322="131"),H1322='131-CT'!$E$7),"131",""))</f>
        <v/>
      </c>
      <c r="O1322" s="525" t="str">
        <f>IF(AND($B1322&gt;='111'!$N$11,$B1322&lt;='111'!$O$11,OR($L1322=$O$7,$M1322=$O$7)),"x","")</f>
        <v/>
      </c>
      <c r="P1322" s="525" t="str">
        <f>IF(AND($L1322=$O$7,$B1322&lt;'111'!$N$11),"x","")</f>
        <v/>
      </c>
      <c r="Q1322" s="525" t="str">
        <f>IF(AND($M1322=$O$7,$B1322&lt;'111'!$N$11),"x","")</f>
        <v/>
      </c>
      <c r="R1322" s="525" t="str">
        <f>IF(ISERROR(FIND('112'!$M$9,G1322,1)),"",IF((AND(FIND('112'!$M$9,G1322,1)&gt;=1,$B1322&gt;='112'!$N$8,$B1322&lt;='112'!$O$8,OR($L1322='112'!$I$6,$M1322='112'!$I$6))),"x",""))</f>
        <v/>
      </c>
      <c r="S1322" s="525" t="str">
        <f>IF(ISERROR(FIND('112'!$M$9,G1322,1)),"",IF((AND(LEFT(G1322,2)=LEFT('112'!$M$9,2),B1322&lt;'112'!$N$8,$L1322='112'!$I$6)),"x",""))</f>
        <v/>
      </c>
      <c r="T1322" s="525" t="str">
        <f>IF(ISERROR(FIND('112'!$M$9,G1322,1)),"",IF((AND(RIGHT(G1322,2)=RIGHT('112'!$M$9,2),B1322&lt;'112'!$N$8,$M1322='112'!$I$6)),"x",""))</f>
        <v/>
      </c>
      <c r="U1322" s="525" t="str">
        <f>IF(AND(B1322&gt;='IN-NX'!$P$3,B1322&lt;='IN-NX'!$Q$3,'IN-NX'!$D$7=D1322,OR(LEFT(L1322,2)="15",AND(LEFT(M1322,2)&lt;&gt;"15",LEFT(M1322,2)&lt;&gt;"33"))),"x","")</f>
        <v/>
      </c>
      <c r="V1322" s="525" t="str">
        <f>IF(AND(OR(LEFT(TH!L1322,2)="15",LEFT(TH!M1322,2)="15"),'152-CT'!$J$8=TH!F1322),"x","")</f>
        <v/>
      </c>
      <c r="W1322" s="525" t="str">
        <f>IF(AND(OR(LEFT(TH!L1322,2)="15",LEFT(TH!M1322,2)="15"),TK!$E$7=TH!F1322),"x","")</f>
        <v/>
      </c>
      <c r="X1322" s="525" t="str">
        <f>IF(AND('341-CT'!$E$9=H1322,OR(LEFT(L1322,3)=$X$7,LEFT(M1322,3)=$X$7)),"x","")</f>
        <v/>
      </c>
      <c r="Y1322" s="525" t="str">
        <f>IF(OR(TH!L1322=TH!$Y$7,M1322=TH!$Y$7),"x","")</f>
        <v/>
      </c>
      <c r="Z1322" s="525" t="str">
        <f>IF(AND(B1322&lt;=NKC!$N$8,B1322&gt;=NKC!$M$8),"x","")</f>
        <v>x</v>
      </c>
      <c r="AA1322" s="535">
        <v>1</v>
      </c>
    </row>
    <row r="1323" spans="1:28" s="503" customFormat="1" ht="15.75" customHeight="1">
      <c r="A1323" s="517" t="str">
        <f>IF(B1323&lt;&gt;"",IF(AND(B1323&gt;=_TM1,B1323&lt;=_TM2,OR(TH!L1323="1111",TH!M1323="1111")),TH!D1323,""),"")</f>
        <v/>
      </c>
      <c r="B1323" s="531">
        <f t="shared" si="137"/>
        <v>1</v>
      </c>
      <c r="C1323" s="315">
        <f t="shared" si="138"/>
        <v>42757</v>
      </c>
      <c r="D1323" s="537" t="s">
        <v>961</v>
      </c>
      <c r="E1323" s="537">
        <v>42757</v>
      </c>
      <c r="F1323" s="249" t="s">
        <v>613</v>
      </c>
      <c r="G1323" s="314" t="s">
        <v>605</v>
      </c>
      <c r="H1323" s="473" t="s">
        <v>447</v>
      </c>
      <c r="I1323" s="307">
        <v>130</v>
      </c>
      <c r="J1323" s="307">
        <v>88624</v>
      </c>
      <c r="K1323" s="532">
        <f t="shared" si="140"/>
        <v>11521120</v>
      </c>
      <c r="L1323" s="534" t="s">
        <v>292</v>
      </c>
      <c r="M1323" s="534" t="s">
        <v>8</v>
      </c>
      <c r="N1323" s="525" t="str">
        <f>IF(AND('331-CT'!$E$7=TH!H1323,OR(L1323="331",M1323="331")),"331",IF(AND(OR(L1323="131",M1323="131"),H1323='131-CT'!$E$7),"131",""))</f>
        <v/>
      </c>
      <c r="O1323" s="525" t="str">
        <f>IF(AND($B1323&gt;='111'!$N$11,$B1323&lt;='111'!$O$11,OR($L1323=$O$7,$M1323=$O$7)),"x","")</f>
        <v/>
      </c>
      <c r="P1323" s="525" t="str">
        <f>IF(AND($L1323=$O$7,$B1323&lt;'111'!$N$11),"x","")</f>
        <v/>
      </c>
      <c r="Q1323" s="525" t="str">
        <f>IF(AND($M1323=$O$7,$B1323&lt;'111'!$N$11),"x","")</f>
        <v/>
      </c>
      <c r="R1323" s="525" t="str">
        <f>IF(ISERROR(FIND('112'!$M$9,G1323,1)),"",IF((AND(FIND('112'!$M$9,G1323,1)&gt;=1,$B1323&gt;='112'!$N$8,$B1323&lt;='112'!$O$8,OR($L1323='112'!$I$6,$M1323='112'!$I$6))),"x",""))</f>
        <v/>
      </c>
      <c r="S1323" s="525" t="str">
        <f>IF(ISERROR(FIND('112'!$M$9,G1323,1)),"",IF((AND(LEFT(G1323,2)=LEFT('112'!$M$9,2),B1323&lt;'112'!$N$8,$L1323='112'!$I$6)),"x",""))</f>
        <v/>
      </c>
      <c r="T1323" s="525" t="str">
        <f>IF(ISERROR(FIND('112'!$M$9,G1323,1)),"",IF((AND(RIGHT(G1323,2)=RIGHT('112'!$M$9,2),B1323&lt;'112'!$N$8,$M1323='112'!$I$6)),"x",""))</f>
        <v/>
      </c>
      <c r="U1323" s="525" t="str">
        <f>IF(AND(B1323&gt;='IN-NX'!$P$3,B1323&lt;='IN-NX'!$Q$3,'IN-NX'!$D$7=D1323,OR(LEFT(L1323,2)="15",AND(LEFT(M1323,2)&lt;&gt;"15",LEFT(M1323,2)&lt;&gt;"33"))),"x","")</f>
        <v/>
      </c>
      <c r="V1323" s="525" t="str">
        <f>IF(AND(OR(LEFT(TH!L1323,2)="15",LEFT(TH!M1323,2)="15"),'152-CT'!$J$8=TH!F1323),"x","")</f>
        <v/>
      </c>
      <c r="W1323" s="525" t="str">
        <f>IF(AND(OR(LEFT(TH!L1323,2)="15",LEFT(TH!M1323,2)="15"),TK!$E$7=TH!F1323),"x","")</f>
        <v/>
      </c>
      <c r="X1323" s="525" t="str">
        <f>IF(AND('341-CT'!$E$9=H1323,OR(LEFT(L1323,3)=$X$7,LEFT(M1323,3)=$X$7)),"x","")</f>
        <v/>
      </c>
      <c r="Y1323" s="525" t="str">
        <f>IF(OR(TH!L1323=TH!$Y$7,M1323=TH!$Y$7),"x","")</f>
        <v/>
      </c>
      <c r="Z1323" s="525" t="str">
        <f>IF(AND(B1323&lt;=NKC!$N$8,B1323&gt;=NKC!$M$8),"x","")</f>
        <v>x</v>
      </c>
      <c r="AA1323" s="535">
        <v>1</v>
      </c>
    </row>
    <row r="1324" spans="1:28" s="503" customFormat="1" ht="15.75" customHeight="1">
      <c r="A1324" s="517" t="str">
        <f>IF(B1324&lt;&gt;"",IF(AND(B1324&gt;=_TM1,B1324&lt;=_TM2,OR(TH!L1324="1111",TH!M1324="1111")),TH!D1324,""),"")</f>
        <v/>
      </c>
      <c r="B1324" s="531">
        <f t="shared" si="137"/>
        <v>1</v>
      </c>
      <c r="C1324" s="315">
        <f t="shared" si="138"/>
        <v>42757</v>
      </c>
      <c r="D1324" s="537" t="s">
        <v>961</v>
      </c>
      <c r="E1324" s="537">
        <v>42757</v>
      </c>
      <c r="F1324" s="249" t="s">
        <v>614</v>
      </c>
      <c r="G1324" s="314" t="s">
        <v>605</v>
      </c>
      <c r="H1324" s="473" t="s">
        <v>447</v>
      </c>
      <c r="I1324" s="307">
        <v>140</v>
      </c>
      <c r="J1324" s="307">
        <v>17678</v>
      </c>
      <c r="K1324" s="532">
        <f t="shared" si="140"/>
        <v>2474920</v>
      </c>
      <c r="L1324" s="534" t="s">
        <v>292</v>
      </c>
      <c r="M1324" s="534" t="s">
        <v>8</v>
      </c>
      <c r="N1324" s="525" t="str">
        <f>IF(AND('331-CT'!$E$7=TH!H1324,OR(L1324="331",M1324="331")),"331",IF(AND(OR(L1324="131",M1324="131"),H1324='131-CT'!$E$7),"131",""))</f>
        <v/>
      </c>
      <c r="O1324" s="525" t="str">
        <f>IF(AND($B1324&gt;='111'!$N$11,$B1324&lt;='111'!$O$11,OR($L1324=$O$7,$M1324=$O$7)),"x","")</f>
        <v/>
      </c>
      <c r="P1324" s="525" t="str">
        <f>IF(AND($L1324=$O$7,$B1324&lt;'111'!$N$11),"x","")</f>
        <v/>
      </c>
      <c r="Q1324" s="525" t="str">
        <f>IF(AND($M1324=$O$7,$B1324&lt;'111'!$N$11),"x","")</f>
        <v/>
      </c>
      <c r="R1324" s="525" t="str">
        <f>IF(ISERROR(FIND('112'!$M$9,G1324,1)),"",IF((AND(FIND('112'!$M$9,G1324,1)&gt;=1,$B1324&gt;='112'!$N$8,$B1324&lt;='112'!$O$8,OR($L1324='112'!$I$6,$M1324='112'!$I$6))),"x",""))</f>
        <v/>
      </c>
      <c r="S1324" s="525" t="str">
        <f>IF(ISERROR(FIND('112'!$M$9,G1324,1)),"",IF((AND(LEFT(G1324,2)=LEFT('112'!$M$9,2),B1324&lt;'112'!$N$8,$L1324='112'!$I$6)),"x",""))</f>
        <v/>
      </c>
      <c r="T1324" s="525" t="str">
        <f>IF(ISERROR(FIND('112'!$M$9,G1324,1)),"",IF((AND(RIGHT(G1324,2)=RIGHT('112'!$M$9,2),B1324&lt;'112'!$N$8,$M1324='112'!$I$6)),"x",""))</f>
        <v/>
      </c>
      <c r="U1324" s="525" t="str">
        <f>IF(AND(B1324&gt;='IN-NX'!$P$3,B1324&lt;='IN-NX'!$Q$3,'IN-NX'!$D$7=D1324,OR(LEFT(L1324,2)="15",AND(LEFT(M1324,2)&lt;&gt;"15",LEFT(M1324,2)&lt;&gt;"33"))),"x","")</f>
        <v/>
      </c>
      <c r="V1324" s="525" t="str">
        <f>IF(AND(OR(LEFT(TH!L1324,2)="15",LEFT(TH!M1324,2)="15"),'152-CT'!$J$8=TH!F1324),"x","")</f>
        <v/>
      </c>
      <c r="W1324" s="525" t="str">
        <f>IF(AND(OR(LEFT(TH!L1324,2)="15",LEFT(TH!M1324,2)="15"),TK!$E$7=TH!F1324),"x","")</f>
        <v/>
      </c>
      <c r="X1324" s="525" t="str">
        <f>IF(AND('341-CT'!$E$9=H1324,OR(LEFT(L1324,3)=$X$7,LEFT(M1324,3)=$X$7)),"x","")</f>
        <v/>
      </c>
      <c r="Y1324" s="525" t="str">
        <f>IF(OR(TH!L1324=TH!$Y$7,M1324=TH!$Y$7),"x","")</f>
        <v/>
      </c>
      <c r="Z1324" s="525" t="str">
        <f>IF(AND(B1324&lt;=NKC!$N$8,B1324&gt;=NKC!$M$8),"x","")</f>
        <v>x</v>
      </c>
      <c r="AA1324" s="535">
        <v>1</v>
      </c>
    </row>
    <row r="1325" spans="1:28" s="503" customFormat="1" ht="15.75" customHeight="1">
      <c r="A1325" s="517" t="str">
        <f>IF(B1325&lt;&gt;"",IF(AND(B1325&gt;=_TM1,B1325&lt;=_TM2,OR(TH!L1325="1111",TH!M1325="1111")),TH!D1325,""),"")</f>
        <v/>
      </c>
      <c r="B1325" s="531">
        <f t="shared" si="137"/>
        <v>1</v>
      </c>
      <c r="C1325" s="315">
        <f t="shared" si="138"/>
        <v>42757</v>
      </c>
      <c r="D1325" s="537" t="s">
        <v>961</v>
      </c>
      <c r="E1325" s="537">
        <v>42757</v>
      </c>
      <c r="F1325" s="249" t="s">
        <v>615</v>
      </c>
      <c r="G1325" s="314" t="s">
        <v>605</v>
      </c>
      <c r="H1325" s="473" t="s">
        <v>447</v>
      </c>
      <c r="I1325" s="307">
        <v>70</v>
      </c>
      <c r="J1325" s="307">
        <v>35806</v>
      </c>
      <c r="K1325" s="532">
        <f t="shared" si="140"/>
        <v>2506420</v>
      </c>
      <c r="L1325" s="534" t="s">
        <v>292</v>
      </c>
      <c r="M1325" s="534" t="s">
        <v>8</v>
      </c>
      <c r="N1325" s="525" t="str">
        <f>IF(AND('331-CT'!$E$7=TH!H1325,OR(L1325="331",M1325="331")),"331",IF(AND(OR(L1325="131",M1325="131"),H1325='131-CT'!$E$7),"131",""))</f>
        <v/>
      </c>
      <c r="O1325" s="525" t="str">
        <f>IF(AND($B1325&gt;='111'!$N$11,$B1325&lt;='111'!$O$11,OR($L1325=$O$7,$M1325=$O$7)),"x","")</f>
        <v/>
      </c>
      <c r="P1325" s="525" t="str">
        <f>IF(AND($L1325=$O$7,$B1325&lt;'111'!$N$11),"x","")</f>
        <v/>
      </c>
      <c r="Q1325" s="525" t="str">
        <f>IF(AND($M1325=$O$7,$B1325&lt;'111'!$N$11),"x","")</f>
        <v/>
      </c>
      <c r="R1325" s="525" t="str">
        <f>IF(ISERROR(FIND('112'!$M$9,G1325,1)),"",IF((AND(FIND('112'!$M$9,G1325,1)&gt;=1,$B1325&gt;='112'!$N$8,$B1325&lt;='112'!$O$8,OR($L1325='112'!$I$6,$M1325='112'!$I$6))),"x",""))</f>
        <v/>
      </c>
      <c r="S1325" s="525" t="str">
        <f>IF(ISERROR(FIND('112'!$M$9,G1325,1)),"",IF((AND(LEFT(G1325,2)=LEFT('112'!$M$9,2),B1325&lt;'112'!$N$8,$L1325='112'!$I$6)),"x",""))</f>
        <v/>
      </c>
      <c r="T1325" s="525" t="str">
        <f>IF(ISERROR(FIND('112'!$M$9,G1325,1)),"",IF((AND(RIGHT(G1325,2)=RIGHT('112'!$M$9,2),B1325&lt;'112'!$N$8,$M1325='112'!$I$6)),"x",""))</f>
        <v/>
      </c>
      <c r="U1325" s="525" t="str">
        <f>IF(AND(B1325&gt;='IN-NX'!$P$3,B1325&lt;='IN-NX'!$Q$3,'IN-NX'!$D$7=D1325,OR(LEFT(L1325,2)="15",AND(LEFT(M1325,2)&lt;&gt;"15",LEFT(M1325,2)&lt;&gt;"33"))),"x","")</f>
        <v/>
      </c>
      <c r="V1325" s="525" t="str">
        <f>IF(AND(OR(LEFT(TH!L1325,2)="15",LEFT(TH!M1325,2)="15"),'152-CT'!$J$8=TH!F1325),"x","")</f>
        <v/>
      </c>
      <c r="W1325" s="525" t="str">
        <f>IF(AND(OR(LEFT(TH!L1325,2)="15",LEFT(TH!M1325,2)="15"),TK!$E$7=TH!F1325),"x","")</f>
        <v/>
      </c>
      <c r="X1325" s="525" t="str">
        <f>IF(AND('341-CT'!$E$9=H1325,OR(LEFT(L1325,3)=$X$7,LEFT(M1325,3)=$X$7)),"x","")</f>
        <v/>
      </c>
      <c r="Y1325" s="525" t="str">
        <f>IF(OR(TH!L1325=TH!$Y$7,M1325=TH!$Y$7),"x","")</f>
        <v/>
      </c>
      <c r="Z1325" s="525" t="str">
        <f>IF(AND(B1325&lt;=NKC!$N$8,B1325&gt;=NKC!$M$8),"x","")</f>
        <v>x</v>
      </c>
      <c r="AA1325" s="535">
        <v>1</v>
      </c>
    </row>
    <row r="1326" spans="1:28" s="503" customFormat="1" ht="15.75" customHeight="1">
      <c r="A1326" s="517" t="str">
        <f>IF(B1326&lt;&gt;"",IF(AND(B1326&gt;=_TM1,B1326&lt;=_TM2,OR(TH!L1326="1111",TH!M1326="1111")),TH!D1326,""),"")</f>
        <v/>
      </c>
      <c r="B1326" s="531">
        <f t="shared" si="137"/>
        <v>1</v>
      </c>
      <c r="C1326" s="315">
        <f t="shared" si="138"/>
        <v>42757</v>
      </c>
      <c r="D1326" s="537" t="s">
        <v>961</v>
      </c>
      <c r="E1326" s="537">
        <v>42757</v>
      </c>
      <c r="F1326" s="249" t="s">
        <v>616</v>
      </c>
      <c r="G1326" s="314" t="s">
        <v>605</v>
      </c>
      <c r="H1326" s="473" t="s">
        <v>447</v>
      </c>
      <c r="I1326" s="307">
        <v>80</v>
      </c>
      <c r="J1326" s="307">
        <v>12002</v>
      </c>
      <c r="K1326" s="532">
        <f t="shared" si="140"/>
        <v>960160</v>
      </c>
      <c r="L1326" s="534" t="s">
        <v>292</v>
      </c>
      <c r="M1326" s="534" t="s">
        <v>8</v>
      </c>
      <c r="N1326" s="525" t="str">
        <f>IF(AND('331-CT'!$E$7=TH!H1326,OR(L1326="331",M1326="331")),"331",IF(AND(OR(L1326="131",M1326="131"),H1326='131-CT'!$E$7),"131",""))</f>
        <v/>
      </c>
      <c r="O1326" s="525" t="str">
        <f>IF(AND($B1326&gt;='111'!$N$11,$B1326&lt;='111'!$O$11,OR($L1326=$O$7,$M1326=$O$7)),"x","")</f>
        <v/>
      </c>
      <c r="P1326" s="525" t="str">
        <f>IF(AND($L1326=$O$7,$B1326&lt;'111'!$N$11),"x","")</f>
        <v/>
      </c>
      <c r="Q1326" s="525" t="str">
        <f>IF(AND($M1326=$O$7,$B1326&lt;'111'!$N$11),"x","")</f>
        <v/>
      </c>
      <c r="R1326" s="525" t="str">
        <f>IF(ISERROR(FIND('112'!$M$9,G1326,1)),"",IF((AND(FIND('112'!$M$9,G1326,1)&gt;=1,$B1326&gt;='112'!$N$8,$B1326&lt;='112'!$O$8,OR($L1326='112'!$I$6,$M1326='112'!$I$6))),"x",""))</f>
        <v/>
      </c>
      <c r="S1326" s="525" t="str">
        <f>IF(ISERROR(FIND('112'!$M$9,G1326,1)),"",IF((AND(LEFT(G1326,2)=LEFT('112'!$M$9,2),B1326&lt;'112'!$N$8,$L1326='112'!$I$6)),"x",""))</f>
        <v/>
      </c>
      <c r="T1326" s="525" t="str">
        <f>IF(ISERROR(FIND('112'!$M$9,G1326,1)),"",IF((AND(RIGHT(G1326,2)=RIGHT('112'!$M$9,2),B1326&lt;'112'!$N$8,$M1326='112'!$I$6)),"x",""))</f>
        <v/>
      </c>
      <c r="U1326" s="525" t="str">
        <f>IF(AND(B1326&gt;='IN-NX'!$P$3,B1326&lt;='IN-NX'!$Q$3,'IN-NX'!$D$7=D1326,OR(LEFT(L1326,2)="15",AND(LEFT(M1326,2)&lt;&gt;"15",LEFT(M1326,2)&lt;&gt;"33"))),"x","")</f>
        <v/>
      </c>
      <c r="V1326" s="525" t="str">
        <f>IF(AND(OR(LEFT(TH!L1326,2)="15",LEFT(TH!M1326,2)="15"),'152-CT'!$J$8=TH!F1326),"x","")</f>
        <v/>
      </c>
      <c r="W1326" s="525" t="str">
        <f>IF(AND(OR(LEFT(TH!L1326,2)="15",LEFT(TH!M1326,2)="15"),TK!$E$7=TH!F1326),"x","")</f>
        <v/>
      </c>
      <c r="X1326" s="525" t="str">
        <f>IF(AND('341-CT'!$E$9=H1326,OR(LEFT(L1326,3)=$X$7,LEFT(M1326,3)=$X$7)),"x","")</f>
        <v/>
      </c>
      <c r="Y1326" s="525" t="str">
        <f>IF(OR(TH!L1326=TH!$Y$7,M1326=TH!$Y$7),"x","")</f>
        <v/>
      </c>
      <c r="Z1326" s="525" t="str">
        <f>IF(AND(B1326&lt;=NKC!$N$8,B1326&gt;=NKC!$M$8),"x","")</f>
        <v>x</v>
      </c>
      <c r="AA1326" s="535">
        <v>1</v>
      </c>
    </row>
    <row r="1327" spans="1:28" s="503" customFormat="1" ht="15.75" customHeight="1">
      <c r="A1327" s="517" t="str">
        <f>IF(B1327&lt;&gt;"",IF(AND(B1327&gt;=_TM1,B1327&lt;=_TM2,OR(TH!L1327="1111",TH!M1327="1111")),TH!D1327,""),"")</f>
        <v/>
      </c>
      <c r="B1327" s="531">
        <f t="shared" si="137"/>
        <v>1</v>
      </c>
      <c r="C1327" s="315">
        <f t="shared" si="138"/>
        <v>42757</v>
      </c>
      <c r="D1327" s="537" t="s">
        <v>961</v>
      </c>
      <c r="E1327" s="537">
        <v>42757</v>
      </c>
      <c r="F1327" s="249" t="s">
        <v>617</v>
      </c>
      <c r="G1327" s="314" t="s">
        <v>605</v>
      </c>
      <c r="H1327" s="473" t="s">
        <v>447</v>
      </c>
      <c r="I1327" s="307">
        <v>15</v>
      </c>
      <c r="J1327" s="307">
        <v>56030</v>
      </c>
      <c r="K1327" s="532">
        <f t="shared" si="140"/>
        <v>840450</v>
      </c>
      <c r="L1327" s="534" t="s">
        <v>292</v>
      </c>
      <c r="M1327" s="534" t="s">
        <v>8</v>
      </c>
      <c r="N1327" s="525" t="str">
        <f>IF(AND('331-CT'!$E$7=TH!H1327,OR(L1327="331",M1327="331")),"331",IF(AND(OR(L1327="131",M1327="131"),H1327='131-CT'!$E$7),"131",""))</f>
        <v/>
      </c>
      <c r="O1327" s="525" t="str">
        <f>IF(AND($B1327&gt;='111'!$N$11,$B1327&lt;='111'!$O$11,OR($L1327=$O$7,$M1327=$O$7)),"x","")</f>
        <v/>
      </c>
      <c r="P1327" s="525" t="str">
        <f>IF(AND($L1327=$O$7,$B1327&lt;'111'!$N$11),"x","")</f>
        <v/>
      </c>
      <c r="Q1327" s="525" t="str">
        <f>IF(AND($M1327=$O$7,$B1327&lt;'111'!$N$11),"x","")</f>
        <v/>
      </c>
      <c r="R1327" s="525" t="str">
        <f>IF(ISERROR(FIND('112'!$M$9,G1327,1)),"",IF((AND(FIND('112'!$M$9,G1327,1)&gt;=1,$B1327&gt;='112'!$N$8,$B1327&lt;='112'!$O$8,OR($L1327='112'!$I$6,$M1327='112'!$I$6))),"x",""))</f>
        <v/>
      </c>
      <c r="S1327" s="525" t="str">
        <f>IF(ISERROR(FIND('112'!$M$9,G1327,1)),"",IF((AND(LEFT(G1327,2)=LEFT('112'!$M$9,2),B1327&lt;'112'!$N$8,$L1327='112'!$I$6)),"x",""))</f>
        <v/>
      </c>
      <c r="T1327" s="525" t="str">
        <f>IF(ISERROR(FIND('112'!$M$9,G1327,1)),"",IF((AND(RIGHT(G1327,2)=RIGHT('112'!$M$9,2),B1327&lt;'112'!$N$8,$M1327='112'!$I$6)),"x",""))</f>
        <v/>
      </c>
      <c r="U1327" s="525" t="str">
        <f>IF(AND(B1327&gt;='IN-NX'!$P$3,B1327&lt;='IN-NX'!$Q$3,'IN-NX'!$D$7=D1327,OR(LEFT(L1327,2)="15",AND(LEFT(M1327,2)&lt;&gt;"15",LEFT(M1327,2)&lt;&gt;"33"))),"x","")</f>
        <v/>
      </c>
      <c r="V1327" s="525" t="str">
        <f>IF(AND(OR(LEFT(TH!L1327,2)="15",LEFT(TH!M1327,2)="15"),'152-CT'!$J$8=TH!F1327),"x","")</f>
        <v/>
      </c>
      <c r="W1327" s="525" t="str">
        <f>IF(AND(OR(LEFT(TH!L1327,2)="15",LEFT(TH!M1327,2)="15"),TK!$E$7=TH!F1327),"x","")</f>
        <v/>
      </c>
      <c r="X1327" s="525" t="str">
        <f>IF(AND('341-CT'!$E$9=H1327,OR(LEFT(L1327,3)=$X$7,LEFT(M1327,3)=$X$7)),"x","")</f>
        <v/>
      </c>
      <c r="Y1327" s="525" t="str">
        <f>IF(OR(TH!L1327=TH!$Y$7,M1327=TH!$Y$7),"x","")</f>
        <v/>
      </c>
      <c r="Z1327" s="525" t="str">
        <f>IF(AND(B1327&lt;=NKC!$N$8,B1327&gt;=NKC!$M$8),"x","")</f>
        <v>x</v>
      </c>
      <c r="AA1327" s="535">
        <v>1</v>
      </c>
    </row>
    <row r="1328" spans="1:28" s="503" customFormat="1" ht="15.75" customHeight="1">
      <c r="A1328" s="517" t="str">
        <f>IF(B1328&lt;&gt;"",IF(AND(B1328&gt;=_TM1,B1328&lt;=_TM2,OR(TH!L1328="1111",TH!M1328="1111")),TH!D1328,""),"")</f>
        <v/>
      </c>
      <c r="B1328" s="531">
        <f t="shared" si="137"/>
        <v>1</v>
      </c>
      <c r="C1328" s="315">
        <f t="shared" si="138"/>
        <v>42757</v>
      </c>
      <c r="D1328" s="537" t="s">
        <v>961</v>
      </c>
      <c r="E1328" s="537">
        <v>42757</v>
      </c>
      <c r="F1328" s="249" t="s">
        <v>618</v>
      </c>
      <c r="G1328" s="314" t="s">
        <v>605</v>
      </c>
      <c r="H1328" s="473" t="s">
        <v>447</v>
      </c>
      <c r="I1328" s="307">
        <v>5</v>
      </c>
      <c r="J1328" s="307">
        <v>56794</v>
      </c>
      <c r="K1328" s="532">
        <f t="shared" si="140"/>
        <v>283970</v>
      </c>
      <c r="L1328" s="534" t="s">
        <v>292</v>
      </c>
      <c r="M1328" s="534" t="s">
        <v>8</v>
      </c>
      <c r="N1328" s="525" t="str">
        <f>IF(AND('331-CT'!$E$7=TH!H1328,OR(L1328="331",M1328="331")),"331",IF(AND(OR(L1328="131",M1328="131"),H1328='131-CT'!$E$7),"131",""))</f>
        <v/>
      </c>
      <c r="O1328" s="525" t="str">
        <f>IF(AND($B1328&gt;='111'!$N$11,$B1328&lt;='111'!$O$11,OR($L1328=$O$7,$M1328=$O$7)),"x","")</f>
        <v/>
      </c>
      <c r="P1328" s="525" t="str">
        <f>IF(AND($L1328=$O$7,$B1328&lt;'111'!$N$11),"x","")</f>
        <v/>
      </c>
      <c r="Q1328" s="525" t="str">
        <f>IF(AND($M1328=$O$7,$B1328&lt;'111'!$N$11),"x","")</f>
        <v/>
      </c>
      <c r="R1328" s="525" t="str">
        <f>IF(ISERROR(FIND('112'!$M$9,G1328,1)),"",IF((AND(FIND('112'!$M$9,G1328,1)&gt;=1,$B1328&gt;='112'!$N$8,$B1328&lt;='112'!$O$8,OR($L1328='112'!$I$6,$M1328='112'!$I$6))),"x",""))</f>
        <v/>
      </c>
      <c r="S1328" s="525" t="str">
        <f>IF(ISERROR(FIND('112'!$M$9,G1328,1)),"",IF((AND(LEFT(G1328,2)=LEFT('112'!$M$9,2),B1328&lt;'112'!$N$8,$L1328='112'!$I$6)),"x",""))</f>
        <v/>
      </c>
      <c r="T1328" s="525" t="str">
        <f>IF(ISERROR(FIND('112'!$M$9,G1328,1)),"",IF((AND(RIGHT(G1328,2)=RIGHT('112'!$M$9,2),B1328&lt;'112'!$N$8,$M1328='112'!$I$6)),"x",""))</f>
        <v/>
      </c>
      <c r="U1328" s="525" t="str">
        <f>IF(AND(B1328&gt;='IN-NX'!$P$3,B1328&lt;='IN-NX'!$Q$3,'IN-NX'!$D$7=D1328,OR(LEFT(L1328,2)="15",AND(LEFT(M1328,2)&lt;&gt;"15",LEFT(M1328,2)&lt;&gt;"33"))),"x","")</f>
        <v/>
      </c>
      <c r="V1328" s="525" t="str">
        <f>IF(AND(OR(LEFT(TH!L1328,2)="15",LEFT(TH!M1328,2)="15"),'152-CT'!$J$8=TH!F1328),"x","")</f>
        <v/>
      </c>
      <c r="W1328" s="525" t="str">
        <f>IF(AND(OR(LEFT(TH!L1328,2)="15",LEFT(TH!M1328,2)="15"),TK!$E$7=TH!F1328),"x","")</f>
        <v/>
      </c>
      <c r="X1328" s="525" t="str">
        <f>IF(AND('341-CT'!$E$9=H1328,OR(LEFT(L1328,3)=$X$7,LEFT(M1328,3)=$X$7)),"x","")</f>
        <v/>
      </c>
      <c r="Y1328" s="525" t="str">
        <f>IF(OR(TH!L1328=TH!$Y$7,M1328=TH!$Y$7),"x","")</f>
        <v/>
      </c>
      <c r="Z1328" s="525" t="str">
        <f>IF(AND(B1328&lt;=NKC!$N$8,B1328&gt;=NKC!$M$8),"x","")</f>
        <v>x</v>
      </c>
      <c r="AA1328" s="535">
        <v>1</v>
      </c>
    </row>
    <row r="1329" spans="1:27" s="503" customFormat="1" ht="15.75" customHeight="1">
      <c r="A1329" s="517" t="str">
        <f>IF(B1329&lt;&gt;"",IF(AND(B1329&gt;=_TM1,B1329&lt;=_TM2,OR(TH!L1329="1111",TH!M1329="1111")),TH!D1329,""),"")</f>
        <v/>
      </c>
      <c r="B1329" s="531">
        <f t="shared" si="137"/>
        <v>1</v>
      </c>
      <c r="C1329" s="315">
        <f t="shared" si="138"/>
        <v>42757</v>
      </c>
      <c r="D1329" s="537" t="s">
        <v>961</v>
      </c>
      <c r="E1329" s="537">
        <v>42757</v>
      </c>
      <c r="F1329" s="249" t="s">
        <v>619</v>
      </c>
      <c r="G1329" s="314" t="s">
        <v>605</v>
      </c>
      <c r="H1329" s="473" t="s">
        <v>447</v>
      </c>
      <c r="I1329" s="307">
        <v>94</v>
      </c>
      <c r="J1329" s="307">
        <v>20239</v>
      </c>
      <c r="K1329" s="532">
        <f t="shared" si="140"/>
        <v>1902466</v>
      </c>
      <c r="L1329" s="534" t="s">
        <v>292</v>
      </c>
      <c r="M1329" s="534" t="s">
        <v>8</v>
      </c>
      <c r="N1329" s="525" t="str">
        <f>IF(AND('331-CT'!$E$7=TH!H1329,OR(L1329="331",M1329="331")),"331",IF(AND(OR(L1329="131",M1329="131"),H1329='131-CT'!$E$7),"131",""))</f>
        <v/>
      </c>
      <c r="O1329" s="525" t="str">
        <f>IF(AND($B1329&gt;='111'!$N$11,$B1329&lt;='111'!$O$11,OR($L1329=$O$7,$M1329=$O$7)),"x","")</f>
        <v/>
      </c>
      <c r="P1329" s="525" t="str">
        <f>IF(AND($L1329=$O$7,$B1329&lt;'111'!$N$11),"x","")</f>
        <v/>
      </c>
      <c r="Q1329" s="525" t="str">
        <f>IF(AND($M1329=$O$7,$B1329&lt;'111'!$N$11),"x","")</f>
        <v/>
      </c>
      <c r="R1329" s="525" t="str">
        <f>IF(ISERROR(FIND('112'!$M$9,G1329,1)),"",IF((AND(FIND('112'!$M$9,G1329,1)&gt;=1,$B1329&gt;='112'!$N$8,$B1329&lt;='112'!$O$8,OR($L1329='112'!$I$6,$M1329='112'!$I$6))),"x",""))</f>
        <v/>
      </c>
      <c r="S1329" s="525" t="str">
        <f>IF(ISERROR(FIND('112'!$M$9,G1329,1)),"",IF((AND(LEFT(G1329,2)=LEFT('112'!$M$9,2),B1329&lt;'112'!$N$8,$L1329='112'!$I$6)),"x",""))</f>
        <v/>
      </c>
      <c r="T1329" s="525" t="str">
        <f>IF(ISERROR(FIND('112'!$M$9,G1329,1)),"",IF((AND(RIGHT(G1329,2)=RIGHT('112'!$M$9,2),B1329&lt;'112'!$N$8,$M1329='112'!$I$6)),"x",""))</f>
        <v/>
      </c>
      <c r="U1329" s="525" t="str">
        <f>IF(AND(B1329&gt;='IN-NX'!$P$3,B1329&lt;='IN-NX'!$Q$3,'IN-NX'!$D$7=D1329,OR(LEFT(L1329,2)="15",AND(LEFT(M1329,2)&lt;&gt;"15",LEFT(M1329,2)&lt;&gt;"33"))),"x","")</f>
        <v/>
      </c>
      <c r="V1329" s="525" t="str">
        <f>IF(AND(OR(LEFT(TH!L1329,2)="15",LEFT(TH!M1329,2)="15"),'152-CT'!$J$8=TH!F1329),"x","")</f>
        <v/>
      </c>
      <c r="W1329" s="525" t="str">
        <f>IF(AND(OR(LEFT(TH!L1329,2)="15",LEFT(TH!M1329,2)="15"),TK!$E$7=TH!F1329),"x","")</f>
        <v/>
      </c>
      <c r="X1329" s="525" t="str">
        <f>IF(AND('341-CT'!$E$9=H1329,OR(LEFT(L1329,3)=$X$7,LEFT(M1329,3)=$X$7)),"x","")</f>
        <v/>
      </c>
      <c r="Y1329" s="525" t="str">
        <f>IF(OR(TH!L1329=TH!$Y$7,M1329=TH!$Y$7),"x","")</f>
        <v/>
      </c>
      <c r="Z1329" s="525" t="str">
        <f>IF(AND(B1329&lt;=NKC!$N$8,B1329&gt;=NKC!$M$8),"x","")</f>
        <v>x</v>
      </c>
      <c r="AA1329" s="535">
        <v>1</v>
      </c>
    </row>
    <row r="1330" spans="1:27" s="503" customFormat="1" ht="15.75" customHeight="1">
      <c r="A1330" s="517" t="str">
        <f>IF(B1330&lt;&gt;"",IF(AND(B1330&gt;=_TM1,B1330&lt;=_TM2,OR(TH!L1330="1111",TH!M1330="1111")),TH!D1330,""),"")</f>
        <v/>
      </c>
      <c r="B1330" s="531">
        <f t="shared" si="137"/>
        <v>1</v>
      </c>
      <c r="C1330" s="315">
        <f t="shared" si="138"/>
        <v>42757</v>
      </c>
      <c r="D1330" s="537" t="s">
        <v>961</v>
      </c>
      <c r="E1330" s="537">
        <v>42757</v>
      </c>
      <c r="F1330" s="249" t="s">
        <v>620</v>
      </c>
      <c r="G1330" s="314" t="s">
        <v>605</v>
      </c>
      <c r="H1330" s="473" t="s">
        <v>447</v>
      </c>
      <c r="I1330" s="307">
        <v>40</v>
      </c>
      <c r="J1330" s="307">
        <v>22150</v>
      </c>
      <c r="K1330" s="532">
        <f t="shared" si="140"/>
        <v>886000</v>
      </c>
      <c r="L1330" s="534" t="s">
        <v>292</v>
      </c>
      <c r="M1330" s="534" t="s">
        <v>8</v>
      </c>
      <c r="N1330" s="525" t="str">
        <f>IF(AND('331-CT'!$E$7=TH!H1330,OR(L1330="331",M1330="331")),"331",IF(AND(OR(L1330="131",M1330="131"),H1330='131-CT'!$E$7),"131",""))</f>
        <v/>
      </c>
      <c r="O1330" s="525" t="str">
        <f>IF(AND($B1330&gt;='111'!$N$11,$B1330&lt;='111'!$O$11,OR($L1330=$O$7,$M1330=$O$7)),"x","")</f>
        <v/>
      </c>
      <c r="P1330" s="525" t="str">
        <f>IF(AND($L1330=$O$7,$B1330&lt;'111'!$N$11),"x","")</f>
        <v/>
      </c>
      <c r="Q1330" s="525" t="str">
        <f>IF(AND($M1330=$O$7,$B1330&lt;'111'!$N$11),"x","")</f>
        <v/>
      </c>
      <c r="R1330" s="525" t="str">
        <f>IF(ISERROR(FIND('112'!$M$9,G1330,1)),"",IF((AND(FIND('112'!$M$9,G1330,1)&gt;=1,$B1330&gt;='112'!$N$8,$B1330&lt;='112'!$O$8,OR($L1330='112'!$I$6,$M1330='112'!$I$6))),"x",""))</f>
        <v/>
      </c>
      <c r="S1330" s="525" t="str">
        <f>IF(ISERROR(FIND('112'!$M$9,G1330,1)),"",IF((AND(LEFT(G1330,2)=LEFT('112'!$M$9,2),B1330&lt;'112'!$N$8,$L1330='112'!$I$6)),"x",""))</f>
        <v/>
      </c>
      <c r="T1330" s="525" t="str">
        <f>IF(ISERROR(FIND('112'!$M$9,G1330,1)),"",IF((AND(RIGHT(G1330,2)=RIGHT('112'!$M$9,2),B1330&lt;'112'!$N$8,$M1330='112'!$I$6)),"x",""))</f>
        <v/>
      </c>
      <c r="U1330" s="525" t="str">
        <f>IF(AND(B1330&gt;='IN-NX'!$P$3,B1330&lt;='IN-NX'!$Q$3,'IN-NX'!$D$7=D1330,OR(LEFT(L1330,2)="15",AND(LEFT(M1330,2)&lt;&gt;"15",LEFT(M1330,2)&lt;&gt;"33"))),"x","")</f>
        <v/>
      </c>
      <c r="V1330" s="525" t="str">
        <f>IF(AND(OR(LEFT(TH!L1330,2)="15",LEFT(TH!M1330,2)="15"),'152-CT'!$J$8=TH!F1330),"x","")</f>
        <v/>
      </c>
      <c r="W1330" s="525" t="str">
        <f>IF(AND(OR(LEFT(TH!L1330,2)="15",LEFT(TH!M1330,2)="15"),TK!$E$7=TH!F1330),"x","")</f>
        <v/>
      </c>
      <c r="X1330" s="525" t="str">
        <f>IF(AND('341-CT'!$E$9=H1330,OR(LEFT(L1330,3)=$X$7,LEFT(M1330,3)=$X$7)),"x","")</f>
        <v/>
      </c>
      <c r="Y1330" s="525" t="str">
        <f>IF(OR(TH!L1330=TH!$Y$7,M1330=TH!$Y$7),"x","")</f>
        <v/>
      </c>
      <c r="Z1330" s="525" t="str">
        <f>IF(AND(B1330&lt;=NKC!$N$8,B1330&gt;=NKC!$M$8),"x","")</f>
        <v>x</v>
      </c>
      <c r="AA1330" s="535">
        <v>1</v>
      </c>
    </row>
    <row r="1331" spans="1:27" s="503" customFormat="1" ht="15.75" customHeight="1">
      <c r="A1331" s="517" t="str">
        <f>IF(B1331&lt;&gt;"",IF(AND(B1331&gt;=_TM1,B1331&lt;=_TM2,OR(TH!L1331="1111",TH!M1331="1111")),TH!D1331,""),"")</f>
        <v/>
      </c>
      <c r="B1331" s="531">
        <f t="shared" si="137"/>
        <v>1</v>
      </c>
      <c r="C1331" s="315">
        <f t="shared" si="138"/>
        <v>42757</v>
      </c>
      <c r="D1331" s="537" t="s">
        <v>961</v>
      </c>
      <c r="E1331" s="537">
        <v>42757</v>
      </c>
      <c r="F1331" s="249" t="s">
        <v>621</v>
      </c>
      <c r="G1331" s="314" t="s">
        <v>605</v>
      </c>
      <c r="H1331" s="473" t="s">
        <v>447</v>
      </c>
      <c r="I1331" s="307">
        <v>50</v>
      </c>
      <c r="J1331" s="307">
        <v>62005</v>
      </c>
      <c r="K1331" s="532">
        <f t="shared" si="140"/>
        <v>3100250</v>
      </c>
      <c r="L1331" s="534" t="s">
        <v>292</v>
      </c>
      <c r="M1331" s="534" t="s">
        <v>8</v>
      </c>
      <c r="N1331" s="525" t="str">
        <f>IF(AND('331-CT'!$E$7=TH!H1331,OR(L1331="331",M1331="331")),"331",IF(AND(OR(L1331="131",M1331="131"),H1331='131-CT'!$E$7),"131",""))</f>
        <v/>
      </c>
      <c r="O1331" s="525" t="str">
        <f>IF(AND($B1331&gt;='111'!$N$11,$B1331&lt;='111'!$O$11,OR($L1331=$O$7,$M1331=$O$7)),"x","")</f>
        <v/>
      </c>
      <c r="P1331" s="525" t="str">
        <f>IF(AND($L1331=$O$7,$B1331&lt;'111'!$N$11),"x","")</f>
        <v/>
      </c>
      <c r="Q1331" s="525" t="str">
        <f>IF(AND($M1331=$O$7,$B1331&lt;'111'!$N$11),"x","")</f>
        <v/>
      </c>
      <c r="R1331" s="525" t="str">
        <f>IF(ISERROR(FIND('112'!$M$9,G1331,1)),"",IF((AND(FIND('112'!$M$9,G1331,1)&gt;=1,$B1331&gt;='112'!$N$8,$B1331&lt;='112'!$O$8,OR($L1331='112'!$I$6,$M1331='112'!$I$6))),"x",""))</f>
        <v/>
      </c>
      <c r="S1331" s="525" t="str">
        <f>IF(ISERROR(FIND('112'!$M$9,G1331,1)),"",IF((AND(LEFT(G1331,2)=LEFT('112'!$M$9,2),B1331&lt;'112'!$N$8,$L1331='112'!$I$6)),"x",""))</f>
        <v/>
      </c>
      <c r="T1331" s="525" t="str">
        <f>IF(ISERROR(FIND('112'!$M$9,G1331,1)),"",IF((AND(RIGHT(G1331,2)=RIGHT('112'!$M$9,2),B1331&lt;'112'!$N$8,$M1331='112'!$I$6)),"x",""))</f>
        <v/>
      </c>
      <c r="U1331" s="525" t="str">
        <f>IF(AND(B1331&gt;='IN-NX'!$P$3,B1331&lt;='IN-NX'!$Q$3,'IN-NX'!$D$7=D1331,OR(LEFT(L1331,2)="15",AND(LEFT(M1331,2)&lt;&gt;"15",LEFT(M1331,2)&lt;&gt;"33"))),"x","")</f>
        <v/>
      </c>
      <c r="V1331" s="525" t="str">
        <f>IF(AND(OR(LEFT(TH!L1331,2)="15",LEFT(TH!M1331,2)="15"),'152-CT'!$J$8=TH!F1331),"x","")</f>
        <v/>
      </c>
      <c r="W1331" s="525" t="str">
        <f>IF(AND(OR(LEFT(TH!L1331,2)="15",LEFT(TH!M1331,2)="15"),TK!$E$7=TH!F1331),"x","")</f>
        <v/>
      </c>
      <c r="X1331" s="525" t="str">
        <f>IF(AND('341-CT'!$E$9=H1331,OR(LEFT(L1331,3)=$X$7,LEFT(M1331,3)=$X$7)),"x","")</f>
        <v/>
      </c>
      <c r="Y1331" s="525" t="str">
        <f>IF(OR(TH!L1331=TH!$Y$7,M1331=TH!$Y$7),"x","")</f>
        <v/>
      </c>
      <c r="Z1331" s="525" t="str">
        <f>IF(AND(B1331&lt;=NKC!$N$8,B1331&gt;=NKC!$M$8),"x","")</f>
        <v>x</v>
      </c>
      <c r="AA1331" s="535">
        <v>1</v>
      </c>
    </row>
    <row r="1332" spans="1:27" s="503" customFormat="1" ht="15.75" customHeight="1">
      <c r="A1332" s="517" t="str">
        <f>IF(B1332&lt;&gt;"",IF(AND(B1332&gt;=_TM1,B1332&lt;=_TM2,OR(TH!L1332="1111",TH!M1332="1111")),TH!D1332,""),"")</f>
        <v/>
      </c>
      <c r="B1332" s="531">
        <f t="shared" si="137"/>
        <v>1</v>
      </c>
      <c r="C1332" s="315">
        <f t="shared" si="138"/>
        <v>42757</v>
      </c>
      <c r="D1332" s="537" t="s">
        <v>961</v>
      </c>
      <c r="E1332" s="537">
        <v>42757</v>
      </c>
      <c r="F1332" s="249" t="s">
        <v>622</v>
      </c>
      <c r="G1332" s="314" t="s">
        <v>605</v>
      </c>
      <c r="H1332" s="473" t="s">
        <v>447</v>
      </c>
      <c r="I1332" s="307">
        <v>170</v>
      </c>
      <c r="J1332" s="307">
        <v>8242</v>
      </c>
      <c r="K1332" s="532">
        <f t="shared" si="140"/>
        <v>1401140</v>
      </c>
      <c r="L1332" s="534" t="s">
        <v>292</v>
      </c>
      <c r="M1332" s="534" t="s">
        <v>8</v>
      </c>
      <c r="N1332" s="525" t="str">
        <f>IF(AND('331-CT'!$E$7=TH!H1332,OR(L1332="331",M1332="331")),"331",IF(AND(OR(L1332="131",M1332="131"),H1332='131-CT'!$E$7),"131",""))</f>
        <v/>
      </c>
      <c r="O1332" s="525" t="str">
        <f>IF(AND($B1332&gt;='111'!$N$11,$B1332&lt;='111'!$O$11,OR($L1332=$O$7,$M1332=$O$7)),"x","")</f>
        <v/>
      </c>
      <c r="P1332" s="525" t="str">
        <f>IF(AND($L1332=$O$7,$B1332&lt;'111'!$N$11),"x","")</f>
        <v/>
      </c>
      <c r="Q1332" s="525" t="str">
        <f>IF(AND($M1332=$O$7,$B1332&lt;'111'!$N$11),"x","")</f>
        <v/>
      </c>
      <c r="R1332" s="525" t="str">
        <f>IF(ISERROR(FIND('112'!$M$9,G1332,1)),"",IF((AND(FIND('112'!$M$9,G1332,1)&gt;=1,$B1332&gt;='112'!$N$8,$B1332&lt;='112'!$O$8,OR($L1332='112'!$I$6,$M1332='112'!$I$6))),"x",""))</f>
        <v/>
      </c>
      <c r="S1332" s="525" t="str">
        <f>IF(ISERROR(FIND('112'!$M$9,G1332,1)),"",IF((AND(LEFT(G1332,2)=LEFT('112'!$M$9,2),B1332&lt;'112'!$N$8,$L1332='112'!$I$6)),"x",""))</f>
        <v/>
      </c>
      <c r="T1332" s="525" t="str">
        <f>IF(ISERROR(FIND('112'!$M$9,G1332,1)),"",IF((AND(RIGHT(G1332,2)=RIGHT('112'!$M$9,2),B1332&lt;'112'!$N$8,$M1332='112'!$I$6)),"x",""))</f>
        <v/>
      </c>
      <c r="U1332" s="525" t="str">
        <f>IF(AND(B1332&gt;='IN-NX'!$P$3,B1332&lt;='IN-NX'!$Q$3,'IN-NX'!$D$7=D1332,OR(LEFT(L1332,2)="15",AND(LEFT(M1332,2)&lt;&gt;"15",LEFT(M1332,2)&lt;&gt;"33"))),"x","")</f>
        <v/>
      </c>
      <c r="V1332" s="525" t="str">
        <f>IF(AND(OR(LEFT(TH!L1332,2)="15",LEFT(TH!M1332,2)="15"),'152-CT'!$J$8=TH!F1332),"x","")</f>
        <v/>
      </c>
      <c r="W1332" s="525" t="str">
        <f>IF(AND(OR(LEFT(TH!L1332,2)="15",LEFT(TH!M1332,2)="15"),TK!$E$7=TH!F1332),"x","")</f>
        <v/>
      </c>
      <c r="X1332" s="525" t="str">
        <f>IF(AND('341-CT'!$E$9=H1332,OR(LEFT(L1332,3)=$X$7,LEFT(M1332,3)=$X$7)),"x","")</f>
        <v/>
      </c>
      <c r="Y1332" s="525" t="str">
        <f>IF(OR(TH!L1332=TH!$Y$7,M1332=TH!$Y$7),"x","")</f>
        <v/>
      </c>
      <c r="Z1332" s="525" t="str">
        <f>IF(AND(B1332&lt;=NKC!$N$8,B1332&gt;=NKC!$M$8),"x","")</f>
        <v>x</v>
      </c>
      <c r="AA1332" s="535">
        <v>1</v>
      </c>
    </row>
    <row r="1333" spans="1:27" s="503" customFormat="1" ht="15.75" customHeight="1">
      <c r="A1333" s="517" t="str">
        <f>IF(B1333&lt;&gt;"",IF(AND(B1333&gt;=_TM1,B1333&lt;=_TM2,OR(TH!L1333="1111",TH!M1333="1111")),TH!D1333,""),"")</f>
        <v/>
      </c>
      <c r="B1333" s="531">
        <f t="shared" si="137"/>
        <v>1</v>
      </c>
      <c r="C1333" s="315">
        <f t="shared" si="138"/>
        <v>42757</v>
      </c>
      <c r="D1333" s="537" t="s">
        <v>962</v>
      </c>
      <c r="E1333" s="537">
        <v>42757</v>
      </c>
      <c r="F1333" s="249" t="s">
        <v>623</v>
      </c>
      <c r="G1333" s="314" t="s">
        <v>605</v>
      </c>
      <c r="H1333" s="473" t="s">
        <v>447</v>
      </c>
      <c r="I1333" s="307">
        <v>58</v>
      </c>
      <c r="J1333" s="307">
        <v>45217</v>
      </c>
      <c r="K1333" s="532">
        <f t="shared" si="140"/>
        <v>2622586</v>
      </c>
      <c r="L1333" s="534" t="s">
        <v>292</v>
      </c>
      <c r="M1333" s="534" t="s">
        <v>8</v>
      </c>
      <c r="N1333" s="525" t="str">
        <f>IF(AND('331-CT'!$E$7=TH!H1333,OR(L1333="331",M1333="331")),"331",IF(AND(OR(L1333="131",M1333="131"),H1333='131-CT'!$E$7),"131",""))</f>
        <v/>
      </c>
      <c r="O1333" s="525" t="str">
        <f>IF(AND($B1333&gt;='111'!$N$11,$B1333&lt;='111'!$O$11,OR($L1333=$O$7,$M1333=$O$7)),"x","")</f>
        <v/>
      </c>
      <c r="P1333" s="525" t="str">
        <f>IF(AND($L1333=$O$7,$B1333&lt;'111'!$N$11),"x","")</f>
        <v/>
      </c>
      <c r="Q1333" s="525" t="str">
        <f>IF(AND($M1333=$O$7,$B1333&lt;'111'!$N$11),"x","")</f>
        <v/>
      </c>
      <c r="R1333" s="525" t="str">
        <f>IF(ISERROR(FIND('112'!$M$9,G1333,1)),"",IF((AND(FIND('112'!$M$9,G1333,1)&gt;=1,$B1333&gt;='112'!$N$8,$B1333&lt;='112'!$O$8,OR($L1333='112'!$I$6,$M1333='112'!$I$6))),"x",""))</f>
        <v/>
      </c>
      <c r="S1333" s="525" t="str">
        <f>IF(ISERROR(FIND('112'!$M$9,G1333,1)),"",IF((AND(LEFT(G1333,2)=LEFT('112'!$M$9,2),B1333&lt;'112'!$N$8,$L1333='112'!$I$6)),"x",""))</f>
        <v/>
      </c>
      <c r="T1333" s="525" t="str">
        <f>IF(ISERROR(FIND('112'!$M$9,G1333,1)),"",IF((AND(RIGHT(G1333,2)=RIGHT('112'!$M$9,2),B1333&lt;'112'!$N$8,$M1333='112'!$I$6)),"x",""))</f>
        <v/>
      </c>
      <c r="U1333" s="525" t="str">
        <f>IF(AND(B1333&gt;='IN-NX'!$P$3,B1333&lt;='IN-NX'!$Q$3,'IN-NX'!$D$7=D1333,OR(LEFT(L1333,2)="15",AND(LEFT(M1333,2)&lt;&gt;"15",LEFT(M1333,2)&lt;&gt;"33"))),"x","")</f>
        <v/>
      </c>
      <c r="V1333" s="525" t="str">
        <f>IF(AND(OR(LEFT(TH!L1333,2)="15",LEFT(TH!M1333,2)="15"),'152-CT'!$J$8=TH!F1333),"x","")</f>
        <v/>
      </c>
      <c r="W1333" s="525" t="str">
        <f>IF(AND(OR(LEFT(TH!L1333,2)="15",LEFT(TH!M1333,2)="15"),TK!$E$7=TH!F1333),"x","")</f>
        <v/>
      </c>
      <c r="X1333" s="525" t="str">
        <f>IF(AND('341-CT'!$E$9=H1333,OR(LEFT(L1333,3)=$X$7,LEFT(M1333,3)=$X$7)),"x","")</f>
        <v/>
      </c>
      <c r="Y1333" s="525" t="str">
        <f>IF(OR(TH!L1333=TH!$Y$7,M1333=TH!$Y$7),"x","")</f>
        <v/>
      </c>
      <c r="Z1333" s="525" t="str">
        <f>IF(AND(B1333&lt;=NKC!$N$8,B1333&gt;=NKC!$M$8),"x","")</f>
        <v>x</v>
      </c>
      <c r="AA1333" s="535">
        <v>1</v>
      </c>
    </row>
    <row r="1334" spans="1:27" s="503" customFormat="1" ht="15.75" customHeight="1">
      <c r="A1334" s="517" t="str">
        <f>IF(B1334&lt;&gt;"",IF(AND(B1334&gt;=_TM1,B1334&lt;=_TM2,OR(TH!L1334="1111",TH!M1334="1111")),TH!D1334,""),"")</f>
        <v/>
      </c>
      <c r="B1334" s="531">
        <f t="shared" si="137"/>
        <v>1</v>
      </c>
      <c r="C1334" s="315">
        <f t="shared" si="138"/>
        <v>42757</v>
      </c>
      <c r="D1334" s="537" t="s">
        <v>962</v>
      </c>
      <c r="E1334" s="537">
        <v>42757</v>
      </c>
      <c r="F1334" s="249" t="s">
        <v>624</v>
      </c>
      <c r="G1334" s="314" t="s">
        <v>605</v>
      </c>
      <c r="H1334" s="473" t="s">
        <v>447</v>
      </c>
      <c r="I1334" s="307">
        <v>5</v>
      </c>
      <c r="J1334" s="307">
        <v>35387</v>
      </c>
      <c r="K1334" s="532">
        <f t="shared" si="140"/>
        <v>176935</v>
      </c>
      <c r="L1334" s="534" t="s">
        <v>292</v>
      </c>
      <c r="M1334" s="534" t="s">
        <v>8</v>
      </c>
      <c r="N1334" s="525" t="str">
        <f>IF(AND('331-CT'!$E$7=TH!H1334,OR(L1334="331",M1334="331")),"331",IF(AND(OR(L1334="131",M1334="131"),H1334='131-CT'!$E$7),"131",""))</f>
        <v/>
      </c>
      <c r="O1334" s="525" t="str">
        <f>IF(AND($B1334&gt;='111'!$N$11,$B1334&lt;='111'!$O$11,OR($L1334=$O$7,$M1334=$O$7)),"x","")</f>
        <v/>
      </c>
      <c r="P1334" s="525" t="str">
        <f>IF(AND($L1334=$O$7,$B1334&lt;'111'!$N$11),"x","")</f>
        <v/>
      </c>
      <c r="Q1334" s="525" t="str">
        <f>IF(AND($M1334=$O$7,$B1334&lt;'111'!$N$11),"x","")</f>
        <v/>
      </c>
      <c r="R1334" s="525" t="str">
        <f>IF(ISERROR(FIND('112'!$M$9,G1334,1)),"",IF((AND(FIND('112'!$M$9,G1334,1)&gt;=1,$B1334&gt;='112'!$N$8,$B1334&lt;='112'!$O$8,OR($L1334='112'!$I$6,$M1334='112'!$I$6))),"x",""))</f>
        <v/>
      </c>
      <c r="S1334" s="525" t="str">
        <f>IF(ISERROR(FIND('112'!$M$9,G1334,1)),"",IF((AND(LEFT(G1334,2)=LEFT('112'!$M$9,2),B1334&lt;'112'!$N$8,$L1334='112'!$I$6)),"x",""))</f>
        <v/>
      </c>
      <c r="T1334" s="525" t="str">
        <f>IF(ISERROR(FIND('112'!$M$9,G1334,1)),"",IF((AND(RIGHT(G1334,2)=RIGHT('112'!$M$9,2),B1334&lt;'112'!$N$8,$M1334='112'!$I$6)),"x",""))</f>
        <v/>
      </c>
      <c r="U1334" s="525" t="str">
        <f>IF(AND(B1334&gt;='IN-NX'!$P$3,B1334&lt;='IN-NX'!$Q$3,'IN-NX'!$D$7=D1334,OR(LEFT(L1334,2)="15",AND(LEFT(M1334,2)&lt;&gt;"15",LEFT(M1334,2)&lt;&gt;"33"))),"x","")</f>
        <v/>
      </c>
      <c r="V1334" s="525" t="str">
        <f>IF(AND(OR(LEFT(TH!L1334,2)="15",LEFT(TH!M1334,2)="15"),'152-CT'!$J$8=TH!F1334),"x","")</f>
        <v/>
      </c>
      <c r="W1334" s="525" t="str">
        <f>IF(AND(OR(LEFT(TH!L1334,2)="15",LEFT(TH!M1334,2)="15"),TK!$E$7=TH!F1334),"x","")</f>
        <v/>
      </c>
      <c r="X1334" s="525" t="str">
        <f>IF(AND('341-CT'!$E$9=H1334,OR(LEFT(L1334,3)=$X$7,LEFT(M1334,3)=$X$7)),"x","")</f>
        <v/>
      </c>
      <c r="Y1334" s="525" t="str">
        <f>IF(OR(TH!L1334=TH!$Y$7,M1334=TH!$Y$7),"x","")</f>
        <v/>
      </c>
      <c r="Z1334" s="525" t="str">
        <f>IF(AND(B1334&lt;=NKC!$N$8,B1334&gt;=NKC!$M$8),"x","")</f>
        <v>x</v>
      </c>
      <c r="AA1334" s="535">
        <v>1</v>
      </c>
    </row>
    <row r="1335" spans="1:27" s="503" customFormat="1" ht="15.75" customHeight="1">
      <c r="A1335" s="517" t="str">
        <f>IF(B1335&lt;&gt;"",IF(AND(B1335&gt;=_TM1,B1335&lt;=_TM2,OR(TH!L1335="1111",TH!M1335="1111")),TH!D1335,""),"")</f>
        <v/>
      </c>
      <c r="B1335" s="531">
        <f t="shared" si="137"/>
        <v>1</v>
      </c>
      <c r="C1335" s="315">
        <f t="shared" si="138"/>
        <v>42757</v>
      </c>
      <c r="D1335" s="537" t="s">
        <v>962</v>
      </c>
      <c r="E1335" s="537">
        <v>42757</v>
      </c>
      <c r="F1335" s="249" t="s">
        <v>625</v>
      </c>
      <c r="G1335" s="314" t="s">
        <v>605</v>
      </c>
      <c r="H1335" s="473" t="s">
        <v>447</v>
      </c>
      <c r="I1335" s="307">
        <v>12</v>
      </c>
      <c r="J1335" s="307">
        <v>38130</v>
      </c>
      <c r="K1335" s="532">
        <f t="shared" si="140"/>
        <v>457560</v>
      </c>
      <c r="L1335" s="534" t="s">
        <v>292</v>
      </c>
      <c r="M1335" s="534" t="s">
        <v>8</v>
      </c>
      <c r="N1335" s="525" t="str">
        <f>IF(AND('331-CT'!$E$7=TH!H1335,OR(L1335="331",M1335="331")),"331",IF(AND(OR(L1335="131",M1335="131"),H1335='131-CT'!$E$7),"131",""))</f>
        <v/>
      </c>
      <c r="O1335" s="525" t="str">
        <f>IF(AND($B1335&gt;='111'!$N$11,$B1335&lt;='111'!$O$11,OR($L1335=$O$7,$M1335=$O$7)),"x","")</f>
        <v/>
      </c>
      <c r="P1335" s="525" t="str">
        <f>IF(AND($L1335=$O$7,$B1335&lt;'111'!$N$11),"x","")</f>
        <v/>
      </c>
      <c r="Q1335" s="525" t="str">
        <f>IF(AND($M1335=$O$7,$B1335&lt;'111'!$N$11),"x","")</f>
        <v/>
      </c>
      <c r="R1335" s="525" t="str">
        <f>IF(ISERROR(FIND('112'!$M$9,G1335,1)),"",IF((AND(FIND('112'!$M$9,G1335,1)&gt;=1,$B1335&gt;='112'!$N$8,$B1335&lt;='112'!$O$8,OR($L1335='112'!$I$6,$M1335='112'!$I$6))),"x",""))</f>
        <v/>
      </c>
      <c r="S1335" s="525" t="str">
        <f>IF(ISERROR(FIND('112'!$M$9,G1335,1)),"",IF((AND(LEFT(G1335,2)=LEFT('112'!$M$9,2),B1335&lt;'112'!$N$8,$L1335='112'!$I$6)),"x",""))</f>
        <v/>
      </c>
      <c r="T1335" s="525" t="str">
        <f>IF(ISERROR(FIND('112'!$M$9,G1335,1)),"",IF((AND(RIGHT(G1335,2)=RIGHT('112'!$M$9,2),B1335&lt;'112'!$N$8,$M1335='112'!$I$6)),"x",""))</f>
        <v/>
      </c>
      <c r="U1335" s="525" t="str">
        <f>IF(AND(B1335&gt;='IN-NX'!$P$3,B1335&lt;='IN-NX'!$Q$3,'IN-NX'!$D$7=D1335,OR(LEFT(L1335,2)="15",AND(LEFT(M1335,2)&lt;&gt;"15",LEFT(M1335,2)&lt;&gt;"33"))),"x","")</f>
        <v/>
      </c>
      <c r="V1335" s="525" t="str">
        <f>IF(AND(OR(LEFT(TH!L1335,2)="15",LEFT(TH!M1335,2)="15"),'152-CT'!$J$8=TH!F1335),"x","")</f>
        <v/>
      </c>
      <c r="W1335" s="525" t="str">
        <f>IF(AND(OR(LEFT(TH!L1335,2)="15",LEFT(TH!M1335,2)="15"),TK!$E$7=TH!F1335),"x","")</f>
        <v/>
      </c>
      <c r="X1335" s="525" t="str">
        <f>IF(AND('341-CT'!$E$9=H1335,OR(LEFT(L1335,3)=$X$7,LEFT(M1335,3)=$X$7)),"x","")</f>
        <v/>
      </c>
      <c r="Y1335" s="525" t="str">
        <f>IF(OR(TH!L1335=TH!$Y$7,M1335=TH!$Y$7),"x","")</f>
        <v/>
      </c>
      <c r="Z1335" s="525" t="str">
        <f>IF(AND(B1335&lt;=NKC!$N$8,B1335&gt;=NKC!$M$8),"x","")</f>
        <v>x</v>
      </c>
      <c r="AA1335" s="535">
        <v>1</v>
      </c>
    </row>
    <row r="1336" spans="1:27" s="503" customFormat="1" ht="15.75" customHeight="1">
      <c r="A1336" s="517" t="str">
        <f>IF(B1336&lt;&gt;"",IF(AND(B1336&gt;=_TM1,B1336&lt;=_TM2,OR(TH!L1336="1111",TH!M1336="1111")),TH!D1336,""),"")</f>
        <v/>
      </c>
      <c r="B1336" s="531">
        <f t="shared" si="137"/>
        <v>1</v>
      </c>
      <c r="C1336" s="315">
        <f t="shared" si="138"/>
        <v>42757</v>
      </c>
      <c r="D1336" s="537" t="s">
        <v>962</v>
      </c>
      <c r="E1336" s="537">
        <v>42757</v>
      </c>
      <c r="F1336" s="249" t="s">
        <v>626</v>
      </c>
      <c r="G1336" s="314" t="s">
        <v>605</v>
      </c>
      <c r="H1336" s="473" t="s">
        <v>447</v>
      </c>
      <c r="I1336" s="307">
        <v>25</v>
      </c>
      <c r="J1336" s="307">
        <v>22205</v>
      </c>
      <c r="K1336" s="532">
        <f t="shared" si="140"/>
        <v>555125</v>
      </c>
      <c r="L1336" s="534" t="s">
        <v>292</v>
      </c>
      <c r="M1336" s="534" t="s">
        <v>8</v>
      </c>
      <c r="N1336" s="525" t="str">
        <f>IF(AND('331-CT'!$E$7=TH!H1336,OR(L1336="331",M1336="331")),"331",IF(AND(OR(L1336="131",M1336="131"),H1336='131-CT'!$E$7),"131",""))</f>
        <v/>
      </c>
      <c r="O1336" s="525" t="str">
        <f>IF(AND($B1336&gt;='111'!$N$11,$B1336&lt;='111'!$O$11,OR($L1336=$O$7,$M1336=$O$7)),"x","")</f>
        <v/>
      </c>
      <c r="P1336" s="525" t="str">
        <f>IF(AND($L1336=$O$7,$B1336&lt;'111'!$N$11),"x","")</f>
        <v/>
      </c>
      <c r="Q1336" s="525" t="str">
        <f>IF(AND($M1336=$O$7,$B1336&lt;'111'!$N$11),"x","")</f>
        <v/>
      </c>
      <c r="R1336" s="525" t="str">
        <f>IF(ISERROR(FIND('112'!$M$9,G1336,1)),"",IF((AND(FIND('112'!$M$9,G1336,1)&gt;=1,$B1336&gt;='112'!$N$8,$B1336&lt;='112'!$O$8,OR($L1336='112'!$I$6,$M1336='112'!$I$6))),"x",""))</f>
        <v/>
      </c>
      <c r="S1336" s="525" t="str">
        <f>IF(ISERROR(FIND('112'!$M$9,G1336,1)),"",IF((AND(LEFT(G1336,2)=LEFT('112'!$M$9,2),B1336&lt;'112'!$N$8,$L1336='112'!$I$6)),"x",""))</f>
        <v/>
      </c>
      <c r="T1336" s="525" t="str">
        <f>IF(ISERROR(FIND('112'!$M$9,G1336,1)),"",IF((AND(RIGHT(G1336,2)=RIGHT('112'!$M$9,2),B1336&lt;'112'!$N$8,$M1336='112'!$I$6)),"x",""))</f>
        <v/>
      </c>
      <c r="U1336" s="525" t="str">
        <f>IF(AND(B1336&gt;='IN-NX'!$P$3,B1336&lt;='IN-NX'!$Q$3,'IN-NX'!$D$7=D1336,OR(LEFT(L1336,2)="15",AND(LEFT(M1336,2)&lt;&gt;"15",LEFT(M1336,2)&lt;&gt;"33"))),"x","")</f>
        <v/>
      </c>
      <c r="V1336" s="525" t="str">
        <f>IF(AND(OR(LEFT(TH!L1336,2)="15",LEFT(TH!M1336,2)="15"),'152-CT'!$J$8=TH!F1336),"x","")</f>
        <v/>
      </c>
      <c r="W1336" s="525" t="str">
        <f>IF(AND(OR(LEFT(TH!L1336,2)="15",LEFT(TH!M1336,2)="15"),TK!$E$7=TH!F1336),"x","")</f>
        <v/>
      </c>
      <c r="X1336" s="525" t="str">
        <f>IF(AND('341-CT'!$E$9=H1336,OR(LEFT(L1336,3)=$X$7,LEFT(M1336,3)=$X$7)),"x","")</f>
        <v/>
      </c>
      <c r="Y1336" s="525" t="str">
        <f>IF(OR(TH!L1336=TH!$Y$7,M1336=TH!$Y$7),"x","")</f>
        <v/>
      </c>
      <c r="Z1336" s="525" t="str">
        <f>IF(AND(B1336&lt;=NKC!$N$8,B1336&gt;=NKC!$M$8),"x","")</f>
        <v>x</v>
      </c>
      <c r="AA1336" s="535">
        <v>1</v>
      </c>
    </row>
    <row r="1337" spans="1:27" s="503" customFormat="1" ht="15.75" customHeight="1">
      <c r="A1337" s="517" t="str">
        <f>IF(B1337&lt;&gt;"",IF(AND(B1337&gt;=_TM1,B1337&lt;=_TM2,OR(TH!L1337="1111",TH!M1337="1111")),TH!D1337,""),"")</f>
        <v/>
      </c>
      <c r="B1337" s="531">
        <f t="shared" si="137"/>
        <v>1</v>
      </c>
      <c r="C1337" s="315">
        <f t="shared" si="138"/>
        <v>42757</v>
      </c>
      <c r="D1337" s="537" t="s">
        <v>962</v>
      </c>
      <c r="E1337" s="537">
        <v>42757</v>
      </c>
      <c r="F1337" s="249" t="s">
        <v>627</v>
      </c>
      <c r="G1337" s="314" t="s">
        <v>605</v>
      </c>
      <c r="H1337" s="473" t="s">
        <v>447</v>
      </c>
      <c r="I1337" s="307">
        <v>5</v>
      </c>
      <c r="J1337" s="307">
        <v>33299</v>
      </c>
      <c r="K1337" s="532">
        <f t="shared" si="140"/>
        <v>166495</v>
      </c>
      <c r="L1337" s="534" t="s">
        <v>292</v>
      </c>
      <c r="M1337" s="534" t="s">
        <v>8</v>
      </c>
      <c r="N1337" s="525" t="str">
        <f>IF(AND('331-CT'!$E$7=TH!H1337,OR(L1337="331",M1337="331")),"331",IF(AND(OR(L1337="131",M1337="131"),H1337='131-CT'!$E$7),"131",""))</f>
        <v/>
      </c>
      <c r="O1337" s="525" t="str">
        <f>IF(AND($B1337&gt;='111'!$N$11,$B1337&lt;='111'!$O$11,OR($L1337=$O$7,$M1337=$O$7)),"x","")</f>
        <v/>
      </c>
      <c r="P1337" s="525" t="str">
        <f>IF(AND($L1337=$O$7,$B1337&lt;'111'!$N$11),"x","")</f>
        <v/>
      </c>
      <c r="Q1337" s="525" t="str">
        <f>IF(AND($M1337=$O$7,$B1337&lt;'111'!$N$11),"x","")</f>
        <v/>
      </c>
      <c r="R1337" s="525" t="str">
        <f>IF(ISERROR(FIND('112'!$M$9,G1337,1)),"",IF((AND(FIND('112'!$M$9,G1337,1)&gt;=1,$B1337&gt;='112'!$N$8,$B1337&lt;='112'!$O$8,OR($L1337='112'!$I$6,$M1337='112'!$I$6))),"x",""))</f>
        <v/>
      </c>
      <c r="S1337" s="525" t="str">
        <f>IF(ISERROR(FIND('112'!$M$9,G1337,1)),"",IF((AND(LEFT(G1337,2)=LEFT('112'!$M$9,2),B1337&lt;'112'!$N$8,$L1337='112'!$I$6)),"x",""))</f>
        <v/>
      </c>
      <c r="T1337" s="525" t="str">
        <f>IF(ISERROR(FIND('112'!$M$9,G1337,1)),"",IF((AND(RIGHT(G1337,2)=RIGHT('112'!$M$9,2),B1337&lt;'112'!$N$8,$M1337='112'!$I$6)),"x",""))</f>
        <v/>
      </c>
      <c r="U1337" s="525" t="str">
        <f>IF(AND(B1337&gt;='IN-NX'!$P$3,B1337&lt;='IN-NX'!$Q$3,'IN-NX'!$D$7=D1337,OR(LEFT(L1337,2)="15",AND(LEFT(M1337,2)&lt;&gt;"15",LEFT(M1337,2)&lt;&gt;"33"))),"x","")</f>
        <v/>
      </c>
      <c r="V1337" s="525" t="str">
        <f>IF(AND(OR(LEFT(TH!L1337,2)="15",LEFT(TH!M1337,2)="15"),'152-CT'!$J$8=TH!F1337),"x","")</f>
        <v/>
      </c>
      <c r="W1337" s="525" t="str">
        <f>IF(AND(OR(LEFT(TH!L1337,2)="15",LEFT(TH!M1337,2)="15"),TK!$E$7=TH!F1337),"x","")</f>
        <v/>
      </c>
      <c r="X1337" s="525" t="str">
        <f>IF(AND('341-CT'!$E$9=H1337,OR(LEFT(L1337,3)=$X$7,LEFT(M1337,3)=$X$7)),"x","")</f>
        <v/>
      </c>
      <c r="Y1337" s="525" t="str">
        <f>IF(OR(TH!L1337=TH!$Y$7,M1337=TH!$Y$7),"x","")</f>
        <v/>
      </c>
      <c r="Z1337" s="525" t="str">
        <f>IF(AND(B1337&lt;=NKC!$N$8,B1337&gt;=NKC!$M$8),"x","")</f>
        <v>x</v>
      </c>
      <c r="AA1337" s="535">
        <v>1</v>
      </c>
    </row>
    <row r="1338" spans="1:27" s="503" customFormat="1" ht="15.75" customHeight="1">
      <c r="A1338" s="517" t="str">
        <f>IF(B1338&lt;&gt;"",IF(AND(B1338&gt;=_TM1,B1338&lt;=_TM2,OR(TH!L1338="1111",TH!M1338="1111")),TH!D1338,""),"")</f>
        <v/>
      </c>
      <c r="B1338" s="531">
        <f t="shared" si="137"/>
        <v>1</v>
      </c>
      <c r="C1338" s="315">
        <f t="shared" si="138"/>
        <v>42757</v>
      </c>
      <c r="D1338" s="537" t="s">
        <v>962</v>
      </c>
      <c r="E1338" s="537">
        <v>42757</v>
      </c>
      <c r="F1338" s="249" t="s">
        <v>628</v>
      </c>
      <c r="G1338" s="314" t="s">
        <v>605</v>
      </c>
      <c r="H1338" s="473" t="s">
        <v>447</v>
      </c>
      <c r="I1338" s="307">
        <v>5</v>
      </c>
      <c r="J1338" s="307">
        <v>99212</v>
      </c>
      <c r="K1338" s="532">
        <f t="shared" si="140"/>
        <v>496060</v>
      </c>
      <c r="L1338" s="534" t="s">
        <v>292</v>
      </c>
      <c r="M1338" s="534" t="s">
        <v>8</v>
      </c>
      <c r="N1338" s="525" t="str">
        <f>IF(AND('331-CT'!$E$7=TH!H1338,OR(L1338="331",M1338="331")),"331",IF(AND(OR(L1338="131",M1338="131"),H1338='131-CT'!$E$7),"131",""))</f>
        <v/>
      </c>
      <c r="O1338" s="525" t="str">
        <f>IF(AND($B1338&gt;='111'!$N$11,$B1338&lt;='111'!$O$11,OR($L1338=$O$7,$M1338=$O$7)),"x","")</f>
        <v/>
      </c>
      <c r="P1338" s="525" t="str">
        <f>IF(AND($L1338=$O$7,$B1338&lt;'111'!$N$11),"x","")</f>
        <v/>
      </c>
      <c r="Q1338" s="525" t="str">
        <f>IF(AND($M1338=$O$7,$B1338&lt;'111'!$N$11),"x","")</f>
        <v/>
      </c>
      <c r="R1338" s="525" t="str">
        <f>IF(ISERROR(FIND('112'!$M$9,G1338,1)),"",IF((AND(FIND('112'!$M$9,G1338,1)&gt;=1,$B1338&gt;='112'!$N$8,$B1338&lt;='112'!$O$8,OR($L1338='112'!$I$6,$M1338='112'!$I$6))),"x",""))</f>
        <v/>
      </c>
      <c r="S1338" s="525" t="str">
        <f>IF(ISERROR(FIND('112'!$M$9,G1338,1)),"",IF((AND(LEFT(G1338,2)=LEFT('112'!$M$9,2),B1338&lt;'112'!$N$8,$L1338='112'!$I$6)),"x",""))</f>
        <v/>
      </c>
      <c r="T1338" s="525" t="str">
        <f>IF(ISERROR(FIND('112'!$M$9,G1338,1)),"",IF((AND(RIGHT(G1338,2)=RIGHT('112'!$M$9,2),B1338&lt;'112'!$N$8,$M1338='112'!$I$6)),"x",""))</f>
        <v/>
      </c>
      <c r="U1338" s="525" t="str">
        <f>IF(AND(B1338&gt;='IN-NX'!$P$3,B1338&lt;='IN-NX'!$Q$3,'IN-NX'!$D$7=D1338,OR(LEFT(L1338,2)="15",AND(LEFT(M1338,2)&lt;&gt;"15",LEFT(M1338,2)&lt;&gt;"33"))),"x","")</f>
        <v/>
      </c>
      <c r="V1338" s="525" t="str">
        <f>IF(AND(OR(LEFT(TH!L1338,2)="15",LEFT(TH!M1338,2)="15"),'152-CT'!$J$8=TH!F1338),"x","")</f>
        <v/>
      </c>
      <c r="W1338" s="525" t="str">
        <f>IF(AND(OR(LEFT(TH!L1338,2)="15",LEFT(TH!M1338,2)="15"),TK!$E$7=TH!F1338),"x","")</f>
        <v/>
      </c>
      <c r="X1338" s="525" t="str">
        <f>IF(AND('341-CT'!$E$9=H1338,OR(LEFT(L1338,3)=$X$7,LEFT(M1338,3)=$X$7)),"x","")</f>
        <v/>
      </c>
      <c r="Y1338" s="525" t="str">
        <f>IF(OR(TH!L1338=TH!$Y$7,M1338=TH!$Y$7),"x","")</f>
        <v/>
      </c>
      <c r="Z1338" s="525" t="str">
        <f>IF(AND(B1338&lt;=NKC!$N$8,B1338&gt;=NKC!$M$8),"x","")</f>
        <v>x</v>
      </c>
      <c r="AA1338" s="535">
        <v>1</v>
      </c>
    </row>
    <row r="1339" spans="1:27" s="503" customFormat="1" ht="15.75" customHeight="1">
      <c r="A1339" s="517" t="str">
        <f>IF(B1339&lt;&gt;"",IF(AND(B1339&gt;=_TM1,B1339&lt;=_TM2,OR(TH!L1339="1111",TH!M1339="1111")),TH!D1339,""),"")</f>
        <v/>
      </c>
      <c r="B1339" s="531">
        <f t="shared" si="137"/>
        <v>1</v>
      </c>
      <c r="C1339" s="315">
        <f t="shared" si="138"/>
        <v>42757</v>
      </c>
      <c r="D1339" s="537" t="s">
        <v>962</v>
      </c>
      <c r="E1339" s="537">
        <v>42757</v>
      </c>
      <c r="F1339" s="249" t="s">
        <v>629</v>
      </c>
      <c r="G1339" s="314" t="s">
        <v>605</v>
      </c>
      <c r="H1339" s="473" t="s">
        <v>447</v>
      </c>
      <c r="I1339" s="307">
        <v>10</v>
      </c>
      <c r="J1339" s="307">
        <v>25258</v>
      </c>
      <c r="K1339" s="532">
        <f t="shared" si="140"/>
        <v>252580</v>
      </c>
      <c r="L1339" s="534" t="s">
        <v>292</v>
      </c>
      <c r="M1339" s="534" t="s">
        <v>8</v>
      </c>
      <c r="N1339" s="525" t="str">
        <f>IF(AND('331-CT'!$E$7=TH!H1339,OR(L1339="331",M1339="331")),"331",IF(AND(OR(L1339="131",M1339="131"),H1339='131-CT'!$E$7),"131",""))</f>
        <v/>
      </c>
      <c r="O1339" s="525" t="str">
        <f>IF(AND($B1339&gt;='111'!$N$11,$B1339&lt;='111'!$O$11,OR($L1339=$O$7,$M1339=$O$7)),"x","")</f>
        <v/>
      </c>
      <c r="P1339" s="525" t="str">
        <f>IF(AND($L1339=$O$7,$B1339&lt;'111'!$N$11),"x","")</f>
        <v/>
      </c>
      <c r="Q1339" s="525" t="str">
        <f>IF(AND($M1339=$O$7,$B1339&lt;'111'!$N$11),"x","")</f>
        <v/>
      </c>
      <c r="R1339" s="525" t="str">
        <f>IF(ISERROR(FIND('112'!$M$9,G1339,1)),"",IF((AND(FIND('112'!$M$9,G1339,1)&gt;=1,$B1339&gt;='112'!$N$8,$B1339&lt;='112'!$O$8,OR($L1339='112'!$I$6,$M1339='112'!$I$6))),"x",""))</f>
        <v/>
      </c>
      <c r="S1339" s="525" t="str">
        <f>IF(ISERROR(FIND('112'!$M$9,G1339,1)),"",IF((AND(LEFT(G1339,2)=LEFT('112'!$M$9,2),B1339&lt;'112'!$N$8,$L1339='112'!$I$6)),"x",""))</f>
        <v/>
      </c>
      <c r="T1339" s="525" t="str">
        <f>IF(ISERROR(FIND('112'!$M$9,G1339,1)),"",IF((AND(RIGHT(G1339,2)=RIGHT('112'!$M$9,2),B1339&lt;'112'!$N$8,$M1339='112'!$I$6)),"x",""))</f>
        <v/>
      </c>
      <c r="U1339" s="525" t="str">
        <f>IF(AND(B1339&gt;='IN-NX'!$P$3,B1339&lt;='IN-NX'!$Q$3,'IN-NX'!$D$7=D1339,OR(LEFT(L1339,2)="15",AND(LEFT(M1339,2)&lt;&gt;"15",LEFT(M1339,2)&lt;&gt;"33"))),"x","")</f>
        <v/>
      </c>
      <c r="V1339" s="525" t="str">
        <f>IF(AND(OR(LEFT(TH!L1339,2)="15",LEFT(TH!M1339,2)="15"),'152-CT'!$J$8=TH!F1339),"x","")</f>
        <v/>
      </c>
      <c r="W1339" s="525" t="str">
        <f>IF(AND(OR(LEFT(TH!L1339,2)="15",LEFT(TH!M1339,2)="15"),TK!$E$7=TH!F1339),"x","")</f>
        <v/>
      </c>
      <c r="X1339" s="525" t="str">
        <f>IF(AND('341-CT'!$E$9=H1339,OR(LEFT(L1339,3)=$X$7,LEFT(M1339,3)=$X$7)),"x","")</f>
        <v/>
      </c>
      <c r="Y1339" s="525" t="str">
        <f>IF(OR(TH!L1339=TH!$Y$7,M1339=TH!$Y$7),"x","")</f>
        <v/>
      </c>
      <c r="Z1339" s="525" t="str">
        <f>IF(AND(B1339&lt;=NKC!$N$8,B1339&gt;=NKC!$M$8),"x","")</f>
        <v>x</v>
      </c>
      <c r="AA1339" s="535">
        <v>1</v>
      </c>
    </row>
    <row r="1340" spans="1:27" s="503" customFormat="1" ht="15.75" customHeight="1">
      <c r="A1340" s="517" t="str">
        <f>IF(B1340&lt;&gt;"",IF(AND(B1340&gt;=_TM1,B1340&lt;=_TM2,OR(TH!L1340="1111",TH!M1340="1111")),TH!D1340,""),"")</f>
        <v/>
      </c>
      <c r="B1340" s="531">
        <f t="shared" si="137"/>
        <v>1</v>
      </c>
      <c r="C1340" s="315">
        <f t="shared" si="138"/>
        <v>42757</v>
      </c>
      <c r="D1340" s="537" t="s">
        <v>962</v>
      </c>
      <c r="E1340" s="537">
        <v>42757</v>
      </c>
      <c r="F1340" s="249" t="s">
        <v>630</v>
      </c>
      <c r="G1340" s="314" t="s">
        <v>605</v>
      </c>
      <c r="H1340" s="473" t="s">
        <v>447</v>
      </c>
      <c r="I1340" s="307">
        <v>5</v>
      </c>
      <c r="J1340" s="307">
        <v>23736</v>
      </c>
      <c r="K1340" s="532">
        <f t="shared" si="140"/>
        <v>118680</v>
      </c>
      <c r="L1340" s="534" t="s">
        <v>292</v>
      </c>
      <c r="M1340" s="534" t="s">
        <v>8</v>
      </c>
      <c r="N1340" s="525" t="str">
        <f>IF(AND('331-CT'!$E$7=TH!H1340,OR(L1340="331",M1340="331")),"331",IF(AND(OR(L1340="131",M1340="131"),H1340='131-CT'!$E$7),"131",""))</f>
        <v/>
      </c>
      <c r="O1340" s="525" t="str">
        <f>IF(AND($B1340&gt;='111'!$N$11,$B1340&lt;='111'!$O$11,OR($L1340=$O$7,$M1340=$O$7)),"x","")</f>
        <v/>
      </c>
      <c r="P1340" s="525" t="str">
        <f>IF(AND($L1340=$O$7,$B1340&lt;'111'!$N$11),"x","")</f>
        <v/>
      </c>
      <c r="Q1340" s="525" t="str">
        <f>IF(AND($M1340=$O$7,$B1340&lt;'111'!$N$11),"x","")</f>
        <v/>
      </c>
      <c r="R1340" s="525" t="str">
        <f>IF(ISERROR(FIND('112'!$M$9,G1340,1)),"",IF((AND(FIND('112'!$M$9,G1340,1)&gt;=1,$B1340&gt;='112'!$N$8,$B1340&lt;='112'!$O$8,OR($L1340='112'!$I$6,$M1340='112'!$I$6))),"x",""))</f>
        <v/>
      </c>
      <c r="S1340" s="525" t="str">
        <f>IF(ISERROR(FIND('112'!$M$9,G1340,1)),"",IF((AND(LEFT(G1340,2)=LEFT('112'!$M$9,2),B1340&lt;'112'!$N$8,$L1340='112'!$I$6)),"x",""))</f>
        <v/>
      </c>
      <c r="T1340" s="525" t="str">
        <f>IF(ISERROR(FIND('112'!$M$9,G1340,1)),"",IF((AND(RIGHT(G1340,2)=RIGHT('112'!$M$9,2),B1340&lt;'112'!$N$8,$M1340='112'!$I$6)),"x",""))</f>
        <v/>
      </c>
      <c r="U1340" s="525" t="str">
        <f>IF(AND(B1340&gt;='IN-NX'!$P$3,B1340&lt;='IN-NX'!$Q$3,'IN-NX'!$D$7=D1340,OR(LEFT(L1340,2)="15",AND(LEFT(M1340,2)&lt;&gt;"15",LEFT(M1340,2)&lt;&gt;"33"))),"x","")</f>
        <v/>
      </c>
      <c r="V1340" s="525" t="str">
        <f>IF(AND(OR(LEFT(TH!L1340,2)="15",LEFT(TH!M1340,2)="15"),'152-CT'!$J$8=TH!F1340),"x","")</f>
        <v/>
      </c>
      <c r="W1340" s="525" t="str">
        <f>IF(AND(OR(LEFT(TH!L1340,2)="15",LEFT(TH!M1340,2)="15"),TK!$E$7=TH!F1340),"x","")</f>
        <v/>
      </c>
      <c r="X1340" s="525" t="str">
        <f>IF(AND('341-CT'!$E$9=H1340,OR(LEFT(L1340,3)=$X$7,LEFT(M1340,3)=$X$7)),"x","")</f>
        <v/>
      </c>
      <c r="Y1340" s="525" t="str">
        <f>IF(OR(TH!L1340=TH!$Y$7,M1340=TH!$Y$7),"x","")</f>
        <v/>
      </c>
      <c r="Z1340" s="525" t="str">
        <f>IF(AND(B1340&lt;=NKC!$N$8,B1340&gt;=NKC!$M$8),"x","")</f>
        <v>x</v>
      </c>
      <c r="AA1340" s="535">
        <v>1</v>
      </c>
    </row>
    <row r="1341" spans="1:27" s="503" customFormat="1" ht="15.75" customHeight="1">
      <c r="A1341" s="517" t="str">
        <f>IF(B1341&lt;&gt;"",IF(AND(B1341&gt;=_TM1,B1341&lt;=_TM2,OR(TH!L1341="1111",TH!M1341="1111")),TH!D1341,""),"")</f>
        <v/>
      </c>
      <c r="B1341" s="531">
        <f t="shared" si="137"/>
        <v>1</v>
      </c>
      <c r="C1341" s="315">
        <f t="shared" si="138"/>
        <v>42757</v>
      </c>
      <c r="D1341" s="537" t="s">
        <v>962</v>
      </c>
      <c r="E1341" s="537">
        <v>42757</v>
      </c>
      <c r="F1341" s="249" t="s">
        <v>631</v>
      </c>
      <c r="G1341" s="314" t="s">
        <v>605</v>
      </c>
      <c r="H1341" s="473" t="s">
        <v>447</v>
      </c>
      <c r="I1341" s="307">
        <v>3</v>
      </c>
      <c r="J1341" s="307">
        <v>28583</v>
      </c>
      <c r="K1341" s="532">
        <f t="shared" si="140"/>
        <v>85749</v>
      </c>
      <c r="L1341" s="534" t="s">
        <v>292</v>
      </c>
      <c r="M1341" s="534" t="s">
        <v>8</v>
      </c>
      <c r="N1341" s="525" t="str">
        <f>IF(AND('331-CT'!$E$7=TH!H1341,OR(L1341="331",M1341="331")),"331",IF(AND(OR(L1341="131",M1341="131"),H1341='131-CT'!$E$7),"131",""))</f>
        <v/>
      </c>
      <c r="O1341" s="525" t="str">
        <f>IF(AND($B1341&gt;='111'!$N$11,$B1341&lt;='111'!$O$11,OR($L1341=$O$7,$M1341=$O$7)),"x","")</f>
        <v/>
      </c>
      <c r="P1341" s="525" t="str">
        <f>IF(AND($L1341=$O$7,$B1341&lt;'111'!$N$11),"x","")</f>
        <v/>
      </c>
      <c r="Q1341" s="525" t="str">
        <f>IF(AND($M1341=$O$7,$B1341&lt;'111'!$N$11),"x","")</f>
        <v/>
      </c>
      <c r="R1341" s="525" t="str">
        <f>IF(ISERROR(FIND('112'!$M$9,G1341,1)),"",IF((AND(FIND('112'!$M$9,G1341,1)&gt;=1,$B1341&gt;='112'!$N$8,$B1341&lt;='112'!$O$8,OR($L1341='112'!$I$6,$M1341='112'!$I$6))),"x",""))</f>
        <v/>
      </c>
      <c r="S1341" s="525" t="str">
        <f>IF(ISERROR(FIND('112'!$M$9,G1341,1)),"",IF((AND(LEFT(G1341,2)=LEFT('112'!$M$9,2),B1341&lt;'112'!$N$8,$L1341='112'!$I$6)),"x",""))</f>
        <v/>
      </c>
      <c r="T1341" s="525" t="str">
        <f>IF(ISERROR(FIND('112'!$M$9,G1341,1)),"",IF((AND(RIGHT(G1341,2)=RIGHT('112'!$M$9,2),B1341&lt;'112'!$N$8,$M1341='112'!$I$6)),"x",""))</f>
        <v/>
      </c>
      <c r="U1341" s="525" t="str">
        <f>IF(AND(B1341&gt;='IN-NX'!$P$3,B1341&lt;='IN-NX'!$Q$3,'IN-NX'!$D$7=D1341,OR(LEFT(L1341,2)="15",AND(LEFT(M1341,2)&lt;&gt;"15",LEFT(M1341,2)&lt;&gt;"33"))),"x","")</f>
        <v/>
      </c>
      <c r="V1341" s="525" t="str">
        <f>IF(AND(OR(LEFT(TH!L1341,2)="15",LEFT(TH!M1341,2)="15"),'152-CT'!$J$8=TH!F1341),"x","")</f>
        <v/>
      </c>
      <c r="W1341" s="525" t="str">
        <f>IF(AND(OR(LEFT(TH!L1341,2)="15",LEFT(TH!M1341,2)="15"),TK!$E$7=TH!F1341),"x","")</f>
        <v/>
      </c>
      <c r="X1341" s="525" t="str">
        <f>IF(AND('341-CT'!$E$9=H1341,OR(LEFT(L1341,3)=$X$7,LEFT(M1341,3)=$X$7)),"x","")</f>
        <v/>
      </c>
      <c r="Y1341" s="525" t="str">
        <f>IF(OR(TH!L1341=TH!$Y$7,M1341=TH!$Y$7),"x","")</f>
        <v/>
      </c>
      <c r="Z1341" s="525" t="str">
        <f>IF(AND(B1341&lt;=NKC!$N$8,B1341&gt;=NKC!$M$8),"x","")</f>
        <v>x</v>
      </c>
      <c r="AA1341" s="535">
        <v>1</v>
      </c>
    </row>
    <row r="1342" spans="1:27" s="503" customFormat="1" ht="15.75" customHeight="1">
      <c r="A1342" s="517" t="str">
        <f>IF(B1342&lt;&gt;"",IF(AND(B1342&gt;=_TM1,B1342&lt;=_TM2,OR(TH!L1342="1111",TH!M1342="1111")),TH!D1342,""),"")</f>
        <v/>
      </c>
      <c r="B1342" s="531">
        <f t="shared" si="137"/>
        <v>1</v>
      </c>
      <c r="C1342" s="315">
        <f t="shared" si="138"/>
        <v>42757</v>
      </c>
      <c r="D1342" s="537" t="s">
        <v>962</v>
      </c>
      <c r="E1342" s="537">
        <v>42757</v>
      </c>
      <c r="F1342" s="249" t="s">
        <v>632</v>
      </c>
      <c r="G1342" s="314" t="s">
        <v>605</v>
      </c>
      <c r="H1342" s="473" t="s">
        <v>447</v>
      </c>
      <c r="I1342" s="307">
        <v>10</v>
      </c>
      <c r="J1342" s="307">
        <v>53873</v>
      </c>
      <c r="K1342" s="532">
        <f t="shared" si="140"/>
        <v>538730</v>
      </c>
      <c r="L1342" s="534" t="s">
        <v>292</v>
      </c>
      <c r="M1342" s="534" t="s">
        <v>8</v>
      </c>
      <c r="N1342" s="525" t="str">
        <f>IF(AND('331-CT'!$E$7=TH!H1342,OR(L1342="331",M1342="331")),"331",IF(AND(OR(L1342="131",M1342="131"),H1342='131-CT'!$E$7),"131",""))</f>
        <v/>
      </c>
      <c r="O1342" s="525" t="str">
        <f>IF(AND($B1342&gt;='111'!$N$11,$B1342&lt;='111'!$O$11,OR($L1342=$O$7,$M1342=$O$7)),"x","")</f>
        <v/>
      </c>
      <c r="P1342" s="525" t="str">
        <f>IF(AND($L1342=$O$7,$B1342&lt;'111'!$N$11),"x","")</f>
        <v/>
      </c>
      <c r="Q1342" s="525" t="str">
        <f>IF(AND($M1342=$O$7,$B1342&lt;'111'!$N$11),"x","")</f>
        <v/>
      </c>
      <c r="R1342" s="525" t="str">
        <f>IF(ISERROR(FIND('112'!$M$9,G1342,1)),"",IF((AND(FIND('112'!$M$9,G1342,1)&gt;=1,$B1342&gt;='112'!$N$8,$B1342&lt;='112'!$O$8,OR($L1342='112'!$I$6,$M1342='112'!$I$6))),"x",""))</f>
        <v/>
      </c>
      <c r="S1342" s="525" t="str">
        <f>IF(ISERROR(FIND('112'!$M$9,G1342,1)),"",IF((AND(LEFT(G1342,2)=LEFT('112'!$M$9,2),B1342&lt;'112'!$N$8,$L1342='112'!$I$6)),"x",""))</f>
        <v/>
      </c>
      <c r="T1342" s="525" t="str">
        <f>IF(ISERROR(FIND('112'!$M$9,G1342,1)),"",IF((AND(RIGHT(G1342,2)=RIGHT('112'!$M$9,2),B1342&lt;'112'!$N$8,$M1342='112'!$I$6)),"x",""))</f>
        <v/>
      </c>
      <c r="U1342" s="525" t="str">
        <f>IF(AND(B1342&gt;='IN-NX'!$P$3,B1342&lt;='IN-NX'!$Q$3,'IN-NX'!$D$7=D1342,OR(LEFT(L1342,2)="15",AND(LEFT(M1342,2)&lt;&gt;"15",LEFT(M1342,2)&lt;&gt;"33"))),"x","")</f>
        <v/>
      </c>
      <c r="V1342" s="525" t="str">
        <f>IF(AND(OR(LEFT(TH!L1342,2)="15",LEFT(TH!M1342,2)="15"),'152-CT'!$J$8=TH!F1342),"x","")</f>
        <v/>
      </c>
      <c r="W1342" s="525" t="str">
        <f>IF(AND(OR(LEFT(TH!L1342,2)="15",LEFT(TH!M1342,2)="15"),TK!$E$7=TH!F1342),"x","")</f>
        <v/>
      </c>
      <c r="X1342" s="525" t="str">
        <f>IF(AND('341-CT'!$E$9=H1342,OR(LEFT(L1342,3)=$X$7,LEFT(M1342,3)=$X$7)),"x","")</f>
        <v/>
      </c>
      <c r="Y1342" s="525" t="str">
        <f>IF(OR(TH!L1342=TH!$Y$7,M1342=TH!$Y$7),"x","")</f>
        <v/>
      </c>
      <c r="Z1342" s="525" t="str">
        <f>IF(AND(B1342&lt;=NKC!$N$8,B1342&gt;=NKC!$M$8),"x","")</f>
        <v>x</v>
      </c>
      <c r="AA1342" s="535">
        <v>1</v>
      </c>
    </row>
    <row r="1343" spans="1:27" s="503" customFormat="1" ht="15.75" customHeight="1">
      <c r="A1343" s="517" t="str">
        <f>IF(B1343&lt;&gt;"",IF(AND(B1343&gt;=_TM1,B1343&lt;=_TM2,OR(TH!L1343="1111",TH!M1343="1111")),TH!D1343,""),"")</f>
        <v/>
      </c>
      <c r="B1343" s="531">
        <f t="shared" si="137"/>
        <v>1</v>
      </c>
      <c r="C1343" s="315">
        <f t="shared" si="138"/>
        <v>42757</v>
      </c>
      <c r="D1343" s="537" t="s">
        <v>962</v>
      </c>
      <c r="E1343" s="537">
        <v>42757</v>
      </c>
      <c r="F1343" s="249" t="s">
        <v>633</v>
      </c>
      <c r="G1343" s="314" t="s">
        <v>605</v>
      </c>
      <c r="H1343" s="473" t="s">
        <v>447</v>
      </c>
      <c r="I1343" s="307">
        <v>15</v>
      </c>
      <c r="J1343" s="307">
        <v>42021</v>
      </c>
      <c r="K1343" s="532">
        <f t="shared" si="140"/>
        <v>630315</v>
      </c>
      <c r="L1343" s="534" t="s">
        <v>292</v>
      </c>
      <c r="M1343" s="534" t="s">
        <v>8</v>
      </c>
      <c r="N1343" s="525" t="str">
        <f>IF(AND('331-CT'!$E$7=TH!H1343,OR(L1343="331",M1343="331")),"331",IF(AND(OR(L1343="131",M1343="131"),H1343='131-CT'!$E$7),"131",""))</f>
        <v/>
      </c>
      <c r="O1343" s="525" t="str">
        <f>IF(AND($B1343&gt;='111'!$N$11,$B1343&lt;='111'!$O$11,OR($L1343=$O$7,$M1343=$O$7)),"x","")</f>
        <v/>
      </c>
      <c r="P1343" s="525" t="str">
        <f>IF(AND($L1343=$O$7,$B1343&lt;'111'!$N$11),"x","")</f>
        <v/>
      </c>
      <c r="Q1343" s="525" t="str">
        <f>IF(AND($M1343=$O$7,$B1343&lt;'111'!$N$11),"x","")</f>
        <v/>
      </c>
      <c r="R1343" s="525" t="str">
        <f>IF(ISERROR(FIND('112'!$M$9,G1343,1)),"",IF((AND(FIND('112'!$M$9,G1343,1)&gt;=1,$B1343&gt;='112'!$N$8,$B1343&lt;='112'!$O$8,OR($L1343='112'!$I$6,$M1343='112'!$I$6))),"x",""))</f>
        <v/>
      </c>
      <c r="S1343" s="525" t="str">
        <f>IF(ISERROR(FIND('112'!$M$9,G1343,1)),"",IF((AND(LEFT(G1343,2)=LEFT('112'!$M$9,2),B1343&lt;'112'!$N$8,$L1343='112'!$I$6)),"x",""))</f>
        <v/>
      </c>
      <c r="T1343" s="525" t="str">
        <f>IF(ISERROR(FIND('112'!$M$9,G1343,1)),"",IF((AND(RIGHT(G1343,2)=RIGHT('112'!$M$9,2),B1343&lt;'112'!$N$8,$M1343='112'!$I$6)),"x",""))</f>
        <v/>
      </c>
      <c r="U1343" s="525" t="str">
        <f>IF(AND(B1343&gt;='IN-NX'!$P$3,B1343&lt;='IN-NX'!$Q$3,'IN-NX'!$D$7=D1343,OR(LEFT(L1343,2)="15",AND(LEFT(M1343,2)&lt;&gt;"15",LEFT(M1343,2)&lt;&gt;"33"))),"x","")</f>
        <v/>
      </c>
      <c r="V1343" s="525" t="str">
        <f>IF(AND(OR(LEFT(TH!L1343,2)="15",LEFT(TH!M1343,2)="15"),'152-CT'!$J$8=TH!F1343),"x","")</f>
        <v/>
      </c>
      <c r="W1343" s="525" t="str">
        <f>IF(AND(OR(LEFT(TH!L1343,2)="15",LEFT(TH!M1343,2)="15"),TK!$E$7=TH!F1343),"x","")</f>
        <v/>
      </c>
      <c r="X1343" s="525" t="str">
        <f>IF(AND('341-CT'!$E$9=H1343,OR(LEFT(L1343,3)=$X$7,LEFT(M1343,3)=$X$7)),"x","")</f>
        <v/>
      </c>
      <c r="Y1343" s="525" t="str">
        <f>IF(OR(TH!L1343=TH!$Y$7,M1343=TH!$Y$7),"x","")</f>
        <v/>
      </c>
      <c r="Z1343" s="525" t="str">
        <f>IF(AND(B1343&lt;=NKC!$N$8,B1343&gt;=NKC!$M$8),"x","")</f>
        <v>x</v>
      </c>
      <c r="AA1343" s="535">
        <v>1</v>
      </c>
    </row>
    <row r="1344" spans="1:27" s="503" customFormat="1" ht="15.75" customHeight="1">
      <c r="A1344" s="517" t="str">
        <f>IF(B1344&lt;&gt;"",IF(AND(B1344&gt;=_TM1,B1344&lt;=_TM2,OR(TH!L1344="1111",TH!M1344="1111")),TH!D1344,""),"")</f>
        <v/>
      </c>
      <c r="B1344" s="531">
        <f t="shared" si="137"/>
        <v>1</v>
      </c>
      <c r="C1344" s="315">
        <f t="shared" si="138"/>
        <v>42757</v>
      </c>
      <c r="D1344" s="537" t="s">
        <v>962</v>
      </c>
      <c r="E1344" s="537">
        <v>42757</v>
      </c>
      <c r="F1344" s="249" t="s">
        <v>634</v>
      </c>
      <c r="G1344" s="314" t="s">
        <v>605</v>
      </c>
      <c r="H1344" s="473" t="s">
        <v>447</v>
      </c>
      <c r="I1344" s="307">
        <v>10</v>
      </c>
      <c r="J1344" s="307">
        <v>31547</v>
      </c>
      <c r="K1344" s="532">
        <f t="shared" si="140"/>
        <v>315470</v>
      </c>
      <c r="L1344" s="534" t="s">
        <v>292</v>
      </c>
      <c r="M1344" s="534" t="s">
        <v>8</v>
      </c>
      <c r="N1344" s="525" t="str">
        <f>IF(AND('331-CT'!$E$7=TH!H1344,OR(L1344="331",M1344="331")),"331",IF(AND(OR(L1344="131",M1344="131"),H1344='131-CT'!$E$7),"131",""))</f>
        <v/>
      </c>
      <c r="O1344" s="525" t="str">
        <f>IF(AND($B1344&gt;='111'!$N$11,$B1344&lt;='111'!$O$11,OR($L1344=$O$7,$M1344=$O$7)),"x","")</f>
        <v/>
      </c>
      <c r="P1344" s="525" t="str">
        <f>IF(AND($L1344=$O$7,$B1344&lt;'111'!$N$11),"x","")</f>
        <v/>
      </c>
      <c r="Q1344" s="525" t="str">
        <f>IF(AND($M1344=$O$7,$B1344&lt;'111'!$N$11),"x","")</f>
        <v/>
      </c>
      <c r="R1344" s="525" t="str">
        <f>IF(ISERROR(FIND('112'!$M$9,G1344,1)),"",IF((AND(FIND('112'!$M$9,G1344,1)&gt;=1,$B1344&gt;='112'!$N$8,$B1344&lt;='112'!$O$8,OR($L1344='112'!$I$6,$M1344='112'!$I$6))),"x",""))</f>
        <v/>
      </c>
      <c r="S1344" s="525" t="str">
        <f>IF(ISERROR(FIND('112'!$M$9,G1344,1)),"",IF((AND(LEFT(G1344,2)=LEFT('112'!$M$9,2),B1344&lt;'112'!$N$8,$L1344='112'!$I$6)),"x",""))</f>
        <v/>
      </c>
      <c r="T1344" s="525" t="str">
        <f>IF(ISERROR(FIND('112'!$M$9,G1344,1)),"",IF((AND(RIGHT(G1344,2)=RIGHT('112'!$M$9,2),B1344&lt;'112'!$N$8,$M1344='112'!$I$6)),"x",""))</f>
        <v/>
      </c>
      <c r="U1344" s="525" t="str">
        <f>IF(AND(B1344&gt;='IN-NX'!$P$3,B1344&lt;='IN-NX'!$Q$3,'IN-NX'!$D$7=D1344,OR(LEFT(L1344,2)="15",AND(LEFT(M1344,2)&lt;&gt;"15",LEFT(M1344,2)&lt;&gt;"33"))),"x","")</f>
        <v/>
      </c>
      <c r="V1344" s="525" t="str">
        <f>IF(AND(OR(LEFT(TH!L1344,2)="15",LEFT(TH!M1344,2)="15"),'152-CT'!$J$8=TH!F1344),"x","")</f>
        <v/>
      </c>
      <c r="W1344" s="525" t="str">
        <f>IF(AND(OR(LEFT(TH!L1344,2)="15",LEFT(TH!M1344,2)="15"),TK!$E$7=TH!F1344),"x","")</f>
        <v/>
      </c>
      <c r="X1344" s="525" t="str">
        <f>IF(AND('341-CT'!$E$9=H1344,OR(LEFT(L1344,3)=$X$7,LEFT(M1344,3)=$X$7)),"x","")</f>
        <v/>
      </c>
      <c r="Y1344" s="525" t="str">
        <f>IF(OR(TH!L1344=TH!$Y$7,M1344=TH!$Y$7),"x","")</f>
        <v/>
      </c>
      <c r="Z1344" s="525" t="str">
        <f>IF(AND(B1344&lt;=NKC!$N$8,B1344&gt;=NKC!$M$8),"x","")</f>
        <v>x</v>
      </c>
      <c r="AA1344" s="535">
        <v>1</v>
      </c>
    </row>
    <row r="1345" spans="1:27" s="503" customFormat="1" ht="15.75" customHeight="1">
      <c r="A1345" s="517" t="str">
        <f>IF(B1345&lt;&gt;"",IF(AND(B1345&gt;=_TM1,B1345&lt;=_TM2,OR(TH!L1345="1111",TH!M1345="1111")),TH!D1345,""),"")</f>
        <v/>
      </c>
      <c r="B1345" s="531">
        <f t="shared" si="137"/>
        <v>1</v>
      </c>
      <c r="C1345" s="315">
        <f t="shared" si="138"/>
        <v>42757</v>
      </c>
      <c r="D1345" s="537" t="s">
        <v>963</v>
      </c>
      <c r="E1345" s="537">
        <v>42757</v>
      </c>
      <c r="F1345" s="249" t="s">
        <v>635</v>
      </c>
      <c r="G1345" s="314" t="s">
        <v>605</v>
      </c>
      <c r="H1345" s="473" t="s">
        <v>447</v>
      </c>
      <c r="I1345" s="307">
        <v>16</v>
      </c>
      <c r="J1345" s="307">
        <v>135786</v>
      </c>
      <c r="K1345" s="532">
        <f t="shared" si="140"/>
        <v>2172576</v>
      </c>
      <c r="L1345" s="534" t="s">
        <v>292</v>
      </c>
      <c r="M1345" s="534" t="s">
        <v>8</v>
      </c>
      <c r="N1345" s="525" t="str">
        <f>IF(AND('331-CT'!$E$7=TH!H1345,OR(L1345="331",M1345="331")),"331",IF(AND(OR(L1345="131",M1345="131"),H1345='131-CT'!$E$7),"131",""))</f>
        <v/>
      </c>
      <c r="O1345" s="525" t="str">
        <f>IF(AND($B1345&gt;='111'!$N$11,$B1345&lt;='111'!$O$11,OR($L1345=$O$7,$M1345=$O$7)),"x","")</f>
        <v/>
      </c>
      <c r="P1345" s="525" t="str">
        <f>IF(AND($L1345=$O$7,$B1345&lt;'111'!$N$11),"x","")</f>
        <v/>
      </c>
      <c r="Q1345" s="525" t="str">
        <f>IF(AND($M1345=$O$7,$B1345&lt;'111'!$N$11),"x","")</f>
        <v/>
      </c>
      <c r="R1345" s="525" t="str">
        <f>IF(ISERROR(FIND('112'!$M$9,G1345,1)),"",IF((AND(FIND('112'!$M$9,G1345,1)&gt;=1,$B1345&gt;='112'!$N$8,$B1345&lt;='112'!$O$8,OR($L1345='112'!$I$6,$M1345='112'!$I$6))),"x",""))</f>
        <v/>
      </c>
      <c r="S1345" s="525" t="str">
        <f>IF(ISERROR(FIND('112'!$M$9,G1345,1)),"",IF((AND(LEFT(G1345,2)=LEFT('112'!$M$9,2),B1345&lt;'112'!$N$8,$L1345='112'!$I$6)),"x",""))</f>
        <v/>
      </c>
      <c r="T1345" s="525" t="str">
        <f>IF(ISERROR(FIND('112'!$M$9,G1345,1)),"",IF((AND(RIGHT(G1345,2)=RIGHT('112'!$M$9,2),B1345&lt;'112'!$N$8,$M1345='112'!$I$6)),"x",""))</f>
        <v/>
      </c>
      <c r="U1345" s="525" t="str">
        <f>IF(AND(B1345&gt;='IN-NX'!$P$3,B1345&lt;='IN-NX'!$Q$3,'IN-NX'!$D$7=D1345,OR(LEFT(L1345,2)="15",AND(LEFT(M1345,2)&lt;&gt;"15",LEFT(M1345,2)&lt;&gt;"33"))),"x","")</f>
        <v/>
      </c>
      <c r="V1345" s="525" t="str">
        <f>IF(AND(OR(LEFT(TH!L1345,2)="15",LEFT(TH!M1345,2)="15"),'152-CT'!$J$8=TH!F1345),"x","")</f>
        <v/>
      </c>
      <c r="W1345" s="525" t="str">
        <f>IF(AND(OR(LEFT(TH!L1345,2)="15",LEFT(TH!M1345,2)="15"),TK!$E$7=TH!F1345),"x","")</f>
        <v/>
      </c>
      <c r="X1345" s="525" t="str">
        <f>IF(AND('341-CT'!$E$9=H1345,OR(LEFT(L1345,3)=$X$7,LEFT(M1345,3)=$X$7)),"x","")</f>
        <v/>
      </c>
      <c r="Y1345" s="525" t="str">
        <f>IF(OR(TH!L1345=TH!$Y$7,M1345=TH!$Y$7),"x","")</f>
        <v/>
      </c>
      <c r="Z1345" s="525" t="str">
        <f>IF(AND(B1345&lt;=NKC!$N$8,B1345&gt;=NKC!$M$8),"x","")</f>
        <v>x</v>
      </c>
      <c r="AA1345" s="535">
        <v>1</v>
      </c>
    </row>
    <row r="1346" spans="1:27" s="503" customFormat="1" ht="15.75" customHeight="1">
      <c r="A1346" s="517" t="str">
        <f>IF(B1346&lt;&gt;"",IF(AND(B1346&gt;=_TM1,B1346&lt;=_TM2,OR(TH!L1346="1111",TH!M1346="1111")),TH!D1346,""),"")</f>
        <v/>
      </c>
      <c r="B1346" s="531">
        <f t="shared" si="137"/>
        <v>1</v>
      </c>
      <c r="C1346" s="315">
        <f t="shared" si="138"/>
        <v>42757</v>
      </c>
      <c r="D1346" s="537" t="s">
        <v>963</v>
      </c>
      <c r="E1346" s="537">
        <v>42757</v>
      </c>
      <c r="F1346" s="249" t="s">
        <v>636</v>
      </c>
      <c r="G1346" s="314" t="s">
        <v>605</v>
      </c>
      <c r="H1346" s="473" t="s">
        <v>447</v>
      </c>
      <c r="I1346" s="307">
        <v>16</v>
      </c>
      <c r="J1346" s="307">
        <v>58590</v>
      </c>
      <c r="K1346" s="532">
        <f t="shared" si="140"/>
        <v>937440</v>
      </c>
      <c r="L1346" s="534" t="s">
        <v>292</v>
      </c>
      <c r="M1346" s="534" t="s">
        <v>8</v>
      </c>
      <c r="N1346" s="525" t="str">
        <f>IF(AND('331-CT'!$E$7=TH!H1346,OR(L1346="331",M1346="331")),"331",IF(AND(OR(L1346="131",M1346="131"),H1346='131-CT'!$E$7),"131",""))</f>
        <v/>
      </c>
      <c r="O1346" s="525" t="str">
        <f>IF(AND($B1346&gt;='111'!$N$11,$B1346&lt;='111'!$O$11,OR($L1346=$O$7,$M1346=$O$7)),"x","")</f>
        <v/>
      </c>
      <c r="P1346" s="525" t="str">
        <f>IF(AND($L1346=$O$7,$B1346&lt;'111'!$N$11),"x","")</f>
        <v/>
      </c>
      <c r="Q1346" s="525" t="str">
        <f>IF(AND($M1346=$O$7,$B1346&lt;'111'!$N$11),"x","")</f>
        <v/>
      </c>
      <c r="R1346" s="525" t="str">
        <f>IF(ISERROR(FIND('112'!$M$9,G1346,1)),"",IF((AND(FIND('112'!$M$9,G1346,1)&gt;=1,$B1346&gt;='112'!$N$8,$B1346&lt;='112'!$O$8,OR($L1346='112'!$I$6,$M1346='112'!$I$6))),"x",""))</f>
        <v/>
      </c>
      <c r="S1346" s="525" t="str">
        <f>IF(ISERROR(FIND('112'!$M$9,G1346,1)),"",IF((AND(LEFT(G1346,2)=LEFT('112'!$M$9,2),B1346&lt;'112'!$N$8,$L1346='112'!$I$6)),"x",""))</f>
        <v/>
      </c>
      <c r="T1346" s="525" t="str">
        <f>IF(ISERROR(FIND('112'!$M$9,G1346,1)),"",IF((AND(RIGHT(G1346,2)=RIGHT('112'!$M$9,2),B1346&lt;'112'!$N$8,$M1346='112'!$I$6)),"x",""))</f>
        <v/>
      </c>
      <c r="U1346" s="525" t="str">
        <f>IF(AND(B1346&gt;='IN-NX'!$P$3,B1346&lt;='IN-NX'!$Q$3,'IN-NX'!$D$7=D1346,OR(LEFT(L1346,2)="15",AND(LEFT(M1346,2)&lt;&gt;"15",LEFT(M1346,2)&lt;&gt;"33"))),"x","")</f>
        <v/>
      </c>
      <c r="V1346" s="525" t="str">
        <f>IF(AND(OR(LEFT(TH!L1346,2)="15",LEFT(TH!M1346,2)="15"),'152-CT'!$J$8=TH!F1346),"x","")</f>
        <v/>
      </c>
      <c r="W1346" s="525" t="str">
        <f>IF(AND(OR(LEFT(TH!L1346,2)="15",LEFT(TH!M1346,2)="15"),TK!$E$7=TH!F1346),"x","")</f>
        <v/>
      </c>
      <c r="X1346" s="525" t="str">
        <f>IF(AND('341-CT'!$E$9=H1346,OR(LEFT(L1346,3)=$X$7,LEFT(M1346,3)=$X$7)),"x","")</f>
        <v/>
      </c>
      <c r="Y1346" s="525" t="str">
        <f>IF(OR(TH!L1346=TH!$Y$7,M1346=TH!$Y$7),"x","")</f>
        <v/>
      </c>
      <c r="Z1346" s="525" t="str">
        <f>IF(AND(B1346&lt;=NKC!$N$8,B1346&gt;=NKC!$M$8),"x","")</f>
        <v>x</v>
      </c>
      <c r="AA1346" s="535">
        <v>1</v>
      </c>
    </row>
    <row r="1347" spans="1:27" s="503" customFormat="1" ht="15.75" customHeight="1">
      <c r="A1347" s="517" t="str">
        <f>IF(B1347&lt;&gt;"",IF(AND(B1347&gt;=_TM1,B1347&lt;=_TM2,OR(TH!L1347="1111",TH!M1347="1111")),TH!D1347,""),"")</f>
        <v/>
      </c>
      <c r="B1347" s="531">
        <f t="shared" si="137"/>
        <v>1</v>
      </c>
      <c r="C1347" s="315">
        <f t="shared" si="138"/>
        <v>42757</v>
      </c>
      <c r="D1347" s="537" t="s">
        <v>963</v>
      </c>
      <c r="E1347" s="537">
        <v>42757</v>
      </c>
      <c r="F1347" s="249" t="s">
        <v>637</v>
      </c>
      <c r="G1347" s="314" t="s">
        <v>605</v>
      </c>
      <c r="H1347" s="473" t="s">
        <v>447</v>
      </c>
      <c r="I1347" s="307">
        <v>12</v>
      </c>
      <c r="J1347" s="307">
        <v>129948.00000000001</v>
      </c>
      <c r="K1347" s="532">
        <f t="shared" si="140"/>
        <v>1559376</v>
      </c>
      <c r="L1347" s="534" t="s">
        <v>292</v>
      </c>
      <c r="M1347" s="534" t="s">
        <v>8</v>
      </c>
      <c r="N1347" s="525" t="str">
        <f>IF(AND('331-CT'!$E$7=TH!H1347,OR(L1347="331",M1347="331")),"331",IF(AND(OR(L1347="131",M1347="131"),H1347='131-CT'!$E$7),"131",""))</f>
        <v/>
      </c>
      <c r="O1347" s="525" t="str">
        <f>IF(AND($B1347&gt;='111'!$N$11,$B1347&lt;='111'!$O$11,OR($L1347=$O$7,$M1347=$O$7)),"x","")</f>
        <v/>
      </c>
      <c r="P1347" s="525" t="str">
        <f>IF(AND($L1347=$O$7,$B1347&lt;'111'!$N$11),"x","")</f>
        <v/>
      </c>
      <c r="Q1347" s="525" t="str">
        <f>IF(AND($M1347=$O$7,$B1347&lt;'111'!$N$11),"x","")</f>
        <v/>
      </c>
      <c r="R1347" s="525" t="str">
        <f>IF(ISERROR(FIND('112'!$M$9,G1347,1)),"",IF((AND(FIND('112'!$M$9,G1347,1)&gt;=1,$B1347&gt;='112'!$N$8,$B1347&lt;='112'!$O$8,OR($L1347='112'!$I$6,$M1347='112'!$I$6))),"x",""))</f>
        <v/>
      </c>
      <c r="S1347" s="525" t="str">
        <f>IF(ISERROR(FIND('112'!$M$9,G1347,1)),"",IF((AND(LEFT(G1347,2)=LEFT('112'!$M$9,2),B1347&lt;'112'!$N$8,$L1347='112'!$I$6)),"x",""))</f>
        <v/>
      </c>
      <c r="T1347" s="525" t="str">
        <f>IF(ISERROR(FIND('112'!$M$9,G1347,1)),"",IF((AND(RIGHT(G1347,2)=RIGHT('112'!$M$9,2),B1347&lt;'112'!$N$8,$M1347='112'!$I$6)),"x",""))</f>
        <v/>
      </c>
      <c r="U1347" s="525" t="str">
        <f>IF(AND(B1347&gt;='IN-NX'!$P$3,B1347&lt;='IN-NX'!$Q$3,'IN-NX'!$D$7=D1347,OR(LEFT(L1347,2)="15",AND(LEFT(M1347,2)&lt;&gt;"15",LEFT(M1347,2)&lt;&gt;"33"))),"x","")</f>
        <v/>
      </c>
      <c r="V1347" s="525" t="str">
        <f>IF(AND(OR(LEFT(TH!L1347,2)="15",LEFT(TH!M1347,2)="15"),'152-CT'!$J$8=TH!F1347),"x","")</f>
        <v/>
      </c>
      <c r="W1347" s="525" t="str">
        <f>IF(AND(OR(LEFT(TH!L1347,2)="15",LEFT(TH!M1347,2)="15"),TK!$E$7=TH!F1347),"x","")</f>
        <v/>
      </c>
      <c r="X1347" s="525" t="str">
        <f>IF(AND('341-CT'!$E$9=H1347,OR(LEFT(L1347,3)=$X$7,LEFT(M1347,3)=$X$7)),"x","")</f>
        <v/>
      </c>
      <c r="Y1347" s="525" t="str">
        <f>IF(OR(TH!L1347=TH!$Y$7,M1347=TH!$Y$7),"x","")</f>
        <v/>
      </c>
      <c r="Z1347" s="525" t="str">
        <f>IF(AND(B1347&lt;=NKC!$N$8,B1347&gt;=NKC!$M$8),"x","")</f>
        <v>x</v>
      </c>
      <c r="AA1347" s="535">
        <v>1</v>
      </c>
    </row>
    <row r="1348" spans="1:27" s="503" customFormat="1" ht="15.75" customHeight="1">
      <c r="A1348" s="517" t="str">
        <f>IF(B1348&lt;&gt;"",IF(AND(B1348&gt;=_TM1,B1348&lt;=_TM2,OR(TH!L1348="1111",TH!M1348="1111")),TH!D1348,""),"")</f>
        <v/>
      </c>
      <c r="B1348" s="531">
        <f t="shared" si="137"/>
        <v>1</v>
      </c>
      <c r="C1348" s="315">
        <f t="shared" si="138"/>
        <v>42757</v>
      </c>
      <c r="D1348" s="537" t="s">
        <v>963</v>
      </c>
      <c r="E1348" s="537">
        <v>42757</v>
      </c>
      <c r="F1348" s="249" t="s">
        <v>629</v>
      </c>
      <c r="G1348" s="314" t="s">
        <v>605</v>
      </c>
      <c r="H1348" s="473" t="s">
        <v>447</v>
      </c>
      <c r="I1348" s="307">
        <v>48</v>
      </c>
      <c r="J1348" s="307">
        <v>37787.200000000004</v>
      </c>
      <c r="K1348" s="532">
        <f t="shared" si="140"/>
        <v>1813786</v>
      </c>
      <c r="L1348" s="534" t="s">
        <v>292</v>
      </c>
      <c r="M1348" s="534" t="s">
        <v>8</v>
      </c>
      <c r="N1348" s="525" t="str">
        <f>IF(AND('331-CT'!$E$7=TH!H1348,OR(L1348="331",M1348="331")),"331",IF(AND(OR(L1348="131",M1348="131"),H1348='131-CT'!$E$7),"131",""))</f>
        <v/>
      </c>
      <c r="O1348" s="525" t="str">
        <f>IF(AND($B1348&gt;='111'!$N$11,$B1348&lt;='111'!$O$11,OR($L1348=$O$7,$M1348=$O$7)),"x","")</f>
        <v/>
      </c>
      <c r="P1348" s="525" t="str">
        <f>IF(AND($L1348=$O$7,$B1348&lt;'111'!$N$11),"x","")</f>
        <v/>
      </c>
      <c r="Q1348" s="525" t="str">
        <f>IF(AND($M1348=$O$7,$B1348&lt;'111'!$N$11),"x","")</f>
        <v/>
      </c>
      <c r="R1348" s="525" t="str">
        <f>IF(ISERROR(FIND('112'!$M$9,G1348,1)),"",IF((AND(FIND('112'!$M$9,G1348,1)&gt;=1,$B1348&gt;='112'!$N$8,$B1348&lt;='112'!$O$8,OR($L1348='112'!$I$6,$M1348='112'!$I$6))),"x",""))</f>
        <v/>
      </c>
      <c r="S1348" s="525" t="str">
        <f>IF(ISERROR(FIND('112'!$M$9,G1348,1)),"",IF((AND(LEFT(G1348,2)=LEFT('112'!$M$9,2),B1348&lt;'112'!$N$8,$L1348='112'!$I$6)),"x",""))</f>
        <v/>
      </c>
      <c r="T1348" s="525" t="str">
        <f>IF(ISERROR(FIND('112'!$M$9,G1348,1)),"",IF((AND(RIGHT(G1348,2)=RIGHT('112'!$M$9,2),B1348&lt;'112'!$N$8,$M1348='112'!$I$6)),"x",""))</f>
        <v/>
      </c>
      <c r="U1348" s="525" t="str">
        <f>IF(AND(B1348&gt;='IN-NX'!$P$3,B1348&lt;='IN-NX'!$Q$3,'IN-NX'!$D$7=D1348,OR(LEFT(L1348,2)="15",AND(LEFT(M1348,2)&lt;&gt;"15",LEFT(M1348,2)&lt;&gt;"33"))),"x","")</f>
        <v/>
      </c>
      <c r="V1348" s="525" t="str">
        <f>IF(AND(OR(LEFT(TH!L1348,2)="15",LEFT(TH!M1348,2)="15"),'152-CT'!$J$8=TH!F1348),"x","")</f>
        <v/>
      </c>
      <c r="W1348" s="525" t="str">
        <f>IF(AND(OR(LEFT(TH!L1348,2)="15",LEFT(TH!M1348,2)="15"),TK!$E$7=TH!F1348),"x","")</f>
        <v/>
      </c>
      <c r="X1348" s="525" t="str">
        <f>IF(AND('341-CT'!$E$9=H1348,OR(LEFT(L1348,3)=$X$7,LEFT(M1348,3)=$X$7)),"x","")</f>
        <v/>
      </c>
      <c r="Y1348" s="525" t="str">
        <f>IF(OR(TH!L1348=TH!$Y$7,M1348=TH!$Y$7),"x","")</f>
        <v/>
      </c>
      <c r="Z1348" s="525" t="str">
        <f>IF(AND(B1348&lt;=NKC!$N$8,B1348&gt;=NKC!$M$8),"x","")</f>
        <v>x</v>
      </c>
      <c r="AA1348" s="535">
        <v>1</v>
      </c>
    </row>
    <row r="1349" spans="1:27" s="503" customFormat="1" ht="15.75" customHeight="1">
      <c r="A1349" s="517" t="str">
        <f>IF(B1349&lt;&gt;"",IF(AND(B1349&gt;=_TM1,B1349&lt;=_TM2,OR(TH!L1349="1111",TH!M1349="1111")),TH!D1349,""),"")</f>
        <v/>
      </c>
      <c r="B1349" s="531">
        <f t="shared" si="137"/>
        <v>1</v>
      </c>
      <c r="C1349" s="315">
        <f t="shared" si="138"/>
        <v>42757</v>
      </c>
      <c r="D1349" s="537" t="s">
        <v>963</v>
      </c>
      <c r="E1349" s="537">
        <v>42757</v>
      </c>
      <c r="F1349" s="249" t="s">
        <v>638</v>
      </c>
      <c r="G1349" s="314" t="s">
        <v>605</v>
      </c>
      <c r="H1349" s="473" t="s">
        <v>447</v>
      </c>
      <c r="I1349" s="307">
        <v>24</v>
      </c>
      <c r="J1349" s="307">
        <v>37089.08</v>
      </c>
      <c r="K1349" s="532">
        <f t="shared" si="140"/>
        <v>890138</v>
      </c>
      <c r="L1349" s="534" t="s">
        <v>292</v>
      </c>
      <c r="M1349" s="534" t="s">
        <v>8</v>
      </c>
      <c r="N1349" s="525" t="str">
        <f>IF(AND('331-CT'!$E$7=TH!H1349,OR(L1349="331",M1349="331")),"331",IF(AND(OR(L1349="131",M1349="131"),H1349='131-CT'!$E$7),"131",""))</f>
        <v/>
      </c>
      <c r="O1349" s="525" t="str">
        <f>IF(AND($B1349&gt;='111'!$N$11,$B1349&lt;='111'!$O$11,OR($L1349=$O$7,$M1349=$O$7)),"x","")</f>
        <v/>
      </c>
      <c r="P1349" s="525" t="str">
        <f>IF(AND($L1349=$O$7,$B1349&lt;'111'!$N$11),"x","")</f>
        <v/>
      </c>
      <c r="Q1349" s="525" t="str">
        <f>IF(AND($M1349=$O$7,$B1349&lt;'111'!$N$11),"x","")</f>
        <v/>
      </c>
      <c r="R1349" s="525" t="str">
        <f>IF(ISERROR(FIND('112'!$M$9,G1349,1)),"",IF((AND(FIND('112'!$M$9,G1349,1)&gt;=1,$B1349&gt;='112'!$N$8,$B1349&lt;='112'!$O$8,OR($L1349='112'!$I$6,$M1349='112'!$I$6))),"x",""))</f>
        <v/>
      </c>
      <c r="S1349" s="525" t="str">
        <f>IF(ISERROR(FIND('112'!$M$9,G1349,1)),"",IF((AND(LEFT(G1349,2)=LEFT('112'!$M$9,2),B1349&lt;'112'!$N$8,$L1349='112'!$I$6)),"x",""))</f>
        <v/>
      </c>
      <c r="T1349" s="525" t="str">
        <f>IF(ISERROR(FIND('112'!$M$9,G1349,1)),"",IF((AND(RIGHT(G1349,2)=RIGHT('112'!$M$9,2),B1349&lt;'112'!$N$8,$M1349='112'!$I$6)),"x",""))</f>
        <v/>
      </c>
      <c r="U1349" s="525" t="str">
        <f>IF(AND(B1349&gt;='IN-NX'!$P$3,B1349&lt;='IN-NX'!$Q$3,'IN-NX'!$D$7=D1349,OR(LEFT(L1349,2)="15",AND(LEFT(M1349,2)&lt;&gt;"15",LEFT(M1349,2)&lt;&gt;"33"))),"x","")</f>
        <v/>
      </c>
      <c r="V1349" s="525" t="str">
        <f>IF(AND(OR(LEFT(TH!L1349,2)="15",LEFT(TH!M1349,2)="15"),'152-CT'!$J$8=TH!F1349),"x","")</f>
        <v/>
      </c>
      <c r="W1349" s="525" t="str">
        <f>IF(AND(OR(LEFT(TH!L1349,2)="15",LEFT(TH!M1349,2)="15"),TK!$E$7=TH!F1349),"x","")</f>
        <v/>
      </c>
      <c r="X1349" s="525" t="str">
        <f>IF(AND('341-CT'!$E$9=H1349,OR(LEFT(L1349,3)=$X$7,LEFT(M1349,3)=$X$7)),"x","")</f>
        <v/>
      </c>
      <c r="Y1349" s="525" t="str">
        <f>IF(OR(TH!L1349=TH!$Y$7,M1349=TH!$Y$7),"x","")</f>
        <v/>
      </c>
      <c r="Z1349" s="525" t="str">
        <f>IF(AND(B1349&lt;=NKC!$N$8,B1349&gt;=NKC!$M$8),"x","")</f>
        <v>x</v>
      </c>
      <c r="AA1349" s="535">
        <v>1</v>
      </c>
    </row>
    <row r="1350" spans="1:27" s="503" customFormat="1" ht="15.75" customHeight="1">
      <c r="A1350" s="517" t="str">
        <f>IF(B1350&lt;&gt;"",IF(AND(B1350&gt;=_TM1,B1350&lt;=_TM2,OR(TH!L1350="1111",TH!M1350="1111")),TH!D1350,""),"")</f>
        <v/>
      </c>
      <c r="B1350" s="531">
        <f t="shared" si="137"/>
        <v>1</v>
      </c>
      <c r="C1350" s="315">
        <f t="shared" si="138"/>
        <v>42757</v>
      </c>
      <c r="D1350" s="537" t="s">
        <v>963</v>
      </c>
      <c r="E1350" s="537">
        <v>42757</v>
      </c>
      <c r="F1350" s="249" t="s">
        <v>639</v>
      </c>
      <c r="G1350" s="314" t="s">
        <v>605</v>
      </c>
      <c r="H1350" s="473" t="s">
        <v>447</v>
      </c>
      <c r="I1350" s="307">
        <v>6</v>
      </c>
      <c r="J1350" s="307">
        <v>114450</v>
      </c>
      <c r="K1350" s="532">
        <f t="shared" si="140"/>
        <v>686700</v>
      </c>
      <c r="L1350" s="534" t="s">
        <v>292</v>
      </c>
      <c r="M1350" s="534" t="s">
        <v>8</v>
      </c>
      <c r="N1350" s="525" t="str">
        <f>IF(AND('331-CT'!$E$7=TH!H1350,OR(L1350="331",M1350="331")),"331",IF(AND(OR(L1350="131",M1350="131"),H1350='131-CT'!$E$7),"131",""))</f>
        <v/>
      </c>
      <c r="O1350" s="525" t="str">
        <f>IF(AND($B1350&gt;='111'!$N$11,$B1350&lt;='111'!$O$11,OR($L1350=$O$7,$M1350=$O$7)),"x","")</f>
        <v/>
      </c>
      <c r="P1350" s="525" t="str">
        <f>IF(AND($L1350=$O$7,$B1350&lt;'111'!$N$11),"x","")</f>
        <v/>
      </c>
      <c r="Q1350" s="525" t="str">
        <f>IF(AND($M1350=$O$7,$B1350&lt;'111'!$N$11),"x","")</f>
        <v/>
      </c>
      <c r="R1350" s="525" t="str">
        <f>IF(ISERROR(FIND('112'!$M$9,G1350,1)),"",IF((AND(FIND('112'!$M$9,G1350,1)&gt;=1,$B1350&gt;='112'!$N$8,$B1350&lt;='112'!$O$8,OR($L1350='112'!$I$6,$M1350='112'!$I$6))),"x",""))</f>
        <v/>
      </c>
      <c r="S1350" s="525" t="str">
        <f>IF(ISERROR(FIND('112'!$M$9,G1350,1)),"",IF((AND(LEFT(G1350,2)=LEFT('112'!$M$9,2),B1350&lt;'112'!$N$8,$L1350='112'!$I$6)),"x",""))</f>
        <v/>
      </c>
      <c r="T1350" s="525" t="str">
        <f>IF(ISERROR(FIND('112'!$M$9,G1350,1)),"",IF((AND(RIGHT(G1350,2)=RIGHT('112'!$M$9,2),B1350&lt;'112'!$N$8,$M1350='112'!$I$6)),"x",""))</f>
        <v/>
      </c>
      <c r="U1350" s="525" t="str">
        <f>IF(AND(B1350&gt;='IN-NX'!$P$3,B1350&lt;='IN-NX'!$Q$3,'IN-NX'!$D$7=D1350,OR(LEFT(L1350,2)="15",AND(LEFT(M1350,2)&lt;&gt;"15",LEFT(M1350,2)&lt;&gt;"33"))),"x","")</f>
        <v/>
      </c>
      <c r="V1350" s="525" t="str">
        <f>IF(AND(OR(LEFT(TH!L1350,2)="15",LEFT(TH!M1350,2)="15"),'152-CT'!$J$8=TH!F1350),"x","")</f>
        <v/>
      </c>
      <c r="W1350" s="525" t="str">
        <f>IF(AND(OR(LEFT(TH!L1350,2)="15",LEFT(TH!M1350,2)="15"),TK!$E$7=TH!F1350),"x","")</f>
        <v/>
      </c>
      <c r="X1350" s="525" t="str">
        <f>IF(AND('341-CT'!$E$9=H1350,OR(LEFT(L1350,3)=$X$7,LEFT(M1350,3)=$X$7)),"x","")</f>
        <v/>
      </c>
      <c r="Y1350" s="525" t="str">
        <f>IF(OR(TH!L1350=TH!$Y$7,M1350=TH!$Y$7),"x","")</f>
        <v/>
      </c>
      <c r="Z1350" s="525" t="str">
        <f>IF(AND(B1350&lt;=NKC!$N$8,B1350&gt;=NKC!$M$8),"x","")</f>
        <v>x</v>
      </c>
      <c r="AA1350" s="535">
        <v>1</v>
      </c>
    </row>
    <row r="1351" spans="1:27" s="503" customFormat="1" ht="15.75" customHeight="1">
      <c r="A1351" s="517" t="str">
        <f>IF(B1351&lt;&gt;"",IF(AND(B1351&gt;=_TM1,B1351&lt;=_TM2,OR(TH!L1351="1111",TH!M1351="1111")),TH!D1351,""),"")</f>
        <v/>
      </c>
      <c r="B1351" s="531">
        <f t="shared" si="137"/>
        <v>1</v>
      </c>
      <c r="C1351" s="315">
        <f t="shared" si="138"/>
        <v>42757</v>
      </c>
      <c r="D1351" s="537" t="s">
        <v>963</v>
      </c>
      <c r="E1351" s="537">
        <v>42757</v>
      </c>
      <c r="F1351" s="249" t="s">
        <v>640</v>
      </c>
      <c r="G1351" s="314" t="s">
        <v>605</v>
      </c>
      <c r="H1351" s="473" t="s">
        <v>447</v>
      </c>
      <c r="I1351" s="307">
        <v>6</v>
      </c>
      <c r="J1351" s="307">
        <v>118540.8</v>
      </c>
      <c r="K1351" s="532">
        <f t="shared" si="140"/>
        <v>711245</v>
      </c>
      <c r="L1351" s="534" t="s">
        <v>292</v>
      </c>
      <c r="M1351" s="534" t="s">
        <v>8</v>
      </c>
      <c r="N1351" s="525" t="str">
        <f>IF(AND('331-CT'!$E$7=TH!H1351,OR(L1351="331",M1351="331")),"331",IF(AND(OR(L1351="131",M1351="131"),H1351='131-CT'!$E$7),"131",""))</f>
        <v/>
      </c>
      <c r="O1351" s="525" t="str">
        <f>IF(AND($B1351&gt;='111'!$N$11,$B1351&lt;='111'!$O$11,OR($L1351=$O$7,$M1351=$O$7)),"x","")</f>
        <v/>
      </c>
      <c r="P1351" s="525" t="str">
        <f>IF(AND($L1351=$O$7,$B1351&lt;'111'!$N$11),"x","")</f>
        <v/>
      </c>
      <c r="Q1351" s="525" t="str">
        <f>IF(AND($M1351=$O$7,$B1351&lt;'111'!$N$11),"x","")</f>
        <v/>
      </c>
      <c r="R1351" s="525" t="str">
        <f>IF(ISERROR(FIND('112'!$M$9,G1351,1)),"",IF((AND(FIND('112'!$M$9,G1351,1)&gt;=1,$B1351&gt;='112'!$N$8,$B1351&lt;='112'!$O$8,OR($L1351='112'!$I$6,$M1351='112'!$I$6))),"x",""))</f>
        <v/>
      </c>
      <c r="S1351" s="525" t="str">
        <f>IF(ISERROR(FIND('112'!$M$9,G1351,1)),"",IF((AND(LEFT(G1351,2)=LEFT('112'!$M$9,2),B1351&lt;'112'!$N$8,$L1351='112'!$I$6)),"x",""))</f>
        <v/>
      </c>
      <c r="T1351" s="525" t="str">
        <f>IF(ISERROR(FIND('112'!$M$9,G1351,1)),"",IF((AND(RIGHT(G1351,2)=RIGHT('112'!$M$9,2),B1351&lt;'112'!$N$8,$M1351='112'!$I$6)),"x",""))</f>
        <v/>
      </c>
      <c r="U1351" s="525" t="str">
        <f>IF(AND(B1351&gt;='IN-NX'!$P$3,B1351&lt;='IN-NX'!$Q$3,'IN-NX'!$D$7=D1351,OR(LEFT(L1351,2)="15",AND(LEFT(M1351,2)&lt;&gt;"15",LEFT(M1351,2)&lt;&gt;"33"))),"x","")</f>
        <v/>
      </c>
      <c r="V1351" s="525" t="str">
        <f>IF(AND(OR(LEFT(TH!L1351,2)="15",LEFT(TH!M1351,2)="15"),'152-CT'!$J$8=TH!F1351),"x","")</f>
        <v/>
      </c>
      <c r="W1351" s="525" t="str">
        <f>IF(AND(OR(LEFT(TH!L1351,2)="15",LEFT(TH!M1351,2)="15"),TK!$E$7=TH!F1351),"x","")</f>
        <v/>
      </c>
      <c r="X1351" s="525" t="str">
        <f>IF(AND('341-CT'!$E$9=H1351,OR(LEFT(L1351,3)=$X$7,LEFT(M1351,3)=$X$7)),"x","")</f>
        <v/>
      </c>
      <c r="Y1351" s="525" t="str">
        <f>IF(OR(TH!L1351=TH!$Y$7,M1351=TH!$Y$7),"x","")</f>
        <v/>
      </c>
      <c r="Z1351" s="525" t="str">
        <f>IF(AND(B1351&lt;=NKC!$N$8,B1351&gt;=NKC!$M$8),"x","")</f>
        <v>x</v>
      </c>
      <c r="AA1351" s="535">
        <v>1</v>
      </c>
    </row>
    <row r="1352" spans="1:27" s="503" customFormat="1" ht="15.75" customHeight="1">
      <c r="A1352" s="517" t="str">
        <f>IF(B1352&lt;&gt;"",IF(AND(B1352&gt;=_TM1,B1352&lt;=_TM2,OR(TH!L1352="1111",TH!M1352="1111")),TH!D1352,""),"")</f>
        <v/>
      </c>
      <c r="B1352" s="531">
        <f t="shared" si="137"/>
        <v>1</v>
      </c>
      <c r="C1352" s="315">
        <f t="shared" si="138"/>
        <v>42757</v>
      </c>
      <c r="D1352" s="537" t="s">
        <v>963</v>
      </c>
      <c r="E1352" s="537">
        <v>42757</v>
      </c>
      <c r="F1352" s="249" t="s">
        <v>641</v>
      </c>
      <c r="G1352" s="314" t="s">
        <v>605</v>
      </c>
      <c r="H1352" s="473" t="s">
        <v>447</v>
      </c>
      <c r="I1352" s="307">
        <v>6</v>
      </c>
      <c r="J1352" s="307">
        <v>48174</v>
      </c>
      <c r="K1352" s="532">
        <f t="shared" si="140"/>
        <v>289044</v>
      </c>
      <c r="L1352" s="534" t="s">
        <v>292</v>
      </c>
      <c r="M1352" s="534" t="s">
        <v>8</v>
      </c>
      <c r="N1352" s="525" t="str">
        <f>IF(AND('331-CT'!$E$7=TH!H1352,OR(L1352="331",M1352="331")),"331",IF(AND(OR(L1352="131",M1352="131"),H1352='131-CT'!$E$7),"131",""))</f>
        <v/>
      </c>
      <c r="O1352" s="525" t="str">
        <f>IF(AND($B1352&gt;='111'!$N$11,$B1352&lt;='111'!$O$11,OR($L1352=$O$7,$M1352=$O$7)),"x","")</f>
        <v/>
      </c>
      <c r="P1352" s="525" t="str">
        <f>IF(AND($L1352=$O$7,$B1352&lt;'111'!$N$11),"x","")</f>
        <v/>
      </c>
      <c r="Q1352" s="525" t="str">
        <f>IF(AND($M1352=$O$7,$B1352&lt;'111'!$N$11),"x","")</f>
        <v/>
      </c>
      <c r="R1352" s="525" t="str">
        <f>IF(ISERROR(FIND('112'!$M$9,G1352,1)),"",IF((AND(FIND('112'!$M$9,G1352,1)&gt;=1,$B1352&gt;='112'!$N$8,$B1352&lt;='112'!$O$8,OR($L1352='112'!$I$6,$M1352='112'!$I$6))),"x",""))</f>
        <v/>
      </c>
      <c r="S1352" s="525" t="str">
        <f>IF(ISERROR(FIND('112'!$M$9,G1352,1)),"",IF((AND(LEFT(G1352,2)=LEFT('112'!$M$9,2),B1352&lt;'112'!$N$8,$L1352='112'!$I$6)),"x",""))</f>
        <v/>
      </c>
      <c r="T1352" s="525" t="str">
        <f>IF(ISERROR(FIND('112'!$M$9,G1352,1)),"",IF((AND(RIGHT(G1352,2)=RIGHT('112'!$M$9,2),B1352&lt;'112'!$N$8,$M1352='112'!$I$6)),"x",""))</f>
        <v/>
      </c>
      <c r="U1352" s="525" t="str">
        <f>IF(AND(B1352&gt;='IN-NX'!$P$3,B1352&lt;='IN-NX'!$Q$3,'IN-NX'!$D$7=D1352,OR(LEFT(L1352,2)="15",AND(LEFT(M1352,2)&lt;&gt;"15",LEFT(M1352,2)&lt;&gt;"33"))),"x","")</f>
        <v/>
      </c>
      <c r="V1352" s="525" t="str">
        <f>IF(AND(OR(LEFT(TH!L1352,2)="15",LEFT(TH!M1352,2)="15"),'152-CT'!$J$8=TH!F1352),"x","")</f>
        <v/>
      </c>
      <c r="W1352" s="525" t="str">
        <f>IF(AND(OR(LEFT(TH!L1352,2)="15",LEFT(TH!M1352,2)="15"),TK!$E$7=TH!F1352),"x","")</f>
        <v/>
      </c>
      <c r="X1352" s="525" t="str">
        <f>IF(AND('341-CT'!$E$9=H1352,OR(LEFT(L1352,3)=$X$7,LEFT(M1352,3)=$X$7)),"x","")</f>
        <v/>
      </c>
      <c r="Y1352" s="525" t="str">
        <f>IF(OR(TH!L1352=TH!$Y$7,M1352=TH!$Y$7),"x","")</f>
        <v/>
      </c>
      <c r="Z1352" s="525" t="str">
        <f>IF(AND(B1352&lt;=NKC!$N$8,B1352&gt;=NKC!$M$8),"x","")</f>
        <v>x</v>
      </c>
      <c r="AA1352" s="535">
        <v>1</v>
      </c>
    </row>
    <row r="1353" spans="1:27" s="503" customFormat="1" ht="15.75" customHeight="1">
      <c r="A1353" s="517" t="str">
        <f>IF(B1353&lt;&gt;"",IF(AND(B1353&gt;=_TM1,B1353&lt;=_TM2,OR(TH!L1353="1111",TH!M1353="1111")),TH!D1353,""),"")</f>
        <v/>
      </c>
      <c r="B1353" s="531">
        <f t="shared" si="137"/>
        <v>1</v>
      </c>
      <c r="C1353" s="315">
        <f t="shared" si="138"/>
        <v>42757</v>
      </c>
      <c r="D1353" s="537" t="s">
        <v>963</v>
      </c>
      <c r="E1353" s="537">
        <v>42757</v>
      </c>
      <c r="F1353" s="249" t="s">
        <v>642</v>
      </c>
      <c r="G1353" s="314" t="s">
        <v>605</v>
      </c>
      <c r="H1353" s="473" t="s">
        <v>447</v>
      </c>
      <c r="I1353" s="307">
        <v>65</v>
      </c>
      <c r="J1353" s="307">
        <v>19431</v>
      </c>
      <c r="K1353" s="532">
        <f t="shared" ref="K1353:K1384" si="141">ROUND(I1353*J1353,0)</f>
        <v>1263015</v>
      </c>
      <c r="L1353" s="534" t="s">
        <v>292</v>
      </c>
      <c r="M1353" s="534" t="s">
        <v>8</v>
      </c>
      <c r="N1353" s="525" t="str">
        <f>IF(AND('331-CT'!$E$7=TH!H1353,OR(L1353="331",M1353="331")),"331",IF(AND(OR(L1353="131",M1353="131"),H1353='131-CT'!$E$7),"131",""))</f>
        <v/>
      </c>
      <c r="O1353" s="525" t="str">
        <f>IF(AND($B1353&gt;='111'!$N$11,$B1353&lt;='111'!$O$11,OR($L1353=$O$7,$M1353=$O$7)),"x","")</f>
        <v/>
      </c>
      <c r="P1353" s="525" t="str">
        <f>IF(AND($L1353=$O$7,$B1353&lt;'111'!$N$11),"x","")</f>
        <v/>
      </c>
      <c r="Q1353" s="525" t="str">
        <f>IF(AND($M1353=$O$7,$B1353&lt;'111'!$N$11),"x","")</f>
        <v/>
      </c>
      <c r="R1353" s="525" t="str">
        <f>IF(ISERROR(FIND('112'!$M$9,G1353,1)),"",IF((AND(FIND('112'!$M$9,G1353,1)&gt;=1,$B1353&gt;='112'!$N$8,$B1353&lt;='112'!$O$8,OR($L1353='112'!$I$6,$M1353='112'!$I$6))),"x",""))</f>
        <v/>
      </c>
      <c r="S1353" s="525" t="str">
        <f>IF(ISERROR(FIND('112'!$M$9,G1353,1)),"",IF((AND(LEFT(G1353,2)=LEFT('112'!$M$9,2),B1353&lt;'112'!$N$8,$L1353='112'!$I$6)),"x",""))</f>
        <v/>
      </c>
      <c r="T1353" s="525" t="str">
        <f>IF(ISERROR(FIND('112'!$M$9,G1353,1)),"",IF((AND(RIGHT(G1353,2)=RIGHT('112'!$M$9,2),B1353&lt;'112'!$N$8,$M1353='112'!$I$6)),"x",""))</f>
        <v/>
      </c>
      <c r="U1353" s="525" t="str">
        <f>IF(AND(B1353&gt;='IN-NX'!$P$3,B1353&lt;='IN-NX'!$Q$3,'IN-NX'!$D$7=D1353,OR(LEFT(L1353,2)="15",AND(LEFT(M1353,2)&lt;&gt;"15",LEFT(M1353,2)&lt;&gt;"33"))),"x","")</f>
        <v/>
      </c>
      <c r="V1353" s="525" t="str">
        <f>IF(AND(OR(LEFT(TH!L1353,2)="15",LEFT(TH!M1353,2)="15"),'152-CT'!$J$8=TH!F1353),"x","")</f>
        <v/>
      </c>
      <c r="W1353" s="525" t="str">
        <f>IF(AND(OR(LEFT(TH!L1353,2)="15",LEFT(TH!M1353,2)="15"),TK!$E$7=TH!F1353),"x","")</f>
        <v/>
      </c>
      <c r="X1353" s="525" t="str">
        <f>IF(AND('341-CT'!$E$9=H1353,OR(LEFT(L1353,3)=$X$7,LEFT(M1353,3)=$X$7)),"x","")</f>
        <v/>
      </c>
      <c r="Y1353" s="525" t="str">
        <f>IF(OR(TH!L1353=TH!$Y$7,M1353=TH!$Y$7),"x","")</f>
        <v/>
      </c>
      <c r="Z1353" s="525" t="str">
        <f>IF(AND(B1353&lt;=NKC!$N$8,B1353&gt;=NKC!$M$8),"x","")</f>
        <v>x</v>
      </c>
      <c r="AA1353" s="535">
        <v>1</v>
      </c>
    </row>
    <row r="1354" spans="1:27" s="503" customFormat="1" ht="15.75" customHeight="1">
      <c r="A1354" s="517" t="str">
        <f>IF(B1354&lt;&gt;"",IF(AND(B1354&gt;=_TM1,B1354&lt;=_TM2,OR(TH!L1354="1111",TH!M1354="1111")),TH!D1354,""),"")</f>
        <v/>
      </c>
      <c r="B1354" s="531">
        <f t="shared" si="137"/>
        <v>1</v>
      </c>
      <c r="C1354" s="315">
        <f t="shared" si="138"/>
        <v>42757</v>
      </c>
      <c r="D1354" s="537" t="s">
        <v>963</v>
      </c>
      <c r="E1354" s="537">
        <v>42757</v>
      </c>
      <c r="F1354" s="249" t="s">
        <v>643</v>
      </c>
      <c r="G1354" s="314" t="s">
        <v>605</v>
      </c>
      <c r="H1354" s="473" t="s">
        <v>447</v>
      </c>
      <c r="I1354" s="307">
        <v>22</v>
      </c>
      <c r="J1354" s="307">
        <v>88297.920000000013</v>
      </c>
      <c r="K1354" s="532">
        <f t="shared" si="141"/>
        <v>1942554</v>
      </c>
      <c r="L1354" s="534" t="s">
        <v>292</v>
      </c>
      <c r="M1354" s="534" t="s">
        <v>8</v>
      </c>
      <c r="N1354" s="525" t="str">
        <f>IF(AND('331-CT'!$E$7=TH!H1354,OR(L1354="331",M1354="331")),"331",IF(AND(OR(L1354="131",M1354="131"),H1354='131-CT'!$E$7),"131",""))</f>
        <v/>
      </c>
      <c r="O1354" s="525" t="str">
        <f>IF(AND($B1354&gt;='111'!$N$11,$B1354&lt;='111'!$O$11,OR($L1354=$O$7,$M1354=$O$7)),"x","")</f>
        <v/>
      </c>
      <c r="P1354" s="525" t="str">
        <f>IF(AND($L1354=$O$7,$B1354&lt;'111'!$N$11),"x","")</f>
        <v/>
      </c>
      <c r="Q1354" s="525" t="str">
        <f>IF(AND($M1354=$O$7,$B1354&lt;'111'!$N$11),"x","")</f>
        <v/>
      </c>
      <c r="R1354" s="525" t="str">
        <f>IF(ISERROR(FIND('112'!$M$9,G1354,1)),"",IF((AND(FIND('112'!$M$9,G1354,1)&gt;=1,$B1354&gt;='112'!$N$8,$B1354&lt;='112'!$O$8,OR($L1354='112'!$I$6,$M1354='112'!$I$6))),"x",""))</f>
        <v/>
      </c>
      <c r="S1354" s="525" t="str">
        <f>IF(ISERROR(FIND('112'!$M$9,G1354,1)),"",IF((AND(LEFT(G1354,2)=LEFT('112'!$M$9,2),B1354&lt;'112'!$N$8,$L1354='112'!$I$6)),"x",""))</f>
        <v/>
      </c>
      <c r="T1354" s="525" t="str">
        <f>IF(ISERROR(FIND('112'!$M$9,G1354,1)),"",IF((AND(RIGHT(G1354,2)=RIGHT('112'!$M$9,2),B1354&lt;'112'!$N$8,$M1354='112'!$I$6)),"x",""))</f>
        <v/>
      </c>
      <c r="U1354" s="525" t="str">
        <f>IF(AND(B1354&gt;='IN-NX'!$P$3,B1354&lt;='IN-NX'!$Q$3,'IN-NX'!$D$7=D1354,OR(LEFT(L1354,2)="15",AND(LEFT(M1354,2)&lt;&gt;"15",LEFT(M1354,2)&lt;&gt;"33"))),"x","")</f>
        <v/>
      </c>
      <c r="V1354" s="525" t="str">
        <f>IF(AND(OR(LEFT(TH!L1354,2)="15",LEFT(TH!M1354,2)="15"),'152-CT'!$J$8=TH!F1354),"x","")</f>
        <v/>
      </c>
      <c r="W1354" s="525" t="str">
        <f>IF(AND(OR(LEFT(TH!L1354,2)="15",LEFT(TH!M1354,2)="15"),TK!$E$7=TH!F1354),"x","")</f>
        <v/>
      </c>
      <c r="X1354" s="525" t="str">
        <f>IF(AND('341-CT'!$E$9=H1354,OR(LEFT(L1354,3)=$X$7,LEFT(M1354,3)=$X$7)),"x","")</f>
        <v/>
      </c>
      <c r="Y1354" s="525" t="str">
        <f>IF(OR(TH!L1354=TH!$Y$7,M1354=TH!$Y$7),"x","")</f>
        <v/>
      </c>
      <c r="Z1354" s="525" t="str">
        <f>IF(AND(B1354&lt;=NKC!$N$8,B1354&gt;=NKC!$M$8),"x","")</f>
        <v>x</v>
      </c>
      <c r="AA1354" s="535">
        <v>1</v>
      </c>
    </row>
    <row r="1355" spans="1:27" s="503" customFormat="1" ht="15.75" customHeight="1">
      <c r="A1355" s="517" t="str">
        <f>IF(B1355&lt;&gt;"",IF(AND(B1355&gt;=_TM1,B1355&lt;=_TM2,OR(TH!L1355="1111",TH!M1355="1111")),TH!D1355,""),"")</f>
        <v/>
      </c>
      <c r="B1355" s="531">
        <f t="shared" si="137"/>
        <v>1</v>
      </c>
      <c r="C1355" s="315">
        <f t="shared" si="138"/>
        <v>42757</v>
      </c>
      <c r="D1355" s="537" t="s">
        <v>963</v>
      </c>
      <c r="E1355" s="537">
        <v>42757</v>
      </c>
      <c r="F1355" s="249" t="s">
        <v>644</v>
      </c>
      <c r="G1355" s="314" t="s">
        <v>605</v>
      </c>
      <c r="H1355" s="473" t="s">
        <v>447</v>
      </c>
      <c r="I1355" s="307">
        <v>12</v>
      </c>
      <c r="J1355" s="307">
        <v>62407.80000000001</v>
      </c>
      <c r="K1355" s="532">
        <f t="shared" si="141"/>
        <v>748894</v>
      </c>
      <c r="L1355" s="534" t="s">
        <v>292</v>
      </c>
      <c r="M1355" s="534" t="s">
        <v>8</v>
      </c>
      <c r="N1355" s="525" t="str">
        <f>IF(AND('331-CT'!$E$7=TH!H1355,OR(L1355="331",M1355="331")),"331",IF(AND(OR(L1355="131",M1355="131"),H1355='131-CT'!$E$7),"131",""))</f>
        <v/>
      </c>
      <c r="O1355" s="525" t="str">
        <f>IF(AND($B1355&gt;='111'!$N$11,$B1355&lt;='111'!$O$11,OR($L1355=$O$7,$M1355=$O$7)),"x","")</f>
        <v/>
      </c>
      <c r="P1355" s="525" t="str">
        <f>IF(AND($L1355=$O$7,$B1355&lt;'111'!$N$11),"x","")</f>
        <v/>
      </c>
      <c r="Q1355" s="525" t="str">
        <f>IF(AND($M1355=$O$7,$B1355&lt;'111'!$N$11),"x","")</f>
        <v/>
      </c>
      <c r="R1355" s="525" t="str">
        <f>IF(ISERROR(FIND('112'!$M$9,G1355,1)),"",IF((AND(FIND('112'!$M$9,G1355,1)&gt;=1,$B1355&gt;='112'!$N$8,$B1355&lt;='112'!$O$8,OR($L1355='112'!$I$6,$M1355='112'!$I$6))),"x",""))</f>
        <v/>
      </c>
      <c r="S1355" s="525" t="str">
        <f>IF(ISERROR(FIND('112'!$M$9,G1355,1)),"",IF((AND(LEFT(G1355,2)=LEFT('112'!$M$9,2),B1355&lt;'112'!$N$8,$L1355='112'!$I$6)),"x",""))</f>
        <v/>
      </c>
      <c r="T1355" s="525" t="str">
        <f>IF(ISERROR(FIND('112'!$M$9,G1355,1)),"",IF((AND(RIGHT(G1355,2)=RIGHT('112'!$M$9,2),B1355&lt;'112'!$N$8,$M1355='112'!$I$6)),"x",""))</f>
        <v/>
      </c>
      <c r="U1355" s="525" t="str">
        <f>IF(AND(B1355&gt;='IN-NX'!$P$3,B1355&lt;='IN-NX'!$Q$3,'IN-NX'!$D$7=D1355,OR(LEFT(L1355,2)="15",AND(LEFT(M1355,2)&lt;&gt;"15",LEFT(M1355,2)&lt;&gt;"33"))),"x","")</f>
        <v/>
      </c>
      <c r="V1355" s="525" t="str">
        <f>IF(AND(OR(LEFT(TH!L1355,2)="15",LEFT(TH!M1355,2)="15"),'152-CT'!$J$8=TH!F1355),"x","")</f>
        <v/>
      </c>
      <c r="W1355" s="525" t="str">
        <f>IF(AND(OR(LEFT(TH!L1355,2)="15",LEFT(TH!M1355,2)="15"),TK!$E$7=TH!F1355),"x","")</f>
        <v/>
      </c>
      <c r="X1355" s="525" t="str">
        <f>IF(AND('341-CT'!$E$9=H1355,OR(LEFT(L1355,3)=$X$7,LEFT(M1355,3)=$X$7)),"x","")</f>
        <v/>
      </c>
      <c r="Y1355" s="525" t="str">
        <f>IF(OR(TH!L1355=TH!$Y$7,M1355=TH!$Y$7),"x","")</f>
        <v/>
      </c>
      <c r="Z1355" s="525" t="str">
        <f>IF(AND(B1355&lt;=NKC!$N$8,B1355&gt;=NKC!$M$8),"x","")</f>
        <v>x</v>
      </c>
      <c r="AA1355" s="535">
        <v>1</v>
      </c>
    </row>
    <row r="1356" spans="1:27" s="503" customFormat="1" ht="15.75" customHeight="1">
      <c r="A1356" s="517" t="str">
        <f>IF(B1356&lt;&gt;"",IF(AND(B1356&gt;=_TM1,B1356&lt;=_TM2,OR(TH!L1356="1111",TH!M1356="1111")),TH!D1356,""),"")</f>
        <v/>
      </c>
      <c r="B1356" s="531">
        <f t="shared" si="137"/>
        <v>1</v>
      </c>
      <c r="C1356" s="315">
        <f t="shared" si="138"/>
        <v>42757</v>
      </c>
      <c r="D1356" s="537" t="s">
        <v>963</v>
      </c>
      <c r="E1356" s="537">
        <v>42757</v>
      </c>
      <c r="F1356" s="249" t="s">
        <v>645</v>
      </c>
      <c r="G1356" s="314" t="s">
        <v>605</v>
      </c>
      <c r="H1356" s="473" t="s">
        <v>447</v>
      </c>
      <c r="I1356" s="307">
        <v>12</v>
      </c>
      <c r="J1356" s="307">
        <v>147063</v>
      </c>
      <c r="K1356" s="532">
        <f t="shared" si="141"/>
        <v>1764756</v>
      </c>
      <c r="L1356" s="534" t="s">
        <v>292</v>
      </c>
      <c r="M1356" s="534" t="s">
        <v>8</v>
      </c>
      <c r="N1356" s="525" t="str">
        <f>IF(AND('331-CT'!$E$7=TH!H1356,OR(L1356="331",M1356="331")),"331",IF(AND(OR(L1356="131",M1356="131"),H1356='131-CT'!$E$7),"131",""))</f>
        <v/>
      </c>
      <c r="O1356" s="525" t="str">
        <f>IF(AND($B1356&gt;='111'!$N$11,$B1356&lt;='111'!$O$11,OR($L1356=$O$7,$M1356=$O$7)),"x","")</f>
        <v/>
      </c>
      <c r="P1356" s="525" t="str">
        <f>IF(AND($L1356=$O$7,$B1356&lt;'111'!$N$11),"x","")</f>
        <v/>
      </c>
      <c r="Q1356" s="525" t="str">
        <f>IF(AND($M1356=$O$7,$B1356&lt;'111'!$N$11),"x","")</f>
        <v/>
      </c>
      <c r="R1356" s="525" t="str">
        <f>IF(ISERROR(FIND('112'!$M$9,G1356,1)),"",IF((AND(FIND('112'!$M$9,G1356,1)&gt;=1,$B1356&gt;='112'!$N$8,$B1356&lt;='112'!$O$8,OR($L1356='112'!$I$6,$M1356='112'!$I$6))),"x",""))</f>
        <v/>
      </c>
      <c r="S1356" s="525" t="str">
        <f>IF(ISERROR(FIND('112'!$M$9,G1356,1)),"",IF((AND(LEFT(G1356,2)=LEFT('112'!$M$9,2),B1356&lt;'112'!$N$8,$L1356='112'!$I$6)),"x",""))</f>
        <v/>
      </c>
      <c r="T1356" s="525" t="str">
        <f>IF(ISERROR(FIND('112'!$M$9,G1356,1)),"",IF((AND(RIGHT(G1356,2)=RIGHT('112'!$M$9,2),B1356&lt;'112'!$N$8,$M1356='112'!$I$6)),"x",""))</f>
        <v/>
      </c>
      <c r="U1356" s="525" t="str">
        <f>IF(AND(B1356&gt;='IN-NX'!$P$3,B1356&lt;='IN-NX'!$Q$3,'IN-NX'!$D$7=D1356,OR(LEFT(L1356,2)="15",AND(LEFT(M1356,2)&lt;&gt;"15",LEFT(M1356,2)&lt;&gt;"33"))),"x","")</f>
        <v/>
      </c>
      <c r="V1356" s="525" t="str">
        <f>IF(AND(OR(LEFT(TH!L1356,2)="15",LEFT(TH!M1356,2)="15"),'152-CT'!$J$8=TH!F1356),"x","")</f>
        <v/>
      </c>
      <c r="W1356" s="525" t="str">
        <f>IF(AND(OR(LEFT(TH!L1356,2)="15",LEFT(TH!M1356,2)="15"),TK!$E$7=TH!F1356),"x","")</f>
        <v/>
      </c>
      <c r="X1356" s="525" t="str">
        <f>IF(AND('341-CT'!$E$9=H1356,OR(LEFT(L1356,3)=$X$7,LEFT(M1356,3)=$X$7)),"x","")</f>
        <v/>
      </c>
      <c r="Y1356" s="525" t="str">
        <f>IF(OR(TH!L1356=TH!$Y$7,M1356=TH!$Y$7),"x","")</f>
        <v/>
      </c>
      <c r="Z1356" s="525" t="str">
        <f>IF(AND(B1356&lt;=NKC!$N$8,B1356&gt;=NKC!$M$8),"x","")</f>
        <v>x</v>
      </c>
      <c r="AA1356" s="535">
        <v>1</v>
      </c>
    </row>
    <row r="1357" spans="1:27" s="503" customFormat="1" ht="15.75" customHeight="1">
      <c r="A1357" s="517" t="str">
        <f>IF(B1357&lt;&gt;"",IF(AND(B1357&gt;=_TM1,B1357&lt;=_TM2,OR(TH!L1357="1111",TH!M1357="1111")),TH!D1357,""),"")</f>
        <v/>
      </c>
      <c r="B1357" s="531">
        <f t="shared" si="137"/>
        <v>1</v>
      </c>
      <c r="C1357" s="315">
        <f t="shared" si="138"/>
        <v>42757</v>
      </c>
      <c r="D1357" s="537" t="s">
        <v>964</v>
      </c>
      <c r="E1357" s="537">
        <v>42757</v>
      </c>
      <c r="F1357" s="249" t="s">
        <v>646</v>
      </c>
      <c r="G1357" s="314" t="s">
        <v>605</v>
      </c>
      <c r="H1357" s="473" t="s">
        <v>447</v>
      </c>
      <c r="I1357" s="307">
        <v>12</v>
      </c>
      <c r="J1357" s="307">
        <v>46851.000000000007</v>
      </c>
      <c r="K1357" s="532">
        <f t="shared" si="141"/>
        <v>562212</v>
      </c>
      <c r="L1357" s="534" t="s">
        <v>292</v>
      </c>
      <c r="M1357" s="534" t="s">
        <v>8</v>
      </c>
      <c r="N1357" s="525" t="str">
        <f>IF(AND('331-CT'!$E$7=TH!H1357,OR(L1357="331",M1357="331")),"331",IF(AND(OR(L1357="131",M1357="131"),H1357='131-CT'!$E$7),"131",""))</f>
        <v/>
      </c>
      <c r="O1357" s="525" t="str">
        <f>IF(AND($B1357&gt;='111'!$N$11,$B1357&lt;='111'!$O$11,OR($L1357=$O$7,$M1357=$O$7)),"x","")</f>
        <v/>
      </c>
      <c r="P1357" s="525" t="str">
        <f>IF(AND($L1357=$O$7,$B1357&lt;'111'!$N$11),"x","")</f>
        <v/>
      </c>
      <c r="Q1357" s="525" t="str">
        <f>IF(AND($M1357=$O$7,$B1357&lt;'111'!$N$11),"x","")</f>
        <v/>
      </c>
      <c r="R1357" s="525" t="str">
        <f>IF(ISERROR(FIND('112'!$M$9,G1357,1)),"",IF((AND(FIND('112'!$M$9,G1357,1)&gt;=1,$B1357&gt;='112'!$N$8,$B1357&lt;='112'!$O$8,OR($L1357='112'!$I$6,$M1357='112'!$I$6))),"x",""))</f>
        <v/>
      </c>
      <c r="S1357" s="525" t="str">
        <f>IF(ISERROR(FIND('112'!$M$9,G1357,1)),"",IF((AND(LEFT(G1357,2)=LEFT('112'!$M$9,2),B1357&lt;'112'!$N$8,$L1357='112'!$I$6)),"x",""))</f>
        <v/>
      </c>
      <c r="T1357" s="525" t="str">
        <f>IF(ISERROR(FIND('112'!$M$9,G1357,1)),"",IF((AND(RIGHT(G1357,2)=RIGHT('112'!$M$9,2),B1357&lt;'112'!$N$8,$M1357='112'!$I$6)),"x",""))</f>
        <v/>
      </c>
      <c r="U1357" s="525" t="str">
        <f>IF(AND(B1357&gt;='IN-NX'!$P$3,B1357&lt;='IN-NX'!$Q$3,'IN-NX'!$D$7=D1357,OR(LEFT(L1357,2)="15",AND(LEFT(M1357,2)&lt;&gt;"15",LEFT(M1357,2)&lt;&gt;"33"))),"x","")</f>
        <v/>
      </c>
      <c r="V1357" s="525" t="str">
        <f>IF(AND(OR(LEFT(TH!L1357,2)="15",LEFT(TH!M1357,2)="15"),'152-CT'!$J$8=TH!F1357),"x","")</f>
        <v/>
      </c>
      <c r="W1357" s="525" t="str">
        <f>IF(AND(OR(LEFT(TH!L1357,2)="15",LEFT(TH!M1357,2)="15"),TK!$E$7=TH!F1357),"x","")</f>
        <v/>
      </c>
      <c r="X1357" s="525" t="str">
        <f>IF(AND('341-CT'!$E$9=H1357,OR(LEFT(L1357,3)=$X$7,LEFT(M1357,3)=$X$7)),"x","")</f>
        <v/>
      </c>
      <c r="Y1357" s="525" t="str">
        <f>IF(OR(TH!L1357=TH!$Y$7,M1357=TH!$Y$7),"x","")</f>
        <v/>
      </c>
      <c r="Z1357" s="525" t="str">
        <f>IF(AND(B1357&lt;=NKC!$N$8,B1357&gt;=NKC!$M$8),"x","")</f>
        <v>x</v>
      </c>
      <c r="AA1357" s="535">
        <v>1</v>
      </c>
    </row>
    <row r="1358" spans="1:27" s="503" customFormat="1" ht="15.75" customHeight="1">
      <c r="A1358" s="517" t="str">
        <f>IF(B1358&lt;&gt;"",IF(AND(B1358&gt;=_TM1,B1358&lt;=_TM2,OR(TH!L1358="1111",TH!M1358="1111")),TH!D1358,""),"")</f>
        <v/>
      </c>
      <c r="B1358" s="531">
        <f t="shared" si="137"/>
        <v>1</v>
      </c>
      <c r="C1358" s="315">
        <f t="shared" si="138"/>
        <v>42757</v>
      </c>
      <c r="D1358" s="537" t="s">
        <v>964</v>
      </c>
      <c r="E1358" s="537">
        <v>42757</v>
      </c>
      <c r="F1358" s="249" t="s">
        <v>647</v>
      </c>
      <c r="G1358" s="314" t="s">
        <v>605</v>
      </c>
      <c r="H1358" s="473" t="s">
        <v>447</v>
      </c>
      <c r="I1358" s="307">
        <v>8</v>
      </c>
      <c r="J1358" s="307">
        <v>112728</v>
      </c>
      <c r="K1358" s="532">
        <f t="shared" si="141"/>
        <v>901824</v>
      </c>
      <c r="L1358" s="534" t="s">
        <v>292</v>
      </c>
      <c r="M1358" s="534" t="s">
        <v>8</v>
      </c>
      <c r="N1358" s="525" t="str">
        <f>IF(AND('331-CT'!$E$7=TH!H1358,OR(L1358="331",M1358="331")),"331",IF(AND(OR(L1358="131",M1358="131"),H1358='131-CT'!$E$7),"131",""))</f>
        <v/>
      </c>
      <c r="O1358" s="525" t="str">
        <f>IF(AND($B1358&gt;='111'!$N$11,$B1358&lt;='111'!$O$11,OR($L1358=$O$7,$M1358=$O$7)),"x","")</f>
        <v/>
      </c>
      <c r="P1358" s="525" t="str">
        <f>IF(AND($L1358=$O$7,$B1358&lt;'111'!$N$11),"x","")</f>
        <v/>
      </c>
      <c r="Q1358" s="525" t="str">
        <f>IF(AND($M1358=$O$7,$B1358&lt;'111'!$N$11),"x","")</f>
        <v/>
      </c>
      <c r="R1358" s="525" t="str">
        <f>IF(ISERROR(FIND('112'!$M$9,G1358,1)),"",IF((AND(FIND('112'!$M$9,G1358,1)&gt;=1,$B1358&gt;='112'!$N$8,$B1358&lt;='112'!$O$8,OR($L1358='112'!$I$6,$M1358='112'!$I$6))),"x",""))</f>
        <v/>
      </c>
      <c r="S1358" s="525" t="str">
        <f>IF(ISERROR(FIND('112'!$M$9,G1358,1)),"",IF((AND(LEFT(G1358,2)=LEFT('112'!$M$9,2),B1358&lt;'112'!$N$8,$L1358='112'!$I$6)),"x",""))</f>
        <v/>
      </c>
      <c r="T1358" s="525" t="str">
        <f>IF(ISERROR(FIND('112'!$M$9,G1358,1)),"",IF((AND(RIGHT(G1358,2)=RIGHT('112'!$M$9,2),B1358&lt;'112'!$N$8,$M1358='112'!$I$6)),"x",""))</f>
        <v/>
      </c>
      <c r="U1358" s="525" t="str">
        <f>IF(AND(B1358&gt;='IN-NX'!$P$3,B1358&lt;='IN-NX'!$Q$3,'IN-NX'!$D$7=D1358,OR(LEFT(L1358,2)="15",AND(LEFT(M1358,2)&lt;&gt;"15",LEFT(M1358,2)&lt;&gt;"33"))),"x","")</f>
        <v/>
      </c>
      <c r="V1358" s="525" t="str">
        <f>IF(AND(OR(LEFT(TH!L1358,2)="15",LEFT(TH!M1358,2)="15"),'152-CT'!$J$8=TH!F1358),"x","")</f>
        <v/>
      </c>
      <c r="W1358" s="525" t="str">
        <f>IF(AND(OR(LEFT(TH!L1358,2)="15",LEFT(TH!M1358,2)="15"),TK!$E$7=TH!F1358),"x","")</f>
        <v/>
      </c>
      <c r="X1358" s="525" t="str">
        <f>IF(AND('341-CT'!$E$9=H1358,OR(LEFT(L1358,3)=$X$7,LEFT(M1358,3)=$X$7)),"x","")</f>
        <v/>
      </c>
      <c r="Y1358" s="525" t="str">
        <f>IF(OR(TH!L1358=TH!$Y$7,M1358=TH!$Y$7),"x","")</f>
        <v/>
      </c>
      <c r="Z1358" s="525" t="str">
        <f>IF(AND(B1358&lt;=NKC!$N$8,B1358&gt;=NKC!$M$8),"x","")</f>
        <v>x</v>
      </c>
      <c r="AA1358" s="535">
        <v>1</v>
      </c>
    </row>
    <row r="1359" spans="1:27" s="503" customFormat="1" ht="15.75" customHeight="1">
      <c r="A1359" s="517" t="str">
        <f>IF(B1359&lt;&gt;"",IF(AND(B1359&gt;=_TM1,B1359&lt;=_TM2,OR(TH!L1359="1111",TH!M1359="1111")),TH!D1359,""),"")</f>
        <v/>
      </c>
      <c r="B1359" s="531">
        <f t="shared" si="137"/>
        <v>1</v>
      </c>
      <c r="C1359" s="315">
        <f t="shared" si="138"/>
        <v>42757</v>
      </c>
      <c r="D1359" s="537" t="s">
        <v>964</v>
      </c>
      <c r="E1359" s="537">
        <v>42757</v>
      </c>
      <c r="F1359" s="249" t="s">
        <v>648</v>
      </c>
      <c r="G1359" s="314" t="s">
        <v>605</v>
      </c>
      <c r="H1359" s="473" t="s">
        <v>447</v>
      </c>
      <c r="I1359" s="307">
        <v>4</v>
      </c>
      <c r="J1359" s="307">
        <v>49480.200000000004</v>
      </c>
      <c r="K1359" s="532">
        <f t="shared" si="141"/>
        <v>197921</v>
      </c>
      <c r="L1359" s="534" t="s">
        <v>292</v>
      </c>
      <c r="M1359" s="534" t="s">
        <v>8</v>
      </c>
      <c r="N1359" s="525" t="str">
        <f>IF(AND('331-CT'!$E$7=TH!H1359,OR(L1359="331",M1359="331")),"331",IF(AND(OR(L1359="131",M1359="131"),H1359='131-CT'!$E$7),"131",""))</f>
        <v/>
      </c>
      <c r="O1359" s="525" t="str">
        <f>IF(AND($B1359&gt;='111'!$N$11,$B1359&lt;='111'!$O$11,OR($L1359=$O$7,$M1359=$O$7)),"x","")</f>
        <v/>
      </c>
      <c r="P1359" s="525" t="str">
        <f>IF(AND($L1359=$O$7,$B1359&lt;'111'!$N$11),"x","")</f>
        <v/>
      </c>
      <c r="Q1359" s="525" t="str">
        <f>IF(AND($M1359=$O$7,$B1359&lt;'111'!$N$11),"x","")</f>
        <v/>
      </c>
      <c r="R1359" s="525" t="str">
        <f>IF(ISERROR(FIND('112'!$M$9,G1359,1)),"",IF((AND(FIND('112'!$M$9,G1359,1)&gt;=1,$B1359&gt;='112'!$N$8,$B1359&lt;='112'!$O$8,OR($L1359='112'!$I$6,$M1359='112'!$I$6))),"x",""))</f>
        <v/>
      </c>
      <c r="S1359" s="525" t="str">
        <f>IF(ISERROR(FIND('112'!$M$9,G1359,1)),"",IF((AND(LEFT(G1359,2)=LEFT('112'!$M$9,2),B1359&lt;'112'!$N$8,$L1359='112'!$I$6)),"x",""))</f>
        <v/>
      </c>
      <c r="T1359" s="525" t="str">
        <f>IF(ISERROR(FIND('112'!$M$9,G1359,1)),"",IF((AND(RIGHT(G1359,2)=RIGHT('112'!$M$9,2),B1359&lt;'112'!$N$8,$M1359='112'!$I$6)),"x",""))</f>
        <v/>
      </c>
      <c r="U1359" s="525" t="str">
        <f>IF(AND(B1359&gt;='IN-NX'!$P$3,B1359&lt;='IN-NX'!$Q$3,'IN-NX'!$D$7=D1359,OR(LEFT(L1359,2)="15",AND(LEFT(M1359,2)&lt;&gt;"15",LEFT(M1359,2)&lt;&gt;"33"))),"x","")</f>
        <v/>
      </c>
      <c r="V1359" s="525" t="str">
        <f>IF(AND(OR(LEFT(TH!L1359,2)="15",LEFT(TH!M1359,2)="15"),'152-CT'!$J$8=TH!F1359),"x","")</f>
        <v/>
      </c>
      <c r="W1359" s="525" t="str">
        <f>IF(AND(OR(LEFT(TH!L1359,2)="15",LEFT(TH!M1359,2)="15"),TK!$E$7=TH!F1359),"x","")</f>
        <v/>
      </c>
      <c r="X1359" s="525" t="str">
        <f>IF(AND('341-CT'!$E$9=H1359,OR(LEFT(L1359,3)=$X$7,LEFT(M1359,3)=$X$7)),"x","")</f>
        <v/>
      </c>
      <c r="Y1359" s="525" t="str">
        <f>IF(OR(TH!L1359=TH!$Y$7,M1359=TH!$Y$7),"x","")</f>
        <v/>
      </c>
      <c r="Z1359" s="525" t="str">
        <f>IF(AND(B1359&lt;=NKC!$N$8,B1359&gt;=NKC!$M$8),"x","")</f>
        <v>x</v>
      </c>
      <c r="AA1359" s="535">
        <v>1</v>
      </c>
    </row>
    <row r="1360" spans="1:27" s="503" customFormat="1" ht="15.75" customHeight="1">
      <c r="A1360" s="517" t="str">
        <f>IF(B1360&lt;&gt;"",IF(AND(B1360&gt;=_TM1,B1360&lt;=_TM2,OR(TH!L1360="1111",TH!M1360="1111")),TH!D1360,""),"")</f>
        <v/>
      </c>
      <c r="B1360" s="531">
        <f t="shared" si="137"/>
        <v>1</v>
      </c>
      <c r="C1360" s="315">
        <f t="shared" si="138"/>
        <v>42757</v>
      </c>
      <c r="D1360" s="537" t="s">
        <v>964</v>
      </c>
      <c r="E1360" s="537">
        <v>42757</v>
      </c>
      <c r="F1360" s="249" t="s">
        <v>649</v>
      </c>
      <c r="G1360" s="314" t="s">
        <v>605</v>
      </c>
      <c r="H1360" s="473" t="s">
        <v>447</v>
      </c>
      <c r="I1360" s="307">
        <v>8</v>
      </c>
      <c r="J1360" s="307">
        <v>69350.399999999994</v>
      </c>
      <c r="K1360" s="532">
        <f t="shared" si="141"/>
        <v>554803</v>
      </c>
      <c r="L1360" s="534" t="s">
        <v>292</v>
      </c>
      <c r="M1360" s="534" t="s">
        <v>8</v>
      </c>
      <c r="N1360" s="525" t="str">
        <f>IF(AND('331-CT'!$E$7=TH!H1360,OR(L1360="331",M1360="331")),"331",IF(AND(OR(L1360="131",M1360="131"),H1360='131-CT'!$E$7),"131",""))</f>
        <v/>
      </c>
      <c r="O1360" s="525" t="str">
        <f>IF(AND($B1360&gt;='111'!$N$11,$B1360&lt;='111'!$O$11,OR($L1360=$O$7,$M1360=$O$7)),"x","")</f>
        <v/>
      </c>
      <c r="P1360" s="525" t="str">
        <f>IF(AND($L1360=$O$7,$B1360&lt;'111'!$N$11),"x","")</f>
        <v/>
      </c>
      <c r="Q1360" s="525" t="str">
        <f>IF(AND($M1360=$O$7,$B1360&lt;'111'!$N$11),"x","")</f>
        <v/>
      </c>
      <c r="R1360" s="525" t="str">
        <f>IF(ISERROR(FIND('112'!$M$9,G1360,1)),"",IF((AND(FIND('112'!$M$9,G1360,1)&gt;=1,$B1360&gt;='112'!$N$8,$B1360&lt;='112'!$O$8,OR($L1360='112'!$I$6,$M1360='112'!$I$6))),"x",""))</f>
        <v/>
      </c>
      <c r="S1360" s="525" t="str">
        <f>IF(ISERROR(FIND('112'!$M$9,G1360,1)),"",IF((AND(LEFT(G1360,2)=LEFT('112'!$M$9,2),B1360&lt;'112'!$N$8,$L1360='112'!$I$6)),"x",""))</f>
        <v/>
      </c>
      <c r="T1360" s="525" t="str">
        <f>IF(ISERROR(FIND('112'!$M$9,G1360,1)),"",IF((AND(RIGHT(G1360,2)=RIGHT('112'!$M$9,2),B1360&lt;'112'!$N$8,$M1360='112'!$I$6)),"x",""))</f>
        <v/>
      </c>
      <c r="U1360" s="525" t="str">
        <f>IF(AND(B1360&gt;='IN-NX'!$P$3,B1360&lt;='IN-NX'!$Q$3,'IN-NX'!$D$7=D1360,OR(LEFT(L1360,2)="15",AND(LEFT(M1360,2)&lt;&gt;"15",LEFT(M1360,2)&lt;&gt;"33"))),"x","")</f>
        <v/>
      </c>
      <c r="V1360" s="525" t="str">
        <f>IF(AND(OR(LEFT(TH!L1360,2)="15",LEFT(TH!M1360,2)="15"),'152-CT'!$J$8=TH!F1360),"x","")</f>
        <v/>
      </c>
      <c r="W1360" s="525" t="str">
        <f>IF(AND(OR(LEFT(TH!L1360,2)="15",LEFT(TH!M1360,2)="15"),TK!$E$7=TH!F1360),"x","")</f>
        <v/>
      </c>
      <c r="X1360" s="525" t="str">
        <f>IF(AND('341-CT'!$E$9=H1360,OR(LEFT(L1360,3)=$X$7,LEFT(M1360,3)=$X$7)),"x","")</f>
        <v/>
      </c>
      <c r="Y1360" s="525" t="str">
        <f>IF(OR(TH!L1360=TH!$Y$7,M1360=TH!$Y$7),"x","")</f>
        <v/>
      </c>
      <c r="Z1360" s="525" t="str">
        <f>IF(AND(B1360&lt;=NKC!$N$8,B1360&gt;=NKC!$M$8),"x","")</f>
        <v>x</v>
      </c>
      <c r="AA1360" s="535">
        <v>1</v>
      </c>
    </row>
    <row r="1361" spans="1:27" s="503" customFormat="1" ht="15.75" customHeight="1">
      <c r="A1361" s="517" t="str">
        <f>IF(B1361&lt;&gt;"",IF(AND(B1361&gt;=_TM1,B1361&lt;=_TM2,OR(TH!L1361="1111",TH!M1361="1111")),TH!D1361,""),"")</f>
        <v/>
      </c>
      <c r="B1361" s="531">
        <f t="shared" si="137"/>
        <v>1</v>
      </c>
      <c r="C1361" s="315">
        <f t="shared" si="138"/>
        <v>42757</v>
      </c>
      <c r="D1361" s="537" t="s">
        <v>964</v>
      </c>
      <c r="E1361" s="537">
        <v>42757</v>
      </c>
      <c r="F1361" s="249" t="s">
        <v>611</v>
      </c>
      <c r="G1361" s="314" t="s">
        <v>605</v>
      </c>
      <c r="H1361" s="473" t="s">
        <v>447</v>
      </c>
      <c r="I1361" s="307">
        <v>4</v>
      </c>
      <c r="J1361" s="307">
        <v>44814</v>
      </c>
      <c r="K1361" s="532">
        <f t="shared" si="141"/>
        <v>179256</v>
      </c>
      <c r="L1361" s="534" t="s">
        <v>292</v>
      </c>
      <c r="M1361" s="534" t="s">
        <v>8</v>
      </c>
      <c r="N1361" s="525" t="str">
        <f>IF(AND('331-CT'!$E$7=TH!H1361,OR(L1361="331",M1361="331")),"331",IF(AND(OR(L1361="131",M1361="131"),H1361='131-CT'!$E$7),"131",""))</f>
        <v/>
      </c>
      <c r="O1361" s="525" t="str">
        <f>IF(AND($B1361&gt;='111'!$N$11,$B1361&lt;='111'!$O$11,OR($L1361=$O$7,$M1361=$O$7)),"x","")</f>
        <v/>
      </c>
      <c r="P1361" s="525" t="str">
        <f>IF(AND($L1361=$O$7,$B1361&lt;'111'!$N$11),"x","")</f>
        <v/>
      </c>
      <c r="Q1361" s="525" t="str">
        <f>IF(AND($M1361=$O$7,$B1361&lt;'111'!$N$11),"x","")</f>
        <v/>
      </c>
      <c r="R1361" s="525" t="str">
        <f>IF(ISERROR(FIND('112'!$M$9,G1361,1)),"",IF((AND(FIND('112'!$M$9,G1361,1)&gt;=1,$B1361&gt;='112'!$N$8,$B1361&lt;='112'!$O$8,OR($L1361='112'!$I$6,$M1361='112'!$I$6))),"x",""))</f>
        <v/>
      </c>
      <c r="S1361" s="525" t="str">
        <f>IF(ISERROR(FIND('112'!$M$9,G1361,1)),"",IF((AND(LEFT(G1361,2)=LEFT('112'!$M$9,2),B1361&lt;'112'!$N$8,$L1361='112'!$I$6)),"x",""))</f>
        <v/>
      </c>
      <c r="T1361" s="525" t="str">
        <f>IF(ISERROR(FIND('112'!$M$9,G1361,1)),"",IF((AND(RIGHT(G1361,2)=RIGHT('112'!$M$9,2),B1361&lt;'112'!$N$8,$M1361='112'!$I$6)),"x",""))</f>
        <v/>
      </c>
      <c r="U1361" s="525" t="str">
        <f>IF(AND(B1361&gt;='IN-NX'!$P$3,B1361&lt;='IN-NX'!$Q$3,'IN-NX'!$D$7=D1361,OR(LEFT(L1361,2)="15",AND(LEFT(M1361,2)&lt;&gt;"15",LEFT(M1361,2)&lt;&gt;"33"))),"x","")</f>
        <v/>
      </c>
      <c r="V1361" s="525" t="str">
        <f>IF(AND(OR(LEFT(TH!L1361,2)="15",LEFT(TH!M1361,2)="15"),'152-CT'!$J$8=TH!F1361),"x","")</f>
        <v/>
      </c>
      <c r="W1361" s="525" t="str">
        <f>IF(AND(OR(LEFT(TH!L1361,2)="15",LEFT(TH!M1361,2)="15"),TK!$E$7=TH!F1361),"x","")</f>
        <v/>
      </c>
      <c r="X1361" s="525" t="str">
        <f>IF(AND('341-CT'!$E$9=H1361,OR(LEFT(L1361,3)=$X$7,LEFT(M1361,3)=$X$7)),"x","")</f>
        <v/>
      </c>
      <c r="Y1361" s="525" t="str">
        <f>IF(OR(TH!L1361=TH!$Y$7,M1361=TH!$Y$7),"x","")</f>
        <v/>
      </c>
      <c r="Z1361" s="525" t="str">
        <f>IF(AND(B1361&lt;=NKC!$N$8,B1361&gt;=NKC!$M$8),"x","")</f>
        <v>x</v>
      </c>
      <c r="AA1361" s="535">
        <v>1</v>
      </c>
    </row>
    <row r="1362" spans="1:27" s="503" customFormat="1" ht="15.75" customHeight="1">
      <c r="A1362" s="517" t="str">
        <f>IF(B1362&lt;&gt;"",IF(AND(B1362&gt;=_TM1,B1362&lt;=_TM2,OR(TH!L1362="1111",TH!M1362="1111")),TH!D1362,""),"")</f>
        <v/>
      </c>
      <c r="B1362" s="531">
        <f t="shared" si="137"/>
        <v>1</v>
      </c>
      <c r="C1362" s="315">
        <f t="shared" si="138"/>
        <v>42757</v>
      </c>
      <c r="D1362" s="537" t="s">
        <v>964</v>
      </c>
      <c r="E1362" s="537">
        <v>42757</v>
      </c>
      <c r="F1362" s="249" t="s">
        <v>650</v>
      </c>
      <c r="G1362" s="314" t="s">
        <v>605</v>
      </c>
      <c r="H1362" s="473" t="s">
        <v>447</v>
      </c>
      <c r="I1362" s="307">
        <v>20</v>
      </c>
      <c r="J1362" s="307">
        <v>79332.161999999997</v>
      </c>
      <c r="K1362" s="532">
        <f t="shared" si="141"/>
        <v>1586643</v>
      </c>
      <c r="L1362" s="534" t="s">
        <v>292</v>
      </c>
      <c r="M1362" s="534" t="s">
        <v>8</v>
      </c>
      <c r="N1362" s="525" t="str">
        <f>IF(AND('331-CT'!$E$7=TH!H1362,OR(L1362="331",M1362="331")),"331",IF(AND(OR(L1362="131",M1362="131"),H1362='131-CT'!$E$7),"131",""))</f>
        <v/>
      </c>
      <c r="O1362" s="525" t="str">
        <f>IF(AND($B1362&gt;='111'!$N$11,$B1362&lt;='111'!$O$11,OR($L1362=$O$7,$M1362=$O$7)),"x","")</f>
        <v/>
      </c>
      <c r="P1362" s="525" t="str">
        <f>IF(AND($L1362=$O$7,$B1362&lt;'111'!$N$11),"x","")</f>
        <v/>
      </c>
      <c r="Q1362" s="525" t="str">
        <f>IF(AND($M1362=$O$7,$B1362&lt;'111'!$N$11),"x","")</f>
        <v/>
      </c>
      <c r="R1362" s="525" t="str">
        <f>IF(ISERROR(FIND('112'!$M$9,G1362,1)),"",IF((AND(FIND('112'!$M$9,G1362,1)&gt;=1,$B1362&gt;='112'!$N$8,$B1362&lt;='112'!$O$8,OR($L1362='112'!$I$6,$M1362='112'!$I$6))),"x",""))</f>
        <v/>
      </c>
      <c r="S1362" s="525" t="str">
        <f>IF(ISERROR(FIND('112'!$M$9,G1362,1)),"",IF((AND(LEFT(G1362,2)=LEFT('112'!$M$9,2),B1362&lt;'112'!$N$8,$L1362='112'!$I$6)),"x",""))</f>
        <v/>
      </c>
      <c r="T1362" s="525" t="str">
        <f>IF(ISERROR(FIND('112'!$M$9,G1362,1)),"",IF((AND(RIGHT(G1362,2)=RIGHT('112'!$M$9,2),B1362&lt;'112'!$N$8,$M1362='112'!$I$6)),"x",""))</f>
        <v/>
      </c>
      <c r="U1362" s="525" t="str">
        <f>IF(AND(B1362&gt;='IN-NX'!$P$3,B1362&lt;='IN-NX'!$Q$3,'IN-NX'!$D$7=D1362,OR(LEFT(L1362,2)="15",AND(LEFT(M1362,2)&lt;&gt;"15",LEFT(M1362,2)&lt;&gt;"33"))),"x","")</f>
        <v/>
      </c>
      <c r="V1362" s="525" t="str">
        <f>IF(AND(OR(LEFT(TH!L1362,2)="15",LEFT(TH!M1362,2)="15"),'152-CT'!$J$8=TH!F1362),"x","")</f>
        <v/>
      </c>
      <c r="W1362" s="525" t="str">
        <f>IF(AND(OR(LEFT(TH!L1362,2)="15",LEFT(TH!M1362,2)="15"),TK!$E$7=TH!F1362),"x","")</f>
        <v/>
      </c>
      <c r="X1362" s="525" t="str">
        <f>IF(AND('341-CT'!$E$9=H1362,OR(LEFT(L1362,3)=$X$7,LEFT(M1362,3)=$X$7)),"x","")</f>
        <v/>
      </c>
      <c r="Y1362" s="525" t="str">
        <f>IF(OR(TH!L1362=TH!$Y$7,M1362=TH!$Y$7),"x","")</f>
        <v/>
      </c>
      <c r="Z1362" s="525" t="str">
        <f>IF(AND(B1362&lt;=NKC!$N$8,B1362&gt;=NKC!$M$8),"x","")</f>
        <v>x</v>
      </c>
      <c r="AA1362" s="535">
        <v>1</v>
      </c>
    </row>
    <row r="1363" spans="1:27" s="503" customFormat="1" ht="15.75" customHeight="1">
      <c r="A1363" s="517" t="str">
        <f>IF(B1363&lt;&gt;"",IF(AND(B1363&gt;=_TM1,B1363&lt;=_TM2,OR(TH!L1363="1111",TH!M1363="1111")),TH!D1363,""),"")</f>
        <v/>
      </c>
      <c r="B1363" s="531">
        <f t="shared" si="137"/>
        <v>1</v>
      </c>
      <c r="C1363" s="315">
        <f t="shared" si="138"/>
        <v>42757</v>
      </c>
      <c r="D1363" s="537" t="s">
        <v>964</v>
      </c>
      <c r="E1363" s="537">
        <v>42757</v>
      </c>
      <c r="F1363" s="249" t="s">
        <v>651</v>
      </c>
      <c r="G1363" s="314" t="s">
        <v>605</v>
      </c>
      <c r="H1363" s="473" t="s">
        <v>447</v>
      </c>
      <c r="I1363" s="307">
        <v>20</v>
      </c>
      <c r="J1363" s="307">
        <v>112639.833</v>
      </c>
      <c r="K1363" s="532">
        <f t="shared" si="141"/>
        <v>2252797</v>
      </c>
      <c r="L1363" s="534" t="s">
        <v>292</v>
      </c>
      <c r="M1363" s="534" t="s">
        <v>8</v>
      </c>
      <c r="N1363" s="525" t="str">
        <f>IF(AND('331-CT'!$E$7=TH!H1363,OR(L1363="331",M1363="331")),"331",IF(AND(OR(L1363="131",M1363="131"),H1363='131-CT'!$E$7),"131",""))</f>
        <v/>
      </c>
      <c r="O1363" s="525" t="str">
        <f>IF(AND($B1363&gt;='111'!$N$11,$B1363&lt;='111'!$O$11,OR($L1363=$O$7,$M1363=$O$7)),"x","")</f>
        <v/>
      </c>
      <c r="P1363" s="525" t="str">
        <f>IF(AND($L1363=$O$7,$B1363&lt;'111'!$N$11),"x","")</f>
        <v/>
      </c>
      <c r="Q1363" s="525" t="str">
        <f>IF(AND($M1363=$O$7,$B1363&lt;'111'!$N$11),"x","")</f>
        <v/>
      </c>
      <c r="R1363" s="525" t="str">
        <f>IF(ISERROR(FIND('112'!$M$9,G1363,1)),"",IF((AND(FIND('112'!$M$9,G1363,1)&gt;=1,$B1363&gt;='112'!$N$8,$B1363&lt;='112'!$O$8,OR($L1363='112'!$I$6,$M1363='112'!$I$6))),"x",""))</f>
        <v/>
      </c>
      <c r="S1363" s="525" t="str">
        <f>IF(ISERROR(FIND('112'!$M$9,G1363,1)),"",IF((AND(LEFT(G1363,2)=LEFT('112'!$M$9,2),B1363&lt;'112'!$N$8,$L1363='112'!$I$6)),"x",""))</f>
        <v/>
      </c>
      <c r="T1363" s="525" t="str">
        <f>IF(ISERROR(FIND('112'!$M$9,G1363,1)),"",IF((AND(RIGHT(G1363,2)=RIGHT('112'!$M$9,2),B1363&lt;'112'!$N$8,$M1363='112'!$I$6)),"x",""))</f>
        <v/>
      </c>
      <c r="U1363" s="525" t="str">
        <f>IF(AND(B1363&gt;='IN-NX'!$P$3,B1363&lt;='IN-NX'!$Q$3,'IN-NX'!$D$7=D1363,OR(LEFT(L1363,2)="15",AND(LEFT(M1363,2)&lt;&gt;"15",LEFT(M1363,2)&lt;&gt;"33"))),"x","")</f>
        <v/>
      </c>
      <c r="V1363" s="525" t="str">
        <f>IF(AND(OR(LEFT(TH!L1363,2)="15",LEFT(TH!M1363,2)="15"),'152-CT'!$J$8=TH!F1363),"x","")</f>
        <v/>
      </c>
      <c r="W1363" s="525" t="str">
        <f>IF(AND(OR(LEFT(TH!L1363,2)="15",LEFT(TH!M1363,2)="15"),TK!$E$7=TH!F1363),"x","")</f>
        <v/>
      </c>
      <c r="X1363" s="525" t="str">
        <f>IF(AND('341-CT'!$E$9=H1363,OR(LEFT(L1363,3)=$X$7,LEFT(M1363,3)=$X$7)),"x","")</f>
        <v/>
      </c>
      <c r="Y1363" s="525" t="str">
        <f>IF(OR(TH!L1363=TH!$Y$7,M1363=TH!$Y$7),"x","")</f>
        <v/>
      </c>
      <c r="Z1363" s="525" t="str">
        <f>IF(AND(B1363&lt;=NKC!$N$8,B1363&gt;=NKC!$M$8),"x","")</f>
        <v>x</v>
      </c>
      <c r="AA1363" s="535">
        <v>1</v>
      </c>
    </row>
    <row r="1364" spans="1:27" s="503" customFormat="1" ht="15.75" customHeight="1">
      <c r="A1364" s="517" t="str">
        <f>IF(B1364&lt;&gt;"",IF(AND(B1364&gt;=_TM1,B1364&lt;=_TM2,OR(TH!L1364="1111",TH!M1364="1111")),TH!D1364,""),"")</f>
        <v/>
      </c>
      <c r="B1364" s="531">
        <f t="shared" ref="B1364:B1427" si="142">IF(C1364&lt;&gt;"",MONTH(C1364),"")</f>
        <v>1</v>
      </c>
      <c r="C1364" s="315">
        <f t="shared" ref="C1364:C1427" si="143">E1364</f>
        <v>42757</v>
      </c>
      <c r="D1364" s="537" t="s">
        <v>964</v>
      </c>
      <c r="E1364" s="537">
        <v>42757</v>
      </c>
      <c r="F1364" s="249" t="s">
        <v>652</v>
      </c>
      <c r="G1364" s="314" t="s">
        <v>605</v>
      </c>
      <c r="H1364" s="473" t="s">
        <v>447</v>
      </c>
      <c r="I1364" s="307">
        <v>72</v>
      </c>
      <c r="J1364" s="307">
        <v>29092.800000000003</v>
      </c>
      <c r="K1364" s="532">
        <f t="shared" si="141"/>
        <v>2094682</v>
      </c>
      <c r="L1364" s="534" t="s">
        <v>292</v>
      </c>
      <c r="M1364" s="534" t="s">
        <v>8</v>
      </c>
      <c r="N1364" s="525" t="str">
        <f>IF(AND('331-CT'!$E$7=TH!H1364,OR(L1364="331",M1364="331")),"331",IF(AND(OR(L1364="131",M1364="131"),H1364='131-CT'!$E$7),"131",""))</f>
        <v/>
      </c>
      <c r="O1364" s="525" t="str">
        <f>IF(AND($B1364&gt;='111'!$N$11,$B1364&lt;='111'!$O$11,OR($L1364=$O$7,$M1364=$O$7)),"x","")</f>
        <v/>
      </c>
      <c r="P1364" s="525" t="str">
        <f>IF(AND($L1364=$O$7,$B1364&lt;'111'!$N$11),"x","")</f>
        <v/>
      </c>
      <c r="Q1364" s="525" t="str">
        <f>IF(AND($M1364=$O$7,$B1364&lt;'111'!$N$11),"x","")</f>
        <v/>
      </c>
      <c r="R1364" s="525" t="str">
        <f>IF(ISERROR(FIND('112'!$M$9,G1364,1)),"",IF((AND(FIND('112'!$M$9,G1364,1)&gt;=1,$B1364&gt;='112'!$N$8,$B1364&lt;='112'!$O$8,OR($L1364='112'!$I$6,$M1364='112'!$I$6))),"x",""))</f>
        <v/>
      </c>
      <c r="S1364" s="525" t="str">
        <f>IF(ISERROR(FIND('112'!$M$9,G1364,1)),"",IF((AND(LEFT(G1364,2)=LEFT('112'!$M$9,2),B1364&lt;'112'!$N$8,$L1364='112'!$I$6)),"x",""))</f>
        <v/>
      </c>
      <c r="T1364" s="525" t="str">
        <f>IF(ISERROR(FIND('112'!$M$9,G1364,1)),"",IF((AND(RIGHT(G1364,2)=RIGHT('112'!$M$9,2),B1364&lt;'112'!$N$8,$M1364='112'!$I$6)),"x",""))</f>
        <v/>
      </c>
      <c r="U1364" s="525" t="str">
        <f>IF(AND(B1364&gt;='IN-NX'!$P$3,B1364&lt;='IN-NX'!$Q$3,'IN-NX'!$D$7=D1364,OR(LEFT(L1364,2)="15",AND(LEFT(M1364,2)&lt;&gt;"15",LEFT(M1364,2)&lt;&gt;"33"))),"x","")</f>
        <v/>
      </c>
      <c r="V1364" s="525" t="str">
        <f>IF(AND(OR(LEFT(TH!L1364,2)="15",LEFT(TH!M1364,2)="15"),'152-CT'!$J$8=TH!F1364),"x","")</f>
        <v/>
      </c>
      <c r="W1364" s="525" t="str">
        <f>IF(AND(OR(LEFT(TH!L1364,2)="15",LEFT(TH!M1364,2)="15"),TK!$E$7=TH!F1364),"x","")</f>
        <v/>
      </c>
      <c r="X1364" s="525" t="str">
        <f>IF(AND('341-CT'!$E$9=H1364,OR(LEFT(L1364,3)=$X$7,LEFT(M1364,3)=$X$7)),"x","")</f>
        <v/>
      </c>
      <c r="Y1364" s="525" t="str">
        <f>IF(OR(TH!L1364=TH!$Y$7,M1364=TH!$Y$7),"x","")</f>
        <v/>
      </c>
      <c r="Z1364" s="525" t="str">
        <f>IF(AND(B1364&lt;=NKC!$N$8,B1364&gt;=NKC!$M$8),"x","")</f>
        <v>x</v>
      </c>
      <c r="AA1364" s="535">
        <v>1</v>
      </c>
    </row>
    <row r="1365" spans="1:27" s="503" customFormat="1" ht="15.75" customHeight="1">
      <c r="A1365" s="517" t="str">
        <f>IF(B1365&lt;&gt;"",IF(AND(B1365&gt;=_TM1,B1365&lt;=_TM2,OR(TH!L1365="1111",TH!M1365="1111")),TH!D1365,""),"")</f>
        <v/>
      </c>
      <c r="B1365" s="531">
        <f t="shared" si="142"/>
        <v>1</v>
      </c>
      <c r="C1365" s="315">
        <f t="shared" si="143"/>
        <v>42757</v>
      </c>
      <c r="D1365" s="537" t="s">
        <v>964</v>
      </c>
      <c r="E1365" s="537">
        <v>42757</v>
      </c>
      <c r="F1365" s="249" t="s">
        <v>653</v>
      </c>
      <c r="G1365" s="314" t="s">
        <v>605</v>
      </c>
      <c r="H1365" s="473" t="s">
        <v>447</v>
      </c>
      <c r="I1365" s="307">
        <v>8</v>
      </c>
      <c r="J1365" s="307">
        <v>65007.600000000006</v>
      </c>
      <c r="K1365" s="532">
        <f t="shared" si="141"/>
        <v>520061</v>
      </c>
      <c r="L1365" s="534" t="s">
        <v>292</v>
      </c>
      <c r="M1365" s="534" t="s">
        <v>8</v>
      </c>
      <c r="N1365" s="525" t="str">
        <f>IF(AND('331-CT'!$E$7=TH!H1365,OR(L1365="331",M1365="331")),"331",IF(AND(OR(L1365="131",M1365="131"),H1365='131-CT'!$E$7),"131",""))</f>
        <v/>
      </c>
      <c r="O1365" s="525" t="str">
        <f>IF(AND($B1365&gt;='111'!$N$11,$B1365&lt;='111'!$O$11,OR($L1365=$O$7,$M1365=$O$7)),"x","")</f>
        <v/>
      </c>
      <c r="P1365" s="525" t="str">
        <f>IF(AND($L1365=$O$7,$B1365&lt;'111'!$N$11),"x","")</f>
        <v/>
      </c>
      <c r="Q1365" s="525" t="str">
        <f>IF(AND($M1365=$O$7,$B1365&lt;'111'!$N$11),"x","")</f>
        <v/>
      </c>
      <c r="R1365" s="525" t="str">
        <f>IF(ISERROR(FIND('112'!$M$9,G1365,1)),"",IF((AND(FIND('112'!$M$9,G1365,1)&gt;=1,$B1365&gt;='112'!$N$8,$B1365&lt;='112'!$O$8,OR($L1365='112'!$I$6,$M1365='112'!$I$6))),"x",""))</f>
        <v/>
      </c>
      <c r="S1365" s="525" t="str">
        <f>IF(ISERROR(FIND('112'!$M$9,G1365,1)),"",IF((AND(LEFT(G1365,2)=LEFT('112'!$M$9,2),B1365&lt;'112'!$N$8,$L1365='112'!$I$6)),"x",""))</f>
        <v/>
      </c>
      <c r="T1365" s="525" t="str">
        <f>IF(ISERROR(FIND('112'!$M$9,G1365,1)),"",IF((AND(RIGHT(G1365,2)=RIGHT('112'!$M$9,2),B1365&lt;'112'!$N$8,$M1365='112'!$I$6)),"x",""))</f>
        <v/>
      </c>
      <c r="U1365" s="525" t="str">
        <f>IF(AND(B1365&gt;='IN-NX'!$P$3,B1365&lt;='IN-NX'!$Q$3,'IN-NX'!$D$7=D1365,OR(LEFT(L1365,2)="15",AND(LEFT(M1365,2)&lt;&gt;"15",LEFT(M1365,2)&lt;&gt;"33"))),"x","")</f>
        <v/>
      </c>
      <c r="V1365" s="525" t="str">
        <f>IF(AND(OR(LEFT(TH!L1365,2)="15",LEFT(TH!M1365,2)="15"),'152-CT'!$J$8=TH!F1365),"x","")</f>
        <v/>
      </c>
      <c r="W1365" s="525" t="str">
        <f>IF(AND(OR(LEFT(TH!L1365,2)="15",LEFT(TH!M1365,2)="15"),TK!$E$7=TH!F1365),"x","")</f>
        <v/>
      </c>
      <c r="X1365" s="525" t="str">
        <f>IF(AND('341-CT'!$E$9=H1365,OR(LEFT(L1365,3)=$X$7,LEFT(M1365,3)=$X$7)),"x","")</f>
        <v/>
      </c>
      <c r="Y1365" s="525" t="str">
        <f>IF(OR(TH!L1365=TH!$Y$7,M1365=TH!$Y$7),"x","")</f>
        <v/>
      </c>
      <c r="Z1365" s="525" t="str">
        <f>IF(AND(B1365&lt;=NKC!$N$8,B1365&gt;=NKC!$M$8),"x","")</f>
        <v>x</v>
      </c>
      <c r="AA1365" s="535">
        <v>1</v>
      </c>
    </row>
    <row r="1366" spans="1:27" s="503" customFormat="1" ht="15.75" customHeight="1">
      <c r="A1366" s="517" t="str">
        <f>IF(B1366&lt;&gt;"",IF(AND(B1366&gt;=_TM1,B1366&lt;=_TM2,OR(TH!L1366="1111",TH!M1366="1111")),TH!D1366,""),"")</f>
        <v/>
      </c>
      <c r="B1366" s="531">
        <f t="shared" si="142"/>
        <v>1</v>
      </c>
      <c r="C1366" s="315">
        <f t="shared" si="143"/>
        <v>42757</v>
      </c>
      <c r="D1366" s="537" t="s">
        <v>964</v>
      </c>
      <c r="E1366" s="537">
        <v>42757</v>
      </c>
      <c r="F1366" s="249" t="s">
        <v>654</v>
      </c>
      <c r="G1366" s="314" t="s">
        <v>605</v>
      </c>
      <c r="H1366" s="473" t="s">
        <v>447</v>
      </c>
      <c r="I1366" s="307">
        <v>15</v>
      </c>
      <c r="J1366" s="307">
        <v>76910.400000000009</v>
      </c>
      <c r="K1366" s="532">
        <f t="shared" si="141"/>
        <v>1153656</v>
      </c>
      <c r="L1366" s="534" t="s">
        <v>292</v>
      </c>
      <c r="M1366" s="534" t="s">
        <v>8</v>
      </c>
      <c r="N1366" s="525" t="str">
        <f>IF(AND('331-CT'!$E$7=TH!H1366,OR(L1366="331",M1366="331")),"331",IF(AND(OR(L1366="131",M1366="131"),H1366='131-CT'!$E$7),"131",""))</f>
        <v/>
      </c>
      <c r="O1366" s="525" t="str">
        <f>IF(AND($B1366&gt;='111'!$N$11,$B1366&lt;='111'!$O$11,OR($L1366=$O$7,$M1366=$O$7)),"x","")</f>
        <v/>
      </c>
      <c r="P1366" s="525" t="str">
        <f>IF(AND($L1366=$O$7,$B1366&lt;'111'!$N$11),"x","")</f>
        <v/>
      </c>
      <c r="Q1366" s="525" t="str">
        <f>IF(AND($M1366=$O$7,$B1366&lt;'111'!$N$11),"x","")</f>
        <v/>
      </c>
      <c r="R1366" s="525" t="str">
        <f>IF(ISERROR(FIND('112'!$M$9,G1366,1)),"",IF((AND(FIND('112'!$M$9,G1366,1)&gt;=1,$B1366&gt;='112'!$N$8,$B1366&lt;='112'!$O$8,OR($L1366='112'!$I$6,$M1366='112'!$I$6))),"x",""))</f>
        <v/>
      </c>
      <c r="S1366" s="525" t="str">
        <f>IF(ISERROR(FIND('112'!$M$9,G1366,1)),"",IF((AND(LEFT(G1366,2)=LEFT('112'!$M$9,2),B1366&lt;'112'!$N$8,$L1366='112'!$I$6)),"x",""))</f>
        <v/>
      </c>
      <c r="T1366" s="525" t="str">
        <f>IF(ISERROR(FIND('112'!$M$9,G1366,1)),"",IF((AND(RIGHT(G1366,2)=RIGHT('112'!$M$9,2),B1366&lt;'112'!$N$8,$M1366='112'!$I$6)),"x",""))</f>
        <v/>
      </c>
      <c r="U1366" s="525" t="str">
        <f>IF(AND(B1366&gt;='IN-NX'!$P$3,B1366&lt;='IN-NX'!$Q$3,'IN-NX'!$D$7=D1366,OR(LEFT(L1366,2)="15",AND(LEFT(M1366,2)&lt;&gt;"15",LEFT(M1366,2)&lt;&gt;"33"))),"x","")</f>
        <v/>
      </c>
      <c r="V1366" s="525" t="str">
        <f>IF(AND(OR(LEFT(TH!L1366,2)="15",LEFT(TH!M1366,2)="15"),'152-CT'!$J$8=TH!F1366),"x","")</f>
        <v/>
      </c>
      <c r="W1366" s="525" t="str">
        <f>IF(AND(OR(LEFT(TH!L1366,2)="15",LEFT(TH!M1366,2)="15"),TK!$E$7=TH!F1366),"x","")</f>
        <v/>
      </c>
      <c r="X1366" s="525" t="str">
        <f>IF(AND('341-CT'!$E$9=H1366,OR(LEFT(L1366,3)=$X$7,LEFT(M1366,3)=$X$7)),"x","")</f>
        <v/>
      </c>
      <c r="Y1366" s="525" t="str">
        <f>IF(OR(TH!L1366=TH!$Y$7,M1366=TH!$Y$7),"x","")</f>
        <v/>
      </c>
      <c r="Z1366" s="525" t="str">
        <f>IF(AND(B1366&lt;=NKC!$N$8,B1366&gt;=NKC!$M$8),"x","")</f>
        <v>x</v>
      </c>
      <c r="AA1366" s="535">
        <v>1</v>
      </c>
    </row>
    <row r="1367" spans="1:27" s="503" customFormat="1" ht="15.75" customHeight="1">
      <c r="A1367" s="517" t="str">
        <f>IF(B1367&lt;&gt;"",IF(AND(B1367&gt;=_TM1,B1367&lt;=_TM2,OR(TH!L1367="1111",TH!M1367="1111")),TH!D1367,""),"")</f>
        <v/>
      </c>
      <c r="B1367" s="531">
        <f t="shared" si="142"/>
        <v>1</v>
      </c>
      <c r="C1367" s="315">
        <f t="shared" si="143"/>
        <v>42757</v>
      </c>
      <c r="D1367" s="537" t="s">
        <v>964</v>
      </c>
      <c r="E1367" s="537">
        <v>42757</v>
      </c>
      <c r="F1367" s="249" t="s">
        <v>655</v>
      </c>
      <c r="G1367" s="314" t="s">
        <v>605</v>
      </c>
      <c r="H1367" s="473" t="s">
        <v>447</v>
      </c>
      <c r="I1367" s="307">
        <v>30</v>
      </c>
      <c r="J1367" s="307">
        <v>51566</v>
      </c>
      <c r="K1367" s="532">
        <f t="shared" si="141"/>
        <v>1546980</v>
      </c>
      <c r="L1367" s="534" t="s">
        <v>292</v>
      </c>
      <c r="M1367" s="534" t="s">
        <v>8</v>
      </c>
      <c r="N1367" s="525" t="str">
        <f>IF(AND('331-CT'!$E$7=TH!H1367,OR(L1367="331",M1367="331")),"331",IF(AND(OR(L1367="131",M1367="131"),H1367='131-CT'!$E$7),"131",""))</f>
        <v/>
      </c>
      <c r="O1367" s="525" t="str">
        <f>IF(AND($B1367&gt;='111'!$N$11,$B1367&lt;='111'!$O$11,OR($L1367=$O$7,$M1367=$O$7)),"x","")</f>
        <v/>
      </c>
      <c r="P1367" s="525" t="str">
        <f>IF(AND($L1367=$O$7,$B1367&lt;'111'!$N$11),"x","")</f>
        <v/>
      </c>
      <c r="Q1367" s="525" t="str">
        <f>IF(AND($M1367=$O$7,$B1367&lt;'111'!$N$11),"x","")</f>
        <v/>
      </c>
      <c r="R1367" s="525" t="str">
        <f>IF(ISERROR(FIND('112'!$M$9,G1367,1)),"",IF((AND(FIND('112'!$M$9,G1367,1)&gt;=1,$B1367&gt;='112'!$N$8,$B1367&lt;='112'!$O$8,OR($L1367='112'!$I$6,$M1367='112'!$I$6))),"x",""))</f>
        <v/>
      </c>
      <c r="S1367" s="525" t="str">
        <f>IF(ISERROR(FIND('112'!$M$9,G1367,1)),"",IF((AND(LEFT(G1367,2)=LEFT('112'!$M$9,2),B1367&lt;'112'!$N$8,$L1367='112'!$I$6)),"x",""))</f>
        <v/>
      </c>
      <c r="T1367" s="525" t="str">
        <f>IF(ISERROR(FIND('112'!$M$9,G1367,1)),"",IF((AND(RIGHT(G1367,2)=RIGHT('112'!$M$9,2),B1367&lt;'112'!$N$8,$M1367='112'!$I$6)),"x",""))</f>
        <v/>
      </c>
      <c r="U1367" s="525" t="str">
        <f>IF(AND(B1367&gt;='IN-NX'!$P$3,B1367&lt;='IN-NX'!$Q$3,'IN-NX'!$D$7=D1367,OR(LEFT(L1367,2)="15",AND(LEFT(M1367,2)&lt;&gt;"15",LEFT(M1367,2)&lt;&gt;"33"))),"x","")</f>
        <v/>
      </c>
      <c r="V1367" s="525" t="str">
        <f>IF(AND(OR(LEFT(TH!L1367,2)="15",LEFT(TH!M1367,2)="15"),'152-CT'!$J$8=TH!F1367),"x","")</f>
        <v/>
      </c>
      <c r="W1367" s="525" t="str">
        <f>IF(AND(OR(LEFT(TH!L1367,2)="15",LEFT(TH!M1367,2)="15"),TK!$E$7=TH!F1367),"x","")</f>
        <v/>
      </c>
      <c r="X1367" s="525" t="str">
        <f>IF(AND('341-CT'!$E$9=H1367,OR(LEFT(L1367,3)=$X$7,LEFT(M1367,3)=$X$7)),"x","")</f>
        <v/>
      </c>
      <c r="Y1367" s="525" t="str">
        <f>IF(OR(TH!L1367=TH!$Y$7,M1367=TH!$Y$7),"x","")</f>
        <v/>
      </c>
      <c r="Z1367" s="525" t="str">
        <f>IF(AND(B1367&lt;=NKC!$N$8,B1367&gt;=NKC!$M$8),"x","")</f>
        <v>x</v>
      </c>
      <c r="AA1367" s="535">
        <v>1</v>
      </c>
    </row>
    <row r="1368" spans="1:27" s="503" customFormat="1" ht="15.75" customHeight="1">
      <c r="A1368" s="517" t="str">
        <f>IF(B1368&lt;&gt;"",IF(AND(B1368&gt;=_TM1,B1368&lt;=_TM2,OR(TH!L1368="1111",TH!M1368="1111")),TH!D1368,""),"")</f>
        <v/>
      </c>
      <c r="B1368" s="531">
        <f t="shared" si="142"/>
        <v>1</v>
      </c>
      <c r="C1368" s="315">
        <f t="shared" si="143"/>
        <v>42757</v>
      </c>
      <c r="D1368" s="537" t="s">
        <v>964</v>
      </c>
      <c r="E1368" s="537">
        <v>42757</v>
      </c>
      <c r="F1368" s="249" t="s">
        <v>656</v>
      </c>
      <c r="G1368" s="314" t="s">
        <v>605</v>
      </c>
      <c r="H1368" s="473" t="s">
        <v>447</v>
      </c>
      <c r="I1368" s="307">
        <v>15</v>
      </c>
      <c r="J1368" s="307">
        <v>79275.000000000015</v>
      </c>
      <c r="K1368" s="532">
        <f t="shared" si="141"/>
        <v>1189125</v>
      </c>
      <c r="L1368" s="534" t="s">
        <v>292</v>
      </c>
      <c r="M1368" s="534" t="s">
        <v>8</v>
      </c>
      <c r="N1368" s="525" t="str">
        <f>IF(AND('331-CT'!$E$7=TH!H1368,OR(L1368="331",M1368="331")),"331",IF(AND(OR(L1368="131",M1368="131"),H1368='131-CT'!$E$7),"131",""))</f>
        <v/>
      </c>
      <c r="O1368" s="525" t="str">
        <f>IF(AND($B1368&gt;='111'!$N$11,$B1368&lt;='111'!$O$11,OR($L1368=$O$7,$M1368=$O$7)),"x","")</f>
        <v/>
      </c>
      <c r="P1368" s="525" t="str">
        <f>IF(AND($L1368=$O$7,$B1368&lt;'111'!$N$11),"x","")</f>
        <v/>
      </c>
      <c r="Q1368" s="525" t="str">
        <f>IF(AND($M1368=$O$7,$B1368&lt;'111'!$N$11),"x","")</f>
        <v/>
      </c>
      <c r="R1368" s="525" t="str">
        <f>IF(ISERROR(FIND('112'!$M$9,G1368,1)),"",IF((AND(FIND('112'!$M$9,G1368,1)&gt;=1,$B1368&gt;='112'!$N$8,$B1368&lt;='112'!$O$8,OR($L1368='112'!$I$6,$M1368='112'!$I$6))),"x",""))</f>
        <v/>
      </c>
      <c r="S1368" s="525" t="str">
        <f>IF(ISERROR(FIND('112'!$M$9,G1368,1)),"",IF((AND(LEFT(G1368,2)=LEFT('112'!$M$9,2),B1368&lt;'112'!$N$8,$L1368='112'!$I$6)),"x",""))</f>
        <v/>
      </c>
      <c r="T1368" s="525" t="str">
        <f>IF(ISERROR(FIND('112'!$M$9,G1368,1)),"",IF((AND(RIGHT(G1368,2)=RIGHT('112'!$M$9,2),B1368&lt;'112'!$N$8,$M1368='112'!$I$6)),"x",""))</f>
        <v/>
      </c>
      <c r="U1368" s="525" t="str">
        <f>IF(AND(B1368&gt;='IN-NX'!$P$3,B1368&lt;='IN-NX'!$Q$3,'IN-NX'!$D$7=D1368,OR(LEFT(L1368,2)="15",AND(LEFT(M1368,2)&lt;&gt;"15",LEFT(M1368,2)&lt;&gt;"33"))),"x","")</f>
        <v/>
      </c>
      <c r="V1368" s="525" t="str">
        <f>IF(AND(OR(LEFT(TH!L1368,2)="15",LEFT(TH!M1368,2)="15"),'152-CT'!$J$8=TH!F1368),"x","")</f>
        <v/>
      </c>
      <c r="W1368" s="525" t="str">
        <f>IF(AND(OR(LEFT(TH!L1368,2)="15",LEFT(TH!M1368,2)="15"),TK!$E$7=TH!F1368),"x","")</f>
        <v/>
      </c>
      <c r="X1368" s="525" t="str">
        <f>IF(AND('341-CT'!$E$9=H1368,OR(LEFT(L1368,3)=$X$7,LEFT(M1368,3)=$X$7)),"x","")</f>
        <v/>
      </c>
      <c r="Y1368" s="525" t="str">
        <f>IF(OR(TH!L1368=TH!$Y$7,M1368=TH!$Y$7),"x","")</f>
        <v/>
      </c>
      <c r="Z1368" s="525" t="str">
        <f>IF(AND(B1368&lt;=NKC!$N$8,B1368&gt;=NKC!$M$8),"x","")</f>
        <v>x</v>
      </c>
      <c r="AA1368" s="535">
        <v>1</v>
      </c>
    </row>
    <row r="1369" spans="1:27" s="503" customFormat="1" ht="15.75" customHeight="1">
      <c r="A1369" s="517" t="str">
        <f>IF(B1369&lt;&gt;"",IF(AND(B1369&gt;=_TM1,B1369&lt;=_TM2,OR(TH!L1369="1111",TH!M1369="1111")),TH!D1369,""),"")</f>
        <v/>
      </c>
      <c r="B1369" s="531">
        <f t="shared" si="142"/>
        <v>1</v>
      </c>
      <c r="C1369" s="315">
        <f t="shared" si="143"/>
        <v>42757</v>
      </c>
      <c r="D1369" s="537" t="s">
        <v>965</v>
      </c>
      <c r="E1369" s="537">
        <v>42757</v>
      </c>
      <c r="F1369" s="249" t="s">
        <v>657</v>
      </c>
      <c r="G1369" s="314" t="s">
        <v>605</v>
      </c>
      <c r="H1369" s="473" t="s">
        <v>447</v>
      </c>
      <c r="I1369" s="307">
        <v>20</v>
      </c>
      <c r="J1369" s="307">
        <v>53614.593000000001</v>
      </c>
      <c r="K1369" s="532">
        <f t="shared" si="141"/>
        <v>1072292</v>
      </c>
      <c r="L1369" s="534" t="s">
        <v>292</v>
      </c>
      <c r="M1369" s="534" t="s">
        <v>8</v>
      </c>
      <c r="N1369" s="525" t="str">
        <f>IF(AND('331-CT'!$E$7=TH!H1369,OR(L1369="331",M1369="331")),"331",IF(AND(OR(L1369="131",M1369="131"),H1369='131-CT'!$E$7),"131",""))</f>
        <v/>
      </c>
      <c r="O1369" s="525" t="str">
        <f>IF(AND($B1369&gt;='111'!$N$11,$B1369&lt;='111'!$O$11,OR($L1369=$O$7,$M1369=$O$7)),"x","")</f>
        <v/>
      </c>
      <c r="P1369" s="525" t="str">
        <f>IF(AND($L1369=$O$7,$B1369&lt;'111'!$N$11),"x","")</f>
        <v/>
      </c>
      <c r="Q1369" s="525" t="str">
        <f>IF(AND($M1369=$O$7,$B1369&lt;'111'!$N$11),"x","")</f>
        <v/>
      </c>
      <c r="R1369" s="525" t="str">
        <f>IF(ISERROR(FIND('112'!$M$9,G1369,1)),"",IF((AND(FIND('112'!$M$9,G1369,1)&gt;=1,$B1369&gt;='112'!$N$8,$B1369&lt;='112'!$O$8,OR($L1369='112'!$I$6,$M1369='112'!$I$6))),"x",""))</f>
        <v/>
      </c>
      <c r="S1369" s="525" t="str">
        <f>IF(ISERROR(FIND('112'!$M$9,G1369,1)),"",IF((AND(LEFT(G1369,2)=LEFT('112'!$M$9,2),B1369&lt;'112'!$N$8,$L1369='112'!$I$6)),"x",""))</f>
        <v/>
      </c>
      <c r="T1369" s="525" t="str">
        <f>IF(ISERROR(FIND('112'!$M$9,G1369,1)),"",IF((AND(RIGHT(G1369,2)=RIGHT('112'!$M$9,2),B1369&lt;'112'!$N$8,$M1369='112'!$I$6)),"x",""))</f>
        <v/>
      </c>
      <c r="U1369" s="525" t="str">
        <f>IF(AND(B1369&gt;='IN-NX'!$P$3,B1369&lt;='IN-NX'!$Q$3,'IN-NX'!$D$7=D1369,OR(LEFT(L1369,2)="15",AND(LEFT(M1369,2)&lt;&gt;"15",LEFT(M1369,2)&lt;&gt;"33"))),"x","")</f>
        <v/>
      </c>
      <c r="V1369" s="525" t="str">
        <f>IF(AND(OR(LEFT(TH!L1369,2)="15",LEFT(TH!M1369,2)="15"),'152-CT'!$J$8=TH!F1369),"x","")</f>
        <v/>
      </c>
      <c r="W1369" s="525" t="str">
        <f>IF(AND(OR(LEFT(TH!L1369,2)="15",LEFT(TH!M1369,2)="15"),TK!$E$7=TH!F1369),"x","")</f>
        <v/>
      </c>
      <c r="X1369" s="525" t="str">
        <f>IF(AND('341-CT'!$E$9=H1369,OR(LEFT(L1369,3)=$X$7,LEFT(M1369,3)=$X$7)),"x","")</f>
        <v/>
      </c>
      <c r="Y1369" s="525" t="str">
        <f>IF(OR(TH!L1369=TH!$Y$7,M1369=TH!$Y$7),"x","")</f>
        <v/>
      </c>
      <c r="Z1369" s="525" t="str">
        <f>IF(AND(B1369&lt;=NKC!$N$8,B1369&gt;=NKC!$M$8),"x","")</f>
        <v>x</v>
      </c>
      <c r="AA1369" s="535">
        <v>1</v>
      </c>
    </row>
    <row r="1370" spans="1:27" s="503" customFormat="1" ht="15.75" customHeight="1">
      <c r="A1370" s="517" t="str">
        <f>IF(B1370&lt;&gt;"",IF(AND(B1370&gt;=_TM1,B1370&lt;=_TM2,OR(TH!L1370="1111",TH!M1370="1111")),TH!D1370,""),"")</f>
        <v/>
      </c>
      <c r="B1370" s="531">
        <f t="shared" si="142"/>
        <v>1</v>
      </c>
      <c r="C1370" s="315">
        <f t="shared" si="143"/>
        <v>42757</v>
      </c>
      <c r="D1370" s="537" t="s">
        <v>965</v>
      </c>
      <c r="E1370" s="537">
        <v>42757</v>
      </c>
      <c r="F1370" s="249" t="s">
        <v>658</v>
      </c>
      <c r="G1370" s="314" t="s">
        <v>605</v>
      </c>
      <c r="H1370" s="473" t="s">
        <v>447</v>
      </c>
      <c r="I1370" s="307">
        <v>30</v>
      </c>
      <c r="J1370" s="307">
        <v>66599</v>
      </c>
      <c r="K1370" s="532">
        <f t="shared" si="141"/>
        <v>1997970</v>
      </c>
      <c r="L1370" s="534" t="s">
        <v>292</v>
      </c>
      <c r="M1370" s="534" t="s">
        <v>8</v>
      </c>
      <c r="N1370" s="525" t="str">
        <f>IF(AND('331-CT'!$E$7=TH!H1370,OR(L1370="331",M1370="331")),"331",IF(AND(OR(L1370="131",M1370="131"),H1370='131-CT'!$E$7),"131",""))</f>
        <v/>
      </c>
      <c r="O1370" s="525" t="str">
        <f>IF(AND($B1370&gt;='111'!$N$11,$B1370&lt;='111'!$O$11,OR($L1370=$O$7,$M1370=$O$7)),"x","")</f>
        <v/>
      </c>
      <c r="P1370" s="525" t="str">
        <f>IF(AND($L1370=$O$7,$B1370&lt;'111'!$N$11),"x","")</f>
        <v/>
      </c>
      <c r="Q1370" s="525" t="str">
        <f>IF(AND($M1370=$O$7,$B1370&lt;'111'!$N$11),"x","")</f>
        <v/>
      </c>
      <c r="R1370" s="525" t="str">
        <f>IF(ISERROR(FIND('112'!$M$9,G1370,1)),"",IF((AND(FIND('112'!$M$9,G1370,1)&gt;=1,$B1370&gt;='112'!$N$8,$B1370&lt;='112'!$O$8,OR($L1370='112'!$I$6,$M1370='112'!$I$6))),"x",""))</f>
        <v/>
      </c>
      <c r="S1370" s="525" t="str">
        <f>IF(ISERROR(FIND('112'!$M$9,G1370,1)),"",IF((AND(LEFT(G1370,2)=LEFT('112'!$M$9,2),B1370&lt;'112'!$N$8,$L1370='112'!$I$6)),"x",""))</f>
        <v/>
      </c>
      <c r="T1370" s="525" t="str">
        <f>IF(ISERROR(FIND('112'!$M$9,G1370,1)),"",IF((AND(RIGHT(G1370,2)=RIGHT('112'!$M$9,2),B1370&lt;'112'!$N$8,$M1370='112'!$I$6)),"x",""))</f>
        <v/>
      </c>
      <c r="U1370" s="525" t="str">
        <f>IF(AND(B1370&gt;='IN-NX'!$P$3,B1370&lt;='IN-NX'!$Q$3,'IN-NX'!$D$7=D1370,OR(LEFT(L1370,2)="15",AND(LEFT(M1370,2)&lt;&gt;"15",LEFT(M1370,2)&lt;&gt;"33"))),"x","")</f>
        <v/>
      </c>
      <c r="V1370" s="525" t="str">
        <f>IF(AND(OR(LEFT(TH!L1370,2)="15",LEFT(TH!M1370,2)="15"),'152-CT'!$J$8=TH!F1370),"x","")</f>
        <v/>
      </c>
      <c r="W1370" s="525" t="str">
        <f>IF(AND(OR(LEFT(TH!L1370,2)="15",LEFT(TH!M1370,2)="15"),TK!$E$7=TH!F1370),"x","")</f>
        <v/>
      </c>
      <c r="X1370" s="525" t="str">
        <f>IF(AND('341-CT'!$E$9=H1370,OR(LEFT(L1370,3)=$X$7,LEFT(M1370,3)=$X$7)),"x","")</f>
        <v/>
      </c>
      <c r="Y1370" s="525" t="str">
        <f>IF(OR(TH!L1370=TH!$Y$7,M1370=TH!$Y$7),"x","")</f>
        <v/>
      </c>
      <c r="Z1370" s="525" t="str">
        <f>IF(AND(B1370&lt;=NKC!$N$8,B1370&gt;=NKC!$M$8),"x","")</f>
        <v>x</v>
      </c>
      <c r="AA1370" s="535">
        <v>1</v>
      </c>
    </row>
    <row r="1371" spans="1:27" s="503" customFormat="1" ht="15.75" customHeight="1">
      <c r="A1371" s="517" t="str">
        <f>IF(B1371&lt;&gt;"",IF(AND(B1371&gt;=_TM1,B1371&lt;=_TM2,OR(TH!L1371="1111",TH!M1371="1111")),TH!D1371,""),"")</f>
        <v/>
      </c>
      <c r="B1371" s="531">
        <f t="shared" si="142"/>
        <v>1</v>
      </c>
      <c r="C1371" s="315">
        <f t="shared" si="143"/>
        <v>42757</v>
      </c>
      <c r="D1371" s="537" t="s">
        <v>965</v>
      </c>
      <c r="E1371" s="537">
        <v>42757</v>
      </c>
      <c r="F1371" s="249" t="s">
        <v>658</v>
      </c>
      <c r="G1371" s="314" t="s">
        <v>605</v>
      </c>
      <c r="H1371" s="473" t="s">
        <v>447</v>
      </c>
      <c r="I1371" s="307">
        <v>18</v>
      </c>
      <c r="J1371" s="307">
        <v>70086</v>
      </c>
      <c r="K1371" s="532">
        <f t="shared" si="141"/>
        <v>1261548</v>
      </c>
      <c r="L1371" s="534" t="s">
        <v>292</v>
      </c>
      <c r="M1371" s="534" t="s">
        <v>8</v>
      </c>
      <c r="N1371" s="525" t="str">
        <f>IF(AND('331-CT'!$E$7=TH!H1371,OR(L1371="331",M1371="331")),"331",IF(AND(OR(L1371="131",M1371="131"),H1371='131-CT'!$E$7),"131",""))</f>
        <v/>
      </c>
      <c r="O1371" s="525" t="str">
        <f>IF(AND($B1371&gt;='111'!$N$11,$B1371&lt;='111'!$O$11,OR($L1371=$O$7,$M1371=$O$7)),"x","")</f>
        <v/>
      </c>
      <c r="P1371" s="525" t="str">
        <f>IF(AND($L1371=$O$7,$B1371&lt;'111'!$N$11),"x","")</f>
        <v/>
      </c>
      <c r="Q1371" s="525" t="str">
        <f>IF(AND($M1371=$O$7,$B1371&lt;'111'!$N$11),"x","")</f>
        <v/>
      </c>
      <c r="R1371" s="525" t="str">
        <f>IF(ISERROR(FIND('112'!$M$9,G1371,1)),"",IF((AND(FIND('112'!$M$9,G1371,1)&gt;=1,$B1371&gt;='112'!$N$8,$B1371&lt;='112'!$O$8,OR($L1371='112'!$I$6,$M1371='112'!$I$6))),"x",""))</f>
        <v/>
      </c>
      <c r="S1371" s="525" t="str">
        <f>IF(ISERROR(FIND('112'!$M$9,G1371,1)),"",IF((AND(LEFT(G1371,2)=LEFT('112'!$M$9,2),B1371&lt;'112'!$N$8,$L1371='112'!$I$6)),"x",""))</f>
        <v/>
      </c>
      <c r="T1371" s="525" t="str">
        <f>IF(ISERROR(FIND('112'!$M$9,G1371,1)),"",IF((AND(RIGHT(G1371,2)=RIGHT('112'!$M$9,2),B1371&lt;'112'!$N$8,$M1371='112'!$I$6)),"x",""))</f>
        <v/>
      </c>
      <c r="U1371" s="525" t="str">
        <f>IF(AND(B1371&gt;='IN-NX'!$P$3,B1371&lt;='IN-NX'!$Q$3,'IN-NX'!$D$7=D1371,OR(LEFT(L1371,2)="15",AND(LEFT(M1371,2)&lt;&gt;"15",LEFT(M1371,2)&lt;&gt;"33"))),"x","")</f>
        <v/>
      </c>
      <c r="V1371" s="525" t="str">
        <f>IF(AND(OR(LEFT(TH!L1371,2)="15",LEFT(TH!M1371,2)="15"),'152-CT'!$J$8=TH!F1371),"x","")</f>
        <v/>
      </c>
      <c r="W1371" s="525" t="str">
        <f>IF(AND(OR(LEFT(TH!L1371,2)="15",LEFT(TH!M1371,2)="15"),TK!$E$7=TH!F1371),"x","")</f>
        <v/>
      </c>
      <c r="X1371" s="525" t="str">
        <f>IF(AND('341-CT'!$E$9=H1371,OR(LEFT(L1371,3)=$X$7,LEFT(M1371,3)=$X$7)),"x","")</f>
        <v/>
      </c>
      <c r="Y1371" s="525" t="str">
        <f>IF(OR(TH!L1371=TH!$Y$7,M1371=TH!$Y$7),"x","")</f>
        <v/>
      </c>
      <c r="Z1371" s="525" t="str">
        <f>IF(AND(B1371&lt;=NKC!$N$8,B1371&gt;=NKC!$M$8),"x","")</f>
        <v>x</v>
      </c>
      <c r="AA1371" s="535">
        <v>1</v>
      </c>
    </row>
    <row r="1372" spans="1:27" s="503" customFormat="1" ht="15.75" customHeight="1">
      <c r="A1372" s="517" t="str">
        <f>IF(B1372&lt;&gt;"",IF(AND(B1372&gt;=_TM1,B1372&lt;=_TM2,OR(TH!L1372="1111",TH!M1372="1111")),TH!D1372,""),"")</f>
        <v/>
      </c>
      <c r="B1372" s="531">
        <f t="shared" si="142"/>
        <v>1</v>
      </c>
      <c r="C1372" s="315">
        <f t="shared" si="143"/>
        <v>42757</v>
      </c>
      <c r="D1372" s="537" t="s">
        <v>965</v>
      </c>
      <c r="E1372" s="537">
        <v>42757</v>
      </c>
      <c r="F1372" s="249" t="s">
        <v>659</v>
      </c>
      <c r="G1372" s="314" t="s">
        <v>605</v>
      </c>
      <c r="H1372" s="473" t="s">
        <v>447</v>
      </c>
      <c r="I1372" s="307">
        <v>4</v>
      </c>
      <c r="J1372" s="307">
        <v>82895</v>
      </c>
      <c r="K1372" s="532">
        <f t="shared" si="141"/>
        <v>331580</v>
      </c>
      <c r="L1372" s="534" t="s">
        <v>292</v>
      </c>
      <c r="M1372" s="534" t="s">
        <v>8</v>
      </c>
      <c r="N1372" s="525" t="str">
        <f>IF(AND('331-CT'!$E$7=TH!H1372,OR(L1372="331",M1372="331")),"331",IF(AND(OR(L1372="131",M1372="131"),H1372='131-CT'!$E$7),"131",""))</f>
        <v/>
      </c>
      <c r="O1372" s="525" t="str">
        <f>IF(AND($B1372&gt;='111'!$N$11,$B1372&lt;='111'!$O$11,OR($L1372=$O$7,$M1372=$O$7)),"x","")</f>
        <v/>
      </c>
      <c r="P1372" s="525" t="str">
        <f>IF(AND($L1372=$O$7,$B1372&lt;'111'!$N$11),"x","")</f>
        <v/>
      </c>
      <c r="Q1372" s="525" t="str">
        <f>IF(AND($M1372=$O$7,$B1372&lt;'111'!$N$11),"x","")</f>
        <v/>
      </c>
      <c r="R1372" s="525" t="str">
        <f>IF(ISERROR(FIND('112'!$M$9,G1372,1)),"",IF((AND(FIND('112'!$M$9,G1372,1)&gt;=1,$B1372&gt;='112'!$N$8,$B1372&lt;='112'!$O$8,OR($L1372='112'!$I$6,$M1372='112'!$I$6))),"x",""))</f>
        <v/>
      </c>
      <c r="S1372" s="525" t="str">
        <f>IF(ISERROR(FIND('112'!$M$9,G1372,1)),"",IF((AND(LEFT(G1372,2)=LEFT('112'!$M$9,2),B1372&lt;'112'!$N$8,$L1372='112'!$I$6)),"x",""))</f>
        <v/>
      </c>
      <c r="T1372" s="525" t="str">
        <f>IF(ISERROR(FIND('112'!$M$9,G1372,1)),"",IF((AND(RIGHT(G1372,2)=RIGHT('112'!$M$9,2),B1372&lt;'112'!$N$8,$M1372='112'!$I$6)),"x",""))</f>
        <v/>
      </c>
      <c r="U1372" s="525" t="str">
        <f>IF(AND(B1372&gt;='IN-NX'!$P$3,B1372&lt;='IN-NX'!$Q$3,'IN-NX'!$D$7=D1372,OR(LEFT(L1372,2)="15",AND(LEFT(M1372,2)&lt;&gt;"15",LEFT(M1372,2)&lt;&gt;"33"))),"x","")</f>
        <v/>
      </c>
      <c r="V1372" s="525" t="str">
        <f>IF(AND(OR(LEFT(TH!L1372,2)="15",LEFT(TH!M1372,2)="15"),'152-CT'!$J$8=TH!F1372),"x","")</f>
        <v/>
      </c>
      <c r="W1372" s="525" t="str">
        <f>IF(AND(OR(LEFT(TH!L1372,2)="15",LEFT(TH!M1372,2)="15"),TK!$E$7=TH!F1372),"x","")</f>
        <v/>
      </c>
      <c r="X1372" s="525" t="str">
        <f>IF(AND('341-CT'!$E$9=H1372,OR(LEFT(L1372,3)=$X$7,LEFT(M1372,3)=$X$7)),"x","")</f>
        <v/>
      </c>
      <c r="Y1372" s="525" t="str">
        <f>IF(OR(TH!L1372=TH!$Y$7,M1372=TH!$Y$7),"x","")</f>
        <v/>
      </c>
      <c r="Z1372" s="525" t="str">
        <f>IF(AND(B1372&lt;=NKC!$N$8,B1372&gt;=NKC!$M$8),"x","")</f>
        <v>x</v>
      </c>
      <c r="AA1372" s="535">
        <v>1</v>
      </c>
    </row>
    <row r="1373" spans="1:27" s="503" customFormat="1" ht="15.75" customHeight="1">
      <c r="A1373" s="517" t="str">
        <f>IF(B1373&lt;&gt;"",IF(AND(B1373&gt;=_TM1,B1373&lt;=_TM2,OR(TH!L1373="1111",TH!M1373="1111")),TH!D1373,""),"")</f>
        <v/>
      </c>
      <c r="B1373" s="531">
        <f t="shared" si="142"/>
        <v>1</v>
      </c>
      <c r="C1373" s="315">
        <f t="shared" si="143"/>
        <v>42757</v>
      </c>
      <c r="D1373" s="537" t="s">
        <v>965</v>
      </c>
      <c r="E1373" s="537">
        <v>42757</v>
      </c>
      <c r="F1373" s="249" t="s">
        <v>660</v>
      </c>
      <c r="G1373" s="314" t="s">
        <v>605</v>
      </c>
      <c r="H1373" s="473" t="s">
        <v>447</v>
      </c>
      <c r="I1373" s="307">
        <v>8</v>
      </c>
      <c r="J1373" s="307">
        <v>99792</v>
      </c>
      <c r="K1373" s="532">
        <f t="shared" si="141"/>
        <v>798336</v>
      </c>
      <c r="L1373" s="534" t="s">
        <v>292</v>
      </c>
      <c r="M1373" s="534" t="s">
        <v>8</v>
      </c>
      <c r="N1373" s="525" t="str">
        <f>IF(AND('331-CT'!$E$7=TH!H1373,OR(L1373="331",M1373="331")),"331",IF(AND(OR(L1373="131",M1373="131"),H1373='131-CT'!$E$7),"131",""))</f>
        <v/>
      </c>
      <c r="O1373" s="525" t="str">
        <f>IF(AND($B1373&gt;='111'!$N$11,$B1373&lt;='111'!$O$11,OR($L1373=$O$7,$M1373=$O$7)),"x","")</f>
        <v/>
      </c>
      <c r="P1373" s="525" t="str">
        <f>IF(AND($L1373=$O$7,$B1373&lt;'111'!$N$11),"x","")</f>
        <v/>
      </c>
      <c r="Q1373" s="525" t="str">
        <f>IF(AND($M1373=$O$7,$B1373&lt;'111'!$N$11),"x","")</f>
        <v/>
      </c>
      <c r="R1373" s="525" t="str">
        <f>IF(ISERROR(FIND('112'!$M$9,G1373,1)),"",IF((AND(FIND('112'!$M$9,G1373,1)&gt;=1,$B1373&gt;='112'!$N$8,$B1373&lt;='112'!$O$8,OR($L1373='112'!$I$6,$M1373='112'!$I$6))),"x",""))</f>
        <v/>
      </c>
      <c r="S1373" s="525" t="str">
        <f>IF(ISERROR(FIND('112'!$M$9,G1373,1)),"",IF((AND(LEFT(G1373,2)=LEFT('112'!$M$9,2),B1373&lt;'112'!$N$8,$L1373='112'!$I$6)),"x",""))</f>
        <v/>
      </c>
      <c r="T1373" s="525" t="str">
        <f>IF(ISERROR(FIND('112'!$M$9,G1373,1)),"",IF((AND(RIGHT(G1373,2)=RIGHT('112'!$M$9,2),B1373&lt;'112'!$N$8,$M1373='112'!$I$6)),"x",""))</f>
        <v/>
      </c>
      <c r="U1373" s="525" t="str">
        <f>IF(AND(B1373&gt;='IN-NX'!$P$3,B1373&lt;='IN-NX'!$Q$3,'IN-NX'!$D$7=D1373,OR(LEFT(L1373,2)="15",AND(LEFT(M1373,2)&lt;&gt;"15",LEFT(M1373,2)&lt;&gt;"33"))),"x","")</f>
        <v/>
      </c>
      <c r="V1373" s="525" t="str">
        <f>IF(AND(OR(LEFT(TH!L1373,2)="15",LEFT(TH!M1373,2)="15"),'152-CT'!$J$8=TH!F1373),"x","")</f>
        <v/>
      </c>
      <c r="W1373" s="525" t="str">
        <f>IF(AND(OR(LEFT(TH!L1373,2)="15",LEFT(TH!M1373,2)="15"),TK!$E$7=TH!F1373),"x","")</f>
        <v/>
      </c>
      <c r="X1373" s="525" t="str">
        <f>IF(AND('341-CT'!$E$9=H1373,OR(LEFT(L1373,3)=$X$7,LEFT(M1373,3)=$X$7)),"x","")</f>
        <v/>
      </c>
      <c r="Y1373" s="525" t="str">
        <f>IF(OR(TH!L1373=TH!$Y$7,M1373=TH!$Y$7),"x","")</f>
        <v/>
      </c>
      <c r="Z1373" s="525" t="str">
        <f>IF(AND(B1373&lt;=NKC!$N$8,B1373&gt;=NKC!$M$8),"x","")</f>
        <v>x</v>
      </c>
      <c r="AA1373" s="535">
        <v>1</v>
      </c>
    </row>
    <row r="1374" spans="1:27" s="503" customFormat="1" ht="15.75" customHeight="1">
      <c r="A1374" s="517" t="str">
        <f>IF(B1374&lt;&gt;"",IF(AND(B1374&gt;=_TM1,B1374&lt;=_TM2,OR(TH!L1374="1111",TH!M1374="1111")),TH!D1374,""),"")</f>
        <v/>
      </c>
      <c r="B1374" s="531">
        <f t="shared" si="142"/>
        <v>1</v>
      </c>
      <c r="C1374" s="315">
        <f t="shared" si="143"/>
        <v>42757</v>
      </c>
      <c r="D1374" s="537" t="s">
        <v>965</v>
      </c>
      <c r="E1374" s="537">
        <v>42757</v>
      </c>
      <c r="F1374" s="249" t="s">
        <v>661</v>
      </c>
      <c r="G1374" s="314" t="s">
        <v>605</v>
      </c>
      <c r="H1374" s="473" t="s">
        <v>447</v>
      </c>
      <c r="I1374" s="307">
        <v>7</v>
      </c>
      <c r="J1374" s="307">
        <v>64474</v>
      </c>
      <c r="K1374" s="532">
        <f t="shared" si="141"/>
        <v>451318</v>
      </c>
      <c r="L1374" s="534" t="s">
        <v>292</v>
      </c>
      <c r="M1374" s="534" t="s">
        <v>8</v>
      </c>
      <c r="N1374" s="525" t="str">
        <f>IF(AND('331-CT'!$E$7=TH!H1374,OR(L1374="331",M1374="331")),"331",IF(AND(OR(L1374="131",M1374="131"),H1374='131-CT'!$E$7),"131",""))</f>
        <v/>
      </c>
      <c r="O1374" s="525" t="str">
        <f>IF(AND($B1374&gt;='111'!$N$11,$B1374&lt;='111'!$O$11,OR($L1374=$O$7,$M1374=$O$7)),"x","")</f>
        <v/>
      </c>
      <c r="P1374" s="525" t="str">
        <f>IF(AND($L1374=$O$7,$B1374&lt;'111'!$N$11),"x","")</f>
        <v/>
      </c>
      <c r="Q1374" s="525" t="str">
        <f>IF(AND($M1374=$O$7,$B1374&lt;'111'!$N$11),"x","")</f>
        <v/>
      </c>
      <c r="R1374" s="525" t="str">
        <f>IF(ISERROR(FIND('112'!$M$9,G1374,1)),"",IF((AND(FIND('112'!$M$9,G1374,1)&gt;=1,$B1374&gt;='112'!$N$8,$B1374&lt;='112'!$O$8,OR($L1374='112'!$I$6,$M1374='112'!$I$6))),"x",""))</f>
        <v/>
      </c>
      <c r="S1374" s="525" t="str">
        <f>IF(ISERROR(FIND('112'!$M$9,G1374,1)),"",IF((AND(LEFT(G1374,2)=LEFT('112'!$M$9,2),B1374&lt;'112'!$N$8,$L1374='112'!$I$6)),"x",""))</f>
        <v/>
      </c>
      <c r="T1374" s="525" t="str">
        <f>IF(ISERROR(FIND('112'!$M$9,G1374,1)),"",IF((AND(RIGHT(G1374,2)=RIGHT('112'!$M$9,2),B1374&lt;'112'!$N$8,$M1374='112'!$I$6)),"x",""))</f>
        <v/>
      </c>
      <c r="U1374" s="525" t="str">
        <f>IF(AND(B1374&gt;='IN-NX'!$P$3,B1374&lt;='IN-NX'!$Q$3,'IN-NX'!$D$7=D1374,OR(LEFT(L1374,2)="15",AND(LEFT(M1374,2)&lt;&gt;"15",LEFT(M1374,2)&lt;&gt;"33"))),"x","")</f>
        <v/>
      </c>
      <c r="V1374" s="525" t="str">
        <f>IF(AND(OR(LEFT(TH!L1374,2)="15",LEFT(TH!M1374,2)="15"),'152-CT'!$J$8=TH!F1374),"x","")</f>
        <v/>
      </c>
      <c r="W1374" s="525" t="str">
        <f>IF(AND(OR(LEFT(TH!L1374,2)="15",LEFT(TH!M1374,2)="15"),TK!$E$7=TH!F1374),"x","")</f>
        <v/>
      </c>
      <c r="X1374" s="525" t="str">
        <f>IF(AND('341-CT'!$E$9=H1374,OR(LEFT(L1374,3)=$X$7,LEFT(M1374,3)=$X$7)),"x","")</f>
        <v/>
      </c>
      <c r="Y1374" s="525" t="str">
        <f>IF(OR(TH!L1374=TH!$Y$7,M1374=TH!$Y$7),"x","")</f>
        <v/>
      </c>
      <c r="Z1374" s="525" t="str">
        <f>IF(AND(B1374&lt;=NKC!$N$8,B1374&gt;=NKC!$M$8),"x","")</f>
        <v>x</v>
      </c>
      <c r="AA1374" s="535">
        <v>1</v>
      </c>
    </row>
    <row r="1375" spans="1:27" s="503" customFormat="1" ht="15.75" customHeight="1">
      <c r="A1375" s="517" t="str">
        <f>IF(B1375&lt;&gt;"",IF(AND(B1375&gt;=_TM1,B1375&lt;=_TM2,OR(TH!L1375="1111",TH!M1375="1111")),TH!D1375,""),"")</f>
        <v/>
      </c>
      <c r="B1375" s="531">
        <f t="shared" si="142"/>
        <v>1</v>
      </c>
      <c r="C1375" s="315">
        <f t="shared" si="143"/>
        <v>42757</v>
      </c>
      <c r="D1375" s="537" t="s">
        <v>965</v>
      </c>
      <c r="E1375" s="537">
        <v>42757</v>
      </c>
      <c r="F1375" s="249" t="s">
        <v>662</v>
      </c>
      <c r="G1375" s="314" t="s">
        <v>605</v>
      </c>
      <c r="H1375" s="473" t="s">
        <v>447</v>
      </c>
      <c r="I1375" s="307">
        <v>4</v>
      </c>
      <c r="J1375" s="307">
        <v>107419</v>
      </c>
      <c r="K1375" s="532">
        <f t="shared" si="141"/>
        <v>429676</v>
      </c>
      <c r="L1375" s="534" t="s">
        <v>292</v>
      </c>
      <c r="M1375" s="534" t="s">
        <v>8</v>
      </c>
      <c r="N1375" s="525" t="str">
        <f>IF(AND('331-CT'!$E$7=TH!H1375,OR(L1375="331",M1375="331")),"331",IF(AND(OR(L1375="131",M1375="131"),H1375='131-CT'!$E$7),"131",""))</f>
        <v/>
      </c>
      <c r="O1375" s="525" t="str">
        <f>IF(AND($B1375&gt;='111'!$N$11,$B1375&lt;='111'!$O$11,OR($L1375=$O$7,$M1375=$O$7)),"x","")</f>
        <v/>
      </c>
      <c r="P1375" s="525" t="str">
        <f>IF(AND($L1375=$O$7,$B1375&lt;'111'!$N$11),"x","")</f>
        <v/>
      </c>
      <c r="Q1375" s="525" t="str">
        <f>IF(AND($M1375=$O$7,$B1375&lt;'111'!$N$11),"x","")</f>
        <v/>
      </c>
      <c r="R1375" s="525" t="str">
        <f>IF(ISERROR(FIND('112'!$M$9,G1375,1)),"",IF((AND(FIND('112'!$M$9,G1375,1)&gt;=1,$B1375&gt;='112'!$N$8,$B1375&lt;='112'!$O$8,OR($L1375='112'!$I$6,$M1375='112'!$I$6))),"x",""))</f>
        <v/>
      </c>
      <c r="S1375" s="525" t="str">
        <f>IF(ISERROR(FIND('112'!$M$9,G1375,1)),"",IF((AND(LEFT(G1375,2)=LEFT('112'!$M$9,2),B1375&lt;'112'!$N$8,$L1375='112'!$I$6)),"x",""))</f>
        <v/>
      </c>
      <c r="T1375" s="525" t="str">
        <f>IF(ISERROR(FIND('112'!$M$9,G1375,1)),"",IF((AND(RIGHT(G1375,2)=RIGHT('112'!$M$9,2),B1375&lt;'112'!$N$8,$M1375='112'!$I$6)),"x",""))</f>
        <v/>
      </c>
      <c r="U1375" s="525" t="str">
        <f>IF(AND(B1375&gt;='IN-NX'!$P$3,B1375&lt;='IN-NX'!$Q$3,'IN-NX'!$D$7=D1375,OR(LEFT(L1375,2)="15",AND(LEFT(M1375,2)&lt;&gt;"15",LEFT(M1375,2)&lt;&gt;"33"))),"x","")</f>
        <v/>
      </c>
      <c r="V1375" s="525" t="str">
        <f>IF(AND(OR(LEFT(TH!L1375,2)="15",LEFT(TH!M1375,2)="15"),'152-CT'!$J$8=TH!F1375),"x","")</f>
        <v/>
      </c>
      <c r="W1375" s="525" t="str">
        <f>IF(AND(OR(LEFT(TH!L1375,2)="15",LEFT(TH!M1375,2)="15"),TK!$E$7=TH!F1375),"x","")</f>
        <v/>
      </c>
      <c r="X1375" s="525" t="str">
        <f>IF(AND('341-CT'!$E$9=H1375,OR(LEFT(L1375,3)=$X$7,LEFT(M1375,3)=$X$7)),"x","")</f>
        <v/>
      </c>
      <c r="Y1375" s="525" t="str">
        <f>IF(OR(TH!L1375=TH!$Y$7,M1375=TH!$Y$7),"x","")</f>
        <v/>
      </c>
      <c r="Z1375" s="525" t="str">
        <f>IF(AND(B1375&lt;=NKC!$N$8,B1375&gt;=NKC!$M$8),"x","")</f>
        <v>x</v>
      </c>
      <c r="AA1375" s="535">
        <v>1</v>
      </c>
    </row>
    <row r="1376" spans="1:27" s="503" customFormat="1" ht="15.75" customHeight="1">
      <c r="A1376" s="517" t="str">
        <f>IF(B1376&lt;&gt;"",IF(AND(B1376&gt;=_TM1,B1376&lt;=_TM2,OR(TH!L1376="1111",TH!M1376="1111")),TH!D1376,""),"")</f>
        <v/>
      </c>
      <c r="B1376" s="531">
        <f t="shared" si="142"/>
        <v>1</v>
      </c>
      <c r="C1376" s="315">
        <f t="shared" si="143"/>
        <v>42757</v>
      </c>
      <c r="D1376" s="537" t="s">
        <v>965</v>
      </c>
      <c r="E1376" s="537">
        <v>42757</v>
      </c>
      <c r="F1376" s="249" t="s">
        <v>663</v>
      </c>
      <c r="G1376" s="314" t="s">
        <v>605</v>
      </c>
      <c r="H1376" s="473" t="s">
        <v>447</v>
      </c>
      <c r="I1376" s="307">
        <v>12</v>
      </c>
      <c r="J1376" s="307">
        <v>45864</v>
      </c>
      <c r="K1376" s="532">
        <f t="shared" si="141"/>
        <v>550368</v>
      </c>
      <c r="L1376" s="534" t="s">
        <v>292</v>
      </c>
      <c r="M1376" s="534" t="s">
        <v>8</v>
      </c>
      <c r="N1376" s="525" t="str">
        <f>IF(AND('331-CT'!$E$7=TH!H1376,OR(L1376="331",M1376="331")),"331",IF(AND(OR(L1376="131",M1376="131"),H1376='131-CT'!$E$7),"131",""))</f>
        <v/>
      </c>
      <c r="O1376" s="525" t="str">
        <f>IF(AND($B1376&gt;='111'!$N$11,$B1376&lt;='111'!$O$11,OR($L1376=$O$7,$M1376=$O$7)),"x","")</f>
        <v/>
      </c>
      <c r="P1376" s="525" t="str">
        <f>IF(AND($L1376=$O$7,$B1376&lt;'111'!$N$11),"x","")</f>
        <v/>
      </c>
      <c r="Q1376" s="525" t="str">
        <f>IF(AND($M1376=$O$7,$B1376&lt;'111'!$N$11),"x","")</f>
        <v/>
      </c>
      <c r="R1376" s="525" t="str">
        <f>IF(ISERROR(FIND('112'!$M$9,G1376,1)),"",IF((AND(FIND('112'!$M$9,G1376,1)&gt;=1,$B1376&gt;='112'!$N$8,$B1376&lt;='112'!$O$8,OR($L1376='112'!$I$6,$M1376='112'!$I$6))),"x",""))</f>
        <v/>
      </c>
      <c r="S1376" s="525" t="str">
        <f>IF(ISERROR(FIND('112'!$M$9,G1376,1)),"",IF((AND(LEFT(G1376,2)=LEFT('112'!$M$9,2),B1376&lt;'112'!$N$8,$L1376='112'!$I$6)),"x",""))</f>
        <v/>
      </c>
      <c r="T1376" s="525" t="str">
        <f>IF(ISERROR(FIND('112'!$M$9,G1376,1)),"",IF((AND(RIGHT(G1376,2)=RIGHT('112'!$M$9,2),B1376&lt;'112'!$N$8,$M1376='112'!$I$6)),"x",""))</f>
        <v/>
      </c>
      <c r="U1376" s="525" t="str">
        <f>IF(AND(B1376&gt;='IN-NX'!$P$3,B1376&lt;='IN-NX'!$Q$3,'IN-NX'!$D$7=D1376,OR(LEFT(L1376,2)="15",AND(LEFT(M1376,2)&lt;&gt;"15",LEFT(M1376,2)&lt;&gt;"33"))),"x","")</f>
        <v/>
      </c>
      <c r="V1376" s="525" t="str">
        <f>IF(AND(OR(LEFT(TH!L1376,2)="15",LEFT(TH!M1376,2)="15"),'152-CT'!$J$8=TH!F1376),"x","")</f>
        <v/>
      </c>
      <c r="W1376" s="525" t="str">
        <f>IF(AND(OR(LEFT(TH!L1376,2)="15",LEFT(TH!M1376,2)="15"),TK!$E$7=TH!F1376),"x","")</f>
        <v/>
      </c>
      <c r="X1376" s="525" t="str">
        <f>IF(AND('341-CT'!$E$9=H1376,OR(LEFT(L1376,3)=$X$7,LEFT(M1376,3)=$X$7)),"x","")</f>
        <v/>
      </c>
      <c r="Y1376" s="525" t="str">
        <f>IF(OR(TH!L1376=TH!$Y$7,M1376=TH!$Y$7),"x","")</f>
        <v/>
      </c>
      <c r="Z1376" s="525" t="str">
        <f>IF(AND(B1376&lt;=NKC!$N$8,B1376&gt;=NKC!$M$8),"x","")</f>
        <v>x</v>
      </c>
      <c r="AA1376" s="535">
        <v>1</v>
      </c>
    </row>
    <row r="1377" spans="1:27" s="503" customFormat="1" ht="15.75" customHeight="1">
      <c r="A1377" s="517" t="str">
        <f>IF(B1377&lt;&gt;"",IF(AND(B1377&gt;=_TM1,B1377&lt;=_TM2,OR(TH!L1377="1111",TH!M1377="1111")),TH!D1377,""),"")</f>
        <v/>
      </c>
      <c r="B1377" s="531">
        <f t="shared" si="142"/>
        <v>1</v>
      </c>
      <c r="C1377" s="315">
        <f t="shared" si="143"/>
        <v>42757</v>
      </c>
      <c r="D1377" s="537" t="s">
        <v>965</v>
      </c>
      <c r="E1377" s="537">
        <v>42757</v>
      </c>
      <c r="F1377" s="249" t="s">
        <v>664</v>
      </c>
      <c r="G1377" s="314" t="s">
        <v>605</v>
      </c>
      <c r="H1377" s="473" t="s">
        <v>447</v>
      </c>
      <c r="I1377" s="307">
        <v>6</v>
      </c>
      <c r="J1377" s="307">
        <v>48019</v>
      </c>
      <c r="K1377" s="532">
        <f t="shared" si="141"/>
        <v>288114</v>
      </c>
      <c r="L1377" s="534" t="s">
        <v>292</v>
      </c>
      <c r="M1377" s="534" t="s">
        <v>8</v>
      </c>
      <c r="N1377" s="525" t="str">
        <f>IF(AND('331-CT'!$E$7=TH!H1377,OR(L1377="331",M1377="331")),"331",IF(AND(OR(L1377="131",M1377="131"),H1377='131-CT'!$E$7),"131",""))</f>
        <v/>
      </c>
      <c r="O1377" s="525" t="str">
        <f>IF(AND($B1377&gt;='111'!$N$11,$B1377&lt;='111'!$O$11,OR($L1377=$O$7,$M1377=$O$7)),"x","")</f>
        <v/>
      </c>
      <c r="P1377" s="525" t="str">
        <f>IF(AND($L1377=$O$7,$B1377&lt;'111'!$N$11),"x","")</f>
        <v/>
      </c>
      <c r="Q1377" s="525" t="str">
        <f>IF(AND($M1377=$O$7,$B1377&lt;'111'!$N$11),"x","")</f>
        <v/>
      </c>
      <c r="R1377" s="525" t="str">
        <f>IF(ISERROR(FIND('112'!$M$9,G1377,1)),"",IF((AND(FIND('112'!$M$9,G1377,1)&gt;=1,$B1377&gt;='112'!$N$8,$B1377&lt;='112'!$O$8,OR($L1377='112'!$I$6,$M1377='112'!$I$6))),"x",""))</f>
        <v/>
      </c>
      <c r="S1377" s="525" t="str">
        <f>IF(ISERROR(FIND('112'!$M$9,G1377,1)),"",IF((AND(LEFT(G1377,2)=LEFT('112'!$M$9,2),B1377&lt;'112'!$N$8,$L1377='112'!$I$6)),"x",""))</f>
        <v/>
      </c>
      <c r="T1377" s="525" t="str">
        <f>IF(ISERROR(FIND('112'!$M$9,G1377,1)),"",IF((AND(RIGHT(G1377,2)=RIGHT('112'!$M$9,2),B1377&lt;'112'!$N$8,$M1377='112'!$I$6)),"x",""))</f>
        <v/>
      </c>
      <c r="U1377" s="525" t="str">
        <f>IF(AND(B1377&gt;='IN-NX'!$P$3,B1377&lt;='IN-NX'!$Q$3,'IN-NX'!$D$7=D1377,OR(LEFT(L1377,2)="15",AND(LEFT(M1377,2)&lt;&gt;"15",LEFT(M1377,2)&lt;&gt;"33"))),"x","")</f>
        <v/>
      </c>
      <c r="V1377" s="525" t="str">
        <f>IF(AND(OR(LEFT(TH!L1377,2)="15",LEFT(TH!M1377,2)="15"),'152-CT'!$J$8=TH!F1377),"x","")</f>
        <v/>
      </c>
      <c r="W1377" s="525" t="str">
        <f>IF(AND(OR(LEFT(TH!L1377,2)="15",LEFT(TH!M1377,2)="15"),TK!$E$7=TH!F1377),"x","")</f>
        <v/>
      </c>
      <c r="X1377" s="525" t="str">
        <f>IF(AND('341-CT'!$E$9=H1377,OR(LEFT(L1377,3)=$X$7,LEFT(M1377,3)=$X$7)),"x","")</f>
        <v/>
      </c>
      <c r="Y1377" s="525" t="str">
        <f>IF(OR(TH!L1377=TH!$Y$7,M1377=TH!$Y$7),"x","")</f>
        <v/>
      </c>
      <c r="Z1377" s="525" t="str">
        <f>IF(AND(B1377&lt;=NKC!$N$8,B1377&gt;=NKC!$M$8),"x","")</f>
        <v>x</v>
      </c>
      <c r="AA1377" s="535">
        <v>1</v>
      </c>
    </row>
    <row r="1378" spans="1:27" s="503" customFormat="1" ht="15.75" customHeight="1">
      <c r="A1378" s="517" t="str">
        <f>IF(B1378&lt;&gt;"",IF(AND(B1378&gt;=_TM1,B1378&lt;=_TM2,OR(TH!L1378="1111",TH!M1378="1111")),TH!D1378,""),"")</f>
        <v/>
      </c>
      <c r="B1378" s="531">
        <f t="shared" si="142"/>
        <v>1</v>
      </c>
      <c r="C1378" s="315">
        <f t="shared" si="143"/>
        <v>42757</v>
      </c>
      <c r="D1378" s="537" t="s">
        <v>965</v>
      </c>
      <c r="E1378" s="537">
        <v>42757</v>
      </c>
      <c r="F1378" s="249" t="s">
        <v>665</v>
      </c>
      <c r="G1378" s="314" t="s">
        <v>605</v>
      </c>
      <c r="H1378" s="473" t="s">
        <v>447</v>
      </c>
      <c r="I1378" s="307">
        <v>70</v>
      </c>
      <c r="J1378" s="307">
        <v>14722</v>
      </c>
      <c r="K1378" s="532">
        <f t="shared" si="141"/>
        <v>1030540</v>
      </c>
      <c r="L1378" s="534" t="s">
        <v>292</v>
      </c>
      <c r="M1378" s="534" t="s">
        <v>8</v>
      </c>
      <c r="N1378" s="525" t="str">
        <f>IF(AND('331-CT'!$E$7=TH!H1378,OR(L1378="331",M1378="331")),"331",IF(AND(OR(L1378="131",M1378="131"),H1378='131-CT'!$E$7),"131",""))</f>
        <v/>
      </c>
      <c r="O1378" s="525" t="str">
        <f>IF(AND($B1378&gt;='111'!$N$11,$B1378&lt;='111'!$O$11,OR($L1378=$O$7,$M1378=$O$7)),"x","")</f>
        <v/>
      </c>
      <c r="P1378" s="525" t="str">
        <f>IF(AND($L1378=$O$7,$B1378&lt;'111'!$N$11),"x","")</f>
        <v/>
      </c>
      <c r="Q1378" s="525" t="str">
        <f>IF(AND($M1378=$O$7,$B1378&lt;'111'!$N$11),"x","")</f>
        <v/>
      </c>
      <c r="R1378" s="525" t="str">
        <f>IF(ISERROR(FIND('112'!$M$9,G1378,1)),"",IF((AND(FIND('112'!$M$9,G1378,1)&gt;=1,$B1378&gt;='112'!$N$8,$B1378&lt;='112'!$O$8,OR($L1378='112'!$I$6,$M1378='112'!$I$6))),"x",""))</f>
        <v/>
      </c>
      <c r="S1378" s="525" t="str">
        <f>IF(ISERROR(FIND('112'!$M$9,G1378,1)),"",IF((AND(LEFT(G1378,2)=LEFT('112'!$M$9,2),B1378&lt;'112'!$N$8,$L1378='112'!$I$6)),"x",""))</f>
        <v/>
      </c>
      <c r="T1378" s="525" t="str">
        <f>IF(ISERROR(FIND('112'!$M$9,G1378,1)),"",IF((AND(RIGHT(G1378,2)=RIGHT('112'!$M$9,2),B1378&lt;'112'!$N$8,$M1378='112'!$I$6)),"x",""))</f>
        <v/>
      </c>
      <c r="U1378" s="525" t="str">
        <f>IF(AND(B1378&gt;='IN-NX'!$P$3,B1378&lt;='IN-NX'!$Q$3,'IN-NX'!$D$7=D1378,OR(LEFT(L1378,2)="15",AND(LEFT(M1378,2)&lt;&gt;"15",LEFT(M1378,2)&lt;&gt;"33"))),"x","")</f>
        <v/>
      </c>
      <c r="V1378" s="525" t="str">
        <f>IF(AND(OR(LEFT(TH!L1378,2)="15",LEFT(TH!M1378,2)="15"),'152-CT'!$J$8=TH!F1378),"x","")</f>
        <v/>
      </c>
      <c r="W1378" s="525" t="str">
        <f>IF(AND(OR(LEFT(TH!L1378,2)="15",LEFT(TH!M1378,2)="15"),TK!$E$7=TH!F1378),"x","")</f>
        <v/>
      </c>
      <c r="X1378" s="525" t="str">
        <f>IF(AND('341-CT'!$E$9=H1378,OR(LEFT(L1378,3)=$X$7,LEFT(M1378,3)=$X$7)),"x","")</f>
        <v/>
      </c>
      <c r="Y1378" s="525" t="str">
        <f>IF(OR(TH!L1378=TH!$Y$7,M1378=TH!$Y$7),"x","")</f>
        <v/>
      </c>
      <c r="Z1378" s="525" t="str">
        <f>IF(AND(B1378&lt;=NKC!$N$8,B1378&gt;=NKC!$M$8),"x","")</f>
        <v>x</v>
      </c>
      <c r="AA1378" s="535">
        <v>1</v>
      </c>
    </row>
    <row r="1379" spans="1:27" s="503" customFormat="1" ht="15.75" customHeight="1">
      <c r="A1379" s="517" t="str">
        <f>IF(B1379&lt;&gt;"",IF(AND(B1379&gt;=_TM1,B1379&lt;=_TM2,OR(TH!L1379="1111",TH!M1379="1111")),TH!D1379,""),"")</f>
        <v/>
      </c>
      <c r="B1379" s="531">
        <f t="shared" si="142"/>
        <v>1</v>
      </c>
      <c r="C1379" s="315">
        <f t="shared" si="143"/>
        <v>42757</v>
      </c>
      <c r="D1379" s="537" t="s">
        <v>965</v>
      </c>
      <c r="E1379" s="537">
        <v>42757</v>
      </c>
      <c r="F1379" s="249" t="s">
        <v>666</v>
      </c>
      <c r="G1379" s="314" t="s">
        <v>605</v>
      </c>
      <c r="H1379" s="473" t="s">
        <v>447</v>
      </c>
      <c r="I1379" s="307">
        <v>56</v>
      </c>
      <c r="J1379" s="307">
        <v>19395</v>
      </c>
      <c r="K1379" s="532">
        <f t="shared" si="141"/>
        <v>1086120</v>
      </c>
      <c r="L1379" s="534" t="s">
        <v>292</v>
      </c>
      <c r="M1379" s="534" t="s">
        <v>8</v>
      </c>
      <c r="N1379" s="525" t="str">
        <f>IF(AND('331-CT'!$E$7=TH!H1379,OR(L1379="331",M1379="331")),"331",IF(AND(OR(L1379="131",M1379="131"),H1379='131-CT'!$E$7),"131",""))</f>
        <v/>
      </c>
      <c r="O1379" s="525" t="str">
        <f>IF(AND($B1379&gt;='111'!$N$11,$B1379&lt;='111'!$O$11,OR($L1379=$O$7,$M1379=$O$7)),"x","")</f>
        <v/>
      </c>
      <c r="P1379" s="525" t="str">
        <f>IF(AND($L1379=$O$7,$B1379&lt;'111'!$N$11),"x","")</f>
        <v/>
      </c>
      <c r="Q1379" s="525" t="str">
        <f>IF(AND($M1379=$O$7,$B1379&lt;'111'!$N$11),"x","")</f>
        <v/>
      </c>
      <c r="R1379" s="525" t="str">
        <f>IF(ISERROR(FIND('112'!$M$9,G1379,1)),"",IF((AND(FIND('112'!$M$9,G1379,1)&gt;=1,$B1379&gt;='112'!$N$8,$B1379&lt;='112'!$O$8,OR($L1379='112'!$I$6,$M1379='112'!$I$6))),"x",""))</f>
        <v/>
      </c>
      <c r="S1379" s="525" t="str">
        <f>IF(ISERROR(FIND('112'!$M$9,G1379,1)),"",IF((AND(LEFT(G1379,2)=LEFT('112'!$M$9,2),B1379&lt;'112'!$N$8,$L1379='112'!$I$6)),"x",""))</f>
        <v/>
      </c>
      <c r="T1379" s="525" t="str">
        <f>IF(ISERROR(FIND('112'!$M$9,G1379,1)),"",IF((AND(RIGHT(G1379,2)=RIGHT('112'!$M$9,2),B1379&lt;'112'!$N$8,$M1379='112'!$I$6)),"x",""))</f>
        <v/>
      </c>
      <c r="U1379" s="525" t="str">
        <f>IF(AND(B1379&gt;='IN-NX'!$P$3,B1379&lt;='IN-NX'!$Q$3,'IN-NX'!$D$7=D1379,OR(LEFT(L1379,2)="15",AND(LEFT(M1379,2)&lt;&gt;"15",LEFT(M1379,2)&lt;&gt;"33"))),"x","")</f>
        <v/>
      </c>
      <c r="V1379" s="525" t="str">
        <f>IF(AND(OR(LEFT(TH!L1379,2)="15",LEFT(TH!M1379,2)="15"),'152-CT'!$J$8=TH!F1379),"x","")</f>
        <v/>
      </c>
      <c r="W1379" s="525" t="str">
        <f>IF(AND(OR(LEFT(TH!L1379,2)="15",LEFT(TH!M1379,2)="15"),TK!$E$7=TH!F1379),"x","")</f>
        <v/>
      </c>
      <c r="X1379" s="525" t="str">
        <f>IF(AND('341-CT'!$E$9=H1379,OR(LEFT(L1379,3)=$X$7,LEFT(M1379,3)=$X$7)),"x","")</f>
        <v/>
      </c>
      <c r="Y1379" s="525" t="str">
        <f>IF(OR(TH!L1379=TH!$Y$7,M1379=TH!$Y$7),"x","")</f>
        <v/>
      </c>
      <c r="Z1379" s="525" t="str">
        <f>IF(AND(B1379&lt;=NKC!$N$8,B1379&gt;=NKC!$M$8),"x","")</f>
        <v>x</v>
      </c>
      <c r="AA1379" s="535">
        <v>1</v>
      </c>
    </row>
    <row r="1380" spans="1:27" s="503" customFormat="1" ht="15.75" customHeight="1">
      <c r="A1380" s="517" t="str">
        <f>IF(B1380&lt;&gt;"",IF(AND(B1380&gt;=_TM1,B1380&lt;=_TM2,OR(TH!L1380="1111",TH!M1380="1111")),TH!D1380,""),"")</f>
        <v/>
      </c>
      <c r="B1380" s="531">
        <f t="shared" si="142"/>
        <v>1</v>
      </c>
      <c r="C1380" s="315">
        <f t="shared" si="143"/>
        <v>42757</v>
      </c>
      <c r="D1380" s="537" t="s">
        <v>965</v>
      </c>
      <c r="E1380" s="537">
        <v>42757</v>
      </c>
      <c r="F1380" s="249" t="s">
        <v>667</v>
      </c>
      <c r="G1380" s="314" t="s">
        <v>605</v>
      </c>
      <c r="H1380" s="473" t="s">
        <v>447</v>
      </c>
      <c r="I1380" s="307">
        <v>3</v>
      </c>
      <c r="J1380" s="307">
        <v>40018</v>
      </c>
      <c r="K1380" s="532">
        <f t="shared" si="141"/>
        <v>120054</v>
      </c>
      <c r="L1380" s="534" t="s">
        <v>292</v>
      </c>
      <c r="M1380" s="534" t="s">
        <v>8</v>
      </c>
      <c r="N1380" s="525" t="str">
        <f>IF(AND('331-CT'!$E$7=TH!H1380,OR(L1380="331",M1380="331")),"331",IF(AND(OR(L1380="131",M1380="131"),H1380='131-CT'!$E$7),"131",""))</f>
        <v/>
      </c>
      <c r="O1380" s="525" t="str">
        <f>IF(AND($B1380&gt;='111'!$N$11,$B1380&lt;='111'!$O$11,OR($L1380=$O$7,$M1380=$O$7)),"x","")</f>
        <v/>
      </c>
      <c r="P1380" s="525" t="str">
        <f>IF(AND($L1380=$O$7,$B1380&lt;'111'!$N$11),"x","")</f>
        <v/>
      </c>
      <c r="Q1380" s="525" t="str">
        <f>IF(AND($M1380=$O$7,$B1380&lt;'111'!$N$11),"x","")</f>
        <v/>
      </c>
      <c r="R1380" s="525" t="str">
        <f>IF(ISERROR(FIND('112'!$M$9,G1380,1)),"",IF((AND(FIND('112'!$M$9,G1380,1)&gt;=1,$B1380&gt;='112'!$N$8,$B1380&lt;='112'!$O$8,OR($L1380='112'!$I$6,$M1380='112'!$I$6))),"x",""))</f>
        <v/>
      </c>
      <c r="S1380" s="525" t="str">
        <f>IF(ISERROR(FIND('112'!$M$9,G1380,1)),"",IF((AND(LEFT(G1380,2)=LEFT('112'!$M$9,2),B1380&lt;'112'!$N$8,$L1380='112'!$I$6)),"x",""))</f>
        <v/>
      </c>
      <c r="T1380" s="525" t="str">
        <f>IF(ISERROR(FIND('112'!$M$9,G1380,1)),"",IF((AND(RIGHT(G1380,2)=RIGHT('112'!$M$9,2),B1380&lt;'112'!$N$8,$M1380='112'!$I$6)),"x",""))</f>
        <v/>
      </c>
      <c r="U1380" s="525" t="str">
        <f>IF(AND(B1380&gt;='IN-NX'!$P$3,B1380&lt;='IN-NX'!$Q$3,'IN-NX'!$D$7=D1380,OR(LEFT(L1380,2)="15",AND(LEFT(M1380,2)&lt;&gt;"15",LEFT(M1380,2)&lt;&gt;"33"))),"x","")</f>
        <v/>
      </c>
      <c r="V1380" s="525" t="str">
        <f>IF(AND(OR(LEFT(TH!L1380,2)="15",LEFT(TH!M1380,2)="15"),'152-CT'!$J$8=TH!F1380),"x","")</f>
        <v/>
      </c>
      <c r="W1380" s="525" t="str">
        <f>IF(AND(OR(LEFT(TH!L1380,2)="15",LEFT(TH!M1380,2)="15"),TK!$E$7=TH!F1380),"x","")</f>
        <v/>
      </c>
      <c r="X1380" s="525" t="str">
        <f>IF(AND('341-CT'!$E$9=H1380,OR(LEFT(L1380,3)=$X$7,LEFT(M1380,3)=$X$7)),"x","")</f>
        <v/>
      </c>
      <c r="Y1380" s="525" t="str">
        <f>IF(OR(TH!L1380=TH!$Y$7,M1380=TH!$Y$7),"x","")</f>
        <v/>
      </c>
      <c r="Z1380" s="525" t="str">
        <f>IF(AND(B1380&lt;=NKC!$N$8,B1380&gt;=NKC!$M$8),"x","")</f>
        <v>x</v>
      </c>
      <c r="AA1380" s="535">
        <v>1</v>
      </c>
    </row>
    <row r="1381" spans="1:27" s="503" customFormat="1" ht="15.75" customHeight="1">
      <c r="A1381" s="517" t="str">
        <f>IF(B1381&lt;&gt;"",IF(AND(B1381&gt;=_TM1,B1381&lt;=_TM2,OR(TH!L1381="1111",TH!M1381="1111")),TH!D1381,""),"")</f>
        <v/>
      </c>
      <c r="B1381" s="531">
        <f t="shared" si="142"/>
        <v>1</v>
      </c>
      <c r="C1381" s="315">
        <f t="shared" si="143"/>
        <v>42757</v>
      </c>
      <c r="D1381" s="537" t="s">
        <v>966</v>
      </c>
      <c r="E1381" s="537">
        <v>42757</v>
      </c>
      <c r="F1381" s="249" t="s">
        <v>668</v>
      </c>
      <c r="G1381" s="314" t="s">
        <v>605</v>
      </c>
      <c r="H1381" s="473" t="s">
        <v>447</v>
      </c>
      <c r="I1381" s="307">
        <v>144</v>
      </c>
      <c r="J1381" s="307">
        <v>8712</v>
      </c>
      <c r="K1381" s="532">
        <f t="shared" si="141"/>
        <v>1254528</v>
      </c>
      <c r="L1381" s="534" t="s">
        <v>292</v>
      </c>
      <c r="M1381" s="534" t="s">
        <v>8</v>
      </c>
      <c r="N1381" s="525" t="str">
        <f>IF(AND('331-CT'!$E$7=TH!H1381,OR(L1381="331",M1381="331")),"331",IF(AND(OR(L1381="131",M1381="131"),H1381='131-CT'!$E$7),"131",""))</f>
        <v/>
      </c>
      <c r="O1381" s="525" t="str">
        <f>IF(AND($B1381&gt;='111'!$N$11,$B1381&lt;='111'!$O$11,OR($L1381=$O$7,$M1381=$O$7)),"x","")</f>
        <v/>
      </c>
      <c r="P1381" s="525" t="str">
        <f>IF(AND($L1381=$O$7,$B1381&lt;'111'!$N$11),"x","")</f>
        <v/>
      </c>
      <c r="Q1381" s="525" t="str">
        <f>IF(AND($M1381=$O$7,$B1381&lt;'111'!$N$11),"x","")</f>
        <v/>
      </c>
      <c r="R1381" s="525" t="str">
        <f>IF(ISERROR(FIND('112'!$M$9,G1381,1)),"",IF((AND(FIND('112'!$M$9,G1381,1)&gt;=1,$B1381&gt;='112'!$N$8,$B1381&lt;='112'!$O$8,OR($L1381='112'!$I$6,$M1381='112'!$I$6))),"x",""))</f>
        <v/>
      </c>
      <c r="S1381" s="525" t="str">
        <f>IF(ISERROR(FIND('112'!$M$9,G1381,1)),"",IF((AND(LEFT(G1381,2)=LEFT('112'!$M$9,2),B1381&lt;'112'!$N$8,$L1381='112'!$I$6)),"x",""))</f>
        <v/>
      </c>
      <c r="T1381" s="525" t="str">
        <f>IF(ISERROR(FIND('112'!$M$9,G1381,1)),"",IF((AND(RIGHT(G1381,2)=RIGHT('112'!$M$9,2),B1381&lt;'112'!$N$8,$M1381='112'!$I$6)),"x",""))</f>
        <v/>
      </c>
      <c r="U1381" s="525" t="str">
        <f>IF(AND(B1381&gt;='IN-NX'!$P$3,B1381&lt;='IN-NX'!$Q$3,'IN-NX'!$D$7=D1381,OR(LEFT(L1381,2)="15",AND(LEFT(M1381,2)&lt;&gt;"15",LEFT(M1381,2)&lt;&gt;"33"))),"x","")</f>
        <v/>
      </c>
      <c r="V1381" s="525" t="str">
        <f>IF(AND(OR(LEFT(TH!L1381,2)="15",LEFT(TH!M1381,2)="15"),'152-CT'!$J$8=TH!F1381),"x","")</f>
        <v/>
      </c>
      <c r="W1381" s="525" t="str">
        <f>IF(AND(OR(LEFT(TH!L1381,2)="15",LEFT(TH!M1381,2)="15"),TK!$E$7=TH!F1381),"x","")</f>
        <v/>
      </c>
      <c r="X1381" s="525" t="str">
        <f>IF(AND('341-CT'!$E$9=H1381,OR(LEFT(L1381,3)=$X$7,LEFT(M1381,3)=$X$7)),"x","")</f>
        <v/>
      </c>
      <c r="Y1381" s="525" t="str">
        <f>IF(OR(TH!L1381=TH!$Y$7,M1381=TH!$Y$7),"x","")</f>
        <v/>
      </c>
      <c r="Z1381" s="525" t="str">
        <f>IF(AND(B1381&lt;=NKC!$N$8,B1381&gt;=NKC!$M$8),"x","")</f>
        <v>x</v>
      </c>
      <c r="AA1381" s="535">
        <v>1</v>
      </c>
    </row>
    <row r="1382" spans="1:27" s="503" customFormat="1" ht="15.75" customHeight="1">
      <c r="A1382" s="517" t="str">
        <f>IF(B1382&lt;&gt;"",IF(AND(B1382&gt;=_TM1,B1382&lt;=_TM2,OR(TH!L1382="1111",TH!M1382="1111")),TH!D1382,""),"")</f>
        <v/>
      </c>
      <c r="B1382" s="531">
        <f t="shared" si="142"/>
        <v>1</v>
      </c>
      <c r="C1382" s="315">
        <f t="shared" si="143"/>
        <v>42757</v>
      </c>
      <c r="D1382" s="537" t="s">
        <v>966</v>
      </c>
      <c r="E1382" s="537">
        <v>42757</v>
      </c>
      <c r="F1382" s="249" t="s">
        <v>669</v>
      </c>
      <c r="G1382" s="314" t="s">
        <v>605</v>
      </c>
      <c r="H1382" s="473" t="s">
        <v>447</v>
      </c>
      <c r="I1382" s="307">
        <v>176</v>
      </c>
      <c r="J1382" s="307">
        <v>7643</v>
      </c>
      <c r="K1382" s="532">
        <f t="shared" si="141"/>
        <v>1345168</v>
      </c>
      <c r="L1382" s="534" t="s">
        <v>292</v>
      </c>
      <c r="M1382" s="534" t="s">
        <v>8</v>
      </c>
      <c r="N1382" s="525" t="str">
        <f>IF(AND('331-CT'!$E$7=TH!H1382,OR(L1382="331",M1382="331")),"331",IF(AND(OR(L1382="131",M1382="131"),H1382='131-CT'!$E$7),"131",""))</f>
        <v/>
      </c>
      <c r="O1382" s="525" t="str">
        <f>IF(AND($B1382&gt;='111'!$N$11,$B1382&lt;='111'!$O$11,OR($L1382=$O$7,$M1382=$O$7)),"x","")</f>
        <v/>
      </c>
      <c r="P1382" s="525" t="str">
        <f>IF(AND($L1382=$O$7,$B1382&lt;'111'!$N$11),"x","")</f>
        <v/>
      </c>
      <c r="Q1382" s="525" t="str">
        <f>IF(AND($M1382=$O$7,$B1382&lt;'111'!$N$11),"x","")</f>
        <v/>
      </c>
      <c r="R1382" s="525" t="str">
        <f>IF(ISERROR(FIND('112'!$M$9,G1382,1)),"",IF((AND(FIND('112'!$M$9,G1382,1)&gt;=1,$B1382&gt;='112'!$N$8,$B1382&lt;='112'!$O$8,OR($L1382='112'!$I$6,$M1382='112'!$I$6))),"x",""))</f>
        <v/>
      </c>
      <c r="S1382" s="525" t="str">
        <f>IF(ISERROR(FIND('112'!$M$9,G1382,1)),"",IF((AND(LEFT(G1382,2)=LEFT('112'!$M$9,2),B1382&lt;'112'!$N$8,$L1382='112'!$I$6)),"x",""))</f>
        <v/>
      </c>
      <c r="T1382" s="525" t="str">
        <f>IF(ISERROR(FIND('112'!$M$9,G1382,1)),"",IF((AND(RIGHT(G1382,2)=RIGHT('112'!$M$9,2),B1382&lt;'112'!$N$8,$M1382='112'!$I$6)),"x",""))</f>
        <v/>
      </c>
      <c r="U1382" s="525" t="str">
        <f>IF(AND(B1382&gt;='IN-NX'!$P$3,B1382&lt;='IN-NX'!$Q$3,'IN-NX'!$D$7=D1382,OR(LEFT(L1382,2)="15",AND(LEFT(M1382,2)&lt;&gt;"15",LEFT(M1382,2)&lt;&gt;"33"))),"x","")</f>
        <v/>
      </c>
      <c r="V1382" s="525" t="str">
        <f>IF(AND(OR(LEFT(TH!L1382,2)="15",LEFT(TH!M1382,2)="15"),'152-CT'!$J$8=TH!F1382),"x","")</f>
        <v/>
      </c>
      <c r="W1382" s="525" t="str">
        <f>IF(AND(OR(LEFT(TH!L1382,2)="15",LEFT(TH!M1382,2)="15"),TK!$E$7=TH!F1382),"x","")</f>
        <v/>
      </c>
      <c r="X1382" s="525" t="str">
        <f>IF(AND('341-CT'!$E$9=H1382,OR(LEFT(L1382,3)=$X$7,LEFT(M1382,3)=$X$7)),"x","")</f>
        <v/>
      </c>
      <c r="Y1382" s="525" t="str">
        <f>IF(OR(TH!L1382=TH!$Y$7,M1382=TH!$Y$7),"x","")</f>
        <v/>
      </c>
      <c r="Z1382" s="525" t="str">
        <f>IF(AND(B1382&lt;=NKC!$N$8,B1382&gt;=NKC!$M$8),"x","")</f>
        <v>x</v>
      </c>
      <c r="AA1382" s="535">
        <v>1</v>
      </c>
    </row>
    <row r="1383" spans="1:27" s="503" customFormat="1" ht="15.75" customHeight="1">
      <c r="A1383" s="517" t="str">
        <f>IF(B1383&lt;&gt;"",IF(AND(B1383&gt;=_TM1,B1383&lt;=_TM2,OR(TH!L1383="1111",TH!M1383="1111")),TH!D1383,""),"")</f>
        <v/>
      </c>
      <c r="B1383" s="531">
        <f t="shared" si="142"/>
        <v>1</v>
      </c>
      <c r="C1383" s="315">
        <f t="shared" si="143"/>
        <v>42757</v>
      </c>
      <c r="D1383" s="537" t="s">
        <v>966</v>
      </c>
      <c r="E1383" s="537">
        <v>42757</v>
      </c>
      <c r="F1383" s="249" t="s">
        <v>670</v>
      </c>
      <c r="G1383" s="314" t="s">
        <v>605</v>
      </c>
      <c r="H1383" s="473" t="s">
        <v>447</v>
      </c>
      <c r="I1383" s="307">
        <v>100</v>
      </c>
      <c r="J1383" s="307">
        <v>9464</v>
      </c>
      <c r="K1383" s="532">
        <f t="shared" si="141"/>
        <v>946400</v>
      </c>
      <c r="L1383" s="534" t="s">
        <v>292</v>
      </c>
      <c r="M1383" s="534" t="s">
        <v>8</v>
      </c>
      <c r="N1383" s="525" t="str">
        <f>IF(AND('331-CT'!$E$7=TH!H1383,OR(L1383="331",M1383="331")),"331",IF(AND(OR(L1383="131",M1383="131"),H1383='131-CT'!$E$7),"131",""))</f>
        <v/>
      </c>
      <c r="O1383" s="525" t="str">
        <f>IF(AND($B1383&gt;='111'!$N$11,$B1383&lt;='111'!$O$11,OR($L1383=$O$7,$M1383=$O$7)),"x","")</f>
        <v/>
      </c>
      <c r="P1383" s="525" t="str">
        <f>IF(AND($L1383=$O$7,$B1383&lt;'111'!$N$11),"x","")</f>
        <v/>
      </c>
      <c r="Q1383" s="525" t="str">
        <f>IF(AND($M1383=$O$7,$B1383&lt;'111'!$N$11),"x","")</f>
        <v/>
      </c>
      <c r="R1383" s="525" t="str">
        <f>IF(ISERROR(FIND('112'!$M$9,G1383,1)),"",IF((AND(FIND('112'!$M$9,G1383,1)&gt;=1,$B1383&gt;='112'!$N$8,$B1383&lt;='112'!$O$8,OR($L1383='112'!$I$6,$M1383='112'!$I$6))),"x",""))</f>
        <v/>
      </c>
      <c r="S1383" s="525" t="str">
        <f>IF(ISERROR(FIND('112'!$M$9,G1383,1)),"",IF((AND(LEFT(G1383,2)=LEFT('112'!$M$9,2),B1383&lt;'112'!$N$8,$L1383='112'!$I$6)),"x",""))</f>
        <v/>
      </c>
      <c r="T1383" s="525" t="str">
        <f>IF(ISERROR(FIND('112'!$M$9,G1383,1)),"",IF((AND(RIGHT(G1383,2)=RIGHT('112'!$M$9,2),B1383&lt;'112'!$N$8,$M1383='112'!$I$6)),"x",""))</f>
        <v/>
      </c>
      <c r="U1383" s="525" t="str">
        <f>IF(AND(B1383&gt;='IN-NX'!$P$3,B1383&lt;='IN-NX'!$Q$3,'IN-NX'!$D$7=D1383,OR(LEFT(L1383,2)="15",AND(LEFT(M1383,2)&lt;&gt;"15",LEFT(M1383,2)&lt;&gt;"33"))),"x","")</f>
        <v/>
      </c>
      <c r="V1383" s="525" t="str">
        <f>IF(AND(OR(LEFT(TH!L1383,2)="15",LEFT(TH!M1383,2)="15"),'152-CT'!$J$8=TH!F1383),"x","")</f>
        <v/>
      </c>
      <c r="W1383" s="525" t="str">
        <f>IF(AND(OR(LEFT(TH!L1383,2)="15",LEFT(TH!M1383,2)="15"),TK!$E$7=TH!F1383),"x","")</f>
        <v/>
      </c>
      <c r="X1383" s="525" t="str">
        <f>IF(AND('341-CT'!$E$9=H1383,OR(LEFT(L1383,3)=$X$7,LEFT(M1383,3)=$X$7)),"x","")</f>
        <v/>
      </c>
      <c r="Y1383" s="525" t="str">
        <f>IF(OR(TH!L1383=TH!$Y$7,M1383=TH!$Y$7),"x","")</f>
        <v/>
      </c>
      <c r="Z1383" s="525" t="str">
        <f>IF(AND(B1383&lt;=NKC!$N$8,B1383&gt;=NKC!$M$8),"x","")</f>
        <v>x</v>
      </c>
      <c r="AA1383" s="535">
        <v>1</v>
      </c>
    </row>
    <row r="1384" spans="1:27" s="503" customFormat="1" ht="15.75" customHeight="1">
      <c r="A1384" s="517" t="str">
        <f>IF(B1384&lt;&gt;"",IF(AND(B1384&gt;=_TM1,B1384&lt;=_TM2,OR(TH!L1384="1111",TH!M1384="1111")),TH!D1384,""),"")</f>
        <v/>
      </c>
      <c r="B1384" s="531">
        <f t="shared" si="142"/>
        <v>1</v>
      </c>
      <c r="C1384" s="315">
        <f t="shared" si="143"/>
        <v>42757</v>
      </c>
      <c r="D1384" s="537" t="s">
        <v>966</v>
      </c>
      <c r="E1384" s="537">
        <v>42757</v>
      </c>
      <c r="F1384" s="249" t="s">
        <v>671</v>
      </c>
      <c r="G1384" s="314" t="s">
        <v>605</v>
      </c>
      <c r="H1384" s="473" t="s">
        <v>447</v>
      </c>
      <c r="I1384" s="307">
        <v>320</v>
      </c>
      <c r="J1384" s="307">
        <v>7793</v>
      </c>
      <c r="K1384" s="532">
        <f t="shared" si="141"/>
        <v>2493760</v>
      </c>
      <c r="L1384" s="534" t="s">
        <v>292</v>
      </c>
      <c r="M1384" s="534" t="s">
        <v>8</v>
      </c>
      <c r="N1384" s="525" t="str">
        <f>IF(AND('331-CT'!$E$7=TH!H1384,OR(L1384="331",M1384="331")),"331",IF(AND(OR(L1384="131",M1384="131"),H1384='131-CT'!$E$7),"131",""))</f>
        <v/>
      </c>
      <c r="O1384" s="525" t="str">
        <f>IF(AND($B1384&gt;='111'!$N$11,$B1384&lt;='111'!$O$11,OR($L1384=$O$7,$M1384=$O$7)),"x","")</f>
        <v/>
      </c>
      <c r="P1384" s="525" t="str">
        <f>IF(AND($L1384=$O$7,$B1384&lt;'111'!$N$11),"x","")</f>
        <v/>
      </c>
      <c r="Q1384" s="525" t="str">
        <f>IF(AND($M1384=$O$7,$B1384&lt;'111'!$N$11),"x","")</f>
        <v/>
      </c>
      <c r="R1384" s="525" t="str">
        <f>IF(ISERROR(FIND('112'!$M$9,G1384,1)),"",IF((AND(FIND('112'!$M$9,G1384,1)&gt;=1,$B1384&gt;='112'!$N$8,$B1384&lt;='112'!$O$8,OR($L1384='112'!$I$6,$M1384='112'!$I$6))),"x",""))</f>
        <v/>
      </c>
      <c r="S1384" s="525" t="str">
        <f>IF(ISERROR(FIND('112'!$M$9,G1384,1)),"",IF((AND(LEFT(G1384,2)=LEFT('112'!$M$9,2),B1384&lt;'112'!$N$8,$L1384='112'!$I$6)),"x",""))</f>
        <v/>
      </c>
      <c r="T1384" s="525" t="str">
        <f>IF(ISERROR(FIND('112'!$M$9,G1384,1)),"",IF((AND(RIGHT(G1384,2)=RIGHT('112'!$M$9,2),B1384&lt;'112'!$N$8,$M1384='112'!$I$6)),"x",""))</f>
        <v/>
      </c>
      <c r="U1384" s="525" t="str">
        <f>IF(AND(B1384&gt;='IN-NX'!$P$3,B1384&lt;='IN-NX'!$Q$3,'IN-NX'!$D$7=D1384,OR(LEFT(L1384,2)="15",AND(LEFT(M1384,2)&lt;&gt;"15",LEFT(M1384,2)&lt;&gt;"33"))),"x","")</f>
        <v/>
      </c>
      <c r="V1384" s="525" t="str">
        <f>IF(AND(OR(LEFT(TH!L1384,2)="15",LEFT(TH!M1384,2)="15"),'152-CT'!$J$8=TH!F1384),"x","")</f>
        <v/>
      </c>
      <c r="W1384" s="525" t="str">
        <f>IF(AND(OR(LEFT(TH!L1384,2)="15",LEFT(TH!M1384,2)="15"),TK!$E$7=TH!F1384),"x","")</f>
        <v/>
      </c>
      <c r="X1384" s="525" t="str">
        <f>IF(AND('341-CT'!$E$9=H1384,OR(LEFT(L1384,3)=$X$7,LEFT(M1384,3)=$X$7)),"x","")</f>
        <v/>
      </c>
      <c r="Y1384" s="525" t="str">
        <f>IF(OR(TH!L1384=TH!$Y$7,M1384=TH!$Y$7),"x","")</f>
        <v/>
      </c>
      <c r="Z1384" s="525" t="str">
        <f>IF(AND(B1384&lt;=NKC!$N$8,B1384&gt;=NKC!$M$8),"x","")</f>
        <v>x</v>
      </c>
      <c r="AA1384" s="535">
        <v>1</v>
      </c>
    </row>
    <row r="1385" spans="1:27" s="503" customFormat="1" ht="15.75" customHeight="1">
      <c r="A1385" s="517" t="str">
        <f>IF(B1385&lt;&gt;"",IF(AND(B1385&gt;=_TM1,B1385&lt;=_TM2,OR(TH!L1385="1111",TH!M1385="1111")),TH!D1385,""),"")</f>
        <v/>
      </c>
      <c r="B1385" s="531">
        <f t="shared" si="142"/>
        <v>1</v>
      </c>
      <c r="C1385" s="315">
        <f t="shared" si="143"/>
        <v>42757</v>
      </c>
      <c r="D1385" s="537" t="s">
        <v>966</v>
      </c>
      <c r="E1385" s="537">
        <v>42757</v>
      </c>
      <c r="F1385" s="249" t="s">
        <v>672</v>
      </c>
      <c r="G1385" s="314" t="s">
        <v>605</v>
      </c>
      <c r="H1385" s="473" t="s">
        <v>447</v>
      </c>
      <c r="I1385" s="307">
        <v>35</v>
      </c>
      <c r="J1385" s="307">
        <v>22494</v>
      </c>
      <c r="K1385" s="532">
        <f t="shared" ref="K1385:K1390" si="144">ROUND(I1385*J1385,0)</f>
        <v>787290</v>
      </c>
      <c r="L1385" s="534" t="s">
        <v>292</v>
      </c>
      <c r="M1385" s="534" t="s">
        <v>8</v>
      </c>
      <c r="N1385" s="525" t="str">
        <f>IF(AND('331-CT'!$E$7=TH!H1385,OR(L1385="331",M1385="331")),"331",IF(AND(OR(L1385="131",M1385="131"),H1385='131-CT'!$E$7),"131",""))</f>
        <v/>
      </c>
      <c r="O1385" s="525" t="str">
        <f>IF(AND($B1385&gt;='111'!$N$11,$B1385&lt;='111'!$O$11,OR($L1385=$O$7,$M1385=$O$7)),"x","")</f>
        <v/>
      </c>
      <c r="P1385" s="525" t="str">
        <f>IF(AND($L1385=$O$7,$B1385&lt;'111'!$N$11),"x","")</f>
        <v/>
      </c>
      <c r="Q1385" s="525" t="str">
        <f>IF(AND($M1385=$O$7,$B1385&lt;'111'!$N$11),"x","")</f>
        <v/>
      </c>
      <c r="R1385" s="525" t="str">
        <f>IF(ISERROR(FIND('112'!$M$9,G1385,1)),"",IF((AND(FIND('112'!$M$9,G1385,1)&gt;=1,$B1385&gt;='112'!$N$8,$B1385&lt;='112'!$O$8,OR($L1385='112'!$I$6,$M1385='112'!$I$6))),"x",""))</f>
        <v/>
      </c>
      <c r="S1385" s="525" t="str">
        <f>IF(ISERROR(FIND('112'!$M$9,G1385,1)),"",IF((AND(LEFT(G1385,2)=LEFT('112'!$M$9,2),B1385&lt;'112'!$N$8,$L1385='112'!$I$6)),"x",""))</f>
        <v/>
      </c>
      <c r="T1385" s="525" t="str">
        <f>IF(ISERROR(FIND('112'!$M$9,G1385,1)),"",IF((AND(RIGHT(G1385,2)=RIGHT('112'!$M$9,2),B1385&lt;'112'!$N$8,$M1385='112'!$I$6)),"x",""))</f>
        <v/>
      </c>
      <c r="U1385" s="525" t="str">
        <f>IF(AND(B1385&gt;='IN-NX'!$P$3,B1385&lt;='IN-NX'!$Q$3,'IN-NX'!$D$7=D1385,OR(LEFT(L1385,2)="15",AND(LEFT(M1385,2)&lt;&gt;"15",LEFT(M1385,2)&lt;&gt;"33"))),"x","")</f>
        <v/>
      </c>
      <c r="V1385" s="525" t="str">
        <f>IF(AND(OR(LEFT(TH!L1385,2)="15",LEFT(TH!M1385,2)="15"),'152-CT'!$J$8=TH!F1385),"x","")</f>
        <v/>
      </c>
      <c r="W1385" s="525" t="str">
        <f>IF(AND(OR(LEFT(TH!L1385,2)="15",LEFT(TH!M1385,2)="15"),TK!$E$7=TH!F1385),"x","")</f>
        <v/>
      </c>
      <c r="X1385" s="525" t="str">
        <f>IF(AND('341-CT'!$E$9=H1385,OR(LEFT(L1385,3)=$X$7,LEFT(M1385,3)=$X$7)),"x","")</f>
        <v/>
      </c>
      <c r="Y1385" s="525" t="str">
        <f>IF(OR(TH!L1385=TH!$Y$7,M1385=TH!$Y$7),"x","")</f>
        <v/>
      </c>
      <c r="Z1385" s="525" t="str">
        <f>IF(AND(B1385&lt;=NKC!$N$8,B1385&gt;=NKC!$M$8),"x","")</f>
        <v>x</v>
      </c>
      <c r="AA1385" s="535">
        <v>1</v>
      </c>
    </row>
    <row r="1386" spans="1:27" s="503" customFormat="1" ht="15.75" customHeight="1">
      <c r="A1386" s="517" t="str">
        <f>IF(B1386&lt;&gt;"",IF(AND(B1386&gt;=_TM1,B1386&lt;=_TM2,OR(TH!L1386="1111",TH!M1386="1111")),TH!D1386,""),"")</f>
        <v/>
      </c>
      <c r="B1386" s="531">
        <f t="shared" si="142"/>
        <v>1</v>
      </c>
      <c r="C1386" s="315">
        <f t="shared" si="143"/>
        <v>42757</v>
      </c>
      <c r="D1386" s="537" t="s">
        <v>966</v>
      </c>
      <c r="E1386" s="537">
        <v>42757</v>
      </c>
      <c r="F1386" s="249" t="s">
        <v>673</v>
      </c>
      <c r="G1386" s="314" t="s">
        <v>605</v>
      </c>
      <c r="H1386" s="473" t="s">
        <v>447</v>
      </c>
      <c r="I1386" s="307">
        <v>50</v>
      </c>
      <c r="J1386" s="307">
        <v>15522</v>
      </c>
      <c r="K1386" s="532">
        <f t="shared" si="144"/>
        <v>776100</v>
      </c>
      <c r="L1386" s="534" t="s">
        <v>292</v>
      </c>
      <c r="M1386" s="534" t="s">
        <v>8</v>
      </c>
      <c r="N1386" s="525" t="str">
        <f>IF(AND('331-CT'!$E$7=TH!H1386,OR(L1386="331",M1386="331")),"331",IF(AND(OR(L1386="131",M1386="131"),H1386='131-CT'!$E$7),"131",""))</f>
        <v/>
      </c>
      <c r="O1386" s="525" t="str">
        <f>IF(AND($B1386&gt;='111'!$N$11,$B1386&lt;='111'!$O$11,OR($L1386=$O$7,$M1386=$O$7)),"x","")</f>
        <v/>
      </c>
      <c r="P1386" s="525" t="str">
        <f>IF(AND($L1386=$O$7,$B1386&lt;'111'!$N$11),"x","")</f>
        <v/>
      </c>
      <c r="Q1386" s="525" t="str">
        <f>IF(AND($M1386=$O$7,$B1386&lt;'111'!$N$11),"x","")</f>
        <v/>
      </c>
      <c r="R1386" s="525" t="str">
        <f>IF(ISERROR(FIND('112'!$M$9,G1386,1)),"",IF((AND(FIND('112'!$M$9,G1386,1)&gt;=1,$B1386&gt;='112'!$N$8,$B1386&lt;='112'!$O$8,OR($L1386='112'!$I$6,$M1386='112'!$I$6))),"x",""))</f>
        <v/>
      </c>
      <c r="S1386" s="525" t="str">
        <f>IF(ISERROR(FIND('112'!$M$9,G1386,1)),"",IF((AND(LEFT(G1386,2)=LEFT('112'!$M$9,2),B1386&lt;'112'!$N$8,$L1386='112'!$I$6)),"x",""))</f>
        <v/>
      </c>
      <c r="T1386" s="525" t="str">
        <f>IF(ISERROR(FIND('112'!$M$9,G1386,1)),"",IF((AND(RIGHT(G1386,2)=RIGHT('112'!$M$9,2),B1386&lt;'112'!$N$8,$M1386='112'!$I$6)),"x",""))</f>
        <v/>
      </c>
      <c r="U1386" s="525" t="str">
        <f>IF(AND(B1386&gt;='IN-NX'!$P$3,B1386&lt;='IN-NX'!$Q$3,'IN-NX'!$D$7=D1386,OR(LEFT(L1386,2)="15",AND(LEFT(M1386,2)&lt;&gt;"15",LEFT(M1386,2)&lt;&gt;"33"))),"x","")</f>
        <v/>
      </c>
      <c r="V1386" s="525" t="str">
        <f>IF(AND(OR(LEFT(TH!L1386,2)="15",LEFT(TH!M1386,2)="15"),'152-CT'!$J$8=TH!F1386),"x","")</f>
        <v/>
      </c>
      <c r="W1386" s="525" t="str">
        <f>IF(AND(OR(LEFT(TH!L1386,2)="15",LEFT(TH!M1386,2)="15"),TK!$E$7=TH!F1386),"x","")</f>
        <v/>
      </c>
      <c r="X1386" s="525" t="str">
        <f>IF(AND('341-CT'!$E$9=H1386,OR(LEFT(L1386,3)=$X$7,LEFT(M1386,3)=$X$7)),"x","")</f>
        <v/>
      </c>
      <c r="Y1386" s="525" t="str">
        <f>IF(OR(TH!L1386=TH!$Y$7,M1386=TH!$Y$7),"x","")</f>
        <v/>
      </c>
      <c r="Z1386" s="525" t="str">
        <f>IF(AND(B1386&lt;=NKC!$N$8,B1386&gt;=NKC!$M$8),"x","")</f>
        <v>x</v>
      </c>
      <c r="AA1386" s="535">
        <v>1</v>
      </c>
    </row>
    <row r="1387" spans="1:27" s="503" customFormat="1" ht="15.75" customHeight="1">
      <c r="A1387" s="517" t="str">
        <f>IF(B1387&lt;&gt;"",IF(AND(B1387&gt;=_TM1,B1387&lt;=_TM2,OR(TH!L1387="1111",TH!M1387="1111")),TH!D1387,""),"")</f>
        <v/>
      </c>
      <c r="B1387" s="531">
        <f t="shared" si="142"/>
        <v>1</v>
      </c>
      <c r="C1387" s="315">
        <f t="shared" si="143"/>
        <v>42757</v>
      </c>
      <c r="D1387" s="537" t="s">
        <v>966</v>
      </c>
      <c r="E1387" s="537">
        <v>42757</v>
      </c>
      <c r="F1387" s="249" t="s">
        <v>674</v>
      </c>
      <c r="G1387" s="314" t="s">
        <v>605</v>
      </c>
      <c r="H1387" s="473" t="s">
        <v>447</v>
      </c>
      <c r="I1387" s="307">
        <v>126</v>
      </c>
      <c r="J1387" s="307">
        <v>10198</v>
      </c>
      <c r="K1387" s="532">
        <f t="shared" si="144"/>
        <v>1284948</v>
      </c>
      <c r="L1387" s="534" t="s">
        <v>292</v>
      </c>
      <c r="M1387" s="534" t="s">
        <v>8</v>
      </c>
      <c r="N1387" s="525" t="str">
        <f>IF(AND('331-CT'!$E$7=TH!H1387,OR(L1387="331",M1387="331")),"331",IF(AND(OR(L1387="131",M1387="131"),H1387='131-CT'!$E$7),"131",""))</f>
        <v/>
      </c>
      <c r="O1387" s="525" t="str">
        <f>IF(AND($B1387&gt;='111'!$N$11,$B1387&lt;='111'!$O$11,OR($L1387=$O$7,$M1387=$O$7)),"x","")</f>
        <v/>
      </c>
      <c r="P1387" s="525" t="str">
        <f>IF(AND($L1387=$O$7,$B1387&lt;'111'!$N$11),"x","")</f>
        <v/>
      </c>
      <c r="Q1387" s="525" t="str">
        <f>IF(AND($M1387=$O$7,$B1387&lt;'111'!$N$11),"x","")</f>
        <v/>
      </c>
      <c r="R1387" s="525" t="str">
        <f>IF(ISERROR(FIND('112'!$M$9,G1387,1)),"",IF((AND(FIND('112'!$M$9,G1387,1)&gt;=1,$B1387&gt;='112'!$N$8,$B1387&lt;='112'!$O$8,OR($L1387='112'!$I$6,$M1387='112'!$I$6))),"x",""))</f>
        <v/>
      </c>
      <c r="S1387" s="525" t="str">
        <f>IF(ISERROR(FIND('112'!$M$9,G1387,1)),"",IF((AND(LEFT(G1387,2)=LEFT('112'!$M$9,2),B1387&lt;'112'!$N$8,$L1387='112'!$I$6)),"x",""))</f>
        <v/>
      </c>
      <c r="T1387" s="525" t="str">
        <f>IF(ISERROR(FIND('112'!$M$9,G1387,1)),"",IF((AND(RIGHT(G1387,2)=RIGHT('112'!$M$9,2),B1387&lt;'112'!$N$8,$M1387='112'!$I$6)),"x",""))</f>
        <v/>
      </c>
      <c r="U1387" s="525" t="str">
        <f>IF(AND(B1387&gt;='IN-NX'!$P$3,B1387&lt;='IN-NX'!$Q$3,'IN-NX'!$D$7=D1387,OR(LEFT(L1387,2)="15",AND(LEFT(M1387,2)&lt;&gt;"15",LEFT(M1387,2)&lt;&gt;"33"))),"x","")</f>
        <v/>
      </c>
      <c r="V1387" s="525" t="str">
        <f>IF(AND(OR(LEFT(TH!L1387,2)="15",LEFT(TH!M1387,2)="15"),'152-CT'!$J$8=TH!F1387),"x","")</f>
        <v/>
      </c>
      <c r="W1387" s="525" t="str">
        <f>IF(AND(OR(LEFT(TH!L1387,2)="15",LEFT(TH!M1387,2)="15"),TK!$E$7=TH!F1387),"x","")</f>
        <v/>
      </c>
      <c r="X1387" s="525" t="str">
        <f>IF(AND('341-CT'!$E$9=H1387,OR(LEFT(L1387,3)=$X$7,LEFT(M1387,3)=$X$7)),"x","")</f>
        <v/>
      </c>
      <c r="Y1387" s="525" t="str">
        <f>IF(OR(TH!L1387=TH!$Y$7,M1387=TH!$Y$7),"x","")</f>
        <v/>
      </c>
      <c r="Z1387" s="525" t="str">
        <f>IF(AND(B1387&lt;=NKC!$N$8,B1387&gt;=NKC!$M$8),"x","")</f>
        <v>x</v>
      </c>
      <c r="AA1387" s="535">
        <v>1</v>
      </c>
    </row>
    <row r="1388" spans="1:27" s="503" customFormat="1" ht="15.75" customHeight="1">
      <c r="A1388" s="517" t="str">
        <f>IF(B1388&lt;&gt;"",IF(AND(B1388&gt;=_TM1,B1388&lt;=_TM2,OR(TH!L1388="1111",TH!M1388="1111")),TH!D1388,""),"")</f>
        <v/>
      </c>
      <c r="B1388" s="531">
        <f t="shared" si="142"/>
        <v>1</v>
      </c>
      <c r="C1388" s="315">
        <f t="shared" si="143"/>
        <v>42757</v>
      </c>
      <c r="D1388" s="537" t="s">
        <v>966</v>
      </c>
      <c r="E1388" s="537">
        <v>42757</v>
      </c>
      <c r="F1388" s="249" t="s">
        <v>675</v>
      </c>
      <c r="G1388" s="314" t="s">
        <v>605</v>
      </c>
      <c r="H1388" s="473" t="s">
        <v>447</v>
      </c>
      <c r="I1388" s="307">
        <v>72</v>
      </c>
      <c r="J1388" s="307">
        <v>11806</v>
      </c>
      <c r="K1388" s="532">
        <f t="shared" si="144"/>
        <v>850032</v>
      </c>
      <c r="L1388" s="534" t="s">
        <v>292</v>
      </c>
      <c r="M1388" s="534" t="s">
        <v>8</v>
      </c>
      <c r="N1388" s="525" t="str">
        <f>IF(AND('331-CT'!$E$7=TH!H1388,OR(L1388="331",M1388="331")),"331",IF(AND(OR(L1388="131",M1388="131"),H1388='131-CT'!$E$7),"131",""))</f>
        <v/>
      </c>
      <c r="O1388" s="525" t="str">
        <f>IF(AND($B1388&gt;='111'!$N$11,$B1388&lt;='111'!$O$11,OR($L1388=$O$7,$M1388=$O$7)),"x","")</f>
        <v/>
      </c>
      <c r="P1388" s="525" t="str">
        <f>IF(AND($L1388=$O$7,$B1388&lt;'111'!$N$11),"x","")</f>
        <v/>
      </c>
      <c r="Q1388" s="525" t="str">
        <f>IF(AND($M1388=$O$7,$B1388&lt;'111'!$N$11),"x","")</f>
        <v/>
      </c>
      <c r="R1388" s="525" t="str">
        <f>IF(ISERROR(FIND('112'!$M$9,G1388,1)),"",IF((AND(FIND('112'!$M$9,G1388,1)&gt;=1,$B1388&gt;='112'!$N$8,$B1388&lt;='112'!$O$8,OR($L1388='112'!$I$6,$M1388='112'!$I$6))),"x",""))</f>
        <v/>
      </c>
      <c r="S1388" s="525" t="str">
        <f>IF(ISERROR(FIND('112'!$M$9,G1388,1)),"",IF((AND(LEFT(G1388,2)=LEFT('112'!$M$9,2),B1388&lt;'112'!$N$8,$L1388='112'!$I$6)),"x",""))</f>
        <v/>
      </c>
      <c r="T1388" s="525" t="str">
        <f>IF(ISERROR(FIND('112'!$M$9,G1388,1)),"",IF((AND(RIGHT(G1388,2)=RIGHT('112'!$M$9,2),B1388&lt;'112'!$N$8,$M1388='112'!$I$6)),"x",""))</f>
        <v/>
      </c>
      <c r="U1388" s="525" t="str">
        <f>IF(AND(B1388&gt;='IN-NX'!$P$3,B1388&lt;='IN-NX'!$Q$3,'IN-NX'!$D$7=D1388,OR(LEFT(L1388,2)="15",AND(LEFT(M1388,2)&lt;&gt;"15",LEFT(M1388,2)&lt;&gt;"33"))),"x","")</f>
        <v/>
      </c>
      <c r="V1388" s="525" t="str">
        <f>IF(AND(OR(LEFT(TH!L1388,2)="15",LEFT(TH!M1388,2)="15"),'152-CT'!$J$8=TH!F1388),"x","")</f>
        <v/>
      </c>
      <c r="W1388" s="525" t="str">
        <f>IF(AND(OR(LEFT(TH!L1388,2)="15",LEFT(TH!M1388,2)="15"),TK!$E$7=TH!F1388),"x","")</f>
        <v/>
      </c>
      <c r="X1388" s="525" t="str">
        <f>IF(AND('341-CT'!$E$9=H1388,OR(LEFT(L1388,3)=$X$7,LEFT(M1388,3)=$X$7)),"x","")</f>
        <v/>
      </c>
      <c r="Y1388" s="525" t="str">
        <f>IF(OR(TH!L1388=TH!$Y$7,M1388=TH!$Y$7),"x","")</f>
        <v/>
      </c>
      <c r="Z1388" s="525" t="str">
        <f>IF(AND(B1388&lt;=NKC!$N$8,B1388&gt;=NKC!$M$8),"x","")</f>
        <v>x</v>
      </c>
      <c r="AA1388" s="535">
        <v>1</v>
      </c>
    </row>
    <row r="1389" spans="1:27" s="503" customFormat="1" ht="15.75" customHeight="1">
      <c r="A1389" s="517" t="str">
        <f>IF(B1389&lt;&gt;"",IF(AND(B1389&gt;=_TM1,B1389&lt;=_TM2,OR(TH!L1389="1111",TH!M1389="1111")),TH!D1389,""),"")</f>
        <v/>
      </c>
      <c r="B1389" s="531">
        <f t="shared" si="142"/>
        <v>1</v>
      </c>
      <c r="C1389" s="315">
        <f t="shared" si="143"/>
        <v>42757</v>
      </c>
      <c r="D1389" s="537" t="s">
        <v>966</v>
      </c>
      <c r="E1389" s="537">
        <v>42757</v>
      </c>
      <c r="F1389" s="249" t="s">
        <v>676</v>
      </c>
      <c r="G1389" s="314" t="s">
        <v>605</v>
      </c>
      <c r="H1389" s="473" t="s">
        <v>447</v>
      </c>
      <c r="I1389" s="307">
        <v>120</v>
      </c>
      <c r="J1389" s="307">
        <v>12659</v>
      </c>
      <c r="K1389" s="532">
        <f t="shared" si="144"/>
        <v>1519080</v>
      </c>
      <c r="L1389" s="534" t="s">
        <v>292</v>
      </c>
      <c r="M1389" s="534" t="s">
        <v>8</v>
      </c>
      <c r="N1389" s="525" t="str">
        <f>IF(AND('331-CT'!$E$7=TH!H1389,OR(L1389="331",M1389="331")),"331",IF(AND(OR(L1389="131",M1389="131"),H1389='131-CT'!$E$7),"131",""))</f>
        <v/>
      </c>
      <c r="O1389" s="525" t="str">
        <f>IF(AND($B1389&gt;='111'!$N$11,$B1389&lt;='111'!$O$11,OR($L1389=$O$7,$M1389=$O$7)),"x","")</f>
        <v/>
      </c>
      <c r="P1389" s="525" t="str">
        <f>IF(AND($L1389=$O$7,$B1389&lt;'111'!$N$11),"x","")</f>
        <v/>
      </c>
      <c r="Q1389" s="525" t="str">
        <f>IF(AND($M1389=$O$7,$B1389&lt;'111'!$N$11),"x","")</f>
        <v/>
      </c>
      <c r="R1389" s="525" t="str">
        <f>IF(ISERROR(FIND('112'!$M$9,G1389,1)),"",IF((AND(FIND('112'!$M$9,G1389,1)&gt;=1,$B1389&gt;='112'!$N$8,$B1389&lt;='112'!$O$8,OR($L1389='112'!$I$6,$M1389='112'!$I$6))),"x",""))</f>
        <v/>
      </c>
      <c r="S1389" s="525" t="str">
        <f>IF(ISERROR(FIND('112'!$M$9,G1389,1)),"",IF((AND(LEFT(G1389,2)=LEFT('112'!$M$9,2),B1389&lt;'112'!$N$8,$L1389='112'!$I$6)),"x",""))</f>
        <v/>
      </c>
      <c r="T1389" s="525" t="str">
        <f>IF(ISERROR(FIND('112'!$M$9,G1389,1)),"",IF((AND(RIGHT(G1389,2)=RIGHT('112'!$M$9,2),B1389&lt;'112'!$N$8,$M1389='112'!$I$6)),"x",""))</f>
        <v/>
      </c>
      <c r="U1389" s="525" t="str">
        <f>IF(AND(B1389&gt;='IN-NX'!$P$3,B1389&lt;='IN-NX'!$Q$3,'IN-NX'!$D$7=D1389,OR(LEFT(L1389,2)="15",AND(LEFT(M1389,2)&lt;&gt;"15",LEFT(M1389,2)&lt;&gt;"33"))),"x","")</f>
        <v/>
      </c>
      <c r="V1389" s="525" t="str">
        <f>IF(AND(OR(LEFT(TH!L1389,2)="15",LEFT(TH!M1389,2)="15"),'152-CT'!$J$8=TH!F1389),"x","")</f>
        <v/>
      </c>
      <c r="W1389" s="525" t="str">
        <f>IF(AND(OR(LEFT(TH!L1389,2)="15",LEFT(TH!M1389,2)="15"),TK!$E$7=TH!F1389),"x","")</f>
        <v/>
      </c>
      <c r="X1389" s="525" t="str">
        <f>IF(AND('341-CT'!$E$9=H1389,OR(LEFT(L1389,3)=$X$7,LEFT(M1389,3)=$X$7)),"x","")</f>
        <v/>
      </c>
      <c r="Y1389" s="525" t="str">
        <f>IF(OR(TH!L1389=TH!$Y$7,M1389=TH!$Y$7),"x","")</f>
        <v/>
      </c>
      <c r="Z1389" s="525" t="str">
        <f>IF(AND(B1389&lt;=NKC!$N$8,B1389&gt;=NKC!$M$8),"x","")</f>
        <v>x</v>
      </c>
      <c r="AA1389" s="535">
        <v>1</v>
      </c>
    </row>
    <row r="1390" spans="1:27" s="503" customFormat="1" ht="15.75" customHeight="1">
      <c r="A1390" s="517" t="str">
        <f>IF(B1390&lt;&gt;"",IF(AND(B1390&gt;=_TM1,B1390&lt;=_TM2,OR(TH!L1390="1111",TH!M1390="1111")),TH!D1390,""),"")</f>
        <v/>
      </c>
      <c r="B1390" s="531">
        <f t="shared" si="142"/>
        <v>1</v>
      </c>
      <c r="C1390" s="315">
        <f t="shared" si="143"/>
        <v>42757</v>
      </c>
      <c r="D1390" s="537" t="s">
        <v>966</v>
      </c>
      <c r="E1390" s="537">
        <v>42757</v>
      </c>
      <c r="F1390" s="249" t="s">
        <v>677</v>
      </c>
      <c r="G1390" s="314" t="s">
        <v>605</v>
      </c>
      <c r="H1390" s="473" t="s">
        <v>447</v>
      </c>
      <c r="I1390" s="307">
        <v>117</v>
      </c>
      <c r="J1390" s="307">
        <v>9456</v>
      </c>
      <c r="K1390" s="532">
        <f t="shared" si="144"/>
        <v>1106352</v>
      </c>
      <c r="L1390" s="534" t="s">
        <v>292</v>
      </c>
      <c r="M1390" s="534" t="s">
        <v>8</v>
      </c>
      <c r="N1390" s="525" t="str">
        <f>IF(AND('331-CT'!$E$7=TH!H1390,OR(L1390="331",M1390="331")),"331",IF(AND(OR(L1390="131",M1390="131"),H1390='131-CT'!$E$7),"131",""))</f>
        <v/>
      </c>
      <c r="O1390" s="525" t="str">
        <f>IF(AND($B1390&gt;='111'!$N$11,$B1390&lt;='111'!$O$11,OR($L1390=$O$7,$M1390=$O$7)),"x","")</f>
        <v/>
      </c>
      <c r="P1390" s="525" t="str">
        <f>IF(AND($L1390=$O$7,$B1390&lt;'111'!$N$11),"x","")</f>
        <v/>
      </c>
      <c r="Q1390" s="525" t="str">
        <f>IF(AND($M1390=$O$7,$B1390&lt;'111'!$N$11),"x","")</f>
        <v/>
      </c>
      <c r="R1390" s="525" t="str">
        <f>IF(ISERROR(FIND('112'!$M$9,G1390,1)),"",IF((AND(FIND('112'!$M$9,G1390,1)&gt;=1,$B1390&gt;='112'!$N$8,$B1390&lt;='112'!$O$8,OR($L1390='112'!$I$6,$M1390='112'!$I$6))),"x",""))</f>
        <v/>
      </c>
      <c r="S1390" s="525" t="str">
        <f>IF(ISERROR(FIND('112'!$M$9,G1390,1)),"",IF((AND(LEFT(G1390,2)=LEFT('112'!$M$9,2),B1390&lt;'112'!$N$8,$L1390='112'!$I$6)),"x",""))</f>
        <v/>
      </c>
      <c r="T1390" s="525" t="str">
        <f>IF(ISERROR(FIND('112'!$M$9,G1390,1)),"",IF((AND(RIGHT(G1390,2)=RIGHT('112'!$M$9,2),B1390&lt;'112'!$N$8,$M1390='112'!$I$6)),"x",""))</f>
        <v/>
      </c>
      <c r="U1390" s="525" t="str">
        <f>IF(AND(B1390&gt;='IN-NX'!$P$3,B1390&lt;='IN-NX'!$Q$3,'IN-NX'!$D$7=D1390,OR(LEFT(L1390,2)="15",AND(LEFT(M1390,2)&lt;&gt;"15",LEFT(M1390,2)&lt;&gt;"33"))),"x","")</f>
        <v/>
      </c>
      <c r="V1390" s="525" t="str">
        <f>IF(AND(OR(LEFT(TH!L1390,2)="15",LEFT(TH!M1390,2)="15"),'152-CT'!$J$8=TH!F1390),"x","")</f>
        <v/>
      </c>
      <c r="W1390" s="525" t="str">
        <f>IF(AND(OR(LEFT(TH!L1390,2)="15",LEFT(TH!M1390,2)="15"),TK!$E$7=TH!F1390),"x","")</f>
        <v/>
      </c>
      <c r="X1390" s="525" t="str">
        <f>IF(AND('341-CT'!$E$9=H1390,OR(LEFT(L1390,3)=$X$7,LEFT(M1390,3)=$X$7)),"x","")</f>
        <v/>
      </c>
      <c r="Y1390" s="525" t="str">
        <f>IF(OR(TH!L1390=TH!$Y$7,M1390=TH!$Y$7),"x","")</f>
        <v/>
      </c>
      <c r="Z1390" s="525" t="str">
        <f>IF(AND(B1390&lt;=NKC!$N$8,B1390&gt;=NKC!$M$8),"x","")</f>
        <v>x</v>
      </c>
      <c r="AA1390" s="535">
        <v>1</v>
      </c>
    </row>
    <row r="1391" spans="1:27" s="503" customFormat="1" ht="15.75" customHeight="1">
      <c r="A1391" s="517" t="str">
        <f>IF(B1391&lt;&gt;"",IF(AND(B1391&gt;=_TM1,B1391&lt;=_TM2,OR(TH!L1391="1111",TH!M1391="1111")),TH!D1391,""),"")</f>
        <v/>
      </c>
      <c r="B1391" s="531">
        <f t="shared" si="142"/>
        <v>1</v>
      </c>
      <c r="C1391" s="315">
        <f t="shared" si="143"/>
        <v>42757</v>
      </c>
      <c r="D1391" s="537" t="s">
        <v>966</v>
      </c>
      <c r="E1391" s="537">
        <v>42757</v>
      </c>
      <c r="F1391" s="249" t="s">
        <v>494</v>
      </c>
      <c r="G1391" s="314" t="s">
        <v>605</v>
      </c>
      <c r="H1391" s="473" t="s">
        <v>447</v>
      </c>
      <c r="I1391" s="307"/>
      <c r="J1391" s="307"/>
      <c r="K1391" s="532">
        <v>9148509</v>
      </c>
      <c r="L1391" s="534" t="s">
        <v>9</v>
      </c>
      <c r="M1391" s="534" t="s">
        <v>8</v>
      </c>
      <c r="N1391" s="525" t="str">
        <f>IF(AND('331-CT'!$E$7=TH!H1391,OR(L1391="331",M1391="331")),"331",IF(AND(OR(L1391="131",M1391="131"),H1391='131-CT'!$E$7),"131",""))</f>
        <v/>
      </c>
      <c r="O1391" s="525" t="str">
        <f>IF(AND($B1391&gt;='111'!$N$11,$B1391&lt;='111'!$O$11,OR($L1391=$O$7,$M1391=$O$7)),"x","")</f>
        <v/>
      </c>
      <c r="P1391" s="525" t="str">
        <f>IF(AND($L1391=$O$7,$B1391&lt;'111'!$N$11),"x","")</f>
        <v/>
      </c>
      <c r="Q1391" s="525" t="str">
        <f>IF(AND($M1391=$O$7,$B1391&lt;'111'!$N$11),"x","")</f>
        <v/>
      </c>
      <c r="R1391" s="525" t="str">
        <f>IF(ISERROR(FIND('112'!$M$9,G1391,1)),"",IF((AND(FIND('112'!$M$9,G1391,1)&gt;=1,$B1391&gt;='112'!$N$8,$B1391&lt;='112'!$O$8,OR($L1391='112'!$I$6,$M1391='112'!$I$6))),"x",""))</f>
        <v/>
      </c>
      <c r="S1391" s="525" t="str">
        <f>IF(ISERROR(FIND('112'!$M$9,G1391,1)),"",IF((AND(LEFT(G1391,2)=LEFT('112'!$M$9,2),B1391&lt;'112'!$N$8,$L1391='112'!$I$6)),"x",""))</f>
        <v/>
      </c>
      <c r="T1391" s="525" t="str">
        <f>IF(ISERROR(FIND('112'!$M$9,G1391,1)),"",IF((AND(RIGHT(G1391,2)=RIGHT('112'!$M$9,2),B1391&lt;'112'!$N$8,$M1391='112'!$I$6)),"x",""))</f>
        <v/>
      </c>
      <c r="U1391" s="525" t="str">
        <f>IF(AND(B1391&gt;='IN-NX'!$P$3,B1391&lt;='IN-NX'!$Q$3,'IN-NX'!$D$7=D1391,OR(LEFT(L1391,2)="15",AND(LEFT(M1391,2)&lt;&gt;"15",LEFT(M1391,2)&lt;&gt;"33"))),"x","")</f>
        <v/>
      </c>
      <c r="V1391" s="525" t="str">
        <f>IF(AND(OR(LEFT(TH!L1391,2)="15",LEFT(TH!M1391,2)="15"),'152-CT'!$J$8=TH!F1391),"x","")</f>
        <v/>
      </c>
      <c r="W1391" s="525" t="str">
        <f>IF(AND(OR(LEFT(TH!L1391,2)="15",LEFT(TH!M1391,2)="15"),TK!$E$7=TH!F1391),"x","")</f>
        <v/>
      </c>
      <c r="X1391" s="525" t="str">
        <f>IF(AND('341-CT'!$E$9=H1391,OR(LEFT(L1391,3)=$X$7,LEFT(M1391,3)=$X$7)),"x","")</f>
        <v/>
      </c>
      <c r="Y1391" s="525" t="str">
        <f>IF(OR(TH!L1391=TH!$Y$7,M1391=TH!$Y$7),"x","")</f>
        <v/>
      </c>
      <c r="Z1391" s="525" t="str">
        <f>IF(AND(B1391&lt;=NKC!$N$8,B1391&gt;=NKC!$M$8),"x","")</f>
        <v>x</v>
      </c>
      <c r="AA1391" s="535">
        <v>1</v>
      </c>
    </row>
    <row r="1392" spans="1:27" s="503" customFormat="1" ht="15.75" customHeight="1">
      <c r="A1392" s="517" t="str">
        <f>IF(B1392&lt;&gt;"",IF(AND(B1392&gt;=_TM1,B1392&lt;=_TM2,OR(TH!L1392="1111",TH!M1392="1111")),TH!D1392,""),"")</f>
        <v/>
      </c>
      <c r="B1392" s="531">
        <f t="shared" si="142"/>
        <v>2</v>
      </c>
      <c r="C1392" s="315">
        <f t="shared" si="143"/>
        <v>42772</v>
      </c>
      <c r="D1392" s="537" t="s">
        <v>967</v>
      </c>
      <c r="E1392" s="315">
        <v>42772</v>
      </c>
      <c r="F1392" s="249" t="s">
        <v>493</v>
      </c>
      <c r="G1392" s="314" t="s">
        <v>678</v>
      </c>
      <c r="H1392" s="473" t="s">
        <v>420</v>
      </c>
      <c r="I1392" s="307">
        <v>4400</v>
      </c>
      <c r="J1392" s="307">
        <v>8924</v>
      </c>
      <c r="K1392" s="532">
        <f>ROUND(I1392*J1392,0)</f>
        <v>39265600</v>
      </c>
      <c r="L1392" s="534" t="s">
        <v>292</v>
      </c>
      <c r="M1392" s="534" t="s">
        <v>8</v>
      </c>
      <c r="N1392" s="525" t="str">
        <f>IF(AND('331-CT'!$E$7=TH!H1392,OR(L1392="331",M1392="331")),"331",IF(AND(OR(L1392="131",M1392="131"),H1392='131-CT'!$E$7),"131",""))</f>
        <v/>
      </c>
      <c r="O1392" s="525" t="str">
        <f>IF(AND($B1392&gt;='111'!$N$11,$B1392&lt;='111'!$O$11,OR($L1392=$O$7,$M1392=$O$7)),"x","")</f>
        <v/>
      </c>
      <c r="P1392" s="525" t="str">
        <f>IF(AND($L1392=$O$7,$B1392&lt;'111'!$N$11),"x","")</f>
        <v/>
      </c>
      <c r="Q1392" s="525" t="str">
        <f>IF(AND($M1392=$O$7,$B1392&lt;'111'!$N$11),"x","")</f>
        <v/>
      </c>
      <c r="R1392" s="525" t="str">
        <f>IF(ISERROR(FIND('112'!$M$9,G1392,1)),"",IF((AND(FIND('112'!$M$9,G1392,1)&gt;=1,$B1392&gt;='112'!$N$8,$B1392&lt;='112'!$O$8,OR($L1392='112'!$I$6,$M1392='112'!$I$6))),"x",""))</f>
        <v/>
      </c>
      <c r="S1392" s="525" t="str">
        <f>IF(ISERROR(FIND('112'!$M$9,G1392,1)),"",IF((AND(LEFT(G1392,2)=LEFT('112'!$M$9,2),B1392&lt;'112'!$N$8,$L1392='112'!$I$6)),"x",""))</f>
        <v/>
      </c>
      <c r="T1392" s="525" t="str">
        <f>IF(ISERROR(FIND('112'!$M$9,G1392,1)),"",IF((AND(RIGHT(G1392,2)=RIGHT('112'!$M$9,2),B1392&lt;'112'!$N$8,$M1392='112'!$I$6)),"x",""))</f>
        <v/>
      </c>
      <c r="U1392" s="525" t="str">
        <f>IF(AND(B1392&gt;='IN-NX'!$P$3,B1392&lt;='IN-NX'!$Q$3,'IN-NX'!$D$7=D1392,OR(LEFT(L1392,2)="15",AND(LEFT(M1392,2)&lt;&gt;"15",LEFT(M1392,2)&lt;&gt;"33"))),"x","")</f>
        <v/>
      </c>
      <c r="V1392" s="525" t="str">
        <f>IF(AND(OR(LEFT(TH!L1392,2)="15",LEFT(TH!M1392,2)="15"),'152-CT'!$J$8=TH!F1392),"x","")</f>
        <v/>
      </c>
      <c r="W1392" s="525" t="str">
        <f>IF(AND(OR(LEFT(TH!L1392,2)="15",LEFT(TH!M1392,2)="15"),TK!$E$7=TH!F1392),"x","")</f>
        <v/>
      </c>
      <c r="X1392" s="525" t="str">
        <f>IF(AND('341-CT'!$E$9=H1392,OR(LEFT(L1392,3)=$X$7,LEFT(M1392,3)=$X$7)),"x","")</f>
        <v/>
      </c>
      <c r="Y1392" s="525" t="str">
        <f>IF(OR(TH!L1392=TH!$Y$7,M1392=TH!$Y$7),"x","")</f>
        <v/>
      </c>
      <c r="Z1392" s="525" t="str">
        <f>IF(AND(B1392&lt;=NKC!$N$8,B1392&gt;=NKC!$M$8),"x","")</f>
        <v>x</v>
      </c>
      <c r="AA1392" s="535">
        <v>1</v>
      </c>
    </row>
    <row r="1393" spans="1:31" s="503" customFormat="1" ht="15.75" customHeight="1">
      <c r="A1393" s="517" t="str">
        <f>IF(B1393&lt;&gt;"",IF(AND(B1393&gt;=_TM1,B1393&lt;=_TM2,OR(TH!L1393="1111",TH!M1393="1111")),TH!D1393,""),"")</f>
        <v/>
      </c>
      <c r="B1393" s="531">
        <f t="shared" si="142"/>
        <v>2</v>
      </c>
      <c r="C1393" s="315">
        <f t="shared" si="143"/>
        <v>42772</v>
      </c>
      <c r="D1393" s="537" t="s">
        <v>967</v>
      </c>
      <c r="E1393" s="315">
        <v>42772</v>
      </c>
      <c r="F1393" s="249" t="s">
        <v>503</v>
      </c>
      <c r="G1393" s="314" t="s">
        <v>678</v>
      </c>
      <c r="H1393" s="473" t="s">
        <v>420</v>
      </c>
      <c r="I1393" s="307">
        <v>2000</v>
      </c>
      <c r="J1393" s="307">
        <v>8245</v>
      </c>
      <c r="K1393" s="532">
        <f>ROUND(I1393*J1393,0)</f>
        <v>16490000</v>
      </c>
      <c r="L1393" s="534" t="s">
        <v>292</v>
      </c>
      <c r="M1393" s="534" t="s">
        <v>8</v>
      </c>
      <c r="N1393" s="525" t="str">
        <f>IF(AND('331-CT'!$E$7=TH!H1393,OR(L1393="331",M1393="331")),"331",IF(AND(OR(L1393="131",M1393="131"),H1393='131-CT'!$E$7),"131",""))</f>
        <v/>
      </c>
      <c r="O1393" s="525" t="str">
        <f>IF(AND($B1393&gt;='111'!$N$11,$B1393&lt;='111'!$O$11,OR($L1393=$O$7,$M1393=$O$7)),"x","")</f>
        <v/>
      </c>
      <c r="P1393" s="525" t="str">
        <f>IF(AND($L1393=$O$7,$B1393&lt;'111'!$N$11),"x","")</f>
        <v/>
      </c>
      <c r="Q1393" s="525" t="str">
        <f>IF(AND($M1393=$O$7,$B1393&lt;'111'!$N$11),"x","")</f>
        <v/>
      </c>
      <c r="R1393" s="525" t="str">
        <f>IF(ISERROR(FIND('112'!$M$9,G1393,1)),"",IF((AND(FIND('112'!$M$9,G1393,1)&gt;=1,$B1393&gt;='112'!$N$8,$B1393&lt;='112'!$O$8,OR($L1393='112'!$I$6,$M1393='112'!$I$6))),"x",""))</f>
        <v/>
      </c>
      <c r="S1393" s="525" t="str">
        <f>IF(ISERROR(FIND('112'!$M$9,G1393,1)),"",IF((AND(LEFT(G1393,2)=LEFT('112'!$M$9,2),B1393&lt;'112'!$N$8,$L1393='112'!$I$6)),"x",""))</f>
        <v/>
      </c>
      <c r="T1393" s="525" t="str">
        <f>IF(ISERROR(FIND('112'!$M$9,G1393,1)),"",IF((AND(RIGHT(G1393,2)=RIGHT('112'!$M$9,2),B1393&lt;'112'!$N$8,$M1393='112'!$I$6)),"x",""))</f>
        <v/>
      </c>
      <c r="U1393" s="525" t="str">
        <f>IF(AND(B1393&gt;='IN-NX'!$P$3,B1393&lt;='IN-NX'!$Q$3,'IN-NX'!$D$7=D1393,OR(LEFT(L1393,2)="15",AND(LEFT(M1393,2)&lt;&gt;"15",LEFT(M1393,2)&lt;&gt;"33"))),"x","")</f>
        <v/>
      </c>
      <c r="V1393" s="525" t="str">
        <f>IF(AND(OR(LEFT(TH!L1393,2)="15",LEFT(TH!M1393,2)="15"),'152-CT'!$J$8=TH!F1393),"x","")</f>
        <v/>
      </c>
      <c r="W1393" s="525" t="str">
        <f>IF(AND(OR(LEFT(TH!L1393,2)="15",LEFT(TH!M1393,2)="15"),TK!$E$7=TH!F1393),"x","")</f>
        <v/>
      </c>
      <c r="X1393" s="525" t="str">
        <f>IF(AND('341-CT'!$E$9=H1393,OR(LEFT(L1393,3)=$X$7,LEFT(M1393,3)=$X$7)),"x","")</f>
        <v/>
      </c>
      <c r="Y1393" s="525" t="str">
        <f>IF(OR(TH!L1393=TH!$Y$7,M1393=TH!$Y$7),"x","")</f>
        <v/>
      </c>
      <c r="Z1393" s="525" t="str">
        <f>IF(AND(B1393&lt;=NKC!$N$8,B1393&gt;=NKC!$M$8),"x","")</f>
        <v>x</v>
      </c>
      <c r="AA1393" s="535">
        <v>1</v>
      </c>
    </row>
    <row r="1394" spans="1:31" s="503" customFormat="1" ht="15.75" customHeight="1">
      <c r="A1394" s="517" t="str">
        <f>IF(B1394&lt;&gt;"",IF(AND(B1394&gt;=_TM1,B1394&lt;=_TM2,OR(TH!L1394="1111",TH!M1394="1111")),TH!D1394,""),"")</f>
        <v/>
      </c>
      <c r="B1394" s="531">
        <f t="shared" si="142"/>
        <v>2</v>
      </c>
      <c r="C1394" s="315">
        <f t="shared" si="143"/>
        <v>42772</v>
      </c>
      <c r="D1394" s="537" t="s">
        <v>967</v>
      </c>
      <c r="E1394" s="315">
        <v>42772</v>
      </c>
      <c r="F1394" s="249" t="s">
        <v>500</v>
      </c>
      <c r="G1394" s="314" t="s">
        <v>678</v>
      </c>
      <c r="H1394" s="473" t="s">
        <v>420</v>
      </c>
      <c r="I1394" s="307">
        <v>300</v>
      </c>
      <c r="J1394" s="307">
        <v>7789</v>
      </c>
      <c r="K1394" s="532">
        <f>ROUND(I1394*J1394,0)</f>
        <v>2336700</v>
      </c>
      <c r="L1394" s="534" t="s">
        <v>292</v>
      </c>
      <c r="M1394" s="534" t="s">
        <v>8</v>
      </c>
      <c r="N1394" s="525" t="str">
        <f>IF(AND('331-CT'!$E$7=TH!H1394,OR(L1394="331",M1394="331")),"331",IF(AND(OR(L1394="131",M1394="131"),H1394='131-CT'!$E$7),"131",""))</f>
        <v/>
      </c>
      <c r="O1394" s="525" t="str">
        <f>IF(AND($B1394&gt;='111'!$N$11,$B1394&lt;='111'!$O$11,OR($L1394=$O$7,$M1394=$O$7)),"x","")</f>
        <v/>
      </c>
      <c r="P1394" s="525" t="str">
        <f>IF(AND($L1394=$O$7,$B1394&lt;'111'!$N$11),"x","")</f>
        <v/>
      </c>
      <c r="Q1394" s="525" t="str">
        <f>IF(AND($M1394=$O$7,$B1394&lt;'111'!$N$11),"x","")</f>
        <v/>
      </c>
      <c r="R1394" s="525" t="str">
        <f>IF(ISERROR(FIND('112'!$M$9,G1394,1)),"",IF((AND(FIND('112'!$M$9,G1394,1)&gt;=1,$B1394&gt;='112'!$N$8,$B1394&lt;='112'!$O$8,OR($L1394='112'!$I$6,$M1394='112'!$I$6))),"x",""))</f>
        <v/>
      </c>
      <c r="S1394" s="525" t="str">
        <f>IF(ISERROR(FIND('112'!$M$9,G1394,1)),"",IF((AND(LEFT(G1394,2)=LEFT('112'!$M$9,2),B1394&lt;'112'!$N$8,$L1394='112'!$I$6)),"x",""))</f>
        <v/>
      </c>
      <c r="T1394" s="525" t="str">
        <f>IF(ISERROR(FIND('112'!$M$9,G1394,1)),"",IF((AND(RIGHT(G1394,2)=RIGHT('112'!$M$9,2),B1394&lt;'112'!$N$8,$M1394='112'!$I$6)),"x",""))</f>
        <v/>
      </c>
      <c r="U1394" s="525" t="str">
        <f>IF(AND(B1394&gt;='IN-NX'!$P$3,B1394&lt;='IN-NX'!$Q$3,'IN-NX'!$D$7=D1394,OR(LEFT(L1394,2)="15",AND(LEFT(M1394,2)&lt;&gt;"15",LEFT(M1394,2)&lt;&gt;"33"))),"x","")</f>
        <v/>
      </c>
      <c r="V1394" s="525" t="str">
        <f>IF(AND(OR(LEFT(TH!L1394,2)="15",LEFT(TH!M1394,2)="15"),'152-CT'!$J$8=TH!F1394),"x","")</f>
        <v/>
      </c>
      <c r="W1394" s="525" t="str">
        <f>IF(AND(OR(LEFT(TH!L1394,2)="15",LEFT(TH!M1394,2)="15"),TK!$E$7=TH!F1394),"x","")</f>
        <v/>
      </c>
      <c r="X1394" s="525" t="str">
        <f>IF(AND('341-CT'!$E$9=H1394,OR(LEFT(L1394,3)=$X$7,LEFT(M1394,3)=$X$7)),"x","")</f>
        <v/>
      </c>
      <c r="Y1394" s="525" t="str">
        <f>IF(OR(TH!L1394=TH!$Y$7,M1394=TH!$Y$7),"x","")</f>
        <v/>
      </c>
      <c r="Z1394" s="525" t="str">
        <f>IF(AND(B1394&lt;=NKC!$N$8,B1394&gt;=NKC!$M$8),"x","")</f>
        <v>x</v>
      </c>
      <c r="AA1394" s="535">
        <v>1</v>
      </c>
    </row>
    <row r="1395" spans="1:31" s="503" customFormat="1" ht="15.75" customHeight="1">
      <c r="A1395" s="517" t="str">
        <f>IF(B1395&lt;&gt;"",IF(AND(B1395&gt;=_TM1,B1395&lt;=_TM2,OR(TH!L1395="1111",TH!M1395="1111")),TH!D1395,""),"")</f>
        <v/>
      </c>
      <c r="B1395" s="531">
        <f t="shared" si="142"/>
        <v>2</v>
      </c>
      <c r="C1395" s="315">
        <f t="shared" si="143"/>
        <v>42772</v>
      </c>
      <c r="D1395" s="537" t="s">
        <v>967</v>
      </c>
      <c r="E1395" s="315">
        <v>42772</v>
      </c>
      <c r="F1395" s="249" t="s">
        <v>494</v>
      </c>
      <c r="G1395" s="314" t="s">
        <v>678</v>
      </c>
      <c r="H1395" s="473" t="s">
        <v>420</v>
      </c>
      <c r="I1395" s="307"/>
      <c r="J1395" s="307"/>
      <c r="K1395" s="532">
        <v>5809230</v>
      </c>
      <c r="L1395" s="534" t="s">
        <v>9</v>
      </c>
      <c r="M1395" s="534" t="s">
        <v>8</v>
      </c>
      <c r="N1395" s="525" t="str">
        <f>IF(AND('331-CT'!$E$7=TH!H1395,OR(L1395="331",M1395="331")),"331",IF(AND(OR(L1395="131",M1395="131"),H1395='131-CT'!$E$7),"131",""))</f>
        <v/>
      </c>
      <c r="O1395" s="525" t="str">
        <f>IF(AND($B1395&gt;='111'!$N$11,$B1395&lt;='111'!$O$11,OR($L1395=$O$7,$M1395=$O$7)),"x","")</f>
        <v/>
      </c>
      <c r="P1395" s="525" t="str">
        <f>IF(AND($L1395=$O$7,$B1395&lt;'111'!$N$11),"x","")</f>
        <v/>
      </c>
      <c r="Q1395" s="525" t="str">
        <f>IF(AND($M1395=$O$7,$B1395&lt;'111'!$N$11),"x","")</f>
        <v/>
      </c>
      <c r="R1395" s="525" t="str">
        <f>IF(ISERROR(FIND('112'!$M$9,G1395,1)),"",IF((AND(FIND('112'!$M$9,G1395,1)&gt;=1,$B1395&gt;='112'!$N$8,$B1395&lt;='112'!$O$8,OR($L1395='112'!$I$6,$M1395='112'!$I$6))),"x",""))</f>
        <v/>
      </c>
      <c r="S1395" s="525" t="str">
        <f>IF(ISERROR(FIND('112'!$M$9,G1395,1)),"",IF((AND(LEFT(G1395,2)=LEFT('112'!$M$9,2),B1395&lt;'112'!$N$8,$L1395='112'!$I$6)),"x",""))</f>
        <v/>
      </c>
      <c r="T1395" s="525" t="str">
        <f>IF(ISERROR(FIND('112'!$M$9,G1395,1)),"",IF((AND(RIGHT(G1395,2)=RIGHT('112'!$M$9,2),B1395&lt;'112'!$N$8,$M1395='112'!$I$6)),"x",""))</f>
        <v/>
      </c>
      <c r="U1395" s="525" t="str">
        <f>IF(AND(B1395&gt;='IN-NX'!$P$3,B1395&lt;='IN-NX'!$Q$3,'IN-NX'!$D$7=D1395,OR(LEFT(L1395,2)="15",AND(LEFT(M1395,2)&lt;&gt;"15",LEFT(M1395,2)&lt;&gt;"33"))),"x","")</f>
        <v/>
      </c>
      <c r="V1395" s="525" t="str">
        <f>IF(AND(OR(LEFT(TH!L1395,2)="15",LEFT(TH!M1395,2)="15"),'152-CT'!$J$8=TH!F1395),"x","")</f>
        <v/>
      </c>
      <c r="W1395" s="525" t="str">
        <f>IF(AND(OR(LEFT(TH!L1395,2)="15",LEFT(TH!M1395,2)="15"),TK!$E$7=TH!F1395),"x","")</f>
        <v/>
      </c>
      <c r="X1395" s="525" t="str">
        <f>IF(AND('341-CT'!$E$9=H1395,OR(LEFT(L1395,3)=$X$7,LEFT(M1395,3)=$X$7)),"x","")</f>
        <v/>
      </c>
      <c r="Y1395" s="525" t="str">
        <f>IF(OR(TH!L1395=TH!$Y$7,M1395=TH!$Y$7),"x","")</f>
        <v/>
      </c>
      <c r="Z1395" s="525" t="str">
        <f>IF(AND(B1395&lt;=NKC!$N$8,B1395&gt;=NKC!$M$8),"x","")</f>
        <v>x</v>
      </c>
      <c r="AA1395" s="535">
        <v>1</v>
      </c>
    </row>
    <row r="1396" spans="1:31" s="503" customFormat="1" ht="15.75" customHeight="1">
      <c r="A1396" s="517" t="str">
        <f>IF(B1396&lt;&gt;"",IF(AND(B1396&gt;=_TM1,B1396&lt;=_TM2,OR(TH!L1396="1111",TH!M1396="1111")),TH!D1396,""),"")</f>
        <v/>
      </c>
      <c r="B1396" s="518">
        <f t="shared" si="142"/>
        <v>2</v>
      </c>
      <c r="C1396" s="571">
        <f t="shared" si="143"/>
        <v>42773</v>
      </c>
      <c r="D1396" s="537" t="s">
        <v>968</v>
      </c>
      <c r="E1396" s="519">
        <v>42773</v>
      </c>
      <c r="F1396" s="249" t="s">
        <v>504</v>
      </c>
      <c r="G1396" s="573" t="s">
        <v>869</v>
      </c>
      <c r="H1396" s="574" t="s">
        <v>447</v>
      </c>
      <c r="I1396" s="523">
        <v>850</v>
      </c>
      <c r="J1396" s="523">
        <v>34632</v>
      </c>
      <c r="K1396" s="575">
        <f>ROUND(I1396*J1396,0)</f>
        <v>29437200</v>
      </c>
      <c r="L1396" s="525" t="s">
        <v>292</v>
      </c>
      <c r="M1396" s="525" t="s">
        <v>8</v>
      </c>
      <c r="N1396" s="525" t="str">
        <f>IF(AND('331-CT'!$E$7=TH!H1396,OR(L1396="331",M1396="331")),"331",IF(AND(OR(L1396="131",M1396="131"),H1396='131-CT'!$E$7),"131",""))</f>
        <v/>
      </c>
      <c r="O1396" s="525" t="str">
        <f>IF(AND($B1396&gt;='111'!$N$11,$B1396&lt;='111'!$O$11,OR($L1396=$O$7,$M1396=$O$7)),"x","")</f>
        <v/>
      </c>
      <c r="P1396" s="525" t="str">
        <f>IF(AND($L1396=$O$7,$B1396&lt;'111'!$N$11),"x","")</f>
        <v/>
      </c>
      <c r="Q1396" s="525" t="str">
        <f>IF(AND($M1396=$O$7,$B1396&lt;'111'!$N$11),"x","")</f>
        <v/>
      </c>
      <c r="R1396" s="525" t="str">
        <f>IF(ISERROR(FIND('112'!$M$9,G1396,1)),"",IF((AND(FIND('112'!$M$9,G1396,1)&gt;=1,$B1396&gt;='112'!$N$8,$B1396&lt;='112'!$O$8,OR($L1396='112'!$I$6,$M1396='112'!$I$6))),"x",""))</f>
        <v/>
      </c>
      <c r="S1396" s="525" t="str">
        <f>IF(ISERROR(FIND('112'!$M$9,G1396,1)),"",IF((AND(LEFT(G1396,2)=LEFT('112'!$M$9,2),B1396&lt;'112'!$N$8,$L1396='112'!$I$6)),"x",""))</f>
        <v/>
      </c>
      <c r="T1396" s="525" t="str">
        <f>IF(ISERROR(FIND('112'!$M$9,G1396,1)),"",IF((AND(RIGHT(G1396,2)=RIGHT('112'!$M$9,2),B1396&lt;'112'!$N$8,$M1396='112'!$I$6)),"x",""))</f>
        <v/>
      </c>
      <c r="U1396" s="525" t="str">
        <f>IF(AND(B1396&gt;='IN-NX'!$P$3,B1396&lt;='IN-NX'!$Q$3,'IN-NX'!$D$7=D1396,OR(LEFT(L1396,2)="15",AND(LEFT(M1396,2)&lt;&gt;"15",LEFT(M1396,2)&lt;&gt;"33"))),"x","")</f>
        <v/>
      </c>
      <c r="V1396" s="525" t="str">
        <f>IF(AND(OR(LEFT(TH!L1396,2)="15",LEFT(TH!M1396,2)="15"),'152-CT'!$J$8=TH!F1396),"x","")</f>
        <v/>
      </c>
      <c r="W1396" s="525" t="str">
        <f>IF(AND(OR(LEFT(TH!L1396,2)="15",LEFT(TH!M1396,2)="15"),TK!$E$7=TH!F1396),"x","")</f>
        <v/>
      </c>
      <c r="X1396" s="525" t="str">
        <f>IF(AND('341-CT'!$E$9=H1396,OR(LEFT(L1396,3)=$X$7,LEFT(M1396,3)=$X$7)),"x","")</f>
        <v/>
      </c>
      <c r="Y1396" s="525" t="str">
        <f>IF(OR(TH!L1396=TH!$Y$7,M1396=TH!$Y$7),"x","")</f>
        <v/>
      </c>
      <c r="Z1396" s="525" t="str">
        <f>IF(AND(B1396&lt;=NKC!$N$8,B1396&gt;=NKC!$M$8),"x","")</f>
        <v>x</v>
      </c>
      <c r="AA1396" s="535">
        <v>1</v>
      </c>
      <c r="AB1396" s="576"/>
      <c r="AD1396" s="576"/>
      <c r="AE1396" s="576"/>
    </row>
    <row r="1397" spans="1:31" s="503" customFormat="1" ht="15.75" customHeight="1">
      <c r="A1397" s="517" t="str">
        <f>IF(B1397&lt;&gt;"",IF(AND(B1397&gt;=_TM1,B1397&lt;=_TM2,OR(TH!L1397="1111",TH!M1397="1111")),TH!D1397,""),"")</f>
        <v/>
      </c>
      <c r="B1397" s="518">
        <f t="shared" si="142"/>
        <v>2</v>
      </c>
      <c r="C1397" s="571">
        <f t="shared" si="143"/>
        <v>42773</v>
      </c>
      <c r="D1397" s="537" t="s">
        <v>968</v>
      </c>
      <c r="E1397" s="519">
        <v>42773</v>
      </c>
      <c r="F1397" s="572" t="s">
        <v>494</v>
      </c>
      <c r="G1397" s="573" t="s">
        <v>869</v>
      </c>
      <c r="H1397" s="574" t="s">
        <v>447</v>
      </c>
      <c r="I1397" s="523"/>
      <c r="J1397" s="523"/>
      <c r="K1397" s="575">
        <v>2943720</v>
      </c>
      <c r="L1397" s="525" t="s">
        <v>9</v>
      </c>
      <c r="M1397" s="525" t="s">
        <v>8</v>
      </c>
      <c r="N1397" s="525" t="str">
        <f>IF(AND('331-CT'!$E$7=TH!H1397,OR(L1397="331",M1397="331")),"331",IF(AND(OR(L1397="131",M1397="131"),H1397='131-CT'!$E$7),"131",""))</f>
        <v/>
      </c>
      <c r="O1397" s="525" t="str">
        <f>IF(AND($B1397&gt;='111'!$N$11,$B1397&lt;='111'!$O$11,OR($L1397=$O$7,$M1397=$O$7)),"x","")</f>
        <v/>
      </c>
      <c r="P1397" s="525" t="str">
        <f>IF(AND($L1397=$O$7,$B1397&lt;'111'!$N$11),"x","")</f>
        <v/>
      </c>
      <c r="Q1397" s="525" t="str">
        <f>IF(AND($M1397=$O$7,$B1397&lt;'111'!$N$11),"x","")</f>
        <v/>
      </c>
      <c r="R1397" s="525" t="str">
        <f>IF(ISERROR(FIND('112'!$M$9,G1397,1)),"",IF((AND(FIND('112'!$M$9,G1397,1)&gt;=1,$B1397&gt;='112'!$N$8,$B1397&lt;='112'!$O$8,OR($L1397='112'!$I$6,$M1397='112'!$I$6))),"x",""))</f>
        <v/>
      </c>
      <c r="S1397" s="525" t="str">
        <f>IF(ISERROR(FIND('112'!$M$9,G1397,1)),"",IF((AND(LEFT(G1397,2)=LEFT('112'!$M$9,2),B1397&lt;'112'!$N$8,$L1397='112'!$I$6)),"x",""))</f>
        <v/>
      </c>
      <c r="T1397" s="525" t="str">
        <f>IF(ISERROR(FIND('112'!$M$9,G1397,1)),"",IF((AND(RIGHT(G1397,2)=RIGHT('112'!$M$9,2),B1397&lt;'112'!$N$8,$M1397='112'!$I$6)),"x",""))</f>
        <v/>
      </c>
      <c r="U1397" s="525" t="str">
        <f>IF(AND(B1397&gt;='IN-NX'!$P$3,B1397&lt;='IN-NX'!$Q$3,'IN-NX'!$D$7=D1397,OR(LEFT(L1397,2)="15",AND(LEFT(M1397,2)&lt;&gt;"15",LEFT(M1397,2)&lt;&gt;"33"))),"x","")</f>
        <v/>
      </c>
      <c r="V1397" s="525" t="str">
        <f>IF(AND(OR(LEFT(TH!L1397,2)="15",LEFT(TH!M1397,2)="15"),'152-CT'!$J$8=TH!F1397),"x","")</f>
        <v/>
      </c>
      <c r="W1397" s="525" t="str">
        <f>IF(AND(OR(LEFT(TH!L1397,2)="15",LEFT(TH!M1397,2)="15"),TK!$E$7=TH!F1397),"x","")</f>
        <v/>
      </c>
      <c r="X1397" s="525" t="str">
        <f>IF(AND('341-CT'!$E$9=H1397,OR(LEFT(L1397,3)=$X$7,LEFT(M1397,3)=$X$7)),"x","")</f>
        <v/>
      </c>
      <c r="Y1397" s="525" t="str">
        <f>IF(OR(TH!L1397=TH!$Y$7,M1397=TH!$Y$7),"x","")</f>
        <v/>
      </c>
      <c r="Z1397" s="525" t="str">
        <f>IF(AND(B1397&lt;=NKC!$N$8,B1397&gt;=NKC!$M$8),"x","")</f>
        <v>x</v>
      </c>
      <c r="AA1397" s="535">
        <v>1</v>
      </c>
      <c r="AB1397" s="576"/>
      <c r="AC1397" s="576"/>
      <c r="AD1397" s="576"/>
      <c r="AE1397" s="576"/>
    </row>
    <row r="1398" spans="1:31" s="503" customFormat="1" ht="15.75" customHeight="1">
      <c r="A1398" s="517" t="str">
        <f>IF(B1398&lt;&gt;"",IF(AND(B1398&gt;=_TM1,B1398&lt;=_TM2,OR(TH!L1398="1111",TH!M1398="1111")),TH!D1398,""),"")</f>
        <v/>
      </c>
      <c r="B1398" s="531">
        <f t="shared" si="142"/>
        <v>2</v>
      </c>
      <c r="C1398" s="315">
        <f t="shared" si="143"/>
        <v>42781</v>
      </c>
      <c r="D1398" s="537" t="s">
        <v>969</v>
      </c>
      <c r="E1398" s="315">
        <v>42781</v>
      </c>
      <c r="F1398" s="249" t="s">
        <v>574</v>
      </c>
      <c r="G1398" s="314" t="s">
        <v>571</v>
      </c>
      <c r="H1398" s="473" t="s">
        <v>271</v>
      </c>
      <c r="I1398" s="307">
        <v>100</v>
      </c>
      <c r="J1398" s="307">
        <v>18361</v>
      </c>
      <c r="K1398" s="532">
        <f>ROUND(I1398*J1398,0)</f>
        <v>1836100</v>
      </c>
      <c r="L1398" s="534" t="s">
        <v>292</v>
      </c>
      <c r="M1398" s="534" t="s">
        <v>8</v>
      </c>
      <c r="N1398" s="525" t="str">
        <f>IF(AND('331-CT'!$E$7=TH!H1398,OR(L1398="331",M1398="331")),"331",IF(AND(OR(L1398="131",M1398="131"),H1398='131-CT'!$E$7),"131",""))</f>
        <v>331</v>
      </c>
      <c r="O1398" s="525" t="str">
        <f>IF(AND($B1398&gt;='111'!$N$11,$B1398&lt;='111'!$O$11,OR($L1398=$O$7,$M1398=$O$7)),"x","")</f>
        <v/>
      </c>
      <c r="P1398" s="525" t="str">
        <f>IF(AND($L1398=$O$7,$B1398&lt;'111'!$N$11),"x","")</f>
        <v/>
      </c>
      <c r="Q1398" s="525" t="str">
        <f>IF(AND($M1398=$O$7,$B1398&lt;'111'!$N$11),"x","")</f>
        <v/>
      </c>
      <c r="R1398" s="525" t="str">
        <f>IF(ISERROR(FIND('112'!$M$9,G1398,1)),"",IF((AND(FIND('112'!$M$9,G1398,1)&gt;=1,$B1398&gt;='112'!$N$8,$B1398&lt;='112'!$O$8,OR($L1398='112'!$I$6,$M1398='112'!$I$6))),"x",""))</f>
        <v/>
      </c>
      <c r="S1398" s="525" t="str">
        <f>IF(ISERROR(FIND('112'!$M$9,G1398,1)),"",IF((AND(LEFT(G1398,2)=LEFT('112'!$M$9,2),B1398&lt;'112'!$N$8,$L1398='112'!$I$6)),"x",""))</f>
        <v/>
      </c>
      <c r="T1398" s="525" t="str">
        <f>IF(ISERROR(FIND('112'!$M$9,G1398,1)),"",IF((AND(RIGHT(G1398,2)=RIGHT('112'!$M$9,2),B1398&lt;'112'!$N$8,$M1398='112'!$I$6)),"x",""))</f>
        <v/>
      </c>
      <c r="U1398" s="525" t="str">
        <f>IF(AND(B1398&gt;='IN-NX'!$P$3,B1398&lt;='IN-NX'!$Q$3,'IN-NX'!$D$7=D1398,OR(LEFT(L1398,2)="15",AND(LEFT(M1398,2)&lt;&gt;"15",LEFT(M1398,2)&lt;&gt;"33"))),"x","")</f>
        <v/>
      </c>
      <c r="V1398" s="525" t="str">
        <f>IF(AND(OR(LEFT(TH!L1398,2)="15",LEFT(TH!M1398,2)="15"),'152-CT'!$J$8=TH!F1398),"x","")</f>
        <v/>
      </c>
      <c r="W1398" s="525" t="str">
        <f>IF(AND(OR(LEFT(TH!L1398,2)="15",LEFT(TH!M1398,2)="15"),TK!$E$7=TH!F1398),"x","")</f>
        <v/>
      </c>
      <c r="X1398" s="525" t="str">
        <f>IF(AND('341-CT'!$E$9=H1398,OR(LEFT(L1398,3)=$X$7,LEFT(M1398,3)=$X$7)),"x","")</f>
        <v/>
      </c>
      <c r="Y1398" s="525" t="str">
        <f>IF(OR(TH!L1398=TH!$Y$7,M1398=TH!$Y$7),"x","")</f>
        <v/>
      </c>
      <c r="Z1398" s="525" t="str">
        <f>IF(AND(B1398&lt;=NKC!$N$8,B1398&gt;=NKC!$M$8),"x","")</f>
        <v>x</v>
      </c>
      <c r="AA1398" s="535">
        <v>1</v>
      </c>
    </row>
    <row r="1399" spans="1:31" s="503" customFormat="1" ht="15.75" customHeight="1">
      <c r="A1399" s="517" t="str">
        <f>IF(B1399&lt;&gt;"",IF(AND(B1399&gt;=_TM1,B1399&lt;=_TM2,OR(TH!L1399="1111",TH!M1399="1111")),TH!D1399,""),"")</f>
        <v/>
      </c>
      <c r="B1399" s="531">
        <f t="shared" si="142"/>
        <v>2</v>
      </c>
      <c r="C1399" s="315">
        <f t="shared" si="143"/>
        <v>42781</v>
      </c>
      <c r="D1399" s="537" t="s">
        <v>969</v>
      </c>
      <c r="E1399" s="315">
        <v>42781</v>
      </c>
      <c r="F1399" s="249" t="s">
        <v>572</v>
      </c>
      <c r="G1399" s="314" t="s">
        <v>571</v>
      </c>
      <c r="H1399" s="473" t="s">
        <v>271</v>
      </c>
      <c r="I1399" s="307">
        <v>76</v>
      </c>
      <c r="J1399" s="307">
        <v>20030</v>
      </c>
      <c r="K1399" s="532">
        <f>ROUND(I1399*J1399,0)</f>
        <v>1522280</v>
      </c>
      <c r="L1399" s="534" t="s">
        <v>292</v>
      </c>
      <c r="M1399" s="534" t="s">
        <v>8</v>
      </c>
      <c r="N1399" s="525" t="str">
        <f>IF(AND('331-CT'!$E$7=TH!H1399,OR(L1399="331",M1399="331")),"331",IF(AND(OR(L1399="131",M1399="131"),H1399='131-CT'!$E$7),"131",""))</f>
        <v>331</v>
      </c>
      <c r="O1399" s="525" t="str">
        <f>IF(AND($B1399&gt;='111'!$N$11,$B1399&lt;='111'!$O$11,OR($L1399=$O$7,$M1399=$O$7)),"x","")</f>
        <v/>
      </c>
      <c r="P1399" s="525" t="str">
        <f>IF(AND($L1399=$O$7,$B1399&lt;'111'!$N$11),"x","")</f>
        <v/>
      </c>
      <c r="Q1399" s="525" t="str">
        <f>IF(AND($M1399=$O$7,$B1399&lt;'111'!$N$11),"x","")</f>
        <v/>
      </c>
      <c r="R1399" s="525" t="str">
        <f>IF(ISERROR(FIND('112'!$M$9,G1399,1)),"",IF((AND(FIND('112'!$M$9,G1399,1)&gt;=1,$B1399&gt;='112'!$N$8,$B1399&lt;='112'!$O$8,OR($L1399='112'!$I$6,$M1399='112'!$I$6))),"x",""))</f>
        <v/>
      </c>
      <c r="S1399" s="525" t="str">
        <f>IF(ISERROR(FIND('112'!$M$9,G1399,1)),"",IF((AND(LEFT(G1399,2)=LEFT('112'!$M$9,2),B1399&lt;'112'!$N$8,$L1399='112'!$I$6)),"x",""))</f>
        <v/>
      </c>
      <c r="T1399" s="525" t="str">
        <f>IF(ISERROR(FIND('112'!$M$9,G1399,1)),"",IF((AND(RIGHT(G1399,2)=RIGHT('112'!$M$9,2),B1399&lt;'112'!$N$8,$M1399='112'!$I$6)),"x",""))</f>
        <v/>
      </c>
      <c r="U1399" s="525" t="str">
        <f>IF(AND(B1399&gt;='IN-NX'!$P$3,B1399&lt;='IN-NX'!$Q$3,'IN-NX'!$D$7=D1399,OR(LEFT(L1399,2)="15",AND(LEFT(M1399,2)&lt;&gt;"15",LEFT(M1399,2)&lt;&gt;"33"))),"x","")</f>
        <v/>
      </c>
      <c r="V1399" s="525" t="str">
        <f>IF(AND(OR(LEFT(TH!L1399,2)="15",LEFT(TH!M1399,2)="15"),'152-CT'!$J$8=TH!F1399),"x","")</f>
        <v/>
      </c>
      <c r="W1399" s="525" t="str">
        <f>IF(AND(OR(LEFT(TH!L1399,2)="15",LEFT(TH!M1399,2)="15"),TK!$E$7=TH!F1399),"x","")</f>
        <v/>
      </c>
      <c r="X1399" s="525" t="str">
        <f>IF(AND('341-CT'!$E$9=H1399,OR(LEFT(L1399,3)=$X$7,LEFT(M1399,3)=$X$7)),"x","")</f>
        <v/>
      </c>
      <c r="Y1399" s="525" t="str">
        <f>IF(OR(TH!L1399=TH!$Y$7,M1399=TH!$Y$7),"x","")</f>
        <v/>
      </c>
      <c r="Z1399" s="525" t="str">
        <f>IF(AND(B1399&lt;=NKC!$N$8,B1399&gt;=NKC!$M$8),"x","")</f>
        <v>x</v>
      </c>
      <c r="AA1399" s="535">
        <v>1</v>
      </c>
    </row>
    <row r="1400" spans="1:31" s="503" customFormat="1" ht="15.75" customHeight="1">
      <c r="A1400" s="517" t="str">
        <f>IF(B1400&lt;&gt;"",IF(AND(B1400&gt;=_TM1,B1400&lt;=_TM2,OR(TH!L1400="1111",TH!M1400="1111")),TH!D1400,""),"")</f>
        <v/>
      </c>
      <c r="B1400" s="531">
        <f t="shared" si="142"/>
        <v>2</v>
      </c>
      <c r="C1400" s="315">
        <f t="shared" si="143"/>
        <v>42781</v>
      </c>
      <c r="D1400" s="537" t="s">
        <v>969</v>
      </c>
      <c r="E1400" s="315">
        <v>42781</v>
      </c>
      <c r="F1400" s="249" t="s">
        <v>573</v>
      </c>
      <c r="G1400" s="314" t="s">
        <v>571</v>
      </c>
      <c r="H1400" s="473" t="s">
        <v>271</v>
      </c>
      <c r="I1400" s="307">
        <v>76</v>
      </c>
      <c r="J1400" s="307">
        <v>30139</v>
      </c>
      <c r="K1400" s="532">
        <f>ROUND(I1400*J1400,0)</f>
        <v>2290564</v>
      </c>
      <c r="L1400" s="534" t="s">
        <v>292</v>
      </c>
      <c r="M1400" s="534" t="s">
        <v>8</v>
      </c>
      <c r="N1400" s="525" t="str">
        <f>IF(AND('331-CT'!$E$7=TH!H1400,OR(L1400="331",M1400="331")),"331",IF(AND(OR(L1400="131",M1400="131"),H1400='131-CT'!$E$7),"131",""))</f>
        <v>331</v>
      </c>
      <c r="O1400" s="525" t="str">
        <f>IF(AND($B1400&gt;='111'!$N$11,$B1400&lt;='111'!$O$11,OR($L1400=$O$7,$M1400=$O$7)),"x","")</f>
        <v/>
      </c>
      <c r="P1400" s="525" t="str">
        <f>IF(AND($L1400=$O$7,$B1400&lt;'111'!$N$11),"x","")</f>
        <v/>
      </c>
      <c r="Q1400" s="525" t="str">
        <f>IF(AND($M1400=$O$7,$B1400&lt;'111'!$N$11),"x","")</f>
        <v/>
      </c>
      <c r="R1400" s="525" t="str">
        <f>IF(ISERROR(FIND('112'!$M$9,G1400,1)),"",IF((AND(FIND('112'!$M$9,G1400,1)&gt;=1,$B1400&gt;='112'!$N$8,$B1400&lt;='112'!$O$8,OR($L1400='112'!$I$6,$M1400='112'!$I$6))),"x",""))</f>
        <v/>
      </c>
      <c r="S1400" s="525" t="str">
        <f>IF(ISERROR(FIND('112'!$M$9,G1400,1)),"",IF((AND(LEFT(G1400,2)=LEFT('112'!$M$9,2),B1400&lt;'112'!$N$8,$L1400='112'!$I$6)),"x",""))</f>
        <v/>
      </c>
      <c r="T1400" s="525" t="str">
        <f>IF(ISERROR(FIND('112'!$M$9,G1400,1)),"",IF((AND(RIGHT(G1400,2)=RIGHT('112'!$M$9,2),B1400&lt;'112'!$N$8,$M1400='112'!$I$6)),"x",""))</f>
        <v/>
      </c>
      <c r="U1400" s="525" t="str">
        <f>IF(AND(B1400&gt;='IN-NX'!$P$3,B1400&lt;='IN-NX'!$Q$3,'IN-NX'!$D$7=D1400,OR(LEFT(L1400,2)="15",AND(LEFT(M1400,2)&lt;&gt;"15",LEFT(M1400,2)&lt;&gt;"33"))),"x","")</f>
        <v/>
      </c>
      <c r="V1400" s="525" t="str">
        <f>IF(AND(OR(LEFT(TH!L1400,2)="15",LEFT(TH!M1400,2)="15"),'152-CT'!$J$8=TH!F1400),"x","")</f>
        <v/>
      </c>
      <c r="W1400" s="525" t="str">
        <f>IF(AND(OR(LEFT(TH!L1400,2)="15",LEFT(TH!M1400,2)="15"),TK!$E$7=TH!F1400),"x","")</f>
        <v/>
      </c>
      <c r="X1400" s="525" t="str">
        <f>IF(AND('341-CT'!$E$9=H1400,OR(LEFT(L1400,3)=$X$7,LEFT(M1400,3)=$X$7)),"x","")</f>
        <v/>
      </c>
      <c r="Y1400" s="525" t="str">
        <f>IF(OR(TH!L1400=TH!$Y$7,M1400=TH!$Y$7),"x","")</f>
        <v/>
      </c>
      <c r="Z1400" s="525" t="str">
        <f>IF(AND(B1400&lt;=NKC!$N$8,B1400&gt;=NKC!$M$8),"x","")</f>
        <v>x</v>
      </c>
      <c r="AA1400" s="535">
        <v>1</v>
      </c>
    </row>
    <row r="1401" spans="1:31" s="503" customFormat="1" ht="15.75" customHeight="1">
      <c r="A1401" s="517" t="str">
        <f>IF(B1401&lt;&gt;"",IF(AND(B1401&gt;=_TM1,B1401&lt;=_TM2,OR(TH!L1401="1111",TH!M1401="1111")),TH!D1401,""),"")</f>
        <v/>
      </c>
      <c r="B1401" s="531">
        <f t="shared" si="142"/>
        <v>2</v>
      </c>
      <c r="C1401" s="315">
        <f t="shared" si="143"/>
        <v>42781</v>
      </c>
      <c r="D1401" s="537" t="s">
        <v>969</v>
      </c>
      <c r="E1401" s="315">
        <v>42781</v>
      </c>
      <c r="F1401" s="249" t="s">
        <v>573</v>
      </c>
      <c r="G1401" s="314" t="s">
        <v>571</v>
      </c>
      <c r="H1401" s="473" t="s">
        <v>271</v>
      </c>
      <c r="I1401" s="307">
        <v>76</v>
      </c>
      <c r="J1401" s="307">
        <v>20621</v>
      </c>
      <c r="K1401" s="532">
        <f>ROUND(I1401*J1401,0)</f>
        <v>1567196</v>
      </c>
      <c r="L1401" s="534" t="s">
        <v>292</v>
      </c>
      <c r="M1401" s="534" t="s">
        <v>8</v>
      </c>
      <c r="N1401" s="525" t="str">
        <f>IF(AND('331-CT'!$E$7=TH!H1401,OR(L1401="331",M1401="331")),"331",IF(AND(OR(L1401="131",M1401="131"),H1401='131-CT'!$E$7),"131",""))</f>
        <v>331</v>
      </c>
      <c r="O1401" s="525" t="str">
        <f>IF(AND($B1401&gt;='111'!$N$11,$B1401&lt;='111'!$O$11,OR($L1401=$O$7,$M1401=$O$7)),"x","")</f>
        <v/>
      </c>
      <c r="P1401" s="525" t="str">
        <f>IF(AND($L1401=$O$7,$B1401&lt;'111'!$N$11),"x","")</f>
        <v/>
      </c>
      <c r="Q1401" s="525" t="str">
        <f>IF(AND($M1401=$O$7,$B1401&lt;'111'!$N$11),"x","")</f>
        <v/>
      </c>
      <c r="R1401" s="525" t="str">
        <f>IF(ISERROR(FIND('112'!$M$9,G1401,1)),"",IF((AND(FIND('112'!$M$9,G1401,1)&gt;=1,$B1401&gt;='112'!$N$8,$B1401&lt;='112'!$O$8,OR($L1401='112'!$I$6,$M1401='112'!$I$6))),"x",""))</f>
        <v/>
      </c>
      <c r="S1401" s="525" t="str">
        <f>IF(ISERROR(FIND('112'!$M$9,G1401,1)),"",IF((AND(LEFT(G1401,2)=LEFT('112'!$M$9,2),B1401&lt;'112'!$N$8,$L1401='112'!$I$6)),"x",""))</f>
        <v/>
      </c>
      <c r="T1401" s="525" t="str">
        <f>IF(ISERROR(FIND('112'!$M$9,G1401,1)),"",IF((AND(RIGHT(G1401,2)=RIGHT('112'!$M$9,2),B1401&lt;'112'!$N$8,$M1401='112'!$I$6)),"x",""))</f>
        <v/>
      </c>
      <c r="U1401" s="525" t="str">
        <f>IF(AND(B1401&gt;='IN-NX'!$P$3,B1401&lt;='IN-NX'!$Q$3,'IN-NX'!$D$7=D1401,OR(LEFT(L1401,2)="15",AND(LEFT(M1401,2)&lt;&gt;"15",LEFT(M1401,2)&lt;&gt;"33"))),"x","")</f>
        <v/>
      </c>
      <c r="V1401" s="525" t="str">
        <f>IF(AND(OR(LEFT(TH!L1401,2)="15",LEFT(TH!M1401,2)="15"),'152-CT'!$J$8=TH!F1401),"x","")</f>
        <v/>
      </c>
      <c r="W1401" s="525" t="str">
        <f>IF(AND(OR(LEFT(TH!L1401,2)="15",LEFT(TH!M1401,2)="15"),TK!$E$7=TH!F1401),"x","")</f>
        <v/>
      </c>
      <c r="X1401" s="525" t="str">
        <f>IF(AND('341-CT'!$E$9=H1401,OR(LEFT(L1401,3)=$X$7,LEFT(M1401,3)=$X$7)),"x","")</f>
        <v/>
      </c>
      <c r="Y1401" s="525" t="str">
        <f>IF(OR(TH!L1401=TH!$Y$7,M1401=TH!$Y$7),"x","")</f>
        <v/>
      </c>
      <c r="Z1401" s="525" t="str">
        <f>IF(AND(B1401&lt;=NKC!$N$8,B1401&gt;=NKC!$M$8),"x","")</f>
        <v>x</v>
      </c>
      <c r="AA1401" s="535">
        <v>1</v>
      </c>
    </row>
    <row r="1402" spans="1:31" s="503" customFormat="1" ht="15.75" customHeight="1">
      <c r="A1402" s="517" t="str">
        <f>IF(B1402&lt;&gt;"",IF(AND(B1402&gt;=_TM1,B1402&lt;=_TM2,OR(TH!L1402="1111",TH!M1402="1111")),TH!D1402,""),"")</f>
        <v/>
      </c>
      <c r="B1402" s="531">
        <f t="shared" si="142"/>
        <v>2</v>
      </c>
      <c r="C1402" s="315">
        <f t="shared" si="143"/>
        <v>42781</v>
      </c>
      <c r="D1402" s="537" t="s">
        <v>969</v>
      </c>
      <c r="E1402" s="315">
        <v>42781</v>
      </c>
      <c r="F1402" s="249" t="s">
        <v>526</v>
      </c>
      <c r="G1402" s="314" t="s">
        <v>571</v>
      </c>
      <c r="H1402" s="473" t="s">
        <v>271</v>
      </c>
      <c r="I1402" s="307"/>
      <c r="J1402" s="307"/>
      <c r="K1402" s="532">
        <v>721614</v>
      </c>
      <c r="L1402" s="534" t="s">
        <v>9</v>
      </c>
      <c r="M1402" s="534" t="s">
        <v>8</v>
      </c>
      <c r="N1402" s="525" t="str">
        <f>IF(AND('331-CT'!$E$7=TH!H1402,OR(L1402="331",M1402="331")),"331",IF(AND(OR(L1402="131",M1402="131"),H1402='131-CT'!$E$7),"131",""))</f>
        <v>331</v>
      </c>
      <c r="O1402" s="525" t="str">
        <f>IF(AND($B1402&gt;='111'!$N$11,$B1402&lt;='111'!$O$11,OR($L1402=$O$7,$M1402=$O$7)),"x","")</f>
        <v/>
      </c>
      <c r="P1402" s="525" t="str">
        <f>IF(AND($L1402=$O$7,$B1402&lt;'111'!$N$11),"x","")</f>
        <v/>
      </c>
      <c r="Q1402" s="525" t="str">
        <f>IF(AND($M1402=$O$7,$B1402&lt;'111'!$N$11),"x","")</f>
        <v/>
      </c>
      <c r="R1402" s="525" t="str">
        <f>IF(ISERROR(FIND('112'!$M$9,G1402,1)),"",IF((AND(FIND('112'!$M$9,G1402,1)&gt;=1,$B1402&gt;='112'!$N$8,$B1402&lt;='112'!$O$8,OR($L1402='112'!$I$6,$M1402='112'!$I$6))),"x",""))</f>
        <v/>
      </c>
      <c r="S1402" s="525" t="str">
        <f>IF(ISERROR(FIND('112'!$M$9,G1402,1)),"",IF((AND(LEFT(G1402,2)=LEFT('112'!$M$9,2),B1402&lt;'112'!$N$8,$L1402='112'!$I$6)),"x",""))</f>
        <v/>
      </c>
      <c r="T1402" s="525" t="str">
        <f>IF(ISERROR(FIND('112'!$M$9,G1402,1)),"",IF((AND(RIGHT(G1402,2)=RIGHT('112'!$M$9,2),B1402&lt;'112'!$N$8,$M1402='112'!$I$6)),"x",""))</f>
        <v/>
      </c>
      <c r="U1402" s="525" t="str">
        <f>IF(AND(B1402&gt;='IN-NX'!$P$3,B1402&lt;='IN-NX'!$Q$3,'IN-NX'!$D$7=D1402,OR(LEFT(L1402,2)="15",AND(LEFT(M1402,2)&lt;&gt;"15",LEFT(M1402,2)&lt;&gt;"33"))),"x","")</f>
        <v/>
      </c>
      <c r="V1402" s="525" t="str">
        <f>IF(AND(OR(LEFT(TH!L1402,2)="15",LEFT(TH!M1402,2)="15"),'152-CT'!$J$8=TH!F1402),"x","")</f>
        <v/>
      </c>
      <c r="W1402" s="525" t="str">
        <f>IF(AND(OR(LEFT(TH!L1402,2)="15",LEFT(TH!M1402,2)="15"),TK!$E$7=TH!F1402),"x","")</f>
        <v/>
      </c>
      <c r="X1402" s="525" t="str">
        <f>IF(AND('341-CT'!$E$9=H1402,OR(LEFT(L1402,3)=$X$7,LEFT(M1402,3)=$X$7)),"x","")</f>
        <v/>
      </c>
      <c r="Y1402" s="525" t="str">
        <f>IF(OR(TH!L1402=TH!$Y$7,M1402=TH!$Y$7),"x","")</f>
        <v/>
      </c>
      <c r="Z1402" s="525" t="str">
        <f>IF(AND(B1402&lt;=NKC!$N$8,B1402&gt;=NKC!$M$8),"x","")</f>
        <v>x</v>
      </c>
      <c r="AA1402" s="535">
        <v>1</v>
      </c>
    </row>
    <row r="1403" spans="1:31" s="503" customFormat="1" ht="15.75" customHeight="1">
      <c r="A1403" s="517" t="str">
        <f>IF(B1403&lt;&gt;"",IF(AND(B1403&gt;=_TM1,B1403&lt;=_TM2,OR(TH!L1403="1111",TH!M1403="1111")),TH!D1403,""),"")</f>
        <v/>
      </c>
      <c r="B1403" s="531">
        <f t="shared" si="142"/>
        <v>2</v>
      </c>
      <c r="C1403" s="315">
        <f t="shared" si="143"/>
        <v>42782</v>
      </c>
      <c r="D1403" s="537" t="s">
        <v>970</v>
      </c>
      <c r="E1403" s="315">
        <v>42782</v>
      </c>
      <c r="F1403" s="249" t="s">
        <v>572</v>
      </c>
      <c r="G1403" s="538" t="s">
        <v>575</v>
      </c>
      <c r="H1403" s="473" t="s">
        <v>271</v>
      </c>
      <c r="I1403" s="307">
        <v>48</v>
      </c>
      <c r="J1403" s="307">
        <v>29275</v>
      </c>
      <c r="K1403" s="532">
        <f>ROUND(I1403*J1403,0)</f>
        <v>1405200</v>
      </c>
      <c r="L1403" s="534" t="s">
        <v>292</v>
      </c>
      <c r="M1403" s="534" t="s">
        <v>8</v>
      </c>
      <c r="N1403" s="525" t="str">
        <f>IF(AND('331-CT'!$E$7=TH!H1403,OR(L1403="331",M1403="331")),"331",IF(AND(OR(L1403="131",M1403="131"),H1403='131-CT'!$E$7),"131",""))</f>
        <v>331</v>
      </c>
      <c r="O1403" s="525" t="str">
        <f>IF(AND($B1403&gt;='111'!$N$11,$B1403&lt;='111'!$O$11,OR($L1403=$O$7,$M1403=$O$7)),"x","")</f>
        <v/>
      </c>
      <c r="P1403" s="525" t="str">
        <f>IF(AND($L1403=$O$7,$B1403&lt;'111'!$N$11),"x","")</f>
        <v/>
      </c>
      <c r="Q1403" s="525" t="str">
        <f>IF(AND($M1403=$O$7,$B1403&lt;'111'!$N$11),"x","")</f>
        <v/>
      </c>
      <c r="R1403" s="525" t="str">
        <f>IF(ISERROR(FIND('112'!$M$9,G1403,1)),"",IF((AND(FIND('112'!$M$9,G1403,1)&gt;=1,$B1403&gt;='112'!$N$8,$B1403&lt;='112'!$O$8,OR($L1403='112'!$I$6,$M1403='112'!$I$6))),"x",""))</f>
        <v/>
      </c>
      <c r="S1403" s="525" t="str">
        <f>IF(ISERROR(FIND('112'!$M$9,G1403,1)),"",IF((AND(LEFT(G1403,2)=LEFT('112'!$M$9,2),B1403&lt;'112'!$N$8,$L1403='112'!$I$6)),"x",""))</f>
        <v/>
      </c>
      <c r="T1403" s="525" t="str">
        <f>IF(ISERROR(FIND('112'!$M$9,G1403,1)),"",IF((AND(RIGHT(G1403,2)=RIGHT('112'!$M$9,2),B1403&lt;'112'!$N$8,$M1403='112'!$I$6)),"x",""))</f>
        <v/>
      </c>
      <c r="U1403" s="525" t="str">
        <f>IF(AND(B1403&gt;='IN-NX'!$P$3,B1403&lt;='IN-NX'!$Q$3,'IN-NX'!$D$7=D1403,OR(LEFT(L1403,2)="15",AND(LEFT(M1403,2)&lt;&gt;"15",LEFT(M1403,2)&lt;&gt;"33"))),"x","")</f>
        <v/>
      </c>
      <c r="V1403" s="525" t="str">
        <f>IF(AND(OR(LEFT(TH!L1403,2)="15",LEFT(TH!M1403,2)="15"),'152-CT'!$J$8=TH!F1403),"x","")</f>
        <v/>
      </c>
      <c r="W1403" s="525" t="str">
        <f>IF(AND(OR(LEFT(TH!L1403,2)="15",LEFT(TH!M1403,2)="15"),TK!$E$7=TH!F1403),"x","")</f>
        <v/>
      </c>
      <c r="X1403" s="525" t="str">
        <f>IF(AND('341-CT'!$E$9=H1403,OR(LEFT(L1403,3)=$X$7,LEFT(M1403,3)=$X$7)),"x","")</f>
        <v/>
      </c>
      <c r="Y1403" s="525" t="str">
        <f>IF(OR(TH!L1403=TH!$Y$7,M1403=TH!$Y$7),"x","")</f>
        <v/>
      </c>
      <c r="Z1403" s="525" t="str">
        <f>IF(AND(B1403&lt;=NKC!$N$8,B1403&gt;=NKC!$M$8),"x","")</f>
        <v>x</v>
      </c>
      <c r="AA1403" s="535">
        <v>1</v>
      </c>
    </row>
    <row r="1404" spans="1:31" s="503" customFormat="1" ht="15.75" customHeight="1">
      <c r="A1404" s="517" t="str">
        <f>IF(B1404&lt;&gt;"",IF(AND(B1404&gt;=_TM1,B1404&lt;=_TM2,OR(TH!L1404="1111",TH!M1404="1111")),TH!D1404,""),"")</f>
        <v/>
      </c>
      <c r="B1404" s="531">
        <f t="shared" si="142"/>
        <v>2</v>
      </c>
      <c r="C1404" s="315">
        <f t="shared" si="143"/>
        <v>42782</v>
      </c>
      <c r="D1404" s="537" t="s">
        <v>970</v>
      </c>
      <c r="E1404" s="315">
        <v>42782</v>
      </c>
      <c r="F1404" s="249" t="s">
        <v>526</v>
      </c>
      <c r="G1404" s="538" t="s">
        <v>575</v>
      </c>
      <c r="H1404" s="473" t="s">
        <v>271</v>
      </c>
      <c r="I1404" s="307"/>
      <c r="J1404" s="307"/>
      <c r="K1404" s="532">
        <v>140520</v>
      </c>
      <c r="L1404" s="534" t="s">
        <v>9</v>
      </c>
      <c r="M1404" s="534" t="s">
        <v>8</v>
      </c>
      <c r="N1404" s="525" t="str">
        <f>IF(AND('331-CT'!$E$7=TH!H1404,OR(L1404="331",M1404="331")),"331",IF(AND(OR(L1404="131",M1404="131"),H1404='131-CT'!$E$7),"131",""))</f>
        <v>331</v>
      </c>
      <c r="O1404" s="525" t="str">
        <f>IF(AND($B1404&gt;='111'!$N$11,$B1404&lt;='111'!$O$11,OR($L1404=$O$7,$M1404=$O$7)),"x","")</f>
        <v/>
      </c>
      <c r="P1404" s="525" t="str">
        <f>IF(AND($L1404=$O$7,$B1404&lt;'111'!$N$11),"x","")</f>
        <v/>
      </c>
      <c r="Q1404" s="525" t="str">
        <f>IF(AND($M1404=$O$7,$B1404&lt;'111'!$N$11),"x","")</f>
        <v/>
      </c>
      <c r="R1404" s="525" t="str">
        <f>IF(ISERROR(FIND('112'!$M$9,G1404,1)),"",IF((AND(FIND('112'!$M$9,G1404,1)&gt;=1,$B1404&gt;='112'!$N$8,$B1404&lt;='112'!$O$8,OR($L1404='112'!$I$6,$M1404='112'!$I$6))),"x",""))</f>
        <v/>
      </c>
      <c r="S1404" s="525" t="str">
        <f>IF(ISERROR(FIND('112'!$M$9,G1404,1)),"",IF((AND(LEFT(G1404,2)=LEFT('112'!$M$9,2),B1404&lt;'112'!$N$8,$L1404='112'!$I$6)),"x",""))</f>
        <v/>
      </c>
      <c r="T1404" s="525" t="str">
        <f>IF(ISERROR(FIND('112'!$M$9,G1404,1)),"",IF((AND(RIGHT(G1404,2)=RIGHT('112'!$M$9,2),B1404&lt;'112'!$N$8,$M1404='112'!$I$6)),"x",""))</f>
        <v/>
      </c>
      <c r="U1404" s="525" t="str">
        <f>IF(AND(B1404&gt;='IN-NX'!$P$3,B1404&lt;='IN-NX'!$Q$3,'IN-NX'!$D$7=D1404,OR(LEFT(L1404,2)="15",AND(LEFT(M1404,2)&lt;&gt;"15",LEFT(M1404,2)&lt;&gt;"33"))),"x","")</f>
        <v/>
      </c>
      <c r="V1404" s="525" t="str">
        <f>IF(AND(OR(LEFT(TH!L1404,2)="15",LEFT(TH!M1404,2)="15"),'152-CT'!$J$8=TH!F1404),"x","")</f>
        <v/>
      </c>
      <c r="W1404" s="525" t="str">
        <f>IF(AND(OR(LEFT(TH!L1404,2)="15",LEFT(TH!M1404,2)="15"),TK!$E$7=TH!F1404),"x","")</f>
        <v/>
      </c>
      <c r="X1404" s="525" t="str">
        <f>IF(AND('341-CT'!$E$9=H1404,OR(LEFT(L1404,3)=$X$7,LEFT(M1404,3)=$X$7)),"x","")</f>
        <v/>
      </c>
      <c r="Y1404" s="525" t="str">
        <f>IF(OR(TH!L1404=TH!$Y$7,M1404=TH!$Y$7),"x","")</f>
        <v/>
      </c>
      <c r="Z1404" s="525" t="str">
        <f>IF(AND(B1404&lt;=NKC!$N$8,B1404&gt;=NKC!$M$8),"x","")</f>
        <v>x</v>
      </c>
      <c r="AA1404" s="535">
        <v>1</v>
      </c>
    </row>
    <row r="1405" spans="1:31" s="503" customFormat="1" ht="15.75" customHeight="1">
      <c r="A1405" s="517" t="str">
        <f>IF(B1405&lt;&gt;"",IF(AND(B1405&gt;=_TM1,B1405&lt;=_TM2,OR(TH!L1405="1111",TH!M1405="1111")),TH!D1405,""),"")</f>
        <v/>
      </c>
      <c r="B1405" s="531">
        <f t="shared" si="142"/>
        <v>2</v>
      </c>
      <c r="C1405" s="315">
        <f t="shared" si="143"/>
        <v>42783</v>
      </c>
      <c r="D1405" s="537" t="s">
        <v>971</v>
      </c>
      <c r="E1405" s="315">
        <v>42783</v>
      </c>
      <c r="F1405" s="249" t="s">
        <v>274</v>
      </c>
      <c r="G1405" s="314" t="s">
        <v>610</v>
      </c>
      <c r="H1405" s="473" t="s">
        <v>420</v>
      </c>
      <c r="I1405" s="307">
        <v>3496</v>
      </c>
      <c r="J1405" s="307">
        <v>10300</v>
      </c>
      <c r="K1405" s="532">
        <f>ROUND(I1405*J1405,0)</f>
        <v>36008800</v>
      </c>
      <c r="L1405" s="534" t="s">
        <v>292</v>
      </c>
      <c r="M1405" s="534" t="s">
        <v>8</v>
      </c>
      <c r="N1405" s="525" t="str">
        <f>IF(AND('331-CT'!$E$7=TH!H1405,OR(L1405="331",M1405="331")),"331",IF(AND(OR(L1405="131",M1405="131"),H1405='131-CT'!$E$7),"131",""))</f>
        <v/>
      </c>
      <c r="O1405" s="525" t="str">
        <f>IF(AND($B1405&gt;='111'!$N$11,$B1405&lt;='111'!$O$11,OR($L1405=$O$7,$M1405=$O$7)),"x","")</f>
        <v/>
      </c>
      <c r="P1405" s="525" t="str">
        <f>IF(AND($L1405=$O$7,$B1405&lt;'111'!$N$11),"x","")</f>
        <v/>
      </c>
      <c r="Q1405" s="525" t="str">
        <f>IF(AND($M1405=$O$7,$B1405&lt;'111'!$N$11),"x","")</f>
        <v/>
      </c>
      <c r="R1405" s="525" t="str">
        <f>IF(ISERROR(FIND('112'!$M$9,G1405,1)),"",IF((AND(FIND('112'!$M$9,G1405,1)&gt;=1,$B1405&gt;='112'!$N$8,$B1405&lt;='112'!$O$8,OR($L1405='112'!$I$6,$M1405='112'!$I$6))),"x",""))</f>
        <v/>
      </c>
      <c r="S1405" s="525" t="str">
        <f>IF(ISERROR(FIND('112'!$M$9,G1405,1)),"",IF((AND(LEFT(G1405,2)=LEFT('112'!$M$9,2),B1405&lt;'112'!$N$8,$L1405='112'!$I$6)),"x",""))</f>
        <v/>
      </c>
      <c r="T1405" s="525" t="str">
        <f>IF(ISERROR(FIND('112'!$M$9,G1405,1)),"",IF((AND(RIGHT(G1405,2)=RIGHT('112'!$M$9,2),B1405&lt;'112'!$N$8,$M1405='112'!$I$6)),"x",""))</f>
        <v/>
      </c>
      <c r="U1405" s="525" t="str">
        <f>IF(AND(B1405&gt;='IN-NX'!$P$3,B1405&lt;='IN-NX'!$Q$3,'IN-NX'!$D$7=D1405,OR(LEFT(L1405,2)="15",AND(LEFT(M1405,2)&lt;&gt;"15",LEFT(M1405,2)&lt;&gt;"33"))),"x","")</f>
        <v/>
      </c>
      <c r="V1405" s="525" t="str">
        <f>IF(AND(OR(LEFT(TH!L1405,2)="15",LEFT(TH!M1405,2)="15"),'152-CT'!$J$8=TH!F1405),"x","")</f>
        <v/>
      </c>
      <c r="W1405" s="525" t="str">
        <f>IF(AND(OR(LEFT(TH!L1405,2)="15",LEFT(TH!M1405,2)="15"),TK!$E$7=TH!F1405),"x","")</f>
        <v>x</v>
      </c>
      <c r="X1405" s="525" t="str">
        <f>IF(AND('341-CT'!$E$9=H1405,OR(LEFT(L1405,3)=$X$7,LEFT(M1405,3)=$X$7)),"x","")</f>
        <v/>
      </c>
      <c r="Y1405" s="525" t="str">
        <f>IF(OR(TH!L1405=TH!$Y$7,M1405=TH!$Y$7),"x","")</f>
        <v/>
      </c>
      <c r="Z1405" s="525" t="str">
        <f>IF(AND(B1405&lt;=NKC!$N$8,B1405&gt;=NKC!$M$8),"x","")</f>
        <v>x</v>
      </c>
      <c r="AA1405" s="535">
        <v>1</v>
      </c>
    </row>
    <row r="1406" spans="1:31" s="503" customFormat="1" ht="15.75" customHeight="1">
      <c r="A1406" s="517" t="str">
        <f>IF(B1406&lt;&gt;"",IF(AND(B1406&gt;=_TM1,B1406&lt;=_TM2,OR(TH!L1406="1111",TH!M1406="1111")),TH!D1406,""),"")</f>
        <v/>
      </c>
      <c r="B1406" s="531">
        <f t="shared" si="142"/>
        <v>2</v>
      </c>
      <c r="C1406" s="315">
        <f t="shared" si="143"/>
        <v>42783</v>
      </c>
      <c r="D1406" s="537" t="s">
        <v>971</v>
      </c>
      <c r="E1406" s="315">
        <v>42783</v>
      </c>
      <c r="F1406" s="249" t="s">
        <v>786</v>
      </c>
      <c r="G1406" s="314" t="s">
        <v>610</v>
      </c>
      <c r="H1406" s="473" t="s">
        <v>420</v>
      </c>
      <c r="I1406" s="307"/>
      <c r="J1406" s="307"/>
      <c r="K1406" s="542">
        <v>3600880</v>
      </c>
      <c r="L1406" s="534" t="s">
        <v>9</v>
      </c>
      <c r="M1406" s="534" t="s">
        <v>8</v>
      </c>
      <c r="N1406" s="525" t="str">
        <f>IF(AND('331-CT'!$E$7=TH!H1406,OR(L1406="331",M1406="331")),"331",IF(AND(OR(L1406="131",M1406="131"),H1406='131-CT'!$E$7),"131",""))</f>
        <v/>
      </c>
      <c r="O1406" s="525" t="str">
        <f>IF(AND($B1406&gt;='111'!$N$11,$B1406&lt;='111'!$O$11,OR($L1406=$O$7,$M1406=$O$7)),"x","")</f>
        <v/>
      </c>
      <c r="P1406" s="525" t="str">
        <f>IF(AND($L1406=$O$7,$B1406&lt;'111'!$N$11),"x","")</f>
        <v/>
      </c>
      <c r="Q1406" s="525" t="str">
        <f>IF(AND($M1406=$O$7,$B1406&lt;'111'!$N$11),"x","")</f>
        <v/>
      </c>
      <c r="R1406" s="525" t="str">
        <f>IF(ISERROR(FIND('112'!$M$9,G1406,1)),"",IF((AND(FIND('112'!$M$9,G1406,1)&gt;=1,$B1406&gt;='112'!$N$8,$B1406&lt;='112'!$O$8,OR($L1406='112'!$I$6,$M1406='112'!$I$6))),"x",""))</f>
        <v/>
      </c>
      <c r="S1406" s="525" t="str">
        <f>IF(ISERROR(FIND('112'!$M$9,G1406,1)),"",IF((AND(LEFT(G1406,2)=LEFT('112'!$M$9,2),B1406&lt;'112'!$N$8,$L1406='112'!$I$6)),"x",""))</f>
        <v/>
      </c>
      <c r="T1406" s="525" t="str">
        <f>IF(ISERROR(FIND('112'!$M$9,G1406,1)),"",IF((AND(RIGHT(G1406,2)=RIGHT('112'!$M$9,2),B1406&lt;'112'!$N$8,$M1406='112'!$I$6)),"x",""))</f>
        <v/>
      </c>
      <c r="U1406" s="525" t="str">
        <f>IF(AND(B1406&gt;='IN-NX'!$P$3,B1406&lt;='IN-NX'!$Q$3,'IN-NX'!$D$7=D1406,OR(LEFT(L1406,2)="15",AND(LEFT(M1406,2)&lt;&gt;"15",LEFT(M1406,2)&lt;&gt;"33"))),"x","")</f>
        <v/>
      </c>
      <c r="V1406" s="525" t="str">
        <f>IF(AND(OR(LEFT(TH!L1406,2)="15",LEFT(TH!M1406,2)="15"),'152-CT'!$J$8=TH!F1406),"x","")</f>
        <v/>
      </c>
      <c r="W1406" s="525" t="str">
        <f>IF(AND(OR(LEFT(TH!L1406,2)="15",LEFT(TH!M1406,2)="15"),TK!$E$7=TH!F1406),"x","")</f>
        <v/>
      </c>
      <c r="X1406" s="525" t="str">
        <f>IF(AND('341-CT'!$E$9=H1406,OR(LEFT(L1406,3)=$X$7,LEFT(M1406,3)=$X$7)),"x","")</f>
        <v/>
      </c>
      <c r="Y1406" s="525" t="str">
        <f>IF(OR(TH!L1406=TH!$Y$7,M1406=TH!$Y$7),"x","")</f>
        <v/>
      </c>
      <c r="Z1406" s="525" t="str">
        <f>IF(AND(B1406&lt;=NKC!$N$8,B1406&gt;=NKC!$M$8),"x","")</f>
        <v>x</v>
      </c>
      <c r="AA1406" s="535">
        <v>1</v>
      </c>
      <c r="AB1406" s="536"/>
    </row>
    <row r="1407" spans="1:31" s="503" customFormat="1" ht="15.75" customHeight="1">
      <c r="A1407" s="517" t="str">
        <f>IF(B1407&lt;&gt;"",IF(AND(B1407&gt;=_TM1,B1407&lt;=_TM2,OR(TH!L1407="1111",TH!M1407="1111")),TH!D1407,""),"")</f>
        <v/>
      </c>
      <c r="B1407" s="531">
        <f t="shared" si="142"/>
        <v>2</v>
      </c>
      <c r="C1407" s="315">
        <f t="shared" si="143"/>
        <v>42786</v>
      </c>
      <c r="D1407" s="537" t="s">
        <v>972</v>
      </c>
      <c r="E1407" s="537">
        <v>42786</v>
      </c>
      <c r="F1407" s="249" t="s">
        <v>560</v>
      </c>
      <c r="G1407" s="314" t="s">
        <v>606</v>
      </c>
      <c r="H1407" s="473" t="s">
        <v>447</v>
      </c>
      <c r="I1407" s="307">
        <v>500</v>
      </c>
      <c r="J1407" s="307">
        <v>16975</v>
      </c>
      <c r="K1407" s="532">
        <f t="shared" ref="K1407:K1413" si="145">ROUND(I1407*J1407,0)</f>
        <v>8487500</v>
      </c>
      <c r="L1407" s="534" t="s">
        <v>292</v>
      </c>
      <c r="M1407" s="534" t="s">
        <v>8</v>
      </c>
      <c r="N1407" s="525" t="str">
        <f>IF(AND('331-CT'!$E$7=TH!H1407,OR(L1407="331",M1407="331")),"331",IF(AND(OR(L1407="131",M1407="131"),H1407='131-CT'!$E$7),"131",""))</f>
        <v/>
      </c>
      <c r="O1407" s="525" t="str">
        <f>IF(AND($B1407&gt;='111'!$N$11,$B1407&lt;='111'!$O$11,OR($L1407=$O$7,$M1407=$O$7)),"x","")</f>
        <v/>
      </c>
      <c r="P1407" s="525" t="str">
        <f>IF(AND($L1407=$O$7,$B1407&lt;'111'!$N$11),"x","")</f>
        <v/>
      </c>
      <c r="Q1407" s="525" t="str">
        <f>IF(AND($M1407=$O$7,$B1407&lt;'111'!$N$11),"x","")</f>
        <v/>
      </c>
      <c r="R1407" s="525" t="str">
        <f>IF(ISERROR(FIND('112'!$M$9,G1407,1)),"",IF((AND(FIND('112'!$M$9,G1407,1)&gt;=1,$B1407&gt;='112'!$N$8,$B1407&lt;='112'!$O$8,OR($L1407='112'!$I$6,$M1407='112'!$I$6))),"x",""))</f>
        <v/>
      </c>
      <c r="S1407" s="525" t="str">
        <f>IF(ISERROR(FIND('112'!$M$9,G1407,1)),"",IF((AND(LEFT(G1407,2)=LEFT('112'!$M$9,2),B1407&lt;'112'!$N$8,$L1407='112'!$I$6)),"x",""))</f>
        <v/>
      </c>
      <c r="T1407" s="525" t="str">
        <f>IF(ISERROR(FIND('112'!$M$9,G1407,1)),"",IF((AND(RIGHT(G1407,2)=RIGHT('112'!$M$9,2),B1407&lt;'112'!$N$8,$M1407='112'!$I$6)),"x",""))</f>
        <v/>
      </c>
      <c r="U1407" s="525" t="str">
        <f>IF(AND(B1407&gt;='IN-NX'!$P$3,B1407&lt;='IN-NX'!$Q$3,'IN-NX'!$D$7=D1407,OR(LEFT(L1407,2)="15",AND(LEFT(M1407,2)&lt;&gt;"15",LEFT(M1407,2)&lt;&gt;"33"))),"x","")</f>
        <v/>
      </c>
      <c r="V1407" s="525" t="str">
        <f>IF(AND(OR(LEFT(TH!L1407,2)="15",LEFT(TH!M1407,2)="15"),'152-CT'!$J$8=TH!F1407),"x","")</f>
        <v/>
      </c>
      <c r="W1407" s="525" t="str">
        <f>IF(AND(OR(LEFT(TH!L1407,2)="15",LEFT(TH!M1407,2)="15"),TK!$E$7=TH!F1407),"x","")</f>
        <v/>
      </c>
      <c r="X1407" s="525" t="str">
        <f>IF(AND('341-CT'!$E$9=H1407,OR(LEFT(L1407,3)=$X$7,LEFT(M1407,3)=$X$7)),"x","")</f>
        <v/>
      </c>
      <c r="Y1407" s="525" t="str">
        <f>IF(OR(TH!L1407=TH!$Y$7,M1407=TH!$Y$7),"x","")</f>
        <v/>
      </c>
      <c r="Z1407" s="525" t="str">
        <f>IF(AND(B1407&lt;=NKC!$N$8,B1407&gt;=NKC!$M$8),"x","")</f>
        <v>x</v>
      </c>
      <c r="AA1407" s="535">
        <v>1</v>
      </c>
    </row>
    <row r="1408" spans="1:31" s="503" customFormat="1" ht="15.75" customHeight="1">
      <c r="A1408" s="517" t="str">
        <f>IF(B1408&lt;&gt;"",IF(AND(B1408&gt;=_TM1,B1408&lt;=_TM2,OR(TH!L1408="1111",TH!M1408="1111")),TH!D1408,""),"")</f>
        <v/>
      </c>
      <c r="B1408" s="531">
        <f t="shared" si="142"/>
        <v>2</v>
      </c>
      <c r="C1408" s="315">
        <f t="shared" si="143"/>
        <v>42786</v>
      </c>
      <c r="D1408" s="537" t="s">
        <v>972</v>
      </c>
      <c r="E1408" s="537">
        <v>42786</v>
      </c>
      <c r="F1408" s="249" t="s">
        <v>561</v>
      </c>
      <c r="G1408" s="314" t="s">
        <v>606</v>
      </c>
      <c r="H1408" s="473" t="s">
        <v>447</v>
      </c>
      <c r="I1408" s="307">
        <v>500</v>
      </c>
      <c r="J1408" s="307">
        <v>15520</v>
      </c>
      <c r="K1408" s="532">
        <f t="shared" si="145"/>
        <v>7760000</v>
      </c>
      <c r="L1408" s="534" t="s">
        <v>292</v>
      </c>
      <c r="M1408" s="534" t="s">
        <v>8</v>
      </c>
      <c r="N1408" s="525" t="str">
        <f>IF(AND('331-CT'!$E$7=TH!H1408,OR(L1408="331",M1408="331")),"331",IF(AND(OR(L1408="131",M1408="131"),H1408='131-CT'!$E$7),"131",""))</f>
        <v/>
      </c>
      <c r="O1408" s="525" t="str">
        <f>IF(AND($B1408&gt;='111'!$N$11,$B1408&lt;='111'!$O$11,OR($L1408=$O$7,$M1408=$O$7)),"x","")</f>
        <v/>
      </c>
      <c r="P1408" s="525" t="str">
        <f>IF(AND($L1408=$O$7,$B1408&lt;'111'!$N$11),"x","")</f>
        <v/>
      </c>
      <c r="Q1408" s="525" t="str">
        <f>IF(AND($M1408=$O$7,$B1408&lt;'111'!$N$11),"x","")</f>
        <v/>
      </c>
      <c r="R1408" s="525" t="str">
        <f>IF(ISERROR(FIND('112'!$M$9,G1408,1)),"",IF((AND(FIND('112'!$M$9,G1408,1)&gt;=1,$B1408&gt;='112'!$N$8,$B1408&lt;='112'!$O$8,OR($L1408='112'!$I$6,$M1408='112'!$I$6))),"x",""))</f>
        <v/>
      </c>
      <c r="S1408" s="525" t="str">
        <f>IF(ISERROR(FIND('112'!$M$9,G1408,1)),"",IF((AND(LEFT(G1408,2)=LEFT('112'!$M$9,2),B1408&lt;'112'!$N$8,$L1408='112'!$I$6)),"x",""))</f>
        <v/>
      </c>
      <c r="T1408" s="525" t="str">
        <f>IF(ISERROR(FIND('112'!$M$9,G1408,1)),"",IF((AND(RIGHT(G1408,2)=RIGHT('112'!$M$9,2),B1408&lt;'112'!$N$8,$M1408='112'!$I$6)),"x",""))</f>
        <v/>
      </c>
      <c r="U1408" s="525" t="str">
        <f>IF(AND(B1408&gt;='IN-NX'!$P$3,B1408&lt;='IN-NX'!$Q$3,'IN-NX'!$D$7=D1408,OR(LEFT(L1408,2)="15",AND(LEFT(M1408,2)&lt;&gt;"15",LEFT(M1408,2)&lt;&gt;"33"))),"x","")</f>
        <v/>
      </c>
      <c r="V1408" s="525" t="str">
        <f>IF(AND(OR(LEFT(TH!L1408,2)="15",LEFT(TH!M1408,2)="15"),'152-CT'!$J$8=TH!F1408),"x","")</f>
        <v/>
      </c>
      <c r="W1408" s="525" t="str">
        <f>IF(AND(OR(LEFT(TH!L1408,2)="15",LEFT(TH!M1408,2)="15"),TK!$E$7=TH!F1408),"x","")</f>
        <v/>
      </c>
      <c r="X1408" s="525" t="str">
        <f>IF(AND('341-CT'!$E$9=H1408,OR(LEFT(L1408,3)=$X$7,LEFT(M1408,3)=$X$7)),"x","")</f>
        <v/>
      </c>
      <c r="Y1408" s="525" t="str">
        <f>IF(OR(TH!L1408=TH!$Y$7,M1408=TH!$Y$7),"x","")</f>
        <v/>
      </c>
      <c r="Z1408" s="525" t="str">
        <f>IF(AND(B1408&lt;=NKC!$N$8,B1408&gt;=NKC!$M$8),"x","")</f>
        <v>x</v>
      </c>
      <c r="AA1408" s="535">
        <v>1</v>
      </c>
    </row>
    <row r="1409" spans="1:31" s="503" customFormat="1" ht="15.75" customHeight="1">
      <c r="A1409" s="517" t="str">
        <f>IF(B1409&lt;&gt;"",IF(AND(B1409&gt;=_TM1,B1409&lt;=_TM2,OR(TH!L1409="1111",TH!M1409="1111")),TH!D1409,""),"")</f>
        <v/>
      </c>
      <c r="B1409" s="531">
        <f t="shared" si="142"/>
        <v>2</v>
      </c>
      <c r="C1409" s="315">
        <f t="shared" si="143"/>
        <v>42786</v>
      </c>
      <c r="D1409" s="537" t="s">
        <v>972</v>
      </c>
      <c r="E1409" s="537">
        <v>42786</v>
      </c>
      <c r="F1409" s="249" t="s">
        <v>503</v>
      </c>
      <c r="G1409" s="314" t="s">
        <v>606</v>
      </c>
      <c r="H1409" s="473" t="s">
        <v>447</v>
      </c>
      <c r="I1409" s="307">
        <v>3200</v>
      </c>
      <c r="J1409" s="307">
        <v>8245</v>
      </c>
      <c r="K1409" s="532">
        <f t="shared" si="145"/>
        <v>26384000</v>
      </c>
      <c r="L1409" s="534" t="s">
        <v>292</v>
      </c>
      <c r="M1409" s="534" t="s">
        <v>8</v>
      </c>
      <c r="N1409" s="525" t="str">
        <f>IF(AND('331-CT'!$E$7=TH!H1409,OR(L1409="331",M1409="331")),"331",IF(AND(OR(L1409="131",M1409="131"),H1409='131-CT'!$E$7),"131",""))</f>
        <v/>
      </c>
      <c r="O1409" s="525" t="str">
        <f>IF(AND($B1409&gt;='111'!$N$11,$B1409&lt;='111'!$O$11,OR($L1409=$O$7,$M1409=$O$7)),"x","")</f>
        <v/>
      </c>
      <c r="P1409" s="525" t="str">
        <f>IF(AND($L1409=$O$7,$B1409&lt;'111'!$N$11),"x","")</f>
        <v/>
      </c>
      <c r="Q1409" s="525" t="str">
        <f>IF(AND($M1409=$O$7,$B1409&lt;'111'!$N$11),"x","")</f>
        <v/>
      </c>
      <c r="R1409" s="525" t="str">
        <f>IF(ISERROR(FIND('112'!$M$9,G1409,1)),"",IF((AND(FIND('112'!$M$9,G1409,1)&gt;=1,$B1409&gt;='112'!$N$8,$B1409&lt;='112'!$O$8,OR($L1409='112'!$I$6,$M1409='112'!$I$6))),"x",""))</f>
        <v/>
      </c>
      <c r="S1409" s="525" t="str">
        <f>IF(ISERROR(FIND('112'!$M$9,G1409,1)),"",IF((AND(LEFT(G1409,2)=LEFT('112'!$M$9,2),B1409&lt;'112'!$N$8,$L1409='112'!$I$6)),"x",""))</f>
        <v/>
      </c>
      <c r="T1409" s="525" t="str">
        <f>IF(ISERROR(FIND('112'!$M$9,G1409,1)),"",IF((AND(RIGHT(G1409,2)=RIGHT('112'!$M$9,2),B1409&lt;'112'!$N$8,$M1409='112'!$I$6)),"x",""))</f>
        <v/>
      </c>
      <c r="U1409" s="525" t="str">
        <f>IF(AND(B1409&gt;='IN-NX'!$P$3,B1409&lt;='IN-NX'!$Q$3,'IN-NX'!$D$7=D1409,OR(LEFT(L1409,2)="15",AND(LEFT(M1409,2)&lt;&gt;"15",LEFT(M1409,2)&lt;&gt;"33"))),"x","")</f>
        <v/>
      </c>
      <c r="V1409" s="525" t="str">
        <f>IF(AND(OR(LEFT(TH!L1409,2)="15",LEFT(TH!M1409,2)="15"),'152-CT'!$J$8=TH!F1409),"x","")</f>
        <v/>
      </c>
      <c r="W1409" s="525" t="str">
        <f>IF(AND(OR(LEFT(TH!L1409,2)="15",LEFT(TH!M1409,2)="15"),TK!$E$7=TH!F1409),"x","")</f>
        <v/>
      </c>
      <c r="X1409" s="525" t="str">
        <f>IF(AND('341-CT'!$E$9=H1409,OR(LEFT(L1409,3)=$X$7,LEFT(M1409,3)=$X$7)),"x","")</f>
        <v/>
      </c>
      <c r="Y1409" s="525" t="str">
        <f>IF(OR(TH!L1409=TH!$Y$7,M1409=TH!$Y$7),"x","")</f>
        <v/>
      </c>
      <c r="Z1409" s="525" t="str">
        <f>IF(AND(B1409&lt;=NKC!$N$8,B1409&gt;=NKC!$M$8),"x","")</f>
        <v>x</v>
      </c>
      <c r="AA1409" s="535">
        <v>1</v>
      </c>
    </row>
    <row r="1410" spans="1:31" s="503" customFormat="1" ht="15.75" customHeight="1">
      <c r="A1410" s="517" t="str">
        <f>IF(B1410&lt;&gt;"",IF(AND(B1410&gt;=_TM1,B1410&lt;=_TM2,OR(TH!L1410="1111",TH!M1410="1111")),TH!D1410,""),"")</f>
        <v/>
      </c>
      <c r="B1410" s="531">
        <f t="shared" si="142"/>
        <v>2</v>
      </c>
      <c r="C1410" s="315">
        <f t="shared" si="143"/>
        <v>42786</v>
      </c>
      <c r="D1410" s="537" t="s">
        <v>972</v>
      </c>
      <c r="E1410" s="537">
        <v>42786</v>
      </c>
      <c r="F1410" s="249" t="s">
        <v>274</v>
      </c>
      <c r="G1410" s="314" t="s">
        <v>606</v>
      </c>
      <c r="H1410" s="473" t="s">
        <v>447</v>
      </c>
      <c r="I1410" s="307">
        <v>1063</v>
      </c>
      <c r="J1410" s="307">
        <v>10185</v>
      </c>
      <c r="K1410" s="532">
        <f t="shared" si="145"/>
        <v>10826655</v>
      </c>
      <c r="L1410" s="534" t="s">
        <v>292</v>
      </c>
      <c r="M1410" s="534" t="s">
        <v>8</v>
      </c>
      <c r="N1410" s="525" t="str">
        <f>IF(AND('331-CT'!$E$7=TH!H1410,OR(L1410="331",M1410="331")),"331",IF(AND(OR(L1410="131",M1410="131"),H1410='131-CT'!$E$7),"131",""))</f>
        <v/>
      </c>
      <c r="O1410" s="525" t="str">
        <f>IF(AND($B1410&gt;='111'!$N$11,$B1410&lt;='111'!$O$11,OR($L1410=$O$7,$M1410=$O$7)),"x","")</f>
        <v/>
      </c>
      <c r="P1410" s="525" t="str">
        <f>IF(AND($L1410=$O$7,$B1410&lt;'111'!$N$11),"x","")</f>
        <v/>
      </c>
      <c r="Q1410" s="525" t="str">
        <f>IF(AND($M1410=$O$7,$B1410&lt;'111'!$N$11),"x","")</f>
        <v/>
      </c>
      <c r="R1410" s="525" t="str">
        <f>IF(ISERROR(FIND('112'!$M$9,G1410,1)),"",IF((AND(FIND('112'!$M$9,G1410,1)&gt;=1,$B1410&gt;='112'!$N$8,$B1410&lt;='112'!$O$8,OR($L1410='112'!$I$6,$M1410='112'!$I$6))),"x",""))</f>
        <v/>
      </c>
      <c r="S1410" s="525" t="str">
        <f>IF(ISERROR(FIND('112'!$M$9,G1410,1)),"",IF((AND(LEFT(G1410,2)=LEFT('112'!$M$9,2),B1410&lt;'112'!$N$8,$L1410='112'!$I$6)),"x",""))</f>
        <v/>
      </c>
      <c r="T1410" s="525" t="str">
        <f>IF(ISERROR(FIND('112'!$M$9,G1410,1)),"",IF((AND(RIGHT(G1410,2)=RIGHT('112'!$M$9,2),B1410&lt;'112'!$N$8,$M1410='112'!$I$6)),"x",""))</f>
        <v/>
      </c>
      <c r="U1410" s="525" t="str">
        <f>IF(AND(B1410&gt;='IN-NX'!$P$3,B1410&lt;='IN-NX'!$Q$3,'IN-NX'!$D$7=D1410,OR(LEFT(L1410,2)="15",AND(LEFT(M1410,2)&lt;&gt;"15",LEFT(M1410,2)&lt;&gt;"33"))),"x","")</f>
        <v/>
      </c>
      <c r="V1410" s="525" t="str">
        <f>IF(AND(OR(LEFT(TH!L1410,2)="15",LEFT(TH!M1410,2)="15"),'152-CT'!$J$8=TH!F1410),"x","")</f>
        <v/>
      </c>
      <c r="W1410" s="525" t="str">
        <f>IF(AND(OR(LEFT(TH!L1410,2)="15",LEFT(TH!M1410,2)="15"),TK!$E$7=TH!F1410),"x","")</f>
        <v>x</v>
      </c>
      <c r="X1410" s="525" t="str">
        <f>IF(AND('341-CT'!$E$9=H1410,OR(LEFT(L1410,3)=$X$7,LEFT(M1410,3)=$X$7)),"x","")</f>
        <v/>
      </c>
      <c r="Y1410" s="525" t="str">
        <f>IF(OR(TH!L1410=TH!$Y$7,M1410=TH!$Y$7),"x","")</f>
        <v/>
      </c>
      <c r="Z1410" s="525" t="str">
        <f>IF(AND(B1410&lt;=NKC!$N$8,B1410&gt;=NKC!$M$8),"x","")</f>
        <v>x</v>
      </c>
      <c r="AA1410" s="535">
        <v>1</v>
      </c>
    </row>
    <row r="1411" spans="1:31" s="503" customFormat="1" ht="15.75" customHeight="1">
      <c r="A1411" s="517" t="str">
        <f>IF(B1411&lt;&gt;"",IF(AND(B1411&gt;=_TM1,B1411&lt;=_TM2,OR(TH!L1411="1111",TH!M1411="1111")),TH!D1411,""),"")</f>
        <v/>
      </c>
      <c r="B1411" s="531">
        <f t="shared" si="142"/>
        <v>2</v>
      </c>
      <c r="C1411" s="315">
        <f t="shared" si="143"/>
        <v>42786</v>
      </c>
      <c r="D1411" s="537" t="s">
        <v>972</v>
      </c>
      <c r="E1411" s="537">
        <v>42786</v>
      </c>
      <c r="F1411" s="249" t="s">
        <v>274</v>
      </c>
      <c r="G1411" s="314" t="s">
        <v>606</v>
      </c>
      <c r="H1411" s="473" t="s">
        <v>447</v>
      </c>
      <c r="I1411" s="307">
        <v>3000</v>
      </c>
      <c r="J1411" s="307">
        <v>17945</v>
      </c>
      <c r="K1411" s="532">
        <f t="shared" si="145"/>
        <v>53835000</v>
      </c>
      <c r="L1411" s="534" t="s">
        <v>292</v>
      </c>
      <c r="M1411" s="534" t="s">
        <v>8</v>
      </c>
      <c r="N1411" s="525" t="str">
        <f>IF(AND('331-CT'!$E$7=TH!H1411,OR(L1411="331",M1411="331")),"331",IF(AND(OR(L1411="131",M1411="131"),H1411='131-CT'!$E$7),"131",""))</f>
        <v/>
      </c>
      <c r="O1411" s="525" t="str">
        <f>IF(AND($B1411&gt;='111'!$N$11,$B1411&lt;='111'!$O$11,OR($L1411=$O$7,$M1411=$O$7)),"x","")</f>
        <v/>
      </c>
      <c r="P1411" s="525" t="str">
        <f>IF(AND($L1411=$O$7,$B1411&lt;'111'!$N$11),"x","")</f>
        <v/>
      </c>
      <c r="Q1411" s="525" t="str">
        <f>IF(AND($M1411=$O$7,$B1411&lt;'111'!$N$11),"x","")</f>
        <v/>
      </c>
      <c r="R1411" s="525" t="str">
        <f>IF(ISERROR(FIND('112'!$M$9,G1411,1)),"",IF((AND(FIND('112'!$M$9,G1411,1)&gt;=1,$B1411&gt;='112'!$N$8,$B1411&lt;='112'!$O$8,OR($L1411='112'!$I$6,$M1411='112'!$I$6))),"x",""))</f>
        <v/>
      </c>
      <c r="S1411" s="525" t="str">
        <f>IF(ISERROR(FIND('112'!$M$9,G1411,1)),"",IF((AND(LEFT(G1411,2)=LEFT('112'!$M$9,2),B1411&lt;'112'!$N$8,$L1411='112'!$I$6)),"x",""))</f>
        <v/>
      </c>
      <c r="T1411" s="525" t="str">
        <f>IF(ISERROR(FIND('112'!$M$9,G1411,1)),"",IF((AND(RIGHT(G1411,2)=RIGHT('112'!$M$9,2),B1411&lt;'112'!$N$8,$M1411='112'!$I$6)),"x",""))</f>
        <v/>
      </c>
      <c r="U1411" s="525" t="str">
        <f>IF(AND(B1411&gt;='IN-NX'!$P$3,B1411&lt;='IN-NX'!$Q$3,'IN-NX'!$D$7=D1411,OR(LEFT(L1411,2)="15",AND(LEFT(M1411,2)&lt;&gt;"15",LEFT(M1411,2)&lt;&gt;"33"))),"x","")</f>
        <v/>
      </c>
      <c r="V1411" s="525" t="str">
        <f>IF(AND(OR(LEFT(TH!L1411,2)="15",LEFT(TH!M1411,2)="15"),'152-CT'!$J$8=TH!F1411),"x","")</f>
        <v/>
      </c>
      <c r="W1411" s="525" t="str">
        <f>IF(AND(OR(LEFT(TH!L1411,2)="15",LEFT(TH!M1411,2)="15"),TK!$E$7=TH!F1411),"x","")</f>
        <v>x</v>
      </c>
      <c r="X1411" s="525" t="str">
        <f>IF(AND('341-CT'!$E$9=H1411,OR(LEFT(L1411,3)=$X$7,LEFT(M1411,3)=$X$7)),"x","")</f>
        <v/>
      </c>
      <c r="Y1411" s="525" t="str">
        <f>IF(OR(TH!L1411=TH!$Y$7,M1411=TH!$Y$7),"x","")</f>
        <v/>
      </c>
      <c r="Z1411" s="525" t="str">
        <f>IF(AND(B1411&lt;=NKC!$N$8,B1411&gt;=NKC!$M$8),"x","")</f>
        <v>x</v>
      </c>
      <c r="AA1411" s="535">
        <v>1</v>
      </c>
    </row>
    <row r="1412" spans="1:31" s="503" customFormat="1" ht="15.75" customHeight="1">
      <c r="A1412" s="517" t="str">
        <f>IF(B1412&lt;&gt;"",IF(AND(B1412&gt;=_TM1,B1412&lt;=_TM2,OR(TH!L1412="1111",TH!M1412="1111")),TH!D1412,""),"")</f>
        <v/>
      </c>
      <c r="B1412" s="531">
        <f t="shared" si="142"/>
        <v>2</v>
      </c>
      <c r="C1412" s="315">
        <f t="shared" si="143"/>
        <v>42786</v>
      </c>
      <c r="D1412" s="537" t="s">
        <v>972</v>
      </c>
      <c r="E1412" s="537">
        <v>42786</v>
      </c>
      <c r="F1412" s="249" t="s">
        <v>503</v>
      </c>
      <c r="G1412" s="314" t="s">
        <v>606</v>
      </c>
      <c r="H1412" s="473" t="s">
        <v>447</v>
      </c>
      <c r="I1412" s="307">
        <v>3800</v>
      </c>
      <c r="J1412" s="307">
        <v>17945</v>
      </c>
      <c r="K1412" s="532">
        <f t="shared" si="145"/>
        <v>68191000</v>
      </c>
      <c r="L1412" s="534" t="s">
        <v>292</v>
      </c>
      <c r="M1412" s="534" t="s">
        <v>8</v>
      </c>
      <c r="N1412" s="525" t="str">
        <f>IF(AND('331-CT'!$E$7=TH!H1412,OR(L1412="331",M1412="331")),"331",IF(AND(OR(L1412="131",M1412="131"),H1412='131-CT'!$E$7),"131",""))</f>
        <v/>
      </c>
      <c r="O1412" s="525" t="str">
        <f>IF(AND($B1412&gt;='111'!$N$11,$B1412&lt;='111'!$O$11,OR($L1412=$O$7,$M1412=$O$7)),"x","")</f>
        <v/>
      </c>
      <c r="P1412" s="525" t="str">
        <f>IF(AND($L1412=$O$7,$B1412&lt;'111'!$N$11),"x","")</f>
        <v/>
      </c>
      <c r="Q1412" s="525" t="str">
        <f>IF(AND($M1412=$O$7,$B1412&lt;'111'!$N$11),"x","")</f>
        <v/>
      </c>
      <c r="R1412" s="525" t="str">
        <f>IF(ISERROR(FIND('112'!$M$9,G1412,1)),"",IF((AND(FIND('112'!$M$9,G1412,1)&gt;=1,$B1412&gt;='112'!$N$8,$B1412&lt;='112'!$O$8,OR($L1412='112'!$I$6,$M1412='112'!$I$6))),"x",""))</f>
        <v/>
      </c>
      <c r="S1412" s="525" t="str">
        <f>IF(ISERROR(FIND('112'!$M$9,G1412,1)),"",IF((AND(LEFT(G1412,2)=LEFT('112'!$M$9,2),B1412&lt;'112'!$N$8,$L1412='112'!$I$6)),"x",""))</f>
        <v/>
      </c>
      <c r="T1412" s="525" t="str">
        <f>IF(ISERROR(FIND('112'!$M$9,G1412,1)),"",IF((AND(RIGHT(G1412,2)=RIGHT('112'!$M$9,2),B1412&lt;'112'!$N$8,$M1412='112'!$I$6)),"x",""))</f>
        <v/>
      </c>
      <c r="U1412" s="525" t="str">
        <f>IF(AND(B1412&gt;='IN-NX'!$P$3,B1412&lt;='IN-NX'!$Q$3,'IN-NX'!$D$7=D1412,OR(LEFT(L1412,2)="15",AND(LEFT(M1412,2)&lt;&gt;"15",LEFT(M1412,2)&lt;&gt;"33"))),"x","")</f>
        <v/>
      </c>
      <c r="V1412" s="525" t="str">
        <f>IF(AND(OR(LEFT(TH!L1412,2)="15",LEFT(TH!M1412,2)="15"),'152-CT'!$J$8=TH!F1412),"x","")</f>
        <v/>
      </c>
      <c r="W1412" s="525" t="str">
        <f>IF(AND(OR(LEFT(TH!L1412,2)="15",LEFT(TH!M1412,2)="15"),TK!$E$7=TH!F1412),"x","")</f>
        <v/>
      </c>
      <c r="X1412" s="525" t="str">
        <f>IF(AND('341-CT'!$E$9=H1412,OR(LEFT(L1412,3)=$X$7,LEFT(M1412,3)=$X$7)),"x","")</f>
        <v/>
      </c>
      <c r="Y1412" s="525" t="str">
        <f>IF(OR(TH!L1412=TH!$Y$7,M1412=TH!$Y$7),"x","")</f>
        <v/>
      </c>
      <c r="Z1412" s="525" t="str">
        <f>IF(AND(B1412&lt;=NKC!$N$8,B1412&gt;=NKC!$M$8),"x","")</f>
        <v>x</v>
      </c>
      <c r="AA1412" s="535">
        <v>1</v>
      </c>
    </row>
    <row r="1413" spans="1:31" s="503" customFormat="1" ht="15.75" customHeight="1">
      <c r="A1413" s="517" t="str">
        <f>IF(B1413&lt;&gt;"",IF(AND(B1413&gt;=_TM1,B1413&lt;=_TM2,OR(TH!L1413="1111",TH!M1413="1111")),TH!D1413,""),"")</f>
        <v/>
      </c>
      <c r="B1413" s="531">
        <f t="shared" si="142"/>
        <v>2</v>
      </c>
      <c r="C1413" s="315">
        <f t="shared" si="143"/>
        <v>42786</v>
      </c>
      <c r="D1413" s="537" t="s">
        <v>972</v>
      </c>
      <c r="E1413" s="537">
        <v>42786</v>
      </c>
      <c r="F1413" s="249" t="s">
        <v>567</v>
      </c>
      <c r="G1413" s="314" t="s">
        <v>606</v>
      </c>
      <c r="H1413" s="473" t="s">
        <v>447</v>
      </c>
      <c r="I1413" s="307">
        <v>1400</v>
      </c>
      <c r="J1413" s="307">
        <v>3880</v>
      </c>
      <c r="K1413" s="532">
        <f t="shared" si="145"/>
        <v>5432000</v>
      </c>
      <c r="L1413" s="534" t="s">
        <v>292</v>
      </c>
      <c r="M1413" s="534" t="s">
        <v>8</v>
      </c>
      <c r="N1413" s="525" t="str">
        <f>IF(AND('331-CT'!$E$7=TH!H1413,OR(L1413="331",M1413="331")),"331",IF(AND(OR(L1413="131",M1413="131"),H1413='131-CT'!$E$7),"131",""))</f>
        <v/>
      </c>
      <c r="O1413" s="525" t="str">
        <f>IF(AND($B1413&gt;='111'!$N$11,$B1413&lt;='111'!$O$11,OR($L1413=$O$7,$M1413=$O$7)),"x","")</f>
        <v/>
      </c>
      <c r="P1413" s="525" t="str">
        <f>IF(AND($L1413=$O$7,$B1413&lt;'111'!$N$11),"x","")</f>
        <v/>
      </c>
      <c r="Q1413" s="525" t="str">
        <f>IF(AND($M1413=$O$7,$B1413&lt;'111'!$N$11),"x","")</f>
        <v/>
      </c>
      <c r="R1413" s="525" t="str">
        <f>IF(ISERROR(FIND('112'!$M$9,G1413,1)),"",IF((AND(FIND('112'!$M$9,G1413,1)&gt;=1,$B1413&gt;='112'!$N$8,$B1413&lt;='112'!$O$8,OR($L1413='112'!$I$6,$M1413='112'!$I$6))),"x",""))</f>
        <v/>
      </c>
      <c r="S1413" s="525" t="str">
        <f>IF(ISERROR(FIND('112'!$M$9,G1413,1)),"",IF((AND(LEFT(G1413,2)=LEFT('112'!$M$9,2),B1413&lt;'112'!$N$8,$L1413='112'!$I$6)),"x",""))</f>
        <v/>
      </c>
      <c r="T1413" s="525" t="str">
        <f>IF(ISERROR(FIND('112'!$M$9,G1413,1)),"",IF((AND(RIGHT(G1413,2)=RIGHT('112'!$M$9,2),B1413&lt;'112'!$N$8,$M1413='112'!$I$6)),"x",""))</f>
        <v/>
      </c>
      <c r="U1413" s="525" t="str">
        <f>IF(AND(B1413&gt;='IN-NX'!$P$3,B1413&lt;='IN-NX'!$Q$3,'IN-NX'!$D$7=D1413,OR(LEFT(L1413,2)="15",AND(LEFT(M1413,2)&lt;&gt;"15",LEFT(M1413,2)&lt;&gt;"33"))),"x","")</f>
        <v/>
      </c>
      <c r="V1413" s="525" t="str">
        <f>IF(AND(OR(LEFT(TH!L1413,2)="15",LEFT(TH!M1413,2)="15"),'152-CT'!$J$8=TH!F1413),"x","")</f>
        <v/>
      </c>
      <c r="W1413" s="525" t="str">
        <f>IF(AND(OR(LEFT(TH!L1413,2)="15",LEFT(TH!M1413,2)="15"),TK!$E$7=TH!F1413),"x","")</f>
        <v/>
      </c>
      <c r="X1413" s="525" t="str">
        <f>IF(AND('341-CT'!$E$9=H1413,OR(LEFT(L1413,3)=$X$7,LEFT(M1413,3)=$X$7)),"x","")</f>
        <v/>
      </c>
      <c r="Y1413" s="525" t="str">
        <f>IF(OR(TH!L1413=TH!$Y$7,M1413=TH!$Y$7),"x","")</f>
        <v/>
      </c>
      <c r="Z1413" s="525" t="str">
        <f>IF(AND(B1413&lt;=NKC!$N$8,B1413&gt;=NKC!$M$8),"x","")</f>
        <v>x</v>
      </c>
      <c r="AA1413" s="535">
        <v>1</v>
      </c>
    </row>
    <row r="1414" spans="1:31" s="503" customFormat="1" ht="15.75" customHeight="1">
      <c r="A1414" s="517" t="str">
        <f>IF(B1414&lt;&gt;"",IF(AND(B1414&gt;=_TM1,B1414&lt;=_TM2,OR(TH!L1414="1111",TH!M1414="1111")),TH!D1414,""),"")</f>
        <v/>
      </c>
      <c r="B1414" s="531">
        <f t="shared" si="142"/>
        <v>2</v>
      </c>
      <c r="C1414" s="315">
        <f t="shared" si="143"/>
        <v>42786</v>
      </c>
      <c r="D1414" s="537" t="s">
        <v>972</v>
      </c>
      <c r="E1414" s="537">
        <v>42786</v>
      </c>
      <c r="F1414" s="249" t="s">
        <v>494</v>
      </c>
      <c r="G1414" s="314" t="s">
        <v>606</v>
      </c>
      <c r="H1414" s="473" t="s">
        <v>447</v>
      </c>
      <c r="I1414" s="307"/>
      <c r="J1414" s="307"/>
      <c r="K1414" s="532">
        <v>18091616</v>
      </c>
      <c r="L1414" s="534" t="s">
        <v>9</v>
      </c>
      <c r="M1414" s="534" t="s">
        <v>8</v>
      </c>
      <c r="N1414" s="525" t="str">
        <f>IF(AND('331-CT'!$E$7=TH!H1414,OR(L1414="331",M1414="331")),"331",IF(AND(OR(L1414="131",M1414="131"),H1414='131-CT'!$E$7),"131",""))</f>
        <v/>
      </c>
      <c r="O1414" s="525" t="str">
        <f>IF(AND($B1414&gt;='111'!$N$11,$B1414&lt;='111'!$O$11,OR($L1414=$O$7,$M1414=$O$7)),"x","")</f>
        <v/>
      </c>
      <c r="P1414" s="525" t="str">
        <f>IF(AND($L1414=$O$7,$B1414&lt;'111'!$N$11),"x","")</f>
        <v/>
      </c>
      <c r="Q1414" s="525" t="str">
        <f>IF(AND($M1414=$O$7,$B1414&lt;'111'!$N$11),"x","")</f>
        <v/>
      </c>
      <c r="R1414" s="525" t="str">
        <f>IF(ISERROR(FIND('112'!$M$9,G1414,1)),"",IF((AND(FIND('112'!$M$9,G1414,1)&gt;=1,$B1414&gt;='112'!$N$8,$B1414&lt;='112'!$O$8,OR($L1414='112'!$I$6,$M1414='112'!$I$6))),"x",""))</f>
        <v/>
      </c>
      <c r="S1414" s="525" t="str">
        <f>IF(ISERROR(FIND('112'!$M$9,G1414,1)),"",IF((AND(LEFT(G1414,2)=LEFT('112'!$M$9,2),B1414&lt;'112'!$N$8,$L1414='112'!$I$6)),"x",""))</f>
        <v/>
      </c>
      <c r="T1414" s="525" t="str">
        <f>IF(ISERROR(FIND('112'!$M$9,G1414,1)),"",IF((AND(RIGHT(G1414,2)=RIGHT('112'!$M$9,2),B1414&lt;'112'!$N$8,$M1414='112'!$I$6)),"x",""))</f>
        <v/>
      </c>
      <c r="U1414" s="525" t="str">
        <f>IF(AND(B1414&gt;='IN-NX'!$P$3,B1414&lt;='IN-NX'!$Q$3,'IN-NX'!$D$7=D1414,OR(LEFT(L1414,2)="15",AND(LEFT(M1414,2)&lt;&gt;"15",LEFT(M1414,2)&lt;&gt;"33"))),"x","")</f>
        <v/>
      </c>
      <c r="V1414" s="525" t="str">
        <f>IF(AND(OR(LEFT(TH!L1414,2)="15",LEFT(TH!M1414,2)="15"),'152-CT'!$J$8=TH!F1414),"x","")</f>
        <v/>
      </c>
      <c r="W1414" s="525" t="str">
        <f>IF(AND(OR(LEFT(TH!L1414,2)="15",LEFT(TH!M1414,2)="15"),TK!$E$7=TH!F1414),"x","")</f>
        <v/>
      </c>
      <c r="X1414" s="525" t="str">
        <f>IF(AND('341-CT'!$E$9=H1414,OR(LEFT(L1414,3)=$X$7,LEFT(M1414,3)=$X$7)),"x","")</f>
        <v/>
      </c>
      <c r="Y1414" s="525" t="str">
        <f>IF(OR(TH!L1414=TH!$Y$7,M1414=TH!$Y$7),"x","")</f>
        <v/>
      </c>
      <c r="Z1414" s="525" t="str">
        <f>IF(AND(B1414&lt;=NKC!$N$8,B1414&gt;=NKC!$M$8),"x","")</f>
        <v>x</v>
      </c>
      <c r="AA1414" s="535">
        <v>1</v>
      </c>
    </row>
    <row r="1415" spans="1:31" s="503" customFormat="1" ht="15.75" customHeight="1">
      <c r="A1415" s="517" t="str">
        <f>IF(B1415&lt;&gt;"",IF(AND(B1415&gt;=_TM1,B1415&lt;=_TM2,OR(TH!L1415="1111",TH!M1415="1111")),TH!D1415,""),"")</f>
        <v/>
      </c>
      <c r="B1415" s="531">
        <f t="shared" si="142"/>
        <v>2</v>
      </c>
      <c r="C1415" s="315">
        <f t="shared" si="143"/>
        <v>42794</v>
      </c>
      <c r="D1415" s="537" t="s">
        <v>973</v>
      </c>
      <c r="E1415" s="537">
        <v>42794</v>
      </c>
      <c r="F1415" s="249" t="s">
        <v>577</v>
      </c>
      <c r="G1415" s="538" t="s">
        <v>576</v>
      </c>
      <c r="H1415" s="473" t="s">
        <v>271</v>
      </c>
      <c r="I1415" s="307">
        <v>30</v>
      </c>
      <c r="J1415" s="307">
        <v>59400</v>
      </c>
      <c r="K1415" s="532">
        <f>ROUND(I1415*J1415,0)</f>
        <v>1782000</v>
      </c>
      <c r="L1415" s="534" t="s">
        <v>292</v>
      </c>
      <c r="M1415" s="534" t="s">
        <v>8</v>
      </c>
      <c r="N1415" s="525" t="str">
        <f>IF(AND('331-CT'!$E$7=TH!H1415,OR(L1415="331",M1415="331")),"331",IF(AND(OR(L1415="131",M1415="131"),H1415='131-CT'!$E$7),"131",""))</f>
        <v>331</v>
      </c>
      <c r="O1415" s="525" t="str">
        <f>IF(AND($B1415&gt;='111'!$N$11,$B1415&lt;='111'!$O$11,OR($L1415=$O$7,$M1415=$O$7)),"x","")</f>
        <v/>
      </c>
      <c r="P1415" s="525" t="str">
        <f>IF(AND($L1415=$O$7,$B1415&lt;'111'!$N$11),"x","")</f>
        <v/>
      </c>
      <c r="Q1415" s="525" t="str">
        <f>IF(AND($M1415=$O$7,$B1415&lt;'111'!$N$11),"x","")</f>
        <v/>
      </c>
      <c r="R1415" s="525" t="str">
        <f>IF(ISERROR(FIND('112'!$M$9,G1415,1)),"",IF((AND(FIND('112'!$M$9,G1415,1)&gt;=1,$B1415&gt;='112'!$N$8,$B1415&lt;='112'!$O$8,OR($L1415='112'!$I$6,$M1415='112'!$I$6))),"x",""))</f>
        <v/>
      </c>
      <c r="S1415" s="525" t="str">
        <f>IF(ISERROR(FIND('112'!$M$9,G1415,1)),"",IF((AND(LEFT(G1415,2)=LEFT('112'!$M$9,2),B1415&lt;'112'!$N$8,$L1415='112'!$I$6)),"x",""))</f>
        <v/>
      </c>
      <c r="T1415" s="525" t="str">
        <f>IF(ISERROR(FIND('112'!$M$9,G1415,1)),"",IF((AND(RIGHT(G1415,2)=RIGHT('112'!$M$9,2),B1415&lt;'112'!$N$8,$M1415='112'!$I$6)),"x",""))</f>
        <v/>
      </c>
      <c r="U1415" s="525" t="str">
        <f>IF(AND(B1415&gt;='IN-NX'!$P$3,B1415&lt;='IN-NX'!$Q$3,'IN-NX'!$D$7=D1415,OR(LEFT(L1415,2)="15",AND(LEFT(M1415,2)&lt;&gt;"15",LEFT(M1415,2)&lt;&gt;"33"))),"x","")</f>
        <v/>
      </c>
      <c r="V1415" s="525" t="str">
        <f>IF(AND(OR(LEFT(TH!L1415,2)="15",LEFT(TH!M1415,2)="15"),'152-CT'!$J$8=TH!F1415),"x","")</f>
        <v/>
      </c>
      <c r="W1415" s="525" t="str">
        <f>IF(AND(OR(LEFT(TH!L1415,2)="15",LEFT(TH!M1415,2)="15"),TK!$E$7=TH!F1415),"x","")</f>
        <v/>
      </c>
      <c r="X1415" s="525" t="str">
        <f>IF(AND('341-CT'!$E$9=H1415,OR(LEFT(L1415,3)=$X$7,LEFT(M1415,3)=$X$7)),"x","")</f>
        <v/>
      </c>
      <c r="Y1415" s="525" t="str">
        <f>IF(OR(TH!L1415=TH!$Y$7,M1415=TH!$Y$7),"x","")</f>
        <v/>
      </c>
      <c r="Z1415" s="525" t="str">
        <f>IF(AND(B1415&lt;=NKC!$N$8,B1415&gt;=NKC!$M$8),"x","")</f>
        <v>x</v>
      </c>
      <c r="AA1415" s="535">
        <v>1</v>
      </c>
    </row>
    <row r="1416" spans="1:31" s="503" customFormat="1" ht="15.75" customHeight="1">
      <c r="A1416" s="517" t="str">
        <f>IF(B1416&lt;&gt;"",IF(AND(B1416&gt;=_TM1,B1416&lt;=_TM2,OR(TH!L1416="1111",TH!M1416="1111")),TH!D1416,""),"")</f>
        <v/>
      </c>
      <c r="B1416" s="531">
        <f t="shared" si="142"/>
        <v>2</v>
      </c>
      <c r="C1416" s="315">
        <f t="shared" si="143"/>
        <v>42794</v>
      </c>
      <c r="D1416" s="537" t="s">
        <v>973</v>
      </c>
      <c r="E1416" s="537">
        <v>42794</v>
      </c>
      <c r="F1416" s="249" t="s">
        <v>526</v>
      </c>
      <c r="G1416" s="538" t="s">
        <v>576</v>
      </c>
      <c r="H1416" s="473" t="s">
        <v>271</v>
      </c>
      <c r="I1416" s="307"/>
      <c r="J1416" s="307"/>
      <c r="K1416" s="532">
        <v>178200</v>
      </c>
      <c r="L1416" s="534" t="s">
        <v>9</v>
      </c>
      <c r="M1416" s="534" t="s">
        <v>8</v>
      </c>
      <c r="N1416" s="525" t="str">
        <f>IF(AND('331-CT'!$E$7=TH!H1416,OR(L1416="331",M1416="331")),"331",IF(AND(OR(L1416="131",M1416="131"),H1416='131-CT'!$E$7),"131",""))</f>
        <v>331</v>
      </c>
      <c r="O1416" s="525" t="str">
        <f>IF(AND($B1416&gt;='111'!$N$11,$B1416&lt;='111'!$O$11,OR($L1416=$O$7,$M1416=$O$7)),"x","")</f>
        <v/>
      </c>
      <c r="P1416" s="525" t="str">
        <f>IF(AND($L1416=$O$7,$B1416&lt;'111'!$N$11),"x","")</f>
        <v/>
      </c>
      <c r="Q1416" s="525" t="str">
        <f>IF(AND($M1416=$O$7,$B1416&lt;'111'!$N$11),"x","")</f>
        <v/>
      </c>
      <c r="R1416" s="525" t="str">
        <f>IF(ISERROR(FIND('112'!$M$9,G1416,1)),"",IF((AND(FIND('112'!$M$9,G1416,1)&gt;=1,$B1416&gt;='112'!$N$8,$B1416&lt;='112'!$O$8,OR($L1416='112'!$I$6,$M1416='112'!$I$6))),"x",""))</f>
        <v/>
      </c>
      <c r="S1416" s="525" t="str">
        <f>IF(ISERROR(FIND('112'!$M$9,G1416,1)),"",IF((AND(LEFT(G1416,2)=LEFT('112'!$M$9,2),B1416&lt;'112'!$N$8,$L1416='112'!$I$6)),"x",""))</f>
        <v/>
      </c>
      <c r="T1416" s="525" t="str">
        <f>IF(ISERROR(FIND('112'!$M$9,G1416,1)),"",IF((AND(RIGHT(G1416,2)=RIGHT('112'!$M$9,2),B1416&lt;'112'!$N$8,$M1416='112'!$I$6)),"x",""))</f>
        <v/>
      </c>
      <c r="U1416" s="525" t="str">
        <f>IF(AND(B1416&gt;='IN-NX'!$P$3,B1416&lt;='IN-NX'!$Q$3,'IN-NX'!$D$7=D1416,OR(LEFT(L1416,2)="15",AND(LEFT(M1416,2)&lt;&gt;"15",LEFT(M1416,2)&lt;&gt;"33"))),"x","")</f>
        <v/>
      </c>
      <c r="V1416" s="525" t="str">
        <f>IF(AND(OR(LEFT(TH!L1416,2)="15",LEFT(TH!M1416,2)="15"),'152-CT'!$J$8=TH!F1416),"x","")</f>
        <v/>
      </c>
      <c r="W1416" s="525" t="str">
        <f>IF(AND(OR(LEFT(TH!L1416,2)="15",LEFT(TH!M1416,2)="15"),TK!$E$7=TH!F1416),"x","")</f>
        <v/>
      </c>
      <c r="X1416" s="525" t="str">
        <f>IF(AND('341-CT'!$E$9=H1416,OR(LEFT(L1416,3)=$X$7,LEFT(M1416,3)=$X$7)),"x","")</f>
        <v/>
      </c>
      <c r="Y1416" s="525" t="str">
        <f>IF(OR(TH!L1416=TH!$Y$7,M1416=TH!$Y$7),"x","")</f>
        <v/>
      </c>
      <c r="Z1416" s="525" t="str">
        <f>IF(AND(B1416&lt;=NKC!$N$8,B1416&gt;=NKC!$M$8),"x","")</f>
        <v>x</v>
      </c>
      <c r="AA1416" s="535">
        <v>1</v>
      </c>
    </row>
    <row r="1417" spans="1:31" s="503" customFormat="1" ht="15.75" customHeight="1">
      <c r="A1417" s="517" t="str">
        <f>IF(B1417&lt;&gt;"",IF(AND(B1417&gt;=_TM1,B1417&lt;=_TM2,OR(TH!L1417="1111",TH!M1417="1111")),TH!D1417,""),"")</f>
        <v/>
      </c>
      <c r="B1417" s="531">
        <f t="shared" si="142"/>
        <v>2</v>
      </c>
      <c r="C1417" s="315">
        <f t="shared" si="143"/>
        <v>42794</v>
      </c>
      <c r="D1417" s="537" t="s">
        <v>974</v>
      </c>
      <c r="E1417" s="315">
        <v>42794</v>
      </c>
      <c r="F1417" s="249" t="s">
        <v>503</v>
      </c>
      <c r="G1417" s="314" t="s">
        <v>748</v>
      </c>
      <c r="H1417" s="473" t="s">
        <v>349</v>
      </c>
      <c r="I1417" s="307">
        <v>1900</v>
      </c>
      <c r="J1417" s="307">
        <v>8245</v>
      </c>
      <c r="K1417" s="532">
        <f>ROUND(I1417*J1417,0)</f>
        <v>15665500</v>
      </c>
      <c r="L1417" s="534" t="s">
        <v>292</v>
      </c>
      <c r="M1417" s="534" t="s">
        <v>8</v>
      </c>
      <c r="N1417" s="525" t="str">
        <f>IF(AND('331-CT'!$E$7=TH!H1417,OR(L1417="331",M1417="331")),"331",IF(AND(OR(L1417="131",M1417="131"),H1417='131-CT'!$E$7),"131",""))</f>
        <v/>
      </c>
      <c r="O1417" s="525" t="str">
        <f>IF(AND($B1417&gt;='111'!$N$11,$B1417&lt;='111'!$O$11,OR($L1417=$O$7,$M1417=$O$7)),"x","")</f>
        <v/>
      </c>
      <c r="P1417" s="525" t="str">
        <f>IF(AND($L1417=$O$7,$B1417&lt;'111'!$N$11),"x","")</f>
        <v/>
      </c>
      <c r="Q1417" s="525" t="str">
        <f>IF(AND($M1417=$O$7,$B1417&lt;'111'!$N$11),"x","")</f>
        <v/>
      </c>
      <c r="R1417" s="525" t="str">
        <f>IF(ISERROR(FIND('112'!$M$9,G1417,1)),"",IF((AND(FIND('112'!$M$9,G1417,1)&gt;=1,$B1417&gt;='112'!$N$8,$B1417&lt;='112'!$O$8,OR($L1417='112'!$I$6,$M1417='112'!$I$6))),"x",""))</f>
        <v/>
      </c>
      <c r="S1417" s="525" t="str">
        <f>IF(ISERROR(FIND('112'!$M$9,G1417,1)),"",IF((AND(LEFT(G1417,2)=LEFT('112'!$M$9,2),B1417&lt;'112'!$N$8,$L1417='112'!$I$6)),"x",""))</f>
        <v/>
      </c>
      <c r="T1417" s="525" t="str">
        <f>IF(ISERROR(FIND('112'!$M$9,G1417,1)),"",IF((AND(RIGHT(G1417,2)=RIGHT('112'!$M$9,2),B1417&lt;'112'!$N$8,$M1417='112'!$I$6)),"x",""))</f>
        <v/>
      </c>
      <c r="U1417" s="525" t="str">
        <f>IF(AND(B1417&gt;='IN-NX'!$P$3,B1417&lt;='IN-NX'!$Q$3,'IN-NX'!$D$7=D1417,OR(LEFT(L1417,2)="15",AND(LEFT(M1417,2)&lt;&gt;"15",LEFT(M1417,2)&lt;&gt;"33"))),"x","")</f>
        <v/>
      </c>
      <c r="V1417" s="525" t="str">
        <f>IF(AND(OR(LEFT(TH!L1417,2)="15",LEFT(TH!M1417,2)="15"),'152-CT'!$J$8=TH!F1417),"x","")</f>
        <v/>
      </c>
      <c r="W1417" s="525" t="str">
        <f>IF(AND(OR(LEFT(TH!L1417,2)="15",LEFT(TH!M1417,2)="15"),TK!$E$7=TH!F1417),"x","")</f>
        <v/>
      </c>
      <c r="X1417" s="525" t="str">
        <f>IF(AND('341-CT'!$E$9=H1417,OR(LEFT(L1417,3)=$X$7,LEFT(M1417,3)=$X$7)),"x","")</f>
        <v/>
      </c>
      <c r="Y1417" s="525" t="str">
        <f>IF(OR(TH!L1417=TH!$Y$7,M1417=TH!$Y$7),"x","")</f>
        <v/>
      </c>
      <c r="Z1417" s="525" t="str">
        <f>IF(AND(B1417&lt;=NKC!$N$8,B1417&gt;=NKC!$M$8),"x","")</f>
        <v>x</v>
      </c>
      <c r="AA1417" s="535">
        <v>1</v>
      </c>
    </row>
    <row r="1418" spans="1:31" s="503" customFormat="1" ht="15.75" customHeight="1">
      <c r="A1418" s="517" t="str">
        <f>IF(B1418&lt;&gt;"",IF(AND(B1418&gt;=_TM1,B1418&lt;=_TM2,OR(TH!L1418="1111",TH!M1418="1111")),TH!D1418,""),"")</f>
        <v/>
      </c>
      <c r="B1418" s="531">
        <f t="shared" si="142"/>
        <v>2</v>
      </c>
      <c r="C1418" s="315">
        <f t="shared" si="143"/>
        <v>42794</v>
      </c>
      <c r="D1418" s="537" t="s">
        <v>974</v>
      </c>
      <c r="E1418" s="315">
        <v>42794</v>
      </c>
      <c r="F1418" s="249" t="s">
        <v>505</v>
      </c>
      <c r="G1418" s="314" t="s">
        <v>748</v>
      </c>
      <c r="H1418" s="473" t="s">
        <v>349</v>
      </c>
      <c r="I1418" s="307">
        <v>500</v>
      </c>
      <c r="J1418" s="307">
        <v>31525</v>
      </c>
      <c r="K1418" s="532">
        <f>ROUND(I1418*J1418,0)</f>
        <v>15762500</v>
      </c>
      <c r="L1418" s="534" t="s">
        <v>292</v>
      </c>
      <c r="M1418" s="534" t="s">
        <v>8</v>
      </c>
      <c r="N1418" s="525" t="str">
        <f>IF(AND('331-CT'!$E$7=TH!H1418,OR(L1418="331",M1418="331")),"331",IF(AND(OR(L1418="131",M1418="131"),H1418='131-CT'!$E$7),"131",""))</f>
        <v/>
      </c>
      <c r="O1418" s="525" t="str">
        <f>IF(AND($B1418&gt;='111'!$N$11,$B1418&lt;='111'!$O$11,OR($L1418=$O$7,$M1418=$O$7)),"x","")</f>
        <v/>
      </c>
      <c r="P1418" s="525" t="str">
        <f>IF(AND($L1418=$O$7,$B1418&lt;'111'!$N$11),"x","")</f>
        <v/>
      </c>
      <c r="Q1418" s="525" t="str">
        <f>IF(AND($M1418=$O$7,$B1418&lt;'111'!$N$11),"x","")</f>
        <v/>
      </c>
      <c r="R1418" s="525" t="str">
        <f>IF(ISERROR(FIND('112'!$M$9,G1418,1)),"",IF((AND(FIND('112'!$M$9,G1418,1)&gt;=1,$B1418&gt;='112'!$N$8,$B1418&lt;='112'!$O$8,OR($L1418='112'!$I$6,$M1418='112'!$I$6))),"x",""))</f>
        <v/>
      </c>
      <c r="S1418" s="525" t="str">
        <f>IF(ISERROR(FIND('112'!$M$9,G1418,1)),"",IF((AND(LEFT(G1418,2)=LEFT('112'!$M$9,2),B1418&lt;'112'!$N$8,$L1418='112'!$I$6)),"x",""))</f>
        <v/>
      </c>
      <c r="T1418" s="525" t="str">
        <f>IF(ISERROR(FIND('112'!$M$9,G1418,1)),"",IF((AND(RIGHT(G1418,2)=RIGHT('112'!$M$9,2),B1418&lt;'112'!$N$8,$M1418='112'!$I$6)),"x",""))</f>
        <v/>
      </c>
      <c r="U1418" s="525" t="str">
        <f>IF(AND(B1418&gt;='IN-NX'!$P$3,B1418&lt;='IN-NX'!$Q$3,'IN-NX'!$D$7=D1418,OR(LEFT(L1418,2)="15",AND(LEFT(M1418,2)&lt;&gt;"15",LEFT(M1418,2)&lt;&gt;"33"))),"x","")</f>
        <v/>
      </c>
      <c r="V1418" s="525" t="str">
        <f>IF(AND(OR(LEFT(TH!L1418,2)="15",LEFT(TH!M1418,2)="15"),'152-CT'!$J$8=TH!F1418),"x","")</f>
        <v/>
      </c>
      <c r="W1418" s="525" t="str">
        <f>IF(AND(OR(LEFT(TH!L1418,2)="15",LEFT(TH!M1418,2)="15"),TK!$E$7=TH!F1418),"x","")</f>
        <v/>
      </c>
      <c r="X1418" s="525" t="str">
        <f>IF(AND('341-CT'!$E$9=H1418,OR(LEFT(L1418,3)=$X$7,LEFT(M1418,3)=$X$7)),"x","")</f>
        <v/>
      </c>
      <c r="Y1418" s="525" t="str">
        <f>IF(OR(TH!L1418=TH!$Y$7,M1418=TH!$Y$7),"x","")</f>
        <v/>
      </c>
      <c r="Z1418" s="525" t="str">
        <f>IF(AND(B1418&lt;=NKC!$N$8,B1418&gt;=NKC!$M$8),"x","")</f>
        <v>x</v>
      </c>
      <c r="AA1418" s="535">
        <v>1</v>
      </c>
    </row>
    <row r="1419" spans="1:31" s="503" customFormat="1" ht="15.75" customHeight="1">
      <c r="A1419" s="517" t="str">
        <f>IF(B1419&lt;&gt;"",IF(AND(B1419&gt;=_TM1,B1419&lt;=_TM2,OR(TH!L1419="1111",TH!M1419="1111")),TH!D1419,""),"")</f>
        <v/>
      </c>
      <c r="B1419" s="531">
        <f t="shared" si="142"/>
        <v>2</v>
      </c>
      <c r="C1419" s="315">
        <f t="shared" si="143"/>
        <v>42794</v>
      </c>
      <c r="D1419" s="537" t="s">
        <v>974</v>
      </c>
      <c r="E1419" s="315">
        <v>42794</v>
      </c>
      <c r="F1419" s="249" t="s">
        <v>558</v>
      </c>
      <c r="G1419" s="314" t="s">
        <v>748</v>
      </c>
      <c r="H1419" s="473" t="s">
        <v>349</v>
      </c>
      <c r="I1419" s="307">
        <v>1020</v>
      </c>
      <c r="J1419" s="307">
        <v>17654</v>
      </c>
      <c r="K1419" s="532">
        <f>ROUND(I1419*J1419,0)</f>
        <v>18007080</v>
      </c>
      <c r="L1419" s="534" t="s">
        <v>292</v>
      </c>
      <c r="M1419" s="534" t="s">
        <v>8</v>
      </c>
      <c r="N1419" s="525" t="str">
        <f>IF(AND('331-CT'!$E$7=TH!H1419,OR(L1419="331",M1419="331")),"331",IF(AND(OR(L1419="131",M1419="131"),H1419='131-CT'!$E$7),"131",""))</f>
        <v/>
      </c>
      <c r="O1419" s="525" t="str">
        <f>IF(AND($B1419&gt;='111'!$N$11,$B1419&lt;='111'!$O$11,OR($L1419=$O$7,$M1419=$O$7)),"x","")</f>
        <v/>
      </c>
      <c r="P1419" s="525" t="str">
        <f>IF(AND($L1419=$O$7,$B1419&lt;'111'!$N$11),"x","")</f>
        <v/>
      </c>
      <c r="Q1419" s="525" t="str">
        <f>IF(AND($M1419=$O$7,$B1419&lt;'111'!$N$11),"x","")</f>
        <v/>
      </c>
      <c r="R1419" s="525" t="str">
        <f>IF(ISERROR(FIND('112'!$M$9,G1419,1)),"",IF((AND(FIND('112'!$M$9,G1419,1)&gt;=1,$B1419&gt;='112'!$N$8,$B1419&lt;='112'!$O$8,OR($L1419='112'!$I$6,$M1419='112'!$I$6))),"x",""))</f>
        <v/>
      </c>
      <c r="S1419" s="525" t="str">
        <f>IF(ISERROR(FIND('112'!$M$9,G1419,1)),"",IF((AND(LEFT(G1419,2)=LEFT('112'!$M$9,2),B1419&lt;'112'!$N$8,$L1419='112'!$I$6)),"x",""))</f>
        <v/>
      </c>
      <c r="T1419" s="525" t="str">
        <f>IF(ISERROR(FIND('112'!$M$9,G1419,1)),"",IF((AND(RIGHT(G1419,2)=RIGHT('112'!$M$9,2),B1419&lt;'112'!$N$8,$M1419='112'!$I$6)),"x",""))</f>
        <v/>
      </c>
      <c r="U1419" s="525" t="str">
        <f>IF(AND(B1419&gt;='IN-NX'!$P$3,B1419&lt;='IN-NX'!$Q$3,'IN-NX'!$D$7=D1419,OR(LEFT(L1419,2)="15",AND(LEFT(M1419,2)&lt;&gt;"15",LEFT(M1419,2)&lt;&gt;"33"))),"x","")</f>
        <v/>
      </c>
      <c r="V1419" s="525" t="str">
        <f>IF(AND(OR(LEFT(TH!L1419,2)="15",LEFT(TH!M1419,2)="15"),'152-CT'!$J$8=TH!F1419),"x","")</f>
        <v/>
      </c>
      <c r="W1419" s="525" t="str">
        <f>IF(AND(OR(LEFT(TH!L1419,2)="15",LEFT(TH!M1419,2)="15"),TK!$E$7=TH!F1419),"x","")</f>
        <v/>
      </c>
      <c r="X1419" s="525" t="str">
        <f>IF(AND('341-CT'!$E$9=H1419,OR(LEFT(L1419,3)=$X$7,LEFT(M1419,3)=$X$7)),"x","")</f>
        <v/>
      </c>
      <c r="Y1419" s="525" t="str">
        <f>IF(OR(TH!L1419=TH!$Y$7,M1419=TH!$Y$7),"x","")</f>
        <v/>
      </c>
      <c r="Z1419" s="525" t="str">
        <f>IF(AND(B1419&lt;=NKC!$N$8,B1419&gt;=NKC!$M$8),"x","")</f>
        <v>x</v>
      </c>
      <c r="AA1419" s="535">
        <v>1</v>
      </c>
    </row>
    <row r="1420" spans="1:31" s="503" customFormat="1" ht="15.75" customHeight="1">
      <c r="A1420" s="517" t="str">
        <f>IF(B1420&lt;&gt;"",IF(AND(B1420&gt;=_TM1,B1420&lt;=_TM2,OR(TH!L1420="1111",TH!M1420="1111")),TH!D1420,""),"")</f>
        <v/>
      </c>
      <c r="B1420" s="531">
        <f t="shared" si="142"/>
        <v>2</v>
      </c>
      <c r="C1420" s="315">
        <f t="shared" si="143"/>
        <v>42794</v>
      </c>
      <c r="D1420" s="537" t="s">
        <v>974</v>
      </c>
      <c r="E1420" s="315">
        <v>42794</v>
      </c>
      <c r="F1420" s="249" t="s">
        <v>494</v>
      </c>
      <c r="G1420" s="314" t="s">
        <v>748</v>
      </c>
      <c r="H1420" s="473" t="s">
        <v>349</v>
      </c>
      <c r="I1420" s="307"/>
      <c r="J1420" s="307"/>
      <c r="K1420" s="542">
        <v>4943508</v>
      </c>
      <c r="L1420" s="534" t="s">
        <v>9</v>
      </c>
      <c r="M1420" s="534" t="s">
        <v>8</v>
      </c>
      <c r="N1420" s="525" t="str">
        <f>IF(AND('331-CT'!$E$7=TH!H1420,OR(L1420="331",M1420="331")),"331",IF(AND(OR(L1420="131",M1420="131"),H1420='131-CT'!$E$7),"131",""))</f>
        <v/>
      </c>
      <c r="O1420" s="525" t="str">
        <f>IF(AND($B1420&gt;='111'!$N$11,$B1420&lt;='111'!$O$11,OR($L1420=$O$7,$M1420=$O$7)),"x","")</f>
        <v/>
      </c>
      <c r="P1420" s="525" t="str">
        <f>IF(AND($L1420=$O$7,$B1420&lt;'111'!$N$11),"x","")</f>
        <v/>
      </c>
      <c r="Q1420" s="525" t="str">
        <f>IF(AND($M1420=$O$7,$B1420&lt;'111'!$N$11),"x","")</f>
        <v/>
      </c>
      <c r="R1420" s="525" t="str">
        <f>IF(ISERROR(FIND('112'!$M$9,G1420,1)),"",IF((AND(FIND('112'!$M$9,G1420,1)&gt;=1,$B1420&gt;='112'!$N$8,$B1420&lt;='112'!$O$8,OR($L1420='112'!$I$6,$M1420='112'!$I$6))),"x",""))</f>
        <v/>
      </c>
      <c r="S1420" s="525" t="str">
        <f>IF(ISERROR(FIND('112'!$M$9,G1420,1)),"",IF((AND(LEFT(G1420,2)=LEFT('112'!$M$9,2),B1420&lt;'112'!$N$8,$L1420='112'!$I$6)),"x",""))</f>
        <v/>
      </c>
      <c r="T1420" s="525" t="str">
        <f>IF(ISERROR(FIND('112'!$M$9,G1420,1)),"",IF((AND(RIGHT(G1420,2)=RIGHT('112'!$M$9,2),B1420&lt;'112'!$N$8,$M1420='112'!$I$6)),"x",""))</f>
        <v/>
      </c>
      <c r="U1420" s="525" t="str">
        <f>IF(AND(B1420&gt;='IN-NX'!$P$3,B1420&lt;='IN-NX'!$Q$3,'IN-NX'!$D$7=D1420,OR(LEFT(L1420,2)="15",AND(LEFT(M1420,2)&lt;&gt;"15",LEFT(M1420,2)&lt;&gt;"33"))),"x","")</f>
        <v/>
      </c>
      <c r="V1420" s="525" t="str">
        <f>IF(AND(OR(LEFT(TH!L1420,2)="15",LEFT(TH!M1420,2)="15"),'152-CT'!$J$8=TH!F1420),"x","")</f>
        <v/>
      </c>
      <c r="W1420" s="525" t="str">
        <f>IF(AND(OR(LEFT(TH!L1420,2)="15",LEFT(TH!M1420,2)="15"),TK!$E$7=TH!F1420),"x","")</f>
        <v/>
      </c>
      <c r="X1420" s="525" t="str">
        <f>IF(AND('341-CT'!$E$9=H1420,OR(LEFT(L1420,3)=$X$7,LEFT(M1420,3)=$X$7)),"x","")</f>
        <v/>
      </c>
      <c r="Y1420" s="525" t="str">
        <f>IF(OR(TH!L1420=TH!$Y$7,M1420=TH!$Y$7),"x","")</f>
        <v/>
      </c>
      <c r="Z1420" s="525" t="str">
        <f>IF(AND(B1420&lt;=NKC!$N$8,B1420&gt;=NKC!$M$8),"x","")</f>
        <v>x</v>
      </c>
      <c r="AA1420" s="535">
        <v>1</v>
      </c>
      <c r="AB1420" s="536"/>
    </row>
    <row r="1421" spans="1:31" s="503" customFormat="1" ht="15.75" customHeight="1">
      <c r="A1421" s="517" t="str">
        <f>IF(B1421&lt;&gt;"",IF(AND(B1421&gt;=_TM1,B1421&lt;=_TM2,OR(TH!L1421="1111",TH!M1421="1111")),TH!D1421,""),"")</f>
        <v/>
      </c>
      <c r="B1421" s="518">
        <f t="shared" si="142"/>
        <v>2</v>
      </c>
      <c r="C1421" s="571">
        <f t="shared" si="143"/>
        <v>42794</v>
      </c>
      <c r="D1421" s="537" t="s">
        <v>975</v>
      </c>
      <c r="E1421" s="571">
        <v>42794</v>
      </c>
      <c r="F1421" s="572" t="s">
        <v>380</v>
      </c>
      <c r="G1421" s="573" t="s">
        <v>851</v>
      </c>
      <c r="H1421" s="574" t="s">
        <v>447</v>
      </c>
      <c r="I1421" s="523">
        <v>42000</v>
      </c>
      <c r="J1421" s="523">
        <v>8300</v>
      </c>
      <c r="K1421" s="575">
        <f>ROUND(I1421*J1421,0)</f>
        <v>348600000</v>
      </c>
      <c r="L1421" s="525" t="s">
        <v>292</v>
      </c>
      <c r="M1421" s="525" t="s">
        <v>8</v>
      </c>
      <c r="N1421" s="525" t="str">
        <f>IF(AND('331-CT'!$E$7=TH!H1421,OR(L1421="331",M1421="331")),"331",IF(AND(OR(L1421="131",M1421="131"),H1421='131-CT'!$E$7),"131",""))</f>
        <v/>
      </c>
      <c r="O1421" s="525" t="str">
        <f>IF(AND($B1421&gt;='111'!$N$11,$B1421&lt;='111'!$O$11,OR($L1421=$O$7,$M1421=$O$7)),"x","")</f>
        <v/>
      </c>
      <c r="P1421" s="525" t="str">
        <f>IF(AND($L1421=$O$7,$B1421&lt;'111'!$N$11),"x","")</f>
        <v/>
      </c>
      <c r="Q1421" s="525" t="str">
        <f>IF(AND($M1421=$O$7,$B1421&lt;'111'!$N$11),"x","")</f>
        <v/>
      </c>
      <c r="R1421" s="525" t="str">
        <f>IF(ISERROR(FIND('112'!$M$9,G1421,1)),"",IF((AND(FIND('112'!$M$9,G1421,1)&gt;=1,$B1421&gt;='112'!$N$8,$B1421&lt;='112'!$O$8,OR($L1421='112'!$I$6,$M1421='112'!$I$6))),"x",""))</f>
        <v/>
      </c>
      <c r="S1421" s="525" t="str">
        <f>IF(ISERROR(FIND('112'!$M$9,G1421,1)),"",IF((AND(LEFT(G1421,2)=LEFT('112'!$M$9,2),B1421&lt;'112'!$N$8,$L1421='112'!$I$6)),"x",""))</f>
        <v/>
      </c>
      <c r="T1421" s="525" t="str">
        <f>IF(ISERROR(FIND('112'!$M$9,G1421,1)),"",IF((AND(RIGHT(G1421,2)=RIGHT('112'!$M$9,2),B1421&lt;'112'!$N$8,$M1421='112'!$I$6)),"x",""))</f>
        <v/>
      </c>
      <c r="U1421" s="525" t="str">
        <f>IF(AND(B1421&gt;='IN-NX'!$P$3,B1421&lt;='IN-NX'!$Q$3,'IN-NX'!$D$7=D1421,OR(LEFT(L1421,2)="15",AND(LEFT(M1421,2)&lt;&gt;"15",LEFT(M1421,2)&lt;&gt;"33"))),"x","")</f>
        <v/>
      </c>
      <c r="V1421" s="525" t="str">
        <f>IF(AND(OR(LEFT(TH!L1421,2)="15",LEFT(TH!M1421,2)="15"),'152-CT'!$J$8=TH!F1421),"x","")</f>
        <v/>
      </c>
      <c r="W1421" s="525" t="str">
        <f>IF(AND(OR(LEFT(TH!L1421,2)="15",LEFT(TH!M1421,2)="15"),TK!$E$7=TH!F1421),"x","")</f>
        <v/>
      </c>
      <c r="X1421" s="525" t="str">
        <f>IF(AND('341-CT'!$E$9=H1421,OR(LEFT(L1421,3)=$X$7,LEFT(M1421,3)=$X$7)),"x","")</f>
        <v/>
      </c>
      <c r="Y1421" s="525" t="str">
        <f>IF(OR(TH!L1421=TH!$Y$7,M1421=TH!$Y$7),"x","")</f>
        <v/>
      </c>
      <c r="Z1421" s="525" t="str">
        <f>IF(AND(B1421&lt;=NKC!$N$8,B1421&gt;=NKC!$M$8),"x","")</f>
        <v>x</v>
      </c>
      <c r="AA1421" s="535">
        <v>1</v>
      </c>
      <c r="AB1421" s="576"/>
      <c r="AD1421" s="576"/>
      <c r="AE1421" s="576"/>
    </row>
    <row r="1422" spans="1:31" s="503" customFormat="1" ht="15.75" customHeight="1">
      <c r="A1422" s="517" t="str">
        <f>IF(B1422&lt;&gt;"",IF(AND(B1422&gt;=_TM1,B1422&lt;=_TM2,OR(TH!L1422="1111",TH!M1422="1111")),TH!D1422,""),"")</f>
        <v/>
      </c>
      <c r="B1422" s="518">
        <f t="shared" si="142"/>
        <v>2</v>
      </c>
      <c r="C1422" s="571">
        <f t="shared" si="143"/>
        <v>42794</v>
      </c>
      <c r="D1422" s="537" t="s">
        <v>975</v>
      </c>
      <c r="E1422" s="571">
        <v>42794</v>
      </c>
      <c r="F1422" s="572" t="s">
        <v>499</v>
      </c>
      <c r="G1422" s="573" t="s">
        <v>851</v>
      </c>
      <c r="H1422" s="574" t="s">
        <v>447</v>
      </c>
      <c r="I1422" s="523"/>
      <c r="J1422" s="523"/>
      <c r="K1422" s="524">
        <v>34860000</v>
      </c>
      <c r="L1422" s="525" t="s">
        <v>9</v>
      </c>
      <c r="M1422" s="525" t="s">
        <v>8</v>
      </c>
      <c r="N1422" s="525" t="str">
        <f>IF(AND('331-CT'!$E$7=TH!H1422,OR(L1422="331",M1422="331")),"331",IF(AND(OR(L1422="131",M1422="131"),H1422='131-CT'!$E$7),"131",""))</f>
        <v/>
      </c>
      <c r="O1422" s="525" t="str">
        <f>IF(AND($B1422&gt;='111'!$N$11,$B1422&lt;='111'!$O$11,OR($L1422=$O$7,$M1422=$O$7)),"x","")</f>
        <v/>
      </c>
      <c r="P1422" s="525" t="str">
        <f>IF(AND($L1422=$O$7,$B1422&lt;'111'!$N$11),"x","")</f>
        <v/>
      </c>
      <c r="Q1422" s="525" t="str">
        <f>IF(AND($M1422=$O$7,$B1422&lt;'111'!$N$11),"x","")</f>
        <v/>
      </c>
      <c r="R1422" s="525" t="str">
        <f>IF(ISERROR(FIND('112'!$M$9,G1422,1)),"",IF((AND(FIND('112'!$M$9,G1422,1)&gt;=1,$B1422&gt;='112'!$N$8,$B1422&lt;='112'!$O$8,OR($L1422='112'!$I$6,$M1422='112'!$I$6))),"x",""))</f>
        <v/>
      </c>
      <c r="S1422" s="525" t="str">
        <f>IF(ISERROR(FIND('112'!$M$9,G1422,1)),"",IF((AND(LEFT(G1422,2)=LEFT('112'!$M$9,2),B1422&lt;'112'!$N$8,$L1422='112'!$I$6)),"x",""))</f>
        <v/>
      </c>
      <c r="T1422" s="525" t="str">
        <f>IF(ISERROR(FIND('112'!$M$9,G1422,1)),"",IF((AND(RIGHT(G1422,2)=RIGHT('112'!$M$9,2),B1422&lt;'112'!$N$8,$M1422='112'!$I$6)),"x",""))</f>
        <v/>
      </c>
      <c r="U1422" s="525" t="str">
        <f>IF(AND(B1422&gt;='IN-NX'!$P$3,B1422&lt;='IN-NX'!$Q$3,'IN-NX'!$D$7=D1422,OR(LEFT(L1422,2)="15",AND(LEFT(M1422,2)&lt;&gt;"15",LEFT(M1422,2)&lt;&gt;"33"))),"x","")</f>
        <v/>
      </c>
      <c r="V1422" s="525" t="str">
        <f>IF(AND(OR(LEFT(TH!L1422,2)="15",LEFT(TH!M1422,2)="15"),'152-CT'!$J$8=TH!F1422),"x","")</f>
        <v/>
      </c>
      <c r="W1422" s="525" t="str">
        <f>IF(AND(OR(LEFT(TH!L1422,2)="15",LEFT(TH!M1422,2)="15"),TK!$E$7=TH!F1422),"x","")</f>
        <v/>
      </c>
      <c r="X1422" s="525" t="str">
        <f>IF(AND('341-CT'!$E$9=H1422,OR(LEFT(L1422,3)=$X$7,LEFT(M1422,3)=$X$7)),"x","")</f>
        <v/>
      </c>
      <c r="Y1422" s="525" t="str">
        <f>IF(OR(TH!L1422=TH!$Y$7,M1422=TH!$Y$7),"x","")</f>
        <v/>
      </c>
      <c r="Z1422" s="525" t="str">
        <f>IF(AND(B1422&lt;=NKC!$N$8,B1422&gt;=NKC!$M$8),"x","")</f>
        <v>x</v>
      </c>
      <c r="AA1422" s="535">
        <v>1</v>
      </c>
      <c r="AB1422" s="527"/>
      <c r="AC1422" s="576"/>
      <c r="AD1422" s="576"/>
      <c r="AE1422" s="576"/>
    </row>
    <row r="1423" spans="1:31" s="503" customFormat="1" ht="15.75" customHeight="1">
      <c r="A1423" s="517" t="str">
        <f>IF(B1423&lt;&gt;"",IF(AND(B1423&gt;=_TM1,B1423&lt;=_TM2,OR(TH!L1423="1111",TH!M1423="1111")),TH!D1423,""),"")</f>
        <v/>
      </c>
      <c r="B1423" s="531">
        <f t="shared" si="142"/>
        <v>2</v>
      </c>
      <c r="C1423" s="315">
        <f t="shared" si="143"/>
        <v>42794</v>
      </c>
      <c r="D1423" s="537" t="s">
        <v>976</v>
      </c>
      <c r="E1423" s="315">
        <v>42794</v>
      </c>
      <c r="F1423" s="249" t="s">
        <v>504</v>
      </c>
      <c r="G1423" s="314" t="s">
        <v>678</v>
      </c>
      <c r="H1423" s="473" t="s">
        <v>420</v>
      </c>
      <c r="I1423" s="307">
        <v>850</v>
      </c>
      <c r="J1423" s="307">
        <v>34632</v>
      </c>
      <c r="K1423" s="532">
        <f t="shared" ref="K1423:K1454" si="146">ROUND(I1423*J1423,0)</f>
        <v>29437200</v>
      </c>
      <c r="L1423" s="534" t="s">
        <v>292</v>
      </c>
      <c r="M1423" s="534" t="s">
        <v>8</v>
      </c>
      <c r="N1423" s="525" t="str">
        <f>IF(AND('331-CT'!$E$7=TH!H1423,OR(L1423="331",M1423="331")),"331",IF(AND(OR(L1423="131",M1423="131"),H1423='131-CT'!$E$7),"131",""))</f>
        <v/>
      </c>
      <c r="O1423" s="525" t="str">
        <f>IF(AND($B1423&gt;='111'!$N$11,$B1423&lt;='111'!$O$11,OR($L1423=$O$7,$M1423=$O$7)),"x","")</f>
        <v/>
      </c>
      <c r="P1423" s="525" t="str">
        <f>IF(AND($L1423=$O$7,$B1423&lt;'111'!$N$11),"x","")</f>
        <v/>
      </c>
      <c r="Q1423" s="525" t="str">
        <f>IF(AND($M1423=$O$7,$B1423&lt;'111'!$N$11),"x","")</f>
        <v/>
      </c>
      <c r="R1423" s="525" t="str">
        <f>IF(ISERROR(FIND('112'!$M$9,G1423,1)),"",IF((AND(FIND('112'!$M$9,G1423,1)&gt;=1,$B1423&gt;='112'!$N$8,$B1423&lt;='112'!$O$8,OR($L1423='112'!$I$6,$M1423='112'!$I$6))),"x",""))</f>
        <v/>
      </c>
      <c r="S1423" s="525" t="str">
        <f>IF(ISERROR(FIND('112'!$M$9,G1423,1)),"",IF((AND(LEFT(G1423,2)=LEFT('112'!$M$9,2),B1423&lt;'112'!$N$8,$L1423='112'!$I$6)),"x",""))</f>
        <v/>
      </c>
      <c r="T1423" s="525" t="str">
        <f>IF(ISERROR(FIND('112'!$M$9,G1423,1)),"",IF((AND(RIGHT(G1423,2)=RIGHT('112'!$M$9,2),B1423&lt;'112'!$N$8,$M1423='112'!$I$6)),"x",""))</f>
        <v/>
      </c>
      <c r="U1423" s="525" t="str">
        <f>IF(AND(B1423&gt;='IN-NX'!$P$3,B1423&lt;='IN-NX'!$Q$3,'IN-NX'!$D$7=D1423,OR(LEFT(L1423,2)="15",AND(LEFT(M1423,2)&lt;&gt;"15",LEFT(M1423,2)&lt;&gt;"33"))),"x","")</f>
        <v/>
      </c>
      <c r="V1423" s="525" t="str">
        <f>IF(AND(OR(LEFT(TH!L1423,2)="15",LEFT(TH!M1423,2)="15"),'152-CT'!$J$8=TH!F1423),"x","")</f>
        <v/>
      </c>
      <c r="W1423" s="525" t="str">
        <f>IF(AND(OR(LEFT(TH!L1423,2)="15",LEFT(TH!M1423,2)="15"),TK!$E$7=TH!F1423),"x","")</f>
        <v/>
      </c>
      <c r="X1423" s="525" t="str">
        <f>IF(AND('341-CT'!$E$9=H1423,OR(LEFT(L1423,3)=$X$7,LEFT(M1423,3)=$X$7)),"x","")</f>
        <v/>
      </c>
      <c r="Y1423" s="525" t="str">
        <f>IF(OR(TH!L1423=TH!$Y$7,M1423=TH!$Y$7),"x","")</f>
        <v/>
      </c>
      <c r="Z1423" s="525" t="str">
        <f>IF(AND(B1423&lt;=NKC!$N$8,B1423&gt;=NKC!$M$8),"x","")</f>
        <v>x</v>
      </c>
      <c r="AA1423" s="535">
        <v>1</v>
      </c>
    </row>
    <row r="1424" spans="1:31" s="503" customFormat="1" ht="15.75" customHeight="1">
      <c r="A1424" s="517" t="str">
        <f>IF(B1424&lt;&gt;"",IF(AND(B1424&gt;=_TM1,B1424&lt;=_TM2,OR(TH!L1424="1111",TH!M1424="1111")),TH!D1424,""),"")</f>
        <v/>
      </c>
      <c r="B1424" s="531">
        <f t="shared" si="142"/>
        <v>2</v>
      </c>
      <c r="C1424" s="315">
        <f t="shared" si="143"/>
        <v>42794</v>
      </c>
      <c r="D1424" s="537" t="s">
        <v>976</v>
      </c>
      <c r="E1424" s="315">
        <v>42794</v>
      </c>
      <c r="F1424" s="249" t="s">
        <v>627</v>
      </c>
      <c r="G1424" s="314" t="s">
        <v>610</v>
      </c>
      <c r="H1424" s="473" t="s">
        <v>420</v>
      </c>
      <c r="I1424" s="307">
        <v>234</v>
      </c>
      <c r="J1424" s="307">
        <v>48822</v>
      </c>
      <c r="K1424" s="532">
        <f t="shared" si="146"/>
        <v>11424348</v>
      </c>
      <c r="L1424" s="534" t="s">
        <v>292</v>
      </c>
      <c r="M1424" s="534" t="s">
        <v>8</v>
      </c>
      <c r="N1424" s="525" t="str">
        <f>IF(AND('331-CT'!$E$7=TH!H1424,OR(L1424="331",M1424="331")),"331",IF(AND(OR(L1424="131",M1424="131"),H1424='131-CT'!$E$7),"131",""))</f>
        <v/>
      </c>
      <c r="O1424" s="525" t="str">
        <f>IF(AND($B1424&gt;='111'!$N$11,$B1424&lt;='111'!$O$11,OR($L1424=$O$7,$M1424=$O$7)),"x","")</f>
        <v/>
      </c>
      <c r="P1424" s="525" t="str">
        <f>IF(AND($L1424=$O$7,$B1424&lt;'111'!$N$11),"x","")</f>
        <v/>
      </c>
      <c r="Q1424" s="525" t="str">
        <f>IF(AND($M1424=$O$7,$B1424&lt;'111'!$N$11),"x","")</f>
        <v/>
      </c>
      <c r="R1424" s="525" t="str">
        <f>IF(ISERROR(FIND('112'!$M$9,G1424,1)),"",IF((AND(FIND('112'!$M$9,G1424,1)&gt;=1,$B1424&gt;='112'!$N$8,$B1424&lt;='112'!$O$8,OR($L1424='112'!$I$6,$M1424='112'!$I$6))),"x",""))</f>
        <v/>
      </c>
      <c r="S1424" s="525" t="str">
        <f>IF(ISERROR(FIND('112'!$M$9,G1424,1)),"",IF((AND(LEFT(G1424,2)=LEFT('112'!$M$9,2),B1424&lt;'112'!$N$8,$L1424='112'!$I$6)),"x",""))</f>
        <v/>
      </c>
      <c r="T1424" s="525" t="str">
        <f>IF(ISERROR(FIND('112'!$M$9,G1424,1)),"",IF((AND(RIGHT(G1424,2)=RIGHT('112'!$M$9,2),B1424&lt;'112'!$N$8,$M1424='112'!$I$6)),"x",""))</f>
        <v/>
      </c>
      <c r="U1424" s="525" t="str">
        <f>IF(AND(B1424&gt;='IN-NX'!$P$3,B1424&lt;='IN-NX'!$Q$3,'IN-NX'!$D$7=D1424,OR(LEFT(L1424,2)="15",AND(LEFT(M1424,2)&lt;&gt;"15",LEFT(M1424,2)&lt;&gt;"33"))),"x","")</f>
        <v/>
      </c>
      <c r="V1424" s="525" t="str">
        <f>IF(AND(OR(LEFT(TH!L1424,2)="15",LEFT(TH!M1424,2)="15"),'152-CT'!$J$8=TH!F1424),"x","")</f>
        <v/>
      </c>
      <c r="W1424" s="525" t="str">
        <f>IF(AND(OR(LEFT(TH!L1424,2)="15",LEFT(TH!M1424,2)="15"),TK!$E$7=TH!F1424),"x","")</f>
        <v/>
      </c>
      <c r="X1424" s="525" t="str">
        <f>IF(AND('341-CT'!$E$9=H1424,OR(LEFT(L1424,3)=$X$7,LEFT(M1424,3)=$X$7)),"x","")</f>
        <v/>
      </c>
      <c r="Y1424" s="525" t="str">
        <f>IF(OR(TH!L1424=TH!$Y$7,M1424=TH!$Y$7),"x","")</f>
        <v/>
      </c>
      <c r="Z1424" s="525" t="str">
        <f>IF(AND(B1424&lt;=NKC!$N$8,B1424&gt;=NKC!$M$8),"x","")</f>
        <v>x</v>
      </c>
      <c r="AA1424" s="535">
        <v>1</v>
      </c>
    </row>
    <row r="1425" spans="1:27" s="503" customFormat="1" ht="15.75" customHeight="1">
      <c r="A1425" s="517" t="str">
        <f>IF(B1425&lt;&gt;"",IF(AND(B1425&gt;=_TM1,B1425&lt;=_TM2,OR(TH!L1425="1111",TH!M1425="1111")),TH!D1425,""),"")</f>
        <v/>
      </c>
      <c r="B1425" s="531">
        <f t="shared" si="142"/>
        <v>2</v>
      </c>
      <c r="C1425" s="315">
        <f t="shared" si="143"/>
        <v>42794</v>
      </c>
      <c r="D1425" s="537" t="s">
        <v>976</v>
      </c>
      <c r="E1425" s="315">
        <v>42794</v>
      </c>
      <c r="F1425" s="249" t="s">
        <v>741</v>
      </c>
      <c r="G1425" s="314" t="s">
        <v>610</v>
      </c>
      <c r="H1425" s="473" t="s">
        <v>420</v>
      </c>
      <c r="I1425" s="307">
        <v>4</v>
      </c>
      <c r="J1425" s="307">
        <v>210433</v>
      </c>
      <c r="K1425" s="532">
        <f t="shared" si="146"/>
        <v>841732</v>
      </c>
      <c r="L1425" s="534" t="s">
        <v>292</v>
      </c>
      <c r="M1425" s="534" t="s">
        <v>8</v>
      </c>
      <c r="N1425" s="525" t="str">
        <f>IF(AND('331-CT'!$E$7=TH!H1425,OR(L1425="331",M1425="331")),"331",IF(AND(OR(L1425="131",M1425="131"),H1425='131-CT'!$E$7),"131",""))</f>
        <v/>
      </c>
      <c r="O1425" s="525" t="str">
        <f>IF(AND($B1425&gt;='111'!$N$11,$B1425&lt;='111'!$O$11,OR($L1425=$O$7,$M1425=$O$7)),"x","")</f>
        <v/>
      </c>
      <c r="P1425" s="525" t="str">
        <f>IF(AND($L1425=$O$7,$B1425&lt;'111'!$N$11),"x","")</f>
        <v/>
      </c>
      <c r="Q1425" s="525" t="str">
        <f>IF(AND($M1425=$O$7,$B1425&lt;'111'!$N$11),"x","")</f>
        <v/>
      </c>
      <c r="R1425" s="525" t="str">
        <f>IF(ISERROR(FIND('112'!$M$9,G1425,1)),"",IF((AND(FIND('112'!$M$9,G1425,1)&gt;=1,$B1425&gt;='112'!$N$8,$B1425&lt;='112'!$O$8,OR($L1425='112'!$I$6,$M1425='112'!$I$6))),"x",""))</f>
        <v/>
      </c>
      <c r="S1425" s="525" t="str">
        <f>IF(ISERROR(FIND('112'!$M$9,G1425,1)),"",IF((AND(LEFT(G1425,2)=LEFT('112'!$M$9,2),B1425&lt;'112'!$N$8,$L1425='112'!$I$6)),"x",""))</f>
        <v/>
      </c>
      <c r="T1425" s="525" t="str">
        <f>IF(ISERROR(FIND('112'!$M$9,G1425,1)),"",IF((AND(RIGHT(G1425,2)=RIGHT('112'!$M$9,2),B1425&lt;'112'!$N$8,$M1425='112'!$I$6)),"x",""))</f>
        <v/>
      </c>
      <c r="U1425" s="525" t="str">
        <f>IF(AND(B1425&gt;='IN-NX'!$P$3,B1425&lt;='IN-NX'!$Q$3,'IN-NX'!$D$7=D1425,OR(LEFT(L1425,2)="15",AND(LEFT(M1425,2)&lt;&gt;"15",LEFT(M1425,2)&lt;&gt;"33"))),"x","")</f>
        <v/>
      </c>
      <c r="V1425" s="525" t="str">
        <f>IF(AND(OR(LEFT(TH!L1425,2)="15",LEFT(TH!M1425,2)="15"),'152-CT'!$J$8=TH!F1425),"x","")</f>
        <v/>
      </c>
      <c r="W1425" s="525" t="str">
        <f>IF(AND(OR(LEFT(TH!L1425,2)="15",LEFT(TH!M1425,2)="15"),TK!$E$7=TH!F1425),"x","")</f>
        <v/>
      </c>
      <c r="X1425" s="525" t="str">
        <f>IF(AND('341-CT'!$E$9=H1425,OR(LEFT(L1425,3)=$X$7,LEFT(M1425,3)=$X$7)),"x","")</f>
        <v/>
      </c>
      <c r="Y1425" s="525" t="str">
        <f>IF(OR(TH!L1425=TH!$Y$7,M1425=TH!$Y$7),"x","")</f>
        <v/>
      </c>
      <c r="Z1425" s="525" t="str">
        <f>IF(AND(B1425&lt;=NKC!$N$8,B1425&gt;=NKC!$M$8),"x","")</f>
        <v>x</v>
      </c>
      <c r="AA1425" s="535">
        <v>1</v>
      </c>
    </row>
    <row r="1426" spans="1:27" s="503" customFormat="1" ht="15.75" customHeight="1">
      <c r="A1426" s="517" t="str">
        <f>IF(B1426&lt;&gt;"",IF(AND(B1426&gt;=_TM1,B1426&lt;=_TM2,OR(TH!L1426="1111",TH!M1426="1111")),TH!D1426,""),"")</f>
        <v/>
      </c>
      <c r="B1426" s="531">
        <f t="shared" si="142"/>
        <v>2</v>
      </c>
      <c r="C1426" s="315">
        <f t="shared" si="143"/>
        <v>42794</v>
      </c>
      <c r="D1426" s="537" t="s">
        <v>976</v>
      </c>
      <c r="E1426" s="315">
        <v>42794</v>
      </c>
      <c r="F1426" s="249" t="s">
        <v>759</v>
      </c>
      <c r="G1426" s="314" t="s">
        <v>610</v>
      </c>
      <c r="H1426" s="473" t="s">
        <v>420</v>
      </c>
      <c r="I1426" s="307">
        <v>100</v>
      </c>
      <c r="J1426" s="307">
        <v>31841</v>
      </c>
      <c r="K1426" s="532">
        <f t="shared" si="146"/>
        <v>3184100</v>
      </c>
      <c r="L1426" s="534" t="s">
        <v>292</v>
      </c>
      <c r="M1426" s="534" t="s">
        <v>8</v>
      </c>
      <c r="N1426" s="525" t="str">
        <f>IF(AND('331-CT'!$E$7=TH!H1426,OR(L1426="331",M1426="331")),"331",IF(AND(OR(L1426="131",M1426="131"),H1426='131-CT'!$E$7),"131",""))</f>
        <v/>
      </c>
      <c r="O1426" s="525" t="str">
        <f>IF(AND($B1426&gt;='111'!$N$11,$B1426&lt;='111'!$O$11,OR($L1426=$O$7,$M1426=$O$7)),"x","")</f>
        <v/>
      </c>
      <c r="P1426" s="525" t="str">
        <f>IF(AND($L1426=$O$7,$B1426&lt;'111'!$N$11),"x","")</f>
        <v/>
      </c>
      <c r="Q1426" s="525" t="str">
        <f>IF(AND($M1426=$O$7,$B1426&lt;'111'!$N$11),"x","")</f>
        <v/>
      </c>
      <c r="R1426" s="525" t="str">
        <f>IF(ISERROR(FIND('112'!$M$9,G1426,1)),"",IF((AND(FIND('112'!$M$9,G1426,1)&gt;=1,$B1426&gt;='112'!$N$8,$B1426&lt;='112'!$O$8,OR($L1426='112'!$I$6,$M1426='112'!$I$6))),"x",""))</f>
        <v/>
      </c>
      <c r="S1426" s="525" t="str">
        <f>IF(ISERROR(FIND('112'!$M$9,G1426,1)),"",IF((AND(LEFT(G1426,2)=LEFT('112'!$M$9,2),B1426&lt;'112'!$N$8,$L1426='112'!$I$6)),"x",""))</f>
        <v/>
      </c>
      <c r="T1426" s="525" t="str">
        <f>IF(ISERROR(FIND('112'!$M$9,G1426,1)),"",IF((AND(RIGHT(G1426,2)=RIGHT('112'!$M$9,2),B1426&lt;'112'!$N$8,$M1426='112'!$I$6)),"x",""))</f>
        <v/>
      </c>
      <c r="U1426" s="525" t="str">
        <f>IF(AND(B1426&gt;='IN-NX'!$P$3,B1426&lt;='IN-NX'!$Q$3,'IN-NX'!$D$7=D1426,OR(LEFT(L1426,2)="15",AND(LEFT(M1426,2)&lt;&gt;"15",LEFT(M1426,2)&lt;&gt;"33"))),"x","")</f>
        <v/>
      </c>
      <c r="V1426" s="525" t="str">
        <f>IF(AND(OR(LEFT(TH!L1426,2)="15",LEFT(TH!M1426,2)="15"),'152-CT'!$J$8=TH!F1426),"x","")</f>
        <v/>
      </c>
      <c r="W1426" s="525" t="str">
        <f>IF(AND(OR(LEFT(TH!L1426,2)="15",LEFT(TH!M1426,2)="15"),TK!$E$7=TH!F1426),"x","")</f>
        <v/>
      </c>
      <c r="X1426" s="525" t="str">
        <f>IF(AND('341-CT'!$E$9=H1426,OR(LEFT(L1426,3)=$X$7,LEFT(M1426,3)=$X$7)),"x","")</f>
        <v/>
      </c>
      <c r="Y1426" s="525" t="str">
        <f>IF(OR(TH!L1426=TH!$Y$7,M1426=TH!$Y$7),"x","")</f>
        <v/>
      </c>
      <c r="Z1426" s="525" t="str">
        <f>IF(AND(B1426&lt;=NKC!$N$8,B1426&gt;=NKC!$M$8),"x","")</f>
        <v>x</v>
      </c>
      <c r="AA1426" s="535">
        <v>1</v>
      </c>
    </row>
    <row r="1427" spans="1:27" s="503" customFormat="1" ht="15.75" customHeight="1">
      <c r="A1427" s="517" t="str">
        <f>IF(B1427&lt;&gt;"",IF(AND(B1427&gt;=_TM1,B1427&lt;=_TM2,OR(TH!L1427="1111",TH!M1427="1111")),TH!D1427,""),"")</f>
        <v/>
      </c>
      <c r="B1427" s="531">
        <f t="shared" si="142"/>
        <v>2</v>
      </c>
      <c r="C1427" s="315">
        <f t="shared" si="143"/>
        <v>42794</v>
      </c>
      <c r="D1427" s="537" t="s">
        <v>976</v>
      </c>
      <c r="E1427" s="315">
        <v>42794</v>
      </c>
      <c r="F1427" s="249" t="s">
        <v>563</v>
      </c>
      <c r="G1427" s="314" t="s">
        <v>610</v>
      </c>
      <c r="H1427" s="473" t="s">
        <v>420</v>
      </c>
      <c r="I1427" s="307">
        <v>100</v>
      </c>
      <c r="J1427" s="307">
        <v>28492</v>
      </c>
      <c r="K1427" s="532">
        <f t="shared" si="146"/>
        <v>2849200</v>
      </c>
      <c r="L1427" s="534" t="s">
        <v>292</v>
      </c>
      <c r="M1427" s="534" t="s">
        <v>8</v>
      </c>
      <c r="N1427" s="525" t="str">
        <f>IF(AND('331-CT'!$E$7=TH!H1427,OR(L1427="331",M1427="331")),"331",IF(AND(OR(L1427="131",M1427="131"),H1427='131-CT'!$E$7),"131",""))</f>
        <v/>
      </c>
      <c r="O1427" s="525" t="str">
        <f>IF(AND($B1427&gt;='111'!$N$11,$B1427&lt;='111'!$O$11,OR($L1427=$O$7,$M1427=$O$7)),"x","")</f>
        <v/>
      </c>
      <c r="P1427" s="525" t="str">
        <f>IF(AND($L1427=$O$7,$B1427&lt;'111'!$N$11),"x","")</f>
        <v/>
      </c>
      <c r="Q1427" s="525" t="str">
        <f>IF(AND($M1427=$O$7,$B1427&lt;'111'!$N$11),"x","")</f>
        <v/>
      </c>
      <c r="R1427" s="525" t="str">
        <f>IF(ISERROR(FIND('112'!$M$9,G1427,1)),"",IF((AND(FIND('112'!$M$9,G1427,1)&gt;=1,$B1427&gt;='112'!$N$8,$B1427&lt;='112'!$O$8,OR($L1427='112'!$I$6,$M1427='112'!$I$6))),"x",""))</f>
        <v/>
      </c>
      <c r="S1427" s="525" t="str">
        <f>IF(ISERROR(FIND('112'!$M$9,G1427,1)),"",IF((AND(LEFT(G1427,2)=LEFT('112'!$M$9,2),B1427&lt;'112'!$N$8,$L1427='112'!$I$6)),"x",""))</f>
        <v/>
      </c>
      <c r="T1427" s="525" t="str">
        <f>IF(ISERROR(FIND('112'!$M$9,G1427,1)),"",IF((AND(RIGHT(G1427,2)=RIGHT('112'!$M$9,2),B1427&lt;'112'!$N$8,$M1427='112'!$I$6)),"x",""))</f>
        <v/>
      </c>
      <c r="U1427" s="525" t="str">
        <f>IF(AND(B1427&gt;='IN-NX'!$P$3,B1427&lt;='IN-NX'!$Q$3,'IN-NX'!$D$7=D1427,OR(LEFT(L1427,2)="15",AND(LEFT(M1427,2)&lt;&gt;"15",LEFT(M1427,2)&lt;&gt;"33"))),"x","")</f>
        <v/>
      </c>
      <c r="V1427" s="525" t="str">
        <f>IF(AND(OR(LEFT(TH!L1427,2)="15",LEFT(TH!M1427,2)="15"),'152-CT'!$J$8=TH!F1427),"x","")</f>
        <v/>
      </c>
      <c r="W1427" s="525" t="str">
        <f>IF(AND(OR(LEFT(TH!L1427,2)="15",LEFT(TH!M1427,2)="15"),TK!$E$7=TH!F1427),"x","")</f>
        <v/>
      </c>
      <c r="X1427" s="525" t="str">
        <f>IF(AND('341-CT'!$E$9=H1427,OR(LEFT(L1427,3)=$X$7,LEFT(M1427,3)=$X$7)),"x","")</f>
        <v/>
      </c>
      <c r="Y1427" s="525" t="str">
        <f>IF(OR(TH!L1427=TH!$Y$7,M1427=TH!$Y$7),"x","")</f>
        <v/>
      </c>
      <c r="Z1427" s="525" t="str">
        <f>IF(AND(B1427&lt;=NKC!$N$8,B1427&gt;=NKC!$M$8),"x","")</f>
        <v>x</v>
      </c>
      <c r="AA1427" s="535">
        <v>1</v>
      </c>
    </row>
    <row r="1428" spans="1:27" s="503" customFormat="1" ht="15.75" customHeight="1">
      <c r="A1428" s="517" t="str">
        <f>IF(B1428&lt;&gt;"",IF(AND(B1428&gt;=_TM1,B1428&lt;=_TM2,OR(TH!L1428="1111",TH!M1428="1111")),TH!D1428,""),"")</f>
        <v/>
      </c>
      <c r="B1428" s="531">
        <f t="shared" ref="B1428:B1491" si="147">IF(C1428&lt;&gt;"",MONTH(C1428),"")</f>
        <v>2</v>
      </c>
      <c r="C1428" s="315">
        <f t="shared" ref="C1428:C1491" si="148">E1428</f>
        <v>42794</v>
      </c>
      <c r="D1428" s="537" t="s">
        <v>976</v>
      </c>
      <c r="E1428" s="315">
        <v>42794</v>
      </c>
      <c r="F1428" s="249" t="s">
        <v>564</v>
      </c>
      <c r="G1428" s="314" t="s">
        <v>610</v>
      </c>
      <c r="H1428" s="473" t="s">
        <v>420</v>
      </c>
      <c r="I1428" s="307">
        <v>18</v>
      </c>
      <c r="J1428" s="307">
        <v>20580</v>
      </c>
      <c r="K1428" s="532">
        <f t="shared" si="146"/>
        <v>370440</v>
      </c>
      <c r="L1428" s="534" t="s">
        <v>292</v>
      </c>
      <c r="M1428" s="534" t="s">
        <v>8</v>
      </c>
      <c r="N1428" s="525" t="str">
        <f>IF(AND('331-CT'!$E$7=TH!H1428,OR(L1428="331",M1428="331")),"331",IF(AND(OR(L1428="131",M1428="131"),H1428='131-CT'!$E$7),"131",""))</f>
        <v/>
      </c>
      <c r="O1428" s="525" t="str">
        <f>IF(AND($B1428&gt;='111'!$N$11,$B1428&lt;='111'!$O$11,OR($L1428=$O$7,$M1428=$O$7)),"x","")</f>
        <v/>
      </c>
      <c r="P1428" s="525" t="str">
        <f>IF(AND($L1428=$O$7,$B1428&lt;'111'!$N$11),"x","")</f>
        <v/>
      </c>
      <c r="Q1428" s="525" t="str">
        <f>IF(AND($M1428=$O$7,$B1428&lt;'111'!$N$11),"x","")</f>
        <v/>
      </c>
      <c r="R1428" s="525" t="str">
        <f>IF(ISERROR(FIND('112'!$M$9,G1428,1)),"",IF((AND(FIND('112'!$M$9,G1428,1)&gt;=1,$B1428&gt;='112'!$N$8,$B1428&lt;='112'!$O$8,OR($L1428='112'!$I$6,$M1428='112'!$I$6))),"x",""))</f>
        <v/>
      </c>
      <c r="S1428" s="525" t="str">
        <f>IF(ISERROR(FIND('112'!$M$9,G1428,1)),"",IF((AND(LEFT(G1428,2)=LEFT('112'!$M$9,2),B1428&lt;'112'!$N$8,$L1428='112'!$I$6)),"x",""))</f>
        <v/>
      </c>
      <c r="T1428" s="525" t="str">
        <f>IF(ISERROR(FIND('112'!$M$9,G1428,1)),"",IF((AND(RIGHT(G1428,2)=RIGHT('112'!$M$9,2),B1428&lt;'112'!$N$8,$M1428='112'!$I$6)),"x",""))</f>
        <v/>
      </c>
      <c r="U1428" s="525" t="str">
        <f>IF(AND(B1428&gt;='IN-NX'!$P$3,B1428&lt;='IN-NX'!$Q$3,'IN-NX'!$D$7=D1428,OR(LEFT(L1428,2)="15",AND(LEFT(M1428,2)&lt;&gt;"15",LEFT(M1428,2)&lt;&gt;"33"))),"x","")</f>
        <v/>
      </c>
      <c r="V1428" s="525" t="str">
        <f>IF(AND(OR(LEFT(TH!L1428,2)="15",LEFT(TH!M1428,2)="15"),'152-CT'!$J$8=TH!F1428),"x","")</f>
        <v/>
      </c>
      <c r="W1428" s="525" t="str">
        <f>IF(AND(OR(LEFT(TH!L1428,2)="15",LEFT(TH!M1428,2)="15"),TK!$E$7=TH!F1428),"x","")</f>
        <v/>
      </c>
      <c r="X1428" s="525" t="str">
        <f>IF(AND('341-CT'!$E$9=H1428,OR(LEFT(L1428,3)=$X$7,LEFT(M1428,3)=$X$7)),"x","")</f>
        <v/>
      </c>
      <c r="Y1428" s="525" t="str">
        <f>IF(OR(TH!L1428=TH!$Y$7,M1428=TH!$Y$7),"x","")</f>
        <v/>
      </c>
      <c r="Z1428" s="525" t="str">
        <f>IF(AND(B1428&lt;=NKC!$N$8,B1428&gt;=NKC!$M$8),"x","")</f>
        <v>x</v>
      </c>
      <c r="AA1428" s="535">
        <v>1</v>
      </c>
    </row>
    <row r="1429" spans="1:27" s="503" customFormat="1" ht="15.75" customHeight="1">
      <c r="A1429" s="517" t="str">
        <f>IF(B1429&lt;&gt;"",IF(AND(B1429&gt;=_TM1,B1429&lt;=_TM2,OR(TH!L1429="1111",TH!M1429="1111")),TH!D1429,""),"")</f>
        <v/>
      </c>
      <c r="B1429" s="531">
        <f t="shared" si="147"/>
        <v>2</v>
      </c>
      <c r="C1429" s="315">
        <f t="shared" si="148"/>
        <v>42794</v>
      </c>
      <c r="D1429" s="537" t="s">
        <v>976</v>
      </c>
      <c r="E1429" s="315">
        <v>42794</v>
      </c>
      <c r="F1429" s="249" t="s">
        <v>704</v>
      </c>
      <c r="G1429" s="314" t="s">
        <v>610</v>
      </c>
      <c r="H1429" s="473" t="s">
        <v>420</v>
      </c>
      <c r="I1429" s="307">
        <v>90</v>
      </c>
      <c r="J1429" s="307">
        <v>17250</v>
      </c>
      <c r="K1429" s="532">
        <f t="shared" si="146"/>
        <v>1552500</v>
      </c>
      <c r="L1429" s="534" t="s">
        <v>292</v>
      </c>
      <c r="M1429" s="534" t="s">
        <v>8</v>
      </c>
      <c r="N1429" s="525" t="str">
        <f>IF(AND('331-CT'!$E$7=TH!H1429,OR(L1429="331",M1429="331")),"331",IF(AND(OR(L1429="131",M1429="131"),H1429='131-CT'!$E$7),"131",""))</f>
        <v/>
      </c>
      <c r="O1429" s="525" t="str">
        <f>IF(AND($B1429&gt;='111'!$N$11,$B1429&lt;='111'!$O$11,OR($L1429=$O$7,$M1429=$O$7)),"x","")</f>
        <v/>
      </c>
      <c r="P1429" s="525" t="str">
        <f>IF(AND($L1429=$O$7,$B1429&lt;'111'!$N$11),"x","")</f>
        <v/>
      </c>
      <c r="Q1429" s="525" t="str">
        <f>IF(AND($M1429=$O$7,$B1429&lt;'111'!$N$11),"x","")</f>
        <v/>
      </c>
      <c r="R1429" s="525" t="str">
        <f>IF(ISERROR(FIND('112'!$M$9,G1429,1)),"",IF((AND(FIND('112'!$M$9,G1429,1)&gt;=1,$B1429&gt;='112'!$N$8,$B1429&lt;='112'!$O$8,OR($L1429='112'!$I$6,$M1429='112'!$I$6))),"x",""))</f>
        <v/>
      </c>
      <c r="S1429" s="525" t="str">
        <f>IF(ISERROR(FIND('112'!$M$9,G1429,1)),"",IF((AND(LEFT(G1429,2)=LEFT('112'!$M$9,2),B1429&lt;'112'!$N$8,$L1429='112'!$I$6)),"x",""))</f>
        <v/>
      </c>
      <c r="T1429" s="525" t="str">
        <f>IF(ISERROR(FIND('112'!$M$9,G1429,1)),"",IF((AND(RIGHT(G1429,2)=RIGHT('112'!$M$9,2),B1429&lt;'112'!$N$8,$M1429='112'!$I$6)),"x",""))</f>
        <v/>
      </c>
      <c r="U1429" s="525" t="str">
        <f>IF(AND(B1429&gt;='IN-NX'!$P$3,B1429&lt;='IN-NX'!$Q$3,'IN-NX'!$D$7=D1429,OR(LEFT(L1429,2)="15",AND(LEFT(M1429,2)&lt;&gt;"15",LEFT(M1429,2)&lt;&gt;"33"))),"x","")</f>
        <v/>
      </c>
      <c r="V1429" s="525" t="str">
        <f>IF(AND(OR(LEFT(TH!L1429,2)="15",LEFT(TH!M1429,2)="15"),'152-CT'!$J$8=TH!F1429),"x","")</f>
        <v/>
      </c>
      <c r="W1429" s="525" t="str">
        <f>IF(AND(OR(LEFT(TH!L1429,2)="15",LEFT(TH!M1429,2)="15"),TK!$E$7=TH!F1429),"x","")</f>
        <v/>
      </c>
      <c r="X1429" s="525" t="str">
        <f>IF(AND('341-CT'!$E$9=H1429,OR(LEFT(L1429,3)=$X$7,LEFT(M1429,3)=$X$7)),"x","")</f>
        <v/>
      </c>
      <c r="Y1429" s="525" t="str">
        <f>IF(OR(TH!L1429=TH!$Y$7,M1429=TH!$Y$7),"x","")</f>
        <v/>
      </c>
      <c r="Z1429" s="525" t="str">
        <f>IF(AND(B1429&lt;=NKC!$N$8,B1429&gt;=NKC!$M$8),"x","")</f>
        <v>x</v>
      </c>
      <c r="AA1429" s="535">
        <v>1</v>
      </c>
    </row>
    <row r="1430" spans="1:27" s="503" customFormat="1" ht="15.75" customHeight="1">
      <c r="A1430" s="517" t="str">
        <f>IF(B1430&lt;&gt;"",IF(AND(B1430&gt;=_TM1,B1430&lt;=_TM2,OR(TH!L1430="1111",TH!M1430="1111")),TH!D1430,""),"")</f>
        <v/>
      </c>
      <c r="B1430" s="531">
        <f t="shared" si="147"/>
        <v>2</v>
      </c>
      <c r="C1430" s="315">
        <f t="shared" si="148"/>
        <v>42794</v>
      </c>
      <c r="D1430" s="537" t="s">
        <v>976</v>
      </c>
      <c r="E1430" s="315">
        <v>42794</v>
      </c>
      <c r="F1430" s="249" t="s">
        <v>709</v>
      </c>
      <c r="G1430" s="314" t="s">
        <v>610</v>
      </c>
      <c r="H1430" s="473" t="s">
        <v>420</v>
      </c>
      <c r="I1430" s="307">
        <v>24</v>
      </c>
      <c r="J1430" s="307">
        <v>40351</v>
      </c>
      <c r="K1430" s="532">
        <f t="shared" si="146"/>
        <v>968424</v>
      </c>
      <c r="L1430" s="534" t="s">
        <v>292</v>
      </c>
      <c r="M1430" s="534" t="s">
        <v>8</v>
      </c>
      <c r="N1430" s="525" t="str">
        <f>IF(AND('331-CT'!$E$7=TH!H1430,OR(L1430="331",M1430="331")),"331",IF(AND(OR(L1430="131",M1430="131"),H1430='131-CT'!$E$7),"131",""))</f>
        <v/>
      </c>
      <c r="O1430" s="525" t="str">
        <f>IF(AND($B1430&gt;='111'!$N$11,$B1430&lt;='111'!$O$11,OR($L1430=$O$7,$M1430=$O$7)),"x","")</f>
        <v/>
      </c>
      <c r="P1430" s="525" t="str">
        <f>IF(AND($L1430=$O$7,$B1430&lt;'111'!$N$11),"x","")</f>
        <v/>
      </c>
      <c r="Q1430" s="525" t="str">
        <f>IF(AND($M1430=$O$7,$B1430&lt;'111'!$N$11),"x","")</f>
        <v/>
      </c>
      <c r="R1430" s="525" t="str">
        <f>IF(ISERROR(FIND('112'!$M$9,G1430,1)),"",IF((AND(FIND('112'!$M$9,G1430,1)&gt;=1,$B1430&gt;='112'!$N$8,$B1430&lt;='112'!$O$8,OR($L1430='112'!$I$6,$M1430='112'!$I$6))),"x",""))</f>
        <v/>
      </c>
      <c r="S1430" s="525" t="str">
        <f>IF(ISERROR(FIND('112'!$M$9,G1430,1)),"",IF((AND(LEFT(G1430,2)=LEFT('112'!$M$9,2),B1430&lt;'112'!$N$8,$L1430='112'!$I$6)),"x",""))</f>
        <v/>
      </c>
      <c r="T1430" s="525" t="str">
        <f>IF(ISERROR(FIND('112'!$M$9,G1430,1)),"",IF((AND(RIGHT(G1430,2)=RIGHT('112'!$M$9,2),B1430&lt;'112'!$N$8,$M1430='112'!$I$6)),"x",""))</f>
        <v/>
      </c>
      <c r="U1430" s="525" t="str">
        <f>IF(AND(B1430&gt;='IN-NX'!$P$3,B1430&lt;='IN-NX'!$Q$3,'IN-NX'!$D$7=D1430,OR(LEFT(L1430,2)="15",AND(LEFT(M1430,2)&lt;&gt;"15",LEFT(M1430,2)&lt;&gt;"33"))),"x","")</f>
        <v/>
      </c>
      <c r="V1430" s="525" t="str">
        <f>IF(AND(OR(LEFT(TH!L1430,2)="15",LEFT(TH!M1430,2)="15"),'152-CT'!$J$8=TH!F1430),"x","")</f>
        <v/>
      </c>
      <c r="W1430" s="525" t="str">
        <f>IF(AND(OR(LEFT(TH!L1430,2)="15",LEFT(TH!M1430,2)="15"),TK!$E$7=TH!F1430),"x","")</f>
        <v/>
      </c>
      <c r="X1430" s="525" t="str">
        <f>IF(AND('341-CT'!$E$9=H1430,OR(LEFT(L1430,3)=$X$7,LEFT(M1430,3)=$X$7)),"x","")</f>
        <v/>
      </c>
      <c r="Y1430" s="525" t="str">
        <f>IF(OR(TH!L1430=TH!$Y$7,M1430=TH!$Y$7),"x","")</f>
        <v/>
      </c>
      <c r="Z1430" s="525" t="str">
        <f>IF(AND(B1430&lt;=NKC!$N$8,B1430&gt;=NKC!$M$8),"x","")</f>
        <v>x</v>
      </c>
      <c r="AA1430" s="535">
        <v>1</v>
      </c>
    </row>
    <row r="1431" spans="1:27" s="503" customFormat="1" ht="15.75" customHeight="1">
      <c r="A1431" s="517" t="str">
        <f>IF(B1431&lt;&gt;"",IF(AND(B1431&gt;=_TM1,B1431&lt;=_TM2,OR(TH!L1431="1111",TH!M1431="1111")),TH!D1431,""),"")</f>
        <v/>
      </c>
      <c r="B1431" s="531">
        <f t="shared" si="147"/>
        <v>2</v>
      </c>
      <c r="C1431" s="315">
        <f t="shared" si="148"/>
        <v>42794</v>
      </c>
      <c r="D1431" s="537" t="s">
        <v>976</v>
      </c>
      <c r="E1431" s="315">
        <v>42794</v>
      </c>
      <c r="F1431" s="249" t="s">
        <v>712</v>
      </c>
      <c r="G1431" s="314" t="s">
        <v>610</v>
      </c>
      <c r="H1431" s="473" t="s">
        <v>420</v>
      </c>
      <c r="I1431" s="307">
        <v>24</v>
      </c>
      <c r="J1431" s="307">
        <v>48271</v>
      </c>
      <c r="K1431" s="532">
        <f t="shared" si="146"/>
        <v>1158504</v>
      </c>
      <c r="L1431" s="534" t="s">
        <v>292</v>
      </c>
      <c r="M1431" s="534" t="s">
        <v>8</v>
      </c>
      <c r="N1431" s="525" t="str">
        <f>IF(AND('331-CT'!$E$7=TH!H1431,OR(L1431="331",M1431="331")),"331",IF(AND(OR(L1431="131",M1431="131"),H1431='131-CT'!$E$7),"131",""))</f>
        <v/>
      </c>
      <c r="O1431" s="525" t="str">
        <f>IF(AND($B1431&gt;='111'!$N$11,$B1431&lt;='111'!$O$11,OR($L1431=$O$7,$M1431=$O$7)),"x","")</f>
        <v/>
      </c>
      <c r="P1431" s="525" t="str">
        <f>IF(AND($L1431=$O$7,$B1431&lt;'111'!$N$11),"x","")</f>
        <v/>
      </c>
      <c r="Q1431" s="525" t="str">
        <f>IF(AND($M1431=$O$7,$B1431&lt;'111'!$N$11),"x","")</f>
        <v/>
      </c>
      <c r="R1431" s="525" t="str">
        <f>IF(ISERROR(FIND('112'!$M$9,G1431,1)),"",IF((AND(FIND('112'!$M$9,G1431,1)&gt;=1,$B1431&gt;='112'!$N$8,$B1431&lt;='112'!$O$8,OR($L1431='112'!$I$6,$M1431='112'!$I$6))),"x",""))</f>
        <v/>
      </c>
      <c r="S1431" s="525" t="str">
        <f>IF(ISERROR(FIND('112'!$M$9,G1431,1)),"",IF((AND(LEFT(G1431,2)=LEFT('112'!$M$9,2),B1431&lt;'112'!$N$8,$L1431='112'!$I$6)),"x",""))</f>
        <v/>
      </c>
      <c r="T1431" s="525" t="str">
        <f>IF(ISERROR(FIND('112'!$M$9,G1431,1)),"",IF((AND(RIGHT(G1431,2)=RIGHT('112'!$M$9,2),B1431&lt;'112'!$N$8,$M1431='112'!$I$6)),"x",""))</f>
        <v/>
      </c>
      <c r="U1431" s="525" t="str">
        <f>IF(AND(B1431&gt;='IN-NX'!$P$3,B1431&lt;='IN-NX'!$Q$3,'IN-NX'!$D$7=D1431,OR(LEFT(L1431,2)="15",AND(LEFT(M1431,2)&lt;&gt;"15",LEFT(M1431,2)&lt;&gt;"33"))),"x","")</f>
        <v/>
      </c>
      <c r="V1431" s="525" t="str">
        <f>IF(AND(OR(LEFT(TH!L1431,2)="15",LEFT(TH!M1431,2)="15"),'152-CT'!$J$8=TH!F1431),"x","")</f>
        <v/>
      </c>
      <c r="W1431" s="525" t="str">
        <f>IF(AND(OR(LEFT(TH!L1431,2)="15",LEFT(TH!M1431,2)="15"),TK!$E$7=TH!F1431),"x","")</f>
        <v/>
      </c>
      <c r="X1431" s="525" t="str">
        <f>IF(AND('341-CT'!$E$9=H1431,OR(LEFT(L1431,3)=$X$7,LEFT(M1431,3)=$X$7)),"x","")</f>
        <v/>
      </c>
      <c r="Y1431" s="525" t="str">
        <f>IF(OR(TH!L1431=TH!$Y$7,M1431=TH!$Y$7),"x","")</f>
        <v/>
      </c>
      <c r="Z1431" s="525" t="str">
        <f>IF(AND(B1431&lt;=NKC!$N$8,B1431&gt;=NKC!$M$8),"x","")</f>
        <v>x</v>
      </c>
      <c r="AA1431" s="535">
        <v>1</v>
      </c>
    </row>
    <row r="1432" spans="1:27" s="503" customFormat="1" ht="15.75" customHeight="1">
      <c r="A1432" s="517" t="str">
        <f>IF(B1432&lt;&gt;"",IF(AND(B1432&gt;=_TM1,B1432&lt;=_TM2,OR(TH!L1432="1111",TH!M1432="1111")),TH!D1432,""),"")</f>
        <v/>
      </c>
      <c r="B1432" s="531">
        <f t="shared" si="147"/>
        <v>2</v>
      </c>
      <c r="C1432" s="315">
        <f t="shared" si="148"/>
        <v>42794</v>
      </c>
      <c r="D1432" s="537" t="s">
        <v>976</v>
      </c>
      <c r="E1432" s="315">
        <v>42794</v>
      </c>
      <c r="F1432" s="249" t="s">
        <v>724</v>
      </c>
      <c r="G1432" s="314" t="s">
        <v>610</v>
      </c>
      <c r="H1432" s="473" t="s">
        <v>420</v>
      </c>
      <c r="I1432" s="307">
        <v>48</v>
      </c>
      <c r="J1432" s="307">
        <v>8229</v>
      </c>
      <c r="K1432" s="532">
        <f t="shared" si="146"/>
        <v>394992</v>
      </c>
      <c r="L1432" s="534" t="s">
        <v>292</v>
      </c>
      <c r="M1432" s="534" t="s">
        <v>8</v>
      </c>
      <c r="N1432" s="525" t="str">
        <f>IF(AND('331-CT'!$E$7=TH!H1432,OR(L1432="331",M1432="331")),"331",IF(AND(OR(L1432="131",M1432="131"),H1432='131-CT'!$E$7),"131",""))</f>
        <v/>
      </c>
      <c r="O1432" s="525" t="str">
        <f>IF(AND($B1432&gt;='111'!$N$11,$B1432&lt;='111'!$O$11,OR($L1432=$O$7,$M1432=$O$7)),"x","")</f>
        <v/>
      </c>
      <c r="P1432" s="525" t="str">
        <f>IF(AND($L1432=$O$7,$B1432&lt;'111'!$N$11),"x","")</f>
        <v/>
      </c>
      <c r="Q1432" s="525" t="str">
        <f>IF(AND($M1432=$O$7,$B1432&lt;'111'!$N$11),"x","")</f>
        <v/>
      </c>
      <c r="R1432" s="525" t="str">
        <f>IF(ISERROR(FIND('112'!$M$9,G1432,1)),"",IF((AND(FIND('112'!$M$9,G1432,1)&gt;=1,$B1432&gt;='112'!$N$8,$B1432&lt;='112'!$O$8,OR($L1432='112'!$I$6,$M1432='112'!$I$6))),"x",""))</f>
        <v/>
      </c>
      <c r="S1432" s="525" t="str">
        <f>IF(ISERROR(FIND('112'!$M$9,G1432,1)),"",IF((AND(LEFT(G1432,2)=LEFT('112'!$M$9,2),B1432&lt;'112'!$N$8,$L1432='112'!$I$6)),"x",""))</f>
        <v/>
      </c>
      <c r="T1432" s="525" t="str">
        <f>IF(ISERROR(FIND('112'!$M$9,G1432,1)),"",IF((AND(RIGHT(G1432,2)=RIGHT('112'!$M$9,2),B1432&lt;'112'!$N$8,$M1432='112'!$I$6)),"x",""))</f>
        <v/>
      </c>
      <c r="U1432" s="525" t="str">
        <f>IF(AND(B1432&gt;='IN-NX'!$P$3,B1432&lt;='IN-NX'!$Q$3,'IN-NX'!$D$7=D1432,OR(LEFT(L1432,2)="15",AND(LEFT(M1432,2)&lt;&gt;"15",LEFT(M1432,2)&lt;&gt;"33"))),"x","")</f>
        <v/>
      </c>
      <c r="V1432" s="525" t="str">
        <f>IF(AND(OR(LEFT(TH!L1432,2)="15",LEFT(TH!M1432,2)="15"),'152-CT'!$J$8=TH!F1432),"x","")</f>
        <v/>
      </c>
      <c r="W1432" s="525" t="str">
        <f>IF(AND(OR(LEFT(TH!L1432,2)="15",LEFT(TH!M1432,2)="15"),TK!$E$7=TH!F1432),"x","")</f>
        <v/>
      </c>
      <c r="X1432" s="525" t="str">
        <f>IF(AND('341-CT'!$E$9=H1432,OR(LEFT(L1432,3)=$X$7,LEFT(M1432,3)=$X$7)),"x","")</f>
        <v/>
      </c>
      <c r="Y1432" s="525" t="str">
        <f>IF(OR(TH!L1432=TH!$Y$7,M1432=TH!$Y$7),"x","")</f>
        <v/>
      </c>
      <c r="Z1432" s="525" t="str">
        <f>IF(AND(B1432&lt;=NKC!$N$8,B1432&gt;=NKC!$M$8),"x","")</f>
        <v>x</v>
      </c>
      <c r="AA1432" s="535">
        <v>1</v>
      </c>
    </row>
    <row r="1433" spans="1:27" s="503" customFormat="1" ht="15.75" customHeight="1">
      <c r="A1433" s="517" t="str">
        <f>IF(B1433&lt;&gt;"",IF(AND(B1433&gt;=_TM1,B1433&lt;=_TM2,OR(TH!L1433="1111",TH!M1433="1111")),TH!D1433,""),"")</f>
        <v/>
      </c>
      <c r="B1433" s="531">
        <f t="shared" si="147"/>
        <v>2</v>
      </c>
      <c r="C1433" s="315">
        <f t="shared" si="148"/>
        <v>42794</v>
      </c>
      <c r="D1433" s="537" t="s">
        <v>976</v>
      </c>
      <c r="E1433" s="315">
        <v>42794</v>
      </c>
      <c r="F1433" s="249" t="s">
        <v>749</v>
      </c>
      <c r="G1433" s="314" t="s">
        <v>610</v>
      </c>
      <c r="H1433" s="473" t="s">
        <v>420</v>
      </c>
      <c r="I1433" s="307">
        <v>144</v>
      </c>
      <c r="J1433" s="307">
        <v>6385</v>
      </c>
      <c r="K1433" s="532">
        <f t="shared" si="146"/>
        <v>919440</v>
      </c>
      <c r="L1433" s="534" t="s">
        <v>292</v>
      </c>
      <c r="M1433" s="534" t="s">
        <v>8</v>
      </c>
      <c r="N1433" s="525" t="str">
        <f>IF(AND('331-CT'!$E$7=TH!H1433,OR(L1433="331",M1433="331")),"331",IF(AND(OR(L1433="131",M1433="131"),H1433='131-CT'!$E$7),"131",""))</f>
        <v/>
      </c>
      <c r="O1433" s="525" t="str">
        <f>IF(AND($B1433&gt;='111'!$N$11,$B1433&lt;='111'!$O$11,OR($L1433=$O$7,$M1433=$O$7)),"x","")</f>
        <v/>
      </c>
      <c r="P1433" s="525" t="str">
        <f>IF(AND($L1433=$O$7,$B1433&lt;'111'!$N$11),"x","")</f>
        <v/>
      </c>
      <c r="Q1433" s="525" t="str">
        <f>IF(AND($M1433=$O$7,$B1433&lt;'111'!$N$11),"x","")</f>
        <v/>
      </c>
      <c r="R1433" s="525" t="str">
        <f>IF(ISERROR(FIND('112'!$M$9,G1433,1)),"",IF((AND(FIND('112'!$M$9,G1433,1)&gt;=1,$B1433&gt;='112'!$N$8,$B1433&lt;='112'!$O$8,OR($L1433='112'!$I$6,$M1433='112'!$I$6))),"x",""))</f>
        <v/>
      </c>
      <c r="S1433" s="525" t="str">
        <f>IF(ISERROR(FIND('112'!$M$9,G1433,1)),"",IF((AND(LEFT(G1433,2)=LEFT('112'!$M$9,2),B1433&lt;'112'!$N$8,$L1433='112'!$I$6)),"x",""))</f>
        <v/>
      </c>
      <c r="T1433" s="525" t="str">
        <f>IF(ISERROR(FIND('112'!$M$9,G1433,1)),"",IF((AND(RIGHT(G1433,2)=RIGHT('112'!$M$9,2),B1433&lt;'112'!$N$8,$M1433='112'!$I$6)),"x",""))</f>
        <v/>
      </c>
      <c r="U1433" s="525" t="str">
        <f>IF(AND(B1433&gt;='IN-NX'!$P$3,B1433&lt;='IN-NX'!$Q$3,'IN-NX'!$D$7=D1433,OR(LEFT(L1433,2)="15",AND(LEFT(M1433,2)&lt;&gt;"15",LEFT(M1433,2)&lt;&gt;"33"))),"x","")</f>
        <v/>
      </c>
      <c r="V1433" s="525" t="str">
        <f>IF(AND(OR(LEFT(TH!L1433,2)="15",LEFT(TH!M1433,2)="15"),'152-CT'!$J$8=TH!F1433),"x","")</f>
        <v/>
      </c>
      <c r="W1433" s="525" t="str">
        <f>IF(AND(OR(LEFT(TH!L1433,2)="15",LEFT(TH!M1433,2)="15"),TK!$E$7=TH!F1433),"x","")</f>
        <v/>
      </c>
      <c r="X1433" s="525" t="str">
        <f>IF(AND('341-CT'!$E$9=H1433,OR(LEFT(L1433,3)=$X$7,LEFT(M1433,3)=$X$7)),"x","")</f>
        <v/>
      </c>
      <c r="Y1433" s="525" t="str">
        <f>IF(OR(TH!L1433=TH!$Y$7,M1433=TH!$Y$7),"x","")</f>
        <v/>
      </c>
      <c r="Z1433" s="525" t="str">
        <f>IF(AND(B1433&lt;=NKC!$N$8,B1433&gt;=NKC!$M$8),"x","")</f>
        <v>x</v>
      </c>
      <c r="AA1433" s="535">
        <v>1</v>
      </c>
    </row>
    <row r="1434" spans="1:27" s="503" customFormat="1" ht="15.75" customHeight="1">
      <c r="A1434" s="517" t="str">
        <f>IF(B1434&lt;&gt;"",IF(AND(B1434&gt;=_TM1,B1434&lt;=_TM2,OR(TH!L1434="1111",TH!M1434="1111")),TH!D1434,""),"")</f>
        <v/>
      </c>
      <c r="B1434" s="531">
        <f t="shared" si="147"/>
        <v>2</v>
      </c>
      <c r="C1434" s="315">
        <f t="shared" si="148"/>
        <v>42794</v>
      </c>
      <c r="D1434" s="537" t="s">
        <v>976</v>
      </c>
      <c r="E1434" s="315">
        <v>42794</v>
      </c>
      <c r="F1434" s="249" t="s">
        <v>670</v>
      </c>
      <c r="G1434" s="314" t="s">
        <v>610</v>
      </c>
      <c r="H1434" s="473" t="s">
        <v>420</v>
      </c>
      <c r="I1434" s="307">
        <v>108</v>
      </c>
      <c r="J1434" s="307">
        <v>9275</v>
      </c>
      <c r="K1434" s="532">
        <f t="shared" si="146"/>
        <v>1001700</v>
      </c>
      <c r="L1434" s="534" t="s">
        <v>292</v>
      </c>
      <c r="M1434" s="534" t="s">
        <v>8</v>
      </c>
      <c r="N1434" s="525" t="str">
        <f>IF(AND('331-CT'!$E$7=TH!H1434,OR(L1434="331",M1434="331")),"331",IF(AND(OR(L1434="131",M1434="131"),H1434='131-CT'!$E$7),"131",""))</f>
        <v/>
      </c>
      <c r="O1434" s="525" t="str">
        <f>IF(AND($B1434&gt;='111'!$N$11,$B1434&lt;='111'!$O$11,OR($L1434=$O$7,$M1434=$O$7)),"x","")</f>
        <v/>
      </c>
      <c r="P1434" s="525" t="str">
        <f>IF(AND($L1434=$O$7,$B1434&lt;'111'!$N$11),"x","")</f>
        <v/>
      </c>
      <c r="Q1434" s="525" t="str">
        <f>IF(AND($M1434=$O$7,$B1434&lt;'111'!$N$11),"x","")</f>
        <v/>
      </c>
      <c r="R1434" s="525" t="str">
        <f>IF(ISERROR(FIND('112'!$M$9,G1434,1)),"",IF((AND(FIND('112'!$M$9,G1434,1)&gt;=1,$B1434&gt;='112'!$N$8,$B1434&lt;='112'!$O$8,OR($L1434='112'!$I$6,$M1434='112'!$I$6))),"x",""))</f>
        <v/>
      </c>
      <c r="S1434" s="525" t="str">
        <f>IF(ISERROR(FIND('112'!$M$9,G1434,1)),"",IF((AND(LEFT(G1434,2)=LEFT('112'!$M$9,2),B1434&lt;'112'!$N$8,$L1434='112'!$I$6)),"x",""))</f>
        <v/>
      </c>
      <c r="T1434" s="525" t="str">
        <f>IF(ISERROR(FIND('112'!$M$9,G1434,1)),"",IF((AND(RIGHT(G1434,2)=RIGHT('112'!$M$9,2),B1434&lt;'112'!$N$8,$M1434='112'!$I$6)),"x",""))</f>
        <v/>
      </c>
      <c r="U1434" s="525" t="str">
        <f>IF(AND(B1434&gt;='IN-NX'!$P$3,B1434&lt;='IN-NX'!$Q$3,'IN-NX'!$D$7=D1434,OR(LEFT(L1434,2)="15",AND(LEFT(M1434,2)&lt;&gt;"15",LEFT(M1434,2)&lt;&gt;"33"))),"x","")</f>
        <v/>
      </c>
      <c r="V1434" s="525" t="str">
        <f>IF(AND(OR(LEFT(TH!L1434,2)="15",LEFT(TH!M1434,2)="15"),'152-CT'!$J$8=TH!F1434),"x","")</f>
        <v/>
      </c>
      <c r="W1434" s="525" t="str">
        <f>IF(AND(OR(LEFT(TH!L1434,2)="15",LEFT(TH!M1434,2)="15"),TK!$E$7=TH!F1434),"x","")</f>
        <v/>
      </c>
      <c r="X1434" s="525" t="str">
        <f>IF(AND('341-CT'!$E$9=H1434,OR(LEFT(L1434,3)=$X$7,LEFT(M1434,3)=$X$7)),"x","")</f>
        <v/>
      </c>
      <c r="Y1434" s="525" t="str">
        <f>IF(OR(TH!L1434=TH!$Y$7,M1434=TH!$Y$7),"x","")</f>
        <v/>
      </c>
      <c r="Z1434" s="525" t="str">
        <f>IF(AND(B1434&lt;=NKC!$N$8,B1434&gt;=NKC!$M$8),"x","")</f>
        <v>x</v>
      </c>
      <c r="AA1434" s="535">
        <v>1</v>
      </c>
    </row>
    <row r="1435" spans="1:27" s="503" customFormat="1" ht="15.75" customHeight="1">
      <c r="A1435" s="517" t="str">
        <f>IF(B1435&lt;&gt;"",IF(AND(B1435&gt;=_TM1,B1435&lt;=_TM2,OR(TH!L1435="1111",TH!M1435="1111")),TH!D1435,""),"")</f>
        <v/>
      </c>
      <c r="B1435" s="531">
        <f t="shared" si="147"/>
        <v>2</v>
      </c>
      <c r="C1435" s="315">
        <f t="shared" si="148"/>
        <v>42794</v>
      </c>
      <c r="D1435" s="537" t="s">
        <v>977</v>
      </c>
      <c r="E1435" s="315">
        <v>42794</v>
      </c>
      <c r="F1435" s="249" t="s">
        <v>750</v>
      </c>
      <c r="G1435" s="314" t="s">
        <v>610</v>
      </c>
      <c r="H1435" s="473" t="s">
        <v>420</v>
      </c>
      <c r="I1435" s="307">
        <v>8</v>
      </c>
      <c r="J1435" s="307">
        <v>75446</v>
      </c>
      <c r="K1435" s="532">
        <f t="shared" si="146"/>
        <v>603568</v>
      </c>
      <c r="L1435" s="534" t="s">
        <v>292</v>
      </c>
      <c r="M1435" s="534" t="s">
        <v>8</v>
      </c>
      <c r="N1435" s="525" t="str">
        <f>IF(AND('331-CT'!$E$7=TH!H1435,OR(L1435="331",M1435="331")),"331",IF(AND(OR(L1435="131",M1435="131"),H1435='131-CT'!$E$7),"131",""))</f>
        <v/>
      </c>
      <c r="O1435" s="525" t="str">
        <f>IF(AND($B1435&gt;='111'!$N$11,$B1435&lt;='111'!$O$11,OR($L1435=$O$7,$M1435=$O$7)),"x","")</f>
        <v/>
      </c>
      <c r="P1435" s="525" t="str">
        <f>IF(AND($L1435=$O$7,$B1435&lt;'111'!$N$11),"x","")</f>
        <v/>
      </c>
      <c r="Q1435" s="525" t="str">
        <f>IF(AND($M1435=$O$7,$B1435&lt;'111'!$N$11),"x","")</f>
        <v/>
      </c>
      <c r="R1435" s="525" t="str">
        <f>IF(ISERROR(FIND('112'!$M$9,G1435,1)),"",IF((AND(FIND('112'!$M$9,G1435,1)&gt;=1,$B1435&gt;='112'!$N$8,$B1435&lt;='112'!$O$8,OR($L1435='112'!$I$6,$M1435='112'!$I$6))),"x",""))</f>
        <v/>
      </c>
      <c r="S1435" s="525" t="str">
        <f>IF(ISERROR(FIND('112'!$M$9,G1435,1)),"",IF((AND(LEFT(G1435,2)=LEFT('112'!$M$9,2),B1435&lt;'112'!$N$8,$L1435='112'!$I$6)),"x",""))</f>
        <v/>
      </c>
      <c r="T1435" s="525" t="str">
        <f>IF(ISERROR(FIND('112'!$M$9,G1435,1)),"",IF((AND(RIGHT(G1435,2)=RIGHT('112'!$M$9,2),B1435&lt;'112'!$N$8,$M1435='112'!$I$6)),"x",""))</f>
        <v/>
      </c>
      <c r="U1435" s="525" t="str">
        <f>IF(AND(B1435&gt;='IN-NX'!$P$3,B1435&lt;='IN-NX'!$Q$3,'IN-NX'!$D$7=D1435,OR(LEFT(L1435,2)="15",AND(LEFT(M1435,2)&lt;&gt;"15",LEFT(M1435,2)&lt;&gt;"33"))),"x","")</f>
        <v/>
      </c>
      <c r="V1435" s="525" t="str">
        <f>IF(AND(OR(LEFT(TH!L1435,2)="15",LEFT(TH!M1435,2)="15"),'152-CT'!$J$8=TH!F1435),"x","")</f>
        <v/>
      </c>
      <c r="W1435" s="525" t="str">
        <f>IF(AND(OR(LEFT(TH!L1435,2)="15",LEFT(TH!M1435,2)="15"),TK!$E$7=TH!F1435),"x","")</f>
        <v/>
      </c>
      <c r="X1435" s="525" t="str">
        <f>IF(AND('341-CT'!$E$9=H1435,OR(LEFT(L1435,3)=$X$7,LEFT(M1435,3)=$X$7)),"x","")</f>
        <v/>
      </c>
      <c r="Y1435" s="525" t="str">
        <f>IF(OR(TH!L1435=TH!$Y$7,M1435=TH!$Y$7),"x","")</f>
        <v/>
      </c>
      <c r="Z1435" s="525" t="str">
        <f>IF(AND(B1435&lt;=NKC!$N$8,B1435&gt;=NKC!$M$8),"x","")</f>
        <v>x</v>
      </c>
      <c r="AA1435" s="535">
        <v>1</v>
      </c>
    </row>
    <row r="1436" spans="1:27" s="503" customFormat="1" ht="15.75" customHeight="1">
      <c r="A1436" s="517" t="str">
        <f>IF(B1436&lt;&gt;"",IF(AND(B1436&gt;=_TM1,B1436&lt;=_TM2,OR(TH!L1436="1111",TH!M1436="1111")),TH!D1436,""),"")</f>
        <v/>
      </c>
      <c r="B1436" s="531">
        <f t="shared" si="147"/>
        <v>2</v>
      </c>
      <c r="C1436" s="315">
        <f t="shared" si="148"/>
        <v>42794</v>
      </c>
      <c r="D1436" s="537" t="s">
        <v>977</v>
      </c>
      <c r="E1436" s="315">
        <v>42794</v>
      </c>
      <c r="F1436" s="249" t="s">
        <v>714</v>
      </c>
      <c r="G1436" s="314" t="s">
        <v>610</v>
      </c>
      <c r="H1436" s="473" t="s">
        <v>420</v>
      </c>
      <c r="I1436" s="307">
        <v>24</v>
      </c>
      <c r="J1436" s="307">
        <v>48224</v>
      </c>
      <c r="K1436" s="532">
        <f t="shared" si="146"/>
        <v>1157376</v>
      </c>
      <c r="L1436" s="534" t="s">
        <v>292</v>
      </c>
      <c r="M1436" s="534" t="s">
        <v>8</v>
      </c>
      <c r="N1436" s="525" t="str">
        <f>IF(AND('331-CT'!$E$7=TH!H1436,OR(L1436="331",M1436="331")),"331",IF(AND(OR(L1436="131",M1436="131"),H1436='131-CT'!$E$7),"131",""))</f>
        <v/>
      </c>
      <c r="O1436" s="525" t="str">
        <f>IF(AND($B1436&gt;='111'!$N$11,$B1436&lt;='111'!$O$11,OR($L1436=$O$7,$M1436=$O$7)),"x","")</f>
        <v/>
      </c>
      <c r="P1436" s="525" t="str">
        <f>IF(AND($L1436=$O$7,$B1436&lt;'111'!$N$11),"x","")</f>
        <v/>
      </c>
      <c r="Q1436" s="525" t="str">
        <f>IF(AND($M1436=$O$7,$B1436&lt;'111'!$N$11),"x","")</f>
        <v/>
      </c>
      <c r="R1436" s="525" t="str">
        <f>IF(ISERROR(FIND('112'!$M$9,G1436,1)),"",IF((AND(FIND('112'!$M$9,G1436,1)&gt;=1,$B1436&gt;='112'!$N$8,$B1436&lt;='112'!$O$8,OR($L1436='112'!$I$6,$M1436='112'!$I$6))),"x",""))</f>
        <v/>
      </c>
      <c r="S1436" s="525" t="str">
        <f>IF(ISERROR(FIND('112'!$M$9,G1436,1)),"",IF((AND(LEFT(G1436,2)=LEFT('112'!$M$9,2),B1436&lt;'112'!$N$8,$L1436='112'!$I$6)),"x",""))</f>
        <v/>
      </c>
      <c r="T1436" s="525" t="str">
        <f>IF(ISERROR(FIND('112'!$M$9,G1436,1)),"",IF((AND(RIGHT(G1436,2)=RIGHT('112'!$M$9,2),B1436&lt;'112'!$N$8,$M1436='112'!$I$6)),"x",""))</f>
        <v/>
      </c>
      <c r="U1436" s="525" t="str">
        <f>IF(AND(B1436&gt;='IN-NX'!$P$3,B1436&lt;='IN-NX'!$Q$3,'IN-NX'!$D$7=D1436,OR(LEFT(L1436,2)="15",AND(LEFT(M1436,2)&lt;&gt;"15",LEFT(M1436,2)&lt;&gt;"33"))),"x","")</f>
        <v/>
      </c>
      <c r="V1436" s="525" t="str">
        <f>IF(AND(OR(LEFT(TH!L1436,2)="15",LEFT(TH!M1436,2)="15"),'152-CT'!$J$8=TH!F1436),"x","")</f>
        <v/>
      </c>
      <c r="W1436" s="525" t="str">
        <f>IF(AND(OR(LEFT(TH!L1436,2)="15",LEFT(TH!M1436,2)="15"),TK!$E$7=TH!F1436),"x","")</f>
        <v/>
      </c>
      <c r="X1436" s="525" t="str">
        <f>IF(AND('341-CT'!$E$9=H1436,OR(LEFT(L1436,3)=$X$7,LEFT(M1436,3)=$X$7)),"x","")</f>
        <v/>
      </c>
      <c r="Y1436" s="525" t="str">
        <f>IF(OR(TH!L1436=TH!$Y$7,M1436=TH!$Y$7),"x","")</f>
        <v/>
      </c>
      <c r="Z1436" s="525" t="str">
        <f>IF(AND(B1436&lt;=NKC!$N$8,B1436&gt;=NKC!$M$8),"x","")</f>
        <v>x</v>
      </c>
      <c r="AA1436" s="535">
        <v>1</v>
      </c>
    </row>
    <row r="1437" spans="1:27" s="503" customFormat="1" ht="15.75" customHeight="1">
      <c r="A1437" s="517" t="str">
        <f>IF(B1437&lt;&gt;"",IF(AND(B1437&gt;=_TM1,B1437&lt;=_TM2,OR(TH!L1437="1111",TH!M1437="1111")),TH!D1437,""),"")</f>
        <v/>
      </c>
      <c r="B1437" s="531">
        <f t="shared" si="147"/>
        <v>2</v>
      </c>
      <c r="C1437" s="315">
        <f t="shared" si="148"/>
        <v>42794</v>
      </c>
      <c r="D1437" s="537" t="s">
        <v>977</v>
      </c>
      <c r="E1437" s="315">
        <v>42794</v>
      </c>
      <c r="F1437" s="249" t="s">
        <v>751</v>
      </c>
      <c r="G1437" s="314" t="s">
        <v>610</v>
      </c>
      <c r="H1437" s="473" t="s">
        <v>420</v>
      </c>
      <c r="I1437" s="307">
        <v>50</v>
      </c>
      <c r="J1437" s="307">
        <v>15729</v>
      </c>
      <c r="K1437" s="532">
        <f t="shared" si="146"/>
        <v>786450</v>
      </c>
      <c r="L1437" s="534" t="s">
        <v>292</v>
      </c>
      <c r="M1437" s="534" t="s">
        <v>8</v>
      </c>
      <c r="N1437" s="525" t="str">
        <f>IF(AND('331-CT'!$E$7=TH!H1437,OR(L1437="331",M1437="331")),"331",IF(AND(OR(L1437="131",M1437="131"),H1437='131-CT'!$E$7),"131",""))</f>
        <v/>
      </c>
      <c r="O1437" s="525" t="str">
        <f>IF(AND($B1437&gt;='111'!$N$11,$B1437&lt;='111'!$O$11,OR($L1437=$O$7,$M1437=$O$7)),"x","")</f>
        <v/>
      </c>
      <c r="P1437" s="525" t="str">
        <f>IF(AND($L1437=$O$7,$B1437&lt;'111'!$N$11),"x","")</f>
        <v/>
      </c>
      <c r="Q1437" s="525" t="str">
        <f>IF(AND($M1437=$O$7,$B1437&lt;'111'!$N$11),"x","")</f>
        <v/>
      </c>
      <c r="R1437" s="525" t="str">
        <f>IF(ISERROR(FIND('112'!$M$9,G1437,1)),"",IF((AND(FIND('112'!$M$9,G1437,1)&gt;=1,$B1437&gt;='112'!$N$8,$B1437&lt;='112'!$O$8,OR($L1437='112'!$I$6,$M1437='112'!$I$6))),"x",""))</f>
        <v/>
      </c>
      <c r="S1437" s="525" t="str">
        <f>IF(ISERROR(FIND('112'!$M$9,G1437,1)),"",IF((AND(LEFT(G1437,2)=LEFT('112'!$M$9,2),B1437&lt;'112'!$N$8,$L1437='112'!$I$6)),"x",""))</f>
        <v/>
      </c>
      <c r="T1437" s="525" t="str">
        <f>IF(ISERROR(FIND('112'!$M$9,G1437,1)),"",IF((AND(RIGHT(G1437,2)=RIGHT('112'!$M$9,2),B1437&lt;'112'!$N$8,$M1437='112'!$I$6)),"x",""))</f>
        <v/>
      </c>
      <c r="U1437" s="525" t="str">
        <f>IF(AND(B1437&gt;='IN-NX'!$P$3,B1437&lt;='IN-NX'!$Q$3,'IN-NX'!$D$7=D1437,OR(LEFT(L1437,2)="15",AND(LEFT(M1437,2)&lt;&gt;"15",LEFT(M1437,2)&lt;&gt;"33"))),"x","")</f>
        <v/>
      </c>
      <c r="V1437" s="525" t="str">
        <f>IF(AND(OR(LEFT(TH!L1437,2)="15",LEFT(TH!M1437,2)="15"),'152-CT'!$J$8=TH!F1437),"x","")</f>
        <v/>
      </c>
      <c r="W1437" s="525" t="str">
        <f>IF(AND(OR(LEFT(TH!L1437,2)="15",LEFT(TH!M1437,2)="15"),TK!$E$7=TH!F1437),"x","")</f>
        <v/>
      </c>
      <c r="X1437" s="525" t="str">
        <f>IF(AND('341-CT'!$E$9=H1437,OR(LEFT(L1437,3)=$X$7,LEFT(M1437,3)=$X$7)),"x","")</f>
        <v/>
      </c>
      <c r="Y1437" s="525" t="str">
        <f>IF(OR(TH!L1437=TH!$Y$7,M1437=TH!$Y$7),"x","")</f>
        <v/>
      </c>
      <c r="Z1437" s="525" t="str">
        <f>IF(AND(B1437&lt;=NKC!$N$8,B1437&gt;=NKC!$M$8),"x","")</f>
        <v>x</v>
      </c>
      <c r="AA1437" s="535">
        <v>1</v>
      </c>
    </row>
    <row r="1438" spans="1:27" s="503" customFormat="1" ht="15.75" customHeight="1">
      <c r="A1438" s="517" t="str">
        <f>IF(B1438&lt;&gt;"",IF(AND(B1438&gt;=_TM1,B1438&lt;=_TM2,OR(TH!L1438="1111",TH!M1438="1111")),TH!D1438,""),"")</f>
        <v/>
      </c>
      <c r="B1438" s="531">
        <f t="shared" si="147"/>
        <v>2</v>
      </c>
      <c r="C1438" s="315">
        <f t="shared" si="148"/>
        <v>42794</v>
      </c>
      <c r="D1438" s="537" t="s">
        <v>977</v>
      </c>
      <c r="E1438" s="315">
        <v>42794</v>
      </c>
      <c r="F1438" s="249" t="s">
        <v>752</v>
      </c>
      <c r="G1438" s="314" t="s">
        <v>610</v>
      </c>
      <c r="H1438" s="473" t="s">
        <v>420</v>
      </c>
      <c r="I1438" s="307">
        <v>117</v>
      </c>
      <c r="J1438" s="307">
        <v>10081</v>
      </c>
      <c r="K1438" s="532">
        <f t="shared" si="146"/>
        <v>1179477</v>
      </c>
      <c r="L1438" s="534" t="s">
        <v>292</v>
      </c>
      <c r="M1438" s="534" t="s">
        <v>8</v>
      </c>
      <c r="N1438" s="525" t="str">
        <f>IF(AND('331-CT'!$E$7=TH!H1438,OR(L1438="331",M1438="331")),"331",IF(AND(OR(L1438="131",M1438="131"),H1438='131-CT'!$E$7),"131",""))</f>
        <v/>
      </c>
      <c r="O1438" s="525" t="str">
        <f>IF(AND($B1438&gt;='111'!$N$11,$B1438&lt;='111'!$O$11,OR($L1438=$O$7,$M1438=$O$7)),"x","")</f>
        <v/>
      </c>
      <c r="P1438" s="525" t="str">
        <f>IF(AND($L1438=$O$7,$B1438&lt;'111'!$N$11),"x","")</f>
        <v/>
      </c>
      <c r="Q1438" s="525" t="str">
        <f>IF(AND($M1438=$O$7,$B1438&lt;'111'!$N$11),"x","")</f>
        <v/>
      </c>
      <c r="R1438" s="525" t="str">
        <f>IF(ISERROR(FIND('112'!$M$9,G1438,1)),"",IF((AND(FIND('112'!$M$9,G1438,1)&gt;=1,$B1438&gt;='112'!$N$8,$B1438&lt;='112'!$O$8,OR($L1438='112'!$I$6,$M1438='112'!$I$6))),"x",""))</f>
        <v/>
      </c>
      <c r="S1438" s="525" t="str">
        <f>IF(ISERROR(FIND('112'!$M$9,G1438,1)),"",IF((AND(LEFT(G1438,2)=LEFT('112'!$M$9,2),B1438&lt;'112'!$N$8,$L1438='112'!$I$6)),"x",""))</f>
        <v/>
      </c>
      <c r="T1438" s="525" t="str">
        <f>IF(ISERROR(FIND('112'!$M$9,G1438,1)),"",IF((AND(RIGHT(G1438,2)=RIGHT('112'!$M$9,2),B1438&lt;'112'!$N$8,$M1438='112'!$I$6)),"x",""))</f>
        <v/>
      </c>
      <c r="U1438" s="525" t="str">
        <f>IF(AND(B1438&gt;='IN-NX'!$P$3,B1438&lt;='IN-NX'!$Q$3,'IN-NX'!$D$7=D1438,OR(LEFT(L1438,2)="15",AND(LEFT(M1438,2)&lt;&gt;"15",LEFT(M1438,2)&lt;&gt;"33"))),"x","")</f>
        <v/>
      </c>
      <c r="V1438" s="525" t="str">
        <f>IF(AND(OR(LEFT(TH!L1438,2)="15",LEFT(TH!M1438,2)="15"),'152-CT'!$J$8=TH!F1438),"x","")</f>
        <v/>
      </c>
      <c r="W1438" s="525" t="str">
        <f>IF(AND(OR(LEFT(TH!L1438,2)="15",LEFT(TH!M1438,2)="15"),TK!$E$7=TH!F1438),"x","")</f>
        <v/>
      </c>
      <c r="X1438" s="525" t="str">
        <f>IF(AND('341-CT'!$E$9=H1438,OR(LEFT(L1438,3)=$X$7,LEFT(M1438,3)=$X$7)),"x","")</f>
        <v/>
      </c>
      <c r="Y1438" s="525" t="str">
        <f>IF(OR(TH!L1438=TH!$Y$7,M1438=TH!$Y$7),"x","")</f>
        <v/>
      </c>
      <c r="Z1438" s="525" t="str">
        <f>IF(AND(B1438&lt;=NKC!$N$8,B1438&gt;=NKC!$M$8),"x","")</f>
        <v>x</v>
      </c>
      <c r="AA1438" s="535">
        <v>1</v>
      </c>
    </row>
    <row r="1439" spans="1:27" s="503" customFormat="1" ht="15.75" customHeight="1">
      <c r="A1439" s="517" t="str">
        <f>IF(B1439&lt;&gt;"",IF(AND(B1439&gt;=_TM1,B1439&lt;=_TM2,OR(TH!L1439="1111",TH!M1439="1111")),TH!D1439,""),"")</f>
        <v/>
      </c>
      <c r="B1439" s="531">
        <f t="shared" si="147"/>
        <v>2</v>
      </c>
      <c r="C1439" s="315">
        <f t="shared" si="148"/>
        <v>42794</v>
      </c>
      <c r="D1439" s="537" t="s">
        <v>977</v>
      </c>
      <c r="E1439" s="315">
        <v>42794</v>
      </c>
      <c r="F1439" s="249" t="s">
        <v>626</v>
      </c>
      <c r="G1439" s="314" t="s">
        <v>610</v>
      </c>
      <c r="H1439" s="473" t="s">
        <v>420</v>
      </c>
      <c r="I1439" s="307">
        <v>50</v>
      </c>
      <c r="J1439" s="307">
        <v>32556</v>
      </c>
      <c r="K1439" s="532">
        <f t="shared" si="146"/>
        <v>1627800</v>
      </c>
      <c r="L1439" s="534" t="s">
        <v>292</v>
      </c>
      <c r="M1439" s="534" t="s">
        <v>8</v>
      </c>
      <c r="N1439" s="525" t="str">
        <f>IF(AND('331-CT'!$E$7=TH!H1439,OR(L1439="331",M1439="331")),"331",IF(AND(OR(L1439="131",M1439="131"),H1439='131-CT'!$E$7),"131",""))</f>
        <v/>
      </c>
      <c r="O1439" s="525" t="str">
        <f>IF(AND($B1439&gt;='111'!$N$11,$B1439&lt;='111'!$O$11,OR($L1439=$O$7,$M1439=$O$7)),"x","")</f>
        <v/>
      </c>
      <c r="P1439" s="525" t="str">
        <f>IF(AND($L1439=$O$7,$B1439&lt;'111'!$N$11),"x","")</f>
        <v/>
      </c>
      <c r="Q1439" s="525" t="str">
        <f>IF(AND($M1439=$O$7,$B1439&lt;'111'!$N$11),"x","")</f>
        <v/>
      </c>
      <c r="R1439" s="525" t="str">
        <f>IF(ISERROR(FIND('112'!$M$9,G1439,1)),"",IF((AND(FIND('112'!$M$9,G1439,1)&gt;=1,$B1439&gt;='112'!$N$8,$B1439&lt;='112'!$O$8,OR($L1439='112'!$I$6,$M1439='112'!$I$6))),"x",""))</f>
        <v/>
      </c>
      <c r="S1439" s="525" t="str">
        <f>IF(ISERROR(FIND('112'!$M$9,G1439,1)),"",IF((AND(LEFT(G1439,2)=LEFT('112'!$M$9,2),B1439&lt;'112'!$N$8,$L1439='112'!$I$6)),"x",""))</f>
        <v/>
      </c>
      <c r="T1439" s="525" t="str">
        <f>IF(ISERROR(FIND('112'!$M$9,G1439,1)),"",IF((AND(RIGHT(G1439,2)=RIGHT('112'!$M$9,2),B1439&lt;'112'!$N$8,$M1439='112'!$I$6)),"x",""))</f>
        <v/>
      </c>
      <c r="U1439" s="525" t="str">
        <f>IF(AND(B1439&gt;='IN-NX'!$P$3,B1439&lt;='IN-NX'!$Q$3,'IN-NX'!$D$7=D1439,OR(LEFT(L1439,2)="15",AND(LEFT(M1439,2)&lt;&gt;"15",LEFT(M1439,2)&lt;&gt;"33"))),"x","")</f>
        <v/>
      </c>
      <c r="V1439" s="525" t="str">
        <f>IF(AND(OR(LEFT(TH!L1439,2)="15",LEFT(TH!M1439,2)="15"),'152-CT'!$J$8=TH!F1439),"x","")</f>
        <v/>
      </c>
      <c r="W1439" s="525" t="str">
        <f>IF(AND(OR(LEFT(TH!L1439,2)="15",LEFT(TH!M1439,2)="15"),TK!$E$7=TH!F1439),"x","")</f>
        <v/>
      </c>
      <c r="X1439" s="525" t="str">
        <f>IF(AND('341-CT'!$E$9=H1439,OR(LEFT(L1439,3)=$X$7,LEFT(M1439,3)=$X$7)),"x","")</f>
        <v/>
      </c>
      <c r="Y1439" s="525" t="str">
        <f>IF(OR(TH!L1439=TH!$Y$7,M1439=TH!$Y$7),"x","")</f>
        <v/>
      </c>
      <c r="Z1439" s="525" t="str">
        <f>IF(AND(B1439&lt;=NKC!$N$8,B1439&gt;=NKC!$M$8),"x","")</f>
        <v>x</v>
      </c>
      <c r="AA1439" s="535">
        <v>1</v>
      </c>
    </row>
    <row r="1440" spans="1:27" s="503" customFormat="1" ht="15.75" customHeight="1">
      <c r="A1440" s="517" t="str">
        <f>IF(B1440&lt;&gt;"",IF(AND(B1440&gt;=_TM1,B1440&lt;=_TM2,OR(TH!L1440="1111",TH!M1440="1111")),TH!D1440,""),"")</f>
        <v/>
      </c>
      <c r="B1440" s="531">
        <f t="shared" si="147"/>
        <v>2</v>
      </c>
      <c r="C1440" s="315">
        <f t="shared" si="148"/>
        <v>42794</v>
      </c>
      <c r="D1440" s="537" t="s">
        <v>977</v>
      </c>
      <c r="E1440" s="315">
        <v>42794</v>
      </c>
      <c r="F1440" s="249" t="s">
        <v>753</v>
      </c>
      <c r="G1440" s="314" t="s">
        <v>610</v>
      </c>
      <c r="H1440" s="473" t="s">
        <v>420</v>
      </c>
      <c r="I1440" s="307">
        <v>39</v>
      </c>
      <c r="J1440" s="307">
        <v>38645</v>
      </c>
      <c r="K1440" s="532">
        <f t="shared" si="146"/>
        <v>1507155</v>
      </c>
      <c r="L1440" s="534" t="s">
        <v>292</v>
      </c>
      <c r="M1440" s="534" t="s">
        <v>8</v>
      </c>
      <c r="N1440" s="525" t="str">
        <f>IF(AND('331-CT'!$E$7=TH!H1440,OR(L1440="331",M1440="331")),"331",IF(AND(OR(L1440="131",M1440="131"),H1440='131-CT'!$E$7),"131",""))</f>
        <v/>
      </c>
      <c r="O1440" s="525" t="str">
        <f>IF(AND($B1440&gt;='111'!$N$11,$B1440&lt;='111'!$O$11,OR($L1440=$O$7,$M1440=$O$7)),"x","")</f>
        <v/>
      </c>
      <c r="P1440" s="525" t="str">
        <f>IF(AND($L1440=$O$7,$B1440&lt;'111'!$N$11),"x","")</f>
        <v/>
      </c>
      <c r="Q1440" s="525" t="str">
        <f>IF(AND($M1440=$O$7,$B1440&lt;'111'!$N$11),"x","")</f>
        <v/>
      </c>
      <c r="R1440" s="525" t="str">
        <f>IF(ISERROR(FIND('112'!$M$9,G1440,1)),"",IF((AND(FIND('112'!$M$9,G1440,1)&gt;=1,$B1440&gt;='112'!$N$8,$B1440&lt;='112'!$O$8,OR($L1440='112'!$I$6,$M1440='112'!$I$6))),"x",""))</f>
        <v/>
      </c>
      <c r="S1440" s="525" t="str">
        <f>IF(ISERROR(FIND('112'!$M$9,G1440,1)),"",IF((AND(LEFT(G1440,2)=LEFT('112'!$M$9,2),B1440&lt;'112'!$N$8,$L1440='112'!$I$6)),"x",""))</f>
        <v/>
      </c>
      <c r="T1440" s="525" t="str">
        <f>IF(ISERROR(FIND('112'!$M$9,G1440,1)),"",IF((AND(RIGHT(G1440,2)=RIGHT('112'!$M$9,2),B1440&lt;'112'!$N$8,$M1440='112'!$I$6)),"x",""))</f>
        <v/>
      </c>
      <c r="U1440" s="525" t="str">
        <f>IF(AND(B1440&gt;='IN-NX'!$P$3,B1440&lt;='IN-NX'!$Q$3,'IN-NX'!$D$7=D1440,OR(LEFT(L1440,2)="15",AND(LEFT(M1440,2)&lt;&gt;"15",LEFT(M1440,2)&lt;&gt;"33"))),"x","")</f>
        <v/>
      </c>
      <c r="V1440" s="525" t="str">
        <f>IF(AND(OR(LEFT(TH!L1440,2)="15",LEFT(TH!M1440,2)="15"),'152-CT'!$J$8=TH!F1440),"x","")</f>
        <v/>
      </c>
      <c r="W1440" s="525" t="str">
        <f>IF(AND(OR(LEFT(TH!L1440,2)="15",LEFT(TH!M1440,2)="15"),TK!$E$7=TH!F1440),"x","")</f>
        <v/>
      </c>
      <c r="X1440" s="525" t="str">
        <f>IF(AND('341-CT'!$E$9=H1440,OR(LEFT(L1440,3)=$X$7,LEFT(M1440,3)=$X$7)),"x","")</f>
        <v/>
      </c>
      <c r="Y1440" s="525" t="str">
        <f>IF(OR(TH!L1440=TH!$Y$7,M1440=TH!$Y$7),"x","")</f>
        <v/>
      </c>
      <c r="Z1440" s="525" t="str">
        <f>IF(AND(B1440&lt;=NKC!$N$8,B1440&gt;=NKC!$M$8),"x","")</f>
        <v>x</v>
      </c>
      <c r="AA1440" s="535">
        <v>1</v>
      </c>
    </row>
    <row r="1441" spans="1:28" s="503" customFormat="1" ht="15.75" customHeight="1">
      <c r="A1441" s="517" t="str">
        <f>IF(B1441&lt;&gt;"",IF(AND(B1441&gt;=_TM1,B1441&lt;=_TM2,OR(TH!L1441="1111",TH!M1441="1111")),TH!D1441,""),"")</f>
        <v/>
      </c>
      <c r="B1441" s="531">
        <f t="shared" si="147"/>
        <v>2</v>
      </c>
      <c r="C1441" s="315">
        <f t="shared" si="148"/>
        <v>42794</v>
      </c>
      <c r="D1441" s="537" t="s">
        <v>977</v>
      </c>
      <c r="E1441" s="315">
        <v>42794</v>
      </c>
      <c r="F1441" s="249" t="s">
        <v>710</v>
      </c>
      <c r="G1441" s="314" t="s">
        <v>610</v>
      </c>
      <c r="H1441" s="473" t="s">
        <v>420</v>
      </c>
      <c r="I1441" s="307">
        <v>12</v>
      </c>
      <c r="J1441" s="307">
        <v>20357</v>
      </c>
      <c r="K1441" s="532">
        <f t="shared" si="146"/>
        <v>244284</v>
      </c>
      <c r="L1441" s="534" t="s">
        <v>292</v>
      </c>
      <c r="M1441" s="534" t="s">
        <v>8</v>
      </c>
      <c r="N1441" s="525" t="str">
        <f>IF(AND('331-CT'!$E$7=TH!H1441,OR(L1441="331",M1441="331")),"331",IF(AND(OR(L1441="131",M1441="131"),H1441='131-CT'!$E$7),"131",""))</f>
        <v/>
      </c>
      <c r="O1441" s="525" t="str">
        <f>IF(AND($B1441&gt;='111'!$N$11,$B1441&lt;='111'!$O$11,OR($L1441=$O$7,$M1441=$O$7)),"x","")</f>
        <v/>
      </c>
      <c r="P1441" s="525" t="str">
        <f>IF(AND($L1441=$O$7,$B1441&lt;'111'!$N$11),"x","")</f>
        <v/>
      </c>
      <c r="Q1441" s="525" t="str">
        <f>IF(AND($M1441=$O$7,$B1441&lt;'111'!$N$11),"x","")</f>
        <v/>
      </c>
      <c r="R1441" s="525" t="str">
        <f>IF(ISERROR(FIND('112'!$M$9,G1441,1)),"",IF((AND(FIND('112'!$M$9,G1441,1)&gt;=1,$B1441&gt;='112'!$N$8,$B1441&lt;='112'!$O$8,OR($L1441='112'!$I$6,$M1441='112'!$I$6))),"x",""))</f>
        <v/>
      </c>
      <c r="S1441" s="525" t="str">
        <f>IF(ISERROR(FIND('112'!$M$9,G1441,1)),"",IF((AND(LEFT(G1441,2)=LEFT('112'!$M$9,2),B1441&lt;'112'!$N$8,$L1441='112'!$I$6)),"x",""))</f>
        <v/>
      </c>
      <c r="T1441" s="525" t="str">
        <f>IF(ISERROR(FIND('112'!$M$9,G1441,1)),"",IF((AND(RIGHT(G1441,2)=RIGHT('112'!$M$9,2),B1441&lt;'112'!$N$8,$M1441='112'!$I$6)),"x",""))</f>
        <v/>
      </c>
      <c r="U1441" s="525" t="str">
        <f>IF(AND(B1441&gt;='IN-NX'!$P$3,B1441&lt;='IN-NX'!$Q$3,'IN-NX'!$D$7=D1441,OR(LEFT(L1441,2)="15",AND(LEFT(M1441,2)&lt;&gt;"15",LEFT(M1441,2)&lt;&gt;"33"))),"x","")</f>
        <v/>
      </c>
      <c r="V1441" s="525" t="str">
        <f>IF(AND(OR(LEFT(TH!L1441,2)="15",LEFT(TH!M1441,2)="15"),'152-CT'!$J$8=TH!F1441),"x","")</f>
        <v/>
      </c>
      <c r="W1441" s="525" t="str">
        <f>IF(AND(OR(LEFT(TH!L1441,2)="15",LEFT(TH!M1441,2)="15"),TK!$E$7=TH!F1441),"x","")</f>
        <v/>
      </c>
      <c r="X1441" s="525" t="str">
        <f>IF(AND('341-CT'!$E$9=H1441,OR(LEFT(L1441,3)=$X$7,LEFT(M1441,3)=$X$7)),"x","")</f>
        <v/>
      </c>
      <c r="Y1441" s="525" t="str">
        <f>IF(OR(TH!L1441=TH!$Y$7,M1441=TH!$Y$7),"x","")</f>
        <v/>
      </c>
      <c r="Z1441" s="525" t="str">
        <f>IF(AND(B1441&lt;=NKC!$N$8,B1441&gt;=NKC!$M$8),"x","")</f>
        <v>x</v>
      </c>
      <c r="AA1441" s="535">
        <v>1</v>
      </c>
    </row>
    <row r="1442" spans="1:28" s="503" customFormat="1" ht="15.75" customHeight="1">
      <c r="A1442" s="517" t="str">
        <f>IF(B1442&lt;&gt;"",IF(AND(B1442&gt;=_TM1,B1442&lt;=_TM2,OR(TH!L1442="1111",TH!M1442="1111")),TH!D1442,""),"")</f>
        <v/>
      </c>
      <c r="B1442" s="531">
        <f t="shared" si="147"/>
        <v>2</v>
      </c>
      <c r="C1442" s="315">
        <f t="shared" si="148"/>
        <v>42794</v>
      </c>
      <c r="D1442" s="537" t="s">
        <v>977</v>
      </c>
      <c r="E1442" s="315">
        <v>42794</v>
      </c>
      <c r="F1442" s="249" t="s">
        <v>754</v>
      </c>
      <c r="G1442" s="314" t="s">
        <v>610</v>
      </c>
      <c r="H1442" s="473" t="s">
        <v>420</v>
      </c>
      <c r="I1442" s="307">
        <v>48</v>
      </c>
      <c r="J1442" s="307">
        <v>59826</v>
      </c>
      <c r="K1442" s="532">
        <f t="shared" si="146"/>
        <v>2871648</v>
      </c>
      <c r="L1442" s="534" t="s">
        <v>292</v>
      </c>
      <c r="M1442" s="534" t="s">
        <v>8</v>
      </c>
      <c r="N1442" s="525" t="str">
        <f>IF(AND('331-CT'!$E$7=TH!H1442,OR(L1442="331",M1442="331")),"331",IF(AND(OR(L1442="131",M1442="131"),H1442='131-CT'!$E$7),"131",""))</f>
        <v/>
      </c>
      <c r="O1442" s="525" t="str">
        <f>IF(AND($B1442&gt;='111'!$N$11,$B1442&lt;='111'!$O$11,OR($L1442=$O$7,$M1442=$O$7)),"x","")</f>
        <v/>
      </c>
      <c r="P1442" s="525" t="str">
        <f>IF(AND($L1442=$O$7,$B1442&lt;'111'!$N$11),"x","")</f>
        <v/>
      </c>
      <c r="Q1442" s="525" t="str">
        <f>IF(AND($M1442=$O$7,$B1442&lt;'111'!$N$11),"x","")</f>
        <v/>
      </c>
      <c r="R1442" s="525" t="str">
        <f>IF(ISERROR(FIND('112'!$M$9,G1442,1)),"",IF((AND(FIND('112'!$M$9,G1442,1)&gt;=1,$B1442&gt;='112'!$N$8,$B1442&lt;='112'!$O$8,OR($L1442='112'!$I$6,$M1442='112'!$I$6))),"x",""))</f>
        <v/>
      </c>
      <c r="S1442" s="525" t="str">
        <f>IF(ISERROR(FIND('112'!$M$9,G1442,1)),"",IF((AND(LEFT(G1442,2)=LEFT('112'!$M$9,2),B1442&lt;'112'!$N$8,$L1442='112'!$I$6)),"x",""))</f>
        <v/>
      </c>
      <c r="T1442" s="525" t="str">
        <f>IF(ISERROR(FIND('112'!$M$9,G1442,1)),"",IF((AND(RIGHT(G1442,2)=RIGHT('112'!$M$9,2),B1442&lt;'112'!$N$8,$M1442='112'!$I$6)),"x",""))</f>
        <v/>
      </c>
      <c r="U1442" s="525" t="str">
        <f>IF(AND(B1442&gt;='IN-NX'!$P$3,B1442&lt;='IN-NX'!$Q$3,'IN-NX'!$D$7=D1442,OR(LEFT(L1442,2)="15",AND(LEFT(M1442,2)&lt;&gt;"15",LEFT(M1442,2)&lt;&gt;"33"))),"x","")</f>
        <v/>
      </c>
      <c r="V1442" s="525" t="str">
        <f>IF(AND(OR(LEFT(TH!L1442,2)="15",LEFT(TH!M1442,2)="15"),'152-CT'!$J$8=TH!F1442),"x","")</f>
        <v/>
      </c>
      <c r="W1442" s="525" t="str">
        <f>IF(AND(OR(LEFT(TH!L1442,2)="15",LEFT(TH!M1442,2)="15"),TK!$E$7=TH!F1442),"x","")</f>
        <v/>
      </c>
      <c r="X1442" s="525" t="str">
        <f>IF(AND('341-CT'!$E$9=H1442,OR(LEFT(L1442,3)=$X$7,LEFT(M1442,3)=$X$7)),"x","")</f>
        <v/>
      </c>
      <c r="Y1442" s="525" t="str">
        <f>IF(OR(TH!L1442=TH!$Y$7,M1442=TH!$Y$7),"x","")</f>
        <v/>
      </c>
      <c r="Z1442" s="525" t="str">
        <f>IF(AND(B1442&lt;=NKC!$N$8,B1442&gt;=NKC!$M$8),"x","")</f>
        <v>x</v>
      </c>
      <c r="AA1442" s="535">
        <v>1</v>
      </c>
    </row>
    <row r="1443" spans="1:28" s="503" customFormat="1" ht="15.75" customHeight="1">
      <c r="A1443" s="517" t="str">
        <f>IF(B1443&lt;&gt;"",IF(AND(B1443&gt;=_TM1,B1443&lt;=_TM2,OR(TH!L1443="1111",TH!M1443="1111")),TH!D1443,""),"")</f>
        <v/>
      </c>
      <c r="B1443" s="531">
        <f t="shared" si="147"/>
        <v>2</v>
      </c>
      <c r="C1443" s="315">
        <f t="shared" si="148"/>
        <v>42794</v>
      </c>
      <c r="D1443" s="537" t="s">
        <v>977</v>
      </c>
      <c r="E1443" s="315">
        <v>42794</v>
      </c>
      <c r="F1443" s="249" t="s">
        <v>737</v>
      </c>
      <c r="G1443" s="314" t="s">
        <v>610</v>
      </c>
      <c r="H1443" s="473" t="s">
        <v>420</v>
      </c>
      <c r="I1443" s="307">
        <v>15</v>
      </c>
      <c r="J1443" s="307">
        <v>84068</v>
      </c>
      <c r="K1443" s="532">
        <f t="shared" si="146"/>
        <v>1261020</v>
      </c>
      <c r="L1443" s="534" t="s">
        <v>292</v>
      </c>
      <c r="M1443" s="534" t="s">
        <v>8</v>
      </c>
      <c r="N1443" s="525" t="str">
        <f>IF(AND('331-CT'!$E$7=TH!H1443,OR(L1443="331",M1443="331")),"331",IF(AND(OR(L1443="131",M1443="131"),H1443='131-CT'!$E$7),"131",""))</f>
        <v/>
      </c>
      <c r="O1443" s="525" t="str">
        <f>IF(AND($B1443&gt;='111'!$N$11,$B1443&lt;='111'!$O$11,OR($L1443=$O$7,$M1443=$O$7)),"x","")</f>
        <v/>
      </c>
      <c r="P1443" s="525" t="str">
        <f>IF(AND($L1443=$O$7,$B1443&lt;'111'!$N$11),"x","")</f>
        <v/>
      </c>
      <c r="Q1443" s="525" t="str">
        <f>IF(AND($M1443=$O$7,$B1443&lt;'111'!$N$11),"x","")</f>
        <v/>
      </c>
      <c r="R1443" s="525" t="str">
        <f>IF(ISERROR(FIND('112'!$M$9,G1443,1)),"",IF((AND(FIND('112'!$M$9,G1443,1)&gt;=1,$B1443&gt;='112'!$N$8,$B1443&lt;='112'!$O$8,OR($L1443='112'!$I$6,$M1443='112'!$I$6))),"x",""))</f>
        <v/>
      </c>
      <c r="S1443" s="525" t="str">
        <f>IF(ISERROR(FIND('112'!$M$9,G1443,1)),"",IF((AND(LEFT(G1443,2)=LEFT('112'!$M$9,2),B1443&lt;'112'!$N$8,$L1443='112'!$I$6)),"x",""))</f>
        <v/>
      </c>
      <c r="T1443" s="525" t="str">
        <f>IF(ISERROR(FIND('112'!$M$9,G1443,1)),"",IF((AND(RIGHT(G1443,2)=RIGHT('112'!$M$9,2),B1443&lt;'112'!$N$8,$M1443='112'!$I$6)),"x",""))</f>
        <v/>
      </c>
      <c r="U1443" s="525" t="str">
        <f>IF(AND(B1443&gt;='IN-NX'!$P$3,B1443&lt;='IN-NX'!$Q$3,'IN-NX'!$D$7=D1443,OR(LEFT(L1443,2)="15",AND(LEFT(M1443,2)&lt;&gt;"15",LEFT(M1443,2)&lt;&gt;"33"))),"x","")</f>
        <v/>
      </c>
      <c r="V1443" s="525" t="str">
        <f>IF(AND(OR(LEFT(TH!L1443,2)="15",LEFT(TH!M1443,2)="15"),'152-CT'!$J$8=TH!F1443),"x","")</f>
        <v/>
      </c>
      <c r="W1443" s="525" t="str">
        <f>IF(AND(OR(LEFT(TH!L1443,2)="15",LEFT(TH!M1443,2)="15"),TK!$E$7=TH!F1443),"x","")</f>
        <v/>
      </c>
      <c r="X1443" s="525" t="str">
        <f>IF(AND('341-CT'!$E$9=H1443,OR(LEFT(L1443,3)=$X$7,LEFT(M1443,3)=$X$7)),"x","")</f>
        <v/>
      </c>
      <c r="Y1443" s="525" t="str">
        <f>IF(OR(TH!L1443=TH!$Y$7,M1443=TH!$Y$7),"x","")</f>
        <v/>
      </c>
      <c r="Z1443" s="525" t="str">
        <f>IF(AND(B1443&lt;=NKC!$N$8,B1443&gt;=NKC!$M$8),"x","")</f>
        <v>x</v>
      </c>
      <c r="AA1443" s="535">
        <v>1</v>
      </c>
    </row>
    <row r="1444" spans="1:28" s="503" customFormat="1" ht="15.75" customHeight="1">
      <c r="A1444" s="517" t="str">
        <f>IF(B1444&lt;&gt;"",IF(AND(B1444&gt;=_TM1,B1444&lt;=_TM2,OR(TH!L1444="1111",TH!M1444="1111")),TH!D1444,""),"")</f>
        <v/>
      </c>
      <c r="B1444" s="531">
        <f t="shared" si="147"/>
        <v>2</v>
      </c>
      <c r="C1444" s="315">
        <f t="shared" si="148"/>
        <v>42794</v>
      </c>
      <c r="D1444" s="537" t="s">
        <v>977</v>
      </c>
      <c r="E1444" s="315">
        <v>42794</v>
      </c>
      <c r="F1444" s="249" t="s">
        <v>755</v>
      </c>
      <c r="G1444" s="314" t="s">
        <v>610</v>
      </c>
      <c r="H1444" s="473" t="s">
        <v>420</v>
      </c>
      <c r="I1444" s="307">
        <v>12</v>
      </c>
      <c r="J1444" s="307">
        <v>65822</v>
      </c>
      <c r="K1444" s="532">
        <f t="shared" si="146"/>
        <v>789864</v>
      </c>
      <c r="L1444" s="534" t="s">
        <v>292</v>
      </c>
      <c r="M1444" s="534" t="s">
        <v>8</v>
      </c>
      <c r="N1444" s="525" t="str">
        <f>IF(AND('331-CT'!$E$7=TH!H1444,OR(L1444="331",M1444="331")),"331",IF(AND(OR(L1444="131",M1444="131"),H1444='131-CT'!$E$7),"131",""))</f>
        <v/>
      </c>
      <c r="O1444" s="525" t="str">
        <f>IF(AND($B1444&gt;='111'!$N$11,$B1444&lt;='111'!$O$11,OR($L1444=$O$7,$M1444=$O$7)),"x","")</f>
        <v/>
      </c>
      <c r="P1444" s="525" t="str">
        <f>IF(AND($L1444=$O$7,$B1444&lt;'111'!$N$11),"x","")</f>
        <v/>
      </c>
      <c r="Q1444" s="525" t="str">
        <f>IF(AND($M1444=$O$7,$B1444&lt;'111'!$N$11),"x","")</f>
        <v/>
      </c>
      <c r="R1444" s="525" t="str">
        <f>IF(ISERROR(FIND('112'!$M$9,G1444,1)),"",IF((AND(FIND('112'!$M$9,G1444,1)&gt;=1,$B1444&gt;='112'!$N$8,$B1444&lt;='112'!$O$8,OR($L1444='112'!$I$6,$M1444='112'!$I$6))),"x",""))</f>
        <v/>
      </c>
      <c r="S1444" s="525" t="str">
        <f>IF(ISERROR(FIND('112'!$M$9,G1444,1)),"",IF((AND(LEFT(G1444,2)=LEFT('112'!$M$9,2),B1444&lt;'112'!$N$8,$L1444='112'!$I$6)),"x",""))</f>
        <v/>
      </c>
      <c r="T1444" s="525" t="str">
        <f>IF(ISERROR(FIND('112'!$M$9,G1444,1)),"",IF((AND(RIGHT(G1444,2)=RIGHT('112'!$M$9,2),B1444&lt;'112'!$N$8,$M1444='112'!$I$6)),"x",""))</f>
        <v/>
      </c>
      <c r="U1444" s="525" t="str">
        <f>IF(AND(B1444&gt;='IN-NX'!$P$3,B1444&lt;='IN-NX'!$Q$3,'IN-NX'!$D$7=D1444,OR(LEFT(L1444,2)="15",AND(LEFT(M1444,2)&lt;&gt;"15",LEFT(M1444,2)&lt;&gt;"33"))),"x","")</f>
        <v/>
      </c>
      <c r="V1444" s="525" t="str">
        <f>IF(AND(OR(LEFT(TH!L1444,2)="15",LEFT(TH!M1444,2)="15"),'152-CT'!$J$8=TH!F1444),"x","")</f>
        <v/>
      </c>
      <c r="W1444" s="525" t="str">
        <f>IF(AND(OR(LEFT(TH!L1444,2)="15",LEFT(TH!M1444,2)="15"),TK!$E$7=TH!F1444),"x","")</f>
        <v/>
      </c>
      <c r="X1444" s="525" t="str">
        <f>IF(AND('341-CT'!$E$9=H1444,OR(LEFT(L1444,3)=$X$7,LEFT(M1444,3)=$X$7)),"x","")</f>
        <v/>
      </c>
      <c r="Y1444" s="525" t="str">
        <f>IF(OR(TH!L1444=TH!$Y$7,M1444=TH!$Y$7),"x","")</f>
        <v/>
      </c>
      <c r="Z1444" s="525" t="str">
        <f>IF(AND(B1444&lt;=NKC!$N$8,B1444&gt;=NKC!$M$8),"x","")</f>
        <v>x</v>
      </c>
      <c r="AA1444" s="535">
        <v>1</v>
      </c>
    </row>
    <row r="1445" spans="1:28" s="503" customFormat="1" ht="15.75" customHeight="1">
      <c r="A1445" s="517" t="str">
        <f>IF(B1445&lt;&gt;"",IF(AND(B1445&gt;=_TM1,B1445&lt;=_TM2,OR(TH!L1445="1111",TH!M1445="1111")),TH!D1445,""),"")</f>
        <v/>
      </c>
      <c r="B1445" s="531">
        <f t="shared" si="147"/>
        <v>2</v>
      </c>
      <c r="C1445" s="315">
        <f t="shared" si="148"/>
        <v>42794</v>
      </c>
      <c r="D1445" s="537" t="s">
        <v>977</v>
      </c>
      <c r="E1445" s="315">
        <v>42794</v>
      </c>
      <c r="F1445" s="249" t="s">
        <v>667</v>
      </c>
      <c r="G1445" s="314" t="s">
        <v>610</v>
      </c>
      <c r="H1445" s="473" t="s">
        <v>420</v>
      </c>
      <c r="I1445" s="307">
        <v>35</v>
      </c>
      <c r="J1445" s="307">
        <v>58672</v>
      </c>
      <c r="K1445" s="532">
        <f t="shared" si="146"/>
        <v>2053520</v>
      </c>
      <c r="L1445" s="534" t="s">
        <v>292</v>
      </c>
      <c r="M1445" s="534" t="s">
        <v>8</v>
      </c>
      <c r="N1445" s="525" t="str">
        <f>IF(AND('331-CT'!$E$7=TH!H1445,OR(L1445="331",M1445="331")),"331",IF(AND(OR(L1445="131",M1445="131"),H1445='131-CT'!$E$7),"131",""))</f>
        <v/>
      </c>
      <c r="O1445" s="525" t="str">
        <f>IF(AND($B1445&gt;='111'!$N$11,$B1445&lt;='111'!$O$11,OR($L1445=$O$7,$M1445=$O$7)),"x","")</f>
        <v/>
      </c>
      <c r="P1445" s="525" t="str">
        <f>IF(AND($L1445=$O$7,$B1445&lt;'111'!$N$11),"x","")</f>
        <v/>
      </c>
      <c r="Q1445" s="525" t="str">
        <f>IF(AND($M1445=$O$7,$B1445&lt;'111'!$N$11),"x","")</f>
        <v/>
      </c>
      <c r="R1445" s="525" t="str">
        <f>IF(ISERROR(FIND('112'!$M$9,G1445,1)),"",IF((AND(FIND('112'!$M$9,G1445,1)&gt;=1,$B1445&gt;='112'!$N$8,$B1445&lt;='112'!$O$8,OR($L1445='112'!$I$6,$M1445='112'!$I$6))),"x",""))</f>
        <v/>
      </c>
      <c r="S1445" s="525" t="str">
        <f>IF(ISERROR(FIND('112'!$M$9,G1445,1)),"",IF((AND(LEFT(G1445,2)=LEFT('112'!$M$9,2),B1445&lt;'112'!$N$8,$L1445='112'!$I$6)),"x",""))</f>
        <v/>
      </c>
      <c r="T1445" s="525" t="str">
        <f>IF(ISERROR(FIND('112'!$M$9,G1445,1)),"",IF((AND(RIGHT(G1445,2)=RIGHT('112'!$M$9,2),B1445&lt;'112'!$N$8,$M1445='112'!$I$6)),"x",""))</f>
        <v/>
      </c>
      <c r="U1445" s="525" t="str">
        <f>IF(AND(B1445&gt;='IN-NX'!$P$3,B1445&lt;='IN-NX'!$Q$3,'IN-NX'!$D$7=D1445,OR(LEFT(L1445,2)="15",AND(LEFT(M1445,2)&lt;&gt;"15",LEFT(M1445,2)&lt;&gt;"33"))),"x","")</f>
        <v/>
      </c>
      <c r="V1445" s="525" t="str">
        <f>IF(AND(OR(LEFT(TH!L1445,2)="15",LEFT(TH!M1445,2)="15"),'152-CT'!$J$8=TH!F1445),"x","")</f>
        <v/>
      </c>
      <c r="W1445" s="525" t="str">
        <f>IF(AND(OR(LEFT(TH!L1445,2)="15",LEFT(TH!M1445,2)="15"),TK!$E$7=TH!F1445),"x","")</f>
        <v/>
      </c>
      <c r="X1445" s="525" t="str">
        <f>IF(AND('341-CT'!$E$9=H1445,OR(LEFT(L1445,3)=$X$7,LEFT(M1445,3)=$X$7)),"x","")</f>
        <v/>
      </c>
      <c r="Y1445" s="525" t="str">
        <f>IF(OR(TH!L1445=TH!$Y$7,M1445=TH!$Y$7),"x","")</f>
        <v/>
      </c>
      <c r="Z1445" s="525" t="str">
        <f>IF(AND(B1445&lt;=NKC!$N$8,B1445&gt;=NKC!$M$8),"x","")</f>
        <v>x</v>
      </c>
      <c r="AA1445" s="535">
        <v>1</v>
      </c>
    </row>
    <row r="1446" spans="1:28" s="503" customFormat="1" ht="15.75" customHeight="1">
      <c r="A1446" s="517" t="str">
        <f>IF(B1446&lt;&gt;"",IF(AND(B1446&gt;=_TM1,B1446&lt;=_TM2,OR(TH!L1446="1111",TH!M1446="1111")),TH!D1446,""),"")</f>
        <v/>
      </c>
      <c r="B1446" s="531">
        <f t="shared" si="147"/>
        <v>2</v>
      </c>
      <c r="C1446" s="315">
        <f t="shared" si="148"/>
        <v>42794</v>
      </c>
      <c r="D1446" s="537" t="s">
        <v>977</v>
      </c>
      <c r="E1446" s="315">
        <v>42794</v>
      </c>
      <c r="F1446" s="249" t="s">
        <v>756</v>
      </c>
      <c r="G1446" s="314" t="s">
        <v>610</v>
      </c>
      <c r="H1446" s="473" t="s">
        <v>420</v>
      </c>
      <c r="I1446" s="307">
        <v>70</v>
      </c>
      <c r="J1446" s="307">
        <v>37751</v>
      </c>
      <c r="K1446" s="532">
        <f t="shared" si="146"/>
        <v>2642570</v>
      </c>
      <c r="L1446" s="534" t="s">
        <v>292</v>
      </c>
      <c r="M1446" s="534" t="s">
        <v>8</v>
      </c>
      <c r="N1446" s="525" t="str">
        <f>IF(AND('331-CT'!$E$7=TH!H1446,OR(L1446="331",M1446="331")),"331",IF(AND(OR(L1446="131",M1446="131"),H1446='131-CT'!$E$7),"131",""))</f>
        <v/>
      </c>
      <c r="O1446" s="525" t="str">
        <f>IF(AND($B1446&gt;='111'!$N$11,$B1446&lt;='111'!$O$11,OR($L1446=$O$7,$M1446=$O$7)),"x","")</f>
        <v/>
      </c>
      <c r="P1446" s="525" t="str">
        <f>IF(AND($L1446=$O$7,$B1446&lt;'111'!$N$11),"x","")</f>
        <v/>
      </c>
      <c r="Q1446" s="525" t="str">
        <f>IF(AND($M1446=$O$7,$B1446&lt;'111'!$N$11),"x","")</f>
        <v/>
      </c>
      <c r="R1446" s="525" t="str">
        <f>IF(ISERROR(FIND('112'!$M$9,G1446,1)),"",IF((AND(FIND('112'!$M$9,G1446,1)&gt;=1,$B1446&gt;='112'!$N$8,$B1446&lt;='112'!$O$8,OR($L1446='112'!$I$6,$M1446='112'!$I$6))),"x",""))</f>
        <v/>
      </c>
      <c r="S1446" s="525" t="str">
        <f>IF(ISERROR(FIND('112'!$M$9,G1446,1)),"",IF((AND(LEFT(G1446,2)=LEFT('112'!$M$9,2),B1446&lt;'112'!$N$8,$L1446='112'!$I$6)),"x",""))</f>
        <v/>
      </c>
      <c r="T1446" s="525" t="str">
        <f>IF(ISERROR(FIND('112'!$M$9,G1446,1)),"",IF((AND(RIGHT(G1446,2)=RIGHT('112'!$M$9,2),B1446&lt;'112'!$N$8,$M1446='112'!$I$6)),"x",""))</f>
        <v/>
      </c>
      <c r="U1446" s="525" t="str">
        <f>IF(AND(B1446&gt;='IN-NX'!$P$3,B1446&lt;='IN-NX'!$Q$3,'IN-NX'!$D$7=D1446,OR(LEFT(L1446,2)="15",AND(LEFT(M1446,2)&lt;&gt;"15",LEFT(M1446,2)&lt;&gt;"33"))),"x","")</f>
        <v/>
      </c>
      <c r="V1446" s="525" t="str">
        <f>IF(AND(OR(LEFT(TH!L1446,2)="15",LEFT(TH!M1446,2)="15"),'152-CT'!$J$8=TH!F1446),"x","")</f>
        <v/>
      </c>
      <c r="W1446" s="525" t="str">
        <f>IF(AND(OR(LEFT(TH!L1446,2)="15",LEFT(TH!M1446,2)="15"),TK!$E$7=TH!F1446),"x","")</f>
        <v/>
      </c>
      <c r="X1446" s="525" t="str">
        <f>IF(AND('341-CT'!$E$9=H1446,OR(LEFT(L1446,3)=$X$7,LEFT(M1446,3)=$X$7)),"x","")</f>
        <v/>
      </c>
      <c r="Y1446" s="525" t="str">
        <f>IF(OR(TH!L1446=TH!$Y$7,M1446=TH!$Y$7),"x","")</f>
        <v/>
      </c>
      <c r="Z1446" s="525" t="str">
        <f>IF(AND(B1446&lt;=NKC!$N$8,B1446&gt;=NKC!$M$8),"x","")</f>
        <v>x</v>
      </c>
      <c r="AA1446" s="535">
        <v>1</v>
      </c>
    </row>
    <row r="1447" spans="1:28" s="503" customFormat="1" ht="15.75" customHeight="1">
      <c r="A1447" s="517" t="str">
        <f>IF(B1447&lt;&gt;"",IF(AND(B1447&gt;=_TM1,B1447&lt;=_TM2,OR(TH!L1447="1111",TH!M1447="1111")),TH!D1447,""),"")</f>
        <v/>
      </c>
      <c r="B1447" s="531">
        <f t="shared" si="147"/>
        <v>2</v>
      </c>
      <c r="C1447" s="315">
        <f t="shared" si="148"/>
        <v>42794</v>
      </c>
      <c r="D1447" s="537" t="s">
        <v>978</v>
      </c>
      <c r="E1447" s="315">
        <v>42794</v>
      </c>
      <c r="F1447" s="249" t="s">
        <v>757</v>
      </c>
      <c r="G1447" s="314" t="s">
        <v>610</v>
      </c>
      <c r="H1447" s="473" t="s">
        <v>420</v>
      </c>
      <c r="I1447" s="307">
        <v>12</v>
      </c>
      <c r="J1447" s="307">
        <v>44677</v>
      </c>
      <c r="K1447" s="532">
        <f t="shared" si="146"/>
        <v>536124</v>
      </c>
      <c r="L1447" s="534" t="s">
        <v>292</v>
      </c>
      <c r="M1447" s="534" t="s">
        <v>8</v>
      </c>
      <c r="N1447" s="525" t="str">
        <f>IF(AND('331-CT'!$E$7=TH!H1447,OR(L1447="331",M1447="331")),"331",IF(AND(OR(L1447="131",M1447="131"),H1447='131-CT'!$E$7),"131",""))</f>
        <v/>
      </c>
      <c r="O1447" s="525" t="str">
        <f>IF(AND($B1447&gt;='111'!$N$11,$B1447&lt;='111'!$O$11,OR($L1447=$O$7,$M1447=$O$7)),"x","")</f>
        <v/>
      </c>
      <c r="P1447" s="525" t="str">
        <f>IF(AND($L1447=$O$7,$B1447&lt;'111'!$N$11),"x","")</f>
        <v/>
      </c>
      <c r="Q1447" s="525" t="str">
        <f>IF(AND($M1447=$O$7,$B1447&lt;'111'!$N$11),"x","")</f>
        <v/>
      </c>
      <c r="R1447" s="525" t="str">
        <f>IF(ISERROR(FIND('112'!$M$9,G1447,1)),"",IF((AND(FIND('112'!$M$9,G1447,1)&gt;=1,$B1447&gt;='112'!$N$8,$B1447&lt;='112'!$O$8,OR($L1447='112'!$I$6,$M1447='112'!$I$6))),"x",""))</f>
        <v/>
      </c>
      <c r="S1447" s="525" t="str">
        <f>IF(ISERROR(FIND('112'!$M$9,G1447,1)),"",IF((AND(LEFT(G1447,2)=LEFT('112'!$M$9,2),B1447&lt;'112'!$N$8,$L1447='112'!$I$6)),"x",""))</f>
        <v/>
      </c>
      <c r="T1447" s="525" t="str">
        <f>IF(ISERROR(FIND('112'!$M$9,G1447,1)),"",IF((AND(RIGHT(G1447,2)=RIGHT('112'!$M$9,2),B1447&lt;'112'!$N$8,$M1447='112'!$I$6)),"x",""))</f>
        <v/>
      </c>
      <c r="U1447" s="525" t="str">
        <f>IF(AND(B1447&gt;='IN-NX'!$P$3,B1447&lt;='IN-NX'!$Q$3,'IN-NX'!$D$7=D1447,OR(LEFT(L1447,2)="15",AND(LEFT(M1447,2)&lt;&gt;"15",LEFT(M1447,2)&lt;&gt;"33"))),"x","")</f>
        <v/>
      </c>
      <c r="V1447" s="525" t="str">
        <f>IF(AND(OR(LEFT(TH!L1447,2)="15",LEFT(TH!M1447,2)="15"),'152-CT'!$J$8=TH!F1447),"x","")</f>
        <v/>
      </c>
      <c r="W1447" s="525" t="str">
        <f>IF(AND(OR(LEFT(TH!L1447,2)="15",LEFT(TH!M1447,2)="15"),TK!$E$7=TH!F1447),"x","")</f>
        <v/>
      </c>
      <c r="X1447" s="525" t="str">
        <f>IF(AND('341-CT'!$E$9=H1447,OR(LEFT(L1447,3)=$X$7,LEFT(M1447,3)=$X$7)),"x","")</f>
        <v/>
      </c>
      <c r="Y1447" s="525" t="str">
        <f>IF(OR(TH!L1447=TH!$Y$7,M1447=TH!$Y$7),"x","")</f>
        <v/>
      </c>
      <c r="Z1447" s="525" t="str">
        <f>IF(AND(B1447&lt;=NKC!$N$8,B1447&gt;=NKC!$M$8),"x","")</f>
        <v>x</v>
      </c>
      <c r="AA1447" s="535">
        <v>1</v>
      </c>
    </row>
    <row r="1448" spans="1:28" s="503" customFormat="1" ht="15.75" customHeight="1">
      <c r="A1448" s="517" t="str">
        <f>IF(B1448&lt;&gt;"",IF(AND(B1448&gt;=_TM1,B1448&lt;=_TM2,OR(TH!L1448="1111",TH!M1448="1111")),TH!D1448,""),"")</f>
        <v/>
      </c>
      <c r="B1448" s="531">
        <f t="shared" si="147"/>
        <v>2</v>
      </c>
      <c r="C1448" s="315">
        <f t="shared" si="148"/>
        <v>42794</v>
      </c>
      <c r="D1448" s="537" t="s">
        <v>978</v>
      </c>
      <c r="E1448" s="315">
        <v>42794</v>
      </c>
      <c r="F1448" s="249" t="s">
        <v>758</v>
      </c>
      <c r="G1448" s="314" t="s">
        <v>610</v>
      </c>
      <c r="H1448" s="473" t="s">
        <v>420</v>
      </c>
      <c r="I1448" s="307">
        <v>36</v>
      </c>
      <c r="J1448" s="307">
        <v>77954</v>
      </c>
      <c r="K1448" s="532">
        <f t="shared" si="146"/>
        <v>2806344</v>
      </c>
      <c r="L1448" s="534" t="s">
        <v>292</v>
      </c>
      <c r="M1448" s="534" t="s">
        <v>8</v>
      </c>
      <c r="N1448" s="525" t="str">
        <f>IF(AND('331-CT'!$E$7=TH!H1448,OR(L1448="331",M1448="331")),"331",IF(AND(OR(L1448="131",M1448="131"),H1448='131-CT'!$E$7),"131",""))</f>
        <v/>
      </c>
      <c r="O1448" s="525" t="str">
        <f>IF(AND($B1448&gt;='111'!$N$11,$B1448&lt;='111'!$O$11,OR($L1448=$O$7,$M1448=$O$7)),"x","")</f>
        <v/>
      </c>
      <c r="P1448" s="525" t="str">
        <f>IF(AND($L1448=$O$7,$B1448&lt;'111'!$N$11),"x","")</f>
        <v/>
      </c>
      <c r="Q1448" s="525" t="str">
        <f>IF(AND($M1448=$O$7,$B1448&lt;'111'!$N$11),"x","")</f>
        <v/>
      </c>
      <c r="R1448" s="525" t="str">
        <f>IF(ISERROR(FIND('112'!$M$9,G1448,1)),"",IF((AND(FIND('112'!$M$9,G1448,1)&gt;=1,$B1448&gt;='112'!$N$8,$B1448&lt;='112'!$O$8,OR($L1448='112'!$I$6,$M1448='112'!$I$6))),"x",""))</f>
        <v/>
      </c>
      <c r="S1448" s="525" t="str">
        <f>IF(ISERROR(FIND('112'!$M$9,G1448,1)),"",IF((AND(LEFT(G1448,2)=LEFT('112'!$M$9,2),B1448&lt;'112'!$N$8,$L1448='112'!$I$6)),"x",""))</f>
        <v/>
      </c>
      <c r="T1448" s="525" t="str">
        <f>IF(ISERROR(FIND('112'!$M$9,G1448,1)),"",IF((AND(RIGHT(G1448,2)=RIGHT('112'!$M$9,2),B1448&lt;'112'!$N$8,$M1448='112'!$I$6)),"x",""))</f>
        <v/>
      </c>
      <c r="U1448" s="525" t="str">
        <f>IF(AND(B1448&gt;='IN-NX'!$P$3,B1448&lt;='IN-NX'!$Q$3,'IN-NX'!$D$7=D1448,OR(LEFT(L1448,2)="15",AND(LEFT(M1448,2)&lt;&gt;"15",LEFT(M1448,2)&lt;&gt;"33"))),"x","")</f>
        <v/>
      </c>
      <c r="V1448" s="525" t="str">
        <f>IF(AND(OR(LEFT(TH!L1448,2)="15",LEFT(TH!M1448,2)="15"),'152-CT'!$J$8=TH!F1448),"x","")</f>
        <v/>
      </c>
      <c r="W1448" s="525" t="str">
        <f>IF(AND(OR(LEFT(TH!L1448,2)="15",LEFT(TH!M1448,2)="15"),TK!$E$7=TH!F1448),"x","")</f>
        <v/>
      </c>
      <c r="X1448" s="525" t="str">
        <f>IF(AND('341-CT'!$E$9=H1448,OR(LEFT(L1448,3)=$X$7,LEFT(M1448,3)=$X$7)),"x","")</f>
        <v/>
      </c>
      <c r="Y1448" s="525" t="str">
        <f>IF(OR(TH!L1448=TH!$Y$7,M1448=TH!$Y$7),"x","")</f>
        <v/>
      </c>
      <c r="Z1448" s="525" t="str">
        <f>IF(AND(B1448&lt;=NKC!$N$8,B1448&gt;=NKC!$M$8),"x","")</f>
        <v>x</v>
      </c>
      <c r="AA1448" s="535">
        <v>1</v>
      </c>
    </row>
    <row r="1449" spans="1:28" s="503" customFormat="1" ht="15.75" customHeight="1">
      <c r="A1449" s="517" t="str">
        <f>IF(B1449&lt;&gt;"",IF(AND(B1449&gt;=_TM1,B1449&lt;=_TM2,OR(TH!L1449="1111",TH!M1449="1111")),TH!D1449,""),"")</f>
        <v/>
      </c>
      <c r="B1449" s="531">
        <f t="shared" si="147"/>
        <v>2</v>
      </c>
      <c r="C1449" s="315">
        <f t="shared" si="148"/>
        <v>42794</v>
      </c>
      <c r="D1449" s="537" t="s">
        <v>978</v>
      </c>
      <c r="E1449" s="315">
        <v>42794</v>
      </c>
      <c r="F1449" s="249" t="s">
        <v>683</v>
      </c>
      <c r="G1449" s="314" t="s">
        <v>610</v>
      </c>
      <c r="H1449" s="473" t="s">
        <v>420</v>
      </c>
      <c r="I1449" s="307">
        <v>10</v>
      </c>
      <c r="J1449" s="307">
        <v>35341</v>
      </c>
      <c r="K1449" s="532">
        <f t="shared" si="146"/>
        <v>353410</v>
      </c>
      <c r="L1449" s="534" t="s">
        <v>292</v>
      </c>
      <c r="M1449" s="534" t="s">
        <v>8</v>
      </c>
      <c r="N1449" s="525" t="str">
        <f>IF(AND('331-CT'!$E$7=TH!H1449,OR(L1449="331",M1449="331")),"331",IF(AND(OR(L1449="131",M1449="131"),H1449='131-CT'!$E$7),"131",""))</f>
        <v/>
      </c>
      <c r="O1449" s="525" t="str">
        <f>IF(AND($B1449&gt;='111'!$N$11,$B1449&lt;='111'!$O$11,OR($L1449=$O$7,$M1449=$O$7)),"x","")</f>
        <v/>
      </c>
      <c r="P1449" s="525" t="str">
        <f>IF(AND($L1449=$O$7,$B1449&lt;'111'!$N$11),"x","")</f>
        <v/>
      </c>
      <c r="Q1449" s="525" t="str">
        <f>IF(AND($M1449=$O$7,$B1449&lt;'111'!$N$11),"x","")</f>
        <v/>
      </c>
      <c r="R1449" s="525" t="str">
        <f>IF(ISERROR(FIND('112'!$M$9,G1449,1)),"",IF((AND(FIND('112'!$M$9,G1449,1)&gt;=1,$B1449&gt;='112'!$N$8,$B1449&lt;='112'!$O$8,OR($L1449='112'!$I$6,$M1449='112'!$I$6))),"x",""))</f>
        <v/>
      </c>
      <c r="S1449" s="525" t="str">
        <f>IF(ISERROR(FIND('112'!$M$9,G1449,1)),"",IF((AND(LEFT(G1449,2)=LEFT('112'!$M$9,2),B1449&lt;'112'!$N$8,$L1449='112'!$I$6)),"x",""))</f>
        <v/>
      </c>
      <c r="T1449" s="525" t="str">
        <f>IF(ISERROR(FIND('112'!$M$9,G1449,1)),"",IF((AND(RIGHT(G1449,2)=RIGHT('112'!$M$9,2),B1449&lt;'112'!$N$8,$M1449='112'!$I$6)),"x",""))</f>
        <v/>
      </c>
      <c r="U1449" s="525" t="str">
        <f>IF(AND(B1449&gt;='IN-NX'!$P$3,B1449&lt;='IN-NX'!$Q$3,'IN-NX'!$D$7=D1449,OR(LEFT(L1449,2)="15",AND(LEFT(M1449,2)&lt;&gt;"15",LEFT(M1449,2)&lt;&gt;"33"))),"x","")</f>
        <v/>
      </c>
      <c r="V1449" s="525" t="str">
        <f>IF(AND(OR(LEFT(TH!L1449,2)="15",LEFT(TH!M1449,2)="15"),'152-CT'!$J$8=TH!F1449),"x","")</f>
        <v/>
      </c>
      <c r="W1449" s="525" t="str">
        <f>IF(AND(OR(LEFT(TH!L1449,2)="15",LEFT(TH!M1449,2)="15"),TK!$E$7=TH!F1449),"x","")</f>
        <v/>
      </c>
      <c r="X1449" s="525" t="str">
        <f>IF(AND('341-CT'!$E$9=H1449,OR(LEFT(L1449,3)=$X$7,LEFT(M1449,3)=$X$7)),"x","")</f>
        <v/>
      </c>
      <c r="Y1449" s="525" t="str">
        <f>IF(OR(TH!L1449=TH!$Y$7,M1449=TH!$Y$7),"x","")</f>
        <v/>
      </c>
      <c r="Z1449" s="525" t="str">
        <f>IF(AND(B1449&lt;=NKC!$N$8,B1449&gt;=NKC!$M$8),"x","")</f>
        <v>x</v>
      </c>
      <c r="AA1449" s="535">
        <v>1</v>
      </c>
    </row>
    <row r="1450" spans="1:28" s="503" customFormat="1" ht="15.75" customHeight="1">
      <c r="A1450" s="517" t="str">
        <f>IF(B1450&lt;&gt;"",IF(AND(B1450&gt;=_TM1,B1450&lt;=_TM2,OR(TH!L1450="1111",TH!M1450="1111")),TH!D1450,""),"")</f>
        <v/>
      </c>
      <c r="B1450" s="531">
        <f t="shared" si="147"/>
        <v>2</v>
      </c>
      <c r="C1450" s="315">
        <f t="shared" si="148"/>
        <v>42794</v>
      </c>
      <c r="D1450" s="537" t="s">
        <v>978</v>
      </c>
      <c r="E1450" s="315">
        <v>42794</v>
      </c>
      <c r="F1450" s="249" t="s">
        <v>629</v>
      </c>
      <c r="G1450" s="314" t="s">
        <v>610</v>
      </c>
      <c r="H1450" s="473" t="s">
        <v>420</v>
      </c>
      <c r="I1450" s="307">
        <v>36</v>
      </c>
      <c r="J1450" s="307">
        <v>24752</v>
      </c>
      <c r="K1450" s="532">
        <f t="shared" si="146"/>
        <v>891072</v>
      </c>
      <c r="L1450" s="534" t="s">
        <v>292</v>
      </c>
      <c r="M1450" s="534" t="s">
        <v>8</v>
      </c>
      <c r="N1450" s="525" t="str">
        <f>IF(AND('331-CT'!$E$7=TH!H1450,OR(L1450="331",M1450="331")),"331",IF(AND(OR(L1450="131",M1450="131"),H1450='131-CT'!$E$7),"131",""))</f>
        <v/>
      </c>
      <c r="O1450" s="525" t="str">
        <f>IF(AND($B1450&gt;='111'!$N$11,$B1450&lt;='111'!$O$11,OR($L1450=$O$7,$M1450=$O$7)),"x","")</f>
        <v/>
      </c>
      <c r="P1450" s="525" t="str">
        <f>IF(AND($L1450=$O$7,$B1450&lt;'111'!$N$11),"x","")</f>
        <v/>
      </c>
      <c r="Q1450" s="525" t="str">
        <f>IF(AND($M1450=$O$7,$B1450&lt;'111'!$N$11),"x","")</f>
        <v/>
      </c>
      <c r="R1450" s="525" t="str">
        <f>IF(ISERROR(FIND('112'!$M$9,G1450,1)),"",IF((AND(FIND('112'!$M$9,G1450,1)&gt;=1,$B1450&gt;='112'!$N$8,$B1450&lt;='112'!$O$8,OR($L1450='112'!$I$6,$M1450='112'!$I$6))),"x",""))</f>
        <v/>
      </c>
      <c r="S1450" s="525" t="str">
        <f>IF(ISERROR(FIND('112'!$M$9,G1450,1)),"",IF((AND(LEFT(G1450,2)=LEFT('112'!$M$9,2),B1450&lt;'112'!$N$8,$L1450='112'!$I$6)),"x",""))</f>
        <v/>
      </c>
      <c r="T1450" s="525" t="str">
        <f>IF(ISERROR(FIND('112'!$M$9,G1450,1)),"",IF((AND(RIGHT(G1450,2)=RIGHT('112'!$M$9,2),B1450&lt;'112'!$N$8,$M1450='112'!$I$6)),"x",""))</f>
        <v/>
      </c>
      <c r="U1450" s="525" t="str">
        <f>IF(AND(B1450&gt;='IN-NX'!$P$3,B1450&lt;='IN-NX'!$Q$3,'IN-NX'!$D$7=D1450,OR(LEFT(L1450,2)="15",AND(LEFT(M1450,2)&lt;&gt;"15",LEFT(M1450,2)&lt;&gt;"33"))),"x","")</f>
        <v/>
      </c>
      <c r="V1450" s="525" t="str">
        <f>IF(AND(OR(LEFT(TH!L1450,2)="15",LEFT(TH!M1450,2)="15"),'152-CT'!$J$8=TH!F1450),"x","")</f>
        <v/>
      </c>
      <c r="W1450" s="525" t="str">
        <f>IF(AND(OR(LEFT(TH!L1450,2)="15",LEFT(TH!M1450,2)="15"),TK!$E$7=TH!F1450),"x","")</f>
        <v/>
      </c>
      <c r="X1450" s="525" t="str">
        <f>IF(AND('341-CT'!$E$9=H1450,OR(LEFT(L1450,3)=$X$7,LEFT(M1450,3)=$X$7)),"x","")</f>
        <v/>
      </c>
      <c r="Y1450" s="525" t="str">
        <f>IF(OR(TH!L1450=TH!$Y$7,M1450=TH!$Y$7),"x","")</f>
        <v/>
      </c>
      <c r="Z1450" s="525" t="str">
        <f>IF(AND(B1450&lt;=NKC!$N$8,B1450&gt;=NKC!$M$8),"x","")</f>
        <v>x</v>
      </c>
      <c r="AA1450" s="535">
        <v>1</v>
      </c>
    </row>
    <row r="1451" spans="1:28" s="503" customFormat="1" ht="15.75" customHeight="1">
      <c r="A1451" s="517" t="str">
        <f>IF(B1451&lt;&gt;"",IF(AND(B1451&gt;=_TM1,B1451&lt;=_TM2,OR(TH!L1451="1111",TH!M1451="1111")),TH!D1451,""),"")</f>
        <v/>
      </c>
      <c r="B1451" s="531">
        <f t="shared" si="147"/>
        <v>2</v>
      </c>
      <c r="C1451" s="315">
        <f t="shared" si="148"/>
        <v>42794</v>
      </c>
      <c r="D1451" s="537" t="s">
        <v>978</v>
      </c>
      <c r="E1451" s="315">
        <v>42794</v>
      </c>
      <c r="F1451" s="249" t="s">
        <v>760</v>
      </c>
      <c r="G1451" s="314" t="s">
        <v>610</v>
      </c>
      <c r="H1451" s="473" t="s">
        <v>420</v>
      </c>
      <c r="I1451" s="307">
        <v>40</v>
      </c>
      <c r="J1451" s="307">
        <v>26336</v>
      </c>
      <c r="K1451" s="532">
        <f t="shared" si="146"/>
        <v>1053440</v>
      </c>
      <c r="L1451" s="534" t="s">
        <v>292</v>
      </c>
      <c r="M1451" s="534" t="s">
        <v>8</v>
      </c>
      <c r="N1451" s="525" t="str">
        <f>IF(AND('331-CT'!$E$7=TH!H1451,OR(L1451="331",M1451="331")),"331",IF(AND(OR(L1451="131",M1451="131"),H1451='131-CT'!$E$7),"131",""))</f>
        <v/>
      </c>
      <c r="O1451" s="525" t="str">
        <f>IF(AND($B1451&gt;='111'!$N$11,$B1451&lt;='111'!$O$11,OR($L1451=$O$7,$M1451=$O$7)),"x","")</f>
        <v/>
      </c>
      <c r="P1451" s="525" t="str">
        <f>IF(AND($L1451=$O$7,$B1451&lt;'111'!$N$11),"x","")</f>
        <v/>
      </c>
      <c r="Q1451" s="525" t="str">
        <f>IF(AND($M1451=$O$7,$B1451&lt;'111'!$N$11),"x","")</f>
        <v/>
      </c>
      <c r="R1451" s="525" t="str">
        <f>IF(ISERROR(FIND('112'!$M$9,G1451,1)),"",IF((AND(FIND('112'!$M$9,G1451,1)&gt;=1,$B1451&gt;='112'!$N$8,$B1451&lt;='112'!$O$8,OR($L1451='112'!$I$6,$M1451='112'!$I$6))),"x",""))</f>
        <v/>
      </c>
      <c r="S1451" s="525" t="str">
        <f>IF(ISERROR(FIND('112'!$M$9,G1451,1)),"",IF((AND(LEFT(G1451,2)=LEFT('112'!$M$9,2),B1451&lt;'112'!$N$8,$L1451='112'!$I$6)),"x",""))</f>
        <v/>
      </c>
      <c r="T1451" s="525" t="str">
        <f>IF(ISERROR(FIND('112'!$M$9,G1451,1)),"",IF((AND(RIGHT(G1451,2)=RIGHT('112'!$M$9,2),B1451&lt;'112'!$N$8,$M1451='112'!$I$6)),"x",""))</f>
        <v/>
      </c>
      <c r="U1451" s="525" t="str">
        <f>IF(AND(B1451&gt;='IN-NX'!$P$3,B1451&lt;='IN-NX'!$Q$3,'IN-NX'!$D$7=D1451,OR(LEFT(L1451,2)="15",AND(LEFT(M1451,2)&lt;&gt;"15",LEFT(M1451,2)&lt;&gt;"33"))),"x","")</f>
        <v/>
      </c>
      <c r="V1451" s="525" t="str">
        <f>IF(AND(OR(LEFT(TH!L1451,2)="15",LEFT(TH!M1451,2)="15"),'152-CT'!$J$8=TH!F1451),"x","")</f>
        <v/>
      </c>
      <c r="W1451" s="525" t="str">
        <f>IF(AND(OR(LEFT(TH!L1451,2)="15",LEFT(TH!M1451,2)="15"),TK!$E$7=TH!F1451),"x","")</f>
        <v/>
      </c>
      <c r="X1451" s="525" t="str">
        <f>IF(AND('341-CT'!$E$9=H1451,OR(LEFT(L1451,3)=$X$7,LEFT(M1451,3)=$X$7)),"x","")</f>
        <v/>
      </c>
      <c r="Y1451" s="525" t="str">
        <f>IF(OR(TH!L1451=TH!$Y$7,M1451=TH!$Y$7),"x","")</f>
        <v/>
      </c>
      <c r="Z1451" s="525" t="str">
        <f>IF(AND(B1451&lt;=NKC!$N$8,B1451&gt;=NKC!$M$8),"x","")</f>
        <v>x</v>
      </c>
      <c r="AA1451" s="535">
        <v>1</v>
      </c>
    </row>
    <row r="1452" spans="1:28" s="503" customFormat="1" ht="15.75" customHeight="1">
      <c r="A1452" s="517" t="str">
        <f>IF(B1452&lt;&gt;"",IF(AND(B1452&gt;=_TM1,B1452&lt;=_TM2,OR(TH!L1452="1111",TH!M1452="1111")),TH!D1452,""),"")</f>
        <v/>
      </c>
      <c r="B1452" s="531">
        <f t="shared" si="147"/>
        <v>2</v>
      </c>
      <c r="C1452" s="315">
        <f t="shared" si="148"/>
        <v>42794</v>
      </c>
      <c r="D1452" s="537" t="s">
        <v>978</v>
      </c>
      <c r="E1452" s="315">
        <v>42794</v>
      </c>
      <c r="F1452" s="249" t="s">
        <v>761</v>
      </c>
      <c r="G1452" s="314" t="s">
        <v>610</v>
      </c>
      <c r="H1452" s="473" t="s">
        <v>420</v>
      </c>
      <c r="I1452" s="307">
        <v>36</v>
      </c>
      <c r="J1452" s="307">
        <v>34979</v>
      </c>
      <c r="K1452" s="532">
        <f t="shared" si="146"/>
        <v>1259244</v>
      </c>
      <c r="L1452" s="534" t="s">
        <v>292</v>
      </c>
      <c r="M1452" s="534" t="s">
        <v>8</v>
      </c>
      <c r="N1452" s="525" t="str">
        <f>IF(AND('331-CT'!$E$7=TH!H1452,OR(L1452="331",M1452="331")),"331",IF(AND(OR(L1452="131",M1452="131"),H1452='131-CT'!$E$7),"131",""))</f>
        <v/>
      </c>
      <c r="O1452" s="525" t="str">
        <f>IF(AND($B1452&gt;='111'!$N$11,$B1452&lt;='111'!$O$11,OR($L1452=$O$7,$M1452=$O$7)),"x","")</f>
        <v/>
      </c>
      <c r="P1452" s="525" t="str">
        <f>IF(AND($L1452=$O$7,$B1452&lt;'111'!$N$11),"x","")</f>
        <v/>
      </c>
      <c r="Q1452" s="525" t="str">
        <f>IF(AND($M1452=$O$7,$B1452&lt;'111'!$N$11),"x","")</f>
        <v/>
      </c>
      <c r="R1452" s="525" t="str">
        <f>IF(ISERROR(FIND('112'!$M$9,G1452,1)),"",IF((AND(FIND('112'!$M$9,G1452,1)&gt;=1,$B1452&gt;='112'!$N$8,$B1452&lt;='112'!$O$8,OR($L1452='112'!$I$6,$M1452='112'!$I$6))),"x",""))</f>
        <v/>
      </c>
      <c r="S1452" s="525" t="str">
        <f>IF(ISERROR(FIND('112'!$M$9,G1452,1)),"",IF((AND(LEFT(G1452,2)=LEFT('112'!$M$9,2),B1452&lt;'112'!$N$8,$L1452='112'!$I$6)),"x",""))</f>
        <v/>
      </c>
      <c r="T1452" s="525" t="str">
        <f>IF(ISERROR(FIND('112'!$M$9,G1452,1)),"",IF((AND(RIGHT(G1452,2)=RIGHT('112'!$M$9,2),B1452&lt;'112'!$N$8,$M1452='112'!$I$6)),"x",""))</f>
        <v/>
      </c>
      <c r="U1452" s="525" t="str">
        <f>IF(AND(B1452&gt;='IN-NX'!$P$3,B1452&lt;='IN-NX'!$Q$3,'IN-NX'!$D$7=D1452,OR(LEFT(L1452,2)="15",AND(LEFT(M1452,2)&lt;&gt;"15",LEFT(M1452,2)&lt;&gt;"33"))),"x","")</f>
        <v/>
      </c>
      <c r="V1452" s="525" t="str">
        <f>IF(AND(OR(LEFT(TH!L1452,2)="15",LEFT(TH!M1452,2)="15"),'152-CT'!$J$8=TH!F1452),"x","")</f>
        <v/>
      </c>
      <c r="W1452" s="525" t="str">
        <f>IF(AND(OR(LEFT(TH!L1452,2)="15",LEFT(TH!M1452,2)="15"),TK!$E$7=TH!F1452),"x","")</f>
        <v/>
      </c>
      <c r="X1452" s="525" t="str">
        <f>IF(AND('341-CT'!$E$9=H1452,OR(LEFT(L1452,3)=$X$7,LEFT(M1452,3)=$X$7)),"x","")</f>
        <v/>
      </c>
      <c r="Y1452" s="525" t="str">
        <f>IF(OR(TH!L1452=TH!$Y$7,M1452=TH!$Y$7),"x","")</f>
        <v/>
      </c>
      <c r="Z1452" s="525" t="str">
        <f>IF(AND(B1452&lt;=NKC!$N$8,B1452&gt;=NKC!$M$8),"x","")</f>
        <v>x</v>
      </c>
      <c r="AA1452" s="535">
        <v>1</v>
      </c>
    </row>
    <row r="1453" spans="1:28" s="503" customFormat="1" ht="15.75" customHeight="1">
      <c r="A1453" s="517" t="str">
        <f>IF(B1453&lt;&gt;"",IF(AND(B1453&gt;=_TM1,B1453&lt;=_TM2,OR(TH!L1453="1111",TH!M1453="1111")),TH!D1453,""),"")</f>
        <v/>
      </c>
      <c r="B1453" s="531">
        <f t="shared" si="147"/>
        <v>2</v>
      </c>
      <c r="C1453" s="315">
        <f t="shared" si="148"/>
        <v>42794</v>
      </c>
      <c r="D1453" s="537" t="s">
        <v>978</v>
      </c>
      <c r="E1453" s="315">
        <v>42794</v>
      </c>
      <c r="F1453" s="249" t="s">
        <v>630</v>
      </c>
      <c r="G1453" s="314" t="s">
        <v>610</v>
      </c>
      <c r="H1453" s="473" t="s">
        <v>420</v>
      </c>
      <c r="I1453" s="307">
        <v>12</v>
      </c>
      <c r="J1453" s="307">
        <v>34801</v>
      </c>
      <c r="K1453" s="532">
        <f t="shared" si="146"/>
        <v>417612</v>
      </c>
      <c r="L1453" s="534" t="s">
        <v>292</v>
      </c>
      <c r="M1453" s="534" t="s">
        <v>8</v>
      </c>
      <c r="N1453" s="525" t="str">
        <f>IF(AND('331-CT'!$E$7=TH!H1453,OR(L1453="331",M1453="331")),"331",IF(AND(OR(L1453="131",M1453="131"),H1453='131-CT'!$E$7),"131",""))</f>
        <v/>
      </c>
      <c r="O1453" s="525" t="str">
        <f>IF(AND($B1453&gt;='111'!$N$11,$B1453&lt;='111'!$O$11,OR($L1453=$O$7,$M1453=$O$7)),"x","")</f>
        <v/>
      </c>
      <c r="P1453" s="525" t="str">
        <f>IF(AND($L1453=$O$7,$B1453&lt;'111'!$N$11),"x","")</f>
        <v/>
      </c>
      <c r="Q1453" s="525" t="str">
        <f>IF(AND($M1453=$O$7,$B1453&lt;'111'!$N$11),"x","")</f>
        <v/>
      </c>
      <c r="R1453" s="525" t="str">
        <f>IF(ISERROR(FIND('112'!$M$9,G1453,1)),"",IF((AND(FIND('112'!$M$9,G1453,1)&gt;=1,$B1453&gt;='112'!$N$8,$B1453&lt;='112'!$O$8,OR($L1453='112'!$I$6,$M1453='112'!$I$6))),"x",""))</f>
        <v/>
      </c>
      <c r="S1453" s="525" t="str">
        <f>IF(ISERROR(FIND('112'!$M$9,G1453,1)),"",IF((AND(LEFT(G1453,2)=LEFT('112'!$M$9,2),B1453&lt;'112'!$N$8,$L1453='112'!$I$6)),"x",""))</f>
        <v/>
      </c>
      <c r="T1453" s="525" t="str">
        <f>IF(ISERROR(FIND('112'!$M$9,G1453,1)),"",IF((AND(RIGHT(G1453,2)=RIGHT('112'!$M$9,2),B1453&lt;'112'!$N$8,$M1453='112'!$I$6)),"x",""))</f>
        <v/>
      </c>
      <c r="U1453" s="525" t="str">
        <f>IF(AND(B1453&gt;='IN-NX'!$P$3,B1453&lt;='IN-NX'!$Q$3,'IN-NX'!$D$7=D1453,OR(LEFT(L1453,2)="15",AND(LEFT(M1453,2)&lt;&gt;"15",LEFT(M1453,2)&lt;&gt;"33"))),"x","")</f>
        <v/>
      </c>
      <c r="V1453" s="525" t="str">
        <f>IF(AND(OR(LEFT(TH!L1453,2)="15",LEFT(TH!M1453,2)="15"),'152-CT'!$J$8=TH!F1453),"x","")</f>
        <v/>
      </c>
      <c r="W1453" s="525" t="str">
        <f>IF(AND(OR(LEFT(TH!L1453,2)="15",LEFT(TH!M1453,2)="15"),TK!$E$7=TH!F1453),"x","")</f>
        <v/>
      </c>
      <c r="X1453" s="525" t="str">
        <f>IF(AND('341-CT'!$E$9=H1453,OR(LEFT(L1453,3)=$X$7,LEFT(M1453,3)=$X$7)),"x","")</f>
        <v/>
      </c>
      <c r="Y1453" s="525" t="str">
        <f>IF(OR(TH!L1453=TH!$Y$7,M1453=TH!$Y$7),"x","")</f>
        <v/>
      </c>
      <c r="Z1453" s="525" t="str">
        <f>IF(AND(B1453&lt;=NKC!$N$8,B1453&gt;=NKC!$M$8),"x","")</f>
        <v>x</v>
      </c>
      <c r="AA1453" s="535">
        <v>1</v>
      </c>
    </row>
    <row r="1454" spans="1:28" s="503" customFormat="1" ht="15.75" customHeight="1">
      <c r="A1454" s="517" t="str">
        <f>IF(B1454&lt;&gt;"",IF(AND(B1454&gt;=_TM1,B1454&lt;=_TM2,OR(TH!L1454="1111",TH!M1454="1111")),TH!D1454,""),"")</f>
        <v/>
      </c>
      <c r="B1454" s="531">
        <f t="shared" si="147"/>
        <v>2</v>
      </c>
      <c r="C1454" s="315">
        <f t="shared" si="148"/>
        <v>42794</v>
      </c>
      <c r="D1454" s="537" t="s">
        <v>978</v>
      </c>
      <c r="E1454" s="315">
        <v>42794</v>
      </c>
      <c r="F1454" s="249" t="s">
        <v>762</v>
      </c>
      <c r="G1454" s="314" t="s">
        <v>610</v>
      </c>
      <c r="H1454" s="473" t="s">
        <v>420</v>
      </c>
      <c r="I1454" s="307">
        <v>24</v>
      </c>
      <c r="J1454" s="307">
        <v>46680</v>
      </c>
      <c r="K1454" s="532">
        <f t="shared" si="146"/>
        <v>1120320</v>
      </c>
      <c r="L1454" s="534" t="s">
        <v>292</v>
      </c>
      <c r="M1454" s="534" t="s">
        <v>8</v>
      </c>
      <c r="N1454" s="525" t="str">
        <f>IF(AND('331-CT'!$E$7=TH!H1454,OR(L1454="331",M1454="331")),"331",IF(AND(OR(L1454="131",M1454="131"),H1454='131-CT'!$E$7),"131",""))</f>
        <v/>
      </c>
      <c r="O1454" s="525" t="str">
        <f>IF(AND($B1454&gt;='111'!$N$11,$B1454&lt;='111'!$O$11,OR($L1454=$O$7,$M1454=$O$7)),"x","")</f>
        <v/>
      </c>
      <c r="P1454" s="525" t="str">
        <f>IF(AND($L1454=$O$7,$B1454&lt;'111'!$N$11),"x","")</f>
        <v/>
      </c>
      <c r="Q1454" s="525" t="str">
        <f>IF(AND($M1454=$O$7,$B1454&lt;'111'!$N$11),"x","")</f>
        <v/>
      </c>
      <c r="R1454" s="525" t="str">
        <f>IF(ISERROR(FIND('112'!$M$9,G1454,1)),"",IF((AND(FIND('112'!$M$9,G1454,1)&gt;=1,$B1454&gt;='112'!$N$8,$B1454&lt;='112'!$O$8,OR($L1454='112'!$I$6,$M1454='112'!$I$6))),"x",""))</f>
        <v/>
      </c>
      <c r="S1454" s="525" t="str">
        <f>IF(ISERROR(FIND('112'!$M$9,G1454,1)),"",IF((AND(LEFT(G1454,2)=LEFT('112'!$M$9,2),B1454&lt;'112'!$N$8,$L1454='112'!$I$6)),"x",""))</f>
        <v/>
      </c>
      <c r="T1454" s="525" t="str">
        <f>IF(ISERROR(FIND('112'!$M$9,G1454,1)),"",IF((AND(RIGHT(G1454,2)=RIGHT('112'!$M$9,2),B1454&lt;'112'!$N$8,$M1454='112'!$I$6)),"x",""))</f>
        <v/>
      </c>
      <c r="U1454" s="525" t="str">
        <f>IF(AND(B1454&gt;='IN-NX'!$P$3,B1454&lt;='IN-NX'!$Q$3,'IN-NX'!$D$7=D1454,OR(LEFT(L1454,2)="15",AND(LEFT(M1454,2)&lt;&gt;"15",LEFT(M1454,2)&lt;&gt;"33"))),"x","")</f>
        <v/>
      </c>
      <c r="V1454" s="525" t="str">
        <f>IF(AND(OR(LEFT(TH!L1454,2)="15",LEFT(TH!M1454,2)="15"),'152-CT'!$J$8=TH!F1454),"x","")</f>
        <v/>
      </c>
      <c r="W1454" s="525" t="str">
        <f>IF(AND(OR(LEFT(TH!L1454,2)="15",LEFT(TH!M1454,2)="15"),TK!$E$7=TH!F1454),"x","")</f>
        <v/>
      </c>
      <c r="X1454" s="525" t="str">
        <f>IF(AND('341-CT'!$E$9=H1454,OR(LEFT(L1454,3)=$X$7,LEFT(M1454,3)=$X$7)),"x","")</f>
        <v/>
      </c>
      <c r="Y1454" s="525" t="str">
        <f>IF(OR(TH!L1454=TH!$Y$7,M1454=TH!$Y$7),"x","")</f>
        <v/>
      </c>
      <c r="Z1454" s="525" t="str">
        <f>IF(AND(B1454&lt;=NKC!$N$8,B1454&gt;=NKC!$M$8),"x","")</f>
        <v>x</v>
      </c>
      <c r="AA1454" s="535">
        <v>1</v>
      </c>
    </row>
    <row r="1455" spans="1:28" s="503" customFormat="1" ht="15.75" customHeight="1">
      <c r="A1455" s="517" t="str">
        <f>IF(B1455&lt;&gt;"",IF(AND(B1455&gt;=_TM1,B1455&lt;=_TM2,OR(TH!L1455="1111",TH!M1455="1111")),TH!D1455,""),"")</f>
        <v/>
      </c>
      <c r="B1455" s="531">
        <f t="shared" si="147"/>
        <v>2</v>
      </c>
      <c r="C1455" s="315">
        <f t="shared" si="148"/>
        <v>42794</v>
      </c>
      <c r="D1455" s="537" t="s">
        <v>978</v>
      </c>
      <c r="E1455" s="315">
        <v>42794</v>
      </c>
      <c r="F1455" s="249" t="s">
        <v>494</v>
      </c>
      <c r="G1455" s="314" t="s">
        <v>610</v>
      </c>
      <c r="H1455" s="473" t="s">
        <v>420</v>
      </c>
      <c r="I1455" s="307"/>
      <c r="J1455" s="307"/>
      <c r="K1455" s="532">
        <v>7926488</v>
      </c>
      <c r="L1455" s="534" t="s">
        <v>9</v>
      </c>
      <c r="M1455" s="534" t="s">
        <v>8</v>
      </c>
      <c r="N1455" s="525" t="str">
        <f>IF(AND('331-CT'!$E$7=TH!H1455,OR(L1455="331",M1455="331")),"331",IF(AND(OR(L1455="131",M1455="131"),H1455='131-CT'!$E$7),"131",""))</f>
        <v/>
      </c>
      <c r="O1455" s="525" t="str">
        <f>IF(AND($B1455&gt;='111'!$N$11,$B1455&lt;='111'!$O$11,OR($L1455=$O$7,$M1455=$O$7)),"x","")</f>
        <v/>
      </c>
      <c r="P1455" s="525" t="str">
        <f>IF(AND($L1455=$O$7,$B1455&lt;'111'!$N$11),"x","")</f>
        <v/>
      </c>
      <c r="Q1455" s="525" t="str">
        <f>IF(AND($M1455=$O$7,$B1455&lt;'111'!$N$11),"x","")</f>
        <v/>
      </c>
      <c r="R1455" s="525" t="str">
        <f>IF(ISERROR(FIND('112'!$M$9,G1455,1)),"",IF((AND(FIND('112'!$M$9,G1455,1)&gt;=1,$B1455&gt;='112'!$N$8,$B1455&lt;='112'!$O$8,OR($L1455='112'!$I$6,$M1455='112'!$I$6))),"x",""))</f>
        <v/>
      </c>
      <c r="S1455" s="525" t="str">
        <f>IF(ISERROR(FIND('112'!$M$9,G1455,1)),"",IF((AND(LEFT(G1455,2)=LEFT('112'!$M$9,2),B1455&lt;'112'!$N$8,$L1455='112'!$I$6)),"x",""))</f>
        <v/>
      </c>
      <c r="T1455" s="525" t="str">
        <f>IF(ISERROR(FIND('112'!$M$9,G1455,1)),"",IF((AND(RIGHT(G1455,2)=RIGHT('112'!$M$9,2),B1455&lt;'112'!$N$8,$M1455='112'!$I$6)),"x",""))</f>
        <v/>
      </c>
      <c r="U1455" s="525" t="str">
        <f>IF(AND(B1455&gt;='IN-NX'!$P$3,B1455&lt;='IN-NX'!$Q$3,'IN-NX'!$D$7=D1455,OR(LEFT(L1455,2)="15",AND(LEFT(M1455,2)&lt;&gt;"15",LEFT(M1455,2)&lt;&gt;"33"))),"x","")</f>
        <v/>
      </c>
      <c r="V1455" s="525" t="str">
        <f>IF(AND(OR(LEFT(TH!L1455,2)="15",LEFT(TH!M1455,2)="15"),'152-CT'!$J$8=TH!F1455),"x","")</f>
        <v/>
      </c>
      <c r="W1455" s="525" t="str">
        <f>IF(AND(OR(LEFT(TH!L1455,2)="15",LEFT(TH!M1455,2)="15"),TK!$E$7=TH!F1455),"x","")</f>
        <v/>
      </c>
      <c r="X1455" s="525" t="str">
        <f>IF(AND('341-CT'!$E$9=H1455,OR(LEFT(L1455,3)=$X$7,LEFT(M1455,3)=$X$7)),"x","")</f>
        <v/>
      </c>
      <c r="Y1455" s="525" t="str">
        <f>IF(OR(TH!L1455=TH!$Y$7,M1455=TH!$Y$7),"x","")</f>
        <v/>
      </c>
      <c r="Z1455" s="525" t="str">
        <f>IF(AND(B1455&lt;=NKC!$N$8,B1455&gt;=NKC!$M$8),"x","")</f>
        <v>x</v>
      </c>
      <c r="AA1455" s="535">
        <v>1</v>
      </c>
      <c r="AB1455" s="536"/>
    </row>
    <row r="1456" spans="1:28" s="503" customFormat="1" ht="15.75" customHeight="1">
      <c r="A1456" s="517" t="str">
        <f>IF(B1456&lt;&gt;"",IF(AND(B1456&gt;=_TM1,B1456&lt;=_TM2,OR(TH!L1456="1111",TH!M1456="1111")),TH!D1456,""),"")</f>
        <v/>
      </c>
      <c r="B1456" s="531">
        <f t="shared" si="147"/>
        <v>3</v>
      </c>
      <c r="C1456" s="315">
        <f t="shared" si="148"/>
        <v>42795</v>
      </c>
      <c r="D1456" s="537" t="s">
        <v>979</v>
      </c>
      <c r="E1456" s="537">
        <v>42795</v>
      </c>
      <c r="F1456" s="249" t="s">
        <v>579</v>
      </c>
      <c r="G1456" s="538" t="s">
        <v>578</v>
      </c>
      <c r="H1456" s="473" t="s">
        <v>271</v>
      </c>
      <c r="I1456" s="307">
        <v>24</v>
      </c>
      <c r="J1456" s="307">
        <v>21083</v>
      </c>
      <c r="K1456" s="532">
        <f t="shared" ref="K1456:K1464" si="149">ROUND(I1456*J1456,0)</f>
        <v>505992</v>
      </c>
      <c r="L1456" s="534" t="s">
        <v>292</v>
      </c>
      <c r="M1456" s="534" t="s">
        <v>8</v>
      </c>
      <c r="N1456" s="525" t="str">
        <f>IF(AND('331-CT'!$E$7=TH!H1456,OR(L1456="331",M1456="331")),"331",IF(AND(OR(L1456="131",M1456="131"),H1456='131-CT'!$E$7),"131",""))</f>
        <v>331</v>
      </c>
      <c r="O1456" s="525" t="str">
        <f>IF(AND($B1456&gt;='111'!$N$11,$B1456&lt;='111'!$O$11,OR($L1456=$O$7,$M1456=$O$7)),"x","")</f>
        <v/>
      </c>
      <c r="P1456" s="525" t="str">
        <f>IF(AND($L1456=$O$7,$B1456&lt;'111'!$N$11),"x","")</f>
        <v/>
      </c>
      <c r="Q1456" s="525" t="str">
        <f>IF(AND($M1456=$O$7,$B1456&lt;'111'!$N$11),"x","")</f>
        <v/>
      </c>
      <c r="R1456" s="525" t="str">
        <f>IF(ISERROR(FIND('112'!$M$9,G1456,1)),"",IF((AND(FIND('112'!$M$9,G1456,1)&gt;=1,$B1456&gt;='112'!$N$8,$B1456&lt;='112'!$O$8,OR($L1456='112'!$I$6,$M1456='112'!$I$6))),"x",""))</f>
        <v/>
      </c>
      <c r="S1456" s="525" t="str">
        <f>IF(ISERROR(FIND('112'!$M$9,G1456,1)),"",IF((AND(LEFT(G1456,2)=LEFT('112'!$M$9,2),B1456&lt;'112'!$N$8,$L1456='112'!$I$6)),"x",""))</f>
        <v/>
      </c>
      <c r="T1456" s="525" t="str">
        <f>IF(ISERROR(FIND('112'!$M$9,G1456,1)),"",IF((AND(RIGHT(G1456,2)=RIGHT('112'!$M$9,2),B1456&lt;'112'!$N$8,$M1456='112'!$I$6)),"x",""))</f>
        <v/>
      </c>
      <c r="U1456" s="525" t="str">
        <f>IF(AND(B1456&gt;='IN-NX'!$P$3,B1456&lt;='IN-NX'!$Q$3,'IN-NX'!$D$7=D1456,OR(LEFT(L1456,2)="15",AND(LEFT(M1456,2)&lt;&gt;"15",LEFT(M1456,2)&lt;&gt;"33"))),"x","")</f>
        <v/>
      </c>
      <c r="V1456" s="525" t="str">
        <f>IF(AND(OR(LEFT(TH!L1456,2)="15",LEFT(TH!M1456,2)="15"),'152-CT'!$J$8=TH!F1456),"x","")</f>
        <v/>
      </c>
      <c r="W1456" s="525" t="str">
        <f>IF(AND(OR(LEFT(TH!L1456,2)="15",LEFT(TH!M1456,2)="15"),TK!$E$7=TH!F1456),"x","")</f>
        <v/>
      </c>
      <c r="X1456" s="525" t="str">
        <f>IF(AND('341-CT'!$E$9=H1456,OR(LEFT(L1456,3)=$X$7,LEFT(M1456,3)=$X$7)),"x","")</f>
        <v/>
      </c>
      <c r="Y1456" s="525" t="str">
        <f>IF(OR(TH!L1456=TH!$Y$7,M1456=TH!$Y$7),"x","")</f>
        <v/>
      </c>
      <c r="Z1456" s="525" t="str">
        <f>IF(AND(B1456&lt;=NKC!$N$8,B1456&gt;=NKC!$M$8),"x","")</f>
        <v>x</v>
      </c>
      <c r="AA1456" s="535">
        <v>1</v>
      </c>
    </row>
    <row r="1457" spans="1:28" s="503" customFormat="1" ht="15.75" customHeight="1">
      <c r="A1457" s="517" t="str">
        <f>IF(B1457&lt;&gt;"",IF(AND(B1457&gt;=_TM1,B1457&lt;=_TM2,OR(TH!L1457="1111",TH!M1457="1111")),TH!D1457,""),"")</f>
        <v/>
      </c>
      <c r="B1457" s="531">
        <f t="shared" si="147"/>
        <v>3</v>
      </c>
      <c r="C1457" s="315">
        <f t="shared" si="148"/>
        <v>42795</v>
      </c>
      <c r="D1457" s="537" t="s">
        <v>979</v>
      </c>
      <c r="E1457" s="537">
        <v>42795</v>
      </c>
      <c r="F1457" s="249" t="s">
        <v>580</v>
      </c>
      <c r="G1457" s="538" t="s">
        <v>578</v>
      </c>
      <c r="H1457" s="473" t="s">
        <v>271</v>
      </c>
      <c r="I1457" s="307">
        <v>125</v>
      </c>
      <c r="J1457" s="307">
        <v>12432</v>
      </c>
      <c r="K1457" s="532">
        <f t="shared" si="149"/>
        <v>1554000</v>
      </c>
      <c r="L1457" s="534" t="s">
        <v>292</v>
      </c>
      <c r="M1457" s="534" t="s">
        <v>8</v>
      </c>
      <c r="N1457" s="525" t="str">
        <f>IF(AND('331-CT'!$E$7=TH!H1457,OR(L1457="331",M1457="331")),"331",IF(AND(OR(L1457="131",M1457="131"),H1457='131-CT'!$E$7),"131",""))</f>
        <v>331</v>
      </c>
      <c r="O1457" s="525" t="str">
        <f>IF(AND($B1457&gt;='111'!$N$11,$B1457&lt;='111'!$O$11,OR($L1457=$O$7,$M1457=$O$7)),"x","")</f>
        <v/>
      </c>
      <c r="P1457" s="525" t="str">
        <f>IF(AND($L1457=$O$7,$B1457&lt;'111'!$N$11),"x","")</f>
        <v/>
      </c>
      <c r="Q1457" s="525" t="str">
        <f>IF(AND($M1457=$O$7,$B1457&lt;'111'!$N$11),"x","")</f>
        <v/>
      </c>
      <c r="R1457" s="525" t="str">
        <f>IF(ISERROR(FIND('112'!$M$9,G1457,1)),"",IF((AND(FIND('112'!$M$9,G1457,1)&gt;=1,$B1457&gt;='112'!$N$8,$B1457&lt;='112'!$O$8,OR($L1457='112'!$I$6,$M1457='112'!$I$6))),"x",""))</f>
        <v/>
      </c>
      <c r="S1457" s="525" t="str">
        <f>IF(ISERROR(FIND('112'!$M$9,G1457,1)),"",IF((AND(LEFT(G1457,2)=LEFT('112'!$M$9,2),B1457&lt;'112'!$N$8,$L1457='112'!$I$6)),"x",""))</f>
        <v/>
      </c>
      <c r="T1457" s="525" t="str">
        <f>IF(ISERROR(FIND('112'!$M$9,G1457,1)),"",IF((AND(RIGHT(G1457,2)=RIGHT('112'!$M$9,2),B1457&lt;'112'!$N$8,$M1457='112'!$I$6)),"x",""))</f>
        <v/>
      </c>
      <c r="U1457" s="525" t="str">
        <f>IF(AND(B1457&gt;='IN-NX'!$P$3,B1457&lt;='IN-NX'!$Q$3,'IN-NX'!$D$7=D1457,OR(LEFT(L1457,2)="15",AND(LEFT(M1457,2)&lt;&gt;"15",LEFT(M1457,2)&lt;&gt;"33"))),"x","")</f>
        <v/>
      </c>
      <c r="V1457" s="525" t="str">
        <f>IF(AND(OR(LEFT(TH!L1457,2)="15",LEFT(TH!M1457,2)="15"),'152-CT'!$J$8=TH!F1457),"x","")</f>
        <v/>
      </c>
      <c r="W1457" s="525" t="str">
        <f>IF(AND(OR(LEFT(TH!L1457,2)="15",LEFT(TH!M1457,2)="15"),TK!$E$7=TH!F1457),"x","")</f>
        <v/>
      </c>
      <c r="X1457" s="525" t="str">
        <f>IF(AND('341-CT'!$E$9=H1457,OR(LEFT(L1457,3)=$X$7,LEFT(M1457,3)=$X$7)),"x","")</f>
        <v/>
      </c>
      <c r="Y1457" s="525" t="str">
        <f>IF(OR(TH!L1457=TH!$Y$7,M1457=TH!$Y$7),"x","")</f>
        <v/>
      </c>
      <c r="Z1457" s="525" t="str">
        <f>IF(AND(B1457&lt;=NKC!$N$8,B1457&gt;=NKC!$M$8),"x","")</f>
        <v>x</v>
      </c>
      <c r="AA1457" s="535">
        <v>1</v>
      </c>
    </row>
    <row r="1458" spans="1:28" s="503" customFormat="1" ht="15.75" customHeight="1">
      <c r="A1458" s="517" t="str">
        <f>IF(B1458&lt;&gt;"",IF(AND(B1458&gt;=_TM1,B1458&lt;=_TM2,OR(TH!L1458="1111",TH!M1458="1111")),TH!D1458,""),"")</f>
        <v/>
      </c>
      <c r="B1458" s="531">
        <f t="shared" si="147"/>
        <v>3</v>
      </c>
      <c r="C1458" s="315">
        <f t="shared" si="148"/>
        <v>42795</v>
      </c>
      <c r="D1458" s="537" t="s">
        <v>979</v>
      </c>
      <c r="E1458" s="537">
        <v>42795</v>
      </c>
      <c r="F1458" s="249" t="s">
        <v>581</v>
      </c>
      <c r="G1458" s="538" t="s">
        <v>578</v>
      </c>
      <c r="H1458" s="473" t="s">
        <v>271</v>
      </c>
      <c r="I1458" s="307">
        <v>200</v>
      </c>
      <c r="J1458" s="307">
        <v>14497</v>
      </c>
      <c r="K1458" s="532">
        <f t="shared" si="149"/>
        <v>2899400</v>
      </c>
      <c r="L1458" s="534" t="s">
        <v>292</v>
      </c>
      <c r="M1458" s="534" t="s">
        <v>8</v>
      </c>
      <c r="N1458" s="525" t="str">
        <f>IF(AND('331-CT'!$E$7=TH!H1458,OR(L1458="331",M1458="331")),"331",IF(AND(OR(L1458="131",M1458="131"),H1458='131-CT'!$E$7),"131",""))</f>
        <v>331</v>
      </c>
      <c r="O1458" s="525" t="str">
        <f>IF(AND($B1458&gt;='111'!$N$11,$B1458&lt;='111'!$O$11,OR($L1458=$O$7,$M1458=$O$7)),"x","")</f>
        <v/>
      </c>
      <c r="P1458" s="525" t="str">
        <f>IF(AND($L1458=$O$7,$B1458&lt;'111'!$N$11),"x","")</f>
        <v/>
      </c>
      <c r="Q1458" s="525" t="str">
        <f>IF(AND($M1458=$O$7,$B1458&lt;'111'!$N$11),"x","")</f>
        <v/>
      </c>
      <c r="R1458" s="525" t="str">
        <f>IF(ISERROR(FIND('112'!$M$9,G1458,1)),"",IF((AND(FIND('112'!$M$9,G1458,1)&gt;=1,$B1458&gt;='112'!$N$8,$B1458&lt;='112'!$O$8,OR($L1458='112'!$I$6,$M1458='112'!$I$6))),"x",""))</f>
        <v/>
      </c>
      <c r="S1458" s="525" t="str">
        <f>IF(ISERROR(FIND('112'!$M$9,G1458,1)),"",IF((AND(LEFT(G1458,2)=LEFT('112'!$M$9,2),B1458&lt;'112'!$N$8,$L1458='112'!$I$6)),"x",""))</f>
        <v/>
      </c>
      <c r="T1458" s="525" t="str">
        <f>IF(ISERROR(FIND('112'!$M$9,G1458,1)),"",IF((AND(RIGHT(G1458,2)=RIGHT('112'!$M$9,2),B1458&lt;'112'!$N$8,$M1458='112'!$I$6)),"x",""))</f>
        <v/>
      </c>
      <c r="U1458" s="525" t="str">
        <f>IF(AND(B1458&gt;='IN-NX'!$P$3,B1458&lt;='IN-NX'!$Q$3,'IN-NX'!$D$7=D1458,OR(LEFT(L1458,2)="15",AND(LEFT(M1458,2)&lt;&gt;"15",LEFT(M1458,2)&lt;&gt;"33"))),"x","")</f>
        <v/>
      </c>
      <c r="V1458" s="525" t="str">
        <f>IF(AND(OR(LEFT(TH!L1458,2)="15",LEFT(TH!M1458,2)="15"),'152-CT'!$J$8=TH!F1458),"x","")</f>
        <v/>
      </c>
      <c r="W1458" s="525" t="str">
        <f>IF(AND(OR(LEFT(TH!L1458,2)="15",LEFT(TH!M1458,2)="15"),TK!$E$7=TH!F1458),"x","")</f>
        <v/>
      </c>
      <c r="X1458" s="525" t="str">
        <f>IF(AND('341-CT'!$E$9=H1458,OR(LEFT(L1458,3)=$X$7,LEFT(M1458,3)=$X$7)),"x","")</f>
        <v/>
      </c>
      <c r="Y1458" s="525" t="str">
        <f>IF(OR(TH!L1458=TH!$Y$7,M1458=TH!$Y$7),"x","")</f>
        <v/>
      </c>
      <c r="Z1458" s="525" t="str">
        <f>IF(AND(B1458&lt;=NKC!$N$8,B1458&gt;=NKC!$M$8),"x","")</f>
        <v>x</v>
      </c>
      <c r="AA1458" s="535">
        <v>1</v>
      </c>
    </row>
    <row r="1459" spans="1:28" s="503" customFormat="1" ht="15.75" customHeight="1">
      <c r="A1459" s="517" t="str">
        <f>IF(B1459&lt;&gt;"",IF(AND(B1459&gt;=_TM1,B1459&lt;=_TM2,OR(TH!L1459="1111",TH!M1459="1111")),TH!D1459,""),"")</f>
        <v/>
      </c>
      <c r="B1459" s="531">
        <f t="shared" si="147"/>
        <v>3</v>
      </c>
      <c r="C1459" s="315">
        <f t="shared" si="148"/>
        <v>42795</v>
      </c>
      <c r="D1459" s="537" t="s">
        <v>979</v>
      </c>
      <c r="E1459" s="537">
        <v>42795</v>
      </c>
      <c r="F1459" s="249" t="s">
        <v>582</v>
      </c>
      <c r="G1459" s="538" t="s">
        <v>578</v>
      </c>
      <c r="H1459" s="473" t="s">
        <v>271</v>
      </c>
      <c r="I1459" s="307">
        <v>26</v>
      </c>
      <c r="J1459" s="307">
        <v>37859</v>
      </c>
      <c r="K1459" s="532">
        <f t="shared" si="149"/>
        <v>984334</v>
      </c>
      <c r="L1459" s="534" t="s">
        <v>292</v>
      </c>
      <c r="M1459" s="534" t="s">
        <v>8</v>
      </c>
      <c r="N1459" s="525" t="str">
        <f>IF(AND('331-CT'!$E$7=TH!H1459,OR(L1459="331",M1459="331")),"331",IF(AND(OR(L1459="131",M1459="131"),H1459='131-CT'!$E$7),"131",""))</f>
        <v>331</v>
      </c>
      <c r="O1459" s="525" t="str">
        <f>IF(AND($B1459&gt;='111'!$N$11,$B1459&lt;='111'!$O$11,OR($L1459=$O$7,$M1459=$O$7)),"x","")</f>
        <v/>
      </c>
      <c r="P1459" s="525" t="str">
        <f>IF(AND($L1459=$O$7,$B1459&lt;'111'!$N$11),"x","")</f>
        <v/>
      </c>
      <c r="Q1459" s="525" t="str">
        <f>IF(AND($M1459=$O$7,$B1459&lt;'111'!$N$11),"x","")</f>
        <v/>
      </c>
      <c r="R1459" s="525" t="str">
        <f>IF(ISERROR(FIND('112'!$M$9,G1459,1)),"",IF((AND(FIND('112'!$M$9,G1459,1)&gt;=1,$B1459&gt;='112'!$N$8,$B1459&lt;='112'!$O$8,OR($L1459='112'!$I$6,$M1459='112'!$I$6))),"x",""))</f>
        <v/>
      </c>
      <c r="S1459" s="525" t="str">
        <f>IF(ISERROR(FIND('112'!$M$9,G1459,1)),"",IF((AND(LEFT(G1459,2)=LEFT('112'!$M$9,2),B1459&lt;'112'!$N$8,$L1459='112'!$I$6)),"x",""))</f>
        <v/>
      </c>
      <c r="T1459" s="525" t="str">
        <f>IF(ISERROR(FIND('112'!$M$9,G1459,1)),"",IF((AND(RIGHT(G1459,2)=RIGHT('112'!$M$9,2),B1459&lt;'112'!$N$8,$M1459='112'!$I$6)),"x",""))</f>
        <v/>
      </c>
      <c r="U1459" s="525" t="str">
        <f>IF(AND(B1459&gt;='IN-NX'!$P$3,B1459&lt;='IN-NX'!$Q$3,'IN-NX'!$D$7=D1459,OR(LEFT(L1459,2)="15",AND(LEFT(M1459,2)&lt;&gt;"15",LEFT(M1459,2)&lt;&gt;"33"))),"x","")</f>
        <v/>
      </c>
      <c r="V1459" s="525" t="str">
        <f>IF(AND(OR(LEFT(TH!L1459,2)="15",LEFT(TH!M1459,2)="15"),'152-CT'!$J$8=TH!F1459),"x","")</f>
        <v/>
      </c>
      <c r="W1459" s="525" t="str">
        <f>IF(AND(OR(LEFT(TH!L1459,2)="15",LEFT(TH!M1459,2)="15"),TK!$E$7=TH!F1459),"x","")</f>
        <v/>
      </c>
      <c r="X1459" s="525" t="str">
        <f>IF(AND('341-CT'!$E$9=H1459,OR(LEFT(L1459,3)=$X$7,LEFT(M1459,3)=$X$7)),"x","")</f>
        <v/>
      </c>
      <c r="Y1459" s="525" t="str">
        <f>IF(OR(TH!L1459=TH!$Y$7,M1459=TH!$Y$7),"x","")</f>
        <v/>
      </c>
      <c r="Z1459" s="525" t="str">
        <f>IF(AND(B1459&lt;=NKC!$N$8,B1459&gt;=NKC!$M$8),"x","")</f>
        <v>x</v>
      </c>
      <c r="AA1459" s="535">
        <v>1</v>
      </c>
    </row>
    <row r="1460" spans="1:28" s="503" customFormat="1" ht="15.75" customHeight="1">
      <c r="A1460" s="517" t="str">
        <f>IF(B1460&lt;&gt;"",IF(AND(B1460&gt;=_TM1,B1460&lt;=_TM2,OR(TH!L1460="1111",TH!M1460="1111")),TH!D1460,""),"")</f>
        <v/>
      </c>
      <c r="B1460" s="531">
        <f t="shared" si="147"/>
        <v>3</v>
      </c>
      <c r="C1460" s="315">
        <f t="shared" si="148"/>
        <v>42795</v>
      </c>
      <c r="D1460" s="537" t="s">
        <v>979</v>
      </c>
      <c r="E1460" s="537">
        <v>42795</v>
      </c>
      <c r="F1460" s="249" t="s">
        <v>582</v>
      </c>
      <c r="G1460" s="538" t="s">
        <v>578</v>
      </c>
      <c r="H1460" s="473" t="s">
        <v>271</v>
      </c>
      <c r="I1460" s="307">
        <v>26</v>
      </c>
      <c r="J1460" s="307">
        <v>25904</v>
      </c>
      <c r="K1460" s="532">
        <f t="shared" si="149"/>
        <v>673504</v>
      </c>
      <c r="L1460" s="534" t="s">
        <v>292</v>
      </c>
      <c r="M1460" s="534" t="s">
        <v>8</v>
      </c>
      <c r="N1460" s="525" t="str">
        <f>IF(AND('331-CT'!$E$7=TH!H1460,OR(L1460="331",M1460="331")),"331",IF(AND(OR(L1460="131",M1460="131"),H1460='131-CT'!$E$7),"131",""))</f>
        <v>331</v>
      </c>
      <c r="O1460" s="525" t="str">
        <f>IF(AND($B1460&gt;='111'!$N$11,$B1460&lt;='111'!$O$11,OR($L1460=$O$7,$M1460=$O$7)),"x","")</f>
        <v/>
      </c>
      <c r="P1460" s="525" t="str">
        <f>IF(AND($L1460=$O$7,$B1460&lt;'111'!$N$11),"x","")</f>
        <v/>
      </c>
      <c r="Q1460" s="525" t="str">
        <f>IF(AND($M1460=$O$7,$B1460&lt;'111'!$N$11),"x","")</f>
        <v/>
      </c>
      <c r="R1460" s="525" t="str">
        <f>IF(ISERROR(FIND('112'!$M$9,G1460,1)),"",IF((AND(FIND('112'!$M$9,G1460,1)&gt;=1,$B1460&gt;='112'!$N$8,$B1460&lt;='112'!$O$8,OR($L1460='112'!$I$6,$M1460='112'!$I$6))),"x",""))</f>
        <v/>
      </c>
      <c r="S1460" s="525" t="str">
        <f>IF(ISERROR(FIND('112'!$M$9,G1460,1)),"",IF((AND(LEFT(G1460,2)=LEFT('112'!$M$9,2),B1460&lt;'112'!$N$8,$L1460='112'!$I$6)),"x",""))</f>
        <v/>
      </c>
      <c r="T1460" s="525" t="str">
        <f>IF(ISERROR(FIND('112'!$M$9,G1460,1)),"",IF((AND(RIGHT(G1460,2)=RIGHT('112'!$M$9,2),B1460&lt;'112'!$N$8,$M1460='112'!$I$6)),"x",""))</f>
        <v/>
      </c>
      <c r="U1460" s="525" t="str">
        <f>IF(AND(B1460&gt;='IN-NX'!$P$3,B1460&lt;='IN-NX'!$Q$3,'IN-NX'!$D$7=D1460,OR(LEFT(L1460,2)="15",AND(LEFT(M1460,2)&lt;&gt;"15",LEFT(M1460,2)&lt;&gt;"33"))),"x","")</f>
        <v/>
      </c>
      <c r="V1460" s="525" t="str">
        <f>IF(AND(OR(LEFT(TH!L1460,2)="15",LEFT(TH!M1460,2)="15"),'152-CT'!$J$8=TH!F1460),"x","")</f>
        <v/>
      </c>
      <c r="W1460" s="525" t="str">
        <f>IF(AND(OR(LEFT(TH!L1460,2)="15",LEFT(TH!M1460,2)="15"),TK!$E$7=TH!F1460),"x","")</f>
        <v/>
      </c>
      <c r="X1460" s="525" t="str">
        <f>IF(AND('341-CT'!$E$9=H1460,OR(LEFT(L1460,3)=$X$7,LEFT(M1460,3)=$X$7)),"x","")</f>
        <v/>
      </c>
      <c r="Y1460" s="525" t="str">
        <f>IF(OR(TH!L1460=TH!$Y$7,M1460=TH!$Y$7),"x","")</f>
        <v/>
      </c>
      <c r="Z1460" s="525" t="str">
        <f>IF(AND(B1460&lt;=NKC!$N$8,B1460&gt;=NKC!$M$8),"x","")</f>
        <v>x</v>
      </c>
      <c r="AA1460" s="535">
        <v>1</v>
      </c>
    </row>
    <row r="1461" spans="1:28" s="503" customFormat="1" ht="15.75" customHeight="1">
      <c r="A1461" s="517" t="str">
        <f>IF(B1461&lt;&gt;"",IF(AND(B1461&gt;=_TM1,B1461&lt;=_TM2,OR(TH!L1461="1111",TH!M1461="1111")),TH!D1461,""),"")</f>
        <v/>
      </c>
      <c r="B1461" s="531">
        <f t="shared" si="147"/>
        <v>3</v>
      </c>
      <c r="C1461" s="315">
        <f t="shared" si="148"/>
        <v>42795</v>
      </c>
      <c r="D1461" s="537" t="s">
        <v>979</v>
      </c>
      <c r="E1461" s="537">
        <v>42795</v>
      </c>
      <c r="F1461" s="249" t="s">
        <v>583</v>
      </c>
      <c r="G1461" s="538" t="s">
        <v>578</v>
      </c>
      <c r="H1461" s="473" t="s">
        <v>271</v>
      </c>
      <c r="I1461" s="307">
        <v>21</v>
      </c>
      <c r="J1461" s="307">
        <v>31293</v>
      </c>
      <c r="K1461" s="532">
        <f t="shared" si="149"/>
        <v>657153</v>
      </c>
      <c r="L1461" s="534" t="s">
        <v>292</v>
      </c>
      <c r="M1461" s="534" t="s">
        <v>8</v>
      </c>
      <c r="N1461" s="525" t="str">
        <f>IF(AND('331-CT'!$E$7=TH!H1461,OR(L1461="331",M1461="331")),"331",IF(AND(OR(L1461="131",M1461="131"),H1461='131-CT'!$E$7),"131",""))</f>
        <v>331</v>
      </c>
      <c r="O1461" s="525" t="str">
        <f>IF(AND($B1461&gt;='111'!$N$11,$B1461&lt;='111'!$O$11,OR($L1461=$O$7,$M1461=$O$7)),"x","")</f>
        <v/>
      </c>
      <c r="P1461" s="525" t="str">
        <f>IF(AND($L1461=$O$7,$B1461&lt;'111'!$N$11),"x","")</f>
        <v/>
      </c>
      <c r="Q1461" s="525" t="str">
        <f>IF(AND($M1461=$O$7,$B1461&lt;'111'!$N$11),"x","")</f>
        <v/>
      </c>
      <c r="R1461" s="525" t="str">
        <f>IF(ISERROR(FIND('112'!$M$9,G1461,1)),"",IF((AND(FIND('112'!$M$9,G1461,1)&gt;=1,$B1461&gt;='112'!$N$8,$B1461&lt;='112'!$O$8,OR($L1461='112'!$I$6,$M1461='112'!$I$6))),"x",""))</f>
        <v/>
      </c>
      <c r="S1461" s="525" t="str">
        <f>IF(ISERROR(FIND('112'!$M$9,G1461,1)),"",IF((AND(LEFT(G1461,2)=LEFT('112'!$M$9,2),B1461&lt;'112'!$N$8,$L1461='112'!$I$6)),"x",""))</f>
        <v/>
      </c>
      <c r="T1461" s="525" t="str">
        <f>IF(ISERROR(FIND('112'!$M$9,G1461,1)),"",IF((AND(RIGHT(G1461,2)=RIGHT('112'!$M$9,2),B1461&lt;'112'!$N$8,$M1461='112'!$I$6)),"x",""))</f>
        <v/>
      </c>
      <c r="U1461" s="525" t="str">
        <f>IF(AND(B1461&gt;='IN-NX'!$P$3,B1461&lt;='IN-NX'!$Q$3,'IN-NX'!$D$7=D1461,OR(LEFT(L1461,2)="15",AND(LEFT(M1461,2)&lt;&gt;"15",LEFT(M1461,2)&lt;&gt;"33"))),"x","")</f>
        <v/>
      </c>
      <c r="V1461" s="525" t="str">
        <f>IF(AND(OR(LEFT(TH!L1461,2)="15",LEFT(TH!M1461,2)="15"),'152-CT'!$J$8=TH!F1461),"x","")</f>
        <v/>
      </c>
      <c r="W1461" s="525" t="str">
        <f>IF(AND(OR(LEFT(TH!L1461,2)="15",LEFT(TH!M1461,2)="15"),TK!$E$7=TH!F1461),"x","")</f>
        <v/>
      </c>
      <c r="X1461" s="525" t="str">
        <f>IF(AND('341-CT'!$E$9=H1461,OR(LEFT(L1461,3)=$X$7,LEFT(M1461,3)=$X$7)),"x","")</f>
        <v/>
      </c>
      <c r="Y1461" s="525" t="str">
        <f>IF(OR(TH!L1461=TH!$Y$7,M1461=TH!$Y$7),"x","")</f>
        <v/>
      </c>
      <c r="Z1461" s="525" t="str">
        <f>IF(AND(B1461&lt;=NKC!$N$8,B1461&gt;=NKC!$M$8),"x","")</f>
        <v>x</v>
      </c>
      <c r="AA1461" s="535">
        <v>1</v>
      </c>
    </row>
    <row r="1462" spans="1:28" s="503" customFormat="1" ht="15.75" customHeight="1">
      <c r="A1462" s="517" t="str">
        <f>IF(B1462&lt;&gt;"",IF(AND(B1462&gt;=_TM1,B1462&lt;=_TM2,OR(TH!L1462="1111",TH!M1462="1111")),TH!D1462,""),"")</f>
        <v/>
      </c>
      <c r="B1462" s="531">
        <f t="shared" si="147"/>
        <v>3</v>
      </c>
      <c r="C1462" s="315">
        <f t="shared" si="148"/>
        <v>42795</v>
      </c>
      <c r="D1462" s="537" t="s">
        <v>979</v>
      </c>
      <c r="E1462" s="537">
        <v>42795</v>
      </c>
      <c r="F1462" s="249" t="s">
        <v>583</v>
      </c>
      <c r="G1462" s="538" t="s">
        <v>578</v>
      </c>
      <c r="H1462" s="473" t="s">
        <v>271</v>
      </c>
      <c r="I1462" s="307">
        <v>21</v>
      </c>
      <c r="J1462" s="307">
        <v>21411</v>
      </c>
      <c r="K1462" s="532">
        <f t="shared" si="149"/>
        <v>449631</v>
      </c>
      <c r="L1462" s="534" t="s">
        <v>292</v>
      </c>
      <c r="M1462" s="534" t="s">
        <v>8</v>
      </c>
      <c r="N1462" s="525" t="str">
        <f>IF(AND('331-CT'!$E$7=TH!H1462,OR(L1462="331",M1462="331")),"331",IF(AND(OR(L1462="131",M1462="131"),H1462='131-CT'!$E$7),"131",""))</f>
        <v>331</v>
      </c>
      <c r="O1462" s="525" t="str">
        <f>IF(AND($B1462&gt;='111'!$N$11,$B1462&lt;='111'!$O$11,OR($L1462=$O$7,$M1462=$O$7)),"x","")</f>
        <v/>
      </c>
      <c r="P1462" s="525" t="str">
        <f>IF(AND($L1462=$O$7,$B1462&lt;'111'!$N$11),"x","")</f>
        <v/>
      </c>
      <c r="Q1462" s="525" t="str">
        <f>IF(AND($M1462=$O$7,$B1462&lt;'111'!$N$11),"x","")</f>
        <v/>
      </c>
      <c r="R1462" s="525" t="str">
        <f>IF(ISERROR(FIND('112'!$M$9,G1462,1)),"",IF((AND(FIND('112'!$M$9,G1462,1)&gt;=1,$B1462&gt;='112'!$N$8,$B1462&lt;='112'!$O$8,OR($L1462='112'!$I$6,$M1462='112'!$I$6))),"x",""))</f>
        <v/>
      </c>
      <c r="S1462" s="525" t="str">
        <f>IF(ISERROR(FIND('112'!$M$9,G1462,1)),"",IF((AND(LEFT(G1462,2)=LEFT('112'!$M$9,2),B1462&lt;'112'!$N$8,$L1462='112'!$I$6)),"x",""))</f>
        <v/>
      </c>
      <c r="T1462" s="525" t="str">
        <f>IF(ISERROR(FIND('112'!$M$9,G1462,1)),"",IF((AND(RIGHT(G1462,2)=RIGHT('112'!$M$9,2),B1462&lt;'112'!$N$8,$M1462='112'!$I$6)),"x",""))</f>
        <v/>
      </c>
      <c r="U1462" s="525" t="str">
        <f>IF(AND(B1462&gt;='IN-NX'!$P$3,B1462&lt;='IN-NX'!$Q$3,'IN-NX'!$D$7=D1462,OR(LEFT(L1462,2)="15",AND(LEFT(M1462,2)&lt;&gt;"15",LEFT(M1462,2)&lt;&gt;"33"))),"x","")</f>
        <v/>
      </c>
      <c r="V1462" s="525" t="str">
        <f>IF(AND(OR(LEFT(TH!L1462,2)="15",LEFT(TH!M1462,2)="15"),'152-CT'!$J$8=TH!F1462),"x","")</f>
        <v/>
      </c>
      <c r="W1462" s="525" t="str">
        <f>IF(AND(OR(LEFT(TH!L1462,2)="15",LEFT(TH!M1462,2)="15"),TK!$E$7=TH!F1462),"x","")</f>
        <v/>
      </c>
      <c r="X1462" s="525" t="str">
        <f>IF(AND('341-CT'!$E$9=H1462,OR(LEFT(L1462,3)=$X$7,LEFT(M1462,3)=$X$7)),"x","")</f>
        <v/>
      </c>
      <c r="Y1462" s="525" t="str">
        <f>IF(OR(TH!L1462=TH!$Y$7,M1462=TH!$Y$7),"x","")</f>
        <v/>
      </c>
      <c r="Z1462" s="525" t="str">
        <f>IF(AND(B1462&lt;=NKC!$N$8,B1462&gt;=NKC!$M$8),"x","")</f>
        <v>x</v>
      </c>
      <c r="AA1462" s="535">
        <v>1</v>
      </c>
    </row>
    <row r="1463" spans="1:28" s="503" customFormat="1" ht="15.75" customHeight="1">
      <c r="A1463" s="517" t="str">
        <f>IF(B1463&lt;&gt;"",IF(AND(B1463&gt;=_TM1,B1463&lt;=_TM2,OR(TH!L1463="1111",TH!M1463="1111")),TH!D1463,""),"")</f>
        <v/>
      </c>
      <c r="B1463" s="531">
        <f t="shared" si="147"/>
        <v>3</v>
      </c>
      <c r="C1463" s="315">
        <f t="shared" si="148"/>
        <v>42795</v>
      </c>
      <c r="D1463" s="537" t="s">
        <v>979</v>
      </c>
      <c r="E1463" s="537">
        <v>42795</v>
      </c>
      <c r="F1463" s="249" t="s">
        <v>403</v>
      </c>
      <c r="G1463" s="538" t="s">
        <v>578</v>
      </c>
      <c r="H1463" s="473" t="s">
        <v>271</v>
      </c>
      <c r="I1463" s="307">
        <v>30</v>
      </c>
      <c r="J1463" s="307">
        <v>25291</v>
      </c>
      <c r="K1463" s="532">
        <f t="shared" si="149"/>
        <v>758730</v>
      </c>
      <c r="L1463" s="534" t="s">
        <v>292</v>
      </c>
      <c r="M1463" s="534" t="s">
        <v>8</v>
      </c>
      <c r="N1463" s="525" t="str">
        <f>IF(AND('331-CT'!$E$7=TH!H1463,OR(L1463="331",M1463="331")),"331",IF(AND(OR(L1463="131",M1463="131"),H1463='131-CT'!$E$7),"131",""))</f>
        <v>331</v>
      </c>
      <c r="O1463" s="525" t="str">
        <f>IF(AND($B1463&gt;='111'!$N$11,$B1463&lt;='111'!$O$11,OR($L1463=$O$7,$M1463=$O$7)),"x","")</f>
        <v/>
      </c>
      <c r="P1463" s="525" t="str">
        <f>IF(AND($L1463=$O$7,$B1463&lt;'111'!$N$11),"x","")</f>
        <v/>
      </c>
      <c r="Q1463" s="525" t="str">
        <f>IF(AND($M1463=$O$7,$B1463&lt;'111'!$N$11),"x","")</f>
        <v/>
      </c>
      <c r="R1463" s="525" t="str">
        <f>IF(ISERROR(FIND('112'!$M$9,G1463,1)),"",IF((AND(FIND('112'!$M$9,G1463,1)&gt;=1,$B1463&gt;='112'!$N$8,$B1463&lt;='112'!$O$8,OR($L1463='112'!$I$6,$M1463='112'!$I$6))),"x",""))</f>
        <v/>
      </c>
      <c r="S1463" s="525" t="str">
        <f>IF(ISERROR(FIND('112'!$M$9,G1463,1)),"",IF((AND(LEFT(G1463,2)=LEFT('112'!$M$9,2),B1463&lt;'112'!$N$8,$L1463='112'!$I$6)),"x",""))</f>
        <v/>
      </c>
      <c r="T1463" s="525" t="str">
        <f>IF(ISERROR(FIND('112'!$M$9,G1463,1)),"",IF((AND(RIGHT(G1463,2)=RIGHT('112'!$M$9,2),B1463&lt;'112'!$N$8,$M1463='112'!$I$6)),"x",""))</f>
        <v/>
      </c>
      <c r="U1463" s="525" t="str">
        <f>IF(AND(B1463&gt;='IN-NX'!$P$3,B1463&lt;='IN-NX'!$Q$3,'IN-NX'!$D$7=D1463,OR(LEFT(L1463,2)="15",AND(LEFT(M1463,2)&lt;&gt;"15",LEFT(M1463,2)&lt;&gt;"33"))),"x","")</f>
        <v/>
      </c>
      <c r="V1463" s="525" t="str">
        <f>IF(AND(OR(LEFT(TH!L1463,2)="15",LEFT(TH!M1463,2)="15"),'152-CT'!$J$8=TH!F1463),"x","")</f>
        <v/>
      </c>
      <c r="W1463" s="525" t="str">
        <f>IF(AND(OR(LEFT(TH!L1463,2)="15",LEFT(TH!M1463,2)="15"),TK!$E$7=TH!F1463),"x","")</f>
        <v/>
      </c>
      <c r="X1463" s="525" t="str">
        <f>IF(AND('341-CT'!$E$9=H1463,OR(LEFT(L1463,3)=$X$7,LEFT(M1463,3)=$X$7)),"x","")</f>
        <v/>
      </c>
      <c r="Y1463" s="525" t="str">
        <f>IF(OR(TH!L1463=TH!$Y$7,M1463=TH!$Y$7),"x","")</f>
        <v/>
      </c>
      <c r="Z1463" s="525" t="str">
        <f>IF(AND(B1463&lt;=NKC!$N$8,B1463&gt;=NKC!$M$8),"x","")</f>
        <v>x</v>
      </c>
      <c r="AA1463" s="535">
        <v>1</v>
      </c>
    </row>
    <row r="1464" spans="1:28" s="503" customFormat="1" ht="15.75" customHeight="1">
      <c r="A1464" s="517" t="str">
        <f>IF(B1464&lt;&gt;"",IF(AND(B1464&gt;=_TM1,B1464&lt;=_TM2,OR(TH!L1464="1111",TH!M1464="1111")),TH!D1464,""),"")</f>
        <v/>
      </c>
      <c r="B1464" s="531">
        <f t="shared" si="147"/>
        <v>3</v>
      </c>
      <c r="C1464" s="315">
        <f t="shared" si="148"/>
        <v>42795</v>
      </c>
      <c r="D1464" s="537" t="s">
        <v>979</v>
      </c>
      <c r="E1464" s="537">
        <v>42795</v>
      </c>
      <c r="F1464" s="249" t="s">
        <v>403</v>
      </c>
      <c r="G1464" s="538" t="s">
        <v>578</v>
      </c>
      <c r="H1464" s="473" t="s">
        <v>271</v>
      </c>
      <c r="I1464" s="307">
        <v>30</v>
      </c>
      <c r="J1464" s="307">
        <v>17304</v>
      </c>
      <c r="K1464" s="532">
        <f t="shared" si="149"/>
        <v>519120</v>
      </c>
      <c r="L1464" s="534" t="s">
        <v>292</v>
      </c>
      <c r="M1464" s="534" t="s">
        <v>8</v>
      </c>
      <c r="N1464" s="525" t="str">
        <f>IF(AND('331-CT'!$E$7=TH!H1464,OR(L1464="331",M1464="331")),"331",IF(AND(OR(L1464="131",M1464="131"),H1464='131-CT'!$E$7),"131",""))</f>
        <v>331</v>
      </c>
      <c r="O1464" s="525" t="str">
        <f>IF(AND($B1464&gt;='111'!$N$11,$B1464&lt;='111'!$O$11,OR($L1464=$O$7,$M1464=$O$7)),"x","")</f>
        <v/>
      </c>
      <c r="P1464" s="525" t="str">
        <f>IF(AND($L1464=$O$7,$B1464&lt;'111'!$N$11),"x","")</f>
        <v/>
      </c>
      <c r="Q1464" s="525" t="str">
        <f>IF(AND($M1464=$O$7,$B1464&lt;'111'!$N$11),"x","")</f>
        <v/>
      </c>
      <c r="R1464" s="525" t="str">
        <f>IF(ISERROR(FIND('112'!$M$9,G1464,1)),"",IF((AND(FIND('112'!$M$9,G1464,1)&gt;=1,$B1464&gt;='112'!$N$8,$B1464&lt;='112'!$O$8,OR($L1464='112'!$I$6,$M1464='112'!$I$6))),"x",""))</f>
        <v/>
      </c>
      <c r="S1464" s="525" t="str">
        <f>IF(ISERROR(FIND('112'!$M$9,G1464,1)),"",IF((AND(LEFT(G1464,2)=LEFT('112'!$M$9,2),B1464&lt;'112'!$N$8,$L1464='112'!$I$6)),"x",""))</f>
        <v/>
      </c>
      <c r="T1464" s="525" t="str">
        <f>IF(ISERROR(FIND('112'!$M$9,G1464,1)),"",IF((AND(RIGHT(G1464,2)=RIGHT('112'!$M$9,2),B1464&lt;'112'!$N$8,$M1464='112'!$I$6)),"x",""))</f>
        <v/>
      </c>
      <c r="U1464" s="525" t="str">
        <f>IF(AND(B1464&gt;='IN-NX'!$P$3,B1464&lt;='IN-NX'!$Q$3,'IN-NX'!$D$7=D1464,OR(LEFT(L1464,2)="15",AND(LEFT(M1464,2)&lt;&gt;"15",LEFT(M1464,2)&lt;&gt;"33"))),"x","")</f>
        <v/>
      </c>
      <c r="V1464" s="525" t="str">
        <f>IF(AND(OR(LEFT(TH!L1464,2)="15",LEFT(TH!M1464,2)="15"),'152-CT'!$J$8=TH!F1464),"x","")</f>
        <v/>
      </c>
      <c r="W1464" s="525" t="str">
        <f>IF(AND(OR(LEFT(TH!L1464,2)="15",LEFT(TH!M1464,2)="15"),TK!$E$7=TH!F1464),"x","")</f>
        <v/>
      </c>
      <c r="X1464" s="525" t="str">
        <f>IF(AND('341-CT'!$E$9=H1464,OR(LEFT(L1464,3)=$X$7,LEFT(M1464,3)=$X$7)),"x","")</f>
        <v/>
      </c>
      <c r="Y1464" s="525" t="str">
        <f>IF(OR(TH!L1464=TH!$Y$7,M1464=TH!$Y$7),"x","")</f>
        <v/>
      </c>
      <c r="Z1464" s="525" t="str">
        <f>IF(AND(B1464&lt;=NKC!$N$8,B1464&gt;=NKC!$M$8),"x","")</f>
        <v>x</v>
      </c>
      <c r="AA1464" s="535">
        <v>1</v>
      </c>
    </row>
    <row r="1465" spans="1:28" s="503" customFormat="1" ht="15.75" customHeight="1">
      <c r="A1465" s="517" t="str">
        <f>IF(B1465&lt;&gt;"",IF(AND(B1465&gt;=_TM1,B1465&lt;=_TM2,OR(TH!L1465="1111",TH!M1465="1111")),TH!D1465,""),"")</f>
        <v/>
      </c>
      <c r="B1465" s="531">
        <f t="shared" si="147"/>
        <v>3</v>
      </c>
      <c r="C1465" s="315">
        <f t="shared" si="148"/>
        <v>42795</v>
      </c>
      <c r="D1465" s="537" t="s">
        <v>979</v>
      </c>
      <c r="E1465" s="537">
        <v>42795</v>
      </c>
      <c r="F1465" s="249" t="s">
        <v>526</v>
      </c>
      <c r="G1465" s="538" t="s">
        <v>578</v>
      </c>
      <c r="H1465" s="473" t="s">
        <v>271</v>
      </c>
      <c r="I1465" s="307"/>
      <c r="J1465" s="307"/>
      <c r="K1465" s="532">
        <v>900186</v>
      </c>
      <c r="L1465" s="534" t="s">
        <v>9</v>
      </c>
      <c r="M1465" s="534" t="s">
        <v>8</v>
      </c>
      <c r="N1465" s="525" t="str">
        <f>IF(AND('331-CT'!$E$7=TH!H1465,OR(L1465="331",M1465="331")),"331",IF(AND(OR(L1465="131",M1465="131"),H1465='131-CT'!$E$7),"131",""))</f>
        <v>331</v>
      </c>
      <c r="O1465" s="525" t="str">
        <f>IF(AND($B1465&gt;='111'!$N$11,$B1465&lt;='111'!$O$11,OR($L1465=$O$7,$M1465=$O$7)),"x","")</f>
        <v/>
      </c>
      <c r="P1465" s="525" t="str">
        <f>IF(AND($L1465=$O$7,$B1465&lt;'111'!$N$11),"x","")</f>
        <v/>
      </c>
      <c r="Q1465" s="525" t="str">
        <f>IF(AND($M1465=$O$7,$B1465&lt;'111'!$N$11),"x","")</f>
        <v/>
      </c>
      <c r="R1465" s="525" t="str">
        <f>IF(ISERROR(FIND('112'!$M$9,G1465,1)),"",IF((AND(FIND('112'!$M$9,G1465,1)&gt;=1,$B1465&gt;='112'!$N$8,$B1465&lt;='112'!$O$8,OR($L1465='112'!$I$6,$M1465='112'!$I$6))),"x",""))</f>
        <v/>
      </c>
      <c r="S1465" s="525" t="str">
        <f>IF(ISERROR(FIND('112'!$M$9,G1465,1)),"",IF((AND(LEFT(G1465,2)=LEFT('112'!$M$9,2),B1465&lt;'112'!$N$8,$L1465='112'!$I$6)),"x",""))</f>
        <v/>
      </c>
      <c r="T1465" s="525" t="str">
        <f>IF(ISERROR(FIND('112'!$M$9,G1465,1)),"",IF((AND(RIGHT(G1465,2)=RIGHT('112'!$M$9,2),B1465&lt;'112'!$N$8,$M1465='112'!$I$6)),"x",""))</f>
        <v/>
      </c>
      <c r="U1465" s="525" t="str">
        <f>IF(AND(B1465&gt;='IN-NX'!$P$3,B1465&lt;='IN-NX'!$Q$3,'IN-NX'!$D$7=D1465,OR(LEFT(L1465,2)="15",AND(LEFT(M1465,2)&lt;&gt;"15",LEFT(M1465,2)&lt;&gt;"33"))),"x","")</f>
        <v/>
      </c>
      <c r="V1465" s="525" t="str">
        <f>IF(AND(OR(LEFT(TH!L1465,2)="15",LEFT(TH!M1465,2)="15"),'152-CT'!$J$8=TH!F1465),"x","")</f>
        <v/>
      </c>
      <c r="W1465" s="525" t="str">
        <f>IF(AND(OR(LEFT(TH!L1465,2)="15",LEFT(TH!M1465,2)="15"),TK!$E$7=TH!F1465),"x","")</f>
        <v/>
      </c>
      <c r="X1465" s="525" t="str">
        <f>IF(AND('341-CT'!$E$9=H1465,OR(LEFT(L1465,3)=$X$7,LEFT(M1465,3)=$X$7)),"x","")</f>
        <v/>
      </c>
      <c r="Y1465" s="525" t="str">
        <f>IF(OR(TH!L1465=TH!$Y$7,M1465=TH!$Y$7),"x","")</f>
        <v/>
      </c>
      <c r="Z1465" s="525" t="str">
        <f>IF(AND(B1465&lt;=NKC!$N$8,B1465&gt;=NKC!$M$8),"x","")</f>
        <v>x</v>
      </c>
      <c r="AA1465" s="535">
        <v>1</v>
      </c>
      <c r="AB1465" s="536"/>
    </row>
    <row r="1466" spans="1:28" s="503" customFormat="1" ht="15.75" customHeight="1">
      <c r="A1466" s="517" t="str">
        <f>IF(B1466&lt;&gt;"",IF(AND(B1466&gt;=_TM1,B1466&lt;=_TM2,OR(TH!L1466="1111",TH!M1466="1111")),TH!D1466,""),"")</f>
        <v/>
      </c>
      <c r="B1466" s="531">
        <f t="shared" si="147"/>
        <v>3</v>
      </c>
      <c r="C1466" s="315">
        <f t="shared" si="148"/>
        <v>42796</v>
      </c>
      <c r="D1466" s="537" t="s">
        <v>980</v>
      </c>
      <c r="E1466" s="537">
        <v>42796</v>
      </c>
      <c r="F1466" s="249" t="s">
        <v>579</v>
      </c>
      <c r="G1466" s="314" t="s">
        <v>485</v>
      </c>
      <c r="H1466" s="473" t="s">
        <v>271</v>
      </c>
      <c r="I1466" s="307">
        <v>24</v>
      </c>
      <c r="J1466" s="307">
        <v>30814</v>
      </c>
      <c r="K1466" s="532">
        <f>ROUND(I1466*J1466,0)</f>
        <v>739536</v>
      </c>
      <c r="L1466" s="534" t="s">
        <v>292</v>
      </c>
      <c r="M1466" s="534" t="s">
        <v>8</v>
      </c>
      <c r="N1466" s="525" t="str">
        <f>IF(AND('331-CT'!$E$7=TH!H1466,OR(L1466="331",M1466="331")),"331",IF(AND(OR(L1466="131",M1466="131"),H1466='131-CT'!$E$7),"131",""))</f>
        <v>331</v>
      </c>
      <c r="O1466" s="525" t="str">
        <f>IF(AND($B1466&gt;='111'!$N$11,$B1466&lt;='111'!$O$11,OR($L1466=$O$7,$M1466=$O$7)),"x","")</f>
        <v/>
      </c>
      <c r="P1466" s="525" t="str">
        <f>IF(AND($L1466=$O$7,$B1466&lt;'111'!$N$11),"x","")</f>
        <v/>
      </c>
      <c r="Q1466" s="525" t="str">
        <f>IF(AND($M1466=$O$7,$B1466&lt;'111'!$N$11),"x","")</f>
        <v/>
      </c>
      <c r="R1466" s="525" t="str">
        <f>IF(ISERROR(FIND('112'!$M$9,G1466,1)),"",IF((AND(FIND('112'!$M$9,G1466,1)&gt;=1,$B1466&gt;='112'!$N$8,$B1466&lt;='112'!$O$8,OR($L1466='112'!$I$6,$M1466='112'!$I$6))),"x",""))</f>
        <v/>
      </c>
      <c r="S1466" s="525" t="str">
        <f>IF(ISERROR(FIND('112'!$M$9,G1466,1)),"",IF((AND(LEFT(G1466,2)=LEFT('112'!$M$9,2),B1466&lt;'112'!$N$8,$L1466='112'!$I$6)),"x",""))</f>
        <v/>
      </c>
      <c r="T1466" s="525" t="str">
        <f>IF(ISERROR(FIND('112'!$M$9,G1466,1)),"",IF((AND(RIGHT(G1466,2)=RIGHT('112'!$M$9,2),B1466&lt;'112'!$N$8,$M1466='112'!$I$6)),"x",""))</f>
        <v/>
      </c>
      <c r="U1466" s="525" t="str">
        <f>IF(AND(B1466&gt;='IN-NX'!$P$3,B1466&lt;='IN-NX'!$Q$3,'IN-NX'!$D$7=D1466,OR(LEFT(L1466,2)="15",AND(LEFT(M1466,2)&lt;&gt;"15",LEFT(M1466,2)&lt;&gt;"33"))),"x","")</f>
        <v/>
      </c>
      <c r="V1466" s="525" t="str">
        <f>IF(AND(OR(LEFT(TH!L1466,2)="15",LEFT(TH!M1466,2)="15"),'152-CT'!$J$8=TH!F1466),"x","")</f>
        <v/>
      </c>
      <c r="W1466" s="525" t="str">
        <f>IF(AND(OR(LEFT(TH!L1466,2)="15",LEFT(TH!M1466,2)="15"),TK!$E$7=TH!F1466),"x","")</f>
        <v/>
      </c>
      <c r="X1466" s="525" t="str">
        <f>IF(AND('341-CT'!$E$9=H1466,OR(LEFT(L1466,3)=$X$7,LEFT(M1466,3)=$X$7)),"x","")</f>
        <v/>
      </c>
      <c r="Y1466" s="525" t="str">
        <f>IF(OR(TH!L1466=TH!$Y$7,M1466=TH!$Y$7),"x","")</f>
        <v/>
      </c>
      <c r="Z1466" s="525" t="str">
        <f>IF(AND(B1466&lt;=NKC!$N$8,B1466&gt;=NKC!$M$8),"x","")</f>
        <v>x</v>
      </c>
      <c r="AA1466" s="535">
        <v>1</v>
      </c>
    </row>
    <row r="1467" spans="1:28" s="503" customFormat="1" ht="15.75" customHeight="1">
      <c r="A1467" s="517" t="str">
        <f>IF(B1467&lt;&gt;"",IF(AND(B1467&gt;=_TM1,B1467&lt;=_TM2,OR(TH!L1467="1111",TH!M1467="1111")),TH!D1467,""),"")</f>
        <v/>
      </c>
      <c r="B1467" s="531">
        <f t="shared" si="147"/>
        <v>3</v>
      </c>
      <c r="C1467" s="315">
        <f t="shared" si="148"/>
        <v>42796</v>
      </c>
      <c r="D1467" s="537" t="s">
        <v>980</v>
      </c>
      <c r="E1467" s="537">
        <v>42796</v>
      </c>
      <c r="F1467" s="249" t="s">
        <v>585</v>
      </c>
      <c r="G1467" s="314" t="s">
        <v>485</v>
      </c>
      <c r="H1467" s="473" t="s">
        <v>271</v>
      </c>
      <c r="I1467" s="307">
        <v>20</v>
      </c>
      <c r="J1467" s="307">
        <v>22944</v>
      </c>
      <c r="K1467" s="532">
        <f>ROUND(I1467*J1467,0)</f>
        <v>458880</v>
      </c>
      <c r="L1467" s="534" t="s">
        <v>292</v>
      </c>
      <c r="M1467" s="534" t="s">
        <v>8</v>
      </c>
      <c r="N1467" s="525" t="str">
        <f>IF(AND('331-CT'!$E$7=TH!H1467,OR(L1467="331",M1467="331")),"331",IF(AND(OR(L1467="131",M1467="131"),H1467='131-CT'!$E$7),"131",""))</f>
        <v>331</v>
      </c>
      <c r="O1467" s="525" t="str">
        <f>IF(AND($B1467&gt;='111'!$N$11,$B1467&lt;='111'!$O$11,OR($L1467=$O$7,$M1467=$O$7)),"x","")</f>
        <v/>
      </c>
      <c r="P1467" s="525" t="str">
        <f>IF(AND($L1467=$O$7,$B1467&lt;'111'!$N$11),"x","")</f>
        <v/>
      </c>
      <c r="Q1467" s="525" t="str">
        <f>IF(AND($M1467=$O$7,$B1467&lt;'111'!$N$11),"x","")</f>
        <v/>
      </c>
      <c r="R1467" s="525" t="str">
        <f>IF(ISERROR(FIND('112'!$M$9,G1467,1)),"",IF((AND(FIND('112'!$M$9,G1467,1)&gt;=1,$B1467&gt;='112'!$N$8,$B1467&lt;='112'!$O$8,OR($L1467='112'!$I$6,$M1467='112'!$I$6))),"x",""))</f>
        <v/>
      </c>
      <c r="S1467" s="525" t="str">
        <f>IF(ISERROR(FIND('112'!$M$9,G1467,1)),"",IF((AND(LEFT(G1467,2)=LEFT('112'!$M$9,2),B1467&lt;'112'!$N$8,$L1467='112'!$I$6)),"x",""))</f>
        <v/>
      </c>
      <c r="T1467" s="525" t="str">
        <f>IF(ISERROR(FIND('112'!$M$9,G1467,1)),"",IF((AND(RIGHT(G1467,2)=RIGHT('112'!$M$9,2),B1467&lt;'112'!$N$8,$M1467='112'!$I$6)),"x",""))</f>
        <v/>
      </c>
      <c r="U1467" s="525" t="str">
        <f>IF(AND(B1467&gt;='IN-NX'!$P$3,B1467&lt;='IN-NX'!$Q$3,'IN-NX'!$D$7=D1467,OR(LEFT(L1467,2)="15",AND(LEFT(M1467,2)&lt;&gt;"15",LEFT(M1467,2)&lt;&gt;"33"))),"x","")</f>
        <v/>
      </c>
      <c r="V1467" s="525" t="str">
        <f>IF(AND(OR(LEFT(TH!L1467,2)="15",LEFT(TH!M1467,2)="15"),'152-CT'!$J$8=TH!F1467),"x","")</f>
        <v/>
      </c>
      <c r="W1467" s="525" t="str">
        <f>IF(AND(OR(LEFT(TH!L1467,2)="15",LEFT(TH!M1467,2)="15"),TK!$E$7=TH!F1467),"x","")</f>
        <v/>
      </c>
      <c r="X1467" s="525" t="str">
        <f>IF(AND('341-CT'!$E$9=H1467,OR(LEFT(L1467,3)=$X$7,LEFT(M1467,3)=$X$7)),"x","")</f>
        <v/>
      </c>
      <c r="Y1467" s="525" t="str">
        <f>IF(OR(TH!L1467=TH!$Y$7,M1467=TH!$Y$7),"x","")</f>
        <v/>
      </c>
      <c r="Z1467" s="525" t="str">
        <f>IF(AND(B1467&lt;=NKC!$N$8,B1467&gt;=NKC!$M$8),"x","")</f>
        <v>x</v>
      </c>
      <c r="AA1467" s="535">
        <v>1</v>
      </c>
    </row>
    <row r="1468" spans="1:28" s="503" customFormat="1" ht="15.75" customHeight="1">
      <c r="A1468" s="517" t="str">
        <f>IF(B1468&lt;&gt;"",IF(AND(B1468&gt;=_TM1,B1468&lt;=_TM2,OR(TH!L1468="1111",TH!M1468="1111")),TH!D1468,""),"")</f>
        <v/>
      </c>
      <c r="B1468" s="531">
        <f t="shared" si="147"/>
        <v>3</v>
      </c>
      <c r="C1468" s="315">
        <f t="shared" si="148"/>
        <v>42796</v>
      </c>
      <c r="D1468" s="537" t="s">
        <v>980</v>
      </c>
      <c r="E1468" s="537">
        <v>42796</v>
      </c>
      <c r="F1468" s="249" t="s">
        <v>433</v>
      </c>
      <c r="G1468" s="314" t="s">
        <v>485</v>
      </c>
      <c r="H1468" s="473" t="s">
        <v>271</v>
      </c>
      <c r="I1468" s="307">
        <v>27</v>
      </c>
      <c r="J1468" s="307">
        <v>17954</v>
      </c>
      <c r="K1468" s="532">
        <f>ROUND(I1468*J1468,0)</f>
        <v>484758</v>
      </c>
      <c r="L1468" s="534" t="s">
        <v>292</v>
      </c>
      <c r="M1468" s="534" t="s">
        <v>8</v>
      </c>
      <c r="N1468" s="525" t="str">
        <f>IF(AND('331-CT'!$E$7=TH!H1468,OR(L1468="331",M1468="331")),"331",IF(AND(OR(L1468="131",M1468="131"),H1468='131-CT'!$E$7),"131",""))</f>
        <v>331</v>
      </c>
      <c r="O1468" s="525" t="str">
        <f>IF(AND($B1468&gt;='111'!$N$11,$B1468&lt;='111'!$O$11,OR($L1468=$O$7,$M1468=$O$7)),"x","")</f>
        <v/>
      </c>
      <c r="P1468" s="525" t="str">
        <f>IF(AND($L1468=$O$7,$B1468&lt;'111'!$N$11),"x","")</f>
        <v/>
      </c>
      <c r="Q1468" s="525" t="str">
        <f>IF(AND($M1468=$O$7,$B1468&lt;'111'!$N$11),"x","")</f>
        <v/>
      </c>
      <c r="R1468" s="525" t="str">
        <f>IF(ISERROR(FIND('112'!$M$9,G1468,1)),"",IF((AND(FIND('112'!$M$9,G1468,1)&gt;=1,$B1468&gt;='112'!$N$8,$B1468&lt;='112'!$O$8,OR($L1468='112'!$I$6,$M1468='112'!$I$6))),"x",""))</f>
        <v/>
      </c>
      <c r="S1468" s="525" t="str">
        <f>IF(ISERROR(FIND('112'!$M$9,G1468,1)),"",IF((AND(LEFT(G1468,2)=LEFT('112'!$M$9,2),B1468&lt;'112'!$N$8,$L1468='112'!$I$6)),"x",""))</f>
        <v/>
      </c>
      <c r="T1468" s="525" t="str">
        <f>IF(ISERROR(FIND('112'!$M$9,G1468,1)),"",IF((AND(RIGHT(G1468,2)=RIGHT('112'!$M$9,2),B1468&lt;'112'!$N$8,$M1468='112'!$I$6)),"x",""))</f>
        <v/>
      </c>
      <c r="U1468" s="525" t="str">
        <f>IF(AND(B1468&gt;='IN-NX'!$P$3,B1468&lt;='IN-NX'!$Q$3,'IN-NX'!$D$7=D1468,OR(LEFT(L1468,2)="15",AND(LEFT(M1468,2)&lt;&gt;"15",LEFT(M1468,2)&lt;&gt;"33"))),"x","")</f>
        <v/>
      </c>
      <c r="V1468" s="525" t="str">
        <f>IF(AND(OR(LEFT(TH!L1468,2)="15",LEFT(TH!M1468,2)="15"),'152-CT'!$J$8=TH!F1468),"x","")</f>
        <v/>
      </c>
      <c r="W1468" s="525" t="str">
        <f>IF(AND(OR(LEFT(TH!L1468,2)="15",LEFT(TH!M1468,2)="15"),TK!$E$7=TH!F1468),"x","")</f>
        <v/>
      </c>
      <c r="X1468" s="525" t="str">
        <f>IF(AND('341-CT'!$E$9=H1468,OR(LEFT(L1468,3)=$X$7,LEFT(M1468,3)=$X$7)),"x","")</f>
        <v/>
      </c>
      <c r="Y1468" s="525" t="str">
        <f>IF(OR(TH!L1468=TH!$Y$7,M1468=TH!$Y$7),"x","")</f>
        <v/>
      </c>
      <c r="Z1468" s="525" t="str">
        <f>IF(AND(B1468&lt;=NKC!$N$8,B1468&gt;=NKC!$M$8),"x","")</f>
        <v>x</v>
      </c>
      <c r="AA1468" s="535">
        <v>1</v>
      </c>
    </row>
    <row r="1469" spans="1:28" s="503" customFormat="1" ht="15.75" customHeight="1">
      <c r="A1469" s="517" t="str">
        <f>IF(B1469&lt;&gt;"",IF(AND(B1469&gt;=_TM1,B1469&lt;=_TM2,OR(TH!L1469="1111",TH!M1469="1111")),TH!D1469,""),"")</f>
        <v/>
      </c>
      <c r="B1469" s="531">
        <f t="shared" si="147"/>
        <v>3</v>
      </c>
      <c r="C1469" s="315">
        <f t="shared" si="148"/>
        <v>42796</v>
      </c>
      <c r="D1469" s="537" t="s">
        <v>980</v>
      </c>
      <c r="E1469" s="537">
        <v>42796</v>
      </c>
      <c r="F1469" s="249" t="s">
        <v>526</v>
      </c>
      <c r="G1469" s="314" t="s">
        <v>485</v>
      </c>
      <c r="H1469" s="473" t="s">
        <v>271</v>
      </c>
      <c r="I1469" s="307"/>
      <c r="J1469" s="307"/>
      <c r="K1469" s="532">
        <v>168317</v>
      </c>
      <c r="L1469" s="534" t="s">
        <v>9</v>
      </c>
      <c r="M1469" s="534" t="s">
        <v>8</v>
      </c>
      <c r="N1469" s="525" t="str">
        <f>IF(AND('331-CT'!$E$7=TH!H1469,OR(L1469="331",M1469="331")),"331",IF(AND(OR(L1469="131",M1469="131"),H1469='131-CT'!$E$7),"131",""))</f>
        <v>331</v>
      </c>
      <c r="O1469" s="525" t="str">
        <f>IF(AND($B1469&gt;='111'!$N$11,$B1469&lt;='111'!$O$11,OR($L1469=$O$7,$M1469=$O$7)),"x","")</f>
        <v/>
      </c>
      <c r="P1469" s="525" t="str">
        <f>IF(AND($L1469=$O$7,$B1469&lt;'111'!$N$11),"x","")</f>
        <v/>
      </c>
      <c r="Q1469" s="525" t="str">
        <f>IF(AND($M1469=$O$7,$B1469&lt;'111'!$N$11),"x","")</f>
        <v/>
      </c>
      <c r="R1469" s="525" t="str">
        <f>IF(ISERROR(FIND('112'!$M$9,G1469,1)),"",IF((AND(FIND('112'!$M$9,G1469,1)&gt;=1,$B1469&gt;='112'!$N$8,$B1469&lt;='112'!$O$8,OR($L1469='112'!$I$6,$M1469='112'!$I$6))),"x",""))</f>
        <v/>
      </c>
      <c r="S1469" s="525" t="str">
        <f>IF(ISERROR(FIND('112'!$M$9,G1469,1)),"",IF((AND(LEFT(G1469,2)=LEFT('112'!$M$9,2),B1469&lt;'112'!$N$8,$L1469='112'!$I$6)),"x",""))</f>
        <v/>
      </c>
      <c r="T1469" s="525" t="str">
        <f>IF(ISERROR(FIND('112'!$M$9,G1469,1)),"",IF((AND(RIGHT(G1469,2)=RIGHT('112'!$M$9,2),B1469&lt;'112'!$N$8,$M1469='112'!$I$6)),"x",""))</f>
        <v/>
      </c>
      <c r="U1469" s="525" t="str">
        <f>IF(AND(B1469&gt;='IN-NX'!$P$3,B1469&lt;='IN-NX'!$Q$3,'IN-NX'!$D$7=D1469,OR(LEFT(L1469,2)="15",AND(LEFT(M1469,2)&lt;&gt;"15",LEFT(M1469,2)&lt;&gt;"33"))),"x","")</f>
        <v/>
      </c>
      <c r="V1469" s="525" t="str">
        <f>IF(AND(OR(LEFT(TH!L1469,2)="15",LEFT(TH!M1469,2)="15"),'152-CT'!$J$8=TH!F1469),"x","")</f>
        <v/>
      </c>
      <c r="W1469" s="525" t="str">
        <f>IF(AND(OR(LEFT(TH!L1469,2)="15",LEFT(TH!M1469,2)="15"),TK!$E$7=TH!F1469),"x","")</f>
        <v/>
      </c>
      <c r="X1469" s="525" t="str">
        <f>IF(AND('341-CT'!$E$9=H1469,OR(LEFT(L1469,3)=$X$7,LEFT(M1469,3)=$X$7)),"x","")</f>
        <v/>
      </c>
      <c r="Y1469" s="525" t="str">
        <f>IF(OR(TH!L1469=TH!$Y$7,M1469=TH!$Y$7),"x","")</f>
        <v/>
      </c>
      <c r="Z1469" s="525" t="str">
        <f>IF(AND(B1469&lt;=NKC!$N$8,B1469&gt;=NKC!$M$8),"x","")</f>
        <v>x</v>
      </c>
      <c r="AA1469" s="535">
        <v>1</v>
      </c>
      <c r="AB1469" s="536"/>
    </row>
    <row r="1470" spans="1:28" s="503" customFormat="1" ht="15.75" customHeight="1">
      <c r="A1470" s="517" t="str">
        <f>IF(B1470&lt;&gt;"",IF(AND(B1470&gt;=_TM1,B1470&lt;=_TM2,OR(TH!L1470="1111",TH!M1470="1111")),TH!D1470,""),"")</f>
        <v/>
      </c>
      <c r="B1470" s="531">
        <f t="shared" si="147"/>
        <v>3</v>
      </c>
      <c r="C1470" s="315">
        <f t="shared" si="148"/>
        <v>42800</v>
      </c>
      <c r="D1470" s="537" t="s">
        <v>981</v>
      </c>
      <c r="E1470" s="537">
        <v>42800</v>
      </c>
      <c r="F1470" s="249" t="s">
        <v>585</v>
      </c>
      <c r="G1470" s="314" t="s">
        <v>584</v>
      </c>
      <c r="H1470" s="473" t="s">
        <v>271</v>
      </c>
      <c r="I1470" s="307">
        <v>20</v>
      </c>
      <c r="J1470" s="307">
        <v>33729</v>
      </c>
      <c r="K1470" s="532">
        <f>ROUND(I1470*J1470,0)</f>
        <v>674580</v>
      </c>
      <c r="L1470" s="534" t="s">
        <v>292</v>
      </c>
      <c r="M1470" s="534" t="s">
        <v>8</v>
      </c>
      <c r="N1470" s="525" t="str">
        <f>IF(AND('331-CT'!$E$7=TH!H1470,OR(L1470="331",M1470="331")),"331",IF(AND(OR(L1470="131",M1470="131"),H1470='131-CT'!$E$7),"131",""))</f>
        <v>331</v>
      </c>
      <c r="O1470" s="525" t="str">
        <f>IF(AND($B1470&gt;='111'!$N$11,$B1470&lt;='111'!$O$11,OR($L1470=$O$7,$M1470=$O$7)),"x","")</f>
        <v/>
      </c>
      <c r="P1470" s="525" t="str">
        <f>IF(AND($L1470=$O$7,$B1470&lt;'111'!$N$11),"x","")</f>
        <v/>
      </c>
      <c r="Q1470" s="525" t="str">
        <f>IF(AND($M1470=$O$7,$B1470&lt;'111'!$N$11),"x","")</f>
        <v/>
      </c>
      <c r="R1470" s="525" t="str">
        <f>IF(ISERROR(FIND('112'!$M$9,G1470,1)),"",IF((AND(FIND('112'!$M$9,G1470,1)&gt;=1,$B1470&gt;='112'!$N$8,$B1470&lt;='112'!$O$8,OR($L1470='112'!$I$6,$M1470='112'!$I$6))),"x",""))</f>
        <v/>
      </c>
      <c r="S1470" s="525" t="str">
        <f>IF(ISERROR(FIND('112'!$M$9,G1470,1)),"",IF((AND(LEFT(G1470,2)=LEFT('112'!$M$9,2),B1470&lt;'112'!$N$8,$L1470='112'!$I$6)),"x",""))</f>
        <v/>
      </c>
      <c r="T1470" s="525" t="str">
        <f>IF(ISERROR(FIND('112'!$M$9,G1470,1)),"",IF((AND(RIGHT(G1470,2)=RIGHT('112'!$M$9,2),B1470&lt;'112'!$N$8,$M1470='112'!$I$6)),"x",""))</f>
        <v/>
      </c>
      <c r="U1470" s="525" t="str">
        <f>IF(AND(B1470&gt;='IN-NX'!$P$3,B1470&lt;='IN-NX'!$Q$3,'IN-NX'!$D$7=D1470,OR(LEFT(L1470,2)="15",AND(LEFT(M1470,2)&lt;&gt;"15",LEFT(M1470,2)&lt;&gt;"33"))),"x","")</f>
        <v/>
      </c>
      <c r="V1470" s="525" t="str">
        <f>IF(AND(OR(LEFT(TH!L1470,2)="15",LEFT(TH!M1470,2)="15"),'152-CT'!$J$8=TH!F1470),"x","")</f>
        <v/>
      </c>
      <c r="W1470" s="525" t="str">
        <f>IF(AND(OR(LEFT(TH!L1470,2)="15",LEFT(TH!M1470,2)="15"),TK!$E$7=TH!F1470),"x","")</f>
        <v/>
      </c>
      <c r="X1470" s="525" t="str">
        <f>IF(AND('341-CT'!$E$9=H1470,OR(LEFT(L1470,3)=$X$7,LEFT(M1470,3)=$X$7)),"x","")</f>
        <v/>
      </c>
      <c r="Y1470" s="525" t="str">
        <f>IF(OR(TH!L1470=TH!$Y$7,M1470=TH!$Y$7),"x","")</f>
        <v/>
      </c>
      <c r="Z1470" s="525" t="str">
        <f>IF(AND(B1470&lt;=NKC!$N$8,B1470&gt;=NKC!$M$8),"x","")</f>
        <v>x</v>
      </c>
      <c r="AA1470" s="535">
        <v>1</v>
      </c>
    </row>
    <row r="1471" spans="1:28" s="503" customFormat="1" ht="15.75" customHeight="1">
      <c r="A1471" s="517" t="str">
        <f>IF(B1471&lt;&gt;"",IF(AND(B1471&gt;=_TM1,B1471&lt;=_TM2,OR(TH!L1471="1111",TH!M1471="1111")),TH!D1471,""),"")</f>
        <v/>
      </c>
      <c r="B1471" s="531">
        <f t="shared" si="147"/>
        <v>3</v>
      </c>
      <c r="C1471" s="315">
        <f t="shared" si="148"/>
        <v>42800</v>
      </c>
      <c r="D1471" s="537" t="s">
        <v>981</v>
      </c>
      <c r="E1471" s="537">
        <v>42800</v>
      </c>
      <c r="F1471" s="249" t="s">
        <v>433</v>
      </c>
      <c r="G1471" s="314" t="s">
        <v>584</v>
      </c>
      <c r="H1471" s="473" t="s">
        <v>271</v>
      </c>
      <c r="I1471" s="307">
        <v>27</v>
      </c>
      <c r="J1471" s="307">
        <v>26393</v>
      </c>
      <c r="K1471" s="532">
        <f>ROUND(I1471*J1471,0)</f>
        <v>712611</v>
      </c>
      <c r="L1471" s="534" t="s">
        <v>292</v>
      </c>
      <c r="M1471" s="534" t="s">
        <v>8</v>
      </c>
      <c r="N1471" s="525" t="str">
        <f>IF(AND('331-CT'!$E$7=TH!H1471,OR(L1471="331",M1471="331")),"331",IF(AND(OR(L1471="131",M1471="131"),H1471='131-CT'!$E$7),"131",""))</f>
        <v>331</v>
      </c>
      <c r="O1471" s="525" t="str">
        <f>IF(AND($B1471&gt;='111'!$N$11,$B1471&lt;='111'!$O$11,OR($L1471=$O$7,$M1471=$O$7)),"x","")</f>
        <v/>
      </c>
      <c r="P1471" s="525" t="str">
        <f>IF(AND($L1471=$O$7,$B1471&lt;'111'!$N$11),"x","")</f>
        <v/>
      </c>
      <c r="Q1471" s="525" t="str">
        <f>IF(AND($M1471=$O$7,$B1471&lt;'111'!$N$11),"x","")</f>
        <v/>
      </c>
      <c r="R1471" s="525" t="str">
        <f>IF(ISERROR(FIND('112'!$M$9,G1471,1)),"",IF((AND(FIND('112'!$M$9,G1471,1)&gt;=1,$B1471&gt;='112'!$N$8,$B1471&lt;='112'!$O$8,OR($L1471='112'!$I$6,$M1471='112'!$I$6))),"x",""))</f>
        <v/>
      </c>
      <c r="S1471" s="525" t="str">
        <f>IF(ISERROR(FIND('112'!$M$9,G1471,1)),"",IF((AND(LEFT(G1471,2)=LEFT('112'!$M$9,2),B1471&lt;'112'!$N$8,$L1471='112'!$I$6)),"x",""))</f>
        <v/>
      </c>
      <c r="T1471" s="525" t="str">
        <f>IF(ISERROR(FIND('112'!$M$9,G1471,1)),"",IF((AND(RIGHT(G1471,2)=RIGHT('112'!$M$9,2),B1471&lt;'112'!$N$8,$M1471='112'!$I$6)),"x",""))</f>
        <v/>
      </c>
      <c r="U1471" s="525" t="str">
        <f>IF(AND(B1471&gt;='IN-NX'!$P$3,B1471&lt;='IN-NX'!$Q$3,'IN-NX'!$D$7=D1471,OR(LEFT(L1471,2)="15",AND(LEFT(M1471,2)&lt;&gt;"15",LEFT(M1471,2)&lt;&gt;"33"))),"x","")</f>
        <v/>
      </c>
      <c r="V1471" s="525" t="str">
        <f>IF(AND(OR(LEFT(TH!L1471,2)="15",LEFT(TH!M1471,2)="15"),'152-CT'!$J$8=TH!F1471),"x","")</f>
        <v/>
      </c>
      <c r="W1471" s="525" t="str">
        <f>IF(AND(OR(LEFT(TH!L1471,2)="15",LEFT(TH!M1471,2)="15"),TK!$E$7=TH!F1471),"x","")</f>
        <v/>
      </c>
      <c r="X1471" s="525" t="str">
        <f>IF(AND('341-CT'!$E$9=H1471,OR(LEFT(L1471,3)=$X$7,LEFT(M1471,3)=$X$7)),"x","")</f>
        <v/>
      </c>
      <c r="Y1471" s="525" t="str">
        <f>IF(OR(TH!L1471=TH!$Y$7,M1471=TH!$Y$7),"x","")</f>
        <v/>
      </c>
      <c r="Z1471" s="525" t="str">
        <f>IF(AND(B1471&lt;=NKC!$N$8,B1471&gt;=NKC!$M$8),"x","")</f>
        <v>x</v>
      </c>
      <c r="AA1471" s="535">
        <v>1</v>
      </c>
    </row>
    <row r="1472" spans="1:28" s="503" customFormat="1" ht="15.75" customHeight="1">
      <c r="A1472" s="517" t="str">
        <f>IF(B1472&lt;&gt;"",IF(AND(B1472&gt;=_TM1,B1472&lt;=_TM2,OR(TH!L1472="1111",TH!M1472="1111")),TH!D1472,""),"")</f>
        <v/>
      </c>
      <c r="B1472" s="531">
        <f t="shared" si="147"/>
        <v>3</v>
      </c>
      <c r="C1472" s="315">
        <f t="shared" si="148"/>
        <v>42800</v>
      </c>
      <c r="D1472" s="537" t="s">
        <v>981</v>
      </c>
      <c r="E1472" s="537">
        <v>42800</v>
      </c>
      <c r="F1472" s="249" t="s">
        <v>526</v>
      </c>
      <c r="G1472" s="314" t="s">
        <v>584</v>
      </c>
      <c r="H1472" s="473" t="s">
        <v>271</v>
      </c>
      <c r="I1472" s="307"/>
      <c r="J1472" s="307"/>
      <c r="K1472" s="532">
        <v>138719</v>
      </c>
      <c r="L1472" s="534" t="s">
        <v>9</v>
      </c>
      <c r="M1472" s="534" t="s">
        <v>8</v>
      </c>
      <c r="N1472" s="525" t="str">
        <f>IF(AND('331-CT'!$E$7=TH!H1472,OR(L1472="331",M1472="331")),"331",IF(AND(OR(L1472="131",M1472="131"),H1472='131-CT'!$E$7),"131",""))</f>
        <v>331</v>
      </c>
      <c r="O1472" s="525" t="str">
        <f>IF(AND($B1472&gt;='111'!$N$11,$B1472&lt;='111'!$O$11,OR($L1472=$O$7,$M1472=$O$7)),"x","")</f>
        <v/>
      </c>
      <c r="P1472" s="525" t="str">
        <f>IF(AND($L1472=$O$7,$B1472&lt;'111'!$N$11),"x","")</f>
        <v/>
      </c>
      <c r="Q1472" s="525" t="str">
        <f>IF(AND($M1472=$O$7,$B1472&lt;'111'!$N$11),"x","")</f>
        <v/>
      </c>
      <c r="R1472" s="525" t="str">
        <f>IF(ISERROR(FIND('112'!$M$9,G1472,1)),"",IF((AND(FIND('112'!$M$9,G1472,1)&gt;=1,$B1472&gt;='112'!$N$8,$B1472&lt;='112'!$O$8,OR($L1472='112'!$I$6,$M1472='112'!$I$6))),"x",""))</f>
        <v/>
      </c>
      <c r="S1472" s="525" t="str">
        <f>IF(ISERROR(FIND('112'!$M$9,G1472,1)),"",IF((AND(LEFT(G1472,2)=LEFT('112'!$M$9,2),B1472&lt;'112'!$N$8,$L1472='112'!$I$6)),"x",""))</f>
        <v/>
      </c>
      <c r="T1472" s="525" t="str">
        <f>IF(ISERROR(FIND('112'!$M$9,G1472,1)),"",IF((AND(RIGHT(G1472,2)=RIGHT('112'!$M$9,2),B1472&lt;'112'!$N$8,$M1472='112'!$I$6)),"x",""))</f>
        <v/>
      </c>
      <c r="U1472" s="525" t="str">
        <f>IF(AND(B1472&gt;='IN-NX'!$P$3,B1472&lt;='IN-NX'!$Q$3,'IN-NX'!$D$7=D1472,OR(LEFT(L1472,2)="15",AND(LEFT(M1472,2)&lt;&gt;"15",LEFT(M1472,2)&lt;&gt;"33"))),"x","")</f>
        <v/>
      </c>
      <c r="V1472" s="525" t="str">
        <f>IF(AND(OR(LEFT(TH!L1472,2)="15",LEFT(TH!M1472,2)="15"),'152-CT'!$J$8=TH!F1472),"x","")</f>
        <v/>
      </c>
      <c r="W1472" s="525" t="str">
        <f>IF(AND(OR(LEFT(TH!L1472,2)="15",LEFT(TH!M1472,2)="15"),TK!$E$7=TH!F1472),"x","")</f>
        <v/>
      </c>
      <c r="X1472" s="525" t="str">
        <f>IF(AND('341-CT'!$E$9=H1472,OR(LEFT(L1472,3)=$X$7,LEFT(M1472,3)=$X$7)),"x","")</f>
        <v/>
      </c>
      <c r="Y1472" s="525" t="str">
        <f>IF(OR(TH!L1472=TH!$Y$7,M1472=TH!$Y$7),"x","")</f>
        <v/>
      </c>
      <c r="Z1472" s="525" t="str">
        <f>IF(AND(B1472&lt;=NKC!$N$8,B1472&gt;=NKC!$M$8),"x","")</f>
        <v>x</v>
      </c>
      <c r="AA1472" s="535">
        <v>1</v>
      </c>
      <c r="AB1472" s="536"/>
    </row>
    <row r="1473" spans="1:31" s="503" customFormat="1" ht="15.75" customHeight="1">
      <c r="A1473" s="517" t="str">
        <f>IF(B1473&lt;&gt;"",IF(AND(B1473&gt;=_TM1,B1473&lt;=_TM2,OR(TH!L1473="1111",TH!M1473="1111")),TH!D1473,""),"")</f>
        <v/>
      </c>
      <c r="B1473" s="531">
        <f t="shared" si="147"/>
        <v>3</v>
      </c>
      <c r="C1473" s="315">
        <f t="shared" si="148"/>
        <v>42818</v>
      </c>
      <c r="D1473" s="537" t="s">
        <v>982</v>
      </c>
      <c r="E1473" s="537">
        <v>42818</v>
      </c>
      <c r="F1473" s="249" t="s">
        <v>348</v>
      </c>
      <c r="G1473" s="314" t="s">
        <v>586</v>
      </c>
      <c r="H1473" s="473" t="s">
        <v>271</v>
      </c>
      <c r="I1473" s="307">
        <v>167</v>
      </c>
      <c r="J1473" s="307">
        <v>13271</v>
      </c>
      <c r="K1473" s="532">
        <f>ROUND(I1473*J1473,0)</f>
        <v>2216257</v>
      </c>
      <c r="L1473" s="534" t="s">
        <v>292</v>
      </c>
      <c r="M1473" s="534" t="s">
        <v>8</v>
      </c>
      <c r="N1473" s="525" t="str">
        <f>IF(AND('331-CT'!$E$7=TH!H1473,OR(L1473="331",M1473="331")),"331",IF(AND(OR(L1473="131",M1473="131"),H1473='131-CT'!$E$7),"131",""))</f>
        <v>331</v>
      </c>
      <c r="O1473" s="525" t="str">
        <f>IF(AND($B1473&gt;='111'!$N$11,$B1473&lt;='111'!$O$11,OR($L1473=$O$7,$M1473=$O$7)),"x","")</f>
        <v/>
      </c>
      <c r="P1473" s="525" t="str">
        <f>IF(AND($L1473=$O$7,$B1473&lt;'111'!$N$11),"x","")</f>
        <v/>
      </c>
      <c r="Q1473" s="525" t="str">
        <f>IF(AND($M1473=$O$7,$B1473&lt;'111'!$N$11),"x","")</f>
        <v/>
      </c>
      <c r="R1473" s="525" t="str">
        <f>IF(ISERROR(FIND('112'!$M$9,G1473,1)),"",IF((AND(FIND('112'!$M$9,G1473,1)&gt;=1,$B1473&gt;='112'!$N$8,$B1473&lt;='112'!$O$8,OR($L1473='112'!$I$6,$M1473='112'!$I$6))),"x",""))</f>
        <v/>
      </c>
      <c r="S1473" s="525" t="str">
        <f>IF(ISERROR(FIND('112'!$M$9,G1473,1)),"",IF((AND(LEFT(G1473,2)=LEFT('112'!$M$9,2),B1473&lt;'112'!$N$8,$L1473='112'!$I$6)),"x",""))</f>
        <v/>
      </c>
      <c r="T1473" s="525" t="str">
        <f>IF(ISERROR(FIND('112'!$M$9,G1473,1)),"",IF((AND(RIGHT(G1473,2)=RIGHT('112'!$M$9,2),B1473&lt;'112'!$N$8,$M1473='112'!$I$6)),"x",""))</f>
        <v/>
      </c>
      <c r="U1473" s="525" t="str">
        <f>IF(AND(B1473&gt;='IN-NX'!$P$3,B1473&lt;='IN-NX'!$Q$3,'IN-NX'!$D$7=D1473,OR(LEFT(L1473,2)="15",AND(LEFT(M1473,2)&lt;&gt;"15",LEFT(M1473,2)&lt;&gt;"33"))),"x","")</f>
        <v/>
      </c>
      <c r="V1473" s="525" t="str">
        <f>IF(AND(OR(LEFT(TH!L1473,2)="15",LEFT(TH!M1473,2)="15"),'152-CT'!$J$8=TH!F1473),"x","")</f>
        <v/>
      </c>
      <c r="W1473" s="525" t="str">
        <f>IF(AND(OR(LEFT(TH!L1473,2)="15",LEFT(TH!M1473,2)="15"),TK!$E$7=TH!F1473),"x","")</f>
        <v/>
      </c>
      <c r="X1473" s="525" t="str">
        <f>IF(AND('341-CT'!$E$9=H1473,OR(LEFT(L1473,3)=$X$7,LEFT(M1473,3)=$X$7)),"x","")</f>
        <v/>
      </c>
      <c r="Y1473" s="525" t="str">
        <f>IF(OR(TH!L1473=TH!$Y$7,M1473=TH!$Y$7),"x","")</f>
        <v/>
      </c>
      <c r="Z1473" s="525" t="str">
        <f>IF(AND(B1473&lt;=NKC!$N$8,B1473&gt;=NKC!$M$8),"x","")</f>
        <v>x</v>
      </c>
      <c r="AA1473" s="535">
        <v>1</v>
      </c>
    </row>
    <row r="1474" spans="1:31" s="503" customFormat="1" ht="15.75" customHeight="1">
      <c r="A1474" s="517" t="str">
        <f>IF(B1474&lt;&gt;"",IF(AND(B1474&gt;=_TM1,B1474&lt;=_TM2,OR(TH!L1474="1111",TH!M1474="1111")),TH!D1474,""),"")</f>
        <v/>
      </c>
      <c r="B1474" s="531">
        <f t="shared" si="147"/>
        <v>3</v>
      </c>
      <c r="C1474" s="315">
        <f t="shared" si="148"/>
        <v>42818</v>
      </c>
      <c r="D1474" s="537" t="s">
        <v>982</v>
      </c>
      <c r="E1474" s="537">
        <v>42818</v>
      </c>
      <c r="F1474" s="249" t="s">
        <v>526</v>
      </c>
      <c r="G1474" s="314" t="s">
        <v>586</v>
      </c>
      <c r="H1474" s="473" t="s">
        <v>271</v>
      </c>
      <c r="I1474" s="307"/>
      <c r="J1474" s="307"/>
      <c r="K1474" s="532">
        <v>221626</v>
      </c>
      <c r="L1474" s="534" t="s">
        <v>9</v>
      </c>
      <c r="M1474" s="534" t="s">
        <v>8</v>
      </c>
      <c r="N1474" s="525" t="str">
        <f>IF(AND('331-CT'!$E$7=TH!H1474,OR(L1474="331",M1474="331")),"331",IF(AND(OR(L1474="131",M1474="131"),H1474='131-CT'!$E$7),"131",""))</f>
        <v>331</v>
      </c>
      <c r="O1474" s="525" t="str">
        <f>IF(AND($B1474&gt;='111'!$N$11,$B1474&lt;='111'!$O$11,OR($L1474=$O$7,$M1474=$O$7)),"x","")</f>
        <v/>
      </c>
      <c r="P1474" s="525" t="str">
        <f>IF(AND($L1474=$O$7,$B1474&lt;'111'!$N$11),"x","")</f>
        <v/>
      </c>
      <c r="Q1474" s="525" t="str">
        <f>IF(AND($M1474=$O$7,$B1474&lt;'111'!$N$11),"x","")</f>
        <v/>
      </c>
      <c r="R1474" s="525" t="str">
        <f>IF(ISERROR(FIND('112'!$M$9,G1474,1)),"",IF((AND(FIND('112'!$M$9,G1474,1)&gt;=1,$B1474&gt;='112'!$N$8,$B1474&lt;='112'!$O$8,OR($L1474='112'!$I$6,$M1474='112'!$I$6))),"x",""))</f>
        <v/>
      </c>
      <c r="S1474" s="525" t="str">
        <f>IF(ISERROR(FIND('112'!$M$9,G1474,1)),"",IF((AND(LEFT(G1474,2)=LEFT('112'!$M$9,2),B1474&lt;'112'!$N$8,$L1474='112'!$I$6)),"x",""))</f>
        <v/>
      </c>
      <c r="T1474" s="525" t="str">
        <f>IF(ISERROR(FIND('112'!$M$9,G1474,1)),"",IF((AND(RIGHT(G1474,2)=RIGHT('112'!$M$9,2),B1474&lt;'112'!$N$8,$M1474='112'!$I$6)),"x",""))</f>
        <v/>
      </c>
      <c r="U1474" s="525" t="str">
        <f>IF(AND(B1474&gt;='IN-NX'!$P$3,B1474&lt;='IN-NX'!$Q$3,'IN-NX'!$D$7=D1474,OR(LEFT(L1474,2)="15",AND(LEFT(M1474,2)&lt;&gt;"15",LEFT(M1474,2)&lt;&gt;"33"))),"x","")</f>
        <v/>
      </c>
      <c r="V1474" s="525" t="str">
        <f>IF(AND(OR(LEFT(TH!L1474,2)="15",LEFT(TH!M1474,2)="15"),'152-CT'!$J$8=TH!F1474),"x","")</f>
        <v/>
      </c>
      <c r="W1474" s="525" t="str">
        <f>IF(AND(OR(LEFT(TH!L1474,2)="15",LEFT(TH!M1474,2)="15"),TK!$E$7=TH!F1474),"x","")</f>
        <v/>
      </c>
      <c r="X1474" s="525" t="str">
        <f>IF(AND('341-CT'!$E$9=H1474,OR(LEFT(L1474,3)=$X$7,LEFT(M1474,3)=$X$7)),"x","")</f>
        <v/>
      </c>
      <c r="Y1474" s="525" t="str">
        <f>IF(OR(TH!L1474=TH!$Y$7,M1474=TH!$Y$7),"x","")</f>
        <v/>
      </c>
      <c r="Z1474" s="525" t="str">
        <f>IF(AND(B1474&lt;=NKC!$N$8,B1474&gt;=NKC!$M$8),"x","")</f>
        <v>x</v>
      </c>
      <c r="AA1474" s="535">
        <v>1</v>
      </c>
      <c r="AB1474" s="536"/>
    </row>
    <row r="1475" spans="1:31" s="503" customFormat="1" ht="15.75" customHeight="1">
      <c r="A1475" s="517" t="str">
        <f>IF(B1475&lt;&gt;"",IF(AND(B1475&gt;=_TM1,B1475&lt;=_TM2,OR(TH!L1475="1111",TH!M1475="1111")),TH!D1475,""),"")</f>
        <v/>
      </c>
      <c r="B1475" s="518">
        <f t="shared" si="147"/>
        <v>3</v>
      </c>
      <c r="C1475" s="571">
        <f t="shared" si="148"/>
        <v>42820</v>
      </c>
      <c r="D1475" s="537" t="s">
        <v>983</v>
      </c>
      <c r="E1475" s="571">
        <v>42820</v>
      </c>
      <c r="F1475" s="572" t="s">
        <v>493</v>
      </c>
      <c r="G1475" s="573" t="s">
        <v>850</v>
      </c>
      <c r="H1475" s="574" t="s">
        <v>447</v>
      </c>
      <c r="I1475" s="523">
        <v>4750</v>
      </c>
      <c r="J1475" s="523">
        <v>9016</v>
      </c>
      <c r="K1475" s="575">
        <f t="shared" ref="K1475:K1490" si="150">ROUND(I1475*J1475,0)</f>
        <v>42826000</v>
      </c>
      <c r="L1475" s="525" t="s">
        <v>292</v>
      </c>
      <c r="M1475" s="525" t="s">
        <v>8</v>
      </c>
      <c r="N1475" s="525" t="str">
        <f>IF(AND('331-CT'!$E$7=TH!H1475,OR(L1475="331",M1475="331")),"331",IF(AND(OR(L1475="131",M1475="131"),H1475='131-CT'!$E$7),"131",""))</f>
        <v/>
      </c>
      <c r="O1475" s="525" t="str">
        <f>IF(AND($B1475&gt;='111'!$N$11,$B1475&lt;='111'!$O$11,OR($L1475=$O$7,$M1475=$O$7)),"x","")</f>
        <v/>
      </c>
      <c r="P1475" s="525" t="str">
        <f>IF(AND($L1475=$O$7,$B1475&lt;'111'!$N$11),"x","")</f>
        <v/>
      </c>
      <c r="Q1475" s="525" t="str">
        <f>IF(AND($M1475=$O$7,$B1475&lt;'111'!$N$11),"x","")</f>
        <v/>
      </c>
      <c r="R1475" s="525" t="str">
        <f>IF(ISERROR(FIND('112'!$M$9,G1475,1)),"",IF((AND(FIND('112'!$M$9,G1475,1)&gt;=1,$B1475&gt;='112'!$N$8,$B1475&lt;='112'!$O$8,OR($L1475='112'!$I$6,$M1475='112'!$I$6))),"x",""))</f>
        <v/>
      </c>
      <c r="S1475" s="525" t="str">
        <f>IF(ISERROR(FIND('112'!$M$9,G1475,1)),"",IF((AND(LEFT(G1475,2)=LEFT('112'!$M$9,2),B1475&lt;'112'!$N$8,$L1475='112'!$I$6)),"x",""))</f>
        <v/>
      </c>
      <c r="T1475" s="525" t="str">
        <f>IF(ISERROR(FIND('112'!$M$9,G1475,1)),"",IF((AND(RIGHT(G1475,2)=RIGHT('112'!$M$9,2),B1475&lt;'112'!$N$8,$M1475='112'!$I$6)),"x",""))</f>
        <v/>
      </c>
      <c r="U1475" s="525" t="str">
        <f>IF(AND(B1475&gt;='IN-NX'!$P$3,B1475&lt;='IN-NX'!$Q$3,'IN-NX'!$D$7=D1475,OR(LEFT(L1475,2)="15",AND(LEFT(M1475,2)&lt;&gt;"15",LEFT(M1475,2)&lt;&gt;"33"))),"x","")</f>
        <v/>
      </c>
      <c r="V1475" s="525" t="str">
        <f>IF(AND(OR(LEFT(TH!L1475,2)="15",LEFT(TH!M1475,2)="15"),'152-CT'!$J$8=TH!F1475),"x","")</f>
        <v/>
      </c>
      <c r="W1475" s="525" t="str">
        <f>IF(AND(OR(LEFT(TH!L1475,2)="15",LEFT(TH!M1475,2)="15"),TK!$E$7=TH!F1475),"x","")</f>
        <v/>
      </c>
      <c r="X1475" s="525" t="str">
        <f>IF(AND('341-CT'!$E$9=H1475,OR(LEFT(L1475,3)=$X$7,LEFT(M1475,3)=$X$7)),"x","")</f>
        <v/>
      </c>
      <c r="Y1475" s="525" t="str">
        <f>IF(OR(TH!L1475=TH!$Y$7,M1475=TH!$Y$7),"x","")</f>
        <v/>
      </c>
      <c r="Z1475" s="525" t="str">
        <f>IF(AND(B1475&lt;=NKC!$N$8,B1475&gt;=NKC!$M$8),"x","")</f>
        <v>x</v>
      </c>
      <c r="AA1475" s="535">
        <v>1</v>
      </c>
      <c r="AB1475" s="576"/>
      <c r="AD1475" s="576"/>
      <c r="AE1475" s="576"/>
    </row>
    <row r="1476" spans="1:31" s="503" customFormat="1" ht="15.75" customHeight="1">
      <c r="A1476" s="517" t="str">
        <f>IF(B1476&lt;&gt;"",IF(AND(B1476&gt;=_TM1,B1476&lt;=_TM2,OR(TH!L1476="1111",TH!M1476="1111")),TH!D1476,""),"")</f>
        <v/>
      </c>
      <c r="B1476" s="518">
        <f t="shared" si="147"/>
        <v>3</v>
      </c>
      <c r="C1476" s="571">
        <f t="shared" si="148"/>
        <v>42820</v>
      </c>
      <c r="D1476" s="537" t="s">
        <v>983</v>
      </c>
      <c r="E1476" s="571">
        <v>42820</v>
      </c>
      <c r="F1476" s="572" t="s">
        <v>500</v>
      </c>
      <c r="G1476" s="573" t="s">
        <v>850</v>
      </c>
      <c r="H1476" s="574" t="s">
        <v>447</v>
      </c>
      <c r="I1476" s="523">
        <v>210</v>
      </c>
      <c r="J1476" s="523">
        <v>7869.4</v>
      </c>
      <c r="K1476" s="575">
        <f t="shared" si="150"/>
        <v>1652574</v>
      </c>
      <c r="L1476" s="525" t="s">
        <v>292</v>
      </c>
      <c r="M1476" s="525" t="s">
        <v>8</v>
      </c>
      <c r="N1476" s="525" t="str">
        <f>IF(AND('331-CT'!$E$7=TH!H1476,OR(L1476="331",M1476="331")),"331",IF(AND(OR(L1476="131",M1476="131"),H1476='131-CT'!$E$7),"131",""))</f>
        <v/>
      </c>
      <c r="O1476" s="525" t="str">
        <f>IF(AND($B1476&gt;='111'!$N$11,$B1476&lt;='111'!$O$11,OR($L1476=$O$7,$M1476=$O$7)),"x","")</f>
        <v/>
      </c>
      <c r="P1476" s="525" t="str">
        <f>IF(AND($L1476=$O$7,$B1476&lt;'111'!$N$11),"x","")</f>
        <v/>
      </c>
      <c r="Q1476" s="525" t="str">
        <f>IF(AND($M1476=$O$7,$B1476&lt;'111'!$N$11),"x","")</f>
        <v/>
      </c>
      <c r="R1476" s="525" t="str">
        <f>IF(ISERROR(FIND('112'!$M$9,G1476,1)),"",IF((AND(FIND('112'!$M$9,G1476,1)&gt;=1,$B1476&gt;='112'!$N$8,$B1476&lt;='112'!$O$8,OR($L1476='112'!$I$6,$M1476='112'!$I$6))),"x",""))</f>
        <v/>
      </c>
      <c r="S1476" s="525" t="str">
        <f>IF(ISERROR(FIND('112'!$M$9,G1476,1)),"",IF((AND(LEFT(G1476,2)=LEFT('112'!$M$9,2),B1476&lt;'112'!$N$8,$L1476='112'!$I$6)),"x",""))</f>
        <v/>
      </c>
      <c r="T1476" s="525" t="str">
        <f>IF(ISERROR(FIND('112'!$M$9,G1476,1)),"",IF((AND(RIGHT(G1476,2)=RIGHT('112'!$M$9,2),B1476&lt;'112'!$N$8,$M1476='112'!$I$6)),"x",""))</f>
        <v/>
      </c>
      <c r="U1476" s="525" t="str">
        <f>IF(AND(B1476&gt;='IN-NX'!$P$3,B1476&lt;='IN-NX'!$Q$3,'IN-NX'!$D$7=D1476,OR(LEFT(L1476,2)="15",AND(LEFT(M1476,2)&lt;&gt;"15",LEFT(M1476,2)&lt;&gt;"33"))),"x","")</f>
        <v/>
      </c>
      <c r="V1476" s="525" t="str">
        <f>IF(AND(OR(LEFT(TH!L1476,2)="15",LEFT(TH!M1476,2)="15"),'152-CT'!$J$8=TH!F1476),"x","")</f>
        <v/>
      </c>
      <c r="W1476" s="525" t="str">
        <f>IF(AND(OR(LEFT(TH!L1476,2)="15",LEFT(TH!M1476,2)="15"),TK!$E$7=TH!F1476),"x","")</f>
        <v/>
      </c>
      <c r="X1476" s="525" t="str">
        <f>IF(AND('341-CT'!$E$9=H1476,OR(LEFT(L1476,3)=$X$7,LEFT(M1476,3)=$X$7)),"x","")</f>
        <v/>
      </c>
      <c r="Y1476" s="525" t="str">
        <f>IF(OR(TH!L1476=TH!$Y$7,M1476=TH!$Y$7),"x","")</f>
        <v/>
      </c>
      <c r="Z1476" s="525" t="str">
        <f>IF(AND(B1476&lt;=NKC!$N$8,B1476&gt;=NKC!$M$8),"x","")</f>
        <v>x</v>
      </c>
      <c r="AA1476" s="535">
        <v>1</v>
      </c>
      <c r="AB1476" s="576"/>
      <c r="AD1476" s="576"/>
      <c r="AE1476" s="576"/>
    </row>
    <row r="1477" spans="1:31" s="503" customFormat="1" ht="15.75" customHeight="1">
      <c r="A1477" s="517" t="str">
        <f>IF(B1477&lt;&gt;"",IF(AND(B1477&gt;=_TM1,B1477&lt;=_TM2,OR(TH!L1477="1111",TH!M1477="1111")),TH!D1477,""),"")</f>
        <v/>
      </c>
      <c r="B1477" s="518">
        <f t="shared" si="147"/>
        <v>3</v>
      </c>
      <c r="C1477" s="571">
        <f t="shared" si="148"/>
        <v>42820</v>
      </c>
      <c r="D1477" s="537" t="s">
        <v>983</v>
      </c>
      <c r="E1477" s="571">
        <v>42820</v>
      </c>
      <c r="F1477" s="572" t="s">
        <v>589</v>
      </c>
      <c r="G1477" s="573" t="s">
        <v>850</v>
      </c>
      <c r="H1477" s="574" t="s">
        <v>447</v>
      </c>
      <c r="I1477" s="523">
        <v>250</v>
      </c>
      <c r="J1477" s="523">
        <v>31585.4</v>
      </c>
      <c r="K1477" s="575">
        <f t="shared" si="150"/>
        <v>7896350</v>
      </c>
      <c r="L1477" s="525" t="s">
        <v>292</v>
      </c>
      <c r="M1477" s="525" t="s">
        <v>8</v>
      </c>
      <c r="N1477" s="525" t="str">
        <f>IF(AND('331-CT'!$E$7=TH!H1477,OR(L1477="331",M1477="331")),"331",IF(AND(OR(L1477="131",M1477="131"),H1477='131-CT'!$E$7),"131",""))</f>
        <v/>
      </c>
      <c r="O1477" s="525" t="str">
        <f>IF(AND($B1477&gt;='111'!$N$11,$B1477&lt;='111'!$O$11,OR($L1477=$O$7,$M1477=$O$7)),"x","")</f>
        <v/>
      </c>
      <c r="P1477" s="525" t="str">
        <f>IF(AND($L1477=$O$7,$B1477&lt;'111'!$N$11),"x","")</f>
        <v/>
      </c>
      <c r="Q1477" s="525" t="str">
        <f>IF(AND($M1477=$O$7,$B1477&lt;'111'!$N$11),"x","")</f>
        <v/>
      </c>
      <c r="R1477" s="525" t="str">
        <f>IF(ISERROR(FIND('112'!$M$9,G1477,1)),"",IF((AND(FIND('112'!$M$9,G1477,1)&gt;=1,$B1477&gt;='112'!$N$8,$B1477&lt;='112'!$O$8,OR($L1477='112'!$I$6,$M1477='112'!$I$6))),"x",""))</f>
        <v/>
      </c>
      <c r="S1477" s="525" t="str">
        <f>IF(ISERROR(FIND('112'!$M$9,G1477,1)),"",IF((AND(LEFT(G1477,2)=LEFT('112'!$M$9,2),B1477&lt;'112'!$N$8,$L1477='112'!$I$6)),"x",""))</f>
        <v/>
      </c>
      <c r="T1477" s="525" t="str">
        <f>IF(ISERROR(FIND('112'!$M$9,G1477,1)),"",IF((AND(RIGHT(G1477,2)=RIGHT('112'!$M$9,2),B1477&lt;'112'!$N$8,$M1477='112'!$I$6)),"x",""))</f>
        <v/>
      </c>
      <c r="U1477" s="525" t="str">
        <f>IF(AND(B1477&gt;='IN-NX'!$P$3,B1477&lt;='IN-NX'!$Q$3,'IN-NX'!$D$7=D1477,OR(LEFT(L1477,2)="15",AND(LEFT(M1477,2)&lt;&gt;"15",LEFT(M1477,2)&lt;&gt;"33"))),"x","")</f>
        <v/>
      </c>
      <c r="V1477" s="525" t="str">
        <f>IF(AND(OR(LEFT(TH!L1477,2)="15",LEFT(TH!M1477,2)="15"),'152-CT'!$J$8=TH!F1477),"x","")</f>
        <v/>
      </c>
      <c r="W1477" s="525" t="str">
        <f>IF(AND(OR(LEFT(TH!L1477,2)="15",LEFT(TH!M1477,2)="15"),TK!$E$7=TH!F1477),"x","")</f>
        <v/>
      </c>
      <c r="X1477" s="525" t="str">
        <f>IF(AND('341-CT'!$E$9=H1477,OR(LEFT(L1477,3)=$X$7,LEFT(M1477,3)=$X$7)),"x","")</f>
        <v/>
      </c>
      <c r="Y1477" s="525" t="str">
        <f>IF(OR(TH!L1477=TH!$Y$7,M1477=TH!$Y$7),"x","")</f>
        <v/>
      </c>
      <c r="Z1477" s="525" t="str">
        <f>IF(AND(B1477&lt;=NKC!$N$8,B1477&gt;=NKC!$M$8),"x","")</f>
        <v>x</v>
      </c>
      <c r="AA1477" s="535">
        <v>1</v>
      </c>
      <c r="AB1477" s="576"/>
      <c r="AD1477" s="576"/>
      <c r="AE1477" s="576"/>
    </row>
    <row r="1478" spans="1:31" s="503" customFormat="1" ht="15.75" customHeight="1">
      <c r="A1478" s="517" t="str">
        <f>IF(B1478&lt;&gt;"",IF(AND(B1478&gt;=_TM1,B1478&lt;=_TM2,OR(TH!L1478="1111",TH!M1478="1111")),TH!D1478,""),"")</f>
        <v/>
      </c>
      <c r="B1478" s="518">
        <f t="shared" si="147"/>
        <v>3</v>
      </c>
      <c r="C1478" s="571">
        <f t="shared" si="148"/>
        <v>42820</v>
      </c>
      <c r="D1478" s="537" t="s">
        <v>983</v>
      </c>
      <c r="E1478" s="571">
        <v>42820</v>
      </c>
      <c r="F1478" s="572" t="s">
        <v>590</v>
      </c>
      <c r="G1478" s="573" t="s">
        <v>850</v>
      </c>
      <c r="H1478" s="574" t="s">
        <v>447</v>
      </c>
      <c r="I1478" s="523">
        <v>288</v>
      </c>
      <c r="J1478" s="523">
        <v>16170</v>
      </c>
      <c r="K1478" s="575">
        <f t="shared" si="150"/>
        <v>4656960</v>
      </c>
      <c r="L1478" s="525" t="s">
        <v>292</v>
      </c>
      <c r="M1478" s="525" t="s">
        <v>8</v>
      </c>
      <c r="N1478" s="525" t="str">
        <f>IF(AND('331-CT'!$E$7=TH!H1478,OR(L1478="331",M1478="331")),"331",IF(AND(OR(L1478="131",M1478="131"),H1478='131-CT'!$E$7),"131",""))</f>
        <v/>
      </c>
      <c r="O1478" s="525" t="str">
        <f>IF(AND($B1478&gt;='111'!$N$11,$B1478&lt;='111'!$O$11,OR($L1478=$O$7,$M1478=$O$7)),"x","")</f>
        <v/>
      </c>
      <c r="P1478" s="525" t="str">
        <f>IF(AND($L1478=$O$7,$B1478&lt;'111'!$N$11),"x","")</f>
        <v/>
      </c>
      <c r="Q1478" s="525" t="str">
        <f>IF(AND($M1478=$O$7,$B1478&lt;'111'!$N$11),"x","")</f>
        <v/>
      </c>
      <c r="R1478" s="525" t="str">
        <f>IF(ISERROR(FIND('112'!$M$9,G1478,1)),"",IF((AND(FIND('112'!$M$9,G1478,1)&gt;=1,$B1478&gt;='112'!$N$8,$B1478&lt;='112'!$O$8,OR($L1478='112'!$I$6,$M1478='112'!$I$6))),"x",""))</f>
        <v/>
      </c>
      <c r="S1478" s="525" t="str">
        <f>IF(ISERROR(FIND('112'!$M$9,G1478,1)),"",IF((AND(LEFT(G1478,2)=LEFT('112'!$M$9,2),B1478&lt;'112'!$N$8,$L1478='112'!$I$6)),"x",""))</f>
        <v/>
      </c>
      <c r="T1478" s="525" t="str">
        <f>IF(ISERROR(FIND('112'!$M$9,G1478,1)),"",IF((AND(RIGHT(G1478,2)=RIGHT('112'!$M$9,2),B1478&lt;'112'!$N$8,$M1478='112'!$I$6)),"x",""))</f>
        <v/>
      </c>
      <c r="U1478" s="525" t="str">
        <f>IF(AND(B1478&gt;='IN-NX'!$P$3,B1478&lt;='IN-NX'!$Q$3,'IN-NX'!$D$7=D1478,OR(LEFT(L1478,2)="15",AND(LEFT(M1478,2)&lt;&gt;"15",LEFT(M1478,2)&lt;&gt;"33"))),"x","")</f>
        <v/>
      </c>
      <c r="V1478" s="525" t="str">
        <f>IF(AND(OR(LEFT(TH!L1478,2)="15",LEFT(TH!M1478,2)="15"),'152-CT'!$J$8=TH!F1478),"x","")</f>
        <v/>
      </c>
      <c r="W1478" s="525" t="str">
        <f>IF(AND(OR(LEFT(TH!L1478,2)="15",LEFT(TH!M1478,2)="15"),TK!$E$7=TH!F1478),"x","")</f>
        <v/>
      </c>
      <c r="X1478" s="525" t="str">
        <f>IF(AND('341-CT'!$E$9=H1478,OR(LEFT(L1478,3)=$X$7,LEFT(M1478,3)=$X$7)),"x","")</f>
        <v/>
      </c>
      <c r="Y1478" s="525" t="str">
        <f>IF(OR(TH!L1478=TH!$Y$7,M1478=TH!$Y$7),"x","")</f>
        <v/>
      </c>
      <c r="Z1478" s="525" t="str">
        <f>IF(AND(B1478&lt;=NKC!$N$8,B1478&gt;=NKC!$M$8),"x","")</f>
        <v>x</v>
      </c>
      <c r="AA1478" s="535">
        <v>1</v>
      </c>
      <c r="AB1478" s="576"/>
      <c r="AD1478" s="576"/>
      <c r="AE1478" s="576"/>
    </row>
    <row r="1479" spans="1:31" s="503" customFormat="1" ht="15.75" customHeight="1">
      <c r="A1479" s="517" t="str">
        <f>IF(B1479&lt;&gt;"",IF(AND(B1479&gt;=_TM1,B1479&lt;=_TM2,OR(TH!L1479="1111",TH!M1479="1111")),TH!D1479,""),"")</f>
        <v/>
      </c>
      <c r="B1479" s="518">
        <f t="shared" si="147"/>
        <v>3</v>
      </c>
      <c r="C1479" s="571">
        <f t="shared" si="148"/>
        <v>42820</v>
      </c>
      <c r="D1479" s="537" t="s">
        <v>983</v>
      </c>
      <c r="E1479" s="571">
        <v>42820</v>
      </c>
      <c r="F1479" s="572" t="s">
        <v>591</v>
      </c>
      <c r="G1479" s="573" t="s">
        <v>850</v>
      </c>
      <c r="H1479" s="574" t="s">
        <v>447</v>
      </c>
      <c r="I1479" s="523">
        <v>309</v>
      </c>
      <c r="J1479" s="523">
        <v>13980.68</v>
      </c>
      <c r="K1479" s="575">
        <f t="shared" si="150"/>
        <v>4320030</v>
      </c>
      <c r="L1479" s="525" t="s">
        <v>292</v>
      </c>
      <c r="M1479" s="525" t="s">
        <v>8</v>
      </c>
      <c r="N1479" s="525" t="str">
        <f>IF(AND('331-CT'!$E$7=TH!H1479,OR(L1479="331",M1479="331")),"331",IF(AND(OR(L1479="131",M1479="131"),H1479='131-CT'!$E$7),"131",""))</f>
        <v/>
      </c>
      <c r="O1479" s="525" t="str">
        <f>IF(AND($B1479&gt;='111'!$N$11,$B1479&lt;='111'!$O$11,OR($L1479=$O$7,$M1479=$O$7)),"x","")</f>
        <v/>
      </c>
      <c r="P1479" s="525" t="str">
        <f>IF(AND($L1479=$O$7,$B1479&lt;'111'!$N$11),"x","")</f>
        <v/>
      </c>
      <c r="Q1479" s="525" t="str">
        <f>IF(AND($M1479=$O$7,$B1479&lt;'111'!$N$11),"x","")</f>
        <v/>
      </c>
      <c r="R1479" s="525" t="str">
        <f>IF(ISERROR(FIND('112'!$M$9,G1479,1)),"",IF((AND(FIND('112'!$M$9,G1479,1)&gt;=1,$B1479&gt;='112'!$N$8,$B1479&lt;='112'!$O$8,OR($L1479='112'!$I$6,$M1479='112'!$I$6))),"x",""))</f>
        <v/>
      </c>
      <c r="S1479" s="525" t="str">
        <f>IF(ISERROR(FIND('112'!$M$9,G1479,1)),"",IF((AND(LEFT(G1479,2)=LEFT('112'!$M$9,2),B1479&lt;'112'!$N$8,$L1479='112'!$I$6)),"x",""))</f>
        <v/>
      </c>
      <c r="T1479" s="525" t="str">
        <f>IF(ISERROR(FIND('112'!$M$9,G1479,1)),"",IF((AND(RIGHT(G1479,2)=RIGHT('112'!$M$9,2),B1479&lt;'112'!$N$8,$M1479='112'!$I$6)),"x",""))</f>
        <v/>
      </c>
      <c r="U1479" s="525" t="str">
        <f>IF(AND(B1479&gt;='IN-NX'!$P$3,B1479&lt;='IN-NX'!$Q$3,'IN-NX'!$D$7=D1479,OR(LEFT(L1479,2)="15",AND(LEFT(M1479,2)&lt;&gt;"15",LEFT(M1479,2)&lt;&gt;"33"))),"x","")</f>
        <v/>
      </c>
      <c r="V1479" s="525" t="str">
        <f>IF(AND(OR(LEFT(TH!L1479,2)="15",LEFT(TH!M1479,2)="15"),'152-CT'!$J$8=TH!F1479),"x","")</f>
        <v/>
      </c>
      <c r="W1479" s="525" t="str">
        <f>IF(AND(OR(LEFT(TH!L1479,2)="15",LEFT(TH!M1479,2)="15"),TK!$E$7=TH!F1479),"x","")</f>
        <v/>
      </c>
      <c r="X1479" s="525" t="str">
        <f>IF(AND('341-CT'!$E$9=H1479,OR(LEFT(L1479,3)=$X$7,LEFT(M1479,3)=$X$7)),"x","")</f>
        <v/>
      </c>
      <c r="Y1479" s="525" t="str">
        <f>IF(OR(TH!L1479=TH!$Y$7,M1479=TH!$Y$7),"x","")</f>
        <v/>
      </c>
      <c r="Z1479" s="525" t="str">
        <f>IF(AND(B1479&lt;=NKC!$N$8,B1479&gt;=NKC!$M$8),"x","")</f>
        <v>x</v>
      </c>
      <c r="AA1479" s="535">
        <v>1</v>
      </c>
      <c r="AB1479" s="576"/>
      <c r="AD1479" s="576"/>
      <c r="AE1479" s="576"/>
    </row>
    <row r="1480" spans="1:31" s="503" customFormat="1" ht="15.75" customHeight="1">
      <c r="A1480" s="517" t="str">
        <f>IF(B1480&lt;&gt;"",IF(AND(B1480&gt;=_TM1,B1480&lt;=_TM2,OR(TH!L1480="1111",TH!M1480="1111")),TH!D1480,""),"")</f>
        <v/>
      </c>
      <c r="B1480" s="518">
        <f t="shared" si="147"/>
        <v>3</v>
      </c>
      <c r="C1480" s="571">
        <f t="shared" si="148"/>
        <v>42820</v>
      </c>
      <c r="D1480" s="537" t="s">
        <v>983</v>
      </c>
      <c r="E1480" s="571">
        <v>42820</v>
      </c>
      <c r="F1480" s="572" t="s">
        <v>592</v>
      </c>
      <c r="G1480" s="573" t="s">
        <v>850</v>
      </c>
      <c r="H1480" s="574" t="s">
        <v>447</v>
      </c>
      <c r="I1480" s="523">
        <v>306</v>
      </c>
      <c r="J1480" s="523">
        <v>13622</v>
      </c>
      <c r="K1480" s="575">
        <f t="shared" si="150"/>
        <v>4168332</v>
      </c>
      <c r="L1480" s="525" t="s">
        <v>292</v>
      </c>
      <c r="M1480" s="525" t="s">
        <v>8</v>
      </c>
      <c r="N1480" s="525" t="str">
        <f>IF(AND('331-CT'!$E$7=TH!H1480,OR(L1480="331",M1480="331")),"331",IF(AND(OR(L1480="131",M1480="131"),H1480='131-CT'!$E$7),"131",""))</f>
        <v/>
      </c>
      <c r="O1480" s="525" t="str">
        <f>IF(AND($B1480&gt;='111'!$N$11,$B1480&lt;='111'!$O$11,OR($L1480=$O$7,$M1480=$O$7)),"x","")</f>
        <v/>
      </c>
      <c r="P1480" s="525" t="str">
        <f>IF(AND($L1480=$O$7,$B1480&lt;'111'!$N$11),"x","")</f>
        <v/>
      </c>
      <c r="Q1480" s="525" t="str">
        <f>IF(AND($M1480=$O$7,$B1480&lt;'111'!$N$11),"x","")</f>
        <v/>
      </c>
      <c r="R1480" s="525" t="str">
        <f>IF(ISERROR(FIND('112'!$M$9,G1480,1)),"",IF((AND(FIND('112'!$M$9,G1480,1)&gt;=1,$B1480&gt;='112'!$N$8,$B1480&lt;='112'!$O$8,OR($L1480='112'!$I$6,$M1480='112'!$I$6))),"x",""))</f>
        <v/>
      </c>
      <c r="S1480" s="525" t="str">
        <f>IF(ISERROR(FIND('112'!$M$9,G1480,1)),"",IF((AND(LEFT(G1480,2)=LEFT('112'!$M$9,2),B1480&lt;'112'!$N$8,$L1480='112'!$I$6)),"x",""))</f>
        <v/>
      </c>
      <c r="T1480" s="525" t="str">
        <f>IF(ISERROR(FIND('112'!$M$9,G1480,1)),"",IF((AND(RIGHT(G1480,2)=RIGHT('112'!$M$9,2),B1480&lt;'112'!$N$8,$M1480='112'!$I$6)),"x",""))</f>
        <v/>
      </c>
      <c r="U1480" s="525" t="str">
        <f>IF(AND(B1480&gt;='IN-NX'!$P$3,B1480&lt;='IN-NX'!$Q$3,'IN-NX'!$D$7=D1480,OR(LEFT(L1480,2)="15",AND(LEFT(M1480,2)&lt;&gt;"15",LEFT(M1480,2)&lt;&gt;"33"))),"x","")</f>
        <v/>
      </c>
      <c r="V1480" s="525" t="str">
        <f>IF(AND(OR(LEFT(TH!L1480,2)="15",LEFT(TH!M1480,2)="15"),'152-CT'!$J$8=TH!F1480),"x","")</f>
        <v/>
      </c>
      <c r="W1480" s="525" t="str">
        <f>IF(AND(OR(LEFT(TH!L1480,2)="15",LEFT(TH!M1480,2)="15"),TK!$E$7=TH!F1480),"x","")</f>
        <v/>
      </c>
      <c r="X1480" s="525" t="str">
        <f>IF(AND('341-CT'!$E$9=H1480,OR(LEFT(L1480,3)=$X$7,LEFT(M1480,3)=$X$7)),"x","")</f>
        <v/>
      </c>
      <c r="Y1480" s="525" t="str">
        <f>IF(OR(TH!L1480=TH!$Y$7,M1480=TH!$Y$7),"x","")</f>
        <v/>
      </c>
      <c r="Z1480" s="525" t="str">
        <f>IF(AND(B1480&lt;=NKC!$N$8,B1480&gt;=NKC!$M$8),"x","")</f>
        <v>x</v>
      </c>
      <c r="AA1480" s="535">
        <v>1</v>
      </c>
      <c r="AB1480" s="576"/>
      <c r="AD1480" s="576"/>
      <c r="AE1480" s="576"/>
    </row>
    <row r="1481" spans="1:31" s="503" customFormat="1" ht="15.75" customHeight="1">
      <c r="A1481" s="517" t="str">
        <f>IF(B1481&lt;&gt;"",IF(AND(B1481&gt;=_TM1,B1481&lt;=_TM2,OR(TH!L1481="1111",TH!M1481="1111")),TH!D1481,""),"")</f>
        <v/>
      </c>
      <c r="B1481" s="518">
        <f t="shared" si="147"/>
        <v>3</v>
      </c>
      <c r="C1481" s="571">
        <f t="shared" si="148"/>
        <v>42820</v>
      </c>
      <c r="D1481" s="537" t="s">
        <v>983</v>
      </c>
      <c r="E1481" s="571">
        <v>42820</v>
      </c>
      <c r="F1481" s="572" t="s">
        <v>503</v>
      </c>
      <c r="G1481" s="573" t="s">
        <v>850</v>
      </c>
      <c r="H1481" s="574" t="s">
        <v>447</v>
      </c>
      <c r="I1481" s="523">
        <v>5931</v>
      </c>
      <c r="J1481" s="523">
        <v>8330</v>
      </c>
      <c r="K1481" s="575">
        <f t="shared" si="150"/>
        <v>49405230</v>
      </c>
      <c r="L1481" s="525" t="s">
        <v>292</v>
      </c>
      <c r="M1481" s="525" t="s">
        <v>8</v>
      </c>
      <c r="N1481" s="525" t="str">
        <f>IF(AND('331-CT'!$E$7=TH!H1481,OR(L1481="331",M1481="331")),"331",IF(AND(OR(L1481="131",M1481="131"),H1481='131-CT'!$E$7),"131",""))</f>
        <v/>
      </c>
      <c r="O1481" s="525" t="str">
        <f>IF(AND($B1481&gt;='111'!$N$11,$B1481&lt;='111'!$O$11,OR($L1481=$O$7,$M1481=$O$7)),"x","")</f>
        <v/>
      </c>
      <c r="P1481" s="525" t="str">
        <f>IF(AND($L1481=$O$7,$B1481&lt;'111'!$N$11),"x","")</f>
        <v/>
      </c>
      <c r="Q1481" s="525" t="str">
        <f>IF(AND($M1481=$O$7,$B1481&lt;'111'!$N$11),"x","")</f>
        <v/>
      </c>
      <c r="R1481" s="525" t="str">
        <f>IF(ISERROR(FIND('112'!$M$9,G1481,1)),"",IF((AND(FIND('112'!$M$9,G1481,1)&gt;=1,$B1481&gt;='112'!$N$8,$B1481&lt;='112'!$O$8,OR($L1481='112'!$I$6,$M1481='112'!$I$6))),"x",""))</f>
        <v/>
      </c>
      <c r="S1481" s="525" t="str">
        <f>IF(ISERROR(FIND('112'!$M$9,G1481,1)),"",IF((AND(LEFT(G1481,2)=LEFT('112'!$M$9,2),B1481&lt;'112'!$N$8,$L1481='112'!$I$6)),"x",""))</f>
        <v/>
      </c>
      <c r="T1481" s="525" t="str">
        <f>IF(ISERROR(FIND('112'!$M$9,G1481,1)),"",IF((AND(RIGHT(G1481,2)=RIGHT('112'!$M$9,2),B1481&lt;'112'!$N$8,$M1481='112'!$I$6)),"x",""))</f>
        <v/>
      </c>
      <c r="U1481" s="525" t="str">
        <f>IF(AND(B1481&gt;='IN-NX'!$P$3,B1481&lt;='IN-NX'!$Q$3,'IN-NX'!$D$7=D1481,OR(LEFT(L1481,2)="15",AND(LEFT(M1481,2)&lt;&gt;"15",LEFT(M1481,2)&lt;&gt;"33"))),"x","")</f>
        <v/>
      </c>
      <c r="V1481" s="525" t="str">
        <f>IF(AND(OR(LEFT(TH!L1481,2)="15",LEFT(TH!M1481,2)="15"),'152-CT'!$J$8=TH!F1481),"x","")</f>
        <v/>
      </c>
      <c r="W1481" s="525" t="str">
        <f>IF(AND(OR(LEFT(TH!L1481,2)="15",LEFT(TH!M1481,2)="15"),TK!$E$7=TH!F1481),"x","")</f>
        <v/>
      </c>
      <c r="X1481" s="525" t="str">
        <f>IF(AND('341-CT'!$E$9=H1481,OR(LEFT(L1481,3)=$X$7,LEFT(M1481,3)=$X$7)),"x","")</f>
        <v/>
      </c>
      <c r="Y1481" s="525" t="str">
        <f>IF(OR(TH!L1481=TH!$Y$7,M1481=TH!$Y$7),"x","")</f>
        <v/>
      </c>
      <c r="Z1481" s="525" t="str">
        <f>IF(AND(B1481&lt;=NKC!$N$8,B1481&gt;=NKC!$M$8),"x","")</f>
        <v>x</v>
      </c>
      <c r="AA1481" s="535">
        <v>1</v>
      </c>
      <c r="AB1481" s="576"/>
      <c r="AD1481" s="576"/>
      <c r="AE1481" s="576"/>
    </row>
    <row r="1482" spans="1:31" s="503" customFormat="1" ht="15.75" customHeight="1">
      <c r="A1482" s="517" t="str">
        <f>IF(B1482&lt;&gt;"",IF(AND(B1482&gt;=_TM1,B1482&lt;=_TM2,OR(TH!L1482="1111",TH!M1482="1111")),TH!D1482,""),"")</f>
        <v/>
      </c>
      <c r="B1482" s="518">
        <f t="shared" si="147"/>
        <v>3</v>
      </c>
      <c r="C1482" s="571">
        <f t="shared" si="148"/>
        <v>42820</v>
      </c>
      <c r="D1482" s="537" t="s">
        <v>983</v>
      </c>
      <c r="E1482" s="571">
        <v>42820</v>
      </c>
      <c r="F1482" s="572" t="s">
        <v>802</v>
      </c>
      <c r="G1482" s="573" t="s">
        <v>850</v>
      </c>
      <c r="H1482" s="574" t="s">
        <v>447</v>
      </c>
      <c r="I1482" s="523">
        <v>2</v>
      </c>
      <c r="J1482" s="523">
        <v>1950000</v>
      </c>
      <c r="K1482" s="575">
        <f t="shared" si="150"/>
        <v>3900000</v>
      </c>
      <c r="L1482" s="525" t="s">
        <v>292</v>
      </c>
      <c r="M1482" s="525" t="s">
        <v>8</v>
      </c>
      <c r="N1482" s="525" t="str">
        <f>IF(AND('331-CT'!$E$7=TH!H1482,OR(L1482="331",M1482="331")),"331",IF(AND(OR(L1482="131",M1482="131"),H1482='131-CT'!$E$7),"131",""))</f>
        <v/>
      </c>
      <c r="O1482" s="525" t="str">
        <f>IF(AND($B1482&gt;='111'!$N$11,$B1482&lt;='111'!$O$11,OR($L1482=$O$7,$M1482=$O$7)),"x","")</f>
        <v/>
      </c>
      <c r="P1482" s="525" t="str">
        <f>IF(AND($L1482=$O$7,$B1482&lt;'111'!$N$11),"x","")</f>
        <v/>
      </c>
      <c r="Q1482" s="525" t="str">
        <f>IF(AND($M1482=$O$7,$B1482&lt;'111'!$N$11),"x","")</f>
        <v/>
      </c>
      <c r="R1482" s="525" t="str">
        <f>IF(ISERROR(FIND('112'!$M$9,G1482,1)),"",IF((AND(FIND('112'!$M$9,G1482,1)&gt;=1,$B1482&gt;='112'!$N$8,$B1482&lt;='112'!$O$8,OR($L1482='112'!$I$6,$M1482='112'!$I$6))),"x",""))</f>
        <v/>
      </c>
      <c r="S1482" s="525" t="str">
        <f>IF(ISERROR(FIND('112'!$M$9,G1482,1)),"",IF((AND(LEFT(G1482,2)=LEFT('112'!$M$9,2),B1482&lt;'112'!$N$8,$L1482='112'!$I$6)),"x",""))</f>
        <v/>
      </c>
      <c r="T1482" s="525" t="str">
        <f>IF(ISERROR(FIND('112'!$M$9,G1482,1)),"",IF((AND(RIGHT(G1482,2)=RIGHT('112'!$M$9,2),B1482&lt;'112'!$N$8,$M1482='112'!$I$6)),"x",""))</f>
        <v/>
      </c>
      <c r="U1482" s="525" t="str">
        <f>IF(AND(B1482&gt;='IN-NX'!$P$3,B1482&lt;='IN-NX'!$Q$3,'IN-NX'!$D$7=D1482,OR(LEFT(L1482,2)="15",AND(LEFT(M1482,2)&lt;&gt;"15",LEFT(M1482,2)&lt;&gt;"33"))),"x","")</f>
        <v/>
      </c>
      <c r="V1482" s="525" t="str">
        <f>IF(AND(OR(LEFT(TH!L1482,2)="15",LEFT(TH!M1482,2)="15"),'152-CT'!$J$8=TH!F1482),"x","")</f>
        <v/>
      </c>
      <c r="W1482" s="525" t="str">
        <f>IF(AND(OR(LEFT(TH!L1482,2)="15",LEFT(TH!M1482,2)="15"),TK!$E$7=TH!F1482),"x","")</f>
        <v/>
      </c>
      <c r="X1482" s="525" t="str">
        <f>IF(AND('341-CT'!$E$9=H1482,OR(LEFT(L1482,3)=$X$7,LEFT(M1482,3)=$X$7)),"x","")</f>
        <v/>
      </c>
      <c r="Y1482" s="525" t="str">
        <f>IF(OR(TH!L1482=TH!$Y$7,M1482=TH!$Y$7),"x","")</f>
        <v/>
      </c>
      <c r="Z1482" s="525" t="str">
        <f>IF(AND(B1482&lt;=NKC!$N$8,B1482&gt;=NKC!$M$8),"x","")</f>
        <v>x</v>
      </c>
      <c r="AA1482" s="535">
        <v>1</v>
      </c>
      <c r="AB1482" s="576"/>
      <c r="AD1482" s="576"/>
      <c r="AE1482" s="576"/>
    </row>
    <row r="1483" spans="1:31" s="503" customFormat="1" ht="15.75" customHeight="1">
      <c r="A1483" s="517" t="str">
        <f>IF(B1483&lt;&gt;"",IF(AND(B1483&gt;=_TM1,B1483&lt;=_TM2,OR(TH!L1483="1111",TH!M1483="1111")),TH!D1483,""),"")</f>
        <v/>
      </c>
      <c r="B1483" s="518">
        <f t="shared" si="147"/>
        <v>3</v>
      </c>
      <c r="C1483" s="571">
        <f t="shared" si="148"/>
        <v>42820</v>
      </c>
      <c r="D1483" s="537" t="s">
        <v>983</v>
      </c>
      <c r="E1483" s="571">
        <v>42820</v>
      </c>
      <c r="F1483" s="249" t="s">
        <v>763</v>
      </c>
      <c r="G1483" s="573" t="s">
        <v>850</v>
      </c>
      <c r="H1483" s="574" t="s">
        <v>447</v>
      </c>
      <c r="I1483" s="523">
        <v>7240</v>
      </c>
      <c r="J1483" s="523">
        <v>3700</v>
      </c>
      <c r="K1483" s="575">
        <f t="shared" si="150"/>
        <v>26788000</v>
      </c>
      <c r="L1483" s="525" t="s">
        <v>292</v>
      </c>
      <c r="M1483" s="525" t="s">
        <v>8</v>
      </c>
      <c r="N1483" s="525" t="str">
        <f>IF(AND('331-CT'!$E$7=TH!H1483,OR(L1483="331",M1483="331")),"331",IF(AND(OR(L1483="131",M1483="131"),H1483='131-CT'!$E$7),"131",""))</f>
        <v/>
      </c>
      <c r="O1483" s="525" t="str">
        <f>IF(AND($B1483&gt;='111'!$N$11,$B1483&lt;='111'!$O$11,OR($L1483=$O$7,$M1483=$O$7)),"x","")</f>
        <v/>
      </c>
      <c r="P1483" s="525" t="str">
        <f>IF(AND($L1483=$O$7,$B1483&lt;'111'!$N$11),"x","")</f>
        <v/>
      </c>
      <c r="Q1483" s="525" t="str">
        <f>IF(AND($M1483=$O$7,$B1483&lt;'111'!$N$11),"x","")</f>
        <v/>
      </c>
      <c r="R1483" s="525" t="str">
        <f>IF(ISERROR(FIND('112'!$M$9,G1483,1)),"",IF((AND(FIND('112'!$M$9,G1483,1)&gt;=1,$B1483&gt;='112'!$N$8,$B1483&lt;='112'!$O$8,OR($L1483='112'!$I$6,$M1483='112'!$I$6))),"x",""))</f>
        <v/>
      </c>
      <c r="S1483" s="525" t="str">
        <f>IF(ISERROR(FIND('112'!$M$9,G1483,1)),"",IF((AND(LEFT(G1483,2)=LEFT('112'!$M$9,2),B1483&lt;'112'!$N$8,$L1483='112'!$I$6)),"x",""))</f>
        <v/>
      </c>
      <c r="T1483" s="525" t="str">
        <f>IF(ISERROR(FIND('112'!$M$9,G1483,1)),"",IF((AND(RIGHT(G1483,2)=RIGHT('112'!$M$9,2),B1483&lt;'112'!$N$8,$M1483='112'!$I$6)),"x",""))</f>
        <v/>
      </c>
      <c r="U1483" s="525" t="str">
        <f>IF(AND(B1483&gt;='IN-NX'!$P$3,B1483&lt;='IN-NX'!$Q$3,'IN-NX'!$D$7=D1483,OR(LEFT(L1483,2)="15",AND(LEFT(M1483,2)&lt;&gt;"15",LEFT(M1483,2)&lt;&gt;"33"))),"x","")</f>
        <v/>
      </c>
      <c r="V1483" s="525" t="str">
        <f>IF(AND(OR(LEFT(TH!L1483,2)="15",LEFT(TH!M1483,2)="15"),'152-CT'!$J$8=TH!F1483),"x","")</f>
        <v/>
      </c>
      <c r="W1483" s="525" t="str">
        <f>IF(AND(OR(LEFT(TH!L1483,2)="15",LEFT(TH!M1483,2)="15"),TK!$E$7=TH!F1483),"x","")</f>
        <v/>
      </c>
      <c r="X1483" s="525" t="str">
        <f>IF(AND('341-CT'!$E$9=H1483,OR(LEFT(L1483,3)=$X$7,LEFT(M1483,3)=$X$7)),"x","")</f>
        <v/>
      </c>
      <c r="Y1483" s="525" t="str">
        <f>IF(OR(TH!L1483=TH!$Y$7,M1483=TH!$Y$7),"x","")</f>
        <v/>
      </c>
      <c r="Z1483" s="525" t="str">
        <f>IF(AND(B1483&lt;=NKC!$N$8,B1483&gt;=NKC!$M$8),"x","")</f>
        <v>x</v>
      </c>
      <c r="AA1483" s="535">
        <v>1</v>
      </c>
      <c r="AB1483" s="576"/>
      <c r="AD1483" s="576"/>
      <c r="AE1483" s="576"/>
    </row>
    <row r="1484" spans="1:31" s="503" customFormat="1" ht="15.75" customHeight="1">
      <c r="A1484" s="517" t="str">
        <f>IF(B1484&lt;&gt;"",IF(AND(B1484&gt;=_TM1,B1484&lt;=_TM2,OR(TH!L1484="1111",TH!M1484="1111")),TH!D1484,""),"")</f>
        <v/>
      </c>
      <c r="B1484" s="518">
        <f t="shared" si="147"/>
        <v>3</v>
      </c>
      <c r="C1484" s="571">
        <f t="shared" si="148"/>
        <v>42820</v>
      </c>
      <c r="D1484" s="537" t="s">
        <v>983</v>
      </c>
      <c r="E1484" s="571">
        <v>42820</v>
      </c>
      <c r="F1484" s="572" t="s">
        <v>505</v>
      </c>
      <c r="G1484" s="573" t="s">
        <v>850</v>
      </c>
      <c r="H1484" s="574" t="s">
        <v>447</v>
      </c>
      <c r="I1484" s="523">
        <v>1500</v>
      </c>
      <c r="J1484" s="523">
        <v>31850</v>
      </c>
      <c r="K1484" s="575">
        <f t="shared" si="150"/>
        <v>47775000</v>
      </c>
      <c r="L1484" s="525" t="s">
        <v>292</v>
      </c>
      <c r="M1484" s="525" t="s">
        <v>8</v>
      </c>
      <c r="N1484" s="525" t="str">
        <f>IF(AND('331-CT'!$E$7=TH!H1484,OR(L1484="331",M1484="331")),"331",IF(AND(OR(L1484="131",M1484="131"),H1484='131-CT'!$E$7),"131",""))</f>
        <v/>
      </c>
      <c r="O1484" s="525" t="str">
        <f>IF(AND($B1484&gt;='111'!$N$11,$B1484&lt;='111'!$O$11,OR($L1484=$O$7,$M1484=$O$7)),"x","")</f>
        <v/>
      </c>
      <c r="P1484" s="525" t="str">
        <f>IF(AND($L1484=$O$7,$B1484&lt;'111'!$N$11),"x","")</f>
        <v/>
      </c>
      <c r="Q1484" s="525" t="str">
        <f>IF(AND($M1484=$O$7,$B1484&lt;'111'!$N$11),"x","")</f>
        <v/>
      </c>
      <c r="R1484" s="525" t="str">
        <f>IF(ISERROR(FIND('112'!$M$9,G1484,1)),"",IF((AND(FIND('112'!$M$9,G1484,1)&gt;=1,$B1484&gt;='112'!$N$8,$B1484&lt;='112'!$O$8,OR($L1484='112'!$I$6,$M1484='112'!$I$6))),"x",""))</f>
        <v/>
      </c>
      <c r="S1484" s="525" t="str">
        <f>IF(ISERROR(FIND('112'!$M$9,G1484,1)),"",IF((AND(LEFT(G1484,2)=LEFT('112'!$M$9,2),B1484&lt;'112'!$N$8,$L1484='112'!$I$6)),"x",""))</f>
        <v/>
      </c>
      <c r="T1484" s="525" t="str">
        <f>IF(ISERROR(FIND('112'!$M$9,G1484,1)),"",IF((AND(RIGHT(G1484,2)=RIGHT('112'!$M$9,2),B1484&lt;'112'!$N$8,$M1484='112'!$I$6)),"x",""))</f>
        <v/>
      </c>
      <c r="U1484" s="525" t="str">
        <f>IF(AND(B1484&gt;='IN-NX'!$P$3,B1484&lt;='IN-NX'!$Q$3,'IN-NX'!$D$7=D1484,OR(LEFT(L1484,2)="15",AND(LEFT(M1484,2)&lt;&gt;"15",LEFT(M1484,2)&lt;&gt;"33"))),"x","")</f>
        <v/>
      </c>
      <c r="V1484" s="525" t="str">
        <f>IF(AND(OR(LEFT(TH!L1484,2)="15",LEFT(TH!M1484,2)="15"),'152-CT'!$J$8=TH!F1484),"x","")</f>
        <v/>
      </c>
      <c r="W1484" s="525" t="str">
        <f>IF(AND(OR(LEFT(TH!L1484,2)="15",LEFT(TH!M1484,2)="15"),TK!$E$7=TH!F1484),"x","")</f>
        <v/>
      </c>
      <c r="X1484" s="525" t="str">
        <f>IF(AND('341-CT'!$E$9=H1484,OR(LEFT(L1484,3)=$X$7,LEFT(M1484,3)=$X$7)),"x","")</f>
        <v/>
      </c>
      <c r="Y1484" s="525" t="str">
        <f>IF(OR(TH!L1484=TH!$Y$7,M1484=TH!$Y$7),"x","")</f>
        <v/>
      </c>
      <c r="Z1484" s="525" t="str">
        <f>IF(AND(B1484&lt;=NKC!$N$8,B1484&gt;=NKC!$M$8),"x","")</f>
        <v>x</v>
      </c>
      <c r="AA1484" s="535">
        <v>1</v>
      </c>
      <c r="AB1484" s="576"/>
      <c r="AD1484" s="576"/>
      <c r="AE1484" s="576"/>
    </row>
    <row r="1485" spans="1:31" s="503" customFormat="1" ht="15.75" customHeight="1">
      <c r="A1485" s="517" t="str">
        <f>IF(B1485&lt;&gt;"",IF(AND(B1485&gt;=_TM1,B1485&lt;=_TM2,OR(TH!L1485="1111",TH!M1485="1111")),TH!D1485,""),"")</f>
        <v/>
      </c>
      <c r="B1485" s="518">
        <f t="shared" si="147"/>
        <v>3</v>
      </c>
      <c r="C1485" s="571">
        <f t="shared" si="148"/>
        <v>42820</v>
      </c>
      <c r="D1485" s="537" t="s">
        <v>983</v>
      </c>
      <c r="E1485" s="571">
        <v>42820</v>
      </c>
      <c r="F1485" s="572" t="s">
        <v>504</v>
      </c>
      <c r="G1485" s="573" t="s">
        <v>850</v>
      </c>
      <c r="H1485" s="574" t="s">
        <v>447</v>
      </c>
      <c r="I1485" s="523">
        <v>1700</v>
      </c>
      <c r="J1485" s="523">
        <v>34300</v>
      </c>
      <c r="K1485" s="575">
        <f t="shared" si="150"/>
        <v>58310000</v>
      </c>
      <c r="L1485" s="525" t="s">
        <v>292</v>
      </c>
      <c r="M1485" s="525" t="s">
        <v>8</v>
      </c>
      <c r="N1485" s="525" t="str">
        <f>IF(AND('331-CT'!$E$7=TH!H1485,OR(L1485="331",M1485="331")),"331",IF(AND(OR(L1485="131",M1485="131"),H1485='131-CT'!$E$7),"131",""))</f>
        <v/>
      </c>
      <c r="O1485" s="525" t="str">
        <f>IF(AND($B1485&gt;='111'!$N$11,$B1485&lt;='111'!$O$11,OR($L1485=$O$7,$M1485=$O$7)),"x","")</f>
        <v/>
      </c>
      <c r="P1485" s="525" t="str">
        <f>IF(AND($L1485=$O$7,$B1485&lt;'111'!$N$11),"x","")</f>
        <v/>
      </c>
      <c r="Q1485" s="525" t="str">
        <f>IF(AND($M1485=$O$7,$B1485&lt;'111'!$N$11),"x","")</f>
        <v/>
      </c>
      <c r="R1485" s="525" t="str">
        <f>IF(ISERROR(FIND('112'!$M$9,G1485,1)),"",IF((AND(FIND('112'!$M$9,G1485,1)&gt;=1,$B1485&gt;='112'!$N$8,$B1485&lt;='112'!$O$8,OR($L1485='112'!$I$6,$M1485='112'!$I$6))),"x",""))</f>
        <v/>
      </c>
      <c r="S1485" s="525" t="str">
        <f>IF(ISERROR(FIND('112'!$M$9,G1485,1)),"",IF((AND(LEFT(G1485,2)=LEFT('112'!$M$9,2),B1485&lt;'112'!$N$8,$L1485='112'!$I$6)),"x",""))</f>
        <v/>
      </c>
      <c r="T1485" s="525" t="str">
        <f>IF(ISERROR(FIND('112'!$M$9,G1485,1)),"",IF((AND(RIGHT(G1485,2)=RIGHT('112'!$M$9,2),B1485&lt;'112'!$N$8,$M1485='112'!$I$6)),"x",""))</f>
        <v/>
      </c>
      <c r="U1485" s="525" t="str">
        <f>IF(AND(B1485&gt;='IN-NX'!$P$3,B1485&lt;='IN-NX'!$Q$3,'IN-NX'!$D$7=D1485,OR(LEFT(L1485,2)="15",AND(LEFT(M1485,2)&lt;&gt;"15",LEFT(M1485,2)&lt;&gt;"33"))),"x","")</f>
        <v/>
      </c>
      <c r="V1485" s="525" t="str">
        <f>IF(AND(OR(LEFT(TH!L1485,2)="15",LEFT(TH!M1485,2)="15"),'152-CT'!$J$8=TH!F1485),"x","")</f>
        <v/>
      </c>
      <c r="W1485" s="525" t="str">
        <f>IF(AND(OR(LEFT(TH!L1485,2)="15",LEFT(TH!M1485,2)="15"),TK!$E$7=TH!F1485),"x","")</f>
        <v/>
      </c>
      <c r="X1485" s="525" t="str">
        <f>IF(AND('341-CT'!$E$9=H1485,OR(LEFT(L1485,3)=$X$7,LEFT(M1485,3)=$X$7)),"x","")</f>
        <v/>
      </c>
      <c r="Y1485" s="525" t="str">
        <f>IF(OR(TH!L1485=TH!$Y$7,M1485=TH!$Y$7),"x","")</f>
        <v/>
      </c>
      <c r="Z1485" s="525" t="str">
        <f>IF(AND(B1485&lt;=NKC!$N$8,B1485&gt;=NKC!$M$8),"x","")</f>
        <v>x</v>
      </c>
      <c r="AA1485" s="535">
        <v>1</v>
      </c>
      <c r="AB1485" s="576"/>
      <c r="AD1485" s="576"/>
      <c r="AE1485" s="576"/>
    </row>
    <row r="1486" spans="1:31" s="503" customFormat="1" ht="15.75" customHeight="1">
      <c r="A1486" s="517" t="str">
        <f>IF(B1486&lt;&gt;"",IF(AND(B1486&gt;=_TM1,B1486&lt;=_TM2,OR(TH!L1486="1111",TH!M1486="1111")),TH!D1486,""),"")</f>
        <v/>
      </c>
      <c r="B1486" s="518">
        <f t="shared" si="147"/>
        <v>3</v>
      </c>
      <c r="C1486" s="571">
        <f t="shared" si="148"/>
        <v>42820</v>
      </c>
      <c r="D1486" s="537" t="s">
        <v>983</v>
      </c>
      <c r="E1486" s="571">
        <v>42820</v>
      </c>
      <c r="F1486" s="572" t="s">
        <v>274</v>
      </c>
      <c r="G1486" s="573" t="s">
        <v>850</v>
      </c>
      <c r="H1486" s="574" t="s">
        <v>447</v>
      </c>
      <c r="I1486" s="523">
        <v>4600</v>
      </c>
      <c r="J1486" s="523">
        <v>18130</v>
      </c>
      <c r="K1486" s="575">
        <f t="shared" si="150"/>
        <v>83398000</v>
      </c>
      <c r="L1486" s="525" t="s">
        <v>292</v>
      </c>
      <c r="M1486" s="525" t="s">
        <v>8</v>
      </c>
      <c r="N1486" s="525" t="str">
        <f>IF(AND('331-CT'!$E$7=TH!H1486,OR(L1486="331",M1486="331")),"331",IF(AND(OR(L1486="131",M1486="131"),H1486='131-CT'!$E$7),"131",""))</f>
        <v/>
      </c>
      <c r="O1486" s="525" t="str">
        <f>IF(AND($B1486&gt;='111'!$N$11,$B1486&lt;='111'!$O$11,OR($L1486=$O$7,$M1486=$O$7)),"x","")</f>
        <v/>
      </c>
      <c r="P1486" s="525" t="str">
        <f>IF(AND($L1486=$O$7,$B1486&lt;'111'!$N$11),"x","")</f>
        <v/>
      </c>
      <c r="Q1486" s="525" t="str">
        <f>IF(AND($M1486=$O$7,$B1486&lt;'111'!$N$11),"x","")</f>
        <v/>
      </c>
      <c r="R1486" s="525" t="str">
        <f>IF(ISERROR(FIND('112'!$M$9,G1486,1)),"",IF((AND(FIND('112'!$M$9,G1486,1)&gt;=1,$B1486&gt;='112'!$N$8,$B1486&lt;='112'!$O$8,OR($L1486='112'!$I$6,$M1486='112'!$I$6))),"x",""))</f>
        <v/>
      </c>
      <c r="S1486" s="525" t="str">
        <f>IF(ISERROR(FIND('112'!$M$9,G1486,1)),"",IF((AND(LEFT(G1486,2)=LEFT('112'!$M$9,2),B1486&lt;'112'!$N$8,$L1486='112'!$I$6)),"x",""))</f>
        <v/>
      </c>
      <c r="T1486" s="525" t="str">
        <f>IF(ISERROR(FIND('112'!$M$9,G1486,1)),"",IF((AND(RIGHT(G1486,2)=RIGHT('112'!$M$9,2),B1486&lt;'112'!$N$8,$M1486='112'!$I$6)),"x",""))</f>
        <v/>
      </c>
      <c r="U1486" s="525" t="str">
        <f>IF(AND(B1486&gt;='IN-NX'!$P$3,B1486&lt;='IN-NX'!$Q$3,'IN-NX'!$D$7=D1486,OR(LEFT(L1486,2)="15",AND(LEFT(M1486,2)&lt;&gt;"15",LEFT(M1486,2)&lt;&gt;"33"))),"x","")</f>
        <v/>
      </c>
      <c r="V1486" s="525" t="str">
        <f>IF(AND(OR(LEFT(TH!L1486,2)="15",LEFT(TH!M1486,2)="15"),'152-CT'!$J$8=TH!F1486),"x","")</f>
        <v/>
      </c>
      <c r="W1486" s="525" t="str">
        <f>IF(AND(OR(LEFT(TH!L1486,2)="15",LEFT(TH!M1486,2)="15"),TK!$E$7=TH!F1486),"x","")</f>
        <v>x</v>
      </c>
      <c r="X1486" s="525" t="str">
        <f>IF(AND('341-CT'!$E$9=H1486,OR(LEFT(L1486,3)=$X$7,LEFT(M1486,3)=$X$7)),"x","")</f>
        <v/>
      </c>
      <c r="Y1486" s="525" t="str">
        <f>IF(OR(TH!L1486=TH!$Y$7,M1486=TH!$Y$7),"x","")</f>
        <v/>
      </c>
      <c r="Z1486" s="525" t="str">
        <f>IF(AND(B1486&lt;=NKC!$N$8,B1486&gt;=NKC!$M$8),"x","")</f>
        <v>x</v>
      </c>
      <c r="AA1486" s="535">
        <v>1</v>
      </c>
      <c r="AB1486" s="576"/>
      <c r="AD1486" s="576"/>
      <c r="AE1486" s="576"/>
    </row>
    <row r="1487" spans="1:31" s="503" customFormat="1" ht="15.75" customHeight="1">
      <c r="A1487" s="517" t="str">
        <f>IF(B1487&lt;&gt;"",IF(AND(B1487&gt;=_TM1,B1487&lt;=_TM2,OR(TH!L1487="1111",TH!M1487="1111")),TH!D1487,""),"")</f>
        <v/>
      </c>
      <c r="B1487" s="518">
        <f t="shared" si="147"/>
        <v>3</v>
      </c>
      <c r="C1487" s="571">
        <f t="shared" si="148"/>
        <v>42820</v>
      </c>
      <c r="D1487" s="537" t="s">
        <v>984</v>
      </c>
      <c r="E1487" s="571">
        <v>42820</v>
      </c>
      <c r="F1487" s="572" t="s">
        <v>503</v>
      </c>
      <c r="G1487" s="573" t="s">
        <v>850</v>
      </c>
      <c r="H1487" s="574" t="s">
        <v>447</v>
      </c>
      <c r="I1487" s="523">
        <v>4500</v>
      </c>
      <c r="J1487" s="523">
        <v>18130</v>
      </c>
      <c r="K1487" s="575">
        <f t="shared" si="150"/>
        <v>81585000</v>
      </c>
      <c r="L1487" s="525" t="s">
        <v>292</v>
      </c>
      <c r="M1487" s="525" t="s">
        <v>8</v>
      </c>
      <c r="N1487" s="525" t="str">
        <f>IF(AND('331-CT'!$E$7=TH!H1487,OR(L1487="331",M1487="331")),"331",IF(AND(OR(L1487="131",M1487="131"),H1487='131-CT'!$E$7),"131",""))</f>
        <v/>
      </c>
      <c r="O1487" s="525" t="str">
        <f>IF(AND($B1487&gt;='111'!$N$11,$B1487&lt;='111'!$O$11,OR($L1487=$O$7,$M1487=$O$7)),"x","")</f>
        <v/>
      </c>
      <c r="P1487" s="525" t="str">
        <f>IF(AND($L1487=$O$7,$B1487&lt;'111'!$N$11),"x","")</f>
        <v/>
      </c>
      <c r="Q1487" s="525" t="str">
        <f>IF(AND($M1487=$O$7,$B1487&lt;'111'!$N$11),"x","")</f>
        <v/>
      </c>
      <c r="R1487" s="525" t="str">
        <f>IF(ISERROR(FIND('112'!$M$9,G1487,1)),"",IF((AND(FIND('112'!$M$9,G1487,1)&gt;=1,$B1487&gt;='112'!$N$8,$B1487&lt;='112'!$O$8,OR($L1487='112'!$I$6,$M1487='112'!$I$6))),"x",""))</f>
        <v/>
      </c>
      <c r="S1487" s="525" t="str">
        <f>IF(ISERROR(FIND('112'!$M$9,G1487,1)),"",IF((AND(LEFT(G1487,2)=LEFT('112'!$M$9,2),B1487&lt;'112'!$N$8,$L1487='112'!$I$6)),"x",""))</f>
        <v/>
      </c>
      <c r="T1487" s="525" t="str">
        <f>IF(ISERROR(FIND('112'!$M$9,G1487,1)),"",IF((AND(RIGHT(G1487,2)=RIGHT('112'!$M$9,2),B1487&lt;'112'!$N$8,$M1487='112'!$I$6)),"x",""))</f>
        <v/>
      </c>
      <c r="U1487" s="525" t="str">
        <f>IF(AND(B1487&gt;='IN-NX'!$P$3,B1487&lt;='IN-NX'!$Q$3,'IN-NX'!$D$7=D1487,OR(LEFT(L1487,2)="15",AND(LEFT(M1487,2)&lt;&gt;"15",LEFT(M1487,2)&lt;&gt;"33"))),"x","")</f>
        <v/>
      </c>
      <c r="V1487" s="525" t="str">
        <f>IF(AND(OR(LEFT(TH!L1487,2)="15",LEFT(TH!M1487,2)="15"),'152-CT'!$J$8=TH!F1487),"x","")</f>
        <v/>
      </c>
      <c r="W1487" s="525" t="str">
        <f>IF(AND(OR(LEFT(TH!L1487,2)="15",LEFT(TH!M1487,2)="15"),TK!$E$7=TH!F1487),"x","")</f>
        <v/>
      </c>
      <c r="X1487" s="525" t="str">
        <f>IF(AND('341-CT'!$E$9=H1487,OR(LEFT(L1487,3)=$X$7,LEFT(M1487,3)=$X$7)),"x","")</f>
        <v/>
      </c>
      <c r="Y1487" s="525" t="str">
        <f>IF(OR(TH!L1487=TH!$Y$7,M1487=TH!$Y$7),"x","")</f>
        <v/>
      </c>
      <c r="Z1487" s="525" t="str">
        <f>IF(AND(B1487&lt;=NKC!$N$8,B1487&gt;=NKC!$M$8),"x","")</f>
        <v>x</v>
      </c>
      <c r="AA1487" s="535">
        <v>1</v>
      </c>
      <c r="AB1487" s="576"/>
      <c r="AD1487" s="576"/>
      <c r="AE1487" s="576"/>
    </row>
    <row r="1488" spans="1:31" s="503" customFormat="1" ht="15.75" customHeight="1">
      <c r="A1488" s="517" t="str">
        <f>IF(B1488&lt;&gt;"",IF(AND(B1488&gt;=_TM1,B1488&lt;=_TM2,OR(TH!L1488="1111",TH!M1488="1111")),TH!D1488,""),"")</f>
        <v/>
      </c>
      <c r="B1488" s="518">
        <f t="shared" si="147"/>
        <v>3</v>
      </c>
      <c r="C1488" s="571">
        <f t="shared" si="148"/>
        <v>42820</v>
      </c>
      <c r="D1488" s="537" t="s">
        <v>984</v>
      </c>
      <c r="E1488" s="571">
        <v>42820</v>
      </c>
      <c r="F1488" s="249" t="s">
        <v>588</v>
      </c>
      <c r="G1488" s="573" t="s">
        <v>850</v>
      </c>
      <c r="H1488" s="574" t="s">
        <v>447</v>
      </c>
      <c r="I1488" s="523">
        <v>310</v>
      </c>
      <c r="J1488" s="523">
        <v>13980.68</v>
      </c>
      <c r="K1488" s="575">
        <f t="shared" si="150"/>
        <v>4334011</v>
      </c>
      <c r="L1488" s="525" t="s">
        <v>292</v>
      </c>
      <c r="M1488" s="525" t="s">
        <v>8</v>
      </c>
      <c r="N1488" s="525" t="str">
        <f>IF(AND('331-CT'!$E$7=TH!H1488,OR(L1488="331",M1488="331")),"331",IF(AND(OR(L1488="131",M1488="131"),H1488='131-CT'!$E$7),"131",""))</f>
        <v/>
      </c>
      <c r="O1488" s="525" t="str">
        <f>IF(AND($B1488&gt;='111'!$N$11,$B1488&lt;='111'!$O$11,OR($L1488=$O$7,$M1488=$O$7)),"x","")</f>
        <v/>
      </c>
      <c r="P1488" s="525" t="str">
        <f>IF(AND($L1488=$O$7,$B1488&lt;'111'!$N$11),"x","")</f>
        <v/>
      </c>
      <c r="Q1488" s="525" t="str">
        <f>IF(AND($M1488=$O$7,$B1488&lt;'111'!$N$11),"x","")</f>
        <v/>
      </c>
      <c r="R1488" s="525" t="str">
        <f>IF(ISERROR(FIND('112'!$M$9,G1488,1)),"",IF((AND(FIND('112'!$M$9,G1488,1)&gt;=1,$B1488&gt;='112'!$N$8,$B1488&lt;='112'!$O$8,OR($L1488='112'!$I$6,$M1488='112'!$I$6))),"x",""))</f>
        <v/>
      </c>
      <c r="S1488" s="525" t="str">
        <f>IF(ISERROR(FIND('112'!$M$9,G1488,1)),"",IF((AND(LEFT(G1488,2)=LEFT('112'!$M$9,2),B1488&lt;'112'!$N$8,$L1488='112'!$I$6)),"x",""))</f>
        <v/>
      </c>
      <c r="T1488" s="525" t="str">
        <f>IF(ISERROR(FIND('112'!$M$9,G1488,1)),"",IF((AND(RIGHT(G1488,2)=RIGHT('112'!$M$9,2),B1488&lt;'112'!$N$8,$M1488='112'!$I$6)),"x",""))</f>
        <v/>
      </c>
      <c r="U1488" s="525" t="str">
        <f>IF(AND(B1488&gt;='IN-NX'!$P$3,B1488&lt;='IN-NX'!$Q$3,'IN-NX'!$D$7=D1488,OR(LEFT(L1488,2)="15",AND(LEFT(M1488,2)&lt;&gt;"15",LEFT(M1488,2)&lt;&gt;"33"))),"x","")</f>
        <v/>
      </c>
      <c r="V1488" s="525" t="str">
        <f>IF(AND(OR(LEFT(TH!L1488,2)="15",LEFT(TH!M1488,2)="15"),'152-CT'!$J$8=TH!F1488),"x","")</f>
        <v/>
      </c>
      <c r="W1488" s="525" t="str">
        <f>IF(AND(OR(LEFT(TH!L1488,2)="15",LEFT(TH!M1488,2)="15"),TK!$E$7=TH!F1488),"x","")</f>
        <v/>
      </c>
      <c r="X1488" s="525" t="str">
        <f>IF(AND('341-CT'!$E$9=H1488,OR(LEFT(L1488,3)=$X$7,LEFT(M1488,3)=$X$7)),"x","")</f>
        <v/>
      </c>
      <c r="Y1488" s="525" t="str">
        <f>IF(OR(TH!L1488=TH!$Y$7,M1488=TH!$Y$7),"x","")</f>
        <v/>
      </c>
      <c r="Z1488" s="525" t="str">
        <f>IF(AND(B1488&lt;=NKC!$N$8,B1488&gt;=NKC!$M$8),"x","")</f>
        <v>x</v>
      </c>
      <c r="AA1488" s="535">
        <v>1</v>
      </c>
      <c r="AB1488" s="576"/>
      <c r="AD1488" s="576"/>
      <c r="AE1488" s="576"/>
    </row>
    <row r="1489" spans="1:31" s="503" customFormat="1" ht="15.75" customHeight="1">
      <c r="A1489" s="517" t="str">
        <f>IF(B1489&lt;&gt;"",IF(AND(B1489&gt;=_TM1,B1489&lt;=_TM2,OR(TH!L1489="1111",TH!M1489="1111")),TH!D1489,""),"")</f>
        <v/>
      </c>
      <c r="B1489" s="518">
        <f t="shared" si="147"/>
        <v>3</v>
      </c>
      <c r="C1489" s="571">
        <f t="shared" si="148"/>
        <v>42820</v>
      </c>
      <c r="D1489" s="537" t="s">
        <v>984</v>
      </c>
      <c r="E1489" s="571">
        <v>42820</v>
      </c>
      <c r="F1489" s="572" t="s">
        <v>587</v>
      </c>
      <c r="G1489" s="573" t="s">
        <v>850</v>
      </c>
      <c r="H1489" s="574" t="s">
        <v>447</v>
      </c>
      <c r="I1489" s="523">
        <v>620</v>
      </c>
      <c r="J1489" s="523">
        <v>2450</v>
      </c>
      <c r="K1489" s="575">
        <f t="shared" si="150"/>
        <v>1519000</v>
      </c>
      <c r="L1489" s="525" t="s">
        <v>292</v>
      </c>
      <c r="M1489" s="525" t="s">
        <v>8</v>
      </c>
      <c r="N1489" s="525" t="str">
        <f>IF(AND('331-CT'!$E$7=TH!H1489,OR(L1489="331",M1489="331")),"331",IF(AND(OR(L1489="131",M1489="131"),H1489='131-CT'!$E$7),"131",""))</f>
        <v/>
      </c>
      <c r="O1489" s="525" t="str">
        <f>IF(AND($B1489&gt;='111'!$N$11,$B1489&lt;='111'!$O$11,OR($L1489=$O$7,$M1489=$O$7)),"x","")</f>
        <v/>
      </c>
      <c r="P1489" s="525" t="str">
        <f>IF(AND($L1489=$O$7,$B1489&lt;'111'!$N$11),"x","")</f>
        <v/>
      </c>
      <c r="Q1489" s="525" t="str">
        <f>IF(AND($M1489=$O$7,$B1489&lt;'111'!$N$11),"x","")</f>
        <v/>
      </c>
      <c r="R1489" s="525" t="str">
        <f>IF(ISERROR(FIND('112'!$M$9,G1489,1)),"",IF((AND(FIND('112'!$M$9,G1489,1)&gt;=1,$B1489&gt;='112'!$N$8,$B1489&lt;='112'!$O$8,OR($L1489='112'!$I$6,$M1489='112'!$I$6))),"x",""))</f>
        <v/>
      </c>
      <c r="S1489" s="525" t="str">
        <f>IF(ISERROR(FIND('112'!$M$9,G1489,1)),"",IF((AND(LEFT(G1489,2)=LEFT('112'!$M$9,2),B1489&lt;'112'!$N$8,$L1489='112'!$I$6)),"x",""))</f>
        <v/>
      </c>
      <c r="T1489" s="525" t="str">
        <f>IF(ISERROR(FIND('112'!$M$9,G1489,1)),"",IF((AND(RIGHT(G1489,2)=RIGHT('112'!$M$9,2),B1489&lt;'112'!$N$8,$M1489='112'!$I$6)),"x",""))</f>
        <v/>
      </c>
      <c r="U1489" s="525" t="str">
        <f>IF(AND(B1489&gt;='IN-NX'!$P$3,B1489&lt;='IN-NX'!$Q$3,'IN-NX'!$D$7=D1489,OR(LEFT(L1489,2)="15",AND(LEFT(M1489,2)&lt;&gt;"15",LEFT(M1489,2)&lt;&gt;"33"))),"x","")</f>
        <v/>
      </c>
      <c r="V1489" s="525" t="str">
        <f>IF(AND(OR(LEFT(TH!L1489,2)="15",LEFT(TH!M1489,2)="15"),'152-CT'!$J$8=TH!F1489),"x","")</f>
        <v/>
      </c>
      <c r="W1489" s="525" t="str">
        <f>IF(AND(OR(LEFT(TH!L1489,2)="15",LEFT(TH!M1489,2)="15"),TK!$E$7=TH!F1489),"x","")</f>
        <v/>
      </c>
      <c r="X1489" s="525" t="str">
        <f>IF(AND('341-CT'!$E$9=H1489,OR(LEFT(L1489,3)=$X$7,LEFT(M1489,3)=$X$7)),"x","")</f>
        <v/>
      </c>
      <c r="Y1489" s="525" t="str">
        <f>IF(OR(TH!L1489=TH!$Y$7,M1489=TH!$Y$7),"x","")</f>
        <v/>
      </c>
      <c r="Z1489" s="525" t="str">
        <f>IF(AND(B1489&lt;=NKC!$N$8,B1489&gt;=NKC!$M$8),"x","")</f>
        <v>x</v>
      </c>
      <c r="AA1489" s="535">
        <v>1</v>
      </c>
      <c r="AB1489" s="576"/>
      <c r="AD1489" s="576"/>
      <c r="AE1489" s="576"/>
    </row>
    <row r="1490" spans="1:31" s="503" customFormat="1" ht="15.75" customHeight="1">
      <c r="A1490" s="517" t="str">
        <f>IF(B1490&lt;&gt;"",IF(AND(B1490&gt;=_TM1,B1490&lt;=_TM2,OR(TH!L1490="1111",TH!M1490="1111")),TH!D1490,""),"")</f>
        <v/>
      </c>
      <c r="B1490" s="518">
        <f t="shared" si="147"/>
        <v>3</v>
      </c>
      <c r="C1490" s="571">
        <f t="shared" si="148"/>
        <v>42820</v>
      </c>
      <c r="D1490" s="537" t="s">
        <v>984</v>
      </c>
      <c r="E1490" s="571">
        <v>42820</v>
      </c>
      <c r="F1490" s="572" t="s">
        <v>774</v>
      </c>
      <c r="G1490" s="573" t="s">
        <v>850</v>
      </c>
      <c r="H1490" s="574" t="s">
        <v>447</v>
      </c>
      <c r="I1490" s="523">
        <v>500</v>
      </c>
      <c r="J1490" s="523">
        <v>29400</v>
      </c>
      <c r="K1490" s="575">
        <f t="shared" si="150"/>
        <v>14700000</v>
      </c>
      <c r="L1490" s="525" t="s">
        <v>292</v>
      </c>
      <c r="M1490" s="525" t="s">
        <v>8</v>
      </c>
      <c r="N1490" s="525" t="str">
        <f>IF(AND('331-CT'!$E$7=TH!H1490,OR(L1490="331",M1490="331")),"331",IF(AND(OR(L1490="131",M1490="131"),H1490='131-CT'!$E$7),"131",""))</f>
        <v/>
      </c>
      <c r="O1490" s="525" t="str">
        <f>IF(AND($B1490&gt;='111'!$N$11,$B1490&lt;='111'!$O$11,OR($L1490=$O$7,$M1490=$O$7)),"x","")</f>
        <v/>
      </c>
      <c r="P1490" s="525" t="str">
        <f>IF(AND($L1490=$O$7,$B1490&lt;'111'!$N$11),"x","")</f>
        <v/>
      </c>
      <c r="Q1490" s="525" t="str">
        <f>IF(AND($M1490=$O$7,$B1490&lt;'111'!$N$11),"x","")</f>
        <v/>
      </c>
      <c r="R1490" s="525" t="str">
        <f>IF(ISERROR(FIND('112'!$M$9,G1490,1)),"",IF((AND(FIND('112'!$M$9,G1490,1)&gt;=1,$B1490&gt;='112'!$N$8,$B1490&lt;='112'!$O$8,OR($L1490='112'!$I$6,$M1490='112'!$I$6))),"x",""))</f>
        <v/>
      </c>
      <c r="S1490" s="525" t="str">
        <f>IF(ISERROR(FIND('112'!$M$9,G1490,1)),"",IF((AND(LEFT(G1490,2)=LEFT('112'!$M$9,2),B1490&lt;'112'!$N$8,$L1490='112'!$I$6)),"x",""))</f>
        <v/>
      </c>
      <c r="T1490" s="525" t="str">
        <f>IF(ISERROR(FIND('112'!$M$9,G1490,1)),"",IF((AND(RIGHT(G1490,2)=RIGHT('112'!$M$9,2),B1490&lt;'112'!$N$8,$M1490='112'!$I$6)),"x",""))</f>
        <v/>
      </c>
      <c r="U1490" s="525" t="str">
        <f>IF(AND(B1490&gt;='IN-NX'!$P$3,B1490&lt;='IN-NX'!$Q$3,'IN-NX'!$D$7=D1490,OR(LEFT(L1490,2)="15",AND(LEFT(M1490,2)&lt;&gt;"15",LEFT(M1490,2)&lt;&gt;"33"))),"x","")</f>
        <v/>
      </c>
      <c r="V1490" s="525" t="str">
        <f>IF(AND(OR(LEFT(TH!L1490,2)="15",LEFT(TH!M1490,2)="15"),'152-CT'!$J$8=TH!F1490),"x","")</f>
        <v/>
      </c>
      <c r="W1490" s="525" t="str">
        <f>IF(AND(OR(LEFT(TH!L1490,2)="15",LEFT(TH!M1490,2)="15"),TK!$E$7=TH!F1490),"x","")</f>
        <v/>
      </c>
      <c r="X1490" s="525" t="str">
        <f>IF(AND('341-CT'!$E$9=H1490,OR(LEFT(L1490,3)=$X$7,LEFT(M1490,3)=$X$7)),"x","")</f>
        <v/>
      </c>
      <c r="Y1490" s="525" t="str">
        <f>IF(OR(TH!L1490=TH!$Y$7,M1490=TH!$Y$7),"x","")</f>
        <v/>
      </c>
      <c r="Z1490" s="525" t="str">
        <f>IF(AND(B1490&lt;=NKC!$N$8,B1490&gt;=NKC!$M$8),"x","")</f>
        <v>x</v>
      </c>
      <c r="AA1490" s="535">
        <v>1</v>
      </c>
      <c r="AB1490" s="576"/>
      <c r="AD1490" s="576"/>
      <c r="AE1490" s="576"/>
    </row>
    <row r="1491" spans="1:31" s="503" customFormat="1" ht="15.75" customHeight="1">
      <c r="A1491" s="517" t="str">
        <f>IF(B1491&lt;&gt;"",IF(AND(B1491&gt;=_TM1,B1491&lt;=_TM2,OR(TH!L1491="1111",TH!M1491="1111")),TH!D1491,""),"")</f>
        <v/>
      </c>
      <c r="B1491" s="518">
        <f t="shared" si="147"/>
        <v>3</v>
      </c>
      <c r="C1491" s="571">
        <f t="shared" si="148"/>
        <v>42820</v>
      </c>
      <c r="D1491" s="537" t="s">
        <v>984</v>
      </c>
      <c r="E1491" s="571">
        <v>42820</v>
      </c>
      <c r="F1491" s="572" t="s">
        <v>494</v>
      </c>
      <c r="G1491" s="573" t="s">
        <v>850</v>
      </c>
      <c r="H1491" s="574" t="s">
        <v>447</v>
      </c>
      <c r="I1491" s="523"/>
      <c r="J1491" s="523"/>
      <c r="K1491" s="575">
        <v>43723449</v>
      </c>
      <c r="L1491" s="525" t="s">
        <v>9</v>
      </c>
      <c r="M1491" s="525" t="s">
        <v>8</v>
      </c>
      <c r="N1491" s="525" t="str">
        <f>IF(AND('331-CT'!$E$7=TH!H1491,OR(L1491="331",M1491="331")),"331",IF(AND(OR(L1491="131",M1491="131"),H1491='131-CT'!$E$7),"131",""))</f>
        <v/>
      </c>
      <c r="O1491" s="525" t="str">
        <f>IF(AND($B1491&gt;='111'!$N$11,$B1491&lt;='111'!$O$11,OR($L1491=$O$7,$M1491=$O$7)),"x","")</f>
        <v/>
      </c>
      <c r="P1491" s="525" t="str">
        <f>IF(AND($L1491=$O$7,$B1491&lt;'111'!$N$11),"x","")</f>
        <v/>
      </c>
      <c r="Q1491" s="525" t="str">
        <f>IF(AND($M1491=$O$7,$B1491&lt;'111'!$N$11),"x","")</f>
        <v/>
      </c>
      <c r="R1491" s="525" t="str">
        <f>IF(ISERROR(FIND('112'!$M$9,G1491,1)),"",IF((AND(FIND('112'!$M$9,G1491,1)&gt;=1,$B1491&gt;='112'!$N$8,$B1491&lt;='112'!$O$8,OR($L1491='112'!$I$6,$M1491='112'!$I$6))),"x",""))</f>
        <v/>
      </c>
      <c r="S1491" s="525" t="str">
        <f>IF(ISERROR(FIND('112'!$M$9,G1491,1)),"",IF((AND(LEFT(G1491,2)=LEFT('112'!$M$9,2),B1491&lt;'112'!$N$8,$L1491='112'!$I$6)),"x",""))</f>
        <v/>
      </c>
      <c r="T1491" s="525" t="str">
        <f>IF(ISERROR(FIND('112'!$M$9,G1491,1)),"",IF((AND(RIGHT(G1491,2)=RIGHT('112'!$M$9,2),B1491&lt;'112'!$N$8,$M1491='112'!$I$6)),"x",""))</f>
        <v/>
      </c>
      <c r="U1491" s="525" t="str">
        <f>IF(AND(B1491&gt;='IN-NX'!$P$3,B1491&lt;='IN-NX'!$Q$3,'IN-NX'!$D$7=D1491,OR(LEFT(L1491,2)="15",AND(LEFT(M1491,2)&lt;&gt;"15",LEFT(M1491,2)&lt;&gt;"33"))),"x","")</f>
        <v/>
      </c>
      <c r="V1491" s="525" t="str">
        <f>IF(AND(OR(LEFT(TH!L1491,2)="15",LEFT(TH!M1491,2)="15"),'152-CT'!$J$8=TH!F1491),"x","")</f>
        <v/>
      </c>
      <c r="W1491" s="525" t="str">
        <f>IF(AND(OR(LEFT(TH!L1491,2)="15",LEFT(TH!M1491,2)="15"),TK!$E$7=TH!F1491),"x","")</f>
        <v/>
      </c>
      <c r="X1491" s="525" t="str">
        <f>IF(AND('341-CT'!$E$9=H1491,OR(LEFT(L1491,3)=$X$7,LEFT(M1491,3)=$X$7)),"x","")</f>
        <v/>
      </c>
      <c r="Y1491" s="525" t="str">
        <f>IF(OR(TH!L1491=TH!$Y$7,M1491=TH!$Y$7),"x","")</f>
        <v/>
      </c>
      <c r="Z1491" s="525" t="str">
        <f>IF(AND(B1491&lt;=NKC!$N$8,B1491&gt;=NKC!$M$8),"x","")</f>
        <v>x</v>
      </c>
      <c r="AA1491" s="535">
        <v>1</v>
      </c>
      <c r="AB1491" s="576"/>
      <c r="AC1491" s="576"/>
      <c r="AD1491" s="576"/>
      <c r="AE1491" s="576"/>
    </row>
    <row r="1492" spans="1:31" s="503" customFormat="1" ht="15.75" customHeight="1">
      <c r="A1492" s="517" t="str">
        <f>IF(B1492&lt;&gt;"",IF(AND(B1492&gt;=_TM1,B1492&lt;=_TM2,OR(TH!L1492="1111",TH!M1492="1111")),TH!D1492,""),"")</f>
        <v/>
      </c>
      <c r="B1492" s="531">
        <f t="shared" ref="B1492:B1555" si="151">IF(C1492&lt;&gt;"",MONTH(C1492),"")</f>
        <v>3</v>
      </c>
      <c r="C1492" s="315">
        <f t="shared" ref="C1492:C1555" si="152">E1492</f>
        <v>42821</v>
      </c>
      <c r="D1492" s="537" t="s">
        <v>985</v>
      </c>
      <c r="E1492" s="288">
        <v>42821</v>
      </c>
      <c r="F1492" s="249" t="s">
        <v>790</v>
      </c>
      <c r="G1492" s="538" t="s">
        <v>609</v>
      </c>
      <c r="H1492" s="473" t="s">
        <v>349</v>
      </c>
      <c r="I1492" s="307">
        <v>76</v>
      </c>
      <c r="J1492" s="307">
        <v>19214</v>
      </c>
      <c r="K1492" s="532">
        <f t="shared" ref="K1492:K1523" si="153">ROUND(I1492*J1492,0)</f>
        <v>1460264</v>
      </c>
      <c r="L1492" s="534" t="s">
        <v>292</v>
      </c>
      <c r="M1492" s="534" t="s">
        <v>8</v>
      </c>
      <c r="N1492" s="525" t="str">
        <f>IF(AND('331-CT'!$E$7=TH!H1492,OR(L1492="331",M1492="331")),"331",IF(AND(OR(L1492="131",M1492="131"),H1492='131-CT'!$E$7),"131",""))</f>
        <v/>
      </c>
      <c r="O1492" s="525" t="str">
        <f>IF(AND($B1492&gt;='111'!$N$11,$B1492&lt;='111'!$O$11,OR($L1492=$O$7,$M1492=$O$7)),"x","")</f>
        <v/>
      </c>
      <c r="P1492" s="525" t="str">
        <f>IF(AND($L1492=$O$7,$B1492&lt;'111'!$N$11),"x","")</f>
        <v/>
      </c>
      <c r="Q1492" s="525" t="str">
        <f>IF(AND($M1492=$O$7,$B1492&lt;'111'!$N$11),"x","")</f>
        <v/>
      </c>
      <c r="R1492" s="525" t="str">
        <f>IF(ISERROR(FIND('112'!$M$9,G1492,1)),"",IF((AND(FIND('112'!$M$9,G1492,1)&gt;=1,$B1492&gt;='112'!$N$8,$B1492&lt;='112'!$O$8,OR($L1492='112'!$I$6,$M1492='112'!$I$6))),"x",""))</f>
        <v/>
      </c>
      <c r="S1492" s="525" t="str">
        <f>IF(ISERROR(FIND('112'!$M$9,G1492,1)),"",IF((AND(LEFT(G1492,2)=LEFT('112'!$M$9,2),B1492&lt;'112'!$N$8,$L1492='112'!$I$6)),"x",""))</f>
        <v/>
      </c>
      <c r="T1492" s="525" t="str">
        <f>IF(ISERROR(FIND('112'!$M$9,G1492,1)),"",IF((AND(RIGHT(G1492,2)=RIGHT('112'!$M$9,2),B1492&lt;'112'!$N$8,$M1492='112'!$I$6)),"x",""))</f>
        <v/>
      </c>
      <c r="U1492" s="525" t="str">
        <f>IF(AND(B1492&gt;='IN-NX'!$P$3,B1492&lt;='IN-NX'!$Q$3,'IN-NX'!$D$7=D1492,OR(LEFT(L1492,2)="15",AND(LEFT(M1492,2)&lt;&gt;"15",LEFT(M1492,2)&lt;&gt;"33"))),"x","")</f>
        <v/>
      </c>
      <c r="V1492" s="525" t="str">
        <f>IF(AND(OR(LEFT(TH!L1492,2)="15",LEFT(TH!M1492,2)="15"),'152-CT'!$J$8=TH!F1492),"x","")</f>
        <v/>
      </c>
      <c r="W1492" s="525" t="str">
        <f>IF(AND(OR(LEFT(TH!L1492,2)="15",LEFT(TH!M1492,2)="15"),TK!$E$7=TH!F1492),"x","")</f>
        <v/>
      </c>
      <c r="X1492" s="525" t="str">
        <f>IF(AND('341-CT'!$E$9=H1492,OR(LEFT(L1492,3)=$X$7,LEFT(M1492,3)=$X$7)),"x","")</f>
        <v/>
      </c>
      <c r="Y1492" s="525" t="str">
        <f>IF(OR(TH!L1492=TH!$Y$7,M1492=TH!$Y$7),"x","")</f>
        <v/>
      </c>
      <c r="Z1492" s="525" t="str">
        <f>IF(AND(B1492&lt;=NKC!$N$8,B1492&gt;=NKC!$M$8),"x","")</f>
        <v>x</v>
      </c>
      <c r="AA1492" s="535">
        <v>1</v>
      </c>
    </row>
    <row r="1493" spans="1:31" s="503" customFormat="1" ht="15.75" customHeight="1">
      <c r="A1493" s="517" t="str">
        <f>IF(B1493&lt;&gt;"",IF(AND(B1493&gt;=_TM1,B1493&lt;=_TM2,OR(TH!L1493="1111",TH!M1493="1111")),TH!D1493,""),"")</f>
        <v/>
      </c>
      <c r="B1493" s="531">
        <f t="shared" si="151"/>
        <v>3</v>
      </c>
      <c r="C1493" s="315">
        <f t="shared" si="152"/>
        <v>42821</v>
      </c>
      <c r="D1493" s="537" t="s">
        <v>985</v>
      </c>
      <c r="E1493" s="288">
        <v>42821</v>
      </c>
      <c r="F1493" s="249" t="s">
        <v>750</v>
      </c>
      <c r="G1493" s="538" t="s">
        <v>609</v>
      </c>
      <c r="H1493" s="473" t="s">
        <v>349</v>
      </c>
      <c r="I1493" s="307">
        <v>40</v>
      </c>
      <c r="J1493" s="307">
        <v>68261</v>
      </c>
      <c r="K1493" s="532">
        <f t="shared" si="153"/>
        <v>2730440</v>
      </c>
      <c r="L1493" s="534" t="s">
        <v>292</v>
      </c>
      <c r="M1493" s="534" t="s">
        <v>8</v>
      </c>
      <c r="N1493" s="525" t="str">
        <f>IF(AND('331-CT'!$E$7=TH!H1493,OR(L1493="331",M1493="331")),"331",IF(AND(OR(L1493="131",M1493="131"),H1493='131-CT'!$E$7),"131",""))</f>
        <v/>
      </c>
      <c r="O1493" s="525" t="str">
        <f>IF(AND($B1493&gt;='111'!$N$11,$B1493&lt;='111'!$O$11,OR($L1493=$O$7,$M1493=$O$7)),"x","")</f>
        <v/>
      </c>
      <c r="P1493" s="525" t="str">
        <f>IF(AND($L1493=$O$7,$B1493&lt;'111'!$N$11),"x","")</f>
        <v/>
      </c>
      <c r="Q1493" s="525" t="str">
        <f>IF(AND($M1493=$O$7,$B1493&lt;'111'!$N$11),"x","")</f>
        <v/>
      </c>
      <c r="R1493" s="525" t="str">
        <f>IF(ISERROR(FIND('112'!$M$9,G1493,1)),"",IF((AND(FIND('112'!$M$9,G1493,1)&gt;=1,$B1493&gt;='112'!$N$8,$B1493&lt;='112'!$O$8,OR($L1493='112'!$I$6,$M1493='112'!$I$6))),"x",""))</f>
        <v/>
      </c>
      <c r="S1493" s="525" t="str">
        <f>IF(ISERROR(FIND('112'!$M$9,G1493,1)),"",IF((AND(LEFT(G1493,2)=LEFT('112'!$M$9,2),B1493&lt;'112'!$N$8,$L1493='112'!$I$6)),"x",""))</f>
        <v/>
      </c>
      <c r="T1493" s="525" t="str">
        <f>IF(ISERROR(FIND('112'!$M$9,G1493,1)),"",IF((AND(RIGHT(G1493,2)=RIGHT('112'!$M$9,2),B1493&lt;'112'!$N$8,$M1493='112'!$I$6)),"x",""))</f>
        <v/>
      </c>
      <c r="U1493" s="525" t="str">
        <f>IF(AND(B1493&gt;='IN-NX'!$P$3,B1493&lt;='IN-NX'!$Q$3,'IN-NX'!$D$7=D1493,OR(LEFT(L1493,2)="15",AND(LEFT(M1493,2)&lt;&gt;"15",LEFT(M1493,2)&lt;&gt;"33"))),"x","")</f>
        <v/>
      </c>
      <c r="V1493" s="525" t="str">
        <f>IF(AND(OR(LEFT(TH!L1493,2)="15",LEFT(TH!M1493,2)="15"),'152-CT'!$J$8=TH!F1493),"x","")</f>
        <v/>
      </c>
      <c r="W1493" s="525" t="str">
        <f>IF(AND(OR(LEFT(TH!L1493,2)="15",LEFT(TH!M1493,2)="15"),TK!$E$7=TH!F1493),"x","")</f>
        <v/>
      </c>
      <c r="X1493" s="525" t="str">
        <f>IF(AND('341-CT'!$E$9=H1493,OR(LEFT(L1493,3)=$X$7,LEFT(M1493,3)=$X$7)),"x","")</f>
        <v/>
      </c>
      <c r="Y1493" s="525" t="str">
        <f>IF(OR(TH!L1493=TH!$Y$7,M1493=TH!$Y$7),"x","")</f>
        <v/>
      </c>
      <c r="Z1493" s="525" t="str">
        <f>IF(AND(B1493&lt;=NKC!$N$8,B1493&gt;=NKC!$M$8),"x","")</f>
        <v>x</v>
      </c>
      <c r="AA1493" s="535">
        <v>1</v>
      </c>
    </row>
    <row r="1494" spans="1:31" s="503" customFormat="1" ht="15.75" customHeight="1">
      <c r="A1494" s="517" t="str">
        <f>IF(B1494&lt;&gt;"",IF(AND(B1494&gt;=_TM1,B1494&lt;=_TM2,OR(TH!L1494="1111",TH!M1494="1111")),TH!D1494,""),"")</f>
        <v/>
      </c>
      <c r="B1494" s="531">
        <f t="shared" si="151"/>
        <v>3</v>
      </c>
      <c r="C1494" s="315">
        <f t="shared" si="152"/>
        <v>42821</v>
      </c>
      <c r="D1494" s="537" t="s">
        <v>985</v>
      </c>
      <c r="E1494" s="288">
        <v>42821</v>
      </c>
      <c r="F1494" s="249" t="s">
        <v>643</v>
      </c>
      <c r="G1494" s="538" t="s">
        <v>609</v>
      </c>
      <c r="H1494" s="473" t="s">
        <v>349</v>
      </c>
      <c r="I1494" s="307">
        <v>14</v>
      </c>
      <c r="J1494" s="307">
        <v>90881</v>
      </c>
      <c r="K1494" s="532">
        <f t="shared" si="153"/>
        <v>1272334</v>
      </c>
      <c r="L1494" s="534" t="s">
        <v>292</v>
      </c>
      <c r="M1494" s="534" t="s">
        <v>8</v>
      </c>
      <c r="N1494" s="525" t="str">
        <f>IF(AND('331-CT'!$E$7=TH!H1494,OR(L1494="331",M1494="331")),"331",IF(AND(OR(L1494="131",M1494="131"),H1494='131-CT'!$E$7),"131",""))</f>
        <v/>
      </c>
      <c r="O1494" s="525" t="str">
        <f>IF(AND($B1494&gt;='111'!$N$11,$B1494&lt;='111'!$O$11,OR($L1494=$O$7,$M1494=$O$7)),"x","")</f>
        <v/>
      </c>
      <c r="P1494" s="525" t="str">
        <f>IF(AND($L1494=$O$7,$B1494&lt;'111'!$N$11),"x","")</f>
        <v/>
      </c>
      <c r="Q1494" s="525" t="str">
        <f>IF(AND($M1494=$O$7,$B1494&lt;'111'!$N$11),"x","")</f>
        <v/>
      </c>
      <c r="R1494" s="525" t="str">
        <f>IF(ISERROR(FIND('112'!$M$9,G1494,1)),"",IF((AND(FIND('112'!$M$9,G1494,1)&gt;=1,$B1494&gt;='112'!$N$8,$B1494&lt;='112'!$O$8,OR($L1494='112'!$I$6,$M1494='112'!$I$6))),"x",""))</f>
        <v/>
      </c>
      <c r="S1494" s="525" t="str">
        <f>IF(ISERROR(FIND('112'!$M$9,G1494,1)),"",IF((AND(LEFT(G1494,2)=LEFT('112'!$M$9,2),B1494&lt;'112'!$N$8,$L1494='112'!$I$6)),"x",""))</f>
        <v/>
      </c>
      <c r="T1494" s="525" t="str">
        <f>IF(ISERROR(FIND('112'!$M$9,G1494,1)),"",IF((AND(RIGHT(G1494,2)=RIGHT('112'!$M$9,2),B1494&lt;'112'!$N$8,$M1494='112'!$I$6)),"x",""))</f>
        <v/>
      </c>
      <c r="U1494" s="525" t="str">
        <f>IF(AND(B1494&gt;='IN-NX'!$P$3,B1494&lt;='IN-NX'!$Q$3,'IN-NX'!$D$7=D1494,OR(LEFT(L1494,2)="15",AND(LEFT(M1494,2)&lt;&gt;"15",LEFT(M1494,2)&lt;&gt;"33"))),"x","")</f>
        <v/>
      </c>
      <c r="V1494" s="525" t="str">
        <f>IF(AND(OR(LEFT(TH!L1494,2)="15",LEFT(TH!M1494,2)="15"),'152-CT'!$J$8=TH!F1494),"x","")</f>
        <v/>
      </c>
      <c r="W1494" s="525" t="str">
        <f>IF(AND(OR(LEFT(TH!L1494,2)="15",LEFT(TH!M1494,2)="15"),TK!$E$7=TH!F1494),"x","")</f>
        <v/>
      </c>
      <c r="X1494" s="525" t="str">
        <f>IF(AND('341-CT'!$E$9=H1494,OR(LEFT(L1494,3)=$X$7,LEFT(M1494,3)=$X$7)),"x","")</f>
        <v/>
      </c>
      <c r="Y1494" s="525" t="str">
        <f>IF(OR(TH!L1494=TH!$Y$7,M1494=TH!$Y$7),"x","")</f>
        <v/>
      </c>
      <c r="Z1494" s="525" t="str">
        <f>IF(AND(B1494&lt;=NKC!$N$8,B1494&gt;=NKC!$M$8),"x","")</f>
        <v>x</v>
      </c>
      <c r="AA1494" s="535">
        <v>1</v>
      </c>
    </row>
    <row r="1495" spans="1:31" s="503" customFormat="1" ht="15.75" customHeight="1">
      <c r="A1495" s="517" t="str">
        <f>IF(B1495&lt;&gt;"",IF(AND(B1495&gt;=_TM1,B1495&lt;=_TM2,OR(TH!L1495="1111",TH!M1495="1111")),TH!D1495,""),"")</f>
        <v/>
      </c>
      <c r="B1495" s="531">
        <f t="shared" si="151"/>
        <v>3</v>
      </c>
      <c r="C1495" s="315">
        <f t="shared" si="152"/>
        <v>42821</v>
      </c>
      <c r="D1495" s="537" t="s">
        <v>985</v>
      </c>
      <c r="E1495" s="288">
        <v>42821</v>
      </c>
      <c r="F1495" s="249" t="s">
        <v>619</v>
      </c>
      <c r="G1495" s="538" t="s">
        <v>609</v>
      </c>
      <c r="H1495" s="473" t="s">
        <v>349</v>
      </c>
      <c r="I1495" s="307">
        <v>94</v>
      </c>
      <c r="J1495" s="307">
        <v>29672</v>
      </c>
      <c r="K1495" s="532">
        <f t="shared" si="153"/>
        <v>2789168</v>
      </c>
      <c r="L1495" s="534" t="s">
        <v>292</v>
      </c>
      <c r="M1495" s="534" t="s">
        <v>8</v>
      </c>
      <c r="N1495" s="525" t="str">
        <f>IF(AND('331-CT'!$E$7=TH!H1495,OR(L1495="331",M1495="331")),"331",IF(AND(OR(L1495="131",M1495="131"),H1495='131-CT'!$E$7),"131",""))</f>
        <v/>
      </c>
      <c r="O1495" s="525" t="str">
        <f>IF(AND($B1495&gt;='111'!$N$11,$B1495&lt;='111'!$O$11,OR($L1495=$O$7,$M1495=$O$7)),"x","")</f>
        <v/>
      </c>
      <c r="P1495" s="525" t="str">
        <f>IF(AND($L1495=$O$7,$B1495&lt;'111'!$N$11),"x","")</f>
        <v/>
      </c>
      <c r="Q1495" s="525" t="str">
        <f>IF(AND($M1495=$O$7,$B1495&lt;'111'!$N$11),"x","")</f>
        <v/>
      </c>
      <c r="R1495" s="525" t="str">
        <f>IF(ISERROR(FIND('112'!$M$9,G1495,1)),"",IF((AND(FIND('112'!$M$9,G1495,1)&gt;=1,$B1495&gt;='112'!$N$8,$B1495&lt;='112'!$O$8,OR($L1495='112'!$I$6,$M1495='112'!$I$6))),"x",""))</f>
        <v/>
      </c>
      <c r="S1495" s="525" t="str">
        <f>IF(ISERROR(FIND('112'!$M$9,G1495,1)),"",IF((AND(LEFT(G1495,2)=LEFT('112'!$M$9,2),B1495&lt;'112'!$N$8,$L1495='112'!$I$6)),"x",""))</f>
        <v/>
      </c>
      <c r="T1495" s="525" t="str">
        <f>IF(ISERROR(FIND('112'!$M$9,G1495,1)),"",IF((AND(RIGHT(G1495,2)=RIGHT('112'!$M$9,2),B1495&lt;'112'!$N$8,$M1495='112'!$I$6)),"x",""))</f>
        <v/>
      </c>
      <c r="U1495" s="525" t="str">
        <f>IF(AND(B1495&gt;='IN-NX'!$P$3,B1495&lt;='IN-NX'!$Q$3,'IN-NX'!$D$7=D1495,OR(LEFT(L1495,2)="15",AND(LEFT(M1495,2)&lt;&gt;"15",LEFT(M1495,2)&lt;&gt;"33"))),"x","")</f>
        <v/>
      </c>
      <c r="V1495" s="525" t="str">
        <f>IF(AND(OR(LEFT(TH!L1495,2)="15",LEFT(TH!M1495,2)="15"),'152-CT'!$J$8=TH!F1495),"x","")</f>
        <v/>
      </c>
      <c r="W1495" s="525" t="str">
        <f>IF(AND(OR(LEFT(TH!L1495,2)="15",LEFT(TH!M1495,2)="15"),TK!$E$7=TH!F1495),"x","")</f>
        <v/>
      </c>
      <c r="X1495" s="525" t="str">
        <f>IF(AND('341-CT'!$E$9=H1495,OR(LEFT(L1495,3)=$X$7,LEFT(M1495,3)=$X$7)),"x","")</f>
        <v/>
      </c>
      <c r="Y1495" s="525" t="str">
        <f>IF(OR(TH!L1495=TH!$Y$7,M1495=TH!$Y$7),"x","")</f>
        <v/>
      </c>
      <c r="Z1495" s="525" t="str">
        <f>IF(AND(B1495&lt;=NKC!$N$8,B1495&gt;=NKC!$M$8),"x","")</f>
        <v>x</v>
      </c>
      <c r="AA1495" s="535">
        <v>1</v>
      </c>
    </row>
    <row r="1496" spans="1:31" s="503" customFormat="1" ht="15.75" customHeight="1">
      <c r="A1496" s="517" t="str">
        <f>IF(B1496&lt;&gt;"",IF(AND(B1496&gt;=_TM1,B1496&lt;=_TM2,OR(TH!L1496="1111",TH!M1496="1111")),TH!D1496,""),"")</f>
        <v/>
      </c>
      <c r="B1496" s="531">
        <f t="shared" si="151"/>
        <v>3</v>
      </c>
      <c r="C1496" s="315">
        <f t="shared" si="152"/>
        <v>42821</v>
      </c>
      <c r="D1496" s="537" t="s">
        <v>985</v>
      </c>
      <c r="E1496" s="288">
        <v>42821</v>
      </c>
      <c r="F1496" s="249" t="s">
        <v>791</v>
      </c>
      <c r="G1496" s="538" t="s">
        <v>609</v>
      </c>
      <c r="H1496" s="473" t="s">
        <v>349</v>
      </c>
      <c r="I1496" s="307">
        <v>24</v>
      </c>
      <c r="J1496" s="307">
        <v>127305</v>
      </c>
      <c r="K1496" s="532">
        <f t="shared" si="153"/>
        <v>3055320</v>
      </c>
      <c r="L1496" s="534" t="s">
        <v>292</v>
      </c>
      <c r="M1496" s="534" t="s">
        <v>8</v>
      </c>
      <c r="N1496" s="525" t="str">
        <f>IF(AND('331-CT'!$E$7=TH!H1496,OR(L1496="331",M1496="331")),"331",IF(AND(OR(L1496="131",M1496="131"),H1496='131-CT'!$E$7),"131",""))</f>
        <v/>
      </c>
      <c r="O1496" s="525" t="str">
        <f>IF(AND($B1496&gt;='111'!$N$11,$B1496&lt;='111'!$O$11,OR($L1496=$O$7,$M1496=$O$7)),"x","")</f>
        <v/>
      </c>
      <c r="P1496" s="525" t="str">
        <f>IF(AND($L1496=$O$7,$B1496&lt;'111'!$N$11),"x","")</f>
        <v/>
      </c>
      <c r="Q1496" s="525" t="str">
        <f>IF(AND($M1496=$O$7,$B1496&lt;'111'!$N$11),"x","")</f>
        <v/>
      </c>
      <c r="R1496" s="525" t="str">
        <f>IF(ISERROR(FIND('112'!$M$9,G1496,1)),"",IF((AND(FIND('112'!$M$9,G1496,1)&gt;=1,$B1496&gt;='112'!$N$8,$B1496&lt;='112'!$O$8,OR($L1496='112'!$I$6,$M1496='112'!$I$6))),"x",""))</f>
        <v/>
      </c>
      <c r="S1496" s="525" t="str">
        <f>IF(ISERROR(FIND('112'!$M$9,G1496,1)),"",IF((AND(LEFT(G1496,2)=LEFT('112'!$M$9,2),B1496&lt;'112'!$N$8,$L1496='112'!$I$6)),"x",""))</f>
        <v/>
      </c>
      <c r="T1496" s="525" t="str">
        <f>IF(ISERROR(FIND('112'!$M$9,G1496,1)),"",IF((AND(RIGHT(G1496,2)=RIGHT('112'!$M$9,2),B1496&lt;'112'!$N$8,$M1496='112'!$I$6)),"x",""))</f>
        <v/>
      </c>
      <c r="U1496" s="525" t="str">
        <f>IF(AND(B1496&gt;='IN-NX'!$P$3,B1496&lt;='IN-NX'!$Q$3,'IN-NX'!$D$7=D1496,OR(LEFT(L1496,2)="15",AND(LEFT(M1496,2)&lt;&gt;"15",LEFT(M1496,2)&lt;&gt;"33"))),"x","")</f>
        <v/>
      </c>
      <c r="V1496" s="525" t="str">
        <f>IF(AND(OR(LEFT(TH!L1496,2)="15",LEFT(TH!M1496,2)="15"),'152-CT'!$J$8=TH!F1496),"x","")</f>
        <v/>
      </c>
      <c r="W1496" s="525" t="str">
        <f>IF(AND(OR(LEFT(TH!L1496,2)="15",LEFT(TH!M1496,2)="15"),TK!$E$7=TH!F1496),"x","")</f>
        <v/>
      </c>
      <c r="X1496" s="525" t="str">
        <f>IF(AND('341-CT'!$E$9=H1496,OR(LEFT(L1496,3)=$X$7,LEFT(M1496,3)=$X$7)),"x","")</f>
        <v/>
      </c>
      <c r="Y1496" s="525" t="str">
        <f>IF(OR(TH!L1496=TH!$Y$7,M1496=TH!$Y$7),"x","")</f>
        <v/>
      </c>
      <c r="Z1496" s="525" t="str">
        <f>IF(AND(B1496&lt;=NKC!$N$8,B1496&gt;=NKC!$M$8),"x","")</f>
        <v>x</v>
      </c>
      <c r="AA1496" s="535">
        <v>1</v>
      </c>
    </row>
    <row r="1497" spans="1:31" s="503" customFormat="1" ht="15.75" customHeight="1">
      <c r="A1497" s="517" t="str">
        <f>IF(B1497&lt;&gt;"",IF(AND(B1497&gt;=_TM1,B1497&lt;=_TM2,OR(TH!L1497="1111",TH!M1497="1111")),TH!D1497,""),"")</f>
        <v/>
      </c>
      <c r="B1497" s="531">
        <f t="shared" si="151"/>
        <v>3</v>
      </c>
      <c r="C1497" s="315">
        <f t="shared" si="152"/>
        <v>42821</v>
      </c>
      <c r="D1497" s="537" t="s">
        <v>985</v>
      </c>
      <c r="E1497" s="288">
        <v>42821</v>
      </c>
      <c r="F1497" s="249" t="s">
        <v>792</v>
      </c>
      <c r="G1497" s="538" t="s">
        <v>609</v>
      </c>
      <c r="H1497" s="473" t="s">
        <v>349</v>
      </c>
      <c r="I1497" s="307">
        <v>10</v>
      </c>
      <c r="J1497" s="307">
        <v>28975</v>
      </c>
      <c r="K1497" s="532">
        <f t="shared" si="153"/>
        <v>289750</v>
      </c>
      <c r="L1497" s="534" t="s">
        <v>292</v>
      </c>
      <c r="M1497" s="534" t="s">
        <v>8</v>
      </c>
      <c r="N1497" s="525" t="str">
        <f>IF(AND('331-CT'!$E$7=TH!H1497,OR(L1497="331",M1497="331")),"331",IF(AND(OR(L1497="131",M1497="131"),H1497='131-CT'!$E$7),"131",""))</f>
        <v/>
      </c>
      <c r="O1497" s="525" t="str">
        <f>IF(AND($B1497&gt;='111'!$N$11,$B1497&lt;='111'!$O$11,OR($L1497=$O$7,$M1497=$O$7)),"x","")</f>
        <v/>
      </c>
      <c r="P1497" s="525" t="str">
        <f>IF(AND($L1497=$O$7,$B1497&lt;'111'!$N$11),"x","")</f>
        <v/>
      </c>
      <c r="Q1497" s="525" t="str">
        <f>IF(AND($M1497=$O$7,$B1497&lt;'111'!$N$11),"x","")</f>
        <v/>
      </c>
      <c r="R1497" s="525" t="str">
        <f>IF(ISERROR(FIND('112'!$M$9,G1497,1)),"",IF((AND(FIND('112'!$M$9,G1497,1)&gt;=1,$B1497&gt;='112'!$N$8,$B1497&lt;='112'!$O$8,OR($L1497='112'!$I$6,$M1497='112'!$I$6))),"x",""))</f>
        <v/>
      </c>
      <c r="S1497" s="525" t="str">
        <f>IF(ISERROR(FIND('112'!$M$9,G1497,1)),"",IF((AND(LEFT(G1497,2)=LEFT('112'!$M$9,2),B1497&lt;'112'!$N$8,$L1497='112'!$I$6)),"x",""))</f>
        <v/>
      </c>
      <c r="T1497" s="525" t="str">
        <f>IF(ISERROR(FIND('112'!$M$9,G1497,1)),"",IF((AND(RIGHT(G1497,2)=RIGHT('112'!$M$9,2),B1497&lt;'112'!$N$8,$M1497='112'!$I$6)),"x",""))</f>
        <v/>
      </c>
      <c r="U1497" s="525" t="str">
        <f>IF(AND(B1497&gt;='IN-NX'!$P$3,B1497&lt;='IN-NX'!$Q$3,'IN-NX'!$D$7=D1497,OR(LEFT(L1497,2)="15",AND(LEFT(M1497,2)&lt;&gt;"15",LEFT(M1497,2)&lt;&gt;"33"))),"x","")</f>
        <v/>
      </c>
      <c r="V1497" s="525" t="str">
        <f>IF(AND(OR(LEFT(TH!L1497,2)="15",LEFT(TH!M1497,2)="15"),'152-CT'!$J$8=TH!F1497),"x","")</f>
        <v/>
      </c>
      <c r="W1497" s="525" t="str">
        <f>IF(AND(OR(LEFT(TH!L1497,2)="15",LEFT(TH!M1497,2)="15"),TK!$E$7=TH!F1497),"x","")</f>
        <v/>
      </c>
      <c r="X1497" s="525" t="str">
        <f>IF(AND('341-CT'!$E$9=H1497,OR(LEFT(L1497,3)=$X$7,LEFT(M1497,3)=$X$7)),"x","")</f>
        <v/>
      </c>
      <c r="Y1497" s="525" t="str">
        <f>IF(OR(TH!L1497=TH!$Y$7,M1497=TH!$Y$7),"x","")</f>
        <v/>
      </c>
      <c r="Z1497" s="525" t="str">
        <f>IF(AND(B1497&lt;=NKC!$N$8,B1497&gt;=NKC!$M$8),"x","")</f>
        <v>x</v>
      </c>
      <c r="AA1497" s="535">
        <v>1</v>
      </c>
    </row>
    <row r="1498" spans="1:31" s="503" customFormat="1" ht="15.75" customHeight="1">
      <c r="A1498" s="517" t="str">
        <f>IF(B1498&lt;&gt;"",IF(AND(B1498&gt;=_TM1,B1498&lt;=_TM2,OR(TH!L1498="1111",TH!M1498="1111")),TH!D1498,""),"")</f>
        <v/>
      </c>
      <c r="B1498" s="531">
        <f t="shared" si="151"/>
        <v>3</v>
      </c>
      <c r="C1498" s="315">
        <f t="shared" si="152"/>
        <v>42821</v>
      </c>
      <c r="D1498" s="537" t="s">
        <v>985</v>
      </c>
      <c r="E1498" s="288">
        <v>42821</v>
      </c>
      <c r="F1498" s="249" t="s">
        <v>665</v>
      </c>
      <c r="G1498" s="538" t="s">
        <v>609</v>
      </c>
      <c r="H1498" s="473" t="s">
        <v>349</v>
      </c>
      <c r="I1498" s="307">
        <v>6</v>
      </c>
      <c r="J1498" s="307">
        <v>14428</v>
      </c>
      <c r="K1498" s="532">
        <f t="shared" si="153"/>
        <v>86568</v>
      </c>
      <c r="L1498" s="534" t="s">
        <v>292</v>
      </c>
      <c r="M1498" s="534" t="s">
        <v>8</v>
      </c>
      <c r="N1498" s="525" t="str">
        <f>IF(AND('331-CT'!$E$7=TH!H1498,OR(L1498="331",M1498="331")),"331",IF(AND(OR(L1498="131",M1498="131"),H1498='131-CT'!$E$7),"131",""))</f>
        <v/>
      </c>
      <c r="O1498" s="525" t="str">
        <f>IF(AND($B1498&gt;='111'!$N$11,$B1498&lt;='111'!$O$11,OR($L1498=$O$7,$M1498=$O$7)),"x","")</f>
        <v/>
      </c>
      <c r="P1498" s="525" t="str">
        <f>IF(AND($L1498=$O$7,$B1498&lt;'111'!$N$11),"x","")</f>
        <v/>
      </c>
      <c r="Q1498" s="525" t="str">
        <f>IF(AND($M1498=$O$7,$B1498&lt;'111'!$N$11),"x","")</f>
        <v/>
      </c>
      <c r="R1498" s="525" t="str">
        <f>IF(ISERROR(FIND('112'!$M$9,G1498,1)),"",IF((AND(FIND('112'!$M$9,G1498,1)&gt;=1,$B1498&gt;='112'!$N$8,$B1498&lt;='112'!$O$8,OR($L1498='112'!$I$6,$M1498='112'!$I$6))),"x",""))</f>
        <v/>
      </c>
      <c r="S1498" s="525" t="str">
        <f>IF(ISERROR(FIND('112'!$M$9,G1498,1)),"",IF((AND(LEFT(G1498,2)=LEFT('112'!$M$9,2),B1498&lt;'112'!$N$8,$L1498='112'!$I$6)),"x",""))</f>
        <v/>
      </c>
      <c r="T1498" s="525" t="str">
        <f>IF(ISERROR(FIND('112'!$M$9,G1498,1)),"",IF((AND(RIGHT(G1498,2)=RIGHT('112'!$M$9,2),B1498&lt;'112'!$N$8,$M1498='112'!$I$6)),"x",""))</f>
        <v/>
      </c>
      <c r="U1498" s="525" t="str">
        <f>IF(AND(B1498&gt;='IN-NX'!$P$3,B1498&lt;='IN-NX'!$Q$3,'IN-NX'!$D$7=D1498,OR(LEFT(L1498,2)="15",AND(LEFT(M1498,2)&lt;&gt;"15",LEFT(M1498,2)&lt;&gt;"33"))),"x","")</f>
        <v/>
      </c>
      <c r="V1498" s="525" t="str">
        <f>IF(AND(OR(LEFT(TH!L1498,2)="15",LEFT(TH!M1498,2)="15"),'152-CT'!$J$8=TH!F1498),"x","")</f>
        <v/>
      </c>
      <c r="W1498" s="525" t="str">
        <f>IF(AND(OR(LEFT(TH!L1498,2)="15",LEFT(TH!M1498,2)="15"),TK!$E$7=TH!F1498),"x","")</f>
        <v/>
      </c>
      <c r="X1498" s="525" t="str">
        <f>IF(AND('341-CT'!$E$9=H1498,OR(LEFT(L1498,3)=$X$7,LEFT(M1498,3)=$X$7)),"x","")</f>
        <v/>
      </c>
      <c r="Y1498" s="525" t="str">
        <f>IF(OR(TH!L1498=TH!$Y$7,M1498=TH!$Y$7),"x","")</f>
        <v/>
      </c>
      <c r="Z1498" s="525" t="str">
        <f>IF(AND(B1498&lt;=NKC!$N$8,B1498&gt;=NKC!$M$8),"x","")</f>
        <v>x</v>
      </c>
      <c r="AA1498" s="535">
        <v>1</v>
      </c>
    </row>
    <row r="1499" spans="1:31" s="503" customFormat="1" ht="15.75" customHeight="1">
      <c r="A1499" s="517" t="str">
        <f>IF(B1499&lt;&gt;"",IF(AND(B1499&gt;=_TM1,B1499&lt;=_TM2,OR(TH!L1499="1111",TH!M1499="1111")),TH!D1499,""),"")</f>
        <v/>
      </c>
      <c r="B1499" s="531">
        <f t="shared" si="151"/>
        <v>3</v>
      </c>
      <c r="C1499" s="315">
        <f t="shared" si="152"/>
        <v>42821</v>
      </c>
      <c r="D1499" s="537" t="s">
        <v>985</v>
      </c>
      <c r="E1499" s="288">
        <v>42821</v>
      </c>
      <c r="F1499" s="249" t="s">
        <v>665</v>
      </c>
      <c r="G1499" s="538" t="s">
        <v>609</v>
      </c>
      <c r="H1499" s="473" t="s">
        <v>349</v>
      </c>
      <c r="I1499" s="307">
        <v>36</v>
      </c>
      <c r="J1499" s="307">
        <v>14428</v>
      </c>
      <c r="K1499" s="532">
        <f t="shared" si="153"/>
        <v>519408</v>
      </c>
      <c r="L1499" s="534" t="s">
        <v>292</v>
      </c>
      <c r="M1499" s="534" t="s">
        <v>8</v>
      </c>
      <c r="N1499" s="525" t="str">
        <f>IF(AND('331-CT'!$E$7=TH!H1499,OR(L1499="331",M1499="331")),"331",IF(AND(OR(L1499="131",M1499="131"),H1499='131-CT'!$E$7),"131",""))</f>
        <v/>
      </c>
      <c r="O1499" s="525" t="str">
        <f>IF(AND($B1499&gt;='111'!$N$11,$B1499&lt;='111'!$O$11,OR($L1499=$O$7,$M1499=$O$7)),"x","")</f>
        <v/>
      </c>
      <c r="P1499" s="525" t="str">
        <f>IF(AND($L1499=$O$7,$B1499&lt;'111'!$N$11),"x","")</f>
        <v/>
      </c>
      <c r="Q1499" s="525" t="str">
        <f>IF(AND($M1499=$O$7,$B1499&lt;'111'!$N$11),"x","")</f>
        <v/>
      </c>
      <c r="R1499" s="525" t="str">
        <f>IF(ISERROR(FIND('112'!$M$9,G1499,1)),"",IF((AND(FIND('112'!$M$9,G1499,1)&gt;=1,$B1499&gt;='112'!$N$8,$B1499&lt;='112'!$O$8,OR($L1499='112'!$I$6,$M1499='112'!$I$6))),"x",""))</f>
        <v/>
      </c>
      <c r="S1499" s="525" t="str">
        <f>IF(ISERROR(FIND('112'!$M$9,G1499,1)),"",IF((AND(LEFT(G1499,2)=LEFT('112'!$M$9,2),B1499&lt;'112'!$N$8,$L1499='112'!$I$6)),"x",""))</f>
        <v/>
      </c>
      <c r="T1499" s="525" t="str">
        <f>IF(ISERROR(FIND('112'!$M$9,G1499,1)),"",IF((AND(RIGHT(G1499,2)=RIGHT('112'!$M$9,2),B1499&lt;'112'!$N$8,$M1499='112'!$I$6)),"x",""))</f>
        <v/>
      </c>
      <c r="U1499" s="525" t="str">
        <f>IF(AND(B1499&gt;='IN-NX'!$P$3,B1499&lt;='IN-NX'!$Q$3,'IN-NX'!$D$7=D1499,OR(LEFT(L1499,2)="15",AND(LEFT(M1499,2)&lt;&gt;"15",LEFT(M1499,2)&lt;&gt;"33"))),"x","")</f>
        <v/>
      </c>
      <c r="V1499" s="525" t="str">
        <f>IF(AND(OR(LEFT(TH!L1499,2)="15",LEFT(TH!M1499,2)="15"),'152-CT'!$J$8=TH!F1499),"x","")</f>
        <v/>
      </c>
      <c r="W1499" s="525" t="str">
        <f>IF(AND(OR(LEFT(TH!L1499,2)="15",LEFT(TH!M1499,2)="15"),TK!$E$7=TH!F1499),"x","")</f>
        <v/>
      </c>
      <c r="X1499" s="525" t="str">
        <f>IF(AND('341-CT'!$E$9=H1499,OR(LEFT(L1499,3)=$X$7,LEFT(M1499,3)=$X$7)),"x","")</f>
        <v/>
      </c>
      <c r="Y1499" s="525" t="str">
        <f>IF(OR(TH!L1499=TH!$Y$7,M1499=TH!$Y$7),"x","")</f>
        <v/>
      </c>
      <c r="Z1499" s="525" t="str">
        <f>IF(AND(B1499&lt;=NKC!$N$8,B1499&gt;=NKC!$M$8),"x","")</f>
        <v>x</v>
      </c>
      <c r="AA1499" s="535">
        <v>1</v>
      </c>
    </row>
    <row r="1500" spans="1:31" s="503" customFormat="1" ht="15.75" customHeight="1">
      <c r="A1500" s="517" t="str">
        <f>IF(B1500&lt;&gt;"",IF(AND(B1500&gt;=_TM1,B1500&lt;=_TM2,OR(TH!L1500="1111",TH!M1500="1111")),TH!D1500,""),"")</f>
        <v/>
      </c>
      <c r="B1500" s="531">
        <f t="shared" si="151"/>
        <v>3</v>
      </c>
      <c r="C1500" s="315">
        <f t="shared" si="152"/>
        <v>42821</v>
      </c>
      <c r="D1500" s="537" t="s">
        <v>985</v>
      </c>
      <c r="E1500" s="288">
        <v>42821</v>
      </c>
      <c r="F1500" s="249" t="s">
        <v>644</v>
      </c>
      <c r="G1500" s="538" t="s">
        <v>609</v>
      </c>
      <c r="H1500" s="473" t="s">
        <v>349</v>
      </c>
      <c r="I1500" s="307">
        <v>3</v>
      </c>
      <c r="J1500" s="307">
        <v>61160</v>
      </c>
      <c r="K1500" s="532">
        <f t="shared" si="153"/>
        <v>183480</v>
      </c>
      <c r="L1500" s="534" t="s">
        <v>292</v>
      </c>
      <c r="M1500" s="534" t="s">
        <v>8</v>
      </c>
      <c r="N1500" s="525" t="str">
        <f>IF(AND('331-CT'!$E$7=TH!H1500,OR(L1500="331",M1500="331")),"331",IF(AND(OR(L1500="131",M1500="131"),H1500='131-CT'!$E$7),"131",""))</f>
        <v/>
      </c>
      <c r="O1500" s="525" t="str">
        <f>IF(AND($B1500&gt;='111'!$N$11,$B1500&lt;='111'!$O$11,OR($L1500=$O$7,$M1500=$O$7)),"x","")</f>
        <v/>
      </c>
      <c r="P1500" s="525" t="str">
        <f>IF(AND($L1500=$O$7,$B1500&lt;'111'!$N$11),"x","")</f>
        <v/>
      </c>
      <c r="Q1500" s="525" t="str">
        <f>IF(AND($M1500=$O$7,$B1500&lt;'111'!$N$11),"x","")</f>
        <v/>
      </c>
      <c r="R1500" s="525" t="str">
        <f>IF(ISERROR(FIND('112'!$M$9,G1500,1)),"",IF((AND(FIND('112'!$M$9,G1500,1)&gt;=1,$B1500&gt;='112'!$N$8,$B1500&lt;='112'!$O$8,OR($L1500='112'!$I$6,$M1500='112'!$I$6))),"x",""))</f>
        <v/>
      </c>
      <c r="S1500" s="525" t="str">
        <f>IF(ISERROR(FIND('112'!$M$9,G1500,1)),"",IF((AND(LEFT(G1500,2)=LEFT('112'!$M$9,2),B1500&lt;'112'!$N$8,$L1500='112'!$I$6)),"x",""))</f>
        <v/>
      </c>
      <c r="T1500" s="525" t="str">
        <f>IF(ISERROR(FIND('112'!$M$9,G1500,1)),"",IF((AND(RIGHT(G1500,2)=RIGHT('112'!$M$9,2),B1500&lt;'112'!$N$8,$M1500='112'!$I$6)),"x",""))</f>
        <v/>
      </c>
      <c r="U1500" s="525" t="str">
        <f>IF(AND(B1500&gt;='IN-NX'!$P$3,B1500&lt;='IN-NX'!$Q$3,'IN-NX'!$D$7=D1500,OR(LEFT(L1500,2)="15",AND(LEFT(M1500,2)&lt;&gt;"15",LEFT(M1500,2)&lt;&gt;"33"))),"x","")</f>
        <v/>
      </c>
      <c r="V1500" s="525" t="str">
        <f>IF(AND(OR(LEFT(TH!L1500,2)="15",LEFT(TH!M1500,2)="15"),'152-CT'!$J$8=TH!F1500),"x","")</f>
        <v/>
      </c>
      <c r="W1500" s="525" t="str">
        <f>IF(AND(OR(LEFT(TH!L1500,2)="15",LEFT(TH!M1500,2)="15"),TK!$E$7=TH!F1500),"x","")</f>
        <v/>
      </c>
      <c r="X1500" s="525" t="str">
        <f>IF(AND('341-CT'!$E$9=H1500,OR(LEFT(L1500,3)=$X$7,LEFT(M1500,3)=$X$7)),"x","")</f>
        <v/>
      </c>
      <c r="Y1500" s="525" t="str">
        <f>IF(OR(TH!L1500=TH!$Y$7,M1500=TH!$Y$7),"x","")</f>
        <v/>
      </c>
      <c r="Z1500" s="525" t="str">
        <f>IF(AND(B1500&lt;=NKC!$N$8,B1500&gt;=NKC!$M$8),"x","")</f>
        <v>x</v>
      </c>
      <c r="AA1500" s="535">
        <v>1</v>
      </c>
    </row>
    <row r="1501" spans="1:31" s="503" customFormat="1" ht="15.75" customHeight="1">
      <c r="A1501" s="517" t="str">
        <f>IF(B1501&lt;&gt;"",IF(AND(B1501&gt;=_TM1,B1501&lt;=_TM2,OR(TH!L1501="1111",TH!M1501="1111")),TH!D1501,""),"")</f>
        <v/>
      </c>
      <c r="B1501" s="531">
        <f t="shared" si="151"/>
        <v>3</v>
      </c>
      <c r="C1501" s="315">
        <f t="shared" si="152"/>
        <v>42821</v>
      </c>
      <c r="D1501" s="537" t="s">
        <v>985</v>
      </c>
      <c r="E1501" s="288">
        <v>42821</v>
      </c>
      <c r="F1501" s="249" t="s">
        <v>793</v>
      </c>
      <c r="G1501" s="538" t="s">
        <v>609</v>
      </c>
      <c r="H1501" s="473" t="s">
        <v>349</v>
      </c>
      <c r="I1501" s="307">
        <v>12</v>
      </c>
      <c r="J1501" s="307">
        <v>97056</v>
      </c>
      <c r="K1501" s="532">
        <f t="shared" si="153"/>
        <v>1164672</v>
      </c>
      <c r="L1501" s="534" t="s">
        <v>292</v>
      </c>
      <c r="M1501" s="534" t="s">
        <v>8</v>
      </c>
      <c r="N1501" s="525" t="str">
        <f>IF(AND('331-CT'!$E$7=TH!H1501,OR(L1501="331",M1501="331")),"331",IF(AND(OR(L1501="131",M1501="131"),H1501='131-CT'!$E$7),"131",""))</f>
        <v/>
      </c>
      <c r="O1501" s="525" t="str">
        <f>IF(AND($B1501&gt;='111'!$N$11,$B1501&lt;='111'!$O$11,OR($L1501=$O$7,$M1501=$O$7)),"x","")</f>
        <v/>
      </c>
      <c r="P1501" s="525" t="str">
        <f>IF(AND($L1501=$O$7,$B1501&lt;'111'!$N$11),"x","")</f>
        <v/>
      </c>
      <c r="Q1501" s="525" t="str">
        <f>IF(AND($M1501=$O$7,$B1501&lt;'111'!$N$11),"x","")</f>
        <v/>
      </c>
      <c r="R1501" s="525" t="str">
        <f>IF(ISERROR(FIND('112'!$M$9,G1501,1)),"",IF((AND(FIND('112'!$M$9,G1501,1)&gt;=1,$B1501&gt;='112'!$N$8,$B1501&lt;='112'!$O$8,OR($L1501='112'!$I$6,$M1501='112'!$I$6))),"x",""))</f>
        <v/>
      </c>
      <c r="S1501" s="525" t="str">
        <f>IF(ISERROR(FIND('112'!$M$9,G1501,1)),"",IF((AND(LEFT(G1501,2)=LEFT('112'!$M$9,2),B1501&lt;'112'!$N$8,$L1501='112'!$I$6)),"x",""))</f>
        <v/>
      </c>
      <c r="T1501" s="525" t="str">
        <f>IF(ISERROR(FIND('112'!$M$9,G1501,1)),"",IF((AND(RIGHT(G1501,2)=RIGHT('112'!$M$9,2),B1501&lt;'112'!$N$8,$M1501='112'!$I$6)),"x",""))</f>
        <v/>
      </c>
      <c r="U1501" s="525" t="str">
        <f>IF(AND(B1501&gt;='IN-NX'!$P$3,B1501&lt;='IN-NX'!$Q$3,'IN-NX'!$D$7=D1501,OR(LEFT(L1501,2)="15",AND(LEFT(M1501,2)&lt;&gt;"15",LEFT(M1501,2)&lt;&gt;"33"))),"x","")</f>
        <v/>
      </c>
      <c r="V1501" s="525" t="str">
        <f>IF(AND(OR(LEFT(TH!L1501,2)="15",LEFT(TH!M1501,2)="15"),'152-CT'!$J$8=TH!F1501),"x","")</f>
        <v/>
      </c>
      <c r="W1501" s="525" t="str">
        <f>IF(AND(OR(LEFT(TH!L1501,2)="15",LEFT(TH!M1501,2)="15"),TK!$E$7=TH!F1501),"x","")</f>
        <v/>
      </c>
      <c r="X1501" s="525" t="str">
        <f>IF(AND('341-CT'!$E$9=H1501,OR(LEFT(L1501,3)=$X$7,LEFT(M1501,3)=$X$7)),"x","")</f>
        <v/>
      </c>
      <c r="Y1501" s="525" t="str">
        <f>IF(OR(TH!L1501=TH!$Y$7,M1501=TH!$Y$7),"x","")</f>
        <v/>
      </c>
      <c r="Z1501" s="525" t="str">
        <f>IF(AND(B1501&lt;=NKC!$N$8,B1501&gt;=NKC!$M$8),"x","")</f>
        <v>x</v>
      </c>
      <c r="AA1501" s="535">
        <v>1</v>
      </c>
    </row>
    <row r="1502" spans="1:31" s="503" customFormat="1" ht="15.75" customHeight="1">
      <c r="A1502" s="517" t="str">
        <f>IF(B1502&lt;&gt;"",IF(AND(B1502&gt;=_TM1,B1502&lt;=_TM2,OR(TH!L1502="1111",TH!M1502="1111")),TH!D1502,""),"")</f>
        <v/>
      </c>
      <c r="B1502" s="531">
        <f t="shared" si="151"/>
        <v>3</v>
      </c>
      <c r="C1502" s="315">
        <f t="shared" si="152"/>
        <v>42821</v>
      </c>
      <c r="D1502" s="537" t="s">
        <v>985</v>
      </c>
      <c r="E1502" s="288">
        <v>42821</v>
      </c>
      <c r="F1502" s="249" t="s">
        <v>794</v>
      </c>
      <c r="G1502" s="538" t="s">
        <v>609</v>
      </c>
      <c r="H1502" s="473" t="s">
        <v>349</v>
      </c>
      <c r="I1502" s="307">
        <v>12</v>
      </c>
      <c r="J1502" s="307">
        <v>54887</v>
      </c>
      <c r="K1502" s="532">
        <f t="shared" si="153"/>
        <v>658644</v>
      </c>
      <c r="L1502" s="534" t="s">
        <v>292</v>
      </c>
      <c r="M1502" s="534" t="s">
        <v>8</v>
      </c>
      <c r="N1502" s="525" t="str">
        <f>IF(AND('331-CT'!$E$7=TH!H1502,OR(L1502="331",M1502="331")),"331",IF(AND(OR(L1502="131",M1502="131"),H1502='131-CT'!$E$7),"131",""))</f>
        <v/>
      </c>
      <c r="O1502" s="525" t="str">
        <f>IF(AND($B1502&gt;='111'!$N$11,$B1502&lt;='111'!$O$11,OR($L1502=$O$7,$M1502=$O$7)),"x","")</f>
        <v/>
      </c>
      <c r="P1502" s="525" t="str">
        <f>IF(AND($L1502=$O$7,$B1502&lt;'111'!$N$11),"x","")</f>
        <v/>
      </c>
      <c r="Q1502" s="525" t="str">
        <f>IF(AND($M1502=$O$7,$B1502&lt;'111'!$N$11),"x","")</f>
        <v/>
      </c>
      <c r="R1502" s="525" t="str">
        <f>IF(ISERROR(FIND('112'!$M$9,G1502,1)),"",IF((AND(FIND('112'!$M$9,G1502,1)&gt;=1,$B1502&gt;='112'!$N$8,$B1502&lt;='112'!$O$8,OR($L1502='112'!$I$6,$M1502='112'!$I$6))),"x",""))</f>
        <v/>
      </c>
      <c r="S1502" s="525" t="str">
        <f>IF(ISERROR(FIND('112'!$M$9,G1502,1)),"",IF((AND(LEFT(G1502,2)=LEFT('112'!$M$9,2),B1502&lt;'112'!$N$8,$L1502='112'!$I$6)),"x",""))</f>
        <v/>
      </c>
      <c r="T1502" s="525" t="str">
        <f>IF(ISERROR(FIND('112'!$M$9,G1502,1)),"",IF((AND(RIGHT(G1502,2)=RIGHT('112'!$M$9,2),B1502&lt;'112'!$N$8,$M1502='112'!$I$6)),"x",""))</f>
        <v/>
      </c>
      <c r="U1502" s="525" t="str">
        <f>IF(AND(B1502&gt;='IN-NX'!$P$3,B1502&lt;='IN-NX'!$Q$3,'IN-NX'!$D$7=D1502,OR(LEFT(L1502,2)="15",AND(LEFT(M1502,2)&lt;&gt;"15",LEFT(M1502,2)&lt;&gt;"33"))),"x","")</f>
        <v/>
      </c>
      <c r="V1502" s="525" t="str">
        <f>IF(AND(OR(LEFT(TH!L1502,2)="15",LEFT(TH!M1502,2)="15"),'152-CT'!$J$8=TH!F1502),"x","")</f>
        <v/>
      </c>
      <c r="W1502" s="525" t="str">
        <f>IF(AND(OR(LEFT(TH!L1502,2)="15",LEFT(TH!M1502,2)="15"),TK!$E$7=TH!F1502),"x","")</f>
        <v/>
      </c>
      <c r="X1502" s="525" t="str">
        <f>IF(AND('341-CT'!$E$9=H1502,OR(LEFT(L1502,3)=$X$7,LEFT(M1502,3)=$X$7)),"x","")</f>
        <v/>
      </c>
      <c r="Y1502" s="525" t="str">
        <f>IF(OR(TH!L1502=TH!$Y$7,M1502=TH!$Y$7),"x","")</f>
        <v/>
      </c>
      <c r="Z1502" s="525" t="str">
        <f>IF(AND(B1502&lt;=NKC!$N$8,B1502&gt;=NKC!$M$8),"x","")</f>
        <v>x</v>
      </c>
      <c r="AA1502" s="535">
        <v>1</v>
      </c>
    </row>
    <row r="1503" spans="1:31" s="503" customFormat="1" ht="15.75" customHeight="1">
      <c r="A1503" s="517" t="str">
        <f>IF(B1503&lt;&gt;"",IF(AND(B1503&gt;=_TM1,B1503&lt;=_TM2,OR(TH!L1503="1111",TH!M1503="1111")),TH!D1503,""),"")</f>
        <v/>
      </c>
      <c r="B1503" s="531">
        <f t="shared" si="151"/>
        <v>3</v>
      </c>
      <c r="C1503" s="315">
        <f t="shared" si="152"/>
        <v>42821</v>
      </c>
      <c r="D1503" s="537" t="s">
        <v>985</v>
      </c>
      <c r="E1503" s="288">
        <v>42821</v>
      </c>
      <c r="F1503" s="249" t="s">
        <v>630</v>
      </c>
      <c r="G1503" s="538" t="s">
        <v>609</v>
      </c>
      <c r="H1503" s="473" t="s">
        <v>349</v>
      </c>
      <c r="I1503" s="307">
        <v>24</v>
      </c>
      <c r="J1503" s="307">
        <v>34801</v>
      </c>
      <c r="K1503" s="532">
        <f t="shared" si="153"/>
        <v>835224</v>
      </c>
      <c r="L1503" s="534" t="s">
        <v>292</v>
      </c>
      <c r="M1503" s="534" t="s">
        <v>8</v>
      </c>
      <c r="N1503" s="525" t="str">
        <f>IF(AND('331-CT'!$E$7=TH!H1503,OR(L1503="331",M1503="331")),"331",IF(AND(OR(L1503="131",M1503="131"),H1503='131-CT'!$E$7),"131",""))</f>
        <v/>
      </c>
      <c r="O1503" s="525" t="str">
        <f>IF(AND($B1503&gt;='111'!$N$11,$B1503&lt;='111'!$O$11,OR($L1503=$O$7,$M1503=$O$7)),"x","")</f>
        <v/>
      </c>
      <c r="P1503" s="525" t="str">
        <f>IF(AND($L1503=$O$7,$B1503&lt;'111'!$N$11),"x","")</f>
        <v/>
      </c>
      <c r="Q1503" s="525" t="str">
        <f>IF(AND($M1503=$O$7,$B1503&lt;'111'!$N$11),"x","")</f>
        <v/>
      </c>
      <c r="R1503" s="525" t="str">
        <f>IF(ISERROR(FIND('112'!$M$9,G1503,1)),"",IF((AND(FIND('112'!$M$9,G1503,1)&gt;=1,$B1503&gt;='112'!$N$8,$B1503&lt;='112'!$O$8,OR($L1503='112'!$I$6,$M1503='112'!$I$6))),"x",""))</f>
        <v/>
      </c>
      <c r="S1503" s="525" t="str">
        <f>IF(ISERROR(FIND('112'!$M$9,G1503,1)),"",IF((AND(LEFT(G1503,2)=LEFT('112'!$M$9,2),B1503&lt;'112'!$N$8,$L1503='112'!$I$6)),"x",""))</f>
        <v/>
      </c>
      <c r="T1503" s="525" t="str">
        <f>IF(ISERROR(FIND('112'!$M$9,G1503,1)),"",IF((AND(RIGHT(G1503,2)=RIGHT('112'!$M$9,2),B1503&lt;'112'!$N$8,$M1503='112'!$I$6)),"x",""))</f>
        <v/>
      </c>
      <c r="U1503" s="525" t="str">
        <f>IF(AND(B1503&gt;='IN-NX'!$P$3,B1503&lt;='IN-NX'!$Q$3,'IN-NX'!$D$7=D1503,OR(LEFT(L1503,2)="15",AND(LEFT(M1503,2)&lt;&gt;"15",LEFT(M1503,2)&lt;&gt;"33"))),"x","")</f>
        <v/>
      </c>
      <c r="V1503" s="525" t="str">
        <f>IF(AND(OR(LEFT(TH!L1503,2)="15",LEFT(TH!M1503,2)="15"),'152-CT'!$J$8=TH!F1503),"x","")</f>
        <v/>
      </c>
      <c r="W1503" s="525" t="str">
        <f>IF(AND(OR(LEFT(TH!L1503,2)="15",LEFT(TH!M1503,2)="15"),TK!$E$7=TH!F1503),"x","")</f>
        <v/>
      </c>
      <c r="X1503" s="525" t="str">
        <f>IF(AND('341-CT'!$E$9=H1503,OR(LEFT(L1503,3)=$X$7,LEFT(M1503,3)=$X$7)),"x","")</f>
        <v/>
      </c>
      <c r="Y1503" s="525" t="str">
        <f>IF(OR(TH!L1503=TH!$Y$7,M1503=TH!$Y$7),"x","")</f>
        <v/>
      </c>
      <c r="Z1503" s="525" t="str">
        <f>IF(AND(B1503&lt;=NKC!$N$8,B1503&gt;=NKC!$M$8),"x","")</f>
        <v>x</v>
      </c>
      <c r="AA1503" s="535">
        <v>1</v>
      </c>
    </row>
    <row r="1504" spans="1:31" s="503" customFormat="1" ht="15.75" customHeight="1">
      <c r="A1504" s="517" t="str">
        <f>IF(B1504&lt;&gt;"",IF(AND(B1504&gt;=_TM1,B1504&lt;=_TM2,OR(TH!L1504="1111",TH!M1504="1111")),TH!D1504,""),"")</f>
        <v/>
      </c>
      <c r="B1504" s="531">
        <f t="shared" si="151"/>
        <v>3</v>
      </c>
      <c r="C1504" s="315">
        <f t="shared" si="152"/>
        <v>42821</v>
      </c>
      <c r="D1504" s="537" t="s">
        <v>986</v>
      </c>
      <c r="E1504" s="288">
        <v>42821</v>
      </c>
      <c r="F1504" s="249" t="s">
        <v>795</v>
      </c>
      <c r="G1504" s="538" t="s">
        <v>609</v>
      </c>
      <c r="H1504" s="473" t="s">
        <v>349</v>
      </c>
      <c r="I1504" s="307">
        <v>87</v>
      </c>
      <c r="J1504" s="307">
        <v>71012</v>
      </c>
      <c r="K1504" s="532">
        <f t="shared" si="153"/>
        <v>6178044</v>
      </c>
      <c r="L1504" s="534" t="s">
        <v>292</v>
      </c>
      <c r="M1504" s="534" t="s">
        <v>8</v>
      </c>
      <c r="N1504" s="525" t="str">
        <f>IF(AND('331-CT'!$E$7=TH!H1504,OR(L1504="331",M1504="331")),"331",IF(AND(OR(L1504="131",M1504="131"),H1504='131-CT'!$E$7),"131",""))</f>
        <v/>
      </c>
      <c r="O1504" s="525" t="str">
        <f>IF(AND($B1504&gt;='111'!$N$11,$B1504&lt;='111'!$O$11,OR($L1504=$O$7,$M1504=$O$7)),"x","")</f>
        <v/>
      </c>
      <c r="P1504" s="525" t="str">
        <f>IF(AND($L1504=$O$7,$B1504&lt;'111'!$N$11),"x","")</f>
        <v/>
      </c>
      <c r="Q1504" s="525" t="str">
        <f>IF(AND($M1504=$O$7,$B1504&lt;'111'!$N$11),"x","")</f>
        <v/>
      </c>
      <c r="R1504" s="525" t="str">
        <f>IF(ISERROR(FIND('112'!$M$9,G1504,1)),"",IF((AND(FIND('112'!$M$9,G1504,1)&gt;=1,$B1504&gt;='112'!$N$8,$B1504&lt;='112'!$O$8,OR($L1504='112'!$I$6,$M1504='112'!$I$6))),"x",""))</f>
        <v/>
      </c>
      <c r="S1504" s="525" t="str">
        <f>IF(ISERROR(FIND('112'!$M$9,G1504,1)),"",IF((AND(LEFT(G1504,2)=LEFT('112'!$M$9,2),B1504&lt;'112'!$N$8,$L1504='112'!$I$6)),"x",""))</f>
        <v/>
      </c>
      <c r="T1504" s="525" t="str">
        <f>IF(ISERROR(FIND('112'!$M$9,G1504,1)),"",IF((AND(RIGHT(G1504,2)=RIGHT('112'!$M$9,2),B1504&lt;'112'!$N$8,$M1504='112'!$I$6)),"x",""))</f>
        <v/>
      </c>
      <c r="U1504" s="525" t="str">
        <f>IF(AND(B1504&gt;='IN-NX'!$P$3,B1504&lt;='IN-NX'!$Q$3,'IN-NX'!$D$7=D1504,OR(LEFT(L1504,2)="15",AND(LEFT(M1504,2)&lt;&gt;"15",LEFT(M1504,2)&lt;&gt;"33"))),"x","")</f>
        <v/>
      </c>
      <c r="V1504" s="525" t="str">
        <f>IF(AND(OR(LEFT(TH!L1504,2)="15",LEFT(TH!M1504,2)="15"),'152-CT'!$J$8=TH!F1504),"x","")</f>
        <v/>
      </c>
      <c r="W1504" s="525" t="str">
        <f>IF(AND(OR(LEFT(TH!L1504,2)="15",LEFT(TH!M1504,2)="15"),TK!$E$7=TH!F1504),"x","")</f>
        <v/>
      </c>
      <c r="X1504" s="525" t="str">
        <f>IF(AND('341-CT'!$E$9=H1504,OR(LEFT(L1504,3)=$X$7,LEFT(M1504,3)=$X$7)),"x","")</f>
        <v/>
      </c>
      <c r="Y1504" s="525" t="str">
        <f>IF(OR(TH!L1504=TH!$Y$7,M1504=TH!$Y$7),"x","")</f>
        <v/>
      </c>
      <c r="Z1504" s="525" t="str">
        <f>IF(AND(B1504&lt;=NKC!$N$8,B1504&gt;=NKC!$M$8),"x","")</f>
        <v>x</v>
      </c>
      <c r="AA1504" s="535">
        <v>1</v>
      </c>
    </row>
    <row r="1505" spans="1:31" s="503" customFormat="1" ht="15.75" customHeight="1">
      <c r="A1505" s="517" t="str">
        <f>IF(B1505&lt;&gt;"",IF(AND(B1505&gt;=_TM1,B1505&lt;=_TM2,OR(TH!L1505="1111",TH!M1505="1111")),TH!D1505,""),"")</f>
        <v/>
      </c>
      <c r="B1505" s="531">
        <f t="shared" si="151"/>
        <v>3</v>
      </c>
      <c r="C1505" s="315">
        <f t="shared" si="152"/>
        <v>42821</v>
      </c>
      <c r="D1505" s="537" t="s">
        <v>986</v>
      </c>
      <c r="E1505" s="288">
        <v>42821</v>
      </c>
      <c r="F1505" s="249" t="s">
        <v>688</v>
      </c>
      <c r="G1505" s="538" t="s">
        <v>609</v>
      </c>
      <c r="H1505" s="473" t="s">
        <v>349</v>
      </c>
      <c r="I1505" s="307">
        <v>8</v>
      </c>
      <c r="J1505" s="307">
        <v>227409</v>
      </c>
      <c r="K1505" s="532">
        <f t="shared" si="153"/>
        <v>1819272</v>
      </c>
      <c r="L1505" s="534" t="s">
        <v>292</v>
      </c>
      <c r="M1505" s="534" t="s">
        <v>8</v>
      </c>
      <c r="N1505" s="525" t="str">
        <f>IF(AND('331-CT'!$E$7=TH!H1505,OR(L1505="331",M1505="331")),"331",IF(AND(OR(L1505="131",M1505="131"),H1505='131-CT'!$E$7),"131",""))</f>
        <v/>
      </c>
      <c r="O1505" s="525" t="str">
        <f>IF(AND($B1505&gt;='111'!$N$11,$B1505&lt;='111'!$O$11,OR($L1505=$O$7,$M1505=$O$7)),"x","")</f>
        <v/>
      </c>
      <c r="P1505" s="525" t="str">
        <f>IF(AND($L1505=$O$7,$B1505&lt;'111'!$N$11),"x","")</f>
        <v/>
      </c>
      <c r="Q1505" s="525" t="str">
        <f>IF(AND($M1505=$O$7,$B1505&lt;'111'!$N$11),"x","")</f>
        <v/>
      </c>
      <c r="R1505" s="525" t="str">
        <f>IF(ISERROR(FIND('112'!$M$9,G1505,1)),"",IF((AND(FIND('112'!$M$9,G1505,1)&gt;=1,$B1505&gt;='112'!$N$8,$B1505&lt;='112'!$O$8,OR($L1505='112'!$I$6,$M1505='112'!$I$6))),"x",""))</f>
        <v/>
      </c>
      <c r="S1505" s="525" t="str">
        <f>IF(ISERROR(FIND('112'!$M$9,G1505,1)),"",IF((AND(LEFT(G1505,2)=LEFT('112'!$M$9,2),B1505&lt;'112'!$N$8,$L1505='112'!$I$6)),"x",""))</f>
        <v/>
      </c>
      <c r="T1505" s="525" t="str">
        <f>IF(ISERROR(FIND('112'!$M$9,G1505,1)),"",IF((AND(RIGHT(G1505,2)=RIGHT('112'!$M$9,2),B1505&lt;'112'!$N$8,$M1505='112'!$I$6)),"x",""))</f>
        <v/>
      </c>
      <c r="U1505" s="525" t="str">
        <f>IF(AND(B1505&gt;='IN-NX'!$P$3,B1505&lt;='IN-NX'!$Q$3,'IN-NX'!$D$7=D1505,OR(LEFT(L1505,2)="15",AND(LEFT(M1505,2)&lt;&gt;"15",LEFT(M1505,2)&lt;&gt;"33"))),"x","")</f>
        <v/>
      </c>
      <c r="V1505" s="525" t="str">
        <f>IF(AND(OR(LEFT(TH!L1505,2)="15",LEFT(TH!M1505,2)="15"),'152-CT'!$J$8=TH!F1505),"x","")</f>
        <v/>
      </c>
      <c r="W1505" s="525" t="str">
        <f>IF(AND(OR(LEFT(TH!L1505,2)="15",LEFT(TH!M1505,2)="15"),TK!$E$7=TH!F1505),"x","")</f>
        <v/>
      </c>
      <c r="X1505" s="525" t="str">
        <f>IF(AND('341-CT'!$E$9=H1505,OR(LEFT(L1505,3)=$X$7,LEFT(M1505,3)=$X$7)),"x","")</f>
        <v/>
      </c>
      <c r="Y1505" s="525" t="str">
        <f>IF(OR(TH!L1505=TH!$Y$7,M1505=TH!$Y$7),"x","")</f>
        <v/>
      </c>
      <c r="Z1505" s="525" t="str">
        <f>IF(AND(B1505&lt;=NKC!$N$8,B1505&gt;=NKC!$M$8),"x","")</f>
        <v>x</v>
      </c>
      <c r="AA1505" s="535">
        <v>1</v>
      </c>
    </row>
    <row r="1506" spans="1:31" s="503" customFormat="1" ht="15.75" customHeight="1">
      <c r="A1506" s="517" t="str">
        <f>IF(B1506&lt;&gt;"",IF(AND(B1506&gt;=_TM1,B1506&lt;=_TM2,OR(TH!L1506="1111",TH!M1506="1111")),TH!D1506,""),"")</f>
        <v/>
      </c>
      <c r="B1506" s="531">
        <f t="shared" si="151"/>
        <v>3</v>
      </c>
      <c r="C1506" s="315">
        <f t="shared" si="152"/>
        <v>42821</v>
      </c>
      <c r="D1506" s="537" t="s">
        <v>986</v>
      </c>
      <c r="E1506" s="288">
        <v>42821</v>
      </c>
      <c r="F1506" s="249" t="s">
        <v>684</v>
      </c>
      <c r="G1506" s="538" t="s">
        <v>609</v>
      </c>
      <c r="H1506" s="473" t="s">
        <v>349</v>
      </c>
      <c r="I1506" s="307">
        <v>13</v>
      </c>
      <c r="J1506" s="307">
        <v>154288</v>
      </c>
      <c r="K1506" s="532">
        <f t="shared" si="153"/>
        <v>2005744</v>
      </c>
      <c r="L1506" s="534" t="s">
        <v>292</v>
      </c>
      <c r="M1506" s="534" t="s">
        <v>8</v>
      </c>
      <c r="N1506" s="525" t="str">
        <f>IF(AND('331-CT'!$E$7=TH!H1506,OR(L1506="331",M1506="331")),"331",IF(AND(OR(L1506="131",M1506="131"),H1506='131-CT'!$E$7),"131",""))</f>
        <v/>
      </c>
      <c r="O1506" s="525" t="str">
        <f>IF(AND($B1506&gt;='111'!$N$11,$B1506&lt;='111'!$O$11,OR($L1506=$O$7,$M1506=$O$7)),"x","")</f>
        <v/>
      </c>
      <c r="P1506" s="525" t="str">
        <f>IF(AND($L1506=$O$7,$B1506&lt;'111'!$N$11),"x","")</f>
        <v/>
      </c>
      <c r="Q1506" s="525" t="str">
        <f>IF(AND($M1506=$O$7,$B1506&lt;'111'!$N$11),"x","")</f>
        <v/>
      </c>
      <c r="R1506" s="525" t="str">
        <f>IF(ISERROR(FIND('112'!$M$9,G1506,1)),"",IF((AND(FIND('112'!$M$9,G1506,1)&gt;=1,$B1506&gt;='112'!$N$8,$B1506&lt;='112'!$O$8,OR($L1506='112'!$I$6,$M1506='112'!$I$6))),"x",""))</f>
        <v/>
      </c>
      <c r="S1506" s="525" t="str">
        <f>IF(ISERROR(FIND('112'!$M$9,G1506,1)),"",IF((AND(LEFT(G1506,2)=LEFT('112'!$M$9,2),B1506&lt;'112'!$N$8,$L1506='112'!$I$6)),"x",""))</f>
        <v/>
      </c>
      <c r="T1506" s="525" t="str">
        <f>IF(ISERROR(FIND('112'!$M$9,G1506,1)),"",IF((AND(RIGHT(G1506,2)=RIGHT('112'!$M$9,2),B1506&lt;'112'!$N$8,$M1506='112'!$I$6)),"x",""))</f>
        <v/>
      </c>
      <c r="U1506" s="525" t="str">
        <f>IF(AND(B1506&gt;='IN-NX'!$P$3,B1506&lt;='IN-NX'!$Q$3,'IN-NX'!$D$7=D1506,OR(LEFT(L1506,2)="15",AND(LEFT(M1506,2)&lt;&gt;"15",LEFT(M1506,2)&lt;&gt;"33"))),"x","")</f>
        <v/>
      </c>
      <c r="V1506" s="525" t="str">
        <f>IF(AND(OR(LEFT(TH!L1506,2)="15",LEFT(TH!M1506,2)="15"),'152-CT'!$J$8=TH!F1506),"x","")</f>
        <v/>
      </c>
      <c r="W1506" s="525" t="str">
        <f>IF(AND(OR(LEFT(TH!L1506,2)="15",LEFT(TH!M1506,2)="15"),TK!$E$7=TH!F1506),"x","")</f>
        <v/>
      </c>
      <c r="X1506" s="525" t="str">
        <f>IF(AND('341-CT'!$E$9=H1506,OR(LEFT(L1506,3)=$X$7,LEFT(M1506,3)=$X$7)),"x","")</f>
        <v/>
      </c>
      <c r="Y1506" s="525" t="str">
        <f>IF(OR(TH!L1506=TH!$Y$7,M1506=TH!$Y$7),"x","")</f>
        <v/>
      </c>
      <c r="Z1506" s="525" t="str">
        <f>IF(AND(B1506&lt;=NKC!$N$8,B1506&gt;=NKC!$M$8),"x","")</f>
        <v>x</v>
      </c>
      <c r="AA1506" s="535">
        <v>1</v>
      </c>
    </row>
    <row r="1507" spans="1:31" s="503" customFormat="1" ht="15.75" customHeight="1">
      <c r="A1507" s="517" t="str">
        <f>IF(B1507&lt;&gt;"",IF(AND(B1507&gt;=_TM1,B1507&lt;=_TM2,OR(TH!L1507="1111",TH!M1507="1111")),TH!D1507,""),"")</f>
        <v/>
      </c>
      <c r="B1507" s="531">
        <f t="shared" si="151"/>
        <v>3</v>
      </c>
      <c r="C1507" s="315">
        <f t="shared" si="152"/>
        <v>42821</v>
      </c>
      <c r="D1507" s="537" t="s">
        <v>986</v>
      </c>
      <c r="E1507" s="288">
        <v>42821</v>
      </c>
      <c r="F1507" s="249" t="s">
        <v>796</v>
      </c>
      <c r="G1507" s="538" t="s">
        <v>609</v>
      </c>
      <c r="H1507" s="473" t="s">
        <v>349</v>
      </c>
      <c r="I1507" s="307">
        <v>22</v>
      </c>
      <c r="J1507" s="307">
        <v>49013</v>
      </c>
      <c r="K1507" s="532">
        <f t="shared" si="153"/>
        <v>1078286</v>
      </c>
      <c r="L1507" s="534" t="s">
        <v>292</v>
      </c>
      <c r="M1507" s="534" t="s">
        <v>8</v>
      </c>
      <c r="N1507" s="525" t="str">
        <f>IF(AND('331-CT'!$E$7=TH!H1507,OR(L1507="331",M1507="331")),"331",IF(AND(OR(L1507="131",M1507="131"),H1507='131-CT'!$E$7),"131",""))</f>
        <v/>
      </c>
      <c r="O1507" s="525" t="str">
        <f>IF(AND($B1507&gt;='111'!$N$11,$B1507&lt;='111'!$O$11,OR($L1507=$O$7,$M1507=$O$7)),"x","")</f>
        <v/>
      </c>
      <c r="P1507" s="525" t="str">
        <f>IF(AND($L1507=$O$7,$B1507&lt;'111'!$N$11),"x","")</f>
        <v/>
      </c>
      <c r="Q1507" s="525" t="str">
        <f>IF(AND($M1507=$O$7,$B1507&lt;'111'!$N$11),"x","")</f>
        <v/>
      </c>
      <c r="R1507" s="525" t="str">
        <f>IF(ISERROR(FIND('112'!$M$9,G1507,1)),"",IF((AND(FIND('112'!$M$9,G1507,1)&gt;=1,$B1507&gt;='112'!$N$8,$B1507&lt;='112'!$O$8,OR($L1507='112'!$I$6,$M1507='112'!$I$6))),"x",""))</f>
        <v/>
      </c>
      <c r="S1507" s="525" t="str">
        <f>IF(ISERROR(FIND('112'!$M$9,G1507,1)),"",IF((AND(LEFT(G1507,2)=LEFT('112'!$M$9,2),B1507&lt;'112'!$N$8,$L1507='112'!$I$6)),"x",""))</f>
        <v/>
      </c>
      <c r="T1507" s="525" t="str">
        <f>IF(ISERROR(FIND('112'!$M$9,G1507,1)),"",IF((AND(RIGHT(G1507,2)=RIGHT('112'!$M$9,2),B1507&lt;'112'!$N$8,$M1507='112'!$I$6)),"x",""))</f>
        <v/>
      </c>
      <c r="U1507" s="525" t="str">
        <f>IF(AND(B1507&gt;='IN-NX'!$P$3,B1507&lt;='IN-NX'!$Q$3,'IN-NX'!$D$7=D1507,OR(LEFT(L1507,2)="15",AND(LEFT(M1507,2)&lt;&gt;"15",LEFT(M1507,2)&lt;&gt;"33"))),"x","")</f>
        <v/>
      </c>
      <c r="V1507" s="525" t="str">
        <f>IF(AND(OR(LEFT(TH!L1507,2)="15",LEFT(TH!M1507,2)="15"),'152-CT'!$J$8=TH!F1507),"x","")</f>
        <v/>
      </c>
      <c r="W1507" s="525" t="str">
        <f>IF(AND(OR(LEFT(TH!L1507,2)="15",LEFT(TH!M1507,2)="15"),TK!$E$7=TH!F1507),"x","")</f>
        <v/>
      </c>
      <c r="X1507" s="525" t="str">
        <f>IF(AND('341-CT'!$E$9=H1507,OR(LEFT(L1507,3)=$X$7,LEFT(M1507,3)=$X$7)),"x","")</f>
        <v/>
      </c>
      <c r="Y1507" s="525" t="str">
        <f>IF(OR(TH!L1507=TH!$Y$7,M1507=TH!$Y$7),"x","")</f>
        <v/>
      </c>
      <c r="Z1507" s="525" t="str">
        <f>IF(AND(B1507&lt;=NKC!$N$8,B1507&gt;=NKC!$M$8),"x","")</f>
        <v>x</v>
      </c>
      <c r="AA1507" s="535">
        <v>1</v>
      </c>
    </row>
    <row r="1508" spans="1:31" s="503" customFormat="1" ht="15.75" customHeight="1">
      <c r="A1508" s="517" t="str">
        <f>IF(B1508&lt;&gt;"",IF(AND(B1508&gt;=_TM1,B1508&lt;=_TM2,OR(TH!L1508="1111",TH!M1508="1111")),TH!D1508,""),"")</f>
        <v/>
      </c>
      <c r="B1508" s="531">
        <f t="shared" si="151"/>
        <v>3</v>
      </c>
      <c r="C1508" s="315">
        <f t="shared" si="152"/>
        <v>42821</v>
      </c>
      <c r="D1508" s="537" t="s">
        <v>986</v>
      </c>
      <c r="E1508" s="288">
        <v>42821</v>
      </c>
      <c r="F1508" s="245" t="s">
        <v>691</v>
      </c>
      <c r="G1508" s="538" t="s">
        <v>609</v>
      </c>
      <c r="H1508" s="473" t="s">
        <v>349</v>
      </c>
      <c r="I1508" s="307">
        <v>30</v>
      </c>
      <c r="J1508" s="307">
        <v>49574</v>
      </c>
      <c r="K1508" s="532">
        <f t="shared" si="153"/>
        <v>1487220</v>
      </c>
      <c r="L1508" s="534" t="s">
        <v>292</v>
      </c>
      <c r="M1508" s="534" t="s">
        <v>8</v>
      </c>
      <c r="N1508" s="525" t="str">
        <f>IF(AND('331-CT'!$E$7=TH!H1508,OR(L1508="331",M1508="331")),"331",IF(AND(OR(L1508="131",M1508="131"),H1508='131-CT'!$E$7),"131",""))</f>
        <v/>
      </c>
      <c r="O1508" s="525" t="str">
        <f>IF(AND($B1508&gt;='111'!$N$11,$B1508&lt;='111'!$O$11,OR($L1508=$O$7,$M1508=$O$7)),"x","")</f>
        <v/>
      </c>
      <c r="P1508" s="525" t="str">
        <f>IF(AND($L1508=$O$7,$B1508&lt;'111'!$N$11),"x","")</f>
        <v/>
      </c>
      <c r="Q1508" s="525" t="str">
        <f>IF(AND($M1508=$O$7,$B1508&lt;'111'!$N$11),"x","")</f>
        <v/>
      </c>
      <c r="R1508" s="525" t="str">
        <f>IF(ISERROR(FIND('112'!$M$9,G1508,1)),"",IF((AND(FIND('112'!$M$9,G1508,1)&gt;=1,$B1508&gt;='112'!$N$8,$B1508&lt;='112'!$O$8,OR($L1508='112'!$I$6,$M1508='112'!$I$6))),"x",""))</f>
        <v/>
      </c>
      <c r="S1508" s="525" t="str">
        <f>IF(ISERROR(FIND('112'!$M$9,G1508,1)),"",IF((AND(LEFT(G1508,2)=LEFT('112'!$M$9,2),B1508&lt;'112'!$N$8,$L1508='112'!$I$6)),"x",""))</f>
        <v/>
      </c>
      <c r="T1508" s="525" t="str">
        <f>IF(ISERROR(FIND('112'!$M$9,G1508,1)),"",IF((AND(RIGHT(G1508,2)=RIGHT('112'!$M$9,2),B1508&lt;'112'!$N$8,$M1508='112'!$I$6)),"x",""))</f>
        <v/>
      </c>
      <c r="U1508" s="525" t="str">
        <f>IF(AND(B1508&gt;='IN-NX'!$P$3,B1508&lt;='IN-NX'!$Q$3,'IN-NX'!$D$7=D1508,OR(LEFT(L1508,2)="15",AND(LEFT(M1508,2)&lt;&gt;"15",LEFT(M1508,2)&lt;&gt;"33"))),"x","")</f>
        <v/>
      </c>
      <c r="V1508" s="525" t="str">
        <f>IF(AND(OR(LEFT(TH!L1508,2)="15",LEFT(TH!M1508,2)="15"),'152-CT'!$J$8=TH!F1508),"x","")</f>
        <v/>
      </c>
      <c r="W1508" s="525" t="str">
        <f>IF(AND(OR(LEFT(TH!L1508,2)="15",LEFT(TH!M1508,2)="15"),TK!$E$7=TH!F1508),"x","")</f>
        <v/>
      </c>
      <c r="X1508" s="525" t="str">
        <f>IF(AND('341-CT'!$E$9=H1508,OR(LEFT(L1508,3)=$X$7,LEFT(M1508,3)=$X$7)),"x","")</f>
        <v/>
      </c>
      <c r="Y1508" s="525" t="str">
        <f>IF(OR(TH!L1508=TH!$Y$7,M1508=TH!$Y$7),"x","")</f>
        <v/>
      </c>
      <c r="Z1508" s="525" t="str">
        <f>IF(AND(B1508&lt;=NKC!$N$8,B1508&gt;=NKC!$M$8),"x","")</f>
        <v>x</v>
      </c>
      <c r="AA1508" s="535">
        <v>1</v>
      </c>
    </row>
    <row r="1509" spans="1:31" s="503" customFormat="1" ht="15.75" customHeight="1">
      <c r="A1509" s="517" t="str">
        <f>IF(B1509&lt;&gt;"",IF(AND(B1509&gt;=_TM1,B1509&lt;=_TM2,OR(TH!L1509="1111",TH!M1509="1111")),TH!D1509,""),"")</f>
        <v/>
      </c>
      <c r="B1509" s="531">
        <f t="shared" si="151"/>
        <v>3</v>
      </c>
      <c r="C1509" s="315">
        <f t="shared" si="152"/>
        <v>42821</v>
      </c>
      <c r="D1509" s="537" t="s">
        <v>986</v>
      </c>
      <c r="E1509" s="288">
        <v>42821</v>
      </c>
      <c r="F1509" s="245" t="s">
        <v>647</v>
      </c>
      <c r="G1509" s="538" t="s">
        <v>609</v>
      </c>
      <c r="H1509" s="473" t="s">
        <v>349</v>
      </c>
      <c r="I1509" s="307">
        <v>12</v>
      </c>
      <c r="J1509" s="307">
        <v>110473</v>
      </c>
      <c r="K1509" s="532">
        <f t="shared" si="153"/>
        <v>1325676</v>
      </c>
      <c r="L1509" s="534" t="s">
        <v>292</v>
      </c>
      <c r="M1509" s="534" t="s">
        <v>8</v>
      </c>
      <c r="N1509" s="525" t="str">
        <f>IF(AND('331-CT'!$E$7=TH!H1509,OR(L1509="331",M1509="331")),"331",IF(AND(OR(L1509="131",M1509="131"),H1509='131-CT'!$E$7),"131",""))</f>
        <v/>
      </c>
      <c r="O1509" s="525" t="str">
        <f>IF(AND($B1509&gt;='111'!$N$11,$B1509&lt;='111'!$O$11,OR($L1509=$O$7,$M1509=$O$7)),"x","")</f>
        <v/>
      </c>
      <c r="P1509" s="525" t="str">
        <f>IF(AND($L1509=$O$7,$B1509&lt;'111'!$N$11),"x","")</f>
        <v/>
      </c>
      <c r="Q1509" s="525" t="str">
        <f>IF(AND($M1509=$O$7,$B1509&lt;'111'!$N$11),"x","")</f>
        <v/>
      </c>
      <c r="R1509" s="525" t="str">
        <f>IF(ISERROR(FIND('112'!$M$9,G1509,1)),"",IF((AND(FIND('112'!$M$9,G1509,1)&gt;=1,$B1509&gt;='112'!$N$8,$B1509&lt;='112'!$O$8,OR($L1509='112'!$I$6,$M1509='112'!$I$6))),"x",""))</f>
        <v/>
      </c>
      <c r="S1509" s="525" t="str">
        <f>IF(ISERROR(FIND('112'!$M$9,G1509,1)),"",IF((AND(LEFT(G1509,2)=LEFT('112'!$M$9,2),B1509&lt;'112'!$N$8,$L1509='112'!$I$6)),"x",""))</f>
        <v/>
      </c>
      <c r="T1509" s="525" t="str">
        <f>IF(ISERROR(FIND('112'!$M$9,G1509,1)),"",IF((AND(RIGHT(G1509,2)=RIGHT('112'!$M$9,2),B1509&lt;'112'!$N$8,$M1509='112'!$I$6)),"x",""))</f>
        <v/>
      </c>
      <c r="U1509" s="525" t="str">
        <f>IF(AND(B1509&gt;='IN-NX'!$P$3,B1509&lt;='IN-NX'!$Q$3,'IN-NX'!$D$7=D1509,OR(LEFT(L1509,2)="15",AND(LEFT(M1509,2)&lt;&gt;"15",LEFT(M1509,2)&lt;&gt;"33"))),"x","")</f>
        <v/>
      </c>
      <c r="V1509" s="525" t="str">
        <f>IF(AND(OR(LEFT(TH!L1509,2)="15",LEFT(TH!M1509,2)="15"),'152-CT'!$J$8=TH!F1509),"x","")</f>
        <v/>
      </c>
      <c r="W1509" s="525" t="str">
        <f>IF(AND(OR(LEFT(TH!L1509,2)="15",LEFT(TH!M1509,2)="15"),TK!$E$7=TH!F1509),"x","")</f>
        <v/>
      </c>
      <c r="X1509" s="525" t="str">
        <f>IF(AND('341-CT'!$E$9=H1509,OR(LEFT(L1509,3)=$X$7,LEFT(M1509,3)=$X$7)),"x","")</f>
        <v/>
      </c>
      <c r="Y1509" s="525" t="str">
        <f>IF(OR(TH!L1509=TH!$Y$7,M1509=TH!$Y$7),"x","")</f>
        <v/>
      </c>
      <c r="Z1509" s="525" t="str">
        <f>IF(AND(B1509&lt;=NKC!$N$8,B1509&gt;=NKC!$M$8),"x","")</f>
        <v>x</v>
      </c>
      <c r="AA1509" s="535">
        <v>1</v>
      </c>
    </row>
    <row r="1510" spans="1:31" s="503" customFormat="1" ht="15.75" customHeight="1">
      <c r="A1510" s="517" t="str">
        <f>IF(B1510&lt;&gt;"",IF(AND(B1510&gt;=_TM1,B1510&lt;=_TM2,OR(TH!L1510="1111",TH!M1510="1111")),TH!D1510,""),"")</f>
        <v/>
      </c>
      <c r="B1510" s="531">
        <f t="shared" si="151"/>
        <v>3</v>
      </c>
      <c r="C1510" s="315">
        <f t="shared" si="152"/>
        <v>42821</v>
      </c>
      <c r="D1510" s="537" t="s">
        <v>986</v>
      </c>
      <c r="E1510" s="288">
        <v>42821</v>
      </c>
      <c r="F1510" s="249" t="s">
        <v>611</v>
      </c>
      <c r="G1510" s="538" t="s">
        <v>609</v>
      </c>
      <c r="H1510" s="473" t="s">
        <v>349</v>
      </c>
      <c r="I1510" s="307">
        <v>54</v>
      </c>
      <c r="J1510" s="307">
        <v>43918</v>
      </c>
      <c r="K1510" s="532">
        <f t="shared" si="153"/>
        <v>2371572</v>
      </c>
      <c r="L1510" s="534" t="s">
        <v>292</v>
      </c>
      <c r="M1510" s="534" t="s">
        <v>8</v>
      </c>
      <c r="N1510" s="525" t="str">
        <f>IF(AND('331-CT'!$E$7=TH!H1510,OR(L1510="331",M1510="331")),"331",IF(AND(OR(L1510="131",M1510="131"),H1510='131-CT'!$E$7),"131",""))</f>
        <v/>
      </c>
      <c r="O1510" s="525" t="str">
        <f>IF(AND($B1510&gt;='111'!$N$11,$B1510&lt;='111'!$O$11,OR($L1510=$O$7,$M1510=$O$7)),"x","")</f>
        <v/>
      </c>
      <c r="P1510" s="525" t="str">
        <f>IF(AND($L1510=$O$7,$B1510&lt;'111'!$N$11),"x","")</f>
        <v/>
      </c>
      <c r="Q1510" s="525" t="str">
        <f>IF(AND($M1510=$O$7,$B1510&lt;'111'!$N$11),"x","")</f>
        <v/>
      </c>
      <c r="R1510" s="525" t="str">
        <f>IF(ISERROR(FIND('112'!$M$9,G1510,1)),"",IF((AND(FIND('112'!$M$9,G1510,1)&gt;=1,$B1510&gt;='112'!$N$8,$B1510&lt;='112'!$O$8,OR($L1510='112'!$I$6,$M1510='112'!$I$6))),"x",""))</f>
        <v/>
      </c>
      <c r="S1510" s="525" t="str">
        <f>IF(ISERROR(FIND('112'!$M$9,G1510,1)),"",IF((AND(LEFT(G1510,2)=LEFT('112'!$M$9,2),B1510&lt;'112'!$N$8,$L1510='112'!$I$6)),"x",""))</f>
        <v/>
      </c>
      <c r="T1510" s="525" t="str">
        <f>IF(ISERROR(FIND('112'!$M$9,G1510,1)),"",IF((AND(RIGHT(G1510,2)=RIGHT('112'!$M$9,2),B1510&lt;'112'!$N$8,$M1510='112'!$I$6)),"x",""))</f>
        <v/>
      </c>
      <c r="U1510" s="525" t="str">
        <f>IF(AND(B1510&gt;='IN-NX'!$P$3,B1510&lt;='IN-NX'!$Q$3,'IN-NX'!$D$7=D1510,OR(LEFT(L1510,2)="15",AND(LEFT(M1510,2)&lt;&gt;"15",LEFT(M1510,2)&lt;&gt;"33"))),"x","")</f>
        <v/>
      </c>
      <c r="V1510" s="525" t="str">
        <f>IF(AND(OR(LEFT(TH!L1510,2)="15",LEFT(TH!M1510,2)="15"),'152-CT'!$J$8=TH!F1510),"x","")</f>
        <v/>
      </c>
      <c r="W1510" s="525" t="str">
        <f>IF(AND(OR(LEFT(TH!L1510,2)="15",LEFT(TH!M1510,2)="15"),TK!$E$7=TH!F1510),"x","")</f>
        <v/>
      </c>
      <c r="X1510" s="525" t="str">
        <f>IF(AND('341-CT'!$E$9=H1510,OR(LEFT(L1510,3)=$X$7,LEFT(M1510,3)=$X$7)),"x","")</f>
        <v/>
      </c>
      <c r="Y1510" s="525" t="str">
        <f>IF(OR(TH!L1510=TH!$Y$7,M1510=TH!$Y$7),"x","")</f>
        <v/>
      </c>
      <c r="Z1510" s="525" t="str">
        <f>IF(AND(B1510&lt;=NKC!$N$8,B1510&gt;=NKC!$M$8),"x","")</f>
        <v>x</v>
      </c>
      <c r="AA1510" s="535">
        <v>1</v>
      </c>
    </row>
    <row r="1511" spans="1:31" s="503" customFormat="1" ht="15.75" customHeight="1">
      <c r="A1511" s="517" t="str">
        <f>IF(B1511&lt;&gt;"",IF(AND(B1511&gt;=_TM1,B1511&lt;=_TM2,OR(TH!L1511="1111",TH!M1511="1111")),TH!D1511,""),"")</f>
        <v/>
      </c>
      <c r="B1511" s="531">
        <f t="shared" si="151"/>
        <v>3</v>
      </c>
      <c r="C1511" s="315">
        <f t="shared" si="152"/>
        <v>42821</v>
      </c>
      <c r="D1511" s="537" t="s">
        <v>986</v>
      </c>
      <c r="E1511" s="288">
        <v>42821</v>
      </c>
      <c r="F1511" s="249" t="s">
        <v>695</v>
      </c>
      <c r="G1511" s="538" t="s">
        <v>609</v>
      </c>
      <c r="H1511" s="473" t="s">
        <v>349</v>
      </c>
      <c r="I1511" s="307">
        <v>10</v>
      </c>
      <c r="J1511" s="307">
        <v>103608</v>
      </c>
      <c r="K1511" s="532">
        <f t="shared" si="153"/>
        <v>1036080</v>
      </c>
      <c r="L1511" s="534" t="s">
        <v>292</v>
      </c>
      <c r="M1511" s="534" t="s">
        <v>8</v>
      </c>
      <c r="N1511" s="525" t="str">
        <f>IF(AND('331-CT'!$E$7=TH!H1511,OR(L1511="331",M1511="331")),"331",IF(AND(OR(L1511="131",M1511="131"),H1511='131-CT'!$E$7),"131",""))</f>
        <v/>
      </c>
      <c r="O1511" s="525" t="str">
        <f>IF(AND($B1511&gt;='111'!$N$11,$B1511&lt;='111'!$O$11,OR($L1511=$O$7,$M1511=$O$7)),"x","")</f>
        <v/>
      </c>
      <c r="P1511" s="525" t="str">
        <f>IF(AND($L1511=$O$7,$B1511&lt;'111'!$N$11),"x","")</f>
        <v/>
      </c>
      <c r="Q1511" s="525" t="str">
        <f>IF(AND($M1511=$O$7,$B1511&lt;'111'!$N$11),"x","")</f>
        <v/>
      </c>
      <c r="R1511" s="525" t="str">
        <f>IF(ISERROR(FIND('112'!$M$9,G1511,1)),"",IF((AND(FIND('112'!$M$9,G1511,1)&gt;=1,$B1511&gt;='112'!$N$8,$B1511&lt;='112'!$O$8,OR($L1511='112'!$I$6,$M1511='112'!$I$6))),"x",""))</f>
        <v/>
      </c>
      <c r="S1511" s="525" t="str">
        <f>IF(ISERROR(FIND('112'!$M$9,G1511,1)),"",IF((AND(LEFT(G1511,2)=LEFT('112'!$M$9,2),B1511&lt;'112'!$N$8,$L1511='112'!$I$6)),"x",""))</f>
        <v/>
      </c>
      <c r="T1511" s="525" t="str">
        <f>IF(ISERROR(FIND('112'!$M$9,G1511,1)),"",IF((AND(RIGHT(G1511,2)=RIGHT('112'!$M$9,2),B1511&lt;'112'!$N$8,$M1511='112'!$I$6)),"x",""))</f>
        <v/>
      </c>
      <c r="U1511" s="525" t="str">
        <f>IF(AND(B1511&gt;='IN-NX'!$P$3,B1511&lt;='IN-NX'!$Q$3,'IN-NX'!$D$7=D1511,OR(LEFT(L1511,2)="15",AND(LEFT(M1511,2)&lt;&gt;"15",LEFT(M1511,2)&lt;&gt;"33"))),"x","")</f>
        <v/>
      </c>
      <c r="V1511" s="525" t="str">
        <f>IF(AND(OR(LEFT(TH!L1511,2)="15",LEFT(TH!M1511,2)="15"),'152-CT'!$J$8=TH!F1511),"x","")</f>
        <v/>
      </c>
      <c r="W1511" s="525" t="str">
        <f>IF(AND(OR(LEFT(TH!L1511,2)="15",LEFT(TH!M1511,2)="15"),TK!$E$7=TH!F1511),"x","")</f>
        <v/>
      </c>
      <c r="X1511" s="525" t="str">
        <f>IF(AND('341-CT'!$E$9=H1511,OR(LEFT(L1511,3)=$X$7,LEFT(M1511,3)=$X$7)),"x","")</f>
        <v/>
      </c>
      <c r="Y1511" s="525" t="str">
        <f>IF(OR(TH!L1511=TH!$Y$7,M1511=TH!$Y$7),"x","")</f>
        <v/>
      </c>
      <c r="Z1511" s="525" t="str">
        <f>IF(AND(B1511&lt;=NKC!$N$8,B1511&gt;=NKC!$M$8),"x","")</f>
        <v>x</v>
      </c>
      <c r="AA1511" s="535">
        <v>1</v>
      </c>
    </row>
    <row r="1512" spans="1:31" s="503" customFormat="1" ht="15.75" customHeight="1">
      <c r="A1512" s="517" t="str">
        <f>IF(B1512&lt;&gt;"",IF(AND(B1512&gt;=_TM1,B1512&lt;=_TM2,OR(TH!L1512="1111",TH!M1512="1111")),TH!D1512,""),"")</f>
        <v/>
      </c>
      <c r="B1512" s="531">
        <f t="shared" si="151"/>
        <v>3</v>
      </c>
      <c r="C1512" s="315">
        <f t="shared" si="152"/>
        <v>42821</v>
      </c>
      <c r="D1512" s="537" t="s">
        <v>986</v>
      </c>
      <c r="E1512" s="288">
        <v>42821</v>
      </c>
      <c r="F1512" s="245" t="s">
        <v>649</v>
      </c>
      <c r="G1512" s="538" t="s">
        <v>609</v>
      </c>
      <c r="H1512" s="473" t="s">
        <v>349</v>
      </c>
      <c r="I1512" s="307">
        <v>14</v>
      </c>
      <c r="J1512" s="307">
        <v>67963</v>
      </c>
      <c r="K1512" s="532">
        <f t="shared" si="153"/>
        <v>951482</v>
      </c>
      <c r="L1512" s="534" t="s">
        <v>292</v>
      </c>
      <c r="M1512" s="534" t="s">
        <v>8</v>
      </c>
      <c r="N1512" s="525" t="str">
        <f>IF(AND('331-CT'!$E$7=TH!H1512,OR(L1512="331",M1512="331")),"331",IF(AND(OR(L1512="131",M1512="131"),H1512='131-CT'!$E$7),"131",""))</f>
        <v/>
      </c>
      <c r="O1512" s="525" t="str">
        <f>IF(AND($B1512&gt;='111'!$N$11,$B1512&lt;='111'!$O$11,OR($L1512=$O$7,$M1512=$O$7)),"x","")</f>
        <v/>
      </c>
      <c r="P1512" s="525" t="str">
        <f>IF(AND($L1512=$O$7,$B1512&lt;'111'!$N$11),"x","")</f>
        <v/>
      </c>
      <c r="Q1512" s="525" t="str">
        <f>IF(AND($M1512=$O$7,$B1512&lt;'111'!$N$11),"x","")</f>
        <v/>
      </c>
      <c r="R1512" s="525" t="str">
        <f>IF(ISERROR(FIND('112'!$M$9,G1512,1)),"",IF((AND(FIND('112'!$M$9,G1512,1)&gt;=1,$B1512&gt;='112'!$N$8,$B1512&lt;='112'!$O$8,OR($L1512='112'!$I$6,$M1512='112'!$I$6))),"x",""))</f>
        <v/>
      </c>
      <c r="S1512" s="525" t="str">
        <f>IF(ISERROR(FIND('112'!$M$9,G1512,1)),"",IF((AND(LEFT(G1512,2)=LEFT('112'!$M$9,2),B1512&lt;'112'!$N$8,$L1512='112'!$I$6)),"x",""))</f>
        <v/>
      </c>
      <c r="T1512" s="525" t="str">
        <f>IF(ISERROR(FIND('112'!$M$9,G1512,1)),"",IF((AND(RIGHT(G1512,2)=RIGHT('112'!$M$9,2),B1512&lt;'112'!$N$8,$M1512='112'!$I$6)),"x",""))</f>
        <v/>
      </c>
      <c r="U1512" s="525" t="str">
        <f>IF(AND(B1512&gt;='IN-NX'!$P$3,B1512&lt;='IN-NX'!$Q$3,'IN-NX'!$D$7=D1512,OR(LEFT(L1512,2)="15",AND(LEFT(M1512,2)&lt;&gt;"15",LEFT(M1512,2)&lt;&gt;"33"))),"x","")</f>
        <v/>
      </c>
      <c r="V1512" s="525" t="str">
        <f>IF(AND(OR(LEFT(TH!L1512,2)="15",LEFT(TH!M1512,2)="15"),'152-CT'!$J$8=TH!F1512),"x","")</f>
        <v/>
      </c>
      <c r="W1512" s="525" t="str">
        <f>IF(AND(OR(LEFT(TH!L1512,2)="15",LEFT(TH!M1512,2)="15"),TK!$E$7=TH!F1512),"x","")</f>
        <v/>
      </c>
      <c r="X1512" s="525" t="str">
        <f>IF(AND('341-CT'!$E$9=H1512,OR(LEFT(L1512,3)=$X$7,LEFT(M1512,3)=$X$7)),"x","")</f>
        <v/>
      </c>
      <c r="Y1512" s="525" t="str">
        <f>IF(OR(TH!L1512=TH!$Y$7,M1512=TH!$Y$7),"x","")</f>
        <v/>
      </c>
      <c r="Z1512" s="525" t="str">
        <f>IF(AND(B1512&lt;=NKC!$N$8,B1512&gt;=NKC!$M$8),"x","")</f>
        <v>x</v>
      </c>
      <c r="AA1512" s="535">
        <v>1</v>
      </c>
    </row>
    <row r="1513" spans="1:31" s="503" customFormat="1" ht="15.75" customHeight="1">
      <c r="A1513" s="517" t="str">
        <f>IF(B1513&lt;&gt;"",IF(AND(B1513&gt;=_TM1,B1513&lt;=_TM2,OR(TH!L1513="1111",TH!M1513="1111")),TH!D1513,""),"")</f>
        <v/>
      </c>
      <c r="B1513" s="531">
        <f t="shared" si="151"/>
        <v>3</v>
      </c>
      <c r="C1513" s="315">
        <f t="shared" si="152"/>
        <v>42821</v>
      </c>
      <c r="D1513" s="537" t="s">
        <v>986</v>
      </c>
      <c r="E1513" s="288">
        <v>42821</v>
      </c>
      <c r="F1513" s="245" t="s">
        <v>648</v>
      </c>
      <c r="G1513" s="538" t="s">
        <v>609</v>
      </c>
      <c r="H1513" s="473" t="s">
        <v>349</v>
      </c>
      <c r="I1513" s="307">
        <v>12</v>
      </c>
      <c r="J1513" s="307">
        <v>48490</v>
      </c>
      <c r="K1513" s="532">
        <f t="shared" si="153"/>
        <v>581880</v>
      </c>
      <c r="L1513" s="534" t="s">
        <v>292</v>
      </c>
      <c r="M1513" s="534" t="s">
        <v>8</v>
      </c>
      <c r="N1513" s="525" t="str">
        <f>IF(AND('331-CT'!$E$7=TH!H1513,OR(L1513="331",M1513="331")),"331",IF(AND(OR(L1513="131",M1513="131"),H1513='131-CT'!$E$7),"131",""))</f>
        <v/>
      </c>
      <c r="O1513" s="525" t="str">
        <f>IF(AND($B1513&gt;='111'!$N$11,$B1513&lt;='111'!$O$11,OR($L1513=$O$7,$M1513=$O$7)),"x","")</f>
        <v/>
      </c>
      <c r="P1513" s="525" t="str">
        <f>IF(AND($L1513=$O$7,$B1513&lt;'111'!$N$11),"x","")</f>
        <v/>
      </c>
      <c r="Q1513" s="525" t="str">
        <f>IF(AND($M1513=$O$7,$B1513&lt;'111'!$N$11),"x","")</f>
        <v/>
      </c>
      <c r="R1513" s="525" t="str">
        <f>IF(ISERROR(FIND('112'!$M$9,G1513,1)),"",IF((AND(FIND('112'!$M$9,G1513,1)&gt;=1,$B1513&gt;='112'!$N$8,$B1513&lt;='112'!$O$8,OR($L1513='112'!$I$6,$M1513='112'!$I$6))),"x",""))</f>
        <v/>
      </c>
      <c r="S1513" s="525" t="str">
        <f>IF(ISERROR(FIND('112'!$M$9,G1513,1)),"",IF((AND(LEFT(G1513,2)=LEFT('112'!$M$9,2),B1513&lt;'112'!$N$8,$L1513='112'!$I$6)),"x",""))</f>
        <v/>
      </c>
      <c r="T1513" s="525" t="str">
        <f>IF(ISERROR(FIND('112'!$M$9,G1513,1)),"",IF((AND(RIGHT(G1513,2)=RIGHT('112'!$M$9,2),B1513&lt;'112'!$N$8,$M1513='112'!$I$6)),"x",""))</f>
        <v/>
      </c>
      <c r="U1513" s="525" t="str">
        <f>IF(AND(B1513&gt;='IN-NX'!$P$3,B1513&lt;='IN-NX'!$Q$3,'IN-NX'!$D$7=D1513,OR(LEFT(L1513,2)="15",AND(LEFT(M1513,2)&lt;&gt;"15",LEFT(M1513,2)&lt;&gt;"33"))),"x","")</f>
        <v/>
      </c>
      <c r="V1513" s="525" t="str">
        <f>IF(AND(OR(LEFT(TH!L1513,2)="15",LEFT(TH!M1513,2)="15"),'152-CT'!$J$8=TH!F1513),"x","")</f>
        <v/>
      </c>
      <c r="W1513" s="525" t="str">
        <f>IF(AND(OR(LEFT(TH!L1513,2)="15",LEFT(TH!M1513,2)="15"),TK!$E$7=TH!F1513),"x","")</f>
        <v/>
      </c>
      <c r="X1513" s="525" t="str">
        <f>IF(AND('341-CT'!$E$9=H1513,OR(LEFT(L1513,3)=$X$7,LEFT(M1513,3)=$X$7)),"x","")</f>
        <v/>
      </c>
      <c r="Y1513" s="525" t="str">
        <f>IF(OR(TH!L1513=TH!$Y$7,M1513=TH!$Y$7),"x","")</f>
        <v/>
      </c>
      <c r="Z1513" s="525" t="str">
        <f>IF(AND(B1513&lt;=NKC!$N$8,B1513&gt;=NKC!$M$8),"x","")</f>
        <v>x</v>
      </c>
      <c r="AA1513" s="535">
        <v>1</v>
      </c>
    </row>
    <row r="1514" spans="1:31" s="576" customFormat="1" ht="15.75" customHeight="1">
      <c r="A1514" s="517" t="str">
        <f>IF(B1514&lt;&gt;"",IF(AND(B1514&gt;=_TM1,B1514&lt;=_TM2,OR(TH!L1514="1111",TH!M1514="1111")),TH!D1514,""),"")</f>
        <v/>
      </c>
      <c r="B1514" s="531">
        <f t="shared" si="151"/>
        <v>3</v>
      </c>
      <c r="C1514" s="315">
        <f t="shared" si="152"/>
        <v>42821</v>
      </c>
      <c r="D1514" s="537" t="s">
        <v>986</v>
      </c>
      <c r="E1514" s="288">
        <v>42821</v>
      </c>
      <c r="F1514" s="245" t="s">
        <v>689</v>
      </c>
      <c r="G1514" s="538" t="s">
        <v>609</v>
      </c>
      <c r="H1514" s="473" t="s">
        <v>349</v>
      </c>
      <c r="I1514" s="307">
        <v>12</v>
      </c>
      <c r="J1514" s="307">
        <v>78953</v>
      </c>
      <c r="K1514" s="532">
        <f t="shared" si="153"/>
        <v>947436</v>
      </c>
      <c r="L1514" s="534" t="s">
        <v>292</v>
      </c>
      <c r="M1514" s="534" t="s">
        <v>8</v>
      </c>
      <c r="N1514" s="525" t="str">
        <f>IF(AND('331-CT'!$E$7=TH!H1514,OR(L1514="331",M1514="331")),"331",IF(AND(OR(L1514="131",M1514="131"),H1514='131-CT'!$E$7),"131",""))</f>
        <v/>
      </c>
      <c r="O1514" s="525" t="str">
        <f>IF(AND($B1514&gt;='111'!$N$11,$B1514&lt;='111'!$O$11,OR($L1514=$O$7,$M1514=$O$7)),"x","")</f>
        <v/>
      </c>
      <c r="P1514" s="525" t="str">
        <f>IF(AND($L1514=$O$7,$B1514&lt;'111'!$N$11),"x","")</f>
        <v/>
      </c>
      <c r="Q1514" s="525" t="str">
        <f>IF(AND($M1514=$O$7,$B1514&lt;'111'!$N$11),"x","")</f>
        <v/>
      </c>
      <c r="R1514" s="525" t="str">
        <f>IF(ISERROR(FIND('112'!$M$9,G1514,1)),"",IF((AND(FIND('112'!$M$9,G1514,1)&gt;=1,$B1514&gt;='112'!$N$8,$B1514&lt;='112'!$O$8,OR($L1514='112'!$I$6,$M1514='112'!$I$6))),"x",""))</f>
        <v/>
      </c>
      <c r="S1514" s="525" t="str">
        <f>IF(ISERROR(FIND('112'!$M$9,G1514,1)),"",IF((AND(LEFT(G1514,2)=LEFT('112'!$M$9,2),B1514&lt;'112'!$N$8,$L1514='112'!$I$6)),"x",""))</f>
        <v/>
      </c>
      <c r="T1514" s="525" t="str">
        <f>IF(ISERROR(FIND('112'!$M$9,G1514,1)),"",IF((AND(RIGHT(G1514,2)=RIGHT('112'!$M$9,2),B1514&lt;'112'!$N$8,$M1514='112'!$I$6)),"x",""))</f>
        <v/>
      </c>
      <c r="U1514" s="525" t="str">
        <f>IF(AND(B1514&gt;='IN-NX'!$P$3,B1514&lt;='IN-NX'!$Q$3,'IN-NX'!$D$7=D1514,OR(LEFT(L1514,2)="15",AND(LEFT(M1514,2)&lt;&gt;"15",LEFT(M1514,2)&lt;&gt;"33"))),"x","")</f>
        <v/>
      </c>
      <c r="V1514" s="525" t="str">
        <f>IF(AND(OR(LEFT(TH!L1514,2)="15",LEFT(TH!M1514,2)="15"),'152-CT'!$J$8=TH!F1514),"x","")</f>
        <v/>
      </c>
      <c r="W1514" s="525" t="str">
        <f>IF(AND(OR(LEFT(TH!L1514,2)="15",LEFT(TH!M1514,2)="15"),TK!$E$7=TH!F1514),"x","")</f>
        <v/>
      </c>
      <c r="X1514" s="525" t="str">
        <f>IF(AND('341-CT'!$E$9=H1514,OR(LEFT(L1514,3)=$X$7,LEFT(M1514,3)=$X$7)),"x","")</f>
        <v/>
      </c>
      <c r="Y1514" s="525" t="str">
        <f>IF(OR(TH!L1514=TH!$Y$7,M1514=TH!$Y$7),"x","")</f>
        <v/>
      </c>
      <c r="Z1514" s="525" t="str">
        <f>IF(AND(B1514&lt;=NKC!$N$8,B1514&gt;=NKC!$M$8),"x","")</f>
        <v>x</v>
      </c>
      <c r="AA1514" s="535">
        <v>1</v>
      </c>
      <c r="AB1514" s="503"/>
      <c r="AC1514" s="503"/>
      <c r="AD1514" s="503"/>
      <c r="AE1514" s="503"/>
    </row>
    <row r="1515" spans="1:31" s="576" customFormat="1" ht="15.75" customHeight="1">
      <c r="A1515" s="517" t="str">
        <f>IF(B1515&lt;&gt;"",IF(AND(B1515&gt;=_TM1,B1515&lt;=_TM2,OR(TH!L1515="1111",TH!M1515="1111")),TH!D1515,""),"")</f>
        <v/>
      </c>
      <c r="B1515" s="531">
        <f t="shared" si="151"/>
        <v>3</v>
      </c>
      <c r="C1515" s="315">
        <f t="shared" si="152"/>
        <v>42821</v>
      </c>
      <c r="D1515" s="537" t="s">
        <v>986</v>
      </c>
      <c r="E1515" s="288">
        <v>42821</v>
      </c>
      <c r="F1515" s="245" t="s">
        <v>692</v>
      </c>
      <c r="G1515" s="538" t="s">
        <v>609</v>
      </c>
      <c r="H1515" s="473" t="s">
        <v>349</v>
      </c>
      <c r="I1515" s="307">
        <v>9</v>
      </c>
      <c r="J1515" s="307">
        <v>183100</v>
      </c>
      <c r="K1515" s="532">
        <f t="shared" si="153"/>
        <v>1647900</v>
      </c>
      <c r="L1515" s="534" t="s">
        <v>292</v>
      </c>
      <c r="M1515" s="534" t="s">
        <v>8</v>
      </c>
      <c r="N1515" s="525" t="str">
        <f>IF(AND('331-CT'!$E$7=TH!H1515,OR(L1515="331",M1515="331")),"331",IF(AND(OR(L1515="131",M1515="131"),H1515='131-CT'!$E$7),"131",""))</f>
        <v/>
      </c>
      <c r="O1515" s="525" t="str">
        <f>IF(AND($B1515&gt;='111'!$N$11,$B1515&lt;='111'!$O$11,OR($L1515=$O$7,$M1515=$O$7)),"x","")</f>
        <v/>
      </c>
      <c r="P1515" s="525" t="str">
        <f>IF(AND($L1515=$O$7,$B1515&lt;'111'!$N$11),"x","")</f>
        <v/>
      </c>
      <c r="Q1515" s="525" t="str">
        <f>IF(AND($M1515=$O$7,$B1515&lt;'111'!$N$11),"x","")</f>
        <v/>
      </c>
      <c r="R1515" s="525" t="str">
        <f>IF(ISERROR(FIND('112'!$M$9,G1515,1)),"",IF((AND(FIND('112'!$M$9,G1515,1)&gt;=1,$B1515&gt;='112'!$N$8,$B1515&lt;='112'!$O$8,OR($L1515='112'!$I$6,$M1515='112'!$I$6))),"x",""))</f>
        <v/>
      </c>
      <c r="S1515" s="525" t="str">
        <f>IF(ISERROR(FIND('112'!$M$9,G1515,1)),"",IF((AND(LEFT(G1515,2)=LEFT('112'!$M$9,2),B1515&lt;'112'!$N$8,$L1515='112'!$I$6)),"x",""))</f>
        <v/>
      </c>
      <c r="T1515" s="525" t="str">
        <f>IF(ISERROR(FIND('112'!$M$9,G1515,1)),"",IF((AND(RIGHT(G1515,2)=RIGHT('112'!$M$9,2),B1515&lt;'112'!$N$8,$M1515='112'!$I$6)),"x",""))</f>
        <v/>
      </c>
      <c r="U1515" s="525" t="str">
        <f>IF(AND(B1515&gt;='IN-NX'!$P$3,B1515&lt;='IN-NX'!$Q$3,'IN-NX'!$D$7=D1515,OR(LEFT(L1515,2)="15",AND(LEFT(M1515,2)&lt;&gt;"15",LEFT(M1515,2)&lt;&gt;"33"))),"x","")</f>
        <v/>
      </c>
      <c r="V1515" s="525" t="str">
        <f>IF(AND(OR(LEFT(TH!L1515,2)="15",LEFT(TH!M1515,2)="15"),'152-CT'!$J$8=TH!F1515),"x","")</f>
        <v/>
      </c>
      <c r="W1515" s="525" t="str">
        <f>IF(AND(OR(LEFT(TH!L1515,2)="15",LEFT(TH!M1515,2)="15"),TK!$E$7=TH!F1515),"x","")</f>
        <v/>
      </c>
      <c r="X1515" s="525" t="str">
        <f>IF(AND('341-CT'!$E$9=H1515,OR(LEFT(L1515,3)=$X$7,LEFT(M1515,3)=$X$7)),"x","")</f>
        <v/>
      </c>
      <c r="Y1515" s="525" t="str">
        <f>IF(OR(TH!L1515=TH!$Y$7,M1515=TH!$Y$7),"x","")</f>
        <v/>
      </c>
      <c r="Z1515" s="525" t="str">
        <f>IF(AND(B1515&lt;=NKC!$N$8,B1515&gt;=NKC!$M$8),"x","")</f>
        <v>x</v>
      </c>
      <c r="AA1515" s="535">
        <v>1</v>
      </c>
      <c r="AB1515" s="503"/>
      <c r="AC1515" s="503"/>
      <c r="AD1515" s="503"/>
      <c r="AE1515" s="503"/>
    </row>
    <row r="1516" spans="1:31" s="503" customFormat="1" ht="15.75" customHeight="1">
      <c r="A1516" s="517" t="str">
        <f>IF(B1516&lt;&gt;"",IF(AND(B1516&gt;=_TM1,B1516&lt;=_TM2,OR(TH!L1516="1111",TH!M1516="1111")),TH!D1516,""),"")</f>
        <v/>
      </c>
      <c r="B1516" s="531">
        <f t="shared" si="151"/>
        <v>3</v>
      </c>
      <c r="C1516" s="315">
        <f t="shared" si="152"/>
        <v>42821</v>
      </c>
      <c r="D1516" s="537" t="s">
        <v>987</v>
      </c>
      <c r="E1516" s="288">
        <v>42821</v>
      </c>
      <c r="F1516" s="249" t="s">
        <v>690</v>
      </c>
      <c r="G1516" s="538" t="s">
        <v>609</v>
      </c>
      <c r="H1516" s="473" t="s">
        <v>349</v>
      </c>
      <c r="I1516" s="307">
        <v>4</v>
      </c>
      <c r="J1516" s="307">
        <v>120339</v>
      </c>
      <c r="K1516" s="532">
        <f t="shared" si="153"/>
        <v>481356</v>
      </c>
      <c r="L1516" s="534" t="s">
        <v>292</v>
      </c>
      <c r="M1516" s="534" t="s">
        <v>8</v>
      </c>
      <c r="N1516" s="525" t="str">
        <f>IF(AND('331-CT'!$E$7=TH!H1516,OR(L1516="331",M1516="331")),"331",IF(AND(OR(L1516="131",M1516="131"),H1516='131-CT'!$E$7),"131",""))</f>
        <v/>
      </c>
      <c r="O1516" s="525" t="str">
        <f>IF(AND($B1516&gt;='111'!$N$11,$B1516&lt;='111'!$O$11,OR($L1516=$O$7,$M1516=$O$7)),"x","")</f>
        <v/>
      </c>
      <c r="P1516" s="525" t="str">
        <f>IF(AND($L1516=$O$7,$B1516&lt;'111'!$N$11),"x","")</f>
        <v/>
      </c>
      <c r="Q1516" s="525" t="str">
        <f>IF(AND($M1516=$O$7,$B1516&lt;'111'!$N$11),"x","")</f>
        <v/>
      </c>
      <c r="R1516" s="525" t="str">
        <f>IF(ISERROR(FIND('112'!$M$9,G1516,1)),"",IF((AND(FIND('112'!$M$9,G1516,1)&gt;=1,$B1516&gt;='112'!$N$8,$B1516&lt;='112'!$O$8,OR($L1516='112'!$I$6,$M1516='112'!$I$6))),"x",""))</f>
        <v/>
      </c>
      <c r="S1516" s="525" t="str">
        <f>IF(ISERROR(FIND('112'!$M$9,G1516,1)),"",IF((AND(LEFT(G1516,2)=LEFT('112'!$M$9,2),B1516&lt;'112'!$N$8,$L1516='112'!$I$6)),"x",""))</f>
        <v/>
      </c>
      <c r="T1516" s="525" t="str">
        <f>IF(ISERROR(FIND('112'!$M$9,G1516,1)),"",IF((AND(RIGHT(G1516,2)=RIGHT('112'!$M$9,2),B1516&lt;'112'!$N$8,$M1516='112'!$I$6)),"x",""))</f>
        <v/>
      </c>
      <c r="U1516" s="525" t="str">
        <f>IF(AND(B1516&gt;='IN-NX'!$P$3,B1516&lt;='IN-NX'!$Q$3,'IN-NX'!$D$7=D1516,OR(LEFT(L1516,2)="15",AND(LEFT(M1516,2)&lt;&gt;"15",LEFT(M1516,2)&lt;&gt;"33"))),"x","")</f>
        <v/>
      </c>
      <c r="V1516" s="525" t="str">
        <f>IF(AND(OR(LEFT(TH!L1516,2)="15",LEFT(TH!M1516,2)="15"),'152-CT'!$J$8=TH!F1516),"x","")</f>
        <v/>
      </c>
      <c r="W1516" s="525" t="str">
        <f>IF(AND(OR(LEFT(TH!L1516,2)="15",LEFT(TH!M1516,2)="15"),TK!$E$7=TH!F1516),"x","")</f>
        <v/>
      </c>
      <c r="X1516" s="525" t="str">
        <f>IF(AND('341-CT'!$E$9=H1516,OR(LEFT(L1516,3)=$X$7,LEFT(M1516,3)=$X$7)),"x","")</f>
        <v/>
      </c>
      <c r="Y1516" s="525" t="str">
        <f>IF(OR(TH!L1516=TH!$Y$7,M1516=TH!$Y$7),"x","")</f>
        <v/>
      </c>
      <c r="Z1516" s="525" t="str">
        <f>IF(AND(B1516&lt;=NKC!$N$8,B1516&gt;=NKC!$M$8),"x","")</f>
        <v>x</v>
      </c>
      <c r="AA1516" s="535">
        <v>1</v>
      </c>
    </row>
    <row r="1517" spans="1:31" s="503" customFormat="1" ht="15.75" customHeight="1">
      <c r="A1517" s="517" t="str">
        <f>IF(B1517&lt;&gt;"",IF(AND(B1517&gt;=_TM1,B1517&lt;=_TM2,OR(TH!L1517="1111",TH!M1517="1111")),TH!D1517,""),"")</f>
        <v/>
      </c>
      <c r="B1517" s="531">
        <f t="shared" si="151"/>
        <v>3</v>
      </c>
      <c r="C1517" s="315">
        <f t="shared" si="152"/>
        <v>42821</v>
      </c>
      <c r="D1517" s="537" t="s">
        <v>987</v>
      </c>
      <c r="E1517" s="288">
        <v>42821</v>
      </c>
      <c r="F1517" s="249" t="s">
        <v>694</v>
      </c>
      <c r="G1517" s="538" t="s">
        <v>609</v>
      </c>
      <c r="H1517" s="473" t="s">
        <v>349</v>
      </c>
      <c r="I1517" s="307">
        <v>10</v>
      </c>
      <c r="J1517" s="307">
        <v>50207</v>
      </c>
      <c r="K1517" s="532">
        <f t="shared" si="153"/>
        <v>502070</v>
      </c>
      <c r="L1517" s="534" t="s">
        <v>292</v>
      </c>
      <c r="M1517" s="534" t="s">
        <v>8</v>
      </c>
      <c r="N1517" s="525" t="str">
        <f>IF(AND('331-CT'!$E$7=TH!H1517,OR(L1517="331",M1517="331")),"331",IF(AND(OR(L1517="131",M1517="131"),H1517='131-CT'!$E$7),"131",""))</f>
        <v/>
      </c>
      <c r="O1517" s="525" t="str">
        <f>IF(AND($B1517&gt;='111'!$N$11,$B1517&lt;='111'!$O$11,OR($L1517=$O$7,$M1517=$O$7)),"x","")</f>
        <v/>
      </c>
      <c r="P1517" s="525" t="str">
        <f>IF(AND($L1517=$O$7,$B1517&lt;'111'!$N$11),"x","")</f>
        <v/>
      </c>
      <c r="Q1517" s="525" t="str">
        <f>IF(AND($M1517=$O$7,$B1517&lt;'111'!$N$11),"x","")</f>
        <v/>
      </c>
      <c r="R1517" s="525" t="str">
        <f>IF(ISERROR(FIND('112'!$M$9,G1517,1)),"",IF((AND(FIND('112'!$M$9,G1517,1)&gt;=1,$B1517&gt;='112'!$N$8,$B1517&lt;='112'!$O$8,OR($L1517='112'!$I$6,$M1517='112'!$I$6))),"x",""))</f>
        <v/>
      </c>
      <c r="S1517" s="525" t="str">
        <f>IF(ISERROR(FIND('112'!$M$9,G1517,1)),"",IF((AND(LEFT(G1517,2)=LEFT('112'!$M$9,2),B1517&lt;'112'!$N$8,$L1517='112'!$I$6)),"x",""))</f>
        <v/>
      </c>
      <c r="T1517" s="525" t="str">
        <f>IF(ISERROR(FIND('112'!$M$9,G1517,1)),"",IF((AND(RIGHT(G1517,2)=RIGHT('112'!$M$9,2),B1517&lt;'112'!$N$8,$M1517='112'!$I$6)),"x",""))</f>
        <v/>
      </c>
      <c r="U1517" s="525" t="str">
        <f>IF(AND(B1517&gt;='IN-NX'!$P$3,B1517&lt;='IN-NX'!$Q$3,'IN-NX'!$D$7=D1517,OR(LEFT(L1517,2)="15",AND(LEFT(M1517,2)&lt;&gt;"15",LEFT(M1517,2)&lt;&gt;"33"))),"x","")</f>
        <v/>
      </c>
      <c r="V1517" s="525" t="str">
        <f>IF(AND(OR(LEFT(TH!L1517,2)="15",LEFT(TH!M1517,2)="15"),'152-CT'!$J$8=TH!F1517),"x","")</f>
        <v/>
      </c>
      <c r="W1517" s="525" t="str">
        <f>IF(AND(OR(LEFT(TH!L1517,2)="15",LEFT(TH!M1517,2)="15"),TK!$E$7=TH!F1517),"x","")</f>
        <v/>
      </c>
      <c r="X1517" s="525" t="str">
        <f>IF(AND('341-CT'!$E$9=H1517,OR(LEFT(L1517,3)=$X$7,LEFT(M1517,3)=$X$7)),"x","")</f>
        <v/>
      </c>
      <c r="Y1517" s="525" t="str">
        <f>IF(OR(TH!L1517=TH!$Y$7,M1517=TH!$Y$7),"x","")</f>
        <v/>
      </c>
      <c r="Z1517" s="525" t="str">
        <f>IF(AND(B1517&lt;=NKC!$N$8,B1517&gt;=NKC!$M$8),"x","")</f>
        <v>x</v>
      </c>
      <c r="AA1517" s="535">
        <v>1</v>
      </c>
    </row>
    <row r="1518" spans="1:31" s="503" customFormat="1" ht="15.75" customHeight="1">
      <c r="A1518" s="517" t="str">
        <f>IF(B1518&lt;&gt;"",IF(AND(B1518&gt;=_TM1,B1518&lt;=_TM2,OR(TH!L1518="1111",TH!M1518="1111")),TH!D1518,""),"")</f>
        <v/>
      </c>
      <c r="B1518" s="531">
        <f t="shared" si="151"/>
        <v>3</v>
      </c>
      <c r="C1518" s="315">
        <f t="shared" si="152"/>
        <v>42821</v>
      </c>
      <c r="D1518" s="537" t="s">
        <v>987</v>
      </c>
      <c r="E1518" s="288">
        <v>42821</v>
      </c>
      <c r="F1518" s="249" t="s">
        <v>663</v>
      </c>
      <c r="G1518" s="538" t="s">
        <v>609</v>
      </c>
      <c r="H1518" s="473" t="s">
        <v>349</v>
      </c>
      <c r="I1518" s="307">
        <v>14</v>
      </c>
      <c r="J1518" s="307">
        <v>44947</v>
      </c>
      <c r="K1518" s="532">
        <f t="shared" si="153"/>
        <v>629258</v>
      </c>
      <c r="L1518" s="534" t="s">
        <v>292</v>
      </c>
      <c r="M1518" s="534" t="s">
        <v>8</v>
      </c>
      <c r="N1518" s="525" t="str">
        <f>IF(AND('331-CT'!$E$7=TH!H1518,OR(L1518="331",M1518="331")),"331",IF(AND(OR(L1518="131",M1518="131"),H1518='131-CT'!$E$7),"131",""))</f>
        <v/>
      </c>
      <c r="O1518" s="525" t="str">
        <f>IF(AND($B1518&gt;='111'!$N$11,$B1518&lt;='111'!$O$11,OR($L1518=$O$7,$M1518=$O$7)),"x","")</f>
        <v/>
      </c>
      <c r="P1518" s="525" t="str">
        <f>IF(AND($L1518=$O$7,$B1518&lt;'111'!$N$11),"x","")</f>
        <v/>
      </c>
      <c r="Q1518" s="525" t="str">
        <f>IF(AND($M1518=$O$7,$B1518&lt;'111'!$N$11),"x","")</f>
        <v/>
      </c>
      <c r="R1518" s="525" t="str">
        <f>IF(ISERROR(FIND('112'!$M$9,G1518,1)),"",IF((AND(FIND('112'!$M$9,G1518,1)&gt;=1,$B1518&gt;='112'!$N$8,$B1518&lt;='112'!$O$8,OR($L1518='112'!$I$6,$M1518='112'!$I$6))),"x",""))</f>
        <v/>
      </c>
      <c r="S1518" s="525" t="str">
        <f>IF(ISERROR(FIND('112'!$M$9,G1518,1)),"",IF((AND(LEFT(G1518,2)=LEFT('112'!$M$9,2),B1518&lt;'112'!$N$8,$L1518='112'!$I$6)),"x",""))</f>
        <v/>
      </c>
      <c r="T1518" s="525" t="str">
        <f>IF(ISERROR(FIND('112'!$M$9,G1518,1)),"",IF((AND(RIGHT(G1518,2)=RIGHT('112'!$M$9,2),B1518&lt;'112'!$N$8,$M1518='112'!$I$6)),"x",""))</f>
        <v/>
      </c>
      <c r="U1518" s="525" t="str">
        <f>IF(AND(B1518&gt;='IN-NX'!$P$3,B1518&lt;='IN-NX'!$Q$3,'IN-NX'!$D$7=D1518,OR(LEFT(L1518,2)="15",AND(LEFT(M1518,2)&lt;&gt;"15",LEFT(M1518,2)&lt;&gt;"33"))),"x","")</f>
        <v/>
      </c>
      <c r="V1518" s="525" t="str">
        <f>IF(AND(OR(LEFT(TH!L1518,2)="15",LEFT(TH!M1518,2)="15"),'152-CT'!$J$8=TH!F1518),"x","")</f>
        <v/>
      </c>
      <c r="W1518" s="525" t="str">
        <f>IF(AND(OR(LEFT(TH!L1518,2)="15",LEFT(TH!M1518,2)="15"),TK!$E$7=TH!F1518),"x","")</f>
        <v/>
      </c>
      <c r="X1518" s="525" t="str">
        <f>IF(AND('341-CT'!$E$9=H1518,OR(LEFT(L1518,3)=$X$7,LEFT(M1518,3)=$X$7)),"x","")</f>
        <v/>
      </c>
      <c r="Y1518" s="525" t="str">
        <f>IF(OR(TH!L1518=TH!$Y$7,M1518=TH!$Y$7),"x","")</f>
        <v/>
      </c>
      <c r="Z1518" s="525" t="str">
        <f>IF(AND(B1518&lt;=NKC!$N$8,B1518&gt;=NKC!$M$8),"x","")</f>
        <v>x</v>
      </c>
      <c r="AA1518" s="535">
        <v>1</v>
      </c>
    </row>
    <row r="1519" spans="1:31" s="503" customFormat="1" ht="15.75" customHeight="1">
      <c r="A1519" s="517" t="str">
        <f>IF(B1519&lt;&gt;"",IF(AND(B1519&gt;=_TM1,B1519&lt;=_TM2,OR(TH!L1519="1111",TH!M1519="1111")),TH!D1519,""),"")</f>
        <v/>
      </c>
      <c r="B1519" s="531">
        <f t="shared" si="151"/>
        <v>3</v>
      </c>
      <c r="C1519" s="315">
        <f t="shared" si="152"/>
        <v>42821</v>
      </c>
      <c r="D1519" s="537" t="s">
        <v>987</v>
      </c>
      <c r="E1519" s="288">
        <v>42821</v>
      </c>
      <c r="F1519" s="249" t="s">
        <v>611</v>
      </c>
      <c r="G1519" s="538" t="s">
        <v>609</v>
      </c>
      <c r="H1519" s="473" t="s">
        <v>349</v>
      </c>
      <c r="I1519" s="307">
        <v>10</v>
      </c>
      <c r="J1519" s="307">
        <v>43944</v>
      </c>
      <c r="K1519" s="532">
        <f t="shared" si="153"/>
        <v>439440</v>
      </c>
      <c r="L1519" s="534" t="s">
        <v>292</v>
      </c>
      <c r="M1519" s="534" t="s">
        <v>8</v>
      </c>
      <c r="N1519" s="525" t="str">
        <f>IF(AND('331-CT'!$E$7=TH!H1519,OR(L1519="331",M1519="331")),"331",IF(AND(OR(L1519="131",M1519="131"),H1519='131-CT'!$E$7),"131",""))</f>
        <v/>
      </c>
      <c r="O1519" s="525" t="str">
        <f>IF(AND($B1519&gt;='111'!$N$11,$B1519&lt;='111'!$O$11,OR($L1519=$O$7,$M1519=$O$7)),"x","")</f>
        <v/>
      </c>
      <c r="P1519" s="525" t="str">
        <f>IF(AND($L1519=$O$7,$B1519&lt;'111'!$N$11),"x","")</f>
        <v/>
      </c>
      <c r="Q1519" s="525" t="str">
        <f>IF(AND($M1519=$O$7,$B1519&lt;'111'!$N$11),"x","")</f>
        <v/>
      </c>
      <c r="R1519" s="525" t="str">
        <f>IF(ISERROR(FIND('112'!$M$9,G1519,1)),"",IF((AND(FIND('112'!$M$9,G1519,1)&gt;=1,$B1519&gt;='112'!$N$8,$B1519&lt;='112'!$O$8,OR($L1519='112'!$I$6,$M1519='112'!$I$6))),"x",""))</f>
        <v/>
      </c>
      <c r="S1519" s="525" t="str">
        <f>IF(ISERROR(FIND('112'!$M$9,G1519,1)),"",IF((AND(LEFT(G1519,2)=LEFT('112'!$M$9,2),B1519&lt;'112'!$N$8,$L1519='112'!$I$6)),"x",""))</f>
        <v/>
      </c>
      <c r="T1519" s="525" t="str">
        <f>IF(ISERROR(FIND('112'!$M$9,G1519,1)),"",IF((AND(RIGHT(G1519,2)=RIGHT('112'!$M$9,2),B1519&lt;'112'!$N$8,$M1519='112'!$I$6)),"x",""))</f>
        <v/>
      </c>
      <c r="U1519" s="525" t="str">
        <f>IF(AND(B1519&gt;='IN-NX'!$P$3,B1519&lt;='IN-NX'!$Q$3,'IN-NX'!$D$7=D1519,OR(LEFT(L1519,2)="15",AND(LEFT(M1519,2)&lt;&gt;"15",LEFT(M1519,2)&lt;&gt;"33"))),"x","")</f>
        <v/>
      </c>
      <c r="V1519" s="525" t="str">
        <f>IF(AND(OR(LEFT(TH!L1519,2)="15",LEFT(TH!M1519,2)="15"),'152-CT'!$J$8=TH!F1519),"x","")</f>
        <v/>
      </c>
      <c r="W1519" s="525" t="str">
        <f>IF(AND(OR(LEFT(TH!L1519,2)="15",LEFT(TH!M1519,2)="15"),TK!$E$7=TH!F1519),"x","")</f>
        <v/>
      </c>
      <c r="X1519" s="525" t="str">
        <f>IF(AND('341-CT'!$E$9=H1519,OR(LEFT(L1519,3)=$X$7,LEFT(M1519,3)=$X$7)),"x","")</f>
        <v/>
      </c>
      <c r="Y1519" s="525" t="str">
        <f>IF(OR(TH!L1519=TH!$Y$7,M1519=TH!$Y$7),"x","")</f>
        <v/>
      </c>
      <c r="Z1519" s="525" t="str">
        <f>IF(AND(B1519&lt;=NKC!$N$8,B1519&gt;=NKC!$M$8),"x","")</f>
        <v>x</v>
      </c>
      <c r="AA1519" s="535">
        <v>1</v>
      </c>
    </row>
    <row r="1520" spans="1:31" s="503" customFormat="1" ht="15.75" customHeight="1">
      <c r="A1520" s="517" t="str">
        <f>IF(B1520&lt;&gt;"",IF(AND(B1520&gt;=_TM1,B1520&lt;=_TM2,OR(TH!L1520="1111",TH!M1520="1111")),TH!D1520,""),"")</f>
        <v/>
      </c>
      <c r="B1520" s="531">
        <f t="shared" si="151"/>
        <v>3</v>
      </c>
      <c r="C1520" s="315">
        <f t="shared" si="152"/>
        <v>42821</v>
      </c>
      <c r="D1520" s="537" t="s">
        <v>987</v>
      </c>
      <c r="E1520" s="288">
        <v>42821</v>
      </c>
      <c r="F1520" s="249" t="s">
        <v>696</v>
      </c>
      <c r="G1520" s="538" t="s">
        <v>609</v>
      </c>
      <c r="H1520" s="473" t="s">
        <v>349</v>
      </c>
      <c r="I1520" s="307">
        <v>8</v>
      </c>
      <c r="J1520" s="307">
        <v>150646</v>
      </c>
      <c r="K1520" s="532">
        <f t="shared" si="153"/>
        <v>1205168</v>
      </c>
      <c r="L1520" s="534" t="s">
        <v>292</v>
      </c>
      <c r="M1520" s="534" t="s">
        <v>8</v>
      </c>
      <c r="N1520" s="525" t="str">
        <f>IF(AND('331-CT'!$E$7=TH!H1520,OR(L1520="331",M1520="331")),"331",IF(AND(OR(L1520="131",M1520="131"),H1520='131-CT'!$E$7),"131",""))</f>
        <v/>
      </c>
      <c r="O1520" s="525" t="str">
        <f>IF(AND($B1520&gt;='111'!$N$11,$B1520&lt;='111'!$O$11,OR($L1520=$O$7,$M1520=$O$7)),"x","")</f>
        <v/>
      </c>
      <c r="P1520" s="525" t="str">
        <f>IF(AND($L1520=$O$7,$B1520&lt;'111'!$N$11),"x","")</f>
        <v/>
      </c>
      <c r="Q1520" s="525" t="str">
        <f>IF(AND($M1520=$O$7,$B1520&lt;'111'!$N$11),"x","")</f>
        <v/>
      </c>
      <c r="R1520" s="525" t="str">
        <f>IF(ISERROR(FIND('112'!$M$9,G1520,1)),"",IF((AND(FIND('112'!$M$9,G1520,1)&gt;=1,$B1520&gt;='112'!$N$8,$B1520&lt;='112'!$O$8,OR($L1520='112'!$I$6,$M1520='112'!$I$6))),"x",""))</f>
        <v/>
      </c>
      <c r="S1520" s="525" t="str">
        <f>IF(ISERROR(FIND('112'!$M$9,G1520,1)),"",IF((AND(LEFT(G1520,2)=LEFT('112'!$M$9,2),B1520&lt;'112'!$N$8,$L1520='112'!$I$6)),"x",""))</f>
        <v/>
      </c>
      <c r="T1520" s="525" t="str">
        <f>IF(ISERROR(FIND('112'!$M$9,G1520,1)),"",IF((AND(RIGHT(G1520,2)=RIGHT('112'!$M$9,2),B1520&lt;'112'!$N$8,$M1520='112'!$I$6)),"x",""))</f>
        <v/>
      </c>
      <c r="U1520" s="525" t="str">
        <f>IF(AND(B1520&gt;='IN-NX'!$P$3,B1520&lt;='IN-NX'!$Q$3,'IN-NX'!$D$7=D1520,OR(LEFT(L1520,2)="15",AND(LEFT(M1520,2)&lt;&gt;"15",LEFT(M1520,2)&lt;&gt;"33"))),"x","")</f>
        <v/>
      </c>
      <c r="V1520" s="525" t="str">
        <f>IF(AND(OR(LEFT(TH!L1520,2)="15",LEFT(TH!M1520,2)="15"),'152-CT'!$J$8=TH!F1520),"x","")</f>
        <v/>
      </c>
      <c r="W1520" s="525" t="str">
        <f>IF(AND(OR(LEFT(TH!L1520,2)="15",LEFT(TH!M1520,2)="15"),TK!$E$7=TH!F1520),"x","")</f>
        <v/>
      </c>
      <c r="X1520" s="525" t="str">
        <f>IF(AND('341-CT'!$E$9=H1520,OR(LEFT(L1520,3)=$X$7,LEFT(M1520,3)=$X$7)),"x","")</f>
        <v/>
      </c>
      <c r="Y1520" s="525" t="str">
        <f>IF(OR(TH!L1520=TH!$Y$7,M1520=TH!$Y$7),"x","")</f>
        <v/>
      </c>
      <c r="Z1520" s="525" t="str">
        <f>IF(AND(B1520&lt;=NKC!$N$8,B1520&gt;=NKC!$M$8),"x","")</f>
        <v>x</v>
      </c>
      <c r="AA1520" s="535">
        <v>1</v>
      </c>
    </row>
    <row r="1521" spans="1:27" s="503" customFormat="1" ht="15.75" customHeight="1">
      <c r="A1521" s="517" t="str">
        <f>IF(B1521&lt;&gt;"",IF(AND(B1521&gt;=_TM1,B1521&lt;=_TM2,OR(TH!L1521="1111",TH!M1521="1111")),TH!D1521,""),"")</f>
        <v/>
      </c>
      <c r="B1521" s="531">
        <f t="shared" si="151"/>
        <v>3</v>
      </c>
      <c r="C1521" s="315">
        <f t="shared" si="152"/>
        <v>42821</v>
      </c>
      <c r="D1521" s="537" t="s">
        <v>987</v>
      </c>
      <c r="E1521" s="288">
        <v>42821</v>
      </c>
      <c r="F1521" s="249" t="s">
        <v>697</v>
      </c>
      <c r="G1521" s="538" t="s">
        <v>609</v>
      </c>
      <c r="H1521" s="473" t="s">
        <v>349</v>
      </c>
      <c r="I1521" s="307">
        <v>36</v>
      </c>
      <c r="J1521" s="307">
        <v>70433</v>
      </c>
      <c r="K1521" s="532">
        <f t="shared" si="153"/>
        <v>2535588</v>
      </c>
      <c r="L1521" s="534" t="s">
        <v>292</v>
      </c>
      <c r="M1521" s="534" t="s">
        <v>8</v>
      </c>
      <c r="N1521" s="525" t="str">
        <f>IF(AND('331-CT'!$E$7=TH!H1521,OR(L1521="331",M1521="331")),"331",IF(AND(OR(L1521="131",M1521="131"),H1521='131-CT'!$E$7),"131",""))</f>
        <v/>
      </c>
      <c r="O1521" s="525" t="str">
        <f>IF(AND($B1521&gt;='111'!$N$11,$B1521&lt;='111'!$O$11,OR($L1521=$O$7,$M1521=$O$7)),"x","")</f>
        <v/>
      </c>
      <c r="P1521" s="525" t="str">
        <f>IF(AND($L1521=$O$7,$B1521&lt;'111'!$N$11),"x","")</f>
        <v/>
      </c>
      <c r="Q1521" s="525" t="str">
        <f>IF(AND($M1521=$O$7,$B1521&lt;'111'!$N$11),"x","")</f>
        <v/>
      </c>
      <c r="R1521" s="525" t="str">
        <f>IF(ISERROR(FIND('112'!$M$9,G1521,1)),"",IF((AND(FIND('112'!$M$9,G1521,1)&gt;=1,$B1521&gt;='112'!$N$8,$B1521&lt;='112'!$O$8,OR($L1521='112'!$I$6,$M1521='112'!$I$6))),"x",""))</f>
        <v/>
      </c>
      <c r="S1521" s="525" t="str">
        <f>IF(ISERROR(FIND('112'!$M$9,G1521,1)),"",IF((AND(LEFT(G1521,2)=LEFT('112'!$M$9,2),B1521&lt;'112'!$N$8,$L1521='112'!$I$6)),"x",""))</f>
        <v/>
      </c>
      <c r="T1521" s="525" t="str">
        <f>IF(ISERROR(FIND('112'!$M$9,G1521,1)),"",IF((AND(RIGHT(G1521,2)=RIGHT('112'!$M$9,2),B1521&lt;'112'!$N$8,$M1521='112'!$I$6)),"x",""))</f>
        <v/>
      </c>
      <c r="U1521" s="525" t="str">
        <f>IF(AND(B1521&gt;='IN-NX'!$P$3,B1521&lt;='IN-NX'!$Q$3,'IN-NX'!$D$7=D1521,OR(LEFT(L1521,2)="15",AND(LEFT(M1521,2)&lt;&gt;"15",LEFT(M1521,2)&lt;&gt;"33"))),"x","")</f>
        <v/>
      </c>
      <c r="V1521" s="525" t="str">
        <f>IF(AND(OR(LEFT(TH!L1521,2)="15",LEFT(TH!M1521,2)="15"),'152-CT'!$J$8=TH!F1521),"x","")</f>
        <v/>
      </c>
      <c r="W1521" s="525" t="str">
        <f>IF(AND(OR(LEFT(TH!L1521,2)="15",LEFT(TH!M1521,2)="15"),TK!$E$7=TH!F1521),"x","")</f>
        <v/>
      </c>
      <c r="X1521" s="525" t="str">
        <f>IF(AND('341-CT'!$E$9=H1521,OR(LEFT(L1521,3)=$X$7,LEFT(M1521,3)=$X$7)),"x","")</f>
        <v/>
      </c>
      <c r="Y1521" s="525" t="str">
        <f>IF(OR(TH!L1521=TH!$Y$7,M1521=TH!$Y$7),"x","")</f>
        <v/>
      </c>
      <c r="Z1521" s="525" t="str">
        <f>IF(AND(B1521&lt;=NKC!$N$8,B1521&gt;=NKC!$M$8),"x","")</f>
        <v>x</v>
      </c>
      <c r="AA1521" s="535">
        <v>1</v>
      </c>
    </row>
    <row r="1522" spans="1:27" s="503" customFormat="1" ht="15.75" customHeight="1">
      <c r="A1522" s="517" t="str">
        <f>IF(B1522&lt;&gt;"",IF(AND(B1522&gt;=_TM1,B1522&lt;=_TM2,OR(TH!L1522="1111",TH!M1522="1111")),TH!D1522,""),"")</f>
        <v/>
      </c>
      <c r="B1522" s="531">
        <f t="shared" si="151"/>
        <v>3</v>
      </c>
      <c r="C1522" s="315">
        <f t="shared" si="152"/>
        <v>42821</v>
      </c>
      <c r="D1522" s="537" t="s">
        <v>987</v>
      </c>
      <c r="E1522" s="288">
        <v>42821</v>
      </c>
      <c r="F1522" s="249" t="s">
        <v>699</v>
      </c>
      <c r="G1522" s="538" t="s">
        <v>609</v>
      </c>
      <c r="H1522" s="473" t="s">
        <v>349</v>
      </c>
      <c r="I1522" s="307">
        <v>16</v>
      </c>
      <c r="J1522" s="307">
        <v>48453</v>
      </c>
      <c r="K1522" s="532">
        <f t="shared" si="153"/>
        <v>775248</v>
      </c>
      <c r="L1522" s="534" t="s">
        <v>292</v>
      </c>
      <c r="M1522" s="534" t="s">
        <v>8</v>
      </c>
      <c r="N1522" s="525" t="str">
        <f>IF(AND('331-CT'!$E$7=TH!H1522,OR(L1522="331",M1522="331")),"331",IF(AND(OR(L1522="131",M1522="131"),H1522='131-CT'!$E$7),"131",""))</f>
        <v/>
      </c>
      <c r="O1522" s="525" t="str">
        <f>IF(AND($B1522&gt;='111'!$N$11,$B1522&lt;='111'!$O$11,OR($L1522=$O$7,$M1522=$O$7)),"x","")</f>
        <v/>
      </c>
      <c r="P1522" s="525" t="str">
        <f>IF(AND($L1522=$O$7,$B1522&lt;'111'!$N$11),"x","")</f>
        <v/>
      </c>
      <c r="Q1522" s="525" t="str">
        <f>IF(AND($M1522=$O$7,$B1522&lt;'111'!$N$11),"x","")</f>
        <v/>
      </c>
      <c r="R1522" s="525" t="str">
        <f>IF(ISERROR(FIND('112'!$M$9,G1522,1)),"",IF((AND(FIND('112'!$M$9,G1522,1)&gt;=1,$B1522&gt;='112'!$N$8,$B1522&lt;='112'!$O$8,OR($L1522='112'!$I$6,$M1522='112'!$I$6))),"x",""))</f>
        <v/>
      </c>
      <c r="S1522" s="525" t="str">
        <f>IF(ISERROR(FIND('112'!$M$9,G1522,1)),"",IF((AND(LEFT(G1522,2)=LEFT('112'!$M$9,2),B1522&lt;'112'!$N$8,$L1522='112'!$I$6)),"x",""))</f>
        <v/>
      </c>
      <c r="T1522" s="525" t="str">
        <f>IF(ISERROR(FIND('112'!$M$9,G1522,1)),"",IF((AND(RIGHT(G1522,2)=RIGHT('112'!$M$9,2),B1522&lt;'112'!$N$8,$M1522='112'!$I$6)),"x",""))</f>
        <v/>
      </c>
      <c r="U1522" s="525" t="str">
        <f>IF(AND(B1522&gt;='IN-NX'!$P$3,B1522&lt;='IN-NX'!$Q$3,'IN-NX'!$D$7=D1522,OR(LEFT(L1522,2)="15",AND(LEFT(M1522,2)&lt;&gt;"15",LEFT(M1522,2)&lt;&gt;"33"))),"x","")</f>
        <v/>
      </c>
      <c r="V1522" s="525" t="str">
        <f>IF(AND(OR(LEFT(TH!L1522,2)="15",LEFT(TH!M1522,2)="15"),'152-CT'!$J$8=TH!F1522),"x","")</f>
        <v/>
      </c>
      <c r="W1522" s="525" t="str">
        <f>IF(AND(OR(LEFT(TH!L1522,2)="15",LEFT(TH!M1522,2)="15"),TK!$E$7=TH!F1522),"x","")</f>
        <v/>
      </c>
      <c r="X1522" s="525" t="str">
        <f>IF(AND('341-CT'!$E$9=H1522,OR(LEFT(L1522,3)=$X$7,LEFT(M1522,3)=$X$7)),"x","")</f>
        <v/>
      </c>
      <c r="Y1522" s="525" t="str">
        <f>IF(OR(TH!L1522=TH!$Y$7,M1522=TH!$Y$7),"x","")</f>
        <v/>
      </c>
      <c r="Z1522" s="525" t="str">
        <f>IF(AND(B1522&lt;=NKC!$N$8,B1522&gt;=NKC!$M$8),"x","")</f>
        <v>x</v>
      </c>
      <c r="AA1522" s="535">
        <v>1</v>
      </c>
    </row>
    <row r="1523" spans="1:27" s="503" customFormat="1" ht="15.75" customHeight="1">
      <c r="A1523" s="517" t="str">
        <f>IF(B1523&lt;&gt;"",IF(AND(B1523&gt;=_TM1,B1523&lt;=_TM2,OR(TH!L1523="1111",TH!M1523="1111")),TH!D1523,""),"")</f>
        <v/>
      </c>
      <c r="B1523" s="531">
        <f t="shared" si="151"/>
        <v>3</v>
      </c>
      <c r="C1523" s="315">
        <f t="shared" si="152"/>
        <v>42821</v>
      </c>
      <c r="D1523" s="537" t="s">
        <v>987</v>
      </c>
      <c r="E1523" s="288">
        <v>42821</v>
      </c>
      <c r="F1523" s="249" t="s">
        <v>681</v>
      </c>
      <c r="G1523" s="538" t="s">
        <v>609</v>
      </c>
      <c r="H1523" s="473" t="s">
        <v>349</v>
      </c>
      <c r="I1523" s="307">
        <v>14</v>
      </c>
      <c r="J1523" s="307">
        <v>26049</v>
      </c>
      <c r="K1523" s="532">
        <f t="shared" si="153"/>
        <v>364686</v>
      </c>
      <c r="L1523" s="534" t="s">
        <v>292</v>
      </c>
      <c r="M1523" s="534" t="s">
        <v>8</v>
      </c>
      <c r="N1523" s="525" t="str">
        <f>IF(AND('331-CT'!$E$7=TH!H1523,OR(L1523="331",M1523="331")),"331",IF(AND(OR(L1523="131",M1523="131"),H1523='131-CT'!$E$7),"131",""))</f>
        <v/>
      </c>
      <c r="O1523" s="525" t="str">
        <f>IF(AND($B1523&gt;='111'!$N$11,$B1523&lt;='111'!$O$11,OR($L1523=$O$7,$M1523=$O$7)),"x","")</f>
        <v/>
      </c>
      <c r="P1523" s="525" t="str">
        <f>IF(AND($L1523=$O$7,$B1523&lt;'111'!$N$11),"x","")</f>
        <v/>
      </c>
      <c r="Q1523" s="525" t="str">
        <f>IF(AND($M1523=$O$7,$B1523&lt;'111'!$N$11),"x","")</f>
        <v/>
      </c>
      <c r="R1523" s="525" t="str">
        <f>IF(ISERROR(FIND('112'!$M$9,G1523,1)),"",IF((AND(FIND('112'!$M$9,G1523,1)&gt;=1,$B1523&gt;='112'!$N$8,$B1523&lt;='112'!$O$8,OR($L1523='112'!$I$6,$M1523='112'!$I$6))),"x",""))</f>
        <v/>
      </c>
      <c r="S1523" s="525" t="str">
        <f>IF(ISERROR(FIND('112'!$M$9,G1523,1)),"",IF((AND(LEFT(G1523,2)=LEFT('112'!$M$9,2),B1523&lt;'112'!$N$8,$L1523='112'!$I$6)),"x",""))</f>
        <v/>
      </c>
      <c r="T1523" s="525" t="str">
        <f>IF(ISERROR(FIND('112'!$M$9,G1523,1)),"",IF((AND(RIGHT(G1523,2)=RIGHT('112'!$M$9,2),B1523&lt;'112'!$N$8,$M1523='112'!$I$6)),"x",""))</f>
        <v/>
      </c>
      <c r="U1523" s="525" t="str">
        <f>IF(AND(B1523&gt;='IN-NX'!$P$3,B1523&lt;='IN-NX'!$Q$3,'IN-NX'!$D$7=D1523,OR(LEFT(L1523,2)="15",AND(LEFT(M1523,2)&lt;&gt;"15",LEFT(M1523,2)&lt;&gt;"33"))),"x","")</f>
        <v/>
      </c>
      <c r="V1523" s="525" t="str">
        <f>IF(AND(OR(LEFT(TH!L1523,2)="15",LEFT(TH!M1523,2)="15"),'152-CT'!$J$8=TH!F1523),"x","")</f>
        <v/>
      </c>
      <c r="W1523" s="525" t="str">
        <f>IF(AND(OR(LEFT(TH!L1523,2)="15",LEFT(TH!M1523,2)="15"),TK!$E$7=TH!F1523),"x","")</f>
        <v/>
      </c>
      <c r="X1523" s="525" t="str">
        <f>IF(AND('341-CT'!$E$9=H1523,OR(LEFT(L1523,3)=$X$7,LEFT(M1523,3)=$X$7)),"x","")</f>
        <v/>
      </c>
      <c r="Y1523" s="525" t="str">
        <f>IF(OR(TH!L1523=TH!$Y$7,M1523=TH!$Y$7),"x","")</f>
        <v/>
      </c>
      <c r="Z1523" s="525" t="str">
        <f>IF(AND(B1523&lt;=NKC!$N$8,B1523&gt;=NKC!$M$8),"x","")</f>
        <v>x</v>
      </c>
      <c r="AA1523" s="535">
        <v>1</v>
      </c>
    </row>
    <row r="1524" spans="1:27" s="503" customFormat="1" ht="15.75" customHeight="1">
      <c r="A1524" s="517" t="str">
        <f>IF(B1524&lt;&gt;"",IF(AND(B1524&gt;=_TM1,B1524&lt;=_TM2,OR(TH!L1524="1111",TH!M1524="1111")),TH!D1524,""),"")</f>
        <v/>
      </c>
      <c r="B1524" s="531">
        <f t="shared" si="151"/>
        <v>3</v>
      </c>
      <c r="C1524" s="315">
        <f t="shared" si="152"/>
        <v>42821</v>
      </c>
      <c r="D1524" s="537" t="s">
        <v>987</v>
      </c>
      <c r="E1524" s="288">
        <v>42821</v>
      </c>
      <c r="F1524" s="249" t="s">
        <v>682</v>
      </c>
      <c r="G1524" s="538" t="s">
        <v>609</v>
      </c>
      <c r="H1524" s="473" t="s">
        <v>349</v>
      </c>
      <c r="I1524" s="307">
        <v>3</v>
      </c>
      <c r="J1524" s="307">
        <v>144492</v>
      </c>
      <c r="K1524" s="532">
        <f t="shared" ref="K1524:K1555" si="154">ROUND(I1524*J1524,0)</f>
        <v>433476</v>
      </c>
      <c r="L1524" s="534" t="s">
        <v>292</v>
      </c>
      <c r="M1524" s="534" t="s">
        <v>8</v>
      </c>
      <c r="N1524" s="525" t="str">
        <f>IF(AND('331-CT'!$E$7=TH!H1524,OR(L1524="331",M1524="331")),"331",IF(AND(OR(L1524="131",M1524="131"),H1524='131-CT'!$E$7),"131",""))</f>
        <v/>
      </c>
      <c r="O1524" s="525" t="str">
        <f>IF(AND($B1524&gt;='111'!$N$11,$B1524&lt;='111'!$O$11,OR($L1524=$O$7,$M1524=$O$7)),"x","")</f>
        <v/>
      </c>
      <c r="P1524" s="525" t="str">
        <f>IF(AND($L1524=$O$7,$B1524&lt;'111'!$N$11),"x","")</f>
        <v/>
      </c>
      <c r="Q1524" s="525" t="str">
        <f>IF(AND($M1524=$O$7,$B1524&lt;'111'!$N$11),"x","")</f>
        <v/>
      </c>
      <c r="R1524" s="525" t="str">
        <f>IF(ISERROR(FIND('112'!$M$9,G1524,1)),"",IF((AND(FIND('112'!$M$9,G1524,1)&gt;=1,$B1524&gt;='112'!$N$8,$B1524&lt;='112'!$O$8,OR($L1524='112'!$I$6,$M1524='112'!$I$6))),"x",""))</f>
        <v/>
      </c>
      <c r="S1524" s="525" t="str">
        <f>IF(ISERROR(FIND('112'!$M$9,G1524,1)),"",IF((AND(LEFT(G1524,2)=LEFT('112'!$M$9,2),B1524&lt;'112'!$N$8,$L1524='112'!$I$6)),"x",""))</f>
        <v/>
      </c>
      <c r="T1524" s="525" t="str">
        <f>IF(ISERROR(FIND('112'!$M$9,G1524,1)),"",IF((AND(RIGHT(G1524,2)=RIGHT('112'!$M$9,2),B1524&lt;'112'!$N$8,$M1524='112'!$I$6)),"x",""))</f>
        <v/>
      </c>
      <c r="U1524" s="525" t="str">
        <f>IF(AND(B1524&gt;='IN-NX'!$P$3,B1524&lt;='IN-NX'!$Q$3,'IN-NX'!$D$7=D1524,OR(LEFT(L1524,2)="15",AND(LEFT(M1524,2)&lt;&gt;"15",LEFT(M1524,2)&lt;&gt;"33"))),"x","")</f>
        <v/>
      </c>
      <c r="V1524" s="525" t="str">
        <f>IF(AND(OR(LEFT(TH!L1524,2)="15",LEFT(TH!M1524,2)="15"),'152-CT'!$J$8=TH!F1524),"x","")</f>
        <v/>
      </c>
      <c r="W1524" s="525" t="str">
        <f>IF(AND(OR(LEFT(TH!L1524,2)="15",LEFT(TH!M1524,2)="15"),TK!$E$7=TH!F1524),"x","")</f>
        <v/>
      </c>
      <c r="X1524" s="525" t="str">
        <f>IF(AND('341-CT'!$E$9=H1524,OR(LEFT(L1524,3)=$X$7,LEFT(M1524,3)=$X$7)),"x","")</f>
        <v/>
      </c>
      <c r="Y1524" s="525" t="str">
        <f>IF(OR(TH!L1524=TH!$Y$7,M1524=TH!$Y$7),"x","")</f>
        <v/>
      </c>
      <c r="Z1524" s="525" t="str">
        <f>IF(AND(B1524&lt;=NKC!$N$8,B1524&gt;=NKC!$M$8),"x","")</f>
        <v>x</v>
      </c>
      <c r="AA1524" s="535">
        <v>1</v>
      </c>
    </row>
    <row r="1525" spans="1:27" s="503" customFormat="1" ht="15.75" customHeight="1">
      <c r="A1525" s="517" t="str">
        <f>IF(B1525&lt;&gt;"",IF(AND(B1525&gt;=_TM1,B1525&lt;=_TM2,OR(TH!L1525="1111",TH!M1525="1111")),TH!D1525,""),"")</f>
        <v/>
      </c>
      <c r="B1525" s="531">
        <f t="shared" si="151"/>
        <v>3</v>
      </c>
      <c r="C1525" s="315">
        <f t="shared" si="152"/>
        <v>42821</v>
      </c>
      <c r="D1525" s="537" t="s">
        <v>987</v>
      </c>
      <c r="E1525" s="288">
        <v>42821</v>
      </c>
      <c r="F1525" s="249" t="s">
        <v>683</v>
      </c>
      <c r="G1525" s="538" t="s">
        <v>609</v>
      </c>
      <c r="H1525" s="473" t="s">
        <v>349</v>
      </c>
      <c r="I1525" s="307">
        <v>6</v>
      </c>
      <c r="J1525" s="307">
        <v>35340</v>
      </c>
      <c r="K1525" s="532">
        <f t="shared" si="154"/>
        <v>212040</v>
      </c>
      <c r="L1525" s="534" t="s">
        <v>292</v>
      </c>
      <c r="M1525" s="534" t="s">
        <v>8</v>
      </c>
      <c r="N1525" s="525" t="str">
        <f>IF(AND('331-CT'!$E$7=TH!H1525,OR(L1525="331",M1525="331")),"331",IF(AND(OR(L1525="131",M1525="131"),H1525='131-CT'!$E$7),"131",""))</f>
        <v/>
      </c>
      <c r="O1525" s="525" t="str">
        <f>IF(AND($B1525&gt;='111'!$N$11,$B1525&lt;='111'!$O$11,OR($L1525=$O$7,$M1525=$O$7)),"x","")</f>
        <v/>
      </c>
      <c r="P1525" s="525" t="str">
        <f>IF(AND($L1525=$O$7,$B1525&lt;'111'!$N$11),"x","")</f>
        <v/>
      </c>
      <c r="Q1525" s="525" t="str">
        <f>IF(AND($M1525=$O$7,$B1525&lt;'111'!$N$11),"x","")</f>
        <v/>
      </c>
      <c r="R1525" s="525" t="str">
        <f>IF(ISERROR(FIND('112'!$M$9,G1525,1)),"",IF((AND(FIND('112'!$M$9,G1525,1)&gt;=1,$B1525&gt;='112'!$N$8,$B1525&lt;='112'!$O$8,OR($L1525='112'!$I$6,$M1525='112'!$I$6))),"x",""))</f>
        <v/>
      </c>
      <c r="S1525" s="525" t="str">
        <f>IF(ISERROR(FIND('112'!$M$9,G1525,1)),"",IF((AND(LEFT(G1525,2)=LEFT('112'!$M$9,2),B1525&lt;'112'!$N$8,$L1525='112'!$I$6)),"x",""))</f>
        <v/>
      </c>
      <c r="T1525" s="525" t="str">
        <f>IF(ISERROR(FIND('112'!$M$9,G1525,1)),"",IF((AND(RIGHT(G1525,2)=RIGHT('112'!$M$9,2),B1525&lt;'112'!$N$8,$M1525='112'!$I$6)),"x",""))</f>
        <v/>
      </c>
      <c r="U1525" s="525" t="str">
        <f>IF(AND(B1525&gt;='IN-NX'!$P$3,B1525&lt;='IN-NX'!$Q$3,'IN-NX'!$D$7=D1525,OR(LEFT(L1525,2)="15",AND(LEFT(M1525,2)&lt;&gt;"15",LEFT(M1525,2)&lt;&gt;"33"))),"x","")</f>
        <v/>
      </c>
      <c r="V1525" s="525" t="str">
        <f>IF(AND(OR(LEFT(TH!L1525,2)="15",LEFT(TH!M1525,2)="15"),'152-CT'!$J$8=TH!F1525),"x","")</f>
        <v/>
      </c>
      <c r="W1525" s="525" t="str">
        <f>IF(AND(OR(LEFT(TH!L1525,2)="15",LEFT(TH!M1525,2)="15"),TK!$E$7=TH!F1525),"x","")</f>
        <v/>
      </c>
      <c r="X1525" s="525" t="str">
        <f>IF(AND('341-CT'!$E$9=H1525,OR(LEFT(L1525,3)=$X$7,LEFT(M1525,3)=$X$7)),"x","")</f>
        <v/>
      </c>
      <c r="Y1525" s="525" t="str">
        <f>IF(OR(TH!L1525=TH!$Y$7,M1525=TH!$Y$7),"x","")</f>
        <v/>
      </c>
      <c r="Z1525" s="525" t="str">
        <f>IF(AND(B1525&lt;=NKC!$N$8,B1525&gt;=NKC!$M$8),"x","")</f>
        <v>x</v>
      </c>
      <c r="AA1525" s="535">
        <v>1</v>
      </c>
    </row>
    <row r="1526" spans="1:27" s="503" customFormat="1" ht="15.75" customHeight="1">
      <c r="A1526" s="517" t="str">
        <f>IF(B1526&lt;&gt;"",IF(AND(B1526&gt;=_TM1,B1526&lt;=_TM2,OR(TH!L1526="1111",TH!M1526="1111")),TH!D1526,""),"")</f>
        <v/>
      </c>
      <c r="B1526" s="531">
        <f t="shared" si="151"/>
        <v>3</v>
      </c>
      <c r="C1526" s="315">
        <f t="shared" si="152"/>
        <v>42821</v>
      </c>
      <c r="D1526" s="537" t="s">
        <v>987</v>
      </c>
      <c r="E1526" s="288">
        <v>42821</v>
      </c>
      <c r="F1526" s="249" t="s">
        <v>683</v>
      </c>
      <c r="G1526" s="538" t="s">
        <v>609</v>
      </c>
      <c r="H1526" s="473" t="s">
        <v>349</v>
      </c>
      <c r="I1526" s="307">
        <v>10</v>
      </c>
      <c r="J1526" s="307">
        <v>35340</v>
      </c>
      <c r="K1526" s="532">
        <f t="shared" si="154"/>
        <v>353400</v>
      </c>
      <c r="L1526" s="534" t="s">
        <v>292</v>
      </c>
      <c r="M1526" s="534" t="s">
        <v>8</v>
      </c>
      <c r="N1526" s="525" t="str">
        <f>IF(AND('331-CT'!$E$7=TH!H1526,OR(L1526="331",M1526="331")),"331",IF(AND(OR(L1526="131",M1526="131"),H1526='131-CT'!$E$7),"131",""))</f>
        <v/>
      </c>
      <c r="O1526" s="525" t="str">
        <f>IF(AND($B1526&gt;='111'!$N$11,$B1526&lt;='111'!$O$11,OR($L1526=$O$7,$M1526=$O$7)),"x","")</f>
        <v/>
      </c>
      <c r="P1526" s="525" t="str">
        <f>IF(AND($L1526=$O$7,$B1526&lt;'111'!$N$11),"x","")</f>
        <v/>
      </c>
      <c r="Q1526" s="525" t="str">
        <f>IF(AND($M1526=$O$7,$B1526&lt;'111'!$N$11),"x","")</f>
        <v/>
      </c>
      <c r="R1526" s="525" t="str">
        <f>IF(ISERROR(FIND('112'!$M$9,G1526,1)),"",IF((AND(FIND('112'!$M$9,G1526,1)&gt;=1,$B1526&gt;='112'!$N$8,$B1526&lt;='112'!$O$8,OR($L1526='112'!$I$6,$M1526='112'!$I$6))),"x",""))</f>
        <v/>
      </c>
      <c r="S1526" s="525" t="str">
        <f>IF(ISERROR(FIND('112'!$M$9,G1526,1)),"",IF((AND(LEFT(G1526,2)=LEFT('112'!$M$9,2),B1526&lt;'112'!$N$8,$L1526='112'!$I$6)),"x",""))</f>
        <v/>
      </c>
      <c r="T1526" s="525" t="str">
        <f>IF(ISERROR(FIND('112'!$M$9,G1526,1)),"",IF((AND(RIGHT(G1526,2)=RIGHT('112'!$M$9,2),B1526&lt;'112'!$N$8,$M1526='112'!$I$6)),"x",""))</f>
        <v/>
      </c>
      <c r="U1526" s="525" t="str">
        <f>IF(AND(B1526&gt;='IN-NX'!$P$3,B1526&lt;='IN-NX'!$Q$3,'IN-NX'!$D$7=D1526,OR(LEFT(L1526,2)="15",AND(LEFT(M1526,2)&lt;&gt;"15",LEFT(M1526,2)&lt;&gt;"33"))),"x","")</f>
        <v/>
      </c>
      <c r="V1526" s="525" t="str">
        <f>IF(AND(OR(LEFT(TH!L1526,2)="15",LEFT(TH!M1526,2)="15"),'152-CT'!$J$8=TH!F1526),"x","")</f>
        <v/>
      </c>
      <c r="W1526" s="525" t="str">
        <f>IF(AND(OR(LEFT(TH!L1526,2)="15",LEFT(TH!M1526,2)="15"),TK!$E$7=TH!F1526),"x","")</f>
        <v/>
      </c>
      <c r="X1526" s="525" t="str">
        <f>IF(AND('341-CT'!$E$9=H1526,OR(LEFT(L1526,3)=$X$7,LEFT(M1526,3)=$X$7)),"x","")</f>
        <v/>
      </c>
      <c r="Y1526" s="525" t="str">
        <f>IF(OR(TH!L1526=TH!$Y$7,M1526=TH!$Y$7),"x","")</f>
        <v/>
      </c>
      <c r="Z1526" s="525" t="str">
        <f>IF(AND(B1526&lt;=NKC!$N$8,B1526&gt;=NKC!$M$8),"x","")</f>
        <v>x</v>
      </c>
      <c r="AA1526" s="535">
        <v>1</v>
      </c>
    </row>
    <row r="1527" spans="1:27" s="503" customFormat="1" ht="15.75" customHeight="1">
      <c r="A1527" s="517" t="str">
        <f>IF(B1527&lt;&gt;"",IF(AND(B1527&gt;=_TM1,B1527&lt;=_TM2,OR(TH!L1527="1111",TH!M1527="1111")),TH!D1527,""),"")</f>
        <v/>
      </c>
      <c r="B1527" s="531">
        <f t="shared" si="151"/>
        <v>3</v>
      </c>
      <c r="C1527" s="315">
        <f t="shared" si="152"/>
        <v>42821</v>
      </c>
      <c r="D1527" s="537" t="s">
        <v>987</v>
      </c>
      <c r="E1527" s="288">
        <v>42821</v>
      </c>
      <c r="F1527" s="249" t="s">
        <v>685</v>
      </c>
      <c r="G1527" s="538" t="s">
        <v>609</v>
      </c>
      <c r="H1527" s="473" t="s">
        <v>349</v>
      </c>
      <c r="I1527" s="307">
        <v>6</v>
      </c>
      <c r="J1527" s="307">
        <v>36114</v>
      </c>
      <c r="K1527" s="532">
        <f t="shared" si="154"/>
        <v>216684</v>
      </c>
      <c r="L1527" s="534" t="s">
        <v>292</v>
      </c>
      <c r="M1527" s="534" t="s">
        <v>8</v>
      </c>
      <c r="N1527" s="525" t="str">
        <f>IF(AND('331-CT'!$E$7=TH!H1527,OR(L1527="331",M1527="331")),"331",IF(AND(OR(L1527="131",M1527="131"),H1527='131-CT'!$E$7),"131",""))</f>
        <v/>
      </c>
      <c r="O1527" s="525" t="str">
        <f>IF(AND($B1527&gt;='111'!$N$11,$B1527&lt;='111'!$O$11,OR($L1527=$O$7,$M1527=$O$7)),"x","")</f>
        <v/>
      </c>
      <c r="P1527" s="525" t="str">
        <f>IF(AND($L1527=$O$7,$B1527&lt;'111'!$N$11),"x","")</f>
        <v/>
      </c>
      <c r="Q1527" s="525" t="str">
        <f>IF(AND($M1527=$O$7,$B1527&lt;'111'!$N$11),"x","")</f>
        <v/>
      </c>
      <c r="R1527" s="525" t="str">
        <f>IF(ISERROR(FIND('112'!$M$9,G1527,1)),"",IF((AND(FIND('112'!$M$9,G1527,1)&gt;=1,$B1527&gt;='112'!$N$8,$B1527&lt;='112'!$O$8,OR($L1527='112'!$I$6,$M1527='112'!$I$6))),"x",""))</f>
        <v/>
      </c>
      <c r="S1527" s="525" t="str">
        <f>IF(ISERROR(FIND('112'!$M$9,G1527,1)),"",IF((AND(LEFT(G1527,2)=LEFT('112'!$M$9,2),B1527&lt;'112'!$N$8,$L1527='112'!$I$6)),"x",""))</f>
        <v/>
      </c>
      <c r="T1527" s="525" t="str">
        <f>IF(ISERROR(FIND('112'!$M$9,G1527,1)),"",IF((AND(RIGHT(G1527,2)=RIGHT('112'!$M$9,2),B1527&lt;'112'!$N$8,$M1527='112'!$I$6)),"x",""))</f>
        <v/>
      </c>
      <c r="U1527" s="525" t="str">
        <f>IF(AND(B1527&gt;='IN-NX'!$P$3,B1527&lt;='IN-NX'!$Q$3,'IN-NX'!$D$7=D1527,OR(LEFT(L1527,2)="15",AND(LEFT(M1527,2)&lt;&gt;"15",LEFT(M1527,2)&lt;&gt;"33"))),"x","")</f>
        <v/>
      </c>
      <c r="V1527" s="525" t="str">
        <f>IF(AND(OR(LEFT(TH!L1527,2)="15",LEFT(TH!M1527,2)="15"),'152-CT'!$J$8=TH!F1527),"x","")</f>
        <v/>
      </c>
      <c r="W1527" s="525" t="str">
        <f>IF(AND(OR(LEFT(TH!L1527,2)="15",LEFT(TH!M1527,2)="15"),TK!$E$7=TH!F1527),"x","")</f>
        <v/>
      </c>
      <c r="X1527" s="525" t="str">
        <f>IF(AND('341-CT'!$E$9=H1527,OR(LEFT(L1527,3)=$X$7,LEFT(M1527,3)=$X$7)),"x","")</f>
        <v/>
      </c>
      <c r="Y1527" s="525" t="str">
        <f>IF(OR(TH!L1527=TH!$Y$7,M1527=TH!$Y$7),"x","")</f>
        <v/>
      </c>
      <c r="Z1527" s="525" t="str">
        <f>IF(AND(B1527&lt;=NKC!$N$8,B1527&gt;=NKC!$M$8),"x","")</f>
        <v>x</v>
      </c>
      <c r="AA1527" s="535">
        <v>1</v>
      </c>
    </row>
    <row r="1528" spans="1:27" s="503" customFormat="1" ht="15.75" customHeight="1">
      <c r="A1528" s="517" t="str">
        <f>IF(B1528&lt;&gt;"",IF(AND(B1528&gt;=_TM1,B1528&lt;=_TM2,OR(TH!L1528="1111",TH!M1528="1111")),TH!D1528,""),"")</f>
        <v/>
      </c>
      <c r="B1528" s="531">
        <f t="shared" si="151"/>
        <v>3</v>
      </c>
      <c r="C1528" s="315">
        <f t="shared" si="152"/>
        <v>42821</v>
      </c>
      <c r="D1528" s="537" t="s">
        <v>988</v>
      </c>
      <c r="E1528" s="288">
        <v>42821</v>
      </c>
      <c r="F1528" s="249" t="s">
        <v>686</v>
      </c>
      <c r="G1528" s="538" t="s">
        <v>609</v>
      </c>
      <c r="H1528" s="473" t="s">
        <v>349</v>
      </c>
      <c r="I1528" s="307">
        <v>3</v>
      </c>
      <c r="J1528" s="307">
        <v>216090</v>
      </c>
      <c r="K1528" s="532">
        <f t="shared" si="154"/>
        <v>648270</v>
      </c>
      <c r="L1528" s="534" t="s">
        <v>292</v>
      </c>
      <c r="M1528" s="534" t="s">
        <v>8</v>
      </c>
      <c r="N1528" s="525" t="str">
        <f>IF(AND('331-CT'!$E$7=TH!H1528,OR(L1528="331",M1528="331")),"331",IF(AND(OR(L1528="131",M1528="131"),H1528='131-CT'!$E$7),"131",""))</f>
        <v/>
      </c>
      <c r="O1528" s="525" t="str">
        <f>IF(AND($B1528&gt;='111'!$N$11,$B1528&lt;='111'!$O$11,OR($L1528=$O$7,$M1528=$O$7)),"x","")</f>
        <v/>
      </c>
      <c r="P1528" s="525" t="str">
        <f>IF(AND($L1528=$O$7,$B1528&lt;'111'!$N$11),"x","")</f>
        <v/>
      </c>
      <c r="Q1528" s="525" t="str">
        <f>IF(AND($M1528=$O$7,$B1528&lt;'111'!$N$11),"x","")</f>
        <v/>
      </c>
      <c r="R1528" s="525" t="str">
        <f>IF(ISERROR(FIND('112'!$M$9,G1528,1)),"",IF((AND(FIND('112'!$M$9,G1528,1)&gt;=1,$B1528&gt;='112'!$N$8,$B1528&lt;='112'!$O$8,OR($L1528='112'!$I$6,$M1528='112'!$I$6))),"x",""))</f>
        <v/>
      </c>
      <c r="S1528" s="525" t="str">
        <f>IF(ISERROR(FIND('112'!$M$9,G1528,1)),"",IF((AND(LEFT(G1528,2)=LEFT('112'!$M$9,2),B1528&lt;'112'!$N$8,$L1528='112'!$I$6)),"x",""))</f>
        <v/>
      </c>
      <c r="T1528" s="525" t="str">
        <f>IF(ISERROR(FIND('112'!$M$9,G1528,1)),"",IF((AND(RIGHT(G1528,2)=RIGHT('112'!$M$9,2),B1528&lt;'112'!$N$8,$M1528='112'!$I$6)),"x",""))</f>
        <v/>
      </c>
      <c r="U1528" s="525" t="str">
        <f>IF(AND(B1528&gt;='IN-NX'!$P$3,B1528&lt;='IN-NX'!$Q$3,'IN-NX'!$D$7=D1528,OR(LEFT(L1528,2)="15",AND(LEFT(M1528,2)&lt;&gt;"15",LEFT(M1528,2)&lt;&gt;"33"))),"x","")</f>
        <v/>
      </c>
      <c r="V1528" s="525" t="str">
        <f>IF(AND(OR(LEFT(TH!L1528,2)="15",LEFT(TH!M1528,2)="15"),'152-CT'!$J$8=TH!F1528),"x","")</f>
        <v/>
      </c>
      <c r="W1528" s="525" t="str">
        <f>IF(AND(OR(LEFT(TH!L1528,2)="15",LEFT(TH!M1528,2)="15"),TK!$E$7=TH!F1528),"x","")</f>
        <v/>
      </c>
      <c r="X1528" s="525" t="str">
        <f>IF(AND('341-CT'!$E$9=H1528,OR(LEFT(L1528,3)=$X$7,LEFT(M1528,3)=$X$7)),"x","")</f>
        <v/>
      </c>
      <c r="Y1528" s="525" t="str">
        <f>IF(OR(TH!L1528=TH!$Y$7,M1528=TH!$Y$7),"x","")</f>
        <v/>
      </c>
      <c r="Z1528" s="525" t="str">
        <f>IF(AND(B1528&lt;=NKC!$N$8,B1528&gt;=NKC!$M$8),"x","")</f>
        <v>x</v>
      </c>
      <c r="AA1528" s="535">
        <v>1</v>
      </c>
    </row>
    <row r="1529" spans="1:27" s="503" customFormat="1" ht="15.75" customHeight="1">
      <c r="A1529" s="517" t="str">
        <f>IF(B1529&lt;&gt;"",IF(AND(B1529&gt;=_TM1,B1529&lt;=_TM2,OR(TH!L1529="1111",TH!M1529="1111")),TH!D1529,""),"")</f>
        <v/>
      </c>
      <c r="B1529" s="531">
        <f t="shared" si="151"/>
        <v>3</v>
      </c>
      <c r="C1529" s="315">
        <f t="shared" si="152"/>
        <v>42821</v>
      </c>
      <c r="D1529" s="537" t="s">
        <v>988</v>
      </c>
      <c r="E1529" s="288">
        <v>42821</v>
      </c>
      <c r="F1529" s="249" t="s">
        <v>645</v>
      </c>
      <c r="G1529" s="538" t="s">
        <v>609</v>
      </c>
      <c r="H1529" s="473" t="s">
        <v>349</v>
      </c>
      <c r="I1529" s="307">
        <v>38</v>
      </c>
      <c r="J1529" s="307">
        <v>130396</v>
      </c>
      <c r="K1529" s="532">
        <f t="shared" si="154"/>
        <v>4955048</v>
      </c>
      <c r="L1529" s="534" t="s">
        <v>292</v>
      </c>
      <c r="M1529" s="534" t="s">
        <v>8</v>
      </c>
      <c r="N1529" s="525" t="str">
        <f>IF(AND('331-CT'!$E$7=TH!H1529,OR(L1529="331",M1529="331")),"331",IF(AND(OR(L1529="131",M1529="131"),H1529='131-CT'!$E$7),"131",""))</f>
        <v/>
      </c>
      <c r="O1529" s="525" t="str">
        <f>IF(AND($B1529&gt;='111'!$N$11,$B1529&lt;='111'!$O$11,OR($L1529=$O$7,$M1529=$O$7)),"x","")</f>
        <v/>
      </c>
      <c r="P1529" s="525" t="str">
        <f>IF(AND($L1529=$O$7,$B1529&lt;'111'!$N$11),"x","")</f>
        <v/>
      </c>
      <c r="Q1529" s="525" t="str">
        <f>IF(AND($M1529=$O$7,$B1529&lt;'111'!$N$11),"x","")</f>
        <v/>
      </c>
      <c r="R1529" s="525" t="str">
        <f>IF(ISERROR(FIND('112'!$M$9,G1529,1)),"",IF((AND(FIND('112'!$M$9,G1529,1)&gt;=1,$B1529&gt;='112'!$N$8,$B1529&lt;='112'!$O$8,OR($L1529='112'!$I$6,$M1529='112'!$I$6))),"x",""))</f>
        <v/>
      </c>
      <c r="S1529" s="525" t="str">
        <f>IF(ISERROR(FIND('112'!$M$9,G1529,1)),"",IF((AND(LEFT(G1529,2)=LEFT('112'!$M$9,2),B1529&lt;'112'!$N$8,$L1529='112'!$I$6)),"x",""))</f>
        <v/>
      </c>
      <c r="T1529" s="525" t="str">
        <f>IF(ISERROR(FIND('112'!$M$9,G1529,1)),"",IF((AND(RIGHT(G1529,2)=RIGHT('112'!$M$9,2),B1529&lt;'112'!$N$8,$M1529='112'!$I$6)),"x",""))</f>
        <v/>
      </c>
      <c r="U1529" s="525" t="str">
        <f>IF(AND(B1529&gt;='IN-NX'!$P$3,B1529&lt;='IN-NX'!$Q$3,'IN-NX'!$D$7=D1529,OR(LEFT(L1529,2)="15",AND(LEFT(M1529,2)&lt;&gt;"15",LEFT(M1529,2)&lt;&gt;"33"))),"x","")</f>
        <v/>
      </c>
      <c r="V1529" s="525" t="str">
        <f>IF(AND(OR(LEFT(TH!L1529,2)="15",LEFT(TH!M1529,2)="15"),'152-CT'!$J$8=TH!F1529),"x","")</f>
        <v/>
      </c>
      <c r="W1529" s="525" t="str">
        <f>IF(AND(OR(LEFT(TH!L1529,2)="15",LEFT(TH!M1529,2)="15"),TK!$E$7=TH!F1529),"x","")</f>
        <v/>
      </c>
      <c r="X1529" s="525" t="str">
        <f>IF(AND('341-CT'!$E$9=H1529,OR(LEFT(L1529,3)=$X$7,LEFT(M1529,3)=$X$7)),"x","")</f>
        <v/>
      </c>
      <c r="Y1529" s="525" t="str">
        <f>IF(OR(TH!L1529=TH!$Y$7,M1529=TH!$Y$7),"x","")</f>
        <v/>
      </c>
      <c r="Z1529" s="525" t="str">
        <f>IF(AND(B1529&lt;=NKC!$N$8,B1529&gt;=NKC!$M$8),"x","")</f>
        <v>x</v>
      </c>
      <c r="AA1529" s="535">
        <v>1</v>
      </c>
    </row>
    <row r="1530" spans="1:27" s="503" customFormat="1" ht="15.75" customHeight="1">
      <c r="A1530" s="517" t="str">
        <f>IF(B1530&lt;&gt;"",IF(AND(B1530&gt;=_TM1,B1530&lt;=_TM2,OR(TH!L1530="1111",TH!M1530="1111")),TH!D1530,""),"")</f>
        <v/>
      </c>
      <c r="B1530" s="531">
        <f t="shared" si="151"/>
        <v>3</v>
      </c>
      <c r="C1530" s="315">
        <f t="shared" si="152"/>
        <v>42821</v>
      </c>
      <c r="D1530" s="537" t="s">
        <v>988</v>
      </c>
      <c r="E1530" s="288">
        <v>42821</v>
      </c>
      <c r="F1530" s="249" t="s">
        <v>797</v>
      </c>
      <c r="G1530" s="538" t="s">
        <v>609</v>
      </c>
      <c r="H1530" s="473" t="s">
        <v>349</v>
      </c>
      <c r="I1530" s="307">
        <v>38</v>
      </c>
      <c r="J1530" s="307">
        <v>41113</v>
      </c>
      <c r="K1530" s="532">
        <f t="shared" si="154"/>
        <v>1562294</v>
      </c>
      <c r="L1530" s="534" t="s">
        <v>292</v>
      </c>
      <c r="M1530" s="534" t="s">
        <v>8</v>
      </c>
      <c r="N1530" s="525" t="str">
        <f>IF(AND('331-CT'!$E$7=TH!H1530,OR(L1530="331",M1530="331")),"331",IF(AND(OR(L1530="131",M1530="131"),H1530='131-CT'!$E$7),"131",""))</f>
        <v/>
      </c>
      <c r="O1530" s="525" t="str">
        <f>IF(AND($B1530&gt;='111'!$N$11,$B1530&lt;='111'!$O$11,OR($L1530=$O$7,$M1530=$O$7)),"x","")</f>
        <v/>
      </c>
      <c r="P1530" s="525" t="str">
        <f>IF(AND($L1530=$O$7,$B1530&lt;'111'!$N$11),"x","")</f>
        <v/>
      </c>
      <c r="Q1530" s="525" t="str">
        <f>IF(AND($M1530=$O$7,$B1530&lt;'111'!$N$11),"x","")</f>
        <v/>
      </c>
      <c r="R1530" s="525" t="str">
        <f>IF(ISERROR(FIND('112'!$M$9,G1530,1)),"",IF((AND(FIND('112'!$M$9,G1530,1)&gt;=1,$B1530&gt;='112'!$N$8,$B1530&lt;='112'!$O$8,OR($L1530='112'!$I$6,$M1530='112'!$I$6))),"x",""))</f>
        <v/>
      </c>
      <c r="S1530" s="525" t="str">
        <f>IF(ISERROR(FIND('112'!$M$9,G1530,1)),"",IF((AND(LEFT(G1530,2)=LEFT('112'!$M$9,2),B1530&lt;'112'!$N$8,$L1530='112'!$I$6)),"x",""))</f>
        <v/>
      </c>
      <c r="T1530" s="525" t="str">
        <f>IF(ISERROR(FIND('112'!$M$9,G1530,1)),"",IF((AND(RIGHT(G1530,2)=RIGHT('112'!$M$9,2),B1530&lt;'112'!$N$8,$M1530='112'!$I$6)),"x",""))</f>
        <v/>
      </c>
      <c r="U1530" s="525" t="str">
        <f>IF(AND(B1530&gt;='IN-NX'!$P$3,B1530&lt;='IN-NX'!$Q$3,'IN-NX'!$D$7=D1530,OR(LEFT(L1530,2)="15",AND(LEFT(M1530,2)&lt;&gt;"15",LEFT(M1530,2)&lt;&gt;"33"))),"x","")</f>
        <v/>
      </c>
      <c r="V1530" s="525" t="str">
        <f>IF(AND(OR(LEFT(TH!L1530,2)="15",LEFT(TH!M1530,2)="15"),'152-CT'!$J$8=TH!F1530),"x","")</f>
        <v/>
      </c>
      <c r="W1530" s="525" t="str">
        <f>IF(AND(OR(LEFT(TH!L1530,2)="15",LEFT(TH!M1530,2)="15"),TK!$E$7=TH!F1530),"x","")</f>
        <v/>
      </c>
      <c r="X1530" s="525" t="str">
        <f>IF(AND('341-CT'!$E$9=H1530,OR(LEFT(L1530,3)=$X$7,LEFT(M1530,3)=$X$7)),"x","")</f>
        <v/>
      </c>
      <c r="Y1530" s="525" t="str">
        <f>IF(OR(TH!L1530=TH!$Y$7,M1530=TH!$Y$7),"x","")</f>
        <v/>
      </c>
      <c r="Z1530" s="525" t="str">
        <f>IF(AND(B1530&lt;=NKC!$N$8,B1530&gt;=NKC!$M$8),"x","")</f>
        <v>x</v>
      </c>
      <c r="AA1530" s="535">
        <v>1</v>
      </c>
    </row>
    <row r="1531" spans="1:27" s="503" customFormat="1" ht="15.75" customHeight="1">
      <c r="A1531" s="517" t="str">
        <f>IF(B1531&lt;&gt;"",IF(AND(B1531&gt;=_TM1,B1531&lt;=_TM2,OR(TH!L1531="1111",TH!M1531="1111")),TH!D1531,""),"")</f>
        <v/>
      </c>
      <c r="B1531" s="531">
        <f t="shared" si="151"/>
        <v>3</v>
      </c>
      <c r="C1531" s="315">
        <f t="shared" si="152"/>
        <v>42821</v>
      </c>
      <c r="D1531" s="537" t="s">
        <v>988</v>
      </c>
      <c r="E1531" s="288">
        <v>42821</v>
      </c>
      <c r="F1531" s="249" t="s">
        <v>680</v>
      </c>
      <c r="G1531" s="538" t="s">
        <v>609</v>
      </c>
      <c r="H1531" s="473" t="s">
        <v>349</v>
      </c>
      <c r="I1531" s="307">
        <v>56</v>
      </c>
      <c r="J1531" s="307">
        <v>78670</v>
      </c>
      <c r="K1531" s="532">
        <f t="shared" si="154"/>
        <v>4405520</v>
      </c>
      <c r="L1531" s="534" t="s">
        <v>292</v>
      </c>
      <c r="M1531" s="534" t="s">
        <v>8</v>
      </c>
      <c r="N1531" s="525" t="str">
        <f>IF(AND('331-CT'!$E$7=TH!H1531,OR(L1531="331",M1531="331")),"331",IF(AND(OR(L1531="131",M1531="131"),H1531='131-CT'!$E$7),"131",""))</f>
        <v/>
      </c>
      <c r="O1531" s="525" t="str">
        <f>IF(AND($B1531&gt;='111'!$N$11,$B1531&lt;='111'!$O$11,OR($L1531=$O$7,$M1531=$O$7)),"x","")</f>
        <v/>
      </c>
      <c r="P1531" s="525" t="str">
        <f>IF(AND($L1531=$O$7,$B1531&lt;'111'!$N$11),"x","")</f>
        <v/>
      </c>
      <c r="Q1531" s="525" t="str">
        <f>IF(AND($M1531=$O$7,$B1531&lt;'111'!$N$11),"x","")</f>
        <v/>
      </c>
      <c r="R1531" s="525" t="str">
        <f>IF(ISERROR(FIND('112'!$M$9,G1531,1)),"",IF((AND(FIND('112'!$M$9,G1531,1)&gt;=1,$B1531&gt;='112'!$N$8,$B1531&lt;='112'!$O$8,OR($L1531='112'!$I$6,$M1531='112'!$I$6))),"x",""))</f>
        <v/>
      </c>
      <c r="S1531" s="525" t="str">
        <f>IF(ISERROR(FIND('112'!$M$9,G1531,1)),"",IF((AND(LEFT(G1531,2)=LEFT('112'!$M$9,2),B1531&lt;'112'!$N$8,$L1531='112'!$I$6)),"x",""))</f>
        <v/>
      </c>
      <c r="T1531" s="525" t="str">
        <f>IF(ISERROR(FIND('112'!$M$9,G1531,1)),"",IF((AND(RIGHT(G1531,2)=RIGHT('112'!$M$9,2),B1531&lt;'112'!$N$8,$M1531='112'!$I$6)),"x",""))</f>
        <v/>
      </c>
      <c r="U1531" s="525" t="str">
        <f>IF(AND(B1531&gt;='IN-NX'!$P$3,B1531&lt;='IN-NX'!$Q$3,'IN-NX'!$D$7=D1531,OR(LEFT(L1531,2)="15",AND(LEFT(M1531,2)&lt;&gt;"15",LEFT(M1531,2)&lt;&gt;"33"))),"x","")</f>
        <v/>
      </c>
      <c r="V1531" s="525" t="str">
        <f>IF(AND(OR(LEFT(TH!L1531,2)="15",LEFT(TH!M1531,2)="15"),'152-CT'!$J$8=TH!F1531),"x","")</f>
        <v/>
      </c>
      <c r="W1531" s="525" t="str">
        <f>IF(AND(OR(LEFT(TH!L1531,2)="15",LEFT(TH!M1531,2)="15"),TK!$E$7=TH!F1531),"x","")</f>
        <v/>
      </c>
      <c r="X1531" s="525" t="str">
        <f>IF(AND('341-CT'!$E$9=H1531,OR(LEFT(L1531,3)=$X$7,LEFT(M1531,3)=$X$7)),"x","")</f>
        <v/>
      </c>
      <c r="Y1531" s="525" t="str">
        <f>IF(OR(TH!L1531=TH!$Y$7,M1531=TH!$Y$7),"x","")</f>
        <v/>
      </c>
      <c r="Z1531" s="525" t="str">
        <f>IF(AND(B1531&lt;=NKC!$N$8,B1531&gt;=NKC!$M$8),"x","")</f>
        <v>x</v>
      </c>
      <c r="AA1531" s="535">
        <v>1</v>
      </c>
    </row>
    <row r="1532" spans="1:27" s="503" customFormat="1" ht="15.75" customHeight="1">
      <c r="A1532" s="517" t="str">
        <f>IF(B1532&lt;&gt;"",IF(AND(B1532&gt;=_TM1,B1532&lt;=_TM2,OR(TH!L1532="1111",TH!M1532="1111")),TH!D1532,""),"")</f>
        <v/>
      </c>
      <c r="B1532" s="531">
        <f t="shared" si="151"/>
        <v>3</v>
      </c>
      <c r="C1532" s="315">
        <f t="shared" si="152"/>
        <v>42821</v>
      </c>
      <c r="D1532" s="537" t="s">
        <v>988</v>
      </c>
      <c r="E1532" s="288">
        <v>42821</v>
      </c>
      <c r="F1532" s="249" t="s">
        <v>625</v>
      </c>
      <c r="G1532" s="538" t="s">
        <v>609</v>
      </c>
      <c r="H1532" s="473" t="s">
        <v>349</v>
      </c>
      <c r="I1532" s="307">
        <v>8</v>
      </c>
      <c r="J1532" s="307">
        <v>37367</v>
      </c>
      <c r="K1532" s="532">
        <f t="shared" si="154"/>
        <v>298936</v>
      </c>
      <c r="L1532" s="534" t="s">
        <v>292</v>
      </c>
      <c r="M1532" s="534" t="s">
        <v>8</v>
      </c>
      <c r="N1532" s="525" t="str">
        <f>IF(AND('331-CT'!$E$7=TH!H1532,OR(L1532="331",M1532="331")),"331",IF(AND(OR(L1532="131",M1532="131"),H1532='131-CT'!$E$7),"131",""))</f>
        <v/>
      </c>
      <c r="O1532" s="525" t="str">
        <f>IF(AND($B1532&gt;='111'!$N$11,$B1532&lt;='111'!$O$11,OR($L1532=$O$7,$M1532=$O$7)),"x","")</f>
        <v/>
      </c>
      <c r="P1532" s="525" t="str">
        <f>IF(AND($L1532=$O$7,$B1532&lt;'111'!$N$11),"x","")</f>
        <v/>
      </c>
      <c r="Q1532" s="525" t="str">
        <f>IF(AND($M1532=$O$7,$B1532&lt;'111'!$N$11),"x","")</f>
        <v/>
      </c>
      <c r="R1532" s="525" t="str">
        <f>IF(ISERROR(FIND('112'!$M$9,G1532,1)),"",IF((AND(FIND('112'!$M$9,G1532,1)&gt;=1,$B1532&gt;='112'!$N$8,$B1532&lt;='112'!$O$8,OR($L1532='112'!$I$6,$M1532='112'!$I$6))),"x",""))</f>
        <v/>
      </c>
      <c r="S1532" s="525" t="str">
        <f>IF(ISERROR(FIND('112'!$M$9,G1532,1)),"",IF((AND(LEFT(G1532,2)=LEFT('112'!$M$9,2),B1532&lt;'112'!$N$8,$L1532='112'!$I$6)),"x",""))</f>
        <v/>
      </c>
      <c r="T1532" s="525" t="str">
        <f>IF(ISERROR(FIND('112'!$M$9,G1532,1)),"",IF((AND(RIGHT(G1532,2)=RIGHT('112'!$M$9,2),B1532&lt;'112'!$N$8,$M1532='112'!$I$6)),"x",""))</f>
        <v/>
      </c>
      <c r="U1532" s="525" t="str">
        <f>IF(AND(B1532&gt;='IN-NX'!$P$3,B1532&lt;='IN-NX'!$Q$3,'IN-NX'!$D$7=D1532,OR(LEFT(L1532,2)="15",AND(LEFT(M1532,2)&lt;&gt;"15",LEFT(M1532,2)&lt;&gt;"33"))),"x","")</f>
        <v/>
      </c>
      <c r="V1532" s="525" t="str">
        <f>IF(AND(OR(LEFT(TH!L1532,2)="15",LEFT(TH!M1532,2)="15"),'152-CT'!$J$8=TH!F1532),"x","")</f>
        <v/>
      </c>
      <c r="W1532" s="525" t="str">
        <f>IF(AND(OR(LEFT(TH!L1532,2)="15",LEFT(TH!M1532,2)="15"),TK!$E$7=TH!F1532),"x","")</f>
        <v/>
      </c>
      <c r="X1532" s="525" t="str">
        <f>IF(AND('341-CT'!$E$9=H1532,OR(LEFT(L1532,3)=$X$7,LEFT(M1532,3)=$X$7)),"x","")</f>
        <v/>
      </c>
      <c r="Y1532" s="525" t="str">
        <f>IF(OR(TH!L1532=TH!$Y$7,M1532=TH!$Y$7),"x","")</f>
        <v/>
      </c>
      <c r="Z1532" s="525" t="str">
        <f>IF(AND(B1532&lt;=NKC!$N$8,B1532&gt;=NKC!$M$8),"x","")</f>
        <v>x</v>
      </c>
      <c r="AA1532" s="535">
        <v>1</v>
      </c>
    </row>
    <row r="1533" spans="1:27" s="503" customFormat="1" ht="15.75" customHeight="1">
      <c r="A1533" s="517" t="str">
        <f>IF(B1533&lt;&gt;"",IF(AND(B1533&gt;=_TM1,B1533&lt;=_TM2,OR(TH!L1533="1111",TH!M1533="1111")),TH!D1533,""),"")</f>
        <v/>
      </c>
      <c r="B1533" s="531">
        <f t="shared" si="151"/>
        <v>3</v>
      </c>
      <c r="C1533" s="315">
        <f t="shared" si="152"/>
        <v>42821</v>
      </c>
      <c r="D1533" s="537" t="s">
        <v>988</v>
      </c>
      <c r="E1533" s="288">
        <v>42821</v>
      </c>
      <c r="F1533" s="249" t="s">
        <v>625</v>
      </c>
      <c r="G1533" s="538" t="s">
        <v>609</v>
      </c>
      <c r="H1533" s="473" t="s">
        <v>349</v>
      </c>
      <c r="I1533" s="307">
        <v>14</v>
      </c>
      <c r="J1533" s="307">
        <v>37367</v>
      </c>
      <c r="K1533" s="532">
        <f t="shared" si="154"/>
        <v>523138</v>
      </c>
      <c r="L1533" s="534" t="s">
        <v>292</v>
      </c>
      <c r="M1533" s="534" t="s">
        <v>8</v>
      </c>
      <c r="N1533" s="525" t="str">
        <f>IF(AND('331-CT'!$E$7=TH!H1533,OR(L1533="331",M1533="331")),"331",IF(AND(OR(L1533="131",M1533="131"),H1533='131-CT'!$E$7),"131",""))</f>
        <v/>
      </c>
      <c r="O1533" s="525" t="str">
        <f>IF(AND($B1533&gt;='111'!$N$11,$B1533&lt;='111'!$O$11,OR($L1533=$O$7,$M1533=$O$7)),"x","")</f>
        <v/>
      </c>
      <c r="P1533" s="525" t="str">
        <f>IF(AND($L1533=$O$7,$B1533&lt;'111'!$N$11),"x","")</f>
        <v/>
      </c>
      <c r="Q1533" s="525" t="str">
        <f>IF(AND($M1533=$O$7,$B1533&lt;'111'!$N$11),"x","")</f>
        <v/>
      </c>
      <c r="R1533" s="525" t="str">
        <f>IF(ISERROR(FIND('112'!$M$9,G1533,1)),"",IF((AND(FIND('112'!$M$9,G1533,1)&gt;=1,$B1533&gt;='112'!$N$8,$B1533&lt;='112'!$O$8,OR($L1533='112'!$I$6,$M1533='112'!$I$6))),"x",""))</f>
        <v/>
      </c>
      <c r="S1533" s="525" t="str">
        <f>IF(ISERROR(FIND('112'!$M$9,G1533,1)),"",IF((AND(LEFT(G1533,2)=LEFT('112'!$M$9,2),B1533&lt;'112'!$N$8,$L1533='112'!$I$6)),"x",""))</f>
        <v/>
      </c>
      <c r="T1533" s="525" t="str">
        <f>IF(ISERROR(FIND('112'!$M$9,G1533,1)),"",IF((AND(RIGHT(G1533,2)=RIGHT('112'!$M$9,2),B1533&lt;'112'!$N$8,$M1533='112'!$I$6)),"x",""))</f>
        <v/>
      </c>
      <c r="U1533" s="525" t="str">
        <f>IF(AND(B1533&gt;='IN-NX'!$P$3,B1533&lt;='IN-NX'!$Q$3,'IN-NX'!$D$7=D1533,OR(LEFT(L1533,2)="15",AND(LEFT(M1533,2)&lt;&gt;"15",LEFT(M1533,2)&lt;&gt;"33"))),"x","")</f>
        <v/>
      </c>
      <c r="V1533" s="525" t="str">
        <f>IF(AND(OR(LEFT(TH!L1533,2)="15",LEFT(TH!M1533,2)="15"),'152-CT'!$J$8=TH!F1533),"x","")</f>
        <v/>
      </c>
      <c r="W1533" s="525" t="str">
        <f>IF(AND(OR(LEFT(TH!L1533,2)="15",LEFT(TH!M1533,2)="15"),TK!$E$7=TH!F1533),"x","")</f>
        <v/>
      </c>
      <c r="X1533" s="525" t="str">
        <f>IF(AND('341-CT'!$E$9=H1533,OR(LEFT(L1533,3)=$X$7,LEFT(M1533,3)=$X$7)),"x","")</f>
        <v/>
      </c>
      <c r="Y1533" s="525" t="str">
        <f>IF(OR(TH!L1533=TH!$Y$7,M1533=TH!$Y$7),"x","")</f>
        <v/>
      </c>
      <c r="Z1533" s="525" t="str">
        <f>IF(AND(B1533&lt;=NKC!$N$8,B1533&gt;=NKC!$M$8),"x","")</f>
        <v>x</v>
      </c>
      <c r="AA1533" s="535">
        <v>1</v>
      </c>
    </row>
    <row r="1534" spans="1:27" s="503" customFormat="1" ht="15.75" customHeight="1">
      <c r="A1534" s="517" t="str">
        <f>IF(B1534&lt;&gt;"",IF(AND(B1534&gt;=_TM1,B1534&lt;=_TM2,OR(TH!L1534="1111",TH!M1534="1111")),TH!D1534,""),"")</f>
        <v/>
      </c>
      <c r="B1534" s="531">
        <f t="shared" si="151"/>
        <v>3</v>
      </c>
      <c r="C1534" s="315">
        <f t="shared" si="152"/>
        <v>42821</v>
      </c>
      <c r="D1534" s="537" t="s">
        <v>988</v>
      </c>
      <c r="E1534" s="288">
        <v>42821</v>
      </c>
      <c r="F1534" s="249" t="s">
        <v>624</v>
      </c>
      <c r="G1534" s="538" t="s">
        <v>609</v>
      </c>
      <c r="H1534" s="473" t="s">
        <v>349</v>
      </c>
      <c r="I1534" s="307">
        <v>12</v>
      </c>
      <c r="J1534" s="307">
        <v>34679</v>
      </c>
      <c r="K1534" s="532">
        <f t="shared" si="154"/>
        <v>416148</v>
      </c>
      <c r="L1534" s="534" t="s">
        <v>292</v>
      </c>
      <c r="M1534" s="534" t="s">
        <v>8</v>
      </c>
      <c r="N1534" s="525" t="str">
        <f>IF(AND('331-CT'!$E$7=TH!H1534,OR(L1534="331",M1534="331")),"331",IF(AND(OR(L1534="131",M1534="131"),H1534='131-CT'!$E$7),"131",""))</f>
        <v/>
      </c>
      <c r="O1534" s="525" t="str">
        <f>IF(AND($B1534&gt;='111'!$N$11,$B1534&lt;='111'!$O$11,OR($L1534=$O$7,$M1534=$O$7)),"x","")</f>
        <v/>
      </c>
      <c r="P1534" s="525" t="str">
        <f>IF(AND($L1534=$O$7,$B1534&lt;'111'!$N$11),"x","")</f>
        <v/>
      </c>
      <c r="Q1534" s="525" t="str">
        <f>IF(AND($M1534=$O$7,$B1534&lt;'111'!$N$11),"x","")</f>
        <v/>
      </c>
      <c r="R1534" s="525" t="str">
        <f>IF(ISERROR(FIND('112'!$M$9,G1534,1)),"",IF((AND(FIND('112'!$M$9,G1534,1)&gt;=1,$B1534&gt;='112'!$N$8,$B1534&lt;='112'!$O$8,OR($L1534='112'!$I$6,$M1534='112'!$I$6))),"x",""))</f>
        <v/>
      </c>
      <c r="S1534" s="525" t="str">
        <f>IF(ISERROR(FIND('112'!$M$9,G1534,1)),"",IF((AND(LEFT(G1534,2)=LEFT('112'!$M$9,2),B1534&lt;'112'!$N$8,$L1534='112'!$I$6)),"x",""))</f>
        <v/>
      </c>
      <c r="T1534" s="525" t="str">
        <f>IF(ISERROR(FIND('112'!$M$9,G1534,1)),"",IF((AND(RIGHT(G1534,2)=RIGHT('112'!$M$9,2),B1534&lt;'112'!$N$8,$M1534='112'!$I$6)),"x",""))</f>
        <v/>
      </c>
      <c r="U1534" s="525" t="str">
        <f>IF(AND(B1534&gt;='IN-NX'!$P$3,B1534&lt;='IN-NX'!$Q$3,'IN-NX'!$D$7=D1534,OR(LEFT(L1534,2)="15",AND(LEFT(M1534,2)&lt;&gt;"15",LEFT(M1534,2)&lt;&gt;"33"))),"x","")</f>
        <v/>
      </c>
      <c r="V1534" s="525" t="str">
        <f>IF(AND(OR(LEFT(TH!L1534,2)="15",LEFT(TH!M1534,2)="15"),'152-CT'!$J$8=TH!F1534),"x","")</f>
        <v/>
      </c>
      <c r="W1534" s="525" t="str">
        <f>IF(AND(OR(LEFT(TH!L1534,2)="15",LEFT(TH!M1534,2)="15"),TK!$E$7=TH!F1534),"x","")</f>
        <v/>
      </c>
      <c r="X1534" s="525" t="str">
        <f>IF(AND('341-CT'!$E$9=H1534,OR(LEFT(L1534,3)=$X$7,LEFT(M1534,3)=$X$7)),"x","")</f>
        <v/>
      </c>
      <c r="Y1534" s="525" t="str">
        <f>IF(OR(TH!L1534=TH!$Y$7,M1534=TH!$Y$7),"x","")</f>
        <v/>
      </c>
      <c r="Z1534" s="525" t="str">
        <f>IF(AND(B1534&lt;=NKC!$N$8,B1534&gt;=NKC!$M$8),"x","")</f>
        <v>x</v>
      </c>
      <c r="AA1534" s="535">
        <v>1</v>
      </c>
    </row>
    <row r="1535" spans="1:27" s="503" customFormat="1" ht="15.75" customHeight="1">
      <c r="A1535" s="517" t="str">
        <f>IF(B1535&lt;&gt;"",IF(AND(B1535&gt;=_TM1,B1535&lt;=_TM2,OR(TH!L1535="1111",TH!M1535="1111")),TH!D1535,""),"")</f>
        <v/>
      </c>
      <c r="B1535" s="531">
        <f t="shared" si="151"/>
        <v>3</v>
      </c>
      <c r="C1535" s="315">
        <f t="shared" si="152"/>
        <v>42821</v>
      </c>
      <c r="D1535" s="537" t="s">
        <v>988</v>
      </c>
      <c r="E1535" s="288">
        <v>42821</v>
      </c>
      <c r="F1535" s="249" t="s">
        <v>624</v>
      </c>
      <c r="G1535" s="538" t="s">
        <v>609</v>
      </c>
      <c r="H1535" s="473" t="s">
        <v>349</v>
      </c>
      <c r="I1535" s="307">
        <v>21</v>
      </c>
      <c r="J1535" s="307">
        <v>34679</v>
      </c>
      <c r="K1535" s="532">
        <f t="shared" si="154"/>
        <v>728259</v>
      </c>
      <c r="L1535" s="534" t="s">
        <v>292</v>
      </c>
      <c r="M1535" s="534" t="s">
        <v>8</v>
      </c>
      <c r="N1535" s="525" t="str">
        <f>IF(AND('331-CT'!$E$7=TH!H1535,OR(L1535="331",M1535="331")),"331",IF(AND(OR(L1535="131",M1535="131"),H1535='131-CT'!$E$7),"131",""))</f>
        <v/>
      </c>
      <c r="O1535" s="525" t="str">
        <f>IF(AND($B1535&gt;='111'!$N$11,$B1535&lt;='111'!$O$11,OR($L1535=$O$7,$M1535=$O$7)),"x","")</f>
        <v/>
      </c>
      <c r="P1535" s="525" t="str">
        <f>IF(AND($L1535=$O$7,$B1535&lt;'111'!$N$11),"x","")</f>
        <v/>
      </c>
      <c r="Q1535" s="525" t="str">
        <f>IF(AND($M1535=$O$7,$B1535&lt;'111'!$N$11),"x","")</f>
        <v/>
      </c>
      <c r="R1535" s="525" t="str">
        <f>IF(ISERROR(FIND('112'!$M$9,G1535,1)),"",IF((AND(FIND('112'!$M$9,G1535,1)&gt;=1,$B1535&gt;='112'!$N$8,$B1535&lt;='112'!$O$8,OR($L1535='112'!$I$6,$M1535='112'!$I$6))),"x",""))</f>
        <v/>
      </c>
      <c r="S1535" s="525" t="str">
        <f>IF(ISERROR(FIND('112'!$M$9,G1535,1)),"",IF((AND(LEFT(G1535,2)=LEFT('112'!$M$9,2),B1535&lt;'112'!$N$8,$L1535='112'!$I$6)),"x",""))</f>
        <v/>
      </c>
      <c r="T1535" s="525" t="str">
        <f>IF(ISERROR(FIND('112'!$M$9,G1535,1)),"",IF((AND(RIGHT(G1535,2)=RIGHT('112'!$M$9,2),B1535&lt;'112'!$N$8,$M1535='112'!$I$6)),"x",""))</f>
        <v/>
      </c>
      <c r="U1535" s="525" t="str">
        <f>IF(AND(B1535&gt;='IN-NX'!$P$3,B1535&lt;='IN-NX'!$Q$3,'IN-NX'!$D$7=D1535,OR(LEFT(L1535,2)="15",AND(LEFT(M1535,2)&lt;&gt;"15",LEFT(M1535,2)&lt;&gt;"33"))),"x","")</f>
        <v/>
      </c>
      <c r="V1535" s="525" t="str">
        <f>IF(AND(OR(LEFT(TH!L1535,2)="15",LEFT(TH!M1535,2)="15"),'152-CT'!$J$8=TH!F1535),"x","")</f>
        <v/>
      </c>
      <c r="W1535" s="525" t="str">
        <f>IF(AND(OR(LEFT(TH!L1535,2)="15",LEFT(TH!M1535,2)="15"),TK!$E$7=TH!F1535),"x","")</f>
        <v/>
      </c>
      <c r="X1535" s="525" t="str">
        <f>IF(AND('341-CT'!$E$9=H1535,OR(LEFT(L1535,3)=$X$7,LEFT(M1535,3)=$X$7)),"x","")</f>
        <v/>
      </c>
      <c r="Y1535" s="525" t="str">
        <f>IF(OR(TH!L1535=TH!$Y$7,M1535=TH!$Y$7),"x","")</f>
        <v/>
      </c>
      <c r="Z1535" s="525" t="str">
        <f>IF(AND(B1535&lt;=NKC!$N$8,B1535&gt;=NKC!$M$8),"x","")</f>
        <v>x</v>
      </c>
      <c r="AA1535" s="535">
        <v>1</v>
      </c>
    </row>
    <row r="1536" spans="1:27" s="503" customFormat="1" ht="15.75" customHeight="1">
      <c r="A1536" s="517" t="str">
        <f>IF(B1536&lt;&gt;"",IF(AND(B1536&gt;=_TM1,B1536&lt;=_TM2,OR(TH!L1536="1111",TH!M1536="1111")),TH!D1536,""),"")</f>
        <v/>
      </c>
      <c r="B1536" s="531">
        <f t="shared" si="151"/>
        <v>3</v>
      </c>
      <c r="C1536" s="315">
        <f t="shared" si="152"/>
        <v>42821</v>
      </c>
      <c r="D1536" s="537" t="s">
        <v>988</v>
      </c>
      <c r="E1536" s="288">
        <v>42821</v>
      </c>
      <c r="F1536" s="249" t="s">
        <v>798</v>
      </c>
      <c r="G1536" s="538" t="s">
        <v>609</v>
      </c>
      <c r="H1536" s="473" t="s">
        <v>349</v>
      </c>
      <c r="I1536" s="307">
        <v>20</v>
      </c>
      <c r="J1536" s="307">
        <v>75821</v>
      </c>
      <c r="K1536" s="532">
        <f t="shared" si="154"/>
        <v>1516420</v>
      </c>
      <c r="L1536" s="534" t="s">
        <v>292</v>
      </c>
      <c r="M1536" s="534" t="s">
        <v>8</v>
      </c>
      <c r="N1536" s="525" t="str">
        <f>IF(AND('331-CT'!$E$7=TH!H1536,OR(L1536="331",M1536="331")),"331",IF(AND(OR(L1536="131",M1536="131"),H1536='131-CT'!$E$7),"131",""))</f>
        <v/>
      </c>
      <c r="O1536" s="525" t="str">
        <f>IF(AND($B1536&gt;='111'!$N$11,$B1536&lt;='111'!$O$11,OR($L1536=$O$7,$M1536=$O$7)),"x","")</f>
        <v/>
      </c>
      <c r="P1536" s="525" t="str">
        <f>IF(AND($L1536=$O$7,$B1536&lt;'111'!$N$11),"x","")</f>
        <v/>
      </c>
      <c r="Q1536" s="525" t="str">
        <f>IF(AND($M1536=$O$7,$B1536&lt;'111'!$N$11),"x","")</f>
        <v/>
      </c>
      <c r="R1536" s="525" t="str">
        <f>IF(ISERROR(FIND('112'!$M$9,G1536,1)),"",IF((AND(FIND('112'!$M$9,G1536,1)&gt;=1,$B1536&gt;='112'!$N$8,$B1536&lt;='112'!$O$8,OR($L1536='112'!$I$6,$M1536='112'!$I$6))),"x",""))</f>
        <v/>
      </c>
      <c r="S1536" s="525" t="str">
        <f>IF(ISERROR(FIND('112'!$M$9,G1536,1)),"",IF((AND(LEFT(G1536,2)=LEFT('112'!$M$9,2),B1536&lt;'112'!$N$8,$L1536='112'!$I$6)),"x",""))</f>
        <v/>
      </c>
      <c r="T1536" s="525" t="str">
        <f>IF(ISERROR(FIND('112'!$M$9,G1536,1)),"",IF((AND(RIGHT(G1536,2)=RIGHT('112'!$M$9,2),B1536&lt;'112'!$N$8,$M1536='112'!$I$6)),"x",""))</f>
        <v/>
      </c>
      <c r="U1536" s="525" t="str">
        <f>IF(AND(B1536&gt;='IN-NX'!$P$3,B1536&lt;='IN-NX'!$Q$3,'IN-NX'!$D$7=D1536,OR(LEFT(L1536,2)="15",AND(LEFT(M1536,2)&lt;&gt;"15",LEFT(M1536,2)&lt;&gt;"33"))),"x","")</f>
        <v/>
      </c>
      <c r="V1536" s="525" t="str">
        <f>IF(AND(OR(LEFT(TH!L1536,2)="15",LEFT(TH!M1536,2)="15"),'152-CT'!$J$8=TH!F1536),"x","")</f>
        <v/>
      </c>
      <c r="W1536" s="525" t="str">
        <f>IF(AND(OR(LEFT(TH!L1536,2)="15",LEFT(TH!M1536,2)="15"),TK!$E$7=TH!F1536),"x","")</f>
        <v/>
      </c>
      <c r="X1536" s="525" t="str">
        <f>IF(AND('341-CT'!$E$9=H1536,OR(LEFT(L1536,3)=$X$7,LEFT(M1536,3)=$X$7)),"x","")</f>
        <v/>
      </c>
      <c r="Y1536" s="525" t="str">
        <f>IF(OR(TH!L1536=TH!$Y$7,M1536=TH!$Y$7),"x","")</f>
        <v/>
      </c>
      <c r="Z1536" s="525" t="str">
        <f>IF(AND(B1536&lt;=NKC!$N$8,B1536&gt;=NKC!$M$8),"x","")</f>
        <v>x</v>
      </c>
      <c r="AA1536" s="535">
        <v>1</v>
      </c>
    </row>
    <row r="1537" spans="1:27" s="503" customFormat="1" ht="15.75" customHeight="1">
      <c r="A1537" s="517" t="str">
        <f>IF(B1537&lt;&gt;"",IF(AND(B1537&gt;=_TM1,B1537&lt;=_TM2,OR(TH!L1537="1111",TH!M1537="1111")),TH!D1537,""),"")</f>
        <v/>
      </c>
      <c r="B1537" s="531">
        <f t="shared" si="151"/>
        <v>3</v>
      </c>
      <c r="C1537" s="315">
        <f t="shared" si="152"/>
        <v>42821</v>
      </c>
      <c r="D1537" s="537" t="s">
        <v>988</v>
      </c>
      <c r="E1537" s="288">
        <v>42821</v>
      </c>
      <c r="F1537" s="249" t="s">
        <v>687</v>
      </c>
      <c r="G1537" s="538" t="s">
        <v>609</v>
      </c>
      <c r="H1537" s="473" t="s">
        <v>349</v>
      </c>
      <c r="I1537" s="307">
        <v>8</v>
      </c>
      <c r="J1537" s="307">
        <v>41340</v>
      </c>
      <c r="K1537" s="532">
        <f t="shared" si="154"/>
        <v>330720</v>
      </c>
      <c r="L1537" s="534" t="s">
        <v>292</v>
      </c>
      <c r="M1537" s="534" t="s">
        <v>8</v>
      </c>
      <c r="N1537" s="525" t="str">
        <f>IF(AND('331-CT'!$E$7=TH!H1537,OR(L1537="331",M1537="331")),"331",IF(AND(OR(L1537="131",M1537="131"),H1537='131-CT'!$E$7),"131",""))</f>
        <v/>
      </c>
      <c r="O1537" s="525" t="str">
        <f>IF(AND($B1537&gt;='111'!$N$11,$B1537&lt;='111'!$O$11,OR($L1537=$O$7,$M1537=$O$7)),"x","")</f>
        <v/>
      </c>
      <c r="P1537" s="525" t="str">
        <f>IF(AND($L1537=$O$7,$B1537&lt;'111'!$N$11),"x","")</f>
        <v/>
      </c>
      <c r="Q1537" s="525" t="str">
        <f>IF(AND($M1537=$O$7,$B1537&lt;'111'!$N$11),"x","")</f>
        <v/>
      </c>
      <c r="R1537" s="525" t="str">
        <f>IF(ISERROR(FIND('112'!$M$9,G1537,1)),"",IF((AND(FIND('112'!$M$9,G1537,1)&gt;=1,$B1537&gt;='112'!$N$8,$B1537&lt;='112'!$O$8,OR($L1537='112'!$I$6,$M1537='112'!$I$6))),"x",""))</f>
        <v/>
      </c>
      <c r="S1537" s="525" t="str">
        <f>IF(ISERROR(FIND('112'!$M$9,G1537,1)),"",IF((AND(LEFT(G1537,2)=LEFT('112'!$M$9,2),B1537&lt;'112'!$N$8,$L1537='112'!$I$6)),"x",""))</f>
        <v/>
      </c>
      <c r="T1537" s="525" t="str">
        <f>IF(ISERROR(FIND('112'!$M$9,G1537,1)),"",IF((AND(RIGHT(G1537,2)=RIGHT('112'!$M$9,2),B1537&lt;'112'!$N$8,$M1537='112'!$I$6)),"x",""))</f>
        <v/>
      </c>
      <c r="U1537" s="525" t="str">
        <f>IF(AND(B1537&gt;='IN-NX'!$P$3,B1537&lt;='IN-NX'!$Q$3,'IN-NX'!$D$7=D1537,OR(LEFT(L1537,2)="15",AND(LEFT(M1537,2)&lt;&gt;"15",LEFT(M1537,2)&lt;&gt;"33"))),"x","")</f>
        <v/>
      </c>
      <c r="V1537" s="525" t="str">
        <f>IF(AND(OR(LEFT(TH!L1537,2)="15",LEFT(TH!M1537,2)="15"),'152-CT'!$J$8=TH!F1537),"x","")</f>
        <v/>
      </c>
      <c r="W1537" s="525" t="str">
        <f>IF(AND(OR(LEFT(TH!L1537,2)="15",LEFT(TH!M1537,2)="15"),TK!$E$7=TH!F1537),"x","")</f>
        <v/>
      </c>
      <c r="X1537" s="525" t="str">
        <f>IF(AND('341-CT'!$E$9=H1537,OR(LEFT(L1537,3)=$X$7,LEFT(M1537,3)=$X$7)),"x","")</f>
        <v/>
      </c>
      <c r="Y1537" s="525" t="str">
        <f>IF(OR(TH!L1537=TH!$Y$7,M1537=TH!$Y$7),"x","")</f>
        <v/>
      </c>
      <c r="Z1537" s="525" t="str">
        <f>IF(AND(B1537&lt;=NKC!$N$8,B1537&gt;=NKC!$M$8),"x","")</f>
        <v>x</v>
      </c>
      <c r="AA1537" s="535">
        <v>1</v>
      </c>
    </row>
    <row r="1538" spans="1:27" s="503" customFormat="1" ht="15.75" customHeight="1">
      <c r="A1538" s="517" t="str">
        <f>IF(B1538&lt;&gt;"",IF(AND(B1538&gt;=_TM1,B1538&lt;=_TM2,OR(TH!L1538="1111",TH!M1538="1111")),TH!D1538,""),"")</f>
        <v/>
      </c>
      <c r="B1538" s="531">
        <f t="shared" si="151"/>
        <v>3</v>
      </c>
      <c r="C1538" s="315">
        <f t="shared" si="152"/>
        <v>42821</v>
      </c>
      <c r="D1538" s="537" t="s">
        <v>988</v>
      </c>
      <c r="E1538" s="288">
        <v>42821</v>
      </c>
      <c r="F1538" s="249" t="s">
        <v>687</v>
      </c>
      <c r="G1538" s="538" t="s">
        <v>609</v>
      </c>
      <c r="H1538" s="473" t="s">
        <v>349</v>
      </c>
      <c r="I1538" s="307">
        <v>6</v>
      </c>
      <c r="J1538" s="307">
        <v>41340</v>
      </c>
      <c r="K1538" s="532">
        <f t="shared" si="154"/>
        <v>248040</v>
      </c>
      <c r="L1538" s="534" t="s">
        <v>292</v>
      </c>
      <c r="M1538" s="534" t="s">
        <v>8</v>
      </c>
      <c r="N1538" s="525" t="str">
        <f>IF(AND('331-CT'!$E$7=TH!H1538,OR(L1538="331",M1538="331")),"331",IF(AND(OR(L1538="131",M1538="131"),H1538='131-CT'!$E$7),"131",""))</f>
        <v/>
      </c>
      <c r="O1538" s="525" t="str">
        <f>IF(AND($B1538&gt;='111'!$N$11,$B1538&lt;='111'!$O$11,OR($L1538=$O$7,$M1538=$O$7)),"x","")</f>
        <v/>
      </c>
      <c r="P1538" s="525" t="str">
        <f>IF(AND($L1538=$O$7,$B1538&lt;'111'!$N$11),"x","")</f>
        <v/>
      </c>
      <c r="Q1538" s="525" t="str">
        <f>IF(AND($M1538=$O$7,$B1538&lt;'111'!$N$11),"x","")</f>
        <v/>
      </c>
      <c r="R1538" s="525" t="str">
        <f>IF(ISERROR(FIND('112'!$M$9,G1538,1)),"",IF((AND(FIND('112'!$M$9,G1538,1)&gt;=1,$B1538&gt;='112'!$N$8,$B1538&lt;='112'!$O$8,OR($L1538='112'!$I$6,$M1538='112'!$I$6))),"x",""))</f>
        <v/>
      </c>
      <c r="S1538" s="525" t="str">
        <f>IF(ISERROR(FIND('112'!$M$9,G1538,1)),"",IF((AND(LEFT(G1538,2)=LEFT('112'!$M$9,2),B1538&lt;'112'!$N$8,$L1538='112'!$I$6)),"x",""))</f>
        <v/>
      </c>
      <c r="T1538" s="525" t="str">
        <f>IF(ISERROR(FIND('112'!$M$9,G1538,1)),"",IF((AND(RIGHT(G1538,2)=RIGHT('112'!$M$9,2),B1538&lt;'112'!$N$8,$M1538='112'!$I$6)),"x",""))</f>
        <v/>
      </c>
      <c r="U1538" s="525" t="str">
        <f>IF(AND(B1538&gt;='IN-NX'!$P$3,B1538&lt;='IN-NX'!$Q$3,'IN-NX'!$D$7=D1538,OR(LEFT(L1538,2)="15",AND(LEFT(M1538,2)&lt;&gt;"15",LEFT(M1538,2)&lt;&gt;"33"))),"x","")</f>
        <v/>
      </c>
      <c r="V1538" s="525" t="str">
        <f>IF(AND(OR(LEFT(TH!L1538,2)="15",LEFT(TH!M1538,2)="15"),'152-CT'!$J$8=TH!F1538),"x","")</f>
        <v/>
      </c>
      <c r="W1538" s="525" t="str">
        <f>IF(AND(OR(LEFT(TH!L1538,2)="15",LEFT(TH!M1538,2)="15"),TK!$E$7=TH!F1538),"x","")</f>
        <v/>
      </c>
      <c r="X1538" s="525" t="str">
        <f>IF(AND('341-CT'!$E$9=H1538,OR(LEFT(L1538,3)=$X$7,LEFT(M1538,3)=$X$7)),"x","")</f>
        <v/>
      </c>
      <c r="Y1538" s="525" t="str">
        <f>IF(OR(TH!L1538=TH!$Y$7,M1538=TH!$Y$7),"x","")</f>
        <v/>
      </c>
      <c r="Z1538" s="525" t="str">
        <f>IF(AND(B1538&lt;=NKC!$N$8,B1538&gt;=NKC!$M$8),"x","")</f>
        <v>x</v>
      </c>
      <c r="AA1538" s="535">
        <v>1</v>
      </c>
    </row>
    <row r="1539" spans="1:27" s="503" customFormat="1" ht="15.75" customHeight="1">
      <c r="A1539" s="517" t="str">
        <f>IF(B1539&lt;&gt;"",IF(AND(B1539&gt;=_TM1,B1539&lt;=_TM2,OR(TH!L1539="1111",TH!M1539="1111")),TH!D1539,""),"")</f>
        <v/>
      </c>
      <c r="B1539" s="531">
        <f t="shared" si="151"/>
        <v>3</v>
      </c>
      <c r="C1539" s="315">
        <f t="shared" si="152"/>
        <v>42821</v>
      </c>
      <c r="D1539" s="537" t="s">
        <v>988</v>
      </c>
      <c r="E1539" s="288">
        <v>42821</v>
      </c>
      <c r="F1539" s="249" t="s">
        <v>629</v>
      </c>
      <c r="G1539" s="538" t="s">
        <v>609</v>
      </c>
      <c r="H1539" s="473" t="s">
        <v>349</v>
      </c>
      <c r="I1539" s="307">
        <v>32</v>
      </c>
      <c r="J1539" s="307">
        <v>24752</v>
      </c>
      <c r="K1539" s="532">
        <f t="shared" si="154"/>
        <v>792064</v>
      </c>
      <c r="L1539" s="534" t="s">
        <v>292</v>
      </c>
      <c r="M1539" s="534" t="s">
        <v>8</v>
      </c>
      <c r="N1539" s="525" t="str">
        <f>IF(AND('331-CT'!$E$7=TH!H1539,OR(L1539="331",M1539="331")),"331",IF(AND(OR(L1539="131",M1539="131"),H1539='131-CT'!$E$7),"131",""))</f>
        <v/>
      </c>
      <c r="O1539" s="525" t="str">
        <f>IF(AND($B1539&gt;='111'!$N$11,$B1539&lt;='111'!$O$11,OR($L1539=$O$7,$M1539=$O$7)),"x","")</f>
        <v/>
      </c>
      <c r="P1539" s="525" t="str">
        <f>IF(AND($L1539=$O$7,$B1539&lt;'111'!$N$11),"x","")</f>
        <v/>
      </c>
      <c r="Q1539" s="525" t="str">
        <f>IF(AND($M1539=$O$7,$B1539&lt;'111'!$N$11),"x","")</f>
        <v/>
      </c>
      <c r="R1539" s="525" t="str">
        <f>IF(ISERROR(FIND('112'!$M$9,G1539,1)),"",IF((AND(FIND('112'!$M$9,G1539,1)&gt;=1,$B1539&gt;='112'!$N$8,$B1539&lt;='112'!$O$8,OR($L1539='112'!$I$6,$M1539='112'!$I$6))),"x",""))</f>
        <v/>
      </c>
      <c r="S1539" s="525" t="str">
        <f>IF(ISERROR(FIND('112'!$M$9,G1539,1)),"",IF((AND(LEFT(G1539,2)=LEFT('112'!$M$9,2),B1539&lt;'112'!$N$8,$L1539='112'!$I$6)),"x",""))</f>
        <v/>
      </c>
      <c r="T1539" s="525" t="str">
        <f>IF(ISERROR(FIND('112'!$M$9,G1539,1)),"",IF((AND(RIGHT(G1539,2)=RIGHT('112'!$M$9,2),B1539&lt;'112'!$N$8,$M1539='112'!$I$6)),"x",""))</f>
        <v/>
      </c>
      <c r="U1539" s="525" t="str">
        <f>IF(AND(B1539&gt;='IN-NX'!$P$3,B1539&lt;='IN-NX'!$Q$3,'IN-NX'!$D$7=D1539,OR(LEFT(L1539,2)="15",AND(LEFT(M1539,2)&lt;&gt;"15",LEFT(M1539,2)&lt;&gt;"33"))),"x","")</f>
        <v/>
      </c>
      <c r="V1539" s="525" t="str">
        <f>IF(AND(OR(LEFT(TH!L1539,2)="15",LEFT(TH!M1539,2)="15"),'152-CT'!$J$8=TH!F1539),"x","")</f>
        <v/>
      </c>
      <c r="W1539" s="525" t="str">
        <f>IF(AND(OR(LEFT(TH!L1539,2)="15",LEFT(TH!M1539,2)="15"),TK!$E$7=TH!F1539),"x","")</f>
        <v/>
      </c>
      <c r="X1539" s="525" t="str">
        <f>IF(AND('341-CT'!$E$9=H1539,OR(LEFT(L1539,3)=$X$7,LEFT(M1539,3)=$X$7)),"x","")</f>
        <v/>
      </c>
      <c r="Y1539" s="525" t="str">
        <f>IF(OR(TH!L1539=TH!$Y$7,M1539=TH!$Y$7),"x","")</f>
        <v/>
      </c>
      <c r="Z1539" s="525" t="str">
        <f>IF(AND(B1539&lt;=NKC!$N$8,B1539&gt;=NKC!$M$8),"x","")</f>
        <v>x</v>
      </c>
      <c r="AA1539" s="535">
        <v>1</v>
      </c>
    </row>
    <row r="1540" spans="1:27" s="503" customFormat="1" ht="15.75" customHeight="1">
      <c r="A1540" s="517" t="str">
        <f>IF(B1540&lt;&gt;"",IF(AND(B1540&gt;=_TM1,B1540&lt;=_TM2,OR(TH!L1540="1111",TH!M1540="1111")),TH!D1540,""),"")</f>
        <v/>
      </c>
      <c r="B1540" s="531">
        <f t="shared" si="151"/>
        <v>3</v>
      </c>
      <c r="C1540" s="315">
        <f t="shared" si="152"/>
        <v>42821</v>
      </c>
      <c r="D1540" s="537" t="s">
        <v>989</v>
      </c>
      <c r="E1540" s="288">
        <v>42821</v>
      </c>
      <c r="F1540" s="249" t="s">
        <v>629</v>
      </c>
      <c r="G1540" s="538" t="s">
        <v>609</v>
      </c>
      <c r="H1540" s="473" t="s">
        <v>349</v>
      </c>
      <c r="I1540" s="307">
        <v>62</v>
      </c>
      <c r="J1540" s="307">
        <v>24752</v>
      </c>
      <c r="K1540" s="532">
        <f t="shared" si="154"/>
        <v>1534624</v>
      </c>
      <c r="L1540" s="534" t="s">
        <v>292</v>
      </c>
      <c r="M1540" s="534" t="s">
        <v>8</v>
      </c>
      <c r="N1540" s="525" t="str">
        <f>IF(AND('331-CT'!$E$7=TH!H1540,OR(L1540="331",M1540="331")),"331",IF(AND(OR(L1540="131",M1540="131"),H1540='131-CT'!$E$7),"131",""))</f>
        <v/>
      </c>
      <c r="O1540" s="525" t="str">
        <f>IF(AND($B1540&gt;='111'!$N$11,$B1540&lt;='111'!$O$11,OR($L1540=$O$7,$M1540=$O$7)),"x","")</f>
        <v/>
      </c>
      <c r="P1540" s="525" t="str">
        <f>IF(AND($L1540=$O$7,$B1540&lt;'111'!$N$11),"x","")</f>
        <v/>
      </c>
      <c r="Q1540" s="525" t="str">
        <f>IF(AND($M1540=$O$7,$B1540&lt;'111'!$N$11),"x","")</f>
        <v/>
      </c>
      <c r="R1540" s="525" t="str">
        <f>IF(ISERROR(FIND('112'!$M$9,G1540,1)),"",IF((AND(FIND('112'!$M$9,G1540,1)&gt;=1,$B1540&gt;='112'!$N$8,$B1540&lt;='112'!$O$8,OR($L1540='112'!$I$6,$M1540='112'!$I$6))),"x",""))</f>
        <v/>
      </c>
      <c r="S1540" s="525" t="str">
        <f>IF(ISERROR(FIND('112'!$M$9,G1540,1)),"",IF((AND(LEFT(G1540,2)=LEFT('112'!$M$9,2),B1540&lt;'112'!$N$8,$L1540='112'!$I$6)),"x",""))</f>
        <v/>
      </c>
      <c r="T1540" s="525" t="str">
        <f>IF(ISERROR(FIND('112'!$M$9,G1540,1)),"",IF((AND(RIGHT(G1540,2)=RIGHT('112'!$M$9,2),B1540&lt;'112'!$N$8,$M1540='112'!$I$6)),"x",""))</f>
        <v/>
      </c>
      <c r="U1540" s="525" t="str">
        <f>IF(AND(B1540&gt;='IN-NX'!$P$3,B1540&lt;='IN-NX'!$Q$3,'IN-NX'!$D$7=D1540,OR(LEFT(L1540,2)="15",AND(LEFT(M1540,2)&lt;&gt;"15",LEFT(M1540,2)&lt;&gt;"33"))),"x","")</f>
        <v/>
      </c>
      <c r="V1540" s="525" t="str">
        <f>IF(AND(OR(LEFT(TH!L1540,2)="15",LEFT(TH!M1540,2)="15"),'152-CT'!$J$8=TH!F1540),"x","")</f>
        <v/>
      </c>
      <c r="W1540" s="525" t="str">
        <f>IF(AND(OR(LEFT(TH!L1540,2)="15",LEFT(TH!M1540,2)="15"),TK!$E$7=TH!F1540),"x","")</f>
        <v/>
      </c>
      <c r="X1540" s="525" t="str">
        <f>IF(AND('341-CT'!$E$9=H1540,OR(LEFT(L1540,3)=$X$7,LEFT(M1540,3)=$X$7)),"x","")</f>
        <v/>
      </c>
      <c r="Y1540" s="525" t="str">
        <f>IF(OR(TH!L1540=TH!$Y$7,M1540=TH!$Y$7),"x","")</f>
        <v/>
      </c>
      <c r="Z1540" s="525" t="str">
        <f>IF(AND(B1540&lt;=NKC!$N$8,B1540&gt;=NKC!$M$8),"x","")</f>
        <v>x</v>
      </c>
      <c r="AA1540" s="535">
        <v>1</v>
      </c>
    </row>
    <row r="1541" spans="1:27" s="503" customFormat="1" ht="15.75" customHeight="1">
      <c r="A1541" s="517" t="str">
        <f>IF(B1541&lt;&gt;"",IF(AND(B1541&gt;=_TM1,B1541&lt;=_TM2,OR(TH!L1541="1111",TH!M1541="1111")),TH!D1541,""),"")</f>
        <v/>
      </c>
      <c r="B1541" s="531">
        <f t="shared" si="151"/>
        <v>3</v>
      </c>
      <c r="C1541" s="315">
        <f t="shared" si="152"/>
        <v>42821</v>
      </c>
      <c r="D1541" s="537" t="s">
        <v>989</v>
      </c>
      <c r="E1541" s="288">
        <v>42821</v>
      </c>
      <c r="F1541" s="249" t="s">
        <v>760</v>
      </c>
      <c r="G1541" s="538" t="s">
        <v>609</v>
      </c>
      <c r="H1541" s="473" t="s">
        <v>349</v>
      </c>
      <c r="I1541" s="307">
        <v>10</v>
      </c>
      <c r="J1541" s="307">
        <v>26300</v>
      </c>
      <c r="K1541" s="532">
        <f t="shared" si="154"/>
        <v>263000</v>
      </c>
      <c r="L1541" s="534" t="s">
        <v>292</v>
      </c>
      <c r="M1541" s="534" t="s">
        <v>8</v>
      </c>
      <c r="N1541" s="525" t="str">
        <f>IF(AND('331-CT'!$E$7=TH!H1541,OR(L1541="331",M1541="331")),"331",IF(AND(OR(L1541="131",M1541="131"),H1541='131-CT'!$E$7),"131",""))</f>
        <v/>
      </c>
      <c r="O1541" s="525" t="str">
        <f>IF(AND($B1541&gt;='111'!$N$11,$B1541&lt;='111'!$O$11,OR($L1541=$O$7,$M1541=$O$7)),"x","")</f>
        <v/>
      </c>
      <c r="P1541" s="525" t="str">
        <f>IF(AND($L1541=$O$7,$B1541&lt;'111'!$N$11),"x","")</f>
        <v/>
      </c>
      <c r="Q1541" s="525" t="str">
        <f>IF(AND($M1541=$O$7,$B1541&lt;'111'!$N$11),"x","")</f>
        <v/>
      </c>
      <c r="R1541" s="525" t="str">
        <f>IF(ISERROR(FIND('112'!$M$9,G1541,1)),"",IF((AND(FIND('112'!$M$9,G1541,1)&gt;=1,$B1541&gt;='112'!$N$8,$B1541&lt;='112'!$O$8,OR($L1541='112'!$I$6,$M1541='112'!$I$6))),"x",""))</f>
        <v/>
      </c>
      <c r="S1541" s="525" t="str">
        <f>IF(ISERROR(FIND('112'!$M$9,G1541,1)),"",IF((AND(LEFT(G1541,2)=LEFT('112'!$M$9,2),B1541&lt;'112'!$N$8,$L1541='112'!$I$6)),"x",""))</f>
        <v/>
      </c>
      <c r="T1541" s="525" t="str">
        <f>IF(ISERROR(FIND('112'!$M$9,G1541,1)),"",IF((AND(RIGHT(G1541,2)=RIGHT('112'!$M$9,2),B1541&lt;'112'!$N$8,$M1541='112'!$I$6)),"x",""))</f>
        <v/>
      </c>
      <c r="U1541" s="525" t="str">
        <f>IF(AND(B1541&gt;='IN-NX'!$P$3,B1541&lt;='IN-NX'!$Q$3,'IN-NX'!$D$7=D1541,OR(LEFT(L1541,2)="15",AND(LEFT(M1541,2)&lt;&gt;"15",LEFT(M1541,2)&lt;&gt;"33"))),"x","")</f>
        <v/>
      </c>
      <c r="V1541" s="525" t="str">
        <f>IF(AND(OR(LEFT(TH!L1541,2)="15",LEFT(TH!M1541,2)="15"),'152-CT'!$J$8=TH!F1541),"x","")</f>
        <v/>
      </c>
      <c r="W1541" s="525" t="str">
        <f>IF(AND(OR(LEFT(TH!L1541,2)="15",LEFT(TH!M1541,2)="15"),TK!$E$7=TH!F1541),"x","")</f>
        <v/>
      </c>
      <c r="X1541" s="525" t="str">
        <f>IF(AND('341-CT'!$E$9=H1541,OR(LEFT(L1541,3)=$X$7,LEFT(M1541,3)=$X$7)),"x","")</f>
        <v/>
      </c>
      <c r="Y1541" s="525" t="str">
        <f>IF(OR(TH!L1541=TH!$Y$7,M1541=TH!$Y$7),"x","")</f>
        <v/>
      </c>
      <c r="Z1541" s="525" t="str">
        <f>IF(AND(B1541&lt;=NKC!$N$8,B1541&gt;=NKC!$M$8),"x","")</f>
        <v>x</v>
      </c>
      <c r="AA1541" s="535">
        <v>1</v>
      </c>
    </row>
    <row r="1542" spans="1:27" s="503" customFormat="1" ht="15.75" customHeight="1">
      <c r="A1542" s="517" t="str">
        <f>IF(B1542&lt;&gt;"",IF(AND(B1542&gt;=_TM1,B1542&lt;=_TM2,OR(TH!L1542="1111",TH!M1542="1111")),TH!D1542,""),"")</f>
        <v/>
      </c>
      <c r="B1542" s="531">
        <f t="shared" si="151"/>
        <v>3</v>
      </c>
      <c r="C1542" s="315">
        <f t="shared" si="152"/>
        <v>42821</v>
      </c>
      <c r="D1542" s="537" t="s">
        <v>989</v>
      </c>
      <c r="E1542" s="288">
        <v>42821</v>
      </c>
      <c r="F1542" s="249" t="s">
        <v>679</v>
      </c>
      <c r="G1542" s="538" t="s">
        <v>609</v>
      </c>
      <c r="H1542" s="473" t="s">
        <v>349</v>
      </c>
      <c r="I1542" s="307">
        <v>16</v>
      </c>
      <c r="J1542" s="307">
        <v>45701</v>
      </c>
      <c r="K1542" s="532">
        <f t="shared" si="154"/>
        <v>731216</v>
      </c>
      <c r="L1542" s="534" t="s">
        <v>292</v>
      </c>
      <c r="M1542" s="534" t="s">
        <v>8</v>
      </c>
      <c r="N1542" s="525" t="str">
        <f>IF(AND('331-CT'!$E$7=TH!H1542,OR(L1542="331",M1542="331")),"331",IF(AND(OR(L1542="131",M1542="131"),H1542='131-CT'!$E$7),"131",""))</f>
        <v/>
      </c>
      <c r="O1542" s="525" t="str">
        <f>IF(AND($B1542&gt;='111'!$N$11,$B1542&lt;='111'!$O$11,OR($L1542=$O$7,$M1542=$O$7)),"x","")</f>
        <v/>
      </c>
      <c r="P1542" s="525" t="str">
        <f>IF(AND($L1542=$O$7,$B1542&lt;'111'!$N$11),"x","")</f>
        <v/>
      </c>
      <c r="Q1542" s="525" t="str">
        <f>IF(AND($M1542=$O$7,$B1542&lt;'111'!$N$11),"x","")</f>
        <v/>
      </c>
      <c r="R1542" s="525" t="str">
        <f>IF(ISERROR(FIND('112'!$M$9,G1542,1)),"",IF((AND(FIND('112'!$M$9,G1542,1)&gt;=1,$B1542&gt;='112'!$N$8,$B1542&lt;='112'!$O$8,OR($L1542='112'!$I$6,$M1542='112'!$I$6))),"x",""))</f>
        <v/>
      </c>
      <c r="S1542" s="525" t="str">
        <f>IF(ISERROR(FIND('112'!$M$9,G1542,1)),"",IF((AND(LEFT(G1542,2)=LEFT('112'!$M$9,2),B1542&lt;'112'!$N$8,$L1542='112'!$I$6)),"x",""))</f>
        <v/>
      </c>
      <c r="T1542" s="525" t="str">
        <f>IF(ISERROR(FIND('112'!$M$9,G1542,1)),"",IF((AND(RIGHT(G1542,2)=RIGHT('112'!$M$9,2),B1542&lt;'112'!$N$8,$M1542='112'!$I$6)),"x",""))</f>
        <v/>
      </c>
      <c r="U1542" s="525" t="str">
        <f>IF(AND(B1542&gt;='IN-NX'!$P$3,B1542&lt;='IN-NX'!$Q$3,'IN-NX'!$D$7=D1542,OR(LEFT(L1542,2)="15",AND(LEFT(M1542,2)&lt;&gt;"15",LEFT(M1542,2)&lt;&gt;"33"))),"x","")</f>
        <v/>
      </c>
      <c r="V1542" s="525" t="str">
        <f>IF(AND(OR(LEFT(TH!L1542,2)="15",LEFT(TH!M1542,2)="15"),'152-CT'!$J$8=TH!F1542),"x","")</f>
        <v/>
      </c>
      <c r="W1542" s="525" t="str">
        <f>IF(AND(OR(LEFT(TH!L1542,2)="15",LEFT(TH!M1542,2)="15"),TK!$E$7=TH!F1542),"x","")</f>
        <v/>
      </c>
      <c r="X1542" s="525" t="str">
        <f>IF(AND('341-CT'!$E$9=H1542,OR(LEFT(L1542,3)=$X$7,LEFT(M1542,3)=$X$7)),"x","")</f>
        <v/>
      </c>
      <c r="Y1542" s="525" t="str">
        <f>IF(OR(TH!L1542=TH!$Y$7,M1542=TH!$Y$7),"x","")</f>
        <v/>
      </c>
      <c r="Z1542" s="525" t="str">
        <f>IF(AND(B1542&lt;=NKC!$N$8,B1542&gt;=NKC!$M$8),"x","")</f>
        <v>x</v>
      </c>
      <c r="AA1542" s="535">
        <v>1</v>
      </c>
    </row>
    <row r="1543" spans="1:27" s="503" customFormat="1" ht="15.75" customHeight="1">
      <c r="A1543" s="517" t="str">
        <f>IF(B1543&lt;&gt;"",IF(AND(B1543&gt;=_TM1,B1543&lt;=_TM2,OR(TH!L1543="1111",TH!M1543="1111")),TH!D1543,""),"")</f>
        <v/>
      </c>
      <c r="B1543" s="531">
        <f t="shared" si="151"/>
        <v>3</v>
      </c>
      <c r="C1543" s="315">
        <f t="shared" si="152"/>
        <v>42821</v>
      </c>
      <c r="D1543" s="537" t="s">
        <v>989</v>
      </c>
      <c r="E1543" s="288">
        <v>42821</v>
      </c>
      <c r="F1543" s="249" t="s">
        <v>679</v>
      </c>
      <c r="G1543" s="538" t="s">
        <v>609</v>
      </c>
      <c r="H1543" s="473" t="s">
        <v>349</v>
      </c>
      <c r="I1543" s="307">
        <v>4</v>
      </c>
      <c r="J1543" s="307">
        <v>45701</v>
      </c>
      <c r="K1543" s="532">
        <f t="shared" si="154"/>
        <v>182804</v>
      </c>
      <c r="L1543" s="534" t="s">
        <v>292</v>
      </c>
      <c r="M1543" s="534" t="s">
        <v>8</v>
      </c>
      <c r="N1543" s="525" t="str">
        <f>IF(AND('331-CT'!$E$7=TH!H1543,OR(L1543="331",M1543="331")),"331",IF(AND(OR(L1543="131",M1543="131"),H1543='131-CT'!$E$7),"131",""))</f>
        <v/>
      </c>
      <c r="O1543" s="525" t="str">
        <f>IF(AND($B1543&gt;='111'!$N$11,$B1543&lt;='111'!$O$11,OR($L1543=$O$7,$M1543=$O$7)),"x","")</f>
        <v/>
      </c>
      <c r="P1543" s="525" t="str">
        <f>IF(AND($L1543=$O$7,$B1543&lt;'111'!$N$11),"x","")</f>
        <v/>
      </c>
      <c r="Q1543" s="525" t="str">
        <f>IF(AND($M1543=$O$7,$B1543&lt;'111'!$N$11),"x","")</f>
        <v/>
      </c>
      <c r="R1543" s="525" t="str">
        <f>IF(ISERROR(FIND('112'!$M$9,G1543,1)),"",IF((AND(FIND('112'!$M$9,G1543,1)&gt;=1,$B1543&gt;='112'!$N$8,$B1543&lt;='112'!$O$8,OR($L1543='112'!$I$6,$M1543='112'!$I$6))),"x",""))</f>
        <v/>
      </c>
      <c r="S1543" s="525" t="str">
        <f>IF(ISERROR(FIND('112'!$M$9,G1543,1)),"",IF((AND(LEFT(G1543,2)=LEFT('112'!$M$9,2),B1543&lt;'112'!$N$8,$L1543='112'!$I$6)),"x",""))</f>
        <v/>
      </c>
      <c r="T1543" s="525" t="str">
        <f>IF(ISERROR(FIND('112'!$M$9,G1543,1)),"",IF((AND(RIGHT(G1543,2)=RIGHT('112'!$M$9,2),B1543&lt;'112'!$N$8,$M1543='112'!$I$6)),"x",""))</f>
        <v/>
      </c>
      <c r="U1543" s="525" t="str">
        <f>IF(AND(B1543&gt;='IN-NX'!$P$3,B1543&lt;='IN-NX'!$Q$3,'IN-NX'!$D$7=D1543,OR(LEFT(L1543,2)="15",AND(LEFT(M1543,2)&lt;&gt;"15",LEFT(M1543,2)&lt;&gt;"33"))),"x","")</f>
        <v/>
      </c>
      <c r="V1543" s="525" t="str">
        <f>IF(AND(OR(LEFT(TH!L1543,2)="15",LEFT(TH!M1543,2)="15"),'152-CT'!$J$8=TH!F1543),"x","")</f>
        <v/>
      </c>
      <c r="W1543" s="525" t="str">
        <f>IF(AND(OR(LEFT(TH!L1543,2)="15",LEFT(TH!M1543,2)="15"),TK!$E$7=TH!F1543),"x","")</f>
        <v/>
      </c>
      <c r="X1543" s="525" t="str">
        <f>IF(AND('341-CT'!$E$9=H1543,OR(LEFT(L1543,3)=$X$7,LEFT(M1543,3)=$X$7)),"x","")</f>
        <v/>
      </c>
      <c r="Y1543" s="525" t="str">
        <f>IF(OR(TH!L1543=TH!$Y$7,M1543=TH!$Y$7),"x","")</f>
        <v/>
      </c>
      <c r="Z1543" s="525" t="str">
        <f>IF(AND(B1543&lt;=NKC!$N$8,B1543&gt;=NKC!$M$8),"x","")</f>
        <v>x</v>
      </c>
      <c r="AA1543" s="535">
        <v>1</v>
      </c>
    </row>
    <row r="1544" spans="1:27" s="503" customFormat="1" ht="15.75" customHeight="1">
      <c r="A1544" s="517" t="str">
        <f>IF(B1544&lt;&gt;"",IF(AND(B1544&gt;=_TM1,B1544&lt;=_TM2,OR(TH!L1544="1111",TH!M1544="1111")),TH!D1544,""),"")</f>
        <v/>
      </c>
      <c r="B1544" s="531">
        <f t="shared" si="151"/>
        <v>3</v>
      </c>
      <c r="C1544" s="315">
        <f t="shared" si="152"/>
        <v>42821</v>
      </c>
      <c r="D1544" s="537" t="s">
        <v>989</v>
      </c>
      <c r="E1544" s="288">
        <v>42821</v>
      </c>
      <c r="F1544" s="249" t="s">
        <v>701</v>
      </c>
      <c r="G1544" s="538" t="s">
        <v>609</v>
      </c>
      <c r="H1544" s="473" t="s">
        <v>349</v>
      </c>
      <c r="I1544" s="307">
        <v>55</v>
      </c>
      <c r="J1544" s="307">
        <v>10865</v>
      </c>
      <c r="K1544" s="532">
        <f t="shared" si="154"/>
        <v>597575</v>
      </c>
      <c r="L1544" s="534" t="s">
        <v>292</v>
      </c>
      <c r="M1544" s="534" t="s">
        <v>8</v>
      </c>
      <c r="N1544" s="525" t="str">
        <f>IF(AND('331-CT'!$E$7=TH!H1544,OR(L1544="331",M1544="331")),"331",IF(AND(OR(L1544="131",M1544="131"),H1544='131-CT'!$E$7),"131",""))</f>
        <v/>
      </c>
      <c r="O1544" s="525" t="str">
        <f>IF(AND($B1544&gt;='111'!$N$11,$B1544&lt;='111'!$O$11,OR($L1544=$O$7,$M1544=$O$7)),"x","")</f>
        <v/>
      </c>
      <c r="P1544" s="525" t="str">
        <f>IF(AND($L1544=$O$7,$B1544&lt;'111'!$N$11),"x","")</f>
        <v/>
      </c>
      <c r="Q1544" s="525" t="str">
        <f>IF(AND($M1544=$O$7,$B1544&lt;'111'!$N$11),"x","")</f>
        <v/>
      </c>
      <c r="R1544" s="525" t="str">
        <f>IF(ISERROR(FIND('112'!$M$9,G1544,1)),"",IF((AND(FIND('112'!$M$9,G1544,1)&gt;=1,$B1544&gt;='112'!$N$8,$B1544&lt;='112'!$O$8,OR($L1544='112'!$I$6,$M1544='112'!$I$6))),"x",""))</f>
        <v/>
      </c>
      <c r="S1544" s="525" t="str">
        <f>IF(ISERROR(FIND('112'!$M$9,G1544,1)),"",IF((AND(LEFT(G1544,2)=LEFT('112'!$M$9,2),B1544&lt;'112'!$N$8,$L1544='112'!$I$6)),"x",""))</f>
        <v/>
      </c>
      <c r="T1544" s="525" t="str">
        <f>IF(ISERROR(FIND('112'!$M$9,G1544,1)),"",IF((AND(RIGHT(G1544,2)=RIGHT('112'!$M$9,2),B1544&lt;'112'!$N$8,$M1544='112'!$I$6)),"x",""))</f>
        <v/>
      </c>
      <c r="U1544" s="525" t="str">
        <f>IF(AND(B1544&gt;='IN-NX'!$P$3,B1544&lt;='IN-NX'!$Q$3,'IN-NX'!$D$7=D1544,OR(LEFT(L1544,2)="15",AND(LEFT(M1544,2)&lt;&gt;"15",LEFT(M1544,2)&lt;&gt;"33"))),"x","")</f>
        <v/>
      </c>
      <c r="V1544" s="525" t="str">
        <f>IF(AND(OR(LEFT(TH!L1544,2)="15",LEFT(TH!M1544,2)="15"),'152-CT'!$J$8=TH!F1544),"x","")</f>
        <v/>
      </c>
      <c r="W1544" s="525" t="str">
        <f>IF(AND(OR(LEFT(TH!L1544,2)="15",LEFT(TH!M1544,2)="15"),TK!$E$7=TH!F1544),"x","")</f>
        <v/>
      </c>
      <c r="X1544" s="525" t="str">
        <f>IF(AND('341-CT'!$E$9=H1544,OR(LEFT(L1544,3)=$X$7,LEFT(M1544,3)=$X$7)),"x","")</f>
        <v/>
      </c>
      <c r="Y1544" s="525" t="str">
        <f>IF(OR(TH!L1544=TH!$Y$7,M1544=TH!$Y$7),"x","")</f>
        <v/>
      </c>
      <c r="Z1544" s="525" t="str">
        <f>IF(AND(B1544&lt;=NKC!$N$8,B1544&gt;=NKC!$M$8),"x","")</f>
        <v>x</v>
      </c>
      <c r="AA1544" s="535">
        <v>1</v>
      </c>
    </row>
    <row r="1545" spans="1:27" s="503" customFormat="1" ht="15.75" customHeight="1">
      <c r="A1545" s="517" t="str">
        <f>IF(B1545&lt;&gt;"",IF(AND(B1545&gt;=_TM1,B1545&lt;=_TM2,OR(TH!L1545="1111",TH!M1545="1111")),TH!D1545,""),"")</f>
        <v/>
      </c>
      <c r="B1545" s="531">
        <f t="shared" si="151"/>
        <v>3</v>
      </c>
      <c r="C1545" s="315">
        <f t="shared" si="152"/>
        <v>42821</v>
      </c>
      <c r="D1545" s="537" t="s">
        <v>989</v>
      </c>
      <c r="E1545" s="288">
        <v>42821</v>
      </c>
      <c r="F1545" s="249" t="s">
        <v>702</v>
      </c>
      <c r="G1545" s="538" t="s">
        <v>609</v>
      </c>
      <c r="H1545" s="473" t="s">
        <v>349</v>
      </c>
      <c r="I1545" s="307">
        <v>78</v>
      </c>
      <c r="J1545" s="307">
        <v>19889</v>
      </c>
      <c r="K1545" s="532">
        <f t="shared" si="154"/>
        <v>1551342</v>
      </c>
      <c r="L1545" s="534" t="s">
        <v>292</v>
      </c>
      <c r="M1545" s="534" t="s">
        <v>8</v>
      </c>
      <c r="N1545" s="525" t="str">
        <f>IF(AND('331-CT'!$E$7=TH!H1545,OR(L1545="331",M1545="331")),"331",IF(AND(OR(L1545="131",M1545="131"),H1545='131-CT'!$E$7),"131",""))</f>
        <v/>
      </c>
      <c r="O1545" s="525" t="str">
        <f>IF(AND($B1545&gt;='111'!$N$11,$B1545&lt;='111'!$O$11,OR($L1545=$O$7,$M1545=$O$7)),"x","")</f>
        <v/>
      </c>
      <c r="P1545" s="525" t="str">
        <f>IF(AND($L1545=$O$7,$B1545&lt;'111'!$N$11),"x","")</f>
        <v/>
      </c>
      <c r="Q1545" s="525" t="str">
        <f>IF(AND($M1545=$O$7,$B1545&lt;'111'!$N$11),"x","")</f>
        <v/>
      </c>
      <c r="R1545" s="525" t="str">
        <f>IF(ISERROR(FIND('112'!$M$9,G1545,1)),"",IF((AND(FIND('112'!$M$9,G1545,1)&gt;=1,$B1545&gt;='112'!$N$8,$B1545&lt;='112'!$O$8,OR($L1545='112'!$I$6,$M1545='112'!$I$6))),"x",""))</f>
        <v/>
      </c>
      <c r="S1545" s="525" t="str">
        <f>IF(ISERROR(FIND('112'!$M$9,G1545,1)),"",IF((AND(LEFT(G1545,2)=LEFT('112'!$M$9,2),B1545&lt;'112'!$N$8,$L1545='112'!$I$6)),"x",""))</f>
        <v/>
      </c>
      <c r="T1545" s="525" t="str">
        <f>IF(ISERROR(FIND('112'!$M$9,G1545,1)),"",IF((AND(RIGHT(G1545,2)=RIGHT('112'!$M$9,2),B1545&lt;'112'!$N$8,$M1545='112'!$I$6)),"x",""))</f>
        <v/>
      </c>
      <c r="U1545" s="525" t="str">
        <f>IF(AND(B1545&gt;='IN-NX'!$P$3,B1545&lt;='IN-NX'!$Q$3,'IN-NX'!$D$7=D1545,OR(LEFT(L1545,2)="15",AND(LEFT(M1545,2)&lt;&gt;"15",LEFT(M1545,2)&lt;&gt;"33"))),"x","")</f>
        <v/>
      </c>
      <c r="V1545" s="525" t="str">
        <f>IF(AND(OR(LEFT(TH!L1545,2)="15",LEFT(TH!M1545,2)="15"),'152-CT'!$J$8=TH!F1545),"x","")</f>
        <v/>
      </c>
      <c r="W1545" s="525" t="str">
        <f>IF(AND(OR(LEFT(TH!L1545,2)="15",LEFT(TH!M1545,2)="15"),TK!$E$7=TH!F1545),"x","")</f>
        <v/>
      </c>
      <c r="X1545" s="525" t="str">
        <f>IF(AND('341-CT'!$E$9=H1545,OR(LEFT(L1545,3)=$X$7,LEFT(M1545,3)=$X$7)),"x","")</f>
        <v/>
      </c>
      <c r="Y1545" s="525" t="str">
        <f>IF(OR(TH!L1545=TH!$Y$7,M1545=TH!$Y$7),"x","")</f>
        <v/>
      </c>
      <c r="Z1545" s="525" t="str">
        <f>IF(AND(B1545&lt;=NKC!$N$8,B1545&gt;=NKC!$M$8),"x","")</f>
        <v>x</v>
      </c>
      <c r="AA1545" s="535">
        <v>1</v>
      </c>
    </row>
    <row r="1546" spans="1:27" s="503" customFormat="1" ht="15.75" customHeight="1">
      <c r="A1546" s="517" t="str">
        <f>IF(B1546&lt;&gt;"",IF(AND(B1546&gt;=_TM1,B1546&lt;=_TM2,OR(TH!L1546="1111",TH!M1546="1111")),TH!D1546,""),"")</f>
        <v/>
      </c>
      <c r="B1546" s="531">
        <f t="shared" si="151"/>
        <v>3</v>
      </c>
      <c r="C1546" s="315">
        <f t="shared" si="152"/>
        <v>42821</v>
      </c>
      <c r="D1546" s="537" t="s">
        <v>989</v>
      </c>
      <c r="E1546" s="288">
        <v>42821</v>
      </c>
      <c r="F1546" s="249" t="s">
        <v>659</v>
      </c>
      <c r="G1546" s="538" t="s">
        <v>609</v>
      </c>
      <c r="H1546" s="473" t="s">
        <v>349</v>
      </c>
      <c r="I1546" s="307">
        <v>4</v>
      </c>
      <c r="J1546" s="307">
        <v>81237</v>
      </c>
      <c r="K1546" s="532">
        <f t="shared" si="154"/>
        <v>324948</v>
      </c>
      <c r="L1546" s="534" t="s">
        <v>292</v>
      </c>
      <c r="M1546" s="534" t="s">
        <v>8</v>
      </c>
      <c r="N1546" s="525" t="str">
        <f>IF(AND('331-CT'!$E$7=TH!H1546,OR(L1546="331",M1546="331")),"331",IF(AND(OR(L1546="131",M1546="131"),H1546='131-CT'!$E$7),"131",""))</f>
        <v/>
      </c>
      <c r="O1546" s="525" t="str">
        <f>IF(AND($B1546&gt;='111'!$N$11,$B1546&lt;='111'!$O$11,OR($L1546=$O$7,$M1546=$O$7)),"x","")</f>
        <v/>
      </c>
      <c r="P1546" s="525" t="str">
        <f>IF(AND($L1546=$O$7,$B1546&lt;'111'!$N$11),"x","")</f>
        <v/>
      </c>
      <c r="Q1546" s="525" t="str">
        <f>IF(AND($M1546=$O$7,$B1546&lt;'111'!$N$11),"x","")</f>
        <v/>
      </c>
      <c r="R1546" s="525" t="str">
        <f>IF(ISERROR(FIND('112'!$M$9,G1546,1)),"",IF((AND(FIND('112'!$M$9,G1546,1)&gt;=1,$B1546&gt;='112'!$N$8,$B1546&lt;='112'!$O$8,OR($L1546='112'!$I$6,$M1546='112'!$I$6))),"x",""))</f>
        <v/>
      </c>
      <c r="S1546" s="525" t="str">
        <f>IF(ISERROR(FIND('112'!$M$9,G1546,1)),"",IF((AND(LEFT(G1546,2)=LEFT('112'!$M$9,2),B1546&lt;'112'!$N$8,$L1546='112'!$I$6)),"x",""))</f>
        <v/>
      </c>
      <c r="T1546" s="525" t="str">
        <f>IF(ISERROR(FIND('112'!$M$9,G1546,1)),"",IF((AND(RIGHT(G1546,2)=RIGHT('112'!$M$9,2),B1546&lt;'112'!$N$8,$M1546='112'!$I$6)),"x",""))</f>
        <v/>
      </c>
      <c r="U1546" s="525" t="str">
        <f>IF(AND(B1546&gt;='IN-NX'!$P$3,B1546&lt;='IN-NX'!$Q$3,'IN-NX'!$D$7=D1546,OR(LEFT(L1546,2)="15",AND(LEFT(M1546,2)&lt;&gt;"15",LEFT(M1546,2)&lt;&gt;"33"))),"x","")</f>
        <v/>
      </c>
      <c r="V1546" s="525" t="str">
        <f>IF(AND(OR(LEFT(TH!L1546,2)="15",LEFT(TH!M1546,2)="15"),'152-CT'!$J$8=TH!F1546),"x","")</f>
        <v/>
      </c>
      <c r="W1546" s="525" t="str">
        <f>IF(AND(OR(LEFT(TH!L1546,2)="15",LEFT(TH!M1546,2)="15"),TK!$E$7=TH!F1546),"x","")</f>
        <v/>
      </c>
      <c r="X1546" s="525" t="str">
        <f>IF(AND('341-CT'!$E$9=H1546,OR(LEFT(L1546,3)=$X$7,LEFT(M1546,3)=$X$7)),"x","")</f>
        <v/>
      </c>
      <c r="Y1546" s="525" t="str">
        <f>IF(OR(TH!L1546=TH!$Y$7,M1546=TH!$Y$7),"x","")</f>
        <v/>
      </c>
      <c r="Z1546" s="525" t="str">
        <f>IF(AND(B1546&lt;=NKC!$N$8,B1546&gt;=NKC!$M$8),"x","")</f>
        <v>x</v>
      </c>
      <c r="AA1546" s="535">
        <v>1</v>
      </c>
    </row>
    <row r="1547" spans="1:27" s="503" customFormat="1" ht="15.75" customHeight="1">
      <c r="A1547" s="517" t="str">
        <f>IF(B1547&lt;&gt;"",IF(AND(B1547&gt;=_TM1,B1547&lt;=_TM2,OR(TH!L1547="1111",TH!M1547="1111")),TH!D1547,""),"")</f>
        <v/>
      </c>
      <c r="B1547" s="531">
        <f t="shared" si="151"/>
        <v>3</v>
      </c>
      <c r="C1547" s="315">
        <f t="shared" si="152"/>
        <v>42821</v>
      </c>
      <c r="D1547" s="537" t="s">
        <v>989</v>
      </c>
      <c r="E1547" s="288">
        <v>42821</v>
      </c>
      <c r="F1547" s="249" t="s">
        <v>698</v>
      </c>
      <c r="G1547" s="538" t="s">
        <v>609</v>
      </c>
      <c r="H1547" s="473" t="s">
        <v>349</v>
      </c>
      <c r="I1547" s="307">
        <v>8</v>
      </c>
      <c r="J1547" s="307">
        <v>140372</v>
      </c>
      <c r="K1547" s="532">
        <f t="shared" si="154"/>
        <v>1122976</v>
      </c>
      <c r="L1547" s="534" t="s">
        <v>292</v>
      </c>
      <c r="M1547" s="534" t="s">
        <v>8</v>
      </c>
      <c r="N1547" s="525" t="str">
        <f>IF(AND('331-CT'!$E$7=TH!H1547,OR(L1547="331",M1547="331")),"331",IF(AND(OR(L1547="131",M1547="131"),H1547='131-CT'!$E$7),"131",""))</f>
        <v/>
      </c>
      <c r="O1547" s="525" t="str">
        <f>IF(AND($B1547&gt;='111'!$N$11,$B1547&lt;='111'!$O$11,OR($L1547=$O$7,$M1547=$O$7)),"x","")</f>
        <v/>
      </c>
      <c r="P1547" s="525" t="str">
        <f>IF(AND($L1547=$O$7,$B1547&lt;'111'!$N$11),"x","")</f>
        <v/>
      </c>
      <c r="Q1547" s="525" t="str">
        <f>IF(AND($M1547=$O$7,$B1547&lt;'111'!$N$11),"x","")</f>
        <v/>
      </c>
      <c r="R1547" s="525" t="str">
        <f>IF(ISERROR(FIND('112'!$M$9,G1547,1)),"",IF((AND(FIND('112'!$M$9,G1547,1)&gt;=1,$B1547&gt;='112'!$N$8,$B1547&lt;='112'!$O$8,OR($L1547='112'!$I$6,$M1547='112'!$I$6))),"x",""))</f>
        <v/>
      </c>
      <c r="S1547" s="525" t="str">
        <f>IF(ISERROR(FIND('112'!$M$9,G1547,1)),"",IF((AND(LEFT(G1547,2)=LEFT('112'!$M$9,2),B1547&lt;'112'!$N$8,$L1547='112'!$I$6)),"x",""))</f>
        <v/>
      </c>
      <c r="T1547" s="525" t="str">
        <f>IF(ISERROR(FIND('112'!$M$9,G1547,1)),"",IF((AND(RIGHT(G1547,2)=RIGHT('112'!$M$9,2),B1547&lt;'112'!$N$8,$M1547='112'!$I$6)),"x",""))</f>
        <v/>
      </c>
      <c r="U1547" s="525" t="str">
        <f>IF(AND(B1547&gt;='IN-NX'!$P$3,B1547&lt;='IN-NX'!$Q$3,'IN-NX'!$D$7=D1547,OR(LEFT(L1547,2)="15",AND(LEFT(M1547,2)&lt;&gt;"15",LEFT(M1547,2)&lt;&gt;"33"))),"x","")</f>
        <v/>
      </c>
      <c r="V1547" s="525" t="str">
        <f>IF(AND(OR(LEFT(TH!L1547,2)="15",LEFT(TH!M1547,2)="15"),'152-CT'!$J$8=TH!F1547),"x","")</f>
        <v/>
      </c>
      <c r="W1547" s="525" t="str">
        <f>IF(AND(OR(LEFT(TH!L1547,2)="15",LEFT(TH!M1547,2)="15"),TK!$E$7=TH!F1547),"x","")</f>
        <v/>
      </c>
      <c r="X1547" s="525" t="str">
        <f>IF(AND('341-CT'!$E$9=H1547,OR(LEFT(L1547,3)=$X$7,LEFT(M1547,3)=$X$7)),"x","")</f>
        <v/>
      </c>
      <c r="Y1547" s="525" t="str">
        <f>IF(OR(TH!L1547=TH!$Y$7,M1547=TH!$Y$7),"x","")</f>
        <v/>
      </c>
      <c r="Z1547" s="525" t="str">
        <f>IF(AND(B1547&lt;=NKC!$N$8,B1547&gt;=NKC!$M$8),"x","")</f>
        <v>x</v>
      </c>
      <c r="AA1547" s="535">
        <v>1</v>
      </c>
    </row>
    <row r="1548" spans="1:27" s="503" customFormat="1" ht="15.75" customHeight="1">
      <c r="A1548" s="517" t="str">
        <f>IF(B1548&lt;&gt;"",IF(AND(B1548&gt;=_TM1,B1548&lt;=_TM2,OR(TH!L1548="1111",TH!M1548="1111")),TH!D1548,""),"")</f>
        <v/>
      </c>
      <c r="B1548" s="531">
        <f t="shared" si="151"/>
        <v>3</v>
      </c>
      <c r="C1548" s="315">
        <f t="shared" si="152"/>
        <v>42821</v>
      </c>
      <c r="D1548" s="537" t="s">
        <v>989</v>
      </c>
      <c r="E1548" s="288">
        <v>42821</v>
      </c>
      <c r="F1548" s="249" t="s">
        <v>700</v>
      </c>
      <c r="G1548" s="538" t="s">
        <v>609</v>
      </c>
      <c r="H1548" s="473" t="s">
        <v>349</v>
      </c>
      <c r="I1548" s="307">
        <v>495</v>
      </c>
      <c r="J1548" s="307">
        <v>16200</v>
      </c>
      <c r="K1548" s="532">
        <f t="shared" si="154"/>
        <v>8019000</v>
      </c>
      <c r="L1548" s="534" t="s">
        <v>292</v>
      </c>
      <c r="M1548" s="534" t="s">
        <v>8</v>
      </c>
      <c r="N1548" s="525" t="str">
        <f>IF(AND('331-CT'!$E$7=TH!H1548,OR(L1548="331",M1548="331")),"331",IF(AND(OR(L1548="131",M1548="131"),H1548='131-CT'!$E$7),"131",""))</f>
        <v/>
      </c>
      <c r="O1548" s="525" t="str">
        <f>IF(AND($B1548&gt;='111'!$N$11,$B1548&lt;='111'!$O$11,OR($L1548=$O$7,$M1548=$O$7)),"x","")</f>
        <v/>
      </c>
      <c r="P1548" s="525" t="str">
        <f>IF(AND($L1548=$O$7,$B1548&lt;'111'!$N$11),"x","")</f>
        <v/>
      </c>
      <c r="Q1548" s="525" t="str">
        <f>IF(AND($M1548=$O$7,$B1548&lt;'111'!$N$11),"x","")</f>
        <v/>
      </c>
      <c r="R1548" s="525" t="str">
        <f>IF(ISERROR(FIND('112'!$M$9,G1548,1)),"",IF((AND(FIND('112'!$M$9,G1548,1)&gt;=1,$B1548&gt;='112'!$N$8,$B1548&lt;='112'!$O$8,OR($L1548='112'!$I$6,$M1548='112'!$I$6))),"x",""))</f>
        <v/>
      </c>
      <c r="S1548" s="525" t="str">
        <f>IF(ISERROR(FIND('112'!$M$9,G1548,1)),"",IF((AND(LEFT(G1548,2)=LEFT('112'!$M$9,2),B1548&lt;'112'!$N$8,$L1548='112'!$I$6)),"x",""))</f>
        <v/>
      </c>
      <c r="T1548" s="525" t="str">
        <f>IF(ISERROR(FIND('112'!$M$9,G1548,1)),"",IF((AND(RIGHT(G1548,2)=RIGHT('112'!$M$9,2),B1548&lt;'112'!$N$8,$M1548='112'!$I$6)),"x",""))</f>
        <v/>
      </c>
      <c r="U1548" s="525" t="str">
        <f>IF(AND(B1548&gt;='IN-NX'!$P$3,B1548&lt;='IN-NX'!$Q$3,'IN-NX'!$D$7=D1548,OR(LEFT(L1548,2)="15",AND(LEFT(M1548,2)&lt;&gt;"15",LEFT(M1548,2)&lt;&gt;"33"))),"x","")</f>
        <v/>
      </c>
      <c r="V1548" s="525" t="str">
        <f>IF(AND(OR(LEFT(TH!L1548,2)="15",LEFT(TH!M1548,2)="15"),'152-CT'!$J$8=TH!F1548),"x","")</f>
        <v/>
      </c>
      <c r="W1548" s="525" t="str">
        <f>IF(AND(OR(LEFT(TH!L1548,2)="15",LEFT(TH!M1548,2)="15"),TK!$E$7=TH!F1548),"x","")</f>
        <v/>
      </c>
      <c r="X1548" s="525" t="str">
        <f>IF(AND('341-CT'!$E$9=H1548,OR(LEFT(L1548,3)=$X$7,LEFT(M1548,3)=$X$7)),"x","")</f>
        <v/>
      </c>
      <c r="Y1548" s="525" t="str">
        <f>IF(OR(TH!L1548=TH!$Y$7,M1548=TH!$Y$7),"x","")</f>
        <v/>
      </c>
      <c r="Z1548" s="525" t="str">
        <f>IF(AND(B1548&lt;=NKC!$N$8,B1548&gt;=NKC!$M$8),"x","")</f>
        <v>x</v>
      </c>
      <c r="AA1548" s="535">
        <v>1</v>
      </c>
    </row>
    <row r="1549" spans="1:27" s="503" customFormat="1" ht="15.75" customHeight="1">
      <c r="A1549" s="517" t="str">
        <f>IF(B1549&lt;&gt;"",IF(AND(B1549&gt;=_TM1,B1549&lt;=_TM2,OR(TH!L1549="1111",TH!M1549="1111")),TH!D1549,""),"")</f>
        <v/>
      </c>
      <c r="B1549" s="531">
        <f t="shared" si="151"/>
        <v>3</v>
      </c>
      <c r="C1549" s="315">
        <f t="shared" si="152"/>
        <v>42821</v>
      </c>
      <c r="D1549" s="537" t="s">
        <v>989</v>
      </c>
      <c r="E1549" s="288">
        <v>42821</v>
      </c>
      <c r="F1549" s="249" t="s">
        <v>703</v>
      </c>
      <c r="G1549" s="538" t="s">
        <v>609</v>
      </c>
      <c r="H1549" s="473" t="s">
        <v>349</v>
      </c>
      <c r="I1549" s="307">
        <v>230</v>
      </c>
      <c r="J1549" s="307">
        <v>65300</v>
      </c>
      <c r="K1549" s="532">
        <f t="shared" si="154"/>
        <v>15019000</v>
      </c>
      <c r="L1549" s="534" t="s">
        <v>292</v>
      </c>
      <c r="M1549" s="534" t="s">
        <v>8</v>
      </c>
      <c r="N1549" s="525" t="str">
        <f>IF(AND('331-CT'!$E$7=TH!H1549,OR(L1549="331",M1549="331")),"331",IF(AND(OR(L1549="131",M1549="131"),H1549='131-CT'!$E$7),"131",""))</f>
        <v/>
      </c>
      <c r="O1549" s="525" t="str">
        <f>IF(AND($B1549&gt;='111'!$N$11,$B1549&lt;='111'!$O$11,OR($L1549=$O$7,$M1549=$O$7)),"x","")</f>
        <v/>
      </c>
      <c r="P1549" s="525" t="str">
        <f>IF(AND($L1549=$O$7,$B1549&lt;'111'!$N$11),"x","")</f>
        <v/>
      </c>
      <c r="Q1549" s="525" t="str">
        <f>IF(AND($M1549=$O$7,$B1549&lt;'111'!$N$11),"x","")</f>
        <v/>
      </c>
      <c r="R1549" s="525" t="str">
        <f>IF(ISERROR(FIND('112'!$M$9,G1549,1)),"",IF((AND(FIND('112'!$M$9,G1549,1)&gt;=1,$B1549&gt;='112'!$N$8,$B1549&lt;='112'!$O$8,OR($L1549='112'!$I$6,$M1549='112'!$I$6))),"x",""))</f>
        <v/>
      </c>
      <c r="S1549" s="525" t="str">
        <f>IF(ISERROR(FIND('112'!$M$9,G1549,1)),"",IF((AND(LEFT(G1549,2)=LEFT('112'!$M$9,2),B1549&lt;'112'!$N$8,$L1549='112'!$I$6)),"x",""))</f>
        <v/>
      </c>
      <c r="T1549" s="525" t="str">
        <f>IF(ISERROR(FIND('112'!$M$9,G1549,1)),"",IF((AND(RIGHT(G1549,2)=RIGHT('112'!$M$9,2),B1549&lt;'112'!$N$8,$M1549='112'!$I$6)),"x",""))</f>
        <v/>
      </c>
      <c r="U1549" s="525" t="str">
        <f>IF(AND(B1549&gt;='IN-NX'!$P$3,B1549&lt;='IN-NX'!$Q$3,'IN-NX'!$D$7=D1549,OR(LEFT(L1549,2)="15",AND(LEFT(M1549,2)&lt;&gt;"15",LEFT(M1549,2)&lt;&gt;"33"))),"x","")</f>
        <v/>
      </c>
      <c r="V1549" s="525" t="str">
        <f>IF(AND(OR(LEFT(TH!L1549,2)="15",LEFT(TH!M1549,2)="15"),'152-CT'!$J$8=TH!F1549),"x","")</f>
        <v/>
      </c>
      <c r="W1549" s="525" t="str">
        <f>IF(AND(OR(LEFT(TH!L1549,2)="15",LEFT(TH!M1549,2)="15"),TK!$E$7=TH!F1549),"x","")</f>
        <v/>
      </c>
      <c r="X1549" s="525" t="str">
        <f>IF(AND('341-CT'!$E$9=H1549,OR(LEFT(L1549,3)=$X$7,LEFT(M1549,3)=$X$7)),"x","")</f>
        <v/>
      </c>
      <c r="Y1549" s="525" t="str">
        <f>IF(OR(TH!L1549=TH!$Y$7,M1549=TH!$Y$7),"x","")</f>
        <v/>
      </c>
      <c r="Z1549" s="525" t="str">
        <f>IF(AND(B1549&lt;=NKC!$N$8,B1549&gt;=NKC!$M$8),"x","")</f>
        <v>x</v>
      </c>
      <c r="AA1549" s="535">
        <v>1</v>
      </c>
    </row>
    <row r="1550" spans="1:27" s="503" customFormat="1" ht="15.75" customHeight="1">
      <c r="A1550" s="517" t="str">
        <f>IF(B1550&lt;&gt;"",IF(AND(B1550&gt;=_TM1,B1550&lt;=_TM2,OR(TH!L1550="1111",TH!M1550="1111")),TH!D1550,""),"")</f>
        <v/>
      </c>
      <c r="B1550" s="531">
        <f t="shared" si="151"/>
        <v>3</v>
      </c>
      <c r="C1550" s="315">
        <f t="shared" si="152"/>
        <v>42821</v>
      </c>
      <c r="D1550" s="537" t="s">
        <v>989</v>
      </c>
      <c r="E1550" s="288">
        <v>42821</v>
      </c>
      <c r="F1550" s="245" t="s">
        <v>611</v>
      </c>
      <c r="G1550" s="538" t="s">
        <v>609</v>
      </c>
      <c r="H1550" s="473" t="s">
        <v>349</v>
      </c>
      <c r="I1550" s="307">
        <v>80</v>
      </c>
      <c r="J1550" s="307">
        <v>39735</v>
      </c>
      <c r="K1550" s="532">
        <f t="shared" si="154"/>
        <v>3178800</v>
      </c>
      <c r="L1550" s="534" t="s">
        <v>292</v>
      </c>
      <c r="M1550" s="534" t="s">
        <v>8</v>
      </c>
      <c r="N1550" s="525" t="str">
        <f>IF(AND('331-CT'!$E$7=TH!H1550,OR(L1550="331",M1550="331")),"331",IF(AND(OR(L1550="131",M1550="131"),H1550='131-CT'!$E$7),"131",""))</f>
        <v/>
      </c>
      <c r="O1550" s="525" t="str">
        <f>IF(AND($B1550&gt;='111'!$N$11,$B1550&lt;='111'!$O$11,OR($L1550=$O$7,$M1550=$O$7)),"x","")</f>
        <v/>
      </c>
      <c r="P1550" s="525" t="str">
        <f>IF(AND($L1550=$O$7,$B1550&lt;'111'!$N$11),"x","")</f>
        <v/>
      </c>
      <c r="Q1550" s="525" t="str">
        <f>IF(AND($M1550=$O$7,$B1550&lt;'111'!$N$11),"x","")</f>
        <v/>
      </c>
      <c r="R1550" s="525" t="str">
        <f>IF(ISERROR(FIND('112'!$M$9,G1550,1)),"",IF((AND(FIND('112'!$M$9,G1550,1)&gt;=1,$B1550&gt;='112'!$N$8,$B1550&lt;='112'!$O$8,OR($L1550='112'!$I$6,$M1550='112'!$I$6))),"x",""))</f>
        <v/>
      </c>
      <c r="S1550" s="525" t="str">
        <f>IF(ISERROR(FIND('112'!$M$9,G1550,1)),"",IF((AND(LEFT(G1550,2)=LEFT('112'!$M$9,2),B1550&lt;'112'!$N$8,$L1550='112'!$I$6)),"x",""))</f>
        <v/>
      </c>
      <c r="T1550" s="525" t="str">
        <f>IF(ISERROR(FIND('112'!$M$9,G1550,1)),"",IF((AND(RIGHT(G1550,2)=RIGHT('112'!$M$9,2),B1550&lt;'112'!$N$8,$M1550='112'!$I$6)),"x",""))</f>
        <v/>
      </c>
      <c r="U1550" s="525" t="str">
        <f>IF(AND(B1550&gt;='IN-NX'!$P$3,B1550&lt;='IN-NX'!$Q$3,'IN-NX'!$D$7=D1550,OR(LEFT(L1550,2)="15",AND(LEFT(M1550,2)&lt;&gt;"15",LEFT(M1550,2)&lt;&gt;"33"))),"x","")</f>
        <v/>
      </c>
      <c r="V1550" s="525" t="str">
        <f>IF(AND(OR(LEFT(TH!L1550,2)="15",LEFT(TH!M1550,2)="15"),'152-CT'!$J$8=TH!F1550),"x","")</f>
        <v/>
      </c>
      <c r="W1550" s="525" t="str">
        <f>IF(AND(OR(LEFT(TH!L1550,2)="15",LEFT(TH!M1550,2)="15"),TK!$E$7=TH!F1550),"x","")</f>
        <v/>
      </c>
      <c r="X1550" s="525" t="str">
        <f>IF(AND('341-CT'!$E$9=H1550,OR(LEFT(L1550,3)=$X$7,LEFT(M1550,3)=$X$7)),"x","")</f>
        <v/>
      </c>
      <c r="Y1550" s="525" t="str">
        <f>IF(OR(TH!L1550=TH!$Y$7,M1550=TH!$Y$7),"x","")</f>
        <v/>
      </c>
      <c r="Z1550" s="525" t="str">
        <f>IF(AND(B1550&lt;=NKC!$N$8,B1550&gt;=NKC!$M$8),"x","")</f>
        <v>x</v>
      </c>
      <c r="AA1550" s="535">
        <v>1</v>
      </c>
    </row>
    <row r="1551" spans="1:27" s="503" customFormat="1" ht="15.75" customHeight="1">
      <c r="A1551" s="517" t="str">
        <f>IF(B1551&lt;&gt;"",IF(AND(B1551&gt;=_TM1,B1551&lt;=_TM2,OR(TH!L1551="1111",TH!M1551="1111")),TH!D1551,""),"")</f>
        <v/>
      </c>
      <c r="B1551" s="531">
        <f t="shared" si="151"/>
        <v>3</v>
      </c>
      <c r="C1551" s="315">
        <f t="shared" si="152"/>
        <v>42821</v>
      </c>
      <c r="D1551" s="537" t="s">
        <v>989</v>
      </c>
      <c r="E1551" s="288">
        <v>42821</v>
      </c>
      <c r="F1551" s="249" t="s">
        <v>736</v>
      </c>
      <c r="G1551" s="538" t="s">
        <v>609</v>
      </c>
      <c r="H1551" s="473" t="s">
        <v>349</v>
      </c>
      <c r="I1551" s="307">
        <v>10</v>
      </c>
      <c r="J1551" s="307">
        <v>78500</v>
      </c>
      <c r="K1551" s="532">
        <f t="shared" si="154"/>
        <v>785000</v>
      </c>
      <c r="L1551" s="534" t="s">
        <v>292</v>
      </c>
      <c r="M1551" s="534" t="s">
        <v>8</v>
      </c>
      <c r="N1551" s="525" t="str">
        <f>IF(AND('331-CT'!$E$7=TH!H1551,OR(L1551="331",M1551="331")),"331",IF(AND(OR(L1551="131",M1551="131"),H1551='131-CT'!$E$7),"131",""))</f>
        <v/>
      </c>
      <c r="O1551" s="525" t="str">
        <f>IF(AND($B1551&gt;='111'!$N$11,$B1551&lt;='111'!$O$11,OR($L1551=$O$7,$M1551=$O$7)),"x","")</f>
        <v/>
      </c>
      <c r="P1551" s="525" t="str">
        <f>IF(AND($L1551=$O$7,$B1551&lt;'111'!$N$11),"x","")</f>
        <v/>
      </c>
      <c r="Q1551" s="525" t="str">
        <f>IF(AND($M1551=$O$7,$B1551&lt;'111'!$N$11),"x","")</f>
        <v/>
      </c>
      <c r="R1551" s="525" t="str">
        <f>IF(ISERROR(FIND('112'!$M$9,G1551,1)),"",IF((AND(FIND('112'!$M$9,G1551,1)&gt;=1,$B1551&gt;='112'!$N$8,$B1551&lt;='112'!$O$8,OR($L1551='112'!$I$6,$M1551='112'!$I$6))),"x",""))</f>
        <v/>
      </c>
      <c r="S1551" s="525" t="str">
        <f>IF(ISERROR(FIND('112'!$M$9,G1551,1)),"",IF((AND(LEFT(G1551,2)=LEFT('112'!$M$9,2),B1551&lt;'112'!$N$8,$L1551='112'!$I$6)),"x",""))</f>
        <v/>
      </c>
      <c r="T1551" s="525" t="str">
        <f>IF(ISERROR(FIND('112'!$M$9,G1551,1)),"",IF((AND(RIGHT(G1551,2)=RIGHT('112'!$M$9,2),B1551&lt;'112'!$N$8,$M1551='112'!$I$6)),"x",""))</f>
        <v/>
      </c>
      <c r="U1551" s="525" t="str">
        <f>IF(AND(B1551&gt;='IN-NX'!$P$3,B1551&lt;='IN-NX'!$Q$3,'IN-NX'!$D$7=D1551,OR(LEFT(L1551,2)="15",AND(LEFT(M1551,2)&lt;&gt;"15",LEFT(M1551,2)&lt;&gt;"33"))),"x","")</f>
        <v/>
      </c>
      <c r="V1551" s="525" t="str">
        <f>IF(AND(OR(LEFT(TH!L1551,2)="15",LEFT(TH!M1551,2)="15"),'152-CT'!$J$8=TH!F1551),"x","")</f>
        <v/>
      </c>
      <c r="W1551" s="525" t="str">
        <f>IF(AND(OR(LEFT(TH!L1551,2)="15",LEFT(TH!M1551,2)="15"),TK!$E$7=TH!F1551),"x","")</f>
        <v/>
      </c>
      <c r="X1551" s="525" t="str">
        <f>IF(AND('341-CT'!$E$9=H1551,OR(LEFT(L1551,3)=$X$7,LEFT(M1551,3)=$X$7)),"x","")</f>
        <v/>
      </c>
      <c r="Y1551" s="525" t="str">
        <f>IF(OR(TH!L1551=TH!$Y$7,M1551=TH!$Y$7),"x","")</f>
        <v/>
      </c>
      <c r="Z1551" s="525" t="str">
        <f>IF(AND(B1551&lt;=NKC!$N$8,B1551&gt;=NKC!$M$8),"x","")</f>
        <v>x</v>
      </c>
      <c r="AA1551" s="535">
        <v>1</v>
      </c>
    </row>
    <row r="1552" spans="1:27" s="503" customFormat="1" ht="15.75" customHeight="1">
      <c r="A1552" s="517" t="str">
        <f>IF(B1552&lt;&gt;"",IF(AND(B1552&gt;=_TM1,B1552&lt;=_TM2,OR(TH!L1552="1111",TH!M1552="1111")),TH!D1552,""),"")</f>
        <v/>
      </c>
      <c r="B1552" s="531">
        <f t="shared" si="151"/>
        <v>3</v>
      </c>
      <c r="C1552" s="315">
        <f t="shared" si="152"/>
        <v>42821</v>
      </c>
      <c r="D1552" s="537" t="s">
        <v>990</v>
      </c>
      <c r="E1552" s="288">
        <v>42821</v>
      </c>
      <c r="F1552" s="249" t="s">
        <v>799</v>
      </c>
      <c r="G1552" s="538" t="s">
        <v>609</v>
      </c>
      <c r="H1552" s="473" t="s">
        <v>349</v>
      </c>
      <c r="I1552" s="307">
        <v>20</v>
      </c>
      <c r="J1552" s="307">
        <v>42454</v>
      </c>
      <c r="K1552" s="532">
        <f t="shared" si="154"/>
        <v>849080</v>
      </c>
      <c r="L1552" s="534" t="s">
        <v>292</v>
      </c>
      <c r="M1552" s="534" t="s">
        <v>8</v>
      </c>
      <c r="N1552" s="525" t="str">
        <f>IF(AND('331-CT'!$E$7=TH!H1552,OR(L1552="331",M1552="331")),"331",IF(AND(OR(L1552="131",M1552="131"),H1552='131-CT'!$E$7),"131",""))</f>
        <v/>
      </c>
      <c r="O1552" s="525" t="str">
        <f>IF(AND($B1552&gt;='111'!$N$11,$B1552&lt;='111'!$O$11,OR($L1552=$O$7,$M1552=$O$7)),"x","")</f>
        <v/>
      </c>
      <c r="P1552" s="525" t="str">
        <f>IF(AND($L1552=$O$7,$B1552&lt;'111'!$N$11),"x","")</f>
        <v/>
      </c>
      <c r="Q1552" s="525" t="str">
        <f>IF(AND($M1552=$O$7,$B1552&lt;'111'!$N$11),"x","")</f>
        <v/>
      </c>
      <c r="R1552" s="525" t="str">
        <f>IF(ISERROR(FIND('112'!$M$9,G1552,1)),"",IF((AND(FIND('112'!$M$9,G1552,1)&gt;=1,$B1552&gt;='112'!$N$8,$B1552&lt;='112'!$O$8,OR($L1552='112'!$I$6,$M1552='112'!$I$6))),"x",""))</f>
        <v/>
      </c>
      <c r="S1552" s="525" t="str">
        <f>IF(ISERROR(FIND('112'!$M$9,G1552,1)),"",IF((AND(LEFT(G1552,2)=LEFT('112'!$M$9,2),B1552&lt;'112'!$N$8,$L1552='112'!$I$6)),"x",""))</f>
        <v/>
      </c>
      <c r="T1552" s="525" t="str">
        <f>IF(ISERROR(FIND('112'!$M$9,G1552,1)),"",IF((AND(RIGHT(G1552,2)=RIGHT('112'!$M$9,2),B1552&lt;'112'!$N$8,$M1552='112'!$I$6)),"x",""))</f>
        <v/>
      </c>
      <c r="U1552" s="525" t="str">
        <f>IF(AND(B1552&gt;='IN-NX'!$P$3,B1552&lt;='IN-NX'!$Q$3,'IN-NX'!$D$7=D1552,OR(LEFT(L1552,2)="15",AND(LEFT(M1552,2)&lt;&gt;"15",LEFT(M1552,2)&lt;&gt;"33"))),"x","")</f>
        <v/>
      </c>
      <c r="V1552" s="525" t="str">
        <f>IF(AND(OR(LEFT(TH!L1552,2)="15",LEFT(TH!M1552,2)="15"),'152-CT'!$J$8=TH!F1552),"x","")</f>
        <v/>
      </c>
      <c r="W1552" s="525" t="str">
        <f>IF(AND(OR(LEFT(TH!L1552,2)="15",LEFT(TH!M1552,2)="15"),TK!$E$7=TH!F1552),"x","")</f>
        <v/>
      </c>
      <c r="X1552" s="525" t="str">
        <f>IF(AND('341-CT'!$E$9=H1552,OR(LEFT(L1552,3)=$X$7,LEFT(M1552,3)=$X$7)),"x","")</f>
        <v/>
      </c>
      <c r="Y1552" s="525" t="str">
        <f>IF(OR(TH!L1552=TH!$Y$7,M1552=TH!$Y$7),"x","")</f>
        <v/>
      </c>
      <c r="Z1552" s="525" t="str">
        <f>IF(AND(B1552&lt;=NKC!$N$8,B1552&gt;=NKC!$M$8),"x","")</f>
        <v>x</v>
      </c>
      <c r="AA1552" s="535">
        <v>1</v>
      </c>
    </row>
    <row r="1553" spans="1:31" s="576" customFormat="1" ht="15.75" customHeight="1">
      <c r="A1553" s="517" t="str">
        <f>IF(B1553&lt;&gt;"",IF(AND(B1553&gt;=_TM1,B1553&lt;=_TM2,OR(TH!L1553="1111",TH!M1553="1111")),TH!D1553,""),"")</f>
        <v/>
      </c>
      <c r="B1553" s="531">
        <f t="shared" si="151"/>
        <v>3</v>
      </c>
      <c r="C1553" s="315">
        <f t="shared" si="152"/>
        <v>42821</v>
      </c>
      <c r="D1553" s="537" t="s">
        <v>990</v>
      </c>
      <c r="E1553" s="288">
        <v>42821</v>
      </c>
      <c r="F1553" s="249" t="s">
        <v>679</v>
      </c>
      <c r="G1553" s="538" t="s">
        <v>609</v>
      </c>
      <c r="H1553" s="473" t="s">
        <v>349</v>
      </c>
      <c r="I1553" s="307">
        <v>28</v>
      </c>
      <c r="J1553" s="307">
        <v>43982</v>
      </c>
      <c r="K1553" s="532">
        <f t="shared" si="154"/>
        <v>1231496</v>
      </c>
      <c r="L1553" s="534" t="s">
        <v>292</v>
      </c>
      <c r="M1553" s="534" t="s">
        <v>8</v>
      </c>
      <c r="N1553" s="525" t="str">
        <f>IF(AND('331-CT'!$E$7=TH!H1553,OR(L1553="331",M1553="331")),"331",IF(AND(OR(L1553="131",M1553="131"),H1553='131-CT'!$E$7),"131",""))</f>
        <v/>
      </c>
      <c r="O1553" s="525" t="str">
        <f>IF(AND($B1553&gt;='111'!$N$11,$B1553&lt;='111'!$O$11,OR($L1553=$O$7,$M1553=$O$7)),"x","")</f>
        <v/>
      </c>
      <c r="P1553" s="525" t="str">
        <f>IF(AND($L1553=$O$7,$B1553&lt;'111'!$N$11),"x","")</f>
        <v/>
      </c>
      <c r="Q1553" s="525" t="str">
        <f>IF(AND($M1553=$O$7,$B1553&lt;'111'!$N$11),"x","")</f>
        <v/>
      </c>
      <c r="R1553" s="525" t="str">
        <f>IF(ISERROR(FIND('112'!$M$9,G1553,1)),"",IF((AND(FIND('112'!$M$9,G1553,1)&gt;=1,$B1553&gt;='112'!$N$8,$B1553&lt;='112'!$O$8,OR($L1553='112'!$I$6,$M1553='112'!$I$6))),"x",""))</f>
        <v/>
      </c>
      <c r="S1553" s="525" t="str">
        <f>IF(ISERROR(FIND('112'!$M$9,G1553,1)),"",IF((AND(LEFT(G1553,2)=LEFT('112'!$M$9,2),B1553&lt;'112'!$N$8,$L1553='112'!$I$6)),"x",""))</f>
        <v/>
      </c>
      <c r="T1553" s="525" t="str">
        <f>IF(ISERROR(FIND('112'!$M$9,G1553,1)),"",IF((AND(RIGHT(G1553,2)=RIGHT('112'!$M$9,2),B1553&lt;'112'!$N$8,$M1553='112'!$I$6)),"x",""))</f>
        <v/>
      </c>
      <c r="U1553" s="525" t="str">
        <f>IF(AND(B1553&gt;='IN-NX'!$P$3,B1553&lt;='IN-NX'!$Q$3,'IN-NX'!$D$7=D1553,OR(LEFT(L1553,2)="15",AND(LEFT(M1553,2)&lt;&gt;"15",LEFT(M1553,2)&lt;&gt;"33"))),"x","")</f>
        <v/>
      </c>
      <c r="V1553" s="525" t="str">
        <f>IF(AND(OR(LEFT(TH!L1553,2)="15",LEFT(TH!M1553,2)="15"),'152-CT'!$J$8=TH!F1553),"x","")</f>
        <v/>
      </c>
      <c r="W1553" s="525" t="str">
        <f>IF(AND(OR(LEFT(TH!L1553,2)="15",LEFT(TH!M1553,2)="15"),TK!$E$7=TH!F1553),"x","")</f>
        <v/>
      </c>
      <c r="X1553" s="525" t="str">
        <f>IF(AND('341-CT'!$E$9=H1553,OR(LEFT(L1553,3)=$X$7,LEFT(M1553,3)=$X$7)),"x","")</f>
        <v/>
      </c>
      <c r="Y1553" s="525" t="str">
        <f>IF(OR(TH!L1553=TH!$Y$7,M1553=TH!$Y$7),"x","")</f>
        <v/>
      </c>
      <c r="Z1553" s="525" t="str">
        <f>IF(AND(B1553&lt;=NKC!$N$8,B1553&gt;=NKC!$M$8),"x","")</f>
        <v>x</v>
      </c>
      <c r="AA1553" s="535">
        <v>1</v>
      </c>
      <c r="AB1553" s="503"/>
      <c r="AC1553" s="503"/>
      <c r="AD1553" s="503"/>
      <c r="AE1553" s="503"/>
    </row>
    <row r="1554" spans="1:31" s="576" customFormat="1" ht="15.75" customHeight="1">
      <c r="A1554" s="517" t="str">
        <f>IF(B1554&lt;&gt;"",IF(AND(B1554&gt;=_TM1,B1554&lt;=_TM2,OR(TH!L1554="1111",TH!M1554="1111")),TH!D1554,""),"")</f>
        <v/>
      </c>
      <c r="B1554" s="531">
        <f t="shared" si="151"/>
        <v>3</v>
      </c>
      <c r="C1554" s="315">
        <f t="shared" si="152"/>
        <v>42821</v>
      </c>
      <c r="D1554" s="537" t="s">
        <v>990</v>
      </c>
      <c r="E1554" s="288">
        <v>42821</v>
      </c>
      <c r="F1554" s="245" t="s">
        <v>735</v>
      </c>
      <c r="G1554" s="538" t="s">
        <v>609</v>
      </c>
      <c r="H1554" s="473" t="s">
        <v>349</v>
      </c>
      <c r="I1554" s="307">
        <v>12</v>
      </c>
      <c r="J1554" s="307">
        <v>49660</v>
      </c>
      <c r="K1554" s="532">
        <f t="shared" si="154"/>
        <v>595920</v>
      </c>
      <c r="L1554" s="534" t="s">
        <v>292</v>
      </c>
      <c r="M1554" s="534" t="s">
        <v>8</v>
      </c>
      <c r="N1554" s="525" t="str">
        <f>IF(AND('331-CT'!$E$7=TH!H1554,OR(L1554="331",M1554="331")),"331",IF(AND(OR(L1554="131",M1554="131"),H1554='131-CT'!$E$7),"131",""))</f>
        <v/>
      </c>
      <c r="O1554" s="525" t="str">
        <f>IF(AND($B1554&gt;='111'!$N$11,$B1554&lt;='111'!$O$11,OR($L1554=$O$7,$M1554=$O$7)),"x","")</f>
        <v/>
      </c>
      <c r="P1554" s="525" t="str">
        <f>IF(AND($L1554=$O$7,$B1554&lt;'111'!$N$11),"x","")</f>
        <v/>
      </c>
      <c r="Q1554" s="525" t="str">
        <f>IF(AND($M1554=$O$7,$B1554&lt;'111'!$N$11),"x","")</f>
        <v/>
      </c>
      <c r="R1554" s="525" t="str">
        <f>IF(ISERROR(FIND('112'!$M$9,G1554,1)),"",IF((AND(FIND('112'!$M$9,G1554,1)&gt;=1,$B1554&gt;='112'!$N$8,$B1554&lt;='112'!$O$8,OR($L1554='112'!$I$6,$M1554='112'!$I$6))),"x",""))</f>
        <v/>
      </c>
      <c r="S1554" s="525" t="str">
        <f>IF(ISERROR(FIND('112'!$M$9,G1554,1)),"",IF((AND(LEFT(G1554,2)=LEFT('112'!$M$9,2),B1554&lt;'112'!$N$8,$L1554='112'!$I$6)),"x",""))</f>
        <v/>
      </c>
      <c r="T1554" s="525" t="str">
        <f>IF(ISERROR(FIND('112'!$M$9,G1554,1)),"",IF((AND(RIGHT(G1554,2)=RIGHT('112'!$M$9,2),B1554&lt;'112'!$N$8,$M1554='112'!$I$6)),"x",""))</f>
        <v/>
      </c>
      <c r="U1554" s="525" t="str">
        <f>IF(AND(B1554&gt;='IN-NX'!$P$3,B1554&lt;='IN-NX'!$Q$3,'IN-NX'!$D$7=D1554,OR(LEFT(L1554,2)="15",AND(LEFT(M1554,2)&lt;&gt;"15",LEFT(M1554,2)&lt;&gt;"33"))),"x","")</f>
        <v/>
      </c>
      <c r="V1554" s="525" t="str">
        <f>IF(AND(OR(LEFT(TH!L1554,2)="15",LEFT(TH!M1554,2)="15"),'152-CT'!$J$8=TH!F1554),"x","")</f>
        <v/>
      </c>
      <c r="W1554" s="525" t="str">
        <f>IF(AND(OR(LEFT(TH!L1554,2)="15",LEFT(TH!M1554,2)="15"),TK!$E$7=TH!F1554),"x","")</f>
        <v/>
      </c>
      <c r="X1554" s="525" t="str">
        <f>IF(AND('341-CT'!$E$9=H1554,OR(LEFT(L1554,3)=$X$7,LEFT(M1554,3)=$X$7)),"x","")</f>
        <v/>
      </c>
      <c r="Y1554" s="525" t="str">
        <f>IF(OR(TH!L1554=TH!$Y$7,M1554=TH!$Y$7),"x","")</f>
        <v/>
      </c>
      <c r="Z1554" s="525" t="str">
        <f>IF(AND(B1554&lt;=NKC!$N$8,B1554&gt;=NKC!$M$8),"x","")</f>
        <v>x</v>
      </c>
      <c r="AA1554" s="535">
        <v>1</v>
      </c>
      <c r="AB1554" s="503"/>
      <c r="AC1554" s="503"/>
      <c r="AD1554" s="503"/>
      <c r="AE1554" s="503"/>
    </row>
    <row r="1555" spans="1:31" s="576" customFormat="1" ht="15.75" customHeight="1">
      <c r="A1555" s="517" t="str">
        <f>IF(B1555&lt;&gt;"",IF(AND(B1555&gt;=_TM1,B1555&lt;=_TM2,OR(TH!L1555="1111",TH!M1555="1111")),TH!D1555,""),"")</f>
        <v/>
      </c>
      <c r="B1555" s="531">
        <f t="shared" si="151"/>
        <v>3</v>
      </c>
      <c r="C1555" s="315">
        <f t="shared" si="152"/>
        <v>42821</v>
      </c>
      <c r="D1555" s="537" t="s">
        <v>990</v>
      </c>
      <c r="E1555" s="288">
        <v>42821</v>
      </c>
      <c r="F1555" s="249" t="s">
        <v>731</v>
      </c>
      <c r="G1555" s="538" t="s">
        <v>609</v>
      </c>
      <c r="H1555" s="473" t="s">
        <v>349</v>
      </c>
      <c r="I1555" s="307">
        <v>12</v>
      </c>
      <c r="J1555" s="307">
        <v>54883</v>
      </c>
      <c r="K1555" s="532">
        <f t="shared" si="154"/>
        <v>658596</v>
      </c>
      <c r="L1555" s="534" t="s">
        <v>292</v>
      </c>
      <c r="M1555" s="534" t="s">
        <v>8</v>
      </c>
      <c r="N1555" s="525" t="str">
        <f>IF(AND('331-CT'!$E$7=TH!H1555,OR(L1555="331",M1555="331")),"331",IF(AND(OR(L1555="131",M1555="131"),H1555='131-CT'!$E$7),"131",""))</f>
        <v/>
      </c>
      <c r="O1555" s="525" t="str">
        <f>IF(AND($B1555&gt;='111'!$N$11,$B1555&lt;='111'!$O$11,OR($L1555=$O$7,$M1555=$O$7)),"x","")</f>
        <v/>
      </c>
      <c r="P1555" s="525" t="str">
        <f>IF(AND($L1555=$O$7,$B1555&lt;'111'!$N$11),"x","")</f>
        <v/>
      </c>
      <c r="Q1555" s="525" t="str">
        <f>IF(AND($M1555=$O$7,$B1555&lt;'111'!$N$11),"x","")</f>
        <v/>
      </c>
      <c r="R1555" s="525" t="str">
        <f>IF(ISERROR(FIND('112'!$M$9,G1555,1)),"",IF((AND(FIND('112'!$M$9,G1555,1)&gt;=1,$B1555&gt;='112'!$N$8,$B1555&lt;='112'!$O$8,OR($L1555='112'!$I$6,$M1555='112'!$I$6))),"x",""))</f>
        <v/>
      </c>
      <c r="S1555" s="525" t="str">
        <f>IF(ISERROR(FIND('112'!$M$9,G1555,1)),"",IF((AND(LEFT(G1555,2)=LEFT('112'!$M$9,2),B1555&lt;'112'!$N$8,$L1555='112'!$I$6)),"x",""))</f>
        <v/>
      </c>
      <c r="T1555" s="525" t="str">
        <f>IF(ISERROR(FIND('112'!$M$9,G1555,1)),"",IF((AND(RIGHT(G1555,2)=RIGHT('112'!$M$9,2),B1555&lt;'112'!$N$8,$M1555='112'!$I$6)),"x",""))</f>
        <v/>
      </c>
      <c r="U1555" s="525" t="str">
        <f>IF(AND(B1555&gt;='IN-NX'!$P$3,B1555&lt;='IN-NX'!$Q$3,'IN-NX'!$D$7=D1555,OR(LEFT(L1555,2)="15",AND(LEFT(M1555,2)&lt;&gt;"15",LEFT(M1555,2)&lt;&gt;"33"))),"x","")</f>
        <v/>
      </c>
      <c r="V1555" s="525" t="str">
        <f>IF(AND(OR(LEFT(TH!L1555,2)="15",LEFT(TH!M1555,2)="15"),'152-CT'!$J$8=TH!F1555),"x","")</f>
        <v/>
      </c>
      <c r="W1555" s="525" t="str">
        <f>IF(AND(OR(LEFT(TH!L1555,2)="15",LEFT(TH!M1555,2)="15"),TK!$E$7=TH!F1555),"x","")</f>
        <v/>
      </c>
      <c r="X1555" s="525" t="str">
        <f>IF(AND('341-CT'!$E$9=H1555,OR(LEFT(L1555,3)=$X$7,LEFT(M1555,3)=$X$7)),"x","")</f>
        <v/>
      </c>
      <c r="Y1555" s="525" t="str">
        <f>IF(OR(TH!L1555=TH!$Y$7,M1555=TH!$Y$7),"x","")</f>
        <v/>
      </c>
      <c r="Z1555" s="525" t="str">
        <f>IF(AND(B1555&lt;=NKC!$N$8,B1555&gt;=NKC!$M$8),"x","")</f>
        <v>x</v>
      </c>
      <c r="AA1555" s="535">
        <v>1</v>
      </c>
      <c r="AB1555" s="503"/>
      <c r="AC1555" s="503"/>
      <c r="AD1555" s="503"/>
      <c r="AE1555" s="503"/>
    </row>
    <row r="1556" spans="1:31" s="576" customFormat="1" ht="15.75" customHeight="1">
      <c r="A1556" s="517" t="str">
        <f>IF(B1556&lt;&gt;"",IF(AND(B1556&gt;=_TM1,B1556&lt;=_TM2,OR(TH!L1556="1111",TH!M1556="1111")),TH!D1556,""),"")</f>
        <v/>
      </c>
      <c r="B1556" s="531">
        <f t="shared" ref="B1556:B1610" si="155">IF(C1556&lt;&gt;"",MONTH(C1556),"")</f>
        <v>3</v>
      </c>
      <c r="C1556" s="315">
        <f t="shared" ref="C1556:C1610" si="156">E1556</f>
        <v>42821</v>
      </c>
      <c r="D1556" s="537" t="s">
        <v>990</v>
      </c>
      <c r="E1556" s="288">
        <v>42821</v>
      </c>
      <c r="F1556" s="245" t="s">
        <v>732</v>
      </c>
      <c r="G1556" s="538" t="s">
        <v>609</v>
      </c>
      <c r="H1556" s="473" t="s">
        <v>349</v>
      </c>
      <c r="I1556" s="307">
        <v>10</v>
      </c>
      <c r="J1556" s="307">
        <v>52044</v>
      </c>
      <c r="K1556" s="532">
        <f t="shared" ref="K1556:K1570" si="157">ROUND(I1556*J1556,0)</f>
        <v>520440</v>
      </c>
      <c r="L1556" s="534" t="s">
        <v>292</v>
      </c>
      <c r="M1556" s="534" t="s">
        <v>8</v>
      </c>
      <c r="N1556" s="525" t="str">
        <f>IF(AND('331-CT'!$E$7=TH!H1556,OR(L1556="331",M1556="331")),"331",IF(AND(OR(L1556="131",M1556="131"),H1556='131-CT'!$E$7),"131",""))</f>
        <v/>
      </c>
      <c r="O1556" s="525" t="str">
        <f>IF(AND($B1556&gt;='111'!$N$11,$B1556&lt;='111'!$O$11,OR($L1556=$O$7,$M1556=$O$7)),"x","")</f>
        <v/>
      </c>
      <c r="P1556" s="525" t="str">
        <f>IF(AND($L1556=$O$7,$B1556&lt;'111'!$N$11),"x","")</f>
        <v/>
      </c>
      <c r="Q1556" s="525" t="str">
        <f>IF(AND($M1556=$O$7,$B1556&lt;'111'!$N$11),"x","")</f>
        <v/>
      </c>
      <c r="R1556" s="525" t="str">
        <f>IF(ISERROR(FIND('112'!$M$9,G1556,1)),"",IF((AND(FIND('112'!$M$9,G1556,1)&gt;=1,$B1556&gt;='112'!$N$8,$B1556&lt;='112'!$O$8,OR($L1556='112'!$I$6,$M1556='112'!$I$6))),"x",""))</f>
        <v/>
      </c>
      <c r="S1556" s="525" t="str">
        <f>IF(ISERROR(FIND('112'!$M$9,G1556,1)),"",IF((AND(LEFT(G1556,2)=LEFT('112'!$M$9,2),B1556&lt;'112'!$N$8,$L1556='112'!$I$6)),"x",""))</f>
        <v/>
      </c>
      <c r="T1556" s="525" t="str">
        <f>IF(ISERROR(FIND('112'!$M$9,G1556,1)),"",IF((AND(RIGHT(G1556,2)=RIGHT('112'!$M$9,2),B1556&lt;'112'!$N$8,$M1556='112'!$I$6)),"x",""))</f>
        <v/>
      </c>
      <c r="U1556" s="525" t="str">
        <f>IF(AND(B1556&gt;='IN-NX'!$P$3,B1556&lt;='IN-NX'!$Q$3,'IN-NX'!$D$7=D1556,OR(LEFT(L1556,2)="15",AND(LEFT(M1556,2)&lt;&gt;"15",LEFT(M1556,2)&lt;&gt;"33"))),"x","")</f>
        <v/>
      </c>
      <c r="V1556" s="525" t="str">
        <f>IF(AND(OR(LEFT(TH!L1556,2)="15",LEFT(TH!M1556,2)="15"),'152-CT'!$J$8=TH!F1556),"x","")</f>
        <v/>
      </c>
      <c r="W1556" s="525" t="str">
        <f>IF(AND(OR(LEFT(TH!L1556,2)="15",LEFT(TH!M1556,2)="15"),TK!$E$7=TH!F1556),"x","")</f>
        <v/>
      </c>
      <c r="X1556" s="525" t="str">
        <f>IF(AND('341-CT'!$E$9=H1556,OR(LEFT(L1556,3)=$X$7,LEFT(M1556,3)=$X$7)),"x","")</f>
        <v/>
      </c>
      <c r="Y1556" s="525" t="str">
        <f>IF(OR(TH!L1556=TH!$Y$7,M1556=TH!$Y$7),"x","")</f>
        <v/>
      </c>
      <c r="Z1556" s="525" t="str">
        <f>IF(AND(B1556&lt;=NKC!$N$8,B1556&gt;=NKC!$M$8),"x","")</f>
        <v>x</v>
      </c>
      <c r="AA1556" s="535">
        <v>1</v>
      </c>
      <c r="AB1556" s="503"/>
      <c r="AC1556" s="503"/>
      <c r="AD1556" s="503"/>
      <c r="AE1556" s="503"/>
    </row>
    <row r="1557" spans="1:31" s="576" customFormat="1" ht="15.75" customHeight="1">
      <c r="A1557" s="517" t="str">
        <f>IF(B1557&lt;&gt;"",IF(AND(B1557&gt;=_TM1,B1557&lt;=_TM2,OR(TH!L1557="1111",TH!M1557="1111")),TH!D1557,""),"")</f>
        <v/>
      </c>
      <c r="B1557" s="531">
        <f t="shared" si="155"/>
        <v>3</v>
      </c>
      <c r="C1557" s="315">
        <f t="shared" si="156"/>
        <v>42821</v>
      </c>
      <c r="D1557" s="537" t="s">
        <v>990</v>
      </c>
      <c r="E1557" s="288">
        <v>42821</v>
      </c>
      <c r="F1557" s="249" t="s">
        <v>733</v>
      </c>
      <c r="G1557" s="538" t="s">
        <v>609</v>
      </c>
      <c r="H1557" s="473" t="s">
        <v>349</v>
      </c>
      <c r="I1557" s="307">
        <v>100</v>
      </c>
      <c r="J1557" s="307">
        <v>42608</v>
      </c>
      <c r="K1557" s="532">
        <f t="shared" si="157"/>
        <v>4260800</v>
      </c>
      <c r="L1557" s="534" t="s">
        <v>292</v>
      </c>
      <c r="M1557" s="534" t="s">
        <v>8</v>
      </c>
      <c r="N1557" s="525" t="str">
        <f>IF(AND('331-CT'!$E$7=TH!H1557,OR(L1557="331",M1557="331")),"331",IF(AND(OR(L1557="131",M1557="131"),H1557='131-CT'!$E$7),"131",""))</f>
        <v/>
      </c>
      <c r="O1557" s="525" t="str">
        <f>IF(AND($B1557&gt;='111'!$N$11,$B1557&lt;='111'!$O$11,OR($L1557=$O$7,$M1557=$O$7)),"x","")</f>
        <v/>
      </c>
      <c r="P1557" s="525" t="str">
        <f>IF(AND($L1557=$O$7,$B1557&lt;'111'!$N$11),"x","")</f>
        <v/>
      </c>
      <c r="Q1557" s="525" t="str">
        <f>IF(AND($M1557=$O$7,$B1557&lt;'111'!$N$11),"x","")</f>
        <v/>
      </c>
      <c r="R1557" s="525" t="str">
        <f>IF(ISERROR(FIND('112'!$M$9,G1557,1)),"",IF((AND(FIND('112'!$M$9,G1557,1)&gt;=1,$B1557&gt;='112'!$N$8,$B1557&lt;='112'!$O$8,OR($L1557='112'!$I$6,$M1557='112'!$I$6))),"x",""))</f>
        <v/>
      </c>
      <c r="S1557" s="525" t="str">
        <f>IF(ISERROR(FIND('112'!$M$9,G1557,1)),"",IF((AND(LEFT(G1557,2)=LEFT('112'!$M$9,2),B1557&lt;'112'!$N$8,$L1557='112'!$I$6)),"x",""))</f>
        <v/>
      </c>
      <c r="T1557" s="525" t="str">
        <f>IF(ISERROR(FIND('112'!$M$9,G1557,1)),"",IF((AND(RIGHT(G1557,2)=RIGHT('112'!$M$9,2),B1557&lt;'112'!$N$8,$M1557='112'!$I$6)),"x",""))</f>
        <v/>
      </c>
      <c r="U1557" s="525" t="str">
        <f>IF(AND(B1557&gt;='IN-NX'!$P$3,B1557&lt;='IN-NX'!$Q$3,'IN-NX'!$D$7=D1557,OR(LEFT(L1557,2)="15",AND(LEFT(M1557,2)&lt;&gt;"15",LEFT(M1557,2)&lt;&gt;"33"))),"x","")</f>
        <v/>
      </c>
      <c r="V1557" s="525" t="str">
        <f>IF(AND(OR(LEFT(TH!L1557,2)="15",LEFT(TH!M1557,2)="15"),'152-CT'!$J$8=TH!F1557),"x","")</f>
        <v/>
      </c>
      <c r="W1557" s="525" t="str">
        <f>IF(AND(OR(LEFT(TH!L1557,2)="15",LEFT(TH!M1557,2)="15"),TK!$E$7=TH!F1557),"x","")</f>
        <v/>
      </c>
      <c r="X1557" s="525" t="str">
        <f>IF(AND('341-CT'!$E$9=H1557,OR(LEFT(L1557,3)=$X$7,LEFT(M1557,3)=$X$7)),"x","")</f>
        <v/>
      </c>
      <c r="Y1557" s="525" t="str">
        <f>IF(OR(TH!L1557=TH!$Y$7,M1557=TH!$Y$7),"x","")</f>
        <v/>
      </c>
      <c r="Z1557" s="525" t="str">
        <f>IF(AND(B1557&lt;=NKC!$N$8,B1557&gt;=NKC!$M$8),"x","")</f>
        <v>x</v>
      </c>
      <c r="AA1557" s="535">
        <v>1</v>
      </c>
      <c r="AB1557" s="503"/>
      <c r="AC1557" s="503"/>
      <c r="AD1557" s="503"/>
      <c r="AE1557" s="503"/>
    </row>
    <row r="1558" spans="1:31" s="576" customFormat="1" ht="15.75" customHeight="1">
      <c r="A1558" s="517" t="str">
        <f>IF(B1558&lt;&gt;"",IF(AND(B1558&gt;=_TM1,B1558&lt;=_TM2,OR(TH!L1558="1111",TH!M1558="1111")),TH!D1558,""),"")</f>
        <v/>
      </c>
      <c r="B1558" s="531">
        <f t="shared" si="155"/>
        <v>3</v>
      </c>
      <c r="C1558" s="315">
        <f t="shared" si="156"/>
        <v>42821</v>
      </c>
      <c r="D1558" s="537" t="s">
        <v>990</v>
      </c>
      <c r="E1558" s="288">
        <v>42821</v>
      </c>
      <c r="F1558" s="249" t="s">
        <v>734</v>
      </c>
      <c r="G1558" s="538" t="s">
        <v>609</v>
      </c>
      <c r="H1558" s="473" t="s">
        <v>349</v>
      </c>
      <c r="I1558" s="307">
        <v>26</v>
      </c>
      <c r="J1558" s="307">
        <v>88471</v>
      </c>
      <c r="K1558" s="532">
        <f t="shared" si="157"/>
        <v>2300246</v>
      </c>
      <c r="L1558" s="534" t="s">
        <v>292</v>
      </c>
      <c r="M1558" s="534" t="s">
        <v>8</v>
      </c>
      <c r="N1558" s="525" t="str">
        <f>IF(AND('331-CT'!$E$7=TH!H1558,OR(L1558="331",M1558="331")),"331",IF(AND(OR(L1558="131",M1558="131"),H1558='131-CT'!$E$7),"131",""))</f>
        <v/>
      </c>
      <c r="O1558" s="525" t="str">
        <f>IF(AND($B1558&gt;='111'!$N$11,$B1558&lt;='111'!$O$11,OR($L1558=$O$7,$M1558=$O$7)),"x","")</f>
        <v/>
      </c>
      <c r="P1558" s="525" t="str">
        <f>IF(AND($L1558=$O$7,$B1558&lt;'111'!$N$11),"x","")</f>
        <v/>
      </c>
      <c r="Q1558" s="525" t="str">
        <f>IF(AND($M1558=$O$7,$B1558&lt;'111'!$N$11),"x","")</f>
        <v/>
      </c>
      <c r="R1558" s="525" t="str">
        <f>IF(ISERROR(FIND('112'!$M$9,G1558,1)),"",IF((AND(FIND('112'!$M$9,G1558,1)&gt;=1,$B1558&gt;='112'!$N$8,$B1558&lt;='112'!$O$8,OR($L1558='112'!$I$6,$M1558='112'!$I$6))),"x",""))</f>
        <v/>
      </c>
      <c r="S1558" s="525" t="str">
        <f>IF(ISERROR(FIND('112'!$M$9,G1558,1)),"",IF((AND(LEFT(G1558,2)=LEFT('112'!$M$9,2),B1558&lt;'112'!$N$8,$L1558='112'!$I$6)),"x",""))</f>
        <v/>
      </c>
      <c r="T1558" s="525" t="str">
        <f>IF(ISERROR(FIND('112'!$M$9,G1558,1)),"",IF((AND(RIGHT(G1558,2)=RIGHT('112'!$M$9,2),B1558&lt;'112'!$N$8,$M1558='112'!$I$6)),"x",""))</f>
        <v/>
      </c>
      <c r="U1558" s="525" t="str">
        <f>IF(AND(B1558&gt;='IN-NX'!$P$3,B1558&lt;='IN-NX'!$Q$3,'IN-NX'!$D$7=D1558,OR(LEFT(L1558,2)="15",AND(LEFT(M1558,2)&lt;&gt;"15",LEFT(M1558,2)&lt;&gt;"33"))),"x","")</f>
        <v/>
      </c>
      <c r="V1558" s="525" t="str">
        <f>IF(AND(OR(LEFT(TH!L1558,2)="15",LEFT(TH!M1558,2)="15"),'152-CT'!$J$8=TH!F1558),"x","")</f>
        <v/>
      </c>
      <c r="W1558" s="525" t="str">
        <f>IF(AND(OR(LEFT(TH!L1558,2)="15",LEFT(TH!M1558,2)="15"),TK!$E$7=TH!F1558),"x","")</f>
        <v/>
      </c>
      <c r="X1558" s="525" t="str">
        <f>IF(AND('341-CT'!$E$9=H1558,OR(LEFT(L1558,3)=$X$7,LEFT(M1558,3)=$X$7)),"x","")</f>
        <v/>
      </c>
      <c r="Y1558" s="525" t="str">
        <f>IF(OR(TH!L1558=TH!$Y$7,M1558=TH!$Y$7),"x","")</f>
        <v/>
      </c>
      <c r="Z1558" s="525" t="str">
        <f>IF(AND(B1558&lt;=NKC!$N$8,B1558&gt;=NKC!$M$8),"x","")</f>
        <v>x</v>
      </c>
      <c r="AA1558" s="535">
        <v>1</v>
      </c>
      <c r="AB1558" s="503"/>
      <c r="AC1558" s="503"/>
      <c r="AD1558" s="503"/>
      <c r="AE1558" s="503"/>
    </row>
    <row r="1559" spans="1:31" s="576" customFormat="1" ht="15.75" customHeight="1">
      <c r="A1559" s="517" t="str">
        <f>IF(B1559&lt;&gt;"",IF(AND(B1559&gt;=_TM1,B1559&lt;=_TM2,OR(TH!L1559="1111",TH!M1559="1111")),TH!D1559,""),"")</f>
        <v/>
      </c>
      <c r="B1559" s="531">
        <f t="shared" si="155"/>
        <v>3</v>
      </c>
      <c r="C1559" s="315">
        <f t="shared" si="156"/>
        <v>42821</v>
      </c>
      <c r="D1559" s="537" t="s">
        <v>990</v>
      </c>
      <c r="E1559" s="288">
        <v>42821</v>
      </c>
      <c r="F1559" s="249" t="s">
        <v>687</v>
      </c>
      <c r="G1559" s="538" t="s">
        <v>609</v>
      </c>
      <c r="H1559" s="473" t="s">
        <v>349</v>
      </c>
      <c r="I1559" s="307">
        <v>6</v>
      </c>
      <c r="J1559" s="307">
        <v>41341</v>
      </c>
      <c r="K1559" s="532">
        <f t="shared" si="157"/>
        <v>248046</v>
      </c>
      <c r="L1559" s="534" t="s">
        <v>292</v>
      </c>
      <c r="M1559" s="534" t="s">
        <v>8</v>
      </c>
      <c r="N1559" s="525" t="str">
        <f>IF(AND('331-CT'!$E$7=TH!H1559,OR(L1559="331",M1559="331")),"331",IF(AND(OR(L1559="131",M1559="131"),H1559='131-CT'!$E$7),"131",""))</f>
        <v/>
      </c>
      <c r="O1559" s="525" t="str">
        <f>IF(AND($B1559&gt;='111'!$N$11,$B1559&lt;='111'!$O$11,OR($L1559=$O$7,$M1559=$O$7)),"x","")</f>
        <v/>
      </c>
      <c r="P1559" s="525" t="str">
        <f>IF(AND($L1559=$O$7,$B1559&lt;'111'!$N$11),"x","")</f>
        <v/>
      </c>
      <c r="Q1559" s="525" t="str">
        <f>IF(AND($M1559=$O$7,$B1559&lt;'111'!$N$11),"x","")</f>
        <v/>
      </c>
      <c r="R1559" s="525" t="str">
        <f>IF(ISERROR(FIND('112'!$M$9,G1559,1)),"",IF((AND(FIND('112'!$M$9,G1559,1)&gt;=1,$B1559&gt;='112'!$N$8,$B1559&lt;='112'!$O$8,OR($L1559='112'!$I$6,$M1559='112'!$I$6))),"x",""))</f>
        <v/>
      </c>
      <c r="S1559" s="525" t="str">
        <f>IF(ISERROR(FIND('112'!$M$9,G1559,1)),"",IF((AND(LEFT(G1559,2)=LEFT('112'!$M$9,2),B1559&lt;'112'!$N$8,$L1559='112'!$I$6)),"x",""))</f>
        <v/>
      </c>
      <c r="T1559" s="525" t="str">
        <f>IF(ISERROR(FIND('112'!$M$9,G1559,1)),"",IF((AND(RIGHT(G1559,2)=RIGHT('112'!$M$9,2),B1559&lt;'112'!$N$8,$M1559='112'!$I$6)),"x",""))</f>
        <v/>
      </c>
      <c r="U1559" s="525" t="str">
        <f>IF(AND(B1559&gt;='IN-NX'!$P$3,B1559&lt;='IN-NX'!$Q$3,'IN-NX'!$D$7=D1559,OR(LEFT(L1559,2)="15",AND(LEFT(M1559,2)&lt;&gt;"15",LEFT(M1559,2)&lt;&gt;"33"))),"x","")</f>
        <v/>
      </c>
      <c r="V1559" s="525" t="str">
        <f>IF(AND(OR(LEFT(TH!L1559,2)="15",LEFT(TH!M1559,2)="15"),'152-CT'!$J$8=TH!F1559),"x","")</f>
        <v/>
      </c>
      <c r="W1559" s="525" t="str">
        <f>IF(AND(OR(LEFT(TH!L1559,2)="15",LEFT(TH!M1559,2)="15"),TK!$E$7=TH!F1559),"x","")</f>
        <v/>
      </c>
      <c r="X1559" s="525" t="str">
        <f>IF(AND('341-CT'!$E$9=H1559,OR(LEFT(L1559,3)=$X$7,LEFT(M1559,3)=$X$7)),"x","")</f>
        <v/>
      </c>
      <c r="Y1559" s="525" t="str">
        <f>IF(OR(TH!L1559=TH!$Y$7,M1559=TH!$Y$7),"x","")</f>
        <v/>
      </c>
      <c r="Z1559" s="525" t="str">
        <f>IF(AND(B1559&lt;=NKC!$N$8,B1559&gt;=NKC!$M$8),"x","")</f>
        <v>x</v>
      </c>
      <c r="AA1559" s="535">
        <v>1</v>
      </c>
      <c r="AB1559" s="503"/>
      <c r="AC1559" s="503"/>
      <c r="AD1559" s="503"/>
      <c r="AE1559" s="503"/>
    </row>
    <row r="1560" spans="1:31" s="576" customFormat="1" ht="15.75" customHeight="1">
      <c r="A1560" s="517" t="str">
        <f>IF(B1560&lt;&gt;"",IF(AND(B1560&gt;=_TM1,B1560&lt;=_TM2,OR(TH!L1560="1111",TH!M1560="1111")),TH!D1560,""),"")</f>
        <v/>
      </c>
      <c r="B1560" s="531">
        <f t="shared" si="155"/>
        <v>3</v>
      </c>
      <c r="C1560" s="315">
        <f t="shared" si="156"/>
        <v>42821</v>
      </c>
      <c r="D1560" s="537" t="s">
        <v>990</v>
      </c>
      <c r="E1560" s="288">
        <v>42821</v>
      </c>
      <c r="F1560" s="245" t="s">
        <v>704</v>
      </c>
      <c r="G1560" s="538" t="s">
        <v>609</v>
      </c>
      <c r="H1560" s="473" t="s">
        <v>349</v>
      </c>
      <c r="I1560" s="307">
        <v>246</v>
      </c>
      <c r="J1560" s="307">
        <v>17250</v>
      </c>
      <c r="K1560" s="532">
        <f t="shared" si="157"/>
        <v>4243500</v>
      </c>
      <c r="L1560" s="534" t="s">
        <v>292</v>
      </c>
      <c r="M1560" s="534" t="s">
        <v>8</v>
      </c>
      <c r="N1560" s="525" t="str">
        <f>IF(AND('331-CT'!$E$7=TH!H1560,OR(L1560="331",M1560="331")),"331",IF(AND(OR(L1560="131",M1560="131"),H1560='131-CT'!$E$7),"131",""))</f>
        <v/>
      </c>
      <c r="O1560" s="525" t="str">
        <f>IF(AND($B1560&gt;='111'!$N$11,$B1560&lt;='111'!$O$11,OR($L1560=$O$7,$M1560=$O$7)),"x","")</f>
        <v/>
      </c>
      <c r="P1560" s="525" t="str">
        <f>IF(AND($L1560=$O$7,$B1560&lt;'111'!$N$11),"x","")</f>
        <v/>
      </c>
      <c r="Q1560" s="525" t="str">
        <f>IF(AND($M1560=$O$7,$B1560&lt;'111'!$N$11),"x","")</f>
        <v/>
      </c>
      <c r="R1560" s="525" t="str">
        <f>IF(ISERROR(FIND('112'!$M$9,G1560,1)),"",IF((AND(FIND('112'!$M$9,G1560,1)&gt;=1,$B1560&gt;='112'!$N$8,$B1560&lt;='112'!$O$8,OR($L1560='112'!$I$6,$M1560='112'!$I$6))),"x",""))</f>
        <v/>
      </c>
      <c r="S1560" s="525" t="str">
        <f>IF(ISERROR(FIND('112'!$M$9,G1560,1)),"",IF((AND(LEFT(G1560,2)=LEFT('112'!$M$9,2),B1560&lt;'112'!$N$8,$L1560='112'!$I$6)),"x",""))</f>
        <v/>
      </c>
      <c r="T1560" s="525" t="str">
        <f>IF(ISERROR(FIND('112'!$M$9,G1560,1)),"",IF((AND(RIGHT(G1560,2)=RIGHT('112'!$M$9,2),B1560&lt;'112'!$N$8,$M1560='112'!$I$6)),"x",""))</f>
        <v/>
      </c>
      <c r="U1560" s="525" t="str">
        <f>IF(AND(B1560&gt;='IN-NX'!$P$3,B1560&lt;='IN-NX'!$Q$3,'IN-NX'!$D$7=D1560,OR(LEFT(L1560,2)="15",AND(LEFT(M1560,2)&lt;&gt;"15",LEFT(M1560,2)&lt;&gt;"33"))),"x","")</f>
        <v/>
      </c>
      <c r="V1560" s="525" t="str">
        <f>IF(AND(OR(LEFT(TH!L1560,2)="15",LEFT(TH!M1560,2)="15"),'152-CT'!$J$8=TH!F1560),"x","")</f>
        <v/>
      </c>
      <c r="W1560" s="525" t="str">
        <f>IF(AND(OR(LEFT(TH!L1560,2)="15",LEFT(TH!M1560,2)="15"),TK!$E$7=TH!F1560),"x","")</f>
        <v/>
      </c>
      <c r="X1560" s="525" t="str">
        <f>IF(AND('341-CT'!$E$9=H1560,OR(LEFT(L1560,3)=$X$7,LEFT(M1560,3)=$X$7)),"x","")</f>
        <v/>
      </c>
      <c r="Y1560" s="525" t="str">
        <f>IF(OR(TH!L1560=TH!$Y$7,M1560=TH!$Y$7),"x","")</f>
        <v/>
      </c>
      <c r="Z1560" s="525" t="str">
        <f>IF(AND(B1560&lt;=NKC!$N$8,B1560&gt;=NKC!$M$8),"x","")</f>
        <v>x</v>
      </c>
      <c r="AA1560" s="535">
        <v>1</v>
      </c>
      <c r="AB1560" s="503"/>
      <c r="AC1560" s="503"/>
      <c r="AD1560" s="503"/>
      <c r="AE1560" s="503"/>
    </row>
    <row r="1561" spans="1:31" s="576" customFormat="1" ht="15.75" customHeight="1">
      <c r="A1561" s="517" t="str">
        <f>IF(B1561&lt;&gt;"",IF(AND(B1561&gt;=_TM1,B1561&lt;=_TM2,OR(TH!L1561="1111",TH!M1561="1111")),TH!D1561,""),"")</f>
        <v/>
      </c>
      <c r="B1561" s="531">
        <f t="shared" si="155"/>
        <v>3</v>
      </c>
      <c r="C1561" s="315">
        <f t="shared" si="156"/>
        <v>42821</v>
      </c>
      <c r="D1561" s="537" t="s">
        <v>990</v>
      </c>
      <c r="E1561" s="288">
        <v>42821</v>
      </c>
      <c r="F1561" s="249" t="s">
        <v>705</v>
      </c>
      <c r="G1561" s="538" t="s">
        <v>609</v>
      </c>
      <c r="H1561" s="473" t="s">
        <v>349</v>
      </c>
      <c r="I1561" s="307">
        <v>32</v>
      </c>
      <c r="J1561" s="307">
        <v>44442</v>
      </c>
      <c r="K1561" s="532">
        <f t="shared" si="157"/>
        <v>1422144</v>
      </c>
      <c r="L1561" s="534" t="s">
        <v>292</v>
      </c>
      <c r="M1561" s="534" t="s">
        <v>8</v>
      </c>
      <c r="N1561" s="525" t="str">
        <f>IF(AND('331-CT'!$E$7=TH!H1561,OR(L1561="331",M1561="331")),"331",IF(AND(OR(L1561="131",M1561="131"),H1561='131-CT'!$E$7),"131",""))</f>
        <v/>
      </c>
      <c r="O1561" s="525" t="str">
        <f>IF(AND($B1561&gt;='111'!$N$11,$B1561&lt;='111'!$O$11,OR($L1561=$O$7,$M1561=$O$7)),"x","")</f>
        <v/>
      </c>
      <c r="P1561" s="525" t="str">
        <f>IF(AND($L1561=$O$7,$B1561&lt;'111'!$N$11),"x","")</f>
        <v/>
      </c>
      <c r="Q1561" s="525" t="str">
        <f>IF(AND($M1561=$O$7,$B1561&lt;'111'!$N$11),"x","")</f>
        <v/>
      </c>
      <c r="R1561" s="525" t="str">
        <f>IF(ISERROR(FIND('112'!$M$9,G1561,1)),"",IF((AND(FIND('112'!$M$9,G1561,1)&gt;=1,$B1561&gt;='112'!$N$8,$B1561&lt;='112'!$O$8,OR($L1561='112'!$I$6,$M1561='112'!$I$6))),"x",""))</f>
        <v/>
      </c>
      <c r="S1561" s="525" t="str">
        <f>IF(ISERROR(FIND('112'!$M$9,G1561,1)),"",IF((AND(LEFT(G1561,2)=LEFT('112'!$M$9,2),B1561&lt;'112'!$N$8,$L1561='112'!$I$6)),"x",""))</f>
        <v/>
      </c>
      <c r="T1561" s="525" t="str">
        <f>IF(ISERROR(FIND('112'!$M$9,G1561,1)),"",IF((AND(RIGHT(G1561,2)=RIGHT('112'!$M$9,2),B1561&lt;'112'!$N$8,$M1561='112'!$I$6)),"x",""))</f>
        <v/>
      </c>
      <c r="U1561" s="525" t="str">
        <f>IF(AND(B1561&gt;='IN-NX'!$P$3,B1561&lt;='IN-NX'!$Q$3,'IN-NX'!$D$7=D1561,OR(LEFT(L1561,2)="15",AND(LEFT(M1561,2)&lt;&gt;"15",LEFT(M1561,2)&lt;&gt;"33"))),"x","")</f>
        <v/>
      </c>
      <c r="V1561" s="525" t="str">
        <f>IF(AND(OR(LEFT(TH!L1561,2)="15",LEFT(TH!M1561,2)="15"),'152-CT'!$J$8=TH!F1561),"x","")</f>
        <v/>
      </c>
      <c r="W1561" s="525" t="str">
        <f>IF(AND(OR(LEFT(TH!L1561,2)="15",LEFT(TH!M1561,2)="15"),TK!$E$7=TH!F1561),"x","")</f>
        <v/>
      </c>
      <c r="X1561" s="525" t="str">
        <f>IF(AND('341-CT'!$E$9=H1561,OR(LEFT(L1561,3)=$X$7,LEFT(M1561,3)=$X$7)),"x","")</f>
        <v/>
      </c>
      <c r="Y1561" s="525" t="str">
        <f>IF(OR(TH!L1561=TH!$Y$7,M1561=TH!$Y$7),"x","")</f>
        <v/>
      </c>
      <c r="Z1561" s="525" t="str">
        <f>IF(AND(B1561&lt;=NKC!$N$8,B1561&gt;=NKC!$M$8),"x","")</f>
        <v>x</v>
      </c>
      <c r="AA1561" s="535">
        <v>1</v>
      </c>
      <c r="AB1561" s="503"/>
      <c r="AC1561" s="503"/>
      <c r="AD1561" s="503"/>
      <c r="AE1561" s="503"/>
    </row>
    <row r="1562" spans="1:31" s="576" customFormat="1" ht="15.75" customHeight="1">
      <c r="A1562" s="517" t="str">
        <f>IF(B1562&lt;&gt;"",IF(AND(B1562&gt;=_TM1,B1562&lt;=_TM2,OR(TH!L1562="1111",TH!M1562="1111")),TH!D1562,""),"")</f>
        <v/>
      </c>
      <c r="B1562" s="531">
        <f t="shared" si="155"/>
        <v>3</v>
      </c>
      <c r="C1562" s="315">
        <f t="shared" si="156"/>
        <v>42821</v>
      </c>
      <c r="D1562" s="537" t="s">
        <v>990</v>
      </c>
      <c r="E1562" s="288">
        <v>42821</v>
      </c>
      <c r="F1562" s="249" t="s">
        <v>706</v>
      </c>
      <c r="G1562" s="538" t="s">
        <v>609</v>
      </c>
      <c r="H1562" s="473" t="s">
        <v>349</v>
      </c>
      <c r="I1562" s="307">
        <v>8</v>
      </c>
      <c r="J1562" s="307">
        <v>24338</v>
      </c>
      <c r="K1562" s="532">
        <f t="shared" si="157"/>
        <v>194704</v>
      </c>
      <c r="L1562" s="534" t="s">
        <v>292</v>
      </c>
      <c r="M1562" s="534" t="s">
        <v>8</v>
      </c>
      <c r="N1562" s="525" t="str">
        <f>IF(AND('331-CT'!$E$7=TH!H1562,OR(L1562="331",M1562="331")),"331",IF(AND(OR(L1562="131",M1562="131"),H1562='131-CT'!$E$7),"131",""))</f>
        <v/>
      </c>
      <c r="O1562" s="525" t="str">
        <f>IF(AND($B1562&gt;='111'!$N$11,$B1562&lt;='111'!$O$11,OR($L1562=$O$7,$M1562=$O$7)),"x","")</f>
        <v/>
      </c>
      <c r="P1562" s="525" t="str">
        <f>IF(AND($L1562=$O$7,$B1562&lt;'111'!$N$11),"x","")</f>
        <v/>
      </c>
      <c r="Q1562" s="525" t="str">
        <f>IF(AND($M1562=$O$7,$B1562&lt;'111'!$N$11),"x","")</f>
        <v/>
      </c>
      <c r="R1562" s="525" t="str">
        <f>IF(ISERROR(FIND('112'!$M$9,G1562,1)),"",IF((AND(FIND('112'!$M$9,G1562,1)&gt;=1,$B1562&gt;='112'!$N$8,$B1562&lt;='112'!$O$8,OR($L1562='112'!$I$6,$M1562='112'!$I$6))),"x",""))</f>
        <v/>
      </c>
      <c r="S1562" s="525" t="str">
        <f>IF(ISERROR(FIND('112'!$M$9,G1562,1)),"",IF((AND(LEFT(G1562,2)=LEFT('112'!$M$9,2),B1562&lt;'112'!$N$8,$L1562='112'!$I$6)),"x",""))</f>
        <v/>
      </c>
      <c r="T1562" s="525" t="str">
        <f>IF(ISERROR(FIND('112'!$M$9,G1562,1)),"",IF((AND(RIGHT(G1562,2)=RIGHT('112'!$M$9,2),B1562&lt;'112'!$N$8,$M1562='112'!$I$6)),"x",""))</f>
        <v/>
      </c>
      <c r="U1562" s="525" t="str">
        <f>IF(AND(B1562&gt;='IN-NX'!$P$3,B1562&lt;='IN-NX'!$Q$3,'IN-NX'!$D$7=D1562,OR(LEFT(L1562,2)="15",AND(LEFT(M1562,2)&lt;&gt;"15",LEFT(M1562,2)&lt;&gt;"33"))),"x","")</f>
        <v/>
      </c>
      <c r="V1562" s="525" t="str">
        <f>IF(AND(OR(LEFT(TH!L1562,2)="15",LEFT(TH!M1562,2)="15"),'152-CT'!$J$8=TH!F1562),"x","")</f>
        <v/>
      </c>
      <c r="W1562" s="525" t="str">
        <f>IF(AND(OR(LEFT(TH!L1562,2)="15",LEFT(TH!M1562,2)="15"),TK!$E$7=TH!F1562),"x","")</f>
        <v/>
      </c>
      <c r="X1562" s="525" t="str">
        <f>IF(AND('341-CT'!$E$9=H1562,OR(LEFT(L1562,3)=$X$7,LEFT(M1562,3)=$X$7)),"x","")</f>
        <v/>
      </c>
      <c r="Y1562" s="525" t="str">
        <f>IF(OR(TH!L1562=TH!$Y$7,M1562=TH!$Y$7),"x","")</f>
        <v/>
      </c>
      <c r="Z1562" s="525" t="str">
        <f>IF(AND(B1562&lt;=NKC!$N$8,B1562&gt;=NKC!$M$8),"x","")</f>
        <v>x</v>
      </c>
      <c r="AA1562" s="535">
        <v>1</v>
      </c>
      <c r="AB1562" s="503"/>
      <c r="AC1562" s="503"/>
      <c r="AD1562" s="503"/>
      <c r="AE1562" s="503"/>
    </row>
    <row r="1563" spans="1:31" s="576" customFormat="1" ht="15.75" customHeight="1">
      <c r="A1563" s="517" t="str">
        <f>IF(B1563&lt;&gt;"",IF(AND(B1563&gt;=_TM1,B1563&lt;=_TM2,OR(TH!L1563="1111",TH!M1563="1111")),TH!D1563,""),"")</f>
        <v/>
      </c>
      <c r="B1563" s="531">
        <f t="shared" si="155"/>
        <v>3</v>
      </c>
      <c r="C1563" s="315">
        <f t="shared" si="156"/>
        <v>42821</v>
      </c>
      <c r="D1563" s="537" t="s">
        <v>990</v>
      </c>
      <c r="E1563" s="288">
        <v>42821</v>
      </c>
      <c r="F1563" s="245" t="s">
        <v>619</v>
      </c>
      <c r="G1563" s="538" t="s">
        <v>609</v>
      </c>
      <c r="H1563" s="473" t="s">
        <v>349</v>
      </c>
      <c r="I1563" s="307">
        <v>36</v>
      </c>
      <c r="J1563" s="307">
        <v>31227</v>
      </c>
      <c r="K1563" s="532">
        <f t="shared" si="157"/>
        <v>1124172</v>
      </c>
      <c r="L1563" s="534" t="s">
        <v>292</v>
      </c>
      <c r="M1563" s="534" t="s">
        <v>8</v>
      </c>
      <c r="N1563" s="525" t="str">
        <f>IF(AND('331-CT'!$E$7=TH!H1563,OR(L1563="331",M1563="331")),"331",IF(AND(OR(L1563="131",M1563="131"),H1563='131-CT'!$E$7),"131",""))</f>
        <v/>
      </c>
      <c r="O1563" s="525" t="str">
        <f>IF(AND($B1563&gt;='111'!$N$11,$B1563&lt;='111'!$O$11,OR($L1563=$O$7,$M1563=$O$7)),"x","")</f>
        <v/>
      </c>
      <c r="P1563" s="525" t="str">
        <f>IF(AND($L1563=$O$7,$B1563&lt;'111'!$N$11),"x","")</f>
        <v/>
      </c>
      <c r="Q1563" s="525" t="str">
        <f>IF(AND($M1563=$O$7,$B1563&lt;'111'!$N$11),"x","")</f>
        <v/>
      </c>
      <c r="R1563" s="525" t="str">
        <f>IF(ISERROR(FIND('112'!$M$9,G1563,1)),"",IF((AND(FIND('112'!$M$9,G1563,1)&gt;=1,$B1563&gt;='112'!$N$8,$B1563&lt;='112'!$O$8,OR($L1563='112'!$I$6,$M1563='112'!$I$6))),"x",""))</f>
        <v/>
      </c>
      <c r="S1563" s="525" t="str">
        <f>IF(ISERROR(FIND('112'!$M$9,G1563,1)),"",IF((AND(LEFT(G1563,2)=LEFT('112'!$M$9,2),B1563&lt;'112'!$N$8,$L1563='112'!$I$6)),"x",""))</f>
        <v/>
      </c>
      <c r="T1563" s="525" t="str">
        <f>IF(ISERROR(FIND('112'!$M$9,G1563,1)),"",IF((AND(RIGHT(G1563,2)=RIGHT('112'!$M$9,2),B1563&lt;'112'!$N$8,$M1563='112'!$I$6)),"x",""))</f>
        <v/>
      </c>
      <c r="U1563" s="525" t="str">
        <f>IF(AND(B1563&gt;='IN-NX'!$P$3,B1563&lt;='IN-NX'!$Q$3,'IN-NX'!$D$7=D1563,OR(LEFT(L1563,2)="15",AND(LEFT(M1563,2)&lt;&gt;"15",LEFT(M1563,2)&lt;&gt;"33"))),"x","")</f>
        <v/>
      </c>
      <c r="V1563" s="525" t="str">
        <f>IF(AND(OR(LEFT(TH!L1563,2)="15",LEFT(TH!M1563,2)="15"),'152-CT'!$J$8=TH!F1563),"x","")</f>
        <v/>
      </c>
      <c r="W1563" s="525" t="str">
        <f>IF(AND(OR(LEFT(TH!L1563,2)="15",LEFT(TH!M1563,2)="15"),TK!$E$7=TH!F1563),"x","")</f>
        <v/>
      </c>
      <c r="X1563" s="525" t="str">
        <f>IF(AND('341-CT'!$E$9=H1563,OR(LEFT(L1563,3)=$X$7,LEFT(M1563,3)=$X$7)),"x","")</f>
        <v/>
      </c>
      <c r="Y1563" s="525" t="str">
        <f>IF(OR(TH!L1563=TH!$Y$7,M1563=TH!$Y$7),"x","")</f>
        <v/>
      </c>
      <c r="Z1563" s="525" t="str">
        <f>IF(AND(B1563&lt;=NKC!$N$8,B1563&gt;=NKC!$M$8),"x","")</f>
        <v>x</v>
      </c>
      <c r="AA1563" s="535">
        <v>1</v>
      </c>
      <c r="AB1563" s="503"/>
      <c r="AC1563" s="503"/>
      <c r="AD1563" s="503"/>
      <c r="AE1563" s="503"/>
    </row>
    <row r="1564" spans="1:31" s="576" customFormat="1" ht="15.75" customHeight="1">
      <c r="A1564" s="517" t="str">
        <f>IF(B1564&lt;&gt;"",IF(AND(B1564&gt;=_TM1,B1564&lt;=_TM2,OR(TH!L1564="1111",TH!M1564="1111")),TH!D1564,""),"")</f>
        <v/>
      </c>
      <c r="B1564" s="531">
        <f t="shared" si="155"/>
        <v>3</v>
      </c>
      <c r="C1564" s="315">
        <f t="shared" si="156"/>
        <v>42821</v>
      </c>
      <c r="D1564" s="537" t="s">
        <v>991</v>
      </c>
      <c r="E1564" s="288">
        <v>42821</v>
      </c>
      <c r="F1564" s="249" t="s">
        <v>710</v>
      </c>
      <c r="G1564" s="538" t="s">
        <v>609</v>
      </c>
      <c r="H1564" s="473" t="s">
        <v>349</v>
      </c>
      <c r="I1564" s="307">
        <v>36</v>
      </c>
      <c r="J1564" s="307">
        <v>20357</v>
      </c>
      <c r="K1564" s="532">
        <f t="shared" si="157"/>
        <v>732852</v>
      </c>
      <c r="L1564" s="534" t="s">
        <v>292</v>
      </c>
      <c r="M1564" s="534" t="s">
        <v>8</v>
      </c>
      <c r="N1564" s="525" t="str">
        <f>IF(AND('331-CT'!$E$7=TH!H1564,OR(L1564="331",M1564="331")),"331",IF(AND(OR(L1564="131",M1564="131"),H1564='131-CT'!$E$7),"131",""))</f>
        <v/>
      </c>
      <c r="O1564" s="525" t="str">
        <f>IF(AND($B1564&gt;='111'!$N$11,$B1564&lt;='111'!$O$11,OR($L1564=$O$7,$M1564=$O$7)),"x","")</f>
        <v/>
      </c>
      <c r="P1564" s="525" t="str">
        <f>IF(AND($L1564=$O$7,$B1564&lt;'111'!$N$11),"x","")</f>
        <v/>
      </c>
      <c r="Q1564" s="525" t="str">
        <f>IF(AND($M1564=$O$7,$B1564&lt;'111'!$N$11),"x","")</f>
        <v/>
      </c>
      <c r="R1564" s="525" t="str">
        <f>IF(ISERROR(FIND('112'!$M$9,G1564,1)),"",IF((AND(FIND('112'!$M$9,G1564,1)&gt;=1,$B1564&gt;='112'!$N$8,$B1564&lt;='112'!$O$8,OR($L1564='112'!$I$6,$M1564='112'!$I$6))),"x",""))</f>
        <v/>
      </c>
      <c r="S1564" s="525" t="str">
        <f>IF(ISERROR(FIND('112'!$M$9,G1564,1)),"",IF((AND(LEFT(G1564,2)=LEFT('112'!$M$9,2),B1564&lt;'112'!$N$8,$L1564='112'!$I$6)),"x",""))</f>
        <v/>
      </c>
      <c r="T1564" s="525" t="str">
        <f>IF(ISERROR(FIND('112'!$M$9,G1564,1)),"",IF((AND(RIGHT(G1564,2)=RIGHT('112'!$M$9,2),B1564&lt;'112'!$N$8,$M1564='112'!$I$6)),"x",""))</f>
        <v/>
      </c>
      <c r="U1564" s="525" t="str">
        <f>IF(AND(B1564&gt;='IN-NX'!$P$3,B1564&lt;='IN-NX'!$Q$3,'IN-NX'!$D$7=D1564,OR(LEFT(L1564,2)="15",AND(LEFT(M1564,2)&lt;&gt;"15",LEFT(M1564,2)&lt;&gt;"33"))),"x","")</f>
        <v/>
      </c>
      <c r="V1564" s="525" t="str">
        <f>IF(AND(OR(LEFT(TH!L1564,2)="15",LEFT(TH!M1564,2)="15"),'152-CT'!$J$8=TH!F1564),"x","")</f>
        <v/>
      </c>
      <c r="W1564" s="525" t="str">
        <f>IF(AND(OR(LEFT(TH!L1564,2)="15",LEFT(TH!M1564,2)="15"),TK!$E$7=TH!F1564),"x","")</f>
        <v/>
      </c>
      <c r="X1564" s="525" t="str">
        <f>IF(AND('341-CT'!$E$9=H1564,OR(LEFT(L1564,3)=$X$7,LEFT(M1564,3)=$X$7)),"x","")</f>
        <v/>
      </c>
      <c r="Y1564" s="525" t="str">
        <f>IF(OR(TH!L1564=TH!$Y$7,M1564=TH!$Y$7),"x","")</f>
        <v/>
      </c>
      <c r="Z1564" s="525" t="str">
        <f>IF(AND(B1564&lt;=NKC!$N$8,B1564&gt;=NKC!$M$8),"x","")</f>
        <v>x</v>
      </c>
      <c r="AA1564" s="535">
        <v>1</v>
      </c>
      <c r="AB1564" s="503"/>
      <c r="AC1564" s="503"/>
      <c r="AD1564" s="503"/>
      <c r="AE1564" s="503"/>
    </row>
    <row r="1565" spans="1:31" s="576" customFormat="1" ht="15.75" customHeight="1">
      <c r="A1565" s="517" t="str">
        <f>IF(B1565&lt;&gt;"",IF(AND(B1565&gt;=_TM1,B1565&lt;=_TM2,OR(TH!L1565="1111",TH!M1565="1111")),TH!D1565,""),"")</f>
        <v/>
      </c>
      <c r="B1565" s="531">
        <f t="shared" si="155"/>
        <v>3</v>
      </c>
      <c r="C1565" s="315">
        <f t="shared" si="156"/>
        <v>42821</v>
      </c>
      <c r="D1565" s="537" t="s">
        <v>991</v>
      </c>
      <c r="E1565" s="288">
        <v>42821</v>
      </c>
      <c r="F1565" s="245" t="s">
        <v>711</v>
      </c>
      <c r="G1565" s="538" t="s">
        <v>609</v>
      </c>
      <c r="H1565" s="473" t="s">
        <v>349</v>
      </c>
      <c r="I1565" s="307">
        <v>36</v>
      </c>
      <c r="J1565" s="307">
        <v>20682</v>
      </c>
      <c r="K1565" s="532">
        <f t="shared" si="157"/>
        <v>744552</v>
      </c>
      <c r="L1565" s="534" t="s">
        <v>292</v>
      </c>
      <c r="M1565" s="534" t="s">
        <v>8</v>
      </c>
      <c r="N1565" s="525" t="str">
        <f>IF(AND('331-CT'!$E$7=TH!H1565,OR(L1565="331",M1565="331")),"331",IF(AND(OR(L1565="131",M1565="131"),H1565='131-CT'!$E$7),"131",""))</f>
        <v/>
      </c>
      <c r="O1565" s="525" t="str">
        <f>IF(AND($B1565&gt;='111'!$N$11,$B1565&lt;='111'!$O$11,OR($L1565=$O$7,$M1565=$O$7)),"x","")</f>
        <v/>
      </c>
      <c r="P1565" s="525" t="str">
        <f>IF(AND($L1565=$O$7,$B1565&lt;'111'!$N$11),"x","")</f>
        <v/>
      </c>
      <c r="Q1565" s="525" t="str">
        <f>IF(AND($M1565=$O$7,$B1565&lt;'111'!$N$11),"x","")</f>
        <v/>
      </c>
      <c r="R1565" s="525" t="str">
        <f>IF(ISERROR(FIND('112'!$M$9,G1565,1)),"",IF((AND(FIND('112'!$M$9,G1565,1)&gt;=1,$B1565&gt;='112'!$N$8,$B1565&lt;='112'!$O$8,OR($L1565='112'!$I$6,$M1565='112'!$I$6))),"x",""))</f>
        <v/>
      </c>
      <c r="S1565" s="525" t="str">
        <f>IF(ISERROR(FIND('112'!$M$9,G1565,1)),"",IF((AND(LEFT(G1565,2)=LEFT('112'!$M$9,2),B1565&lt;'112'!$N$8,$L1565='112'!$I$6)),"x",""))</f>
        <v/>
      </c>
      <c r="T1565" s="525" t="str">
        <f>IF(ISERROR(FIND('112'!$M$9,G1565,1)),"",IF((AND(RIGHT(G1565,2)=RIGHT('112'!$M$9,2),B1565&lt;'112'!$N$8,$M1565='112'!$I$6)),"x",""))</f>
        <v/>
      </c>
      <c r="U1565" s="525" t="str">
        <f>IF(AND(B1565&gt;='IN-NX'!$P$3,B1565&lt;='IN-NX'!$Q$3,'IN-NX'!$D$7=D1565,OR(LEFT(L1565,2)="15",AND(LEFT(M1565,2)&lt;&gt;"15",LEFT(M1565,2)&lt;&gt;"33"))),"x","")</f>
        <v/>
      </c>
      <c r="V1565" s="525" t="str">
        <f>IF(AND(OR(LEFT(TH!L1565,2)="15",LEFT(TH!M1565,2)="15"),'152-CT'!$J$8=TH!F1565),"x","")</f>
        <v/>
      </c>
      <c r="W1565" s="525" t="str">
        <f>IF(AND(OR(LEFT(TH!L1565,2)="15",LEFT(TH!M1565,2)="15"),TK!$E$7=TH!F1565),"x","")</f>
        <v/>
      </c>
      <c r="X1565" s="525" t="str">
        <f>IF(AND('341-CT'!$E$9=H1565,OR(LEFT(L1565,3)=$X$7,LEFT(M1565,3)=$X$7)),"x","")</f>
        <v/>
      </c>
      <c r="Y1565" s="525" t="str">
        <f>IF(OR(TH!L1565=TH!$Y$7,M1565=TH!$Y$7),"x","")</f>
        <v/>
      </c>
      <c r="Z1565" s="525" t="str">
        <f>IF(AND(B1565&lt;=NKC!$N$8,B1565&gt;=NKC!$M$8),"x","")</f>
        <v>x</v>
      </c>
      <c r="AA1565" s="535">
        <v>1</v>
      </c>
      <c r="AB1565" s="503"/>
      <c r="AC1565" s="503"/>
      <c r="AD1565" s="503"/>
      <c r="AE1565" s="503"/>
    </row>
    <row r="1566" spans="1:31" s="576" customFormat="1" ht="15.75" customHeight="1">
      <c r="A1566" s="517" t="str">
        <f>IF(B1566&lt;&gt;"",IF(AND(B1566&gt;=_TM1,B1566&lt;=_TM2,OR(TH!L1566="1111",TH!M1566="1111")),TH!D1566,""),"")</f>
        <v/>
      </c>
      <c r="B1566" s="531">
        <f t="shared" si="155"/>
        <v>3</v>
      </c>
      <c r="C1566" s="315">
        <f t="shared" si="156"/>
        <v>42821</v>
      </c>
      <c r="D1566" s="537" t="s">
        <v>991</v>
      </c>
      <c r="E1566" s="288">
        <v>42821</v>
      </c>
      <c r="F1566" s="249" t="s">
        <v>746</v>
      </c>
      <c r="G1566" s="538" t="s">
        <v>609</v>
      </c>
      <c r="H1566" s="473" t="s">
        <v>349</v>
      </c>
      <c r="I1566" s="307">
        <v>6</v>
      </c>
      <c r="J1566" s="307">
        <v>20840</v>
      </c>
      <c r="K1566" s="532">
        <f t="shared" si="157"/>
        <v>125040</v>
      </c>
      <c r="L1566" s="534" t="s">
        <v>292</v>
      </c>
      <c r="M1566" s="534" t="s">
        <v>8</v>
      </c>
      <c r="N1566" s="525" t="str">
        <f>IF(AND('331-CT'!$E$7=TH!H1566,OR(L1566="331",M1566="331")),"331",IF(AND(OR(L1566="131",M1566="131"),H1566='131-CT'!$E$7),"131",""))</f>
        <v/>
      </c>
      <c r="O1566" s="525" t="str">
        <f>IF(AND($B1566&gt;='111'!$N$11,$B1566&lt;='111'!$O$11,OR($L1566=$O$7,$M1566=$O$7)),"x","")</f>
        <v/>
      </c>
      <c r="P1566" s="525" t="str">
        <f>IF(AND($L1566=$O$7,$B1566&lt;'111'!$N$11),"x","")</f>
        <v/>
      </c>
      <c r="Q1566" s="525" t="str">
        <f>IF(AND($M1566=$O$7,$B1566&lt;'111'!$N$11),"x","")</f>
        <v/>
      </c>
      <c r="R1566" s="525" t="str">
        <f>IF(ISERROR(FIND('112'!$M$9,G1566,1)),"",IF((AND(FIND('112'!$M$9,G1566,1)&gt;=1,$B1566&gt;='112'!$N$8,$B1566&lt;='112'!$O$8,OR($L1566='112'!$I$6,$M1566='112'!$I$6))),"x",""))</f>
        <v/>
      </c>
      <c r="S1566" s="525" t="str">
        <f>IF(ISERROR(FIND('112'!$M$9,G1566,1)),"",IF((AND(LEFT(G1566,2)=LEFT('112'!$M$9,2),B1566&lt;'112'!$N$8,$L1566='112'!$I$6)),"x",""))</f>
        <v/>
      </c>
      <c r="T1566" s="525" t="str">
        <f>IF(ISERROR(FIND('112'!$M$9,G1566,1)),"",IF((AND(RIGHT(G1566,2)=RIGHT('112'!$M$9,2),B1566&lt;'112'!$N$8,$M1566='112'!$I$6)),"x",""))</f>
        <v/>
      </c>
      <c r="U1566" s="525" t="str">
        <f>IF(AND(B1566&gt;='IN-NX'!$P$3,B1566&lt;='IN-NX'!$Q$3,'IN-NX'!$D$7=D1566,OR(LEFT(L1566,2)="15",AND(LEFT(M1566,2)&lt;&gt;"15",LEFT(M1566,2)&lt;&gt;"33"))),"x","")</f>
        <v/>
      </c>
      <c r="V1566" s="525" t="str">
        <f>IF(AND(OR(LEFT(TH!L1566,2)="15",LEFT(TH!M1566,2)="15"),'152-CT'!$J$8=TH!F1566),"x","")</f>
        <v/>
      </c>
      <c r="W1566" s="525" t="str">
        <f>IF(AND(OR(LEFT(TH!L1566,2)="15",LEFT(TH!M1566,2)="15"),TK!$E$7=TH!F1566),"x","")</f>
        <v/>
      </c>
      <c r="X1566" s="525" t="str">
        <f>IF(AND('341-CT'!$E$9=H1566,OR(LEFT(L1566,3)=$X$7,LEFT(M1566,3)=$X$7)),"x","")</f>
        <v/>
      </c>
      <c r="Y1566" s="525" t="str">
        <f>IF(OR(TH!L1566=TH!$Y$7,M1566=TH!$Y$7),"x","")</f>
        <v/>
      </c>
      <c r="Z1566" s="525" t="str">
        <f>IF(AND(B1566&lt;=NKC!$N$8,B1566&gt;=NKC!$M$8),"x","")</f>
        <v>x</v>
      </c>
      <c r="AA1566" s="535">
        <v>1</v>
      </c>
      <c r="AB1566" s="503"/>
      <c r="AC1566" s="503"/>
      <c r="AD1566" s="503"/>
      <c r="AE1566" s="503"/>
    </row>
    <row r="1567" spans="1:31" s="576" customFormat="1" ht="15.75" customHeight="1">
      <c r="A1567" s="517" t="str">
        <f>IF(B1567&lt;&gt;"",IF(AND(B1567&gt;=_TM1,B1567&lt;=_TM2,OR(TH!L1567="1111",TH!M1567="1111")),TH!D1567,""),"")</f>
        <v/>
      </c>
      <c r="B1567" s="531">
        <f t="shared" si="155"/>
        <v>3</v>
      </c>
      <c r="C1567" s="315">
        <f t="shared" si="156"/>
        <v>42821</v>
      </c>
      <c r="D1567" s="537" t="s">
        <v>991</v>
      </c>
      <c r="E1567" s="288">
        <v>42821</v>
      </c>
      <c r="F1567" s="249" t="s">
        <v>712</v>
      </c>
      <c r="G1567" s="538" t="s">
        <v>609</v>
      </c>
      <c r="H1567" s="473" t="s">
        <v>349</v>
      </c>
      <c r="I1567" s="307">
        <v>36</v>
      </c>
      <c r="J1567" s="307">
        <v>48271</v>
      </c>
      <c r="K1567" s="532">
        <f t="shared" si="157"/>
        <v>1737756</v>
      </c>
      <c r="L1567" s="534" t="s">
        <v>292</v>
      </c>
      <c r="M1567" s="534" t="s">
        <v>8</v>
      </c>
      <c r="N1567" s="525" t="str">
        <f>IF(AND('331-CT'!$E$7=TH!H1567,OR(L1567="331",M1567="331")),"331",IF(AND(OR(L1567="131",M1567="131"),H1567='131-CT'!$E$7),"131",""))</f>
        <v/>
      </c>
      <c r="O1567" s="525" t="str">
        <f>IF(AND($B1567&gt;='111'!$N$11,$B1567&lt;='111'!$O$11,OR($L1567=$O$7,$M1567=$O$7)),"x","")</f>
        <v/>
      </c>
      <c r="P1567" s="525" t="str">
        <f>IF(AND($L1567=$O$7,$B1567&lt;'111'!$N$11),"x","")</f>
        <v/>
      </c>
      <c r="Q1567" s="525" t="str">
        <f>IF(AND($M1567=$O$7,$B1567&lt;'111'!$N$11),"x","")</f>
        <v/>
      </c>
      <c r="R1567" s="525" t="str">
        <f>IF(ISERROR(FIND('112'!$M$9,G1567,1)),"",IF((AND(FIND('112'!$M$9,G1567,1)&gt;=1,$B1567&gt;='112'!$N$8,$B1567&lt;='112'!$O$8,OR($L1567='112'!$I$6,$M1567='112'!$I$6))),"x",""))</f>
        <v/>
      </c>
      <c r="S1567" s="525" t="str">
        <f>IF(ISERROR(FIND('112'!$M$9,G1567,1)),"",IF((AND(LEFT(G1567,2)=LEFT('112'!$M$9,2),B1567&lt;'112'!$N$8,$L1567='112'!$I$6)),"x",""))</f>
        <v/>
      </c>
      <c r="T1567" s="525" t="str">
        <f>IF(ISERROR(FIND('112'!$M$9,G1567,1)),"",IF((AND(RIGHT(G1567,2)=RIGHT('112'!$M$9,2),B1567&lt;'112'!$N$8,$M1567='112'!$I$6)),"x",""))</f>
        <v/>
      </c>
      <c r="U1567" s="525" t="str">
        <f>IF(AND(B1567&gt;='IN-NX'!$P$3,B1567&lt;='IN-NX'!$Q$3,'IN-NX'!$D$7=D1567,OR(LEFT(L1567,2)="15",AND(LEFT(M1567,2)&lt;&gt;"15",LEFT(M1567,2)&lt;&gt;"33"))),"x","")</f>
        <v/>
      </c>
      <c r="V1567" s="525" t="str">
        <f>IF(AND(OR(LEFT(TH!L1567,2)="15",LEFT(TH!M1567,2)="15"),'152-CT'!$J$8=TH!F1567),"x","")</f>
        <v/>
      </c>
      <c r="W1567" s="525" t="str">
        <f>IF(AND(OR(LEFT(TH!L1567,2)="15",LEFT(TH!M1567,2)="15"),TK!$E$7=TH!F1567),"x","")</f>
        <v/>
      </c>
      <c r="X1567" s="525" t="str">
        <f>IF(AND('341-CT'!$E$9=H1567,OR(LEFT(L1567,3)=$X$7,LEFT(M1567,3)=$X$7)),"x","")</f>
        <v/>
      </c>
      <c r="Y1567" s="525" t="str">
        <f>IF(OR(TH!L1567=TH!$Y$7,M1567=TH!$Y$7),"x","")</f>
        <v/>
      </c>
      <c r="Z1567" s="525" t="str">
        <f>IF(AND(B1567&lt;=NKC!$N$8,B1567&gt;=NKC!$M$8),"x","")</f>
        <v>x</v>
      </c>
      <c r="AA1567" s="535">
        <v>1</v>
      </c>
      <c r="AB1567" s="503"/>
      <c r="AC1567" s="503"/>
      <c r="AD1567" s="503"/>
      <c r="AE1567" s="503"/>
    </row>
    <row r="1568" spans="1:31" s="576" customFormat="1" ht="15.75" customHeight="1">
      <c r="A1568" s="517" t="str">
        <f>IF(B1568&lt;&gt;"",IF(AND(B1568&gt;=_TM1,B1568&lt;=_TM2,OR(TH!L1568="1111",TH!M1568="1111")),TH!D1568,""),"")</f>
        <v/>
      </c>
      <c r="B1568" s="531">
        <f t="shared" si="155"/>
        <v>3</v>
      </c>
      <c r="C1568" s="315">
        <f t="shared" si="156"/>
        <v>42821</v>
      </c>
      <c r="D1568" s="537" t="s">
        <v>991</v>
      </c>
      <c r="E1568" s="288">
        <v>42821</v>
      </c>
      <c r="F1568" s="245" t="s">
        <v>715</v>
      </c>
      <c r="G1568" s="538" t="s">
        <v>609</v>
      </c>
      <c r="H1568" s="473" t="s">
        <v>349</v>
      </c>
      <c r="I1568" s="307">
        <v>48</v>
      </c>
      <c r="J1568" s="307">
        <v>36447</v>
      </c>
      <c r="K1568" s="532">
        <f t="shared" si="157"/>
        <v>1749456</v>
      </c>
      <c r="L1568" s="534" t="s">
        <v>292</v>
      </c>
      <c r="M1568" s="534" t="s">
        <v>8</v>
      </c>
      <c r="N1568" s="525" t="str">
        <f>IF(AND('331-CT'!$E$7=TH!H1568,OR(L1568="331",M1568="331")),"331",IF(AND(OR(L1568="131",M1568="131"),H1568='131-CT'!$E$7),"131",""))</f>
        <v/>
      </c>
      <c r="O1568" s="525" t="str">
        <f>IF(AND($B1568&gt;='111'!$N$11,$B1568&lt;='111'!$O$11,OR($L1568=$O$7,$M1568=$O$7)),"x","")</f>
        <v/>
      </c>
      <c r="P1568" s="525" t="str">
        <f>IF(AND($L1568=$O$7,$B1568&lt;'111'!$N$11),"x","")</f>
        <v/>
      </c>
      <c r="Q1568" s="525" t="str">
        <f>IF(AND($M1568=$O$7,$B1568&lt;'111'!$N$11),"x","")</f>
        <v/>
      </c>
      <c r="R1568" s="525" t="str">
        <f>IF(ISERROR(FIND('112'!$M$9,G1568,1)),"",IF((AND(FIND('112'!$M$9,G1568,1)&gt;=1,$B1568&gt;='112'!$N$8,$B1568&lt;='112'!$O$8,OR($L1568='112'!$I$6,$M1568='112'!$I$6))),"x",""))</f>
        <v/>
      </c>
      <c r="S1568" s="525" t="str">
        <f>IF(ISERROR(FIND('112'!$M$9,G1568,1)),"",IF((AND(LEFT(G1568,2)=LEFT('112'!$M$9,2),B1568&lt;'112'!$N$8,$L1568='112'!$I$6)),"x",""))</f>
        <v/>
      </c>
      <c r="T1568" s="525" t="str">
        <f>IF(ISERROR(FIND('112'!$M$9,G1568,1)),"",IF((AND(RIGHT(G1568,2)=RIGHT('112'!$M$9,2),B1568&lt;'112'!$N$8,$M1568='112'!$I$6)),"x",""))</f>
        <v/>
      </c>
      <c r="U1568" s="525" t="str">
        <f>IF(AND(B1568&gt;='IN-NX'!$P$3,B1568&lt;='IN-NX'!$Q$3,'IN-NX'!$D$7=D1568,OR(LEFT(L1568,2)="15",AND(LEFT(M1568,2)&lt;&gt;"15",LEFT(M1568,2)&lt;&gt;"33"))),"x","")</f>
        <v/>
      </c>
      <c r="V1568" s="525" t="str">
        <f>IF(AND(OR(LEFT(TH!L1568,2)="15",LEFT(TH!M1568,2)="15"),'152-CT'!$J$8=TH!F1568),"x","")</f>
        <v/>
      </c>
      <c r="W1568" s="525" t="str">
        <f>IF(AND(OR(LEFT(TH!L1568,2)="15",LEFT(TH!M1568,2)="15"),TK!$E$7=TH!F1568),"x","")</f>
        <v/>
      </c>
      <c r="X1568" s="525" t="str">
        <f>IF(AND('341-CT'!$E$9=H1568,OR(LEFT(L1568,3)=$X$7,LEFT(M1568,3)=$X$7)),"x","")</f>
        <v/>
      </c>
      <c r="Y1568" s="525" t="str">
        <f>IF(OR(TH!L1568=TH!$Y$7,M1568=TH!$Y$7),"x","")</f>
        <v/>
      </c>
      <c r="Z1568" s="525" t="str">
        <f>IF(AND(B1568&lt;=NKC!$N$8,B1568&gt;=NKC!$M$8),"x","")</f>
        <v>x</v>
      </c>
      <c r="AA1568" s="535">
        <v>1</v>
      </c>
      <c r="AB1568" s="503"/>
      <c r="AC1568" s="503"/>
      <c r="AD1568" s="503"/>
      <c r="AE1568" s="503"/>
    </row>
    <row r="1569" spans="1:31" s="576" customFormat="1" ht="15.75" customHeight="1">
      <c r="A1569" s="517" t="str">
        <f>IF(B1569&lt;&gt;"",IF(AND(B1569&gt;=_TM1,B1569&lt;=_TM2,OR(TH!L1569="1111",TH!M1569="1111")),TH!D1569,""),"")</f>
        <v/>
      </c>
      <c r="B1569" s="531">
        <f t="shared" si="155"/>
        <v>3</v>
      </c>
      <c r="C1569" s="315">
        <f t="shared" si="156"/>
        <v>42821</v>
      </c>
      <c r="D1569" s="537" t="s">
        <v>991</v>
      </c>
      <c r="E1569" s="288">
        <v>42821</v>
      </c>
      <c r="F1569" s="249" t="s">
        <v>718</v>
      </c>
      <c r="G1569" s="538" t="s">
        <v>609</v>
      </c>
      <c r="H1569" s="473" t="s">
        <v>349</v>
      </c>
      <c r="I1569" s="307">
        <v>24</v>
      </c>
      <c r="J1569" s="307">
        <v>24628</v>
      </c>
      <c r="K1569" s="532">
        <f t="shared" si="157"/>
        <v>591072</v>
      </c>
      <c r="L1569" s="534" t="s">
        <v>292</v>
      </c>
      <c r="M1569" s="534" t="s">
        <v>8</v>
      </c>
      <c r="N1569" s="525" t="str">
        <f>IF(AND('331-CT'!$E$7=TH!H1569,OR(L1569="331",M1569="331")),"331",IF(AND(OR(L1569="131",M1569="131"),H1569='131-CT'!$E$7),"131",""))</f>
        <v/>
      </c>
      <c r="O1569" s="525" t="str">
        <f>IF(AND($B1569&gt;='111'!$N$11,$B1569&lt;='111'!$O$11,OR($L1569=$O$7,$M1569=$O$7)),"x","")</f>
        <v/>
      </c>
      <c r="P1569" s="525" t="str">
        <f>IF(AND($L1569=$O$7,$B1569&lt;'111'!$N$11),"x","")</f>
        <v/>
      </c>
      <c r="Q1569" s="525" t="str">
        <f>IF(AND($M1569=$O$7,$B1569&lt;'111'!$N$11),"x","")</f>
        <v/>
      </c>
      <c r="R1569" s="525" t="str">
        <f>IF(ISERROR(FIND('112'!$M$9,G1569,1)),"",IF((AND(FIND('112'!$M$9,G1569,1)&gt;=1,$B1569&gt;='112'!$N$8,$B1569&lt;='112'!$O$8,OR($L1569='112'!$I$6,$M1569='112'!$I$6))),"x",""))</f>
        <v/>
      </c>
      <c r="S1569" s="525" t="str">
        <f>IF(ISERROR(FIND('112'!$M$9,G1569,1)),"",IF((AND(LEFT(G1569,2)=LEFT('112'!$M$9,2),B1569&lt;'112'!$N$8,$L1569='112'!$I$6)),"x",""))</f>
        <v/>
      </c>
      <c r="T1569" s="525" t="str">
        <f>IF(ISERROR(FIND('112'!$M$9,G1569,1)),"",IF((AND(RIGHT(G1569,2)=RIGHT('112'!$M$9,2),B1569&lt;'112'!$N$8,$M1569='112'!$I$6)),"x",""))</f>
        <v/>
      </c>
      <c r="U1569" s="525" t="str">
        <f>IF(AND(B1569&gt;='IN-NX'!$P$3,B1569&lt;='IN-NX'!$Q$3,'IN-NX'!$D$7=D1569,OR(LEFT(L1569,2)="15",AND(LEFT(M1569,2)&lt;&gt;"15",LEFT(M1569,2)&lt;&gt;"33"))),"x","")</f>
        <v/>
      </c>
      <c r="V1569" s="525" t="str">
        <f>IF(AND(OR(LEFT(TH!L1569,2)="15",LEFT(TH!M1569,2)="15"),'152-CT'!$J$8=TH!F1569),"x","")</f>
        <v/>
      </c>
      <c r="W1569" s="525" t="str">
        <f>IF(AND(OR(LEFT(TH!L1569,2)="15",LEFT(TH!M1569,2)="15"),TK!$E$7=TH!F1569),"x","")</f>
        <v/>
      </c>
      <c r="X1569" s="525" t="str">
        <f>IF(AND('341-CT'!$E$9=H1569,OR(LEFT(L1569,3)=$X$7,LEFT(M1569,3)=$X$7)),"x","")</f>
        <v/>
      </c>
      <c r="Y1569" s="525" t="str">
        <f>IF(OR(TH!L1569=TH!$Y$7,M1569=TH!$Y$7),"x","")</f>
        <v/>
      </c>
      <c r="Z1569" s="525" t="str">
        <f>IF(AND(B1569&lt;=NKC!$N$8,B1569&gt;=NKC!$M$8),"x","")</f>
        <v>x</v>
      </c>
      <c r="AA1569" s="535">
        <v>1</v>
      </c>
      <c r="AB1569" s="503"/>
      <c r="AC1569" s="503"/>
      <c r="AD1569" s="503"/>
      <c r="AE1569" s="503"/>
    </row>
    <row r="1570" spans="1:31" s="576" customFormat="1" ht="15.75" customHeight="1">
      <c r="A1570" s="517" t="str">
        <f>IF(B1570&lt;&gt;"",IF(AND(B1570&gt;=_TM1,B1570&lt;=_TM2,OR(TH!L1570="1111",TH!M1570="1111")),TH!D1570,""),"")</f>
        <v/>
      </c>
      <c r="B1570" s="531">
        <f t="shared" si="155"/>
        <v>3</v>
      </c>
      <c r="C1570" s="315">
        <f t="shared" si="156"/>
        <v>42821</v>
      </c>
      <c r="D1570" s="537" t="s">
        <v>991</v>
      </c>
      <c r="E1570" s="288">
        <v>42821</v>
      </c>
      <c r="F1570" s="249" t="s">
        <v>712</v>
      </c>
      <c r="G1570" s="538" t="s">
        <v>609</v>
      </c>
      <c r="H1570" s="473" t="s">
        <v>349</v>
      </c>
      <c r="I1570" s="307">
        <v>36</v>
      </c>
      <c r="J1570" s="307">
        <v>45869</v>
      </c>
      <c r="K1570" s="532">
        <f t="shared" si="157"/>
        <v>1651284</v>
      </c>
      <c r="L1570" s="534" t="s">
        <v>292</v>
      </c>
      <c r="M1570" s="534" t="s">
        <v>8</v>
      </c>
      <c r="N1570" s="525" t="str">
        <f>IF(AND('331-CT'!$E$7=TH!H1570,OR(L1570="331",M1570="331")),"331",IF(AND(OR(L1570="131",M1570="131"),H1570='131-CT'!$E$7),"131",""))</f>
        <v/>
      </c>
      <c r="O1570" s="525" t="str">
        <f>IF(AND($B1570&gt;='111'!$N$11,$B1570&lt;='111'!$O$11,OR($L1570=$O$7,$M1570=$O$7)),"x","")</f>
        <v/>
      </c>
      <c r="P1570" s="525" t="str">
        <f>IF(AND($L1570=$O$7,$B1570&lt;'111'!$N$11),"x","")</f>
        <v/>
      </c>
      <c r="Q1570" s="525" t="str">
        <f>IF(AND($M1570=$O$7,$B1570&lt;'111'!$N$11),"x","")</f>
        <v/>
      </c>
      <c r="R1570" s="525" t="str">
        <f>IF(ISERROR(FIND('112'!$M$9,G1570,1)),"",IF((AND(FIND('112'!$M$9,G1570,1)&gt;=1,$B1570&gt;='112'!$N$8,$B1570&lt;='112'!$O$8,OR($L1570='112'!$I$6,$M1570='112'!$I$6))),"x",""))</f>
        <v/>
      </c>
      <c r="S1570" s="525" t="str">
        <f>IF(ISERROR(FIND('112'!$M$9,G1570,1)),"",IF((AND(LEFT(G1570,2)=LEFT('112'!$M$9,2),B1570&lt;'112'!$N$8,$L1570='112'!$I$6)),"x",""))</f>
        <v/>
      </c>
      <c r="T1570" s="525" t="str">
        <f>IF(ISERROR(FIND('112'!$M$9,G1570,1)),"",IF((AND(RIGHT(G1570,2)=RIGHT('112'!$M$9,2),B1570&lt;'112'!$N$8,$M1570='112'!$I$6)),"x",""))</f>
        <v/>
      </c>
      <c r="U1570" s="525" t="str">
        <f>IF(AND(B1570&gt;='IN-NX'!$P$3,B1570&lt;='IN-NX'!$Q$3,'IN-NX'!$D$7=D1570,OR(LEFT(L1570,2)="15",AND(LEFT(M1570,2)&lt;&gt;"15",LEFT(M1570,2)&lt;&gt;"33"))),"x","")</f>
        <v/>
      </c>
      <c r="V1570" s="525" t="str">
        <f>IF(AND(OR(LEFT(TH!L1570,2)="15",LEFT(TH!M1570,2)="15"),'152-CT'!$J$8=TH!F1570),"x","")</f>
        <v/>
      </c>
      <c r="W1570" s="525" t="str">
        <f>IF(AND(OR(LEFT(TH!L1570,2)="15",LEFT(TH!M1570,2)="15"),TK!$E$7=TH!F1570),"x","")</f>
        <v/>
      </c>
      <c r="X1570" s="525" t="str">
        <f>IF(AND('341-CT'!$E$9=H1570,OR(LEFT(L1570,3)=$X$7,LEFT(M1570,3)=$X$7)),"x","")</f>
        <v/>
      </c>
      <c r="Y1570" s="525" t="str">
        <f>IF(OR(TH!L1570=TH!$Y$7,M1570=TH!$Y$7),"x","")</f>
        <v/>
      </c>
      <c r="Z1570" s="525" t="str">
        <f>IF(AND(B1570&lt;=NKC!$N$8,B1570&gt;=NKC!$M$8),"x","")</f>
        <v>x</v>
      </c>
      <c r="AA1570" s="535">
        <v>1</v>
      </c>
      <c r="AB1570" s="503"/>
      <c r="AC1570" s="503"/>
      <c r="AD1570" s="503"/>
      <c r="AE1570" s="503"/>
    </row>
    <row r="1571" spans="1:31" s="576" customFormat="1" ht="15.75" customHeight="1">
      <c r="A1571" s="517" t="str">
        <f>IF(B1571&lt;&gt;"",IF(AND(B1571&gt;=_TM1,B1571&lt;=_TM2,OR(TH!L1571="1111",TH!M1571="1111")),TH!D1571,""),"")</f>
        <v/>
      </c>
      <c r="B1571" s="531">
        <f t="shared" si="155"/>
        <v>3</v>
      </c>
      <c r="C1571" s="315">
        <f t="shared" si="156"/>
        <v>42821</v>
      </c>
      <c r="D1571" s="537" t="s">
        <v>991</v>
      </c>
      <c r="E1571" s="288">
        <v>42821</v>
      </c>
      <c r="F1571" s="249" t="s">
        <v>494</v>
      </c>
      <c r="G1571" s="538" t="s">
        <v>609</v>
      </c>
      <c r="H1571" s="473" t="s">
        <v>349</v>
      </c>
      <c r="I1571" s="307"/>
      <c r="J1571" s="307"/>
      <c r="K1571" s="532">
        <v>11934058</v>
      </c>
      <c r="L1571" s="534" t="s">
        <v>9</v>
      </c>
      <c r="M1571" s="534" t="s">
        <v>8</v>
      </c>
      <c r="N1571" s="525" t="str">
        <f>IF(AND('331-CT'!$E$7=TH!H1571,OR(L1571="331",M1571="331")),"331",IF(AND(OR(L1571="131",M1571="131"),H1571='131-CT'!$E$7),"131",""))</f>
        <v/>
      </c>
      <c r="O1571" s="525" t="str">
        <f>IF(AND($B1571&gt;='111'!$N$11,$B1571&lt;='111'!$O$11,OR($L1571=$O$7,$M1571=$O$7)),"x","")</f>
        <v/>
      </c>
      <c r="P1571" s="525" t="str">
        <f>IF(AND($L1571=$O$7,$B1571&lt;'111'!$N$11),"x","")</f>
        <v/>
      </c>
      <c r="Q1571" s="525" t="str">
        <f>IF(AND($M1571=$O$7,$B1571&lt;'111'!$N$11),"x","")</f>
        <v/>
      </c>
      <c r="R1571" s="525" t="str">
        <f>IF(ISERROR(FIND('112'!$M$9,G1571,1)),"",IF((AND(FIND('112'!$M$9,G1571,1)&gt;=1,$B1571&gt;='112'!$N$8,$B1571&lt;='112'!$O$8,OR($L1571='112'!$I$6,$M1571='112'!$I$6))),"x",""))</f>
        <v/>
      </c>
      <c r="S1571" s="525" t="str">
        <f>IF(ISERROR(FIND('112'!$M$9,G1571,1)),"",IF((AND(LEFT(G1571,2)=LEFT('112'!$M$9,2),B1571&lt;'112'!$N$8,$L1571='112'!$I$6)),"x",""))</f>
        <v/>
      </c>
      <c r="T1571" s="525" t="str">
        <f>IF(ISERROR(FIND('112'!$M$9,G1571,1)),"",IF((AND(RIGHT(G1571,2)=RIGHT('112'!$M$9,2),B1571&lt;'112'!$N$8,$M1571='112'!$I$6)),"x",""))</f>
        <v/>
      </c>
      <c r="U1571" s="525" t="str">
        <f>IF(AND(B1571&gt;='IN-NX'!$P$3,B1571&lt;='IN-NX'!$Q$3,'IN-NX'!$D$7=D1571,OR(LEFT(L1571,2)="15",AND(LEFT(M1571,2)&lt;&gt;"15",LEFT(M1571,2)&lt;&gt;"33"))),"x","")</f>
        <v/>
      </c>
      <c r="V1571" s="525" t="str">
        <f>IF(AND(OR(LEFT(TH!L1571,2)="15",LEFT(TH!M1571,2)="15"),'152-CT'!$J$8=TH!F1571),"x","")</f>
        <v/>
      </c>
      <c r="W1571" s="525" t="str">
        <f>IF(AND(OR(LEFT(TH!L1571,2)="15",LEFT(TH!M1571,2)="15"),TK!$E$7=TH!F1571),"x","")</f>
        <v/>
      </c>
      <c r="X1571" s="525" t="str">
        <f>IF(AND('341-CT'!$E$9=H1571,OR(LEFT(L1571,3)=$X$7,LEFT(M1571,3)=$X$7)),"x","")</f>
        <v/>
      </c>
      <c r="Y1571" s="525" t="str">
        <f>IF(OR(TH!L1571=TH!$Y$7,M1571=TH!$Y$7),"x","")</f>
        <v/>
      </c>
      <c r="Z1571" s="525" t="str">
        <f>IF(AND(B1571&lt;=NKC!$N$8,B1571&gt;=NKC!$M$8),"x","")</f>
        <v>x</v>
      </c>
      <c r="AA1571" s="535">
        <v>1</v>
      </c>
      <c r="AB1571" s="503"/>
      <c r="AC1571" s="503"/>
      <c r="AD1571" s="503"/>
      <c r="AE1571" s="503"/>
    </row>
    <row r="1572" spans="1:31" s="576" customFormat="1" ht="15.75" customHeight="1">
      <c r="A1572" s="517" t="str">
        <f>IF(B1572&lt;&gt;"",IF(AND(B1572&gt;=_TM1,B1572&lt;=_TM2,OR(TH!L1572="1111",TH!M1572="1111")),TH!D1572,""),"")</f>
        <v/>
      </c>
      <c r="B1572" s="518">
        <f t="shared" si="155"/>
        <v>3</v>
      </c>
      <c r="C1572" s="571">
        <f t="shared" si="156"/>
        <v>42824</v>
      </c>
      <c r="D1572" s="537" t="s">
        <v>992</v>
      </c>
      <c r="E1572" s="615">
        <v>42824</v>
      </c>
      <c r="F1572" s="572" t="s">
        <v>707</v>
      </c>
      <c r="G1572" s="616" t="s">
        <v>866</v>
      </c>
      <c r="H1572" s="574" t="s">
        <v>447</v>
      </c>
      <c r="I1572" s="523">
        <v>16</v>
      </c>
      <c r="J1572" s="523">
        <v>29746</v>
      </c>
      <c r="K1572" s="575">
        <f t="shared" ref="K1572:K1609" si="158">ROUND(I1572*J1572,0)</f>
        <v>475936</v>
      </c>
      <c r="L1572" s="525" t="s">
        <v>292</v>
      </c>
      <c r="M1572" s="525" t="s">
        <v>8</v>
      </c>
      <c r="N1572" s="525" t="str">
        <f>IF(AND('331-CT'!$E$7=TH!H1572,OR(L1572="331",M1572="331")),"331",IF(AND(OR(L1572="131",M1572="131"),H1572='131-CT'!$E$7),"131",""))</f>
        <v/>
      </c>
      <c r="O1572" s="525" t="str">
        <f>IF(AND($B1572&gt;='111'!$N$11,$B1572&lt;='111'!$O$11,OR($L1572=$O$7,$M1572=$O$7)),"x","")</f>
        <v/>
      </c>
      <c r="P1572" s="525" t="str">
        <f>IF(AND($L1572=$O$7,$B1572&lt;'111'!$N$11),"x","")</f>
        <v/>
      </c>
      <c r="Q1572" s="525" t="str">
        <f>IF(AND($M1572=$O$7,$B1572&lt;'111'!$N$11),"x","")</f>
        <v/>
      </c>
      <c r="R1572" s="525" t="str">
        <f>IF(ISERROR(FIND('112'!$M$9,G1572,1)),"",IF((AND(FIND('112'!$M$9,G1572,1)&gt;=1,$B1572&gt;='112'!$N$8,$B1572&lt;='112'!$O$8,OR($L1572='112'!$I$6,$M1572='112'!$I$6))),"x",""))</f>
        <v/>
      </c>
      <c r="S1572" s="525" t="str">
        <f>IF(ISERROR(FIND('112'!$M$9,G1572,1)),"",IF((AND(LEFT(G1572,2)=LEFT('112'!$M$9,2),B1572&lt;'112'!$N$8,$L1572='112'!$I$6)),"x",""))</f>
        <v/>
      </c>
      <c r="T1572" s="525" t="str">
        <f>IF(ISERROR(FIND('112'!$M$9,G1572,1)),"",IF((AND(RIGHT(G1572,2)=RIGHT('112'!$M$9,2),B1572&lt;'112'!$N$8,$M1572='112'!$I$6)),"x",""))</f>
        <v/>
      </c>
      <c r="U1572" s="525" t="str">
        <f>IF(AND(B1572&gt;='IN-NX'!$P$3,B1572&lt;='IN-NX'!$Q$3,'IN-NX'!$D$7=D1572,OR(LEFT(L1572,2)="15",AND(LEFT(M1572,2)&lt;&gt;"15",LEFT(M1572,2)&lt;&gt;"33"))),"x","")</f>
        <v/>
      </c>
      <c r="V1572" s="525" t="str">
        <f>IF(AND(OR(LEFT(TH!L1572,2)="15",LEFT(TH!M1572,2)="15"),'152-CT'!$J$8=TH!F1572),"x","")</f>
        <v/>
      </c>
      <c r="W1572" s="525" t="str">
        <f>IF(AND(OR(LEFT(TH!L1572,2)="15",LEFT(TH!M1572,2)="15"),TK!$E$7=TH!F1572),"x","")</f>
        <v/>
      </c>
      <c r="X1572" s="525" t="str">
        <f>IF(AND('341-CT'!$E$9=H1572,OR(LEFT(L1572,3)=$X$7,LEFT(M1572,3)=$X$7)),"x","")</f>
        <v/>
      </c>
      <c r="Y1572" s="525" t="str">
        <f>IF(OR(TH!L1572=TH!$Y$7,M1572=TH!$Y$7),"x","")</f>
        <v/>
      </c>
      <c r="Z1572" s="525" t="str">
        <f>IF(AND(B1572&lt;=NKC!$N$8,B1572&gt;=NKC!$M$8),"x","")</f>
        <v>x</v>
      </c>
      <c r="AA1572" s="535">
        <v>1</v>
      </c>
      <c r="AC1572" s="503"/>
    </row>
    <row r="1573" spans="1:31" s="576" customFormat="1" ht="15.75" customHeight="1">
      <c r="A1573" s="517" t="str">
        <f>IF(B1573&lt;&gt;"",IF(AND(B1573&gt;=_TM1,B1573&lt;=_TM2,OR(TH!L1573="1111",TH!M1573="1111")),TH!D1573,""),"")</f>
        <v/>
      </c>
      <c r="B1573" s="518">
        <f t="shared" si="155"/>
        <v>3</v>
      </c>
      <c r="C1573" s="571">
        <f t="shared" si="156"/>
        <v>42824</v>
      </c>
      <c r="D1573" s="537" t="s">
        <v>992</v>
      </c>
      <c r="E1573" s="615">
        <v>42824</v>
      </c>
      <c r="F1573" s="572" t="s">
        <v>708</v>
      </c>
      <c r="G1573" s="616" t="s">
        <v>866</v>
      </c>
      <c r="H1573" s="574" t="s">
        <v>447</v>
      </c>
      <c r="I1573" s="523">
        <v>48</v>
      </c>
      <c r="J1573" s="523">
        <v>35663</v>
      </c>
      <c r="K1573" s="575">
        <f t="shared" si="158"/>
        <v>1711824</v>
      </c>
      <c r="L1573" s="525" t="s">
        <v>292</v>
      </c>
      <c r="M1573" s="525" t="s">
        <v>8</v>
      </c>
      <c r="N1573" s="525" t="str">
        <f>IF(AND('331-CT'!$E$7=TH!H1573,OR(L1573="331",M1573="331")),"331",IF(AND(OR(L1573="131",M1573="131"),H1573='131-CT'!$E$7),"131",""))</f>
        <v/>
      </c>
      <c r="O1573" s="525" t="str">
        <f>IF(AND($B1573&gt;='111'!$N$11,$B1573&lt;='111'!$O$11,OR($L1573=$O$7,$M1573=$O$7)),"x","")</f>
        <v/>
      </c>
      <c r="P1573" s="525" t="str">
        <f>IF(AND($L1573=$O$7,$B1573&lt;'111'!$N$11),"x","")</f>
        <v/>
      </c>
      <c r="Q1573" s="525" t="str">
        <f>IF(AND($M1573=$O$7,$B1573&lt;'111'!$N$11),"x","")</f>
        <v/>
      </c>
      <c r="R1573" s="525" t="str">
        <f>IF(ISERROR(FIND('112'!$M$9,G1573,1)),"",IF((AND(FIND('112'!$M$9,G1573,1)&gt;=1,$B1573&gt;='112'!$N$8,$B1573&lt;='112'!$O$8,OR($L1573='112'!$I$6,$M1573='112'!$I$6))),"x",""))</f>
        <v/>
      </c>
      <c r="S1573" s="525" t="str">
        <f>IF(ISERROR(FIND('112'!$M$9,G1573,1)),"",IF((AND(LEFT(G1573,2)=LEFT('112'!$M$9,2),B1573&lt;'112'!$N$8,$L1573='112'!$I$6)),"x",""))</f>
        <v/>
      </c>
      <c r="T1573" s="525" t="str">
        <f>IF(ISERROR(FIND('112'!$M$9,G1573,1)),"",IF((AND(RIGHT(G1573,2)=RIGHT('112'!$M$9,2),B1573&lt;'112'!$N$8,$M1573='112'!$I$6)),"x",""))</f>
        <v/>
      </c>
      <c r="U1573" s="525" t="str">
        <f>IF(AND(B1573&gt;='IN-NX'!$P$3,B1573&lt;='IN-NX'!$Q$3,'IN-NX'!$D$7=D1573,OR(LEFT(L1573,2)="15",AND(LEFT(M1573,2)&lt;&gt;"15",LEFT(M1573,2)&lt;&gt;"33"))),"x","")</f>
        <v/>
      </c>
      <c r="V1573" s="525" t="str">
        <f>IF(AND(OR(LEFT(TH!L1573,2)="15",LEFT(TH!M1573,2)="15"),'152-CT'!$J$8=TH!F1573),"x","")</f>
        <v/>
      </c>
      <c r="W1573" s="525" t="str">
        <f>IF(AND(OR(LEFT(TH!L1573,2)="15",LEFT(TH!M1573,2)="15"),TK!$E$7=TH!F1573),"x","")</f>
        <v/>
      </c>
      <c r="X1573" s="525" t="str">
        <f>IF(AND('341-CT'!$E$9=H1573,OR(LEFT(L1573,3)=$X$7,LEFT(M1573,3)=$X$7)),"x","")</f>
        <v/>
      </c>
      <c r="Y1573" s="525" t="str">
        <f>IF(OR(TH!L1573=TH!$Y$7,M1573=TH!$Y$7),"x","")</f>
        <v/>
      </c>
      <c r="Z1573" s="525" t="str">
        <f>IF(AND(B1573&lt;=NKC!$N$8,B1573&gt;=NKC!$M$8),"x","")</f>
        <v>x</v>
      </c>
      <c r="AA1573" s="535">
        <v>1</v>
      </c>
      <c r="AC1573" s="503"/>
    </row>
    <row r="1574" spans="1:31" s="576" customFormat="1" ht="15.75" customHeight="1">
      <c r="A1574" s="517" t="str">
        <f>IF(B1574&lt;&gt;"",IF(AND(B1574&gt;=_TM1,B1574&lt;=_TM2,OR(TH!L1574="1111",TH!M1574="1111")),TH!D1574,""),"")</f>
        <v/>
      </c>
      <c r="B1574" s="518">
        <f t="shared" si="155"/>
        <v>3</v>
      </c>
      <c r="C1574" s="571">
        <f t="shared" si="156"/>
        <v>42824</v>
      </c>
      <c r="D1574" s="537" t="s">
        <v>992</v>
      </c>
      <c r="E1574" s="615">
        <v>42824</v>
      </c>
      <c r="F1574" s="572" t="s">
        <v>709</v>
      </c>
      <c r="G1574" s="616" t="s">
        <v>866</v>
      </c>
      <c r="H1574" s="574" t="s">
        <v>447</v>
      </c>
      <c r="I1574" s="523">
        <v>48</v>
      </c>
      <c r="J1574" s="523">
        <v>40351</v>
      </c>
      <c r="K1574" s="575">
        <f t="shared" si="158"/>
        <v>1936848</v>
      </c>
      <c r="L1574" s="525" t="s">
        <v>292</v>
      </c>
      <c r="M1574" s="525" t="s">
        <v>8</v>
      </c>
      <c r="N1574" s="525" t="str">
        <f>IF(AND('331-CT'!$E$7=TH!H1574,OR(L1574="331",M1574="331")),"331",IF(AND(OR(L1574="131",M1574="131"),H1574='131-CT'!$E$7),"131",""))</f>
        <v/>
      </c>
      <c r="O1574" s="525" t="str">
        <f>IF(AND($B1574&gt;='111'!$N$11,$B1574&lt;='111'!$O$11,OR($L1574=$O$7,$M1574=$O$7)),"x","")</f>
        <v/>
      </c>
      <c r="P1574" s="525" t="str">
        <f>IF(AND($L1574=$O$7,$B1574&lt;'111'!$N$11),"x","")</f>
        <v/>
      </c>
      <c r="Q1574" s="525" t="str">
        <f>IF(AND($M1574=$O$7,$B1574&lt;'111'!$N$11),"x","")</f>
        <v/>
      </c>
      <c r="R1574" s="525" t="str">
        <f>IF(ISERROR(FIND('112'!$M$9,G1574,1)),"",IF((AND(FIND('112'!$M$9,G1574,1)&gt;=1,$B1574&gt;='112'!$N$8,$B1574&lt;='112'!$O$8,OR($L1574='112'!$I$6,$M1574='112'!$I$6))),"x",""))</f>
        <v/>
      </c>
      <c r="S1574" s="525" t="str">
        <f>IF(ISERROR(FIND('112'!$M$9,G1574,1)),"",IF((AND(LEFT(G1574,2)=LEFT('112'!$M$9,2),B1574&lt;'112'!$N$8,$L1574='112'!$I$6)),"x",""))</f>
        <v/>
      </c>
      <c r="T1574" s="525" t="str">
        <f>IF(ISERROR(FIND('112'!$M$9,G1574,1)),"",IF((AND(RIGHT(G1574,2)=RIGHT('112'!$M$9,2),B1574&lt;'112'!$N$8,$M1574='112'!$I$6)),"x",""))</f>
        <v/>
      </c>
      <c r="U1574" s="525" t="str">
        <f>IF(AND(B1574&gt;='IN-NX'!$P$3,B1574&lt;='IN-NX'!$Q$3,'IN-NX'!$D$7=D1574,OR(LEFT(L1574,2)="15",AND(LEFT(M1574,2)&lt;&gt;"15",LEFT(M1574,2)&lt;&gt;"33"))),"x","")</f>
        <v/>
      </c>
      <c r="V1574" s="525" t="str">
        <f>IF(AND(OR(LEFT(TH!L1574,2)="15",LEFT(TH!M1574,2)="15"),'152-CT'!$J$8=TH!F1574),"x","")</f>
        <v/>
      </c>
      <c r="W1574" s="525" t="str">
        <f>IF(AND(OR(LEFT(TH!L1574,2)="15",LEFT(TH!M1574,2)="15"),TK!$E$7=TH!F1574),"x","")</f>
        <v/>
      </c>
      <c r="X1574" s="525" t="str">
        <f>IF(AND('341-CT'!$E$9=H1574,OR(LEFT(L1574,3)=$X$7,LEFT(M1574,3)=$X$7)),"x","")</f>
        <v/>
      </c>
      <c r="Y1574" s="525" t="str">
        <f>IF(OR(TH!L1574=TH!$Y$7,M1574=TH!$Y$7),"x","")</f>
        <v/>
      </c>
      <c r="Z1574" s="525" t="str">
        <f>IF(AND(B1574&lt;=NKC!$N$8,B1574&gt;=NKC!$M$8),"x","")</f>
        <v>x</v>
      </c>
      <c r="AA1574" s="535">
        <v>1</v>
      </c>
      <c r="AC1574" s="503"/>
    </row>
    <row r="1575" spans="1:31" s="576" customFormat="1" ht="15.75" customHeight="1">
      <c r="A1575" s="517" t="str">
        <f>IF(B1575&lt;&gt;"",IF(AND(B1575&gt;=_TM1,B1575&lt;=_TM2,OR(TH!L1575="1111",TH!M1575="1111")),TH!D1575,""),"")</f>
        <v/>
      </c>
      <c r="B1575" s="518">
        <f t="shared" si="155"/>
        <v>3</v>
      </c>
      <c r="C1575" s="571">
        <f t="shared" si="156"/>
        <v>42824</v>
      </c>
      <c r="D1575" s="537" t="s">
        <v>992</v>
      </c>
      <c r="E1575" s="615">
        <v>42824</v>
      </c>
      <c r="F1575" s="572" t="s">
        <v>713</v>
      </c>
      <c r="G1575" s="616" t="s">
        <v>866</v>
      </c>
      <c r="H1575" s="574" t="s">
        <v>447</v>
      </c>
      <c r="I1575" s="523">
        <v>30</v>
      </c>
      <c r="J1575" s="523">
        <v>33167</v>
      </c>
      <c r="K1575" s="575">
        <f t="shared" si="158"/>
        <v>995010</v>
      </c>
      <c r="L1575" s="525" t="s">
        <v>292</v>
      </c>
      <c r="M1575" s="525" t="s">
        <v>8</v>
      </c>
      <c r="N1575" s="525" t="str">
        <f>IF(AND('331-CT'!$E$7=TH!H1575,OR(L1575="331",M1575="331")),"331",IF(AND(OR(L1575="131",M1575="131"),H1575='131-CT'!$E$7),"131",""))</f>
        <v/>
      </c>
      <c r="O1575" s="525" t="str">
        <f>IF(AND($B1575&gt;='111'!$N$11,$B1575&lt;='111'!$O$11,OR($L1575=$O$7,$M1575=$O$7)),"x","")</f>
        <v/>
      </c>
      <c r="P1575" s="525" t="str">
        <f>IF(AND($L1575=$O$7,$B1575&lt;'111'!$N$11),"x","")</f>
        <v/>
      </c>
      <c r="Q1575" s="525" t="str">
        <f>IF(AND($M1575=$O$7,$B1575&lt;'111'!$N$11),"x","")</f>
        <v/>
      </c>
      <c r="R1575" s="525" t="str">
        <f>IF(ISERROR(FIND('112'!$M$9,G1575,1)),"",IF((AND(FIND('112'!$M$9,G1575,1)&gt;=1,$B1575&gt;='112'!$N$8,$B1575&lt;='112'!$O$8,OR($L1575='112'!$I$6,$M1575='112'!$I$6))),"x",""))</f>
        <v/>
      </c>
      <c r="S1575" s="525" t="str">
        <f>IF(ISERROR(FIND('112'!$M$9,G1575,1)),"",IF((AND(LEFT(G1575,2)=LEFT('112'!$M$9,2),B1575&lt;'112'!$N$8,$L1575='112'!$I$6)),"x",""))</f>
        <v/>
      </c>
      <c r="T1575" s="525" t="str">
        <f>IF(ISERROR(FIND('112'!$M$9,G1575,1)),"",IF((AND(RIGHT(G1575,2)=RIGHT('112'!$M$9,2),B1575&lt;'112'!$N$8,$M1575='112'!$I$6)),"x",""))</f>
        <v/>
      </c>
      <c r="U1575" s="525" t="str">
        <f>IF(AND(B1575&gt;='IN-NX'!$P$3,B1575&lt;='IN-NX'!$Q$3,'IN-NX'!$D$7=D1575,OR(LEFT(L1575,2)="15",AND(LEFT(M1575,2)&lt;&gt;"15",LEFT(M1575,2)&lt;&gt;"33"))),"x","")</f>
        <v/>
      </c>
      <c r="V1575" s="525" t="str">
        <f>IF(AND(OR(LEFT(TH!L1575,2)="15",LEFT(TH!M1575,2)="15"),'152-CT'!$J$8=TH!F1575),"x","")</f>
        <v/>
      </c>
      <c r="W1575" s="525" t="str">
        <f>IF(AND(OR(LEFT(TH!L1575,2)="15",LEFT(TH!M1575,2)="15"),TK!$E$7=TH!F1575),"x","")</f>
        <v/>
      </c>
      <c r="X1575" s="525" t="str">
        <f>IF(AND('341-CT'!$E$9=H1575,OR(LEFT(L1575,3)=$X$7,LEFT(M1575,3)=$X$7)),"x","")</f>
        <v/>
      </c>
      <c r="Y1575" s="525" t="str">
        <f>IF(OR(TH!L1575=TH!$Y$7,M1575=TH!$Y$7),"x","")</f>
        <v/>
      </c>
      <c r="Z1575" s="525" t="str">
        <f>IF(AND(B1575&lt;=NKC!$N$8,B1575&gt;=NKC!$M$8),"x","")</f>
        <v>x</v>
      </c>
      <c r="AA1575" s="535">
        <v>1</v>
      </c>
      <c r="AC1575" s="503"/>
    </row>
    <row r="1576" spans="1:31" s="576" customFormat="1" ht="15.75" customHeight="1">
      <c r="A1576" s="517" t="str">
        <f>IF(B1576&lt;&gt;"",IF(AND(B1576&gt;=_TM1,B1576&lt;=_TM2,OR(TH!L1576="1111",TH!M1576="1111")),TH!D1576,""),"")</f>
        <v/>
      </c>
      <c r="B1576" s="518">
        <f t="shared" si="155"/>
        <v>3</v>
      </c>
      <c r="C1576" s="571">
        <f t="shared" si="156"/>
        <v>42824</v>
      </c>
      <c r="D1576" s="537" t="s">
        <v>992</v>
      </c>
      <c r="E1576" s="615">
        <v>42824</v>
      </c>
      <c r="F1576" s="572" t="s">
        <v>619</v>
      </c>
      <c r="G1576" s="616" t="s">
        <v>866</v>
      </c>
      <c r="H1576" s="574" t="s">
        <v>447</v>
      </c>
      <c r="I1576" s="523">
        <v>24</v>
      </c>
      <c r="J1576" s="523">
        <v>19834</v>
      </c>
      <c r="K1576" s="575">
        <f t="shared" si="158"/>
        <v>476016</v>
      </c>
      <c r="L1576" s="525" t="s">
        <v>292</v>
      </c>
      <c r="M1576" s="525" t="s">
        <v>8</v>
      </c>
      <c r="N1576" s="525" t="str">
        <f>IF(AND('331-CT'!$E$7=TH!H1576,OR(L1576="331",M1576="331")),"331",IF(AND(OR(L1576="131",M1576="131"),H1576='131-CT'!$E$7),"131",""))</f>
        <v/>
      </c>
      <c r="O1576" s="525" t="str">
        <f>IF(AND($B1576&gt;='111'!$N$11,$B1576&lt;='111'!$O$11,OR($L1576=$O$7,$M1576=$O$7)),"x","")</f>
        <v/>
      </c>
      <c r="P1576" s="525" t="str">
        <f>IF(AND($L1576=$O$7,$B1576&lt;'111'!$N$11),"x","")</f>
        <v/>
      </c>
      <c r="Q1576" s="525" t="str">
        <f>IF(AND($M1576=$O$7,$B1576&lt;'111'!$N$11),"x","")</f>
        <v/>
      </c>
      <c r="R1576" s="525" t="str">
        <f>IF(ISERROR(FIND('112'!$M$9,G1576,1)),"",IF((AND(FIND('112'!$M$9,G1576,1)&gt;=1,$B1576&gt;='112'!$N$8,$B1576&lt;='112'!$O$8,OR($L1576='112'!$I$6,$M1576='112'!$I$6))),"x",""))</f>
        <v/>
      </c>
      <c r="S1576" s="525" t="str">
        <f>IF(ISERROR(FIND('112'!$M$9,G1576,1)),"",IF((AND(LEFT(G1576,2)=LEFT('112'!$M$9,2),B1576&lt;'112'!$N$8,$L1576='112'!$I$6)),"x",""))</f>
        <v/>
      </c>
      <c r="T1576" s="525" t="str">
        <f>IF(ISERROR(FIND('112'!$M$9,G1576,1)),"",IF((AND(RIGHT(G1576,2)=RIGHT('112'!$M$9,2),B1576&lt;'112'!$N$8,$M1576='112'!$I$6)),"x",""))</f>
        <v/>
      </c>
      <c r="U1576" s="525" t="str">
        <f>IF(AND(B1576&gt;='IN-NX'!$P$3,B1576&lt;='IN-NX'!$Q$3,'IN-NX'!$D$7=D1576,OR(LEFT(L1576,2)="15",AND(LEFT(M1576,2)&lt;&gt;"15",LEFT(M1576,2)&lt;&gt;"33"))),"x","")</f>
        <v/>
      </c>
      <c r="V1576" s="525" t="str">
        <f>IF(AND(OR(LEFT(TH!L1576,2)="15",LEFT(TH!M1576,2)="15"),'152-CT'!$J$8=TH!F1576),"x","")</f>
        <v/>
      </c>
      <c r="W1576" s="525" t="str">
        <f>IF(AND(OR(LEFT(TH!L1576,2)="15",LEFT(TH!M1576,2)="15"),TK!$E$7=TH!F1576),"x","")</f>
        <v/>
      </c>
      <c r="X1576" s="525" t="str">
        <f>IF(AND('341-CT'!$E$9=H1576,OR(LEFT(L1576,3)=$X$7,LEFT(M1576,3)=$X$7)),"x","")</f>
        <v/>
      </c>
      <c r="Y1576" s="525" t="str">
        <f>IF(OR(TH!L1576=TH!$Y$7,M1576=TH!$Y$7),"x","")</f>
        <v/>
      </c>
      <c r="Z1576" s="525" t="str">
        <f>IF(AND(B1576&lt;=NKC!$N$8,B1576&gt;=NKC!$M$8),"x","")</f>
        <v>x</v>
      </c>
      <c r="AA1576" s="535">
        <v>1</v>
      </c>
      <c r="AC1576" s="503"/>
    </row>
    <row r="1577" spans="1:31" s="576" customFormat="1" ht="15.75" customHeight="1">
      <c r="A1577" s="517" t="str">
        <f>IF(B1577&lt;&gt;"",IF(AND(B1577&gt;=_TM1,B1577&lt;=_TM2,OR(TH!L1577="1111",TH!M1577="1111")),TH!D1577,""),"")</f>
        <v/>
      </c>
      <c r="B1577" s="518">
        <f t="shared" si="155"/>
        <v>3</v>
      </c>
      <c r="C1577" s="571">
        <f t="shared" si="156"/>
        <v>42824</v>
      </c>
      <c r="D1577" s="537" t="s">
        <v>992</v>
      </c>
      <c r="E1577" s="615">
        <v>42824</v>
      </c>
      <c r="F1577" s="572" t="s">
        <v>716</v>
      </c>
      <c r="G1577" s="616" t="s">
        <v>866</v>
      </c>
      <c r="H1577" s="574" t="s">
        <v>447</v>
      </c>
      <c r="I1577" s="523">
        <v>24</v>
      </c>
      <c r="J1577" s="523">
        <v>27705</v>
      </c>
      <c r="K1577" s="575">
        <f t="shared" si="158"/>
        <v>664920</v>
      </c>
      <c r="L1577" s="525" t="s">
        <v>292</v>
      </c>
      <c r="M1577" s="525" t="s">
        <v>8</v>
      </c>
      <c r="N1577" s="525" t="str">
        <f>IF(AND('331-CT'!$E$7=TH!H1577,OR(L1577="331",M1577="331")),"331",IF(AND(OR(L1577="131",M1577="131"),H1577='131-CT'!$E$7),"131",""))</f>
        <v/>
      </c>
      <c r="O1577" s="525" t="str">
        <f>IF(AND($B1577&gt;='111'!$N$11,$B1577&lt;='111'!$O$11,OR($L1577=$O$7,$M1577=$O$7)),"x","")</f>
        <v/>
      </c>
      <c r="P1577" s="525" t="str">
        <f>IF(AND($L1577=$O$7,$B1577&lt;'111'!$N$11),"x","")</f>
        <v/>
      </c>
      <c r="Q1577" s="525" t="str">
        <f>IF(AND($M1577=$O$7,$B1577&lt;'111'!$N$11),"x","")</f>
        <v/>
      </c>
      <c r="R1577" s="525" t="str">
        <f>IF(ISERROR(FIND('112'!$M$9,G1577,1)),"",IF((AND(FIND('112'!$M$9,G1577,1)&gt;=1,$B1577&gt;='112'!$N$8,$B1577&lt;='112'!$O$8,OR($L1577='112'!$I$6,$M1577='112'!$I$6))),"x",""))</f>
        <v/>
      </c>
      <c r="S1577" s="525" t="str">
        <f>IF(ISERROR(FIND('112'!$M$9,G1577,1)),"",IF((AND(LEFT(G1577,2)=LEFT('112'!$M$9,2),B1577&lt;'112'!$N$8,$L1577='112'!$I$6)),"x",""))</f>
        <v/>
      </c>
      <c r="T1577" s="525" t="str">
        <f>IF(ISERROR(FIND('112'!$M$9,G1577,1)),"",IF((AND(RIGHT(G1577,2)=RIGHT('112'!$M$9,2),B1577&lt;'112'!$N$8,$M1577='112'!$I$6)),"x",""))</f>
        <v/>
      </c>
      <c r="U1577" s="525" t="str">
        <f>IF(AND(B1577&gt;='IN-NX'!$P$3,B1577&lt;='IN-NX'!$Q$3,'IN-NX'!$D$7=D1577,OR(LEFT(L1577,2)="15",AND(LEFT(M1577,2)&lt;&gt;"15",LEFT(M1577,2)&lt;&gt;"33"))),"x","")</f>
        <v/>
      </c>
      <c r="V1577" s="525" t="str">
        <f>IF(AND(OR(LEFT(TH!L1577,2)="15",LEFT(TH!M1577,2)="15"),'152-CT'!$J$8=TH!F1577),"x","")</f>
        <v/>
      </c>
      <c r="W1577" s="525" t="str">
        <f>IF(AND(OR(LEFT(TH!L1577,2)="15",LEFT(TH!M1577,2)="15"),TK!$E$7=TH!F1577),"x","")</f>
        <v/>
      </c>
      <c r="X1577" s="525" t="str">
        <f>IF(AND('341-CT'!$E$9=H1577,OR(LEFT(L1577,3)=$X$7,LEFT(M1577,3)=$X$7)),"x","")</f>
        <v/>
      </c>
      <c r="Y1577" s="525" t="str">
        <f>IF(OR(TH!L1577=TH!$Y$7,M1577=TH!$Y$7),"x","")</f>
        <v/>
      </c>
      <c r="Z1577" s="525" t="str">
        <f>IF(AND(B1577&lt;=NKC!$N$8,B1577&gt;=NKC!$M$8),"x","")</f>
        <v>x</v>
      </c>
      <c r="AA1577" s="535">
        <v>1</v>
      </c>
      <c r="AC1577" s="503"/>
    </row>
    <row r="1578" spans="1:31" s="576" customFormat="1" ht="15.75" customHeight="1">
      <c r="A1578" s="517" t="str">
        <f>IF(B1578&lt;&gt;"",IF(AND(B1578&gt;=_TM1,B1578&lt;=_TM2,OR(TH!L1578="1111",TH!M1578="1111")),TH!D1578,""),"")</f>
        <v/>
      </c>
      <c r="B1578" s="518">
        <f t="shared" si="155"/>
        <v>3</v>
      </c>
      <c r="C1578" s="571">
        <f t="shared" si="156"/>
        <v>42824</v>
      </c>
      <c r="D1578" s="537" t="s">
        <v>992</v>
      </c>
      <c r="E1578" s="615">
        <v>42824</v>
      </c>
      <c r="F1578" s="572" t="s">
        <v>717</v>
      </c>
      <c r="G1578" s="616" t="s">
        <v>866</v>
      </c>
      <c r="H1578" s="574" t="s">
        <v>447</v>
      </c>
      <c r="I1578" s="523">
        <v>24</v>
      </c>
      <c r="J1578" s="523">
        <v>23657</v>
      </c>
      <c r="K1578" s="575">
        <f t="shared" si="158"/>
        <v>567768</v>
      </c>
      <c r="L1578" s="525" t="s">
        <v>292</v>
      </c>
      <c r="M1578" s="525" t="s">
        <v>8</v>
      </c>
      <c r="N1578" s="525" t="str">
        <f>IF(AND('331-CT'!$E$7=TH!H1578,OR(L1578="331",M1578="331")),"331",IF(AND(OR(L1578="131",M1578="131"),H1578='131-CT'!$E$7),"131",""))</f>
        <v/>
      </c>
      <c r="O1578" s="525" t="str">
        <f>IF(AND($B1578&gt;='111'!$N$11,$B1578&lt;='111'!$O$11,OR($L1578=$O$7,$M1578=$O$7)),"x","")</f>
        <v/>
      </c>
      <c r="P1578" s="525" t="str">
        <f>IF(AND($L1578=$O$7,$B1578&lt;'111'!$N$11),"x","")</f>
        <v/>
      </c>
      <c r="Q1578" s="525" t="str">
        <f>IF(AND($M1578=$O$7,$B1578&lt;'111'!$N$11),"x","")</f>
        <v/>
      </c>
      <c r="R1578" s="525" t="str">
        <f>IF(ISERROR(FIND('112'!$M$9,G1578,1)),"",IF((AND(FIND('112'!$M$9,G1578,1)&gt;=1,$B1578&gt;='112'!$N$8,$B1578&lt;='112'!$O$8,OR($L1578='112'!$I$6,$M1578='112'!$I$6))),"x",""))</f>
        <v/>
      </c>
      <c r="S1578" s="525" t="str">
        <f>IF(ISERROR(FIND('112'!$M$9,G1578,1)),"",IF((AND(LEFT(G1578,2)=LEFT('112'!$M$9,2),B1578&lt;'112'!$N$8,$L1578='112'!$I$6)),"x",""))</f>
        <v/>
      </c>
      <c r="T1578" s="525" t="str">
        <f>IF(ISERROR(FIND('112'!$M$9,G1578,1)),"",IF((AND(RIGHT(G1578,2)=RIGHT('112'!$M$9,2),B1578&lt;'112'!$N$8,$M1578='112'!$I$6)),"x",""))</f>
        <v/>
      </c>
      <c r="U1578" s="525" t="str">
        <f>IF(AND(B1578&gt;='IN-NX'!$P$3,B1578&lt;='IN-NX'!$Q$3,'IN-NX'!$D$7=D1578,OR(LEFT(L1578,2)="15",AND(LEFT(M1578,2)&lt;&gt;"15",LEFT(M1578,2)&lt;&gt;"33"))),"x","")</f>
        <v/>
      </c>
      <c r="V1578" s="525" t="str">
        <f>IF(AND(OR(LEFT(TH!L1578,2)="15",LEFT(TH!M1578,2)="15"),'152-CT'!$J$8=TH!F1578),"x","")</f>
        <v/>
      </c>
      <c r="W1578" s="525" t="str">
        <f>IF(AND(OR(LEFT(TH!L1578,2)="15",LEFT(TH!M1578,2)="15"),TK!$E$7=TH!F1578),"x","")</f>
        <v/>
      </c>
      <c r="X1578" s="525" t="str">
        <f>IF(AND('341-CT'!$E$9=H1578,OR(LEFT(L1578,3)=$X$7,LEFT(M1578,3)=$X$7)),"x","")</f>
        <v/>
      </c>
      <c r="Y1578" s="525" t="str">
        <f>IF(OR(TH!L1578=TH!$Y$7,M1578=TH!$Y$7),"x","")</f>
        <v/>
      </c>
      <c r="Z1578" s="525" t="str">
        <f>IF(AND(B1578&lt;=NKC!$N$8,B1578&gt;=NKC!$M$8),"x","")</f>
        <v>x</v>
      </c>
      <c r="AA1578" s="535">
        <v>1</v>
      </c>
      <c r="AC1578" s="503"/>
    </row>
    <row r="1579" spans="1:31" s="576" customFormat="1" ht="15.75" customHeight="1">
      <c r="A1579" s="517" t="str">
        <f>IF(B1579&lt;&gt;"",IF(AND(B1579&gt;=_TM1,B1579&lt;=_TM2,OR(TH!L1579="1111",TH!M1579="1111")),TH!D1579,""),"")</f>
        <v/>
      </c>
      <c r="B1579" s="518">
        <f t="shared" si="155"/>
        <v>3</v>
      </c>
      <c r="C1579" s="571">
        <f t="shared" si="156"/>
        <v>42824</v>
      </c>
      <c r="D1579" s="537" t="s">
        <v>992</v>
      </c>
      <c r="E1579" s="615">
        <v>42824</v>
      </c>
      <c r="F1579" s="572" t="s">
        <v>626</v>
      </c>
      <c r="G1579" s="616" t="s">
        <v>866</v>
      </c>
      <c r="H1579" s="574" t="s">
        <v>447</v>
      </c>
      <c r="I1579" s="523">
        <v>12</v>
      </c>
      <c r="J1579" s="523">
        <v>21761</v>
      </c>
      <c r="K1579" s="575">
        <f t="shared" si="158"/>
        <v>261132</v>
      </c>
      <c r="L1579" s="525" t="s">
        <v>292</v>
      </c>
      <c r="M1579" s="525" t="s">
        <v>8</v>
      </c>
      <c r="N1579" s="525" t="str">
        <f>IF(AND('331-CT'!$E$7=TH!H1579,OR(L1579="331",M1579="331")),"331",IF(AND(OR(L1579="131",M1579="131"),H1579='131-CT'!$E$7),"131",""))</f>
        <v/>
      </c>
      <c r="O1579" s="525" t="str">
        <f>IF(AND($B1579&gt;='111'!$N$11,$B1579&lt;='111'!$O$11,OR($L1579=$O$7,$M1579=$O$7)),"x","")</f>
        <v/>
      </c>
      <c r="P1579" s="525" t="str">
        <f>IF(AND($L1579=$O$7,$B1579&lt;'111'!$N$11),"x","")</f>
        <v/>
      </c>
      <c r="Q1579" s="525" t="str">
        <f>IF(AND($M1579=$O$7,$B1579&lt;'111'!$N$11),"x","")</f>
        <v/>
      </c>
      <c r="R1579" s="525" t="str">
        <f>IF(ISERROR(FIND('112'!$M$9,G1579,1)),"",IF((AND(FIND('112'!$M$9,G1579,1)&gt;=1,$B1579&gt;='112'!$N$8,$B1579&lt;='112'!$O$8,OR($L1579='112'!$I$6,$M1579='112'!$I$6))),"x",""))</f>
        <v/>
      </c>
      <c r="S1579" s="525" t="str">
        <f>IF(ISERROR(FIND('112'!$M$9,G1579,1)),"",IF((AND(LEFT(G1579,2)=LEFT('112'!$M$9,2),B1579&lt;'112'!$N$8,$L1579='112'!$I$6)),"x",""))</f>
        <v/>
      </c>
      <c r="T1579" s="525" t="str">
        <f>IF(ISERROR(FIND('112'!$M$9,G1579,1)),"",IF((AND(RIGHT(G1579,2)=RIGHT('112'!$M$9,2),B1579&lt;'112'!$N$8,$M1579='112'!$I$6)),"x",""))</f>
        <v/>
      </c>
      <c r="U1579" s="525" t="str">
        <f>IF(AND(B1579&gt;='IN-NX'!$P$3,B1579&lt;='IN-NX'!$Q$3,'IN-NX'!$D$7=D1579,OR(LEFT(L1579,2)="15",AND(LEFT(M1579,2)&lt;&gt;"15",LEFT(M1579,2)&lt;&gt;"33"))),"x","")</f>
        <v/>
      </c>
      <c r="V1579" s="525" t="str">
        <f>IF(AND(OR(LEFT(TH!L1579,2)="15",LEFT(TH!M1579,2)="15"),'152-CT'!$J$8=TH!F1579),"x","")</f>
        <v/>
      </c>
      <c r="W1579" s="525" t="str">
        <f>IF(AND(OR(LEFT(TH!L1579,2)="15",LEFT(TH!M1579,2)="15"),TK!$E$7=TH!F1579),"x","")</f>
        <v/>
      </c>
      <c r="X1579" s="525" t="str">
        <f>IF(AND('341-CT'!$E$9=H1579,OR(LEFT(L1579,3)=$X$7,LEFT(M1579,3)=$X$7)),"x","")</f>
        <v/>
      </c>
      <c r="Y1579" s="525" t="str">
        <f>IF(OR(TH!L1579=TH!$Y$7,M1579=TH!$Y$7),"x","")</f>
        <v/>
      </c>
      <c r="Z1579" s="525" t="str">
        <f>IF(AND(B1579&lt;=NKC!$N$8,B1579&gt;=NKC!$M$8),"x","")</f>
        <v>x</v>
      </c>
      <c r="AA1579" s="535">
        <v>1</v>
      </c>
      <c r="AC1579" s="503"/>
    </row>
    <row r="1580" spans="1:31" s="576" customFormat="1" ht="15.75" customHeight="1">
      <c r="A1580" s="517" t="str">
        <f>IF(B1580&lt;&gt;"",IF(AND(B1580&gt;=_TM1,B1580&lt;=_TM2,OR(TH!L1580="1111",TH!M1580="1111")),TH!D1580,""),"")</f>
        <v/>
      </c>
      <c r="B1580" s="518">
        <f t="shared" si="155"/>
        <v>3</v>
      </c>
      <c r="C1580" s="571">
        <f t="shared" si="156"/>
        <v>42824</v>
      </c>
      <c r="D1580" s="537" t="s">
        <v>992</v>
      </c>
      <c r="E1580" s="615">
        <v>42824</v>
      </c>
      <c r="F1580" s="572" t="s">
        <v>719</v>
      </c>
      <c r="G1580" s="616" t="s">
        <v>866</v>
      </c>
      <c r="H1580" s="574" t="s">
        <v>447</v>
      </c>
      <c r="I1580" s="523">
        <v>36</v>
      </c>
      <c r="J1580" s="523">
        <v>13106</v>
      </c>
      <c r="K1580" s="575">
        <f t="shared" si="158"/>
        <v>471816</v>
      </c>
      <c r="L1580" s="525" t="s">
        <v>292</v>
      </c>
      <c r="M1580" s="525" t="s">
        <v>8</v>
      </c>
      <c r="N1580" s="525" t="str">
        <f>IF(AND('331-CT'!$E$7=TH!H1580,OR(L1580="331",M1580="331")),"331",IF(AND(OR(L1580="131",M1580="131"),H1580='131-CT'!$E$7),"131",""))</f>
        <v/>
      </c>
      <c r="O1580" s="525" t="str">
        <f>IF(AND($B1580&gt;='111'!$N$11,$B1580&lt;='111'!$O$11,OR($L1580=$O$7,$M1580=$O$7)),"x","")</f>
        <v/>
      </c>
      <c r="P1580" s="525" t="str">
        <f>IF(AND($L1580=$O$7,$B1580&lt;'111'!$N$11),"x","")</f>
        <v/>
      </c>
      <c r="Q1580" s="525" t="str">
        <f>IF(AND($M1580=$O$7,$B1580&lt;'111'!$N$11),"x","")</f>
        <v/>
      </c>
      <c r="R1580" s="525" t="str">
        <f>IF(ISERROR(FIND('112'!$M$9,G1580,1)),"",IF((AND(FIND('112'!$M$9,G1580,1)&gt;=1,$B1580&gt;='112'!$N$8,$B1580&lt;='112'!$O$8,OR($L1580='112'!$I$6,$M1580='112'!$I$6))),"x",""))</f>
        <v/>
      </c>
      <c r="S1580" s="525" t="str">
        <f>IF(ISERROR(FIND('112'!$M$9,G1580,1)),"",IF((AND(LEFT(G1580,2)=LEFT('112'!$M$9,2),B1580&lt;'112'!$N$8,$L1580='112'!$I$6)),"x",""))</f>
        <v/>
      </c>
      <c r="T1580" s="525" t="str">
        <f>IF(ISERROR(FIND('112'!$M$9,G1580,1)),"",IF((AND(RIGHT(G1580,2)=RIGHT('112'!$M$9,2),B1580&lt;'112'!$N$8,$M1580='112'!$I$6)),"x",""))</f>
        <v/>
      </c>
      <c r="U1580" s="525" t="str">
        <f>IF(AND(B1580&gt;='IN-NX'!$P$3,B1580&lt;='IN-NX'!$Q$3,'IN-NX'!$D$7=D1580,OR(LEFT(L1580,2)="15",AND(LEFT(M1580,2)&lt;&gt;"15",LEFT(M1580,2)&lt;&gt;"33"))),"x","")</f>
        <v/>
      </c>
      <c r="V1580" s="525" t="str">
        <f>IF(AND(OR(LEFT(TH!L1580,2)="15",LEFT(TH!M1580,2)="15"),'152-CT'!$J$8=TH!F1580),"x","")</f>
        <v/>
      </c>
      <c r="W1580" s="525" t="str">
        <f>IF(AND(OR(LEFT(TH!L1580,2)="15",LEFT(TH!M1580,2)="15"),TK!$E$7=TH!F1580),"x","")</f>
        <v/>
      </c>
      <c r="X1580" s="525" t="str">
        <f>IF(AND('341-CT'!$E$9=H1580,OR(LEFT(L1580,3)=$X$7,LEFT(M1580,3)=$X$7)),"x","")</f>
        <v/>
      </c>
      <c r="Y1580" s="525" t="str">
        <f>IF(OR(TH!L1580=TH!$Y$7,M1580=TH!$Y$7),"x","")</f>
        <v/>
      </c>
      <c r="Z1580" s="525" t="str">
        <f>IF(AND(B1580&lt;=NKC!$N$8,B1580&gt;=NKC!$M$8),"x","")</f>
        <v>x</v>
      </c>
      <c r="AA1580" s="535">
        <v>1</v>
      </c>
      <c r="AC1580" s="503"/>
    </row>
    <row r="1581" spans="1:31" s="576" customFormat="1" ht="15.75" customHeight="1">
      <c r="A1581" s="517" t="str">
        <f>IF(B1581&lt;&gt;"",IF(AND(B1581&gt;=_TM1,B1581&lt;=_TM2,OR(TH!L1581="1111",TH!M1581="1111")),TH!D1581,""),"")</f>
        <v/>
      </c>
      <c r="B1581" s="518">
        <f t="shared" si="155"/>
        <v>3</v>
      </c>
      <c r="C1581" s="571">
        <f t="shared" si="156"/>
        <v>42824</v>
      </c>
      <c r="D1581" s="537" t="s">
        <v>992</v>
      </c>
      <c r="E1581" s="615">
        <v>42824</v>
      </c>
      <c r="F1581" s="572" t="s">
        <v>720</v>
      </c>
      <c r="G1581" s="616" t="s">
        <v>866</v>
      </c>
      <c r="H1581" s="574" t="s">
        <v>447</v>
      </c>
      <c r="I1581" s="523">
        <v>48</v>
      </c>
      <c r="J1581" s="523">
        <v>7667</v>
      </c>
      <c r="K1581" s="575">
        <f t="shared" si="158"/>
        <v>368016</v>
      </c>
      <c r="L1581" s="525" t="s">
        <v>292</v>
      </c>
      <c r="M1581" s="525" t="s">
        <v>8</v>
      </c>
      <c r="N1581" s="525" t="str">
        <f>IF(AND('331-CT'!$E$7=TH!H1581,OR(L1581="331",M1581="331")),"331",IF(AND(OR(L1581="131",M1581="131"),H1581='131-CT'!$E$7),"131",""))</f>
        <v/>
      </c>
      <c r="O1581" s="525" t="str">
        <f>IF(AND($B1581&gt;='111'!$N$11,$B1581&lt;='111'!$O$11,OR($L1581=$O$7,$M1581=$O$7)),"x","")</f>
        <v/>
      </c>
      <c r="P1581" s="525" t="str">
        <f>IF(AND($L1581=$O$7,$B1581&lt;'111'!$N$11),"x","")</f>
        <v/>
      </c>
      <c r="Q1581" s="525" t="str">
        <f>IF(AND($M1581=$O$7,$B1581&lt;'111'!$N$11),"x","")</f>
        <v/>
      </c>
      <c r="R1581" s="525" t="str">
        <f>IF(ISERROR(FIND('112'!$M$9,G1581,1)),"",IF((AND(FIND('112'!$M$9,G1581,1)&gt;=1,$B1581&gt;='112'!$N$8,$B1581&lt;='112'!$O$8,OR($L1581='112'!$I$6,$M1581='112'!$I$6))),"x",""))</f>
        <v/>
      </c>
      <c r="S1581" s="525" t="str">
        <f>IF(ISERROR(FIND('112'!$M$9,G1581,1)),"",IF((AND(LEFT(G1581,2)=LEFT('112'!$M$9,2),B1581&lt;'112'!$N$8,$L1581='112'!$I$6)),"x",""))</f>
        <v/>
      </c>
      <c r="T1581" s="525" t="str">
        <f>IF(ISERROR(FIND('112'!$M$9,G1581,1)),"",IF((AND(RIGHT(G1581,2)=RIGHT('112'!$M$9,2),B1581&lt;'112'!$N$8,$M1581='112'!$I$6)),"x",""))</f>
        <v/>
      </c>
      <c r="U1581" s="525" t="str">
        <f>IF(AND(B1581&gt;='IN-NX'!$P$3,B1581&lt;='IN-NX'!$Q$3,'IN-NX'!$D$7=D1581,OR(LEFT(L1581,2)="15",AND(LEFT(M1581,2)&lt;&gt;"15",LEFT(M1581,2)&lt;&gt;"33"))),"x","")</f>
        <v/>
      </c>
      <c r="V1581" s="525" t="str">
        <f>IF(AND(OR(LEFT(TH!L1581,2)="15",LEFT(TH!M1581,2)="15"),'152-CT'!$J$8=TH!F1581),"x","")</f>
        <v/>
      </c>
      <c r="W1581" s="525" t="str">
        <f>IF(AND(OR(LEFT(TH!L1581,2)="15",LEFT(TH!M1581,2)="15"),TK!$E$7=TH!F1581),"x","")</f>
        <v/>
      </c>
      <c r="X1581" s="525" t="str">
        <f>IF(AND('341-CT'!$E$9=H1581,OR(LEFT(L1581,3)=$X$7,LEFT(M1581,3)=$X$7)),"x","")</f>
        <v/>
      </c>
      <c r="Y1581" s="525" t="str">
        <f>IF(OR(TH!L1581=TH!$Y$7,M1581=TH!$Y$7),"x","")</f>
        <v/>
      </c>
      <c r="Z1581" s="525" t="str">
        <f>IF(AND(B1581&lt;=NKC!$N$8,B1581&gt;=NKC!$M$8),"x","")</f>
        <v>x</v>
      </c>
      <c r="AA1581" s="535">
        <v>1</v>
      </c>
      <c r="AC1581" s="503"/>
    </row>
    <row r="1582" spans="1:31" s="576" customFormat="1" ht="15.75" customHeight="1">
      <c r="A1582" s="517" t="str">
        <f>IF(B1582&lt;&gt;"",IF(AND(B1582&gt;=_TM1,B1582&lt;=_TM2,OR(TH!L1582="1111",TH!M1582="1111")),TH!D1582,""),"")</f>
        <v/>
      </c>
      <c r="B1582" s="518">
        <f t="shared" si="155"/>
        <v>3</v>
      </c>
      <c r="C1582" s="571">
        <f t="shared" si="156"/>
        <v>42824</v>
      </c>
      <c r="D1582" s="537" t="s">
        <v>992</v>
      </c>
      <c r="E1582" s="615">
        <v>42824</v>
      </c>
      <c r="F1582" s="572" t="s">
        <v>673</v>
      </c>
      <c r="G1582" s="616" t="s">
        <v>866</v>
      </c>
      <c r="H1582" s="574" t="s">
        <v>447</v>
      </c>
      <c r="I1582" s="523">
        <v>3</v>
      </c>
      <c r="J1582" s="523">
        <v>15212</v>
      </c>
      <c r="K1582" s="575">
        <f t="shared" si="158"/>
        <v>45636</v>
      </c>
      <c r="L1582" s="525" t="s">
        <v>292</v>
      </c>
      <c r="M1582" s="525" t="s">
        <v>8</v>
      </c>
      <c r="N1582" s="525" t="str">
        <f>IF(AND('331-CT'!$E$7=TH!H1582,OR(L1582="331",M1582="331")),"331",IF(AND(OR(L1582="131",M1582="131"),H1582='131-CT'!$E$7),"131",""))</f>
        <v/>
      </c>
      <c r="O1582" s="525" t="str">
        <f>IF(AND($B1582&gt;='111'!$N$11,$B1582&lt;='111'!$O$11,OR($L1582=$O$7,$M1582=$O$7)),"x","")</f>
        <v/>
      </c>
      <c r="P1582" s="525" t="str">
        <f>IF(AND($L1582=$O$7,$B1582&lt;'111'!$N$11),"x","")</f>
        <v/>
      </c>
      <c r="Q1582" s="525" t="str">
        <f>IF(AND($M1582=$O$7,$B1582&lt;'111'!$N$11),"x","")</f>
        <v/>
      </c>
      <c r="R1582" s="525" t="str">
        <f>IF(ISERROR(FIND('112'!$M$9,G1582,1)),"",IF((AND(FIND('112'!$M$9,G1582,1)&gt;=1,$B1582&gt;='112'!$N$8,$B1582&lt;='112'!$O$8,OR($L1582='112'!$I$6,$M1582='112'!$I$6))),"x",""))</f>
        <v/>
      </c>
      <c r="S1582" s="525" t="str">
        <f>IF(ISERROR(FIND('112'!$M$9,G1582,1)),"",IF((AND(LEFT(G1582,2)=LEFT('112'!$M$9,2),B1582&lt;'112'!$N$8,$L1582='112'!$I$6)),"x",""))</f>
        <v/>
      </c>
      <c r="T1582" s="525" t="str">
        <f>IF(ISERROR(FIND('112'!$M$9,G1582,1)),"",IF((AND(RIGHT(G1582,2)=RIGHT('112'!$M$9,2),B1582&lt;'112'!$N$8,$M1582='112'!$I$6)),"x",""))</f>
        <v/>
      </c>
      <c r="U1582" s="525" t="str">
        <f>IF(AND(B1582&gt;='IN-NX'!$P$3,B1582&lt;='IN-NX'!$Q$3,'IN-NX'!$D$7=D1582,OR(LEFT(L1582,2)="15",AND(LEFT(M1582,2)&lt;&gt;"15",LEFT(M1582,2)&lt;&gt;"33"))),"x","")</f>
        <v/>
      </c>
      <c r="V1582" s="525" t="str">
        <f>IF(AND(OR(LEFT(TH!L1582,2)="15",LEFT(TH!M1582,2)="15"),'152-CT'!$J$8=TH!F1582),"x","")</f>
        <v/>
      </c>
      <c r="W1582" s="525" t="str">
        <f>IF(AND(OR(LEFT(TH!L1582,2)="15",LEFT(TH!M1582,2)="15"),TK!$E$7=TH!F1582),"x","")</f>
        <v/>
      </c>
      <c r="X1582" s="525" t="str">
        <f>IF(AND('341-CT'!$E$9=H1582,OR(LEFT(L1582,3)=$X$7,LEFT(M1582,3)=$X$7)),"x","")</f>
        <v/>
      </c>
      <c r="Y1582" s="525" t="str">
        <f>IF(OR(TH!L1582=TH!$Y$7,M1582=TH!$Y$7),"x","")</f>
        <v/>
      </c>
      <c r="Z1582" s="525" t="str">
        <f>IF(AND(B1582&lt;=NKC!$N$8,B1582&gt;=NKC!$M$8),"x","")</f>
        <v>x</v>
      </c>
      <c r="AA1582" s="535">
        <v>1</v>
      </c>
      <c r="AC1582" s="503"/>
    </row>
    <row r="1583" spans="1:31" s="576" customFormat="1" ht="15.75" customHeight="1">
      <c r="A1583" s="517" t="str">
        <f>IF(B1583&lt;&gt;"",IF(AND(B1583&gt;=_TM1,B1583&lt;=_TM2,OR(TH!L1583="1111",TH!M1583="1111")),TH!D1583,""),"")</f>
        <v/>
      </c>
      <c r="B1583" s="518">
        <f t="shared" si="155"/>
        <v>3</v>
      </c>
      <c r="C1583" s="571">
        <f t="shared" si="156"/>
        <v>42824</v>
      </c>
      <c r="D1583" s="537" t="s">
        <v>992</v>
      </c>
      <c r="E1583" s="615">
        <v>42824</v>
      </c>
      <c r="F1583" s="572" t="s">
        <v>721</v>
      </c>
      <c r="G1583" s="616" t="s">
        <v>866</v>
      </c>
      <c r="H1583" s="574" t="s">
        <v>447</v>
      </c>
      <c r="I1583" s="523">
        <v>24</v>
      </c>
      <c r="J1583" s="523">
        <v>7804</v>
      </c>
      <c r="K1583" s="575">
        <f t="shared" si="158"/>
        <v>187296</v>
      </c>
      <c r="L1583" s="525" t="s">
        <v>292</v>
      </c>
      <c r="M1583" s="525" t="s">
        <v>8</v>
      </c>
      <c r="N1583" s="525" t="str">
        <f>IF(AND('331-CT'!$E$7=TH!H1583,OR(L1583="331",M1583="331")),"331",IF(AND(OR(L1583="131",M1583="131"),H1583='131-CT'!$E$7),"131",""))</f>
        <v/>
      </c>
      <c r="O1583" s="525" t="str">
        <f>IF(AND($B1583&gt;='111'!$N$11,$B1583&lt;='111'!$O$11,OR($L1583=$O$7,$M1583=$O$7)),"x","")</f>
        <v/>
      </c>
      <c r="P1583" s="525" t="str">
        <f>IF(AND($L1583=$O$7,$B1583&lt;'111'!$N$11),"x","")</f>
        <v/>
      </c>
      <c r="Q1583" s="525" t="str">
        <f>IF(AND($M1583=$O$7,$B1583&lt;'111'!$N$11),"x","")</f>
        <v/>
      </c>
      <c r="R1583" s="525" t="str">
        <f>IF(ISERROR(FIND('112'!$M$9,G1583,1)),"",IF((AND(FIND('112'!$M$9,G1583,1)&gt;=1,$B1583&gt;='112'!$N$8,$B1583&lt;='112'!$O$8,OR($L1583='112'!$I$6,$M1583='112'!$I$6))),"x",""))</f>
        <v/>
      </c>
      <c r="S1583" s="525" t="str">
        <f>IF(ISERROR(FIND('112'!$M$9,G1583,1)),"",IF((AND(LEFT(G1583,2)=LEFT('112'!$M$9,2),B1583&lt;'112'!$N$8,$L1583='112'!$I$6)),"x",""))</f>
        <v/>
      </c>
      <c r="T1583" s="525" t="str">
        <f>IF(ISERROR(FIND('112'!$M$9,G1583,1)),"",IF((AND(RIGHT(G1583,2)=RIGHT('112'!$M$9,2),B1583&lt;'112'!$N$8,$M1583='112'!$I$6)),"x",""))</f>
        <v/>
      </c>
      <c r="U1583" s="525" t="str">
        <f>IF(AND(B1583&gt;='IN-NX'!$P$3,B1583&lt;='IN-NX'!$Q$3,'IN-NX'!$D$7=D1583,OR(LEFT(L1583,2)="15",AND(LEFT(M1583,2)&lt;&gt;"15",LEFT(M1583,2)&lt;&gt;"33"))),"x","")</f>
        <v/>
      </c>
      <c r="V1583" s="525" t="str">
        <f>IF(AND(OR(LEFT(TH!L1583,2)="15",LEFT(TH!M1583,2)="15"),'152-CT'!$J$8=TH!F1583),"x","")</f>
        <v/>
      </c>
      <c r="W1583" s="525" t="str">
        <f>IF(AND(OR(LEFT(TH!L1583,2)="15",LEFT(TH!M1583,2)="15"),TK!$E$7=TH!F1583),"x","")</f>
        <v/>
      </c>
      <c r="X1583" s="525" t="str">
        <f>IF(AND('341-CT'!$E$9=H1583,OR(LEFT(L1583,3)=$X$7,LEFT(M1583,3)=$X$7)),"x","")</f>
        <v/>
      </c>
      <c r="Y1583" s="525" t="str">
        <f>IF(OR(TH!L1583=TH!$Y$7,M1583=TH!$Y$7),"x","")</f>
        <v/>
      </c>
      <c r="Z1583" s="525" t="str">
        <f>IF(AND(B1583&lt;=NKC!$N$8,B1583&gt;=NKC!$M$8),"x","")</f>
        <v>x</v>
      </c>
      <c r="AA1583" s="535">
        <v>1</v>
      </c>
      <c r="AC1583" s="503"/>
    </row>
    <row r="1584" spans="1:31" s="576" customFormat="1" ht="15.75" customHeight="1">
      <c r="A1584" s="517" t="str">
        <f>IF(B1584&lt;&gt;"",IF(AND(B1584&gt;=_TM1,B1584&lt;=_TM2,OR(TH!L1584="1111",TH!M1584="1111")),TH!D1584,""),"")</f>
        <v/>
      </c>
      <c r="B1584" s="518">
        <f t="shared" si="155"/>
        <v>3</v>
      </c>
      <c r="C1584" s="571">
        <f t="shared" si="156"/>
        <v>42824</v>
      </c>
      <c r="D1584" s="537" t="s">
        <v>993</v>
      </c>
      <c r="E1584" s="615">
        <v>42824</v>
      </c>
      <c r="F1584" s="572" t="s">
        <v>722</v>
      </c>
      <c r="G1584" s="616" t="s">
        <v>866</v>
      </c>
      <c r="H1584" s="574" t="s">
        <v>447</v>
      </c>
      <c r="I1584" s="523">
        <v>24</v>
      </c>
      <c r="J1584" s="523">
        <v>11341</v>
      </c>
      <c r="K1584" s="575">
        <f t="shared" si="158"/>
        <v>272184</v>
      </c>
      <c r="L1584" s="525" t="s">
        <v>292</v>
      </c>
      <c r="M1584" s="525" t="s">
        <v>8</v>
      </c>
      <c r="N1584" s="525" t="str">
        <f>IF(AND('331-CT'!$E$7=TH!H1584,OR(L1584="331",M1584="331")),"331",IF(AND(OR(L1584="131",M1584="131"),H1584='131-CT'!$E$7),"131",""))</f>
        <v/>
      </c>
      <c r="O1584" s="525" t="str">
        <f>IF(AND($B1584&gt;='111'!$N$11,$B1584&lt;='111'!$O$11,OR($L1584=$O$7,$M1584=$O$7)),"x","")</f>
        <v/>
      </c>
      <c r="P1584" s="525" t="str">
        <f>IF(AND($L1584=$O$7,$B1584&lt;'111'!$N$11),"x","")</f>
        <v/>
      </c>
      <c r="Q1584" s="525" t="str">
        <f>IF(AND($M1584=$O$7,$B1584&lt;'111'!$N$11),"x","")</f>
        <v/>
      </c>
      <c r="R1584" s="525" t="str">
        <f>IF(ISERROR(FIND('112'!$M$9,G1584,1)),"",IF((AND(FIND('112'!$M$9,G1584,1)&gt;=1,$B1584&gt;='112'!$N$8,$B1584&lt;='112'!$O$8,OR($L1584='112'!$I$6,$M1584='112'!$I$6))),"x",""))</f>
        <v/>
      </c>
      <c r="S1584" s="525" t="str">
        <f>IF(ISERROR(FIND('112'!$M$9,G1584,1)),"",IF((AND(LEFT(G1584,2)=LEFT('112'!$M$9,2),B1584&lt;'112'!$N$8,$L1584='112'!$I$6)),"x",""))</f>
        <v/>
      </c>
      <c r="T1584" s="525" t="str">
        <f>IF(ISERROR(FIND('112'!$M$9,G1584,1)),"",IF((AND(RIGHT(G1584,2)=RIGHT('112'!$M$9,2),B1584&lt;'112'!$N$8,$M1584='112'!$I$6)),"x",""))</f>
        <v/>
      </c>
      <c r="U1584" s="525" t="str">
        <f>IF(AND(B1584&gt;='IN-NX'!$P$3,B1584&lt;='IN-NX'!$Q$3,'IN-NX'!$D$7=D1584,OR(LEFT(L1584,2)="15",AND(LEFT(M1584,2)&lt;&gt;"15",LEFT(M1584,2)&lt;&gt;"33"))),"x","")</f>
        <v/>
      </c>
      <c r="V1584" s="525" t="str">
        <f>IF(AND(OR(LEFT(TH!L1584,2)="15",LEFT(TH!M1584,2)="15"),'152-CT'!$J$8=TH!F1584),"x","")</f>
        <v/>
      </c>
      <c r="W1584" s="525" t="str">
        <f>IF(AND(OR(LEFT(TH!L1584,2)="15",LEFT(TH!M1584,2)="15"),TK!$E$7=TH!F1584),"x","")</f>
        <v/>
      </c>
      <c r="X1584" s="525" t="str">
        <f>IF(AND('341-CT'!$E$9=H1584,OR(LEFT(L1584,3)=$X$7,LEFT(M1584,3)=$X$7)),"x","")</f>
        <v/>
      </c>
      <c r="Y1584" s="525" t="str">
        <f>IF(OR(TH!L1584=TH!$Y$7,M1584=TH!$Y$7),"x","")</f>
        <v/>
      </c>
      <c r="Z1584" s="525" t="str">
        <f>IF(AND(B1584&lt;=NKC!$N$8,B1584&gt;=NKC!$M$8),"x","")</f>
        <v>x</v>
      </c>
      <c r="AA1584" s="535">
        <v>1</v>
      </c>
      <c r="AC1584" s="503"/>
    </row>
    <row r="1585" spans="1:29" s="576" customFormat="1" ht="15.75" customHeight="1">
      <c r="A1585" s="517" t="str">
        <f>IF(B1585&lt;&gt;"",IF(AND(B1585&gt;=_TM1,B1585&lt;=_TM2,OR(TH!L1585="1111",TH!M1585="1111")),TH!D1585,""),"")</f>
        <v/>
      </c>
      <c r="B1585" s="518">
        <f t="shared" si="155"/>
        <v>3</v>
      </c>
      <c r="C1585" s="571">
        <f t="shared" si="156"/>
        <v>42824</v>
      </c>
      <c r="D1585" s="537" t="s">
        <v>993</v>
      </c>
      <c r="E1585" s="615">
        <v>42824</v>
      </c>
      <c r="F1585" s="572" t="s">
        <v>723</v>
      </c>
      <c r="G1585" s="616" t="s">
        <v>866</v>
      </c>
      <c r="H1585" s="574" t="s">
        <v>447</v>
      </c>
      <c r="I1585" s="523">
        <v>16</v>
      </c>
      <c r="J1585" s="523">
        <v>10507</v>
      </c>
      <c r="K1585" s="575">
        <f t="shared" si="158"/>
        <v>168112</v>
      </c>
      <c r="L1585" s="525" t="s">
        <v>292</v>
      </c>
      <c r="M1585" s="525" t="s">
        <v>8</v>
      </c>
      <c r="N1585" s="525" t="str">
        <f>IF(AND('331-CT'!$E$7=TH!H1585,OR(L1585="331",M1585="331")),"331",IF(AND(OR(L1585="131",M1585="131"),H1585='131-CT'!$E$7),"131",""))</f>
        <v/>
      </c>
      <c r="O1585" s="525" t="str">
        <f>IF(AND($B1585&gt;='111'!$N$11,$B1585&lt;='111'!$O$11,OR($L1585=$O$7,$M1585=$O$7)),"x","")</f>
        <v/>
      </c>
      <c r="P1585" s="525" t="str">
        <f>IF(AND($L1585=$O$7,$B1585&lt;'111'!$N$11),"x","")</f>
        <v/>
      </c>
      <c r="Q1585" s="525" t="str">
        <f>IF(AND($M1585=$O$7,$B1585&lt;'111'!$N$11),"x","")</f>
        <v/>
      </c>
      <c r="R1585" s="525" t="str">
        <f>IF(ISERROR(FIND('112'!$M$9,G1585,1)),"",IF((AND(FIND('112'!$M$9,G1585,1)&gt;=1,$B1585&gt;='112'!$N$8,$B1585&lt;='112'!$O$8,OR($L1585='112'!$I$6,$M1585='112'!$I$6))),"x",""))</f>
        <v/>
      </c>
      <c r="S1585" s="525" t="str">
        <f>IF(ISERROR(FIND('112'!$M$9,G1585,1)),"",IF((AND(LEFT(G1585,2)=LEFT('112'!$M$9,2),B1585&lt;'112'!$N$8,$L1585='112'!$I$6)),"x",""))</f>
        <v/>
      </c>
      <c r="T1585" s="525" t="str">
        <f>IF(ISERROR(FIND('112'!$M$9,G1585,1)),"",IF((AND(RIGHT(G1585,2)=RIGHT('112'!$M$9,2),B1585&lt;'112'!$N$8,$M1585='112'!$I$6)),"x",""))</f>
        <v/>
      </c>
      <c r="U1585" s="525" t="str">
        <f>IF(AND(B1585&gt;='IN-NX'!$P$3,B1585&lt;='IN-NX'!$Q$3,'IN-NX'!$D$7=D1585,OR(LEFT(L1585,2)="15",AND(LEFT(M1585,2)&lt;&gt;"15",LEFT(M1585,2)&lt;&gt;"33"))),"x","")</f>
        <v/>
      </c>
      <c r="V1585" s="525" t="str">
        <f>IF(AND(OR(LEFT(TH!L1585,2)="15",LEFT(TH!M1585,2)="15"),'152-CT'!$J$8=TH!F1585),"x","")</f>
        <v/>
      </c>
      <c r="W1585" s="525" t="str">
        <f>IF(AND(OR(LEFT(TH!L1585,2)="15",LEFT(TH!M1585,2)="15"),TK!$E$7=TH!F1585),"x","")</f>
        <v/>
      </c>
      <c r="X1585" s="525" t="str">
        <f>IF(AND('341-CT'!$E$9=H1585,OR(LEFT(L1585,3)=$X$7,LEFT(M1585,3)=$X$7)),"x","")</f>
        <v/>
      </c>
      <c r="Y1585" s="525" t="str">
        <f>IF(OR(TH!L1585=TH!$Y$7,M1585=TH!$Y$7),"x","")</f>
        <v/>
      </c>
      <c r="Z1585" s="525" t="str">
        <f>IF(AND(B1585&lt;=NKC!$N$8,B1585&gt;=NKC!$M$8),"x","")</f>
        <v>x</v>
      </c>
      <c r="AA1585" s="535">
        <v>1</v>
      </c>
      <c r="AC1585" s="503"/>
    </row>
    <row r="1586" spans="1:29" s="576" customFormat="1" ht="15.75" customHeight="1">
      <c r="A1586" s="517" t="str">
        <f>IF(B1586&lt;&gt;"",IF(AND(B1586&gt;=_TM1,B1586&lt;=_TM2,OR(TH!L1586="1111",TH!M1586="1111")),TH!D1586,""),"")</f>
        <v/>
      </c>
      <c r="B1586" s="518">
        <f t="shared" si="155"/>
        <v>3</v>
      </c>
      <c r="C1586" s="571">
        <f t="shared" si="156"/>
        <v>42824</v>
      </c>
      <c r="D1586" s="537" t="s">
        <v>993</v>
      </c>
      <c r="E1586" s="615">
        <v>42824</v>
      </c>
      <c r="F1586" s="572" t="s">
        <v>724</v>
      </c>
      <c r="G1586" s="616" t="s">
        <v>866</v>
      </c>
      <c r="H1586" s="574" t="s">
        <v>447</v>
      </c>
      <c r="I1586" s="523">
        <v>16</v>
      </c>
      <c r="J1586" s="523">
        <v>8229</v>
      </c>
      <c r="K1586" s="575">
        <f t="shared" si="158"/>
        <v>131664</v>
      </c>
      <c r="L1586" s="525" t="s">
        <v>292</v>
      </c>
      <c r="M1586" s="525" t="s">
        <v>8</v>
      </c>
      <c r="N1586" s="525" t="str">
        <f>IF(AND('331-CT'!$E$7=TH!H1586,OR(L1586="331",M1586="331")),"331",IF(AND(OR(L1586="131",M1586="131"),H1586='131-CT'!$E$7),"131",""))</f>
        <v/>
      </c>
      <c r="O1586" s="525" t="str">
        <f>IF(AND($B1586&gt;='111'!$N$11,$B1586&lt;='111'!$O$11,OR($L1586=$O$7,$M1586=$O$7)),"x","")</f>
        <v/>
      </c>
      <c r="P1586" s="525" t="str">
        <f>IF(AND($L1586=$O$7,$B1586&lt;'111'!$N$11),"x","")</f>
        <v/>
      </c>
      <c r="Q1586" s="525" t="str">
        <f>IF(AND($M1586=$O$7,$B1586&lt;'111'!$N$11),"x","")</f>
        <v/>
      </c>
      <c r="R1586" s="525" t="str">
        <f>IF(ISERROR(FIND('112'!$M$9,G1586,1)),"",IF((AND(FIND('112'!$M$9,G1586,1)&gt;=1,$B1586&gt;='112'!$N$8,$B1586&lt;='112'!$O$8,OR($L1586='112'!$I$6,$M1586='112'!$I$6))),"x",""))</f>
        <v/>
      </c>
      <c r="S1586" s="525" t="str">
        <f>IF(ISERROR(FIND('112'!$M$9,G1586,1)),"",IF((AND(LEFT(G1586,2)=LEFT('112'!$M$9,2),B1586&lt;'112'!$N$8,$L1586='112'!$I$6)),"x",""))</f>
        <v/>
      </c>
      <c r="T1586" s="525" t="str">
        <f>IF(ISERROR(FIND('112'!$M$9,G1586,1)),"",IF((AND(RIGHT(G1586,2)=RIGHT('112'!$M$9,2),B1586&lt;'112'!$N$8,$M1586='112'!$I$6)),"x",""))</f>
        <v/>
      </c>
      <c r="U1586" s="525" t="str">
        <f>IF(AND(B1586&gt;='IN-NX'!$P$3,B1586&lt;='IN-NX'!$Q$3,'IN-NX'!$D$7=D1586,OR(LEFT(L1586,2)="15",AND(LEFT(M1586,2)&lt;&gt;"15",LEFT(M1586,2)&lt;&gt;"33"))),"x","")</f>
        <v/>
      </c>
      <c r="V1586" s="525" t="str">
        <f>IF(AND(OR(LEFT(TH!L1586,2)="15",LEFT(TH!M1586,2)="15"),'152-CT'!$J$8=TH!F1586),"x","")</f>
        <v/>
      </c>
      <c r="W1586" s="525" t="str">
        <f>IF(AND(OR(LEFT(TH!L1586,2)="15",LEFT(TH!M1586,2)="15"),TK!$E$7=TH!F1586),"x","")</f>
        <v/>
      </c>
      <c r="X1586" s="525" t="str">
        <f>IF(AND('341-CT'!$E$9=H1586,OR(LEFT(L1586,3)=$X$7,LEFT(M1586,3)=$X$7)),"x","")</f>
        <v/>
      </c>
      <c r="Y1586" s="525" t="str">
        <f>IF(OR(TH!L1586=TH!$Y$7,M1586=TH!$Y$7),"x","")</f>
        <v/>
      </c>
      <c r="Z1586" s="525" t="str">
        <f>IF(AND(B1586&lt;=NKC!$N$8,B1586&gt;=NKC!$M$8),"x","")</f>
        <v>x</v>
      </c>
      <c r="AA1586" s="535">
        <v>1</v>
      </c>
      <c r="AC1586" s="503"/>
    </row>
    <row r="1587" spans="1:29" s="576" customFormat="1" ht="15.75" customHeight="1">
      <c r="A1587" s="517" t="str">
        <f>IF(B1587&lt;&gt;"",IF(AND(B1587&gt;=_TM1,B1587&lt;=_TM2,OR(TH!L1587="1111",TH!M1587="1111")),TH!D1587,""),"")</f>
        <v/>
      </c>
      <c r="B1587" s="518">
        <f t="shared" si="155"/>
        <v>3</v>
      </c>
      <c r="C1587" s="571">
        <f t="shared" si="156"/>
        <v>42824</v>
      </c>
      <c r="D1587" s="537" t="s">
        <v>993</v>
      </c>
      <c r="E1587" s="615">
        <v>42824</v>
      </c>
      <c r="F1587" s="572" t="s">
        <v>725</v>
      </c>
      <c r="G1587" s="616" t="s">
        <v>866</v>
      </c>
      <c r="H1587" s="574" t="s">
        <v>447</v>
      </c>
      <c r="I1587" s="523">
        <v>12</v>
      </c>
      <c r="J1587" s="523">
        <v>18973</v>
      </c>
      <c r="K1587" s="575">
        <f t="shared" si="158"/>
        <v>227676</v>
      </c>
      <c r="L1587" s="525" t="s">
        <v>292</v>
      </c>
      <c r="M1587" s="525" t="s">
        <v>8</v>
      </c>
      <c r="N1587" s="525" t="str">
        <f>IF(AND('331-CT'!$E$7=TH!H1587,OR(L1587="331",M1587="331")),"331",IF(AND(OR(L1587="131",M1587="131"),H1587='131-CT'!$E$7),"131",""))</f>
        <v/>
      </c>
      <c r="O1587" s="525" t="str">
        <f>IF(AND($B1587&gt;='111'!$N$11,$B1587&lt;='111'!$O$11,OR($L1587=$O$7,$M1587=$O$7)),"x","")</f>
        <v/>
      </c>
      <c r="P1587" s="525" t="str">
        <f>IF(AND($L1587=$O$7,$B1587&lt;'111'!$N$11),"x","")</f>
        <v/>
      </c>
      <c r="Q1587" s="525" t="str">
        <f>IF(AND($M1587=$O$7,$B1587&lt;'111'!$N$11),"x","")</f>
        <v/>
      </c>
      <c r="R1587" s="525" t="str">
        <f>IF(ISERROR(FIND('112'!$M$9,G1587,1)),"",IF((AND(FIND('112'!$M$9,G1587,1)&gt;=1,$B1587&gt;='112'!$N$8,$B1587&lt;='112'!$O$8,OR($L1587='112'!$I$6,$M1587='112'!$I$6))),"x",""))</f>
        <v/>
      </c>
      <c r="S1587" s="525" t="str">
        <f>IF(ISERROR(FIND('112'!$M$9,G1587,1)),"",IF((AND(LEFT(G1587,2)=LEFT('112'!$M$9,2),B1587&lt;'112'!$N$8,$L1587='112'!$I$6)),"x",""))</f>
        <v/>
      </c>
      <c r="T1587" s="525" t="str">
        <f>IF(ISERROR(FIND('112'!$M$9,G1587,1)),"",IF((AND(RIGHT(G1587,2)=RIGHT('112'!$M$9,2),B1587&lt;'112'!$N$8,$M1587='112'!$I$6)),"x",""))</f>
        <v/>
      </c>
      <c r="U1587" s="525" t="str">
        <f>IF(AND(B1587&gt;='IN-NX'!$P$3,B1587&lt;='IN-NX'!$Q$3,'IN-NX'!$D$7=D1587,OR(LEFT(L1587,2)="15",AND(LEFT(M1587,2)&lt;&gt;"15",LEFT(M1587,2)&lt;&gt;"33"))),"x","")</f>
        <v/>
      </c>
      <c r="V1587" s="525" t="str">
        <f>IF(AND(OR(LEFT(TH!L1587,2)="15",LEFT(TH!M1587,2)="15"),'152-CT'!$J$8=TH!F1587),"x","")</f>
        <v/>
      </c>
      <c r="W1587" s="525" t="str">
        <f>IF(AND(OR(LEFT(TH!L1587,2)="15",LEFT(TH!M1587,2)="15"),TK!$E$7=TH!F1587),"x","")</f>
        <v/>
      </c>
      <c r="X1587" s="525" t="str">
        <f>IF(AND('341-CT'!$E$9=H1587,OR(LEFT(L1587,3)=$X$7,LEFT(M1587,3)=$X$7)),"x","")</f>
        <v/>
      </c>
      <c r="Y1587" s="525" t="str">
        <f>IF(OR(TH!L1587=TH!$Y$7,M1587=TH!$Y$7),"x","")</f>
        <v/>
      </c>
      <c r="Z1587" s="525" t="str">
        <f>IF(AND(B1587&lt;=NKC!$N$8,B1587&gt;=NKC!$M$8),"x","")</f>
        <v>x</v>
      </c>
      <c r="AA1587" s="535">
        <v>1</v>
      </c>
      <c r="AC1587" s="503"/>
    </row>
    <row r="1588" spans="1:29" s="576" customFormat="1" ht="15.75" customHeight="1">
      <c r="A1588" s="517" t="str">
        <f>IF(B1588&lt;&gt;"",IF(AND(B1588&gt;=_TM1,B1588&lt;=_TM2,OR(TH!L1588="1111",TH!M1588="1111")),TH!D1588,""),"")</f>
        <v/>
      </c>
      <c r="B1588" s="518">
        <f t="shared" si="155"/>
        <v>3</v>
      </c>
      <c r="C1588" s="571">
        <f t="shared" si="156"/>
        <v>42824</v>
      </c>
      <c r="D1588" s="537" t="s">
        <v>993</v>
      </c>
      <c r="E1588" s="615">
        <v>42824</v>
      </c>
      <c r="F1588" s="572" t="s">
        <v>726</v>
      </c>
      <c r="G1588" s="616" t="s">
        <v>866</v>
      </c>
      <c r="H1588" s="574" t="s">
        <v>447</v>
      </c>
      <c r="I1588" s="523">
        <v>18</v>
      </c>
      <c r="J1588" s="523">
        <v>7838</v>
      </c>
      <c r="K1588" s="575">
        <f t="shared" si="158"/>
        <v>141084</v>
      </c>
      <c r="L1588" s="525" t="s">
        <v>292</v>
      </c>
      <c r="M1588" s="525" t="s">
        <v>8</v>
      </c>
      <c r="N1588" s="525" t="str">
        <f>IF(AND('331-CT'!$E$7=TH!H1588,OR(L1588="331",M1588="331")),"331",IF(AND(OR(L1588="131",M1588="131"),H1588='131-CT'!$E$7),"131",""))</f>
        <v/>
      </c>
      <c r="O1588" s="525" t="str">
        <f>IF(AND($B1588&gt;='111'!$N$11,$B1588&lt;='111'!$O$11,OR($L1588=$O$7,$M1588=$O$7)),"x","")</f>
        <v/>
      </c>
      <c r="P1588" s="525" t="str">
        <f>IF(AND($L1588=$O$7,$B1588&lt;'111'!$N$11),"x","")</f>
        <v/>
      </c>
      <c r="Q1588" s="525" t="str">
        <f>IF(AND($M1588=$O$7,$B1588&lt;'111'!$N$11),"x","")</f>
        <v/>
      </c>
      <c r="R1588" s="525" t="str">
        <f>IF(ISERROR(FIND('112'!$M$9,G1588,1)),"",IF((AND(FIND('112'!$M$9,G1588,1)&gt;=1,$B1588&gt;='112'!$N$8,$B1588&lt;='112'!$O$8,OR($L1588='112'!$I$6,$M1588='112'!$I$6))),"x",""))</f>
        <v/>
      </c>
      <c r="S1588" s="525" t="str">
        <f>IF(ISERROR(FIND('112'!$M$9,G1588,1)),"",IF((AND(LEFT(G1588,2)=LEFT('112'!$M$9,2),B1588&lt;'112'!$N$8,$L1588='112'!$I$6)),"x",""))</f>
        <v/>
      </c>
      <c r="T1588" s="525" t="str">
        <f>IF(ISERROR(FIND('112'!$M$9,G1588,1)),"",IF((AND(RIGHT(G1588,2)=RIGHT('112'!$M$9,2),B1588&lt;'112'!$N$8,$M1588='112'!$I$6)),"x",""))</f>
        <v/>
      </c>
      <c r="U1588" s="525" t="str">
        <f>IF(AND(B1588&gt;='IN-NX'!$P$3,B1588&lt;='IN-NX'!$Q$3,'IN-NX'!$D$7=D1588,OR(LEFT(L1588,2)="15",AND(LEFT(M1588,2)&lt;&gt;"15",LEFT(M1588,2)&lt;&gt;"33"))),"x","")</f>
        <v/>
      </c>
      <c r="V1588" s="525" t="str">
        <f>IF(AND(OR(LEFT(TH!L1588,2)="15",LEFT(TH!M1588,2)="15"),'152-CT'!$J$8=TH!F1588),"x","")</f>
        <v/>
      </c>
      <c r="W1588" s="525" t="str">
        <f>IF(AND(OR(LEFT(TH!L1588,2)="15",LEFT(TH!M1588,2)="15"),TK!$E$7=TH!F1588),"x","")</f>
        <v/>
      </c>
      <c r="X1588" s="525" t="str">
        <f>IF(AND('341-CT'!$E$9=H1588,OR(LEFT(L1588,3)=$X$7,LEFT(M1588,3)=$X$7)),"x","")</f>
        <v/>
      </c>
      <c r="Y1588" s="525" t="str">
        <f>IF(OR(TH!L1588=TH!$Y$7,M1588=TH!$Y$7),"x","")</f>
        <v/>
      </c>
      <c r="Z1588" s="525" t="str">
        <f>IF(AND(B1588&lt;=NKC!$N$8,B1588&gt;=NKC!$M$8),"x","")</f>
        <v>x</v>
      </c>
      <c r="AA1588" s="535">
        <v>1</v>
      </c>
      <c r="AC1588" s="503"/>
    </row>
    <row r="1589" spans="1:29" s="576" customFormat="1" ht="15.75" customHeight="1">
      <c r="A1589" s="517" t="str">
        <f>IF(B1589&lt;&gt;"",IF(AND(B1589&gt;=_TM1,B1589&lt;=_TM2,OR(TH!L1589="1111",TH!M1589="1111")),TH!D1589,""),"")</f>
        <v/>
      </c>
      <c r="B1589" s="518">
        <f t="shared" si="155"/>
        <v>3</v>
      </c>
      <c r="C1589" s="571">
        <f t="shared" si="156"/>
        <v>42824</v>
      </c>
      <c r="D1589" s="537" t="s">
        <v>993</v>
      </c>
      <c r="E1589" s="615">
        <v>42824</v>
      </c>
      <c r="F1589" s="572" t="s">
        <v>727</v>
      </c>
      <c r="G1589" s="616" t="s">
        <v>866</v>
      </c>
      <c r="H1589" s="574" t="s">
        <v>447</v>
      </c>
      <c r="I1589" s="523">
        <v>24</v>
      </c>
      <c r="J1589" s="523">
        <v>22519</v>
      </c>
      <c r="K1589" s="575">
        <f t="shared" si="158"/>
        <v>540456</v>
      </c>
      <c r="L1589" s="525" t="s">
        <v>292</v>
      </c>
      <c r="M1589" s="525" t="s">
        <v>8</v>
      </c>
      <c r="N1589" s="525" t="str">
        <f>IF(AND('331-CT'!$E$7=TH!H1589,OR(L1589="331",M1589="331")),"331",IF(AND(OR(L1589="131",M1589="131"),H1589='131-CT'!$E$7),"131",""))</f>
        <v/>
      </c>
      <c r="O1589" s="525" t="str">
        <f>IF(AND($B1589&gt;='111'!$N$11,$B1589&lt;='111'!$O$11,OR($L1589=$O$7,$M1589=$O$7)),"x","")</f>
        <v/>
      </c>
      <c r="P1589" s="525" t="str">
        <f>IF(AND($L1589=$O$7,$B1589&lt;'111'!$N$11),"x","")</f>
        <v/>
      </c>
      <c r="Q1589" s="525" t="str">
        <f>IF(AND($M1589=$O$7,$B1589&lt;'111'!$N$11),"x","")</f>
        <v/>
      </c>
      <c r="R1589" s="525" t="str">
        <f>IF(ISERROR(FIND('112'!$M$9,G1589,1)),"",IF((AND(FIND('112'!$M$9,G1589,1)&gt;=1,$B1589&gt;='112'!$N$8,$B1589&lt;='112'!$O$8,OR($L1589='112'!$I$6,$M1589='112'!$I$6))),"x",""))</f>
        <v/>
      </c>
      <c r="S1589" s="525" t="str">
        <f>IF(ISERROR(FIND('112'!$M$9,G1589,1)),"",IF((AND(LEFT(G1589,2)=LEFT('112'!$M$9,2),B1589&lt;'112'!$N$8,$L1589='112'!$I$6)),"x",""))</f>
        <v/>
      </c>
      <c r="T1589" s="525" t="str">
        <f>IF(ISERROR(FIND('112'!$M$9,G1589,1)),"",IF((AND(RIGHT(G1589,2)=RIGHT('112'!$M$9,2),B1589&lt;'112'!$N$8,$M1589='112'!$I$6)),"x",""))</f>
        <v/>
      </c>
      <c r="U1589" s="525" t="str">
        <f>IF(AND(B1589&gt;='IN-NX'!$P$3,B1589&lt;='IN-NX'!$Q$3,'IN-NX'!$D$7=D1589,OR(LEFT(L1589,2)="15",AND(LEFT(M1589,2)&lt;&gt;"15",LEFT(M1589,2)&lt;&gt;"33"))),"x","")</f>
        <v/>
      </c>
      <c r="V1589" s="525" t="str">
        <f>IF(AND(OR(LEFT(TH!L1589,2)="15",LEFT(TH!M1589,2)="15"),'152-CT'!$J$8=TH!F1589),"x","")</f>
        <v/>
      </c>
      <c r="W1589" s="525" t="str">
        <f>IF(AND(OR(LEFT(TH!L1589,2)="15",LEFT(TH!M1589,2)="15"),TK!$E$7=TH!F1589),"x","")</f>
        <v/>
      </c>
      <c r="X1589" s="525" t="str">
        <f>IF(AND('341-CT'!$E$9=H1589,OR(LEFT(L1589,3)=$X$7,LEFT(M1589,3)=$X$7)),"x","")</f>
        <v/>
      </c>
      <c r="Y1589" s="525" t="str">
        <f>IF(OR(TH!L1589=TH!$Y$7,M1589=TH!$Y$7),"x","")</f>
        <v/>
      </c>
      <c r="Z1589" s="525" t="str">
        <f>IF(AND(B1589&lt;=NKC!$N$8,B1589&gt;=NKC!$M$8),"x","")</f>
        <v>x</v>
      </c>
      <c r="AA1589" s="535">
        <v>1</v>
      </c>
      <c r="AC1589" s="503"/>
    </row>
    <row r="1590" spans="1:29" s="576" customFormat="1" ht="15.75" customHeight="1">
      <c r="A1590" s="517" t="str">
        <f>IF(B1590&lt;&gt;"",IF(AND(B1590&gt;=_TM1,B1590&lt;=_TM2,OR(TH!L1590="1111",TH!M1590="1111")),TH!D1590,""),"")</f>
        <v/>
      </c>
      <c r="B1590" s="518">
        <f t="shared" si="155"/>
        <v>3</v>
      </c>
      <c r="C1590" s="571">
        <f t="shared" si="156"/>
        <v>42824</v>
      </c>
      <c r="D1590" s="537" t="s">
        <v>993</v>
      </c>
      <c r="E1590" s="615">
        <v>42824</v>
      </c>
      <c r="F1590" s="572" t="s">
        <v>728</v>
      </c>
      <c r="G1590" s="616" t="s">
        <v>866</v>
      </c>
      <c r="H1590" s="574" t="s">
        <v>447</v>
      </c>
      <c r="I1590" s="523">
        <v>12</v>
      </c>
      <c r="J1590" s="523">
        <v>20041</v>
      </c>
      <c r="K1590" s="575">
        <f t="shared" si="158"/>
        <v>240492</v>
      </c>
      <c r="L1590" s="525" t="s">
        <v>292</v>
      </c>
      <c r="M1590" s="525" t="s">
        <v>8</v>
      </c>
      <c r="N1590" s="525" t="str">
        <f>IF(AND('331-CT'!$E$7=TH!H1590,OR(L1590="331",M1590="331")),"331",IF(AND(OR(L1590="131",M1590="131"),H1590='131-CT'!$E$7),"131",""))</f>
        <v/>
      </c>
      <c r="O1590" s="525" t="str">
        <f>IF(AND($B1590&gt;='111'!$N$11,$B1590&lt;='111'!$O$11,OR($L1590=$O$7,$M1590=$O$7)),"x","")</f>
        <v/>
      </c>
      <c r="P1590" s="525" t="str">
        <f>IF(AND($L1590=$O$7,$B1590&lt;'111'!$N$11),"x","")</f>
        <v/>
      </c>
      <c r="Q1590" s="525" t="str">
        <f>IF(AND($M1590=$O$7,$B1590&lt;'111'!$N$11),"x","")</f>
        <v/>
      </c>
      <c r="R1590" s="525" t="str">
        <f>IF(ISERROR(FIND('112'!$M$9,G1590,1)),"",IF((AND(FIND('112'!$M$9,G1590,1)&gt;=1,$B1590&gt;='112'!$N$8,$B1590&lt;='112'!$O$8,OR($L1590='112'!$I$6,$M1590='112'!$I$6))),"x",""))</f>
        <v/>
      </c>
      <c r="S1590" s="525" t="str">
        <f>IF(ISERROR(FIND('112'!$M$9,G1590,1)),"",IF((AND(LEFT(G1590,2)=LEFT('112'!$M$9,2),B1590&lt;'112'!$N$8,$L1590='112'!$I$6)),"x",""))</f>
        <v/>
      </c>
      <c r="T1590" s="525" t="str">
        <f>IF(ISERROR(FIND('112'!$M$9,G1590,1)),"",IF((AND(RIGHT(G1590,2)=RIGHT('112'!$M$9,2),B1590&lt;'112'!$N$8,$M1590='112'!$I$6)),"x",""))</f>
        <v/>
      </c>
      <c r="U1590" s="525" t="str">
        <f>IF(AND(B1590&gt;='IN-NX'!$P$3,B1590&lt;='IN-NX'!$Q$3,'IN-NX'!$D$7=D1590,OR(LEFT(L1590,2)="15",AND(LEFT(M1590,2)&lt;&gt;"15",LEFT(M1590,2)&lt;&gt;"33"))),"x","")</f>
        <v/>
      </c>
      <c r="V1590" s="525" t="str">
        <f>IF(AND(OR(LEFT(TH!L1590,2)="15",LEFT(TH!M1590,2)="15"),'152-CT'!$J$8=TH!F1590),"x","")</f>
        <v/>
      </c>
      <c r="W1590" s="525" t="str">
        <f>IF(AND(OR(LEFT(TH!L1590,2)="15",LEFT(TH!M1590,2)="15"),TK!$E$7=TH!F1590),"x","")</f>
        <v/>
      </c>
      <c r="X1590" s="525" t="str">
        <f>IF(AND('341-CT'!$E$9=H1590,OR(LEFT(L1590,3)=$X$7,LEFT(M1590,3)=$X$7)),"x","")</f>
        <v/>
      </c>
      <c r="Y1590" s="525" t="str">
        <f>IF(OR(TH!L1590=TH!$Y$7,M1590=TH!$Y$7),"x","")</f>
        <v/>
      </c>
      <c r="Z1590" s="525" t="str">
        <f>IF(AND(B1590&lt;=NKC!$N$8,B1590&gt;=NKC!$M$8),"x","")</f>
        <v>x</v>
      </c>
      <c r="AA1590" s="535">
        <v>1</v>
      </c>
      <c r="AC1590" s="503"/>
    </row>
    <row r="1591" spans="1:29" s="576" customFormat="1" ht="15.75" customHeight="1">
      <c r="A1591" s="517" t="str">
        <f>IF(B1591&lt;&gt;"",IF(AND(B1591&gt;=_TM1,B1591&lt;=_TM2,OR(TH!L1591="1111",TH!M1591="1111")),TH!D1591,""),"")</f>
        <v/>
      </c>
      <c r="B1591" s="518">
        <f t="shared" si="155"/>
        <v>3</v>
      </c>
      <c r="C1591" s="571">
        <f t="shared" si="156"/>
        <v>42824</v>
      </c>
      <c r="D1591" s="537" t="s">
        <v>993</v>
      </c>
      <c r="E1591" s="615">
        <v>42824</v>
      </c>
      <c r="F1591" s="572" t="s">
        <v>729</v>
      </c>
      <c r="G1591" s="616" t="s">
        <v>866</v>
      </c>
      <c r="H1591" s="574" t="s">
        <v>447</v>
      </c>
      <c r="I1591" s="523">
        <v>24</v>
      </c>
      <c r="J1591" s="523">
        <v>11841</v>
      </c>
      <c r="K1591" s="575">
        <f t="shared" si="158"/>
        <v>284184</v>
      </c>
      <c r="L1591" s="525" t="s">
        <v>292</v>
      </c>
      <c r="M1591" s="525" t="s">
        <v>8</v>
      </c>
      <c r="N1591" s="525" t="str">
        <f>IF(AND('331-CT'!$E$7=TH!H1591,OR(L1591="331",M1591="331")),"331",IF(AND(OR(L1591="131",M1591="131"),H1591='131-CT'!$E$7),"131",""))</f>
        <v/>
      </c>
      <c r="O1591" s="525" t="str">
        <f>IF(AND($B1591&gt;='111'!$N$11,$B1591&lt;='111'!$O$11,OR($L1591=$O$7,$M1591=$O$7)),"x","")</f>
        <v/>
      </c>
      <c r="P1591" s="525" t="str">
        <f>IF(AND($L1591=$O$7,$B1591&lt;'111'!$N$11),"x","")</f>
        <v/>
      </c>
      <c r="Q1591" s="525" t="str">
        <f>IF(AND($M1591=$O$7,$B1591&lt;'111'!$N$11),"x","")</f>
        <v/>
      </c>
      <c r="R1591" s="525" t="str">
        <f>IF(ISERROR(FIND('112'!$M$9,G1591,1)),"",IF((AND(FIND('112'!$M$9,G1591,1)&gt;=1,$B1591&gt;='112'!$N$8,$B1591&lt;='112'!$O$8,OR($L1591='112'!$I$6,$M1591='112'!$I$6))),"x",""))</f>
        <v/>
      </c>
      <c r="S1591" s="525" t="str">
        <f>IF(ISERROR(FIND('112'!$M$9,G1591,1)),"",IF((AND(LEFT(G1591,2)=LEFT('112'!$M$9,2),B1591&lt;'112'!$N$8,$L1591='112'!$I$6)),"x",""))</f>
        <v/>
      </c>
      <c r="T1591" s="525" t="str">
        <f>IF(ISERROR(FIND('112'!$M$9,G1591,1)),"",IF((AND(RIGHT(G1591,2)=RIGHT('112'!$M$9,2),B1591&lt;'112'!$N$8,$M1591='112'!$I$6)),"x",""))</f>
        <v/>
      </c>
      <c r="U1591" s="525" t="str">
        <f>IF(AND(B1591&gt;='IN-NX'!$P$3,B1591&lt;='IN-NX'!$Q$3,'IN-NX'!$D$7=D1591,OR(LEFT(L1591,2)="15",AND(LEFT(M1591,2)&lt;&gt;"15",LEFT(M1591,2)&lt;&gt;"33"))),"x","")</f>
        <v/>
      </c>
      <c r="V1591" s="525" t="str">
        <f>IF(AND(OR(LEFT(TH!L1591,2)="15",LEFT(TH!M1591,2)="15"),'152-CT'!$J$8=TH!F1591),"x","")</f>
        <v/>
      </c>
      <c r="W1591" s="525" t="str">
        <f>IF(AND(OR(LEFT(TH!L1591,2)="15",LEFT(TH!M1591,2)="15"),TK!$E$7=TH!F1591),"x","")</f>
        <v/>
      </c>
      <c r="X1591" s="525" t="str">
        <f>IF(AND('341-CT'!$E$9=H1591,OR(LEFT(L1591,3)=$X$7,LEFT(M1591,3)=$X$7)),"x","")</f>
        <v/>
      </c>
      <c r="Y1591" s="525" t="str">
        <f>IF(OR(TH!L1591=TH!$Y$7,M1591=TH!$Y$7),"x","")</f>
        <v/>
      </c>
      <c r="Z1591" s="525" t="str">
        <f>IF(AND(B1591&lt;=NKC!$N$8,B1591&gt;=NKC!$M$8),"x","")</f>
        <v>x</v>
      </c>
      <c r="AA1591" s="535">
        <v>1</v>
      </c>
      <c r="AC1591" s="503"/>
    </row>
    <row r="1592" spans="1:29" s="576" customFormat="1" ht="15.75" customHeight="1">
      <c r="A1592" s="517" t="str">
        <f>IF(B1592&lt;&gt;"",IF(AND(B1592&gt;=_TM1,B1592&lt;=_TM2,OR(TH!L1592="1111",TH!M1592="1111")),TH!D1592,""),"")</f>
        <v/>
      </c>
      <c r="B1592" s="518">
        <f t="shared" si="155"/>
        <v>3</v>
      </c>
      <c r="C1592" s="571">
        <f t="shared" si="156"/>
        <v>42824</v>
      </c>
      <c r="D1592" s="537" t="s">
        <v>993</v>
      </c>
      <c r="E1592" s="615">
        <v>42824</v>
      </c>
      <c r="F1592" s="572" t="s">
        <v>649</v>
      </c>
      <c r="G1592" s="616" t="s">
        <v>866</v>
      </c>
      <c r="H1592" s="574" t="s">
        <v>447</v>
      </c>
      <c r="I1592" s="523">
        <v>40</v>
      </c>
      <c r="J1592" s="523">
        <v>61491</v>
      </c>
      <c r="K1592" s="575">
        <f t="shared" si="158"/>
        <v>2459640</v>
      </c>
      <c r="L1592" s="525" t="s">
        <v>292</v>
      </c>
      <c r="M1592" s="525" t="s">
        <v>8</v>
      </c>
      <c r="N1592" s="525" t="str">
        <f>IF(AND('331-CT'!$E$7=TH!H1592,OR(L1592="331",M1592="331")),"331",IF(AND(OR(L1592="131",M1592="131"),H1592='131-CT'!$E$7),"131",""))</f>
        <v/>
      </c>
      <c r="O1592" s="525" t="str">
        <f>IF(AND($B1592&gt;='111'!$N$11,$B1592&lt;='111'!$O$11,OR($L1592=$O$7,$M1592=$O$7)),"x","")</f>
        <v/>
      </c>
      <c r="P1592" s="525" t="str">
        <f>IF(AND($L1592=$O$7,$B1592&lt;'111'!$N$11),"x","")</f>
        <v/>
      </c>
      <c r="Q1592" s="525" t="str">
        <f>IF(AND($M1592=$O$7,$B1592&lt;'111'!$N$11),"x","")</f>
        <v/>
      </c>
      <c r="R1592" s="525" t="str">
        <f>IF(ISERROR(FIND('112'!$M$9,G1592,1)),"",IF((AND(FIND('112'!$M$9,G1592,1)&gt;=1,$B1592&gt;='112'!$N$8,$B1592&lt;='112'!$O$8,OR($L1592='112'!$I$6,$M1592='112'!$I$6))),"x",""))</f>
        <v/>
      </c>
      <c r="S1592" s="525" t="str">
        <f>IF(ISERROR(FIND('112'!$M$9,G1592,1)),"",IF((AND(LEFT(G1592,2)=LEFT('112'!$M$9,2),B1592&lt;'112'!$N$8,$L1592='112'!$I$6)),"x",""))</f>
        <v/>
      </c>
      <c r="T1592" s="525" t="str">
        <f>IF(ISERROR(FIND('112'!$M$9,G1592,1)),"",IF((AND(RIGHT(G1592,2)=RIGHT('112'!$M$9,2),B1592&lt;'112'!$N$8,$M1592='112'!$I$6)),"x",""))</f>
        <v/>
      </c>
      <c r="U1592" s="525" t="str">
        <f>IF(AND(B1592&gt;='IN-NX'!$P$3,B1592&lt;='IN-NX'!$Q$3,'IN-NX'!$D$7=D1592,OR(LEFT(L1592,2)="15",AND(LEFT(M1592,2)&lt;&gt;"15",LEFT(M1592,2)&lt;&gt;"33"))),"x","")</f>
        <v/>
      </c>
      <c r="V1592" s="525" t="str">
        <f>IF(AND(OR(LEFT(TH!L1592,2)="15",LEFT(TH!M1592,2)="15"),'152-CT'!$J$8=TH!F1592),"x","")</f>
        <v/>
      </c>
      <c r="W1592" s="525" t="str">
        <f>IF(AND(OR(LEFT(TH!L1592,2)="15",LEFT(TH!M1592,2)="15"),TK!$E$7=TH!F1592),"x","")</f>
        <v/>
      </c>
      <c r="X1592" s="525" t="str">
        <f>IF(AND('341-CT'!$E$9=H1592,OR(LEFT(L1592,3)=$X$7,LEFT(M1592,3)=$X$7)),"x","")</f>
        <v/>
      </c>
      <c r="Y1592" s="525" t="str">
        <f>IF(OR(TH!L1592=TH!$Y$7,M1592=TH!$Y$7),"x","")</f>
        <v/>
      </c>
      <c r="Z1592" s="525" t="str">
        <f>IF(AND(B1592&lt;=NKC!$N$8,B1592&gt;=NKC!$M$8),"x","")</f>
        <v>x</v>
      </c>
      <c r="AA1592" s="535">
        <v>1</v>
      </c>
      <c r="AC1592" s="503"/>
    </row>
    <row r="1593" spans="1:29" s="576" customFormat="1" ht="15.75" customHeight="1">
      <c r="A1593" s="517" t="str">
        <f>IF(B1593&lt;&gt;"",IF(AND(B1593&gt;=_TM1,B1593&lt;=_TM2,OR(TH!L1593="1111",TH!M1593="1111")),TH!D1593,""),"")</f>
        <v/>
      </c>
      <c r="B1593" s="518">
        <f t="shared" si="155"/>
        <v>3</v>
      </c>
      <c r="C1593" s="571">
        <f t="shared" si="156"/>
        <v>42824</v>
      </c>
      <c r="D1593" s="537" t="s">
        <v>993</v>
      </c>
      <c r="E1593" s="615">
        <v>42824</v>
      </c>
      <c r="F1593" s="572" t="s">
        <v>653</v>
      </c>
      <c r="G1593" s="616" t="s">
        <v>866</v>
      </c>
      <c r="H1593" s="574" t="s">
        <v>447</v>
      </c>
      <c r="I1593" s="523">
        <v>15</v>
      </c>
      <c r="J1593" s="523">
        <v>63708</v>
      </c>
      <c r="K1593" s="575">
        <f t="shared" si="158"/>
        <v>955620</v>
      </c>
      <c r="L1593" s="525" t="s">
        <v>292</v>
      </c>
      <c r="M1593" s="525" t="s">
        <v>8</v>
      </c>
      <c r="N1593" s="525" t="str">
        <f>IF(AND('331-CT'!$E$7=TH!H1593,OR(L1593="331",M1593="331")),"331",IF(AND(OR(L1593="131",M1593="131"),H1593='131-CT'!$E$7),"131",""))</f>
        <v/>
      </c>
      <c r="O1593" s="525" t="str">
        <f>IF(AND($B1593&gt;='111'!$N$11,$B1593&lt;='111'!$O$11,OR($L1593=$O$7,$M1593=$O$7)),"x","")</f>
        <v/>
      </c>
      <c r="P1593" s="525" t="str">
        <f>IF(AND($L1593=$O$7,$B1593&lt;'111'!$N$11),"x","")</f>
        <v/>
      </c>
      <c r="Q1593" s="525" t="str">
        <f>IF(AND($M1593=$O$7,$B1593&lt;'111'!$N$11),"x","")</f>
        <v/>
      </c>
      <c r="R1593" s="525" t="str">
        <f>IF(ISERROR(FIND('112'!$M$9,G1593,1)),"",IF((AND(FIND('112'!$M$9,G1593,1)&gt;=1,$B1593&gt;='112'!$N$8,$B1593&lt;='112'!$O$8,OR($L1593='112'!$I$6,$M1593='112'!$I$6))),"x",""))</f>
        <v/>
      </c>
      <c r="S1593" s="525" t="str">
        <f>IF(ISERROR(FIND('112'!$M$9,G1593,1)),"",IF((AND(LEFT(G1593,2)=LEFT('112'!$M$9,2),B1593&lt;'112'!$N$8,$L1593='112'!$I$6)),"x",""))</f>
        <v/>
      </c>
      <c r="T1593" s="525" t="str">
        <f>IF(ISERROR(FIND('112'!$M$9,G1593,1)),"",IF((AND(RIGHT(G1593,2)=RIGHT('112'!$M$9,2),B1593&lt;'112'!$N$8,$M1593='112'!$I$6)),"x",""))</f>
        <v/>
      </c>
      <c r="U1593" s="525" t="str">
        <f>IF(AND(B1593&gt;='IN-NX'!$P$3,B1593&lt;='IN-NX'!$Q$3,'IN-NX'!$D$7=D1593,OR(LEFT(L1593,2)="15",AND(LEFT(M1593,2)&lt;&gt;"15",LEFT(M1593,2)&lt;&gt;"33"))),"x","")</f>
        <v/>
      </c>
      <c r="V1593" s="525" t="str">
        <f>IF(AND(OR(LEFT(TH!L1593,2)="15",LEFT(TH!M1593,2)="15"),'152-CT'!$J$8=TH!F1593),"x","")</f>
        <v/>
      </c>
      <c r="W1593" s="525" t="str">
        <f>IF(AND(OR(LEFT(TH!L1593,2)="15",LEFT(TH!M1593,2)="15"),TK!$E$7=TH!F1593),"x","")</f>
        <v/>
      </c>
      <c r="X1593" s="525" t="str">
        <f>IF(AND('341-CT'!$E$9=H1593,OR(LEFT(L1593,3)=$X$7,LEFT(M1593,3)=$X$7)),"x","")</f>
        <v/>
      </c>
      <c r="Y1593" s="525" t="str">
        <f>IF(OR(TH!L1593=TH!$Y$7,M1593=TH!$Y$7),"x","")</f>
        <v/>
      </c>
      <c r="Z1593" s="525" t="str">
        <f>IF(AND(B1593&lt;=NKC!$N$8,B1593&gt;=NKC!$M$8),"x","")</f>
        <v>x</v>
      </c>
      <c r="AA1593" s="535">
        <v>1</v>
      </c>
      <c r="AC1593" s="503"/>
    </row>
    <row r="1594" spans="1:29" s="576" customFormat="1" ht="15.75" customHeight="1">
      <c r="A1594" s="517" t="str">
        <f>IF(B1594&lt;&gt;"",IF(AND(B1594&gt;=_TM1,B1594&lt;=_TM2,OR(TH!L1594="1111",TH!M1594="1111")),TH!D1594,""),"")</f>
        <v/>
      </c>
      <c r="B1594" s="518">
        <f t="shared" si="155"/>
        <v>3</v>
      </c>
      <c r="C1594" s="571">
        <f t="shared" si="156"/>
        <v>42824</v>
      </c>
      <c r="D1594" s="537" t="s">
        <v>993</v>
      </c>
      <c r="E1594" s="615">
        <v>42824</v>
      </c>
      <c r="F1594" s="572" t="s">
        <v>654</v>
      </c>
      <c r="G1594" s="616" t="s">
        <v>866</v>
      </c>
      <c r="H1594" s="574" t="s">
        <v>447</v>
      </c>
      <c r="I1594" s="523">
        <v>20</v>
      </c>
      <c r="J1594" s="523">
        <v>71765</v>
      </c>
      <c r="K1594" s="575">
        <f t="shared" si="158"/>
        <v>1435300</v>
      </c>
      <c r="L1594" s="525" t="s">
        <v>292</v>
      </c>
      <c r="M1594" s="525" t="s">
        <v>8</v>
      </c>
      <c r="N1594" s="525" t="str">
        <f>IF(AND('331-CT'!$E$7=TH!H1594,OR(L1594="331",M1594="331")),"331",IF(AND(OR(L1594="131",M1594="131"),H1594='131-CT'!$E$7),"131",""))</f>
        <v/>
      </c>
      <c r="O1594" s="525" t="str">
        <f>IF(AND($B1594&gt;='111'!$N$11,$B1594&lt;='111'!$O$11,OR($L1594=$O$7,$M1594=$O$7)),"x","")</f>
        <v/>
      </c>
      <c r="P1594" s="525" t="str">
        <f>IF(AND($L1594=$O$7,$B1594&lt;'111'!$N$11),"x","")</f>
        <v/>
      </c>
      <c r="Q1594" s="525" t="str">
        <f>IF(AND($M1594=$O$7,$B1594&lt;'111'!$N$11),"x","")</f>
        <v/>
      </c>
      <c r="R1594" s="525" t="str">
        <f>IF(ISERROR(FIND('112'!$M$9,G1594,1)),"",IF((AND(FIND('112'!$M$9,G1594,1)&gt;=1,$B1594&gt;='112'!$N$8,$B1594&lt;='112'!$O$8,OR($L1594='112'!$I$6,$M1594='112'!$I$6))),"x",""))</f>
        <v/>
      </c>
      <c r="S1594" s="525" t="str">
        <f>IF(ISERROR(FIND('112'!$M$9,G1594,1)),"",IF((AND(LEFT(G1594,2)=LEFT('112'!$M$9,2),B1594&lt;'112'!$N$8,$L1594='112'!$I$6)),"x",""))</f>
        <v/>
      </c>
      <c r="T1594" s="525" t="str">
        <f>IF(ISERROR(FIND('112'!$M$9,G1594,1)),"",IF((AND(RIGHT(G1594,2)=RIGHT('112'!$M$9,2),B1594&lt;'112'!$N$8,$M1594='112'!$I$6)),"x",""))</f>
        <v/>
      </c>
      <c r="U1594" s="525" t="str">
        <f>IF(AND(B1594&gt;='IN-NX'!$P$3,B1594&lt;='IN-NX'!$Q$3,'IN-NX'!$D$7=D1594,OR(LEFT(L1594,2)="15",AND(LEFT(M1594,2)&lt;&gt;"15",LEFT(M1594,2)&lt;&gt;"33"))),"x","")</f>
        <v/>
      </c>
      <c r="V1594" s="525" t="str">
        <f>IF(AND(OR(LEFT(TH!L1594,2)="15",LEFT(TH!M1594,2)="15"),'152-CT'!$J$8=TH!F1594),"x","")</f>
        <v/>
      </c>
      <c r="W1594" s="525" t="str">
        <f>IF(AND(OR(LEFT(TH!L1594,2)="15",LEFT(TH!M1594,2)="15"),TK!$E$7=TH!F1594),"x","")</f>
        <v/>
      </c>
      <c r="X1594" s="525" t="str">
        <f>IF(AND('341-CT'!$E$9=H1594,OR(LEFT(L1594,3)=$X$7,LEFT(M1594,3)=$X$7)),"x","")</f>
        <v/>
      </c>
      <c r="Y1594" s="525" t="str">
        <f>IF(OR(TH!L1594=TH!$Y$7,M1594=TH!$Y$7),"x","")</f>
        <v/>
      </c>
      <c r="Z1594" s="525" t="str">
        <f>IF(AND(B1594&lt;=NKC!$N$8,B1594&gt;=NKC!$M$8),"x","")</f>
        <v>x</v>
      </c>
      <c r="AA1594" s="535">
        <v>1</v>
      </c>
      <c r="AC1594" s="503"/>
    </row>
    <row r="1595" spans="1:29" s="576" customFormat="1" ht="15.75" customHeight="1">
      <c r="A1595" s="517" t="str">
        <f>IF(B1595&lt;&gt;"",IF(AND(B1595&gt;=_TM1,B1595&lt;=_TM2,OR(TH!L1595="1111",TH!M1595="1111")),TH!D1595,""),"")</f>
        <v/>
      </c>
      <c r="B1595" s="518">
        <f t="shared" si="155"/>
        <v>3</v>
      </c>
      <c r="C1595" s="571">
        <f t="shared" si="156"/>
        <v>42824</v>
      </c>
      <c r="D1595" s="537" t="s">
        <v>993</v>
      </c>
      <c r="E1595" s="615">
        <v>42824</v>
      </c>
      <c r="F1595" s="572" t="s">
        <v>737</v>
      </c>
      <c r="G1595" s="616" t="s">
        <v>866</v>
      </c>
      <c r="H1595" s="574" t="s">
        <v>447</v>
      </c>
      <c r="I1595" s="523">
        <v>30</v>
      </c>
      <c r="J1595" s="523">
        <v>84069</v>
      </c>
      <c r="K1595" s="575">
        <f t="shared" si="158"/>
        <v>2522070</v>
      </c>
      <c r="L1595" s="525" t="s">
        <v>292</v>
      </c>
      <c r="M1595" s="525" t="s">
        <v>8</v>
      </c>
      <c r="N1595" s="525" t="str">
        <f>IF(AND('331-CT'!$E$7=TH!H1595,OR(L1595="331",M1595="331")),"331",IF(AND(OR(L1595="131",M1595="131"),H1595='131-CT'!$E$7),"131",""))</f>
        <v/>
      </c>
      <c r="O1595" s="525" t="str">
        <f>IF(AND($B1595&gt;='111'!$N$11,$B1595&lt;='111'!$O$11,OR($L1595=$O$7,$M1595=$O$7)),"x","")</f>
        <v/>
      </c>
      <c r="P1595" s="525" t="str">
        <f>IF(AND($L1595=$O$7,$B1595&lt;'111'!$N$11),"x","")</f>
        <v/>
      </c>
      <c r="Q1595" s="525" t="str">
        <f>IF(AND($M1595=$O$7,$B1595&lt;'111'!$N$11),"x","")</f>
        <v/>
      </c>
      <c r="R1595" s="525" t="str">
        <f>IF(ISERROR(FIND('112'!$M$9,G1595,1)),"",IF((AND(FIND('112'!$M$9,G1595,1)&gt;=1,$B1595&gt;='112'!$N$8,$B1595&lt;='112'!$O$8,OR($L1595='112'!$I$6,$M1595='112'!$I$6))),"x",""))</f>
        <v/>
      </c>
      <c r="S1595" s="525" t="str">
        <f>IF(ISERROR(FIND('112'!$M$9,G1595,1)),"",IF((AND(LEFT(G1595,2)=LEFT('112'!$M$9,2),B1595&lt;'112'!$N$8,$L1595='112'!$I$6)),"x",""))</f>
        <v/>
      </c>
      <c r="T1595" s="525" t="str">
        <f>IF(ISERROR(FIND('112'!$M$9,G1595,1)),"",IF((AND(RIGHT(G1595,2)=RIGHT('112'!$M$9,2),B1595&lt;'112'!$N$8,$M1595='112'!$I$6)),"x",""))</f>
        <v/>
      </c>
      <c r="U1595" s="525" t="str">
        <f>IF(AND(B1595&gt;='IN-NX'!$P$3,B1595&lt;='IN-NX'!$Q$3,'IN-NX'!$D$7=D1595,OR(LEFT(L1595,2)="15",AND(LEFT(M1595,2)&lt;&gt;"15",LEFT(M1595,2)&lt;&gt;"33"))),"x","")</f>
        <v/>
      </c>
      <c r="V1595" s="525" t="str">
        <f>IF(AND(OR(LEFT(TH!L1595,2)="15",LEFT(TH!M1595,2)="15"),'152-CT'!$J$8=TH!F1595),"x","")</f>
        <v/>
      </c>
      <c r="W1595" s="525" t="str">
        <f>IF(AND(OR(LEFT(TH!L1595,2)="15",LEFT(TH!M1595,2)="15"),TK!$E$7=TH!F1595),"x","")</f>
        <v/>
      </c>
      <c r="X1595" s="525" t="str">
        <f>IF(AND('341-CT'!$E$9=H1595,OR(LEFT(L1595,3)=$X$7,LEFT(M1595,3)=$X$7)),"x","")</f>
        <v/>
      </c>
      <c r="Y1595" s="525" t="str">
        <f>IF(OR(TH!L1595=TH!$Y$7,M1595=TH!$Y$7),"x","")</f>
        <v/>
      </c>
      <c r="Z1595" s="525" t="str">
        <f>IF(AND(B1595&lt;=NKC!$N$8,B1595&gt;=NKC!$M$8),"x","")</f>
        <v>x</v>
      </c>
      <c r="AA1595" s="535">
        <v>1</v>
      </c>
      <c r="AC1595" s="503"/>
    </row>
    <row r="1596" spans="1:29" s="576" customFormat="1" ht="15.75" customHeight="1">
      <c r="A1596" s="517" t="str">
        <f>IF(B1596&lt;&gt;"",IF(AND(B1596&gt;=_TM1,B1596&lt;=_TM2,OR(TH!L1596="1111",TH!M1596="1111")),TH!D1596,""),"")</f>
        <v/>
      </c>
      <c r="B1596" s="518">
        <f t="shared" si="155"/>
        <v>3</v>
      </c>
      <c r="C1596" s="571">
        <f t="shared" si="156"/>
        <v>42824</v>
      </c>
      <c r="D1596" s="537" t="s">
        <v>994</v>
      </c>
      <c r="E1596" s="615">
        <v>42824</v>
      </c>
      <c r="F1596" s="572" t="s">
        <v>730</v>
      </c>
      <c r="G1596" s="616" t="s">
        <v>866</v>
      </c>
      <c r="H1596" s="574" t="s">
        <v>447</v>
      </c>
      <c r="I1596" s="523">
        <v>6</v>
      </c>
      <c r="J1596" s="523">
        <v>36740</v>
      </c>
      <c r="K1596" s="575">
        <f t="shared" si="158"/>
        <v>220440</v>
      </c>
      <c r="L1596" s="525" t="s">
        <v>292</v>
      </c>
      <c r="M1596" s="525" t="s">
        <v>8</v>
      </c>
      <c r="N1596" s="525" t="str">
        <f>IF(AND('331-CT'!$E$7=TH!H1596,OR(L1596="331",M1596="331")),"331",IF(AND(OR(L1596="131",M1596="131"),H1596='131-CT'!$E$7),"131",""))</f>
        <v/>
      </c>
      <c r="O1596" s="525" t="str">
        <f>IF(AND($B1596&gt;='111'!$N$11,$B1596&lt;='111'!$O$11,OR($L1596=$O$7,$M1596=$O$7)),"x","")</f>
        <v/>
      </c>
      <c r="P1596" s="525" t="str">
        <f>IF(AND($L1596=$O$7,$B1596&lt;'111'!$N$11),"x","")</f>
        <v/>
      </c>
      <c r="Q1596" s="525" t="str">
        <f>IF(AND($M1596=$O$7,$B1596&lt;'111'!$N$11),"x","")</f>
        <v/>
      </c>
      <c r="R1596" s="525" t="str">
        <f>IF(ISERROR(FIND('112'!$M$9,G1596,1)),"",IF((AND(FIND('112'!$M$9,G1596,1)&gt;=1,$B1596&gt;='112'!$N$8,$B1596&lt;='112'!$O$8,OR($L1596='112'!$I$6,$M1596='112'!$I$6))),"x",""))</f>
        <v/>
      </c>
      <c r="S1596" s="525" t="str">
        <f>IF(ISERROR(FIND('112'!$M$9,G1596,1)),"",IF((AND(LEFT(G1596,2)=LEFT('112'!$M$9,2),B1596&lt;'112'!$N$8,$L1596='112'!$I$6)),"x",""))</f>
        <v/>
      </c>
      <c r="T1596" s="525" t="str">
        <f>IF(ISERROR(FIND('112'!$M$9,G1596,1)),"",IF((AND(RIGHT(G1596,2)=RIGHT('112'!$M$9,2),B1596&lt;'112'!$N$8,$M1596='112'!$I$6)),"x",""))</f>
        <v/>
      </c>
      <c r="U1596" s="525" t="str">
        <f>IF(AND(B1596&gt;='IN-NX'!$P$3,B1596&lt;='IN-NX'!$Q$3,'IN-NX'!$D$7=D1596,OR(LEFT(L1596,2)="15",AND(LEFT(M1596,2)&lt;&gt;"15",LEFT(M1596,2)&lt;&gt;"33"))),"x","")</f>
        <v/>
      </c>
      <c r="V1596" s="525" t="str">
        <f>IF(AND(OR(LEFT(TH!L1596,2)="15",LEFT(TH!M1596,2)="15"),'152-CT'!$J$8=TH!F1596),"x","")</f>
        <v/>
      </c>
      <c r="W1596" s="525" t="str">
        <f>IF(AND(OR(LEFT(TH!L1596,2)="15",LEFT(TH!M1596,2)="15"),TK!$E$7=TH!F1596),"x","")</f>
        <v/>
      </c>
      <c r="X1596" s="525" t="str">
        <f>IF(AND('341-CT'!$E$9=H1596,OR(LEFT(L1596,3)=$X$7,LEFT(M1596,3)=$X$7)),"x","")</f>
        <v/>
      </c>
      <c r="Y1596" s="525" t="str">
        <f>IF(OR(TH!L1596=TH!$Y$7,M1596=TH!$Y$7),"x","")</f>
        <v/>
      </c>
      <c r="Z1596" s="525" t="str">
        <f>IF(AND(B1596&lt;=NKC!$N$8,B1596&gt;=NKC!$M$8),"x","")</f>
        <v>x</v>
      </c>
      <c r="AA1596" s="535">
        <v>1</v>
      </c>
      <c r="AC1596" s="503"/>
    </row>
    <row r="1597" spans="1:29" s="576" customFormat="1" ht="15.75" customHeight="1">
      <c r="A1597" s="517" t="str">
        <f>IF(B1597&lt;&gt;"",IF(AND(B1597&gt;=_TM1,B1597&lt;=_TM2,OR(TH!L1597="1111",TH!M1597="1111")),TH!D1597,""),"")</f>
        <v/>
      </c>
      <c r="B1597" s="518">
        <f t="shared" si="155"/>
        <v>3</v>
      </c>
      <c r="C1597" s="571">
        <f t="shared" si="156"/>
        <v>42824</v>
      </c>
      <c r="D1597" s="537" t="s">
        <v>994</v>
      </c>
      <c r="E1597" s="615">
        <v>42824</v>
      </c>
      <c r="F1597" s="572" t="s">
        <v>738</v>
      </c>
      <c r="G1597" s="616" t="s">
        <v>866</v>
      </c>
      <c r="H1597" s="574" t="s">
        <v>447</v>
      </c>
      <c r="I1597" s="523">
        <v>8</v>
      </c>
      <c r="J1597" s="523">
        <v>147559</v>
      </c>
      <c r="K1597" s="575">
        <f t="shared" si="158"/>
        <v>1180472</v>
      </c>
      <c r="L1597" s="525" t="s">
        <v>292</v>
      </c>
      <c r="M1597" s="525" t="s">
        <v>8</v>
      </c>
      <c r="N1597" s="525" t="str">
        <f>IF(AND('331-CT'!$E$7=TH!H1597,OR(L1597="331",M1597="331")),"331",IF(AND(OR(L1597="131",M1597="131"),H1597='131-CT'!$E$7),"131",""))</f>
        <v/>
      </c>
      <c r="O1597" s="525" t="str">
        <f>IF(AND($B1597&gt;='111'!$N$11,$B1597&lt;='111'!$O$11,OR($L1597=$O$7,$M1597=$O$7)),"x","")</f>
        <v/>
      </c>
      <c r="P1597" s="525" t="str">
        <f>IF(AND($L1597=$O$7,$B1597&lt;'111'!$N$11),"x","")</f>
        <v/>
      </c>
      <c r="Q1597" s="525" t="str">
        <f>IF(AND($M1597=$O$7,$B1597&lt;'111'!$N$11),"x","")</f>
        <v/>
      </c>
      <c r="R1597" s="525" t="str">
        <f>IF(ISERROR(FIND('112'!$M$9,G1597,1)),"",IF((AND(FIND('112'!$M$9,G1597,1)&gt;=1,$B1597&gt;='112'!$N$8,$B1597&lt;='112'!$O$8,OR($L1597='112'!$I$6,$M1597='112'!$I$6))),"x",""))</f>
        <v/>
      </c>
      <c r="S1597" s="525" t="str">
        <f>IF(ISERROR(FIND('112'!$M$9,G1597,1)),"",IF((AND(LEFT(G1597,2)=LEFT('112'!$M$9,2),B1597&lt;'112'!$N$8,$L1597='112'!$I$6)),"x",""))</f>
        <v/>
      </c>
      <c r="T1597" s="525" t="str">
        <f>IF(ISERROR(FIND('112'!$M$9,G1597,1)),"",IF((AND(RIGHT(G1597,2)=RIGHT('112'!$M$9,2),B1597&lt;'112'!$N$8,$M1597='112'!$I$6)),"x",""))</f>
        <v/>
      </c>
      <c r="U1597" s="525" t="str">
        <f>IF(AND(B1597&gt;='IN-NX'!$P$3,B1597&lt;='IN-NX'!$Q$3,'IN-NX'!$D$7=D1597,OR(LEFT(L1597,2)="15",AND(LEFT(M1597,2)&lt;&gt;"15",LEFT(M1597,2)&lt;&gt;"33"))),"x","")</f>
        <v/>
      </c>
      <c r="V1597" s="525" t="str">
        <f>IF(AND(OR(LEFT(TH!L1597,2)="15",LEFT(TH!M1597,2)="15"),'152-CT'!$J$8=TH!F1597),"x","")</f>
        <v/>
      </c>
      <c r="W1597" s="525" t="str">
        <f>IF(AND(OR(LEFT(TH!L1597,2)="15",LEFT(TH!M1597,2)="15"),TK!$E$7=TH!F1597),"x","")</f>
        <v/>
      </c>
      <c r="X1597" s="525" t="str">
        <f>IF(AND('341-CT'!$E$9=H1597,OR(LEFT(L1597,3)=$X$7,LEFT(M1597,3)=$X$7)),"x","")</f>
        <v/>
      </c>
      <c r="Y1597" s="525" t="str">
        <f>IF(OR(TH!L1597=TH!$Y$7,M1597=TH!$Y$7),"x","")</f>
        <v/>
      </c>
      <c r="Z1597" s="525" t="str">
        <f>IF(AND(B1597&lt;=NKC!$N$8,B1597&gt;=NKC!$M$8),"x","")</f>
        <v>x</v>
      </c>
      <c r="AA1597" s="535">
        <v>1</v>
      </c>
      <c r="AC1597" s="503"/>
    </row>
    <row r="1598" spans="1:29" s="576" customFormat="1" ht="15.75" customHeight="1">
      <c r="A1598" s="517" t="str">
        <f>IF(B1598&lt;&gt;"",IF(AND(B1598&gt;=_TM1,B1598&lt;=_TM2,OR(TH!L1598="1111",TH!M1598="1111")),TH!D1598,""),"")</f>
        <v/>
      </c>
      <c r="B1598" s="518">
        <f t="shared" si="155"/>
        <v>3</v>
      </c>
      <c r="C1598" s="571">
        <f t="shared" si="156"/>
        <v>42824</v>
      </c>
      <c r="D1598" s="537" t="s">
        <v>994</v>
      </c>
      <c r="E1598" s="615">
        <v>42824</v>
      </c>
      <c r="F1598" s="572" t="s">
        <v>693</v>
      </c>
      <c r="G1598" s="616" t="s">
        <v>866</v>
      </c>
      <c r="H1598" s="574" t="s">
        <v>447</v>
      </c>
      <c r="I1598" s="523">
        <v>20</v>
      </c>
      <c r="J1598" s="523">
        <v>101418</v>
      </c>
      <c r="K1598" s="575">
        <f t="shared" si="158"/>
        <v>2028360</v>
      </c>
      <c r="L1598" s="525" t="s">
        <v>292</v>
      </c>
      <c r="M1598" s="525" t="s">
        <v>8</v>
      </c>
      <c r="N1598" s="525" t="str">
        <f>IF(AND('331-CT'!$E$7=TH!H1598,OR(L1598="331",M1598="331")),"331",IF(AND(OR(L1598="131",M1598="131"),H1598='131-CT'!$E$7),"131",""))</f>
        <v/>
      </c>
      <c r="O1598" s="525" t="str">
        <f>IF(AND($B1598&gt;='111'!$N$11,$B1598&lt;='111'!$O$11,OR($L1598=$O$7,$M1598=$O$7)),"x","")</f>
        <v/>
      </c>
      <c r="P1598" s="525" t="str">
        <f>IF(AND($L1598=$O$7,$B1598&lt;'111'!$N$11),"x","")</f>
        <v/>
      </c>
      <c r="Q1598" s="525" t="str">
        <f>IF(AND($M1598=$O$7,$B1598&lt;'111'!$N$11),"x","")</f>
        <v/>
      </c>
      <c r="R1598" s="525" t="str">
        <f>IF(ISERROR(FIND('112'!$M$9,G1598,1)),"",IF((AND(FIND('112'!$M$9,G1598,1)&gt;=1,$B1598&gt;='112'!$N$8,$B1598&lt;='112'!$O$8,OR($L1598='112'!$I$6,$M1598='112'!$I$6))),"x",""))</f>
        <v/>
      </c>
      <c r="S1598" s="525" t="str">
        <f>IF(ISERROR(FIND('112'!$M$9,G1598,1)),"",IF((AND(LEFT(G1598,2)=LEFT('112'!$M$9,2),B1598&lt;'112'!$N$8,$L1598='112'!$I$6)),"x",""))</f>
        <v/>
      </c>
      <c r="T1598" s="525" t="str">
        <f>IF(ISERROR(FIND('112'!$M$9,G1598,1)),"",IF((AND(RIGHT(G1598,2)=RIGHT('112'!$M$9,2),B1598&lt;'112'!$N$8,$M1598='112'!$I$6)),"x",""))</f>
        <v/>
      </c>
      <c r="U1598" s="525" t="str">
        <f>IF(AND(B1598&gt;='IN-NX'!$P$3,B1598&lt;='IN-NX'!$Q$3,'IN-NX'!$D$7=D1598,OR(LEFT(L1598,2)="15",AND(LEFT(M1598,2)&lt;&gt;"15",LEFT(M1598,2)&lt;&gt;"33"))),"x","")</f>
        <v/>
      </c>
      <c r="V1598" s="525" t="str">
        <f>IF(AND(OR(LEFT(TH!L1598,2)="15",LEFT(TH!M1598,2)="15"),'152-CT'!$J$8=TH!F1598),"x","")</f>
        <v/>
      </c>
      <c r="W1598" s="525" t="str">
        <f>IF(AND(OR(LEFT(TH!L1598,2)="15",LEFT(TH!M1598,2)="15"),TK!$E$7=TH!F1598),"x","")</f>
        <v/>
      </c>
      <c r="X1598" s="525" t="str">
        <f>IF(AND('341-CT'!$E$9=H1598,OR(LEFT(L1598,3)=$X$7,LEFT(M1598,3)=$X$7)),"x","")</f>
        <v/>
      </c>
      <c r="Y1598" s="525" t="str">
        <f>IF(OR(TH!L1598=TH!$Y$7,M1598=TH!$Y$7),"x","")</f>
        <v/>
      </c>
      <c r="Z1598" s="525" t="str">
        <f>IF(AND(B1598&lt;=NKC!$N$8,B1598&gt;=NKC!$M$8),"x","")</f>
        <v>x</v>
      </c>
      <c r="AA1598" s="535">
        <v>1</v>
      </c>
      <c r="AC1598" s="503"/>
    </row>
    <row r="1599" spans="1:29" s="576" customFormat="1" ht="15.75" customHeight="1">
      <c r="A1599" s="517" t="str">
        <f>IF(B1599&lt;&gt;"",IF(AND(B1599&gt;=_TM1,B1599&lt;=_TM2,OR(TH!L1599="1111",TH!M1599="1111")),TH!D1599,""),"")</f>
        <v/>
      </c>
      <c r="B1599" s="518">
        <f t="shared" si="155"/>
        <v>3</v>
      </c>
      <c r="C1599" s="571">
        <f t="shared" si="156"/>
        <v>42824</v>
      </c>
      <c r="D1599" s="537" t="s">
        <v>994</v>
      </c>
      <c r="E1599" s="615">
        <v>42824</v>
      </c>
      <c r="F1599" s="572" t="s">
        <v>611</v>
      </c>
      <c r="G1599" s="616" t="s">
        <v>866</v>
      </c>
      <c r="H1599" s="574" t="s">
        <v>447</v>
      </c>
      <c r="I1599" s="523">
        <v>12</v>
      </c>
      <c r="J1599" s="523">
        <v>41816</v>
      </c>
      <c r="K1599" s="575">
        <f t="shared" si="158"/>
        <v>501792</v>
      </c>
      <c r="L1599" s="525" t="s">
        <v>292</v>
      </c>
      <c r="M1599" s="525" t="s">
        <v>8</v>
      </c>
      <c r="N1599" s="525" t="str">
        <f>IF(AND('331-CT'!$E$7=TH!H1599,OR(L1599="331",M1599="331")),"331",IF(AND(OR(L1599="131",M1599="131"),H1599='131-CT'!$E$7),"131",""))</f>
        <v/>
      </c>
      <c r="O1599" s="525" t="str">
        <f>IF(AND($B1599&gt;='111'!$N$11,$B1599&lt;='111'!$O$11,OR($L1599=$O$7,$M1599=$O$7)),"x","")</f>
        <v/>
      </c>
      <c r="P1599" s="525" t="str">
        <f>IF(AND($L1599=$O$7,$B1599&lt;'111'!$N$11),"x","")</f>
        <v/>
      </c>
      <c r="Q1599" s="525" t="str">
        <f>IF(AND($M1599=$O$7,$B1599&lt;'111'!$N$11),"x","")</f>
        <v/>
      </c>
      <c r="R1599" s="525" t="str">
        <f>IF(ISERROR(FIND('112'!$M$9,G1599,1)),"",IF((AND(FIND('112'!$M$9,G1599,1)&gt;=1,$B1599&gt;='112'!$N$8,$B1599&lt;='112'!$O$8,OR($L1599='112'!$I$6,$M1599='112'!$I$6))),"x",""))</f>
        <v/>
      </c>
      <c r="S1599" s="525" t="str">
        <f>IF(ISERROR(FIND('112'!$M$9,G1599,1)),"",IF((AND(LEFT(G1599,2)=LEFT('112'!$M$9,2),B1599&lt;'112'!$N$8,$L1599='112'!$I$6)),"x",""))</f>
        <v/>
      </c>
      <c r="T1599" s="525" t="str">
        <f>IF(ISERROR(FIND('112'!$M$9,G1599,1)),"",IF((AND(RIGHT(G1599,2)=RIGHT('112'!$M$9,2),B1599&lt;'112'!$N$8,$M1599='112'!$I$6)),"x",""))</f>
        <v/>
      </c>
      <c r="U1599" s="525" t="str">
        <f>IF(AND(B1599&gt;='IN-NX'!$P$3,B1599&lt;='IN-NX'!$Q$3,'IN-NX'!$D$7=D1599,OR(LEFT(L1599,2)="15",AND(LEFT(M1599,2)&lt;&gt;"15",LEFT(M1599,2)&lt;&gt;"33"))),"x","")</f>
        <v/>
      </c>
      <c r="V1599" s="525" t="str">
        <f>IF(AND(OR(LEFT(TH!L1599,2)="15",LEFT(TH!M1599,2)="15"),'152-CT'!$J$8=TH!F1599),"x","")</f>
        <v/>
      </c>
      <c r="W1599" s="525" t="str">
        <f>IF(AND(OR(LEFT(TH!L1599,2)="15",LEFT(TH!M1599,2)="15"),TK!$E$7=TH!F1599),"x","")</f>
        <v/>
      </c>
      <c r="X1599" s="525" t="str">
        <f>IF(AND('341-CT'!$E$9=H1599,OR(LEFT(L1599,3)=$X$7,LEFT(M1599,3)=$X$7)),"x","")</f>
        <v/>
      </c>
      <c r="Y1599" s="525" t="str">
        <f>IF(OR(TH!L1599=TH!$Y$7,M1599=TH!$Y$7),"x","")</f>
        <v/>
      </c>
      <c r="Z1599" s="525" t="str">
        <f>IF(AND(B1599&lt;=NKC!$N$8,B1599&gt;=NKC!$M$8),"x","")</f>
        <v>x</v>
      </c>
      <c r="AA1599" s="535">
        <v>1</v>
      </c>
      <c r="AC1599" s="503"/>
    </row>
    <row r="1600" spans="1:29" s="576" customFormat="1" ht="15.75" customHeight="1">
      <c r="A1600" s="517" t="str">
        <f>IF(B1600&lt;&gt;"",IF(AND(B1600&gt;=_TM1,B1600&lt;=_TM2,OR(TH!L1600="1111",TH!M1600="1111")),TH!D1600,""),"")</f>
        <v/>
      </c>
      <c r="B1600" s="518">
        <f t="shared" si="155"/>
        <v>3</v>
      </c>
      <c r="C1600" s="571">
        <f t="shared" si="156"/>
        <v>42824</v>
      </c>
      <c r="D1600" s="537" t="s">
        <v>994</v>
      </c>
      <c r="E1600" s="615">
        <v>42824</v>
      </c>
      <c r="F1600" s="572" t="s">
        <v>739</v>
      </c>
      <c r="G1600" s="616" t="s">
        <v>866</v>
      </c>
      <c r="H1600" s="574" t="s">
        <v>447</v>
      </c>
      <c r="I1600" s="523">
        <v>14</v>
      </c>
      <c r="J1600" s="523">
        <v>48000</v>
      </c>
      <c r="K1600" s="575">
        <f t="shared" si="158"/>
        <v>672000</v>
      </c>
      <c r="L1600" s="525" t="s">
        <v>292</v>
      </c>
      <c r="M1600" s="525" t="s">
        <v>8</v>
      </c>
      <c r="N1600" s="525" t="str">
        <f>IF(AND('331-CT'!$E$7=TH!H1600,OR(L1600="331",M1600="331")),"331",IF(AND(OR(L1600="131",M1600="131"),H1600='131-CT'!$E$7),"131",""))</f>
        <v/>
      </c>
      <c r="O1600" s="525" t="str">
        <f>IF(AND($B1600&gt;='111'!$N$11,$B1600&lt;='111'!$O$11,OR($L1600=$O$7,$M1600=$O$7)),"x","")</f>
        <v/>
      </c>
      <c r="P1600" s="525" t="str">
        <f>IF(AND($L1600=$O$7,$B1600&lt;'111'!$N$11),"x","")</f>
        <v/>
      </c>
      <c r="Q1600" s="525" t="str">
        <f>IF(AND($M1600=$O$7,$B1600&lt;'111'!$N$11),"x","")</f>
        <v/>
      </c>
      <c r="R1600" s="525" t="str">
        <f>IF(ISERROR(FIND('112'!$M$9,G1600,1)),"",IF((AND(FIND('112'!$M$9,G1600,1)&gt;=1,$B1600&gt;='112'!$N$8,$B1600&lt;='112'!$O$8,OR($L1600='112'!$I$6,$M1600='112'!$I$6))),"x",""))</f>
        <v/>
      </c>
      <c r="S1600" s="525" t="str">
        <f>IF(ISERROR(FIND('112'!$M$9,G1600,1)),"",IF((AND(LEFT(G1600,2)=LEFT('112'!$M$9,2),B1600&lt;'112'!$N$8,$L1600='112'!$I$6)),"x",""))</f>
        <v/>
      </c>
      <c r="T1600" s="525" t="str">
        <f>IF(ISERROR(FIND('112'!$M$9,G1600,1)),"",IF((AND(RIGHT(G1600,2)=RIGHT('112'!$M$9,2),B1600&lt;'112'!$N$8,$M1600='112'!$I$6)),"x",""))</f>
        <v/>
      </c>
      <c r="U1600" s="525" t="str">
        <f>IF(AND(B1600&gt;='IN-NX'!$P$3,B1600&lt;='IN-NX'!$Q$3,'IN-NX'!$D$7=D1600,OR(LEFT(L1600,2)="15",AND(LEFT(M1600,2)&lt;&gt;"15",LEFT(M1600,2)&lt;&gt;"33"))),"x","")</f>
        <v/>
      </c>
      <c r="V1600" s="525" t="str">
        <f>IF(AND(OR(LEFT(TH!L1600,2)="15",LEFT(TH!M1600,2)="15"),'152-CT'!$J$8=TH!F1600),"x","")</f>
        <v/>
      </c>
      <c r="W1600" s="525" t="str">
        <f>IF(AND(OR(LEFT(TH!L1600,2)="15",LEFT(TH!M1600,2)="15"),TK!$E$7=TH!F1600),"x","")</f>
        <v/>
      </c>
      <c r="X1600" s="525" t="str">
        <f>IF(AND('341-CT'!$E$9=H1600,OR(LEFT(L1600,3)=$X$7,LEFT(M1600,3)=$X$7)),"x","")</f>
        <v/>
      </c>
      <c r="Y1600" s="525" t="str">
        <f>IF(OR(TH!L1600=TH!$Y$7,M1600=TH!$Y$7),"x","")</f>
        <v/>
      </c>
      <c r="Z1600" s="525" t="str">
        <f>IF(AND(B1600&lt;=NKC!$N$8,B1600&gt;=NKC!$M$8),"x","")</f>
        <v>x</v>
      </c>
      <c r="AA1600" s="535">
        <v>1</v>
      </c>
      <c r="AC1600" s="503"/>
    </row>
    <row r="1601" spans="1:31" s="576" customFormat="1" ht="15.75" customHeight="1">
      <c r="A1601" s="517" t="str">
        <f>IF(B1601&lt;&gt;"",IF(AND(B1601&gt;=_TM1,B1601&lt;=_TM2,OR(TH!L1601="1111",TH!M1601="1111")),TH!D1601,""),"")</f>
        <v/>
      </c>
      <c r="B1601" s="518">
        <f t="shared" si="155"/>
        <v>3</v>
      </c>
      <c r="C1601" s="571">
        <f t="shared" si="156"/>
        <v>42824</v>
      </c>
      <c r="D1601" s="537" t="s">
        <v>994</v>
      </c>
      <c r="E1601" s="615">
        <v>42824</v>
      </c>
      <c r="F1601" s="572" t="s">
        <v>740</v>
      </c>
      <c r="G1601" s="616" t="s">
        <v>866</v>
      </c>
      <c r="H1601" s="574" t="s">
        <v>447</v>
      </c>
      <c r="I1601" s="523">
        <v>4</v>
      </c>
      <c r="J1601" s="523">
        <v>160236</v>
      </c>
      <c r="K1601" s="575">
        <f t="shared" si="158"/>
        <v>640944</v>
      </c>
      <c r="L1601" s="525" t="s">
        <v>292</v>
      </c>
      <c r="M1601" s="525" t="s">
        <v>8</v>
      </c>
      <c r="N1601" s="525" t="str">
        <f>IF(AND('331-CT'!$E$7=TH!H1601,OR(L1601="331",M1601="331")),"331",IF(AND(OR(L1601="131",M1601="131"),H1601='131-CT'!$E$7),"131",""))</f>
        <v/>
      </c>
      <c r="O1601" s="525" t="str">
        <f>IF(AND($B1601&gt;='111'!$N$11,$B1601&lt;='111'!$O$11,OR($L1601=$O$7,$M1601=$O$7)),"x","")</f>
        <v/>
      </c>
      <c r="P1601" s="525" t="str">
        <f>IF(AND($L1601=$O$7,$B1601&lt;'111'!$N$11),"x","")</f>
        <v/>
      </c>
      <c r="Q1601" s="525" t="str">
        <f>IF(AND($M1601=$O$7,$B1601&lt;'111'!$N$11),"x","")</f>
        <v/>
      </c>
      <c r="R1601" s="525" t="str">
        <f>IF(ISERROR(FIND('112'!$M$9,G1601,1)),"",IF((AND(FIND('112'!$M$9,G1601,1)&gt;=1,$B1601&gt;='112'!$N$8,$B1601&lt;='112'!$O$8,OR($L1601='112'!$I$6,$M1601='112'!$I$6))),"x",""))</f>
        <v/>
      </c>
      <c r="S1601" s="525" t="str">
        <f>IF(ISERROR(FIND('112'!$M$9,G1601,1)),"",IF((AND(LEFT(G1601,2)=LEFT('112'!$M$9,2),B1601&lt;'112'!$N$8,$L1601='112'!$I$6)),"x",""))</f>
        <v/>
      </c>
      <c r="T1601" s="525" t="str">
        <f>IF(ISERROR(FIND('112'!$M$9,G1601,1)),"",IF((AND(RIGHT(G1601,2)=RIGHT('112'!$M$9,2),B1601&lt;'112'!$N$8,$M1601='112'!$I$6)),"x",""))</f>
        <v/>
      </c>
      <c r="U1601" s="525" t="str">
        <f>IF(AND(B1601&gt;='IN-NX'!$P$3,B1601&lt;='IN-NX'!$Q$3,'IN-NX'!$D$7=D1601,OR(LEFT(L1601,2)="15",AND(LEFT(M1601,2)&lt;&gt;"15",LEFT(M1601,2)&lt;&gt;"33"))),"x","")</f>
        <v/>
      </c>
      <c r="V1601" s="525" t="str">
        <f>IF(AND(OR(LEFT(TH!L1601,2)="15",LEFT(TH!M1601,2)="15"),'152-CT'!$J$8=TH!F1601),"x","")</f>
        <v/>
      </c>
      <c r="W1601" s="525" t="str">
        <f>IF(AND(OR(LEFT(TH!L1601,2)="15",LEFT(TH!M1601,2)="15"),TK!$E$7=TH!F1601),"x","")</f>
        <v/>
      </c>
      <c r="X1601" s="525" t="str">
        <f>IF(AND('341-CT'!$E$9=H1601,OR(LEFT(L1601,3)=$X$7,LEFT(M1601,3)=$X$7)),"x","")</f>
        <v/>
      </c>
      <c r="Y1601" s="525" t="str">
        <f>IF(OR(TH!L1601=TH!$Y$7,M1601=TH!$Y$7),"x","")</f>
        <v/>
      </c>
      <c r="Z1601" s="525" t="str">
        <f>IF(AND(B1601&lt;=NKC!$N$8,B1601&gt;=NKC!$M$8),"x","")</f>
        <v>x</v>
      </c>
      <c r="AA1601" s="535">
        <v>1</v>
      </c>
      <c r="AC1601" s="503"/>
    </row>
    <row r="1602" spans="1:31" s="576" customFormat="1" ht="15.75" customHeight="1">
      <c r="A1602" s="517" t="str">
        <f>IF(B1602&lt;&gt;"",IF(AND(B1602&gt;=_TM1,B1602&lt;=_TM2,OR(TH!L1602="1111",TH!M1602="1111")),TH!D1602,""),"")</f>
        <v/>
      </c>
      <c r="B1602" s="518">
        <f t="shared" si="155"/>
        <v>3</v>
      </c>
      <c r="C1602" s="571">
        <f t="shared" si="156"/>
        <v>42824</v>
      </c>
      <c r="D1602" s="537" t="s">
        <v>994</v>
      </c>
      <c r="E1602" s="615">
        <v>42824</v>
      </c>
      <c r="F1602" s="572" t="s">
        <v>741</v>
      </c>
      <c r="G1602" s="616" t="s">
        <v>866</v>
      </c>
      <c r="H1602" s="574" t="s">
        <v>447</v>
      </c>
      <c r="I1602" s="523">
        <v>4</v>
      </c>
      <c r="J1602" s="523">
        <v>210369</v>
      </c>
      <c r="K1602" s="575">
        <f t="shared" si="158"/>
        <v>841476</v>
      </c>
      <c r="L1602" s="525" t="s">
        <v>292</v>
      </c>
      <c r="M1602" s="525" t="s">
        <v>8</v>
      </c>
      <c r="N1602" s="525" t="str">
        <f>IF(AND('331-CT'!$E$7=TH!H1602,OR(L1602="331",M1602="331")),"331",IF(AND(OR(L1602="131",M1602="131"),H1602='131-CT'!$E$7),"131",""))</f>
        <v/>
      </c>
      <c r="O1602" s="525" t="str">
        <f>IF(AND($B1602&gt;='111'!$N$11,$B1602&lt;='111'!$O$11,OR($L1602=$O$7,$M1602=$O$7)),"x","")</f>
        <v/>
      </c>
      <c r="P1602" s="525" t="str">
        <f>IF(AND($L1602=$O$7,$B1602&lt;'111'!$N$11),"x","")</f>
        <v/>
      </c>
      <c r="Q1602" s="525" t="str">
        <f>IF(AND($M1602=$O$7,$B1602&lt;'111'!$N$11),"x","")</f>
        <v/>
      </c>
      <c r="R1602" s="525" t="str">
        <f>IF(ISERROR(FIND('112'!$M$9,G1602,1)),"",IF((AND(FIND('112'!$M$9,G1602,1)&gt;=1,$B1602&gt;='112'!$N$8,$B1602&lt;='112'!$O$8,OR($L1602='112'!$I$6,$M1602='112'!$I$6))),"x",""))</f>
        <v/>
      </c>
      <c r="S1602" s="525" t="str">
        <f>IF(ISERROR(FIND('112'!$M$9,G1602,1)),"",IF((AND(LEFT(G1602,2)=LEFT('112'!$M$9,2),B1602&lt;'112'!$N$8,$L1602='112'!$I$6)),"x",""))</f>
        <v/>
      </c>
      <c r="T1602" s="525" t="str">
        <f>IF(ISERROR(FIND('112'!$M$9,G1602,1)),"",IF((AND(RIGHT(G1602,2)=RIGHT('112'!$M$9,2),B1602&lt;'112'!$N$8,$M1602='112'!$I$6)),"x",""))</f>
        <v/>
      </c>
      <c r="U1602" s="525" t="str">
        <f>IF(AND(B1602&gt;='IN-NX'!$P$3,B1602&lt;='IN-NX'!$Q$3,'IN-NX'!$D$7=D1602,OR(LEFT(L1602,2)="15",AND(LEFT(M1602,2)&lt;&gt;"15",LEFT(M1602,2)&lt;&gt;"33"))),"x","")</f>
        <v/>
      </c>
      <c r="V1602" s="525" t="str">
        <f>IF(AND(OR(LEFT(TH!L1602,2)="15",LEFT(TH!M1602,2)="15"),'152-CT'!$J$8=TH!F1602),"x","")</f>
        <v/>
      </c>
      <c r="W1602" s="525" t="str">
        <f>IF(AND(OR(LEFT(TH!L1602,2)="15",LEFT(TH!M1602,2)="15"),TK!$E$7=TH!F1602),"x","")</f>
        <v/>
      </c>
      <c r="X1602" s="525" t="str">
        <f>IF(AND('341-CT'!$E$9=H1602,OR(LEFT(L1602,3)=$X$7,LEFT(M1602,3)=$X$7)),"x","")</f>
        <v/>
      </c>
      <c r="Y1602" s="525" t="str">
        <f>IF(OR(TH!L1602=TH!$Y$7,M1602=TH!$Y$7),"x","")</f>
        <v/>
      </c>
      <c r="Z1602" s="525" t="str">
        <f>IF(AND(B1602&lt;=NKC!$N$8,B1602&gt;=NKC!$M$8),"x","")</f>
        <v>x</v>
      </c>
      <c r="AA1602" s="535">
        <v>1</v>
      </c>
      <c r="AC1602" s="503"/>
    </row>
    <row r="1603" spans="1:31" s="576" customFormat="1" ht="15.75" customHeight="1">
      <c r="A1603" s="517" t="str">
        <f>IF(B1603&lt;&gt;"",IF(AND(B1603&gt;=_TM1,B1603&lt;=_TM2,OR(TH!L1603="1111",TH!M1603="1111")),TH!D1603,""),"")</f>
        <v/>
      </c>
      <c r="B1603" s="518">
        <f t="shared" si="155"/>
        <v>3</v>
      </c>
      <c r="C1603" s="571">
        <f t="shared" si="156"/>
        <v>42824</v>
      </c>
      <c r="D1603" s="537" t="s">
        <v>994</v>
      </c>
      <c r="E1603" s="615">
        <v>42824</v>
      </c>
      <c r="F1603" s="609" t="s">
        <v>504</v>
      </c>
      <c r="G1603" s="616" t="s">
        <v>866</v>
      </c>
      <c r="H1603" s="574" t="s">
        <v>447</v>
      </c>
      <c r="I1603" s="523">
        <v>1700</v>
      </c>
      <c r="J1603" s="523">
        <v>34750</v>
      </c>
      <c r="K1603" s="575">
        <f t="shared" si="158"/>
        <v>59075000</v>
      </c>
      <c r="L1603" s="525" t="s">
        <v>292</v>
      </c>
      <c r="M1603" s="525" t="s">
        <v>8</v>
      </c>
      <c r="N1603" s="525" t="str">
        <f>IF(AND('331-CT'!$E$7=TH!H1603,OR(L1603="331",M1603="331")),"331",IF(AND(OR(L1603="131",M1603="131"),H1603='131-CT'!$E$7),"131",""))</f>
        <v/>
      </c>
      <c r="O1603" s="525" t="str">
        <f>IF(AND($B1603&gt;='111'!$N$11,$B1603&lt;='111'!$O$11,OR($L1603=$O$7,$M1603=$O$7)),"x","")</f>
        <v/>
      </c>
      <c r="P1603" s="525" t="str">
        <f>IF(AND($L1603=$O$7,$B1603&lt;'111'!$N$11),"x","")</f>
        <v/>
      </c>
      <c r="Q1603" s="525" t="str">
        <f>IF(AND($M1603=$O$7,$B1603&lt;'111'!$N$11),"x","")</f>
        <v/>
      </c>
      <c r="R1603" s="525" t="str">
        <f>IF(ISERROR(FIND('112'!$M$9,G1603,1)),"",IF((AND(FIND('112'!$M$9,G1603,1)&gt;=1,$B1603&gt;='112'!$N$8,$B1603&lt;='112'!$O$8,OR($L1603='112'!$I$6,$M1603='112'!$I$6))),"x",""))</f>
        <v/>
      </c>
      <c r="S1603" s="525" t="str">
        <f>IF(ISERROR(FIND('112'!$M$9,G1603,1)),"",IF((AND(LEFT(G1603,2)=LEFT('112'!$M$9,2),B1603&lt;'112'!$N$8,$L1603='112'!$I$6)),"x",""))</f>
        <v/>
      </c>
      <c r="T1603" s="525" t="str">
        <f>IF(ISERROR(FIND('112'!$M$9,G1603,1)),"",IF((AND(RIGHT(G1603,2)=RIGHT('112'!$M$9,2),B1603&lt;'112'!$N$8,$M1603='112'!$I$6)),"x",""))</f>
        <v/>
      </c>
      <c r="U1603" s="525" t="str">
        <f>IF(AND(B1603&gt;='IN-NX'!$P$3,B1603&lt;='IN-NX'!$Q$3,'IN-NX'!$D$7=D1603,OR(LEFT(L1603,2)="15",AND(LEFT(M1603,2)&lt;&gt;"15",LEFT(M1603,2)&lt;&gt;"33"))),"x","")</f>
        <v/>
      </c>
      <c r="V1603" s="525" t="str">
        <f>IF(AND(OR(LEFT(TH!L1603,2)="15",LEFT(TH!M1603,2)="15"),'152-CT'!$J$8=TH!F1603),"x","")</f>
        <v/>
      </c>
      <c r="W1603" s="525" t="str">
        <f>IF(AND(OR(LEFT(TH!L1603,2)="15",LEFT(TH!M1603,2)="15"),TK!$E$7=TH!F1603),"x","")</f>
        <v/>
      </c>
      <c r="X1603" s="525" t="str">
        <f>IF(AND('341-CT'!$E$9=H1603,OR(LEFT(L1603,3)=$X$7,LEFT(M1603,3)=$X$7)),"x","")</f>
        <v/>
      </c>
      <c r="Y1603" s="525" t="str">
        <f>IF(OR(TH!L1603=TH!$Y$7,M1603=TH!$Y$7),"x","")</f>
        <v/>
      </c>
      <c r="Z1603" s="525" t="str">
        <f>IF(AND(B1603&lt;=NKC!$N$8,B1603&gt;=NKC!$M$8),"x","")</f>
        <v>x</v>
      </c>
      <c r="AA1603" s="535">
        <v>1</v>
      </c>
      <c r="AC1603" s="503"/>
    </row>
    <row r="1604" spans="1:31" s="576" customFormat="1" ht="15.75" customHeight="1">
      <c r="A1604" s="517" t="str">
        <f>IF(B1604&lt;&gt;"",IF(AND(B1604&gt;=_TM1,B1604&lt;=_TM2,OR(TH!L1604="1111",TH!M1604="1111")),TH!D1604,""),"")</f>
        <v/>
      </c>
      <c r="B1604" s="518">
        <f t="shared" si="155"/>
        <v>3</v>
      </c>
      <c r="C1604" s="571">
        <f t="shared" si="156"/>
        <v>42824</v>
      </c>
      <c r="D1604" s="537" t="s">
        <v>994</v>
      </c>
      <c r="E1604" s="615">
        <v>42824</v>
      </c>
      <c r="F1604" s="572" t="s">
        <v>777</v>
      </c>
      <c r="G1604" s="616" t="s">
        <v>866</v>
      </c>
      <c r="H1604" s="574" t="s">
        <v>447</v>
      </c>
      <c r="I1604" s="523">
        <v>100</v>
      </c>
      <c r="J1604" s="523">
        <v>14126.7</v>
      </c>
      <c r="K1604" s="575">
        <f t="shared" si="158"/>
        <v>1412670</v>
      </c>
      <c r="L1604" s="525" t="s">
        <v>292</v>
      </c>
      <c r="M1604" s="525" t="s">
        <v>8</v>
      </c>
      <c r="N1604" s="525" t="str">
        <f>IF(AND('331-CT'!$E$7=TH!H1604,OR(L1604="331",M1604="331")),"331",IF(AND(OR(L1604="131",M1604="131"),H1604='131-CT'!$E$7),"131",""))</f>
        <v/>
      </c>
      <c r="O1604" s="525" t="str">
        <f>IF(AND($B1604&gt;='111'!$N$11,$B1604&lt;='111'!$O$11,OR($L1604=$O$7,$M1604=$O$7)),"x","")</f>
        <v/>
      </c>
      <c r="P1604" s="525" t="str">
        <f>IF(AND($L1604=$O$7,$B1604&lt;'111'!$N$11),"x","")</f>
        <v/>
      </c>
      <c r="Q1604" s="525" t="str">
        <f>IF(AND($M1604=$O$7,$B1604&lt;'111'!$N$11),"x","")</f>
        <v/>
      </c>
      <c r="R1604" s="525" t="str">
        <f>IF(ISERROR(FIND('112'!$M$9,G1604,1)),"",IF((AND(FIND('112'!$M$9,G1604,1)&gt;=1,$B1604&gt;='112'!$N$8,$B1604&lt;='112'!$O$8,OR($L1604='112'!$I$6,$M1604='112'!$I$6))),"x",""))</f>
        <v/>
      </c>
      <c r="S1604" s="525" t="str">
        <f>IF(ISERROR(FIND('112'!$M$9,G1604,1)),"",IF((AND(LEFT(G1604,2)=LEFT('112'!$M$9,2),B1604&lt;'112'!$N$8,$L1604='112'!$I$6)),"x",""))</f>
        <v/>
      </c>
      <c r="T1604" s="525" t="str">
        <f>IF(ISERROR(FIND('112'!$M$9,G1604,1)),"",IF((AND(RIGHT(G1604,2)=RIGHT('112'!$M$9,2),B1604&lt;'112'!$N$8,$M1604='112'!$I$6)),"x",""))</f>
        <v/>
      </c>
      <c r="U1604" s="525" t="str">
        <f>IF(AND(B1604&gt;='IN-NX'!$P$3,B1604&lt;='IN-NX'!$Q$3,'IN-NX'!$D$7=D1604,OR(LEFT(L1604,2)="15",AND(LEFT(M1604,2)&lt;&gt;"15",LEFT(M1604,2)&lt;&gt;"33"))),"x","")</f>
        <v/>
      </c>
      <c r="V1604" s="525" t="str">
        <f>IF(AND(OR(LEFT(TH!L1604,2)="15",LEFT(TH!M1604,2)="15"),'152-CT'!$J$8=TH!F1604),"x","")</f>
        <v/>
      </c>
      <c r="W1604" s="525" t="str">
        <f>IF(AND(OR(LEFT(TH!L1604,2)="15",LEFT(TH!M1604,2)="15"),TK!$E$7=TH!F1604),"x","")</f>
        <v/>
      </c>
      <c r="X1604" s="525" t="str">
        <f>IF(AND('341-CT'!$E$9=H1604,OR(LEFT(L1604,3)=$X$7,LEFT(M1604,3)=$X$7)),"x","")</f>
        <v/>
      </c>
      <c r="Y1604" s="525" t="str">
        <f>IF(OR(TH!L1604=TH!$Y$7,M1604=TH!$Y$7),"x","")</f>
        <v/>
      </c>
      <c r="Z1604" s="525" t="str">
        <f>IF(AND(B1604&lt;=NKC!$N$8,B1604&gt;=NKC!$M$8),"x","")</f>
        <v>x</v>
      </c>
      <c r="AA1604" s="535">
        <v>1</v>
      </c>
      <c r="AC1604" s="503"/>
    </row>
    <row r="1605" spans="1:31" s="576" customFormat="1" ht="15.75" customHeight="1">
      <c r="A1605" s="517" t="str">
        <f>IF(B1605&lt;&gt;"",IF(AND(B1605&gt;=_TM1,B1605&lt;=_TM2,OR(TH!L1605="1111",TH!M1605="1111")),TH!D1605,""),"")</f>
        <v/>
      </c>
      <c r="B1605" s="518">
        <f t="shared" si="155"/>
        <v>3</v>
      </c>
      <c r="C1605" s="571">
        <f t="shared" si="156"/>
        <v>42824</v>
      </c>
      <c r="D1605" s="537" t="s">
        <v>994</v>
      </c>
      <c r="E1605" s="615">
        <v>42824</v>
      </c>
      <c r="F1605" s="609" t="s">
        <v>778</v>
      </c>
      <c r="G1605" s="616" t="s">
        <v>866</v>
      </c>
      <c r="H1605" s="574" t="s">
        <v>447</v>
      </c>
      <c r="I1605" s="523">
        <v>100</v>
      </c>
      <c r="J1605" s="523">
        <v>8507.3799999999992</v>
      </c>
      <c r="K1605" s="575">
        <f t="shared" si="158"/>
        <v>850738</v>
      </c>
      <c r="L1605" s="525" t="s">
        <v>292</v>
      </c>
      <c r="M1605" s="525" t="s">
        <v>8</v>
      </c>
      <c r="N1605" s="525" t="str">
        <f>IF(AND('331-CT'!$E$7=TH!H1605,OR(L1605="331",M1605="331")),"331",IF(AND(OR(L1605="131",M1605="131"),H1605='131-CT'!$E$7),"131",""))</f>
        <v/>
      </c>
      <c r="O1605" s="525" t="str">
        <f>IF(AND($B1605&gt;='111'!$N$11,$B1605&lt;='111'!$O$11,OR($L1605=$O$7,$M1605=$O$7)),"x","")</f>
        <v/>
      </c>
      <c r="P1605" s="525" t="str">
        <f>IF(AND($L1605=$O$7,$B1605&lt;'111'!$N$11),"x","")</f>
        <v/>
      </c>
      <c r="Q1605" s="525" t="str">
        <f>IF(AND($M1605=$O$7,$B1605&lt;'111'!$N$11),"x","")</f>
        <v/>
      </c>
      <c r="R1605" s="525" t="str">
        <f>IF(ISERROR(FIND('112'!$M$9,G1605,1)),"",IF((AND(FIND('112'!$M$9,G1605,1)&gt;=1,$B1605&gt;='112'!$N$8,$B1605&lt;='112'!$O$8,OR($L1605='112'!$I$6,$M1605='112'!$I$6))),"x",""))</f>
        <v/>
      </c>
      <c r="S1605" s="525" t="str">
        <f>IF(ISERROR(FIND('112'!$M$9,G1605,1)),"",IF((AND(LEFT(G1605,2)=LEFT('112'!$M$9,2),B1605&lt;'112'!$N$8,$L1605='112'!$I$6)),"x",""))</f>
        <v/>
      </c>
      <c r="T1605" s="525" t="str">
        <f>IF(ISERROR(FIND('112'!$M$9,G1605,1)),"",IF((AND(RIGHT(G1605,2)=RIGHT('112'!$M$9,2),B1605&lt;'112'!$N$8,$M1605='112'!$I$6)),"x",""))</f>
        <v/>
      </c>
      <c r="U1605" s="525" t="str">
        <f>IF(AND(B1605&gt;='IN-NX'!$P$3,B1605&lt;='IN-NX'!$Q$3,'IN-NX'!$D$7=D1605,OR(LEFT(L1605,2)="15",AND(LEFT(M1605,2)&lt;&gt;"15",LEFT(M1605,2)&lt;&gt;"33"))),"x","")</f>
        <v/>
      </c>
      <c r="V1605" s="525" t="str">
        <f>IF(AND(OR(LEFT(TH!L1605,2)="15",LEFT(TH!M1605,2)="15"),'152-CT'!$J$8=TH!F1605),"x","")</f>
        <v/>
      </c>
      <c r="W1605" s="525" t="str">
        <f>IF(AND(OR(LEFT(TH!L1605,2)="15",LEFT(TH!M1605,2)="15"),TK!$E$7=TH!F1605),"x","")</f>
        <v/>
      </c>
      <c r="X1605" s="525" t="str">
        <f>IF(AND('341-CT'!$E$9=H1605,OR(LEFT(L1605,3)=$X$7,LEFT(M1605,3)=$X$7)),"x","")</f>
        <v/>
      </c>
      <c r="Y1605" s="525" t="str">
        <f>IF(OR(TH!L1605=TH!$Y$7,M1605=TH!$Y$7),"x","")</f>
        <v/>
      </c>
      <c r="Z1605" s="525" t="str">
        <f>IF(AND(B1605&lt;=NKC!$N$8,B1605&gt;=NKC!$M$8),"x","")</f>
        <v>x</v>
      </c>
      <c r="AA1605" s="535">
        <v>1</v>
      </c>
      <c r="AC1605" s="503"/>
    </row>
    <row r="1606" spans="1:31" s="576" customFormat="1" ht="15.75" customHeight="1">
      <c r="A1606" s="517" t="str">
        <f>IF(B1606&lt;&gt;"",IF(AND(B1606&gt;=_TM1,B1606&lt;=_TM2,OR(TH!L1606="1111",TH!M1606="1111")),TH!D1606,""),"")</f>
        <v/>
      </c>
      <c r="B1606" s="518">
        <f t="shared" si="155"/>
        <v>3</v>
      </c>
      <c r="C1606" s="571">
        <f t="shared" si="156"/>
        <v>42824</v>
      </c>
      <c r="D1606" s="537" t="s">
        <v>994</v>
      </c>
      <c r="E1606" s="615">
        <v>42824</v>
      </c>
      <c r="F1606" s="572" t="s">
        <v>779</v>
      </c>
      <c r="G1606" s="616" t="s">
        <v>866</v>
      </c>
      <c r="H1606" s="574" t="s">
        <v>447</v>
      </c>
      <c r="I1606" s="523">
        <v>200</v>
      </c>
      <c r="J1606" s="523">
        <v>3343.76</v>
      </c>
      <c r="K1606" s="575">
        <f t="shared" si="158"/>
        <v>668752</v>
      </c>
      <c r="L1606" s="525" t="s">
        <v>292</v>
      </c>
      <c r="M1606" s="525" t="s">
        <v>8</v>
      </c>
      <c r="N1606" s="525" t="str">
        <f>IF(AND('331-CT'!$E$7=TH!H1606,OR(L1606="331",M1606="331")),"331",IF(AND(OR(L1606="131",M1606="131"),H1606='131-CT'!$E$7),"131",""))</f>
        <v/>
      </c>
      <c r="O1606" s="525" t="str">
        <f>IF(AND($B1606&gt;='111'!$N$11,$B1606&lt;='111'!$O$11,OR($L1606=$O$7,$M1606=$O$7)),"x","")</f>
        <v/>
      </c>
      <c r="P1606" s="525" t="str">
        <f>IF(AND($L1606=$O$7,$B1606&lt;'111'!$N$11),"x","")</f>
        <v/>
      </c>
      <c r="Q1606" s="525" t="str">
        <f>IF(AND($M1606=$O$7,$B1606&lt;'111'!$N$11),"x","")</f>
        <v/>
      </c>
      <c r="R1606" s="525" t="str">
        <f>IF(ISERROR(FIND('112'!$M$9,G1606,1)),"",IF((AND(FIND('112'!$M$9,G1606,1)&gt;=1,$B1606&gt;='112'!$N$8,$B1606&lt;='112'!$O$8,OR($L1606='112'!$I$6,$M1606='112'!$I$6))),"x",""))</f>
        <v/>
      </c>
      <c r="S1606" s="525" t="str">
        <f>IF(ISERROR(FIND('112'!$M$9,G1606,1)),"",IF((AND(LEFT(G1606,2)=LEFT('112'!$M$9,2),B1606&lt;'112'!$N$8,$L1606='112'!$I$6)),"x",""))</f>
        <v/>
      </c>
      <c r="T1606" s="525" t="str">
        <f>IF(ISERROR(FIND('112'!$M$9,G1606,1)),"",IF((AND(RIGHT(G1606,2)=RIGHT('112'!$M$9,2),B1606&lt;'112'!$N$8,$M1606='112'!$I$6)),"x",""))</f>
        <v/>
      </c>
      <c r="U1606" s="525" t="str">
        <f>IF(AND(B1606&gt;='IN-NX'!$P$3,B1606&lt;='IN-NX'!$Q$3,'IN-NX'!$D$7=D1606,OR(LEFT(L1606,2)="15",AND(LEFT(M1606,2)&lt;&gt;"15",LEFT(M1606,2)&lt;&gt;"33"))),"x","")</f>
        <v/>
      </c>
      <c r="V1606" s="525" t="str">
        <f>IF(AND(OR(LEFT(TH!L1606,2)="15",LEFT(TH!M1606,2)="15"),'152-CT'!$J$8=TH!F1606),"x","")</f>
        <v/>
      </c>
      <c r="W1606" s="525" t="str">
        <f>IF(AND(OR(LEFT(TH!L1606,2)="15",LEFT(TH!M1606,2)="15"),TK!$E$7=TH!F1606),"x","")</f>
        <v/>
      </c>
      <c r="X1606" s="525" t="str">
        <f>IF(AND('341-CT'!$E$9=H1606,OR(LEFT(L1606,3)=$X$7,LEFT(M1606,3)=$X$7)),"x","")</f>
        <v/>
      </c>
      <c r="Y1606" s="525" t="str">
        <f>IF(OR(TH!L1606=TH!$Y$7,M1606=TH!$Y$7),"x","")</f>
        <v/>
      </c>
      <c r="Z1606" s="525" t="str">
        <f>IF(AND(B1606&lt;=NKC!$N$8,B1606&gt;=NKC!$M$8),"x","")</f>
        <v>x</v>
      </c>
      <c r="AA1606" s="535">
        <v>1</v>
      </c>
      <c r="AC1606" s="503"/>
    </row>
    <row r="1607" spans="1:31" s="576" customFormat="1" ht="15.75" customHeight="1">
      <c r="A1607" s="517" t="str">
        <f>IF(B1607&lt;&gt;"",IF(AND(B1607&gt;=_TM1,B1607&lt;=_TM2,OR(TH!L1607="1111",TH!M1607="1111")),TH!D1607,""),"")</f>
        <v/>
      </c>
      <c r="B1607" s="518">
        <f t="shared" si="155"/>
        <v>3</v>
      </c>
      <c r="C1607" s="571">
        <f t="shared" si="156"/>
        <v>42824</v>
      </c>
      <c r="D1607" s="537" t="s">
        <v>994</v>
      </c>
      <c r="E1607" s="615">
        <v>42824</v>
      </c>
      <c r="F1607" s="609" t="s">
        <v>780</v>
      </c>
      <c r="G1607" s="616" t="s">
        <v>866</v>
      </c>
      <c r="H1607" s="574" t="s">
        <v>447</v>
      </c>
      <c r="I1607" s="523">
        <v>200</v>
      </c>
      <c r="J1607" s="523">
        <v>1987.44</v>
      </c>
      <c r="K1607" s="575">
        <f t="shared" si="158"/>
        <v>397488</v>
      </c>
      <c r="L1607" s="525" t="s">
        <v>292</v>
      </c>
      <c r="M1607" s="525" t="s">
        <v>8</v>
      </c>
      <c r="N1607" s="525" t="str">
        <f>IF(AND('331-CT'!$E$7=TH!H1607,OR(L1607="331",M1607="331")),"331",IF(AND(OR(L1607="131",M1607="131"),H1607='131-CT'!$E$7),"131",""))</f>
        <v/>
      </c>
      <c r="O1607" s="525" t="str">
        <f>IF(AND($B1607&gt;='111'!$N$11,$B1607&lt;='111'!$O$11,OR($L1607=$O$7,$M1607=$O$7)),"x","")</f>
        <v/>
      </c>
      <c r="P1607" s="525" t="str">
        <f>IF(AND($L1607=$O$7,$B1607&lt;'111'!$N$11),"x","")</f>
        <v/>
      </c>
      <c r="Q1607" s="525" t="str">
        <f>IF(AND($M1607=$O$7,$B1607&lt;'111'!$N$11),"x","")</f>
        <v/>
      </c>
      <c r="R1607" s="525" t="str">
        <f>IF(ISERROR(FIND('112'!$M$9,G1607,1)),"",IF((AND(FIND('112'!$M$9,G1607,1)&gt;=1,$B1607&gt;='112'!$N$8,$B1607&lt;='112'!$O$8,OR($L1607='112'!$I$6,$M1607='112'!$I$6))),"x",""))</f>
        <v/>
      </c>
      <c r="S1607" s="525" t="str">
        <f>IF(ISERROR(FIND('112'!$M$9,G1607,1)),"",IF((AND(LEFT(G1607,2)=LEFT('112'!$M$9,2),B1607&lt;'112'!$N$8,$L1607='112'!$I$6)),"x",""))</f>
        <v/>
      </c>
      <c r="T1607" s="525" t="str">
        <f>IF(ISERROR(FIND('112'!$M$9,G1607,1)),"",IF((AND(RIGHT(G1607,2)=RIGHT('112'!$M$9,2),B1607&lt;'112'!$N$8,$M1607='112'!$I$6)),"x",""))</f>
        <v/>
      </c>
      <c r="U1607" s="525" t="str">
        <f>IF(AND(B1607&gt;='IN-NX'!$P$3,B1607&lt;='IN-NX'!$Q$3,'IN-NX'!$D$7=D1607,OR(LEFT(L1607,2)="15",AND(LEFT(M1607,2)&lt;&gt;"15",LEFT(M1607,2)&lt;&gt;"33"))),"x","")</f>
        <v/>
      </c>
      <c r="V1607" s="525" t="str">
        <f>IF(AND(OR(LEFT(TH!L1607,2)="15",LEFT(TH!M1607,2)="15"),'152-CT'!$J$8=TH!F1607),"x","")</f>
        <v/>
      </c>
      <c r="W1607" s="525" t="str">
        <f>IF(AND(OR(LEFT(TH!L1607,2)="15",LEFT(TH!M1607,2)="15"),TK!$E$7=TH!F1607),"x","")</f>
        <v/>
      </c>
      <c r="X1607" s="525" t="str">
        <f>IF(AND('341-CT'!$E$9=H1607,OR(LEFT(L1607,3)=$X$7,LEFT(M1607,3)=$X$7)),"x","")</f>
        <v/>
      </c>
      <c r="Y1607" s="525" t="str">
        <f>IF(OR(TH!L1607=TH!$Y$7,M1607=TH!$Y$7),"x","")</f>
        <v/>
      </c>
      <c r="Z1607" s="525" t="str">
        <f>IF(AND(B1607&lt;=NKC!$N$8,B1607&gt;=NKC!$M$8),"x","")</f>
        <v>x</v>
      </c>
      <c r="AA1607" s="535">
        <v>1</v>
      </c>
      <c r="AC1607" s="503"/>
    </row>
    <row r="1608" spans="1:31" s="576" customFormat="1" ht="15.75" customHeight="1">
      <c r="A1608" s="517" t="str">
        <f>IF(B1608&lt;&gt;"",IF(AND(B1608&gt;=_TM1,B1608&lt;=_TM2,OR(TH!L1608="1111",TH!M1608="1111")),TH!D1608,""),"")</f>
        <v/>
      </c>
      <c r="B1608" s="518">
        <f t="shared" si="155"/>
        <v>3</v>
      </c>
      <c r="C1608" s="571">
        <f t="shared" si="156"/>
        <v>42824</v>
      </c>
      <c r="D1608" s="537" t="s">
        <v>995</v>
      </c>
      <c r="E1608" s="615">
        <v>42824</v>
      </c>
      <c r="F1608" s="572" t="s">
        <v>782</v>
      </c>
      <c r="G1608" s="616" t="s">
        <v>866</v>
      </c>
      <c r="H1608" s="574" t="s">
        <v>447</v>
      </c>
      <c r="I1608" s="523">
        <v>200</v>
      </c>
      <c r="J1608" s="523">
        <v>6945.26</v>
      </c>
      <c r="K1608" s="575">
        <f t="shared" si="158"/>
        <v>1389052</v>
      </c>
      <c r="L1608" s="525" t="s">
        <v>292</v>
      </c>
      <c r="M1608" s="525" t="s">
        <v>8</v>
      </c>
      <c r="N1608" s="525" t="str">
        <f>IF(AND('331-CT'!$E$7=TH!H1608,OR(L1608="331",M1608="331")),"331",IF(AND(OR(L1608="131",M1608="131"),H1608='131-CT'!$E$7),"131",""))</f>
        <v/>
      </c>
      <c r="O1608" s="525" t="str">
        <f>IF(AND($B1608&gt;='111'!$N$11,$B1608&lt;='111'!$O$11,OR($L1608=$O$7,$M1608=$O$7)),"x","")</f>
        <v/>
      </c>
      <c r="P1608" s="525" t="str">
        <f>IF(AND($L1608=$O$7,$B1608&lt;'111'!$N$11),"x","")</f>
        <v/>
      </c>
      <c r="Q1608" s="525" t="str">
        <f>IF(AND($M1608=$O$7,$B1608&lt;'111'!$N$11),"x","")</f>
        <v/>
      </c>
      <c r="R1608" s="525" t="str">
        <f>IF(ISERROR(FIND('112'!$M$9,G1608,1)),"",IF((AND(FIND('112'!$M$9,G1608,1)&gt;=1,$B1608&gt;='112'!$N$8,$B1608&lt;='112'!$O$8,OR($L1608='112'!$I$6,$M1608='112'!$I$6))),"x",""))</f>
        <v/>
      </c>
      <c r="S1608" s="525" t="str">
        <f>IF(ISERROR(FIND('112'!$M$9,G1608,1)),"",IF((AND(LEFT(G1608,2)=LEFT('112'!$M$9,2),B1608&lt;'112'!$N$8,$L1608='112'!$I$6)),"x",""))</f>
        <v/>
      </c>
      <c r="T1608" s="525" t="str">
        <f>IF(ISERROR(FIND('112'!$M$9,G1608,1)),"",IF((AND(RIGHT(G1608,2)=RIGHT('112'!$M$9,2),B1608&lt;'112'!$N$8,$M1608='112'!$I$6)),"x",""))</f>
        <v/>
      </c>
      <c r="U1608" s="525" t="str">
        <f>IF(AND(B1608&gt;='IN-NX'!$P$3,B1608&lt;='IN-NX'!$Q$3,'IN-NX'!$D$7=D1608,OR(LEFT(L1608,2)="15",AND(LEFT(M1608,2)&lt;&gt;"15",LEFT(M1608,2)&lt;&gt;"33"))),"x","")</f>
        <v/>
      </c>
      <c r="V1608" s="525" t="str">
        <f>IF(AND(OR(LEFT(TH!L1608,2)="15",LEFT(TH!M1608,2)="15"),'152-CT'!$J$8=TH!F1608),"x","")</f>
        <v/>
      </c>
      <c r="W1608" s="525" t="str">
        <f>IF(AND(OR(LEFT(TH!L1608,2)="15",LEFT(TH!M1608,2)="15"),TK!$E$7=TH!F1608),"x","")</f>
        <v/>
      </c>
      <c r="X1608" s="525" t="str">
        <f>IF(AND('341-CT'!$E$9=H1608,OR(LEFT(L1608,3)=$X$7,LEFT(M1608,3)=$X$7)),"x","")</f>
        <v/>
      </c>
      <c r="Y1608" s="525" t="str">
        <f>IF(OR(TH!L1608=TH!$Y$7,M1608=TH!$Y$7),"x","")</f>
        <v/>
      </c>
      <c r="Z1608" s="525" t="str">
        <f>IF(AND(B1608&lt;=NKC!$N$8,B1608&gt;=NKC!$M$8),"x","")</f>
        <v>x</v>
      </c>
      <c r="AA1608" s="535">
        <v>1</v>
      </c>
      <c r="AC1608" s="503"/>
    </row>
    <row r="1609" spans="1:31" s="576" customFormat="1" ht="15.75" customHeight="1">
      <c r="A1609" s="517" t="str">
        <f>IF(B1609&lt;&gt;"",IF(AND(B1609&gt;=_TM1,B1609&lt;=_TM2,OR(TH!L1609="1111",TH!M1609="1111")),TH!D1609,""),"")</f>
        <v/>
      </c>
      <c r="B1609" s="518">
        <f t="shared" si="155"/>
        <v>3</v>
      </c>
      <c r="C1609" s="571">
        <f t="shared" si="156"/>
        <v>42824</v>
      </c>
      <c r="D1609" s="537" t="s">
        <v>995</v>
      </c>
      <c r="E1609" s="615">
        <v>42824</v>
      </c>
      <c r="F1609" s="572" t="s">
        <v>380</v>
      </c>
      <c r="G1609" s="616" t="s">
        <v>866</v>
      </c>
      <c r="H1609" s="574" t="s">
        <v>447</v>
      </c>
      <c r="I1609" s="523">
        <v>29800</v>
      </c>
      <c r="J1609" s="523">
        <v>8300</v>
      </c>
      <c r="K1609" s="575">
        <f t="shared" si="158"/>
        <v>247340000</v>
      </c>
      <c r="L1609" s="525" t="s">
        <v>292</v>
      </c>
      <c r="M1609" s="525" t="s">
        <v>8</v>
      </c>
      <c r="N1609" s="525" t="str">
        <f>IF(AND('331-CT'!$E$7=TH!H1609,OR(L1609="331",M1609="331")),"331",IF(AND(OR(L1609="131",M1609="131"),H1609='131-CT'!$E$7),"131",""))</f>
        <v/>
      </c>
      <c r="O1609" s="525" t="str">
        <f>IF(AND($B1609&gt;='111'!$N$11,$B1609&lt;='111'!$O$11,OR($L1609=$O$7,$M1609=$O$7)),"x","")</f>
        <v/>
      </c>
      <c r="P1609" s="525" t="str">
        <f>IF(AND($L1609=$O$7,$B1609&lt;'111'!$N$11),"x","")</f>
        <v/>
      </c>
      <c r="Q1609" s="525" t="str">
        <f>IF(AND($M1609=$O$7,$B1609&lt;'111'!$N$11),"x","")</f>
        <v/>
      </c>
      <c r="R1609" s="525" t="str">
        <f>IF(ISERROR(FIND('112'!$M$9,G1609,1)),"",IF((AND(FIND('112'!$M$9,G1609,1)&gt;=1,$B1609&gt;='112'!$N$8,$B1609&lt;='112'!$O$8,OR($L1609='112'!$I$6,$M1609='112'!$I$6))),"x",""))</f>
        <v/>
      </c>
      <c r="S1609" s="525" t="str">
        <f>IF(ISERROR(FIND('112'!$M$9,G1609,1)),"",IF((AND(LEFT(G1609,2)=LEFT('112'!$M$9,2),B1609&lt;'112'!$N$8,$L1609='112'!$I$6)),"x",""))</f>
        <v/>
      </c>
      <c r="T1609" s="525" t="str">
        <f>IF(ISERROR(FIND('112'!$M$9,G1609,1)),"",IF((AND(RIGHT(G1609,2)=RIGHT('112'!$M$9,2),B1609&lt;'112'!$N$8,$M1609='112'!$I$6)),"x",""))</f>
        <v/>
      </c>
      <c r="U1609" s="525" t="str">
        <f>IF(AND(B1609&gt;='IN-NX'!$P$3,B1609&lt;='IN-NX'!$Q$3,'IN-NX'!$D$7=D1609,OR(LEFT(L1609,2)="15",AND(LEFT(M1609,2)&lt;&gt;"15",LEFT(M1609,2)&lt;&gt;"33"))),"x","")</f>
        <v/>
      </c>
      <c r="V1609" s="525" t="str">
        <f>IF(AND(OR(LEFT(TH!L1609,2)="15",LEFT(TH!M1609,2)="15"),'152-CT'!$J$8=TH!F1609),"x","")</f>
        <v/>
      </c>
      <c r="W1609" s="525" t="str">
        <f>IF(AND(OR(LEFT(TH!L1609,2)="15",LEFT(TH!M1609,2)="15"),TK!$E$7=TH!F1609),"x","")</f>
        <v/>
      </c>
      <c r="X1609" s="525" t="str">
        <f>IF(AND('341-CT'!$E$9=H1609,OR(LEFT(L1609,3)=$X$7,LEFT(M1609,3)=$X$7)),"x","")</f>
        <v/>
      </c>
      <c r="Y1609" s="525" t="str">
        <f>IF(OR(TH!L1609=TH!$Y$7,M1609=TH!$Y$7),"x","")</f>
        <v/>
      </c>
      <c r="Z1609" s="525" t="str">
        <f>IF(AND(B1609&lt;=NKC!$N$8,B1609&gt;=NKC!$M$8),"x","")</f>
        <v>x</v>
      </c>
      <c r="AA1609" s="535">
        <v>1</v>
      </c>
      <c r="AC1609" s="503"/>
    </row>
    <row r="1610" spans="1:31" s="576" customFormat="1" ht="15.75" customHeight="1">
      <c r="A1610" s="517" t="str">
        <f>IF(B1610&lt;&gt;"",IF(AND(B1610&gt;=_TM1,B1610&lt;=_TM2,OR(TH!L1610="1111",TH!M1610="1111")),TH!D1610,""),"")</f>
        <v/>
      </c>
      <c r="B1610" s="518">
        <f t="shared" si="155"/>
        <v>3</v>
      </c>
      <c r="C1610" s="571">
        <f t="shared" si="156"/>
        <v>42824</v>
      </c>
      <c r="D1610" s="537" t="s">
        <v>995</v>
      </c>
      <c r="E1610" s="615">
        <v>42824</v>
      </c>
      <c r="F1610" s="572" t="s">
        <v>494</v>
      </c>
      <c r="G1610" s="616" t="s">
        <v>866</v>
      </c>
      <c r="H1610" s="574" t="s">
        <v>447</v>
      </c>
      <c r="I1610" s="523"/>
      <c r="J1610" s="523"/>
      <c r="K1610" s="575">
        <v>33475988</v>
      </c>
      <c r="L1610" s="525" t="s">
        <v>9</v>
      </c>
      <c r="M1610" s="525" t="s">
        <v>8</v>
      </c>
      <c r="N1610" s="525" t="str">
        <f>IF(AND('331-CT'!$E$7=TH!H1610,OR(L1610="331",M1610="331")),"331",IF(AND(OR(L1610="131",M1610="131"),H1610='131-CT'!$E$7),"131",""))</f>
        <v/>
      </c>
      <c r="O1610" s="525" t="str">
        <f>IF(AND($B1610&gt;='111'!$N$11,$B1610&lt;='111'!$O$11,OR($L1610=$O$7,$M1610=$O$7)),"x","")</f>
        <v/>
      </c>
      <c r="P1610" s="525" t="str">
        <f>IF(AND($L1610=$O$7,$B1610&lt;'111'!$N$11),"x","")</f>
        <v/>
      </c>
      <c r="Q1610" s="525" t="str">
        <f>IF(AND($M1610=$O$7,$B1610&lt;'111'!$N$11),"x","")</f>
        <v/>
      </c>
      <c r="R1610" s="525" t="str">
        <f>IF(ISERROR(FIND('112'!$M$9,G1610,1)),"",IF((AND(FIND('112'!$M$9,G1610,1)&gt;=1,$B1610&gt;='112'!$N$8,$B1610&lt;='112'!$O$8,OR($L1610='112'!$I$6,$M1610='112'!$I$6))),"x",""))</f>
        <v/>
      </c>
      <c r="S1610" s="525" t="str">
        <f>IF(ISERROR(FIND('112'!$M$9,G1610,1)),"",IF((AND(LEFT(G1610,2)=LEFT('112'!$M$9,2),B1610&lt;'112'!$N$8,$L1610='112'!$I$6)),"x",""))</f>
        <v/>
      </c>
      <c r="T1610" s="525" t="str">
        <f>IF(ISERROR(FIND('112'!$M$9,G1610,1)),"",IF((AND(RIGHT(G1610,2)=RIGHT('112'!$M$9,2),B1610&lt;'112'!$N$8,$M1610='112'!$I$6)),"x",""))</f>
        <v/>
      </c>
      <c r="U1610" s="525" t="str">
        <f>IF(AND(B1610&gt;='IN-NX'!$P$3,B1610&lt;='IN-NX'!$Q$3,'IN-NX'!$D$7=D1610,OR(LEFT(L1610,2)="15",AND(LEFT(M1610,2)&lt;&gt;"15",LEFT(M1610,2)&lt;&gt;"33"))),"x","")</f>
        <v/>
      </c>
      <c r="V1610" s="525" t="str">
        <f>IF(AND(OR(LEFT(TH!L1610,2)="15",LEFT(TH!M1610,2)="15"),'152-CT'!$J$8=TH!F1610),"x","")</f>
        <v/>
      </c>
      <c r="W1610" s="525" t="str">
        <f>IF(AND(OR(LEFT(TH!L1610,2)="15",LEFT(TH!M1610,2)="15"),TK!$E$7=TH!F1610),"x","")</f>
        <v/>
      </c>
      <c r="X1610" s="525" t="str">
        <f>IF(AND('341-CT'!$E$9=H1610,OR(LEFT(L1610,3)=$X$7,LEFT(M1610,3)=$X$7)),"x","")</f>
        <v/>
      </c>
      <c r="Y1610" s="525" t="str">
        <f>IF(OR(TH!L1610=TH!$Y$7,M1610=TH!$Y$7),"x","")</f>
        <v/>
      </c>
      <c r="Z1610" s="525" t="str">
        <f>IF(AND(B1610&lt;=NKC!$N$8,B1610&gt;=NKC!$M$8),"x","")</f>
        <v>x</v>
      </c>
      <c r="AA1610" s="535">
        <v>1</v>
      </c>
    </row>
    <row r="1611" spans="1:31" s="570" customFormat="1" ht="15.75" customHeight="1">
      <c r="A1611" s="517" t="str">
        <f>IF(B1611&lt;&gt;"",IF(AND(B1611&gt;=_TM1,B1611&lt;=_TM2,OR(TH!L1611="1111",TH!M1611="1111")),TH!D1611,""),"")</f>
        <v/>
      </c>
      <c r="B1611" s="562">
        <f t="shared" ref="B1611:B1631" si="159">IF(C1611&lt;&gt;"",MONTH(C1611),"")</f>
        <v>1</v>
      </c>
      <c r="C1611" s="563">
        <f t="shared" ref="C1611:C1670" si="160">E1611</f>
        <v>42741</v>
      </c>
      <c r="D1611" s="585" t="s">
        <v>996</v>
      </c>
      <c r="E1611" s="586">
        <v>42741</v>
      </c>
      <c r="F1611" s="564" t="s">
        <v>497</v>
      </c>
      <c r="G1611" s="587" t="s">
        <v>480</v>
      </c>
      <c r="H1611" s="566" t="s">
        <v>800</v>
      </c>
      <c r="I1611" s="567">
        <v>25</v>
      </c>
      <c r="J1611" s="567">
        <v>32126</v>
      </c>
      <c r="K1611" s="568">
        <f>ROUND(I1611*J1611,0)</f>
        <v>803150</v>
      </c>
      <c r="L1611" s="588" t="s">
        <v>160</v>
      </c>
      <c r="M1611" s="588" t="s">
        <v>292</v>
      </c>
      <c r="N1611" s="525" t="str">
        <f>IF(AND('331-CT'!$E$7=TH!H1611,OR(L1611="331",M1611="331")),"331",IF(AND(OR(L1611="131",M1611="131"),H1611='131-CT'!$E$7),"131",""))</f>
        <v/>
      </c>
      <c r="O1611" s="525" t="str">
        <f>IF(AND($B1611&gt;='111'!$N$11,$B1611&lt;='111'!$O$11,OR($L1611=$O$7,$M1611=$O$7)),"x","")</f>
        <v/>
      </c>
      <c r="P1611" s="525" t="str">
        <f>IF(AND($L1611=$O$7,$B1611&lt;'111'!$N$11),"x","")</f>
        <v/>
      </c>
      <c r="Q1611" s="525" t="str">
        <f>IF(AND($M1611=$O$7,$B1611&lt;'111'!$N$11),"x","")</f>
        <v/>
      </c>
      <c r="R1611" s="525" t="str">
        <f>IF(ISERROR(FIND('112'!$M$9,G1611,1)),"",IF((AND(FIND('112'!$M$9,G1611,1)&gt;=1,$B1611&gt;='112'!$N$8,$B1611&lt;='112'!$O$8,OR($L1611='112'!$I$6,$M1611='112'!$I$6))),"x",""))</f>
        <v/>
      </c>
      <c r="S1611" s="525" t="str">
        <f>IF(ISERROR(FIND('112'!$M$9,G1611,1)),"",IF((AND(LEFT(G1611,2)=LEFT('112'!$M$9,2),B1611&lt;'112'!$N$8,$L1611='112'!$I$6)),"x",""))</f>
        <v/>
      </c>
      <c r="T1611" s="525" t="str">
        <f>IF(ISERROR(FIND('112'!$M$9,G1611,1)),"",IF((AND(RIGHT(G1611,2)=RIGHT('112'!$M$9,2),B1611&lt;'112'!$N$8,$M1611='112'!$I$6)),"x",""))</f>
        <v/>
      </c>
      <c r="U1611" s="525" t="str">
        <f>IF(AND(B1611&gt;='IN-NX'!$P$3,B1611&lt;='IN-NX'!$Q$3,'IN-NX'!$D$7=D1611,OR(LEFT(L1611,2)="15",AND(LEFT(M1611,2)&lt;&gt;"15",LEFT(M1611,2)&lt;&gt;"33"))),"x","")</f>
        <v/>
      </c>
      <c r="V1611" s="525" t="str">
        <f>IF(AND(OR(LEFT(TH!L1611,2)="15",LEFT(TH!M1611,2)="15"),'152-CT'!$J$8=TH!F1611),"x","")</f>
        <v/>
      </c>
      <c r="W1611" s="525" t="str">
        <f>IF(AND(OR(LEFT(TH!L1611,2)="15",LEFT(TH!M1611,2)="15"),TK!$E$7=TH!F1611),"x","")</f>
        <v/>
      </c>
      <c r="X1611" s="525" t="str">
        <f>IF(AND('341-CT'!$E$9=H1611,OR(LEFT(L1611,3)=$X$7,LEFT(M1611,3)=$X$7)),"x","")</f>
        <v/>
      </c>
      <c r="Y1611" s="525" t="str">
        <f>IF(OR(TH!L1611=TH!$Y$7,M1611=TH!$Y$7),"x","")</f>
        <v/>
      </c>
      <c r="Z1611" s="525" t="str">
        <f>IF(AND(B1611&lt;=NKC!$N$8,B1611&gt;=NKC!$M$8),"x","")</f>
        <v>x</v>
      </c>
      <c r="AA1611" s="569"/>
      <c r="AB1611" s="589"/>
    </row>
    <row r="1612" spans="1:31" s="503" customFormat="1" ht="15.75" customHeight="1">
      <c r="A1612" s="517" t="str">
        <f>IF(B1612&lt;&gt;"",IF(AND(B1612&gt;=_TM1,B1612&lt;=_TM2,OR(TH!L1612="1111",TH!M1612="1111")),TH!D1612,""),"")</f>
        <v/>
      </c>
      <c r="B1612" s="531">
        <f t="shared" si="159"/>
        <v>1</v>
      </c>
      <c r="C1612" s="315">
        <f t="shared" si="160"/>
        <v>42741</v>
      </c>
      <c r="D1612" s="537" t="s">
        <v>996</v>
      </c>
      <c r="E1612" s="547">
        <v>42741</v>
      </c>
      <c r="F1612" s="249" t="s">
        <v>498</v>
      </c>
      <c r="G1612" s="538" t="s">
        <v>480</v>
      </c>
      <c r="H1612" s="473" t="s">
        <v>800</v>
      </c>
      <c r="I1612" s="307">
        <v>100</v>
      </c>
      <c r="J1612" s="307">
        <v>8197</v>
      </c>
      <c r="K1612" s="532">
        <f>ROUND(I1612*J1612,0)</f>
        <v>819700</v>
      </c>
      <c r="L1612" s="539" t="s">
        <v>160</v>
      </c>
      <c r="M1612" s="539" t="s">
        <v>292</v>
      </c>
      <c r="N1612" s="525" t="str">
        <f>IF(AND('331-CT'!$E$7=TH!H1612,OR(L1612="331",M1612="331")),"331",IF(AND(OR(L1612="131",M1612="131"),H1612='131-CT'!$E$7),"131",""))</f>
        <v/>
      </c>
      <c r="O1612" s="525" t="str">
        <f>IF(AND($B1612&gt;='111'!$N$11,$B1612&lt;='111'!$O$11,OR($L1612=$O$7,$M1612=$O$7)),"x","")</f>
        <v/>
      </c>
      <c r="P1612" s="525" t="str">
        <f>IF(AND($L1612=$O$7,$B1612&lt;'111'!$N$11),"x","")</f>
        <v/>
      </c>
      <c r="Q1612" s="525" t="str">
        <f>IF(AND($M1612=$O$7,$B1612&lt;'111'!$N$11),"x","")</f>
        <v/>
      </c>
      <c r="R1612" s="525" t="str">
        <f>IF(ISERROR(FIND('112'!$M$9,G1612,1)),"",IF((AND(FIND('112'!$M$9,G1612,1)&gt;=1,$B1612&gt;='112'!$N$8,$B1612&lt;='112'!$O$8,OR($L1612='112'!$I$6,$M1612='112'!$I$6))),"x",""))</f>
        <v/>
      </c>
      <c r="S1612" s="525" t="str">
        <f>IF(ISERROR(FIND('112'!$M$9,G1612,1)),"",IF((AND(LEFT(G1612,2)=LEFT('112'!$M$9,2),B1612&lt;'112'!$N$8,$L1612='112'!$I$6)),"x",""))</f>
        <v/>
      </c>
      <c r="T1612" s="525" t="str">
        <f>IF(ISERROR(FIND('112'!$M$9,G1612,1)),"",IF((AND(RIGHT(G1612,2)=RIGHT('112'!$M$9,2),B1612&lt;'112'!$N$8,$M1612='112'!$I$6)),"x",""))</f>
        <v/>
      </c>
      <c r="U1612" s="525" t="str">
        <f>IF(AND(B1612&gt;='IN-NX'!$P$3,B1612&lt;='IN-NX'!$Q$3,'IN-NX'!$D$7=D1612,OR(LEFT(L1612,2)="15",AND(LEFT(M1612,2)&lt;&gt;"15",LEFT(M1612,2)&lt;&gt;"33"))),"x","")</f>
        <v/>
      </c>
      <c r="V1612" s="525" t="str">
        <f>IF(AND(OR(LEFT(TH!L1612,2)="15",LEFT(TH!M1612,2)="15"),'152-CT'!$J$8=TH!F1612),"x","")</f>
        <v/>
      </c>
      <c r="W1612" s="525" t="str">
        <f>IF(AND(OR(LEFT(TH!L1612,2)="15",LEFT(TH!M1612,2)="15"),TK!$E$7=TH!F1612),"x","")</f>
        <v/>
      </c>
      <c r="X1612" s="525" t="str">
        <f>IF(AND('341-CT'!$E$9=H1612,OR(LEFT(L1612,3)=$X$7,LEFT(M1612,3)=$X$7)),"x","")</f>
        <v/>
      </c>
      <c r="Y1612" s="525" t="str">
        <f>IF(OR(TH!L1612=TH!$Y$7,M1612=TH!$Y$7),"x","")</f>
        <v/>
      </c>
      <c r="Z1612" s="525" t="str">
        <f>IF(AND(B1612&lt;=NKC!$N$8,B1612&gt;=NKC!$M$8),"x","")</f>
        <v>x</v>
      </c>
      <c r="AA1612" s="535"/>
    </row>
    <row r="1613" spans="1:31" s="503" customFormat="1" ht="15.75" customHeight="1">
      <c r="A1613" s="517" t="str">
        <f>IF(B1613&lt;&gt;"",IF(AND(B1613&gt;=_TM1,B1613&lt;=_TM2,OR(TH!L1613="1111",TH!M1613="1111")),TH!D1613,""),"")</f>
        <v/>
      </c>
      <c r="B1613" s="531">
        <f t="shared" si="159"/>
        <v>1</v>
      </c>
      <c r="C1613" s="315">
        <f t="shared" si="160"/>
        <v>42741</v>
      </c>
      <c r="D1613" s="537" t="s">
        <v>996</v>
      </c>
      <c r="E1613" s="545">
        <v>42741</v>
      </c>
      <c r="F1613" s="249" t="s">
        <v>380</v>
      </c>
      <c r="G1613" s="541" t="s">
        <v>481</v>
      </c>
      <c r="H1613" s="473" t="s">
        <v>800</v>
      </c>
      <c r="I1613" s="307">
        <v>37000</v>
      </c>
      <c r="J1613" s="307">
        <v>8148</v>
      </c>
      <c r="K1613" s="532">
        <f t="shared" ref="K1613:K1676" si="161">ROUND(I1613*J1613,0)</f>
        <v>301476000</v>
      </c>
      <c r="L1613" s="539" t="s">
        <v>160</v>
      </c>
      <c r="M1613" s="539" t="s">
        <v>292</v>
      </c>
      <c r="N1613" s="525" t="str">
        <f>IF(AND('331-CT'!$E$7=TH!H1613,OR(L1613="331",M1613="331")),"331",IF(AND(OR(L1613="131",M1613="131"),H1613='131-CT'!$E$7),"131",""))</f>
        <v/>
      </c>
      <c r="O1613" s="525" t="str">
        <f>IF(AND($B1613&gt;='111'!$N$11,$B1613&lt;='111'!$O$11,OR($L1613=$O$7,$M1613=$O$7)),"x","")</f>
        <v/>
      </c>
      <c r="P1613" s="525" t="str">
        <f>IF(AND($L1613=$O$7,$B1613&lt;'111'!$N$11),"x","")</f>
        <v/>
      </c>
      <c r="Q1613" s="525" t="str">
        <f>IF(AND($M1613=$O$7,$B1613&lt;'111'!$N$11),"x","")</f>
        <v/>
      </c>
      <c r="R1613" s="525" t="str">
        <f>IF(ISERROR(FIND('112'!$M$9,G1613,1)),"",IF((AND(FIND('112'!$M$9,G1613,1)&gt;=1,$B1613&gt;='112'!$N$8,$B1613&lt;='112'!$O$8,OR($L1613='112'!$I$6,$M1613='112'!$I$6))),"x",""))</f>
        <v/>
      </c>
      <c r="S1613" s="525" t="str">
        <f>IF(ISERROR(FIND('112'!$M$9,G1613,1)),"",IF((AND(LEFT(G1613,2)=LEFT('112'!$M$9,2),B1613&lt;'112'!$N$8,$L1613='112'!$I$6)),"x",""))</f>
        <v/>
      </c>
      <c r="T1613" s="525" t="str">
        <f>IF(ISERROR(FIND('112'!$M$9,G1613,1)),"",IF((AND(RIGHT(G1613,2)=RIGHT('112'!$M$9,2),B1613&lt;'112'!$N$8,$M1613='112'!$I$6)),"x",""))</f>
        <v/>
      </c>
      <c r="U1613" s="525" t="str">
        <f>IF(AND(B1613&gt;='IN-NX'!$P$3,B1613&lt;='IN-NX'!$Q$3,'IN-NX'!$D$7=D1613,OR(LEFT(L1613,2)="15",AND(LEFT(M1613,2)&lt;&gt;"15",LEFT(M1613,2)&lt;&gt;"33"))),"x","")</f>
        <v/>
      </c>
      <c r="V1613" s="525" t="str">
        <f>IF(AND(OR(LEFT(TH!L1613,2)="15",LEFT(TH!M1613,2)="15"),'152-CT'!$J$8=TH!F1613),"x","")</f>
        <v/>
      </c>
      <c r="W1613" s="525" t="str">
        <f>IF(AND(OR(LEFT(TH!L1613,2)="15",LEFT(TH!M1613,2)="15"),TK!$E$7=TH!F1613),"x","")</f>
        <v/>
      </c>
      <c r="X1613" s="525" t="str">
        <f>IF(AND('341-CT'!$E$9=H1613,OR(LEFT(L1613,3)=$X$7,LEFT(M1613,3)=$X$7)),"x","")</f>
        <v/>
      </c>
      <c r="Y1613" s="525" t="str">
        <f>IF(OR(TH!L1613=TH!$Y$7,M1613=TH!$Y$7),"x","")</f>
        <v/>
      </c>
      <c r="Z1613" s="525" t="str">
        <f>IF(AND(B1613&lt;=NKC!$N$8,B1613&gt;=NKC!$M$8),"x","")</f>
        <v>x</v>
      </c>
      <c r="AA1613" s="535"/>
    </row>
    <row r="1614" spans="1:31" s="503" customFormat="1" ht="15.75" customHeight="1">
      <c r="A1614" s="517" t="str">
        <f>IF(B1614&lt;&gt;"",IF(AND(B1614&gt;=_TM1,B1614&lt;=_TM2,OR(TH!L1614="1111",TH!M1614="1111")),TH!D1614,""),"")</f>
        <v/>
      </c>
      <c r="B1614" s="531">
        <f t="shared" si="159"/>
        <v>1</v>
      </c>
      <c r="C1614" s="315">
        <f t="shared" si="160"/>
        <v>42747</v>
      </c>
      <c r="D1614" s="537" t="s">
        <v>996</v>
      </c>
      <c r="E1614" s="545">
        <v>42747</v>
      </c>
      <c r="F1614" s="249" t="s">
        <v>274</v>
      </c>
      <c r="G1614" s="541" t="s">
        <v>484</v>
      </c>
      <c r="H1614" s="473" t="s">
        <v>800</v>
      </c>
      <c r="I1614" s="307">
        <v>437</v>
      </c>
      <c r="J1614" s="307">
        <v>10670</v>
      </c>
      <c r="K1614" s="532">
        <f t="shared" si="161"/>
        <v>4662790</v>
      </c>
      <c r="L1614" s="539" t="s">
        <v>160</v>
      </c>
      <c r="M1614" s="539" t="s">
        <v>292</v>
      </c>
      <c r="N1614" s="525" t="str">
        <f>IF(AND('331-CT'!$E$7=TH!H1614,OR(L1614="331",M1614="331")),"331",IF(AND(OR(L1614="131",M1614="131"),H1614='131-CT'!$E$7),"131",""))</f>
        <v/>
      </c>
      <c r="O1614" s="525" t="str">
        <f>IF(AND($B1614&gt;='111'!$N$11,$B1614&lt;='111'!$O$11,OR($L1614=$O$7,$M1614=$O$7)),"x","")</f>
        <v/>
      </c>
      <c r="P1614" s="525" t="str">
        <f>IF(AND($L1614=$O$7,$B1614&lt;'111'!$N$11),"x","")</f>
        <v/>
      </c>
      <c r="Q1614" s="525" t="str">
        <f>IF(AND($M1614=$O$7,$B1614&lt;'111'!$N$11),"x","")</f>
        <v/>
      </c>
      <c r="R1614" s="525" t="str">
        <f>IF(ISERROR(FIND('112'!$M$9,G1614,1)),"",IF((AND(FIND('112'!$M$9,G1614,1)&gt;=1,$B1614&gt;='112'!$N$8,$B1614&lt;='112'!$O$8,OR($L1614='112'!$I$6,$M1614='112'!$I$6))),"x",""))</f>
        <v/>
      </c>
      <c r="S1614" s="525" t="str">
        <f>IF(ISERROR(FIND('112'!$M$9,G1614,1)),"",IF((AND(LEFT(G1614,2)=LEFT('112'!$M$9,2),B1614&lt;'112'!$N$8,$L1614='112'!$I$6)),"x",""))</f>
        <v/>
      </c>
      <c r="T1614" s="525" t="str">
        <f>IF(ISERROR(FIND('112'!$M$9,G1614,1)),"",IF((AND(RIGHT(G1614,2)=RIGHT('112'!$M$9,2),B1614&lt;'112'!$N$8,$M1614='112'!$I$6)),"x",""))</f>
        <v/>
      </c>
      <c r="U1614" s="525" t="str">
        <f>IF(AND(B1614&gt;='IN-NX'!$P$3,B1614&lt;='IN-NX'!$Q$3,'IN-NX'!$D$7=D1614,OR(LEFT(L1614,2)="15",AND(LEFT(M1614,2)&lt;&gt;"15",LEFT(M1614,2)&lt;&gt;"33"))),"x","")</f>
        <v/>
      </c>
      <c r="V1614" s="525" t="str">
        <f>IF(AND(OR(LEFT(TH!L1614,2)="15",LEFT(TH!M1614,2)="15"),'152-CT'!$J$8=TH!F1614),"x","")</f>
        <v/>
      </c>
      <c r="W1614" s="525" t="str">
        <f>IF(AND(OR(LEFT(TH!L1614,2)="15",LEFT(TH!M1614,2)="15"),TK!$E$7=TH!F1614),"x","")</f>
        <v>x</v>
      </c>
      <c r="X1614" s="525" t="str">
        <f>IF(AND('341-CT'!$E$9=H1614,OR(LEFT(L1614,3)=$X$7,LEFT(M1614,3)=$X$7)),"x","")</f>
        <v/>
      </c>
      <c r="Y1614" s="525" t="str">
        <f>IF(OR(TH!L1614=TH!$Y$7,M1614=TH!$Y$7),"x","")</f>
        <v/>
      </c>
      <c r="Z1614" s="525" t="str">
        <f>IF(AND(B1614&lt;=NKC!$N$8,B1614&gt;=NKC!$M$8),"x","")</f>
        <v>x</v>
      </c>
      <c r="AA1614" s="535"/>
    </row>
    <row r="1615" spans="1:31" s="503" customFormat="1" ht="15.75" customHeight="1">
      <c r="A1615" s="517" t="str">
        <f>IF(B1615&lt;&gt;"",IF(AND(B1615&gt;=_TM1,B1615&lt;=_TM2,OR(TH!L1615="1111",TH!M1615="1111")),TH!D1615,""),"")</f>
        <v/>
      </c>
      <c r="B1615" s="531">
        <f t="shared" si="159"/>
        <v>1</v>
      </c>
      <c r="C1615" s="315">
        <f t="shared" si="160"/>
        <v>42749</v>
      </c>
      <c r="D1615" s="537" t="s">
        <v>996</v>
      </c>
      <c r="E1615" s="545">
        <v>42749</v>
      </c>
      <c r="F1615" s="249" t="s">
        <v>274</v>
      </c>
      <c r="G1615" s="314" t="s">
        <v>485</v>
      </c>
      <c r="H1615" s="473" t="s">
        <v>800</v>
      </c>
      <c r="I1615" s="307">
        <v>520</v>
      </c>
      <c r="J1615" s="307">
        <v>10185</v>
      </c>
      <c r="K1615" s="532">
        <f t="shared" si="161"/>
        <v>5296200</v>
      </c>
      <c r="L1615" s="539" t="s">
        <v>160</v>
      </c>
      <c r="M1615" s="539" t="s">
        <v>292</v>
      </c>
      <c r="N1615" s="525" t="str">
        <f>IF(AND('331-CT'!$E$7=TH!H1615,OR(L1615="331",M1615="331")),"331",IF(AND(OR(L1615="131",M1615="131"),H1615='131-CT'!$E$7),"131",""))</f>
        <v/>
      </c>
      <c r="O1615" s="525" t="str">
        <f>IF(AND($B1615&gt;='111'!$N$11,$B1615&lt;='111'!$O$11,OR($L1615=$O$7,$M1615=$O$7)),"x","")</f>
        <v/>
      </c>
      <c r="P1615" s="525" t="str">
        <f>IF(AND($L1615=$O$7,$B1615&lt;'111'!$N$11),"x","")</f>
        <v/>
      </c>
      <c r="Q1615" s="525" t="str">
        <f>IF(AND($M1615=$O$7,$B1615&lt;'111'!$N$11),"x","")</f>
        <v/>
      </c>
      <c r="R1615" s="525" t="str">
        <f>IF(ISERROR(FIND('112'!$M$9,G1615,1)),"",IF((AND(FIND('112'!$M$9,G1615,1)&gt;=1,$B1615&gt;='112'!$N$8,$B1615&lt;='112'!$O$8,OR($L1615='112'!$I$6,$M1615='112'!$I$6))),"x",""))</f>
        <v/>
      </c>
      <c r="S1615" s="525" t="str">
        <f>IF(ISERROR(FIND('112'!$M$9,G1615,1)),"",IF((AND(LEFT(G1615,2)=LEFT('112'!$M$9,2),B1615&lt;'112'!$N$8,$L1615='112'!$I$6)),"x",""))</f>
        <v/>
      </c>
      <c r="T1615" s="525" t="str">
        <f>IF(ISERROR(FIND('112'!$M$9,G1615,1)),"",IF((AND(RIGHT(G1615,2)=RIGHT('112'!$M$9,2),B1615&lt;'112'!$N$8,$M1615='112'!$I$6)),"x",""))</f>
        <v/>
      </c>
      <c r="U1615" s="525" t="str">
        <f>IF(AND(B1615&gt;='IN-NX'!$P$3,B1615&lt;='IN-NX'!$Q$3,'IN-NX'!$D$7=D1615,OR(LEFT(L1615,2)="15",AND(LEFT(M1615,2)&lt;&gt;"15",LEFT(M1615,2)&lt;&gt;"33"))),"x","")</f>
        <v/>
      </c>
      <c r="V1615" s="525" t="str">
        <f>IF(AND(OR(LEFT(TH!L1615,2)="15",LEFT(TH!M1615,2)="15"),'152-CT'!$J$8=TH!F1615),"x","")</f>
        <v/>
      </c>
      <c r="W1615" s="525" t="str">
        <f>IF(AND(OR(LEFT(TH!L1615,2)="15",LEFT(TH!M1615,2)="15"),TK!$E$7=TH!F1615),"x","")</f>
        <v>x</v>
      </c>
      <c r="X1615" s="525" t="str">
        <f>IF(AND('341-CT'!$E$9=H1615,OR(LEFT(L1615,3)=$X$7,LEFT(M1615,3)=$X$7)),"x","")</f>
        <v/>
      </c>
      <c r="Y1615" s="525" t="str">
        <f>IF(OR(TH!L1615=TH!$Y$7,M1615=TH!$Y$7),"x","")</f>
        <v/>
      </c>
      <c r="Z1615" s="525" t="str">
        <f>IF(AND(B1615&lt;=NKC!$N$8,B1615&gt;=NKC!$M$8),"x","")</f>
        <v>x</v>
      </c>
      <c r="AA1615" s="535"/>
      <c r="AB1615" s="536"/>
      <c r="AE1615" s="536"/>
    </row>
    <row r="1616" spans="1:31" s="503" customFormat="1" ht="15.75" customHeight="1">
      <c r="A1616" s="517" t="str">
        <f>IF(B1616&lt;&gt;"",IF(AND(B1616&gt;=_TM1,B1616&lt;=_TM2,OR(TH!L1616="1111",TH!M1616="1111")),TH!D1616,""),"")</f>
        <v/>
      </c>
      <c r="B1616" s="531">
        <f t="shared" si="159"/>
        <v>1</v>
      </c>
      <c r="C1616" s="315">
        <f t="shared" si="160"/>
        <v>42751</v>
      </c>
      <c r="D1616" s="537" t="s">
        <v>996</v>
      </c>
      <c r="E1616" s="545">
        <v>42751</v>
      </c>
      <c r="F1616" s="249" t="s">
        <v>502</v>
      </c>
      <c r="G1616" s="314" t="s">
        <v>486</v>
      </c>
      <c r="H1616" s="473" t="s">
        <v>800</v>
      </c>
      <c r="I1616" s="307">
        <v>50</v>
      </c>
      <c r="J1616" s="307">
        <v>12375</v>
      </c>
      <c r="K1616" s="532">
        <f t="shared" si="161"/>
        <v>618750</v>
      </c>
      <c r="L1616" s="539" t="s">
        <v>160</v>
      </c>
      <c r="M1616" s="539" t="s">
        <v>292</v>
      </c>
      <c r="N1616" s="525" t="str">
        <f>IF(AND('331-CT'!$E$7=TH!H1616,OR(L1616="331",M1616="331")),"331",IF(AND(OR(L1616="131",M1616="131"),H1616='131-CT'!$E$7),"131",""))</f>
        <v/>
      </c>
      <c r="O1616" s="525" t="str">
        <f>IF(AND($B1616&gt;='111'!$N$11,$B1616&lt;='111'!$O$11,OR($L1616=$O$7,$M1616=$O$7)),"x","")</f>
        <v/>
      </c>
      <c r="P1616" s="525" t="str">
        <f>IF(AND($L1616=$O$7,$B1616&lt;'111'!$N$11),"x","")</f>
        <v/>
      </c>
      <c r="Q1616" s="525" t="str">
        <f>IF(AND($M1616=$O$7,$B1616&lt;'111'!$N$11),"x","")</f>
        <v/>
      </c>
      <c r="R1616" s="525" t="str">
        <f>IF(ISERROR(FIND('112'!$M$9,G1616,1)),"",IF((AND(FIND('112'!$M$9,G1616,1)&gt;=1,$B1616&gt;='112'!$N$8,$B1616&lt;='112'!$O$8,OR($L1616='112'!$I$6,$M1616='112'!$I$6))),"x",""))</f>
        <v/>
      </c>
      <c r="S1616" s="525" t="str">
        <f>IF(ISERROR(FIND('112'!$M$9,G1616,1)),"",IF((AND(LEFT(G1616,2)=LEFT('112'!$M$9,2),B1616&lt;'112'!$N$8,$L1616='112'!$I$6)),"x",""))</f>
        <v/>
      </c>
      <c r="T1616" s="525" t="str">
        <f>IF(ISERROR(FIND('112'!$M$9,G1616,1)),"",IF((AND(RIGHT(G1616,2)=RIGHT('112'!$M$9,2),B1616&lt;'112'!$N$8,$M1616='112'!$I$6)),"x",""))</f>
        <v/>
      </c>
      <c r="U1616" s="525" t="str">
        <f>IF(AND(B1616&gt;='IN-NX'!$P$3,B1616&lt;='IN-NX'!$Q$3,'IN-NX'!$D$7=D1616,OR(LEFT(L1616,2)="15",AND(LEFT(M1616,2)&lt;&gt;"15",LEFT(M1616,2)&lt;&gt;"33"))),"x","")</f>
        <v/>
      </c>
      <c r="V1616" s="525" t="str">
        <f>IF(AND(OR(LEFT(TH!L1616,2)="15",LEFT(TH!M1616,2)="15"),'152-CT'!$J$8=TH!F1616),"x","")</f>
        <v/>
      </c>
      <c r="W1616" s="525" t="str">
        <f>IF(AND(OR(LEFT(TH!L1616,2)="15",LEFT(TH!M1616,2)="15"),TK!$E$7=TH!F1616),"x","")</f>
        <v/>
      </c>
      <c r="X1616" s="525" t="str">
        <f>IF(AND('341-CT'!$E$9=H1616,OR(LEFT(L1616,3)=$X$7,LEFT(M1616,3)=$X$7)),"x","")</f>
        <v/>
      </c>
      <c r="Y1616" s="525" t="str">
        <f>IF(OR(TH!L1616=TH!$Y$7,M1616=TH!$Y$7),"x","")</f>
        <v/>
      </c>
      <c r="Z1616" s="525" t="str">
        <f>IF(AND(B1616&lt;=NKC!$N$8,B1616&gt;=NKC!$M$8),"x","")</f>
        <v>x</v>
      </c>
      <c r="AA1616" s="535"/>
      <c r="AB1616" s="536"/>
      <c r="AE1616" s="536"/>
    </row>
    <row r="1617" spans="1:31" s="503" customFormat="1" ht="15.75" customHeight="1">
      <c r="A1617" s="517" t="str">
        <f>IF(B1617&lt;&gt;"",IF(AND(B1617&gt;=_TM1,B1617&lt;=_TM2,OR(TH!L1617="1111",TH!M1617="1111")),TH!D1617,""),"")</f>
        <v/>
      </c>
      <c r="B1617" s="531">
        <f t="shared" si="159"/>
        <v>1</v>
      </c>
      <c r="C1617" s="315">
        <f t="shared" si="160"/>
        <v>42753</v>
      </c>
      <c r="D1617" s="537" t="s">
        <v>996</v>
      </c>
      <c r="E1617" s="545">
        <v>42753</v>
      </c>
      <c r="F1617" s="249" t="s">
        <v>503</v>
      </c>
      <c r="G1617" s="314" t="s">
        <v>488</v>
      </c>
      <c r="H1617" s="473" t="s">
        <v>800</v>
      </c>
      <c r="I1617" s="307">
        <v>2100</v>
      </c>
      <c r="J1617" s="307">
        <v>8245</v>
      </c>
      <c r="K1617" s="532">
        <f t="shared" si="161"/>
        <v>17314500</v>
      </c>
      <c r="L1617" s="539" t="s">
        <v>160</v>
      </c>
      <c r="M1617" s="539" t="s">
        <v>292</v>
      </c>
      <c r="N1617" s="525" t="str">
        <f>IF(AND('331-CT'!$E$7=TH!H1617,OR(L1617="331",M1617="331")),"331",IF(AND(OR(L1617="131",M1617="131"),H1617='131-CT'!$E$7),"131",""))</f>
        <v/>
      </c>
      <c r="O1617" s="525" t="str">
        <f>IF(AND($B1617&gt;='111'!$N$11,$B1617&lt;='111'!$O$11,OR($L1617=$O$7,$M1617=$O$7)),"x","")</f>
        <v/>
      </c>
      <c r="P1617" s="525" t="str">
        <f>IF(AND($L1617=$O$7,$B1617&lt;'111'!$N$11),"x","")</f>
        <v/>
      </c>
      <c r="Q1617" s="525" t="str">
        <f>IF(AND($M1617=$O$7,$B1617&lt;'111'!$N$11),"x","")</f>
        <v/>
      </c>
      <c r="R1617" s="525" t="str">
        <f>IF(ISERROR(FIND('112'!$M$9,G1617,1)),"",IF((AND(FIND('112'!$M$9,G1617,1)&gt;=1,$B1617&gt;='112'!$N$8,$B1617&lt;='112'!$O$8,OR($L1617='112'!$I$6,$M1617='112'!$I$6))),"x",""))</f>
        <v/>
      </c>
      <c r="S1617" s="525" t="str">
        <f>IF(ISERROR(FIND('112'!$M$9,G1617,1)),"",IF((AND(LEFT(G1617,2)=LEFT('112'!$M$9,2),B1617&lt;'112'!$N$8,$L1617='112'!$I$6)),"x",""))</f>
        <v/>
      </c>
      <c r="T1617" s="525" t="str">
        <f>IF(ISERROR(FIND('112'!$M$9,G1617,1)),"",IF((AND(RIGHT(G1617,2)=RIGHT('112'!$M$9,2),B1617&lt;'112'!$N$8,$M1617='112'!$I$6)),"x",""))</f>
        <v/>
      </c>
      <c r="U1617" s="525" t="str">
        <f>IF(AND(B1617&gt;='IN-NX'!$P$3,B1617&lt;='IN-NX'!$Q$3,'IN-NX'!$D$7=D1617,OR(LEFT(L1617,2)="15",AND(LEFT(M1617,2)&lt;&gt;"15",LEFT(M1617,2)&lt;&gt;"33"))),"x","")</f>
        <v/>
      </c>
      <c r="V1617" s="525" t="str">
        <f>IF(AND(OR(LEFT(TH!L1617,2)="15",LEFT(TH!M1617,2)="15"),'152-CT'!$J$8=TH!F1617),"x","")</f>
        <v/>
      </c>
      <c r="W1617" s="525" t="str">
        <f>IF(AND(OR(LEFT(TH!L1617,2)="15",LEFT(TH!M1617,2)="15"),TK!$E$7=TH!F1617),"x","")</f>
        <v/>
      </c>
      <c r="X1617" s="525" t="str">
        <f>IF(AND('341-CT'!$E$9=H1617,OR(LEFT(L1617,3)=$X$7,LEFT(M1617,3)=$X$7)),"x","")</f>
        <v/>
      </c>
      <c r="Y1617" s="525" t="str">
        <f>IF(OR(TH!L1617=TH!$Y$7,M1617=TH!$Y$7),"x","")</f>
        <v/>
      </c>
      <c r="Z1617" s="525" t="str">
        <f>IF(AND(B1617&lt;=NKC!$N$8,B1617&gt;=NKC!$M$8),"x","")</f>
        <v>x</v>
      </c>
      <c r="AA1617" s="535"/>
      <c r="AB1617" s="536"/>
      <c r="AE1617" s="536"/>
    </row>
    <row r="1618" spans="1:31" s="503" customFormat="1" ht="15.75" customHeight="1">
      <c r="A1618" s="517" t="str">
        <f>IF(B1618&lt;&gt;"",IF(AND(B1618&gt;=_TM1,B1618&lt;=_TM2,OR(TH!L1618="1111",TH!M1618="1111")),TH!D1618,""),"")</f>
        <v/>
      </c>
      <c r="B1618" s="531">
        <f t="shared" si="159"/>
        <v>1</v>
      </c>
      <c r="C1618" s="315">
        <f t="shared" si="160"/>
        <v>42754</v>
      </c>
      <c r="D1618" s="537" t="s">
        <v>996</v>
      </c>
      <c r="E1618" s="545">
        <v>42754</v>
      </c>
      <c r="F1618" s="249" t="s">
        <v>503</v>
      </c>
      <c r="G1618" s="314" t="s">
        <v>490</v>
      </c>
      <c r="H1618" s="473" t="s">
        <v>800</v>
      </c>
      <c r="I1618" s="307">
        <v>1995</v>
      </c>
      <c r="J1618" s="307">
        <v>8245</v>
      </c>
      <c r="K1618" s="532">
        <f t="shared" si="161"/>
        <v>16448775</v>
      </c>
      <c r="L1618" s="539" t="s">
        <v>160</v>
      </c>
      <c r="M1618" s="539" t="s">
        <v>292</v>
      </c>
      <c r="N1618" s="525" t="str">
        <f>IF(AND('331-CT'!$E$7=TH!H1618,OR(L1618="331",M1618="331")),"331",IF(AND(OR(L1618="131",M1618="131"),H1618='131-CT'!$E$7),"131",""))</f>
        <v/>
      </c>
      <c r="O1618" s="525" t="str">
        <f>IF(AND($B1618&gt;='111'!$N$11,$B1618&lt;='111'!$O$11,OR($L1618=$O$7,$M1618=$O$7)),"x","")</f>
        <v/>
      </c>
      <c r="P1618" s="525" t="str">
        <f>IF(AND($L1618=$O$7,$B1618&lt;'111'!$N$11),"x","")</f>
        <v/>
      </c>
      <c r="Q1618" s="525" t="str">
        <f>IF(AND($M1618=$O$7,$B1618&lt;'111'!$N$11),"x","")</f>
        <v/>
      </c>
      <c r="R1618" s="525" t="str">
        <f>IF(ISERROR(FIND('112'!$M$9,G1618,1)),"",IF((AND(FIND('112'!$M$9,G1618,1)&gt;=1,$B1618&gt;='112'!$N$8,$B1618&lt;='112'!$O$8,OR($L1618='112'!$I$6,$M1618='112'!$I$6))),"x",""))</f>
        <v/>
      </c>
      <c r="S1618" s="525" t="str">
        <f>IF(ISERROR(FIND('112'!$M$9,G1618,1)),"",IF((AND(LEFT(G1618,2)=LEFT('112'!$M$9,2),B1618&lt;'112'!$N$8,$L1618='112'!$I$6)),"x",""))</f>
        <v/>
      </c>
      <c r="T1618" s="525" t="str">
        <f>IF(ISERROR(FIND('112'!$M$9,G1618,1)),"",IF((AND(RIGHT(G1618,2)=RIGHT('112'!$M$9,2),B1618&lt;'112'!$N$8,$M1618='112'!$I$6)),"x",""))</f>
        <v/>
      </c>
      <c r="U1618" s="525" t="str">
        <f>IF(AND(B1618&gt;='IN-NX'!$P$3,B1618&lt;='IN-NX'!$Q$3,'IN-NX'!$D$7=D1618,OR(LEFT(L1618,2)="15",AND(LEFT(M1618,2)&lt;&gt;"15",LEFT(M1618,2)&lt;&gt;"33"))),"x","")</f>
        <v/>
      </c>
      <c r="V1618" s="525" t="str">
        <f>IF(AND(OR(LEFT(TH!L1618,2)="15",LEFT(TH!M1618,2)="15"),'152-CT'!$J$8=TH!F1618),"x","")</f>
        <v/>
      </c>
      <c r="W1618" s="525" t="str">
        <f>IF(AND(OR(LEFT(TH!L1618,2)="15",LEFT(TH!M1618,2)="15"),TK!$E$7=TH!F1618),"x","")</f>
        <v/>
      </c>
      <c r="X1618" s="525" t="str">
        <f>IF(AND('341-CT'!$E$9=H1618,OR(LEFT(L1618,3)=$X$7,LEFT(M1618,3)=$X$7)),"x","")</f>
        <v/>
      </c>
      <c r="Y1618" s="525" t="str">
        <f>IF(OR(TH!L1618=TH!$Y$7,M1618=TH!$Y$7),"x","")</f>
        <v/>
      </c>
      <c r="Z1618" s="525" t="str">
        <f>IF(AND(B1618&lt;=NKC!$N$8,B1618&gt;=NKC!$M$8),"x","")</f>
        <v>x</v>
      </c>
      <c r="AA1618" s="535"/>
      <c r="AB1618" s="536"/>
      <c r="AE1618" s="536"/>
    </row>
    <row r="1619" spans="1:31" s="503" customFormat="1" ht="15.75" customHeight="1">
      <c r="A1619" s="517" t="str">
        <f>IF(B1619&lt;&gt;"",IF(AND(B1619&gt;=_TM1,B1619&lt;=_TM2,OR(TH!L1619="1111",TH!M1619="1111")),TH!D1619,""),"")</f>
        <v/>
      </c>
      <c r="B1619" s="531">
        <f t="shared" si="159"/>
        <v>1</v>
      </c>
      <c r="C1619" s="315">
        <f t="shared" si="160"/>
        <v>42755</v>
      </c>
      <c r="D1619" s="537" t="s">
        <v>996</v>
      </c>
      <c r="E1619" s="545">
        <v>42755</v>
      </c>
      <c r="F1619" s="249" t="s">
        <v>274</v>
      </c>
      <c r="G1619" s="314" t="s">
        <v>491</v>
      </c>
      <c r="H1619" s="473" t="s">
        <v>800</v>
      </c>
      <c r="I1619" s="307">
        <v>4600</v>
      </c>
      <c r="J1619" s="307">
        <v>17945</v>
      </c>
      <c r="K1619" s="532">
        <f t="shared" si="161"/>
        <v>82547000</v>
      </c>
      <c r="L1619" s="539" t="s">
        <v>160</v>
      </c>
      <c r="M1619" s="539" t="s">
        <v>292</v>
      </c>
      <c r="N1619" s="525" t="str">
        <f>IF(AND('331-CT'!$E$7=TH!H1619,OR(L1619="331",M1619="331")),"331",IF(AND(OR(L1619="131",M1619="131"),H1619='131-CT'!$E$7),"131",""))</f>
        <v/>
      </c>
      <c r="O1619" s="525" t="str">
        <f>IF(AND($B1619&gt;='111'!$N$11,$B1619&lt;='111'!$O$11,OR($L1619=$O$7,$M1619=$O$7)),"x","")</f>
        <v/>
      </c>
      <c r="P1619" s="525" t="str">
        <f>IF(AND($L1619=$O$7,$B1619&lt;'111'!$N$11),"x","")</f>
        <v/>
      </c>
      <c r="Q1619" s="525" t="str">
        <f>IF(AND($M1619=$O$7,$B1619&lt;'111'!$N$11),"x","")</f>
        <v/>
      </c>
      <c r="R1619" s="525" t="str">
        <f>IF(ISERROR(FIND('112'!$M$9,G1619,1)),"",IF((AND(FIND('112'!$M$9,G1619,1)&gt;=1,$B1619&gt;='112'!$N$8,$B1619&lt;='112'!$O$8,OR($L1619='112'!$I$6,$M1619='112'!$I$6))),"x",""))</f>
        <v/>
      </c>
      <c r="S1619" s="525" t="str">
        <f>IF(ISERROR(FIND('112'!$M$9,G1619,1)),"",IF((AND(LEFT(G1619,2)=LEFT('112'!$M$9,2),B1619&lt;'112'!$N$8,$L1619='112'!$I$6)),"x",""))</f>
        <v/>
      </c>
      <c r="T1619" s="525" t="str">
        <f>IF(ISERROR(FIND('112'!$M$9,G1619,1)),"",IF((AND(RIGHT(G1619,2)=RIGHT('112'!$M$9,2),B1619&lt;'112'!$N$8,$M1619='112'!$I$6)),"x",""))</f>
        <v/>
      </c>
      <c r="U1619" s="525" t="str">
        <f>IF(AND(B1619&gt;='IN-NX'!$P$3,B1619&lt;='IN-NX'!$Q$3,'IN-NX'!$D$7=D1619,OR(LEFT(L1619,2)="15",AND(LEFT(M1619,2)&lt;&gt;"15",LEFT(M1619,2)&lt;&gt;"33"))),"x","")</f>
        <v/>
      </c>
      <c r="V1619" s="525" t="str">
        <f>IF(AND(OR(LEFT(TH!L1619,2)="15",LEFT(TH!M1619,2)="15"),'152-CT'!$J$8=TH!F1619),"x","")</f>
        <v/>
      </c>
      <c r="W1619" s="525" t="str">
        <f>IF(AND(OR(LEFT(TH!L1619,2)="15",LEFT(TH!M1619,2)="15"),TK!$E$7=TH!F1619),"x","")</f>
        <v>x</v>
      </c>
      <c r="X1619" s="525" t="str">
        <f>IF(AND('341-CT'!$E$9=H1619,OR(LEFT(L1619,3)=$X$7,LEFT(M1619,3)=$X$7)),"x","")</f>
        <v/>
      </c>
      <c r="Y1619" s="525" t="str">
        <f>IF(OR(TH!L1619=TH!$Y$7,M1619=TH!$Y$7),"x","")</f>
        <v/>
      </c>
      <c r="Z1619" s="525" t="str">
        <f>IF(AND(B1619&lt;=NKC!$N$8,B1619&gt;=NKC!$M$8),"x","")</f>
        <v>x</v>
      </c>
      <c r="AA1619" s="535"/>
      <c r="AB1619" s="536"/>
      <c r="AE1619" s="536"/>
    </row>
    <row r="1620" spans="1:31" s="503" customFormat="1" ht="15.75" customHeight="1">
      <c r="A1620" s="517" t="str">
        <f>IF(B1620&lt;&gt;"",IF(AND(B1620&gt;=_TM1,B1620&lt;=_TM2,OR(TH!L1620="1111",TH!M1620="1111")),TH!D1620,""),"")</f>
        <v/>
      </c>
      <c r="B1620" s="531">
        <f t="shared" si="159"/>
        <v>1</v>
      </c>
      <c r="C1620" s="315">
        <f t="shared" si="160"/>
        <v>42755</v>
      </c>
      <c r="D1620" s="537" t="s">
        <v>996</v>
      </c>
      <c r="E1620" s="545">
        <v>42755</v>
      </c>
      <c r="F1620" s="249" t="s">
        <v>273</v>
      </c>
      <c r="G1620" s="314" t="s">
        <v>491</v>
      </c>
      <c r="H1620" s="473" t="s">
        <v>800</v>
      </c>
      <c r="I1620" s="307">
        <v>4500</v>
      </c>
      <c r="J1620" s="307">
        <v>17945</v>
      </c>
      <c r="K1620" s="532">
        <f t="shared" si="161"/>
        <v>80752500</v>
      </c>
      <c r="L1620" s="539" t="s">
        <v>160</v>
      </c>
      <c r="M1620" s="539" t="s">
        <v>292</v>
      </c>
      <c r="N1620" s="525" t="str">
        <f>IF(AND('331-CT'!$E$7=TH!H1620,OR(L1620="331",M1620="331")),"331",IF(AND(OR(L1620="131",M1620="131"),H1620='131-CT'!$E$7),"131",""))</f>
        <v/>
      </c>
      <c r="O1620" s="525" t="str">
        <f>IF(AND($B1620&gt;='111'!$N$11,$B1620&lt;='111'!$O$11,OR($L1620=$O$7,$M1620=$O$7)),"x","")</f>
        <v/>
      </c>
      <c r="P1620" s="525" t="str">
        <f>IF(AND($L1620=$O$7,$B1620&lt;'111'!$N$11),"x","")</f>
        <v/>
      </c>
      <c r="Q1620" s="525" t="str">
        <f>IF(AND($M1620=$O$7,$B1620&lt;'111'!$N$11),"x","")</f>
        <v/>
      </c>
      <c r="R1620" s="525" t="str">
        <f>IF(ISERROR(FIND('112'!$M$9,G1620,1)),"",IF((AND(FIND('112'!$M$9,G1620,1)&gt;=1,$B1620&gt;='112'!$N$8,$B1620&lt;='112'!$O$8,OR($L1620='112'!$I$6,$M1620='112'!$I$6))),"x",""))</f>
        <v/>
      </c>
      <c r="S1620" s="525" t="str">
        <f>IF(ISERROR(FIND('112'!$M$9,G1620,1)),"",IF((AND(LEFT(G1620,2)=LEFT('112'!$M$9,2),B1620&lt;'112'!$N$8,$L1620='112'!$I$6)),"x",""))</f>
        <v/>
      </c>
      <c r="T1620" s="525" t="str">
        <f>IF(ISERROR(FIND('112'!$M$9,G1620,1)),"",IF((AND(RIGHT(G1620,2)=RIGHT('112'!$M$9,2),B1620&lt;'112'!$N$8,$M1620='112'!$I$6)),"x",""))</f>
        <v/>
      </c>
      <c r="U1620" s="525" t="str">
        <f>IF(AND(B1620&gt;='IN-NX'!$P$3,B1620&lt;='IN-NX'!$Q$3,'IN-NX'!$D$7=D1620,OR(LEFT(L1620,2)="15",AND(LEFT(M1620,2)&lt;&gt;"15",LEFT(M1620,2)&lt;&gt;"33"))),"x","")</f>
        <v/>
      </c>
      <c r="V1620" s="525" t="str">
        <f>IF(AND(OR(LEFT(TH!L1620,2)="15",LEFT(TH!M1620,2)="15"),'152-CT'!$J$8=TH!F1620),"x","")</f>
        <v>x</v>
      </c>
      <c r="W1620" s="525" t="str">
        <f>IF(AND(OR(LEFT(TH!L1620,2)="15",LEFT(TH!M1620,2)="15"),TK!$E$7=TH!F1620),"x","")</f>
        <v/>
      </c>
      <c r="X1620" s="525" t="str">
        <f>IF(AND('341-CT'!$E$9=H1620,OR(LEFT(L1620,3)=$X$7,LEFT(M1620,3)=$X$7)),"x","")</f>
        <v/>
      </c>
      <c r="Y1620" s="525" t="str">
        <f>IF(OR(TH!L1620=TH!$Y$7,M1620=TH!$Y$7),"x","")</f>
        <v/>
      </c>
      <c r="Z1620" s="525" t="str">
        <f>IF(AND(B1620&lt;=NKC!$N$8,B1620&gt;=NKC!$M$8),"x","")</f>
        <v>x</v>
      </c>
      <c r="AA1620" s="535"/>
      <c r="AB1620" s="536"/>
      <c r="AE1620" s="536"/>
    </row>
    <row r="1621" spans="1:31" s="503" customFormat="1" ht="15.75" customHeight="1">
      <c r="A1621" s="517" t="str">
        <f>IF(B1621&lt;&gt;"",IF(AND(B1621&gt;=_TM1,B1621&lt;=_TM2,OR(TH!L1621="1111",TH!M1621="1111")),TH!D1621,""),"")</f>
        <v/>
      </c>
      <c r="B1621" s="531">
        <f t="shared" si="159"/>
        <v>1</v>
      </c>
      <c r="C1621" s="315">
        <f t="shared" si="160"/>
        <v>42756</v>
      </c>
      <c r="D1621" s="537" t="s">
        <v>996</v>
      </c>
      <c r="E1621" s="545">
        <v>42756</v>
      </c>
      <c r="F1621" s="249" t="s">
        <v>503</v>
      </c>
      <c r="G1621" s="314" t="s">
        <v>507</v>
      </c>
      <c r="H1621" s="473" t="s">
        <v>800</v>
      </c>
      <c r="I1621" s="307">
        <v>1800</v>
      </c>
      <c r="J1621" s="307">
        <v>8245</v>
      </c>
      <c r="K1621" s="532">
        <f t="shared" si="161"/>
        <v>14841000</v>
      </c>
      <c r="L1621" s="539" t="s">
        <v>160</v>
      </c>
      <c r="M1621" s="539" t="s">
        <v>292</v>
      </c>
      <c r="N1621" s="525" t="str">
        <f>IF(AND('331-CT'!$E$7=TH!H1621,OR(L1621="331",M1621="331")),"331",IF(AND(OR(L1621="131",M1621="131"),H1621='131-CT'!$E$7),"131",""))</f>
        <v/>
      </c>
      <c r="O1621" s="525" t="str">
        <f>IF(AND($B1621&gt;='111'!$N$11,$B1621&lt;='111'!$O$11,OR($L1621=$O$7,$M1621=$O$7)),"x","")</f>
        <v/>
      </c>
      <c r="P1621" s="525" t="str">
        <f>IF(AND($L1621=$O$7,$B1621&lt;'111'!$N$11),"x","")</f>
        <v/>
      </c>
      <c r="Q1621" s="525" t="str">
        <f>IF(AND($M1621=$O$7,$B1621&lt;'111'!$N$11),"x","")</f>
        <v/>
      </c>
      <c r="R1621" s="525" t="str">
        <f>IF(ISERROR(FIND('112'!$M$9,G1621,1)),"",IF((AND(FIND('112'!$M$9,G1621,1)&gt;=1,$B1621&gt;='112'!$N$8,$B1621&lt;='112'!$O$8,OR($L1621='112'!$I$6,$M1621='112'!$I$6))),"x",""))</f>
        <v/>
      </c>
      <c r="S1621" s="525" t="str">
        <f>IF(ISERROR(FIND('112'!$M$9,G1621,1)),"",IF((AND(LEFT(G1621,2)=LEFT('112'!$M$9,2),B1621&lt;'112'!$N$8,$L1621='112'!$I$6)),"x",""))</f>
        <v/>
      </c>
      <c r="T1621" s="525" t="str">
        <f>IF(ISERROR(FIND('112'!$M$9,G1621,1)),"",IF((AND(RIGHT(G1621,2)=RIGHT('112'!$M$9,2),B1621&lt;'112'!$N$8,$M1621='112'!$I$6)),"x",""))</f>
        <v/>
      </c>
      <c r="U1621" s="525" t="str">
        <f>IF(AND(B1621&gt;='IN-NX'!$P$3,B1621&lt;='IN-NX'!$Q$3,'IN-NX'!$D$7=D1621,OR(LEFT(L1621,2)="15",AND(LEFT(M1621,2)&lt;&gt;"15",LEFT(M1621,2)&lt;&gt;"33"))),"x","")</f>
        <v/>
      </c>
      <c r="V1621" s="525" t="str">
        <f>IF(AND(OR(LEFT(TH!L1621,2)="15",LEFT(TH!M1621,2)="15"),'152-CT'!$J$8=TH!F1621),"x","")</f>
        <v/>
      </c>
      <c r="W1621" s="525" t="str">
        <f>IF(AND(OR(LEFT(TH!L1621,2)="15",LEFT(TH!M1621,2)="15"),TK!$E$7=TH!F1621),"x","")</f>
        <v/>
      </c>
      <c r="X1621" s="525" t="str">
        <f>IF(AND('341-CT'!$E$9=H1621,OR(LEFT(L1621,3)=$X$7,LEFT(M1621,3)=$X$7)),"x","")</f>
        <v/>
      </c>
      <c r="Y1621" s="525" t="str">
        <f>IF(OR(TH!L1621=TH!$Y$7,M1621=TH!$Y$7),"x","")</f>
        <v/>
      </c>
      <c r="Z1621" s="525" t="str">
        <f>IF(AND(B1621&lt;=NKC!$N$8,B1621&gt;=NKC!$M$8),"x","")</f>
        <v>x</v>
      </c>
      <c r="AA1621" s="535"/>
      <c r="AB1621" s="536"/>
      <c r="AE1621" s="536"/>
    </row>
    <row r="1622" spans="1:31" s="503" customFormat="1" ht="15.75" customHeight="1">
      <c r="A1622" s="517" t="str">
        <f>IF(B1622&lt;&gt;"",IF(AND(B1622&gt;=_TM1,B1622&lt;=_TM2,OR(TH!L1622="1111",TH!M1622="1111")),TH!D1622,""),"")</f>
        <v/>
      </c>
      <c r="B1622" s="531">
        <f t="shared" si="159"/>
        <v>1</v>
      </c>
      <c r="C1622" s="315">
        <f t="shared" si="160"/>
        <v>42758</v>
      </c>
      <c r="D1622" s="537" t="s">
        <v>996</v>
      </c>
      <c r="E1622" s="545">
        <v>42758</v>
      </c>
      <c r="F1622" s="249" t="s">
        <v>503</v>
      </c>
      <c r="G1622" s="314" t="s">
        <v>508</v>
      </c>
      <c r="H1622" s="473" t="s">
        <v>800</v>
      </c>
      <c r="I1622" s="307">
        <v>2001</v>
      </c>
      <c r="J1622" s="307">
        <v>8245</v>
      </c>
      <c r="K1622" s="532">
        <f t="shared" si="161"/>
        <v>16498245</v>
      </c>
      <c r="L1622" s="539" t="s">
        <v>160</v>
      </c>
      <c r="M1622" s="539" t="s">
        <v>292</v>
      </c>
      <c r="N1622" s="525" t="str">
        <f>IF(AND('331-CT'!$E$7=TH!H1622,OR(L1622="331",M1622="331")),"331",IF(AND(OR(L1622="131",M1622="131"),H1622='131-CT'!$E$7),"131",""))</f>
        <v/>
      </c>
      <c r="O1622" s="525" t="str">
        <f>IF(AND($B1622&gt;='111'!$N$11,$B1622&lt;='111'!$O$11,OR($L1622=$O$7,$M1622=$O$7)),"x","")</f>
        <v/>
      </c>
      <c r="P1622" s="525" t="str">
        <f>IF(AND($L1622=$O$7,$B1622&lt;'111'!$N$11),"x","")</f>
        <v/>
      </c>
      <c r="Q1622" s="525" t="str">
        <f>IF(AND($M1622=$O$7,$B1622&lt;'111'!$N$11),"x","")</f>
        <v/>
      </c>
      <c r="R1622" s="525" t="str">
        <f>IF(ISERROR(FIND('112'!$M$9,G1622,1)),"",IF((AND(FIND('112'!$M$9,G1622,1)&gt;=1,$B1622&gt;='112'!$N$8,$B1622&lt;='112'!$O$8,OR($L1622='112'!$I$6,$M1622='112'!$I$6))),"x",""))</f>
        <v/>
      </c>
      <c r="S1622" s="525" t="str">
        <f>IF(ISERROR(FIND('112'!$M$9,G1622,1)),"",IF((AND(LEFT(G1622,2)=LEFT('112'!$M$9,2),B1622&lt;'112'!$N$8,$L1622='112'!$I$6)),"x",""))</f>
        <v/>
      </c>
      <c r="T1622" s="525" t="str">
        <f>IF(ISERROR(FIND('112'!$M$9,G1622,1)),"",IF((AND(RIGHT(G1622,2)=RIGHT('112'!$M$9,2),B1622&lt;'112'!$N$8,$M1622='112'!$I$6)),"x",""))</f>
        <v/>
      </c>
      <c r="U1622" s="525" t="str">
        <f>IF(AND(B1622&gt;='IN-NX'!$P$3,B1622&lt;='IN-NX'!$Q$3,'IN-NX'!$D$7=D1622,OR(LEFT(L1622,2)="15",AND(LEFT(M1622,2)&lt;&gt;"15",LEFT(M1622,2)&lt;&gt;"33"))),"x","")</f>
        <v/>
      </c>
      <c r="V1622" s="525" t="str">
        <f>IF(AND(OR(LEFT(TH!L1622,2)="15",LEFT(TH!M1622,2)="15"),'152-CT'!$J$8=TH!F1622),"x","")</f>
        <v/>
      </c>
      <c r="W1622" s="525" t="str">
        <f>IF(AND(OR(LEFT(TH!L1622,2)="15",LEFT(TH!M1622,2)="15"),TK!$E$7=TH!F1622),"x","")</f>
        <v/>
      </c>
      <c r="X1622" s="525" t="str">
        <f>IF(AND('341-CT'!$E$9=H1622,OR(LEFT(L1622,3)=$X$7,LEFT(M1622,3)=$X$7)),"x","")</f>
        <v/>
      </c>
      <c r="Y1622" s="525" t="str">
        <f>IF(OR(TH!L1622=TH!$Y$7,M1622=TH!$Y$7),"x","")</f>
        <v/>
      </c>
      <c r="Z1622" s="525" t="str">
        <f>IF(AND(B1622&lt;=NKC!$N$8,B1622&gt;=NKC!$M$8),"x","")</f>
        <v>x</v>
      </c>
      <c r="AA1622" s="535"/>
      <c r="AB1622" s="536"/>
      <c r="AE1622" s="536"/>
    </row>
    <row r="1623" spans="1:31" s="503" customFormat="1" ht="15.75" customHeight="1">
      <c r="A1623" s="517" t="str">
        <f>IF(B1623&lt;&gt;"",IF(AND(B1623&gt;=_TM1,B1623&lt;=_TM2,OR(TH!L1623="1111",TH!M1623="1111")),TH!D1623,""),"")</f>
        <v/>
      </c>
      <c r="B1623" s="531">
        <f t="shared" si="159"/>
        <v>1</v>
      </c>
      <c r="C1623" s="315">
        <f t="shared" si="160"/>
        <v>42758</v>
      </c>
      <c r="D1623" s="537" t="s">
        <v>996</v>
      </c>
      <c r="E1623" s="545">
        <v>42758</v>
      </c>
      <c r="F1623" s="249" t="s">
        <v>611</v>
      </c>
      <c r="G1623" s="541" t="s">
        <v>510</v>
      </c>
      <c r="H1623" s="473" t="s">
        <v>800</v>
      </c>
      <c r="I1623" s="307">
        <v>111</v>
      </c>
      <c r="J1623" s="307">
        <v>40545.990990990991</v>
      </c>
      <c r="K1623" s="532">
        <f t="shared" si="161"/>
        <v>4500605</v>
      </c>
      <c r="L1623" s="539" t="s">
        <v>160</v>
      </c>
      <c r="M1623" s="539" t="s">
        <v>292</v>
      </c>
      <c r="N1623" s="525" t="str">
        <f>IF(AND('331-CT'!$E$7=TH!H1623,OR(L1623="331",M1623="331")),"331",IF(AND(OR(L1623="131",M1623="131"),H1623='131-CT'!$E$7),"131",""))</f>
        <v/>
      </c>
      <c r="O1623" s="525" t="str">
        <f>IF(AND($B1623&gt;='111'!$N$11,$B1623&lt;='111'!$O$11,OR($L1623=$O$7,$M1623=$O$7)),"x","")</f>
        <v/>
      </c>
      <c r="P1623" s="525" t="str">
        <f>IF(AND($L1623=$O$7,$B1623&lt;'111'!$N$11),"x","")</f>
        <v/>
      </c>
      <c r="Q1623" s="525" t="str">
        <f>IF(AND($M1623=$O$7,$B1623&lt;'111'!$N$11),"x","")</f>
        <v/>
      </c>
      <c r="R1623" s="525" t="str">
        <f>IF(ISERROR(FIND('112'!$M$9,G1623,1)),"",IF((AND(FIND('112'!$M$9,G1623,1)&gt;=1,$B1623&gt;='112'!$N$8,$B1623&lt;='112'!$O$8,OR($L1623='112'!$I$6,$M1623='112'!$I$6))),"x",""))</f>
        <v/>
      </c>
      <c r="S1623" s="525" t="str">
        <f>IF(ISERROR(FIND('112'!$M$9,G1623,1)),"",IF((AND(LEFT(G1623,2)=LEFT('112'!$M$9,2),B1623&lt;'112'!$N$8,$L1623='112'!$I$6)),"x",""))</f>
        <v/>
      </c>
      <c r="T1623" s="525" t="str">
        <f>IF(ISERROR(FIND('112'!$M$9,G1623,1)),"",IF((AND(RIGHT(G1623,2)=RIGHT('112'!$M$9,2),B1623&lt;'112'!$N$8,$M1623='112'!$I$6)),"x",""))</f>
        <v/>
      </c>
      <c r="U1623" s="525" t="str">
        <f>IF(AND(B1623&gt;='IN-NX'!$P$3,B1623&lt;='IN-NX'!$Q$3,'IN-NX'!$D$7=D1623,OR(LEFT(L1623,2)="15",AND(LEFT(M1623,2)&lt;&gt;"15",LEFT(M1623,2)&lt;&gt;"33"))),"x","")</f>
        <v/>
      </c>
      <c r="V1623" s="525" t="str">
        <f>IF(AND(OR(LEFT(TH!L1623,2)="15",LEFT(TH!M1623,2)="15"),'152-CT'!$J$8=TH!F1623),"x","")</f>
        <v/>
      </c>
      <c r="W1623" s="525" t="str">
        <f>IF(AND(OR(LEFT(TH!L1623,2)="15",LEFT(TH!M1623,2)="15"),TK!$E$7=TH!F1623),"x","")</f>
        <v/>
      </c>
      <c r="X1623" s="525" t="str">
        <f>IF(AND('341-CT'!$E$9=H1623,OR(LEFT(L1623,3)=$X$7,LEFT(M1623,3)=$X$7)),"x","")</f>
        <v/>
      </c>
      <c r="Y1623" s="525" t="str">
        <f>IF(OR(TH!L1623=TH!$Y$7,M1623=TH!$Y$7),"x","")</f>
        <v/>
      </c>
      <c r="Z1623" s="525" t="str">
        <f>IF(AND(B1623&lt;=NKC!$N$8,B1623&gt;=NKC!$M$8),"x","")</f>
        <v>x</v>
      </c>
      <c r="AA1623" s="546"/>
      <c r="AB1623" s="536"/>
      <c r="AE1623" s="536"/>
    </row>
    <row r="1624" spans="1:31" s="503" customFormat="1" ht="15.75" customHeight="1">
      <c r="A1624" s="517" t="str">
        <f>IF(B1624&lt;&gt;"",IF(AND(B1624&gt;=_TM1,B1624&lt;=_TM2,OR(TH!L1624="1111",TH!M1624="1111")),TH!D1624,""),"")</f>
        <v/>
      </c>
      <c r="B1624" s="531">
        <f t="shared" si="159"/>
        <v>1</v>
      </c>
      <c r="C1624" s="315">
        <f t="shared" si="160"/>
        <v>42758</v>
      </c>
      <c r="D1624" s="537" t="s">
        <v>996</v>
      </c>
      <c r="E1624" s="545">
        <v>42758</v>
      </c>
      <c r="F1624" s="249" t="s">
        <v>612</v>
      </c>
      <c r="G1624" s="541" t="s">
        <v>510</v>
      </c>
      <c r="H1624" s="473" t="s">
        <v>800</v>
      </c>
      <c r="I1624" s="307">
        <v>80</v>
      </c>
      <c r="J1624" s="307">
        <v>67377.987500000003</v>
      </c>
      <c r="K1624" s="532">
        <f t="shared" si="161"/>
        <v>5390239</v>
      </c>
      <c r="L1624" s="539" t="s">
        <v>160</v>
      </c>
      <c r="M1624" s="539" t="s">
        <v>292</v>
      </c>
      <c r="N1624" s="525" t="str">
        <f>IF(AND('331-CT'!$E$7=TH!H1624,OR(L1624="331",M1624="331")),"331",IF(AND(OR(L1624="131",M1624="131"),H1624='131-CT'!$E$7),"131",""))</f>
        <v/>
      </c>
      <c r="O1624" s="525" t="str">
        <f>IF(AND($B1624&gt;='111'!$N$11,$B1624&lt;='111'!$O$11,OR($L1624=$O$7,$M1624=$O$7)),"x","")</f>
        <v/>
      </c>
      <c r="P1624" s="525" t="str">
        <f>IF(AND($L1624=$O$7,$B1624&lt;'111'!$N$11),"x","")</f>
        <v/>
      </c>
      <c r="Q1624" s="525" t="str">
        <f>IF(AND($M1624=$O$7,$B1624&lt;'111'!$N$11),"x","")</f>
        <v/>
      </c>
      <c r="R1624" s="525" t="str">
        <f>IF(ISERROR(FIND('112'!$M$9,G1624,1)),"",IF((AND(FIND('112'!$M$9,G1624,1)&gt;=1,$B1624&gt;='112'!$N$8,$B1624&lt;='112'!$O$8,OR($L1624='112'!$I$6,$M1624='112'!$I$6))),"x",""))</f>
        <v/>
      </c>
      <c r="S1624" s="525" t="str">
        <f>IF(ISERROR(FIND('112'!$M$9,G1624,1)),"",IF((AND(LEFT(G1624,2)=LEFT('112'!$M$9,2),B1624&lt;'112'!$N$8,$L1624='112'!$I$6)),"x",""))</f>
        <v/>
      </c>
      <c r="T1624" s="525" t="str">
        <f>IF(ISERROR(FIND('112'!$M$9,G1624,1)),"",IF((AND(RIGHT(G1624,2)=RIGHT('112'!$M$9,2),B1624&lt;'112'!$N$8,$M1624='112'!$I$6)),"x",""))</f>
        <v/>
      </c>
      <c r="U1624" s="525" t="str">
        <f>IF(AND(B1624&gt;='IN-NX'!$P$3,B1624&lt;='IN-NX'!$Q$3,'IN-NX'!$D$7=D1624,OR(LEFT(L1624,2)="15",AND(LEFT(M1624,2)&lt;&gt;"15",LEFT(M1624,2)&lt;&gt;"33"))),"x","")</f>
        <v/>
      </c>
      <c r="V1624" s="525" t="str">
        <f>IF(AND(OR(LEFT(TH!L1624,2)="15",LEFT(TH!M1624,2)="15"),'152-CT'!$J$8=TH!F1624),"x","")</f>
        <v/>
      </c>
      <c r="W1624" s="525" t="str">
        <f>IF(AND(OR(LEFT(TH!L1624,2)="15",LEFT(TH!M1624,2)="15"),TK!$E$7=TH!F1624),"x","")</f>
        <v/>
      </c>
      <c r="X1624" s="525" t="str">
        <f>IF(AND('341-CT'!$E$9=H1624,OR(LEFT(L1624,3)=$X$7,LEFT(M1624,3)=$X$7)),"x","")</f>
        <v/>
      </c>
      <c r="Y1624" s="525" t="str">
        <f>IF(OR(TH!L1624=TH!$Y$7,M1624=TH!$Y$7),"x","")</f>
        <v/>
      </c>
      <c r="Z1624" s="525" t="str">
        <f>IF(AND(B1624&lt;=NKC!$N$8,B1624&gt;=NKC!$M$8),"x","")</f>
        <v>x</v>
      </c>
      <c r="AA1624" s="546"/>
      <c r="AB1624" s="536"/>
      <c r="AE1624" s="536"/>
    </row>
    <row r="1625" spans="1:31" s="503" customFormat="1" ht="15.75" customHeight="1">
      <c r="A1625" s="517" t="str">
        <f>IF(B1625&lt;&gt;"",IF(AND(B1625&gt;=_TM1,B1625&lt;=_TM2,OR(TH!L1625="1111",TH!M1625="1111")),TH!D1625,""),"")</f>
        <v/>
      </c>
      <c r="B1625" s="531">
        <f t="shared" si="159"/>
        <v>1</v>
      </c>
      <c r="C1625" s="315">
        <f t="shared" si="160"/>
        <v>42758</v>
      </c>
      <c r="D1625" s="537" t="s">
        <v>996</v>
      </c>
      <c r="E1625" s="545">
        <v>42758</v>
      </c>
      <c r="F1625" s="249" t="s">
        <v>613</v>
      </c>
      <c r="G1625" s="541" t="s">
        <v>510</v>
      </c>
      <c r="H1625" s="473" t="s">
        <v>800</v>
      </c>
      <c r="I1625" s="307">
        <v>130</v>
      </c>
      <c r="J1625" s="307">
        <v>88624</v>
      </c>
      <c r="K1625" s="532">
        <f t="shared" si="161"/>
        <v>11521120</v>
      </c>
      <c r="L1625" s="539" t="s">
        <v>160</v>
      </c>
      <c r="M1625" s="539" t="s">
        <v>292</v>
      </c>
      <c r="N1625" s="525" t="str">
        <f>IF(AND('331-CT'!$E$7=TH!H1625,OR(L1625="331",M1625="331")),"331",IF(AND(OR(L1625="131",M1625="131"),H1625='131-CT'!$E$7),"131",""))</f>
        <v/>
      </c>
      <c r="O1625" s="525" t="str">
        <f>IF(AND($B1625&gt;='111'!$N$11,$B1625&lt;='111'!$O$11,OR($L1625=$O$7,$M1625=$O$7)),"x","")</f>
        <v/>
      </c>
      <c r="P1625" s="525" t="str">
        <f>IF(AND($L1625=$O$7,$B1625&lt;'111'!$N$11),"x","")</f>
        <v/>
      </c>
      <c r="Q1625" s="525" t="str">
        <f>IF(AND($M1625=$O$7,$B1625&lt;'111'!$N$11),"x","")</f>
        <v/>
      </c>
      <c r="R1625" s="525" t="str">
        <f>IF(ISERROR(FIND('112'!$M$9,G1625,1)),"",IF((AND(FIND('112'!$M$9,G1625,1)&gt;=1,$B1625&gt;='112'!$N$8,$B1625&lt;='112'!$O$8,OR($L1625='112'!$I$6,$M1625='112'!$I$6))),"x",""))</f>
        <v/>
      </c>
      <c r="S1625" s="525" t="str">
        <f>IF(ISERROR(FIND('112'!$M$9,G1625,1)),"",IF((AND(LEFT(G1625,2)=LEFT('112'!$M$9,2),B1625&lt;'112'!$N$8,$L1625='112'!$I$6)),"x",""))</f>
        <v/>
      </c>
      <c r="T1625" s="525" t="str">
        <f>IF(ISERROR(FIND('112'!$M$9,G1625,1)),"",IF((AND(RIGHT(G1625,2)=RIGHT('112'!$M$9,2),B1625&lt;'112'!$N$8,$M1625='112'!$I$6)),"x",""))</f>
        <v/>
      </c>
      <c r="U1625" s="525" t="str">
        <f>IF(AND(B1625&gt;='IN-NX'!$P$3,B1625&lt;='IN-NX'!$Q$3,'IN-NX'!$D$7=D1625,OR(LEFT(L1625,2)="15",AND(LEFT(M1625,2)&lt;&gt;"15",LEFT(M1625,2)&lt;&gt;"33"))),"x","")</f>
        <v/>
      </c>
      <c r="V1625" s="525" t="str">
        <f>IF(AND(OR(LEFT(TH!L1625,2)="15",LEFT(TH!M1625,2)="15"),'152-CT'!$J$8=TH!F1625),"x","")</f>
        <v/>
      </c>
      <c r="W1625" s="525" t="str">
        <f>IF(AND(OR(LEFT(TH!L1625,2)="15",LEFT(TH!M1625,2)="15"),TK!$E$7=TH!F1625),"x","")</f>
        <v/>
      </c>
      <c r="X1625" s="525" t="str">
        <f>IF(AND('341-CT'!$E$9=H1625,OR(LEFT(L1625,3)=$X$7,LEFT(M1625,3)=$X$7)),"x","")</f>
        <v/>
      </c>
      <c r="Y1625" s="525" t="str">
        <f>IF(OR(TH!L1625=TH!$Y$7,M1625=TH!$Y$7),"x","")</f>
        <v/>
      </c>
      <c r="Z1625" s="525" t="str">
        <f>IF(AND(B1625&lt;=NKC!$N$8,B1625&gt;=NKC!$M$8),"x","")</f>
        <v>x</v>
      </c>
      <c r="AA1625" s="546"/>
      <c r="AB1625" s="536"/>
      <c r="AE1625" s="536"/>
    </row>
    <row r="1626" spans="1:31" s="503" customFormat="1" ht="15.75" customHeight="1">
      <c r="A1626" s="517" t="str">
        <f>IF(B1626&lt;&gt;"",IF(AND(B1626&gt;=_TM1,B1626&lt;=_TM2,OR(TH!L1626="1111",TH!M1626="1111")),TH!D1626,""),"")</f>
        <v/>
      </c>
      <c r="B1626" s="531">
        <f t="shared" si="159"/>
        <v>1</v>
      </c>
      <c r="C1626" s="315">
        <f t="shared" si="160"/>
        <v>42758</v>
      </c>
      <c r="D1626" s="537" t="s">
        <v>996</v>
      </c>
      <c r="E1626" s="548">
        <v>42758</v>
      </c>
      <c r="F1626" s="250" t="s">
        <v>614</v>
      </c>
      <c r="G1626" s="540" t="s">
        <v>510</v>
      </c>
      <c r="H1626" s="473" t="s">
        <v>800</v>
      </c>
      <c r="I1626" s="307">
        <v>140</v>
      </c>
      <c r="J1626" s="307">
        <v>17678</v>
      </c>
      <c r="K1626" s="532">
        <f t="shared" si="161"/>
        <v>2474920</v>
      </c>
      <c r="L1626" s="539" t="s">
        <v>160</v>
      </c>
      <c r="M1626" s="539" t="s">
        <v>292</v>
      </c>
      <c r="N1626" s="525" t="str">
        <f>IF(AND('331-CT'!$E$7=TH!H1626,OR(L1626="331",M1626="331")),"331",IF(AND(OR(L1626="131",M1626="131"),H1626='131-CT'!$E$7),"131",""))</f>
        <v/>
      </c>
      <c r="O1626" s="525" t="str">
        <f>IF(AND($B1626&gt;='111'!$N$11,$B1626&lt;='111'!$O$11,OR($L1626=$O$7,$M1626=$O$7)),"x","")</f>
        <v/>
      </c>
      <c r="P1626" s="525" t="str">
        <f>IF(AND($L1626=$O$7,$B1626&lt;'111'!$N$11),"x","")</f>
        <v/>
      </c>
      <c r="Q1626" s="525" t="str">
        <f>IF(AND($M1626=$O$7,$B1626&lt;'111'!$N$11),"x","")</f>
        <v/>
      </c>
      <c r="R1626" s="525" t="str">
        <f>IF(ISERROR(FIND('112'!$M$9,G1626,1)),"",IF((AND(FIND('112'!$M$9,G1626,1)&gt;=1,$B1626&gt;='112'!$N$8,$B1626&lt;='112'!$O$8,OR($L1626='112'!$I$6,$M1626='112'!$I$6))),"x",""))</f>
        <v/>
      </c>
      <c r="S1626" s="525" t="str">
        <f>IF(ISERROR(FIND('112'!$M$9,G1626,1)),"",IF((AND(LEFT(G1626,2)=LEFT('112'!$M$9,2),B1626&lt;'112'!$N$8,$L1626='112'!$I$6)),"x",""))</f>
        <v/>
      </c>
      <c r="T1626" s="525" t="str">
        <f>IF(ISERROR(FIND('112'!$M$9,G1626,1)),"",IF((AND(RIGHT(G1626,2)=RIGHT('112'!$M$9,2),B1626&lt;'112'!$N$8,$M1626='112'!$I$6)),"x",""))</f>
        <v/>
      </c>
      <c r="U1626" s="525" t="str">
        <f>IF(AND(B1626&gt;='IN-NX'!$P$3,B1626&lt;='IN-NX'!$Q$3,'IN-NX'!$D$7=D1626,OR(LEFT(L1626,2)="15",AND(LEFT(M1626,2)&lt;&gt;"15",LEFT(M1626,2)&lt;&gt;"33"))),"x","")</f>
        <v/>
      </c>
      <c r="V1626" s="525" t="str">
        <f>IF(AND(OR(LEFT(TH!L1626,2)="15",LEFT(TH!M1626,2)="15"),'152-CT'!$J$8=TH!F1626),"x","")</f>
        <v/>
      </c>
      <c r="W1626" s="525" t="str">
        <f>IF(AND(OR(LEFT(TH!L1626,2)="15",LEFT(TH!M1626,2)="15"),TK!$E$7=TH!F1626),"x","")</f>
        <v/>
      </c>
      <c r="X1626" s="525" t="str">
        <f>IF(AND('341-CT'!$E$9=H1626,OR(LEFT(L1626,3)=$X$7,LEFT(M1626,3)=$X$7)),"x","")</f>
        <v/>
      </c>
      <c r="Y1626" s="525" t="str">
        <f>IF(OR(TH!L1626=TH!$Y$7,M1626=TH!$Y$7),"x","")</f>
        <v/>
      </c>
      <c r="Z1626" s="525" t="str">
        <f>IF(AND(B1626&lt;=NKC!$N$8,B1626&gt;=NKC!$M$8),"x","")</f>
        <v>x</v>
      </c>
      <c r="AA1626" s="535"/>
    </row>
    <row r="1627" spans="1:31" s="503" customFormat="1" ht="15.75" customHeight="1">
      <c r="A1627" s="517" t="str">
        <f>IF(B1627&lt;&gt;"",IF(AND(B1627&gt;=_TM1,B1627&lt;=_TM2,OR(TH!L1627="1111",TH!M1627="1111")),TH!D1627,""),"")</f>
        <v/>
      </c>
      <c r="B1627" s="531">
        <f t="shared" si="159"/>
        <v>1</v>
      </c>
      <c r="C1627" s="315">
        <f t="shared" si="160"/>
        <v>42758</v>
      </c>
      <c r="D1627" s="537" t="s">
        <v>996</v>
      </c>
      <c r="E1627" s="280">
        <v>42758</v>
      </c>
      <c r="F1627" s="249" t="s">
        <v>615</v>
      </c>
      <c r="G1627" s="540" t="s">
        <v>510</v>
      </c>
      <c r="H1627" s="473" t="s">
        <v>800</v>
      </c>
      <c r="I1627" s="307">
        <v>70</v>
      </c>
      <c r="J1627" s="307">
        <v>35806</v>
      </c>
      <c r="K1627" s="532">
        <f t="shared" si="161"/>
        <v>2506420</v>
      </c>
      <c r="L1627" s="539" t="s">
        <v>160</v>
      </c>
      <c r="M1627" s="539" t="s">
        <v>292</v>
      </c>
      <c r="N1627" s="525" t="str">
        <f>IF(AND('331-CT'!$E$7=TH!H1627,OR(L1627="331",M1627="331")),"331",IF(AND(OR(L1627="131",M1627="131"),H1627='131-CT'!$E$7),"131",""))</f>
        <v/>
      </c>
      <c r="O1627" s="525" t="str">
        <f>IF(AND($B1627&gt;='111'!$N$11,$B1627&lt;='111'!$O$11,OR($L1627=$O$7,$M1627=$O$7)),"x","")</f>
        <v/>
      </c>
      <c r="P1627" s="525" t="str">
        <f>IF(AND($L1627=$O$7,$B1627&lt;'111'!$N$11),"x","")</f>
        <v/>
      </c>
      <c r="Q1627" s="525" t="str">
        <f>IF(AND($M1627=$O$7,$B1627&lt;'111'!$N$11),"x","")</f>
        <v/>
      </c>
      <c r="R1627" s="525" t="str">
        <f>IF(ISERROR(FIND('112'!$M$9,G1627,1)),"",IF((AND(FIND('112'!$M$9,G1627,1)&gt;=1,$B1627&gt;='112'!$N$8,$B1627&lt;='112'!$O$8,OR($L1627='112'!$I$6,$M1627='112'!$I$6))),"x",""))</f>
        <v/>
      </c>
      <c r="S1627" s="525" t="str">
        <f>IF(ISERROR(FIND('112'!$M$9,G1627,1)),"",IF((AND(LEFT(G1627,2)=LEFT('112'!$M$9,2),B1627&lt;'112'!$N$8,$L1627='112'!$I$6)),"x",""))</f>
        <v/>
      </c>
      <c r="T1627" s="525" t="str">
        <f>IF(ISERROR(FIND('112'!$M$9,G1627,1)),"",IF((AND(RIGHT(G1627,2)=RIGHT('112'!$M$9,2),B1627&lt;'112'!$N$8,$M1627='112'!$I$6)),"x",""))</f>
        <v/>
      </c>
      <c r="U1627" s="525" t="str">
        <f>IF(AND(B1627&gt;='IN-NX'!$P$3,B1627&lt;='IN-NX'!$Q$3,'IN-NX'!$D$7=D1627,OR(LEFT(L1627,2)="15",AND(LEFT(M1627,2)&lt;&gt;"15",LEFT(M1627,2)&lt;&gt;"33"))),"x","")</f>
        <v/>
      </c>
      <c r="V1627" s="525" t="str">
        <f>IF(AND(OR(LEFT(TH!L1627,2)="15",LEFT(TH!M1627,2)="15"),'152-CT'!$J$8=TH!F1627),"x","")</f>
        <v/>
      </c>
      <c r="W1627" s="525" t="str">
        <f>IF(AND(OR(LEFT(TH!L1627,2)="15",LEFT(TH!M1627,2)="15"),TK!$E$7=TH!F1627),"x","")</f>
        <v/>
      </c>
      <c r="X1627" s="525" t="str">
        <f>IF(AND('341-CT'!$E$9=H1627,OR(LEFT(L1627,3)=$X$7,LEFT(M1627,3)=$X$7)),"x","")</f>
        <v/>
      </c>
      <c r="Y1627" s="525" t="str">
        <f>IF(OR(TH!L1627=TH!$Y$7,M1627=TH!$Y$7),"x","")</f>
        <v/>
      </c>
      <c r="Z1627" s="525" t="str">
        <f>IF(AND(B1627&lt;=NKC!$N$8,B1627&gt;=NKC!$M$8),"x","")</f>
        <v>x</v>
      </c>
      <c r="AA1627" s="535"/>
    </row>
    <row r="1628" spans="1:31" s="503" customFormat="1" ht="15.75" customHeight="1">
      <c r="A1628" s="517" t="str">
        <f>IF(B1628&lt;&gt;"",IF(AND(B1628&gt;=_TM1,B1628&lt;=_TM2,OR(TH!L1628="1111",TH!M1628="1111")),TH!D1628,""),"")</f>
        <v/>
      </c>
      <c r="B1628" s="531">
        <f t="shared" si="159"/>
        <v>1</v>
      </c>
      <c r="C1628" s="315">
        <f t="shared" si="160"/>
        <v>42758</v>
      </c>
      <c r="D1628" s="537" t="s">
        <v>996</v>
      </c>
      <c r="E1628" s="280">
        <v>42758</v>
      </c>
      <c r="F1628" s="247" t="s">
        <v>616</v>
      </c>
      <c r="G1628" s="314" t="s">
        <v>510</v>
      </c>
      <c r="H1628" s="473" t="s">
        <v>800</v>
      </c>
      <c r="I1628" s="307">
        <v>80</v>
      </c>
      <c r="J1628" s="307">
        <v>12002</v>
      </c>
      <c r="K1628" s="532">
        <f t="shared" si="161"/>
        <v>960160</v>
      </c>
      <c r="L1628" s="539" t="s">
        <v>160</v>
      </c>
      <c r="M1628" s="539" t="s">
        <v>292</v>
      </c>
      <c r="N1628" s="525" t="str">
        <f>IF(AND('331-CT'!$E$7=TH!H1628,OR(L1628="331",M1628="331")),"331",IF(AND(OR(L1628="131",M1628="131"),H1628='131-CT'!$E$7),"131",""))</f>
        <v/>
      </c>
      <c r="O1628" s="525" t="str">
        <f>IF(AND($B1628&gt;='111'!$N$11,$B1628&lt;='111'!$O$11,OR($L1628=$O$7,$M1628=$O$7)),"x","")</f>
        <v/>
      </c>
      <c r="P1628" s="525" t="str">
        <f>IF(AND($L1628=$O$7,$B1628&lt;'111'!$N$11),"x","")</f>
        <v/>
      </c>
      <c r="Q1628" s="525" t="str">
        <f>IF(AND($M1628=$O$7,$B1628&lt;'111'!$N$11),"x","")</f>
        <v/>
      </c>
      <c r="R1628" s="525" t="str">
        <f>IF(ISERROR(FIND('112'!$M$9,G1628,1)),"",IF((AND(FIND('112'!$M$9,G1628,1)&gt;=1,$B1628&gt;='112'!$N$8,$B1628&lt;='112'!$O$8,OR($L1628='112'!$I$6,$M1628='112'!$I$6))),"x",""))</f>
        <v/>
      </c>
      <c r="S1628" s="525" t="str">
        <f>IF(ISERROR(FIND('112'!$M$9,G1628,1)),"",IF((AND(LEFT(G1628,2)=LEFT('112'!$M$9,2),B1628&lt;'112'!$N$8,$L1628='112'!$I$6)),"x",""))</f>
        <v/>
      </c>
      <c r="T1628" s="525" t="str">
        <f>IF(ISERROR(FIND('112'!$M$9,G1628,1)),"",IF((AND(RIGHT(G1628,2)=RIGHT('112'!$M$9,2),B1628&lt;'112'!$N$8,$M1628='112'!$I$6)),"x",""))</f>
        <v/>
      </c>
      <c r="U1628" s="525" t="str">
        <f>IF(AND(B1628&gt;='IN-NX'!$P$3,B1628&lt;='IN-NX'!$Q$3,'IN-NX'!$D$7=D1628,OR(LEFT(L1628,2)="15",AND(LEFT(M1628,2)&lt;&gt;"15",LEFT(M1628,2)&lt;&gt;"33"))),"x","")</f>
        <v/>
      </c>
      <c r="V1628" s="525" t="str">
        <f>IF(AND(OR(LEFT(TH!L1628,2)="15",LEFT(TH!M1628,2)="15"),'152-CT'!$J$8=TH!F1628),"x","")</f>
        <v/>
      </c>
      <c r="W1628" s="525" t="str">
        <f>IF(AND(OR(LEFT(TH!L1628,2)="15",LEFT(TH!M1628,2)="15"),TK!$E$7=TH!F1628),"x","")</f>
        <v/>
      </c>
      <c r="X1628" s="525" t="str">
        <f>IF(AND('341-CT'!$E$9=H1628,OR(LEFT(L1628,3)=$X$7,LEFT(M1628,3)=$X$7)),"x","")</f>
        <v/>
      </c>
      <c r="Y1628" s="525" t="str">
        <f>IF(OR(TH!L1628=TH!$Y$7,M1628=TH!$Y$7),"x","")</f>
        <v/>
      </c>
      <c r="Z1628" s="525" t="str">
        <f>IF(AND(B1628&lt;=NKC!$N$8,B1628&gt;=NKC!$M$8),"x","")</f>
        <v>x</v>
      </c>
      <c r="AA1628" s="535"/>
    </row>
    <row r="1629" spans="1:31" s="503" customFormat="1" ht="15.75" customHeight="1">
      <c r="A1629" s="517" t="str">
        <f>IF(B1629&lt;&gt;"",IF(AND(B1629&gt;=_TM1,B1629&lt;=_TM2,OR(TH!L1629="1111",TH!M1629="1111")),TH!D1629,""),"")</f>
        <v/>
      </c>
      <c r="B1629" s="531">
        <f t="shared" si="159"/>
        <v>1</v>
      </c>
      <c r="C1629" s="315">
        <f t="shared" si="160"/>
        <v>42758</v>
      </c>
      <c r="D1629" s="537" t="s">
        <v>996</v>
      </c>
      <c r="E1629" s="547">
        <v>42758</v>
      </c>
      <c r="F1629" s="249" t="s">
        <v>617</v>
      </c>
      <c r="G1629" s="541" t="s">
        <v>510</v>
      </c>
      <c r="H1629" s="473" t="s">
        <v>800</v>
      </c>
      <c r="I1629" s="307">
        <v>15</v>
      </c>
      <c r="J1629" s="307">
        <v>56030</v>
      </c>
      <c r="K1629" s="532">
        <f t="shared" si="161"/>
        <v>840450</v>
      </c>
      <c r="L1629" s="539" t="s">
        <v>160</v>
      </c>
      <c r="M1629" s="539" t="s">
        <v>292</v>
      </c>
      <c r="N1629" s="525" t="str">
        <f>IF(AND('331-CT'!$E$7=TH!H1629,OR(L1629="331",M1629="331")),"331",IF(AND(OR(L1629="131",M1629="131"),H1629='131-CT'!$E$7),"131",""))</f>
        <v/>
      </c>
      <c r="O1629" s="525" t="str">
        <f>IF(AND($B1629&gt;='111'!$N$11,$B1629&lt;='111'!$O$11,OR($L1629=$O$7,$M1629=$O$7)),"x","")</f>
        <v/>
      </c>
      <c r="P1629" s="525" t="str">
        <f>IF(AND($L1629=$O$7,$B1629&lt;'111'!$N$11),"x","")</f>
        <v/>
      </c>
      <c r="Q1629" s="525" t="str">
        <f>IF(AND($M1629=$O$7,$B1629&lt;'111'!$N$11),"x","")</f>
        <v/>
      </c>
      <c r="R1629" s="525" t="str">
        <f>IF(ISERROR(FIND('112'!$M$9,G1629,1)),"",IF((AND(FIND('112'!$M$9,G1629,1)&gt;=1,$B1629&gt;='112'!$N$8,$B1629&lt;='112'!$O$8,OR($L1629='112'!$I$6,$M1629='112'!$I$6))),"x",""))</f>
        <v/>
      </c>
      <c r="S1629" s="525" t="str">
        <f>IF(ISERROR(FIND('112'!$M$9,G1629,1)),"",IF((AND(LEFT(G1629,2)=LEFT('112'!$M$9,2),B1629&lt;'112'!$N$8,$L1629='112'!$I$6)),"x",""))</f>
        <v/>
      </c>
      <c r="T1629" s="525" t="str">
        <f>IF(ISERROR(FIND('112'!$M$9,G1629,1)),"",IF((AND(RIGHT(G1629,2)=RIGHT('112'!$M$9,2),B1629&lt;'112'!$N$8,$M1629='112'!$I$6)),"x",""))</f>
        <v/>
      </c>
      <c r="U1629" s="525" t="str">
        <f>IF(AND(B1629&gt;='IN-NX'!$P$3,B1629&lt;='IN-NX'!$Q$3,'IN-NX'!$D$7=D1629,OR(LEFT(L1629,2)="15",AND(LEFT(M1629,2)&lt;&gt;"15",LEFT(M1629,2)&lt;&gt;"33"))),"x","")</f>
        <v/>
      </c>
      <c r="V1629" s="525" t="str">
        <f>IF(AND(OR(LEFT(TH!L1629,2)="15",LEFT(TH!M1629,2)="15"),'152-CT'!$J$8=TH!F1629),"x","")</f>
        <v/>
      </c>
      <c r="W1629" s="525" t="str">
        <f>IF(AND(OR(LEFT(TH!L1629,2)="15",LEFT(TH!M1629,2)="15"),TK!$E$7=TH!F1629),"x","")</f>
        <v/>
      </c>
      <c r="X1629" s="525" t="str">
        <f>IF(AND('341-CT'!$E$9=H1629,OR(LEFT(L1629,3)=$X$7,LEFT(M1629,3)=$X$7)),"x","")</f>
        <v/>
      </c>
      <c r="Y1629" s="525" t="str">
        <f>IF(OR(TH!L1629=TH!$Y$7,M1629=TH!$Y$7),"x","")</f>
        <v/>
      </c>
      <c r="Z1629" s="525" t="str">
        <f>IF(AND(B1629&lt;=NKC!$N$8,B1629&gt;=NKC!$M$8),"x","")</f>
        <v>x</v>
      </c>
      <c r="AA1629" s="535"/>
    </row>
    <row r="1630" spans="1:31" s="503" customFormat="1" ht="15.75" customHeight="1">
      <c r="A1630" s="517" t="str">
        <f>IF(B1630&lt;&gt;"",IF(AND(B1630&gt;=_TM1,B1630&lt;=_TM2,OR(TH!L1630="1111",TH!M1630="1111")),TH!D1630,""),"")</f>
        <v/>
      </c>
      <c r="B1630" s="531">
        <f t="shared" si="159"/>
        <v>1</v>
      </c>
      <c r="C1630" s="315">
        <f t="shared" si="160"/>
        <v>42758</v>
      </c>
      <c r="D1630" s="537" t="s">
        <v>996</v>
      </c>
      <c r="E1630" s="547">
        <v>42758</v>
      </c>
      <c r="F1630" s="249" t="s">
        <v>618</v>
      </c>
      <c r="G1630" s="541" t="s">
        <v>510</v>
      </c>
      <c r="H1630" s="473" t="s">
        <v>800</v>
      </c>
      <c r="I1630" s="307">
        <v>5</v>
      </c>
      <c r="J1630" s="307">
        <v>56794</v>
      </c>
      <c r="K1630" s="532">
        <f t="shared" si="161"/>
        <v>283970</v>
      </c>
      <c r="L1630" s="539" t="s">
        <v>160</v>
      </c>
      <c r="M1630" s="539" t="s">
        <v>292</v>
      </c>
      <c r="N1630" s="525" t="str">
        <f>IF(AND('331-CT'!$E$7=TH!H1630,OR(L1630="331",M1630="331")),"331",IF(AND(OR(L1630="131",M1630="131"),H1630='131-CT'!$E$7),"131",""))</f>
        <v/>
      </c>
      <c r="O1630" s="525" t="str">
        <f>IF(AND($B1630&gt;='111'!$N$11,$B1630&lt;='111'!$O$11,OR($L1630=$O$7,$M1630=$O$7)),"x","")</f>
        <v/>
      </c>
      <c r="P1630" s="525" t="str">
        <f>IF(AND($L1630=$O$7,$B1630&lt;'111'!$N$11),"x","")</f>
        <v/>
      </c>
      <c r="Q1630" s="525" t="str">
        <f>IF(AND($M1630=$O$7,$B1630&lt;'111'!$N$11),"x","")</f>
        <v/>
      </c>
      <c r="R1630" s="525" t="str">
        <f>IF(ISERROR(FIND('112'!$M$9,G1630,1)),"",IF((AND(FIND('112'!$M$9,G1630,1)&gt;=1,$B1630&gt;='112'!$N$8,$B1630&lt;='112'!$O$8,OR($L1630='112'!$I$6,$M1630='112'!$I$6))),"x",""))</f>
        <v/>
      </c>
      <c r="S1630" s="525" t="str">
        <f>IF(ISERROR(FIND('112'!$M$9,G1630,1)),"",IF((AND(LEFT(G1630,2)=LEFT('112'!$M$9,2),B1630&lt;'112'!$N$8,$L1630='112'!$I$6)),"x",""))</f>
        <v/>
      </c>
      <c r="T1630" s="525" t="str">
        <f>IF(ISERROR(FIND('112'!$M$9,G1630,1)),"",IF((AND(RIGHT(G1630,2)=RIGHT('112'!$M$9,2),B1630&lt;'112'!$N$8,$M1630='112'!$I$6)),"x",""))</f>
        <v/>
      </c>
      <c r="U1630" s="525" t="str">
        <f>IF(AND(B1630&gt;='IN-NX'!$P$3,B1630&lt;='IN-NX'!$Q$3,'IN-NX'!$D$7=D1630,OR(LEFT(L1630,2)="15",AND(LEFT(M1630,2)&lt;&gt;"15",LEFT(M1630,2)&lt;&gt;"33"))),"x","")</f>
        <v/>
      </c>
      <c r="V1630" s="525" t="str">
        <f>IF(AND(OR(LEFT(TH!L1630,2)="15",LEFT(TH!M1630,2)="15"),'152-CT'!$J$8=TH!F1630),"x","")</f>
        <v/>
      </c>
      <c r="W1630" s="525" t="str">
        <f>IF(AND(OR(LEFT(TH!L1630,2)="15",LEFT(TH!M1630,2)="15"),TK!$E$7=TH!F1630),"x","")</f>
        <v/>
      </c>
      <c r="X1630" s="525" t="str">
        <f>IF(AND('341-CT'!$E$9=H1630,OR(LEFT(L1630,3)=$X$7,LEFT(M1630,3)=$X$7)),"x","")</f>
        <v/>
      </c>
      <c r="Y1630" s="525" t="str">
        <f>IF(OR(TH!L1630=TH!$Y$7,M1630=TH!$Y$7),"x","")</f>
        <v/>
      </c>
      <c r="Z1630" s="525" t="str">
        <f>IF(AND(B1630&lt;=NKC!$N$8,B1630&gt;=NKC!$M$8),"x","")</f>
        <v>x</v>
      </c>
      <c r="AA1630" s="535"/>
    </row>
    <row r="1631" spans="1:31" s="503" customFormat="1" ht="15.75" customHeight="1">
      <c r="A1631" s="517" t="str">
        <f>IF(B1631&lt;&gt;"",IF(AND(B1631&gt;=_TM1,B1631&lt;=_TM2,OR(TH!L1631="1111",TH!M1631="1111")),TH!D1631,""),"")</f>
        <v/>
      </c>
      <c r="B1631" s="531">
        <f t="shared" si="159"/>
        <v>1</v>
      </c>
      <c r="C1631" s="315">
        <f t="shared" si="160"/>
        <v>42758</v>
      </c>
      <c r="D1631" s="537" t="s">
        <v>996</v>
      </c>
      <c r="E1631" s="545">
        <v>42758</v>
      </c>
      <c r="F1631" s="249" t="s">
        <v>619</v>
      </c>
      <c r="G1631" s="314" t="s">
        <v>510</v>
      </c>
      <c r="H1631" s="473" t="s">
        <v>800</v>
      </c>
      <c r="I1631" s="307">
        <v>94</v>
      </c>
      <c r="J1631" s="307">
        <v>20239</v>
      </c>
      <c r="K1631" s="532">
        <f t="shared" si="161"/>
        <v>1902466</v>
      </c>
      <c r="L1631" s="539" t="s">
        <v>160</v>
      </c>
      <c r="M1631" s="539" t="s">
        <v>292</v>
      </c>
      <c r="N1631" s="525" t="str">
        <f>IF(AND('331-CT'!$E$7=TH!H1631,OR(L1631="331",M1631="331")),"331",IF(AND(OR(L1631="131",M1631="131"),H1631='131-CT'!$E$7),"131",""))</f>
        <v/>
      </c>
      <c r="O1631" s="525" t="str">
        <f>IF(AND($B1631&gt;='111'!$N$11,$B1631&lt;='111'!$O$11,OR($L1631=$O$7,$M1631=$O$7)),"x","")</f>
        <v/>
      </c>
      <c r="P1631" s="525" t="str">
        <f>IF(AND($L1631=$O$7,$B1631&lt;'111'!$N$11),"x","")</f>
        <v/>
      </c>
      <c r="Q1631" s="525" t="str">
        <f>IF(AND($M1631=$O$7,$B1631&lt;'111'!$N$11),"x","")</f>
        <v/>
      </c>
      <c r="R1631" s="525" t="str">
        <f>IF(ISERROR(FIND('112'!$M$9,G1631,1)),"",IF((AND(FIND('112'!$M$9,G1631,1)&gt;=1,$B1631&gt;='112'!$N$8,$B1631&lt;='112'!$O$8,OR($L1631='112'!$I$6,$M1631='112'!$I$6))),"x",""))</f>
        <v/>
      </c>
      <c r="S1631" s="525" t="str">
        <f>IF(ISERROR(FIND('112'!$M$9,G1631,1)),"",IF((AND(LEFT(G1631,2)=LEFT('112'!$M$9,2),B1631&lt;'112'!$N$8,$L1631='112'!$I$6)),"x",""))</f>
        <v/>
      </c>
      <c r="T1631" s="525" t="str">
        <f>IF(ISERROR(FIND('112'!$M$9,G1631,1)),"",IF((AND(RIGHT(G1631,2)=RIGHT('112'!$M$9,2),B1631&lt;'112'!$N$8,$M1631='112'!$I$6)),"x",""))</f>
        <v/>
      </c>
      <c r="U1631" s="525" t="str">
        <f>IF(AND(B1631&gt;='IN-NX'!$P$3,B1631&lt;='IN-NX'!$Q$3,'IN-NX'!$D$7=D1631,OR(LEFT(L1631,2)="15",AND(LEFT(M1631,2)&lt;&gt;"15",LEFT(M1631,2)&lt;&gt;"33"))),"x","")</f>
        <v/>
      </c>
      <c r="V1631" s="525" t="str">
        <f>IF(AND(OR(LEFT(TH!L1631,2)="15",LEFT(TH!M1631,2)="15"),'152-CT'!$J$8=TH!F1631),"x","")</f>
        <v/>
      </c>
      <c r="W1631" s="525" t="str">
        <f>IF(AND(OR(LEFT(TH!L1631,2)="15",LEFT(TH!M1631,2)="15"),TK!$E$7=TH!F1631),"x","")</f>
        <v/>
      </c>
      <c r="X1631" s="525" t="str">
        <f>IF(AND('341-CT'!$E$9=H1631,OR(LEFT(L1631,3)=$X$7,LEFT(M1631,3)=$X$7)),"x","")</f>
        <v/>
      </c>
      <c r="Y1631" s="525" t="str">
        <f>IF(OR(TH!L1631=TH!$Y$7,M1631=TH!$Y$7),"x","")</f>
        <v/>
      </c>
      <c r="Z1631" s="525" t="str">
        <f>IF(AND(B1631&lt;=NKC!$N$8,B1631&gt;=NKC!$M$8),"x","")</f>
        <v>x</v>
      </c>
      <c r="AA1631" s="535"/>
      <c r="AB1631" s="536"/>
      <c r="AE1631" s="536"/>
    </row>
    <row r="1632" spans="1:31" s="503" customFormat="1" ht="15.75" customHeight="1">
      <c r="A1632" s="517" t="str">
        <f>IF(B1632&lt;&gt;"",IF(AND(B1632&gt;=_TM1,B1632&lt;=_TM2,OR(TH!L1632="1111",TH!M1632="1111")),TH!D1632,""),"")</f>
        <v/>
      </c>
      <c r="B1632" s="531">
        <f t="shared" ref="B1632:B1695" si="162">IF(C1632&lt;&gt;"",MONTH(C1632),"")</f>
        <v>1</v>
      </c>
      <c r="C1632" s="315">
        <f t="shared" si="160"/>
        <v>42758</v>
      </c>
      <c r="D1632" s="537" t="s">
        <v>996</v>
      </c>
      <c r="E1632" s="545">
        <v>42758</v>
      </c>
      <c r="F1632" s="249" t="s">
        <v>620</v>
      </c>
      <c r="G1632" s="314" t="s">
        <v>510</v>
      </c>
      <c r="H1632" s="473" t="s">
        <v>800</v>
      </c>
      <c r="I1632" s="307">
        <v>40</v>
      </c>
      <c r="J1632" s="307">
        <v>22150</v>
      </c>
      <c r="K1632" s="532">
        <f t="shared" si="161"/>
        <v>886000</v>
      </c>
      <c r="L1632" s="539" t="s">
        <v>160</v>
      </c>
      <c r="M1632" s="539" t="s">
        <v>292</v>
      </c>
      <c r="N1632" s="525" t="str">
        <f>IF(AND('331-CT'!$E$7=TH!H1632,OR(L1632="331",M1632="331")),"331",IF(AND(OR(L1632="131",M1632="131"),H1632='131-CT'!$E$7),"131",""))</f>
        <v/>
      </c>
      <c r="O1632" s="525" t="str">
        <f>IF(AND($B1632&gt;='111'!$N$11,$B1632&lt;='111'!$O$11,OR($L1632=$O$7,$M1632=$O$7)),"x","")</f>
        <v/>
      </c>
      <c r="P1632" s="525" t="str">
        <f>IF(AND($L1632=$O$7,$B1632&lt;'111'!$N$11),"x","")</f>
        <v/>
      </c>
      <c r="Q1632" s="525" t="str">
        <f>IF(AND($M1632=$O$7,$B1632&lt;'111'!$N$11),"x","")</f>
        <v/>
      </c>
      <c r="R1632" s="525" t="str">
        <f>IF(ISERROR(FIND('112'!$M$9,G1632,1)),"",IF((AND(FIND('112'!$M$9,G1632,1)&gt;=1,$B1632&gt;='112'!$N$8,$B1632&lt;='112'!$O$8,OR($L1632='112'!$I$6,$M1632='112'!$I$6))),"x",""))</f>
        <v/>
      </c>
      <c r="S1632" s="525" t="str">
        <f>IF(ISERROR(FIND('112'!$M$9,G1632,1)),"",IF((AND(LEFT(G1632,2)=LEFT('112'!$M$9,2),B1632&lt;'112'!$N$8,$L1632='112'!$I$6)),"x",""))</f>
        <v/>
      </c>
      <c r="T1632" s="525" t="str">
        <f>IF(ISERROR(FIND('112'!$M$9,G1632,1)),"",IF((AND(RIGHT(G1632,2)=RIGHT('112'!$M$9,2),B1632&lt;'112'!$N$8,$M1632='112'!$I$6)),"x",""))</f>
        <v/>
      </c>
      <c r="U1632" s="525" t="str">
        <f>IF(AND(B1632&gt;='IN-NX'!$P$3,B1632&lt;='IN-NX'!$Q$3,'IN-NX'!$D$7=D1632,OR(LEFT(L1632,2)="15",AND(LEFT(M1632,2)&lt;&gt;"15",LEFT(M1632,2)&lt;&gt;"33"))),"x","")</f>
        <v/>
      </c>
      <c r="V1632" s="525" t="str">
        <f>IF(AND(OR(LEFT(TH!L1632,2)="15",LEFT(TH!M1632,2)="15"),'152-CT'!$J$8=TH!F1632),"x","")</f>
        <v/>
      </c>
      <c r="W1632" s="525" t="str">
        <f>IF(AND(OR(LEFT(TH!L1632,2)="15",LEFT(TH!M1632,2)="15"),TK!$E$7=TH!F1632),"x","")</f>
        <v/>
      </c>
      <c r="X1632" s="525" t="str">
        <f>IF(AND('341-CT'!$E$9=H1632,OR(LEFT(L1632,3)=$X$7,LEFT(M1632,3)=$X$7)),"x","")</f>
        <v/>
      </c>
      <c r="Y1632" s="525" t="str">
        <f>IF(OR(TH!L1632=TH!$Y$7,M1632=TH!$Y$7),"x","")</f>
        <v/>
      </c>
      <c r="Z1632" s="525" t="str">
        <f>IF(AND(B1632&lt;=NKC!$N$8,B1632&gt;=NKC!$M$8),"x","")</f>
        <v>x</v>
      </c>
      <c r="AA1632" s="535"/>
      <c r="AB1632" s="536"/>
      <c r="AE1632" s="536"/>
    </row>
    <row r="1633" spans="1:31" s="503" customFormat="1" ht="15.75" customHeight="1">
      <c r="A1633" s="517" t="str">
        <f>IF(B1633&lt;&gt;"",IF(AND(B1633&gt;=_TM1,B1633&lt;=_TM2,OR(TH!L1633="1111",TH!M1633="1111")),TH!D1633,""),"")</f>
        <v/>
      </c>
      <c r="B1633" s="531">
        <f t="shared" si="162"/>
        <v>1</v>
      </c>
      <c r="C1633" s="315">
        <f t="shared" si="160"/>
        <v>42758</v>
      </c>
      <c r="D1633" s="537" t="s">
        <v>996</v>
      </c>
      <c r="E1633" s="545">
        <v>42758</v>
      </c>
      <c r="F1633" s="249" t="s">
        <v>621</v>
      </c>
      <c r="G1633" s="314" t="s">
        <v>510</v>
      </c>
      <c r="H1633" s="473" t="s">
        <v>800</v>
      </c>
      <c r="I1633" s="307">
        <v>50</v>
      </c>
      <c r="J1633" s="307">
        <v>62005</v>
      </c>
      <c r="K1633" s="532">
        <f t="shared" si="161"/>
        <v>3100250</v>
      </c>
      <c r="L1633" s="539" t="s">
        <v>160</v>
      </c>
      <c r="M1633" s="539" t="s">
        <v>292</v>
      </c>
      <c r="N1633" s="525" t="str">
        <f>IF(AND('331-CT'!$E$7=TH!H1633,OR(L1633="331",M1633="331")),"331",IF(AND(OR(L1633="131",M1633="131"),H1633='131-CT'!$E$7),"131",""))</f>
        <v/>
      </c>
      <c r="O1633" s="525" t="str">
        <f>IF(AND($B1633&gt;='111'!$N$11,$B1633&lt;='111'!$O$11,OR($L1633=$O$7,$M1633=$O$7)),"x","")</f>
        <v/>
      </c>
      <c r="P1633" s="525" t="str">
        <f>IF(AND($L1633=$O$7,$B1633&lt;'111'!$N$11),"x","")</f>
        <v/>
      </c>
      <c r="Q1633" s="525" t="str">
        <f>IF(AND($M1633=$O$7,$B1633&lt;'111'!$N$11),"x","")</f>
        <v/>
      </c>
      <c r="R1633" s="525" t="str">
        <f>IF(ISERROR(FIND('112'!$M$9,G1633,1)),"",IF((AND(FIND('112'!$M$9,G1633,1)&gt;=1,$B1633&gt;='112'!$N$8,$B1633&lt;='112'!$O$8,OR($L1633='112'!$I$6,$M1633='112'!$I$6))),"x",""))</f>
        <v/>
      </c>
      <c r="S1633" s="525" t="str">
        <f>IF(ISERROR(FIND('112'!$M$9,G1633,1)),"",IF((AND(LEFT(G1633,2)=LEFT('112'!$M$9,2),B1633&lt;'112'!$N$8,$L1633='112'!$I$6)),"x",""))</f>
        <v/>
      </c>
      <c r="T1633" s="525" t="str">
        <f>IF(ISERROR(FIND('112'!$M$9,G1633,1)),"",IF((AND(RIGHT(G1633,2)=RIGHT('112'!$M$9,2),B1633&lt;'112'!$N$8,$M1633='112'!$I$6)),"x",""))</f>
        <v/>
      </c>
      <c r="U1633" s="525" t="str">
        <f>IF(AND(B1633&gt;='IN-NX'!$P$3,B1633&lt;='IN-NX'!$Q$3,'IN-NX'!$D$7=D1633,OR(LEFT(L1633,2)="15",AND(LEFT(M1633,2)&lt;&gt;"15",LEFT(M1633,2)&lt;&gt;"33"))),"x","")</f>
        <v/>
      </c>
      <c r="V1633" s="525" t="str">
        <f>IF(AND(OR(LEFT(TH!L1633,2)="15",LEFT(TH!M1633,2)="15"),'152-CT'!$J$8=TH!F1633),"x","")</f>
        <v/>
      </c>
      <c r="W1633" s="525" t="str">
        <f>IF(AND(OR(LEFT(TH!L1633,2)="15",LEFT(TH!M1633,2)="15"),TK!$E$7=TH!F1633),"x","")</f>
        <v/>
      </c>
      <c r="X1633" s="525" t="str">
        <f>IF(AND('341-CT'!$E$9=H1633,OR(LEFT(L1633,3)=$X$7,LEFT(M1633,3)=$X$7)),"x","")</f>
        <v/>
      </c>
      <c r="Y1633" s="525" t="str">
        <f>IF(OR(TH!L1633=TH!$Y$7,M1633=TH!$Y$7),"x","")</f>
        <v/>
      </c>
      <c r="Z1633" s="525" t="str">
        <f>IF(AND(B1633&lt;=NKC!$N$8,B1633&gt;=NKC!$M$8),"x","")</f>
        <v>x</v>
      </c>
      <c r="AA1633" s="535"/>
      <c r="AB1633" s="536"/>
      <c r="AE1633" s="536"/>
    </row>
    <row r="1634" spans="1:31" s="503" customFormat="1" ht="15.75" customHeight="1">
      <c r="A1634" s="517" t="str">
        <f>IF(B1634&lt;&gt;"",IF(AND(B1634&gt;=_TM1,B1634&lt;=_TM2,OR(TH!L1634="1111",TH!M1634="1111")),TH!D1634,""),"")</f>
        <v/>
      </c>
      <c r="B1634" s="531">
        <f t="shared" si="162"/>
        <v>1</v>
      </c>
      <c r="C1634" s="315">
        <f t="shared" si="160"/>
        <v>42758</v>
      </c>
      <c r="D1634" s="537" t="s">
        <v>996</v>
      </c>
      <c r="E1634" s="545">
        <v>42758</v>
      </c>
      <c r="F1634" s="249" t="s">
        <v>622</v>
      </c>
      <c r="G1634" s="314" t="s">
        <v>510</v>
      </c>
      <c r="H1634" s="473" t="s">
        <v>800</v>
      </c>
      <c r="I1634" s="307">
        <v>170</v>
      </c>
      <c r="J1634" s="307">
        <v>8242</v>
      </c>
      <c r="K1634" s="532">
        <f t="shared" si="161"/>
        <v>1401140</v>
      </c>
      <c r="L1634" s="539" t="s">
        <v>160</v>
      </c>
      <c r="M1634" s="539" t="s">
        <v>292</v>
      </c>
      <c r="N1634" s="525" t="str">
        <f>IF(AND('331-CT'!$E$7=TH!H1634,OR(L1634="331",M1634="331")),"331",IF(AND(OR(L1634="131",M1634="131"),H1634='131-CT'!$E$7),"131",""))</f>
        <v/>
      </c>
      <c r="O1634" s="525" t="str">
        <f>IF(AND($B1634&gt;='111'!$N$11,$B1634&lt;='111'!$O$11,OR($L1634=$O$7,$M1634=$O$7)),"x","")</f>
        <v/>
      </c>
      <c r="P1634" s="525" t="str">
        <f>IF(AND($L1634=$O$7,$B1634&lt;'111'!$N$11),"x","")</f>
        <v/>
      </c>
      <c r="Q1634" s="525" t="str">
        <f>IF(AND($M1634=$O$7,$B1634&lt;'111'!$N$11),"x","")</f>
        <v/>
      </c>
      <c r="R1634" s="525" t="str">
        <f>IF(ISERROR(FIND('112'!$M$9,G1634,1)),"",IF((AND(FIND('112'!$M$9,G1634,1)&gt;=1,$B1634&gt;='112'!$N$8,$B1634&lt;='112'!$O$8,OR($L1634='112'!$I$6,$M1634='112'!$I$6))),"x",""))</f>
        <v/>
      </c>
      <c r="S1634" s="525" t="str">
        <f>IF(ISERROR(FIND('112'!$M$9,G1634,1)),"",IF((AND(LEFT(G1634,2)=LEFT('112'!$M$9,2),B1634&lt;'112'!$N$8,$L1634='112'!$I$6)),"x",""))</f>
        <v/>
      </c>
      <c r="T1634" s="525" t="str">
        <f>IF(ISERROR(FIND('112'!$M$9,G1634,1)),"",IF((AND(RIGHT(G1634,2)=RIGHT('112'!$M$9,2),B1634&lt;'112'!$N$8,$M1634='112'!$I$6)),"x",""))</f>
        <v/>
      </c>
      <c r="U1634" s="525" t="str">
        <f>IF(AND(B1634&gt;='IN-NX'!$P$3,B1634&lt;='IN-NX'!$Q$3,'IN-NX'!$D$7=D1634,OR(LEFT(L1634,2)="15",AND(LEFT(M1634,2)&lt;&gt;"15",LEFT(M1634,2)&lt;&gt;"33"))),"x","")</f>
        <v/>
      </c>
      <c r="V1634" s="525" t="str">
        <f>IF(AND(OR(LEFT(TH!L1634,2)="15",LEFT(TH!M1634,2)="15"),'152-CT'!$J$8=TH!F1634),"x","")</f>
        <v/>
      </c>
      <c r="W1634" s="525" t="str">
        <f>IF(AND(OR(LEFT(TH!L1634,2)="15",LEFT(TH!M1634,2)="15"),TK!$E$7=TH!F1634),"x","")</f>
        <v/>
      </c>
      <c r="X1634" s="525" t="str">
        <f>IF(AND('341-CT'!$E$9=H1634,OR(LEFT(L1634,3)=$X$7,LEFT(M1634,3)=$X$7)),"x","")</f>
        <v/>
      </c>
      <c r="Y1634" s="525" t="str">
        <f>IF(OR(TH!L1634=TH!$Y$7,M1634=TH!$Y$7),"x","")</f>
        <v/>
      </c>
      <c r="Z1634" s="525" t="str">
        <f>IF(AND(B1634&lt;=NKC!$N$8,B1634&gt;=NKC!$M$8),"x","")</f>
        <v>x</v>
      </c>
      <c r="AA1634" s="535"/>
      <c r="AB1634" s="536"/>
      <c r="AE1634" s="536"/>
    </row>
    <row r="1635" spans="1:31" s="503" customFormat="1" ht="15.75" customHeight="1">
      <c r="A1635" s="517" t="str">
        <f>IF(B1635&lt;&gt;"",IF(AND(B1635&gt;=_TM1,B1635&lt;=_TM2,OR(TH!L1635="1111",TH!M1635="1111")),TH!D1635,""),"")</f>
        <v/>
      </c>
      <c r="B1635" s="531">
        <f t="shared" si="162"/>
        <v>1</v>
      </c>
      <c r="C1635" s="315">
        <f t="shared" si="160"/>
        <v>42758</v>
      </c>
      <c r="D1635" s="537" t="s">
        <v>996</v>
      </c>
      <c r="E1635" s="545">
        <v>42758</v>
      </c>
      <c r="F1635" s="249" t="s">
        <v>623</v>
      </c>
      <c r="G1635" s="314" t="s">
        <v>510</v>
      </c>
      <c r="H1635" s="473" t="s">
        <v>800</v>
      </c>
      <c r="I1635" s="307">
        <v>58</v>
      </c>
      <c r="J1635" s="307">
        <v>45217</v>
      </c>
      <c r="K1635" s="532">
        <f t="shared" si="161"/>
        <v>2622586</v>
      </c>
      <c r="L1635" s="539" t="s">
        <v>160</v>
      </c>
      <c r="M1635" s="539" t="s">
        <v>292</v>
      </c>
      <c r="N1635" s="525" t="str">
        <f>IF(AND('331-CT'!$E$7=TH!H1635,OR(L1635="331",M1635="331")),"331",IF(AND(OR(L1635="131",M1635="131"),H1635='131-CT'!$E$7),"131",""))</f>
        <v/>
      </c>
      <c r="O1635" s="525" t="str">
        <f>IF(AND($B1635&gt;='111'!$N$11,$B1635&lt;='111'!$O$11,OR($L1635=$O$7,$M1635=$O$7)),"x","")</f>
        <v/>
      </c>
      <c r="P1635" s="525" t="str">
        <f>IF(AND($L1635=$O$7,$B1635&lt;'111'!$N$11),"x","")</f>
        <v/>
      </c>
      <c r="Q1635" s="525" t="str">
        <f>IF(AND($M1635=$O$7,$B1635&lt;'111'!$N$11),"x","")</f>
        <v/>
      </c>
      <c r="R1635" s="525" t="str">
        <f>IF(ISERROR(FIND('112'!$M$9,G1635,1)),"",IF((AND(FIND('112'!$M$9,G1635,1)&gt;=1,$B1635&gt;='112'!$N$8,$B1635&lt;='112'!$O$8,OR($L1635='112'!$I$6,$M1635='112'!$I$6))),"x",""))</f>
        <v/>
      </c>
      <c r="S1635" s="525" t="str">
        <f>IF(ISERROR(FIND('112'!$M$9,G1635,1)),"",IF((AND(LEFT(G1635,2)=LEFT('112'!$M$9,2),B1635&lt;'112'!$N$8,$L1635='112'!$I$6)),"x",""))</f>
        <v/>
      </c>
      <c r="T1635" s="525" t="str">
        <f>IF(ISERROR(FIND('112'!$M$9,G1635,1)),"",IF((AND(RIGHT(G1635,2)=RIGHT('112'!$M$9,2),B1635&lt;'112'!$N$8,$M1635='112'!$I$6)),"x",""))</f>
        <v/>
      </c>
      <c r="U1635" s="525" t="str">
        <f>IF(AND(B1635&gt;='IN-NX'!$P$3,B1635&lt;='IN-NX'!$Q$3,'IN-NX'!$D$7=D1635,OR(LEFT(L1635,2)="15",AND(LEFT(M1635,2)&lt;&gt;"15",LEFT(M1635,2)&lt;&gt;"33"))),"x","")</f>
        <v/>
      </c>
      <c r="V1635" s="525" t="str">
        <f>IF(AND(OR(LEFT(TH!L1635,2)="15",LEFT(TH!M1635,2)="15"),'152-CT'!$J$8=TH!F1635),"x","")</f>
        <v/>
      </c>
      <c r="W1635" s="525" t="str">
        <f>IF(AND(OR(LEFT(TH!L1635,2)="15",LEFT(TH!M1635,2)="15"),TK!$E$7=TH!F1635),"x","")</f>
        <v/>
      </c>
      <c r="X1635" s="525" t="str">
        <f>IF(AND('341-CT'!$E$9=H1635,OR(LEFT(L1635,3)=$X$7,LEFT(M1635,3)=$X$7)),"x","")</f>
        <v/>
      </c>
      <c r="Y1635" s="525" t="str">
        <f>IF(OR(TH!L1635=TH!$Y$7,M1635=TH!$Y$7),"x","")</f>
        <v/>
      </c>
      <c r="Z1635" s="525" t="str">
        <f>IF(AND(B1635&lt;=NKC!$N$8,B1635&gt;=NKC!$M$8),"x","")</f>
        <v>x</v>
      </c>
      <c r="AA1635" s="535"/>
      <c r="AB1635" s="536"/>
      <c r="AE1635" s="536"/>
    </row>
    <row r="1636" spans="1:31" s="503" customFormat="1" ht="15.75" customHeight="1">
      <c r="A1636" s="517" t="str">
        <f>IF(B1636&lt;&gt;"",IF(AND(B1636&gt;=_TM1,B1636&lt;=_TM2,OR(TH!L1636="1111",TH!M1636="1111")),TH!D1636,""),"")</f>
        <v/>
      </c>
      <c r="B1636" s="531">
        <f t="shared" si="162"/>
        <v>1</v>
      </c>
      <c r="C1636" s="315">
        <f t="shared" si="160"/>
        <v>42758</v>
      </c>
      <c r="D1636" s="537" t="s">
        <v>996</v>
      </c>
      <c r="E1636" s="545">
        <v>42758</v>
      </c>
      <c r="F1636" s="249" t="s">
        <v>624</v>
      </c>
      <c r="G1636" s="314" t="s">
        <v>510</v>
      </c>
      <c r="H1636" s="473" t="s">
        <v>800</v>
      </c>
      <c r="I1636" s="307">
        <v>5</v>
      </c>
      <c r="J1636" s="307">
        <v>35387</v>
      </c>
      <c r="K1636" s="532">
        <f t="shared" si="161"/>
        <v>176935</v>
      </c>
      <c r="L1636" s="539" t="s">
        <v>160</v>
      </c>
      <c r="M1636" s="539" t="s">
        <v>292</v>
      </c>
      <c r="N1636" s="525" t="str">
        <f>IF(AND('331-CT'!$E$7=TH!H1636,OR(L1636="331",M1636="331")),"331",IF(AND(OR(L1636="131",M1636="131"),H1636='131-CT'!$E$7),"131",""))</f>
        <v/>
      </c>
      <c r="O1636" s="525" t="str">
        <f>IF(AND($B1636&gt;='111'!$N$11,$B1636&lt;='111'!$O$11,OR($L1636=$O$7,$M1636=$O$7)),"x","")</f>
        <v/>
      </c>
      <c r="P1636" s="525" t="str">
        <f>IF(AND($L1636=$O$7,$B1636&lt;'111'!$N$11),"x","")</f>
        <v/>
      </c>
      <c r="Q1636" s="525" t="str">
        <f>IF(AND($M1636=$O$7,$B1636&lt;'111'!$N$11),"x","")</f>
        <v/>
      </c>
      <c r="R1636" s="525" t="str">
        <f>IF(ISERROR(FIND('112'!$M$9,G1636,1)),"",IF((AND(FIND('112'!$M$9,G1636,1)&gt;=1,$B1636&gt;='112'!$N$8,$B1636&lt;='112'!$O$8,OR($L1636='112'!$I$6,$M1636='112'!$I$6))),"x",""))</f>
        <v/>
      </c>
      <c r="S1636" s="525" t="str">
        <f>IF(ISERROR(FIND('112'!$M$9,G1636,1)),"",IF((AND(LEFT(G1636,2)=LEFT('112'!$M$9,2),B1636&lt;'112'!$N$8,$L1636='112'!$I$6)),"x",""))</f>
        <v/>
      </c>
      <c r="T1636" s="525" t="str">
        <f>IF(ISERROR(FIND('112'!$M$9,G1636,1)),"",IF((AND(RIGHT(G1636,2)=RIGHT('112'!$M$9,2),B1636&lt;'112'!$N$8,$M1636='112'!$I$6)),"x",""))</f>
        <v/>
      </c>
      <c r="U1636" s="525" t="str">
        <f>IF(AND(B1636&gt;='IN-NX'!$P$3,B1636&lt;='IN-NX'!$Q$3,'IN-NX'!$D$7=D1636,OR(LEFT(L1636,2)="15",AND(LEFT(M1636,2)&lt;&gt;"15",LEFT(M1636,2)&lt;&gt;"33"))),"x","")</f>
        <v/>
      </c>
      <c r="V1636" s="525" t="str">
        <f>IF(AND(OR(LEFT(TH!L1636,2)="15",LEFT(TH!M1636,2)="15"),'152-CT'!$J$8=TH!F1636),"x","")</f>
        <v/>
      </c>
      <c r="W1636" s="525" t="str">
        <f>IF(AND(OR(LEFT(TH!L1636,2)="15",LEFT(TH!M1636,2)="15"),TK!$E$7=TH!F1636),"x","")</f>
        <v/>
      </c>
      <c r="X1636" s="525" t="str">
        <f>IF(AND('341-CT'!$E$9=H1636,OR(LEFT(L1636,3)=$X$7,LEFT(M1636,3)=$X$7)),"x","")</f>
        <v/>
      </c>
      <c r="Y1636" s="525" t="str">
        <f>IF(OR(TH!L1636=TH!$Y$7,M1636=TH!$Y$7),"x","")</f>
        <v/>
      </c>
      <c r="Z1636" s="525" t="str">
        <f>IF(AND(B1636&lt;=NKC!$N$8,B1636&gt;=NKC!$M$8),"x","")</f>
        <v>x</v>
      </c>
      <c r="AA1636" s="535"/>
      <c r="AB1636" s="536"/>
      <c r="AE1636" s="536"/>
    </row>
    <row r="1637" spans="1:31" s="503" customFormat="1" ht="15.75" customHeight="1">
      <c r="A1637" s="517" t="str">
        <f>IF(B1637&lt;&gt;"",IF(AND(B1637&gt;=_TM1,B1637&lt;=_TM2,OR(TH!L1637="1111",TH!M1637="1111")),TH!D1637,""),"")</f>
        <v/>
      </c>
      <c r="B1637" s="531">
        <f t="shared" si="162"/>
        <v>1</v>
      </c>
      <c r="C1637" s="315">
        <f t="shared" si="160"/>
        <v>42758</v>
      </c>
      <c r="D1637" s="537" t="s">
        <v>996</v>
      </c>
      <c r="E1637" s="545">
        <v>42758</v>
      </c>
      <c r="F1637" s="249" t="s">
        <v>625</v>
      </c>
      <c r="G1637" s="314" t="s">
        <v>510</v>
      </c>
      <c r="H1637" s="473" t="s">
        <v>800</v>
      </c>
      <c r="I1637" s="307">
        <v>12</v>
      </c>
      <c r="J1637" s="307">
        <v>38130</v>
      </c>
      <c r="K1637" s="532">
        <f t="shared" si="161"/>
        <v>457560</v>
      </c>
      <c r="L1637" s="539" t="s">
        <v>160</v>
      </c>
      <c r="M1637" s="539" t="s">
        <v>292</v>
      </c>
      <c r="N1637" s="525" t="str">
        <f>IF(AND('331-CT'!$E$7=TH!H1637,OR(L1637="331",M1637="331")),"331",IF(AND(OR(L1637="131",M1637="131"),H1637='131-CT'!$E$7),"131",""))</f>
        <v/>
      </c>
      <c r="O1637" s="525" t="str">
        <f>IF(AND($B1637&gt;='111'!$N$11,$B1637&lt;='111'!$O$11,OR($L1637=$O$7,$M1637=$O$7)),"x","")</f>
        <v/>
      </c>
      <c r="P1637" s="525" t="str">
        <f>IF(AND($L1637=$O$7,$B1637&lt;'111'!$N$11),"x","")</f>
        <v/>
      </c>
      <c r="Q1637" s="525" t="str">
        <f>IF(AND($M1637=$O$7,$B1637&lt;'111'!$N$11),"x","")</f>
        <v/>
      </c>
      <c r="R1637" s="525" t="str">
        <f>IF(ISERROR(FIND('112'!$M$9,G1637,1)),"",IF((AND(FIND('112'!$M$9,G1637,1)&gt;=1,$B1637&gt;='112'!$N$8,$B1637&lt;='112'!$O$8,OR($L1637='112'!$I$6,$M1637='112'!$I$6))),"x",""))</f>
        <v/>
      </c>
      <c r="S1637" s="525" t="str">
        <f>IF(ISERROR(FIND('112'!$M$9,G1637,1)),"",IF((AND(LEFT(G1637,2)=LEFT('112'!$M$9,2),B1637&lt;'112'!$N$8,$L1637='112'!$I$6)),"x",""))</f>
        <v/>
      </c>
      <c r="T1637" s="525" t="str">
        <f>IF(ISERROR(FIND('112'!$M$9,G1637,1)),"",IF((AND(RIGHT(G1637,2)=RIGHT('112'!$M$9,2),B1637&lt;'112'!$N$8,$M1637='112'!$I$6)),"x",""))</f>
        <v/>
      </c>
      <c r="U1637" s="525" t="str">
        <f>IF(AND(B1637&gt;='IN-NX'!$P$3,B1637&lt;='IN-NX'!$Q$3,'IN-NX'!$D$7=D1637,OR(LEFT(L1637,2)="15",AND(LEFT(M1637,2)&lt;&gt;"15",LEFT(M1637,2)&lt;&gt;"33"))),"x","")</f>
        <v/>
      </c>
      <c r="V1637" s="525" t="str">
        <f>IF(AND(OR(LEFT(TH!L1637,2)="15",LEFT(TH!M1637,2)="15"),'152-CT'!$J$8=TH!F1637),"x","")</f>
        <v/>
      </c>
      <c r="W1637" s="525" t="str">
        <f>IF(AND(OR(LEFT(TH!L1637,2)="15",LEFT(TH!M1637,2)="15"),TK!$E$7=TH!F1637),"x","")</f>
        <v/>
      </c>
      <c r="X1637" s="525" t="str">
        <f>IF(AND('341-CT'!$E$9=H1637,OR(LEFT(L1637,3)=$X$7,LEFT(M1637,3)=$X$7)),"x","")</f>
        <v/>
      </c>
      <c r="Y1637" s="525" t="str">
        <f>IF(OR(TH!L1637=TH!$Y$7,M1637=TH!$Y$7),"x","")</f>
        <v/>
      </c>
      <c r="Z1637" s="525" t="str">
        <f>IF(AND(B1637&lt;=NKC!$N$8,B1637&gt;=NKC!$M$8),"x","")</f>
        <v>x</v>
      </c>
      <c r="AA1637" s="535"/>
      <c r="AB1637" s="536"/>
      <c r="AE1637" s="536"/>
    </row>
    <row r="1638" spans="1:31" s="503" customFormat="1" ht="15.75" customHeight="1">
      <c r="A1638" s="517" t="str">
        <f>IF(B1638&lt;&gt;"",IF(AND(B1638&gt;=_TM1,B1638&lt;=_TM2,OR(TH!L1638="1111",TH!M1638="1111")),TH!D1638,""),"")</f>
        <v/>
      </c>
      <c r="B1638" s="531">
        <f t="shared" si="162"/>
        <v>1</v>
      </c>
      <c r="C1638" s="315">
        <f t="shared" si="160"/>
        <v>42758</v>
      </c>
      <c r="D1638" s="537" t="s">
        <v>996</v>
      </c>
      <c r="E1638" s="545">
        <v>42758</v>
      </c>
      <c r="F1638" s="249" t="s">
        <v>626</v>
      </c>
      <c r="G1638" s="314" t="s">
        <v>510</v>
      </c>
      <c r="H1638" s="473" t="s">
        <v>800</v>
      </c>
      <c r="I1638" s="307">
        <v>25</v>
      </c>
      <c r="J1638" s="307">
        <v>22205</v>
      </c>
      <c r="K1638" s="532">
        <f t="shared" si="161"/>
        <v>555125</v>
      </c>
      <c r="L1638" s="539" t="s">
        <v>160</v>
      </c>
      <c r="M1638" s="539" t="s">
        <v>292</v>
      </c>
      <c r="N1638" s="525" t="str">
        <f>IF(AND('331-CT'!$E$7=TH!H1638,OR(L1638="331",M1638="331")),"331",IF(AND(OR(L1638="131",M1638="131"),H1638='131-CT'!$E$7),"131",""))</f>
        <v/>
      </c>
      <c r="O1638" s="525" t="str">
        <f>IF(AND($B1638&gt;='111'!$N$11,$B1638&lt;='111'!$O$11,OR($L1638=$O$7,$M1638=$O$7)),"x","")</f>
        <v/>
      </c>
      <c r="P1638" s="525" t="str">
        <f>IF(AND($L1638=$O$7,$B1638&lt;'111'!$N$11),"x","")</f>
        <v/>
      </c>
      <c r="Q1638" s="525" t="str">
        <f>IF(AND($M1638=$O$7,$B1638&lt;'111'!$N$11),"x","")</f>
        <v/>
      </c>
      <c r="R1638" s="525" t="str">
        <f>IF(ISERROR(FIND('112'!$M$9,G1638,1)),"",IF((AND(FIND('112'!$M$9,G1638,1)&gt;=1,$B1638&gt;='112'!$N$8,$B1638&lt;='112'!$O$8,OR($L1638='112'!$I$6,$M1638='112'!$I$6))),"x",""))</f>
        <v/>
      </c>
      <c r="S1638" s="525" t="str">
        <f>IF(ISERROR(FIND('112'!$M$9,G1638,1)),"",IF((AND(LEFT(G1638,2)=LEFT('112'!$M$9,2),B1638&lt;'112'!$N$8,$L1638='112'!$I$6)),"x",""))</f>
        <v/>
      </c>
      <c r="T1638" s="525" t="str">
        <f>IF(ISERROR(FIND('112'!$M$9,G1638,1)),"",IF((AND(RIGHT(G1638,2)=RIGHT('112'!$M$9,2),B1638&lt;'112'!$N$8,$M1638='112'!$I$6)),"x",""))</f>
        <v/>
      </c>
      <c r="U1638" s="525" t="str">
        <f>IF(AND(B1638&gt;='IN-NX'!$P$3,B1638&lt;='IN-NX'!$Q$3,'IN-NX'!$D$7=D1638,OR(LEFT(L1638,2)="15",AND(LEFT(M1638,2)&lt;&gt;"15",LEFT(M1638,2)&lt;&gt;"33"))),"x","")</f>
        <v/>
      </c>
      <c r="V1638" s="525" t="str">
        <f>IF(AND(OR(LEFT(TH!L1638,2)="15",LEFT(TH!M1638,2)="15"),'152-CT'!$J$8=TH!F1638),"x","")</f>
        <v/>
      </c>
      <c r="W1638" s="525" t="str">
        <f>IF(AND(OR(LEFT(TH!L1638,2)="15",LEFT(TH!M1638,2)="15"),TK!$E$7=TH!F1638),"x","")</f>
        <v/>
      </c>
      <c r="X1638" s="525" t="str">
        <f>IF(AND('341-CT'!$E$9=H1638,OR(LEFT(L1638,3)=$X$7,LEFT(M1638,3)=$X$7)),"x","")</f>
        <v/>
      </c>
      <c r="Y1638" s="525" t="str">
        <f>IF(OR(TH!L1638=TH!$Y$7,M1638=TH!$Y$7),"x","")</f>
        <v/>
      </c>
      <c r="Z1638" s="525" t="str">
        <f>IF(AND(B1638&lt;=NKC!$N$8,B1638&gt;=NKC!$M$8),"x","")</f>
        <v>x</v>
      </c>
      <c r="AA1638" s="535"/>
      <c r="AB1638" s="536"/>
      <c r="AE1638" s="536"/>
    </row>
    <row r="1639" spans="1:31" s="503" customFormat="1" ht="15.75" customHeight="1">
      <c r="A1639" s="517" t="str">
        <f>IF(B1639&lt;&gt;"",IF(AND(B1639&gt;=_TM1,B1639&lt;=_TM2,OR(TH!L1639="1111",TH!M1639="1111")),TH!D1639,""),"")</f>
        <v/>
      </c>
      <c r="B1639" s="531">
        <f t="shared" si="162"/>
        <v>1</v>
      </c>
      <c r="C1639" s="315">
        <f t="shared" si="160"/>
        <v>42758</v>
      </c>
      <c r="D1639" s="537" t="s">
        <v>996</v>
      </c>
      <c r="E1639" s="545">
        <v>42758</v>
      </c>
      <c r="F1639" s="249" t="s">
        <v>627</v>
      </c>
      <c r="G1639" s="314" t="s">
        <v>510</v>
      </c>
      <c r="H1639" s="473" t="s">
        <v>800</v>
      </c>
      <c r="I1639" s="307">
        <v>5</v>
      </c>
      <c r="J1639" s="307">
        <v>33299</v>
      </c>
      <c r="K1639" s="532">
        <f t="shared" si="161"/>
        <v>166495</v>
      </c>
      <c r="L1639" s="539" t="s">
        <v>160</v>
      </c>
      <c r="M1639" s="539" t="s">
        <v>292</v>
      </c>
      <c r="N1639" s="525" t="str">
        <f>IF(AND('331-CT'!$E$7=TH!H1639,OR(L1639="331",M1639="331")),"331",IF(AND(OR(L1639="131",M1639="131"),H1639='131-CT'!$E$7),"131",""))</f>
        <v/>
      </c>
      <c r="O1639" s="525" t="str">
        <f>IF(AND($B1639&gt;='111'!$N$11,$B1639&lt;='111'!$O$11,OR($L1639=$O$7,$M1639=$O$7)),"x","")</f>
        <v/>
      </c>
      <c r="P1639" s="525" t="str">
        <f>IF(AND($L1639=$O$7,$B1639&lt;'111'!$N$11),"x","")</f>
        <v/>
      </c>
      <c r="Q1639" s="525" t="str">
        <f>IF(AND($M1639=$O$7,$B1639&lt;'111'!$N$11),"x","")</f>
        <v/>
      </c>
      <c r="R1639" s="525" t="str">
        <f>IF(ISERROR(FIND('112'!$M$9,G1639,1)),"",IF((AND(FIND('112'!$M$9,G1639,1)&gt;=1,$B1639&gt;='112'!$N$8,$B1639&lt;='112'!$O$8,OR($L1639='112'!$I$6,$M1639='112'!$I$6))),"x",""))</f>
        <v/>
      </c>
      <c r="S1639" s="525" t="str">
        <f>IF(ISERROR(FIND('112'!$M$9,G1639,1)),"",IF((AND(LEFT(G1639,2)=LEFT('112'!$M$9,2),B1639&lt;'112'!$N$8,$L1639='112'!$I$6)),"x",""))</f>
        <v/>
      </c>
      <c r="T1639" s="525" t="str">
        <f>IF(ISERROR(FIND('112'!$M$9,G1639,1)),"",IF((AND(RIGHT(G1639,2)=RIGHT('112'!$M$9,2),B1639&lt;'112'!$N$8,$M1639='112'!$I$6)),"x",""))</f>
        <v/>
      </c>
      <c r="U1639" s="525" t="str">
        <f>IF(AND(B1639&gt;='IN-NX'!$P$3,B1639&lt;='IN-NX'!$Q$3,'IN-NX'!$D$7=D1639,OR(LEFT(L1639,2)="15",AND(LEFT(M1639,2)&lt;&gt;"15",LEFT(M1639,2)&lt;&gt;"33"))),"x","")</f>
        <v/>
      </c>
      <c r="V1639" s="525" t="str">
        <f>IF(AND(OR(LEFT(TH!L1639,2)="15",LEFT(TH!M1639,2)="15"),'152-CT'!$J$8=TH!F1639),"x","")</f>
        <v/>
      </c>
      <c r="W1639" s="525" t="str">
        <f>IF(AND(OR(LEFT(TH!L1639,2)="15",LEFT(TH!M1639,2)="15"),TK!$E$7=TH!F1639),"x","")</f>
        <v/>
      </c>
      <c r="X1639" s="525" t="str">
        <f>IF(AND('341-CT'!$E$9=H1639,OR(LEFT(L1639,3)=$X$7,LEFT(M1639,3)=$X$7)),"x","")</f>
        <v/>
      </c>
      <c r="Y1639" s="525" t="str">
        <f>IF(OR(TH!L1639=TH!$Y$7,M1639=TH!$Y$7),"x","")</f>
        <v/>
      </c>
      <c r="Z1639" s="525" t="str">
        <f>IF(AND(B1639&lt;=NKC!$N$8,B1639&gt;=NKC!$M$8),"x","")</f>
        <v>x</v>
      </c>
      <c r="AA1639" s="535"/>
      <c r="AB1639" s="536"/>
      <c r="AE1639" s="536"/>
    </row>
    <row r="1640" spans="1:31" s="503" customFormat="1" ht="15.75" customHeight="1">
      <c r="A1640" s="517" t="str">
        <f>IF(B1640&lt;&gt;"",IF(AND(B1640&gt;=_TM1,B1640&lt;=_TM2,OR(TH!L1640="1111",TH!M1640="1111")),TH!D1640,""),"")</f>
        <v/>
      </c>
      <c r="B1640" s="531">
        <f t="shared" si="162"/>
        <v>1</v>
      </c>
      <c r="C1640" s="315">
        <f t="shared" si="160"/>
        <v>42758</v>
      </c>
      <c r="D1640" s="537" t="s">
        <v>996</v>
      </c>
      <c r="E1640" s="545">
        <v>42758</v>
      </c>
      <c r="F1640" s="249" t="s">
        <v>628</v>
      </c>
      <c r="G1640" s="314" t="s">
        <v>510</v>
      </c>
      <c r="H1640" s="473" t="s">
        <v>800</v>
      </c>
      <c r="I1640" s="307">
        <v>5</v>
      </c>
      <c r="J1640" s="307">
        <v>99212</v>
      </c>
      <c r="K1640" s="532">
        <f t="shared" si="161"/>
        <v>496060</v>
      </c>
      <c r="L1640" s="539" t="s">
        <v>160</v>
      </c>
      <c r="M1640" s="539" t="s">
        <v>292</v>
      </c>
      <c r="N1640" s="525" t="str">
        <f>IF(AND('331-CT'!$E$7=TH!H1640,OR(L1640="331",M1640="331")),"331",IF(AND(OR(L1640="131",M1640="131"),H1640='131-CT'!$E$7),"131",""))</f>
        <v/>
      </c>
      <c r="O1640" s="525" t="str">
        <f>IF(AND($B1640&gt;='111'!$N$11,$B1640&lt;='111'!$O$11,OR($L1640=$O$7,$M1640=$O$7)),"x","")</f>
        <v/>
      </c>
      <c r="P1640" s="525" t="str">
        <f>IF(AND($L1640=$O$7,$B1640&lt;'111'!$N$11),"x","")</f>
        <v/>
      </c>
      <c r="Q1640" s="525" t="str">
        <f>IF(AND($M1640=$O$7,$B1640&lt;'111'!$N$11),"x","")</f>
        <v/>
      </c>
      <c r="R1640" s="525" t="str">
        <f>IF(ISERROR(FIND('112'!$M$9,G1640,1)),"",IF((AND(FIND('112'!$M$9,G1640,1)&gt;=1,$B1640&gt;='112'!$N$8,$B1640&lt;='112'!$O$8,OR($L1640='112'!$I$6,$M1640='112'!$I$6))),"x",""))</f>
        <v/>
      </c>
      <c r="S1640" s="525" t="str">
        <f>IF(ISERROR(FIND('112'!$M$9,G1640,1)),"",IF((AND(LEFT(G1640,2)=LEFT('112'!$M$9,2),B1640&lt;'112'!$N$8,$L1640='112'!$I$6)),"x",""))</f>
        <v/>
      </c>
      <c r="T1640" s="525" t="str">
        <f>IF(ISERROR(FIND('112'!$M$9,G1640,1)),"",IF((AND(RIGHT(G1640,2)=RIGHT('112'!$M$9,2),B1640&lt;'112'!$N$8,$M1640='112'!$I$6)),"x",""))</f>
        <v/>
      </c>
      <c r="U1640" s="525" t="str">
        <f>IF(AND(B1640&gt;='IN-NX'!$P$3,B1640&lt;='IN-NX'!$Q$3,'IN-NX'!$D$7=D1640,OR(LEFT(L1640,2)="15",AND(LEFT(M1640,2)&lt;&gt;"15",LEFT(M1640,2)&lt;&gt;"33"))),"x","")</f>
        <v/>
      </c>
      <c r="V1640" s="525" t="str">
        <f>IF(AND(OR(LEFT(TH!L1640,2)="15",LEFT(TH!M1640,2)="15"),'152-CT'!$J$8=TH!F1640),"x","")</f>
        <v/>
      </c>
      <c r="W1640" s="525" t="str">
        <f>IF(AND(OR(LEFT(TH!L1640,2)="15",LEFT(TH!M1640,2)="15"),TK!$E$7=TH!F1640),"x","")</f>
        <v/>
      </c>
      <c r="X1640" s="525" t="str">
        <f>IF(AND('341-CT'!$E$9=H1640,OR(LEFT(L1640,3)=$X$7,LEFT(M1640,3)=$X$7)),"x","")</f>
        <v/>
      </c>
      <c r="Y1640" s="525" t="str">
        <f>IF(OR(TH!L1640=TH!$Y$7,M1640=TH!$Y$7),"x","")</f>
        <v/>
      </c>
      <c r="Z1640" s="525" t="str">
        <f>IF(AND(B1640&lt;=NKC!$N$8,B1640&gt;=NKC!$M$8),"x","")</f>
        <v>x</v>
      </c>
      <c r="AA1640" s="535"/>
      <c r="AB1640" s="536"/>
      <c r="AE1640" s="536"/>
    </row>
    <row r="1641" spans="1:31" s="503" customFormat="1" ht="15.75" customHeight="1">
      <c r="A1641" s="517" t="str">
        <f>IF(B1641&lt;&gt;"",IF(AND(B1641&gt;=_TM1,B1641&lt;=_TM2,OR(TH!L1641="1111",TH!M1641="1111")),TH!D1641,""),"")</f>
        <v/>
      </c>
      <c r="B1641" s="531">
        <f t="shared" si="162"/>
        <v>1</v>
      </c>
      <c r="C1641" s="315">
        <f t="shared" si="160"/>
        <v>42758</v>
      </c>
      <c r="D1641" s="537" t="s">
        <v>996</v>
      </c>
      <c r="E1641" s="545">
        <v>42758</v>
      </c>
      <c r="F1641" s="249" t="s">
        <v>629</v>
      </c>
      <c r="G1641" s="314" t="s">
        <v>510</v>
      </c>
      <c r="H1641" s="473" t="s">
        <v>800</v>
      </c>
      <c r="I1641" s="307">
        <v>10</v>
      </c>
      <c r="J1641" s="307">
        <v>25258</v>
      </c>
      <c r="K1641" s="532">
        <f t="shared" si="161"/>
        <v>252580</v>
      </c>
      <c r="L1641" s="539" t="s">
        <v>160</v>
      </c>
      <c r="M1641" s="539" t="s">
        <v>292</v>
      </c>
      <c r="N1641" s="525" t="str">
        <f>IF(AND('331-CT'!$E$7=TH!H1641,OR(L1641="331",M1641="331")),"331",IF(AND(OR(L1641="131",M1641="131"),H1641='131-CT'!$E$7),"131",""))</f>
        <v/>
      </c>
      <c r="O1641" s="525" t="str">
        <f>IF(AND($B1641&gt;='111'!$N$11,$B1641&lt;='111'!$O$11,OR($L1641=$O$7,$M1641=$O$7)),"x","")</f>
        <v/>
      </c>
      <c r="P1641" s="525" t="str">
        <f>IF(AND($L1641=$O$7,$B1641&lt;'111'!$N$11),"x","")</f>
        <v/>
      </c>
      <c r="Q1641" s="525" t="str">
        <f>IF(AND($M1641=$O$7,$B1641&lt;'111'!$N$11),"x","")</f>
        <v/>
      </c>
      <c r="R1641" s="525" t="str">
        <f>IF(ISERROR(FIND('112'!$M$9,G1641,1)),"",IF((AND(FIND('112'!$M$9,G1641,1)&gt;=1,$B1641&gt;='112'!$N$8,$B1641&lt;='112'!$O$8,OR($L1641='112'!$I$6,$M1641='112'!$I$6))),"x",""))</f>
        <v/>
      </c>
      <c r="S1641" s="525" t="str">
        <f>IF(ISERROR(FIND('112'!$M$9,G1641,1)),"",IF((AND(LEFT(G1641,2)=LEFT('112'!$M$9,2),B1641&lt;'112'!$N$8,$L1641='112'!$I$6)),"x",""))</f>
        <v/>
      </c>
      <c r="T1641" s="525" t="str">
        <f>IF(ISERROR(FIND('112'!$M$9,G1641,1)),"",IF((AND(RIGHT(G1641,2)=RIGHT('112'!$M$9,2),B1641&lt;'112'!$N$8,$M1641='112'!$I$6)),"x",""))</f>
        <v/>
      </c>
      <c r="U1641" s="525" t="str">
        <f>IF(AND(B1641&gt;='IN-NX'!$P$3,B1641&lt;='IN-NX'!$Q$3,'IN-NX'!$D$7=D1641,OR(LEFT(L1641,2)="15",AND(LEFT(M1641,2)&lt;&gt;"15",LEFT(M1641,2)&lt;&gt;"33"))),"x","")</f>
        <v/>
      </c>
      <c r="V1641" s="525" t="str">
        <f>IF(AND(OR(LEFT(TH!L1641,2)="15",LEFT(TH!M1641,2)="15"),'152-CT'!$J$8=TH!F1641),"x","")</f>
        <v/>
      </c>
      <c r="W1641" s="525" t="str">
        <f>IF(AND(OR(LEFT(TH!L1641,2)="15",LEFT(TH!M1641,2)="15"),TK!$E$7=TH!F1641),"x","")</f>
        <v/>
      </c>
      <c r="X1641" s="525" t="str">
        <f>IF(AND('341-CT'!$E$9=H1641,OR(LEFT(L1641,3)=$X$7,LEFT(M1641,3)=$X$7)),"x","")</f>
        <v/>
      </c>
      <c r="Y1641" s="525" t="str">
        <f>IF(OR(TH!L1641=TH!$Y$7,M1641=TH!$Y$7),"x","")</f>
        <v/>
      </c>
      <c r="Z1641" s="525" t="str">
        <f>IF(AND(B1641&lt;=NKC!$N$8,B1641&gt;=NKC!$M$8),"x","")</f>
        <v>x</v>
      </c>
      <c r="AA1641" s="535"/>
      <c r="AB1641" s="536"/>
      <c r="AE1641" s="536"/>
    </row>
    <row r="1642" spans="1:31" s="503" customFormat="1" ht="15.75" customHeight="1">
      <c r="A1642" s="517" t="str">
        <f>IF(B1642&lt;&gt;"",IF(AND(B1642&gt;=_TM1,B1642&lt;=_TM2,OR(TH!L1642="1111",TH!M1642="1111")),TH!D1642,""),"")</f>
        <v/>
      </c>
      <c r="B1642" s="531">
        <f t="shared" si="162"/>
        <v>1</v>
      </c>
      <c r="C1642" s="315">
        <f t="shared" si="160"/>
        <v>42758</v>
      </c>
      <c r="D1642" s="537" t="s">
        <v>996</v>
      </c>
      <c r="E1642" s="545">
        <v>42758</v>
      </c>
      <c r="F1642" s="249" t="s">
        <v>630</v>
      </c>
      <c r="G1642" s="314" t="s">
        <v>510</v>
      </c>
      <c r="H1642" s="473" t="s">
        <v>800</v>
      </c>
      <c r="I1642" s="307">
        <v>5</v>
      </c>
      <c r="J1642" s="307">
        <v>23736</v>
      </c>
      <c r="K1642" s="532">
        <f t="shared" si="161"/>
        <v>118680</v>
      </c>
      <c r="L1642" s="539" t="s">
        <v>160</v>
      </c>
      <c r="M1642" s="539" t="s">
        <v>292</v>
      </c>
      <c r="N1642" s="525" t="str">
        <f>IF(AND('331-CT'!$E$7=TH!H1642,OR(L1642="331",M1642="331")),"331",IF(AND(OR(L1642="131",M1642="131"),H1642='131-CT'!$E$7),"131",""))</f>
        <v/>
      </c>
      <c r="O1642" s="525" t="str">
        <f>IF(AND($B1642&gt;='111'!$N$11,$B1642&lt;='111'!$O$11,OR($L1642=$O$7,$M1642=$O$7)),"x","")</f>
        <v/>
      </c>
      <c r="P1642" s="525" t="str">
        <f>IF(AND($L1642=$O$7,$B1642&lt;'111'!$N$11),"x","")</f>
        <v/>
      </c>
      <c r="Q1642" s="525" t="str">
        <f>IF(AND($M1642=$O$7,$B1642&lt;'111'!$N$11),"x","")</f>
        <v/>
      </c>
      <c r="R1642" s="525" t="str">
        <f>IF(ISERROR(FIND('112'!$M$9,G1642,1)),"",IF((AND(FIND('112'!$M$9,G1642,1)&gt;=1,$B1642&gt;='112'!$N$8,$B1642&lt;='112'!$O$8,OR($L1642='112'!$I$6,$M1642='112'!$I$6))),"x",""))</f>
        <v/>
      </c>
      <c r="S1642" s="525" t="str">
        <f>IF(ISERROR(FIND('112'!$M$9,G1642,1)),"",IF((AND(LEFT(G1642,2)=LEFT('112'!$M$9,2),B1642&lt;'112'!$N$8,$L1642='112'!$I$6)),"x",""))</f>
        <v/>
      </c>
      <c r="T1642" s="525" t="str">
        <f>IF(ISERROR(FIND('112'!$M$9,G1642,1)),"",IF((AND(RIGHT(G1642,2)=RIGHT('112'!$M$9,2),B1642&lt;'112'!$N$8,$M1642='112'!$I$6)),"x",""))</f>
        <v/>
      </c>
      <c r="U1642" s="525" t="str">
        <f>IF(AND(B1642&gt;='IN-NX'!$P$3,B1642&lt;='IN-NX'!$Q$3,'IN-NX'!$D$7=D1642,OR(LEFT(L1642,2)="15",AND(LEFT(M1642,2)&lt;&gt;"15",LEFT(M1642,2)&lt;&gt;"33"))),"x","")</f>
        <v/>
      </c>
      <c r="V1642" s="525" t="str">
        <f>IF(AND(OR(LEFT(TH!L1642,2)="15",LEFT(TH!M1642,2)="15"),'152-CT'!$J$8=TH!F1642),"x","")</f>
        <v/>
      </c>
      <c r="W1642" s="525" t="str">
        <f>IF(AND(OR(LEFT(TH!L1642,2)="15",LEFT(TH!M1642,2)="15"),TK!$E$7=TH!F1642),"x","")</f>
        <v/>
      </c>
      <c r="X1642" s="525" t="str">
        <f>IF(AND('341-CT'!$E$9=H1642,OR(LEFT(L1642,3)=$X$7,LEFT(M1642,3)=$X$7)),"x","")</f>
        <v/>
      </c>
      <c r="Y1642" s="525" t="str">
        <f>IF(OR(TH!L1642=TH!$Y$7,M1642=TH!$Y$7),"x","")</f>
        <v/>
      </c>
      <c r="Z1642" s="525" t="str">
        <f>IF(AND(B1642&lt;=NKC!$N$8,B1642&gt;=NKC!$M$8),"x","")</f>
        <v>x</v>
      </c>
      <c r="AA1642" s="535"/>
      <c r="AB1642" s="536"/>
      <c r="AE1642" s="536"/>
    </row>
    <row r="1643" spans="1:31" s="503" customFormat="1" ht="15.75" customHeight="1">
      <c r="A1643" s="517" t="str">
        <f>IF(B1643&lt;&gt;"",IF(AND(B1643&gt;=_TM1,B1643&lt;=_TM2,OR(TH!L1643="1111",TH!M1643="1111")),TH!D1643,""),"")</f>
        <v/>
      </c>
      <c r="B1643" s="531">
        <f t="shared" si="162"/>
        <v>1</v>
      </c>
      <c r="C1643" s="315">
        <f t="shared" si="160"/>
        <v>42758</v>
      </c>
      <c r="D1643" s="537" t="s">
        <v>996</v>
      </c>
      <c r="E1643" s="545">
        <v>42758</v>
      </c>
      <c r="F1643" s="249" t="s">
        <v>631</v>
      </c>
      <c r="G1643" s="314" t="s">
        <v>510</v>
      </c>
      <c r="H1643" s="473" t="s">
        <v>800</v>
      </c>
      <c r="I1643" s="307">
        <v>3</v>
      </c>
      <c r="J1643" s="307">
        <v>28583</v>
      </c>
      <c r="K1643" s="532">
        <f t="shared" si="161"/>
        <v>85749</v>
      </c>
      <c r="L1643" s="539" t="s">
        <v>160</v>
      </c>
      <c r="M1643" s="539" t="s">
        <v>292</v>
      </c>
      <c r="N1643" s="525" t="str">
        <f>IF(AND('331-CT'!$E$7=TH!H1643,OR(L1643="331",M1643="331")),"331",IF(AND(OR(L1643="131",M1643="131"),H1643='131-CT'!$E$7),"131",""))</f>
        <v/>
      </c>
      <c r="O1643" s="525" t="str">
        <f>IF(AND($B1643&gt;='111'!$N$11,$B1643&lt;='111'!$O$11,OR($L1643=$O$7,$M1643=$O$7)),"x","")</f>
        <v/>
      </c>
      <c r="P1643" s="525" t="str">
        <f>IF(AND($L1643=$O$7,$B1643&lt;'111'!$N$11),"x","")</f>
        <v/>
      </c>
      <c r="Q1643" s="525" t="str">
        <f>IF(AND($M1643=$O$7,$B1643&lt;'111'!$N$11),"x","")</f>
        <v/>
      </c>
      <c r="R1643" s="525" t="str">
        <f>IF(ISERROR(FIND('112'!$M$9,G1643,1)),"",IF((AND(FIND('112'!$M$9,G1643,1)&gt;=1,$B1643&gt;='112'!$N$8,$B1643&lt;='112'!$O$8,OR($L1643='112'!$I$6,$M1643='112'!$I$6))),"x",""))</f>
        <v/>
      </c>
      <c r="S1643" s="525" t="str">
        <f>IF(ISERROR(FIND('112'!$M$9,G1643,1)),"",IF((AND(LEFT(G1643,2)=LEFT('112'!$M$9,2),B1643&lt;'112'!$N$8,$L1643='112'!$I$6)),"x",""))</f>
        <v/>
      </c>
      <c r="T1643" s="525" t="str">
        <f>IF(ISERROR(FIND('112'!$M$9,G1643,1)),"",IF((AND(RIGHT(G1643,2)=RIGHT('112'!$M$9,2),B1643&lt;'112'!$N$8,$M1643='112'!$I$6)),"x",""))</f>
        <v/>
      </c>
      <c r="U1643" s="525" t="str">
        <f>IF(AND(B1643&gt;='IN-NX'!$P$3,B1643&lt;='IN-NX'!$Q$3,'IN-NX'!$D$7=D1643,OR(LEFT(L1643,2)="15",AND(LEFT(M1643,2)&lt;&gt;"15",LEFT(M1643,2)&lt;&gt;"33"))),"x","")</f>
        <v/>
      </c>
      <c r="V1643" s="525" t="str">
        <f>IF(AND(OR(LEFT(TH!L1643,2)="15",LEFT(TH!M1643,2)="15"),'152-CT'!$J$8=TH!F1643),"x","")</f>
        <v/>
      </c>
      <c r="W1643" s="525" t="str">
        <f>IF(AND(OR(LEFT(TH!L1643,2)="15",LEFT(TH!M1643,2)="15"),TK!$E$7=TH!F1643),"x","")</f>
        <v/>
      </c>
      <c r="X1643" s="525" t="str">
        <f>IF(AND('341-CT'!$E$9=H1643,OR(LEFT(L1643,3)=$X$7,LEFT(M1643,3)=$X$7)),"x","")</f>
        <v/>
      </c>
      <c r="Y1643" s="525" t="str">
        <f>IF(OR(TH!L1643=TH!$Y$7,M1643=TH!$Y$7),"x","")</f>
        <v/>
      </c>
      <c r="Z1643" s="525" t="str">
        <f>IF(AND(B1643&lt;=NKC!$N$8,B1643&gt;=NKC!$M$8),"x","")</f>
        <v>x</v>
      </c>
      <c r="AA1643" s="535"/>
      <c r="AB1643" s="536"/>
      <c r="AE1643" s="536"/>
    </row>
    <row r="1644" spans="1:31" s="503" customFormat="1" ht="15.75" customHeight="1">
      <c r="A1644" s="517" t="str">
        <f>IF(B1644&lt;&gt;"",IF(AND(B1644&gt;=_TM1,B1644&lt;=_TM2,OR(TH!L1644="1111",TH!M1644="1111")),TH!D1644,""),"")</f>
        <v/>
      </c>
      <c r="B1644" s="531">
        <f t="shared" si="162"/>
        <v>1</v>
      </c>
      <c r="C1644" s="315">
        <f t="shared" si="160"/>
        <v>42758</v>
      </c>
      <c r="D1644" s="537" t="s">
        <v>996</v>
      </c>
      <c r="E1644" s="545">
        <v>42758</v>
      </c>
      <c r="F1644" s="249" t="s">
        <v>632</v>
      </c>
      <c r="G1644" s="314" t="s">
        <v>510</v>
      </c>
      <c r="H1644" s="473" t="s">
        <v>800</v>
      </c>
      <c r="I1644" s="307">
        <v>10</v>
      </c>
      <c r="J1644" s="307">
        <v>53873</v>
      </c>
      <c r="K1644" s="532">
        <f t="shared" si="161"/>
        <v>538730</v>
      </c>
      <c r="L1644" s="539" t="s">
        <v>160</v>
      </c>
      <c r="M1644" s="539" t="s">
        <v>292</v>
      </c>
      <c r="N1644" s="525" t="str">
        <f>IF(AND('331-CT'!$E$7=TH!H1644,OR(L1644="331",M1644="331")),"331",IF(AND(OR(L1644="131",M1644="131"),H1644='131-CT'!$E$7),"131",""))</f>
        <v/>
      </c>
      <c r="O1644" s="525" t="str">
        <f>IF(AND($B1644&gt;='111'!$N$11,$B1644&lt;='111'!$O$11,OR($L1644=$O$7,$M1644=$O$7)),"x","")</f>
        <v/>
      </c>
      <c r="P1644" s="525" t="str">
        <f>IF(AND($L1644=$O$7,$B1644&lt;'111'!$N$11),"x","")</f>
        <v/>
      </c>
      <c r="Q1644" s="525" t="str">
        <f>IF(AND($M1644=$O$7,$B1644&lt;'111'!$N$11),"x","")</f>
        <v/>
      </c>
      <c r="R1644" s="525" t="str">
        <f>IF(ISERROR(FIND('112'!$M$9,G1644,1)),"",IF((AND(FIND('112'!$M$9,G1644,1)&gt;=1,$B1644&gt;='112'!$N$8,$B1644&lt;='112'!$O$8,OR($L1644='112'!$I$6,$M1644='112'!$I$6))),"x",""))</f>
        <v/>
      </c>
      <c r="S1644" s="525" t="str">
        <f>IF(ISERROR(FIND('112'!$M$9,G1644,1)),"",IF((AND(LEFT(G1644,2)=LEFT('112'!$M$9,2),B1644&lt;'112'!$N$8,$L1644='112'!$I$6)),"x",""))</f>
        <v/>
      </c>
      <c r="T1644" s="525" t="str">
        <f>IF(ISERROR(FIND('112'!$M$9,G1644,1)),"",IF((AND(RIGHT(G1644,2)=RIGHT('112'!$M$9,2),B1644&lt;'112'!$N$8,$M1644='112'!$I$6)),"x",""))</f>
        <v/>
      </c>
      <c r="U1644" s="525" t="str">
        <f>IF(AND(B1644&gt;='IN-NX'!$P$3,B1644&lt;='IN-NX'!$Q$3,'IN-NX'!$D$7=D1644,OR(LEFT(L1644,2)="15",AND(LEFT(M1644,2)&lt;&gt;"15",LEFT(M1644,2)&lt;&gt;"33"))),"x","")</f>
        <v/>
      </c>
      <c r="V1644" s="525" t="str">
        <f>IF(AND(OR(LEFT(TH!L1644,2)="15",LEFT(TH!M1644,2)="15"),'152-CT'!$J$8=TH!F1644),"x","")</f>
        <v/>
      </c>
      <c r="W1644" s="525" t="str">
        <f>IF(AND(OR(LEFT(TH!L1644,2)="15",LEFT(TH!M1644,2)="15"),TK!$E$7=TH!F1644),"x","")</f>
        <v/>
      </c>
      <c r="X1644" s="525" t="str">
        <f>IF(AND('341-CT'!$E$9=H1644,OR(LEFT(L1644,3)=$X$7,LEFT(M1644,3)=$X$7)),"x","")</f>
        <v/>
      </c>
      <c r="Y1644" s="525" t="str">
        <f>IF(OR(TH!L1644=TH!$Y$7,M1644=TH!$Y$7),"x","")</f>
        <v/>
      </c>
      <c r="Z1644" s="525" t="str">
        <f>IF(AND(B1644&lt;=NKC!$N$8,B1644&gt;=NKC!$M$8),"x","")</f>
        <v>x</v>
      </c>
      <c r="AA1644" s="535"/>
      <c r="AB1644" s="536"/>
      <c r="AE1644" s="536"/>
    </row>
    <row r="1645" spans="1:31" s="503" customFormat="1" ht="15.75" customHeight="1">
      <c r="A1645" s="517" t="str">
        <f>IF(B1645&lt;&gt;"",IF(AND(B1645&gt;=_TM1,B1645&lt;=_TM2,OR(TH!L1645="1111",TH!M1645="1111")),TH!D1645,""),"")</f>
        <v/>
      </c>
      <c r="B1645" s="531">
        <f t="shared" si="162"/>
        <v>1</v>
      </c>
      <c r="C1645" s="315">
        <f t="shared" si="160"/>
        <v>42758</v>
      </c>
      <c r="D1645" s="537" t="s">
        <v>996</v>
      </c>
      <c r="E1645" s="545">
        <v>42758</v>
      </c>
      <c r="F1645" s="249" t="s">
        <v>633</v>
      </c>
      <c r="G1645" s="314" t="s">
        <v>510</v>
      </c>
      <c r="H1645" s="473" t="s">
        <v>800</v>
      </c>
      <c r="I1645" s="307">
        <v>15</v>
      </c>
      <c r="J1645" s="307">
        <v>42021</v>
      </c>
      <c r="K1645" s="532">
        <f t="shared" si="161"/>
        <v>630315</v>
      </c>
      <c r="L1645" s="539" t="s">
        <v>160</v>
      </c>
      <c r="M1645" s="539" t="s">
        <v>292</v>
      </c>
      <c r="N1645" s="525" t="str">
        <f>IF(AND('331-CT'!$E$7=TH!H1645,OR(L1645="331",M1645="331")),"331",IF(AND(OR(L1645="131",M1645="131"),H1645='131-CT'!$E$7),"131",""))</f>
        <v/>
      </c>
      <c r="O1645" s="525" t="str">
        <f>IF(AND($B1645&gt;='111'!$N$11,$B1645&lt;='111'!$O$11,OR($L1645=$O$7,$M1645=$O$7)),"x","")</f>
        <v/>
      </c>
      <c r="P1645" s="525" t="str">
        <f>IF(AND($L1645=$O$7,$B1645&lt;'111'!$N$11),"x","")</f>
        <v/>
      </c>
      <c r="Q1645" s="525" t="str">
        <f>IF(AND($M1645=$O$7,$B1645&lt;'111'!$N$11),"x","")</f>
        <v/>
      </c>
      <c r="R1645" s="525" t="str">
        <f>IF(ISERROR(FIND('112'!$M$9,G1645,1)),"",IF((AND(FIND('112'!$M$9,G1645,1)&gt;=1,$B1645&gt;='112'!$N$8,$B1645&lt;='112'!$O$8,OR($L1645='112'!$I$6,$M1645='112'!$I$6))),"x",""))</f>
        <v/>
      </c>
      <c r="S1645" s="525" t="str">
        <f>IF(ISERROR(FIND('112'!$M$9,G1645,1)),"",IF((AND(LEFT(G1645,2)=LEFT('112'!$M$9,2),B1645&lt;'112'!$N$8,$L1645='112'!$I$6)),"x",""))</f>
        <v/>
      </c>
      <c r="T1645" s="525" t="str">
        <f>IF(ISERROR(FIND('112'!$M$9,G1645,1)),"",IF((AND(RIGHT(G1645,2)=RIGHT('112'!$M$9,2),B1645&lt;'112'!$N$8,$M1645='112'!$I$6)),"x",""))</f>
        <v/>
      </c>
      <c r="U1645" s="525" t="str">
        <f>IF(AND(B1645&gt;='IN-NX'!$P$3,B1645&lt;='IN-NX'!$Q$3,'IN-NX'!$D$7=D1645,OR(LEFT(L1645,2)="15",AND(LEFT(M1645,2)&lt;&gt;"15",LEFT(M1645,2)&lt;&gt;"33"))),"x","")</f>
        <v/>
      </c>
      <c r="V1645" s="525" t="str">
        <f>IF(AND(OR(LEFT(TH!L1645,2)="15",LEFT(TH!M1645,2)="15"),'152-CT'!$J$8=TH!F1645),"x","")</f>
        <v/>
      </c>
      <c r="W1645" s="525" t="str">
        <f>IF(AND(OR(LEFT(TH!L1645,2)="15",LEFT(TH!M1645,2)="15"),TK!$E$7=TH!F1645),"x","")</f>
        <v/>
      </c>
      <c r="X1645" s="525" t="str">
        <f>IF(AND('341-CT'!$E$9=H1645,OR(LEFT(L1645,3)=$X$7,LEFT(M1645,3)=$X$7)),"x","")</f>
        <v/>
      </c>
      <c r="Y1645" s="525" t="str">
        <f>IF(OR(TH!L1645=TH!$Y$7,M1645=TH!$Y$7),"x","")</f>
        <v/>
      </c>
      <c r="Z1645" s="525" t="str">
        <f>IF(AND(B1645&lt;=NKC!$N$8,B1645&gt;=NKC!$M$8),"x","")</f>
        <v>x</v>
      </c>
      <c r="AA1645" s="535"/>
      <c r="AB1645" s="536"/>
      <c r="AE1645" s="536"/>
    </row>
    <row r="1646" spans="1:31" s="503" customFormat="1" ht="15.75" customHeight="1">
      <c r="A1646" s="517" t="str">
        <f>IF(B1646&lt;&gt;"",IF(AND(B1646&gt;=_TM1,B1646&lt;=_TM2,OR(TH!L1646="1111",TH!M1646="1111")),TH!D1646,""),"")</f>
        <v/>
      </c>
      <c r="B1646" s="531">
        <f t="shared" si="162"/>
        <v>1</v>
      </c>
      <c r="C1646" s="315">
        <f t="shared" si="160"/>
        <v>42758</v>
      </c>
      <c r="D1646" s="537" t="s">
        <v>996</v>
      </c>
      <c r="E1646" s="545">
        <v>42758</v>
      </c>
      <c r="F1646" s="249" t="s">
        <v>634</v>
      </c>
      <c r="G1646" s="314" t="s">
        <v>510</v>
      </c>
      <c r="H1646" s="473" t="s">
        <v>800</v>
      </c>
      <c r="I1646" s="307">
        <v>10</v>
      </c>
      <c r="J1646" s="307">
        <v>31547</v>
      </c>
      <c r="K1646" s="532">
        <f t="shared" si="161"/>
        <v>315470</v>
      </c>
      <c r="L1646" s="539" t="s">
        <v>160</v>
      </c>
      <c r="M1646" s="539" t="s">
        <v>292</v>
      </c>
      <c r="N1646" s="525" t="str">
        <f>IF(AND('331-CT'!$E$7=TH!H1646,OR(L1646="331",M1646="331")),"331",IF(AND(OR(L1646="131",M1646="131"),H1646='131-CT'!$E$7),"131",""))</f>
        <v/>
      </c>
      <c r="O1646" s="525" t="str">
        <f>IF(AND($B1646&gt;='111'!$N$11,$B1646&lt;='111'!$O$11,OR($L1646=$O$7,$M1646=$O$7)),"x","")</f>
        <v/>
      </c>
      <c r="P1646" s="525" t="str">
        <f>IF(AND($L1646=$O$7,$B1646&lt;'111'!$N$11),"x","")</f>
        <v/>
      </c>
      <c r="Q1646" s="525" t="str">
        <f>IF(AND($M1646=$O$7,$B1646&lt;'111'!$N$11),"x","")</f>
        <v/>
      </c>
      <c r="R1646" s="525" t="str">
        <f>IF(ISERROR(FIND('112'!$M$9,G1646,1)),"",IF((AND(FIND('112'!$M$9,G1646,1)&gt;=1,$B1646&gt;='112'!$N$8,$B1646&lt;='112'!$O$8,OR($L1646='112'!$I$6,$M1646='112'!$I$6))),"x",""))</f>
        <v/>
      </c>
      <c r="S1646" s="525" t="str">
        <f>IF(ISERROR(FIND('112'!$M$9,G1646,1)),"",IF((AND(LEFT(G1646,2)=LEFT('112'!$M$9,2),B1646&lt;'112'!$N$8,$L1646='112'!$I$6)),"x",""))</f>
        <v/>
      </c>
      <c r="T1646" s="525" t="str">
        <f>IF(ISERROR(FIND('112'!$M$9,G1646,1)),"",IF((AND(RIGHT(G1646,2)=RIGHT('112'!$M$9,2),B1646&lt;'112'!$N$8,$M1646='112'!$I$6)),"x",""))</f>
        <v/>
      </c>
      <c r="U1646" s="525" t="str">
        <f>IF(AND(B1646&gt;='IN-NX'!$P$3,B1646&lt;='IN-NX'!$Q$3,'IN-NX'!$D$7=D1646,OR(LEFT(L1646,2)="15",AND(LEFT(M1646,2)&lt;&gt;"15",LEFT(M1646,2)&lt;&gt;"33"))),"x","")</f>
        <v/>
      </c>
      <c r="V1646" s="525" t="str">
        <f>IF(AND(OR(LEFT(TH!L1646,2)="15",LEFT(TH!M1646,2)="15"),'152-CT'!$J$8=TH!F1646),"x","")</f>
        <v/>
      </c>
      <c r="W1646" s="525" t="str">
        <f>IF(AND(OR(LEFT(TH!L1646,2)="15",LEFT(TH!M1646,2)="15"),TK!$E$7=TH!F1646),"x","")</f>
        <v/>
      </c>
      <c r="X1646" s="525" t="str">
        <f>IF(AND('341-CT'!$E$9=H1646,OR(LEFT(L1646,3)=$X$7,LEFT(M1646,3)=$X$7)),"x","")</f>
        <v/>
      </c>
      <c r="Y1646" s="525" t="str">
        <f>IF(OR(TH!L1646=TH!$Y$7,M1646=TH!$Y$7),"x","")</f>
        <v/>
      </c>
      <c r="Z1646" s="525" t="str">
        <f>IF(AND(B1646&lt;=NKC!$N$8,B1646&gt;=NKC!$M$8),"x","")</f>
        <v>x</v>
      </c>
      <c r="AA1646" s="535"/>
      <c r="AB1646" s="536"/>
      <c r="AE1646" s="536"/>
    </row>
    <row r="1647" spans="1:31" s="503" customFormat="1" ht="15.75" customHeight="1">
      <c r="A1647" s="517" t="str">
        <f>IF(B1647&lt;&gt;"",IF(AND(B1647&gt;=_TM1,B1647&lt;=_TM2,OR(TH!L1647="1111",TH!M1647="1111")),TH!D1647,""),"")</f>
        <v/>
      </c>
      <c r="B1647" s="531">
        <f t="shared" si="162"/>
        <v>1</v>
      </c>
      <c r="C1647" s="315">
        <f t="shared" si="160"/>
        <v>42758</v>
      </c>
      <c r="D1647" s="537" t="s">
        <v>996</v>
      </c>
      <c r="E1647" s="545">
        <v>42758</v>
      </c>
      <c r="F1647" s="249" t="s">
        <v>635</v>
      </c>
      <c r="G1647" s="314" t="s">
        <v>510</v>
      </c>
      <c r="H1647" s="473" t="s">
        <v>800</v>
      </c>
      <c r="I1647" s="307">
        <v>16</v>
      </c>
      <c r="J1647" s="307">
        <v>135786</v>
      </c>
      <c r="K1647" s="532">
        <f t="shared" si="161"/>
        <v>2172576</v>
      </c>
      <c r="L1647" s="539" t="s">
        <v>160</v>
      </c>
      <c r="M1647" s="539" t="s">
        <v>292</v>
      </c>
      <c r="N1647" s="525" t="str">
        <f>IF(AND('331-CT'!$E$7=TH!H1647,OR(L1647="331",M1647="331")),"331",IF(AND(OR(L1647="131",M1647="131"),H1647='131-CT'!$E$7),"131",""))</f>
        <v/>
      </c>
      <c r="O1647" s="525" t="str">
        <f>IF(AND($B1647&gt;='111'!$N$11,$B1647&lt;='111'!$O$11,OR($L1647=$O$7,$M1647=$O$7)),"x","")</f>
        <v/>
      </c>
      <c r="P1647" s="525" t="str">
        <f>IF(AND($L1647=$O$7,$B1647&lt;'111'!$N$11),"x","")</f>
        <v/>
      </c>
      <c r="Q1647" s="525" t="str">
        <f>IF(AND($M1647=$O$7,$B1647&lt;'111'!$N$11),"x","")</f>
        <v/>
      </c>
      <c r="R1647" s="525" t="str">
        <f>IF(ISERROR(FIND('112'!$M$9,G1647,1)),"",IF((AND(FIND('112'!$M$9,G1647,1)&gt;=1,$B1647&gt;='112'!$N$8,$B1647&lt;='112'!$O$8,OR($L1647='112'!$I$6,$M1647='112'!$I$6))),"x",""))</f>
        <v/>
      </c>
      <c r="S1647" s="525" t="str">
        <f>IF(ISERROR(FIND('112'!$M$9,G1647,1)),"",IF((AND(LEFT(G1647,2)=LEFT('112'!$M$9,2),B1647&lt;'112'!$N$8,$L1647='112'!$I$6)),"x",""))</f>
        <v/>
      </c>
      <c r="T1647" s="525" t="str">
        <f>IF(ISERROR(FIND('112'!$M$9,G1647,1)),"",IF((AND(RIGHT(G1647,2)=RIGHT('112'!$M$9,2),B1647&lt;'112'!$N$8,$M1647='112'!$I$6)),"x",""))</f>
        <v/>
      </c>
      <c r="U1647" s="525" t="str">
        <f>IF(AND(B1647&gt;='IN-NX'!$P$3,B1647&lt;='IN-NX'!$Q$3,'IN-NX'!$D$7=D1647,OR(LEFT(L1647,2)="15",AND(LEFT(M1647,2)&lt;&gt;"15",LEFT(M1647,2)&lt;&gt;"33"))),"x","")</f>
        <v/>
      </c>
      <c r="V1647" s="525" t="str">
        <f>IF(AND(OR(LEFT(TH!L1647,2)="15",LEFT(TH!M1647,2)="15"),'152-CT'!$J$8=TH!F1647),"x","")</f>
        <v/>
      </c>
      <c r="W1647" s="525" t="str">
        <f>IF(AND(OR(LEFT(TH!L1647,2)="15",LEFT(TH!M1647,2)="15"),TK!$E$7=TH!F1647),"x","")</f>
        <v/>
      </c>
      <c r="X1647" s="525" t="str">
        <f>IF(AND('341-CT'!$E$9=H1647,OR(LEFT(L1647,3)=$X$7,LEFT(M1647,3)=$X$7)),"x","")</f>
        <v/>
      </c>
      <c r="Y1647" s="525" t="str">
        <f>IF(OR(TH!L1647=TH!$Y$7,M1647=TH!$Y$7),"x","")</f>
        <v/>
      </c>
      <c r="Z1647" s="525" t="str">
        <f>IF(AND(B1647&lt;=NKC!$N$8,B1647&gt;=NKC!$M$8),"x","")</f>
        <v>x</v>
      </c>
      <c r="AA1647" s="535"/>
      <c r="AB1647" s="536"/>
      <c r="AE1647" s="536"/>
    </row>
    <row r="1648" spans="1:31" s="503" customFormat="1" ht="15.75" customHeight="1">
      <c r="A1648" s="517" t="str">
        <f>IF(B1648&lt;&gt;"",IF(AND(B1648&gt;=_TM1,B1648&lt;=_TM2,OR(TH!L1648="1111",TH!M1648="1111")),TH!D1648,""),"")</f>
        <v/>
      </c>
      <c r="B1648" s="531">
        <f t="shared" si="162"/>
        <v>1</v>
      </c>
      <c r="C1648" s="315">
        <f t="shared" si="160"/>
        <v>42758</v>
      </c>
      <c r="D1648" s="537" t="s">
        <v>996</v>
      </c>
      <c r="E1648" s="545">
        <v>42758</v>
      </c>
      <c r="F1648" s="249" t="s">
        <v>636</v>
      </c>
      <c r="G1648" s="314" t="s">
        <v>510</v>
      </c>
      <c r="H1648" s="473" t="s">
        <v>800</v>
      </c>
      <c r="I1648" s="307">
        <v>16</v>
      </c>
      <c r="J1648" s="307">
        <v>58590</v>
      </c>
      <c r="K1648" s="532">
        <f t="shared" si="161"/>
        <v>937440</v>
      </c>
      <c r="L1648" s="539" t="s">
        <v>160</v>
      </c>
      <c r="M1648" s="539" t="s">
        <v>292</v>
      </c>
      <c r="N1648" s="525" t="str">
        <f>IF(AND('331-CT'!$E$7=TH!H1648,OR(L1648="331",M1648="331")),"331",IF(AND(OR(L1648="131",M1648="131"),H1648='131-CT'!$E$7),"131",""))</f>
        <v/>
      </c>
      <c r="O1648" s="525" t="str">
        <f>IF(AND($B1648&gt;='111'!$N$11,$B1648&lt;='111'!$O$11,OR($L1648=$O$7,$M1648=$O$7)),"x","")</f>
        <v/>
      </c>
      <c r="P1648" s="525" t="str">
        <f>IF(AND($L1648=$O$7,$B1648&lt;'111'!$N$11),"x","")</f>
        <v/>
      </c>
      <c r="Q1648" s="525" t="str">
        <f>IF(AND($M1648=$O$7,$B1648&lt;'111'!$N$11),"x","")</f>
        <v/>
      </c>
      <c r="R1648" s="525" t="str">
        <f>IF(ISERROR(FIND('112'!$M$9,G1648,1)),"",IF((AND(FIND('112'!$M$9,G1648,1)&gt;=1,$B1648&gt;='112'!$N$8,$B1648&lt;='112'!$O$8,OR($L1648='112'!$I$6,$M1648='112'!$I$6))),"x",""))</f>
        <v/>
      </c>
      <c r="S1648" s="525" t="str">
        <f>IF(ISERROR(FIND('112'!$M$9,G1648,1)),"",IF((AND(LEFT(G1648,2)=LEFT('112'!$M$9,2),B1648&lt;'112'!$N$8,$L1648='112'!$I$6)),"x",""))</f>
        <v/>
      </c>
      <c r="T1648" s="525" t="str">
        <f>IF(ISERROR(FIND('112'!$M$9,G1648,1)),"",IF((AND(RIGHT(G1648,2)=RIGHT('112'!$M$9,2),B1648&lt;'112'!$N$8,$M1648='112'!$I$6)),"x",""))</f>
        <v/>
      </c>
      <c r="U1648" s="525" t="str">
        <f>IF(AND(B1648&gt;='IN-NX'!$P$3,B1648&lt;='IN-NX'!$Q$3,'IN-NX'!$D$7=D1648,OR(LEFT(L1648,2)="15",AND(LEFT(M1648,2)&lt;&gt;"15",LEFT(M1648,2)&lt;&gt;"33"))),"x","")</f>
        <v/>
      </c>
      <c r="V1648" s="525" t="str">
        <f>IF(AND(OR(LEFT(TH!L1648,2)="15",LEFT(TH!M1648,2)="15"),'152-CT'!$J$8=TH!F1648),"x","")</f>
        <v/>
      </c>
      <c r="W1648" s="525" t="str">
        <f>IF(AND(OR(LEFT(TH!L1648,2)="15",LEFT(TH!M1648,2)="15"),TK!$E$7=TH!F1648),"x","")</f>
        <v/>
      </c>
      <c r="X1648" s="525" t="str">
        <f>IF(AND('341-CT'!$E$9=H1648,OR(LEFT(L1648,3)=$X$7,LEFT(M1648,3)=$X$7)),"x","")</f>
        <v/>
      </c>
      <c r="Y1648" s="525" t="str">
        <f>IF(OR(TH!L1648=TH!$Y$7,M1648=TH!$Y$7),"x","")</f>
        <v/>
      </c>
      <c r="Z1648" s="525" t="str">
        <f>IF(AND(B1648&lt;=NKC!$N$8,B1648&gt;=NKC!$M$8),"x","")</f>
        <v>x</v>
      </c>
      <c r="AA1648" s="535"/>
      <c r="AB1648" s="536"/>
      <c r="AE1648" s="536"/>
    </row>
    <row r="1649" spans="1:31" s="503" customFormat="1" ht="15.75" customHeight="1">
      <c r="A1649" s="517" t="str">
        <f>IF(B1649&lt;&gt;"",IF(AND(B1649&gt;=_TM1,B1649&lt;=_TM2,OR(TH!L1649="1111",TH!M1649="1111")),TH!D1649,""),"")</f>
        <v/>
      </c>
      <c r="B1649" s="531">
        <f t="shared" si="162"/>
        <v>1</v>
      </c>
      <c r="C1649" s="315">
        <f t="shared" si="160"/>
        <v>42758</v>
      </c>
      <c r="D1649" s="537" t="s">
        <v>996</v>
      </c>
      <c r="E1649" s="545">
        <v>42758</v>
      </c>
      <c r="F1649" s="249" t="s">
        <v>637</v>
      </c>
      <c r="G1649" s="314" t="s">
        <v>510</v>
      </c>
      <c r="H1649" s="473" t="s">
        <v>800</v>
      </c>
      <c r="I1649" s="307">
        <v>12</v>
      </c>
      <c r="J1649" s="307">
        <v>129948.00000000001</v>
      </c>
      <c r="K1649" s="532">
        <f t="shared" si="161"/>
        <v>1559376</v>
      </c>
      <c r="L1649" s="539" t="s">
        <v>160</v>
      </c>
      <c r="M1649" s="539" t="s">
        <v>292</v>
      </c>
      <c r="N1649" s="525" t="str">
        <f>IF(AND('331-CT'!$E$7=TH!H1649,OR(L1649="331",M1649="331")),"331",IF(AND(OR(L1649="131",M1649="131"),H1649='131-CT'!$E$7),"131",""))</f>
        <v/>
      </c>
      <c r="O1649" s="525" t="str">
        <f>IF(AND($B1649&gt;='111'!$N$11,$B1649&lt;='111'!$O$11,OR($L1649=$O$7,$M1649=$O$7)),"x","")</f>
        <v/>
      </c>
      <c r="P1649" s="525" t="str">
        <f>IF(AND($L1649=$O$7,$B1649&lt;'111'!$N$11),"x","")</f>
        <v/>
      </c>
      <c r="Q1649" s="525" t="str">
        <f>IF(AND($M1649=$O$7,$B1649&lt;'111'!$N$11),"x","")</f>
        <v/>
      </c>
      <c r="R1649" s="525" t="str">
        <f>IF(ISERROR(FIND('112'!$M$9,G1649,1)),"",IF((AND(FIND('112'!$M$9,G1649,1)&gt;=1,$B1649&gt;='112'!$N$8,$B1649&lt;='112'!$O$8,OR($L1649='112'!$I$6,$M1649='112'!$I$6))),"x",""))</f>
        <v/>
      </c>
      <c r="S1649" s="525" t="str">
        <f>IF(ISERROR(FIND('112'!$M$9,G1649,1)),"",IF((AND(LEFT(G1649,2)=LEFT('112'!$M$9,2),B1649&lt;'112'!$N$8,$L1649='112'!$I$6)),"x",""))</f>
        <v/>
      </c>
      <c r="T1649" s="525" t="str">
        <f>IF(ISERROR(FIND('112'!$M$9,G1649,1)),"",IF((AND(RIGHT(G1649,2)=RIGHT('112'!$M$9,2),B1649&lt;'112'!$N$8,$M1649='112'!$I$6)),"x",""))</f>
        <v/>
      </c>
      <c r="U1649" s="525" t="str">
        <f>IF(AND(B1649&gt;='IN-NX'!$P$3,B1649&lt;='IN-NX'!$Q$3,'IN-NX'!$D$7=D1649,OR(LEFT(L1649,2)="15",AND(LEFT(M1649,2)&lt;&gt;"15",LEFT(M1649,2)&lt;&gt;"33"))),"x","")</f>
        <v/>
      </c>
      <c r="V1649" s="525" t="str">
        <f>IF(AND(OR(LEFT(TH!L1649,2)="15",LEFT(TH!M1649,2)="15"),'152-CT'!$J$8=TH!F1649),"x","")</f>
        <v/>
      </c>
      <c r="W1649" s="525" t="str">
        <f>IF(AND(OR(LEFT(TH!L1649,2)="15",LEFT(TH!M1649,2)="15"),TK!$E$7=TH!F1649),"x","")</f>
        <v/>
      </c>
      <c r="X1649" s="525" t="str">
        <f>IF(AND('341-CT'!$E$9=H1649,OR(LEFT(L1649,3)=$X$7,LEFT(M1649,3)=$X$7)),"x","")</f>
        <v/>
      </c>
      <c r="Y1649" s="525" t="str">
        <f>IF(OR(TH!L1649=TH!$Y$7,M1649=TH!$Y$7),"x","")</f>
        <v/>
      </c>
      <c r="Z1649" s="525" t="str">
        <f>IF(AND(B1649&lt;=NKC!$N$8,B1649&gt;=NKC!$M$8),"x","")</f>
        <v>x</v>
      </c>
      <c r="AA1649" s="535"/>
      <c r="AB1649" s="536"/>
      <c r="AE1649" s="536"/>
    </row>
    <row r="1650" spans="1:31" s="503" customFormat="1" ht="15.75" customHeight="1">
      <c r="A1650" s="517" t="str">
        <f>IF(B1650&lt;&gt;"",IF(AND(B1650&gt;=_TM1,B1650&lt;=_TM2,OR(TH!L1650="1111",TH!M1650="1111")),TH!D1650,""),"")</f>
        <v/>
      </c>
      <c r="B1650" s="531">
        <f t="shared" si="162"/>
        <v>1</v>
      </c>
      <c r="C1650" s="315">
        <f t="shared" si="160"/>
        <v>42758</v>
      </c>
      <c r="D1650" s="537" t="s">
        <v>996</v>
      </c>
      <c r="E1650" s="545">
        <v>42758</v>
      </c>
      <c r="F1650" s="249" t="s">
        <v>629</v>
      </c>
      <c r="G1650" s="314" t="s">
        <v>510</v>
      </c>
      <c r="H1650" s="473" t="s">
        <v>800</v>
      </c>
      <c r="I1650" s="307">
        <v>48</v>
      </c>
      <c r="J1650" s="307">
        <v>37787.200000000004</v>
      </c>
      <c r="K1650" s="532">
        <f t="shared" si="161"/>
        <v>1813786</v>
      </c>
      <c r="L1650" s="539" t="s">
        <v>160</v>
      </c>
      <c r="M1650" s="539" t="s">
        <v>292</v>
      </c>
      <c r="N1650" s="525" t="str">
        <f>IF(AND('331-CT'!$E$7=TH!H1650,OR(L1650="331",M1650="331")),"331",IF(AND(OR(L1650="131",M1650="131"),H1650='131-CT'!$E$7),"131",""))</f>
        <v/>
      </c>
      <c r="O1650" s="525" t="str">
        <f>IF(AND($B1650&gt;='111'!$N$11,$B1650&lt;='111'!$O$11,OR($L1650=$O$7,$M1650=$O$7)),"x","")</f>
        <v/>
      </c>
      <c r="P1650" s="525" t="str">
        <f>IF(AND($L1650=$O$7,$B1650&lt;'111'!$N$11),"x","")</f>
        <v/>
      </c>
      <c r="Q1650" s="525" t="str">
        <f>IF(AND($M1650=$O$7,$B1650&lt;'111'!$N$11),"x","")</f>
        <v/>
      </c>
      <c r="R1650" s="525" t="str">
        <f>IF(ISERROR(FIND('112'!$M$9,G1650,1)),"",IF((AND(FIND('112'!$M$9,G1650,1)&gt;=1,$B1650&gt;='112'!$N$8,$B1650&lt;='112'!$O$8,OR($L1650='112'!$I$6,$M1650='112'!$I$6))),"x",""))</f>
        <v/>
      </c>
      <c r="S1650" s="525" t="str">
        <f>IF(ISERROR(FIND('112'!$M$9,G1650,1)),"",IF((AND(LEFT(G1650,2)=LEFT('112'!$M$9,2),B1650&lt;'112'!$N$8,$L1650='112'!$I$6)),"x",""))</f>
        <v/>
      </c>
      <c r="T1650" s="525" t="str">
        <f>IF(ISERROR(FIND('112'!$M$9,G1650,1)),"",IF((AND(RIGHT(G1650,2)=RIGHT('112'!$M$9,2),B1650&lt;'112'!$N$8,$M1650='112'!$I$6)),"x",""))</f>
        <v/>
      </c>
      <c r="U1650" s="525" t="str">
        <f>IF(AND(B1650&gt;='IN-NX'!$P$3,B1650&lt;='IN-NX'!$Q$3,'IN-NX'!$D$7=D1650,OR(LEFT(L1650,2)="15",AND(LEFT(M1650,2)&lt;&gt;"15",LEFT(M1650,2)&lt;&gt;"33"))),"x","")</f>
        <v/>
      </c>
      <c r="V1650" s="525" t="str">
        <f>IF(AND(OR(LEFT(TH!L1650,2)="15",LEFT(TH!M1650,2)="15"),'152-CT'!$J$8=TH!F1650),"x","")</f>
        <v/>
      </c>
      <c r="W1650" s="525" t="str">
        <f>IF(AND(OR(LEFT(TH!L1650,2)="15",LEFT(TH!M1650,2)="15"),TK!$E$7=TH!F1650),"x","")</f>
        <v/>
      </c>
      <c r="X1650" s="525" t="str">
        <f>IF(AND('341-CT'!$E$9=H1650,OR(LEFT(L1650,3)=$X$7,LEFT(M1650,3)=$X$7)),"x","")</f>
        <v/>
      </c>
      <c r="Y1650" s="525" t="str">
        <f>IF(OR(TH!L1650=TH!$Y$7,M1650=TH!$Y$7),"x","")</f>
        <v/>
      </c>
      <c r="Z1650" s="525" t="str">
        <f>IF(AND(B1650&lt;=NKC!$N$8,B1650&gt;=NKC!$M$8),"x","")</f>
        <v>x</v>
      </c>
      <c r="AA1650" s="535"/>
      <c r="AB1650" s="536"/>
    </row>
    <row r="1651" spans="1:31" s="503" customFormat="1" ht="15.75" customHeight="1">
      <c r="A1651" s="517" t="str">
        <f>IF(B1651&lt;&gt;"",IF(AND(B1651&gt;=_TM1,B1651&lt;=_TM2,OR(TH!L1651="1111",TH!M1651="1111")),TH!D1651,""),"")</f>
        <v/>
      </c>
      <c r="B1651" s="531">
        <f t="shared" si="162"/>
        <v>1</v>
      </c>
      <c r="C1651" s="315">
        <f t="shared" si="160"/>
        <v>42758</v>
      </c>
      <c r="D1651" s="537" t="s">
        <v>996</v>
      </c>
      <c r="E1651" s="545">
        <v>42758</v>
      </c>
      <c r="F1651" s="249" t="s">
        <v>638</v>
      </c>
      <c r="G1651" s="314" t="s">
        <v>510</v>
      </c>
      <c r="H1651" s="473" t="s">
        <v>800</v>
      </c>
      <c r="I1651" s="307">
        <v>24</v>
      </c>
      <c r="J1651" s="307">
        <v>37089.08</v>
      </c>
      <c r="K1651" s="532">
        <f t="shared" si="161"/>
        <v>890138</v>
      </c>
      <c r="L1651" s="539" t="s">
        <v>160</v>
      </c>
      <c r="M1651" s="539" t="s">
        <v>292</v>
      </c>
      <c r="N1651" s="525" t="str">
        <f>IF(AND('331-CT'!$E$7=TH!H1651,OR(L1651="331",M1651="331")),"331",IF(AND(OR(L1651="131",M1651="131"),H1651='131-CT'!$E$7),"131",""))</f>
        <v/>
      </c>
      <c r="O1651" s="525" t="str">
        <f>IF(AND($B1651&gt;='111'!$N$11,$B1651&lt;='111'!$O$11,OR($L1651=$O$7,$M1651=$O$7)),"x","")</f>
        <v/>
      </c>
      <c r="P1651" s="525" t="str">
        <f>IF(AND($L1651=$O$7,$B1651&lt;'111'!$N$11),"x","")</f>
        <v/>
      </c>
      <c r="Q1651" s="525" t="str">
        <f>IF(AND($M1651=$O$7,$B1651&lt;'111'!$N$11),"x","")</f>
        <v/>
      </c>
      <c r="R1651" s="525" t="str">
        <f>IF(ISERROR(FIND('112'!$M$9,G1651,1)),"",IF((AND(FIND('112'!$M$9,G1651,1)&gt;=1,$B1651&gt;='112'!$N$8,$B1651&lt;='112'!$O$8,OR($L1651='112'!$I$6,$M1651='112'!$I$6))),"x",""))</f>
        <v/>
      </c>
      <c r="S1651" s="525" t="str">
        <f>IF(ISERROR(FIND('112'!$M$9,G1651,1)),"",IF((AND(LEFT(G1651,2)=LEFT('112'!$M$9,2),B1651&lt;'112'!$N$8,$L1651='112'!$I$6)),"x",""))</f>
        <v/>
      </c>
      <c r="T1651" s="525" t="str">
        <f>IF(ISERROR(FIND('112'!$M$9,G1651,1)),"",IF((AND(RIGHT(G1651,2)=RIGHT('112'!$M$9,2),B1651&lt;'112'!$N$8,$M1651='112'!$I$6)),"x",""))</f>
        <v/>
      </c>
      <c r="U1651" s="525" t="str">
        <f>IF(AND(B1651&gt;='IN-NX'!$P$3,B1651&lt;='IN-NX'!$Q$3,'IN-NX'!$D$7=D1651,OR(LEFT(L1651,2)="15",AND(LEFT(M1651,2)&lt;&gt;"15",LEFT(M1651,2)&lt;&gt;"33"))),"x","")</f>
        <v/>
      </c>
      <c r="V1651" s="525" t="str">
        <f>IF(AND(OR(LEFT(TH!L1651,2)="15",LEFT(TH!M1651,2)="15"),'152-CT'!$J$8=TH!F1651),"x","")</f>
        <v/>
      </c>
      <c r="W1651" s="525" t="str">
        <f>IF(AND(OR(LEFT(TH!L1651,2)="15",LEFT(TH!M1651,2)="15"),TK!$E$7=TH!F1651),"x","")</f>
        <v/>
      </c>
      <c r="X1651" s="525" t="str">
        <f>IF(AND('341-CT'!$E$9=H1651,OR(LEFT(L1651,3)=$X$7,LEFT(M1651,3)=$X$7)),"x","")</f>
        <v/>
      </c>
      <c r="Y1651" s="525" t="str">
        <f>IF(OR(TH!L1651=TH!$Y$7,M1651=TH!$Y$7),"x","")</f>
        <v/>
      </c>
      <c r="Z1651" s="525" t="str">
        <f>IF(AND(B1651&lt;=NKC!$N$8,B1651&gt;=NKC!$M$8),"x","")</f>
        <v>x</v>
      </c>
      <c r="AA1651" s="535"/>
      <c r="AB1651" s="536"/>
    </row>
    <row r="1652" spans="1:31" s="503" customFormat="1" ht="15.75" customHeight="1">
      <c r="A1652" s="517" t="str">
        <f>IF(B1652&lt;&gt;"",IF(AND(B1652&gt;=_TM1,B1652&lt;=_TM2,OR(TH!L1652="1111",TH!M1652="1111")),TH!D1652,""),"")</f>
        <v/>
      </c>
      <c r="B1652" s="531">
        <f t="shared" si="162"/>
        <v>1</v>
      </c>
      <c r="C1652" s="315">
        <f t="shared" si="160"/>
        <v>42758</v>
      </c>
      <c r="D1652" s="537" t="s">
        <v>996</v>
      </c>
      <c r="E1652" s="545">
        <v>42758</v>
      </c>
      <c r="F1652" s="249" t="s">
        <v>639</v>
      </c>
      <c r="G1652" s="314" t="s">
        <v>510</v>
      </c>
      <c r="H1652" s="473" t="s">
        <v>800</v>
      </c>
      <c r="I1652" s="307">
        <v>6</v>
      </c>
      <c r="J1652" s="307">
        <v>114450</v>
      </c>
      <c r="K1652" s="532">
        <f t="shared" si="161"/>
        <v>686700</v>
      </c>
      <c r="L1652" s="539" t="s">
        <v>160</v>
      </c>
      <c r="M1652" s="539" t="s">
        <v>292</v>
      </c>
      <c r="N1652" s="525" t="str">
        <f>IF(AND('331-CT'!$E$7=TH!H1652,OR(L1652="331",M1652="331")),"331",IF(AND(OR(L1652="131",M1652="131"),H1652='131-CT'!$E$7),"131",""))</f>
        <v/>
      </c>
      <c r="O1652" s="525" t="str">
        <f>IF(AND($B1652&gt;='111'!$N$11,$B1652&lt;='111'!$O$11,OR($L1652=$O$7,$M1652=$O$7)),"x","")</f>
        <v/>
      </c>
      <c r="P1652" s="525" t="str">
        <f>IF(AND($L1652=$O$7,$B1652&lt;'111'!$N$11),"x","")</f>
        <v/>
      </c>
      <c r="Q1652" s="525" t="str">
        <f>IF(AND($M1652=$O$7,$B1652&lt;'111'!$N$11),"x","")</f>
        <v/>
      </c>
      <c r="R1652" s="525" t="str">
        <f>IF(ISERROR(FIND('112'!$M$9,G1652,1)),"",IF((AND(FIND('112'!$M$9,G1652,1)&gt;=1,$B1652&gt;='112'!$N$8,$B1652&lt;='112'!$O$8,OR($L1652='112'!$I$6,$M1652='112'!$I$6))),"x",""))</f>
        <v/>
      </c>
      <c r="S1652" s="525" t="str">
        <f>IF(ISERROR(FIND('112'!$M$9,G1652,1)),"",IF((AND(LEFT(G1652,2)=LEFT('112'!$M$9,2),B1652&lt;'112'!$N$8,$L1652='112'!$I$6)),"x",""))</f>
        <v/>
      </c>
      <c r="T1652" s="525" t="str">
        <f>IF(ISERROR(FIND('112'!$M$9,G1652,1)),"",IF((AND(RIGHT(G1652,2)=RIGHT('112'!$M$9,2),B1652&lt;'112'!$N$8,$M1652='112'!$I$6)),"x",""))</f>
        <v/>
      </c>
      <c r="U1652" s="525" t="str">
        <f>IF(AND(B1652&gt;='IN-NX'!$P$3,B1652&lt;='IN-NX'!$Q$3,'IN-NX'!$D$7=D1652,OR(LEFT(L1652,2)="15",AND(LEFT(M1652,2)&lt;&gt;"15",LEFT(M1652,2)&lt;&gt;"33"))),"x","")</f>
        <v/>
      </c>
      <c r="V1652" s="525" t="str">
        <f>IF(AND(OR(LEFT(TH!L1652,2)="15",LEFT(TH!M1652,2)="15"),'152-CT'!$J$8=TH!F1652),"x","")</f>
        <v/>
      </c>
      <c r="W1652" s="525" t="str">
        <f>IF(AND(OR(LEFT(TH!L1652,2)="15",LEFT(TH!M1652,2)="15"),TK!$E$7=TH!F1652),"x","")</f>
        <v/>
      </c>
      <c r="X1652" s="525" t="str">
        <f>IF(AND('341-CT'!$E$9=H1652,OR(LEFT(L1652,3)=$X$7,LEFT(M1652,3)=$X$7)),"x","")</f>
        <v/>
      </c>
      <c r="Y1652" s="525" t="str">
        <f>IF(OR(TH!L1652=TH!$Y$7,M1652=TH!$Y$7),"x","")</f>
        <v/>
      </c>
      <c r="Z1652" s="525" t="str">
        <f>IF(AND(B1652&lt;=NKC!$N$8,B1652&gt;=NKC!$M$8),"x","")</f>
        <v>x</v>
      </c>
      <c r="AA1652" s="535"/>
      <c r="AB1652" s="536"/>
      <c r="AE1652" s="536"/>
    </row>
    <row r="1653" spans="1:31" s="503" customFormat="1" ht="15.75" customHeight="1">
      <c r="A1653" s="517" t="str">
        <f>IF(B1653&lt;&gt;"",IF(AND(B1653&gt;=_TM1,B1653&lt;=_TM2,OR(TH!L1653="1111",TH!M1653="1111")),TH!D1653,""),"")</f>
        <v/>
      </c>
      <c r="B1653" s="531">
        <f t="shared" si="162"/>
        <v>1</v>
      </c>
      <c r="C1653" s="315">
        <f t="shared" si="160"/>
        <v>42758</v>
      </c>
      <c r="D1653" s="537" t="s">
        <v>996</v>
      </c>
      <c r="E1653" s="545">
        <v>42758</v>
      </c>
      <c r="F1653" s="249" t="s">
        <v>640</v>
      </c>
      <c r="G1653" s="314" t="s">
        <v>510</v>
      </c>
      <c r="H1653" s="473" t="s">
        <v>800</v>
      </c>
      <c r="I1653" s="307">
        <v>6</v>
      </c>
      <c r="J1653" s="307">
        <v>118540.8</v>
      </c>
      <c r="K1653" s="532">
        <f t="shared" si="161"/>
        <v>711245</v>
      </c>
      <c r="L1653" s="539" t="s">
        <v>160</v>
      </c>
      <c r="M1653" s="539" t="s">
        <v>292</v>
      </c>
      <c r="N1653" s="525" t="str">
        <f>IF(AND('331-CT'!$E$7=TH!H1653,OR(L1653="331",M1653="331")),"331",IF(AND(OR(L1653="131",M1653="131"),H1653='131-CT'!$E$7),"131",""))</f>
        <v/>
      </c>
      <c r="O1653" s="525" t="str">
        <f>IF(AND($B1653&gt;='111'!$N$11,$B1653&lt;='111'!$O$11,OR($L1653=$O$7,$M1653=$O$7)),"x","")</f>
        <v/>
      </c>
      <c r="P1653" s="525" t="str">
        <f>IF(AND($L1653=$O$7,$B1653&lt;'111'!$N$11),"x","")</f>
        <v/>
      </c>
      <c r="Q1653" s="525" t="str">
        <f>IF(AND($M1653=$O$7,$B1653&lt;'111'!$N$11),"x","")</f>
        <v/>
      </c>
      <c r="R1653" s="525" t="str">
        <f>IF(ISERROR(FIND('112'!$M$9,G1653,1)),"",IF((AND(FIND('112'!$M$9,G1653,1)&gt;=1,$B1653&gt;='112'!$N$8,$B1653&lt;='112'!$O$8,OR($L1653='112'!$I$6,$M1653='112'!$I$6))),"x",""))</f>
        <v/>
      </c>
      <c r="S1653" s="525" t="str">
        <f>IF(ISERROR(FIND('112'!$M$9,G1653,1)),"",IF((AND(LEFT(G1653,2)=LEFT('112'!$M$9,2),B1653&lt;'112'!$N$8,$L1653='112'!$I$6)),"x",""))</f>
        <v/>
      </c>
      <c r="T1653" s="525" t="str">
        <f>IF(ISERROR(FIND('112'!$M$9,G1653,1)),"",IF((AND(RIGHT(G1653,2)=RIGHT('112'!$M$9,2),B1653&lt;'112'!$N$8,$M1653='112'!$I$6)),"x",""))</f>
        <v/>
      </c>
      <c r="U1653" s="525" t="str">
        <f>IF(AND(B1653&gt;='IN-NX'!$P$3,B1653&lt;='IN-NX'!$Q$3,'IN-NX'!$D$7=D1653,OR(LEFT(L1653,2)="15",AND(LEFT(M1653,2)&lt;&gt;"15",LEFT(M1653,2)&lt;&gt;"33"))),"x","")</f>
        <v/>
      </c>
      <c r="V1653" s="525" t="str">
        <f>IF(AND(OR(LEFT(TH!L1653,2)="15",LEFT(TH!M1653,2)="15"),'152-CT'!$J$8=TH!F1653),"x","")</f>
        <v/>
      </c>
      <c r="W1653" s="525" t="str">
        <f>IF(AND(OR(LEFT(TH!L1653,2)="15",LEFT(TH!M1653,2)="15"),TK!$E$7=TH!F1653),"x","")</f>
        <v/>
      </c>
      <c r="X1653" s="525" t="str">
        <f>IF(AND('341-CT'!$E$9=H1653,OR(LEFT(L1653,3)=$X$7,LEFT(M1653,3)=$X$7)),"x","")</f>
        <v/>
      </c>
      <c r="Y1653" s="525" t="str">
        <f>IF(OR(TH!L1653=TH!$Y$7,M1653=TH!$Y$7),"x","")</f>
        <v/>
      </c>
      <c r="Z1653" s="525" t="str">
        <f>IF(AND(B1653&lt;=NKC!$N$8,B1653&gt;=NKC!$M$8),"x","")</f>
        <v>x</v>
      </c>
      <c r="AA1653" s="535"/>
      <c r="AB1653" s="536"/>
      <c r="AE1653" s="536"/>
    </row>
    <row r="1654" spans="1:31" s="503" customFormat="1" ht="15.75" customHeight="1">
      <c r="A1654" s="517" t="str">
        <f>IF(B1654&lt;&gt;"",IF(AND(B1654&gt;=_TM1,B1654&lt;=_TM2,OR(TH!L1654="1111",TH!M1654="1111")),TH!D1654,""),"")</f>
        <v/>
      </c>
      <c r="B1654" s="531">
        <f t="shared" si="162"/>
        <v>1</v>
      </c>
      <c r="C1654" s="315">
        <f t="shared" si="160"/>
        <v>42758</v>
      </c>
      <c r="D1654" s="537" t="s">
        <v>996</v>
      </c>
      <c r="E1654" s="545">
        <v>42758</v>
      </c>
      <c r="F1654" s="249" t="s">
        <v>641</v>
      </c>
      <c r="G1654" s="314" t="s">
        <v>510</v>
      </c>
      <c r="H1654" s="473" t="s">
        <v>800</v>
      </c>
      <c r="I1654" s="307">
        <v>6</v>
      </c>
      <c r="J1654" s="307">
        <v>48174</v>
      </c>
      <c r="K1654" s="532">
        <f t="shared" si="161"/>
        <v>289044</v>
      </c>
      <c r="L1654" s="539" t="s">
        <v>160</v>
      </c>
      <c r="M1654" s="539" t="s">
        <v>292</v>
      </c>
      <c r="N1654" s="525" t="str">
        <f>IF(AND('331-CT'!$E$7=TH!H1654,OR(L1654="331",M1654="331")),"331",IF(AND(OR(L1654="131",M1654="131"),H1654='131-CT'!$E$7),"131",""))</f>
        <v/>
      </c>
      <c r="O1654" s="525" t="str">
        <f>IF(AND($B1654&gt;='111'!$N$11,$B1654&lt;='111'!$O$11,OR($L1654=$O$7,$M1654=$O$7)),"x","")</f>
        <v/>
      </c>
      <c r="P1654" s="525" t="str">
        <f>IF(AND($L1654=$O$7,$B1654&lt;'111'!$N$11),"x","")</f>
        <v/>
      </c>
      <c r="Q1654" s="525" t="str">
        <f>IF(AND($M1654=$O$7,$B1654&lt;'111'!$N$11),"x","")</f>
        <v/>
      </c>
      <c r="R1654" s="525" t="str">
        <f>IF(ISERROR(FIND('112'!$M$9,G1654,1)),"",IF((AND(FIND('112'!$M$9,G1654,1)&gt;=1,$B1654&gt;='112'!$N$8,$B1654&lt;='112'!$O$8,OR($L1654='112'!$I$6,$M1654='112'!$I$6))),"x",""))</f>
        <v/>
      </c>
      <c r="S1654" s="525" t="str">
        <f>IF(ISERROR(FIND('112'!$M$9,G1654,1)),"",IF((AND(LEFT(G1654,2)=LEFT('112'!$M$9,2),B1654&lt;'112'!$N$8,$L1654='112'!$I$6)),"x",""))</f>
        <v/>
      </c>
      <c r="T1654" s="525" t="str">
        <f>IF(ISERROR(FIND('112'!$M$9,G1654,1)),"",IF((AND(RIGHT(G1654,2)=RIGHT('112'!$M$9,2),B1654&lt;'112'!$N$8,$M1654='112'!$I$6)),"x",""))</f>
        <v/>
      </c>
      <c r="U1654" s="525" t="str">
        <f>IF(AND(B1654&gt;='IN-NX'!$P$3,B1654&lt;='IN-NX'!$Q$3,'IN-NX'!$D$7=D1654,OR(LEFT(L1654,2)="15",AND(LEFT(M1654,2)&lt;&gt;"15",LEFT(M1654,2)&lt;&gt;"33"))),"x","")</f>
        <v/>
      </c>
      <c r="V1654" s="525" t="str">
        <f>IF(AND(OR(LEFT(TH!L1654,2)="15",LEFT(TH!M1654,2)="15"),'152-CT'!$J$8=TH!F1654),"x","")</f>
        <v/>
      </c>
      <c r="W1654" s="525" t="str">
        <f>IF(AND(OR(LEFT(TH!L1654,2)="15",LEFT(TH!M1654,2)="15"),TK!$E$7=TH!F1654),"x","")</f>
        <v/>
      </c>
      <c r="X1654" s="525" t="str">
        <f>IF(AND('341-CT'!$E$9=H1654,OR(LEFT(L1654,3)=$X$7,LEFT(M1654,3)=$X$7)),"x","")</f>
        <v/>
      </c>
      <c r="Y1654" s="525" t="str">
        <f>IF(OR(TH!L1654=TH!$Y$7,M1654=TH!$Y$7),"x","")</f>
        <v/>
      </c>
      <c r="Z1654" s="525" t="str">
        <f>IF(AND(B1654&lt;=NKC!$N$8,B1654&gt;=NKC!$M$8),"x","")</f>
        <v>x</v>
      </c>
      <c r="AA1654" s="535"/>
      <c r="AB1654" s="536"/>
      <c r="AE1654" s="536"/>
    </row>
    <row r="1655" spans="1:31" s="503" customFormat="1" ht="15.75" customHeight="1">
      <c r="A1655" s="517" t="str">
        <f>IF(B1655&lt;&gt;"",IF(AND(B1655&gt;=_TM1,B1655&lt;=_TM2,OR(TH!L1655="1111",TH!M1655="1111")),TH!D1655,""),"")</f>
        <v/>
      </c>
      <c r="B1655" s="531">
        <f t="shared" si="162"/>
        <v>1</v>
      </c>
      <c r="C1655" s="315">
        <f t="shared" si="160"/>
        <v>42758</v>
      </c>
      <c r="D1655" s="537" t="s">
        <v>996</v>
      </c>
      <c r="E1655" s="545">
        <v>42758</v>
      </c>
      <c r="F1655" s="249" t="s">
        <v>642</v>
      </c>
      <c r="G1655" s="314" t="s">
        <v>510</v>
      </c>
      <c r="H1655" s="473" t="s">
        <v>800</v>
      </c>
      <c r="I1655" s="307">
        <v>65</v>
      </c>
      <c r="J1655" s="307">
        <v>19431</v>
      </c>
      <c r="K1655" s="532">
        <f t="shared" si="161"/>
        <v>1263015</v>
      </c>
      <c r="L1655" s="539" t="s">
        <v>160</v>
      </c>
      <c r="M1655" s="539" t="s">
        <v>292</v>
      </c>
      <c r="N1655" s="525" t="str">
        <f>IF(AND('331-CT'!$E$7=TH!H1655,OR(L1655="331",M1655="331")),"331",IF(AND(OR(L1655="131",M1655="131"),H1655='131-CT'!$E$7),"131",""))</f>
        <v/>
      </c>
      <c r="O1655" s="525" t="str">
        <f>IF(AND($B1655&gt;='111'!$N$11,$B1655&lt;='111'!$O$11,OR($L1655=$O$7,$M1655=$O$7)),"x","")</f>
        <v/>
      </c>
      <c r="P1655" s="525" t="str">
        <f>IF(AND($L1655=$O$7,$B1655&lt;'111'!$N$11),"x","")</f>
        <v/>
      </c>
      <c r="Q1655" s="525" t="str">
        <f>IF(AND($M1655=$O$7,$B1655&lt;'111'!$N$11),"x","")</f>
        <v/>
      </c>
      <c r="R1655" s="525" t="str">
        <f>IF(ISERROR(FIND('112'!$M$9,G1655,1)),"",IF((AND(FIND('112'!$M$9,G1655,1)&gt;=1,$B1655&gt;='112'!$N$8,$B1655&lt;='112'!$O$8,OR($L1655='112'!$I$6,$M1655='112'!$I$6))),"x",""))</f>
        <v/>
      </c>
      <c r="S1655" s="525" t="str">
        <f>IF(ISERROR(FIND('112'!$M$9,G1655,1)),"",IF((AND(LEFT(G1655,2)=LEFT('112'!$M$9,2),B1655&lt;'112'!$N$8,$L1655='112'!$I$6)),"x",""))</f>
        <v/>
      </c>
      <c r="T1655" s="525" t="str">
        <f>IF(ISERROR(FIND('112'!$M$9,G1655,1)),"",IF((AND(RIGHT(G1655,2)=RIGHT('112'!$M$9,2),B1655&lt;'112'!$N$8,$M1655='112'!$I$6)),"x",""))</f>
        <v/>
      </c>
      <c r="U1655" s="525" t="str">
        <f>IF(AND(B1655&gt;='IN-NX'!$P$3,B1655&lt;='IN-NX'!$Q$3,'IN-NX'!$D$7=D1655,OR(LEFT(L1655,2)="15",AND(LEFT(M1655,2)&lt;&gt;"15",LEFT(M1655,2)&lt;&gt;"33"))),"x","")</f>
        <v/>
      </c>
      <c r="V1655" s="525" t="str">
        <f>IF(AND(OR(LEFT(TH!L1655,2)="15",LEFT(TH!M1655,2)="15"),'152-CT'!$J$8=TH!F1655),"x","")</f>
        <v/>
      </c>
      <c r="W1655" s="525" t="str">
        <f>IF(AND(OR(LEFT(TH!L1655,2)="15",LEFT(TH!M1655,2)="15"),TK!$E$7=TH!F1655),"x","")</f>
        <v/>
      </c>
      <c r="X1655" s="525" t="str">
        <f>IF(AND('341-CT'!$E$9=H1655,OR(LEFT(L1655,3)=$X$7,LEFT(M1655,3)=$X$7)),"x","")</f>
        <v/>
      </c>
      <c r="Y1655" s="525" t="str">
        <f>IF(OR(TH!L1655=TH!$Y$7,M1655=TH!$Y$7),"x","")</f>
        <v/>
      </c>
      <c r="Z1655" s="525" t="str">
        <f>IF(AND(B1655&lt;=NKC!$N$8,B1655&gt;=NKC!$M$8),"x","")</f>
        <v>x</v>
      </c>
      <c r="AA1655" s="535"/>
      <c r="AB1655" s="536"/>
      <c r="AE1655" s="536"/>
    </row>
    <row r="1656" spans="1:31" s="503" customFormat="1" ht="15.75" customHeight="1">
      <c r="A1656" s="517" t="str">
        <f>IF(B1656&lt;&gt;"",IF(AND(B1656&gt;=_TM1,B1656&lt;=_TM2,OR(TH!L1656="1111",TH!M1656="1111")),TH!D1656,""),"")</f>
        <v/>
      </c>
      <c r="B1656" s="531">
        <f t="shared" si="162"/>
        <v>1</v>
      </c>
      <c r="C1656" s="315">
        <f t="shared" si="160"/>
        <v>42758</v>
      </c>
      <c r="D1656" s="537" t="s">
        <v>996</v>
      </c>
      <c r="E1656" s="545">
        <v>42758</v>
      </c>
      <c r="F1656" s="249" t="s">
        <v>643</v>
      </c>
      <c r="G1656" s="314" t="s">
        <v>510</v>
      </c>
      <c r="H1656" s="473" t="s">
        <v>800</v>
      </c>
      <c r="I1656" s="307">
        <v>22</v>
      </c>
      <c r="J1656" s="307">
        <v>88297.920000000013</v>
      </c>
      <c r="K1656" s="532">
        <f t="shared" si="161"/>
        <v>1942554</v>
      </c>
      <c r="L1656" s="539" t="s">
        <v>160</v>
      </c>
      <c r="M1656" s="539" t="s">
        <v>292</v>
      </c>
      <c r="N1656" s="525" t="str">
        <f>IF(AND('331-CT'!$E$7=TH!H1656,OR(L1656="331",M1656="331")),"331",IF(AND(OR(L1656="131",M1656="131"),H1656='131-CT'!$E$7),"131",""))</f>
        <v/>
      </c>
      <c r="O1656" s="525" t="str">
        <f>IF(AND($B1656&gt;='111'!$N$11,$B1656&lt;='111'!$O$11,OR($L1656=$O$7,$M1656=$O$7)),"x","")</f>
        <v/>
      </c>
      <c r="P1656" s="525" t="str">
        <f>IF(AND($L1656=$O$7,$B1656&lt;'111'!$N$11),"x","")</f>
        <v/>
      </c>
      <c r="Q1656" s="525" t="str">
        <f>IF(AND($M1656=$O$7,$B1656&lt;'111'!$N$11),"x","")</f>
        <v/>
      </c>
      <c r="R1656" s="525" t="str">
        <f>IF(ISERROR(FIND('112'!$M$9,G1656,1)),"",IF((AND(FIND('112'!$M$9,G1656,1)&gt;=1,$B1656&gt;='112'!$N$8,$B1656&lt;='112'!$O$8,OR($L1656='112'!$I$6,$M1656='112'!$I$6))),"x",""))</f>
        <v/>
      </c>
      <c r="S1656" s="525" t="str">
        <f>IF(ISERROR(FIND('112'!$M$9,G1656,1)),"",IF((AND(LEFT(G1656,2)=LEFT('112'!$M$9,2),B1656&lt;'112'!$N$8,$L1656='112'!$I$6)),"x",""))</f>
        <v/>
      </c>
      <c r="T1656" s="525" t="str">
        <f>IF(ISERROR(FIND('112'!$M$9,G1656,1)),"",IF((AND(RIGHT(G1656,2)=RIGHT('112'!$M$9,2),B1656&lt;'112'!$N$8,$M1656='112'!$I$6)),"x",""))</f>
        <v/>
      </c>
      <c r="U1656" s="525" t="str">
        <f>IF(AND(B1656&gt;='IN-NX'!$P$3,B1656&lt;='IN-NX'!$Q$3,'IN-NX'!$D$7=D1656,OR(LEFT(L1656,2)="15",AND(LEFT(M1656,2)&lt;&gt;"15",LEFT(M1656,2)&lt;&gt;"33"))),"x","")</f>
        <v/>
      </c>
      <c r="V1656" s="525" t="str">
        <f>IF(AND(OR(LEFT(TH!L1656,2)="15",LEFT(TH!M1656,2)="15"),'152-CT'!$J$8=TH!F1656),"x","")</f>
        <v/>
      </c>
      <c r="W1656" s="525" t="str">
        <f>IF(AND(OR(LEFT(TH!L1656,2)="15",LEFT(TH!M1656,2)="15"),TK!$E$7=TH!F1656),"x","")</f>
        <v/>
      </c>
      <c r="X1656" s="525" t="str">
        <f>IF(AND('341-CT'!$E$9=H1656,OR(LEFT(L1656,3)=$X$7,LEFT(M1656,3)=$X$7)),"x","")</f>
        <v/>
      </c>
      <c r="Y1656" s="525" t="str">
        <f>IF(OR(TH!L1656=TH!$Y$7,M1656=TH!$Y$7),"x","")</f>
        <v/>
      </c>
      <c r="Z1656" s="525" t="str">
        <f>IF(AND(B1656&lt;=NKC!$N$8,B1656&gt;=NKC!$M$8),"x","")</f>
        <v>x</v>
      </c>
      <c r="AA1656" s="535"/>
      <c r="AB1656" s="536"/>
      <c r="AE1656" s="536"/>
    </row>
    <row r="1657" spans="1:31" s="503" customFormat="1" ht="15.75" customHeight="1">
      <c r="A1657" s="517" t="str">
        <f>IF(B1657&lt;&gt;"",IF(AND(B1657&gt;=_TM1,B1657&lt;=_TM2,OR(TH!L1657="1111",TH!M1657="1111")),TH!D1657,""),"")</f>
        <v/>
      </c>
      <c r="B1657" s="531">
        <f t="shared" si="162"/>
        <v>1</v>
      </c>
      <c r="C1657" s="315">
        <f t="shared" si="160"/>
        <v>42758</v>
      </c>
      <c r="D1657" s="537" t="s">
        <v>996</v>
      </c>
      <c r="E1657" s="545">
        <v>42758</v>
      </c>
      <c r="F1657" s="249" t="s">
        <v>644</v>
      </c>
      <c r="G1657" s="314" t="s">
        <v>510</v>
      </c>
      <c r="H1657" s="473" t="s">
        <v>800</v>
      </c>
      <c r="I1657" s="307">
        <v>12</v>
      </c>
      <c r="J1657" s="307">
        <v>62407.80000000001</v>
      </c>
      <c r="K1657" s="532">
        <f t="shared" si="161"/>
        <v>748894</v>
      </c>
      <c r="L1657" s="539" t="s">
        <v>160</v>
      </c>
      <c r="M1657" s="539" t="s">
        <v>292</v>
      </c>
      <c r="N1657" s="525" t="str">
        <f>IF(AND('331-CT'!$E$7=TH!H1657,OR(L1657="331",M1657="331")),"331",IF(AND(OR(L1657="131",M1657="131"),H1657='131-CT'!$E$7),"131",""))</f>
        <v/>
      </c>
      <c r="O1657" s="525" t="str">
        <f>IF(AND($B1657&gt;='111'!$N$11,$B1657&lt;='111'!$O$11,OR($L1657=$O$7,$M1657=$O$7)),"x","")</f>
        <v/>
      </c>
      <c r="P1657" s="525" t="str">
        <f>IF(AND($L1657=$O$7,$B1657&lt;'111'!$N$11),"x","")</f>
        <v/>
      </c>
      <c r="Q1657" s="525" t="str">
        <f>IF(AND($M1657=$O$7,$B1657&lt;'111'!$N$11),"x","")</f>
        <v/>
      </c>
      <c r="R1657" s="525" t="str">
        <f>IF(ISERROR(FIND('112'!$M$9,G1657,1)),"",IF((AND(FIND('112'!$M$9,G1657,1)&gt;=1,$B1657&gt;='112'!$N$8,$B1657&lt;='112'!$O$8,OR($L1657='112'!$I$6,$M1657='112'!$I$6))),"x",""))</f>
        <v/>
      </c>
      <c r="S1657" s="525" t="str">
        <f>IF(ISERROR(FIND('112'!$M$9,G1657,1)),"",IF((AND(LEFT(G1657,2)=LEFT('112'!$M$9,2),B1657&lt;'112'!$N$8,$L1657='112'!$I$6)),"x",""))</f>
        <v/>
      </c>
      <c r="T1657" s="525" t="str">
        <f>IF(ISERROR(FIND('112'!$M$9,G1657,1)),"",IF((AND(RIGHT(G1657,2)=RIGHT('112'!$M$9,2),B1657&lt;'112'!$N$8,$M1657='112'!$I$6)),"x",""))</f>
        <v/>
      </c>
      <c r="U1657" s="525" t="str">
        <f>IF(AND(B1657&gt;='IN-NX'!$P$3,B1657&lt;='IN-NX'!$Q$3,'IN-NX'!$D$7=D1657,OR(LEFT(L1657,2)="15",AND(LEFT(M1657,2)&lt;&gt;"15",LEFT(M1657,2)&lt;&gt;"33"))),"x","")</f>
        <v/>
      </c>
      <c r="V1657" s="525" t="str">
        <f>IF(AND(OR(LEFT(TH!L1657,2)="15",LEFT(TH!M1657,2)="15"),'152-CT'!$J$8=TH!F1657),"x","")</f>
        <v/>
      </c>
      <c r="W1657" s="525" t="str">
        <f>IF(AND(OR(LEFT(TH!L1657,2)="15",LEFT(TH!M1657,2)="15"),TK!$E$7=TH!F1657),"x","")</f>
        <v/>
      </c>
      <c r="X1657" s="525" t="str">
        <f>IF(AND('341-CT'!$E$9=H1657,OR(LEFT(L1657,3)=$X$7,LEFT(M1657,3)=$X$7)),"x","")</f>
        <v/>
      </c>
      <c r="Y1657" s="525" t="str">
        <f>IF(OR(TH!L1657=TH!$Y$7,M1657=TH!$Y$7),"x","")</f>
        <v/>
      </c>
      <c r="Z1657" s="525" t="str">
        <f>IF(AND(B1657&lt;=NKC!$N$8,B1657&gt;=NKC!$M$8),"x","")</f>
        <v>x</v>
      </c>
      <c r="AA1657" s="535"/>
      <c r="AB1657" s="536"/>
    </row>
    <row r="1658" spans="1:31" s="503" customFormat="1" ht="15.75" customHeight="1">
      <c r="A1658" s="517" t="str">
        <f>IF(B1658&lt;&gt;"",IF(AND(B1658&gt;=_TM1,B1658&lt;=_TM2,OR(TH!L1658="1111",TH!M1658="1111")),TH!D1658,""),"")</f>
        <v/>
      </c>
      <c r="B1658" s="531">
        <f t="shared" si="162"/>
        <v>1</v>
      </c>
      <c r="C1658" s="315">
        <f t="shared" si="160"/>
        <v>42758</v>
      </c>
      <c r="D1658" s="537" t="s">
        <v>996</v>
      </c>
      <c r="E1658" s="545">
        <v>42758</v>
      </c>
      <c r="F1658" s="249" t="s">
        <v>645</v>
      </c>
      <c r="G1658" s="314" t="s">
        <v>510</v>
      </c>
      <c r="H1658" s="473" t="s">
        <v>800</v>
      </c>
      <c r="I1658" s="307">
        <v>12</v>
      </c>
      <c r="J1658" s="307">
        <v>147063</v>
      </c>
      <c r="K1658" s="532">
        <f t="shared" si="161"/>
        <v>1764756</v>
      </c>
      <c r="L1658" s="539" t="s">
        <v>160</v>
      </c>
      <c r="M1658" s="539" t="s">
        <v>292</v>
      </c>
      <c r="N1658" s="525" t="str">
        <f>IF(AND('331-CT'!$E$7=TH!H1658,OR(L1658="331",M1658="331")),"331",IF(AND(OR(L1658="131",M1658="131"),H1658='131-CT'!$E$7),"131",""))</f>
        <v/>
      </c>
      <c r="O1658" s="525" t="str">
        <f>IF(AND($B1658&gt;='111'!$N$11,$B1658&lt;='111'!$O$11,OR($L1658=$O$7,$M1658=$O$7)),"x","")</f>
        <v/>
      </c>
      <c r="P1658" s="525" t="str">
        <f>IF(AND($L1658=$O$7,$B1658&lt;'111'!$N$11),"x","")</f>
        <v/>
      </c>
      <c r="Q1658" s="525" t="str">
        <f>IF(AND($M1658=$O$7,$B1658&lt;'111'!$N$11),"x","")</f>
        <v/>
      </c>
      <c r="R1658" s="525" t="str">
        <f>IF(ISERROR(FIND('112'!$M$9,G1658,1)),"",IF((AND(FIND('112'!$M$9,G1658,1)&gt;=1,$B1658&gt;='112'!$N$8,$B1658&lt;='112'!$O$8,OR($L1658='112'!$I$6,$M1658='112'!$I$6))),"x",""))</f>
        <v/>
      </c>
      <c r="S1658" s="525" t="str">
        <f>IF(ISERROR(FIND('112'!$M$9,G1658,1)),"",IF((AND(LEFT(G1658,2)=LEFT('112'!$M$9,2),B1658&lt;'112'!$N$8,$L1658='112'!$I$6)),"x",""))</f>
        <v/>
      </c>
      <c r="T1658" s="525" t="str">
        <f>IF(ISERROR(FIND('112'!$M$9,G1658,1)),"",IF((AND(RIGHT(G1658,2)=RIGHT('112'!$M$9,2),B1658&lt;'112'!$N$8,$M1658='112'!$I$6)),"x",""))</f>
        <v/>
      </c>
      <c r="U1658" s="525" t="str">
        <f>IF(AND(B1658&gt;='IN-NX'!$P$3,B1658&lt;='IN-NX'!$Q$3,'IN-NX'!$D$7=D1658,OR(LEFT(L1658,2)="15",AND(LEFT(M1658,2)&lt;&gt;"15",LEFT(M1658,2)&lt;&gt;"33"))),"x","")</f>
        <v/>
      </c>
      <c r="V1658" s="525" t="str">
        <f>IF(AND(OR(LEFT(TH!L1658,2)="15",LEFT(TH!M1658,2)="15"),'152-CT'!$J$8=TH!F1658),"x","")</f>
        <v/>
      </c>
      <c r="W1658" s="525" t="str">
        <f>IF(AND(OR(LEFT(TH!L1658,2)="15",LEFT(TH!M1658,2)="15"),TK!$E$7=TH!F1658),"x","")</f>
        <v/>
      </c>
      <c r="X1658" s="525" t="str">
        <f>IF(AND('341-CT'!$E$9=H1658,OR(LEFT(L1658,3)=$X$7,LEFT(M1658,3)=$X$7)),"x","")</f>
        <v/>
      </c>
      <c r="Y1658" s="525" t="str">
        <f>IF(OR(TH!L1658=TH!$Y$7,M1658=TH!$Y$7),"x","")</f>
        <v/>
      </c>
      <c r="Z1658" s="525" t="str">
        <f>IF(AND(B1658&lt;=NKC!$N$8,B1658&gt;=NKC!$M$8),"x","")</f>
        <v>x</v>
      </c>
      <c r="AA1658" s="535"/>
      <c r="AB1658" s="536"/>
    </row>
    <row r="1659" spans="1:31" s="503" customFormat="1" ht="15.75" customHeight="1">
      <c r="A1659" s="517" t="str">
        <f>IF(B1659&lt;&gt;"",IF(AND(B1659&gt;=_TM1,B1659&lt;=_TM2,OR(TH!L1659="1111",TH!M1659="1111")),TH!D1659,""),"")</f>
        <v/>
      </c>
      <c r="B1659" s="531">
        <f t="shared" si="162"/>
        <v>1</v>
      </c>
      <c r="C1659" s="315">
        <f t="shared" si="160"/>
        <v>42758</v>
      </c>
      <c r="D1659" s="537" t="s">
        <v>996</v>
      </c>
      <c r="E1659" s="545">
        <v>42758</v>
      </c>
      <c r="F1659" s="249" t="s">
        <v>646</v>
      </c>
      <c r="G1659" s="314" t="s">
        <v>510</v>
      </c>
      <c r="H1659" s="473" t="s">
        <v>800</v>
      </c>
      <c r="I1659" s="307">
        <v>12</v>
      </c>
      <c r="J1659" s="307">
        <v>46851.000000000007</v>
      </c>
      <c r="K1659" s="532">
        <f t="shared" si="161"/>
        <v>562212</v>
      </c>
      <c r="L1659" s="539" t="s">
        <v>160</v>
      </c>
      <c r="M1659" s="539" t="s">
        <v>292</v>
      </c>
      <c r="N1659" s="525" t="str">
        <f>IF(AND('331-CT'!$E$7=TH!H1659,OR(L1659="331",M1659="331")),"331",IF(AND(OR(L1659="131",M1659="131"),H1659='131-CT'!$E$7),"131",""))</f>
        <v/>
      </c>
      <c r="O1659" s="525" t="str">
        <f>IF(AND($B1659&gt;='111'!$N$11,$B1659&lt;='111'!$O$11,OR($L1659=$O$7,$M1659=$O$7)),"x","")</f>
        <v/>
      </c>
      <c r="P1659" s="525" t="str">
        <f>IF(AND($L1659=$O$7,$B1659&lt;'111'!$N$11),"x","")</f>
        <v/>
      </c>
      <c r="Q1659" s="525" t="str">
        <f>IF(AND($M1659=$O$7,$B1659&lt;'111'!$N$11),"x","")</f>
        <v/>
      </c>
      <c r="R1659" s="525" t="str">
        <f>IF(ISERROR(FIND('112'!$M$9,G1659,1)),"",IF((AND(FIND('112'!$M$9,G1659,1)&gt;=1,$B1659&gt;='112'!$N$8,$B1659&lt;='112'!$O$8,OR($L1659='112'!$I$6,$M1659='112'!$I$6))),"x",""))</f>
        <v/>
      </c>
      <c r="S1659" s="525" t="str">
        <f>IF(ISERROR(FIND('112'!$M$9,G1659,1)),"",IF((AND(LEFT(G1659,2)=LEFT('112'!$M$9,2),B1659&lt;'112'!$N$8,$L1659='112'!$I$6)),"x",""))</f>
        <v/>
      </c>
      <c r="T1659" s="525" t="str">
        <f>IF(ISERROR(FIND('112'!$M$9,G1659,1)),"",IF((AND(RIGHT(G1659,2)=RIGHT('112'!$M$9,2),B1659&lt;'112'!$N$8,$M1659='112'!$I$6)),"x",""))</f>
        <v/>
      </c>
      <c r="U1659" s="525" t="str">
        <f>IF(AND(B1659&gt;='IN-NX'!$P$3,B1659&lt;='IN-NX'!$Q$3,'IN-NX'!$D$7=D1659,OR(LEFT(L1659,2)="15",AND(LEFT(M1659,2)&lt;&gt;"15",LEFT(M1659,2)&lt;&gt;"33"))),"x","")</f>
        <v/>
      </c>
      <c r="V1659" s="525" t="str">
        <f>IF(AND(OR(LEFT(TH!L1659,2)="15",LEFT(TH!M1659,2)="15"),'152-CT'!$J$8=TH!F1659),"x","")</f>
        <v/>
      </c>
      <c r="W1659" s="525" t="str">
        <f>IF(AND(OR(LEFT(TH!L1659,2)="15",LEFT(TH!M1659,2)="15"),TK!$E$7=TH!F1659),"x","")</f>
        <v/>
      </c>
      <c r="X1659" s="525" t="str">
        <f>IF(AND('341-CT'!$E$9=H1659,OR(LEFT(L1659,3)=$X$7,LEFT(M1659,3)=$X$7)),"x","")</f>
        <v/>
      </c>
      <c r="Y1659" s="525" t="str">
        <f>IF(OR(TH!L1659=TH!$Y$7,M1659=TH!$Y$7),"x","")</f>
        <v/>
      </c>
      <c r="Z1659" s="525" t="str">
        <f>IF(AND(B1659&lt;=NKC!$N$8,B1659&gt;=NKC!$M$8),"x","")</f>
        <v>x</v>
      </c>
      <c r="AA1659" s="535"/>
      <c r="AB1659" s="536"/>
    </row>
    <row r="1660" spans="1:31" s="503" customFormat="1" ht="15.75" customHeight="1">
      <c r="A1660" s="517" t="str">
        <f>IF(B1660&lt;&gt;"",IF(AND(B1660&gt;=_TM1,B1660&lt;=_TM2,OR(TH!L1660="1111",TH!M1660="1111")),TH!D1660,""),"")</f>
        <v/>
      </c>
      <c r="B1660" s="531">
        <f t="shared" si="162"/>
        <v>1</v>
      </c>
      <c r="C1660" s="315">
        <f t="shared" si="160"/>
        <v>42758</v>
      </c>
      <c r="D1660" s="537" t="s">
        <v>996</v>
      </c>
      <c r="E1660" s="545">
        <v>42758</v>
      </c>
      <c r="F1660" s="249" t="s">
        <v>647</v>
      </c>
      <c r="G1660" s="314" t="s">
        <v>510</v>
      </c>
      <c r="H1660" s="473" t="s">
        <v>800</v>
      </c>
      <c r="I1660" s="307">
        <v>8</v>
      </c>
      <c r="J1660" s="307">
        <v>112728</v>
      </c>
      <c r="K1660" s="532">
        <f t="shared" si="161"/>
        <v>901824</v>
      </c>
      <c r="L1660" s="539" t="s">
        <v>160</v>
      </c>
      <c r="M1660" s="539" t="s">
        <v>292</v>
      </c>
      <c r="N1660" s="525" t="str">
        <f>IF(AND('331-CT'!$E$7=TH!H1660,OR(L1660="331",M1660="331")),"331",IF(AND(OR(L1660="131",M1660="131"),H1660='131-CT'!$E$7),"131",""))</f>
        <v/>
      </c>
      <c r="O1660" s="525" t="str">
        <f>IF(AND($B1660&gt;='111'!$N$11,$B1660&lt;='111'!$O$11,OR($L1660=$O$7,$M1660=$O$7)),"x","")</f>
        <v/>
      </c>
      <c r="P1660" s="525" t="str">
        <f>IF(AND($L1660=$O$7,$B1660&lt;'111'!$N$11),"x","")</f>
        <v/>
      </c>
      <c r="Q1660" s="525" t="str">
        <f>IF(AND($M1660=$O$7,$B1660&lt;'111'!$N$11),"x","")</f>
        <v/>
      </c>
      <c r="R1660" s="525" t="str">
        <f>IF(ISERROR(FIND('112'!$M$9,G1660,1)),"",IF((AND(FIND('112'!$M$9,G1660,1)&gt;=1,$B1660&gt;='112'!$N$8,$B1660&lt;='112'!$O$8,OR($L1660='112'!$I$6,$M1660='112'!$I$6))),"x",""))</f>
        <v/>
      </c>
      <c r="S1660" s="525" t="str">
        <f>IF(ISERROR(FIND('112'!$M$9,G1660,1)),"",IF((AND(LEFT(G1660,2)=LEFT('112'!$M$9,2),B1660&lt;'112'!$N$8,$L1660='112'!$I$6)),"x",""))</f>
        <v/>
      </c>
      <c r="T1660" s="525" t="str">
        <f>IF(ISERROR(FIND('112'!$M$9,G1660,1)),"",IF((AND(RIGHT(G1660,2)=RIGHT('112'!$M$9,2),B1660&lt;'112'!$N$8,$M1660='112'!$I$6)),"x",""))</f>
        <v/>
      </c>
      <c r="U1660" s="525" t="str">
        <f>IF(AND(B1660&gt;='IN-NX'!$P$3,B1660&lt;='IN-NX'!$Q$3,'IN-NX'!$D$7=D1660,OR(LEFT(L1660,2)="15",AND(LEFT(M1660,2)&lt;&gt;"15",LEFT(M1660,2)&lt;&gt;"33"))),"x","")</f>
        <v/>
      </c>
      <c r="V1660" s="525" t="str">
        <f>IF(AND(OR(LEFT(TH!L1660,2)="15",LEFT(TH!M1660,2)="15"),'152-CT'!$J$8=TH!F1660),"x","")</f>
        <v/>
      </c>
      <c r="W1660" s="525" t="str">
        <f>IF(AND(OR(LEFT(TH!L1660,2)="15",LEFT(TH!M1660,2)="15"),TK!$E$7=TH!F1660),"x","")</f>
        <v/>
      </c>
      <c r="X1660" s="525" t="str">
        <f>IF(AND('341-CT'!$E$9=H1660,OR(LEFT(L1660,3)=$X$7,LEFT(M1660,3)=$X$7)),"x","")</f>
        <v/>
      </c>
      <c r="Y1660" s="525" t="str">
        <f>IF(OR(TH!L1660=TH!$Y$7,M1660=TH!$Y$7),"x","")</f>
        <v/>
      </c>
      <c r="Z1660" s="525" t="str">
        <f>IF(AND(B1660&lt;=NKC!$N$8,B1660&gt;=NKC!$M$8),"x","")</f>
        <v>x</v>
      </c>
      <c r="AA1660" s="535"/>
      <c r="AB1660" s="536"/>
      <c r="AE1660" s="536"/>
    </row>
    <row r="1661" spans="1:31" s="503" customFormat="1" ht="15.75" customHeight="1">
      <c r="A1661" s="517" t="str">
        <f>IF(B1661&lt;&gt;"",IF(AND(B1661&gt;=_TM1,B1661&lt;=_TM2,OR(TH!L1661="1111",TH!M1661="1111")),TH!D1661,""),"")</f>
        <v/>
      </c>
      <c r="B1661" s="531">
        <f t="shared" si="162"/>
        <v>1</v>
      </c>
      <c r="C1661" s="315">
        <f t="shared" si="160"/>
        <v>42758</v>
      </c>
      <c r="D1661" s="537" t="s">
        <v>996</v>
      </c>
      <c r="E1661" s="545">
        <v>42758</v>
      </c>
      <c r="F1661" s="249" t="s">
        <v>648</v>
      </c>
      <c r="G1661" s="314" t="s">
        <v>510</v>
      </c>
      <c r="H1661" s="473" t="s">
        <v>800</v>
      </c>
      <c r="I1661" s="307">
        <v>4</v>
      </c>
      <c r="J1661" s="307">
        <v>49480.200000000004</v>
      </c>
      <c r="K1661" s="532">
        <f t="shared" si="161"/>
        <v>197921</v>
      </c>
      <c r="L1661" s="539" t="s">
        <v>160</v>
      </c>
      <c r="M1661" s="539" t="s">
        <v>292</v>
      </c>
      <c r="N1661" s="525" t="str">
        <f>IF(AND('331-CT'!$E$7=TH!H1661,OR(L1661="331",M1661="331")),"331",IF(AND(OR(L1661="131",M1661="131"),H1661='131-CT'!$E$7),"131",""))</f>
        <v/>
      </c>
      <c r="O1661" s="525" t="str">
        <f>IF(AND($B1661&gt;='111'!$N$11,$B1661&lt;='111'!$O$11,OR($L1661=$O$7,$M1661=$O$7)),"x","")</f>
        <v/>
      </c>
      <c r="P1661" s="525" t="str">
        <f>IF(AND($L1661=$O$7,$B1661&lt;'111'!$N$11),"x","")</f>
        <v/>
      </c>
      <c r="Q1661" s="525" t="str">
        <f>IF(AND($M1661=$O$7,$B1661&lt;'111'!$N$11),"x","")</f>
        <v/>
      </c>
      <c r="R1661" s="525" t="str">
        <f>IF(ISERROR(FIND('112'!$M$9,G1661,1)),"",IF((AND(FIND('112'!$M$9,G1661,1)&gt;=1,$B1661&gt;='112'!$N$8,$B1661&lt;='112'!$O$8,OR($L1661='112'!$I$6,$M1661='112'!$I$6))),"x",""))</f>
        <v/>
      </c>
      <c r="S1661" s="525" t="str">
        <f>IF(ISERROR(FIND('112'!$M$9,G1661,1)),"",IF((AND(LEFT(G1661,2)=LEFT('112'!$M$9,2),B1661&lt;'112'!$N$8,$L1661='112'!$I$6)),"x",""))</f>
        <v/>
      </c>
      <c r="T1661" s="525" t="str">
        <f>IF(ISERROR(FIND('112'!$M$9,G1661,1)),"",IF((AND(RIGHT(G1661,2)=RIGHT('112'!$M$9,2),B1661&lt;'112'!$N$8,$M1661='112'!$I$6)),"x",""))</f>
        <v/>
      </c>
      <c r="U1661" s="525" t="str">
        <f>IF(AND(B1661&gt;='IN-NX'!$P$3,B1661&lt;='IN-NX'!$Q$3,'IN-NX'!$D$7=D1661,OR(LEFT(L1661,2)="15",AND(LEFT(M1661,2)&lt;&gt;"15",LEFT(M1661,2)&lt;&gt;"33"))),"x","")</f>
        <v/>
      </c>
      <c r="V1661" s="525" t="str">
        <f>IF(AND(OR(LEFT(TH!L1661,2)="15",LEFT(TH!M1661,2)="15"),'152-CT'!$J$8=TH!F1661),"x","")</f>
        <v/>
      </c>
      <c r="W1661" s="525" t="str">
        <f>IF(AND(OR(LEFT(TH!L1661,2)="15",LEFT(TH!M1661,2)="15"),TK!$E$7=TH!F1661),"x","")</f>
        <v/>
      </c>
      <c r="X1661" s="525" t="str">
        <f>IF(AND('341-CT'!$E$9=H1661,OR(LEFT(L1661,3)=$X$7,LEFT(M1661,3)=$X$7)),"x","")</f>
        <v/>
      </c>
      <c r="Y1661" s="525" t="str">
        <f>IF(OR(TH!L1661=TH!$Y$7,M1661=TH!$Y$7),"x","")</f>
        <v/>
      </c>
      <c r="Z1661" s="525" t="str">
        <f>IF(AND(B1661&lt;=NKC!$N$8,B1661&gt;=NKC!$M$8),"x","")</f>
        <v>x</v>
      </c>
      <c r="AA1661" s="535"/>
      <c r="AB1661" s="536"/>
      <c r="AE1661" s="536"/>
    </row>
    <row r="1662" spans="1:31" s="503" customFormat="1" ht="15.75" customHeight="1">
      <c r="A1662" s="517" t="str">
        <f>IF(B1662&lt;&gt;"",IF(AND(B1662&gt;=_TM1,B1662&lt;=_TM2,OR(TH!L1662="1111",TH!M1662="1111")),TH!D1662,""),"")</f>
        <v/>
      </c>
      <c r="B1662" s="531">
        <f t="shared" si="162"/>
        <v>1</v>
      </c>
      <c r="C1662" s="315">
        <f t="shared" si="160"/>
        <v>42758</v>
      </c>
      <c r="D1662" s="537" t="s">
        <v>996</v>
      </c>
      <c r="E1662" s="280">
        <v>42758</v>
      </c>
      <c r="F1662" s="250" t="s">
        <v>649</v>
      </c>
      <c r="G1662" s="540" t="s">
        <v>510</v>
      </c>
      <c r="H1662" s="473" t="s">
        <v>800</v>
      </c>
      <c r="I1662" s="307">
        <v>8</v>
      </c>
      <c r="J1662" s="307">
        <v>69350.399999999994</v>
      </c>
      <c r="K1662" s="532">
        <f t="shared" si="161"/>
        <v>554803</v>
      </c>
      <c r="L1662" s="539" t="s">
        <v>160</v>
      </c>
      <c r="M1662" s="539" t="s">
        <v>292</v>
      </c>
      <c r="N1662" s="525" t="str">
        <f>IF(AND('331-CT'!$E$7=TH!H1662,OR(L1662="331",M1662="331")),"331",IF(AND(OR(L1662="131",M1662="131"),H1662='131-CT'!$E$7),"131",""))</f>
        <v/>
      </c>
      <c r="O1662" s="525" t="str">
        <f>IF(AND($B1662&gt;='111'!$N$11,$B1662&lt;='111'!$O$11,OR($L1662=$O$7,$M1662=$O$7)),"x","")</f>
        <v/>
      </c>
      <c r="P1662" s="525" t="str">
        <f>IF(AND($L1662=$O$7,$B1662&lt;'111'!$N$11),"x","")</f>
        <v/>
      </c>
      <c r="Q1662" s="525" t="str">
        <f>IF(AND($M1662=$O$7,$B1662&lt;'111'!$N$11),"x","")</f>
        <v/>
      </c>
      <c r="R1662" s="525" t="str">
        <f>IF(ISERROR(FIND('112'!$M$9,G1662,1)),"",IF((AND(FIND('112'!$M$9,G1662,1)&gt;=1,$B1662&gt;='112'!$N$8,$B1662&lt;='112'!$O$8,OR($L1662='112'!$I$6,$M1662='112'!$I$6))),"x",""))</f>
        <v/>
      </c>
      <c r="S1662" s="525" t="str">
        <f>IF(ISERROR(FIND('112'!$M$9,G1662,1)),"",IF((AND(LEFT(G1662,2)=LEFT('112'!$M$9,2),B1662&lt;'112'!$N$8,$L1662='112'!$I$6)),"x",""))</f>
        <v/>
      </c>
      <c r="T1662" s="525" t="str">
        <f>IF(ISERROR(FIND('112'!$M$9,G1662,1)),"",IF((AND(RIGHT(G1662,2)=RIGHT('112'!$M$9,2),B1662&lt;'112'!$N$8,$M1662='112'!$I$6)),"x",""))</f>
        <v/>
      </c>
      <c r="U1662" s="525" t="str">
        <f>IF(AND(B1662&gt;='IN-NX'!$P$3,B1662&lt;='IN-NX'!$Q$3,'IN-NX'!$D$7=D1662,OR(LEFT(L1662,2)="15",AND(LEFT(M1662,2)&lt;&gt;"15",LEFT(M1662,2)&lt;&gt;"33"))),"x","")</f>
        <v/>
      </c>
      <c r="V1662" s="525" t="str">
        <f>IF(AND(OR(LEFT(TH!L1662,2)="15",LEFT(TH!M1662,2)="15"),'152-CT'!$J$8=TH!F1662),"x","")</f>
        <v/>
      </c>
      <c r="W1662" s="525" t="str">
        <f>IF(AND(OR(LEFT(TH!L1662,2)="15",LEFT(TH!M1662,2)="15"),TK!$E$7=TH!F1662),"x","")</f>
        <v/>
      </c>
      <c r="X1662" s="525" t="str">
        <f>IF(AND('341-CT'!$E$9=H1662,OR(LEFT(L1662,3)=$X$7,LEFT(M1662,3)=$X$7)),"x","")</f>
        <v/>
      </c>
      <c r="Y1662" s="525" t="str">
        <f>IF(OR(TH!L1662=TH!$Y$7,M1662=TH!$Y$7),"x","")</f>
        <v/>
      </c>
      <c r="Z1662" s="525" t="str">
        <f>IF(AND(B1662&lt;=NKC!$N$8,B1662&gt;=NKC!$M$8),"x","")</f>
        <v>x</v>
      </c>
      <c r="AA1662" s="535"/>
    </row>
    <row r="1663" spans="1:31" s="503" customFormat="1" ht="15.75" customHeight="1">
      <c r="A1663" s="517" t="str">
        <f>IF(B1663&lt;&gt;"",IF(AND(B1663&gt;=_TM1,B1663&lt;=_TM2,OR(TH!L1663="1111",TH!M1663="1111")),TH!D1663,""),"")</f>
        <v/>
      </c>
      <c r="B1663" s="531">
        <f t="shared" si="162"/>
        <v>1</v>
      </c>
      <c r="C1663" s="315">
        <f t="shared" si="160"/>
        <v>42758</v>
      </c>
      <c r="D1663" s="537" t="s">
        <v>996</v>
      </c>
      <c r="E1663" s="545">
        <v>42758</v>
      </c>
      <c r="F1663" s="249" t="s">
        <v>611</v>
      </c>
      <c r="G1663" s="540" t="s">
        <v>510</v>
      </c>
      <c r="H1663" s="473" t="s">
        <v>800</v>
      </c>
      <c r="I1663" s="307">
        <v>4</v>
      </c>
      <c r="J1663" s="307">
        <v>44814</v>
      </c>
      <c r="K1663" s="532">
        <f t="shared" si="161"/>
        <v>179256</v>
      </c>
      <c r="L1663" s="539" t="s">
        <v>160</v>
      </c>
      <c r="M1663" s="539" t="s">
        <v>292</v>
      </c>
      <c r="N1663" s="525" t="str">
        <f>IF(AND('331-CT'!$E$7=TH!H1663,OR(L1663="331",M1663="331")),"331",IF(AND(OR(L1663="131",M1663="131"),H1663='131-CT'!$E$7),"131",""))</f>
        <v/>
      </c>
      <c r="O1663" s="525" t="str">
        <f>IF(AND($B1663&gt;='111'!$N$11,$B1663&lt;='111'!$O$11,OR($L1663=$O$7,$M1663=$O$7)),"x","")</f>
        <v/>
      </c>
      <c r="P1663" s="525" t="str">
        <f>IF(AND($L1663=$O$7,$B1663&lt;'111'!$N$11),"x","")</f>
        <v/>
      </c>
      <c r="Q1663" s="525" t="str">
        <f>IF(AND($M1663=$O$7,$B1663&lt;'111'!$N$11),"x","")</f>
        <v/>
      </c>
      <c r="R1663" s="525" t="str">
        <f>IF(ISERROR(FIND('112'!$M$9,G1663,1)),"",IF((AND(FIND('112'!$M$9,G1663,1)&gt;=1,$B1663&gt;='112'!$N$8,$B1663&lt;='112'!$O$8,OR($L1663='112'!$I$6,$M1663='112'!$I$6))),"x",""))</f>
        <v/>
      </c>
      <c r="S1663" s="525" t="str">
        <f>IF(ISERROR(FIND('112'!$M$9,G1663,1)),"",IF((AND(LEFT(G1663,2)=LEFT('112'!$M$9,2),B1663&lt;'112'!$N$8,$L1663='112'!$I$6)),"x",""))</f>
        <v/>
      </c>
      <c r="T1663" s="525" t="str">
        <f>IF(ISERROR(FIND('112'!$M$9,G1663,1)),"",IF((AND(RIGHT(G1663,2)=RIGHT('112'!$M$9,2),B1663&lt;'112'!$N$8,$M1663='112'!$I$6)),"x",""))</f>
        <v/>
      </c>
      <c r="U1663" s="525" t="str">
        <f>IF(AND(B1663&gt;='IN-NX'!$P$3,B1663&lt;='IN-NX'!$Q$3,'IN-NX'!$D$7=D1663,OR(LEFT(L1663,2)="15",AND(LEFT(M1663,2)&lt;&gt;"15",LEFT(M1663,2)&lt;&gt;"33"))),"x","")</f>
        <v/>
      </c>
      <c r="V1663" s="525" t="str">
        <f>IF(AND(OR(LEFT(TH!L1663,2)="15",LEFT(TH!M1663,2)="15"),'152-CT'!$J$8=TH!F1663),"x","")</f>
        <v/>
      </c>
      <c r="W1663" s="525" t="str">
        <f>IF(AND(OR(LEFT(TH!L1663,2)="15",LEFT(TH!M1663,2)="15"),TK!$E$7=TH!F1663),"x","")</f>
        <v/>
      </c>
      <c r="X1663" s="525" t="str">
        <f>IF(AND('341-CT'!$E$9=H1663,OR(LEFT(L1663,3)=$X$7,LEFT(M1663,3)=$X$7)),"x","")</f>
        <v/>
      </c>
      <c r="Y1663" s="525" t="str">
        <f>IF(OR(TH!L1663=TH!$Y$7,M1663=TH!$Y$7),"x","")</f>
        <v/>
      </c>
      <c r="Z1663" s="525" t="str">
        <f>IF(AND(B1663&lt;=NKC!$N$8,B1663&gt;=NKC!$M$8),"x","")</f>
        <v>x</v>
      </c>
      <c r="AA1663" s="535"/>
    </row>
    <row r="1664" spans="1:31" s="503" customFormat="1" ht="15.75" customHeight="1">
      <c r="A1664" s="517" t="str">
        <f>IF(B1664&lt;&gt;"",IF(AND(B1664&gt;=_TM1,B1664&lt;=_TM2,OR(TH!L1664="1111",TH!M1664="1111")),TH!D1664,""),"")</f>
        <v/>
      </c>
      <c r="B1664" s="531">
        <f t="shared" si="162"/>
        <v>1</v>
      </c>
      <c r="C1664" s="315">
        <f t="shared" si="160"/>
        <v>42758</v>
      </c>
      <c r="D1664" s="537" t="s">
        <v>996</v>
      </c>
      <c r="E1664" s="545">
        <v>42758</v>
      </c>
      <c r="F1664" s="249" t="s">
        <v>650</v>
      </c>
      <c r="G1664" s="314" t="s">
        <v>510</v>
      </c>
      <c r="H1664" s="473" t="s">
        <v>800</v>
      </c>
      <c r="I1664" s="307">
        <v>20</v>
      </c>
      <c r="J1664" s="307">
        <v>79332.161999999997</v>
      </c>
      <c r="K1664" s="532">
        <f t="shared" si="161"/>
        <v>1586643</v>
      </c>
      <c r="L1664" s="539" t="s">
        <v>160</v>
      </c>
      <c r="M1664" s="539" t="s">
        <v>292</v>
      </c>
      <c r="N1664" s="525" t="str">
        <f>IF(AND('331-CT'!$E$7=TH!H1664,OR(L1664="331",M1664="331")),"331",IF(AND(OR(L1664="131",M1664="131"),H1664='131-CT'!$E$7),"131",""))</f>
        <v/>
      </c>
      <c r="O1664" s="525" t="str">
        <f>IF(AND($B1664&gt;='111'!$N$11,$B1664&lt;='111'!$O$11,OR($L1664=$O$7,$M1664=$O$7)),"x","")</f>
        <v/>
      </c>
      <c r="P1664" s="525" t="str">
        <f>IF(AND($L1664=$O$7,$B1664&lt;'111'!$N$11),"x","")</f>
        <v/>
      </c>
      <c r="Q1664" s="525" t="str">
        <f>IF(AND($M1664=$O$7,$B1664&lt;'111'!$N$11),"x","")</f>
        <v/>
      </c>
      <c r="R1664" s="525" t="str">
        <f>IF(ISERROR(FIND('112'!$M$9,G1664,1)),"",IF((AND(FIND('112'!$M$9,G1664,1)&gt;=1,$B1664&gt;='112'!$N$8,$B1664&lt;='112'!$O$8,OR($L1664='112'!$I$6,$M1664='112'!$I$6))),"x",""))</f>
        <v/>
      </c>
      <c r="S1664" s="525" t="str">
        <f>IF(ISERROR(FIND('112'!$M$9,G1664,1)),"",IF((AND(LEFT(G1664,2)=LEFT('112'!$M$9,2),B1664&lt;'112'!$N$8,$L1664='112'!$I$6)),"x",""))</f>
        <v/>
      </c>
      <c r="T1664" s="525" t="str">
        <f>IF(ISERROR(FIND('112'!$M$9,G1664,1)),"",IF((AND(RIGHT(G1664,2)=RIGHT('112'!$M$9,2),B1664&lt;'112'!$N$8,$M1664='112'!$I$6)),"x",""))</f>
        <v/>
      </c>
      <c r="U1664" s="525" t="str">
        <f>IF(AND(B1664&gt;='IN-NX'!$P$3,B1664&lt;='IN-NX'!$Q$3,'IN-NX'!$D$7=D1664,OR(LEFT(L1664,2)="15",AND(LEFT(M1664,2)&lt;&gt;"15",LEFT(M1664,2)&lt;&gt;"33"))),"x","")</f>
        <v/>
      </c>
      <c r="V1664" s="525" t="str">
        <f>IF(AND(OR(LEFT(TH!L1664,2)="15",LEFT(TH!M1664,2)="15"),'152-CT'!$J$8=TH!F1664),"x","")</f>
        <v/>
      </c>
      <c r="W1664" s="525" t="str">
        <f>IF(AND(OR(LEFT(TH!L1664,2)="15",LEFT(TH!M1664,2)="15"),TK!$E$7=TH!F1664),"x","")</f>
        <v/>
      </c>
      <c r="X1664" s="525" t="str">
        <f>IF(AND('341-CT'!$E$9=H1664,OR(LEFT(L1664,3)=$X$7,LEFT(M1664,3)=$X$7)),"x","")</f>
        <v/>
      </c>
      <c r="Y1664" s="525" t="str">
        <f>IF(OR(TH!L1664=TH!$Y$7,M1664=TH!$Y$7),"x","")</f>
        <v/>
      </c>
      <c r="Z1664" s="525" t="str">
        <f>IF(AND(B1664&lt;=NKC!$N$8,B1664&gt;=NKC!$M$8),"x","")</f>
        <v>x</v>
      </c>
      <c r="AA1664" s="535"/>
      <c r="AB1664" s="536"/>
    </row>
    <row r="1665" spans="1:28" s="503" customFormat="1" ht="15.75" customHeight="1">
      <c r="A1665" s="517" t="str">
        <f>IF(B1665&lt;&gt;"",IF(AND(B1665&gt;=_TM1,B1665&lt;=_TM2,OR(TH!L1665="1111",TH!M1665="1111")),TH!D1665,""),"")</f>
        <v/>
      </c>
      <c r="B1665" s="531">
        <f t="shared" si="162"/>
        <v>1</v>
      </c>
      <c r="C1665" s="315">
        <f t="shared" si="160"/>
        <v>42758</v>
      </c>
      <c r="D1665" s="537" t="s">
        <v>996</v>
      </c>
      <c r="E1665" s="545">
        <v>42758</v>
      </c>
      <c r="F1665" s="249" t="s">
        <v>651</v>
      </c>
      <c r="G1665" s="314" t="s">
        <v>510</v>
      </c>
      <c r="H1665" s="473" t="s">
        <v>800</v>
      </c>
      <c r="I1665" s="307">
        <v>20</v>
      </c>
      <c r="J1665" s="307">
        <v>112639.833</v>
      </c>
      <c r="K1665" s="532">
        <f t="shared" si="161"/>
        <v>2252797</v>
      </c>
      <c r="L1665" s="539" t="s">
        <v>160</v>
      </c>
      <c r="M1665" s="539" t="s">
        <v>292</v>
      </c>
      <c r="N1665" s="525" t="str">
        <f>IF(AND('331-CT'!$E$7=TH!H1665,OR(L1665="331",M1665="331")),"331",IF(AND(OR(L1665="131",M1665="131"),H1665='131-CT'!$E$7),"131",""))</f>
        <v/>
      </c>
      <c r="O1665" s="525" t="str">
        <f>IF(AND($B1665&gt;='111'!$N$11,$B1665&lt;='111'!$O$11,OR($L1665=$O$7,$M1665=$O$7)),"x","")</f>
        <v/>
      </c>
      <c r="P1665" s="525" t="str">
        <f>IF(AND($L1665=$O$7,$B1665&lt;'111'!$N$11),"x","")</f>
        <v/>
      </c>
      <c r="Q1665" s="525" t="str">
        <f>IF(AND($M1665=$O$7,$B1665&lt;'111'!$N$11),"x","")</f>
        <v/>
      </c>
      <c r="R1665" s="525" t="str">
        <f>IF(ISERROR(FIND('112'!$M$9,G1665,1)),"",IF((AND(FIND('112'!$M$9,G1665,1)&gt;=1,$B1665&gt;='112'!$N$8,$B1665&lt;='112'!$O$8,OR($L1665='112'!$I$6,$M1665='112'!$I$6))),"x",""))</f>
        <v/>
      </c>
      <c r="S1665" s="525" t="str">
        <f>IF(ISERROR(FIND('112'!$M$9,G1665,1)),"",IF((AND(LEFT(G1665,2)=LEFT('112'!$M$9,2),B1665&lt;'112'!$N$8,$L1665='112'!$I$6)),"x",""))</f>
        <v/>
      </c>
      <c r="T1665" s="525" t="str">
        <f>IF(ISERROR(FIND('112'!$M$9,G1665,1)),"",IF((AND(RIGHT(G1665,2)=RIGHT('112'!$M$9,2),B1665&lt;'112'!$N$8,$M1665='112'!$I$6)),"x",""))</f>
        <v/>
      </c>
      <c r="U1665" s="525" t="str">
        <f>IF(AND(B1665&gt;='IN-NX'!$P$3,B1665&lt;='IN-NX'!$Q$3,'IN-NX'!$D$7=D1665,OR(LEFT(L1665,2)="15",AND(LEFT(M1665,2)&lt;&gt;"15",LEFT(M1665,2)&lt;&gt;"33"))),"x","")</f>
        <v/>
      </c>
      <c r="V1665" s="525" t="str">
        <f>IF(AND(OR(LEFT(TH!L1665,2)="15",LEFT(TH!M1665,2)="15"),'152-CT'!$J$8=TH!F1665),"x","")</f>
        <v/>
      </c>
      <c r="W1665" s="525" t="str">
        <f>IF(AND(OR(LEFT(TH!L1665,2)="15",LEFT(TH!M1665,2)="15"),TK!$E$7=TH!F1665),"x","")</f>
        <v/>
      </c>
      <c r="X1665" s="525" t="str">
        <f>IF(AND('341-CT'!$E$9=H1665,OR(LEFT(L1665,3)=$X$7,LEFT(M1665,3)=$X$7)),"x","")</f>
        <v/>
      </c>
      <c r="Y1665" s="525" t="str">
        <f>IF(OR(TH!L1665=TH!$Y$7,M1665=TH!$Y$7),"x","")</f>
        <v/>
      </c>
      <c r="Z1665" s="525" t="str">
        <f>IF(AND(B1665&lt;=NKC!$N$8,B1665&gt;=NKC!$M$8),"x","")</f>
        <v>x</v>
      </c>
      <c r="AA1665" s="535"/>
      <c r="AB1665" s="536"/>
    </row>
    <row r="1666" spans="1:28" s="503" customFormat="1" ht="15.75" customHeight="1">
      <c r="A1666" s="517" t="str">
        <f>IF(B1666&lt;&gt;"",IF(AND(B1666&gt;=_TM1,B1666&lt;=_TM2,OR(TH!L1666="1111",TH!M1666="1111")),TH!D1666,""),"")</f>
        <v/>
      </c>
      <c r="B1666" s="531">
        <f t="shared" si="162"/>
        <v>1</v>
      </c>
      <c r="C1666" s="315">
        <f t="shared" si="160"/>
        <v>42758</v>
      </c>
      <c r="D1666" s="537" t="s">
        <v>996</v>
      </c>
      <c r="E1666" s="547">
        <v>42758</v>
      </c>
      <c r="F1666" s="249" t="s">
        <v>652</v>
      </c>
      <c r="G1666" s="538" t="s">
        <v>510</v>
      </c>
      <c r="H1666" s="473" t="s">
        <v>800</v>
      </c>
      <c r="I1666" s="307">
        <v>72</v>
      </c>
      <c r="J1666" s="307">
        <v>29092.800000000003</v>
      </c>
      <c r="K1666" s="532">
        <f t="shared" si="161"/>
        <v>2094682</v>
      </c>
      <c r="L1666" s="539" t="s">
        <v>160</v>
      </c>
      <c r="M1666" s="539" t="s">
        <v>292</v>
      </c>
      <c r="N1666" s="525" t="str">
        <f>IF(AND('331-CT'!$E$7=TH!H1666,OR(L1666="331",M1666="331")),"331",IF(AND(OR(L1666="131",M1666="131"),H1666='131-CT'!$E$7),"131",""))</f>
        <v/>
      </c>
      <c r="O1666" s="525" t="str">
        <f>IF(AND($B1666&gt;='111'!$N$11,$B1666&lt;='111'!$O$11,OR($L1666=$O$7,$M1666=$O$7)),"x","")</f>
        <v/>
      </c>
      <c r="P1666" s="525" t="str">
        <f>IF(AND($L1666=$O$7,$B1666&lt;'111'!$N$11),"x","")</f>
        <v/>
      </c>
      <c r="Q1666" s="525" t="str">
        <f>IF(AND($M1666=$O$7,$B1666&lt;'111'!$N$11),"x","")</f>
        <v/>
      </c>
      <c r="R1666" s="525" t="str">
        <f>IF(ISERROR(FIND('112'!$M$9,G1666,1)),"",IF((AND(FIND('112'!$M$9,G1666,1)&gt;=1,$B1666&gt;='112'!$N$8,$B1666&lt;='112'!$O$8,OR($L1666='112'!$I$6,$M1666='112'!$I$6))),"x",""))</f>
        <v/>
      </c>
      <c r="S1666" s="525" t="str">
        <f>IF(ISERROR(FIND('112'!$M$9,G1666,1)),"",IF((AND(LEFT(G1666,2)=LEFT('112'!$M$9,2),B1666&lt;'112'!$N$8,$L1666='112'!$I$6)),"x",""))</f>
        <v/>
      </c>
      <c r="T1666" s="525" t="str">
        <f>IF(ISERROR(FIND('112'!$M$9,G1666,1)),"",IF((AND(RIGHT(G1666,2)=RIGHT('112'!$M$9,2),B1666&lt;'112'!$N$8,$M1666='112'!$I$6)),"x",""))</f>
        <v/>
      </c>
      <c r="U1666" s="525" t="str">
        <f>IF(AND(B1666&gt;='IN-NX'!$P$3,B1666&lt;='IN-NX'!$Q$3,'IN-NX'!$D$7=D1666,OR(LEFT(L1666,2)="15",AND(LEFT(M1666,2)&lt;&gt;"15",LEFT(M1666,2)&lt;&gt;"33"))),"x","")</f>
        <v/>
      </c>
      <c r="V1666" s="525" t="str">
        <f>IF(AND(OR(LEFT(TH!L1666,2)="15",LEFT(TH!M1666,2)="15"),'152-CT'!$J$8=TH!F1666),"x","")</f>
        <v/>
      </c>
      <c r="W1666" s="525" t="str">
        <f>IF(AND(OR(LEFT(TH!L1666,2)="15",LEFT(TH!M1666,2)="15"),TK!$E$7=TH!F1666),"x","")</f>
        <v/>
      </c>
      <c r="X1666" s="525" t="str">
        <f>IF(AND('341-CT'!$E$9=H1666,OR(LEFT(L1666,3)=$X$7,LEFT(M1666,3)=$X$7)),"x","")</f>
        <v/>
      </c>
      <c r="Y1666" s="525" t="str">
        <f>IF(OR(TH!L1666=TH!$Y$7,M1666=TH!$Y$7),"x","")</f>
        <v/>
      </c>
      <c r="Z1666" s="525" t="str">
        <f>IF(AND(B1666&lt;=NKC!$N$8,B1666&gt;=NKC!$M$8),"x","")</f>
        <v>x</v>
      </c>
      <c r="AA1666" s="535"/>
      <c r="AB1666" s="536"/>
    </row>
    <row r="1667" spans="1:28" s="503" customFormat="1" ht="15.75" customHeight="1">
      <c r="A1667" s="517" t="str">
        <f>IF(B1667&lt;&gt;"",IF(AND(B1667&gt;=_TM1,B1667&lt;=_TM2,OR(TH!L1667="1111",TH!M1667="1111")),TH!D1667,""),"")</f>
        <v/>
      </c>
      <c r="B1667" s="531">
        <f t="shared" si="162"/>
        <v>1</v>
      </c>
      <c r="C1667" s="315">
        <f t="shared" si="160"/>
        <v>42758</v>
      </c>
      <c r="D1667" s="537" t="s">
        <v>996</v>
      </c>
      <c r="E1667" s="547">
        <v>42758</v>
      </c>
      <c r="F1667" s="249" t="s">
        <v>653</v>
      </c>
      <c r="G1667" s="538" t="s">
        <v>510</v>
      </c>
      <c r="H1667" s="473" t="s">
        <v>800</v>
      </c>
      <c r="I1667" s="307">
        <v>8</v>
      </c>
      <c r="J1667" s="307">
        <v>65007.600000000006</v>
      </c>
      <c r="K1667" s="532">
        <f t="shared" si="161"/>
        <v>520061</v>
      </c>
      <c r="L1667" s="539" t="s">
        <v>160</v>
      </c>
      <c r="M1667" s="539" t="s">
        <v>292</v>
      </c>
      <c r="N1667" s="525" t="str">
        <f>IF(AND('331-CT'!$E$7=TH!H1667,OR(L1667="331",M1667="331")),"331",IF(AND(OR(L1667="131",M1667="131"),H1667='131-CT'!$E$7),"131",""))</f>
        <v/>
      </c>
      <c r="O1667" s="525" t="str">
        <f>IF(AND($B1667&gt;='111'!$N$11,$B1667&lt;='111'!$O$11,OR($L1667=$O$7,$M1667=$O$7)),"x","")</f>
        <v/>
      </c>
      <c r="P1667" s="525" t="str">
        <f>IF(AND($L1667=$O$7,$B1667&lt;'111'!$N$11),"x","")</f>
        <v/>
      </c>
      <c r="Q1667" s="525" t="str">
        <f>IF(AND($M1667=$O$7,$B1667&lt;'111'!$N$11),"x","")</f>
        <v/>
      </c>
      <c r="R1667" s="525" t="str">
        <f>IF(ISERROR(FIND('112'!$M$9,G1667,1)),"",IF((AND(FIND('112'!$M$9,G1667,1)&gt;=1,$B1667&gt;='112'!$N$8,$B1667&lt;='112'!$O$8,OR($L1667='112'!$I$6,$M1667='112'!$I$6))),"x",""))</f>
        <v/>
      </c>
      <c r="S1667" s="525" t="str">
        <f>IF(ISERROR(FIND('112'!$M$9,G1667,1)),"",IF((AND(LEFT(G1667,2)=LEFT('112'!$M$9,2),B1667&lt;'112'!$N$8,$L1667='112'!$I$6)),"x",""))</f>
        <v/>
      </c>
      <c r="T1667" s="525" t="str">
        <f>IF(ISERROR(FIND('112'!$M$9,G1667,1)),"",IF((AND(RIGHT(G1667,2)=RIGHT('112'!$M$9,2),B1667&lt;'112'!$N$8,$M1667='112'!$I$6)),"x",""))</f>
        <v/>
      </c>
      <c r="U1667" s="525" t="str">
        <f>IF(AND(B1667&gt;='IN-NX'!$P$3,B1667&lt;='IN-NX'!$Q$3,'IN-NX'!$D$7=D1667,OR(LEFT(L1667,2)="15",AND(LEFT(M1667,2)&lt;&gt;"15",LEFT(M1667,2)&lt;&gt;"33"))),"x","")</f>
        <v/>
      </c>
      <c r="V1667" s="525" t="str">
        <f>IF(AND(OR(LEFT(TH!L1667,2)="15",LEFT(TH!M1667,2)="15"),'152-CT'!$J$8=TH!F1667),"x","")</f>
        <v/>
      </c>
      <c r="W1667" s="525" t="str">
        <f>IF(AND(OR(LEFT(TH!L1667,2)="15",LEFT(TH!M1667,2)="15"),TK!$E$7=TH!F1667),"x","")</f>
        <v/>
      </c>
      <c r="X1667" s="525" t="str">
        <f>IF(AND('341-CT'!$E$9=H1667,OR(LEFT(L1667,3)=$X$7,LEFT(M1667,3)=$X$7)),"x","")</f>
        <v/>
      </c>
      <c r="Y1667" s="525" t="str">
        <f>IF(OR(TH!L1667=TH!$Y$7,M1667=TH!$Y$7),"x","")</f>
        <v/>
      </c>
      <c r="Z1667" s="525" t="str">
        <f>IF(AND(B1667&lt;=NKC!$N$8,B1667&gt;=NKC!$M$8),"x","")</f>
        <v>x</v>
      </c>
      <c r="AA1667" s="535"/>
      <c r="AB1667" s="536"/>
    </row>
    <row r="1668" spans="1:28" s="503" customFormat="1" ht="15.75" customHeight="1">
      <c r="A1668" s="517" t="str">
        <f>IF(B1668&lt;&gt;"",IF(AND(B1668&gt;=_TM1,B1668&lt;=_TM2,OR(TH!L1668="1111",TH!M1668="1111")),TH!D1668,""),"")</f>
        <v/>
      </c>
      <c r="B1668" s="531">
        <f t="shared" si="162"/>
        <v>1</v>
      </c>
      <c r="C1668" s="315">
        <f t="shared" si="160"/>
        <v>42758</v>
      </c>
      <c r="D1668" s="537" t="s">
        <v>996</v>
      </c>
      <c r="E1668" s="547">
        <v>42758</v>
      </c>
      <c r="F1668" s="249" t="s">
        <v>654</v>
      </c>
      <c r="G1668" s="538" t="s">
        <v>510</v>
      </c>
      <c r="H1668" s="473" t="s">
        <v>800</v>
      </c>
      <c r="I1668" s="307">
        <v>15</v>
      </c>
      <c r="J1668" s="307">
        <v>76910.400000000009</v>
      </c>
      <c r="K1668" s="532">
        <f t="shared" si="161"/>
        <v>1153656</v>
      </c>
      <c r="L1668" s="539" t="s">
        <v>160</v>
      </c>
      <c r="M1668" s="539" t="s">
        <v>292</v>
      </c>
      <c r="N1668" s="525" t="str">
        <f>IF(AND('331-CT'!$E$7=TH!H1668,OR(L1668="331",M1668="331")),"331",IF(AND(OR(L1668="131",M1668="131"),H1668='131-CT'!$E$7),"131",""))</f>
        <v/>
      </c>
      <c r="O1668" s="525" t="str">
        <f>IF(AND($B1668&gt;='111'!$N$11,$B1668&lt;='111'!$O$11,OR($L1668=$O$7,$M1668=$O$7)),"x","")</f>
        <v/>
      </c>
      <c r="P1668" s="525" t="str">
        <f>IF(AND($L1668=$O$7,$B1668&lt;'111'!$N$11),"x","")</f>
        <v/>
      </c>
      <c r="Q1668" s="525" t="str">
        <f>IF(AND($M1668=$O$7,$B1668&lt;'111'!$N$11),"x","")</f>
        <v/>
      </c>
      <c r="R1668" s="525" t="str">
        <f>IF(ISERROR(FIND('112'!$M$9,G1668,1)),"",IF((AND(FIND('112'!$M$9,G1668,1)&gt;=1,$B1668&gt;='112'!$N$8,$B1668&lt;='112'!$O$8,OR($L1668='112'!$I$6,$M1668='112'!$I$6))),"x",""))</f>
        <v/>
      </c>
      <c r="S1668" s="525" t="str">
        <f>IF(ISERROR(FIND('112'!$M$9,G1668,1)),"",IF((AND(LEFT(G1668,2)=LEFT('112'!$M$9,2),B1668&lt;'112'!$N$8,$L1668='112'!$I$6)),"x",""))</f>
        <v/>
      </c>
      <c r="T1668" s="525" t="str">
        <f>IF(ISERROR(FIND('112'!$M$9,G1668,1)),"",IF((AND(RIGHT(G1668,2)=RIGHT('112'!$M$9,2),B1668&lt;'112'!$N$8,$M1668='112'!$I$6)),"x",""))</f>
        <v/>
      </c>
      <c r="U1668" s="525" t="str">
        <f>IF(AND(B1668&gt;='IN-NX'!$P$3,B1668&lt;='IN-NX'!$Q$3,'IN-NX'!$D$7=D1668,OR(LEFT(L1668,2)="15",AND(LEFT(M1668,2)&lt;&gt;"15",LEFT(M1668,2)&lt;&gt;"33"))),"x","")</f>
        <v/>
      </c>
      <c r="V1668" s="525" t="str">
        <f>IF(AND(OR(LEFT(TH!L1668,2)="15",LEFT(TH!M1668,2)="15"),'152-CT'!$J$8=TH!F1668),"x","")</f>
        <v/>
      </c>
      <c r="W1668" s="525" t="str">
        <f>IF(AND(OR(LEFT(TH!L1668,2)="15",LEFT(TH!M1668,2)="15"),TK!$E$7=TH!F1668),"x","")</f>
        <v/>
      </c>
      <c r="X1668" s="525" t="str">
        <f>IF(AND('341-CT'!$E$9=H1668,OR(LEFT(L1668,3)=$X$7,LEFT(M1668,3)=$X$7)),"x","")</f>
        <v/>
      </c>
      <c r="Y1668" s="525" t="str">
        <f>IF(OR(TH!L1668=TH!$Y$7,M1668=TH!$Y$7),"x","")</f>
        <v/>
      </c>
      <c r="Z1668" s="525" t="str">
        <f>IF(AND(B1668&lt;=NKC!$N$8,B1668&gt;=NKC!$M$8),"x","")</f>
        <v>x</v>
      </c>
      <c r="AA1668" s="535"/>
      <c r="AB1668" s="536"/>
    </row>
    <row r="1669" spans="1:28" s="503" customFormat="1" ht="15.75" customHeight="1">
      <c r="A1669" s="517" t="str">
        <f>IF(B1669&lt;&gt;"",IF(AND(B1669&gt;=_TM1,B1669&lt;=_TM2,OR(TH!L1669="1111",TH!M1669="1111")),TH!D1669,""),"")</f>
        <v/>
      </c>
      <c r="B1669" s="531">
        <f t="shared" si="162"/>
        <v>1</v>
      </c>
      <c r="C1669" s="315">
        <f t="shared" si="160"/>
        <v>42758</v>
      </c>
      <c r="D1669" s="537" t="s">
        <v>996</v>
      </c>
      <c r="E1669" s="547">
        <v>42758</v>
      </c>
      <c r="F1669" s="249" t="s">
        <v>655</v>
      </c>
      <c r="G1669" s="538" t="s">
        <v>510</v>
      </c>
      <c r="H1669" s="473" t="s">
        <v>800</v>
      </c>
      <c r="I1669" s="307">
        <v>30</v>
      </c>
      <c r="J1669" s="307">
        <v>51566</v>
      </c>
      <c r="K1669" s="532">
        <f t="shared" si="161"/>
        <v>1546980</v>
      </c>
      <c r="L1669" s="539" t="s">
        <v>160</v>
      </c>
      <c r="M1669" s="539" t="s">
        <v>292</v>
      </c>
      <c r="N1669" s="525" t="str">
        <f>IF(AND('331-CT'!$E$7=TH!H1669,OR(L1669="331",M1669="331")),"331",IF(AND(OR(L1669="131",M1669="131"),H1669='131-CT'!$E$7),"131",""))</f>
        <v/>
      </c>
      <c r="O1669" s="525" t="str">
        <f>IF(AND($B1669&gt;='111'!$N$11,$B1669&lt;='111'!$O$11,OR($L1669=$O$7,$M1669=$O$7)),"x","")</f>
        <v/>
      </c>
      <c r="P1669" s="525" t="str">
        <f>IF(AND($L1669=$O$7,$B1669&lt;'111'!$N$11),"x","")</f>
        <v/>
      </c>
      <c r="Q1669" s="525" t="str">
        <f>IF(AND($M1669=$O$7,$B1669&lt;'111'!$N$11),"x","")</f>
        <v/>
      </c>
      <c r="R1669" s="525" t="str">
        <f>IF(ISERROR(FIND('112'!$M$9,G1669,1)),"",IF((AND(FIND('112'!$M$9,G1669,1)&gt;=1,$B1669&gt;='112'!$N$8,$B1669&lt;='112'!$O$8,OR($L1669='112'!$I$6,$M1669='112'!$I$6))),"x",""))</f>
        <v/>
      </c>
      <c r="S1669" s="525" t="str">
        <f>IF(ISERROR(FIND('112'!$M$9,G1669,1)),"",IF((AND(LEFT(G1669,2)=LEFT('112'!$M$9,2),B1669&lt;'112'!$N$8,$L1669='112'!$I$6)),"x",""))</f>
        <v/>
      </c>
      <c r="T1669" s="525" t="str">
        <f>IF(ISERROR(FIND('112'!$M$9,G1669,1)),"",IF((AND(RIGHT(G1669,2)=RIGHT('112'!$M$9,2),B1669&lt;'112'!$N$8,$M1669='112'!$I$6)),"x",""))</f>
        <v/>
      </c>
      <c r="U1669" s="525" t="str">
        <f>IF(AND(B1669&gt;='IN-NX'!$P$3,B1669&lt;='IN-NX'!$Q$3,'IN-NX'!$D$7=D1669,OR(LEFT(L1669,2)="15",AND(LEFT(M1669,2)&lt;&gt;"15",LEFT(M1669,2)&lt;&gt;"33"))),"x","")</f>
        <v/>
      </c>
      <c r="V1669" s="525" t="str">
        <f>IF(AND(OR(LEFT(TH!L1669,2)="15",LEFT(TH!M1669,2)="15"),'152-CT'!$J$8=TH!F1669),"x","")</f>
        <v/>
      </c>
      <c r="W1669" s="525" t="str">
        <f>IF(AND(OR(LEFT(TH!L1669,2)="15",LEFT(TH!M1669,2)="15"),TK!$E$7=TH!F1669),"x","")</f>
        <v/>
      </c>
      <c r="X1669" s="525" t="str">
        <f>IF(AND('341-CT'!$E$9=H1669,OR(LEFT(L1669,3)=$X$7,LEFT(M1669,3)=$X$7)),"x","")</f>
        <v/>
      </c>
      <c r="Y1669" s="525" t="str">
        <f>IF(OR(TH!L1669=TH!$Y$7,M1669=TH!$Y$7),"x","")</f>
        <v/>
      </c>
      <c r="Z1669" s="525" t="str">
        <f>IF(AND(B1669&lt;=NKC!$N$8,B1669&gt;=NKC!$M$8),"x","")</f>
        <v>x</v>
      </c>
      <c r="AA1669" s="535"/>
      <c r="AB1669" s="536"/>
    </row>
    <row r="1670" spans="1:28" s="503" customFormat="1" ht="15.75" customHeight="1">
      <c r="A1670" s="517" t="str">
        <f>IF(B1670&lt;&gt;"",IF(AND(B1670&gt;=_TM1,B1670&lt;=_TM2,OR(TH!L1670="1111",TH!M1670="1111")),TH!D1670,""),"")</f>
        <v/>
      </c>
      <c r="B1670" s="531">
        <f t="shared" si="162"/>
        <v>1</v>
      </c>
      <c r="C1670" s="315">
        <f t="shared" si="160"/>
        <v>42758</v>
      </c>
      <c r="D1670" s="537" t="s">
        <v>996</v>
      </c>
      <c r="E1670" s="547">
        <v>42758</v>
      </c>
      <c r="F1670" s="249" t="s">
        <v>656</v>
      </c>
      <c r="G1670" s="538" t="s">
        <v>510</v>
      </c>
      <c r="H1670" s="473" t="s">
        <v>800</v>
      </c>
      <c r="I1670" s="307">
        <v>15</v>
      </c>
      <c r="J1670" s="307">
        <v>79275.000000000015</v>
      </c>
      <c r="K1670" s="532">
        <f t="shared" si="161"/>
        <v>1189125</v>
      </c>
      <c r="L1670" s="539" t="s">
        <v>160</v>
      </c>
      <c r="M1670" s="539" t="s">
        <v>292</v>
      </c>
      <c r="N1670" s="525" t="str">
        <f>IF(AND('331-CT'!$E$7=TH!H1670,OR(L1670="331",M1670="331")),"331",IF(AND(OR(L1670="131",M1670="131"),H1670='131-CT'!$E$7),"131",""))</f>
        <v/>
      </c>
      <c r="O1670" s="525" t="str">
        <f>IF(AND($B1670&gt;='111'!$N$11,$B1670&lt;='111'!$O$11,OR($L1670=$O$7,$M1670=$O$7)),"x","")</f>
        <v/>
      </c>
      <c r="P1670" s="525" t="str">
        <f>IF(AND($L1670=$O$7,$B1670&lt;'111'!$N$11),"x","")</f>
        <v/>
      </c>
      <c r="Q1670" s="525" t="str">
        <f>IF(AND($M1670=$O$7,$B1670&lt;'111'!$N$11),"x","")</f>
        <v/>
      </c>
      <c r="R1670" s="525" t="str">
        <f>IF(ISERROR(FIND('112'!$M$9,G1670,1)),"",IF((AND(FIND('112'!$M$9,G1670,1)&gt;=1,$B1670&gt;='112'!$N$8,$B1670&lt;='112'!$O$8,OR($L1670='112'!$I$6,$M1670='112'!$I$6))),"x",""))</f>
        <v/>
      </c>
      <c r="S1670" s="525" t="str">
        <f>IF(ISERROR(FIND('112'!$M$9,G1670,1)),"",IF((AND(LEFT(G1670,2)=LEFT('112'!$M$9,2),B1670&lt;'112'!$N$8,$L1670='112'!$I$6)),"x",""))</f>
        <v/>
      </c>
      <c r="T1670" s="525" t="str">
        <f>IF(ISERROR(FIND('112'!$M$9,G1670,1)),"",IF((AND(RIGHT(G1670,2)=RIGHT('112'!$M$9,2),B1670&lt;'112'!$N$8,$M1670='112'!$I$6)),"x",""))</f>
        <v/>
      </c>
      <c r="U1670" s="525" t="str">
        <f>IF(AND(B1670&gt;='IN-NX'!$P$3,B1670&lt;='IN-NX'!$Q$3,'IN-NX'!$D$7=D1670,OR(LEFT(L1670,2)="15",AND(LEFT(M1670,2)&lt;&gt;"15",LEFT(M1670,2)&lt;&gt;"33"))),"x","")</f>
        <v/>
      </c>
      <c r="V1670" s="525" t="str">
        <f>IF(AND(OR(LEFT(TH!L1670,2)="15",LEFT(TH!M1670,2)="15"),'152-CT'!$J$8=TH!F1670),"x","")</f>
        <v/>
      </c>
      <c r="W1670" s="525" t="str">
        <f>IF(AND(OR(LEFT(TH!L1670,2)="15",LEFT(TH!M1670,2)="15"),TK!$E$7=TH!F1670),"x","")</f>
        <v/>
      </c>
      <c r="X1670" s="525" t="str">
        <f>IF(AND('341-CT'!$E$9=H1670,OR(LEFT(L1670,3)=$X$7,LEFT(M1670,3)=$X$7)),"x","")</f>
        <v/>
      </c>
      <c r="Y1670" s="525" t="str">
        <f>IF(OR(TH!L1670=TH!$Y$7,M1670=TH!$Y$7),"x","")</f>
        <v/>
      </c>
      <c r="Z1670" s="525" t="str">
        <f>IF(AND(B1670&lt;=NKC!$N$8,B1670&gt;=NKC!$M$8),"x","")</f>
        <v>x</v>
      </c>
      <c r="AA1670" s="535"/>
      <c r="AB1670" s="536"/>
    </row>
    <row r="1671" spans="1:28" s="503" customFormat="1" ht="15.75" customHeight="1">
      <c r="A1671" s="517" t="str">
        <f>IF(B1671&lt;&gt;"",IF(AND(B1671&gt;=_TM1,B1671&lt;=_TM2,OR(TH!L1671="1111",TH!M1671="1111")),TH!D1671,""),"")</f>
        <v/>
      </c>
      <c r="B1671" s="531">
        <f t="shared" si="162"/>
        <v>1</v>
      </c>
      <c r="C1671" s="315">
        <f t="shared" ref="C1671:C1761" si="163">E1671</f>
        <v>42758</v>
      </c>
      <c r="D1671" s="537" t="s">
        <v>996</v>
      </c>
      <c r="E1671" s="547">
        <v>42758</v>
      </c>
      <c r="F1671" s="249" t="s">
        <v>657</v>
      </c>
      <c r="G1671" s="538" t="s">
        <v>510</v>
      </c>
      <c r="H1671" s="473" t="s">
        <v>800</v>
      </c>
      <c r="I1671" s="307">
        <v>20</v>
      </c>
      <c r="J1671" s="307">
        <v>53614.593000000001</v>
      </c>
      <c r="K1671" s="532">
        <f t="shared" si="161"/>
        <v>1072292</v>
      </c>
      <c r="L1671" s="539" t="s">
        <v>160</v>
      </c>
      <c r="M1671" s="539" t="s">
        <v>292</v>
      </c>
      <c r="N1671" s="525" t="str">
        <f>IF(AND('331-CT'!$E$7=TH!H1671,OR(L1671="331",M1671="331")),"331",IF(AND(OR(L1671="131",M1671="131"),H1671='131-CT'!$E$7),"131",""))</f>
        <v/>
      </c>
      <c r="O1671" s="525" t="str">
        <f>IF(AND($B1671&gt;='111'!$N$11,$B1671&lt;='111'!$O$11,OR($L1671=$O$7,$M1671=$O$7)),"x","")</f>
        <v/>
      </c>
      <c r="P1671" s="525" t="str">
        <f>IF(AND($L1671=$O$7,$B1671&lt;'111'!$N$11),"x","")</f>
        <v/>
      </c>
      <c r="Q1671" s="525" t="str">
        <f>IF(AND($M1671=$O$7,$B1671&lt;'111'!$N$11),"x","")</f>
        <v/>
      </c>
      <c r="R1671" s="525" t="str">
        <f>IF(ISERROR(FIND('112'!$M$9,G1671,1)),"",IF((AND(FIND('112'!$M$9,G1671,1)&gt;=1,$B1671&gt;='112'!$N$8,$B1671&lt;='112'!$O$8,OR($L1671='112'!$I$6,$M1671='112'!$I$6))),"x",""))</f>
        <v/>
      </c>
      <c r="S1671" s="525" t="str">
        <f>IF(ISERROR(FIND('112'!$M$9,G1671,1)),"",IF((AND(LEFT(G1671,2)=LEFT('112'!$M$9,2),B1671&lt;'112'!$N$8,$L1671='112'!$I$6)),"x",""))</f>
        <v/>
      </c>
      <c r="T1671" s="525" t="str">
        <f>IF(ISERROR(FIND('112'!$M$9,G1671,1)),"",IF((AND(RIGHT(G1671,2)=RIGHT('112'!$M$9,2),B1671&lt;'112'!$N$8,$M1671='112'!$I$6)),"x",""))</f>
        <v/>
      </c>
      <c r="U1671" s="525" t="str">
        <f>IF(AND(B1671&gt;='IN-NX'!$P$3,B1671&lt;='IN-NX'!$Q$3,'IN-NX'!$D$7=D1671,OR(LEFT(L1671,2)="15",AND(LEFT(M1671,2)&lt;&gt;"15",LEFT(M1671,2)&lt;&gt;"33"))),"x","")</f>
        <v/>
      </c>
      <c r="V1671" s="525" t="str">
        <f>IF(AND(OR(LEFT(TH!L1671,2)="15",LEFT(TH!M1671,2)="15"),'152-CT'!$J$8=TH!F1671),"x","")</f>
        <v/>
      </c>
      <c r="W1671" s="525" t="str">
        <f>IF(AND(OR(LEFT(TH!L1671,2)="15",LEFT(TH!M1671,2)="15"),TK!$E$7=TH!F1671),"x","")</f>
        <v/>
      </c>
      <c r="X1671" s="525" t="str">
        <f>IF(AND('341-CT'!$E$9=H1671,OR(LEFT(L1671,3)=$X$7,LEFT(M1671,3)=$X$7)),"x","")</f>
        <v/>
      </c>
      <c r="Y1671" s="525" t="str">
        <f>IF(OR(TH!L1671=TH!$Y$7,M1671=TH!$Y$7),"x","")</f>
        <v/>
      </c>
      <c r="Z1671" s="525" t="str">
        <f>IF(AND(B1671&lt;=NKC!$N$8,B1671&gt;=NKC!$M$8),"x","")</f>
        <v>x</v>
      </c>
      <c r="AA1671" s="535"/>
      <c r="AB1671" s="536"/>
    </row>
    <row r="1672" spans="1:28" s="503" customFormat="1" ht="15.75" customHeight="1">
      <c r="A1672" s="517" t="str">
        <f>IF(B1672&lt;&gt;"",IF(AND(B1672&gt;=_TM1,B1672&lt;=_TM2,OR(TH!L1672="1111",TH!M1672="1111")),TH!D1672,""),"")</f>
        <v/>
      </c>
      <c r="B1672" s="531">
        <f t="shared" si="162"/>
        <v>1</v>
      </c>
      <c r="C1672" s="315">
        <f t="shared" si="163"/>
        <v>42758</v>
      </c>
      <c r="D1672" s="537" t="s">
        <v>996</v>
      </c>
      <c r="E1672" s="547">
        <v>42758</v>
      </c>
      <c r="F1672" s="249" t="s">
        <v>658</v>
      </c>
      <c r="G1672" s="538" t="s">
        <v>510</v>
      </c>
      <c r="H1672" s="473" t="s">
        <v>800</v>
      </c>
      <c r="I1672" s="307">
        <v>30</v>
      </c>
      <c r="J1672" s="307">
        <v>66599</v>
      </c>
      <c r="K1672" s="532">
        <f t="shared" si="161"/>
        <v>1997970</v>
      </c>
      <c r="L1672" s="539" t="s">
        <v>160</v>
      </c>
      <c r="M1672" s="539" t="s">
        <v>292</v>
      </c>
      <c r="N1672" s="525" t="str">
        <f>IF(AND('331-CT'!$E$7=TH!H1672,OR(L1672="331",M1672="331")),"331",IF(AND(OR(L1672="131",M1672="131"),H1672='131-CT'!$E$7),"131",""))</f>
        <v/>
      </c>
      <c r="O1672" s="525" t="str">
        <f>IF(AND($B1672&gt;='111'!$N$11,$B1672&lt;='111'!$O$11,OR($L1672=$O$7,$M1672=$O$7)),"x","")</f>
        <v/>
      </c>
      <c r="P1672" s="525" t="str">
        <f>IF(AND($L1672=$O$7,$B1672&lt;'111'!$N$11),"x","")</f>
        <v/>
      </c>
      <c r="Q1672" s="525" t="str">
        <f>IF(AND($M1672=$O$7,$B1672&lt;'111'!$N$11),"x","")</f>
        <v/>
      </c>
      <c r="R1672" s="525" t="str">
        <f>IF(ISERROR(FIND('112'!$M$9,G1672,1)),"",IF((AND(FIND('112'!$M$9,G1672,1)&gt;=1,$B1672&gt;='112'!$N$8,$B1672&lt;='112'!$O$8,OR($L1672='112'!$I$6,$M1672='112'!$I$6))),"x",""))</f>
        <v/>
      </c>
      <c r="S1672" s="525" t="str">
        <f>IF(ISERROR(FIND('112'!$M$9,G1672,1)),"",IF((AND(LEFT(G1672,2)=LEFT('112'!$M$9,2),B1672&lt;'112'!$N$8,$L1672='112'!$I$6)),"x",""))</f>
        <v/>
      </c>
      <c r="T1672" s="525" t="str">
        <f>IF(ISERROR(FIND('112'!$M$9,G1672,1)),"",IF((AND(RIGHT(G1672,2)=RIGHT('112'!$M$9,2),B1672&lt;'112'!$N$8,$M1672='112'!$I$6)),"x",""))</f>
        <v/>
      </c>
      <c r="U1672" s="525" t="str">
        <f>IF(AND(B1672&gt;='IN-NX'!$P$3,B1672&lt;='IN-NX'!$Q$3,'IN-NX'!$D$7=D1672,OR(LEFT(L1672,2)="15",AND(LEFT(M1672,2)&lt;&gt;"15",LEFT(M1672,2)&lt;&gt;"33"))),"x","")</f>
        <v/>
      </c>
      <c r="V1672" s="525" t="str">
        <f>IF(AND(OR(LEFT(TH!L1672,2)="15",LEFT(TH!M1672,2)="15"),'152-CT'!$J$8=TH!F1672),"x","")</f>
        <v/>
      </c>
      <c r="W1672" s="525" t="str">
        <f>IF(AND(OR(LEFT(TH!L1672,2)="15",LEFT(TH!M1672,2)="15"),TK!$E$7=TH!F1672),"x","")</f>
        <v/>
      </c>
      <c r="X1672" s="525" t="str">
        <f>IF(AND('341-CT'!$E$9=H1672,OR(LEFT(L1672,3)=$X$7,LEFT(M1672,3)=$X$7)),"x","")</f>
        <v/>
      </c>
      <c r="Y1672" s="525" t="str">
        <f>IF(OR(TH!L1672=TH!$Y$7,M1672=TH!$Y$7),"x","")</f>
        <v/>
      </c>
      <c r="Z1672" s="525" t="str">
        <f>IF(AND(B1672&lt;=NKC!$N$8,B1672&gt;=NKC!$M$8),"x","")</f>
        <v>x</v>
      </c>
      <c r="AA1672" s="535"/>
      <c r="AB1672" s="536"/>
    </row>
    <row r="1673" spans="1:28" s="503" customFormat="1" ht="15.75" customHeight="1">
      <c r="A1673" s="517" t="str">
        <f>IF(B1673&lt;&gt;"",IF(AND(B1673&gt;=_TM1,B1673&lt;=_TM2,OR(TH!L1673="1111",TH!M1673="1111")),TH!D1673,""),"")</f>
        <v/>
      </c>
      <c r="B1673" s="531">
        <f t="shared" si="162"/>
        <v>1</v>
      </c>
      <c r="C1673" s="315">
        <f t="shared" si="163"/>
        <v>42758</v>
      </c>
      <c r="D1673" s="537" t="s">
        <v>996</v>
      </c>
      <c r="E1673" s="547">
        <v>42758</v>
      </c>
      <c r="F1673" s="249" t="s">
        <v>658</v>
      </c>
      <c r="G1673" s="538" t="s">
        <v>510</v>
      </c>
      <c r="H1673" s="473" t="s">
        <v>800</v>
      </c>
      <c r="I1673" s="307">
        <v>18</v>
      </c>
      <c r="J1673" s="307">
        <v>70086</v>
      </c>
      <c r="K1673" s="532">
        <f t="shared" si="161"/>
        <v>1261548</v>
      </c>
      <c r="L1673" s="539" t="s">
        <v>160</v>
      </c>
      <c r="M1673" s="539" t="s">
        <v>292</v>
      </c>
      <c r="N1673" s="525" t="str">
        <f>IF(AND('331-CT'!$E$7=TH!H1673,OR(L1673="331",M1673="331")),"331",IF(AND(OR(L1673="131",M1673="131"),H1673='131-CT'!$E$7),"131",""))</f>
        <v/>
      </c>
      <c r="O1673" s="525" t="str">
        <f>IF(AND($B1673&gt;='111'!$N$11,$B1673&lt;='111'!$O$11,OR($L1673=$O$7,$M1673=$O$7)),"x","")</f>
        <v/>
      </c>
      <c r="P1673" s="525" t="str">
        <f>IF(AND($L1673=$O$7,$B1673&lt;'111'!$N$11),"x","")</f>
        <v/>
      </c>
      <c r="Q1673" s="525" t="str">
        <f>IF(AND($M1673=$O$7,$B1673&lt;'111'!$N$11),"x","")</f>
        <v/>
      </c>
      <c r="R1673" s="525" t="str">
        <f>IF(ISERROR(FIND('112'!$M$9,G1673,1)),"",IF((AND(FIND('112'!$M$9,G1673,1)&gt;=1,$B1673&gt;='112'!$N$8,$B1673&lt;='112'!$O$8,OR($L1673='112'!$I$6,$M1673='112'!$I$6))),"x",""))</f>
        <v/>
      </c>
      <c r="S1673" s="525" t="str">
        <f>IF(ISERROR(FIND('112'!$M$9,G1673,1)),"",IF((AND(LEFT(G1673,2)=LEFT('112'!$M$9,2),B1673&lt;'112'!$N$8,$L1673='112'!$I$6)),"x",""))</f>
        <v/>
      </c>
      <c r="T1673" s="525" t="str">
        <f>IF(ISERROR(FIND('112'!$M$9,G1673,1)),"",IF((AND(RIGHT(G1673,2)=RIGHT('112'!$M$9,2),B1673&lt;'112'!$N$8,$M1673='112'!$I$6)),"x",""))</f>
        <v/>
      </c>
      <c r="U1673" s="525" t="str">
        <f>IF(AND(B1673&gt;='IN-NX'!$P$3,B1673&lt;='IN-NX'!$Q$3,'IN-NX'!$D$7=D1673,OR(LEFT(L1673,2)="15",AND(LEFT(M1673,2)&lt;&gt;"15",LEFT(M1673,2)&lt;&gt;"33"))),"x","")</f>
        <v/>
      </c>
      <c r="V1673" s="525" t="str">
        <f>IF(AND(OR(LEFT(TH!L1673,2)="15",LEFT(TH!M1673,2)="15"),'152-CT'!$J$8=TH!F1673),"x","")</f>
        <v/>
      </c>
      <c r="W1673" s="525" t="str">
        <f>IF(AND(OR(LEFT(TH!L1673,2)="15",LEFT(TH!M1673,2)="15"),TK!$E$7=TH!F1673),"x","")</f>
        <v/>
      </c>
      <c r="X1673" s="525" t="str">
        <f>IF(AND('341-CT'!$E$9=H1673,OR(LEFT(L1673,3)=$X$7,LEFT(M1673,3)=$X$7)),"x","")</f>
        <v/>
      </c>
      <c r="Y1673" s="525" t="str">
        <f>IF(OR(TH!L1673=TH!$Y$7,M1673=TH!$Y$7),"x","")</f>
        <v/>
      </c>
      <c r="Z1673" s="525" t="str">
        <f>IF(AND(B1673&lt;=NKC!$N$8,B1673&gt;=NKC!$M$8),"x","")</f>
        <v>x</v>
      </c>
      <c r="AA1673" s="535"/>
      <c r="AB1673" s="536"/>
    </row>
    <row r="1674" spans="1:28" s="503" customFormat="1" ht="15.75" customHeight="1">
      <c r="A1674" s="517" t="str">
        <f>IF(B1674&lt;&gt;"",IF(AND(B1674&gt;=_TM1,B1674&lt;=_TM2,OR(TH!L1674="1111",TH!M1674="1111")),TH!D1674,""),"")</f>
        <v/>
      </c>
      <c r="B1674" s="531">
        <f t="shared" si="162"/>
        <v>1</v>
      </c>
      <c r="C1674" s="315">
        <f t="shared" si="163"/>
        <v>42758</v>
      </c>
      <c r="D1674" s="537" t="s">
        <v>996</v>
      </c>
      <c r="E1674" s="547">
        <v>42758</v>
      </c>
      <c r="F1674" s="249" t="s">
        <v>659</v>
      </c>
      <c r="G1674" s="538" t="s">
        <v>510</v>
      </c>
      <c r="H1674" s="473" t="s">
        <v>800</v>
      </c>
      <c r="I1674" s="307">
        <v>4</v>
      </c>
      <c r="J1674" s="307">
        <v>82895</v>
      </c>
      <c r="K1674" s="532">
        <f t="shared" si="161"/>
        <v>331580</v>
      </c>
      <c r="L1674" s="539" t="s">
        <v>160</v>
      </c>
      <c r="M1674" s="539" t="s">
        <v>292</v>
      </c>
      <c r="N1674" s="525" t="str">
        <f>IF(AND('331-CT'!$E$7=TH!H1674,OR(L1674="331",M1674="331")),"331",IF(AND(OR(L1674="131",M1674="131"),H1674='131-CT'!$E$7),"131",""))</f>
        <v/>
      </c>
      <c r="O1674" s="525" t="str">
        <f>IF(AND($B1674&gt;='111'!$N$11,$B1674&lt;='111'!$O$11,OR($L1674=$O$7,$M1674=$O$7)),"x","")</f>
        <v/>
      </c>
      <c r="P1674" s="525" t="str">
        <f>IF(AND($L1674=$O$7,$B1674&lt;'111'!$N$11),"x","")</f>
        <v/>
      </c>
      <c r="Q1674" s="525" t="str">
        <f>IF(AND($M1674=$O$7,$B1674&lt;'111'!$N$11),"x","")</f>
        <v/>
      </c>
      <c r="R1674" s="525" t="str">
        <f>IF(ISERROR(FIND('112'!$M$9,G1674,1)),"",IF((AND(FIND('112'!$M$9,G1674,1)&gt;=1,$B1674&gt;='112'!$N$8,$B1674&lt;='112'!$O$8,OR($L1674='112'!$I$6,$M1674='112'!$I$6))),"x",""))</f>
        <v/>
      </c>
      <c r="S1674" s="525" t="str">
        <f>IF(ISERROR(FIND('112'!$M$9,G1674,1)),"",IF((AND(LEFT(G1674,2)=LEFT('112'!$M$9,2),B1674&lt;'112'!$N$8,$L1674='112'!$I$6)),"x",""))</f>
        <v/>
      </c>
      <c r="T1674" s="525" t="str">
        <f>IF(ISERROR(FIND('112'!$M$9,G1674,1)),"",IF((AND(RIGHT(G1674,2)=RIGHT('112'!$M$9,2),B1674&lt;'112'!$N$8,$M1674='112'!$I$6)),"x",""))</f>
        <v/>
      </c>
      <c r="U1674" s="525" t="str">
        <f>IF(AND(B1674&gt;='IN-NX'!$P$3,B1674&lt;='IN-NX'!$Q$3,'IN-NX'!$D$7=D1674,OR(LEFT(L1674,2)="15",AND(LEFT(M1674,2)&lt;&gt;"15",LEFT(M1674,2)&lt;&gt;"33"))),"x","")</f>
        <v/>
      </c>
      <c r="V1674" s="525" t="str">
        <f>IF(AND(OR(LEFT(TH!L1674,2)="15",LEFT(TH!M1674,2)="15"),'152-CT'!$J$8=TH!F1674),"x","")</f>
        <v/>
      </c>
      <c r="W1674" s="525" t="str">
        <f>IF(AND(OR(LEFT(TH!L1674,2)="15",LEFT(TH!M1674,2)="15"),TK!$E$7=TH!F1674),"x","")</f>
        <v/>
      </c>
      <c r="X1674" s="525" t="str">
        <f>IF(AND('341-CT'!$E$9=H1674,OR(LEFT(L1674,3)=$X$7,LEFT(M1674,3)=$X$7)),"x","")</f>
        <v/>
      </c>
      <c r="Y1674" s="525" t="str">
        <f>IF(OR(TH!L1674=TH!$Y$7,M1674=TH!$Y$7),"x","")</f>
        <v/>
      </c>
      <c r="Z1674" s="525" t="str">
        <f>IF(AND(B1674&lt;=NKC!$N$8,B1674&gt;=NKC!$M$8),"x","")</f>
        <v>x</v>
      </c>
      <c r="AA1674" s="535"/>
      <c r="AB1674" s="536"/>
    </row>
    <row r="1675" spans="1:28" s="503" customFormat="1" ht="15.75" customHeight="1">
      <c r="A1675" s="517" t="str">
        <f>IF(B1675&lt;&gt;"",IF(AND(B1675&gt;=_TM1,B1675&lt;=_TM2,OR(TH!L1675="1111",TH!M1675="1111")),TH!D1675,""),"")</f>
        <v/>
      </c>
      <c r="B1675" s="531">
        <f t="shared" si="162"/>
        <v>1</v>
      </c>
      <c r="C1675" s="315">
        <f t="shared" si="163"/>
        <v>42758</v>
      </c>
      <c r="D1675" s="537" t="s">
        <v>996</v>
      </c>
      <c r="E1675" s="547">
        <v>42758</v>
      </c>
      <c r="F1675" s="249" t="s">
        <v>660</v>
      </c>
      <c r="G1675" s="538" t="s">
        <v>510</v>
      </c>
      <c r="H1675" s="473" t="s">
        <v>800</v>
      </c>
      <c r="I1675" s="307">
        <v>8</v>
      </c>
      <c r="J1675" s="307">
        <v>99792</v>
      </c>
      <c r="K1675" s="532">
        <f t="shared" si="161"/>
        <v>798336</v>
      </c>
      <c r="L1675" s="539" t="s">
        <v>160</v>
      </c>
      <c r="M1675" s="539" t="s">
        <v>292</v>
      </c>
      <c r="N1675" s="525" t="str">
        <f>IF(AND('331-CT'!$E$7=TH!H1675,OR(L1675="331",M1675="331")),"331",IF(AND(OR(L1675="131",M1675="131"),H1675='131-CT'!$E$7),"131",""))</f>
        <v/>
      </c>
      <c r="O1675" s="525" t="str">
        <f>IF(AND($B1675&gt;='111'!$N$11,$B1675&lt;='111'!$O$11,OR($L1675=$O$7,$M1675=$O$7)),"x","")</f>
        <v/>
      </c>
      <c r="P1675" s="525" t="str">
        <f>IF(AND($L1675=$O$7,$B1675&lt;'111'!$N$11),"x","")</f>
        <v/>
      </c>
      <c r="Q1675" s="525" t="str">
        <f>IF(AND($M1675=$O$7,$B1675&lt;'111'!$N$11),"x","")</f>
        <v/>
      </c>
      <c r="R1675" s="525" t="str">
        <f>IF(ISERROR(FIND('112'!$M$9,G1675,1)),"",IF((AND(FIND('112'!$M$9,G1675,1)&gt;=1,$B1675&gt;='112'!$N$8,$B1675&lt;='112'!$O$8,OR($L1675='112'!$I$6,$M1675='112'!$I$6))),"x",""))</f>
        <v/>
      </c>
      <c r="S1675" s="525" t="str">
        <f>IF(ISERROR(FIND('112'!$M$9,G1675,1)),"",IF((AND(LEFT(G1675,2)=LEFT('112'!$M$9,2),B1675&lt;'112'!$N$8,$L1675='112'!$I$6)),"x",""))</f>
        <v/>
      </c>
      <c r="T1675" s="525" t="str">
        <f>IF(ISERROR(FIND('112'!$M$9,G1675,1)),"",IF((AND(RIGHT(G1675,2)=RIGHT('112'!$M$9,2),B1675&lt;'112'!$N$8,$M1675='112'!$I$6)),"x",""))</f>
        <v/>
      </c>
      <c r="U1675" s="525" t="str">
        <f>IF(AND(B1675&gt;='IN-NX'!$P$3,B1675&lt;='IN-NX'!$Q$3,'IN-NX'!$D$7=D1675,OR(LEFT(L1675,2)="15",AND(LEFT(M1675,2)&lt;&gt;"15",LEFT(M1675,2)&lt;&gt;"33"))),"x","")</f>
        <v/>
      </c>
      <c r="V1675" s="525" t="str">
        <f>IF(AND(OR(LEFT(TH!L1675,2)="15",LEFT(TH!M1675,2)="15"),'152-CT'!$J$8=TH!F1675),"x","")</f>
        <v/>
      </c>
      <c r="W1675" s="525" t="str">
        <f>IF(AND(OR(LEFT(TH!L1675,2)="15",LEFT(TH!M1675,2)="15"),TK!$E$7=TH!F1675),"x","")</f>
        <v/>
      </c>
      <c r="X1675" s="525" t="str">
        <f>IF(AND('341-CT'!$E$9=H1675,OR(LEFT(L1675,3)=$X$7,LEFT(M1675,3)=$X$7)),"x","")</f>
        <v/>
      </c>
      <c r="Y1675" s="525" t="str">
        <f>IF(OR(TH!L1675=TH!$Y$7,M1675=TH!$Y$7),"x","")</f>
        <v/>
      </c>
      <c r="Z1675" s="525" t="str">
        <f>IF(AND(B1675&lt;=NKC!$N$8,B1675&gt;=NKC!$M$8),"x","")</f>
        <v>x</v>
      </c>
      <c r="AA1675" s="535"/>
      <c r="AB1675" s="536"/>
    </row>
    <row r="1676" spans="1:28" s="503" customFormat="1" ht="15.75" customHeight="1">
      <c r="A1676" s="517" t="str">
        <f>IF(B1676&lt;&gt;"",IF(AND(B1676&gt;=_TM1,B1676&lt;=_TM2,OR(TH!L1676="1111",TH!M1676="1111")),TH!D1676,""),"")</f>
        <v/>
      </c>
      <c r="B1676" s="531">
        <f t="shared" si="162"/>
        <v>1</v>
      </c>
      <c r="C1676" s="315">
        <f t="shared" si="163"/>
        <v>42758</v>
      </c>
      <c r="D1676" s="537" t="s">
        <v>996</v>
      </c>
      <c r="E1676" s="547">
        <v>42758</v>
      </c>
      <c r="F1676" s="249" t="s">
        <v>661</v>
      </c>
      <c r="G1676" s="538" t="s">
        <v>510</v>
      </c>
      <c r="H1676" s="473" t="s">
        <v>800</v>
      </c>
      <c r="I1676" s="307">
        <v>7</v>
      </c>
      <c r="J1676" s="307">
        <v>64474</v>
      </c>
      <c r="K1676" s="532">
        <f t="shared" si="161"/>
        <v>451318</v>
      </c>
      <c r="L1676" s="539" t="s">
        <v>160</v>
      </c>
      <c r="M1676" s="539" t="s">
        <v>292</v>
      </c>
      <c r="N1676" s="525" t="str">
        <f>IF(AND('331-CT'!$E$7=TH!H1676,OR(L1676="331",M1676="331")),"331",IF(AND(OR(L1676="131",M1676="131"),H1676='131-CT'!$E$7),"131",""))</f>
        <v/>
      </c>
      <c r="O1676" s="525" t="str">
        <f>IF(AND($B1676&gt;='111'!$N$11,$B1676&lt;='111'!$O$11,OR($L1676=$O$7,$M1676=$O$7)),"x","")</f>
        <v/>
      </c>
      <c r="P1676" s="525" t="str">
        <f>IF(AND($L1676=$O$7,$B1676&lt;'111'!$N$11),"x","")</f>
        <v/>
      </c>
      <c r="Q1676" s="525" t="str">
        <f>IF(AND($M1676=$O$7,$B1676&lt;'111'!$N$11),"x","")</f>
        <v/>
      </c>
      <c r="R1676" s="525" t="str">
        <f>IF(ISERROR(FIND('112'!$M$9,G1676,1)),"",IF((AND(FIND('112'!$M$9,G1676,1)&gt;=1,$B1676&gt;='112'!$N$8,$B1676&lt;='112'!$O$8,OR($L1676='112'!$I$6,$M1676='112'!$I$6))),"x",""))</f>
        <v/>
      </c>
      <c r="S1676" s="525" t="str">
        <f>IF(ISERROR(FIND('112'!$M$9,G1676,1)),"",IF((AND(LEFT(G1676,2)=LEFT('112'!$M$9,2),B1676&lt;'112'!$N$8,$L1676='112'!$I$6)),"x",""))</f>
        <v/>
      </c>
      <c r="T1676" s="525" t="str">
        <f>IF(ISERROR(FIND('112'!$M$9,G1676,1)),"",IF((AND(RIGHT(G1676,2)=RIGHT('112'!$M$9,2),B1676&lt;'112'!$N$8,$M1676='112'!$I$6)),"x",""))</f>
        <v/>
      </c>
      <c r="U1676" s="525" t="str">
        <f>IF(AND(B1676&gt;='IN-NX'!$P$3,B1676&lt;='IN-NX'!$Q$3,'IN-NX'!$D$7=D1676,OR(LEFT(L1676,2)="15",AND(LEFT(M1676,2)&lt;&gt;"15",LEFT(M1676,2)&lt;&gt;"33"))),"x","")</f>
        <v/>
      </c>
      <c r="V1676" s="525" t="str">
        <f>IF(AND(OR(LEFT(TH!L1676,2)="15",LEFT(TH!M1676,2)="15"),'152-CT'!$J$8=TH!F1676),"x","")</f>
        <v/>
      </c>
      <c r="W1676" s="525" t="str">
        <f>IF(AND(OR(LEFT(TH!L1676,2)="15",LEFT(TH!M1676,2)="15"),TK!$E$7=TH!F1676),"x","")</f>
        <v/>
      </c>
      <c r="X1676" s="525" t="str">
        <f>IF(AND('341-CT'!$E$9=H1676,OR(LEFT(L1676,3)=$X$7,LEFT(M1676,3)=$X$7)),"x","")</f>
        <v/>
      </c>
      <c r="Y1676" s="525" t="str">
        <f>IF(OR(TH!L1676=TH!$Y$7,M1676=TH!$Y$7),"x","")</f>
        <v/>
      </c>
      <c r="Z1676" s="525" t="str">
        <f>IF(AND(B1676&lt;=NKC!$N$8,B1676&gt;=NKC!$M$8),"x","")</f>
        <v>x</v>
      </c>
      <c r="AA1676" s="535"/>
      <c r="AB1676" s="536"/>
    </row>
    <row r="1677" spans="1:28" s="503" customFormat="1" ht="15.75" customHeight="1">
      <c r="A1677" s="517" t="str">
        <f>IF(B1677&lt;&gt;"",IF(AND(B1677&gt;=_TM1,B1677&lt;=_TM2,OR(TH!L1677="1111",TH!M1677="1111")),TH!D1677,""),"")</f>
        <v/>
      </c>
      <c r="B1677" s="531">
        <f t="shared" si="162"/>
        <v>1</v>
      </c>
      <c r="C1677" s="315">
        <f t="shared" si="163"/>
        <v>42758</v>
      </c>
      <c r="D1677" s="537" t="s">
        <v>996</v>
      </c>
      <c r="E1677" s="547">
        <v>42758</v>
      </c>
      <c r="F1677" s="249" t="s">
        <v>662</v>
      </c>
      <c r="G1677" s="538" t="s">
        <v>510</v>
      </c>
      <c r="H1677" s="473" t="s">
        <v>800</v>
      </c>
      <c r="I1677" s="307">
        <v>4</v>
      </c>
      <c r="J1677" s="307">
        <v>107419</v>
      </c>
      <c r="K1677" s="532">
        <f t="shared" ref="K1677:K1767" si="164">ROUND(I1677*J1677,0)</f>
        <v>429676</v>
      </c>
      <c r="L1677" s="539" t="s">
        <v>160</v>
      </c>
      <c r="M1677" s="539" t="s">
        <v>292</v>
      </c>
      <c r="N1677" s="525" t="str">
        <f>IF(AND('331-CT'!$E$7=TH!H1677,OR(L1677="331",M1677="331")),"331",IF(AND(OR(L1677="131",M1677="131"),H1677='131-CT'!$E$7),"131",""))</f>
        <v/>
      </c>
      <c r="O1677" s="525" t="str">
        <f>IF(AND($B1677&gt;='111'!$N$11,$B1677&lt;='111'!$O$11,OR($L1677=$O$7,$M1677=$O$7)),"x","")</f>
        <v/>
      </c>
      <c r="P1677" s="525" t="str">
        <f>IF(AND($L1677=$O$7,$B1677&lt;'111'!$N$11),"x","")</f>
        <v/>
      </c>
      <c r="Q1677" s="525" t="str">
        <f>IF(AND($M1677=$O$7,$B1677&lt;'111'!$N$11),"x","")</f>
        <v/>
      </c>
      <c r="R1677" s="525" t="str">
        <f>IF(ISERROR(FIND('112'!$M$9,G1677,1)),"",IF((AND(FIND('112'!$M$9,G1677,1)&gt;=1,$B1677&gt;='112'!$N$8,$B1677&lt;='112'!$O$8,OR($L1677='112'!$I$6,$M1677='112'!$I$6))),"x",""))</f>
        <v/>
      </c>
      <c r="S1677" s="525" t="str">
        <f>IF(ISERROR(FIND('112'!$M$9,G1677,1)),"",IF((AND(LEFT(G1677,2)=LEFT('112'!$M$9,2),B1677&lt;'112'!$N$8,$L1677='112'!$I$6)),"x",""))</f>
        <v/>
      </c>
      <c r="T1677" s="525" t="str">
        <f>IF(ISERROR(FIND('112'!$M$9,G1677,1)),"",IF((AND(RIGHT(G1677,2)=RIGHT('112'!$M$9,2),B1677&lt;'112'!$N$8,$M1677='112'!$I$6)),"x",""))</f>
        <v/>
      </c>
      <c r="U1677" s="525" t="str">
        <f>IF(AND(B1677&gt;='IN-NX'!$P$3,B1677&lt;='IN-NX'!$Q$3,'IN-NX'!$D$7=D1677,OR(LEFT(L1677,2)="15",AND(LEFT(M1677,2)&lt;&gt;"15",LEFT(M1677,2)&lt;&gt;"33"))),"x","")</f>
        <v/>
      </c>
      <c r="V1677" s="525" t="str">
        <f>IF(AND(OR(LEFT(TH!L1677,2)="15",LEFT(TH!M1677,2)="15"),'152-CT'!$J$8=TH!F1677),"x","")</f>
        <v/>
      </c>
      <c r="W1677" s="525" t="str">
        <f>IF(AND(OR(LEFT(TH!L1677,2)="15",LEFT(TH!M1677,2)="15"),TK!$E$7=TH!F1677),"x","")</f>
        <v/>
      </c>
      <c r="X1677" s="525" t="str">
        <f>IF(AND('341-CT'!$E$9=H1677,OR(LEFT(L1677,3)=$X$7,LEFT(M1677,3)=$X$7)),"x","")</f>
        <v/>
      </c>
      <c r="Y1677" s="525" t="str">
        <f>IF(OR(TH!L1677=TH!$Y$7,M1677=TH!$Y$7),"x","")</f>
        <v/>
      </c>
      <c r="Z1677" s="525" t="str">
        <f>IF(AND(B1677&lt;=NKC!$N$8,B1677&gt;=NKC!$M$8),"x","")</f>
        <v>x</v>
      </c>
      <c r="AA1677" s="535"/>
      <c r="AB1677" s="536"/>
    </row>
    <row r="1678" spans="1:28" s="503" customFormat="1" ht="15.75" customHeight="1">
      <c r="A1678" s="517" t="str">
        <f>IF(B1678&lt;&gt;"",IF(AND(B1678&gt;=_TM1,B1678&lt;=_TM2,OR(TH!L1678="1111",TH!M1678="1111")),TH!D1678,""),"")</f>
        <v/>
      </c>
      <c r="B1678" s="531">
        <f t="shared" si="162"/>
        <v>1</v>
      </c>
      <c r="C1678" s="315">
        <f t="shared" si="163"/>
        <v>42758</v>
      </c>
      <c r="D1678" s="537" t="s">
        <v>996</v>
      </c>
      <c r="E1678" s="547">
        <v>42758</v>
      </c>
      <c r="F1678" s="249" t="s">
        <v>663</v>
      </c>
      <c r="G1678" s="538" t="s">
        <v>510</v>
      </c>
      <c r="H1678" s="473" t="s">
        <v>800</v>
      </c>
      <c r="I1678" s="307">
        <v>12</v>
      </c>
      <c r="J1678" s="307">
        <v>45864</v>
      </c>
      <c r="K1678" s="532">
        <f t="shared" si="164"/>
        <v>550368</v>
      </c>
      <c r="L1678" s="539" t="s">
        <v>160</v>
      </c>
      <c r="M1678" s="539" t="s">
        <v>292</v>
      </c>
      <c r="N1678" s="525" t="str">
        <f>IF(AND('331-CT'!$E$7=TH!H1678,OR(L1678="331",M1678="331")),"331",IF(AND(OR(L1678="131",M1678="131"),H1678='131-CT'!$E$7),"131",""))</f>
        <v/>
      </c>
      <c r="O1678" s="525" t="str">
        <f>IF(AND($B1678&gt;='111'!$N$11,$B1678&lt;='111'!$O$11,OR($L1678=$O$7,$M1678=$O$7)),"x","")</f>
        <v/>
      </c>
      <c r="P1678" s="525" t="str">
        <f>IF(AND($L1678=$O$7,$B1678&lt;'111'!$N$11),"x","")</f>
        <v/>
      </c>
      <c r="Q1678" s="525" t="str">
        <f>IF(AND($M1678=$O$7,$B1678&lt;'111'!$N$11),"x","")</f>
        <v/>
      </c>
      <c r="R1678" s="525" t="str">
        <f>IF(ISERROR(FIND('112'!$M$9,G1678,1)),"",IF((AND(FIND('112'!$M$9,G1678,1)&gt;=1,$B1678&gt;='112'!$N$8,$B1678&lt;='112'!$O$8,OR($L1678='112'!$I$6,$M1678='112'!$I$6))),"x",""))</f>
        <v/>
      </c>
      <c r="S1678" s="525" t="str">
        <f>IF(ISERROR(FIND('112'!$M$9,G1678,1)),"",IF((AND(LEFT(G1678,2)=LEFT('112'!$M$9,2),B1678&lt;'112'!$N$8,$L1678='112'!$I$6)),"x",""))</f>
        <v/>
      </c>
      <c r="T1678" s="525" t="str">
        <f>IF(ISERROR(FIND('112'!$M$9,G1678,1)),"",IF((AND(RIGHT(G1678,2)=RIGHT('112'!$M$9,2),B1678&lt;'112'!$N$8,$M1678='112'!$I$6)),"x",""))</f>
        <v/>
      </c>
      <c r="U1678" s="525" t="str">
        <f>IF(AND(B1678&gt;='IN-NX'!$P$3,B1678&lt;='IN-NX'!$Q$3,'IN-NX'!$D$7=D1678,OR(LEFT(L1678,2)="15",AND(LEFT(M1678,2)&lt;&gt;"15",LEFT(M1678,2)&lt;&gt;"33"))),"x","")</f>
        <v/>
      </c>
      <c r="V1678" s="525" t="str">
        <f>IF(AND(OR(LEFT(TH!L1678,2)="15",LEFT(TH!M1678,2)="15"),'152-CT'!$J$8=TH!F1678),"x","")</f>
        <v/>
      </c>
      <c r="W1678" s="525" t="str">
        <f>IF(AND(OR(LEFT(TH!L1678,2)="15",LEFT(TH!M1678,2)="15"),TK!$E$7=TH!F1678),"x","")</f>
        <v/>
      </c>
      <c r="X1678" s="525" t="str">
        <f>IF(AND('341-CT'!$E$9=H1678,OR(LEFT(L1678,3)=$X$7,LEFT(M1678,3)=$X$7)),"x","")</f>
        <v/>
      </c>
      <c r="Y1678" s="525" t="str">
        <f>IF(OR(TH!L1678=TH!$Y$7,M1678=TH!$Y$7),"x","")</f>
        <v/>
      </c>
      <c r="Z1678" s="525" t="str">
        <f>IF(AND(B1678&lt;=NKC!$N$8,B1678&gt;=NKC!$M$8),"x","")</f>
        <v>x</v>
      </c>
      <c r="AA1678" s="535"/>
      <c r="AB1678" s="536"/>
    </row>
    <row r="1679" spans="1:28" s="503" customFormat="1" ht="15.75" customHeight="1">
      <c r="A1679" s="517" t="str">
        <f>IF(B1679&lt;&gt;"",IF(AND(B1679&gt;=_TM1,B1679&lt;=_TM2,OR(TH!L1679="1111",TH!M1679="1111")),TH!D1679,""),"")</f>
        <v/>
      </c>
      <c r="B1679" s="531">
        <f t="shared" si="162"/>
        <v>1</v>
      </c>
      <c r="C1679" s="315">
        <f t="shared" si="163"/>
        <v>42758</v>
      </c>
      <c r="D1679" s="537" t="s">
        <v>996</v>
      </c>
      <c r="E1679" s="547">
        <v>42758</v>
      </c>
      <c r="F1679" s="249" t="s">
        <v>664</v>
      </c>
      <c r="G1679" s="538" t="s">
        <v>510</v>
      </c>
      <c r="H1679" s="473" t="s">
        <v>800</v>
      </c>
      <c r="I1679" s="307">
        <v>6</v>
      </c>
      <c r="J1679" s="307">
        <v>48019</v>
      </c>
      <c r="K1679" s="532">
        <f t="shared" si="164"/>
        <v>288114</v>
      </c>
      <c r="L1679" s="539" t="s">
        <v>160</v>
      </c>
      <c r="M1679" s="539" t="s">
        <v>292</v>
      </c>
      <c r="N1679" s="525" t="str">
        <f>IF(AND('331-CT'!$E$7=TH!H1679,OR(L1679="331",M1679="331")),"331",IF(AND(OR(L1679="131",M1679="131"),H1679='131-CT'!$E$7),"131",""))</f>
        <v/>
      </c>
      <c r="O1679" s="525" t="str">
        <f>IF(AND($B1679&gt;='111'!$N$11,$B1679&lt;='111'!$O$11,OR($L1679=$O$7,$M1679=$O$7)),"x","")</f>
        <v/>
      </c>
      <c r="P1679" s="525" t="str">
        <f>IF(AND($L1679=$O$7,$B1679&lt;'111'!$N$11),"x","")</f>
        <v/>
      </c>
      <c r="Q1679" s="525" t="str">
        <f>IF(AND($M1679=$O$7,$B1679&lt;'111'!$N$11),"x","")</f>
        <v/>
      </c>
      <c r="R1679" s="525" t="str">
        <f>IF(ISERROR(FIND('112'!$M$9,G1679,1)),"",IF((AND(FIND('112'!$M$9,G1679,1)&gt;=1,$B1679&gt;='112'!$N$8,$B1679&lt;='112'!$O$8,OR($L1679='112'!$I$6,$M1679='112'!$I$6))),"x",""))</f>
        <v/>
      </c>
      <c r="S1679" s="525" t="str">
        <f>IF(ISERROR(FIND('112'!$M$9,G1679,1)),"",IF((AND(LEFT(G1679,2)=LEFT('112'!$M$9,2),B1679&lt;'112'!$N$8,$L1679='112'!$I$6)),"x",""))</f>
        <v/>
      </c>
      <c r="T1679" s="525" t="str">
        <f>IF(ISERROR(FIND('112'!$M$9,G1679,1)),"",IF((AND(RIGHT(G1679,2)=RIGHT('112'!$M$9,2),B1679&lt;'112'!$N$8,$M1679='112'!$I$6)),"x",""))</f>
        <v/>
      </c>
      <c r="U1679" s="525" t="str">
        <f>IF(AND(B1679&gt;='IN-NX'!$P$3,B1679&lt;='IN-NX'!$Q$3,'IN-NX'!$D$7=D1679,OR(LEFT(L1679,2)="15",AND(LEFT(M1679,2)&lt;&gt;"15",LEFT(M1679,2)&lt;&gt;"33"))),"x","")</f>
        <v/>
      </c>
      <c r="V1679" s="525" t="str">
        <f>IF(AND(OR(LEFT(TH!L1679,2)="15",LEFT(TH!M1679,2)="15"),'152-CT'!$J$8=TH!F1679),"x","")</f>
        <v/>
      </c>
      <c r="W1679" s="525" t="str">
        <f>IF(AND(OR(LEFT(TH!L1679,2)="15",LEFT(TH!M1679,2)="15"),TK!$E$7=TH!F1679),"x","")</f>
        <v/>
      </c>
      <c r="X1679" s="525" t="str">
        <f>IF(AND('341-CT'!$E$9=H1679,OR(LEFT(L1679,3)=$X$7,LEFT(M1679,3)=$X$7)),"x","")</f>
        <v/>
      </c>
      <c r="Y1679" s="525" t="str">
        <f>IF(OR(TH!L1679=TH!$Y$7,M1679=TH!$Y$7),"x","")</f>
        <v/>
      </c>
      <c r="Z1679" s="525" t="str">
        <f>IF(AND(B1679&lt;=NKC!$N$8,B1679&gt;=NKC!$M$8),"x","")</f>
        <v>x</v>
      </c>
      <c r="AA1679" s="535"/>
      <c r="AB1679" s="536"/>
    </row>
    <row r="1680" spans="1:28" s="503" customFormat="1" ht="15.75" customHeight="1">
      <c r="A1680" s="517" t="str">
        <f>IF(B1680&lt;&gt;"",IF(AND(B1680&gt;=_TM1,B1680&lt;=_TM2,OR(TH!L1680="1111",TH!M1680="1111")),TH!D1680,""),"")</f>
        <v/>
      </c>
      <c r="B1680" s="531">
        <f t="shared" si="162"/>
        <v>1</v>
      </c>
      <c r="C1680" s="315">
        <f t="shared" si="163"/>
        <v>42758</v>
      </c>
      <c r="D1680" s="537" t="s">
        <v>996</v>
      </c>
      <c r="E1680" s="547">
        <v>42758</v>
      </c>
      <c r="F1680" s="249" t="s">
        <v>665</v>
      </c>
      <c r="G1680" s="538" t="s">
        <v>510</v>
      </c>
      <c r="H1680" s="473" t="s">
        <v>800</v>
      </c>
      <c r="I1680" s="307">
        <v>70</v>
      </c>
      <c r="J1680" s="307">
        <v>14722</v>
      </c>
      <c r="K1680" s="532">
        <f t="shared" si="164"/>
        <v>1030540</v>
      </c>
      <c r="L1680" s="539" t="s">
        <v>160</v>
      </c>
      <c r="M1680" s="539" t="s">
        <v>292</v>
      </c>
      <c r="N1680" s="525" t="str">
        <f>IF(AND('331-CT'!$E$7=TH!H1680,OR(L1680="331",M1680="331")),"331",IF(AND(OR(L1680="131",M1680="131"),H1680='131-CT'!$E$7),"131",""))</f>
        <v/>
      </c>
      <c r="O1680" s="525" t="str">
        <f>IF(AND($B1680&gt;='111'!$N$11,$B1680&lt;='111'!$O$11,OR($L1680=$O$7,$M1680=$O$7)),"x","")</f>
        <v/>
      </c>
      <c r="P1680" s="525" t="str">
        <f>IF(AND($L1680=$O$7,$B1680&lt;'111'!$N$11),"x","")</f>
        <v/>
      </c>
      <c r="Q1680" s="525" t="str">
        <f>IF(AND($M1680=$O$7,$B1680&lt;'111'!$N$11),"x","")</f>
        <v/>
      </c>
      <c r="R1680" s="525" t="str">
        <f>IF(ISERROR(FIND('112'!$M$9,G1680,1)),"",IF((AND(FIND('112'!$M$9,G1680,1)&gt;=1,$B1680&gt;='112'!$N$8,$B1680&lt;='112'!$O$8,OR($L1680='112'!$I$6,$M1680='112'!$I$6))),"x",""))</f>
        <v/>
      </c>
      <c r="S1680" s="525" t="str">
        <f>IF(ISERROR(FIND('112'!$M$9,G1680,1)),"",IF((AND(LEFT(G1680,2)=LEFT('112'!$M$9,2),B1680&lt;'112'!$N$8,$L1680='112'!$I$6)),"x",""))</f>
        <v/>
      </c>
      <c r="T1680" s="525" t="str">
        <f>IF(ISERROR(FIND('112'!$M$9,G1680,1)),"",IF((AND(RIGHT(G1680,2)=RIGHT('112'!$M$9,2),B1680&lt;'112'!$N$8,$M1680='112'!$I$6)),"x",""))</f>
        <v/>
      </c>
      <c r="U1680" s="525" t="str">
        <f>IF(AND(B1680&gt;='IN-NX'!$P$3,B1680&lt;='IN-NX'!$Q$3,'IN-NX'!$D$7=D1680,OR(LEFT(L1680,2)="15",AND(LEFT(M1680,2)&lt;&gt;"15",LEFT(M1680,2)&lt;&gt;"33"))),"x","")</f>
        <v/>
      </c>
      <c r="V1680" s="525" t="str">
        <f>IF(AND(OR(LEFT(TH!L1680,2)="15",LEFT(TH!M1680,2)="15"),'152-CT'!$J$8=TH!F1680),"x","")</f>
        <v/>
      </c>
      <c r="W1680" s="525" t="str">
        <f>IF(AND(OR(LEFT(TH!L1680,2)="15",LEFT(TH!M1680,2)="15"),TK!$E$7=TH!F1680),"x","")</f>
        <v/>
      </c>
      <c r="X1680" s="525" t="str">
        <f>IF(AND('341-CT'!$E$9=H1680,OR(LEFT(L1680,3)=$X$7,LEFT(M1680,3)=$X$7)),"x","")</f>
        <v/>
      </c>
      <c r="Y1680" s="525" t="str">
        <f>IF(OR(TH!L1680=TH!$Y$7,M1680=TH!$Y$7),"x","")</f>
        <v/>
      </c>
      <c r="Z1680" s="525" t="str">
        <f>IF(AND(B1680&lt;=NKC!$N$8,B1680&gt;=NKC!$M$8),"x","")</f>
        <v>x</v>
      </c>
      <c r="AA1680" s="535"/>
      <c r="AB1680" s="536"/>
    </row>
    <row r="1681" spans="1:31" s="503" customFormat="1" ht="15.75" customHeight="1">
      <c r="A1681" s="517" t="str">
        <f>IF(B1681&lt;&gt;"",IF(AND(B1681&gt;=_TM1,B1681&lt;=_TM2,OR(TH!L1681="1111",TH!M1681="1111")),TH!D1681,""),"")</f>
        <v/>
      </c>
      <c r="B1681" s="531">
        <f t="shared" si="162"/>
        <v>1</v>
      </c>
      <c r="C1681" s="315">
        <f t="shared" si="163"/>
        <v>42758</v>
      </c>
      <c r="D1681" s="537" t="s">
        <v>996</v>
      </c>
      <c r="E1681" s="547">
        <v>42758</v>
      </c>
      <c r="F1681" s="249" t="s">
        <v>666</v>
      </c>
      <c r="G1681" s="538" t="s">
        <v>510</v>
      </c>
      <c r="H1681" s="473" t="s">
        <v>800</v>
      </c>
      <c r="I1681" s="307">
        <v>56</v>
      </c>
      <c r="J1681" s="307">
        <v>19395</v>
      </c>
      <c r="K1681" s="532">
        <f t="shared" si="164"/>
        <v>1086120</v>
      </c>
      <c r="L1681" s="539" t="s">
        <v>160</v>
      </c>
      <c r="M1681" s="539" t="s">
        <v>292</v>
      </c>
      <c r="N1681" s="525" t="str">
        <f>IF(AND('331-CT'!$E$7=TH!H1681,OR(L1681="331",M1681="331")),"331",IF(AND(OR(L1681="131",M1681="131"),H1681='131-CT'!$E$7),"131",""))</f>
        <v/>
      </c>
      <c r="O1681" s="525" t="str">
        <f>IF(AND($B1681&gt;='111'!$N$11,$B1681&lt;='111'!$O$11,OR($L1681=$O$7,$M1681=$O$7)),"x","")</f>
        <v/>
      </c>
      <c r="P1681" s="525" t="str">
        <f>IF(AND($L1681=$O$7,$B1681&lt;'111'!$N$11),"x","")</f>
        <v/>
      </c>
      <c r="Q1681" s="525" t="str">
        <f>IF(AND($M1681=$O$7,$B1681&lt;'111'!$N$11),"x","")</f>
        <v/>
      </c>
      <c r="R1681" s="525" t="str">
        <f>IF(ISERROR(FIND('112'!$M$9,G1681,1)),"",IF((AND(FIND('112'!$M$9,G1681,1)&gt;=1,$B1681&gt;='112'!$N$8,$B1681&lt;='112'!$O$8,OR($L1681='112'!$I$6,$M1681='112'!$I$6))),"x",""))</f>
        <v/>
      </c>
      <c r="S1681" s="525" t="str">
        <f>IF(ISERROR(FIND('112'!$M$9,G1681,1)),"",IF((AND(LEFT(G1681,2)=LEFT('112'!$M$9,2),B1681&lt;'112'!$N$8,$L1681='112'!$I$6)),"x",""))</f>
        <v/>
      </c>
      <c r="T1681" s="525" t="str">
        <f>IF(ISERROR(FIND('112'!$M$9,G1681,1)),"",IF((AND(RIGHT(G1681,2)=RIGHT('112'!$M$9,2),B1681&lt;'112'!$N$8,$M1681='112'!$I$6)),"x",""))</f>
        <v/>
      </c>
      <c r="U1681" s="525" t="str">
        <f>IF(AND(B1681&gt;='IN-NX'!$P$3,B1681&lt;='IN-NX'!$Q$3,'IN-NX'!$D$7=D1681,OR(LEFT(L1681,2)="15",AND(LEFT(M1681,2)&lt;&gt;"15",LEFT(M1681,2)&lt;&gt;"33"))),"x","")</f>
        <v/>
      </c>
      <c r="V1681" s="525" t="str">
        <f>IF(AND(OR(LEFT(TH!L1681,2)="15",LEFT(TH!M1681,2)="15"),'152-CT'!$J$8=TH!F1681),"x","")</f>
        <v/>
      </c>
      <c r="W1681" s="525" t="str">
        <f>IF(AND(OR(LEFT(TH!L1681,2)="15",LEFT(TH!M1681,2)="15"),TK!$E$7=TH!F1681),"x","")</f>
        <v/>
      </c>
      <c r="X1681" s="525" t="str">
        <f>IF(AND('341-CT'!$E$9=H1681,OR(LEFT(L1681,3)=$X$7,LEFT(M1681,3)=$X$7)),"x","")</f>
        <v/>
      </c>
      <c r="Y1681" s="525" t="str">
        <f>IF(OR(TH!L1681=TH!$Y$7,M1681=TH!$Y$7),"x","")</f>
        <v/>
      </c>
      <c r="Z1681" s="525" t="str">
        <f>IF(AND(B1681&lt;=NKC!$N$8,B1681&gt;=NKC!$M$8),"x","")</f>
        <v>x</v>
      </c>
      <c r="AA1681" s="535"/>
      <c r="AB1681" s="536"/>
    </row>
    <row r="1682" spans="1:31" s="503" customFormat="1" ht="15.75" customHeight="1">
      <c r="A1682" s="517" t="str">
        <f>IF(B1682&lt;&gt;"",IF(AND(B1682&gt;=_TM1,B1682&lt;=_TM2,OR(TH!L1682="1111",TH!M1682="1111")),TH!D1682,""),"")</f>
        <v/>
      </c>
      <c r="B1682" s="531">
        <f t="shared" si="162"/>
        <v>1</v>
      </c>
      <c r="C1682" s="315">
        <f t="shared" si="163"/>
        <v>42758</v>
      </c>
      <c r="D1682" s="537" t="s">
        <v>996</v>
      </c>
      <c r="E1682" s="547">
        <v>42758</v>
      </c>
      <c r="F1682" s="249" t="s">
        <v>667</v>
      </c>
      <c r="G1682" s="538" t="s">
        <v>510</v>
      </c>
      <c r="H1682" s="473" t="s">
        <v>800</v>
      </c>
      <c r="I1682" s="307">
        <v>3</v>
      </c>
      <c r="J1682" s="307">
        <v>40018</v>
      </c>
      <c r="K1682" s="532">
        <f t="shared" si="164"/>
        <v>120054</v>
      </c>
      <c r="L1682" s="539" t="s">
        <v>160</v>
      </c>
      <c r="M1682" s="539" t="s">
        <v>292</v>
      </c>
      <c r="N1682" s="525" t="str">
        <f>IF(AND('331-CT'!$E$7=TH!H1682,OR(L1682="331",M1682="331")),"331",IF(AND(OR(L1682="131",M1682="131"),H1682='131-CT'!$E$7),"131",""))</f>
        <v/>
      </c>
      <c r="O1682" s="525" t="str">
        <f>IF(AND($B1682&gt;='111'!$N$11,$B1682&lt;='111'!$O$11,OR($L1682=$O$7,$M1682=$O$7)),"x","")</f>
        <v/>
      </c>
      <c r="P1682" s="525" t="str">
        <f>IF(AND($L1682=$O$7,$B1682&lt;'111'!$N$11),"x","")</f>
        <v/>
      </c>
      <c r="Q1682" s="525" t="str">
        <f>IF(AND($M1682=$O$7,$B1682&lt;'111'!$N$11),"x","")</f>
        <v/>
      </c>
      <c r="R1682" s="525" t="str">
        <f>IF(ISERROR(FIND('112'!$M$9,G1682,1)),"",IF((AND(FIND('112'!$M$9,G1682,1)&gt;=1,$B1682&gt;='112'!$N$8,$B1682&lt;='112'!$O$8,OR($L1682='112'!$I$6,$M1682='112'!$I$6))),"x",""))</f>
        <v/>
      </c>
      <c r="S1682" s="525" t="str">
        <f>IF(ISERROR(FIND('112'!$M$9,G1682,1)),"",IF((AND(LEFT(G1682,2)=LEFT('112'!$M$9,2),B1682&lt;'112'!$N$8,$L1682='112'!$I$6)),"x",""))</f>
        <v/>
      </c>
      <c r="T1682" s="525" t="str">
        <f>IF(ISERROR(FIND('112'!$M$9,G1682,1)),"",IF((AND(RIGHT(G1682,2)=RIGHT('112'!$M$9,2),B1682&lt;'112'!$N$8,$M1682='112'!$I$6)),"x",""))</f>
        <v/>
      </c>
      <c r="U1682" s="525" t="str">
        <f>IF(AND(B1682&gt;='IN-NX'!$P$3,B1682&lt;='IN-NX'!$Q$3,'IN-NX'!$D$7=D1682,OR(LEFT(L1682,2)="15",AND(LEFT(M1682,2)&lt;&gt;"15",LEFT(M1682,2)&lt;&gt;"33"))),"x","")</f>
        <v/>
      </c>
      <c r="V1682" s="525" t="str">
        <f>IF(AND(OR(LEFT(TH!L1682,2)="15",LEFT(TH!M1682,2)="15"),'152-CT'!$J$8=TH!F1682),"x","")</f>
        <v/>
      </c>
      <c r="W1682" s="525" t="str">
        <f>IF(AND(OR(LEFT(TH!L1682,2)="15",LEFT(TH!M1682,2)="15"),TK!$E$7=TH!F1682),"x","")</f>
        <v/>
      </c>
      <c r="X1682" s="525" t="str">
        <f>IF(AND('341-CT'!$E$9=H1682,OR(LEFT(L1682,3)=$X$7,LEFT(M1682,3)=$X$7)),"x","")</f>
        <v/>
      </c>
      <c r="Y1682" s="525" t="str">
        <f>IF(OR(TH!L1682=TH!$Y$7,M1682=TH!$Y$7),"x","")</f>
        <v/>
      </c>
      <c r="Z1682" s="525" t="str">
        <f>IF(AND(B1682&lt;=NKC!$N$8,B1682&gt;=NKC!$M$8),"x","")</f>
        <v>x</v>
      </c>
      <c r="AA1682" s="535"/>
      <c r="AB1682" s="536"/>
    </row>
    <row r="1683" spans="1:31" s="503" customFormat="1" ht="15.75" customHeight="1">
      <c r="A1683" s="517" t="str">
        <f>IF(B1683&lt;&gt;"",IF(AND(B1683&gt;=_TM1,B1683&lt;=_TM2,OR(TH!L1683="1111",TH!M1683="1111")),TH!D1683,""),"")</f>
        <v/>
      </c>
      <c r="B1683" s="531">
        <f t="shared" si="162"/>
        <v>1</v>
      </c>
      <c r="C1683" s="315">
        <f t="shared" si="163"/>
        <v>42758</v>
      </c>
      <c r="D1683" s="537" t="s">
        <v>996</v>
      </c>
      <c r="E1683" s="547">
        <v>42758</v>
      </c>
      <c r="F1683" s="249" t="s">
        <v>668</v>
      </c>
      <c r="G1683" s="538" t="s">
        <v>510</v>
      </c>
      <c r="H1683" s="473" t="s">
        <v>800</v>
      </c>
      <c r="I1683" s="307">
        <v>144</v>
      </c>
      <c r="J1683" s="307">
        <v>8712</v>
      </c>
      <c r="K1683" s="532">
        <f t="shared" si="164"/>
        <v>1254528</v>
      </c>
      <c r="L1683" s="539" t="s">
        <v>160</v>
      </c>
      <c r="M1683" s="539" t="s">
        <v>292</v>
      </c>
      <c r="N1683" s="525" t="str">
        <f>IF(AND('331-CT'!$E$7=TH!H1683,OR(L1683="331",M1683="331")),"331",IF(AND(OR(L1683="131",M1683="131"),H1683='131-CT'!$E$7),"131",""))</f>
        <v/>
      </c>
      <c r="O1683" s="525" t="str">
        <f>IF(AND($B1683&gt;='111'!$N$11,$B1683&lt;='111'!$O$11,OR($L1683=$O$7,$M1683=$O$7)),"x","")</f>
        <v/>
      </c>
      <c r="P1683" s="525" t="str">
        <f>IF(AND($L1683=$O$7,$B1683&lt;'111'!$N$11),"x","")</f>
        <v/>
      </c>
      <c r="Q1683" s="525" t="str">
        <f>IF(AND($M1683=$O$7,$B1683&lt;'111'!$N$11),"x","")</f>
        <v/>
      </c>
      <c r="R1683" s="525" t="str">
        <f>IF(ISERROR(FIND('112'!$M$9,G1683,1)),"",IF((AND(FIND('112'!$M$9,G1683,1)&gt;=1,$B1683&gt;='112'!$N$8,$B1683&lt;='112'!$O$8,OR($L1683='112'!$I$6,$M1683='112'!$I$6))),"x",""))</f>
        <v/>
      </c>
      <c r="S1683" s="525" t="str">
        <f>IF(ISERROR(FIND('112'!$M$9,G1683,1)),"",IF((AND(LEFT(G1683,2)=LEFT('112'!$M$9,2),B1683&lt;'112'!$N$8,$L1683='112'!$I$6)),"x",""))</f>
        <v/>
      </c>
      <c r="T1683" s="525" t="str">
        <f>IF(ISERROR(FIND('112'!$M$9,G1683,1)),"",IF((AND(RIGHT(G1683,2)=RIGHT('112'!$M$9,2),B1683&lt;'112'!$N$8,$M1683='112'!$I$6)),"x",""))</f>
        <v/>
      </c>
      <c r="U1683" s="525" t="str">
        <f>IF(AND(B1683&gt;='IN-NX'!$P$3,B1683&lt;='IN-NX'!$Q$3,'IN-NX'!$D$7=D1683,OR(LEFT(L1683,2)="15",AND(LEFT(M1683,2)&lt;&gt;"15",LEFT(M1683,2)&lt;&gt;"33"))),"x","")</f>
        <v/>
      </c>
      <c r="V1683" s="525" t="str">
        <f>IF(AND(OR(LEFT(TH!L1683,2)="15",LEFT(TH!M1683,2)="15"),'152-CT'!$J$8=TH!F1683),"x","")</f>
        <v/>
      </c>
      <c r="W1683" s="525" t="str">
        <f>IF(AND(OR(LEFT(TH!L1683,2)="15",LEFT(TH!M1683,2)="15"),TK!$E$7=TH!F1683),"x","")</f>
        <v/>
      </c>
      <c r="X1683" s="525" t="str">
        <f>IF(AND('341-CT'!$E$9=H1683,OR(LEFT(L1683,3)=$X$7,LEFT(M1683,3)=$X$7)),"x","")</f>
        <v/>
      </c>
      <c r="Y1683" s="525" t="str">
        <f>IF(OR(TH!L1683=TH!$Y$7,M1683=TH!$Y$7),"x","")</f>
        <v/>
      </c>
      <c r="Z1683" s="525" t="str">
        <f>IF(AND(B1683&lt;=NKC!$N$8,B1683&gt;=NKC!$M$8),"x","")</f>
        <v>x</v>
      </c>
      <c r="AA1683" s="535"/>
      <c r="AB1683" s="536"/>
    </row>
    <row r="1684" spans="1:31" s="503" customFormat="1" ht="15.75" customHeight="1">
      <c r="A1684" s="517" t="str">
        <f>IF(B1684&lt;&gt;"",IF(AND(B1684&gt;=_TM1,B1684&lt;=_TM2,OR(TH!L1684="1111",TH!M1684="1111")),TH!D1684,""),"")</f>
        <v/>
      </c>
      <c r="B1684" s="531">
        <f t="shared" si="162"/>
        <v>1</v>
      </c>
      <c r="C1684" s="315">
        <f t="shared" si="163"/>
        <v>42758</v>
      </c>
      <c r="D1684" s="537" t="s">
        <v>996</v>
      </c>
      <c r="E1684" s="547">
        <v>42758</v>
      </c>
      <c r="F1684" s="249" t="s">
        <v>669</v>
      </c>
      <c r="G1684" s="538" t="s">
        <v>510</v>
      </c>
      <c r="H1684" s="473" t="s">
        <v>800</v>
      </c>
      <c r="I1684" s="307">
        <v>176</v>
      </c>
      <c r="J1684" s="307">
        <v>7643</v>
      </c>
      <c r="K1684" s="532">
        <f t="shared" si="164"/>
        <v>1345168</v>
      </c>
      <c r="L1684" s="539" t="s">
        <v>160</v>
      </c>
      <c r="M1684" s="539" t="s">
        <v>292</v>
      </c>
      <c r="N1684" s="525" t="str">
        <f>IF(AND('331-CT'!$E$7=TH!H1684,OR(L1684="331",M1684="331")),"331",IF(AND(OR(L1684="131",M1684="131"),H1684='131-CT'!$E$7),"131",""))</f>
        <v/>
      </c>
      <c r="O1684" s="525" t="str">
        <f>IF(AND($B1684&gt;='111'!$N$11,$B1684&lt;='111'!$O$11,OR($L1684=$O$7,$M1684=$O$7)),"x","")</f>
        <v/>
      </c>
      <c r="P1684" s="525" t="str">
        <f>IF(AND($L1684=$O$7,$B1684&lt;'111'!$N$11),"x","")</f>
        <v/>
      </c>
      <c r="Q1684" s="525" t="str">
        <f>IF(AND($M1684=$O$7,$B1684&lt;'111'!$N$11),"x","")</f>
        <v/>
      </c>
      <c r="R1684" s="525" t="str">
        <f>IF(ISERROR(FIND('112'!$M$9,G1684,1)),"",IF((AND(FIND('112'!$M$9,G1684,1)&gt;=1,$B1684&gt;='112'!$N$8,$B1684&lt;='112'!$O$8,OR($L1684='112'!$I$6,$M1684='112'!$I$6))),"x",""))</f>
        <v/>
      </c>
      <c r="S1684" s="525" t="str">
        <f>IF(ISERROR(FIND('112'!$M$9,G1684,1)),"",IF((AND(LEFT(G1684,2)=LEFT('112'!$M$9,2),B1684&lt;'112'!$N$8,$L1684='112'!$I$6)),"x",""))</f>
        <v/>
      </c>
      <c r="T1684" s="525" t="str">
        <f>IF(ISERROR(FIND('112'!$M$9,G1684,1)),"",IF((AND(RIGHT(G1684,2)=RIGHT('112'!$M$9,2),B1684&lt;'112'!$N$8,$M1684='112'!$I$6)),"x",""))</f>
        <v/>
      </c>
      <c r="U1684" s="525" t="str">
        <f>IF(AND(B1684&gt;='IN-NX'!$P$3,B1684&lt;='IN-NX'!$Q$3,'IN-NX'!$D$7=D1684,OR(LEFT(L1684,2)="15",AND(LEFT(M1684,2)&lt;&gt;"15",LEFT(M1684,2)&lt;&gt;"33"))),"x","")</f>
        <v/>
      </c>
      <c r="V1684" s="525" t="str">
        <f>IF(AND(OR(LEFT(TH!L1684,2)="15",LEFT(TH!M1684,2)="15"),'152-CT'!$J$8=TH!F1684),"x","")</f>
        <v/>
      </c>
      <c r="W1684" s="525" t="str">
        <f>IF(AND(OR(LEFT(TH!L1684,2)="15",LEFT(TH!M1684,2)="15"),TK!$E$7=TH!F1684),"x","")</f>
        <v/>
      </c>
      <c r="X1684" s="525" t="str">
        <f>IF(AND('341-CT'!$E$9=H1684,OR(LEFT(L1684,3)=$X$7,LEFT(M1684,3)=$X$7)),"x","")</f>
        <v/>
      </c>
      <c r="Y1684" s="525" t="str">
        <f>IF(OR(TH!L1684=TH!$Y$7,M1684=TH!$Y$7),"x","")</f>
        <v/>
      </c>
      <c r="Z1684" s="525" t="str">
        <f>IF(AND(B1684&lt;=NKC!$N$8,B1684&gt;=NKC!$M$8),"x","")</f>
        <v>x</v>
      </c>
      <c r="AA1684" s="535"/>
    </row>
    <row r="1685" spans="1:31" s="503" customFormat="1" ht="15.75" customHeight="1">
      <c r="A1685" s="517" t="str">
        <f>IF(B1685&lt;&gt;"",IF(AND(B1685&gt;=_TM1,B1685&lt;=_TM2,OR(TH!L1685="1111",TH!M1685="1111")),TH!D1685,""),"")</f>
        <v/>
      </c>
      <c r="B1685" s="531">
        <f t="shared" si="162"/>
        <v>1</v>
      </c>
      <c r="C1685" s="315">
        <f t="shared" si="163"/>
        <v>42758</v>
      </c>
      <c r="D1685" s="537" t="s">
        <v>996</v>
      </c>
      <c r="E1685" s="280">
        <v>42758</v>
      </c>
      <c r="F1685" s="250" t="s">
        <v>670</v>
      </c>
      <c r="G1685" s="540" t="s">
        <v>510</v>
      </c>
      <c r="H1685" s="473" t="s">
        <v>800</v>
      </c>
      <c r="I1685" s="307">
        <v>100</v>
      </c>
      <c r="J1685" s="307">
        <v>9464</v>
      </c>
      <c r="K1685" s="532">
        <f t="shared" si="164"/>
        <v>946400</v>
      </c>
      <c r="L1685" s="539" t="s">
        <v>160</v>
      </c>
      <c r="M1685" s="539" t="s">
        <v>292</v>
      </c>
      <c r="N1685" s="525" t="str">
        <f>IF(AND('331-CT'!$E$7=TH!H1685,OR(L1685="331",M1685="331")),"331",IF(AND(OR(L1685="131",M1685="131"),H1685='131-CT'!$E$7),"131",""))</f>
        <v/>
      </c>
      <c r="O1685" s="525" t="str">
        <f>IF(AND($B1685&gt;='111'!$N$11,$B1685&lt;='111'!$O$11,OR($L1685=$O$7,$M1685=$O$7)),"x","")</f>
        <v/>
      </c>
      <c r="P1685" s="525" t="str">
        <f>IF(AND($L1685=$O$7,$B1685&lt;'111'!$N$11),"x","")</f>
        <v/>
      </c>
      <c r="Q1685" s="525" t="str">
        <f>IF(AND($M1685=$O$7,$B1685&lt;'111'!$N$11),"x","")</f>
        <v/>
      </c>
      <c r="R1685" s="525" t="str">
        <f>IF(ISERROR(FIND('112'!$M$9,G1685,1)),"",IF((AND(FIND('112'!$M$9,G1685,1)&gt;=1,$B1685&gt;='112'!$N$8,$B1685&lt;='112'!$O$8,OR($L1685='112'!$I$6,$M1685='112'!$I$6))),"x",""))</f>
        <v/>
      </c>
      <c r="S1685" s="525" t="str">
        <f>IF(ISERROR(FIND('112'!$M$9,G1685,1)),"",IF((AND(LEFT(G1685,2)=LEFT('112'!$M$9,2),B1685&lt;'112'!$N$8,$L1685='112'!$I$6)),"x",""))</f>
        <v/>
      </c>
      <c r="T1685" s="525" t="str">
        <f>IF(ISERROR(FIND('112'!$M$9,G1685,1)),"",IF((AND(RIGHT(G1685,2)=RIGHT('112'!$M$9,2),B1685&lt;'112'!$N$8,$M1685='112'!$I$6)),"x",""))</f>
        <v/>
      </c>
      <c r="U1685" s="525" t="str">
        <f>IF(AND(B1685&gt;='IN-NX'!$P$3,B1685&lt;='IN-NX'!$Q$3,'IN-NX'!$D$7=D1685,OR(LEFT(L1685,2)="15",AND(LEFT(M1685,2)&lt;&gt;"15",LEFT(M1685,2)&lt;&gt;"33"))),"x","")</f>
        <v/>
      </c>
      <c r="V1685" s="525" t="str">
        <f>IF(AND(OR(LEFT(TH!L1685,2)="15",LEFT(TH!M1685,2)="15"),'152-CT'!$J$8=TH!F1685),"x","")</f>
        <v/>
      </c>
      <c r="W1685" s="525" t="str">
        <f>IF(AND(OR(LEFT(TH!L1685,2)="15",LEFT(TH!M1685,2)="15"),TK!$E$7=TH!F1685),"x","")</f>
        <v/>
      </c>
      <c r="X1685" s="525" t="str">
        <f>IF(AND('341-CT'!$E$9=H1685,OR(LEFT(L1685,3)=$X$7,LEFT(M1685,3)=$X$7)),"x","")</f>
        <v/>
      </c>
      <c r="Y1685" s="525" t="str">
        <f>IF(OR(TH!L1685=TH!$Y$7,M1685=TH!$Y$7),"x","")</f>
        <v/>
      </c>
      <c r="Z1685" s="525" t="str">
        <f>IF(AND(B1685&lt;=NKC!$N$8,B1685&gt;=NKC!$M$8),"x","")</f>
        <v>x</v>
      </c>
      <c r="AA1685" s="535"/>
    </row>
    <row r="1686" spans="1:31" s="503" customFormat="1" ht="15.75" customHeight="1">
      <c r="A1686" s="517" t="str">
        <f>IF(B1686&lt;&gt;"",IF(AND(B1686&gt;=_TM1,B1686&lt;=_TM2,OR(TH!L1686="1111",TH!M1686="1111")),TH!D1686,""),"")</f>
        <v/>
      </c>
      <c r="B1686" s="531">
        <f t="shared" si="162"/>
        <v>1</v>
      </c>
      <c r="C1686" s="315">
        <f t="shared" si="163"/>
        <v>42758</v>
      </c>
      <c r="D1686" s="537" t="s">
        <v>996</v>
      </c>
      <c r="E1686" s="545">
        <v>42758</v>
      </c>
      <c r="F1686" s="250" t="s">
        <v>671</v>
      </c>
      <c r="G1686" s="540" t="s">
        <v>510</v>
      </c>
      <c r="H1686" s="473" t="s">
        <v>800</v>
      </c>
      <c r="I1686" s="307">
        <v>320</v>
      </c>
      <c r="J1686" s="307">
        <v>7793</v>
      </c>
      <c r="K1686" s="532">
        <f t="shared" si="164"/>
        <v>2493760</v>
      </c>
      <c r="L1686" s="539" t="s">
        <v>160</v>
      </c>
      <c r="M1686" s="539" t="s">
        <v>292</v>
      </c>
      <c r="N1686" s="525" t="str">
        <f>IF(AND('331-CT'!$E$7=TH!H1686,OR(L1686="331",M1686="331")),"331",IF(AND(OR(L1686="131",M1686="131"),H1686='131-CT'!$E$7),"131",""))</f>
        <v/>
      </c>
      <c r="O1686" s="525" t="str">
        <f>IF(AND($B1686&gt;='111'!$N$11,$B1686&lt;='111'!$O$11,OR($L1686=$O$7,$M1686=$O$7)),"x","")</f>
        <v/>
      </c>
      <c r="P1686" s="525" t="str">
        <f>IF(AND($L1686=$O$7,$B1686&lt;'111'!$N$11),"x","")</f>
        <v/>
      </c>
      <c r="Q1686" s="525" t="str">
        <f>IF(AND($M1686=$O$7,$B1686&lt;'111'!$N$11),"x","")</f>
        <v/>
      </c>
      <c r="R1686" s="525" t="str">
        <f>IF(ISERROR(FIND('112'!$M$9,G1686,1)),"",IF((AND(FIND('112'!$M$9,G1686,1)&gt;=1,$B1686&gt;='112'!$N$8,$B1686&lt;='112'!$O$8,OR($L1686='112'!$I$6,$M1686='112'!$I$6))),"x",""))</f>
        <v/>
      </c>
      <c r="S1686" s="525" t="str">
        <f>IF(ISERROR(FIND('112'!$M$9,G1686,1)),"",IF((AND(LEFT(G1686,2)=LEFT('112'!$M$9,2),B1686&lt;'112'!$N$8,$L1686='112'!$I$6)),"x",""))</f>
        <v/>
      </c>
      <c r="T1686" s="525" t="str">
        <f>IF(ISERROR(FIND('112'!$M$9,G1686,1)),"",IF((AND(RIGHT(G1686,2)=RIGHT('112'!$M$9,2),B1686&lt;'112'!$N$8,$M1686='112'!$I$6)),"x",""))</f>
        <v/>
      </c>
      <c r="U1686" s="525" t="str">
        <f>IF(AND(B1686&gt;='IN-NX'!$P$3,B1686&lt;='IN-NX'!$Q$3,'IN-NX'!$D$7=D1686,OR(LEFT(L1686,2)="15",AND(LEFT(M1686,2)&lt;&gt;"15",LEFT(M1686,2)&lt;&gt;"33"))),"x","")</f>
        <v/>
      </c>
      <c r="V1686" s="525" t="str">
        <f>IF(AND(OR(LEFT(TH!L1686,2)="15",LEFT(TH!M1686,2)="15"),'152-CT'!$J$8=TH!F1686),"x","")</f>
        <v/>
      </c>
      <c r="W1686" s="525" t="str">
        <f>IF(AND(OR(LEFT(TH!L1686,2)="15",LEFT(TH!M1686,2)="15"),TK!$E$7=TH!F1686),"x","")</f>
        <v/>
      </c>
      <c r="X1686" s="525" t="str">
        <f>IF(AND('341-CT'!$E$9=H1686,OR(LEFT(L1686,3)=$X$7,LEFT(M1686,3)=$X$7)),"x","")</f>
        <v/>
      </c>
      <c r="Y1686" s="525" t="str">
        <f>IF(OR(TH!L1686=TH!$Y$7,M1686=TH!$Y$7),"x","")</f>
        <v/>
      </c>
      <c r="Z1686" s="525" t="str">
        <f>IF(AND(B1686&lt;=NKC!$N$8,B1686&gt;=NKC!$M$8),"x","")</f>
        <v>x</v>
      </c>
      <c r="AA1686" s="535"/>
    </row>
    <row r="1687" spans="1:31" s="503" customFormat="1" ht="15.75" customHeight="1">
      <c r="A1687" s="517" t="str">
        <f>IF(B1687&lt;&gt;"",IF(AND(B1687&gt;=_TM1,B1687&lt;=_TM2,OR(TH!L1687="1111",TH!M1687="1111")),TH!D1687,""),"")</f>
        <v/>
      </c>
      <c r="B1687" s="531">
        <f t="shared" si="162"/>
        <v>1</v>
      </c>
      <c r="C1687" s="315">
        <f t="shared" si="163"/>
        <v>42758</v>
      </c>
      <c r="D1687" s="537" t="s">
        <v>996</v>
      </c>
      <c r="E1687" s="545">
        <v>42758</v>
      </c>
      <c r="F1687" s="250" t="s">
        <v>672</v>
      </c>
      <c r="G1687" s="540" t="s">
        <v>510</v>
      </c>
      <c r="H1687" s="473" t="s">
        <v>800</v>
      </c>
      <c r="I1687" s="307">
        <v>35</v>
      </c>
      <c r="J1687" s="307">
        <v>22494</v>
      </c>
      <c r="K1687" s="532">
        <f t="shared" si="164"/>
        <v>787290</v>
      </c>
      <c r="L1687" s="539" t="s">
        <v>160</v>
      </c>
      <c r="M1687" s="539" t="s">
        <v>292</v>
      </c>
      <c r="N1687" s="525" t="str">
        <f>IF(AND('331-CT'!$E$7=TH!H1687,OR(L1687="331",M1687="331")),"331",IF(AND(OR(L1687="131",M1687="131"),H1687='131-CT'!$E$7),"131",""))</f>
        <v/>
      </c>
      <c r="O1687" s="525" t="str">
        <f>IF(AND($B1687&gt;='111'!$N$11,$B1687&lt;='111'!$O$11,OR($L1687=$O$7,$M1687=$O$7)),"x","")</f>
        <v/>
      </c>
      <c r="P1687" s="525" t="str">
        <f>IF(AND($L1687=$O$7,$B1687&lt;'111'!$N$11),"x","")</f>
        <v/>
      </c>
      <c r="Q1687" s="525" t="str">
        <f>IF(AND($M1687=$O$7,$B1687&lt;'111'!$N$11),"x","")</f>
        <v/>
      </c>
      <c r="R1687" s="525" t="str">
        <f>IF(ISERROR(FIND('112'!$M$9,G1687,1)),"",IF((AND(FIND('112'!$M$9,G1687,1)&gt;=1,$B1687&gt;='112'!$N$8,$B1687&lt;='112'!$O$8,OR($L1687='112'!$I$6,$M1687='112'!$I$6))),"x",""))</f>
        <v/>
      </c>
      <c r="S1687" s="525" t="str">
        <f>IF(ISERROR(FIND('112'!$M$9,G1687,1)),"",IF((AND(LEFT(G1687,2)=LEFT('112'!$M$9,2),B1687&lt;'112'!$N$8,$L1687='112'!$I$6)),"x",""))</f>
        <v/>
      </c>
      <c r="T1687" s="525" t="str">
        <f>IF(ISERROR(FIND('112'!$M$9,G1687,1)),"",IF((AND(RIGHT(G1687,2)=RIGHT('112'!$M$9,2),B1687&lt;'112'!$N$8,$M1687='112'!$I$6)),"x",""))</f>
        <v/>
      </c>
      <c r="U1687" s="525" t="str">
        <f>IF(AND(B1687&gt;='IN-NX'!$P$3,B1687&lt;='IN-NX'!$Q$3,'IN-NX'!$D$7=D1687,OR(LEFT(L1687,2)="15",AND(LEFT(M1687,2)&lt;&gt;"15",LEFT(M1687,2)&lt;&gt;"33"))),"x","")</f>
        <v/>
      </c>
      <c r="V1687" s="525" t="str">
        <f>IF(AND(OR(LEFT(TH!L1687,2)="15",LEFT(TH!M1687,2)="15"),'152-CT'!$J$8=TH!F1687),"x","")</f>
        <v/>
      </c>
      <c r="W1687" s="525" t="str">
        <f>IF(AND(OR(LEFT(TH!L1687,2)="15",LEFT(TH!M1687,2)="15"),TK!$E$7=TH!F1687),"x","")</f>
        <v/>
      </c>
      <c r="X1687" s="525" t="str">
        <f>IF(AND('341-CT'!$E$9=H1687,OR(LEFT(L1687,3)=$X$7,LEFT(M1687,3)=$X$7)),"x","")</f>
        <v/>
      </c>
      <c r="Y1687" s="525" t="str">
        <f>IF(OR(TH!L1687=TH!$Y$7,M1687=TH!$Y$7),"x","")</f>
        <v/>
      </c>
      <c r="Z1687" s="525" t="str">
        <f>IF(AND(B1687&lt;=NKC!$N$8,B1687&gt;=NKC!$M$8),"x","")</f>
        <v>x</v>
      </c>
      <c r="AA1687" s="535"/>
    </row>
    <row r="1688" spans="1:31" s="503" customFormat="1" ht="15.75" customHeight="1">
      <c r="A1688" s="517" t="str">
        <f>IF(B1688&lt;&gt;"",IF(AND(B1688&gt;=_TM1,B1688&lt;=_TM2,OR(TH!L1688="1111",TH!M1688="1111")),TH!D1688,""),"")</f>
        <v/>
      </c>
      <c r="B1688" s="531">
        <f t="shared" si="162"/>
        <v>1</v>
      </c>
      <c r="C1688" s="315">
        <f t="shared" si="163"/>
        <v>42758</v>
      </c>
      <c r="D1688" s="537" t="s">
        <v>996</v>
      </c>
      <c r="E1688" s="545">
        <v>42758</v>
      </c>
      <c r="F1688" s="250" t="s">
        <v>673</v>
      </c>
      <c r="G1688" s="540" t="s">
        <v>510</v>
      </c>
      <c r="H1688" s="473" t="s">
        <v>800</v>
      </c>
      <c r="I1688" s="307">
        <v>50</v>
      </c>
      <c r="J1688" s="307">
        <v>15522</v>
      </c>
      <c r="K1688" s="532">
        <f t="shared" si="164"/>
        <v>776100</v>
      </c>
      <c r="L1688" s="539" t="s">
        <v>160</v>
      </c>
      <c r="M1688" s="539" t="s">
        <v>292</v>
      </c>
      <c r="N1688" s="525" t="str">
        <f>IF(AND('331-CT'!$E$7=TH!H1688,OR(L1688="331",M1688="331")),"331",IF(AND(OR(L1688="131",M1688="131"),H1688='131-CT'!$E$7),"131",""))</f>
        <v/>
      </c>
      <c r="O1688" s="525" t="str">
        <f>IF(AND($B1688&gt;='111'!$N$11,$B1688&lt;='111'!$O$11,OR($L1688=$O$7,$M1688=$O$7)),"x","")</f>
        <v/>
      </c>
      <c r="P1688" s="525" t="str">
        <f>IF(AND($L1688=$O$7,$B1688&lt;'111'!$N$11),"x","")</f>
        <v/>
      </c>
      <c r="Q1688" s="525" t="str">
        <f>IF(AND($M1688=$O$7,$B1688&lt;'111'!$N$11),"x","")</f>
        <v/>
      </c>
      <c r="R1688" s="525" t="str">
        <f>IF(ISERROR(FIND('112'!$M$9,G1688,1)),"",IF((AND(FIND('112'!$M$9,G1688,1)&gt;=1,$B1688&gt;='112'!$N$8,$B1688&lt;='112'!$O$8,OR($L1688='112'!$I$6,$M1688='112'!$I$6))),"x",""))</f>
        <v/>
      </c>
      <c r="S1688" s="525" t="str">
        <f>IF(ISERROR(FIND('112'!$M$9,G1688,1)),"",IF((AND(LEFT(G1688,2)=LEFT('112'!$M$9,2),B1688&lt;'112'!$N$8,$L1688='112'!$I$6)),"x",""))</f>
        <v/>
      </c>
      <c r="T1688" s="525" t="str">
        <f>IF(ISERROR(FIND('112'!$M$9,G1688,1)),"",IF((AND(RIGHT(G1688,2)=RIGHT('112'!$M$9,2),B1688&lt;'112'!$N$8,$M1688='112'!$I$6)),"x",""))</f>
        <v/>
      </c>
      <c r="U1688" s="525" t="str">
        <f>IF(AND(B1688&gt;='IN-NX'!$P$3,B1688&lt;='IN-NX'!$Q$3,'IN-NX'!$D$7=D1688,OR(LEFT(L1688,2)="15",AND(LEFT(M1688,2)&lt;&gt;"15",LEFT(M1688,2)&lt;&gt;"33"))),"x","")</f>
        <v/>
      </c>
      <c r="V1688" s="525" t="str">
        <f>IF(AND(OR(LEFT(TH!L1688,2)="15",LEFT(TH!M1688,2)="15"),'152-CT'!$J$8=TH!F1688),"x","")</f>
        <v/>
      </c>
      <c r="W1688" s="525" t="str">
        <f>IF(AND(OR(LEFT(TH!L1688,2)="15",LEFT(TH!M1688,2)="15"),TK!$E$7=TH!F1688),"x","")</f>
        <v/>
      </c>
      <c r="X1688" s="525" t="str">
        <f>IF(AND('341-CT'!$E$9=H1688,OR(LEFT(L1688,3)=$X$7,LEFT(M1688,3)=$X$7)),"x","")</f>
        <v/>
      </c>
      <c r="Y1688" s="525" t="str">
        <f>IF(OR(TH!L1688=TH!$Y$7,M1688=TH!$Y$7),"x","")</f>
        <v/>
      </c>
      <c r="Z1688" s="525" t="str">
        <f>IF(AND(B1688&lt;=NKC!$N$8,B1688&gt;=NKC!$M$8),"x","")</f>
        <v>x</v>
      </c>
      <c r="AA1688" s="535"/>
    </row>
    <row r="1689" spans="1:31" s="503" customFormat="1" ht="15.75" customHeight="1">
      <c r="A1689" s="517" t="str">
        <f>IF(B1689&lt;&gt;"",IF(AND(B1689&gt;=_TM1,B1689&lt;=_TM2,OR(TH!L1689="1111",TH!M1689="1111")),TH!D1689,""),"")</f>
        <v/>
      </c>
      <c r="B1689" s="531">
        <f t="shared" si="162"/>
        <v>1</v>
      </c>
      <c r="C1689" s="315">
        <f t="shared" si="163"/>
        <v>42758</v>
      </c>
      <c r="D1689" s="537" t="s">
        <v>996</v>
      </c>
      <c r="E1689" s="545">
        <v>42758</v>
      </c>
      <c r="F1689" s="249" t="s">
        <v>674</v>
      </c>
      <c r="G1689" s="314" t="s">
        <v>510</v>
      </c>
      <c r="H1689" s="473" t="s">
        <v>800</v>
      </c>
      <c r="I1689" s="307">
        <v>126</v>
      </c>
      <c r="J1689" s="307">
        <v>10198</v>
      </c>
      <c r="K1689" s="532">
        <f t="shared" si="164"/>
        <v>1284948</v>
      </c>
      <c r="L1689" s="539" t="s">
        <v>160</v>
      </c>
      <c r="M1689" s="539" t="s">
        <v>292</v>
      </c>
      <c r="N1689" s="525" t="str">
        <f>IF(AND('331-CT'!$E$7=TH!H1689,OR(L1689="331",M1689="331")),"331",IF(AND(OR(L1689="131",M1689="131"),H1689='131-CT'!$E$7),"131",""))</f>
        <v/>
      </c>
      <c r="O1689" s="525" t="str">
        <f>IF(AND($B1689&gt;='111'!$N$11,$B1689&lt;='111'!$O$11,OR($L1689=$O$7,$M1689=$O$7)),"x","")</f>
        <v/>
      </c>
      <c r="P1689" s="525" t="str">
        <f>IF(AND($L1689=$O$7,$B1689&lt;'111'!$N$11),"x","")</f>
        <v/>
      </c>
      <c r="Q1689" s="525" t="str">
        <f>IF(AND($M1689=$O$7,$B1689&lt;'111'!$N$11),"x","")</f>
        <v/>
      </c>
      <c r="R1689" s="525" t="str">
        <f>IF(ISERROR(FIND('112'!$M$9,G1689,1)),"",IF((AND(FIND('112'!$M$9,G1689,1)&gt;=1,$B1689&gt;='112'!$N$8,$B1689&lt;='112'!$O$8,OR($L1689='112'!$I$6,$M1689='112'!$I$6))),"x",""))</f>
        <v/>
      </c>
      <c r="S1689" s="525" t="str">
        <f>IF(ISERROR(FIND('112'!$M$9,G1689,1)),"",IF((AND(LEFT(G1689,2)=LEFT('112'!$M$9,2),B1689&lt;'112'!$N$8,$L1689='112'!$I$6)),"x",""))</f>
        <v/>
      </c>
      <c r="T1689" s="525" t="str">
        <f>IF(ISERROR(FIND('112'!$M$9,G1689,1)),"",IF((AND(RIGHT(G1689,2)=RIGHT('112'!$M$9,2),B1689&lt;'112'!$N$8,$M1689='112'!$I$6)),"x",""))</f>
        <v/>
      </c>
      <c r="U1689" s="525" t="str">
        <f>IF(AND(B1689&gt;='IN-NX'!$P$3,B1689&lt;='IN-NX'!$Q$3,'IN-NX'!$D$7=D1689,OR(LEFT(L1689,2)="15",AND(LEFT(M1689,2)&lt;&gt;"15",LEFT(M1689,2)&lt;&gt;"33"))),"x","")</f>
        <v/>
      </c>
      <c r="V1689" s="525" t="str">
        <f>IF(AND(OR(LEFT(TH!L1689,2)="15",LEFT(TH!M1689,2)="15"),'152-CT'!$J$8=TH!F1689),"x","")</f>
        <v/>
      </c>
      <c r="W1689" s="525" t="str">
        <f>IF(AND(OR(LEFT(TH!L1689,2)="15",LEFT(TH!M1689,2)="15"),TK!$E$7=TH!F1689),"x","")</f>
        <v/>
      </c>
      <c r="X1689" s="525" t="str">
        <f>IF(AND('341-CT'!$E$9=H1689,OR(LEFT(L1689,3)=$X$7,LEFT(M1689,3)=$X$7)),"x","")</f>
        <v/>
      </c>
      <c r="Y1689" s="525" t="str">
        <f>IF(OR(TH!L1689=TH!$Y$7,M1689=TH!$Y$7),"x","")</f>
        <v/>
      </c>
      <c r="Z1689" s="525" t="str">
        <f>IF(AND(B1689&lt;=NKC!$N$8,B1689&gt;=NKC!$M$8),"x","")</f>
        <v>x</v>
      </c>
      <c r="AA1689" s="535"/>
      <c r="AB1689" s="536"/>
      <c r="AE1689" s="536"/>
    </row>
    <row r="1690" spans="1:31" s="503" customFormat="1" ht="15.75" customHeight="1">
      <c r="A1690" s="517" t="str">
        <f>IF(B1690&lt;&gt;"",IF(AND(B1690&gt;=_TM1,B1690&lt;=_TM2,OR(TH!L1690="1111",TH!M1690="1111")),TH!D1690,""),"")</f>
        <v/>
      </c>
      <c r="B1690" s="531">
        <f t="shared" si="162"/>
        <v>1</v>
      </c>
      <c r="C1690" s="315">
        <f t="shared" si="163"/>
        <v>42758</v>
      </c>
      <c r="D1690" s="537" t="s">
        <v>996</v>
      </c>
      <c r="E1690" s="545">
        <v>42758</v>
      </c>
      <c r="F1690" s="249" t="s">
        <v>675</v>
      </c>
      <c r="G1690" s="314" t="s">
        <v>510</v>
      </c>
      <c r="H1690" s="473" t="s">
        <v>800</v>
      </c>
      <c r="I1690" s="307">
        <v>72</v>
      </c>
      <c r="J1690" s="307">
        <v>11806</v>
      </c>
      <c r="K1690" s="532">
        <f t="shared" si="164"/>
        <v>850032</v>
      </c>
      <c r="L1690" s="539" t="s">
        <v>160</v>
      </c>
      <c r="M1690" s="539" t="s">
        <v>292</v>
      </c>
      <c r="N1690" s="525" t="str">
        <f>IF(AND('331-CT'!$E$7=TH!H1690,OR(L1690="331",M1690="331")),"331",IF(AND(OR(L1690="131",M1690="131"),H1690='131-CT'!$E$7),"131",""))</f>
        <v/>
      </c>
      <c r="O1690" s="525" t="str">
        <f>IF(AND($B1690&gt;='111'!$N$11,$B1690&lt;='111'!$O$11,OR($L1690=$O$7,$M1690=$O$7)),"x","")</f>
        <v/>
      </c>
      <c r="P1690" s="525" t="str">
        <f>IF(AND($L1690=$O$7,$B1690&lt;'111'!$N$11),"x","")</f>
        <v/>
      </c>
      <c r="Q1690" s="525" t="str">
        <f>IF(AND($M1690=$O$7,$B1690&lt;'111'!$N$11),"x","")</f>
        <v/>
      </c>
      <c r="R1690" s="525" t="str">
        <f>IF(ISERROR(FIND('112'!$M$9,G1690,1)),"",IF((AND(FIND('112'!$M$9,G1690,1)&gt;=1,$B1690&gt;='112'!$N$8,$B1690&lt;='112'!$O$8,OR($L1690='112'!$I$6,$M1690='112'!$I$6))),"x",""))</f>
        <v/>
      </c>
      <c r="S1690" s="525" t="str">
        <f>IF(ISERROR(FIND('112'!$M$9,G1690,1)),"",IF((AND(LEFT(G1690,2)=LEFT('112'!$M$9,2),B1690&lt;'112'!$N$8,$L1690='112'!$I$6)),"x",""))</f>
        <v/>
      </c>
      <c r="T1690" s="525" t="str">
        <f>IF(ISERROR(FIND('112'!$M$9,G1690,1)),"",IF((AND(RIGHT(G1690,2)=RIGHT('112'!$M$9,2),B1690&lt;'112'!$N$8,$M1690='112'!$I$6)),"x",""))</f>
        <v/>
      </c>
      <c r="U1690" s="525" t="str">
        <f>IF(AND(B1690&gt;='IN-NX'!$P$3,B1690&lt;='IN-NX'!$Q$3,'IN-NX'!$D$7=D1690,OR(LEFT(L1690,2)="15",AND(LEFT(M1690,2)&lt;&gt;"15",LEFT(M1690,2)&lt;&gt;"33"))),"x","")</f>
        <v/>
      </c>
      <c r="V1690" s="525" t="str">
        <f>IF(AND(OR(LEFT(TH!L1690,2)="15",LEFT(TH!M1690,2)="15"),'152-CT'!$J$8=TH!F1690),"x","")</f>
        <v/>
      </c>
      <c r="W1690" s="525" t="str">
        <f>IF(AND(OR(LEFT(TH!L1690,2)="15",LEFT(TH!M1690,2)="15"),TK!$E$7=TH!F1690),"x","")</f>
        <v/>
      </c>
      <c r="X1690" s="525" t="str">
        <f>IF(AND('341-CT'!$E$9=H1690,OR(LEFT(L1690,3)=$X$7,LEFT(M1690,3)=$X$7)),"x","")</f>
        <v/>
      </c>
      <c r="Y1690" s="525" t="str">
        <f>IF(OR(TH!L1690=TH!$Y$7,M1690=TH!$Y$7),"x","")</f>
        <v/>
      </c>
      <c r="Z1690" s="525" t="str">
        <f>IF(AND(B1690&lt;=NKC!$N$8,B1690&gt;=NKC!$M$8),"x","")</f>
        <v>x</v>
      </c>
      <c r="AA1690" s="535"/>
      <c r="AB1690" s="536"/>
      <c r="AE1690" s="536"/>
    </row>
    <row r="1691" spans="1:31" s="503" customFormat="1" ht="15.75" customHeight="1">
      <c r="A1691" s="517" t="str">
        <f>IF(B1691&lt;&gt;"",IF(AND(B1691&gt;=_TM1,B1691&lt;=_TM2,OR(TH!L1691="1111",TH!M1691="1111")),TH!D1691,""),"")</f>
        <v/>
      </c>
      <c r="B1691" s="531">
        <f t="shared" si="162"/>
        <v>1</v>
      </c>
      <c r="C1691" s="315">
        <f t="shared" si="163"/>
        <v>42758</v>
      </c>
      <c r="D1691" s="537" t="s">
        <v>996</v>
      </c>
      <c r="E1691" s="545">
        <v>42758</v>
      </c>
      <c r="F1691" s="249" t="s">
        <v>676</v>
      </c>
      <c r="G1691" s="314" t="s">
        <v>510</v>
      </c>
      <c r="H1691" s="473" t="s">
        <v>800</v>
      </c>
      <c r="I1691" s="307">
        <v>120</v>
      </c>
      <c r="J1691" s="307">
        <v>12659</v>
      </c>
      <c r="K1691" s="532">
        <f t="shared" si="164"/>
        <v>1519080</v>
      </c>
      <c r="L1691" s="539" t="s">
        <v>160</v>
      </c>
      <c r="M1691" s="539" t="s">
        <v>292</v>
      </c>
      <c r="N1691" s="525" t="str">
        <f>IF(AND('331-CT'!$E$7=TH!H1691,OR(L1691="331",M1691="331")),"331",IF(AND(OR(L1691="131",M1691="131"),H1691='131-CT'!$E$7),"131",""))</f>
        <v/>
      </c>
      <c r="O1691" s="525" t="str">
        <f>IF(AND($B1691&gt;='111'!$N$11,$B1691&lt;='111'!$O$11,OR($L1691=$O$7,$M1691=$O$7)),"x","")</f>
        <v/>
      </c>
      <c r="P1691" s="525" t="str">
        <f>IF(AND($L1691=$O$7,$B1691&lt;'111'!$N$11),"x","")</f>
        <v/>
      </c>
      <c r="Q1691" s="525" t="str">
        <f>IF(AND($M1691=$O$7,$B1691&lt;'111'!$N$11),"x","")</f>
        <v/>
      </c>
      <c r="R1691" s="525" t="str">
        <f>IF(ISERROR(FIND('112'!$M$9,G1691,1)),"",IF((AND(FIND('112'!$M$9,G1691,1)&gt;=1,$B1691&gt;='112'!$N$8,$B1691&lt;='112'!$O$8,OR($L1691='112'!$I$6,$M1691='112'!$I$6))),"x",""))</f>
        <v/>
      </c>
      <c r="S1691" s="525" t="str">
        <f>IF(ISERROR(FIND('112'!$M$9,G1691,1)),"",IF((AND(LEFT(G1691,2)=LEFT('112'!$M$9,2),B1691&lt;'112'!$N$8,$L1691='112'!$I$6)),"x",""))</f>
        <v/>
      </c>
      <c r="T1691" s="525" t="str">
        <f>IF(ISERROR(FIND('112'!$M$9,G1691,1)),"",IF((AND(RIGHT(G1691,2)=RIGHT('112'!$M$9,2),B1691&lt;'112'!$N$8,$M1691='112'!$I$6)),"x",""))</f>
        <v/>
      </c>
      <c r="U1691" s="525" t="str">
        <f>IF(AND(B1691&gt;='IN-NX'!$P$3,B1691&lt;='IN-NX'!$Q$3,'IN-NX'!$D$7=D1691,OR(LEFT(L1691,2)="15",AND(LEFT(M1691,2)&lt;&gt;"15",LEFT(M1691,2)&lt;&gt;"33"))),"x","")</f>
        <v/>
      </c>
      <c r="V1691" s="525" t="str">
        <f>IF(AND(OR(LEFT(TH!L1691,2)="15",LEFT(TH!M1691,2)="15"),'152-CT'!$J$8=TH!F1691),"x","")</f>
        <v/>
      </c>
      <c r="W1691" s="525" t="str">
        <f>IF(AND(OR(LEFT(TH!L1691,2)="15",LEFT(TH!M1691,2)="15"),TK!$E$7=TH!F1691),"x","")</f>
        <v/>
      </c>
      <c r="X1691" s="525" t="str">
        <f>IF(AND('341-CT'!$E$9=H1691,OR(LEFT(L1691,3)=$X$7,LEFT(M1691,3)=$X$7)),"x","")</f>
        <v/>
      </c>
      <c r="Y1691" s="525" t="str">
        <f>IF(OR(TH!L1691=TH!$Y$7,M1691=TH!$Y$7),"x","")</f>
        <v/>
      </c>
      <c r="Z1691" s="525" t="str">
        <f>IF(AND(B1691&lt;=NKC!$N$8,B1691&gt;=NKC!$M$8),"x","")</f>
        <v>x</v>
      </c>
      <c r="AA1691" s="535"/>
      <c r="AB1691" s="536"/>
    </row>
    <row r="1692" spans="1:31" s="503" customFormat="1" ht="15.75" customHeight="1">
      <c r="A1692" s="517" t="str">
        <f>IF(B1692&lt;&gt;"",IF(AND(B1692&gt;=_TM1,B1692&lt;=_TM2,OR(TH!L1692="1111",TH!M1692="1111")),TH!D1692,""),"")</f>
        <v/>
      </c>
      <c r="B1692" s="531">
        <f t="shared" si="162"/>
        <v>1</v>
      </c>
      <c r="C1692" s="315">
        <f t="shared" si="163"/>
        <v>42758</v>
      </c>
      <c r="D1692" s="537" t="s">
        <v>996</v>
      </c>
      <c r="E1692" s="545">
        <v>42758</v>
      </c>
      <c r="F1692" s="249" t="s">
        <v>677</v>
      </c>
      <c r="G1692" s="314" t="s">
        <v>510</v>
      </c>
      <c r="H1692" s="473" t="s">
        <v>800</v>
      </c>
      <c r="I1692" s="307">
        <v>117</v>
      </c>
      <c r="J1692" s="307">
        <v>9456</v>
      </c>
      <c r="K1692" s="532">
        <f t="shared" si="164"/>
        <v>1106352</v>
      </c>
      <c r="L1692" s="539" t="s">
        <v>160</v>
      </c>
      <c r="M1692" s="539" t="s">
        <v>292</v>
      </c>
      <c r="N1692" s="525" t="str">
        <f>IF(AND('331-CT'!$E$7=TH!H1692,OR(L1692="331",M1692="331")),"331",IF(AND(OR(L1692="131",M1692="131"),H1692='131-CT'!$E$7),"131",""))</f>
        <v/>
      </c>
      <c r="O1692" s="525" t="str">
        <f>IF(AND($B1692&gt;='111'!$N$11,$B1692&lt;='111'!$O$11,OR($L1692=$O$7,$M1692=$O$7)),"x","")</f>
        <v/>
      </c>
      <c r="P1692" s="525" t="str">
        <f>IF(AND($L1692=$O$7,$B1692&lt;'111'!$N$11),"x","")</f>
        <v/>
      </c>
      <c r="Q1692" s="525" t="str">
        <f>IF(AND($M1692=$O$7,$B1692&lt;'111'!$N$11),"x","")</f>
        <v/>
      </c>
      <c r="R1692" s="525" t="str">
        <f>IF(ISERROR(FIND('112'!$M$9,G1692,1)),"",IF((AND(FIND('112'!$M$9,G1692,1)&gt;=1,$B1692&gt;='112'!$N$8,$B1692&lt;='112'!$O$8,OR($L1692='112'!$I$6,$M1692='112'!$I$6))),"x",""))</f>
        <v/>
      </c>
      <c r="S1692" s="525" t="str">
        <f>IF(ISERROR(FIND('112'!$M$9,G1692,1)),"",IF((AND(LEFT(G1692,2)=LEFT('112'!$M$9,2),B1692&lt;'112'!$N$8,$L1692='112'!$I$6)),"x",""))</f>
        <v/>
      </c>
      <c r="T1692" s="525" t="str">
        <f>IF(ISERROR(FIND('112'!$M$9,G1692,1)),"",IF((AND(RIGHT(G1692,2)=RIGHT('112'!$M$9,2),B1692&lt;'112'!$N$8,$M1692='112'!$I$6)),"x",""))</f>
        <v/>
      </c>
      <c r="U1692" s="525" t="str">
        <f>IF(AND(B1692&gt;='IN-NX'!$P$3,B1692&lt;='IN-NX'!$Q$3,'IN-NX'!$D$7=D1692,OR(LEFT(L1692,2)="15",AND(LEFT(M1692,2)&lt;&gt;"15",LEFT(M1692,2)&lt;&gt;"33"))),"x","")</f>
        <v/>
      </c>
      <c r="V1692" s="525" t="str">
        <f>IF(AND(OR(LEFT(TH!L1692,2)="15",LEFT(TH!M1692,2)="15"),'152-CT'!$J$8=TH!F1692),"x","")</f>
        <v/>
      </c>
      <c r="W1692" s="525" t="str">
        <f>IF(AND(OR(LEFT(TH!L1692,2)="15",LEFT(TH!M1692,2)="15"),TK!$E$7=TH!F1692),"x","")</f>
        <v/>
      </c>
      <c r="X1692" s="525" t="str">
        <f>IF(AND('341-CT'!$E$9=H1692,OR(LEFT(L1692,3)=$X$7,LEFT(M1692,3)=$X$7)),"x","")</f>
        <v/>
      </c>
      <c r="Y1692" s="525" t="str">
        <f>IF(OR(TH!L1692=TH!$Y$7,M1692=TH!$Y$7),"x","")</f>
        <v/>
      </c>
      <c r="Z1692" s="525" t="str">
        <f>IF(AND(B1692&lt;=NKC!$N$8,B1692&gt;=NKC!$M$8),"x","")</f>
        <v>x</v>
      </c>
      <c r="AA1692" s="535"/>
      <c r="AB1692" s="536"/>
    </row>
    <row r="1693" spans="1:31" s="503" customFormat="1" ht="15.75" customHeight="1">
      <c r="A1693" s="517" t="str">
        <f>IF(B1693&lt;&gt;"",IF(AND(B1693&gt;=_TM1,B1693&lt;=_TM2,OR(TH!L1693="1111",TH!M1693="1111")),TH!D1693,""),"")</f>
        <v/>
      </c>
      <c r="B1693" s="531">
        <f t="shared" si="162"/>
        <v>1</v>
      </c>
      <c r="C1693" s="315">
        <f t="shared" si="163"/>
        <v>42759</v>
      </c>
      <c r="D1693" s="537" t="s">
        <v>996</v>
      </c>
      <c r="E1693" s="545">
        <v>42759</v>
      </c>
      <c r="F1693" s="249" t="s">
        <v>328</v>
      </c>
      <c r="G1693" s="314" t="s">
        <v>527</v>
      </c>
      <c r="H1693" s="473" t="s">
        <v>800</v>
      </c>
      <c r="I1693" s="307">
        <v>505</v>
      </c>
      <c r="J1693" s="307">
        <v>18245</v>
      </c>
      <c r="K1693" s="532">
        <f t="shared" si="164"/>
        <v>9213725</v>
      </c>
      <c r="L1693" s="539" t="s">
        <v>160</v>
      </c>
      <c r="M1693" s="539" t="s">
        <v>292</v>
      </c>
      <c r="N1693" s="525" t="str">
        <f>IF(AND('331-CT'!$E$7=TH!H1693,OR(L1693="331",M1693="331")),"331",IF(AND(OR(L1693="131",M1693="131"),H1693='131-CT'!$E$7),"131",""))</f>
        <v/>
      </c>
      <c r="O1693" s="525" t="str">
        <f>IF(AND($B1693&gt;='111'!$N$11,$B1693&lt;='111'!$O$11,OR($L1693=$O$7,$M1693=$O$7)),"x","")</f>
        <v/>
      </c>
      <c r="P1693" s="525" t="str">
        <f>IF(AND($L1693=$O$7,$B1693&lt;'111'!$N$11),"x","")</f>
        <v/>
      </c>
      <c r="Q1693" s="525" t="str">
        <f>IF(AND($M1693=$O$7,$B1693&lt;'111'!$N$11),"x","")</f>
        <v/>
      </c>
      <c r="R1693" s="525" t="str">
        <f>IF(ISERROR(FIND('112'!$M$9,G1693,1)),"",IF((AND(FIND('112'!$M$9,G1693,1)&gt;=1,$B1693&gt;='112'!$N$8,$B1693&lt;='112'!$O$8,OR($L1693='112'!$I$6,$M1693='112'!$I$6))),"x",""))</f>
        <v/>
      </c>
      <c r="S1693" s="525" t="str">
        <f>IF(ISERROR(FIND('112'!$M$9,G1693,1)),"",IF((AND(LEFT(G1693,2)=LEFT('112'!$M$9,2),B1693&lt;'112'!$N$8,$L1693='112'!$I$6)),"x",""))</f>
        <v/>
      </c>
      <c r="T1693" s="525" t="str">
        <f>IF(ISERROR(FIND('112'!$M$9,G1693,1)),"",IF((AND(RIGHT(G1693,2)=RIGHT('112'!$M$9,2),B1693&lt;'112'!$N$8,$M1693='112'!$I$6)),"x",""))</f>
        <v/>
      </c>
      <c r="U1693" s="525" t="str">
        <f>IF(AND(B1693&gt;='IN-NX'!$P$3,B1693&lt;='IN-NX'!$Q$3,'IN-NX'!$D$7=D1693,OR(LEFT(L1693,2)="15",AND(LEFT(M1693,2)&lt;&gt;"15",LEFT(M1693,2)&lt;&gt;"33"))),"x","")</f>
        <v/>
      </c>
      <c r="V1693" s="525" t="str">
        <f>IF(AND(OR(LEFT(TH!L1693,2)="15",LEFT(TH!M1693,2)="15"),'152-CT'!$J$8=TH!F1693),"x","")</f>
        <v/>
      </c>
      <c r="W1693" s="525" t="str">
        <f>IF(AND(OR(LEFT(TH!L1693,2)="15",LEFT(TH!M1693,2)="15"),TK!$E$7=TH!F1693),"x","")</f>
        <v/>
      </c>
      <c r="X1693" s="525" t="str">
        <f>IF(AND('341-CT'!$E$9=H1693,OR(LEFT(L1693,3)=$X$7,LEFT(M1693,3)=$X$7)),"x","")</f>
        <v/>
      </c>
      <c r="Y1693" s="525" t="str">
        <f>IF(OR(TH!L1693=TH!$Y$7,M1693=TH!$Y$7),"x","")</f>
        <v/>
      </c>
      <c r="Z1693" s="525" t="str">
        <f>IF(AND(B1693&lt;=NKC!$N$8,B1693&gt;=NKC!$M$8),"x","")</f>
        <v>x</v>
      </c>
      <c r="AA1693" s="535"/>
      <c r="AB1693" s="536"/>
      <c r="AE1693" s="536"/>
    </row>
    <row r="1694" spans="1:31" s="503" customFormat="1" ht="15.75" customHeight="1">
      <c r="A1694" s="517" t="str">
        <f>IF(B1694&lt;&gt;"",IF(AND(B1694&gt;=_TM1,B1694&lt;=_TM2,OR(TH!L1694="1111",TH!M1694="1111")),TH!D1694,""),"")</f>
        <v/>
      </c>
      <c r="B1694" s="531">
        <f t="shared" si="162"/>
        <v>1</v>
      </c>
      <c r="C1694" s="315">
        <f t="shared" si="163"/>
        <v>42759</v>
      </c>
      <c r="D1694" s="537" t="s">
        <v>996</v>
      </c>
      <c r="E1694" s="545">
        <v>42759</v>
      </c>
      <c r="F1694" s="249" t="s">
        <v>356</v>
      </c>
      <c r="G1694" s="314" t="s">
        <v>527</v>
      </c>
      <c r="H1694" s="473" t="s">
        <v>800</v>
      </c>
      <c r="I1694" s="307">
        <v>138</v>
      </c>
      <c r="J1694" s="307">
        <v>17809</v>
      </c>
      <c r="K1694" s="532">
        <f t="shared" si="164"/>
        <v>2457642</v>
      </c>
      <c r="L1694" s="539" t="s">
        <v>160</v>
      </c>
      <c r="M1694" s="539" t="s">
        <v>292</v>
      </c>
      <c r="N1694" s="525" t="str">
        <f>IF(AND('331-CT'!$E$7=TH!H1694,OR(L1694="331",M1694="331")),"331",IF(AND(OR(L1694="131",M1694="131"),H1694='131-CT'!$E$7),"131",""))</f>
        <v/>
      </c>
      <c r="O1694" s="525" t="str">
        <f>IF(AND($B1694&gt;='111'!$N$11,$B1694&lt;='111'!$O$11,OR($L1694=$O$7,$M1694=$O$7)),"x","")</f>
        <v/>
      </c>
      <c r="P1694" s="525" t="str">
        <f>IF(AND($L1694=$O$7,$B1694&lt;'111'!$N$11),"x","")</f>
        <v/>
      </c>
      <c r="Q1694" s="525" t="str">
        <f>IF(AND($M1694=$O$7,$B1694&lt;'111'!$N$11),"x","")</f>
        <v/>
      </c>
      <c r="R1694" s="525" t="str">
        <f>IF(ISERROR(FIND('112'!$M$9,G1694,1)),"",IF((AND(FIND('112'!$M$9,G1694,1)&gt;=1,$B1694&gt;='112'!$N$8,$B1694&lt;='112'!$O$8,OR($L1694='112'!$I$6,$M1694='112'!$I$6))),"x",""))</f>
        <v/>
      </c>
      <c r="S1694" s="525" t="str">
        <f>IF(ISERROR(FIND('112'!$M$9,G1694,1)),"",IF((AND(LEFT(G1694,2)=LEFT('112'!$M$9,2),B1694&lt;'112'!$N$8,$L1694='112'!$I$6)),"x",""))</f>
        <v/>
      </c>
      <c r="T1694" s="525" t="str">
        <f>IF(ISERROR(FIND('112'!$M$9,G1694,1)),"",IF((AND(RIGHT(G1694,2)=RIGHT('112'!$M$9,2),B1694&lt;'112'!$N$8,$M1694='112'!$I$6)),"x",""))</f>
        <v/>
      </c>
      <c r="U1694" s="525" t="str">
        <f>IF(AND(B1694&gt;='IN-NX'!$P$3,B1694&lt;='IN-NX'!$Q$3,'IN-NX'!$D$7=D1694,OR(LEFT(L1694,2)="15",AND(LEFT(M1694,2)&lt;&gt;"15",LEFT(M1694,2)&lt;&gt;"33"))),"x","")</f>
        <v/>
      </c>
      <c r="V1694" s="525" t="str">
        <f>IF(AND(OR(LEFT(TH!L1694,2)="15",LEFT(TH!M1694,2)="15"),'152-CT'!$J$8=TH!F1694),"x","")</f>
        <v/>
      </c>
      <c r="W1694" s="525" t="str">
        <f>IF(AND(OR(LEFT(TH!L1694,2)="15",LEFT(TH!M1694,2)="15"),TK!$E$7=TH!F1694),"x","")</f>
        <v/>
      </c>
      <c r="X1694" s="525" t="str">
        <f>IF(AND('341-CT'!$E$9=H1694,OR(LEFT(L1694,3)=$X$7,LEFT(M1694,3)=$X$7)),"x","")</f>
        <v/>
      </c>
      <c r="Y1694" s="525" t="str">
        <f>IF(OR(TH!L1694=TH!$Y$7,M1694=TH!$Y$7),"x","")</f>
        <v/>
      </c>
      <c r="Z1694" s="525" t="str">
        <f>IF(AND(B1694&lt;=NKC!$N$8,B1694&gt;=NKC!$M$8),"x","")</f>
        <v>x</v>
      </c>
      <c r="AA1694" s="535"/>
      <c r="AB1694" s="536"/>
      <c r="AE1694" s="536"/>
    </row>
    <row r="1695" spans="1:31" s="503" customFormat="1" ht="15.75" customHeight="1">
      <c r="A1695" s="517" t="str">
        <f>IF(B1695&lt;&gt;"",IF(AND(B1695&gt;=_TM1,B1695&lt;=_TM2,OR(TH!L1695="1111",TH!M1695="1111")),TH!D1695,""),"")</f>
        <v/>
      </c>
      <c r="B1695" s="531">
        <f t="shared" si="162"/>
        <v>1</v>
      </c>
      <c r="C1695" s="315">
        <f t="shared" si="163"/>
        <v>42759</v>
      </c>
      <c r="D1695" s="537" t="s">
        <v>996</v>
      </c>
      <c r="E1695" s="548">
        <v>42759</v>
      </c>
      <c r="F1695" s="249" t="s">
        <v>357</v>
      </c>
      <c r="G1695" s="541" t="s">
        <v>527</v>
      </c>
      <c r="H1695" s="473" t="s">
        <v>800</v>
      </c>
      <c r="I1695" s="307">
        <v>99</v>
      </c>
      <c r="J1695" s="307">
        <v>19810</v>
      </c>
      <c r="K1695" s="532">
        <f t="shared" si="164"/>
        <v>1961190</v>
      </c>
      <c r="L1695" s="539" t="s">
        <v>160</v>
      </c>
      <c r="M1695" s="539" t="s">
        <v>292</v>
      </c>
      <c r="N1695" s="525" t="str">
        <f>IF(AND('331-CT'!$E$7=TH!H1695,OR(L1695="331",M1695="331")),"331",IF(AND(OR(L1695="131",M1695="131"),H1695='131-CT'!$E$7),"131",""))</f>
        <v/>
      </c>
      <c r="O1695" s="525" t="str">
        <f>IF(AND($B1695&gt;='111'!$N$11,$B1695&lt;='111'!$O$11,OR($L1695=$O$7,$M1695=$O$7)),"x","")</f>
        <v/>
      </c>
      <c r="P1695" s="525" t="str">
        <f>IF(AND($L1695=$O$7,$B1695&lt;'111'!$N$11),"x","")</f>
        <v/>
      </c>
      <c r="Q1695" s="525" t="str">
        <f>IF(AND($M1695=$O$7,$B1695&lt;'111'!$N$11),"x","")</f>
        <v/>
      </c>
      <c r="R1695" s="525" t="str">
        <f>IF(ISERROR(FIND('112'!$M$9,G1695,1)),"",IF((AND(FIND('112'!$M$9,G1695,1)&gt;=1,$B1695&gt;='112'!$N$8,$B1695&lt;='112'!$O$8,OR($L1695='112'!$I$6,$M1695='112'!$I$6))),"x",""))</f>
        <v/>
      </c>
      <c r="S1695" s="525" t="str">
        <f>IF(ISERROR(FIND('112'!$M$9,G1695,1)),"",IF((AND(LEFT(G1695,2)=LEFT('112'!$M$9,2),B1695&lt;'112'!$N$8,$L1695='112'!$I$6)),"x",""))</f>
        <v/>
      </c>
      <c r="T1695" s="525" t="str">
        <f>IF(ISERROR(FIND('112'!$M$9,G1695,1)),"",IF((AND(RIGHT(G1695,2)=RIGHT('112'!$M$9,2),B1695&lt;'112'!$N$8,$M1695='112'!$I$6)),"x",""))</f>
        <v/>
      </c>
      <c r="U1695" s="525" t="str">
        <f>IF(AND(B1695&gt;='IN-NX'!$P$3,B1695&lt;='IN-NX'!$Q$3,'IN-NX'!$D$7=D1695,OR(LEFT(L1695,2)="15",AND(LEFT(M1695,2)&lt;&gt;"15",LEFT(M1695,2)&lt;&gt;"33"))),"x","")</f>
        <v/>
      </c>
      <c r="V1695" s="525" t="str">
        <f>IF(AND(OR(LEFT(TH!L1695,2)="15",LEFT(TH!M1695,2)="15"),'152-CT'!$J$8=TH!F1695),"x","")</f>
        <v/>
      </c>
      <c r="W1695" s="525" t="str">
        <f>IF(AND(OR(LEFT(TH!L1695,2)="15",LEFT(TH!M1695,2)="15"),TK!$E$7=TH!F1695),"x","")</f>
        <v/>
      </c>
      <c r="X1695" s="525" t="str">
        <f>IF(AND('341-CT'!$E$9=H1695,OR(LEFT(L1695,3)=$X$7,LEFT(M1695,3)=$X$7)),"x","")</f>
        <v/>
      </c>
      <c r="Y1695" s="525" t="str">
        <f>IF(OR(TH!L1695=TH!$Y$7,M1695=TH!$Y$7),"x","")</f>
        <v/>
      </c>
      <c r="Z1695" s="525" t="str">
        <f>IF(AND(B1695&lt;=NKC!$N$8,B1695&gt;=NKC!$M$8),"x","")</f>
        <v>x</v>
      </c>
      <c r="AA1695" s="535"/>
      <c r="AB1695" s="536"/>
      <c r="AD1695" s="536"/>
    </row>
    <row r="1696" spans="1:31" s="576" customFormat="1" ht="15.75" customHeight="1">
      <c r="A1696" s="517" t="str">
        <f>IF(B1696&lt;&gt;"",IF(AND(B1696&gt;=_TM1,B1696&lt;=_TM2,OR(TH!L1696="1111",TH!M1696="1111")),TH!D1696,""),"")</f>
        <v/>
      </c>
      <c r="B1696" s="518">
        <f t="shared" ref="B1696:B1819" si="165">IF(C1696&lt;&gt;"",MONTH(C1696),"")</f>
        <v>1</v>
      </c>
      <c r="C1696" s="571">
        <f t="shared" si="163"/>
        <v>42737</v>
      </c>
      <c r="D1696" s="519" t="s">
        <v>997</v>
      </c>
      <c r="E1696" s="590">
        <v>42737</v>
      </c>
      <c r="F1696" s="577" t="s">
        <v>493</v>
      </c>
      <c r="G1696" s="579" t="s">
        <v>478</v>
      </c>
      <c r="H1696" s="574" t="s">
        <v>801</v>
      </c>
      <c r="I1696" s="523">
        <v>3980</v>
      </c>
      <c r="J1696" s="523">
        <v>8924</v>
      </c>
      <c r="K1696" s="575">
        <f t="shared" si="164"/>
        <v>35517520</v>
      </c>
      <c r="L1696" s="591" t="s">
        <v>158</v>
      </c>
      <c r="M1696" s="591" t="s">
        <v>292</v>
      </c>
      <c r="N1696" s="525" t="str">
        <f>IF(AND('331-CT'!$E$7=TH!H1696,OR(L1696="331",M1696="331")),"331",IF(AND(OR(L1696="131",M1696="131"),H1696='131-CT'!$E$7),"131",""))</f>
        <v/>
      </c>
      <c r="O1696" s="525" t="str">
        <f>IF(AND($B1696&gt;='111'!$N$11,$B1696&lt;='111'!$O$11,OR($L1696=$O$7,$M1696=$O$7)),"x","")</f>
        <v/>
      </c>
      <c r="P1696" s="525" t="str">
        <f>IF(AND($L1696=$O$7,$B1696&lt;'111'!$N$11),"x","")</f>
        <v/>
      </c>
      <c r="Q1696" s="525" t="str">
        <f>IF(AND($M1696=$O$7,$B1696&lt;'111'!$N$11),"x","")</f>
        <v/>
      </c>
      <c r="R1696" s="525" t="str">
        <f>IF(ISERROR(FIND('112'!$M$9,G1696,1)),"",IF((AND(FIND('112'!$M$9,G1696,1)&gt;=1,$B1696&gt;='112'!$N$8,$B1696&lt;='112'!$O$8,OR($L1696='112'!$I$6,$M1696='112'!$I$6))),"x",""))</f>
        <v/>
      </c>
      <c r="S1696" s="525" t="str">
        <f>IF(ISERROR(FIND('112'!$M$9,G1696,1)),"",IF((AND(LEFT(G1696,2)=LEFT('112'!$M$9,2),B1696&lt;'112'!$N$8,$L1696='112'!$I$6)),"x",""))</f>
        <v/>
      </c>
      <c r="T1696" s="525" t="str">
        <f>IF(ISERROR(FIND('112'!$M$9,G1696,1)),"",IF((AND(RIGHT(G1696,2)=RIGHT('112'!$M$9,2),B1696&lt;'112'!$N$8,$M1696='112'!$I$6)),"x",""))</f>
        <v/>
      </c>
      <c r="U1696" s="525" t="str">
        <f>IF(AND(B1696&gt;='IN-NX'!$P$3,B1696&lt;='IN-NX'!$Q$3,'IN-NX'!$D$7=D1696,OR(LEFT(L1696,2)="15",AND(LEFT(M1696,2)&lt;&gt;"15",LEFT(M1696,2)&lt;&gt;"33"))),"x","")</f>
        <v/>
      </c>
      <c r="V1696" s="525" t="str">
        <f>IF(AND(OR(LEFT(TH!L1696,2)="15",LEFT(TH!M1696,2)="15"),'152-CT'!$J$8=TH!F1696),"x","")</f>
        <v/>
      </c>
      <c r="W1696" s="525" t="str">
        <f>IF(AND(OR(LEFT(TH!L1696,2)="15",LEFT(TH!M1696,2)="15"),TK!$E$7=TH!F1696),"x","")</f>
        <v/>
      </c>
      <c r="X1696" s="525" t="str">
        <f>IF(AND('341-CT'!$E$9=H1696,OR(LEFT(L1696,3)=$X$7,LEFT(M1696,3)=$X$7)),"x","")</f>
        <v/>
      </c>
      <c r="Y1696" s="525" t="str">
        <f>IF(OR(TH!L1696=TH!$Y$7,M1696=TH!$Y$7),"x","")</f>
        <v/>
      </c>
      <c r="Z1696" s="525" t="str">
        <f>IF(AND(B1696&lt;=NKC!$N$8,B1696&gt;=NKC!$M$8),"x","")</f>
        <v>x</v>
      </c>
      <c r="AA1696" s="526"/>
      <c r="AB1696" s="527"/>
      <c r="AD1696" s="527"/>
    </row>
    <row r="1697" spans="1:31" s="576" customFormat="1" ht="15.75" customHeight="1">
      <c r="A1697" s="517" t="str">
        <f>IF(B1697&lt;&gt;"",IF(AND(B1697&gt;=_TM1,B1697&lt;=_TM2,OR(TH!L1697="1111",TH!M1697="1111")),TH!D1697,""),"")</f>
        <v/>
      </c>
      <c r="B1697" s="518">
        <f t="shared" si="165"/>
        <v>1</v>
      </c>
      <c r="C1697" s="571">
        <f t="shared" si="163"/>
        <v>42743</v>
      </c>
      <c r="D1697" s="519" t="s">
        <v>997</v>
      </c>
      <c r="E1697" s="590">
        <v>42743</v>
      </c>
      <c r="F1697" s="577" t="s">
        <v>500</v>
      </c>
      <c r="G1697" s="579" t="s">
        <v>483</v>
      </c>
      <c r="H1697" s="574" t="s">
        <v>801</v>
      </c>
      <c r="I1697" s="523">
        <v>300</v>
      </c>
      <c r="J1697" s="523">
        <v>7789</v>
      </c>
      <c r="K1697" s="575">
        <f t="shared" si="164"/>
        <v>2336700</v>
      </c>
      <c r="L1697" s="591" t="s">
        <v>158</v>
      </c>
      <c r="M1697" s="591" t="s">
        <v>292</v>
      </c>
      <c r="N1697" s="525" t="str">
        <f>IF(AND('331-CT'!$E$7=TH!H1697,OR(L1697="331",M1697="331")),"331",IF(AND(OR(L1697="131",M1697="131"),H1697='131-CT'!$E$7),"131",""))</f>
        <v/>
      </c>
      <c r="O1697" s="525" t="str">
        <f>IF(AND($B1697&gt;='111'!$N$11,$B1697&lt;='111'!$O$11,OR($L1697=$O$7,$M1697=$O$7)),"x","")</f>
        <v/>
      </c>
      <c r="P1697" s="525" t="str">
        <f>IF(AND($L1697=$O$7,$B1697&lt;'111'!$N$11),"x","")</f>
        <v/>
      </c>
      <c r="Q1697" s="525" t="str">
        <f>IF(AND($M1697=$O$7,$B1697&lt;'111'!$N$11),"x","")</f>
        <v/>
      </c>
      <c r="R1697" s="525" t="str">
        <f>IF(ISERROR(FIND('112'!$M$9,G1697,1)),"",IF((AND(FIND('112'!$M$9,G1697,1)&gt;=1,$B1697&gt;='112'!$N$8,$B1697&lt;='112'!$O$8,OR($L1697='112'!$I$6,$M1697='112'!$I$6))),"x",""))</f>
        <v/>
      </c>
      <c r="S1697" s="525" t="str">
        <f>IF(ISERROR(FIND('112'!$M$9,G1697,1)),"",IF((AND(LEFT(G1697,2)=LEFT('112'!$M$9,2),B1697&lt;'112'!$N$8,$L1697='112'!$I$6)),"x",""))</f>
        <v/>
      </c>
      <c r="T1697" s="525" t="str">
        <f>IF(ISERROR(FIND('112'!$M$9,G1697,1)),"",IF((AND(RIGHT(G1697,2)=RIGHT('112'!$M$9,2),B1697&lt;'112'!$N$8,$M1697='112'!$I$6)),"x",""))</f>
        <v/>
      </c>
      <c r="U1697" s="525" t="str">
        <f>IF(AND(B1697&gt;='IN-NX'!$P$3,B1697&lt;='IN-NX'!$Q$3,'IN-NX'!$D$7=D1697,OR(LEFT(L1697,2)="15",AND(LEFT(M1697,2)&lt;&gt;"15",LEFT(M1697,2)&lt;&gt;"33"))),"x","")</f>
        <v/>
      </c>
      <c r="V1697" s="525" t="str">
        <f>IF(AND(OR(LEFT(TH!L1697,2)="15",LEFT(TH!M1697,2)="15"),'152-CT'!$J$8=TH!F1697),"x","")</f>
        <v/>
      </c>
      <c r="W1697" s="525" t="str">
        <f>IF(AND(OR(LEFT(TH!L1697,2)="15",LEFT(TH!M1697,2)="15"),TK!$E$7=TH!F1697),"x","")</f>
        <v/>
      </c>
      <c r="X1697" s="525" t="str">
        <f>IF(AND('341-CT'!$E$9=H1697,OR(LEFT(L1697,3)=$X$7,LEFT(M1697,3)=$X$7)),"x","")</f>
        <v/>
      </c>
      <c r="Y1697" s="525" t="str">
        <f>IF(OR(TH!L1697=TH!$Y$7,M1697=TH!$Y$7),"x","")</f>
        <v/>
      </c>
      <c r="Z1697" s="525" t="str">
        <f>IF(AND(B1697&lt;=NKC!$N$8,B1697&gt;=NKC!$M$8),"x","")</f>
        <v>x</v>
      </c>
      <c r="AA1697" s="526"/>
      <c r="AB1697" s="527"/>
      <c r="AD1697" s="527"/>
    </row>
    <row r="1698" spans="1:31" s="576" customFormat="1" ht="15.75" customHeight="1">
      <c r="A1698" s="517" t="str">
        <f>IF(B1698&lt;&gt;"",IF(AND(B1698&gt;=_TM1,B1698&lt;=_TM2,OR(TH!L1698="1111",TH!M1698="1111")),TH!D1698,""),"")</f>
        <v/>
      </c>
      <c r="B1698" s="518">
        <f t="shared" si="165"/>
        <v>1</v>
      </c>
      <c r="C1698" s="571">
        <f t="shared" si="163"/>
        <v>42753</v>
      </c>
      <c r="D1698" s="519" t="s">
        <v>997</v>
      </c>
      <c r="E1698" s="590">
        <v>42753</v>
      </c>
      <c r="F1698" s="577" t="s">
        <v>504</v>
      </c>
      <c r="G1698" s="579" t="s">
        <v>491</v>
      </c>
      <c r="H1698" s="574" t="s">
        <v>801</v>
      </c>
      <c r="I1698" s="523">
        <v>1700</v>
      </c>
      <c r="J1698" s="523">
        <v>33250</v>
      </c>
      <c r="K1698" s="575">
        <f t="shared" si="164"/>
        <v>56525000</v>
      </c>
      <c r="L1698" s="591" t="s">
        <v>158</v>
      </c>
      <c r="M1698" s="591" t="s">
        <v>292</v>
      </c>
      <c r="N1698" s="525" t="str">
        <f>IF(AND('331-CT'!$E$7=TH!H1698,OR(L1698="331",M1698="331")),"331",IF(AND(OR(L1698="131",M1698="131"),H1698='131-CT'!$E$7),"131",""))</f>
        <v/>
      </c>
      <c r="O1698" s="525" t="str">
        <f>IF(AND($B1698&gt;='111'!$N$11,$B1698&lt;='111'!$O$11,OR($L1698=$O$7,$M1698=$O$7)),"x","")</f>
        <v/>
      </c>
      <c r="P1698" s="525" t="str">
        <f>IF(AND($L1698=$O$7,$B1698&lt;'111'!$N$11),"x","")</f>
        <v/>
      </c>
      <c r="Q1698" s="525" t="str">
        <f>IF(AND($M1698=$O$7,$B1698&lt;'111'!$N$11),"x","")</f>
        <v/>
      </c>
      <c r="R1698" s="525" t="str">
        <f>IF(ISERROR(FIND('112'!$M$9,G1698,1)),"",IF((AND(FIND('112'!$M$9,G1698,1)&gt;=1,$B1698&gt;='112'!$N$8,$B1698&lt;='112'!$O$8,OR($L1698='112'!$I$6,$M1698='112'!$I$6))),"x",""))</f>
        <v/>
      </c>
      <c r="S1698" s="525" t="str">
        <f>IF(ISERROR(FIND('112'!$M$9,G1698,1)),"",IF((AND(LEFT(G1698,2)=LEFT('112'!$M$9,2),B1698&lt;'112'!$N$8,$L1698='112'!$I$6)),"x",""))</f>
        <v/>
      </c>
      <c r="T1698" s="525" t="str">
        <f>IF(ISERROR(FIND('112'!$M$9,G1698,1)),"",IF((AND(RIGHT(G1698,2)=RIGHT('112'!$M$9,2),B1698&lt;'112'!$N$8,$M1698='112'!$I$6)),"x",""))</f>
        <v/>
      </c>
      <c r="U1698" s="525" t="str">
        <f>IF(AND(B1698&gt;='IN-NX'!$P$3,B1698&lt;='IN-NX'!$Q$3,'IN-NX'!$D$7=D1698,OR(LEFT(L1698,2)="15",AND(LEFT(M1698,2)&lt;&gt;"15",LEFT(M1698,2)&lt;&gt;"33"))),"x","")</f>
        <v/>
      </c>
      <c r="V1698" s="525" t="str">
        <f>IF(AND(OR(LEFT(TH!L1698,2)="15",LEFT(TH!M1698,2)="15"),'152-CT'!$J$8=TH!F1698),"x","")</f>
        <v/>
      </c>
      <c r="W1698" s="525" t="str">
        <f>IF(AND(OR(LEFT(TH!L1698,2)="15",LEFT(TH!M1698,2)="15"),TK!$E$7=TH!F1698),"x","")</f>
        <v/>
      </c>
      <c r="X1698" s="525" t="str">
        <f>IF(AND('341-CT'!$E$9=H1698,OR(LEFT(L1698,3)=$X$7,LEFT(M1698,3)=$X$7)),"x","")</f>
        <v/>
      </c>
      <c r="Y1698" s="525" t="str">
        <f>IF(OR(TH!L1698=TH!$Y$7,M1698=TH!$Y$7),"x","")</f>
        <v/>
      </c>
      <c r="Z1698" s="525" t="str">
        <f>IF(AND(B1698&lt;=NKC!$N$8,B1698&gt;=NKC!$M$8),"x","")</f>
        <v>x</v>
      </c>
      <c r="AA1698" s="526"/>
      <c r="AB1698" s="527"/>
      <c r="AD1698" s="527"/>
    </row>
    <row r="1699" spans="1:31" s="576" customFormat="1" ht="15.75" customHeight="1">
      <c r="A1699" s="517" t="str">
        <f>IF(B1699&lt;&gt;"",IF(AND(B1699&gt;=_TM1,B1699&lt;=_TM2,OR(TH!L1699="1111",TH!M1699="1111")),TH!D1699,""),"")</f>
        <v/>
      </c>
      <c r="B1699" s="518">
        <f t="shared" si="165"/>
        <v>1</v>
      </c>
      <c r="C1699" s="571">
        <f t="shared" si="163"/>
        <v>42753</v>
      </c>
      <c r="D1699" s="519" t="s">
        <v>997</v>
      </c>
      <c r="E1699" s="578">
        <v>42753</v>
      </c>
      <c r="F1699" s="572" t="s">
        <v>505</v>
      </c>
      <c r="G1699" s="573" t="s">
        <v>491</v>
      </c>
      <c r="H1699" s="574" t="s">
        <v>801</v>
      </c>
      <c r="I1699" s="523">
        <v>1500</v>
      </c>
      <c r="J1699" s="523">
        <v>31525</v>
      </c>
      <c r="K1699" s="575">
        <f t="shared" si="164"/>
        <v>47287500</v>
      </c>
      <c r="L1699" s="591" t="s">
        <v>158</v>
      </c>
      <c r="M1699" s="591" t="s">
        <v>292</v>
      </c>
      <c r="N1699" s="525" t="str">
        <f>IF(AND('331-CT'!$E$7=TH!H1699,OR(L1699="331",M1699="331")),"331",IF(AND(OR(L1699="131",M1699="131"),H1699='131-CT'!$E$7),"131",""))</f>
        <v/>
      </c>
      <c r="O1699" s="525" t="str">
        <f>IF(AND($B1699&gt;='111'!$N$11,$B1699&lt;='111'!$O$11,OR($L1699=$O$7,$M1699=$O$7)),"x","")</f>
        <v/>
      </c>
      <c r="P1699" s="525" t="str">
        <f>IF(AND($L1699=$O$7,$B1699&lt;'111'!$N$11),"x","")</f>
        <v/>
      </c>
      <c r="Q1699" s="525" t="str">
        <f>IF(AND($M1699=$O$7,$B1699&lt;'111'!$N$11),"x","")</f>
        <v/>
      </c>
      <c r="R1699" s="525" t="str">
        <f>IF(ISERROR(FIND('112'!$M$9,G1699,1)),"",IF((AND(FIND('112'!$M$9,G1699,1)&gt;=1,$B1699&gt;='112'!$N$8,$B1699&lt;='112'!$O$8,OR($L1699='112'!$I$6,$M1699='112'!$I$6))),"x",""))</f>
        <v/>
      </c>
      <c r="S1699" s="525" t="str">
        <f>IF(ISERROR(FIND('112'!$M$9,G1699,1)),"",IF((AND(LEFT(G1699,2)=LEFT('112'!$M$9,2),B1699&lt;'112'!$N$8,$L1699='112'!$I$6)),"x",""))</f>
        <v/>
      </c>
      <c r="T1699" s="525" t="str">
        <f>IF(ISERROR(FIND('112'!$M$9,G1699,1)),"",IF((AND(RIGHT(G1699,2)=RIGHT('112'!$M$9,2),B1699&lt;'112'!$N$8,$M1699='112'!$I$6)),"x",""))</f>
        <v/>
      </c>
      <c r="U1699" s="525" t="str">
        <f>IF(AND(B1699&gt;='IN-NX'!$P$3,B1699&lt;='IN-NX'!$Q$3,'IN-NX'!$D$7=D1699,OR(LEFT(L1699,2)="15",AND(LEFT(M1699,2)&lt;&gt;"15",LEFT(M1699,2)&lt;&gt;"33"))),"x","")</f>
        <v/>
      </c>
      <c r="V1699" s="525" t="str">
        <f>IF(AND(OR(LEFT(TH!L1699,2)="15",LEFT(TH!M1699,2)="15"),'152-CT'!$J$8=TH!F1699),"x","")</f>
        <v/>
      </c>
      <c r="W1699" s="525" t="str">
        <f>IF(AND(OR(LEFT(TH!L1699,2)="15",LEFT(TH!M1699,2)="15"),TK!$E$7=TH!F1699),"x","")</f>
        <v/>
      </c>
      <c r="X1699" s="525" t="str">
        <f>IF(AND('341-CT'!$E$9=H1699,OR(LEFT(L1699,3)=$X$7,LEFT(M1699,3)=$X$7)),"x","")</f>
        <v/>
      </c>
      <c r="Y1699" s="525" t="str">
        <f>IF(OR(TH!L1699=TH!$Y$7,M1699=TH!$Y$7),"x","")</f>
        <v/>
      </c>
      <c r="Z1699" s="525" t="str">
        <f>IF(AND(B1699&lt;=NKC!$N$8,B1699&gt;=NKC!$M$8),"x","")</f>
        <v>x</v>
      </c>
      <c r="AA1699" s="526"/>
      <c r="AB1699" s="527"/>
      <c r="AE1699" s="527"/>
    </row>
    <row r="1700" spans="1:31" s="576" customFormat="1" ht="15.75" customHeight="1">
      <c r="A1700" s="517" t="str">
        <f>IF(B1700&lt;&gt;"",IF(AND(B1700&gt;=_TM1,B1700&lt;=_TM2,OR(TH!L1700="1111",TH!M1700="1111")),TH!D1700,""),"")</f>
        <v/>
      </c>
      <c r="B1700" s="518">
        <f t="shared" si="165"/>
        <v>1</v>
      </c>
      <c r="C1700" s="571">
        <f t="shared" si="163"/>
        <v>42753</v>
      </c>
      <c r="D1700" s="519" t="s">
        <v>997</v>
      </c>
      <c r="E1700" s="578">
        <v>42753</v>
      </c>
      <c r="F1700" s="572" t="s">
        <v>506</v>
      </c>
      <c r="G1700" s="573" t="s">
        <v>492</v>
      </c>
      <c r="H1700" s="574" t="s">
        <v>801</v>
      </c>
      <c r="I1700" s="523">
        <v>300</v>
      </c>
      <c r="J1700" s="523">
        <v>9700</v>
      </c>
      <c r="K1700" s="575">
        <f t="shared" si="164"/>
        <v>2910000</v>
      </c>
      <c r="L1700" s="591" t="s">
        <v>158</v>
      </c>
      <c r="M1700" s="591" t="s">
        <v>292</v>
      </c>
      <c r="N1700" s="525" t="str">
        <f>IF(AND('331-CT'!$E$7=TH!H1700,OR(L1700="331",M1700="331")),"331",IF(AND(OR(L1700="131",M1700="131"),H1700='131-CT'!$E$7),"131",""))</f>
        <v/>
      </c>
      <c r="O1700" s="525" t="str">
        <f>IF(AND($B1700&gt;='111'!$N$11,$B1700&lt;='111'!$O$11,OR($L1700=$O$7,$M1700=$O$7)),"x","")</f>
        <v/>
      </c>
      <c r="P1700" s="525" t="str">
        <f>IF(AND($L1700=$O$7,$B1700&lt;'111'!$N$11),"x","")</f>
        <v/>
      </c>
      <c r="Q1700" s="525" t="str">
        <f>IF(AND($M1700=$O$7,$B1700&lt;'111'!$N$11),"x","")</f>
        <v/>
      </c>
      <c r="R1700" s="525" t="str">
        <f>IF(ISERROR(FIND('112'!$M$9,G1700,1)),"",IF((AND(FIND('112'!$M$9,G1700,1)&gt;=1,$B1700&gt;='112'!$N$8,$B1700&lt;='112'!$O$8,OR($L1700='112'!$I$6,$M1700='112'!$I$6))),"x",""))</f>
        <v/>
      </c>
      <c r="S1700" s="525" t="str">
        <f>IF(ISERROR(FIND('112'!$M$9,G1700,1)),"",IF((AND(LEFT(G1700,2)=LEFT('112'!$M$9,2),B1700&lt;'112'!$N$8,$L1700='112'!$I$6)),"x",""))</f>
        <v/>
      </c>
      <c r="T1700" s="525" t="str">
        <f>IF(ISERROR(FIND('112'!$M$9,G1700,1)),"",IF((AND(RIGHT(G1700,2)=RIGHT('112'!$M$9,2),B1700&lt;'112'!$N$8,$M1700='112'!$I$6)),"x",""))</f>
        <v/>
      </c>
      <c r="U1700" s="525" t="str">
        <f>IF(AND(B1700&gt;='IN-NX'!$P$3,B1700&lt;='IN-NX'!$Q$3,'IN-NX'!$D$7=D1700,OR(LEFT(L1700,2)="15",AND(LEFT(M1700,2)&lt;&gt;"15",LEFT(M1700,2)&lt;&gt;"33"))),"x","")</f>
        <v/>
      </c>
      <c r="V1700" s="525" t="str">
        <f>IF(AND(OR(LEFT(TH!L1700,2)="15",LEFT(TH!M1700,2)="15"),'152-CT'!$J$8=TH!F1700),"x","")</f>
        <v/>
      </c>
      <c r="W1700" s="525" t="str">
        <f>IF(AND(OR(LEFT(TH!L1700,2)="15",LEFT(TH!M1700,2)="15"),TK!$E$7=TH!F1700),"x","")</f>
        <v/>
      </c>
      <c r="X1700" s="525" t="str">
        <f>IF(AND('341-CT'!$E$9=H1700,OR(LEFT(L1700,3)=$X$7,LEFT(M1700,3)=$X$7)),"x","")</f>
        <v/>
      </c>
      <c r="Y1700" s="525" t="str">
        <f>IF(OR(TH!L1700=TH!$Y$7,M1700=TH!$Y$7),"x","")</f>
        <v/>
      </c>
      <c r="Z1700" s="525" t="str">
        <f>IF(AND(B1700&lt;=NKC!$N$8,B1700&gt;=NKC!$M$8),"x","")</f>
        <v>x</v>
      </c>
      <c r="AA1700" s="526"/>
      <c r="AB1700" s="527"/>
      <c r="AE1700" s="527"/>
    </row>
    <row r="1701" spans="1:31" s="576" customFormat="1" ht="15.75" customHeight="1">
      <c r="A1701" s="517" t="str">
        <f>IF(B1701&lt;&gt;"",IF(AND(B1701&gt;=_TM1,B1701&lt;=_TM2,OR(TH!L1701="1111",TH!M1701="1111")),TH!D1701,""),"")</f>
        <v/>
      </c>
      <c r="B1701" s="518">
        <f t="shared" si="165"/>
        <v>1</v>
      </c>
      <c r="C1701" s="571">
        <f t="shared" si="163"/>
        <v>42737</v>
      </c>
      <c r="D1701" s="519" t="s">
        <v>997</v>
      </c>
      <c r="E1701" s="590">
        <v>42737</v>
      </c>
      <c r="F1701" s="577" t="s">
        <v>352</v>
      </c>
      <c r="G1701" s="579" t="s">
        <v>478</v>
      </c>
      <c r="H1701" s="574" t="s">
        <v>801</v>
      </c>
      <c r="I1701" s="523">
        <v>49</v>
      </c>
      <c r="J1701" s="523">
        <v>18216</v>
      </c>
      <c r="K1701" s="575">
        <f t="shared" si="164"/>
        <v>892584</v>
      </c>
      <c r="L1701" s="591" t="s">
        <v>158</v>
      </c>
      <c r="M1701" s="591" t="s">
        <v>292</v>
      </c>
      <c r="N1701" s="525" t="str">
        <f>IF(AND('331-CT'!$E$7=TH!H1701,OR(L1701="331",M1701="331")),"331",IF(AND(OR(L1701="131",M1701="131"),H1701='131-CT'!$E$7),"131",""))</f>
        <v/>
      </c>
      <c r="O1701" s="525" t="str">
        <f>IF(AND($B1701&gt;='111'!$N$11,$B1701&lt;='111'!$O$11,OR($L1701=$O$7,$M1701=$O$7)),"x","")</f>
        <v/>
      </c>
      <c r="P1701" s="525" t="str">
        <f>IF(AND($L1701=$O$7,$B1701&lt;'111'!$N$11),"x","")</f>
        <v/>
      </c>
      <c r="Q1701" s="525" t="str">
        <f>IF(AND($M1701=$O$7,$B1701&lt;'111'!$N$11),"x","")</f>
        <v/>
      </c>
      <c r="R1701" s="525" t="str">
        <f>IF(ISERROR(FIND('112'!$M$9,G1701,1)),"",IF((AND(FIND('112'!$M$9,G1701,1)&gt;=1,$B1701&gt;='112'!$N$8,$B1701&lt;='112'!$O$8,OR($L1701='112'!$I$6,$M1701='112'!$I$6))),"x",""))</f>
        <v/>
      </c>
      <c r="S1701" s="525" t="str">
        <f>IF(ISERROR(FIND('112'!$M$9,G1701,1)),"",IF((AND(LEFT(G1701,2)=LEFT('112'!$M$9,2),B1701&lt;'112'!$N$8,$L1701='112'!$I$6)),"x",""))</f>
        <v/>
      </c>
      <c r="T1701" s="525" t="str">
        <f>IF(ISERROR(FIND('112'!$M$9,G1701,1)),"",IF((AND(RIGHT(G1701,2)=RIGHT('112'!$M$9,2),B1701&lt;'112'!$N$8,$M1701='112'!$I$6)),"x",""))</f>
        <v/>
      </c>
      <c r="U1701" s="525" t="str">
        <f>IF(AND(B1701&gt;='IN-NX'!$P$3,B1701&lt;='IN-NX'!$Q$3,'IN-NX'!$D$7=D1701,OR(LEFT(L1701,2)="15",AND(LEFT(M1701,2)&lt;&gt;"15",LEFT(M1701,2)&lt;&gt;"33"))),"x","")</f>
        <v/>
      </c>
      <c r="V1701" s="525" t="str">
        <f>IF(AND(OR(LEFT(TH!L1701,2)="15",LEFT(TH!M1701,2)="15"),'152-CT'!$J$8=TH!F1701),"x","")</f>
        <v/>
      </c>
      <c r="W1701" s="525" t="str">
        <f>IF(AND(OR(LEFT(TH!L1701,2)="15",LEFT(TH!M1701,2)="15"),TK!$E$7=TH!F1701),"x","")</f>
        <v/>
      </c>
      <c r="X1701" s="525" t="str">
        <f>IF(AND('341-CT'!$E$9=H1701,OR(LEFT(L1701,3)=$X$7,LEFT(M1701,3)=$X$7)),"x","")</f>
        <v/>
      </c>
      <c r="Y1701" s="525" t="str">
        <f>IF(OR(TH!L1701=TH!$Y$7,M1701=TH!$Y$7),"x","")</f>
        <v/>
      </c>
      <c r="Z1701" s="525" t="str">
        <f>IF(AND(B1701&lt;=NKC!$N$8,B1701&gt;=NKC!$M$8),"x","")</f>
        <v>x</v>
      </c>
      <c r="AA1701" s="526"/>
      <c r="AB1701" s="527"/>
      <c r="AD1701" s="527"/>
    </row>
    <row r="1702" spans="1:31" s="576" customFormat="1" ht="15.75" customHeight="1">
      <c r="A1702" s="517" t="str">
        <f>IF(B1702&lt;&gt;"",IF(AND(B1702&gt;=_TM1,B1702&lt;=_TM2,OR(TH!L1702="1111",TH!M1702="1111")),TH!D1702,""),"")</f>
        <v/>
      </c>
      <c r="B1702" s="518">
        <f t="shared" si="165"/>
        <v>1</v>
      </c>
      <c r="C1702" s="571">
        <f t="shared" si="163"/>
        <v>42739</v>
      </c>
      <c r="D1702" s="519" t="s">
        <v>997</v>
      </c>
      <c r="E1702" s="590">
        <v>42739</v>
      </c>
      <c r="F1702" s="577" t="s">
        <v>406</v>
      </c>
      <c r="G1702" s="579" t="s">
        <v>479</v>
      </c>
      <c r="H1702" s="574" t="s">
        <v>801</v>
      </c>
      <c r="I1702" s="523">
        <v>20</v>
      </c>
      <c r="J1702" s="523">
        <v>25594</v>
      </c>
      <c r="K1702" s="575">
        <f t="shared" si="164"/>
        <v>511880</v>
      </c>
      <c r="L1702" s="591" t="s">
        <v>158</v>
      </c>
      <c r="M1702" s="591" t="s">
        <v>292</v>
      </c>
      <c r="N1702" s="525" t="str">
        <f>IF(AND('331-CT'!$E$7=TH!H1702,OR(L1702="331",M1702="331")),"331",IF(AND(OR(L1702="131",M1702="131"),H1702='131-CT'!$E$7),"131",""))</f>
        <v/>
      </c>
      <c r="O1702" s="525" t="str">
        <f>IF(AND($B1702&gt;='111'!$N$11,$B1702&lt;='111'!$O$11,OR($L1702=$O$7,$M1702=$O$7)),"x","")</f>
        <v/>
      </c>
      <c r="P1702" s="525" t="str">
        <f>IF(AND($L1702=$O$7,$B1702&lt;'111'!$N$11),"x","")</f>
        <v/>
      </c>
      <c r="Q1702" s="525" t="str">
        <f>IF(AND($M1702=$O$7,$B1702&lt;'111'!$N$11),"x","")</f>
        <v/>
      </c>
      <c r="R1702" s="525" t="str">
        <f>IF(ISERROR(FIND('112'!$M$9,G1702,1)),"",IF((AND(FIND('112'!$M$9,G1702,1)&gt;=1,$B1702&gt;='112'!$N$8,$B1702&lt;='112'!$O$8,OR($L1702='112'!$I$6,$M1702='112'!$I$6))),"x",""))</f>
        <v/>
      </c>
      <c r="S1702" s="525" t="str">
        <f>IF(ISERROR(FIND('112'!$M$9,G1702,1)),"",IF((AND(LEFT(G1702,2)=LEFT('112'!$M$9,2),B1702&lt;'112'!$N$8,$L1702='112'!$I$6)),"x",""))</f>
        <v/>
      </c>
      <c r="T1702" s="525" t="str">
        <f>IF(ISERROR(FIND('112'!$M$9,G1702,1)),"",IF((AND(RIGHT(G1702,2)=RIGHT('112'!$M$9,2),B1702&lt;'112'!$N$8,$M1702='112'!$I$6)),"x",""))</f>
        <v/>
      </c>
      <c r="U1702" s="525" t="str">
        <f>IF(AND(B1702&gt;='IN-NX'!$P$3,B1702&lt;='IN-NX'!$Q$3,'IN-NX'!$D$7=D1702,OR(LEFT(L1702,2)="15",AND(LEFT(M1702,2)&lt;&gt;"15",LEFT(M1702,2)&lt;&gt;"33"))),"x","")</f>
        <v/>
      </c>
      <c r="V1702" s="525" t="str">
        <f>IF(AND(OR(LEFT(TH!L1702,2)="15",LEFT(TH!M1702,2)="15"),'152-CT'!$J$8=TH!F1702),"x","")</f>
        <v/>
      </c>
      <c r="W1702" s="525" t="str">
        <f>IF(AND(OR(LEFT(TH!L1702,2)="15",LEFT(TH!M1702,2)="15"),TK!$E$7=TH!F1702),"x","")</f>
        <v/>
      </c>
      <c r="X1702" s="525" t="str">
        <f>IF(AND('341-CT'!$E$9=H1702,OR(LEFT(L1702,3)=$X$7,LEFT(M1702,3)=$X$7)),"x","")</f>
        <v/>
      </c>
      <c r="Y1702" s="525" t="str">
        <f>IF(OR(TH!L1702=TH!$Y$7,M1702=TH!$Y$7),"x","")</f>
        <v/>
      </c>
      <c r="Z1702" s="525" t="str">
        <f>IF(AND(B1702&lt;=NKC!$N$8,B1702&gt;=NKC!$M$8),"x","")</f>
        <v>x</v>
      </c>
      <c r="AA1702" s="526"/>
      <c r="AB1702" s="527"/>
      <c r="AD1702" s="527"/>
    </row>
    <row r="1703" spans="1:31" s="576" customFormat="1" ht="15.75" customHeight="1">
      <c r="A1703" s="517" t="str">
        <f>IF(B1703&lt;&gt;"",IF(AND(B1703&gt;=_TM1,B1703&lt;=_TM2,OR(TH!L1703="1111",TH!M1703="1111")),TH!D1703,""),"")</f>
        <v/>
      </c>
      <c r="B1703" s="518">
        <f t="shared" si="165"/>
        <v>1</v>
      </c>
      <c r="C1703" s="571">
        <f t="shared" si="163"/>
        <v>42739</v>
      </c>
      <c r="D1703" s="519" t="s">
        <v>997</v>
      </c>
      <c r="E1703" s="590">
        <v>42739</v>
      </c>
      <c r="F1703" s="577" t="s">
        <v>406</v>
      </c>
      <c r="G1703" s="579" t="s">
        <v>479</v>
      </c>
      <c r="H1703" s="574" t="s">
        <v>801</v>
      </c>
      <c r="I1703" s="523">
        <v>2</v>
      </c>
      <c r="J1703" s="523">
        <v>25594</v>
      </c>
      <c r="K1703" s="575">
        <f t="shared" si="164"/>
        <v>51188</v>
      </c>
      <c r="L1703" s="591" t="s">
        <v>158</v>
      </c>
      <c r="M1703" s="591" t="s">
        <v>292</v>
      </c>
      <c r="N1703" s="525" t="str">
        <f>IF(AND('331-CT'!$E$7=TH!H1703,OR(L1703="331",M1703="331")),"331",IF(AND(OR(L1703="131",M1703="131"),H1703='131-CT'!$E$7),"131",""))</f>
        <v/>
      </c>
      <c r="O1703" s="525" t="str">
        <f>IF(AND($B1703&gt;='111'!$N$11,$B1703&lt;='111'!$O$11,OR($L1703=$O$7,$M1703=$O$7)),"x","")</f>
        <v/>
      </c>
      <c r="P1703" s="525" t="str">
        <f>IF(AND($L1703=$O$7,$B1703&lt;'111'!$N$11),"x","")</f>
        <v/>
      </c>
      <c r="Q1703" s="525" t="str">
        <f>IF(AND($M1703=$O$7,$B1703&lt;'111'!$N$11),"x","")</f>
        <v/>
      </c>
      <c r="R1703" s="525" t="str">
        <f>IF(ISERROR(FIND('112'!$M$9,G1703,1)),"",IF((AND(FIND('112'!$M$9,G1703,1)&gt;=1,$B1703&gt;='112'!$N$8,$B1703&lt;='112'!$O$8,OR($L1703='112'!$I$6,$M1703='112'!$I$6))),"x",""))</f>
        <v/>
      </c>
      <c r="S1703" s="525" t="str">
        <f>IF(ISERROR(FIND('112'!$M$9,G1703,1)),"",IF((AND(LEFT(G1703,2)=LEFT('112'!$M$9,2),B1703&lt;'112'!$N$8,$L1703='112'!$I$6)),"x",""))</f>
        <v/>
      </c>
      <c r="T1703" s="525" t="str">
        <f>IF(ISERROR(FIND('112'!$M$9,G1703,1)),"",IF((AND(RIGHT(G1703,2)=RIGHT('112'!$M$9,2),B1703&lt;'112'!$N$8,$M1703='112'!$I$6)),"x",""))</f>
        <v/>
      </c>
      <c r="U1703" s="525" t="str">
        <f>IF(AND(B1703&gt;='IN-NX'!$P$3,B1703&lt;='IN-NX'!$Q$3,'IN-NX'!$D$7=D1703,OR(LEFT(L1703,2)="15",AND(LEFT(M1703,2)&lt;&gt;"15",LEFT(M1703,2)&lt;&gt;"33"))),"x","")</f>
        <v/>
      </c>
      <c r="V1703" s="525" t="str">
        <f>IF(AND(OR(LEFT(TH!L1703,2)="15",LEFT(TH!M1703,2)="15"),'152-CT'!$J$8=TH!F1703),"x","")</f>
        <v/>
      </c>
      <c r="W1703" s="525" t="str">
        <f>IF(AND(OR(LEFT(TH!L1703,2)="15",LEFT(TH!M1703,2)="15"),TK!$E$7=TH!F1703),"x","")</f>
        <v/>
      </c>
      <c r="X1703" s="525" t="str">
        <f>IF(AND('341-CT'!$E$9=H1703,OR(LEFT(L1703,3)=$X$7,LEFT(M1703,3)=$X$7)),"x","")</f>
        <v/>
      </c>
      <c r="Y1703" s="525" t="str">
        <f>IF(OR(TH!L1703=TH!$Y$7,M1703=TH!$Y$7),"x","")</f>
        <v/>
      </c>
      <c r="Z1703" s="525" t="str">
        <f>IF(AND(B1703&lt;=NKC!$N$8,B1703&gt;=NKC!$M$8),"x","")</f>
        <v>x</v>
      </c>
      <c r="AA1703" s="526"/>
      <c r="AB1703" s="527"/>
      <c r="AD1703" s="527"/>
    </row>
    <row r="1704" spans="1:31" s="576" customFormat="1" ht="15.75" customHeight="1">
      <c r="A1704" s="517" t="str">
        <f>IF(B1704&lt;&gt;"",IF(AND(B1704&gt;=_TM1,B1704&lt;=_TM2,OR(TH!L1704="1111",TH!M1704="1111")),TH!D1704,""),"")</f>
        <v/>
      </c>
      <c r="B1704" s="518">
        <f t="shared" si="165"/>
        <v>1</v>
      </c>
      <c r="C1704" s="571">
        <f t="shared" si="163"/>
        <v>42743</v>
      </c>
      <c r="D1704" s="519" t="s">
        <v>997</v>
      </c>
      <c r="E1704" s="578">
        <v>42743</v>
      </c>
      <c r="F1704" s="572" t="s">
        <v>406</v>
      </c>
      <c r="G1704" s="573" t="s">
        <v>483</v>
      </c>
      <c r="H1704" s="574" t="s">
        <v>801</v>
      </c>
      <c r="I1704" s="523">
        <v>2</v>
      </c>
      <c r="J1704" s="523">
        <v>25594</v>
      </c>
      <c r="K1704" s="575">
        <f t="shared" si="164"/>
        <v>51188</v>
      </c>
      <c r="L1704" s="591" t="s">
        <v>158</v>
      </c>
      <c r="M1704" s="591" t="s">
        <v>292</v>
      </c>
      <c r="N1704" s="525" t="str">
        <f>IF(AND('331-CT'!$E$7=TH!H1704,OR(L1704="331",M1704="331")),"331",IF(AND(OR(L1704="131",M1704="131"),H1704='131-CT'!$E$7),"131",""))</f>
        <v/>
      </c>
      <c r="O1704" s="525" t="str">
        <f>IF(AND($B1704&gt;='111'!$N$11,$B1704&lt;='111'!$O$11,OR($L1704=$O$7,$M1704=$O$7)),"x","")</f>
        <v/>
      </c>
      <c r="P1704" s="525" t="str">
        <f>IF(AND($L1704=$O$7,$B1704&lt;'111'!$N$11),"x","")</f>
        <v/>
      </c>
      <c r="Q1704" s="525" t="str">
        <f>IF(AND($M1704=$O$7,$B1704&lt;'111'!$N$11),"x","")</f>
        <v/>
      </c>
      <c r="R1704" s="525" t="str">
        <f>IF(ISERROR(FIND('112'!$M$9,G1704,1)),"",IF((AND(FIND('112'!$M$9,G1704,1)&gt;=1,$B1704&gt;='112'!$N$8,$B1704&lt;='112'!$O$8,OR($L1704='112'!$I$6,$M1704='112'!$I$6))),"x",""))</f>
        <v/>
      </c>
      <c r="S1704" s="525" t="str">
        <f>IF(ISERROR(FIND('112'!$M$9,G1704,1)),"",IF((AND(LEFT(G1704,2)=LEFT('112'!$M$9,2),B1704&lt;'112'!$N$8,$L1704='112'!$I$6)),"x",""))</f>
        <v/>
      </c>
      <c r="T1704" s="525" t="str">
        <f>IF(ISERROR(FIND('112'!$M$9,G1704,1)),"",IF((AND(RIGHT(G1704,2)=RIGHT('112'!$M$9,2),B1704&lt;'112'!$N$8,$M1704='112'!$I$6)),"x",""))</f>
        <v/>
      </c>
      <c r="U1704" s="525" t="str">
        <f>IF(AND(B1704&gt;='IN-NX'!$P$3,B1704&lt;='IN-NX'!$Q$3,'IN-NX'!$D$7=D1704,OR(LEFT(L1704,2)="15",AND(LEFT(M1704,2)&lt;&gt;"15",LEFT(M1704,2)&lt;&gt;"33"))),"x","")</f>
        <v/>
      </c>
      <c r="V1704" s="525" t="str">
        <f>IF(AND(OR(LEFT(TH!L1704,2)="15",LEFT(TH!M1704,2)="15"),'152-CT'!$J$8=TH!F1704),"x","")</f>
        <v/>
      </c>
      <c r="W1704" s="525" t="str">
        <f>IF(AND(OR(LEFT(TH!L1704,2)="15",LEFT(TH!M1704,2)="15"),TK!$E$7=TH!F1704),"x","")</f>
        <v/>
      </c>
      <c r="X1704" s="525" t="str">
        <f>IF(AND('341-CT'!$E$9=H1704,OR(LEFT(L1704,3)=$X$7,LEFT(M1704,3)=$X$7)),"x","")</f>
        <v/>
      </c>
      <c r="Y1704" s="525" t="str">
        <f>IF(OR(TH!L1704=TH!$Y$7,M1704=TH!$Y$7),"x","")</f>
        <v/>
      </c>
      <c r="Z1704" s="525" t="str">
        <f>IF(AND(B1704&lt;=NKC!$N$8,B1704&gt;=NKC!$M$8),"x","")</f>
        <v>x</v>
      </c>
      <c r="AA1704" s="526"/>
      <c r="AB1704" s="527"/>
      <c r="AE1704" s="527"/>
    </row>
    <row r="1705" spans="1:31" s="576" customFormat="1" ht="15.75" customHeight="1">
      <c r="A1705" s="517" t="str">
        <f>IF(B1705&lt;&gt;"",IF(AND(B1705&gt;=_TM1,B1705&lt;=_TM2,OR(TH!L1705="1111",TH!M1705="1111")),TH!D1705,""),"")</f>
        <v/>
      </c>
      <c r="B1705" s="518">
        <f t="shared" si="165"/>
        <v>1</v>
      </c>
      <c r="C1705" s="571">
        <f t="shared" si="163"/>
        <v>42753</v>
      </c>
      <c r="D1705" s="519" t="s">
        <v>997</v>
      </c>
      <c r="E1705" s="578">
        <v>42753</v>
      </c>
      <c r="F1705" s="572" t="s">
        <v>407</v>
      </c>
      <c r="G1705" s="573" t="s">
        <v>491</v>
      </c>
      <c r="H1705" s="574" t="s">
        <v>801</v>
      </c>
      <c r="I1705" s="523">
        <v>147</v>
      </c>
      <c r="J1705" s="523">
        <v>16512</v>
      </c>
      <c r="K1705" s="575">
        <f t="shared" si="164"/>
        <v>2427264</v>
      </c>
      <c r="L1705" s="591" t="s">
        <v>158</v>
      </c>
      <c r="M1705" s="591" t="s">
        <v>292</v>
      </c>
      <c r="N1705" s="525" t="str">
        <f>IF(AND('331-CT'!$E$7=TH!H1705,OR(L1705="331",M1705="331")),"331",IF(AND(OR(L1705="131",M1705="131"),H1705='131-CT'!$E$7),"131",""))</f>
        <v/>
      </c>
      <c r="O1705" s="525" t="str">
        <f>IF(AND($B1705&gt;='111'!$N$11,$B1705&lt;='111'!$O$11,OR($L1705=$O$7,$M1705=$O$7)),"x","")</f>
        <v/>
      </c>
      <c r="P1705" s="525" t="str">
        <f>IF(AND($L1705=$O$7,$B1705&lt;'111'!$N$11),"x","")</f>
        <v/>
      </c>
      <c r="Q1705" s="525" t="str">
        <f>IF(AND($M1705=$O$7,$B1705&lt;'111'!$N$11),"x","")</f>
        <v/>
      </c>
      <c r="R1705" s="525" t="str">
        <f>IF(ISERROR(FIND('112'!$M$9,G1705,1)),"",IF((AND(FIND('112'!$M$9,G1705,1)&gt;=1,$B1705&gt;='112'!$N$8,$B1705&lt;='112'!$O$8,OR($L1705='112'!$I$6,$M1705='112'!$I$6))),"x",""))</f>
        <v/>
      </c>
      <c r="S1705" s="525" t="str">
        <f>IF(ISERROR(FIND('112'!$M$9,G1705,1)),"",IF((AND(LEFT(G1705,2)=LEFT('112'!$M$9,2),B1705&lt;'112'!$N$8,$L1705='112'!$I$6)),"x",""))</f>
        <v/>
      </c>
      <c r="T1705" s="525" t="str">
        <f>IF(ISERROR(FIND('112'!$M$9,G1705,1)),"",IF((AND(RIGHT(G1705,2)=RIGHT('112'!$M$9,2),B1705&lt;'112'!$N$8,$M1705='112'!$I$6)),"x",""))</f>
        <v/>
      </c>
      <c r="U1705" s="525" t="str">
        <f>IF(AND(B1705&gt;='IN-NX'!$P$3,B1705&lt;='IN-NX'!$Q$3,'IN-NX'!$D$7=D1705,OR(LEFT(L1705,2)="15",AND(LEFT(M1705,2)&lt;&gt;"15",LEFT(M1705,2)&lt;&gt;"33"))),"x","")</f>
        <v/>
      </c>
      <c r="V1705" s="525" t="str">
        <f>IF(AND(OR(LEFT(TH!L1705,2)="15",LEFT(TH!M1705,2)="15"),'152-CT'!$J$8=TH!F1705),"x","")</f>
        <v/>
      </c>
      <c r="W1705" s="525" t="str">
        <f>IF(AND(OR(LEFT(TH!L1705,2)="15",LEFT(TH!M1705,2)="15"),TK!$E$7=TH!F1705),"x","")</f>
        <v/>
      </c>
      <c r="X1705" s="525" t="str">
        <f>IF(AND('341-CT'!$E$9=H1705,OR(LEFT(L1705,3)=$X$7,LEFT(M1705,3)=$X$7)),"x","")</f>
        <v/>
      </c>
      <c r="Y1705" s="525" t="str">
        <f>IF(OR(TH!L1705=TH!$Y$7,M1705=TH!$Y$7),"x","")</f>
        <v/>
      </c>
      <c r="Z1705" s="525" t="str">
        <f>IF(AND(B1705&lt;=NKC!$N$8,B1705&gt;=NKC!$M$8),"x","")</f>
        <v>x</v>
      </c>
      <c r="AA1705" s="526"/>
      <c r="AB1705" s="527"/>
      <c r="AE1705" s="527"/>
    </row>
    <row r="1706" spans="1:31" s="576" customFormat="1" ht="15.75" customHeight="1">
      <c r="A1706" s="517" t="str">
        <f>IF(B1706&lt;&gt;"",IF(AND(B1706&gt;=_TM1,B1706&lt;=_TM2,OR(TH!L1706="1111",TH!M1706="1111")),TH!D1706,""),"")</f>
        <v/>
      </c>
      <c r="B1706" s="518">
        <f t="shared" ref="B1706:B1713" si="166">IF(C1706&lt;&gt;"",MONTH(C1706),"")</f>
        <v>1</v>
      </c>
      <c r="C1706" s="571">
        <f t="shared" ref="C1706:C1713" si="167">E1706</f>
        <v>42753</v>
      </c>
      <c r="D1706" s="519" t="s">
        <v>997</v>
      </c>
      <c r="E1706" s="590">
        <v>42753</v>
      </c>
      <c r="F1706" s="577" t="s">
        <v>307</v>
      </c>
      <c r="G1706" s="579" t="s">
        <v>491</v>
      </c>
      <c r="H1706" s="574" t="s">
        <v>801</v>
      </c>
      <c r="I1706" s="523">
        <v>144</v>
      </c>
      <c r="J1706" s="523">
        <v>9151</v>
      </c>
      <c r="K1706" s="575">
        <f t="shared" ref="K1706:K1713" si="168">ROUND(I1706*J1706,0)</f>
        <v>1317744</v>
      </c>
      <c r="L1706" s="591" t="s">
        <v>158</v>
      </c>
      <c r="M1706" s="591" t="s">
        <v>292</v>
      </c>
      <c r="N1706" s="525" t="str">
        <f>IF(AND('331-CT'!$E$7=TH!H1706,OR(L1706="331",M1706="331")),"331",IF(AND(OR(L1706="131",M1706="131"),H1706='131-CT'!$E$7),"131",""))</f>
        <v/>
      </c>
      <c r="O1706" s="525" t="str">
        <f>IF(AND($B1706&gt;='111'!$N$11,$B1706&lt;='111'!$O$11,OR($L1706=$O$7,$M1706=$O$7)),"x","")</f>
        <v/>
      </c>
      <c r="P1706" s="525" t="str">
        <f>IF(AND($L1706=$O$7,$B1706&lt;'111'!$N$11),"x","")</f>
        <v/>
      </c>
      <c r="Q1706" s="525" t="str">
        <f>IF(AND($M1706=$O$7,$B1706&lt;'111'!$N$11),"x","")</f>
        <v/>
      </c>
      <c r="R1706" s="525" t="str">
        <f>IF(ISERROR(FIND('112'!$M$9,G1706,1)),"",IF((AND(FIND('112'!$M$9,G1706,1)&gt;=1,$B1706&gt;='112'!$N$8,$B1706&lt;='112'!$O$8,OR($L1706='112'!$I$6,$M1706='112'!$I$6))),"x",""))</f>
        <v/>
      </c>
      <c r="S1706" s="525" t="str">
        <f>IF(ISERROR(FIND('112'!$M$9,G1706,1)),"",IF((AND(LEFT(G1706,2)=LEFT('112'!$M$9,2),B1706&lt;'112'!$N$8,$L1706='112'!$I$6)),"x",""))</f>
        <v/>
      </c>
      <c r="T1706" s="525" t="str">
        <f>IF(ISERROR(FIND('112'!$M$9,G1706,1)),"",IF((AND(RIGHT(G1706,2)=RIGHT('112'!$M$9,2),B1706&lt;'112'!$N$8,$M1706='112'!$I$6)),"x",""))</f>
        <v/>
      </c>
      <c r="U1706" s="525" t="str">
        <f>IF(AND(B1706&gt;='IN-NX'!$P$3,B1706&lt;='IN-NX'!$Q$3,'IN-NX'!$D$7=D1706,OR(LEFT(L1706,2)="15",AND(LEFT(M1706,2)&lt;&gt;"15",LEFT(M1706,2)&lt;&gt;"33"))),"x","")</f>
        <v/>
      </c>
      <c r="V1706" s="525" t="str">
        <f>IF(AND(OR(LEFT(TH!L1706,2)="15",LEFT(TH!M1706,2)="15"),'152-CT'!$J$8=TH!F1706),"x","")</f>
        <v/>
      </c>
      <c r="W1706" s="525" t="str">
        <f>IF(AND(OR(LEFT(TH!L1706,2)="15",LEFT(TH!M1706,2)="15"),TK!$E$7=TH!F1706),"x","")</f>
        <v/>
      </c>
      <c r="X1706" s="525" t="str">
        <f>IF(AND('341-CT'!$E$9=H1706,OR(LEFT(L1706,3)=$X$7,LEFT(M1706,3)=$X$7)),"x","")</f>
        <v/>
      </c>
      <c r="Y1706" s="525" t="str">
        <f>IF(OR(TH!L1706=TH!$Y$7,M1706=TH!$Y$7),"x","")</f>
        <v/>
      </c>
      <c r="Z1706" s="525" t="str">
        <f>IF(AND(B1706&lt;=NKC!$N$8,B1706&gt;=NKC!$M$8),"x","")</f>
        <v>x</v>
      </c>
      <c r="AA1706" s="526"/>
      <c r="AB1706" s="527"/>
      <c r="AD1706" s="527"/>
    </row>
    <row r="1707" spans="1:31" s="576" customFormat="1" ht="15.75" customHeight="1">
      <c r="A1707" s="517" t="str">
        <f>IF(B1707&lt;&gt;"",IF(AND(B1707&gt;=_TM1,B1707&lt;=_TM2,OR(TH!L1707="1111",TH!M1707="1111")),TH!D1707,""),"")</f>
        <v/>
      </c>
      <c r="B1707" s="518">
        <f t="shared" si="166"/>
        <v>1</v>
      </c>
      <c r="C1707" s="571">
        <f t="shared" si="167"/>
        <v>42753</v>
      </c>
      <c r="D1707" s="519" t="s">
        <v>997</v>
      </c>
      <c r="E1707" s="590">
        <v>42753</v>
      </c>
      <c r="F1707" s="577" t="s">
        <v>406</v>
      </c>
      <c r="G1707" s="579" t="s">
        <v>492</v>
      </c>
      <c r="H1707" s="574" t="s">
        <v>801</v>
      </c>
      <c r="I1707" s="523">
        <v>2</v>
      </c>
      <c r="J1707" s="523">
        <v>25594</v>
      </c>
      <c r="K1707" s="575">
        <f t="shared" si="168"/>
        <v>51188</v>
      </c>
      <c r="L1707" s="591" t="s">
        <v>158</v>
      </c>
      <c r="M1707" s="591" t="s">
        <v>292</v>
      </c>
      <c r="N1707" s="525" t="str">
        <f>IF(AND('331-CT'!$E$7=TH!H1707,OR(L1707="331",M1707="331")),"331",IF(AND(OR(L1707="131",M1707="131"),H1707='131-CT'!$E$7),"131",""))</f>
        <v/>
      </c>
      <c r="O1707" s="525" t="str">
        <f>IF(AND($B1707&gt;='111'!$N$11,$B1707&lt;='111'!$O$11,OR($L1707=$O$7,$M1707=$O$7)),"x","")</f>
        <v/>
      </c>
      <c r="P1707" s="525" t="str">
        <f>IF(AND($L1707=$O$7,$B1707&lt;'111'!$N$11),"x","")</f>
        <v/>
      </c>
      <c r="Q1707" s="525" t="str">
        <f>IF(AND($M1707=$O$7,$B1707&lt;'111'!$N$11),"x","")</f>
        <v/>
      </c>
      <c r="R1707" s="525" t="str">
        <f>IF(ISERROR(FIND('112'!$M$9,G1707,1)),"",IF((AND(FIND('112'!$M$9,G1707,1)&gt;=1,$B1707&gt;='112'!$N$8,$B1707&lt;='112'!$O$8,OR($L1707='112'!$I$6,$M1707='112'!$I$6))),"x",""))</f>
        <v/>
      </c>
      <c r="S1707" s="525" t="str">
        <f>IF(ISERROR(FIND('112'!$M$9,G1707,1)),"",IF((AND(LEFT(G1707,2)=LEFT('112'!$M$9,2),B1707&lt;'112'!$N$8,$L1707='112'!$I$6)),"x",""))</f>
        <v/>
      </c>
      <c r="T1707" s="525" t="str">
        <f>IF(ISERROR(FIND('112'!$M$9,G1707,1)),"",IF((AND(RIGHT(G1707,2)=RIGHT('112'!$M$9,2),B1707&lt;'112'!$N$8,$M1707='112'!$I$6)),"x",""))</f>
        <v/>
      </c>
      <c r="U1707" s="525" t="str">
        <f>IF(AND(B1707&gt;='IN-NX'!$P$3,B1707&lt;='IN-NX'!$Q$3,'IN-NX'!$D$7=D1707,OR(LEFT(L1707,2)="15",AND(LEFT(M1707,2)&lt;&gt;"15",LEFT(M1707,2)&lt;&gt;"33"))),"x","")</f>
        <v/>
      </c>
      <c r="V1707" s="525" t="str">
        <f>IF(AND(OR(LEFT(TH!L1707,2)="15",LEFT(TH!M1707,2)="15"),'152-CT'!$J$8=TH!F1707),"x","")</f>
        <v/>
      </c>
      <c r="W1707" s="525" t="str">
        <f>IF(AND(OR(LEFT(TH!L1707,2)="15",LEFT(TH!M1707,2)="15"),TK!$E$7=TH!F1707),"x","")</f>
        <v/>
      </c>
      <c r="X1707" s="525" t="str">
        <f>IF(AND('341-CT'!$E$9=H1707,OR(LEFT(L1707,3)=$X$7,LEFT(M1707,3)=$X$7)),"x","")</f>
        <v/>
      </c>
      <c r="Y1707" s="525" t="str">
        <f>IF(OR(TH!L1707=TH!$Y$7,M1707=TH!$Y$7),"x","")</f>
        <v/>
      </c>
      <c r="Z1707" s="525" t="str">
        <f>IF(AND(B1707&lt;=NKC!$N$8,B1707&gt;=NKC!$M$8),"x","")</f>
        <v>x</v>
      </c>
      <c r="AA1707" s="526"/>
      <c r="AB1707" s="527"/>
      <c r="AD1707" s="527"/>
    </row>
    <row r="1708" spans="1:31" s="576" customFormat="1" ht="15.75" customHeight="1">
      <c r="A1708" s="517" t="str">
        <f>IF(B1708&lt;&gt;"",IF(AND(B1708&gt;=_TM1,B1708&lt;=_TM2,OR(TH!L1708="1111",TH!M1708="1111")),TH!D1708,""),"")</f>
        <v/>
      </c>
      <c r="B1708" s="518">
        <f t="shared" si="166"/>
        <v>1</v>
      </c>
      <c r="C1708" s="571">
        <f t="shared" si="167"/>
        <v>42756</v>
      </c>
      <c r="D1708" s="519" t="s">
        <v>997</v>
      </c>
      <c r="E1708" s="590">
        <v>42756</v>
      </c>
      <c r="F1708" s="577" t="s">
        <v>406</v>
      </c>
      <c r="G1708" s="579" t="s">
        <v>508</v>
      </c>
      <c r="H1708" s="574" t="s">
        <v>801</v>
      </c>
      <c r="I1708" s="523">
        <v>1</v>
      </c>
      <c r="J1708" s="523">
        <v>25594</v>
      </c>
      <c r="K1708" s="575">
        <f t="shared" si="168"/>
        <v>25594</v>
      </c>
      <c r="L1708" s="591" t="s">
        <v>158</v>
      </c>
      <c r="M1708" s="591" t="s">
        <v>292</v>
      </c>
      <c r="N1708" s="525" t="str">
        <f>IF(AND('331-CT'!$E$7=TH!H1708,OR(L1708="331",M1708="331")),"331",IF(AND(OR(L1708="131",M1708="131"),H1708='131-CT'!$E$7),"131",""))</f>
        <v/>
      </c>
      <c r="O1708" s="525" t="str">
        <f>IF(AND($B1708&gt;='111'!$N$11,$B1708&lt;='111'!$O$11,OR($L1708=$O$7,$M1708=$O$7)),"x","")</f>
        <v/>
      </c>
      <c r="P1708" s="525" t="str">
        <f>IF(AND($L1708=$O$7,$B1708&lt;'111'!$N$11),"x","")</f>
        <v/>
      </c>
      <c r="Q1708" s="525" t="str">
        <f>IF(AND($M1708=$O$7,$B1708&lt;'111'!$N$11),"x","")</f>
        <v/>
      </c>
      <c r="R1708" s="525" t="str">
        <f>IF(ISERROR(FIND('112'!$M$9,G1708,1)),"",IF((AND(FIND('112'!$M$9,G1708,1)&gt;=1,$B1708&gt;='112'!$N$8,$B1708&lt;='112'!$O$8,OR($L1708='112'!$I$6,$M1708='112'!$I$6))),"x",""))</f>
        <v/>
      </c>
      <c r="S1708" s="525" t="str">
        <f>IF(ISERROR(FIND('112'!$M$9,G1708,1)),"",IF((AND(LEFT(G1708,2)=LEFT('112'!$M$9,2),B1708&lt;'112'!$N$8,$L1708='112'!$I$6)),"x",""))</f>
        <v/>
      </c>
      <c r="T1708" s="525" t="str">
        <f>IF(ISERROR(FIND('112'!$M$9,G1708,1)),"",IF((AND(RIGHT(G1708,2)=RIGHT('112'!$M$9,2),B1708&lt;'112'!$N$8,$M1708='112'!$I$6)),"x",""))</f>
        <v/>
      </c>
      <c r="U1708" s="525" t="str">
        <f>IF(AND(B1708&gt;='IN-NX'!$P$3,B1708&lt;='IN-NX'!$Q$3,'IN-NX'!$D$7=D1708,OR(LEFT(L1708,2)="15",AND(LEFT(M1708,2)&lt;&gt;"15",LEFT(M1708,2)&lt;&gt;"33"))),"x","")</f>
        <v/>
      </c>
      <c r="V1708" s="525" t="str">
        <f>IF(AND(OR(LEFT(TH!L1708,2)="15",LEFT(TH!M1708,2)="15"),'152-CT'!$J$8=TH!F1708),"x","")</f>
        <v/>
      </c>
      <c r="W1708" s="525" t="str">
        <f>IF(AND(OR(LEFT(TH!L1708,2)="15",LEFT(TH!M1708,2)="15"),TK!$E$7=TH!F1708),"x","")</f>
        <v/>
      </c>
      <c r="X1708" s="525" t="str">
        <f>IF(AND('341-CT'!$E$9=H1708,OR(LEFT(L1708,3)=$X$7,LEFT(M1708,3)=$X$7)),"x","")</f>
        <v/>
      </c>
      <c r="Y1708" s="525" t="str">
        <f>IF(OR(TH!L1708=TH!$Y$7,M1708=TH!$Y$7),"x","")</f>
        <v/>
      </c>
      <c r="Z1708" s="525" t="str">
        <f>IF(AND(B1708&lt;=NKC!$N$8,B1708&gt;=NKC!$M$8),"x","")</f>
        <v>x</v>
      </c>
      <c r="AA1708" s="526"/>
      <c r="AB1708" s="527"/>
      <c r="AD1708" s="527"/>
    </row>
    <row r="1709" spans="1:31" s="576" customFormat="1" ht="15.75" customHeight="1">
      <c r="A1709" s="517" t="str">
        <f>IF(B1709&lt;&gt;"",IF(AND(B1709&gt;=_TM1,B1709&lt;=_TM2,OR(TH!L1709="1111",TH!M1709="1111")),TH!D1709,""),"")</f>
        <v/>
      </c>
      <c r="B1709" s="518">
        <f t="shared" si="166"/>
        <v>1</v>
      </c>
      <c r="C1709" s="571">
        <f t="shared" si="167"/>
        <v>42756</v>
      </c>
      <c r="D1709" s="519" t="s">
        <v>997</v>
      </c>
      <c r="E1709" s="578">
        <v>42756</v>
      </c>
      <c r="F1709" s="572" t="s">
        <v>406</v>
      </c>
      <c r="G1709" s="573" t="s">
        <v>510</v>
      </c>
      <c r="H1709" s="574" t="s">
        <v>801</v>
      </c>
      <c r="I1709" s="523">
        <v>15</v>
      </c>
      <c r="J1709" s="523">
        <v>25594</v>
      </c>
      <c r="K1709" s="575">
        <f t="shared" si="168"/>
        <v>383910</v>
      </c>
      <c r="L1709" s="591" t="s">
        <v>158</v>
      </c>
      <c r="M1709" s="591" t="s">
        <v>292</v>
      </c>
      <c r="N1709" s="525" t="str">
        <f>IF(AND('331-CT'!$E$7=TH!H1709,OR(L1709="331",M1709="331")),"331",IF(AND(OR(L1709="131",M1709="131"),H1709='131-CT'!$E$7),"131",""))</f>
        <v/>
      </c>
      <c r="O1709" s="525" t="str">
        <f>IF(AND($B1709&gt;='111'!$N$11,$B1709&lt;='111'!$O$11,OR($L1709=$O$7,$M1709=$O$7)),"x","")</f>
        <v/>
      </c>
      <c r="P1709" s="525" t="str">
        <f>IF(AND($L1709=$O$7,$B1709&lt;'111'!$N$11),"x","")</f>
        <v/>
      </c>
      <c r="Q1709" s="525" t="str">
        <f>IF(AND($M1709=$O$7,$B1709&lt;'111'!$N$11),"x","")</f>
        <v/>
      </c>
      <c r="R1709" s="525" t="str">
        <f>IF(ISERROR(FIND('112'!$M$9,G1709,1)),"",IF((AND(FIND('112'!$M$9,G1709,1)&gt;=1,$B1709&gt;='112'!$N$8,$B1709&lt;='112'!$O$8,OR($L1709='112'!$I$6,$M1709='112'!$I$6))),"x",""))</f>
        <v/>
      </c>
      <c r="S1709" s="525" t="str">
        <f>IF(ISERROR(FIND('112'!$M$9,G1709,1)),"",IF((AND(LEFT(G1709,2)=LEFT('112'!$M$9,2),B1709&lt;'112'!$N$8,$L1709='112'!$I$6)),"x",""))</f>
        <v/>
      </c>
      <c r="T1709" s="525" t="str">
        <f>IF(ISERROR(FIND('112'!$M$9,G1709,1)),"",IF((AND(RIGHT(G1709,2)=RIGHT('112'!$M$9,2),B1709&lt;'112'!$N$8,$M1709='112'!$I$6)),"x",""))</f>
        <v/>
      </c>
      <c r="U1709" s="525" t="str">
        <f>IF(AND(B1709&gt;='IN-NX'!$P$3,B1709&lt;='IN-NX'!$Q$3,'IN-NX'!$D$7=D1709,OR(LEFT(L1709,2)="15",AND(LEFT(M1709,2)&lt;&gt;"15",LEFT(M1709,2)&lt;&gt;"33"))),"x","")</f>
        <v/>
      </c>
      <c r="V1709" s="525" t="str">
        <f>IF(AND(OR(LEFT(TH!L1709,2)="15",LEFT(TH!M1709,2)="15"),'152-CT'!$J$8=TH!F1709),"x","")</f>
        <v/>
      </c>
      <c r="W1709" s="525" t="str">
        <f>IF(AND(OR(LEFT(TH!L1709,2)="15",LEFT(TH!M1709,2)="15"),TK!$E$7=TH!F1709),"x","")</f>
        <v/>
      </c>
      <c r="X1709" s="525" t="str">
        <f>IF(AND('341-CT'!$E$9=H1709,OR(LEFT(L1709,3)=$X$7,LEFT(M1709,3)=$X$7)),"x","")</f>
        <v/>
      </c>
      <c r="Y1709" s="525" t="str">
        <f>IF(OR(TH!L1709=TH!$Y$7,M1709=TH!$Y$7),"x","")</f>
        <v/>
      </c>
      <c r="Z1709" s="525" t="str">
        <f>IF(AND(B1709&lt;=NKC!$N$8,B1709&gt;=NKC!$M$8),"x","")</f>
        <v>x</v>
      </c>
      <c r="AA1709" s="526"/>
      <c r="AB1709" s="527"/>
      <c r="AE1709" s="527"/>
    </row>
    <row r="1710" spans="1:31" s="689" customFormat="1" ht="15.75" customHeight="1">
      <c r="A1710" s="517" t="str">
        <f>IF(B1710&lt;&gt;"",IF(AND(B1710&gt;=_TM1,B1710&lt;=_TM2,OR(TH!L1710="1111",TH!M1710="1111")),TH!D1710,""),"")</f>
        <v/>
      </c>
      <c r="B1710" s="685">
        <f t="shared" si="166"/>
        <v>1</v>
      </c>
      <c r="C1710" s="671">
        <f t="shared" si="167"/>
        <v>42739</v>
      </c>
      <c r="D1710" s="671" t="s">
        <v>376</v>
      </c>
      <c r="E1710" s="672">
        <v>42739</v>
      </c>
      <c r="F1710" s="673" t="s">
        <v>493</v>
      </c>
      <c r="G1710" s="686" t="s">
        <v>478</v>
      </c>
      <c r="H1710" s="675" t="s">
        <v>893</v>
      </c>
      <c r="I1710" s="676">
        <v>3980</v>
      </c>
      <c r="J1710" s="676">
        <v>9621.3122137393239</v>
      </c>
      <c r="K1710" s="677">
        <f t="shared" si="168"/>
        <v>38292823</v>
      </c>
      <c r="L1710" s="678" t="s">
        <v>292</v>
      </c>
      <c r="M1710" s="678" t="s">
        <v>158</v>
      </c>
      <c r="N1710" s="525" t="str">
        <f>IF(AND('331-CT'!$E$7=TH!H1710,OR(L1710="331",M1710="331")),"331",IF(AND(OR(L1710="131",M1710="131"),H1710='131-CT'!$E$7),"131",""))</f>
        <v/>
      </c>
      <c r="O1710" s="525" t="str">
        <f>IF(AND($B1710&gt;='111'!$N$11,$B1710&lt;='111'!$O$11,OR($L1710=$O$7,$M1710=$O$7)),"x","")</f>
        <v/>
      </c>
      <c r="P1710" s="525" t="str">
        <f>IF(AND($L1710=$O$7,$B1710&lt;'111'!$N$11),"x","")</f>
        <v/>
      </c>
      <c r="Q1710" s="525" t="str">
        <f>IF(AND($M1710=$O$7,$B1710&lt;'111'!$N$11),"x","")</f>
        <v/>
      </c>
      <c r="R1710" s="525" t="str">
        <f>IF(ISERROR(FIND('112'!$M$9,G1710,1)),"",IF((AND(FIND('112'!$M$9,G1710,1)&gt;=1,$B1710&gt;='112'!$N$8,$B1710&lt;='112'!$O$8,OR($L1710='112'!$I$6,$M1710='112'!$I$6))),"x",""))</f>
        <v/>
      </c>
      <c r="S1710" s="525" t="str">
        <f>IF(ISERROR(FIND('112'!$M$9,G1710,1)),"",IF((AND(LEFT(G1710,2)=LEFT('112'!$M$9,2),B1710&lt;'112'!$N$8,$L1710='112'!$I$6)),"x",""))</f>
        <v/>
      </c>
      <c r="T1710" s="525" t="str">
        <f>IF(ISERROR(FIND('112'!$M$9,G1710,1)),"",IF((AND(RIGHT(G1710,2)=RIGHT('112'!$M$9,2),B1710&lt;'112'!$N$8,$M1710='112'!$I$6)),"x",""))</f>
        <v/>
      </c>
      <c r="U1710" s="525" t="str">
        <f>IF(AND(B1710&gt;='IN-NX'!$P$3,B1710&lt;='IN-NX'!$Q$3,'IN-NX'!$D$7=D1710,OR(LEFT(L1710,2)="15",AND(LEFT(M1710,2)&lt;&gt;"15",LEFT(M1710,2)&lt;&gt;"33"))),"x","")</f>
        <v/>
      </c>
      <c r="V1710" s="525" t="str">
        <f>IF(AND(OR(LEFT(TH!L1710,2)="15",LEFT(TH!M1710,2)="15"),'152-CT'!$J$8=TH!F1710),"x","")</f>
        <v/>
      </c>
      <c r="W1710" s="525" t="str">
        <f>IF(AND(OR(LEFT(TH!L1710,2)="15",LEFT(TH!M1710,2)="15"),TK!$E$7=TH!F1710),"x","")</f>
        <v/>
      </c>
      <c r="X1710" s="525" t="str">
        <f>IF(AND('341-CT'!$E$9=H1710,OR(LEFT(L1710,3)=$X$7,LEFT(M1710,3)=$X$7)),"x","")</f>
        <v/>
      </c>
      <c r="Y1710" s="525" t="str">
        <f>IF(OR(TH!L1710=TH!$Y$7,M1710=TH!$Y$7),"x","")</f>
        <v/>
      </c>
      <c r="Z1710" s="525" t="str">
        <f>IF(AND(B1710&lt;=NKC!$N$8,B1710&gt;=NKC!$M$8),"x","")</f>
        <v>x</v>
      </c>
      <c r="AA1710" s="687"/>
      <c r="AB1710" s="688"/>
      <c r="AC1710" s="503"/>
      <c r="AE1710" s="688"/>
    </row>
    <row r="1711" spans="1:31" s="689" customFormat="1" ht="15.75" customHeight="1">
      <c r="A1711" s="517" t="str">
        <f>IF(B1711&lt;&gt;"",IF(AND(B1711&gt;=_TM1,B1711&lt;=_TM2,OR(TH!L1711="1111",TH!M1711="1111")),TH!D1711,""),"")</f>
        <v/>
      </c>
      <c r="B1711" s="685">
        <f t="shared" si="166"/>
        <v>1</v>
      </c>
      <c r="C1711" s="671">
        <f t="shared" si="167"/>
        <v>42741</v>
      </c>
      <c r="D1711" s="671" t="s">
        <v>376</v>
      </c>
      <c r="E1711" s="672">
        <v>42741</v>
      </c>
      <c r="F1711" s="673" t="s">
        <v>495</v>
      </c>
      <c r="G1711" s="686" t="s">
        <v>479</v>
      </c>
      <c r="H1711" s="675" t="s">
        <v>893</v>
      </c>
      <c r="I1711" s="676">
        <v>20</v>
      </c>
      <c r="J1711" s="676">
        <v>26067.044877055909</v>
      </c>
      <c r="K1711" s="677">
        <f t="shared" si="168"/>
        <v>521341</v>
      </c>
      <c r="L1711" s="678" t="s">
        <v>292</v>
      </c>
      <c r="M1711" s="678" t="s">
        <v>158</v>
      </c>
      <c r="N1711" s="525" t="str">
        <f>IF(AND('331-CT'!$E$7=TH!H1711,OR(L1711="331",M1711="331")),"331",IF(AND(OR(L1711="131",M1711="131"),H1711='131-CT'!$E$7),"131",""))</f>
        <v/>
      </c>
      <c r="O1711" s="525" t="str">
        <f>IF(AND($B1711&gt;='111'!$N$11,$B1711&lt;='111'!$O$11,OR($L1711=$O$7,$M1711=$O$7)),"x","")</f>
        <v/>
      </c>
      <c r="P1711" s="525" t="str">
        <f>IF(AND($L1711=$O$7,$B1711&lt;'111'!$N$11),"x","")</f>
        <v/>
      </c>
      <c r="Q1711" s="525" t="str">
        <f>IF(AND($M1711=$O$7,$B1711&lt;'111'!$N$11),"x","")</f>
        <v/>
      </c>
      <c r="R1711" s="525" t="str">
        <f>IF(ISERROR(FIND('112'!$M$9,G1711,1)),"",IF((AND(FIND('112'!$M$9,G1711,1)&gt;=1,$B1711&gt;='112'!$N$8,$B1711&lt;='112'!$O$8,OR($L1711='112'!$I$6,$M1711='112'!$I$6))),"x",""))</f>
        <v/>
      </c>
      <c r="S1711" s="525" t="str">
        <f>IF(ISERROR(FIND('112'!$M$9,G1711,1)),"",IF((AND(LEFT(G1711,2)=LEFT('112'!$M$9,2),B1711&lt;'112'!$N$8,$L1711='112'!$I$6)),"x",""))</f>
        <v/>
      </c>
      <c r="T1711" s="525" t="str">
        <f>IF(ISERROR(FIND('112'!$M$9,G1711,1)),"",IF((AND(RIGHT(G1711,2)=RIGHT('112'!$M$9,2),B1711&lt;'112'!$N$8,$M1711='112'!$I$6)),"x",""))</f>
        <v/>
      </c>
      <c r="U1711" s="525" t="str">
        <f>IF(AND(B1711&gt;='IN-NX'!$P$3,B1711&lt;='IN-NX'!$Q$3,'IN-NX'!$D$7=D1711,OR(LEFT(L1711,2)="15",AND(LEFT(M1711,2)&lt;&gt;"15",LEFT(M1711,2)&lt;&gt;"33"))),"x","")</f>
        <v/>
      </c>
      <c r="V1711" s="525" t="str">
        <f>IF(AND(OR(LEFT(TH!L1711,2)="15",LEFT(TH!M1711,2)="15"),'152-CT'!$J$8=TH!F1711),"x","")</f>
        <v/>
      </c>
      <c r="W1711" s="525" t="str">
        <f>IF(AND(OR(LEFT(TH!L1711,2)="15",LEFT(TH!M1711,2)="15"),TK!$E$7=TH!F1711),"x","")</f>
        <v/>
      </c>
      <c r="X1711" s="525" t="str">
        <f>IF(AND('341-CT'!$E$9=H1711,OR(LEFT(L1711,3)=$X$7,LEFT(M1711,3)=$X$7)),"x","")</f>
        <v/>
      </c>
      <c r="Y1711" s="525" t="str">
        <f>IF(OR(TH!L1711=TH!$Y$7,M1711=TH!$Y$7),"x","")</f>
        <v/>
      </c>
      <c r="Z1711" s="525" t="str">
        <f>IF(AND(B1711&lt;=NKC!$N$8,B1711&gt;=NKC!$M$8),"x","")</f>
        <v>x</v>
      </c>
      <c r="AA1711" s="687"/>
      <c r="AB1711" s="688"/>
      <c r="AC1711" s="503"/>
      <c r="AE1711" s="688"/>
    </row>
    <row r="1712" spans="1:31" s="689" customFormat="1" ht="15.75" customHeight="1">
      <c r="A1712" s="517" t="str">
        <f>IF(B1712&lt;&gt;"",IF(AND(B1712&gt;=_TM1,B1712&lt;=_TM2,OR(TH!L1712="1111",TH!M1712="1111")),TH!D1712,""),"")</f>
        <v/>
      </c>
      <c r="B1712" s="685">
        <f t="shared" si="166"/>
        <v>1</v>
      </c>
      <c r="C1712" s="671">
        <f t="shared" si="167"/>
        <v>42741</v>
      </c>
      <c r="D1712" s="671" t="s">
        <v>376</v>
      </c>
      <c r="E1712" s="672">
        <v>42741</v>
      </c>
      <c r="F1712" s="673" t="s">
        <v>496</v>
      </c>
      <c r="G1712" s="686" t="s">
        <v>479</v>
      </c>
      <c r="H1712" s="675" t="s">
        <v>893</v>
      </c>
      <c r="I1712" s="676">
        <v>20</v>
      </c>
      <c r="J1712" s="676">
        <v>3032.4448770559075</v>
      </c>
      <c r="K1712" s="677">
        <f t="shared" si="168"/>
        <v>60649</v>
      </c>
      <c r="L1712" s="678" t="s">
        <v>292</v>
      </c>
      <c r="M1712" s="678" t="s">
        <v>158</v>
      </c>
      <c r="N1712" s="525" t="str">
        <f>IF(AND('331-CT'!$E$7=TH!H1712,OR(L1712="331",M1712="331")),"331",IF(AND(OR(L1712="131",M1712="131"),H1712='131-CT'!$E$7),"131",""))</f>
        <v/>
      </c>
      <c r="O1712" s="525" t="str">
        <f>IF(AND($B1712&gt;='111'!$N$11,$B1712&lt;='111'!$O$11,OR($L1712=$O$7,$M1712=$O$7)),"x","")</f>
        <v/>
      </c>
      <c r="P1712" s="525" t="str">
        <f>IF(AND($L1712=$O$7,$B1712&lt;'111'!$N$11),"x","")</f>
        <v/>
      </c>
      <c r="Q1712" s="525" t="str">
        <f>IF(AND($M1712=$O$7,$B1712&lt;'111'!$N$11),"x","")</f>
        <v/>
      </c>
      <c r="R1712" s="525" t="str">
        <f>IF(ISERROR(FIND('112'!$M$9,G1712,1)),"",IF((AND(FIND('112'!$M$9,G1712,1)&gt;=1,$B1712&gt;='112'!$N$8,$B1712&lt;='112'!$O$8,OR($L1712='112'!$I$6,$M1712='112'!$I$6))),"x",""))</f>
        <v/>
      </c>
      <c r="S1712" s="525" t="str">
        <f>IF(ISERROR(FIND('112'!$M$9,G1712,1)),"",IF((AND(LEFT(G1712,2)=LEFT('112'!$M$9,2),B1712&lt;'112'!$N$8,$L1712='112'!$I$6)),"x",""))</f>
        <v/>
      </c>
      <c r="T1712" s="525" t="str">
        <f>IF(ISERROR(FIND('112'!$M$9,G1712,1)),"",IF((AND(RIGHT(G1712,2)=RIGHT('112'!$M$9,2),B1712&lt;'112'!$N$8,$M1712='112'!$I$6)),"x",""))</f>
        <v/>
      </c>
      <c r="U1712" s="525" t="str">
        <f>IF(AND(B1712&gt;='IN-NX'!$P$3,B1712&lt;='IN-NX'!$Q$3,'IN-NX'!$D$7=D1712,OR(LEFT(L1712,2)="15",AND(LEFT(M1712,2)&lt;&gt;"15",LEFT(M1712,2)&lt;&gt;"33"))),"x","")</f>
        <v/>
      </c>
      <c r="V1712" s="525" t="str">
        <f>IF(AND(OR(LEFT(TH!L1712,2)="15",LEFT(TH!M1712,2)="15"),'152-CT'!$J$8=TH!F1712),"x","")</f>
        <v/>
      </c>
      <c r="W1712" s="525" t="str">
        <f>IF(AND(OR(LEFT(TH!L1712,2)="15",LEFT(TH!M1712,2)="15"),TK!$E$7=TH!F1712),"x","")</f>
        <v/>
      </c>
      <c r="X1712" s="525" t="str">
        <f>IF(AND('341-CT'!$E$9=H1712,OR(LEFT(L1712,3)=$X$7,LEFT(M1712,3)=$X$7)),"x","")</f>
        <v/>
      </c>
      <c r="Y1712" s="525" t="str">
        <f>IF(OR(TH!L1712=TH!$Y$7,M1712=TH!$Y$7),"x","")</f>
        <v/>
      </c>
      <c r="Z1712" s="525" t="str">
        <f>IF(AND(B1712&lt;=NKC!$N$8,B1712&gt;=NKC!$M$8),"x","")</f>
        <v>x</v>
      </c>
      <c r="AA1712" s="687"/>
      <c r="AB1712" s="688"/>
      <c r="AC1712" s="503"/>
      <c r="AE1712" s="688"/>
    </row>
    <row r="1713" spans="1:31" s="689" customFormat="1" ht="15.75" customHeight="1">
      <c r="A1713" s="517" t="str">
        <f>IF(B1713&lt;&gt;"",IF(AND(B1713&gt;=_TM1,B1713&lt;=_TM2,OR(TH!L1713="1111",TH!M1713="1111")),TH!D1713,""),"")</f>
        <v/>
      </c>
      <c r="B1713" s="685">
        <f t="shared" si="166"/>
        <v>1</v>
      </c>
      <c r="C1713" s="671">
        <f t="shared" si="167"/>
        <v>42745</v>
      </c>
      <c r="D1713" s="671" t="s">
        <v>376</v>
      </c>
      <c r="E1713" s="672">
        <v>42745</v>
      </c>
      <c r="F1713" s="673" t="s">
        <v>500</v>
      </c>
      <c r="G1713" s="686" t="s">
        <v>483</v>
      </c>
      <c r="H1713" s="675" t="s">
        <v>893</v>
      </c>
      <c r="I1713" s="676">
        <v>300</v>
      </c>
      <c r="J1713" s="676">
        <v>8432.6715437225757</v>
      </c>
      <c r="K1713" s="677">
        <f t="shared" si="168"/>
        <v>2529801</v>
      </c>
      <c r="L1713" s="678" t="s">
        <v>292</v>
      </c>
      <c r="M1713" s="678" t="s">
        <v>158</v>
      </c>
      <c r="N1713" s="525" t="str">
        <f>IF(AND('331-CT'!$E$7=TH!H1713,OR(L1713="331",M1713="331")),"331",IF(AND(OR(L1713="131",M1713="131"),H1713='131-CT'!$E$7),"131",""))</f>
        <v/>
      </c>
      <c r="O1713" s="525" t="str">
        <f>IF(AND($B1713&gt;='111'!$N$11,$B1713&lt;='111'!$O$11,OR($L1713=$O$7,$M1713=$O$7)),"x","")</f>
        <v/>
      </c>
      <c r="P1713" s="525" t="str">
        <f>IF(AND($L1713=$O$7,$B1713&lt;'111'!$N$11),"x","")</f>
        <v/>
      </c>
      <c r="Q1713" s="525" t="str">
        <f>IF(AND($M1713=$O$7,$B1713&lt;'111'!$N$11),"x","")</f>
        <v/>
      </c>
      <c r="R1713" s="525" t="str">
        <f>IF(ISERROR(FIND('112'!$M$9,G1713,1)),"",IF((AND(FIND('112'!$M$9,G1713,1)&gt;=1,$B1713&gt;='112'!$N$8,$B1713&lt;='112'!$O$8,OR($L1713='112'!$I$6,$M1713='112'!$I$6))),"x",""))</f>
        <v/>
      </c>
      <c r="S1713" s="525" t="str">
        <f>IF(ISERROR(FIND('112'!$M$9,G1713,1)),"",IF((AND(LEFT(G1713,2)=LEFT('112'!$M$9,2),B1713&lt;'112'!$N$8,$L1713='112'!$I$6)),"x",""))</f>
        <v/>
      </c>
      <c r="T1713" s="525" t="str">
        <f>IF(ISERROR(FIND('112'!$M$9,G1713,1)),"",IF((AND(RIGHT(G1713,2)=RIGHT('112'!$M$9,2),B1713&lt;'112'!$N$8,$M1713='112'!$I$6)),"x",""))</f>
        <v/>
      </c>
      <c r="U1713" s="525" t="str">
        <f>IF(AND(B1713&gt;='IN-NX'!$P$3,B1713&lt;='IN-NX'!$Q$3,'IN-NX'!$D$7=D1713,OR(LEFT(L1713,2)="15",AND(LEFT(M1713,2)&lt;&gt;"15",LEFT(M1713,2)&lt;&gt;"33"))),"x","")</f>
        <v/>
      </c>
      <c r="V1713" s="525" t="str">
        <f>IF(AND(OR(LEFT(TH!L1713,2)="15",LEFT(TH!M1713,2)="15"),'152-CT'!$J$8=TH!F1713),"x","")</f>
        <v/>
      </c>
      <c r="W1713" s="525" t="str">
        <f>IF(AND(OR(LEFT(TH!L1713,2)="15",LEFT(TH!M1713,2)="15"),TK!$E$7=TH!F1713),"x","")</f>
        <v/>
      </c>
      <c r="X1713" s="525" t="str">
        <f>IF(AND('341-CT'!$E$9=H1713,OR(LEFT(L1713,3)=$X$7,LEFT(M1713,3)=$X$7)),"x","")</f>
        <v/>
      </c>
      <c r="Y1713" s="525" t="str">
        <f>IF(OR(TH!L1713=TH!$Y$7,M1713=TH!$Y$7),"x","")</f>
        <v/>
      </c>
      <c r="Z1713" s="525" t="str">
        <f>IF(AND(B1713&lt;=NKC!$N$8,B1713&gt;=NKC!$M$8),"x","")</f>
        <v>x</v>
      </c>
      <c r="AA1713" s="687"/>
      <c r="AB1713" s="688"/>
      <c r="AC1713" s="503"/>
      <c r="AE1713" s="688"/>
    </row>
    <row r="1714" spans="1:31" s="689" customFormat="1" ht="15.75" customHeight="1">
      <c r="A1714" s="517" t="str">
        <f>IF(B1714&lt;&gt;"",IF(AND(B1714&gt;=_TM1,B1714&lt;=_TM2,OR(TH!L1714="1111",TH!M1714="1111")),TH!D1714,""),"")</f>
        <v/>
      </c>
      <c r="B1714" s="685">
        <f>IF(C1714&lt;&gt;"",MONTH(C1714),"")</f>
        <v>1</v>
      </c>
      <c r="C1714" s="671">
        <f>E1714</f>
        <v>42755</v>
      </c>
      <c r="D1714" s="671" t="s">
        <v>376</v>
      </c>
      <c r="E1714" s="672">
        <v>42755</v>
      </c>
      <c r="F1714" s="673" t="s">
        <v>504</v>
      </c>
      <c r="G1714" s="686" t="s">
        <v>491</v>
      </c>
      <c r="H1714" s="675" t="s">
        <v>893</v>
      </c>
      <c r="I1714" s="676">
        <v>1700</v>
      </c>
      <c r="J1714" s="676">
        <v>35150.847229997089</v>
      </c>
      <c r="K1714" s="677">
        <f>ROUND(I1714*J1714,0)</f>
        <v>59756440</v>
      </c>
      <c r="L1714" s="678" t="s">
        <v>292</v>
      </c>
      <c r="M1714" s="678" t="s">
        <v>158</v>
      </c>
      <c r="N1714" s="525" t="str">
        <f>IF(AND('331-CT'!$E$7=TH!H1714,OR(L1714="331",M1714="331")),"331",IF(AND(OR(L1714="131",M1714="131"),H1714='131-CT'!$E$7),"131",""))</f>
        <v/>
      </c>
      <c r="O1714" s="525" t="str">
        <f>IF(AND($B1714&gt;='111'!$N$11,$B1714&lt;='111'!$O$11,OR($L1714=$O$7,$M1714=$O$7)),"x","")</f>
        <v/>
      </c>
      <c r="P1714" s="525" t="str">
        <f>IF(AND($L1714=$O$7,$B1714&lt;'111'!$N$11),"x","")</f>
        <v/>
      </c>
      <c r="Q1714" s="525" t="str">
        <f>IF(AND($M1714=$O$7,$B1714&lt;'111'!$N$11),"x","")</f>
        <v/>
      </c>
      <c r="R1714" s="525" t="str">
        <f>IF(ISERROR(FIND('112'!$M$9,G1714,1)),"",IF((AND(FIND('112'!$M$9,G1714,1)&gt;=1,$B1714&gt;='112'!$N$8,$B1714&lt;='112'!$O$8,OR($L1714='112'!$I$6,$M1714='112'!$I$6))),"x",""))</f>
        <v/>
      </c>
      <c r="S1714" s="525" t="str">
        <f>IF(ISERROR(FIND('112'!$M$9,G1714,1)),"",IF((AND(LEFT(G1714,2)=LEFT('112'!$M$9,2),B1714&lt;'112'!$N$8,$L1714='112'!$I$6)),"x",""))</f>
        <v/>
      </c>
      <c r="T1714" s="525" t="str">
        <f>IF(ISERROR(FIND('112'!$M$9,G1714,1)),"",IF((AND(RIGHT(G1714,2)=RIGHT('112'!$M$9,2),B1714&lt;'112'!$N$8,$M1714='112'!$I$6)),"x",""))</f>
        <v/>
      </c>
      <c r="U1714" s="525" t="str">
        <f>IF(AND(B1714&gt;='IN-NX'!$P$3,B1714&lt;='IN-NX'!$Q$3,'IN-NX'!$D$7=D1714,OR(LEFT(L1714,2)="15",AND(LEFT(M1714,2)&lt;&gt;"15",LEFT(M1714,2)&lt;&gt;"33"))),"x","")</f>
        <v/>
      </c>
      <c r="V1714" s="525" t="str">
        <f>IF(AND(OR(LEFT(TH!L1714,2)="15",LEFT(TH!M1714,2)="15"),'152-CT'!$J$8=TH!F1714),"x","")</f>
        <v/>
      </c>
      <c r="W1714" s="525" t="str">
        <f>IF(AND(OR(LEFT(TH!L1714,2)="15",LEFT(TH!M1714,2)="15"),TK!$E$7=TH!F1714),"x","")</f>
        <v/>
      </c>
      <c r="X1714" s="525" t="str">
        <f>IF(AND('341-CT'!$E$9=H1714,OR(LEFT(L1714,3)=$X$7,LEFT(M1714,3)=$X$7)),"x","")</f>
        <v/>
      </c>
      <c r="Y1714" s="525" t="str">
        <f>IF(OR(TH!L1714=TH!$Y$7,M1714=TH!$Y$7),"x","")</f>
        <v/>
      </c>
      <c r="Z1714" s="525" t="str">
        <f>IF(AND(B1714&lt;=NKC!$N$8,B1714&gt;=NKC!$M$8),"x","")</f>
        <v>x</v>
      </c>
      <c r="AA1714" s="687"/>
      <c r="AB1714" s="688"/>
      <c r="AC1714" s="503"/>
      <c r="AE1714" s="688"/>
    </row>
    <row r="1715" spans="1:31" s="689" customFormat="1" ht="15.75" customHeight="1">
      <c r="A1715" s="517" t="str">
        <f>IF(B1715&lt;&gt;"",IF(AND(B1715&gt;=_TM1,B1715&lt;=_TM2,OR(TH!L1715="1111",TH!M1715="1111")),TH!D1715,""),"")</f>
        <v/>
      </c>
      <c r="B1715" s="685">
        <f>IF(C1715&lt;&gt;"",MONTH(C1715),"")</f>
        <v>1</v>
      </c>
      <c r="C1715" s="671">
        <f>E1715</f>
        <v>42755</v>
      </c>
      <c r="D1715" s="671" t="s">
        <v>376</v>
      </c>
      <c r="E1715" s="672">
        <v>42755</v>
      </c>
      <c r="F1715" s="673" t="s">
        <v>505</v>
      </c>
      <c r="G1715" s="686" t="s">
        <v>491</v>
      </c>
      <c r="H1715" s="675" t="s">
        <v>893</v>
      </c>
      <c r="I1715" s="676">
        <v>1500</v>
      </c>
      <c r="J1715" s="676">
        <v>32876.540877055908</v>
      </c>
      <c r="K1715" s="677">
        <f>ROUND(I1715*J1715,0)</f>
        <v>49314811</v>
      </c>
      <c r="L1715" s="678" t="s">
        <v>292</v>
      </c>
      <c r="M1715" s="678" t="s">
        <v>158</v>
      </c>
      <c r="N1715" s="525" t="str">
        <f>IF(AND('331-CT'!$E$7=TH!H1715,OR(L1715="331",M1715="331")),"331",IF(AND(OR(L1715="131",M1715="131"),H1715='131-CT'!$E$7),"131",""))</f>
        <v/>
      </c>
      <c r="O1715" s="525" t="str">
        <f>IF(AND($B1715&gt;='111'!$N$11,$B1715&lt;='111'!$O$11,OR($L1715=$O$7,$M1715=$O$7)),"x","")</f>
        <v/>
      </c>
      <c r="P1715" s="525" t="str">
        <f>IF(AND($L1715=$O$7,$B1715&lt;'111'!$N$11),"x","")</f>
        <v/>
      </c>
      <c r="Q1715" s="525" t="str">
        <f>IF(AND($M1715=$O$7,$B1715&lt;'111'!$N$11),"x","")</f>
        <v/>
      </c>
      <c r="R1715" s="525" t="str">
        <f>IF(ISERROR(FIND('112'!$M$9,G1715,1)),"",IF((AND(FIND('112'!$M$9,G1715,1)&gt;=1,$B1715&gt;='112'!$N$8,$B1715&lt;='112'!$O$8,OR($L1715='112'!$I$6,$M1715='112'!$I$6))),"x",""))</f>
        <v/>
      </c>
      <c r="S1715" s="525" t="str">
        <f>IF(ISERROR(FIND('112'!$M$9,G1715,1)),"",IF((AND(LEFT(G1715,2)=LEFT('112'!$M$9,2),B1715&lt;'112'!$N$8,$L1715='112'!$I$6)),"x",""))</f>
        <v/>
      </c>
      <c r="T1715" s="525" t="str">
        <f>IF(ISERROR(FIND('112'!$M$9,G1715,1)),"",IF((AND(RIGHT(G1715,2)=RIGHT('112'!$M$9,2),B1715&lt;'112'!$N$8,$M1715='112'!$I$6)),"x",""))</f>
        <v/>
      </c>
      <c r="U1715" s="525" t="str">
        <f>IF(AND(B1715&gt;='IN-NX'!$P$3,B1715&lt;='IN-NX'!$Q$3,'IN-NX'!$D$7=D1715,OR(LEFT(L1715,2)="15",AND(LEFT(M1715,2)&lt;&gt;"15",LEFT(M1715,2)&lt;&gt;"33"))),"x","")</f>
        <v/>
      </c>
      <c r="V1715" s="525" t="str">
        <f>IF(AND(OR(LEFT(TH!L1715,2)="15",LEFT(TH!M1715,2)="15"),'152-CT'!$J$8=TH!F1715),"x","")</f>
        <v/>
      </c>
      <c r="W1715" s="525" t="str">
        <f>IF(AND(OR(LEFT(TH!L1715,2)="15",LEFT(TH!M1715,2)="15"),TK!$E$7=TH!F1715),"x","")</f>
        <v/>
      </c>
      <c r="X1715" s="525" t="str">
        <f>IF(AND('341-CT'!$E$9=H1715,OR(LEFT(L1715,3)=$X$7,LEFT(M1715,3)=$X$7)),"x","")</f>
        <v/>
      </c>
      <c r="Y1715" s="525" t="str">
        <f>IF(OR(TH!L1715=TH!$Y$7,M1715=TH!$Y$7),"x","")</f>
        <v/>
      </c>
      <c r="Z1715" s="525" t="str">
        <f>IF(AND(B1715&lt;=NKC!$N$8,B1715&gt;=NKC!$M$8),"x","")</f>
        <v>x</v>
      </c>
      <c r="AA1715" s="687"/>
      <c r="AB1715" s="688"/>
      <c r="AC1715" s="503"/>
      <c r="AE1715" s="688"/>
    </row>
    <row r="1716" spans="1:31" s="689" customFormat="1" ht="15.75" customHeight="1">
      <c r="A1716" s="517" t="str">
        <f>IF(B1716&lt;&gt;"",IF(AND(B1716&gt;=_TM1,B1716&lt;=_TM2,OR(TH!L1716="1111",TH!M1716="1111")),TH!D1716,""),"")</f>
        <v/>
      </c>
      <c r="B1716" s="685">
        <f>IF(C1716&lt;&gt;"",MONTH(C1716),"")</f>
        <v>1</v>
      </c>
      <c r="C1716" s="671">
        <f>E1716</f>
        <v>42755</v>
      </c>
      <c r="D1716" s="671" t="s">
        <v>376</v>
      </c>
      <c r="E1716" s="672">
        <v>42755</v>
      </c>
      <c r="F1716" s="673" t="s">
        <v>506</v>
      </c>
      <c r="G1716" s="686" t="s">
        <v>492</v>
      </c>
      <c r="H1716" s="675" t="s">
        <v>893</v>
      </c>
      <c r="I1716" s="676">
        <v>300</v>
      </c>
      <c r="J1716" s="676">
        <v>10343.671543722576</v>
      </c>
      <c r="K1716" s="677">
        <f>ROUND(I1716*J1716,0)</f>
        <v>3103101</v>
      </c>
      <c r="L1716" s="678" t="s">
        <v>292</v>
      </c>
      <c r="M1716" s="678" t="s">
        <v>158</v>
      </c>
      <c r="N1716" s="525" t="str">
        <f>IF(AND('331-CT'!$E$7=TH!H1716,OR(L1716="331",M1716="331")),"331",IF(AND(OR(L1716="131",M1716="131"),H1716='131-CT'!$E$7),"131",""))</f>
        <v/>
      </c>
      <c r="O1716" s="525" t="str">
        <f>IF(AND($B1716&gt;='111'!$N$11,$B1716&lt;='111'!$O$11,OR($L1716=$O$7,$M1716=$O$7)),"x","")</f>
        <v/>
      </c>
      <c r="P1716" s="525" t="str">
        <f>IF(AND($L1716=$O$7,$B1716&lt;'111'!$N$11),"x","")</f>
        <v/>
      </c>
      <c r="Q1716" s="525" t="str">
        <f>IF(AND($M1716=$O$7,$B1716&lt;'111'!$N$11),"x","")</f>
        <v/>
      </c>
      <c r="R1716" s="525" t="str">
        <f>IF(ISERROR(FIND('112'!$M$9,G1716,1)),"",IF((AND(FIND('112'!$M$9,G1716,1)&gt;=1,$B1716&gt;='112'!$N$8,$B1716&lt;='112'!$O$8,OR($L1716='112'!$I$6,$M1716='112'!$I$6))),"x",""))</f>
        <v/>
      </c>
      <c r="S1716" s="525" t="str">
        <f>IF(ISERROR(FIND('112'!$M$9,G1716,1)),"",IF((AND(LEFT(G1716,2)=LEFT('112'!$M$9,2),B1716&lt;'112'!$N$8,$L1716='112'!$I$6)),"x",""))</f>
        <v/>
      </c>
      <c r="T1716" s="525" t="str">
        <f>IF(ISERROR(FIND('112'!$M$9,G1716,1)),"",IF((AND(RIGHT(G1716,2)=RIGHT('112'!$M$9,2),B1716&lt;'112'!$N$8,$M1716='112'!$I$6)),"x",""))</f>
        <v/>
      </c>
      <c r="U1716" s="525" t="str">
        <f>IF(AND(B1716&gt;='IN-NX'!$P$3,B1716&lt;='IN-NX'!$Q$3,'IN-NX'!$D$7=D1716,OR(LEFT(L1716,2)="15",AND(LEFT(M1716,2)&lt;&gt;"15",LEFT(M1716,2)&lt;&gt;"33"))),"x","")</f>
        <v/>
      </c>
      <c r="V1716" s="525" t="str">
        <f>IF(AND(OR(LEFT(TH!L1716,2)="15",LEFT(TH!M1716,2)="15"),'152-CT'!$J$8=TH!F1716),"x","")</f>
        <v/>
      </c>
      <c r="W1716" s="525" t="str">
        <f>IF(AND(OR(LEFT(TH!L1716,2)="15",LEFT(TH!M1716,2)="15"),TK!$E$7=TH!F1716),"x","")</f>
        <v/>
      </c>
      <c r="X1716" s="525" t="str">
        <f>IF(AND('341-CT'!$E$9=H1716,OR(LEFT(L1716,3)=$X$7,LEFT(M1716,3)=$X$7)),"x","")</f>
        <v/>
      </c>
      <c r="Y1716" s="525" t="str">
        <f>IF(OR(TH!L1716=TH!$Y$7,M1716=TH!$Y$7),"x","")</f>
        <v/>
      </c>
      <c r="Z1716" s="525" t="str">
        <f>IF(AND(B1716&lt;=NKC!$N$8,B1716&gt;=NKC!$M$8),"x","")</f>
        <v>x</v>
      </c>
      <c r="AA1716" s="687"/>
      <c r="AB1716" s="688"/>
      <c r="AC1716" s="503"/>
      <c r="AE1716" s="688"/>
    </row>
    <row r="1717" spans="1:31" s="689" customFormat="1" ht="15.75" customHeight="1">
      <c r="A1717" s="517" t="str">
        <f>IF(B1717&lt;&gt;"",IF(AND(B1717&gt;=_TM1,B1717&lt;=_TM2,OR(TH!L1717="1111",TH!M1717="1111")),TH!D1717,""),"")</f>
        <v/>
      </c>
      <c r="B1717" s="685">
        <f>IF(C1717&lt;&gt;"",MONTH(C1717),"")</f>
        <v>1</v>
      </c>
      <c r="C1717" s="671">
        <f>E1717</f>
        <v>42758</v>
      </c>
      <c r="D1717" s="671" t="s">
        <v>376</v>
      </c>
      <c r="E1717" s="672">
        <v>42758</v>
      </c>
      <c r="F1717" s="673" t="s">
        <v>503</v>
      </c>
      <c r="G1717" s="686" t="s">
        <v>508</v>
      </c>
      <c r="H1717" s="675" t="s">
        <v>893</v>
      </c>
      <c r="I1717" s="676">
        <v>4</v>
      </c>
      <c r="J1717" s="676">
        <v>6871.5448770559078</v>
      </c>
      <c r="K1717" s="677">
        <f>ROUND(I1717*J1717,0)</f>
        <v>27486</v>
      </c>
      <c r="L1717" s="678" t="s">
        <v>292</v>
      </c>
      <c r="M1717" s="678" t="s">
        <v>158</v>
      </c>
      <c r="N1717" s="525" t="str">
        <f>IF(AND('331-CT'!$E$7=TH!H1717,OR(L1717="331",M1717="331")),"331",IF(AND(OR(L1717="131",M1717="131"),H1717='131-CT'!$E$7),"131",""))</f>
        <v/>
      </c>
      <c r="O1717" s="525" t="str">
        <f>IF(AND($B1717&gt;='111'!$N$11,$B1717&lt;='111'!$O$11,OR($L1717=$O$7,$M1717=$O$7)),"x","")</f>
        <v/>
      </c>
      <c r="P1717" s="525" t="str">
        <f>IF(AND($L1717=$O$7,$B1717&lt;'111'!$N$11),"x","")</f>
        <v/>
      </c>
      <c r="Q1717" s="525" t="str">
        <f>IF(AND($M1717=$O$7,$B1717&lt;'111'!$N$11),"x","")</f>
        <v/>
      </c>
      <c r="R1717" s="525" t="str">
        <f>IF(ISERROR(FIND('112'!$M$9,G1717,1)),"",IF((AND(FIND('112'!$M$9,G1717,1)&gt;=1,$B1717&gt;='112'!$N$8,$B1717&lt;='112'!$O$8,OR($L1717='112'!$I$6,$M1717='112'!$I$6))),"x",""))</f>
        <v/>
      </c>
      <c r="S1717" s="525" t="str">
        <f>IF(ISERROR(FIND('112'!$M$9,G1717,1)),"",IF((AND(LEFT(G1717,2)=LEFT('112'!$M$9,2),B1717&lt;'112'!$N$8,$L1717='112'!$I$6)),"x",""))</f>
        <v/>
      </c>
      <c r="T1717" s="525" t="str">
        <f>IF(ISERROR(FIND('112'!$M$9,G1717,1)),"",IF((AND(RIGHT(G1717,2)=RIGHT('112'!$M$9,2),B1717&lt;'112'!$N$8,$M1717='112'!$I$6)),"x",""))</f>
        <v/>
      </c>
      <c r="U1717" s="525" t="str">
        <f>IF(AND(B1717&gt;='IN-NX'!$P$3,B1717&lt;='IN-NX'!$Q$3,'IN-NX'!$D$7=D1717,OR(LEFT(L1717,2)="15",AND(LEFT(M1717,2)&lt;&gt;"15",LEFT(M1717,2)&lt;&gt;"33"))),"x","")</f>
        <v/>
      </c>
      <c r="V1717" s="525" t="str">
        <f>IF(AND(OR(LEFT(TH!L1717,2)="15",LEFT(TH!M1717,2)="15"),'152-CT'!$J$8=TH!F1717),"x","")</f>
        <v/>
      </c>
      <c r="W1717" s="525" t="str">
        <f>IF(AND(OR(LEFT(TH!L1717,2)="15",LEFT(TH!M1717,2)="15"),TK!$E$7=TH!F1717),"x","")</f>
        <v/>
      </c>
      <c r="X1717" s="525" t="str">
        <f>IF(AND('341-CT'!$E$9=H1717,OR(LEFT(L1717,3)=$X$7,LEFT(M1717,3)=$X$7)),"x","")</f>
        <v/>
      </c>
      <c r="Y1717" s="525" t="str">
        <f>IF(OR(TH!L1717=TH!$Y$7,M1717=TH!$Y$7),"x","")</f>
        <v/>
      </c>
      <c r="Z1717" s="525" t="str">
        <f>IF(AND(B1717&lt;=NKC!$N$8,B1717&gt;=NKC!$M$8),"x","")</f>
        <v>x</v>
      </c>
      <c r="AA1717" s="687"/>
      <c r="AB1717" s="688"/>
      <c r="AC1717" s="503"/>
      <c r="AE1717" s="688"/>
    </row>
    <row r="1718" spans="1:31" s="689" customFormat="1" ht="15.75" customHeight="1">
      <c r="A1718" s="517" t="str">
        <f>IF(B1718&lt;&gt;"",IF(AND(B1718&gt;=_TM1,B1718&lt;=_TM2,OR(TH!L1718="1111",TH!M1718="1111")),TH!D1718,""),"")</f>
        <v/>
      </c>
      <c r="B1718" s="685">
        <f t="shared" ref="B1718:B1726" si="169">IF(C1718&lt;&gt;"",MONTH(C1718),"")</f>
        <v>1</v>
      </c>
      <c r="C1718" s="671">
        <f t="shared" ref="C1718:C1726" si="170">E1718</f>
        <v>42758</v>
      </c>
      <c r="D1718" s="671" t="s">
        <v>376</v>
      </c>
      <c r="E1718" s="672">
        <v>42758</v>
      </c>
      <c r="F1718" s="673" t="s">
        <v>768</v>
      </c>
      <c r="G1718" s="686" t="s">
        <v>510</v>
      </c>
      <c r="H1718" s="675" t="s">
        <v>893</v>
      </c>
      <c r="I1718" s="676">
        <v>1620</v>
      </c>
      <c r="J1718" s="676">
        <v>710.026358537389</v>
      </c>
      <c r="K1718" s="677">
        <f t="shared" ref="K1718:K1726" si="171">ROUND(I1718*J1718,0)</f>
        <v>1150243</v>
      </c>
      <c r="L1718" s="678" t="s">
        <v>292</v>
      </c>
      <c r="M1718" s="678" t="s">
        <v>158</v>
      </c>
      <c r="N1718" s="525" t="str">
        <f>IF(AND('331-CT'!$E$7=TH!H1718,OR(L1718="331",M1718="331")),"331",IF(AND(OR(L1718="131",M1718="131"),H1718='131-CT'!$E$7),"131",""))</f>
        <v/>
      </c>
      <c r="O1718" s="525" t="str">
        <f>IF(AND($B1718&gt;='111'!$N$11,$B1718&lt;='111'!$O$11,OR($L1718=$O$7,$M1718=$O$7)),"x","")</f>
        <v/>
      </c>
      <c r="P1718" s="525" t="str">
        <f>IF(AND($L1718=$O$7,$B1718&lt;'111'!$N$11),"x","")</f>
        <v/>
      </c>
      <c r="Q1718" s="525" t="str">
        <f>IF(AND($M1718=$O$7,$B1718&lt;'111'!$N$11),"x","")</f>
        <v/>
      </c>
      <c r="R1718" s="525" t="str">
        <f>IF(ISERROR(FIND('112'!$M$9,G1718,1)),"",IF((AND(FIND('112'!$M$9,G1718,1)&gt;=1,$B1718&gt;='112'!$N$8,$B1718&lt;='112'!$O$8,OR($L1718='112'!$I$6,$M1718='112'!$I$6))),"x",""))</f>
        <v/>
      </c>
      <c r="S1718" s="525" t="str">
        <f>IF(ISERROR(FIND('112'!$M$9,G1718,1)),"",IF((AND(LEFT(G1718,2)=LEFT('112'!$M$9,2),B1718&lt;'112'!$N$8,$L1718='112'!$I$6)),"x",""))</f>
        <v/>
      </c>
      <c r="T1718" s="525" t="str">
        <f>IF(ISERROR(FIND('112'!$M$9,G1718,1)),"",IF((AND(RIGHT(G1718,2)=RIGHT('112'!$M$9,2),B1718&lt;'112'!$N$8,$M1718='112'!$I$6)),"x",""))</f>
        <v/>
      </c>
      <c r="U1718" s="525" t="str">
        <f>IF(AND(B1718&gt;='IN-NX'!$P$3,B1718&lt;='IN-NX'!$Q$3,'IN-NX'!$D$7=D1718,OR(LEFT(L1718,2)="15",AND(LEFT(M1718,2)&lt;&gt;"15",LEFT(M1718,2)&lt;&gt;"33"))),"x","")</f>
        <v/>
      </c>
      <c r="V1718" s="525" t="str">
        <f>IF(AND(OR(LEFT(TH!L1718,2)="15",LEFT(TH!M1718,2)="15"),'152-CT'!$J$8=TH!F1718),"x","")</f>
        <v/>
      </c>
      <c r="W1718" s="525" t="str">
        <f>IF(AND(OR(LEFT(TH!L1718,2)="15",LEFT(TH!M1718,2)="15"),TK!$E$7=TH!F1718),"x","")</f>
        <v/>
      </c>
      <c r="X1718" s="525" t="str">
        <f>IF(AND('341-CT'!$E$9=H1718,OR(LEFT(L1718,3)=$X$7,LEFT(M1718,3)=$X$7)),"x","")</f>
        <v/>
      </c>
      <c r="Y1718" s="525" t="str">
        <f>IF(OR(TH!L1718=TH!$Y$7,M1718=TH!$Y$7),"x","")</f>
        <v/>
      </c>
      <c r="Z1718" s="525" t="str">
        <f>IF(AND(B1718&lt;=NKC!$N$8,B1718&gt;=NKC!$M$8),"x","")</f>
        <v>x</v>
      </c>
      <c r="AA1718" s="687"/>
      <c r="AB1718" s="688"/>
      <c r="AC1718" s="503"/>
      <c r="AE1718" s="688"/>
    </row>
    <row r="1719" spans="1:31" s="503" customFormat="1" ht="15.75" customHeight="1">
      <c r="A1719" s="517" t="str">
        <f>IF(B1719&lt;&gt;"",IF(AND(B1719&gt;=_TM1,B1719&lt;=_TM2,OR(TH!L1719="1111",TH!M1719="1111")),TH!D1719,""),"")</f>
        <v/>
      </c>
      <c r="B1719" s="531">
        <f t="shared" si="169"/>
        <v>1</v>
      </c>
      <c r="C1719" s="315">
        <f t="shared" si="170"/>
        <v>42739</v>
      </c>
      <c r="D1719" s="315" t="s">
        <v>996</v>
      </c>
      <c r="E1719" s="545">
        <v>42739</v>
      </c>
      <c r="F1719" s="249" t="s">
        <v>493</v>
      </c>
      <c r="G1719" s="314" t="s">
        <v>478</v>
      </c>
      <c r="H1719" s="473" t="s">
        <v>800</v>
      </c>
      <c r="I1719" s="307">
        <v>3980</v>
      </c>
      <c r="J1719" s="307">
        <v>9621.3122137393239</v>
      </c>
      <c r="K1719" s="532">
        <f t="shared" si="171"/>
        <v>38292823</v>
      </c>
      <c r="L1719" s="539" t="s">
        <v>160</v>
      </c>
      <c r="M1719" s="539" t="s">
        <v>292</v>
      </c>
      <c r="N1719" s="525" t="str">
        <f>IF(AND('331-CT'!$E$7=TH!H1719,OR(L1719="331",M1719="331")),"331",IF(AND(OR(L1719="131",M1719="131"),H1719='131-CT'!$E$7),"131",""))</f>
        <v/>
      </c>
      <c r="O1719" s="525" t="str">
        <f>IF(AND($B1719&gt;='111'!$N$11,$B1719&lt;='111'!$O$11,OR($L1719=$O$7,$M1719=$O$7)),"x","")</f>
        <v/>
      </c>
      <c r="P1719" s="525" t="str">
        <f>IF(AND($L1719=$O$7,$B1719&lt;'111'!$N$11),"x","")</f>
        <v/>
      </c>
      <c r="Q1719" s="525" t="str">
        <f>IF(AND($M1719=$O$7,$B1719&lt;'111'!$N$11),"x","")</f>
        <v/>
      </c>
      <c r="R1719" s="525" t="str">
        <f>IF(ISERROR(FIND('112'!$M$9,G1719,1)),"",IF((AND(FIND('112'!$M$9,G1719,1)&gt;=1,$B1719&gt;='112'!$N$8,$B1719&lt;='112'!$O$8,OR($L1719='112'!$I$6,$M1719='112'!$I$6))),"x",""))</f>
        <v/>
      </c>
      <c r="S1719" s="525" t="str">
        <f>IF(ISERROR(FIND('112'!$M$9,G1719,1)),"",IF((AND(LEFT(G1719,2)=LEFT('112'!$M$9,2),B1719&lt;'112'!$N$8,$L1719='112'!$I$6)),"x",""))</f>
        <v/>
      </c>
      <c r="T1719" s="525" t="str">
        <f>IF(ISERROR(FIND('112'!$M$9,G1719,1)),"",IF((AND(RIGHT(G1719,2)=RIGHT('112'!$M$9,2),B1719&lt;'112'!$N$8,$M1719='112'!$I$6)),"x",""))</f>
        <v/>
      </c>
      <c r="U1719" s="525" t="str">
        <f>IF(AND(B1719&gt;='IN-NX'!$P$3,B1719&lt;='IN-NX'!$Q$3,'IN-NX'!$D$7=D1719,OR(LEFT(L1719,2)="15",AND(LEFT(M1719,2)&lt;&gt;"15",LEFT(M1719,2)&lt;&gt;"33"))),"x","")</f>
        <v/>
      </c>
      <c r="V1719" s="525" t="str">
        <f>IF(AND(OR(LEFT(TH!L1719,2)="15",LEFT(TH!M1719,2)="15"),'152-CT'!$J$8=TH!F1719),"x","")</f>
        <v/>
      </c>
      <c r="W1719" s="525" t="str">
        <f>IF(AND(OR(LEFT(TH!L1719,2)="15",LEFT(TH!M1719,2)="15"),TK!$E$7=TH!F1719),"x","")</f>
        <v/>
      </c>
      <c r="X1719" s="525" t="str">
        <f>IF(AND('341-CT'!$E$9=H1719,OR(LEFT(L1719,3)=$X$7,LEFT(M1719,3)=$X$7)),"x","")</f>
        <v/>
      </c>
      <c r="Y1719" s="525" t="str">
        <f>IF(OR(TH!L1719=TH!$Y$7,M1719=TH!$Y$7),"x","")</f>
        <v/>
      </c>
      <c r="Z1719" s="525" t="str">
        <f>IF(AND(B1719&lt;=NKC!$N$8,B1719&gt;=NKC!$M$8),"x","")</f>
        <v>x</v>
      </c>
      <c r="AA1719" s="535"/>
      <c r="AB1719" s="536"/>
      <c r="AE1719" s="536"/>
    </row>
    <row r="1720" spans="1:31" s="503" customFormat="1" ht="15.75" customHeight="1">
      <c r="A1720" s="517" t="str">
        <f>IF(B1720&lt;&gt;"",IF(AND(B1720&gt;=_TM1,B1720&lt;=_TM2,OR(TH!L1720="1111",TH!M1720="1111")),TH!D1720,""),"")</f>
        <v/>
      </c>
      <c r="B1720" s="531">
        <f t="shared" si="169"/>
        <v>1</v>
      </c>
      <c r="C1720" s="315">
        <f t="shared" si="170"/>
        <v>42741</v>
      </c>
      <c r="D1720" s="315" t="s">
        <v>996</v>
      </c>
      <c r="E1720" s="545">
        <v>42741</v>
      </c>
      <c r="F1720" s="249" t="s">
        <v>495</v>
      </c>
      <c r="G1720" s="314" t="s">
        <v>479</v>
      </c>
      <c r="H1720" s="473" t="s">
        <v>800</v>
      </c>
      <c r="I1720" s="307">
        <v>20</v>
      </c>
      <c r="J1720" s="307">
        <v>26067.044877055909</v>
      </c>
      <c r="K1720" s="532">
        <f t="shared" si="171"/>
        <v>521341</v>
      </c>
      <c r="L1720" s="539" t="s">
        <v>160</v>
      </c>
      <c r="M1720" s="539" t="s">
        <v>292</v>
      </c>
      <c r="N1720" s="525" t="str">
        <f>IF(AND('331-CT'!$E$7=TH!H1720,OR(L1720="331",M1720="331")),"331",IF(AND(OR(L1720="131",M1720="131"),H1720='131-CT'!$E$7),"131",""))</f>
        <v/>
      </c>
      <c r="O1720" s="525" t="str">
        <f>IF(AND($B1720&gt;='111'!$N$11,$B1720&lt;='111'!$O$11,OR($L1720=$O$7,$M1720=$O$7)),"x","")</f>
        <v/>
      </c>
      <c r="P1720" s="525" t="str">
        <f>IF(AND($L1720=$O$7,$B1720&lt;'111'!$N$11),"x","")</f>
        <v/>
      </c>
      <c r="Q1720" s="525" t="str">
        <f>IF(AND($M1720=$O$7,$B1720&lt;'111'!$N$11),"x","")</f>
        <v/>
      </c>
      <c r="R1720" s="525" t="str">
        <f>IF(ISERROR(FIND('112'!$M$9,G1720,1)),"",IF((AND(FIND('112'!$M$9,G1720,1)&gt;=1,$B1720&gt;='112'!$N$8,$B1720&lt;='112'!$O$8,OR($L1720='112'!$I$6,$M1720='112'!$I$6))),"x",""))</f>
        <v/>
      </c>
      <c r="S1720" s="525" t="str">
        <f>IF(ISERROR(FIND('112'!$M$9,G1720,1)),"",IF((AND(LEFT(G1720,2)=LEFT('112'!$M$9,2),B1720&lt;'112'!$N$8,$L1720='112'!$I$6)),"x",""))</f>
        <v/>
      </c>
      <c r="T1720" s="525" t="str">
        <f>IF(ISERROR(FIND('112'!$M$9,G1720,1)),"",IF((AND(RIGHT(G1720,2)=RIGHT('112'!$M$9,2),B1720&lt;'112'!$N$8,$M1720='112'!$I$6)),"x",""))</f>
        <v/>
      </c>
      <c r="U1720" s="525" t="str">
        <f>IF(AND(B1720&gt;='IN-NX'!$P$3,B1720&lt;='IN-NX'!$Q$3,'IN-NX'!$D$7=D1720,OR(LEFT(L1720,2)="15",AND(LEFT(M1720,2)&lt;&gt;"15",LEFT(M1720,2)&lt;&gt;"33"))),"x","")</f>
        <v/>
      </c>
      <c r="V1720" s="525" t="str">
        <f>IF(AND(OR(LEFT(TH!L1720,2)="15",LEFT(TH!M1720,2)="15"),'152-CT'!$J$8=TH!F1720),"x","")</f>
        <v/>
      </c>
      <c r="W1720" s="525" t="str">
        <f>IF(AND(OR(LEFT(TH!L1720,2)="15",LEFT(TH!M1720,2)="15"),TK!$E$7=TH!F1720),"x","")</f>
        <v/>
      </c>
      <c r="X1720" s="525" t="str">
        <f>IF(AND('341-CT'!$E$9=H1720,OR(LEFT(L1720,3)=$X$7,LEFT(M1720,3)=$X$7)),"x","")</f>
        <v/>
      </c>
      <c r="Y1720" s="525" t="str">
        <f>IF(OR(TH!L1720=TH!$Y$7,M1720=TH!$Y$7),"x","")</f>
        <v/>
      </c>
      <c r="Z1720" s="525" t="str">
        <f>IF(AND(B1720&lt;=NKC!$N$8,B1720&gt;=NKC!$M$8),"x","")</f>
        <v>x</v>
      </c>
      <c r="AA1720" s="535"/>
      <c r="AB1720" s="536"/>
      <c r="AE1720" s="536"/>
    </row>
    <row r="1721" spans="1:31" s="503" customFormat="1" ht="15.75" customHeight="1">
      <c r="A1721" s="517" t="str">
        <f>IF(B1721&lt;&gt;"",IF(AND(B1721&gt;=_TM1,B1721&lt;=_TM2,OR(TH!L1721="1111",TH!M1721="1111")),TH!D1721,""),"")</f>
        <v/>
      </c>
      <c r="B1721" s="531">
        <f t="shared" si="169"/>
        <v>1</v>
      </c>
      <c r="C1721" s="315">
        <f t="shared" si="170"/>
        <v>42741</v>
      </c>
      <c r="D1721" s="315" t="s">
        <v>996</v>
      </c>
      <c r="E1721" s="545">
        <v>42741</v>
      </c>
      <c r="F1721" s="249" t="s">
        <v>496</v>
      </c>
      <c r="G1721" s="314" t="s">
        <v>479</v>
      </c>
      <c r="H1721" s="473" t="s">
        <v>800</v>
      </c>
      <c r="I1721" s="307">
        <v>20</v>
      </c>
      <c r="J1721" s="307">
        <v>3032.4448770559075</v>
      </c>
      <c r="K1721" s="532">
        <f t="shared" si="171"/>
        <v>60649</v>
      </c>
      <c r="L1721" s="539" t="s">
        <v>160</v>
      </c>
      <c r="M1721" s="539" t="s">
        <v>292</v>
      </c>
      <c r="N1721" s="525" t="str">
        <f>IF(AND('331-CT'!$E$7=TH!H1721,OR(L1721="331",M1721="331")),"331",IF(AND(OR(L1721="131",M1721="131"),H1721='131-CT'!$E$7),"131",""))</f>
        <v/>
      </c>
      <c r="O1721" s="525" t="str">
        <f>IF(AND($B1721&gt;='111'!$N$11,$B1721&lt;='111'!$O$11,OR($L1721=$O$7,$M1721=$O$7)),"x","")</f>
        <v/>
      </c>
      <c r="P1721" s="525" t="str">
        <f>IF(AND($L1721=$O$7,$B1721&lt;'111'!$N$11),"x","")</f>
        <v/>
      </c>
      <c r="Q1721" s="525" t="str">
        <f>IF(AND($M1721=$O$7,$B1721&lt;'111'!$N$11),"x","")</f>
        <v/>
      </c>
      <c r="R1721" s="525" t="str">
        <f>IF(ISERROR(FIND('112'!$M$9,G1721,1)),"",IF((AND(FIND('112'!$M$9,G1721,1)&gt;=1,$B1721&gt;='112'!$N$8,$B1721&lt;='112'!$O$8,OR($L1721='112'!$I$6,$M1721='112'!$I$6))),"x",""))</f>
        <v/>
      </c>
      <c r="S1721" s="525" t="str">
        <f>IF(ISERROR(FIND('112'!$M$9,G1721,1)),"",IF((AND(LEFT(G1721,2)=LEFT('112'!$M$9,2),B1721&lt;'112'!$N$8,$L1721='112'!$I$6)),"x",""))</f>
        <v/>
      </c>
      <c r="T1721" s="525" t="str">
        <f>IF(ISERROR(FIND('112'!$M$9,G1721,1)),"",IF((AND(RIGHT(G1721,2)=RIGHT('112'!$M$9,2),B1721&lt;'112'!$N$8,$M1721='112'!$I$6)),"x",""))</f>
        <v/>
      </c>
      <c r="U1721" s="525" t="str">
        <f>IF(AND(B1721&gt;='IN-NX'!$P$3,B1721&lt;='IN-NX'!$Q$3,'IN-NX'!$D$7=D1721,OR(LEFT(L1721,2)="15",AND(LEFT(M1721,2)&lt;&gt;"15",LEFT(M1721,2)&lt;&gt;"33"))),"x","")</f>
        <v/>
      </c>
      <c r="V1721" s="525" t="str">
        <f>IF(AND(OR(LEFT(TH!L1721,2)="15",LEFT(TH!M1721,2)="15"),'152-CT'!$J$8=TH!F1721),"x","")</f>
        <v/>
      </c>
      <c r="W1721" s="525" t="str">
        <f>IF(AND(OR(LEFT(TH!L1721,2)="15",LEFT(TH!M1721,2)="15"),TK!$E$7=TH!F1721),"x","")</f>
        <v/>
      </c>
      <c r="X1721" s="525" t="str">
        <f>IF(AND('341-CT'!$E$9=H1721,OR(LEFT(L1721,3)=$X$7,LEFT(M1721,3)=$X$7)),"x","")</f>
        <v/>
      </c>
      <c r="Y1721" s="525" t="str">
        <f>IF(OR(TH!L1721=TH!$Y$7,M1721=TH!$Y$7),"x","")</f>
        <v/>
      </c>
      <c r="Z1721" s="525" t="str">
        <f>IF(AND(B1721&lt;=NKC!$N$8,B1721&gt;=NKC!$M$8),"x","")</f>
        <v>x</v>
      </c>
      <c r="AA1721" s="535"/>
      <c r="AB1721" s="536"/>
      <c r="AE1721" s="536"/>
    </row>
    <row r="1722" spans="1:31" s="503" customFormat="1" ht="15.75" customHeight="1">
      <c r="A1722" s="517" t="str">
        <f>IF(B1722&lt;&gt;"",IF(AND(B1722&gt;=_TM1,B1722&lt;=_TM2,OR(TH!L1722="1111",TH!M1722="1111")),TH!D1722,""),"")</f>
        <v/>
      </c>
      <c r="B1722" s="531">
        <f t="shared" si="169"/>
        <v>1</v>
      </c>
      <c r="C1722" s="315">
        <f t="shared" si="170"/>
        <v>42745</v>
      </c>
      <c r="D1722" s="315" t="s">
        <v>996</v>
      </c>
      <c r="E1722" s="545">
        <v>42745</v>
      </c>
      <c r="F1722" s="249" t="s">
        <v>500</v>
      </c>
      <c r="G1722" s="314" t="s">
        <v>483</v>
      </c>
      <c r="H1722" s="473" t="s">
        <v>800</v>
      </c>
      <c r="I1722" s="307">
        <v>300</v>
      </c>
      <c r="J1722" s="307">
        <v>8432.6715437225757</v>
      </c>
      <c r="K1722" s="532">
        <f t="shared" si="171"/>
        <v>2529801</v>
      </c>
      <c r="L1722" s="539" t="s">
        <v>160</v>
      </c>
      <c r="M1722" s="539" t="s">
        <v>292</v>
      </c>
      <c r="N1722" s="525" t="str">
        <f>IF(AND('331-CT'!$E$7=TH!H1722,OR(L1722="331",M1722="331")),"331",IF(AND(OR(L1722="131",M1722="131"),H1722='131-CT'!$E$7),"131",""))</f>
        <v/>
      </c>
      <c r="O1722" s="525" t="str">
        <f>IF(AND($B1722&gt;='111'!$N$11,$B1722&lt;='111'!$O$11,OR($L1722=$O$7,$M1722=$O$7)),"x","")</f>
        <v/>
      </c>
      <c r="P1722" s="525" t="str">
        <f>IF(AND($L1722=$O$7,$B1722&lt;'111'!$N$11),"x","")</f>
        <v/>
      </c>
      <c r="Q1722" s="525" t="str">
        <f>IF(AND($M1722=$O$7,$B1722&lt;'111'!$N$11),"x","")</f>
        <v/>
      </c>
      <c r="R1722" s="525" t="str">
        <f>IF(ISERROR(FIND('112'!$M$9,G1722,1)),"",IF((AND(FIND('112'!$M$9,G1722,1)&gt;=1,$B1722&gt;='112'!$N$8,$B1722&lt;='112'!$O$8,OR($L1722='112'!$I$6,$M1722='112'!$I$6))),"x",""))</f>
        <v/>
      </c>
      <c r="S1722" s="525" t="str">
        <f>IF(ISERROR(FIND('112'!$M$9,G1722,1)),"",IF((AND(LEFT(G1722,2)=LEFT('112'!$M$9,2),B1722&lt;'112'!$N$8,$L1722='112'!$I$6)),"x",""))</f>
        <v/>
      </c>
      <c r="T1722" s="525" t="str">
        <f>IF(ISERROR(FIND('112'!$M$9,G1722,1)),"",IF((AND(RIGHT(G1722,2)=RIGHT('112'!$M$9,2),B1722&lt;'112'!$N$8,$M1722='112'!$I$6)),"x",""))</f>
        <v/>
      </c>
      <c r="U1722" s="525" t="str">
        <f>IF(AND(B1722&gt;='IN-NX'!$P$3,B1722&lt;='IN-NX'!$Q$3,'IN-NX'!$D$7=D1722,OR(LEFT(L1722,2)="15",AND(LEFT(M1722,2)&lt;&gt;"15",LEFT(M1722,2)&lt;&gt;"33"))),"x","")</f>
        <v/>
      </c>
      <c r="V1722" s="525" t="str">
        <f>IF(AND(OR(LEFT(TH!L1722,2)="15",LEFT(TH!M1722,2)="15"),'152-CT'!$J$8=TH!F1722),"x","")</f>
        <v/>
      </c>
      <c r="W1722" s="525" t="str">
        <f>IF(AND(OR(LEFT(TH!L1722,2)="15",LEFT(TH!M1722,2)="15"),TK!$E$7=TH!F1722),"x","")</f>
        <v/>
      </c>
      <c r="X1722" s="525" t="str">
        <f>IF(AND('341-CT'!$E$9=H1722,OR(LEFT(L1722,3)=$X$7,LEFT(M1722,3)=$X$7)),"x","")</f>
        <v/>
      </c>
      <c r="Y1722" s="525" t="str">
        <f>IF(OR(TH!L1722=TH!$Y$7,M1722=TH!$Y$7),"x","")</f>
        <v/>
      </c>
      <c r="Z1722" s="525" t="str">
        <f>IF(AND(B1722&lt;=NKC!$N$8,B1722&gt;=NKC!$M$8),"x","")</f>
        <v>x</v>
      </c>
      <c r="AA1722" s="535"/>
      <c r="AB1722" s="536"/>
      <c r="AE1722" s="536"/>
    </row>
    <row r="1723" spans="1:31" s="503" customFormat="1" ht="15.75" customHeight="1">
      <c r="A1723" s="517" t="str">
        <f>IF(B1723&lt;&gt;"",IF(AND(B1723&gt;=_TM1,B1723&lt;=_TM2,OR(TH!L1723="1111",TH!M1723="1111")),TH!D1723,""),"")</f>
        <v/>
      </c>
      <c r="B1723" s="531">
        <f t="shared" si="169"/>
        <v>1</v>
      </c>
      <c r="C1723" s="315">
        <f t="shared" si="170"/>
        <v>42755</v>
      </c>
      <c r="D1723" s="315" t="s">
        <v>996</v>
      </c>
      <c r="E1723" s="545">
        <v>42755</v>
      </c>
      <c r="F1723" s="249" t="s">
        <v>504</v>
      </c>
      <c r="G1723" s="314" t="s">
        <v>491</v>
      </c>
      <c r="H1723" s="473" t="s">
        <v>800</v>
      </c>
      <c r="I1723" s="307">
        <v>1700</v>
      </c>
      <c r="J1723" s="307">
        <v>35150.847229997089</v>
      </c>
      <c r="K1723" s="532">
        <f t="shared" si="171"/>
        <v>59756440</v>
      </c>
      <c r="L1723" s="539" t="s">
        <v>160</v>
      </c>
      <c r="M1723" s="539" t="s">
        <v>292</v>
      </c>
      <c r="N1723" s="525" t="str">
        <f>IF(AND('331-CT'!$E$7=TH!H1723,OR(L1723="331",M1723="331")),"331",IF(AND(OR(L1723="131",M1723="131"),H1723='131-CT'!$E$7),"131",""))</f>
        <v/>
      </c>
      <c r="O1723" s="525" t="str">
        <f>IF(AND($B1723&gt;='111'!$N$11,$B1723&lt;='111'!$O$11,OR($L1723=$O$7,$M1723=$O$7)),"x","")</f>
        <v/>
      </c>
      <c r="P1723" s="525" t="str">
        <f>IF(AND($L1723=$O$7,$B1723&lt;'111'!$N$11),"x","")</f>
        <v/>
      </c>
      <c r="Q1723" s="525" t="str">
        <f>IF(AND($M1723=$O$7,$B1723&lt;'111'!$N$11),"x","")</f>
        <v/>
      </c>
      <c r="R1723" s="525" t="str">
        <f>IF(ISERROR(FIND('112'!$M$9,G1723,1)),"",IF((AND(FIND('112'!$M$9,G1723,1)&gt;=1,$B1723&gt;='112'!$N$8,$B1723&lt;='112'!$O$8,OR($L1723='112'!$I$6,$M1723='112'!$I$6))),"x",""))</f>
        <v/>
      </c>
      <c r="S1723" s="525" t="str">
        <f>IF(ISERROR(FIND('112'!$M$9,G1723,1)),"",IF((AND(LEFT(G1723,2)=LEFT('112'!$M$9,2),B1723&lt;'112'!$N$8,$L1723='112'!$I$6)),"x",""))</f>
        <v/>
      </c>
      <c r="T1723" s="525" t="str">
        <f>IF(ISERROR(FIND('112'!$M$9,G1723,1)),"",IF((AND(RIGHT(G1723,2)=RIGHT('112'!$M$9,2),B1723&lt;'112'!$N$8,$M1723='112'!$I$6)),"x",""))</f>
        <v/>
      </c>
      <c r="U1723" s="525" t="str">
        <f>IF(AND(B1723&gt;='IN-NX'!$P$3,B1723&lt;='IN-NX'!$Q$3,'IN-NX'!$D$7=D1723,OR(LEFT(L1723,2)="15",AND(LEFT(M1723,2)&lt;&gt;"15",LEFT(M1723,2)&lt;&gt;"33"))),"x","")</f>
        <v/>
      </c>
      <c r="V1723" s="525" t="str">
        <f>IF(AND(OR(LEFT(TH!L1723,2)="15",LEFT(TH!M1723,2)="15"),'152-CT'!$J$8=TH!F1723),"x","")</f>
        <v/>
      </c>
      <c r="W1723" s="525" t="str">
        <f>IF(AND(OR(LEFT(TH!L1723,2)="15",LEFT(TH!M1723,2)="15"),TK!$E$7=TH!F1723),"x","")</f>
        <v/>
      </c>
      <c r="X1723" s="525" t="str">
        <f>IF(AND('341-CT'!$E$9=H1723,OR(LEFT(L1723,3)=$X$7,LEFT(M1723,3)=$X$7)),"x","")</f>
        <v/>
      </c>
      <c r="Y1723" s="525" t="str">
        <f>IF(OR(TH!L1723=TH!$Y$7,M1723=TH!$Y$7),"x","")</f>
        <v/>
      </c>
      <c r="Z1723" s="525" t="str">
        <f>IF(AND(B1723&lt;=NKC!$N$8,B1723&gt;=NKC!$M$8),"x","")</f>
        <v>x</v>
      </c>
      <c r="AA1723" s="535"/>
      <c r="AB1723" s="536"/>
      <c r="AE1723" s="536"/>
    </row>
    <row r="1724" spans="1:31" s="503" customFormat="1" ht="15.75" customHeight="1">
      <c r="A1724" s="517" t="str">
        <f>IF(B1724&lt;&gt;"",IF(AND(B1724&gt;=_TM1,B1724&lt;=_TM2,OR(TH!L1724="1111",TH!M1724="1111")),TH!D1724,""),"")</f>
        <v/>
      </c>
      <c r="B1724" s="531">
        <f t="shared" si="169"/>
        <v>1</v>
      </c>
      <c r="C1724" s="315">
        <f t="shared" si="170"/>
        <v>42755</v>
      </c>
      <c r="D1724" s="315" t="s">
        <v>996</v>
      </c>
      <c r="E1724" s="545">
        <v>42755</v>
      </c>
      <c r="F1724" s="249" t="s">
        <v>505</v>
      </c>
      <c r="G1724" s="314" t="s">
        <v>491</v>
      </c>
      <c r="H1724" s="473" t="s">
        <v>800</v>
      </c>
      <c r="I1724" s="307">
        <v>1500</v>
      </c>
      <c r="J1724" s="307">
        <v>32876.540877055908</v>
      </c>
      <c r="K1724" s="532">
        <f t="shared" si="171"/>
        <v>49314811</v>
      </c>
      <c r="L1724" s="539" t="s">
        <v>160</v>
      </c>
      <c r="M1724" s="539" t="s">
        <v>292</v>
      </c>
      <c r="N1724" s="525" t="str">
        <f>IF(AND('331-CT'!$E$7=TH!H1724,OR(L1724="331",M1724="331")),"331",IF(AND(OR(L1724="131",M1724="131"),H1724='131-CT'!$E$7),"131",""))</f>
        <v/>
      </c>
      <c r="O1724" s="525" t="str">
        <f>IF(AND($B1724&gt;='111'!$N$11,$B1724&lt;='111'!$O$11,OR($L1724=$O$7,$M1724=$O$7)),"x","")</f>
        <v/>
      </c>
      <c r="P1724" s="525" t="str">
        <f>IF(AND($L1724=$O$7,$B1724&lt;'111'!$N$11),"x","")</f>
        <v/>
      </c>
      <c r="Q1724" s="525" t="str">
        <f>IF(AND($M1724=$O$7,$B1724&lt;'111'!$N$11),"x","")</f>
        <v/>
      </c>
      <c r="R1724" s="525" t="str">
        <f>IF(ISERROR(FIND('112'!$M$9,G1724,1)),"",IF((AND(FIND('112'!$M$9,G1724,1)&gt;=1,$B1724&gt;='112'!$N$8,$B1724&lt;='112'!$O$8,OR($L1724='112'!$I$6,$M1724='112'!$I$6))),"x",""))</f>
        <v/>
      </c>
      <c r="S1724" s="525" t="str">
        <f>IF(ISERROR(FIND('112'!$M$9,G1724,1)),"",IF((AND(LEFT(G1724,2)=LEFT('112'!$M$9,2),B1724&lt;'112'!$N$8,$L1724='112'!$I$6)),"x",""))</f>
        <v/>
      </c>
      <c r="T1724" s="525" t="str">
        <f>IF(ISERROR(FIND('112'!$M$9,G1724,1)),"",IF((AND(RIGHT(G1724,2)=RIGHT('112'!$M$9,2),B1724&lt;'112'!$N$8,$M1724='112'!$I$6)),"x",""))</f>
        <v/>
      </c>
      <c r="U1724" s="525" t="str">
        <f>IF(AND(B1724&gt;='IN-NX'!$P$3,B1724&lt;='IN-NX'!$Q$3,'IN-NX'!$D$7=D1724,OR(LEFT(L1724,2)="15",AND(LEFT(M1724,2)&lt;&gt;"15",LEFT(M1724,2)&lt;&gt;"33"))),"x","")</f>
        <v/>
      </c>
      <c r="V1724" s="525" t="str">
        <f>IF(AND(OR(LEFT(TH!L1724,2)="15",LEFT(TH!M1724,2)="15"),'152-CT'!$J$8=TH!F1724),"x","")</f>
        <v/>
      </c>
      <c r="W1724" s="525" t="str">
        <f>IF(AND(OR(LEFT(TH!L1724,2)="15",LEFT(TH!M1724,2)="15"),TK!$E$7=TH!F1724),"x","")</f>
        <v/>
      </c>
      <c r="X1724" s="525" t="str">
        <f>IF(AND('341-CT'!$E$9=H1724,OR(LEFT(L1724,3)=$X$7,LEFT(M1724,3)=$X$7)),"x","")</f>
        <v/>
      </c>
      <c r="Y1724" s="525" t="str">
        <f>IF(OR(TH!L1724=TH!$Y$7,M1724=TH!$Y$7),"x","")</f>
        <v/>
      </c>
      <c r="Z1724" s="525" t="str">
        <f>IF(AND(B1724&lt;=NKC!$N$8,B1724&gt;=NKC!$M$8),"x","")</f>
        <v>x</v>
      </c>
      <c r="AA1724" s="535"/>
      <c r="AB1724" s="536"/>
      <c r="AE1724" s="536"/>
    </row>
    <row r="1725" spans="1:31" s="503" customFormat="1" ht="15.75" customHeight="1">
      <c r="A1725" s="517" t="str">
        <f>IF(B1725&lt;&gt;"",IF(AND(B1725&gt;=_TM1,B1725&lt;=_TM2,OR(TH!L1725="1111",TH!M1725="1111")),TH!D1725,""),"")</f>
        <v/>
      </c>
      <c r="B1725" s="531">
        <f t="shared" si="169"/>
        <v>1</v>
      </c>
      <c r="C1725" s="315">
        <f t="shared" si="170"/>
        <v>42755</v>
      </c>
      <c r="D1725" s="315" t="s">
        <v>996</v>
      </c>
      <c r="E1725" s="545">
        <v>42755</v>
      </c>
      <c r="F1725" s="249" t="s">
        <v>506</v>
      </c>
      <c r="G1725" s="314" t="s">
        <v>492</v>
      </c>
      <c r="H1725" s="473" t="s">
        <v>800</v>
      </c>
      <c r="I1725" s="307">
        <v>300</v>
      </c>
      <c r="J1725" s="307">
        <v>10343.671543722576</v>
      </c>
      <c r="K1725" s="532">
        <f t="shared" si="171"/>
        <v>3103101</v>
      </c>
      <c r="L1725" s="539" t="s">
        <v>160</v>
      </c>
      <c r="M1725" s="539" t="s">
        <v>292</v>
      </c>
      <c r="N1725" s="525" t="str">
        <f>IF(AND('331-CT'!$E$7=TH!H1725,OR(L1725="331",M1725="331")),"331",IF(AND(OR(L1725="131",M1725="131"),H1725='131-CT'!$E$7),"131",""))</f>
        <v/>
      </c>
      <c r="O1725" s="525" t="str">
        <f>IF(AND($B1725&gt;='111'!$N$11,$B1725&lt;='111'!$O$11,OR($L1725=$O$7,$M1725=$O$7)),"x","")</f>
        <v/>
      </c>
      <c r="P1725" s="525" t="str">
        <f>IF(AND($L1725=$O$7,$B1725&lt;'111'!$N$11),"x","")</f>
        <v/>
      </c>
      <c r="Q1725" s="525" t="str">
        <f>IF(AND($M1725=$O$7,$B1725&lt;'111'!$N$11),"x","")</f>
        <v/>
      </c>
      <c r="R1725" s="525" t="str">
        <f>IF(ISERROR(FIND('112'!$M$9,G1725,1)),"",IF((AND(FIND('112'!$M$9,G1725,1)&gt;=1,$B1725&gt;='112'!$N$8,$B1725&lt;='112'!$O$8,OR($L1725='112'!$I$6,$M1725='112'!$I$6))),"x",""))</f>
        <v/>
      </c>
      <c r="S1725" s="525" t="str">
        <f>IF(ISERROR(FIND('112'!$M$9,G1725,1)),"",IF((AND(LEFT(G1725,2)=LEFT('112'!$M$9,2),B1725&lt;'112'!$N$8,$L1725='112'!$I$6)),"x",""))</f>
        <v/>
      </c>
      <c r="T1725" s="525" t="str">
        <f>IF(ISERROR(FIND('112'!$M$9,G1725,1)),"",IF((AND(RIGHT(G1725,2)=RIGHT('112'!$M$9,2),B1725&lt;'112'!$N$8,$M1725='112'!$I$6)),"x",""))</f>
        <v/>
      </c>
      <c r="U1725" s="525" t="str">
        <f>IF(AND(B1725&gt;='IN-NX'!$P$3,B1725&lt;='IN-NX'!$Q$3,'IN-NX'!$D$7=D1725,OR(LEFT(L1725,2)="15",AND(LEFT(M1725,2)&lt;&gt;"15",LEFT(M1725,2)&lt;&gt;"33"))),"x","")</f>
        <v/>
      </c>
      <c r="V1725" s="525" t="str">
        <f>IF(AND(OR(LEFT(TH!L1725,2)="15",LEFT(TH!M1725,2)="15"),'152-CT'!$J$8=TH!F1725),"x","")</f>
        <v/>
      </c>
      <c r="W1725" s="525" t="str">
        <f>IF(AND(OR(LEFT(TH!L1725,2)="15",LEFT(TH!M1725,2)="15"),TK!$E$7=TH!F1725),"x","")</f>
        <v/>
      </c>
      <c r="X1725" s="525" t="str">
        <f>IF(AND('341-CT'!$E$9=H1725,OR(LEFT(L1725,3)=$X$7,LEFT(M1725,3)=$X$7)),"x","")</f>
        <v/>
      </c>
      <c r="Y1725" s="525" t="str">
        <f>IF(OR(TH!L1725=TH!$Y$7,M1725=TH!$Y$7),"x","")</f>
        <v/>
      </c>
      <c r="Z1725" s="525" t="str">
        <f>IF(AND(B1725&lt;=NKC!$N$8,B1725&gt;=NKC!$M$8),"x","")</f>
        <v>x</v>
      </c>
      <c r="AA1725" s="535"/>
      <c r="AB1725" s="536"/>
      <c r="AE1725" s="536"/>
    </row>
    <row r="1726" spans="1:31" s="503" customFormat="1" ht="15.75" customHeight="1">
      <c r="A1726" s="517" t="str">
        <f>IF(B1726&lt;&gt;"",IF(AND(B1726&gt;=_TM1,B1726&lt;=_TM2,OR(TH!L1726="1111",TH!M1726="1111")),TH!D1726,""),"")</f>
        <v/>
      </c>
      <c r="B1726" s="531">
        <f t="shared" si="169"/>
        <v>1</v>
      </c>
      <c r="C1726" s="315">
        <f t="shared" si="170"/>
        <v>42758</v>
      </c>
      <c r="D1726" s="315" t="s">
        <v>996</v>
      </c>
      <c r="E1726" s="545">
        <v>42758</v>
      </c>
      <c r="F1726" s="249" t="s">
        <v>503</v>
      </c>
      <c r="G1726" s="314" t="s">
        <v>508</v>
      </c>
      <c r="H1726" s="473" t="s">
        <v>800</v>
      </c>
      <c r="I1726" s="307">
        <v>4</v>
      </c>
      <c r="J1726" s="307">
        <v>6871.5448770559078</v>
      </c>
      <c r="K1726" s="532">
        <f t="shared" si="171"/>
        <v>27486</v>
      </c>
      <c r="L1726" s="539" t="s">
        <v>160</v>
      </c>
      <c r="M1726" s="539" t="s">
        <v>292</v>
      </c>
      <c r="N1726" s="525" t="str">
        <f>IF(AND('331-CT'!$E$7=TH!H1726,OR(L1726="331",M1726="331")),"331",IF(AND(OR(L1726="131",M1726="131"),H1726='131-CT'!$E$7),"131",""))</f>
        <v/>
      </c>
      <c r="O1726" s="525" t="str">
        <f>IF(AND($B1726&gt;='111'!$N$11,$B1726&lt;='111'!$O$11,OR($L1726=$O$7,$M1726=$O$7)),"x","")</f>
        <v/>
      </c>
      <c r="P1726" s="525" t="str">
        <f>IF(AND($L1726=$O$7,$B1726&lt;'111'!$N$11),"x","")</f>
        <v/>
      </c>
      <c r="Q1726" s="525" t="str">
        <f>IF(AND($M1726=$O$7,$B1726&lt;'111'!$N$11),"x","")</f>
        <v/>
      </c>
      <c r="R1726" s="525" t="str">
        <f>IF(ISERROR(FIND('112'!$M$9,G1726,1)),"",IF((AND(FIND('112'!$M$9,G1726,1)&gt;=1,$B1726&gt;='112'!$N$8,$B1726&lt;='112'!$O$8,OR($L1726='112'!$I$6,$M1726='112'!$I$6))),"x",""))</f>
        <v/>
      </c>
      <c r="S1726" s="525" t="str">
        <f>IF(ISERROR(FIND('112'!$M$9,G1726,1)),"",IF((AND(LEFT(G1726,2)=LEFT('112'!$M$9,2),B1726&lt;'112'!$N$8,$L1726='112'!$I$6)),"x",""))</f>
        <v/>
      </c>
      <c r="T1726" s="525" t="str">
        <f>IF(ISERROR(FIND('112'!$M$9,G1726,1)),"",IF((AND(RIGHT(G1726,2)=RIGHT('112'!$M$9,2),B1726&lt;'112'!$N$8,$M1726='112'!$I$6)),"x",""))</f>
        <v/>
      </c>
      <c r="U1726" s="525" t="str">
        <f>IF(AND(B1726&gt;='IN-NX'!$P$3,B1726&lt;='IN-NX'!$Q$3,'IN-NX'!$D$7=D1726,OR(LEFT(L1726,2)="15",AND(LEFT(M1726,2)&lt;&gt;"15",LEFT(M1726,2)&lt;&gt;"33"))),"x","")</f>
        <v/>
      </c>
      <c r="V1726" s="525" t="str">
        <f>IF(AND(OR(LEFT(TH!L1726,2)="15",LEFT(TH!M1726,2)="15"),'152-CT'!$J$8=TH!F1726),"x","")</f>
        <v/>
      </c>
      <c r="W1726" s="525" t="str">
        <f>IF(AND(OR(LEFT(TH!L1726,2)="15",LEFT(TH!M1726,2)="15"),TK!$E$7=TH!F1726),"x","")</f>
        <v/>
      </c>
      <c r="X1726" s="525" t="str">
        <f>IF(AND('341-CT'!$E$9=H1726,OR(LEFT(L1726,3)=$X$7,LEFT(M1726,3)=$X$7)),"x","")</f>
        <v/>
      </c>
      <c r="Y1726" s="525" t="str">
        <f>IF(OR(TH!L1726=TH!$Y$7,M1726=TH!$Y$7),"x","")</f>
        <v/>
      </c>
      <c r="Z1726" s="525" t="str">
        <f>IF(AND(B1726&lt;=NKC!$N$8,B1726&gt;=NKC!$M$8),"x","")</f>
        <v>x</v>
      </c>
      <c r="AA1726" s="535"/>
      <c r="AB1726" s="536"/>
      <c r="AE1726" s="536"/>
    </row>
    <row r="1727" spans="1:31" s="503" customFormat="1" ht="15.75" customHeight="1">
      <c r="A1727" s="517" t="str">
        <f>IF(B1727&lt;&gt;"",IF(AND(B1727&gt;=_TM1,B1727&lt;=_TM2,OR(TH!L1727="1111",TH!M1727="1111")),TH!D1727,""),"")</f>
        <v/>
      </c>
      <c r="B1727" s="531">
        <f>IF(C1727&lt;&gt;"",MONTH(C1727),"")</f>
        <v>1</v>
      </c>
      <c r="C1727" s="315">
        <f>E1727</f>
        <v>42758</v>
      </c>
      <c r="D1727" s="315" t="s">
        <v>996</v>
      </c>
      <c r="E1727" s="545">
        <v>42758</v>
      </c>
      <c r="F1727" s="249" t="s">
        <v>768</v>
      </c>
      <c r="G1727" s="314" t="s">
        <v>510</v>
      </c>
      <c r="H1727" s="473" t="s">
        <v>800</v>
      </c>
      <c r="I1727" s="307">
        <v>1620</v>
      </c>
      <c r="J1727" s="307">
        <v>710.026358537389</v>
      </c>
      <c r="K1727" s="532">
        <f>ROUND(I1727*J1727,0)</f>
        <v>1150243</v>
      </c>
      <c r="L1727" s="539" t="s">
        <v>160</v>
      </c>
      <c r="M1727" s="539" t="s">
        <v>292</v>
      </c>
      <c r="N1727" s="525" t="str">
        <f>IF(AND('331-CT'!$E$7=TH!H1727,OR(L1727="331",M1727="331")),"331",IF(AND(OR(L1727="131",M1727="131"),H1727='131-CT'!$E$7),"131",""))</f>
        <v/>
      </c>
      <c r="O1727" s="525" t="str">
        <f>IF(AND($B1727&gt;='111'!$N$11,$B1727&lt;='111'!$O$11,OR($L1727=$O$7,$M1727=$O$7)),"x","")</f>
        <v/>
      </c>
      <c r="P1727" s="525" t="str">
        <f>IF(AND($L1727=$O$7,$B1727&lt;'111'!$N$11),"x","")</f>
        <v/>
      </c>
      <c r="Q1727" s="525" t="str">
        <f>IF(AND($M1727=$O$7,$B1727&lt;'111'!$N$11),"x","")</f>
        <v/>
      </c>
      <c r="R1727" s="525" t="str">
        <f>IF(ISERROR(FIND('112'!$M$9,G1727,1)),"",IF((AND(FIND('112'!$M$9,G1727,1)&gt;=1,$B1727&gt;='112'!$N$8,$B1727&lt;='112'!$O$8,OR($L1727='112'!$I$6,$M1727='112'!$I$6))),"x",""))</f>
        <v/>
      </c>
      <c r="S1727" s="525" t="str">
        <f>IF(ISERROR(FIND('112'!$M$9,G1727,1)),"",IF((AND(LEFT(G1727,2)=LEFT('112'!$M$9,2),B1727&lt;'112'!$N$8,$L1727='112'!$I$6)),"x",""))</f>
        <v/>
      </c>
      <c r="T1727" s="525" t="str">
        <f>IF(ISERROR(FIND('112'!$M$9,G1727,1)),"",IF((AND(RIGHT(G1727,2)=RIGHT('112'!$M$9,2),B1727&lt;'112'!$N$8,$M1727='112'!$I$6)),"x",""))</f>
        <v/>
      </c>
      <c r="U1727" s="525" t="str">
        <f>IF(AND(B1727&gt;='IN-NX'!$P$3,B1727&lt;='IN-NX'!$Q$3,'IN-NX'!$D$7=D1727,OR(LEFT(L1727,2)="15",AND(LEFT(M1727,2)&lt;&gt;"15",LEFT(M1727,2)&lt;&gt;"33"))),"x","")</f>
        <v/>
      </c>
      <c r="V1727" s="525" t="str">
        <f>IF(AND(OR(LEFT(TH!L1727,2)="15",LEFT(TH!M1727,2)="15"),'152-CT'!$J$8=TH!F1727),"x","")</f>
        <v/>
      </c>
      <c r="W1727" s="525" t="str">
        <f>IF(AND(OR(LEFT(TH!L1727,2)="15",LEFT(TH!M1727,2)="15"),TK!$E$7=TH!F1727),"x","")</f>
        <v/>
      </c>
      <c r="X1727" s="525" t="str">
        <f>IF(AND('341-CT'!$E$9=H1727,OR(LEFT(L1727,3)=$X$7,LEFT(M1727,3)=$X$7)),"x","")</f>
        <v/>
      </c>
      <c r="Y1727" s="525" t="str">
        <f>IF(OR(TH!L1727=TH!$Y$7,M1727=TH!$Y$7),"x","")</f>
        <v/>
      </c>
      <c r="Z1727" s="525" t="str">
        <f>IF(AND(B1727&lt;=NKC!$N$8,B1727&gt;=NKC!$M$8),"x","")</f>
        <v>x</v>
      </c>
      <c r="AA1727" s="535"/>
      <c r="AB1727" s="536"/>
      <c r="AE1727" s="536"/>
    </row>
    <row r="1728" spans="1:31" s="570" customFormat="1" ht="15.75" customHeight="1">
      <c r="A1728" s="517" t="str">
        <f>IF(B1728&lt;&gt;"",IF(AND(B1728&gt;=_TM1,B1728&lt;=_TM2,OR(TH!L1728="1111",TH!M1728="1111")),TH!D1728,""),"")</f>
        <v/>
      </c>
      <c r="B1728" s="562">
        <f t="shared" si="165"/>
        <v>2</v>
      </c>
      <c r="C1728" s="563">
        <f t="shared" si="163"/>
        <v>42773</v>
      </c>
      <c r="D1728" s="563" t="s">
        <v>996</v>
      </c>
      <c r="E1728" s="593">
        <v>42773</v>
      </c>
      <c r="F1728" s="564" t="s">
        <v>503</v>
      </c>
      <c r="G1728" s="565" t="s">
        <v>529</v>
      </c>
      <c r="H1728" s="566" t="s">
        <v>800</v>
      </c>
      <c r="I1728" s="567">
        <v>2000</v>
      </c>
      <c r="J1728" s="567">
        <v>8245</v>
      </c>
      <c r="K1728" s="568">
        <f t="shared" si="164"/>
        <v>16490000</v>
      </c>
      <c r="L1728" s="588" t="s">
        <v>160</v>
      </c>
      <c r="M1728" s="588" t="s">
        <v>292</v>
      </c>
      <c r="N1728" s="525" t="str">
        <f>IF(AND('331-CT'!$E$7=TH!H1728,OR(L1728="331",M1728="331")),"331",IF(AND(OR(L1728="131",M1728="131"),H1728='131-CT'!$E$7),"131",""))</f>
        <v/>
      </c>
      <c r="O1728" s="525" t="str">
        <f>IF(AND($B1728&gt;='111'!$N$11,$B1728&lt;='111'!$O$11,OR($L1728=$O$7,$M1728=$O$7)),"x","")</f>
        <v/>
      </c>
      <c r="P1728" s="525" t="str">
        <f>IF(AND($L1728=$O$7,$B1728&lt;'111'!$N$11),"x","")</f>
        <v/>
      </c>
      <c r="Q1728" s="525" t="str">
        <f>IF(AND($M1728=$O$7,$B1728&lt;'111'!$N$11),"x","")</f>
        <v/>
      </c>
      <c r="R1728" s="525" t="str">
        <f>IF(ISERROR(FIND('112'!$M$9,G1728,1)),"",IF((AND(FIND('112'!$M$9,G1728,1)&gt;=1,$B1728&gt;='112'!$N$8,$B1728&lt;='112'!$O$8,OR($L1728='112'!$I$6,$M1728='112'!$I$6))),"x",""))</f>
        <v/>
      </c>
      <c r="S1728" s="525" t="str">
        <f>IF(ISERROR(FIND('112'!$M$9,G1728,1)),"",IF((AND(LEFT(G1728,2)=LEFT('112'!$M$9,2),B1728&lt;'112'!$N$8,$L1728='112'!$I$6)),"x",""))</f>
        <v/>
      </c>
      <c r="T1728" s="525" t="str">
        <f>IF(ISERROR(FIND('112'!$M$9,G1728,1)),"",IF((AND(RIGHT(G1728,2)=RIGHT('112'!$M$9,2),B1728&lt;'112'!$N$8,$M1728='112'!$I$6)),"x",""))</f>
        <v/>
      </c>
      <c r="U1728" s="525" t="str">
        <f>IF(AND(B1728&gt;='IN-NX'!$P$3,B1728&lt;='IN-NX'!$Q$3,'IN-NX'!$D$7=D1728,OR(LEFT(L1728,2)="15",AND(LEFT(M1728,2)&lt;&gt;"15",LEFT(M1728,2)&lt;&gt;"33"))),"x","")</f>
        <v/>
      </c>
      <c r="V1728" s="525" t="str">
        <f>IF(AND(OR(LEFT(TH!L1728,2)="15",LEFT(TH!M1728,2)="15"),'152-CT'!$J$8=TH!F1728),"x","")</f>
        <v/>
      </c>
      <c r="W1728" s="525" t="str">
        <f>IF(AND(OR(LEFT(TH!L1728,2)="15",LEFT(TH!M1728,2)="15"),TK!$E$7=TH!F1728),"x","")</f>
        <v/>
      </c>
      <c r="X1728" s="525" t="str">
        <f>IF(AND('341-CT'!$E$9=H1728,OR(LEFT(L1728,3)=$X$7,LEFT(M1728,3)=$X$7)),"x","")</f>
        <v/>
      </c>
      <c r="Y1728" s="525" t="str">
        <f>IF(OR(TH!L1728=TH!$Y$7,M1728=TH!$Y$7),"x","")</f>
        <v/>
      </c>
      <c r="Z1728" s="525" t="str">
        <f>IF(AND(B1728&lt;=NKC!$N$8,B1728&gt;=NKC!$M$8),"x","")</f>
        <v>x</v>
      </c>
      <c r="AA1728" s="569"/>
      <c r="AB1728" s="589"/>
      <c r="AE1728" s="589"/>
    </row>
    <row r="1729" spans="1:31" s="503" customFormat="1" ht="15.75" customHeight="1">
      <c r="A1729" s="517" t="str">
        <f>IF(B1729&lt;&gt;"",IF(AND(B1729&gt;=_TM1,B1729&lt;=_TM2,OR(TH!L1729="1111",TH!M1729="1111")),TH!D1729,""),"")</f>
        <v/>
      </c>
      <c r="B1729" s="531">
        <f t="shared" si="165"/>
        <v>2</v>
      </c>
      <c r="C1729" s="315">
        <f t="shared" si="163"/>
        <v>42783</v>
      </c>
      <c r="D1729" s="537" t="s">
        <v>996</v>
      </c>
      <c r="E1729" s="547">
        <v>42783</v>
      </c>
      <c r="F1729" s="249" t="s">
        <v>503</v>
      </c>
      <c r="G1729" s="538" t="s">
        <v>533</v>
      </c>
      <c r="H1729" s="473" t="s">
        <v>800</v>
      </c>
      <c r="I1729" s="307">
        <v>1900</v>
      </c>
      <c r="J1729" s="307">
        <v>8245</v>
      </c>
      <c r="K1729" s="532">
        <f t="shared" si="164"/>
        <v>15665500</v>
      </c>
      <c r="L1729" s="539" t="s">
        <v>160</v>
      </c>
      <c r="M1729" s="539" t="s">
        <v>292</v>
      </c>
      <c r="N1729" s="525" t="str">
        <f>IF(AND('331-CT'!$E$7=TH!H1729,OR(L1729="331",M1729="331")),"331",IF(AND(OR(L1729="131",M1729="131"),H1729='131-CT'!$E$7),"131",""))</f>
        <v/>
      </c>
      <c r="O1729" s="525" t="str">
        <f>IF(AND($B1729&gt;='111'!$N$11,$B1729&lt;='111'!$O$11,OR($L1729=$O$7,$M1729=$O$7)),"x","")</f>
        <v/>
      </c>
      <c r="P1729" s="525" t="str">
        <f>IF(AND($L1729=$O$7,$B1729&lt;'111'!$N$11),"x","")</f>
        <v/>
      </c>
      <c r="Q1729" s="525" t="str">
        <f>IF(AND($M1729=$O$7,$B1729&lt;'111'!$N$11),"x","")</f>
        <v/>
      </c>
      <c r="R1729" s="525" t="str">
        <f>IF(ISERROR(FIND('112'!$M$9,G1729,1)),"",IF((AND(FIND('112'!$M$9,G1729,1)&gt;=1,$B1729&gt;='112'!$N$8,$B1729&lt;='112'!$O$8,OR($L1729='112'!$I$6,$M1729='112'!$I$6))),"x",""))</f>
        <v/>
      </c>
      <c r="S1729" s="525" t="str">
        <f>IF(ISERROR(FIND('112'!$M$9,G1729,1)),"",IF((AND(LEFT(G1729,2)=LEFT('112'!$M$9,2),B1729&lt;'112'!$N$8,$L1729='112'!$I$6)),"x",""))</f>
        <v/>
      </c>
      <c r="T1729" s="525" t="str">
        <f>IF(ISERROR(FIND('112'!$M$9,G1729,1)),"",IF((AND(RIGHT(G1729,2)=RIGHT('112'!$M$9,2),B1729&lt;'112'!$N$8,$M1729='112'!$I$6)),"x",""))</f>
        <v/>
      </c>
      <c r="U1729" s="525" t="str">
        <f>IF(AND(B1729&gt;='IN-NX'!$P$3,B1729&lt;='IN-NX'!$Q$3,'IN-NX'!$D$7=D1729,OR(LEFT(L1729,2)="15",AND(LEFT(M1729,2)&lt;&gt;"15",LEFT(M1729,2)&lt;&gt;"33"))),"x","")</f>
        <v/>
      </c>
      <c r="V1729" s="525" t="str">
        <f>IF(AND(OR(LEFT(TH!L1729,2)="15",LEFT(TH!M1729,2)="15"),'152-CT'!$J$8=TH!F1729),"x","")</f>
        <v/>
      </c>
      <c r="W1729" s="525" t="str">
        <f>IF(AND(OR(LEFT(TH!L1729,2)="15",LEFT(TH!M1729,2)="15"),TK!$E$7=TH!F1729),"x","")</f>
        <v/>
      </c>
      <c r="X1729" s="525" t="str">
        <f>IF(AND('341-CT'!$E$9=H1729,OR(LEFT(L1729,3)=$X$7,LEFT(M1729,3)=$X$7)),"x","")</f>
        <v/>
      </c>
      <c r="Y1729" s="525" t="str">
        <f>IF(OR(TH!L1729=TH!$Y$7,M1729=TH!$Y$7),"x","")</f>
        <v/>
      </c>
      <c r="Z1729" s="525" t="str">
        <f>IF(AND(B1729&lt;=NKC!$N$8,B1729&gt;=NKC!$M$8),"x","")</f>
        <v>x</v>
      </c>
      <c r="AA1729" s="535"/>
      <c r="AB1729" s="536"/>
    </row>
    <row r="1730" spans="1:31" s="503" customFormat="1" ht="15.75" customHeight="1">
      <c r="A1730" s="517" t="str">
        <f>IF(B1730&lt;&gt;"",IF(AND(B1730&gt;=_TM1,B1730&lt;=_TM2,OR(TH!L1730="1111",TH!M1730="1111")),TH!D1730,""),"")</f>
        <v/>
      </c>
      <c r="B1730" s="531">
        <f t="shared" si="165"/>
        <v>2</v>
      </c>
      <c r="C1730" s="315">
        <f t="shared" si="163"/>
        <v>42786</v>
      </c>
      <c r="D1730" s="537" t="s">
        <v>996</v>
      </c>
      <c r="E1730" s="547">
        <v>42786</v>
      </c>
      <c r="F1730" s="249" t="s">
        <v>353</v>
      </c>
      <c r="G1730" s="538" t="s">
        <v>534</v>
      </c>
      <c r="H1730" s="473" t="s">
        <v>800</v>
      </c>
      <c r="I1730" s="307">
        <v>400</v>
      </c>
      <c r="J1730" s="307">
        <v>18216</v>
      </c>
      <c r="K1730" s="532">
        <f t="shared" si="164"/>
        <v>7286400</v>
      </c>
      <c r="L1730" s="539" t="s">
        <v>160</v>
      </c>
      <c r="M1730" s="539" t="s">
        <v>292</v>
      </c>
      <c r="N1730" s="525" t="str">
        <f>IF(AND('331-CT'!$E$7=TH!H1730,OR(L1730="331",M1730="331")),"331",IF(AND(OR(L1730="131",M1730="131"),H1730='131-CT'!$E$7),"131",""))</f>
        <v/>
      </c>
      <c r="O1730" s="525" t="str">
        <f>IF(AND($B1730&gt;='111'!$N$11,$B1730&lt;='111'!$O$11,OR($L1730=$O$7,$M1730=$O$7)),"x","")</f>
        <v/>
      </c>
      <c r="P1730" s="525" t="str">
        <f>IF(AND($L1730=$O$7,$B1730&lt;'111'!$N$11),"x","")</f>
        <v/>
      </c>
      <c r="Q1730" s="525" t="str">
        <f>IF(AND($M1730=$O$7,$B1730&lt;'111'!$N$11),"x","")</f>
        <v/>
      </c>
      <c r="R1730" s="525" t="str">
        <f>IF(ISERROR(FIND('112'!$M$9,G1730,1)),"",IF((AND(FIND('112'!$M$9,G1730,1)&gt;=1,$B1730&gt;='112'!$N$8,$B1730&lt;='112'!$O$8,OR($L1730='112'!$I$6,$M1730='112'!$I$6))),"x",""))</f>
        <v/>
      </c>
      <c r="S1730" s="525" t="str">
        <f>IF(ISERROR(FIND('112'!$M$9,G1730,1)),"",IF((AND(LEFT(G1730,2)=LEFT('112'!$M$9,2),B1730&lt;'112'!$N$8,$L1730='112'!$I$6)),"x",""))</f>
        <v/>
      </c>
      <c r="T1730" s="525" t="str">
        <f>IF(ISERROR(FIND('112'!$M$9,G1730,1)),"",IF((AND(RIGHT(G1730,2)=RIGHT('112'!$M$9,2),B1730&lt;'112'!$N$8,$M1730='112'!$I$6)),"x",""))</f>
        <v/>
      </c>
      <c r="U1730" s="525" t="str">
        <f>IF(AND(B1730&gt;='IN-NX'!$P$3,B1730&lt;='IN-NX'!$Q$3,'IN-NX'!$D$7=D1730,OR(LEFT(L1730,2)="15",AND(LEFT(M1730,2)&lt;&gt;"15",LEFT(M1730,2)&lt;&gt;"33"))),"x","")</f>
        <v/>
      </c>
      <c r="V1730" s="525" t="str">
        <f>IF(AND(OR(LEFT(TH!L1730,2)="15",LEFT(TH!M1730,2)="15"),'152-CT'!$J$8=TH!F1730),"x","")</f>
        <v/>
      </c>
      <c r="W1730" s="525" t="str">
        <f>IF(AND(OR(LEFT(TH!L1730,2)="15",LEFT(TH!M1730,2)="15"),TK!$E$7=TH!F1730),"x","")</f>
        <v/>
      </c>
      <c r="X1730" s="525" t="str">
        <f>IF(AND('341-CT'!$E$9=H1730,OR(LEFT(L1730,3)=$X$7,LEFT(M1730,3)=$X$7)),"x","")</f>
        <v/>
      </c>
      <c r="Y1730" s="525" t="str">
        <f>IF(OR(TH!L1730=TH!$Y$7,M1730=TH!$Y$7),"x","")</f>
        <v/>
      </c>
      <c r="Z1730" s="525" t="str">
        <f>IF(AND(B1730&lt;=NKC!$N$8,B1730&gt;=NKC!$M$8),"x","")</f>
        <v>x</v>
      </c>
      <c r="AA1730" s="535"/>
      <c r="AB1730" s="536"/>
    </row>
    <row r="1731" spans="1:31" s="503" customFormat="1" ht="15.75" customHeight="1">
      <c r="A1731" s="517" t="str">
        <f>IF(B1731&lt;&gt;"",IF(AND(B1731&gt;=_TM1,B1731&lt;=_TM2,OR(TH!L1731="1111",TH!M1731="1111")),TH!D1731,""),"")</f>
        <v/>
      </c>
      <c r="B1731" s="531">
        <f t="shared" si="165"/>
        <v>2</v>
      </c>
      <c r="C1731" s="315">
        <f t="shared" si="163"/>
        <v>42786</v>
      </c>
      <c r="D1731" s="537" t="s">
        <v>996</v>
      </c>
      <c r="E1731" s="547">
        <v>42786</v>
      </c>
      <c r="F1731" s="249" t="s">
        <v>366</v>
      </c>
      <c r="G1731" s="538" t="s">
        <v>534</v>
      </c>
      <c r="H1731" s="473" t="s">
        <v>800</v>
      </c>
      <c r="I1731" s="307">
        <v>183</v>
      </c>
      <c r="J1731" s="307">
        <v>31755</v>
      </c>
      <c r="K1731" s="532">
        <f t="shared" si="164"/>
        <v>5811165</v>
      </c>
      <c r="L1731" s="539" t="s">
        <v>160</v>
      </c>
      <c r="M1731" s="539" t="s">
        <v>292</v>
      </c>
      <c r="N1731" s="525" t="str">
        <f>IF(AND('331-CT'!$E$7=TH!H1731,OR(L1731="331",M1731="331")),"331",IF(AND(OR(L1731="131",M1731="131"),H1731='131-CT'!$E$7),"131",""))</f>
        <v/>
      </c>
      <c r="O1731" s="525" t="str">
        <f>IF(AND($B1731&gt;='111'!$N$11,$B1731&lt;='111'!$O$11,OR($L1731=$O$7,$M1731=$O$7)),"x","")</f>
        <v/>
      </c>
      <c r="P1731" s="525" t="str">
        <f>IF(AND($L1731=$O$7,$B1731&lt;'111'!$N$11),"x","")</f>
        <v/>
      </c>
      <c r="Q1731" s="525" t="str">
        <f>IF(AND($M1731=$O$7,$B1731&lt;'111'!$N$11),"x","")</f>
        <v/>
      </c>
      <c r="R1731" s="525" t="str">
        <f>IF(ISERROR(FIND('112'!$M$9,G1731,1)),"",IF((AND(FIND('112'!$M$9,G1731,1)&gt;=1,$B1731&gt;='112'!$N$8,$B1731&lt;='112'!$O$8,OR($L1731='112'!$I$6,$M1731='112'!$I$6))),"x",""))</f>
        <v/>
      </c>
      <c r="S1731" s="525" t="str">
        <f>IF(ISERROR(FIND('112'!$M$9,G1731,1)),"",IF((AND(LEFT(G1731,2)=LEFT('112'!$M$9,2),B1731&lt;'112'!$N$8,$L1731='112'!$I$6)),"x",""))</f>
        <v/>
      </c>
      <c r="T1731" s="525" t="str">
        <f>IF(ISERROR(FIND('112'!$M$9,G1731,1)),"",IF((AND(RIGHT(G1731,2)=RIGHT('112'!$M$9,2),B1731&lt;'112'!$N$8,$M1731='112'!$I$6)),"x",""))</f>
        <v/>
      </c>
      <c r="U1731" s="525" t="str">
        <f>IF(AND(B1731&gt;='IN-NX'!$P$3,B1731&lt;='IN-NX'!$Q$3,'IN-NX'!$D$7=D1731,OR(LEFT(L1731,2)="15",AND(LEFT(M1731,2)&lt;&gt;"15",LEFT(M1731,2)&lt;&gt;"33"))),"x","")</f>
        <v/>
      </c>
      <c r="V1731" s="525" t="str">
        <f>IF(AND(OR(LEFT(TH!L1731,2)="15",LEFT(TH!M1731,2)="15"),'152-CT'!$J$8=TH!F1731),"x","")</f>
        <v/>
      </c>
      <c r="W1731" s="525" t="str">
        <f>IF(AND(OR(LEFT(TH!L1731,2)="15",LEFT(TH!M1731,2)="15"),TK!$E$7=TH!F1731),"x","")</f>
        <v/>
      </c>
      <c r="X1731" s="525" t="str">
        <f>IF(AND('341-CT'!$E$9=H1731,OR(LEFT(L1731,3)=$X$7,LEFT(M1731,3)=$X$7)),"x","")</f>
        <v/>
      </c>
      <c r="Y1731" s="525" t="str">
        <f>IF(OR(TH!L1731=TH!$Y$7,M1731=TH!$Y$7),"x","")</f>
        <v/>
      </c>
      <c r="Z1731" s="525" t="str">
        <f>IF(AND(B1731&lt;=NKC!$N$8,B1731&gt;=NKC!$M$8),"x","")</f>
        <v>x</v>
      </c>
      <c r="AA1731" s="535"/>
      <c r="AB1731" s="536"/>
    </row>
    <row r="1732" spans="1:31" s="503" customFormat="1" ht="15.75" customHeight="1">
      <c r="A1732" s="517" t="str">
        <f>IF(B1732&lt;&gt;"",IF(AND(B1732&gt;=_TM1,B1732&lt;=_TM2,OR(TH!L1732="1111",TH!M1732="1111")),TH!D1732,""),"")</f>
        <v/>
      </c>
      <c r="B1732" s="531">
        <f t="shared" si="165"/>
        <v>2</v>
      </c>
      <c r="C1732" s="315">
        <f t="shared" si="163"/>
        <v>42786</v>
      </c>
      <c r="D1732" s="537" t="s">
        <v>996</v>
      </c>
      <c r="E1732" s="547">
        <v>42786</v>
      </c>
      <c r="F1732" s="249" t="s">
        <v>368</v>
      </c>
      <c r="G1732" s="538" t="s">
        <v>534</v>
      </c>
      <c r="H1732" s="473" t="s">
        <v>800</v>
      </c>
      <c r="I1732" s="307">
        <v>123</v>
      </c>
      <c r="J1732" s="307">
        <v>25146</v>
      </c>
      <c r="K1732" s="532">
        <f t="shared" si="164"/>
        <v>3092958</v>
      </c>
      <c r="L1732" s="539" t="s">
        <v>160</v>
      </c>
      <c r="M1732" s="539" t="s">
        <v>292</v>
      </c>
      <c r="N1732" s="525" t="str">
        <f>IF(AND('331-CT'!$E$7=TH!H1732,OR(L1732="331",M1732="331")),"331",IF(AND(OR(L1732="131",M1732="131"),H1732='131-CT'!$E$7),"131",""))</f>
        <v/>
      </c>
      <c r="O1732" s="525" t="str">
        <f>IF(AND($B1732&gt;='111'!$N$11,$B1732&lt;='111'!$O$11,OR($L1732=$O$7,$M1732=$O$7)),"x","")</f>
        <v/>
      </c>
      <c r="P1732" s="525" t="str">
        <f>IF(AND($L1732=$O$7,$B1732&lt;'111'!$N$11),"x","")</f>
        <v/>
      </c>
      <c r="Q1732" s="525" t="str">
        <f>IF(AND($M1732=$O$7,$B1732&lt;'111'!$N$11),"x","")</f>
        <v/>
      </c>
      <c r="R1732" s="525" t="str">
        <f>IF(ISERROR(FIND('112'!$M$9,G1732,1)),"",IF((AND(FIND('112'!$M$9,G1732,1)&gt;=1,$B1732&gt;='112'!$N$8,$B1732&lt;='112'!$O$8,OR($L1732='112'!$I$6,$M1732='112'!$I$6))),"x",""))</f>
        <v/>
      </c>
      <c r="S1732" s="525" t="str">
        <f>IF(ISERROR(FIND('112'!$M$9,G1732,1)),"",IF((AND(LEFT(G1732,2)=LEFT('112'!$M$9,2),B1732&lt;'112'!$N$8,$L1732='112'!$I$6)),"x",""))</f>
        <v/>
      </c>
      <c r="T1732" s="525" t="str">
        <f>IF(ISERROR(FIND('112'!$M$9,G1732,1)),"",IF((AND(RIGHT(G1732,2)=RIGHT('112'!$M$9,2),B1732&lt;'112'!$N$8,$M1732='112'!$I$6)),"x",""))</f>
        <v/>
      </c>
      <c r="U1732" s="525" t="str">
        <f>IF(AND(B1732&gt;='IN-NX'!$P$3,B1732&lt;='IN-NX'!$Q$3,'IN-NX'!$D$7=D1732,OR(LEFT(L1732,2)="15",AND(LEFT(M1732,2)&lt;&gt;"15",LEFT(M1732,2)&lt;&gt;"33"))),"x","")</f>
        <v/>
      </c>
      <c r="V1732" s="525" t="str">
        <f>IF(AND(OR(LEFT(TH!L1732,2)="15",LEFT(TH!M1732,2)="15"),'152-CT'!$J$8=TH!F1732),"x","")</f>
        <v/>
      </c>
      <c r="W1732" s="525" t="str">
        <f>IF(AND(OR(LEFT(TH!L1732,2)="15",LEFT(TH!M1732,2)="15"),TK!$E$7=TH!F1732),"x","")</f>
        <v/>
      </c>
      <c r="X1732" s="525" t="str">
        <f>IF(AND('341-CT'!$E$9=H1732,OR(LEFT(L1732,3)=$X$7,LEFT(M1732,3)=$X$7)),"x","")</f>
        <v/>
      </c>
      <c r="Y1732" s="525" t="str">
        <f>IF(OR(TH!L1732=TH!$Y$7,M1732=TH!$Y$7),"x","")</f>
        <v/>
      </c>
      <c r="Z1732" s="525" t="str">
        <f>IF(AND(B1732&lt;=NKC!$N$8,B1732&gt;=NKC!$M$8),"x","")</f>
        <v>x</v>
      </c>
      <c r="AA1732" s="535"/>
      <c r="AB1732" s="536"/>
    </row>
    <row r="1733" spans="1:31" s="503" customFormat="1" ht="15.75" customHeight="1">
      <c r="A1733" s="517" t="str">
        <f>IF(B1733&lt;&gt;"",IF(AND(B1733&gt;=_TM1,B1733&lt;=_TM2,OR(TH!L1733="1111",TH!M1733="1111")),TH!D1733,""),"")</f>
        <v/>
      </c>
      <c r="B1733" s="531">
        <f t="shared" si="165"/>
        <v>2</v>
      </c>
      <c r="C1733" s="315">
        <f t="shared" si="163"/>
        <v>42788</v>
      </c>
      <c r="D1733" s="537" t="s">
        <v>996</v>
      </c>
      <c r="E1733" s="547">
        <v>42788</v>
      </c>
      <c r="F1733" s="249" t="s">
        <v>560</v>
      </c>
      <c r="G1733" s="538" t="s">
        <v>535</v>
      </c>
      <c r="H1733" s="473" t="s">
        <v>800</v>
      </c>
      <c r="I1733" s="307">
        <v>500</v>
      </c>
      <c r="J1733" s="307">
        <v>16975</v>
      </c>
      <c r="K1733" s="532">
        <f t="shared" si="164"/>
        <v>8487500</v>
      </c>
      <c r="L1733" s="539" t="s">
        <v>160</v>
      </c>
      <c r="M1733" s="539" t="s">
        <v>292</v>
      </c>
      <c r="N1733" s="525" t="str">
        <f>IF(AND('331-CT'!$E$7=TH!H1733,OR(L1733="331",M1733="331")),"331",IF(AND(OR(L1733="131",M1733="131"),H1733='131-CT'!$E$7),"131",""))</f>
        <v/>
      </c>
      <c r="O1733" s="525" t="str">
        <f>IF(AND($B1733&gt;='111'!$N$11,$B1733&lt;='111'!$O$11,OR($L1733=$O$7,$M1733=$O$7)),"x","")</f>
        <v/>
      </c>
      <c r="P1733" s="525" t="str">
        <f>IF(AND($L1733=$O$7,$B1733&lt;'111'!$N$11),"x","")</f>
        <v/>
      </c>
      <c r="Q1733" s="525" t="str">
        <f>IF(AND($M1733=$O$7,$B1733&lt;'111'!$N$11),"x","")</f>
        <v/>
      </c>
      <c r="R1733" s="525" t="str">
        <f>IF(ISERROR(FIND('112'!$M$9,G1733,1)),"",IF((AND(FIND('112'!$M$9,G1733,1)&gt;=1,$B1733&gt;='112'!$N$8,$B1733&lt;='112'!$O$8,OR($L1733='112'!$I$6,$M1733='112'!$I$6))),"x",""))</f>
        <v/>
      </c>
      <c r="S1733" s="525" t="str">
        <f>IF(ISERROR(FIND('112'!$M$9,G1733,1)),"",IF((AND(LEFT(G1733,2)=LEFT('112'!$M$9,2),B1733&lt;'112'!$N$8,$L1733='112'!$I$6)),"x",""))</f>
        <v/>
      </c>
      <c r="T1733" s="525" t="str">
        <f>IF(ISERROR(FIND('112'!$M$9,G1733,1)),"",IF((AND(RIGHT(G1733,2)=RIGHT('112'!$M$9,2),B1733&lt;'112'!$N$8,$M1733='112'!$I$6)),"x",""))</f>
        <v/>
      </c>
      <c r="U1733" s="525" t="str">
        <f>IF(AND(B1733&gt;='IN-NX'!$P$3,B1733&lt;='IN-NX'!$Q$3,'IN-NX'!$D$7=D1733,OR(LEFT(L1733,2)="15",AND(LEFT(M1733,2)&lt;&gt;"15",LEFT(M1733,2)&lt;&gt;"33"))),"x","")</f>
        <v/>
      </c>
      <c r="V1733" s="525" t="str">
        <f>IF(AND(OR(LEFT(TH!L1733,2)="15",LEFT(TH!M1733,2)="15"),'152-CT'!$J$8=TH!F1733),"x","")</f>
        <v/>
      </c>
      <c r="W1733" s="525" t="str">
        <f>IF(AND(OR(LEFT(TH!L1733,2)="15",LEFT(TH!M1733,2)="15"),TK!$E$7=TH!F1733),"x","")</f>
        <v/>
      </c>
      <c r="X1733" s="525" t="str">
        <f>IF(AND('341-CT'!$E$9=H1733,OR(LEFT(L1733,3)=$X$7,LEFT(M1733,3)=$X$7)),"x","")</f>
        <v/>
      </c>
      <c r="Y1733" s="525" t="str">
        <f>IF(OR(TH!L1733=TH!$Y$7,M1733=TH!$Y$7),"x","")</f>
        <v/>
      </c>
      <c r="Z1733" s="525" t="str">
        <f>IF(AND(B1733&lt;=NKC!$N$8,B1733&gt;=NKC!$M$8),"x","")</f>
        <v>x</v>
      </c>
      <c r="AA1733" s="535"/>
      <c r="AB1733" s="536"/>
    </row>
    <row r="1734" spans="1:31" s="503" customFormat="1" ht="15.75" customHeight="1">
      <c r="A1734" s="517" t="str">
        <f>IF(B1734&lt;&gt;"",IF(AND(B1734&gt;=_TM1,B1734&lt;=_TM2,OR(TH!L1734="1111",TH!M1734="1111")),TH!D1734,""),"")</f>
        <v/>
      </c>
      <c r="B1734" s="531">
        <f t="shared" si="165"/>
        <v>2</v>
      </c>
      <c r="C1734" s="315">
        <f t="shared" si="163"/>
        <v>42788</v>
      </c>
      <c r="D1734" s="537" t="s">
        <v>996</v>
      </c>
      <c r="E1734" s="547">
        <v>42788</v>
      </c>
      <c r="F1734" s="249" t="s">
        <v>561</v>
      </c>
      <c r="G1734" s="538" t="s">
        <v>536</v>
      </c>
      <c r="H1734" s="473" t="s">
        <v>800</v>
      </c>
      <c r="I1734" s="307">
        <v>500</v>
      </c>
      <c r="J1734" s="307">
        <v>15520</v>
      </c>
      <c r="K1734" s="532">
        <f t="shared" si="164"/>
        <v>7760000</v>
      </c>
      <c r="L1734" s="539" t="s">
        <v>160</v>
      </c>
      <c r="M1734" s="539" t="s">
        <v>292</v>
      </c>
      <c r="N1734" s="525" t="str">
        <f>IF(AND('331-CT'!$E$7=TH!H1734,OR(L1734="331",M1734="331")),"331",IF(AND(OR(L1734="131",M1734="131"),H1734='131-CT'!$E$7),"131",""))</f>
        <v/>
      </c>
      <c r="O1734" s="525" t="str">
        <f>IF(AND($B1734&gt;='111'!$N$11,$B1734&lt;='111'!$O$11,OR($L1734=$O$7,$M1734=$O$7)),"x","")</f>
        <v/>
      </c>
      <c r="P1734" s="525" t="str">
        <f>IF(AND($L1734=$O$7,$B1734&lt;'111'!$N$11),"x","")</f>
        <v/>
      </c>
      <c r="Q1734" s="525" t="str">
        <f>IF(AND($M1734=$O$7,$B1734&lt;'111'!$N$11),"x","")</f>
        <v/>
      </c>
      <c r="R1734" s="525" t="str">
        <f>IF(ISERROR(FIND('112'!$M$9,G1734,1)),"",IF((AND(FIND('112'!$M$9,G1734,1)&gt;=1,$B1734&gt;='112'!$N$8,$B1734&lt;='112'!$O$8,OR($L1734='112'!$I$6,$M1734='112'!$I$6))),"x",""))</f>
        <v/>
      </c>
      <c r="S1734" s="525" t="str">
        <f>IF(ISERROR(FIND('112'!$M$9,G1734,1)),"",IF((AND(LEFT(G1734,2)=LEFT('112'!$M$9,2),B1734&lt;'112'!$N$8,$L1734='112'!$I$6)),"x",""))</f>
        <v/>
      </c>
      <c r="T1734" s="525" t="str">
        <f>IF(ISERROR(FIND('112'!$M$9,G1734,1)),"",IF((AND(RIGHT(G1734,2)=RIGHT('112'!$M$9,2),B1734&lt;'112'!$N$8,$M1734='112'!$I$6)),"x",""))</f>
        <v/>
      </c>
      <c r="U1734" s="525" t="str">
        <f>IF(AND(B1734&gt;='IN-NX'!$P$3,B1734&lt;='IN-NX'!$Q$3,'IN-NX'!$D$7=D1734,OR(LEFT(L1734,2)="15",AND(LEFT(M1734,2)&lt;&gt;"15",LEFT(M1734,2)&lt;&gt;"33"))),"x","")</f>
        <v/>
      </c>
      <c r="V1734" s="525" t="str">
        <f>IF(AND(OR(LEFT(TH!L1734,2)="15",LEFT(TH!M1734,2)="15"),'152-CT'!$J$8=TH!F1734),"x","")</f>
        <v/>
      </c>
      <c r="W1734" s="525" t="str">
        <f>IF(AND(OR(LEFT(TH!L1734,2)="15",LEFT(TH!M1734,2)="15"),TK!$E$7=TH!F1734),"x","")</f>
        <v/>
      </c>
      <c r="X1734" s="525" t="str">
        <f>IF(AND('341-CT'!$E$9=H1734,OR(LEFT(L1734,3)=$X$7,LEFT(M1734,3)=$X$7)),"x","")</f>
        <v/>
      </c>
      <c r="Y1734" s="525" t="str">
        <f>IF(OR(TH!L1734=TH!$Y$7,M1734=TH!$Y$7),"x","")</f>
        <v/>
      </c>
      <c r="Z1734" s="525" t="str">
        <f>IF(AND(B1734&lt;=NKC!$N$8,B1734&gt;=NKC!$M$8),"x","")</f>
        <v>x</v>
      </c>
      <c r="AA1734" s="535"/>
      <c r="AB1734" s="536"/>
    </row>
    <row r="1735" spans="1:31" s="503" customFormat="1" ht="15.75" customHeight="1">
      <c r="A1735" s="517" t="str">
        <f>IF(B1735&lt;&gt;"",IF(AND(B1735&gt;=_TM1,B1735&lt;=_TM2,OR(TH!L1735="1111",TH!M1735="1111")),TH!D1735,""),"")</f>
        <v/>
      </c>
      <c r="B1735" s="531">
        <f t="shared" si="165"/>
        <v>2</v>
      </c>
      <c r="C1735" s="315">
        <f t="shared" si="163"/>
        <v>42789</v>
      </c>
      <c r="D1735" s="537" t="s">
        <v>996</v>
      </c>
      <c r="E1735" s="547">
        <v>42789</v>
      </c>
      <c r="F1735" s="249" t="s">
        <v>503</v>
      </c>
      <c r="G1735" s="538" t="s">
        <v>537</v>
      </c>
      <c r="H1735" s="473" t="s">
        <v>800</v>
      </c>
      <c r="I1735" s="307">
        <v>1800</v>
      </c>
      <c r="J1735" s="307">
        <v>8245</v>
      </c>
      <c r="K1735" s="532">
        <f t="shared" si="164"/>
        <v>14841000</v>
      </c>
      <c r="L1735" s="539" t="s">
        <v>160</v>
      </c>
      <c r="M1735" s="539" t="s">
        <v>292</v>
      </c>
      <c r="N1735" s="525" t="str">
        <f>IF(AND('331-CT'!$E$7=TH!H1735,OR(L1735="331",M1735="331")),"331",IF(AND(OR(L1735="131",M1735="131"),H1735='131-CT'!$E$7),"131",""))</f>
        <v/>
      </c>
      <c r="O1735" s="525" t="str">
        <f>IF(AND($B1735&gt;='111'!$N$11,$B1735&lt;='111'!$O$11,OR($L1735=$O$7,$M1735=$O$7)),"x","")</f>
        <v/>
      </c>
      <c r="P1735" s="525" t="str">
        <f>IF(AND($L1735=$O$7,$B1735&lt;'111'!$N$11),"x","")</f>
        <v/>
      </c>
      <c r="Q1735" s="525" t="str">
        <f>IF(AND($M1735=$O$7,$B1735&lt;'111'!$N$11),"x","")</f>
        <v/>
      </c>
      <c r="R1735" s="525" t="str">
        <f>IF(ISERROR(FIND('112'!$M$9,G1735,1)),"",IF((AND(FIND('112'!$M$9,G1735,1)&gt;=1,$B1735&gt;='112'!$N$8,$B1735&lt;='112'!$O$8,OR($L1735='112'!$I$6,$M1735='112'!$I$6))),"x",""))</f>
        <v/>
      </c>
      <c r="S1735" s="525" t="str">
        <f>IF(ISERROR(FIND('112'!$M$9,G1735,1)),"",IF((AND(LEFT(G1735,2)=LEFT('112'!$M$9,2),B1735&lt;'112'!$N$8,$L1735='112'!$I$6)),"x",""))</f>
        <v/>
      </c>
      <c r="T1735" s="525" t="str">
        <f>IF(ISERROR(FIND('112'!$M$9,G1735,1)),"",IF((AND(RIGHT(G1735,2)=RIGHT('112'!$M$9,2),B1735&lt;'112'!$N$8,$M1735='112'!$I$6)),"x",""))</f>
        <v/>
      </c>
      <c r="U1735" s="525" t="str">
        <f>IF(AND(B1735&gt;='IN-NX'!$P$3,B1735&lt;='IN-NX'!$Q$3,'IN-NX'!$D$7=D1735,OR(LEFT(L1735,2)="15",AND(LEFT(M1735,2)&lt;&gt;"15",LEFT(M1735,2)&lt;&gt;"33"))),"x","")</f>
        <v/>
      </c>
      <c r="V1735" s="525" t="str">
        <f>IF(AND(OR(LEFT(TH!L1735,2)="15",LEFT(TH!M1735,2)="15"),'152-CT'!$J$8=TH!F1735),"x","")</f>
        <v/>
      </c>
      <c r="W1735" s="525" t="str">
        <f>IF(AND(OR(LEFT(TH!L1735,2)="15",LEFT(TH!M1735,2)="15"),TK!$E$7=TH!F1735),"x","")</f>
        <v/>
      </c>
      <c r="X1735" s="525" t="str">
        <f>IF(AND('341-CT'!$E$9=H1735,OR(LEFT(L1735,3)=$X$7,LEFT(M1735,3)=$X$7)),"x","")</f>
        <v/>
      </c>
      <c r="Y1735" s="525" t="str">
        <f>IF(OR(TH!L1735=TH!$Y$7,M1735=TH!$Y$7),"x","")</f>
        <v/>
      </c>
      <c r="Z1735" s="525" t="str">
        <f>IF(AND(B1735&lt;=NKC!$N$8,B1735&gt;=NKC!$M$8),"x","")</f>
        <v>x</v>
      </c>
      <c r="AA1735" s="535"/>
    </row>
    <row r="1736" spans="1:31" s="503" customFormat="1" ht="15.75" customHeight="1">
      <c r="A1736" s="517" t="str">
        <f>IF(B1736&lt;&gt;"",IF(AND(B1736&gt;=_TM1,B1736&lt;=_TM2,OR(TH!L1736="1111",TH!M1736="1111")),TH!D1736,""),"")</f>
        <v/>
      </c>
      <c r="B1736" s="531">
        <f t="shared" si="165"/>
        <v>2</v>
      </c>
      <c r="C1736" s="315">
        <f t="shared" si="163"/>
        <v>42789</v>
      </c>
      <c r="D1736" s="537" t="s">
        <v>996</v>
      </c>
      <c r="E1736" s="548">
        <v>42789</v>
      </c>
      <c r="F1736" s="247" t="s">
        <v>274</v>
      </c>
      <c r="G1736" s="541" t="s">
        <v>538</v>
      </c>
      <c r="H1736" s="473" t="s">
        <v>800</v>
      </c>
      <c r="I1736" s="307">
        <v>1063</v>
      </c>
      <c r="J1736" s="307">
        <v>10185</v>
      </c>
      <c r="K1736" s="532">
        <f t="shared" si="164"/>
        <v>10826655</v>
      </c>
      <c r="L1736" s="539" t="s">
        <v>160</v>
      </c>
      <c r="M1736" s="539" t="s">
        <v>292</v>
      </c>
      <c r="N1736" s="525" t="str">
        <f>IF(AND('331-CT'!$E$7=TH!H1736,OR(L1736="331",M1736="331")),"331",IF(AND(OR(L1736="131",M1736="131"),H1736='131-CT'!$E$7),"131",""))</f>
        <v/>
      </c>
      <c r="O1736" s="525" t="str">
        <f>IF(AND($B1736&gt;='111'!$N$11,$B1736&lt;='111'!$O$11,OR($L1736=$O$7,$M1736=$O$7)),"x","")</f>
        <v/>
      </c>
      <c r="P1736" s="525" t="str">
        <f>IF(AND($L1736=$O$7,$B1736&lt;'111'!$N$11),"x","")</f>
        <v/>
      </c>
      <c r="Q1736" s="525" t="str">
        <f>IF(AND($M1736=$O$7,$B1736&lt;'111'!$N$11),"x","")</f>
        <v/>
      </c>
      <c r="R1736" s="525" t="str">
        <f>IF(ISERROR(FIND('112'!$M$9,G1736,1)),"",IF((AND(FIND('112'!$M$9,G1736,1)&gt;=1,$B1736&gt;='112'!$N$8,$B1736&lt;='112'!$O$8,OR($L1736='112'!$I$6,$M1736='112'!$I$6))),"x",""))</f>
        <v/>
      </c>
      <c r="S1736" s="525" t="str">
        <f>IF(ISERROR(FIND('112'!$M$9,G1736,1)),"",IF((AND(LEFT(G1736,2)=LEFT('112'!$M$9,2),B1736&lt;'112'!$N$8,$L1736='112'!$I$6)),"x",""))</f>
        <v/>
      </c>
      <c r="T1736" s="525" t="str">
        <f>IF(ISERROR(FIND('112'!$M$9,G1736,1)),"",IF((AND(RIGHT(G1736,2)=RIGHT('112'!$M$9,2),B1736&lt;'112'!$N$8,$M1736='112'!$I$6)),"x",""))</f>
        <v/>
      </c>
      <c r="U1736" s="525" t="str">
        <f>IF(AND(B1736&gt;='IN-NX'!$P$3,B1736&lt;='IN-NX'!$Q$3,'IN-NX'!$D$7=D1736,OR(LEFT(L1736,2)="15",AND(LEFT(M1736,2)&lt;&gt;"15",LEFT(M1736,2)&lt;&gt;"33"))),"x","")</f>
        <v/>
      </c>
      <c r="V1736" s="525" t="str">
        <f>IF(AND(OR(LEFT(TH!L1736,2)="15",LEFT(TH!M1736,2)="15"),'152-CT'!$J$8=TH!F1736),"x","")</f>
        <v/>
      </c>
      <c r="W1736" s="525" t="str">
        <f>IF(AND(OR(LEFT(TH!L1736,2)="15",LEFT(TH!M1736,2)="15"),TK!$E$7=TH!F1736),"x","")</f>
        <v>x</v>
      </c>
      <c r="X1736" s="525" t="str">
        <f>IF(AND('341-CT'!$E$9=H1736,OR(LEFT(L1736,3)=$X$7,LEFT(M1736,3)=$X$7)),"x","")</f>
        <v/>
      </c>
      <c r="Y1736" s="525" t="str">
        <f>IF(OR(TH!L1736=TH!$Y$7,M1736=TH!$Y$7),"x","")</f>
        <v/>
      </c>
      <c r="Z1736" s="525" t="str">
        <f>IF(AND(B1736&lt;=NKC!$N$8,B1736&gt;=NKC!$M$8),"x","")</f>
        <v>x</v>
      </c>
      <c r="AA1736" s="535"/>
      <c r="AB1736" s="536"/>
      <c r="AC1736" s="536"/>
      <c r="AD1736" s="536"/>
    </row>
    <row r="1737" spans="1:31" s="503" customFormat="1" ht="15.75" customHeight="1">
      <c r="A1737" s="517" t="str">
        <f>IF(B1737&lt;&gt;"",IF(AND(B1737&gt;=_TM1,B1737&lt;=_TM2,OR(TH!L1737="1111",TH!M1737="1111")),TH!D1737,""),"")</f>
        <v/>
      </c>
      <c r="B1737" s="531">
        <f t="shared" si="165"/>
        <v>2</v>
      </c>
      <c r="C1737" s="315">
        <f t="shared" si="163"/>
        <v>42790</v>
      </c>
      <c r="D1737" s="537" t="s">
        <v>996</v>
      </c>
      <c r="E1737" s="548">
        <v>42790</v>
      </c>
      <c r="F1737" s="247" t="s">
        <v>274</v>
      </c>
      <c r="G1737" s="541" t="s">
        <v>540</v>
      </c>
      <c r="H1737" s="473" t="s">
        <v>800</v>
      </c>
      <c r="I1737" s="307">
        <v>3111</v>
      </c>
      <c r="J1737" s="307">
        <v>17945</v>
      </c>
      <c r="K1737" s="532">
        <f t="shared" si="164"/>
        <v>55826895</v>
      </c>
      <c r="L1737" s="539" t="s">
        <v>160</v>
      </c>
      <c r="M1737" s="539" t="s">
        <v>292</v>
      </c>
      <c r="N1737" s="525" t="str">
        <f>IF(AND('331-CT'!$E$7=TH!H1737,OR(L1737="331",M1737="331")),"331",IF(AND(OR(L1737="131",M1737="131"),H1737='131-CT'!$E$7),"131",""))</f>
        <v/>
      </c>
      <c r="O1737" s="525" t="str">
        <f>IF(AND($B1737&gt;='111'!$N$11,$B1737&lt;='111'!$O$11,OR($L1737=$O$7,$M1737=$O$7)),"x","")</f>
        <v/>
      </c>
      <c r="P1737" s="525" t="str">
        <f>IF(AND($L1737=$O$7,$B1737&lt;'111'!$N$11),"x","")</f>
        <v/>
      </c>
      <c r="Q1737" s="525" t="str">
        <f>IF(AND($M1737=$O$7,$B1737&lt;'111'!$N$11),"x","")</f>
        <v/>
      </c>
      <c r="R1737" s="525" t="str">
        <f>IF(ISERROR(FIND('112'!$M$9,G1737,1)),"",IF((AND(FIND('112'!$M$9,G1737,1)&gt;=1,$B1737&gt;='112'!$N$8,$B1737&lt;='112'!$O$8,OR($L1737='112'!$I$6,$M1737='112'!$I$6))),"x",""))</f>
        <v/>
      </c>
      <c r="S1737" s="525" t="str">
        <f>IF(ISERROR(FIND('112'!$M$9,G1737,1)),"",IF((AND(LEFT(G1737,2)=LEFT('112'!$M$9,2),B1737&lt;'112'!$N$8,$L1737='112'!$I$6)),"x",""))</f>
        <v/>
      </c>
      <c r="T1737" s="525" t="str">
        <f>IF(ISERROR(FIND('112'!$M$9,G1737,1)),"",IF((AND(RIGHT(G1737,2)=RIGHT('112'!$M$9,2),B1737&lt;'112'!$N$8,$M1737='112'!$I$6)),"x",""))</f>
        <v/>
      </c>
      <c r="U1737" s="525" t="str">
        <f>IF(AND(B1737&gt;='IN-NX'!$P$3,B1737&lt;='IN-NX'!$Q$3,'IN-NX'!$D$7=D1737,OR(LEFT(L1737,2)="15",AND(LEFT(M1737,2)&lt;&gt;"15",LEFT(M1737,2)&lt;&gt;"33"))),"x","")</f>
        <v/>
      </c>
      <c r="V1737" s="525" t="str">
        <f>IF(AND(OR(LEFT(TH!L1737,2)="15",LEFT(TH!M1737,2)="15"),'152-CT'!$J$8=TH!F1737),"x","")</f>
        <v/>
      </c>
      <c r="W1737" s="525" t="str">
        <f>IF(AND(OR(LEFT(TH!L1737,2)="15",LEFT(TH!M1737,2)="15"),TK!$E$7=TH!F1737),"x","")</f>
        <v>x</v>
      </c>
      <c r="X1737" s="525" t="str">
        <f>IF(AND('341-CT'!$E$9=H1737,OR(LEFT(L1737,3)=$X$7,LEFT(M1737,3)=$X$7)),"x","")</f>
        <v/>
      </c>
      <c r="Y1737" s="525" t="str">
        <f>IF(OR(TH!L1737=TH!$Y$7,M1737=TH!$Y$7),"x","")</f>
        <v/>
      </c>
      <c r="Z1737" s="525" t="str">
        <f>IF(AND(B1737&lt;=NKC!$N$8,B1737&gt;=NKC!$M$8),"x","")</f>
        <v>x</v>
      </c>
      <c r="AA1737" s="535"/>
      <c r="AB1737" s="536"/>
      <c r="AC1737" s="536"/>
      <c r="AD1737" s="536"/>
    </row>
    <row r="1738" spans="1:31" s="503" customFormat="1" ht="15.75" customHeight="1">
      <c r="A1738" s="517" t="str">
        <f>IF(B1738&lt;&gt;"",IF(AND(B1738&gt;=_TM1,B1738&lt;=_TM2,OR(TH!L1738="1111",TH!M1738="1111")),TH!D1738,""),"")</f>
        <v/>
      </c>
      <c r="B1738" s="531">
        <f t="shared" si="165"/>
        <v>2</v>
      </c>
      <c r="C1738" s="315">
        <f t="shared" si="163"/>
        <v>42790</v>
      </c>
      <c r="D1738" s="537" t="s">
        <v>996</v>
      </c>
      <c r="E1738" s="545">
        <v>42790</v>
      </c>
      <c r="F1738" s="248" t="s">
        <v>503</v>
      </c>
      <c r="G1738" s="314" t="s">
        <v>540</v>
      </c>
      <c r="H1738" s="473" t="s">
        <v>800</v>
      </c>
      <c r="I1738" s="307">
        <v>3800</v>
      </c>
      <c r="J1738" s="307">
        <v>17945</v>
      </c>
      <c r="K1738" s="532">
        <f t="shared" si="164"/>
        <v>68191000</v>
      </c>
      <c r="L1738" s="539" t="s">
        <v>160</v>
      </c>
      <c r="M1738" s="539" t="s">
        <v>292</v>
      </c>
      <c r="N1738" s="525" t="str">
        <f>IF(AND('331-CT'!$E$7=TH!H1738,OR(L1738="331",M1738="331")),"331",IF(AND(OR(L1738="131",M1738="131"),H1738='131-CT'!$E$7),"131",""))</f>
        <v/>
      </c>
      <c r="O1738" s="525" t="str">
        <f>IF(AND($B1738&gt;='111'!$N$11,$B1738&lt;='111'!$O$11,OR($L1738=$O$7,$M1738=$O$7)),"x","")</f>
        <v/>
      </c>
      <c r="P1738" s="525" t="str">
        <f>IF(AND($L1738=$O$7,$B1738&lt;'111'!$N$11),"x","")</f>
        <v/>
      </c>
      <c r="Q1738" s="525" t="str">
        <f>IF(AND($M1738=$O$7,$B1738&lt;'111'!$N$11),"x","")</f>
        <v/>
      </c>
      <c r="R1738" s="525" t="str">
        <f>IF(ISERROR(FIND('112'!$M$9,G1738,1)),"",IF((AND(FIND('112'!$M$9,G1738,1)&gt;=1,$B1738&gt;='112'!$N$8,$B1738&lt;='112'!$O$8,OR($L1738='112'!$I$6,$M1738='112'!$I$6))),"x",""))</f>
        <v/>
      </c>
      <c r="S1738" s="525" t="str">
        <f>IF(ISERROR(FIND('112'!$M$9,G1738,1)),"",IF((AND(LEFT(G1738,2)=LEFT('112'!$M$9,2),B1738&lt;'112'!$N$8,$L1738='112'!$I$6)),"x",""))</f>
        <v/>
      </c>
      <c r="T1738" s="525" t="str">
        <f>IF(ISERROR(FIND('112'!$M$9,G1738,1)),"",IF((AND(RIGHT(G1738,2)=RIGHT('112'!$M$9,2),B1738&lt;'112'!$N$8,$M1738='112'!$I$6)),"x",""))</f>
        <v/>
      </c>
      <c r="U1738" s="525" t="str">
        <f>IF(AND(B1738&gt;='IN-NX'!$P$3,B1738&lt;='IN-NX'!$Q$3,'IN-NX'!$D$7=D1738,OR(LEFT(L1738,2)="15",AND(LEFT(M1738,2)&lt;&gt;"15",LEFT(M1738,2)&lt;&gt;"33"))),"x","")</f>
        <v/>
      </c>
      <c r="V1738" s="525" t="str">
        <f>IF(AND(OR(LEFT(TH!L1738,2)="15",LEFT(TH!M1738,2)="15"),'152-CT'!$J$8=TH!F1738),"x","")</f>
        <v/>
      </c>
      <c r="W1738" s="525" t="str">
        <f>IF(AND(OR(LEFT(TH!L1738,2)="15",LEFT(TH!M1738,2)="15"),TK!$E$7=TH!F1738),"x","")</f>
        <v/>
      </c>
      <c r="X1738" s="525" t="str">
        <f>IF(AND('341-CT'!$E$9=H1738,OR(LEFT(L1738,3)=$X$7,LEFT(M1738,3)=$X$7)),"x","")</f>
        <v/>
      </c>
      <c r="Y1738" s="525" t="str">
        <f>IF(OR(TH!L1738=TH!$Y$7,M1738=TH!$Y$7),"x","")</f>
        <v/>
      </c>
      <c r="Z1738" s="525" t="str">
        <f>IF(AND(B1738&lt;=NKC!$N$8,B1738&gt;=NKC!$M$8),"x","")</f>
        <v>x</v>
      </c>
      <c r="AA1738" s="535"/>
      <c r="AB1738" s="536"/>
      <c r="AE1738" s="536"/>
    </row>
    <row r="1739" spans="1:31" s="503" customFormat="1" ht="15.75" customHeight="1">
      <c r="A1739" s="517" t="str">
        <f>IF(B1739&lt;&gt;"",IF(AND(B1739&gt;=_TM1,B1739&lt;=_TM2,OR(TH!L1739="1111",TH!M1739="1111")),TH!D1739,""),"")</f>
        <v/>
      </c>
      <c r="B1739" s="531">
        <f t="shared" si="165"/>
        <v>2</v>
      </c>
      <c r="C1739" s="315">
        <f t="shared" si="163"/>
        <v>42791</v>
      </c>
      <c r="D1739" s="537" t="s">
        <v>996</v>
      </c>
      <c r="E1739" s="545">
        <v>42791</v>
      </c>
      <c r="F1739" s="249" t="s">
        <v>563</v>
      </c>
      <c r="G1739" s="314" t="s">
        <v>541</v>
      </c>
      <c r="H1739" s="473" t="s">
        <v>800</v>
      </c>
      <c r="I1739" s="307">
        <v>100</v>
      </c>
      <c r="J1739" s="307">
        <v>28492</v>
      </c>
      <c r="K1739" s="532">
        <f t="shared" si="164"/>
        <v>2849200</v>
      </c>
      <c r="L1739" s="539" t="s">
        <v>160</v>
      </c>
      <c r="M1739" s="539" t="s">
        <v>292</v>
      </c>
      <c r="N1739" s="525" t="str">
        <f>IF(AND('331-CT'!$E$7=TH!H1739,OR(L1739="331",M1739="331")),"331",IF(AND(OR(L1739="131",M1739="131"),H1739='131-CT'!$E$7),"131",""))</f>
        <v/>
      </c>
      <c r="O1739" s="525" t="str">
        <f>IF(AND($B1739&gt;='111'!$N$11,$B1739&lt;='111'!$O$11,OR($L1739=$O$7,$M1739=$O$7)),"x","")</f>
        <v/>
      </c>
      <c r="P1739" s="525" t="str">
        <f>IF(AND($L1739=$O$7,$B1739&lt;'111'!$N$11),"x","")</f>
        <v/>
      </c>
      <c r="Q1739" s="525" t="str">
        <f>IF(AND($M1739=$O$7,$B1739&lt;'111'!$N$11),"x","")</f>
        <v/>
      </c>
      <c r="R1739" s="525" t="str">
        <f>IF(ISERROR(FIND('112'!$M$9,G1739,1)),"",IF((AND(FIND('112'!$M$9,G1739,1)&gt;=1,$B1739&gt;='112'!$N$8,$B1739&lt;='112'!$O$8,OR($L1739='112'!$I$6,$M1739='112'!$I$6))),"x",""))</f>
        <v/>
      </c>
      <c r="S1739" s="525" t="str">
        <f>IF(ISERROR(FIND('112'!$M$9,G1739,1)),"",IF((AND(LEFT(G1739,2)=LEFT('112'!$M$9,2),B1739&lt;'112'!$N$8,$L1739='112'!$I$6)),"x",""))</f>
        <v/>
      </c>
      <c r="T1739" s="525" t="str">
        <f>IF(ISERROR(FIND('112'!$M$9,G1739,1)),"",IF((AND(RIGHT(G1739,2)=RIGHT('112'!$M$9,2),B1739&lt;'112'!$N$8,$M1739='112'!$I$6)),"x",""))</f>
        <v/>
      </c>
      <c r="U1739" s="525" t="str">
        <f>IF(AND(B1739&gt;='IN-NX'!$P$3,B1739&lt;='IN-NX'!$Q$3,'IN-NX'!$D$7=D1739,OR(LEFT(L1739,2)="15",AND(LEFT(M1739,2)&lt;&gt;"15",LEFT(M1739,2)&lt;&gt;"33"))),"x","")</f>
        <v/>
      </c>
      <c r="V1739" s="525" t="str">
        <f>IF(AND(OR(LEFT(TH!L1739,2)="15",LEFT(TH!M1739,2)="15"),'152-CT'!$J$8=TH!F1739),"x","")</f>
        <v/>
      </c>
      <c r="W1739" s="525" t="str">
        <f>IF(AND(OR(LEFT(TH!L1739,2)="15",LEFT(TH!M1739,2)="15"),TK!$E$7=TH!F1739),"x","")</f>
        <v/>
      </c>
      <c r="X1739" s="525" t="str">
        <f>IF(AND('341-CT'!$E$9=H1739,OR(LEFT(L1739,3)=$X$7,LEFT(M1739,3)=$X$7)),"x","")</f>
        <v/>
      </c>
      <c r="Y1739" s="525" t="str">
        <f>IF(OR(TH!L1739=TH!$Y$7,M1739=TH!$Y$7),"x","")</f>
        <v/>
      </c>
      <c r="Z1739" s="525" t="str">
        <f>IF(AND(B1739&lt;=NKC!$N$8,B1739&gt;=NKC!$M$8),"x","")</f>
        <v>x</v>
      </c>
      <c r="AA1739" s="535"/>
      <c r="AB1739" s="536"/>
      <c r="AE1739" s="536"/>
    </row>
    <row r="1740" spans="1:31" s="503" customFormat="1" ht="15.75" customHeight="1">
      <c r="A1740" s="517" t="str">
        <f>IF(B1740&lt;&gt;"",IF(AND(B1740&gt;=_TM1,B1740&lt;=_TM2,OR(TH!L1740="1111",TH!M1740="1111")),TH!D1740,""),"")</f>
        <v/>
      </c>
      <c r="B1740" s="531">
        <f t="shared" si="165"/>
        <v>2</v>
      </c>
      <c r="C1740" s="315">
        <f t="shared" si="163"/>
        <v>42791</v>
      </c>
      <c r="D1740" s="537" t="s">
        <v>996</v>
      </c>
      <c r="E1740" s="545">
        <v>42791</v>
      </c>
      <c r="F1740" s="249" t="s">
        <v>564</v>
      </c>
      <c r="G1740" s="314" t="s">
        <v>541</v>
      </c>
      <c r="H1740" s="473" t="s">
        <v>800</v>
      </c>
      <c r="I1740" s="307">
        <v>18</v>
      </c>
      <c r="J1740" s="307">
        <v>20580</v>
      </c>
      <c r="K1740" s="532">
        <f t="shared" si="164"/>
        <v>370440</v>
      </c>
      <c r="L1740" s="539" t="s">
        <v>160</v>
      </c>
      <c r="M1740" s="539" t="s">
        <v>292</v>
      </c>
      <c r="N1740" s="525" t="str">
        <f>IF(AND('331-CT'!$E$7=TH!H1740,OR(L1740="331",M1740="331")),"331",IF(AND(OR(L1740="131",M1740="131"),H1740='131-CT'!$E$7),"131",""))</f>
        <v/>
      </c>
      <c r="O1740" s="525" t="str">
        <f>IF(AND($B1740&gt;='111'!$N$11,$B1740&lt;='111'!$O$11,OR($L1740=$O$7,$M1740=$O$7)),"x","")</f>
        <v/>
      </c>
      <c r="P1740" s="525" t="str">
        <f>IF(AND($L1740=$O$7,$B1740&lt;'111'!$N$11),"x","")</f>
        <v/>
      </c>
      <c r="Q1740" s="525" t="str">
        <f>IF(AND($M1740=$O$7,$B1740&lt;'111'!$N$11),"x","")</f>
        <v/>
      </c>
      <c r="R1740" s="525" t="str">
        <f>IF(ISERROR(FIND('112'!$M$9,G1740,1)),"",IF((AND(FIND('112'!$M$9,G1740,1)&gt;=1,$B1740&gt;='112'!$N$8,$B1740&lt;='112'!$O$8,OR($L1740='112'!$I$6,$M1740='112'!$I$6))),"x",""))</f>
        <v/>
      </c>
      <c r="S1740" s="525" t="str">
        <f>IF(ISERROR(FIND('112'!$M$9,G1740,1)),"",IF((AND(LEFT(G1740,2)=LEFT('112'!$M$9,2),B1740&lt;'112'!$N$8,$L1740='112'!$I$6)),"x",""))</f>
        <v/>
      </c>
      <c r="T1740" s="525" t="str">
        <f>IF(ISERROR(FIND('112'!$M$9,G1740,1)),"",IF((AND(RIGHT(G1740,2)=RIGHT('112'!$M$9,2),B1740&lt;'112'!$N$8,$M1740='112'!$I$6)),"x",""))</f>
        <v/>
      </c>
      <c r="U1740" s="525" t="str">
        <f>IF(AND(B1740&gt;='IN-NX'!$P$3,B1740&lt;='IN-NX'!$Q$3,'IN-NX'!$D$7=D1740,OR(LEFT(L1740,2)="15",AND(LEFT(M1740,2)&lt;&gt;"15",LEFT(M1740,2)&lt;&gt;"33"))),"x","")</f>
        <v/>
      </c>
      <c r="V1740" s="525" t="str">
        <f>IF(AND(OR(LEFT(TH!L1740,2)="15",LEFT(TH!M1740,2)="15"),'152-CT'!$J$8=TH!F1740),"x","")</f>
        <v/>
      </c>
      <c r="W1740" s="525" t="str">
        <f>IF(AND(OR(LEFT(TH!L1740,2)="15",LEFT(TH!M1740,2)="15"),TK!$E$7=TH!F1740),"x","")</f>
        <v/>
      </c>
      <c r="X1740" s="525" t="str">
        <f>IF(AND('341-CT'!$E$9=H1740,OR(LEFT(L1740,3)=$X$7,LEFT(M1740,3)=$X$7)),"x","")</f>
        <v/>
      </c>
      <c r="Y1740" s="525" t="str">
        <f>IF(OR(TH!L1740=TH!$Y$7,M1740=TH!$Y$7),"x","")</f>
        <v/>
      </c>
      <c r="Z1740" s="525" t="str">
        <f>IF(AND(B1740&lt;=NKC!$N$8,B1740&gt;=NKC!$M$8),"x","")</f>
        <v>x</v>
      </c>
      <c r="AA1740" s="535"/>
      <c r="AB1740" s="536"/>
      <c r="AE1740" s="536"/>
    </row>
    <row r="1741" spans="1:31" s="503" customFormat="1" ht="15.75" customHeight="1">
      <c r="A1741" s="517" t="str">
        <f>IF(B1741&lt;&gt;"",IF(AND(B1741&gt;=_TM1,B1741&lt;=_TM2,OR(TH!L1741="1111",TH!M1741="1111")),TH!D1741,""),"")</f>
        <v/>
      </c>
      <c r="B1741" s="531">
        <f t="shared" si="165"/>
        <v>2</v>
      </c>
      <c r="C1741" s="315">
        <f t="shared" si="163"/>
        <v>42791</v>
      </c>
      <c r="D1741" s="537" t="s">
        <v>996</v>
      </c>
      <c r="E1741" s="545">
        <v>42791</v>
      </c>
      <c r="F1741" s="249" t="s">
        <v>704</v>
      </c>
      <c r="G1741" s="314" t="s">
        <v>542</v>
      </c>
      <c r="H1741" s="473" t="s">
        <v>800</v>
      </c>
      <c r="I1741" s="307">
        <v>90</v>
      </c>
      <c r="J1741" s="307">
        <v>17250</v>
      </c>
      <c r="K1741" s="532">
        <f t="shared" si="164"/>
        <v>1552500</v>
      </c>
      <c r="L1741" s="539" t="s">
        <v>160</v>
      </c>
      <c r="M1741" s="539" t="s">
        <v>292</v>
      </c>
      <c r="N1741" s="525" t="str">
        <f>IF(AND('331-CT'!$E$7=TH!H1741,OR(L1741="331",M1741="331")),"331",IF(AND(OR(L1741="131",M1741="131"),H1741='131-CT'!$E$7),"131",""))</f>
        <v/>
      </c>
      <c r="O1741" s="525" t="str">
        <f>IF(AND($B1741&gt;='111'!$N$11,$B1741&lt;='111'!$O$11,OR($L1741=$O$7,$M1741=$O$7)),"x","")</f>
        <v/>
      </c>
      <c r="P1741" s="525" t="str">
        <f>IF(AND($L1741=$O$7,$B1741&lt;'111'!$N$11),"x","")</f>
        <v/>
      </c>
      <c r="Q1741" s="525" t="str">
        <f>IF(AND($M1741=$O$7,$B1741&lt;'111'!$N$11),"x","")</f>
        <v/>
      </c>
      <c r="R1741" s="525" t="str">
        <f>IF(ISERROR(FIND('112'!$M$9,G1741,1)),"",IF((AND(FIND('112'!$M$9,G1741,1)&gt;=1,$B1741&gt;='112'!$N$8,$B1741&lt;='112'!$O$8,OR($L1741='112'!$I$6,$M1741='112'!$I$6))),"x",""))</f>
        <v/>
      </c>
      <c r="S1741" s="525" t="str">
        <f>IF(ISERROR(FIND('112'!$M$9,G1741,1)),"",IF((AND(LEFT(G1741,2)=LEFT('112'!$M$9,2),B1741&lt;'112'!$N$8,$L1741='112'!$I$6)),"x",""))</f>
        <v/>
      </c>
      <c r="T1741" s="525" t="str">
        <f>IF(ISERROR(FIND('112'!$M$9,G1741,1)),"",IF((AND(RIGHT(G1741,2)=RIGHT('112'!$M$9,2),B1741&lt;'112'!$N$8,$M1741='112'!$I$6)),"x",""))</f>
        <v/>
      </c>
      <c r="U1741" s="525" t="str">
        <f>IF(AND(B1741&gt;='IN-NX'!$P$3,B1741&lt;='IN-NX'!$Q$3,'IN-NX'!$D$7=D1741,OR(LEFT(L1741,2)="15",AND(LEFT(M1741,2)&lt;&gt;"15",LEFT(M1741,2)&lt;&gt;"33"))),"x","")</f>
        <v/>
      </c>
      <c r="V1741" s="525" t="str">
        <f>IF(AND(OR(LEFT(TH!L1741,2)="15",LEFT(TH!M1741,2)="15"),'152-CT'!$J$8=TH!F1741),"x","")</f>
        <v/>
      </c>
      <c r="W1741" s="525" t="str">
        <f>IF(AND(OR(LEFT(TH!L1741,2)="15",LEFT(TH!M1741,2)="15"),TK!$E$7=TH!F1741),"x","")</f>
        <v/>
      </c>
      <c r="X1741" s="525" t="str">
        <f>IF(AND('341-CT'!$E$9=H1741,OR(LEFT(L1741,3)=$X$7,LEFT(M1741,3)=$X$7)),"x","")</f>
        <v/>
      </c>
      <c r="Y1741" s="525" t="str">
        <f>IF(OR(TH!L1741=TH!$Y$7,M1741=TH!$Y$7),"x","")</f>
        <v/>
      </c>
      <c r="Z1741" s="525" t="str">
        <f>IF(AND(B1741&lt;=NKC!$N$8,B1741&gt;=NKC!$M$8),"x","")</f>
        <v>x</v>
      </c>
      <c r="AA1741" s="535"/>
      <c r="AB1741" s="536"/>
      <c r="AE1741" s="536"/>
    </row>
    <row r="1742" spans="1:31" s="503" customFormat="1" ht="15.75" customHeight="1">
      <c r="A1742" s="517" t="str">
        <f>IF(B1742&lt;&gt;"",IF(AND(B1742&gt;=_TM1,B1742&lt;=_TM2,OR(TH!L1742="1111",TH!M1742="1111")),TH!D1742,""),"")</f>
        <v/>
      </c>
      <c r="B1742" s="531">
        <f t="shared" si="165"/>
        <v>2</v>
      </c>
      <c r="C1742" s="315">
        <f t="shared" si="163"/>
        <v>42791</v>
      </c>
      <c r="D1742" s="537" t="s">
        <v>996</v>
      </c>
      <c r="E1742" s="545">
        <v>42791</v>
      </c>
      <c r="F1742" s="249" t="s">
        <v>709</v>
      </c>
      <c r="G1742" s="314" t="s">
        <v>542</v>
      </c>
      <c r="H1742" s="473" t="s">
        <v>800</v>
      </c>
      <c r="I1742" s="307">
        <v>24</v>
      </c>
      <c r="J1742" s="307">
        <v>40351</v>
      </c>
      <c r="K1742" s="532">
        <f t="shared" si="164"/>
        <v>968424</v>
      </c>
      <c r="L1742" s="539" t="s">
        <v>160</v>
      </c>
      <c r="M1742" s="539" t="s">
        <v>292</v>
      </c>
      <c r="N1742" s="525" t="str">
        <f>IF(AND('331-CT'!$E$7=TH!H1742,OR(L1742="331",M1742="331")),"331",IF(AND(OR(L1742="131",M1742="131"),H1742='131-CT'!$E$7),"131",""))</f>
        <v/>
      </c>
      <c r="O1742" s="525" t="str">
        <f>IF(AND($B1742&gt;='111'!$N$11,$B1742&lt;='111'!$O$11,OR($L1742=$O$7,$M1742=$O$7)),"x","")</f>
        <v/>
      </c>
      <c r="P1742" s="525" t="str">
        <f>IF(AND($L1742=$O$7,$B1742&lt;'111'!$N$11),"x","")</f>
        <v/>
      </c>
      <c r="Q1742" s="525" t="str">
        <f>IF(AND($M1742=$O$7,$B1742&lt;'111'!$N$11),"x","")</f>
        <v/>
      </c>
      <c r="R1742" s="525" t="str">
        <f>IF(ISERROR(FIND('112'!$M$9,G1742,1)),"",IF((AND(FIND('112'!$M$9,G1742,1)&gt;=1,$B1742&gt;='112'!$N$8,$B1742&lt;='112'!$O$8,OR($L1742='112'!$I$6,$M1742='112'!$I$6))),"x",""))</f>
        <v/>
      </c>
      <c r="S1742" s="525" t="str">
        <f>IF(ISERROR(FIND('112'!$M$9,G1742,1)),"",IF((AND(LEFT(G1742,2)=LEFT('112'!$M$9,2),B1742&lt;'112'!$N$8,$L1742='112'!$I$6)),"x",""))</f>
        <v/>
      </c>
      <c r="T1742" s="525" t="str">
        <f>IF(ISERROR(FIND('112'!$M$9,G1742,1)),"",IF((AND(RIGHT(G1742,2)=RIGHT('112'!$M$9,2),B1742&lt;'112'!$N$8,$M1742='112'!$I$6)),"x",""))</f>
        <v/>
      </c>
      <c r="U1742" s="525" t="str">
        <f>IF(AND(B1742&gt;='IN-NX'!$P$3,B1742&lt;='IN-NX'!$Q$3,'IN-NX'!$D$7=D1742,OR(LEFT(L1742,2)="15",AND(LEFT(M1742,2)&lt;&gt;"15",LEFT(M1742,2)&lt;&gt;"33"))),"x","")</f>
        <v/>
      </c>
      <c r="V1742" s="525" t="str">
        <f>IF(AND(OR(LEFT(TH!L1742,2)="15",LEFT(TH!M1742,2)="15"),'152-CT'!$J$8=TH!F1742),"x","")</f>
        <v/>
      </c>
      <c r="W1742" s="525" t="str">
        <f>IF(AND(OR(LEFT(TH!L1742,2)="15",LEFT(TH!M1742,2)="15"),TK!$E$7=TH!F1742),"x","")</f>
        <v/>
      </c>
      <c r="X1742" s="525" t="str">
        <f>IF(AND('341-CT'!$E$9=H1742,OR(LEFT(L1742,3)=$X$7,LEFT(M1742,3)=$X$7)),"x","")</f>
        <v/>
      </c>
      <c r="Y1742" s="525" t="str">
        <f>IF(OR(TH!L1742=TH!$Y$7,M1742=TH!$Y$7),"x","")</f>
        <v/>
      </c>
      <c r="Z1742" s="525" t="str">
        <f>IF(AND(B1742&lt;=NKC!$N$8,B1742&gt;=NKC!$M$8),"x","")</f>
        <v>x</v>
      </c>
      <c r="AA1742" s="535"/>
      <c r="AB1742" s="536"/>
      <c r="AE1742" s="536"/>
    </row>
    <row r="1743" spans="1:31" s="503" customFormat="1" ht="15.75" customHeight="1">
      <c r="A1743" s="517" t="str">
        <f>IF(B1743&lt;&gt;"",IF(AND(B1743&gt;=_TM1,B1743&lt;=_TM2,OR(TH!L1743="1111",TH!M1743="1111")),TH!D1743,""),"")</f>
        <v/>
      </c>
      <c r="B1743" s="531">
        <f t="shared" si="165"/>
        <v>2</v>
      </c>
      <c r="C1743" s="315">
        <f t="shared" si="163"/>
        <v>42791</v>
      </c>
      <c r="D1743" s="537" t="s">
        <v>996</v>
      </c>
      <c r="E1743" s="280">
        <v>42791</v>
      </c>
      <c r="F1743" s="250" t="s">
        <v>712</v>
      </c>
      <c r="G1743" s="540" t="s">
        <v>542</v>
      </c>
      <c r="H1743" s="473" t="s">
        <v>800</v>
      </c>
      <c r="I1743" s="307">
        <v>24</v>
      </c>
      <c r="J1743" s="307">
        <v>48271</v>
      </c>
      <c r="K1743" s="532">
        <f t="shared" si="164"/>
        <v>1158504</v>
      </c>
      <c r="L1743" s="539" t="s">
        <v>160</v>
      </c>
      <c r="M1743" s="539" t="s">
        <v>292</v>
      </c>
      <c r="N1743" s="525" t="str">
        <f>IF(AND('331-CT'!$E$7=TH!H1743,OR(L1743="331",M1743="331")),"331",IF(AND(OR(L1743="131",M1743="131"),H1743='131-CT'!$E$7),"131",""))</f>
        <v/>
      </c>
      <c r="O1743" s="525" t="str">
        <f>IF(AND($B1743&gt;='111'!$N$11,$B1743&lt;='111'!$O$11,OR($L1743=$O$7,$M1743=$O$7)),"x","")</f>
        <v/>
      </c>
      <c r="P1743" s="525" t="str">
        <f>IF(AND($L1743=$O$7,$B1743&lt;'111'!$N$11),"x","")</f>
        <v/>
      </c>
      <c r="Q1743" s="525" t="str">
        <f>IF(AND($M1743=$O$7,$B1743&lt;'111'!$N$11),"x","")</f>
        <v/>
      </c>
      <c r="R1743" s="525" t="str">
        <f>IF(ISERROR(FIND('112'!$M$9,G1743,1)),"",IF((AND(FIND('112'!$M$9,G1743,1)&gt;=1,$B1743&gt;='112'!$N$8,$B1743&lt;='112'!$O$8,OR($L1743='112'!$I$6,$M1743='112'!$I$6))),"x",""))</f>
        <v/>
      </c>
      <c r="S1743" s="525" t="str">
        <f>IF(ISERROR(FIND('112'!$M$9,G1743,1)),"",IF((AND(LEFT(G1743,2)=LEFT('112'!$M$9,2),B1743&lt;'112'!$N$8,$L1743='112'!$I$6)),"x",""))</f>
        <v/>
      </c>
      <c r="T1743" s="525" t="str">
        <f>IF(ISERROR(FIND('112'!$M$9,G1743,1)),"",IF((AND(RIGHT(G1743,2)=RIGHT('112'!$M$9,2),B1743&lt;'112'!$N$8,$M1743='112'!$I$6)),"x",""))</f>
        <v/>
      </c>
      <c r="U1743" s="525" t="str">
        <f>IF(AND(B1743&gt;='IN-NX'!$P$3,B1743&lt;='IN-NX'!$Q$3,'IN-NX'!$D$7=D1743,OR(LEFT(L1743,2)="15",AND(LEFT(M1743,2)&lt;&gt;"15",LEFT(M1743,2)&lt;&gt;"33"))),"x","")</f>
        <v/>
      </c>
      <c r="V1743" s="525" t="str">
        <f>IF(AND(OR(LEFT(TH!L1743,2)="15",LEFT(TH!M1743,2)="15"),'152-CT'!$J$8=TH!F1743),"x","")</f>
        <v/>
      </c>
      <c r="W1743" s="525" t="str">
        <f>IF(AND(OR(LEFT(TH!L1743,2)="15",LEFT(TH!M1743,2)="15"),TK!$E$7=TH!F1743),"x","")</f>
        <v/>
      </c>
      <c r="X1743" s="525" t="str">
        <f>IF(AND('341-CT'!$E$9=H1743,OR(LEFT(L1743,3)=$X$7,LEFT(M1743,3)=$X$7)),"x","")</f>
        <v/>
      </c>
      <c r="Y1743" s="525" t="str">
        <f>IF(OR(TH!L1743=TH!$Y$7,M1743=TH!$Y$7),"x","")</f>
        <v/>
      </c>
      <c r="Z1743" s="525" t="str">
        <f>IF(AND(B1743&lt;=NKC!$N$8,B1743&gt;=NKC!$M$8),"x","")</f>
        <v>x</v>
      </c>
      <c r="AA1743" s="535"/>
    </row>
    <row r="1744" spans="1:31" s="503" customFormat="1" ht="15.75" customHeight="1">
      <c r="A1744" s="517" t="str">
        <f>IF(B1744&lt;&gt;"",IF(AND(B1744&gt;=_TM1,B1744&lt;=_TM2,OR(TH!L1744="1111",TH!M1744="1111")),TH!D1744,""),"")</f>
        <v/>
      </c>
      <c r="B1744" s="531">
        <f t="shared" si="165"/>
        <v>2</v>
      </c>
      <c r="C1744" s="315">
        <f t="shared" si="163"/>
        <v>42791</v>
      </c>
      <c r="D1744" s="537" t="s">
        <v>996</v>
      </c>
      <c r="E1744" s="547">
        <v>42791</v>
      </c>
      <c r="F1744" s="250" t="s">
        <v>724</v>
      </c>
      <c r="G1744" s="540" t="s">
        <v>542</v>
      </c>
      <c r="H1744" s="473" t="s">
        <v>800</v>
      </c>
      <c r="I1744" s="307">
        <v>48</v>
      </c>
      <c r="J1744" s="307">
        <v>8229</v>
      </c>
      <c r="K1744" s="532">
        <f t="shared" si="164"/>
        <v>394992</v>
      </c>
      <c r="L1744" s="539" t="s">
        <v>160</v>
      </c>
      <c r="M1744" s="539" t="s">
        <v>292</v>
      </c>
      <c r="N1744" s="525" t="str">
        <f>IF(AND('331-CT'!$E$7=TH!H1744,OR(L1744="331",M1744="331")),"331",IF(AND(OR(L1744="131",M1744="131"),H1744='131-CT'!$E$7),"131",""))</f>
        <v/>
      </c>
      <c r="O1744" s="525" t="str">
        <f>IF(AND($B1744&gt;='111'!$N$11,$B1744&lt;='111'!$O$11,OR($L1744=$O$7,$M1744=$O$7)),"x","")</f>
        <v/>
      </c>
      <c r="P1744" s="525" t="str">
        <f>IF(AND($L1744=$O$7,$B1744&lt;'111'!$N$11),"x","")</f>
        <v/>
      </c>
      <c r="Q1744" s="525" t="str">
        <f>IF(AND($M1744=$O$7,$B1744&lt;'111'!$N$11),"x","")</f>
        <v/>
      </c>
      <c r="R1744" s="525" t="str">
        <f>IF(ISERROR(FIND('112'!$M$9,G1744,1)),"",IF((AND(FIND('112'!$M$9,G1744,1)&gt;=1,$B1744&gt;='112'!$N$8,$B1744&lt;='112'!$O$8,OR($L1744='112'!$I$6,$M1744='112'!$I$6))),"x",""))</f>
        <v/>
      </c>
      <c r="S1744" s="525" t="str">
        <f>IF(ISERROR(FIND('112'!$M$9,G1744,1)),"",IF((AND(LEFT(G1744,2)=LEFT('112'!$M$9,2),B1744&lt;'112'!$N$8,$L1744='112'!$I$6)),"x",""))</f>
        <v/>
      </c>
      <c r="T1744" s="525" t="str">
        <f>IF(ISERROR(FIND('112'!$M$9,G1744,1)),"",IF((AND(RIGHT(G1744,2)=RIGHT('112'!$M$9,2),B1744&lt;'112'!$N$8,$M1744='112'!$I$6)),"x",""))</f>
        <v/>
      </c>
      <c r="U1744" s="525" t="str">
        <f>IF(AND(B1744&gt;='IN-NX'!$P$3,B1744&lt;='IN-NX'!$Q$3,'IN-NX'!$D$7=D1744,OR(LEFT(L1744,2)="15",AND(LEFT(M1744,2)&lt;&gt;"15",LEFT(M1744,2)&lt;&gt;"33"))),"x","")</f>
        <v/>
      </c>
      <c r="V1744" s="525" t="str">
        <f>IF(AND(OR(LEFT(TH!L1744,2)="15",LEFT(TH!M1744,2)="15"),'152-CT'!$J$8=TH!F1744),"x","")</f>
        <v/>
      </c>
      <c r="W1744" s="525" t="str">
        <f>IF(AND(OR(LEFT(TH!L1744,2)="15",LEFT(TH!M1744,2)="15"),TK!$E$7=TH!F1744),"x","")</f>
        <v/>
      </c>
      <c r="X1744" s="525" t="str">
        <f>IF(AND('341-CT'!$E$9=H1744,OR(LEFT(L1744,3)=$X$7,LEFT(M1744,3)=$X$7)),"x","")</f>
        <v/>
      </c>
      <c r="Y1744" s="525" t="str">
        <f>IF(OR(TH!L1744=TH!$Y$7,M1744=TH!$Y$7),"x","")</f>
        <v/>
      </c>
      <c r="Z1744" s="525" t="str">
        <f>IF(AND(B1744&lt;=NKC!$N$8,B1744&gt;=NKC!$M$8),"x","")</f>
        <v>x</v>
      </c>
      <c r="AA1744" s="535"/>
    </row>
    <row r="1745" spans="1:31" s="503" customFormat="1" ht="15.75" customHeight="1">
      <c r="A1745" s="517" t="str">
        <f>IF(B1745&lt;&gt;"",IF(AND(B1745&gt;=_TM1,B1745&lt;=_TM2,OR(TH!L1745="1111",TH!M1745="1111")),TH!D1745,""),"")</f>
        <v/>
      </c>
      <c r="B1745" s="531">
        <f t="shared" si="165"/>
        <v>2</v>
      </c>
      <c r="C1745" s="315">
        <f t="shared" si="163"/>
        <v>42791</v>
      </c>
      <c r="D1745" s="537" t="s">
        <v>996</v>
      </c>
      <c r="E1745" s="545">
        <v>42791</v>
      </c>
      <c r="F1745" s="249" t="s">
        <v>749</v>
      </c>
      <c r="G1745" s="314" t="s">
        <v>542</v>
      </c>
      <c r="H1745" s="473" t="s">
        <v>800</v>
      </c>
      <c r="I1745" s="307">
        <v>144</v>
      </c>
      <c r="J1745" s="307">
        <v>6385</v>
      </c>
      <c r="K1745" s="532">
        <f t="shared" si="164"/>
        <v>919440</v>
      </c>
      <c r="L1745" s="539" t="s">
        <v>160</v>
      </c>
      <c r="M1745" s="539" t="s">
        <v>292</v>
      </c>
      <c r="N1745" s="525" t="str">
        <f>IF(AND('331-CT'!$E$7=TH!H1745,OR(L1745="331",M1745="331")),"331",IF(AND(OR(L1745="131",M1745="131"),H1745='131-CT'!$E$7),"131",""))</f>
        <v/>
      </c>
      <c r="O1745" s="525" t="str">
        <f>IF(AND($B1745&gt;='111'!$N$11,$B1745&lt;='111'!$O$11,OR($L1745=$O$7,$M1745=$O$7)),"x","")</f>
        <v/>
      </c>
      <c r="P1745" s="525" t="str">
        <f>IF(AND($L1745=$O$7,$B1745&lt;'111'!$N$11),"x","")</f>
        <v/>
      </c>
      <c r="Q1745" s="525" t="str">
        <f>IF(AND($M1745=$O$7,$B1745&lt;'111'!$N$11),"x","")</f>
        <v/>
      </c>
      <c r="R1745" s="525" t="str">
        <f>IF(ISERROR(FIND('112'!$M$9,G1745,1)),"",IF((AND(FIND('112'!$M$9,G1745,1)&gt;=1,$B1745&gt;='112'!$N$8,$B1745&lt;='112'!$O$8,OR($L1745='112'!$I$6,$M1745='112'!$I$6))),"x",""))</f>
        <v/>
      </c>
      <c r="S1745" s="525" t="str">
        <f>IF(ISERROR(FIND('112'!$M$9,G1745,1)),"",IF((AND(LEFT(G1745,2)=LEFT('112'!$M$9,2),B1745&lt;'112'!$N$8,$L1745='112'!$I$6)),"x",""))</f>
        <v/>
      </c>
      <c r="T1745" s="525" t="str">
        <f>IF(ISERROR(FIND('112'!$M$9,G1745,1)),"",IF((AND(RIGHT(G1745,2)=RIGHT('112'!$M$9,2),B1745&lt;'112'!$N$8,$M1745='112'!$I$6)),"x",""))</f>
        <v/>
      </c>
      <c r="U1745" s="525" t="str">
        <f>IF(AND(B1745&gt;='IN-NX'!$P$3,B1745&lt;='IN-NX'!$Q$3,'IN-NX'!$D$7=D1745,OR(LEFT(L1745,2)="15",AND(LEFT(M1745,2)&lt;&gt;"15",LEFT(M1745,2)&lt;&gt;"33"))),"x","")</f>
        <v/>
      </c>
      <c r="V1745" s="525" t="str">
        <f>IF(AND(OR(LEFT(TH!L1745,2)="15",LEFT(TH!M1745,2)="15"),'152-CT'!$J$8=TH!F1745),"x","")</f>
        <v/>
      </c>
      <c r="W1745" s="525" t="str">
        <f>IF(AND(OR(LEFT(TH!L1745,2)="15",LEFT(TH!M1745,2)="15"),TK!$E$7=TH!F1745),"x","")</f>
        <v/>
      </c>
      <c r="X1745" s="525" t="str">
        <f>IF(AND('341-CT'!$E$9=H1745,OR(LEFT(L1745,3)=$X$7,LEFT(M1745,3)=$X$7)),"x","")</f>
        <v/>
      </c>
      <c r="Y1745" s="525" t="str">
        <f>IF(OR(TH!L1745=TH!$Y$7,M1745=TH!$Y$7),"x","")</f>
        <v/>
      </c>
      <c r="Z1745" s="525" t="str">
        <f>IF(AND(B1745&lt;=NKC!$N$8,B1745&gt;=NKC!$M$8),"x","")</f>
        <v>x</v>
      </c>
      <c r="AA1745" s="535"/>
    </row>
    <row r="1746" spans="1:31" s="503" customFormat="1" ht="15.75" customHeight="1">
      <c r="A1746" s="517" t="str">
        <f>IF(B1746&lt;&gt;"",IF(AND(B1746&gt;=_TM1,B1746&lt;=_TM2,OR(TH!L1746="1111",TH!M1746="1111")),TH!D1746,""),"")</f>
        <v/>
      </c>
      <c r="B1746" s="531">
        <f t="shared" si="165"/>
        <v>2</v>
      </c>
      <c r="C1746" s="315">
        <f t="shared" si="163"/>
        <v>42791</v>
      </c>
      <c r="D1746" s="537" t="s">
        <v>996</v>
      </c>
      <c r="E1746" s="545">
        <v>42791</v>
      </c>
      <c r="F1746" s="249" t="s">
        <v>670</v>
      </c>
      <c r="G1746" s="314" t="s">
        <v>542</v>
      </c>
      <c r="H1746" s="473" t="s">
        <v>800</v>
      </c>
      <c r="I1746" s="307">
        <v>108</v>
      </c>
      <c r="J1746" s="307">
        <v>9275</v>
      </c>
      <c r="K1746" s="532">
        <f t="shared" si="164"/>
        <v>1001700</v>
      </c>
      <c r="L1746" s="539" t="s">
        <v>160</v>
      </c>
      <c r="M1746" s="539" t="s">
        <v>292</v>
      </c>
      <c r="N1746" s="525" t="str">
        <f>IF(AND('331-CT'!$E$7=TH!H1746,OR(L1746="331",M1746="331")),"331",IF(AND(OR(L1746="131",M1746="131"),H1746='131-CT'!$E$7),"131",""))</f>
        <v/>
      </c>
      <c r="O1746" s="525" t="str">
        <f>IF(AND($B1746&gt;='111'!$N$11,$B1746&lt;='111'!$O$11,OR($L1746=$O$7,$M1746=$O$7)),"x","")</f>
        <v/>
      </c>
      <c r="P1746" s="525" t="str">
        <f>IF(AND($L1746=$O$7,$B1746&lt;'111'!$N$11),"x","")</f>
        <v/>
      </c>
      <c r="Q1746" s="525" t="str">
        <f>IF(AND($M1746=$O$7,$B1746&lt;'111'!$N$11),"x","")</f>
        <v/>
      </c>
      <c r="R1746" s="525" t="str">
        <f>IF(ISERROR(FIND('112'!$M$9,G1746,1)),"",IF((AND(FIND('112'!$M$9,G1746,1)&gt;=1,$B1746&gt;='112'!$N$8,$B1746&lt;='112'!$O$8,OR($L1746='112'!$I$6,$M1746='112'!$I$6))),"x",""))</f>
        <v/>
      </c>
      <c r="S1746" s="525" t="str">
        <f>IF(ISERROR(FIND('112'!$M$9,G1746,1)),"",IF((AND(LEFT(G1746,2)=LEFT('112'!$M$9,2),B1746&lt;'112'!$N$8,$L1746='112'!$I$6)),"x",""))</f>
        <v/>
      </c>
      <c r="T1746" s="525" t="str">
        <f>IF(ISERROR(FIND('112'!$M$9,G1746,1)),"",IF((AND(RIGHT(G1746,2)=RIGHT('112'!$M$9,2),B1746&lt;'112'!$N$8,$M1746='112'!$I$6)),"x",""))</f>
        <v/>
      </c>
      <c r="U1746" s="525" t="str">
        <f>IF(AND(B1746&gt;='IN-NX'!$P$3,B1746&lt;='IN-NX'!$Q$3,'IN-NX'!$D$7=D1746,OR(LEFT(L1746,2)="15",AND(LEFT(M1746,2)&lt;&gt;"15",LEFT(M1746,2)&lt;&gt;"33"))),"x","")</f>
        <v/>
      </c>
      <c r="V1746" s="525" t="str">
        <f>IF(AND(OR(LEFT(TH!L1746,2)="15",LEFT(TH!M1746,2)="15"),'152-CT'!$J$8=TH!F1746),"x","")</f>
        <v/>
      </c>
      <c r="W1746" s="525" t="str">
        <f>IF(AND(OR(LEFT(TH!L1746,2)="15",LEFT(TH!M1746,2)="15"),TK!$E$7=TH!F1746),"x","")</f>
        <v/>
      </c>
      <c r="X1746" s="525" t="str">
        <f>IF(AND('341-CT'!$E$9=H1746,OR(LEFT(L1746,3)=$X$7,LEFT(M1746,3)=$X$7)),"x","")</f>
        <v/>
      </c>
      <c r="Y1746" s="525" t="str">
        <f>IF(OR(TH!L1746=TH!$Y$7,M1746=TH!$Y$7),"x","")</f>
        <v/>
      </c>
      <c r="Z1746" s="525" t="str">
        <f>IF(AND(B1746&lt;=NKC!$N$8,B1746&gt;=NKC!$M$8),"x","")</f>
        <v>x</v>
      </c>
      <c r="AA1746" s="535"/>
    </row>
    <row r="1747" spans="1:31" s="503" customFormat="1" ht="15.75" customHeight="1">
      <c r="A1747" s="517" t="str">
        <f>IF(B1747&lt;&gt;"",IF(AND(B1747&gt;=_TM1,B1747&lt;=_TM2,OR(TH!L1747="1111",TH!M1747="1111")),TH!D1747,""),"")</f>
        <v/>
      </c>
      <c r="B1747" s="531">
        <f t="shared" si="165"/>
        <v>2</v>
      </c>
      <c r="C1747" s="315">
        <f t="shared" si="163"/>
        <v>42791</v>
      </c>
      <c r="D1747" s="537" t="s">
        <v>996</v>
      </c>
      <c r="E1747" s="545">
        <v>42791</v>
      </c>
      <c r="F1747" s="249" t="s">
        <v>750</v>
      </c>
      <c r="G1747" s="314" t="s">
        <v>542</v>
      </c>
      <c r="H1747" s="473" t="s">
        <v>800</v>
      </c>
      <c r="I1747" s="307">
        <v>8</v>
      </c>
      <c r="J1747" s="307">
        <v>75446</v>
      </c>
      <c r="K1747" s="532">
        <f t="shared" si="164"/>
        <v>603568</v>
      </c>
      <c r="L1747" s="539" t="s">
        <v>160</v>
      </c>
      <c r="M1747" s="539" t="s">
        <v>292</v>
      </c>
      <c r="N1747" s="525" t="str">
        <f>IF(AND('331-CT'!$E$7=TH!H1747,OR(L1747="331",M1747="331")),"331",IF(AND(OR(L1747="131",M1747="131"),H1747='131-CT'!$E$7),"131",""))</f>
        <v/>
      </c>
      <c r="O1747" s="525" t="str">
        <f>IF(AND($B1747&gt;='111'!$N$11,$B1747&lt;='111'!$O$11,OR($L1747=$O$7,$M1747=$O$7)),"x","")</f>
        <v/>
      </c>
      <c r="P1747" s="525" t="str">
        <f>IF(AND($L1747=$O$7,$B1747&lt;'111'!$N$11),"x","")</f>
        <v/>
      </c>
      <c r="Q1747" s="525" t="str">
        <f>IF(AND($M1747=$O$7,$B1747&lt;'111'!$N$11),"x","")</f>
        <v/>
      </c>
      <c r="R1747" s="525" t="str">
        <f>IF(ISERROR(FIND('112'!$M$9,G1747,1)),"",IF((AND(FIND('112'!$M$9,G1747,1)&gt;=1,$B1747&gt;='112'!$N$8,$B1747&lt;='112'!$O$8,OR($L1747='112'!$I$6,$M1747='112'!$I$6))),"x",""))</f>
        <v/>
      </c>
      <c r="S1747" s="525" t="str">
        <f>IF(ISERROR(FIND('112'!$M$9,G1747,1)),"",IF((AND(LEFT(G1747,2)=LEFT('112'!$M$9,2),B1747&lt;'112'!$N$8,$L1747='112'!$I$6)),"x",""))</f>
        <v/>
      </c>
      <c r="T1747" s="525" t="str">
        <f>IF(ISERROR(FIND('112'!$M$9,G1747,1)),"",IF((AND(RIGHT(G1747,2)=RIGHT('112'!$M$9,2),B1747&lt;'112'!$N$8,$M1747='112'!$I$6)),"x",""))</f>
        <v/>
      </c>
      <c r="U1747" s="525" t="str">
        <f>IF(AND(B1747&gt;='IN-NX'!$P$3,B1747&lt;='IN-NX'!$Q$3,'IN-NX'!$D$7=D1747,OR(LEFT(L1747,2)="15",AND(LEFT(M1747,2)&lt;&gt;"15",LEFT(M1747,2)&lt;&gt;"33"))),"x","")</f>
        <v/>
      </c>
      <c r="V1747" s="525" t="str">
        <f>IF(AND(OR(LEFT(TH!L1747,2)="15",LEFT(TH!M1747,2)="15"),'152-CT'!$J$8=TH!F1747),"x","")</f>
        <v/>
      </c>
      <c r="W1747" s="525" t="str">
        <f>IF(AND(OR(LEFT(TH!L1747,2)="15",LEFT(TH!M1747,2)="15"),TK!$E$7=TH!F1747),"x","")</f>
        <v/>
      </c>
      <c r="X1747" s="525" t="str">
        <f>IF(AND('341-CT'!$E$9=H1747,OR(LEFT(L1747,3)=$X$7,LEFT(M1747,3)=$X$7)),"x","")</f>
        <v/>
      </c>
      <c r="Y1747" s="525" t="str">
        <f>IF(OR(TH!L1747=TH!$Y$7,M1747=TH!$Y$7),"x","")</f>
        <v/>
      </c>
      <c r="Z1747" s="525" t="str">
        <f>IF(AND(B1747&lt;=NKC!$N$8,B1747&gt;=NKC!$M$8),"x","")</f>
        <v>x</v>
      </c>
      <c r="AA1747" s="535"/>
      <c r="AB1747" s="536"/>
      <c r="AE1747" s="536"/>
    </row>
    <row r="1748" spans="1:31" s="503" customFormat="1" ht="15.75" customHeight="1">
      <c r="A1748" s="517" t="str">
        <f>IF(B1748&lt;&gt;"",IF(AND(B1748&gt;=_TM1,B1748&lt;=_TM2,OR(TH!L1748="1111",TH!M1748="1111")),TH!D1748,""),"")</f>
        <v/>
      </c>
      <c r="B1748" s="531">
        <f t="shared" si="165"/>
        <v>2</v>
      </c>
      <c r="C1748" s="315">
        <f t="shared" si="163"/>
        <v>42791</v>
      </c>
      <c r="D1748" s="537" t="s">
        <v>996</v>
      </c>
      <c r="E1748" s="545">
        <v>42791</v>
      </c>
      <c r="F1748" s="249" t="s">
        <v>714</v>
      </c>
      <c r="G1748" s="314" t="s">
        <v>542</v>
      </c>
      <c r="H1748" s="473" t="s">
        <v>800</v>
      </c>
      <c r="I1748" s="307">
        <v>24</v>
      </c>
      <c r="J1748" s="307">
        <v>48224</v>
      </c>
      <c r="K1748" s="532">
        <f t="shared" si="164"/>
        <v>1157376</v>
      </c>
      <c r="L1748" s="539" t="s">
        <v>160</v>
      </c>
      <c r="M1748" s="539" t="s">
        <v>292</v>
      </c>
      <c r="N1748" s="525" t="str">
        <f>IF(AND('331-CT'!$E$7=TH!H1748,OR(L1748="331",M1748="331")),"331",IF(AND(OR(L1748="131",M1748="131"),H1748='131-CT'!$E$7),"131",""))</f>
        <v/>
      </c>
      <c r="O1748" s="525" t="str">
        <f>IF(AND($B1748&gt;='111'!$N$11,$B1748&lt;='111'!$O$11,OR($L1748=$O$7,$M1748=$O$7)),"x","")</f>
        <v/>
      </c>
      <c r="P1748" s="525" t="str">
        <f>IF(AND($L1748=$O$7,$B1748&lt;'111'!$N$11),"x","")</f>
        <v/>
      </c>
      <c r="Q1748" s="525" t="str">
        <f>IF(AND($M1748=$O$7,$B1748&lt;'111'!$N$11),"x","")</f>
        <v/>
      </c>
      <c r="R1748" s="525" t="str">
        <f>IF(ISERROR(FIND('112'!$M$9,G1748,1)),"",IF((AND(FIND('112'!$M$9,G1748,1)&gt;=1,$B1748&gt;='112'!$N$8,$B1748&lt;='112'!$O$8,OR($L1748='112'!$I$6,$M1748='112'!$I$6))),"x",""))</f>
        <v/>
      </c>
      <c r="S1748" s="525" t="str">
        <f>IF(ISERROR(FIND('112'!$M$9,G1748,1)),"",IF((AND(LEFT(G1748,2)=LEFT('112'!$M$9,2),B1748&lt;'112'!$N$8,$L1748='112'!$I$6)),"x",""))</f>
        <v/>
      </c>
      <c r="T1748" s="525" t="str">
        <f>IF(ISERROR(FIND('112'!$M$9,G1748,1)),"",IF((AND(RIGHT(G1748,2)=RIGHT('112'!$M$9,2),B1748&lt;'112'!$N$8,$M1748='112'!$I$6)),"x",""))</f>
        <v/>
      </c>
      <c r="U1748" s="525" t="str">
        <f>IF(AND(B1748&gt;='IN-NX'!$P$3,B1748&lt;='IN-NX'!$Q$3,'IN-NX'!$D$7=D1748,OR(LEFT(L1748,2)="15",AND(LEFT(M1748,2)&lt;&gt;"15",LEFT(M1748,2)&lt;&gt;"33"))),"x","")</f>
        <v/>
      </c>
      <c r="V1748" s="525" t="str">
        <f>IF(AND(OR(LEFT(TH!L1748,2)="15",LEFT(TH!M1748,2)="15"),'152-CT'!$J$8=TH!F1748),"x","")</f>
        <v/>
      </c>
      <c r="W1748" s="525" t="str">
        <f>IF(AND(OR(LEFT(TH!L1748,2)="15",LEFT(TH!M1748,2)="15"),TK!$E$7=TH!F1748),"x","")</f>
        <v/>
      </c>
      <c r="X1748" s="525" t="str">
        <f>IF(AND('341-CT'!$E$9=H1748,OR(LEFT(L1748,3)=$X$7,LEFT(M1748,3)=$X$7)),"x","")</f>
        <v/>
      </c>
      <c r="Y1748" s="525" t="str">
        <f>IF(OR(TH!L1748=TH!$Y$7,M1748=TH!$Y$7),"x","")</f>
        <v/>
      </c>
      <c r="Z1748" s="525" t="str">
        <f>IF(AND(B1748&lt;=NKC!$N$8,B1748&gt;=NKC!$M$8),"x","")</f>
        <v>x</v>
      </c>
      <c r="AA1748" s="535"/>
      <c r="AB1748" s="536"/>
      <c r="AE1748" s="536"/>
    </row>
    <row r="1749" spans="1:31" s="503" customFormat="1" ht="15.75" customHeight="1">
      <c r="A1749" s="517" t="str">
        <f>IF(B1749&lt;&gt;"",IF(AND(B1749&gt;=_TM1,B1749&lt;=_TM2,OR(TH!L1749="1111",TH!M1749="1111")),TH!D1749,""),"")</f>
        <v/>
      </c>
      <c r="B1749" s="531">
        <f t="shared" si="165"/>
        <v>2</v>
      </c>
      <c r="C1749" s="315">
        <f t="shared" si="163"/>
        <v>42791</v>
      </c>
      <c r="D1749" s="537" t="s">
        <v>996</v>
      </c>
      <c r="E1749" s="545">
        <v>42791</v>
      </c>
      <c r="F1749" s="249" t="s">
        <v>751</v>
      </c>
      <c r="G1749" s="314" t="s">
        <v>542</v>
      </c>
      <c r="H1749" s="473" t="s">
        <v>800</v>
      </c>
      <c r="I1749" s="307">
        <v>50</v>
      </c>
      <c r="J1749" s="307">
        <v>15729</v>
      </c>
      <c r="K1749" s="532">
        <f t="shared" si="164"/>
        <v>786450</v>
      </c>
      <c r="L1749" s="539" t="s">
        <v>160</v>
      </c>
      <c r="M1749" s="539" t="s">
        <v>292</v>
      </c>
      <c r="N1749" s="525" t="str">
        <f>IF(AND('331-CT'!$E$7=TH!H1749,OR(L1749="331",M1749="331")),"331",IF(AND(OR(L1749="131",M1749="131"),H1749='131-CT'!$E$7),"131",""))</f>
        <v/>
      </c>
      <c r="O1749" s="525" t="str">
        <f>IF(AND($B1749&gt;='111'!$N$11,$B1749&lt;='111'!$O$11,OR($L1749=$O$7,$M1749=$O$7)),"x","")</f>
        <v/>
      </c>
      <c r="P1749" s="525" t="str">
        <f>IF(AND($L1749=$O$7,$B1749&lt;'111'!$N$11),"x","")</f>
        <v/>
      </c>
      <c r="Q1749" s="525" t="str">
        <f>IF(AND($M1749=$O$7,$B1749&lt;'111'!$N$11),"x","")</f>
        <v/>
      </c>
      <c r="R1749" s="525" t="str">
        <f>IF(ISERROR(FIND('112'!$M$9,G1749,1)),"",IF((AND(FIND('112'!$M$9,G1749,1)&gt;=1,$B1749&gt;='112'!$N$8,$B1749&lt;='112'!$O$8,OR($L1749='112'!$I$6,$M1749='112'!$I$6))),"x",""))</f>
        <v/>
      </c>
      <c r="S1749" s="525" t="str">
        <f>IF(ISERROR(FIND('112'!$M$9,G1749,1)),"",IF((AND(LEFT(G1749,2)=LEFT('112'!$M$9,2),B1749&lt;'112'!$N$8,$L1749='112'!$I$6)),"x",""))</f>
        <v/>
      </c>
      <c r="T1749" s="525" t="str">
        <f>IF(ISERROR(FIND('112'!$M$9,G1749,1)),"",IF((AND(RIGHT(G1749,2)=RIGHT('112'!$M$9,2),B1749&lt;'112'!$N$8,$M1749='112'!$I$6)),"x",""))</f>
        <v/>
      </c>
      <c r="U1749" s="525" t="str">
        <f>IF(AND(B1749&gt;='IN-NX'!$P$3,B1749&lt;='IN-NX'!$Q$3,'IN-NX'!$D$7=D1749,OR(LEFT(L1749,2)="15",AND(LEFT(M1749,2)&lt;&gt;"15",LEFT(M1749,2)&lt;&gt;"33"))),"x","")</f>
        <v/>
      </c>
      <c r="V1749" s="525" t="str">
        <f>IF(AND(OR(LEFT(TH!L1749,2)="15",LEFT(TH!M1749,2)="15"),'152-CT'!$J$8=TH!F1749),"x","")</f>
        <v/>
      </c>
      <c r="W1749" s="525" t="str">
        <f>IF(AND(OR(LEFT(TH!L1749,2)="15",LEFT(TH!M1749,2)="15"),TK!$E$7=TH!F1749),"x","")</f>
        <v/>
      </c>
      <c r="X1749" s="525" t="str">
        <f>IF(AND('341-CT'!$E$9=H1749,OR(LEFT(L1749,3)=$X$7,LEFT(M1749,3)=$X$7)),"x","")</f>
        <v/>
      </c>
      <c r="Y1749" s="525" t="str">
        <f>IF(OR(TH!L1749=TH!$Y$7,M1749=TH!$Y$7),"x","")</f>
        <v/>
      </c>
      <c r="Z1749" s="525" t="str">
        <f>IF(AND(B1749&lt;=NKC!$N$8,B1749&gt;=NKC!$M$8),"x","")</f>
        <v>x</v>
      </c>
      <c r="AA1749" s="535"/>
      <c r="AB1749" s="536"/>
      <c r="AE1749" s="536"/>
    </row>
    <row r="1750" spans="1:31" s="503" customFormat="1" ht="15.75" customHeight="1">
      <c r="A1750" s="517" t="str">
        <f>IF(B1750&lt;&gt;"",IF(AND(B1750&gt;=_TM1,B1750&lt;=_TM2,OR(TH!L1750="1111",TH!M1750="1111")),TH!D1750,""),"")</f>
        <v/>
      </c>
      <c r="B1750" s="531">
        <f t="shared" si="165"/>
        <v>2</v>
      </c>
      <c r="C1750" s="315">
        <f t="shared" si="163"/>
        <v>42791</v>
      </c>
      <c r="D1750" s="537" t="s">
        <v>996</v>
      </c>
      <c r="E1750" s="545">
        <v>42791</v>
      </c>
      <c r="F1750" s="247" t="s">
        <v>752</v>
      </c>
      <c r="G1750" s="314" t="s">
        <v>542</v>
      </c>
      <c r="H1750" s="473" t="s">
        <v>800</v>
      </c>
      <c r="I1750" s="307">
        <v>117</v>
      </c>
      <c r="J1750" s="307">
        <v>10081</v>
      </c>
      <c r="K1750" s="532">
        <f t="shared" si="164"/>
        <v>1179477</v>
      </c>
      <c r="L1750" s="539" t="s">
        <v>160</v>
      </c>
      <c r="M1750" s="539" t="s">
        <v>292</v>
      </c>
      <c r="N1750" s="525" t="str">
        <f>IF(AND('331-CT'!$E$7=TH!H1750,OR(L1750="331",M1750="331")),"331",IF(AND(OR(L1750="131",M1750="131"),H1750='131-CT'!$E$7),"131",""))</f>
        <v/>
      </c>
      <c r="O1750" s="525" t="str">
        <f>IF(AND($B1750&gt;='111'!$N$11,$B1750&lt;='111'!$O$11,OR($L1750=$O$7,$M1750=$O$7)),"x","")</f>
        <v/>
      </c>
      <c r="P1750" s="525" t="str">
        <f>IF(AND($L1750=$O$7,$B1750&lt;'111'!$N$11),"x","")</f>
        <v/>
      </c>
      <c r="Q1750" s="525" t="str">
        <f>IF(AND($M1750=$O$7,$B1750&lt;'111'!$N$11),"x","")</f>
        <v/>
      </c>
      <c r="R1750" s="525" t="str">
        <f>IF(ISERROR(FIND('112'!$M$9,G1750,1)),"",IF((AND(FIND('112'!$M$9,G1750,1)&gt;=1,$B1750&gt;='112'!$N$8,$B1750&lt;='112'!$O$8,OR($L1750='112'!$I$6,$M1750='112'!$I$6))),"x",""))</f>
        <v/>
      </c>
      <c r="S1750" s="525" t="str">
        <f>IF(ISERROR(FIND('112'!$M$9,G1750,1)),"",IF((AND(LEFT(G1750,2)=LEFT('112'!$M$9,2),B1750&lt;'112'!$N$8,$L1750='112'!$I$6)),"x",""))</f>
        <v/>
      </c>
      <c r="T1750" s="525" t="str">
        <f>IF(ISERROR(FIND('112'!$M$9,G1750,1)),"",IF((AND(RIGHT(G1750,2)=RIGHT('112'!$M$9,2),B1750&lt;'112'!$N$8,$M1750='112'!$I$6)),"x",""))</f>
        <v/>
      </c>
      <c r="U1750" s="525" t="str">
        <f>IF(AND(B1750&gt;='IN-NX'!$P$3,B1750&lt;='IN-NX'!$Q$3,'IN-NX'!$D$7=D1750,OR(LEFT(L1750,2)="15",AND(LEFT(M1750,2)&lt;&gt;"15",LEFT(M1750,2)&lt;&gt;"33"))),"x","")</f>
        <v/>
      </c>
      <c r="V1750" s="525" t="str">
        <f>IF(AND(OR(LEFT(TH!L1750,2)="15",LEFT(TH!M1750,2)="15"),'152-CT'!$J$8=TH!F1750),"x","")</f>
        <v/>
      </c>
      <c r="W1750" s="525" t="str">
        <f>IF(AND(OR(LEFT(TH!L1750,2)="15",LEFT(TH!M1750,2)="15"),TK!$E$7=TH!F1750),"x","")</f>
        <v/>
      </c>
      <c r="X1750" s="525" t="str">
        <f>IF(AND('341-CT'!$E$9=H1750,OR(LEFT(L1750,3)=$X$7,LEFT(M1750,3)=$X$7)),"x","")</f>
        <v/>
      </c>
      <c r="Y1750" s="525" t="str">
        <f>IF(OR(TH!L1750=TH!$Y$7,M1750=TH!$Y$7),"x","")</f>
        <v/>
      </c>
      <c r="Z1750" s="525" t="str">
        <f>IF(AND(B1750&lt;=NKC!$N$8,B1750&gt;=NKC!$M$8),"x","")</f>
        <v>x</v>
      </c>
      <c r="AA1750" s="535"/>
      <c r="AB1750" s="536"/>
      <c r="AE1750" s="536"/>
    </row>
    <row r="1751" spans="1:31" s="503" customFormat="1" ht="15.75" customHeight="1">
      <c r="A1751" s="517" t="str">
        <f>IF(B1751&lt;&gt;"",IF(AND(B1751&gt;=_TM1,B1751&lt;=_TM2,OR(TH!L1751="1111",TH!M1751="1111")),TH!D1751,""),"")</f>
        <v/>
      </c>
      <c r="B1751" s="531">
        <f t="shared" si="165"/>
        <v>2</v>
      </c>
      <c r="C1751" s="315">
        <f t="shared" si="163"/>
        <v>42791</v>
      </c>
      <c r="D1751" s="537" t="s">
        <v>996</v>
      </c>
      <c r="E1751" s="545">
        <v>42791</v>
      </c>
      <c r="F1751" s="249" t="s">
        <v>626</v>
      </c>
      <c r="G1751" s="314" t="s">
        <v>542</v>
      </c>
      <c r="H1751" s="473" t="s">
        <v>800</v>
      </c>
      <c r="I1751" s="307">
        <v>50</v>
      </c>
      <c r="J1751" s="307">
        <v>32556</v>
      </c>
      <c r="K1751" s="532">
        <f t="shared" si="164"/>
        <v>1627800</v>
      </c>
      <c r="L1751" s="539" t="s">
        <v>160</v>
      </c>
      <c r="M1751" s="539" t="s">
        <v>292</v>
      </c>
      <c r="N1751" s="525" t="str">
        <f>IF(AND('331-CT'!$E$7=TH!H1751,OR(L1751="331",M1751="331")),"331",IF(AND(OR(L1751="131",M1751="131"),H1751='131-CT'!$E$7),"131",""))</f>
        <v/>
      </c>
      <c r="O1751" s="525" t="str">
        <f>IF(AND($B1751&gt;='111'!$N$11,$B1751&lt;='111'!$O$11,OR($L1751=$O$7,$M1751=$O$7)),"x","")</f>
        <v/>
      </c>
      <c r="P1751" s="525" t="str">
        <f>IF(AND($L1751=$O$7,$B1751&lt;'111'!$N$11),"x","")</f>
        <v/>
      </c>
      <c r="Q1751" s="525" t="str">
        <f>IF(AND($M1751=$O$7,$B1751&lt;'111'!$N$11),"x","")</f>
        <v/>
      </c>
      <c r="R1751" s="525" t="str">
        <f>IF(ISERROR(FIND('112'!$M$9,G1751,1)),"",IF((AND(FIND('112'!$M$9,G1751,1)&gt;=1,$B1751&gt;='112'!$N$8,$B1751&lt;='112'!$O$8,OR($L1751='112'!$I$6,$M1751='112'!$I$6))),"x",""))</f>
        <v/>
      </c>
      <c r="S1751" s="525" t="str">
        <f>IF(ISERROR(FIND('112'!$M$9,G1751,1)),"",IF((AND(LEFT(G1751,2)=LEFT('112'!$M$9,2),B1751&lt;'112'!$N$8,$L1751='112'!$I$6)),"x",""))</f>
        <v/>
      </c>
      <c r="T1751" s="525" t="str">
        <f>IF(ISERROR(FIND('112'!$M$9,G1751,1)),"",IF((AND(RIGHT(G1751,2)=RIGHT('112'!$M$9,2),B1751&lt;'112'!$N$8,$M1751='112'!$I$6)),"x",""))</f>
        <v/>
      </c>
      <c r="U1751" s="525" t="str">
        <f>IF(AND(B1751&gt;='IN-NX'!$P$3,B1751&lt;='IN-NX'!$Q$3,'IN-NX'!$D$7=D1751,OR(LEFT(L1751,2)="15",AND(LEFT(M1751,2)&lt;&gt;"15",LEFT(M1751,2)&lt;&gt;"33"))),"x","")</f>
        <v/>
      </c>
      <c r="V1751" s="525" t="str">
        <f>IF(AND(OR(LEFT(TH!L1751,2)="15",LEFT(TH!M1751,2)="15"),'152-CT'!$J$8=TH!F1751),"x","")</f>
        <v/>
      </c>
      <c r="W1751" s="525" t="str">
        <f>IF(AND(OR(LEFT(TH!L1751,2)="15",LEFT(TH!M1751,2)="15"),TK!$E$7=TH!F1751),"x","")</f>
        <v/>
      </c>
      <c r="X1751" s="525" t="str">
        <f>IF(AND('341-CT'!$E$9=H1751,OR(LEFT(L1751,3)=$X$7,LEFT(M1751,3)=$X$7)),"x","")</f>
        <v/>
      </c>
      <c r="Y1751" s="525" t="str">
        <f>IF(OR(TH!L1751=TH!$Y$7,M1751=TH!$Y$7),"x","")</f>
        <v/>
      </c>
      <c r="Z1751" s="525" t="str">
        <f>IF(AND(B1751&lt;=NKC!$N$8,B1751&gt;=NKC!$M$8),"x","")</f>
        <v>x</v>
      </c>
      <c r="AA1751" s="535"/>
      <c r="AB1751" s="536"/>
      <c r="AE1751" s="536"/>
    </row>
    <row r="1752" spans="1:31" s="503" customFormat="1" ht="15.75" customHeight="1">
      <c r="A1752" s="517" t="str">
        <f>IF(B1752&lt;&gt;"",IF(AND(B1752&gt;=_TM1,B1752&lt;=_TM2,OR(TH!L1752="1111",TH!M1752="1111")),TH!D1752,""),"")</f>
        <v/>
      </c>
      <c r="B1752" s="531">
        <f t="shared" si="165"/>
        <v>2</v>
      </c>
      <c r="C1752" s="315">
        <f t="shared" si="163"/>
        <v>42791</v>
      </c>
      <c r="D1752" s="537" t="s">
        <v>996</v>
      </c>
      <c r="E1752" s="545">
        <v>42791</v>
      </c>
      <c r="F1752" s="249" t="s">
        <v>753</v>
      </c>
      <c r="G1752" s="314" t="s">
        <v>542</v>
      </c>
      <c r="H1752" s="473" t="s">
        <v>800</v>
      </c>
      <c r="I1752" s="307">
        <v>39</v>
      </c>
      <c r="J1752" s="307">
        <v>38645</v>
      </c>
      <c r="K1752" s="532">
        <f t="shared" si="164"/>
        <v>1507155</v>
      </c>
      <c r="L1752" s="539" t="s">
        <v>160</v>
      </c>
      <c r="M1752" s="539" t="s">
        <v>292</v>
      </c>
      <c r="N1752" s="525" t="str">
        <f>IF(AND('331-CT'!$E$7=TH!H1752,OR(L1752="331",M1752="331")),"331",IF(AND(OR(L1752="131",M1752="131"),H1752='131-CT'!$E$7),"131",""))</f>
        <v/>
      </c>
      <c r="O1752" s="525" t="str">
        <f>IF(AND($B1752&gt;='111'!$N$11,$B1752&lt;='111'!$O$11,OR($L1752=$O$7,$M1752=$O$7)),"x","")</f>
        <v/>
      </c>
      <c r="P1752" s="525" t="str">
        <f>IF(AND($L1752=$O$7,$B1752&lt;'111'!$N$11),"x","")</f>
        <v/>
      </c>
      <c r="Q1752" s="525" t="str">
        <f>IF(AND($M1752=$O$7,$B1752&lt;'111'!$N$11),"x","")</f>
        <v/>
      </c>
      <c r="R1752" s="525" t="str">
        <f>IF(ISERROR(FIND('112'!$M$9,G1752,1)),"",IF((AND(FIND('112'!$M$9,G1752,1)&gt;=1,$B1752&gt;='112'!$N$8,$B1752&lt;='112'!$O$8,OR($L1752='112'!$I$6,$M1752='112'!$I$6))),"x",""))</f>
        <v/>
      </c>
      <c r="S1752" s="525" t="str">
        <f>IF(ISERROR(FIND('112'!$M$9,G1752,1)),"",IF((AND(LEFT(G1752,2)=LEFT('112'!$M$9,2),B1752&lt;'112'!$N$8,$L1752='112'!$I$6)),"x",""))</f>
        <v/>
      </c>
      <c r="T1752" s="525" t="str">
        <f>IF(ISERROR(FIND('112'!$M$9,G1752,1)),"",IF((AND(RIGHT(G1752,2)=RIGHT('112'!$M$9,2),B1752&lt;'112'!$N$8,$M1752='112'!$I$6)),"x",""))</f>
        <v/>
      </c>
      <c r="U1752" s="525" t="str">
        <f>IF(AND(B1752&gt;='IN-NX'!$P$3,B1752&lt;='IN-NX'!$Q$3,'IN-NX'!$D$7=D1752,OR(LEFT(L1752,2)="15",AND(LEFT(M1752,2)&lt;&gt;"15",LEFT(M1752,2)&lt;&gt;"33"))),"x","")</f>
        <v/>
      </c>
      <c r="V1752" s="525" t="str">
        <f>IF(AND(OR(LEFT(TH!L1752,2)="15",LEFT(TH!M1752,2)="15"),'152-CT'!$J$8=TH!F1752),"x","")</f>
        <v/>
      </c>
      <c r="W1752" s="525" t="str">
        <f>IF(AND(OR(LEFT(TH!L1752,2)="15",LEFT(TH!M1752,2)="15"),TK!$E$7=TH!F1752),"x","")</f>
        <v/>
      </c>
      <c r="X1752" s="525" t="str">
        <f>IF(AND('341-CT'!$E$9=H1752,OR(LEFT(L1752,3)=$X$7,LEFT(M1752,3)=$X$7)),"x","")</f>
        <v/>
      </c>
      <c r="Y1752" s="525" t="str">
        <f>IF(OR(TH!L1752=TH!$Y$7,M1752=TH!$Y$7),"x","")</f>
        <v/>
      </c>
      <c r="Z1752" s="525" t="str">
        <f>IF(AND(B1752&lt;=NKC!$N$8,B1752&gt;=NKC!$M$8),"x","")</f>
        <v>x</v>
      </c>
      <c r="AA1752" s="535"/>
      <c r="AB1752" s="536"/>
      <c r="AE1752" s="536"/>
    </row>
    <row r="1753" spans="1:31" s="503" customFormat="1" ht="15.75" customHeight="1">
      <c r="A1753" s="517" t="str">
        <f>IF(B1753&lt;&gt;"",IF(AND(B1753&gt;=_TM1,B1753&lt;=_TM2,OR(TH!L1753="1111",TH!M1753="1111")),TH!D1753,""),"")</f>
        <v/>
      </c>
      <c r="B1753" s="531">
        <f t="shared" si="165"/>
        <v>2</v>
      </c>
      <c r="C1753" s="315">
        <f t="shared" si="163"/>
        <v>42791</v>
      </c>
      <c r="D1753" s="537" t="s">
        <v>996</v>
      </c>
      <c r="E1753" s="545">
        <v>42791</v>
      </c>
      <c r="F1753" s="249" t="s">
        <v>710</v>
      </c>
      <c r="G1753" s="314" t="s">
        <v>542</v>
      </c>
      <c r="H1753" s="473" t="s">
        <v>800</v>
      </c>
      <c r="I1753" s="307">
        <v>12</v>
      </c>
      <c r="J1753" s="307">
        <v>20357</v>
      </c>
      <c r="K1753" s="532">
        <f t="shared" si="164"/>
        <v>244284</v>
      </c>
      <c r="L1753" s="539" t="s">
        <v>160</v>
      </c>
      <c r="M1753" s="539" t="s">
        <v>292</v>
      </c>
      <c r="N1753" s="525" t="str">
        <f>IF(AND('331-CT'!$E$7=TH!H1753,OR(L1753="331",M1753="331")),"331",IF(AND(OR(L1753="131",M1753="131"),H1753='131-CT'!$E$7),"131",""))</f>
        <v/>
      </c>
      <c r="O1753" s="525" t="str">
        <f>IF(AND($B1753&gt;='111'!$N$11,$B1753&lt;='111'!$O$11,OR($L1753=$O$7,$M1753=$O$7)),"x","")</f>
        <v/>
      </c>
      <c r="P1753" s="525" t="str">
        <f>IF(AND($L1753=$O$7,$B1753&lt;'111'!$N$11),"x","")</f>
        <v/>
      </c>
      <c r="Q1753" s="525" t="str">
        <f>IF(AND($M1753=$O$7,$B1753&lt;'111'!$N$11),"x","")</f>
        <v/>
      </c>
      <c r="R1753" s="525" t="str">
        <f>IF(ISERROR(FIND('112'!$M$9,G1753,1)),"",IF((AND(FIND('112'!$M$9,G1753,1)&gt;=1,$B1753&gt;='112'!$N$8,$B1753&lt;='112'!$O$8,OR($L1753='112'!$I$6,$M1753='112'!$I$6))),"x",""))</f>
        <v/>
      </c>
      <c r="S1753" s="525" t="str">
        <f>IF(ISERROR(FIND('112'!$M$9,G1753,1)),"",IF((AND(LEFT(G1753,2)=LEFT('112'!$M$9,2),B1753&lt;'112'!$N$8,$L1753='112'!$I$6)),"x",""))</f>
        <v/>
      </c>
      <c r="T1753" s="525" t="str">
        <f>IF(ISERROR(FIND('112'!$M$9,G1753,1)),"",IF((AND(RIGHT(G1753,2)=RIGHT('112'!$M$9,2),B1753&lt;'112'!$N$8,$M1753='112'!$I$6)),"x",""))</f>
        <v/>
      </c>
      <c r="U1753" s="525" t="str">
        <f>IF(AND(B1753&gt;='IN-NX'!$P$3,B1753&lt;='IN-NX'!$Q$3,'IN-NX'!$D$7=D1753,OR(LEFT(L1753,2)="15",AND(LEFT(M1753,2)&lt;&gt;"15",LEFT(M1753,2)&lt;&gt;"33"))),"x","")</f>
        <v/>
      </c>
      <c r="V1753" s="525" t="str">
        <f>IF(AND(OR(LEFT(TH!L1753,2)="15",LEFT(TH!M1753,2)="15"),'152-CT'!$J$8=TH!F1753),"x","")</f>
        <v/>
      </c>
      <c r="W1753" s="525" t="str">
        <f>IF(AND(OR(LEFT(TH!L1753,2)="15",LEFT(TH!M1753,2)="15"),TK!$E$7=TH!F1753),"x","")</f>
        <v/>
      </c>
      <c r="X1753" s="525" t="str">
        <f>IF(AND('341-CT'!$E$9=H1753,OR(LEFT(L1753,3)=$X$7,LEFT(M1753,3)=$X$7)),"x","")</f>
        <v/>
      </c>
      <c r="Y1753" s="525" t="str">
        <f>IF(OR(TH!L1753=TH!$Y$7,M1753=TH!$Y$7),"x","")</f>
        <v/>
      </c>
      <c r="Z1753" s="525" t="str">
        <f>IF(AND(B1753&lt;=NKC!$N$8,B1753&gt;=NKC!$M$8),"x","")</f>
        <v>x</v>
      </c>
      <c r="AA1753" s="535"/>
      <c r="AB1753" s="536"/>
      <c r="AE1753" s="536"/>
    </row>
    <row r="1754" spans="1:31" s="503" customFormat="1" ht="15.75" customHeight="1">
      <c r="A1754" s="517" t="str">
        <f>IF(B1754&lt;&gt;"",IF(AND(B1754&gt;=_TM1,B1754&lt;=_TM2,OR(TH!L1754="1111",TH!M1754="1111")),TH!D1754,""),"")</f>
        <v/>
      </c>
      <c r="B1754" s="531">
        <f t="shared" si="165"/>
        <v>2</v>
      </c>
      <c r="C1754" s="315">
        <f t="shared" si="163"/>
        <v>42791</v>
      </c>
      <c r="D1754" s="537" t="s">
        <v>996</v>
      </c>
      <c r="E1754" s="548">
        <v>42791</v>
      </c>
      <c r="F1754" s="250" t="s">
        <v>754</v>
      </c>
      <c r="G1754" s="540" t="s">
        <v>542</v>
      </c>
      <c r="H1754" s="473" t="s">
        <v>800</v>
      </c>
      <c r="I1754" s="307">
        <v>48</v>
      </c>
      <c r="J1754" s="307">
        <v>59826</v>
      </c>
      <c r="K1754" s="532">
        <f t="shared" si="164"/>
        <v>2871648</v>
      </c>
      <c r="L1754" s="539" t="s">
        <v>160</v>
      </c>
      <c r="M1754" s="539" t="s">
        <v>292</v>
      </c>
      <c r="N1754" s="525" t="str">
        <f>IF(AND('331-CT'!$E$7=TH!H1754,OR(L1754="331",M1754="331")),"331",IF(AND(OR(L1754="131",M1754="131"),H1754='131-CT'!$E$7),"131",""))</f>
        <v/>
      </c>
      <c r="O1754" s="525" t="str">
        <f>IF(AND($B1754&gt;='111'!$N$11,$B1754&lt;='111'!$O$11,OR($L1754=$O$7,$M1754=$O$7)),"x","")</f>
        <v/>
      </c>
      <c r="P1754" s="525" t="str">
        <f>IF(AND($L1754=$O$7,$B1754&lt;'111'!$N$11),"x","")</f>
        <v/>
      </c>
      <c r="Q1754" s="525" t="str">
        <f>IF(AND($M1754=$O$7,$B1754&lt;'111'!$N$11),"x","")</f>
        <v/>
      </c>
      <c r="R1754" s="525" t="str">
        <f>IF(ISERROR(FIND('112'!$M$9,G1754,1)),"",IF((AND(FIND('112'!$M$9,G1754,1)&gt;=1,$B1754&gt;='112'!$N$8,$B1754&lt;='112'!$O$8,OR($L1754='112'!$I$6,$M1754='112'!$I$6))),"x",""))</f>
        <v/>
      </c>
      <c r="S1754" s="525" t="str">
        <f>IF(ISERROR(FIND('112'!$M$9,G1754,1)),"",IF((AND(LEFT(G1754,2)=LEFT('112'!$M$9,2),B1754&lt;'112'!$N$8,$L1754='112'!$I$6)),"x",""))</f>
        <v/>
      </c>
      <c r="T1754" s="525" t="str">
        <f>IF(ISERROR(FIND('112'!$M$9,G1754,1)),"",IF((AND(RIGHT(G1754,2)=RIGHT('112'!$M$9,2),B1754&lt;'112'!$N$8,$M1754='112'!$I$6)),"x",""))</f>
        <v/>
      </c>
      <c r="U1754" s="525" t="str">
        <f>IF(AND(B1754&gt;='IN-NX'!$P$3,B1754&lt;='IN-NX'!$Q$3,'IN-NX'!$D$7=D1754,OR(LEFT(L1754,2)="15",AND(LEFT(M1754,2)&lt;&gt;"15",LEFT(M1754,2)&lt;&gt;"33"))),"x","")</f>
        <v/>
      </c>
      <c r="V1754" s="525" t="str">
        <f>IF(AND(OR(LEFT(TH!L1754,2)="15",LEFT(TH!M1754,2)="15"),'152-CT'!$J$8=TH!F1754),"x","")</f>
        <v/>
      </c>
      <c r="W1754" s="525" t="str">
        <f>IF(AND(OR(LEFT(TH!L1754,2)="15",LEFT(TH!M1754,2)="15"),TK!$E$7=TH!F1754),"x","")</f>
        <v/>
      </c>
      <c r="X1754" s="525" t="str">
        <f>IF(AND('341-CT'!$E$9=H1754,OR(LEFT(L1754,3)=$X$7,LEFT(M1754,3)=$X$7)),"x","")</f>
        <v/>
      </c>
      <c r="Y1754" s="525" t="str">
        <f>IF(OR(TH!L1754=TH!$Y$7,M1754=TH!$Y$7),"x","")</f>
        <v/>
      </c>
      <c r="Z1754" s="525" t="str">
        <f>IF(AND(B1754&lt;=NKC!$N$8,B1754&gt;=NKC!$M$8),"x","")</f>
        <v>x</v>
      </c>
      <c r="AA1754" s="535"/>
    </row>
    <row r="1755" spans="1:31" s="503" customFormat="1" ht="15.75" customHeight="1">
      <c r="A1755" s="517" t="str">
        <f>IF(B1755&lt;&gt;"",IF(AND(B1755&gt;=_TM1,B1755&lt;=_TM2,OR(TH!L1755="1111",TH!M1755="1111")),TH!D1755,""),"")</f>
        <v/>
      </c>
      <c r="B1755" s="531">
        <f t="shared" si="165"/>
        <v>2</v>
      </c>
      <c r="C1755" s="315">
        <f t="shared" si="163"/>
        <v>42791</v>
      </c>
      <c r="D1755" s="537" t="s">
        <v>996</v>
      </c>
      <c r="E1755" s="548">
        <v>42791</v>
      </c>
      <c r="F1755" s="250" t="s">
        <v>755</v>
      </c>
      <c r="G1755" s="540" t="s">
        <v>542</v>
      </c>
      <c r="H1755" s="473" t="s">
        <v>800</v>
      </c>
      <c r="I1755" s="307">
        <v>12</v>
      </c>
      <c r="J1755" s="307">
        <v>65822</v>
      </c>
      <c r="K1755" s="532">
        <f t="shared" si="164"/>
        <v>789864</v>
      </c>
      <c r="L1755" s="539" t="s">
        <v>160</v>
      </c>
      <c r="M1755" s="539" t="s">
        <v>292</v>
      </c>
      <c r="N1755" s="525" t="str">
        <f>IF(AND('331-CT'!$E$7=TH!H1755,OR(L1755="331",M1755="331")),"331",IF(AND(OR(L1755="131",M1755="131"),H1755='131-CT'!$E$7),"131",""))</f>
        <v/>
      </c>
      <c r="O1755" s="525" t="str">
        <f>IF(AND($B1755&gt;='111'!$N$11,$B1755&lt;='111'!$O$11,OR($L1755=$O$7,$M1755=$O$7)),"x","")</f>
        <v/>
      </c>
      <c r="P1755" s="525" t="str">
        <f>IF(AND($L1755=$O$7,$B1755&lt;'111'!$N$11),"x","")</f>
        <v/>
      </c>
      <c r="Q1755" s="525" t="str">
        <f>IF(AND($M1755=$O$7,$B1755&lt;'111'!$N$11),"x","")</f>
        <v/>
      </c>
      <c r="R1755" s="525" t="str">
        <f>IF(ISERROR(FIND('112'!$M$9,G1755,1)),"",IF((AND(FIND('112'!$M$9,G1755,1)&gt;=1,$B1755&gt;='112'!$N$8,$B1755&lt;='112'!$O$8,OR($L1755='112'!$I$6,$M1755='112'!$I$6))),"x",""))</f>
        <v/>
      </c>
      <c r="S1755" s="525" t="str">
        <f>IF(ISERROR(FIND('112'!$M$9,G1755,1)),"",IF((AND(LEFT(G1755,2)=LEFT('112'!$M$9,2),B1755&lt;'112'!$N$8,$L1755='112'!$I$6)),"x",""))</f>
        <v/>
      </c>
      <c r="T1755" s="525" t="str">
        <f>IF(ISERROR(FIND('112'!$M$9,G1755,1)),"",IF((AND(RIGHT(G1755,2)=RIGHT('112'!$M$9,2),B1755&lt;'112'!$N$8,$M1755='112'!$I$6)),"x",""))</f>
        <v/>
      </c>
      <c r="U1755" s="525" t="str">
        <f>IF(AND(B1755&gt;='IN-NX'!$P$3,B1755&lt;='IN-NX'!$Q$3,'IN-NX'!$D$7=D1755,OR(LEFT(L1755,2)="15",AND(LEFT(M1755,2)&lt;&gt;"15",LEFT(M1755,2)&lt;&gt;"33"))),"x","")</f>
        <v/>
      </c>
      <c r="V1755" s="525" t="str">
        <f>IF(AND(OR(LEFT(TH!L1755,2)="15",LEFT(TH!M1755,2)="15"),'152-CT'!$J$8=TH!F1755),"x","")</f>
        <v/>
      </c>
      <c r="W1755" s="525" t="str">
        <f>IF(AND(OR(LEFT(TH!L1755,2)="15",LEFT(TH!M1755,2)="15"),TK!$E$7=TH!F1755),"x","")</f>
        <v/>
      </c>
      <c r="X1755" s="525" t="str">
        <f>IF(AND('341-CT'!$E$9=H1755,OR(LEFT(L1755,3)=$X$7,LEFT(M1755,3)=$X$7)),"x","")</f>
        <v/>
      </c>
      <c r="Y1755" s="525" t="str">
        <f>IF(OR(TH!L1755=TH!$Y$7,M1755=TH!$Y$7),"x","")</f>
        <v/>
      </c>
      <c r="Z1755" s="525" t="str">
        <f>IF(AND(B1755&lt;=NKC!$N$8,B1755&gt;=NKC!$M$8),"x","")</f>
        <v>x</v>
      </c>
      <c r="AA1755" s="535"/>
    </row>
    <row r="1756" spans="1:31" s="503" customFormat="1" ht="15.75" customHeight="1">
      <c r="A1756" s="517" t="str">
        <f>IF(B1756&lt;&gt;"",IF(AND(B1756&gt;=_TM1,B1756&lt;=_TM2,OR(TH!L1756="1111",TH!M1756="1111")),TH!D1756,""),"")</f>
        <v/>
      </c>
      <c r="B1756" s="531">
        <f t="shared" si="165"/>
        <v>2</v>
      </c>
      <c r="C1756" s="315">
        <f t="shared" si="163"/>
        <v>42791</v>
      </c>
      <c r="D1756" s="537" t="s">
        <v>996</v>
      </c>
      <c r="E1756" s="545">
        <v>42791</v>
      </c>
      <c r="F1756" s="249" t="s">
        <v>667</v>
      </c>
      <c r="G1756" s="314" t="s">
        <v>542</v>
      </c>
      <c r="H1756" s="473" t="s">
        <v>800</v>
      </c>
      <c r="I1756" s="307">
        <v>35</v>
      </c>
      <c r="J1756" s="307">
        <v>58672</v>
      </c>
      <c r="K1756" s="532">
        <f t="shared" si="164"/>
        <v>2053520</v>
      </c>
      <c r="L1756" s="539" t="s">
        <v>160</v>
      </c>
      <c r="M1756" s="539" t="s">
        <v>292</v>
      </c>
      <c r="N1756" s="525" t="str">
        <f>IF(AND('331-CT'!$E$7=TH!H1756,OR(L1756="331",M1756="331")),"331",IF(AND(OR(L1756="131",M1756="131"),H1756='131-CT'!$E$7),"131",""))</f>
        <v/>
      </c>
      <c r="O1756" s="525" t="str">
        <f>IF(AND($B1756&gt;='111'!$N$11,$B1756&lt;='111'!$O$11,OR($L1756=$O$7,$M1756=$O$7)),"x","")</f>
        <v/>
      </c>
      <c r="P1756" s="525" t="str">
        <f>IF(AND($L1756=$O$7,$B1756&lt;'111'!$N$11),"x","")</f>
        <v/>
      </c>
      <c r="Q1756" s="525" t="str">
        <f>IF(AND($M1756=$O$7,$B1756&lt;'111'!$N$11),"x","")</f>
        <v/>
      </c>
      <c r="R1756" s="525" t="str">
        <f>IF(ISERROR(FIND('112'!$M$9,G1756,1)),"",IF((AND(FIND('112'!$M$9,G1756,1)&gt;=1,$B1756&gt;='112'!$N$8,$B1756&lt;='112'!$O$8,OR($L1756='112'!$I$6,$M1756='112'!$I$6))),"x",""))</f>
        <v/>
      </c>
      <c r="S1756" s="525" t="str">
        <f>IF(ISERROR(FIND('112'!$M$9,G1756,1)),"",IF((AND(LEFT(G1756,2)=LEFT('112'!$M$9,2),B1756&lt;'112'!$N$8,$L1756='112'!$I$6)),"x",""))</f>
        <v/>
      </c>
      <c r="T1756" s="525" t="str">
        <f>IF(ISERROR(FIND('112'!$M$9,G1756,1)),"",IF((AND(RIGHT(G1756,2)=RIGHT('112'!$M$9,2),B1756&lt;'112'!$N$8,$M1756='112'!$I$6)),"x",""))</f>
        <v/>
      </c>
      <c r="U1756" s="525" t="str">
        <f>IF(AND(B1756&gt;='IN-NX'!$P$3,B1756&lt;='IN-NX'!$Q$3,'IN-NX'!$D$7=D1756,OR(LEFT(L1756,2)="15",AND(LEFT(M1756,2)&lt;&gt;"15",LEFT(M1756,2)&lt;&gt;"33"))),"x","")</f>
        <v/>
      </c>
      <c r="V1756" s="525" t="str">
        <f>IF(AND(OR(LEFT(TH!L1756,2)="15",LEFT(TH!M1756,2)="15"),'152-CT'!$J$8=TH!F1756),"x","")</f>
        <v/>
      </c>
      <c r="W1756" s="525" t="str">
        <f>IF(AND(OR(LEFT(TH!L1756,2)="15",LEFT(TH!M1756,2)="15"),TK!$E$7=TH!F1756),"x","")</f>
        <v/>
      </c>
      <c r="X1756" s="525" t="str">
        <f>IF(AND('341-CT'!$E$9=H1756,OR(LEFT(L1756,3)=$X$7,LEFT(M1756,3)=$X$7)),"x","")</f>
        <v/>
      </c>
      <c r="Y1756" s="525" t="str">
        <f>IF(OR(TH!L1756=TH!$Y$7,M1756=TH!$Y$7),"x","")</f>
        <v/>
      </c>
      <c r="Z1756" s="525" t="str">
        <f>IF(AND(B1756&lt;=NKC!$N$8,B1756&gt;=NKC!$M$8),"x","")</f>
        <v>x</v>
      </c>
      <c r="AA1756" s="535"/>
      <c r="AB1756" s="536"/>
      <c r="AE1756" s="536"/>
    </row>
    <row r="1757" spans="1:31" s="503" customFormat="1" ht="15.75" customHeight="1">
      <c r="A1757" s="517" t="str">
        <f>IF(B1757&lt;&gt;"",IF(AND(B1757&gt;=_TM1,B1757&lt;=_TM2,OR(TH!L1757="1111",TH!M1757="1111")),TH!D1757,""),"")</f>
        <v/>
      </c>
      <c r="B1757" s="531">
        <f t="shared" si="165"/>
        <v>2</v>
      </c>
      <c r="C1757" s="315">
        <f t="shared" si="163"/>
        <v>42791</v>
      </c>
      <c r="D1757" s="537" t="s">
        <v>996</v>
      </c>
      <c r="E1757" s="545">
        <v>42791</v>
      </c>
      <c r="F1757" s="249" t="s">
        <v>756</v>
      </c>
      <c r="G1757" s="314" t="s">
        <v>542</v>
      </c>
      <c r="H1757" s="473" t="s">
        <v>800</v>
      </c>
      <c r="I1757" s="307">
        <v>70</v>
      </c>
      <c r="J1757" s="307">
        <v>37751</v>
      </c>
      <c r="K1757" s="532">
        <f t="shared" si="164"/>
        <v>2642570</v>
      </c>
      <c r="L1757" s="539" t="s">
        <v>160</v>
      </c>
      <c r="M1757" s="539" t="s">
        <v>292</v>
      </c>
      <c r="N1757" s="525" t="str">
        <f>IF(AND('331-CT'!$E$7=TH!H1757,OR(L1757="331",M1757="331")),"331",IF(AND(OR(L1757="131",M1757="131"),H1757='131-CT'!$E$7),"131",""))</f>
        <v/>
      </c>
      <c r="O1757" s="525" t="str">
        <f>IF(AND($B1757&gt;='111'!$N$11,$B1757&lt;='111'!$O$11,OR($L1757=$O$7,$M1757=$O$7)),"x","")</f>
        <v/>
      </c>
      <c r="P1757" s="525" t="str">
        <f>IF(AND($L1757=$O$7,$B1757&lt;'111'!$N$11),"x","")</f>
        <v/>
      </c>
      <c r="Q1757" s="525" t="str">
        <f>IF(AND($M1757=$O$7,$B1757&lt;'111'!$N$11),"x","")</f>
        <v/>
      </c>
      <c r="R1757" s="525" t="str">
        <f>IF(ISERROR(FIND('112'!$M$9,G1757,1)),"",IF((AND(FIND('112'!$M$9,G1757,1)&gt;=1,$B1757&gt;='112'!$N$8,$B1757&lt;='112'!$O$8,OR($L1757='112'!$I$6,$M1757='112'!$I$6))),"x",""))</f>
        <v/>
      </c>
      <c r="S1757" s="525" t="str">
        <f>IF(ISERROR(FIND('112'!$M$9,G1757,1)),"",IF((AND(LEFT(G1757,2)=LEFT('112'!$M$9,2),B1757&lt;'112'!$N$8,$L1757='112'!$I$6)),"x",""))</f>
        <v/>
      </c>
      <c r="T1757" s="525" t="str">
        <f>IF(ISERROR(FIND('112'!$M$9,G1757,1)),"",IF((AND(RIGHT(G1757,2)=RIGHT('112'!$M$9,2),B1757&lt;'112'!$N$8,$M1757='112'!$I$6)),"x",""))</f>
        <v/>
      </c>
      <c r="U1757" s="525" t="str">
        <f>IF(AND(B1757&gt;='IN-NX'!$P$3,B1757&lt;='IN-NX'!$Q$3,'IN-NX'!$D$7=D1757,OR(LEFT(L1757,2)="15",AND(LEFT(M1757,2)&lt;&gt;"15",LEFT(M1757,2)&lt;&gt;"33"))),"x","")</f>
        <v/>
      </c>
      <c r="V1757" s="525" t="str">
        <f>IF(AND(OR(LEFT(TH!L1757,2)="15",LEFT(TH!M1757,2)="15"),'152-CT'!$J$8=TH!F1757),"x","")</f>
        <v/>
      </c>
      <c r="W1757" s="525" t="str">
        <f>IF(AND(OR(LEFT(TH!L1757,2)="15",LEFT(TH!M1757,2)="15"),TK!$E$7=TH!F1757),"x","")</f>
        <v/>
      </c>
      <c r="X1757" s="525" t="str">
        <f>IF(AND('341-CT'!$E$9=H1757,OR(LEFT(L1757,3)=$X$7,LEFT(M1757,3)=$X$7)),"x","")</f>
        <v/>
      </c>
      <c r="Y1757" s="525" t="str">
        <f>IF(OR(TH!L1757=TH!$Y$7,M1757=TH!$Y$7),"x","")</f>
        <v/>
      </c>
      <c r="Z1757" s="525" t="str">
        <f>IF(AND(B1757&lt;=NKC!$N$8,B1757&gt;=NKC!$M$8),"x","")</f>
        <v>x</v>
      </c>
      <c r="AA1757" s="535"/>
      <c r="AB1757" s="536"/>
      <c r="AE1757" s="536"/>
    </row>
    <row r="1758" spans="1:31" s="503" customFormat="1" ht="15.75" customHeight="1">
      <c r="A1758" s="517" t="str">
        <f>IF(B1758&lt;&gt;"",IF(AND(B1758&gt;=_TM1,B1758&lt;=_TM2,OR(TH!L1758="1111",TH!M1758="1111")),TH!D1758,""),"")</f>
        <v/>
      </c>
      <c r="B1758" s="531">
        <f t="shared" si="165"/>
        <v>2</v>
      </c>
      <c r="C1758" s="315">
        <f t="shared" si="163"/>
        <v>42791</v>
      </c>
      <c r="D1758" s="537" t="s">
        <v>996</v>
      </c>
      <c r="E1758" s="545">
        <v>42791</v>
      </c>
      <c r="F1758" s="249" t="s">
        <v>757</v>
      </c>
      <c r="G1758" s="314" t="s">
        <v>542</v>
      </c>
      <c r="H1758" s="473" t="s">
        <v>800</v>
      </c>
      <c r="I1758" s="307">
        <v>12</v>
      </c>
      <c r="J1758" s="307">
        <v>44677</v>
      </c>
      <c r="K1758" s="532">
        <f t="shared" si="164"/>
        <v>536124</v>
      </c>
      <c r="L1758" s="539" t="s">
        <v>160</v>
      </c>
      <c r="M1758" s="539" t="s">
        <v>292</v>
      </c>
      <c r="N1758" s="525" t="str">
        <f>IF(AND('331-CT'!$E$7=TH!H1758,OR(L1758="331",M1758="331")),"331",IF(AND(OR(L1758="131",M1758="131"),H1758='131-CT'!$E$7),"131",""))</f>
        <v/>
      </c>
      <c r="O1758" s="525" t="str">
        <f>IF(AND($B1758&gt;='111'!$N$11,$B1758&lt;='111'!$O$11,OR($L1758=$O$7,$M1758=$O$7)),"x","")</f>
        <v/>
      </c>
      <c r="P1758" s="525" t="str">
        <f>IF(AND($L1758=$O$7,$B1758&lt;'111'!$N$11),"x","")</f>
        <v/>
      </c>
      <c r="Q1758" s="525" t="str">
        <f>IF(AND($M1758=$O$7,$B1758&lt;'111'!$N$11),"x","")</f>
        <v/>
      </c>
      <c r="R1758" s="525" t="str">
        <f>IF(ISERROR(FIND('112'!$M$9,G1758,1)),"",IF((AND(FIND('112'!$M$9,G1758,1)&gt;=1,$B1758&gt;='112'!$N$8,$B1758&lt;='112'!$O$8,OR($L1758='112'!$I$6,$M1758='112'!$I$6))),"x",""))</f>
        <v/>
      </c>
      <c r="S1758" s="525" t="str">
        <f>IF(ISERROR(FIND('112'!$M$9,G1758,1)),"",IF((AND(LEFT(G1758,2)=LEFT('112'!$M$9,2),B1758&lt;'112'!$N$8,$L1758='112'!$I$6)),"x",""))</f>
        <v/>
      </c>
      <c r="T1758" s="525" t="str">
        <f>IF(ISERROR(FIND('112'!$M$9,G1758,1)),"",IF((AND(RIGHT(G1758,2)=RIGHT('112'!$M$9,2),B1758&lt;'112'!$N$8,$M1758='112'!$I$6)),"x",""))</f>
        <v/>
      </c>
      <c r="U1758" s="525" t="str">
        <f>IF(AND(B1758&gt;='IN-NX'!$P$3,B1758&lt;='IN-NX'!$Q$3,'IN-NX'!$D$7=D1758,OR(LEFT(L1758,2)="15",AND(LEFT(M1758,2)&lt;&gt;"15",LEFT(M1758,2)&lt;&gt;"33"))),"x","")</f>
        <v/>
      </c>
      <c r="V1758" s="525" t="str">
        <f>IF(AND(OR(LEFT(TH!L1758,2)="15",LEFT(TH!M1758,2)="15"),'152-CT'!$J$8=TH!F1758),"x","")</f>
        <v/>
      </c>
      <c r="W1758" s="525" t="str">
        <f>IF(AND(OR(LEFT(TH!L1758,2)="15",LEFT(TH!M1758,2)="15"),TK!$E$7=TH!F1758),"x","")</f>
        <v/>
      </c>
      <c r="X1758" s="525" t="str">
        <f>IF(AND('341-CT'!$E$9=H1758,OR(LEFT(L1758,3)=$X$7,LEFT(M1758,3)=$X$7)),"x","")</f>
        <v/>
      </c>
      <c r="Y1758" s="525" t="str">
        <f>IF(OR(TH!L1758=TH!$Y$7,M1758=TH!$Y$7),"x","")</f>
        <v/>
      </c>
      <c r="Z1758" s="525" t="str">
        <f>IF(AND(B1758&lt;=NKC!$N$8,B1758&gt;=NKC!$M$8),"x","")</f>
        <v>x</v>
      </c>
      <c r="AA1758" s="535"/>
      <c r="AB1758" s="536"/>
      <c r="AE1758" s="536"/>
    </row>
    <row r="1759" spans="1:31" s="503" customFormat="1" ht="15.75" customHeight="1">
      <c r="A1759" s="517" t="str">
        <f>IF(B1759&lt;&gt;"",IF(AND(B1759&gt;=_TM1,B1759&lt;=_TM2,OR(TH!L1759="1111",TH!M1759="1111")),TH!D1759,""),"")</f>
        <v/>
      </c>
      <c r="B1759" s="531">
        <f t="shared" si="165"/>
        <v>2</v>
      </c>
      <c r="C1759" s="315">
        <f t="shared" si="163"/>
        <v>42791</v>
      </c>
      <c r="D1759" s="537" t="s">
        <v>996</v>
      </c>
      <c r="E1759" s="545">
        <v>42791</v>
      </c>
      <c r="F1759" s="249" t="s">
        <v>758</v>
      </c>
      <c r="G1759" s="314" t="s">
        <v>542</v>
      </c>
      <c r="H1759" s="473" t="s">
        <v>800</v>
      </c>
      <c r="I1759" s="307">
        <v>36</v>
      </c>
      <c r="J1759" s="307">
        <v>77954</v>
      </c>
      <c r="K1759" s="532">
        <f t="shared" si="164"/>
        <v>2806344</v>
      </c>
      <c r="L1759" s="539" t="s">
        <v>160</v>
      </c>
      <c r="M1759" s="539" t="s">
        <v>292</v>
      </c>
      <c r="N1759" s="525" t="str">
        <f>IF(AND('331-CT'!$E$7=TH!H1759,OR(L1759="331",M1759="331")),"331",IF(AND(OR(L1759="131",M1759="131"),H1759='131-CT'!$E$7),"131",""))</f>
        <v/>
      </c>
      <c r="O1759" s="525" t="str">
        <f>IF(AND($B1759&gt;='111'!$N$11,$B1759&lt;='111'!$O$11,OR($L1759=$O$7,$M1759=$O$7)),"x","")</f>
        <v/>
      </c>
      <c r="P1759" s="525" t="str">
        <f>IF(AND($L1759=$O$7,$B1759&lt;'111'!$N$11),"x","")</f>
        <v/>
      </c>
      <c r="Q1759" s="525" t="str">
        <f>IF(AND($M1759=$O$7,$B1759&lt;'111'!$N$11),"x","")</f>
        <v/>
      </c>
      <c r="R1759" s="525" t="str">
        <f>IF(ISERROR(FIND('112'!$M$9,G1759,1)),"",IF((AND(FIND('112'!$M$9,G1759,1)&gt;=1,$B1759&gt;='112'!$N$8,$B1759&lt;='112'!$O$8,OR($L1759='112'!$I$6,$M1759='112'!$I$6))),"x",""))</f>
        <v/>
      </c>
      <c r="S1759" s="525" t="str">
        <f>IF(ISERROR(FIND('112'!$M$9,G1759,1)),"",IF((AND(LEFT(G1759,2)=LEFT('112'!$M$9,2),B1759&lt;'112'!$N$8,$L1759='112'!$I$6)),"x",""))</f>
        <v/>
      </c>
      <c r="T1759" s="525" t="str">
        <f>IF(ISERROR(FIND('112'!$M$9,G1759,1)),"",IF((AND(RIGHT(G1759,2)=RIGHT('112'!$M$9,2),B1759&lt;'112'!$N$8,$M1759='112'!$I$6)),"x",""))</f>
        <v/>
      </c>
      <c r="U1759" s="525" t="str">
        <f>IF(AND(B1759&gt;='IN-NX'!$P$3,B1759&lt;='IN-NX'!$Q$3,'IN-NX'!$D$7=D1759,OR(LEFT(L1759,2)="15",AND(LEFT(M1759,2)&lt;&gt;"15",LEFT(M1759,2)&lt;&gt;"33"))),"x","")</f>
        <v/>
      </c>
      <c r="V1759" s="525" t="str">
        <f>IF(AND(OR(LEFT(TH!L1759,2)="15",LEFT(TH!M1759,2)="15"),'152-CT'!$J$8=TH!F1759),"x","")</f>
        <v/>
      </c>
      <c r="W1759" s="525" t="str">
        <f>IF(AND(OR(LEFT(TH!L1759,2)="15",LEFT(TH!M1759,2)="15"),TK!$E$7=TH!F1759),"x","")</f>
        <v/>
      </c>
      <c r="X1759" s="525" t="str">
        <f>IF(AND('341-CT'!$E$9=H1759,OR(LEFT(L1759,3)=$X$7,LEFT(M1759,3)=$X$7)),"x","")</f>
        <v/>
      </c>
      <c r="Y1759" s="525" t="str">
        <f>IF(OR(TH!L1759=TH!$Y$7,M1759=TH!$Y$7),"x","")</f>
        <v/>
      </c>
      <c r="Z1759" s="525" t="str">
        <f>IF(AND(B1759&lt;=NKC!$N$8,B1759&gt;=NKC!$M$8),"x","")</f>
        <v>x</v>
      </c>
      <c r="AA1759" s="535"/>
      <c r="AB1759" s="536"/>
      <c r="AE1759" s="536"/>
    </row>
    <row r="1760" spans="1:31" s="503" customFormat="1" ht="15.75" customHeight="1">
      <c r="A1760" s="517" t="str">
        <f>IF(B1760&lt;&gt;"",IF(AND(B1760&gt;=_TM1,B1760&lt;=_TM2,OR(TH!L1760="1111",TH!M1760="1111")),TH!D1760,""),"")</f>
        <v/>
      </c>
      <c r="B1760" s="531">
        <f t="shared" si="165"/>
        <v>2</v>
      </c>
      <c r="C1760" s="315">
        <f t="shared" si="163"/>
        <v>42791</v>
      </c>
      <c r="D1760" s="537" t="s">
        <v>996</v>
      </c>
      <c r="E1760" s="545">
        <v>42791</v>
      </c>
      <c r="F1760" s="249" t="s">
        <v>741</v>
      </c>
      <c r="G1760" s="314" t="s">
        <v>542</v>
      </c>
      <c r="H1760" s="473" t="s">
        <v>800</v>
      </c>
      <c r="I1760" s="307">
        <v>4</v>
      </c>
      <c r="J1760" s="307">
        <v>210433</v>
      </c>
      <c r="K1760" s="532">
        <f t="shared" si="164"/>
        <v>841732</v>
      </c>
      <c r="L1760" s="539" t="s">
        <v>160</v>
      </c>
      <c r="M1760" s="539" t="s">
        <v>292</v>
      </c>
      <c r="N1760" s="525" t="str">
        <f>IF(AND('331-CT'!$E$7=TH!H1760,OR(L1760="331",M1760="331")),"331",IF(AND(OR(L1760="131",M1760="131"),H1760='131-CT'!$E$7),"131",""))</f>
        <v/>
      </c>
      <c r="O1760" s="525" t="str">
        <f>IF(AND($B1760&gt;='111'!$N$11,$B1760&lt;='111'!$O$11,OR($L1760=$O$7,$M1760=$O$7)),"x","")</f>
        <v/>
      </c>
      <c r="P1760" s="525" t="str">
        <f>IF(AND($L1760=$O$7,$B1760&lt;'111'!$N$11),"x","")</f>
        <v/>
      </c>
      <c r="Q1760" s="525" t="str">
        <f>IF(AND($M1760=$O$7,$B1760&lt;'111'!$N$11),"x","")</f>
        <v/>
      </c>
      <c r="R1760" s="525" t="str">
        <f>IF(ISERROR(FIND('112'!$M$9,G1760,1)),"",IF((AND(FIND('112'!$M$9,G1760,1)&gt;=1,$B1760&gt;='112'!$N$8,$B1760&lt;='112'!$O$8,OR($L1760='112'!$I$6,$M1760='112'!$I$6))),"x",""))</f>
        <v/>
      </c>
      <c r="S1760" s="525" t="str">
        <f>IF(ISERROR(FIND('112'!$M$9,G1760,1)),"",IF((AND(LEFT(G1760,2)=LEFT('112'!$M$9,2),B1760&lt;'112'!$N$8,$L1760='112'!$I$6)),"x",""))</f>
        <v/>
      </c>
      <c r="T1760" s="525" t="str">
        <f>IF(ISERROR(FIND('112'!$M$9,G1760,1)),"",IF((AND(RIGHT(G1760,2)=RIGHT('112'!$M$9,2),B1760&lt;'112'!$N$8,$M1760='112'!$I$6)),"x",""))</f>
        <v/>
      </c>
      <c r="U1760" s="525" t="str">
        <f>IF(AND(B1760&gt;='IN-NX'!$P$3,B1760&lt;='IN-NX'!$Q$3,'IN-NX'!$D$7=D1760,OR(LEFT(L1760,2)="15",AND(LEFT(M1760,2)&lt;&gt;"15",LEFT(M1760,2)&lt;&gt;"33"))),"x","")</f>
        <v/>
      </c>
      <c r="V1760" s="525" t="str">
        <f>IF(AND(OR(LEFT(TH!L1760,2)="15",LEFT(TH!M1760,2)="15"),'152-CT'!$J$8=TH!F1760),"x","")</f>
        <v/>
      </c>
      <c r="W1760" s="525" t="str">
        <f>IF(AND(OR(LEFT(TH!L1760,2)="15",LEFT(TH!M1760,2)="15"),TK!$E$7=TH!F1760),"x","")</f>
        <v/>
      </c>
      <c r="X1760" s="525" t="str">
        <f>IF(AND('341-CT'!$E$9=H1760,OR(LEFT(L1760,3)=$X$7,LEFT(M1760,3)=$X$7)),"x","")</f>
        <v/>
      </c>
      <c r="Y1760" s="525" t="str">
        <f>IF(OR(TH!L1760=TH!$Y$7,M1760=TH!$Y$7),"x","")</f>
        <v/>
      </c>
      <c r="Z1760" s="525" t="str">
        <f>IF(AND(B1760&lt;=NKC!$N$8,B1760&gt;=NKC!$M$8),"x","")</f>
        <v>x</v>
      </c>
      <c r="AA1760" s="535"/>
      <c r="AB1760" s="536"/>
      <c r="AE1760" s="536"/>
    </row>
    <row r="1761" spans="1:31" s="503" customFormat="1" ht="15.75" customHeight="1">
      <c r="A1761" s="517" t="str">
        <f>IF(B1761&lt;&gt;"",IF(AND(B1761&gt;=_TM1,B1761&lt;=_TM2,OR(TH!L1761="1111",TH!M1761="1111")),TH!D1761,""),"")</f>
        <v/>
      </c>
      <c r="B1761" s="531">
        <f t="shared" si="165"/>
        <v>2</v>
      </c>
      <c r="C1761" s="315">
        <f t="shared" si="163"/>
        <v>42791</v>
      </c>
      <c r="D1761" s="537" t="s">
        <v>996</v>
      </c>
      <c r="E1761" s="547">
        <v>42791</v>
      </c>
      <c r="F1761" s="249" t="s">
        <v>683</v>
      </c>
      <c r="G1761" s="538" t="s">
        <v>542</v>
      </c>
      <c r="H1761" s="473" t="s">
        <v>800</v>
      </c>
      <c r="I1761" s="307">
        <v>10</v>
      </c>
      <c r="J1761" s="307">
        <v>35341</v>
      </c>
      <c r="K1761" s="532">
        <f t="shared" si="164"/>
        <v>353410</v>
      </c>
      <c r="L1761" s="539" t="s">
        <v>160</v>
      </c>
      <c r="M1761" s="539" t="s">
        <v>292</v>
      </c>
      <c r="N1761" s="525" t="str">
        <f>IF(AND('331-CT'!$E$7=TH!H1761,OR(L1761="331",M1761="331")),"331",IF(AND(OR(L1761="131",M1761="131"),H1761='131-CT'!$E$7),"131",""))</f>
        <v/>
      </c>
      <c r="O1761" s="525" t="str">
        <f>IF(AND($B1761&gt;='111'!$N$11,$B1761&lt;='111'!$O$11,OR($L1761=$O$7,$M1761=$O$7)),"x","")</f>
        <v/>
      </c>
      <c r="P1761" s="525" t="str">
        <f>IF(AND($L1761=$O$7,$B1761&lt;'111'!$N$11),"x","")</f>
        <v/>
      </c>
      <c r="Q1761" s="525" t="str">
        <f>IF(AND($M1761=$O$7,$B1761&lt;'111'!$N$11),"x","")</f>
        <v/>
      </c>
      <c r="R1761" s="525" t="str">
        <f>IF(ISERROR(FIND('112'!$M$9,G1761,1)),"",IF((AND(FIND('112'!$M$9,G1761,1)&gt;=1,$B1761&gt;='112'!$N$8,$B1761&lt;='112'!$O$8,OR($L1761='112'!$I$6,$M1761='112'!$I$6))),"x",""))</f>
        <v/>
      </c>
      <c r="S1761" s="525" t="str">
        <f>IF(ISERROR(FIND('112'!$M$9,G1761,1)),"",IF((AND(LEFT(G1761,2)=LEFT('112'!$M$9,2),B1761&lt;'112'!$N$8,$L1761='112'!$I$6)),"x",""))</f>
        <v/>
      </c>
      <c r="T1761" s="525" t="str">
        <f>IF(ISERROR(FIND('112'!$M$9,G1761,1)),"",IF((AND(RIGHT(G1761,2)=RIGHT('112'!$M$9,2),B1761&lt;'112'!$N$8,$M1761='112'!$I$6)),"x",""))</f>
        <v/>
      </c>
      <c r="U1761" s="525" t="str">
        <f>IF(AND(B1761&gt;='IN-NX'!$P$3,B1761&lt;='IN-NX'!$Q$3,'IN-NX'!$D$7=D1761,OR(LEFT(L1761,2)="15",AND(LEFT(M1761,2)&lt;&gt;"15",LEFT(M1761,2)&lt;&gt;"33"))),"x","")</f>
        <v/>
      </c>
      <c r="V1761" s="525" t="str">
        <f>IF(AND(OR(LEFT(TH!L1761,2)="15",LEFT(TH!M1761,2)="15"),'152-CT'!$J$8=TH!F1761),"x","")</f>
        <v/>
      </c>
      <c r="W1761" s="525" t="str">
        <f>IF(AND(OR(LEFT(TH!L1761,2)="15",LEFT(TH!M1761,2)="15"),TK!$E$7=TH!F1761),"x","")</f>
        <v/>
      </c>
      <c r="X1761" s="525" t="str">
        <f>IF(AND('341-CT'!$E$9=H1761,OR(LEFT(L1761,3)=$X$7,LEFT(M1761,3)=$X$7)),"x","")</f>
        <v/>
      </c>
      <c r="Y1761" s="525" t="str">
        <f>IF(OR(TH!L1761=TH!$Y$7,M1761=TH!$Y$7),"x","")</f>
        <v/>
      </c>
      <c r="Z1761" s="525" t="str">
        <f>IF(AND(B1761&lt;=NKC!$N$8,B1761&gt;=NKC!$M$8),"x","")</f>
        <v>x</v>
      </c>
      <c r="AA1761" s="535"/>
      <c r="AB1761" s="536"/>
    </row>
    <row r="1762" spans="1:31" s="503" customFormat="1" ht="15.75" customHeight="1">
      <c r="A1762" s="517" t="str">
        <f>IF(B1762&lt;&gt;"",IF(AND(B1762&gt;=_TM1,B1762&lt;=_TM2,OR(TH!L1762="1111",TH!M1762="1111")),TH!D1762,""),"")</f>
        <v/>
      </c>
      <c r="B1762" s="531">
        <f t="shared" si="165"/>
        <v>2</v>
      </c>
      <c r="C1762" s="315">
        <f t="shared" ref="C1762:C1858" si="172">E1762</f>
        <v>42791</v>
      </c>
      <c r="D1762" s="537" t="s">
        <v>996</v>
      </c>
      <c r="E1762" s="547">
        <v>42791</v>
      </c>
      <c r="F1762" s="249" t="s">
        <v>629</v>
      </c>
      <c r="G1762" s="538" t="s">
        <v>542</v>
      </c>
      <c r="H1762" s="473" t="s">
        <v>800</v>
      </c>
      <c r="I1762" s="307">
        <v>36</v>
      </c>
      <c r="J1762" s="307">
        <v>24752</v>
      </c>
      <c r="K1762" s="532">
        <f t="shared" si="164"/>
        <v>891072</v>
      </c>
      <c r="L1762" s="539" t="s">
        <v>160</v>
      </c>
      <c r="M1762" s="539" t="s">
        <v>292</v>
      </c>
      <c r="N1762" s="525" t="str">
        <f>IF(AND('331-CT'!$E$7=TH!H1762,OR(L1762="331",M1762="331")),"331",IF(AND(OR(L1762="131",M1762="131"),H1762='131-CT'!$E$7),"131",""))</f>
        <v/>
      </c>
      <c r="O1762" s="525" t="str">
        <f>IF(AND($B1762&gt;='111'!$N$11,$B1762&lt;='111'!$O$11,OR($L1762=$O$7,$M1762=$O$7)),"x","")</f>
        <v/>
      </c>
      <c r="P1762" s="525" t="str">
        <f>IF(AND($L1762=$O$7,$B1762&lt;'111'!$N$11),"x","")</f>
        <v/>
      </c>
      <c r="Q1762" s="525" t="str">
        <f>IF(AND($M1762=$O$7,$B1762&lt;'111'!$N$11),"x","")</f>
        <v/>
      </c>
      <c r="R1762" s="525" t="str">
        <f>IF(ISERROR(FIND('112'!$M$9,G1762,1)),"",IF((AND(FIND('112'!$M$9,G1762,1)&gt;=1,$B1762&gt;='112'!$N$8,$B1762&lt;='112'!$O$8,OR($L1762='112'!$I$6,$M1762='112'!$I$6))),"x",""))</f>
        <v/>
      </c>
      <c r="S1762" s="525" t="str">
        <f>IF(ISERROR(FIND('112'!$M$9,G1762,1)),"",IF((AND(LEFT(G1762,2)=LEFT('112'!$M$9,2),B1762&lt;'112'!$N$8,$L1762='112'!$I$6)),"x",""))</f>
        <v/>
      </c>
      <c r="T1762" s="525" t="str">
        <f>IF(ISERROR(FIND('112'!$M$9,G1762,1)),"",IF((AND(RIGHT(G1762,2)=RIGHT('112'!$M$9,2),B1762&lt;'112'!$N$8,$M1762='112'!$I$6)),"x",""))</f>
        <v/>
      </c>
      <c r="U1762" s="525" t="str">
        <f>IF(AND(B1762&gt;='IN-NX'!$P$3,B1762&lt;='IN-NX'!$Q$3,'IN-NX'!$D$7=D1762,OR(LEFT(L1762,2)="15",AND(LEFT(M1762,2)&lt;&gt;"15",LEFT(M1762,2)&lt;&gt;"33"))),"x","")</f>
        <v/>
      </c>
      <c r="V1762" s="525" t="str">
        <f>IF(AND(OR(LEFT(TH!L1762,2)="15",LEFT(TH!M1762,2)="15"),'152-CT'!$J$8=TH!F1762),"x","")</f>
        <v/>
      </c>
      <c r="W1762" s="525" t="str">
        <f>IF(AND(OR(LEFT(TH!L1762,2)="15",LEFT(TH!M1762,2)="15"),TK!$E$7=TH!F1762),"x","")</f>
        <v/>
      </c>
      <c r="X1762" s="525" t="str">
        <f>IF(AND('341-CT'!$E$9=H1762,OR(LEFT(L1762,3)=$X$7,LEFT(M1762,3)=$X$7)),"x","")</f>
        <v/>
      </c>
      <c r="Y1762" s="525" t="str">
        <f>IF(OR(TH!L1762=TH!$Y$7,M1762=TH!$Y$7),"x","")</f>
        <v/>
      </c>
      <c r="Z1762" s="525" t="str">
        <f>IF(AND(B1762&lt;=NKC!$N$8,B1762&gt;=NKC!$M$8),"x","")</f>
        <v>x</v>
      </c>
      <c r="AA1762" s="535"/>
      <c r="AB1762" s="536"/>
    </row>
    <row r="1763" spans="1:31" s="503" customFormat="1" ht="15.75" customHeight="1">
      <c r="A1763" s="517" t="str">
        <f>IF(B1763&lt;&gt;"",IF(AND(B1763&gt;=_TM1,B1763&lt;=_TM2,OR(TH!L1763="1111",TH!M1763="1111")),TH!D1763,""),"")</f>
        <v/>
      </c>
      <c r="B1763" s="531">
        <f t="shared" si="165"/>
        <v>2</v>
      </c>
      <c r="C1763" s="315">
        <f t="shared" si="172"/>
        <v>42791</v>
      </c>
      <c r="D1763" s="537" t="s">
        <v>996</v>
      </c>
      <c r="E1763" s="547">
        <v>42791</v>
      </c>
      <c r="F1763" s="249" t="s">
        <v>760</v>
      </c>
      <c r="G1763" s="538" t="s">
        <v>542</v>
      </c>
      <c r="H1763" s="473" t="s">
        <v>800</v>
      </c>
      <c r="I1763" s="307">
        <v>40</v>
      </c>
      <c r="J1763" s="307">
        <v>26336</v>
      </c>
      <c r="K1763" s="532">
        <f t="shared" si="164"/>
        <v>1053440</v>
      </c>
      <c r="L1763" s="539" t="s">
        <v>160</v>
      </c>
      <c r="M1763" s="539" t="s">
        <v>292</v>
      </c>
      <c r="N1763" s="525" t="str">
        <f>IF(AND('331-CT'!$E$7=TH!H1763,OR(L1763="331",M1763="331")),"331",IF(AND(OR(L1763="131",M1763="131"),H1763='131-CT'!$E$7),"131",""))</f>
        <v/>
      </c>
      <c r="O1763" s="525" t="str">
        <f>IF(AND($B1763&gt;='111'!$N$11,$B1763&lt;='111'!$O$11,OR($L1763=$O$7,$M1763=$O$7)),"x","")</f>
        <v/>
      </c>
      <c r="P1763" s="525" t="str">
        <f>IF(AND($L1763=$O$7,$B1763&lt;'111'!$N$11),"x","")</f>
        <v/>
      </c>
      <c r="Q1763" s="525" t="str">
        <f>IF(AND($M1763=$O$7,$B1763&lt;'111'!$N$11),"x","")</f>
        <v/>
      </c>
      <c r="R1763" s="525" t="str">
        <f>IF(ISERROR(FIND('112'!$M$9,G1763,1)),"",IF((AND(FIND('112'!$M$9,G1763,1)&gt;=1,$B1763&gt;='112'!$N$8,$B1763&lt;='112'!$O$8,OR($L1763='112'!$I$6,$M1763='112'!$I$6))),"x",""))</f>
        <v/>
      </c>
      <c r="S1763" s="525" t="str">
        <f>IF(ISERROR(FIND('112'!$M$9,G1763,1)),"",IF((AND(LEFT(G1763,2)=LEFT('112'!$M$9,2),B1763&lt;'112'!$N$8,$L1763='112'!$I$6)),"x",""))</f>
        <v/>
      </c>
      <c r="T1763" s="525" t="str">
        <f>IF(ISERROR(FIND('112'!$M$9,G1763,1)),"",IF((AND(RIGHT(G1763,2)=RIGHT('112'!$M$9,2),B1763&lt;'112'!$N$8,$M1763='112'!$I$6)),"x",""))</f>
        <v/>
      </c>
      <c r="U1763" s="525" t="str">
        <f>IF(AND(B1763&gt;='IN-NX'!$P$3,B1763&lt;='IN-NX'!$Q$3,'IN-NX'!$D$7=D1763,OR(LEFT(L1763,2)="15",AND(LEFT(M1763,2)&lt;&gt;"15",LEFT(M1763,2)&lt;&gt;"33"))),"x","")</f>
        <v/>
      </c>
      <c r="V1763" s="525" t="str">
        <f>IF(AND(OR(LEFT(TH!L1763,2)="15",LEFT(TH!M1763,2)="15"),'152-CT'!$J$8=TH!F1763),"x","")</f>
        <v/>
      </c>
      <c r="W1763" s="525" t="str">
        <f>IF(AND(OR(LEFT(TH!L1763,2)="15",LEFT(TH!M1763,2)="15"),TK!$E$7=TH!F1763),"x","")</f>
        <v/>
      </c>
      <c r="X1763" s="525" t="str">
        <f>IF(AND('341-CT'!$E$9=H1763,OR(LEFT(L1763,3)=$X$7,LEFT(M1763,3)=$X$7)),"x","")</f>
        <v/>
      </c>
      <c r="Y1763" s="525" t="str">
        <f>IF(OR(TH!L1763=TH!$Y$7,M1763=TH!$Y$7),"x","")</f>
        <v/>
      </c>
      <c r="Z1763" s="525" t="str">
        <f>IF(AND(B1763&lt;=NKC!$N$8,B1763&gt;=NKC!$M$8),"x","")</f>
        <v>x</v>
      </c>
      <c r="AA1763" s="535"/>
    </row>
    <row r="1764" spans="1:31" s="503" customFormat="1" ht="15.75" customHeight="1">
      <c r="A1764" s="517" t="str">
        <f>IF(B1764&lt;&gt;"",IF(AND(B1764&gt;=_TM1,B1764&lt;=_TM2,OR(TH!L1764="1111",TH!M1764="1111")),TH!D1764,""),"")</f>
        <v/>
      </c>
      <c r="B1764" s="531">
        <f t="shared" si="165"/>
        <v>2</v>
      </c>
      <c r="C1764" s="315">
        <f t="shared" si="172"/>
        <v>42791</v>
      </c>
      <c r="D1764" s="537" t="s">
        <v>996</v>
      </c>
      <c r="E1764" s="547">
        <v>42791</v>
      </c>
      <c r="F1764" s="249" t="s">
        <v>761</v>
      </c>
      <c r="G1764" s="538" t="s">
        <v>542</v>
      </c>
      <c r="H1764" s="473" t="s">
        <v>800</v>
      </c>
      <c r="I1764" s="307">
        <v>36</v>
      </c>
      <c r="J1764" s="307">
        <v>34979</v>
      </c>
      <c r="K1764" s="532">
        <f t="shared" si="164"/>
        <v>1259244</v>
      </c>
      <c r="L1764" s="539" t="s">
        <v>160</v>
      </c>
      <c r="M1764" s="539" t="s">
        <v>292</v>
      </c>
      <c r="N1764" s="525" t="str">
        <f>IF(AND('331-CT'!$E$7=TH!H1764,OR(L1764="331",M1764="331")),"331",IF(AND(OR(L1764="131",M1764="131"),H1764='131-CT'!$E$7),"131",""))</f>
        <v/>
      </c>
      <c r="O1764" s="525" t="str">
        <f>IF(AND($B1764&gt;='111'!$N$11,$B1764&lt;='111'!$O$11,OR($L1764=$O$7,$M1764=$O$7)),"x","")</f>
        <v/>
      </c>
      <c r="P1764" s="525" t="str">
        <f>IF(AND($L1764=$O$7,$B1764&lt;'111'!$N$11),"x","")</f>
        <v/>
      </c>
      <c r="Q1764" s="525" t="str">
        <f>IF(AND($M1764=$O$7,$B1764&lt;'111'!$N$11),"x","")</f>
        <v/>
      </c>
      <c r="R1764" s="525" t="str">
        <f>IF(ISERROR(FIND('112'!$M$9,G1764,1)),"",IF((AND(FIND('112'!$M$9,G1764,1)&gt;=1,$B1764&gt;='112'!$N$8,$B1764&lt;='112'!$O$8,OR($L1764='112'!$I$6,$M1764='112'!$I$6))),"x",""))</f>
        <v/>
      </c>
      <c r="S1764" s="525" t="str">
        <f>IF(ISERROR(FIND('112'!$M$9,G1764,1)),"",IF((AND(LEFT(G1764,2)=LEFT('112'!$M$9,2),B1764&lt;'112'!$N$8,$L1764='112'!$I$6)),"x",""))</f>
        <v/>
      </c>
      <c r="T1764" s="525" t="str">
        <f>IF(ISERROR(FIND('112'!$M$9,G1764,1)),"",IF((AND(RIGHT(G1764,2)=RIGHT('112'!$M$9,2),B1764&lt;'112'!$N$8,$M1764='112'!$I$6)),"x",""))</f>
        <v/>
      </c>
      <c r="U1764" s="525" t="str">
        <f>IF(AND(B1764&gt;='IN-NX'!$P$3,B1764&lt;='IN-NX'!$Q$3,'IN-NX'!$D$7=D1764,OR(LEFT(L1764,2)="15",AND(LEFT(M1764,2)&lt;&gt;"15",LEFT(M1764,2)&lt;&gt;"33"))),"x","")</f>
        <v/>
      </c>
      <c r="V1764" s="525" t="str">
        <f>IF(AND(OR(LEFT(TH!L1764,2)="15",LEFT(TH!M1764,2)="15"),'152-CT'!$J$8=TH!F1764),"x","")</f>
        <v/>
      </c>
      <c r="W1764" s="525" t="str">
        <f>IF(AND(OR(LEFT(TH!L1764,2)="15",LEFT(TH!M1764,2)="15"),TK!$E$7=TH!F1764),"x","")</f>
        <v/>
      </c>
      <c r="X1764" s="525" t="str">
        <f>IF(AND('341-CT'!$E$9=H1764,OR(LEFT(L1764,3)=$X$7,LEFT(M1764,3)=$X$7)),"x","")</f>
        <v/>
      </c>
      <c r="Y1764" s="525" t="str">
        <f>IF(OR(TH!L1764=TH!$Y$7,M1764=TH!$Y$7),"x","")</f>
        <v/>
      </c>
      <c r="Z1764" s="525" t="str">
        <f>IF(AND(B1764&lt;=NKC!$N$8,B1764&gt;=NKC!$M$8),"x","")</f>
        <v>x</v>
      </c>
      <c r="AA1764" s="535"/>
      <c r="AB1764" s="536"/>
    </row>
    <row r="1765" spans="1:31" s="503" customFormat="1" ht="15.75" customHeight="1">
      <c r="A1765" s="517" t="str">
        <f>IF(B1765&lt;&gt;"",IF(AND(B1765&gt;=_TM1,B1765&lt;=_TM2,OR(TH!L1765="1111",TH!M1765="1111")),TH!D1765,""),"")</f>
        <v/>
      </c>
      <c r="B1765" s="531">
        <f t="shared" si="165"/>
        <v>2</v>
      </c>
      <c r="C1765" s="315">
        <f t="shared" si="172"/>
        <v>42791</v>
      </c>
      <c r="D1765" s="537" t="s">
        <v>996</v>
      </c>
      <c r="E1765" s="547">
        <v>42791</v>
      </c>
      <c r="F1765" s="249" t="s">
        <v>630</v>
      </c>
      <c r="G1765" s="538" t="s">
        <v>542</v>
      </c>
      <c r="H1765" s="473" t="s">
        <v>800</v>
      </c>
      <c r="I1765" s="307">
        <v>12</v>
      </c>
      <c r="J1765" s="307">
        <v>34801</v>
      </c>
      <c r="K1765" s="532">
        <f t="shared" si="164"/>
        <v>417612</v>
      </c>
      <c r="L1765" s="539" t="s">
        <v>160</v>
      </c>
      <c r="M1765" s="539" t="s">
        <v>292</v>
      </c>
      <c r="N1765" s="525" t="str">
        <f>IF(AND('331-CT'!$E$7=TH!H1765,OR(L1765="331",M1765="331")),"331",IF(AND(OR(L1765="131",M1765="131"),H1765='131-CT'!$E$7),"131",""))</f>
        <v/>
      </c>
      <c r="O1765" s="525" t="str">
        <f>IF(AND($B1765&gt;='111'!$N$11,$B1765&lt;='111'!$O$11,OR($L1765=$O$7,$M1765=$O$7)),"x","")</f>
        <v/>
      </c>
      <c r="P1765" s="525" t="str">
        <f>IF(AND($L1765=$O$7,$B1765&lt;'111'!$N$11),"x","")</f>
        <v/>
      </c>
      <c r="Q1765" s="525" t="str">
        <f>IF(AND($M1765=$O$7,$B1765&lt;'111'!$N$11),"x","")</f>
        <v/>
      </c>
      <c r="R1765" s="525" t="str">
        <f>IF(ISERROR(FIND('112'!$M$9,G1765,1)),"",IF((AND(FIND('112'!$M$9,G1765,1)&gt;=1,$B1765&gt;='112'!$N$8,$B1765&lt;='112'!$O$8,OR($L1765='112'!$I$6,$M1765='112'!$I$6))),"x",""))</f>
        <v/>
      </c>
      <c r="S1765" s="525" t="str">
        <f>IF(ISERROR(FIND('112'!$M$9,G1765,1)),"",IF((AND(LEFT(G1765,2)=LEFT('112'!$M$9,2),B1765&lt;'112'!$N$8,$L1765='112'!$I$6)),"x",""))</f>
        <v/>
      </c>
      <c r="T1765" s="525" t="str">
        <f>IF(ISERROR(FIND('112'!$M$9,G1765,1)),"",IF((AND(RIGHT(G1765,2)=RIGHT('112'!$M$9,2),B1765&lt;'112'!$N$8,$M1765='112'!$I$6)),"x",""))</f>
        <v/>
      </c>
      <c r="U1765" s="525" t="str">
        <f>IF(AND(B1765&gt;='IN-NX'!$P$3,B1765&lt;='IN-NX'!$Q$3,'IN-NX'!$D$7=D1765,OR(LEFT(L1765,2)="15",AND(LEFT(M1765,2)&lt;&gt;"15",LEFT(M1765,2)&lt;&gt;"33"))),"x","")</f>
        <v/>
      </c>
      <c r="V1765" s="525" t="str">
        <f>IF(AND(OR(LEFT(TH!L1765,2)="15",LEFT(TH!M1765,2)="15"),'152-CT'!$J$8=TH!F1765),"x","")</f>
        <v/>
      </c>
      <c r="W1765" s="525" t="str">
        <f>IF(AND(OR(LEFT(TH!L1765,2)="15",LEFT(TH!M1765,2)="15"),TK!$E$7=TH!F1765),"x","")</f>
        <v/>
      </c>
      <c r="X1765" s="525" t="str">
        <f>IF(AND('341-CT'!$E$9=H1765,OR(LEFT(L1765,3)=$X$7,LEFT(M1765,3)=$X$7)),"x","")</f>
        <v/>
      </c>
      <c r="Y1765" s="525" t="str">
        <f>IF(OR(TH!L1765=TH!$Y$7,M1765=TH!$Y$7),"x","")</f>
        <v/>
      </c>
      <c r="Z1765" s="525" t="str">
        <f>IF(AND(B1765&lt;=NKC!$N$8,B1765&gt;=NKC!$M$8),"x","")</f>
        <v>x</v>
      </c>
      <c r="AA1765" s="535"/>
      <c r="AB1765" s="536"/>
    </row>
    <row r="1766" spans="1:31" s="503" customFormat="1" ht="15.75" customHeight="1">
      <c r="A1766" s="517" t="str">
        <f>IF(B1766&lt;&gt;"",IF(AND(B1766&gt;=_TM1,B1766&lt;=_TM2,OR(TH!L1766="1111",TH!M1766="1111")),TH!D1766,""),"")</f>
        <v/>
      </c>
      <c r="B1766" s="531">
        <f t="shared" si="165"/>
        <v>2</v>
      </c>
      <c r="C1766" s="315">
        <f t="shared" si="172"/>
        <v>42791</v>
      </c>
      <c r="D1766" s="537" t="s">
        <v>996</v>
      </c>
      <c r="E1766" s="547">
        <v>42791</v>
      </c>
      <c r="F1766" s="249" t="s">
        <v>762</v>
      </c>
      <c r="G1766" s="538" t="s">
        <v>542</v>
      </c>
      <c r="H1766" s="473" t="s">
        <v>800</v>
      </c>
      <c r="I1766" s="307">
        <v>24</v>
      </c>
      <c r="J1766" s="307">
        <v>46680</v>
      </c>
      <c r="K1766" s="532">
        <f t="shared" si="164"/>
        <v>1120320</v>
      </c>
      <c r="L1766" s="539" t="s">
        <v>160</v>
      </c>
      <c r="M1766" s="539" t="s">
        <v>292</v>
      </c>
      <c r="N1766" s="525" t="str">
        <f>IF(AND('331-CT'!$E$7=TH!H1766,OR(L1766="331",M1766="331")),"331",IF(AND(OR(L1766="131",M1766="131"),H1766='131-CT'!$E$7),"131",""))</f>
        <v/>
      </c>
      <c r="O1766" s="525" t="str">
        <f>IF(AND($B1766&gt;='111'!$N$11,$B1766&lt;='111'!$O$11,OR($L1766=$O$7,$M1766=$O$7)),"x","")</f>
        <v/>
      </c>
      <c r="P1766" s="525" t="str">
        <f>IF(AND($L1766=$O$7,$B1766&lt;'111'!$N$11),"x","")</f>
        <v/>
      </c>
      <c r="Q1766" s="525" t="str">
        <f>IF(AND($M1766=$O$7,$B1766&lt;'111'!$N$11),"x","")</f>
        <v/>
      </c>
      <c r="R1766" s="525" t="str">
        <f>IF(ISERROR(FIND('112'!$M$9,G1766,1)),"",IF((AND(FIND('112'!$M$9,G1766,1)&gt;=1,$B1766&gt;='112'!$N$8,$B1766&lt;='112'!$O$8,OR($L1766='112'!$I$6,$M1766='112'!$I$6))),"x",""))</f>
        <v/>
      </c>
      <c r="S1766" s="525" t="str">
        <f>IF(ISERROR(FIND('112'!$M$9,G1766,1)),"",IF((AND(LEFT(G1766,2)=LEFT('112'!$M$9,2),B1766&lt;'112'!$N$8,$L1766='112'!$I$6)),"x",""))</f>
        <v/>
      </c>
      <c r="T1766" s="525" t="str">
        <f>IF(ISERROR(FIND('112'!$M$9,G1766,1)),"",IF((AND(RIGHT(G1766,2)=RIGHT('112'!$M$9,2),B1766&lt;'112'!$N$8,$M1766='112'!$I$6)),"x",""))</f>
        <v/>
      </c>
      <c r="U1766" s="525" t="str">
        <f>IF(AND(B1766&gt;='IN-NX'!$P$3,B1766&lt;='IN-NX'!$Q$3,'IN-NX'!$D$7=D1766,OR(LEFT(L1766,2)="15",AND(LEFT(M1766,2)&lt;&gt;"15",LEFT(M1766,2)&lt;&gt;"33"))),"x","")</f>
        <v/>
      </c>
      <c r="V1766" s="525" t="str">
        <f>IF(AND(OR(LEFT(TH!L1766,2)="15",LEFT(TH!M1766,2)="15"),'152-CT'!$J$8=TH!F1766),"x","")</f>
        <v/>
      </c>
      <c r="W1766" s="525" t="str">
        <f>IF(AND(OR(LEFT(TH!L1766,2)="15",LEFT(TH!M1766,2)="15"),TK!$E$7=TH!F1766),"x","")</f>
        <v/>
      </c>
      <c r="X1766" s="525" t="str">
        <f>IF(AND('341-CT'!$E$9=H1766,OR(LEFT(L1766,3)=$X$7,LEFT(M1766,3)=$X$7)),"x","")</f>
        <v/>
      </c>
      <c r="Y1766" s="525" t="str">
        <f>IF(OR(TH!L1766=TH!$Y$7,M1766=TH!$Y$7),"x","")</f>
        <v/>
      </c>
      <c r="Z1766" s="525" t="str">
        <f>IF(AND(B1766&lt;=NKC!$N$8,B1766&gt;=NKC!$M$8),"x","")</f>
        <v>x</v>
      </c>
      <c r="AA1766" s="535"/>
      <c r="AB1766" s="536"/>
    </row>
    <row r="1767" spans="1:31" s="503" customFormat="1" ht="15.75" customHeight="1">
      <c r="A1767" s="517" t="str">
        <f>IF(B1767&lt;&gt;"",IF(AND(B1767&gt;=_TM1,B1767&lt;=_TM2,OR(TH!L1767="1111",TH!M1767="1111")),TH!D1767,""),"")</f>
        <v/>
      </c>
      <c r="B1767" s="531">
        <f t="shared" si="165"/>
        <v>2</v>
      </c>
      <c r="C1767" s="315">
        <f t="shared" si="172"/>
        <v>42793</v>
      </c>
      <c r="D1767" s="537" t="s">
        <v>996</v>
      </c>
      <c r="E1767" s="547">
        <v>42793</v>
      </c>
      <c r="F1767" s="249" t="s">
        <v>503</v>
      </c>
      <c r="G1767" s="538" t="s">
        <v>544</v>
      </c>
      <c r="H1767" s="473" t="s">
        <v>800</v>
      </c>
      <c r="I1767" s="307">
        <v>1400</v>
      </c>
      <c r="J1767" s="307">
        <v>8245</v>
      </c>
      <c r="K1767" s="532">
        <f t="shared" si="164"/>
        <v>11543000</v>
      </c>
      <c r="L1767" s="539" t="s">
        <v>160</v>
      </c>
      <c r="M1767" s="539" t="s">
        <v>292</v>
      </c>
      <c r="N1767" s="525" t="str">
        <f>IF(AND('331-CT'!$E$7=TH!H1767,OR(L1767="331",M1767="331")),"331",IF(AND(OR(L1767="131",M1767="131"),H1767='131-CT'!$E$7),"131",""))</f>
        <v/>
      </c>
      <c r="O1767" s="525" t="str">
        <f>IF(AND($B1767&gt;='111'!$N$11,$B1767&lt;='111'!$O$11,OR($L1767=$O$7,$M1767=$O$7)),"x","")</f>
        <v/>
      </c>
      <c r="P1767" s="525" t="str">
        <f>IF(AND($L1767=$O$7,$B1767&lt;'111'!$N$11),"x","")</f>
        <v/>
      </c>
      <c r="Q1767" s="525" t="str">
        <f>IF(AND($M1767=$O$7,$B1767&lt;'111'!$N$11),"x","")</f>
        <v/>
      </c>
      <c r="R1767" s="525" t="str">
        <f>IF(ISERROR(FIND('112'!$M$9,G1767,1)),"",IF((AND(FIND('112'!$M$9,G1767,1)&gt;=1,$B1767&gt;='112'!$N$8,$B1767&lt;='112'!$O$8,OR($L1767='112'!$I$6,$M1767='112'!$I$6))),"x",""))</f>
        <v/>
      </c>
      <c r="S1767" s="525" t="str">
        <f>IF(ISERROR(FIND('112'!$M$9,G1767,1)),"",IF((AND(LEFT(G1767,2)=LEFT('112'!$M$9,2),B1767&lt;'112'!$N$8,$L1767='112'!$I$6)),"x",""))</f>
        <v/>
      </c>
      <c r="T1767" s="525" t="str">
        <f>IF(ISERROR(FIND('112'!$M$9,G1767,1)),"",IF((AND(RIGHT(G1767,2)=RIGHT('112'!$M$9,2),B1767&lt;'112'!$N$8,$M1767='112'!$I$6)),"x",""))</f>
        <v/>
      </c>
      <c r="U1767" s="525" t="str">
        <f>IF(AND(B1767&gt;='IN-NX'!$P$3,B1767&lt;='IN-NX'!$Q$3,'IN-NX'!$D$7=D1767,OR(LEFT(L1767,2)="15",AND(LEFT(M1767,2)&lt;&gt;"15",LEFT(M1767,2)&lt;&gt;"33"))),"x","")</f>
        <v/>
      </c>
      <c r="V1767" s="525" t="str">
        <f>IF(AND(OR(LEFT(TH!L1767,2)="15",LEFT(TH!M1767,2)="15"),'152-CT'!$J$8=TH!F1767),"x","")</f>
        <v/>
      </c>
      <c r="W1767" s="525" t="str">
        <f>IF(AND(OR(LEFT(TH!L1767,2)="15",LEFT(TH!M1767,2)="15"),TK!$E$7=TH!F1767),"x","")</f>
        <v/>
      </c>
      <c r="X1767" s="525" t="str">
        <f>IF(AND('341-CT'!$E$9=H1767,OR(LEFT(L1767,3)=$X$7,LEFT(M1767,3)=$X$7)),"x","")</f>
        <v/>
      </c>
      <c r="Y1767" s="525" t="str">
        <f>IF(OR(TH!L1767=TH!$Y$7,M1767=TH!$Y$7),"x","")</f>
        <v/>
      </c>
      <c r="Z1767" s="525" t="str">
        <f>IF(AND(B1767&lt;=NKC!$N$8,B1767&gt;=NKC!$M$8),"x","")</f>
        <v>x</v>
      </c>
      <c r="AA1767" s="535"/>
      <c r="AB1767" s="536"/>
    </row>
    <row r="1768" spans="1:31" s="503" customFormat="1" ht="15.75" customHeight="1">
      <c r="A1768" s="517" t="str">
        <f>IF(B1768&lt;&gt;"",IF(AND(B1768&gt;=_TM1,B1768&lt;=_TM2,OR(TH!L1768="1111",TH!M1768="1111")),TH!D1768,""),"")</f>
        <v/>
      </c>
      <c r="B1768" s="531">
        <f t="shared" si="165"/>
        <v>2</v>
      </c>
      <c r="C1768" s="315">
        <f t="shared" si="172"/>
        <v>42794</v>
      </c>
      <c r="D1768" s="537" t="s">
        <v>996</v>
      </c>
      <c r="E1768" s="547">
        <v>42794</v>
      </c>
      <c r="F1768" s="249" t="s">
        <v>380</v>
      </c>
      <c r="G1768" s="538" t="s">
        <v>788</v>
      </c>
      <c r="H1768" s="473" t="s">
        <v>800</v>
      </c>
      <c r="I1768" s="307">
        <v>42000</v>
      </c>
      <c r="J1768" s="307">
        <v>8300</v>
      </c>
      <c r="K1768" s="532">
        <f t="shared" ref="K1768:K1864" si="173">ROUND(I1768*J1768,0)</f>
        <v>348600000</v>
      </c>
      <c r="L1768" s="539" t="s">
        <v>160</v>
      </c>
      <c r="M1768" s="539" t="s">
        <v>292</v>
      </c>
      <c r="N1768" s="525" t="str">
        <f>IF(AND('331-CT'!$E$7=TH!H1768,OR(L1768="331",M1768="331")),"331",IF(AND(OR(L1768="131",M1768="131"),H1768='131-CT'!$E$7),"131",""))</f>
        <v/>
      </c>
      <c r="O1768" s="525" t="str">
        <f>IF(AND($B1768&gt;='111'!$N$11,$B1768&lt;='111'!$O$11,OR($L1768=$O$7,$M1768=$O$7)),"x","")</f>
        <v/>
      </c>
      <c r="P1768" s="525" t="str">
        <f>IF(AND($L1768=$O$7,$B1768&lt;'111'!$N$11),"x","")</f>
        <v/>
      </c>
      <c r="Q1768" s="525" t="str">
        <f>IF(AND($M1768=$O$7,$B1768&lt;'111'!$N$11),"x","")</f>
        <v/>
      </c>
      <c r="R1768" s="525" t="str">
        <f>IF(ISERROR(FIND('112'!$M$9,G1768,1)),"",IF((AND(FIND('112'!$M$9,G1768,1)&gt;=1,$B1768&gt;='112'!$N$8,$B1768&lt;='112'!$O$8,OR($L1768='112'!$I$6,$M1768='112'!$I$6))),"x",""))</f>
        <v/>
      </c>
      <c r="S1768" s="525" t="str">
        <f>IF(ISERROR(FIND('112'!$M$9,G1768,1)),"",IF((AND(LEFT(G1768,2)=LEFT('112'!$M$9,2),B1768&lt;'112'!$N$8,$L1768='112'!$I$6)),"x",""))</f>
        <v/>
      </c>
      <c r="T1768" s="525" t="str">
        <f>IF(ISERROR(FIND('112'!$M$9,G1768,1)),"",IF((AND(RIGHT(G1768,2)=RIGHT('112'!$M$9,2),B1768&lt;'112'!$N$8,$M1768='112'!$I$6)),"x",""))</f>
        <v/>
      </c>
      <c r="U1768" s="525" t="str">
        <f>IF(AND(B1768&gt;='IN-NX'!$P$3,B1768&lt;='IN-NX'!$Q$3,'IN-NX'!$D$7=D1768,OR(LEFT(L1768,2)="15",AND(LEFT(M1768,2)&lt;&gt;"15",LEFT(M1768,2)&lt;&gt;"33"))),"x","")</f>
        <v/>
      </c>
      <c r="V1768" s="525" t="str">
        <f>IF(AND(OR(LEFT(TH!L1768,2)="15",LEFT(TH!M1768,2)="15"),'152-CT'!$J$8=TH!F1768),"x","")</f>
        <v/>
      </c>
      <c r="W1768" s="525" t="str">
        <f>IF(AND(OR(LEFT(TH!L1768,2)="15",LEFT(TH!M1768,2)="15"),TK!$E$7=TH!F1768),"x","")</f>
        <v/>
      </c>
      <c r="X1768" s="525" t="str">
        <f>IF(AND('341-CT'!$E$9=H1768,OR(LEFT(L1768,3)=$X$7,LEFT(M1768,3)=$X$7)),"x","")</f>
        <v/>
      </c>
      <c r="Y1768" s="525" t="str">
        <f>IF(OR(TH!L1768=TH!$Y$7,M1768=TH!$Y$7),"x","")</f>
        <v/>
      </c>
      <c r="Z1768" s="525" t="str">
        <f>IF(AND(B1768&lt;=NKC!$N$8,B1768&gt;=NKC!$M$8),"x","")</f>
        <v>x</v>
      </c>
      <c r="AA1768" s="535"/>
    </row>
    <row r="1769" spans="1:31" s="576" customFormat="1" ht="15.75" customHeight="1">
      <c r="A1769" s="517" t="str">
        <f>IF(B1769&lt;&gt;"",IF(AND(B1769&gt;=_TM1,B1769&lt;=_TM2,OR(TH!L1769="1111",TH!M1769="1111")),TH!D1769,""),"")</f>
        <v/>
      </c>
      <c r="B1769" s="518">
        <f t="shared" si="165"/>
        <v>2</v>
      </c>
      <c r="C1769" s="571">
        <f t="shared" si="172"/>
        <v>42770</v>
      </c>
      <c r="D1769" s="519" t="s">
        <v>997</v>
      </c>
      <c r="E1769" s="590">
        <v>42770</v>
      </c>
      <c r="F1769" s="572" t="s">
        <v>493</v>
      </c>
      <c r="G1769" s="579" t="s">
        <v>528</v>
      </c>
      <c r="H1769" s="574" t="s">
        <v>801</v>
      </c>
      <c r="I1769" s="523">
        <v>4400</v>
      </c>
      <c r="J1769" s="523">
        <v>8924</v>
      </c>
      <c r="K1769" s="575">
        <f t="shared" si="173"/>
        <v>39265600</v>
      </c>
      <c r="L1769" s="591" t="s">
        <v>158</v>
      </c>
      <c r="M1769" s="591" t="s">
        <v>292</v>
      </c>
      <c r="N1769" s="525" t="str">
        <f>IF(AND('331-CT'!$E$7=TH!H1769,OR(L1769="331",M1769="331")),"331",IF(AND(OR(L1769="131",M1769="131"),H1769='131-CT'!$E$7),"131",""))</f>
        <v/>
      </c>
      <c r="O1769" s="525" t="str">
        <f>IF(AND($B1769&gt;='111'!$N$11,$B1769&lt;='111'!$O$11,OR($L1769=$O$7,$M1769=$O$7)),"x","")</f>
        <v/>
      </c>
      <c r="P1769" s="525" t="str">
        <f>IF(AND($L1769=$O$7,$B1769&lt;'111'!$N$11),"x","")</f>
        <v/>
      </c>
      <c r="Q1769" s="525" t="str">
        <f>IF(AND($M1769=$O$7,$B1769&lt;'111'!$N$11),"x","")</f>
        <v/>
      </c>
      <c r="R1769" s="525" t="str">
        <f>IF(ISERROR(FIND('112'!$M$9,G1769,1)),"",IF((AND(FIND('112'!$M$9,G1769,1)&gt;=1,$B1769&gt;='112'!$N$8,$B1769&lt;='112'!$O$8,OR($L1769='112'!$I$6,$M1769='112'!$I$6))),"x",""))</f>
        <v/>
      </c>
      <c r="S1769" s="525" t="str">
        <f>IF(ISERROR(FIND('112'!$M$9,G1769,1)),"",IF((AND(LEFT(G1769,2)=LEFT('112'!$M$9,2),B1769&lt;'112'!$N$8,$L1769='112'!$I$6)),"x",""))</f>
        <v/>
      </c>
      <c r="T1769" s="525" t="str">
        <f>IF(ISERROR(FIND('112'!$M$9,G1769,1)),"",IF((AND(RIGHT(G1769,2)=RIGHT('112'!$M$9,2),B1769&lt;'112'!$N$8,$M1769='112'!$I$6)),"x",""))</f>
        <v/>
      </c>
      <c r="U1769" s="525" t="str">
        <f>IF(AND(B1769&gt;='IN-NX'!$P$3,B1769&lt;='IN-NX'!$Q$3,'IN-NX'!$D$7=D1769,OR(LEFT(L1769,2)="15",AND(LEFT(M1769,2)&lt;&gt;"15",LEFT(M1769,2)&lt;&gt;"33"))),"x","")</f>
        <v/>
      </c>
      <c r="V1769" s="525" t="str">
        <f>IF(AND(OR(LEFT(TH!L1769,2)="15",LEFT(TH!M1769,2)="15"),'152-CT'!$J$8=TH!F1769),"x","")</f>
        <v/>
      </c>
      <c r="W1769" s="525" t="str">
        <f>IF(AND(OR(LEFT(TH!L1769,2)="15",LEFT(TH!M1769,2)="15"),TK!$E$7=TH!F1769),"x","")</f>
        <v/>
      </c>
      <c r="X1769" s="525" t="str">
        <f>IF(AND('341-CT'!$E$9=H1769,OR(LEFT(L1769,3)=$X$7,LEFT(M1769,3)=$X$7)),"x","")</f>
        <v/>
      </c>
      <c r="Y1769" s="525" t="str">
        <f>IF(OR(TH!L1769=TH!$Y$7,M1769=TH!$Y$7),"x","")</f>
        <v/>
      </c>
      <c r="Z1769" s="525" t="str">
        <f>IF(AND(B1769&lt;=NKC!$N$8,B1769&gt;=NKC!$M$8),"x","")</f>
        <v>x</v>
      </c>
      <c r="AA1769" s="526"/>
      <c r="AB1769" s="527"/>
      <c r="AD1769" s="527"/>
    </row>
    <row r="1770" spans="1:31" s="576" customFormat="1" ht="15.75" customHeight="1">
      <c r="A1770" s="517" t="str">
        <f>IF(B1770&lt;&gt;"",IF(AND(B1770&gt;=_TM1,B1770&lt;=_TM2,OR(TH!L1770="1111",TH!M1770="1111")),TH!D1770,""),"")</f>
        <v/>
      </c>
      <c r="B1770" s="518">
        <f t="shared" si="165"/>
        <v>2</v>
      </c>
      <c r="C1770" s="571">
        <f t="shared" si="172"/>
        <v>42777</v>
      </c>
      <c r="D1770" s="519" t="s">
        <v>997</v>
      </c>
      <c r="E1770" s="590">
        <v>42777</v>
      </c>
      <c r="F1770" s="572" t="s">
        <v>500</v>
      </c>
      <c r="G1770" s="579" t="s">
        <v>530</v>
      </c>
      <c r="H1770" s="574" t="s">
        <v>801</v>
      </c>
      <c r="I1770" s="523">
        <v>300</v>
      </c>
      <c r="J1770" s="523">
        <v>7789</v>
      </c>
      <c r="K1770" s="575">
        <f t="shared" si="173"/>
        <v>2336700</v>
      </c>
      <c r="L1770" s="591" t="s">
        <v>158</v>
      </c>
      <c r="M1770" s="591" t="s">
        <v>292</v>
      </c>
      <c r="N1770" s="525" t="str">
        <f>IF(AND('331-CT'!$E$7=TH!H1770,OR(L1770="331",M1770="331")),"331",IF(AND(OR(L1770="131",M1770="131"),H1770='131-CT'!$E$7),"131",""))</f>
        <v/>
      </c>
      <c r="O1770" s="525" t="str">
        <f>IF(AND($B1770&gt;='111'!$N$11,$B1770&lt;='111'!$O$11,OR($L1770=$O$7,$M1770=$O$7)),"x","")</f>
        <v/>
      </c>
      <c r="P1770" s="525" t="str">
        <f>IF(AND($L1770=$O$7,$B1770&lt;'111'!$N$11),"x","")</f>
        <v/>
      </c>
      <c r="Q1770" s="525" t="str">
        <f>IF(AND($M1770=$O$7,$B1770&lt;'111'!$N$11),"x","")</f>
        <v/>
      </c>
      <c r="R1770" s="525" t="str">
        <f>IF(ISERROR(FIND('112'!$M$9,G1770,1)),"",IF((AND(FIND('112'!$M$9,G1770,1)&gt;=1,$B1770&gt;='112'!$N$8,$B1770&lt;='112'!$O$8,OR($L1770='112'!$I$6,$M1770='112'!$I$6))),"x",""))</f>
        <v/>
      </c>
      <c r="S1770" s="525" t="str">
        <f>IF(ISERROR(FIND('112'!$M$9,G1770,1)),"",IF((AND(LEFT(G1770,2)=LEFT('112'!$M$9,2),B1770&lt;'112'!$N$8,$L1770='112'!$I$6)),"x",""))</f>
        <v/>
      </c>
      <c r="T1770" s="525" t="str">
        <f>IF(ISERROR(FIND('112'!$M$9,G1770,1)),"",IF((AND(RIGHT(G1770,2)=RIGHT('112'!$M$9,2),B1770&lt;'112'!$N$8,$M1770='112'!$I$6)),"x",""))</f>
        <v/>
      </c>
      <c r="U1770" s="525" t="str">
        <f>IF(AND(B1770&gt;='IN-NX'!$P$3,B1770&lt;='IN-NX'!$Q$3,'IN-NX'!$D$7=D1770,OR(LEFT(L1770,2)="15",AND(LEFT(M1770,2)&lt;&gt;"15",LEFT(M1770,2)&lt;&gt;"33"))),"x","")</f>
        <v/>
      </c>
      <c r="V1770" s="525" t="str">
        <f>IF(AND(OR(LEFT(TH!L1770,2)="15",LEFT(TH!M1770,2)="15"),'152-CT'!$J$8=TH!F1770),"x","")</f>
        <v/>
      </c>
      <c r="W1770" s="525" t="str">
        <f>IF(AND(OR(LEFT(TH!L1770,2)="15",LEFT(TH!M1770,2)="15"),TK!$E$7=TH!F1770),"x","")</f>
        <v/>
      </c>
      <c r="X1770" s="525" t="str">
        <f>IF(AND('341-CT'!$E$9=H1770,OR(LEFT(L1770,3)=$X$7,LEFT(M1770,3)=$X$7)),"x","")</f>
        <v/>
      </c>
      <c r="Y1770" s="525" t="str">
        <f>IF(OR(TH!L1770=TH!$Y$7,M1770=TH!$Y$7),"x","")</f>
        <v/>
      </c>
      <c r="Z1770" s="525" t="str">
        <f>IF(AND(B1770&lt;=NKC!$N$8,B1770&gt;=NKC!$M$8),"x","")</f>
        <v>x</v>
      </c>
      <c r="AA1770" s="526"/>
      <c r="AB1770" s="527"/>
      <c r="AD1770" s="527"/>
    </row>
    <row r="1771" spans="1:31" s="576" customFormat="1" ht="15.75" customHeight="1">
      <c r="A1771" s="517" t="str">
        <f>IF(B1771&lt;&gt;"",IF(AND(B1771&gt;=_TM1,B1771&lt;=_TM2,OR(TH!L1771="1111",TH!M1771="1111")),TH!D1771,""),"")</f>
        <v/>
      </c>
      <c r="B1771" s="518">
        <f t="shared" si="165"/>
        <v>2</v>
      </c>
      <c r="C1771" s="571">
        <f t="shared" si="172"/>
        <v>42780</v>
      </c>
      <c r="D1771" s="519" t="s">
        <v>997</v>
      </c>
      <c r="E1771" s="590">
        <v>42780</v>
      </c>
      <c r="F1771" s="577" t="s">
        <v>558</v>
      </c>
      <c r="G1771" s="579" t="s">
        <v>531</v>
      </c>
      <c r="H1771" s="574" t="s">
        <v>801</v>
      </c>
      <c r="I1771" s="523">
        <v>400</v>
      </c>
      <c r="J1771" s="523">
        <v>17654</v>
      </c>
      <c r="K1771" s="575">
        <f t="shared" si="173"/>
        <v>7061600</v>
      </c>
      <c r="L1771" s="591" t="s">
        <v>158</v>
      </c>
      <c r="M1771" s="591" t="s">
        <v>292</v>
      </c>
      <c r="N1771" s="525" t="str">
        <f>IF(AND('331-CT'!$E$7=TH!H1771,OR(L1771="331",M1771="331")),"331",IF(AND(OR(L1771="131",M1771="131"),H1771='131-CT'!$E$7),"131",""))</f>
        <v/>
      </c>
      <c r="O1771" s="525" t="str">
        <f>IF(AND($B1771&gt;='111'!$N$11,$B1771&lt;='111'!$O$11,OR($L1771=$O$7,$M1771=$O$7)),"x","")</f>
        <v/>
      </c>
      <c r="P1771" s="525" t="str">
        <f>IF(AND($L1771=$O$7,$B1771&lt;'111'!$N$11),"x","")</f>
        <v/>
      </c>
      <c r="Q1771" s="525" t="str">
        <f>IF(AND($M1771=$O$7,$B1771&lt;'111'!$N$11),"x","")</f>
        <v/>
      </c>
      <c r="R1771" s="525" t="str">
        <f>IF(ISERROR(FIND('112'!$M$9,G1771,1)),"",IF((AND(FIND('112'!$M$9,G1771,1)&gt;=1,$B1771&gt;='112'!$N$8,$B1771&lt;='112'!$O$8,OR($L1771='112'!$I$6,$M1771='112'!$I$6))),"x",""))</f>
        <v/>
      </c>
      <c r="S1771" s="525" t="str">
        <f>IF(ISERROR(FIND('112'!$M$9,G1771,1)),"",IF((AND(LEFT(G1771,2)=LEFT('112'!$M$9,2),B1771&lt;'112'!$N$8,$L1771='112'!$I$6)),"x",""))</f>
        <v/>
      </c>
      <c r="T1771" s="525" t="str">
        <f>IF(ISERROR(FIND('112'!$M$9,G1771,1)),"",IF((AND(RIGHT(G1771,2)=RIGHT('112'!$M$9,2),B1771&lt;'112'!$N$8,$M1771='112'!$I$6)),"x",""))</f>
        <v/>
      </c>
      <c r="U1771" s="525" t="str">
        <f>IF(AND(B1771&gt;='IN-NX'!$P$3,B1771&lt;='IN-NX'!$Q$3,'IN-NX'!$D$7=D1771,OR(LEFT(L1771,2)="15",AND(LEFT(M1771,2)&lt;&gt;"15",LEFT(M1771,2)&lt;&gt;"33"))),"x","")</f>
        <v/>
      </c>
      <c r="V1771" s="525" t="str">
        <f>IF(AND(OR(LEFT(TH!L1771,2)="15",LEFT(TH!M1771,2)="15"),'152-CT'!$J$8=TH!F1771),"x","")</f>
        <v/>
      </c>
      <c r="W1771" s="525" t="str">
        <f>IF(AND(OR(LEFT(TH!L1771,2)="15",LEFT(TH!M1771,2)="15"),TK!$E$7=TH!F1771),"x","")</f>
        <v/>
      </c>
      <c r="X1771" s="525" t="str">
        <f>IF(AND('341-CT'!$E$9=H1771,OR(LEFT(L1771,3)=$X$7,LEFT(M1771,3)=$X$7)),"x","")</f>
        <v/>
      </c>
      <c r="Y1771" s="525" t="str">
        <f>IF(OR(TH!L1771=TH!$Y$7,M1771=TH!$Y$7),"x","")</f>
        <v/>
      </c>
      <c r="Z1771" s="525" t="str">
        <f>IF(AND(B1771&lt;=NKC!$N$8,B1771&gt;=NKC!$M$8),"x","")</f>
        <v>x</v>
      </c>
      <c r="AA1771" s="526"/>
      <c r="AB1771" s="527"/>
      <c r="AD1771" s="527"/>
    </row>
    <row r="1772" spans="1:31" s="576" customFormat="1" ht="15.75" customHeight="1">
      <c r="A1772" s="517" t="str">
        <f>IF(B1772&lt;&gt;"",IF(AND(B1772&gt;=_TM1,B1772&lt;=_TM2,OR(TH!L1772="1111",TH!M1772="1111")),TH!D1772,""),"")</f>
        <v/>
      </c>
      <c r="B1772" s="518">
        <f t="shared" si="165"/>
        <v>2</v>
      </c>
      <c r="C1772" s="571">
        <f t="shared" si="172"/>
        <v>42788</v>
      </c>
      <c r="D1772" s="519" t="s">
        <v>997</v>
      </c>
      <c r="E1772" s="590">
        <v>42788</v>
      </c>
      <c r="F1772" s="577" t="s">
        <v>504</v>
      </c>
      <c r="G1772" s="579" t="s">
        <v>540</v>
      </c>
      <c r="H1772" s="574" t="s">
        <v>801</v>
      </c>
      <c r="I1772" s="523">
        <v>150</v>
      </c>
      <c r="J1772" s="523">
        <v>33250</v>
      </c>
      <c r="K1772" s="575">
        <f t="shared" si="173"/>
        <v>4987500</v>
      </c>
      <c r="L1772" s="591" t="s">
        <v>158</v>
      </c>
      <c r="M1772" s="591" t="s">
        <v>292</v>
      </c>
      <c r="N1772" s="525" t="str">
        <f>IF(AND('331-CT'!$E$7=TH!H1772,OR(L1772="331",M1772="331")),"331",IF(AND(OR(L1772="131",M1772="131"),H1772='131-CT'!$E$7),"131",""))</f>
        <v/>
      </c>
      <c r="O1772" s="525" t="str">
        <f>IF(AND($B1772&gt;='111'!$N$11,$B1772&lt;='111'!$O$11,OR($L1772=$O$7,$M1772=$O$7)),"x","")</f>
        <v/>
      </c>
      <c r="P1772" s="525" t="str">
        <f>IF(AND($L1772=$O$7,$B1772&lt;'111'!$N$11),"x","")</f>
        <v/>
      </c>
      <c r="Q1772" s="525" t="str">
        <f>IF(AND($M1772=$O$7,$B1772&lt;'111'!$N$11),"x","")</f>
        <v/>
      </c>
      <c r="R1772" s="525" t="str">
        <f>IF(ISERROR(FIND('112'!$M$9,G1772,1)),"",IF((AND(FIND('112'!$M$9,G1772,1)&gt;=1,$B1772&gt;='112'!$N$8,$B1772&lt;='112'!$O$8,OR($L1772='112'!$I$6,$M1772='112'!$I$6))),"x",""))</f>
        <v/>
      </c>
      <c r="S1772" s="525" t="str">
        <f>IF(ISERROR(FIND('112'!$M$9,G1772,1)),"",IF((AND(LEFT(G1772,2)=LEFT('112'!$M$9,2),B1772&lt;'112'!$N$8,$L1772='112'!$I$6)),"x",""))</f>
        <v/>
      </c>
      <c r="T1772" s="525" t="str">
        <f>IF(ISERROR(FIND('112'!$M$9,G1772,1)),"",IF((AND(RIGHT(G1772,2)=RIGHT('112'!$M$9,2),B1772&lt;'112'!$N$8,$M1772='112'!$I$6)),"x",""))</f>
        <v/>
      </c>
      <c r="U1772" s="525" t="str">
        <f>IF(AND(B1772&gt;='IN-NX'!$P$3,B1772&lt;='IN-NX'!$Q$3,'IN-NX'!$D$7=D1772,OR(LEFT(L1772,2)="15",AND(LEFT(M1772,2)&lt;&gt;"15",LEFT(M1772,2)&lt;&gt;"33"))),"x","")</f>
        <v/>
      </c>
      <c r="V1772" s="525" t="str">
        <f>IF(AND(OR(LEFT(TH!L1772,2)="15",LEFT(TH!M1772,2)="15"),'152-CT'!$J$8=TH!F1772),"x","")</f>
        <v/>
      </c>
      <c r="W1772" s="525" t="str">
        <f>IF(AND(OR(LEFT(TH!L1772,2)="15",LEFT(TH!M1772,2)="15"),TK!$E$7=TH!F1772),"x","")</f>
        <v/>
      </c>
      <c r="X1772" s="525" t="str">
        <f>IF(AND('341-CT'!$E$9=H1772,OR(LEFT(L1772,3)=$X$7,LEFT(M1772,3)=$X$7)),"x","")</f>
        <v/>
      </c>
      <c r="Y1772" s="525" t="str">
        <f>IF(OR(TH!L1772=TH!$Y$7,M1772=TH!$Y$7),"x","")</f>
        <v/>
      </c>
      <c r="Z1772" s="525" t="str">
        <f>IF(AND(B1772&lt;=NKC!$N$8,B1772&gt;=NKC!$M$8),"x","")</f>
        <v>x</v>
      </c>
      <c r="AA1772" s="526"/>
      <c r="AB1772" s="527"/>
      <c r="AD1772" s="527"/>
    </row>
    <row r="1773" spans="1:31" s="576" customFormat="1" ht="15.75" customHeight="1">
      <c r="A1773" s="517" t="str">
        <f>IF(B1773&lt;&gt;"",IF(AND(B1773&gt;=_TM1,B1773&lt;=_TM2,OR(TH!L1773="1111",TH!M1773="1111")),TH!D1773,""),"")</f>
        <v/>
      </c>
      <c r="B1773" s="518">
        <f t="shared" si="165"/>
        <v>2</v>
      </c>
      <c r="C1773" s="571">
        <f t="shared" si="172"/>
        <v>42788</v>
      </c>
      <c r="D1773" s="519" t="s">
        <v>997</v>
      </c>
      <c r="E1773" s="590">
        <v>42788</v>
      </c>
      <c r="F1773" s="577" t="s">
        <v>504</v>
      </c>
      <c r="G1773" s="579" t="s">
        <v>540</v>
      </c>
      <c r="H1773" s="574" t="s">
        <v>801</v>
      </c>
      <c r="I1773" s="523">
        <v>850</v>
      </c>
      <c r="J1773" s="523">
        <v>34632</v>
      </c>
      <c r="K1773" s="575">
        <f t="shared" si="173"/>
        <v>29437200</v>
      </c>
      <c r="L1773" s="591" t="s">
        <v>158</v>
      </c>
      <c r="M1773" s="591" t="s">
        <v>292</v>
      </c>
      <c r="N1773" s="525" t="str">
        <f>IF(AND('331-CT'!$E$7=TH!H1773,OR(L1773="331",M1773="331")),"331",IF(AND(OR(L1773="131",M1773="131"),H1773='131-CT'!$E$7),"131",""))</f>
        <v/>
      </c>
      <c r="O1773" s="525" t="str">
        <f>IF(AND($B1773&gt;='111'!$N$11,$B1773&lt;='111'!$O$11,OR($L1773=$O$7,$M1773=$O$7)),"x","")</f>
        <v/>
      </c>
      <c r="P1773" s="525" t="str">
        <f>IF(AND($L1773=$O$7,$B1773&lt;'111'!$N$11),"x","")</f>
        <v/>
      </c>
      <c r="Q1773" s="525" t="str">
        <f>IF(AND($M1773=$O$7,$B1773&lt;'111'!$N$11),"x","")</f>
        <v/>
      </c>
      <c r="R1773" s="525" t="str">
        <f>IF(ISERROR(FIND('112'!$M$9,G1773,1)),"",IF((AND(FIND('112'!$M$9,G1773,1)&gt;=1,$B1773&gt;='112'!$N$8,$B1773&lt;='112'!$O$8,OR($L1773='112'!$I$6,$M1773='112'!$I$6))),"x",""))</f>
        <v/>
      </c>
      <c r="S1773" s="525" t="str">
        <f>IF(ISERROR(FIND('112'!$M$9,G1773,1)),"",IF((AND(LEFT(G1773,2)=LEFT('112'!$M$9,2),B1773&lt;'112'!$N$8,$L1773='112'!$I$6)),"x",""))</f>
        <v/>
      </c>
      <c r="T1773" s="525" t="str">
        <f>IF(ISERROR(FIND('112'!$M$9,G1773,1)),"",IF((AND(RIGHT(G1773,2)=RIGHT('112'!$M$9,2),B1773&lt;'112'!$N$8,$M1773='112'!$I$6)),"x",""))</f>
        <v/>
      </c>
      <c r="U1773" s="525" t="str">
        <f>IF(AND(B1773&gt;='IN-NX'!$P$3,B1773&lt;='IN-NX'!$Q$3,'IN-NX'!$D$7=D1773,OR(LEFT(L1773,2)="15",AND(LEFT(M1773,2)&lt;&gt;"15",LEFT(M1773,2)&lt;&gt;"33"))),"x","")</f>
        <v/>
      </c>
      <c r="V1773" s="525" t="str">
        <f>IF(AND(OR(LEFT(TH!L1773,2)="15",LEFT(TH!M1773,2)="15"),'152-CT'!$J$8=TH!F1773),"x","")</f>
        <v/>
      </c>
      <c r="W1773" s="525" t="str">
        <f>IF(AND(OR(LEFT(TH!L1773,2)="15",LEFT(TH!M1773,2)="15"),TK!$E$7=TH!F1773),"x","")</f>
        <v/>
      </c>
      <c r="X1773" s="525" t="str">
        <f>IF(AND('341-CT'!$E$9=H1773,OR(LEFT(L1773,3)=$X$7,LEFT(M1773,3)=$X$7)),"x","")</f>
        <v/>
      </c>
      <c r="Y1773" s="525" t="str">
        <f>IF(OR(TH!L1773=TH!$Y$7,M1773=TH!$Y$7),"x","")</f>
        <v/>
      </c>
      <c r="Z1773" s="525" t="str">
        <f>IF(AND(B1773&lt;=NKC!$N$8,B1773&gt;=NKC!$M$8),"x","")</f>
        <v>x</v>
      </c>
      <c r="AA1773" s="526"/>
      <c r="AB1773" s="527"/>
      <c r="AC1773" s="527"/>
      <c r="AD1773" s="527"/>
    </row>
    <row r="1774" spans="1:31" s="576" customFormat="1" ht="15.75" customHeight="1">
      <c r="A1774" s="517" t="str">
        <f>IF(B1774&lt;&gt;"",IF(AND(B1774&gt;=_TM1,B1774&lt;=_TM2,OR(TH!L1774="1111",TH!M1774="1111")),TH!D1774,""),"")</f>
        <v/>
      </c>
      <c r="B1774" s="518">
        <f>IF(C1774&lt;&gt;"",MONTH(C1774),"")</f>
        <v>2</v>
      </c>
      <c r="C1774" s="571">
        <f>E1774</f>
        <v>42788</v>
      </c>
      <c r="D1774" s="519" t="s">
        <v>997</v>
      </c>
      <c r="E1774" s="590">
        <v>42788</v>
      </c>
      <c r="F1774" s="577" t="s">
        <v>504</v>
      </c>
      <c r="G1774" s="579" t="s">
        <v>540</v>
      </c>
      <c r="H1774" s="574" t="s">
        <v>801</v>
      </c>
      <c r="I1774" s="523">
        <v>850</v>
      </c>
      <c r="J1774" s="523">
        <v>34632</v>
      </c>
      <c r="K1774" s="575">
        <f>ROUND(I1774*J1774,0)</f>
        <v>29437200</v>
      </c>
      <c r="L1774" s="591" t="s">
        <v>158</v>
      </c>
      <c r="M1774" s="591" t="s">
        <v>292</v>
      </c>
      <c r="N1774" s="525" t="str">
        <f>IF(AND('331-CT'!$E$7=TH!H1774,OR(L1774="331",M1774="331")),"331",IF(AND(OR(L1774="131",M1774="131"),H1774='131-CT'!$E$7),"131",""))</f>
        <v/>
      </c>
      <c r="O1774" s="525" t="str">
        <f>IF(AND($B1774&gt;='111'!$N$11,$B1774&lt;='111'!$O$11,OR($L1774=$O$7,$M1774=$O$7)),"x","")</f>
        <v/>
      </c>
      <c r="P1774" s="525" t="str">
        <f>IF(AND($L1774=$O$7,$B1774&lt;'111'!$N$11),"x","")</f>
        <v/>
      </c>
      <c r="Q1774" s="525" t="str">
        <f>IF(AND($M1774=$O$7,$B1774&lt;'111'!$N$11),"x","")</f>
        <v/>
      </c>
      <c r="R1774" s="525" t="str">
        <f>IF(ISERROR(FIND('112'!$M$9,G1774,1)),"",IF((AND(FIND('112'!$M$9,G1774,1)&gt;=1,$B1774&gt;='112'!$N$8,$B1774&lt;='112'!$O$8,OR($L1774='112'!$I$6,$M1774='112'!$I$6))),"x",""))</f>
        <v/>
      </c>
      <c r="S1774" s="525" t="str">
        <f>IF(ISERROR(FIND('112'!$M$9,G1774,1)),"",IF((AND(LEFT(G1774,2)=LEFT('112'!$M$9,2),B1774&lt;'112'!$N$8,$L1774='112'!$I$6)),"x",""))</f>
        <v/>
      </c>
      <c r="T1774" s="525" t="str">
        <f>IF(ISERROR(FIND('112'!$M$9,G1774,1)),"",IF((AND(RIGHT(G1774,2)=RIGHT('112'!$M$9,2),B1774&lt;'112'!$N$8,$M1774='112'!$I$6)),"x",""))</f>
        <v/>
      </c>
      <c r="U1774" s="525" t="str">
        <f>IF(AND(B1774&gt;='IN-NX'!$P$3,B1774&lt;='IN-NX'!$Q$3,'IN-NX'!$D$7=D1774,OR(LEFT(L1774,2)="15",AND(LEFT(M1774,2)&lt;&gt;"15",LEFT(M1774,2)&lt;&gt;"33"))),"x","")</f>
        <v/>
      </c>
      <c r="V1774" s="525" t="str">
        <f>IF(AND(OR(LEFT(TH!L1774,2)="15",LEFT(TH!M1774,2)="15"),'152-CT'!$J$8=TH!F1774),"x","")</f>
        <v/>
      </c>
      <c r="W1774" s="525" t="str">
        <f>IF(AND(OR(LEFT(TH!L1774,2)="15",LEFT(TH!M1774,2)="15"),TK!$E$7=TH!F1774),"x","")</f>
        <v/>
      </c>
      <c r="X1774" s="525" t="str">
        <f>IF(AND('341-CT'!$E$9=H1774,OR(LEFT(L1774,3)=$X$7,LEFT(M1774,3)=$X$7)),"x","")</f>
        <v/>
      </c>
      <c r="Y1774" s="525" t="str">
        <f>IF(OR(TH!L1774=TH!$Y$7,M1774=TH!$Y$7),"x","")</f>
        <v/>
      </c>
      <c r="Z1774" s="525" t="str">
        <f>IF(AND(B1774&lt;=NKC!$N$8,B1774&gt;=NKC!$M$8),"x","")</f>
        <v>x</v>
      </c>
      <c r="AA1774" s="526"/>
      <c r="AB1774" s="527"/>
      <c r="AC1774" s="527"/>
      <c r="AD1774" s="527"/>
    </row>
    <row r="1775" spans="1:31" s="576" customFormat="1" ht="15.75" customHeight="1">
      <c r="A1775" s="517" t="str">
        <f>IF(B1775&lt;&gt;"",IF(AND(B1775&gt;=_TM1,B1775&lt;=_TM2,OR(TH!L1775="1111",TH!M1775="1111")),TH!D1775,""),"")</f>
        <v/>
      </c>
      <c r="B1775" s="518">
        <f t="shared" si="165"/>
        <v>2</v>
      </c>
      <c r="C1775" s="571">
        <f t="shared" si="172"/>
        <v>42788</v>
      </c>
      <c r="D1775" s="519" t="s">
        <v>997</v>
      </c>
      <c r="E1775" s="578">
        <v>42788</v>
      </c>
      <c r="F1775" s="580" t="s">
        <v>505</v>
      </c>
      <c r="G1775" s="573" t="s">
        <v>540</v>
      </c>
      <c r="H1775" s="574" t="s">
        <v>801</v>
      </c>
      <c r="I1775" s="523">
        <v>518</v>
      </c>
      <c r="J1775" s="523">
        <v>31145.088803088802</v>
      </c>
      <c r="K1775" s="575">
        <f t="shared" si="173"/>
        <v>16133156</v>
      </c>
      <c r="L1775" s="591" t="s">
        <v>158</v>
      </c>
      <c r="M1775" s="591" t="s">
        <v>292</v>
      </c>
      <c r="N1775" s="525" t="str">
        <f>IF(AND('331-CT'!$E$7=TH!H1775,OR(L1775="331",M1775="331")),"331",IF(AND(OR(L1775="131",M1775="131"),H1775='131-CT'!$E$7),"131",""))</f>
        <v/>
      </c>
      <c r="O1775" s="525" t="str">
        <f>IF(AND($B1775&gt;='111'!$N$11,$B1775&lt;='111'!$O$11,OR($L1775=$O$7,$M1775=$O$7)),"x","")</f>
        <v/>
      </c>
      <c r="P1775" s="525" t="str">
        <f>IF(AND($L1775=$O$7,$B1775&lt;'111'!$N$11),"x","")</f>
        <v/>
      </c>
      <c r="Q1775" s="525" t="str">
        <f>IF(AND($M1775=$O$7,$B1775&lt;'111'!$N$11),"x","")</f>
        <v/>
      </c>
      <c r="R1775" s="525" t="str">
        <f>IF(ISERROR(FIND('112'!$M$9,G1775,1)),"",IF((AND(FIND('112'!$M$9,G1775,1)&gt;=1,$B1775&gt;='112'!$N$8,$B1775&lt;='112'!$O$8,OR($L1775='112'!$I$6,$M1775='112'!$I$6))),"x",""))</f>
        <v/>
      </c>
      <c r="S1775" s="525" t="str">
        <f>IF(ISERROR(FIND('112'!$M$9,G1775,1)),"",IF((AND(LEFT(G1775,2)=LEFT('112'!$M$9,2),B1775&lt;'112'!$N$8,$L1775='112'!$I$6)),"x",""))</f>
        <v/>
      </c>
      <c r="T1775" s="525" t="str">
        <f>IF(ISERROR(FIND('112'!$M$9,G1775,1)),"",IF((AND(RIGHT(G1775,2)=RIGHT('112'!$M$9,2),B1775&lt;'112'!$N$8,$M1775='112'!$I$6)),"x",""))</f>
        <v/>
      </c>
      <c r="U1775" s="525" t="str">
        <f>IF(AND(B1775&gt;='IN-NX'!$P$3,B1775&lt;='IN-NX'!$Q$3,'IN-NX'!$D$7=D1775,OR(LEFT(L1775,2)="15",AND(LEFT(M1775,2)&lt;&gt;"15",LEFT(M1775,2)&lt;&gt;"33"))),"x","")</f>
        <v/>
      </c>
      <c r="V1775" s="525" t="str">
        <f>IF(AND(OR(LEFT(TH!L1775,2)="15",LEFT(TH!M1775,2)="15"),'152-CT'!$J$8=TH!F1775),"x","")</f>
        <v/>
      </c>
      <c r="W1775" s="525" t="str">
        <f>IF(AND(OR(LEFT(TH!L1775,2)="15",LEFT(TH!M1775,2)="15"),TK!$E$7=TH!F1775),"x","")</f>
        <v/>
      </c>
      <c r="X1775" s="525" t="str">
        <f>IF(AND('341-CT'!$E$9=H1775,OR(LEFT(L1775,3)=$X$7,LEFT(M1775,3)=$X$7)),"x","")</f>
        <v/>
      </c>
      <c r="Y1775" s="525" t="str">
        <f>IF(OR(TH!L1775=TH!$Y$7,M1775=TH!$Y$7),"x","")</f>
        <v/>
      </c>
      <c r="Z1775" s="525" t="str">
        <f>IF(AND(B1775&lt;=NKC!$N$8,B1775&gt;=NKC!$M$8),"x","")</f>
        <v>x</v>
      </c>
      <c r="AA1775" s="526"/>
      <c r="AB1775" s="527"/>
      <c r="AE1775" s="527"/>
    </row>
    <row r="1776" spans="1:31" s="576" customFormat="1" ht="15.75" customHeight="1">
      <c r="A1776" s="517" t="str">
        <f>IF(B1776&lt;&gt;"",IF(AND(B1776&gt;=_TM1,B1776&lt;=_TM2,OR(TH!L1776="1111",TH!M1776="1111")),TH!D1776,""),"")</f>
        <v/>
      </c>
      <c r="B1776" s="518">
        <f t="shared" si="165"/>
        <v>2</v>
      </c>
      <c r="C1776" s="571">
        <f t="shared" si="172"/>
        <v>42789</v>
      </c>
      <c r="D1776" s="519" t="s">
        <v>997</v>
      </c>
      <c r="E1776" s="578">
        <v>42789</v>
      </c>
      <c r="F1776" s="572" t="s">
        <v>558</v>
      </c>
      <c r="G1776" s="573" t="s">
        <v>541</v>
      </c>
      <c r="H1776" s="574" t="s">
        <v>801</v>
      </c>
      <c r="I1776" s="523">
        <v>620</v>
      </c>
      <c r="J1776" s="523">
        <v>17654</v>
      </c>
      <c r="K1776" s="575">
        <f t="shared" si="173"/>
        <v>10945480</v>
      </c>
      <c r="L1776" s="591" t="s">
        <v>158</v>
      </c>
      <c r="M1776" s="591" t="s">
        <v>292</v>
      </c>
      <c r="N1776" s="525" t="str">
        <f>IF(AND('331-CT'!$E$7=TH!H1776,OR(L1776="331",M1776="331")),"331",IF(AND(OR(L1776="131",M1776="131"),H1776='131-CT'!$E$7),"131",""))</f>
        <v/>
      </c>
      <c r="O1776" s="525" t="str">
        <f>IF(AND($B1776&gt;='111'!$N$11,$B1776&lt;='111'!$O$11,OR($L1776=$O$7,$M1776=$O$7)),"x","")</f>
        <v/>
      </c>
      <c r="P1776" s="525" t="str">
        <f>IF(AND($L1776=$O$7,$B1776&lt;'111'!$N$11),"x","")</f>
        <v/>
      </c>
      <c r="Q1776" s="525" t="str">
        <f>IF(AND($M1776=$O$7,$B1776&lt;'111'!$N$11),"x","")</f>
        <v/>
      </c>
      <c r="R1776" s="525" t="str">
        <f>IF(ISERROR(FIND('112'!$M$9,G1776,1)),"",IF((AND(FIND('112'!$M$9,G1776,1)&gt;=1,$B1776&gt;='112'!$N$8,$B1776&lt;='112'!$O$8,OR($L1776='112'!$I$6,$M1776='112'!$I$6))),"x",""))</f>
        <v/>
      </c>
      <c r="S1776" s="525" t="str">
        <f>IF(ISERROR(FIND('112'!$M$9,G1776,1)),"",IF((AND(LEFT(G1776,2)=LEFT('112'!$M$9,2),B1776&lt;'112'!$N$8,$L1776='112'!$I$6)),"x",""))</f>
        <v/>
      </c>
      <c r="T1776" s="525" t="str">
        <f>IF(ISERROR(FIND('112'!$M$9,G1776,1)),"",IF((AND(RIGHT(G1776,2)=RIGHT('112'!$M$9,2),B1776&lt;'112'!$N$8,$M1776='112'!$I$6)),"x",""))</f>
        <v/>
      </c>
      <c r="U1776" s="525" t="str">
        <f>IF(AND(B1776&gt;='IN-NX'!$P$3,B1776&lt;='IN-NX'!$Q$3,'IN-NX'!$D$7=D1776,OR(LEFT(L1776,2)="15",AND(LEFT(M1776,2)&lt;&gt;"15",LEFT(M1776,2)&lt;&gt;"33"))),"x","")</f>
        <v/>
      </c>
      <c r="V1776" s="525" t="str">
        <f>IF(AND(OR(LEFT(TH!L1776,2)="15",LEFT(TH!M1776,2)="15"),'152-CT'!$J$8=TH!F1776),"x","")</f>
        <v/>
      </c>
      <c r="W1776" s="525" t="str">
        <f>IF(AND(OR(LEFT(TH!L1776,2)="15",LEFT(TH!M1776,2)="15"),TK!$E$7=TH!F1776),"x","")</f>
        <v/>
      </c>
      <c r="X1776" s="525" t="str">
        <f>IF(AND('341-CT'!$E$9=H1776,OR(LEFT(L1776,3)=$X$7,LEFT(M1776,3)=$X$7)),"x","")</f>
        <v/>
      </c>
      <c r="Y1776" s="525" t="str">
        <f>IF(OR(TH!L1776=TH!$Y$7,M1776=TH!$Y$7),"x","")</f>
        <v/>
      </c>
      <c r="Z1776" s="525" t="str">
        <f>IF(AND(B1776&lt;=NKC!$N$8,B1776&gt;=NKC!$M$8),"x","")</f>
        <v>x</v>
      </c>
      <c r="AA1776" s="526"/>
      <c r="AB1776" s="527"/>
      <c r="AE1776" s="527"/>
    </row>
    <row r="1777" spans="1:31" s="576" customFormat="1" ht="15.75" customHeight="1">
      <c r="A1777" s="517" t="str">
        <f>IF(B1777&lt;&gt;"",IF(AND(B1777&gt;=_TM1,B1777&lt;=_TM2,OR(TH!L1777="1111",TH!M1777="1111")),TH!D1777,""),"")</f>
        <v/>
      </c>
      <c r="B1777" s="518">
        <f t="shared" si="165"/>
        <v>2</v>
      </c>
      <c r="C1777" s="571">
        <f t="shared" si="172"/>
        <v>42789</v>
      </c>
      <c r="D1777" s="519" t="s">
        <v>997</v>
      </c>
      <c r="E1777" s="578">
        <v>42789</v>
      </c>
      <c r="F1777" s="572" t="s">
        <v>627</v>
      </c>
      <c r="G1777" s="573" t="s">
        <v>542</v>
      </c>
      <c r="H1777" s="574" t="s">
        <v>801</v>
      </c>
      <c r="I1777" s="523">
        <v>234</v>
      </c>
      <c r="J1777" s="523">
        <v>48822</v>
      </c>
      <c r="K1777" s="575">
        <f t="shared" si="173"/>
        <v>11424348</v>
      </c>
      <c r="L1777" s="591" t="s">
        <v>158</v>
      </c>
      <c r="M1777" s="591" t="s">
        <v>292</v>
      </c>
      <c r="N1777" s="525" t="str">
        <f>IF(AND('331-CT'!$E$7=TH!H1777,OR(L1777="331",M1777="331")),"331",IF(AND(OR(L1777="131",M1777="131"),H1777='131-CT'!$E$7),"131",""))</f>
        <v/>
      </c>
      <c r="O1777" s="525" t="str">
        <f>IF(AND($B1777&gt;='111'!$N$11,$B1777&lt;='111'!$O$11,OR($L1777=$O$7,$M1777=$O$7)),"x","")</f>
        <v/>
      </c>
      <c r="P1777" s="525" t="str">
        <f>IF(AND($L1777=$O$7,$B1777&lt;'111'!$N$11),"x","")</f>
        <v/>
      </c>
      <c r="Q1777" s="525" t="str">
        <f>IF(AND($M1777=$O$7,$B1777&lt;'111'!$N$11),"x","")</f>
        <v/>
      </c>
      <c r="R1777" s="525" t="str">
        <f>IF(ISERROR(FIND('112'!$M$9,G1777,1)),"",IF((AND(FIND('112'!$M$9,G1777,1)&gt;=1,$B1777&gt;='112'!$N$8,$B1777&lt;='112'!$O$8,OR($L1777='112'!$I$6,$M1777='112'!$I$6))),"x",""))</f>
        <v/>
      </c>
      <c r="S1777" s="525" t="str">
        <f>IF(ISERROR(FIND('112'!$M$9,G1777,1)),"",IF((AND(LEFT(G1777,2)=LEFT('112'!$M$9,2),B1777&lt;'112'!$N$8,$L1777='112'!$I$6)),"x",""))</f>
        <v/>
      </c>
      <c r="T1777" s="525" t="str">
        <f>IF(ISERROR(FIND('112'!$M$9,G1777,1)),"",IF((AND(RIGHT(G1777,2)=RIGHT('112'!$M$9,2),B1777&lt;'112'!$N$8,$M1777='112'!$I$6)),"x",""))</f>
        <v/>
      </c>
      <c r="U1777" s="525" t="str">
        <f>IF(AND(B1777&gt;='IN-NX'!$P$3,B1777&lt;='IN-NX'!$Q$3,'IN-NX'!$D$7=D1777,OR(LEFT(L1777,2)="15",AND(LEFT(M1777,2)&lt;&gt;"15",LEFT(M1777,2)&lt;&gt;"33"))),"x","")</f>
        <v/>
      </c>
      <c r="V1777" s="525" t="str">
        <f>IF(AND(OR(LEFT(TH!L1777,2)="15",LEFT(TH!M1777,2)="15"),'152-CT'!$J$8=TH!F1777),"x","")</f>
        <v/>
      </c>
      <c r="W1777" s="525" t="str">
        <f>IF(AND(OR(LEFT(TH!L1777,2)="15",LEFT(TH!M1777,2)="15"),TK!$E$7=TH!F1777),"x","")</f>
        <v/>
      </c>
      <c r="X1777" s="525" t="str">
        <f>IF(AND('341-CT'!$E$9=H1777,OR(LEFT(L1777,3)=$X$7,LEFT(M1777,3)=$X$7)),"x","")</f>
        <v/>
      </c>
      <c r="Y1777" s="525" t="str">
        <f>IF(OR(TH!L1777=TH!$Y$7,M1777=TH!$Y$7),"x","")</f>
        <v/>
      </c>
      <c r="Z1777" s="525" t="str">
        <f>IF(AND(B1777&lt;=NKC!$N$8,B1777&gt;=NKC!$M$8),"x","")</f>
        <v>x</v>
      </c>
      <c r="AA1777" s="526"/>
      <c r="AB1777" s="527"/>
      <c r="AE1777" s="527"/>
    </row>
    <row r="1778" spans="1:31" s="576" customFormat="1" ht="15.75" customHeight="1">
      <c r="A1778" s="517" t="str">
        <f>IF(B1778&lt;&gt;"",IF(AND(B1778&gt;=_TM1,B1778&lt;=_TM2,OR(TH!L1778="1111",TH!M1778="1111")),TH!D1778,""),"")</f>
        <v/>
      </c>
      <c r="B1778" s="518">
        <f t="shared" si="165"/>
        <v>2</v>
      </c>
      <c r="C1778" s="571">
        <f t="shared" si="172"/>
        <v>42789</v>
      </c>
      <c r="D1778" s="519" t="s">
        <v>997</v>
      </c>
      <c r="E1778" s="578">
        <v>42789</v>
      </c>
      <c r="F1778" s="577" t="s">
        <v>737</v>
      </c>
      <c r="G1778" s="573" t="s">
        <v>542</v>
      </c>
      <c r="H1778" s="574" t="s">
        <v>801</v>
      </c>
      <c r="I1778" s="523">
        <v>15</v>
      </c>
      <c r="J1778" s="523">
        <v>84068</v>
      </c>
      <c r="K1778" s="575">
        <f t="shared" si="173"/>
        <v>1261020</v>
      </c>
      <c r="L1778" s="591" t="s">
        <v>158</v>
      </c>
      <c r="M1778" s="591" t="s">
        <v>292</v>
      </c>
      <c r="N1778" s="525" t="str">
        <f>IF(AND('331-CT'!$E$7=TH!H1778,OR(L1778="331",M1778="331")),"331",IF(AND(OR(L1778="131",M1778="131"),H1778='131-CT'!$E$7),"131",""))</f>
        <v/>
      </c>
      <c r="O1778" s="525" t="str">
        <f>IF(AND($B1778&gt;='111'!$N$11,$B1778&lt;='111'!$O$11,OR($L1778=$O$7,$M1778=$O$7)),"x","")</f>
        <v/>
      </c>
      <c r="P1778" s="525" t="str">
        <f>IF(AND($L1778=$O$7,$B1778&lt;'111'!$N$11),"x","")</f>
        <v/>
      </c>
      <c r="Q1778" s="525" t="str">
        <f>IF(AND($M1778=$O$7,$B1778&lt;'111'!$N$11),"x","")</f>
        <v/>
      </c>
      <c r="R1778" s="525" t="str">
        <f>IF(ISERROR(FIND('112'!$M$9,G1778,1)),"",IF((AND(FIND('112'!$M$9,G1778,1)&gt;=1,$B1778&gt;='112'!$N$8,$B1778&lt;='112'!$O$8,OR($L1778='112'!$I$6,$M1778='112'!$I$6))),"x",""))</f>
        <v/>
      </c>
      <c r="S1778" s="525" t="str">
        <f>IF(ISERROR(FIND('112'!$M$9,G1778,1)),"",IF((AND(LEFT(G1778,2)=LEFT('112'!$M$9,2),B1778&lt;'112'!$N$8,$L1778='112'!$I$6)),"x",""))</f>
        <v/>
      </c>
      <c r="T1778" s="525" t="str">
        <f>IF(ISERROR(FIND('112'!$M$9,G1778,1)),"",IF((AND(RIGHT(G1778,2)=RIGHT('112'!$M$9,2),B1778&lt;'112'!$N$8,$M1778='112'!$I$6)),"x",""))</f>
        <v/>
      </c>
      <c r="U1778" s="525" t="str">
        <f>IF(AND(B1778&gt;='IN-NX'!$P$3,B1778&lt;='IN-NX'!$Q$3,'IN-NX'!$D$7=D1778,OR(LEFT(L1778,2)="15",AND(LEFT(M1778,2)&lt;&gt;"15",LEFT(M1778,2)&lt;&gt;"33"))),"x","")</f>
        <v/>
      </c>
      <c r="V1778" s="525" t="str">
        <f>IF(AND(OR(LEFT(TH!L1778,2)="15",LEFT(TH!M1778,2)="15"),'152-CT'!$J$8=TH!F1778),"x","")</f>
        <v/>
      </c>
      <c r="W1778" s="525" t="str">
        <f>IF(AND(OR(LEFT(TH!L1778,2)="15",LEFT(TH!M1778,2)="15"),TK!$E$7=TH!F1778),"x","")</f>
        <v/>
      </c>
      <c r="X1778" s="525" t="str">
        <f>IF(AND('341-CT'!$E$9=H1778,OR(LEFT(L1778,3)=$X$7,LEFT(M1778,3)=$X$7)),"x","")</f>
        <v/>
      </c>
      <c r="Y1778" s="525" t="str">
        <f>IF(OR(TH!L1778=TH!$Y$7,M1778=TH!$Y$7),"x","")</f>
        <v/>
      </c>
      <c r="Z1778" s="525" t="str">
        <f>IF(AND(B1778&lt;=NKC!$N$8,B1778&gt;=NKC!$M$8),"x","")</f>
        <v>x</v>
      </c>
      <c r="AA1778" s="526"/>
      <c r="AB1778" s="527"/>
      <c r="AE1778" s="527"/>
    </row>
    <row r="1779" spans="1:31" s="576" customFormat="1" ht="15.75" customHeight="1">
      <c r="A1779" s="517" t="str">
        <f>IF(B1779&lt;&gt;"",IF(AND(B1779&gt;=_TM1,B1779&lt;=_TM2,OR(TH!L1779="1111",TH!M1779="1111")),TH!D1779,""),"")</f>
        <v/>
      </c>
      <c r="B1779" s="518">
        <f t="shared" si="165"/>
        <v>2</v>
      </c>
      <c r="C1779" s="571">
        <f t="shared" si="172"/>
        <v>42789</v>
      </c>
      <c r="D1779" s="519" t="s">
        <v>997</v>
      </c>
      <c r="E1779" s="578">
        <v>42789</v>
      </c>
      <c r="F1779" s="572" t="s">
        <v>759</v>
      </c>
      <c r="G1779" s="573" t="s">
        <v>542</v>
      </c>
      <c r="H1779" s="574" t="s">
        <v>801</v>
      </c>
      <c r="I1779" s="523">
        <v>100</v>
      </c>
      <c r="J1779" s="523">
        <v>31841</v>
      </c>
      <c r="K1779" s="575">
        <f t="shared" si="173"/>
        <v>3184100</v>
      </c>
      <c r="L1779" s="591" t="s">
        <v>158</v>
      </c>
      <c r="M1779" s="591" t="s">
        <v>292</v>
      </c>
      <c r="N1779" s="525" t="str">
        <f>IF(AND('331-CT'!$E$7=TH!H1779,OR(L1779="331",M1779="331")),"331",IF(AND(OR(L1779="131",M1779="131"),H1779='131-CT'!$E$7),"131",""))</f>
        <v/>
      </c>
      <c r="O1779" s="525" t="str">
        <f>IF(AND($B1779&gt;='111'!$N$11,$B1779&lt;='111'!$O$11,OR($L1779=$O$7,$M1779=$O$7)),"x","")</f>
        <v/>
      </c>
      <c r="P1779" s="525" t="str">
        <f>IF(AND($L1779=$O$7,$B1779&lt;'111'!$N$11),"x","")</f>
        <v/>
      </c>
      <c r="Q1779" s="525" t="str">
        <f>IF(AND($M1779=$O$7,$B1779&lt;'111'!$N$11),"x","")</f>
        <v/>
      </c>
      <c r="R1779" s="525" t="str">
        <f>IF(ISERROR(FIND('112'!$M$9,G1779,1)),"",IF((AND(FIND('112'!$M$9,G1779,1)&gt;=1,$B1779&gt;='112'!$N$8,$B1779&lt;='112'!$O$8,OR($L1779='112'!$I$6,$M1779='112'!$I$6))),"x",""))</f>
        <v/>
      </c>
      <c r="S1779" s="525" t="str">
        <f>IF(ISERROR(FIND('112'!$M$9,G1779,1)),"",IF((AND(LEFT(G1779,2)=LEFT('112'!$M$9,2),B1779&lt;'112'!$N$8,$L1779='112'!$I$6)),"x",""))</f>
        <v/>
      </c>
      <c r="T1779" s="525" t="str">
        <f>IF(ISERROR(FIND('112'!$M$9,G1779,1)),"",IF((AND(RIGHT(G1779,2)=RIGHT('112'!$M$9,2),B1779&lt;'112'!$N$8,$M1779='112'!$I$6)),"x",""))</f>
        <v/>
      </c>
      <c r="U1779" s="525" t="str">
        <f>IF(AND(B1779&gt;='IN-NX'!$P$3,B1779&lt;='IN-NX'!$Q$3,'IN-NX'!$D$7=D1779,OR(LEFT(L1779,2)="15",AND(LEFT(M1779,2)&lt;&gt;"15",LEFT(M1779,2)&lt;&gt;"33"))),"x","")</f>
        <v/>
      </c>
      <c r="V1779" s="525" t="str">
        <f>IF(AND(OR(LEFT(TH!L1779,2)="15",LEFT(TH!M1779,2)="15"),'152-CT'!$J$8=TH!F1779),"x","")</f>
        <v/>
      </c>
      <c r="W1779" s="525" t="str">
        <f>IF(AND(OR(LEFT(TH!L1779,2)="15",LEFT(TH!M1779,2)="15"),TK!$E$7=TH!F1779),"x","")</f>
        <v/>
      </c>
      <c r="X1779" s="525" t="str">
        <f>IF(AND('341-CT'!$E$9=H1779,OR(LEFT(L1779,3)=$X$7,LEFT(M1779,3)=$X$7)),"x","")</f>
        <v/>
      </c>
      <c r="Y1779" s="525" t="str">
        <f>IF(OR(TH!L1779=TH!$Y$7,M1779=TH!$Y$7),"x","")</f>
        <v/>
      </c>
      <c r="Z1779" s="525" t="str">
        <f>IF(AND(B1779&lt;=NKC!$N$8,B1779&gt;=NKC!$M$8),"x","")</f>
        <v>x</v>
      </c>
      <c r="AA1779" s="526"/>
      <c r="AB1779" s="527"/>
      <c r="AE1779" s="527"/>
    </row>
    <row r="1780" spans="1:31" s="576" customFormat="1" ht="15.75" customHeight="1">
      <c r="A1780" s="517" t="str">
        <f>IF(B1780&lt;&gt;"",IF(AND(B1780&gt;=_TM1,B1780&lt;=_TM2,OR(TH!L1780="1111",TH!M1780="1111")),TH!D1780,""),"")</f>
        <v/>
      </c>
      <c r="B1780" s="518">
        <f t="shared" si="165"/>
        <v>2</v>
      </c>
      <c r="C1780" s="571">
        <f t="shared" si="172"/>
        <v>42791</v>
      </c>
      <c r="D1780" s="519" t="s">
        <v>997</v>
      </c>
      <c r="E1780" s="578">
        <v>42791</v>
      </c>
      <c r="F1780" s="572" t="s">
        <v>567</v>
      </c>
      <c r="G1780" s="573" t="s">
        <v>544</v>
      </c>
      <c r="H1780" s="574" t="s">
        <v>801</v>
      </c>
      <c r="I1780" s="523">
        <v>500</v>
      </c>
      <c r="J1780" s="523">
        <v>3880</v>
      </c>
      <c r="K1780" s="575">
        <f t="shared" si="173"/>
        <v>1940000</v>
      </c>
      <c r="L1780" s="591" t="s">
        <v>158</v>
      </c>
      <c r="M1780" s="591" t="s">
        <v>292</v>
      </c>
      <c r="N1780" s="525" t="str">
        <f>IF(AND('331-CT'!$E$7=TH!H1780,OR(L1780="331",M1780="331")),"331",IF(AND(OR(L1780="131",M1780="131"),H1780='131-CT'!$E$7),"131",""))</f>
        <v/>
      </c>
      <c r="O1780" s="525" t="str">
        <f>IF(AND($B1780&gt;='111'!$N$11,$B1780&lt;='111'!$O$11,OR($L1780=$O$7,$M1780=$O$7)),"x","")</f>
        <v/>
      </c>
      <c r="P1780" s="525" t="str">
        <f>IF(AND($L1780=$O$7,$B1780&lt;'111'!$N$11),"x","")</f>
        <v/>
      </c>
      <c r="Q1780" s="525" t="str">
        <f>IF(AND($M1780=$O$7,$B1780&lt;'111'!$N$11),"x","")</f>
        <v/>
      </c>
      <c r="R1780" s="525" t="str">
        <f>IF(ISERROR(FIND('112'!$M$9,G1780,1)),"",IF((AND(FIND('112'!$M$9,G1780,1)&gt;=1,$B1780&gt;='112'!$N$8,$B1780&lt;='112'!$O$8,OR($L1780='112'!$I$6,$M1780='112'!$I$6))),"x",""))</f>
        <v/>
      </c>
      <c r="S1780" s="525" t="str">
        <f>IF(ISERROR(FIND('112'!$M$9,G1780,1)),"",IF((AND(LEFT(G1780,2)=LEFT('112'!$M$9,2),B1780&lt;'112'!$N$8,$L1780='112'!$I$6)),"x",""))</f>
        <v/>
      </c>
      <c r="T1780" s="525" t="str">
        <f>IF(ISERROR(FIND('112'!$M$9,G1780,1)),"",IF((AND(RIGHT(G1780,2)=RIGHT('112'!$M$9,2),B1780&lt;'112'!$N$8,$M1780='112'!$I$6)),"x",""))</f>
        <v/>
      </c>
      <c r="U1780" s="525" t="str">
        <f>IF(AND(B1780&gt;='IN-NX'!$P$3,B1780&lt;='IN-NX'!$Q$3,'IN-NX'!$D$7=D1780,OR(LEFT(L1780,2)="15",AND(LEFT(M1780,2)&lt;&gt;"15",LEFT(M1780,2)&lt;&gt;"33"))),"x","")</f>
        <v/>
      </c>
      <c r="V1780" s="525" t="str">
        <f>IF(AND(OR(LEFT(TH!L1780,2)="15",LEFT(TH!M1780,2)="15"),'152-CT'!$J$8=TH!F1780),"x","")</f>
        <v/>
      </c>
      <c r="W1780" s="525" t="str">
        <f>IF(AND(OR(LEFT(TH!L1780,2)="15",LEFT(TH!M1780,2)="15"),TK!$E$7=TH!F1780),"x","")</f>
        <v/>
      </c>
      <c r="X1780" s="525" t="str">
        <f>IF(AND('341-CT'!$E$9=H1780,OR(LEFT(L1780,3)=$X$7,LEFT(M1780,3)=$X$7)),"x","")</f>
        <v/>
      </c>
      <c r="Y1780" s="525" t="str">
        <f>IF(OR(TH!L1780=TH!$Y$7,M1780=TH!$Y$7),"x","")</f>
        <v/>
      </c>
      <c r="Z1780" s="525" t="str">
        <f>IF(AND(B1780&lt;=NKC!$N$8,B1780&gt;=NKC!$M$8),"x","")</f>
        <v>x</v>
      </c>
      <c r="AA1780" s="526"/>
      <c r="AB1780" s="527"/>
      <c r="AE1780" s="527"/>
    </row>
    <row r="1781" spans="1:31" s="576" customFormat="1" ht="15.75" customHeight="1">
      <c r="A1781" s="517" t="str">
        <f>IF(B1781&lt;&gt;"",IF(AND(B1781&gt;=_TM1,B1781&lt;=_TM2,OR(TH!L1781="1111",TH!M1781="1111")),TH!D1781,""),"")</f>
        <v/>
      </c>
      <c r="B1781" s="518">
        <f t="shared" ref="B1781:B1812" si="174">IF(C1781&lt;&gt;"",MONTH(C1781),"")</f>
        <v>2</v>
      </c>
      <c r="C1781" s="571">
        <f t="shared" si="172"/>
        <v>42770</v>
      </c>
      <c r="D1781" s="519" t="s">
        <v>997</v>
      </c>
      <c r="E1781" s="590">
        <v>42770</v>
      </c>
      <c r="F1781" s="577" t="s">
        <v>355</v>
      </c>
      <c r="G1781" s="579" t="s">
        <v>528</v>
      </c>
      <c r="H1781" s="574" t="s">
        <v>801</v>
      </c>
      <c r="I1781" s="523">
        <v>73</v>
      </c>
      <c r="J1781" s="523">
        <v>15246</v>
      </c>
      <c r="K1781" s="575">
        <f t="shared" si="173"/>
        <v>1112958</v>
      </c>
      <c r="L1781" s="591" t="s">
        <v>158</v>
      </c>
      <c r="M1781" s="591" t="s">
        <v>292</v>
      </c>
      <c r="N1781" s="525" t="str">
        <f>IF(AND('331-CT'!$E$7=TH!H1781,OR(L1781="331",M1781="331")),"331",IF(AND(OR(L1781="131",M1781="131"),H1781='131-CT'!$E$7),"131",""))</f>
        <v/>
      </c>
      <c r="O1781" s="525" t="str">
        <f>IF(AND($B1781&gt;='111'!$N$11,$B1781&lt;='111'!$O$11,OR($L1781=$O$7,$M1781=$O$7)),"x","")</f>
        <v/>
      </c>
      <c r="P1781" s="525" t="str">
        <f>IF(AND($L1781=$O$7,$B1781&lt;'111'!$N$11),"x","")</f>
        <v/>
      </c>
      <c r="Q1781" s="525" t="str">
        <f>IF(AND($M1781=$O$7,$B1781&lt;'111'!$N$11),"x","")</f>
        <v/>
      </c>
      <c r="R1781" s="525" t="str">
        <f>IF(ISERROR(FIND('112'!$M$9,G1781,1)),"",IF((AND(FIND('112'!$M$9,G1781,1)&gt;=1,$B1781&gt;='112'!$N$8,$B1781&lt;='112'!$O$8,OR($L1781='112'!$I$6,$M1781='112'!$I$6))),"x",""))</f>
        <v/>
      </c>
      <c r="S1781" s="525" t="str">
        <f>IF(ISERROR(FIND('112'!$M$9,G1781,1)),"",IF((AND(LEFT(G1781,2)=LEFT('112'!$M$9,2),B1781&lt;'112'!$N$8,$L1781='112'!$I$6)),"x",""))</f>
        <v/>
      </c>
      <c r="T1781" s="525" t="str">
        <f>IF(ISERROR(FIND('112'!$M$9,G1781,1)),"",IF((AND(RIGHT(G1781,2)=RIGHT('112'!$M$9,2),B1781&lt;'112'!$N$8,$M1781='112'!$I$6)),"x",""))</f>
        <v/>
      </c>
      <c r="U1781" s="525" t="str">
        <f>IF(AND(B1781&gt;='IN-NX'!$P$3,B1781&lt;='IN-NX'!$Q$3,'IN-NX'!$D$7=D1781,OR(LEFT(L1781,2)="15",AND(LEFT(M1781,2)&lt;&gt;"15",LEFT(M1781,2)&lt;&gt;"33"))),"x","")</f>
        <v/>
      </c>
      <c r="V1781" s="525" t="str">
        <f>IF(AND(OR(LEFT(TH!L1781,2)="15",LEFT(TH!M1781,2)="15"),'152-CT'!$J$8=TH!F1781),"x","")</f>
        <v/>
      </c>
      <c r="W1781" s="525" t="str">
        <f>IF(AND(OR(LEFT(TH!L1781,2)="15",LEFT(TH!M1781,2)="15"),TK!$E$7=TH!F1781),"x","")</f>
        <v/>
      </c>
      <c r="X1781" s="525" t="str">
        <f>IF(AND('341-CT'!$E$9=H1781,OR(LEFT(L1781,3)=$X$7,LEFT(M1781,3)=$X$7)),"x","")</f>
        <v/>
      </c>
      <c r="Y1781" s="525" t="str">
        <f>IF(OR(TH!L1781=TH!$Y$7,M1781=TH!$Y$7),"x","")</f>
        <v/>
      </c>
      <c r="Z1781" s="525" t="str">
        <f>IF(AND(B1781&lt;=NKC!$N$8,B1781&gt;=NKC!$M$8),"x","")</f>
        <v>x</v>
      </c>
      <c r="AA1781" s="526"/>
      <c r="AB1781" s="527"/>
      <c r="AD1781" s="527"/>
    </row>
    <row r="1782" spans="1:31" s="576" customFormat="1" ht="15.75" customHeight="1">
      <c r="A1782" s="517" t="str">
        <f>IF(B1782&lt;&gt;"",IF(AND(B1782&gt;=_TM1,B1782&lt;=_TM2,OR(TH!L1782="1111",TH!M1782="1111")),TH!D1782,""),"")</f>
        <v/>
      </c>
      <c r="B1782" s="518">
        <f t="shared" si="174"/>
        <v>2</v>
      </c>
      <c r="C1782" s="571">
        <f t="shared" si="172"/>
        <v>42777</v>
      </c>
      <c r="D1782" s="519" t="s">
        <v>997</v>
      </c>
      <c r="E1782" s="590">
        <v>42777</v>
      </c>
      <c r="F1782" s="577" t="s">
        <v>355</v>
      </c>
      <c r="G1782" s="579" t="s">
        <v>530</v>
      </c>
      <c r="H1782" s="574" t="s">
        <v>801</v>
      </c>
      <c r="I1782" s="523">
        <v>4</v>
      </c>
      <c r="J1782" s="523">
        <v>15246</v>
      </c>
      <c r="K1782" s="575">
        <f t="shared" si="173"/>
        <v>60984</v>
      </c>
      <c r="L1782" s="591" t="s">
        <v>158</v>
      </c>
      <c r="M1782" s="591" t="s">
        <v>292</v>
      </c>
      <c r="N1782" s="525" t="str">
        <f>IF(AND('331-CT'!$E$7=TH!H1782,OR(L1782="331",M1782="331")),"331",IF(AND(OR(L1782="131",M1782="131"),H1782='131-CT'!$E$7),"131",""))</f>
        <v/>
      </c>
      <c r="O1782" s="525" t="str">
        <f>IF(AND($B1782&gt;='111'!$N$11,$B1782&lt;='111'!$O$11,OR($L1782=$O$7,$M1782=$O$7)),"x","")</f>
        <v/>
      </c>
      <c r="P1782" s="525" t="str">
        <f>IF(AND($L1782=$O$7,$B1782&lt;'111'!$N$11),"x","")</f>
        <v/>
      </c>
      <c r="Q1782" s="525" t="str">
        <f>IF(AND($M1782=$O$7,$B1782&lt;'111'!$N$11),"x","")</f>
        <v/>
      </c>
      <c r="R1782" s="525" t="str">
        <f>IF(ISERROR(FIND('112'!$M$9,G1782,1)),"",IF((AND(FIND('112'!$M$9,G1782,1)&gt;=1,$B1782&gt;='112'!$N$8,$B1782&lt;='112'!$O$8,OR($L1782='112'!$I$6,$M1782='112'!$I$6))),"x",""))</f>
        <v/>
      </c>
      <c r="S1782" s="525" t="str">
        <f>IF(ISERROR(FIND('112'!$M$9,G1782,1)),"",IF((AND(LEFT(G1782,2)=LEFT('112'!$M$9,2),B1782&lt;'112'!$N$8,$L1782='112'!$I$6)),"x",""))</f>
        <v/>
      </c>
      <c r="T1782" s="525" t="str">
        <f>IF(ISERROR(FIND('112'!$M$9,G1782,1)),"",IF((AND(RIGHT(G1782,2)=RIGHT('112'!$M$9,2),B1782&lt;'112'!$N$8,$M1782='112'!$I$6)),"x",""))</f>
        <v/>
      </c>
      <c r="U1782" s="525" t="str">
        <f>IF(AND(B1782&gt;='IN-NX'!$P$3,B1782&lt;='IN-NX'!$Q$3,'IN-NX'!$D$7=D1782,OR(LEFT(L1782,2)="15",AND(LEFT(M1782,2)&lt;&gt;"15",LEFT(M1782,2)&lt;&gt;"33"))),"x","")</f>
        <v/>
      </c>
      <c r="V1782" s="525" t="str">
        <f>IF(AND(OR(LEFT(TH!L1782,2)="15",LEFT(TH!M1782,2)="15"),'152-CT'!$J$8=TH!F1782),"x","")</f>
        <v/>
      </c>
      <c r="W1782" s="525" t="str">
        <f>IF(AND(OR(LEFT(TH!L1782,2)="15",LEFT(TH!M1782,2)="15"),TK!$E$7=TH!F1782),"x","")</f>
        <v/>
      </c>
      <c r="X1782" s="525" t="str">
        <f>IF(AND('341-CT'!$E$9=H1782,OR(LEFT(L1782,3)=$X$7,LEFT(M1782,3)=$X$7)),"x","")</f>
        <v/>
      </c>
      <c r="Y1782" s="525" t="str">
        <f>IF(OR(TH!L1782=TH!$Y$7,M1782=TH!$Y$7),"x","")</f>
        <v/>
      </c>
      <c r="Z1782" s="525" t="str">
        <f>IF(AND(B1782&lt;=NKC!$N$8,B1782&gt;=NKC!$M$8),"x","")</f>
        <v>x</v>
      </c>
      <c r="AA1782" s="526"/>
      <c r="AB1782" s="527"/>
      <c r="AD1782" s="527"/>
    </row>
    <row r="1783" spans="1:31" s="576" customFormat="1" ht="15.75" customHeight="1">
      <c r="A1783" s="517" t="str">
        <f>IF(B1783&lt;&gt;"",IF(AND(B1783&gt;=_TM1,B1783&lt;=_TM2,OR(TH!L1783="1111",TH!M1783="1111")),TH!D1783,""),"")</f>
        <v/>
      </c>
      <c r="B1783" s="518">
        <f t="shared" si="174"/>
        <v>2</v>
      </c>
      <c r="C1783" s="571">
        <f t="shared" si="172"/>
        <v>42780</v>
      </c>
      <c r="D1783" s="519" t="s">
        <v>997</v>
      </c>
      <c r="E1783" s="590">
        <v>42780</v>
      </c>
      <c r="F1783" s="577" t="s">
        <v>355</v>
      </c>
      <c r="G1783" s="579" t="s">
        <v>531</v>
      </c>
      <c r="H1783" s="574" t="s">
        <v>801</v>
      </c>
      <c r="I1783" s="523">
        <v>12</v>
      </c>
      <c r="J1783" s="523">
        <v>15246</v>
      </c>
      <c r="K1783" s="575">
        <f t="shared" si="173"/>
        <v>182952</v>
      </c>
      <c r="L1783" s="591" t="s">
        <v>158</v>
      </c>
      <c r="M1783" s="591" t="s">
        <v>292</v>
      </c>
      <c r="N1783" s="525" t="str">
        <f>IF(AND('331-CT'!$E$7=TH!H1783,OR(L1783="331",M1783="331")),"331",IF(AND(OR(L1783="131",M1783="131"),H1783='131-CT'!$E$7),"131",""))</f>
        <v/>
      </c>
      <c r="O1783" s="525" t="str">
        <f>IF(AND($B1783&gt;='111'!$N$11,$B1783&lt;='111'!$O$11,OR($L1783=$O$7,$M1783=$O$7)),"x","")</f>
        <v/>
      </c>
      <c r="P1783" s="525" t="str">
        <f>IF(AND($L1783=$O$7,$B1783&lt;'111'!$N$11),"x","")</f>
        <v/>
      </c>
      <c r="Q1783" s="525" t="str">
        <f>IF(AND($M1783=$O$7,$B1783&lt;'111'!$N$11),"x","")</f>
        <v/>
      </c>
      <c r="R1783" s="525" t="str">
        <f>IF(ISERROR(FIND('112'!$M$9,G1783,1)),"",IF((AND(FIND('112'!$M$9,G1783,1)&gt;=1,$B1783&gt;='112'!$N$8,$B1783&lt;='112'!$O$8,OR($L1783='112'!$I$6,$M1783='112'!$I$6))),"x",""))</f>
        <v/>
      </c>
      <c r="S1783" s="525" t="str">
        <f>IF(ISERROR(FIND('112'!$M$9,G1783,1)),"",IF((AND(LEFT(G1783,2)=LEFT('112'!$M$9,2),B1783&lt;'112'!$N$8,$L1783='112'!$I$6)),"x",""))</f>
        <v/>
      </c>
      <c r="T1783" s="525" t="str">
        <f>IF(ISERROR(FIND('112'!$M$9,G1783,1)),"",IF((AND(RIGHT(G1783,2)=RIGHT('112'!$M$9,2),B1783&lt;'112'!$N$8,$M1783='112'!$I$6)),"x",""))</f>
        <v/>
      </c>
      <c r="U1783" s="525" t="str">
        <f>IF(AND(B1783&gt;='IN-NX'!$P$3,B1783&lt;='IN-NX'!$Q$3,'IN-NX'!$D$7=D1783,OR(LEFT(L1783,2)="15",AND(LEFT(M1783,2)&lt;&gt;"15",LEFT(M1783,2)&lt;&gt;"33"))),"x","")</f>
        <v/>
      </c>
      <c r="V1783" s="525" t="str">
        <f>IF(AND(OR(LEFT(TH!L1783,2)="15",LEFT(TH!M1783,2)="15"),'152-CT'!$J$8=TH!F1783),"x","")</f>
        <v/>
      </c>
      <c r="W1783" s="525" t="str">
        <f>IF(AND(OR(LEFT(TH!L1783,2)="15",LEFT(TH!M1783,2)="15"),TK!$E$7=TH!F1783),"x","")</f>
        <v/>
      </c>
      <c r="X1783" s="525" t="str">
        <f>IF(AND('341-CT'!$E$9=H1783,OR(LEFT(L1783,3)=$X$7,LEFT(M1783,3)=$X$7)),"x","")</f>
        <v/>
      </c>
      <c r="Y1783" s="525" t="str">
        <f>IF(OR(TH!L1783=TH!$Y$7,M1783=TH!$Y$7),"x","")</f>
        <v/>
      </c>
      <c r="Z1783" s="525" t="str">
        <f>IF(AND(B1783&lt;=NKC!$N$8,B1783&gt;=NKC!$M$8),"x","")</f>
        <v>x</v>
      </c>
      <c r="AA1783" s="526"/>
      <c r="AB1783" s="527"/>
      <c r="AD1783" s="527"/>
    </row>
    <row r="1784" spans="1:31" s="576" customFormat="1" ht="15.75" customHeight="1">
      <c r="A1784" s="517" t="str">
        <f>IF(B1784&lt;&gt;"",IF(AND(B1784&gt;=_TM1,B1784&lt;=_TM2,OR(TH!L1784="1111",TH!M1784="1111")),TH!D1784,""),"")</f>
        <v/>
      </c>
      <c r="B1784" s="518">
        <f t="shared" si="174"/>
        <v>2</v>
      </c>
      <c r="C1784" s="571">
        <f t="shared" si="172"/>
        <v>42788</v>
      </c>
      <c r="D1784" s="519" t="s">
        <v>997</v>
      </c>
      <c r="E1784" s="578">
        <v>42788</v>
      </c>
      <c r="F1784" s="572" t="s">
        <v>355</v>
      </c>
      <c r="G1784" s="579" t="s">
        <v>540</v>
      </c>
      <c r="H1784" s="574" t="s">
        <v>801</v>
      </c>
      <c r="I1784" s="523">
        <v>35</v>
      </c>
      <c r="J1784" s="523">
        <v>15246</v>
      </c>
      <c r="K1784" s="575">
        <f t="shared" si="173"/>
        <v>533610</v>
      </c>
      <c r="L1784" s="591" t="s">
        <v>158</v>
      </c>
      <c r="M1784" s="591" t="s">
        <v>292</v>
      </c>
      <c r="N1784" s="525" t="str">
        <f>IF(AND('331-CT'!$E$7=TH!H1784,OR(L1784="331",M1784="331")),"331",IF(AND(OR(L1784="131",M1784="131"),H1784='131-CT'!$E$7),"131",""))</f>
        <v/>
      </c>
      <c r="O1784" s="525" t="str">
        <f>IF(AND($B1784&gt;='111'!$N$11,$B1784&lt;='111'!$O$11,OR($L1784=$O$7,$M1784=$O$7)),"x","")</f>
        <v/>
      </c>
      <c r="P1784" s="525" t="str">
        <f>IF(AND($L1784=$O$7,$B1784&lt;'111'!$N$11),"x","")</f>
        <v/>
      </c>
      <c r="Q1784" s="525" t="str">
        <f>IF(AND($M1784=$O$7,$B1784&lt;'111'!$N$11),"x","")</f>
        <v/>
      </c>
      <c r="R1784" s="525" t="str">
        <f>IF(ISERROR(FIND('112'!$M$9,G1784,1)),"",IF((AND(FIND('112'!$M$9,G1784,1)&gt;=1,$B1784&gt;='112'!$N$8,$B1784&lt;='112'!$O$8,OR($L1784='112'!$I$6,$M1784='112'!$I$6))),"x",""))</f>
        <v/>
      </c>
      <c r="S1784" s="525" t="str">
        <f>IF(ISERROR(FIND('112'!$M$9,G1784,1)),"",IF((AND(LEFT(G1784,2)=LEFT('112'!$M$9,2),B1784&lt;'112'!$N$8,$L1784='112'!$I$6)),"x",""))</f>
        <v/>
      </c>
      <c r="T1784" s="525" t="str">
        <f>IF(ISERROR(FIND('112'!$M$9,G1784,1)),"",IF((AND(RIGHT(G1784,2)=RIGHT('112'!$M$9,2),B1784&lt;'112'!$N$8,$M1784='112'!$I$6)),"x",""))</f>
        <v/>
      </c>
      <c r="U1784" s="525" t="str">
        <f>IF(AND(B1784&gt;='IN-NX'!$P$3,B1784&lt;='IN-NX'!$Q$3,'IN-NX'!$D$7=D1784,OR(LEFT(L1784,2)="15",AND(LEFT(M1784,2)&lt;&gt;"15",LEFT(M1784,2)&lt;&gt;"33"))),"x","")</f>
        <v/>
      </c>
      <c r="V1784" s="525" t="str">
        <f>IF(AND(OR(LEFT(TH!L1784,2)="15",LEFT(TH!M1784,2)="15"),'152-CT'!$J$8=TH!F1784),"x","")</f>
        <v/>
      </c>
      <c r="W1784" s="525" t="str">
        <f>IF(AND(OR(LEFT(TH!L1784,2)="15",LEFT(TH!M1784,2)="15"),TK!$E$7=TH!F1784),"x","")</f>
        <v/>
      </c>
      <c r="X1784" s="525" t="str">
        <f>IF(AND('341-CT'!$E$9=H1784,OR(LEFT(L1784,3)=$X$7,LEFT(M1784,3)=$X$7)),"x","")</f>
        <v/>
      </c>
      <c r="Y1784" s="525" t="str">
        <f>IF(OR(TH!L1784=TH!$Y$7,M1784=TH!$Y$7),"x","")</f>
        <v/>
      </c>
      <c r="Z1784" s="525" t="str">
        <f>IF(AND(B1784&lt;=NKC!$N$8,B1784&gt;=NKC!$M$8),"x","")</f>
        <v>x</v>
      </c>
      <c r="AA1784" s="526"/>
      <c r="AB1784" s="527"/>
      <c r="AE1784" s="527"/>
    </row>
    <row r="1785" spans="1:31" s="576" customFormat="1" ht="15.75" customHeight="1">
      <c r="A1785" s="517" t="str">
        <f>IF(B1785&lt;&gt;"",IF(AND(B1785&gt;=_TM1,B1785&lt;=_TM2,OR(TH!L1785="1111",TH!M1785="1111")),TH!D1785,""),"")</f>
        <v/>
      </c>
      <c r="B1785" s="518">
        <f t="shared" si="174"/>
        <v>2</v>
      </c>
      <c r="C1785" s="571">
        <f t="shared" si="172"/>
        <v>42788</v>
      </c>
      <c r="D1785" s="519" t="s">
        <v>997</v>
      </c>
      <c r="E1785" s="590">
        <v>42788</v>
      </c>
      <c r="F1785" s="577" t="s">
        <v>524</v>
      </c>
      <c r="G1785" s="573" t="s">
        <v>540</v>
      </c>
      <c r="H1785" s="574" t="s">
        <v>801</v>
      </c>
      <c r="I1785" s="523">
        <v>17</v>
      </c>
      <c r="J1785" s="523">
        <v>48270.491071428572</v>
      </c>
      <c r="K1785" s="575">
        <f t="shared" si="173"/>
        <v>820598</v>
      </c>
      <c r="L1785" s="591" t="s">
        <v>158</v>
      </c>
      <c r="M1785" s="591" t="s">
        <v>292</v>
      </c>
      <c r="N1785" s="525" t="str">
        <f>IF(AND('331-CT'!$E$7=TH!H1785,OR(L1785="331",M1785="331")),"331",IF(AND(OR(L1785="131",M1785="131"),H1785='131-CT'!$E$7),"131",""))</f>
        <v/>
      </c>
      <c r="O1785" s="525" t="str">
        <f>IF(AND($B1785&gt;='111'!$N$11,$B1785&lt;='111'!$O$11,OR($L1785=$O$7,$M1785=$O$7)),"x","")</f>
        <v/>
      </c>
      <c r="P1785" s="525" t="str">
        <f>IF(AND($L1785=$O$7,$B1785&lt;'111'!$N$11),"x","")</f>
        <v/>
      </c>
      <c r="Q1785" s="525" t="str">
        <f>IF(AND($M1785=$O$7,$B1785&lt;'111'!$N$11),"x","")</f>
        <v/>
      </c>
      <c r="R1785" s="525" t="str">
        <f>IF(ISERROR(FIND('112'!$M$9,G1785,1)),"",IF((AND(FIND('112'!$M$9,G1785,1)&gt;=1,$B1785&gt;='112'!$N$8,$B1785&lt;='112'!$O$8,OR($L1785='112'!$I$6,$M1785='112'!$I$6))),"x",""))</f>
        <v/>
      </c>
      <c r="S1785" s="525" t="str">
        <f>IF(ISERROR(FIND('112'!$M$9,G1785,1)),"",IF((AND(LEFT(G1785,2)=LEFT('112'!$M$9,2),B1785&lt;'112'!$N$8,$L1785='112'!$I$6)),"x",""))</f>
        <v/>
      </c>
      <c r="T1785" s="525" t="str">
        <f>IF(ISERROR(FIND('112'!$M$9,G1785,1)),"",IF((AND(RIGHT(G1785,2)=RIGHT('112'!$M$9,2),B1785&lt;'112'!$N$8,$M1785='112'!$I$6)),"x",""))</f>
        <v/>
      </c>
      <c r="U1785" s="525" t="str">
        <f>IF(AND(B1785&gt;='IN-NX'!$P$3,B1785&lt;='IN-NX'!$Q$3,'IN-NX'!$D$7=D1785,OR(LEFT(L1785,2)="15",AND(LEFT(M1785,2)&lt;&gt;"15",LEFT(M1785,2)&lt;&gt;"33"))),"x","")</f>
        <v/>
      </c>
      <c r="V1785" s="525" t="str">
        <f>IF(AND(OR(LEFT(TH!L1785,2)="15",LEFT(TH!M1785,2)="15"),'152-CT'!$J$8=TH!F1785),"x","")</f>
        <v/>
      </c>
      <c r="W1785" s="525" t="str">
        <f>IF(AND(OR(LEFT(TH!L1785,2)="15",LEFT(TH!M1785,2)="15"),TK!$E$7=TH!F1785),"x","")</f>
        <v/>
      </c>
      <c r="X1785" s="525" t="str">
        <f>IF(AND('341-CT'!$E$9=H1785,OR(LEFT(L1785,3)=$X$7,LEFT(M1785,3)=$X$7)),"x","")</f>
        <v/>
      </c>
      <c r="Y1785" s="525" t="str">
        <f>IF(OR(TH!L1785=TH!$Y$7,M1785=TH!$Y$7),"x","")</f>
        <v/>
      </c>
      <c r="Z1785" s="525" t="str">
        <f>IF(AND(B1785&lt;=NKC!$N$8,B1785&gt;=NKC!$M$8),"x","")</f>
        <v>x</v>
      </c>
      <c r="AA1785" s="526"/>
      <c r="AB1785" s="527"/>
      <c r="AD1785" s="527"/>
    </row>
    <row r="1786" spans="1:31" s="576" customFormat="1" ht="15.75" customHeight="1">
      <c r="A1786" s="517" t="str">
        <f>IF(B1786&lt;&gt;"",IF(AND(B1786&gt;=_TM1,B1786&lt;=_TM2,OR(TH!L1786="1111",TH!M1786="1111")),TH!D1786,""),"")</f>
        <v/>
      </c>
      <c r="B1786" s="518">
        <f t="shared" si="174"/>
        <v>2</v>
      </c>
      <c r="C1786" s="571">
        <f t="shared" si="172"/>
        <v>42789</v>
      </c>
      <c r="D1786" s="519" t="s">
        <v>997</v>
      </c>
      <c r="E1786" s="590">
        <v>42789</v>
      </c>
      <c r="F1786" s="577" t="s">
        <v>524</v>
      </c>
      <c r="G1786" s="573" t="s">
        <v>541</v>
      </c>
      <c r="H1786" s="574" t="s">
        <v>801</v>
      </c>
      <c r="I1786" s="523">
        <v>4</v>
      </c>
      <c r="J1786" s="523">
        <v>48270.491071428572</v>
      </c>
      <c r="K1786" s="575">
        <f t="shared" si="173"/>
        <v>193082</v>
      </c>
      <c r="L1786" s="591" t="s">
        <v>158</v>
      </c>
      <c r="M1786" s="591" t="s">
        <v>292</v>
      </c>
      <c r="N1786" s="525" t="str">
        <f>IF(AND('331-CT'!$E$7=TH!H1786,OR(L1786="331",M1786="331")),"331",IF(AND(OR(L1786="131",M1786="131"),H1786='131-CT'!$E$7),"131",""))</f>
        <v/>
      </c>
      <c r="O1786" s="525" t="str">
        <f>IF(AND($B1786&gt;='111'!$N$11,$B1786&lt;='111'!$O$11,OR($L1786=$O$7,$M1786=$O$7)),"x","")</f>
        <v/>
      </c>
      <c r="P1786" s="525" t="str">
        <f>IF(AND($L1786=$O$7,$B1786&lt;'111'!$N$11),"x","")</f>
        <v/>
      </c>
      <c r="Q1786" s="525" t="str">
        <f>IF(AND($M1786=$O$7,$B1786&lt;'111'!$N$11),"x","")</f>
        <v/>
      </c>
      <c r="R1786" s="525" t="str">
        <f>IF(ISERROR(FIND('112'!$M$9,G1786,1)),"",IF((AND(FIND('112'!$M$9,G1786,1)&gt;=1,$B1786&gt;='112'!$N$8,$B1786&lt;='112'!$O$8,OR($L1786='112'!$I$6,$M1786='112'!$I$6))),"x",""))</f>
        <v/>
      </c>
      <c r="S1786" s="525" t="str">
        <f>IF(ISERROR(FIND('112'!$M$9,G1786,1)),"",IF((AND(LEFT(G1786,2)=LEFT('112'!$M$9,2),B1786&lt;'112'!$N$8,$L1786='112'!$I$6)),"x",""))</f>
        <v/>
      </c>
      <c r="T1786" s="525" t="str">
        <f>IF(ISERROR(FIND('112'!$M$9,G1786,1)),"",IF((AND(RIGHT(G1786,2)=RIGHT('112'!$M$9,2),B1786&lt;'112'!$N$8,$M1786='112'!$I$6)),"x",""))</f>
        <v/>
      </c>
      <c r="U1786" s="525" t="str">
        <f>IF(AND(B1786&gt;='IN-NX'!$P$3,B1786&lt;='IN-NX'!$Q$3,'IN-NX'!$D$7=D1786,OR(LEFT(L1786,2)="15",AND(LEFT(M1786,2)&lt;&gt;"15",LEFT(M1786,2)&lt;&gt;"33"))),"x","")</f>
        <v/>
      </c>
      <c r="V1786" s="525" t="str">
        <f>IF(AND(OR(LEFT(TH!L1786,2)="15",LEFT(TH!M1786,2)="15"),'152-CT'!$J$8=TH!F1786),"x","")</f>
        <v/>
      </c>
      <c r="W1786" s="525" t="str">
        <f>IF(AND(OR(LEFT(TH!L1786,2)="15",LEFT(TH!M1786,2)="15"),TK!$E$7=TH!F1786),"x","")</f>
        <v/>
      </c>
      <c r="X1786" s="525" t="str">
        <f>IF(AND('341-CT'!$E$9=H1786,OR(LEFT(L1786,3)=$X$7,LEFT(M1786,3)=$X$7)),"x","")</f>
        <v/>
      </c>
      <c r="Y1786" s="525" t="str">
        <f>IF(OR(TH!L1786=TH!$Y$7,M1786=TH!$Y$7),"x","")</f>
        <v/>
      </c>
      <c r="Z1786" s="525" t="str">
        <f>IF(AND(B1786&lt;=NKC!$N$8,B1786&gt;=NKC!$M$8),"x","")</f>
        <v>x</v>
      </c>
      <c r="AA1786" s="526"/>
      <c r="AB1786" s="527"/>
      <c r="AD1786" s="527"/>
    </row>
    <row r="1787" spans="1:31" s="576" customFormat="1" ht="15.75" customHeight="1">
      <c r="A1787" s="517" t="str">
        <f>IF(B1787&lt;&gt;"",IF(AND(B1787&gt;=_TM1,B1787&lt;=_TM2,OR(TH!L1787="1111",TH!M1787="1111")),TH!D1787,""),"")</f>
        <v/>
      </c>
      <c r="B1787" s="518">
        <f>IF(C1787&lt;&gt;"",MONTH(C1787),"")</f>
        <v>2</v>
      </c>
      <c r="C1787" s="571">
        <f>E1787</f>
        <v>42789</v>
      </c>
      <c r="D1787" s="519" t="s">
        <v>997</v>
      </c>
      <c r="E1787" s="578">
        <v>42789</v>
      </c>
      <c r="F1787" s="572" t="s">
        <v>524</v>
      </c>
      <c r="G1787" s="573" t="s">
        <v>542</v>
      </c>
      <c r="H1787" s="574" t="s">
        <v>801</v>
      </c>
      <c r="I1787" s="523">
        <v>46</v>
      </c>
      <c r="J1787" s="523">
        <v>48270.491071428572</v>
      </c>
      <c r="K1787" s="575">
        <f>ROUND(I1787*J1787,0)</f>
        <v>2220443</v>
      </c>
      <c r="L1787" s="591" t="s">
        <v>158</v>
      </c>
      <c r="M1787" s="591" t="s">
        <v>292</v>
      </c>
      <c r="N1787" s="525" t="str">
        <f>IF(AND('331-CT'!$E$7=TH!H1787,OR(L1787="331",M1787="331")),"331",IF(AND(OR(L1787="131",M1787="131"),H1787='131-CT'!$E$7),"131",""))</f>
        <v/>
      </c>
      <c r="O1787" s="525" t="str">
        <f>IF(AND($B1787&gt;='111'!$N$11,$B1787&lt;='111'!$O$11,OR($L1787=$O$7,$M1787=$O$7)),"x","")</f>
        <v/>
      </c>
      <c r="P1787" s="525" t="str">
        <f>IF(AND($L1787=$O$7,$B1787&lt;'111'!$N$11),"x","")</f>
        <v/>
      </c>
      <c r="Q1787" s="525" t="str">
        <f>IF(AND($M1787=$O$7,$B1787&lt;'111'!$N$11),"x","")</f>
        <v/>
      </c>
      <c r="R1787" s="525" t="str">
        <f>IF(ISERROR(FIND('112'!$M$9,G1787,1)),"",IF((AND(FIND('112'!$M$9,G1787,1)&gt;=1,$B1787&gt;='112'!$N$8,$B1787&lt;='112'!$O$8,OR($L1787='112'!$I$6,$M1787='112'!$I$6))),"x",""))</f>
        <v/>
      </c>
      <c r="S1787" s="525" t="str">
        <f>IF(ISERROR(FIND('112'!$M$9,G1787,1)),"",IF((AND(LEFT(G1787,2)=LEFT('112'!$M$9,2),B1787&lt;'112'!$N$8,$L1787='112'!$I$6)),"x",""))</f>
        <v/>
      </c>
      <c r="T1787" s="525" t="str">
        <f>IF(ISERROR(FIND('112'!$M$9,G1787,1)),"",IF((AND(RIGHT(G1787,2)=RIGHT('112'!$M$9,2),B1787&lt;'112'!$N$8,$M1787='112'!$I$6)),"x",""))</f>
        <v/>
      </c>
      <c r="U1787" s="525" t="str">
        <f>IF(AND(B1787&gt;='IN-NX'!$P$3,B1787&lt;='IN-NX'!$Q$3,'IN-NX'!$D$7=D1787,OR(LEFT(L1787,2)="15",AND(LEFT(M1787,2)&lt;&gt;"15",LEFT(M1787,2)&lt;&gt;"33"))),"x","")</f>
        <v/>
      </c>
      <c r="V1787" s="525" t="str">
        <f>IF(AND(OR(LEFT(TH!L1787,2)="15",LEFT(TH!M1787,2)="15"),'152-CT'!$J$8=TH!F1787),"x","")</f>
        <v/>
      </c>
      <c r="W1787" s="525" t="str">
        <f>IF(AND(OR(LEFT(TH!L1787,2)="15",LEFT(TH!M1787,2)="15"),TK!$E$7=TH!F1787),"x","")</f>
        <v/>
      </c>
      <c r="X1787" s="525" t="str">
        <f>IF(AND('341-CT'!$E$9=H1787,OR(LEFT(L1787,3)=$X$7,LEFT(M1787,3)=$X$7)),"x","")</f>
        <v/>
      </c>
      <c r="Y1787" s="525" t="str">
        <f>IF(OR(TH!L1787=TH!$Y$7,M1787=TH!$Y$7),"x","")</f>
        <v/>
      </c>
      <c r="Z1787" s="525" t="str">
        <f>IF(AND(B1787&lt;=NKC!$N$8,B1787&gt;=NKC!$M$8),"x","")</f>
        <v>x</v>
      </c>
      <c r="AA1787" s="526"/>
      <c r="AB1787" s="527"/>
      <c r="AE1787" s="527"/>
    </row>
    <row r="1788" spans="1:31" s="576" customFormat="1" ht="15.75" customHeight="1">
      <c r="A1788" s="517" t="str">
        <f>IF(B1788&lt;&gt;"",IF(AND(B1788&gt;=_TM1,B1788&lt;=_TM2,OR(TH!L1788="1111",TH!M1788="1111")),TH!D1788,""),"")</f>
        <v/>
      </c>
      <c r="B1788" s="518">
        <f t="shared" si="174"/>
        <v>2</v>
      </c>
      <c r="C1788" s="571">
        <f t="shared" si="172"/>
        <v>42791</v>
      </c>
      <c r="D1788" s="519" t="s">
        <v>997</v>
      </c>
      <c r="E1788" s="578">
        <v>42791</v>
      </c>
      <c r="F1788" s="572" t="s">
        <v>524</v>
      </c>
      <c r="G1788" s="573" t="s">
        <v>544</v>
      </c>
      <c r="H1788" s="574" t="s">
        <v>801</v>
      </c>
      <c r="I1788" s="523">
        <v>1</v>
      </c>
      <c r="J1788" s="523">
        <v>48269</v>
      </c>
      <c r="K1788" s="575">
        <f t="shared" si="173"/>
        <v>48269</v>
      </c>
      <c r="L1788" s="591" t="s">
        <v>158</v>
      </c>
      <c r="M1788" s="591" t="s">
        <v>292</v>
      </c>
      <c r="N1788" s="525" t="str">
        <f>IF(AND('331-CT'!$E$7=TH!H1788,OR(L1788="331",M1788="331")),"331",IF(AND(OR(L1788="131",M1788="131"),H1788='131-CT'!$E$7),"131",""))</f>
        <v/>
      </c>
      <c r="O1788" s="525" t="str">
        <f>IF(AND($B1788&gt;='111'!$N$11,$B1788&lt;='111'!$O$11,OR($L1788=$O$7,$M1788=$O$7)),"x","")</f>
        <v/>
      </c>
      <c r="P1788" s="525" t="str">
        <f>IF(AND($L1788=$O$7,$B1788&lt;'111'!$N$11),"x","")</f>
        <v/>
      </c>
      <c r="Q1788" s="525" t="str">
        <f>IF(AND($M1788=$O$7,$B1788&lt;'111'!$N$11),"x","")</f>
        <v/>
      </c>
      <c r="R1788" s="525" t="str">
        <f>IF(ISERROR(FIND('112'!$M$9,G1788,1)),"",IF((AND(FIND('112'!$M$9,G1788,1)&gt;=1,$B1788&gt;='112'!$N$8,$B1788&lt;='112'!$O$8,OR($L1788='112'!$I$6,$M1788='112'!$I$6))),"x",""))</f>
        <v/>
      </c>
      <c r="S1788" s="525" t="str">
        <f>IF(ISERROR(FIND('112'!$M$9,G1788,1)),"",IF((AND(LEFT(G1788,2)=LEFT('112'!$M$9,2),B1788&lt;'112'!$N$8,$L1788='112'!$I$6)),"x",""))</f>
        <v/>
      </c>
      <c r="T1788" s="525" t="str">
        <f>IF(ISERROR(FIND('112'!$M$9,G1788,1)),"",IF((AND(RIGHT(G1788,2)=RIGHT('112'!$M$9,2),B1788&lt;'112'!$N$8,$M1788='112'!$I$6)),"x",""))</f>
        <v/>
      </c>
      <c r="U1788" s="525" t="str">
        <f>IF(AND(B1788&gt;='IN-NX'!$P$3,B1788&lt;='IN-NX'!$Q$3,'IN-NX'!$D$7=D1788,OR(LEFT(L1788,2)="15",AND(LEFT(M1788,2)&lt;&gt;"15",LEFT(M1788,2)&lt;&gt;"33"))),"x","")</f>
        <v/>
      </c>
      <c r="V1788" s="525" t="str">
        <f>IF(AND(OR(LEFT(TH!L1788,2)="15",LEFT(TH!M1788,2)="15"),'152-CT'!$J$8=TH!F1788),"x","")</f>
        <v/>
      </c>
      <c r="W1788" s="525" t="str">
        <f>IF(AND(OR(LEFT(TH!L1788,2)="15",LEFT(TH!M1788,2)="15"),TK!$E$7=TH!F1788),"x","")</f>
        <v/>
      </c>
      <c r="X1788" s="525" t="str">
        <f>IF(AND('341-CT'!$E$9=H1788,OR(LEFT(L1788,3)=$X$7,LEFT(M1788,3)=$X$7)),"x","")</f>
        <v/>
      </c>
      <c r="Y1788" s="525" t="str">
        <f>IF(OR(TH!L1788=TH!$Y$7,M1788=TH!$Y$7),"x","")</f>
        <v/>
      </c>
      <c r="Z1788" s="525" t="str">
        <f>IF(AND(B1788&lt;=NKC!$N$8,B1788&gt;=NKC!$M$8),"x","")</f>
        <v>x</v>
      </c>
      <c r="AA1788" s="526"/>
      <c r="AB1788" s="527"/>
      <c r="AE1788" s="527"/>
    </row>
    <row r="1789" spans="1:31" s="689" customFormat="1" ht="15.75" customHeight="1">
      <c r="A1789" s="517" t="str">
        <f>IF(B1789&lt;&gt;"",IF(AND(B1789&gt;=_TM1,B1789&lt;=_TM2,OR(TH!L1789="1111",TH!M1789="1111")),TH!D1789,""),"")</f>
        <v/>
      </c>
      <c r="B1789" s="685">
        <f t="shared" si="174"/>
        <v>2</v>
      </c>
      <c r="C1789" s="671">
        <f t="shared" si="172"/>
        <v>42772</v>
      </c>
      <c r="D1789" s="671" t="s">
        <v>376</v>
      </c>
      <c r="E1789" s="672">
        <v>42772</v>
      </c>
      <c r="F1789" s="673" t="s">
        <v>493</v>
      </c>
      <c r="G1789" s="686" t="s">
        <v>528</v>
      </c>
      <c r="H1789" s="675" t="s">
        <v>893</v>
      </c>
      <c r="I1789" s="676">
        <v>4400</v>
      </c>
      <c r="J1789" s="676">
        <v>9649.9898770559066</v>
      </c>
      <c r="K1789" s="677">
        <f t="shared" si="173"/>
        <v>42459955</v>
      </c>
      <c r="L1789" s="678" t="s">
        <v>292</v>
      </c>
      <c r="M1789" s="678" t="s">
        <v>158</v>
      </c>
      <c r="N1789" s="525" t="str">
        <f>IF(AND('331-CT'!$E$7=TH!H1789,OR(L1789="331",M1789="331")),"331",IF(AND(OR(L1789="131",M1789="131"),H1789='131-CT'!$E$7),"131",""))</f>
        <v/>
      </c>
      <c r="O1789" s="525" t="str">
        <f>IF(AND($B1789&gt;='111'!$N$11,$B1789&lt;='111'!$O$11,OR($L1789=$O$7,$M1789=$O$7)),"x","")</f>
        <v/>
      </c>
      <c r="P1789" s="525" t="str">
        <f>IF(AND($L1789=$O$7,$B1789&lt;'111'!$N$11),"x","")</f>
        <v/>
      </c>
      <c r="Q1789" s="525" t="str">
        <f>IF(AND($M1789=$O$7,$B1789&lt;'111'!$N$11),"x","")</f>
        <v/>
      </c>
      <c r="R1789" s="525" t="str">
        <f>IF(ISERROR(FIND('112'!$M$9,G1789,1)),"",IF((AND(FIND('112'!$M$9,G1789,1)&gt;=1,$B1789&gt;='112'!$N$8,$B1789&lt;='112'!$O$8,OR($L1789='112'!$I$6,$M1789='112'!$I$6))),"x",""))</f>
        <v/>
      </c>
      <c r="S1789" s="525" t="str">
        <f>IF(ISERROR(FIND('112'!$M$9,G1789,1)),"",IF((AND(LEFT(G1789,2)=LEFT('112'!$M$9,2),B1789&lt;'112'!$N$8,$L1789='112'!$I$6)),"x",""))</f>
        <v/>
      </c>
      <c r="T1789" s="525" t="str">
        <f>IF(ISERROR(FIND('112'!$M$9,G1789,1)),"",IF((AND(RIGHT(G1789,2)=RIGHT('112'!$M$9,2),B1789&lt;'112'!$N$8,$M1789='112'!$I$6)),"x",""))</f>
        <v/>
      </c>
      <c r="U1789" s="525" t="str">
        <f>IF(AND(B1789&gt;='IN-NX'!$P$3,B1789&lt;='IN-NX'!$Q$3,'IN-NX'!$D$7=D1789,OR(LEFT(L1789,2)="15",AND(LEFT(M1789,2)&lt;&gt;"15",LEFT(M1789,2)&lt;&gt;"33"))),"x","")</f>
        <v/>
      </c>
      <c r="V1789" s="525" t="str">
        <f>IF(AND(OR(LEFT(TH!L1789,2)="15",LEFT(TH!M1789,2)="15"),'152-CT'!$J$8=TH!F1789),"x","")</f>
        <v/>
      </c>
      <c r="W1789" s="525" t="str">
        <f>IF(AND(OR(LEFT(TH!L1789,2)="15",LEFT(TH!M1789,2)="15"),TK!$E$7=TH!F1789),"x","")</f>
        <v/>
      </c>
      <c r="X1789" s="525" t="str">
        <f>IF(AND('341-CT'!$E$9=H1789,OR(LEFT(L1789,3)=$X$7,LEFT(M1789,3)=$X$7)),"x","")</f>
        <v/>
      </c>
      <c r="Y1789" s="525" t="str">
        <f>IF(OR(TH!L1789=TH!$Y$7,M1789=TH!$Y$7),"x","")</f>
        <v/>
      </c>
      <c r="Z1789" s="525" t="str">
        <f>IF(AND(B1789&lt;=NKC!$N$8,B1789&gt;=NKC!$M$8),"x","")</f>
        <v>x</v>
      </c>
      <c r="AA1789" s="687"/>
      <c r="AB1789" s="688"/>
      <c r="AC1789" s="503"/>
      <c r="AE1789" s="688"/>
    </row>
    <row r="1790" spans="1:31" s="689" customFormat="1" ht="15.75" customHeight="1">
      <c r="A1790" s="517" t="str">
        <f>IF(B1790&lt;&gt;"",IF(AND(B1790&gt;=_TM1,B1790&lt;=_TM2,OR(TH!L1790="1111",TH!M1790="1111")),TH!D1790,""),"")</f>
        <v/>
      </c>
      <c r="B1790" s="685">
        <f t="shared" si="174"/>
        <v>2</v>
      </c>
      <c r="C1790" s="671">
        <f t="shared" si="172"/>
        <v>42779</v>
      </c>
      <c r="D1790" s="671" t="s">
        <v>376</v>
      </c>
      <c r="E1790" s="672">
        <v>42779</v>
      </c>
      <c r="F1790" s="673" t="s">
        <v>500</v>
      </c>
      <c r="G1790" s="686" t="s">
        <v>530</v>
      </c>
      <c r="H1790" s="675" t="s">
        <v>893</v>
      </c>
      <c r="I1790" s="676">
        <v>300</v>
      </c>
      <c r="J1790" s="676">
        <v>8465.3248770559076</v>
      </c>
      <c r="K1790" s="677">
        <f t="shared" si="173"/>
        <v>2539597</v>
      </c>
      <c r="L1790" s="678" t="s">
        <v>292</v>
      </c>
      <c r="M1790" s="678" t="s">
        <v>158</v>
      </c>
      <c r="N1790" s="525" t="str">
        <f>IF(AND('331-CT'!$E$7=TH!H1790,OR(L1790="331",M1790="331")),"331",IF(AND(OR(L1790="131",M1790="131"),H1790='131-CT'!$E$7),"131",""))</f>
        <v/>
      </c>
      <c r="O1790" s="525" t="str">
        <f>IF(AND($B1790&gt;='111'!$N$11,$B1790&lt;='111'!$O$11,OR($L1790=$O$7,$M1790=$O$7)),"x","")</f>
        <v/>
      </c>
      <c r="P1790" s="525" t="str">
        <f>IF(AND($L1790=$O$7,$B1790&lt;'111'!$N$11),"x","")</f>
        <v/>
      </c>
      <c r="Q1790" s="525" t="str">
        <f>IF(AND($M1790=$O$7,$B1790&lt;'111'!$N$11),"x","")</f>
        <v/>
      </c>
      <c r="R1790" s="525" t="str">
        <f>IF(ISERROR(FIND('112'!$M$9,G1790,1)),"",IF((AND(FIND('112'!$M$9,G1790,1)&gt;=1,$B1790&gt;='112'!$N$8,$B1790&lt;='112'!$O$8,OR($L1790='112'!$I$6,$M1790='112'!$I$6))),"x",""))</f>
        <v/>
      </c>
      <c r="S1790" s="525" t="str">
        <f>IF(ISERROR(FIND('112'!$M$9,G1790,1)),"",IF((AND(LEFT(G1790,2)=LEFT('112'!$M$9,2),B1790&lt;'112'!$N$8,$L1790='112'!$I$6)),"x",""))</f>
        <v/>
      </c>
      <c r="T1790" s="525" t="str">
        <f>IF(ISERROR(FIND('112'!$M$9,G1790,1)),"",IF((AND(RIGHT(G1790,2)=RIGHT('112'!$M$9,2),B1790&lt;'112'!$N$8,$M1790='112'!$I$6)),"x",""))</f>
        <v/>
      </c>
      <c r="U1790" s="525" t="str">
        <f>IF(AND(B1790&gt;='IN-NX'!$P$3,B1790&lt;='IN-NX'!$Q$3,'IN-NX'!$D$7=D1790,OR(LEFT(L1790,2)="15",AND(LEFT(M1790,2)&lt;&gt;"15",LEFT(M1790,2)&lt;&gt;"33"))),"x","")</f>
        <v/>
      </c>
      <c r="V1790" s="525" t="str">
        <f>IF(AND(OR(LEFT(TH!L1790,2)="15",LEFT(TH!M1790,2)="15"),'152-CT'!$J$8=TH!F1790),"x","")</f>
        <v/>
      </c>
      <c r="W1790" s="525" t="str">
        <f>IF(AND(OR(LEFT(TH!L1790,2)="15",LEFT(TH!M1790,2)="15"),TK!$E$7=TH!F1790),"x","")</f>
        <v/>
      </c>
      <c r="X1790" s="525" t="str">
        <f>IF(AND('341-CT'!$E$9=H1790,OR(LEFT(L1790,3)=$X$7,LEFT(M1790,3)=$X$7)),"x","")</f>
        <v/>
      </c>
      <c r="Y1790" s="525" t="str">
        <f>IF(OR(TH!L1790=TH!$Y$7,M1790=TH!$Y$7),"x","")</f>
        <v/>
      </c>
      <c r="Z1790" s="525" t="str">
        <f>IF(AND(B1790&lt;=NKC!$N$8,B1790&gt;=NKC!$M$8),"x","")</f>
        <v>x</v>
      </c>
      <c r="AA1790" s="687"/>
      <c r="AB1790" s="688"/>
      <c r="AC1790" s="503"/>
      <c r="AE1790" s="688"/>
    </row>
    <row r="1791" spans="1:31" s="689" customFormat="1" ht="15.75" customHeight="1">
      <c r="A1791" s="517" t="str">
        <f>IF(B1791&lt;&gt;"",IF(AND(B1791&gt;=_TM1,B1791&lt;=_TM2,OR(TH!L1791="1111",TH!M1791="1111")),TH!D1791,""),"")</f>
        <v/>
      </c>
      <c r="B1791" s="685">
        <f t="shared" si="174"/>
        <v>2</v>
      </c>
      <c r="C1791" s="671">
        <f t="shared" si="172"/>
        <v>42782</v>
      </c>
      <c r="D1791" s="671" t="s">
        <v>376</v>
      </c>
      <c r="E1791" s="672">
        <v>42782</v>
      </c>
      <c r="F1791" s="673" t="s">
        <v>558</v>
      </c>
      <c r="G1791" s="686" t="s">
        <v>531</v>
      </c>
      <c r="H1791" s="675" t="s">
        <v>893</v>
      </c>
      <c r="I1791" s="676">
        <v>400</v>
      </c>
      <c r="J1791" s="676">
        <v>18584.424877055906</v>
      </c>
      <c r="K1791" s="677">
        <f t="shared" si="173"/>
        <v>7433770</v>
      </c>
      <c r="L1791" s="678" t="s">
        <v>292</v>
      </c>
      <c r="M1791" s="678" t="s">
        <v>158</v>
      </c>
      <c r="N1791" s="525" t="str">
        <f>IF(AND('331-CT'!$E$7=TH!H1791,OR(L1791="331",M1791="331")),"331",IF(AND(OR(L1791="131",M1791="131"),H1791='131-CT'!$E$7),"131",""))</f>
        <v/>
      </c>
      <c r="O1791" s="525" t="str">
        <f>IF(AND($B1791&gt;='111'!$N$11,$B1791&lt;='111'!$O$11,OR($L1791=$O$7,$M1791=$O$7)),"x","")</f>
        <v/>
      </c>
      <c r="P1791" s="525" t="str">
        <f>IF(AND($L1791=$O$7,$B1791&lt;'111'!$N$11),"x","")</f>
        <v/>
      </c>
      <c r="Q1791" s="525" t="str">
        <f>IF(AND($M1791=$O$7,$B1791&lt;'111'!$N$11),"x","")</f>
        <v/>
      </c>
      <c r="R1791" s="525" t="str">
        <f>IF(ISERROR(FIND('112'!$M$9,G1791,1)),"",IF((AND(FIND('112'!$M$9,G1791,1)&gt;=1,$B1791&gt;='112'!$N$8,$B1791&lt;='112'!$O$8,OR($L1791='112'!$I$6,$M1791='112'!$I$6))),"x",""))</f>
        <v/>
      </c>
      <c r="S1791" s="525" t="str">
        <f>IF(ISERROR(FIND('112'!$M$9,G1791,1)),"",IF((AND(LEFT(G1791,2)=LEFT('112'!$M$9,2),B1791&lt;'112'!$N$8,$L1791='112'!$I$6)),"x",""))</f>
        <v/>
      </c>
      <c r="T1791" s="525" t="str">
        <f>IF(ISERROR(FIND('112'!$M$9,G1791,1)),"",IF((AND(RIGHT(G1791,2)=RIGHT('112'!$M$9,2),B1791&lt;'112'!$N$8,$M1791='112'!$I$6)),"x",""))</f>
        <v/>
      </c>
      <c r="U1791" s="525" t="str">
        <f>IF(AND(B1791&gt;='IN-NX'!$P$3,B1791&lt;='IN-NX'!$Q$3,'IN-NX'!$D$7=D1791,OR(LEFT(L1791,2)="15",AND(LEFT(M1791,2)&lt;&gt;"15",LEFT(M1791,2)&lt;&gt;"33"))),"x","")</f>
        <v/>
      </c>
      <c r="V1791" s="525" t="str">
        <f>IF(AND(OR(LEFT(TH!L1791,2)="15",LEFT(TH!M1791,2)="15"),'152-CT'!$J$8=TH!F1791),"x","")</f>
        <v/>
      </c>
      <c r="W1791" s="525" t="str">
        <f>IF(AND(OR(LEFT(TH!L1791,2)="15",LEFT(TH!M1791,2)="15"),TK!$E$7=TH!F1791),"x","")</f>
        <v/>
      </c>
      <c r="X1791" s="525" t="str">
        <f>IF(AND('341-CT'!$E$9=H1791,OR(LEFT(L1791,3)=$X$7,LEFT(M1791,3)=$X$7)),"x","")</f>
        <v/>
      </c>
      <c r="Y1791" s="525" t="str">
        <f>IF(OR(TH!L1791=TH!$Y$7,M1791=TH!$Y$7),"x","")</f>
        <v/>
      </c>
      <c r="Z1791" s="525" t="str">
        <f>IF(AND(B1791&lt;=NKC!$N$8,B1791&gt;=NKC!$M$8),"x","")</f>
        <v>x</v>
      </c>
      <c r="AA1791" s="687"/>
      <c r="AB1791" s="688"/>
      <c r="AC1791" s="503"/>
      <c r="AE1791" s="688"/>
    </row>
    <row r="1792" spans="1:31" s="689" customFormat="1" ht="15.75" customHeight="1">
      <c r="A1792" s="517" t="str">
        <f>IF(B1792&lt;&gt;"",IF(AND(B1792&gt;=_TM1,B1792&lt;=_TM2,OR(TH!L1792="1111",TH!M1792="1111")),TH!D1792,""),"")</f>
        <v/>
      </c>
      <c r="B1792" s="685">
        <f t="shared" si="174"/>
        <v>2</v>
      </c>
      <c r="C1792" s="671">
        <f t="shared" si="172"/>
        <v>42790</v>
      </c>
      <c r="D1792" s="671" t="s">
        <v>376</v>
      </c>
      <c r="E1792" s="672">
        <v>42790</v>
      </c>
      <c r="F1792" s="673" t="s">
        <v>504</v>
      </c>
      <c r="G1792" s="686" t="s">
        <v>540</v>
      </c>
      <c r="H1792" s="675" t="s">
        <v>893</v>
      </c>
      <c r="I1792" s="676">
        <v>150</v>
      </c>
      <c r="J1792" s="676">
        <v>35247.644877055907</v>
      </c>
      <c r="K1792" s="677">
        <f t="shared" si="173"/>
        <v>5287147</v>
      </c>
      <c r="L1792" s="678" t="s">
        <v>292</v>
      </c>
      <c r="M1792" s="678" t="s">
        <v>158</v>
      </c>
      <c r="N1792" s="525" t="str">
        <f>IF(AND('331-CT'!$E$7=TH!H1792,OR(L1792="331",M1792="331")),"331",IF(AND(OR(L1792="131",M1792="131"),H1792='131-CT'!$E$7),"131",""))</f>
        <v/>
      </c>
      <c r="O1792" s="525" t="str">
        <f>IF(AND($B1792&gt;='111'!$N$11,$B1792&lt;='111'!$O$11,OR($L1792=$O$7,$M1792=$O$7)),"x","")</f>
        <v/>
      </c>
      <c r="P1792" s="525" t="str">
        <f>IF(AND($L1792=$O$7,$B1792&lt;'111'!$N$11),"x","")</f>
        <v/>
      </c>
      <c r="Q1792" s="525" t="str">
        <f>IF(AND($M1792=$O$7,$B1792&lt;'111'!$N$11),"x","")</f>
        <v/>
      </c>
      <c r="R1792" s="525" t="str">
        <f>IF(ISERROR(FIND('112'!$M$9,G1792,1)),"",IF((AND(FIND('112'!$M$9,G1792,1)&gt;=1,$B1792&gt;='112'!$N$8,$B1792&lt;='112'!$O$8,OR($L1792='112'!$I$6,$M1792='112'!$I$6))),"x",""))</f>
        <v/>
      </c>
      <c r="S1792" s="525" t="str">
        <f>IF(ISERROR(FIND('112'!$M$9,G1792,1)),"",IF((AND(LEFT(G1792,2)=LEFT('112'!$M$9,2),B1792&lt;'112'!$N$8,$L1792='112'!$I$6)),"x",""))</f>
        <v/>
      </c>
      <c r="T1792" s="525" t="str">
        <f>IF(ISERROR(FIND('112'!$M$9,G1792,1)),"",IF((AND(RIGHT(G1792,2)=RIGHT('112'!$M$9,2),B1792&lt;'112'!$N$8,$M1792='112'!$I$6)),"x",""))</f>
        <v/>
      </c>
      <c r="U1792" s="525" t="str">
        <f>IF(AND(B1792&gt;='IN-NX'!$P$3,B1792&lt;='IN-NX'!$Q$3,'IN-NX'!$D$7=D1792,OR(LEFT(L1792,2)="15",AND(LEFT(M1792,2)&lt;&gt;"15",LEFT(M1792,2)&lt;&gt;"33"))),"x","")</f>
        <v/>
      </c>
      <c r="V1792" s="525" t="str">
        <f>IF(AND(OR(LEFT(TH!L1792,2)="15",LEFT(TH!M1792,2)="15"),'152-CT'!$J$8=TH!F1792),"x","")</f>
        <v/>
      </c>
      <c r="W1792" s="525" t="str">
        <f>IF(AND(OR(LEFT(TH!L1792,2)="15",LEFT(TH!M1792,2)="15"),TK!$E$7=TH!F1792),"x","")</f>
        <v/>
      </c>
      <c r="X1792" s="525" t="str">
        <f>IF(AND('341-CT'!$E$9=H1792,OR(LEFT(L1792,3)=$X$7,LEFT(M1792,3)=$X$7)),"x","")</f>
        <v/>
      </c>
      <c r="Y1792" s="525" t="str">
        <f>IF(OR(TH!L1792=TH!$Y$7,M1792=TH!$Y$7),"x","")</f>
        <v/>
      </c>
      <c r="Z1792" s="525" t="str">
        <f>IF(AND(B1792&lt;=NKC!$N$8,B1792&gt;=NKC!$M$8),"x","")</f>
        <v>x</v>
      </c>
      <c r="AA1792" s="687"/>
      <c r="AB1792" s="688"/>
      <c r="AC1792" s="503"/>
      <c r="AE1792" s="688"/>
    </row>
    <row r="1793" spans="1:31" s="689" customFormat="1" ht="15.75" customHeight="1">
      <c r="A1793" s="517" t="str">
        <f>IF(B1793&lt;&gt;"",IF(AND(B1793&gt;=_TM1,B1793&lt;=_TM2,OR(TH!L1793="1111",TH!M1793="1111")),TH!D1793,""),"")</f>
        <v/>
      </c>
      <c r="B1793" s="685">
        <f t="shared" si="174"/>
        <v>2</v>
      </c>
      <c r="C1793" s="671">
        <f t="shared" si="172"/>
        <v>42790</v>
      </c>
      <c r="D1793" s="671" t="s">
        <v>376</v>
      </c>
      <c r="E1793" s="672">
        <v>42790</v>
      </c>
      <c r="F1793" s="673" t="s">
        <v>504</v>
      </c>
      <c r="G1793" s="686" t="s">
        <v>540</v>
      </c>
      <c r="H1793" s="675" t="s">
        <v>893</v>
      </c>
      <c r="I1793" s="676">
        <v>850</v>
      </c>
      <c r="J1793" s="676">
        <v>35463.774288820612</v>
      </c>
      <c r="K1793" s="677">
        <f t="shared" si="173"/>
        <v>30144208</v>
      </c>
      <c r="L1793" s="678" t="s">
        <v>292</v>
      </c>
      <c r="M1793" s="678" t="s">
        <v>158</v>
      </c>
      <c r="N1793" s="525" t="str">
        <f>IF(AND('331-CT'!$E$7=TH!H1793,OR(L1793="331",M1793="331")),"331",IF(AND(OR(L1793="131",M1793="131"),H1793='131-CT'!$E$7),"131",""))</f>
        <v/>
      </c>
      <c r="O1793" s="525" t="str">
        <f>IF(AND($B1793&gt;='111'!$N$11,$B1793&lt;='111'!$O$11,OR($L1793=$O$7,$M1793=$O$7)),"x","")</f>
        <v/>
      </c>
      <c r="P1793" s="525" t="str">
        <f>IF(AND($L1793=$O$7,$B1793&lt;'111'!$N$11),"x","")</f>
        <v/>
      </c>
      <c r="Q1793" s="525" t="str">
        <f>IF(AND($M1793=$O$7,$B1793&lt;'111'!$N$11),"x","")</f>
        <v/>
      </c>
      <c r="R1793" s="525" t="str">
        <f>IF(ISERROR(FIND('112'!$M$9,G1793,1)),"",IF((AND(FIND('112'!$M$9,G1793,1)&gt;=1,$B1793&gt;='112'!$N$8,$B1793&lt;='112'!$O$8,OR($L1793='112'!$I$6,$M1793='112'!$I$6))),"x",""))</f>
        <v/>
      </c>
      <c r="S1793" s="525" t="str">
        <f>IF(ISERROR(FIND('112'!$M$9,G1793,1)),"",IF((AND(LEFT(G1793,2)=LEFT('112'!$M$9,2),B1793&lt;'112'!$N$8,$L1793='112'!$I$6)),"x",""))</f>
        <v/>
      </c>
      <c r="T1793" s="525" t="str">
        <f>IF(ISERROR(FIND('112'!$M$9,G1793,1)),"",IF((AND(RIGHT(G1793,2)=RIGHT('112'!$M$9,2),B1793&lt;'112'!$N$8,$M1793='112'!$I$6)),"x",""))</f>
        <v/>
      </c>
      <c r="U1793" s="525" t="str">
        <f>IF(AND(B1793&gt;='IN-NX'!$P$3,B1793&lt;='IN-NX'!$Q$3,'IN-NX'!$D$7=D1793,OR(LEFT(L1793,2)="15",AND(LEFT(M1793,2)&lt;&gt;"15",LEFT(M1793,2)&lt;&gt;"33"))),"x","")</f>
        <v/>
      </c>
      <c r="V1793" s="525" t="str">
        <f>IF(AND(OR(LEFT(TH!L1793,2)="15",LEFT(TH!M1793,2)="15"),'152-CT'!$J$8=TH!F1793),"x","")</f>
        <v/>
      </c>
      <c r="W1793" s="525" t="str">
        <f>IF(AND(OR(LEFT(TH!L1793,2)="15",LEFT(TH!M1793,2)="15"),TK!$E$7=TH!F1793),"x","")</f>
        <v/>
      </c>
      <c r="X1793" s="525" t="str">
        <f>IF(AND('341-CT'!$E$9=H1793,OR(LEFT(L1793,3)=$X$7,LEFT(M1793,3)=$X$7)),"x","")</f>
        <v/>
      </c>
      <c r="Y1793" s="525" t="str">
        <f>IF(OR(TH!L1793=TH!$Y$7,M1793=TH!$Y$7),"x","")</f>
        <v/>
      </c>
      <c r="Z1793" s="525" t="str">
        <f>IF(AND(B1793&lt;=NKC!$N$8,B1793&gt;=NKC!$M$8),"x","")</f>
        <v>x</v>
      </c>
      <c r="AA1793" s="687"/>
      <c r="AB1793" s="688"/>
      <c r="AC1793" s="503"/>
      <c r="AE1793" s="688"/>
    </row>
    <row r="1794" spans="1:31" s="689" customFormat="1" ht="15.75" customHeight="1">
      <c r="A1794" s="517" t="str">
        <f>IF(B1794&lt;&gt;"",IF(AND(B1794&gt;=_TM1,B1794&lt;=_TM2,OR(TH!L1794="1111",TH!M1794="1111")),TH!D1794,""),"")</f>
        <v/>
      </c>
      <c r="B1794" s="685">
        <f t="shared" si="174"/>
        <v>2</v>
      </c>
      <c r="C1794" s="671">
        <f t="shared" si="172"/>
        <v>42790</v>
      </c>
      <c r="D1794" s="671" t="s">
        <v>376</v>
      </c>
      <c r="E1794" s="672">
        <v>42790</v>
      </c>
      <c r="F1794" s="673" t="s">
        <v>504</v>
      </c>
      <c r="G1794" s="686" t="s">
        <v>540</v>
      </c>
      <c r="H1794" s="675" t="s">
        <v>893</v>
      </c>
      <c r="I1794" s="676">
        <v>850</v>
      </c>
      <c r="J1794" s="676">
        <v>35388.988406467673</v>
      </c>
      <c r="K1794" s="677">
        <f t="shared" si="173"/>
        <v>30080640</v>
      </c>
      <c r="L1794" s="678" t="s">
        <v>292</v>
      </c>
      <c r="M1794" s="678" t="s">
        <v>158</v>
      </c>
      <c r="N1794" s="525" t="str">
        <f>IF(AND('331-CT'!$E$7=TH!H1794,OR(L1794="331",M1794="331")),"331",IF(AND(OR(L1794="131",M1794="131"),H1794='131-CT'!$E$7),"131",""))</f>
        <v/>
      </c>
      <c r="O1794" s="525" t="str">
        <f>IF(AND($B1794&gt;='111'!$N$11,$B1794&lt;='111'!$O$11,OR($L1794=$O$7,$M1794=$O$7)),"x","")</f>
        <v/>
      </c>
      <c r="P1794" s="525" t="str">
        <f>IF(AND($L1794=$O$7,$B1794&lt;'111'!$N$11),"x","")</f>
        <v/>
      </c>
      <c r="Q1794" s="525" t="str">
        <f>IF(AND($M1794=$O$7,$B1794&lt;'111'!$N$11),"x","")</f>
        <v/>
      </c>
      <c r="R1794" s="525" t="str">
        <f>IF(ISERROR(FIND('112'!$M$9,G1794,1)),"",IF((AND(FIND('112'!$M$9,G1794,1)&gt;=1,$B1794&gt;='112'!$N$8,$B1794&lt;='112'!$O$8,OR($L1794='112'!$I$6,$M1794='112'!$I$6))),"x",""))</f>
        <v/>
      </c>
      <c r="S1794" s="525" t="str">
        <f>IF(ISERROR(FIND('112'!$M$9,G1794,1)),"",IF((AND(LEFT(G1794,2)=LEFT('112'!$M$9,2),B1794&lt;'112'!$N$8,$L1794='112'!$I$6)),"x",""))</f>
        <v/>
      </c>
      <c r="T1794" s="525" t="str">
        <f>IF(ISERROR(FIND('112'!$M$9,G1794,1)),"",IF((AND(RIGHT(G1794,2)=RIGHT('112'!$M$9,2),B1794&lt;'112'!$N$8,$M1794='112'!$I$6)),"x",""))</f>
        <v/>
      </c>
      <c r="U1794" s="525" t="str">
        <f>IF(AND(B1794&gt;='IN-NX'!$P$3,B1794&lt;='IN-NX'!$Q$3,'IN-NX'!$D$7=D1794,OR(LEFT(L1794,2)="15",AND(LEFT(M1794,2)&lt;&gt;"15",LEFT(M1794,2)&lt;&gt;"33"))),"x","")</f>
        <v/>
      </c>
      <c r="V1794" s="525" t="str">
        <f>IF(AND(OR(LEFT(TH!L1794,2)="15",LEFT(TH!M1794,2)="15"),'152-CT'!$J$8=TH!F1794),"x","")</f>
        <v/>
      </c>
      <c r="W1794" s="525" t="str">
        <f>IF(AND(OR(LEFT(TH!L1794,2)="15",LEFT(TH!M1794,2)="15"),TK!$E$7=TH!F1794),"x","")</f>
        <v/>
      </c>
      <c r="X1794" s="525" t="str">
        <f>IF(AND('341-CT'!$E$9=H1794,OR(LEFT(L1794,3)=$X$7,LEFT(M1794,3)=$X$7)),"x","")</f>
        <v/>
      </c>
      <c r="Y1794" s="525" t="str">
        <f>IF(OR(TH!L1794=TH!$Y$7,M1794=TH!$Y$7),"x","")</f>
        <v/>
      </c>
      <c r="Z1794" s="525" t="str">
        <f>IF(AND(B1794&lt;=NKC!$N$8,B1794&gt;=NKC!$M$8),"x","")</f>
        <v>x</v>
      </c>
      <c r="AA1794" s="687"/>
      <c r="AB1794" s="688"/>
      <c r="AC1794" s="503"/>
      <c r="AE1794" s="688"/>
    </row>
    <row r="1795" spans="1:31" s="689" customFormat="1" ht="15.75" customHeight="1">
      <c r="A1795" s="517" t="str">
        <f>IF(B1795&lt;&gt;"",IF(AND(B1795&gt;=_TM1,B1795&lt;=_TM2,OR(TH!L1795="1111",TH!M1795="1111")),TH!D1795,""),"")</f>
        <v/>
      </c>
      <c r="B1795" s="685">
        <f t="shared" si="174"/>
        <v>2</v>
      </c>
      <c r="C1795" s="671">
        <f t="shared" si="172"/>
        <v>42790</v>
      </c>
      <c r="D1795" s="671" t="s">
        <v>376</v>
      </c>
      <c r="E1795" s="672">
        <v>42790</v>
      </c>
      <c r="F1795" s="673" t="s">
        <v>505</v>
      </c>
      <c r="G1795" s="686" t="s">
        <v>540</v>
      </c>
      <c r="H1795" s="675" t="s">
        <v>893</v>
      </c>
      <c r="I1795" s="676">
        <v>518</v>
      </c>
      <c r="J1795" s="676">
        <v>32736.369201380236</v>
      </c>
      <c r="K1795" s="677">
        <f t="shared" si="173"/>
        <v>16957439</v>
      </c>
      <c r="L1795" s="678" t="s">
        <v>292</v>
      </c>
      <c r="M1795" s="678" t="s">
        <v>158</v>
      </c>
      <c r="N1795" s="525" t="str">
        <f>IF(AND('331-CT'!$E$7=TH!H1795,OR(L1795="331",M1795="331")),"331",IF(AND(OR(L1795="131",M1795="131"),H1795='131-CT'!$E$7),"131",""))</f>
        <v/>
      </c>
      <c r="O1795" s="525" t="str">
        <f>IF(AND($B1795&gt;='111'!$N$11,$B1795&lt;='111'!$O$11,OR($L1795=$O$7,$M1795=$O$7)),"x","")</f>
        <v/>
      </c>
      <c r="P1795" s="525" t="str">
        <f>IF(AND($L1795=$O$7,$B1795&lt;'111'!$N$11),"x","")</f>
        <v/>
      </c>
      <c r="Q1795" s="525" t="str">
        <f>IF(AND($M1795=$O$7,$B1795&lt;'111'!$N$11),"x","")</f>
        <v/>
      </c>
      <c r="R1795" s="525" t="str">
        <f>IF(ISERROR(FIND('112'!$M$9,G1795,1)),"",IF((AND(FIND('112'!$M$9,G1795,1)&gt;=1,$B1795&gt;='112'!$N$8,$B1795&lt;='112'!$O$8,OR($L1795='112'!$I$6,$M1795='112'!$I$6))),"x",""))</f>
        <v/>
      </c>
      <c r="S1795" s="525" t="str">
        <f>IF(ISERROR(FIND('112'!$M$9,G1795,1)),"",IF((AND(LEFT(G1795,2)=LEFT('112'!$M$9,2),B1795&lt;'112'!$N$8,$L1795='112'!$I$6)),"x",""))</f>
        <v/>
      </c>
      <c r="T1795" s="525" t="str">
        <f>IF(ISERROR(FIND('112'!$M$9,G1795,1)),"",IF((AND(RIGHT(G1795,2)=RIGHT('112'!$M$9,2),B1795&lt;'112'!$N$8,$M1795='112'!$I$6)),"x",""))</f>
        <v/>
      </c>
      <c r="U1795" s="525" t="str">
        <f>IF(AND(B1795&gt;='IN-NX'!$P$3,B1795&lt;='IN-NX'!$Q$3,'IN-NX'!$D$7=D1795,OR(LEFT(L1795,2)="15",AND(LEFT(M1795,2)&lt;&gt;"15",LEFT(M1795,2)&lt;&gt;"33"))),"x","")</f>
        <v/>
      </c>
      <c r="V1795" s="525" t="str">
        <f>IF(AND(OR(LEFT(TH!L1795,2)="15",LEFT(TH!M1795,2)="15"),'152-CT'!$J$8=TH!F1795),"x","")</f>
        <v/>
      </c>
      <c r="W1795" s="525" t="str">
        <f>IF(AND(OR(LEFT(TH!L1795,2)="15",LEFT(TH!M1795,2)="15"),TK!$E$7=TH!F1795),"x","")</f>
        <v/>
      </c>
      <c r="X1795" s="525" t="str">
        <f>IF(AND('341-CT'!$E$9=H1795,OR(LEFT(L1795,3)=$X$7,LEFT(M1795,3)=$X$7)),"x","")</f>
        <v/>
      </c>
      <c r="Y1795" s="525" t="str">
        <f>IF(OR(TH!L1795=TH!$Y$7,M1795=TH!$Y$7),"x","")</f>
        <v/>
      </c>
      <c r="Z1795" s="525" t="str">
        <f>IF(AND(B1795&lt;=NKC!$N$8,B1795&gt;=NKC!$M$8),"x","")</f>
        <v>x</v>
      </c>
      <c r="AA1795" s="687"/>
      <c r="AB1795" s="688"/>
      <c r="AC1795" s="503"/>
      <c r="AE1795" s="688"/>
    </row>
    <row r="1796" spans="1:31" s="689" customFormat="1" ht="15.75" customHeight="1">
      <c r="A1796" s="517" t="str">
        <f>IF(B1796&lt;&gt;"",IF(AND(B1796&gt;=_TM1,B1796&lt;=_TM2,OR(TH!L1796="1111",TH!M1796="1111")),TH!D1796,""),"")</f>
        <v/>
      </c>
      <c r="B1796" s="685">
        <f t="shared" si="174"/>
        <v>2</v>
      </c>
      <c r="C1796" s="671">
        <f t="shared" si="172"/>
        <v>42791</v>
      </c>
      <c r="D1796" s="671" t="s">
        <v>376</v>
      </c>
      <c r="E1796" s="672">
        <v>42791</v>
      </c>
      <c r="F1796" s="673" t="s">
        <v>558</v>
      </c>
      <c r="G1796" s="686" t="s">
        <v>541</v>
      </c>
      <c r="H1796" s="675" t="s">
        <v>893</v>
      </c>
      <c r="I1796" s="676">
        <v>620</v>
      </c>
      <c r="J1796" s="676">
        <v>18438.467457701066</v>
      </c>
      <c r="K1796" s="677">
        <f t="shared" si="173"/>
        <v>11431850</v>
      </c>
      <c r="L1796" s="678" t="s">
        <v>292</v>
      </c>
      <c r="M1796" s="678" t="s">
        <v>158</v>
      </c>
      <c r="N1796" s="525" t="str">
        <f>IF(AND('331-CT'!$E$7=TH!H1796,OR(L1796="331",M1796="331")),"331",IF(AND(OR(L1796="131",M1796="131"),H1796='131-CT'!$E$7),"131",""))</f>
        <v/>
      </c>
      <c r="O1796" s="525" t="str">
        <f>IF(AND($B1796&gt;='111'!$N$11,$B1796&lt;='111'!$O$11,OR($L1796=$O$7,$M1796=$O$7)),"x","")</f>
        <v/>
      </c>
      <c r="P1796" s="525" t="str">
        <f>IF(AND($L1796=$O$7,$B1796&lt;'111'!$N$11),"x","")</f>
        <v/>
      </c>
      <c r="Q1796" s="525" t="str">
        <f>IF(AND($M1796=$O$7,$B1796&lt;'111'!$N$11),"x","")</f>
        <v/>
      </c>
      <c r="R1796" s="525" t="str">
        <f>IF(ISERROR(FIND('112'!$M$9,G1796,1)),"",IF((AND(FIND('112'!$M$9,G1796,1)&gt;=1,$B1796&gt;='112'!$N$8,$B1796&lt;='112'!$O$8,OR($L1796='112'!$I$6,$M1796='112'!$I$6))),"x",""))</f>
        <v/>
      </c>
      <c r="S1796" s="525" t="str">
        <f>IF(ISERROR(FIND('112'!$M$9,G1796,1)),"",IF((AND(LEFT(G1796,2)=LEFT('112'!$M$9,2),B1796&lt;'112'!$N$8,$L1796='112'!$I$6)),"x",""))</f>
        <v/>
      </c>
      <c r="T1796" s="525" t="str">
        <f>IF(ISERROR(FIND('112'!$M$9,G1796,1)),"",IF((AND(RIGHT(G1796,2)=RIGHT('112'!$M$9,2),B1796&lt;'112'!$N$8,$M1796='112'!$I$6)),"x",""))</f>
        <v/>
      </c>
      <c r="U1796" s="525" t="str">
        <f>IF(AND(B1796&gt;='IN-NX'!$P$3,B1796&lt;='IN-NX'!$Q$3,'IN-NX'!$D$7=D1796,OR(LEFT(L1796,2)="15",AND(LEFT(M1796,2)&lt;&gt;"15",LEFT(M1796,2)&lt;&gt;"33"))),"x","")</f>
        <v/>
      </c>
      <c r="V1796" s="525" t="str">
        <f>IF(AND(OR(LEFT(TH!L1796,2)="15",LEFT(TH!M1796,2)="15"),'152-CT'!$J$8=TH!F1796),"x","")</f>
        <v/>
      </c>
      <c r="W1796" s="525" t="str">
        <f>IF(AND(OR(LEFT(TH!L1796,2)="15",LEFT(TH!M1796,2)="15"),TK!$E$7=TH!F1796),"x","")</f>
        <v/>
      </c>
      <c r="X1796" s="525" t="str">
        <f>IF(AND('341-CT'!$E$9=H1796,OR(LEFT(L1796,3)=$X$7,LEFT(M1796,3)=$X$7)),"x","")</f>
        <v/>
      </c>
      <c r="Y1796" s="525" t="str">
        <f>IF(OR(TH!L1796=TH!$Y$7,M1796=TH!$Y$7),"x","")</f>
        <v/>
      </c>
      <c r="Z1796" s="525" t="str">
        <f>IF(AND(B1796&lt;=NKC!$N$8,B1796&gt;=NKC!$M$8),"x","")</f>
        <v>x</v>
      </c>
      <c r="AA1796" s="687"/>
      <c r="AB1796" s="688"/>
      <c r="AC1796" s="503"/>
      <c r="AE1796" s="688"/>
    </row>
    <row r="1797" spans="1:31" s="689" customFormat="1" ht="15.75" customHeight="1">
      <c r="A1797" s="517" t="str">
        <f>IF(B1797&lt;&gt;"",IF(AND(B1797&gt;=_TM1,B1797&lt;=_TM2,OR(TH!L1797="1111",TH!M1797="1111")),TH!D1797,""),"")</f>
        <v/>
      </c>
      <c r="B1797" s="685">
        <f t="shared" si="174"/>
        <v>2</v>
      </c>
      <c r="C1797" s="671">
        <f t="shared" si="172"/>
        <v>42791</v>
      </c>
      <c r="D1797" s="671" t="s">
        <v>376</v>
      </c>
      <c r="E1797" s="672">
        <v>42791</v>
      </c>
      <c r="F1797" s="673" t="s">
        <v>627</v>
      </c>
      <c r="G1797" s="686" t="s">
        <v>542</v>
      </c>
      <c r="H1797" s="675" t="s">
        <v>893</v>
      </c>
      <c r="I1797" s="676">
        <v>234</v>
      </c>
      <c r="J1797" s="676">
        <v>49913.895304406331</v>
      </c>
      <c r="K1797" s="677">
        <f t="shared" si="173"/>
        <v>11679852</v>
      </c>
      <c r="L1797" s="678" t="s">
        <v>292</v>
      </c>
      <c r="M1797" s="678" t="s">
        <v>158</v>
      </c>
      <c r="N1797" s="525" t="str">
        <f>IF(AND('331-CT'!$E$7=TH!H1797,OR(L1797="331",M1797="331")),"331",IF(AND(OR(L1797="131",M1797="131"),H1797='131-CT'!$E$7),"131",""))</f>
        <v/>
      </c>
      <c r="O1797" s="525" t="str">
        <f>IF(AND($B1797&gt;='111'!$N$11,$B1797&lt;='111'!$O$11,OR($L1797=$O$7,$M1797=$O$7)),"x","")</f>
        <v/>
      </c>
      <c r="P1797" s="525" t="str">
        <f>IF(AND($L1797=$O$7,$B1797&lt;'111'!$N$11),"x","")</f>
        <v/>
      </c>
      <c r="Q1797" s="525" t="str">
        <f>IF(AND($M1797=$O$7,$B1797&lt;'111'!$N$11),"x","")</f>
        <v/>
      </c>
      <c r="R1797" s="525" t="str">
        <f>IF(ISERROR(FIND('112'!$M$9,G1797,1)),"",IF((AND(FIND('112'!$M$9,G1797,1)&gt;=1,$B1797&gt;='112'!$N$8,$B1797&lt;='112'!$O$8,OR($L1797='112'!$I$6,$M1797='112'!$I$6))),"x",""))</f>
        <v/>
      </c>
      <c r="S1797" s="525" t="str">
        <f>IF(ISERROR(FIND('112'!$M$9,G1797,1)),"",IF((AND(LEFT(G1797,2)=LEFT('112'!$M$9,2),B1797&lt;'112'!$N$8,$L1797='112'!$I$6)),"x",""))</f>
        <v/>
      </c>
      <c r="T1797" s="525" t="str">
        <f>IF(ISERROR(FIND('112'!$M$9,G1797,1)),"",IF((AND(RIGHT(G1797,2)=RIGHT('112'!$M$9,2),B1797&lt;'112'!$N$8,$M1797='112'!$I$6)),"x",""))</f>
        <v/>
      </c>
      <c r="U1797" s="525" t="str">
        <f>IF(AND(B1797&gt;='IN-NX'!$P$3,B1797&lt;='IN-NX'!$Q$3,'IN-NX'!$D$7=D1797,OR(LEFT(L1797,2)="15",AND(LEFT(M1797,2)&lt;&gt;"15",LEFT(M1797,2)&lt;&gt;"33"))),"x","")</f>
        <v/>
      </c>
      <c r="V1797" s="525" t="str">
        <f>IF(AND(OR(LEFT(TH!L1797,2)="15",LEFT(TH!M1797,2)="15"),'152-CT'!$J$8=TH!F1797),"x","")</f>
        <v/>
      </c>
      <c r="W1797" s="525" t="str">
        <f>IF(AND(OR(LEFT(TH!L1797,2)="15",LEFT(TH!M1797,2)="15"),TK!$E$7=TH!F1797),"x","")</f>
        <v/>
      </c>
      <c r="X1797" s="525" t="str">
        <f>IF(AND('341-CT'!$E$9=H1797,OR(LEFT(L1797,3)=$X$7,LEFT(M1797,3)=$X$7)),"x","")</f>
        <v/>
      </c>
      <c r="Y1797" s="525" t="str">
        <f>IF(OR(TH!L1797=TH!$Y$7,M1797=TH!$Y$7),"x","")</f>
        <v/>
      </c>
      <c r="Z1797" s="525" t="str">
        <f>IF(AND(B1797&lt;=NKC!$N$8,B1797&gt;=NKC!$M$8),"x","")</f>
        <v>x</v>
      </c>
      <c r="AA1797" s="687"/>
      <c r="AB1797" s="688"/>
      <c r="AC1797" s="503"/>
      <c r="AE1797" s="688"/>
    </row>
    <row r="1798" spans="1:31" s="689" customFormat="1" ht="15.75" customHeight="1">
      <c r="A1798" s="517" t="str">
        <f>IF(B1798&lt;&gt;"",IF(AND(B1798&gt;=_TM1,B1798&lt;=_TM2,OR(TH!L1798="1111",TH!M1798="1111")),TH!D1798,""),"")</f>
        <v/>
      </c>
      <c r="B1798" s="685">
        <f t="shared" si="174"/>
        <v>2</v>
      </c>
      <c r="C1798" s="671">
        <f t="shared" si="172"/>
        <v>42791</v>
      </c>
      <c r="D1798" s="671" t="s">
        <v>376</v>
      </c>
      <c r="E1798" s="672">
        <v>42791</v>
      </c>
      <c r="F1798" s="673" t="s">
        <v>737</v>
      </c>
      <c r="G1798" s="686" t="s">
        <v>542</v>
      </c>
      <c r="H1798" s="675" t="s">
        <v>893</v>
      </c>
      <c r="I1798" s="676">
        <v>45</v>
      </c>
      <c r="J1798" s="676">
        <v>73548.178210389247</v>
      </c>
      <c r="K1798" s="677">
        <f t="shared" si="173"/>
        <v>3309668</v>
      </c>
      <c r="L1798" s="678" t="s">
        <v>292</v>
      </c>
      <c r="M1798" s="678" t="s">
        <v>158</v>
      </c>
      <c r="N1798" s="525" t="str">
        <f>IF(AND('331-CT'!$E$7=TH!H1798,OR(L1798="331",M1798="331")),"331",IF(AND(OR(L1798="131",M1798="131"),H1798='131-CT'!$E$7),"131",""))</f>
        <v/>
      </c>
      <c r="O1798" s="525" t="str">
        <f>IF(AND($B1798&gt;='111'!$N$11,$B1798&lt;='111'!$O$11,OR($L1798=$O$7,$M1798=$O$7)),"x","")</f>
        <v/>
      </c>
      <c r="P1798" s="525" t="str">
        <f>IF(AND($L1798=$O$7,$B1798&lt;'111'!$N$11),"x","")</f>
        <v/>
      </c>
      <c r="Q1798" s="525" t="str">
        <f>IF(AND($M1798=$O$7,$B1798&lt;'111'!$N$11),"x","")</f>
        <v/>
      </c>
      <c r="R1798" s="525" t="str">
        <f>IF(ISERROR(FIND('112'!$M$9,G1798,1)),"",IF((AND(FIND('112'!$M$9,G1798,1)&gt;=1,$B1798&gt;='112'!$N$8,$B1798&lt;='112'!$O$8,OR($L1798='112'!$I$6,$M1798='112'!$I$6))),"x",""))</f>
        <v/>
      </c>
      <c r="S1798" s="525" t="str">
        <f>IF(ISERROR(FIND('112'!$M$9,G1798,1)),"",IF((AND(LEFT(G1798,2)=LEFT('112'!$M$9,2),B1798&lt;'112'!$N$8,$L1798='112'!$I$6)),"x",""))</f>
        <v/>
      </c>
      <c r="T1798" s="525" t="str">
        <f>IF(ISERROR(FIND('112'!$M$9,G1798,1)),"",IF((AND(RIGHT(G1798,2)=RIGHT('112'!$M$9,2),B1798&lt;'112'!$N$8,$M1798='112'!$I$6)),"x",""))</f>
        <v/>
      </c>
      <c r="U1798" s="525" t="str">
        <f>IF(AND(B1798&gt;='IN-NX'!$P$3,B1798&lt;='IN-NX'!$Q$3,'IN-NX'!$D$7=D1798,OR(LEFT(L1798,2)="15",AND(LEFT(M1798,2)&lt;&gt;"15",LEFT(M1798,2)&lt;&gt;"33"))),"x","")</f>
        <v/>
      </c>
      <c r="V1798" s="525" t="str">
        <f>IF(AND(OR(LEFT(TH!L1798,2)="15",LEFT(TH!M1798,2)="15"),'152-CT'!$J$8=TH!F1798),"x","")</f>
        <v/>
      </c>
      <c r="W1798" s="525" t="str">
        <f>IF(AND(OR(LEFT(TH!L1798,2)="15",LEFT(TH!M1798,2)="15"),TK!$E$7=TH!F1798),"x","")</f>
        <v/>
      </c>
      <c r="X1798" s="525" t="str">
        <f>IF(AND('341-CT'!$E$9=H1798,OR(LEFT(L1798,3)=$X$7,LEFT(M1798,3)=$X$7)),"x","")</f>
        <v/>
      </c>
      <c r="Y1798" s="525" t="str">
        <f>IF(OR(TH!L1798=TH!$Y$7,M1798=TH!$Y$7),"x","")</f>
        <v/>
      </c>
      <c r="Z1798" s="525" t="str">
        <f>IF(AND(B1798&lt;=NKC!$N$8,B1798&gt;=NKC!$M$8),"x","")</f>
        <v>x</v>
      </c>
      <c r="AA1798" s="687"/>
      <c r="AB1798" s="688"/>
      <c r="AC1798" s="503"/>
      <c r="AE1798" s="688"/>
    </row>
    <row r="1799" spans="1:31" s="689" customFormat="1" ht="15.75" customHeight="1">
      <c r="A1799" s="517" t="str">
        <f>IF(B1799&lt;&gt;"",IF(AND(B1799&gt;=_TM1,B1799&lt;=_TM2,OR(TH!L1799="1111",TH!M1799="1111")),TH!D1799,""),"")</f>
        <v/>
      </c>
      <c r="B1799" s="685">
        <f t="shared" si="174"/>
        <v>2</v>
      </c>
      <c r="C1799" s="671">
        <f t="shared" si="172"/>
        <v>42791</v>
      </c>
      <c r="D1799" s="671" t="s">
        <v>376</v>
      </c>
      <c r="E1799" s="672">
        <v>42791</v>
      </c>
      <c r="F1799" s="673" t="s">
        <v>759</v>
      </c>
      <c r="G1799" s="686" t="s">
        <v>542</v>
      </c>
      <c r="H1799" s="675" t="s">
        <v>893</v>
      </c>
      <c r="I1799" s="676">
        <v>100</v>
      </c>
      <c r="J1799" s="676">
        <v>32796.744877055906</v>
      </c>
      <c r="K1799" s="677">
        <f t="shared" si="173"/>
        <v>3279674</v>
      </c>
      <c r="L1799" s="678" t="s">
        <v>292</v>
      </c>
      <c r="M1799" s="678" t="s">
        <v>158</v>
      </c>
      <c r="N1799" s="525" t="str">
        <f>IF(AND('331-CT'!$E$7=TH!H1799,OR(L1799="331",M1799="331")),"331",IF(AND(OR(L1799="131",M1799="131"),H1799='131-CT'!$E$7),"131",""))</f>
        <v/>
      </c>
      <c r="O1799" s="525" t="str">
        <f>IF(AND($B1799&gt;='111'!$N$11,$B1799&lt;='111'!$O$11,OR($L1799=$O$7,$M1799=$O$7)),"x","")</f>
        <v/>
      </c>
      <c r="P1799" s="525" t="str">
        <f>IF(AND($L1799=$O$7,$B1799&lt;'111'!$N$11),"x","")</f>
        <v/>
      </c>
      <c r="Q1799" s="525" t="str">
        <f>IF(AND($M1799=$O$7,$B1799&lt;'111'!$N$11),"x","")</f>
        <v/>
      </c>
      <c r="R1799" s="525" t="str">
        <f>IF(ISERROR(FIND('112'!$M$9,G1799,1)),"",IF((AND(FIND('112'!$M$9,G1799,1)&gt;=1,$B1799&gt;='112'!$N$8,$B1799&lt;='112'!$O$8,OR($L1799='112'!$I$6,$M1799='112'!$I$6))),"x",""))</f>
        <v/>
      </c>
      <c r="S1799" s="525" t="str">
        <f>IF(ISERROR(FIND('112'!$M$9,G1799,1)),"",IF((AND(LEFT(G1799,2)=LEFT('112'!$M$9,2),B1799&lt;'112'!$N$8,$L1799='112'!$I$6)),"x",""))</f>
        <v/>
      </c>
      <c r="T1799" s="525" t="str">
        <f>IF(ISERROR(FIND('112'!$M$9,G1799,1)),"",IF((AND(RIGHT(G1799,2)=RIGHT('112'!$M$9,2),B1799&lt;'112'!$N$8,$M1799='112'!$I$6)),"x",""))</f>
        <v/>
      </c>
      <c r="U1799" s="525" t="str">
        <f>IF(AND(B1799&gt;='IN-NX'!$P$3,B1799&lt;='IN-NX'!$Q$3,'IN-NX'!$D$7=D1799,OR(LEFT(L1799,2)="15",AND(LEFT(M1799,2)&lt;&gt;"15",LEFT(M1799,2)&lt;&gt;"33"))),"x","")</f>
        <v/>
      </c>
      <c r="V1799" s="525" t="str">
        <f>IF(AND(OR(LEFT(TH!L1799,2)="15",LEFT(TH!M1799,2)="15"),'152-CT'!$J$8=TH!F1799),"x","")</f>
        <v/>
      </c>
      <c r="W1799" s="525" t="str">
        <f>IF(AND(OR(LEFT(TH!L1799,2)="15",LEFT(TH!M1799,2)="15"),TK!$E$7=TH!F1799),"x","")</f>
        <v/>
      </c>
      <c r="X1799" s="525" t="str">
        <f>IF(AND('341-CT'!$E$9=H1799,OR(LEFT(L1799,3)=$X$7,LEFT(M1799,3)=$X$7)),"x","")</f>
        <v/>
      </c>
      <c r="Y1799" s="525" t="str">
        <f>IF(OR(TH!L1799=TH!$Y$7,M1799=TH!$Y$7),"x","")</f>
        <v/>
      </c>
      <c r="Z1799" s="525" t="str">
        <f>IF(AND(B1799&lt;=NKC!$N$8,B1799&gt;=NKC!$M$8),"x","")</f>
        <v>x</v>
      </c>
      <c r="AA1799" s="687"/>
      <c r="AB1799" s="688"/>
      <c r="AC1799" s="503"/>
      <c r="AE1799" s="688"/>
    </row>
    <row r="1800" spans="1:31" s="689" customFormat="1" ht="15.75" customHeight="1">
      <c r="A1800" s="517" t="str">
        <f>IF(B1800&lt;&gt;"",IF(AND(B1800&gt;=_TM1,B1800&lt;=_TM2,OR(TH!L1800="1111",TH!M1800="1111")),TH!D1800,""),"")</f>
        <v/>
      </c>
      <c r="B1800" s="685">
        <f t="shared" si="174"/>
        <v>2</v>
      </c>
      <c r="C1800" s="671">
        <f t="shared" si="172"/>
        <v>42793</v>
      </c>
      <c r="D1800" s="671" t="s">
        <v>376</v>
      </c>
      <c r="E1800" s="672">
        <v>42793</v>
      </c>
      <c r="F1800" s="673" t="s">
        <v>567</v>
      </c>
      <c r="G1800" s="686" t="s">
        <v>544</v>
      </c>
      <c r="H1800" s="675" t="s">
        <v>893</v>
      </c>
      <c r="I1800" s="676">
        <v>500</v>
      </c>
      <c r="J1800" s="676">
        <v>4449.5848770559078</v>
      </c>
      <c r="K1800" s="677">
        <f t="shared" si="173"/>
        <v>2224792</v>
      </c>
      <c r="L1800" s="678" t="s">
        <v>292</v>
      </c>
      <c r="M1800" s="678" t="s">
        <v>158</v>
      </c>
      <c r="N1800" s="525" t="str">
        <f>IF(AND('331-CT'!$E$7=TH!H1800,OR(L1800="331",M1800="331")),"331",IF(AND(OR(L1800="131",M1800="131"),H1800='131-CT'!$E$7),"131",""))</f>
        <v/>
      </c>
      <c r="O1800" s="525" t="str">
        <f>IF(AND($B1800&gt;='111'!$N$11,$B1800&lt;='111'!$O$11,OR($L1800=$O$7,$M1800=$O$7)),"x","")</f>
        <v/>
      </c>
      <c r="P1800" s="525" t="str">
        <f>IF(AND($L1800=$O$7,$B1800&lt;'111'!$N$11),"x","")</f>
        <v/>
      </c>
      <c r="Q1800" s="525" t="str">
        <f>IF(AND($M1800=$O$7,$B1800&lt;'111'!$N$11),"x","")</f>
        <v/>
      </c>
      <c r="R1800" s="525" t="str">
        <f>IF(ISERROR(FIND('112'!$M$9,G1800,1)),"",IF((AND(FIND('112'!$M$9,G1800,1)&gt;=1,$B1800&gt;='112'!$N$8,$B1800&lt;='112'!$O$8,OR($L1800='112'!$I$6,$M1800='112'!$I$6))),"x",""))</f>
        <v/>
      </c>
      <c r="S1800" s="525" t="str">
        <f>IF(ISERROR(FIND('112'!$M$9,G1800,1)),"",IF((AND(LEFT(G1800,2)=LEFT('112'!$M$9,2),B1800&lt;'112'!$N$8,$L1800='112'!$I$6)),"x",""))</f>
        <v/>
      </c>
      <c r="T1800" s="525" t="str">
        <f>IF(ISERROR(FIND('112'!$M$9,G1800,1)),"",IF((AND(RIGHT(G1800,2)=RIGHT('112'!$M$9,2),B1800&lt;'112'!$N$8,$M1800='112'!$I$6)),"x",""))</f>
        <v/>
      </c>
      <c r="U1800" s="525" t="str">
        <f>IF(AND(B1800&gt;='IN-NX'!$P$3,B1800&lt;='IN-NX'!$Q$3,'IN-NX'!$D$7=D1800,OR(LEFT(L1800,2)="15",AND(LEFT(M1800,2)&lt;&gt;"15",LEFT(M1800,2)&lt;&gt;"33"))),"x","")</f>
        <v/>
      </c>
      <c r="V1800" s="525" t="str">
        <f>IF(AND(OR(LEFT(TH!L1800,2)="15",LEFT(TH!M1800,2)="15"),'152-CT'!$J$8=TH!F1800),"x","")</f>
        <v/>
      </c>
      <c r="W1800" s="525" t="str">
        <f>IF(AND(OR(LEFT(TH!L1800,2)="15",LEFT(TH!M1800,2)="15"),TK!$E$7=TH!F1800),"x","")</f>
        <v/>
      </c>
      <c r="X1800" s="525" t="str">
        <f>IF(AND('341-CT'!$E$9=H1800,OR(LEFT(L1800,3)=$X$7,LEFT(M1800,3)=$X$7)),"x","")</f>
        <v/>
      </c>
      <c r="Y1800" s="525" t="str">
        <f>IF(OR(TH!L1800=TH!$Y$7,M1800=TH!$Y$7),"x","")</f>
        <v/>
      </c>
      <c r="Z1800" s="525" t="str">
        <f>IF(AND(B1800&lt;=NKC!$N$8,B1800&gt;=NKC!$M$8),"x","")</f>
        <v>x</v>
      </c>
      <c r="AA1800" s="687"/>
      <c r="AB1800" s="688"/>
      <c r="AC1800" s="503"/>
      <c r="AE1800" s="688"/>
    </row>
    <row r="1801" spans="1:31" s="503" customFormat="1" ht="15.75" customHeight="1">
      <c r="A1801" s="517" t="str">
        <f>IF(B1801&lt;&gt;"",IF(AND(B1801&gt;=_TM1,B1801&lt;=_TM2,OR(TH!L1801="1111",TH!M1801="1111")),TH!D1801,""),"")</f>
        <v/>
      </c>
      <c r="B1801" s="531">
        <f t="shared" si="174"/>
        <v>2</v>
      </c>
      <c r="C1801" s="315">
        <f t="shared" ref="C1801:C1812" si="175">E1801</f>
        <v>42772</v>
      </c>
      <c r="D1801" s="315" t="s">
        <v>996</v>
      </c>
      <c r="E1801" s="545">
        <v>42772</v>
      </c>
      <c r="F1801" s="248" t="s">
        <v>493</v>
      </c>
      <c r="G1801" s="314" t="s">
        <v>528</v>
      </c>
      <c r="H1801" s="473" t="s">
        <v>800</v>
      </c>
      <c r="I1801" s="307">
        <v>4400</v>
      </c>
      <c r="J1801" s="307">
        <v>9649.9898770559066</v>
      </c>
      <c r="K1801" s="532">
        <f t="shared" ref="K1801:K1812" si="176">ROUND(I1801*J1801,0)</f>
        <v>42459955</v>
      </c>
      <c r="L1801" s="539" t="s">
        <v>160</v>
      </c>
      <c r="M1801" s="539" t="s">
        <v>292</v>
      </c>
      <c r="N1801" s="525" t="str">
        <f>IF(AND('331-CT'!$E$7=TH!H1801,OR(L1801="331",M1801="331")),"331",IF(AND(OR(L1801="131",M1801="131"),H1801='131-CT'!$E$7),"131",""))</f>
        <v/>
      </c>
      <c r="O1801" s="525" t="str">
        <f>IF(AND($B1801&gt;='111'!$N$11,$B1801&lt;='111'!$O$11,OR($L1801=$O$7,$M1801=$O$7)),"x","")</f>
        <v/>
      </c>
      <c r="P1801" s="525" t="str">
        <f>IF(AND($L1801=$O$7,$B1801&lt;'111'!$N$11),"x","")</f>
        <v/>
      </c>
      <c r="Q1801" s="525" t="str">
        <f>IF(AND($M1801=$O$7,$B1801&lt;'111'!$N$11),"x","")</f>
        <v/>
      </c>
      <c r="R1801" s="525" t="str">
        <f>IF(ISERROR(FIND('112'!$M$9,G1801,1)),"",IF((AND(FIND('112'!$M$9,G1801,1)&gt;=1,$B1801&gt;='112'!$N$8,$B1801&lt;='112'!$O$8,OR($L1801='112'!$I$6,$M1801='112'!$I$6))),"x",""))</f>
        <v/>
      </c>
      <c r="S1801" s="525" t="str">
        <f>IF(ISERROR(FIND('112'!$M$9,G1801,1)),"",IF((AND(LEFT(G1801,2)=LEFT('112'!$M$9,2),B1801&lt;'112'!$N$8,$L1801='112'!$I$6)),"x",""))</f>
        <v/>
      </c>
      <c r="T1801" s="525" t="str">
        <f>IF(ISERROR(FIND('112'!$M$9,G1801,1)),"",IF((AND(RIGHT(G1801,2)=RIGHT('112'!$M$9,2),B1801&lt;'112'!$N$8,$M1801='112'!$I$6)),"x",""))</f>
        <v/>
      </c>
      <c r="U1801" s="525" t="str">
        <f>IF(AND(B1801&gt;='IN-NX'!$P$3,B1801&lt;='IN-NX'!$Q$3,'IN-NX'!$D$7=D1801,OR(LEFT(L1801,2)="15",AND(LEFT(M1801,2)&lt;&gt;"15",LEFT(M1801,2)&lt;&gt;"33"))),"x","")</f>
        <v/>
      </c>
      <c r="V1801" s="525" t="str">
        <f>IF(AND(OR(LEFT(TH!L1801,2)="15",LEFT(TH!M1801,2)="15"),'152-CT'!$J$8=TH!F1801),"x","")</f>
        <v/>
      </c>
      <c r="W1801" s="525" t="str">
        <f>IF(AND(OR(LEFT(TH!L1801,2)="15",LEFT(TH!M1801,2)="15"),TK!$E$7=TH!F1801),"x","")</f>
        <v/>
      </c>
      <c r="X1801" s="525" t="str">
        <f>IF(AND('341-CT'!$E$9=H1801,OR(LEFT(L1801,3)=$X$7,LEFT(M1801,3)=$X$7)),"x","")</f>
        <v/>
      </c>
      <c r="Y1801" s="525" t="str">
        <f>IF(OR(TH!L1801=TH!$Y$7,M1801=TH!$Y$7),"x","")</f>
        <v/>
      </c>
      <c r="Z1801" s="525" t="str">
        <f>IF(AND(B1801&lt;=NKC!$N$8,B1801&gt;=NKC!$M$8),"x","")</f>
        <v>x</v>
      </c>
      <c r="AA1801" s="535"/>
      <c r="AB1801" s="536"/>
    </row>
    <row r="1802" spans="1:31" s="503" customFormat="1" ht="15.75" customHeight="1">
      <c r="A1802" s="517" t="str">
        <f>IF(B1802&lt;&gt;"",IF(AND(B1802&gt;=_TM1,B1802&lt;=_TM2,OR(TH!L1802="1111",TH!M1802="1111")),TH!D1802,""),"")</f>
        <v/>
      </c>
      <c r="B1802" s="531">
        <f t="shared" si="174"/>
        <v>2</v>
      </c>
      <c r="C1802" s="315">
        <f t="shared" si="175"/>
        <v>42779</v>
      </c>
      <c r="D1802" s="315" t="s">
        <v>996</v>
      </c>
      <c r="E1802" s="545">
        <v>42779</v>
      </c>
      <c r="F1802" s="249" t="s">
        <v>500</v>
      </c>
      <c r="G1802" s="314" t="s">
        <v>530</v>
      </c>
      <c r="H1802" s="473" t="s">
        <v>800</v>
      </c>
      <c r="I1802" s="307">
        <v>300</v>
      </c>
      <c r="J1802" s="307">
        <v>8465.3248770559076</v>
      </c>
      <c r="K1802" s="532">
        <f t="shared" si="176"/>
        <v>2539597</v>
      </c>
      <c r="L1802" s="539" t="s">
        <v>160</v>
      </c>
      <c r="M1802" s="539" t="s">
        <v>292</v>
      </c>
      <c r="N1802" s="525" t="str">
        <f>IF(AND('331-CT'!$E$7=TH!H1802,OR(L1802="331",M1802="331")),"331",IF(AND(OR(L1802="131",M1802="131"),H1802='131-CT'!$E$7),"131",""))</f>
        <v/>
      </c>
      <c r="O1802" s="525" t="str">
        <f>IF(AND($B1802&gt;='111'!$N$11,$B1802&lt;='111'!$O$11,OR($L1802=$O$7,$M1802=$O$7)),"x","")</f>
        <v/>
      </c>
      <c r="P1802" s="525" t="str">
        <f>IF(AND($L1802=$O$7,$B1802&lt;'111'!$N$11),"x","")</f>
        <v/>
      </c>
      <c r="Q1802" s="525" t="str">
        <f>IF(AND($M1802=$O$7,$B1802&lt;'111'!$N$11),"x","")</f>
        <v/>
      </c>
      <c r="R1802" s="525" t="str">
        <f>IF(ISERROR(FIND('112'!$M$9,G1802,1)),"",IF((AND(FIND('112'!$M$9,G1802,1)&gt;=1,$B1802&gt;='112'!$N$8,$B1802&lt;='112'!$O$8,OR($L1802='112'!$I$6,$M1802='112'!$I$6))),"x",""))</f>
        <v/>
      </c>
      <c r="S1802" s="525" t="str">
        <f>IF(ISERROR(FIND('112'!$M$9,G1802,1)),"",IF((AND(LEFT(G1802,2)=LEFT('112'!$M$9,2),B1802&lt;'112'!$N$8,$L1802='112'!$I$6)),"x",""))</f>
        <v/>
      </c>
      <c r="T1802" s="525" t="str">
        <f>IF(ISERROR(FIND('112'!$M$9,G1802,1)),"",IF((AND(RIGHT(G1802,2)=RIGHT('112'!$M$9,2),B1802&lt;'112'!$N$8,$M1802='112'!$I$6)),"x",""))</f>
        <v/>
      </c>
      <c r="U1802" s="525" t="str">
        <f>IF(AND(B1802&gt;='IN-NX'!$P$3,B1802&lt;='IN-NX'!$Q$3,'IN-NX'!$D$7=D1802,OR(LEFT(L1802,2)="15",AND(LEFT(M1802,2)&lt;&gt;"15",LEFT(M1802,2)&lt;&gt;"33"))),"x","")</f>
        <v/>
      </c>
      <c r="V1802" s="525" t="str">
        <f>IF(AND(OR(LEFT(TH!L1802,2)="15",LEFT(TH!M1802,2)="15"),'152-CT'!$J$8=TH!F1802),"x","")</f>
        <v/>
      </c>
      <c r="W1802" s="525" t="str">
        <f>IF(AND(OR(LEFT(TH!L1802,2)="15",LEFT(TH!M1802,2)="15"),TK!$E$7=TH!F1802),"x","")</f>
        <v/>
      </c>
      <c r="X1802" s="525" t="str">
        <f>IF(AND('341-CT'!$E$9=H1802,OR(LEFT(L1802,3)=$X$7,LEFT(M1802,3)=$X$7)),"x","")</f>
        <v/>
      </c>
      <c r="Y1802" s="525" t="str">
        <f>IF(OR(TH!L1802=TH!$Y$7,M1802=TH!$Y$7),"x","")</f>
        <v/>
      </c>
      <c r="Z1802" s="525" t="str">
        <f>IF(AND(B1802&lt;=NKC!$N$8,B1802&gt;=NKC!$M$8),"x","")</f>
        <v>x</v>
      </c>
      <c r="AA1802" s="535"/>
      <c r="AB1802" s="536"/>
      <c r="AE1802" s="536"/>
    </row>
    <row r="1803" spans="1:31" s="503" customFormat="1" ht="15.75" customHeight="1">
      <c r="A1803" s="517" t="str">
        <f>IF(B1803&lt;&gt;"",IF(AND(B1803&gt;=_TM1,B1803&lt;=_TM2,OR(TH!L1803="1111",TH!M1803="1111")),TH!D1803,""),"")</f>
        <v/>
      </c>
      <c r="B1803" s="531">
        <f t="shared" si="174"/>
        <v>2</v>
      </c>
      <c r="C1803" s="315">
        <f t="shared" si="175"/>
        <v>42782</v>
      </c>
      <c r="D1803" s="315" t="s">
        <v>996</v>
      </c>
      <c r="E1803" s="280">
        <v>42782</v>
      </c>
      <c r="F1803" s="250" t="s">
        <v>558</v>
      </c>
      <c r="G1803" s="540" t="s">
        <v>531</v>
      </c>
      <c r="H1803" s="473" t="s">
        <v>800</v>
      </c>
      <c r="I1803" s="307">
        <v>400</v>
      </c>
      <c r="J1803" s="307">
        <v>18584.424877055906</v>
      </c>
      <c r="K1803" s="532">
        <f t="shared" si="176"/>
        <v>7433770</v>
      </c>
      <c r="L1803" s="539" t="s">
        <v>160</v>
      </c>
      <c r="M1803" s="539" t="s">
        <v>292</v>
      </c>
      <c r="N1803" s="525" t="str">
        <f>IF(AND('331-CT'!$E$7=TH!H1803,OR(L1803="331",M1803="331")),"331",IF(AND(OR(L1803="131",M1803="131"),H1803='131-CT'!$E$7),"131",""))</f>
        <v/>
      </c>
      <c r="O1803" s="525" t="str">
        <f>IF(AND($B1803&gt;='111'!$N$11,$B1803&lt;='111'!$O$11,OR($L1803=$O$7,$M1803=$O$7)),"x","")</f>
        <v/>
      </c>
      <c r="P1803" s="525" t="str">
        <f>IF(AND($L1803=$O$7,$B1803&lt;'111'!$N$11),"x","")</f>
        <v/>
      </c>
      <c r="Q1803" s="525" t="str">
        <f>IF(AND($M1803=$O$7,$B1803&lt;'111'!$N$11),"x","")</f>
        <v/>
      </c>
      <c r="R1803" s="525" t="str">
        <f>IF(ISERROR(FIND('112'!$M$9,G1803,1)),"",IF((AND(FIND('112'!$M$9,G1803,1)&gt;=1,$B1803&gt;='112'!$N$8,$B1803&lt;='112'!$O$8,OR($L1803='112'!$I$6,$M1803='112'!$I$6))),"x",""))</f>
        <v/>
      </c>
      <c r="S1803" s="525" t="str">
        <f>IF(ISERROR(FIND('112'!$M$9,G1803,1)),"",IF((AND(LEFT(G1803,2)=LEFT('112'!$M$9,2),B1803&lt;'112'!$N$8,$L1803='112'!$I$6)),"x",""))</f>
        <v/>
      </c>
      <c r="T1803" s="525" t="str">
        <f>IF(ISERROR(FIND('112'!$M$9,G1803,1)),"",IF((AND(RIGHT(G1803,2)=RIGHT('112'!$M$9,2),B1803&lt;'112'!$N$8,$M1803='112'!$I$6)),"x",""))</f>
        <v/>
      </c>
      <c r="U1803" s="525" t="str">
        <f>IF(AND(B1803&gt;='IN-NX'!$P$3,B1803&lt;='IN-NX'!$Q$3,'IN-NX'!$D$7=D1803,OR(LEFT(L1803,2)="15",AND(LEFT(M1803,2)&lt;&gt;"15",LEFT(M1803,2)&lt;&gt;"33"))),"x","")</f>
        <v/>
      </c>
      <c r="V1803" s="525" t="str">
        <f>IF(AND(OR(LEFT(TH!L1803,2)="15",LEFT(TH!M1803,2)="15"),'152-CT'!$J$8=TH!F1803),"x","")</f>
        <v/>
      </c>
      <c r="W1803" s="525" t="str">
        <f>IF(AND(OR(LEFT(TH!L1803,2)="15",LEFT(TH!M1803,2)="15"),TK!$E$7=TH!F1803),"x","")</f>
        <v/>
      </c>
      <c r="X1803" s="525" t="str">
        <f>IF(AND('341-CT'!$E$9=H1803,OR(LEFT(L1803,3)=$X$7,LEFT(M1803,3)=$X$7)),"x","")</f>
        <v/>
      </c>
      <c r="Y1803" s="525" t="str">
        <f>IF(OR(TH!L1803=TH!$Y$7,M1803=TH!$Y$7),"x","")</f>
        <v/>
      </c>
      <c r="Z1803" s="525" t="str">
        <f>IF(AND(B1803&lt;=NKC!$N$8,B1803&gt;=NKC!$M$8),"x","")</f>
        <v>x</v>
      </c>
      <c r="AA1803" s="535"/>
    </row>
    <row r="1804" spans="1:31" s="503" customFormat="1" ht="15.75" customHeight="1">
      <c r="A1804" s="517" t="str">
        <f>IF(B1804&lt;&gt;"",IF(AND(B1804&gt;=_TM1,B1804&lt;=_TM2,OR(TH!L1804="1111",TH!M1804="1111")),TH!D1804,""),"")</f>
        <v/>
      </c>
      <c r="B1804" s="531">
        <f t="shared" si="174"/>
        <v>2</v>
      </c>
      <c r="C1804" s="315">
        <f t="shared" si="175"/>
        <v>42790</v>
      </c>
      <c r="D1804" s="315" t="s">
        <v>996</v>
      </c>
      <c r="E1804" s="548">
        <v>42790</v>
      </c>
      <c r="F1804" s="249" t="s">
        <v>504</v>
      </c>
      <c r="G1804" s="540" t="s">
        <v>540</v>
      </c>
      <c r="H1804" s="473" t="s">
        <v>800</v>
      </c>
      <c r="I1804" s="307">
        <v>150</v>
      </c>
      <c r="J1804" s="307">
        <v>35247.644877055907</v>
      </c>
      <c r="K1804" s="532">
        <f t="shared" si="176"/>
        <v>5287147</v>
      </c>
      <c r="L1804" s="539" t="s">
        <v>160</v>
      </c>
      <c r="M1804" s="539" t="s">
        <v>292</v>
      </c>
      <c r="N1804" s="525" t="str">
        <f>IF(AND('331-CT'!$E$7=TH!H1804,OR(L1804="331",M1804="331")),"331",IF(AND(OR(L1804="131",M1804="131"),H1804='131-CT'!$E$7),"131",""))</f>
        <v/>
      </c>
      <c r="O1804" s="525" t="str">
        <f>IF(AND($B1804&gt;='111'!$N$11,$B1804&lt;='111'!$O$11,OR($L1804=$O$7,$M1804=$O$7)),"x","")</f>
        <v/>
      </c>
      <c r="P1804" s="525" t="str">
        <f>IF(AND($L1804=$O$7,$B1804&lt;'111'!$N$11),"x","")</f>
        <v/>
      </c>
      <c r="Q1804" s="525" t="str">
        <f>IF(AND($M1804=$O$7,$B1804&lt;'111'!$N$11),"x","")</f>
        <v/>
      </c>
      <c r="R1804" s="525" t="str">
        <f>IF(ISERROR(FIND('112'!$M$9,G1804,1)),"",IF((AND(FIND('112'!$M$9,G1804,1)&gt;=1,$B1804&gt;='112'!$N$8,$B1804&lt;='112'!$O$8,OR($L1804='112'!$I$6,$M1804='112'!$I$6))),"x",""))</f>
        <v/>
      </c>
      <c r="S1804" s="525" t="str">
        <f>IF(ISERROR(FIND('112'!$M$9,G1804,1)),"",IF((AND(LEFT(G1804,2)=LEFT('112'!$M$9,2),B1804&lt;'112'!$N$8,$L1804='112'!$I$6)),"x",""))</f>
        <v/>
      </c>
      <c r="T1804" s="525" t="str">
        <f>IF(ISERROR(FIND('112'!$M$9,G1804,1)),"",IF((AND(RIGHT(G1804,2)=RIGHT('112'!$M$9,2),B1804&lt;'112'!$N$8,$M1804='112'!$I$6)),"x",""))</f>
        <v/>
      </c>
      <c r="U1804" s="525" t="str">
        <f>IF(AND(B1804&gt;='IN-NX'!$P$3,B1804&lt;='IN-NX'!$Q$3,'IN-NX'!$D$7=D1804,OR(LEFT(L1804,2)="15",AND(LEFT(M1804,2)&lt;&gt;"15",LEFT(M1804,2)&lt;&gt;"33"))),"x","")</f>
        <v/>
      </c>
      <c r="V1804" s="525" t="str">
        <f>IF(AND(OR(LEFT(TH!L1804,2)="15",LEFT(TH!M1804,2)="15"),'152-CT'!$J$8=TH!F1804),"x","")</f>
        <v/>
      </c>
      <c r="W1804" s="525" t="str">
        <f>IF(AND(OR(LEFT(TH!L1804,2)="15",LEFT(TH!M1804,2)="15"),TK!$E$7=TH!F1804),"x","")</f>
        <v/>
      </c>
      <c r="X1804" s="525" t="str">
        <f>IF(AND('341-CT'!$E$9=H1804,OR(LEFT(L1804,3)=$X$7,LEFT(M1804,3)=$X$7)),"x","")</f>
        <v/>
      </c>
      <c r="Y1804" s="525" t="str">
        <f>IF(OR(TH!L1804=TH!$Y$7,M1804=TH!$Y$7),"x","")</f>
        <v/>
      </c>
      <c r="Z1804" s="525" t="str">
        <f>IF(AND(B1804&lt;=NKC!$N$8,B1804&gt;=NKC!$M$8),"x","")</f>
        <v>x</v>
      </c>
      <c r="AA1804" s="535"/>
    </row>
    <row r="1805" spans="1:31" s="503" customFormat="1" ht="15.75" customHeight="1">
      <c r="A1805" s="517" t="str">
        <f>IF(B1805&lt;&gt;"",IF(AND(B1805&gt;=_TM1,B1805&lt;=_TM2,OR(TH!L1805="1111",TH!M1805="1111")),TH!D1805,""),"")</f>
        <v/>
      </c>
      <c r="B1805" s="531">
        <f t="shared" si="174"/>
        <v>2</v>
      </c>
      <c r="C1805" s="315">
        <f t="shared" si="175"/>
        <v>42790</v>
      </c>
      <c r="D1805" s="315" t="s">
        <v>996</v>
      </c>
      <c r="E1805" s="548">
        <v>42790</v>
      </c>
      <c r="F1805" s="250" t="s">
        <v>504</v>
      </c>
      <c r="G1805" s="540" t="s">
        <v>540</v>
      </c>
      <c r="H1805" s="473" t="s">
        <v>800</v>
      </c>
      <c r="I1805" s="307">
        <v>850</v>
      </c>
      <c r="J1805" s="307">
        <v>35463.774288820612</v>
      </c>
      <c r="K1805" s="532">
        <f t="shared" si="176"/>
        <v>30144208</v>
      </c>
      <c r="L1805" s="539" t="s">
        <v>160</v>
      </c>
      <c r="M1805" s="539" t="s">
        <v>292</v>
      </c>
      <c r="N1805" s="525" t="str">
        <f>IF(AND('331-CT'!$E$7=TH!H1805,OR(L1805="331",M1805="331")),"331",IF(AND(OR(L1805="131",M1805="131"),H1805='131-CT'!$E$7),"131",""))</f>
        <v/>
      </c>
      <c r="O1805" s="525" t="str">
        <f>IF(AND($B1805&gt;='111'!$N$11,$B1805&lt;='111'!$O$11,OR($L1805=$O$7,$M1805=$O$7)),"x","")</f>
        <v/>
      </c>
      <c r="P1805" s="525" t="str">
        <f>IF(AND($L1805=$O$7,$B1805&lt;'111'!$N$11),"x","")</f>
        <v/>
      </c>
      <c r="Q1805" s="525" t="str">
        <f>IF(AND($M1805=$O$7,$B1805&lt;'111'!$N$11),"x","")</f>
        <v/>
      </c>
      <c r="R1805" s="525" t="str">
        <f>IF(ISERROR(FIND('112'!$M$9,G1805,1)),"",IF((AND(FIND('112'!$M$9,G1805,1)&gt;=1,$B1805&gt;='112'!$N$8,$B1805&lt;='112'!$O$8,OR($L1805='112'!$I$6,$M1805='112'!$I$6))),"x",""))</f>
        <v/>
      </c>
      <c r="S1805" s="525" t="str">
        <f>IF(ISERROR(FIND('112'!$M$9,G1805,1)),"",IF((AND(LEFT(G1805,2)=LEFT('112'!$M$9,2),B1805&lt;'112'!$N$8,$L1805='112'!$I$6)),"x",""))</f>
        <v/>
      </c>
      <c r="T1805" s="525" t="str">
        <f>IF(ISERROR(FIND('112'!$M$9,G1805,1)),"",IF((AND(RIGHT(G1805,2)=RIGHT('112'!$M$9,2),B1805&lt;'112'!$N$8,$M1805='112'!$I$6)),"x",""))</f>
        <v/>
      </c>
      <c r="U1805" s="525" t="str">
        <f>IF(AND(B1805&gt;='IN-NX'!$P$3,B1805&lt;='IN-NX'!$Q$3,'IN-NX'!$D$7=D1805,OR(LEFT(L1805,2)="15",AND(LEFT(M1805,2)&lt;&gt;"15",LEFT(M1805,2)&lt;&gt;"33"))),"x","")</f>
        <v/>
      </c>
      <c r="V1805" s="525" t="str">
        <f>IF(AND(OR(LEFT(TH!L1805,2)="15",LEFT(TH!M1805,2)="15"),'152-CT'!$J$8=TH!F1805),"x","")</f>
        <v/>
      </c>
      <c r="W1805" s="525" t="str">
        <f>IF(AND(OR(LEFT(TH!L1805,2)="15",LEFT(TH!M1805,2)="15"),TK!$E$7=TH!F1805),"x","")</f>
        <v/>
      </c>
      <c r="X1805" s="525" t="str">
        <f>IF(AND('341-CT'!$E$9=H1805,OR(LEFT(L1805,3)=$X$7,LEFT(M1805,3)=$X$7)),"x","")</f>
        <v/>
      </c>
      <c r="Y1805" s="525" t="str">
        <f>IF(OR(TH!L1805=TH!$Y$7,M1805=TH!$Y$7),"x","")</f>
        <v/>
      </c>
      <c r="Z1805" s="525" t="str">
        <f>IF(AND(B1805&lt;=NKC!$N$8,B1805&gt;=NKC!$M$8),"x","")</f>
        <v>x</v>
      </c>
      <c r="AA1805" s="535"/>
    </row>
    <row r="1806" spans="1:31" s="503" customFormat="1" ht="15.75" customHeight="1">
      <c r="A1806" s="517" t="str">
        <f>IF(B1806&lt;&gt;"",IF(AND(B1806&gt;=_TM1,B1806&lt;=_TM2,OR(TH!L1806="1111",TH!M1806="1111")),TH!D1806,""),"")</f>
        <v/>
      </c>
      <c r="B1806" s="531">
        <f t="shared" si="174"/>
        <v>2</v>
      </c>
      <c r="C1806" s="315">
        <f t="shared" si="175"/>
        <v>42790</v>
      </c>
      <c r="D1806" s="315" t="s">
        <v>996</v>
      </c>
      <c r="E1806" s="548">
        <v>42790</v>
      </c>
      <c r="F1806" s="250" t="s">
        <v>504</v>
      </c>
      <c r="G1806" s="540" t="s">
        <v>540</v>
      </c>
      <c r="H1806" s="473" t="s">
        <v>800</v>
      </c>
      <c r="I1806" s="307">
        <v>850</v>
      </c>
      <c r="J1806" s="523">
        <v>35388.988406467673</v>
      </c>
      <c r="K1806" s="532">
        <f t="shared" si="176"/>
        <v>30080640</v>
      </c>
      <c r="L1806" s="539" t="s">
        <v>160</v>
      </c>
      <c r="M1806" s="539" t="s">
        <v>292</v>
      </c>
      <c r="N1806" s="525" t="str">
        <f>IF(AND('331-CT'!$E$7=TH!H1806,OR(L1806="331",M1806="331")),"331",IF(AND(OR(L1806="131",M1806="131"),H1806='131-CT'!$E$7),"131",""))</f>
        <v/>
      </c>
      <c r="O1806" s="525" t="str">
        <f>IF(AND($B1806&gt;='111'!$N$11,$B1806&lt;='111'!$O$11,OR($L1806=$O$7,$M1806=$O$7)),"x","")</f>
        <v/>
      </c>
      <c r="P1806" s="525" t="str">
        <f>IF(AND($L1806=$O$7,$B1806&lt;'111'!$N$11),"x","")</f>
        <v/>
      </c>
      <c r="Q1806" s="525" t="str">
        <f>IF(AND($M1806=$O$7,$B1806&lt;'111'!$N$11),"x","")</f>
        <v/>
      </c>
      <c r="R1806" s="525" t="str">
        <f>IF(ISERROR(FIND('112'!$M$9,G1806,1)),"",IF((AND(FIND('112'!$M$9,G1806,1)&gt;=1,$B1806&gt;='112'!$N$8,$B1806&lt;='112'!$O$8,OR($L1806='112'!$I$6,$M1806='112'!$I$6))),"x",""))</f>
        <v/>
      </c>
      <c r="S1806" s="525" t="str">
        <f>IF(ISERROR(FIND('112'!$M$9,G1806,1)),"",IF((AND(LEFT(G1806,2)=LEFT('112'!$M$9,2),B1806&lt;'112'!$N$8,$L1806='112'!$I$6)),"x",""))</f>
        <v/>
      </c>
      <c r="T1806" s="525" t="str">
        <f>IF(ISERROR(FIND('112'!$M$9,G1806,1)),"",IF((AND(RIGHT(G1806,2)=RIGHT('112'!$M$9,2),B1806&lt;'112'!$N$8,$M1806='112'!$I$6)),"x",""))</f>
        <v/>
      </c>
      <c r="U1806" s="525" t="str">
        <f>IF(AND(B1806&gt;='IN-NX'!$P$3,B1806&lt;='IN-NX'!$Q$3,'IN-NX'!$D$7=D1806,OR(LEFT(L1806,2)="15",AND(LEFT(M1806,2)&lt;&gt;"15",LEFT(M1806,2)&lt;&gt;"33"))),"x","")</f>
        <v/>
      </c>
      <c r="V1806" s="525" t="str">
        <f>IF(AND(OR(LEFT(TH!L1806,2)="15",LEFT(TH!M1806,2)="15"),'152-CT'!$J$8=TH!F1806),"x","")</f>
        <v/>
      </c>
      <c r="W1806" s="525" t="str">
        <f>IF(AND(OR(LEFT(TH!L1806,2)="15",LEFT(TH!M1806,2)="15"),TK!$E$7=TH!F1806),"x","")</f>
        <v/>
      </c>
      <c r="X1806" s="525" t="str">
        <f>IF(AND('341-CT'!$E$9=H1806,OR(LEFT(L1806,3)=$X$7,LEFT(M1806,3)=$X$7)),"x","")</f>
        <v/>
      </c>
      <c r="Y1806" s="525" t="str">
        <f>IF(OR(TH!L1806=TH!$Y$7,M1806=TH!$Y$7),"x","")</f>
        <v/>
      </c>
      <c r="Z1806" s="525" t="str">
        <f>IF(AND(B1806&lt;=NKC!$N$8,B1806&gt;=NKC!$M$8),"x","")</f>
        <v>x</v>
      </c>
      <c r="AA1806" s="535"/>
    </row>
    <row r="1807" spans="1:31" s="503" customFormat="1" ht="15.75" customHeight="1">
      <c r="A1807" s="517" t="str">
        <f>IF(B1807&lt;&gt;"",IF(AND(B1807&gt;=_TM1,B1807&lt;=_TM2,OR(TH!L1807="1111",TH!M1807="1111")),TH!D1807,""),"")</f>
        <v/>
      </c>
      <c r="B1807" s="531">
        <f t="shared" si="174"/>
        <v>2</v>
      </c>
      <c r="C1807" s="315">
        <f t="shared" si="175"/>
        <v>42790</v>
      </c>
      <c r="D1807" s="315" t="s">
        <v>996</v>
      </c>
      <c r="E1807" s="548">
        <v>42790</v>
      </c>
      <c r="F1807" s="250" t="s">
        <v>505</v>
      </c>
      <c r="G1807" s="540" t="s">
        <v>540</v>
      </c>
      <c r="H1807" s="473" t="s">
        <v>800</v>
      </c>
      <c r="I1807" s="307">
        <v>518</v>
      </c>
      <c r="J1807" s="307">
        <v>32736.369201380236</v>
      </c>
      <c r="K1807" s="532">
        <f t="shared" si="176"/>
        <v>16957439</v>
      </c>
      <c r="L1807" s="539" t="s">
        <v>160</v>
      </c>
      <c r="M1807" s="539" t="s">
        <v>292</v>
      </c>
      <c r="N1807" s="525" t="str">
        <f>IF(AND('331-CT'!$E$7=TH!H1807,OR(L1807="331",M1807="331")),"331",IF(AND(OR(L1807="131",M1807="131"),H1807='131-CT'!$E$7),"131",""))</f>
        <v/>
      </c>
      <c r="O1807" s="525" t="str">
        <f>IF(AND($B1807&gt;='111'!$N$11,$B1807&lt;='111'!$O$11,OR($L1807=$O$7,$M1807=$O$7)),"x","")</f>
        <v/>
      </c>
      <c r="P1807" s="525" t="str">
        <f>IF(AND($L1807=$O$7,$B1807&lt;'111'!$N$11),"x","")</f>
        <v/>
      </c>
      <c r="Q1807" s="525" t="str">
        <f>IF(AND($M1807=$O$7,$B1807&lt;'111'!$N$11),"x","")</f>
        <v/>
      </c>
      <c r="R1807" s="525" t="str">
        <f>IF(ISERROR(FIND('112'!$M$9,G1807,1)),"",IF((AND(FIND('112'!$M$9,G1807,1)&gt;=1,$B1807&gt;='112'!$N$8,$B1807&lt;='112'!$O$8,OR($L1807='112'!$I$6,$M1807='112'!$I$6))),"x",""))</f>
        <v/>
      </c>
      <c r="S1807" s="525" t="str">
        <f>IF(ISERROR(FIND('112'!$M$9,G1807,1)),"",IF((AND(LEFT(G1807,2)=LEFT('112'!$M$9,2),B1807&lt;'112'!$N$8,$L1807='112'!$I$6)),"x",""))</f>
        <v/>
      </c>
      <c r="T1807" s="525" t="str">
        <f>IF(ISERROR(FIND('112'!$M$9,G1807,1)),"",IF((AND(RIGHT(G1807,2)=RIGHT('112'!$M$9,2),B1807&lt;'112'!$N$8,$M1807='112'!$I$6)),"x",""))</f>
        <v/>
      </c>
      <c r="U1807" s="525" t="str">
        <f>IF(AND(B1807&gt;='IN-NX'!$P$3,B1807&lt;='IN-NX'!$Q$3,'IN-NX'!$D$7=D1807,OR(LEFT(L1807,2)="15",AND(LEFT(M1807,2)&lt;&gt;"15",LEFT(M1807,2)&lt;&gt;"33"))),"x","")</f>
        <v/>
      </c>
      <c r="V1807" s="525" t="str">
        <f>IF(AND(OR(LEFT(TH!L1807,2)="15",LEFT(TH!M1807,2)="15"),'152-CT'!$J$8=TH!F1807),"x","")</f>
        <v/>
      </c>
      <c r="W1807" s="525" t="str">
        <f>IF(AND(OR(LEFT(TH!L1807,2)="15",LEFT(TH!M1807,2)="15"),TK!$E$7=TH!F1807),"x","")</f>
        <v/>
      </c>
      <c r="X1807" s="525" t="str">
        <f>IF(AND('341-CT'!$E$9=H1807,OR(LEFT(L1807,3)=$X$7,LEFT(M1807,3)=$X$7)),"x","")</f>
        <v/>
      </c>
      <c r="Y1807" s="525" t="str">
        <f>IF(OR(TH!L1807=TH!$Y$7,M1807=TH!$Y$7),"x","")</f>
        <v/>
      </c>
      <c r="Z1807" s="525" t="str">
        <f>IF(AND(B1807&lt;=NKC!$N$8,B1807&gt;=NKC!$M$8),"x","")</f>
        <v>x</v>
      </c>
      <c r="AA1807" s="535"/>
    </row>
    <row r="1808" spans="1:31" s="503" customFormat="1" ht="15.75" customHeight="1">
      <c r="A1808" s="517" t="str">
        <f>IF(B1808&lt;&gt;"",IF(AND(B1808&gt;=_TM1,B1808&lt;=_TM2,OR(TH!L1808="1111",TH!M1808="1111")),TH!D1808,""),"")</f>
        <v/>
      </c>
      <c r="B1808" s="531">
        <f t="shared" si="174"/>
        <v>2</v>
      </c>
      <c r="C1808" s="315">
        <f t="shared" si="175"/>
        <v>42791</v>
      </c>
      <c r="D1808" s="315" t="s">
        <v>996</v>
      </c>
      <c r="E1808" s="548">
        <v>42791</v>
      </c>
      <c r="F1808" s="249" t="s">
        <v>558</v>
      </c>
      <c r="G1808" s="540" t="s">
        <v>541</v>
      </c>
      <c r="H1808" s="473" t="s">
        <v>800</v>
      </c>
      <c r="I1808" s="307">
        <v>620</v>
      </c>
      <c r="J1808" s="307">
        <v>18438.467457701066</v>
      </c>
      <c r="K1808" s="532">
        <f t="shared" si="176"/>
        <v>11431850</v>
      </c>
      <c r="L1808" s="539" t="s">
        <v>160</v>
      </c>
      <c r="M1808" s="539" t="s">
        <v>292</v>
      </c>
      <c r="N1808" s="525" t="str">
        <f>IF(AND('331-CT'!$E$7=TH!H1808,OR(L1808="331",M1808="331")),"331",IF(AND(OR(L1808="131",M1808="131"),H1808='131-CT'!$E$7),"131",""))</f>
        <v/>
      </c>
      <c r="O1808" s="525" t="str">
        <f>IF(AND($B1808&gt;='111'!$N$11,$B1808&lt;='111'!$O$11,OR($L1808=$O$7,$M1808=$O$7)),"x","")</f>
        <v/>
      </c>
      <c r="P1808" s="525" t="str">
        <f>IF(AND($L1808=$O$7,$B1808&lt;'111'!$N$11),"x","")</f>
        <v/>
      </c>
      <c r="Q1808" s="525" t="str">
        <f>IF(AND($M1808=$O$7,$B1808&lt;'111'!$N$11),"x","")</f>
        <v/>
      </c>
      <c r="R1808" s="525" t="str">
        <f>IF(ISERROR(FIND('112'!$M$9,G1808,1)),"",IF((AND(FIND('112'!$M$9,G1808,1)&gt;=1,$B1808&gt;='112'!$N$8,$B1808&lt;='112'!$O$8,OR($L1808='112'!$I$6,$M1808='112'!$I$6))),"x",""))</f>
        <v/>
      </c>
      <c r="S1808" s="525" t="str">
        <f>IF(ISERROR(FIND('112'!$M$9,G1808,1)),"",IF((AND(LEFT(G1808,2)=LEFT('112'!$M$9,2),B1808&lt;'112'!$N$8,$L1808='112'!$I$6)),"x",""))</f>
        <v/>
      </c>
      <c r="T1808" s="525" t="str">
        <f>IF(ISERROR(FIND('112'!$M$9,G1808,1)),"",IF((AND(RIGHT(G1808,2)=RIGHT('112'!$M$9,2),B1808&lt;'112'!$N$8,$M1808='112'!$I$6)),"x",""))</f>
        <v/>
      </c>
      <c r="U1808" s="525" t="str">
        <f>IF(AND(B1808&gt;='IN-NX'!$P$3,B1808&lt;='IN-NX'!$Q$3,'IN-NX'!$D$7=D1808,OR(LEFT(L1808,2)="15",AND(LEFT(M1808,2)&lt;&gt;"15",LEFT(M1808,2)&lt;&gt;"33"))),"x","")</f>
        <v/>
      </c>
      <c r="V1808" s="525" t="str">
        <f>IF(AND(OR(LEFT(TH!L1808,2)="15",LEFT(TH!M1808,2)="15"),'152-CT'!$J$8=TH!F1808),"x","")</f>
        <v/>
      </c>
      <c r="W1808" s="525" t="str">
        <f>IF(AND(OR(LEFT(TH!L1808,2)="15",LEFT(TH!M1808,2)="15"),TK!$E$7=TH!F1808),"x","")</f>
        <v/>
      </c>
      <c r="X1808" s="525" t="str">
        <f>IF(AND('341-CT'!$E$9=H1808,OR(LEFT(L1808,3)=$X$7,LEFT(M1808,3)=$X$7)),"x","")</f>
        <v/>
      </c>
      <c r="Y1808" s="525" t="str">
        <f>IF(OR(TH!L1808=TH!$Y$7,M1808=TH!$Y$7),"x","")</f>
        <v/>
      </c>
      <c r="Z1808" s="525" t="str">
        <f>IF(AND(B1808&lt;=NKC!$N$8,B1808&gt;=NKC!$M$8),"x","")</f>
        <v>x</v>
      </c>
      <c r="AA1808" s="535"/>
    </row>
    <row r="1809" spans="1:31" s="503" customFormat="1" ht="15.75" customHeight="1">
      <c r="A1809" s="517" t="str">
        <f>IF(B1809&lt;&gt;"",IF(AND(B1809&gt;=_TM1,B1809&lt;=_TM2,OR(TH!L1809="1111",TH!M1809="1111")),TH!D1809,""),"")</f>
        <v/>
      </c>
      <c r="B1809" s="531">
        <f t="shared" si="174"/>
        <v>2</v>
      </c>
      <c r="C1809" s="315">
        <f t="shared" si="175"/>
        <v>42791</v>
      </c>
      <c r="D1809" s="315" t="s">
        <v>996</v>
      </c>
      <c r="E1809" s="548">
        <v>42791</v>
      </c>
      <c r="F1809" s="249" t="s">
        <v>627</v>
      </c>
      <c r="G1809" s="540" t="s">
        <v>542</v>
      </c>
      <c r="H1809" s="473" t="s">
        <v>800</v>
      </c>
      <c r="I1809" s="307">
        <v>234</v>
      </c>
      <c r="J1809" s="307">
        <v>49913.895304406331</v>
      </c>
      <c r="K1809" s="532">
        <f t="shared" si="176"/>
        <v>11679852</v>
      </c>
      <c r="L1809" s="539" t="s">
        <v>160</v>
      </c>
      <c r="M1809" s="539" t="s">
        <v>292</v>
      </c>
      <c r="N1809" s="525" t="str">
        <f>IF(AND('331-CT'!$E$7=TH!H1809,OR(L1809="331",M1809="331")),"331",IF(AND(OR(L1809="131",M1809="131"),H1809='131-CT'!$E$7),"131",""))</f>
        <v/>
      </c>
      <c r="O1809" s="525" t="str">
        <f>IF(AND($B1809&gt;='111'!$N$11,$B1809&lt;='111'!$O$11,OR($L1809=$O$7,$M1809=$O$7)),"x","")</f>
        <v/>
      </c>
      <c r="P1809" s="525" t="str">
        <f>IF(AND($L1809=$O$7,$B1809&lt;'111'!$N$11),"x","")</f>
        <v/>
      </c>
      <c r="Q1809" s="525" t="str">
        <f>IF(AND($M1809=$O$7,$B1809&lt;'111'!$N$11),"x","")</f>
        <v/>
      </c>
      <c r="R1809" s="525" t="str">
        <f>IF(ISERROR(FIND('112'!$M$9,G1809,1)),"",IF((AND(FIND('112'!$M$9,G1809,1)&gt;=1,$B1809&gt;='112'!$N$8,$B1809&lt;='112'!$O$8,OR($L1809='112'!$I$6,$M1809='112'!$I$6))),"x",""))</f>
        <v/>
      </c>
      <c r="S1809" s="525" t="str">
        <f>IF(ISERROR(FIND('112'!$M$9,G1809,1)),"",IF((AND(LEFT(G1809,2)=LEFT('112'!$M$9,2),B1809&lt;'112'!$N$8,$L1809='112'!$I$6)),"x",""))</f>
        <v/>
      </c>
      <c r="T1809" s="525" t="str">
        <f>IF(ISERROR(FIND('112'!$M$9,G1809,1)),"",IF((AND(RIGHT(G1809,2)=RIGHT('112'!$M$9,2),B1809&lt;'112'!$N$8,$M1809='112'!$I$6)),"x",""))</f>
        <v/>
      </c>
      <c r="U1809" s="525" t="str">
        <f>IF(AND(B1809&gt;='IN-NX'!$P$3,B1809&lt;='IN-NX'!$Q$3,'IN-NX'!$D$7=D1809,OR(LEFT(L1809,2)="15",AND(LEFT(M1809,2)&lt;&gt;"15",LEFT(M1809,2)&lt;&gt;"33"))),"x","")</f>
        <v/>
      </c>
      <c r="V1809" s="525" t="str">
        <f>IF(AND(OR(LEFT(TH!L1809,2)="15",LEFT(TH!M1809,2)="15"),'152-CT'!$J$8=TH!F1809),"x","")</f>
        <v/>
      </c>
      <c r="W1809" s="525" t="str">
        <f>IF(AND(OR(LEFT(TH!L1809,2)="15",LEFT(TH!M1809,2)="15"),TK!$E$7=TH!F1809),"x","")</f>
        <v/>
      </c>
      <c r="X1809" s="525" t="str">
        <f>IF(AND('341-CT'!$E$9=H1809,OR(LEFT(L1809,3)=$X$7,LEFT(M1809,3)=$X$7)),"x","")</f>
        <v/>
      </c>
      <c r="Y1809" s="525" t="str">
        <f>IF(OR(TH!L1809=TH!$Y$7,M1809=TH!$Y$7),"x","")</f>
        <v/>
      </c>
      <c r="Z1809" s="525" t="str">
        <f>IF(AND(B1809&lt;=NKC!$N$8,B1809&gt;=NKC!$M$8),"x","")</f>
        <v>x</v>
      </c>
      <c r="AA1809" s="535"/>
    </row>
    <row r="1810" spans="1:31" s="503" customFormat="1" ht="15.75" customHeight="1">
      <c r="A1810" s="517" t="str">
        <f>IF(B1810&lt;&gt;"",IF(AND(B1810&gt;=_TM1,B1810&lt;=_TM2,OR(TH!L1810="1111",TH!M1810="1111")),TH!D1810,""),"")</f>
        <v/>
      </c>
      <c r="B1810" s="531">
        <f t="shared" si="174"/>
        <v>2</v>
      </c>
      <c r="C1810" s="315">
        <f t="shared" si="175"/>
        <v>42791</v>
      </c>
      <c r="D1810" s="315" t="s">
        <v>996</v>
      </c>
      <c r="E1810" s="545">
        <v>42791</v>
      </c>
      <c r="F1810" s="250" t="s">
        <v>737</v>
      </c>
      <c r="G1810" s="540" t="s">
        <v>542</v>
      </c>
      <c r="H1810" s="473" t="s">
        <v>800</v>
      </c>
      <c r="I1810" s="307">
        <v>45</v>
      </c>
      <c r="J1810" s="307">
        <v>73548.178210389247</v>
      </c>
      <c r="K1810" s="532">
        <f t="shared" si="176"/>
        <v>3309668</v>
      </c>
      <c r="L1810" s="539" t="s">
        <v>160</v>
      </c>
      <c r="M1810" s="539" t="s">
        <v>292</v>
      </c>
      <c r="N1810" s="525" t="str">
        <f>IF(AND('331-CT'!$E$7=TH!H1810,OR(L1810="331",M1810="331")),"331",IF(AND(OR(L1810="131",M1810="131"),H1810='131-CT'!$E$7),"131",""))</f>
        <v/>
      </c>
      <c r="O1810" s="525" t="str">
        <f>IF(AND($B1810&gt;='111'!$N$11,$B1810&lt;='111'!$O$11,OR($L1810=$O$7,$M1810=$O$7)),"x","")</f>
        <v/>
      </c>
      <c r="P1810" s="525" t="str">
        <f>IF(AND($L1810=$O$7,$B1810&lt;'111'!$N$11),"x","")</f>
        <v/>
      </c>
      <c r="Q1810" s="525" t="str">
        <f>IF(AND($M1810=$O$7,$B1810&lt;'111'!$N$11),"x","")</f>
        <v/>
      </c>
      <c r="R1810" s="525" t="str">
        <f>IF(ISERROR(FIND('112'!$M$9,G1810,1)),"",IF((AND(FIND('112'!$M$9,G1810,1)&gt;=1,$B1810&gt;='112'!$N$8,$B1810&lt;='112'!$O$8,OR($L1810='112'!$I$6,$M1810='112'!$I$6))),"x",""))</f>
        <v/>
      </c>
      <c r="S1810" s="525" t="str">
        <f>IF(ISERROR(FIND('112'!$M$9,G1810,1)),"",IF((AND(LEFT(G1810,2)=LEFT('112'!$M$9,2),B1810&lt;'112'!$N$8,$L1810='112'!$I$6)),"x",""))</f>
        <v/>
      </c>
      <c r="T1810" s="525" t="str">
        <f>IF(ISERROR(FIND('112'!$M$9,G1810,1)),"",IF((AND(RIGHT(G1810,2)=RIGHT('112'!$M$9,2),B1810&lt;'112'!$N$8,$M1810='112'!$I$6)),"x",""))</f>
        <v/>
      </c>
      <c r="U1810" s="525" t="str">
        <f>IF(AND(B1810&gt;='IN-NX'!$P$3,B1810&lt;='IN-NX'!$Q$3,'IN-NX'!$D$7=D1810,OR(LEFT(L1810,2)="15",AND(LEFT(M1810,2)&lt;&gt;"15",LEFT(M1810,2)&lt;&gt;"33"))),"x","")</f>
        <v/>
      </c>
      <c r="V1810" s="525" t="str">
        <f>IF(AND(OR(LEFT(TH!L1810,2)="15",LEFT(TH!M1810,2)="15"),'152-CT'!$J$8=TH!F1810),"x","")</f>
        <v/>
      </c>
      <c r="W1810" s="525" t="str">
        <f>IF(AND(OR(LEFT(TH!L1810,2)="15",LEFT(TH!M1810,2)="15"),TK!$E$7=TH!F1810),"x","")</f>
        <v/>
      </c>
      <c r="X1810" s="525" t="str">
        <f>IF(AND('341-CT'!$E$9=H1810,OR(LEFT(L1810,3)=$X$7,LEFT(M1810,3)=$X$7)),"x","")</f>
        <v/>
      </c>
      <c r="Y1810" s="525" t="str">
        <f>IF(OR(TH!L1810=TH!$Y$7,M1810=TH!$Y$7),"x","")</f>
        <v/>
      </c>
      <c r="Z1810" s="525" t="str">
        <f>IF(AND(B1810&lt;=NKC!$N$8,B1810&gt;=NKC!$M$8),"x","")</f>
        <v>x</v>
      </c>
      <c r="AA1810" s="535"/>
    </row>
    <row r="1811" spans="1:31" s="503" customFormat="1" ht="15.75" customHeight="1">
      <c r="A1811" s="517" t="str">
        <f>IF(B1811&lt;&gt;"",IF(AND(B1811&gt;=_TM1,B1811&lt;=_TM2,OR(TH!L1811="1111",TH!M1811="1111")),TH!D1811,""),"")</f>
        <v/>
      </c>
      <c r="B1811" s="531">
        <f t="shared" si="174"/>
        <v>2</v>
      </c>
      <c r="C1811" s="315">
        <f t="shared" si="175"/>
        <v>42791</v>
      </c>
      <c r="D1811" s="315" t="s">
        <v>996</v>
      </c>
      <c r="E1811" s="548">
        <v>42791</v>
      </c>
      <c r="F1811" s="249" t="s">
        <v>759</v>
      </c>
      <c r="G1811" s="540" t="s">
        <v>542</v>
      </c>
      <c r="H1811" s="473" t="s">
        <v>800</v>
      </c>
      <c r="I1811" s="307">
        <v>100</v>
      </c>
      <c r="J1811" s="307">
        <v>32796.744877055906</v>
      </c>
      <c r="K1811" s="532">
        <f t="shared" si="176"/>
        <v>3279674</v>
      </c>
      <c r="L1811" s="539" t="s">
        <v>160</v>
      </c>
      <c r="M1811" s="539" t="s">
        <v>292</v>
      </c>
      <c r="N1811" s="525" t="str">
        <f>IF(AND('331-CT'!$E$7=TH!H1811,OR(L1811="331",M1811="331")),"331",IF(AND(OR(L1811="131",M1811="131"),H1811='131-CT'!$E$7),"131",""))</f>
        <v/>
      </c>
      <c r="O1811" s="525" t="str">
        <f>IF(AND($B1811&gt;='111'!$N$11,$B1811&lt;='111'!$O$11,OR($L1811=$O$7,$M1811=$O$7)),"x","")</f>
        <v/>
      </c>
      <c r="P1811" s="525" t="str">
        <f>IF(AND($L1811=$O$7,$B1811&lt;'111'!$N$11),"x","")</f>
        <v/>
      </c>
      <c r="Q1811" s="525" t="str">
        <f>IF(AND($M1811=$O$7,$B1811&lt;'111'!$N$11),"x","")</f>
        <v/>
      </c>
      <c r="R1811" s="525" t="str">
        <f>IF(ISERROR(FIND('112'!$M$9,G1811,1)),"",IF((AND(FIND('112'!$M$9,G1811,1)&gt;=1,$B1811&gt;='112'!$N$8,$B1811&lt;='112'!$O$8,OR($L1811='112'!$I$6,$M1811='112'!$I$6))),"x",""))</f>
        <v/>
      </c>
      <c r="S1811" s="525" t="str">
        <f>IF(ISERROR(FIND('112'!$M$9,G1811,1)),"",IF((AND(LEFT(G1811,2)=LEFT('112'!$M$9,2),B1811&lt;'112'!$N$8,$L1811='112'!$I$6)),"x",""))</f>
        <v/>
      </c>
      <c r="T1811" s="525" t="str">
        <f>IF(ISERROR(FIND('112'!$M$9,G1811,1)),"",IF((AND(RIGHT(G1811,2)=RIGHT('112'!$M$9,2),B1811&lt;'112'!$N$8,$M1811='112'!$I$6)),"x",""))</f>
        <v/>
      </c>
      <c r="U1811" s="525" t="str">
        <f>IF(AND(B1811&gt;='IN-NX'!$P$3,B1811&lt;='IN-NX'!$Q$3,'IN-NX'!$D$7=D1811,OR(LEFT(L1811,2)="15",AND(LEFT(M1811,2)&lt;&gt;"15",LEFT(M1811,2)&lt;&gt;"33"))),"x","")</f>
        <v/>
      </c>
      <c r="V1811" s="525" t="str">
        <f>IF(AND(OR(LEFT(TH!L1811,2)="15",LEFT(TH!M1811,2)="15"),'152-CT'!$J$8=TH!F1811),"x","")</f>
        <v/>
      </c>
      <c r="W1811" s="525" t="str">
        <f>IF(AND(OR(LEFT(TH!L1811,2)="15",LEFT(TH!M1811,2)="15"),TK!$E$7=TH!F1811),"x","")</f>
        <v/>
      </c>
      <c r="X1811" s="525" t="str">
        <f>IF(AND('341-CT'!$E$9=H1811,OR(LEFT(L1811,3)=$X$7,LEFT(M1811,3)=$X$7)),"x","")</f>
        <v/>
      </c>
      <c r="Y1811" s="525" t="str">
        <f>IF(OR(TH!L1811=TH!$Y$7,M1811=TH!$Y$7),"x","")</f>
        <v/>
      </c>
      <c r="Z1811" s="525" t="str">
        <f>IF(AND(B1811&lt;=NKC!$N$8,B1811&gt;=NKC!$M$8),"x","")</f>
        <v>x</v>
      </c>
      <c r="AA1811" s="535"/>
    </row>
    <row r="1812" spans="1:31" s="503" customFormat="1" ht="15.75" customHeight="1">
      <c r="A1812" s="517" t="str">
        <f>IF(B1812&lt;&gt;"",IF(AND(B1812&gt;=_TM1,B1812&lt;=_TM2,OR(TH!L1812="1111",TH!M1812="1111")),TH!D1812,""),"")</f>
        <v/>
      </c>
      <c r="B1812" s="531">
        <f t="shared" si="174"/>
        <v>2</v>
      </c>
      <c r="C1812" s="315">
        <f t="shared" si="175"/>
        <v>42793</v>
      </c>
      <c r="D1812" s="315" t="s">
        <v>996</v>
      </c>
      <c r="E1812" s="548">
        <v>42793</v>
      </c>
      <c r="F1812" s="250" t="s">
        <v>567</v>
      </c>
      <c r="G1812" s="540" t="s">
        <v>544</v>
      </c>
      <c r="H1812" s="473" t="s">
        <v>800</v>
      </c>
      <c r="I1812" s="307">
        <v>500</v>
      </c>
      <c r="J1812" s="307">
        <v>4449.5848770559078</v>
      </c>
      <c r="K1812" s="532">
        <f t="shared" si="176"/>
        <v>2224792</v>
      </c>
      <c r="L1812" s="539" t="s">
        <v>160</v>
      </c>
      <c r="M1812" s="539" t="s">
        <v>292</v>
      </c>
      <c r="N1812" s="525" t="str">
        <f>IF(AND('331-CT'!$E$7=TH!H1812,OR(L1812="331",M1812="331")),"331",IF(AND(OR(L1812="131",M1812="131"),H1812='131-CT'!$E$7),"131",""))</f>
        <v/>
      </c>
      <c r="O1812" s="525" t="str">
        <f>IF(AND($B1812&gt;='111'!$N$11,$B1812&lt;='111'!$O$11,OR($L1812=$O$7,$M1812=$O$7)),"x","")</f>
        <v/>
      </c>
      <c r="P1812" s="525" t="str">
        <f>IF(AND($L1812=$O$7,$B1812&lt;'111'!$N$11),"x","")</f>
        <v/>
      </c>
      <c r="Q1812" s="525" t="str">
        <f>IF(AND($M1812=$O$7,$B1812&lt;'111'!$N$11),"x","")</f>
        <v/>
      </c>
      <c r="R1812" s="525" t="str">
        <f>IF(ISERROR(FIND('112'!$M$9,G1812,1)),"",IF((AND(FIND('112'!$M$9,G1812,1)&gt;=1,$B1812&gt;='112'!$N$8,$B1812&lt;='112'!$O$8,OR($L1812='112'!$I$6,$M1812='112'!$I$6))),"x",""))</f>
        <v/>
      </c>
      <c r="S1812" s="525" t="str">
        <f>IF(ISERROR(FIND('112'!$M$9,G1812,1)),"",IF((AND(LEFT(G1812,2)=LEFT('112'!$M$9,2),B1812&lt;'112'!$N$8,$L1812='112'!$I$6)),"x",""))</f>
        <v/>
      </c>
      <c r="T1812" s="525" t="str">
        <f>IF(ISERROR(FIND('112'!$M$9,G1812,1)),"",IF((AND(RIGHT(G1812,2)=RIGHT('112'!$M$9,2),B1812&lt;'112'!$N$8,$M1812='112'!$I$6)),"x",""))</f>
        <v/>
      </c>
      <c r="U1812" s="525" t="str">
        <f>IF(AND(B1812&gt;='IN-NX'!$P$3,B1812&lt;='IN-NX'!$Q$3,'IN-NX'!$D$7=D1812,OR(LEFT(L1812,2)="15",AND(LEFT(M1812,2)&lt;&gt;"15",LEFT(M1812,2)&lt;&gt;"33"))),"x","")</f>
        <v/>
      </c>
      <c r="V1812" s="525" t="str">
        <f>IF(AND(OR(LEFT(TH!L1812,2)="15",LEFT(TH!M1812,2)="15"),'152-CT'!$J$8=TH!F1812),"x","")</f>
        <v/>
      </c>
      <c r="W1812" s="525" t="str">
        <f>IF(AND(OR(LEFT(TH!L1812,2)="15",LEFT(TH!M1812,2)="15"),TK!$E$7=TH!F1812),"x","")</f>
        <v/>
      </c>
      <c r="X1812" s="525" t="str">
        <f>IF(AND('341-CT'!$E$9=H1812,OR(LEFT(L1812,3)=$X$7,LEFT(M1812,3)=$X$7)),"x","")</f>
        <v/>
      </c>
      <c r="Y1812" s="525" t="str">
        <f>IF(OR(TH!L1812=TH!$Y$7,M1812=TH!$Y$7),"x","")</f>
        <v/>
      </c>
      <c r="Z1812" s="525" t="str">
        <f>IF(AND(B1812&lt;=NKC!$N$8,B1812&gt;=NKC!$M$8),"x","")</f>
        <v>x</v>
      </c>
      <c r="AA1812" s="535"/>
    </row>
    <row r="1813" spans="1:31" s="570" customFormat="1" ht="15.75" customHeight="1">
      <c r="A1813" s="517" t="str">
        <f>IF(B1813&lt;&gt;"",IF(AND(B1813&gt;=_TM1,B1813&lt;=_TM2,OR(TH!L1813="1111",TH!M1813="1111")),TH!D1813,""),"")</f>
        <v/>
      </c>
      <c r="B1813" s="562">
        <f t="shared" si="165"/>
        <v>3</v>
      </c>
      <c r="C1813" s="563">
        <f t="shared" si="172"/>
        <v>42800</v>
      </c>
      <c r="D1813" s="563" t="s">
        <v>996</v>
      </c>
      <c r="E1813" s="593">
        <v>42800</v>
      </c>
      <c r="F1813" s="564" t="s">
        <v>500</v>
      </c>
      <c r="G1813" s="565" t="s">
        <v>545</v>
      </c>
      <c r="H1813" s="566" t="s">
        <v>800</v>
      </c>
      <c r="I1813" s="567">
        <v>210</v>
      </c>
      <c r="J1813" s="567">
        <v>7869.4</v>
      </c>
      <c r="K1813" s="568">
        <f t="shared" si="173"/>
        <v>1652574</v>
      </c>
      <c r="L1813" s="588" t="s">
        <v>160</v>
      </c>
      <c r="M1813" s="588" t="s">
        <v>292</v>
      </c>
      <c r="N1813" s="525" t="str">
        <f>IF(AND('331-CT'!$E$7=TH!H1813,OR(L1813="331",M1813="331")),"331",IF(AND(OR(L1813="131",M1813="131"),H1813='131-CT'!$E$7),"131",""))</f>
        <v/>
      </c>
      <c r="O1813" s="525" t="str">
        <f>IF(AND($B1813&gt;='111'!$N$11,$B1813&lt;='111'!$O$11,OR($L1813=$O$7,$M1813=$O$7)),"x","")</f>
        <v/>
      </c>
      <c r="P1813" s="525" t="str">
        <f>IF(AND($L1813=$O$7,$B1813&lt;'111'!$N$11),"x","")</f>
        <v/>
      </c>
      <c r="Q1813" s="525" t="str">
        <f>IF(AND($M1813=$O$7,$B1813&lt;'111'!$N$11),"x","")</f>
        <v/>
      </c>
      <c r="R1813" s="525" t="str">
        <f>IF(ISERROR(FIND('112'!$M$9,G1813,1)),"",IF((AND(FIND('112'!$M$9,G1813,1)&gt;=1,$B1813&gt;='112'!$N$8,$B1813&lt;='112'!$O$8,OR($L1813='112'!$I$6,$M1813='112'!$I$6))),"x",""))</f>
        <v/>
      </c>
      <c r="S1813" s="525" t="str">
        <f>IF(ISERROR(FIND('112'!$M$9,G1813,1)),"",IF((AND(LEFT(G1813,2)=LEFT('112'!$M$9,2),B1813&lt;'112'!$N$8,$L1813='112'!$I$6)),"x",""))</f>
        <v/>
      </c>
      <c r="T1813" s="525" t="str">
        <f>IF(ISERROR(FIND('112'!$M$9,G1813,1)),"",IF((AND(RIGHT(G1813,2)=RIGHT('112'!$M$9,2),B1813&lt;'112'!$N$8,$M1813='112'!$I$6)),"x",""))</f>
        <v/>
      </c>
      <c r="U1813" s="525" t="str">
        <f>IF(AND(B1813&gt;='IN-NX'!$P$3,B1813&lt;='IN-NX'!$Q$3,'IN-NX'!$D$7=D1813,OR(LEFT(L1813,2)="15",AND(LEFT(M1813,2)&lt;&gt;"15",LEFT(M1813,2)&lt;&gt;"33"))),"x","")</f>
        <v/>
      </c>
      <c r="V1813" s="525" t="str">
        <f>IF(AND(OR(LEFT(TH!L1813,2)="15",LEFT(TH!M1813,2)="15"),'152-CT'!$J$8=TH!F1813),"x","")</f>
        <v/>
      </c>
      <c r="W1813" s="525" t="str">
        <f>IF(AND(OR(LEFT(TH!L1813,2)="15",LEFT(TH!M1813,2)="15"),TK!$E$7=TH!F1813),"x","")</f>
        <v/>
      </c>
      <c r="X1813" s="525" t="str">
        <f>IF(AND('341-CT'!$E$9=H1813,OR(LEFT(L1813,3)=$X$7,LEFT(M1813,3)=$X$7)),"x","")</f>
        <v/>
      </c>
      <c r="Y1813" s="525" t="str">
        <f>IF(OR(TH!L1813=TH!$Y$7,M1813=TH!$Y$7),"x","")</f>
        <v/>
      </c>
      <c r="Z1813" s="525" t="str">
        <f>IF(AND(B1813&lt;=NKC!$N$8,B1813&gt;=NKC!$M$8),"x","")</f>
        <v>x</v>
      </c>
      <c r="AA1813" s="569"/>
      <c r="AB1813" s="589"/>
      <c r="AE1813" s="589"/>
    </row>
    <row r="1814" spans="1:31" s="503" customFormat="1" ht="15.75" customHeight="1">
      <c r="A1814" s="517" t="str">
        <f>IF(B1814&lt;&gt;"",IF(AND(B1814&gt;=_TM1,B1814&lt;=_TM2,OR(TH!L1814="1111",TH!M1814="1111")),TH!D1814,""),"")</f>
        <v/>
      </c>
      <c r="B1814" s="531">
        <f t="shared" si="165"/>
        <v>3</v>
      </c>
      <c r="C1814" s="315">
        <f t="shared" si="172"/>
        <v>42802</v>
      </c>
      <c r="D1814" s="315" t="s">
        <v>996</v>
      </c>
      <c r="E1814" s="545">
        <v>42802</v>
      </c>
      <c r="F1814" s="248" t="s">
        <v>589</v>
      </c>
      <c r="G1814" s="314" t="s">
        <v>547</v>
      </c>
      <c r="H1814" s="473" t="s">
        <v>800</v>
      </c>
      <c r="I1814" s="307">
        <v>250</v>
      </c>
      <c r="J1814" s="307">
        <v>31585.4</v>
      </c>
      <c r="K1814" s="532">
        <f t="shared" si="173"/>
        <v>7896350</v>
      </c>
      <c r="L1814" s="539" t="s">
        <v>160</v>
      </c>
      <c r="M1814" s="539" t="s">
        <v>292</v>
      </c>
      <c r="N1814" s="525" t="str">
        <f>IF(AND('331-CT'!$E$7=TH!H1814,OR(L1814="331",M1814="331")),"331",IF(AND(OR(L1814="131",M1814="131"),H1814='131-CT'!$E$7),"131",""))</f>
        <v/>
      </c>
      <c r="O1814" s="525" t="str">
        <f>IF(AND($B1814&gt;='111'!$N$11,$B1814&lt;='111'!$O$11,OR($L1814=$O$7,$M1814=$O$7)),"x","")</f>
        <v/>
      </c>
      <c r="P1814" s="525" t="str">
        <f>IF(AND($L1814=$O$7,$B1814&lt;'111'!$N$11),"x","")</f>
        <v/>
      </c>
      <c r="Q1814" s="525" t="str">
        <f>IF(AND($M1814=$O$7,$B1814&lt;'111'!$N$11),"x","")</f>
        <v/>
      </c>
      <c r="R1814" s="525" t="str">
        <f>IF(ISERROR(FIND('112'!$M$9,G1814,1)),"",IF((AND(FIND('112'!$M$9,G1814,1)&gt;=1,$B1814&gt;='112'!$N$8,$B1814&lt;='112'!$O$8,OR($L1814='112'!$I$6,$M1814='112'!$I$6))),"x",""))</f>
        <v/>
      </c>
      <c r="S1814" s="525" t="str">
        <f>IF(ISERROR(FIND('112'!$M$9,G1814,1)),"",IF((AND(LEFT(G1814,2)=LEFT('112'!$M$9,2),B1814&lt;'112'!$N$8,$L1814='112'!$I$6)),"x",""))</f>
        <v/>
      </c>
      <c r="T1814" s="525" t="str">
        <f>IF(ISERROR(FIND('112'!$M$9,G1814,1)),"",IF((AND(RIGHT(G1814,2)=RIGHT('112'!$M$9,2),B1814&lt;'112'!$N$8,$M1814='112'!$I$6)),"x",""))</f>
        <v/>
      </c>
      <c r="U1814" s="525" t="str">
        <f>IF(AND(B1814&gt;='IN-NX'!$P$3,B1814&lt;='IN-NX'!$Q$3,'IN-NX'!$D$7=D1814,OR(LEFT(L1814,2)="15",AND(LEFT(M1814,2)&lt;&gt;"15",LEFT(M1814,2)&lt;&gt;"33"))),"x","")</f>
        <v/>
      </c>
      <c r="V1814" s="525" t="str">
        <f>IF(AND(OR(LEFT(TH!L1814,2)="15",LEFT(TH!M1814,2)="15"),'152-CT'!$J$8=TH!F1814),"x","")</f>
        <v/>
      </c>
      <c r="W1814" s="525" t="str">
        <f>IF(AND(OR(LEFT(TH!L1814,2)="15",LEFT(TH!M1814,2)="15"),TK!$E$7=TH!F1814),"x","")</f>
        <v/>
      </c>
      <c r="X1814" s="525" t="str">
        <f>IF(AND('341-CT'!$E$9=H1814,OR(LEFT(L1814,3)=$X$7,LEFT(M1814,3)=$X$7)),"x","")</f>
        <v/>
      </c>
      <c r="Y1814" s="525" t="str">
        <f>IF(OR(TH!L1814=TH!$Y$7,M1814=TH!$Y$7),"x","")</f>
        <v/>
      </c>
      <c r="Z1814" s="525" t="str">
        <f>IF(AND(B1814&lt;=NKC!$N$8,B1814&gt;=NKC!$M$8),"x","")</f>
        <v>x</v>
      </c>
      <c r="AA1814" s="535"/>
      <c r="AB1814" s="536"/>
    </row>
    <row r="1815" spans="1:31" s="503" customFormat="1" ht="15.75" customHeight="1">
      <c r="A1815" s="517" t="str">
        <f>IF(B1815&lt;&gt;"",IF(AND(B1815&gt;=_TM1,B1815&lt;=_TM2,OR(TH!L1815="1111",TH!M1815="1111")),TH!D1815,""),"")</f>
        <v/>
      </c>
      <c r="B1815" s="531">
        <f t="shared" si="165"/>
        <v>3</v>
      </c>
      <c r="C1815" s="315">
        <f t="shared" si="172"/>
        <v>42803</v>
      </c>
      <c r="D1815" s="315" t="s">
        <v>996</v>
      </c>
      <c r="E1815" s="545">
        <v>42803</v>
      </c>
      <c r="F1815" s="248" t="s">
        <v>503</v>
      </c>
      <c r="G1815" s="314" t="s">
        <v>769</v>
      </c>
      <c r="H1815" s="473" t="s">
        <v>800</v>
      </c>
      <c r="I1815" s="307">
        <v>1991</v>
      </c>
      <c r="J1815" s="307">
        <v>8330</v>
      </c>
      <c r="K1815" s="532">
        <f t="shared" si="173"/>
        <v>16585030</v>
      </c>
      <c r="L1815" s="539" t="s">
        <v>160</v>
      </c>
      <c r="M1815" s="539" t="s">
        <v>292</v>
      </c>
      <c r="N1815" s="525" t="str">
        <f>IF(AND('331-CT'!$E$7=TH!H1815,OR(L1815="331",M1815="331")),"331",IF(AND(OR(L1815="131",M1815="131"),H1815='131-CT'!$E$7),"131",""))</f>
        <v/>
      </c>
      <c r="O1815" s="525" t="str">
        <f>IF(AND($B1815&gt;='111'!$N$11,$B1815&lt;='111'!$O$11,OR($L1815=$O$7,$M1815=$O$7)),"x","")</f>
        <v/>
      </c>
      <c r="P1815" s="525" t="str">
        <f>IF(AND($L1815=$O$7,$B1815&lt;'111'!$N$11),"x","")</f>
        <v/>
      </c>
      <c r="Q1815" s="525" t="str">
        <f>IF(AND($M1815=$O$7,$B1815&lt;'111'!$N$11),"x","")</f>
        <v/>
      </c>
      <c r="R1815" s="525" t="str">
        <f>IF(ISERROR(FIND('112'!$M$9,G1815,1)),"",IF((AND(FIND('112'!$M$9,G1815,1)&gt;=1,$B1815&gt;='112'!$N$8,$B1815&lt;='112'!$O$8,OR($L1815='112'!$I$6,$M1815='112'!$I$6))),"x",""))</f>
        <v/>
      </c>
      <c r="S1815" s="525" t="str">
        <f>IF(ISERROR(FIND('112'!$M$9,G1815,1)),"",IF((AND(LEFT(G1815,2)=LEFT('112'!$M$9,2),B1815&lt;'112'!$N$8,$L1815='112'!$I$6)),"x",""))</f>
        <v/>
      </c>
      <c r="T1815" s="525" t="str">
        <f>IF(ISERROR(FIND('112'!$M$9,G1815,1)),"",IF((AND(RIGHT(G1815,2)=RIGHT('112'!$M$9,2),B1815&lt;'112'!$N$8,$M1815='112'!$I$6)),"x",""))</f>
        <v/>
      </c>
      <c r="U1815" s="525" t="str">
        <f>IF(AND(B1815&gt;='IN-NX'!$P$3,B1815&lt;='IN-NX'!$Q$3,'IN-NX'!$D$7=D1815,OR(LEFT(L1815,2)="15",AND(LEFT(M1815,2)&lt;&gt;"15",LEFT(M1815,2)&lt;&gt;"33"))),"x","")</f>
        <v/>
      </c>
      <c r="V1815" s="525" t="str">
        <f>IF(AND(OR(LEFT(TH!L1815,2)="15",LEFT(TH!M1815,2)="15"),'152-CT'!$J$8=TH!F1815),"x","")</f>
        <v/>
      </c>
      <c r="W1815" s="525" t="str">
        <f>IF(AND(OR(LEFT(TH!L1815,2)="15",LEFT(TH!M1815,2)="15"),TK!$E$7=TH!F1815),"x","")</f>
        <v/>
      </c>
      <c r="X1815" s="525" t="str">
        <f>IF(AND('341-CT'!$E$9=H1815,OR(LEFT(L1815,3)=$X$7,LEFT(M1815,3)=$X$7)),"x","")</f>
        <v/>
      </c>
      <c r="Y1815" s="525" t="str">
        <f>IF(OR(TH!L1815=TH!$Y$7,M1815=TH!$Y$7),"x","")</f>
        <v/>
      </c>
      <c r="Z1815" s="525" t="str">
        <f>IF(AND(B1815&lt;=NKC!$N$8,B1815&gt;=NKC!$M$8),"x","")</f>
        <v>x</v>
      </c>
      <c r="AA1815" s="535"/>
      <c r="AB1815" s="536"/>
    </row>
    <row r="1816" spans="1:31" s="503" customFormat="1" ht="15.75" customHeight="1">
      <c r="A1816" s="517" t="str">
        <f>IF(B1816&lt;&gt;"",IF(AND(B1816&gt;=_TM1,B1816&lt;=_TM2,OR(TH!L1816="1111",TH!M1816="1111")),TH!D1816,""),"")</f>
        <v/>
      </c>
      <c r="B1816" s="531">
        <f t="shared" si="165"/>
        <v>3</v>
      </c>
      <c r="C1816" s="315">
        <f t="shared" si="172"/>
        <v>42805</v>
      </c>
      <c r="D1816" s="315" t="s">
        <v>996</v>
      </c>
      <c r="E1816" s="545">
        <v>42805</v>
      </c>
      <c r="F1816" s="249" t="s">
        <v>590</v>
      </c>
      <c r="G1816" s="314" t="s">
        <v>548</v>
      </c>
      <c r="H1816" s="473" t="s">
        <v>800</v>
      </c>
      <c r="I1816" s="307">
        <v>288</v>
      </c>
      <c r="J1816" s="307">
        <v>16170</v>
      </c>
      <c r="K1816" s="532">
        <f t="shared" si="173"/>
        <v>4656960</v>
      </c>
      <c r="L1816" s="539" t="s">
        <v>160</v>
      </c>
      <c r="M1816" s="539" t="s">
        <v>292</v>
      </c>
      <c r="N1816" s="525" t="str">
        <f>IF(AND('331-CT'!$E$7=TH!H1816,OR(L1816="331",M1816="331")),"331",IF(AND(OR(L1816="131",M1816="131"),H1816='131-CT'!$E$7),"131",""))</f>
        <v/>
      </c>
      <c r="O1816" s="525" t="str">
        <f>IF(AND($B1816&gt;='111'!$N$11,$B1816&lt;='111'!$O$11,OR($L1816=$O$7,$M1816=$O$7)),"x","")</f>
        <v/>
      </c>
      <c r="P1816" s="525" t="str">
        <f>IF(AND($L1816=$O$7,$B1816&lt;'111'!$N$11),"x","")</f>
        <v/>
      </c>
      <c r="Q1816" s="525" t="str">
        <f>IF(AND($M1816=$O$7,$B1816&lt;'111'!$N$11),"x","")</f>
        <v/>
      </c>
      <c r="R1816" s="525" t="str">
        <f>IF(ISERROR(FIND('112'!$M$9,G1816,1)),"",IF((AND(FIND('112'!$M$9,G1816,1)&gt;=1,$B1816&gt;='112'!$N$8,$B1816&lt;='112'!$O$8,OR($L1816='112'!$I$6,$M1816='112'!$I$6))),"x",""))</f>
        <v/>
      </c>
      <c r="S1816" s="525" t="str">
        <f>IF(ISERROR(FIND('112'!$M$9,G1816,1)),"",IF((AND(LEFT(G1816,2)=LEFT('112'!$M$9,2),B1816&lt;'112'!$N$8,$L1816='112'!$I$6)),"x",""))</f>
        <v/>
      </c>
      <c r="T1816" s="525" t="str">
        <f>IF(ISERROR(FIND('112'!$M$9,G1816,1)),"",IF((AND(RIGHT(G1816,2)=RIGHT('112'!$M$9,2),B1816&lt;'112'!$N$8,$M1816='112'!$I$6)),"x",""))</f>
        <v/>
      </c>
      <c r="U1816" s="525" t="str">
        <f>IF(AND(B1816&gt;='IN-NX'!$P$3,B1816&lt;='IN-NX'!$Q$3,'IN-NX'!$D$7=D1816,OR(LEFT(L1816,2)="15",AND(LEFT(M1816,2)&lt;&gt;"15",LEFT(M1816,2)&lt;&gt;"33"))),"x","")</f>
        <v/>
      </c>
      <c r="V1816" s="525" t="str">
        <f>IF(AND(OR(LEFT(TH!L1816,2)="15",LEFT(TH!M1816,2)="15"),'152-CT'!$J$8=TH!F1816),"x","")</f>
        <v/>
      </c>
      <c r="W1816" s="525" t="str">
        <f>IF(AND(OR(LEFT(TH!L1816,2)="15",LEFT(TH!M1816,2)="15"),TK!$E$7=TH!F1816),"x","")</f>
        <v/>
      </c>
      <c r="X1816" s="525" t="str">
        <f>IF(AND('341-CT'!$E$9=H1816,OR(LEFT(L1816,3)=$X$7,LEFT(M1816,3)=$X$7)),"x","")</f>
        <v/>
      </c>
      <c r="Y1816" s="525" t="str">
        <f>IF(OR(TH!L1816=TH!$Y$7,M1816=TH!$Y$7),"x","")</f>
        <v/>
      </c>
      <c r="Z1816" s="525" t="str">
        <f>IF(AND(B1816&lt;=NKC!$N$8,B1816&gt;=NKC!$M$8),"x","")</f>
        <v>x</v>
      </c>
      <c r="AA1816" s="535"/>
      <c r="AB1816" s="536"/>
      <c r="AE1816" s="536"/>
    </row>
    <row r="1817" spans="1:31" s="503" customFormat="1" ht="15.75" customHeight="1">
      <c r="A1817" s="517" t="str">
        <f>IF(B1817&lt;&gt;"",IF(AND(B1817&gt;=_TM1,B1817&lt;=_TM2,OR(TH!L1817="1111",TH!M1817="1111")),TH!D1817,""),"")</f>
        <v/>
      </c>
      <c r="B1817" s="531">
        <f t="shared" si="165"/>
        <v>3</v>
      </c>
      <c r="C1817" s="315">
        <f t="shared" si="172"/>
        <v>42807</v>
      </c>
      <c r="D1817" s="315" t="s">
        <v>996</v>
      </c>
      <c r="E1817" s="280">
        <v>42807</v>
      </c>
      <c r="F1817" s="250" t="s">
        <v>503</v>
      </c>
      <c r="G1817" s="540" t="s">
        <v>771</v>
      </c>
      <c r="H1817" s="473" t="s">
        <v>800</v>
      </c>
      <c r="I1817" s="307">
        <v>1890</v>
      </c>
      <c r="J1817" s="307">
        <v>8330</v>
      </c>
      <c r="K1817" s="532">
        <f t="shared" si="173"/>
        <v>15743700</v>
      </c>
      <c r="L1817" s="539" t="s">
        <v>160</v>
      </c>
      <c r="M1817" s="539" t="s">
        <v>292</v>
      </c>
      <c r="N1817" s="525" t="str">
        <f>IF(AND('331-CT'!$E$7=TH!H1817,OR(L1817="331",M1817="331")),"331",IF(AND(OR(L1817="131",M1817="131"),H1817='131-CT'!$E$7),"131",""))</f>
        <v/>
      </c>
      <c r="O1817" s="525" t="str">
        <f>IF(AND($B1817&gt;='111'!$N$11,$B1817&lt;='111'!$O$11,OR($L1817=$O$7,$M1817=$O$7)),"x","")</f>
        <v/>
      </c>
      <c r="P1817" s="525" t="str">
        <f>IF(AND($L1817=$O$7,$B1817&lt;'111'!$N$11),"x","")</f>
        <v/>
      </c>
      <c r="Q1817" s="525" t="str">
        <f>IF(AND($M1817=$O$7,$B1817&lt;'111'!$N$11),"x","")</f>
        <v/>
      </c>
      <c r="R1817" s="525" t="str">
        <f>IF(ISERROR(FIND('112'!$M$9,G1817,1)),"",IF((AND(FIND('112'!$M$9,G1817,1)&gt;=1,$B1817&gt;='112'!$N$8,$B1817&lt;='112'!$O$8,OR($L1817='112'!$I$6,$M1817='112'!$I$6))),"x",""))</f>
        <v/>
      </c>
      <c r="S1817" s="525" t="str">
        <f>IF(ISERROR(FIND('112'!$M$9,G1817,1)),"",IF((AND(LEFT(G1817,2)=LEFT('112'!$M$9,2),B1817&lt;'112'!$N$8,$L1817='112'!$I$6)),"x",""))</f>
        <v/>
      </c>
      <c r="T1817" s="525" t="str">
        <f>IF(ISERROR(FIND('112'!$M$9,G1817,1)),"",IF((AND(RIGHT(G1817,2)=RIGHT('112'!$M$9,2),B1817&lt;'112'!$N$8,$M1817='112'!$I$6)),"x",""))</f>
        <v/>
      </c>
      <c r="U1817" s="525" t="str">
        <f>IF(AND(B1817&gt;='IN-NX'!$P$3,B1817&lt;='IN-NX'!$Q$3,'IN-NX'!$D$7=D1817,OR(LEFT(L1817,2)="15",AND(LEFT(M1817,2)&lt;&gt;"15",LEFT(M1817,2)&lt;&gt;"33"))),"x","")</f>
        <v/>
      </c>
      <c r="V1817" s="525" t="str">
        <f>IF(AND(OR(LEFT(TH!L1817,2)="15",LEFT(TH!M1817,2)="15"),'152-CT'!$J$8=TH!F1817),"x","")</f>
        <v/>
      </c>
      <c r="W1817" s="525" t="str">
        <f>IF(AND(OR(LEFT(TH!L1817,2)="15",LEFT(TH!M1817,2)="15"),TK!$E$7=TH!F1817),"x","")</f>
        <v/>
      </c>
      <c r="X1817" s="525" t="str">
        <f>IF(AND('341-CT'!$E$9=H1817,OR(LEFT(L1817,3)=$X$7,LEFT(M1817,3)=$X$7)),"x","")</f>
        <v/>
      </c>
      <c r="Y1817" s="525" t="str">
        <f>IF(OR(TH!L1817=TH!$Y$7,M1817=TH!$Y$7),"x","")</f>
        <v/>
      </c>
      <c r="Z1817" s="525" t="str">
        <f>IF(AND(B1817&lt;=NKC!$N$8,B1817&gt;=NKC!$M$8),"x","")</f>
        <v>x</v>
      </c>
      <c r="AA1817" s="535"/>
    </row>
    <row r="1818" spans="1:31" s="503" customFormat="1" ht="15.75" customHeight="1">
      <c r="A1818" s="517" t="str">
        <f>IF(B1818&lt;&gt;"",IF(AND(B1818&gt;=_TM1,B1818&lt;=_TM2,OR(TH!L1818="1111",TH!M1818="1111")),TH!D1818,""),"")</f>
        <v/>
      </c>
      <c r="B1818" s="531">
        <f t="shared" si="165"/>
        <v>3</v>
      </c>
      <c r="C1818" s="315">
        <f t="shared" si="172"/>
        <v>42810</v>
      </c>
      <c r="D1818" s="315" t="s">
        <v>996</v>
      </c>
      <c r="E1818" s="548">
        <v>42810</v>
      </c>
      <c r="F1818" s="249" t="s">
        <v>591</v>
      </c>
      <c r="G1818" s="540" t="s">
        <v>549</v>
      </c>
      <c r="H1818" s="473" t="s">
        <v>800</v>
      </c>
      <c r="I1818" s="307">
        <v>309</v>
      </c>
      <c r="J1818" s="307">
        <v>13980.68</v>
      </c>
      <c r="K1818" s="532">
        <f t="shared" si="173"/>
        <v>4320030</v>
      </c>
      <c r="L1818" s="539" t="s">
        <v>160</v>
      </c>
      <c r="M1818" s="539" t="s">
        <v>292</v>
      </c>
      <c r="N1818" s="525" t="str">
        <f>IF(AND('331-CT'!$E$7=TH!H1818,OR(L1818="331",M1818="331")),"331",IF(AND(OR(L1818="131",M1818="131"),H1818='131-CT'!$E$7),"131",""))</f>
        <v/>
      </c>
      <c r="O1818" s="525" t="str">
        <f>IF(AND($B1818&gt;='111'!$N$11,$B1818&lt;='111'!$O$11,OR($L1818=$O$7,$M1818=$O$7)),"x","")</f>
        <v/>
      </c>
      <c r="P1818" s="525" t="str">
        <f>IF(AND($L1818=$O$7,$B1818&lt;'111'!$N$11),"x","")</f>
        <v/>
      </c>
      <c r="Q1818" s="525" t="str">
        <f>IF(AND($M1818=$O$7,$B1818&lt;'111'!$N$11),"x","")</f>
        <v/>
      </c>
      <c r="R1818" s="525" t="str">
        <f>IF(ISERROR(FIND('112'!$M$9,G1818,1)),"",IF((AND(FIND('112'!$M$9,G1818,1)&gt;=1,$B1818&gt;='112'!$N$8,$B1818&lt;='112'!$O$8,OR($L1818='112'!$I$6,$M1818='112'!$I$6))),"x",""))</f>
        <v/>
      </c>
      <c r="S1818" s="525" t="str">
        <f>IF(ISERROR(FIND('112'!$M$9,G1818,1)),"",IF((AND(LEFT(G1818,2)=LEFT('112'!$M$9,2),B1818&lt;'112'!$N$8,$L1818='112'!$I$6)),"x",""))</f>
        <v/>
      </c>
      <c r="T1818" s="525" t="str">
        <f>IF(ISERROR(FIND('112'!$M$9,G1818,1)),"",IF((AND(RIGHT(G1818,2)=RIGHT('112'!$M$9,2),B1818&lt;'112'!$N$8,$M1818='112'!$I$6)),"x",""))</f>
        <v/>
      </c>
      <c r="U1818" s="525" t="str">
        <f>IF(AND(B1818&gt;='IN-NX'!$P$3,B1818&lt;='IN-NX'!$Q$3,'IN-NX'!$D$7=D1818,OR(LEFT(L1818,2)="15",AND(LEFT(M1818,2)&lt;&gt;"15",LEFT(M1818,2)&lt;&gt;"33"))),"x","")</f>
        <v/>
      </c>
      <c r="V1818" s="525" t="str">
        <f>IF(AND(OR(LEFT(TH!L1818,2)="15",LEFT(TH!M1818,2)="15"),'152-CT'!$J$8=TH!F1818),"x","")</f>
        <v/>
      </c>
      <c r="W1818" s="525" t="str">
        <f>IF(AND(OR(LEFT(TH!L1818,2)="15",LEFT(TH!M1818,2)="15"),TK!$E$7=TH!F1818),"x","")</f>
        <v/>
      </c>
      <c r="X1818" s="525" t="str">
        <f>IF(AND('341-CT'!$E$9=H1818,OR(LEFT(L1818,3)=$X$7,LEFT(M1818,3)=$X$7)),"x","")</f>
        <v/>
      </c>
      <c r="Y1818" s="525" t="str">
        <f>IF(OR(TH!L1818=TH!$Y$7,M1818=TH!$Y$7),"x","")</f>
        <v/>
      </c>
      <c r="Z1818" s="525" t="str">
        <f>IF(AND(B1818&lt;=NKC!$N$8,B1818&gt;=NKC!$M$8),"x","")</f>
        <v>x</v>
      </c>
      <c r="AA1818" s="535"/>
    </row>
    <row r="1819" spans="1:31" s="503" customFormat="1" ht="15.75" customHeight="1">
      <c r="A1819" s="517" t="str">
        <f>IF(B1819&lt;&gt;"",IF(AND(B1819&gt;=_TM1,B1819&lt;=_TM2,OR(TH!L1819="1111",TH!M1819="1111")),TH!D1819,""),"")</f>
        <v/>
      </c>
      <c r="B1819" s="531">
        <f t="shared" si="165"/>
        <v>3</v>
      </c>
      <c r="C1819" s="315">
        <f t="shared" si="172"/>
        <v>42810</v>
      </c>
      <c r="D1819" s="315" t="s">
        <v>996</v>
      </c>
      <c r="E1819" s="548">
        <v>42810</v>
      </c>
      <c r="F1819" s="250" t="s">
        <v>592</v>
      </c>
      <c r="G1819" s="540" t="s">
        <v>549</v>
      </c>
      <c r="H1819" s="473" t="s">
        <v>800</v>
      </c>
      <c r="I1819" s="307">
        <v>306</v>
      </c>
      <c r="J1819" s="307">
        <v>13622</v>
      </c>
      <c r="K1819" s="532">
        <f t="shared" si="173"/>
        <v>4168332</v>
      </c>
      <c r="L1819" s="539" t="s">
        <v>160</v>
      </c>
      <c r="M1819" s="539" t="s">
        <v>292</v>
      </c>
      <c r="N1819" s="525" t="str">
        <f>IF(AND('331-CT'!$E$7=TH!H1819,OR(L1819="331",M1819="331")),"331",IF(AND(OR(L1819="131",M1819="131"),H1819='131-CT'!$E$7),"131",""))</f>
        <v/>
      </c>
      <c r="O1819" s="525" t="str">
        <f>IF(AND($B1819&gt;='111'!$N$11,$B1819&lt;='111'!$O$11,OR($L1819=$O$7,$M1819=$O$7)),"x","")</f>
        <v/>
      </c>
      <c r="P1819" s="525" t="str">
        <f>IF(AND($L1819=$O$7,$B1819&lt;'111'!$N$11),"x","")</f>
        <v/>
      </c>
      <c r="Q1819" s="525" t="str">
        <f>IF(AND($M1819=$O$7,$B1819&lt;'111'!$N$11),"x","")</f>
        <v/>
      </c>
      <c r="R1819" s="525" t="str">
        <f>IF(ISERROR(FIND('112'!$M$9,G1819,1)),"",IF((AND(FIND('112'!$M$9,G1819,1)&gt;=1,$B1819&gt;='112'!$N$8,$B1819&lt;='112'!$O$8,OR($L1819='112'!$I$6,$M1819='112'!$I$6))),"x",""))</f>
        <v/>
      </c>
      <c r="S1819" s="525" t="str">
        <f>IF(ISERROR(FIND('112'!$M$9,G1819,1)),"",IF((AND(LEFT(G1819,2)=LEFT('112'!$M$9,2),B1819&lt;'112'!$N$8,$L1819='112'!$I$6)),"x",""))</f>
        <v/>
      </c>
      <c r="T1819" s="525" t="str">
        <f>IF(ISERROR(FIND('112'!$M$9,G1819,1)),"",IF((AND(RIGHT(G1819,2)=RIGHT('112'!$M$9,2),B1819&lt;'112'!$N$8,$M1819='112'!$I$6)),"x",""))</f>
        <v/>
      </c>
      <c r="U1819" s="525" t="str">
        <f>IF(AND(B1819&gt;='IN-NX'!$P$3,B1819&lt;='IN-NX'!$Q$3,'IN-NX'!$D$7=D1819,OR(LEFT(L1819,2)="15",AND(LEFT(M1819,2)&lt;&gt;"15",LEFT(M1819,2)&lt;&gt;"33"))),"x","")</f>
        <v/>
      </c>
      <c r="V1819" s="525" t="str">
        <f>IF(AND(OR(LEFT(TH!L1819,2)="15",LEFT(TH!M1819,2)="15"),'152-CT'!$J$8=TH!F1819),"x","")</f>
        <v/>
      </c>
      <c r="W1819" s="525" t="str">
        <f>IF(AND(OR(LEFT(TH!L1819,2)="15",LEFT(TH!M1819,2)="15"),TK!$E$7=TH!F1819),"x","")</f>
        <v/>
      </c>
      <c r="X1819" s="525" t="str">
        <f>IF(AND('341-CT'!$E$9=H1819,OR(LEFT(L1819,3)=$X$7,LEFT(M1819,3)=$X$7)),"x","")</f>
        <v/>
      </c>
      <c r="Y1819" s="525" t="str">
        <f>IF(OR(TH!L1819=TH!$Y$7,M1819=TH!$Y$7),"x","")</f>
        <v/>
      </c>
      <c r="Z1819" s="525" t="str">
        <f>IF(AND(B1819&lt;=NKC!$N$8,B1819&gt;=NKC!$M$8),"x","")</f>
        <v>x</v>
      </c>
      <c r="AA1819" s="535"/>
    </row>
    <row r="1820" spans="1:31" s="503" customFormat="1" ht="15.75" customHeight="1">
      <c r="A1820" s="517" t="str">
        <f>IF(B1820&lt;&gt;"",IF(AND(B1820&gt;=_TM1,B1820&lt;=_TM2,OR(TH!L1820="1111",TH!M1820="1111")),TH!D1820,""),"")</f>
        <v/>
      </c>
      <c r="B1820" s="531">
        <f t="shared" ref="B1820:B1883" si="177">IF(C1820&lt;&gt;"",MONTH(C1820),"")</f>
        <v>3</v>
      </c>
      <c r="C1820" s="315">
        <f t="shared" si="172"/>
        <v>42811</v>
      </c>
      <c r="D1820" s="315" t="s">
        <v>996</v>
      </c>
      <c r="E1820" s="548">
        <v>42811</v>
      </c>
      <c r="F1820" s="250" t="s">
        <v>763</v>
      </c>
      <c r="G1820" s="540" t="s">
        <v>550</v>
      </c>
      <c r="H1820" s="473" t="s">
        <v>800</v>
      </c>
      <c r="I1820" s="307">
        <v>7240</v>
      </c>
      <c r="J1820" s="523">
        <v>3700</v>
      </c>
      <c r="K1820" s="532">
        <f t="shared" si="173"/>
        <v>26788000</v>
      </c>
      <c r="L1820" s="539" t="s">
        <v>160</v>
      </c>
      <c r="M1820" s="539" t="s">
        <v>292</v>
      </c>
      <c r="N1820" s="525" t="str">
        <f>IF(AND('331-CT'!$E$7=TH!H1820,OR(L1820="331",M1820="331")),"331",IF(AND(OR(L1820="131",M1820="131"),H1820='131-CT'!$E$7),"131",""))</f>
        <v/>
      </c>
      <c r="O1820" s="525" t="str">
        <f>IF(AND($B1820&gt;='111'!$N$11,$B1820&lt;='111'!$O$11,OR($L1820=$O$7,$M1820=$O$7)),"x","")</f>
        <v/>
      </c>
      <c r="P1820" s="525" t="str">
        <f>IF(AND($L1820=$O$7,$B1820&lt;'111'!$N$11),"x","")</f>
        <v/>
      </c>
      <c r="Q1820" s="525" t="str">
        <f>IF(AND($M1820=$O$7,$B1820&lt;'111'!$N$11),"x","")</f>
        <v/>
      </c>
      <c r="R1820" s="525" t="str">
        <f>IF(ISERROR(FIND('112'!$M$9,G1820,1)),"",IF((AND(FIND('112'!$M$9,G1820,1)&gt;=1,$B1820&gt;='112'!$N$8,$B1820&lt;='112'!$O$8,OR($L1820='112'!$I$6,$M1820='112'!$I$6))),"x",""))</f>
        <v/>
      </c>
      <c r="S1820" s="525" t="str">
        <f>IF(ISERROR(FIND('112'!$M$9,G1820,1)),"",IF((AND(LEFT(G1820,2)=LEFT('112'!$M$9,2),B1820&lt;'112'!$N$8,$L1820='112'!$I$6)),"x",""))</f>
        <v/>
      </c>
      <c r="T1820" s="525" t="str">
        <f>IF(ISERROR(FIND('112'!$M$9,G1820,1)),"",IF((AND(RIGHT(G1820,2)=RIGHT('112'!$M$9,2),B1820&lt;'112'!$N$8,$M1820='112'!$I$6)),"x",""))</f>
        <v/>
      </c>
      <c r="U1820" s="525" t="str">
        <f>IF(AND(B1820&gt;='IN-NX'!$P$3,B1820&lt;='IN-NX'!$Q$3,'IN-NX'!$D$7=D1820,OR(LEFT(L1820,2)="15",AND(LEFT(M1820,2)&lt;&gt;"15",LEFT(M1820,2)&lt;&gt;"33"))),"x","")</f>
        <v/>
      </c>
      <c r="V1820" s="525" t="str">
        <f>IF(AND(OR(LEFT(TH!L1820,2)="15",LEFT(TH!M1820,2)="15"),'152-CT'!$J$8=TH!F1820),"x","")</f>
        <v/>
      </c>
      <c r="W1820" s="525" t="str">
        <f>IF(AND(OR(LEFT(TH!L1820,2)="15",LEFT(TH!M1820,2)="15"),TK!$E$7=TH!F1820),"x","")</f>
        <v/>
      </c>
      <c r="X1820" s="525" t="str">
        <f>IF(AND('341-CT'!$E$9=H1820,OR(LEFT(L1820,3)=$X$7,LEFT(M1820,3)=$X$7)),"x","")</f>
        <v/>
      </c>
      <c r="Y1820" s="525" t="str">
        <f>IF(OR(TH!L1820=TH!$Y$7,M1820=TH!$Y$7),"x","")</f>
        <v/>
      </c>
      <c r="Z1820" s="525" t="str">
        <f>IF(AND(B1820&lt;=NKC!$N$8,B1820&gt;=NKC!$M$8),"x","")</f>
        <v>x</v>
      </c>
      <c r="AA1820" s="535"/>
    </row>
    <row r="1821" spans="1:31" s="503" customFormat="1" ht="15.75" customHeight="1">
      <c r="A1821" s="517" t="str">
        <f>IF(B1821&lt;&gt;"",IF(AND(B1821&gt;=_TM1,B1821&lt;=_TM2,OR(TH!L1821="1111",TH!M1821="1111")),TH!D1821,""),"")</f>
        <v/>
      </c>
      <c r="B1821" s="531">
        <f t="shared" si="177"/>
        <v>3</v>
      </c>
      <c r="C1821" s="315">
        <f t="shared" si="172"/>
        <v>42811</v>
      </c>
      <c r="D1821" s="315" t="s">
        <v>996</v>
      </c>
      <c r="E1821" s="548">
        <v>42811</v>
      </c>
      <c r="F1821" s="250" t="s">
        <v>765</v>
      </c>
      <c r="G1821" s="540" t="s">
        <v>550</v>
      </c>
      <c r="H1821" s="473" t="s">
        <v>800</v>
      </c>
      <c r="I1821" s="307">
        <v>1</v>
      </c>
      <c r="J1821" s="307">
        <v>1950000</v>
      </c>
      <c r="K1821" s="532">
        <f t="shared" si="173"/>
        <v>1950000</v>
      </c>
      <c r="L1821" s="539" t="s">
        <v>160</v>
      </c>
      <c r="M1821" s="539" t="s">
        <v>292</v>
      </c>
      <c r="N1821" s="525" t="str">
        <f>IF(AND('331-CT'!$E$7=TH!H1821,OR(L1821="331",M1821="331")),"331",IF(AND(OR(L1821="131",M1821="131"),H1821='131-CT'!$E$7),"131",""))</f>
        <v/>
      </c>
      <c r="O1821" s="525" t="str">
        <f>IF(AND($B1821&gt;='111'!$N$11,$B1821&lt;='111'!$O$11,OR($L1821=$O$7,$M1821=$O$7)),"x","")</f>
        <v/>
      </c>
      <c r="P1821" s="525" t="str">
        <f>IF(AND($L1821=$O$7,$B1821&lt;'111'!$N$11),"x","")</f>
        <v/>
      </c>
      <c r="Q1821" s="525" t="str">
        <f>IF(AND($M1821=$O$7,$B1821&lt;'111'!$N$11),"x","")</f>
        <v/>
      </c>
      <c r="R1821" s="525" t="str">
        <f>IF(ISERROR(FIND('112'!$M$9,G1821,1)),"",IF((AND(FIND('112'!$M$9,G1821,1)&gt;=1,$B1821&gt;='112'!$N$8,$B1821&lt;='112'!$O$8,OR($L1821='112'!$I$6,$M1821='112'!$I$6))),"x",""))</f>
        <v/>
      </c>
      <c r="S1821" s="525" t="str">
        <f>IF(ISERROR(FIND('112'!$M$9,G1821,1)),"",IF((AND(LEFT(G1821,2)=LEFT('112'!$M$9,2),B1821&lt;'112'!$N$8,$L1821='112'!$I$6)),"x",""))</f>
        <v/>
      </c>
      <c r="T1821" s="525" t="str">
        <f>IF(ISERROR(FIND('112'!$M$9,G1821,1)),"",IF((AND(RIGHT(G1821,2)=RIGHT('112'!$M$9,2),B1821&lt;'112'!$N$8,$M1821='112'!$I$6)),"x",""))</f>
        <v/>
      </c>
      <c r="U1821" s="525" t="str">
        <f>IF(AND(B1821&gt;='IN-NX'!$P$3,B1821&lt;='IN-NX'!$Q$3,'IN-NX'!$D$7=D1821,OR(LEFT(L1821,2)="15",AND(LEFT(M1821,2)&lt;&gt;"15",LEFT(M1821,2)&lt;&gt;"33"))),"x","")</f>
        <v/>
      </c>
      <c r="V1821" s="525" t="str">
        <f>IF(AND(OR(LEFT(TH!L1821,2)="15",LEFT(TH!M1821,2)="15"),'152-CT'!$J$8=TH!F1821),"x","")</f>
        <v/>
      </c>
      <c r="W1821" s="525" t="str">
        <f>IF(AND(OR(LEFT(TH!L1821,2)="15",LEFT(TH!M1821,2)="15"),TK!$E$7=TH!F1821),"x","")</f>
        <v/>
      </c>
      <c r="X1821" s="525" t="str">
        <f>IF(AND('341-CT'!$E$9=H1821,OR(LEFT(L1821,3)=$X$7,LEFT(M1821,3)=$X$7)),"x","")</f>
        <v/>
      </c>
      <c r="Y1821" s="525" t="str">
        <f>IF(OR(TH!L1821=TH!$Y$7,M1821=TH!$Y$7),"x","")</f>
        <v/>
      </c>
      <c r="Z1821" s="525" t="str">
        <f>IF(AND(B1821&lt;=NKC!$N$8,B1821&gt;=NKC!$M$8),"x","")</f>
        <v>x</v>
      </c>
      <c r="AA1821" s="535"/>
    </row>
    <row r="1822" spans="1:31" s="503" customFormat="1" ht="15.75" customHeight="1">
      <c r="A1822" s="517" t="str">
        <f>IF(B1822&lt;&gt;"",IF(AND(B1822&gt;=_TM1,B1822&lt;=_TM2,OR(TH!L1822="1111",TH!M1822="1111")),TH!D1822,""),"")</f>
        <v/>
      </c>
      <c r="B1822" s="531">
        <f t="shared" si="177"/>
        <v>3</v>
      </c>
      <c r="C1822" s="315">
        <f t="shared" si="172"/>
        <v>42811</v>
      </c>
      <c r="D1822" s="315" t="s">
        <v>996</v>
      </c>
      <c r="E1822" s="548">
        <v>42811</v>
      </c>
      <c r="F1822" s="249" t="s">
        <v>503</v>
      </c>
      <c r="G1822" s="540" t="s">
        <v>772</v>
      </c>
      <c r="H1822" s="473" t="s">
        <v>800</v>
      </c>
      <c r="I1822" s="307">
        <v>2050</v>
      </c>
      <c r="J1822" s="307">
        <v>8330</v>
      </c>
      <c r="K1822" s="532">
        <f t="shared" si="173"/>
        <v>17076500</v>
      </c>
      <c r="L1822" s="539" t="s">
        <v>160</v>
      </c>
      <c r="M1822" s="539" t="s">
        <v>292</v>
      </c>
      <c r="N1822" s="525" t="str">
        <f>IF(AND('331-CT'!$E$7=TH!H1822,OR(L1822="331",M1822="331")),"331",IF(AND(OR(L1822="131",M1822="131"),H1822='131-CT'!$E$7),"131",""))</f>
        <v/>
      </c>
      <c r="O1822" s="525" t="str">
        <f>IF(AND($B1822&gt;='111'!$N$11,$B1822&lt;='111'!$O$11,OR($L1822=$O$7,$M1822=$O$7)),"x","")</f>
        <v/>
      </c>
      <c r="P1822" s="525" t="str">
        <f>IF(AND($L1822=$O$7,$B1822&lt;'111'!$N$11),"x","")</f>
        <v/>
      </c>
      <c r="Q1822" s="525" t="str">
        <f>IF(AND($M1822=$O$7,$B1822&lt;'111'!$N$11),"x","")</f>
        <v/>
      </c>
      <c r="R1822" s="525" t="str">
        <f>IF(ISERROR(FIND('112'!$M$9,G1822,1)),"",IF((AND(FIND('112'!$M$9,G1822,1)&gt;=1,$B1822&gt;='112'!$N$8,$B1822&lt;='112'!$O$8,OR($L1822='112'!$I$6,$M1822='112'!$I$6))),"x",""))</f>
        <v/>
      </c>
      <c r="S1822" s="525" t="str">
        <f>IF(ISERROR(FIND('112'!$M$9,G1822,1)),"",IF((AND(LEFT(G1822,2)=LEFT('112'!$M$9,2),B1822&lt;'112'!$N$8,$L1822='112'!$I$6)),"x",""))</f>
        <v/>
      </c>
      <c r="T1822" s="525" t="str">
        <f>IF(ISERROR(FIND('112'!$M$9,G1822,1)),"",IF((AND(RIGHT(G1822,2)=RIGHT('112'!$M$9,2),B1822&lt;'112'!$N$8,$M1822='112'!$I$6)),"x",""))</f>
        <v/>
      </c>
      <c r="U1822" s="525" t="str">
        <f>IF(AND(B1822&gt;='IN-NX'!$P$3,B1822&lt;='IN-NX'!$Q$3,'IN-NX'!$D$7=D1822,OR(LEFT(L1822,2)="15",AND(LEFT(M1822,2)&lt;&gt;"15",LEFT(M1822,2)&lt;&gt;"33"))),"x","")</f>
        <v/>
      </c>
      <c r="V1822" s="525" t="str">
        <f>IF(AND(OR(LEFT(TH!L1822,2)="15",LEFT(TH!M1822,2)="15"),'152-CT'!$J$8=TH!F1822),"x","")</f>
        <v/>
      </c>
      <c r="W1822" s="525" t="str">
        <f>IF(AND(OR(LEFT(TH!L1822,2)="15",LEFT(TH!M1822,2)="15"),TK!$E$7=TH!F1822),"x","")</f>
        <v/>
      </c>
      <c r="X1822" s="525" t="str">
        <f>IF(AND('341-CT'!$E$9=H1822,OR(LEFT(L1822,3)=$X$7,LEFT(M1822,3)=$X$7)),"x","")</f>
        <v/>
      </c>
      <c r="Y1822" s="525" t="str">
        <f>IF(OR(TH!L1822=TH!$Y$7,M1822=TH!$Y$7),"x","")</f>
        <v/>
      </c>
      <c r="Z1822" s="525" t="str">
        <f>IF(AND(B1822&lt;=NKC!$N$8,B1822&gt;=NKC!$M$8),"x","")</f>
        <v>x</v>
      </c>
      <c r="AA1822" s="535"/>
    </row>
    <row r="1823" spans="1:31" s="503" customFormat="1" ht="15.75" customHeight="1">
      <c r="A1823" s="517" t="str">
        <f>IF(B1823&lt;&gt;"",IF(AND(B1823&gt;=_TM1,B1823&lt;=_TM2,OR(TH!L1823="1111",TH!M1823="1111")),TH!D1823,""),"")</f>
        <v/>
      </c>
      <c r="B1823" s="531">
        <f t="shared" si="177"/>
        <v>3</v>
      </c>
      <c r="C1823" s="315">
        <f t="shared" si="172"/>
        <v>42814</v>
      </c>
      <c r="D1823" s="315" t="s">
        <v>996</v>
      </c>
      <c r="E1823" s="548">
        <v>42814</v>
      </c>
      <c r="F1823" s="249" t="s">
        <v>274</v>
      </c>
      <c r="G1823" s="540" t="s">
        <v>552</v>
      </c>
      <c r="H1823" s="473" t="s">
        <v>800</v>
      </c>
      <c r="I1823" s="307">
        <v>4600</v>
      </c>
      <c r="J1823" s="307">
        <v>18130</v>
      </c>
      <c r="K1823" s="532">
        <f t="shared" si="173"/>
        <v>83398000</v>
      </c>
      <c r="L1823" s="539" t="s">
        <v>160</v>
      </c>
      <c r="M1823" s="539" t="s">
        <v>292</v>
      </c>
      <c r="N1823" s="525" t="str">
        <f>IF(AND('331-CT'!$E$7=TH!H1823,OR(L1823="331",M1823="331")),"331",IF(AND(OR(L1823="131",M1823="131"),H1823='131-CT'!$E$7),"131",""))</f>
        <v/>
      </c>
      <c r="O1823" s="525" t="str">
        <f>IF(AND($B1823&gt;='111'!$N$11,$B1823&lt;='111'!$O$11,OR($L1823=$O$7,$M1823=$O$7)),"x","")</f>
        <v/>
      </c>
      <c r="P1823" s="525" t="str">
        <f>IF(AND($L1823=$O$7,$B1823&lt;'111'!$N$11),"x","")</f>
        <v/>
      </c>
      <c r="Q1823" s="525" t="str">
        <f>IF(AND($M1823=$O$7,$B1823&lt;'111'!$N$11),"x","")</f>
        <v/>
      </c>
      <c r="R1823" s="525" t="str">
        <f>IF(ISERROR(FIND('112'!$M$9,G1823,1)),"",IF((AND(FIND('112'!$M$9,G1823,1)&gt;=1,$B1823&gt;='112'!$N$8,$B1823&lt;='112'!$O$8,OR($L1823='112'!$I$6,$M1823='112'!$I$6))),"x",""))</f>
        <v/>
      </c>
      <c r="S1823" s="525" t="str">
        <f>IF(ISERROR(FIND('112'!$M$9,G1823,1)),"",IF((AND(LEFT(G1823,2)=LEFT('112'!$M$9,2),B1823&lt;'112'!$N$8,$L1823='112'!$I$6)),"x",""))</f>
        <v/>
      </c>
      <c r="T1823" s="525" t="str">
        <f>IF(ISERROR(FIND('112'!$M$9,G1823,1)),"",IF((AND(RIGHT(G1823,2)=RIGHT('112'!$M$9,2),B1823&lt;'112'!$N$8,$M1823='112'!$I$6)),"x",""))</f>
        <v/>
      </c>
      <c r="U1823" s="525" t="str">
        <f>IF(AND(B1823&gt;='IN-NX'!$P$3,B1823&lt;='IN-NX'!$Q$3,'IN-NX'!$D$7=D1823,OR(LEFT(L1823,2)="15",AND(LEFT(M1823,2)&lt;&gt;"15",LEFT(M1823,2)&lt;&gt;"33"))),"x","")</f>
        <v/>
      </c>
      <c r="V1823" s="525" t="str">
        <f>IF(AND(OR(LEFT(TH!L1823,2)="15",LEFT(TH!M1823,2)="15"),'152-CT'!$J$8=TH!F1823),"x","")</f>
        <v/>
      </c>
      <c r="W1823" s="525" t="str">
        <f>IF(AND(OR(LEFT(TH!L1823,2)="15",LEFT(TH!M1823,2)="15"),TK!$E$7=TH!F1823),"x","")</f>
        <v>x</v>
      </c>
      <c r="X1823" s="525" t="str">
        <f>IF(AND('341-CT'!$E$9=H1823,OR(LEFT(L1823,3)=$X$7,LEFT(M1823,3)=$X$7)),"x","")</f>
        <v/>
      </c>
      <c r="Y1823" s="525" t="str">
        <f>IF(OR(TH!L1823=TH!$Y$7,M1823=TH!$Y$7),"x","")</f>
        <v/>
      </c>
      <c r="Z1823" s="525" t="str">
        <f>IF(AND(B1823&lt;=NKC!$N$8,B1823&gt;=NKC!$M$8),"x","")</f>
        <v>x</v>
      </c>
      <c r="AA1823" s="535"/>
    </row>
    <row r="1824" spans="1:31" s="503" customFormat="1" ht="15.75" customHeight="1">
      <c r="A1824" s="517" t="str">
        <f>IF(B1824&lt;&gt;"",IF(AND(B1824&gt;=_TM1,B1824&lt;=_TM2,OR(TH!L1824="1111",TH!M1824="1111")),TH!D1824,""),"")</f>
        <v/>
      </c>
      <c r="B1824" s="531">
        <f t="shared" si="177"/>
        <v>3</v>
      </c>
      <c r="C1824" s="315">
        <f t="shared" si="172"/>
        <v>42814</v>
      </c>
      <c r="D1824" s="315" t="s">
        <v>996</v>
      </c>
      <c r="E1824" s="545">
        <v>42814</v>
      </c>
      <c r="F1824" s="250" t="s">
        <v>503</v>
      </c>
      <c r="G1824" s="540" t="s">
        <v>552</v>
      </c>
      <c r="H1824" s="473" t="s">
        <v>800</v>
      </c>
      <c r="I1824" s="307">
        <v>4500</v>
      </c>
      <c r="J1824" s="307">
        <v>18130</v>
      </c>
      <c r="K1824" s="532">
        <f t="shared" si="173"/>
        <v>81585000</v>
      </c>
      <c r="L1824" s="539" t="s">
        <v>160</v>
      </c>
      <c r="M1824" s="539" t="s">
        <v>292</v>
      </c>
      <c r="N1824" s="525" t="str">
        <f>IF(AND('331-CT'!$E$7=TH!H1824,OR(L1824="331",M1824="331")),"331",IF(AND(OR(L1824="131",M1824="131"),H1824='131-CT'!$E$7),"131",""))</f>
        <v/>
      </c>
      <c r="O1824" s="525" t="str">
        <f>IF(AND($B1824&gt;='111'!$N$11,$B1824&lt;='111'!$O$11,OR($L1824=$O$7,$M1824=$O$7)),"x","")</f>
        <v/>
      </c>
      <c r="P1824" s="525" t="str">
        <f>IF(AND($L1824=$O$7,$B1824&lt;'111'!$N$11),"x","")</f>
        <v/>
      </c>
      <c r="Q1824" s="525" t="str">
        <f>IF(AND($M1824=$O$7,$B1824&lt;'111'!$N$11),"x","")</f>
        <v/>
      </c>
      <c r="R1824" s="525" t="str">
        <f>IF(ISERROR(FIND('112'!$M$9,G1824,1)),"",IF((AND(FIND('112'!$M$9,G1824,1)&gt;=1,$B1824&gt;='112'!$N$8,$B1824&lt;='112'!$O$8,OR($L1824='112'!$I$6,$M1824='112'!$I$6))),"x",""))</f>
        <v/>
      </c>
      <c r="S1824" s="525" t="str">
        <f>IF(ISERROR(FIND('112'!$M$9,G1824,1)),"",IF((AND(LEFT(G1824,2)=LEFT('112'!$M$9,2),B1824&lt;'112'!$N$8,$L1824='112'!$I$6)),"x",""))</f>
        <v/>
      </c>
      <c r="T1824" s="525" t="str">
        <f>IF(ISERROR(FIND('112'!$M$9,G1824,1)),"",IF((AND(RIGHT(G1824,2)=RIGHT('112'!$M$9,2),B1824&lt;'112'!$N$8,$M1824='112'!$I$6)),"x",""))</f>
        <v/>
      </c>
      <c r="U1824" s="525" t="str">
        <f>IF(AND(B1824&gt;='IN-NX'!$P$3,B1824&lt;='IN-NX'!$Q$3,'IN-NX'!$D$7=D1824,OR(LEFT(L1824,2)="15",AND(LEFT(M1824,2)&lt;&gt;"15",LEFT(M1824,2)&lt;&gt;"33"))),"x","")</f>
        <v/>
      </c>
      <c r="V1824" s="525" t="str">
        <f>IF(AND(OR(LEFT(TH!L1824,2)="15",LEFT(TH!M1824,2)="15"),'152-CT'!$J$8=TH!F1824),"x","")</f>
        <v/>
      </c>
      <c r="W1824" s="525" t="str">
        <f>IF(AND(OR(LEFT(TH!L1824,2)="15",LEFT(TH!M1824,2)="15"),TK!$E$7=TH!F1824),"x","")</f>
        <v/>
      </c>
      <c r="X1824" s="525" t="str">
        <f>IF(AND('341-CT'!$E$9=H1824,OR(LEFT(L1824,3)=$X$7,LEFT(M1824,3)=$X$7)),"x","")</f>
        <v/>
      </c>
      <c r="Y1824" s="525" t="str">
        <f>IF(OR(TH!L1824=TH!$Y$7,M1824=TH!$Y$7),"x","")</f>
        <v/>
      </c>
      <c r="Z1824" s="525" t="str">
        <f>IF(AND(B1824&lt;=NKC!$N$8,B1824&gt;=NKC!$M$8),"x","")</f>
        <v>x</v>
      </c>
      <c r="AA1824" s="535"/>
    </row>
    <row r="1825" spans="1:31" s="503" customFormat="1" ht="15.75" customHeight="1">
      <c r="A1825" s="517" t="str">
        <f>IF(B1825&lt;&gt;"",IF(AND(B1825&gt;=_TM1,B1825&lt;=_TM2,OR(TH!L1825="1111",TH!M1825="1111")),TH!D1825,""),"")</f>
        <v/>
      </c>
      <c r="B1825" s="531">
        <f t="shared" si="177"/>
        <v>3</v>
      </c>
      <c r="C1825" s="315">
        <f t="shared" si="172"/>
        <v>42814</v>
      </c>
      <c r="D1825" s="315" t="s">
        <v>996</v>
      </c>
      <c r="E1825" s="548">
        <v>42814</v>
      </c>
      <c r="F1825" s="249" t="s">
        <v>765</v>
      </c>
      <c r="G1825" s="540" t="s">
        <v>553</v>
      </c>
      <c r="H1825" s="473" t="s">
        <v>800</v>
      </c>
      <c r="I1825" s="307">
        <v>1</v>
      </c>
      <c r="J1825" s="307">
        <v>1950000</v>
      </c>
      <c r="K1825" s="532">
        <f t="shared" si="173"/>
        <v>1950000</v>
      </c>
      <c r="L1825" s="539" t="s">
        <v>160</v>
      </c>
      <c r="M1825" s="539" t="s">
        <v>292</v>
      </c>
      <c r="N1825" s="525" t="str">
        <f>IF(AND('331-CT'!$E$7=TH!H1825,OR(L1825="331",M1825="331")),"331",IF(AND(OR(L1825="131",M1825="131"),H1825='131-CT'!$E$7),"131",""))</f>
        <v/>
      </c>
      <c r="O1825" s="525" t="str">
        <f>IF(AND($B1825&gt;='111'!$N$11,$B1825&lt;='111'!$O$11,OR($L1825=$O$7,$M1825=$O$7)),"x","")</f>
        <v/>
      </c>
      <c r="P1825" s="525" t="str">
        <f>IF(AND($L1825=$O$7,$B1825&lt;'111'!$N$11),"x","")</f>
        <v/>
      </c>
      <c r="Q1825" s="525" t="str">
        <f>IF(AND($M1825=$O$7,$B1825&lt;'111'!$N$11),"x","")</f>
        <v/>
      </c>
      <c r="R1825" s="525" t="str">
        <f>IF(ISERROR(FIND('112'!$M$9,G1825,1)),"",IF((AND(FIND('112'!$M$9,G1825,1)&gt;=1,$B1825&gt;='112'!$N$8,$B1825&lt;='112'!$O$8,OR($L1825='112'!$I$6,$M1825='112'!$I$6))),"x",""))</f>
        <v/>
      </c>
      <c r="S1825" s="525" t="str">
        <f>IF(ISERROR(FIND('112'!$M$9,G1825,1)),"",IF((AND(LEFT(G1825,2)=LEFT('112'!$M$9,2),B1825&lt;'112'!$N$8,$L1825='112'!$I$6)),"x",""))</f>
        <v/>
      </c>
      <c r="T1825" s="525" t="str">
        <f>IF(ISERROR(FIND('112'!$M$9,G1825,1)),"",IF((AND(RIGHT(G1825,2)=RIGHT('112'!$M$9,2),B1825&lt;'112'!$N$8,$M1825='112'!$I$6)),"x",""))</f>
        <v/>
      </c>
      <c r="U1825" s="525" t="str">
        <f>IF(AND(B1825&gt;='IN-NX'!$P$3,B1825&lt;='IN-NX'!$Q$3,'IN-NX'!$D$7=D1825,OR(LEFT(L1825,2)="15",AND(LEFT(M1825,2)&lt;&gt;"15",LEFT(M1825,2)&lt;&gt;"33"))),"x","")</f>
        <v/>
      </c>
      <c r="V1825" s="525" t="str">
        <f>IF(AND(OR(LEFT(TH!L1825,2)="15",LEFT(TH!M1825,2)="15"),'152-CT'!$J$8=TH!F1825),"x","")</f>
        <v/>
      </c>
      <c r="W1825" s="525" t="str">
        <f>IF(AND(OR(LEFT(TH!L1825,2)="15",LEFT(TH!M1825,2)="15"),TK!$E$7=TH!F1825),"x","")</f>
        <v/>
      </c>
      <c r="X1825" s="525" t="str">
        <f>IF(AND('341-CT'!$E$9=H1825,OR(LEFT(L1825,3)=$X$7,LEFT(M1825,3)=$X$7)),"x","")</f>
        <v/>
      </c>
      <c r="Y1825" s="525" t="str">
        <f>IF(OR(TH!L1825=TH!$Y$7,M1825=TH!$Y$7),"x","")</f>
        <v/>
      </c>
      <c r="Z1825" s="525" t="str">
        <f>IF(AND(B1825&lt;=NKC!$N$8,B1825&gt;=NKC!$M$8),"x","")</f>
        <v>x</v>
      </c>
      <c r="AA1825" s="535"/>
    </row>
    <row r="1826" spans="1:31" s="503" customFormat="1" ht="15.75" customHeight="1">
      <c r="A1826" s="517" t="str">
        <f>IF(B1826&lt;&gt;"",IF(AND(B1826&gt;=_TM1,B1826&lt;=_TM2,OR(TH!L1826="1111",TH!M1826="1111")),TH!D1826,""),"")</f>
        <v/>
      </c>
      <c r="B1826" s="531">
        <f t="shared" si="177"/>
        <v>3</v>
      </c>
      <c r="C1826" s="315">
        <f t="shared" si="172"/>
        <v>42818</v>
      </c>
      <c r="D1826" s="315" t="s">
        <v>996</v>
      </c>
      <c r="E1826" s="548">
        <v>42818</v>
      </c>
      <c r="F1826" s="250" t="s">
        <v>587</v>
      </c>
      <c r="G1826" s="540" t="s">
        <v>554</v>
      </c>
      <c r="H1826" s="473" t="s">
        <v>800</v>
      </c>
      <c r="I1826" s="307">
        <v>620</v>
      </c>
      <c r="J1826" s="307">
        <v>2450</v>
      </c>
      <c r="K1826" s="532">
        <f t="shared" si="173"/>
        <v>1519000</v>
      </c>
      <c r="L1826" s="539" t="s">
        <v>160</v>
      </c>
      <c r="M1826" s="539" t="s">
        <v>292</v>
      </c>
      <c r="N1826" s="525" t="str">
        <f>IF(AND('331-CT'!$E$7=TH!H1826,OR(L1826="331",M1826="331")),"331",IF(AND(OR(L1826="131",M1826="131"),H1826='131-CT'!$E$7),"131",""))</f>
        <v/>
      </c>
      <c r="O1826" s="525" t="str">
        <f>IF(AND($B1826&gt;='111'!$N$11,$B1826&lt;='111'!$O$11,OR($L1826=$O$7,$M1826=$O$7)),"x","")</f>
        <v/>
      </c>
      <c r="P1826" s="525" t="str">
        <f>IF(AND($L1826=$O$7,$B1826&lt;'111'!$N$11),"x","")</f>
        <v/>
      </c>
      <c r="Q1826" s="525" t="str">
        <f>IF(AND($M1826=$O$7,$B1826&lt;'111'!$N$11),"x","")</f>
        <v/>
      </c>
      <c r="R1826" s="525" t="str">
        <f>IF(ISERROR(FIND('112'!$M$9,G1826,1)),"",IF((AND(FIND('112'!$M$9,G1826,1)&gt;=1,$B1826&gt;='112'!$N$8,$B1826&lt;='112'!$O$8,OR($L1826='112'!$I$6,$M1826='112'!$I$6))),"x",""))</f>
        <v/>
      </c>
      <c r="S1826" s="525" t="str">
        <f>IF(ISERROR(FIND('112'!$M$9,G1826,1)),"",IF((AND(LEFT(G1826,2)=LEFT('112'!$M$9,2),B1826&lt;'112'!$N$8,$L1826='112'!$I$6)),"x",""))</f>
        <v/>
      </c>
      <c r="T1826" s="525" t="str">
        <f>IF(ISERROR(FIND('112'!$M$9,G1826,1)),"",IF((AND(RIGHT(G1826,2)=RIGHT('112'!$M$9,2),B1826&lt;'112'!$N$8,$M1826='112'!$I$6)),"x",""))</f>
        <v/>
      </c>
      <c r="U1826" s="525" t="str">
        <f>IF(AND(B1826&gt;='IN-NX'!$P$3,B1826&lt;='IN-NX'!$Q$3,'IN-NX'!$D$7=D1826,OR(LEFT(L1826,2)="15",AND(LEFT(M1826,2)&lt;&gt;"15",LEFT(M1826,2)&lt;&gt;"33"))),"x","")</f>
        <v/>
      </c>
      <c r="V1826" s="525" t="str">
        <f>IF(AND(OR(LEFT(TH!L1826,2)="15",LEFT(TH!M1826,2)="15"),'152-CT'!$J$8=TH!F1826),"x","")</f>
        <v/>
      </c>
      <c r="W1826" s="525" t="str">
        <f>IF(AND(OR(LEFT(TH!L1826,2)="15",LEFT(TH!M1826,2)="15"),TK!$E$7=TH!F1826),"x","")</f>
        <v/>
      </c>
      <c r="X1826" s="525" t="str">
        <f>IF(AND('341-CT'!$E$9=H1826,OR(LEFT(L1826,3)=$X$7,LEFT(M1826,3)=$X$7)),"x","")</f>
        <v/>
      </c>
      <c r="Y1826" s="525" t="str">
        <f>IF(OR(TH!L1826=TH!$Y$7,M1826=TH!$Y$7),"x","")</f>
        <v/>
      </c>
      <c r="Z1826" s="525" t="str">
        <f>IF(AND(B1826&lt;=NKC!$N$8,B1826&gt;=NKC!$M$8),"x","")</f>
        <v>x</v>
      </c>
      <c r="AA1826" s="535"/>
    </row>
    <row r="1827" spans="1:31" s="503" customFormat="1" ht="15.75" customHeight="1">
      <c r="A1827" s="517" t="str">
        <f>IF(B1827&lt;&gt;"",IF(AND(B1827&gt;=_TM1,B1827&lt;=_TM2,OR(TH!L1827="1111",TH!M1827="1111")),TH!D1827,""),"")</f>
        <v/>
      </c>
      <c r="B1827" s="531">
        <f t="shared" si="177"/>
        <v>3</v>
      </c>
      <c r="C1827" s="315">
        <f t="shared" si="172"/>
        <v>42825</v>
      </c>
      <c r="D1827" s="315" t="s">
        <v>996</v>
      </c>
      <c r="E1827" s="545">
        <v>42825</v>
      </c>
      <c r="F1827" s="249" t="s">
        <v>777</v>
      </c>
      <c r="G1827" s="314" t="s">
        <v>775</v>
      </c>
      <c r="H1827" s="473" t="s">
        <v>800</v>
      </c>
      <c r="I1827" s="307">
        <v>100</v>
      </c>
      <c r="J1827" s="307">
        <v>14126.7</v>
      </c>
      <c r="K1827" s="532">
        <f t="shared" si="173"/>
        <v>1412670</v>
      </c>
      <c r="L1827" s="539" t="s">
        <v>160</v>
      </c>
      <c r="M1827" s="539" t="s">
        <v>292</v>
      </c>
      <c r="N1827" s="525" t="str">
        <f>IF(AND('331-CT'!$E$7=TH!H1827,OR(L1827="331",M1827="331")),"331",IF(AND(OR(L1827="131",M1827="131"),H1827='131-CT'!$E$7),"131",""))</f>
        <v/>
      </c>
      <c r="O1827" s="525" t="str">
        <f>IF(AND($B1827&gt;='111'!$N$11,$B1827&lt;='111'!$O$11,OR($L1827=$O$7,$M1827=$O$7)),"x","")</f>
        <v/>
      </c>
      <c r="P1827" s="525" t="str">
        <f>IF(AND($L1827=$O$7,$B1827&lt;'111'!$N$11),"x","")</f>
        <v/>
      </c>
      <c r="Q1827" s="525" t="str">
        <f>IF(AND($M1827=$O$7,$B1827&lt;'111'!$N$11),"x","")</f>
        <v/>
      </c>
      <c r="R1827" s="525" t="str">
        <f>IF(ISERROR(FIND('112'!$M$9,G1827,1)),"",IF((AND(FIND('112'!$M$9,G1827,1)&gt;=1,$B1827&gt;='112'!$N$8,$B1827&lt;='112'!$O$8,OR($L1827='112'!$I$6,$M1827='112'!$I$6))),"x",""))</f>
        <v/>
      </c>
      <c r="S1827" s="525" t="str">
        <f>IF(ISERROR(FIND('112'!$M$9,G1827,1)),"",IF((AND(LEFT(G1827,2)=LEFT('112'!$M$9,2),B1827&lt;'112'!$N$8,$L1827='112'!$I$6)),"x",""))</f>
        <v/>
      </c>
      <c r="T1827" s="525" t="str">
        <f>IF(ISERROR(FIND('112'!$M$9,G1827,1)),"",IF((AND(RIGHT(G1827,2)=RIGHT('112'!$M$9,2),B1827&lt;'112'!$N$8,$M1827='112'!$I$6)),"x",""))</f>
        <v/>
      </c>
      <c r="U1827" s="525" t="str">
        <f>IF(AND(B1827&gt;='IN-NX'!$P$3,B1827&lt;='IN-NX'!$Q$3,'IN-NX'!$D$7=D1827,OR(LEFT(L1827,2)="15",AND(LEFT(M1827,2)&lt;&gt;"15",LEFT(M1827,2)&lt;&gt;"33"))),"x","")</f>
        <v/>
      </c>
      <c r="V1827" s="525" t="str">
        <f>IF(AND(OR(LEFT(TH!L1827,2)="15",LEFT(TH!M1827,2)="15"),'152-CT'!$J$8=TH!F1827),"x","")</f>
        <v/>
      </c>
      <c r="W1827" s="525" t="str">
        <f>IF(AND(OR(LEFT(TH!L1827,2)="15",LEFT(TH!M1827,2)="15"),TK!$E$7=TH!F1827),"x","")</f>
        <v/>
      </c>
      <c r="X1827" s="525" t="str">
        <f>IF(AND('341-CT'!$E$9=H1827,OR(LEFT(L1827,3)=$X$7,LEFT(M1827,3)=$X$7)),"x","")</f>
        <v/>
      </c>
      <c r="Y1827" s="525" t="str">
        <f>IF(OR(TH!L1827=TH!$Y$7,M1827=TH!$Y$7),"x","")</f>
        <v/>
      </c>
      <c r="Z1827" s="525" t="str">
        <f>IF(AND(B1827&lt;=NKC!$N$8,B1827&gt;=NKC!$M$8),"x","")</f>
        <v>x</v>
      </c>
      <c r="AA1827" s="535"/>
      <c r="AB1827" s="536"/>
      <c r="AE1827" s="536"/>
    </row>
    <row r="1828" spans="1:31" s="503" customFormat="1" ht="15.75" customHeight="1">
      <c r="A1828" s="517" t="str">
        <f>IF(B1828&lt;&gt;"",IF(AND(B1828&gt;=_TM1,B1828&lt;=_TM2,OR(TH!L1828="1111",TH!M1828="1111")),TH!D1828,""),"")</f>
        <v/>
      </c>
      <c r="B1828" s="531">
        <f t="shared" si="177"/>
        <v>3</v>
      </c>
      <c r="C1828" s="315">
        <f t="shared" si="172"/>
        <v>42825</v>
      </c>
      <c r="D1828" s="315" t="s">
        <v>996</v>
      </c>
      <c r="E1828" s="545">
        <v>42825</v>
      </c>
      <c r="F1828" s="249" t="s">
        <v>778</v>
      </c>
      <c r="G1828" s="314" t="s">
        <v>775</v>
      </c>
      <c r="H1828" s="473" t="s">
        <v>800</v>
      </c>
      <c r="I1828" s="307">
        <v>100</v>
      </c>
      <c r="J1828" s="307">
        <v>8507.3799999999992</v>
      </c>
      <c r="K1828" s="532">
        <f t="shared" si="173"/>
        <v>850738</v>
      </c>
      <c r="L1828" s="539" t="s">
        <v>160</v>
      </c>
      <c r="M1828" s="539" t="s">
        <v>292</v>
      </c>
      <c r="N1828" s="525" t="str">
        <f>IF(AND('331-CT'!$E$7=TH!H1828,OR(L1828="331",M1828="331")),"331",IF(AND(OR(L1828="131",M1828="131"),H1828='131-CT'!$E$7),"131",""))</f>
        <v/>
      </c>
      <c r="O1828" s="525" t="str">
        <f>IF(AND($B1828&gt;='111'!$N$11,$B1828&lt;='111'!$O$11,OR($L1828=$O$7,$M1828=$O$7)),"x","")</f>
        <v/>
      </c>
      <c r="P1828" s="525" t="str">
        <f>IF(AND($L1828=$O$7,$B1828&lt;'111'!$N$11),"x","")</f>
        <v/>
      </c>
      <c r="Q1828" s="525" t="str">
        <f>IF(AND($M1828=$O$7,$B1828&lt;'111'!$N$11),"x","")</f>
        <v/>
      </c>
      <c r="R1828" s="525" t="str">
        <f>IF(ISERROR(FIND('112'!$M$9,G1828,1)),"",IF((AND(FIND('112'!$M$9,G1828,1)&gt;=1,$B1828&gt;='112'!$N$8,$B1828&lt;='112'!$O$8,OR($L1828='112'!$I$6,$M1828='112'!$I$6))),"x",""))</f>
        <v/>
      </c>
      <c r="S1828" s="525" t="str">
        <f>IF(ISERROR(FIND('112'!$M$9,G1828,1)),"",IF((AND(LEFT(G1828,2)=LEFT('112'!$M$9,2),B1828&lt;'112'!$N$8,$L1828='112'!$I$6)),"x",""))</f>
        <v/>
      </c>
      <c r="T1828" s="525" t="str">
        <f>IF(ISERROR(FIND('112'!$M$9,G1828,1)),"",IF((AND(RIGHT(G1828,2)=RIGHT('112'!$M$9,2),B1828&lt;'112'!$N$8,$M1828='112'!$I$6)),"x",""))</f>
        <v/>
      </c>
      <c r="U1828" s="525" t="str">
        <f>IF(AND(B1828&gt;='IN-NX'!$P$3,B1828&lt;='IN-NX'!$Q$3,'IN-NX'!$D$7=D1828,OR(LEFT(L1828,2)="15",AND(LEFT(M1828,2)&lt;&gt;"15",LEFT(M1828,2)&lt;&gt;"33"))),"x","")</f>
        <v/>
      </c>
      <c r="V1828" s="525" t="str">
        <f>IF(AND(OR(LEFT(TH!L1828,2)="15",LEFT(TH!M1828,2)="15"),'152-CT'!$J$8=TH!F1828),"x","")</f>
        <v/>
      </c>
      <c r="W1828" s="525" t="str">
        <f>IF(AND(OR(LEFT(TH!L1828,2)="15",LEFT(TH!M1828,2)="15"),TK!$E$7=TH!F1828),"x","")</f>
        <v/>
      </c>
      <c r="X1828" s="525" t="str">
        <f>IF(AND('341-CT'!$E$9=H1828,OR(LEFT(L1828,3)=$X$7,LEFT(M1828,3)=$X$7)),"x","")</f>
        <v/>
      </c>
      <c r="Y1828" s="525" t="str">
        <f>IF(OR(TH!L1828=TH!$Y$7,M1828=TH!$Y$7),"x","")</f>
        <v/>
      </c>
      <c r="Z1828" s="525" t="str">
        <f>IF(AND(B1828&lt;=NKC!$N$8,B1828&gt;=NKC!$M$8),"x","")</f>
        <v>x</v>
      </c>
      <c r="AA1828" s="535"/>
      <c r="AB1828" s="536"/>
      <c r="AE1828" s="536"/>
    </row>
    <row r="1829" spans="1:31" s="503" customFormat="1" ht="15.75" customHeight="1">
      <c r="A1829" s="517" t="str">
        <f>IF(B1829&lt;&gt;"",IF(AND(B1829&gt;=_TM1,B1829&lt;=_TM2,OR(TH!L1829="1111",TH!M1829="1111")),TH!D1829,""),"")</f>
        <v/>
      </c>
      <c r="B1829" s="531">
        <f t="shared" si="177"/>
        <v>3</v>
      </c>
      <c r="C1829" s="315">
        <f t="shared" si="172"/>
        <v>42825</v>
      </c>
      <c r="D1829" s="315" t="s">
        <v>996</v>
      </c>
      <c r="E1829" s="545">
        <v>42825</v>
      </c>
      <c r="F1829" s="250" t="s">
        <v>779</v>
      </c>
      <c r="G1829" s="540" t="s">
        <v>775</v>
      </c>
      <c r="H1829" s="473" t="s">
        <v>800</v>
      </c>
      <c r="I1829" s="307">
        <v>200</v>
      </c>
      <c r="J1829" s="307">
        <v>3343.76</v>
      </c>
      <c r="K1829" s="532">
        <f t="shared" si="173"/>
        <v>668752</v>
      </c>
      <c r="L1829" s="539" t="s">
        <v>160</v>
      </c>
      <c r="M1829" s="539" t="s">
        <v>292</v>
      </c>
      <c r="N1829" s="525" t="str">
        <f>IF(AND('331-CT'!$E$7=TH!H1829,OR(L1829="331",M1829="331")),"331",IF(AND(OR(L1829="131",M1829="131"),H1829='131-CT'!$E$7),"131",""))</f>
        <v/>
      </c>
      <c r="O1829" s="525" t="str">
        <f>IF(AND($B1829&gt;='111'!$N$11,$B1829&lt;='111'!$O$11,OR($L1829=$O$7,$M1829=$O$7)),"x","")</f>
        <v/>
      </c>
      <c r="P1829" s="525" t="str">
        <f>IF(AND($L1829=$O$7,$B1829&lt;'111'!$N$11),"x","")</f>
        <v/>
      </c>
      <c r="Q1829" s="525" t="str">
        <f>IF(AND($M1829=$O$7,$B1829&lt;'111'!$N$11),"x","")</f>
        <v/>
      </c>
      <c r="R1829" s="525" t="str">
        <f>IF(ISERROR(FIND('112'!$M$9,G1829,1)),"",IF((AND(FIND('112'!$M$9,G1829,1)&gt;=1,$B1829&gt;='112'!$N$8,$B1829&lt;='112'!$O$8,OR($L1829='112'!$I$6,$M1829='112'!$I$6))),"x",""))</f>
        <v/>
      </c>
      <c r="S1829" s="525" t="str">
        <f>IF(ISERROR(FIND('112'!$M$9,G1829,1)),"",IF((AND(LEFT(G1829,2)=LEFT('112'!$M$9,2),B1829&lt;'112'!$N$8,$L1829='112'!$I$6)),"x",""))</f>
        <v/>
      </c>
      <c r="T1829" s="525" t="str">
        <f>IF(ISERROR(FIND('112'!$M$9,G1829,1)),"",IF((AND(RIGHT(G1829,2)=RIGHT('112'!$M$9,2),B1829&lt;'112'!$N$8,$M1829='112'!$I$6)),"x",""))</f>
        <v/>
      </c>
      <c r="U1829" s="525" t="str">
        <f>IF(AND(B1829&gt;='IN-NX'!$P$3,B1829&lt;='IN-NX'!$Q$3,'IN-NX'!$D$7=D1829,OR(LEFT(L1829,2)="15",AND(LEFT(M1829,2)&lt;&gt;"15",LEFT(M1829,2)&lt;&gt;"33"))),"x","")</f>
        <v/>
      </c>
      <c r="V1829" s="525" t="str">
        <f>IF(AND(OR(LEFT(TH!L1829,2)="15",LEFT(TH!M1829,2)="15"),'152-CT'!$J$8=TH!F1829),"x","")</f>
        <v/>
      </c>
      <c r="W1829" s="525" t="str">
        <f>IF(AND(OR(LEFT(TH!L1829,2)="15",LEFT(TH!M1829,2)="15"),TK!$E$7=TH!F1829),"x","")</f>
        <v/>
      </c>
      <c r="X1829" s="525" t="str">
        <f>IF(AND('341-CT'!$E$9=H1829,OR(LEFT(L1829,3)=$X$7,LEFT(M1829,3)=$X$7)),"x","")</f>
        <v/>
      </c>
      <c r="Y1829" s="525" t="str">
        <f>IF(OR(TH!L1829=TH!$Y$7,M1829=TH!$Y$7),"x","")</f>
        <v/>
      </c>
      <c r="Z1829" s="525" t="str">
        <f>IF(AND(B1829&lt;=NKC!$N$8,B1829&gt;=NKC!$M$8),"x","")</f>
        <v>x</v>
      </c>
      <c r="AA1829" s="535"/>
    </row>
    <row r="1830" spans="1:31" s="503" customFormat="1" ht="15.75" customHeight="1">
      <c r="A1830" s="517" t="str">
        <f>IF(B1830&lt;&gt;"",IF(AND(B1830&gt;=_TM1,B1830&lt;=_TM2,OR(TH!L1830="1111",TH!M1830="1111")),TH!D1830,""),"")</f>
        <v/>
      </c>
      <c r="B1830" s="531">
        <f t="shared" si="177"/>
        <v>3</v>
      </c>
      <c r="C1830" s="315">
        <f t="shared" si="172"/>
        <v>42825</v>
      </c>
      <c r="D1830" s="315" t="s">
        <v>996</v>
      </c>
      <c r="E1830" s="545">
        <v>42825</v>
      </c>
      <c r="F1830" s="250" t="s">
        <v>780</v>
      </c>
      <c r="G1830" s="540" t="s">
        <v>775</v>
      </c>
      <c r="H1830" s="473" t="s">
        <v>800</v>
      </c>
      <c r="I1830" s="307">
        <v>200</v>
      </c>
      <c r="J1830" s="307">
        <v>1987.44</v>
      </c>
      <c r="K1830" s="532">
        <f t="shared" si="173"/>
        <v>397488</v>
      </c>
      <c r="L1830" s="539" t="s">
        <v>160</v>
      </c>
      <c r="M1830" s="539" t="s">
        <v>292</v>
      </c>
      <c r="N1830" s="525" t="str">
        <f>IF(AND('331-CT'!$E$7=TH!H1830,OR(L1830="331",M1830="331")),"331",IF(AND(OR(L1830="131",M1830="131"),H1830='131-CT'!$E$7),"131",""))</f>
        <v/>
      </c>
      <c r="O1830" s="525" t="str">
        <f>IF(AND($B1830&gt;='111'!$N$11,$B1830&lt;='111'!$O$11,OR($L1830=$O$7,$M1830=$O$7)),"x","")</f>
        <v/>
      </c>
      <c r="P1830" s="525" t="str">
        <f>IF(AND($L1830=$O$7,$B1830&lt;'111'!$N$11),"x","")</f>
        <v/>
      </c>
      <c r="Q1830" s="525" t="str">
        <f>IF(AND($M1830=$O$7,$B1830&lt;'111'!$N$11),"x","")</f>
        <v/>
      </c>
      <c r="R1830" s="525" t="str">
        <f>IF(ISERROR(FIND('112'!$M$9,G1830,1)),"",IF((AND(FIND('112'!$M$9,G1830,1)&gt;=1,$B1830&gt;='112'!$N$8,$B1830&lt;='112'!$O$8,OR($L1830='112'!$I$6,$M1830='112'!$I$6))),"x",""))</f>
        <v/>
      </c>
      <c r="S1830" s="525" t="str">
        <f>IF(ISERROR(FIND('112'!$M$9,G1830,1)),"",IF((AND(LEFT(G1830,2)=LEFT('112'!$M$9,2),B1830&lt;'112'!$N$8,$L1830='112'!$I$6)),"x",""))</f>
        <v/>
      </c>
      <c r="T1830" s="525" t="str">
        <f>IF(ISERROR(FIND('112'!$M$9,G1830,1)),"",IF((AND(RIGHT(G1830,2)=RIGHT('112'!$M$9,2),B1830&lt;'112'!$N$8,$M1830='112'!$I$6)),"x",""))</f>
        <v/>
      </c>
      <c r="U1830" s="525" t="str">
        <f>IF(AND(B1830&gt;='IN-NX'!$P$3,B1830&lt;='IN-NX'!$Q$3,'IN-NX'!$D$7=D1830,OR(LEFT(L1830,2)="15",AND(LEFT(M1830,2)&lt;&gt;"15",LEFT(M1830,2)&lt;&gt;"33"))),"x","")</f>
        <v/>
      </c>
      <c r="V1830" s="525" t="str">
        <f>IF(AND(OR(LEFT(TH!L1830,2)="15",LEFT(TH!M1830,2)="15"),'152-CT'!$J$8=TH!F1830),"x","")</f>
        <v/>
      </c>
      <c r="W1830" s="525" t="str">
        <f>IF(AND(OR(LEFT(TH!L1830,2)="15",LEFT(TH!M1830,2)="15"),TK!$E$7=TH!F1830),"x","")</f>
        <v/>
      </c>
      <c r="X1830" s="525" t="str">
        <f>IF(AND('341-CT'!$E$9=H1830,OR(LEFT(L1830,3)=$X$7,LEFT(M1830,3)=$X$7)),"x","")</f>
        <v/>
      </c>
      <c r="Y1830" s="525" t="str">
        <f>IF(OR(TH!L1830=TH!$Y$7,M1830=TH!$Y$7),"x","")</f>
        <v/>
      </c>
      <c r="Z1830" s="525" t="str">
        <f>IF(AND(B1830&lt;=NKC!$N$8,B1830&gt;=NKC!$M$8),"x","")</f>
        <v>x</v>
      </c>
      <c r="AA1830" s="535"/>
    </row>
    <row r="1831" spans="1:31" s="503" customFormat="1" ht="15.75" customHeight="1">
      <c r="A1831" s="517" t="str">
        <f>IF(B1831&lt;&gt;"",IF(AND(B1831&gt;=_TM1,B1831&lt;=_TM2,OR(TH!L1831="1111",TH!M1831="1111")),TH!D1831,""),"")</f>
        <v/>
      </c>
      <c r="B1831" s="531">
        <f t="shared" si="177"/>
        <v>3</v>
      </c>
      <c r="C1831" s="315">
        <f t="shared" si="172"/>
        <v>42825</v>
      </c>
      <c r="D1831" s="315" t="s">
        <v>996</v>
      </c>
      <c r="E1831" s="548">
        <v>42825</v>
      </c>
      <c r="F1831" s="247" t="s">
        <v>782</v>
      </c>
      <c r="G1831" s="541" t="s">
        <v>781</v>
      </c>
      <c r="H1831" s="473" t="s">
        <v>800</v>
      </c>
      <c r="I1831" s="307">
        <v>200</v>
      </c>
      <c r="J1831" s="307">
        <v>6945.26</v>
      </c>
      <c r="K1831" s="532">
        <f t="shared" si="173"/>
        <v>1389052</v>
      </c>
      <c r="L1831" s="539" t="s">
        <v>160</v>
      </c>
      <c r="M1831" s="539" t="s">
        <v>292</v>
      </c>
      <c r="N1831" s="525" t="str">
        <f>IF(AND('331-CT'!$E$7=TH!H1831,OR(L1831="331",M1831="331")),"331",IF(AND(OR(L1831="131",M1831="131"),H1831='131-CT'!$E$7),"131",""))</f>
        <v/>
      </c>
      <c r="O1831" s="525" t="str">
        <f>IF(AND($B1831&gt;='111'!$N$11,$B1831&lt;='111'!$O$11,OR($L1831=$O$7,$M1831=$O$7)),"x","")</f>
        <v/>
      </c>
      <c r="P1831" s="525" t="str">
        <f>IF(AND($L1831=$O$7,$B1831&lt;'111'!$N$11),"x","")</f>
        <v/>
      </c>
      <c r="Q1831" s="525" t="str">
        <f>IF(AND($M1831=$O$7,$B1831&lt;'111'!$N$11),"x","")</f>
        <v/>
      </c>
      <c r="R1831" s="525" t="str">
        <f>IF(ISERROR(FIND('112'!$M$9,G1831,1)),"",IF((AND(FIND('112'!$M$9,G1831,1)&gt;=1,$B1831&gt;='112'!$N$8,$B1831&lt;='112'!$O$8,OR($L1831='112'!$I$6,$M1831='112'!$I$6))),"x",""))</f>
        <v/>
      </c>
      <c r="S1831" s="525" t="str">
        <f>IF(ISERROR(FIND('112'!$M$9,G1831,1)),"",IF((AND(LEFT(G1831,2)=LEFT('112'!$M$9,2),B1831&lt;'112'!$N$8,$L1831='112'!$I$6)),"x",""))</f>
        <v/>
      </c>
      <c r="T1831" s="525" t="str">
        <f>IF(ISERROR(FIND('112'!$M$9,G1831,1)),"",IF((AND(RIGHT(G1831,2)=RIGHT('112'!$M$9,2),B1831&lt;'112'!$N$8,$M1831='112'!$I$6)),"x",""))</f>
        <v/>
      </c>
      <c r="U1831" s="525" t="str">
        <f>IF(AND(B1831&gt;='IN-NX'!$P$3,B1831&lt;='IN-NX'!$Q$3,'IN-NX'!$D$7=D1831,OR(LEFT(L1831,2)="15",AND(LEFT(M1831,2)&lt;&gt;"15",LEFT(M1831,2)&lt;&gt;"33"))),"x","")</f>
        <v/>
      </c>
      <c r="V1831" s="525" t="str">
        <f>IF(AND(OR(LEFT(TH!L1831,2)="15",LEFT(TH!M1831,2)="15"),'152-CT'!$J$8=TH!F1831),"x","")</f>
        <v/>
      </c>
      <c r="W1831" s="525" t="str">
        <f>IF(AND(OR(LEFT(TH!L1831,2)="15",LEFT(TH!M1831,2)="15"),TK!$E$7=TH!F1831),"x","")</f>
        <v/>
      </c>
      <c r="X1831" s="525" t="str">
        <f>IF(AND('341-CT'!$E$9=H1831,OR(LEFT(L1831,3)=$X$7,LEFT(M1831,3)=$X$7)),"x","")</f>
        <v/>
      </c>
      <c r="Y1831" s="525" t="str">
        <f>IF(OR(TH!L1831=TH!$Y$7,M1831=TH!$Y$7),"x","")</f>
        <v/>
      </c>
      <c r="Z1831" s="525" t="str">
        <f>IF(AND(B1831&lt;=NKC!$N$8,B1831&gt;=NKC!$M$8),"x","")</f>
        <v>x</v>
      </c>
      <c r="AA1831" s="535"/>
      <c r="AB1831" s="536"/>
      <c r="AC1831" s="536"/>
      <c r="AD1831" s="536"/>
    </row>
    <row r="1832" spans="1:31" s="503" customFormat="1" ht="15.75" customHeight="1">
      <c r="A1832" s="517" t="str">
        <f>IF(B1832&lt;&gt;"",IF(AND(B1832&gt;=_TM1,B1832&lt;=_TM2,OR(TH!L1832="1111",TH!M1832="1111")),TH!D1832,""),"")</f>
        <v/>
      </c>
      <c r="B1832" s="531">
        <f t="shared" si="177"/>
        <v>3</v>
      </c>
      <c r="C1832" s="315">
        <f t="shared" si="172"/>
        <v>42825</v>
      </c>
      <c r="D1832" s="315" t="s">
        <v>996</v>
      </c>
      <c r="E1832" s="548">
        <v>42825</v>
      </c>
      <c r="F1832" s="247" t="s">
        <v>790</v>
      </c>
      <c r="G1832" s="541" t="s">
        <v>789</v>
      </c>
      <c r="H1832" s="473" t="s">
        <v>800</v>
      </c>
      <c r="I1832" s="307">
        <v>76</v>
      </c>
      <c r="J1832" s="307">
        <v>19214</v>
      </c>
      <c r="K1832" s="532">
        <f t="shared" si="173"/>
        <v>1460264</v>
      </c>
      <c r="L1832" s="539" t="s">
        <v>160</v>
      </c>
      <c r="M1832" s="539" t="s">
        <v>292</v>
      </c>
      <c r="N1832" s="525" t="str">
        <f>IF(AND('331-CT'!$E$7=TH!H1832,OR(L1832="331",M1832="331")),"331",IF(AND(OR(L1832="131",M1832="131"),H1832='131-CT'!$E$7),"131",""))</f>
        <v/>
      </c>
      <c r="O1832" s="525" t="str">
        <f>IF(AND($B1832&gt;='111'!$N$11,$B1832&lt;='111'!$O$11,OR($L1832=$O$7,$M1832=$O$7)),"x","")</f>
        <v/>
      </c>
      <c r="P1832" s="525" t="str">
        <f>IF(AND($L1832=$O$7,$B1832&lt;'111'!$N$11),"x","")</f>
        <v/>
      </c>
      <c r="Q1832" s="525" t="str">
        <f>IF(AND($M1832=$O$7,$B1832&lt;'111'!$N$11),"x","")</f>
        <v/>
      </c>
      <c r="R1832" s="525" t="str">
        <f>IF(ISERROR(FIND('112'!$M$9,G1832,1)),"",IF((AND(FIND('112'!$M$9,G1832,1)&gt;=1,$B1832&gt;='112'!$N$8,$B1832&lt;='112'!$O$8,OR($L1832='112'!$I$6,$M1832='112'!$I$6))),"x",""))</f>
        <v/>
      </c>
      <c r="S1832" s="525" t="str">
        <f>IF(ISERROR(FIND('112'!$M$9,G1832,1)),"",IF((AND(LEFT(G1832,2)=LEFT('112'!$M$9,2),B1832&lt;'112'!$N$8,$L1832='112'!$I$6)),"x",""))</f>
        <v/>
      </c>
      <c r="T1832" s="525" t="str">
        <f>IF(ISERROR(FIND('112'!$M$9,G1832,1)),"",IF((AND(RIGHT(G1832,2)=RIGHT('112'!$M$9,2),B1832&lt;'112'!$N$8,$M1832='112'!$I$6)),"x",""))</f>
        <v/>
      </c>
      <c r="U1832" s="525" t="str">
        <f>IF(AND(B1832&gt;='IN-NX'!$P$3,B1832&lt;='IN-NX'!$Q$3,'IN-NX'!$D$7=D1832,OR(LEFT(L1832,2)="15",AND(LEFT(M1832,2)&lt;&gt;"15",LEFT(M1832,2)&lt;&gt;"33"))),"x","")</f>
        <v/>
      </c>
      <c r="V1832" s="525" t="str">
        <f>IF(AND(OR(LEFT(TH!L1832,2)="15",LEFT(TH!M1832,2)="15"),'152-CT'!$J$8=TH!F1832),"x","")</f>
        <v/>
      </c>
      <c r="W1832" s="525" t="str">
        <f>IF(AND(OR(LEFT(TH!L1832,2)="15",LEFT(TH!M1832,2)="15"),TK!$E$7=TH!F1832),"x","")</f>
        <v/>
      </c>
      <c r="X1832" s="525" t="str">
        <f>IF(AND('341-CT'!$E$9=H1832,OR(LEFT(L1832,3)=$X$7,LEFT(M1832,3)=$X$7)),"x","")</f>
        <v/>
      </c>
      <c r="Y1832" s="525" t="str">
        <f>IF(OR(TH!L1832=TH!$Y$7,M1832=TH!$Y$7),"x","")</f>
        <v/>
      </c>
      <c r="Z1832" s="525" t="str">
        <f>IF(AND(B1832&lt;=NKC!$N$8,B1832&gt;=NKC!$M$8),"x","")</f>
        <v>x</v>
      </c>
      <c r="AA1832" s="535"/>
      <c r="AB1832" s="536"/>
      <c r="AC1832" s="536"/>
      <c r="AD1832" s="536"/>
    </row>
    <row r="1833" spans="1:31" s="503" customFormat="1" ht="15.75" customHeight="1">
      <c r="A1833" s="517" t="str">
        <f>IF(B1833&lt;&gt;"",IF(AND(B1833&gt;=_TM1,B1833&lt;=_TM2,OR(TH!L1833="1111",TH!M1833="1111")),TH!D1833,""),"")</f>
        <v/>
      </c>
      <c r="B1833" s="531">
        <f t="shared" si="177"/>
        <v>3</v>
      </c>
      <c r="C1833" s="315">
        <f t="shared" si="172"/>
        <v>42825</v>
      </c>
      <c r="D1833" s="315" t="s">
        <v>996</v>
      </c>
      <c r="E1833" s="548">
        <v>42825</v>
      </c>
      <c r="F1833" s="247" t="s">
        <v>750</v>
      </c>
      <c r="G1833" s="541" t="s">
        <v>789</v>
      </c>
      <c r="H1833" s="473" t="s">
        <v>800</v>
      </c>
      <c r="I1833" s="307">
        <v>40</v>
      </c>
      <c r="J1833" s="307">
        <v>68261</v>
      </c>
      <c r="K1833" s="532">
        <f t="shared" si="173"/>
        <v>2730440</v>
      </c>
      <c r="L1833" s="539" t="s">
        <v>160</v>
      </c>
      <c r="M1833" s="539" t="s">
        <v>292</v>
      </c>
      <c r="N1833" s="525" t="str">
        <f>IF(AND('331-CT'!$E$7=TH!H1833,OR(L1833="331",M1833="331")),"331",IF(AND(OR(L1833="131",M1833="131"),H1833='131-CT'!$E$7),"131",""))</f>
        <v/>
      </c>
      <c r="O1833" s="525" t="str">
        <f>IF(AND($B1833&gt;='111'!$N$11,$B1833&lt;='111'!$O$11,OR($L1833=$O$7,$M1833=$O$7)),"x","")</f>
        <v/>
      </c>
      <c r="P1833" s="525" t="str">
        <f>IF(AND($L1833=$O$7,$B1833&lt;'111'!$N$11),"x","")</f>
        <v/>
      </c>
      <c r="Q1833" s="525" t="str">
        <f>IF(AND($M1833=$O$7,$B1833&lt;'111'!$N$11),"x","")</f>
        <v/>
      </c>
      <c r="R1833" s="525" t="str">
        <f>IF(ISERROR(FIND('112'!$M$9,G1833,1)),"",IF((AND(FIND('112'!$M$9,G1833,1)&gt;=1,$B1833&gt;='112'!$N$8,$B1833&lt;='112'!$O$8,OR($L1833='112'!$I$6,$M1833='112'!$I$6))),"x",""))</f>
        <v/>
      </c>
      <c r="S1833" s="525" t="str">
        <f>IF(ISERROR(FIND('112'!$M$9,G1833,1)),"",IF((AND(LEFT(G1833,2)=LEFT('112'!$M$9,2),B1833&lt;'112'!$N$8,$L1833='112'!$I$6)),"x",""))</f>
        <v/>
      </c>
      <c r="T1833" s="525" t="str">
        <f>IF(ISERROR(FIND('112'!$M$9,G1833,1)),"",IF((AND(RIGHT(G1833,2)=RIGHT('112'!$M$9,2),B1833&lt;'112'!$N$8,$M1833='112'!$I$6)),"x",""))</f>
        <v/>
      </c>
      <c r="U1833" s="525" t="str">
        <f>IF(AND(B1833&gt;='IN-NX'!$P$3,B1833&lt;='IN-NX'!$Q$3,'IN-NX'!$D$7=D1833,OR(LEFT(L1833,2)="15",AND(LEFT(M1833,2)&lt;&gt;"15",LEFT(M1833,2)&lt;&gt;"33"))),"x","")</f>
        <v/>
      </c>
      <c r="V1833" s="525" t="str">
        <f>IF(AND(OR(LEFT(TH!L1833,2)="15",LEFT(TH!M1833,2)="15"),'152-CT'!$J$8=TH!F1833),"x","")</f>
        <v/>
      </c>
      <c r="W1833" s="525" t="str">
        <f>IF(AND(OR(LEFT(TH!L1833,2)="15",LEFT(TH!M1833,2)="15"),TK!$E$7=TH!F1833),"x","")</f>
        <v/>
      </c>
      <c r="X1833" s="525" t="str">
        <f>IF(AND('341-CT'!$E$9=H1833,OR(LEFT(L1833,3)=$X$7,LEFT(M1833,3)=$X$7)),"x","")</f>
        <v/>
      </c>
      <c r="Y1833" s="525" t="str">
        <f>IF(OR(TH!L1833=TH!$Y$7,M1833=TH!$Y$7),"x","")</f>
        <v/>
      </c>
      <c r="Z1833" s="525" t="str">
        <f>IF(AND(B1833&lt;=NKC!$N$8,B1833&gt;=NKC!$M$8),"x","")</f>
        <v>x</v>
      </c>
      <c r="AA1833" s="535"/>
      <c r="AB1833" s="536"/>
      <c r="AC1833" s="536"/>
      <c r="AD1833" s="536"/>
    </row>
    <row r="1834" spans="1:31" s="503" customFormat="1" ht="15.75" customHeight="1">
      <c r="A1834" s="517" t="str">
        <f>IF(B1834&lt;&gt;"",IF(AND(B1834&gt;=_TM1,B1834&lt;=_TM2,OR(TH!L1834="1111",TH!M1834="1111")),TH!D1834,""),"")</f>
        <v/>
      </c>
      <c r="B1834" s="531">
        <f t="shared" si="177"/>
        <v>3</v>
      </c>
      <c r="C1834" s="315">
        <f t="shared" si="172"/>
        <v>42825</v>
      </c>
      <c r="D1834" s="315" t="s">
        <v>996</v>
      </c>
      <c r="E1834" s="548">
        <v>42825</v>
      </c>
      <c r="F1834" s="247" t="s">
        <v>643</v>
      </c>
      <c r="G1834" s="541" t="s">
        <v>789</v>
      </c>
      <c r="H1834" s="473" t="s">
        <v>800</v>
      </c>
      <c r="I1834" s="307">
        <v>14</v>
      </c>
      <c r="J1834" s="307">
        <v>90881</v>
      </c>
      <c r="K1834" s="532">
        <f t="shared" si="173"/>
        <v>1272334</v>
      </c>
      <c r="L1834" s="539" t="s">
        <v>160</v>
      </c>
      <c r="M1834" s="539" t="s">
        <v>292</v>
      </c>
      <c r="N1834" s="525" t="str">
        <f>IF(AND('331-CT'!$E$7=TH!H1834,OR(L1834="331",M1834="331")),"331",IF(AND(OR(L1834="131",M1834="131"),H1834='131-CT'!$E$7),"131",""))</f>
        <v/>
      </c>
      <c r="O1834" s="525" t="str">
        <f>IF(AND($B1834&gt;='111'!$N$11,$B1834&lt;='111'!$O$11,OR($L1834=$O$7,$M1834=$O$7)),"x","")</f>
        <v/>
      </c>
      <c r="P1834" s="525" t="str">
        <f>IF(AND($L1834=$O$7,$B1834&lt;'111'!$N$11),"x","")</f>
        <v/>
      </c>
      <c r="Q1834" s="525" t="str">
        <f>IF(AND($M1834=$O$7,$B1834&lt;'111'!$N$11),"x","")</f>
        <v/>
      </c>
      <c r="R1834" s="525" t="str">
        <f>IF(ISERROR(FIND('112'!$M$9,G1834,1)),"",IF((AND(FIND('112'!$M$9,G1834,1)&gt;=1,$B1834&gt;='112'!$N$8,$B1834&lt;='112'!$O$8,OR($L1834='112'!$I$6,$M1834='112'!$I$6))),"x",""))</f>
        <v/>
      </c>
      <c r="S1834" s="525" t="str">
        <f>IF(ISERROR(FIND('112'!$M$9,G1834,1)),"",IF((AND(LEFT(G1834,2)=LEFT('112'!$M$9,2),B1834&lt;'112'!$N$8,$L1834='112'!$I$6)),"x",""))</f>
        <v/>
      </c>
      <c r="T1834" s="525" t="str">
        <f>IF(ISERROR(FIND('112'!$M$9,G1834,1)),"",IF((AND(RIGHT(G1834,2)=RIGHT('112'!$M$9,2),B1834&lt;'112'!$N$8,$M1834='112'!$I$6)),"x",""))</f>
        <v/>
      </c>
      <c r="U1834" s="525" t="str">
        <f>IF(AND(B1834&gt;='IN-NX'!$P$3,B1834&lt;='IN-NX'!$Q$3,'IN-NX'!$D$7=D1834,OR(LEFT(L1834,2)="15",AND(LEFT(M1834,2)&lt;&gt;"15",LEFT(M1834,2)&lt;&gt;"33"))),"x","")</f>
        <v/>
      </c>
      <c r="V1834" s="525" t="str">
        <f>IF(AND(OR(LEFT(TH!L1834,2)="15",LEFT(TH!M1834,2)="15"),'152-CT'!$J$8=TH!F1834),"x","")</f>
        <v/>
      </c>
      <c r="W1834" s="525" t="str">
        <f>IF(AND(OR(LEFT(TH!L1834,2)="15",LEFT(TH!M1834,2)="15"),TK!$E$7=TH!F1834),"x","")</f>
        <v/>
      </c>
      <c r="X1834" s="525" t="str">
        <f>IF(AND('341-CT'!$E$9=H1834,OR(LEFT(L1834,3)=$X$7,LEFT(M1834,3)=$X$7)),"x","")</f>
        <v/>
      </c>
      <c r="Y1834" s="525" t="str">
        <f>IF(OR(TH!L1834=TH!$Y$7,M1834=TH!$Y$7),"x","")</f>
        <v/>
      </c>
      <c r="Z1834" s="525" t="str">
        <f>IF(AND(B1834&lt;=NKC!$N$8,B1834&gt;=NKC!$M$8),"x","")</f>
        <v>x</v>
      </c>
      <c r="AA1834" s="535"/>
      <c r="AB1834" s="536"/>
    </row>
    <row r="1835" spans="1:31" s="503" customFormat="1" ht="15.75" customHeight="1">
      <c r="A1835" s="517" t="str">
        <f>IF(B1835&lt;&gt;"",IF(AND(B1835&gt;=_TM1,B1835&lt;=_TM2,OR(TH!L1835="1111",TH!M1835="1111")),TH!D1835,""),"")</f>
        <v/>
      </c>
      <c r="B1835" s="531">
        <f t="shared" si="177"/>
        <v>3</v>
      </c>
      <c r="C1835" s="315">
        <f t="shared" si="172"/>
        <v>42825</v>
      </c>
      <c r="D1835" s="315" t="s">
        <v>996</v>
      </c>
      <c r="E1835" s="548">
        <v>42825</v>
      </c>
      <c r="F1835" s="249" t="s">
        <v>619</v>
      </c>
      <c r="G1835" s="541" t="s">
        <v>789</v>
      </c>
      <c r="H1835" s="473" t="s">
        <v>800</v>
      </c>
      <c r="I1835" s="307">
        <v>94</v>
      </c>
      <c r="J1835" s="307">
        <v>29672</v>
      </c>
      <c r="K1835" s="532">
        <f t="shared" si="173"/>
        <v>2789168</v>
      </c>
      <c r="L1835" s="539" t="s">
        <v>160</v>
      </c>
      <c r="M1835" s="539" t="s">
        <v>292</v>
      </c>
      <c r="N1835" s="525" t="str">
        <f>IF(AND('331-CT'!$E$7=TH!H1835,OR(L1835="331",M1835="331")),"331",IF(AND(OR(L1835="131",M1835="131"),H1835='131-CT'!$E$7),"131",""))</f>
        <v/>
      </c>
      <c r="O1835" s="525" t="str">
        <f>IF(AND($B1835&gt;='111'!$N$11,$B1835&lt;='111'!$O$11,OR($L1835=$O$7,$M1835=$O$7)),"x","")</f>
        <v/>
      </c>
      <c r="P1835" s="525" t="str">
        <f>IF(AND($L1835=$O$7,$B1835&lt;'111'!$N$11),"x","")</f>
        <v/>
      </c>
      <c r="Q1835" s="525" t="str">
        <f>IF(AND($M1835=$O$7,$B1835&lt;'111'!$N$11),"x","")</f>
        <v/>
      </c>
      <c r="R1835" s="525" t="str">
        <f>IF(ISERROR(FIND('112'!$M$9,G1835,1)),"",IF((AND(FIND('112'!$M$9,G1835,1)&gt;=1,$B1835&gt;='112'!$N$8,$B1835&lt;='112'!$O$8,OR($L1835='112'!$I$6,$M1835='112'!$I$6))),"x",""))</f>
        <v/>
      </c>
      <c r="S1835" s="525" t="str">
        <f>IF(ISERROR(FIND('112'!$M$9,G1835,1)),"",IF((AND(LEFT(G1835,2)=LEFT('112'!$M$9,2),B1835&lt;'112'!$N$8,$L1835='112'!$I$6)),"x",""))</f>
        <v/>
      </c>
      <c r="T1835" s="525" t="str">
        <f>IF(ISERROR(FIND('112'!$M$9,G1835,1)),"",IF((AND(RIGHT(G1835,2)=RIGHT('112'!$M$9,2),B1835&lt;'112'!$N$8,$M1835='112'!$I$6)),"x",""))</f>
        <v/>
      </c>
      <c r="U1835" s="525" t="str">
        <f>IF(AND(B1835&gt;='IN-NX'!$P$3,B1835&lt;='IN-NX'!$Q$3,'IN-NX'!$D$7=D1835,OR(LEFT(L1835,2)="15",AND(LEFT(M1835,2)&lt;&gt;"15",LEFT(M1835,2)&lt;&gt;"33"))),"x","")</f>
        <v/>
      </c>
      <c r="V1835" s="525" t="str">
        <f>IF(AND(OR(LEFT(TH!L1835,2)="15",LEFT(TH!M1835,2)="15"),'152-CT'!$J$8=TH!F1835),"x","")</f>
        <v/>
      </c>
      <c r="W1835" s="525" t="str">
        <f>IF(AND(OR(LEFT(TH!L1835,2)="15",LEFT(TH!M1835,2)="15"),TK!$E$7=TH!F1835),"x","")</f>
        <v/>
      </c>
      <c r="X1835" s="525" t="str">
        <f>IF(AND('341-CT'!$E$9=H1835,OR(LEFT(L1835,3)=$X$7,LEFT(M1835,3)=$X$7)),"x","")</f>
        <v/>
      </c>
      <c r="Y1835" s="525" t="str">
        <f>IF(OR(TH!L1835=TH!$Y$7,M1835=TH!$Y$7),"x","")</f>
        <v/>
      </c>
      <c r="Z1835" s="525" t="str">
        <f>IF(AND(B1835&lt;=NKC!$N$8,B1835&gt;=NKC!$M$8),"x","")</f>
        <v>x</v>
      </c>
      <c r="AA1835" s="535"/>
      <c r="AB1835" s="536"/>
    </row>
    <row r="1836" spans="1:31" s="503" customFormat="1" ht="15.75" customHeight="1">
      <c r="A1836" s="517" t="str">
        <f>IF(B1836&lt;&gt;"",IF(AND(B1836&gt;=_TM1,B1836&lt;=_TM2,OR(TH!L1836="1111",TH!M1836="1111")),TH!D1836,""),"")</f>
        <v/>
      </c>
      <c r="B1836" s="531">
        <f t="shared" si="177"/>
        <v>3</v>
      </c>
      <c r="C1836" s="315">
        <f t="shared" si="172"/>
        <v>42825</v>
      </c>
      <c r="D1836" s="315" t="s">
        <v>996</v>
      </c>
      <c r="E1836" s="548">
        <v>42825</v>
      </c>
      <c r="F1836" s="247" t="s">
        <v>791</v>
      </c>
      <c r="G1836" s="541" t="s">
        <v>789</v>
      </c>
      <c r="H1836" s="473" t="s">
        <v>800</v>
      </c>
      <c r="I1836" s="307">
        <v>24</v>
      </c>
      <c r="J1836" s="307">
        <v>127305</v>
      </c>
      <c r="K1836" s="532">
        <f t="shared" si="173"/>
        <v>3055320</v>
      </c>
      <c r="L1836" s="539" t="s">
        <v>160</v>
      </c>
      <c r="M1836" s="539" t="s">
        <v>292</v>
      </c>
      <c r="N1836" s="525" t="str">
        <f>IF(AND('331-CT'!$E$7=TH!H1836,OR(L1836="331",M1836="331")),"331",IF(AND(OR(L1836="131",M1836="131"),H1836='131-CT'!$E$7),"131",""))</f>
        <v/>
      </c>
      <c r="O1836" s="525" t="str">
        <f>IF(AND($B1836&gt;='111'!$N$11,$B1836&lt;='111'!$O$11,OR($L1836=$O$7,$M1836=$O$7)),"x","")</f>
        <v/>
      </c>
      <c r="P1836" s="525" t="str">
        <f>IF(AND($L1836=$O$7,$B1836&lt;'111'!$N$11),"x","")</f>
        <v/>
      </c>
      <c r="Q1836" s="525" t="str">
        <f>IF(AND($M1836=$O$7,$B1836&lt;'111'!$N$11),"x","")</f>
        <v/>
      </c>
      <c r="R1836" s="525" t="str">
        <f>IF(ISERROR(FIND('112'!$M$9,G1836,1)),"",IF((AND(FIND('112'!$M$9,G1836,1)&gt;=1,$B1836&gt;='112'!$N$8,$B1836&lt;='112'!$O$8,OR($L1836='112'!$I$6,$M1836='112'!$I$6))),"x",""))</f>
        <v/>
      </c>
      <c r="S1836" s="525" t="str">
        <f>IF(ISERROR(FIND('112'!$M$9,G1836,1)),"",IF((AND(LEFT(G1836,2)=LEFT('112'!$M$9,2),B1836&lt;'112'!$N$8,$L1836='112'!$I$6)),"x",""))</f>
        <v/>
      </c>
      <c r="T1836" s="525" t="str">
        <f>IF(ISERROR(FIND('112'!$M$9,G1836,1)),"",IF((AND(RIGHT(G1836,2)=RIGHT('112'!$M$9,2),B1836&lt;'112'!$N$8,$M1836='112'!$I$6)),"x",""))</f>
        <v/>
      </c>
      <c r="U1836" s="525" t="str">
        <f>IF(AND(B1836&gt;='IN-NX'!$P$3,B1836&lt;='IN-NX'!$Q$3,'IN-NX'!$D$7=D1836,OR(LEFT(L1836,2)="15",AND(LEFT(M1836,2)&lt;&gt;"15",LEFT(M1836,2)&lt;&gt;"33"))),"x","")</f>
        <v/>
      </c>
      <c r="V1836" s="525" t="str">
        <f>IF(AND(OR(LEFT(TH!L1836,2)="15",LEFT(TH!M1836,2)="15"),'152-CT'!$J$8=TH!F1836),"x","")</f>
        <v/>
      </c>
      <c r="W1836" s="525" t="str">
        <f>IF(AND(OR(LEFT(TH!L1836,2)="15",LEFT(TH!M1836,2)="15"),TK!$E$7=TH!F1836),"x","")</f>
        <v/>
      </c>
      <c r="X1836" s="525" t="str">
        <f>IF(AND('341-CT'!$E$9=H1836,OR(LEFT(L1836,3)=$X$7,LEFT(M1836,3)=$X$7)),"x","")</f>
        <v/>
      </c>
      <c r="Y1836" s="525" t="str">
        <f>IF(OR(TH!L1836=TH!$Y$7,M1836=TH!$Y$7),"x","")</f>
        <v/>
      </c>
      <c r="Z1836" s="525" t="str">
        <f>IF(AND(B1836&lt;=NKC!$N$8,B1836&gt;=NKC!$M$8),"x","")</f>
        <v>x</v>
      </c>
      <c r="AA1836" s="535"/>
      <c r="AB1836" s="536"/>
      <c r="AC1836" s="536"/>
      <c r="AD1836" s="536"/>
    </row>
    <row r="1837" spans="1:31" s="503" customFormat="1" ht="15.75" customHeight="1">
      <c r="A1837" s="517" t="str">
        <f>IF(B1837&lt;&gt;"",IF(AND(B1837&gt;=_TM1,B1837&lt;=_TM2,OR(TH!L1837="1111",TH!M1837="1111")),TH!D1837,""),"")</f>
        <v/>
      </c>
      <c r="B1837" s="531">
        <f t="shared" si="177"/>
        <v>3</v>
      </c>
      <c r="C1837" s="315">
        <f t="shared" si="172"/>
        <v>42825</v>
      </c>
      <c r="D1837" s="315" t="s">
        <v>996</v>
      </c>
      <c r="E1837" s="548">
        <v>42825</v>
      </c>
      <c r="F1837" s="247" t="s">
        <v>792</v>
      </c>
      <c r="G1837" s="541" t="s">
        <v>789</v>
      </c>
      <c r="H1837" s="473" t="s">
        <v>800</v>
      </c>
      <c r="I1837" s="307">
        <v>10</v>
      </c>
      <c r="J1837" s="307">
        <v>28975</v>
      </c>
      <c r="K1837" s="532">
        <f t="shared" si="173"/>
        <v>289750</v>
      </c>
      <c r="L1837" s="539" t="s">
        <v>160</v>
      </c>
      <c r="M1837" s="539" t="s">
        <v>292</v>
      </c>
      <c r="N1837" s="525" t="str">
        <f>IF(AND('331-CT'!$E$7=TH!H1837,OR(L1837="331",M1837="331")),"331",IF(AND(OR(L1837="131",M1837="131"),H1837='131-CT'!$E$7),"131",""))</f>
        <v/>
      </c>
      <c r="O1837" s="525" t="str">
        <f>IF(AND($B1837&gt;='111'!$N$11,$B1837&lt;='111'!$O$11,OR($L1837=$O$7,$M1837=$O$7)),"x","")</f>
        <v/>
      </c>
      <c r="P1837" s="525" t="str">
        <f>IF(AND($L1837=$O$7,$B1837&lt;'111'!$N$11),"x","")</f>
        <v/>
      </c>
      <c r="Q1837" s="525" t="str">
        <f>IF(AND($M1837=$O$7,$B1837&lt;'111'!$N$11),"x","")</f>
        <v/>
      </c>
      <c r="R1837" s="525" t="str">
        <f>IF(ISERROR(FIND('112'!$M$9,G1837,1)),"",IF((AND(FIND('112'!$M$9,G1837,1)&gt;=1,$B1837&gt;='112'!$N$8,$B1837&lt;='112'!$O$8,OR($L1837='112'!$I$6,$M1837='112'!$I$6))),"x",""))</f>
        <v/>
      </c>
      <c r="S1837" s="525" t="str">
        <f>IF(ISERROR(FIND('112'!$M$9,G1837,1)),"",IF((AND(LEFT(G1837,2)=LEFT('112'!$M$9,2),B1837&lt;'112'!$N$8,$L1837='112'!$I$6)),"x",""))</f>
        <v/>
      </c>
      <c r="T1837" s="525" t="str">
        <f>IF(ISERROR(FIND('112'!$M$9,G1837,1)),"",IF((AND(RIGHT(G1837,2)=RIGHT('112'!$M$9,2),B1837&lt;'112'!$N$8,$M1837='112'!$I$6)),"x",""))</f>
        <v/>
      </c>
      <c r="U1837" s="525" t="str">
        <f>IF(AND(B1837&gt;='IN-NX'!$P$3,B1837&lt;='IN-NX'!$Q$3,'IN-NX'!$D$7=D1837,OR(LEFT(L1837,2)="15",AND(LEFT(M1837,2)&lt;&gt;"15",LEFT(M1837,2)&lt;&gt;"33"))),"x","")</f>
        <v/>
      </c>
      <c r="V1837" s="525" t="str">
        <f>IF(AND(OR(LEFT(TH!L1837,2)="15",LEFT(TH!M1837,2)="15"),'152-CT'!$J$8=TH!F1837),"x","")</f>
        <v/>
      </c>
      <c r="W1837" s="525" t="str">
        <f>IF(AND(OR(LEFT(TH!L1837,2)="15",LEFT(TH!M1837,2)="15"),TK!$E$7=TH!F1837),"x","")</f>
        <v/>
      </c>
      <c r="X1837" s="525" t="str">
        <f>IF(AND('341-CT'!$E$9=H1837,OR(LEFT(L1837,3)=$X$7,LEFT(M1837,3)=$X$7)),"x","")</f>
        <v/>
      </c>
      <c r="Y1837" s="525" t="str">
        <f>IF(OR(TH!L1837=TH!$Y$7,M1837=TH!$Y$7),"x","")</f>
        <v/>
      </c>
      <c r="Z1837" s="525" t="str">
        <f>IF(AND(B1837&lt;=NKC!$N$8,B1837&gt;=NKC!$M$8),"x","")</f>
        <v>x</v>
      </c>
      <c r="AA1837" s="535"/>
      <c r="AB1837" s="536"/>
      <c r="AC1837" s="536"/>
      <c r="AD1837" s="536"/>
    </row>
    <row r="1838" spans="1:31" s="503" customFormat="1" ht="15.75" customHeight="1">
      <c r="A1838" s="517" t="str">
        <f>IF(B1838&lt;&gt;"",IF(AND(B1838&gt;=_TM1,B1838&lt;=_TM2,OR(TH!L1838="1111",TH!M1838="1111")),TH!D1838,""),"")</f>
        <v/>
      </c>
      <c r="B1838" s="531">
        <f t="shared" si="177"/>
        <v>3</v>
      </c>
      <c r="C1838" s="315">
        <f t="shared" si="172"/>
        <v>42825</v>
      </c>
      <c r="D1838" s="315" t="s">
        <v>996</v>
      </c>
      <c r="E1838" s="548">
        <v>42825</v>
      </c>
      <c r="F1838" s="249" t="s">
        <v>665</v>
      </c>
      <c r="G1838" s="541" t="s">
        <v>789</v>
      </c>
      <c r="H1838" s="473" t="s">
        <v>800</v>
      </c>
      <c r="I1838" s="307">
        <v>6</v>
      </c>
      <c r="J1838" s="307">
        <v>14428</v>
      </c>
      <c r="K1838" s="532">
        <f t="shared" si="173"/>
        <v>86568</v>
      </c>
      <c r="L1838" s="539" t="s">
        <v>160</v>
      </c>
      <c r="M1838" s="539" t="s">
        <v>292</v>
      </c>
      <c r="N1838" s="525" t="str">
        <f>IF(AND('331-CT'!$E$7=TH!H1838,OR(L1838="331",M1838="331")),"331",IF(AND(OR(L1838="131",M1838="131"),H1838='131-CT'!$E$7),"131",""))</f>
        <v/>
      </c>
      <c r="O1838" s="525" t="str">
        <f>IF(AND($B1838&gt;='111'!$N$11,$B1838&lt;='111'!$O$11,OR($L1838=$O$7,$M1838=$O$7)),"x","")</f>
        <v/>
      </c>
      <c r="P1838" s="525" t="str">
        <f>IF(AND($L1838=$O$7,$B1838&lt;'111'!$N$11),"x","")</f>
        <v/>
      </c>
      <c r="Q1838" s="525" t="str">
        <f>IF(AND($M1838=$O$7,$B1838&lt;'111'!$N$11),"x","")</f>
        <v/>
      </c>
      <c r="R1838" s="525" t="str">
        <f>IF(ISERROR(FIND('112'!$M$9,G1838,1)),"",IF((AND(FIND('112'!$M$9,G1838,1)&gt;=1,$B1838&gt;='112'!$N$8,$B1838&lt;='112'!$O$8,OR($L1838='112'!$I$6,$M1838='112'!$I$6))),"x",""))</f>
        <v/>
      </c>
      <c r="S1838" s="525" t="str">
        <f>IF(ISERROR(FIND('112'!$M$9,G1838,1)),"",IF((AND(LEFT(G1838,2)=LEFT('112'!$M$9,2),B1838&lt;'112'!$N$8,$L1838='112'!$I$6)),"x",""))</f>
        <v/>
      </c>
      <c r="T1838" s="525" t="str">
        <f>IF(ISERROR(FIND('112'!$M$9,G1838,1)),"",IF((AND(RIGHT(G1838,2)=RIGHT('112'!$M$9,2),B1838&lt;'112'!$N$8,$M1838='112'!$I$6)),"x",""))</f>
        <v/>
      </c>
      <c r="U1838" s="525" t="str">
        <f>IF(AND(B1838&gt;='IN-NX'!$P$3,B1838&lt;='IN-NX'!$Q$3,'IN-NX'!$D$7=D1838,OR(LEFT(L1838,2)="15",AND(LEFT(M1838,2)&lt;&gt;"15",LEFT(M1838,2)&lt;&gt;"33"))),"x","")</f>
        <v/>
      </c>
      <c r="V1838" s="525" t="str">
        <f>IF(AND(OR(LEFT(TH!L1838,2)="15",LEFT(TH!M1838,2)="15"),'152-CT'!$J$8=TH!F1838),"x","")</f>
        <v/>
      </c>
      <c r="W1838" s="525" t="str">
        <f>IF(AND(OR(LEFT(TH!L1838,2)="15",LEFT(TH!M1838,2)="15"),TK!$E$7=TH!F1838),"x","")</f>
        <v/>
      </c>
      <c r="X1838" s="525" t="str">
        <f>IF(AND('341-CT'!$E$9=H1838,OR(LEFT(L1838,3)=$X$7,LEFT(M1838,3)=$X$7)),"x","")</f>
        <v/>
      </c>
      <c r="Y1838" s="525" t="str">
        <f>IF(OR(TH!L1838=TH!$Y$7,M1838=TH!$Y$7),"x","")</f>
        <v/>
      </c>
      <c r="Z1838" s="525" t="str">
        <f>IF(AND(B1838&lt;=NKC!$N$8,B1838&gt;=NKC!$M$8),"x","")</f>
        <v>x</v>
      </c>
      <c r="AA1838" s="535"/>
      <c r="AB1838" s="536"/>
      <c r="AC1838" s="536"/>
      <c r="AD1838" s="536"/>
    </row>
    <row r="1839" spans="1:31" s="503" customFormat="1" ht="15.75" customHeight="1">
      <c r="A1839" s="517" t="str">
        <f>IF(B1839&lt;&gt;"",IF(AND(B1839&gt;=_TM1,B1839&lt;=_TM2,OR(TH!L1839="1111",TH!M1839="1111")),TH!D1839,""),"")</f>
        <v/>
      </c>
      <c r="B1839" s="531">
        <f t="shared" si="177"/>
        <v>3</v>
      </c>
      <c r="C1839" s="315">
        <f t="shared" si="172"/>
        <v>42825</v>
      </c>
      <c r="D1839" s="315" t="s">
        <v>996</v>
      </c>
      <c r="E1839" s="548">
        <v>42825</v>
      </c>
      <c r="F1839" s="247" t="s">
        <v>665</v>
      </c>
      <c r="G1839" s="541" t="s">
        <v>789</v>
      </c>
      <c r="H1839" s="473" t="s">
        <v>800</v>
      </c>
      <c r="I1839" s="307">
        <v>36</v>
      </c>
      <c r="J1839" s="307">
        <v>14428</v>
      </c>
      <c r="K1839" s="532">
        <f t="shared" si="173"/>
        <v>519408</v>
      </c>
      <c r="L1839" s="539" t="s">
        <v>160</v>
      </c>
      <c r="M1839" s="539" t="s">
        <v>292</v>
      </c>
      <c r="N1839" s="525" t="str">
        <f>IF(AND('331-CT'!$E$7=TH!H1839,OR(L1839="331",M1839="331")),"331",IF(AND(OR(L1839="131",M1839="131"),H1839='131-CT'!$E$7),"131",""))</f>
        <v/>
      </c>
      <c r="O1839" s="525" t="str">
        <f>IF(AND($B1839&gt;='111'!$N$11,$B1839&lt;='111'!$O$11,OR($L1839=$O$7,$M1839=$O$7)),"x","")</f>
        <v/>
      </c>
      <c r="P1839" s="525" t="str">
        <f>IF(AND($L1839=$O$7,$B1839&lt;'111'!$N$11),"x","")</f>
        <v/>
      </c>
      <c r="Q1839" s="525" t="str">
        <f>IF(AND($M1839=$O$7,$B1839&lt;'111'!$N$11),"x","")</f>
        <v/>
      </c>
      <c r="R1839" s="525" t="str">
        <f>IF(ISERROR(FIND('112'!$M$9,G1839,1)),"",IF((AND(FIND('112'!$M$9,G1839,1)&gt;=1,$B1839&gt;='112'!$N$8,$B1839&lt;='112'!$O$8,OR($L1839='112'!$I$6,$M1839='112'!$I$6))),"x",""))</f>
        <v/>
      </c>
      <c r="S1839" s="525" t="str">
        <f>IF(ISERROR(FIND('112'!$M$9,G1839,1)),"",IF((AND(LEFT(G1839,2)=LEFT('112'!$M$9,2),B1839&lt;'112'!$N$8,$L1839='112'!$I$6)),"x",""))</f>
        <v/>
      </c>
      <c r="T1839" s="525" t="str">
        <f>IF(ISERROR(FIND('112'!$M$9,G1839,1)),"",IF((AND(RIGHT(G1839,2)=RIGHT('112'!$M$9,2),B1839&lt;'112'!$N$8,$M1839='112'!$I$6)),"x",""))</f>
        <v/>
      </c>
      <c r="U1839" s="525" t="str">
        <f>IF(AND(B1839&gt;='IN-NX'!$P$3,B1839&lt;='IN-NX'!$Q$3,'IN-NX'!$D$7=D1839,OR(LEFT(L1839,2)="15",AND(LEFT(M1839,2)&lt;&gt;"15",LEFT(M1839,2)&lt;&gt;"33"))),"x","")</f>
        <v/>
      </c>
      <c r="V1839" s="525" t="str">
        <f>IF(AND(OR(LEFT(TH!L1839,2)="15",LEFT(TH!M1839,2)="15"),'152-CT'!$J$8=TH!F1839),"x","")</f>
        <v/>
      </c>
      <c r="W1839" s="525" t="str">
        <f>IF(AND(OR(LEFT(TH!L1839,2)="15",LEFT(TH!M1839,2)="15"),TK!$E$7=TH!F1839),"x","")</f>
        <v/>
      </c>
      <c r="X1839" s="525" t="str">
        <f>IF(AND('341-CT'!$E$9=H1839,OR(LEFT(L1839,3)=$X$7,LEFT(M1839,3)=$X$7)),"x","")</f>
        <v/>
      </c>
      <c r="Y1839" s="525" t="str">
        <f>IF(OR(TH!L1839=TH!$Y$7,M1839=TH!$Y$7),"x","")</f>
        <v/>
      </c>
      <c r="Z1839" s="525" t="str">
        <f>IF(AND(B1839&lt;=NKC!$N$8,B1839&gt;=NKC!$M$8),"x","")</f>
        <v>x</v>
      </c>
      <c r="AA1839" s="535"/>
      <c r="AB1839" s="536"/>
      <c r="AC1839" s="536"/>
      <c r="AD1839" s="536"/>
    </row>
    <row r="1840" spans="1:31" s="503" customFormat="1" ht="15.75" customHeight="1">
      <c r="A1840" s="517" t="str">
        <f>IF(B1840&lt;&gt;"",IF(AND(B1840&gt;=_TM1,B1840&lt;=_TM2,OR(TH!L1840="1111",TH!M1840="1111")),TH!D1840,""),"")</f>
        <v/>
      </c>
      <c r="B1840" s="531">
        <f t="shared" si="177"/>
        <v>3</v>
      </c>
      <c r="C1840" s="315">
        <f t="shared" si="172"/>
        <v>42825</v>
      </c>
      <c r="D1840" s="315" t="s">
        <v>996</v>
      </c>
      <c r="E1840" s="548">
        <v>42825</v>
      </c>
      <c r="F1840" s="247" t="s">
        <v>644</v>
      </c>
      <c r="G1840" s="541" t="s">
        <v>789</v>
      </c>
      <c r="H1840" s="473" t="s">
        <v>800</v>
      </c>
      <c r="I1840" s="307">
        <v>3</v>
      </c>
      <c r="J1840" s="307">
        <v>61160</v>
      </c>
      <c r="K1840" s="532">
        <f t="shared" si="173"/>
        <v>183480</v>
      </c>
      <c r="L1840" s="539" t="s">
        <v>160</v>
      </c>
      <c r="M1840" s="539" t="s">
        <v>292</v>
      </c>
      <c r="N1840" s="525" t="str">
        <f>IF(AND('331-CT'!$E$7=TH!H1840,OR(L1840="331",M1840="331")),"331",IF(AND(OR(L1840="131",M1840="131"),H1840='131-CT'!$E$7),"131",""))</f>
        <v/>
      </c>
      <c r="O1840" s="525" t="str">
        <f>IF(AND($B1840&gt;='111'!$N$11,$B1840&lt;='111'!$O$11,OR($L1840=$O$7,$M1840=$O$7)),"x","")</f>
        <v/>
      </c>
      <c r="P1840" s="525" t="str">
        <f>IF(AND($L1840=$O$7,$B1840&lt;'111'!$N$11),"x","")</f>
        <v/>
      </c>
      <c r="Q1840" s="525" t="str">
        <f>IF(AND($M1840=$O$7,$B1840&lt;'111'!$N$11),"x","")</f>
        <v/>
      </c>
      <c r="R1840" s="525" t="str">
        <f>IF(ISERROR(FIND('112'!$M$9,G1840,1)),"",IF((AND(FIND('112'!$M$9,G1840,1)&gt;=1,$B1840&gt;='112'!$N$8,$B1840&lt;='112'!$O$8,OR($L1840='112'!$I$6,$M1840='112'!$I$6))),"x",""))</f>
        <v/>
      </c>
      <c r="S1840" s="525" t="str">
        <f>IF(ISERROR(FIND('112'!$M$9,G1840,1)),"",IF((AND(LEFT(G1840,2)=LEFT('112'!$M$9,2),B1840&lt;'112'!$N$8,$L1840='112'!$I$6)),"x",""))</f>
        <v/>
      </c>
      <c r="T1840" s="525" t="str">
        <f>IF(ISERROR(FIND('112'!$M$9,G1840,1)),"",IF((AND(RIGHT(G1840,2)=RIGHT('112'!$M$9,2),B1840&lt;'112'!$N$8,$M1840='112'!$I$6)),"x",""))</f>
        <v/>
      </c>
      <c r="U1840" s="525" t="str">
        <f>IF(AND(B1840&gt;='IN-NX'!$P$3,B1840&lt;='IN-NX'!$Q$3,'IN-NX'!$D$7=D1840,OR(LEFT(L1840,2)="15",AND(LEFT(M1840,2)&lt;&gt;"15",LEFT(M1840,2)&lt;&gt;"33"))),"x","")</f>
        <v/>
      </c>
      <c r="V1840" s="525" t="str">
        <f>IF(AND(OR(LEFT(TH!L1840,2)="15",LEFT(TH!M1840,2)="15"),'152-CT'!$J$8=TH!F1840),"x","")</f>
        <v/>
      </c>
      <c r="W1840" s="525" t="str">
        <f>IF(AND(OR(LEFT(TH!L1840,2)="15",LEFT(TH!M1840,2)="15"),TK!$E$7=TH!F1840),"x","")</f>
        <v/>
      </c>
      <c r="X1840" s="525" t="str">
        <f>IF(AND('341-CT'!$E$9=H1840,OR(LEFT(L1840,3)=$X$7,LEFT(M1840,3)=$X$7)),"x","")</f>
        <v/>
      </c>
      <c r="Y1840" s="525" t="str">
        <f>IF(OR(TH!L1840=TH!$Y$7,M1840=TH!$Y$7),"x","")</f>
        <v/>
      </c>
      <c r="Z1840" s="525" t="str">
        <f>IF(AND(B1840&lt;=NKC!$N$8,B1840&gt;=NKC!$M$8),"x","")</f>
        <v>x</v>
      </c>
      <c r="AA1840" s="535"/>
      <c r="AB1840" s="536"/>
      <c r="AC1840" s="536"/>
      <c r="AD1840" s="536"/>
    </row>
    <row r="1841" spans="1:31" s="503" customFormat="1" ht="15.75" customHeight="1">
      <c r="A1841" s="517" t="str">
        <f>IF(B1841&lt;&gt;"",IF(AND(B1841&gt;=_TM1,B1841&lt;=_TM2,OR(TH!L1841="1111",TH!M1841="1111")),TH!D1841,""),"")</f>
        <v/>
      </c>
      <c r="B1841" s="531">
        <f t="shared" si="177"/>
        <v>3</v>
      </c>
      <c r="C1841" s="315">
        <f t="shared" si="172"/>
        <v>42825</v>
      </c>
      <c r="D1841" s="315" t="s">
        <v>996</v>
      </c>
      <c r="E1841" s="548">
        <v>42825</v>
      </c>
      <c r="F1841" s="249" t="s">
        <v>793</v>
      </c>
      <c r="G1841" s="541" t="s">
        <v>789</v>
      </c>
      <c r="H1841" s="473" t="s">
        <v>800</v>
      </c>
      <c r="I1841" s="307">
        <v>12</v>
      </c>
      <c r="J1841" s="307">
        <v>97056</v>
      </c>
      <c r="K1841" s="532">
        <f t="shared" si="173"/>
        <v>1164672</v>
      </c>
      <c r="L1841" s="539" t="s">
        <v>160</v>
      </c>
      <c r="M1841" s="539" t="s">
        <v>292</v>
      </c>
      <c r="N1841" s="525" t="str">
        <f>IF(AND('331-CT'!$E$7=TH!H1841,OR(L1841="331",M1841="331")),"331",IF(AND(OR(L1841="131",M1841="131"),H1841='131-CT'!$E$7),"131",""))</f>
        <v/>
      </c>
      <c r="O1841" s="525" t="str">
        <f>IF(AND($B1841&gt;='111'!$N$11,$B1841&lt;='111'!$O$11,OR($L1841=$O$7,$M1841=$O$7)),"x","")</f>
        <v/>
      </c>
      <c r="P1841" s="525" t="str">
        <f>IF(AND($L1841=$O$7,$B1841&lt;'111'!$N$11),"x","")</f>
        <v/>
      </c>
      <c r="Q1841" s="525" t="str">
        <f>IF(AND($M1841=$O$7,$B1841&lt;'111'!$N$11),"x","")</f>
        <v/>
      </c>
      <c r="R1841" s="525" t="str">
        <f>IF(ISERROR(FIND('112'!$M$9,G1841,1)),"",IF((AND(FIND('112'!$M$9,G1841,1)&gt;=1,$B1841&gt;='112'!$N$8,$B1841&lt;='112'!$O$8,OR($L1841='112'!$I$6,$M1841='112'!$I$6))),"x",""))</f>
        <v/>
      </c>
      <c r="S1841" s="525" t="str">
        <f>IF(ISERROR(FIND('112'!$M$9,G1841,1)),"",IF((AND(LEFT(G1841,2)=LEFT('112'!$M$9,2),B1841&lt;'112'!$N$8,$L1841='112'!$I$6)),"x",""))</f>
        <v/>
      </c>
      <c r="T1841" s="525" t="str">
        <f>IF(ISERROR(FIND('112'!$M$9,G1841,1)),"",IF((AND(RIGHT(G1841,2)=RIGHT('112'!$M$9,2),B1841&lt;'112'!$N$8,$M1841='112'!$I$6)),"x",""))</f>
        <v/>
      </c>
      <c r="U1841" s="525" t="str">
        <f>IF(AND(B1841&gt;='IN-NX'!$P$3,B1841&lt;='IN-NX'!$Q$3,'IN-NX'!$D$7=D1841,OR(LEFT(L1841,2)="15",AND(LEFT(M1841,2)&lt;&gt;"15",LEFT(M1841,2)&lt;&gt;"33"))),"x","")</f>
        <v/>
      </c>
      <c r="V1841" s="525" t="str">
        <f>IF(AND(OR(LEFT(TH!L1841,2)="15",LEFT(TH!M1841,2)="15"),'152-CT'!$J$8=TH!F1841),"x","")</f>
        <v/>
      </c>
      <c r="W1841" s="525" t="str">
        <f>IF(AND(OR(LEFT(TH!L1841,2)="15",LEFT(TH!M1841,2)="15"),TK!$E$7=TH!F1841),"x","")</f>
        <v/>
      </c>
      <c r="X1841" s="525" t="str">
        <f>IF(AND('341-CT'!$E$9=H1841,OR(LEFT(L1841,3)=$X$7,LEFT(M1841,3)=$X$7)),"x","")</f>
        <v/>
      </c>
      <c r="Y1841" s="525" t="str">
        <f>IF(OR(TH!L1841=TH!$Y$7,M1841=TH!$Y$7),"x","")</f>
        <v/>
      </c>
      <c r="Z1841" s="525" t="str">
        <f>IF(AND(B1841&lt;=NKC!$N$8,B1841&gt;=NKC!$M$8),"x","")</f>
        <v>x</v>
      </c>
      <c r="AA1841" s="535"/>
      <c r="AB1841" s="536"/>
      <c r="AC1841" s="536"/>
      <c r="AD1841" s="536"/>
    </row>
    <row r="1842" spans="1:31" s="503" customFormat="1" ht="15.75" customHeight="1">
      <c r="A1842" s="517" t="str">
        <f>IF(B1842&lt;&gt;"",IF(AND(B1842&gt;=_TM1,B1842&lt;=_TM2,OR(TH!L1842="1111",TH!M1842="1111")),TH!D1842,""),"")</f>
        <v/>
      </c>
      <c r="B1842" s="531">
        <f t="shared" si="177"/>
        <v>3</v>
      </c>
      <c r="C1842" s="315">
        <f t="shared" si="172"/>
        <v>42825</v>
      </c>
      <c r="D1842" s="315" t="s">
        <v>996</v>
      </c>
      <c r="E1842" s="548">
        <v>42825</v>
      </c>
      <c r="F1842" s="247" t="s">
        <v>794</v>
      </c>
      <c r="G1842" s="541" t="s">
        <v>789</v>
      </c>
      <c r="H1842" s="473" t="s">
        <v>800</v>
      </c>
      <c r="I1842" s="307">
        <v>12</v>
      </c>
      <c r="J1842" s="307">
        <v>54887</v>
      </c>
      <c r="K1842" s="532">
        <f t="shared" si="173"/>
        <v>658644</v>
      </c>
      <c r="L1842" s="539" t="s">
        <v>160</v>
      </c>
      <c r="M1842" s="539" t="s">
        <v>292</v>
      </c>
      <c r="N1842" s="525" t="str">
        <f>IF(AND('331-CT'!$E$7=TH!H1842,OR(L1842="331",M1842="331")),"331",IF(AND(OR(L1842="131",M1842="131"),H1842='131-CT'!$E$7),"131",""))</f>
        <v/>
      </c>
      <c r="O1842" s="525" t="str">
        <f>IF(AND($B1842&gt;='111'!$N$11,$B1842&lt;='111'!$O$11,OR($L1842=$O$7,$M1842=$O$7)),"x","")</f>
        <v/>
      </c>
      <c r="P1842" s="525" t="str">
        <f>IF(AND($L1842=$O$7,$B1842&lt;'111'!$N$11),"x","")</f>
        <v/>
      </c>
      <c r="Q1842" s="525" t="str">
        <f>IF(AND($M1842=$O$7,$B1842&lt;'111'!$N$11),"x","")</f>
        <v/>
      </c>
      <c r="R1842" s="525" t="str">
        <f>IF(ISERROR(FIND('112'!$M$9,G1842,1)),"",IF((AND(FIND('112'!$M$9,G1842,1)&gt;=1,$B1842&gt;='112'!$N$8,$B1842&lt;='112'!$O$8,OR($L1842='112'!$I$6,$M1842='112'!$I$6))),"x",""))</f>
        <v/>
      </c>
      <c r="S1842" s="525" t="str">
        <f>IF(ISERROR(FIND('112'!$M$9,G1842,1)),"",IF((AND(LEFT(G1842,2)=LEFT('112'!$M$9,2),B1842&lt;'112'!$N$8,$L1842='112'!$I$6)),"x",""))</f>
        <v/>
      </c>
      <c r="T1842" s="525" t="str">
        <f>IF(ISERROR(FIND('112'!$M$9,G1842,1)),"",IF((AND(RIGHT(G1842,2)=RIGHT('112'!$M$9,2),B1842&lt;'112'!$N$8,$M1842='112'!$I$6)),"x",""))</f>
        <v/>
      </c>
      <c r="U1842" s="525" t="str">
        <f>IF(AND(B1842&gt;='IN-NX'!$P$3,B1842&lt;='IN-NX'!$Q$3,'IN-NX'!$D$7=D1842,OR(LEFT(L1842,2)="15",AND(LEFT(M1842,2)&lt;&gt;"15",LEFT(M1842,2)&lt;&gt;"33"))),"x","")</f>
        <v/>
      </c>
      <c r="V1842" s="525" t="str">
        <f>IF(AND(OR(LEFT(TH!L1842,2)="15",LEFT(TH!M1842,2)="15"),'152-CT'!$J$8=TH!F1842),"x","")</f>
        <v/>
      </c>
      <c r="W1842" s="525" t="str">
        <f>IF(AND(OR(LEFT(TH!L1842,2)="15",LEFT(TH!M1842,2)="15"),TK!$E$7=TH!F1842),"x","")</f>
        <v/>
      </c>
      <c r="X1842" s="525" t="str">
        <f>IF(AND('341-CT'!$E$9=H1842,OR(LEFT(L1842,3)=$X$7,LEFT(M1842,3)=$X$7)),"x","")</f>
        <v/>
      </c>
      <c r="Y1842" s="525" t="str">
        <f>IF(OR(TH!L1842=TH!$Y$7,M1842=TH!$Y$7),"x","")</f>
        <v/>
      </c>
      <c r="Z1842" s="525" t="str">
        <f>IF(AND(B1842&lt;=NKC!$N$8,B1842&gt;=NKC!$M$8),"x","")</f>
        <v>x</v>
      </c>
      <c r="AA1842" s="535"/>
      <c r="AB1842" s="536"/>
      <c r="AC1842" s="536"/>
      <c r="AD1842" s="536"/>
    </row>
    <row r="1843" spans="1:31" s="503" customFormat="1" ht="15.75" customHeight="1">
      <c r="A1843" s="517" t="str">
        <f>IF(B1843&lt;&gt;"",IF(AND(B1843&gt;=_TM1,B1843&lt;=_TM2,OR(TH!L1843="1111",TH!M1843="1111")),TH!D1843,""),"")</f>
        <v/>
      </c>
      <c r="B1843" s="531">
        <f t="shared" si="177"/>
        <v>3</v>
      </c>
      <c r="C1843" s="315">
        <f t="shared" si="172"/>
        <v>42825</v>
      </c>
      <c r="D1843" s="315" t="s">
        <v>996</v>
      </c>
      <c r="E1843" s="547">
        <v>42825</v>
      </c>
      <c r="F1843" s="249" t="s">
        <v>630</v>
      </c>
      <c r="G1843" s="538" t="s">
        <v>789</v>
      </c>
      <c r="H1843" s="473" t="s">
        <v>800</v>
      </c>
      <c r="I1843" s="307">
        <v>24</v>
      </c>
      <c r="J1843" s="307">
        <v>34801</v>
      </c>
      <c r="K1843" s="532">
        <f t="shared" si="173"/>
        <v>835224</v>
      </c>
      <c r="L1843" s="539" t="s">
        <v>160</v>
      </c>
      <c r="M1843" s="539" t="s">
        <v>292</v>
      </c>
      <c r="N1843" s="525" t="str">
        <f>IF(AND('331-CT'!$E$7=TH!H1843,OR(L1843="331",M1843="331")),"331",IF(AND(OR(L1843="131",M1843="131"),H1843='131-CT'!$E$7),"131",""))</f>
        <v/>
      </c>
      <c r="O1843" s="525" t="str">
        <f>IF(AND($B1843&gt;='111'!$N$11,$B1843&lt;='111'!$O$11,OR($L1843=$O$7,$M1843=$O$7)),"x","")</f>
        <v/>
      </c>
      <c r="P1843" s="525" t="str">
        <f>IF(AND($L1843=$O$7,$B1843&lt;'111'!$N$11),"x","")</f>
        <v/>
      </c>
      <c r="Q1843" s="525" t="str">
        <f>IF(AND($M1843=$O$7,$B1843&lt;'111'!$N$11),"x","")</f>
        <v/>
      </c>
      <c r="R1843" s="525" t="str">
        <f>IF(ISERROR(FIND('112'!$M$9,G1843,1)),"",IF((AND(FIND('112'!$M$9,G1843,1)&gt;=1,$B1843&gt;='112'!$N$8,$B1843&lt;='112'!$O$8,OR($L1843='112'!$I$6,$M1843='112'!$I$6))),"x",""))</f>
        <v/>
      </c>
      <c r="S1843" s="525" t="str">
        <f>IF(ISERROR(FIND('112'!$M$9,G1843,1)),"",IF((AND(LEFT(G1843,2)=LEFT('112'!$M$9,2),B1843&lt;'112'!$N$8,$L1843='112'!$I$6)),"x",""))</f>
        <v/>
      </c>
      <c r="T1843" s="525" t="str">
        <f>IF(ISERROR(FIND('112'!$M$9,G1843,1)),"",IF((AND(RIGHT(G1843,2)=RIGHT('112'!$M$9,2),B1843&lt;'112'!$N$8,$M1843='112'!$I$6)),"x",""))</f>
        <v/>
      </c>
      <c r="U1843" s="525" t="str">
        <f>IF(AND(B1843&gt;='IN-NX'!$P$3,B1843&lt;='IN-NX'!$Q$3,'IN-NX'!$D$7=D1843,OR(LEFT(L1843,2)="15",AND(LEFT(M1843,2)&lt;&gt;"15",LEFT(M1843,2)&lt;&gt;"33"))),"x","")</f>
        <v/>
      </c>
      <c r="V1843" s="525" t="str">
        <f>IF(AND(OR(LEFT(TH!L1843,2)="15",LEFT(TH!M1843,2)="15"),'152-CT'!$J$8=TH!F1843),"x","")</f>
        <v/>
      </c>
      <c r="W1843" s="525" t="str">
        <f>IF(AND(OR(LEFT(TH!L1843,2)="15",LEFT(TH!M1843,2)="15"),TK!$E$7=TH!F1843),"x","")</f>
        <v/>
      </c>
      <c r="X1843" s="525" t="str">
        <f>IF(AND('341-CT'!$E$9=H1843,OR(LEFT(L1843,3)=$X$7,LEFT(M1843,3)=$X$7)),"x","")</f>
        <v/>
      </c>
      <c r="Y1843" s="525" t="str">
        <f>IF(OR(TH!L1843=TH!$Y$7,M1843=TH!$Y$7),"x","")</f>
        <v/>
      </c>
      <c r="Z1843" s="525" t="str">
        <f>IF(AND(B1843&lt;=NKC!$N$8,B1843&gt;=NKC!$M$8),"x","")</f>
        <v>x</v>
      </c>
      <c r="AA1843" s="535"/>
    </row>
    <row r="1844" spans="1:31" s="503" customFormat="1" ht="15.75" customHeight="1">
      <c r="A1844" s="517" t="str">
        <f>IF(B1844&lt;&gt;"",IF(AND(B1844&gt;=_TM1,B1844&lt;=_TM2,OR(TH!L1844="1111",TH!M1844="1111")),TH!D1844,""),"")</f>
        <v/>
      </c>
      <c r="B1844" s="531">
        <f t="shared" si="177"/>
        <v>3</v>
      </c>
      <c r="C1844" s="315">
        <f t="shared" si="172"/>
        <v>42825</v>
      </c>
      <c r="D1844" s="315" t="s">
        <v>996</v>
      </c>
      <c r="E1844" s="547">
        <v>42825</v>
      </c>
      <c r="F1844" s="249" t="s">
        <v>688</v>
      </c>
      <c r="G1844" s="538" t="s">
        <v>789</v>
      </c>
      <c r="H1844" s="473" t="s">
        <v>800</v>
      </c>
      <c r="I1844" s="307">
        <v>8</v>
      </c>
      <c r="J1844" s="307">
        <v>227409</v>
      </c>
      <c r="K1844" s="532">
        <f t="shared" si="173"/>
        <v>1819272</v>
      </c>
      <c r="L1844" s="539" t="s">
        <v>160</v>
      </c>
      <c r="M1844" s="539" t="s">
        <v>292</v>
      </c>
      <c r="N1844" s="525" t="str">
        <f>IF(AND('331-CT'!$E$7=TH!H1844,OR(L1844="331",M1844="331")),"331",IF(AND(OR(L1844="131",M1844="131"),H1844='131-CT'!$E$7),"131",""))</f>
        <v/>
      </c>
      <c r="O1844" s="525" t="str">
        <f>IF(AND($B1844&gt;='111'!$N$11,$B1844&lt;='111'!$O$11,OR($L1844=$O$7,$M1844=$O$7)),"x","")</f>
        <v/>
      </c>
      <c r="P1844" s="525" t="str">
        <f>IF(AND($L1844=$O$7,$B1844&lt;'111'!$N$11),"x","")</f>
        <v/>
      </c>
      <c r="Q1844" s="525" t="str">
        <f>IF(AND($M1844=$O$7,$B1844&lt;'111'!$N$11),"x","")</f>
        <v/>
      </c>
      <c r="R1844" s="525" t="str">
        <f>IF(ISERROR(FIND('112'!$M$9,G1844,1)),"",IF((AND(FIND('112'!$M$9,G1844,1)&gt;=1,$B1844&gt;='112'!$N$8,$B1844&lt;='112'!$O$8,OR($L1844='112'!$I$6,$M1844='112'!$I$6))),"x",""))</f>
        <v/>
      </c>
      <c r="S1844" s="525" t="str">
        <f>IF(ISERROR(FIND('112'!$M$9,G1844,1)),"",IF((AND(LEFT(G1844,2)=LEFT('112'!$M$9,2),B1844&lt;'112'!$N$8,$L1844='112'!$I$6)),"x",""))</f>
        <v/>
      </c>
      <c r="T1844" s="525" t="str">
        <f>IF(ISERROR(FIND('112'!$M$9,G1844,1)),"",IF((AND(RIGHT(G1844,2)=RIGHT('112'!$M$9,2),B1844&lt;'112'!$N$8,$M1844='112'!$I$6)),"x",""))</f>
        <v/>
      </c>
      <c r="U1844" s="525" t="str">
        <f>IF(AND(B1844&gt;='IN-NX'!$P$3,B1844&lt;='IN-NX'!$Q$3,'IN-NX'!$D$7=D1844,OR(LEFT(L1844,2)="15",AND(LEFT(M1844,2)&lt;&gt;"15",LEFT(M1844,2)&lt;&gt;"33"))),"x","")</f>
        <v/>
      </c>
      <c r="V1844" s="525" t="str">
        <f>IF(AND(OR(LEFT(TH!L1844,2)="15",LEFT(TH!M1844,2)="15"),'152-CT'!$J$8=TH!F1844),"x","")</f>
        <v/>
      </c>
      <c r="W1844" s="525" t="str">
        <f>IF(AND(OR(LEFT(TH!L1844,2)="15",LEFT(TH!M1844,2)="15"),TK!$E$7=TH!F1844),"x","")</f>
        <v/>
      </c>
      <c r="X1844" s="525" t="str">
        <f>IF(AND('341-CT'!$E$9=H1844,OR(LEFT(L1844,3)=$X$7,LEFT(M1844,3)=$X$7)),"x","")</f>
        <v/>
      </c>
      <c r="Y1844" s="525" t="str">
        <f>IF(OR(TH!L1844=TH!$Y$7,M1844=TH!$Y$7),"x","")</f>
        <v/>
      </c>
      <c r="Z1844" s="525" t="str">
        <f>IF(AND(B1844&lt;=NKC!$N$8,B1844&gt;=NKC!$M$8),"x","")</f>
        <v>x</v>
      </c>
      <c r="AA1844" s="535"/>
    </row>
    <row r="1845" spans="1:31" s="503" customFormat="1" ht="15.75" customHeight="1">
      <c r="A1845" s="517" t="str">
        <f>IF(B1845&lt;&gt;"",IF(AND(B1845&gt;=_TM1,B1845&lt;=_TM2,OR(TH!L1845="1111",TH!M1845="1111")),TH!D1845,""),"")</f>
        <v/>
      </c>
      <c r="B1845" s="531">
        <f t="shared" si="177"/>
        <v>3</v>
      </c>
      <c r="C1845" s="315">
        <f t="shared" si="172"/>
        <v>42825</v>
      </c>
      <c r="D1845" s="315" t="s">
        <v>996</v>
      </c>
      <c r="E1845" s="547">
        <v>42825</v>
      </c>
      <c r="F1845" s="249" t="s">
        <v>684</v>
      </c>
      <c r="G1845" s="538" t="s">
        <v>789</v>
      </c>
      <c r="H1845" s="473" t="s">
        <v>800</v>
      </c>
      <c r="I1845" s="307">
        <v>13</v>
      </c>
      <c r="J1845" s="307">
        <v>154288</v>
      </c>
      <c r="K1845" s="532">
        <f t="shared" si="173"/>
        <v>2005744</v>
      </c>
      <c r="L1845" s="539" t="s">
        <v>160</v>
      </c>
      <c r="M1845" s="539" t="s">
        <v>292</v>
      </c>
      <c r="N1845" s="525" t="str">
        <f>IF(AND('331-CT'!$E$7=TH!H1845,OR(L1845="331",M1845="331")),"331",IF(AND(OR(L1845="131",M1845="131"),H1845='131-CT'!$E$7),"131",""))</f>
        <v/>
      </c>
      <c r="O1845" s="525" t="str">
        <f>IF(AND($B1845&gt;='111'!$N$11,$B1845&lt;='111'!$O$11,OR($L1845=$O$7,$M1845=$O$7)),"x","")</f>
        <v/>
      </c>
      <c r="P1845" s="525" t="str">
        <f>IF(AND($L1845=$O$7,$B1845&lt;'111'!$N$11),"x","")</f>
        <v/>
      </c>
      <c r="Q1845" s="525" t="str">
        <f>IF(AND($M1845=$O$7,$B1845&lt;'111'!$N$11),"x","")</f>
        <v/>
      </c>
      <c r="R1845" s="525" t="str">
        <f>IF(ISERROR(FIND('112'!$M$9,G1845,1)),"",IF((AND(FIND('112'!$M$9,G1845,1)&gt;=1,$B1845&gt;='112'!$N$8,$B1845&lt;='112'!$O$8,OR($L1845='112'!$I$6,$M1845='112'!$I$6))),"x",""))</f>
        <v/>
      </c>
      <c r="S1845" s="525" t="str">
        <f>IF(ISERROR(FIND('112'!$M$9,G1845,1)),"",IF((AND(LEFT(G1845,2)=LEFT('112'!$M$9,2),B1845&lt;'112'!$N$8,$L1845='112'!$I$6)),"x",""))</f>
        <v/>
      </c>
      <c r="T1845" s="525" t="str">
        <f>IF(ISERROR(FIND('112'!$M$9,G1845,1)),"",IF((AND(RIGHT(G1845,2)=RIGHT('112'!$M$9,2),B1845&lt;'112'!$N$8,$M1845='112'!$I$6)),"x",""))</f>
        <v/>
      </c>
      <c r="U1845" s="525" t="str">
        <f>IF(AND(B1845&gt;='IN-NX'!$P$3,B1845&lt;='IN-NX'!$Q$3,'IN-NX'!$D$7=D1845,OR(LEFT(L1845,2)="15",AND(LEFT(M1845,2)&lt;&gt;"15",LEFT(M1845,2)&lt;&gt;"33"))),"x","")</f>
        <v/>
      </c>
      <c r="V1845" s="525" t="str">
        <f>IF(AND(OR(LEFT(TH!L1845,2)="15",LEFT(TH!M1845,2)="15"),'152-CT'!$J$8=TH!F1845),"x","")</f>
        <v/>
      </c>
      <c r="W1845" s="525" t="str">
        <f>IF(AND(OR(LEFT(TH!L1845,2)="15",LEFT(TH!M1845,2)="15"),TK!$E$7=TH!F1845),"x","")</f>
        <v/>
      </c>
      <c r="X1845" s="525" t="str">
        <f>IF(AND('341-CT'!$E$9=H1845,OR(LEFT(L1845,3)=$X$7,LEFT(M1845,3)=$X$7)),"x","")</f>
        <v/>
      </c>
      <c r="Y1845" s="525" t="str">
        <f>IF(OR(TH!L1845=TH!$Y$7,M1845=TH!$Y$7),"x","")</f>
        <v/>
      </c>
      <c r="Z1845" s="525" t="str">
        <f>IF(AND(B1845&lt;=NKC!$N$8,B1845&gt;=NKC!$M$8),"x","")</f>
        <v>x</v>
      </c>
      <c r="AA1845" s="535"/>
      <c r="AB1845" s="536"/>
    </row>
    <row r="1846" spans="1:31" s="503" customFormat="1" ht="15.75" customHeight="1">
      <c r="A1846" s="517" t="str">
        <f>IF(B1846&lt;&gt;"",IF(AND(B1846&gt;=_TM1,B1846&lt;=_TM2,OR(TH!L1846="1111",TH!M1846="1111")),TH!D1846,""),"")</f>
        <v/>
      </c>
      <c r="B1846" s="531">
        <f t="shared" si="177"/>
        <v>3</v>
      </c>
      <c r="C1846" s="315">
        <f t="shared" si="172"/>
        <v>42825</v>
      </c>
      <c r="D1846" s="315" t="s">
        <v>996</v>
      </c>
      <c r="E1846" s="547">
        <v>42825</v>
      </c>
      <c r="F1846" s="249" t="s">
        <v>796</v>
      </c>
      <c r="G1846" s="538" t="s">
        <v>789</v>
      </c>
      <c r="H1846" s="473" t="s">
        <v>800</v>
      </c>
      <c r="I1846" s="307">
        <v>22</v>
      </c>
      <c r="J1846" s="307">
        <v>49013</v>
      </c>
      <c r="K1846" s="532">
        <f t="shared" si="173"/>
        <v>1078286</v>
      </c>
      <c r="L1846" s="539" t="s">
        <v>160</v>
      </c>
      <c r="M1846" s="539" t="s">
        <v>292</v>
      </c>
      <c r="N1846" s="525" t="str">
        <f>IF(AND('331-CT'!$E$7=TH!H1846,OR(L1846="331",M1846="331")),"331",IF(AND(OR(L1846="131",M1846="131"),H1846='131-CT'!$E$7),"131",""))</f>
        <v/>
      </c>
      <c r="O1846" s="525" t="str">
        <f>IF(AND($B1846&gt;='111'!$N$11,$B1846&lt;='111'!$O$11,OR($L1846=$O$7,$M1846=$O$7)),"x","")</f>
        <v/>
      </c>
      <c r="P1846" s="525" t="str">
        <f>IF(AND($L1846=$O$7,$B1846&lt;'111'!$N$11),"x","")</f>
        <v/>
      </c>
      <c r="Q1846" s="525" t="str">
        <f>IF(AND($M1846=$O$7,$B1846&lt;'111'!$N$11),"x","")</f>
        <v/>
      </c>
      <c r="R1846" s="525" t="str">
        <f>IF(ISERROR(FIND('112'!$M$9,G1846,1)),"",IF((AND(FIND('112'!$M$9,G1846,1)&gt;=1,$B1846&gt;='112'!$N$8,$B1846&lt;='112'!$O$8,OR($L1846='112'!$I$6,$M1846='112'!$I$6))),"x",""))</f>
        <v/>
      </c>
      <c r="S1846" s="525" t="str">
        <f>IF(ISERROR(FIND('112'!$M$9,G1846,1)),"",IF((AND(LEFT(G1846,2)=LEFT('112'!$M$9,2),B1846&lt;'112'!$N$8,$L1846='112'!$I$6)),"x",""))</f>
        <v/>
      </c>
      <c r="T1846" s="525" t="str">
        <f>IF(ISERROR(FIND('112'!$M$9,G1846,1)),"",IF((AND(RIGHT(G1846,2)=RIGHT('112'!$M$9,2),B1846&lt;'112'!$N$8,$M1846='112'!$I$6)),"x",""))</f>
        <v/>
      </c>
      <c r="U1846" s="525" t="str">
        <f>IF(AND(B1846&gt;='IN-NX'!$P$3,B1846&lt;='IN-NX'!$Q$3,'IN-NX'!$D$7=D1846,OR(LEFT(L1846,2)="15",AND(LEFT(M1846,2)&lt;&gt;"15",LEFT(M1846,2)&lt;&gt;"33"))),"x","")</f>
        <v/>
      </c>
      <c r="V1846" s="525" t="str">
        <f>IF(AND(OR(LEFT(TH!L1846,2)="15",LEFT(TH!M1846,2)="15"),'152-CT'!$J$8=TH!F1846),"x","")</f>
        <v/>
      </c>
      <c r="W1846" s="525" t="str">
        <f>IF(AND(OR(LEFT(TH!L1846,2)="15",LEFT(TH!M1846,2)="15"),TK!$E$7=TH!F1846),"x","")</f>
        <v/>
      </c>
      <c r="X1846" s="525" t="str">
        <f>IF(AND('341-CT'!$E$9=H1846,OR(LEFT(L1846,3)=$X$7,LEFT(M1846,3)=$X$7)),"x","")</f>
        <v/>
      </c>
      <c r="Y1846" s="525" t="str">
        <f>IF(OR(TH!L1846=TH!$Y$7,M1846=TH!$Y$7),"x","")</f>
        <v/>
      </c>
      <c r="Z1846" s="525" t="str">
        <f>IF(AND(B1846&lt;=NKC!$N$8,B1846&gt;=NKC!$M$8),"x","")</f>
        <v>x</v>
      </c>
      <c r="AA1846" s="535"/>
      <c r="AB1846" s="536"/>
      <c r="AE1846" s="536"/>
    </row>
    <row r="1847" spans="1:31" s="503" customFormat="1" ht="15.75" customHeight="1">
      <c r="A1847" s="517" t="str">
        <f>IF(B1847&lt;&gt;"",IF(AND(B1847&gt;=_TM1,B1847&lt;=_TM2,OR(TH!L1847="1111",TH!M1847="1111")),TH!D1847,""),"")</f>
        <v/>
      </c>
      <c r="B1847" s="531">
        <f t="shared" si="177"/>
        <v>3</v>
      </c>
      <c r="C1847" s="315">
        <f t="shared" si="172"/>
        <v>42825</v>
      </c>
      <c r="D1847" s="315" t="s">
        <v>996</v>
      </c>
      <c r="E1847" s="547">
        <v>42825</v>
      </c>
      <c r="F1847" s="249" t="s">
        <v>691</v>
      </c>
      <c r="G1847" s="538" t="s">
        <v>789</v>
      </c>
      <c r="H1847" s="473" t="s">
        <v>800</v>
      </c>
      <c r="I1847" s="307">
        <v>30</v>
      </c>
      <c r="J1847" s="307">
        <v>49574</v>
      </c>
      <c r="K1847" s="532">
        <f t="shared" si="173"/>
        <v>1487220</v>
      </c>
      <c r="L1847" s="539" t="s">
        <v>160</v>
      </c>
      <c r="M1847" s="539" t="s">
        <v>292</v>
      </c>
      <c r="N1847" s="525" t="str">
        <f>IF(AND('331-CT'!$E$7=TH!H1847,OR(L1847="331",M1847="331")),"331",IF(AND(OR(L1847="131",M1847="131"),H1847='131-CT'!$E$7),"131",""))</f>
        <v/>
      </c>
      <c r="O1847" s="525" t="str">
        <f>IF(AND($B1847&gt;='111'!$N$11,$B1847&lt;='111'!$O$11,OR($L1847=$O$7,$M1847=$O$7)),"x","")</f>
        <v/>
      </c>
      <c r="P1847" s="525" t="str">
        <f>IF(AND($L1847=$O$7,$B1847&lt;'111'!$N$11),"x","")</f>
        <v/>
      </c>
      <c r="Q1847" s="525" t="str">
        <f>IF(AND($M1847=$O$7,$B1847&lt;'111'!$N$11),"x","")</f>
        <v/>
      </c>
      <c r="R1847" s="525" t="str">
        <f>IF(ISERROR(FIND('112'!$M$9,G1847,1)),"",IF((AND(FIND('112'!$M$9,G1847,1)&gt;=1,$B1847&gt;='112'!$N$8,$B1847&lt;='112'!$O$8,OR($L1847='112'!$I$6,$M1847='112'!$I$6))),"x",""))</f>
        <v/>
      </c>
      <c r="S1847" s="525" t="str">
        <f>IF(ISERROR(FIND('112'!$M$9,G1847,1)),"",IF((AND(LEFT(G1847,2)=LEFT('112'!$M$9,2),B1847&lt;'112'!$N$8,$L1847='112'!$I$6)),"x",""))</f>
        <v/>
      </c>
      <c r="T1847" s="525" t="str">
        <f>IF(ISERROR(FIND('112'!$M$9,G1847,1)),"",IF((AND(RIGHT(G1847,2)=RIGHT('112'!$M$9,2),B1847&lt;'112'!$N$8,$M1847='112'!$I$6)),"x",""))</f>
        <v/>
      </c>
      <c r="U1847" s="525" t="str">
        <f>IF(AND(B1847&gt;='IN-NX'!$P$3,B1847&lt;='IN-NX'!$Q$3,'IN-NX'!$D$7=D1847,OR(LEFT(L1847,2)="15",AND(LEFT(M1847,2)&lt;&gt;"15",LEFT(M1847,2)&lt;&gt;"33"))),"x","")</f>
        <v/>
      </c>
      <c r="V1847" s="525" t="str">
        <f>IF(AND(OR(LEFT(TH!L1847,2)="15",LEFT(TH!M1847,2)="15"),'152-CT'!$J$8=TH!F1847),"x","")</f>
        <v/>
      </c>
      <c r="W1847" s="525" t="str">
        <f>IF(AND(OR(LEFT(TH!L1847,2)="15",LEFT(TH!M1847,2)="15"),TK!$E$7=TH!F1847),"x","")</f>
        <v/>
      </c>
      <c r="X1847" s="525" t="str">
        <f>IF(AND('341-CT'!$E$9=H1847,OR(LEFT(L1847,3)=$X$7,LEFT(M1847,3)=$X$7)),"x","")</f>
        <v/>
      </c>
      <c r="Y1847" s="525" t="str">
        <f>IF(OR(TH!L1847=TH!$Y$7,M1847=TH!$Y$7),"x","")</f>
        <v/>
      </c>
      <c r="Z1847" s="525" t="str">
        <f>IF(AND(B1847&lt;=NKC!$N$8,B1847&gt;=NKC!$M$8),"x","")</f>
        <v>x</v>
      </c>
      <c r="AA1847" s="535"/>
      <c r="AB1847" s="536"/>
      <c r="AE1847" s="536"/>
    </row>
    <row r="1848" spans="1:31" s="503" customFormat="1" ht="15.75" customHeight="1">
      <c r="A1848" s="517" t="str">
        <f>IF(B1848&lt;&gt;"",IF(AND(B1848&gt;=_TM1,B1848&lt;=_TM2,OR(TH!L1848="1111",TH!M1848="1111")),TH!D1848,""),"")</f>
        <v/>
      </c>
      <c r="B1848" s="531">
        <f t="shared" si="177"/>
        <v>3</v>
      </c>
      <c r="C1848" s="315">
        <f t="shared" si="172"/>
        <v>42825</v>
      </c>
      <c r="D1848" s="315" t="s">
        <v>996</v>
      </c>
      <c r="E1848" s="547">
        <v>42825</v>
      </c>
      <c r="F1848" s="249" t="s">
        <v>647</v>
      </c>
      <c r="G1848" s="538" t="s">
        <v>789</v>
      </c>
      <c r="H1848" s="473" t="s">
        <v>800</v>
      </c>
      <c r="I1848" s="307">
        <v>12</v>
      </c>
      <c r="J1848" s="307">
        <v>110473</v>
      </c>
      <c r="K1848" s="532">
        <f t="shared" si="173"/>
        <v>1325676</v>
      </c>
      <c r="L1848" s="539" t="s">
        <v>160</v>
      </c>
      <c r="M1848" s="539" t="s">
        <v>292</v>
      </c>
      <c r="N1848" s="525" t="str">
        <f>IF(AND('331-CT'!$E$7=TH!H1848,OR(L1848="331",M1848="331")),"331",IF(AND(OR(L1848="131",M1848="131"),H1848='131-CT'!$E$7),"131",""))</f>
        <v/>
      </c>
      <c r="O1848" s="525" t="str">
        <f>IF(AND($B1848&gt;='111'!$N$11,$B1848&lt;='111'!$O$11,OR($L1848=$O$7,$M1848=$O$7)),"x","")</f>
        <v/>
      </c>
      <c r="P1848" s="525" t="str">
        <f>IF(AND($L1848=$O$7,$B1848&lt;'111'!$N$11),"x","")</f>
        <v/>
      </c>
      <c r="Q1848" s="525" t="str">
        <f>IF(AND($M1848=$O$7,$B1848&lt;'111'!$N$11),"x","")</f>
        <v/>
      </c>
      <c r="R1848" s="525" t="str">
        <f>IF(ISERROR(FIND('112'!$M$9,G1848,1)),"",IF((AND(FIND('112'!$M$9,G1848,1)&gt;=1,$B1848&gt;='112'!$N$8,$B1848&lt;='112'!$O$8,OR($L1848='112'!$I$6,$M1848='112'!$I$6))),"x",""))</f>
        <v/>
      </c>
      <c r="S1848" s="525" t="str">
        <f>IF(ISERROR(FIND('112'!$M$9,G1848,1)),"",IF((AND(LEFT(G1848,2)=LEFT('112'!$M$9,2),B1848&lt;'112'!$N$8,$L1848='112'!$I$6)),"x",""))</f>
        <v/>
      </c>
      <c r="T1848" s="525" t="str">
        <f>IF(ISERROR(FIND('112'!$M$9,G1848,1)),"",IF((AND(RIGHT(G1848,2)=RIGHT('112'!$M$9,2),B1848&lt;'112'!$N$8,$M1848='112'!$I$6)),"x",""))</f>
        <v/>
      </c>
      <c r="U1848" s="525" t="str">
        <f>IF(AND(B1848&gt;='IN-NX'!$P$3,B1848&lt;='IN-NX'!$Q$3,'IN-NX'!$D$7=D1848,OR(LEFT(L1848,2)="15",AND(LEFT(M1848,2)&lt;&gt;"15",LEFT(M1848,2)&lt;&gt;"33"))),"x","")</f>
        <v/>
      </c>
      <c r="V1848" s="525" t="str">
        <f>IF(AND(OR(LEFT(TH!L1848,2)="15",LEFT(TH!M1848,2)="15"),'152-CT'!$J$8=TH!F1848),"x","")</f>
        <v/>
      </c>
      <c r="W1848" s="525" t="str">
        <f>IF(AND(OR(LEFT(TH!L1848,2)="15",LEFT(TH!M1848,2)="15"),TK!$E$7=TH!F1848),"x","")</f>
        <v/>
      </c>
      <c r="X1848" s="525" t="str">
        <f>IF(AND('341-CT'!$E$9=H1848,OR(LEFT(L1848,3)=$X$7,LEFT(M1848,3)=$X$7)),"x","")</f>
        <v/>
      </c>
      <c r="Y1848" s="525" t="str">
        <f>IF(OR(TH!L1848=TH!$Y$7,M1848=TH!$Y$7),"x","")</f>
        <v/>
      </c>
      <c r="Z1848" s="525" t="str">
        <f>IF(AND(B1848&lt;=NKC!$N$8,B1848&gt;=NKC!$M$8),"x","")</f>
        <v>x</v>
      </c>
      <c r="AA1848" s="535"/>
      <c r="AB1848" s="536"/>
      <c r="AE1848" s="536"/>
    </row>
    <row r="1849" spans="1:31" s="503" customFormat="1" ht="15.75" customHeight="1">
      <c r="A1849" s="517" t="str">
        <f>IF(B1849&lt;&gt;"",IF(AND(B1849&gt;=_TM1,B1849&lt;=_TM2,OR(TH!L1849="1111",TH!M1849="1111")),TH!D1849,""),"")</f>
        <v/>
      </c>
      <c r="B1849" s="531">
        <f t="shared" si="177"/>
        <v>3</v>
      </c>
      <c r="C1849" s="315">
        <f t="shared" si="172"/>
        <v>42825</v>
      </c>
      <c r="D1849" s="315" t="s">
        <v>996</v>
      </c>
      <c r="E1849" s="547">
        <v>42825</v>
      </c>
      <c r="F1849" s="249" t="s">
        <v>611</v>
      </c>
      <c r="G1849" s="538" t="s">
        <v>789</v>
      </c>
      <c r="H1849" s="473" t="s">
        <v>800</v>
      </c>
      <c r="I1849" s="307">
        <v>54</v>
      </c>
      <c r="J1849" s="307">
        <v>43918</v>
      </c>
      <c r="K1849" s="532">
        <f t="shared" si="173"/>
        <v>2371572</v>
      </c>
      <c r="L1849" s="539" t="s">
        <v>160</v>
      </c>
      <c r="M1849" s="539" t="s">
        <v>292</v>
      </c>
      <c r="N1849" s="525" t="str">
        <f>IF(AND('331-CT'!$E$7=TH!H1849,OR(L1849="331",M1849="331")),"331",IF(AND(OR(L1849="131",M1849="131"),H1849='131-CT'!$E$7),"131",""))</f>
        <v/>
      </c>
      <c r="O1849" s="525" t="str">
        <f>IF(AND($B1849&gt;='111'!$N$11,$B1849&lt;='111'!$O$11,OR($L1849=$O$7,$M1849=$O$7)),"x","")</f>
        <v/>
      </c>
      <c r="P1849" s="525" t="str">
        <f>IF(AND($L1849=$O$7,$B1849&lt;'111'!$N$11),"x","")</f>
        <v/>
      </c>
      <c r="Q1849" s="525" t="str">
        <f>IF(AND($M1849=$O$7,$B1849&lt;'111'!$N$11),"x","")</f>
        <v/>
      </c>
      <c r="R1849" s="525" t="str">
        <f>IF(ISERROR(FIND('112'!$M$9,G1849,1)),"",IF((AND(FIND('112'!$M$9,G1849,1)&gt;=1,$B1849&gt;='112'!$N$8,$B1849&lt;='112'!$O$8,OR($L1849='112'!$I$6,$M1849='112'!$I$6))),"x",""))</f>
        <v/>
      </c>
      <c r="S1849" s="525" t="str">
        <f>IF(ISERROR(FIND('112'!$M$9,G1849,1)),"",IF((AND(LEFT(G1849,2)=LEFT('112'!$M$9,2),B1849&lt;'112'!$N$8,$L1849='112'!$I$6)),"x",""))</f>
        <v/>
      </c>
      <c r="T1849" s="525" t="str">
        <f>IF(ISERROR(FIND('112'!$M$9,G1849,1)),"",IF((AND(RIGHT(G1849,2)=RIGHT('112'!$M$9,2),B1849&lt;'112'!$N$8,$M1849='112'!$I$6)),"x",""))</f>
        <v/>
      </c>
      <c r="U1849" s="525" t="str">
        <f>IF(AND(B1849&gt;='IN-NX'!$P$3,B1849&lt;='IN-NX'!$Q$3,'IN-NX'!$D$7=D1849,OR(LEFT(L1849,2)="15",AND(LEFT(M1849,2)&lt;&gt;"15",LEFT(M1849,2)&lt;&gt;"33"))),"x","")</f>
        <v/>
      </c>
      <c r="V1849" s="525" t="str">
        <f>IF(AND(OR(LEFT(TH!L1849,2)="15",LEFT(TH!M1849,2)="15"),'152-CT'!$J$8=TH!F1849),"x","")</f>
        <v/>
      </c>
      <c r="W1849" s="525" t="str">
        <f>IF(AND(OR(LEFT(TH!L1849,2)="15",LEFT(TH!M1849,2)="15"),TK!$E$7=TH!F1849),"x","")</f>
        <v/>
      </c>
      <c r="X1849" s="525" t="str">
        <f>IF(AND('341-CT'!$E$9=H1849,OR(LEFT(L1849,3)=$X$7,LEFT(M1849,3)=$X$7)),"x","")</f>
        <v/>
      </c>
      <c r="Y1849" s="525" t="str">
        <f>IF(OR(TH!L1849=TH!$Y$7,M1849=TH!$Y$7),"x","")</f>
        <v/>
      </c>
      <c r="Z1849" s="525" t="str">
        <f>IF(AND(B1849&lt;=NKC!$N$8,B1849&gt;=NKC!$M$8),"x","")</f>
        <v>x</v>
      </c>
      <c r="AA1849" s="535"/>
      <c r="AB1849" s="536"/>
      <c r="AE1849" s="536"/>
    </row>
    <row r="1850" spans="1:31" s="503" customFormat="1" ht="15.75" customHeight="1">
      <c r="A1850" s="517" t="str">
        <f>IF(B1850&lt;&gt;"",IF(AND(B1850&gt;=_TM1,B1850&lt;=_TM2,OR(TH!L1850="1111",TH!M1850="1111")),TH!D1850,""),"")</f>
        <v/>
      </c>
      <c r="B1850" s="531">
        <f t="shared" si="177"/>
        <v>3</v>
      </c>
      <c r="C1850" s="315">
        <f t="shared" si="172"/>
        <v>42825</v>
      </c>
      <c r="D1850" s="315" t="s">
        <v>996</v>
      </c>
      <c r="E1850" s="547">
        <v>42825</v>
      </c>
      <c r="F1850" s="249" t="s">
        <v>695</v>
      </c>
      <c r="G1850" s="538" t="s">
        <v>789</v>
      </c>
      <c r="H1850" s="473" t="s">
        <v>800</v>
      </c>
      <c r="I1850" s="307">
        <v>10</v>
      </c>
      <c r="J1850" s="307">
        <v>103608</v>
      </c>
      <c r="K1850" s="532">
        <f t="shared" si="173"/>
        <v>1036080</v>
      </c>
      <c r="L1850" s="539" t="s">
        <v>160</v>
      </c>
      <c r="M1850" s="539" t="s">
        <v>292</v>
      </c>
      <c r="N1850" s="525" t="str">
        <f>IF(AND('331-CT'!$E$7=TH!H1850,OR(L1850="331",M1850="331")),"331",IF(AND(OR(L1850="131",M1850="131"),H1850='131-CT'!$E$7),"131",""))</f>
        <v/>
      </c>
      <c r="O1850" s="525" t="str">
        <f>IF(AND($B1850&gt;='111'!$N$11,$B1850&lt;='111'!$O$11,OR($L1850=$O$7,$M1850=$O$7)),"x","")</f>
        <v/>
      </c>
      <c r="P1850" s="525" t="str">
        <f>IF(AND($L1850=$O$7,$B1850&lt;'111'!$N$11),"x","")</f>
        <v/>
      </c>
      <c r="Q1850" s="525" t="str">
        <f>IF(AND($M1850=$O$7,$B1850&lt;'111'!$N$11),"x","")</f>
        <v/>
      </c>
      <c r="R1850" s="525" t="str">
        <f>IF(ISERROR(FIND('112'!$M$9,G1850,1)),"",IF((AND(FIND('112'!$M$9,G1850,1)&gt;=1,$B1850&gt;='112'!$N$8,$B1850&lt;='112'!$O$8,OR($L1850='112'!$I$6,$M1850='112'!$I$6))),"x",""))</f>
        <v/>
      </c>
      <c r="S1850" s="525" t="str">
        <f>IF(ISERROR(FIND('112'!$M$9,G1850,1)),"",IF((AND(LEFT(G1850,2)=LEFT('112'!$M$9,2),B1850&lt;'112'!$N$8,$L1850='112'!$I$6)),"x",""))</f>
        <v/>
      </c>
      <c r="T1850" s="525" t="str">
        <f>IF(ISERROR(FIND('112'!$M$9,G1850,1)),"",IF((AND(RIGHT(G1850,2)=RIGHT('112'!$M$9,2),B1850&lt;'112'!$N$8,$M1850='112'!$I$6)),"x",""))</f>
        <v/>
      </c>
      <c r="U1850" s="525" t="str">
        <f>IF(AND(B1850&gt;='IN-NX'!$P$3,B1850&lt;='IN-NX'!$Q$3,'IN-NX'!$D$7=D1850,OR(LEFT(L1850,2)="15",AND(LEFT(M1850,2)&lt;&gt;"15",LEFT(M1850,2)&lt;&gt;"33"))),"x","")</f>
        <v/>
      </c>
      <c r="V1850" s="525" t="str">
        <f>IF(AND(OR(LEFT(TH!L1850,2)="15",LEFT(TH!M1850,2)="15"),'152-CT'!$J$8=TH!F1850),"x","")</f>
        <v/>
      </c>
      <c r="W1850" s="525" t="str">
        <f>IF(AND(OR(LEFT(TH!L1850,2)="15",LEFT(TH!M1850,2)="15"),TK!$E$7=TH!F1850),"x","")</f>
        <v/>
      </c>
      <c r="X1850" s="525" t="str">
        <f>IF(AND('341-CT'!$E$9=H1850,OR(LEFT(L1850,3)=$X$7,LEFT(M1850,3)=$X$7)),"x","")</f>
        <v/>
      </c>
      <c r="Y1850" s="525" t="str">
        <f>IF(OR(TH!L1850=TH!$Y$7,M1850=TH!$Y$7),"x","")</f>
        <v/>
      </c>
      <c r="Z1850" s="525" t="str">
        <f>IF(AND(B1850&lt;=NKC!$N$8,B1850&gt;=NKC!$M$8),"x","")</f>
        <v>x</v>
      </c>
      <c r="AA1850" s="535"/>
      <c r="AB1850" s="536"/>
      <c r="AE1850" s="536"/>
    </row>
    <row r="1851" spans="1:31" s="503" customFormat="1" ht="15.75" customHeight="1">
      <c r="A1851" s="517" t="str">
        <f>IF(B1851&lt;&gt;"",IF(AND(B1851&gt;=_TM1,B1851&lt;=_TM2,OR(TH!L1851="1111",TH!M1851="1111")),TH!D1851,""),"")</f>
        <v/>
      </c>
      <c r="B1851" s="531">
        <f t="shared" si="177"/>
        <v>3</v>
      </c>
      <c r="C1851" s="315">
        <f t="shared" si="172"/>
        <v>42825</v>
      </c>
      <c r="D1851" s="315" t="s">
        <v>996</v>
      </c>
      <c r="E1851" s="547">
        <v>42825</v>
      </c>
      <c r="F1851" s="249" t="s">
        <v>649</v>
      </c>
      <c r="G1851" s="538" t="s">
        <v>789</v>
      </c>
      <c r="H1851" s="473" t="s">
        <v>800</v>
      </c>
      <c r="I1851" s="307">
        <v>14</v>
      </c>
      <c r="J1851" s="307">
        <v>67963</v>
      </c>
      <c r="K1851" s="532">
        <f t="shared" si="173"/>
        <v>951482</v>
      </c>
      <c r="L1851" s="539" t="s">
        <v>160</v>
      </c>
      <c r="M1851" s="539" t="s">
        <v>292</v>
      </c>
      <c r="N1851" s="525" t="str">
        <f>IF(AND('331-CT'!$E$7=TH!H1851,OR(L1851="331",M1851="331")),"331",IF(AND(OR(L1851="131",M1851="131"),H1851='131-CT'!$E$7),"131",""))</f>
        <v/>
      </c>
      <c r="O1851" s="525" t="str">
        <f>IF(AND($B1851&gt;='111'!$N$11,$B1851&lt;='111'!$O$11,OR($L1851=$O$7,$M1851=$O$7)),"x","")</f>
        <v/>
      </c>
      <c r="P1851" s="525" t="str">
        <f>IF(AND($L1851=$O$7,$B1851&lt;'111'!$N$11),"x","")</f>
        <v/>
      </c>
      <c r="Q1851" s="525" t="str">
        <f>IF(AND($M1851=$O$7,$B1851&lt;'111'!$N$11),"x","")</f>
        <v/>
      </c>
      <c r="R1851" s="525" t="str">
        <f>IF(ISERROR(FIND('112'!$M$9,G1851,1)),"",IF((AND(FIND('112'!$M$9,G1851,1)&gt;=1,$B1851&gt;='112'!$N$8,$B1851&lt;='112'!$O$8,OR($L1851='112'!$I$6,$M1851='112'!$I$6))),"x",""))</f>
        <v/>
      </c>
      <c r="S1851" s="525" t="str">
        <f>IF(ISERROR(FIND('112'!$M$9,G1851,1)),"",IF((AND(LEFT(G1851,2)=LEFT('112'!$M$9,2),B1851&lt;'112'!$N$8,$L1851='112'!$I$6)),"x",""))</f>
        <v/>
      </c>
      <c r="T1851" s="525" t="str">
        <f>IF(ISERROR(FIND('112'!$M$9,G1851,1)),"",IF((AND(RIGHT(G1851,2)=RIGHT('112'!$M$9,2),B1851&lt;'112'!$N$8,$M1851='112'!$I$6)),"x",""))</f>
        <v/>
      </c>
      <c r="U1851" s="525" t="str">
        <f>IF(AND(B1851&gt;='IN-NX'!$P$3,B1851&lt;='IN-NX'!$Q$3,'IN-NX'!$D$7=D1851,OR(LEFT(L1851,2)="15",AND(LEFT(M1851,2)&lt;&gt;"15",LEFT(M1851,2)&lt;&gt;"33"))),"x","")</f>
        <v/>
      </c>
      <c r="V1851" s="525" t="str">
        <f>IF(AND(OR(LEFT(TH!L1851,2)="15",LEFT(TH!M1851,2)="15"),'152-CT'!$J$8=TH!F1851),"x","")</f>
        <v/>
      </c>
      <c r="W1851" s="525" t="str">
        <f>IF(AND(OR(LEFT(TH!L1851,2)="15",LEFT(TH!M1851,2)="15"),TK!$E$7=TH!F1851),"x","")</f>
        <v/>
      </c>
      <c r="X1851" s="525" t="str">
        <f>IF(AND('341-CT'!$E$9=H1851,OR(LEFT(L1851,3)=$X$7,LEFT(M1851,3)=$X$7)),"x","")</f>
        <v/>
      </c>
      <c r="Y1851" s="525" t="str">
        <f>IF(OR(TH!L1851=TH!$Y$7,M1851=TH!$Y$7),"x","")</f>
        <v/>
      </c>
      <c r="Z1851" s="525" t="str">
        <f>IF(AND(B1851&lt;=NKC!$N$8,B1851&gt;=NKC!$M$8),"x","")</f>
        <v>x</v>
      </c>
      <c r="AA1851" s="535"/>
      <c r="AB1851" s="536"/>
      <c r="AE1851" s="536"/>
    </row>
    <row r="1852" spans="1:31" s="503" customFormat="1" ht="15.75" customHeight="1">
      <c r="A1852" s="517" t="str">
        <f>IF(B1852&lt;&gt;"",IF(AND(B1852&gt;=_TM1,B1852&lt;=_TM2,OR(TH!L1852="1111",TH!M1852="1111")),TH!D1852,""),"")</f>
        <v/>
      </c>
      <c r="B1852" s="531">
        <f t="shared" si="177"/>
        <v>3</v>
      </c>
      <c r="C1852" s="315">
        <f t="shared" si="172"/>
        <v>42825</v>
      </c>
      <c r="D1852" s="315" t="s">
        <v>996</v>
      </c>
      <c r="E1852" s="547">
        <v>42825</v>
      </c>
      <c r="F1852" s="249" t="s">
        <v>648</v>
      </c>
      <c r="G1852" s="538" t="s">
        <v>789</v>
      </c>
      <c r="H1852" s="473" t="s">
        <v>800</v>
      </c>
      <c r="I1852" s="307">
        <v>12</v>
      </c>
      <c r="J1852" s="307">
        <v>48490</v>
      </c>
      <c r="K1852" s="532">
        <f t="shared" si="173"/>
        <v>581880</v>
      </c>
      <c r="L1852" s="539" t="s">
        <v>160</v>
      </c>
      <c r="M1852" s="539" t="s">
        <v>292</v>
      </c>
      <c r="N1852" s="525" t="str">
        <f>IF(AND('331-CT'!$E$7=TH!H1852,OR(L1852="331",M1852="331")),"331",IF(AND(OR(L1852="131",M1852="131"),H1852='131-CT'!$E$7),"131",""))</f>
        <v/>
      </c>
      <c r="O1852" s="525" t="str">
        <f>IF(AND($B1852&gt;='111'!$N$11,$B1852&lt;='111'!$O$11,OR($L1852=$O$7,$M1852=$O$7)),"x","")</f>
        <v/>
      </c>
      <c r="P1852" s="525" t="str">
        <f>IF(AND($L1852=$O$7,$B1852&lt;'111'!$N$11),"x","")</f>
        <v/>
      </c>
      <c r="Q1852" s="525" t="str">
        <f>IF(AND($M1852=$O$7,$B1852&lt;'111'!$N$11),"x","")</f>
        <v/>
      </c>
      <c r="R1852" s="525" t="str">
        <f>IF(ISERROR(FIND('112'!$M$9,G1852,1)),"",IF((AND(FIND('112'!$M$9,G1852,1)&gt;=1,$B1852&gt;='112'!$N$8,$B1852&lt;='112'!$O$8,OR($L1852='112'!$I$6,$M1852='112'!$I$6))),"x",""))</f>
        <v/>
      </c>
      <c r="S1852" s="525" t="str">
        <f>IF(ISERROR(FIND('112'!$M$9,G1852,1)),"",IF((AND(LEFT(G1852,2)=LEFT('112'!$M$9,2),B1852&lt;'112'!$N$8,$L1852='112'!$I$6)),"x",""))</f>
        <v/>
      </c>
      <c r="T1852" s="525" t="str">
        <f>IF(ISERROR(FIND('112'!$M$9,G1852,1)),"",IF((AND(RIGHT(G1852,2)=RIGHT('112'!$M$9,2),B1852&lt;'112'!$N$8,$M1852='112'!$I$6)),"x",""))</f>
        <v/>
      </c>
      <c r="U1852" s="525" t="str">
        <f>IF(AND(B1852&gt;='IN-NX'!$P$3,B1852&lt;='IN-NX'!$Q$3,'IN-NX'!$D$7=D1852,OR(LEFT(L1852,2)="15",AND(LEFT(M1852,2)&lt;&gt;"15",LEFT(M1852,2)&lt;&gt;"33"))),"x","")</f>
        <v/>
      </c>
      <c r="V1852" s="525" t="str">
        <f>IF(AND(OR(LEFT(TH!L1852,2)="15",LEFT(TH!M1852,2)="15"),'152-CT'!$J$8=TH!F1852),"x","")</f>
        <v/>
      </c>
      <c r="W1852" s="525" t="str">
        <f>IF(AND(OR(LEFT(TH!L1852,2)="15",LEFT(TH!M1852,2)="15"),TK!$E$7=TH!F1852),"x","")</f>
        <v/>
      </c>
      <c r="X1852" s="525" t="str">
        <f>IF(AND('341-CT'!$E$9=H1852,OR(LEFT(L1852,3)=$X$7,LEFT(M1852,3)=$X$7)),"x","")</f>
        <v/>
      </c>
      <c r="Y1852" s="525" t="str">
        <f>IF(OR(TH!L1852=TH!$Y$7,M1852=TH!$Y$7),"x","")</f>
        <v/>
      </c>
      <c r="Z1852" s="525" t="str">
        <f>IF(AND(B1852&lt;=NKC!$N$8,B1852&gt;=NKC!$M$8),"x","")</f>
        <v>x</v>
      </c>
      <c r="AA1852" s="535"/>
      <c r="AE1852" s="536"/>
    </row>
    <row r="1853" spans="1:31" s="503" customFormat="1" ht="15.75" customHeight="1">
      <c r="A1853" s="517" t="str">
        <f>IF(B1853&lt;&gt;"",IF(AND(B1853&gt;=_TM1,B1853&lt;=_TM2,OR(TH!L1853="1111",TH!M1853="1111")),TH!D1853,""),"")</f>
        <v/>
      </c>
      <c r="B1853" s="531">
        <f t="shared" si="177"/>
        <v>3</v>
      </c>
      <c r="C1853" s="315">
        <f t="shared" si="172"/>
        <v>42825</v>
      </c>
      <c r="D1853" s="315" t="s">
        <v>996</v>
      </c>
      <c r="E1853" s="547">
        <v>42825</v>
      </c>
      <c r="F1853" s="249" t="s">
        <v>689</v>
      </c>
      <c r="G1853" s="538" t="s">
        <v>789</v>
      </c>
      <c r="H1853" s="473" t="s">
        <v>800</v>
      </c>
      <c r="I1853" s="307">
        <v>12</v>
      </c>
      <c r="J1853" s="307">
        <v>78953</v>
      </c>
      <c r="K1853" s="532">
        <f t="shared" si="173"/>
        <v>947436</v>
      </c>
      <c r="L1853" s="539" t="s">
        <v>160</v>
      </c>
      <c r="M1853" s="539" t="s">
        <v>292</v>
      </c>
      <c r="N1853" s="525" t="str">
        <f>IF(AND('331-CT'!$E$7=TH!H1853,OR(L1853="331",M1853="331")),"331",IF(AND(OR(L1853="131",M1853="131"),H1853='131-CT'!$E$7),"131",""))</f>
        <v/>
      </c>
      <c r="O1853" s="525" t="str">
        <f>IF(AND($B1853&gt;='111'!$N$11,$B1853&lt;='111'!$O$11,OR($L1853=$O$7,$M1853=$O$7)),"x","")</f>
        <v/>
      </c>
      <c r="P1853" s="525" t="str">
        <f>IF(AND($L1853=$O$7,$B1853&lt;'111'!$N$11),"x","")</f>
        <v/>
      </c>
      <c r="Q1853" s="525" t="str">
        <f>IF(AND($M1853=$O$7,$B1853&lt;'111'!$N$11),"x","")</f>
        <v/>
      </c>
      <c r="R1853" s="525" t="str">
        <f>IF(ISERROR(FIND('112'!$M$9,G1853,1)),"",IF((AND(FIND('112'!$M$9,G1853,1)&gt;=1,$B1853&gt;='112'!$N$8,$B1853&lt;='112'!$O$8,OR($L1853='112'!$I$6,$M1853='112'!$I$6))),"x",""))</f>
        <v/>
      </c>
      <c r="S1853" s="525" t="str">
        <f>IF(ISERROR(FIND('112'!$M$9,G1853,1)),"",IF((AND(LEFT(G1853,2)=LEFT('112'!$M$9,2),B1853&lt;'112'!$N$8,$L1853='112'!$I$6)),"x",""))</f>
        <v/>
      </c>
      <c r="T1853" s="525" t="str">
        <f>IF(ISERROR(FIND('112'!$M$9,G1853,1)),"",IF((AND(RIGHT(G1853,2)=RIGHT('112'!$M$9,2),B1853&lt;'112'!$N$8,$M1853='112'!$I$6)),"x",""))</f>
        <v/>
      </c>
      <c r="U1853" s="525" t="str">
        <f>IF(AND(B1853&gt;='IN-NX'!$P$3,B1853&lt;='IN-NX'!$Q$3,'IN-NX'!$D$7=D1853,OR(LEFT(L1853,2)="15",AND(LEFT(M1853,2)&lt;&gt;"15",LEFT(M1853,2)&lt;&gt;"33"))),"x","")</f>
        <v/>
      </c>
      <c r="V1853" s="525" t="str">
        <f>IF(AND(OR(LEFT(TH!L1853,2)="15",LEFT(TH!M1853,2)="15"),'152-CT'!$J$8=TH!F1853),"x","")</f>
        <v/>
      </c>
      <c r="W1853" s="525" t="str">
        <f>IF(AND(OR(LEFT(TH!L1853,2)="15",LEFT(TH!M1853,2)="15"),TK!$E$7=TH!F1853),"x","")</f>
        <v/>
      </c>
      <c r="X1853" s="525" t="str">
        <f>IF(AND('341-CT'!$E$9=H1853,OR(LEFT(L1853,3)=$X$7,LEFT(M1853,3)=$X$7)),"x","")</f>
        <v/>
      </c>
      <c r="Y1853" s="525" t="str">
        <f>IF(OR(TH!L1853=TH!$Y$7,M1853=TH!$Y$7),"x","")</f>
        <v/>
      </c>
      <c r="Z1853" s="525" t="str">
        <f>IF(AND(B1853&lt;=NKC!$N$8,B1853&gt;=NKC!$M$8),"x","")</f>
        <v>x</v>
      </c>
      <c r="AA1853" s="535"/>
      <c r="AB1853" s="536"/>
      <c r="AE1853" s="536"/>
    </row>
    <row r="1854" spans="1:31" s="503" customFormat="1" ht="15.75" customHeight="1">
      <c r="A1854" s="517" t="str">
        <f>IF(B1854&lt;&gt;"",IF(AND(B1854&gt;=_TM1,B1854&lt;=_TM2,OR(TH!L1854="1111",TH!M1854="1111")),TH!D1854,""),"")</f>
        <v/>
      </c>
      <c r="B1854" s="531">
        <f t="shared" si="177"/>
        <v>3</v>
      </c>
      <c r="C1854" s="315">
        <f t="shared" si="172"/>
        <v>42825</v>
      </c>
      <c r="D1854" s="315" t="s">
        <v>996</v>
      </c>
      <c r="E1854" s="547">
        <v>42825</v>
      </c>
      <c r="F1854" s="249" t="s">
        <v>692</v>
      </c>
      <c r="G1854" s="538" t="s">
        <v>789</v>
      </c>
      <c r="H1854" s="473" t="s">
        <v>800</v>
      </c>
      <c r="I1854" s="307">
        <v>9</v>
      </c>
      <c r="J1854" s="307">
        <v>183100</v>
      </c>
      <c r="K1854" s="532">
        <f t="shared" si="173"/>
        <v>1647900</v>
      </c>
      <c r="L1854" s="539" t="s">
        <v>160</v>
      </c>
      <c r="M1854" s="539" t="s">
        <v>292</v>
      </c>
      <c r="N1854" s="525" t="str">
        <f>IF(AND('331-CT'!$E$7=TH!H1854,OR(L1854="331",M1854="331")),"331",IF(AND(OR(L1854="131",M1854="131"),H1854='131-CT'!$E$7),"131",""))</f>
        <v/>
      </c>
      <c r="O1854" s="525" t="str">
        <f>IF(AND($B1854&gt;='111'!$N$11,$B1854&lt;='111'!$O$11,OR($L1854=$O$7,$M1854=$O$7)),"x","")</f>
        <v/>
      </c>
      <c r="P1854" s="525" t="str">
        <f>IF(AND($L1854=$O$7,$B1854&lt;'111'!$N$11),"x","")</f>
        <v/>
      </c>
      <c r="Q1854" s="525" t="str">
        <f>IF(AND($M1854=$O$7,$B1854&lt;'111'!$N$11),"x","")</f>
        <v/>
      </c>
      <c r="R1854" s="525" t="str">
        <f>IF(ISERROR(FIND('112'!$M$9,G1854,1)),"",IF((AND(FIND('112'!$M$9,G1854,1)&gt;=1,$B1854&gt;='112'!$N$8,$B1854&lt;='112'!$O$8,OR($L1854='112'!$I$6,$M1854='112'!$I$6))),"x",""))</f>
        <v/>
      </c>
      <c r="S1854" s="525" t="str">
        <f>IF(ISERROR(FIND('112'!$M$9,G1854,1)),"",IF((AND(LEFT(G1854,2)=LEFT('112'!$M$9,2),B1854&lt;'112'!$N$8,$L1854='112'!$I$6)),"x",""))</f>
        <v/>
      </c>
      <c r="T1854" s="525" t="str">
        <f>IF(ISERROR(FIND('112'!$M$9,G1854,1)),"",IF((AND(RIGHT(G1854,2)=RIGHT('112'!$M$9,2),B1854&lt;'112'!$N$8,$M1854='112'!$I$6)),"x",""))</f>
        <v/>
      </c>
      <c r="U1854" s="525" t="str">
        <f>IF(AND(B1854&gt;='IN-NX'!$P$3,B1854&lt;='IN-NX'!$Q$3,'IN-NX'!$D$7=D1854,OR(LEFT(L1854,2)="15",AND(LEFT(M1854,2)&lt;&gt;"15",LEFT(M1854,2)&lt;&gt;"33"))),"x","")</f>
        <v/>
      </c>
      <c r="V1854" s="525" t="str">
        <f>IF(AND(OR(LEFT(TH!L1854,2)="15",LEFT(TH!M1854,2)="15"),'152-CT'!$J$8=TH!F1854),"x","")</f>
        <v/>
      </c>
      <c r="W1854" s="525" t="str">
        <f>IF(AND(OR(LEFT(TH!L1854,2)="15",LEFT(TH!M1854,2)="15"),TK!$E$7=TH!F1854),"x","")</f>
        <v/>
      </c>
      <c r="X1854" s="525" t="str">
        <f>IF(AND('341-CT'!$E$9=H1854,OR(LEFT(L1854,3)=$X$7,LEFT(M1854,3)=$X$7)),"x","")</f>
        <v/>
      </c>
      <c r="Y1854" s="525" t="str">
        <f>IF(OR(TH!L1854=TH!$Y$7,M1854=TH!$Y$7),"x","")</f>
        <v/>
      </c>
      <c r="Z1854" s="525" t="str">
        <f>IF(AND(B1854&lt;=NKC!$N$8,B1854&gt;=NKC!$M$8),"x","")</f>
        <v>x</v>
      </c>
      <c r="AA1854" s="535"/>
      <c r="AB1854" s="536"/>
      <c r="AE1854" s="536"/>
    </row>
    <row r="1855" spans="1:31" s="503" customFormat="1" ht="15.75" customHeight="1">
      <c r="A1855" s="517" t="str">
        <f>IF(B1855&lt;&gt;"",IF(AND(B1855&gt;=_TM1,B1855&lt;=_TM2,OR(TH!L1855="1111",TH!M1855="1111")),TH!D1855,""),"")</f>
        <v/>
      </c>
      <c r="B1855" s="531">
        <f t="shared" si="177"/>
        <v>3</v>
      </c>
      <c r="C1855" s="315">
        <f t="shared" si="172"/>
        <v>42825</v>
      </c>
      <c r="D1855" s="315" t="s">
        <v>996</v>
      </c>
      <c r="E1855" s="547">
        <v>42825</v>
      </c>
      <c r="F1855" s="249" t="s">
        <v>690</v>
      </c>
      <c r="G1855" s="538" t="s">
        <v>789</v>
      </c>
      <c r="H1855" s="473" t="s">
        <v>800</v>
      </c>
      <c r="I1855" s="307">
        <v>4</v>
      </c>
      <c r="J1855" s="307">
        <v>120339</v>
      </c>
      <c r="K1855" s="532">
        <f t="shared" si="173"/>
        <v>481356</v>
      </c>
      <c r="L1855" s="539" t="s">
        <v>160</v>
      </c>
      <c r="M1855" s="539" t="s">
        <v>292</v>
      </c>
      <c r="N1855" s="525" t="str">
        <f>IF(AND('331-CT'!$E$7=TH!H1855,OR(L1855="331",M1855="331")),"331",IF(AND(OR(L1855="131",M1855="131"),H1855='131-CT'!$E$7),"131",""))</f>
        <v/>
      </c>
      <c r="O1855" s="525" t="str">
        <f>IF(AND($B1855&gt;='111'!$N$11,$B1855&lt;='111'!$O$11,OR($L1855=$O$7,$M1855=$O$7)),"x","")</f>
        <v/>
      </c>
      <c r="P1855" s="525" t="str">
        <f>IF(AND($L1855=$O$7,$B1855&lt;'111'!$N$11),"x","")</f>
        <v/>
      </c>
      <c r="Q1855" s="525" t="str">
        <f>IF(AND($M1855=$O$7,$B1855&lt;'111'!$N$11),"x","")</f>
        <v/>
      </c>
      <c r="R1855" s="525" t="str">
        <f>IF(ISERROR(FIND('112'!$M$9,G1855,1)),"",IF((AND(FIND('112'!$M$9,G1855,1)&gt;=1,$B1855&gt;='112'!$N$8,$B1855&lt;='112'!$O$8,OR($L1855='112'!$I$6,$M1855='112'!$I$6))),"x",""))</f>
        <v/>
      </c>
      <c r="S1855" s="525" t="str">
        <f>IF(ISERROR(FIND('112'!$M$9,G1855,1)),"",IF((AND(LEFT(G1855,2)=LEFT('112'!$M$9,2),B1855&lt;'112'!$N$8,$L1855='112'!$I$6)),"x",""))</f>
        <v/>
      </c>
      <c r="T1855" s="525" t="str">
        <f>IF(ISERROR(FIND('112'!$M$9,G1855,1)),"",IF((AND(RIGHT(G1855,2)=RIGHT('112'!$M$9,2),B1855&lt;'112'!$N$8,$M1855='112'!$I$6)),"x",""))</f>
        <v/>
      </c>
      <c r="U1855" s="525" t="str">
        <f>IF(AND(B1855&gt;='IN-NX'!$P$3,B1855&lt;='IN-NX'!$Q$3,'IN-NX'!$D$7=D1855,OR(LEFT(L1855,2)="15",AND(LEFT(M1855,2)&lt;&gt;"15",LEFT(M1855,2)&lt;&gt;"33"))),"x","")</f>
        <v/>
      </c>
      <c r="V1855" s="525" t="str">
        <f>IF(AND(OR(LEFT(TH!L1855,2)="15",LEFT(TH!M1855,2)="15"),'152-CT'!$J$8=TH!F1855),"x","")</f>
        <v/>
      </c>
      <c r="W1855" s="525" t="str">
        <f>IF(AND(OR(LEFT(TH!L1855,2)="15",LEFT(TH!M1855,2)="15"),TK!$E$7=TH!F1855),"x","")</f>
        <v/>
      </c>
      <c r="X1855" s="525" t="str">
        <f>IF(AND('341-CT'!$E$9=H1855,OR(LEFT(L1855,3)=$X$7,LEFT(M1855,3)=$X$7)),"x","")</f>
        <v/>
      </c>
      <c r="Y1855" s="525" t="str">
        <f>IF(OR(TH!L1855=TH!$Y$7,M1855=TH!$Y$7),"x","")</f>
        <v/>
      </c>
      <c r="Z1855" s="525" t="str">
        <f>IF(AND(B1855&lt;=NKC!$N$8,B1855&gt;=NKC!$M$8),"x","")</f>
        <v>x</v>
      </c>
      <c r="AA1855" s="535"/>
      <c r="AB1855" s="536"/>
      <c r="AE1855" s="536"/>
    </row>
    <row r="1856" spans="1:31" s="503" customFormat="1" ht="15.75" customHeight="1">
      <c r="A1856" s="517" t="str">
        <f>IF(B1856&lt;&gt;"",IF(AND(B1856&gt;=_TM1,B1856&lt;=_TM2,OR(TH!L1856="1111",TH!M1856="1111")),TH!D1856,""),"")</f>
        <v/>
      </c>
      <c r="B1856" s="531">
        <f t="shared" si="177"/>
        <v>3</v>
      </c>
      <c r="C1856" s="315">
        <f t="shared" si="172"/>
        <v>42825</v>
      </c>
      <c r="D1856" s="315" t="s">
        <v>996</v>
      </c>
      <c r="E1856" s="547">
        <v>42825</v>
      </c>
      <c r="F1856" s="249" t="s">
        <v>694</v>
      </c>
      <c r="G1856" s="538" t="s">
        <v>789</v>
      </c>
      <c r="H1856" s="473" t="s">
        <v>800</v>
      </c>
      <c r="I1856" s="307">
        <v>10</v>
      </c>
      <c r="J1856" s="307">
        <v>50207</v>
      </c>
      <c r="K1856" s="532">
        <f t="shared" si="173"/>
        <v>502070</v>
      </c>
      <c r="L1856" s="539" t="s">
        <v>160</v>
      </c>
      <c r="M1856" s="539" t="s">
        <v>292</v>
      </c>
      <c r="N1856" s="525" t="str">
        <f>IF(AND('331-CT'!$E$7=TH!H1856,OR(L1856="331",M1856="331")),"331",IF(AND(OR(L1856="131",M1856="131"),H1856='131-CT'!$E$7),"131",""))</f>
        <v/>
      </c>
      <c r="O1856" s="525" t="str">
        <f>IF(AND($B1856&gt;='111'!$N$11,$B1856&lt;='111'!$O$11,OR($L1856=$O$7,$M1856=$O$7)),"x","")</f>
        <v/>
      </c>
      <c r="P1856" s="525" t="str">
        <f>IF(AND($L1856=$O$7,$B1856&lt;'111'!$N$11),"x","")</f>
        <v/>
      </c>
      <c r="Q1856" s="525" t="str">
        <f>IF(AND($M1856=$O$7,$B1856&lt;'111'!$N$11),"x","")</f>
        <v/>
      </c>
      <c r="R1856" s="525" t="str">
        <f>IF(ISERROR(FIND('112'!$M$9,G1856,1)),"",IF((AND(FIND('112'!$M$9,G1856,1)&gt;=1,$B1856&gt;='112'!$N$8,$B1856&lt;='112'!$O$8,OR($L1856='112'!$I$6,$M1856='112'!$I$6))),"x",""))</f>
        <v/>
      </c>
      <c r="S1856" s="525" t="str">
        <f>IF(ISERROR(FIND('112'!$M$9,G1856,1)),"",IF((AND(LEFT(G1856,2)=LEFT('112'!$M$9,2),B1856&lt;'112'!$N$8,$L1856='112'!$I$6)),"x",""))</f>
        <v/>
      </c>
      <c r="T1856" s="525" t="str">
        <f>IF(ISERROR(FIND('112'!$M$9,G1856,1)),"",IF((AND(RIGHT(G1856,2)=RIGHT('112'!$M$9,2),B1856&lt;'112'!$N$8,$M1856='112'!$I$6)),"x",""))</f>
        <v/>
      </c>
      <c r="U1856" s="525" t="str">
        <f>IF(AND(B1856&gt;='IN-NX'!$P$3,B1856&lt;='IN-NX'!$Q$3,'IN-NX'!$D$7=D1856,OR(LEFT(L1856,2)="15",AND(LEFT(M1856,2)&lt;&gt;"15",LEFT(M1856,2)&lt;&gt;"33"))),"x","")</f>
        <v/>
      </c>
      <c r="V1856" s="525" t="str">
        <f>IF(AND(OR(LEFT(TH!L1856,2)="15",LEFT(TH!M1856,2)="15"),'152-CT'!$J$8=TH!F1856),"x","")</f>
        <v/>
      </c>
      <c r="W1856" s="525" t="str">
        <f>IF(AND(OR(LEFT(TH!L1856,2)="15",LEFT(TH!M1856,2)="15"),TK!$E$7=TH!F1856),"x","")</f>
        <v/>
      </c>
      <c r="X1856" s="525" t="str">
        <f>IF(AND('341-CT'!$E$9=H1856,OR(LEFT(L1856,3)=$X$7,LEFT(M1856,3)=$X$7)),"x","")</f>
        <v/>
      </c>
      <c r="Y1856" s="525" t="str">
        <f>IF(OR(TH!L1856=TH!$Y$7,M1856=TH!$Y$7),"x","")</f>
        <v/>
      </c>
      <c r="Z1856" s="525" t="str">
        <f>IF(AND(B1856&lt;=NKC!$N$8,B1856&gt;=NKC!$M$8),"x","")</f>
        <v>x</v>
      </c>
      <c r="AA1856" s="535"/>
      <c r="AB1856" s="536"/>
      <c r="AE1856" s="536"/>
    </row>
    <row r="1857" spans="1:31" s="503" customFormat="1" ht="15.75" customHeight="1">
      <c r="A1857" s="517" t="str">
        <f>IF(B1857&lt;&gt;"",IF(AND(B1857&gt;=_TM1,B1857&lt;=_TM2,OR(TH!L1857="1111",TH!M1857="1111")),TH!D1857,""),"")</f>
        <v/>
      </c>
      <c r="B1857" s="531">
        <f t="shared" si="177"/>
        <v>3</v>
      </c>
      <c r="C1857" s="315">
        <f t="shared" si="172"/>
        <v>42825</v>
      </c>
      <c r="D1857" s="315" t="s">
        <v>996</v>
      </c>
      <c r="E1857" s="547">
        <v>42825</v>
      </c>
      <c r="F1857" s="249" t="s">
        <v>663</v>
      </c>
      <c r="G1857" s="538" t="s">
        <v>789</v>
      </c>
      <c r="H1857" s="473" t="s">
        <v>800</v>
      </c>
      <c r="I1857" s="307">
        <v>14</v>
      </c>
      <c r="J1857" s="307">
        <v>44947</v>
      </c>
      <c r="K1857" s="532">
        <f t="shared" si="173"/>
        <v>629258</v>
      </c>
      <c r="L1857" s="539" t="s">
        <v>160</v>
      </c>
      <c r="M1857" s="539" t="s">
        <v>292</v>
      </c>
      <c r="N1857" s="525" t="str">
        <f>IF(AND('331-CT'!$E$7=TH!H1857,OR(L1857="331",M1857="331")),"331",IF(AND(OR(L1857="131",M1857="131"),H1857='131-CT'!$E$7),"131",""))</f>
        <v/>
      </c>
      <c r="O1857" s="525" t="str">
        <f>IF(AND($B1857&gt;='111'!$N$11,$B1857&lt;='111'!$O$11,OR($L1857=$O$7,$M1857=$O$7)),"x","")</f>
        <v/>
      </c>
      <c r="P1857" s="525" t="str">
        <f>IF(AND($L1857=$O$7,$B1857&lt;'111'!$N$11),"x","")</f>
        <v/>
      </c>
      <c r="Q1857" s="525" t="str">
        <f>IF(AND($M1857=$O$7,$B1857&lt;'111'!$N$11),"x","")</f>
        <v/>
      </c>
      <c r="R1857" s="525" t="str">
        <f>IF(ISERROR(FIND('112'!$M$9,G1857,1)),"",IF((AND(FIND('112'!$M$9,G1857,1)&gt;=1,$B1857&gt;='112'!$N$8,$B1857&lt;='112'!$O$8,OR($L1857='112'!$I$6,$M1857='112'!$I$6))),"x",""))</f>
        <v/>
      </c>
      <c r="S1857" s="525" t="str">
        <f>IF(ISERROR(FIND('112'!$M$9,G1857,1)),"",IF((AND(LEFT(G1857,2)=LEFT('112'!$M$9,2),B1857&lt;'112'!$N$8,$L1857='112'!$I$6)),"x",""))</f>
        <v/>
      </c>
      <c r="T1857" s="525" t="str">
        <f>IF(ISERROR(FIND('112'!$M$9,G1857,1)),"",IF((AND(RIGHT(G1857,2)=RIGHT('112'!$M$9,2),B1857&lt;'112'!$N$8,$M1857='112'!$I$6)),"x",""))</f>
        <v/>
      </c>
      <c r="U1857" s="525" t="str">
        <f>IF(AND(B1857&gt;='IN-NX'!$P$3,B1857&lt;='IN-NX'!$Q$3,'IN-NX'!$D$7=D1857,OR(LEFT(L1857,2)="15",AND(LEFT(M1857,2)&lt;&gt;"15",LEFT(M1857,2)&lt;&gt;"33"))),"x","")</f>
        <v/>
      </c>
      <c r="V1857" s="525" t="str">
        <f>IF(AND(OR(LEFT(TH!L1857,2)="15",LEFT(TH!M1857,2)="15"),'152-CT'!$J$8=TH!F1857),"x","")</f>
        <v/>
      </c>
      <c r="W1857" s="525" t="str">
        <f>IF(AND(OR(LEFT(TH!L1857,2)="15",LEFT(TH!M1857,2)="15"),TK!$E$7=TH!F1857),"x","")</f>
        <v/>
      </c>
      <c r="X1857" s="525" t="str">
        <f>IF(AND('341-CT'!$E$9=H1857,OR(LEFT(L1857,3)=$X$7,LEFT(M1857,3)=$X$7)),"x","")</f>
        <v/>
      </c>
      <c r="Y1857" s="525" t="str">
        <f>IF(OR(TH!L1857=TH!$Y$7,M1857=TH!$Y$7),"x","")</f>
        <v/>
      </c>
      <c r="Z1857" s="525" t="str">
        <f>IF(AND(B1857&lt;=NKC!$N$8,B1857&gt;=NKC!$M$8),"x","")</f>
        <v>x</v>
      </c>
      <c r="AA1857" s="535"/>
      <c r="AB1857" s="536"/>
      <c r="AE1857" s="536"/>
    </row>
    <row r="1858" spans="1:31" s="503" customFormat="1" ht="15.75" customHeight="1">
      <c r="A1858" s="517" t="str">
        <f>IF(B1858&lt;&gt;"",IF(AND(B1858&gt;=_TM1,B1858&lt;=_TM2,OR(TH!L1858="1111",TH!M1858="1111")),TH!D1858,""),"")</f>
        <v/>
      </c>
      <c r="B1858" s="531">
        <f t="shared" si="177"/>
        <v>3</v>
      </c>
      <c r="C1858" s="315">
        <f t="shared" si="172"/>
        <v>42825</v>
      </c>
      <c r="D1858" s="315" t="s">
        <v>996</v>
      </c>
      <c r="E1858" s="547">
        <v>42825</v>
      </c>
      <c r="F1858" s="249" t="s">
        <v>611</v>
      </c>
      <c r="G1858" s="538" t="s">
        <v>789</v>
      </c>
      <c r="H1858" s="473" t="s">
        <v>800</v>
      </c>
      <c r="I1858" s="307">
        <v>10</v>
      </c>
      <c r="J1858" s="307">
        <v>43944</v>
      </c>
      <c r="K1858" s="532">
        <f t="shared" si="173"/>
        <v>439440</v>
      </c>
      <c r="L1858" s="539" t="s">
        <v>160</v>
      </c>
      <c r="M1858" s="539" t="s">
        <v>292</v>
      </c>
      <c r="N1858" s="525" t="str">
        <f>IF(AND('331-CT'!$E$7=TH!H1858,OR(L1858="331",M1858="331")),"331",IF(AND(OR(L1858="131",M1858="131"),H1858='131-CT'!$E$7),"131",""))</f>
        <v/>
      </c>
      <c r="O1858" s="525" t="str">
        <f>IF(AND($B1858&gt;='111'!$N$11,$B1858&lt;='111'!$O$11,OR($L1858=$O$7,$M1858=$O$7)),"x","")</f>
        <v/>
      </c>
      <c r="P1858" s="525" t="str">
        <f>IF(AND($L1858=$O$7,$B1858&lt;'111'!$N$11),"x","")</f>
        <v/>
      </c>
      <c r="Q1858" s="525" t="str">
        <f>IF(AND($M1858=$O$7,$B1858&lt;'111'!$N$11),"x","")</f>
        <v/>
      </c>
      <c r="R1858" s="525" t="str">
        <f>IF(ISERROR(FIND('112'!$M$9,G1858,1)),"",IF((AND(FIND('112'!$M$9,G1858,1)&gt;=1,$B1858&gt;='112'!$N$8,$B1858&lt;='112'!$O$8,OR($L1858='112'!$I$6,$M1858='112'!$I$6))),"x",""))</f>
        <v/>
      </c>
      <c r="S1858" s="525" t="str">
        <f>IF(ISERROR(FIND('112'!$M$9,G1858,1)),"",IF((AND(LEFT(G1858,2)=LEFT('112'!$M$9,2),B1858&lt;'112'!$N$8,$L1858='112'!$I$6)),"x",""))</f>
        <v/>
      </c>
      <c r="T1858" s="525" t="str">
        <f>IF(ISERROR(FIND('112'!$M$9,G1858,1)),"",IF((AND(RIGHT(G1858,2)=RIGHT('112'!$M$9,2),B1858&lt;'112'!$N$8,$M1858='112'!$I$6)),"x",""))</f>
        <v/>
      </c>
      <c r="U1858" s="525" t="str">
        <f>IF(AND(B1858&gt;='IN-NX'!$P$3,B1858&lt;='IN-NX'!$Q$3,'IN-NX'!$D$7=D1858,OR(LEFT(L1858,2)="15",AND(LEFT(M1858,2)&lt;&gt;"15",LEFT(M1858,2)&lt;&gt;"33"))),"x","")</f>
        <v/>
      </c>
      <c r="V1858" s="525" t="str">
        <f>IF(AND(OR(LEFT(TH!L1858,2)="15",LEFT(TH!M1858,2)="15"),'152-CT'!$J$8=TH!F1858),"x","")</f>
        <v/>
      </c>
      <c r="W1858" s="525" t="str">
        <f>IF(AND(OR(LEFT(TH!L1858,2)="15",LEFT(TH!M1858,2)="15"),TK!$E$7=TH!F1858),"x","")</f>
        <v/>
      </c>
      <c r="X1858" s="525" t="str">
        <f>IF(AND('341-CT'!$E$9=H1858,OR(LEFT(L1858,3)=$X$7,LEFT(M1858,3)=$X$7)),"x","")</f>
        <v/>
      </c>
      <c r="Y1858" s="525" t="str">
        <f>IF(OR(TH!L1858=TH!$Y$7,M1858=TH!$Y$7),"x","")</f>
        <v/>
      </c>
      <c r="Z1858" s="525" t="str">
        <f>IF(AND(B1858&lt;=NKC!$N$8,B1858&gt;=NKC!$M$8),"x","")</f>
        <v>x</v>
      </c>
      <c r="AA1858" s="535"/>
      <c r="AB1858" s="536"/>
      <c r="AE1858" s="536"/>
    </row>
    <row r="1859" spans="1:31" s="503" customFormat="1" ht="15.75" customHeight="1">
      <c r="A1859" s="517" t="str">
        <f>IF(B1859&lt;&gt;"",IF(AND(B1859&gt;=_TM1,B1859&lt;=_TM2,OR(TH!L1859="1111",TH!M1859="1111")),TH!D1859,""),"")</f>
        <v/>
      </c>
      <c r="B1859" s="531">
        <f t="shared" si="177"/>
        <v>3</v>
      </c>
      <c r="C1859" s="315">
        <f t="shared" ref="C1859:C1922" si="178">E1859</f>
        <v>42825</v>
      </c>
      <c r="D1859" s="315" t="s">
        <v>996</v>
      </c>
      <c r="E1859" s="547">
        <v>42825</v>
      </c>
      <c r="F1859" s="249" t="s">
        <v>696</v>
      </c>
      <c r="G1859" s="538" t="s">
        <v>789</v>
      </c>
      <c r="H1859" s="473" t="s">
        <v>800</v>
      </c>
      <c r="I1859" s="307">
        <v>8</v>
      </c>
      <c r="J1859" s="307">
        <v>150646</v>
      </c>
      <c r="K1859" s="532">
        <f t="shared" si="173"/>
        <v>1205168</v>
      </c>
      <c r="L1859" s="539" t="s">
        <v>160</v>
      </c>
      <c r="M1859" s="539" t="s">
        <v>292</v>
      </c>
      <c r="N1859" s="525" t="str">
        <f>IF(AND('331-CT'!$E$7=TH!H1859,OR(L1859="331",M1859="331")),"331",IF(AND(OR(L1859="131",M1859="131"),H1859='131-CT'!$E$7),"131",""))</f>
        <v/>
      </c>
      <c r="O1859" s="525" t="str">
        <f>IF(AND($B1859&gt;='111'!$N$11,$B1859&lt;='111'!$O$11,OR($L1859=$O$7,$M1859=$O$7)),"x","")</f>
        <v/>
      </c>
      <c r="P1859" s="525" t="str">
        <f>IF(AND($L1859=$O$7,$B1859&lt;'111'!$N$11),"x","")</f>
        <v/>
      </c>
      <c r="Q1859" s="525" t="str">
        <f>IF(AND($M1859=$O$7,$B1859&lt;'111'!$N$11),"x","")</f>
        <v/>
      </c>
      <c r="R1859" s="525" t="str">
        <f>IF(ISERROR(FIND('112'!$M$9,G1859,1)),"",IF((AND(FIND('112'!$M$9,G1859,1)&gt;=1,$B1859&gt;='112'!$N$8,$B1859&lt;='112'!$O$8,OR($L1859='112'!$I$6,$M1859='112'!$I$6))),"x",""))</f>
        <v/>
      </c>
      <c r="S1859" s="525" t="str">
        <f>IF(ISERROR(FIND('112'!$M$9,G1859,1)),"",IF((AND(LEFT(G1859,2)=LEFT('112'!$M$9,2),B1859&lt;'112'!$N$8,$L1859='112'!$I$6)),"x",""))</f>
        <v/>
      </c>
      <c r="T1859" s="525" t="str">
        <f>IF(ISERROR(FIND('112'!$M$9,G1859,1)),"",IF((AND(RIGHT(G1859,2)=RIGHT('112'!$M$9,2),B1859&lt;'112'!$N$8,$M1859='112'!$I$6)),"x",""))</f>
        <v/>
      </c>
      <c r="U1859" s="525" t="str">
        <f>IF(AND(B1859&gt;='IN-NX'!$P$3,B1859&lt;='IN-NX'!$Q$3,'IN-NX'!$D$7=D1859,OR(LEFT(L1859,2)="15",AND(LEFT(M1859,2)&lt;&gt;"15",LEFT(M1859,2)&lt;&gt;"33"))),"x","")</f>
        <v/>
      </c>
      <c r="V1859" s="525" t="str">
        <f>IF(AND(OR(LEFT(TH!L1859,2)="15",LEFT(TH!M1859,2)="15"),'152-CT'!$J$8=TH!F1859),"x","")</f>
        <v/>
      </c>
      <c r="W1859" s="525" t="str">
        <f>IF(AND(OR(LEFT(TH!L1859,2)="15",LEFT(TH!M1859,2)="15"),TK!$E$7=TH!F1859),"x","")</f>
        <v/>
      </c>
      <c r="X1859" s="525" t="str">
        <f>IF(AND('341-CT'!$E$9=H1859,OR(LEFT(L1859,3)=$X$7,LEFT(M1859,3)=$X$7)),"x","")</f>
        <v/>
      </c>
      <c r="Y1859" s="525" t="str">
        <f>IF(OR(TH!L1859=TH!$Y$7,M1859=TH!$Y$7),"x","")</f>
        <v/>
      </c>
      <c r="Z1859" s="525" t="str">
        <f>IF(AND(B1859&lt;=NKC!$N$8,B1859&gt;=NKC!$M$8),"x","")</f>
        <v>x</v>
      </c>
      <c r="AA1859" s="535"/>
      <c r="AB1859" s="536"/>
      <c r="AE1859" s="536"/>
    </row>
    <row r="1860" spans="1:31" s="503" customFormat="1" ht="15.75" customHeight="1">
      <c r="A1860" s="517" t="str">
        <f>IF(B1860&lt;&gt;"",IF(AND(B1860&gt;=_TM1,B1860&lt;=_TM2,OR(TH!L1860="1111",TH!M1860="1111")),TH!D1860,""),"")</f>
        <v/>
      </c>
      <c r="B1860" s="531">
        <f t="shared" si="177"/>
        <v>3</v>
      </c>
      <c r="C1860" s="315">
        <f t="shared" si="178"/>
        <v>42825</v>
      </c>
      <c r="D1860" s="315" t="s">
        <v>996</v>
      </c>
      <c r="E1860" s="547">
        <v>42825</v>
      </c>
      <c r="F1860" s="249" t="s">
        <v>697</v>
      </c>
      <c r="G1860" s="538" t="s">
        <v>789</v>
      </c>
      <c r="H1860" s="473" t="s">
        <v>800</v>
      </c>
      <c r="I1860" s="307">
        <v>36</v>
      </c>
      <c r="J1860" s="307">
        <v>70433</v>
      </c>
      <c r="K1860" s="532">
        <f t="shared" si="173"/>
        <v>2535588</v>
      </c>
      <c r="L1860" s="539" t="s">
        <v>160</v>
      </c>
      <c r="M1860" s="539" t="s">
        <v>292</v>
      </c>
      <c r="N1860" s="525" t="str">
        <f>IF(AND('331-CT'!$E$7=TH!H1860,OR(L1860="331",M1860="331")),"331",IF(AND(OR(L1860="131",M1860="131"),H1860='131-CT'!$E$7),"131",""))</f>
        <v/>
      </c>
      <c r="O1860" s="525" t="str">
        <f>IF(AND($B1860&gt;='111'!$N$11,$B1860&lt;='111'!$O$11,OR($L1860=$O$7,$M1860=$O$7)),"x","")</f>
        <v/>
      </c>
      <c r="P1860" s="525" t="str">
        <f>IF(AND($L1860=$O$7,$B1860&lt;'111'!$N$11),"x","")</f>
        <v/>
      </c>
      <c r="Q1860" s="525" t="str">
        <f>IF(AND($M1860=$O$7,$B1860&lt;'111'!$N$11),"x","")</f>
        <v/>
      </c>
      <c r="R1860" s="525" t="str">
        <f>IF(ISERROR(FIND('112'!$M$9,G1860,1)),"",IF((AND(FIND('112'!$M$9,G1860,1)&gt;=1,$B1860&gt;='112'!$N$8,$B1860&lt;='112'!$O$8,OR($L1860='112'!$I$6,$M1860='112'!$I$6))),"x",""))</f>
        <v/>
      </c>
      <c r="S1860" s="525" t="str">
        <f>IF(ISERROR(FIND('112'!$M$9,G1860,1)),"",IF((AND(LEFT(G1860,2)=LEFT('112'!$M$9,2),B1860&lt;'112'!$N$8,$L1860='112'!$I$6)),"x",""))</f>
        <v/>
      </c>
      <c r="T1860" s="525" t="str">
        <f>IF(ISERROR(FIND('112'!$M$9,G1860,1)),"",IF((AND(RIGHT(G1860,2)=RIGHT('112'!$M$9,2),B1860&lt;'112'!$N$8,$M1860='112'!$I$6)),"x",""))</f>
        <v/>
      </c>
      <c r="U1860" s="525" t="str">
        <f>IF(AND(B1860&gt;='IN-NX'!$P$3,B1860&lt;='IN-NX'!$Q$3,'IN-NX'!$D$7=D1860,OR(LEFT(L1860,2)="15",AND(LEFT(M1860,2)&lt;&gt;"15",LEFT(M1860,2)&lt;&gt;"33"))),"x","")</f>
        <v/>
      </c>
      <c r="V1860" s="525" t="str">
        <f>IF(AND(OR(LEFT(TH!L1860,2)="15",LEFT(TH!M1860,2)="15"),'152-CT'!$J$8=TH!F1860),"x","")</f>
        <v/>
      </c>
      <c r="W1860" s="525" t="str">
        <f>IF(AND(OR(LEFT(TH!L1860,2)="15",LEFT(TH!M1860,2)="15"),TK!$E$7=TH!F1860),"x","")</f>
        <v/>
      </c>
      <c r="X1860" s="525" t="str">
        <f>IF(AND('341-CT'!$E$9=H1860,OR(LEFT(L1860,3)=$X$7,LEFT(M1860,3)=$X$7)),"x","")</f>
        <v/>
      </c>
      <c r="Y1860" s="525" t="str">
        <f>IF(OR(TH!L1860=TH!$Y$7,M1860=TH!$Y$7),"x","")</f>
        <v/>
      </c>
      <c r="Z1860" s="525" t="str">
        <f>IF(AND(B1860&lt;=NKC!$N$8,B1860&gt;=NKC!$M$8),"x","")</f>
        <v>x</v>
      </c>
      <c r="AA1860" s="535"/>
      <c r="AB1860" s="536"/>
      <c r="AE1860" s="536"/>
    </row>
    <row r="1861" spans="1:31" s="503" customFormat="1" ht="15.75" customHeight="1">
      <c r="A1861" s="517" t="str">
        <f>IF(B1861&lt;&gt;"",IF(AND(B1861&gt;=_TM1,B1861&lt;=_TM2,OR(TH!L1861="1111",TH!M1861="1111")),TH!D1861,""),"")</f>
        <v/>
      </c>
      <c r="B1861" s="531">
        <f t="shared" si="177"/>
        <v>3</v>
      </c>
      <c r="C1861" s="315">
        <f t="shared" si="178"/>
        <v>42825</v>
      </c>
      <c r="D1861" s="315" t="s">
        <v>996</v>
      </c>
      <c r="E1861" s="547">
        <v>42825</v>
      </c>
      <c r="F1861" s="249" t="s">
        <v>699</v>
      </c>
      <c r="G1861" s="538" t="s">
        <v>789</v>
      </c>
      <c r="H1861" s="473" t="s">
        <v>800</v>
      </c>
      <c r="I1861" s="307">
        <v>16</v>
      </c>
      <c r="J1861" s="307">
        <v>48453</v>
      </c>
      <c r="K1861" s="532">
        <f t="shared" si="173"/>
        <v>775248</v>
      </c>
      <c r="L1861" s="539" t="s">
        <v>160</v>
      </c>
      <c r="M1861" s="539" t="s">
        <v>292</v>
      </c>
      <c r="N1861" s="525" t="str">
        <f>IF(AND('331-CT'!$E$7=TH!H1861,OR(L1861="331",M1861="331")),"331",IF(AND(OR(L1861="131",M1861="131"),H1861='131-CT'!$E$7),"131",""))</f>
        <v/>
      </c>
      <c r="O1861" s="525" t="str">
        <f>IF(AND($B1861&gt;='111'!$N$11,$B1861&lt;='111'!$O$11,OR($L1861=$O$7,$M1861=$O$7)),"x","")</f>
        <v/>
      </c>
      <c r="P1861" s="525" t="str">
        <f>IF(AND($L1861=$O$7,$B1861&lt;'111'!$N$11),"x","")</f>
        <v/>
      </c>
      <c r="Q1861" s="525" t="str">
        <f>IF(AND($M1861=$O$7,$B1861&lt;'111'!$N$11),"x","")</f>
        <v/>
      </c>
      <c r="R1861" s="525" t="str">
        <f>IF(ISERROR(FIND('112'!$M$9,G1861,1)),"",IF((AND(FIND('112'!$M$9,G1861,1)&gt;=1,$B1861&gt;='112'!$N$8,$B1861&lt;='112'!$O$8,OR($L1861='112'!$I$6,$M1861='112'!$I$6))),"x",""))</f>
        <v/>
      </c>
      <c r="S1861" s="525" t="str">
        <f>IF(ISERROR(FIND('112'!$M$9,G1861,1)),"",IF((AND(LEFT(G1861,2)=LEFT('112'!$M$9,2),B1861&lt;'112'!$N$8,$L1861='112'!$I$6)),"x",""))</f>
        <v/>
      </c>
      <c r="T1861" s="525" t="str">
        <f>IF(ISERROR(FIND('112'!$M$9,G1861,1)),"",IF((AND(RIGHT(G1861,2)=RIGHT('112'!$M$9,2),B1861&lt;'112'!$N$8,$M1861='112'!$I$6)),"x",""))</f>
        <v/>
      </c>
      <c r="U1861" s="525" t="str">
        <f>IF(AND(B1861&gt;='IN-NX'!$P$3,B1861&lt;='IN-NX'!$Q$3,'IN-NX'!$D$7=D1861,OR(LEFT(L1861,2)="15",AND(LEFT(M1861,2)&lt;&gt;"15",LEFT(M1861,2)&lt;&gt;"33"))),"x","")</f>
        <v/>
      </c>
      <c r="V1861" s="525" t="str">
        <f>IF(AND(OR(LEFT(TH!L1861,2)="15",LEFT(TH!M1861,2)="15"),'152-CT'!$J$8=TH!F1861),"x","")</f>
        <v/>
      </c>
      <c r="W1861" s="525" t="str">
        <f>IF(AND(OR(LEFT(TH!L1861,2)="15",LEFT(TH!M1861,2)="15"),TK!$E$7=TH!F1861),"x","")</f>
        <v/>
      </c>
      <c r="X1861" s="525" t="str">
        <f>IF(AND('341-CT'!$E$9=H1861,OR(LEFT(L1861,3)=$X$7,LEFT(M1861,3)=$X$7)),"x","")</f>
        <v/>
      </c>
      <c r="Y1861" s="525" t="str">
        <f>IF(OR(TH!L1861=TH!$Y$7,M1861=TH!$Y$7),"x","")</f>
        <v/>
      </c>
      <c r="Z1861" s="525" t="str">
        <f>IF(AND(B1861&lt;=NKC!$N$8,B1861&gt;=NKC!$M$8),"x","")</f>
        <v>x</v>
      </c>
      <c r="AA1861" s="535"/>
      <c r="AB1861" s="536"/>
      <c r="AE1861" s="536"/>
    </row>
    <row r="1862" spans="1:31" s="503" customFormat="1" ht="15.75" customHeight="1">
      <c r="A1862" s="517" t="str">
        <f>IF(B1862&lt;&gt;"",IF(AND(B1862&gt;=_TM1,B1862&lt;=_TM2,OR(TH!L1862="1111",TH!M1862="1111")),TH!D1862,""),"")</f>
        <v/>
      </c>
      <c r="B1862" s="531">
        <f t="shared" si="177"/>
        <v>3</v>
      </c>
      <c r="C1862" s="315">
        <f t="shared" si="178"/>
        <v>42825</v>
      </c>
      <c r="D1862" s="315" t="s">
        <v>996</v>
      </c>
      <c r="E1862" s="547">
        <v>42825</v>
      </c>
      <c r="F1862" s="249" t="s">
        <v>681</v>
      </c>
      <c r="G1862" s="538" t="s">
        <v>789</v>
      </c>
      <c r="H1862" s="473" t="s">
        <v>800</v>
      </c>
      <c r="I1862" s="307">
        <v>14</v>
      </c>
      <c r="J1862" s="307">
        <v>26049</v>
      </c>
      <c r="K1862" s="532">
        <f t="shared" si="173"/>
        <v>364686</v>
      </c>
      <c r="L1862" s="539" t="s">
        <v>160</v>
      </c>
      <c r="M1862" s="539" t="s">
        <v>292</v>
      </c>
      <c r="N1862" s="525" t="str">
        <f>IF(AND('331-CT'!$E$7=TH!H1862,OR(L1862="331",M1862="331")),"331",IF(AND(OR(L1862="131",M1862="131"),H1862='131-CT'!$E$7),"131",""))</f>
        <v/>
      </c>
      <c r="O1862" s="525" t="str">
        <f>IF(AND($B1862&gt;='111'!$N$11,$B1862&lt;='111'!$O$11,OR($L1862=$O$7,$M1862=$O$7)),"x","")</f>
        <v/>
      </c>
      <c r="P1862" s="525" t="str">
        <f>IF(AND($L1862=$O$7,$B1862&lt;'111'!$N$11),"x","")</f>
        <v/>
      </c>
      <c r="Q1862" s="525" t="str">
        <f>IF(AND($M1862=$O$7,$B1862&lt;'111'!$N$11),"x","")</f>
        <v/>
      </c>
      <c r="R1862" s="525" t="str">
        <f>IF(ISERROR(FIND('112'!$M$9,G1862,1)),"",IF((AND(FIND('112'!$M$9,G1862,1)&gt;=1,$B1862&gt;='112'!$N$8,$B1862&lt;='112'!$O$8,OR($L1862='112'!$I$6,$M1862='112'!$I$6))),"x",""))</f>
        <v/>
      </c>
      <c r="S1862" s="525" t="str">
        <f>IF(ISERROR(FIND('112'!$M$9,G1862,1)),"",IF((AND(LEFT(G1862,2)=LEFT('112'!$M$9,2),B1862&lt;'112'!$N$8,$L1862='112'!$I$6)),"x",""))</f>
        <v/>
      </c>
      <c r="T1862" s="525" t="str">
        <f>IF(ISERROR(FIND('112'!$M$9,G1862,1)),"",IF((AND(RIGHT(G1862,2)=RIGHT('112'!$M$9,2),B1862&lt;'112'!$N$8,$M1862='112'!$I$6)),"x",""))</f>
        <v/>
      </c>
      <c r="U1862" s="525" t="str">
        <f>IF(AND(B1862&gt;='IN-NX'!$P$3,B1862&lt;='IN-NX'!$Q$3,'IN-NX'!$D$7=D1862,OR(LEFT(L1862,2)="15",AND(LEFT(M1862,2)&lt;&gt;"15",LEFT(M1862,2)&lt;&gt;"33"))),"x","")</f>
        <v/>
      </c>
      <c r="V1862" s="525" t="str">
        <f>IF(AND(OR(LEFT(TH!L1862,2)="15",LEFT(TH!M1862,2)="15"),'152-CT'!$J$8=TH!F1862),"x","")</f>
        <v/>
      </c>
      <c r="W1862" s="525" t="str">
        <f>IF(AND(OR(LEFT(TH!L1862,2)="15",LEFT(TH!M1862,2)="15"),TK!$E$7=TH!F1862),"x","")</f>
        <v/>
      </c>
      <c r="X1862" s="525" t="str">
        <f>IF(AND('341-CT'!$E$9=H1862,OR(LEFT(L1862,3)=$X$7,LEFT(M1862,3)=$X$7)),"x","")</f>
        <v/>
      </c>
      <c r="Y1862" s="525" t="str">
        <f>IF(OR(TH!L1862=TH!$Y$7,M1862=TH!$Y$7),"x","")</f>
        <v/>
      </c>
      <c r="Z1862" s="525" t="str">
        <f>IF(AND(B1862&lt;=NKC!$N$8,B1862&gt;=NKC!$M$8),"x","")</f>
        <v>x</v>
      </c>
      <c r="AA1862" s="535"/>
      <c r="AB1862" s="536"/>
      <c r="AE1862" s="536"/>
    </row>
    <row r="1863" spans="1:31" s="503" customFormat="1" ht="15.75" customHeight="1">
      <c r="A1863" s="517" t="str">
        <f>IF(B1863&lt;&gt;"",IF(AND(B1863&gt;=_TM1,B1863&lt;=_TM2,OR(TH!L1863="1111",TH!M1863="1111")),TH!D1863,""),"")</f>
        <v/>
      </c>
      <c r="B1863" s="531">
        <f t="shared" si="177"/>
        <v>3</v>
      </c>
      <c r="C1863" s="315">
        <f t="shared" si="178"/>
        <v>42825</v>
      </c>
      <c r="D1863" s="315" t="s">
        <v>996</v>
      </c>
      <c r="E1863" s="547">
        <v>42825</v>
      </c>
      <c r="F1863" s="249" t="s">
        <v>682</v>
      </c>
      <c r="G1863" s="538" t="s">
        <v>789</v>
      </c>
      <c r="H1863" s="473" t="s">
        <v>800</v>
      </c>
      <c r="I1863" s="307">
        <v>3</v>
      </c>
      <c r="J1863" s="307">
        <v>144492</v>
      </c>
      <c r="K1863" s="532">
        <f t="shared" si="173"/>
        <v>433476</v>
      </c>
      <c r="L1863" s="539" t="s">
        <v>160</v>
      </c>
      <c r="M1863" s="539" t="s">
        <v>292</v>
      </c>
      <c r="N1863" s="525" t="str">
        <f>IF(AND('331-CT'!$E$7=TH!H1863,OR(L1863="331",M1863="331")),"331",IF(AND(OR(L1863="131",M1863="131"),H1863='131-CT'!$E$7),"131",""))</f>
        <v/>
      </c>
      <c r="O1863" s="525" t="str">
        <f>IF(AND($B1863&gt;='111'!$N$11,$B1863&lt;='111'!$O$11,OR($L1863=$O$7,$M1863=$O$7)),"x","")</f>
        <v/>
      </c>
      <c r="P1863" s="525" t="str">
        <f>IF(AND($L1863=$O$7,$B1863&lt;'111'!$N$11),"x","")</f>
        <v/>
      </c>
      <c r="Q1863" s="525" t="str">
        <f>IF(AND($M1863=$O$7,$B1863&lt;'111'!$N$11),"x","")</f>
        <v/>
      </c>
      <c r="R1863" s="525" t="str">
        <f>IF(ISERROR(FIND('112'!$M$9,G1863,1)),"",IF((AND(FIND('112'!$M$9,G1863,1)&gt;=1,$B1863&gt;='112'!$N$8,$B1863&lt;='112'!$O$8,OR($L1863='112'!$I$6,$M1863='112'!$I$6))),"x",""))</f>
        <v/>
      </c>
      <c r="S1863" s="525" t="str">
        <f>IF(ISERROR(FIND('112'!$M$9,G1863,1)),"",IF((AND(LEFT(G1863,2)=LEFT('112'!$M$9,2),B1863&lt;'112'!$N$8,$L1863='112'!$I$6)),"x",""))</f>
        <v/>
      </c>
      <c r="T1863" s="525" t="str">
        <f>IF(ISERROR(FIND('112'!$M$9,G1863,1)),"",IF((AND(RIGHT(G1863,2)=RIGHT('112'!$M$9,2),B1863&lt;'112'!$N$8,$M1863='112'!$I$6)),"x",""))</f>
        <v/>
      </c>
      <c r="U1863" s="525" t="str">
        <f>IF(AND(B1863&gt;='IN-NX'!$P$3,B1863&lt;='IN-NX'!$Q$3,'IN-NX'!$D$7=D1863,OR(LEFT(L1863,2)="15",AND(LEFT(M1863,2)&lt;&gt;"15",LEFT(M1863,2)&lt;&gt;"33"))),"x","")</f>
        <v/>
      </c>
      <c r="V1863" s="525" t="str">
        <f>IF(AND(OR(LEFT(TH!L1863,2)="15",LEFT(TH!M1863,2)="15"),'152-CT'!$J$8=TH!F1863),"x","")</f>
        <v/>
      </c>
      <c r="W1863" s="525" t="str">
        <f>IF(AND(OR(LEFT(TH!L1863,2)="15",LEFT(TH!M1863,2)="15"),TK!$E$7=TH!F1863),"x","")</f>
        <v/>
      </c>
      <c r="X1863" s="525" t="str">
        <f>IF(AND('341-CT'!$E$9=H1863,OR(LEFT(L1863,3)=$X$7,LEFT(M1863,3)=$X$7)),"x","")</f>
        <v/>
      </c>
      <c r="Y1863" s="525" t="str">
        <f>IF(OR(TH!L1863=TH!$Y$7,M1863=TH!$Y$7),"x","")</f>
        <v/>
      </c>
      <c r="Z1863" s="525" t="str">
        <f>IF(AND(B1863&lt;=NKC!$N$8,B1863&gt;=NKC!$M$8),"x","")</f>
        <v>x</v>
      </c>
      <c r="AA1863" s="535"/>
      <c r="AB1863" s="536"/>
      <c r="AE1863" s="536"/>
    </row>
    <row r="1864" spans="1:31" s="503" customFormat="1" ht="15.75" customHeight="1">
      <c r="A1864" s="517" t="str">
        <f>IF(B1864&lt;&gt;"",IF(AND(B1864&gt;=_TM1,B1864&lt;=_TM2,OR(TH!L1864="1111",TH!M1864="1111")),TH!D1864,""),"")</f>
        <v/>
      </c>
      <c r="B1864" s="531">
        <f t="shared" si="177"/>
        <v>3</v>
      </c>
      <c r="C1864" s="315">
        <f t="shared" si="178"/>
        <v>42825</v>
      </c>
      <c r="D1864" s="315" t="s">
        <v>996</v>
      </c>
      <c r="E1864" s="547">
        <v>42825</v>
      </c>
      <c r="F1864" s="249" t="s">
        <v>683</v>
      </c>
      <c r="G1864" s="538" t="s">
        <v>789</v>
      </c>
      <c r="H1864" s="473" t="s">
        <v>800</v>
      </c>
      <c r="I1864" s="307">
        <v>6</v>
      </c>
      <c r="J1864" s="307">
        <v>35340</v>
      </c>
      <c r="K1864" s="532">
        <f t="shared" si="173"/>
        <v>212040</v>
      </c>
      <c r="L1864" s="539" t="s">
        <v>160</v>
      </c>
      <c r="M1864" s="539" t="s">
        <v>292</v>
      </c>
      <c r="N1864" s="525" t="str">
        <f>IF(AND('331-CT'!$E$7=TH!H1864,OR(L1864="331",M1864="331")),"331",IF(AND(OR(L1864="131",M1864="131"),H1864='131-CT'!$E$7),"131",""))</f>
        <v/>
      </c>
      <c r="O1864" s="525" t="str">
        <f>IF(AND($B1864&gt;='111'!$N$11,$B1864&lt;='111'!$O$11,OR($L1864=$O$7,$M1864=$O$7)),"x","")</f>
        <v/>
      </c>
      <c r="P1864" s="525" t="str">
        <f>IF(AND($L1864=$O$7,$B1864&lt;'111'!$N$11),"x","")</f>
        <v/>
      </c>
      <c r="Q1864" s="525" t="str">
        <f>IF(AND($M1864=$O$7,$B1864&lt;'111'!$N$11),"x","")</f>
        <v/>
      </c>
      <c r="R1864" s="525" t="str">
        <f>IF(ISERROR(FIND('112'!$M$9,G1864,1)),"",IF((AND(FIND('112'!$M$9,G1864,1)&gt;=1,$B1864&gt;='112'!$N$8,$B1864&lt;='112'!$O$8,OR($L1864='112'!$I$6,$M1864='112'!$I$6))),"x",""))</f>
        <v/>
      </c>
      <c r="S1864" s="525" t="str">
        <f>IF(ISERROR(FIND('112'!$M$9,G1864,1)),"",IF((AND(LEFT(G1864,2)=LEFT('112'!$M$9,2),B1864&lt;'112'!$N$8,$L1864='112'!$I$6)),"x",""))</f>
        <v/>
      </c>
      <c r="T1864" s="525" t="str">
        <f>IF(ISERROR(FIND('112'!$M$9,G1864,1)),"",IF((AND(RIGHT(G1864,2)=RIGHT('112'!$M$9,2),B1864&lt;'112'!$N$8,$M1864='112'!$I$6)),"x",""))</f>
        <v/>
      </c>
      <c r="U1864" s="525" t="str">
        <f>IF(AND(B1864&gt;='IN-NX'!$P$3,B1864&lt;='IN-NX'!$Q$3,'IN-NX'!$D$7=D1864,OR(LEFT(L1864,2)="15",AND(LEFT(M1864,2)&lt;&gt;"15",LEFT(M1864,2)&lt;&gt;"33"))),"x","")</f>
        <v/>
      </c>
      <c r="V1864" s="525" t="str">
        <f>IF(AND(OR(LEFT(TH!L1864,2)="15",LEFT(TH!M1864,2)="15"),'152-CT'!$J$8=TH!F1864),"x","")</f>
        <v/>
      </c>
      <c r="W1864" s="525" t="str">
        <f>IF(AND(OR(LEFT(TH!L1864,2)="15",LEFT(TH!M1864,2)="15"),TK!$E$7=TH!F1864),"x","")</f>
        <v/>
      </c>
      <c r="X1864" s="525" t="str">
        <f>IF(AND('341-CT'!$E$9=H1864,OR(LEFT(L1864,3)=$X$7,LEFT(M1864,3)=$X$7)),"x","")</f>
        <v/>
      </c>
      <c r="Y1864" s="525" t="str">
        <f>IF(OR(TH!L1864=TH!$Y$7,M1864=TH!$Y$7),"x","")</f>
        <v/>
      </c>
      <c r="Z1864" s="525" t="str">
        <f>IF(AND(B1864&lt;=NKC!$N$8,B1864&gt;=NKC!$M$8),"x","")</f>
        <v>x</v>
      </c>
      <c r="AA1864" s="535"/>
      <c r="AB1864" s="536"/>
      <c r="AE1864" s="536"/>
    </row>
    <row r="1865" spans="1:31" s="503" customFormat="1" ht="15.75" customHeight="1">
      <c r="A1865" s="517" t="str">
        <f>IF(B1865&lt;&gt;"",IF(AND(B1865&gt;=_TM1,B1865&lt;=_TM2,OR(TH!L1865="1111",TH!M1865="1111")),TH!D1865,""),"")</f>
        <v/>
      </c>
      <c r="B1865" s="531">
        <f t="shared" si="177"/>
        <v>3</v>
      </c>
      <c r="C1865" s="315">
        <f t="shared" si="178"/>
        <v>42825</v>
      </c>
      <c r="D1865" s="315" t="s">
        <v>996</v>
      </c>
      <c r="E1865" s="547">
        <v>42825</v>
      </c>
      <c r="F1865" s="249" t="s">
        <v>683</v>
      </c>
      <c r="G1865" s="538" t="s">
        <v>789</v>
      </c>
      <c r="H1865" s="473" t="s">
        <v>800</v>
      </c>
      <c r="I1865" s="307">
        <v>10</v>
      </c>
      <c r="J1865" s="307">
        <v>35340</v>
      </c>
      <c r="K1865" s="532">
        <f t="shared" ref="K1865:K1928" si="179">ROUND(I1865*J1865,0)</f>
        <v>353400</v>
      </c>
      <c r="L1865" s="539" t="s">
        <v>160</v>
      </c>
      <c r="M1865" s="539" t="s">
        <v>292</v>
      </c>
      <c r="N1865" s="525" t="str">
        <f>IF(AND('331-CT'!$E$7=TH!H1865,OR(L1865="331",M1865="331")),"331",IF(AND(OR(L1865="131",M1865="131"),H1865='131-CT'!$E$7),"131",""))</f>
        <v/>
      </c>
      <c r="O1865" s="525" t="str">
        <f>IF(AND($B1865&gt;='111'!$N$11,$B1865&lt;='111'!$O$11,OR($L1865=$O$7,$M1865=$O$7)),"x","")</f>
        <v/>
      </c>
      <c r="P1865" s="525" t="str">
        <f>IF(AND($L1865=$O$7,$B1865&lt;'111'!$N$11),"x","")</f>
        <v/>
      </c>
      <c r="Q1865" s="525" t="str">
        <f>IF(AND($M1865=$O$7,$B1865&lt;'111'!$N$11),"x","")</f>
        <v/>
      </c>
      <c r="R1865" s="525" t="str">
        <f>IF(ISERROR(FIND('112'!$M$9,G1865,1)),"",IF((AND(FIND('112'!$M$9,G1865,1)&gt;=1,$B1865&gt;='112'!$N$8,$B1865&lt;='112'!$O$8,OR($L1865='112'!$I$6,$M1865='112'!$I$6))),"x",""))</f>
        <v/>
      </c>
      <c r="S1865" s="525" t="str">
        <f>IF(ISERROR(FIND('112'!$M$9,G1865,1)),"",IF((AND(LEFT(G1865,2)=LEFT('112'!$M$9,2),B1865&lt;'112'!$N$8,$L1865='112'!$I$6)),"x",""))</f>
        <v/>
      </c>
      <c r="T1865" s="525" t="str">
        <f>IF(ISERROR(FIND('112'!$M$9,G1865,1)),"",IF((AND(RIGHT(G1865,2)=RIGHT('112'!$M$9,2),B1865&lt;'112'!$N$8,$M1865='112'!$I$6)),"x",""))</f>
        <v/>
      </c>
      <c r="U1865" s="525" t="str">
        <f>IF(AND(B1865&gt;='IN-NX'!$P$3,B1865&lt;='IN-NX'!$Q$3,'IN-NX'!$D$7=D1865,OR(LEFT(L1865,2)="15",AND(LEFT(M1865,2)&lt;&gt;"15",LEFT(M1865,2)&lt;&gt;"33"))),"x","")</f>
        <v/>
      </c>
      <c r="V1865" s="525" t="str">
        <f>IF(AND(OR(LEFT(TH!L1865,2)="15",LEFT(TH!M1865,2)="15"),'152-CT'!$J$8=TH!F1865),"x","")</f>
        <v/>
      </c>
      <c r="W1865" s="525" t="str">
        <f>IF(AND(OR(LEFT(TH!L1865,2)="15",LEFT(TH!M1865,2)="15"),TK!$E$7=TH!F1865),"x","")</f>
        <v/>
      </c>
      <c r="X1865" s="525" t="str">
        <f>IF(AND('341-CT'!$E$9=H1865,OR(LEFT(L1865,3)=$X$7,LEFT(M1865,3)=$X$7)),"x","")</f>
        <v/>
      </c>
      <c r="Y1865" s="525" t="str">
        <f>IF(OR(TH!L1865=TH!$Y$7,M1865=TH!$Y$7),"x","")</f>
        <v/>
      </c>
      <c r="Z1865" s="525" t="str">
        <f>IF(AND(B1865&lt;=NKC!$N$8,B1865&gt;=NKC!$M$8),"x","")</f>
        <v>x</v>
      </c>
      <c r="AA1865" s="535"/>
      <c r="AE1865" s="536"/>
    </row>
    <row r="1866" spans="1:31" s="503" customFormat="1" ht="15.75" customHeight="1">
      <c r="A1866" s="517" t="str">
        <f>IF(B1866&lt;&gt;"",IF(AND(B1866&gt;=_TM1,B1866&lt;=_TM2,OR(TH!L1866="1111",TH!M1866="1111")),TH!D1866,""),"")</f>
        <v/>
      </c>
      <c r="B1866" s="531">
        <f t="shared" si="177"/>
        <v>3</v>
      </c>
      <c r="C1866" s="315">
        <f t="shared" si="178"/>
        <v>42825</v>
      </c>
      <c r="D1866" s="315" t="s">
        <v>996</v>
      </c>
      <c r="E1866" s="547">
        <v>42825</v>
      </c>
      <c r="F1866" s="249" t="s">
        <v>685</v>
      </c>
      <c r="G1866" s="538" t="s">
        <v>789</v>
      </c>
      <c r="H1866" s="473" t="s">
        <v>800</v>
      </c>
      <c r="I1866" s="307">
        <v>6</v>
      </c>
      <c r="J1866" s="307">
        <v>36114</v>
      </c>
      <c r="K1866" s="532">
        <f t="shared" si="179"/>
        <v>216684</v>
      </c>
      <c r="L1866" s="539" t="s">
        <v>160</v>
      </c>
      <c r="M1866" s="539" t="s">
        <v>292</v>
      </c>
      <c r="N1866" s="525" t="str">
        <f>IF(AND('331-CT'!$E$7=TH!H1866,OR(L1866="331",M1866="331")),"331",IF(AND(OR(L1866="131",M1866="131"),H1866='131-CT'!$E$7),"131",""))</f>
        <v/>
      </c>
      <c r="O1866" s="525" t="str">
        <f>IF(AND($B1866&gt;='111'!$N$11,$B1866&lt;='111'!$O$11,OR($L1866=$O$7,$M1866=$O$7)),"x","")</f>
        <v/>
      </c>
      <c r="P1866" s="525" t="str">
        <f>IF(AND($L1866=$O$7,$B1866&lt;'111'!$N$11),"x","")</f>
        <v/>
      </c>
      <c r="Q1866" s="525" t="str">
        <f>IF(AND($M1866=$O$7,$B1866&lt;'111'!$N$11),"x","")</f>
        <v/>
      </c>
      <c r="R1866" s="525" t="str">
        <f>IF(ISERROR(FIND('112'!$M$9,G1866,1)),"",IF((AND(FIND('112'!$M$9,G1866,1)&gt;=1,$B1866&gt;='112'!$N$8,$B1866&lt;='112'!$O$8,OR($L1866='112'!$I$6,$M1866='112'!$I$6))),"x",""))</f>
        <v/>
      </c>
      <c r="S1866" s="525" t="str">
        <f>IF(ISERROR(FIND('112'!$M$9,G1866,1)),"",IF((AND(LEFT(G1866,2)=LEFT('112'!$M$9,2),B1866&lt;'112'!$N$8,$L1866='112'!$I$6)),"x",""))</f>
        <v/>
      </c>
      <c r="T1866" s="525" t="str">
        <f>IF(ISERROR(FIND('112'!$M$9,G1866,1)),"",IF((AND(RIGHT(G1866,2)=RIGHT('112'!$M$9,2),B1866&lt;'112'!$N$8,$M1866='112'!$I$6)),"x",""))</f>
        <v/>
      </c>
      <c r="U1866" s="525" t="str">
        <f>IF(AND(B1866&gt;='IN-NX'!$P$3,B1866&lt;='IN-NX'!$Q$3,'IN-NX'!$D$7=D1866,OR(LEFT(L1866,2)="15",AND(LEFT(M1866,2)&lt;&gt;"15",LEFT(M1866,2)&lt;&gt;"33"))),"x","")</f>
        <v/>
      </c>
      <c r="V1866" s="525" t="str">
        <f>IF(AND(OR(LEFT(TH!L1866,2)="15",LEFT(TH!M1866,2)="15"),'152-CT'!$J$8=TH!F1866),"x","")</f>
        <v/>
      </c>
      <c r="W1866" s="525" t="str">
        <f>IF(AND(OR(LEFT(TH!L1866,2)="15",LEFT(TH!M1866,2)="15"),TK!$E$7=TH!F1866),"x","")</f>
        <v/>
      </c>
      <c r="X1866" s="525" t="str">
        <f>IF(AND('341-CT'!$E$9=H1866,OR(LEFT(L1866,3)=$X$7,LEFT(M1866,3)=$X$7)),"x","")</f>
        <v/>
      </c>
      <c r="Y1866" s="525" t="str">
        <f>IF(OR(TH!L1866=TH!$Y$7,M1866=TH!$Y$7),"x","")</f>
        <v/>
      </c>
      <c r="Z1866" s="525" t="str">
        <f>IF(AND(B1866&lt;=NKC!$N$8,B1866&gt;=NKC!$M$8),"x","")</f>
        <v>x</v>
      </c>
      <c r="AA1866" s="535"/>
    </row>
    <row r="1867" spans="1:31" s="503" customFormat="1" ht="15.75" customHeight="1">
      <c r="A1867" s="517" t="str">
        <f>IF(B1867&lt;&gt;"",IF(AND(B1867&gt;=_TM1,B1867&lt;=_TM2,OR(TH!L1867="1111",TH!M1867="1111")),TH!D1867,""),"")</f>
        <v/>
      </c>
      <c r="B1867" s="531">
        <f t="shared" si="177"/>
        <v>3</v>
      </c>
      <c r="C1867" s="315">
        <f t="shared" si="178"/>
        <v>42825</v>
      </c>
      <c r="D1867" s="315" t="s">
        <v>996</v>
      </c>
      <c r="E1867" s="547">
        <v>42825</v>
      </c>
      <c r="F1867" s="249" t="s">
        <v>686</v>
      </c>
      <c r="G1867" s="538" t="s">
        <v>789</v>
      </c>
      <c r="H1867" s="473" t="s">
        <v>800</v>
      </c>
      <c r="I1867" s="307">
        <v>3</v>
      </c>
      <c r="J1867" s="307">
        <v>216090</v>
      </c>
      <c r="K1867" s="532">
        <f t="shared" si="179"/>
        <v>648270</v>
      </c>
      <c r="L1867" s="539" t="s">
        <v>160</v>
      </c>
      <c r="M1867" s="539" t="s">
        <v>292</v>
      </c>
      <c r="N1867" s="525" t="str">
        <f>IF(AND('331-CT'!$E$7=TH!H1867,OR(L1867="331",M1867="331")),"331",IF(AND(OR(L1867="131",M1867="131"),H1867='131-CT'!$E$7),"131",""))</f>
        <v/>
      </c>
      <c r="O1867" s="525" t="str">
        <f>IF(AND($B1867&gt;='111'!$N$11,$B1867&lt;='111'!$O$11,OR($L1867=$O$7,$M1867=$O$7)),"x","")</f>
        <v/>
      </c>
      <c r="P1867" s="525" t="str">
        <f>IF(AND($L1867=$O$7,$B1867&lt;'111'!$N$11),"x","")</f>
        <v/>
      </c>
      <c r="Q1867" s="525" t="str">
        <f>IF(AND($M1867=$O$7,$B1867&lt;'111'!$N$11),"x","")</f>
        <v/>
      </c>
      <c r="R1867" s="525" t="str">
        <f>IF(ISERROR(FIND('112'!$M$9,G1867,1)),"",IF((AND(FIND('112'!$M$9,G1867,1)&gt;=1,$B1867&gt;='112'!$N$8,$B1867&lt;='112'!$O$8,OR($L1867='112'!$I$6,$M1867='112'!$I$6))),"x",""))</f>
        <v/>
      </c>
      <c r="S1867" s="525" t="str">
        <f>IF(ISERROR(FIND('112'!$M$9,G1867,1)),"",IF((AND(LEFT(G1867,2)=LEFT('112'!$M$9,2),B1867&lt;'112'!$N$8,$L1867='112'!$I$6)),"x",""))</f>
        <v/>
      </c>
      <c r="T1867" s="525" t="str">
        <f>IF(ISERROR(FIND('112'!$M$9,G1867,1)),"",IF((AND(RIGHT(G1867,2)=RIGHT('112'!$M$9,2),B1867&lt;'112'!$N$8,$M1867='112'!$I$6)),"x",""))</f>
        <v/>
      </c>
      <c r="U1867" s="525" t="str">
        <f>IF(AND(B1867&gt;='IN-NX'!$P$3,B1867&lt;='IN-NX'!$Q$3,'IN-NX'!$D$7=D1867,OR(LEFT(L1867,2)="15",AND(LEFT(M1867,2)&lt;&gt;"15",LEFT(M1867,2)&lt;&gt;"33"))),"x","")</f>
        <v/>
      </c>
      <c r="V1867" s="525" t="str">
        <f>IF(AND(OR(LEFT(TH!L1867,2)="15",LEFT(TH!M1867,2)="15"),'152-CT'!$J$8=TH!F1867),"x","")</f>
        <v/>
      </c>
      <c r="W1867" s="525" t="str">
        <f>IF(AND(OR(LEFT(TH!L1867,2)="15",LEFT(TH!M1867,2)="15"),TK!$E$7=TH!F1867),"x","")</f>
        <v/>
      </c>
      <c r="X1867" s="525" t="str">
        <f>IF(AND('341-CT'!$E$9=H1867,OR(LEFT(L1867,3)=$X$7,LEFT(M1867,3)=$X$7)),"x","")</f>
        <v/>
      </c>
      <c r="Y1867" s="525" t="str">
        <f>IF(OR(TH!L1867=TH!$Y$7,M1867=TH!$Y$7),"x","")</f>
        <v/>
      </c>
      <c r="Z1867" s="525" t="str">
        <f>IF(AND(B1867&lt;=NKC!$N$8,B1867&gt;=NKC!$M$8),"x","")</f>
        <v>x</v>
      </c>
      <c r="AA1867" s="535"/>
    </row>
    <row r="1868" spans="1:31" s="503" customFormat="1" ht="15.75" customHeight="1">
      <c r="A1868" s="517" t="str">
        <f>IF(B1868&lt;&gt;"",IF(AND(B1868&gt;=_TM1,B1868&lt;=_TM2,OR(TH!L1868="1111",TH!M1868="1111")),TH!D1868,""),"")</f>
        <v/>
      </c>
      <c r="B1868" s="531">
        <f t="shared" si="177"/>
        <v>3</v>
      </c>
      <c r="C1868" s="315">
        <f t="shared" si="178"/>
        <v>42825</v>
      </c>
      <c r="D1868" s="315" t="s">
        <v>996</v>
      </c>
      <c r="E1868" s="548">
        <v>42825</v>
      </c>
      <c r="F1868" s="247" t="s">
        <v>797</v>
      </c>
      <c r="G1868" s="541" t="s">
        <v>789</v>
      </c>
      <c r="H1868" s="473" t="s">
        <v>800</v>
      </c>
      <c r="I1868" s="307">
        <v>38</v>
      </c>
      <c r="J1868" s="307">
        <v>41113</v>
      </c>
      <c r="K1868" s="532">
        <f t="shared" si="179"/>
        <v>1562294</v>
      </c>
      <c r="L1868" s="539" t="s">
        <v>160</v>
      </c>
      <c r="M1868" s="539" t="s">
        <v>292</v>
      </c>
      <c r="N1868" s="525" t="str">
        <f>IF(AND('331-CT'!$E$7=TH!H1868,OR(L1868="331",M1868="331")),"331",IF(AND(OR(L1868="131",M1868="131"),H1868='131-CT'!$E$7),"131",""))</f>
        <v/>
      </c>
      <c r="O1868" s="525" t="str">
        <f>IF(AND($B1868&gt;='111'!$N$11,$B1868&lt;='111'!$O$11,OR($L1868=$O$7,$M1868=$O$7)),"x","")</f>
        <v/>
      </c>
      <c r="P1868" s="525" t="str">
        <f>IF(AND($L1868=$O$7,$B1868&lt;'111'!$N$11),"x","")</f>
        <v/>
      </c>
      <c r="Q1868" s="525" t="str">
        <f>IF(AND($M1868=$O$7,$B1868&lt;'111'!$N$11),"x","")</f>
        <v/>
      </c>
      <c r="R1868" s="525" t="str">
        <f>IF(ISERROR(FIND('112'!$M$9,G1868,1)),"",IF((AND(FIND('112'!$M$9,G1868,1)&gt;=1,$B1868&gt;='112'!$N$8,$B1868&lt;='112'!$O$8,OR($L1868='112'!$I$6,$M1868='112'!$I$6))),"x",""))</f>
        <v/>
      </c>
      <c r="S1868" s="525" t="str">
        <f>IF(ISERROR(FIND('112'!$M$9,G1868,1)),"",IF((AND(LEFT(G1868,2)=LEFT('112'!$M$9,2),B1868&lt;'112'!$N$8,$L1868='112'!$I$6)),"x",""))</f>
        <v/>
      </c>
      <c r="T1868" s="525" t="str">
        <f>IF(ISERROR(FIND('112'!$M$9,G1868,1)),"",IF((AND(RIGHT(G1868,2)=RIGHT('112'!$M$9,2),B1868&lt;'112'!$N$8,$M1868='112'!$I$6)),"x",""))</f>
        <v/>
      </c>
      <c r="U1868" s="525" t="str">
        <f>IF(AND(B1868&gt;='IN-NX'!$P$3,B1868&lt;='IN-NX'!$Q$3,'IN-NX'!$D$7=D1868,OR(LEFT(L1868,2)="15",AND(LEFT(M1868,2)&lt;&gt;"15",LEFT(M1868,2)&lt;&gt;"33"))),"x","")</f>
        <v/>
      </c>
      <c r="V1868" s="525" t="str">
        <f>IF(AND(OR(LEFT(TH!L1868,2)="15",LEFT(TH!M1868,2)="15"),'152-CT'!$J$8=TH!F1868),"x","")</f>
        <v/>
      </c>
      <c r="W1868" s="525" t="str">
        <f>IF(AND(OR(LEFT(TH!L1868,2)="15",LEFT(TH!M1868,2)="15"),TK!$E$7=TH!F1868),"x","")</f>
        <v/>
      </c>
      <c r="X1868" s="525" t="str">
        <f>IF(AND('341-CT'!$E$9=H1868,OR(LEFT(L1868,3)=$X$7,LEFT(M1868,3)=$X$7)),"x","")</f>
        <v/>
      </c>
      <c r="Y1868" s="525" t="str">
        <f>IF(OR(TH!L1868=TH!$Y$7,M1868=TH!$Y$7),"x","")</f>
        <v/>
      </c>
      <c r="Z1868" s="525" t="str">
        <f>IF(AND(B1868&lt;=NKC!$N$8,B1868&gt;=NKC!$M$8),"x","")</f>
        <v>x</v>
      </c>
      <c r="AA1868" s="535"/>
      <c r="AB1868" s="536"/>
      <c r="AC1868" s="536"/>
      <c r="AD1868" s="536"/>
      <c r="AE1868" s="536"/>
    </row>
    <row r="1869" spans="1:31" s="503" customFormat="1" ht="15.75" customHeight="1">
      <c r="A1869" s="517" t="str">
        <f>IF(B1869&lt;&gt;"",IF(AND(B1869&gt;=_TM1,B1869&lt;=_TM2,OR(TH!L1869="1111",TH!M1869="1111")),TH!D1869,""),"")</f>
        <v/>
      </c>
      <c r="B1869" s="531">
        <f t="shared" si="177"/>
        <v>3</v>
      </c>
      <c r="C1869" s="315">
        <f t="shared" si="178"/>
        <v>42825</v>
      </c>
      <c r="D1869" s="315" t="s">
        <v>996</v>
      </c>
      <c r="E1869" s="548">
        <v>42825</v>
      </c>
      <c r="F1869" s="249" t="s">
        <v>680</v>
      </c>
      <c r="G1869" s="541" t="s">
        <v>789</v>
      </c>
      <c r="H1869" s="473" t="s">
        <v>800</v>
      </c>
      <c r="I1869" s="307">
        <v>56</v>
      </c>
      <c r="J1869" s="307">
        <v>78670</v>
      </c>
      <c r="K1869" s="532">
        <f t="shared" si="179"/>
        <v>4405520</v>
      </c>
      <c r="L1869" s="539" t="s">
        <v>160</v>
      </c>
      <c r="M1869" s="539" t="s">
        <v>292</v>
      </c>
      <c r="N1869" s="525" t="str">
        <f>IF(AND('331-CT'!$E$7=TH!H1869,OR(L1869="331",M1869="331")),"331",IF(AND(OR(L1869="131",M1869="131"),H1869='131-CT'!$E$7),"131",""))</f>
        <v/>
      </c>
      <c r="O1869" s="525" t="str">
        <f>IF(AND($B1869&gt;='111'!$N$11,$B1869&lt;='111'!$O$11,OR($L1869=$O$7,$M1869=$O$7)),"x","")</f>
        <v/>
      </c>
      <c r="P1869" s="525" t="str">
        <f>IF(AND($L1869=$O$7,$B1869&lt;'111'!$N$11),"x","")</f>
        <v/>
      </c>
      <c r="Q1869" s="525" t="str">
        <f>IF(AND($M1869=$O$7,$B1869&lt;'111'!$N$11),"x","")</f>
        <v/>
      </c>
      <c r="R1869" s="525" t="str">
        <f>IF(ISERROR(FIND('112'!$M$9,G1869,1)),"",IF((AND(FIND('112'!$M$9,G1869,1)&gt;=1,$B1869&gt;='112'!$N$8,$B1869&lt;='112'!$O$8,OR($L1869='112'!$I$6,$M1869='112'!$I$6))),"x",""))</f>
        <v/>
      </c>
      <c r="S1869" s="525" t="str">
        <f>IF(ISERROR(FIND('112'!$M$9,G1869,1)),"",IF((AND(LEFT(G1869,2)=LEFT('112'!$M$9,2),B1869&lt;'112'!$N$8,$L1869='112'!$I$6)),"x",""))</f>
        <v/>
      </c>
      <c r="T1869" s="525" t="str">
        <f>IF(ISERROR(FIND('112'!$M$9,G1869,1)),"",IF((AND(RIGHT(G1869,2)=RIGHT('112'!$M$9,2),B1869&lt;'112'!$N$8,$M1869='112'!$I$6)),"x",""))</f>
        <v/>
      </c>
      <c r="U1869" s="525" t="str">
        <f>IF(AND(B1869&gt;='IN-NX'!$P$3,B1869&lt;='IN-NX'!$Q$3,'IN-NX'!$D$7=D1869,OR(LEFT(L1869,2)="15",AND(LEFT(M1869,2)&lt;&gt;"15",LEFT(M1869,2)&lt;&gt;"33"))),"x","")</f>
        <v/>
      </c>
      <c r="V1869" s="525" t="str">
        <f>IF(AND(OR(LEFT(TH!L1869,2)="15",LEFT(TH!M1869,2)="15"),'152-CT'!$J$8=TH!F1869),"x","")</f>
        <v/>
      </c>
      <c r="W1869" s="525" t="str">
        <f>IF(AND(OR(LEFT(TH!L1869,2)="15",LEFT(TH!M1869,2)="15"),TK!$E$7=TH!F1869),"x","")</f>
        <v/>
      </c>
      <c r="X1869" s="525" t="str">
        <f>IF(AND('341-CT'!$E$9=H1869,OR(LEFT(L1869,3)=$X$7,LEFT(M1869,3)=$X$7)),"x","")</f>
        <v/>
      </c>
      <c r="Y1869" s="525" t="str">
        <f>IF(OR(TH!L1869=TH!$Y$7,M1869=TH!$Y$7),"x","")</f>
        <v/>
      </c>
      <c r="Z1869" s="525" t="str">
        <f>IF(AND(B1869&lt;=NKC!$N$8,B1869&gt;=NKC!$M$8),"x","")</f>
        <v>x</v>
      </c>
      <c r="AA1869" s="535"/>
      <c r="AB1869" s="536"/>
      <c r="AC1869" s="536"/>
      <c r="AD1869" s="536"/>
      <c r="AE1869" s="536"/>
    </row>
    <row r="1870" spans="1:31" s="503" customFormat="1" ht="15.75" customHeight="1">
      <c r="A1870" s="517" t="str">
        <f>IF(B1870&lt;&gt;"",IF(AND(B1870&gt;=_TM1,B1870&lt;=_TM2,OR(TH!L1870="1111",TH!M1870="1111")),TH!D1870,""),"")</f>
        <v/>
      </c>
      <c r="B1870" s="531">
        <f t="shared" si="177"/>
        <v>3</v>
      </c>
      <c r="C1870" s="315">
        <f t="shared" si="178"/>
        <v>42825</v>
      </c>
      <c r="D1870" s="315" t="s">
        <v>996</v>
      </c>
      <c r="E1870" s="548">
        <v>42825</v>
      </c>
      <c r="F1870" s="247" t="s">
        <v>625</v>
      </c>
      <c r="G1870" s="541" t="s">
        <v>789</v>
      </c>
      <c r="H1870" s="473" t="s">
        <v>800</v>
      </c>
      <c r="I1870" s="307">
        <v>8</v>
      </c>
      <c r="J1870" s="307">
        <v>37367</v>
      </c>
      <c r="K1870" s="532">
        <f t="shared" si="179"/>
        <v>298936</v>
      </c>
      <c r="L1870" s="539" t="s">
        <v>160</v>
      </c>
      <c r="M1870" s="539" t="s">
        <v>292</v>
      </c>
      <c r="N1870" s="525" t="str">
        <f>IF(AND('331-CT'!$E$7=TH!H1870,OR(L1870="331",M1870="331")),"331",IF(AND(OR(L1870="131",M1870="131"),H1870='131-CT'!$E$7),"131",""))</f>
        <v/>
      </c>
      <c r="O1870" s="525" t="str">
        <f>IF(AND($B1870&gt;='111'!$N$11,$B1870&lt;='111'!$O$11,OR($L1870=$O$7,$M1870=$O$7)),"x","")</f>
        <v/>
      </c>
      <c r="P1870" s="525" t="str">
        <f>IF(AND($L1870=$O$7,$B1870&lt;'111'!$N$11),"x","")</f>
        <v/>
      </c>
      <c r="Q1870" s="525" t="str">
        <f>IF(AND($M1870=$O$7,$B1870&lt;'111'!$N$11),"x","")</f>
        <v/>
      </c>
      <c r="R1870" s="525" t="str">
        <f>IF(ISERROR(FIND('112'!$M$9,G1870,1)),"",IF((AND(FIND('112'!$M$9,G1870,1)&gt;=1,$B1870&gt;='112'!$N$8,$B1870&lt;='112'!$O$8,OR($L1870='112'!$I$6,$M1870='112'!$I$6))),"x",""))</f>
        <v/>
      </c>
      <c r="S1870" s="525" t="str">
        <f>IF(ISERROR(FIND('112'!$M$9,G1870,1)),"",IF((AND(LEFT(G1870,2)=LEFT('112'!$M$9,2),B1870&lt;'112'!$N$8,$L1870='112'!$I$6)),"x",""))</f>
        <v/>
      </c>
      <c r="T1870" s="525" t="str">
        <f>IF(ISERROR(FIND('112'!$M$9,G1870,1)),"",IF((AND(RIGHT(G1870,2)=RIGHT('112'!$M$9,2),B1870&lt;'112'!$N$8,$M1870='112'!$I$6)),"x",""))</f>
        <v/>
      </c>
      <c r="U1870" s="525" t="str">
        <f>IF(AND(B1870&gt;='IN-NX'!$P$3,B1870&lt;='IN-NX'!$Q$3,'IN-NX'!$D$7=D1870,OR(LEFT(L1870,2)="15",AND(LEFT(M1870,2)&lt;&gt;"15",LEFT(M1870,2)&lt;&gt;"33"))),"x","")</f>
        <v/>
      </c>
      <c r="V1870" s="525" t="str">
        <f>IF(AND(OR(LEFT(TH!L1870,2)="15",LEFT(TH!M1870,2)="15"),'152-CT'!$J$8=TH!F1870),"x","")</f>
        <v/>
      </c>
      <c r="W1870" s="525" t="str">
        <f>IF(AND(OR(LEFT(TH!L1870,2)="15",LEFT(TH!M1870,2)="15"),TK!$E$7=TH!F1870),"x","")</f>
        <v/>
      </c>
      <c r="X1870" s="525" t="str">
        <f>IF(AND('341-CT'!$E$9=H1870,OR(LEFT(L1870,3)=$X$7,LEFT(M1870,3)=$X$7)),"x","")</f>
        <v/>
      </c>
      <c r="Y1870" s="525" t="str">
        <f>IF(OR(TH!L1870=TH!$Y$7,M1870=TH!$Y$7),"x","")</f>
        <v/>
      </c>
      <c r="Z1870" s="525" t="str">
        <f>IF(AND(B1870&lt;=NKC!$N$8,B1870&gt;=NKC!$M$8),"x","")</f>
        <v>x</v>
      </c>
      <c r="AA1870" s="535"/>
      <c r="AB1870" s="536"/>
      <c r="AC1870" s="536"/>
      <c r="AD1870" s="536"/>
      <c r="AE1870" s="536"/>
    </row>
    <row r="1871" spans="1:31" s="503" customFormat="1" ht="15.75" customHeight="1">
      <c r="A1871" s="517" t="str">
        <f>IF(B1871&lt;&gt;"",IF(AND(B1871&gt;=_TM1,B1871&lt;=_TM2,OR(TH!L1871="1111",TH!M1871="1111")),TH!D1871,""),"")</f>
        <v/>
      </c>
      <c r="B1871" s="531">
        <f t="shared" si="177"/>
        <v>3</v>
      </c>
      <c r="C1871" s="315">
        <f t="shared" si="178"/>
        <v>42825</v>
      </c>
      <c r="D1871" s="315" t="s">
        <v>996</v>
      </c>
      <c r="E1871" s="548">
        <v>42825</v>
      </c>
      <c r="F1871" s="247" t="s">
        <v>625</v>
      </c>
      <c r="G1871" s="541" t="s">
        <v>789</v>
      </c>
      <c r="H1871" s="473" t="s">
        <v>800</v>
      </c>
      <c r="I1871" s="307">
        <v>14</v>
      </c>
      <c r="J1871" s="307">
        <v>37367</v>
      </c>
      <c r="K1871" s="532">
        <f t="shared" si="179"/>
        <v>523138</v>
      </c>
      <c r="L1871" s="539" t="s">
        <v>160</v>
      </c>
      <c r="M1871" s="539" t="s">
        <v>292</v>
      </c>
      <c r="N1871" s="525" t="str">
        <f>IF(AND('331-CT'!$E$7=TH!H1871,OR(L1871="331",M1871="331")),"331",IF(AND(OR(L1871="131",M1871="131"),H1871='131-CT'!$E$7),"131",""))</f>
        <v/>
      </c>
      <c r="O1871" s="525" t="str">
        <f>IF(AND($B1871&gt;='111'!$N$11,$B1871&lt;='111'!$O$11,OR($L1871=$O$7,$M1871=$O$7)),"x","")</f>
        <v/>
      </c>
      <c r="P1871" s="525" t="str">
        <f>IF(AND($L1871=$O$7,$B1871&lt;'111'!$N$11),"x","")</f>
        <v/>
      </c>
      <c r="Q1871" s="525" t="str">
        <f>IF(AND($M1871=$O$7,$B1871&lt;'111'!$N$11),"x","")</f>
        <v/>
      </c>
      <c r="R1871" s="525" t="str">
        <f>IF(ISERROR(FIND('112'!$M$9,G1871,1)),"",IF((AND(FIND('112'!$M$9,G1871,1)&gt;=1,$B1871&gt;='112'!$N$8,$B1871&lt;='112'!$O$8,OR($L1871='112'!$I$6,$M1871='112'!$I$6))),"x",""))</f>
        <v/>
      </c>
      <c r="S1871" s="525" t="str">
        <f>IF(ISERROR(FIND('112'!$M$9,G1871,1)),"",IF((AND(LEFT(G1871,2)=LEFT('112'!$M$9,2),B1871&lt;'112'!$N$8,$L1871='112'!$I$6)),"x",""))</f>
        <v/>
      </c>
      <c r="T1871" s="525" t="str">
        <f>IF(ISERROR(FIND('112'!$M$9,G1871,1)),"",IF((AND(RIGHT(G1871,2)=RIGHT('112'!$M$9,2),B1871&lt;'112'!$N$8,$M1871='112'!$I$6)),"x",""))</f>
        <v/>
      </c>
      <c r="U1871" s="525" t="str">
        <f>IF(AND(B1871&gt;='IN-NX'!$P$3,B1871&lt;='IN-NX'!$Q$3,'IN-NX'!$D$7=D1871,OR(LEFT(L1871,2)="15",AND(LEFT(M1871,2)&lt;&gt;"15",LEFT(M1871,2)&lt;&gt;"33"))),"x","")</f>
        <v/>
      </c>
      <c r="V1871" s="525" t="str">
        <f>IF(AND(OR(LEFT(TH!L1871,2)="15",LEFT(TH!M1871,2)="15"),'152-CT'!$J$8=TH!F1871),"x","")</f>
        <v/>
      </c>
      <c r="W1871" s="525" t="str">
        <f>IF(AND(OR(LEFT(TH!L1871,2)="15",LEFT(TH!M1871,2)="15"),TK!$E$7=TH!F1871),"x","")</f>
        <v/>
      </c>
      <c r="X1871" s="525" t="str">
        <f>IF(AND('341-CT'!$E$9=H1871,OR(LEFT(L1871,3)=$X$7,LEFT(M1871,3)=$X$7)),"x","")</f>
        <v/>
      </c>
      <c r="Y1871" s="525" t="str">
        <f>IF(OR(TH!L1871=TH!$Y$7,M1871=TH!$Y$7),"x","")</f>
        <v/>
      </c>
      <c r="Z1871" s="525" t="str">
        <f>IF(AND(B1871&lt;=NKC!$N$8,B1871&gt;=NKC!$M$8),"x","")</f>
        <v>x</v>
      </c>
      <c r="AA1871" s="535"/>
      <c r="AB1871" s="536"/>
      <c r="AC1871" s="536"/>
      <c r="AD1871" s="536"/>
      <c r="AE1871" s="536"/>
    </row>
    <row r="1872" spans="1:31" s="503" customFormat="1" ht="15.75" customHeight="1">
      <c r="A1872" s="517" t="str">
        <f>IF(B1872&lt;&gt;"",IF(AND(B1872&gt;=_TM1,B1872&lt;=_TM2,OR(TH!L1872="1111",TH!M1872="1111")),TH!D1872,""),"")</f>
        <v/>
      </c>
      <c r="B1872" s="531">
        <f t="shared" si="177"/>
        <v>3</v>
      </c>
      <c r="C1872" s="315">
        <f t="shared" si="178"/>
        <v>42825</v>
      </c>
      <c r="D1872" s="315" t="s">
        <v>996</v>
      </c>
      <c r="E1872" s="548">
        <v>42825</v>
      </c>
      <c r="F1872" s="247" t="s">
        <v>624</v>
      </c>
      <c r="G1872" s="541" t="s">
        <v>789</v>
      </c>
      <c r="H1872" s="473" t="s">
        <v>800</v>
      </c>
      <c r="I1872" s="307">
        <v>12</v>
      </c>
      <c r="J1872" s="307">
        <v>34679</v>
      </c>
      <c r="K1872" s="532">
        <f t="shared" si="179"/>
        <v>416148</v>
      </c>
      <c r="L1872" s="539" t="s">
        <v>160</v>
      </c>
      <c r="M1872" s="539" t="s">
        <v>292</v>
      </c>
      <c r="N1872" s="525" t="str">
        <f>IF(AND('331-CT'!$E$7=TH!H1872,OR(L1872="331",M1872="331")),"331",IF(AND(OR(L1872="131",M1872="131"),H1872='131-CT'!$E$7),"131",""))</f>
        <v/>
      </c>
      <c r="O1872" s="525" t="str">
        <f>IF(AND($B1872&gt;='111'!$N$11,$B1872&lt;='111'!$O$11,OR($L1872=$O$7,$M1872=$O$7)),"x","")</f>
        <v/>
      </c>
      <c r="P1872" s="525" t="str">
        <f>IF(AND($L1872=$O$7,$B1872&lt;'111'!$N$11),"x","")</f>
        <v/>
      </c>
      <c r="Q1872" s="525" t="str">
        <f>IF(AND($M1872=$O$7,$B1872&lt;'111'!$N$11),"x","")</f>
        <v/>
      </c>
      <c r="R1872" s="525" t="str">
        <f>IF(ISERROR(FIND('112'!$M$9,G1872,1)),"",IF((AND(FIND('112'!$M$9,G1872,1)&gt;=1,$B1872&gt;='112'!$N$8,$B1872&lt;='112'!$O$8,OR($L1872='112'!$I$6,$M1872='112'!$I$6))),"x",""))</f>
        <v/>
      </c>
      <c r="S1872" s="525" t="str">
        <f>IF(ISERROR(FIND('112'!$M$9,G1872,1)),"",IF((AND(LEFT(G1872,2)=LEFT('112'!$M$9,2),B1872&lt;'112'!$N$8,$L1872='112'!$I$6)),"x",""))</f>
        <v/>
      </c>
      <c r="T1872" s="525" t="str">
        <f>IF(ISERROR(FIND('112'!$M$9,G1872,1)),"",IF((AND(RIGHT(G1872,2)=RIGHT('112'!$M$9,2),B1872&lt;'112'!$N$8,$M1872='112'!$I$6)),"x",""))</f>
        <v/>
      </c>
      <c r="U1872" s="525" t="str">
        <f>IF(AND(B1872&gt;='IN-NX'!$P$3,B1872&lt;='IN-NX'!$Q$3,'IN-NX'!$D$7=D1872,OR(LEFT(L1872,2)="15",AND(LEFT(M1872,2)&lt;&gt;"15",LEFT(M1872,2)&lt;&gt;"33"))),"x","")</f>
        <v/>
      </c>
      <c r="V1872" s="525" t="str">
        <f>IF(AND(OR(LEFT(TH!L1872,2)="15",LEFT(TH!M1872,2)="15"),'152-CT'!$J$8=TH!F1872),"x","")</f>
        <v/>
      </c>
      <c r="W1872" s="525" t="str">
        <f>IF(AND(OR(LEFT(TH!L1872,2)="15",LEFT(TH!M1872,2)="15"),TK!$E$7=TH!F1872),"x","")</f>
        <v/>
      </c>
      <c r="X1872" s="525" t="str">
        <f>IF(AND('341-CT'!$E$9=H1872,OR(LEFT(L1872,3)=$X$7,LEFT(M1872,3)=$X$7)),"x","")</f>
        <v/>
      </c>
      <c r="Y1872" s="525" t="str">
        <f>IF(OR(TH!L1872=TH!$Y$7,M1872=TH!$Y$7),"x","")</f>
        <v/>
      </c>
      <c r="Z1872" s="525" t="str">
        <f>IF(AND(B1872&lt;=NKC!$N$8,B1872&gt;=NKC!$M$8),"x","")</f>
        <v>x</v>
      </c>
      <c r="AA1872" s="535"/>
      <c r="AB1872" s="536"/>
      <c r="AC1872" s="536"/>
      <c r="AD1872" s="536"/>
      <c r="AE1872" s="536"/>
    </row>
    <row r="1873" spans="1:31" s="503" customFormat="1" ht="15.75" customHeight="1">
      <c r="A1873" s="517" t="str">
        <f>IF(B1873&lt;&gt;"",IF(AND(B1873&gt;=_TM1,B1873&lt;=_TM2,OR(TH!L1873="1111",TH!M1873="1111")),TH!D1873,""),"")</f>
        <v/>
      </c>
      <c r="B1873" s="531">
        <f t="shared" si="177"/>
        <v>3</v>
      </c>
      <c r="C1873" s="315">
        <f t="shared" si="178"/>
        <v>42825</v>
      </c>
      <c r="D1873" s="315" t="s">
        <v>996</v>
      </c>
      <c r="E1873" s="548">
        <v>42825</v>
      </c>
      <c r="F1873" s="247" t="s">
        <v>624</v>
      </c>
      <c r="G1873" s="541" t="s">
        <v>789</v>
      </c>
      <c r="H1873" s="473" t="s">
        <v>800</v>
      </c>
      <c r="I1873" s="307">
        <v>21</v>
      </c>
      <c r="J1873" s="307">
        <v>34679</v>
      </c>
      <c r="K1873" s="532">
        <f t="shared" si="179"/>
        <v>728259</v>
      </c>
      <c r="L1873" s="539" t="s">
        <v>160</v>
      </c>
      <c r="M1873" s="539" t="s">
        <v>292</v>
      </c>
      <c r="N1873" s="525" t="str">
        <f>IF(AND('331-CT'!$E$7=TH!H1873,OR(L1873="331",M1873="331")),"331",IF(AND(OR(L1873="131",M1873="131"),H1873='131-CT'!$E$7),"131",""))</f>
        <v/>
      </c>
      <c r="O1873" s="525" t="str">
        <f>IF(AND($B1873&gt;='111'!$N$11,$B1873&lt;='111'!$O$11,OR($L1873=$O$7,$M1873=$O$7)),"x","")</f>
        <v/>
      </c>
      <c r="P1873" s="525" t="str">
        <f>IF(AND($L1873=$O$7,$B1873&lt;'111'!$N$11),"x","")</f>
        <v/>
      </c>
      <c r="Q1873" s="525" t="str">
        <f>IF(AND($M1873=$O$7,$B1873&lt;'111'!$N$11),"x","")</f>
        <v/>
      </c>
      <c r="R1873" s="525" t="str">
        <f>IF(ISERROR(FIND('112'!$M$9,G1873,1)),"",IF((AND(FIND('112'!$M$9,G1873,1)&gt;=1,$B1873&gt;='112'!$N$8,$B1873&lt;='112'!$O$8,OR($L1873='112'!$I$6,$M1873='112'!$I$6))),"x",""))</f>
        <v/>
      </c>
      <c r="S1873" s="525" t="str">
        <f>IF(ISERROR(FIND('112'!$M$9,G1873,1)),"",IF((AND(LEFT(G1873,2)=LEFT('112'!$M$9,2),B1873&lt;'112'!$N$8,$L1873='112'!$I$6)),"x",""))</f>
        <v/>
      </c>
      <c r="T1873" s="525" t="str">
        <f>IF(ISERROR(FIND('112'!$M$9,G1873,1)),"",IF((AND(RIGHT(G1873,2)=RIGHT('112'!$M$9,2),B1873&lt;'112'!$N$8,$M1873='112'!$I$6)),"x",""))</f>
        <v/>
      </c>
      <c r="U1873" s="525" t="str">
        <f>IF(AND(B1873&gt;='IN-NX'!$P$3,B1873&lt;='IN-NX'!$Q$3,'IN-NX'!$D$7=D1873,OR(LEFT(L1873,2)="15",AND(LEFT(M1873,2)&lt;&gt;"15",LEFT(M1873,2)&lt;&gt;"33"))),"x","")</f>
        <v/>
      </c>
      <c r="V1873" s="525" t="str">
        <f>IF(AND(OR(LEFT(TH!L1873,2)="15",LEFT(TH!M1873,2)="15"),'152-CT'!$J$8=TH!F1873),"x","")</f>
        <v/>
      </c>
      <c r="W1873" s="525" t="str">
        <f>IF(AND(OR(LEFT(TH!L1873,2)="15",LEFT(TH!M1873,2)="15"),TK!$E$7=TH!F1873),"x","")</f>
        <v/>
      </c>
      <c r="X1873" s="525" t="str">
        <f>IF(AND('341-CT'!$E$9=H1873,OR(LEFT(L1873,3)=$X$7,LEFT(M1873,3)=$X$7)),"x","")</f>
        <v/>
      </c>
      <c r="Y1873" s="525" t="str">
        <f>IF(OR(TH!L1873=TH!$Y$7,M1873=TH!$Y$7),"x","")</f>
        <v/>
      </c>
      <c r="Z1873" s="525" t="str">
        <f>IF(AND(B1873&lt;=NKC!$N$8,B1873&gt;=NKC!$M$8),"x","")</f>
        <v>x</v>
      </c>
      <c r="AA1873" s="535"/>
      <c r="AB1873" s="536"/>
      <c r="AC1873" s="536"/>
      <c r="AD1873" s="536"/>
      <c r="AE1873" s="536"/>
    </row>
    <row r="1874" spans="1:31" s="503" customFormat="1" ht="15.75" customHeight="1">
      <c r="A1874" s="517" t="str">
        <f>IF(B1874&lt;&gt;"",IF(AND(B1874&gt;=_TM1,B1874&lt;=_TM2,OR(TH!L1874="1111",TH!M1874="1111")),TH!D1874,""),"")</f>
        <v/>
      </c>
      <c r="B1874" s="531">
        <f t="shared" si="177"/>
        <v>3</v>
      </c>
      <c r="C1874" s="315">
        <f t="shared" si="178"/>
        <v>42825</v>
      </c>
      <c r="D1874" s="315" t="s">
        <v>996</v>
      </c>
      <c r="E1874" s="548">
        <v>42825</v>
      </c>
      <c r="F1874" s="247" t="s">
        <v>798</v>
      </c>
      <c r="G1874" s="541" t="s">
        <v>789</v>
      </c>
      <c r="H1874" s="473" t="s">
        <v>800</v>
      </c>
      <c r="I1874" s="307">
        <v>20</v>
      </c>
      <c r="J1874" s="307">
        <v>75821</v>
      </c>
      <c r="K1874" s="532">
        <f t="shared" si="179"/>
        <v>1516420</v>
      </c>
      <c r="L1874" s="539" t="s">
        <v>160</v>
      </c>
      <c r="M1874" s="539" t="s">
        <v>292</v>
      </c>
      <c r="N1874" s="525" t="str">
        <f>IF(AND('331-CT'!$E$7=TH!H1874,OR(L1874="331",M1874="331")),"331",IF(AND(OR(L1874="131",M1874="131"),H1874='131-CT'!$E$7),"131",""))</f>
        <v/>
      </c>
      <c r="O1874" s="525" t="str">
        <f>IF(AND($B1874&gt;='111'!$N$11,$B1874&lt;='111'!$O$11,OR($L1874=$O$7,$M1874=$O$7)),"x","")</f>
        <v/>
      </c>
      <c r="P1874" s="525" t="str">
        <f>IF(AND($L1874=$O$7,$B1874&lt;'111'!$N$11),"x","")</f>
        <v/>
      </c>
      <c r="Q1874" s="525" t="str">
        <f>IF(AND($M1874=$O$7,$B1874&lt;'111'!$N$11),"x","")</f>
        <v/>
      </c>
      <c r="R1874" s="525" t="str">
        <f>IF(ISERROR(FIND('112'!$M$9,G1874,1)),"",IF((AND(FIND('112'!$M$9,G1874,1)&gt;=1,$B1874&gt;='112'!$N$8,$B1874&lt;='112'!$O$8,OR($L1874='112'!$I$6,$M1874='112'!$I$6))),"x",""))</f>
        <v/>
      </c>
      <c r="S1874" s="525" t="str">
        <f>IF(ISERROR(FIND('112'!$M$9,G1874,1)),"",IF((AND(LEFT(G1874,2)=LEFT('112'!$M$9,2),B1874&lt;'112'!$N$8,$L1874='112'!$I$6)),"x",""))</f>
        <v/>
      </c>
      <c r="T1874" s="525" t="str">
        <f>IF(ISERROR(FIND('112'!$M$9,G1874,1)),"",IF((AND(RIGHT(G1874,2)=RIGHT('112'!$M$9,2),B1874&lt;'112'!$N$8,$M1874='112'!$I$6)),"x",""))</f>
        <v/>
      </c>
      <c r="U1874" s="525" t="str">
        <f>IF(AND(B1874&gt;='IN-NX'!$P$3,B1874&lt;='IN-NX'!$Q$3,'IN-NX'!$D$7=D1874,OR(LEFT(L1874,2)="15",AND(LEFT(M1874,2)&lt;&gt;"15",LEFT(M1874,2)&lt;&gt;"33"))),"x","")</f>
        <v/>
      </c>
      <c r="V1874" s="525" t="str">
        <f>IF(AND(OR(LEFT(TH!L1874,2)="15",LEFT(TH!M1874,2)="15"),'152-CT'!$J$8=TH!F1874),"x","")</f>
        <v/>
      </c>
      <c r="W1874" s="525" t="str">
        <f>IF(AND(OR(LEFT(TH!L1874,2)="15",LEFT(TH!M1874,2)="15"),TK!$E$7=TH!F1874),"x","")</f>
        <v/>
      </c>
      <c r="X1874" s="525" t="str">
        <f>IF(AND('341-CT'!$E$9=H1874,OR(LEFT(L1874,3)=$X$7,LEFT(M1874,3)=$X$7)),"x","")</f>
        <v/>
      </c>
      <c r="Y1874" s="525" t="str">
        <f>IF(OR(TH!L1874=TH!$Y$7,M1874=TH!$Y$7),"x","")</f>
        <v/>
      </c>
      <c r="Z1874" s="525" t="str">
        <f>IF(AND(B1874&lt;=NKC!$N$8,B1874&gt;=NKC!$M$8),"x","")</f>
        <v>x</v>
      </c>
      <c r="AA1874" s="535"/>
      <c r="AB1874" s="536"/>
      <c r="AC1874" s="536"/>
      <c r="AD1874" s="536"/>
      <c r="AE1874" s="536"/>
    </row>
    <row r="1875" spans="1:31" s="503" customFormat="1" ht="15.75" customHeight="1">
      <c r="A1875" s="517" t="str">
        <f>IF(B1875&lt;&gt;"",IF(AND(B1875&gt;=_TM1,B1875&lt;=_TM2,OR(TH!L1875="1111",TH!M1875="1111")),TH!D1875,""),"")</f>
        <v/>
      </c>
      <c r="B1875" s="531">
        <f t="shared" si="177"/>
        <v>3</v>
      </c>
      <c r="C1875" s="315">
        <f t="shared" si="178"/>
        <v>42825</v>
      </c>
      <c r="D1875" s="315" t="s">
        <v>996</v>
      </c>
      <c r="E1875" s="548">
        <v>42825</v>
      </c>
      <c r="F1875" s="247" t="s">
        <v>687</v>
      </c>
      <c r="G1875" s="541" t="s">
        <v>789</v>
      </c>
      <c r="H1875" s="473" t="s">
        <v>800</v>
      </c>
      <c r="I1875" s="307">
        <v>8</v>
      </c>
      <c r="J1875" s="307">
        <v>41340</v>
      </c>
      <c r="K1875" s="532">
        <f t="shared" si="179"/>
        <v>330720</v>
      </c>
      <c r="L1875" s="539" t="s">
        <v>160</v>
      </c>
      <c r="M1875" s="539" t="s">
        <v>292</v>
      </c>
      <c r="N1875" s="525" t="str">
        <f>IF(AND('331-CT'!$E$7=TH!H1875,OR(L1875="331",M1875="331")),"331",IF(AND(OR(L1875="131",M1875="131"),H1875='131-CT'!$E$7),"131",""))</f>
        <v/>
      </c>
      <c r="O1875" s="525" t="str">
        <f>IF(AND($B1875&gt;='111'!$N$11,$B1875&lt;='111'!$O$11,OR($L1875=$O$7,$M1875=$O$7)),"x","")</f>
        <v/>
      </c>
      <c r="P1875" s="525" t="str">
        <f>IF(AND($L1875=$O$7,$B1875&lt;'111'!$N$11),"x","")</f>
        <v/>
      </c>
      <c r="Q1875" s="525" t="str">
        <f>IF(AND($M1875=$O$7,$B1875&lt;'111'!$N$11),"x","")</f>
        <v/>
      </c>
      <c r="R1875" s="525" t="str">
        <f>IF(ISERROR(FIND('112'!$M$9,G1875,1)),"",IF((AND(FIND('112'!$M$9,G1875,1)&gt;=1,$B1875&gt;='112'!$N$8,$B1875&lt;='112'!$O$8,OR($L1875='112'!$I$6,$M1875='112'!$I$6))),"x",""))</f>
        <v/>
      </c>
      <c r="S1875" s="525" t="str">
        <f>IF(ISERROR(FIND('112'!$M$9,G1875,1)),"",IF((AND(LEFT(G1875,2)=LEFT('112'!$M$9,2),B1875&lt;'112'!$N$8,$L1875='112'!$I$6)),"x",""))</f>
        <v/>
      </c>
      <c r="T1875" s="525" t="str">
        <f>IF(ISERROR(FIND('112'!$M$9,G1875,1)),"",IF((AND(RIGHT(G1875,2)=RIGHT('112'!$M$9,2),B1875&lt;'112'!$N$8,$M1875='112'!$I$6)),"x",""))</f>
        <v/>
      </c>
      <c r="U1875" s="525" t="str">
        <f>IF(AND(B1875&gt;='IN-NX'!$P$3,B1875&lt;='IN-NX'!$Q$3,'IN-NX'!$D$7=D1875,OR(LEFT(L1875,2)="15",AND(LEFT(M1875,2)&lt;&gt;"15",LEFT(M1875,2)&lt;&gt;"33"))),"x","")</f>
        <v/>
      </c>
      <c r="V1875" s="525" t="str">
        <f>IF(AND(OR(LEFT(TH!L1875,2)="15",LEFT(TH!M1875,2)="15"),'152-CT'!$J$8=TH!F1875),"x","")</f>
        <v/>
      </c>
      <c r="W1875" s="525" t="str">
        <f>IF(AND(OR(LEFT(TH!L1875,2)="15",LEFT(TH!M1875,2)="15"),TK!$E$7=TH!F1875),"x","")</f>
        <v/>
      </c>
      <c r="X1875" s="525" t="str">
        <f>IF(AND('341-CT'!$E$9=H1875,OR(LEFT(L1875,3)=$X$7,LEFT(M1875,3)=$X$7)),"x","")</f>
        <v/>
      </c>
      <c r="Y1875" s="525" t="str">
        <f>IF(OR(TH!L1875=TH!$Y$7,M1875=TH!$Y$7),"x","")</f>
        <v/>
      </c>
      <c r="Z1875" s="525" t="str">
        <f>IF(AND(B1875&lt;=NKC!$N$8,B1875&gt;=NKC!$M$8),"x","")</f>
        <v>x</v>
      </c>
      <c r="AA1875" s="535"/>
      <c r="AB1875" s="536"/>
      <c r="AE1875" s="536"/>
    </row>
    <row r="1876" spans="1:31" s="503" customFormat="1" ht="15.75" customHeight="1">
      <c r="A1876" s="517" t="str">
        <f>IF(B1876&lt;&gt;"",IF(AND(B1876&gt;=_TM1,B1876&lt;=_TM2,OR(TH!L1876="1111",TH!M1876="1111")),TH!D1876,""),"")</f>
        <v/>
      </c>
      <c r="B1876" s="531">
        <f t="shared" si="177"/>
        <v>3</v>
      </c>
      <c r="C1876" s="315">
        <f t="shared" si="178"/>
        <v>42825</v>
      </c>
      <c r="D1876" s="315" t="s">
        <v>996</v>
      </c>
      <c r="E1876" s="548">
        <v>42825</v>
      </c>
      <c r="F1876" s="247" t="s">
        <v>687</v>
      </c>
      <c r="G1876" s="541" t="s">
        <v>789</v>
      </c>
      <c r="H1876" s="473" t="s">
        <v>800</v>
      </c>
      <c r="I1876" s="307">
        <v>6</v>
      </c>
      <c r="J1876" s="307">
        <v>41340</v>
      </c>
      <c r="K1876" s="532">
        <f t="shared" si="179"/>
        <v>248040</v>
      </c>
      <c r="L1876" s="539" t="s">
        <v>160</v>
      </c>
      <c r="M1876" s="539" t="s">
        <v>292</v>
      </c>
      <c r="N1876" s="525" t="str">
        <f>IF(AND('331-CT'!$E$7=TH!H1876,OR(L1876="331",M1876="331")),"331",IF(AND(OR(L1876="131",M1876="131"),H1876='131-CT'!$E$7),"131",""))</f>
        <v/>
      </c>
      <c r="O1876" s="525" t="str">
        <f>IF(AND($B1876&gt;='111'!$N$11,$B1876&lt;='111'!$O$11,OR($L1876=$O$7,$M1876=$O$7)),"x","")</f>
        <v/>
      </c>
      <c r="P1876" s="525" t="str">
        <f>IF(AND($L1876=$O$7,$B1876&lt;'111'!$N$11),"x","")</f>
        <v/>
      </c>
      <c r="Q1876" s="525" t="str">
        <f>IF(AND($M1876=$O$7,$B1876&lt;'111'!$N$11),"x","")</f>
        <v/>
      </c>
      <c r="R1876" s="525" t="str">
        <f>IF(ISERROR(FIND('112'!$M$9,G1876,1)),"",IF((AND(FIND('112'!$M$9,G1876,1)&gt;=1,$B1876&gt;='112'!$N$8,$B1876&lt;='112'!$O$8,OR($L1876='112'!$I$6,$M1876='112'!$I$6))),"x",""))</f>
        <v/>
      </c>
      <c r="S1876" s="525" t="str">
        <f>IF(ISERROR(FIND('112'!$M$9,G1876,1)),"",IF((AND(LEFT(G1876,2)=LEFT('112'!$M$9,2),B1876&lt;'112'!$N$8,$L1876='112'!$I$6)),"x",""))</f>
        <v/>
      </c>
      <c r="T1876" s="525" t="str">
        <f>IF(ISERROR(FIND('112'!$M$9,G1876,1)),"",IF((AND(RIGHT(G1876,2)=RIGHT('112'!$M$9,2),B1876&lt;'112'!$N$8,$M1876='112'!$I$6)),"x",""))</f>
        <v/>
      </c>
      <c r="U1876" s="525" t="str">
        <f>IF(AND(B1876&gt;='IN-NX'!$P$3,B1876&lt;='IN-NX'!$Q$3,'IN-NX'!$D$7=D1876,OR(LEFT(L1876,2)="15",AND(LEFT(M1876,2)&lt;&gt;"15",LEFT(M1876,2)&lt;&gt;"33"))),"x","")</f>
        <v/>
      </c>
      <c r="V1876" s="525" t="str">
        <f>IF(AND(OR(LEFT(TH!L1876,2)="15",LEFT(TH!M1876,2)="15"),'152-CT'!$J$8=TH!F1876),"x","")</f>
        <v/>
      </c>
      <c r="W1876" s="525" t="str">
        <f>IF(AND(OR(LEFT(TH!L1876,2)="15",LEFT(TH!M1876,2)="15"),TK!$E$7=TH!F1876),"x","")</f>
        <v/>
      </c>
      <c r="X1876" s="525" t="str">
        <f>IF(AND('341-CT'!$E$9=H1876,OR(LEFT(L1876,3)=$X$7,LEFT(M1876,3)=$X$7)),"x","")</f>
        <v/>
      </c>
      <c r="Y1876" s="525" t="str">
        <f>IF(OR(TH!L1876=TH!$Y$7,M1876=TH!$Y$7),"x","")</f>
        <v/>
      </c>
      <c r="Z1876" s="525" t="str">
        <f>IF(AND(B1876&lt;=NKC!$N$8,B1876&gt;=NKC!$M$8),"x","")</f>
        <v>x</v>
      </c>
      <c r="AA1876" s="535"/>
      <c r="AB1876" s="536"/>
      <c r="AE1876" s="536"/>
    </row>
    <row r="1877" spans="1:31" s="503" customFormat="1" ht="15.75" customHeight="1">
      <c r="A1877" s="517" t="str">
        <f>IF(B1877&lt;&gt;"",IF(AND(B1877&gt;=_TM1,B1877&lt;=_TM2,OR(TH!L1877="1111",TH!M1877="1111")),TH!D1877,""),"")</f>
        <v/>
      </c>
      <c r="B1877" s="531">
        <f t="shared" si="177"/>
        <v>3</v>
      </c>
      <c r="C1877" s="315">
        <f t="shared" si="178"/>
        <v>42825</v>
      </c>
      <c r="D1877" s="315" t="s">
        <v>996</v>
      </c>
      <c r="E1877" s="548">
        <v>42825</v>
      </c>
      <c r="F1877" s="247" t="s">
        <v>629</v>
      </c>
      <c r="G1877" s="541" t="s">
        <v>789</v>
      </c>
      <c r="H1877" s="473" t="s">
        <v>800</v>
      </c>
      <c r="I1877" s="307">
        <v>32</v>
      </c>
      <c r="J1877" s="307">
        <v>24752</v>
      </c>
      <c r="K1877" s="532">
        <f t="shared" si="179"/>
        <v>792064</v>
      </c>
      <c r="L1877" s="539" t="s">
        <v>160</v>
      </c>
      <c r="M1877" s="539" t="s">
        <v>292</v>
      </c>
      <c r="N1877" s="525" t="str">
        <f>IF(AND('331-CT'!$E$7=TH!H1877,OR(L1877="331",M1877="331")),"331",IF(AND(OR(L1877="131",M1877="131"),H1877='131-CT'!$E$7),"131",""))</f>
        <v/>
      </c>
      <c r="O1877" s="525" t="str">
        <f>IF(AND($B1877&gt;='111'!$N$11,$B1877&lt;='111'!$O$11,OR($L1877=$O$7,$M1877=$O$7)),"x","")</f>
        <v/>
      </c>
      <c r="P1877" s="525" t="str">
        <f>IF(AND($L1877=$O$7,$B1877&lt;'111'!$N$11),"x","")</f>
        <v/>
      </c>
      <c r="Q1877" s="525" t="str">
        <f>IF(AND($M1877=$O$7,$B1877&lt;'111'!$N$11),"x","")</f>
        <v/>
      </c>
      <c r="R1877" s="525" t="str">
        <f>IF(ISERROR(FIND('112'!$M$9,G1877,1)),"",IF((AND(FIND('112'!$M$9,G1877,1)&gt;=1,$B1877&gt;='112'!$N$8,$B1877&lt;='112'!$O$8,OR($L1877='112'!$I$6,$M1877='112'!$I$6))),"x",""))</f>
        <v/>
      </c>
      <c r="S1877" s="525" t="str">
        <f>IF(ISERROR(FIND('112'!$M$9,G1877,1)),"",IF((AND(LEFT(G1877,2)=LEFT('112'!$M$9,2),B1877&lt;'112'!$N$8,$L1877='112'!$I$6)),"x",""))</f>
        <v/>
      </c>
      <c r="T1877" s="525" t="str">
        <f>IF(ISERROR(FIND('112'!$M$9,G1877,1)),"",IF((AND(RIGHT(G1877,2)=RIGHT('112'!$M$9,2),B1877&lt;'112'!$N$8,$M1877='112'!$I$6)),"x",""))</f>
        <v/>
      </c>
      <c r="U1877" s="525" t="str">
        <f>IF(AND(B1877&gt;='IN-NX'!$P$3,B1877&lt;='IN-NX'!$Q$3,'IN-NX'!$D$7=D1877,OR(LEFT(L1877,2)="15",AND(LEFT(M1877,2)&lt;&gt;"15",LEFT(M1877,2)&lt;&gt;"33"))),"x","")</f>
        <v/>
      </c>
      <c r="V1877" s="525" t="str">
        <f>IF(AND(OR(LEFT(TH!L1877,2)="15",LEFT(TH!M1877,2)="15"),'152-CT'!$J$8=TH!F1877),"x","")</f>
        <v/>
      </c>
      <c r="W1877" s="525" t="str">
        <f>IF(AND(OR(LEFT(TH!L1877,2)="15",LEFT(TH!M1877,2)="15"),TK!$E$7=TH!F1877),"x","")</f>
        <v/>
      </c>
      <c r="X1877" s="525" t="str">
        <f>IF(AND('341-CT'!$E$9=H1877,OR(LEFT(L1877,3)=$X$7,LEFT(M1877,3)=$X$7)),"x","")</f>
        <v/>
      </c>
      <c r="Y1877" s="525" t="str">
        <f>IF(OR(TH!L1877=TH!$Y$7,M1877=TH!$Y$7),"x","")</f>
        <v/>
      </c>
      <c r="Z1877" s="525" t="str">
        <f>IF(AND(B1877&lt;=NKC!$N$8,B1877&gt;=NKC!$M$8),"x","")</f>
        <v>x</v>
      </c>
      <c r="AA1877" s="535"/>
      <c r="AB1877" s="536"/>
      <c r="AC1877" s="536"/>
      <c r="AD1877" s="536"/>
      <c r="AE1877" s="536"/>
    </row>
    <row r="1878" spans="1:31" s="503" customFormat="1" ht="15.75" customHeight="1">
      <c r="A1878" s="517" t="str">
        <f>IF(B1878&lt;&gt;"",IF(AND(B1878&gt;=_TM1,B1878&lt;=_TM2,OR(TH!L1878="1111",TH!M1878="1111")),TH!D1878,""),"")</f>
        <v/>
      </c>
      <c r="B1878" s="531">
        <f t="shared" si="177"/>
        <v>3</v>
      </c>
      <c r="C1878" s="315">
        <f t="shared" si="178"/>
        <v>42825</v>
      </c>
      <c r="D1878" s="315" t="s">
        <v>996</v>
      </c>
      <c r="E1878" s="548">
        <v>42825</v>
      </c>
      <c r="F1878" s="247" t="s">
        <v>629</v>
      </c>
      <c r="G1878" s="541" t="s">
        <v>789</v>
      </c>
      <c r="H1878" s="473" t="s">
        <v>800</v>
      </c>
      <c r="I1878" s="307">
        <v>62</v>
      </c>
      <c r="J1878" s="307">
        <v>24752</v>
      </c>
      <c r="K1878" s="532">
        <f t="shared" si="179"/>
        <v>1534624</v>
      </c>
      <c r="L1878" s="539" t="s">
        <v>160</v>
      </c>
      <c r="M1878" s="539" t="s">
        <v>292</v>
      </c>
      <c r="N1878" s="525" t="str">
        <f>IF(AND('331-CT'!$E$7=TH!H1878,OR(L1878="331",M1878="331")),"331",IF(AND(OR(L1878="131",M1878="131"),H1878='131-CT'!$E$7),"131",""))</f>
        <v/>
      </c>
      <c r="O1878" s="525" t="str">
        <f>IF(AND($B1878&gt;='111'!$N$11,$B1878&lt;='111'!$O$11,OR($L1878=$O$7,$M1878=$O$7)),"x","")</f>
        <v/>
      </c>
      <c r="P1878" s="525" t="str">
        <f>IF(AND($L1878=$O$7,$B1878&lt;'111'!$N$11),"x","")</f>
        <v/>
      </c>
      <c r="Q1878" s="525" t="str">
        <f>IF(AND($M1878=$O$7,$B1878&lt;'111'!$N$11),"x","")</f>
        <v/>
      </c>
      <c r="R1878" s="525" t="str">
        <f>IF(ISERROR(FIND('112'!$M$9,G1878,1)),"",IF((AND(FIND('112'!$M$9,G1878,1)&gt;=1,$B1878&gt;='112'!$N$8,$B1878&lt;='112'!$O$8,OR($L1878='112'!$I$6,$M1878='112'!$I$6))),"x",""))</f>
        <v/>
      </c>
      <c r="S1878" s="525" t="str">
        <f>IF(ISERROR(FIND('112'!$M$9,G1878,1)),"",IF((AND(LEFT(G1878,2)=LEFT('112'!$M$9,2),B1878&lt;'112'!$N$8,$L1878='112'!$I$6)),"x",""))</f>
        <v/>
      </c>
      <c r="T1878" s="525" t="str">
        <f>IF(ISERROR(FIND('112'!$M$9,G1878,1)),"",IF((AND(RIGHT(G1878,2)=RIGHT('112'!$M$9,2),B1878&lt;'112'!$N$8,$M1878='112'!$I$6)),"x",""))</f>
        <v/>
      </c>
      <c r="U1878" s="525" t="str">
        <f>IF(AND(B1878&gt;='IN-NX'!$P$3,B1878&lt;='IN-NX'!$Q$3,'IN-NX'!$D$7=D1878,OR(LEFT(L1878,2)="15",AND(LEFT(M1878,2)&lt;&gt;"15",LEFT(M1878,2)&lt;&gt;"33"))),"x","")</f>
        <v/>
      </c>
      <c r="V1878" s="525" t="str">
        <f>IF(AND(OR(LEFT(TH!L1878,2)="15",LEFT(TH!M1878,2)="15"),'152-CT'!$J$8=TH!F1878),"x","")</f>
        <v/>
      </c>
      <c r="W1878" s="525" t="str">
        <f>IF(AND(OR(LEFT(TH!L1878,2)="15",LEFT(TH!M1878,2)="15"),TK!$E$7=TH!F1878),"x","")</f>
        <v/>
      </c>
      <c r="X1878" s="525" t="str">
        <f>IF(AND('341-CT'!$E$9=H1878,OR(LEFT(L1878,3)=$X$7,LEFT(M1878,3)=$X$7)),"x","")</f>
        <v/>
      </c>
      <c r="Y1878" s="525" t="str">
        <f>IF(OR(TH!L1878=TH!$Y$7,M1878=TH!$Y$7),"x","")</f>
        <v/>
      </c>
      <c r="Z1878" s="525" t="str">
        <f>IF(AND(B1878&lt;=NKC!$N$8,B1878&gt;=NKC!$M$8),"x","")</f>
        <v>x</v>
      </c>
      <c r="AA1878" s="535"/>
      <c r="AB1878" s="536"/>
      <c r="AC1878" s="536"/>
      <c r="AD1878" s="536"/>
      <c r="AE1878" s="536"/>
    </row>
    <row r="1879" spans="1:31" s="503" customFormat="1" ht="15.75" customHeight="1">
      <c r="A1879" s="517" t="str">
        <f>IF(B1879&lt;&gt;"",IF(AND(B1879&gt;=_TM1,B1879&lt;=_TM2,OR(TH!L1879="1111",TH!M1879="1111")),TH!D1879,""),"")</f>
        <v/>
      </c>
      <c r="B1879" s="531">
        <f t="shared" si="177"/>
        <v>3</v>
      </c>
      <c r="C1879" s="315">
        <f t="shared" si="178"/>
        <v>42825</v>
      </c>
      <c r="D1879" s="315" t="s">
        <v>996</v>
      </c>
      <c r="E1879" s="548">
        <v>42825</v>
      </c>
      <c r="F1879" s="247" t="s">
        <v>760</v>
      </c>
      <c r="G1879" s="541" t="s">
        <v>789</v>
      </c>
      <c r="H1879" s="473" t="s">
        <v>800</v>
      </c>
      <c r="I1879" s="307">
        <v>10</v>
      </c>
      <c r="J1879" s="307">
        <v>26300</v>
      </c>
      <c r="K1879" s="532">
        <f t="shared" si="179"/>
        <v>263000</v>
      </c>
      <c r="L1879" s="539" t="s">
        <v>160</v>
      </c>
      <c r="M1879" s="539" t="s">
        <v>292</v>
      </c>
      <c r="N1879" s="525" t="str">
        <f>IF(AND('331-CT'!$E$7=TH!H1879,OR(L1879="331",M1879="331")),"331",IF(AND(OR(L1879="131",M1879="131"),H1879='131-CT'!$E$7),"131",""))</f>
        <v/>
      </c>
      <c r="O1879" s="525" t="str">
        <f>IF(AND($B1879&gt;='111'!$N$11,$B1879&lt;='111'!$O$11,OR($L1879=$O$7,$M1879=$O$7)),"x","")</f>
        <v/>
      </c>
      <c r="P1879" s="525" t="str">
        <f>IF(AND($L1879=$O$7,$B1879&lt;'111'!$N$11),"x","")</f>
        <v/>
      </c>
      <c r="Q1879" s="525" t="str">
        <f>IF(AND($M1879=$O$7,$B1879&lt;'111'!$N$11),"x","")</f>
        <v/>
      </c>
      <c r="R1879" s="525" t="str">
        <f>IF(ISERROR(FIND('112'!$M$9,G1879,1)),"",IF((AND(FIND('112'!$M$9,G1879,1)&gt;=1,$B1879&gt;='112'!$N$8,$B1879&lt;='112'!$O$8,OR($L1879='112'!$I$6,$M1879='112'!$I$6))),"x",""))</f>
        <v/>
      </c>
      <c r="S1879" s="525" t="str">
        <f>IF(ISERROR(FIND('112'!$M$9,G1879,1)),"",IF((AND(LEFT(G1879,2)=LEFT('112'!$M$9,2),B1879&lt;'112'!$N$8,$L1879='112'!$I$6)),"x",""))</f>
        <v/>
      </c>
      <c r="T1879" s="525" t="str">
        <f>IF(ISERROR(FIND('112'!$M$9,G1879,1)),"",IF((AND(RIGHT(G1879,2)=RIGHT('112'!$M$9,2),B1879&lt;'112'!$N$8,$M1879='112'!$I$6)),"x",""))</f>
        <v/>
      </c>
      <c r="U1879" s="525" t="str">
        <f>IF(AND(B1879&gt;='IN-NX'!$P$3,B1879&lt;='IN-NX'!$Q$3,'IN-NX'!$D$7=D1879,OR(LEFT(L1879,2)="15",AND(LEFT(M1879,2)&lt;&gt;"15",LEFT(M1879,2)&lt;&gt;"33"))),"x","")</f>
        <v/>
      </c>
      <c r="V1879" s="525" t="str">
        <f>IF(AND(OR(LEFT(TH!L1879,2)="15",LEFT(TH!M1879,2)="15"),'152-CT'!$J$8=TH!F1879),"x","")</f>
        <v/>
      </c>
      <c r="W1879" s="525" t="str">
        <f>IF(AND(OR(LEFT(TH!L1879,2)="15",LEFT(TH!M1879,2)="15"),TK!$E$7=TH!F1879),"x","")</f>
        <v/>
      </c>
      <c r="X1879" s="525" t="str">
        <f>IF(AND('341-CT'!$E$9=H1879,OR(LEFT(L1879,3)=$X$7,LEFT(M1879,3)=$X$7)),"x","")</f>
        <v/>
      </c>
      <c r="Y1879" s="525" t="str">
        <f>IF(OR(TH!L1879=TH!$Y$7,M1879=TH!$Y$7),"x","")</f>
        <v/>
      </c>
      <c r="Z1879" s="525" t="str">
        <f>IF(AND(B1879&lt;=NKC!$N$8,B1879&gt;=NKC!$M$8),"x","")</f>
        <v>x</v>
      </c>
      <c r="AA1879" s="535"/>
      <c r="AB1879" s="536"/>
      <c r="AC1879" s="536"/>
      <c r="AD1879" s="536"/>
      <c r="AE1879" s="536"/>
    </row>
    <row r="1880" spans="1:31" s="503" customFormat="1" ht="15.75" customHeight="1">
      <c r="A1880" s="517" t="str">
        <f>IF(B1880&lt;&gt;"",IF(AND(B1880&gt;=_TM1,B1880&lt;=_TM2,OR(TH!L1880="1111",TH!M1880="1111")),TH!D1880,""),"")</f>
        <v/>
      </c>
      <c r="B1880" s="531">
        <f t="shared" si="177"/>
        <v>3</v>
      </c>
      <c r="C1880" s="315">
        <f t="shared" si="178"/>
        <v>42825</v>
      </c>
      <c r="D1880" s="315" t="s">
        <v>996</v>
      </c>
      <c r="E1880" s="548">
        <v>42825</v>
      </c>
      <c r="F1880" s="247" t="s">
        <v>679</v>
      </c>
      <c r="G1880" s="541" t="s">
        <v>789</v>
      </c>
      <c r="H1880" s="473" t="s">
        <v>800</v>
      </c>
      <c r="I1880" s="307">
        <v>16</v>
      </c>
      <c r="J1880" s="307">
        <v>45701</v>
      </c>
      <c r="K1880" s="532">
        <f t="shared" si="179"/>
        <v>731216</v>
      </c>
      <c r="L1880" s="539" t="s">
        <v>160</v>
      </c>
      <c r="M1880" s="539" t="s">
        <v>292</v>
      </c>
      <c r="N1880" s="525" t="str">
        <f>IF(AND('331-CT'!$E$7=TH!H1880,OR(L1880="331",M1880="331")),"331",IF(AND(OR(L1880="131",M1880="131"),H1880='131-CT'!$E$7),"131",""))</f>
        <v/>
      </c>
      <c r="O1880" s="525" t="str">
        <f>IF(AND($B1880&gt;='111'!$N$11,$B1880&lt;='111'!$O$11,OR($L1880=$O$7,$M1880=$O$7)),"x","")</f>
        <v/>
      </c>
      <c r="P1880" s="525" t="str">
        <f>IF(AND($L1880=$O$7,$B1880&lt;'111'!$N$11),"x","")</f>
        <v/>
      </c>
      <c r="Q1880" s="525" t="str">
        <f>IF(AND($M1880=$O$7,$B1880&lt;'111'!$N$11),"x","")</f>
        <v/>
      </c>
      <c r="R1880" s="525" t="str">
        <f>IF(ISERROR(FIND('112'!$M$9,G1880,1)),"",IF((AND(FIND('112'!$M$9,G1880,1)&gt;=1,$B1880&gt;='112'!$N$8,$B1880&lt;='112'!$O$8,OR($L1880='112'!$I$6,$M1880='112'!$I$6))),"x",""))</f>
        <v/>
      </c>
      <c r="S1880" s="525" t="str">
        <f>IF(ISERROR(FIND('112'!$M$9,G1880,1)),"",IF((AND(LEFT(G1880,2)=LEFT('112'!$M$9,2),B1880&lt;'112'!$N$8,$L1880='112'!$I$6)),"x",""))</f>
        <v/>
      </c>
      <c r="T1880" s="525" t="str">
        <f>IF(ISERROR(FIND('112'!$M$9,G1880,1)),"",IF((AND(RIGHT(G1880,2)=RIGHT('112'!$M$9,2),B1880&lt;'112'!$N$8,$M1880='112'!$I$6)),"x",""))</f>
        <v/>
      </c>
      <c r="U1880" s="525" t="str">
        <f>IF(AND(B1880&gt;='IN-NX'!$P$3,B1880&lt;='IN-NX'!$Q$3,'IN-NX'!$D$7=D1880,OR(LEFT(L1880,2)="15",AND(LEFT(M1880,2)&lt;&gt;"15",LEFT(M1880,2)&lt;&gt;"33"))),"x","")</f>
        <v/>
      </c>
      <c r="V1880" s="525" t="str">
        <f>IF(AND(OR(LEFT(TH!L1880,2)="15",LEFT(TH!M1880,2)="15"),'152-CT'!$J$8=TH!F1880),"x","")</f>
        <v/>
      </c>
      <c r="W1880" s="525" t="str">
        <f>IF(AND(OR(LEFT(TH!L1880,2)="15",LEFT(TH!M1880,2)="15"),TK!$E$7=TH!F1880),"x","")</f>
        <v/>
      </c>
      <c r="X1880" s="525" t="str">
        <f>IF(AND('341-CT'!$E$9=H1880,OR(LEFT(L1880,3)=$X$7,LEFT(M1880,3)=$X$7)),"x","")</f>
        <v/>
      </c>
      <c r="Y1880" s="525" t="str">
        <f>IF(OR(TH!L1880=TH!$Y$7,M1880=TH!$Y$7),"x","")</f>
        <v/>
      </c>
      <c r="Z1880" s="525" t="str">
        <f>IF(AND(B1880&lt;=NKC!$N$8,B1880&gt;=NKC!$M$8),"x","")</f>
        <v>x</v>
      </c>
      <c r="AA1880" s="535"/>
      <c r="AB1880" s="536"/>
      <c r="AC1880" s="536"/>
      <c r="AD1880" s="536"/>
      <c r="AE1880" s="536"/>
    </row>
    <row r="1881" spans="1:31" s="503" customFormat="1" ht="15.75" customHeight="1">
      <c r="A1881" s="517" t="str">
        <f>IF(B1881&lt;&gt;"",IF(AND(B1881&gt;=_TM1,B1881&lt;=_TM2,OR(TH!L1881="1111",TH!M1881="1111")),TH!D1881,""),"")</f>
        <v/>
      </c>
      <c r="B1881" s="531">
        <f t="shared" si="177"/>
        <v>3</v>
      </c>
      <c r="C1881" s="315">
        <f t="shared" si="178"/>
        <v>42825</v>
      </c>
      <c r="D1881" s="315" t="s">
        <v>996</v>
      </c>
      <c r="E1881" s="548">
        <v>42825</v>
      </c>
      <c r="F1881" s="247" t="s">
        <v>679</v>
      </c>
      <c r="G1881" s="541" t="s">
        <v>789</v>
      </c>
      <c r="H1881" s="473" t="s">
        <v>800</v>
      </c>
      <c r="I1881" s="307">
        <v>4</v>
      </c>
      <c r="J1881" s="307">
        <v>45701</v>
      </c>
      <c r="K1881" s="532">
        <f t="shared" si="179"/>
        <v>182804</v>
      </c>
      <c r="L1881" s="539" t="s">
        <v>160</v>
      </c>
      <c r="M1881" s="539" t="s">
        <v>292</v>
      </c>
      <c r="N1881" s="525" t="str">
        <f>IF(AND('331-CT'!$E$7=TH!H1881,OR(L1881="331",M1881="331")),"331",IF(AND(OR(L1881="131",M1881="131"),H1881='131-CT'!$E$7),"131",""))</f>
        <v/>
      </c>
      <c r="O1881" s="525" t="str">
        <f>IF(AND($B1881&gt;='111'!$N$11,$B1881&lt;='111'!$O$11,OR($L1881=$O$7,$M1881=$O$7)),"x","")</f>
        <v/>
      </c>
      <c r="P1881" s="525" t="str">
        <f>IF(AND($L1881=$O$7,$B1881&lt;'111'!$N$11),"x","")</f>
        <v/>
      </c>
      <c r="Q1881" s="525" t="str">
        <f>IF(AND($M1881=$O$7,$B1881&lt;'111'!$N$11),"x","")</f>
        <v/>
      </c>
      <c r="R1881" s="525" t="str">
        <f>IF(ISERROR(FIND('112'!$M$9,G1881,1)),"",IF((AND(FIND('112'!$M$9,G1881,1)&gt;=1,$B1881&gt;='112'!$N$8,$B1881&lt;='112'!$O$8,OR($L1881='112'!$I$6,$M1881='112'!$I$6))),"x",""))</f>
        <v/>
      </c>
      <c r="S1881" s="525" t="str">
        <f>IF(ISERROR(FIND('112'!$M$9,G1881,1)),"",IF((AND(LEFT(G1881,2)=LEFT('112'!$M$9,2),B1881&lt;'112'!$N$8,$L1881='112'!$I$6)),"x",""))</f>
        <v/>
      </c>
      <c r="T1881" s="525" t="str">
        <f>IF(ISERROR(FIND('112'!$M$9,G1881,1)),"",IF((AND(RIGHT(G1881,2)=RIGHT('112'!$M$9,2),B1881&lt;'112'!$N$8,$M1881='112'!$I$6)),"x",""))</f>
        <v/>
      </c>
      <c r="U1881" s="525" t="str">
        <f>IF(AND(B1881&gt;='IN-NX'!$P$3,B1881&lt;='IN-NX'!$Q$3,'IN-NX'!$D$7=D1881,OR(LEFT(L1881,2)="15",AND(LEFT(M1881,2)&lt;&gt;"15",LEFT(M1881,2)&lt;&gt;"33"))),"x","")</f>
        <v/>
      </c>
      <c r="V1881" s="525" t="str">
        <f>IF(AND(OR(LEFT(TH!L1881,2)="15",LEFT(TH!M1881,2)="15"),'152-CT'!$J$8=TH!F1881),"x","")</f>
        <v/>
      </c>
      <c r="W1881" s="525" t="str">
        <f>IF(AND(OR(LEFT(TH!L1881,2)="15",LEFT(TH!M1881,2)="15"),TK!$E$7=TH!F1881),"x","")</f>
        <v/>
      </c>
      <c r="X1881" s="525" t="str">
        <f>IF(AND('341-CT'!$E$9=H1881,OR(LEFT(L1881,3)=$X$7,LEFT(M1881,3)=$X$7)),"x","")</f>
        <v/>
      </c>
      <c r="Y1881" s="525" t="str">
        <f>IF(OR(TH!L1881=TH!$Y$7,M1881=TH!$Y$7),"x","")</f>
        <v/>
      </c>
      <c r="Z1881" s="525" t="str">
        <f>IF(AND(B1881&lt;=NKC!$N$8,B1881&gt;=NKC!$M$8),"x","")</f>
        <v>x</v>
      </c>
      <c r="AA1881" s="535"/>
      <c r="AB1881" s="536"/>
      <c r="AE1881" s="536"/>
    </row>
    <row r="1882" spans="1:31" s="503" customFormat="1" ht="15.75" customHeight="1">
      <c r="A1882" s="517" t="str">
        <f>IF(B1882&lt;&gt;"",IF(AND(B1882&gt;=_TM1,B1882&lt;=_TM2,OR(TH!L1882="1111",TH!M1882="1111")),TH!D1882,""),"")</f>
        <v/>
      </c>
      <c r="B1882" s="531">
        <f t="shared" si="177"/>
        <v>3</v>
      </c>
      <c r="C1882" s="315">
        <f t="shared" si="178"/>
        <v>42825</v>
      </c>
      <c r="D1882" s="315" t="s">
        <v>996</v>
      </c>
      <c r="E1882" s="548">
        <v>42825</v>
      </c>
      <c r="F1882" s="247" t="s">
        <v>701</v>
      </c>
      <c r="G1882" s="541" t="s">
        <v>789</v>
      </c>
      <c r="H1882" s="473" t="s">
        <v>800</v>
      </c>
      <c r="I1882" s="307">
        <v>55</v>
      </c>
      <c r="J1882" s="307">
        <v>10865</v>
      </c>
      <c r="K1882" s="532">
        <f t="shared" si="179"/>
        <v>597575</v>
      </c>
      <c r="L1882" s="539" t="s">
        <v>160</v>
      </c>
      <c r="M1882" s="539" t="s">
        <v>292</v>
      </c>
      <c r="N1882" s="525" t="str">
        <f>IF(AND('331-CT'!$E$7=TH!H1882,OR(L1882="331",M1882="331")),"331",IF(AND(OR(L1882="131",M1882="131"),H1882='131-CT'!$E$7),"131",""))</f>
        <v/>
      </c>
      <c r="O1882" s="525" t="str">
        <f>IF(AND($B1882&gt;='111'!$N$11,$B1882&lt;='111'!$O$11,OR($L1882=$O$7,$M1882=$O$7)),"x","")</f>
        <v/>
      </c>
      <c r="P1882" s="525" t="str">
        <f>IF(AND($L1882=$O$7,$B1882&lt;'111'!$N$11),"x","")</f>
        <v/>
      </c>
      <c r="Q1882" s="525" t="str">
        <f>IF(AND($M1882=$O$7,$B1882&lt;'111'!$N$11),"x","")</f>
        <v/>
      </c>
      <c r="R1882" s="525" t="str">
        <f>IF(ISERROR(FIND('112'!$M$9,G1882,1)),"",IF((AND(FIND('112'!$M$9,G1882,1)&gt;=1,$B1882&gt;='112'!$N$8,$B1882&lt;='112'!$O$8,OR($L1882='112'!$I$6,$M1882='112'!$I$6))),"x",""))</f>
        <v/>
      </c>
      <c r="S1882" s="525" t="str">
        <f>IF(ISERROR(FIND('112'!$M$9,G1882,1)),"",IF((AND(LEFT(G1882,2)=LEFT('112'!$M$9,2),B1882&lt;'112'!$N$8,$L1882='112'!$I$6)),"x",""))</f>
        <v/>
      </c>
      <c r="T1882" s="525" t="str">
        <f>IF(ISERROR(FIND('112'!$M$9,G1882,1)),"",IF((AND(RIGHT(G1882,2)=RIGHT('112'!$M$9,2),B1882&lt;'112'!$N$8,$M1882='112'!$I$6)),"x",""))</f>
        <v/>
      </c>
      <c r="U1882" s="525" t="str">
        <f>IF(AND(B1882&gt;='IN-NX'!$P$3,B1882&lt;='IN-NX'!$Q$3,'IN-NX'!$D$7=D1882,OR(LEFT(L1882,2)="15",AND(LEFT(M1882,2)&lt;&gt;"15",LEFT(M1882,2)&lt;&gt;"33"))),"x","")</f>
        <v/>
      </c>
      <c r="V1882" s="525" t="str">
        <f>IF(AND(OR(LEFT(TH!L1882,2)="15",LEFT(TH!M1882,2)="15"),'152-CT'!$J$8=TH!F1882),"x","")</f>
        <v/>
      </c>
      <c r="W1882" s="525" t="str">
        <f>IF(AND(OR(LEFT(TH!L1882,2)="15",LEFT(TH!M1882,2)="15"),TK!$E$7=TH!F1882),"x","")</f>
        <v/>
      </c>
      <c r="X1882" s="525" t="str">
        <f>IF(AND('341-CT'!$E$9=H1882,OR(LEFT(L1882,3)=$X$7,LEFT(M1882,3)=$X$7)),"x","")</f>
        <v/>
      </c>
      <c r="Y1882" s="525" t="str">
        <f>IF(OR(TH!L1882=TH!$Y$7,M1882=TH!$Y$7),"x","")</f>
        <v/>
      </c>
      <c r="Z1882" s="525" t="str">
        <f>IF(AND(B1882&lt;=NKC!$N$8,B1882&gt;=NKC!$M$8),"x","")</f>
        <v>x</v>
      </c>
      <c r="AA1882" s="535"/>
      <c r="AB1882" s="536"/>
      <c r="AE1882" s="536"/>
    </row>
    <row r="1883" spans="1:31" s="503" customFormat="1" ht="15.75" customHeight="1">
      <c r="A1883" s="517" t="str">
        <f>IF(B1883&lt;&gt;"",IF(AND(B1883&gt;=_TM1,B1883&lt;=_TM2,OR(TH!L1883="1111",TH!M1883="1111")),TH!D1883,""),"")</f>
        <v/>
      </c>
      <c r="B1883" s="531">
        <f t="shared" si="177"/>
        <v>3</v>
      </c>
      <c r="C1883" s="315">
        <f t="shared" si="178"/>
        <v>42825</v>
      </c>
      <c r="D1883" s="315" t="s">
        <v>996</v>
      </c>
      <c r="E1883" s="548">
        <v>42825</v>
      </c>
      <c r="F1883" s="247" t="s">
        <v>702</v>
      </c>
      <c r="G1883" s="541" t="s">
        <v>789</v>
      </c>
      <c r="H1883" s="473" t="s">
        <v>800</v>
      </c>
      <c r="I1883" s="307">
        <v>78</v>
      </c>
      <c r="J1883" s="307">
        <v>19889</v>
      </c>
      <c r="K1883" s="532">
        <f t="shared" si="179"/>
        <v>1551342</v>
      </c>
      <c r="L1883" s="539" t="s">
        <v>160</v>
      </c>
      <c r="M1883" s="539" t="s">
        <v>292</v>
      </c>
      <c r="N1883" s="525" t="str">
        <f>IF(AND('331-CT'!$E$7=TH!H1883,OR(L1883="331",M1883="331")),"331",IF(AND(OR(L1883="131",M1883="131"),H1883='131-CT'!$E$7),"131",""))</f>
        <v/>
      </c>
      <c r="O1883" s="525" t="str">
        <f>IF(AND($B1883&gt;='111'!$N$11,$B1883&lt;='111'!$O$11,OR($L1883=$O$7,$M1883=$O$7)),"x","")</f>
        <v/>
      </c>
      <c r="P1883" s="525" t="str">
        <f>IF(AND($L1883=$O$7,$B1883&lt;'111'!$N$11),"x","")</f>
        <v/>
      </c>
      <c r="Q1883" s="525" t="str">
        <f>IF(AND($M1883=$O$7,$B1883&lt;'111'!$N$11),"x","")</f>
        <v/>
      </c>
      <c r="R1883" s="525" t="str">
        <f>IF(ISERROR(FIND('112'!$M$9,G1883,1)),"",IF((AND(FIND('112'!$M$9,G1883,1)&gt;=1,$B1883&gt;='112'!$N$8,$B1883&lt;='112'!$O$8,OR($L1883='112'!$I$6,$M1883='112'!$I$6))),"x",""))</f>
        <v/>
      </c>
      <c r="S1883" s="525" t="str">
        <f>IF(ISERROR(FIND('112'!$M$9,G1883,1)),"",IF((AND(LEFT(G1883,2)=LEFT('112'!$M$9,2),B1883&lt;'112'!$N$8,$L1883='112'!$I$6)),"x",""))</f>
        <v/>
      </c>
      <c r="T1883" s="525" t="str">
        <f>IF(ISERROR(FIND('112'!$M$9,G1883,1)),"",IF((AND(RIGHT(G1883,2)=RIGHT('112'!$M$9,2),B1883&lt;'112'!$N$8,$M1883='112'!$I$6)),"x",""))</f>
        <v/>
      </c>
      <c r="U1883" s="525" t="str">
        <f>IF(AND(B1883&gt;='IN-NX'!$P$3,B1883&lt;='IN-NX'!$Q$3,'IN-NX'!$D$7=D1883,OR(LEFT(L1883,2)="15",AND(LEFT(M1883,2)&lt;&gt;"15",LEFT(M1883,2)&lt;&gt;"33"))),"x","")</f>
        <v/>
      </c>
      <c r="V1883" s="525" t="str">
        <f>IF(AND(OR(LEFT(TH!L1883,2)="15",LEFT(TH!M1883,2)="15"),'152-CT'!$J$8=TH!F1883),"x","")</f>
        <v/>
      </c>
      <c r="W1883" s="525" t="str">
        <f>IF(AND(OR(LEFT(TH!L1883,2)="15",LEFT(TH!M1883,2)="15"),TK!$E$7=TH!F1883),"x","")</f>
        <v/>
      </c>
      <c r="X1883" s="525" t="str">
        <f>IF(AND('341-CT'!$E$9=H1883,OR(LEFT(L1883,3)=$X$7,LEFT(M1883,3)=$X$7)),"x","")</f>
        <v/>
      </c>
      <c r="Y1883" s="525" t="str">
        <f>IF(OR(TH!L1883=TH!$Y$7,M1883=TH!$Y$7),"x","")</f>
        <v/>
      </c>
      <c r="Z1883" s="525" t="str">
        <f>IF(AND(B1883&lt;=NKC!$N$8,B1883&gt;=NKC!$M$8),"x","")</f>
        <v>x</v>
      </c>
      <c r="AA1883" s="535"/>
      <c r="AB1883" s="536"/>
      <c r="AE1883" s="536"/>
    </row>
    <row r="1884" spans="1:31" s="503" customFormat="1" ht="15.75" customHeight="1">
      <c r="A1884" s="517" t="str">
        <f>IF(B1884&lt;&gt;"",IF(AND(B1884&gt;=_TM1,B1884&lt;=_TM2,OR(TH!L1884="1111",TH!M1884="1111")),TH!D1884,""),"")</f>
        <v/>
      </c>
      <c r="B1884" s="531">
        <f t="shared" ref="B1884:B1947" si="180">IF(C1884&lt;&gt;"",MONTH(C1884),"")</f>
        <v>3</v>
      </c>
      <c r="C1884" s="315">
        <f t="shared" si="178"/>
        <v>42825</v>
      </c>
      <c r="D1884" s="315" t="s">
        <v>996</v>
      </c>
      <c r="E1884" s="548">
        <v>42825</v>
      </c>
      <c r="F1884" s="247" t="s">
        <v>659</v>
      </c>
      <c r="G1884" s="541" t="s">
        <v>789</v>
      </c>
      <c r="H1884" s="473" t="s">
        <v>800</v>
      </c>
      <c r="I1884" s="307">
        <v>4</v>
      </c>
      <c r="J1884" s="307">
        <v>81237</v>
      </c>
      <c r="K1884" s="532">
        <f t="shared" si="179"/>
        <v>324948</v>
      </c>
      <c r="L1884" s="539" t="s">
        <v>160</v>
      </c>
      <c r="M1884" s="539" t="s">
        <v>292</v>
      </c>
      <c r="N1884" s="525" t="str">
        <f>IF(AND('331-CT'!$E$7=TH!H1884,OR(L1884="331",M1884="331")),"331",IF(AND(OR(L1884="131",M1884="131"),H1884='131-CT'!$E$7),"131",""))</f>
        <v/>
      </c>
      <c r="O1884" s="525" t="str">
        <f>IF(AND($B1884&gt;='111'!$N$11,$B1884&lt;='111'!$O$11,OR($L1884=$O$7,$M1884=$O$7)),"x","")</f>
        <v/>
      </c>
      <c r="P1884" s="525" t="str">
        <f>IF(AND($L1884=$O$7,$B1884&lt;'111'!$N$11),"x","")</f>
        <v/>
      </c>
      <c r="Q1884" s="525" t="str">
        <f>IF(AND($M1884=$O$7,$B1884&lt;'111'!$N$11),"x","")</f>
        <v/>
      </c>
      <c r="R1884" s="525" t="str">
        <f>IF(ISERROR(FIND('112'!$M$9,G1884,1)),"",IF((AND(FIND('112'!$M$9,G1884,1)&gt;=1,$B1884&gt;='112'!$N$8,$B1884&lt;='112'!$O$8,OR($L1884='112'!$I$6,$M1884='112'!$I$6))),"x",""))</f>
        <v/>
      </c>
      <c r="S1884" s="525" t="str">
        <f>IF(ISERROR(FIND('112'!$M$9,G1884,1)),"",IF((AND(LEFT(G1884,2)=LEFT('112'!$M$9,2),B1884&lt;'112'!$N$8,$L1884='112'!$I$6)),"x",""))</f>
        <v/>
      </c>
      <c r="T1884" s="525" t="str">
        <f>IF(ISERROR(FIND('112'!$M$9,G1884,1)),"",IF((AND(RIGHT(G1884,2)=RIGHT('112'!$M$9,2),B1884&lt;'112'!$N$8,$M1884='112'!$I$6)),"x",""))</f>
        <v/>
      </c>
      <c r="U1884" s="525" t="str">
        <f>IF(AND(B1884&gt;='IN-NX'!$P$3,B1884&lt;='IN-NX'!$Q$3,'IN-NX'!$D$7=D1884,OR(LEFT(L1884,2)="15",AND(LEFT(M1884,2)&lt;&gt;"15",LEFT(M1884,2)&lt;&gt;"33"))),"x","")</f>
        <v/>
      </c>
      <c r="V1884" s="525" t="str">
        <f>IF(AND(OR(LEFT(TH!L1884,2)="15",LEFT(TH!M1884,2)="15"),'152-CT'!$J$8=TH!F1884),"x","")</f>
        <v/>
      </c>
      <c r="W1884" s="525" t="str">
        <f>IF(AND(OR(LEFT(TH!L1884,2)="15",LEFT(TH!M1884,2)="15"),TK!$E$7=TH!F1884),"x","")</f>
        <v/>
      </c>
      <c r="X1884" s="525" t="str">
        <f>IF(AND('341-CT'!$E$9=H1884,OR(LEFT(L1884,3)=$X$7,LEFT(M1884,3)=$X$7)),"x","")</f>
        <v/>
      </c>
      <c r="Y1884" s="525" t="str">
        <f>IF(OR(TH!L1884=TH!$Y$7,M1884=TH!$Y$7),"x","")</f>
        <v/>
      </c>
      <c r="Z1884" s="525" t="str">
        <f>IF(AND(B1884&lt;=NKC!$N$8,B1884&gt;=NKC!$M$8),"x","")</f>
        <v>x</v>
      </c>
      <c r="AA1884" s="535"/>
      <c r="AE1884" s="536"/>
    </row>
    <row r="1885" spans="1:31" s="503" customFormat="1" ht="15.75" customHeight="1">
      <c r="A1885" s="517" t="str">
        <f>IF(B1885&lt;&gt;"",IF(AND(B1885&gt;=_TM1,B1885&lt;=_TM2,OR(TH!L1885="1111",TH!M1885="1111")),TH!D1885,""),"")</f>
        <v/>
      </c>
      <c r="B1885" s="531">
        <f t="shared" si="180"/>
        <v>3</v>
      </c>
      <c r="C1885" s="315">
        <f t="shared" si="178"/>
        <v>42825</v>
      </c>
      <c r="D1885" s="315" t="s">
        <v>996</v>
      </c>
      <c r="E1885" s="545">
        <v>42825</v>
      </c>
      <c r="F1885" s="249" t="s">
        <v>698</v>
      </c>
      <c r="G1885" s="314" t="s">
        <v>789</v>
      </c>
      <c r="H1885" s="473" t="s">
        <v>800</v>
      </c>
      <c r="I1885" s="307">
        <v>8</v>
      </c>
      <c r="J1885" s="307">
        <v>140372</v>
      </c>
      <c r="K1885" s="532">
        <f t="shared" si="179"/>
        <v>1122976</v>
      </c>
      <c r="L1885" s="539" t="s">
        <v>160</v>
      </c>
      <c r="M1885" s="539" t="s">
        <v>292</v>
      </c>
      <c r="N1885" s="525" t="str">
        <f>IF(AND('331-CT'!$E$7=TH!H1885,OR(L1885="331",M1885="331")),"331",IF(AND(OR(L1885="131",M1885="131"),H1885='131-CT'!$E$7),"131",""))</f>
        <v/>
      </c>
      <c r="O1885" s="525" t="str">
        <f>IF(AND($B1885&gt;='111'!$N$11,$B1885&lt;='111'!$O$11,OR($L1885=$O$7,$M1885=$O$7)),"x","")</f>
        <v/>
      </c>
      <c r="P1885" s="525" t="str">
        <f>IF(AND($L1885=$O$7,$B1885&lt;'111'!$N$11),"x","")</f>
        <v/>
      </c>
      <c r="Q1885" s="525" t="str">
        <f>IF(AND($M1885=$O$7,$B1885&lt;'111'!$N$11),"x","")</f>
        <v/>
      </c>
      <c r="R1885" s="525" t="str">
        <f>IF(ISERROR(FIND('112'!$M$9,G1885,1)),"",IF((AND(FIND('112'!$M$9,G1885,1)&gt;=1,$B1885&gt;='112'!$N$8,$B1885&lt;='112'!$O$8,OR($L1885='112'!$I$6,$M1885='112'!$I$6))),"x",""))</f>
        <v/>
      </c>
      <c r="S1885" s="525" t="str">
        <f>IF(ISERROR(FIND('112'!$M$9,G1885,1)),"",IF((AND(LEFT(G1885,2)=LEFT('112'!$M$9,2),B1885&lt;'112'!$N$8,$L1885='112'!$I$6)),"x",""))</f>
        <v/>
      </c>
      <c r="T1885" s="525" t="str">
        <f>IF(ISERROR(FIND('112'!$M$9,G1885,1)),"",IF((AND(RIGHT(G1885,2)=RIGHT('112'!$M$9,2),B1885&lt;'112'!$N$8,$M1885='112'!$I$6)),"x",""))</f>
        <v/>
      </c>
      <c r="U1885" s="525" t="str">
        <f>IF(AND(B1885&gt;='IN-NX'!$P$3,B1885&lt;='IN-NX'!$Q$3,'IN-NX'!$D$7=D1885,OR(LEFT(L1885,2)="15",AND(LEFT(M1885,2)&lt;&gt;"15",LEFT(M1885,2)&lt;&gt;"33"))),"x","")</f>
        <v/>
      </c>
      <c r="V1885" s="525" t="str">
        <f>IF(AND(OR(LEFT(TH!L1885,2)="15",LEFT(TH!M1885,2)="15"),'152-CT'!$J$8=TH!F1885),"x","")</f>
        <v/>
      </c>
      <c r="W1885" s="525" t="str">
        <f>IF(AND(OR(LEFT(TH!L1885,2)="15",LEFT(TH!M1885,2)="15"),TK!$E$7=TH!F1885),"x","")</f>
        <v/>
      </c>
      <c r="X1885" s="525" t="str">
        <f>IF(AND('341-CT'!$E$9=H1885,OR(LEFT(L1885,3)=$X$7,LEFT(M1885,3)=$X$7)),"x","")</f>
        <v/>
      </c>
      <c r="Y1885" s="525" t="str">
        <f>IF(OR(TH!L1885=TH!$Y$7,M1885=TH!$Y$7),"x","")</f>
        <v/>
      </c>
      <c r="Z1885" s="525" t="str">
        <f>IF(AND(B1885&lt;=NKC!$N$8,B1885&gt;=NKC!$M$8),"x","")</f>
        <v>x</v>
      </c>
      <c r="AA1885" s="535"/>
      <c r="AB1885" s="536"/>
      <c r="AE1885" s="536"/>
    </row>
    <row r="1886" spans="1:31" s="503" customFormat="1" ht="15.75" customHeight="1">
      <c r="A1886" s="517" t="str">
        <f>IF(B1886&lt;&gt;"",IF(AND(B1886&gt;=_TM1,B1886&lt;=_TM2,OR(TH!L1886="1111",TH!M1886="1111")),TH!D1886,""),"")</f>
        <v/>
      </c>
      <c r="B1886" s="531">
        <f t="shared" si="180"/>
        <v>3</v>
      </c>
      <c r="C1886" s="315">
        <f t="shared" si="178"/>
        <v>42825</v>
      </c>
      <c r="D1886" s="315" t="s">
        <v>996</v>
      </c>
      <c r="E1886" s="545">
        <v>42825</v>
      </c>
      <c r="F1886" s="249" t="s">
        <v>611</v>
      </c>
      <c r="G1886" s="314" t="s">
        <v>789</v>
      </c>
      <c r="H1886" s="473" t="s">
        <v>800</v>
      </c>
      <c r="I1886" s="307">
        <v>80</v>
      </c>
      <c r="J1886" s="307">
        <v>39735</v>
      </c>
      <c r="K1886" s="532">
        <f t="shared" si="179"/>
        <v>3178800</v>
      </c>
      <c r="L1886" s="539" t="s">
        <v>160</v>
      </c>
      <c r="M1886" s="539" t="s">
        <v>292</v>
      </c>
      <c r="N1886" s="525" t="str">
        <f>IF(AND('331-CT'!$E$7=TH!H1886,OR(L1886="331",M1886="331")),"331",IF(AND(OR(L1886="131",M1886="131"),H1886='131-CT'!$E$7),"131",""))</f>
        <v/>
      </c>
      <c r="O1886" s="525" t="str">
        <f>IF(AND($B1886&gt;='111'!$N$11,$B1886&lt;='111'!$O$11,OR($L1886=$O$7,$M1886=$O$7)),"x","")</f>
        <v/>
      </c>
      <c r="P1886" s="525" t="str">
        <f>IF(AND($L1886=$O$7,$B1886&lt;'111'!$N$11),"x","")</f>
        <v/>
      </c>
      <c r="Q1886" s="525" t="str">
        <f>IF(AND($M1886=$O$7,$B1886&lt;'111'!$N$11),"x","")</f>
        <v/>
      </c>
      <c r="R1886" s="525" t="str">
        <f>IF(ISERROR(FIND('112'!$M$9,G1886,1)),"",IF((AND(FIND('112'!$M$9,G1886,1)&gt;=1,$B1886&gt;='112'!$N$8,$B1886&lt;='112'!$O$8,OR($L1886='112'!$I$6,$M1886='112'!$I$6))),"x",""))</f>
        <v/>
      </c>
      <c r="S1886" s="525" t="str">
        <f>IF(ISERROR(FIND('112'!$M$9,G1886,1)),"",IF((AND(LEFT(G1886,2)=LEFT('112'!$M$9,2),B1886&lt;'112'!$N$8,$L1886='112'!$I$6)),"x",""))</f>
        <v/>
      </c>
      <c r="T1886" s="525" t="str">
        <f>IF(ISERROR(FIND('112'!$M$9,G1886,1)),"",IF((AND(RIGHT(G1886,2)=RIGHT('112'!$M$9,2),B1886&lt;'112'!$N$8,$M1886='112'!$I$6)),"x",""))</f>
        <v/>
      </c>
      <c r="U1886" s="525" t="str">
        <f>IF(AND(B1886&gt;='IN-NX'!$P$3,B1886&lt;='IN-NX'!$Q$3,'IN-NX'!$D$7=D1886,OR(LEFT(L1886,2)="15",AND(LEFT(M1886,2)&lt;&gt;"15",LEFT(M1886,2)&lt;&gt;"33"))),"x","")</f>
        <v/>
      </c>
      <c r="V1886" s="525" t="str">
        <f>IF(AND(OR(LEFT(TH!L1886,2)="15",LEFT(TH!M1886,2)="15"),'152-CT'!$J$8=TH!F1886),"x","")</f>
        <v/>
      </c>
      <c r="W1886" s="525" t="str">
        <f>IF(AND(OR(LEFT(TH!L1886,2)="15",LEFT(TH!M1886,2)="15"),TK!$E$7=TH!F1886),"x","")</f>
        <v/>
      </c>
      <c r="X1886" s="525" t="str">
        <f>IF(AND('341-CT'!$E$9=H1886,OR(LEFT(L1886,3)=$X$7,LEFT(M1886,3)=$X$7)),"x","")</f>
        <v/>
      </c>
      <c r="Y1886" s="525" t="str">
        <f>IF(OR(TH!L1886=TH!$Y$7,M1886=TH!$Y$7),"x","")</f>
        <v/>
      </c>
      <c r="Z1886" s="525" t="str">
        <f>IF(AND(B1886&lt;=NKC!$N$8,B1886&gt;=NKC!$M$8),"x","")</f>
        <v>x</v>
      </c>
      <c r="AA1886" s="535"/>
      <c r="AB1886" s="536"/>
    </row>
    <row r="1887" spans="1:31" s="503" customFormat="1" ht="15.75" customHeight="1">
      <c r="A1887" s="517" t="str">
        <f>IF(B1887&lt;&gt;"",IF(AND(B1887&gt;=_TM1,B1887&lt;=_TM2,OR(TH!L1887="1111",TH!M1887="1111")),TH!D1887,""),"")</f>
        <v/>
      </c>
      <c r="B1887" s="531">
        <f t="shared" si="180"/>
        <v>3</v>
      </c>
      <c r="C1887" s="315">
        <f t="shared" si="178"/>
        <v>42825</v>
      </c>
      <c r="D1887" s="315" t="s">
        <v>996</v>
      </c>
      <c r="E1887" s="545">
        <v>42825</v>
      </c>
      <c r="F1887" s="250" t="s">
        <v>736</v>
      </c>
      <c r="G1887" s="540" t="s">
        <v>789</v>
      </c>
      <c r="H1887" s="473" t="s">
        <v>800</v>
      </c>
      <c r="I1887" s="307">
        <v>10</v>
      </c>
      <c r="J1887" s="307">
        <v>78500</v>
      </c>
      <c r="K1887" s="532">
        <f t="shared" si="179"/>
        <v>785000</v>
      </c>
      <c r="L1887" s="539" t="s">
        <v>160</v>
      </c>
      <c r="M1887" s="539" t="s">
        <v>292</v>
      </c>
      <c r="N1887" s="525" t="str">
        <f>IF(AND('331-CT'!$E$7=TH!H1887,OR(L1887="331",M1887="331")),"331",IF(AND(OR(L1887="131",M1887="131"),H1887='131-CT'!$E$7),"131",""))</f>
        <v/>
      </c>
      <c r="O1887" s="525" t="str">
        <f>IF(AND($B1887&gt;='111'!$N$11,$B1887&lt;='111'!$O$11,OR($L1887=$O$7,$M1887=$O$7)),"x","")</f>
        <v/>
      </c>
      <c r="P1887" s="525" t="str">
        <f>IF(AND($L1887=$O$7,$B1887&lt;'111'!$N$11),"x","")</f>
        <v/>
      </c>
      <c r="Q1887" s="525" t="str">
        <f>IF(AND($M1887=$O$7,$B1887&lt;'111'!$N$11),"x","")</f>
        <v/>
      </c>
      <c r="R1887" s="525" t="str">
        <f>IF(ISERROR(FIND('112'!$M$9,G1887,1)),"",IF((AND(FIND('112'!$M$9,G1887,1)&gt;=1,$B1887&gt;='112'!$N$8,$B1887&lt;='112'!$O$8,OR($L1887='112'!$I$6,$M1887='112'!$I$6))),"x",""))</f>
        <v/>
      </c>
      <c r="S1887" s="525" t="str">
        <f>IF(ISERROR(FIND('112'!$M$9,G1887,1)),"",IF((AND(LEFT(G1887,2)=LEFT('112'!$M$9,2),B1887&lt;'112'!$N$8,$L1887='112'!$I$6)),"x",""))</f>
        <v/>
      </c>
      <c r="T1887" s="525" t="str">
        <f>IF(ISERROR(FIND('112'!$M$9,G1887,1)),"",IF((AND(RIGHT(G1887,2)=RIGHT('112'!$M$9,2),B1887&lt;'112'!$N$8,$M1887='112'!$I$6)),"x",""))</f>
        <v/>
      </c>
      <c r="U1887" s="525" t="str">
        <f>IF(AND(B1887&gt;='IN-NX'!$P$3,B1887&lt;='IN-NX'!$Q$3,'IN-NX'!$D$7=D1887,OR(LEFT(L1887,2)="15",AND(LEFT(M1887,2)&lt;&gt;"15",LEFT(M1887,2)&lt;&gt;"33"))),"x","")</f>
        <v/>
      </c>
      <c r="V1887" s="525" t="str">
        <f>IF(AND(OR(LEFT(TH!L1887,2)="15",LEFT(TH!M1887,2)="15"),'152-CT'!$J$8=TH!F1887),"x","")</f>
        <v/>
      </c>
      <c r="W1887" s="525" t="str">
        <f>IF(AND(OR(LEFT(TH!L1887,2)="15",LEFT(TH!M1887,2)="15"),TK!$E$7=TH!F1887),"x","")</f>
        <v/>
      </c>
      <c r="X1887" s="525" t="str">
        <f>IF(AND('341-CT'!$E$9=H1887,OR(LEFT(L1887,3)=$X$7,LEFT(M1887,3)=$X$7)),"x","")</f>
        <v/>
      </c>
      <c r="Y1887" s="525" t="str">
        <f>IF(OR(TH!L1887=TH!$Y$7,M1887=TH!$Y$7),"x","")</f>
        <v/>
      </c>
      <c r="Z1887" s="525" t="str">
        <f>IF(AND(B1887&lt;=NKC!$N$8,B1887&gt;=NKC!$M$8),"x","")</f>
        <v>x</v>
      </c>
      <c r="AA1887" s="535"/>
    </row>
    <row r="1888" spans="1:31" s="503" customFormat="1" ht="15.75" customHeight="1">
      <c r="A1888" s="517" t="str">
        <f>IF(B1888&lt;&gt;"",IF(AND(B1888&gt;=_TM1,B1888&lt;=_TM2,OR(TH!L1888="1111",TH!M1888="1111")),TH!D1888,""),"")</f>
        <v/>
      </c>
      <c r="B1888" s="531">
        <f t="shared" si="180"/>
        <v>3</v>
      </c>
      <c r="C1888" s="315">
        <f t="shared" si="178"/>
        <v>42825</v>
      </c>
      <c r="D1888" s="315" t="s">
        <v>996</v>
      </c>
      <c r="E1888" s="545">
        <v>42825</v>
      </c>
      <c r="F1888" s="250" t="s">
        <v>799</v>
      </c>
      <c r="G1888" s="540" t="s">
        <v>789</v>
      </c>
      <c r="H1888" s="473" t="s">
        <v>800</v>
      </c>
      <c r="I1888" s="307">
        <v>20</v>
      </c>
      <c r="J1888" s="307">
        <v>42454</v>
      </c>
      <c r="K1888" s="532">
        <f t="shared" si="179"/>
        <v>849080</v>
      </c>
      <c r="L1888" s="539" t="s">
        <v>160</v>
      </c>
      <c r="M1888" s="539" t="s">
        <v>292</v>
      </c>
      <c r="N1888" s="525" t="str">
        <f>IF(AND('331-CT'!$E$7=TH!H1888,OR(L1888="331",M1888="331")),"331",IF(AND(OR(L1888="131",M1888="131"),H1888='131-CT'!$E$7),"131",""))</f>
        <v/>
      </c>
      <c r="O1888" s="525" t="str">
        <f>IF(AND($B1888&gt;='111'!$N$11,$B1888&lt;='111'!$O$11,OR($L1888=$O$7,$M1888=$O$7)),"x","")</f>
        <v/>
      </c>
      <c r="P1888" s="525" t="str">
        <f>IF(AND($L1888=$O$7,$B1888&lt;'111'!$N$11),"x","")</f>
        <v/>
      </c>
      <c r="Q1888" s="525" t="str">
        <f>IF(AND($M1888=$O$7,$B1888&lt;'111'!$N$11),"x","")</f>
        <v/>
      </c>
      <c r="R1888" s="525" t="str">
        <f>IF(ISERROR(FIND('112'!$M$9,G1888,1)),"",IF((AND(FIND('112'!$M$9,G1888,1)&gt;=1,$B1888&gt;='112'!$N$8,$B1888&lt;='112'!$O$8,OR($L1888='112'!$I$6,$M1888='112'!$I$6))),"x",""))</f>
        <v/>
      </c>
      <c r="S1888" s="525" t="str">
        <f>IF(ISERROR(FIND('112'!$M$9,G1888,1)),"",IF((AND(LEFT(G1888,2)=LEFT('112'!$M$9,2),B1888&lt;'112'!$N$8,$L1888='112'!$I$6)),"x",""))</f>
        <v/>
      </c>
      <c r="T1888" s="525" t="str">
        <f>IF(ISERROR(FIND('112'!$M$9,G1888,1)),"",IF((AND(RIGHT(G1888,2)=RIGHT('112'!$M$9,2),B1888&lt;'112'!$N$8,$M1888='112'!$I$6)),"x",""))</f>
        <v/>
      </c>
      <c r="U1888" s="525" t="str">
        <f>IF(AND(B1888&gt;='IN-NX'!$P$3,B1888&lt;='IN-NX'!$Q$3,'IN-NX'!$D$7=D1888,OR(LEFT(L1888,2)="15",AND(LEFT(M1888,2)&lt;&gt;"15",LEFT(M1888,2)&lt;&gt;"33"))),"x","")</f>
        <v/>
      </c>
      <c r="V1888" s="525" t="str">
        <f>IF(AND(OR(LEFT(TH!L1888,2)="15",LEFT(TH!M1888,2)="15"),'152-CT'!$J$8=TH!F1888),"x","")</f>
        <v/>
      </c>
      <c r="W1888" s="525" t="str">
        <f>IF(AND(OR(LEFT(TH!L1888,2)="15",LEFT(TH!M1888,2)="15"),TK!$E$7=TH!F1888),"x","")</f>
        <v/>
      </c>
      <c r="X1888" s="525" t="str">
        <f>IF(AND('341-CT'!$E$9=H1888,OR(LEFT(L1888,3)=$X$7,LEFT(M1888,3)=$X$7)),"x","")</f>
        <v/>
      </c>
      <c r="Y1888" s="525" t="str">
        <f>IF(OR(TH!L1888=TH!$Y$7,M1888=TH!$Y$7),"x","")</f>
        <v/>
      </c>
      <c r="Z1888" s="525" t="str">
        <f>IF(AND(B1888&lt;=NKC!$N$8,B1888&gt;=NKC!$M$8),"x","")</f>
        <v>x</v>
      </c>
      <c r="AA1888" s="535"/>
    </row>
    <row r="1889" spans="1:31" s="503" customFormat="1" ht="15.75" customHeight="1">
      <c r="A1889" s="517" t="str">
        <f>IF(B1889&lt;&gt;"",IF(AND(B1889&gt;=_TM1,B1889&lt;=_TM2,OR(TH!L1889="1111",TH!M1889="1111")),TH!D1889,""),"")</f>
        <v/>
      </c>
      <c r="B1889" s="531">
        <f t="shared" si="180"/>
        <v>3</v>
      </c>
      <c r="C1889" s="315">
        <f t="shared" si="178"/>
        <v>42825</v>
      </c>
      <c r="D1889" s="315" t="s">
        <v>996</v>
      </c>
      <c r="E1889" s="545">
        <v>42825</v>
      </c>
      <c r="F1889" s="250" t="s">
        <v>679</v>
      </c>
      <c r="G1889" s="540" t="s">
        <v>789</v>
      </c>
      <c r="H1889" s="473" t="s">
        <v>800</v>
      </c>
      <c r="I1889" s="307">
        <v>28</v>
      </c>
      <c r="J1889" s="307">
        <v>43982</v>
      </c>
      <c r="K1889" s="532">
        <f t="shared" si="179"/>
        <v>1231496</v>
      </c>
      <c r="L1889" s="539" t="s">
        <v>160</v>
      </c>
      <c r="M1889" s="539" t="s">
        <v>292</v>
      </c>
      <c r="N1889" s="525" t="str">
        <f>IF(AND('331-CT'!$E$7=TH!H1889,OR(L1889="331",M1889="331")),"331",IF(AND(OR(L1889="131",M1889="131"),H1889='131-CT'!$E$7),"131",""))</f>
        <v/>
      </c>
      <c r="O1889" s="525" t="str">
        <f>IF(AND($B1889&gt;='111'!$N$11,$B1889&lt;='111'!$O$11,OR($L1889=$O$7,$M1889=$O$7)),"x","")</f>
        <v/>
      </c>
      <c r="P1889" s="525" t="str">
        <f>IF(AND($L1889=$O$7,$B1889&lt;'111'!$N$11),"x","")</f>
        <v/>
      </c>
      <c r="Q1889" s="525" t="str">
        <f>IF(AND($M1889=$O$7,$B1889&lt;'111'!$N$11),"x","")</f>
        <v/>
      </c>
      <c r="R1889" s="525" t="str">
        <f>IF(ISERROR(FIND('112'!$M$9,G1889,1)),"",IF((AND(FIND('112'!$M$9,G1889,1)&gt;=1,$B1889&gt;='112'!$N$8,$B1889&lt;='112'!$O$8,OR($L1889='112'!$I$6,$M1889='112'!$I$6))),"x",""))</f>
        <v/>
      </c>
      <c r="S1889" s="525" t="str">
        <f>IF(ISERROR(FIND('112'!$M$9,G1889,1)),"",IF((AND(LEFT(G1889,2)=LEFT('112'!$M$9,2),B1889&lt;'112'!$N$8,$L1889='112'!$I$6)),"x",""))</f>
        <v/>
      </c>
      <c r="T1889" s="525" t="str">
        <f>IF(ISERROR(FIND('112'!$M$9,G1889,1)),"",IF((AND(RIGHT(G1889,2)=RIGHT('112'!$M$9,2),B1889&lt;'112'!$N$8,$M1889='112'!$I$6)),"x",""))</f>
        <v/>
      </c>
      <c r="U1889" s="525" t="str">
        <f>IF(AND(B1889&gt;='IN-NX'!$P$3,B1889&lt;='IN-NX'!$Q$3,'IN-NX'!$D$7=D1889,OR(LEFT(L1889,2)="15",AND(LEFT(M1889,2)&lt;&gt;"15",LEFT(M1889,2)&lt;&gt;"33"))),"x","")</f>
        <v/>
      </c>
      <c r="V1889" s="525" t="str">
        <f>IF(AND(OR(LEFT(TH!L1889,2)="15",LEFT(TH!M1889,2)="15"),'152-CT'!$J$8=TH!F1889),"x","")</f>
        <v/>
      </c>
      <c r="W1889" s="525" t="str">
        <f>IF(AND(OR(LEFT(TH!L1889,2)="15",LEFT(TH!M1889,2)="15"),TK!$E$7=TH!F1889),"x","")</f>
        <v/>
      </c>
      <c r="X1889" s="525" t="str">
        <f>IF(AND('341-CT'!$E$9=H1889,OR(LEFT(L1889,3)=$X$7,LEFT(M1889,3)=$X$7)),"x","")</f>
        <v/>
      </c>
      <c r="Y1889" s="525" t="str">
        <f>IF(OR(TH!L1889=TH!$Y$7,M1889=TH!$Y$7),"x","")</f>
        <v/>
      </c>
      <c r="Z1889" s="525" t="str">
        <f>IF(AND(B1889&lt;=NKC!$N$8,B1889&gt;=NKC!$M$8),"x","")</f>
        <v>x</v>
      </c>
      <c r="AA1889" s="535"/>
    </row>
    <row r="1890" spans="1:31" s="503" customFormat="1" ht="15.75" customHeight="1">
      <c r="A1890" s="517" t="str">
        <f>IF(B1890&lt;&gt;"",IF(AND(B1890&gt;=_TM1,B1890&lt;=_TM2,OR(TH!L1890="1111",TH!M1890="1111")),TH!D1890,""),"")</f>
        <v/>
      </c>
      <c r="B1890" s="531">
        <f t="shared" si="180"/>
        <v>3</v>
      </c>
      <c r="C1890" s="315">
        <f t="shared" si="178"/>
        <v>42825</v>
      </c>
      <c r="D1890" s="315" t="s">
        <v>996</v>
      </c>
      <c r="E1890" s="545">
        <v>42825</v>
      </c>
      <c r="F1890" s="250" t="s">
        <v>735</v>
      </c>
      <c r="G1890" s="540" t="s">
        <v>789</v>
      </c>
      <c r="H1890" s="473" t="s">
        <v>800</v>
      </c>
      <c r="I1890" s="307">
        <v>12</v>
      </c>
      <c r="J1890" s="307">
        <v>49660</v>
      </c>
      <c r="K1890" s="532">
        <f t="shared" si="179"/>
        <v>595920</v>
      </c>
      <c r="L1890" s="539" t="s">
        <v>160</v>
      </c>
      <c r="M1890" s="539" t="s">
        <v>292</v>
      </c>
      <c r="N1890" s="525" t="str">
        <f>IF(AND('331-CT'!$E$7=TH!H1890,OR(L1890="331",M1890="331")),"331",IF(AND(OR(L1890="131",M1890="131"),H1890='131-CT'!$E$7),"131",""))</f>
        <v/>
      </c>
      <c r="O1890" s="525" t="str">
        <f>IF(AND($B1890&gt;='111'!$N$11,$B1890&lt;='111'!$O$11,OR($L1890=$O$7,$M1890=$O$7)),"x","")</f>
        <v/>
      </c>
      <c r="P1890" s="525" t="str">
        <f>IF(AND($L1890=$O$7,$B1890&lt;'111'!$N$11),"x","")</f>
        <v/>
      </c>
      <c r="Q1890" s="525" t="str">
        <f>IF(AND($M1890=$O$7,$B1890&lt;'111'!$N$11),"x","")</f>
        <v/>
      </c>
      <c r="R1890" s="525" t="str">
        <f>IF(ISERROR(FIND('112'!$M$9,G1890,1)),"",IF((AND(FIND('112'!$M$9,G1890,1)&gt;=1,$B1890&gt;='112'!$N$8,$B1890&lt;='112'!$O$8,OR($L1890='112'!$I$6,$M1890='112'!$I$6))),"x",""))</f>
        <v/>
      </c>
      <c r="S1890" s="525" t="str">
        <f>IF(ISERROR(FIND('112'!$M$9,G1890,1)),"",IF((AND(LEFT(G1890,2)=LEFT('112'!$M$9,2),B1890&lt;'112'!$N$8,$L1890='112'!$I$6)),"x",""))</f>
        <v/>
      </c>
      <c r="T1890" s="525" t="str">
        <f>IF(ISERROR(FIND('112'!$M$9,G1890,1)),"",IF((AND(RIGHT(G1890,2)=RIGHT('112'!$M$9,2),B1890&lt;'112'!$N$8,$M1890='112'!$I$6)),"x",""))</f>
        <v/>
      </c>
      <c r="U1890" s="525" t="str">
        <f>IF(AND(B1890&gt;='IN-NX'!$P$3,B1890&lt;='IN-NX'!$Q$3,'IN-NX'!$D$7=D1890,OR(LEFT(L1890,2)="15",AND(LEFT(M1890,2)&lt;&gt;"15",LEFT(M1890,2)&lt;&gt;"33"))),"x","")</f>
        <v/>
      </c>
      <c r="V1890" s="525" t="str">
        <f>IF(AND(OR(LEFT(TH!L1890,2)="15",LEFT(TH!M1890,2)="15"),'152-CT'!$J$8=TH!F1890),"x","")</f>
        <v/>
      </c>
      <c r="W1890" s="525" t="str">
        <f>IF(AND(OR(LEFT(TH!L1890,2)="15",LEFT(TH!M1890,2)="15"),TK!$E$7=TH!F1890),"x","")</f>
        <v/>
      </c>
      <c r="X1890" s="525" t="str">
        <f>IF(AND('341-CT'!$E$9=H1890,OR(LEFT(L1890,3)=$X$7,LEFT(M1890,3)=$X$7)),"x","")</f>
        <v/>
      </c>
      <c r="Y1890" s="525" t="str">
        <f>IF(OR(TH!L1890=TH!$Y$7,M1890=TH!$Y$7),"x","")</f>
        <v/>
      </c>
      <c r="Z1890" s="525" t="str">
        <f>IF(AND(B1890&lt;=NKC!$N$8,B1890&gt;=NKC!$M$8),"x","")</f>
        <v>x</v>
      </c>
      <c r="AA1890" s="535"/>
    </row>
    <row r="1891" spans="1:31" s="503" customFormat="1" ht="15.75" customHeight="1">
      <c r="A1891" s="517" t="str">
        <f>IF(B1891&lt;&gt;"",IF(AND(B1891&gt;=_TM1,B1891&lt;=_TM2,OR(TH!L1891="1111",TH!M1891="1111")),TH!D1891,""),"")</f>
        <v/>
      </c>
      <c r="B1891" s="531">
        <f t="shared" si="180"/>
        <v>3</v>
      </c>
      <c r="C1891" s="315">
        <f t="shared" si="178"/>
        <v>42825</v>
      </c>
      <c r="D1891" s="315" t="s">
        <v>996</v>
      </c>
      <c r="E1891" s="545">
        <v>42825</v>
      </c>
      <c r="F1891" s="250" t="s">
        <v>731</v>
      </c>
      <c r="G1891" s="540" t="s">
        <v>789</v>
      </c>
      <c r="H1891" s="473" t="s">
        <v>800</v>
      </c>
      <c r="I1891" s="307">
        <v>12</v>
      </c>
      <c r="J1891" s="307">
        <v>54883</v>
      </c>
      <c r="K1891" s="532">
        <f t="shared" si="179"/>
        <v>658596</v>
      </c>
      <c r="L1891" s="539" t="s">
        <v>160</v>
      </c>
      <c r="M1891" s="539" t="s">
        <v>292</v>
      </c>
      <c r="N1891" s="525" t="str">
        <f>IF(AND('331-CT'!$E$7=TH!H1891,OR(L1891="331",M1891="331")),"331",IF(AND(OR(L1891="131",M1891="131"),H1891='131-CT'!$E$7),"131",""))</f>
        <v/>
      </c>
      <c r="O1891" s="525" t="str">
        <f>IF(AND($B1891&gt;='111'!$N$11,$B1891&lt;='111'!$O$11,OR($L1891=$O$7,$M1891=$O$7)),"x","")</f>
        <v/>
      </c>
      <c r="P1891" s="525" t="str">
        <f>IF(AND($L1891=$O$7,$B1891&lt;'111'!$N$11),"x","")</f>
        <v/>
      </c>
      <c r="Q1891" s="525" t="str">
        <f>IF(AND($M1891=$O$7,$B1891&lt;'111'!$N$11),"x","")</f>
        <v/>
      </c>
      <c r="R1891" s="525" t="str">
        <f>IF(ISERROR(FIND('112'!$M$9,G1891,1)),"",IF((AND(FIND('112'!$M$9,G1891,1)&gt;=1,$B1891&gt;='112'!$N$8,$B1891&lt;='112'!$O$8,OR($L1891='112'!$I$6,$M1891='112'!$I$6))),"x",""))</f>
        <v/>
      </c>
      <c r="S1891" s="525" t="str">
        <f>IF(ISERROR(FIND('112'!$M$9,G1891,1)),"",IF((AND(LEFT(G1891,2)=LEFT('112'!$M$9,2),B1891&lt;'112'!$N$8,$L1891='112'!$I$6)),"x",""))</f>
        <v/>
      </c>
      <c r="T1891" s="525" t="str">
        <f>IF(ISERROR(FIND('112'!$M$9,G1891,1)),"",IF((AND(RIGHT(G1891,2)=RIGHT('112'!$M$9,2),B1891&lt;'112'!$N$8,$M1891='112'!$I$6)),"x",""))</f>
        <v/>
      </c>
      <c r="U1891" s="525" t="str">
        <f>IF(AND(B1891&gt;='IN-NX'!$P$3,B1891&lt;='IN-NX'!$Q$3,'IN-NX'!$D$7=D1891,OR(LEFT(L1891,2)="15",AND(LEFT(M1891,2)&lt;&gt;"15",LEFT(M1891,2)&lt;&gt;"33"))),"x","")</f>
        <v/>
      </c>
      <c r="V1891" s="525" t="str">
        <f>IF(AND(OR(LEFT(TH!L1891,2)="15",LEFT(TH!M1891,2)="15"),'152-CT'!$J$8=TH!F1891),"x","")</f>
        <v/>
      </c>
      <c r="W1891" s="525" t="str">
        <f>IF(AND(OR(LEFT(TH!L1891,2)="15",LEFT(TH!M1891,2)="15"),TK!$E$7=TH!F1891),"x","")</f>
        <v/>
      </c>
      <c r="X1891" s="525" t="str">
        <f>IF(AND('341-CT'!$E$9=H1891,OR(LEFT(L1891,3)=$X$7,LEFT(M1891,3)=$X$7)),"x","")</f>
        <v/>
      </c>
      <c r="Y1891" s="525" t="str">
        <f>IF(OR(TH!L1891=TH!$Y$7,M1891=TH!$Y$7),"x","")</f>
        <v/>
      </c>
      <c r="Z1891" s="525" t="str">
        <f>IF(AND(B1891&lt;=NKC!$N$8,B1891&gt;=NKC!$M$8),"x","")</f>
        <v>x</v>
      </c>
      <c r="AA1891" s="535"/>
    </row>
    <row r="1892" spans="1:31" s="503" customFormat="1" ht="15.75" customHeight="1">
      <c r="A1892" s="517" t="str">
        <f>IF(B1892&lt;&gt;"",IF(AND(B1892&gt;=_TM1,B1892&lt;=_TM2,OR(TH!L1892="1111",TH!M1892="1111")),TH!D1892,""),"")</f>
        <v/>
      </c>
      <c r="B1892" s="531">
        <f t="shared" si="180"/>
        <v>3</v>
      </c>
      <c r="C1892" s="315">
        <f t="shared" si="178"/>
        <v>42825</v>
      </c>
      <c r="D1892" s="315" t="s">
        <v>996</v>
      </c>
      <c r="E1892" s="545">
        <v>42825</v>
      </c>
      <c r="F1892" s="250" t="s">
        <v>732</v>
      </c>
      <c r="G1892" s="540" t="s">
        <v>789</v>
      </c>
      <c r="H1892" s="473" t="s">
        <v>800</v>
      </c>
      <c r="I1892" s="543">
        <v>10</v>
      </c>
      <c r="J1892" s="307">
        <v>52044</v>
      </c>
      <c r="K1892" s="532">
        <f t="shared" si="179"/>
        <v>520440</v>
      </c>
      <c r="L1892" s="539" t="s">
        <v>160</v>
      </c>
      <c r="M1892" s="539" t="s">
        <v>292</v>
      </c>
      <c r="N1892" s="525" t="str">
        <f>IF(AND('331-CT'!$E$7=TH!H1892,OR(L1892="331",M1892="331")),"331",IF(AND(OR(L1892="131",M1892="131"),H1892='131-CT'!$E$7),"131",""))</f>
        <v/>
      </c>
      <c r="O1892" s="525" t="str">
        <f>IF(AND($B1892&gt;='111'!$N$11,$B1892&lt;='111'!$O$11,OR($L1892=$O$7,$M1892=$O$7)),"x","")</f>
        <v/>
      </c>
      <c r="P1892" s="525" t="str">
        <f>IF(AND($L1892=$O$7,$B1892&lt;'111'!$N$11),"x","")</f>
        <v/>
      </c>
      <c r="Q1892" s="525" t="str">
        <f>IF(AND($M1892=$O$7,$B1892&lt;'111'!$N$11),"x","")</f>
        <v/>
      </c>
      <c r="R1892" s="525" t="str">
        <f>IF(ISERROR(FIND('112'!$M$9,G1892,1)),"",IF((AND(FIND('112'!$M$9,G1892,1)&gt;=1,$B1892&gt;='112'!$N$8,$B1892&lt;='112'!$O$8,OR($L1892='112'!$I$6,$M1892='112'!$I$6))),"x",""))</f>
        <v/>
      </c>
      <c r="S1892" s="525" t="str">
        <f>IF(ISERROR(FIND('112'!$M$9,G1892,1)),"",IF((AND(LEFT(G1892,2)=LEFT('112'!$M$9,2),B1892&lt;'112'!$N$8,$L1892='112'!$I$6)),"x",""))</f>
        <v/>
      </c>
      <c r="T1892" s="525" t="str">
        <f>IF(ISERROR(FIND('112'!$M$9,G1892,1)),"",IF((AND(RIGHT(G1892,2)=RIGHT('112'!$M$9,2),B1892&lt;'112'!$N$8,$M1892='112'!$I$6)),"x",""))</f>
        <v/>
      </c>
      <c r="U1892" s="525" t="str">
        <f>IF(AND(B1892&gt;='IN-NX'!$P$3,B1892&lt;='IN-NX'!$Q$3,'IN-NX'!$D$7=D1892,OR(LEFT(L1892,2)="15",AND(LEFT(M1892,2)&lt;&gt;"15",LEFT(M1892,2)&lt;&gt;"33"))),"x","")</f>
        <v/>
      </c>
      <c r="V1892" s="525" t="str">
        <f>IF(AND(OR(LEFT(TH!L1892,2)="15",LEFT(TH!M1892,2)="15"),'152-CT'!$J$8=TH!F1892),"x","")</f>
        <v/>
      </c>
      <c r="W1892" s="525" t="str">
        <f>IF(AND(OR(LEFT(TH!L1892,2)="15",LEFT(TH!M1892,2)="15"),TK!$E$7=TH!F1892),"x","")</f>
        <v/>
      </c>
      <c r="X1892" s="525" t="str">
        <f>IF(AND('341-CT'!$E$9=H1892,OR(LEFT(L1892,3)=$X$7,LEFT(M1892,3)=$X$7)),"x","")</f>
        <v/>
      </c>
      <c r="Y1892" s="525" t="str">
        <f>IF(OR(TH!L1892=TH!$Y$7,M1892=TH!$Y$7),"x","")</f>
        <v/>
      </c>
      <c r="Z1892" s="525" t="str">
        <f>IF(AND(B1892&lt;=NKC!$N$8,B1892&gt;=NKC!$M$8),"x","")</f>
        <v>x</v>
      </c>
      <c r="AA1892" s="535"/>
    </row>
    <row r="1893" spans="1:31" s="503" customFormat="1" ht="15.75" customHeight="1">
      <c r="A1893" s="517" t="str">
        <f>IF(B1893&lt;&gt;"",IF(AND(B1893&gt;=_TM1,B1893&lt;=_TM2,OR(TH!L1893="1111",TH!M1893="1111")),TH!D1893,""),"")</f>
        <v/>
      </c>
      <c r="B1893" s="531">
        <f t="shared" si="180"/>
        <v>3</v>
      </c>
      <c r="C1893" s="315">
        <f t="shared" si="178"/>
        <v>42825</v>
      </c>
      <c r="D1893" s="315" t="s">
        <v>996</v>
      </c>
      <c r="E1893" s="545">
        <v>42825</v>
      </c>
      <c r="F1893" s="250" t="s">
        <v>733</v>
      </c>
      <c r="G1893" s="540" t="s">
        <v>789</v>
      </c>
      <c r="H1893" s="473" t="s">
        <v>800</v>
      </c>
      <c r="I1893" s="307">
        <v>100</v>
      </c>
      <c r="J1893" s="307">
        <v>42608</v>
      </c>
      <c r="K1893" s="532">
        <f t="shared" si="179"/>
        <v>4260800</v>
      </c>
      <c r="L1893" s="539" t="s">
        <v>160</v>
      </c>
      <c r="M1893" s="539" t="s">
        <v>292</v>
      </c>
      <c r="N1893" s="525" t="str">
        <f>IF(AND('331-CT'!$E$7=TH!H1893,OR(L1893="331",M1893="331")),"331",IF(AND(OR(L1893="131",M1893="131"),H1893='131-CT'!$E$7),"131",""))</f>
        <v/>
      </c>
      <c r="O1893" s="525" t="str">
        <f>IF(AND($B1893&gt;='111'!$N$11,$B1893&lt;='111'!$O$11,OR($L1893=$O$7,$M1893=$O$7)),"x","")</f>
        <v/>
      </c>
      <c r="P1893" s="525" t="str">
        <f>IF(AND($L1893=$O$7,$B1893&lt;'111'!$N$11),"x","")</f>
        <v/>
      </c>
      <c r="Q1893" s="525" t="str">
        <f>IF(AND($M1893=$O$7,$B1893&lt;'111'!$N$11),"x","")</f>
        <v/>
      </c>
      <c r="R1893" s="525" t="str">
        <f>IF(ISERROR(FIND('112'!$M$9,G1893,1)),"",IF((AND(FIND('112'!$M$9,G1893,1)&gt;=1,$B1893&gt;='112'!$N$8,$B1893&lt;='112'!$O$8,OR($L1893='112'!$I$6,$M1893='112'!$I$6))),"x",""))</f>
        <v/>
      </c>
      <c r="S1893" s="525" t="str">
        <f>IF(ISERROR(FIND('112'!$M$9,G1893,1)),"",IF((AND(LEFT(G1893,2)=LEFT('112'!$M$9,2),B1893&lt;'112'!$N$8,$L1893='112'!$I$6)),"x",""))</f>
        <v/>
      </c>
      <c r="T1893" s="525" t="str">
        <f>IF(ISERROR(FIND('112'!$M$9,G1893,1)),"",IF((AND(RIGHT(G1893,2)=RIGHT('112'!$M$9,2),B1893&lt;'112'!$N$8,$M1893='112'!$I$6)),"x",""))</f>
        <v/>
      </c>
      <c r="U1893" s="525" t="str">
        <f>IF(AND(B1893&gt;='IN-NX'!$P$3,B1893&lt;='IN-NX'!$Q$3,'IN-NX'!$D$7=D1893,OR(LEFT(L1893,2)="15",AND(LEFT(M1893,2)&lt;&gt;"15",LEFT(M1893,2)&lt;&gt;"33"))),"x","")</f>
        <v/>
      </c>
      <c r="V1893" s="525" t="str">
        <f>IF(AND(OR(LEFT(TH!L1893,2)="15",LEFT(TH!M1893,2)="15"),'152-CT'!$J$8=TH!F1893),"x","")</f>
        <v/>
      </c>
      <c r="W1893" s="525" t="str">
        <f>IF(AND(OR(LEFT(TH!L1893,2)="15",LEFT(TH!M1893,2)="15"),TK!$E$7=TH!F1893),"x","")</f>
        <v/>
      </c>
      <c r="X1893" s="525" t="str">
        <f>IF(AND('341-CT'!$E$9=H1893,OR(LEFT(L1893,3)=$X$7,LEFT(M1893,3)=$X$7)),"x","")</f>
        <v/>
      </c>
      <c r="Y1893" s="525" t="str">
        <f>IF(OR(TH!L1893=TH!$Y$7,M1893=TH!$Y$7),"x","")</f>
        <v/>
      </c>
      <c r="Z1893" s="525" t="str">
        <f>IF(AND(B1893&lt;=NKC!$N$8,B1893&gt;=NKC!$M$8),"x","")</f>
        <v>x</v>
      </c>
      <c r="AA1893" s="535"/>
    </row>
    <row r="1894" spans="1:31" s="503" customFormat="1" ht="15.75" customHeight="1">
      <c r="A1894" s="517" t="str">
        <f>IF(B1894&lt;&gt;"",IF(AND(B1894&gt;=_TM1,B1894&lt;=_TM2,OR(TH!L1894="1111",TH!M1894="1111")),TH!D1894,""),"")</f>
        <v/>
      </c>
      <c r="B1894" s="531">
        <f t="shared" si="180"/>
        <v>3</v>
      </c>
      <c r="C1894" s="315">
        <f t="shared" si="178"/>
        <v>42825</v>
      </c>
      <c r="D1894" s="315" t="s">
        <v>996</v>
      </c>
      <c r="E1894" s="545">
        <v>42825</v>
      </c>
      <c r="F1894" s="250" t="s">
        <v>734</v>
      </c>
      <c r="G1894" s="540" t="s">
        <v>789</v>
      </c>
      <c r="H1894" s="473" t="s">
        <v>800</v>
      </c>
      <c r="I1894" s="307">
        <v>26</v>
      </c>
      <c r="J1894" s="307">
        <v>88471</v>
      </c>
      <c r="K1894" s="532">
        <f t="shared" si="179"/>
        <v>2300246</v>
      </c>
      <c r="L1894" s="539" t="s">
        <v>160</v>
      </c>
      <c r="M1894" s="539" t="s">
        <v>292</v>
      </c>
      <c r="N1894" s="525" t="str">
        <f>IF(AND('331-CT'!$E$7=TH!H1894,OR(L1894="331",M1894="331")),"331",IF(AND(OR(L1894="131",M1894="131"),H1894='131-CT'!$E$7),"131",""))</f>
        <v/>
      </c>
      <c r="O1894" s="525" t="str">
        <f>IF(AND($B1894&gt;='111'!$N$11,$B1894&lt;='111'!$O$11,OR($L1894=$O$7,$M1894=$O$7)),"x","")</f>
        <v/>
      </c>
      <c r="P1894" s="525" t="str">
        <f>IF(AND($L1894=$O$7,$B1894&lt;'111'!$N$11),"x","")</f>
        <v/>
      </c>
      <c r="Q1894" s="525" t="str">
        <f>IF(AND($M1894=$O$7,$B1894&lt;'111'!$N$11),"x","")</f>
        <v/>
      </c>
      <c r="R1894" s="525" t="str">
        <f>IF(ISERROR(FIND('112'!$M$9,G1894,1)),"",IF((AND(FIND('112'!$M$9,G1894,1)&gt;=1,$B1894&gt;='112'!$N$8,$B1894&lt;='112'!$O$8,OR($L1894='112'!$I$6,$M1894='112'!$I$6))),"x",""))</f>
        <v/>
      </c>
      <c r="S1894" s="525" t="str">
        <f>IF(ISERROR(FIND('112'!$M$9,G1894,1)),"",IF((AND(LEFT(G1894,2)=LEFT('112'!$M$9,2),B1894&lt;'112'!$N$8,$L1894='112'!$I$6)),"x",""))</f>
        <v/>
      </c>
      <c r="T1894" s="525" t="str">
        <f>IF(ISERROR(FIND('112'!$M$9,G1894,1)),"",IF((AND(RIGHT(G1894,2)=RIGHT('112'!$M$9,2),B1894&lt;'112'!$N$8,$M1894='112'!$I$6)),"x",""))</f>
        <v/>
      </c>
      <c r="U1894" s="525" t="str">
        <f>IF(AND(B1894&gt;='IN-NX'!$P$3,B1894&lt;='IN-NX'!$Q$3,'IN-NX'!$D$7=D1894,OR(LEFT(L1894,2)="15",AND(LEFT(M1894,2)&lt;&gt;"15",LEFT(M1894,2)&lt;&gt;"33"))),"x","")</f>
        <v/>
      </c>
      <c r="V1894" s="525" t="str">
        <f>IF(AND(OR(LEFT(TH!L1894,2)="15",LEFT(TH!M1894,2)="15"),'152-CT'!$J$8=TH!F1894),"x","")</f>
        <v/>
      </c>
      <c r="W1894" s="525" t="str">
        <f>IF(AND(OR(LEFT(TH!L1894,2)="15",LEFT(TH!M1894,2)="15"),TK!$E$7=TH!F1894),"x","")</f>
        <v/>
      </c>
      <c r="X1894" s="525" t="str">
        <f>IF(AND('341-CT'!$E$9=H1894,OR(LEFT(L1894,3)=$X$7,LEFT(M1894,3)=$X$7)),"x","")</f>
        <v/>
      </c>
      <c r="Y1894" s="525" t="str">
        <f>IF(OR(TH!L1894=TH!$Y$7,M1894=TH!$Y$7),"x","")</f>
        <v/>
      </c>
      <c r="Z1894" s="525" t="str">
        <f>IF(AND(B1894&lt;=NKC!$N$8,B1894&gt;=NKC!$M$8),"x","")</f>
        <v>x</v>
      </c>
      <c r="AA1894" s="535"/>
    </row>
    <row r="1895" spans="1:31" s="503" customFormat="1" ht="15.75" customHeight="1">
      <c r="A1895" s="517" t="str">
        <f>IF(B1895&lt;&gt;"",IF(AND(B1895&gt;=_TM1,B1895&lt;=_TM2,OR(TH!L1895="1111",TH!M1895="1111")),TH!D1895,""),"")</f>
        <v/>
      </c>
      <c r="B1895" s="531">
        <f t="shared" si="180"/>
        <v>3</v>
      </c>
      <c r="C1895" s="315">
        <f t="shared" si="178"/>
        <v>42825</v>
      </c>
      <c r="D1895" s="315" t="s">
        <v>996</v>
      </c>
      <c r="E1895" s="545">
        <v>42825</v>
      </c>
      <c r="F1895" s="249" t="s">
        <v>687</v>
      </c>
      <c r="G1895" s="314" t="s">
        <v>789</v>
      </c>
      <c r="H1895" s="473" t="s">
        <v>800</v>
      </c>
      <c r="I1895" s="307">
        <v>6</v>
      </c>
      <c r="J1895" s="307">
        <v>41341</v>
      </c>
      <c r="K1895" s="532">
        <f t="shared" si="179"/>
        <v>248046</v>
      </c>
      <c r="L1895" s="539" t="s">
        <v>160</v>
      </c>
      <c r="M1895" s="539" t="s">
        <v>292</v>
      </c>
      <c r="N1895" s="525" t="str">
        <f>IF(AND('331-CT'!$E$7=TH!H1895,OR(L1895="331",M1895="331")),"331",IF(AND(OR(L1895="131",M1895="131"),H1895='131-CT'!$E$7),"131",""))</f>
        <v/>
      </c>
      <c r="O1895" s="525" t="str">
        <f>IF(AND($B1895&gt;='111'!$N$11,$B1895&lt;='111'!$O$11,OR($L1895=$O$7,$M1895=$O$7)),"x","")</f>
        <v/>
      </c>
      <c r="P1895" s="525" t="str">
        <f>IF(AND($L1895=$O$7,$B1895&lt;'111'!$N$11),"x","")</f>
        <v/>
      </c>
      <c r="Q1895" s="525" t="str">
        <f>IF(AND($M1895=$O$7,$B1895&lt;'111'!$N$11),"x","")</f>
        <v/>
      </c>
      <c r="R1895" s="525" t="str">
        <f>IF(ISERROR(FIND('112'!$M$9,G1895,1)),"",IF((AND(FIND('112'!$M$9,G1895,1)&gt;=1,$B1895&gt;='112'!$N$8,$B1895&lt;='112'!$O$8,OR($L1895='112'!$I$6,$M1895='112'!$I$6))),"x",""))</f>
        <v/>
      </c>
      <c r="S1895" s="525" t="str">
        <f>IF(ISERROR(FIND('112'!$M$9,G1895,1)),"",IF((AND(LEFT(G1895,2)=LEFT('112'!$M$9,2),B1895&lt;'112'!$N$8,$L1895='112'!$I$6)),"x",""))</f>
        <v/>
      </c>
      <c r="T1895" s="525" t="str">
        <f>IF(ISERROR(FIND('112'!$M$9,G1895,1)),"",IF((AND(RIGHT(G1895,2)=RIGHT('112'!$M$9,2),B1895&lt;'112'!$N$8,$M1895='112'!$I$6)),"x",""))</f>
        <v/>
      </c>
      <c r="U1895" s="525" t="str">
        <f>IF(AND(B1895&gt;='IN-NX'!$P$3,B1895&lt;='IN-NX'!$Q$3,'IN-NX'!$D$7=D1895,OR(LEFT(L1895,2)="15",AND(LEFT(M1895,2)&lt;&gt;"15",LEFT(M1895,2)&lt;&gt;"33"))),"x","")</f>
        <v/>
      </c>
      <c r="V1895" s="525" t="str">
        <f>IF(AND(OR(LEFT(TH!L1895,2)="15",LEFT(TH!M1895,2)="15"),'152-CT'!$J$8=TH!F1895),"x","")</f>
        <v/>
      </c>
      <c r="W1895" s="525" t="str">
        <f>IF(AND(OR(LEFT(TH!L1895,2)="15",LEFT(TH!M1895,2)="15"),TK!$E$7=TH!F1895),"x","")</f>
        <v/>
      </c>
      <c r="X1895" s="525" t="str">
        <f>IF(AND('341-CT'!$E$9=H1895,OR(LEFT(L1895,3)=$X$7,LEFT(M1895,3)=$X$7)),"x","")</f>
        <v/>
      </c>
      <c r="Y1895" s="525" t="str">
        <f>IF(OR(TH!L1895=TH!$Y$7,M1895=TH!$Y$7),"x","")</f>
        <v/>
      </c>
      <c r="Z1895" s="525" t="str">
        <f>IF(AND(B1895&lt;=NKC!$N$8,B1895&gt;=NKC!$M$8),"x","")</f>
        <v>x</v>
      </c>
      <c r="AA1895" s="535"/>
      <c r="AB1895" s="536"/>
      <c r="AE1895" s="536"/>
    </row>
    <row r="1896" spans="1:31" s="503" customFormat="1" ht="15.75" customHeight="1">
      <c r="A1896" s="517" t="str">
        <f>IF(B1896&lt;&gt;"",IF(AND(B1896&gt;=_TM1,B1896&lt;=_TM2,OR(TH!L1896="1111",TH!M1896="1111")),TH!D1896,""),"")</f>
        <v/>
      </c>
      <c r="B1896" s="531">
        <f t="shared" si="180"/>
        <v>3</v>
      </c>
      <c r="C1896" s="315">
        <f t="shared" si="178"/>
        <v>42825</v>
      </c>
      <c r="D1896" s="315" t="s">
        <v>996</v>
      </c>
      <c r="E1896" s="545">
        <v>42825</v>
      </c>
      <c r="F1896" s="249" t="s">
        <v>704</v>
      </c>
      <c r="G1896" s="314" t="s">
        <v>789</v>
      </c>
      <c r="H1896" s="473" t="s">
        <v>800</v>
      </c>
      <c r="I1896" s="307">
        <v>246</v>
      </c>
      <c r="J1896" s="307">
        <v>17250</v>
      </c>
      <c r="K1896" s="532">
        <f t="shared" si="179"/>
        <v>4243500</v>
      </c>
      <c r="L1896" s="539" t="s">
        <v>160</v>
      </c>
      <c r="M1896" s="539" t="s">
        <v>292</v>
      </c>
      <c r="N1896" s="525" t="str">
        <f>IF(AND('331-CT'!$E$7=TH!H1896,OR(L1896="331",M1896="331")),"331",IF(AND(OR(L1896="131",M1896="131"),H1896='131-CT'!$E$7),"131",""))</f>
        <v/>
      </c>
      <c r="O1896" s="525" t="str">
        <f>IF(AND($B1896&gt;='111'!$N$11,$B1896&lt;='111'!$O$11,OR($L1896=$O$7,$M1896=$O$7)),"x","")</f>
        <v/>
      </c>
      <c r="P1896" s="525" t="str">
        <f>IF(AND($L1896=$O$7,$B1896&lt;'111'!$N$11),"x","")</f>
        <v/>
      </c>
      <c r="Q1896" s="525" t="str">
        <f>IF(AND($M1896=$O$7,$B1896&lt;'111'!$N$11),"x","")</f>
        <v/>
      </c>
      <c r="R1896" s="525" t="str">
        <f>IF(ISERROR(FIND('112'!$M$9,G1896,1)),"",IF((AND(FIND('112'!$M$9,G1896,1)&gt;=1,$B1896&gt;='112'!$N$8,$B1896&lt;='112'!$O$8,OR($L1896='112'!$I$6,$M1896='112'!$I$6))),"x",""))</f>
        <v/>
      </c>
      <c r="S1896" s="525" t="str">
        <f>IF(ISERROR(FIND('112'!$M$9,G1896,1)),"",IF((AND(LEFT(G1896,2)=LEFT('112'!$M$9,2),B1896&lt;'112'!$N$8,$L1896='112'!$I$6)),"x",""))</f>
        <v/>
      </c>
      <c r="T1896" s="525" t="str">
        <f>IF(ISERROR(FIND('112'!$M$9,G1896,1)),"",IF((AND(RIGHT(G1896,2)=RIGHT('112'!$M$9,2),B1896&lt;'112'!$N$8,$M1896='112'!$I$6)),"x",""))</f>
        <v/>
      </c>
      <c r="U1896" s="525" t="str">
        <f>IF(AND(B1896&gt;='IN-NX'!$P$3,B1896&lt;='IN-NX'!$Q$3,'IN-NX'!$D$7=D1896,OR(LEFT(L1896,2)="15",AND(LEFT(M1896,2)&lt;&gt;"15",LEFT(M1896,2)&lt;&gt;"33"))),"x","")</f>
        <v/>
      </c>
      <c r="V1896" s="525" t="str">
        <f>IF(AND(OR(LEFT(TH!L1896,2)="15",LEFT(TH!M1896,2)="15"),'152-CT'!$J$8=TH!F1896),"x","")</f>
        <v/>
      </c>
      <c r="W1896" s="525" t="str">
        <f>IF(AND(OR(LEFT(TH!L1896,2)="15",LEFT(TH!M1896,2)="15"),TK!$E$7=TH!F1896),"x","")</f>
        <v/>
      </c>
      <c r="X1896" s="525" t="str">
        <f>IF(AND('341-CT'!$E$9=H1896,OR(LEFT(L1896,3)=$X$7,LEFT(M1896,3)=$X$7)),"x","")</f>
        <v/>
      </c>
      <c r="Y1896" s="525" t="str">
        <f>IF(OR(TH!L1896=TH!$Y$7,M1896=TH!$Y$7),"x","")</f>
        <v/>
      </c>
      <c r="Z1896" s="525" t="str">
        <f>IF(AND(B1896&lt;=NKC!$N$8,B1896&gt;=NKC!$M$8),"x","")</f>
        <v>x</v>
      </c>
      <c r="AA1896" s="535"/>
      <c r="AE1896" s="536"/>
    </row>
    <row r="1897" spans="1:31" s="503" customFormat="1" ht="15.75" customHeight="1">
      <c r="A1897" s="517" t="str">
        <f>IF(B1897&lt;&gt;"",IF(AND(B1897&gt;=_TM1,B1897&lt;=_TM2,OR(TH!L1897="1111",TH!M1897="1111")),TH!D1897,""),"")</f>
        <v/>
      </c>
      <c r="B1897" s="531">
        <f t="shared" si="180"/>
        <v>3</v>
      </c>
      <c r="C1897" s="315">
        <f t="shared" si="178"/>
        <v>42825</v>
      </c>
      <c r="D1897" s="315" t="s">
        <v>996</v>
      </c>
      <c r="E1897" s="545">
        <v>42825</v>
      </c>
      <c r="F1897" s="249" t="s">
        <v>705</v>
      </c>
      <c r="G1897" s="314" t="s">
        <v>789</v>
      </c>
      <c r="H1897" s="473" t="s">
        <v>800</v>
      </c>
      <c r="I1897" s="307">
        <v>32</v>
      </c>
      <c r="J1897" s="307">
        <v>44442</v>
      </c>
      <c r="K1897" s="532">
        <f t="shared" si="179"/>
        <v>1422144</v>
      </c>
      <c r="L1897" s="539" t="s">
        <v>160</v>
      </c>
      <c r="M1897" s="539" t="s">
        <v>292</v>
      </c>
      <c r="N1897" s="525" t="str">
        <f>IF(AND('331-CT'!$E$7=TH!H1897,OR(L1897="331",M1897="331")),"331",IF(AND(OR(L1897="131",M1897="131"),H1897='131-CT'!$E$7),"131",""))</f>
        <v/>
      </c>
      <c r="O1897" s="525" t="str">
        <f>IF(AND($B1897&gt;='111'!$N$11,$B1897&lt;='111'!$O$11,OR($L1897=$O$7,$M1897=$O$7)),"x","")</f>
        <v/>
      </c>
      <c r="P1897" s="525" t="str">
        <f>IF(AND($L1897=$O$7,$B1897&lt;'111'!$N$11),"x","")</f>
        <v/>
      </c>
      <c r="Q1897" s="525" t="str">
        <f>IF(AND($M1897=$O$7,$B1897&lt;'111'!$N$11),"x","")</f>
        <v/>
      </c>
      <c r="R1897" s="525" t="str">
        <f>IF(ISERROR(FIND('112'!$M$9,G1897,1)),"",IF((AND(FIND('112'!$M$9,G1897,1)&gt;=1,$B1897&gt;='112'!$N$8,$B1897&lt;='112'!$O$8,OR($L1897='112'!$I$6,$M1897='112'!$I$6))),"x",""))</f>
        <v/>
      </c>
      <c r="S1897" s="525" t="str">
        <f>IF(ISERROR(FIND('112'!$M$9,G1897,1)),"",IF((AND(LEFT(G1897,2)=LEFT('112'!$M$9,2),B1897&lt;'112'!$N$8,$L1897='112'!$I$6)),"x",""))</f>
        <v/>
      </c>
      <c r="T1897" s="525" t="str">
        <f>IF(ISERROR(FIND('112'!$M$9,G1897,1)),"",IF((AND(RIGHT(G1897,2)=RIGHT('112'!$M$9,2),B1897&lt;'112'!$N$8,$M1897='112'!$I$6)),"x",""))</f>
        <v/>
      </c>
      <c r="U1897" s="525" t="str">
        <f>IF(AND(B1897&gt;='IN-NX'!$P$3,B1897&lt;='IN-NX'!$Q$3,'IN-NX'!$D$7=D1897,OR(LEFT(L1897,2)="15",AND(LEFT(M1897,2)&lt;&gt;"15",LEFT(M1897,2)&lt;&gt;"33"))),"x","")</f>
        <v/>
      </c>
      <c r="V1897" s="525" t="str">
        <f>IF(AND(OR(LEFT(TH!L1897,2)="15",LEFT(TH!M1897,2)="15"),'152-CT'!$J$8=TH!F1897),"x","")</f>
        <v/>
      </c>
      <c r="W1897" s="525" t="str">
        <f>IF(AND(OR(LEFT(TH!L1897,2)="15",LEFT(TH!M1897,2)="15"),TK!$E$7=TH!F1897),"x","")</f>
        <v/>
      </c>
      <c r="X1897" s="525" t="str">
        <f>IF(AND('341-CT'!$E$9=H1897,OR(LEFT(L1897,3)=$X$7,LEFT(M1897,3)=$X$7)),"x","")</f>
        <v/>
      </c>
      <c r="Y1897" s="525" t="str">
        <f>IF(OR(TH!L1897=TH!$Y$7,M1897=TH!$Y$7),"x","")</f>
        <v/>
      </c>
      <c r="Z1897" s="525" t="str">
        <f>IF(AND(B1897&lt;=NKC!$N$8,B1897&gt;=NKC!$M$8),"x","")</f>
        <v>x</v>
      </c>
      <c r="AA1897" s="535"/>
      <c r="AB1897" s="536"/>
    </row>
    <row r="1898" spans="1:31" s="503" customFormat="1" ht="15.75" customHeight="1">
      <c r="A1898" s="517" t="str">
        <f>IF(B1898&lt;&gt;"",IF(AND(B1898&gt;=_TM1,B1898&lt;=_TM2,OR(TH!L1898="1111",TH!M1898="1111")),TH!D1898,""),"")</f>
        <v/>
      </c>
      <c r="B1898" s="531">
        <f t="shared" si="180"/>
        <v>3</v>
      </c>
      <c r="C1898" s="315">
        <f t="shared" si="178"/>
        <v>42825</v>
      </c>
      <c r="D1898" s="315" t="s">
        <v>996</v>
      </c>
      <c r="E1898" s="545">
        <v>42825</v>
      </c>
      <c r="F1898" s="249" t="s">
        <v>706</v>
      </c>
      <c r="G1898" s="314" t="s">
        <v>789</v>
      </c>
      <c r="H1898" s="473" t="s">
        <v>800</v>
      </c>
      <c r="I1898" s="307">
        <v>8</v>
      </c>
      <c r="J1898" s="307">
        <v>24338</v>
      </c>
      <c r="K1898" s="532">
        <f t="shared" si="179"/>
        <v>194704</v>
      </c>
      <c r="L1898" s="539" t="s">
        <v>160</v>
      </c>
      <c r="M1898" s="539" t="s">
        <v>292</v>
      </c>
      <c r="N1898" s="525" t="str">
        <f>IF(AND('331-CT'!$E$7=TH!H1898,OR(L1898="331",M1898="331")),"331",IF(AND(OR(L1898="131",M1898="131"),H1898='131-CT'!$E$7),"131",""))</f>
        <v/>
      </c>
      <c r="O1898" s="525" t="str">
        <f>IF(AND($B1898&gt;='111'!$N$11,$B1898&lt;='111'!$O$11,OR($L1898=$O$7,$M1898=$O$7)),"x","")</f>
        <v/>
      </c>
      <c r="P1898" s="525" t="str">
        <f>IF(AND($L1898=$O$7,$B1898&lt;'111'!$N$11),"x","")</f>
        <v/>
      </c>
      <c r="Q1898" s="525" t="str">
        <f>IF(AND($M1898=$O$7,$B1898&lt;'111'!$N$11),"x","")</f>
        <v/>
      </c>
      <c r="R1898" s="525" t="str">
        <f>IF(ISERROR(FIND('112'!$M$9,G1898,1)),"",IF((AND(FIND('112'!$M$9,G1898,1)&gt;=1,$B1898&gt;='112'!$N$8,$B1898&lt;='112'!$O$8,OR($L1898='112'!$I$6,$M1898='112'!$I$6))),"x",""))</f>
        <v/>
      </c>
      <c r="S1898" s="525" t="str">
        <f>IF(ISERROR(FIND('112'!$M$9,G1898,1)),"",IF((AND(LEFT(G1898,2)=LEFT('112'!$M$9,2),B1898&lt;'112'!$N$8,$L1898='112'!$I$6)),"x",""))</f>
        <v/>
      </c>
      <c r="T1898" s="525" t="str">
        <f>IF(ISERROR(FIND('112'!$M$9,G1898,1)),"",IF((AND(RIGHT(G1898,2)=RIGHT('112'!$M$9,2),B1898&lt;'112'!$N$8,$M1898='112'!$I$6)),"x",""))</f>
        <v/>
      </c>
      <c r="U1898" s="525" t="str">
        <f>IF(AND(B1898&gt;='IN-NX'!$P$3,B1898&lt;='IN-NX'!$Q$3,'IN-NX'!$D$7=D1898,OR(LEFT(L1898,2)="15",AND(LEFT(M1898,2)&lt;&gt;"15",LEFT(M1898,2)&lt;&gt;"33"))),"x","")</f>
        <v/>
      </c>
      <c r="V1898" s="525" t="str">
        <f>IF(AND(OR(LEFT(TH!L1898,2)="15",LEFT(TH!M1898,2)="15"),'152-CT'!$J$8=TH!F1898),"x","")</f>
        <v/>
      </c>
      <c r="W1898" s="525" t="str">
        <f>IF(AND(OR(LEFT(TH!L1898,2)="15",LEFT(TH!M1898,2)="15"),TK!$E$7=TH!F1898),"x","")</f>
        <v/>
      </c>
      <c r="X1898" s="525" t="str">
        <f>IF(AND('341-CT'!$E$9=H1898,OR(LEFT(L1898,3)=$X$7,LEFT(M1898,3)=$X$7)),"x","")</f>
        <v/>
      </c>
      <c r="Y1898" s="525" t="str">
        <f>IF(OR(TH!L1898=TH!$Y$7,M1898=TH!$Y$7),"x","")</f>
        <v/>
      </c>
      <c r="Z1898" s="525" t="str">
        <f>IF(AND(B1898&lt;=NKC!$N$8,B1898&gt;=NKC!$M$8),"x","")</f>
        <v>x</v>
      </c>
      <c r="AA1898" s="535"/>
      <c r="AB1898" s="536"/>
    </row>
    <row r="1899" spans="1:31" s="503" customFormat="1" ht="15.75" customHeight="1">
      <c r="A1899" s="517" t="str">
        <f>IF(B1899&lt;&gt;"",IF(AND(B1899&gt;=_TM1,B1899&lt;=_TM2,OR(TH!L1899="1111",TH!M1899="1111")),TH!D1899,""),"")</f>
        <v/>
      </c>
      <c r="B1899" s="531">
        <f t="shared" si="180"/>
        <v>3</v>
      </c>
      <c r="C1899" s="315">
        <f t="shared" si="178"/>
        <v>42825</v>
      </c>
      <c r="D1899" s="315" t="s">
        <v>996</v>
      </c>
      <c r="E1899" s="545">
        <v>42825</v>
      </c>
      <c r="F1899" s="249" t="s">
        <v>619</v>
      </c>
      <c r="G1899" s="314" t="s">
        <v>789</v>
      </c>
      <c r="H1899" s="473" t="s">
        <v>800</v>
      </c>
      <c r="I1899" s="307">
        <v>36</v>
      </c>
      <c r="J1899" s="307">
        <v>31227</v>
      </c>
      <c r="K1899" s="532">
        <f t="shared" si="179"/>
        <v>1124172</v>
      </c>
      <c r="L1899" s="539" t="s">
        <v>160</v>
      </c>
      <c r="M1899" s="539" t="s">
        <v>292</v>
      </c>
      <c r="N1899" s="525" t="str">
        <f>IF(AND('331-CT'!$E$7=TH!H1899,OR(L1899="331",M1899="331")),"331",IF(AND(OR(L1899="131",M1899="131"),H1899='131-CT'!$E$7),"131",""))</f>
        <v/>
      </c>
      <c r="O1899" s="525" t="str">
        <f>IF(AND($B1899&gt;='111'!$N$11,$B1899&lt;='111'!$O$11,OR($L1899=$O$7,$M1899=$O$7)),"x","")</f>
        <v/>
      </c>
      <c r="P1899" s="525" t="str">
        <f>IF(AND($L1899=$O$7,$B1899&lt;'111'!$N$11),"x","")</f>
        <v/>
      </c>
      <c r="Q1899" s="525" t="str">
        <f>IF(AND($M1899=$O$7,$B1899&lt;'111'!$N$11),"x","")</f>
        <v/>
      </c>
      <c r="R1899" s="525" t="str">
        <f>IF(ISERROR(FIND('112'!$M$9,G1899,1)),"",IF((AND(FIND('112'!$M$9,G1899,1)&gt;=1,$B1899&gt;='112'!$N$8,$B1899&lt;='112'!$O$8,OR($L1899='112'!$I$6,$M1899='112'!$I$6))),"x",""))</f>
        <v/>
      </c>
      <c r="S1899" s="525" t="str">
        <f>IF(ISERROR(FIND('112'!$M$9,G1899,1)),"",IF((AND(LEFT(G1899,2)=LEFT('112'!$M$9,2),B1899&lt;'112'!$N$8,$L1899='112'!$I$6)),"x",""))</f>
        <v/>
      </c>
      <c r="T1899" s="525" t="str">
        <f>IF(ISERROR(FIND('112'!$M$9,G1899,1)),"",IF((AND(RIGHT(G1899,2)=RIGHT('112'!$M$9,2),B1899&lt;'112'!$N$8,$M1899='112'!$I$6)),"x",""))</f>
        <v/>
      </c>
      <c r="U1899" s="525" t="str">
        <f>IF(AND(B1899&gt;='IN-NX'!$P$3,B1899&lt;='IN-NX'!$Q$3,'IN-NX'!$D$7=D1899,OR(LEFT(L1899,2)="15",AND(LEFT(M1899,2)&lt;&gt;"15",LEFT(M1899,2)&lt;&gt;"33"))),"x","")</f>
        <v/>
      </c>
      <c r="V1899" s="525" t="str">
        <f>IF(AND(OR(LEFT(TH!L1899,2)="15",LEFT(TH!M1899,2)="15"),'152-CT'!$J$8=TH!F1899),"x","")</f>
        <v/>
      </c>
      <c r="W1899" s="525" t="str">
        <f>IF(AND(OR(LEFT(TH!L1899,2)="15",LEFT(TH!M1899,2)="15"),TK!$E$7=TH!F1899),"x","")</f>
        <v/>
      </c>
      <c r="X1899" s="525" t="str">
        <f>IF(AND('341-CT'!$E$9=H1899,OR(LEFT(L1899,3)=$X$7,LEFT(M1899,3)=$X$7)),"x","")</f>
        <v/>
      </c>
      <c r="Y1899" s="525" t="str">
        <f>IF(OR(TH!L1899=TH!$Y$7,M1899=TH!$Y$7),"x","")</f>
        <v/>
      </c>
      <c r="Z1899" s="525" t="str">
        <f>IF(AND(B1899&lt;=NKC!$N$8,B1899&gt;=NKC!$M$8),"x","")</f>
        <v>x</v>
      </c>
      <c r="AA1899" s="535"/>
      <c r="AB1899" s="536"/>
      <c r="AE1899" s="536"/>
    </row>
    <row r="1900" spans="1:31" s="503" customFormat="1" ht="15.75" customHeight="1">
      <c r="A1900" s="517" t="str">
        <f>IF(B1900&lt;&gt;"",IF(AND(B1900&gt;=_TM1,B1900&lt;=_TM2,OR(TH!L1900="1111",TH!M1900="1111")),TH!D1900,""),"")</f>
        <v/>
      </c>
      <c r="B1900" s="531">
        <f t="shared" si="180"/>
        <v>3</v>
      </c>
      <c r="C1900" s="315">
        <f t="shared" si="178"/>
        <v>42825</v>
      </c>
      <c r="D1900" s="315" t="s">
        <v>996</v>
      </c>
      <c r="E1900" s="545">
        <v>42825</v>
      </c>
      <c r="F1900" s="249" t="s">
        <v>710</v>
      </c>
      <c r="G1900" s="314" t="s">
        <v>789</v>
      </c>
      <c r="H1900" s="473" t="s">
        <v>800</v>
      </c>
      <c r="I1900" s="307">
        <v>36</v>
      </c>
      <c r="J1900" s="307">
        <v>20357</v>
      </c>
      <c r="K1900" s="532">
        <f t="shared" si="179"/>
        <v>732852</v>
      </c>
      <c r="L1900" s="539" t="s">
        <v>160</v>
      </c>
      <c r="M1900" s="539" t="s">
        <v>292</v>
      </c>
      <c r="N1900" s="525" t="str">
        <f>IF(AND('331-CT'!$E$7=TH!H1900,OR(L1900="331",M1900="331")),"331",IF(AND(OR(L1900="131",M1900="131"),H1900='131-CT'!$E$7),"131",""))</f>
        <v/>
      </c>
      <c r="O1900" s="525" t="str">
        <f>IF(AND($B1900&gt;='111'!$N$11,$B1900&lt;='111'!$O$11,OR($L1900=$O$7,$M1900=$O$7)),"x","")</f>
        <v/>
      </c>
      <c r="P1900" s="525" t="str">
        <f>IF(AND($L1900=$O$7,$B1900&lt;'111'!$N$11),"x","")</f>
        <v/>
      </c>
      <c r="Q1900" s="525" t="str">
        <f>IF(AND($M1900=$O$7,$B1900&lt;'111'!$N$11),"x","")</f>
        <v/>
      </c>
      <c r="R1900" s="525" t="str">
        <f>IF(ISERROR(FIND('112'!$M$9,G1900,1)),"",IF((AND(FIND('112'!$M$9,G1900,1)&gt;=1,$B1900&gt;='112'!$N$8,$B1900&lt;='112'!$O$8,OR($L1900='112'!$I$6,$M1900='112'!$I$6))),"x",""))</f>
        <v/>
      </c>
      <c r="S1900" s="525" t="str">
        <f>IF(ISERROR(FIND('112'!$M$9,G1900,1)),"",IF((AND(LEFT(G1900,2)=LEFT('112'!$M$9,2),B1900&lt;'112'!$N$8,$L1900='112'!$I$6)),"x",""))</f>
        <v/>
      </c>
      <c r="T1900" s="525" t="str">
        <f>IF(ISERROR(FIND('112'!$M$9,G1900,1)),"",IF((AND(RIGHT(G1900,2)=RIGHT('112'!$M$9,2),B1900&lt;'112'!$N$8,$M1900='112'!$I$6)),"x",""))</f>
        <v/>
      </c>
      <c r="U1900" s="525" t="str">
        <f>IF(AND(B1900&gt;='IN-NX'!$P$3,B1900&lt;='IN-NX'!$Q$3,'IN-NX'!$D$7=D1900,OR(LEFT(L1900,2)="15",AND(LEFT(M1900,2)&lt;&gt;"15",LEFT(M1900,2)&lt;&gt;"33"))),"x","")</f>
        <v/>
      </c>
      <c r="V1900" s="525" t="str">
        <f>IF(AND(OR(LEFT(TH!L1900,2)="15",LEFT(TH!M1900,2)="15"),'152-CT'!$J$8=TH!F1900),"x","")</f>
        <v/>
      </c>
      <c r="W1900" s="525" t="str">
        <f>IF(AND(OR(LEFT(TH!L1900,2)="15",LEFT(TH!M1900,2)="15"),TK!$E$7=TH!F1900),"x","")</f>
        <v/>
      </c>
      <c r="X1900" s="525" t="str">
        <f>IF(AND('341-CT'!$E$9=H1900,OR(LEFT(L1900,3)=$X$7,LEFT(M1900,3)=$X$7)),"x","")</f>
        <v/>
      </c>
      <c r="Y1900" s="525" t="str">
        <f>IF(OR(TH!L1900=TH!$Y$7,M1900=TH!$Y$7),"x","")</f>
        <v/>
      </c>
      <c r="Z1900" s="525" t="str">
        <f>IF(AND(B1900&lt;=NKC!$N$8,B1900&gt;=NKC!$M$8),"x","")</f>
        <v>x</v>
      </c>
      <c r="AA1900" s="535"/>
      <c r="AB1900" s="536"/>
      <c r="AE1900" s="536"/>
    </row>
    <row r="1901" spans="1:31" s="503" customFormat="1" ht="15.75" customHeight="1">
      <c r="A1901" s="517" t="str">
        <f>IF(B1901&lt;&gt;"",IF(AND(B1901&gt;=_TM1,B1901&lt;=_TM2,OR(TH!L1901="1111",TH!M1901="1111")),TH!D1901,""),"")</f>
        <v/>
      </c>
      <c r="B1901" s="531">
        <f t="shared" si="180"/>
        <v>3</v>
      </c>
      <c r="C1901" s="315">
        <f t="shared" si="178"/>
        <v>42825</v>
      </c>
      <c r="D1901" s="315" t="s">
        <v>996</v>
      </c>
      <c r="E1901" s="545">
        <v>42825</v>
      </c>
      <c r="F1901" s="249" t="s">
        <v>711</v>
      </c>
      <c r="G1901" s="314" t="s">
        <v>789</v>
      </c>
      <c r="H1901" s="473" t="s">
        <v>800</v>
      </c>
      <c r="I1901" s="307">
        <v>36</v>
      </c>
      <c r="J1901" s="307">
        <v>20682</v>
      </c>
      <c r="K1901" s="532">
        <f t="shared" si="179"/>
        <v>744552</v>
      </c>
      <c r="L1901" s="539" t="s">
        <v>160</v>
      </c>
      <c r="M1901" s="539" t="s">
        <v>292</v>
      </c>
      <c r="N1901" s="525" t="str">
        <f>IF(AND('331-CT'!$E$7=TH!H1901,OR(L1901="331",M1901="331")),"331",IF(AND(OR(L1901="131",M1901="131"),H1901='131-CT'!$E$7),"131",""))</f>
        <v/>
      </c>
      <c r="O1901" s="525" t="str">
        <f>IF(AND($B1901&gt;='111'!$N$11,$B1901&lt;='111'!$O$11,OR($L1901=$O$7,$M1901=$O$7)),"x","")</f>
        <v/>
      </c>
      <c r="P1901" s="525" t="str">
        <f>IF(AND($L1901=$O$7,$B1901&lt;'111'!$N$11),"x","")</f>
        <v/>
      </c>
      <c r="Q1901" s="525" t="str">
        <f>IF(AND($M1901=$O$7,$B1901&lt;'111'!$N$11),"x","")</f>
        <v/>
      </c>
      <c r="R1901" s="525" t="str">
        <f>IF(ISERROR(FIND('112'!$M$9,G1901,1)),"",IF((AND(FIND('112'!$M$9,G1901,1)&gt;=1,$B1901&gt;='112'!$N$8,$B1901&lt;='112'!$O$8,OR($L1901='112'!$I$6,$M1901='112'!$I$6))),"x",""))</f>
        <v/>
      </c>
      <c r="S1901" s="525" t="str">
        <f>IF(ISERROR(FIND('112'!$M$9,G1901,1)),"",IF((AND(LEFT(G1901,2)=LEFT('112'!$M$9,2),B1901&lt;'112'!$N$8,$L1901='112'!$I$6)),"x",""))</f>
        <v/>
      </c>
      <c r="T1901" s="525" t="str">
        <f>IF(ISERROR(FIND('112'!$M$9,G1901,1)),"",IF((AND(RIGHT(G1901,2)=RIGHT('112'!$M$9,2),B1901&lt;'112'!$N$8,$M1901='112'!$I$6)),"x",""))</f>
        <v/>
      </c>
      <c r="U1901" s="525" t="str">
        <f>IF(AND(B1901&gt;='IN-NX'!$P$3,B1901&lt;='IN-NX'!$Q$3,'IN-NX'!$D$7=D1901,OR(LEFT(L1901,2)="15",AND(LEFT(M1901,2)&lt;&gt;"15",LEFT(M1901,2)&lt;&gt;"33"))),"x","")</f>
        <v/>
      </c>
      <c r="V1901" s="525" t="str">
        <f>IF(AND(OR(LEFT(TH!L1901,2)="15",LEFT(TH!M1901,2)="15"),'152-CT'!$J$8=TH!F1901),"x","")</f>
        <v/>
      </c>
      <c r="W1901" s="525" t="str">
        <f>IF(AND(OR(LEFT(TH!L1901,2)="15",LEFT(TH!M1901,2)="15"),TK!$E$7=TH!F1901),"x","")</f>
        <v/>
      </c>
      <c r="X1901" s="525" t="str">
        <f>IF(AND('341-CT'!$E$9=H1901,OR(LEFT(L1901,3)=$X$7,LEFT(M1901,3)=$X$7)),"x","")</f>
        <v/>
      </c>
      <c r="Y1901" s="525" t="str">
        <f>IF(OR(TH!L1901=TH!$Y$7,M1901=TH!$Y$7),"x","")</f>
        <v/>
      </c>
      <c r="Z1901" s="525" t="str">
        <f>IF(AND(B1901&lt;=NKC!$N$8,B1901&gt;=NKC!$M$8),"x","")</f>
        <v>x</v>
      </c>
      <c r="AA1901" s="535"/>
      <c r="AB1901" s="536"/>
      <c r="AE1901" s="536"/>
    </row>
    <row r="1902" spans="1:31" s="503" customFormat="1" ht="15.75" customHeight="1">
      <c r="A1902" s="517" t="str">
        <f>IF(B1902&lt;&gt;"",IF(AND(B1902&gt;=_TM1,B1902&lt;=_TM2,OR(TH!L1902="1111",TH!M1902="1111")),TH!D1902,""),"")</f>
        <v/>
      </c>
      <c r="B1902" s="531">
        <f t="shared" si="180"/>
        <v>3</v>
      </c>
      <c r="C1902" s="315">
        <f t="shared" si="178"/>
        <v>42825</v>
      </c>
      <c r="D1902" s="315" t="s">
        <v>996</v>
      </c>
      <c r="E1902" s="545">
        <v>42825</v>
      </c>
      <c r="F1902" s="249" t="s">
        <v>746</v>
      </c>
      <c r="G1902" s="314" t="s">
        <v>789</v>
      </c>
      <c r="H1902" s="473" t="s">
        <v>800</v>
      </c>
      <c r="I1902" s="307">
        <v>6</v>
      </c>
      <c r="J1902" s="307">
        <v>20840</v>
      </c>
      <c r="K1902" s="532">
        <f t="shared" si="179"/>
        <v>125040</v>
      </c>
      <c r="L1902" s="539" t="s">
        <v>160</v>
      </c>
      <c r="M1902" s="539" t="s">
        <v>292</v>
      </c>
      <c r="N1902" s="525" t="str">
        <f>IF(AND('331-CT'!$E$7=TH!H1902,OR(L1902="331",M1902="331")),"331",IF(AND(OR(L1902="131",M1902="131"),H1902='131-CT'!$E$7),"131",""))</f>
        <v/>
      </c>
      <c r="O1902" s="525" t="str">
        <f>IF(AND($B1902&gt;='111'!$N$11,$B1902&lt;='111'!$O$11,OR($L1902=$O$7,$M1902=$O$7)),"x","")</f>
        <v/>
      </c>
      <c r="P1902" s="525" t="str">
        <f>IF(AND($L1902=$O$7,$B1902&lt;'111'!$N$11),"x","")</f>
        <v/>
      </c>
      <c r="Q1902" s="525" t="str">
        <f>IF(AND($M1902=$O$7,$B1902&lt;'111'!$N$11),"x","")</f>
        <v/>
      </c>
      <c r="R1902" s="525" t="str">
        <f>IF(ISERROR(FIND('112'!$M$9,G1902,1)),"",IF((AND(FIND('112'!$M$9,G1902,1)&gt;=1,$B1902&gt;='112'!$N$8,$B1902&lt;='112'!$O$8,OR($L1902='112'!$I$6,$M1902='112'!$I$6))),"x",""))</f>
        <v/>
      </c>
      <c r="S1902" s="525" t="str">
        <f>IF(ISERROR(FIND('112'!$M$9,G1902,1)),"",IF((AND(LEFT(G1902,2)=LEFT('112'!$M$9,2),B1902&lt;'112'!$N$8,$L1902='112'!$I$6)),"x",""))</f>
        <v/>
      </c>
      <c r="T1902" s="525" t="str">
        <f>IF(ISERROR(FIND('112'!$M$9,G1902,1)),"",IF((AND(RIGHT(G1902,2)=RIGHT('112'!$M$9,2),B1902&lt;'112'!$N$8,$M1902='112'!$I$6)),"x",""))</f>
        <v/>
      </c>
      <c r="U1902" s="525" t="str">
        <f>IF(AND(B1902&gt;='IN-NX'!$P$3,B1902&lt;='IN-NX'!$Q$3,'IN-NX'!$D$7=D1902,OR(LEFT(L1902,2)="15",AND(LEFT(M1902,2)&lt;&gt;"15",LEFT(M1902,2)&lt;&gt;"33"))),"x","")</f>
        <v/>
      </c>
      <c r="V1902" s="525" t="str">
        <f>IF(AND(OR(LEFT(TH!L1902,2)="15",LEFT(TH!M1902,2)="15"),'152-CT'!$J$8=TH!F1902),"x","")</f>
        <v/>
      </c>
      <c r="W1902" s="525" t="str">
        <f>IF(AND(OR(LEFT(TH!L1902,2)="15",LEFT(TH!M1902,2)="15"),TK!$E$7=TH!F1902),"x","")</f>
        <v/>
      </c>
      <c r="X1902" s="525" t="str">
        <f>IF(AND('341-CT'!$E$9=H1902,OR(LEFT(L1902,3)=$X$7,LEFT(M1902,3)=$X$7)),"x","")</f>
        <v/>
      </c>
      <c r="Y1902" s="525" t="str">
        <f>IF(OR(TH!L1902=TH!$Y$7,M1902=TH!$Y$7),"x","")</f>
        <v/>
      </c>
      <c r="Z1902" s="525" t="str">
        <f>IF(AND(B1902&lt;=NKC!$N$8,B1902&gt;=NKC!$M$8),"x","")</f>
        <v>x</v>
      </c>
      <c r="AA1902" s="535"/>
      <c r="AB1902" s="536"/>
      <c r="AE1902" s="536"/>
    </row>
    <row r="1903" spans="1:31" s="503" customFormat="1" ht="15.75" customHeight="1">
      <c r="A1903" s="517" t="str">
        <f>IF(B1903&lt;&gt;"",IF(AND(B1903&gt;=_TM1,B1903&lt;=_TM2,OR(TH!L1903="1111",TH!M1903="1111")),TH!D1903,""),"")</f>
        <v/>
      </c>
      <c r="B1903" s="531">
        <f t="shared" si="180"/>
        <v>3</v>
      </c>
      <c r="C1903" s="315">
        <f t="shared" si="178"/>
        <v>42825</v>
      </c>
      <c r="D1903" s="315" t="s">
        <v>996</v>
      </c>
      <c r="E1903" s="545">
        <v>42825</v>
      </c>
      <c r="F1903" s="249" t="s">
        <v>712</v>
      </c>
      <c r="G1903" s="314" t="s">
        <v>789</v>
      </c>
      <c r="H1903" s="473" t="s">
        <v>800</v>
      </c>
      <c r="I1903" s="307">
        <v>36</v>
      </c>
      <c r="J1903" s="307">
        <v>48271</v>
      </c>
      <c r="K1903" s="532">
        <f t="shared" si="179"/>
        <v>1737756</v>
      </c>
      <c r="L1903" s="539" t="s">
        <v>160</v>
      </c>
      <c r="M1903" s="539" t="s">
        <v>292</v>
      </c>
      <c r="N1903" s="525" t="str">
        <f>IF(AND('331-CT'!$E$7=TH!H1903,OR(L1903="331",M1903="331")),"331",IF(AND(OR(L1903="131",M1903="131"),H1903='131-CT'!$E$7),"131",""))</f>
        <v/>
      </c>
      <c r="O1903" s="525" t="str">
        <f>IF(AND($B1903&gt;='111'!$N$11,$B1903&lt;='111'!$O$11,OR($L1903=$O$7,$M1903=$O$7)),"x","")</f>
        <v/>
      </c>
      <c r="P1903" s="525" t="str">
        <f>IF(AND($L1903=$O$7,$B1903&lt;'111'!$N$11),"x","")</f>
        <v/>
      </c>
      <c r="Q1903" s="525" t="str">
        <f>IF(AND($M1903=$O$7,$B1903&lt;'111'!$N$11),"x","")</f>
        <v/>
      </c>
      <c r="R1903" s="525" t="str">
        <f>IF(ISERROR(FIND('112'!$M$9,G1903,1)),"",IF((AND(FIND('112'!$M$9,G1903,1)&gt;=1,$B1903&gt;='112'!$N$8,$B1903&lt;='112'!$O$8,OR($L1903='112'!$I$6,$M1903='112'!$I$6))),"x",""))</f>
        <v/>
      </c>
      <c r="S1903" s="525" t="str">
        <f>IF(ISERROR(FIND('112'!$M$9,G1903,1)),"",IF((AND(LEFT(G1903,2)=LEFT('112'!$M$9,2),B1903&lt;'112'!$N$8,$L1903='112'!$I$6)),"x",""))</f>
        <v/>
      </c>
      <c r="T1903" s="525" t="str">
        <f>IF(ISERROR(FIND('112'!$M$9,G1903,1)),"",IF((AND(RIGHT(G1903,2)=RIGHT('112'!$M$9,2),B1903&lt;'112'!$N$8,$M1903='112'!$I$6)),"x",""))</f>
        <v/>
      </c>
      <c r="U1903" s="525" t="str">
        <f>IF(AND(B1903&gt;='IN-NX'!$P$3,B1903&lt;='IN-NX'!$Q$3,'IN-NX'!$D$7=D1903,OR(LEFT(L1903,2)="15",AND(LEFT(M1903,2)&lt;&gt;"15",LEFT(M1903,2)&lt;&gt;"33"))),"x","")</f>
        <v/>
      </c>
      <c r="V1903" s="525" t="str">
        <f>IF(AND(OR(LEFT(TH!L1903,2)="15",LEFT(TH!M1903,2)="15"),'152-CT'!$J$8=TH!F1903),"x","")</f>
        <v/>
      </c>
      <c r="W1903" s="525" t="str">
        <f>IF(AND(OR(LEFT(TH!L1903,2)="15",LEFT(TH!M1903,2)="15"),TK!$E$7=TH!F1903),"x","")</f>
        <v/>
      </c>
      <c r="X1903" s="525" t="str">
        <f>IF(AND('341-CT'!$E$9=H1903,OR(LEFT(L1903,3)=$X$7,LEFT(M1903,3)=$X$7)),"x","")</f>
        <v/>
      </c>
      <c r="Y1903" s="525" t="str">
        <f>IF(OR(TH!L1903=TH!$Y$7,M1903=TH!$Y$7),"x","")</f>
        <v/>
      </c>
      <c r="Z1903" s="525" t="str">
        <f>IF(AND(B1903&lt;=NKC!$N$8,B1903&gt;=NKC!$M$8),"x","")</f>
        <v>x</v>
      </c>
      <c r="AA1903" s="535"/>
      <c r="AB1903" s="536"/>
      <c r="AE1903" s="536"/>
    </row>
    <row r="1904" spans="1:31" s="503" customFormat="1" ht="15.75" customHeight="1">
      <c r="A1904" s="517" t="str">
        <f>IF(B1904&lt;&gt;"",IF(AND(B1904&gt;=_TM1,B1904&lt;=_TM2,OR(TH!L1904="1111",TH!M1904="1111")),TH!D1904,""),"")</f>
        <v/>
      </c>
      <c r="B1904" s="531">
        <f t="shared" si="180"/>
        <v>3</v>
      </c>
      <c r="C1904" s="315">
        <f t="shared" si="178"/>
        <v>42825</v>
      </c>
      <c r="D1904" s="315" t="s">
        <v>996</v>
      </c>
      <c r="E1904" s="545">
        <v>42825</v>
      </c>
      <c r="F1904" s="249" t="s">
        <v>715</v>
      </c>
      <c r="G1904" s="314" t="s">
        <v>789</v>
      </c>
      <c r="H1904" s="473" t="s">
        <v>800</v>
      </c>
      <c r="I1904" s="307">
        <v>48</v>
      </c>
      <c r="J1904" s="307">
        <v>36447</v>
      </c>
      <c r="K1904" s="532">
        <f t="shared" si="179"/>
        <v>1749456</v>
      </c>
      <c r="L1904" s="539" t="s">
        <v>160</v>
      </c>
      <c r="M1904" s="539" t="s">
        <v>292</v>
      </c>
      <c r="N1904" s="525" t="str">
        <f>IF(AND('331-CT'!$E$7=TH!H1904,OR(L1904="331",M1904="331")),"331",IF(AND(OR(L1904="131",M1904="131"),H1904='131-CT'!$E$7),"131",""))</f>
        <v/>
      </c>
      <c r="O1904" s="525" t="str">
        <f>IF(AND($B1904&gt;='111'!$N$11,$B1904&lt;='111'!$O$11,OR($L1904=$O$7,$M1904=$O$7)),"x","")</f>
        <v/>
      </c>
      <c r="P1904" s="525" t="str">
        <f>IF(AND($L1904=$O$7,$B1904&lt;'111'!$N$11),"x","")</f>
        <v/>
      </c>
      <c r="Q1904" s="525" t="str">
        <f>IF(AND($M1904=$O$7,$B1904&lt;'111'!$N$11),"x","")</f>
        <v/>
      </c>
      <c r="R1904" s="525" t="str">
        <f>IF(ISERROR(FIND('112'!$M$9,G1904,1)),"",IF((AND(FIND('112'!$M$9,G1904,1)&gt;=1,$B1904&gt;='112'!$N$8,$B1904&lt;='112'!$O$8,OR($L1904='112'!$I$6,$M1904='112'!$I$6))),"x",""))</f>
        <v/>
      </c>
      <c r="S1904" s="525" t="str">
        <f>IF(ISERROR(FIND('112'!$M$9,G1904,1)),"",IF((AND(LEFT(G1904,2)=LEFT('112'!$M$9,2),B1904&lt;'112'!$N$8,$L1904='112'!$I$6)),"x",""))</f>
        <v/>
      </c>
      <c r="T1904" s="525" t="str">
        <f>IF(ISERROR(FIND('112'!$M$9,G1904,1)),"",IF((AND(RIGHT(G1904,2)=RIGHT('112'!$M$9,2),B1904&lt;'112'!$N$8,$M1904='112'!$I$6)),"x",""))</f>
        <v/>
      </c>
      <c r="U1904" s="525" t="str">
        <f>IF(AND(B1904&gt;='IN-NX'!$P$3,B1904&lt;='IN-NX'!$Q$3,'IN-NX'!$D$7=D1904,OR(LEFT(L1904,2)="15",AND(LEFT(M1904,2)&lt;&gt;"15",LEFT(M1904,2)&lt;&gt;"33"))),"x","")</f>
        <v/>
      </c>
      <c r="V1904" s="525" t="str">
        <f>IF(AND(OR(LEFT(TH!L1904,2)="15",LEFT(TH!M1904,2)="15"),'152-CT'!$J$8=TH!F1904),"x","")</f>
        <v/>
      </c>
      <c r="W1904" s="525" t="str">
        <f>IF(AND(OR(LEFT(TH!L1904,2)="15",LEFT(TH!M1904,2)="15"),TK!$E$7=TH!F1904),"x","")</f>
        <v/>
      </c>
      <c r="X1904" s="525" t="str">
        <f>IF(AND('341-CT'!$E$9=H1904,OR(LEFT(L1904,3)=$X$7,LEFT(M1904,3)=$X$7)),"x","")</f>
        <v/>
      </c>
      <c r="Y1904" s="525" t="str">
        <f>IF(OR(TH!L1904=TH!$Y$7,M1904=TH!$Y$7),"x","")</f>
        <v/>
      </c>
      <c r="Z1904" s="525" t="str">
        <f>IF(AND(B1904&lt;=NKC!$N$8,B1904&gt;=NKC!$M$8),"x","")</f>
        <v>x</v>
      </c>
      <c r="AA1904" s="535"/>
      <c r="AB1904" s="536"/>
      <c r="AE1904" s="536"/>
    </row>
    <row r="1905" spans="1:31" s="503" customFormat="1" ht="15.75" customHeight="1">
      <c r="A1905" s="517" t="str">
        <f>IF(B1905&lt;&gt;"",IF(AND(B1905&gt;=_TM1,B1905&lt;=_TM2,OR(TH!L1905="1111",TH!M1905="1111")),TH!D1905,""),"")</f>
        <v/>
      </c>
      <c r="B1905" s="531">
        <f t="shared" si="180"/>
        <v>3</v>
      </c>
      <c r="C1905" s="315">
        <f t="shared" si="178"/>
        <v>42825</v>
      </c>
      <c r="D1905" s="315" t="s">
        <v>996</v>
      </c>
      <c r="E1905" s="545">
        <v>42825</v>
      </c>
      <c r="F1905" s="249" t="s">
        <v>718</v>
      </c>
      <c r="G1905" s="314" t="s">
        <v>789</v>
      </c>
      <c r="H1905" s="473" t="s">
        <v>800</v>
      </c>
      <c r="I1905" s="307">
        <v>24</v>
      </c>
      <c r="J1905" s="307">
        <v>24628</v>
      </c>
      <c r="K1905" s="532">
        <f t="shared" si="179"/>
        <v>591072</v>
      </c>
      <c r="L1905" s="539" t="s">
        <v>160</v>
      </c>
      <c r="M1905" s="539" t="s">
        <v>292</v>
      </c>
      <c r="N1905" s="525" t="str">
        <f>IF(AND('331-CT'!$E$7=TH!H1905,OR(L1905="331",M1905="331")),"331",IF(AND(OR(L1905="131",M1905="131"),H1905='131-CT'!$E$7),"131",""))</f>
        <v/>
      </c>
      <c r="O1905" s="525" t="str">
        <f>IF(AND($B1905&gt;='111'!$N$11,$B1905&lt;='111'!$O$11,OR($L1905=$O$7,$M1905=$O$7)),"x","")</f>
        <v/>
      </c>
      <c r="P1905" s="525" t="str">
        <f>IF(AND($L1905=$O$7,$B1905&lt;'111'!$N$11),"x","")</f>
        <v/>
      </c>
      <c r="Q1905" s="525" t="str">
        <f>IF(AND($M1905=$O$7,$B1905&lt;'111'!$N$11),"x","")</f>
        <v/>
      </c>
      <c r="R1905" s="525" t="str">
        <f>IF(ISERROR(FIND('112'!$M$9,G1905,1)),"",IF((AND(FIND('112'!$M$9,G1905,1)&gt;=1,$B1905&gt;='112'!$N$8,$B1905&lt;='112'!$O$8,OR($L1905='112'!$I$6,$M1905='112'!$I$6))),"x",""))</f>
        <v/>
      </c>
      <c r="S1905" s="525" t="str">
        <f>IF(ISERROR(FIND('112'!$M$9,G1905,1)),"",IF((AND(LEFT(G1905,2)=LEFT('112'!$M$9,2),B1905&lt;'112'!$N$8,$L1905='112'!$I$6)),"x",""))</f>
        <v/>
      </c>
      <c r="T1905" s="525" t="str">
        <f>IF(ISERROR(FIND('112'!$M$9,G1905,1)),"",IF((AND(RIGHT(G1905,2)=RIGHT('112'!$M$9,2),B1905&lt;'112'!$N$8,$M1905='112'!$I$6)),"x",""))</f>
        <v/>
      </c>
      <c r="U1905" s="525" t="str">
        <f>IF(AND(B1905&gt;='IN-NX'!$P$3,B1905&lt;='IN-NX'!$Q$3,'IN-NX'!$D$7=D1905,OR(LEFT(L1905,2)="15",AND(LEFT(M1905,2)&lt;&gt;"15",LEFT(M1905,2)&lt;&gt;"33"))),"x","")</f>
        <v/>
      </c>
      <c r="V1905" s="525" t="str">
        <f>IF(AND(OR(LEFT(TH!L1905,2)="15",LEFT(TH!M1905,2)="15"),'152-CT'!$J$8=TH!F1905),"x","")</f>
        <v/>
      </c>
      <c r="W1905" s="525" t="str">
        <f>IF(AND(OR(LEFT(TH!L1905,2)="15",LEFT(TH!M1905,2)="15"),TK!$E$7=TH!F1905),"x","")</f>
        <v/>
      </c>
      <c r="X1905" s="525" t="str">
        <f>IF(AND('341-CT'!$E$9=H1905,OR(LEFT(L1905,3)=$X$7,LEFT(M1905,3)=$X$7)),"x","")</f>
        <v/>
      </c>
      <c r="Y1905" s="525" t="str">
        <f>IF(OR(TH!L1905=TH!$Y$7,M1905=TH!$Y$7),"x","")</f>
        <v/>
      </c>
      <c r="Z1905" s="525" t="str">
        <f>IF(AND(B1905&lt;=NKC!$N$8,B1905&gt;=NKC!$M$8),"x","")</f>
        <v>x</v>
      </c>
      <c r="AA1905" s="535"/>
      <c r="AB1905" s="536"/>
      <c r="AE1905" s="536"/>
    </row>
    <row r="1906" spans="1:31" s="503" customFormat="1" ht="15.75" customHeight="1">
      <c r="A1906" s="517" t="str">
        <f>IF(B1906&lt;&gt;"",IF(AND(B1906&gt;=_TM1,B1906&lt;=_TM2,OR(TH!L1906="1111",TH!M1906="1111")),TH!D1906,""),"")</f>
        <v/>
      </c>
      <c r="B1906" s="531">
        <f t="shared" si="180"/>
        <v>3</v>
      </c>
      <c r="C1906" s="315">
        <f t="shared" si="178"/>
        <v>42825</v>
      </c>
      <c r="D1906" s="315" t="s">
        <v>996</v>
      </c>
      <c r="E1906" s="545">
        <v>42825</v>
      </c>
      <c r="F1906" s="249" t="s">
        <v>712</v>
      </c>
      <c r="G1906" s="314" t="s">
        <v>789</v>
      </c>
      <c r="H1906" s="473" t="s">
        <v>800</v>
      </c>
      <c r="I1906" s="307">
        <v>36</v>
      </c>
      <c r="J1906" s="307">
        <v>45869</v>
      </c>
      <c r="K1906" s="532">
        <f t="shared" si="179"/>
        <v>1651284</v>
      </c>
      <c r="L1906" s="539" t="s">
        <v>160</v>
      </c>
      <c r="M1906" s="539" t="s">
        <v>292</v>
      </c>
      <c r="N1906" s="525" t="str">
        <f>IF(AND('331-CT'!$E$7=TH!H1906,OR(L1906="331",M1906="331")),"331",IF(AND(OR(L1906="131",M1906="131"),H1906='131-CT'!$E$7),"131",""))</f>
        <v/>
      </c>
      <c r="O1906" s="525" t="str">
        <f>IF(AND($B1906&gt;='111'!$N$11,$B1906&lt;='111'!$O$11,OR($L1906=$O$7,$M1906=$O$7)),"x","")</f>
        <v/>
      </c>
      <c r="P1906" s="525" t="str">
        <f>IF(AND($L1906=$O$7,$B1906&lt;'111'!$N$11),"x","")</f>
        <v/>
      </c>
      <c r="Q1906" s="525" t="str">
        <f>IF(AND($M1906=$O$7,$B1906&lt;'111'!$N$11),"x","")</f>
        <v/>
      </c>
      <c r="R1906" s="525" t="str">
        <f>IF(ISERROR(FIND('112'!$M$9,G1906,1)),"",IF((AND(FIND('112'!$M$9,G1906,1)&gt;=1,$B1906&gt;='112'!$N$8,$B1906&lt;='112'!$O$8,OR($L1906='112'!$I$6,$M1906='112'!$I$6))),"x",""))</f>
        <v/>
      </c>
      <c r="S1906" s="525" t="str">
        <f>IF(ISERROR(FIND('112'!$M$9,G1906,1)),"",IF((AND(LEFT(G1906,2)=LEFT('112'!$M$9,2),B1906&lt;'112'!$N$8,$L1906='112'!$I$6)),"x",""))</f>
        <v/>
      </c>
      <c r="T1906" s="525" t="str">
        <f>IF(ISERROR(FIND('112'!$M$9,G1906,1)),"",IF((AND(RIGHT(G1906,2)=RIGHT('112'!$M$9,2),B1906&lt;'112'!$N$8,$M1906='112'!$I$6)),"x",""))</f>
        <v/>
      </c>
      <c r="U1906" s="525" t="str">
        <f>IF(AND(B1906&gt;='IN-NX'!$P$3,B1906&lt;='IN-NX'!$Q$3,'IN-NX'!$D$7=D1906,OR(LEFT(L1906,2)="15",AND(LEFT(M1906,2)&lt;&gt;"15",LEFT(M1906,2)&lt;&gt;"33"))),"x","")</f>
        <v/>
      </c>
      <c r="V1906" s="525" t="str">
        <f>IF(AND(OR(LEFT(TH!L1906,2)="15",LEFT(TH!M1906,2)="15"),'152-CT'!$J$8=TH!F1906),"x","")</f>
        <v/>
      </c>
      <c r="W1906" s="525" t="str">
        <f>IF(AND(OR(LEFT(TH!L1906,2)="15",LEFT(TH!M1906,2)="15"),TK!$E$7=TH!F1906),"x","")</f>
        <v/>
      </c>
      <c r="X1906" s="525" t="str">
        <f>IF(AND('341-CT'!$E$9=H1906,OR(LEFT(L1906,3)=$X$7,LEFT(M1906,3)=$X$7)),"x","")</f>
        <v/>
      </c>
      <c r="Y1906" s="525" t="str">
        <f>IF(OR(TH!L1906=TH!$Y$7,M1906=TH!$Y$7),"x","")</f>
        <v/>
      </c>
      <c r="Z1906" s="525" t="str">
        <f>IF(AND(B1906&lt;=NKC!$N$8,B1906&gt;=NKC!$M$8),"x","")</f>
        <v>x</v>
      </c>
      <c r="AA1906" s="535"/>
      <c r="AB1906" s="536"/>
      <c r="AE1906" s="536"/>
    </row>
    <row r="1907" spans="1:31" s="503" customFormat="1" ht="15.75" customHeight="1">
      <c r="A1907" s="517" t="str">
        <f>IF(B1907&lt;&gt;"",IF(AND(B1907&gt;=_TM1,B1907&lt;=_TM2,OR(TH!L1907="1111",TH!M1907="1111")),TH!D1907,""),"")</f>
        <v/>
      </c>
      <c r="B1907" s="531">
        <f t="shared" si="180"/>
        <v>3</v>
      </c>
      <c r="C1907" s="315">
        <f t="shared" si="178"/>
        <v>42825</v>
      </c>
      <c r="D1907" s="315" t="s">
        <v>996</v>
      </c>
      <c r="E1907" s="545">
        <v>42825</v>
      </c>
      <c r="F1907" s="249" t="s">
        <v>707</v>
      </c>
      <c r="G1907" s="314" t="s">
        <v>789</v>
      </c>
      <c r="H1907" s="473" t="s">
        <v>800</v>
      </c>
      <c r="I1907" s="307">
        <v>16</v>
      </c>
      <c r="J1907" s="307">
        <v>29746</v>
      </c>
      <c r="K1907" s="532">
        <f t="shared" si="179"/>
        <v>475936</v>
      </c>
      <c r="L1907" s="539" t="s">
        <v>160</v>
      </c>
      <c r="M1907" s="539" t="s">
        <v>292</v>
      </c>
      <c r="N1907" s="525" t="str">
        <f>IF(AND('331-CT'!$E$7=TH!H1907,OR(L1907="331",M1907="331")),"331",IF(AND(OR(L1907="131",M1907="131"),H1907='131-CT'!$E$7),"131",""))</f>
        <v/>
      </c>
      <c r="O1907" s="525" t="str">
        <f>IF(AND($B1907&gt;='111'!$N$11,$B1907&lt;='111'!$O$11,OR($L1907=$O$7,$M1907=$O$7)),"x","")</f>
        <v/>
      </c>
      <c r="P1907" s="525" t="str">
        <f>IF(AND($L1907=$O$7,$B1907&lt;'111'!$N$11),"x","")</f>
        <v/>
      </c>
      <c r="Q1907" s="525" t="str">
        <f>IF(AND($M1907=$O$7,$B1907&lt;'111'!$N$11),"x","")</f>
        <v/>
      </c>
      <c r="R1907" s="525" t="str">
        <f>IF(ISERROR(FIND('112'!$M$9,G1907,1)),"",IF((AND(FIND('112'!$M$9,G1907,1)&gt;=1,$B1907&gt;='112'!$N$8,$B1907&lt;='112'!$O$8,OR($L1907='112'!$I$6,$M1907='112'!$I$6))),"x",""))</f>
        <v/>
      </c>
      <c r="S1907" s="525" t="str">
        <f>IF(ISERROR(FIND('112'!$M$9,G1907,1)),"",IF((AND(LEFT(G1907,2)=LEFT('112'!$M$9,2),B1907&lt;'112'!$N$8,$L1907='112'!$I$6)),"x",""))</f>
        <v/>
      </c>
      <c r="T1907" s="525" t="str">
        <f>IF(ISERROR(FIND('112'!$M$9,G1907,1)),"",IF((AND(RIGHT(G1907,2)=RIGHT('112'!$M$9,2),B1907&lt;'112'!$N$8,$M1907='112'!$I$6)),"x",""))</f>
        <v/>
      </c>
      <c r="U1907" s="525" t="str">
        <f>IF(AND(B1907&gt;='IN-NX'!$P$3,B1907&lt;='IN-NX'!$Q$3,'IN-NX'!$D$7=D1907,OR(LEFT(L1907,2)="15",AND(LEFT(M1907,2)&lt;&gt;"15",LEFT(M1907,2)&lt;&gt;"33"))),"x","")</f>
        <v/>
      </c>
      <c r="V1907" s="525" t="str">
        <f>IF(AND(OR(LEFT(TH!L1907,2)="15",LEFT(TH!M1907,2)="15"),'152-CT'!$J$8=TH!F1907),"x","")</f>
        <v/>
      </c>
      <c r="W1907" s="525" t="str">
        <f>IF(AND(OR(LEFT(TH!L1907,2)="15",LEFT(TH!M1907,2)="15"),TK!$E$7=TH!F1907),"x","")</f>
        <v/>
      </c>
      <c r="X1907" s="525" t="str">
        <f>IF(AND('341-CT'!$E$9=H1907,OR(LEFT(L1907,3)=$X$7,LEFT(M1907,3)=$X$7)),"x","")</f>
        <v/>
      </c>
      <c r="Y1907" s="525" t="str">
        <f>IF(OR(TH!L1907=TH!$Y$7,M1907=TH!$Y$7),"x","")</f>
        <v/>
      </c>
      <c r="Z1907" s="525" t="str">
        <f>IF(AND(B1907&lt;=NKC!$N$8,B1907&gt;=NKC!$M$8),"x","")</f>
        <v>x</v>
      </c>
      <c r="AA1907" s="535"/>
      <c r="AB1907" s="536"/>
      <c r="AE1907" s="536"/>
    </row>
    <row r="1908" spans="1:31" s="503" customFormat="1" ht="15.75" customHeight="1">
      <c r="A1908" s="517" t="str">
        <f>IF(B1908&lt;&gt;"",IF(AND(B1908&gt;=_TM1,B1908&lt;=_TM2,OR(TH!L1908="1111",TH!M1908="1111")),TH!D1908,""),"")</f>
        <v/>
      </c>
      <c r="B1908" s="531">
        <f t="shared" si="180"/>
        <v>3</v>
      </c>
      <c r="C1908" s="315">
        <f t="shared" si="178"/>
        <v>42825</v>
      </c>
      <c r="D1908" s="315" t="s">
        <v>996</v>
      </c>
      <c r="E1908" s="545">
        <v>42825</v>
      </c>
      <c r="F1908" s="249" t="s">
        <v>708</v>
      </c>
      <c r="G1908" s="314" t="s">
        <v>789</v>
      </c>
      <c r="H1908" s="473" t="s">
        <v>800</v>
      </c>
      <c r="I1908" s="307">
        <v>48</v>
      </c>
      <c r="J1908" s="307">
        <v>35663</v>
      </c>
      <c r="K1908" s="532">
        <f t="shared" si="179"/>
        <v>1711824</v>
      </c>
      <c r="L1908" s="539" t="s">
        <v>160</v>
      </c>
      <c r="M1908" s="539" t="s">
        <v>292</v>
      </c>
      <c r="N1908" s="525" t="str">
        <f>IF(AND('331-CT'!$E$7=TH!H1908,OR(L1908="331",M1908="331")),"331",IF(AND(OR(L1908="131",M1908="131"),H1908='131-CT'!$E$7),"131",""))</f>
        <v/>
      </c>
      <c r="O1908" s="525" t="str">
        <f>IF(AND($B1908&gt;='111'!$N$11,$B1908&lt;='111'!$O$11,OR($L1908=$O$7,$M1908=$O$7)),"x","")</f>
        <v/>
      </c>
      <c r="P1908" s="525" t="str">
        <f>IF(AND($L1908=$O$7,$B1908&lt;'111'!$N$11),"x","")</f>
        <v/>
      </c>
      <c r="Q1908" s="525" t="str">
        <f>IF(AND($M1908=$O$7,$B1908&lt;'111'!$N$11),"x","")</f>
        <v/>
      </c>
      <c r="R1908" s="525" t="str">
        <f>IF(ISERROR(FIND('112'!$M$9,G1908,1)),"",IF((AND(FIND('112'!$M$9,G1908,1)&gt;=1,$B1908&gt;='112'!$N$8,$B1908&lt;='112'!$O$8,OR($L1908='112'!$I$6,$M1908='112'!$I$6))),"x",""))</f>
        <v/>
      </c>
      <c r="S1908" s="525" t="str">
        <f>IF(ISERROR(FIND('112'!$M$9,G1908,1)),"",IF((AND(LEFT(G1908,2)=LEFT('112'!$M$9,2),B1908&lt;'112'!$N$8,$L1908='112'!$I$6)),"x",""))</f>
        <v/>
      </c>
      <c r="T1908" s="525" t="str">
        <f>IF(ISERROR(FIND('112'!$M$9,G1908,1)),"",IF((AND(RIGHT(G1908,2)=RIGHT('112'!$M$9,2),B1908&lt;'112'!$N$8,$M1908='112'!$I$6)),"x",""))</f>
        <v/>
      </c>
      <c r="U1908" s="525" t="str">
        <f>IF(AND(B1908&gt;='IN-NX'!$P$3,B1908&lt;='IN-NX'!$Q$3,'IN-NX'!$D$7=D1908,OR(LEFT(L1908,2)="15",AND(LEFT(M1908,2)&lt;&gt;"15",LEFT(M1908,2)&lt;&gt;"33"))),"x","")</f>
        <v/>
      </c>
      <c r="V1908" s="525" t="str">
        <f>IF(AND(OR(LEFT(TH!L1908,2)="15",LEFT(TH!M1908,2)="15"),'152-CT'!$J$8=TH!F1908),"x","")</f>
        <v/>
      </c>
      <c r="W1908" s="525" t="str">
        <f>IF(AND(OR(LEFT(TH!L1908,2)="15",LEFT(TH!M1908,2)="15"),TK!$E$7=TH!F1908),"x","")</f>
        <v/>
      </c>
      <c r="X1908" s="525" t="str">
        <f>IF(AND('341-CT'!$E$9=H1908,OR(LEFT(L1908,3)=$X$7,LEFT(M1908,3)=$X$7)),"x","")</f>
        <v/>
      </c>
      <c r="Y1908" s="525" t="str">
        <f>IF(OR(TH!L1908=TH!$Y$7,M1908=TH!$Y$7),"x","")</f>
        <v/>
      </c>
      <c r="Z1908" s="525" t="str">
        <f>IF(AND(B1908&lt;=NKC!$N$8,B1908&gt;=NKC!$M$8),"x","")</f>
        <v>x</v>
      </c>
      <c r="AA1908" s="535"/>
      <c r="AB1908" s="536"/>
      <c r="AE1908" s="536"/>
    </row>
    <row r="1909" spans="1:31" s="503" customFormat="1" ht="15.75" customHeight="1">
      <c r="A1909" s="517" t="str">
        <f>IF(B1909&lt;&gt;"",IF(AND(B1909&gt;=_TM1,B1909&lt;=_TM2,OR(TH!L1909="1111",TH!M1909="1111")),TH!D1909,""),"")</f>
        <v/>
      </c>
      <c r="B1909" s="531">
        <f t="shared" si="180"/>
        <v>3</v>
      </c>
      <c r="C1909" s="315">
        <f t="shared" si="178"/>
        <v>42825</v>
      </c>
      <c r="D1909" s="315" t="s">
        <v>996</v>
      </c>
      <c r="E1909" s="545">
        <v>42825</v>
      </c>
      <c r="F1909" s="249" t="s">
        <v>709</v>
      </c>
      <c r="G1909" s="314" t="s">
        <v>789</v>
      </c>
      <c r="H1909" s="473" t="s">
        <v>800</v>
      </c>
      <c r="I1909" s="307">
        <v>48</v>
      </c>
      <c r="J1909" s="307">
        <v>40351</v>
      </c>
      <c r="K1909" s="532">
        <f t="shared" si="179"/>
        <v>1936848</v>
      </c>
      <c r="L1909" s="539" t="s">
        <v>160</v>
      </c>
      <c r="M1909" s="539" t="s">
        <v>292</v>
      </c>
      <c r="N1909" s="525" t="str">
        <f>IF(AND('331-CT'!$E$7=TH!H1909,OR(L1909="331",M1909="331")),"331",IF(AND(OR(L1909="131",M1909="131"),H1909='131-CT'!$E$7),"131",""))</f>
        <v/>
      </c>
      <c r="O1909" s="525" t="str">
        <f>IF(AND($B1909&gt;='111'!$N$11,$B1909&lt;='111'!$O$11,OR($L1909=$O$7,$M1909=$O$7)),"x","")</f>
        <v/>
      </c>
      <c r="P1909" s="525" t="str">
        <f>IF(AND($L1909=$O$7,$B1909&lt;'111'!$N$11),"x","")</f>
        <v/>
      </c>
      <c r="Q1909" s="525" t="str">
        <f>IF(AND($M1909=$O$7,$B1909&lt;'111'!$N$11),"x","")</f>
        <v/>
      </c>
      <c r="R1909" s="525" t="str">
        <f>IF(ISERROR(FIND('112'!$M$9,G1909,1)),"",IF((AND(FIND('112'!$M$9,G1909,1)&gt;=1,$B1909&gt;='112'!$N$8,$B1909&lt;='112'!$O$8,OR($L1909='112'!$I$6,$M1909='112'!$I$6))),"x",""))</f>
        <v/>
      </c>
      <c r="S1909" s="525" t="str">
        <f>IF(ISERROR(FIND('112'!$M$9,G1909,1)),"",IF((AND(LEFT(G1909,2)=LEFT('112'!$M$9,2),B1909&lt;'112'!$N$8,$L1909='112'!$I$6)),"x",""))</f>
        <v/>
      </c>
      <c r="T1909" s="525" t="str">
        <f>IF(ISERROR(FIND('112'!$M$9,G1909,1)),"",IF((AND(RIGHT(G1909,2)=RIGHT('112'!$M$9,2),B1909&lt;'112'!$N$8,$M1909='112'!$I$6)),"x",""))</f>
        <v/>
      </c>
      <c r="U1909" s="525" t="str">
        <f>IF(AND(B1909&gt;='IN-NX'!$P$3,B1909&lt;='IN-NX'!$Q$3,'IN-NX'!$D$7=D1909,OR(LEFT(L1909,2)="15",AND(LEFT(M1909,2)&lt;&gt;"15",LEFT(M1909,2)&lt;&gt;"33"))),"x","")</f>
        <v/>
      </c>
      <c r="V1909" s="525" t="str">
        <f>IF(AND(OR(LEFT(TH!L1909,2)="15",LEFT(TH!M1909,2)="15"),'152-CT'!$J$8=TH!F1909),"x","")</f>
        <v/>
      </c>
      <c r="W1909" s="525" t="str">
        <f>IF(AND(OR(LEFT(TH!L1909,2)="15",LEFT(TH!M1909,2)="15"),TK!$E$7=TH!F1909),"x","")</f>
        <v/>
      </c>
      <c r="X1909" s="525" t="str">
        <f>IF(AND('341-CT'!$E$9=H1909,OR(LEFT(L1909,3)=$X$7,LEFT(M1909,3)=$X$7)),"x","")</f>
        <v/>
      </c>
      <c r="Y1909" s="525" t="str">
        <f>IF(OR(TH!L1909=TH!$Y$7,M1909=TH!$Y$7),"x","")</f>
        <v/>
      </c>
      <c r="Z1909" s="525" t="str">
        <f>IF(AND(B1909&lt;=NKC!$N$8,B1909&gt;=NKC!$M$8),"x","")</f>
        <v>x</v>
      </c>
      <c r="AA1909" s="535"/>
      <c r="AB1909" s="536"/>
      <c r="AE1909" s="536"/>
    </row>
    <row r="1910" spans="1:31" s="503" customFormat="1" ht="15.75" customHeight="1">
      <c r="A1910" s="517" t="str">
        <f>IF(B1910&lt;&gt;"",IF(AND(B1910&gt;=_TM1,B1910&lt;=_TM2,OR(TH!L1910="1111",TH!M1910="1111")),TH!D1910,""),"")</f>
        <v/>
      </c>
      <c r="B1910" s="531">
        <f t="shared" si="180"/>
        <v>3</v>
      </c>
      <c r="C1910" s="315">
        <f t="shared" si="178"/>
        <v>42825</v>
      </c>
      <c r="D1910" s="315" t="s">
        <v>996</v>
      </c>
      <c r="E1910" s="545">
        <v>42825</v>
      </c>
      <c r="F1910" s="249" t="s">
        <v>713</v>
      </c>
      <c r="G1910" s="314" t="s">
        <v>789</v>
      </c>
      <c r="H1910" s="473" t="s">
        <v>800</v>
      </c>
      <c r="I1910" s="307">
        <v>30</v>
      </c>
      <c r="J1910" s="307">
        <v>33167</v>
      </c>
      <c r="K1910" s="532">
        <f t="shared" si="179"/>
        <v>995010</v>
      </c>
      <c r="L1910" s="539" t="s">
        <v>160</v>
      </c>
      <c r="M1910" s="539" t="s">
        <v>292</v>
      </c>
      <c r="N1910" s="525" t="str">
        <f>IF(AND('331-CT'!$E$7=TH!H1910,OR(L1910="331",M1910="331")),"331",IF(AND(OR(L1910="131",M1910="131"),H1910='131-CT'!$E$7),"131",""))</f>
        <v/>
      </c>
      <c r="O1910" s="525" t="str">
        <f>IF(AND($B1910&gt;='111'!$N$11,$B1910&lt;='111'!$O$11,OR($L1910=$O$7,$M1910=$O$7)),"x","")</f>
        <v/>
      </c>
      <c r="P1910" s="525" t="str">
        <f>IF(AND($L1910=$O$7,$B1910&lt;'111'!$N$11),"x","")</f>
        <v/>
      </c>
      <c r="Q1910" s="525" t="str">
        <f>IF(AND($M1910=$O$7,$B1910&lt;'111'!$N$11),"x","")</f>
        <v/>
      </c>
      <c r="R1910" s="525" t="str">
        <f>IF(ISERROR(FIND('112'!$M$9,G1910,1)),"",IF((AND(FIND('112'!$M$9,G1910,1)&gt;=1,$B1910&gt;='112'!$N$8,$B1910&lt;='112'!$O$8,OR($L1910='112'!$I$6,$M1910='112'!$I$6))),"x",""))</f>
        <v/>
      </c>
      <c r="S1910" s="525" t="str">
        <f>IF(ISERROR(FIND('112'!$M$9,G1910,1)),"",IF((AND(LEFT(G1910,2)=LEFT('112'!$M$9,2),B1910&lt;'112'!$N$8,$L1910='112'!$I$6)),"x",""))</f>
        <v/>
      </c>
      <c r="T1910" s="525" t="str">
        <f>IF(ISERROR(FIND('112'!$M$9,G1910,1)),"",IF((AND(RIGHT(G1910,2)=RIGHT('112'!$M$9,2),B1910&lt;'112'!$N$8,$M1910='112'!$I$6)),"x",""))</f>
        <v/>
      </c>
      <c r="U1910" s="525" t="str">
        <f>IF(AND(B1910&gt;='IN-NX'!$P$3,B1910&lt;='IN-NX'!$Q$3,'IN-NX'!$D$7=D1910,OR(LEFT(L1910,2)="15",AND(LEFT(M1910,2)&lt;&gt;"15",LEFT(M1910,2)&lt;&gt;"33"))),"x","")</f>
        <v/>
      </c>
      <c r="V1910" s="525" t="str">
        <f>IF(AND(OR(LEFT(TH!L1910,2)="15",LEFT(TH!M1910,2)="15"),'152-CT'!$J$8=TH!F1910),"x","")</f>
        <v/>
      </c>
      <c r="W1910" s="525" t="str">
        <f>IF(AND(OR(LEFT(TH!L1910,2)="15",LEFT(TH!M1910,2)="15"),TK!$E$7=TH!F1910),"x","")</f>
        <v/>
      </c>
      <c r="X1910" s="525" t="str">
        <f>IF(AND('341-CT'!$E$9=H1910,OR(LEFT(L1910,3)=$X$7,LEFT(M1910,3)=$X$7)),"x","")</f>
        <v/>
      </c>
      <c r="Y1910" s="525" t="str">
        <f>IF(OR(TH!L1910=TH!$Y$7,M1910=TH!$Y$7),"x","")</f>
        <v/>
      </c>
      <c r="Z1910" s="525" t="str">
        <f>IF(AND(B1910&lt;=NKC!$N$8,B1910&gt;=NKC!$M$8),"x","")</f>
        <v>x</v>
      </c>
      <c r="AA1910" s="535"/>
      <c r="AB1910" s="536"/>
      <c r="AE1910" s="536"/>
    </row>
    <row r="1911" spans="1:31" s="503" customFormat="1" ht="15.75" customHeight="1">
      <c r="A1911" s="517" t="str">
        <f>IF(B1911&lt;&gt;"",IF(AND(B1911&gt;=_TM1,B1911&lt;=_TM2,OR(TH!L1911="1111",TH!M1911="1111")),TH!D1911,""),"")</f>
        <v/>
      </c>
      <c r="B1911" s="531">
        <f t="shared" si="180"/>
        <v>3</v>
      </c>
      <c r="C1911" s="315">
        <f t="shared" si="178"/>
        <v>42825</v>
      </c>
      <c r="D1911" s="315" t="s">
        <v>996</v>
      </c>
      <c r="E1911" s="545">
        <v>42825</v>
      </c>
      <c r="F1911" s="249" t="s">
        <v>619</v>
      </c>
      <c r="G1911" s="314" t="s">
        <v>789</v>
      </c>
      <c r="H1911" s="473" t="s">
        <v>800</v>
      </c>
      <c r="I1911" s="307">
        <v>24</v>
      </c>
      <c r="J1911" s="307">
        <v>19834</v>
      </c>
      <c r="K1911" s="532">
        <f t="shared" si="179"/>
        <v>476016</v>
      </c>
      <c r="L1911" s="539" t="s">
        <v>160</v>
      </c>
      <c r="M1911" s="539" t="s">
        <v>292</v>
      </c>
      <c r="N1911" s="525" t="str">
        <f>IF(AND('331-CT'!$E$7=TH!H1911,OR(L1911="331",M1911="331")),"331",IF(AND(OR(L1911="131",M1911="131"),H1911='131-CT'!$E$7),"131",""))</f>
        <v/>
      </c>
      <c r="O1911" s="525" t="str">
        <f>IF(AND($B1911&gt;='111'!$N$11,$B1911&lt;='111'!$O$11,OR($L1911=$O$7,$M1911=$O$7)),"x","")</f>
        <v/>
      </c>
      <c r="P1911" s="525" t="str">
        <f>IF(AND($L1911=$O$7,$B1911&lt;'111'!$N$11),"x","")</f>
        <v/>
      </c>
      <c r="Q1911" s="525" t="str">
        <f>IF(AND($M1911=$O$7,$B1911&lt;'111'!$N$11),"x","")</f>
        <v/>
      </c>
      <c r="R1911" s="525" t="str">
        <f>IF(ISERROR(FIND('112'!$M$9,G1911,1)),"",IF((AND(FIND('112'!$M$9,G1911,1)&gt;=1,$B1911&gt;='112'!$N$8,$B1911&lt;='112'!$O$8,OR($L1911='112'!$I$6,$M1911='112'!$I$6))),"x",""))</f>
        <v/>
      </c>
      <c r="S1911" s="525" t="str">
        <f>IF(ISERROR(FIND('112'!$M$9,G1911,1)),"",IF((AND(LEFT(G1911,2)=LEFT('112'!$M$9,2),B1911&lt;'112'!$N$8,$L1911='112'!$I$6)),"x",""))</f>
        <v/>
      </c>
      <c r="T1911" s="525" t="str">
        <f>IF(ISERROR(FIND('112'!$M$9,G1911,1)),"",IF((AND(RIGHT(G1911,2)=RIGHT('112'!$M$9,2),B1911&lt;'112'!$N$8,$M1911='112'!$I$6)),"x",""))</f>
        <v/>
      </c>
      <c r="U1911" s="525" t="str">
        <f>IF(AND(B1911&gt;='IN-NX'!$P$3,B1911&lt;='IN-NX'!$Q$3,'IN-NX'!$D$7=D1911,OR(LEFT(L1911,2)="15",AND(LEFT(M1911,2)&lt;&gt;"15",LEFT(M1911,2)&lt;&gt;"33"))),"x","")</f>
        <v/>
      </c>
      <c r="V1911" s="525" t="str">
        <f>IF(AND(OR(LEFT(TH!L1911,2)="15",LEFT(TH!M1911,2)="15"),'152-CT'!$J$8=TH!F1911),"x","")</f>
        <v/>
      </c>
      <c r="W1911" s="525" t="str">
        <f>IF(AND(OR(LEFT(TH!L1911,2)="15",LEFT(TH!M1911,2)="15"),TK!$E$7=TH!F1911),"x","")</f>
        <v/>
      </c>
      <c r="X1911" s="525" t="str">
        <f>IF(AND('341-CT'!$E$9=H1911,OR(LEFT(L1911,3)=$X$7,LEFT(M1911,3)=$X$7)),"x","")</f>
        <v/>
      </c>
      <c r="Y1911" s="525" t="str">
        <f>IF(OR(TH!L1911=TH!$Y$7,M1911=TH!$Y$7),"x","")</f>
        <v/>
      </c>
      <c r="Z1911" s="525" t="str">
        <f>IF(AND(B1911&lt;=NKC!$N$8,B1911&gt;=NKC!$M$8),"x","")</f>
        <v>x</v>
      </c>
      <c r="AA1911" s="535"/>
      <c r="AB1911" s="536"/>
      <c r="AE1911" s="536"/>
    </row>
    <row r="1912" spans="1:31" s="503" customFormat="1" ht="15.75" customHeight="1">
      <c r="A1912" s="517" t="str">
        <f>IF(B1912&lt;&gt;"",IF(AND(B1912&gt;=_TM1,B1912&lt;=_TM2,OR(TH!L1912="1111",TH!M1912="1111")),TH!D1912,""),"")</f>
        <v/>
      </c>
      <c r="B1912" s="531">
        <f t="shared" si="180"/>
        <v>3</v>
      </c>
      <c r="C1912" s="315">
        <f t="shared" si="178"/>
        <v>42825</v>
      </c>
      <c r="D1912" s="315" t="s">
        <v>996</v>
      </c>
      <c r="E1912" s="545">
        <v>42825</v>
      </c>
      <c r="F1912" s="249" t="s">
        <v>716</v>
      </c>
      <c r="G1912" s="314" t="s">
        <v>789</v>
      </c>
      <c r="H1912" s="473" t="s">
        <v>800</v>
      </c>
      <c r="I1912" s="307">
        <v>24</v>
      </c>
      <c r="J1912" s="307">
        <v>27705</v>
      </c>
      <c r="K1912" s="532">
        <f t="shared" si="179"/>
        <v>664920</v>
      </c>
      <c r="L1912" s="539" t="s">
        <v>160</v>
      </c>
      <c r="M1912" s="539" t="s">
        <v>292</v>
      </c>
      <c r="N1912" s="525" t="str">
        <f>IF(AND('331-CT'!$E$7=TH!H1912,OR(L1912="331",M1912="331")),"331",IF(AND(OR(L1912="131",M1912="131"),H1912='131-CT'!$E$7),"131",""))</f>
        <v/>
      </c>
      <c r="O1912" s="525" t="str">
        <f>IF(AND($B1912&gt;='111'!$N$11,$B1912&lt;='111'!$O$11,OR($L1912=$O$7,$M1912=$O$7)),"x","")</f>
        <v/>
      </c>
      <c r="P1912" s="525" t="str">
        <f>IF(AND($L1912=$O$7,$B1912&lt;'111'!$N$11),"x","")</f>
        <v/>
      </c>
      <c r="Q1912" s="525" t="str">
        <f>IF(AND($M1912=$O$7,$B1912&lt;'111'!$N$11),"x","")</f>
        <v/>
      </c>
      <c r="R1912" s="525" t="str">
        <f>IF(ISERROR(FIND('112'!$M$9,G1912,1)),"",IF((AND(FIND('112'!$M$9,G1912,1)&gt;=1,$B1912&gt;='112'!$N$8,$B1912&lt;='112'!$O$8,OR($L1912='112'!$I$6,$M1912='112'!$I$6))),"x",""))</f>
        <v/>
      </c>
      <c r="S1912" s="525" t="str">
        <f>IF(ISERROR(FIND('112'!$M$9,G1912,1)),"",IF((AND(LEFT(G1912,2)=LEFT('112'!$M$9,2),B1912&lt;'112'!$N$8,$L1912='112'!$I$6)),"x",""))</f>
        <v/>
      </c>
      <c r="T1912" s="525" t="str">
        <f>IF(ISERROR(FIND('112'!$M$9,G1912,1)),"",IF((AND(RIGHT(G1912,2)=RIGHT('112'!$M$9,2),B1912&lt;'112'!$N$8,$M1912='112'!$I$6)),"x",""))</f>
        <v/>
      </c>
      <c r="U1912" s="525" t="str">
        <f>IF(AND(B1912&gt;='IN-NX'!$P$3,B1912&lt;='IN-NX'!$Q$3,'IN-NX'!$D$7=D1912,OR(LEFT(L1912,2)="15",AND(LEFT(M1912,2)&lt;&gt;"15",LEFT(M1912,2)&lt;&gt;"33"))),"x","")</f>
        <v/>
      </c>
      <c r="V1912" s="525" t="str">
        <f>IF(AND(OR(LEFT(TH!L1912,2)="15",LEFT(TH!M1912,2)="15"),'152-CT'!$J$8=TH!F1912),"x","")</f>
        <v/>
      </c>
      <c r="W1912" s="525" t="str">
        <f>IF(AND(OR(LEFT(TH!L1912,2)="15",LEFT(TH!M1912,2)="15"),TK!$E$7=TH!F1912),"x","")</f>
        <v/>
      </c>
      <c r="X1912" s="525" t="str">
        <f>IF(AND('341-CT'!$E$9=H1912,OR(LEFT(L1912,3)=$X$7,LEFT(M1912,3)=$X$7)),"x","")</f>
        <v/>
      </c>
      <c r="Y1912" s="525" t="str">
        <f>IF(OR(TH!L1912=TH!$Y$7,M1912=TH!$Y$7),"x","")</f>
        <v/>
      </c>
      <c r="Z1912" s="525" t="str">
        <f>IF(AND(B1912&lt;=NKC!$N$8,B1912&gt;=NKC!$M$8),"x","")</f>
        <v>x</v>
      </c>
      <c r="AA1912" s="535"/>
      <c r="AB1912" s="536"/>
      <c r="AE1912" s="536"/>
    </row>
    <row r="1913" spans="1:31" s="503" customFormat="1" ht="15.75" customHeight="1">
      <c r="A1913" s="517" t="str">
        <f>IF(B1913&lt;&gt;"",IF(AND(B1913&gt;=_TM1,B1913&lt;=_TM2,OR(TH!L1913="1111",TH!M1913="1111")),TH!D1913,""),"")</f>
        <v/>
      </c>
      <c r="B1913" s="531">
        <f t="shared" si="180"/>
        <v>3</v>
      </c>
      <c r="C1913" s="315">
        <f t="shared" si="178"/>
        <v>42825</v>
      </c>
      <c r="D1913" s="315" t="s">
        <v>996</v>
      </c>
      <c r="E1913" s="545">
        <v>42825</v>
      </c>
      <c r="F1913" s="249" t="s">
        <v>717</v>
      </c>
      <c r="G1913" s="314" t="s">
        <v>789</v>
      </c>
      <c r="H1913" s="473" t="s">
        <v>800</v>
      </c>
      <c r="I1913" s="307">
        <v>24</v>
      </c>
      <c r="J1913" s="307">
        <v>23657</v>
      </c>
      <c r="K1913" s="532">
        <f t="shared" si="179"/>
        <v>567768</v>
      </c>
      <c r="L1913" s="539" t="s">
        <v>160</v>
      </c>
      <c r="M1913" s="539" t="s">
        <v>292</v>
      </c>
      <c r="N1913" s="525" t="str">
        <f>IF(AND('331-CT'!$E$7=TH!H1913,OR(L1913="331",M1913="331")),"331",IF(AND(OR(L1913="131",M1913="131"),H1913='131-CT'!$E$7),"131",""))</f>
        <v/>
      </c>
      <c r="O1913" s="525" t="str">
        <f>IF(AND($B1913&gt;='111'!$N$11,$B1913&lt;='111'!$O$11,OR($L1913=$O$7,$M1913=$O$7)),"x","")</f>
        <v/>
      </c>
      <c r="P1913" s="525" t="str">
        <f>IF(AND($L1913=$O$7,$B1913&lt;'111'!$N$11),"x","")</f>
        <v/>
      </c>
      <c r="Q1913" s="525" t="str">
        <f>IF(AND($M1913=$O$7,$B1913&lt;'111'!$N$11),"x","")</f>
        <v/>
      </c>
      <c r="R1913" s="525" t="str">
        <f>IF(ISERROR(FIND('112'!$M$9,G1913,1)),"",IF((AND(FIND('112'!$M$9,G1913,1)&gt;=1,$B1913&gt;='112'!$N$8,$B1913&lt;='112'!$O$8,OR($L1913='112'!$I$6,$M1913='112'!$I$6))),"x",""))</f>
        <v/>
      </c>
      <c r="S1913" s="525" t="str">
        <f>IF(ISERROR(FIND('112'!$M$9,G1913,1)),"",IF((AND(LEFT(G1913,2)=LEFT('112'!$M$9,2),B1913&lt;'112'!$N$8,$L1913='112'!$I$6)),"x",""))</f>
        <v/>
      </c>
      <c r="T1913" s="525" t="str">
        <f>IF(ISERROR(FIND('112'!$M$9,G1913,1)),"",IF((AND(RIGHT(G1913,2)=RIGHT('112'!$M$9,2),B1913&lt;'112'!$N$8,$M1913='112'!$I$6)),"x",""))</f>
        <v/>
      </c>
      <c r="U1913" s="525" t="str">
        <f>IF(AND(B1913&gt;='IN-NX'!$P$3,B1913&lt;='IN-NX'!$Q$3,'IN-NX'!$D$7=D1913,OR(LEFT(L1913,2)="15",AND(LEFT(M1913,2)&lt;&gt;"15",LEFT(M1913,2)&lt;&gt;"33"))),"x","")</f>
        <v/>
      </c>
      <c r="V1913" s="525" t="str">
        <f>IF(AND(OR(LEFT(TH!L1913,2)="15",LEFT(TH!M1913,2)="15"),'152-CT'!$J$8=TH!F1913),"x","")</f>
        <v/>
      </c>
      <c r="W1913" s="525" t="str">
        <f>IF(AND(OR(LEFT(TH!L1913,2)="15",LEFT(TH!M1913,2)="15"),TK!$E$7=TH!F1913),"x","")</f>
        <v/>
      </c>
      <c r="X1913" s="525" t="str">
        <f>IF(AND('341-CT'!$E$9=H1913,OR(LEFT(L1913,3)=$X$7,LEFT(M1913,3)=$X$7)),"x","")</f>
        <v/>
      </c>
      <c r="Y1913" s="525" t="str">
        <f>IF(OR(TH!L1913=TH!$Y$7,M1913=TH!$Y$7),"x","")</f>
        <v/>
      </c>
      <c r="Z1913" s="525" t="str">
        <f>IF(AND(B1913&lt;=NKC!$N$8,B1913&gt;=NKC!$M$8),"x","")</f>
        <v>x</v>
      </c>
      <c r="AA1913" s="535"/>
      <c r="AB1913" s="536"/>
      <c r="AE1913" s="536"/>
    </row>
    <row r="1914" spans="1:31" s="503" customFormat="1" ht="15.75" customHeight="1">
      <c r="A1914" s="517" t="str">
        <f>IF(B1914&lt;&gt;"",IF(AND(B1914&gt;=_TM1,B1914&lt;=_TM2,OR(TH!L1914="1111",TH!M1914="1111")),TH!D1914,""),"")</f>
        <v/>
      </c>
      <c r="B1914" s="531">
        <f t="shared" si="180"/>
        <v>3</v>
      </c>
      <c r="C1914" s="315">
        <f t="shared" si="178"/>
        <v>42825</v>
      </c>
      <c r="D1914" s="315" t="s">
        <v>996</v>
      </c>
      <c r="E1914" s="545">
        <v>42825</v>
      </c>
      <c r="F1914" s="249" t="s">
        <v>626</v>
      </c>
      <c r="G1914" s="314" t="s">
        <v>789</v>
      </c>
      <c r="H1914" s="473" t="s">
        <v>800</v>
      </c>
      <c r="I1914" s="307">
        <v>12</v>
      </c>
      <c r="J1914" s="307">
        <v>21761</v>
      </c>
      <c r="K1914" s="532">
        <f t="shared" si="179"/>
        <v>261132</v>
      </c>
      <c r="L1914" s="539" t="s">
        <v>160</v>
      </c>
      <c r="M1914" s="539" t="s">
        <v>292</v>
      </c>
      <c r="N1914" s="525" t="str">
        <f>IF(AND('331-CT'!$E$7=TH!H1914,OR(L1914="331",M1914="331")),"331",IF(AND(OR(L1914="131",M1914="131"),H1914='131-CT'!$E$7),"131",""))</f>
        <v/>
      </c>
      <c r="O1914" s="525" t="str">
        <f>IF(AND($B1914&gt;='111'!$N$11,$B1914&lt;='111'!$O$11,OR($L1914=$O$7,$M1914=$O$7)),"x","")</f>
        <v/>
      </c>
      <c r="P1914" s="525" t="str">
        <f>IF(AND($L1914=$O$7,$B1914&lt;'111'!$N$11),"x","")</f>
        <v/>
      </c>
      <c r="Q1914" s="525" t="str">
        <f>IF(AND($M1914=$O$7,$B1914&lt;'111'!$N$11),"x","")</f>
        <v/>
      </c>
      <c r="R1914" s="525" t="str">
        <f>IF(ISERROR(FIND('112'!$M$9,G1914,1)),"",IF((AND(FIND('112'!$M$9,G1914,1)&gt;=1,$B1914&gt;='112'!$N$8,$B1914&lt;='112'!$O$8,OR($L1914='112'!$I$6,$M1914='112'!$I$6))),"x",""))</f>
        <v/>
      </c>
      <c r="S1914" s="525" t="str">
        <f>IF(ISERROR(FIND('112'!$M$9,G1914,1)),"",IF((AND(LEFT(G1914,2)=LEFT('112'!$M$9,2),B1914&lt;'112'!$N$8,$L1914='112'!$I$6)),"x",""))</f>
        <v/>
      </c>
      <c r="T1914" s="525" t="str">
        <f>IF(ISERROR(FIND('112'!$M$9,G1914,1)),"",IF((AND(RIGHT(G1914,2)=RIGHT('112'!$M$9,2),B1914&lt;'112'!$N$8,$M1914='112'!$I$6)),"x",""))</f>
        <v/>
      </c>
      <c r="U1914" s="525" t="str">
        <f>IF(AND(B1914&gt;='IN-NX'!$P$3,B1914&lt;='IN-NX'!$Q$3,'IN-NX'!$D$7=D1914,OR(LEFT(L1914,2)="15",AND(LEFT(M1914,2)&lt;&gt;"15",LEFT(M1914,2)&lt;&gt;"33"))),"x","")</f>
        <v/>
      </c>
      <c r="V1914" s="525" t="str">
        <f>IF(AND(OR(LEFT(TH!L1914,2)="15",LEFT(TH!M1914,2)="15"),'152-CT'!$J$8=TH!F1914),"x","")</f>
        <v/>
      </c>
      <c r="W1914" s="525" t="str">
        <f>IF(AND(OR(LEFT(TH!L1914,2)="15",LEFT(TH!M1914,2)="15"),TK!$E$7=TH!F1914),"x","")</f>
        <v/>
      </c>
      <c r="X1914" s="525" t="str">
        <f>IF(AND('341-CT'!$E$9=H1914,OR(LEFT(L1914,3)=$X$7,LEFT(M1914,3)=$X$7)),"x","")</f>
        <v/>
      </c>
      <c r="Y1914" s="525" t="str">
        <f>IF(OR(TH!L1914=TH!$Y$7,M1914=TH!$Y$7),"x","")</f>
        <v/>
      </c>
      <c r="Z1914" s="525" t="str">
        <f>IF(AND(B1914&lt;=NKC!$N$8,B1914&gt;=NKC!$M$8),"x","")</f>
        <v>x</v>
      </c>
      <c r="AA1914" s="535"/>
      <c r="AB1914" s="536"/>
      <c r="AE1914" s="536"/>
    </row>
    <row r="1915" spans="1:31" s="503" customFormat="1" ht="15.75" customHeight="1">
      <c r="A1915" s="517" t="str">
        <f>IF(B1915&lt;&gt;"",IF(AND(B1915&gt;=_TM1,B1915&lt;=_TM2,OR(TH!L1915="1111",TH!M1915="1111")),TH!D1915,""),"")</f>
        <v/>
      </c>
      <c r="B1915" s="531">
        <f t="shared" si="180"/>
        <v>3</v>
      </c>
      <c r="C1915" s="315">
        <f t="shared" si="178"/>
        <v>42825</v>
      </c>
      <c r="D1915" s="315" t="s">
        <v>996</v>
      </c>
      <c r="E1915" s="545">
        <v>42825</v>
      </c>
      <c r="F1915" s="249" t="s">
        <v>719</v>
      </c>
      <c r="G1915" s="314" t="s">
        <v>789</v>
      </c>
      <c r="H1915" s="473" t="s">
        <v>800</v>
      </c>
      <c r="I1915" s="307">
        <v>36</v>
      </c>
      <c r="J1915" s="307">
        <v>13106</v>
      </c>
      <c r="K1915" s="532">
        <f t="shared" si="179"/>
        <v>471816</v>
      </c>
      <c r="L1915" s="539" t="s">
        <v>160</v>
      </c>
      <c r="M1915" s="539" t="s">
        <v>292</v>
      </c>
      <c r="N1915" s="525" t="str">
        <f>IF(AND('331-CT'!$E$7=TH!H1915,OR(L1915="331",M1915="331")),"331",IF(AND(OR(L1915="131",M1915="131"),H1915='131-CT'!$E$7),"131",""))</f>
        <v/>
      </c>
      <c r="O1915" s="525" t="str">
        <f>IF(AND($B1915&gt;='111'!$N$11,$B1915&lt;='111'!$O$11,OR($L1915=$O$7,$M1915=$O$7)),"x","")</f>
        <v/>
      </c>
      <c r="P1915" s="525" t="str">
        <f>IF(AND($L1915=$O$7,$B1915&lt;'111'!$N$11),"x","")</f>
        <v/>
      </c>
      <c r="Q1915" s="525" t="str">
        <f>IF(AND($M1915=$O$7,$B1915&lt;'111'!$N$11),"x","")</f>
        <v/>
      </c>
      <c r="R1915" s="525" t="str">
        <f>IF(ISERROR(FIND('112'!$M$9,G1915,1)),"",IF((AND(FIND('112'!$M$9,G1915,1)&gt;=1,$B1915&gt;='112'!$N$8,$B1915&lt;='112'!$O$8,OR($L1915='112'!$I$6,$M1915='112'!$I$6))),"x",""))</f>
        <v/>
      </c>
      <c r="S1915" s="525" t="str">
        <f>IF(ISERROR(FIND('112'!$M$9,G1915,1)),"",IF((AND(LEFT(G1915,2)=LEFT('112'!$M$9,2),B1915&lt;'112'!$N$8,$L1915='112'!$I$6)),"x",""))</f>
        <v/>
      </c>
      <c r="T1915" s="525" t="str">
        <f>IF(ISERROR(FIND('112'!$M$9,G1915,1)),"",IF((AND(RIGHT(G1915,2)=RIGHT('112'!$M$9,2),B1915&lt;'112'!$N$8,$M1915='112'!$I$6)),"x",""))</f>
        <v/>
      </c>
      <c r="U1915" s="525" t="str">
        <f>IF(AND(B1915&gt;='IN-NX'!$P$3,B1915&lt;='IN-NX'!$Q$3,'IN-NX'!$D$7=D1915,OR(LEFT(L1915,2)="15",AND(LEFT(M1915,2)&lt;&gt;"15",LEFT(M1915,2)&lt;&gt;"33"))),"x","")</f>
        <v/>
      </c>
      <c r="V1915" s="525" t="str">
        <f>IF(AND(OR(LEFT(TH!L1915,2)="15",LEFT(TH!M1915,2)="15"),'152-CT'!$J$8=TH!F1915),"x","")</f>
        <v/>
      </c>
      <c r="W1915" s="525" t="str">
        <f>IF(AND(OR(LEFT(TH!L1915,2)="15",LEFT(TH!M1915,2)="15"),TK!$E$7=TH!F1915),"x","")</f>
        <v/>
      </c>
      <c r="X1915" s="525" t="str">
        <f>IF(AND('341-CT'!$E$9=H1915,OR(LEFT(L1915,3)=$X$7,LEFT(M1915,3)=$X$7)),"x","")</f>
        <v/>
      </c>
      <c r="Y1915" s="525" t="str">
        <f>IF(OR(TH!L1915=TH!$Y$7,M1915=TH!$Y$7),"x","")</f>
        <v/>
      </c>
      <c r="Z1915" s="525" t="str">
        <f>IF(AND(B1915&lt;=NKC!$N$8,B1915&gt;=NKC!$M$8),"x","")</f>
        <v>x</v>
      </c>
      <c r="AA1915" s="535"/>
      <c r="AB1915" s="536"/>
      <c r="AE1915" s="536"/>
    </row>
    <row r="1916" spans="1:31" s="503" customFormat="1" ht="15.75" customHeight="1">
      <c r="A1916" s="517" t="str">
        <f>IF(B1916&lt;&gt;"",IF(AND(B1916&gt;=_TM1,B1916&lt;=_TM2,OR(TH!L1916="1111",TH!M1916="1111")),TH!D1916,""),"")</f>
        <v/>
      </c>
      <c r="B1916" s="531">
        <f t="shared" si="180"/>
        <v>3</v>
      </c>
      <c r="C1916" s="315">
        <f t="shared" si="178"/>
        <v>42825</v>
      </c>
      <c r="D1916" s="315" t="s">
        <v>996</v>
      </c>
      <c r="E1916" s="545">
        <v>42825</v>
      </c>
      <c r="F1916" s="249" t="s">
        <v>720</v>
      </c>
      <c r="G1916" s="314" t="s">
        <v>789</v>
      </c>
      <c r="H1916" s="473" t="s">
        <v>800</v>
      </c>
      <c r="I1916" s="307">
        <v>48</v>
      </c>
      <c r="J1916" s="307">
        <v>7667</v>
      </c>
      <c r="K1916" s="532">
        <f t="shared" si="179"/>
        <v>368016</v>
      </c>
      <c r="L1916" s="539" t="s">
        <v>160</v>
      </c>
      <c r="M1916" s="539" t="s">
        <v>292</v>
      </c>
      <c r="N1916" s="525" t="str">
        <f>IF(AND('331-CT'!$E$7=TH!H1916,OR(L1916="331",M1916="331")),"331",IF(AND(OR(L1916="131",M1916="131"),H1916='131-CT'!$E$7),"131",""))</f>
        <v/>
      </c>
      <c r="O1916" s="525" t="str">
        <f>IF(AND($B1916&gt;='111'!$N$11,$B1916&lt;='111'!$O$11,OR($L1916=$O$7,$M1916=$O$7)),"x","")</f>
        <v/>
      </c>
      <c r="P1916" s="525" t="str">
        <f>IF(AND($L1916=$O$7,$B1916&lt;'111'!$N$11),"x","")</f>
        <v/>
      </c>
      <c r="Q1916" s="525" t="str">
        <f>IF(AND($M1916=$O$7,$B1916&lt;'111'!$N$11),"x","")</f>
        <v/>
      </c>
      <c r="R1916" s="525" t="str">
        <f>IF(ISERROR(FIND('112'!$M$9,G1916,1)),"",IF((AND(FIND('112'!$M$9,G1916,1)&gt;=1,$B1916&gt;='112'!$N$8,$B1916&lt;='112'!$O$8,OR($L1916='112'!$I$6,$M1916='112'!$I$6))),"x",""))</f>
        <v/>
      </c>
      <c r="S1916" s="525" t="str">
        <f>IF(ISERROR(FIND('112'!$M$9,G1916,1)),"",IF((AND(LEFT(G1916,2)=LEFT('112'!$M$9,2),B1916&lt;'112'!$N$8,$L1916='112'!$I$6)),"x",""))</f>
        <v/>
      </c>
      <c r="T1916" s="525" t="str">
        <f>IF(ISERROR(FIND('112'!$M$9,G1916,1)),"",IF((AND(RIGHT(G1916,2)=RIGHT('112'!$M$9,2),B1916&lt;'112'!$N$8,$M1916='112'!$I$6)),"x",""))</f>
        <v/>
      </c>
      <c r="U1916" s="525" t="str">
        <f>IF(AND(B1916&gt;='IN-NX'!$P$3,B1916&lt;='IN-NX'!$Q$3,'IN-NX'!$D$7=D1916,OR(LEFT(L1916,2)="15",AND(LEFT(M1916,2)&lt;&gt;"15",LEFT(M1916,2)&lt;&gt;"33"))),"x","")</f>
        <v/>
      </c>
      <c r="V1916" s="525" t="str">
        <f>IF(AND(OR(LEFT(TH!L1916,2)="15",LEFT(TH!M1916,2)="15"),'152-CT'!$J$8=TH!F1916),"x","")</f>
        <v/>
      </c>
      <c r="W1916" s="525" t="str">
        <f>IF(AND(OR(LEFT(TH!L1916,2)="15",LEFT(TH!M1916,2)="15"),TK!$E$7=TH!F1916),"x","")</f>
        <v/>
      </c>
      <c r="X1916" s="525" t="str">
        <f>IF(AND('341-CT'!$E$9=H1916,OR(LEFT(L1916,3)=$X$7,LEFT(M1916,3)=$X$7)),"x","")</f>
        <v/>
      </c>
      <c r="Y1916" s="525" t="str">
        <f>IF(OR(TH!L1916=TH!$Y$7,M1916=TH!$Y$7),"x","")</f>
        <v/>
      </c>
      <c r="Z1916" s="525" t="str">
        <f>IF(AND(B1916&lt;=NKC!$N$8,B1916&gt;=NKC!$M$8),"x","")</f>
        <v>x</v>
      </c>
      <c r="AA1916" s="535"/>
      <c r="AB1916" s="536"/>
      <c r="AE1916" s="536"/>
    </row>
    <row r="1917" spans="1:31" s="503" customFormat="1" ht="15.75" customHeight="1">
      <c r="A1917" s="517" t="str">
        <f>IF(B1917&lt;&gt;"",IF(AND(B1917&gt;=_TM1,B1917&lt;=_TM2,OR(TH!L1917="1111",TH!M1917="1111")),TH!D1917,""),"")</f>
        <v/>
      </c>
      <c r="B1917" s="531">
        <f t="shared" si="180"/>
        <v>3</v>
      </c>
      <c r="C1917" s="315">
        <f t="shared" si="178"/>
        <v>42825</v>
      </c>
      <c r="D1917" s="315" t="s">
        <v>996</v>
      </c>
      <c r="E1917" s="545">
        <v>42825</v>
      </c>
      <c r="F1917" s="249" t="s">
        <v>673</v>
      </c>
      <c r="G1917" s="314" t="s">
        <v>789</v>
      </c>
      <c r="H1917" s="473" t="s">
        <v>800</v>
      </c>
      <c r="I1917" s="307">
        <v>3</v>
      </c>
      <c r="J1917" s="307">
        <v>15212</v>
      </c>
      <c r="K1917" s="532">
        <f t="shared" si="179"/>
        <v>45636</v>
      </c>
      <c r="L1917" s="539" t="s">
        <v>160</v>
      </c>
      <c r="M1917" s="539" t="s">
        <v>292</v>
      </c>
      <c r="N1917" s="525" t="str">
        <f>IF(AND('331-CT'!$E$7=TH!H1917,OR(L1917="331",M1917="331")),"331",IF(AND(OR(L1917="131",M1917="131"),H1917='131-CT'!$E$7),"131",""))</f>
        <v/>
      </c>
      <c r="O1917" s="525" t="str">
        <f>IF(AND($B1917&gt;='111'!$N$11,$B1917&lt;='111'!$O$11,OR($L1917=$O$7,$M1917=$O$7)),"x","")</f>
        <v/>
      </c>
      <c r="P1917" s="525" t="str">
        <f>IF(AND($L1917=$O$7,$B1917&lt;'111'!$N$11),"x","")</f>
        <v/>
      </c>
      <c r="Q1917" s="525" t="str">
        <f>IF(AND($M1917=$O$7,$B1917&lt;'111'!$N$11),"x","")</f>
        <v/>
      </c>
      <c r="R1917" s="525" t="str">
        <f>IF(ISERROR(FIND('112'!$M$9,G1917,1)),"",IF((AND(FIND('112'!$M$9,G1917,1)&gt;=1,$B1917&gt;='112'!$N$8,$B1917&lt;='112'!$O$8,OR($L1917='112'!$I$6,$M1917='112'!$I$6))),"x",""))</f>
        <v/>
      </c>
      <c r="S1917" s="525" t="str">
        <f>IF(ISERROR(FIND('112'!$M$9,G1917,1)),"",IF((AND(LEFT(G1917,2)=LEFT('112'!$M$9,2),B1917&lt;'112'!$N$8,$L1917='112'!$I$6)),"x",""))</f>
        <v/>
      </c>
      <c r="T1917" s="525" t="str">
        <f>IF(ISERROR(FIND('112'!$M$9,G1917,1)),"",IF((AND(RIGHT(G1917,2)=RIGHT('112'!$M$9,2),B1917&lt;'112'!$N$8,$M1917='112'!$I$6)),"x",""))</f>
        <v/>
      </c>
      <c r="U1917" s="525" t="str">
        <f>IF(AND(B1917&gt;='IN-NX'!$P$3,B1917&lt;='IN-NX'!$Q$3,'IN-NX'!$D$7=D1917,OR(LEFT(L1917,2)="15",AND(LEFT(M1917,2)&lt;&gt;"15",LEFT(M1917,2)&lt;&gt;"33"))),"x","")</f>
        <v/>
      </c>
      <c r="V1917" s="525" t="str">
        <f>IF(AND(OR(LEFT(TH!L1917,2)="15",LEFT(TH!M1917,2)="15"),'152-CT'!$J$8=TH!F1917),"x","")</f>
        <v/>
      </c>
      <c r="W1917" s="525" t="str">
        <f>IF(AND(OR(LEFT(TH!L1917,2)="15",LEFT(TH!M1917,2)="15"),TK!$E$7=TH!F1917),"x","")</f>
        <v/>
      </c>
      <c r="X1917" s="525" t="str">
        <f>IF(AND('341-CT'!$E$9=H1917,OR(LEFT(L1917,3)=$X$7,LEFT(M1917,3)=$X$7)),"x","")</f>
        <v/>
      </c>
      <c r="Y1917" s="525" t="str">
        <f>IF(OR(TH!L1917=TH!$Y$7,M1917=TH!$Y$7),"x","")</f>
        <v/>
      </c>
      <c r="Z1917" s="525" t="str">
        <f>IF(AND(B1917&lt;=NKC!$N$8,B1917&gt;=NKC!$M$8),"x","")</f>
        <v>x</v>
      </c>
      <c r="AA1917" s="535"/>
      <c r="AB1917" s="536"/>
      <c r="AE1917" s="536"/>
    </row>
    <row r="1918" spans="1:31" s="503" customFormat="1" ht="15.75" customHeight="1">
      <c r="A1918" s="517" t="str">
        <f>IF(B1918&lt;&gt;"",IF(AND(B1918&gt;=_TM1,B1918&lt;=_TM2,OR(TH!L1918="1111",TH!M1918="1111")),TH!D1918,""),"")</f>
        <v/>
      </c>
      <c r="B1918" s="531">
        <f t="shared" si="180"/>
        <v>3</v>
      </c>
      <c r="C1918" s="315">
        <f t="shared" si="178"/>
        <v>42825</v>
      </c>
      <c r="D1918" s="315" t="s">
        <v>996</v>
      </c>
      <c r="E1918" s="545">
        <v>42825</v>
      </c>
      <c r="F1918" s="249" t="s">
        <v>721</v>
      </c>
      <c r="G1918" s="314" t="s">
        <v>789</v>
      </c>
      <c r="H1918" s="473" t="s">
        <v>800</v>
      </c>
      <c r="I1918" s="307">
        <v>24</v>
      </c>
      <c r="J1918" s="307">
        <v>7804</v>
      </c>
      <c r="K1918" s="532">
        <f t="shared" si="179"/>
        <v>187296</v>
      </c>
      <c r="L1918" s="539" t="s">
        <v>160</v>
      </c>
      <c r="M1918" s="539" t="s">
        <v>292</v>
      </c>
      <c r="N1918" s="525" t="str">
        <f>IF(AND('331-CT'!$E$7=TH!H1918,OR(L1918="331",M1918="331")),"331",IF(AND(OR(L1918="131",M1918="131"),H1918='131-CT'!$E$7),"131",""))</f>
        <v/>
      </c>
      <c r="O1918" s="525" t="str">
        <f>IF(AND($B1918&gt;='111'!$N$11,$B1918&lt;='111'!$O$11,OR($L1918=$O$7,$M1918=$O$7)),"x","")</f>
        <v/>
      </c>
      <c r="P1918" s="525" t="str">
        <f>IF(AND($L1918=$O$7,$B1918&lt;'111'!$N$11),"x","")</f>
        <v/>
      </c>
      <c r="Q1918" s="525" t="str">
        <f>IF(AND($M1918=$O$7,$B1918&lt;'111'!$N$11),"x","")</f>
        <v/>
      </c>
      <c r="R1918" s="525" t="str">
        <f>IF(ISERROR(FIND('112'!$M$9,G1918,1)),"",IF((AND(FIND('112'!$M$9,G1918,1)&gt;=1,$B1918&gt;='112'!$N$8,$B1918&lt;='112'!$O$8,OR($L1918='112'!$I$6,$M1918='112'!$I$6))),"x",""))</f>
        <v/>
      </c>
      <c r="S1918" s="525" t="str">
        <f>IF(ISERROR(FIND('112'!$M$9,G1918,1)),"",IF((AND(LEFT(G1918,2)=LEFT('112'!$M$9,2),B1918&lt;'112'!$N$8,$L1918='112'!$I$6)),"x",""))</f>
        <v/>
      </c>
      <c r="T1918" s="525" t="str">
        <f>IF(ISERROR(FIND('112'!$M$9,G1918,1)),"",IF((AND(RIGHT(G1918,2)=RIGHT('112'!$M$9,2),B1918&lt;'112'!$N$8,$M1918='112'!$I$6)),"x",""))</f>
        <v/>
      </c>
      <c r="U1918" s="525" t="str">
        <f>IF(AND(B1918&gt;='IN-NX'!$P$3,B1918&lt;='IN-NX'!$Q$3,'IN-NX'!$D$7=D1918,OR(LEFT(L1918,2)="15",AND(LEFT(M1918,2)&lt;&gt;"15",LEFT(M1918,2)&lt;&gt;"33"))),"x","")</f>
        <v/>
      </c>
      <c r="V1918" s="525" t="str">
        <f>IF(AND(OR(LEFT(TH!L1918,2)="15",LEFT(TH!M1918,2)="15"),'152-CT'!$J$8=TH!F1918),"x","")</f>
        <v/>
      </c>
      <c r="W1918" s="525" t="str">
        <f>IF(AND(OR(LEFT(TH!L1918,2)="15",LEFT(TH!M1918,2)="15"),TK!$E$7=TH!F1918),"x","")</f>
        <v/>
      </c>
      <c r="X1918" s="525" t="str">
        <f>IF(AND('341-CT'!$E$9=H1918,OR(LEFT(L1918,3)=$X$7,LEFT(M1918,3)=$X$7)),"x","")</f>
        <v/>
      </c>
      <c r="Y1918" s="525" t="str">
        <f>IF(OR(TH!L1918=TH!$Y$7,M1918=TH!$Y$7),"x","")</f>
        <v/>
      </c>
      <c r="Z1918" s="525" t="str">
        <f>IF(AND(B1918&lt;=NKC!$N$8,B1918&gt;=NKC!$M$8),"x","")</f>
        <v>x</v>
      </c>
      <c r="AA1918" s="535"/>
      <c r="AB1918" s="536"/>
      <c r="AE1918" s="536"/>
    </row>
    <row r="1919" spans="1:31" s="503" customFormat="1" ht="15.75" customHeight="1">
      <c r="A1919" s="517" t="str">
        <f>IF(B1919&lt;&gt;"",IF(AND(B1919&gt;=_TM1,B1919&lt;=_TM2,OR(TH!L1919="1111",TH!M1919="1111")),TH!D1919,""),"")</f>
        <v/>
      </c>
      <c r="B1919" s="531">
        <f t="shared" si="180"/>
        <v>3</v>
      </c>
      <c r="C1919" s="315">
        <f t="shared" si="178"/>
        <v>42825</v>
      </c>
      <c r="D1919" s="315" t="s">
        <v>996</v>
      </c>
      <c r="E1919" s="545">
        <v>42825</v>
      </c>
      <c r="F1919" s="247" t="s">
        <v>722</v>
      </c>
      <c r="G1919" s="314" t="s">
        <v>789</v>
      </c>
      <c r="H1919" s="473" t="s">
        <v>800</v>
      </c>
      <c r="I1919" s="307">
        <v>24</v>
      </c>
      <c r="J1919" s="307">
        <v>11341</v>
      </c>
      <c r="K1919" s="532">
        <f t="shared" si="179"/>
        <v>272184</v>
      </c>
      <c r="L1919" s="539" t="s">
        <v>160</v>
      </c>
      <c r="M1919" s="539" t="s">
        <v>292</v>
      </c>
      <c r="N1919" s="525" t="str">
        <f>IF(AND('331-CT'!$E$7=TH!H1919,OR(L1919="331",M1919="331")),"331",IF(AND(OR(L1919="131",M1919="131"),H1919='131-CT'!$E$7),"131",""))</f>
        <v/>
      </c>
      <c r="O1919" s="525" t="str">
        <f>IF(AND($B1919&gt;='111'!$N$11,$B1919&lt;='111'!$O$11,OR($L1919=$O$7,$M1919=$O$7)),"x","")</f>
        <v/>
      </c>
      <c r="P1919" s="525" t="str">
        <f>IF(AND($L1919=$O$7,$B1919&lt;'111'!$N$11),"x","")</f>
        <v/>
      </c>
      <c r="Q1919" s="525" t="str">
        <f>IF(AND($M1919=$O$7,$B1919&lt;'111'!$N$11),"x","")</f>
        <v/>
      </c>
      <c r="R1919" s="525" t="str">
        <f>IF(ISERROR(FIND('112'!$M$9,G1919,1)),"",IF((AND(FIND('112'!$M$9,G1919,1)&gt;=1,$B1919&gt;='112'!$N$8,$B1919&lt;='112'!$O$8,OR($L1919='112'!$I$6,$M1919='112'!$I$6))),"x",""))</f>
        <v/>
      </c>
      <c r="S1919" s="525" t="str">
        <f>IF(ISERROR(FIND('112'!$M$9,G1919,1)),"",IF((AND(LEFT(G1919,2)=LEFT('112'!$M$9,2),B1919&lt;'112'!$N$8,$L1919='112'!$I$6)),"x",""))</f>
        <v/>
      </c>
      <c r="T1919" s="525" t="str">
        <f>IF(ISERROR(FIND('112'!$M$9,G1919,1)),"",IF((AND(RIGHT(G1919,2)=RIGHT('112'!$M$9,2),B1919&lt;'112'!$N$8,$M1919='112'!$I$6)),"x",""))</f>
        <v/>
      </c>
      <c r="U1919" s="525" t="str">
        <f>IF(AND(B1919&gt;='IN-NX'!$P$3,B1919&lt;='IN-NX'!$Q$3,'IN-NX'!$D$7=D1919,OR(LEFT(L1919,2)="15",AND(LEFT(M1919,2)&lt;&gt;"15",LEFT(M1919,2)&lt;&gt;"33"))),"x","")</f>
        <v/>
      </c>
      <c r="V1919" s="525" t="str">
        <f>IF(AND(OR(LEFT(TH!L1919,2)="15",LEFT(TH!M1919,2)="15"),'152-CT'!$J$8=TH!F1919),"x","")</f>
        <v/>
      </c>
      <c r="W1919" s="525" t="str">
        <f>IF(AND(OR(LEFT(TH!L1919,2)="15",LEFT(TH!M1919,2)="15"),TK!$E$7=TH!F1919),"x","")</f>
        <v/>
      </c>
      <c r="X1919" s="525" t="str">
        <f>IF(AND('341-CT'!$E$9=H1919,OR(LEFT(L1919,3)=$X$7,LEFT(M1919,3)=$X$7)),"x","")</f>
        <v/>
      </c>
      <c r="Y1919" s="525" t="str">
        <f>IF(OR(TH!L1919=TH!$Y$7,M1919=TH!$Y$7),"x","")</f>
        <v/>
      </c>
      <c r="Z1919" s="525" t="str">
        <f>IF(AND(B1919&lt;=NKC!$N$8,B1919&gt;=NKC!$M$8),"x","")</f>
        <v>x</v>
      </c>
      <c r="AA1919" s="535"/>
      <c r="AB1919" s="536"/>
      <c r="AE1919" s="536"/>
    </row>
    <row r="1920" spans="1:31" s="503" customFormat="1" ht="15.75" customHeight="1">
      <c r="A1920" s="517" t="str">
        <f>IF(B1920&lt;&gt;"",IF(AND(B1920&gt;=_TM1,B1920&lt;=_TM2,OR(TH!L1920="1111",TH!M1920="1111")),TH!D1920,""),"")</f>
        <v/>
      </c>
      <c r="B1920" s="531">
        <f t="shared" si="180"/>
        <v>3</v>
      </c>
      <c r="C1920" s="315">
        <f t="shared" si="178"/>
        <v>42825</v>
      </c>
      <c r="D1920" s="315" t="s">
        <v>996</v>
      </c>
      <c r="E1920" s="545">
        <v>42825</v>
      </c>
      <c r="F1920" s="249" t="s">
        <v>723</v>
      </c>
      <c r="G1920" s="314" t="s">
        <v>789</v>
      </c>
      <c r="H1920" s="473" t="s">
        <v>800</v>
      </c>
      <c r="I1920" s="307">
        <v>16</v>
      </c>
      <c r="J1920" s="307">
        <v>10507</v>
      </c>
      <c r="K1920" s="532">
        <f t="shared" si="179"/>
        <v>168112</v>
      </c>
      <c r="L1920" s="539" t="s">
        <v>160</v>
      </c>
      <c r="M1920" s="539" t="s">
        <v>292</v>
      </c>
      <c r="N1920" s="525" t="str">
        <f>IF(AND('331-CT'!$E$7=TH!H1920,OR(L1920="331",M1920="331")),"331",IF(AND(OR(L1920="131",M1920="131"),H1920='131-CT'!$E$7),"131",""))</f>
        <v/>
      </c>
      <c r="O1920" s="525" t="str">
        <f>IF(AND($B1920&gt;='111'!$N$11,$B1920&lt;='111'!$O$11,OR($L1920=$O$7,$M1920=$O$7)),"x","")</f>
        <v/>
      </c>
      <c r="P1920" s="525" t="str">
        <f>IF(AND($L1920=$O$7,$B1920&lt;'111'!$N$11),"x","")</f>
        <v/>
      </c>
      <c r="Q1920" s="525" t="str">
        <f>IF(AND($M1920=$O$7,$B1920&lt;'111'!$N$11),"x","")</f>
        <v/>
      </c>
      <c r="R1920" s="525" t="str">
        <f>IF(ISERROR(FIND('112'!$M$9,G1920,1)),"",IF((AND(FIND('112'!$M$9,G1920,1)&gt;=1,$B1920&gt;='112'!$N$8,$B1920&lt;='112'!$O$8,OR($L1920='112'!$I$6,$M1920='112'!$I$6))),"x",""))</f>
        <v/>
      </c>
      <c r="S1920" s="525" t="str">
        <f>IF(ISERROR(FIND('112'!$M$9,G1920,1)),"",IF((AND(LEFT(G1920,2)=LEFT('112'!$M$9,2),B1920&lt;'112'!$N$8,$L1920='112'!$I$6)),"x",""))</f>
        <v/>
      </c>
      <c r="T1920" s="525" t="str">
        <f>IF(ISERROR(FIND('112'!$M$9,G1920,1)),"",IF((AND(RIGHT(G1920,2)=RIGHT('112'!$M$9,2),B1920&lt;'112'!$N$8,$M1920='112'!$I$6)),"x",""))</f>
        <v/>
      </c>
      <c r="U1920" s="525" t="str">
        <f>IF(AND(B1920&gt;='IN-NX'!$P$3,B1920&lt;='IN-NX'!$Q$3,'IN-NX'!$D$7=D1920,OR(LEFT(L1920,2)="15",AND(LEFT(M1920,2)&lt;&gt;"15",LEFT(M1920,2)&lt;&gt;"33"))),"x","")</f>
        <v/>
      </c>
      <c r="V1920" s="525" t="str">
        <f>IF(AND(OR(LEFT(TH!L1920,2)="15",LEFT(TH!M1920,2)="15"),'152-CT'!$J$8=TH!F1920),"x","")</f>
        <v/>
      </c>
      <c r="W1920" s="525" t="str">
        <f>IF(AND(OR(LEFT(TH!L1920,2)="15",LEFT(TH!M1920,2)="15"),TK!$E$7=TH!F1920),"x","")</f>
        <v/>
      </c>
      <c r="X1920" s="525" t="str">
        <f>IF(AND('341-CT'!$E$9=H1920,OR(LEFT(L1920,3)=$X$7,LEFT(M1920,3)=$X$7)),"x","")</f>
        <v/>
      </c>
      <c r="Y1920" s="525" t="str">
        <f>IF(OR(TH!L1920=TH!$Y$7,M1920=TH!$Y$7),"x","")</f>
        <v/>
      </c>
      <c r="Z1920" s="525" t="str">
        <f>IF(AND(B1920&lt;=NKC!$N$8,B1920&gt;=NKC!$M$8),"x","")</f>
        <v>x</v>
      </c>
      <c r="AA1920" s="535"/>
      <c r="AB1920" s="536"/>
      <c r="AE1920" s="536"/>
    </row>
    <row r="1921" spans="1:31" s="503" customFormat="1" ht="15.75" customHeight="1">
      <c r="A1921" s="517" t="str">
        <f>IF(B1921&lt;&gt;"",IF(AND(B1921&gt;=_TM1,B1921&lt;=_TM2,OR(TH!L1921="1111",TH!M1921="1111")),TH!D1921,""),"")</f>
        <v/>
      </c>
      <c r="B1921" s="531">
        <f t="shared" si="180"/>
        <v>3</v>
      </c>
      <c r="C1921" s="315">
        <f t="shared" si="178"/>
        <v>42825</v>
      </c>
      <c r="D1921" s="315" t="s">
        <v>996</v>
      </c>
      <c r="E1921" s="545">
        <v>42825</v>
      </c>
      <c r="F1921" s="249" t="s">
        <v>724</v>
      </c>
      <c r="G1921" s="314" t="s">
        <v>789</v>
      </c>
      <c r="H1921" s="473" t="s">
        <v>800</v>
      </c>
      <c r="I1921" s="307">
        <v>16</v>
      </c>
      <c r="J1921" s="307">
        <v>8229</v>
      </c>
      <c r="K1921" s="532">
        <f t="shared" si="179"/>
        <v>131664</v>
      </c>
      <c r="L1921" s="539" t="s">
        <v>160</v>
      </c>
      <c r="M1921" s="539" t="s">
        <v>292</v>
      </c>
      <c r="N1921" s="525" t="str">
        <f>IF(AND('331-CT'!$E$7=TH!H1921,OR(L1921="331",M1921="331")),"331",IF(AND(OR(L1921="131",M1921="131"),H1921='131-CT'!$E$7),"131",""))</f>
        <v/>
      </c>
      <c r="O1921" s="525" t="str">
        <f>IF(AND($B1921&gt;='111'!$N$11,$B1921&lt;='111'!$O$11,OR($L1921=$O$7,$M1921=$O$7)),"x","")</f>
        <v/>
      </c>
      <c r="P1921" s="525" t="str">
        <f>IF(AND($L1921=$O$7,$B1921&lt;'111'!$N$11),"x","")</f>
        <v/>
      </c>
      <c r="Q1921" s="525" t="str">
        <f>IF(AND($M1921=$O$7,$B1921&lt;'111'!$N$11),"x","")</f>
        <v/>
      </c>
      <c r="R1921" s="525" t="str">
        <f>IF(ISERROR(FIND('112'!$M$9,G1921,1)),"",IF((AND(FIND('112'!$M$9,G1921,1)&gt;=1,$B1921&gt;='112'!$N$8,$B1921&lt;='112'!$O$8,OR($L1921='112'!$I$6,$M1921='112'!$I$6))),"x",""))</f>
        <v/>
      </c>
      <c r="S1921" s="525" t="str">
        <f>IF(ISERROR(FIND('112'!$M$9,G1921,1)),"",IF((AND(LEFT(G1921,2)=LEFT('112'!$M$9,2),B1921&lt;'112'!$N$8,$L1921='112'!$I$6)),"x",""))</f>
        <v/>
      </c>
      <c r="T1921" s="525" t="str">
        <f>IF(ISERROR(FIND('112'!$M$9,G1921,1)),"",IF((AND(RIGHT(G1921,2)=RIGHT('112'!$M$9,2),B1921&lt;'112'!$N$8,$M1921='112'!$I$6)),"x",""))</f>
        <v/>
      </c>
      <c r="U1921" s="525" t="str">
        <f>IF(AND(B1921&gt;='IN-NX'!$P$3,B1921&lt;='IN-NX'!$Q$3,'IN-NX'!$D$7=D1921,OR(LEFT(L1921,2)="15",AND(LEFT(M1921,2)&lt;&gt;"15",LEFT(M1921,2)&lt;&gt;"33"))),"x","")</f>
        <v/>
      </c>
      <c r="V1921" s="525" t="str">
        <f>IF(AND(OR(LEFT(TH!L1921,2)="15",LEFT(TH!M1921,2)="15"),'152-CT'!$J$8=TH!F1921),"x","")</f>
        <v/>
      </c>
      <c r="W1921" s="525" t="str">
        <f>IF(AND(OR(LEFT(TH!L1921,2)="15",LEFT(TH!M1921,2)="15"),TK!$E$7=TH!F1921),"x","")</f>
        <v/>
      </c>
      <c r="X1921" s="525" t="str">
        <f>IF(AND('341-CT'!$E$9=H1921,OR(LEFT(L1921,3)=$X$7,LEFT(M1921,3)=$X$7)),"x","")</f>
        <v/>
      </c>
      <c r="Y1921" s="525" t="str">
        <f>IF(OR(TH!L1921=TH!$Y$7,M1921=TH!$Y$7),"x","")</f>
        <v/>
      </c>
      <c r="Z1921" s="525" t="str">
        <f>IF(AND(B1921&lt;=NKC!$N$8,B1921&gt;=NKC!$M$8),"x","")</f>
        <v>x</v>
      </c>
      <c r="AA1921" s="535"/>
      <c r="AB1921" s="536"/>
      <c r="AE1921" s="536"/>
    </row>
    <row r="1922" spans="1:31" s="503" customFormat="1" ht="15.75" customHeight="1">
      <c r="A1922" s="517" t="str">
        <f>IF(B1922&lt;&gt;"",IF(AND(B1922&gt;=_TM1,B1922&lt;=_TM2,OR(TH!L1922="1111",TH!M1922="1111")),TH!D1922,""),"")</f>
        <v/>
      </c>
      <c r="B1922" s="531">
        <f t="shared" si="180"/>
        <v>3</v>
      </c>
      <c r="C1922" s="315">
        <f t="shared" si="178"/>
        <v>42825</v>
      </c>
      <c r="D1922" s="315" t="s">
        <v>996</v>
      </c>
      <c r="E1922" s="545">
        <v>42825</v>
      </c>
      <c r="F1922" s="249" t="s">
        <v>725</v>
      </c>
      <c r="G1922" s="314" t="s">
        <v>789</v>
      </c>
      <c r="H1922" s="473" t="s">
        <v>800</v>
      </c>
      <c r="I1922" s="307">
        <v>12</v>
      </c>
      <c r="J1922" s="307">
        <v>18973</v>
      </c>
      <c r="K1922" s="532">
        <f t="shared" si="179"/>
        <v>227676</v>
      </c>
      <c r="L1922" s="539" t="s">
        <v>160</v>
      </c>
      <c r="M1922" s="539" t="s">
        <v>292</v>
      </c>
      <c r="N1922" s="525" t="str">
        <f>IF(AND('331-CT'!$E$7=TH!H1922,OR(L1922="331",M1922="331")),"331",IF(AND(OR(L1922="131",M1922="131"),H1922='131-CT'!$E$7),"131",""))</f>
        <v/>
      </c>
      <c r="O1922" s="525" t="str">
        <f>IF(AND($B1922&gt;='111'!$N$11,$B1922&lt;='111'!$O$11,OR($L1922=$O$7,$M1922=$O$7)),"x","")</f>
        <v/>
      </c>
      <c r="P1922" s="525" t="str">
        <f>IF(AND($L1922=$O$7,$B1922&lt;'111'!$N$11),"x","")</f>
        <v/>
      </c>
      <c r="Q1922" s="525" t="str">
        <f>IF(AND($M1922=$O$7,$B1922&lt;'111'!$N$11),"x","")</f>
        <v/>
      </c>
      <c r="R1922" s="525" t="str">
        <f>IF(ISERROR(FIND('112'!$M$9,G1922,1)),"",IF((AND(FIND('112'!$M$9,G1922,1)&gt;=1,$B1922&gt;='112'!$N$8,$B1922&lt;='112'!$O$8,OR($L1922='112'!$I$6,$M1922='112'!$I$6))),"x",""))</f>
        <v/>
      </c>
      <c r="S1922" s="525" t="str">
        <f>IF(ISERROR(FIND('112'!$M$9,G1922,1)),"",IF((AND(LEFT(G1922,2)=LEFT('112'!$M$9,2),B1922&lt;'112'!$N$8,$L1922='112'!$I$6)),"x",""))</f>
        <v/>
      </c>
      <c r="T1922" s="525" t="str">
        <f>IF(ISERROR(FIND('112'!$M$9,G1922,1)),"",IF((AND(RIGHT(G1922,2)=RIGHT('112'!$M$9,2),B1922&lt;'112'!$N$8,$M1922='112'!$I$6)),"x",""))</f>
        <v/>
      </c>
      <c r="U1922" s="525" t="str">
        <f>IF(AND(B1922&gt;='IN-NX'!$P$3,B1922&lt;='IN-NX'!$Q$3,'IN-NX'!$D$7=D1922,OR(LEFT(L1922,2)="15",AND(LEFT(M1922,2)&lt;&gt;"15",LEFT(M1922,2)&lt;&gt;"33"))),"x","")</f>
        <v/>
      </c>
      <c r="V1922" s="525" t="str">
        <f>IF(AND(OR(LEFT(TH!L1922,2)="15",LEFT(TH!M1922,2)="15"),'152-CT'!$J$8=TH!F1922),"x","")</f>
        <v/>
      </c>
      <c r="W1922" s="525" t="str">
        <f>IF(AND(OR(LEFT(TH!L1922,2)="15",LEFT(TH!M1922,2)="15"),TK!$E$7=TH!F1922),"x","")</f>
        <v/>
      </c>
      <c r="X1922" s="525" t="str">
        <f>IF(AND('341-CT'!$E$9=H1922,OR(LEFT(L1922,3)=$X$7,LEFT(M1922,3)=$X$7)),"x","")</f>
        <v/>
      </c>
      <c r="Y1922" s="525" t="str">
        <f>IF(OR(TH!L1922=TH!$Y$7,M1922=TH!$Y$7),"x","")</f>
        <v/>
      </c>
      <c r="Z1922" s="525" t="str">
        <f>IF(AND(B1922&lt;=NKC!$N$8,B1922&gt;=NKC!$M$8),"x","")</f>
        <v>x</v>
      </c>
      <c r="AA1922" s="535"/>
      <c r="AB1922" s="536"/>
      <c r="AE1922" s="536"/>
    </row>
    <row r="1923" spans="1:31" s="503" customFormat="1" ht="15.75" customHeight="1">
      <c r="A1923" s="517" t="str">
        <f>IF(B1923&lt;&gt;"",IF(AND(B1923&gt;=_TM1,B1923&lt;=_TM2,OR(TH!L1923="1111",TH!M1923="1111")),TH!D1923,""),"")</f>
        <v/>
      </c>
      <c r="B1923" s="531">
        <f t="shared" si="180"/>
        <v>3</v>
      </c>
      <c r="C1923" s="315">
        <f t="shared" ref="C1923:C1981" si="181">E1923</f>
        <v>42825</v>
      </c>
      <c r="D1923" s="315" t="s">
        <v>996</v>
      </c>
      <c r="E1923" s="545">
        <v>42825</v>
      </c>
      <c r="F1923" s="249" t="s">
        <v>726</v>
      </c>
      <c r="G1923" s="314" t="s">
        <v>789</v>
      </c>
      <c r="H1923" s="473" t="s">
        <v>800</v>
      </c>
      <c r="I1923" s="307">
        <v>18</v>
      </c>
      <c r="J1923" s="307">
        <v>7838</v>
      </c>
      <c r="K1923" s="532">
        <f t="shared" si="179"/>
        <v>141084</v>
      </c>
      <c r="L1923" s="539" t="s">
        <v>160</v>
      </c>
      <c r="M1923" s="539" t="s">
        <v>292</v>
      </c>
      <c r="N1923" s="525" t="str">
        <f>IF(AND('331-CT'!$E$7=TH!H1923,OR(L1923="331",M1923="331")),"331",IF(AND(OR(L1923="131",M1923="131"),H1923='131-CT'!$E$7),"131",""))</f>
        <v/>
      </c>
      <c r="O1923" s="525" t="str">
        <f>IF(AND($B1923&gt;='111'!$N$11,$B1923&lt;='111'!$O$11,OR($L1923=$O$7,$M1923=$O$7)),"x","")</f>
        <v/>
      </c>
      <c r="P1923" s="525" t="str">
        <f>IF(AND($L1923=$O$7,$B1923&lt;'111'!$N$11),"x","")</f>
        <v/>
      </c>
      <c r="Q1923" s="525" t="str">
        <f>IF(AND($M1923=$O$7,$B1923&lt;'111'!$N$11),"x","")</f>
        <v/>
      </c>
      <c r="R1923" s="525" t="str">
        <f>IF(ISERROR(FIND('112'!$M$9,G1923,1)),"",IF((AND(FIND('112'!$M$9,G1923,1)&gt;=1,$B1923&gt;='112'!$N$8,$B1923&lt;='112'!$O$8,OR($L1923='112'!$I$6,$M1923='112'!$I$6))),"x",""))</f>
        <v/>
      </c>
      <c r="S1923" s="525" t="str">
        <f>IF(ISERROR(FIND('112'!$M$9,G1923,1)),"",IF((AND(LEFT(G1923,2)=LEFT('112'!$M$9,2),B1923&lt;'112'!$N$8,$L1923='112'!$I$6)),"x",""))</f>
        <v/>
      </c>
      <c r="T1923" s="525" t="str">
        <f>IF(ISERROR(FIND('112'!$M$9,G1923,1)),"",IF((AND(RIGHT(G1923,2)=RIGHT('112'!$M$9,2),B1923&lt;'112'!$N$8,$M1923='112'!$I$6)),"x",""))</f>
        <v/>
      </c>
      <c r="U1923" s="525" t="str">
        <f>IF(AND(B1923&gt;='IN-NX'!$P$3,B1923&lt;='IN-NX'!$Q$3,'IN-NX'!$D$7=D1923,OR(LEFT(L1923,2)="15",AND(LEFT(M1923,2)&lt;&gt;"15",LEFT(M1923,2)&lt;&gt;"33"))),"x","")</f>
        <v/>
      </c>
      <c r="V1923" s="525" t="str">
        <f>IF(AND(OR(LEFT(TH!L1923,2)="15",LEFT(TH!M1923,2)="15"),'152-CT'!$J$8=TH!F1923),"x","")</f>
        <v/>
      </c>
      <c r="W1923" s="525" t="str">
        <f>IF(AND(OR(LEFT(TH!L1923,2)="15",LEFT(TH!M1923,2)="15"),TK!$E$7=TH!F1923),"x","")</f>
        <v/>
      </c>
      <c r="X1923" s="525" t="str">
        <f>IF(AND('341-CT'!$E$9=H1923,OR(LEFT(L1923,3)=$X$7,LEFT(M1923,3)=$X$7)),"x","")</f>
        <v/>
      </c>
      <c r="Y1923" s="525" t="str">
        <f>IF(OR(TH!L1923=TH!$Y$7,M1923=TH!$Y$7),"x","")</f>
        <v/>
      </c>
      <c r="Z1923" s="525" t="str">
        <f>IF(AND(B1923&lt;=NKC!$N$8,B1923&gt;=NKC!$M$8),"x","")</f>
        <v>x</v>
      </c>
      <c r="AA1923" s="535"/>
      <c r="AB1923" s="536"/>
      <c r="AE1923" s="536"/>
    </row>
    <row r="1924" spans="1:31" s="503" customFormat="1" ht="15.75" customHeight="1">
      <c r="A1924" s="517" t="str">
        <f>IF(B1924&lt;&gt;"",IF(AND(B1924&gt;=_TM1,B1924&lt;=_TM2,OR(TH!L1924="1111",TH!M1924="1111")),TH!D1924,""),"")</f>
        <v/>
      </c>
      <c r="B1924" s="531">
        <f t="shared" si="180"/>
        <v>3</v>
      </c>
      <c r="C1924" s="315">
        <f t="shared" si="181"/>
        <v>42825</v>
      </c>
      <c r="D1924" s="315" t="s">
        <v>996</v>
      </c>
      <c r="E1924" s="545">
        <v>42825</v>
      </c>
      <c r="F1924" s="249" t="s">
        <v>727</v>
      </c>
      <c r="G1924" s="314" t="s">
        <v>789</v>
      </c>
      <c r="H1924" s="473" t="s">
        <v>800</v>
      </c>
      <c r="I1924" s="307">
        <v>24</v>
      </c>
      <c r="J1924" s="307">
        <v>22519</v>
      </c>
      <c r="K1924" s="532">
        <f t="shared" si="179"/>
        <v>540456</v>
      </c>
      <c r="L1924" s="539" t="s">
        <v>160</v>
      </c>
      <c r="M1924" s="539" t="s">
        <v>292</v>
      </c>
      <c r="N1924" s="525" t="str">
        <f>IF(AND('331-CT'!$E$7=TH!H1924,OR(L1924="331",M1924="331")),"331",IF(AND(OR(L1924="131",M1924="131"),H1924='131-CT'!$E$7),"131",""))</f>
        <v/>
      </c>
      <c r="O1924" s="525" t="str">
        <f>IF(AND($B1924&gt;='111'!$N$11,$B1924&lt;='111'!$O$11,OR($L1924=$O$7,$M1924=$O$7)),"x","")</f>
        <v/>
      </c>
      <c r="P1924" s="525" t="str">
        <f>IF(AND($L1924=$O$7,$B1924&lt;'111'!$N$11),"x","")</f>
        <v/>
      </c>
      <c r="Q1924" s="525" t="str">
        <f>IF(AND($M1924=$O$7,$B1924&lt;'111'!$N$11),"x","")</f>
        <v/>
      </c>
      <c r="R1924" s="525" t="str">
        <f>IF(ISERROR(FIND('112'!$M$9,G1924,1)),"",IF((AND(FIND('112'!$M$9,G1924,1)&gt;=1,$B1924&gt;='112'!$N$8,$B1924&lt;='112'!$O$8,OR($L1924='112'!$I$6,$M1924='112'!$I$6))),"x",""))</f>
        <v/>
      </c>
      <c r="S1924" s="525" t="str">
        <f>IF(ISERROR(FIND('112'!$M$9,G1924,1)),"",IF((AND(LEFT(G1924,2)=LEFT('112'!$M$9,2),B1924&lt;'112'!$N$8,$L1924='112'!$I$6)),"x",""))</f>
        <v/>
      </c>
      <c r="T1924" s="525" t="str">
        <f>IF(ISERROR(FIND('112'!$M$9,G1924,1)),"",IF((AND(RIGHT(G1924,2)=RIGHT('112'!$M$9,2),B1924&lt;'112'!$N$8,$M1924='112'!$I$6)),"x",""))</f>
        <v/>
      </c>
      <c r="U1924" s="525" t="str">
        <f>IF(AND(B1924&gt;='IN-NX'!$P$3,B1924&lt;='IN-NX'!$Q$3,'IN-NX'!$D$7=D1924,OR(LEFT(L1924,2)="15",AND(LEFT(M1924,2)&lt;&gt;"15",LEFT(M1924,2)&lt;&gt;"33"))),"x","")</f>
        <v/>
      </c>
      <c r="V1924" s="525" t="str">
        <f>IF(AND(OR(LEFT(TH!L1924,2)="15",LEFT(TH!M1924,2)="15"),'152-CT'!$J$8=TH!F1924),"x","")</f>
        <v/>
      </c>
      <c r="W1924" s="525" t="str">
        <f>IF(AND(OR(LEFT(TH!L1924,2)="15",LEFT(TH!M1924,2)="15"),TK!$E$7=TH!F1924),"x","")</f>
        <v/>
      </c>
      <c r="X1924" s="525" t="str">
        <f>IF(AND('341-CT'!$E$9=H1924,OR(LEFT(L1924,3)=$X$7,LEFT(M1924,3)=$X$7)),"x","")</f>
        <v/>
      </c>
      <c r="Y1924" s="525" t="str">
        <f>IF(OR(TH!L1924=TH!$Y$7,M1924=TH!$Y$7),"x","")</f>
        <v/>
      </c>
      <c r="Z1924" s="525" t="str">
        <f>IF(AND(B1924&lt;=NKC!$N$8,B1924&gt;=NKC!$M$8),"x","")</f>
        <v>x</v>
      </c>
      <c r="AA1924" s="535"/>
      <c r="AB1924" s="536"/>
      <c r="AE1924" s="536"/>
    </row>
    <row r="1925" spans="1:31" s="503" customFormat="1" ht="15.75" customHeight="1">
      <c r="A1925" s="517" t="str">
        <f>IF(B1925&lt;&gt;"",IF(AND(B1925&gt;=_TM1,B1925&lt;=_TM2,OR(TH!L1925="1111",TH!M1925="1111")),TH!D1925,""),"")</f>
        <v/>
      </c>
      <c r="B1925" s="531">
        <f t="shared" si="180"/>
        <v>3</v>
      </c>
      <c r="C1925" s="315">
        <f t="shared" si="181"/>
        <v>42825</v>
      </c>
      <c r="D1925" s="315" t="s">
        <v>996</v>
      </c>
      <c r="E1925" s="545">
        <v>42825</v>
      </c>
      <c r="F1925" s="249" t="s">
        <v>728</v>
      </c>
      <c r="G1925" s="314" t="s">
        <v>789</v>
      </c>
      <c r="H1925" s="473" t="s">
        <v>800</v>
      </c>
      <c r="I1925" s="307">
        <v>12</v>
      </c>
      <c r="J1925" s="307">
        <v>20041</v>
      </c>
      <c r="K1925" s="532">
        <f t="shared" si="179"/>
        <v>240492</v>
      </c>
      <c r="L1925" s="539" t="s">
        <v>160</v>
      </c>
      <c r="M1925" s="539" t="s">
        <v>292</v>
      </c>
      <c r="N1925" s="525" t="str">
        <f>IF(AND('331-CT'!$E$7=TH!H1925,OR(L1925="331",M1925="331")),"331",IF(AND(OR(L1925="131",M1925="131"),H1925='131-CT'!$E$7),"131",""))</f>
        <v/>
      </c>
      <c r="O1925" s="525" t="str">
        <f>IF(AND($B1925&gt;='111'!$N$11,$B1925&lt;='111'!$O$11,OR($L1925=$O$7,$M1925=$O$7)),"x","")</f>
        <v/>
      </c>
      <c r="P1925" s="525" t="str">
        <f>IF(AND($L1925=$O$7,$B1925&lt;'111'!$N$11),"x","")</f>
        <v/>
      </c>
      <c r="Q1925" s="525" t="str">
        <f>IF(AND($M1925=$O$7,$B1925&lt;'111'!$N$11),"x","")</f>
        <v/>
      </c>
      <c r="R1925" s="525" t="str">
        <f>IF(ISERROR(FIND('112'!$M$9,G1925,1)),"",IF((AND(FIND('112'!$M$9,G1925,1)&gt;=1,$B1925&gt;='112'!$N$8,$B1925&lt;='112'!$O$8,OR($L1925='112'!$I$6,$M1925='112'!$I$6))),"x",""))</f>
        <v/>
      </c>
      <c r="S1925" s="525" t="str">
        <f>IF(ISERROR(FIND('112'!$M$9,G1925,1)),"",IF((AND(LEFT(G1925,2)=LEFT('112'!$M$9,2),B1925&lt;'112'!$N$8,$L1925='112'!$I$6)),"x",""))</f>
        <v/>
      </c>
      <c r="T1925" s="525" t="str">
        <f>IF(ISERROR(FIND('112'!$M$9,G1925,1)),"",IF((AND(RIGHT(G1925,2)=RIGHT('112'!$M$9,2),B1925&lt;'112'!$N$8,$M1925='112'!$I$6)),"x",""))</f>
        <v/>
      </c>
      <c r="U1925" s="525" t="str">
        <f>IF(AND(B1925&gt;='IN-NX'!$P$3,B1925&lt;='IN-NX'!$Q$3,'IN-NX'!$D$7=D1925,OR(LEFT(L1925,2)="15",AND(LEFT(M1925,2)&lt;&gt;"15",LEFT(M1925,2)&lt;&gt;"33"))),"x","")</f>
        <v/>
      </c>
      <c r="V1925" s="525" t="str">
        <f>IF(AND(OR(LEFT(TH!L1925,2)="15",LEFT(TH!M1925,2)="15"),'152-CT'!$J$8=TH!F1925),"x","")</f>
        <v/>
      </c>
      <c r="W1925" s="525" t="str">
        <f>IF(AND(OR(LEFT(TH!L1925,2)="15",LEFT(TH!M1925,2)="15"),TK!$E$7=TH!F1925),"x","")</f>
        <v/>
      </c>
      <c r="X1925" s="525" t="str">
        <f>IF(AND('341-CT'!$E$9=H1925,OR(LEFT(L1925,3)=$X$7,LEFT(M1925,3)=$X$7)),"x","")</f>
        <v/>
      </c>
      <c r="Y1925" s="525" t="str">
        <f>IF(OR(TH!L1925=TH!$Y$7,M1925=TH!$Y$7),"x","")</f>
        <v/>
      </c>
      <c r="Z1925" s="525" t="str">
        <f>IF(AND(B1925&lt;=NKC!$N$8,B1925&gt;=NKC!$M$8),"x","")</f>
        <v>x</v>
      </c>
      <c r="AA1925" s="535"/>
      <c r="AB1925" s="536"/>
      <c r="AE1925" s="536"/>
    </row>
    <row r="1926" spans="1:31" s="503" customFormat="1" ht="15.75" customHeight="1">
      <c r="A1926" s="517" t="str">
        <f>IF(B1926&lt;&gt;"",IF(AND(B1926&gt;=_TM1,B1926&lt;=_TM2,OR(TH!L1926="1111",TH!M1926="1111")),TH!D1926,""),"")</f>
        <v/>
      </c>
      <c r="B1926" s="531">
        <f t="shared" si="180"/>
        <v>3</v>
      </c>
      <c r="C1926" s="315">
        <f t="shared" si="181"/>
        <v>42825</v>
      </c>
      <c r="D1926" s="315" t="s">
        <v>996</v>
      </c>
      <c r="E1926" s="545">
        <v>42825</v>
      </c>
      <c r="F1926" s="249" t="s">
        <v>729</v>
      </c>
      <c r="G1926" s="314" t="s">
        <v>789</v>
      </c>
      <c r="H1926" s="473" t="s">
        <v>800</v>
      </c>
      <c r="I1926" s="307">
        <v>24</v>
      </c>
      <c r="J1926" s="307">
        <v>11841</v>
      </c>
      <c r="K1926" s="532">
        <f t="shared" si="179"/>
        <v>284184</v>
      </c>
      <c r="L1926" s="539" t="s">
        <v>160</v>
      </c>
      <c r="M1926" s="539" t="s">
        <v>292</v>
      </c>
      <c r="N1926" s="525" t="str">
        <f>IF(AND('331-CT'!$E$7=TH!H1926,OR(L1926="331",M1926="331")),"331",IF(AND(OR(L1926="131",M1926="131"),H1926='131-CT'!$E$7),"131",""))</f>
        <v/>
      </c>
      <c r="O1926" s="525" t="str">
        <f>IF(AND($B1926&gt;='111'!$N$11,$B1926&lt;='111'!$O$11,OR($L1926=$O$7,$M1926=$O$7)),"x","")</f>
        <v/>
      </c>
      <c r="P1926" s="525" t="str">
        <f>IF(AND($L1926=$O$7,$B1926&lt;'111'!$N$11),"x","")</f>
        <v/>
      </c>
      <c r="Q1926" s="525" t="str">
        <f>IF(AND($M1926=$O$7,$B1926&lt;'111'!$N$11),"x","")</f>
        <v/>
      </c>
      <c r="R1926" s="525" t="str">
        <f>IF(ISERROR(FIND('112'!$M$9,G1926,1)),"",IF((AND(FIND('112'!$M$9,G1926,1)&gt;=1,$B1926&gt;='112'!$N$8,$B1926&lt;='112'!$O$8,OR($L1926='112'!$I$6,$M1926='112'!$I$6))),"x",""))</f>
        <v/>
      </c>
      <c r="S1926" s="525" t="str">
        <f>IF(ISERROR(FIND('112'!$M$9,G1926,1)),"",IF((AND(LEFT(G1926,2)=LEFT('112'!$M$9,2),B1926&lt;'112'!$N$8,$L1926='112'!$I$6)),"x",""))</f>
        <v/>
      </c>
      <c r="T1926" s="525" t="str">
        <f>IF(ISERROR(FIND('112'!$M$9,G1926,1)),"",IF((AND(RIGHT(G1926,2)=RIGHT('112'!$M$9,2),B1926&lt;'112'!$N$8,$M1926='112'!$I$6)),"x",""))</f>
        <v/>
      </c>
      <c r="U1926" s="525" t="str">
        <f>IF(AND(B1926&gt;='IN-NX'!$P$3,B1926&lt;='IN-NX'!$Q$3,'IN-NX'!$D$7=D1926,OR(LEFT(L1926,2)="15",AND(LEFT(M1926,2)&lt;&gt;"15",LEFT(M1926,2)&lt;&gt;"33"))),"x","")</f>
        <v/>
      </c>
      <c r="V1926" s="525" t="str">
        <f>IF(AND(OR(LEFT(TH!L1926,2)="15",LEFT(TH!M1926,2)="15"),'152-CT'!$J$8=TH!F1926),"x","")</f>
        <v/>
      </c>
      <c r="W1926" s="525" t="str">
        <f>IF(AND(OR(LEFT(TH!L1926,2)="15",LEFT(TH!M1926,2)="15"),TK!$E$7=TH!F1926),"x","")</f>
        <v/>
      </c>
      <c r="X1926" s="525" t="str">
        <f>IF(AND('341-CT'!$E$9=H1926,OR(LEFT(L1926,3)=$X$7,LEFT(M1926,3)=$X$7)),"x","")</f>
        <v/>
      </c>
      <c r="Y1926" s="525" t="str">
        <f>IF(OR(TH!L1926=TH!$Y$7,M1926=TH!$Y$7),"x","")</f>
        <v/>
      </c>
      <c r="Z1926" s="525" t="str">
        <f>IF(AND(B1926&lt;=NKC!$N$8,B1926&gt;=NKC!$M$8),"x","")</f>
        <v>x</v>
      </c>
      <c r="AA1926" s="535"/>
      <c r="AB1926" s="536"/>
      <c r="AE1926" s="536"/>
    </row>
    <row r="1927" spans="1:31" s="503" customFormat="1" ht="15.75" customHeight="1">
      <c r="A1927" s="517" t="str">
        <f>IF(B1927&lt;&gt;"",IF(AND(B1927&gt;=_TM1,B1927&lt;=_TM2,OR(TH!L1927="1111",TH!M1927="1111")),TH!D1927,""),"")</f>
        <v/>
      </c>
      <c r="B1927" s="531">
        <f t="shared" si="180"/>
        <v>3</v>
      </c>
      <c r="C1927" s="315">
        <f t="shared" si="181"/>
        <v>42825</v>
      </c>
      <c r="D1927" s="315" t="s">
        <v>996</v>
      </c>
      <c r="E1927" s="545">
        <v>42825</v>
      </c>
      <c r="F1927" s="249" t="s">
        <v>649</v>
      </c>
      <c r="G1927" s="314" t="s">
        <v>789</v>
      </c>
      <c r="H1927" s="473" t="s">
        <v>800</v>
      </c>
      <c r="I1927" s="307">
        <v>40</v>
      </c>
      <c r="J1927" s="307">
        <v>61491</v>
      </c>
      <c r="K1927" s="532">
        <f t="shared" si="179"/>
        <v>2459640</v>
      </c>
      <c r="L1927" s="539" t="s">
        <v>160</v>
      </c>
      <c r="M1927" s="539" t="s">
        <v>292</v>
      </c>
      <c r="N1927" s="525" t="str">
        <f>IF(AND('331-CT'!$E$7=TH!H1927,OR(L1927="331",M1927="331")),"331",IF(AND(OR(L1927="131",M1927="131"),H1927='131-CT'!$E$7),"131",""))</f>
        <v/>
      </c>
      <c r="O1927" s="525" t="str">
        <f>IF(AND($B1927&gt;='111'!$N$11,$B1927&lt;='111'!$O$11,OR($L1927=$O$7,$M1927=$O$7)),"x","")</f>
        <v/>
      </c>
      <c r="P1927" s="525" t="str">
        <f>IF(AND($L1927=$O$7,$B1927&lt;'111'!$N$11),"x","")</f>
        <v/>
      </c>
      <c r="Q1927" s="525" t="str">
        <f>IF(AND($M1927=$O$7,$B1927&lt;'111'!$N$11),"x","")</f>
        <v/>
      </c>
      <c r="R1927" s="525" t="str">
        <f>IF(ISERROR(FIND('112'!$M$9,G1927,1)),"",IF((AND(FIND('112'!$M$9,G1927,1)&gt;=1,$B1927&gt;='112'!$N$8,$B1927&lt;='112'!$O$8,OR($L1927='112'!$I$6,$M1927='112'!$I$6))),"x",""))</f>
        <v/>
      </c>
      <c r="S1927" s="525" t="str">
        <f>IF(ISERROR(FIND('112'!$M$9,G1927,1)),"",IF((AND(LEFT(G1927,2)=LEFT('112'!$M$9,2),B1927&lt;'112'!$N$8,$L1927='112'!$I$6)),"x",""))</f>
        <v/>
      </c>
      <c r="T1927" s="525" t="str">
        <f>IF(ISERROR(FIND('112'!$M$9,G1927,1)),"",IF((AND(RIGHT(G1927,2)=RIGHT('112'!$M$9,2),B1927&lt;'112'!$N$8,$M1927='112'!$I$6)),"x",""))</f>
        <v/>
      </c>
      <c r="U1927" s="525" t="str">
        <f>IF(AND(B1927&gt;='IN-NX'!$P$3,B1927&lt;='IN-NX'!$Q$3,'IN-NX'!$D$7=D1927,OR(LEFT(L1927,2)="15",AND(LEFT(M1927,2)&lt;&gt;"15",LEFT(M1927,2)&lt;&gt;"33"))),"x","")</f>
        <v/>
      </c>
      <c r="V1927" s="525" t="str">
        <f>IF(AND(OR(LEFT(TH!L1927,2)="15",LEFT(TH!M1927,2)="15"),'152-CT'!$J$8=TH!F1927),"x","")</f>
        <v/>
      </c>
      <c r="W1927" s="525" t="str">
        <f>IF(AND(OR(LEFT(TH!L1927,2)="15",LEFT(TH!M1927,2)="15"),TK!$E$7=TH!F1927),"x","")</f>
        <v/>
      </c>
      <c r="X1927" s="525" t="str">
        <f>IF(AND('341-CT'!$E$9=H1927,OR(LEFT(L1927,3)=$X$7,LEFT(M1927,3)=$X$7)),"x","")</f>
        <v/>
      </c>
      <c r="Y1927" s="525" t="str">
        <f>IF(OR(TH!L1927=TH!$Y$7,M1927=TH!$Y$7),"x","")</f>
        <v/>
      </c>
      <c r="Z1927" s="525" t="str">
        <f>IF(AND(B1927&lt;=NKC!$N$8,B1927&gt;=NKC!$M$8),"x","")</f>
        <v>x</v>
      </c>
      <c r="AA1927" s="535"/>
      <c r="AB1927" s="536"/>
      <c r="AE1927" s="536"/>
    </row>
    <row r="1928" spans="1:31" s="503" customFormat="1" ht="15.75" customHeight="1">
      <c r="A1928" s="517" t="str">
        <f>IF(B1928&lt;&gt;"",IF(AND(B1928&gt;=_TM1,B1928&lt;=_TM2,OR(TH!L1928="1111",TH!M1928="1111")),TH!D1928,""),"")</f>
        <v/>
      </c>
      <c r="B1928" s="531">
        <f t="shared" si="180"/>
        <v>3</v>
      </c>
      <c r="C1928" s="315">
        <f t="shared" si="181"/>
        <v>42825</v>
      </c>
      <c r="D1928" s="315" t="s">
        <v>996</v>
      </c>
      <c r="E1928" s="545">
        <v>42825</v>
      </c>
      <c r="F1928" s="249" t="s">
        <v>653</v>
      </c>
      <c r="G1928" s="314" t="s">
        <v>789</v>
      </c>
      <c r="H1928" s="473" t="s">
        <v>800</v>
      </c>
      <c r="I1928" s="307">
        <v>15</v>
      </c>
      <c r="J1928" s="307">
        <v>63708</v>
      </c>
      <c r="K1928" s="532">
        <f t="shared" si="179"/>
        <v>955620</v>
      </c>
      <c r="L1928" s="539" t="s">
        <v>160</v>
      </c>
      <c r="M1928" s="539" t="s">
        <v>292</v>
      </c>
      <c r="N1928" s="525" t="str">
        <f>IF(AND('331-CT'!$E$7=TH!H1928,OR(L1928="331",M1928="331")),"331",IF(AND(OR(L1928="131",M1928="131"),H1928='131-CT'!$E$7),"131",""))</f>
        <v/>
      </c>
      <c r="O1928" s="525" t="str">
        <f>IF(AND($B1928&gt;='111'!$N$11,$B1928&lt;='111'!$O$11,OR($L1928=$O$7,$M1928=$O$7)),"x","")</f>
        <v/>
      </c>
      <c r="P1928" s="525" t="str">
        <f>IF(AND($L1928=$O$7,$B1928&lt;'111'!$N$11),"x","")</f>
        <v/>
      </c>
      <c r="Q1928" s="525" t="str">
        <f>IF(AND($M1928=$O$7,$B1928&lt;'111'!$N$11),"x","")</f>
        <v/>
      </c>
      <c r="R1928" s="525" t="str">
        <f>IF(ISERROR(FIND('112'!$M$9,G1928,1)),"",IF((AND(FIND('112'!$M$9,G1928,1)&gt;=1,$B1928&gt;='112'!$N$8,$B1928&lt;='112'!$O$8,OR($L1928='112'!$I$6,$M1928='112'!$I$6))),"x",""))</f>
        <v/>
      </c>
      <c r="S1928" s="525" t="str">
        <f>IF(ISERROR(FIND('112'!$M$9,G1928,1)),"",IF((AND(LEFT(G1928,2)=LEFT('112'!$M$9,2),B1928&lt;'112'!$N$8,$L1928='112'!$I$6)),"x",""))</f>
        <v/>
      </c>
      <c r="T1928" s="525" t="str">
        <f>IF(ISERROR(FIND('112'!$M$9,G1928,1)),"",IF((AND(RIGHT(G1928,2)=RIGHT('112'!$M$9,2),B1928&lt;'112'!$N$8,$M1928='112'!$I$6)),"x",""))</f>
        <v/>
      </c>
      <c r="U1928" s="525" t="str">
        <f>IF(AND(B1928&gt;='IN-NX'!$P$3,B1928&lt;='IN-NX'!$Q$3,'IN-NX'!$D$7=D1928,OR(LEFT(L1928,2)="15",AND(LEFT(M1928,2)&lt;&gt;"15",LEFT(M1928,2)&lt;&gt;"33"))),"x","")</f>
        <v/>
      </c>
      <c r="V1928" s="525" t="str">
        <f>IF(AND(OR(LEFT(TH!L1928,2)="15",LEFT(TH!M1928,2)="15"),'152-CT'!$J$8=TH!F1928),"x","")</f>
        <v/>
      </c>
      <c r="W1928" s="525" t="str">
        <f>IF(AND(OR(LEFT(TH!L1928,2)="15",LEFT(TH!M1928,2)="15"),TK!$E$7=TH!F1928),"x","")</f>
        <v/>
      </c>
      <c r="X1928" s="525" t="str">
        <f>IF(AND('341-CT'!$E$9=H1928,OR(LEFT(L1928,3)=$X$7,LEFT(M1928,3)=$X$7)),"x","")</f>
        <v/>
      </c>
      <c r="Y1928" s="525" t="str">
        <f>IF(OR(TH!L1928=TH!$Y$7,M1928=TH!$Y$7),"x","")</f>
        <v/>
      </c>
      <c r="Z1928" s="525" t="str">
        <f>IF(AND(B1928&lt;=NKC!$N$8,B1928&gt;=NKC!$M$8),"x","")</f>
        <v>x</v>
      </c>
      <c r="AA1928" s="535"/>
      <c r="AB1928" s="536"/>
      <c r="AE1928" s="536"/>
    </row>
    <row r="1929" spans="1:31" s="503" customFormat="1" ht="15.75" customHeight="1">
      <c r="A1929" s="517" t="str">
        <f>IF(B1929&lt;&gt;"",IF(AND(B1929&gt;=_TM1,B1929&lt;=_TM2,OR(TH!L1929="1111",TH!M1929="1111")),TH!D1929,""),"")</f>
        <v/>
      </c>
      <c r="B1929" s="531">
        <f t="shared" si="180"/>
        <v>3</v>
      </c>
      <c r="C1929" s="315">
        <f t="shared" si="181"/>
        <v>42825</v>
      </c>
      <c r="D1929" s="315" t="s">
        <v>996</v>
      </c>
      <c r="E1929" s="545">
        <v>42825</v>
      </c>
      <c r="F1929" s="249" t="s">
        <v>654</v>
      </c>
      <c r="G1929" s="314" t="s">
        <v>789</v>
      </c>
      <c r="H1929" s="473" t="s">
        <v>800</v>
      </c>
      <c r="I1929" s="307">
        <v>20</v>
      </c>
      <c r="J1929" s="307">
        <v>71765</v>
      </c>
      <c r="K1929" s="532">
        <f t="shared" ref="K1929:K1990" si="182">ROUND(I1929*J1929,0)</f>
        <v>1435300</v>
      </c>
      <c r="L1929" s="539" t="s">
        <v>160</v>
      </c>
      <c r="M1929" s="539" t="s">
        <v>292</v>
      </c>
      <c r="N1929" s="525" t="str">
        <f>IF(AND('331-CT'!$E$7=TH!H1929,OR(L1929="331",M1929="331")),"331",IF(AND(OR(L1929="131",M1929="131"),H1929='131-CT'!$E$7),"131",""))</f>
        <v/>
      </c>
      <c r="O1929" s="525" t="str">
        <f>IF(AND($B1929&gt;='111'!$N$11,$B1929&lt;='111'!$O$11,OR($L1929=$O$7,$M1929=$O$7)),"x","")</f>
        <v/>
      </c>
      <c r="P1929" s="525" t="str">
        <f>IF(AND($L1929=$O$7,$B1929&lt;'111'!$N$11),"x","")</f>
        <v/>
      </c>
      <c r="Q1929" s="525" t="str">
        <f>IF(AND($M1929=$O$7,$B1929&lt;'111'!$N$11),"x","")</f>
        <v/>
      </c>
      <c r="R1929" s="525" t="str">
        <f>IF(ISERROR(FIND('112'!$M$9,G1929,1)),"",IF((AND(FIND('112'!$M$9,G1929,1)&gt;=1,$B1929&gt;='112'!$N$8,$B1929&lt;='112'!$O$8,OR($L1929='112'!$I$6,$M1929='112'!$I$6))),"x",""))</f>
        <v/>
      </c>
      <c r="S1929" s="525" t="str">
        <f>IF(ISERROR(FIND('112'!$M$9,G1929,1)),"",IF((AND(LEFT(G1929,2)=LEFT('112'!$M$9,2),B1929&lt;'112'!$N$8,$L1929='112'!$I$6)),"x",""))</f>
        <v/>
      </c>
      <c r="T1929" s="525" t="str">
        <f>IF(ISERROR(FIND('112'!$M$9,G1929,1)),"",IF((AND(RIGHT(G1929,2)=RIGHT('112'!$M$9,2),B1929&lt;'112'!$N$8,$M1929='112'!$I$6)),"x",""))</f>
        <v/>
      </c>
      <c r="U1929" s="525" t="str">
        <f>IF(AND(B1929&gt;='IN-NX'!$P$3,B1929&lt;='IN-NX'!$Q$3,'IN-NX'!$D$7=D1929,OR(LEFT(L1929,2)="15",AND(LEFT(M1929,2)&lt;&gt;"15",LEFT(M1929,2)&lt;&gt;"33"))),"x","")</f>
        <v/>
      </c>
      <c r="V1929" s="525" t="str">
        <f>IF(AND(OR(LEFT(TH!L1929,2)="15",LEFT(TH!M1929,2)="15"),'152-CT'!$J$8=TH!F1929),"x","")</f>
        <v/>
      </c>
      <c r="W1929" s="525" t="str">
        <f>IF(AND(OR(LEFT(TH!L1929,2)="15",LEFT(TH!M1929,2)="15"),TK!$E$7=TH!F1929),"x","")</f>
        <v/>
      </c>
      <c r="X1929" s="525" t="str">
        <f>IF(AND('341-CT'!$E$9=H1929,OR(LEFT(L1929,3)=$X$7,LEFT(M1929,3)=$X$7)),"x","")</f>
        <v/>
      </c>
      <c r="Y1929" s="525" t="str">
        <f>IF(OR(TH!L1929=TH!$Y$7,M1929=TH!$Y$7),"x","")</f>
        <v/>
      </c>
      <c r="Z1929" s="525" t="str">
        <f>IF(AND(B1929&lt;=NKC!$N$8,B1929&gt;=NKC!$M$8),"x","")</f>
        <v>x</v>
      </c>
      <c r="AA1929" s="535"/>
      <c r="AB1929" s="536"/>
      <c r="AE1929" s="536"/>
    </row>
    <row r="1930" spans="1:31" s="503" customFormat="1" ht="15.75" customHeight="1">
      <c r="A1930" s="517" t="str">
        <f>IF(B1930&lt;&gt;"",IF(AND(B1930&gt;=_TM1,B1930&lt;=_TM2,OR(TH!L1930="1111",TH!M1930="1111")),TH!D1930,""),"")</f>
        <v/>
      </c>
      <c r="B1930" s="531">
        <f t="shared" si="180"/>
        <v>3</v>
      </c>
      <c r="C1930" s="315">
        <f t="shared" si="181"/>
        <v>42825</v>
      </c>
      <c r="D1930" s="315" t="s">
        <v>996</v>
      </c>
      <c r="E1930" s="545">
        <v>42825</v>
      </c>
      <c r="F1930" s="249" t="s">
        <v>737</v>
      </c>
      <c r="G1930" s="314" t="s">
        <v>789</v>
      </c>
      <c r="H1930" s="473" t="s">
        <v>800</v>
      </c>
      <c r="I1930" s="307">
        <v>30</v>
      </c>
      <c r="J1930" s="307">
        <v>84069</v>
      </c>
      <c r="K1930" s="532">
        <f t="shared" si="182"/>
        <v>2522070</v>
      </c>
      <c r="L1930" s="539" t="s">
        <v>160</v>
      </c>
      <c r="M1930" s="539" t="s">
        <v>292</v>
      </c>
      <c r="N1930" s="525" t="str">
        <f>IF(AND('331-CT'!$E$7=TH!H1930,OR(L1930="331",M1930="331")),"331",IF(AND(OR(L1930="131",M1930="131"),H1930='131-CT'!$E$7),"131",""))</f>
        <v/>
      </c>
      <c r="O1930" s="525" t="str">
        <f>IF(AND($B1930&gt;='111'!$N$11,$B1930&lt;='111'!$O$11,OR($L1930=$O$7,$M1930=$O$7)),"x","")</f>
        <v/>
      </c>
      <c r="P1930" s="525" t="str">
        <f>IF(AND($L1930=$O$7,$B1930&lt;'111'!$N$11),"x","")</f>
        <v/>
      </c>
      <c r="Q1930" s="525" t="str">
        <f>IF(AND($M1930=$O$7,$B1930&lt;'111'!$N$11),"x","")</f>
        <v/>
      </c>
      <c r="R1930" s="525" t="str">
        <f>IF(ISERROR(FIND('112'!$M$9,G1930,1)),"",IF((AND(FIND('112'!$M$9,G1930,1)&gt;=1,$B1930&gt;='112'!$N$8,$B1930&lt;='112'!$O$8,OR($L1930='112'!$I$6,$M1930='112'!$I$6))),"x",""))</f>
        <v/>
      </c>
      <c r="S1930" s="525" t="str">
        <f>IF(ISERROR(FIND('112'!$M$9,G1930,1)),"",IF((AND(LEFT(G1930,2)=LEFT('112'!$M$9,2),B1930&lt;'112'!$N$8,$L1930='112'!$I$6)),"x",""))</f>
        <v/>
      </c>
      <c r="T1930" s="525" t="str">
        <f>IF(ISERROR(FIND('112'!$M$9,G1930,1)),"",IF((AND(RIGHT(G1930,2)=RIGHT('112'!$M$9,2),B1930&lt;'112'!$N$8,$M1930='112'!$I$6)),"x",""))</f>
        <v/>
      </c>
      <c r="U1930" s="525" t="str">
        <f>IF(AND(B1930&gt;='IN-NX'!$P$3,B1930&lt;='IN-NX'!$Q$3,'IN-NX'!$D$7=D1930,OR(LEFT(L1930,2)="15",AND(LEFT(M1930,2)&lt;&gt;"15",LEFT(M1930,2)&lt;&gt;"33"))),"x","")</f>
        <v/>
      </c>
      <c r="V1930" s="525" t="str">
        <f>IF(AND(OR(LEFT(TH!L1930,2)="15",LEFT(TH!M1930,2)="15"),'152-CT'!$J$8=TH!F1930),"x","")</f>
        <v/>
      </c>
      <c r="W1930" s="525" t="str">
        <f>IF(AND(OR(LEFT(TH!L1930,2)="15",LEFT(TH!M1930,2)="15"),TK!$E$7=TH!F1930),"x","")</f>
        <v/>
      </c>
      <c r="X1930" s="525" t="str">
        <f>IF(AND('341-CT'!$E$9=H1930,OR(LEFT(L1930,3)=$X$7,LEFT(M1930,3)=$X$7)),"x","")</f>
        <v/>
      </c>
      <c r="Y1930" s="525" t="str">
        <f>IF(OR(TH!L1930=TH!$Y$7,M1930=TH!$Y$7),"x","")</f>
        <v/>
      </c>
      <c r="Z1930" s="525" t="str">
        <f>IF(AND(B1930&lt;=NKC!$N$8,B1930&gt;=NKC!$M$8),"x","")</f>
        <v>x</v>
      </c>
      <c r="AA1930" s="535"/>
      <c r="AB1930" s="536"/>
    </row>
    <row r="1931" spans="1:31" s="503" customFormat="1" ht="15.75" customHeight="1">
      <c r="A1931" s="517" t="str">
        <f>IF(B1931&lt;&gt;"",IF(AND(B1931&gt;=_TM1,B1931&lt;=_TM2,OR(TH!L1931="1111",TH!M1931="1111")),TH!D1931,""),"")</f>
        <v/>
      </c>
      <c r="B1931" s="531">
        <f t="shared" si="180"/>
        <v>3</v>
      </c>
      <c r="C1931" s="315">
        <f t="shared" si="181"/>
        <v>42825</v>
      </c>
      <c r="D1931" s="315" t="s">
        <v>996</v>
      </c>
      <c r="E1931" s="545">
        <v>42825</v>
      </c>
      <c r="F1931" s="249" t="s">
        <v>730</v>
      </c>
      <c r="G1931" s="314" t="s">
        <v>789</v>
      </c>
      <c r="H1931" s="473" t="s">
        <v>800</v>
      </c>
      <c r="I1931" s="307">
        <v>6</v>
      </c>
      <c r="J1931" s="307">
        <v>36740</v>
      </c>
      <c r="K1931" s="532">
        <f t="shared" si="182"/>
        <v>220440</v>
      </c>
      <c r="L1931" s="539" t="s">
        <v>160</v>
      </c>
      <c r="M1931" s="539" t="s">
        <v>292</v>
      </c>
      <c r="N1931" s="525" t="str">
        <f>IF(AND('331-CT'!$E$7=TH!H1931,OR(L1931="331",M1931="331")),"331",IF(AND(OR(L1931="131",M1931="131"),H1931='131-CT'!$E$7),"131",""))</f>
        <v/>
      </c>
      <c r="O1931" s="525" t="str">
        <f>IF(AND($B1931&gt;='111'!$N$11,$B1931&lt;='111'!$O$11,OR($L1931=$O$7,$M1931=$O$7)),"x","")</f>
        <v/>
      </c>
      <c r="P1931" s="525" t="str">
        <f>IF(AND($L1931=$O$7,$B1931&lt;'111'!$N$11),"x","")</f>
        <v/>
      </c>
      <c r="Q1931" s="525" t="str">
        <f>IF(AND($M1931=$O$7,$B1931&lt;'111'!$N$11),"x","")</f>
        <v/>
      </c>
      <c r="R1931" s="525" t="str">
        <f>IF(ISERROR(FIND('112'!$M$9,G1931,1)),"",IF((AND(FIND('112'!$M$9,G1931,1)&gt;=1,$B1931&gt;='112'!$N$8,$B1931&lt;='112'!$O$8,OR($L1931='112'!$I$6,$M1931='112'!$I$6))),"x",""))</f>
        <v/>
      </c>
      <c r="S1931" s="525" t="str">
        <f>IF(ISERROR(FIND('112'!$M$9,G1931,1)),"",IF((AND(LEFT(G1931,2)=LEFT('112'!$M$9,2),B1931&lt;'112'!$N$8,$L1931='112'!$I$6)),"x",""))</f>
        <v/>
      </c>
      <c r="T1931" s="525" t="str">
        <f>IF(ISERROR(FIND('112'!$M$9,G1931,1)),"",IF((AND(RIGHT(G1931,2)=RIGHT('112'!$M$9,2),B1931&lt;'112'!$N$8,$M1931='112'!$I$6)),"x",""))</f>
        <v/>
      </c>
      <c r="U1931" s="525" t="str">
        <f>IF(AND(B1931&gt;='IN-NX'!$P$3,B1931&lt;='IN-NX'!$Q$3,'IN-NX'!$D$7=D1931,OR(LEFT(L1931,2)="15",AND(LEFT(M1931,2)&lt;&gt;"15",LEFT(M1931,2)&lt;&gt;"33"))),"x","")</f>
        <v/>
      </c>
      <c r="V1931" s="525" t="str">
        <f>IF(AND(OR(LEFT(TH!L1931,2)="15",LEFT(TH!M1931,2)="15"),'152-CT'!$J$8=TH!F1931),"x","")</f>
        <v/>
      </c>
      <c r="W1931" s="525" t="str">
        <f>IF(AND(OR(LEFT(TH!L1931,2)="15",LEFT(TH!M1931,2)="15"),TK!$E$7=TH!F1931),"x","")</f>
        <v/>
      </c>
      <c r="X1931" s="525" t="str">
        <f>IF(AND('341-CT'!$E$9=H1931,OR(LEFT(L1931,3)=$X$7,LEFT(M1931,3)=$X$7)),"x","")</f>
        <v/>
      </c>
      <c r="Y1931" s="525" t="str">
        <f>IF(OR(TH!L1931=TH!$Y$7,M1931=TH!$Y$7),"x","")</f>
        <v/>
      </c>
      <c r="Z1931" s="525" t="str">
        <f>IF(AND(B1931&lt;=NKC!$N$8,B1931&gt;=NKC!$M$8),"x","")</f>
        <v>x</v>
      </c>
      <c r="AA1931" s="535"/>
      <c r="AB1931" s="536"/>
    </row>
    <row r="1932" spans="1:31" s="503" customFormat="1" ht="15.75" customHeight="1">
      <c r="A1932" s="517" t="str">
        <f>IF(B1932&lt;&gt;"",IF(AND(B1932&gt;=_TM1,B1932&lt;=_TM2,OR(TH!L1932="1111",TH!M1932="1111")),TH!D1932,""),"")</f>
        <v/>
      </c>
      <c r="B1932" s="531">
        <f t="shared" si="180"/>
        <v>3</v>
      </c>
      <c r="C1932" s="315">
        <f t="shared" si="181"/>
        <v>42825</v>
      </c>
      <c r="D1932" s="315" t="s">
        <v>996</v>
      </c>
      <c r="E1932" s="545">
        <v>42825</v>
      </c>
      <c r="F1932" s="249" t="s">
        <v>738</v>
      </c>
      <c r="G1932" s="314" t="s">
        <v>789</v>
      </c>
      <c r="H1932" s="473" t="s">
        <v>800</v>
      </c>
      <c r="I1932" s="307">
        <v>8</v>
      </c>
      <c r="J1932" s="307">
        <v>147559</v>
      </c>
      <c r="K1932" s="532">
        <f t="shared" si="182"/>
        <v>1180472</v>
      </c>
      <c r="L1932" s="539" t="s">
        <v>160</v>
      </c>
      <c r="M1932" s="539" t="s">
        <v>292</v>
      </c>
      <c r="N1932" s="525" t="str">
        <f>IF(AND('331-CT'!$E$7=TH!H1932,OR(L1932="331",M1932="331")),"331",IF(AND(OR(L1932="131",M1932="131"),H1932='131-CT'!$E$7),"131",""))</f>
        <v/>
      </c>
      <c r="O1932" s="525" t="str">
        <f>IF(AND($B1932&gt;='111'!$N$11,$B1932&lt;='111'!$O$11,OR($L1932=$O$7,$M1932=$O$7)),"x","")</f>
        <v/>
      </c>
      <c r="P1932" s="525" t="str">
        <f>IF(AND($L1932=$O$7,$B1932&lt;'111'!$N$11),"x","")</f>
        <v/>
      </c>
      <c r="Q1932" s="525" t="str">
        <f>IF(AND($M1932=$O$7,$B1932&lt;'111'!$N$11),"x","")</f>
        <v/>
      </c>
      <c r="R1932" s="525" t="str">
        <f>IF(ISERROR(FIND('112'!$M$9,G1932,1)),"",IF((AND(FIND('112'!$M$9,G1932,1)&gt;=1,$B1932&gt;='112'!$N$8,$B1932&lt;='112'!$O$8,OR($L1932='112'!$I$6,$M1932='112'!$I$6))),"x",""))</f>
        <v/>
      </c>
      <c r="S1932" s="525" t="str">
        <f>IF(ISERROR(FIND('112'!$M$9,G1932,1)),"",IF((AND(LEFT(G1932,2)=LEFT('112'!$M$9,2),B1932&lt;'112'!$N$8,$L1932='112'!$I$6)),"x",""))</f>
        <v/>
      </c>
      <c r="T1932" s="525" t="str">
        <f>IF(ISERROR(FIND('112'!$M$9,G1932,1)),"",IF((AND(RIGHT(G1932,2)=RIGHT('112'!$M$9,2),B1932&lt;'112'!$N$8,$M1932='112'!$I$6)),"x",""))</f>
        <v/>
      </c>
      <c r="U1932" s="525" t="str">
        <f>IF(AND(B1932&gt;='IN-NX'!$P$3,B1932&lt;='IN-NX'!$Q$3,'IN-NX'!$D$7=D1932,OR(LEFT(L1932,2)="15",AND(LEFT(M1932,2)&lt;&gt;"15",LEFT(M1932,2)&lt;&gt;"33"))),"x","")</f>
        <v/>
      </c>
      <c r="V1932" s="525" t="str">
        <f>IF(AND(OR(LEFT(TH!L1932,2)="15",LEFT(TH!M1932,2)="15"),'152-CT'!$J$8=TH!F1932),"x","")</f>
        <v/>
      </c>
      <c r="W1932" s="525" t="str">
        <f>IF(AND(OR(LEFT(TH!L1932,2)="15",LEFT(TH!M1932,2)="15"),TK!$E$7=TH!F1932),"x","")</f>
        <v/>
      </c>
      <c r="X1932" s="525" t="str">
        <f>IF(AND('341-CT'!$E$9=H1932,OR(LEFT(L1932,3)=$X$7,LEFT(M1932,3)=$X$7)),"x","")</f>
        <v/>
      </c>
      <c r="Y1932" s="525" t="str">
        <f>IF(OR(TH!L1932=TH!$Y$7,M1932=TH!$Y$7),"x","")</f>
        <v/>
      </c>
      <c r="Z1932" s="525" t="str">
        <f>IF(AND(B1932&lt;=NKC!$N$8,B1932&gt;=NKC!$M$8),"x","")</f>
        <v>x</v>
      </c>
      <c r="AA1932" s="535"/>
      <c r="AB1932" s="536"/>
    </row>
    <row r="1933" spans="1:31" s="503" customFormat="1" ht="15.75" customHeight="1">
      <c r="A1933" s="517" t="str">
        <f>IF(B1933&lt;&gt;"",IF(AND(B1933&gt;=_TM1,B1933&lt;=_TM2,OR(TH!L1933="1111",TH!M1933="1111")),TH!D1933,""),"")</f>
        <v/>
      </c>
      <c r="B1933" s="531">
        <f t="shared" si="180"/>
        <v>3</v>
      </c>
      <c r="C1933" s="315">
        <f t="shared" si="181"/>
        <v>42825</v>
      </c>
      <c r="D1933" s="315" t="s">
        <v>996</v>
      </c>
      <c r="E1933" s="545">
        <v>42825</v>
      </c>
      <c r="F1933" s="249" t="s">
        <v>693</v>
      </c>
      <c r="G1933" s="314" t="s">
        <v>789</v>
      </c>
      <c r="H1933" s="473" t="s">
        <v>800</v>
      </c>
      <c r="I1933" s="307">
        <v>20</v>
      </c>
      <c r="J1933" s="307">
        <v>101418</v>
      </c>
      <c r="K1933" s="532">
        <f t="shared" si="182"/>
        <v>2028360</v>
      </c>
      <c r="L1933" s="539" t="s">
        <v>160</v>
      </c>
      <c r="M1933" s="539" t="s">
        <v>292</v>
      </c>
      <c r="N1933" s="525" t="str">
        <f>IF(AND('331-CT'!$E$7=TH!H1933,OR(L1933="331",M1933="331")),"331",IF(AND(OR(L1933="131",M1933="131"),H1933='131-CT'!$E$7),"131",""))</f>
        <v/>
      </c>
      <c r="O1933" s="525" t="str">
        <f>IF(AND($B1933&gt;='111'!$N$11,$B1933&lt;='111'!$O$11,OR($L1933=$O$7,$M1933=$O$7)),"x","")</f>
        <v/>
      </c>
      <c r="P1933" s="525" t="str">
        <f>IF(AND($L1933=$O$7,$B1933&lt;'111'!$N$11),"x","")</f>
        <v/>
      </c>
      <c r="Q1933" s="525" t="str">
        <f>IF(AND($M1933=$O$7,$B1933&lt;'111'!$N$11),"x","")</f>
        <v/>
      </c>
      <c r="R1933" s="525" t="str">
        <f>IF(ISERROR(FIND('112'!$M$9,G1933,1)),"",IF((AND(FIND('112'!$M$9,G1933,1)&gt;=1,$B1933&gt;='112'!$N$8,$B1933&lt;='112'!$O$8,OR($L1933='112'!$I$6,$M1933='112'!$I$6))),"x",""))</f>
        <v/>
      </c>
      <c r="S1933" s="525" t="str">
        <f>IF(ISERROR(FIND('112'!$M$9,G1933,1)),"",IF((AND(LEFT(G1933,2)=LEFT('112'!$M$9,2),B1933&lt;'112'!$N$8,$L1933='112'!$I$6)),"x",""))</f>
        <v/>
      </c>
      <c r="T1933" s="525" t="str">
        <f>IF(ISERROR(FIND('112'!$M$9,G1933,1)),"",IF((AND(RIGHT(G1933,2)=RIGHT('112'!$M$9,2),B1933&lt;'112'!$N$8,$M1933='112'!$I$6)),"x",""))</f>
        <v/>
      </c>
      <c r="U1933" s="525" t="str">
        <f>IF(AND(B1933&gt;='IN-NX'!$P$3,B1933&lt;='IN-NX'!$Q$3,'IN-NX'!$D$7=D1933,OR(LEFT(L1933,2)="15",AND(LEFT(M1933,2)&lt;&gt;"15",LEFT(M1933,2)&lt;&gt;"33"))),"x","")</f>
        <v/>
      </c>
      <c r="V1933" s="525" t="str">
        <f>IF(AND(OR(LEFT(TH!L1933,2)="15",LEFT(TH!M1933,2)="15"),'152-CT'!$J$8=TH!F1933),"x","")</f>
        <v/>
      </c>
      <c r="W1933" s="525" t="str">
        <f>IF(AND(OR(LEFT(TH!L1933,2)="15",LEFT(TH!M1933,2)="15"),TK!$E$7=TH!F1933),"x","")</f>
        <v/>
      </c>
      <c r="X1933" s="525" t="str">
        <f>IF(AND('341-CT'!$E$9=H1933,OR(LEFT(L1933,3)=$X$7,LEFT(M1933,3)=$X$7)),"x","")</f>
        <v/>
      </c>
      <c r="Y1933" s="525" t="str">
        <f>IF(OR(TH!L1933=TH!$Y$7,M1933=TH!$Y$7),"x","")</f>
        <v/>
      </c>
      <c r="Z1933" s="525" t="str">
        <f>IF(AND(B1933&lt;=NKC!$N$8,B1933&gt;=NKC!$M$8),"x","")</f>
        <v>x</v>
      </c>
      <c r="AA1933" s="535"/>
      <c r="AB1933" s="536"/>
      <c r="AE1933" s="536"/>
    </row>
    <row r="1934" spans="1:31" s="503" customFormat="1" ht="15.75" customHeight="1">
      <c r="A1934" s="517" t="str">
        <f>IF(B1934&lt;&gt;"",IF(AND(B1934&gt;=_TM1,B1934&lt;=_TM2,OR(TH!L1934="1111",TH!M1934="1111")),TH!D1934,""),"")</f>
        <v/>
      </c>
      <c r="B1934" s="531">
        <f t="shared" si="180"/>
        <v>3</v>
      </c>
      <c r="C1934" s="315">
        <f t="shared" si="181"/>
        <v>42825</v>
      </c>
      <c r="D1934" s="315" t="s">
        <v>996</v>
      </c>
      <c r="E1934" s="545">
        <v>42825</v>
      </c>
      <c r="F1934" s="249" t="s">
        <v>611</v>
      </c>
      <c r="G1934" s="314" t="s">
        <v>789</v>
      </c>
      <c r="H1934" s="473" t="s">
        <v>800</v>
      </c>
      <c r="I1934" s="307">
        <v>12</v>
      </c>
      <c r="J1934" s="307">
        <v>41816</v>
      </c>
      <c r="K1934" s="532">
        <f t="shared" si="182"/>
        <v>501792</v>
      </c>
      <c r="L1934" s="539" t="s">
        <v>160</v>
      </c>
      <c r="M1934" s="539" t="s">
        <v>292</v>
      </c>
      <c r="N1934" s="525" t="str">
        <f>IF(AND('331-CT'!$E$7=TH!H1934,OR(L1934="331",M1934="331")),"331",IF(AND(OR(L1934="131",M1934="131"),H1934='131-CT'!$E$7),"131",""))</f>
        <v/>
      </c>
      <c r="O1934" s="525" t="str">
        <f>IF(AND($B1934&gt;='111'!$N$11,$B1934&lt;='111'!$O$11,OR($L1934=$O$7,$M1934=$O$7)),"x","")</f>
        <v/>
      </c>
      <c r="P1934" s="525" t="str">
        <f>IF(AND($L1934=$O$7,$B1934&lt;'111'!$N$11),"x","")</f>
        <v/>
      </c>
      <c r="Q1934" s="525" t="str">
        <f>IF(AND($M1934=$O$7,$B1934&lt;'111'!$N$11),"x","")</f>
        <v/>
      </c>
      <c r="R1934" s="525" t="str">
        <f>IF(ISERROR(FIND('112'!$M$9,G1934,1)),"",IF((AND(FIND('112'!$M$9,G1934,1)&gt;=1,$B1934&gt;='112'!$N$8,$B1934&lt;='112'!$O$8,OR($L1934='112'!$I$6,$M1934='112'!$I$6))),"x",""))</f>
        <v/>
      </c>
      <c r="S1934" s="525" t="str">
        <f>IF(ISERROR(FIND('112'!$M$9,G1934,1)),"",IF((AND(LEFT(G1934,2)=LEFT('112'!$M$9,2),B1934&lt;'112'!$N$8,$L1934='112'!$I$6)),"x",""))</f>
        <v/>
      </c>
      <c r="T1934" s="525" t="str">
        <f>IF(ISERROR(FIND('112'!$M$9,G1934,1)),"",IF((AND(RIGHT(G1934,2)=RIGHT('112'!$M$9,2),B1934&lt;'112'!$N$8,$M1934='112'!$I$6)),"x",""))</f>
        <v/>
      </c>
      <c r="U1934" s="525" t="str">
        <f>IF(AND(B1934&gt;='IN-NX'!$P$3,B1934&lt;='IN-NX'!$Q$3,'IN-NX'!$D$7=D1934,OR(LEFT(L1934,2)="15",AND(LEFT(M1934,2)&lt;&gt;"15",LEFT(M1934,2)&lt;&gt;"33"))),"x","")</f>
        <v/>
      </c>
      <c r="V1934" s="525" t="str">
        <f>IF(AND(OR(LEFT(TH!L1934,2)="15",LEFT(TH!M1934,2)="15"),'152-CT'!$J$8=TH!F1934),"x","")</f>
        <v/>
      </c>
      <c r="W1934" s="525" t="str">
        <f>IF(AND(OR(LEFT(TH!L1934,2)="15",LEFT(TH!M1934,2)="15"),TK!$E$7=TH!F1934),"x","")</f>
        <v/>
      </c>
      <c r="X1934" s="525" t="str">
        <f>IF(AND('341-CT'!$E$9=H1934,OR(LEFT(L1934,3)=$X$7,LEFT(M1934,3)=$X$7)),"x","")</f>
        <v/>
      </c>
      <c r="Y1934" s="525" t="str">
        <f>IF(OR(TH!L1934=TH!$Y$7,M1934=TH!$Y$7),"x","")</f>
        <v/>
      </c>
      <c r="Z1934" s="525" t="str">
        <f>IF(AND(B1934&lt;=NKC!$N$8,B1934&gt;=NKC!$M$8),"x","")</f>
        <v>x</v>
      </c>
      <c r="AA1934" s="535"/>
      <c r="AB1934" s="536"/>
      <c r="AE1934" s="536"/>
    </row>
    <row r="1935" spans="1:31" s="503" customFormat="1" ht="15.75" customHeight="1">
      <c r="A1935" s="517" t="str">
        <f>IF(B1935&lt;&gt;"",IF(AND(B1935&gt;=_TM1,B1935&lt;=_TM2,OR(TH!L1935="1111",TH!M1935="1111")),TH!D1935,""),"")</f>
        <v/>
      </c>
      <c r="B1935" s="531">
        <f t="shared" si="180"/>
        <v>3</v>
      </c>
      <c r="C1935" s="315">
        <f t="shared" si="181"/>
        <v>42825</v>
      </c>
      <c r="D1935" s="315" t="s">
        <v>996</v>
      </c>
      <c r="E1935" s="280">
        <v>42825</v>
      </c>
      <c r="F1935" s="247" t="s">
        <v>739</v>
      </c>
      <c r="G1935" s="314" t="s">
        <v>789</v>
      </c>
      <c r="H1935" s="473" t="s">
        <v>800</v>
      </c>
      <c r="I1935" s="307">
        <v>14</v>
      </c>
      <c r="J1935" s="307">
        <v>48000</v>
      </c>
      <c r="K1935" s="532">
        <f t="shared" si="182"/>
        <v>672000</v>
      </c>
      <c r="L1935" s="539" t="s">
        <v>160</v>
      </c>
      <c r="M1935" s="539" t="s">
        <v>292</v>
      </c>
      <c r="N1935" s="525" t="str">
        <f>IF(AND('331-CT'!$E$7=TH!H1935,OR(L1935="331",M1935="331")),"331",IF(AND(OR(L1935="131",M1935="131"),H1935='131-CT'!$E$7),"131",""))</f>
        <v/>
      </c>
      <c r="O1935" s="525" t="str">
        <f>IF(AND($B1935&gt;='111'!$N$11,$B1935&lt;='111'!$O$11,OR($L1935=$O$7,$M1935=$O$7)),"x","")</f>
        <v/>
      </c>
      <c r="P1935" s="525" t="str">
        <f>IF(AND($L1935=$O$7,$B1935&lt;'111'!$N$11),"x","")</f>
        <v/>
      </c>
      <c r="Q1935" s="525" t="str">
        <f>IF(AND($M1935=$O$7,$B1935&lt;'111'!$N$11),"x","")</f>
        <v/>
      </c>
      <c r="R1935" s="525" t="str">
        <f>IF(ISERROR(FIND('112'!$M$9,G1935,1)),"",IF((AND(FIND('112'!$M$9,G1935,1)&gt;=1,$B1935&gt;='112'!$N$8,$B1935&lt;='112'!$O$8,OR($L1935='112'!$I$6,$M1935='112'!$I$6))),"x",""))</f>
        <v/>
      </c>
      <c r="S1935" s="525" t="str">
        <f>IF(ISERROR(FIND('112'!$M$9,G1935,1)),"",IF((AND(LEFT(G1935,2)=LEFT('112'!$M$9,2),B1935&lt;'112'!$N$8,$L1935='112'!$I$6)),"x",""))</f>
        <v/>
      </c>
      <c r="T1935" s="525" t="str">
        <f>IF(ISERROR(FIND('112'!$M$9,G1935,1)),"",IF((AND(RIGHT(G1935,2)=RIGHT('112'!$M$9,2),B1935&lt;'112'!$N$8,$M1935='112'!$I$6)),"x",""))</f>
        <v/>
      </c>
      <c r="U1935" s="525" t="str">
        <f>IF(AND(B1935&gt;='IN-NX'!$P$3,B1935&lt;='IN-NX'!$Q$3,'IN-NX'!$D$7=D1935,OR(LEFT(L1935,2)="15",AND(LEFT(M1935,2)&lt;&gt;"15",LEFT(M1935,2)&lt;&gt;"33"))),"x","")</f>
        <v/>
      </c>
      <c r="V1935" s="525" t="str">
        <f>IF(AND(OR(LEFT(TH!L1935,2)="15",LEFT(TH!M1935,2)="15"),'152-CT'!$J$8=TH!F1935),"x","")</f>
        <v/>
      </c>
      <c r="W1935" s="525" t="str">
        <f>IF(AND(OR(LEFT(TH!L1935,2)="15",LEFT(TH!M1935,2)="15"),TK!$E$7=TH!F1935),"x","")</f>
        <v/>
      </c>
      <c r="X1935" s="525" t="str">
        <f>IF(AND('341-CT'!$E$9=H1935,OR(LEFT(L1935,3)=$X$7,LEFT(M1935,3)=$X$7)),"x","")</f>
        <v/>
      </c>
      <c r="Y1935" s="525" t="str">
        <f>IF(OR(TH!L1935=TH!$Y$7,M1935=TH!$Y$7),"x","")</f>
        <v/>
      </c>
      <c r="Z1935" s="525" t="str">
        <f>IF(AND(B1935&lt;=NKC!$N$8,B1935&gt;=NKC!$M$8),"x","")</f>
        <v>x</v>
      </c>
      <c r="AA1935" s="535"/>
    </row>
    <row r="1936" spans="1:31" s="503" customFormat="1" ht="15.75" customHeight="1">
      <c r="A1936" s="517" t="str">
        <f>IF(B1936&lt;&gt;"",IF(AND(B1936&gt;=_TM1,B1936&lt;=_TM2,OR(TH!L1936="1111",TH!M1936="1111")),TH!D1936,""),"")</f>
        <v/>
      </c>
      <c r="B1936" s="531">
        <f t="shared" si="180"/>
        <v>3</v>
      </c>
      <c r="C1936" s="315">
        <f t="shared" si="181"/>
        <v>42825</v>
      </c>
      <c r="D1936" s="315" t="s">
        <v>996</v>
      </c>
      <c r="E1936" s="545">
        <v>42825</v>
      </c>
      <c r="F1936" s="249" t="s">
        <v>740</v>
      </c>
      <c r="G1936" s="541" t="s">
        <v>789</v>
      </c>
      <c r="H1936" s="473" t="s">
        <v>800</v>
      </c>
      <c r="I1936" s="307">
        <v>4</v>
      </c>
      <c r="J1936" s="307">
        <v>160236</v>
      </c>
      <c r="K1936" s="532">
        <f t="shared" si="182"/>
        <v>640944</v>
      </c>
      <c r="L1936" s="539" t="s">
        <v>160</v>
      </c>
      <c r="M1936" s="539" t="s">
        <v>292</v>
      </c>
      <c r="N1936" s="525" t="str">
        <f>IF(AND('331-CT'!$E$7=TH!H1936,OR(L1936="331",M1936="331")),"331",IF(AND(OR(L1936="131",M1936="131"),H1936='131-CT'!$E$7),"131",""))</f>
        <v/>
      </c>
      <c r="O1936" s="525" t="str">
        <f>IF(AND($B1936&gt;='111'!$N$11,$B1936&lt;='111'!$O$11,OR($L1936=$O$7,$M1936=$O$7)),"x","")</f>
        <v/>
      </c>
      <c r="P1936" s="525" t="str">
        <f>IF(AND($L1936=$O$7,$B1936&lt;'111'!$N$11),"x","")</f>
        <v/>
      </c>
      <c r="Q1936" s="525" t="str">
        <f>IF(AND($M1936=$O$7,$B1936&lt;'111'!$N$11),"x","")</f>
        <v/>
      </c>
      <c r="R1936" s="525" t="str">
        <f>IF(ISERROR(FIND('112'!$M$9,G1936,1)),"",IF((AND(FIND('112'!$M$9,G1936,1)&gt;=1,$B1936&gt;='112'!$N$8,$B1936&lt;='112'!$O$8,OR($L1936='112'!$I$6,$M1936='112'!$I$6))),"x",""))</f>
        <v/>
      </c>
      <c r="S1936" s="525" t="str">
        <f>IF(ISERROR(FIND('112'!$M$9,G1936,1)),"",IF((AND(LEFT(G1936,2)=LEFT('112'!$M$9,2),B1936&lt;'112'!$N$8,$L1936='112'!$I$6)),"x",""))</f>
        <v/>
      </c>
      <c r="T1936" s="525" t="str">
        <f>IF(ISERROR(FIND('112'!$M$9,G1936,1)),"",IF((AND(RIGHT(G1936,2)=RIGHT('112'!$M$9,2),B1936&lt;'112'!$N$8,$M1936='112'!$I$6)),"x",""))</f>
        <v/>
      </c>
      <c r="U1936" s="525" t="str">
        <f>IF(AND(B1936&gt;='IN-NX'!$P$3,B1936&lt;='IN-NX'!$Q$3,'IN-NX'!$D$7=D1936,OR(LEFT(L1936,2)="15",AND(LEFT(M1936,2)&lt;&gt;"15",LEFT(M1936,2)&lt;&gt;"33"))),"x","")</f>
        <v/>
      </c>
      <c r="V1936" s="525" t="str">
        <f>IF(AND(OR(LEFT(TH!L1936,2)="15",LEFT(TH!M1936,2)="15"),'152-CT'!$J$8=TH!F1936),"x","")</f>
        <v/>
      </c>
      <c r="W1936" s="525" t="str">
        <f>IF(AND(OR(LEFT(TH!L1936,2)="15",LEFT(TH!M1936,2)="15"),TK!$E$7=TH!F1936),"x","")</f>
        <v/>
      </c>
      <c r="X1936" s="525" t="str">
        <f>IF(AND('341-CT'!$E$9=H1936,OR(LEFT(L1936,3)=$X$7,LEFT(M1936,3)=$X$7)),"x","")</f>
        <v/>
      </c>
      <c r="Y1936" s="525" t="str">
        <f>IF(OR(TH!L1936=TH!$Y$7,M1936=TH!$Y$7),"x","")</f>
        <v/>
      </c>
      <c r="Z1936" s="525" t="str">
        <f>IF(AND(B1936&lt;=NKC!$N$8,B1936&gt;=NKC!$M$8),"x","")</f>
        <v>x</v>
      </c>
      <c r="AA1936" s="546"/>
      <c r="AB1936" s="536"/>
      <c r="AE1936" s="536"/>
    </row>
    <row r="1937" spans="1:31" s="503" customFormat="1" ht="15.75" customHeight="1">
      <c r="A1937" s="517" t="str">
        <f>IF(B1937&lt;&gt;"",IF(AND(B1937&gt;=_TM1,B1937&lt;=_TM2,OR(TH!L1937="1111",TH!M1937="1111")),TH!D1937,""),"")</f>
        <v/>
      </c>
      <c r="B1937" s="531">
        <f t="shared" si="180"/>
        <v>3</v>
      </c>
      <c r="C1937" s="315">
        <f t="shared" si="181"/>
        <v>42825</v>
      </c>
      <c r="D1937" s="315" t="s">
        <v>996</v>
      </c>
      <c r="E1937" s="545">
        <v>42825</v>
      </c>
      <c r="F1937" s="249" t="s">
        <v>741</v>
      </c>
      <c r="G1937" s="541" t="s">
        <v>789</v>
      </c>
      <c r="H1937" s="473" t="s">
        <v>800</v>
      </c>
      <c r="I1937" s="307">
        <v>4</v>
      </c>
      <c r="J1937" s="307">
        <v>210369</v>
      </c>
      <c r="K1937" s="532">
        <f t="shared" si="182"/>
        <v>841476</v>
      </c>
      <c r="L1937" s="539" t="s">
        <v>160</v>
      </c>
      <c r="M1937" s="539" t="s">
        <v>292</v>
      </c>
      <c r="N1937" s="525" t="str">
        <f>IF(AND('331-CT'!$E$7=TH!H1937,OR(L1937="331",M1937="331")),"331",IF(AND(OR(L1937="131",M1937="131"),H1937='131-CT'!$E$7),"131",""))</f>
        <v/>
      </c>
      <c r="O1937" s="525" t="str">
        <f>IF(AND($B1937&gt;='111'!$N$11,$B1937&lt;='111'!$O$11,OR($L1937=$O$7,$M1937=$O$7)),"x","")</f>
        <v/>
      </c>
      <c r="P1937" s="525" t="str">
        <f>IF(AND($L1937=$O$7,$B1937&lt;'111'!$N$11),"x","")</f>
        <v/>
      </c>
      <c r="Q1937" s="525" t="str">
        <f>IF(AND($M1937=$O$7,$B1937&lt;'111'!$N$11),"x","")</f>
        <v/>
      </c>
      <c r="R1937" s="525" t="str">
        <f>IF(ISERROR(FIND('112'!$M$9,G1937,1)),"",IF((AND(FIND('112'!$M$9,G1937,1)&gt;=1,$B1937&gt;='112'!$N$8,$B1937&lt;='112'!$O$8,OR($L1937='112'!$I$6,$M1937='112'!$I$6))),"x",""))</f>
        <v/>
      </c>
      <c r="S1937" s="525" t="str">
        <f>IF(ISERROR(FIND('112'!$M$9,G1937,1)),"",IF((AND(LEFT(G1937,2)=LEFT('112'!$M$9,2),B1937&lt;'112'!$N$8,$L1937='112'!$I$6)),"x",""))</f>
        <v/>
      </c>
      <c r="T1937" s="525" t="str">
        <f>IF(ISERROR(FIND('112'!$M$9,G1937,1)),"",IF((AND(RIGHT(G1937,2)=RIGHT('112'!$M$9,2),B1937&lt;'112'!$N$8,$M1937='112'!$I$6)),"x",""))</f>
        <v/>
      </c>
      <c r="U1937" s="525" t="str">
        <f>IF(AND(B1937&gt;='IN-NX'!$P$3,B1937&lt;='IN-NX'!$Q$3,'IN-NX'!$D$7=D1937,OR(LEFT(L1937,2)="15",AND(LEFT(M1937,2)&lt;&gt;"15",LEFT(M1937,2)&lt;&gt;"33"))),"x","")</f>
        <v/>
      </c>
      <c r="V1937" s="525" t="str">
        <f>IF(AND(OR(LEFT(TH!L1937,2)="15",LEFT(TH!M1937,2)="15"),'152-CT'!$J$8=TH!F1937),"x","")</f>
        <v/>
      </c>
      <c r="W1937" s="525" t="str">
        <f>IF(AND(OR(LEFT(TH!L1937,2)="15",LEFT(TH!M1937,2)="15"),TK!$E$7=TH!F1937),"x","")</f>
        <v/>
      </c>
      <c r="X1937" s="525" t="str">
        <f>IF(AND('341-CT'!$E$9=H1937,OR(LEFT(L1937,3)=$X$7,LEFT(M1937,3)=$X$7)),"x","")</f>
        <v/>
      </c>
      <c r="Y1937" s="525" t="str">
        <f>IF(OR(TH!L1937=TH!$Y$7,M1937=TH!$Y$7),"x","")</f>
        <v/>
      </c>
      <c r="Z1937" s="525" t="str">
        <f>IF(AND(B1937&lt;=NKC!$N$8,B1937&gt;=NKC!$M$8),"x","")</f>
        <v>x</v>
      </c>
      <c r="AA1937" s="546"/>
      <c r="AB1937" s="536"/>
      <c r="AE1937" s="536"/>
    </row>
    <row r="1938" spans="1:31" s="503" customFormat="1" ht="15.75" customHeight="1">
      <c r="A1938" s="517" t="str">
        <f>IF(B1938&lt;&gt;"",IF(AND(B1938&gt;=_TM1,B1938&lt;=_TM2,OR(TH!L1938="1111",TH!M1938="1111")),TH!D1938,""),"")</f>
        <v/>
      </c>
      <c r="B1938" s="531">
        <f t="shared" si="180"/>
        <v>3</v>
      </c>
      <c r="C1938" s="315">
        <f t="shared" si="181"/>
        <v>42825</v>
      </c>
      <c r="D1938" s="315" t="s">
        <v>996</v>
      </c>
      <c r="E1938" s="545">
        <v>42825</v>
      </c>
      <c r="F1938" s="249" t="s">
        <v>380</v>
      </c>
      <c r="G1938" s="541" t="s">
        <v>836</v>
      </c>
      <c r="H1938" s="473" t="s">
        <v>800</v>
      </c>
      <c r="I1938" s="307">
        <v>25400</v>
      </c>
      <c r="J1938" s="307">
        <v>8300</v>
      </c>
      <c r="K1938" s="532">
        <f t="shared" si="182"/>
        <v>210820000</v>
      </c>
      <c r="L1938" s="539" t="s">
        <v>160</v>
      </c>
      <c r="M1938" s="539" t="s">
        <v>292</v>
      </c>
      <c r="N1938" s="525" t="str">
        <f>IF(AND('331-CT'!$E$7=TH!H1938,OR(L1938="331",M1938="331")),"331",IF(AND(OR(L1938="131",M1938="131"),H1938='131-CT'!$E$7),"131",""))</f>
        <v/>
      </c>
      <c r="O1938" s="525" t="str">
        <f>IF(AND($B1938&gt;='111'!$N$11,$B1938&lt;='111'!$O$11,OR($L1938=$O$7,$M1938=$O$7)),"x","")</f>
        <v/>
      </c>
      <c r="P1938" s="525" t="str">
        <f>IF(AND($L1938=$O$7,$B1938&lt;'111'!$N$11),"x","")</f>
        <v/>
      </c>
      <c r="Q1938" s="525" t="str">
        <f>IF(AND($M1938=$O$7,$B1938&lt;'111'!$N$11),"x","")</f>
        <v/>
      </c>
      <c r="R1938" s="525" t="str">
        <f>IF(ISERROR(FIND('112'!$M$9,G1938,1)),"",IF((AND(FIND('112'!$M$9,G1938,1)&gt;=1,$B1938&gt;='112'!$N$8,$B1938&lt;='112'!$O$8,OR($L1938='112'!$I$6,$M1938='112'!$I$6))),"x",""))</f>
        <v/>
      </c>
      <c r="S1938" s="525" t="str">
        <f>IF(ISERROR(FIND('112'!$M$9,G1938,1)),"",IF((AND(LEFT(G1938,2)=LEFT('112'!$M$9,2),B1938&lt;'112'!$N$8,$L1938='112'!$I$6)),"x",""))</f>
        <v/>
      </c>
      <c r="T1938" s="525" t="str">
        <f>IF(ISERROR(FIND('112'!$M$9,G1938,1)),"",IF((AND(RIGHT(G1938,2)=RIGHT('112'!$M$9,2),B1938&lt;'112'!$N$8,$M1938='112'!$I$6)),"x",""))</f>
        <v/>
      </c>
      <c r="U1938" s="525" t="str">
        <f>IF(AND(B1938&gt;='IN-NX'!$P$3,B1938&lt;='IN-NX'!$Q$3,'IN-NX'!$D$7=D1938,OR(LEFT(L1938,2)="15",AND(LEFT(M1938,2)&lt;&gt;"15",LEFT(M1938,2)&lt;&gt;"33"))),"x","")</f>
        <v/>
      </c>
      <c r="V1938" s="525" t="str">
        <f>IF(AND(OR(LEFT(TH!L1938,2)="15",LEFT(TH!M1938,2)="15"),'152-CT'!$J$8=TH!F1938),"x","")</f>
        <v/>
      </c>
      <c r="W1938" s="525" t="str">
        <f>IF(AND(OR(LEFT(TH!L1938,2)="15",LEFT(TH!M1938,2)="15"),TK!$E$7=TH!F1938),"x","")</f>
        <v/>
      </c>
      <c r="X1938" s="525" t="str">
        <f>IF(AND('341-CT'!$E$9=H1938,OR(LEFT(L1938,3)=$X$7,LEFT(M1938,3)=$X$7)),"x","")</f>
        <v/>
      </c>
      <c r="Y1938" s="525" t="str">
        <f>IF(OR(TH!L1938=TH!$Y$7,M1938=TH!$Y$7),"x","")</f>
        <v/>
      </c>
      <c r="Z1938" s="525" t="str">
        <f>IF(AND(B1938&lt;=NKC!$N$8,B1938&gt;=NKC!$M$8),"x","")</f>
        <v>x</v>
      </c>
      <c r="AA1938" s="546"/>
      <c r="AB1938" s="536"/>
      <c r="AE1938" s="536"/>
    </row>
    <row r="1939" spans="1:31" s="576" customFormat="1" ht="15.75" customHeight="1">
      <c r="A1939" s="517" t="str">
        <f>IF(B1939&lt;&gt;"",IF(AND(B1939&gt;=_TM1,B1939&lt;=_TM2,OR(TH!L1939="1111",TH!M1939="1111")),TH!D1939,""),"")</f>
        <v/>
      </c>
      <c r="B1939" s="518">
        <f t="shared" si="180"/>
        <v>3</v>
      </c>
      <c r="C1939" s="571">
        <f t="shared" si="181"/>
        <v>42799</v>
      </c>
      <c r="D1939" s="571" t="s">
        <v>997</v>
      </c>
      <c r="E1939" s="682">
        <v>42799</v>
      </c>
      <c r="F1939" s="577" t="s">
        <v>493</v>
      </c>
      <c r="G1939" s="573" t="s">
        <v>546</v>
      </c>
      <c r="H1939" s="574" t="s">
        <v>801</v>
      </c>
      <c r="I1939" s="523">
        <v>4750</v>
      </c>
      <c r="J1939" s="523">
        <v>9016</v>
      </c>
      <c r="K1939" s="575">
        <f t="shared" si="182"/>
        <v>42826000</v>
      </c>
      <c r="L1939" s="591" t="s">
        <v>158</v>
      </c>
      <c r="M1939" s="591" t="s">
        <v>292</v>
      </c>
      <c r="N1939" s="525" t="str">
        <f>IF(AND('331-CT'!$E$7=TH!H1939,OR(L1939="331",M1939="331")),"331",IF(AND(OR(L1939="131",M1939="131"),H1939='131-CT'!$E$7),"131",""))</f>
        <v/>
      </c>
      <c r="O1939" s="525" t="str">
        <f>IF(AND($B1939&gt;='111'!$N$11,$B1939&lt;='111'!$O$11,OR($L1939=$O$7,$M1939=$O$7)),"x","")</f>
        <v/>
      </c>
      <c r="P1939" s="525" t="str">
        <f>IF(AND($L1939=$O$7,$B1939&lt;'111'!$N$11),"x","")</f>
        <v/>
      </c>
      <c r="Q1939" s="525" t="str">
        <f>IF(AND($M1939=$O$7,$B1939&lt;'111'!$N$11),"x","")</f>
        <v/>
      </c>
      <c r="R1939" s="525" t="str">
        <f>IF(ISERROR(FIND('112'!$M$9,G1939,1)),"",IF((AND(FIND('112'!$M$9,G1939,1)&gt;=1,$B1939&gt;='112'!$N$8,$B1939&lt;='112'!$O$8,OR($L1939='112'!$I$6,$M1939='112'!$I$6))),"x",""))</f>
        <v/>
      </c>
      <c r="S1939" s="525" t="str">
        <f>IF(ISERROR(FIND('112'!$M$9,G1939,1)),"",IF((AND(LEFT(G1939,2)=LEFT('112'!$M$9,2),B1939&lt;'112'!$N$8,$L1939='112'!$I$6)),"x",""))</f>
        <v/>
      </c>
      <c r="T1939" s="525" t="str">
        <f>IF(ISERROR(FIND('112'!$M$9,G1939,1)),"",IF((AND(RIGHT(G1939,2)=RIGHT('112'!$M$9,2),B1939&lt;'112'!$N$8,$M1939='112'!$I$6)),"x",""))</f>
        <v/>
      </c>
      <c r="U1939" s="525" t="str">
        <f>IF(AND(B1939&gt;='IN-NX'!$P$3,B1939&lt;='IN-NX'!$Q$3,'IN-NX'!$D$7=D1939,OR(LEFT(L1939,2)="15",AND(LEFT(M1939,2)&lt;&gt;"15",LEFT(M1939,2)&lt;&gt;"33"))),"x","")</f>
        <v/>
      </c>
      <c r="V1939" s="525" t="str">
        <f>IF(AND(OR(LEFT(TH!L1939,2)="15",LEFT(TH!M1939,2)="15"),'152-CT'!$J$8=TH!F1939),"x","")</f>
        <v/>
      </c>
      <c r="W1939" s="525" t="str">
        <f>IF(AND(OR(LEFT(TH!L1939,2)="15",LEFT(TH!M1939,2)="15"),TK!$E$7=TH!F1939),"x","")</f>
        <v/>
      </c>
      <c r="X1939" s="525" t="str">
        <f>IF(AND('341-CT'!$E$9=H1939,OR(LEFT(L1939,3)=$X$7,LEFT(M1939,3)=$X$7)),"x","")</f>
        <v/>
      </c>
      <c r="Y1939" s="525" t="str">
        <f>IF(OR(TH!L1939=TH!$Y$7,M1939=TH!$Y$7),"x","")</f>
        <v/>
      </c>
      <c r="Z1939" s="525" t="str">
        <f>IF(AND(B1939&lt;=NKC!$N$8,B1939&gt;=NKC!$M$8),"x","")</f>
        <v>x</v>
      </c>
      <c r="AA1939" s="526"/>
    </row>
    <row r="1940" spans="1:31" s="576" customFormat="1" ht="15.75" customHeight="1">
      <c r="A1940" s="517" t="str">
        <f>IF(B1940&lt;&gt;"",IF(AND(B1940&gt;=_TM1,B1940&lt;=_TM2,OR(TH!L1940="1111",TH!M1940="1111")),TH!D1940,""),"")</f>
        <v/>
      </c>
      <c r="B1940" s="518">
        <f t="shared" si="180"/>
        <v>3</v>
      </c>
      <c r="C1940" s="571">
        <f t="shared" si="181"/>
        <v>42812</v>
      </c>
      <c r="D1940" s="571" t="s">
        <v>997</v>
      </c>
      <c r="E1940" s="682">
        <v>42812</v>
      </c>
      <c r="F1940" s="577" t="s">
        <v>504</v>
      </c>
      <c r="G1940" s="573" t="s">
        <v>552</v>
      </c>
      <c r="H1940" s="574" t="s">
        <v>801</v>
      </c>
      <c r="I1940" s="523">
        <v>1700</v>
      </c>
      <c r="J1940" s="523">
        <v>34300</v>
      </c>
      <c r="K1940" s="575">
        <f t="shared" si="182"/>
        <v>58310000</v>
      </c>
      <c r="L1940" s="591" t="s">
        <v>158</v>
      </c>
      <c r="M1940" s="591" t="s">
        <v>292</v>
      </c>
      <c r="N1940" s="525" t="str">
        <f>IF(AND('331-CT'!$E$7=TH!H1940,OR(L1940="331",M1940="331")),"331",IF(AND(OR(L1940="131",M1940="131"),H1940='131-CT'!$E$7),"131",""))</f>
        <v/>
      </c>
      <c r="O1940" s="525" t="str">
        <f>IF(AND($B1940&gt;='111'!$N$11,$B1940&lt;='111'!$O$11,OR($L1940=$O$7,$M1940=$O$7)),"x","")</f>
        <v/>
      </c>
      <c r="P1940" s="525" t="str">
        <f>IF(AND($L1940=$O$7,$B1940&lt;'111'!$N$11),"x","")</f>
        <v/>
      </c>
      <c r="Q1940" s="525" t="str">
        <f>IF(AND($M1940=$O$7,$B1940&lt;'111'!$N$11),"x","")</f>
        <v/>
      </c>
      <c r="R1940" s="525" t="str">
        <f>IF(ISERROR(FIND('112'!$M$9,G1940,1)),"",IF((AND(FIND('112'!$M$9,G1940,1)&gt;=1,$B1940&gt;='112'!$N$8,$B1940&lt;='112'!$O$8,OR($L1940='112'!$I$6,$M1940='112'!$I$6))),"x",""))</f>
        <v/>
      </c>
      <c r="S1940" s="525" t="str">
        <f>IF(ISERROR(FIND('112'!$M$9,G1940,1)),"",IF((AND(LEFT(G1940,2)=LEFT('112'!$M$9,2),B1940&lt;'112'!$N$8,$L1940='112'!$I$6)),"x",""))</f>
        <v/>
      </c>
      <c r="T1940" s="525" t="str">
        <f>IF(ISERROR(FIND('112'!$M$9,G1940,1)),"",IF((AND(RIGHT(G1940,2)=RIGHT('112'!$M$9,2),B1940&lt;'112'!$N$8,$M1940='112'!$I$6)),"x",""))</f>
        <v/>
      </c>
      <c r="U1940" s="525" t="str">
        <f>IF(AND(B1940&gt;='IN-NX'!$P$3,B1940&lt;='IN-NX'!$Q$3,'IN-NX'!$D$7=D1940,OR(LEFT(L1940,2)="15",AND(LEFT(M1940,2)&lt;&gt;"15",LEFT(M1940,2)&lt;&gt;"33"))),"x","")</f>
        <v/>
      </c>
      <c r="V1940" s="525" t="str">
        <f>IF(AND(OR(LEFT(TH!L1940,2)="15",LEFT(TH!M1940,2)="15"),'152-CT'!$J$8=TH!F1940),"x","")</f>
        <v/>
      </c>
      <c r="W1940" s="525" t="str">
        <f>IF(AND(OR(LEFT(TH!L1940,2)="15",LEFT(TH!M1940,2)="15"),TK!$E$7=TH!F1940),"x","")</f>
        <v/>
      </c>
      <c r="X1940" s="525" t="str">
        <f>IF(AND('341-CT'!$E$9=H1940,OR(LEFT(L1940,3)=$X$7,LEFT(M1940,3)=$X$7)),"x","")</f>
        <v/>
      </c>
      <c r="Y1940" s="525" t="str">
        <f>IF(OR(TH!L1940=TH!$Y$7,M1940=TH!$Y$7),"x","")</f>
        <v/>
      </c>
      <c r="Z1940" s="525" t="str">
        <f>IF(AND(B1940&lt;=NKC!$N$8,B1940&gt;=NKC!$M$8),"x","")</f>
        <v>x</v>
      </c>
      <c r="AA1940" s="526"/>
    </row>
    <row r="1941" spans="1:31" s="576" customFormat="1" ht="15.75" customHeight="1">
      <c r="A1941" s="517" t="str">
        <f>IF(B1941&lt;&gt;"",IF(AND(B1941&gt;=_TM1,B1941&lt;=_TM2,OR(TH!L1941="1111",TH!M1941="1111")),TH!D1941,""),"")</f>
        <v/>
      </c>
      <c r="B1941" s="518">
        <f t="shared" si="180"/>
        <v>3</v>
      </c>
      <c r="C1941" s="571">
        <f t="shared" si="181"/>
        <v>42812</v>
      </c>
      <c r="D1941" s="571" t="s">
        <v>997</v>
      </c>
      <c r="E1941" s="578">
        <v>42812</v>
      </c>
      <c r="F1941" s="572" t="s">
        <v>505</v>
      </c>
      <c r="G1941" s="573" t="s">
        <v>552</v>
      </c>
      <c r="H1941" s="574" t="s">
        <v>801</v>
      </c>
      <c r="I1941" s="523">
        <v>1500</v>
      </c>
      <c r="J1941" s="523">
        <v>31850</v>
      </c>
      <c r="K1941" s="575">
        <f t="shared" si="182"/>
        <v>47775000</v>
      </c>
      <c r="L1941" s="591" t="s">
        <v>158</v>
      </c>
      <c r="M1941" s="591" t="s">
        <v>292</v>
      </c>
      <c r="N1941" s="525" t="str">
        <f>IF(AND('331-CT'!$E$7=TH!H1941,OR(L1941="331",M1941="331")),"331",IF(AND(OR(L1941="131",M1941="131"),H1941='131-CT'!$E$7),"131",""))</f>
        <v/>
      </c>
      <c r="O1941" s="525" t="str">
        <f>IF(AND($B1941&gt;='111'!$N$11,$B1941&lt;='111'!$O$11,OR($L1941=$O$7,$M1941=$O$7)),"x","")</f>
        <v/>
      </c>
      <c r="P1941" s="525" t="str">
        <f>IF(AND($L1941=$O$7,$B1941&lt;'111'!$N$11),"x","")</f>
        <v/>
      </c>
      <c r="Q1941" s="525" t="str">
        <f>IF(AND($M1941=$O$7,$B1941&lt;'111'!$N$11),"x","")</f>
        <v/>
      </c>
      <c r="R1941" s="525" t="str">
        <f>IF(ISERROR(FIND('112'!$M$9,G1941,1)),"",IF((AND(FIND('112'!$M$9,G1941,1)&gt;=1,$B1941&gt;='112'!$N$8,$B1941&lt;='112'!$O$8,OR($L1941='112'!$I$6,$M1941='112'!$I$6))),"x",""))</f>
        <v/>
      </c>
      <c r="S1941" s="525" t="str">
        <f>IF(ISERROR(FIND('112'!$M$9,G1941,1)),"",IF((AND(LEFT(G1941,2)=LEFT('112'!$M$9,2),B1941&lt;'112'!$N$8,$L1941='112'!$I$6)),"x",""))</f>
        <v/>
      </c>
      <c r="T1941" s="525" t="str">
        <f>IF(ISERROR(FIND('112'!$M$9,G1941,1)),"",IF((AND(RIGHT(G1941,2)=RIGHT('112'!$M$9,2),B1941&lt;'112'!$N$8,$M1941='112'!$I$6)),"x",""))</f>
        <v/>
      </c>
      <c r="U1941" s="525" t="str">
        <f>IF(AND(B1941&gt;='IN-NX'!$P$3,B1941&lt;='IN-NX'!$Q$3,'IN-NX'!$D$7=D1941,OR(LEFT(L1941,2)="15",AND(LEFT(M1941,2)&lt;&gt;"15",LEFT(M1941,2)&lt;&gt;"33"))),"x","")</f>
        <v/>
      </c>
      <c r="V1941" s="525" t="str">
        <f>IF(AND(OR(LEFT(TH!L1941,2)="15",LEFT(TH!M1941,2)="15"),'152-CT'!$J$8=TH!F1941),"x","")</f>
        <v/>
      </c>
      <c r="W1941" s="525" t="str">
        <f>IF(AND(OR(LEFT(TH!L1941,2)="15",LEFT(TH!M1941,2)="15"),TK!$E$7=TH!F1941),"x","")</f>
        <v/>
      </c>
      <c r="X1941" s="525" t="str">
        <f>IF(AND('341-CT'!$E$9=H1941,OR(LEFT(L1941,3)=$X$7,LEFT(M1941,3)=$X$7)),"x","")</f>
        <v/>
      </c>
      <c r="Y1941" s="525" t="str">
        <f>IF(OR(TH!L1941=TH!$Y$7,M1941=TH!$Y$7),"x","")</f>
        <v/>
      </c>
      <c r="Z1941" s="525" t="str">
        <f>IF(AND(B1941&lt;=NKC!$N$8,B1941&gt;=NKC!$M$8),"x","")</f>
        <v>x</v>
      </c>
      <c r="AA1941" s="526"/>
      <c r="AB1941" s="527"/>
    </row>
    <row r="1942" spans="1:31" s="576" customFormat="1" ht="15.75" customHeight="1">
      <c r="A1942" s="517" t="str">
        <f>IF(B1942&lt;&gt;"",IF(AND(B1942&gt;=_TM1,B1942&lt;=_TM2,OR(TH!L1942="1111",TH!M1942="1111")),TH!D1942,""),"")</f>
        <v/>
      </c>
      <c r="B1942" s="518">
        <f t="shared" si="180"/>
        <v>3</v>
      </c>
      <c r="C1942" s="571">
        <f t="shared" si="181"/>
        <v>42816</v>
      </c>
      <c r="D1942" s="571" t="s">
        <v>997</v>
      </c>
      <c r="E1942" s="578">
        <v>42816</v>
      </c>
      <c r="F1942" s="572" t="s">
        <v>588</v>
      </c>
      <c r="G1942" s="573" t="s">
        <v>554</v>
      </c>
      <c r="H1942" s="574" t="s">
        <v>801</v>
      </c>
      <c r="I1942" s="683">
        <v>310</v>
      </c>
      <c r="J1942" s="683">
        <v>13980.68</v>
      </c>
      <c r="K1942" s="575">
        <f t="shared" si="182"/>
        <v>4334011</v>
      </c>
      <c r="L1942" s="591" t="s">
        <v>158</v>
      </c>
      <c r="M1942" s="591" t="s">
        <v>292</v>
      </c>
      <c r="N1942" s="525" t="str">
        <f>IF(AND('331-CT'!$E$7=TH!H1942,OR(L1942="331",M1942="331")),"331",IF(AND(OR(L1942="131",M1942="131"),H1942='131-CT'!$E$7),"131",""))</f>
        <v/>
      </c>
      <c r="O1942" s="525" t="str">
        <f>IF(AND($B1942&gt;='111'!$N$11,$B1942&lt;='111'!$O$11,OR($L1942=$O$7,$M1942=$O$7)),"x","")</f>
        <v/>
      </c>
      <c r="P1942" s="525" t="str">
        <f>IF(AND($L1942=$O$7,$B1942&lt;'111'!$N$11),"x","")</f>
        <v/>
      </c>
      <c r="Q1942" s="525" t="str">
        <f>IF(AND($M1942=$O$7,$B1942&lt;'111'!$N$11),"x","")</f>
        <v/>
      </c>
      <c r="R1942" s="525" t="str">
        <f>IF(ISERROR(FIND('112'!$M$9,G1942,1)),"",IF((AND(FIND('112'!$M$9,G1942,1)&gt;=1,$B1942&gt;='112'!$N$8,$B1942&lt;='112'!$O$8,OR($L1942='112'!$I$6,$M1942='112'!$I$6))),"x",""))</f>
        <v/>
      </c>
      <c r="S1942" s="525" t="str">
        <f>IF(ISERROR(FIND('112'!$M$9,G1942,1)),"",IF((AND(LEFT(G1942,2)=LEFT('112'!$M$9,2),B1942&lt;'112'!$N$8,$L1942='112'!$I$6)),"x",""))</f>
        <v/>
      </c>
      <c r="T1942" s="525" t="str">
        <f>IF(ISERROR(FIND('112'!$M$9,G1942,1)),"",IF((AND(RIGHT(G1942,2)=RIGHT('112'!$M$9,2),B1942&lt;'112'!$N$8,$M1942='112'!$I$6)),"x",""))</f>
        <v/>
      </c>
      <c r="U1942" s="525" t="str">
        <f>IF(AND(B1942&gt;='IN-NX'!$P$3,B1942&lt;='IN-NX'!$Q$3,'IN-NX'!$D$7=D1942,OR(LEFT(L1942,2)="15",AND(LEFT(M1942,2)&lt;&gt;"15",LEFT(M1942,2)&lt;&gt;"33"))),"x","")</f>
        <v/>
      </c>
      <c r="V1942" s="525" t="str">
        <f>IF(AND(OR(LEFT(TH!L1942,2)="15",LEFT(TH!M1942,2)="15"),'152-CT'!$J$8=TH!F1942),"x","")</f>
        <v/>
      </c>
      <c r="W1942" s="525" t="str">
        <f>IF(AND(OR(LEFT(TH!L1942,2)="15",LEFT(TH!M1942,2)="15"),TK!$E$7=TH!F1942),"x","")</f>
        <v/>
      </c>
      <c r="X1942" s="525" t="str">
        <f>IF(AND('341-CT'!$E$9=H1942,OR(LEFT(L1942,3)=$X$7,LEFT(M1942,3)=$X$7)),"x","")</f>
        <v/>
      </c>
      <c r="Y1942" s="525" t="str">
        <f>IF(OR(TH!L1942=TH!$Y$7,M1942=TH!$Y$7),"x","")</f>
        <v/>
      </c>
      <c r="Z1942" s="525" t="str">
        <f>IF(AND(B1942&lt;=NKC!$N$8,B1942&gt;=NKC!$M$8),"x","")</f>
        <v>x</v>
      </c>
      <c r="AA1942" s="526"/>
      <c r="AB1942" s="527"/>
    </row>
    <row r="1943" spans="1:31" s="576" customFormat="1" ht="15.75" customHeight="1">
      <c r="A1943" s="517" t="str">
        <f>IF(B1943&lt;&gt;"",IF(AND(B1943&gt;=_TM1,B1943&lt;=_TM2,OR(TH!L1943="1111",TH!M1943="1111")),TH!D1943,""),"")</f>
        <v/>
      </c>
      <c r="B1943" s="518">
        <f t="shared" si="180"/>
        <v>3</v>
      </c>
      <c r="C1943" s="571">
        <f t="shared" si="181"/>
        <v>42817</v>
      </c>
      <c r="D1943" s="571" t="s">
        <v>997</v>
      </c>
      <c r="E1943" s="590">
        <v>42817</v>
      </c>
      <c r="F1943" s="577" t="s">
        <v>774</v>
      </c>
      <c r="G1943" s="684" t="s">
        <v>773</v>
      </c>
      <c r="H1943" s="574" t="s">
        <v>801</v>
      </c>
      <c r="I1943" s="523">
        <v>500</v>
      </c>
      <c r="J1943" s="523">
        <v>29400</v>
      </c>
      <c r="K1943" s="575">
        <f t="shared" si="182"/>
        <v>14700000</v>
      </c>
      <c r="L1943" s="591" t="s">
        <v>158</v>
      </c>
      <c r="M1943" s="591" t="s">
        <v>292</v>
      </c>
      <c r="N1943" s="525" t="str">
        <f>IF(AND('331-CT'!$E$7=TH!H1943,OR(L1943="331",M1943="331")),"331",IF(AND(OR(L1943="131",M1943="131"),H1943='131-CT'!$E$7),"131",""))</f>
        <v/>
      </c>
      <c r="O1943" s="525" t="str">
        <f>IF(AND($B1943&gt;='111'!$N$11,$B1943&lt;='111'!$O$11,OR($L1943=$O$7,$M1943=$O$7)),"x","")</f>
        <v/>
      </c>
      <c r="P1943" s="525" t="str">
        <f>IF(AND($L1943=$O$7,$B1943&lt;'111'!$N$11),"x","")</f>
        <v/>
      </c>
      <c r="Q1943" s="525" t="str">
        <f>IF(AND($M1943=$O$7,$B1943&lt;'111'!$N$11),"x","")</f>
        <v/>
      </c>
      <c r="R1943" s="525" t="str">
        <f>IF(ISERROR(FIND('112'!$M$9,G1943,1)),"",IF((AND(FIND('112'!$M$9,G1943,1)&gt;=1,$B1943&gt;='112'!$N$8,$B1943&lt;='112'!$O$8,OR($L1943='112'!$I$6,$M1943='112'!$I$6))),"x",""))</f>
        <v/>
      </c>
      <c r="S1943" s="525" t="str">
        <f>IF(ISERROR(FIND('112'!$M$9,G1943,1)),"",IF((AND(LEFT(G1943,2)=LEFT('112'!$M$9,2),B1943&lt;'112'!$N$8,$L1943='112'!$I$6)),"x",""))</f>
        <v/>
      </c>
      <c r="T1943" s="525" t="str">
        <f>IF(ISERROR(FIND('112'!$M$9,G1943,1)),"",IF((AND(RIGHT(G1943,2)=RIGHT('112'!$M$9,2),B1943&lt;'112'!$N$8,$M1943='112'!$I$6)),"x",""))</f>
        <v/>
      </c>
      <c r="U1943" s="525" t="str">
        <f>IF(AND(B1943&gt;='IN-NX'!$P$3,B1943&lt;='IN-NX'!$Q$3,'IN-NX'!$D$7=D1943,OR(LEFT(L1943,2)="15",AND(LEFT(M1943,2)&lt;&gt;"15",LEFT(M1943,2)&lt;&gt;"33"))),"x","")</f>
        <v/>
      </c>
      <c r="V1943" s="525" t="str">
        <f>IF(AND(OR(LEFT(TH!L1943,2)="15",LEFT(TH!M1943,2)="15"),'152-CT'!$J$8=TH!F1943),"x","")</f>
        <v/>
      </c>
      <c r="W1943" s="525" t="str">
        <f>IF(AND(OR(LEFT(TH!L1943,2)="15",LEFT(TH!M1943,2)="15"),TK!$E$7=TH!F1943),"x","")</f>
        <v/>
      </c>
      <c r="X1943" s="525" t="str">
        <f>IF(AND('341-CT'!$E$9=H1943,OR(LEFT(L1943,3)=$X$7,LEFT(M1943,3)=$X$7)),"x","")</f>
        <v/>
      </c>
      <c r="Y1943" s="525" t="str">
        <f>IF(OR(TH!L1943=TH!$Y$7,M1943=TH!$Y$7),"x","")</f>
        <v/>
      </c>
      <c r="Z1943" s="525" t="str">
        <f>IF(AND(B1943&lt;=NKC!$N$8,B1943&gt;=NKC!$M$8),"x","")</f>
        <v>x</v>
      </c>
      <c r="AA1943" s="526"/>
      <c r="AB1943" s="527"/>
      <c r="AC1943" s="527"/>
      <c r="AD1943" s="527"/>
      <c r="AE1943" s="527"/>
    </row>
    <row r="1944" spans="1:31" s="576" customFormat="1" ht="15.75" customHeight="1">
      <c r="A1944" s="517" t="str">
        <f>IF(B1944&lt;&gt;"",IF(AND(B1944&gt;=_TM1,B1944&lt;=_TM2,OR(TH!L1944="1111",TH!M1944="1111")),TH!D1944,""),"")</f>
        <v/>
      </c>
      <c r="B1944" s="518">
        <f t="shared" si="180"/>
        <v>3</v>
      </c>
      <c r="C1944" s="571">
        <f t="shared" si="181"/>
        <v>42823</v>
      </c>
      <c r="D1944" s="571" t="s">
        <v>997</v>
      </c>
      <c r="E1944" s="590">
        <v>42823</v>
      </c>
      <c r="F1944" s="577" t="s">
        <v>795</v>
      </c>
      <c r="G1944" s="684" t="s">
        <v>789</v>
      </c>
      <c r="H1944" s="574" t="s">
        <v>801</v>
      </c>
      <c r="I1944" s="523">
        <v>87</v>
      </c>
      <c r="J1944" s="523">
        <v>71012</v>
      </c>
      <c r="K1944" s="575">
        <f t="shared" si="182"/>
        <v>6178044</v>
      </c>
      <c r="L1944" s="591" t="s">
        <v>158</v>
      </c>
      <c r="M1944" s="591" t="s">
        <v>292</v>
      </c>
      <c r="N1944" s="525" t="str">
        <f>IF(AND('331-CT'!$E$7=TH!H1944,OR(L1944="331",M1944="331")),"331",IF(AND(OR(L1944="131",M1944="131"),H1944='131-CT'!$E$7),"131",""))</f>
        <v/>
      </c>
      <c r="O1944" s="525" t="str">
        <f>IF(AND($B1944&gt;='111'!$N$11,$B1944&lt;='111'!$O$11,OR($L1944=$O$7,$M1944=$O$7)),"x","")</f>
        <v/>
      </c>
      <c r="P1944" s="525" t="str">
        <f>IF(AND($L1944=$O$7,$B1944&lt;'111'!$N$11),"x","")</f>
        <v/>
      </c>
      <c r="Q1944" s="525" t="str">
        <f>IF(AND($M1944=$O$7,$B1944&lt;'111'!$N$11),"x","")</f>
        <v/>
      </c>
      <c r="R1944" s="525" t="str">
        <f>IF(ISERROR(FIND('112'!$M$9,G1944,1)),"",IF((AND(FIND('112'!$M$9,G1944,1)&gt;=1,$B1944&gt;='112'!$N$8,$B1944&lt;='112'!$O$8,OR($L1944='112'!$I$6,$M1944='112'!$I$6))),"x",""))</f>
        <v/>
      </c>
      <c r="S1944" s="525" t="str">
        <f>IF(ISERROR(FIND('112'!$M$9,G1944,1)),"",IF((AND(LEFT(G1944,2)=LEFT('112'!$M$9,2),B1944&lt;'112'!$N$8,$L1944='112'!$I$6)),"x",""))</f>
        <v/>
      </c>
      <c r="T1944" s="525" t="str">
        <f>IF(ISERROR(FIND('112'!$M$9,G1944,1)),"",IF((AND(RIGHT(G1944,2)=RIGHT('112'!$M$9,2),B1944&lt;'112'!$N$8,$M1944='112'!$I$6)),"x",""))</f>
        <v/>
      </c>
      <c r="U1944" s="525" t="str">
        <f>IF(AND(B1944&gt;='IN-NX'!$P$3,B1944&lt;='IN-NX'!$Q$3,'IN-NX'!$D$7=D1944,OR(LEFT(L1944,2)="15",AND(LEFT(M1944,2)&lt;&gt;"15",LEFT(M1944,2)&lt;&gt;"33"))),"x","")</f>
        <v/>
      </c>
      <c r="V1944" s="525" t="str">
        <f>IF(AND(OR(LEFT(TH!L1944,2)="15",LEFT(TH!M1944,2)="15"),'152-CT'!$J$8=TH!F1944),"x","")</f>
        <v/>
      </c>
      <c r="W1944" s="525" t="str">
        <f>IF(AND(OR(LEFT(TH!L1944,2)="15",LEFT(TH!M1944,2)="15"),TK!$E$7=TH!F1944),"x","")</f>
        <v/>
      </c>
      <c r="X1944" s="525" t="str">
        <f>IF(AND('341-CT'!$E$9=H1944,OR(LEFT(L1944,3)=$X$7,LEFT(M1944,3)=$X$7)),"x","")</f>
        <v/>
      </c>
      <c r="Y1944" s="525" t="str">
        <f>IF(OR(TH!L1944=TH!$Y$7,M1944=TH!$Y$7),"x","")</f>
        <v/>
      </c>
      <c r="Z1944" s="525" t="str">
        <f>IF(AND(B1944&lt;=NKC!$N$8,B1944&gt;=NKC!$M$8),"x","")</f>
        <v>x</v>
      </c>
      <c r="AA1944" s="526"/>
      <c r="AB1944" s="527"/>
      <c r="AC1944" s="527"/>
      <c r="AD1944" s="527"/>
      <c r="AE1944" s="527"/>
    </row>
    <row r="1945" spans="1:31" s="576" customFormat="1" ht="15.75" customHeight="1">
      <c r="A1945" s="517" t="str">
        <f>IF(B1945&lt;&gt;"",IF(AND(B1945&gt;=_TM1,B1945&lt;=_TM2,OR(TH!L1945="1111",TH!M1945="1111")),TH!D1945,""),"")</f>
        <v/>
      </c>
      <c r="B1945" s="518">
        <f t="shared" si="180"/>
        <v>3</v>
      </c>
      <c r="C1945" s="571">
        <f t="shared" si="181"/>
        <v>42823</v>
      </c>
      <c r="D1945" s="571" t="s">
        <v>997</v>
      </c>
      <c r="E1945" s="578">
        <v>42823</v>
      </c>
      <c r="F1945" s="572" t="s">
        <v>645</v>
      </c>
      <c r="G1945" s="573" t="s">
        <v>789</v>
      </c>
      <c r="H1945" s="574" t="s">
        <v>801</v>
      </c>
      <c r="I1945" s="523">
        <v>38</v>
      </c>
      <c r="J1945" s="523">
        <v>130396</v>
      </c>
      <c r="K1945" s="575">
        <f t="shared" si="182"/>
        <v>4955048</v>
      </c>
      <c r="L1945" s="591" t="s">
        <v>158</v>
      </c>
      <c r="M1945" s="591" t="s">
        <v>292</v>
      </c>
      <c r="N1945" s="525" t="str">
        <f>IF(AND('331-CT'!$E$7=TH!H1945,OR(L1945="331",M1945="331")),"331",IF(AND(OR(L1945="131",M1945="131"),H1945='131-CT'!$E$7),"131",""))</f>
        <v/>
      </c>
      <c r="O1945" s="525" t="str">
        <f>IF(AND($B1945&gt;='111'!$N$11,$B1945&lt;='111'!$O$11,OR($L1945=$O$7,$M1945=$O$7)),"x","")</f>
        <v/>
      </c>
      <c r="P1945" s="525" t="str">
        <f>IF(AND($L1945=$O$7,$B1945&lt;'111'!$N$11),"x","")</f>
        <v/>
      </c>
      <c r="Q1945" s="525" t="str">
        <f>IF(AND($M1945=$O$7,$B1945&lt;'111'!$N$11),"x","")</f>
        <v/>
      </c>
      <c r="R1945" s="525" t="str">
        <f>IF(ISERROR(FIND('112'!$M$9,G1945,1)),"",IF((AND(FIND('112'!$M$9,G1945,1)&gt;=1,$B1945&gt;='112'!$N$8,$B1945&lt;='112'!$O$8,OR($L1945='112'!$I$6,$M1945='112'!$I$6))),"x",""))</f>
        <v/>
      </c>
      <c r="S1945" s="525" t="str">
        <f>IF(ISERROR(FIND('112'!$M$9,G1945,1)),"",IF((AND(LEFT(G1945,2)=LEFT('112'!$M$9,2),B1945&lt;'112'!$N$8,$L1945='112'!$I$6)),"x",""))</f>
        <v/>
      </c>
      <c r="T1945" s="525" t="str">
        <f>IF(ISERROR(FIND('112'!$M$9,G1945,1)),"",IF((AND(RIGHT(G1945,2)=RIGHT('112'!$M$9,2),B1945&lt;'112'!$N$8,$M1945='112'!$I$6)),"x",""))</f>
        <v/>
      </c>
      <c r="U1945" s="525" t="str">
        <f>IF(AND(B1945&gt;='IN-NX'!$P$3,B1945&lt;='IN-NX'!$Q$3,'IN-NX'!$D$7=D1945,OR(LEFT(L1945,2)="15",AND(LEFT(M1945,2)&lt;&gt;"15",LEFT(M1945,2)&lt;&gt;"33"))),"x","")</f>
        <v/>
      </c>
      <c r="V1945" s="525" t="str">
        <f>IF(AND(OR(LEFT(TH!L1945,2)="15",LEFT(TH!M1945,2)="15"),'152-CT'!$J$8=TH!F1945),"x","")</f>
        <v/>
      </c>
      <c r="W1945" s="525" t="str">
        <f>IF(AND(OR(LEFT(TH!L1945,2)="15",LEFT(TH!M1945,2)="15"),TK!$E$7=TH!F1945),"x","")</f>
        <v/>
      </c>
      <c r="X1945" s="525" t="str">
        <f>IF(AND('341-CT'!$E$9=H1945,OR(LEFT(L1945,3)=$X$7,LEFT(M1945,3)=$X$7)),"x","")</f>
        <v/>
      </c>
      <c r="Y1945" s="525" t="str">
        <f>IF(OR(TH!L1945=TH!$Y$7,M1945=TH!$Y$7),"x","")</f>
        <v/>
      </c>
      <c r="Z1945" s="525" t="str">
        <f>IF(AND(B1945&lt;=NKC!$N$8,B1945&gt;=NKC!$M$8),"x","")</f>
        <v>x</v>
      </c>
      <c r="AA1945" s="526"/>
      <c r="AB1945" s="527"/>
      <c r="AE1945" s="527"/>
    </row>
    <row r="1946" spans="1:31" s="576" customFormat="1" ht="15.75" customHeight="1">
      <c r="A1946" s="517" t="str">
        <f>IF(B1946&lt;&gt;"",IF(AND(B1946&gt;=_TM1,B1946&lt;=_TM2,OR(TH!L1946="1111",TH!M1946="1111")),TH!D1946,""),"")</f>
        <v/>
      </c>
      <c r="B1946" s="518">
        <f t="shared" si="180"/>
        <v>3</v>
      </c>
      <c r="C1946" s="571">
        <f t="shared" si="181"/>
        <v>42823</v>
      </c>
      <c r="D1946" s="571" t="s">
        <v>997</v>
      </c>
      <c r="E1946" s="578">
        <v>42823</v>
      </c>
      <c r="F1946" s="572" t="s">
        <v>700</v>
      </c>
      <c r="G1946" s="573" t="s">
        <v>789</v>
      </c>
      <c r="H1946" s="574" t="s">
        <v>801</v>
      </c>
      <c r="I1946" s="523">
        <v>495</v>
      </c>
      <c r="J1946" s="523">
        <v>16200</v>
      </c>
      <c r="K1946" s="575">
        <f t="shared" si="182"/>
        <v>8019000</v>
      </c>
      <c r="L1946" s="591" t="s">
        <v>158</v>
      </c>
      <c r="M1946" s="591" t="s">
        <v>292</v>
      </c>
      <c r="N1946" s="525" t="str">
        <f>IF(AND('331-CT'!$E$7=TH!H1946,OR(L1946="331",M1946="331")),"331",IF(AND(OR(L1946="131",M1946="131"),H1946='131-CT'!$E$7),"131",""))</f>
        <v/>
      </c>
      <c r="O1946" s="525" t="str">
        <f>IF(AND($B1946&gt;='111'!$N$11,$B1946&lt;='111'!$O$11,OR($L1946=$O$7,$M1946=$O$7)),"x","")</f>
        <v/>
      </c>
      <c r="P1946" s="525" t="str">
        <f>IF(AND($L1946=$O$7,$B1946&lt;'111'!$N$11),"x","")</f>
        <v/>
      </c>
      <c r="Q1946" s="525" t="str">
        <f>IF(AND($M1946=$O$7,$B1946&lt;'111'!$N$11),"x","")</f>
        <v/>
      </c>
      <c r="R1946" s="525" t="str">
        <f>IF(ISERROR(FIND('112'!$M$9,G1946,1)),"",IF((AND(FIND('112'!$M$9,G1946,1)&gt;=1,$B1946&gt;='112'!$N$8,$B1946&lt;='112'!$O$8,OR($L1946='112'!$I$6,$M1946='112'!$I$6))),"x",""))</f>
        <v/>
      </c>
      <c r="S1946" s="525" t="str">
        <f>IF(ISERROR(FIND('112'!$M$9,G1946,1)),"",IF((AND(LEFT(G1946,2)=LEFT('112'!$M$9,2),B1946&lt;'112'!$N$8,$L1946='112'!$I$6)),"x",""))</f>
        <v/>
      </c>
      <c r="T1946" s="525" t="str">
        <f>IF(ISERROR(FIND('112'!$M$9,G1946,1)),"",IF((AND(RIGHT(G1946,2)=RIGHT('112'!$M$9,2),B1946&lt;'112'!$N$8,$M1946='112'!$I$6)),"x",""))</f>
        <v/>
      </c>
      <c r="U1946" s="525" t="str">
        <f>IF(AND(B1946&gt;='IN-NX'!$P$3,B1946&lt;='IN-NX'!$Q$3,'IN-NX'!$D$7=D1946,OR(LEFT(L1946,2)="15",AND(LEFT(M1946,2)&lt;&gt;"15",LEFT(M1946,2)&lt;&gt;"33"))),"x","")</f>
        <v/>
      </c>
      <c r="V1946" s="525" t="str">
        <f>IF(AND(OR(LEFT(TH!L1946,2)="15",LEFT(TH!M1946,2)="15"),'152-CT'!$J$8=TH!F1946),"x","")</f>
        <v/>
      </c>
      <c r="W1946" s="525" t="str">
        <f>IF(AND(OR(LEFT(TH!L1946,2)="15",LEFT(TH!M1946,2)="15"),TK!$E$7=TH!F1946),"x","")</f>
        <v/>
      </c>
      <c r="X1946" s="525" t="str">
        <f>IF(AND('341-CT'!$E$9=H1946,OR(LEFT(L1946,3)=$X$7,LEFT(M1946,3)=$X$7)),"x","")</f>
        <v/>
      </c>
      <c r="Y1946" s="525" t="str">
        <f>IF(OR(TH!L1946=TH!$Y$7,M1946=TH!$Y$7),"x","")</f>
        <v/>
      </c>
      <c r="Z1946" s="525" t="str">
        <f>IF(AND(B1946&lt;=NKC!$N$8,B1946&gt;=NKC!$M$8),"x","")</f>
        <v>x</v>
      </c>
      <c r="AA1946" s="526"/>
      <c r="AB1946" s="527"/>
      <c r="AE1946" s="527"/>
    </row>
    <row r="1947" spans="1:31" s="576" customFormat="1" ht="15.75" customHeight="1">
      <c r="A1947" s="517" t="str">
        <f>IF(B1947&lt;&gt;"",IF(AND(B1947&gt;=_TM1,B1947&lt;=_TM2,OR(TH!L1947="1111",TH!M1947="1111")),TH!D1947,""),"")</f>
        <v/>
      </c>
      <c r="B1947" s="518">
        <f t="shared" si="180"/>
        <v>3</v>
      </c>
      <c r="C1947" s="571">
        <f t="shared" si="181"/>
        <v>42823</v>
      </c>
      <c r="D1947" s="571" t="s">
        <v>997</v>
      </c>
      <c r="E1947" s="578">
        <v>42823</v>
      </c>
      <c r="F1947" s="577" t="s">
        <v>703</v>
      </c>
      <c r="G1947" s="579" t="s">
        <v>789</v>
      </c>
      <c r="H1947" s="574" t="s">
        <v>801</v>
      </c>
      <c r="I1947" s="523">
        <v>230</v>
      </c>
      <c r="J1947" s="523">
        <v>65300</v>
      </c>
      <c r="K1947" s="575">
        <f t="shared" si="182"/>
        <v>15019000</v>
      </c>
      <c r="L1947" s="591" t="s">
        <v>158</v>
      </c>
      <c r="M1947" s="591" t="s">
        <v>292</v>
      </c>
      <c r="N1947" s="525" t="str">
        <f>IF(AND('331-CT'!$E$7=TH!H1947,OR(L1947="331",M1947="331")),"331",IF(AND(OR(L1947="131",M1947="131"),H1947='131-CT'!$E$7),"131",""))</f>
        <v/>
      </c>
      <c r="O1947" s="525" t="str">
        <f>IF(AND($B1947&gt;='111'!$N$11,$B1947&lt;='111'!$O$11,OR($L1947=$O$7,$M1947=$O$7)),"x","")</f>
        <v/>
      </c>
      <c r="P1947" s="525" t="str">
        <f>IF(AND($L1947=$O$7,$B1947&lt;'111'!$N$11),"x","")</f>
        <v/>
      </c>
      <c r="Q1947" s="525" t="str">
        <f>IF(AND($M1947=$O$7,$B1947&lt;'111'!$N$11),"x","")</f>
        <v/>
      </c>
      <c r="R1947" s="525" t="str">
        <f>IF(ISERROR(FIND('112'!$M$9,G1947,1)),"",IF((AND(FIND('112'!$M$9,G1947,1)&gt;=1,$B1947&gt;='112'!$N$8,$B1947&lt;='112'!$O$8,OR($L1947='112'!$I$6,$M1947='112'!$I$6))),"x",""))</f>
        <v/>
      </c>
      <c r="S1947" s="525" t="str">
        <f>IF(ISERROR(FIND('112'!$M$9,G1947,1)),"",IF((AND(LEFT(G1947,2)=LEFT('112'!$M$9,2),B1947&lt;'112'!$N$8,$L1947='112'!$I$6)),"x",""))</f>
        <v/>
      </c>
      <c r="T1947" s="525" t="str">
        <f>IF(ISERROR(FIND('112'!$M$9,G1947,1)),"",IF((AND(RIGHT(G1947,2)=RIGHT('112'!$M$9,2),B1947&lt;'112'!$N$8,$M1947='112'!$I$6)),"x",""))</f>
        <v/>
      </c>
      <c r="U1947" s="525" t="str">
        <f>IF(AND(B1947&gt;='IN-NX'!$P$3,B1947&lt;='IN-NX'!$Q$3,'IN-NX'!$D$7=D1947,OR(LEFT(L1947,2)="15",AND(LEFT(M1947,2)&lt;&gt;"15",LEFT(M1947,2)&lt;&gt;"33"))),"x","")</f>
        <v/>
      </c>
      <c r="V1947" s="525" t="str">
        <f>IF(AND(OR(LEFT(TH!L1947,2)="15",LEFT(TH!M1947,2)="15"),'152-CT'!$J$8=TH!F1947),"x","")</f>
        <v/>
      </c>
      <c r="W1947" s="525" t="str">
        <f>IF(AND(OR(LEFT(TH!L1947,2)="15",LEFT(TH!M1947,2)="15"),TK!$E$7=TH!F1947),"x","")</f>
        <v/>
      </c>
      <c r="X1947" s="525" t="str">
        <f>IF(AND('341-CT'!$E$9=H1947,OR(LEFT(L1947,3)=$X$7,LEFT(M1947,3)=$X$7)),"x","")</f>
        <v/>
      </c>
      <c r="Y1947" s="525" t="str">
        <f>IF(OR(TH!L1947=TH!$Y$7,M1947=TH!$Y$7),"x","")</f>
        <v/>
      </c>
      <c r="Z1947" s="525" t="str">
        <f>IF(AND(B1947&lt;=NKC!$N$8,B1947&gt;=NKC!$M$8),"x","")</f>
        <v>x</v>
      </c>
      <c r="AA1947" s="526"/>
      <c r="AB1947" s="527"/>
      <c r="AE1947" s="527"/>
    </row>
    <row r="1948" spans="1:31" s="576" customFormat="1" ht="15.75" customHeight="1">
      <c r="A1948" s="517" t="str">
        <f>IF(B1948&lt;&gt;"",IF(AND(B1948&gt;=_TM1,B1948&lt;=_TM2,OR(TH!L1948="1111",TH!M1948="1111")),TH!D1948,""),"")</f>
        <v/>
      </c>
      <c r="B1948" s="518">
        <f t="shared" ref="B1948:B1955" si="183">IF(C1948&lt;&gt;"",MONTH(C1948),"")</f>
        <v>3</v>
      </c>
      <c r="C1948" s="571">
        <f t="shared" ref="C1948:C1955" si="184">E1948</f>
        <v>42799</v>
      </c>
      <c r="D1948" s="571" t="s">
        <v>997</v>
      </c>
      <c r="E1948" s="590">
        <v>42799</v>
      </c>
      <c r="F1948" s="577" t="s">
        <v>524</v>
      </c>
      <c r="G1948" s="579" t="s">
        <v>546</v>
      </c>
      <c r="H1948" s="574" t="s">
        <v>801</v>
      </c>
      <c r="I1948" s="523">
        <v>14</v>
      </c>
      <c r="J1948" s="523">
        <v>48270.491071428572</v>
      </c>
      <c r="K1948" s="575">
        <f t="shared" ref="K1948:K1955" si="185">ROUND(I1948*J1948,0)</f>
        <v>675787</v>
      </c>
      <c r="L1948" s="591" t="s">
        <v>158</v>
      </c>
      <c r="M1948" s="591" t="s">
        <v>292</v>
      </c>
      <c r="N1948" s="525" t="str">
        <f>IF(AND('331-CT'!$E$7=TH!H1948,OR(L1948="331",M1948="331")),"331",IF(AND(OR(L1948="131",M1948="131"),H1948='131-CT'!$E$7),"131",""))</f>
        <v/>
      </c>
      <c r="O1948" s="525" t="str">
        <f>IF(AND($B1948&gt;='111'!$N$11,$B1948&lt;='111'!$O$11,OR($L1948=$O$7,$M1948=$O$7)),"x","")</f>
        <v/>
      </c>
      <c r="P1948" s="525" t="str">
        <f>IF(AND($L1948=$O$7,$B1948&lt;'111'!$N$11),"x","")</f>
        <v/>
      </c>
      <c r="Q1948" s="525" t="str">
        <f>IF(AND($M1948=$O$7,$B1948&lt;'111'!$N$11),"x","")</f>
        <v/>
      </c>
      <c r="R1948" s="525" t="str">
        <f>IF(ISERROR(FIND('112'!$M$9,G1948,1)),"",IF((AND(FIND('112'!$M$9,G1948,1)&gt;=1,$B1948&gt;='112'!$N$8,$B1948&lt;='112'!$O$8,OR($L1948='112'!$I$6,$M1948='112'!$I$6))),"x",""))</f>
        <v/>
      </c>
      <c r="S1948" s="525" t="str">
        <f>IF(ISERROR(FIND('112'!$M$9,G1948,1)),"",IF((AND(LEFT(G1948,2)=LEFT('112'!$M$9,2),B1948&lt;'112'!$N$8,$L1948='112'!$I$6)),"x",""))</f>
        <v/>
      </c>
      <c r="T1948" s="525" t="str">
        <f>IF(ISERROR(FIND('112'!$M$9,G1948,1)),"",IF((AND(RIGHT(G1948,2)=RIGHT('112'!$M$9,2),B1948&lt;'112'!$N$8,$M1948='112'!$I$6)),"x",""))</f>
        <v/>
      </c>
      <c r="U1948" s="525" t="str">
        <f>IF(AND(B1948&gt;='IN-NX'!$P$3,B1948&lt;='IN-NX'!$Q$3,'IN-NX'!$D$7=D1948,OR(LEFT(L1948,2)="15",AND(LEFT(M1948,2)&lt;&gt;"15",LEFT(M1948,2)&lt;&gt;"33"))),"x","")</f>
        <v/>
      </c>
      <c r="V1948" s="525" t="str">
        <f>IF(AND(OR(LEFT(TH!L1948,2)="15",LEFT(TH!M1948,2)="15"),'152-CT'!$J$8=TH!F1948),"x","")</f>
        <v/>
      </c>
      <c r="W1948" s="525" t="str">
        <f>IF(AND(OR(LEFT(TH!L1948,2)="15",LEFT(TH!M1948,2)="15"),TK!$E$7=TH!F1948),"x","")</f>
        <v/>
      </c>
      <c r="X1948" s="525" t="str">
        <f>IF(AND('341-CT'!$E$9=H1948,OR(LEFT(L1948,3)=$X$7,LEFT(M1948,3)=$X$7)),"x","")</f>
        <v/>
      </c>
      <c r="Y1948" s="525" t="str">
        <f>IF(OR(TH!L1948=TH!$Y$7,M1948=TH!$Y$7),"x","")</f>
        <v/>
      </c>
      <c r="Z1948" s="525" t="str">
        <f>IF(AND(B1948&lt;=NKC!$N$8,B1948&gt;=NKC!$M$8),"x","")</f>
        <v>x</v>
      </c>
      <c r="AA1948" s="526"/>
      <c r="AB1948" s="527"/>
      <c r="AD1948" s="527"/>
    </row>
    <row r="1949" spans="1:31" s="576" customFormat="1" ht="15.75" customHeight="1">
      <c r="A1949" s="517" t="str">
        <f>IF(B1949&lt;&gt;"",IF(AND(B1949&gt;=_TM1,B1949&lt;=_TM2,OR(TH!L1949="1111",TH!M1949="1111")),TH!D1949,""),"")</f>
        <v/>
      </c>
      <c r="B1949" s="518">
        <f t="shared" si="183"/>
        <v>3</v>
      </c>
      <c r="C1949" s="571">
        <f t="shared" si="184"/>
        <v>42809</v>
      </c>
      <c r="D1949" s="571" t="s">
        <v>997</v>
      </c>
      <c r="E1949" s="590">
        <v>42809</v>
      </c>
      <c r="F1949" s="577" t="s">
        <v>524</v>
      </c>
      <c r="G1949" s="579" t="s">
        <v>550</v>
      </c>
      <c r="H1949" s="574" t="s">
        <v>801</v>
      </c>
      <c r="I1949" s="523">
        <v>30</v>
      </c>
      <c r="J1949" s="523">
        <v>48270.491071428572</v>
      </c>
      <c r="K1949" s="575">
        <f>ROUND(I1949*J1949,0)+1</f>
        <v>1448116</v>
      </c>
      <c r="L1949" s="591" t="s">
        <v>158</v>
      </c>
      <c r="M1949" s="591" t="s">
        <v>292</v>
      </c>
      <c r="N1949" s="525" t="str">
        <f>IF(AND('331-CT'!$E$7=TH!H1949,OR(L1949="331",M1949="331")),"331",IF(AND(OR(L1949="131",M1949="131"),H1949='131-CT'!$E$7),"131",""))</f>
        <v/>
      </c>
      <c r="O1949" s="525" t="str">
        <f>IF(AND($B1949&gt;='111'!$N$11,$B1949&lt;='111'!$O$11,OR($L1949=$O$7,$M1949=$O$7)),"x","")</f>
        <v/>
      </c>
      <c r="P1949" s="525" t="str">
        <f>IF(AND($L1949=$O$7,$B1949&lt;'111'!$N$11),"x","")</f>
        <v/>
      </c>
      <c r="Q1949" s="525" t="str">
        <f>IF(AND($M1949=$O$7,$B1949&lt;'111'!$N$11),"x","")</f>
        <v/>
      </c>
      <c r="R1949" s="525" t="str">
        <f>IF(ISERROR(FIND('112'!$M$9,G1949,1)),"",IF((AND(FIND('112'!$M$9,G1949,1)&gt;=1,$B1949&gt;='112'!$N$8,$B1949&lt;='112'!$O$8,OR($L1949='112'!$I$6,$M1949='112'!$I$6))),"x",""))</f>
        <v/>
      </c>
      <c r="S1949" s="525" t="str">
        <f>IF(ISERROR(FIND('112'!$M$9,G1949,1)),"",IF((AND(LEFT(G1949,2)=LEFT('112'!$M$9,2),B1949&lt;'112'!$N$8,$L1949='112'!$I$6)),"x",""))</f>
        <v/>
      </c>
      <c r="T1949" s="525" t="str">
        <f>IF(ISERROR(FIND('112'!$M$9,G1949,1)),"",IF((AND(RIGHT(G1949,2)=RIGHT('112'!$M$9,2),B1949&lt;'112'!$N$8,$M1949='112'!$I$6)),"x",""))</f>
        <v/>
      </c>
      <c r="U1949" s="525" t="str">
        <f>IF(AND(B1949&gt;='IN-NX'!$P$3,B1949&lt;='IN-NX'!$Q$3,'IN-NX'!$D$7=D1949,OR(LEFT(L1949,2)="15",AND(LEFT(M1949,2)&lt;&gt;"15",LEFT(M1949,2)&lt;&gt;"33"))),"x","")</f>
        <v/>
      </c>
      <c r="V1949" s="525" t="str">
        <f>IF(AND(OR(LEFT(TH!L1949,2)="15",LEFT(TH!M1949,2)="15"),'152-CT'!$J$8=TH!F1949),"x","")</f>
        <v/>
      </c>
      <c r="W1949" s="525" t="str">
        <f>IF(AND(OR(LEFT(TH!L1949,2)="15",LEFT(TH!M1949,2)="15"),TK!$E$7=TH!F1949),"x","")</f>
        <v/>
      </c>
      <c r="X1949" s="525" t="str">
        <f>IF(AND('341-CT'!$E$9=H1949,OR(LEFT(L1949,3)=$X$7,LEFT(M1949,3)=$X$7)),"x","")</f>
        <v/>
      </c>
      <c r="Y1949" s="525" t="str">
        <f>IF(OR(TH!L1949=TH!$Y$7,M1949=TH!$Y$7),"x","")</f>
        <v/>
      </c>
      <c r="Z1949" s="525" t="str">
        <f>IF(AND(B1949&lt;=NKC!$N$8,B1949&gt;=NKC!$M$8),"x","")</f>
        <v>x</v>
      </c>
      <c r="AA1949" s="526"/>
      <c r="AB1949" s="527"/>
      <c r="AD1949" s="527"/>
    </row>
    <row r="1950" spans="1:31" s="576" customFormat="1" ht="15.75" customHeight="1">
      <c r="A1950" s="517" t="str">
        <f>IF(B1950&lt;&gt;"",IF(AND(B1950&gt;=_TM1,B1950&lt;=_TM2,OR(TH!L1950="1111",TH!M1950="1111")),TH!D1950,""),"")</f>
        <v/>
      </c>
      <c r="B1950" s="518">
        <f t="shared" si="183"/>
        <v>3</v>
      </c>
      <c r="C1950" s="571">
        <f t="shared" si="184"/>
        <v>42809</v>
      </c>
      <c r="D1950" s="571" t="s">
        <v>997</v>
      </c>
      <c r="E1950" s="590">
        <v>42809</v>
      </c>
      <c r="F1950" s="577" t="s">
        <v>365</v>
      </c>
      <c r="G1950" s="579" t="s">
        <v>550</v>
      </c>
      <c r="H1950" s="574" t="s">
        <v>801</v>
      </c>
      <c r="I1950" s="523">
        <v>200</v>
      </c>
      <c r="J1950" s="523">
        <v>44484</v>
      </c>
      <c r="K1950" s="575">
        <f t="shared" si="185"/>
        <v>8896800</v>
      </c>
      <c r="L1950" s="591" t="s">
        <v>158</v>
      </c>
      <c r="M1950" s="591" t="s">
        <v>292</v>
      </c>
      <c r="N1950" s="525" t="str">
        <f>IF(AND('331-CT'!$E$7=TH!H1950,OR(L1950="331",M1950="331")),"331",IF(AND(OR(L1950="131",M1950="131"),H1950='131-CT'!$E$7),"131",""))</f>
        <v/>
      </c>
      <c r="O1950" s="525" t="str">
        <f>IF(AND($B1950&gt;='111'!$N$11,$B1950&lt;='111'!$O$11,OR($L1950=$O$7,$M1950=$O$7)),"x","")</f>
        <v/>
      </c>
      <c r="P1950" s="525" t="str">
        <f>IF(AND($L1950=$O$7,$B1950&lt;'111'!$N$11),"x","")</f>
        <v/>
      </c>
      <c r="Q1950" s="525" t="str">
        <f>IF(AND($M1950=$O$7,$B1950&lt;'111'!$N$11),"x","")</f>
        <v/>
      </c>
      <c r="R1950" s="525" t="str">
        <f>IF(ISERROR(FIND('112'!$M$9,G1950,1)),"",IF((AND(FIND('112'!$M$9,G1950,1)&gt;=1,$B1950&gt;='112'!$N$8,$B1950&lt;='112'!$O$8,OR($L1950='112'!$I$6,$M1950='112'!$I$6))),"x",""))</f>
        <v/>
      </c>
      <c r="S1950" s="525" t="str">
        <f>IF(ISERROR(FIND('112'!$M$9,G1950,1)),"",IF((AND(LEFT(G1950,2)=LEFT('112'!$M$9,2),B1950&lt;'112'!$N$8,$L1950='112'!$I$6)),"x",""))</f>
        <v/>
      </c>
      <c r="T1950" s="525" t="str">
        <f>IF(ISERROR(FIND('112'!$M$9,G1950,1)),"",IF((AND(RIGHT(G1950,2)=RIGHT('112'!$M$9,2),B1950&lt;'112'!$N$8,$M1950='112'!$I$6)),"x",""))</f>
        <v/>
      </c>
      <c r="U1950" s="525" t="str">
        <f>IF(AND(B1950&gt;='IN-NX'!$P$3,B1950&lt;='IN-NX'!$Q$3,'IN-NX'!$D$7=D1950,OR(LEFT(L1950,2)="15",AND(LEFT(M1950,2)&lt;&gt;"15",LEFT(M1950,2)&lt;&gt;"33"))),"x","")</f>
        <v/>
      </c>
      <c r="V1950" s="525" t="str">
        <f>IF(AND(OR(LEFT(TH!L1950,2)="15",LEFT(TH!M1950,2)="15"),'152-CT'!$J$8=TH!F1950),"x","")</f>
        <v/>
      </c>
      <c r="W1950" s="525" t="str">
        <f>IF(AND(OR(LEFT(TH!L1950,2)="15",LEFT(TH!M1950,2)="15"),TK!$E$7=TH!F1950),"x","")</f>
        <v/>
      </c>
      <c r="X1950" s="525" t="str">
        <f>IF(AND('341-CT'!$E$9=H1950,OR(LEFT(L1950,3)=$X$7,LEFT(M1950,3)=$X$7)),"x","")</f>
        <v/>
      </c>
      <c r="Y1950" s="525" t="str">
        <f>IF(OR(TH!L1950=TH!$Y$7,M1950=TH!$Y$7),"x","")</f>
        <v/>
      </c>
      <c r="Z1950" s="525" t="str">
        <f>IF(AND(B1950&lt;=NKC!$N$8,B1950&gt;=NKC!$M$8),"x","")</f>
        <v>x</v>
      </c>
      <c r="AA1950" s="526"/>
      <c r="AB1950" s="527"/>
      <c r="AD1950" s="527"/>
    </row>
    <row r="1951" spans="1:31" s="576" customFormat="1" ht="15.75" customHeight="1">
      <c r="A1951" s="517" t="str">
        <f>IF(B1951&lt;&gt;"",IF(AND(B1951&gt;=_TM1,B1951&lt;=_TM2,OR(TH!L1951="1111",TH!M1951="1111")),TH!D1951,""),"")</f>
        <v/>
      </c>
      <c r="B1951" s="518">
        <f t="shared" si="183"/>
        <v>3</v>
      </c>
      <c r="C1951" s="571">
        <f t="shared" si="184"/>
        <v>42809</v>
      </c>
      <c r="D1951" s="571" t="s">
        <v>997</v>
      </c>
      <c r="E1951" s="578">
        <v>42809</v>
      </c>
      <c r="F1951" s="572" t="s">
        <v>337</v>
      </c>
      <c r="G1951" s="573" t="s">
        <v>550</v>
      </c>
      <c r="H1951" s="574" t="s">
        <v>801</v>
      </c>
      <c r="I1951" s="523">
        <v>15</v>
      </c>
      <c r="J1951" s="523">
        <v>20532</v>
      </c>
      <c r="K1951" s="575">
        <f t="shared" si="185"/>
        <v>307980</v>
      </c>
      <c r="L1951" s="591" t="s">
        <v>158</v>
      </c>
      <c r="M1951" s="591" t="s">
        <v>292</v>
      </c>
      <c r="N1951" s="525" t="str">
        <f>IF(AND('331-CT'!$E$7=TH!H1951,OR(L1951="331",M1951="331")),"331",IF(AND(OR(L1951="131",M1951="131"),H1951='131-CT'!$E$7),"131",""))</f>
        <v/>
      </c>
      <c r="O1951" s="525" t="str">
        <f>IF(AND($B1951&gt;='111'!$N$11,$B1951&lt;='111'!$O$11,OR($L1951=$O$7,$M1951=$O$7)),"x","")</f>
        <v/>
      </c>
      <c r="P1951" s="525" t="str">
        <f>IF(AND($L1951=$O$7,$B1951&lt;'111'!$N$11),"x","")</f>
        <v/>
      </c>
      <c r="Q1951" s="525" t="str">
        <f>IF(AND($M1951=$O$7,$B1951&lt;'111'!$N$11),"x","")</f>
        <v/>
      </c>
      <c r="R1951" s="525" t="str">
        <f>IF(ISERROR(FIND('112'!$M$9,G1951,1)),"",IF((AND(FIND('112'!$M$9,G1951,1)&gt;=1,$B1951&gt;='112'!$N$8,$B1951&lt;='112'!$O$8,OR($L1951='112'!$I$6,$M1951='112'!$I$6))),"x",""))</f>
        <v/>
      </c>
      <c r="S1951" s="525" t="str">
        <f>IF(ISERROR(FIND('112'!$M$9,G1951,1)),"",IF((AND(LEFT(G1951,2)=LEFT('112'!$M$9,2),B1951&lt;'112'!$N$8,$L1951='112'!$I$6)),"x",""))</f>
        <v/>
      </c>
      <c r="T1951" s="525" t="str">
        <f>IF(ISERROR(FIND('112'!$M$9,G1951,1)),"",IF((AND(RIGHT(G1951,2)=RIGHT('112'!$M$9,2),B1951&lt;'112'!$N$8,$M1951='112'!$I$6)),"x",""))</f>
        <v/>
      </c>
      <c r="U1951" s="525" t="str">
        <f>IF(AND(B1951&gt;='IN-NX'!$P$3,B1951&lt;='IN-NX'!$Q$3,'IN-NX'!$D$7=D1951,OR(LEFT(L1951,2)="15",AND(LEFT(M1951,2)&lt;&gt;"15",LEFT(M1951,2)&lt;&gt;"33"))),"x","")</f>
        <v/>
      </c>
      <c r="V1951" s="525" t="str">
        <f>IF(AND(OR(LEFT(TH!L1951,2)="15",LEFT(TH!M1951,2)="15"),'152-CT'!$J$8=TH!F1951),"x","")</f>
        <v/>
      </c>
      <c r="W1951" s="525" t="str">
        <f>IF(AND(OR(LEFT(TH!L1951,2)="15",LEFT(TH!M1951,2)="15"),TK!$E$7=TH!F1951),"x","")</f>
        <v/>
      </c>
      <c r="X1951" s="525" t="str">
        <f>IF(AND('341-CT'!$E$9=H1951,OR(LEFT(L1951,3)=$X$7,LEFT(M1951,3)=$X$7)),"x","")</f>
        <v/>
      </c>
      <c r="Y1951" s="525" t="str">
        <f>IF(OR(TH!L1951=TH!$Y$7,M1951=TH!$Y$7),"x","")</f>
        <v/>
      </c>
      <c r="Z1951" s="525" t="str">
        <f>IF(AND(B1951&lt;=NKC!$N$8,B1951&gt;=NKC!$M$8),"x","")</f>
        <v>x</v>
      </c>
      <c r="AA1951" s="526"/>
      <c r="AB1951" s="527"/>
      <c r="AE1951" s="527"/>
    </row>
    <row r="1952" spans="1:31" s="576" customFormat="1" ht="15.75" customHeight="1">
      <c r="A1952" s="517" t="str">
        <f>IF(B1952&lt;&gt;"",IF(AND(B1952&gt;=_TM1,B1952&lt;=_TM2,OR(TH!L1952="1111",TH!M1952="1111")),TH!D1952,""),"")</f>
        <v/>
      </c>
      <c r="B1952" s="518">
        <f t="shared" si="183"/>
        <v>3</v>
      </c>
      <c r="C1952" s="571">
        <f t="shared" si="184"/>
        <v>42812</v>
      </c>
      <c r="D1952" s="571" t="s">
        <v>997</v>
      </c>
      <c r="E1952" s="578">
        <v>42812</v>
      </c>
      <c r="F1952" s="572" t="s">
        <v>337</v>
      </c>
      <c r="G1952" s="573" t="s">
        <v>552</v>
      </c>
      <c r="H1952" s="574" t="s">
        <v>801</v>
      </c>
      <c r="I1952" s="523">
        <v>60</v>
      </c>
      <c r="J1952" s="523">
        <v>20532</v>
      </c>
      <c r="K1952" s="575">
        <f t="shared" si="185"/>
        <v>1231920</v>
      </c>
      <c r="L1952" s="591" t="s">
        <v>158</v>
      </c>
      <c r="M1952" s="591" t="s">
        <v>292</v>
      </c>
      <c r="N1952" s="525" t="str">
        <f>IF(AND('331-CT'!$E$7=TH!H1952,OR(L1952="331",M1952="331")),"331",IF(AND(OR(L1952="131",M1952="131"),H1952='131-CT'!$E$7),"131",""))</f>
        <v/>
      </c>
      <c r="O1952" s="525" t="str">
        <f>IF(AND($B1952&gt;='111'!$N$11,$B1952&lt;='111'!$O$11,OR($L1952=$O$7,$M1952=$O$7)),"x","")</f>
        <v/>
      </c>
      <c r="P1952" s="525" t="str">
        <f>IF(AND($L1952=$O$7,$B1952&lt;'111'!$N$11),"x","")</f>
        <v/>
      </c>
      <c r="Q1952" s="525" t="str">
        <f>IF(AND($M1952=$O$7,$B1952&lt;'111'!$N$11),"x","")</f>
        <v/>
      </c>
      <c r="R1952" s="525" t="str">
        <f>IF(ISERROR(FIND('112'!$M$9,G1952,1)),"",IF((AND(FIND('112'!$M$9,G1952,1)&gt;=1,$B1952&gt;='112'!$N$8,$B1952&lt;='112'!$O$8,OR($L1952='112'!$I$6,$M1952='112'!$I$6))),"x",""))</f>
        <v/>
      </c>
      <c r="S1952" s="525" t="str">
        <f>IF(ISERROR(FIND('112'!$M$9,G1952,1)),"",IF((AND(LEFT(G1952,2)=LEFT('112'!$M$9,2),B1952&lt;'112'!$N$8,$L1952='112'!$I$6)),"x",""))</f>
        <v/>
      </c>
      <c r="T1952" s="525" t="str">
        <f>IF(ISERROR(FIND('112'!$M$9,G1952,1)),"",IF((AND(RIGHT(G1952,2)=RIGHT('112'!$M$9,2),B1952&lt;'112'!$N$8,$M1952='112'!$I$6)),"x",""))</f>
        <v/>
      </c>
      <c r="U1952" s="525" t="str">
        <f>IF(AND(B1952&gt;='IN-NX'!$P$3,B1952&lt;='IN-NX'!$Q$3,'IN-NX'!$D$7=D1952,OR(LEFT(L1952,2)="15",AND(LEFT(M1952,2)&lt;&gt;"15",LEFT(M1952,2)&lt;&gt;"33"))),"x","")</f>
        <v/>
      </c>
      <c r="V1952" s="525" t="str">
        <f>IF(AND(OR(LEFT(TH!L1952,2)="15",LEFT(TH!M1952,2)="15"),'152-CT'!$J$8=TH!F1952),"x","")</f>
        <v/>
      </c>
      <c r="W1952" s="525" t="str">
        <f>IF(AND(OR(LEFT(TH!L1952,2)="15",LEFT(TH!M1952,2)="15"),TK!$E$7=TH!F1952),"x","")</f>
        <v/>
      </c>
      <c r="X1952" s="525" t="str">
        <f>IF(AND('341-CT'!$E$9=H1952,OR(LEFT(L1952,3)=$X$7,LEFT(M1952,3)=$X$7)),"x","")</f>
        <v/>
      </c>
      <c r="Y1952" s="525" t="str">
        <f>IF(OR(TH!L1952=TH!$Y$7,M1952=TH!$Y$7),"x","")</f>
        <v/>
      </c>
      <c r="Z1952" s="525" t="str">
        <f>IF(AND(B1952&lt;=NKC!$N$8,B1952&gt;=NKC!$M$8),"x","")</f>
        <v>x</v>
      </c>
      <c r="AA1952" s="526"/>
      <c r="AB1952" s="527"/>
      <c r="AE1952" s="527"/>
    </row>
    <row r="1953" spans="1:31" s="576" customFormat="1" ht="15.75" customHeight="1">
      <c r="A1953" s="517" t="str">
        <f>IF(B1953&lt;&gt;"",IF(AND(B1953&gt;=_TM1,B1953&lt;=_TM2,OR(TH!L1953="1111",TH!M1953="1111")),TH!D1953,""),"")</f>
        <v/>
      </c>
      <c r="B1953" s="518">
        <f t="shared" si="183"/>
        <v>3</v>
      </c>
      <c r="C1953" s="571">
        <f t="shared" si="184"/>
        <v>42812</v>
      </c>
      <c r="D1953" s="571" t="s">
        <v>997</v>
      </c>
      <c r="E1953" s="590">
        <v>42812</v>
      </c>
      <c r="F1953" s="577" t="s">
        <v>337</v>
      </c>
      <c r="G1953" s="579" t="s">
        <v>553</v>
      </c>
      <c r="H1953" s="574" t="s">
        <v>801</v>
      </c>
      <c r="I1953" s="523">
        <v>120</v>
      </c>
      <c r="J1953" s="523">
        <v>20532</v>
      </c>
      <c r="K1953" s="575">
        <f t="shared" si="185"/>
        <v>2463840</v>
      </c>
      <c r="L1953" s="591" t="s">
        <v>158</v>
      </c>
      <c r="M1953" s="591" t="s">
        <v>292</v>
      </c>
      <c r="N1953" s="525" t="str">
        <f>IF(AND('331-CT'!$E$7=TH!H1953,OR(L1953="331",M1953="331")),"331",IF(AND(OR(L1953="131",M1953="131"),H1953='131-CT'!$E$7),"131",""))</f>
        <v/>
      </c>
      <c r="O1953" s="525" t="str">
        <f>IF(AND($B1953&gt;='111'!$N$11,$B1953&lt;='111'!$O$11,OR($L1953=$O$7,$M1953=$O$7)),"x","")</f>
        <v/>
      </c>
      <c r="P1953" s="525" t="str">
        <f>IF(AND($L1953=$O$7,$B1953&lt;'111'!$N$11),"x","")</f>
        <v/>
      </c>
      <c r="Q1953" s="525" t="str">
        <f>IF(AND($M1953=$O$7,$B1953&lt;'111'!$N$11),"x","")</f>
        <v/>
      </c>
      <c r="R1953" s="525" t="str">
        <f>IF(ISERROR(FIND('112'!$M$9,G1953,1)),"",IF((AND(FIND('112'!$M$9,G1953,1)&gt;=1,$B1953&gt;='112'!$N$8,$B1953&lt;='112'!$O$8,OR($L1953='112'!$I$6,$M1953='112'!$I$6))),"x",""))</f>
        <v/>
      </c>
      <c r="S1953" s="525" t="str">
        <f>IF(ISERROR(FIND('112'!$M$9,G1953,1)),"",IF((AND(LEFT(G1953,2)=LEFT('112'!$M$9,2),B1953&lt;'112'!$N$8,$L1953='112'!$I$6)),"x",""))</f>
        <v/>
      </c>
      <c r="T1953" s="525" t="str">
        <f>IF(ISERROR(FIND('112'!$M$9,G1953,1)),"",IF((AND(RIGHT(G1953,2)=RIGHT('112'!$M$9,2),B1953&lt;'112'!$N$8,$M1953='112'!$I$6)),"x",""))</f>
        <v/>
      </c>
      <c r="U1953" s="525" t="str">
        <f>IF(AND(B1953&gt;='IN-NX'!$P$3,B1953&lt;='IN-NX'!$Q$3,'IN-NX'!$D$7=D1953,OR(LEFT(L1953,2)="15",AND(LEFT(M1953,2)&lt;&gt;"15",LEFT(M1953,2)&lt;&gt;"33"))),"x","")</f>
        <v/>
      </c>
      <c r="V1953" s="525" t="str">
        <f>IF(AND(OR(LEFT(TH!L1953,2)="15",LEFT(TH!M1953,2)="15"),'152-CT'!$J$8=TH!F1953),"x","")</f>
        <v/>
      </c>
      <c r="W1953" s="525" t="str">
        <f>IF(AND(OR(LEFT(TH!L1953,2)="15",LEFT(TH!M1953,2)="15"),TK!$E$7=TH!F1953),"x","")</f>
        <v/>
      </c>
      <c r="X1953" s="525" t="str">
        <f>IF(AND('341-CT'!$E$9=H1953,OR(LEFT(L1953,3)=$X$7,LEFT(M1953,3)=$X$7)),"x","")</f>
        <v/>
      </c>
      <c r="Y1953" s="525" t="str">
        <f>IF(OR(TH!L1953=TH!$Y$7,M1953=TH!$Y$7),"x","")</f>
        <v/>
      </c>
      <c r="Z1953" s="525" t="str">
        <f>IF(AND(B1953&lt;=NKC!$N$8,B1953&gt;=NKC!$M$8),"x","")</f>
        <v>x</v>
      </c>
      <c r="AA1953" s="526"/>
      <c r="AB1953" s="527"/>
      <c r="AD1953" s="527"/>
    </row>
    <row r="1954" spans="1:31" s="576" customFormat="1" ht="15.75" customHeight="1">
      <c r="A1954" s="517" t="str">
        <f>IF(B1954&lt;&gt;"",IF(AND(B1954&gt;=_TM1,B1954&lt;=_TM2,OR(TH!L1954="1111",TH!M1954="1111")),TH!D1954,""),"")</f>
        <v/>
      </c>
      <c r="B1954" s="518">
        <f t="shared" si="183"/>
        <v>3</v>
      </c>
      <c r="C1954" s="571">
        <f t="shared" si="184"/>
        <v>42812</v>
      </c>
      <c r="D1954" s="571" t="s">
        <v>997</v>
      </c>
      <c r="E1954" s="578">
        <v>42812</v>
      </c>
      <c r="F1954" s="572" t="s">
        <v>369</v>
      </c>
      <c r="G1954" s="573" t="s">
        <v>553</v>
      </c>
      <c r="H1954" s="574" t="s">
        <v>801</v>
      </c>
      <c r="I1954" s="523">
        <v>251</v>
      </c>
      <c r="J1954" s="523">
        <v>27729</v>
      </c>
      <c r="K1954" s="575">
        <f t="shared" si="185"/>
        <v>6959979</v>
      </c>
      <c r="L1954" s="591" t="s">
        <v>158</v>
      </c>
      <c r="M1954" s="591" t="s">
        <v>292</v>
      </c>
      <c r="N1954" s="525" t="str">
        <f>IF(AND('331-CT'!$E$7=TH!H1954,OR(L1954="331",M1954="331")),"331",IF(AND(OR(L1954="131",M1954="131"),H1954='131-CT'!$E$7),"131",""))</f>
        <v/>
      </c>
      <c r="O1954" s="525" t="str">
        <f>IF(AND($B1954&gt;='111'!$N$11,$B1954&lt;='111'!$O$11,OR($L1954=$O$7,$M1954=$O$7)),"x","")</f>
        <v/>
      </c>
      <c r="P1954" s="525" t="str">
        <f>IF(AND($L1954=$O$7,$B1954&lt;'111'!$N$11),"x","")</f>
        <v/>
      </c>
      <c r="Q1954" s="525" t="str">
        <f>IF(AND($M1954=$O$7,$B1954&lt;'111'!$N$11),"x","")</f>
        <v/>
      </c>
      <c r="R1954" s="525" t="str">
        <f>IF(ISERROR(FIND('112'!$M$9,G1954,1)),"",IF((AND(FIND('112'!$M$9,G1954,1)&gt;=1,$B1954&gt;='112'!$N$8,$B1954&lt;='112'!$O$8,OR($L1954='112'!$I$6,$M1954='112'!$I$6))),"x",""))</f>
        <v/>
      </c>
      <c r="S1954" s="525" t="str">
        <f>IF(ISERROR(FIND('112'!$M$9,G1954,1)),"",IF((AND(LEFT(G1954,2)=LEFT('112'!$M$9,2),B1954&lt;'112'!$N$8,$L1954='112'!$I$6)),"x",""))</f>
        <v/>
      </c>
      <c r="T1954" s="525" t="str">
        <f>IF(ISERROR(FIND('112'!$M$9,G1954,1)),"",IF((AND(RIGHT(G1954,2)=RIGHT('112'!$M$9,2),B1954&lt;'112'!$N$8,$M1954='112'!$I$6)),"x",""))</f>
        <v/>
      </c>
      <c r="U1954" s="525" t="str">
        <f>IF(AND(B1954&gt;='IN-NX'!$P$3,B1954&lt;='IN-NX'!$Q$3,'IN-NX'!$D$7=D1954,OR(LEFT(L1954,2)="15",AND(LEFT(M1954,2)&lt;&gt;"15",LEFT(M1954,2)&lt;&gt;"33"))),"x","")</f>
        <v/>
      </c>
      <c r="V1954" s="525" t="str">
        <f>IF(AND(OR(LEFT(TH!L1954,2)="15",LEFT(TH!M1954,2)="15"),'152-CT'!$J$8=TH!F1954),"x","")</f>
        <v/>
      </c>
      <c r="W1954" s="525" t="str">
        <f>IF(AND(OR(LEFT(TH!L1954,2)="15",LEFT(TH!M1954,2)="15"),TK!$E$7=TH!F1954),"x","")</f>
        <v/>
      </c>
      <c r="X1954" s="525" t="str">
        <f>IF(AND('341-CT'!$E$9=H1954,OR(LEFT(L1954,3)=$X$7,LEFT(M1954,3)=$X$7)),"x","")</f>
        <v/>
      </c>
      <c r="Y1954" s="525" t="str">
        <f>IF(OR(TH!L1954=TH!$Y$7,M1954=TH!$Y$7),"x","")</f>
        <v/>
      </c>
      <c r="Z1954" s="525" t="str">
        <f>IF(AND(B1954&lt;=NKC!$N$8,B1954&gt;=NKC!$M$8),"x","")</f>
        <v>x</v>
      </c>
      <c r="AA1954" s="526"/>
      <c r="AB1954" s="527"/>
      <c r="AE1954" s="527"/>
    </row>
    <row r="1955" spans="1:31" s="576" customFormat="1" ht="15.75" customHeight="1">
      <c r="A1955" s="517" t="str">
        <f>IF(B1955&lt;&gt;"",IF(AND(B1955&gt;=_TM1,B1955&lt;=_TM2,OR(TH!L1955="1111",TH!M1955="1111")),TH!D1955,""),"")</f>
        <v/>
      </c>
      <c r="B1955" s="518">
        <f t="shared" si="183"/>
        <v>3</v>
      </c>
      <c r="C1955" s="571">
        <f t="shared" si="184"/>
        <v>42812</v>
      </c>
      <c r="D1955" s="571" t="s">
        <v>997</v>
      </c>
      <c r="E1955" s="578">
        <v>42812</v>
      </c>
      <c r="F1955" s="572" t="s">
        <v>402</v>
      </c>
      <c r="G1955" s="573" t="s">
        <v>553</v>
      </c>
      <c r="H1955" s="574" t="s">
        <v>801</v>
      </c>
      <c r="I1955" s="523">
        <v>166</v>
      </c>
      <c r="J1955" s="523">
        <v>28029.5</v>
      </c>
      <c r="K1955" s="575">
        <f t="shared" si="185"/>
        <v>4652897</v>
      </c>
      <c r="L1955" s="591" t="s">
        <v>158</v>
      </c>
      <c r="M1955" s="591" t="s">
        <v>292</v>
      </c>
      <c r="N1955" s="525" t="str">
        <f>IF(AND('331-CT'!$E$7=TH!H1955,OR(L1955="331",M1955="331")),"331",IF(AND(OR(L1955="131",M1955="131"),H1955='131-CT'!$E$7),"131",""))</f>
        <v/>
      </c>
      <c r="O1955" s="525" t="str">
        <f>IF(AND($B1955&gt;='111'!$N$11,$B1955&lt;='111'!$O$11,OR($L1955=$O$7,$M1955=$O$7)),"x","")</f>
        <v/>
      </c>
      <c r="P1955" s="525" t="str">
        <f>IF(AND($L1955=$O$7,$B1955&lt;'111'!$N$11),"x","")</f>
        <v/>
      </c>
      <c r="Q1955" s="525" t="str">
        <f>IF(AND($M1955=$O$7,$B1955&lt;'111'!$N$11),"x","")</f>
        <v/>
      </c>
      <c r="R1955" s="525" t="str">
        <f>IF(ISERROR(FIND('112'!$M$9,G1955,1)),"",IF((AND(FIND('112'!$M$9,G1955,1)&gt;=1,$B1955&gt;='112'!$N$8,$B1955&lt;='112'!$O$8,OR($L1955='112'!$I$6,$M1955='112'!$I$6))),"x",""))</f>
        <v/>
      </c>
      <c r="S1955" s="525" t="str">
        <f>IF(ISERROR(FIND('112'!$M$9,G1955,1)),"",IF((AND(LEFT(G1955,2)=LEFT('112'!$M$9,2),B1955&lt;'112'!$N$8,$L1955='112'!$I$6)),"x",""))</f>
        <v/>
      </c>
      <c r="T1955" s="525" t="str">
        <f>IF(ISERROR(FIND('112'!$M$9,G1955,1)),"",IF((AND(RIGHT(G1955,2)=RIGHT('112'!$M$9,2),B1955&lt;'112'!$N$8,$M1955='112'!$I$6)),"x",""))</f>
        <v/>
      </c>
      <c r="U1955" s="525" t="str">
        <f>IF(AND(B1955&gt;='IN-NX'!$P$3,B1955&lt;='IN-NX'!$Q$3,'IN-NX'!$D$7=D1955,OR(LEFT(L1955,2)="15",AND(LEFT(M1955,2)&lt;&gt;"15",LEFT(M1955,2)&lt;&gt;"33"))),"x","")</f>
        <v/>
      </c>
      <c r="V1955" s="525" t="str">
        <f>IF(AND(OR(LEFT(TH!L1955,2)="15",LEFT(TH!M1955,2)="15"),'152-CT'!$J$8=TH!F1955),"x","")</f>
        <v/>
      </c>
      <c r="W1955" s="525" t="str">
        <f>IF(AND(OR(LEFT(TH!L1955,2)="15",LEFT(TH!M1955,2)="15"),TK!$E$7=TH!F1955),"x","")</f>
        <v/>
      </c>
      <c r="X1955" s="525" t="str">
        <f>IF(AND('341-CT'!$E$9=H1955,OR(LEFT(L1955,3)=$X$7,LEFT(M1955,3)=$X$7)),"x","")</f>
        <v/>
      </c>
      <c r="Y1955" s="525" t="str">
        <f>IF(OR(TH!L1955=TH!$Y$7,M1955=TH!$Y$7),"x","")</f>
        <v/>
      </c>
      <c r="Z1955" s="525" t="str">
        <f>IF(AND(B1955&lt;=NKC!$N$8,B1955&gt;=NKC!$M$8),"x","")</f>
        <v>x</v>
      </c>
      <c r="AA1955" s="526"/>
      <c r="AB1955" s="527"/>
      <c r="AE1955" s="527"/>
    </row>
    <row r="1956" spans="1:31" s="576" customFormat="1" ht="15.75" customHeight="1">
      <c r="A1956" s="517" t="str">
        <f>IF(B1956&lt;&gt;"",IF(AND(B1956&gt;=_TM1,B1956&lt;=_TM2,OR(TH!L1956="1111",TH!M1956="1111")),TH!D1956,""),"")</f>
        <v/>
      </c>
      <c r="B1956" s="518">
        <f t="shared" ref="B1956:B1974" si="186">IF(C1956&lt;&gt;"",MONTH(C1956),"")</f>
        <v>3</v>
      </c>
      <c r="C1956" s="571">
        <f t="shared" si="181"/>
        <v>42816</v>
      </c>
      <c r="D1956" s="571" t="s">
        <v>997</v>
      </c>
      <c r="E1956" s="590">
        <v>42816</v>
      </c>
      <c r="F1956" s="577" t="s">
        <v>346</v>
      </c>
      <c r="G1956" s="579" t="s">
        <v>554</v>
      </c>
      <c r="H1956" s="574" t="s">
        <v>801</v>
      </c>
      <c r="I1956" s="523">
        <v>60</v>
      </c>
      <c r="J1956" s="523">
        <v>14662</v>
      </c>
      <c r="K1956" s="575">
        <f t="shared" si="182"/>
        <v>879720</v>
      </c>
      <c r="L1956" s="591" t="s">
        <v>158</v>
      </c>
      <c r="M1956" s="591" t="s">
        <v>292</v>
      </c>
      <c r="N1956" s="525" t="str">
        <f>IF(AND('331-CT'!$E$7=TH!H1956,OR(L1956="331",M1956="331")),"331",IF(AND(OR(L1956="131",M1956="131"),H1956='131-CT'!$E$7),"131",""))</f>
        <v/>
      </c>
      <c r="O1956" s="525" t="str">
        <f>IF(AND($B1956&gt;='111'!$N$11,$B1956&lt;='111'!$O$11,OR($L1956=$O$7,$M1956=$O$7)),"x","")</f>
        <v/>
      </c>
      <c r="P1956" s="525" t="str">
        <f>IF(AND($L1956=$O$7,$B1956&lt;'111'!$N$11),"x","")</f>
        <v/>
      </c>
      <c r="Q1956" s="525" t="str">
        <f>IF(AND($M1956=$O$7,$B1956&lt;'111'!$N$11),"x","")</f>
        <v/>
      </c>
      <c r="R1956" s="525" t="str">
        <f>IF(ISERROR(FIND('112'!$M$9,G1956,1)),"",IF((AND(FIND('112'!$M$9,G1956,1)&gt;=1,$B1956&gt;='112'!$N$8,$B1956&lt;='112'!$O$8,OR($L1956='112'!$I$6,$M1956='112'!$I$6))),"x",""))</f>
        <v/>
      </c>
      <c r="S1956" s="525" t="str">
        <f>IF(ISERROR(FIND('112'!$M$9,G1956,1)),"",IF((AND(LEFT(G1956,2)=LEFT('112'!$M$9,2),B1956&lt;'112'!$N$8,$L1956='112'!$I$6)),"x",""))</f>
        <v/>
      </c>
      <c r="T1956" s="525" t="str">
        <f>IF(ISERROR(FIND('112'!$M$9,G1956,1)),"",IF((AND(RIGHT(G1956,2)=RIGHT('112'!$M$9,2),B1956&lt;'112'!$N$8,$M1956='112'!$I$6)),"x",""))</f>
        <v/>
      </c>
      <c r="U1956" s="525" t="str">
        <f>IF(AND(B1956&gt;='IN-NX'!$P$3,B1956&lt;='IN-NX'!$Q$3,'IN-NX'!$D$7=D1956,OR(LEFT(L1956,2)="15",AND(LEFT(M1956,2)&lt;&gt;"15",LEFT(M1956,2)&lt;&gt;"33"))),"x","")</f>
        <v/>
      </c>
      <c r="V1956" s="525" t="str">
        <f>IF(AND(OR(LEFT(TH!L1956,2)="15",LEFT(TH!M1956,2)="15"),'152-CT'!$J$8=TH!F1956),"x","")</f>
        <v/>
      </c>
      <c r="W1956" s="525" t="str">
        <f>IF(AND(OR(LEFT(TH!L1956,2)="15",LEFT(TH!M1956,2)="15"),TK!$E$7=TH!F1956),"x","")</f>
        <v/>
      </c>
      <c r="X1956" s="525" t="str">
        <f>IF(AND('341-CT'!$E$9=H1956,OR(LEFT(L1956,3)=$X$7,LEFT(M1956,3)=$X$7)),"x","")</f>
        <v/>
      </c>
      <c r="Y1956" s="525" t="str">
        <f>IF(OR(TH!L1956=TH!$Y$7,M1956=TH!$Y$7),"x","")</f>
        <v/>
      </c>
      <c r="Z1956" s="525" t="str">
        <f>IF(AND(B1956&lt;=NKC!$N$8,B1956&gt;=NKC!$M$8),"x","")</f>
        <v>x</v>
      </c>
      <c r="AA1956" s="526"/>
      <c r="AB1956" s="527"/>
      <c r="AD1956" s="527"/>
    </row>
    <row r="1957" spans="1:31" s="576" customFormat="1" ht="15.75" customHeight="1">
      <c r="A1957" s="517" t="str">
        <f>IF(B1957&lt;&gt;"",IF(AND(B1957&gt;=_TM1,B1957&lt;=_TM2,OR(TH!L1957="1111",TH!M1957="1111")),TH!D1957,""),"")</f>
        <v/>
      </c>
      <c r="B1957" s="518">
        <f t="shared" si="186"/>
        <v>3</v>
      </c>
      <c r="C1957" s="571">
        <f t="shared" si="181"/>
        <v>42817</v>
      </c>
      <c r="D1957" s="571" t="s">
        <v>997</v>
      </c>
      <c r="E1957" s="590">
        <v>42817</v>
      </c>
      <c r="F1957" s="577" t="s">
        <v>346</v>
      </c>
      <c r="G1957" s="579" t="s">
        <v>773</v>
      </c>
      <c r="H1957" s="574" t="s">
        <v>801</v>
      </c>
      <c r="I1957" s="523">
        <v>20</v>
      </c>
      <c r="J1957" s="523">
        <v>14662</v>
      </c>
      <c r="K1957" s="575">
        <f t="shared" si="182"/>
        <v>293240</v>
      </c>
      <c r="L1957" s="591" t="s">
        <v>158</v>
      </c>
      <c r="M1957" s="591" t="s">
        <v>292</v>
      </c>
      <c r="N1957" s="525" t="str">
        <f>IF(AND('331-CT'!$E$7=TH!H1957,OR(L1957="331",M1957="331")),"331",IF(AND(OR(L1957="131",M1957="131"),H1957='131-CT'!$E$7),"131",""))</f>
        <v/>
      </c>
      <c r="O1957" s="525" t="str">
        <f>IF(AND($B1957&gt;='111'!$N$11,$B1957&lt;='111'!$O$11,OR($L1957=$O$7,$M1957=$O$7)),"x","")</f>
        <v/>
      </c>
      <c r="P1957" s="525" t="str">
        <f>IF(AND($L1957=$O$7,$B1957&lt;'111'!$N$11),"x","")</f>
        <v/>
      </c>
      <c r="Q1957" s="525" t="str">
        <f>IF(AND($M1957=$O$7,$B1957&lt;'111'!$N$11),"x","")</f>
        <v/>
      </c>
      <c r="R1957" s="525" t="str">
        <f>IF(ISERROR(FIND('112'!$M$9,G1957,1)),"",IF((AND(FIND('112'!$M$9,G1957,1)&gt;=1,$B1957&gt;='112'!$N$8,$B1957&lt;='112'!$O$8,OR($L1957='112'!$I$6,$M1957='112'!$I$6))),"x",""))</f>
        <v/>
      </c>
      <c r="S1957" s="525" t="str">
        <f>IF(ISERROR(FIND('112'!$M$9,G1957,1)),"",IF((AND(LEFT(G1957,2)=LEFT('112'!$M$9,2),B1957&lt;'112'!$N$8,$L1957='112'!$I$6)),"x",""))</f>
        <v/>
      </c>
      <c r="T1957" s="525" t="str">
        <f>IF(ISERROR(FIND('112'!$M$9,G1957,1)),"",IF((AND(RIGHT(G1957,2)=RIGHT('112'!$M$9,2),B1957&lt;'112'!$N$8,$M1957='112'!$I$6)),"x",""))</f>
        <v/>
      </c>
      <c r="U1957" s="525" t="str">
        <f>IF(AND(B1957&gt;='IN-NX'!$P$3,B1957&lt;='IN-NX'!$Q$3,'IN-NX'!$D$7=D1957,OR(LEFT(L1957,2)="15",AND(LEFT(M1957,2)&lt;&gt;"15",LEFT(M1957,2)&lt;&gt;"33"))),"x","")</f>
        <v/>
      </c>
      <c r="V1957" s="525" t="str">
        <f>IF(AND(OR(LEFT(TH!L1957,2)="15",LEFT(TH!M1957,2)="15"),'152-CT'!$J$8=TH!F1957),"x","")</f>
        <v/>
      </c>
      <c r="W1957" s="525" t="str">
        <f>IF(AND(OR(LEFT(TH!L1957,2)="15",LEFT(TH!M1957,2)="15"),TK!$E$7=TH!F1957),"x","")</f>
        <v/>
      </c>
      <c r="X1957" s="525" t="str">
        <f>IF(AND('341-CT'!$E$9=H1957,OR(LEFT(L1957,3)=$X$7,LEFT(M1957,3)=$X$7)),"x","")</f>
        <v/>
      </c>
      <c r="Y1957" s="525" t="str">
        <f>IF(OR(TH!L1957=TH!$Y$7,M1957=TH!$Y$7),"x","")</f>
        <v/>
      </c>
      <c r="Z1957" s="525" t="str">
        <f>IF(AND(B1957&lt;=NKC!$N$8,B1957&gt;=NKC!$M$8),"x","")</f>
        <v>x</v>
      </c>
      <c r="AA1957" s="526"/>
      <c r="AB1957" s="527"/>
      <c r="AD1957" s="527"/>
    </row>
    <row r="1958" spans="1:31" s="576" customFormat="1" ht="15.75" customHeight="1">
      <c r="A1958" s="517" t="str">
        <f>IF(B1958&lt;&gt;"",IF(AND(B1958&gt;=_TM1,B1958&lt;=_TM2,OR(TH!L1958="1111",TH!M1958="1111")),TH!D1958,""),"")</f>
        <v/>
      </c>
      <c r="B1958" s="518">
        <f t="shared" si="186"/>
        <v>3</v>
      </c>
      <c r="C1958" s="571">
        <f t="shared" si="181"/>
        <v>42823</v>
      </c>
      <c r="D1958" s="571" t="s">
        <v>997</v>
      </c>
      <c r="E1958" s="590">
        <v>42823</v>
      </c>
      <c r="F1958" s="577" t="s">
        <v>346</v>
      </c>
      <c r="G1958" s="579" t="s">
        <v>789</v>
      </c>
      <c r="H1958" s="574" t="s">
        <v>801</v>
      </c>
      <c r="I1958" s="523">
        <v>50</v>
      </c>
      <c r="J1958" s="523">
        <v>14662</v>
      </c>
      <c r="K1958" s="575">
        <f t="shared" si="182"/>
        <v>733100</v>
      </c>
      <c r="L1958" s="591" t="s">
        <v>158</v>
      </c>
      <c r="M1958" s="591" t="s">
        <v>292</v>
      </c>
      <c r="N1958" s="525" t="str">
        <f>IF(AND('331-CT'!$E$7=TH!H1958,OR(L1958="331",M1958="331")),"331",IF(AND(OR(L1958="131",M1958="131"),H1958='131-CT'!$E$7),"131",""))</f>
        <v/>
      </c>
      <c r="O1958" s="525" t="str">
        <f>IF(AND($B1958&gt;='111'!$N$11,$B1958&lt;='111'!$O$11,OR($L1958=$O$7,$M1958=$O$7)),"x","")</f>
        <v/>
      </c>
      <c r="P1958" s="525" t="str">
        <f>IF(AND($L1958=$O$7,$B1958&lt;'111'!$N$11),"x","")</f>
        <v/>
      </c>
      <c r="Q1958" s="525" t="str">
        <f>IF(AND($M1958=$O$7,$B1958&lt;'111'!$N$11),"x","")</f>
        <v/>
      </c>
      <c r="R1958" s="525" t="str">
        <f>IF(ISERROR(FIND('112'!$M$9,G1958,1)),"",IF((AND(FIND('112'!$M$9,G1958,1)&gt;=1,$B1958&gt;='112'!$N$8,$B1958&lt;='112'!$O$8,OR($L1958='112'!$I$6,$M1958='112'!$I$6))),"x",""))</f>
        <v/>
      </c>
      <c r="S1958" s="525" t="str">
        <f>IF(ISERROR(FIND('112'!$M$9,G1958,1)),"",IF((AND(LEFT(G1958,2)=LEFT('112'!$M$9,2),B1958&lt;'112'!$N$8,$L1958='112'!$I$6)),"x",""))</f>
        <v/>
      </c>
      <c r="T1958" s="525" t="str">
        <f>IF(ISERROR(FIND('112'!$M$9,G1958,1)),"",IF((AND(RIGHT(G1958,2)=RIGHT('112'!$M$9,2),B1958&lt;'112'!$N$8,$M1958='112'!$I$6)),"x",""))</f>
        <v/>
      </c>
      <c r="U1958" s="525" t="str">
        <f>IF(AND(B1958&gt;='IN-NX'!$P$3,B1958&lt;='IN-NX'!$Q$3,'IN-NX'!$D$7=D1958,OR(LEFT(L1958,2)="15",AND(LEFT(M1958,2)&lt;&gt;"15",LEFT(M1958,2)&lt;&gt;"33"))),"x","")</f>
        <v/>
      </c>
      <c r="V1958" s="525" t="str">
        <f>IF(AND(OR(LEFT(TH!L1958,2)="15",LEFT(TH!M1958,2)="15"),'152-CT'!$J$8=TH!F1958),"x","")</f>
        <v/>
      </c>
      <c r="W1958" s="525" t="str">
        <f>IF(AND(OR(LEFT(TH!L1958,2)="15",LEFT(TH!M1958,2)="15"),TK!$E$7=TH!F1958),"x","")</f>
        <v/>
      </c>
      <c r="X1958" s="525" t="str">
        <f>IF(AND('341-CT'!$E$9=H1958,OR(LEFT(L1958,3)=$X$7,LEFT(M1958,3)=$X$7)),"x","")</f>
        <v/>
      </c>
      <c r="Y1958" s="525" t="str">
        <f>IF(OR(TH!L1958=TH!$Y$7,M1958=TH!$Y$7),"x","")</f>
        <v/>
      </c>
      <c r="Z1958" s="525" t="str">
        <f>IF(AND(B1958&lt;=NKC!$N$8,B1958&gt;=NKC!$M$8),"x","")</f>
        <v>x</v>
      </c>
      <c r="AA1958" s="526"/>
      <c r="AB1958" s="527"/>
      <c r="AD1958" s="527"/>
    </row>
    <row r="1959" spans="1:31" s="689" customFormat="1" ht="15.75" customHeight="1">
      <c r="A1959" s="517" t="str">
        <f>IF(B1959&lt;&gt;"",IF(AND(B1959&gt;=_TM1,B1959&lt;=_TM2,OR(TH!L1959="1111",TH!M1959="1111")),TH!D1959,""),"")</f>
        <v/>
      </c>
      <c r="B1959" s="685">
        <f t="shared" si="186"/>
        <v>3</v>
      </c>
      <c r="C1959" s="671">
        <f t="shared" si="181"/>
        <v>42801</v>
      </c>
      <c r="D1959" s="671" t="s">
        <v>376</v>
      </c>
      <c r="E1959" s="672">
        <v>42801</v>
      </c>
      <c r="F1959" s="673" t="s">
        <v>493</v>
      </c>
      <c r="G1959" s="686" t="s">
        <v>546</v>
      </c>
      <c r="H1959" s="675" t="s">
        <v>893</v>
      </c>
      <c r="I1959" s="676">
        <v>4750</v>
      </c>
      <c r="J1959" s="676">
        <v>9631.3160000000007</v>
      </c>
      <c r="K1959" s="677">
        <f t="shared" si="182"/>
        <v>45748751</v>
      </c>
      <c r="L1959" s="678" t="s">
        <v>292</v>
      </c>
      <c r="M1959" s="678" t="s">
        <v>158</v>
      </c>
      <c r="N1959" s="525" t="str">
        <f>IF(AND('331-CT'!$E$7=TH!H1959,OR(L1959="331",M1959="331")),"331",IF(AND(OR(L1959="131",M1959="131"),H1959='131-CT'!$E$7),"131",""))</f>
        <v/>
      </c>
      <c r="O1959" s="525" t="str">
        <f>IF(AND($B1959&gt;='111'!$N$11,$B1959&lt;='111'!$O$11,OR($L1959=$O$7,$M1959=$O$7)),"x","")</f>
        <v/>
      </c>
      <c r="P1959" s="525" t="str">
        <f>IF(AND($L1959=$O$7,$B1959&lt;'111'!$N$11),"x","")</f>
        <v/>
      </c>
      <c r="Q1959" s="525" t="str">
        <f>IF(AND($M1959=$O$7,$B1959&lt;'111'!$N$11),"x","")</f>
        <v/>
      </c>
      <c r="R1959" s="525" t="str">
        <f>IF(ISERROR(FIND('112'!$M$9,G1959,1)),"",IF((AND(FIND('112'!$M$9,G1959,1)&gt;=1,$B1959&gt;='112'!$N$8,$B1959&lt;='112'!$O$8,OR($L1959='112'!$I$6,$M1959='112'!$I$6))),"x",""))</f>
        <v/>
      </c>
      <c r="S1959" s="525" t="str">
        <f>IF(ISERROR(FIND('112'!$M$9,G1959,1)),"",IF((AND(LEFT(G1959,2)=LEFT('112'!$M$9,2),B1959&lt;'112'!$N$8,$L1959='112'!$I$6)),"x",""))</f>
        <v/>
      </c>
      <c r="T1959" s="525" t="str">
        <f>IF(ISERROR(FIND('112'!$M$9,G1959,1)),"",IF((AND(RIGHT(G1959,2)=RIGHT('112'!$M$9,2),B1959&lt;'112'!$N$8,$M1959='112'!$I$6)),"x",""))</f>
        <v/>
      </c>
      <c r="U1959" s="525" t="str">
        <f>IF(AND(B1959&gt;='IN-NX'!$P$3,B1959&lt;='IN-NX'!$Q$3,'IN-NX'!$D$7=D1959,OR(LEFT(L1959,2)="15",AND(LEFT(M1959,2)&lt;&gt;"15",LEFT(M1959,2)&lt;&gt;"33"))),"x","")</f>
        <v/>
      </c>
      <c r="V1959" s="525" t="str">
        <f>IF(AND(OR(LEFT(TH!L1959,2)="15",LEFT(TH!M1959,2)="15"),'152-CT'!$J$8=TH!F1959),"x","")</f>
        <v/>
      </c>
      <c r="W1959" s="525" t="str">
        <f>IF(AND(OR(LEFT(TH!L1959,2)="15",LEFT(TH!M1959,2)="15"),TK!$E$7=TH!F1959),"x","")</f>
        <v/>
      </c>
      <c r="X1959" s="525" t="str">
        <f>IF(AND('341-CT'!$E$9=H1959,OR(LEFT(L1959,3)=$X$7,LEFT(M1959,3)=$X$7)),"x","")</f>
        <v/>
      </c>
      <c r="Y1959" s="525" t="str">
        <f>IF(OR(TH!L1959=TH!$Y$7,M1959=TH!$Y$7),"x","")</f>
        <v/>
      </c>
      <c r="Z1959" s="525" t="str">
        <f>IF(AND(B1959&lt;=NKC!$N$8,B1959&gt;=NKC!$M$8),"x","")</f>
        <v>x</v>
      </c>
      <c r="AA1959" s="687"/>
      <c r="AB1959" s="688"/>
      <c r="AC1959" s="503"/>
      <c r="AE1959" s="688"/>
    </row>
    <row r="1960" spans="1:31" s="689" customFormat="1" ht="15.75" customHeight="1">
      <c r="A1960" s="517" t="str">
        <f>IF(B1960&lt;&gt;"",IF(AND(B1960&gt;=_TM1,B1960&lt;=_TM2,OR(TH!L1960="1111",TH!M1960="1111")),TH!D1960,""),"")</f>
        <v/>
      </c>
      <c r="B1960" s="685">
        <f t="shared" si="186"/>
        <v>3</v>
      </c>
      <c r="C1960" s="671">
        <f t="shared" si="181"/>
        <v>42811</v>
      </c>
      <c r="D1960" s="671" t="s">
        <v>376</v>
      </c>
      <c r="E1960" s="672">
        <v>42811</v>
      </c>
      <c r="F1960" s="673" t="s">
        <v>764</v>
      </c>
      <c r="G1960" s="686" t="s">
        <v>550</v>
      </c>
      <c r="H1960" s="675" t="s">
        <v>893</v>
      </c>
      <c r="I1960" s="676">
        <v>500</v>
      </c>
      <c r="J1960" s="676">
        <v>3369.2759999999998</v>
      </c>
      <c r="K1960" s="677">
        <f t="shared" si="182"/>
        <v>1684638</v>
      </c>
      <c r="L1960" s="678" t="s">
        <v>292</v>
      </c>
      <c r="M1960" s="678" t="s">
        <v>158</v>
      </c>
      <c r="N1960" s="525" t="str">
        <f>IF(AND('331-CT'!$E$7=TH!H1960,OR(L1960="331",M1960="331")),"331",IF(AND(OR(L1960="131",M1960="131"),H1960='131-CT'!$E$7),"131",""))</f>
        <v/>
      </c>
      <c r="O1960" s="525" t="str">
        <f>IF(AND($B1960&gt;='111'!$N$11,$B1960&lt;='111'!$O$11,OR($L1960=$O$7,$M1960=$O$7)),"x","")</f>
        <v/>
      </c>
      <c r="P1960" s="525" t="str">
        <f>IF(AND($L1960=$O$7,$B1960&lt;'111'!$N$11),"x","")</f>
        <v/>
      </c>
      <c r="Q1960" s="525" t="str">
        <f>IF(AND($M1960=$O$7,$B1960&lt;'111'!$N$11),"x","")</f>
        <v/>
      </c>
      <c r="R1960" s="525" t="str">
        <f>IF(ISERROR(FIND('112'!$M$9,G1960,1)),"",IF((AND(FIND('112'!$M$9,G1960,1)&gt;=1,$B1960&gt;='112'!$N$8,$B1960&lt;='112'!$O$8,OR($L1960='112'!$I$6,$M1960='112'!$I$6))),"x",""))</f>
        <v/>
      </c>
      <c r="S1960" s="525" t="str">
        <f>IF(ISERROR(FIND('112'!$M$9,G1960,1)),"",IF((AND(LEFT(G1960,2)=LEFT('112'!$M$9,2),B1960&lt;'112'!$N$8,$L1960='112'!$I$6)),"x",""))</f>
        <v/>
      </c>
      <c r="T1960" s="525" t="str">
        <f>IF(ISERROR(FIND('112'!$M$9,G1960,1)),"",IF((AND(RIGHT(G1960,2)=RIGHT('112'!$M$9,2),B1960&lt;'112'!$N$8,$M1960='112'!$I$6)),"x",""))</f>
        <v/>
      </c>
      <c r="U1960" s="525" t="str">
        <f>IF(AND(B1960&gt;='IN-NX'!$P$3,B1960&lt;='IN-NX'!$Q$3,'IN-NX'!$D$7=D1960,OR(LEFT(L1960,2)="15",AND(LEFT(M1960,2)&lt;&gt;"15",LEFT(M1960,2)&lt;&gt;"33"))),"x","")</f>
        <v/>
      </c>
      <c r="V1960" s="525" t="str">
        <f>IF(AND(OR(LEFT(TH!L1960,2)="15",LEFT(TH!M1960,2)="15"),'152-CT'!$J$8=TH!F1960),"x","")</f>
        <v/>
      </c>
      <c r="W1960" s="525" t="str">
        <f>IF(AND(OR(LEFT(TH!L1960,2)="15",LEFT(TH!M1960,2)="15"),TK!$E$7=TH!F1960),"x","")</f>
        <v/>
      </c>
      <c r="X1960" s="525" t="str">
        <f>IF(AND('341-CT'!$E$9=H1960,OR(LEFT(L1960,3)=$X$7,LEFT(M1960,3)=$X$7)),"x","")</f>
        <v/>
      </c>
      <c r="Y1960" s="525" t="str">
        <f>IF(OR(TH!L1960=TH!$Y$7,M1960=TH!$Y$7),"x","")</f>
        <v/>
      </c>
      <c r="Z1960" s="525" t="str">
        <f>IF(AND(B1960&lt;=NKC!$N$8,B1960&gt;=NKC!$M$8),"x","")</f>
        <v>x</v>
      </c>
      <c r="AA1960" s="687"/>
      <c r="AB1960" s="688"/>
      <c r="AC1960" s="503"/>
      <c r="AE1960" s="688"/>
    </row>
    <row r="1961" spans="1:31" s="689" customFormat="1" ht="15.75" customHeight="1">
      <c r="A1961" s="517" t="str">
        <f>IF(B1961&lt;&gt;"",IF(AND(B1961&gt;=_TM1,B1961&lt;=_TM2,OR(TH!L1961="1111",TH!M1961="1111")),TH!D1961,""),"")</f>
        <v/>
      </c>
      <c r="B1961" s="685">
        <f t="shared" si="186"/>
        <v>3</v>
      </c>
      <c r="C1961" s="671">
        <f t="shared" si="181"/>
        <v>42811</v>
      </c>
      <c r="D1961" s="671" t="s">
        <v>376</v>
      </c>
      <c r="E1961" s="672">
        <v>42811</v>
      </c>
      <c r="F1961" s="673" t="s">
        <v>766</v>
      </c>
      <c r="G1961" s="686" t="s">
        <v>550</v>
      </c>
      <c r="H1961" s="675" t="s">
        <v>893</v>
      </c>
      <c r="I1961" s="676">
        <v>605</v>
      </c>
      <c r="J1961" s="676">
        <v>15178.500826446281</v>
      </c>
      <c r="K1961" s="677">
        <f t="shared" si="182"/>
        <v>9182993</v>
      </c>
      <c r="L1961" s="678" t="s">
        <v>292</v>
      </c>
      <c r="M1961" s="678" t="s">
        <v>158</v>
      </c>
      <c r="N1961" s="525" t="str">
        <f>IF(AND('331-CT'!$E$7=TH!H1961,OR(L1961="331",M1961="331")),"331",IF(AND(OR(L1961="131",M1961="131"),H1961='131-CT'!$E$7),"131",""))</f>
        <v/>
      </c>
      <c r="O1961" s="525" t="str">
        <f>IF(AND($B1961&gt;='111'!$N$11,$B1961&lt;='111'!$O$11,OR($L1961=$O$7,$M1961=$O$7)),"x","")</f>
        <v/>
      </c>
      <c r="P1961" s="525" t="str">
        <f>IF(AND($L1961=$O$7,$B1961&lt;'111'!$N$11),"x","")</f>
        <v/>
      </c>
      <c r="Q1961" s="525" t="str">
        <f>IF(AND($M1961=$O$7,$B1961&lt;'111'!$N$11),"x","")</f>
        <v/>
      </c>
      <c r="R1961" s="525" t="str">
        <f>IF(ISERROR(FIND('112'!$M$9,G1961,1)),"",IF((AND(FIND('112'!$M$9,G1961,1)&gt;=1,$B1961&gt;='112'!$N$8,$B1961&lt;='112'!$O$8,OR($L1961='112'!$I$6,$M1961='112'!$I$6))),"x",""))</f>
        <v/>
      </c>
      <c r="S1961" s="525" t="str">
        <f>IF(ISERROR(FIND('112'!$M$9,G1961,1)),"",IF((AND(LEFT(G1961,2)=LEFT('112'!$M$9,2),B1961&lt;'112'!$N$8,$L1961='112'!$I$6)),"x",""))</f>
        <v/>
      </c>
      <c r="T1961" s="525" t="str">
        <f>IF(ISERROR(FIND('112'!$M$9,G1961,1)),"",IF((AND(RIGHT(G1961,2)=RIGHT('112'!$M$9,2),B1961&lt;'112'!$N$8,$M1961='112'!$I$6)),"x",""))</f>
        <v/>
      </c>
      <c r="U1961" s="525" t="str">
        <f>IF(AND(B1961&gt;='IN-NX'!$P$3,B1961&lt;='IN-NX'!$Q$3,'IN-NX'!$D$7=D1961,OR(LEFT(L1961,2)="15",AND(LEFT(M1961,2)&lt;&gt;"15",LEFT(M1961,2)&lt;&gt;"33"))),"x","")</f>
        <v/>
      </c>
      <c r="V1961" s="525" t="str">
        <f>IF(AND(OR(LEFT(TH!L1961,2)="15",LEFT(TH!M1961,2)="15"),'152-CT'!$J$8=TH!F1961),"x","")</f>
        <v/>
      </c>
      <c r="W1961" s="525" t="str">
        <f>IF(AND(OR(LEFT(TH!L1961,2)="15",LEFT(TH!M1961,2)="15"),TK!$E$7=TH!F1961),"x","")</f>
        <v/>
      </c>
      <c r="X1961" s="525" t="str">
        <f>IF(AND('341-CT'!$E$9=H1961,OR(LEFT(L1961,3)=$X$7,LEFT(M1961,3)=$X$7)),"x","")</f>
        <v/>
      </c>
      <c r="Y1961" s="525" t="str">
        <f>IF(OR(TH!L1961=TH!$Y$7,M1961=TH!$Y$7),"x","")</f>
        <v/>
      </c>
      <c r="Z1961" s="525" t="str">
        <f>IF(AND(B1961&lt;=NKC!$N$8,B1961&gt;=NKC!$M$8),"x","")</f>
        <v>x</v>
      </c>
      <c r="AA1961" s="687"/>
      <c r="AB1961" s="688"/>
      <c r="AC1961" s="503"/>
      <c r="AE1961" s="688"/>
    </row>
    <row r="1962" spans="1:31" s="689" customFormat="1" ht="15.75" customHeight="1">
      <c r="A1962" s="517" t="str">
        <f>IF(B1962&lt;&gt;"",IF(AND(B1962&gt;=_TM1,B1962&lt;=_TM2,OR(TH!L1962="1111",TH!M1962="1111")),TH!D1962,""),"")</f>
        <v/>
      </c>
      <c r="B1962" s="685">
        <f t="shared" si="186"/>
        <v>3</v>
      </c>
      <c r="C1962" s="671">
        <f t="shared" si="181"/>
        <v>42811</v>
      </c>
      <c r="D1962" s="671" t="s">
        <v>376</v>
      </c>
      <c r="E1962" s="672">
        <v>42811</v>
      </c>
      <c r="F1962" s="673" t="s">
        <v>767</v>
      </c>
      <c r="G1962" s="686" t="s">
        <v>550</v>
      </c>
      <c r="H1962" s="675" t="s">
        <v>893</v>
      </c>
      <c r="I1962" s="676">
        <v>25</v>
      </c>
      <c r="J1962" s="676">
        <v>12792.28</v>
      </c>
      <c r="K1962" s="677">
        <f t="shared" si="182"/>
        <v>319807</v>
      </c>
      <c r="L1962" s="678" t="s">
        <v>292</v>
      </c>
      <c r="M1962" s="678" t="s">
        <v>158</v>
      </c>
      <c r="N1962" s="525" t="str">
        <f>IF(AND('331-CT'!$E$7=TH!H1962,OR(L1962="331",M1962="331")),"331",IF(AND(OR(L1962="131",M1962="131"),H1962='131-CT'!$E$7),"131",""))</f>
        <v/>
      </c>
      <c r="O1962" s="525" t="str">
        <f>IF(AND($B1962&gt;='111'!$N$11,$B1962&lt;='111'!$O$11,OR($L1962=$O$7,$M1962=$O$7)),"x","")</f>
        <v/>
      </c>
      <c r="P1962" s="525" t="str">
        <f>IF(AND($L1962=$O$7,$B1962&lt;'111'!$N$11),"x","")</f>
        <v/>
      </c>
      <c r="Q1962" s="525" t="str">
        <f>IF(AND($M1962=$O$7,$B1962&lt;'111'!$N$11),"x","")</f>
        <v/>
      </c>
      <c r="R1962" s="525" t="str">
        <f>IF(ISERROR(FIND('112'!$M$9,G1962,1)),"",IF((AND(FIND('112'!$M$9,G1962,1)&gt;=1,$B1962&gt;='112'!$N$8,$B1962&lt;='112'!$O$8,OR($L1962='112'!$I$6,$M1962='112'!$I$6))),"x",""))</f>
        <v/>
      </c>
      <c r="S1962" s="525" t="str">
        <f>IF(ISERROR(FIND('112'!$M$9,G1962,1)),"",IF((AND(LEFT(G1962,2)=LEFT('112'!$M$9,2),B1962&lt;'112'!$N$8,$L1962='112'!$I$6)),"x",""))</f>
        <v/>
      </c>
      <c r="T1962" s="525" t="str">
        <f>IF(ISERROR(FIND('112'!$M$9,G1962,1)),"",IF((AND(RIGHT(G1962,2)=RIGHT('112'!$M$9,2),B1962&lt;'112'!$N$8,$M1962='112'!$I$6)),"x",""))</f>
        <v/>
      </c>
      <c r="U1962" s="525" t="str">
        <f>IF(AND(B1962&gt;='IN-NX'!$P$3,B1962&lt;='IN-NX'!$Q$3,'IN-NX'!$D$7=D1962,OR(LEFT(L1962,2)="15",AND(LEFT(M1962,2)&lt;&gt;"15",LEFT(M1962,2)&lt;&gt;"33"))),"x","")</f>
        <v/>
      </c>
      <c r="V1962" s="525" t="str">
        <f>IF(AND(OR(LEFT(TH!L1962,2)="15",LEFT(TH!M1962,2)="15"),'152-CT'!$J$8=TH!F1962),"x","")</f>
        <v/>
      </c>
      <c r="W1962" s="525" t="str">
        <f>IF(AND(OR(LEFT(TH!L1962,2)="15",LEFT(TH!M1962,2)="15"),TK!$E$7=TH!F1962),"x","")</f>
        <v/>
      </c>
      <c r="X1962" s="525" t="str">
        <f>IF(AND('341-CT'!$E$9=H1962,OR(LEFT(L1962,3)=$X$7,LEFT(M1962,3)=$X$7)),"x","")</f>
        <v/>
      </c>
      <c r="Y1962" s="525" t="str">
        <f>IF(OR(TH!L1962=TH!$Y$7,M1962=TH!$Y$7),"x","")</f>
        <v/>
      </c>
      <c r="Z1962" s="525" t="str">
        <f>IF(AND(B1962&lt;=NKC!$N$8,B1962&gt;=NKC!$M$8),"x","")</f>
        <v>x</v>
      </c>
      <c r="AA1962" s="687"/>
      <c r="AB1962" s="688"/>
      <c r="AC1962" s="503"/>
      <c r="AE1962" s="688"/>
    </row>
    <row r="1963" spans="1:31" s="689" customFormat="1" ht="15.75" customHeight="1">
      <c r="A1963" s="517" t="str">
        <f>IF(B1963&lt;&gt;"",IF(AND(B1963&gt;=_TM1,B1963&lt;=_TM2,OR(TH!L1963="1111",TH!M1963="1111")),TH!D1963,""),"")</f>
        <v/>
      </c>
      <c r="B1963" s="685">
        <f t="shared" si="186"/>
        <v>3</v>
      </c>
      <c r="C1963" s="671">
        <f t="shared" si="181"/>
        <v>42814</v>
      </c>
      <c r="D1963" s="671" t="s">
        <v>376</v>
      </c>
      <c r="E1963" s="672">
        <v>42814</v>
      </c>
      <c r="F1963" s="673" t="s">
        <v>504</v>
      </c>
      <c r="G1963" s="686" t="s">
        <v>552</v>
      </c>
      <c r="H1963" s="675" t="s">
        <v>893</v>
      </c>
      <c r="I1963" s="676">
        <v>1700</v>
      </c>
      <c r="J1963" s="676">
        <v>35135.37470588235</v>
      </c>
      <c r="K1963" s="677">
        <f t="shared" si="182"/>
        <v>59730137</v>
      </c>
      <c r="L1963" s="678" t="s">
        <v>292</v>
      </c>
      <c r="M1963" s="678" t="s">
        <v>158</v>
      </c>
      <c r="N1963" s="525" t="str">
        <f>IF(AND('331-CT'!$E$7=TH!H1963,OR(L1963="331",M1963="331")),"331",IF(AND(OR(L1963="131",M1963="131"),H1963='131-CT'!$E$7),"131",""))</f>
        <v/>
      </c>
      <c r="O1963" s="525" t="str">
        <f>IF(AND($B1963&gt;='111'!$N$11,$B1963&lt;='111'!$O$11,OR($L1963=$O$7,$M1963=$O$7)),"x","")</f>
        <v/>
      </c>
      <c r="P1963" s="525" t="str">
        <f>IF(AND($L1963=$O$7,$B1963&lt;'111'!$N$11),"x","")</f>
        <v/>
      </c>
      <c r="Q1963" s="525" t="str">
        <f>IF(AND($M1963=$O$7,$B1963&lt;'111'!$N$11),"x","")</f>
        <v/>
      </c>
      <c r="R1963" s="525" t="str">
        <f>IF(ISERROR(FIND('112'!$M$9,G1963,1)),"",IF((AND(FIND('112'!$M$9,G1963,1)&gt;=1,$B1963&gt;='112'!$N$8,$B1963&lt;='112'!$O$8,OR($L1963='112'!$I$6,$M1963='112'!$I$6))),"x",""))</f>
        <v/>
      </c>
      <c r="S1963" s="525" t="str">
        <f>IF(ISERROR(FIND('112'!$M$9,G1963,1)),"",IF((AND(LEFT(G1963,2)=LEFT('112'!$M$9,2),B1963&lt;'112'!$N$8,$L1963='112'!$I$6)),"x",""))</f>
        <v/>
      </c>
      <c r="T1963" s="525" t="str">
        <f>IF(ISERROR(FIND('112'!$M$9,G1963,1)),"",IF((AND(RIGHT(G1963,2)=RIGHT('112'!$M$9,2),B1963&lt;'112'!$N$8,$M1963='112'!$I$6)),"x",""))</f>
        <v/>
      </c>
      <c r="U1963" s="525" t="str">
        <f>IF(AND(B1963&gt;='IN-NX'!$P$3,B1963&lt;='IN-NX'!$Q$3,'IN-NX'!$D$7=D1963,OR(LEFT(L1963,2)="15",AND(LEFT(M1963,2)&lt;&gt;"15",LEFT(M1963,2)&lt;&gt;"33"))),"x","")</f>
        <v/>
      </c>
      <c r="V1963" s="525" t="str">
        <f>IF(AND(OR(LEFT(TH!L1963,2)="15",LEFT(TH!M1963,2)="15"),'152-CT'!$J$8=TH!F1963),"x","")</f>
        <v/>
      </c>
      <c r="W1963" s="525" t="str">
        <f>IF(AND(OR(LEFT(TH!L1963,2)="15",LEFT(TH!M1963,2)="15"),TK!$E$7=TH!F1963),"x","")</f>
        <v/>
      </c>
      <c r="X1963" s="525" t="str">
        <f>IF(AND('341-CT'!$E$9=H1963,OR(LEFT(L1963,3)=$X$7,LEFT(M1963,3)=$X$7)),"x","")</f>
        <v/>
      </c>
      <c r="Y1963" s="525" t="str">
        <f>IF(OR(TH!L1963=TH!$Y$7,M1963=TH!$Y$7),"x","")</f>
        <v/>
      </c>
      <c r="Z1963" s="525" t="str">
        <f>IF(AND(B1963&lt;=NKC!$N$8,B1963&gt;=NKC!$M$8),"x","")</f>
        <v>x</v>
      </c>
      <c r="AA1963" s="687"/>
      <c r="AB1963" s="688"/>
      <c r="AC1963" s="503"/>
      <c r="AE1963" s="688"/>
    </row>
    <row r="1964" spans="1:31" s="689" customFormat="1" ht="15.75" customHeight="1">
      <c r="A1964" s="517" t="str">
        <f>IF(B1964&lt;&gt;"",IF(AND(B1964&gt;=_TM1,B1964&lt;=_TM2,OR(TH!L1964="1111",TH!M1964="1111")),TH!D1964,""),"")</f>
        <v/>
      </c>
      <c r="B1964" s="685">
        <f t="shared" si="186"/>
        <v>3</v>
      </c>
      <c r="C1964" s="671">
        <f t="shared" si="181"/>
        <v>42814</v>
      </c>
      <c r="D1964" s="671" t="s">
        <v>376</v>
      </c>
      <c r="E1964" s="672">
        <v>42814</v>
      </c>
      <c r="F1964" s="673" t="s">
        <v>505</v>
      </c>
      <c r="G1964" s="686" t="s">
        <v>552</v>
      </c>
      <c r="H1964" s="675" t="s">
        <v>893</v>
      </c>
      <c r="I1964" s="676">
        <v>1500</v>
      </c>
      <c r="J1964" s="676">
        <v>32733.685333333335</v>
      </c>
      <c r="K1964" s="677">
        <f t="shared" si="182"/>
        <v>49100528</v>
      </c>
      <c r="L1964" s="678" t="s">
        <v>292</v>
      </c>
      <c r="M1964" s="678" t="s">
        <v>158</v>
      </c>
      <c r="N1964" s="525" t="str">
        <f>IF(AND('331-CT'!$E$7=TH!H1964,OR(L1964="331",M1964="331")),"331",IF(AND(OR(L1964="131",M1964="131"),H1964='131-CT'!$E$7),"131",""))</f>
        <v/>
      </c>
      <c r="O1964" s="525" t="str">
        <f>IF(AND($B1964&gt;='111'!$N$11,$B1964&lt;='111'!$O$11,OR($L1964=$O$7,$M1964=$O$7)),"x","")</f>
        <v/>
      </c>
      <c r="P1964" s="525" t="str">
        <f>IF(AND($L1964=$O$7,$B1964&lt;'111'!$N$11),"x","")</f>
        <v/>
      </c>
      <c r="Q1964" s="525" t="str">
        <f>IF(AND($M1964=$O$7,$B1964&lt;'111'!$N$11),"x","")</f>
        <v/>
      </c>
      <c r="R1964" s="525" t="str">
        <f>IF(ISERROR(FIND('112'!$M$9,G1964,1)),"",IF((AND(FIND('112'!$M$9,G1964,1)&gt;=1,$B1964&gt;='112'!$N$8,$B1964&lt;='112'!$O$8,OR($L1964='112'!$I$6,$M1964='112'!$I$6))),"x",""))</f>
        <v/>
      </c>
      <c r="S1964" s="525" t="str">
        <f>IF(ISERROR(FIND('112'!$M$9,G1964,1)),"",IF((AND(LEFT(G1964,2)=LEFT('112'!$M$9,2),B1964&lt;'112'!$N$8,$L1964='112'!$I$6)),"x",""))</f>
        <v/>
      </c>
      <c r="T1964" s="525" t="str">
        <f>IF(ISERROR(FIND('112'!$M$9,G1964,1)),"",IF((AND(RIGHT(G1964,2)=RIGHT('112'!$M$9,2),B1964&lt;'112'!$N$8,$M1964='112'!$I$6)),"x",""))</f>
        <v/>
      </c>
      <c r="U1964" s="525" t="str">
        <f>IF(AND(B1964&gt;='IN-NX'!$P$3,B1964&lt;='IN-NX'!$Q$3,'IN-NX'!$D$7=D1964,OR(LEFT(L1964,2)="15",AND(LEFT(M1964,2)&lt;&gt;"15",LEFT(M1964,2)&lt;&gt;"33"))),"x","")</f>
        <v/>
      </c>
      <c r="V1964" s="525" t="str">
        <f>IF(AND(OR(LEFT(TH!L1964,2)="15",LEFT(TH!M1964,2)="15"),'152-CT'!$J$8=TH!F1964),"x","")</f>
        <v/>
      </c>
      <c r="W1964" s="525" t="str">
        <f>IF(AND(OR(LEFT(TH!L1964,2)="15",LEFT(TH!M1964,2)="15"),TK!$E$7=TH!F1964),"x","")</f>
        <v/>
      </c>
      <c r="X1964" s="525" t="str">
        <f>IF(AND('341-CT'!$E$9=H1964,OR(LEFT(L1964,3)=$X$7,LEFT(M1964,3)=$X$7)),"x","")</f>
        <v/>
      </c>
      <c r="Y1964" s="525" t="str">
        <f>IF(OR(TH!L1964=TH!$Y$7,M1964=TH!$Y$7),"x","")</f>
        <v/>
      </c>
      <c r="Z1964" s="525" t="str">
        <f>IF(AND(B1964&lt;=NKC!$N$8,B1964&gt;=NKC!$M$8),"x","")</f>
        <v>x</v>
      </c>
      <c r="AA1964" s="687"/>
      <c r="AB1964" s="688"/>
      <c r="AC1964" s="503"/>
      <c r="AE1964" s="688"/>
    </row>
    <row r="1965" spans="1:31" s="689" customFormat="1" ht="15.75" customHeight="1">
      <c r="A1965" s="517" t="str">
        <f>IF(B1965&lt;&gt;"",IF(AND(B1965&gt;=_TM1,B1965&lt;=_TM2,OR(TH!L1965="1111",TH!M1965="1111")),TH!D1965,""),"")</f>
        <v/>
      </c>
      <c r="B1965" s="685">
        <f t="shared" si="186"/>
        <v>3</v>
      </c>
      <c r="C1965" s="671">
        <f t="shared" si="181"/>
        <v>42814</v>
      </c>
      <c r="D1965" s="671" t="s">
        <v>376</v>
      </c>
      <c r="E1965" s="672">
        <v>42814</v>
      </c>
      <c r="F1965" s="673" t="s">
        <v>596</v>
      </c>
      <c r="G1965" s="686" t="s">
        <v>553</v>
      </c>
      <c r="H1965" s="675" t="s">
        <v>893</v>
      </c>
      <c r="I1965" s="676">
        <v>250</v>
      </c>
      <c r="J1965" s="676">
        <v>7864.5648770559073</v>
      </c>
      <c r="K1965" s="677">
        <f t="shared" si="182"/>
        <v>1966141</v>
      </c>
      <c r="L1965" s="678" t="s">
        <v>292</v>
      </c>
      <c r="M1965" s="678" t="s">
        <v>158</v>
      </c>
      <c r="N1965" s="525" t="str">
        <f>IF(AND('331-CT'!$E$7=TH!H1965,OR(L1965="331",M1965="331")),"331",IF(AND(OR(L1965="131",M1965="131"),H1965='131-CT'!$E$7),"131",""))</f>
        <v/>
      </c>
      <c r="O1965" s="525" t="str">
        <f>IF(AND($B1965&gt;='111'!$N$11,$B1965&lt;='111'!$O$11,OR($L1965=$O$7,$M1965=$O$7)),"x","")</f>
        <v/>
      </c>
      <c r="P1965" s="525" t="str">
        <f>IF(AND($L1965=$O$7,$B1965&lt;'111'!$N$11),"x","")</f>
        <v/>
      </c>
      <c r="Q1965" s="525" t="str">
        <f>IF(AND($M1965=$O$7,$B1965&lt;'111'!$N$11),"x","")</f>
        <v/>
      </c>
      <c r="R1965" s="525" t="str">
        <f>IF(ISERROR(FIND('112'!$M$9,G1965,1)),"",IF((AND(FIND('112'!$M$9,G1965,1)&gt;=1,$B1965&gt;='112'!$N$8,$B1965&lt;='112'!$O$8,OR($L1965='112'!$I$6,$M1965='112'!$I$6))),"x",""))</f>
        <v/>
      </c>
      <c r="S1965" s="525" t="str">
        <f>IF(ISERROR(FIND('112'!$M$9,G1965,1)),"",IF((AND(LEFT(G1965,2)=LEFT('112'!$M$9,2),B1965&lt;'112'!$N$8,$L1965='112'!$I$6)),"x",""))</f>
        <v/>
      </c>
      <c r="T1965" s="525" t="str">
        <f>IF(ISERROR(FIND('112'!$M$9,G1965,1)),"",IF((AND(RIGHT(G1965,2)=RIGHT('112'!$M$9,2),B1965&lt;'112'!$N$8,$M1965='112'!$I$6)),"x",""))</f>
        <v/>
      </c>
      <c r="U1965" s="525" t="str">
        <f>IF(AND(B1965&gt;='IN-NX'!$P$3,B1965&lt;='IN-NX'!$Q$3,'IN-NX'!$D$7=D1965,OR(LEFT(L1965,2)="15",AND(LEFT(M1965,2)&lt;&gt;"15",LEFT(M1965,2)&lt;&gt;"33"))),"x","")</f>
        <v/>
      </c>
      <c r="V1965" s="525" t="str">
        <f>IF(AND(OR(LEFT(TH!L1965,2)="15",LEFT(TH!M1965,2)="15"),'152-CT'!$J$8=TH!F1965),"x","")</f>
        <v/>
      </c>
      <c r="W1965" s="525" t="str">
        <f>IF(AND(OR(LEFT(TH!L1965,2)="15",LEFT(TH!M1965,2)="15"),TK!$E$7=TH!F1965),"x","")</f>
        <v/>
      </c>
      <c r="X1965" s="525" t="str">
        <f>IF(AND('341-CT'!$E$9=H1965,OR(LEFT(L1965,3)=$X$7,LEFT(M1965,3)=$X$7)),"x","")</f>
        <v/>
      </c>
      <c r="Y1965" s="525" t="str">
        <f>IF(OR(TH!L1965=TH!$Y$7,M1965=TH!$Y$7),"x","")</f>
        <v/>
      </c>
      <c r="Z1965" s="525" t="str">
        <f>IF(AND(B1965&lt;=NKC!$N$8,B1965&gt;=NKC!$M$8),"x","")</f>
        <v>x</v>
      </c>
      <c r="AA1965" s="687"/>
      <c r="AB1965" s="688"/>
      <c r="AC1965" s="503"/>
      <c r="AE1965" s="688"/>
    </row>
    <row r="1966" spans="1:31" s="689" customFormat="1" ht="15.75" customHeight="1">
      <c r="A1966" s="517" t="str">
        <f>IF(B1966&lt;&gt;"",IF(AND(B1966&gt;=_TM1,B1966&lt;=_TM2,OR(TH!L1966="1111",TH!M1966="1111")),TH!D1966,""),"")</f>
        <v/>
      </c>
      <c r="B1966" s="685">
        <f t="shared" si="186"/>
        <v>3</v>
      </c>
      <c r="C1966" s="671">
        <f t="shared" si="181"/>
        <v>42814</v>
      </c>
      <c r="D1966" s="671" t="s">
        <v>376</v>
      </c>
      <c r="E1966" s="672">
        <v>42814</v>
      </c>
      <c r="F1966" s="673" t="s">
        <v>597</v>
      </c>
      <c r="G1966" s="686" t="s">
        <v>553</v>
      </c>
      <c r="H1966" s="675" t="s">
        <v>893</v>
      </c>
      <c r="I1966" s="676">
        <v>50</v>
      </c>
      <c r="J1966" s="676">
        <v>12792.244877055906</v>
      </c>
      <c r="K1966" s="677">
        <f t="shared" si="182"/>
        <v>639612</v>
      </c>
      <c r="L1966" s="678" t="s">
        <v>292</v>
      </c>
      <c r="M1966" s="678" t="s">
        <v>158</v>
      </c>
      <c r="N1966" s="525" t="str">
        <f>IF(AND('331-CT'!$E$7=TH!H1966,OR(L1966="331",M1966="331")),"331",IF(AND(OR(L1966="131",M1966="131"),H1966='131-CT'!$E$7),"131",""))</f>
        <v/>
      </c>
      <c r="O1966" s="525" t="str">
        <f>IF(AND($B1966&gt;='111'!$N$11,$B1966&lt;='111'!$O$11,OR($L1966=$O$7,$M1966=$O$7)),"x","")</f>
        <v/>
      </c>
      <c r="P1966" s="525" t="str">
        <f>IF(AND($L1966=$O$7,$B1966&lt;'111'!$N$11),"x","")</f>
        <v/>
      </c>
      <c r="Q1966" s="525" t="str">
        <f>IF(AND($M1966=$O$7,$B1966&lt;'111'!$N$11),"x","")</f>
        <v/>
      </c>
      <c r="R1966" s="525" t="str">
        <f>IF(ISERROR(FIND('112'!$M$9,G1966,1)),"",IF((AND(FIND('112'!$M$9,G1966,1)&gt;=1,$B1966&gt;='112'!$N$8,$B1966&lt;='112'!$O$8,OR($L1966='112'!$I$6,$M1966='112'!$I$6))),"x",""))</f>
        <v/>
      </c>
      <c r="S1966" s="525" t="str">
        <f>IF(ISERROR(FIND('112'!$M$9,G1966,1)),"",IF((AND(LEFT(G1966,2)=LEFT('112'!$M$9,2),B1966&lt;'112'!$N$8,$L1966='112'!$I$6)),"x",""))</f>
        <v/>
      </c>
      <c r="T1966" s="525" t="str">
        <f>IF(ISERROR(FIND('112'!$M$9,G1966,1)),"",IF((AND(RIGHT(G1966,2)=RIGHT('112'!$M$9,2),B1966&lt;'112'!$N$8,$M1966='112'!$I$6)),"x",""))</f>
        <v/>
      </c>
      <c r="U1966" s="525" t="str">
        <f>IF(AND(B1966&gt;='IN-NX'!$P$3,B1966&lt;='IN-NX'!$Q$3,'IN-NX'!$D$7=D1966,OR(LEFT(L1966,2)="15",AND(LEFT(M1966,2)&lt;&gt;"15",LEFT(M1966,2)&lt;&gt;"33"))),"x","")</f>
        <v/>
      </c>
      <c r="V1966" s="525" t="str">
        <f>IF(AND(OR(LEFT(TH!L1966,2)="15",LEFT(TH!M1966,2)="15"),'152-CT'!$J$8=TH!F1966),"x","")</f>
        <v/>
      </c>
      <c r="W1966" s="525" t="str">
        <f>IF(AND(OR(LEFT(TH!L1966,2)="15",LEFT(TH!M1966,2)="15"),TK!$E$7=TH!F1966),"x","")</f>
        <v/>
      </c>
      <c r="X1966" s="525" t="str">
        <f>IF(AND('341-CT'!$E$9=H1966,OR(LEFT(L1966,3)=$X$7,LEFT(M1966,3)=$X$7)),"x","")</f>
        <v/>
      </c>
      <c r="Y1966" s="525" t="str">
        <f>IF(OR(TH!L1966=TH!$Y$7,M1966=TH!$Y$7),"x","")</f>
        <v/>
      </c>
      <c r="Z1966" s="525" t="str">
        <f>IF(AND(B1966&lt;=NKC!$N$8,B1966&gt;=NKC!$M$8),"x","")</f>
        <v>x</v>
      </c>
      <c r="AA1966" s="687"/>
      <c r="AB1966" s="688"/>
      <c r="AC1966" s="503"/>
      <c r="AE1966" s="688"/>
    </row>
    <row r="1967" spans="1:31" s="689" customFormat="1" ht="15.75" customHeight="1">
      <c r="A1967" s="517" t="str">
        <f>IF(B1967&lt;&gt;"",IF(AND(B1967&gt;=_TM1,B1967&lt;=_TM2,OR(TH!L1967="1111",TH!M1967="1111")),TH!D1967,""),"")</f>
        <v/>
      </c>
      <c r="B1967" s="685">
        <f t="shared" si="186"/>
        <v>3</v>
      </c>
      <c r="C1967" s="671">
        <f t="shared" si="181"/>
        <v>42814</v>
      </c>
      <c r="D1967" s="671" t="s">
        <v>376</v>
      </c>
      <c r="E1967" s="672">
        <v>42814</v>
      </c>
      <c r="F1967" s="673" t="s">
        <v>598</v>
      </c>
      <c r="G1967" s="686" t="s">
        <v>553</v>
      </c>
      <c r="H1967" s="675" t="s">
        <v>893</v>
      </c>
      <c r="I1967" s="676">
        <v>360</v>
      </c>
      <c r="J1967" s="676">
        <v>19806.319877055907</v>
      </c>
      <c r="K1967" s="677">
        <f t="shared" si="182"/>
        <v>7130275</v>
      </c>
      <c r="L1967" s="678" t="s">
        <v>292</v>
      </c>
      <c r="M1967" s="678" t="s">
        <v>158</v>
      </c>
      <c r="N1967" s="525" t="str">
        <f>IF(AND('331-CT'!$E$7=TH!H1967,OR(L1967="331",M1967="331")),"331",IF(AND(OR(L1967="131",M1967="131"),H1967='131-CT'!$E$7),"131",""))</f>
        <v/>
      </c>
      <c r="O1967" s="525" t="str">
        <f>IF(AND($B1967&gt;='111'!$N$11,$B1967&lt;='111'!$O$11,OR($L1967=$O$7,$M1967=$O$7)),"x","")</f>
        <v/>
      </c>
      <c r="P1967" s="525" t="str">
        <f>IF(AND($L1967=$O$7,$B1967&lt;'111'!$N$11),"x","")</f>
        <v/>
      </c>
      <c r="Q1967" s="525" t="str">
        <f>IF(AND($M1967=$O$7,$B1967&lt;'111'!$N$11),"x","")</f>
        <v/>
      </c>
      <c r="R1967" s="525" t="str">
        <f>IF(ISERROR(FIND('112'!$M$9,G1967,1)),"",IF((AND(FIND('112'!$M$9,G1967,1)&gt;=1,$B1967&gt;='112'!$N$8,$B1967&lt;='112'!$O$8,OR($L1967='112'!$I$6,$M1967='112'!$I$6))),"x",""))</f>
        <v/>
      </c>
      <c r="S1967" s="525" t="str">
        <f>IF(ISERROR(FIND('112'!$M$9,G1967,1)),"",IF((AND(LEFT(G1967,2)=LEFT('112'!$M$9,2),B1967&lt;'112'!$N$8,$L1967='112'!$I$6)),"x",""))</f>
        <v/>
      </c>
      <c r="T1967" s="525" t="str">
        <f>IF(ISERROR(FIND('112'!$M$9,G1967,1)),"",IF((AND(RIGHT(G1967,2)=RIGHT('112'!$M$9,2),B1967&lt;'112'!$N$8,$M1967='112'!$I$6)),"x",""))</f>
        <v/>
      </c>
      <c r="U1967" s="525" t="str">
        <f>IF(AND(B1967&gt;='IN-NX'!$P$3,B1967&lt;='IN-NX'!$Q$3,'IN-NX'!$D$7=D1967,OR(LEFT(L1967,2)="15",AND(LEFT(M1967,2)&lt;&gt;"15",LEFT(M1967,2)&lt;&gt;"33"))),"x","")</f>
        <v/>
      </c>
      <c r="V1967" s="525" t="str">
        <f>IF(AND(OR(LEFT(TH!L1967,2)="15",LEFT(TH!M1967,2)="15"),'152-CT'!$J$8=TH!F1967),"x","")</f>
        <v/>
      </c>
      <c r="W1967" s="525" t="str">
        <f>IF(AND(OR(LEFT(TH!L1967,2)="15",LEFT(TH!M1967,2)="15"),TK!$E$7=TH!F1967),"x","")</f>
        <v/>
      </c>
      <c r="X1967" s="525" t="str">
        <f>IF(AND('341-CT'!$E$9=H1967,OR(LEFT(L1967,3)=$X$7,LEFT(M1967,3)=$X$7)),"x","")</f>
        <v/>
      </c>
      <c r="Y1967" s="525" t="str">
        <f>IF(OR(TH!L1967=TH!$Y$7,M1967=TH!$Y$7),"x","")</f>
        <v/>
      </c>
      <c r="Z1967" s="525" t="str">
        <f>IF(AND(B1967&lt;=NKC!$N$8,B1967&gt;=NKC!$M$8),"x","")</f>
        <v>x</v>
      </c>
      <c r="AA1967" s="687"/>
      <c r="AB1967" s="688"/>
      <c r="AC1967" s="503"/>
      <c r="AE1967" s="688"/>
    </row>
    <row r="1968" spans="1:31" s="689" customFormat="1" ht="15.75" customHeight="1">
      <c r="A1968" s="517" t="str">
        <f>IF(B1968&lt;&gt;"",IF(AND(B1968&gt;=_TM1,B1968&lt;=_TM2,OR(TH!L1968="1111",TH!M1968="1111")),TH!D1968,""),"")</f>
        <v/>
      </c>
      <c r="B1968" s="685">
        <f t="shared" si="186"/>
        <v>3</v>
      </c>
      <c r="C1968" s="671">
        <f t="shared" si="181"/>
        <v>42814</v>
      </c>
      <c r="D1968" s="671" t="s">
        <v>376</v>
      </c>
      <c r="E1968" s="672">
        <v>42814</v>
      </c>
      <c r="F1968" s="673" t="s">
        <v>599</v>
      </c>
      <c r="G1968" s="686" t="s">
        <v>553</v>
      </c>
      <c r="H1968" s="675" t="s">
        <v>893</v>
      </c>
      <c r="I1968" s="676">
        <v>650</v>
      </c>
      <c r="J1968" s="676">
        <v>7631.3479539789851</v>
      </c>
      <c r="K1968" s="677">
        <f t="shared" si="182"/>
        <v>4960376</v>
      </c>
      <c r="L1968" s="678" t="s">
        <v>292</v>
      </c>
      <c r="M1968" s="678" t="s">
        <v>158</v>
      </c>
      <c r="N1968" s="525" t="str">
        <f>IF(AND('331-CT'!$E$7=TH!H1968,OR(L1968="331",M1968="331")),"331",IF(AND(OR(L1968="131",M1968="131"),H1968='131-CT'!$E$7),"131",""))</f>
        <v/>
      </c>
      <c r="O1968" s="525" t="str">
        <f>IF(AND($B1968&gt;='111'!$N$11,$B1968&lt;='111'!$O$11,OR($L1968=$O$7,$M1968=$O$7)),"x","")</f>
        <v/>
      </c>
      <c r="P1968" s="525" t="str">
        <f>IF(AND($L1968=$O$7,$B1968&lt;'111'!$N$11),"x","")</f>
        <v/>
      </c>
      <c r="Q1968" s="525" t="str">
        <f>IF(AND($M1968=$O$7,$B1968&lt;'111'!$N$11),"x","")</f>
        <v/>
      </c>
      <c r="R1968" s="525" t="str">
        <f>IF(ISERROR(FIND('112'!$M$9,G1968,1)),"",IF((AND(FIND('112'!$M$9,G1968,1)&gt;=1,$B1968&gt;='112'!$N$8,$B1968&lt;='112'!$O$8,OR($L1968='112'!$I$6,$M1968='112'!$I$6))),"x",""))</f>
        <v/>
      </c>
      <c r="S1968" s="525" t="str">
        <f>IF(ISERROR(FIND('112'!$M$9,G1968,1)),"",IF((AND(LEFT(G1968,2)=LEFT('112'!$M$9,2),B1968&lt;'112'!$N$8,$L1968='112'!$I$6)),"x",""))</f>
        <v/>
      </c>
      <c r="T1968" s="525" t="str">
        <f>IF(ISERROR(FIND('112'!$M$9,G1968,1)),"",IF((AND(RIGHT(G1968,2)=RIGHT('112'!$M$9,2),B1968&lt;'112'!$N$8,$M1968='112'!$I$6)),"x",""))</f>
        <v/>
      </c>
      <c r="U1968" s="525" t="str">
        <f>IF(AND(B1968&gt;='IN-NX'!$P$3,B1968&lt;='IN-NX'!$Q$3,'IN-NX'!$D$7=D1968,OR(LEFT(L1968,2)="15",AND(LEFT(M1968,2)&lt;&gt;"15",LEFT(M1968,2)&lt;&gt;"33"))),"x","")</f>
        <v/>
      </c>
      <c r="V1968" s="525" t="str">
        <f>IF(AND(OR(LEFT(TH!L1968,2)="15",LEFT(TH!M1968,2)="15"),'152-CT'!$J$8=TH!F1968),"x","")</f>
        <v/>
      </c>
      <c r="W1968" s="525" t="str">
        <f>IF(AND(OR(LEFT(TH!L1968,2)="15",LEFT(TH!M1968,2)="15"),TK!$E$7=TH!F1968),"x","")</f>
        <v/>
      </c>
      <c r="X1968" s="525" t="str">
        <f>IF(AND('341-CT'!$E$9=H1968,OR(LEFT(L1968,3)=$X$7,LEFT(M1968,3)=$X$7)),"x","")</f>
        <v/>
      </c>
      <c r="Y1968" s="525" t="str">
        <f>IF(OR(TH!L1968=TH!$Y$7,M1968=TH!$Y$7),"x","")</f>
        <v/>
      </c>
      <c r="Z1968" s="525" t="str">
        <f>IF(AND(B1968&lt;=NKC!$N$8,B1968&gt;=NKC!$M$8),"x","")</f>
        <v>x</v>
      </c>
      <c r="AA1968" s="687"/>
      <c r="AB1968" s="688"/>
      <c r="AC1968" s="503"/>
      <c r="AE1968" s="688"/>
    </row>
    <row r="1969" spans="1:31" s="689" customFormat="1" ht="15.75" customHeight="1">
      <c r="A1969" s="517" t="str">
        <f>IF(B1969&lt;&gt;"",IF(AND(B1969&gt;=_TM1,B1969&lt;=_TM2,OR(TH!L1969="1111",TH!M1969="1111")),TH!D1969,""),"")</f>
        <v/>
      </c>
      <c r="B1969" s="685">
        <f t="shared" si="186"/>
        <v>3</v>
      </c>
      <c r="C1969" s="671">
        <f t="shared" si="181"/>
        <v>42818</v>
      </c>
      <c r="D1969" s="671" t="s">
        <v>376</v>
      </c>
      <c r="E1969" s="672">
        <v>42818</v>
      </c>
      <c r="F1969" s="673" t="s">
        <v>588</v>
      </c>
      <c r="G1969" s="686" t="s">
        <v>554</v>
      </c>
      <c r="H1969" s="675" t="s">
        <v>893</v>
      </c>
      <c r="I1969" s="676">
        <v>310</v>
      </c>
      <c r="J1969" s="676">
        <v>17291.5319738301</v>
      </c>
      <c r="K1969" s="677">
        <f t="shared" si="182"/>
        <v>5360375</v>
      </c>
      <c r="L1969" s="678" t="s">
        <v>292</v>
      </c>
      <c r="M1969" s="678" t="s">
        <v>158</v>
      </c>
      <c r="N1969" s="525" t="str">
        <f>IF(AND('331-CT'!$E$7=TH!H1969,OR(L1969="331",M1969="331")),"331",IF(AND(OR(L1969="131",M1969="131"),H1969='131-CT'!$E$7),"131",""))</f>
        <v/>
      </c>
      <c r="O1969" s="525" t="str">
        <f>IF(AND($B1969&gt;='111'!$N$11,$B1969&lt;='111'!$O$11,OR($L1969=$O$7,$M1969=$O$7)),"x","")</f>
        <v/>
      </c>
      <c r="P1969" s="525" t="str">
        <f>IF(AND($L1969=$O$7,$B1969&lt;'111'!$N$11),"x","")</f>
        <v/>
      </c>
      <c r="Q1969" s="525" t="str">
        <f>IF(AND($M1969=$O$7,$B1969&lt;'111'!$N$11),"x","")</f>
        <v/>
      </c>
      <c r="R1969" s="525" t="str">
        <f>IF(ISERROR(FIND('112'!$M$9,G1969,1)),"",IF((AND(FIND('112'!$M$9,G1969,1)&gt;=1,$B1969&gt;='112'!$N$8,$B1969&lt;='112'!$O$8,OR($L1969='112'!$I$6,$M1969='112'!$I$6))),"x",""))</f>
        <v/>
      </c>
      <c r="S1969" s="525" t="str">
        <f>IF(ISERROR(FIND('112'!$M$9,G1969,1)),"",IF((AND(LEFT(G1969,2)=LEFT('112'!$M$9,2),B1969&lt;'112'!$N$8,$L1969='112'!$I$6)),"x",""))</f>
        <v/>
      </c>
      <c r="T1969" s="525" t="str">
        <f>IF(ISERROR(FIND('112'!$M$9,G1969,1)),"",IF((AND(RIGHT(G1969,2)=RIGHT('112'!$M$9,2),B1969&lt;'112'!$N$8,$M1969='112'!$I$6)),"x",""))</f>
        <v/>
      </c>
      <c r="U1969" s="525" t="str">
        <f>IF(AND(B1969&gt;='IN-NX'!$P$3,B1969&lt;='IN-NX'!$Q$3,'IN-NX'!$D$7=D1969,OR(LEFT(L1969,2)="15",AND(LEFT(M1969,2)&lt;&gt;"15",LEFT(M1969,2)&lt;&gt;"33"))),"x","")</f>
        <v/>
      </c>
      <c r="V1969" s="525" t="str">
        <f>IF(AND(OR(LEFT(TH!L1969,2)="15",LEFT(TH!M1969,2)="15"),'152-CT'!$J$8=TH!F1969),"x","")</f>
        <v/>
      </c>
      <c r="W1969" s="525" t="str">
        <f>IF(AND(OR(LEFT(TH!L1969,2)="15",LEFT(TH!M1969,2)="15"),TK!$E$7=TH!F1969),"x","")</f>
        <v/>
      </c>
      <c r="X1969" s="525" t="str">
        <f>IF(AND('341-CT'!$E$9=H1969,OR(LEFT(L1969,3)=$X$7,LEFT(M1969,3)=$X$7)),"x","")</f>
        <v/>
      </c>
      <c r="Y1969" s="525" t="str">
        <f>IF(OR(TH!L1969=TH!$Y$7,M1969=TH!$Y$7),"x","")</f>
        <v/>
      </c>
      <c r="Z1969" s="525" t="str">
        <f>IF(AND(B1969&lt;=NKC!$N$8,B1969&gt;=NKC!$M$8),"x","")</f>
        <v>x</v>
      </c>
      <c r="AA1969" s="687"/>
      <c r="AB1969" s="688"/>
      <c r="AC1969" s="503"/>
      <c r="AE1969" s="688"/>
    </row>
    <row r="1970" spans="1:31" s="689" customFormat="1" ht="15.75" customHeight="1">
      <c r="A1970" s="517" t="str">
        <f>IF(B1970&lt;&gt;"",IF(AND(B1970&gt;=_TM1,B1970&lt;=_TM2,OR(TH!L1970="1111",TH!M1970="1111")),TH!D1970,""),"")</f>
        <v/>
      </c>
      <c r="B1970" s="685">
        <f t="shared" si="186"/>
        <v>3</v>
      </c>
      <c r="C1970" s="671">
        <f t="shared" si="181"/>
        <v>42819</v>
      </c>
      <c r="D1970" s="671" t="s">
        <v>376</v>
      </c>
      <c r="E1970" s="672">
        <v>42819</v>
      </c>
      <c r="F1970" s="673" t="s">
        <v>774</v>
      </c>
      <c r="G1970" s="686" t="s">
        <v>773</v>
      </c>
      <c r="H1970" s="675" t="s">
        <v>893</v>
      </c>
      <c r="I1970" s="676">
        <v>500</v>
      </c>
      <c r="J1970" s="676">
        <v>30459.524877055905</v>
      </c>
      <c r="K1970" s="677">
        <f t="shared" si="182"/>
        <v>15229762</v>
      </c>
      <c r="L1970" s="678" t="s">
        <v>292</v>
      </c>
      <c r="M1970" s="678" t="s">
        <v>158</v>
      </c>
      <c r="N1970" s="525" t="str">
        <f>IF(AND('331-CT'!$E$7=TH!H1970,OR(L1970="331",M1970="331")),"331",IF(AND(OR(L1970="131",M1970="131"),H1970='131-CT'!$E$7),"131",""))</f>
        <v/>
      </c>
      <c r="O1970" s="525" t="str">
        <f>IF(AND($B1970&gt;='111'!$N$11,$B1970&lt;='111'!$O$11,OR($L1970=$O$7,$M1970=$O$7)),"x","")</f>
        <v/>
      </c>
      <c r="P1970" s="525" t="str">
        <f>IF(AND($L1970=$O$7,$B1970&lt;'111'!$N$11),"x","")</f>
        <v/>
      </c>
      <c r="Q1970" s="525" t="str">
        <f>IF(AND($M1970=$O$7,$B1970&lt;'111'!$N$11),"x","")</f>
        <v/>
      </c>
      <c r="R1970" s="525" t="str">
        <f>IF(ISERROR(FIND('112'!$M$9,G1970,1)),"",IF((AND(FIND('112'!$M$9,G1970,1)&gt;=1,$B1970&gt;='112'!$N$8,$B1970&lt;='112'!$O$8,OR($L1970='112'!$I$6,$M1970='112'!$I$6))),"x",""))</f>
        <v/>
      </c>
      <c r="S1970" s="525" t="str">
        <f>IF(ISERROR(FIND('112'!$M$9,G1970,1)),"",IF((AND(LEFT(G1970,2)=LEFT('112'!$M$9,2),B1970&lt;'112'!$N$8,$L1970='112'!$I$6)),"x",""))</f>
        <v/>
      </c>
      <c r="T1970" s="525" t="str">
        <f>IF(ISERROR(FIND('112'!$M$9,G1970,1)),"",IF((AND(RIGHT(G1970,2)=RIGHT('112'!$M$9,2),B1970&lt;'112'!$N$8,$M1970='112'!$I$6)),"x",""))</f>
        <v/>
      </c>
      <c r="U1970" s="525" t="str">
        <f>IF(AND(B1970&gt;='IN-NX'!$P$3,B1970&lt;='IN-NX'!$Q$3,'IN-NX'!$D$7=D1970,OR(LEFT(L1970,2)="15",AND(LEFT(M1970,2)&lt;&gt;"15",LEFT(M1970,2)&lt;&gt;"33"))),"x","")</f>
        <v/>
      </c>
      <c r="V1970" s="525" t="str">
        <f>IF(AND(OR(LEFT(TH!L1970,2)="15",LEFT(TH!M1970,2)="15"),'152-CT'!$J$8=TH!F1970),"x","")</f>
        <v/>
      </c>
      <c r="W1970" s="525" t="str">
        <f>IF(AND(OR(LEFT(TH!L1970,2)="15",LEFT(TH!M1970,2)="15"),TK!$E$7=TH!F1970),"x","")</f>
        <v/>
      </c>
      <c r="X1970" s="525" t="str">
        <f>IF(AND('341-CT'!$E$9=H1970,OR(LEFT(L1970,3)=$X$7,LEFT(M1970,3)=$X$7)),"x","")</f>
        <v/>
      </c>
      <c r="Y1970" s="525" t="str">
        <f>IF(OR(TH!L1970=TH!$Y$7,M1970=TH!$Y$7),"x","")</f>
        <v/>
      </c>
      <c r="Z1970" s="525" t="str">
        <f>IF(AND(B1970&lt;=NKC!$N$8,B1970&gt;=NKC!$M$8),"x","")</f>
        <v>x</v>
      </c>
      <c r="AA1970" s="687"/>
      <c r="AB1970" s="688"/>
      <c r="AC1970" s="503"/>
      <c r="AE1970" s="688"/>
    </row>
    <row r="1971" spans="1:31" s="689" customFormat="1" ht="15.75" customHeight="1">
      <c r="A1971" s="517" t="str">
        <f>IF(B1971&lt;&gt;"",IF(AND(B1971&gt;=_TM1,B1971&lt;=_TM2,OR(TH!L1971="1111",TH!M1971="1111")),TH!D1971,""),"")</f>
        <v/>
      </c>
      <c r="B1971" s="685">
        <f t="shared" si="186"/>
        <v>3</v>
      </c>
      <c r="C1971" s="671">
        <f t="shared" si="181"/>
        <v>42825</v>
      </c>
      <c r="D1971" s="671" t="s">
        <v>376</v>
      </c>
      <c r="E1971" s="672">
        <v>42825</v>
      </c>
      <c r="F1971" s="673" t="s">
        <v>795</v>
      </c>
      <c r="G1971" s="686" t="s">
        <v>789</v>
      </c>
      <c r="H1971" s="675" t="s">
        <v>893</v>
      </c>
      <c r="I1971" s="676">
        <v>87</v>
      </c>
      <c r="J1971" s="676">
        <v>72833.274762113375</v>
      </c>
      <c r="K1971" s="677">
        <f t="shared" si="182"/>
        <v>6336495</v>
      </c>
      <c r="L1971" s="678" t="s">
        <v>292</v>
      </c>
      <c r="M1971" s="678" t="s">
        <v>158</v>
      </c>
      <c r="N1971" s="525" t="str">
        <f>IF(AND('331-CT'!$E$7=TH!H1971,OR(L1971="331",M1971="331")),"331",IF(AND(OR(L1971="131",M1971="131"),H1971='131-CT'!$E$7),"131",""))</f>
        <v/>
      </c>
      <c r="O1971" s="525" t="str">
        <f>IF(AND($B1971&gt;='111'!$N$11,$B1971&lt;='111'!$O$11,OR($L1971=$O$7,$M1971=$O$7)),"x","")</f>
        <v/>
      </c>
      <c r="P1971" s="525" t="str">
        <f>IF(AND($L1971=$O$7,$B1971&lt;'111'!$N$11),"x","")</f>
        <v/>
      </c>
      <c r="Q1971" s="525" t="str">
        <f>IF(AND($M1971=$O$7,$B1971&lt;'111'!$N$11),"x","")</f>
        <v/>
      </c>
      <c r="R1971" s="525" t="str">
        <f>IF(ISERROR(FIND('112'!$M$9,G1971,1)),"",IF((AND(FIND('112'!$M$9,G1971,1)&gt;=1,$B1971&gt;='112'!$N$8,$B1971&lt;='112'!$O$8,OR($L1971='112'!$I$6,$M1971='112'!$I$6))),"x",""))</f>
        <v/>
      </c>
      <c r="S1971" s="525" t="str">
        <f>IF(ISERROR(FIND('112'!$M$9,G1971,1)),"",IF((AND(LEFT(G1971,2)=LEFT('112'!$M$9,2),B1971&lt;'112'!$N$8,$L1971='112'!$I$6)),"x",""))</f>
        <v/>
      </c>
      <c r="T1971" s="525" t="str">
        <f>IF(ISERROR(FIND('112'!$M$9,G1971,1)),"",IF((AND(RIGHT(G1971,2)=RIGHT('112'!$M$9,2),B1971&lt;'112'!$N$8,$M1971='112'!$I$6)),"x",""))</f>
        <v/>
      </c>
      <c r="U1971" s="525" t="str">
        <f>IF(AND(B1971&gt;='IN-NX'!$P$3,B1971&lt;='IN-NX'!$Q$3,'IN-NX'!$D$7=D1971,OR(LEFT(L1971,2)="15",AND(LEFT(M1971,2)&lt;&gt;"15",LEFT(M1971,2)&lt;&gt;"33"))),"x","")</f>
        <v/>
      </c>
      <c r="V1971" s="525" t="str">
        <f>IF(AND(OR(LEFT(TH!L1971,2)="15",LEFT(TH!M1971,2)="15"),'152-CT'!$J$8=TH!F1971),"x","")</f>
        <v/>
      </c>
      <c r="W1971" s="525" t="str">
        <f>IF(AND(OR(LEFT(TH!L1971,2)="15",LEFT(TH!M1971,2)="15"),TK!$E$7=TH!F1971),"x","")</f>
        <v/>
      </c>
      <c r="X1971" s="525" t="str">
        <f>IF(AND('341-CT'!$E$9=H1971,OR(LEFT(L1971,3)=$X$7,LEFT(M1971,3)=$X$7)),"x","")</f>
        <v/>
      </c>
      <c r="Y1971" s="525" t="str">
        <f>IF(OR(TH!L1971=TH!$Y$7,M1971=TH!$Y$7),"x","")</f>
        <v/>
      </c>
      <c r="Z1971" s="525" t="str">
        <f>IF(AND(B1971&lt;=NKC!$N$8,B1971&gt;=NKC!$M$8),"x","")</f>
        <v>x</v>
      </c>
      <c r="AA1971" s="687"/>
      <c r="AB1971" s="688"/>
      <c r="AC1971" s="503"/>
      <c r="AE1971" s="688"/>
    </row>
    <row r="1972" spans="1:31" s="689" customFormat="1" ht="15.75" customHeight="1">
      <c r="A1972" s="517" t="str">
        <f>IF(B1972&lt;&gt;"",IF(AND(B1972&gt;=_TM1,B1972&lt;=_TM2,OR(TH!L1972="1111",TH!M1972="1111")),TH!D1972,""),"")</f>
        <v/>
      </c>
      <c r="B1972" s="685">
        <f t="shared" si="186"/>
        <v>3</v>
      </c>
      <c r="C1972" s="671">
        <f t="shared" si="181"/>
        <v>42825</v>
      </c>
      <c r="D1972" s="671" t="s">
        <v>376</v>
      </c>
      <c r="E1972" s="672">
        <v>42825</v>
      </c>
      <c r="F1972" s="673" t="s">
        <v>645</v>
      </c>
      <c r="G1972" s="686" t="s">
        <v>789</v>
      </c>
      <c r="H1972" s="675" t="s">
        <v>893</v>
      </c>
      <c r="I1972" s="676">
        <v>38</v>
      </c>
      <c r="J1972" s="676">
        <v>133955.78171916117</v>
      </c>
      <c r="K1972" s="677">
        <f t="shared" si="182"/>
        <v>5090320</v>
      </c>
      <c r="L1972" s="678" t="s">
        <v>292</v>
      </c>
      <c r="M1972" s="678" t="s">
        <v>158</v>
      </c>
      <c r="N1972" s="525" t="str">
        <f>IF(AND('331-CT'!$E$7=TH!H1972,OR(L1972="331",M1972="331")),"331",IF(AND(OR(L1972="131",M1972="131"),H1972='131-CT'!$E$7),"131",""))</f>
        <v/>
      </c>
      <c r="O1972" s="525" t="str">
        <f>IF(AND($B1972&gt;='111'!$N$11,$B1972&lt;='111'!$O$11,OR($L1972=$O$7,$M1972=$O$7)),"x","")</f>
        <v/>
      </c>
      <c r="P1972" s="525" t="str">
        <f>IF(AND($L1972=$O$7,$B1972&lt;'111'!$N$11),"x","")</f>
        <v/>
      </c>
      <c r="Q1972" s="525" t="str">
        <f>IF(AND($M1972=$O$7,$B1972&lt;'111'!$N$11),"x","")</f>
        <v/>
      </c>
      <c r="R1972" s="525" t="str">
        <f>IF(ISERROR(FIND('112'!$M$9,G1972,1)),"",IF((AND(FIND('112'!$M$9,G1972,1)&gt;=1,$B1972&gt;='112'!$N$8,$B1972&lt;='112'!$O$8,OR($L1972='112'!$I$6,$M1972='112'!$I$6))),"x",""))</f>
        <v/>
      </c>
      <c r="S1972" s="525" t="str">
        <f>IF(ISERROR(FIND('112'!$M$9,G1972,1)),"",IF((AND(LEFT(G1972,2)=LEFT('112'!$M$9,2),B1972&lt;'112'!$N$8,$L1972='112'!$I$6)),"x",""))</f>
        <v/>
      </c>
      <c r="T1972" s="525" t="str">
        <f>IF(ISERROR(FIND('112'!$M$9,G1972,1)),"",IF((AND(RIGHT(G1972,2)=RIGHT('112'!$M$9,2),B1972&lt;'112'!$N$8,$M1972='112'!$I$6)),"x",""))</f>
        <v/>
      </c>
      <c r="U1972" s="525" t="str">
        <f>IF(AND(B1972&gt;='IN-NX'!$P$3,B1972&lt;='IN-NX'!$Q$3,'IN-NX'!$D$7=D1972,OR(LEFT(L1972,2)="15",AND(LEFT(M1972,2)&lt;&gt;"15",LEFT(M1972,2)&lt;&gt;"33"))),"x","")</f>
        <v/>
      </c>
      <c r="V1972" s="525" t="str">
        <f>IF(AND(OR(LEFT(TH!L1972,2)="15",LEFT(TH!M1972,2)="15"),'152-CT'!$J$8=TH!F1972),"x","")</f>
        <v/>
      </c>
      <c r="W1972" s="525" t="str">
        <f>IF(AND(OR(LEFT(TH!L1972,2)="15",LEFT(TH!M1972,2)="15"),TK!$E$7=TH!F1972),"x","")</f>
        <v/>
      </c>
      <c r="X1972" s="525" t="str">
        <f>IF(AND('341-CT'!$E$9=H1972,OR(LEFT(L1972,3)=$X$7,LEFT(M1972,3)=$X$7)),"x","")</f>
        <v/>
      </c>
      <c r="Y1972" s="525" t="str">
        <f>IF(OR(TH!L1972=TH!$Y$7,M1972=TH!$Y$7),"x","")</f>
        <v/>
      </c>
      <c r="Z1972" s="525" t="str">
        <f>IF(AND(B1972&lt;=NKC!$N$8,B1972&gt;=NKC!$M$8),"x","")</f>
        <v>x</v>
      </c>
      <c r="AA1972" s="687"/>
      <c r="AB1972" s="688"/>
      <c r="AC1972" s="503"/>
      <c r="AE1972" s="688"/>
    </row>
    <row r="1973" spans="1:31" s="689" customFormat="1" ht="15.75" customHeight="1">
      <c r="A1973" s="517" t="str">
        <f>IF(B1973&lt;&gt;"",IF(AND(B1973&gt;=_TM1,B1973&lt;=_TM2,OR(TH!L1973="1111",TH!M1973="1111")),TH!D1973,""),"")</f>
        <v/>
      </c>
      <c r="B1973" s="685">
        <f t="shared" si="186"/>
        <v>3</v>
      </c>
      <c r="C1973" s="671">
        <f t="shared" si="181"/>
        <v>42825</v>
      </c>
      <c r="D1973" s="671" t="s">
        <v>376</v>
      </c>
      <c r="E1973" s="672">
        <v>42825</v>
      </c>
      <c r="F1973" s="673" t="s">
        <v>700</v>
      </c>
      <c r="G1973" s="686" t="s">
        <v>789</v>
      </c>
      <c r="H1973" s="675" t="s">
        <v>893</v>
      </c>
      <c r="I1973" s="676">
        <v>495</v>
      </c>
      <c r="J1973" s="676">
        <v>17028.487301298333</v>
      </c>
      <c r="K1973" s="677">
        <f t="shared" si="182"/>
        <v>8429101</v>
      </c>
      <c r="L1973" s="678" t="s">
        <v>292</v>
      </c>
      <c r="M1973" s="678" t="s">
        <v>158</v>
      </c>
      <c r="N1973" s="525" t="str">
        <f>IF(AND('331-CT'!$E$7=TH!H1973,OR(L1973="331",M1973="331")),"331",IF(AND(OR(L1973="131",M1973="131"),H1973='131-CT'!$E$7),"131",""))</f>
        <v/>
      </c>
      <c r="O1973" s="525" t="str">
        <f>IF(AND($B1973&gt;='111'!$N$11,$B1973&lt;='111'!$O$11,OR($L1973=$O$7,$M1973=$O$7)),"x","")</f>
        <v/>
      </c>
      <c r="P1973" s="525" t="str">
        <f>IF(AND($L1973=$O$7,$B1973&lt;'111'!$N$11),"x","")</f>
        <v/>
      </c>
      <c r="Q1973" s="525" t="str">
        <f>IF(AND($M1973=$O$7,$B1973&lt;'111'!$N$11),"x","")</f>
        <v/>
      </c>
      <c r="R1973" s="525" t="str">
        <f>IF(ISERROR(FIND('112'!$M$9,G1973,1)),"",IF((AND(FIND('112'!$M$9,G1973,1)&gt;=1,$B1973&gt;='112'!$N$8,$B1973&lt;='112'!$O$8,OR($L1973='112'!$I$6,$M1973='112'!$I$6))),"x",""))</f>
        <v/>
      </c>
      <c r="S1973" s="525" t="str">
        <f>IF(ISERROR(FIND('112'!$M$9,G1973,1)),"",IF((AND(LEFT(G1973,2)=LEFT('112'!$M$9,2),B1973&lt;'112'!$N$8,$L1973='112'!$I$6)),"x",""))</f>
        <v/>
      </c>
      <c r="T1973" s="525" t="str">
        <f>IF(ISERROR(FIND('112'!$M$9,G1973,1)),"",IF((AND(RIGHT(G1973,2)=RIGHT('112'!$M$9,2),B1973&lt;'112'!$N$8,$M1973='112'!$I$6)),"x",""))</f>
        <v/>
      </c>
      <c r="U1973" s="525" t="str">
        <f>IF(AND(B1973&gt;='IN-NX'!$P$3,B1973&lt;='IN-NX'!$Q$3,'IN-NX'!$D$7=D1973,OR(LEFT(L1973,2)="15",AND(LEFT(M1973,2)&lt;&gt;"15",LEFT(M1973,2)&lt;&gt;"33"))),"x","")</f>
        <v/>
      </c>
      <c r="V1973" s="525" t="str">
        <f>IF(AND(OR(LEFT(TH!L1973,2)="15",LEFT(TH!M1973,2)="15"),'152-CT'!$J$8=TH!F1973),"x","")</f>
        <v/>
      </c>
      <c r="W1973" s="525" t="str">
        <f>IF(AND(OR(LEFT(TH!L1973,2)="15",LEFT(TH!M1973,2)="15"),TK!$E$7=TH!F1973),"x","")</f>
        <v/>
      </c>
      <c r="X1973" s="525" t="str">
        <f>IF(AND('341-CT'!$E$9=H1973,OR(LEFT(L1973,3)=$X$7,LEFT(M1973,3)=$X$7)),"x","")</f>
        <v/>
      </c>
      <c r="Y1973" s="525" t="str">
        <f>IF(OR(TH!L1973=TH!$Y$7,M1973=TH!$Y$7),"x","")</f>
        <v/>
      </c>
      <c r="Z1973" s="525" t="str">
        <f>IF(AND(B1973&lt;=NKC!$N$8,B1973&gt;=NKC!$M$8),"x","")</f>
        <v>x</v>
      </c>
      <c r="AA1973" s="687"/>
      <c r="AB1973" s="688"/>
      <c r="AC1973" s="503"/>
      <c r="AE1973" s="688"/>
    </row>
    <row r="1974" spans="1:31" s="689" customFormat="1" ht="15.75" customHeight="1">
      <c r="A1974" s="517" t="str">
        <f>IF(B1974&lt;&gt;"",IF(AND(B1974&gt;=_TM1,B1974&lt;=_TM2,OR(TH!L1974="1111",TH!M1974="1111")),TH!D1974,""),"")</f>
        <v/>
      </c>
      <c r="B1974" s="685">
        <f t="shared" si="186"/>
        <v>3</v>
      </c>
      <c r="C1974" s="671">
        <f t="shared" si="181"/>
        <v>42825</v>
      </c>
      <c r="D1974" s="671" t="s">
        <v>376</v>
      </c>
      <c r="E1974" s="672">
        <v>42825</v>
      </c>
      <c r="F1974" s="673" t="s">
        <v>703</v>
      </c>
      <c r="G1974" s="686" t="s">
        <v>789</v>
      </c>
      <c r="H1974" s="675" t="s">
        <v>893</v>
      </c>
      <c r="I1974" s="676">
        <v>230</v>
      </c>
      <c r="J1974" s="676">
        <v>67175.497050968959</v>
      </c>
      <c r="K1974" s="677">
        <f t="shared" si="182"/>
        <v>15450364</v>
      </c>
      <c r="L1974" s="678" t="s">
        <v>292</v>
      </c>
      <c r="M1974" s="678" t="s">
        <v>158</v>
      </c>
      <c r="N1974" s="525" t="str">
        <f>IF(AND('331-CT'!$E$7=TH!H1974,OR(L1974="331",M1974="331")),"331",IF(AND(OR(L1974="131",M1974="131"),H1974='131-CT'!$E$7),"131",""))</f>
        <v/>
      </c>
      <c r="O1974" s="525" t="str">
        <f>IF(AND($B1974&gt;='111'!$N$11,$B1974&lt;='111'!$O$11,OR($L1974=$O$7,$M1974=$O$7)),"x","")</f>
        <v/>
      </c>
      <c r="P1974" s="525" t="str">
        <f>IF(AND($L1974=$O$7,$B1974&lt;'111'!$N$11),"x","")</f>
        <v/>
      </c>
      <c r="Q1974" s="525" t="str">
        <f>IF(AND($M1974=$O$7,$B1974&lt;'111'!$N$11),"x","")</f>
        <v/>
      </c>
      <c r="R1974" s="525" t="str">
        <f>IF(ISERROR(FIND('112'!$M$9,G1974,1)),"",IF((AND(FIND('112'!$M$9,G1974,1)&gt;=1,$B1974&gt;='112'!$N$8,$B1974&lt;='112'!$O$8,OR($L1974='112'!$I$6,$M1974='112'!$I$6))),"x",""))</f>
        <v/>
      </c>
      <c r="S1974" s="525" t="str">
        <f>IF(ISERROR(FIND('112'!$M$9,G1974,1)),"",IF((AND(LEFT(G1974,2)=LEFT('112'!$M$9,2),B1974&lt;'112'!$N$8,$L1974='112'!$I$6)),"x",""))</f>
        <v/>
      </c>
      <c r="T1974" s="525" t="str">
        <f>IF(ISERROR(FIND('112'!$M$9,G1974,1)),"",IF((AND(RIGHT(G1974,2)=RIGHT('112'!$M$9,2),B1974&lt;'112'!$N$8,$M1974='112'!$I$6)),"x",""))</f>
        <v/>
      </c>
      <c r="U1974" s="525" t="str">
        <f>IF(AND(B1974&gt;='IN-NX'!$P$3,B1974&lt;='IN-NX'!$Q$3,'IN-NX'!$D$7=D1974,OR(LEFT(L1974,2)="15",AND(LEFT(M1974,2)&lt;&gt;"15",LEFT(M1974,2)&lt;&gt;"33"))),"x","")</f>
        <v/>
      </c>
      <c r="V1974" s="525" t="str">
        <f>IF(AND(OR(LEFT(TH!L1974,2)="15",LEFT(TH!M1974,2)="15"),'152-CT'!$J$8=TH!F1974),"x","")</f>
        <v/>
      </c>
      <c r="W1974" s="525" t="str">
        <f>IF(AND(OR(LEFT(TH!L1974,2)="15",LEFT(TH!M1974,2)="15"),TK!$E$7=TH!F1974),"x","")</f>
        <v/>
      </c>
      <c r="X1974" s="525" t="str">
        <f>IF(AND('341-CT'!$E$9=H1974,OR(LEFT(L1974,3)=$X$7,LEFT(M1974,3)=$X$7)),"x","")</f>
        <v/>
      </c>
      <c r="Y1974" s="525" t="str">
        <f>IF(OR(TH!L1974=TH!$Y$7,M1974=TH!$Y$7),"x","")</f>
        <v/>
      </c>
      <c r="Z1974" s="525" t="str">
        <f>IF(AND(B1974&lt;=NKC!$N$8,B1974&gt;=NKC!$M$8),"x","")</f>
        <v>x</v>
      </c>
      <c r="AA1974" s="687"/>
      <c r="AB1974" s="688"/>
      <c r="AC1974" s="503"/>
      <c r="AE1974" s="688"/>
    </row>
    <row r="1975" spans="1:31" s="576" customFormat="1" ht="15.75" customHeight="1">
      <c r="A1975" s="517" t="str">
        <f>IF(B1975&lt;&gt;"",IF(AND(B1975&gt;=_TM1,B1975&lt;=_TM2,OR(TH!L1975="1111",TH!M1975="1111")),TH!D1975,""),"")</f>
        <v/>
      </c>
      <c r="B1975" s="518">
        <f t="shared" ref="B1975:B1990" si="187">IF(C1975&lt;&gt;"",MONTH(C1975),"")</f>
        <v>3</v>
      </c>
      <c r="C1975" s="571">
        <f t="shared" si="181"/>
        <v>42801</v>
      </c>
      <c r="D1975" s="519" t="s">
        <v>996</v>
      </c>
      <c r="E1975" s="578">
        <v>42801</v>
      </c>
      <c r="F1975" s="577" t="s">
        <v>493</v>
      </c>
      <c r="G1975" s="579" t="s">
        <v>546</v>
      </c>
      <c r="H1975" s="574" t="s">
        <v>800</v>
      </c>
      <c r="I1975" s="523">
        <v>4750</v>
      </c>
      <c r="J1975" s="523">
        <v>9631.3160000000007</v>
      </c>
      <c r="K1975" s="575">
        <f>ROUND(I1975*J1975,0)</f>
        <v>45748751</v>
      </c>
      <c r="L1975" s="591" t="s">
        <v>160</v>
      </c>
      <c r="M1975" s="591" t="s">
        <v>292</v>
      </c>
      <c r="N1975" s="525" t="str">
        <f>IF(AND('331-CT'!$E$7=TH!H1975,OR(L1975="331",M1975="331")),"331",IF(AND(OR(L1975="131",M1975="131"),H1975='131-CT'!$E$7),"131",""))</f>
        <v/>
      </c>
      <c r="O1975" s="525" t="str">
        <f>IF(AND($B1975&gt;='111'!$N$11,$B1975&lt;='111'!$O$11,OR($L1975=$O$7,$M1975=$O$7)),"x","")</f>
        <v/>
      </c>
      <c r="P1975" s="525" t="str">
        <f>IF(AND($L1975=$O$7,$B1975&lt;'111'!$N$11),"x","")</f>
        <v/>
      </c>
      <c r="Q1975" s="525" t="str">
        <f>IF(AND($M1975=$O$7,$B1975&lt;'111'!$N$11),"x","")</f>
        <v/>
      </c>
      <c r="R1975" s="525" t="str">
        <f>IF(ISERROR(FIND('112'!$M$9,G1975,1)),"",IF((AND(FIND('112'!$M$9,G1975,1)&gt;=1,$B1975&gt;='112'!$N$8,$B1975&lt;='112'!$O$8,OR($L1975='112'!$I$6,$M1975='112'!$I$6))),"x",""))</f>
        <v/>
      </c>
      <c r="S1975" s="525" t="str">
        <f>IF(ISERROR(FIND('112'!$M$9,G1975,1)),"",IF((AND(LEFT(G1975,2)=LEFT('112'!$M$9,2),B1975&lt;'112'!$N$8,$L1975='112'!$I$6)),"x",""))</f>
        <v/>
      </c>
      <c r="T1975" s="525" t="str">
        <f>IF(ISERROR(FIND('112'!$M$9,G1975,1)),"",IF((AND(RIGHT(G1975,2)=RIGHT('112'!$M$9,2),B1975&lt;'112'!$N$8,$M1975='112'!$I$6)),"x",""))</f>
        <v/>
      </c>
      <c r="U1975" s="525" t="str">
        <f>IF(AND(B1975&gt;='IN-NX'!$P$3,B1975&lt;='IN-NX'!$Q$3,'IN-NX'!$D$7=D1975,OR(LEFT(L1975,2)="15",AND(LEFT(M1975,2)&lt;&gt;"15",LEFT(M1975,2)&lt;&gt;"33"))),"x","")</f>
        <v/>
      </c>
      <c r="V1975" s="525" t="str">
        <f>IF(AND(OR(LEFT(TH!L1975,2)="15",LEFT(TH!M1975,2)="15"),'152-CT'!$J$8=TH!F1975),"x","")</f>
        <v/>
      </c>
      <c r="W1975" s="525" t="str">
        <f>IF(AND(OR(LEFT(TH!L1975,2)="15",LEFT(TH!M1975,2)="15"),TK!$E$7=TH!F1975),"x","")</f>
        <v/>
      </c>
      <c r="X1975" s="525" t="str">
        <f>IF(AND('341-CT'!$E$9=H1975,OR(LEFT(L1975,3)=$X$7,LEFT(M1975,3)=$X$7)),"x","")</f>
        <v/>
      </c>
      <c r="Y1975" s="525" t="str">
        <f>IF(OR(TH!L1975=TH!$Y$7,M1975=TH!$Y$7),"x","")</f>
        <v/>
      </c>
      <c r="Z1975" s="525" t="str">
        <f>IF(AND(B1975&lt;=NKC!$N$8,B1975&gt;=NKC!$M$8),"x","")</f>
        <v>x</v>
      </c>
      <c r="AA1975" s="526"/>
      <c r="AB1975" s="527"/>
      <c r="AE1975" s="527"/>
    </row>
    <row r="1976" spans="1:31" s="576" customFormat="1" ht="15.75" customHeight="1">
      <c r="A1976" s="517" t="str">
        <f>IF(B1976&lt;&gt;"",IF(AND(B1976&gt;=_TM1,B1976&lt;=_TM2,OR(TH!L1976="1111",TH!M1976="1111")),TH!D1976,""),"")</f>
        <v/>
      </c>
      <c r="B1976" s="518">
        <f t="shared" si="187"/>
        <v>3</v>
      </c>
      <c r="C1976" s="571">
        <f t="shared" si="181"/>
        <v>42811</v>
      </c>
      <c r="D1976" s="519" t="s">
        <v>996</v>
      </c>
      <c r="E1976" s="578">
        <v>42811</v>
      </c>
      <c r="F1976" s="577" t="s">
        <v>764</v>
      </c>
      <c r="G1976" s="579" t="s">
        <v>550</v>
      </c>
      <c r="H1976" s="574" t="s">
        <v>800</v>
      </c>
      <c r="I1976" s="523">
        <v>500</v>
      </c>
      <c r="J1976" s="523">
        <v>3369.2759999999998</v>
      </c>
      <c r="K1976" s="575">
        <f>ROUND(I1976*J1976,0)</f>
        <v>1684638</v>
      </c>
      <c r="L1976" s="591" t="s">
        <v>160</v>
      </c>
      <c r="M1976" s="591" t="s">
        <v>292</v>
      </c>
      <c r="N1976" s="525" t="str">
        <f>IF(AND('331-CT'!$E$7=TH!H1976,OR(L1976="331",M1976="331")),"331",IF(AND(OR(L1976="131",M1976="131"),H1976='131-CT'!$E$7),"131",""))</f>
        <v/>
      </c>
      <c r="O1976" s="525" t="str">
        <f>IF(AND($B1976&gt;='111'!$N$11,$B1976&lt;='111'!$O$11,OR($L1976=$O$7,$M1976=$O$7)),"x","")</f>
        <v/>
      </c>
      <c r="P1976" s="525" t="str">
        <f>IF(AND($L1976=$O$7,$B1976&lt;'111'!$N$11),"x","")</f>
        <v/>
      </c>
      <c r="Q1976" s="525" t="str">
        <f>IF(AND($M1976=$O$7,$B1976&lt;'111'!$N$11),"x","")</f>
        <v/>
      </c>
      <c r="R1976" s="525" t="str">
        <f>IF(ISERROR(FIND('112'!$M$9,G1976,1)),"",IF((AND(FIND('112'!$M$9,G1976,1)&gt;=1,$B1976&gt;='112'!$N$8,$B1976&lt;='112'!$O$8,OR($L1976='112'!$I$6,$M1976='112'!$I$6))),"x",""))</f>
        <v/>
      </c>
      <c r="S1976" s="525" t="str">
        <f>IF(ISERROR(FIND('112'!$M$9,G1976,1)),"",IF((AND(LEFT(G1976,2)=LEFT('112'!$M$9,2),B1976&lt;'112'!$N$8,$L1976='112'!$I$6)),"x",""))</f>
        <v/>
      </c>
      <c r="T1976" s="525" t="str">
        <f>IF(ISERROR(FIND('112'!$M$9,G1976,1)),"",IF((AND(RIGHT(G1976,2)=RIGHT('112'!$M$9,2),B1976&lt;'112'!$N$8,$M1976='112'!$I$6)),"x",""))</f>
        <v/>
      </c>
      <c r="U1976" s="525" t="str">
        <f>IF(AND(B1976&gt;='IN-NX'!$P$3,B1976&lt;='IN-NX'!$Q$3,'IN-NX'!$D$7=D1976,OR(LEFT(L1976,2)="15",AND(LEFT(M1976,2)&lt;&gt;"15",LEFT(M1976,2)&lt;&gt;"33"))),"x","")</f>
        <v/>
      </c>
      <c r="V1976" s="525" t="str">
        <f>IF(AND(OR(LEFT(TH!L1976,2)="15",LEFT(TH!M1976,2)="15"),'152-CT'!$J$8=TH!F1976),"x","")</f>
        <v/>
      </c>
      <c r="W1976" s="525" t="str">
        <f>IF(AND(OR(LEFT(TH!L1976,2)="15",LEFT(TH!M1976,2)="15"),TK!$E$7=TH!F1976),"x","")</f>
        <v/>
      </c>
      <c r="X1976" s="525" t="str">
        <f>IF(AND('341-CT'!$E$9=H1976,OR(LEFT(L1976,3)=$X$7,LEFT(M1976,3)=$X$7)),"x","")</f>
        <v/>
      </c>
      <c r="Y1976" s="525" t="str">
        <f>IF(OR(TH!L1976=TH!$Y$7,M1976=TH!$Y$7),"x","")</f>
        <v/>
      </c>
      <c r="Z1976" s="525" t="str">
        <f>IF(AND(B1976&lt;=NKC!$N$8,B1976&gt;=NKC!$M$8),"x","")</f>
        <v>x</v>
      </c>
      <c r="AA1976" s="526"/>
      <c r="AE1976" s="527"/>
    </row>
    <row r="1977" spans="1:31" s="576" customFormat="1" ht="15.75" customHeight="1">
      <c r="A1977" s="517" t="str">
        <f>IF(B1977&lt;&gt;"",IF(AND(B1977&gt;=_TM1,B1977&lt;=_TM2,OR(TH!L1977="1111",TH!M1977="1111")),TH!D1977,""),"")</f>
        <v/>
      </c>
      <c r="B1977" s="518">
        <f t="shared" si="187"/>
        <v>3</v>
      </c>
      <c r="C1977" s="571">
        <f t="shared" si="181"/>
        <v>42811</v>
      </c>
      <c r="D1977" s="519" t="s">
        <v>996</v>
      </c>
      <c r="E1977" s="590">
        <v>42811</v>
      </c>
      <c r="F1977" s="577" t="s">
        <v>766</v>
      </c>
      <c r="G1977" s="579" t="s">
        <v>550</v>
      </c>
      <c r="H1977" s="574" t="s">
        <v>800</v>
      </c>
      <c r="I1977" s="523">
        <v>605</v>
      </c>
      <c r="J1977" s="523">
        <v>15178.500826446281</v>
      </c>
      <c r="K1977" s="575">
        <f t="shared" si="182"/>
        <v>9182993</v>
      </c>
      <c r="L1977" s="591" t="s">
        <v>160</v>
      </c>
      <c r="M1977" s="591" t="s">
        <v>292</v>
      </c>
      <c r="N1977" s="525" t="str">
        <f>IF(AND('331-CT'!$E$7=TH!H1977,OR(L1977="331",M1977="331")),"331",IF(AND(OR(L1977="131",M1977="131"),H1977='131-CT'!$E$7),"131",""))</f>
        <v/>
      </c>
      <c r="O1977" s="525" t="str">
        <f>IF(AND($B1977&gt;='111'!$N$11,$B1977&lt;='111'!$O$11,OR($L1977=$O$7,$M1977=$O$7)),"x","")</f>
        <v/>
      </c>
      <c r="P1977" s="525" t="str">
        <f>IF(AND($L1977=$O$7,$B1977&lt;'111'!$N$11),"x","")</f>
        <v/>
      </c>
      <c r="Q1977" s="525" t="str">
        <f>IF(AND($M1977=$O$7,$B1977&lt;'111'!$N$11),"x","")</f>
        <v/>
      </c>
      <c r="R1977" s="525" t="str">
        <f>IF(ISERROR(FIND('112'!$M$9,G1977,1)),"",IF((AND(FIND('112'!$M$9,G1977,1)&gt;=1,$B1977&gt;='112'!$N$8,$B1977&lt;='112'!$O$8,OR($L1977='112'!$I$6,$M1977='112'!$I$6))),"x",""))</f>
        <v/>
      </c>
      <c r="S1977" s="525" t="str">
        <f>IF(ISERROR(FIND('112'!$M$9,G1977,1)),"",IF((AND(LEFT(G1977,2)=LEFT('112'!$M$9,2),B1977&lt;'112'!$N$8,$L1977='112'!$I$6)),"x",""))</f>
        <v/>
      </c>
      <c r="T1977" s="525" t="str">
        <f>IF(ISERROR(FIND('112'!$M$9,G1977,1)),"",IF((AND(RIGHT(G1977,2)=RIGHT('112'!$M$9,2),B1977&lt;'112'!$N$8,$M1977='112'!$I$6)),"x",""))</f>
        <v/>
      </c>
      <c r="U1977" s="525" t="str">
        <f>IF(AND(B1977&gt;='IN-NX'!$P$3,B1977&lt;='IN-NX'!$Q$3,'IN-NX'!$D$7=D1977,OR(LEFT(L1977,2)="15",AND(LEFT(M1977,2)&lt;&gt;"15",LEFT(M1977,2)&lt;&gt;"33"))),"x","")</f>
        <v/>
      </c>
      <c r="V1977" s="525" t="str">
        <f>IF(AND(OR(LEFT(TH!L1977,2)="15",LEFT(TH!M1977,2)="15"),'152-CT'!$J$8=TH!F1977),"x","")</f>
        <v/>
      </c>
      <c r="W1977" s="525" t="str">
        <f>IF(AND(OR(LEFT(TH!L1977,2)="15",LEFT(TH!M1977,2)="15"),TK!$E$7=TH!F1977),"x","")</f>
        <v/>
      </c>
      <c r="X1977" s="525" t="str">
        <f>IF(AND('341-CT'!$E$9=H1977,OR(LEFT(L1977,3)=$X$7,LEFT(M1977,3)=$X$7)),"x","")</f>
        <v/>
      </c>
      <c r="Y1977" s="525" t="str">
        <f>IF(OR(TH!L1977=TH!$Y$7,M1977=TH!$Y$7),"x","")</f>
        <v/>
      </c>
      <c r="Z1977" s="525" t="str">
        <f>IF(AND(B1977&lt;=NKC!$N$8,B1977&gt;=NKC!$M$8),"x","")</f>
        <v>x</v>
      </c>
      <c r="AA1977" s="526"/>
      <c r="AB1977" s="527"/>
      <c r="AC1977" s="527"/>
      <c r="AD1977" s="527"/>
      <c r="AE1977" s="527"/>
    </row>
    <row r="1978" spans="1:31" s="576" customFormat="1" ht="15.75" customHeight="1">
      <c r="A1978" s="517" t="str">
        <f>IF(B1978&lt;&gt;"",IF(AND(B1978&gt;=_TM1,B1978&lt;=_TM2,OR(TH!L1978="1111",TH!M1978="1111")),TH!D1978,""),"")</f>
        <v/>
      </c>
      <c r="B1978" s="518">
        <f t="shared" si="187"/>
        <v>3</v>
      </c>
      <c r="C1978" s="571">
        <f t="shared" si="181"/>
        <v>42811</v>
      </c>
      <c r="D1978" s="519" t="s">
        <v>996</v>
      </c>
      <c r="E1978" s="590">
        <v>42811</v>
      </c>
      <c r="F1978" s="572" t="s">
        <v>767</v>
      </c>
      <c r="G1978" s="579" t="s">
        <v>550</v>
      </c>
      <c r="H1978" s="574" t="s">
        <v>800</v>
      </c>
      <c r="I1978" s="523">
        <v>25</v>
      </c>
      <c r="J1978" s="523">
        <v>12792.28</v>
      </c>
      <c r="K1978" s="575">
        <f t="shared" si="182"/>
        <v>319807</v>
      </c>
      <c r="L1978" s="591" t="s">
        <v>160</v>
      </c>
      <c r="M1978" s="591" t="s">
        <v>292</v>
      </c>
      <c r="N1978" s="525" t="str">
        <f>IF(AND('331-CT'!$E$7=TH!H1978,OR(L1978="331",M1978="331")),"331",IF(AND(OR(L1978="131",M1978="131"),H1978='131-CT'!$E$7),"131",""))</f>
        <v/>
      </c>
      <c r="O1978" s="525" t="str">
        <f>IF(AND($B1978&gt;='111'!$N$11,$B1978&lt;='111'!$O$11,OR($L1978=$O$7,$M1978=$O$7)),"x","")</f>
        <v/>
      </c>
      <c r="P1978" s="525" t="str">
        <f>IF(AND($L1978=$O$7,$B1978&lt;'111'!$N$11),"x","")</f>
        <v/>
      </c>
      <c r="Q1978" s="525" t="str">
        <f>IF(AND($M1978=$O$7,$B1978&lt;'111'!$N$11),"x","")</f>
        <v/>
      </c>
      <c r="R1978" s="525" t="str">
        <f>IF(ISERROR(FIND('112'!$M$9,G1978,1)),"",IF((AND(FIND('112'!$M$9,G1978,1)&gt;=1,$B1978&gt;='112'!$N$8,$B1978&lt;='112'!$O$8,OR($L1978='112'!$I$6,$M1978='112'!$I$6))),"x",""))</f>
        <v/>
      </c>
      <c r="S1978" s="525" t="str">
        <f>IF(ISERROR(FIND('112'!$M$9,G1978,1)),"",IF((AND(LEFT(G1978,2)=LEFT('112'!$M$9,2),B1978&lt;'112'!$N$8,$L1978='112'!$I$6)),"x",""))</f>
        <v/>
      </c>
      <c r="T1978" s="525" t="str">
        <f>IF(ISERROR(FIND('112'!$M$9,G1978,1)),"",IF((AND(RIGHT(G1978,2)=RIGHT('112'!$M$9,2),B1978&lt;'112'!$N$8,$M1978='112'!$I$6)),"x",""))</f>
        <v/>
      </c>
      <c r="U1978" s="525" t="str">
        <f>IF(AND(B1978&gt;='IN-NX'!$P$3,B1978&lt;='IN-NX'!$Q$3,'IN-NX'!$D$7=D1978,OR(LEFT(L1978,2)="15",AND(LEFT(M1978,2)&lt;&gt;"15",LEFT(M1978,2)&lt;&gt;"33"))),"x","")</f>
        <v/>
      </c>
      <c r="V1978" s="525" t="str">
        <f>IF(AND(OR(LEFT(TH!L1978,2)="15",LEFT(TH!M1978,2)="15"),'152-CT'!$J$8=TH!F1978),"x","")</f>
        <v/>
      </c>
      <c r="W1978" s="525" t="str">
        <f>IF(AND(OR(LEFT(TH!L1978,2)="15",LEFT(TH!M1978,2)="15"),TK!$E$7=TH!F1978),"x","")</f>
        <v/>
      </c>
      <c r="X1978" s="525" t="str">
        <f>IF(AND('341-CT'!$E$9=H1978,OR(LEFT(L1978,3)=$X$7,LEFT(M1978,3)=$X$7)),"x","")</f>
        <v/>
      </c>
      <c r="Y1978" s="525" t="str">
        <f>IF(OR(TH!L1978=TH!$Y$7,M1978=TH!$Y$7),"x","")</f>
        <v/>
      </c>
      <c r="Z1978" s="525" t="str">
        <f>IF(AND(B1978&lt;=NKC!$N$8,B1978&gt;=NKC!$M$8),"x","")</f>
        <v>x</v>
      </c>
      <c r="AA1978" s="526"/>
      <c r="AB1978" s="527"/>
      <c r="AC1978" s="527"/>
      <c r="AD1978" s="527"/>
      <c r="AE1978" s="527"/>
    </row>
    <row r="1979" spans="1:31" s="576" customFormat="1" ht="15.75" customHeight="1">
      <c r="A1979" s="517" t="str">
        <f>IF(B1979&lt;&gt;"",IF(AND(B1979&gt;=_TM1,B1979&lt;=_TM2,OR(TH!L1979="1111",TH!M1979="1111")),TH!D1979,""),"")</f>
        <v/>
      </c>
      <c r="B1979" s="518">
        <f t="shared" si="187"/>
        <v>3</v>
      </c>
      <c r="C1979" s="571">
        <f t="shared" si="181"/>
        <v>42814</v>
      </c>
      <c r="D1979" s="519" t="s">
        <v>996</v>
      </c>
      <c r="E1979" s="590">
        <v>42814</v>
      </c>
      <c r="F1979" s="577" t="s">
        <v>504</v>
      </c>
      <c r="G1979" s="579" t="s">
        <v>552</v>
      </c>
      <c r="H1979" s="574" t="s">
        <v>800</v>
      </c>
      <c r="I1979" s="523">
        <v>1700</v>
      </c>
      <c r="J1979" s="523">
        <v>35135.37470588235</v>
      </c>
      <c r="K1979" s="575">
        <f t="shared" si="182"/>
        <v>59730137</v>
      </c>
      <c r="L1979" s="591" t="s">
        <v>160</v>
      </c>
      <c r="M1979" s="591" t="s">
        <v>292</v>
      </c>
      <c r="N1979" s="525" t="str">
        <f>IF(AND('331-CT'!$E$7=TH!H1979,OR(L1979="331",M1979="331")),"331",IF(AND(OR(L1979="131",M1979="131"),H1979='131-CT'!$E$7),"131",""))</f>
        <v/>
      </c>
      <c r="O1979" s="525" t="str">
        <f>IF(AND($B1979&gt;='111'!$N$11,$B1979&lt;='111'!$O$11,OR($L1979=$O$7,$M1979=$O$7)),"x","")</f>
        <v/>
      </c>
      <c r="P1979" s="525" t="str">
        <f>IF(AND($L1979=$O$7,$B1979&lt;'111'!$N$11),"x","")</f>
        <v/>
      </c>
      <c r="Q1979" s="525" t="str">
        <f>IF(AND($M1979=$O$7,$B1979&lt;'111'!$N$11),"x","")</f>
        <v/>
      </c>
      <c r="R1979" s="525" t="str">
        <f>IF(ISERROR(FIND('112'!$M$9,G1979,1)),"",IF((AND(FIND('112'!$M$9,G1979,1)&gt;=1,$B1979&gt;='112'!$N$8,$B1979&lt;='112'!$O$8,OR($L1979='112'!$I$6,$M1979='112'!$I$6))),"x",""))</f>
        <v/>
      </c>
      <c r="S1979" s="525" t="str">
        <f>IF(ISERROR(FIND('112'!$M$9,G1979,1)),"",IF((AND(LEFT(G1979,2)=LEFT('112'!$M$9,2),B1979&lt;'112'!$N$8,$L1979='112'!$I$6)),"x",""))</f>
        <v/>
      </c>
      <c r="T1979" s="525" t="str">
        <f>IF(ISERROR(FIND('112'!$M$9,G1979,1)),"",IF((AND(RIGHT(G1979,2)=RIGHT('112'!$M$9,2),B1979&lt;'112'!$N$8,$M1979='112'!$I$6)),"x",""))</f>
        <v/>
      </c>
      <c r="U1979" s="525" t="str">
        <f>IF(AND(B1979&gt;='IN-NX'!$P$3,B1979&lt;='IN-NX'!$Q$3,'IN-NX'!$D$7=D1979,OR(LEFT(L1979,2)="15",AND(LEFT(M1979,2)&lt;&gt;"15",LEFT(M1979,2)&lt;&gt;"33"))),"x","")</f>
        <v/>
      </c>
      <c r="V1979" s="525" t="str">
        <f>IF(AND(OR(LEFT(TH!L1979,2)="15",LEFT(TH!M1979,2)="15"),'152-CT'!$J$8=TH!F1979),"x","")</f>
        <v/>
      </c>
      <c r="W1979" s="525" t="str">
        <f>IF(AND(OR(LEFT(TH!L1979,2)="15",LEFT(TH!M1979,2)="15"),TK!$E$7=TH!F1979),"x","")</f>
        <v/>
      </c>
      <c r="X1979" s="525" t="str">
        <f>IF(AND('341-CT'!$E$9=H1979,OR(LEFT(L1979,3)=$X$7,LEFT(M1979,3)=$X$7)),"x","")</f>
        <v/>
      </c>
      <c r="Y1979" s="525" t="str">
        <f>IF(OR(TH!L1979=TH!$Y$7,M1979=TH!$Y$7),"x","")</f>
        <v/>
      </c>
      <c r="Z1979" s="525" t="str">
        <f>IF(AND(B1979&lt;=NKC!$N$8,B1979&gt;=NKC!$M$8),"x","")</f>
        <v>x</v>
      </c>
      <c r="AA1979" s="526"/>
      <c r="AD1979" s="527"/>
      <c r="AE1979" s="527"/>
    </row>
    <row r="1980" spans="1:31" s="576" customFormat="1" ht="15.75" customHeight="1">
      <c r="A1980" s="517" t="str">
        <f>IF(B1980&lt;&gt;"",IF(AND(B1980&gt;=_TM1,B1980&lt;=_TM2,OR(TH!L1980="1111",TH!M1980="1111")),TH!D1980,""),"")</f>
        <v/>
      </c>
      <c r="B1980" s="518">
        <f t="shared" si="187"/>
        <v>3</v>
      </c>
      <c r="C1980" s="571">
        <f t="shared" si="181"/>
        <v>42814</v>
      </c>
      <c r="D1980" s="519" t="s">
        <v>996</v>
      </c>
      <c r="E1980" s="578">
        <v>42814</v>
      </c>
      <c r="F1980" s="572" t="s">
        <v>505</v>
      </c>
      <c r="G1980" s="573" t="s">
        <v>552</v>
      </c>
      <c r="H1980" s="574" t="s">
        <v>800</v>
      </c>
      <c r="I1980" s="523">
        <v>1500</v>
      </c>
      <c r="J1980" s="523">
        <v>32733.685333333335</v>
      </c>
      <c r="K1980" s="575">
        <f t="shared" si="182"/>
        <v>49100528</v>
      </c>
      <c r="L1980" s="591" t="s">
        <v>160</v>
      </c>
      <c r="M1980" s="591" t="s">
        <v>292</v>
      </c>
      <c r="N1980" s="525" t="str">
        <f>IF(AND('331-CT'!$E$7=TH!H1980,OR(L1980="331",M1980="331")),"331",IF(AND(OR(L1980="131",M1980="131"),H1980='131-CT'!$E$7),"131",""))</f>
        <v/>
      </c>
      <c r="O1980" s="525" t="str">
        <f>IF(AND($B1980&gt;='111'!$N$11,$B1980&lt;='111'!$O$11,OR($L1980=$O$7,$M1980=$O$7)),"x","")</f>
        <v/>
      </c>
      <c r="P1980" s="525" t="str">
        <f>IF(AND($L1980=$O$7,$B1980&lt;'111'!$N$11),"x","")</f>
        <v/>
      </c>
      <c r="Q1980" s="525" t="str">
        <f>IF(AND($M1980=$O$7,$B1980&lt;'111'!$N$11),"x","")</f>
        <v/>
      </c>
      <c r="R1980" s="525" t="str">
        <f>IF(ISERROR(FIND('112'!$M$9,G1980,1)),"",IF((AND(FIND('112'!$M$9,G1980,1)&gt;=1,$B1980&gt;='112'!$N$8,$B1980&lt;='112'!$O$8,OR($L1980='112'!$I$6,$M1980='112'!$I$6))),"x",""))</f>
        <v/>
      </c>
      <c r="S1980" s="525" t="str">
        <f>IF(ISERROR(FIND('112'!$M$9,G1980,1)),"",IF((AND(LEFT(G1980,2)=LEFT('112'!$M$9,2),B1980&lt;'112'!$N$8,$L1980='112'!$I$6)),"x",""))</f>
        <v/>
      </c>
      <c r="T1980" s="525" t="str">
        <f>IF(ISERROR(FIND('112'!$M$9,G1980,1)),"",IF((AND(RIGHT(G1980,2)=RIGHT('112'!$M$9,2),B1980&lt;'112'!$N$8,$M1980='112'!$I$6)),"x",""))</f>
        <v/>
      </c>
      <c r="U1980" s="525" t="str">
        <f>IF(AND(B1980&gt;='IN-NX'!$P$3,B1980&lt;='IN-NX'!$Q$3,'IN-NX'!$D$7=D1980,OR(LEFT(L1980,2)="15",AND(LEFT(M1980,2)&lt;&gt;"15",LEFT(M1980,2)&lt;&gt;"33"))),"x","")</f>
        <v/>
      </c>
      <c r="V1980" s="525" t="str">
        <f>IF(AND(OR(LEFT(TH!L1980,2)="15",LEFT(TH!M1980,2)="15"),'152-CT'!$J$8=TH!F1980),"x","")</f>
        <v/>
      </c>
      <c r="W1980" s="525" t="str">
        <f>IF(AND(OR(LEFT(TH!L1980,2)="15",LEFT(TH!M1980,2)="15"),TK!$E$7=TH!F1980),"x","")</f>
        <v/>
      </c>
      <c r="X1980" s="525" t="str">
        <f>IF(AND('341-CT'!$E$9=H1980,OR(LEFT(L1980,3)=$X$7,LEFT(M1980,3)=$X$7)),"x","")</f>
        <v/>
      </c>
      <c r="Y1980" s="525" t="str">
        <f>IF(OR(TH!L1980=TH!$Y$7,M1980=TH!$Y$7),"x","")</f>
        <v/>
      </c>
      <c r="Z1980" s="525" t="str">
        <f>IF(AND(B1980&lt;=NKC!$N$8,B1980&gt;=NKC!$M$8),"x","")</f>
        <v>x</v>
      </c>
      <c r="AA1980" s="526"/>
      <c r="AB1980" s="527"/>
      <c r="AE1980" s="527"/>
    </row>
    <row r="1981" spans="1:31" s="576" customFormat="1" ht="15.75" customHeight="1">
      <c r="A1981" s="517" t="str">
        <f>IF(B1981&lt;&gt;"",IF(AND(B1981&gt;=_TM1,B1981&lt;=_TM2,OR(TH!L1981="1111",TH!M1981="1111")),TH!D1981,""),"")</f>
        <v/>
      </c>
      <c r="B1981" s="518">
        <f t="shared" si="187"/>
        <v>3</v>
      </c>
      <c r="C1981" s="571">
        <f t="shared" si="181"/>
        <v>42814</v>
      </c>
      <c r="D1981" s="519" t="s">
        <v>996</v>
      </c>
      <c r="E1981" s="578">
        <v>42814</v>
      </c>
      <c r="F1981" s="572" t="s">
        <v>596</v>
      </c>
      <c r="G1981" s="573" t="s">
        <v>553</v>
      </c>
      <c r="H1981" s="574" t="s">
        <v>800</v>
      </c>
      <c r="I1981" s="523">
        <v>250</v>
      </c>
      <c r="J1981" s="523">
        <v>7864.5648770559073</v>
      </c>
      <c r="K1981" s="575">
        <f t="shared" si="182"/>
        <v>1966141</v>
      </c>
      <c r="L1981" s="591" t="s">
        <v>160</v>
      </c>
      <c r="M1981" s="591" t="s">
        <v>292</v>
      </c>
      <c r="N1981" s="525" t="str">
        <f>IF(AND('331-CT'!$E$7=TH!H1981,OR(L1981="331",M1981="331")),"331",IF(AND(OR(L1981="131",M1981="131"),H1981='131-CT'!$E$7),"131",""))</f>
        <v/>
      </c>
      <c r="O1981" s="525" t="str">
        <f>IF(AND($B1981&gt;='111'!$N$11,$B1981&lt;='111'!$O$11,OR($L1981=$O$7,$M1981=$O$7)),"x","")</f>
        <v/>
      </c>
      <c r="P1981" s="525" t="str">
        <f>IF(AND($L1981=$O$7,$B1981&lt;'111'!$N$11),"x","")</f>
        <v/>
      </c>
      <c r="Q1981" s="525" t="str">
        <f>IF(AND($M1981=$O$7,$B1981&lt;'111'!$N$11),"x","")</f>
        <v/>
      </c>
      <c r="R1981" s="525" t="str">
        <f>IF(ISERROR(FIND('112'!$M$9,G1981,1)),"",IF((AND(FIND('112'!$M$9,G1981,1)&gt;=1,$B1981&gt;='112'!$N$8,$B1981&lt;='112'!$O$8,OR($L1981='112'!$I$6,$M1981='112'!$I$6))),"x",""))</f>
        <v/>
      </c>
      <c r="S1981" s="525" t="str">
        <f>IF(ISERROR(FIND('112'!$M$9,G1981,1)),"",IF((AND(LEFT(G1981,2)=LEFT('112'!$M$9,2),B1981&lt;'112'!$N$8,$L1981='112'!$I$6)),"x",""))</f>
        <v/>
      </c>
      <c r="T1981" s="525" t="str">
        <f>IF(ISERROR(FIND('112'!$M$9,G1981,1)),"",IF((AND(RIGHT(G1981,2)=RIGHT('112'!$M$9,2),B1981&lt;'112'!$N$8,$M1981='112'!$I$6)),"x",""))</f>
        <v/>
      </c>
      <c r="U1981" s="525" t="str">
        <f>IF(AND(B1981&gt;='IN-NX'!$P$3,B1981&lt;='IN-NX'!$Q$3,'IN-NX'!$D$7=D1981,OR(LEFT(L1981,2)="15",AND(LEFT(M1981,2)&lt;&gt;"15",LEFT(M1981,2)&lt;&gt;"33"))),"x","")</f>
        <v/>
      </c>
      <c r="V1981" s="525" t="str">
        <f>IF(AND(OR(LEFT(TH!L1981,2)="15",LEFT(TH!M1981,2)="15"),'152-CT'!$J$8=TH!F1981),"x","")</f>
        <v/>
      </c>
      <c r="W1981" s="525" t="str">
        <f>IF(AND(OR(LEFT(TH!L1981,2)="15",LEFT(TH!M1981,2)="15"),TK!$E$7=TH!F1981),"x","")</f>
        <v/>
      </c>
      <c r="X1981" s="525" t="str">
        <f>IF(AND('341-CT'!$E$9=H1981,OR(LEFT(L1981,3)=$X$7,LEFT(M1981,3)=$X$7)),"x","")</f>
        <v/>
      </c>
      <c r="Y1981" s="525" t="str">
        <f>IF(OR(TH!L1981=TH!$Y$7,M1981=TH!$Y$7),"x","")</f>
        <v/>
      </c>
      <c r="Z1981" s="525" t="str">
        <f>IF(AND(B1981&lt;=NKC!$N$8,B1981&gt;=NKC!$M$8),"x","")</f>
        <v>x</v>
      </c>
      <c r="AA1981" s="526"/>
      <c r="AB1981" s="527"/>
      <c r="AE1981" s="527"/>
    </row>
    <row r="1982" spans="1:31" s="576" customFormat="1" ht="15.75" customHeight="1">
      <c r="A1982" s="517" t="str">
        <f>IF(B1982&lt;&gt;"",IF(AND(B1982&gt;=_TM1,B1982&lt;=_TM2,OR(TH!L1982="1111",TH!M1982="1111")),TH!D1982,""),"")</f>
        <v/>
      </c>
      <c r="B1982" s="518">
        <f t="shared" si="187"/>
        <v>3</v>
      </c>
      <c r="C1982" s="571">
        <f t="shared" ref="C1982:C1990" si="188">E1982</f>
        <v>42814</v>
      </c>
      <c r="D1982" s="519" t="s">
        <v>996</v>
      </c>
      <c r="E1982" s="578">
        <v>42814</v>
      </c>
      <c r="F1982" s="577" t="s">
        <v>597</v>
      </c>
      <c r="G1982" s="573" t="s">
        <v>553</v>
      </c>
      <c r="H1982" s="574" t="s">
        <v>800</v>
      </c>
      <c r="I1982" s="523">
        <v>50</v>
      </c>
      <c r="J1982" s="523">
        <v>12792.244877055906</v>
      </c>
      <c r="K1982" s="575">
        <f t="shared" si="182"/>
        <v>639612</v>
      </c>
      <c r="L1982" s="591" t="s">
        <v>160</v>
      </c>
      <c r="M1982" s="591" t="s">
        <v>292</v>
      </c>
      <c r="N1982" s="525" t="str">
        <f>IF(AND('331-CT'!$E$7=TH!H1982,OR(L1982="331",M1982="331")),"331",IF(AND(OR(L1982="131",M1982="131"),H1982='131-CT'!$E$7),"131",""))</f>
        <v/>
      </c>
      <c r="O1982" s="525" t="str">
        <f>IF(AND($B1982&gt;='111'!$N$11,$B1982&lt;='111'!$O$11,OR($L1982=$O$7,$M1982=$O$7)),"x","")</f>
        <v/>
      </c>
      <c r="P1982" s="525" t="str">
        <f>IF(AND($L1982=$O$7,$B1982&lt;'111'!$N$11),"x","")</f>
        <v/>
      </c>
      <c r="Q1982" s="525" t="str">
        <f>IF(AND($M1982=$O$7,$B1982&lt;'111'!$N$11),"x","")</f>
        <v/>
      </c>
      <c r="R1982" s="525" t="str">
        <f>IF(ISERROR(FIND('112'!$M$9,G1982,1)),"",IF((AND(FIND('112'!$M$9,G1982,1)&gt;=1,$B1982&gt;='112'!$N$8,$B1982&lt;='112'!$O$8,OR($L1982='112'!$I$6,$M1982='112'!$I$6))),"x",""))</f>
        <v/>
      </c>
      <c r="S1982" s="525" t="str">
        <f>IF(ISERROR(FIND('112'!$M$9,G1982,1)),"",IF((AND(LEFT(G1982,2)=LEFT('112'!$M$9,2),B1982&lt;'112'!$N$8,$L1982='112'!$I$6)),"x",""))</f>
        <v/>
      </c>
      <c r="T1982" s="525" t="str">
        <f>IF(ISERROR(FIND('112'!$M$9,G1982,1)),"",IF((AND(RIGHT(G1982,2)=RIGHT('112'!$M$9,2),B1982&lt;'112'!$N$8,$M1982='112'!$I$6)),"x",""))</f>
        <v/>
      </c>
      <c r="U1982" s="525" t="str">
        <f>IF(AND(B1982&gt;='IN-NX'!$P$3,B1982&lt;='IN-NX'!$Q$3,'IN-NX'!$D$7=D1982,OR(LEFT(L1982,2)="15",AND(LEFT(M1982,2)&lt;&gt;"15",LEFT(M1982,2)&lt;&gt;"33"))),"x","")</f>
        <v/>
      </c>
      <c r="V1982" s="525" t="str">
        <f>IF(AND(OR(LEFT(TH!L1982,2)="15",LEFT(TH!M1982,2)="15"),'152-CT'!$J$8=TH!F1982),"x","")</f>
        <v/>
      </c>
      <c r="W1982" s="525" t="str">
        <f>IF(AND(OR(LEFT(TH!L1982,2)="15",LEFT(TH!M1982,2)="15"),TK!$E$7=TH!F1982),"x","")</f>
        <v/>
      </c>
      <c r="X1982" s="525" t="str">
        <f>IF(AND('341-CT'!$E$9=H1982,OR(LEFT(L1982,3)=$X$7,LEFT(M1982,3)=$X$7)),"x","")</f>
        <v/>
      </c>
      <c r="Y1982" s="525" t="str">
        <f>IF(OR(TH!L1982=TH!$Y$7,M1982=TH!$Y$7),"x","")</f>
        <v/>
      </c>
      <c r="Z1982" s="525" t="str">
        <f>IF(AND(B1982&lt;=NKC!$N$8,B1982&gt;=NKC!$M$8),"x","")</f>
        <v>x</v>
      </c>
      <c r="AA1982" s="526"/>
      <c r="AB1982" s="527"/>
      <c r="AE1982" s="527"/>
    </row>
    <row r="1983" spans="1:31" s="576" customFormat="1" ht="15.75" customHeight="1">
      <c r="A1983" s="517" t="str">
        <f>IF(B1983&lt;&gt;"",IF(AND(B1983&gt;=_TM1,B1983&lt;=_TM2,OR(TH!L1983="1111",TH!M1983="1111")),TH!D1983,""),"")</f>
        <v/>
      </c>
      <c r="B1983" s="518">
        <f t="shared" si="187"/>
        <v>3</v>
      </c>
      <c r="C1983" s="571">
        <f t="shared" si="188"/>
        <v>42814</v>
      </c>
      <c r="D1983" s="519" t="s">
        <v>996</v>
      </c>
      <c r="E1983" s="578">
        <v>42814</v>
      </c>
      <c r="F1983" s="577" t="s">
        <v>598</v>
      </c>
      <c r="G1983" s="573" t="s">
        <v>553</v>
      </c>
      <c r="H1983" s="574" t="s">
        <v>800</v>
      </c>
      <c r="I1983" s="523">
        <v>360</v>
      </c>
      <c r="J1983" s="523">
        <v>19806.319877055907</v>
      </c>
      <c r="K1983" s="575">
        <f t="shared" si="182"/>
        <v>7130275</v>
      </c>
      <c r="L1983" s="591" t="s">
        <v>160</v>
      </c>
      <c r="M1983" s="591" t="s">
        <v>292</v>
      </c>
      <c r="N1983" s="525" t="str">
        <f>IF(AND('331-CT'!$E$7=TH!H1983,OR(L1983="331",M1983="331")),"331",IF(AND(OR(L1983="131",M1983="131"),H1983='131-CT'!$E$7),"131",""))</f>
        <v/>
      </c>
      <c r="O1983" s="525" t="str">
        <f>IF(AND($B1983&gt;='111'!$N$11,$B1983&lt;='111'!$O$11,OR($L1983=$O$7,$M1983=$O$7)),"x","")</f>
        <v/>
      </c>
      <c r="P1983" s="525" t="str">
        <f>IF(AND($L1983=$O$7,$B1983&lt;'111'!$N$11),"x","")</f>
        <v/>
      </c>
      <c r="Q1983" s="525" t="str">
        <f>IF(AND($M1983=$O$7,$B1983&lt;'111'!$N$11),"x","")</f>
        <v/>
      </c>
      <c r="R1983" s="525" t="str">
        <f>IF(ISERROR(FIND('112'!$M$9,G1983,1)),"",IF((AND(FIND('112'!$M$9,G1983,1)&gt;=1,$B1983&gt;='112'!$N$8,$B1983&lt;='112'!$O$8,OR($L1983='112'!$I$6,$M1983='112'!$I$6))),"x",""))</f>
        <v/>
      </c>
      <c r="S1983" s="525" t="str">
        <f>IF(ISERROR(FIND('112'!$M$9,G1983,1)),"",IF((AND(LEFT(G1983,2)=LEFT('112'!$M$9,2),B1983&lt;'112'!$N$8,$L1983='112'!$I$6)),"x",""))</f>
        <v/>
      </c>
      <c r="T1983" s="525" t="str">
        <f>IF(ISERROR(FIND('112'!$M$9,G1983,1)),"",IF((AND(RIGHT(G1983,2)=RIGHT('112'!$M$9,2),B1983&lt;'112'!$N$8,$M1983='112'!$I$6)),"x",""))</f>
        <v/>
      </c>
      <c r="U1983" s="525" t="str">
        <f>IF(AND(B1983&gt;='IN-NX'!$P$3,B1983&lt;='IN-NX'!$Q$3,'IN-NX'!$D$7=D1983,OR(LEFT(L1983,2)="15",AND(LEFT(M1983,2)&lt;&gt;"15",LEFT(M1983,2)&lt;&gt;"33"))),"x","")</f>
        <v/>
      </c>
      <c r="V1983" s="525" t="str">
        <f>IF(AND(OR(LEFT(TH!L1983,2)="15",LEFT(TH!M1983,2)="15"),'152-CT'!$J$8=TH!F1983),"x","")</f>
        <v/>
      </c>
      <c r="W1983" s="525" t="str">
        <f>IF(AND(OR(LEFT(TH!L1983,2)="15",LEFT(TH!M1983,2)="15"),TK!$E$7=TH!F1983),"x","")</f>
        <v/>
      </c>
      <c r="X1983" s="525" t="str">
        <f>IF(AND('341-CT'!$E$9=H1983,OR(LEFT(L1983,3)=$X$7,LEFT(M1983,3)=$X$7)),"x","")</f>
        <v/>
      </c>
      <c r="Y1983" s="525" t="str">
        <f>IF(OR(TH!L1983=TH!$Y$7,M1983=TH!$Y$7),"x","")</f>
        <v/>
      </c>
      <c r="Z1983" s="525" t="str">
        <f>IF(AND(B1983&lt;=NKC!$N$8,B1983&gt;=NKC!$M$8),"x","")</f>
        <v>x</v>
      </c>
      <c r="AA1983" s="526"/>
      <c r="AB1983" s="527"/>
      <c r="AE1983" s="527"/>
    </row>
    <row r="1984" spans="1:31" s="576" customFormat="1" ht="15.75" customHeight="1">
      <c r="A1984" s="517" t="str">
        <f>IF(B1984&lt;&gt;"",IF(AND(B1984&gt;=_TM1,B1984&lt;=_TM2,OR(TH!L1984="1111",TH!M1984="1111")),TH!D1984,""),"")</f>
        <v/>
      </c>
      <c r="B1984" s="518">
        <f t="shared" si="187"/>
        <v>3</v>
      </c>
      <c r="C1984" s="571">
        <f t="shared" si="188"/>
        <v>42814</v>
      </c>
      <c r="D1984" s="519" t="s">
        <v>996</v>
      </c>
      <c r="E1984" s="590">
        <v>42814</v>
      </c>
      <c r="F1984" s="572" t="s">
        <v>599</v>
      </c>
      <c r="G1984" s="573" t="s">
        <v>553</v>
      </c>
      <c r="H1984" s="574" t="s">
        <v>800</v>
      </c>
      <c r="I1984" s="523">
        <v>650</v>
      </c>
      <c r="J1984" s="523">
        <v>7631.3479539789851</v>
      </c>
      <c r="K1984" s="575">
        <f t="shared" si="182"/>
        <v>4960376</v>
      </c>
      <c r="L1984" s="591" t="s">
        <v>160</v>
      </c>
      <c r="M1984" s="591" t="s">
        <v>292</v>
      </c>
      <c r="N1984" s="525" t="str">
        <f>IF(AND('331-CT'!$E$7=TH!H1984,OR(L1984="331",M1984="331")),"331",IF(AND(OR(L1984="131",M1984="131"),H1984='131-CT'!$E$7),"131",""))</f>
        <v/>
      </c>
      <c r="O1984" s="525" t="str">
        <f>IF(AND($B1984&gt;='111'!$N$11,$B1984&lt;='111'!$O$11,OR($L1984=$O$7,$M1984=$O$7)),"x","")</f>
        <v/>
      </c>
      <c r="P1984" s="525" t="str">
        <f>IF(AND($L1984=$O$7,$B1984&lt;'111'!$N$11),"x","")</f>
        <v/>
      </c>
      <c r="Q1984" s="525" t="str">
        <f>IF(AND($M1984=$O$7,$B1984&lt;'111'!$N$11),"x","")</f>
        <v/>
      </c>
      <c r="R1984" s="525" t="str">
        <f>IF(ISERROR(FIND('112'!$M$9,G1984,1)),"",IF((AND(FIND('112'!$M$9,G1984,1)&gt;=1,$B1984&gt;='112'!$N$8,$B1984&lt;='112'!$O$8,OR($L1984='112'!$I$6,$M1984='112'!$I$6))),"x",""))</f>
        <v/>
      </c>
      <c r="S1984" s="525" t="str">
        <f>IF(ISERROR(FIND('112'!$M$9,G1984,1)),"",IF((AND(LEFT(G1984,2)=LEFT('112'!$M$9,2),B1984&lt;'112'!$N$8,$L1984='112'!$I$6)),"x",""))</f>
        <v/>
      </c>
      <c r="T1984" s="525" t="str">
        <f>IF(ISERROR(FIND('112'!$M$9,G1984,1)),"",IF((AND(RIGHT(G1984,2)=RIGHT('112'!$M$9,2),B1984&lt;'112'!$N$8,$M1984='112'!$I$6)),"x",""))</f>
        <v/>
      </c>
      <c r="U1984" s="525" t="str">
        <f>IF(AND(B1984&gt;='IN-NX'!$P$3,B1984&lt;='IN-NX'!$Q$3,'IN-NX'!$D$7=D1984,OR(LEFT(L1984,2)="15",AND(LEFT(M1984,2)&lt;&gt;"15",LEFT(M1984,2)&lt;&gt;"33"))),"x","")</f>
        <v/>
      </c>
      <c r="V1984" s="525" t="str">
        <f>IF(AND(OR(LEFT(TH!L1984,2)="15",LEFT(TH!M1984,2)="15"),'152-CT'!$J$8=TH!F1984),"x","")</f>
        <v/>
      </c>
      <c r="W1984" s="525" t="str">
        <f>IF(AND(OR(LEFT(TH!L1984,2)="15",LEFT(TH!M1984,2)="15"),TK!$E$7=TH!F1984),"x","")</f>
        <v/>
      </c>
      <c r="X1984" s="525" t="str">
        <f>IF(AND('341-CT'!$E$9=H1984,OR(LEFT(L1984,3)=$X$7,LEFT(M1984,3)=$X$7)),"x","")</f>
        <v/>
      </c>
      <c r="Y1984" s="525" t="str">
        <f>IF(OR(TH!L1984=TH!$Y$7,M1984=TH!$Y$7),"x","")</f>
        <v/>
      </c>
      <c r="Z1984" s="525" t="str">
        <f>IF(AND(B1984&lt;=NKC!$N$8,B1984&gt;=NKC!$M$8),"x","")</f>
        <v>x</v>
      </c>
      <c r="AA1984" s="526"/>
      <c r="AB1984" s="527"/>
    </row>
    <row r="1985" spans="1:31" s="576" customFormat="1" ht="15.75" customHeight="1">
      <c r="A1985" s="517" t="str">
        <f>IF(B1985&lt;&gt;"",IF(AND(B1985&gt;=_TM1,B1985&lt;=_TM2,OR(TH!L1985="1111",TH!M1985="1111")),TH!D1985,""),"")</f>
        <v/>
      </c>
      <c r="B1985" s="518">
        <f t="shared" si="187"/>
        <v>3</v>
      </c>
      <c r="C1985" s="571">
        <f t="shared" si="188"/>
        <v>42818</v>
      </c>
      <c r="D1985" s="519" t="s">
        <v>996</v>
      </c>
      <c r="E1985" s="578">
        <v>42818</v>
      </c>
      <c r="F1985" s="572" t="s">
        <v>588</v>
      </c>
      <c r="G1985" s="573" t="s">
        <v>554</v>
      </c>
      <c r="H1985" s="574" t="s">
        <v>800</v>
      </c>
      <c r="I1985" s="523">
        <v>310</v>
      </c>
      <c r="J1985" s="523">
        <v>17291.5319738301</v>
      </c>
      <c r="K1985" s="575">
        <f t="shared" si="182"/>
        <v>5360375</v>
      </c>
      <c r="L1985" s="591" t="s">
        <v>160</v>
      </c>
      <c r="M1985" s="591" t="s">
        <v>292</v>
      </c>
      <c r="N1985" s="525" t="str">
        <f>IF(AND('331-CT'!$E$7=TH!H1985,OR(L1985="331",M1985="331")),"331",IF(AND(OR(L1985="131",M1985="131"),H1985='131-CT'!$E$7),"131",""))</f>
        <v/>
      </c>
      <c r="O1985" s="525" t="str">
        <f>IF(AND($B1985&gt;='111'!$N$11,$B1985&lt;='111'!$O$11,OR($L1985=$O$7,$M1985=$O$7)),"x","")</f>
        <v/>
      </c>
      <c r="P1985" s="525" t="str">
        <f>IF(AND($L1985=$O$7,$B1985&lt;'111'!$N$11),"x","")</f>
        <v/>
      </c>
      <c r="Q1985" s="525" t="str">
        <f>IF(AND($M1985=$O$7,$B1985&lt;'111'!$N$11),"x","")</f>
        <v/>
      </c>
      <c r="R1985" s="525" t="str">
        <f>IF(ISERROR(FIND('112'!$M$9,G1985,1)),"",IF((AND(FIND('112'!$M$9,G1985,1)&gt;=1,$B1985&gt;='112'!$N$8,$B1985&lt;='112'!$O$8,OR($L1985='112'!$I$6,$M1985='112'!$I$6))),"x",""))</f>
        <v/>
      </c>
      <c r="S1985" s="525" t="str">
        <f>IF(ISERROR(FIND('112'!$M$9,G1985,1)),"",IF((AND(LEFT(G1985,2)=LEFT('112'!$M$9,2),B1985&lt;'112'!$N$8,$L1985='112'!$I$6)),"x",""))</f>
        <v/>
      </c>
      <c r="T1985" s="525" t="str">
        <f>IF(ISERROR(FIND('112'!$M$9,G1985,1)),"",IF((AND(RIGHT(G1985,2)=RIGHT('112'!$M$9,2),B1985&lt;'112'!$N$8,$M1985='112'!$I$6)),"x",""))</f>
        <v/>
      </c>
      <c r="U1985" s="525" t="str">
        <f>IF(AND(B1985&gt;='IN-NX'!$P$3,B1985&lt;='IN-NX'!$Q$3,'IN-NX'!$D$7=D1985,OR(LEFT(L1985,2)="15",AND(LEFT(M1985,2)&lt;&gt;"15",LEFT(M1985,2)&lt;&gt;"33"))),"x","")</f>
        <v/>
      </c>
      <c r="V1985" s="525" t="str">
        <f>IF(AND(OR(LEFT(TH!L1985,2)="15",LEFT(TH!M1985,2)="15"),'152-CT'!$J$8=TH!F1985),"x","")</f>
        <v/>
      </c>
      <c r="W1985" s="525" t="str">
        <f>IF(AND(OR(LEFT(TH!L1985,2)="15",LEFT(TH!M1985,2)="15"),TK!$E$7=TH!F1985),"x","")</f>
        <v/>
      </c>
      <c r="X1985" s="525" t="str">
        <f>IF(AND('341-CT'!$E$9=H1985,OR(LEFT(L1985,3)=$X$7,LEFT(M1985,3)=$X$7)),"x","")</f>
        <v/>
      </c>
      <c r="Y1985" s="525" t="str">
        <f>IF(OR(TH!L1985=TH!$Y$7,M1985=TH!$Y$7),"x","")</f>
        <v/>
      </c>
      <c r="Z1985" s="525" t="str">
        <f>IF(AND(B1985&lt;=NKC!$N$8,B1985&gt;=NKC!$M$8),"x","")</f>
        <v>x</v>
      </c>
      <c r="AA1985" s="526"/>
      <c r="AB1985" s="527"/>
    </row>
    <row r="1986" spans="1:31" s="576" customFormat="1" ht="15.75" customHeight="1">
      <c r="A1986" s="517" t="str">
        <f>IF(B1986&lt;&gt;"",IF(AND(B1986&gt;=_TM1,B1986&lt;=_TM2,OR(TH!L1986="1111",TH!M1986="1111")),TH!D1986,""),"")</f>
        <v/>
      </c>
      <c r="B1986" s="518">
        <f t="shared" si="187"/>
        <v>3</v>
      </c>
      <c r="C1986" s="571">
        <f t="shared" si="188"/>
        <v>42819</v>
      </c>
      <c r="D1986" s="519" t="s">
        <v>996</v>
      </c>
      <c r="E1986" s="578">
        <v>42819</v>
      </c>
      <c r="F1986" s="572" t="s">
        <v>774</v>
      </c>
      <c r="G1986" s="573" t="s">
        <v>773</v>
      </c>
      <c r="H1986" s="574" t="s">
        <v>800</v>
      </c>
      <c r="I1986" s="523">
        <v>500</v>
      </c>
      <c r="J1986" s="523">
        <v>30459.524877055905</v>
      </c>
      <c r="K1986" s="575">
        <f t="shared" si="182"/>
        <v>15229762</v>
      </c>
      <c r="L1986" s="591" t="s">
        <v>160</v>
      </c>
      <c r="M1986" s="591" t="s">
        <v>292</v>
      </c>
      <c r="N1986" s="525" t="str">
        <f>IF(AND('331-CT'!$E$7=TH!H1986,OR(L1986="331",M1986="331")),"331",IF(AND(OR(L1986="131",M1986="131"),H1986='131-CT'!$E$7),"131",""))</f>
        <v/>
      </c>
      <c r="O1986" s="525" t="str">
        <f>IF(AND($B1986&gt;='111'!$N$11,$B1986&lt;='111'!$O$11,OR($L1986=$O$7,$M1986=$O$7)),"x","")</f>
        <v/>
      </c>
      <c r="P1986" s="525" t="str">
        <f>IF(AND($L1986=$O$7,$B1986&lt;'111'!$N$11),"x","")</f>
        <v/>
      </c>
      <c r="Q1986" s="525" t="str">
        <f>IF(AND($M1986=$O$7,$B1986&lt;'111'!$N$11),"x","")</f>
        <v/>
      </c>
      <c r="R1986" s="525" t="str">
        <f>IF(ISERROR(FIND('112'!$M$9,G1986,1)),"",IF((AND(FIND('112'!$M$9,G1986,1)&gt;=1,$B1986&gt;='112'!$N$8,$B1986&lt;='112'!$O$8,OR($L1986='112'!$I$6,$M1986='112'!$I$6))),"x",""))</f>
        <v/>
      </c>
      <c r="S1986" s="525" t="str">
        <f>IF(ISERROR(FIND('112'!$M$9,G1986,1)),"",IF((AND(LEFT(G1986,2)=LEFT('112'!$M$9,2),B1986&lt;'112'!$N$8,$L1986='112'!$I$6)),"x",""))</f>
        <v/>
      </c>
      <c r="T1986" s="525" t="str">
        <f>IF(ISERROR(FIND('112'!$M$9,G1986,1)),"",IF((AND(RIGHT(G1986,2)=RIGHT('112'!$M$9,2),B1986&lt;'112'!$N$8,$M1986='112'!$I$6)),"x",""))</f>
        <v/>
      </c>
      <c r="U1986" s="525" t="str">
        <f>IF(AND(B1986&gt;='IN-NX'!$P$3,B1986&lt;='IN-NX'!$Q$3,'IN-NX'!$D$7=D1986,OR(LEFT(L1986,2)="15",AND(LEFT(M1986,2)&lt;&gt;"15",LEFT(M1986,2)&lt;&gt;"33"))),"x","")</f>
        <v/>
      </c>
      <c r="V1986" s="525" t="str">
        <f>IF(AND(OR(LEFT(TH!L1986,2)="15",LEFT(TH!M1986,2)="15"),'152-CT'!$J$8=TH!F1986),"x","")</f>
        <v/>
      </c>
      <c r="W1986" s="525" t="str">
        <f>IF(AND(OR(LEFT(TH!L1986,2)="15",LEFT(TH!M1986,2)="15"),TK!$E$7=TH!F1986),"x","")</f>
        <v/>
      </c>
      <c r="X1986" s="525" t="str">
        <f>IF(AND('341-CT'!$E$9=H1986,OR(LEFT(L1986,3)=$X$7,LEFT(M1986,3)=$X$7)),"x","")</f>
        <v/>
      </c>
      <c r="Y1986" s="525" t="str">
        <f>IF(OR(TH!L1986=TH!$Y$7,M1986=TH!$Y$7),"x","")</f>
        <v/>
      </c>
      <c r="Z1986" s="525" t="str">
        <f>IF(AND(B1986&lt;=NKC!$N$8,B1986&gt;=NKC!$M$8),"x","")</f>
        <v>x</v>
      </c>
      <c r="AA1986" s="526"/>
      <c r="AB1986" s="527"/>
    </row>
    <row r="1987" spans="1:31" s="576" customFormat="1" ht="15.75" customHeight="1">
      <c r="A1987" s="517" t="str">
        <f>IF(B1987&lt;&gt;"",IF(AND(B1987&gt;=_TM1,B1987&lt;=_TM2,OR(TH!L1987="1111",TH!M1987="1111")),TH!D1987,""),"")</f>
        <v/>
      </c>
      <c r="B1987" s="518">
        <f t="shared" si="187"/>
        <v>3</v>
      </c>
      <c r="C1987" s="571">
        <f t="shared" si="188"/>
        <v>42825</v>
      </c>
      <c r="D1987" s="519" t="s">
        <v>996</v>
      </c>
      <c r="E1987" s="578">
        <v>42825</v>
      </c>
      <c r="F1987" s="577" t="s">
        <v>795</v>
      </c>
      <c r="G1987" s="573" t="s">
        <v>789</v>
      </c>
      <c r="H1987" s="574" t="s">
        <v>800</v>
      </c>
      <c r="I1987" s="523">
        <v>87</v>
      </c>
      <c r="J1987" s="523">
        <v>72833.274762113375</v>
      </c>
      <c r="K1987" s="575">
        <f t="shared" si="182"/>
        <v>6336495</v>
      </c>
      <c r="L1987" s="591" t="s">
        <v>160</v>
      </c>
      <c r="M1987" s="591" t="s">
        <v>292</v>
      </c>
      <c r="N1987" s="525" t="str">
        <f>IF(AND('331-CT'!$E$7=TH!H1987,OR(L1987="331",M1987="331")),"331",IF(AND(OR(L1987="131",M1987="131"),H1987='131-CT'!$E$7),"131",""))</f>
        <v/>
      </c>
      <c r="O1987" s="525" t="str">
        <f>IF(AND($B1987&gt;='111'!$N$11,$B1987&lt;='111'!$O$11,OR($L1987=$O$7,$M1987=$O$7)),"x","")</f>
        <v/>
      </c>
      <c r="P1987" s="525" t="str">
        <f>IF(AND($L1987=$O$7,$B1987&lt;'111'!$N$11),"x","")</f>
        <v/>
      </c>
      <c r="Q1987" s="525" t="str">
        <f>IF(AND($M1987=$O$7,$B1987&lt;'111'!$N$11),"x","")</f>
        <v/>
      </c>
      <c r="R1987" s="525" t="str">
        <f>IF(ISERROR(FIND('112'!$M$9,G1987,1)),"",IF((AND(FIND('112'!$M$9,G1987,1)&gt;=1,$B1987&gt;='112'!$N$8,$B1987&lt;='112'!$O$8,OR($L1987='112'!$I$6,$M1987='112'!$I$6))),"x",""))</f>
        <v/>
      </c>
      <c r="S1987" s="525" t="str">
        <f>IF(ISERROR(FIND('112'!$M$9,G1987,1)),"",IF((AND(LEFT(G1987,2)=LEFT('112'!$M$9,2),B1987&lt;'112'!$N$8,$L1987='112'!$I$6)),"x",""))</f>
        <v/>
      </c>
      <c r="T1987" s="525" t="str">
        <f>IF(ISERROR(FIND('112'!$M$9,G1987,1)),"",IF((AND(RIGHT(G1987,2)=RIGHT('112'!$M$9,2),B1987&lt;'112'!$N$8,$M1987='112'!$I$6)),"x",""))</f>
        <v/>
      </c>
      <c r="U1987" s="525" t="str">
        <f>IF(AND(B1987&gt;='IN-NX'!$P$3,B1987&lt;='IN-NX'!$Q$3,'IN-NX'!$D$7=D1987,OR(LEFT(L1987,2)="15",AND(LEFT(M1987,2)&lt;&gt;"15",LEFT(M1987,2)&lt;&gt;"33"))),"x","")</f>
        <v/>
      </c>
      <c r="V1987" s="525" t="str">
        <f>IF(AND(OR(LEFT(TH!L1987,2)="15",LEFT(TH!M1987,2)="15"),'152-CT'!$J$8=TH!F1987),"x","")</f>
        <v/>
      </c>
      <c r="W1987" s="525" t="str">
        <f>IF(AND(OR(LEFT(TH!L1987,2)="15",LEFT(TH!M1987,2)="15"),TK!$E$7=TH!F1987),"x","")</f>
        <v/>
      </c>
      <c r="X1987" s="525" t="str">
        <f>IF(AND('341-CT'!$E$9=H1987,OR(LEFT(L1987,3)=$X$7,LEFT(M1987,3)=$X$7)),"x","")</f>
        <v/>
      </c>
      <c r="Y1987" s="525" t="str">
        <f>IF(OR(TH!L1987=TH!$Y$7,M1987=TH!$Y$7),"x","")</f>
        <v/>
      </c>
      <c r="Z1987" s="525" t="str">
        <f>IF(AND(B1987&lt;=NKC!$N$8,B1987&gt;=NKC!$M$8),"x","")</f>
        <v>x</v>
      </c>
      <c r="AA1987" s="526"/>
      <c r="AB1987" s="527"/>
      <c r="AE1987" s="527"/>
    </row>
    <row r="1988" spans="1:31" s="576" customFormat="1" ht="15.75" customHeight="1">
      <c r="A1988" s="517" t="str">
        <f>IF(B1988&lt;&gt;"",IF(AND(B1988&gt;=_TM1,B1988&lt;=_TM2,OR(TH!L1988="1111",TH!M1988="1111")),TH!D1988,""),"")</f>
        <v/>
      </c>
      <c r="B1988" s="518">
        <f t="shared" si="187"/>
        <v>3</v>
      </c>
      <c r="C1988" s="571">
        <f t="shared" si="188"/>
        <v>42825</v>
      </c>
      <c r="D1988" s="519" t="s">
        <v>996</v>
      </c>
      <c r="E1988" s="578">
        <v>42825</v>
      </c>
      <c r="F1988" s="577" t="s">
        <v>645</v>
      </c>
      <c r="G1988" s="573" t="s">
        <v>789</v>
      </c>
      <c r="H1988" s="574" t="s">
        <v>800</v>
      </c>
      <c r="I1988" s="523">
        <v>38</v>
      </c>
      <c r="J1988" s="523">
        <v>133955.78171916117</v>
      </c>
      <c r="K1988" s="575">
        <f t="shared" si="182"/>
        <v>5090320</v>
      </c>
      <c r="L1988" s="591" t="s">
        <v>160</v>
      </c>
      <c r="M1988" s="591" t="s">
        <v>292</v>
      </c>
      <c r="N1988" s="525" t="str">
        <f>IF(AND('331-CT'!$E$7=TH!H1988,OR(L1988="331",M1988="331")),"331",IF(AND(OR(L1988="131",M1988="131"),H1988='131-CT'!$E$7),"131",""))</f>
        <v/>
      </c>
      <c r="O1988" s="525" t="str">
        <f>IF(AND($B1988&gt;='111'!$N$11,$B1988&lt;='111'!$O$11,OR($L1988=$O$7,$M1988=$O$7)),"x","")</f>
        <v/>
      </c>
      <c r="P1988" s="525" t="str">
        <f>IF(AND($L1988=$O$7,$B1988&lt;'111'!$N$11),"x","")</f>
        <v/>
      </c>
      <c r="Q1988" s="525" t="str">
        <f>IF(AND($M1988=$O$7,$B1988&lt;'111'!$N$11),"x","")</f>
        <v/>
      </c>
      <c r="R1988" s="525" t="str">
        <f>IF(ISERROR(FIND('112'!$M$9,G1988,1)),"",IF((AND(FIND('112'!$M$9,G1988,1)&gt;=1,$B1988&gt;='112'!$N$8,$B1988&lt;='112'!$O$8,OR($L1988='112'!$I$6,$M1988='112'!$I$6))),"x",""))</f>
        <v/>
      </c>
      <c r="S1988" s="525" t="str">
        <f>IF(ISERROR(FIND('112'!$M$9,G1988,1)),"",IF((AND(LEFT(G1988,2)=LEFT('112'!$M$9,2),B1988&lt;'112'!$N$8,$L1988='112'!$I$6)),"x",""))</f>
        <v/>
      </c>
      <c r="T1988" s="525" t="str">
        <f>IF(ISERROR(FIND('112'!$M$9,G1988,1)),"",IF((AND(RIGHT(G1988,2)=RIGHT('112'!$M$9,2),B1988&lt;'112'!$N$8,$M1988='112'!$I$6)),"x",""))</f>
        <v/>
      </c>
      <c r="U1988" s="525" t="str">
        <f>IF(AND(B1988&gt;='IN-NX'!$P$3,B1988&lt;='IN-NX'!$Q$3,'IN-NX'!$D$7=D1988,OR(LEFT(L1988,2)="15",AND(LEFT(M1988,2)&lt;&gt;"15",LEFT(M1988,2)&lt;&gt;"33"))),"x","")</f>
        <v/>
      </c>
      <c r="V1988" s="525" t="str">
        <f>IF(AND(OR(LEFT(TH!L1988,2)="15",LEFT(TH!M1988,2)="15"),'152-CT'!$J$8=TH!F1988),"x","")</f>
        <v/>
      </c>
      <c r="W1988" s="525" t="str">
        <f>IF(AND(OR(LEFT(TH!L1988,2)="15",LEFT(TH!M1988,2)="15"),TK!$E$7=TH!F1988),"x","")</f>
        <v/>
      </c>
      <c r="X1988" s="525" t="str">
        <f>IF(AND('341-CT'!$E$9=H1988,OR(LEFT(L1988,3)=$X$7,LEFT(M1988,3)=$X$7)),"x","")</f>
        <v/>
      </c>
      <c r="Y1988" s="525" t="str">
        <f>IF(OR(TH!L1988=TH!$Y$7,M1988=TH!$Y$7),"x","")</f>
        <v/>
      </c>
      <c r="Z1988" s="525" t="str">
        <f>IF(AND(B1988&lt;=NKC!$N$8,B1988&gt;=NKC!$M$8),"x","")</f>
        <v>x</v>
      </c>
      <c r="AA1988" s="526"/>
      <c r="AB1988" s="527"/>
      <c r="AE1988" s="527"/>
    </row>
    <row r="1989" spans="1:31" s="576" customFormat="1" ht="15.75" customHeight="1">
      <c r="A1989" s="517" t="str">
        <f>IF(B1989&lt;&gt;"",IF(AND(B1989&gt;=_TM1,B1989&lt;=_TM2,OR(TH!L1989="1111",TH!M1989="1111")),TH!D1989,""),"")</f>
        <v/>
      </c>
      <c r="B1989" s="518">
        <f t="shared" si="187"/>
        <v>3</v>
      </c>
      <c r="C1989" s="571">
        <f t="shared" si="188"/>
        <v>42825</v>
      </c>
      <c r="D1989" s="519" t="s">
        <v>996</v>
      </c>
      <c r="E1989" s="578">
        <v>42825</v>
      </c>
      <c r="F1989" s="577" t="s">
        <v>700</v>
      </c>
      <c r="G1989" s="573" t="s">
        <v>789</v>
      </c>
      <c r="H1989" s="574" t="s">
        <v>800</v>
      </c>
      <c r="I1989" s="523">
        <v>495</v>
      </c>
      <c r="J1989" s="523">
        <v>17028.487301298333</v>
      </c>
      <c r="K1989" s="575">
        <f t="shared" si="182"/>
        <v>8429101</v>
      </c>
      <c r="L1989" s="591" t="s">
        <v>160</v>
      </c>
      <c r="M1989" s="591" t="s">
        <v>292</v>
      </c>
      <c r="N1989" s="525" t="str">
        <f>IF(AND('331-CT'!$E$7=TH!H1989,OR(L1989="331",M1989="331")),"331",IF(AND(OR(L1989="131",M1989="131"),H1989='131-CT'!$E$7),"131",""))</f>
        <v/>
      </c>
      <c r="O1989" s="525" t="str">
        <f>IF(AND($B1989&gt;='111'!$N$11,$B1989&lt;='111'!$O$11,OR($L1989=$O$7,$M1989=$O$7)),"x","")</f>
        <v/>
      </c>
      <c r="P1989" s="525" t="str">
        <f>IF(AND($L1989=$O$7,$B1989&lt;'111'!$N$11),"x","")</f>
        <v/>
      </c>
      <c r="Q1989" s="525" t="str">
        <f>IF(AND($M1989=$O$7,$B1989&lt;'111'!$N$11),"x","")</f>
        <v/>
      </c>
      <c r="R1989" s="525" t="str">
        <f>IF(ISERROR(FIND('112'!$M$9,G1989,1)),"",IF((AND(FIND('112'!$M$9,G1989,1)&gt;=1,$B1989&gt;='112'!$N$8,$B1989&lt;='112'!$O$8,OR($L1989='112'!$I$6,$M1989='112'!$I$6))),"x",""))</f>
        <v/>
      </c>
      <c r="S1989" s="525" t="str">
        <f>IF(ISERROR(FIND('112'!$M$9,G1989,1)),"",IF((AND(LEFT(G1989,2)=LEFT('112'!$M$9,2),B1989&lt;'112'!$N$8,$L1989='112'!$I$6)),"x",""))</f>
        <v/>
      </c>
      <c r="T1989" s="525" t="str">
        <f>IF(ISERROR(FIND('112'!$M$9,G1989,1)),"",IF((AND(RIGHT(G1989,2)=RIGHT('112'!$M$9,2),B1989&lt;'112'!$N$8,$M1989='112'!$I$6)),"x",""))</f>
        <v/>
      </c>
      <c r="U1989" s="525" t="str">
        <f>IF(AND(B1989&gt;='IN-NX'!$P$3,B1989&lt;='IN-NX'!$Q$3,'IN-NX'!$D$7=D1989,OR(LEFT(L1989,2)="15",AND(LEFT(M1989,2)&lt;&gt;"15",LEFT(M1989,2)&lt;&gt;"33"))),"x","")</f>
        <v/>
      </c>
      <c r="V1989" s="525" t="str">
        <f>IF(AND(OR(LEFT(TH!L1989,2)="15",LEFT(TH!M1989,2)="15"),'152-CT'!$J$8=TH!F1989),"x","")</f>
        <v/>
      </c>
      <c r="W1989" s="525" t="str">
        <f>IF(AND(OR(LEFT(TH!L1989,2)="15",LEFT(TH!M1989,2)="15"),TK!$E$7=TH!F1989),"x","")</f>
        <v/>
      </c>
      <c r="X1989" s="525" t="str">
        <f>IF(AND('341-CT'!$E$9=H1989,OR(LEFT(L1989,3)=$X$7,LEFT(M1989,3)=$X$7)),"x","")</f>
        <v/>
      </c>
      <c r="Y1989" s="525" t="str">
        <f>IF(OR(TH!L1989=TH!$Y$7,M1989=TH!$Y$7),"x","")</f>
        <v/>
      </c>
      <c r="Z1989" s="525" t="str">
        <f>IF(AND(B1989&lt;=NKC!$N$8,B1989&gt;=NKC!$M$8),"x","")</f>
        <v>x</v>
      </c>
      <c r="AA1989" s="526"/>
      <c r="AB1989" s="527"/>
      <c r="AE1989" s="527"/>
    </row>
    <row r="1990" spans="1:31" s="576" customFormat="1" ht="15.75" customHeight="1">
      <c r="A1990" s="517" t="str">
        <f>IF(B1990&lt;&gt;"",IF(AND(B1990&gt;=_TM1,B1990&lt;=_TM2,OR(TH!L1990="1111",TH!M1990="1111")),TH!D1990,""),"")</f>
        <v/>
      </c>
      <c r="B1990" s="518">
        <f t="shared" si="187"/>
        <v>3</v>
      </c>
      <c r="C1990" s="571">
        <f t="shared" si="188"/>
        <v>42825</v>
      </c>
      <c r="D1990" s="519" t="s">
        <v>996</v>
      </c>
      <c r="E1990" s="590">
        <v>42825</v>
      </c>
      <c r="F1990" s="572" t="s">
        <v>703</v>
      </c>
      <c r="G1990" s="573" t="s">
        <v>789</v>
      </c>
      <c r="H1990" s="574" t="s">
        <v>800</v>
      </c>
      <c r="I1990" s="523">
        <v>230</v>
      </c>
      <c r="J1990" s="523">
        <v>67175.497050968959</v>
      </c>
      <c r="K1990" s="575">
        <f t="shared" si="182"/>
        <v>15450364</v>
      </c>
      <c r="L1990" s="591" t="s">
        <v>160</v>
      </c>
      <c r="M1990" s="591" t="s">
        <v>292</v>
      </c>
      <c r="N1990" s="525" t="str">
        <f>IF(AND('331-CT'!$E$7=TH!H1990,OR(L1990="331",M1990="331")),"331",IF(AND(OR(L1990="131",M1990="131"),H1990='131-CT'!$E$7),"131",""))</f>
        <v/>
      </c>
      <c r="O1990" s="525" t="str">
        <f>IF(AND($B1990&gt;='111'!$N$11,$B1990&lt;='111'!$O$11,OR($L1990=$O$7,$M1990=$O$7)),"x","")</f>
        <v/>
      </c>
      <c r="P1990" s="525" t="str">
        <f>IF(AND($L1990=$O$7,$B1990&lt;'111'!$N$11),"x","")</f>
        <v/>
      </c>
      <c r="Q1990" s="525" t="str">
        <f>IF(AND($M1990=$O$7,$B1990&lt;'111'!$N$11),"x","")</f>
        <v/>
      </c>
      <c r="R1990" s="525" t="str">
        <f>IF(ISERROR(FIND('112'!$M$9,G1990,1)),"",IF((AND(FIND('112'!$M$9,G1990,1)&gt;=1,$B1990&gt;='112'!$N$8,$B1990&lt;='112'!$O$8,OR($L1990='112'!$I$6,$M1990='112'!$I$6))),"x",""))</f>
        <v/>
      </c>
      <c r="S1990" s="525" t="str">
        <f>IF(ISERROR(FIND('112'!$M$9,G1990,1)),"",IF((AND(LEFT(G1990,2)=LEFT('112'!$M$9,2),B1990&lt;'112'!$N$8,$L1990='112'!$I$6)),"x",""))</f>
        <v/>
      </c>
      <c r="T1990" s="525" t="str">
        <f>IF(ISERROR(FIND('112'!$M$9,G1990,1)),"",IF((AND(RIGHT(G1990,2)=RIGHT('112'!$M$9,2),B1990&lt;'112'!$N$8,$M1990='112'!$I$6)),"x",""))</f>
        <v/>
      </c>
      <c r="U1990" s="525" t="str">
        <f>IF(AND(B1990&gt;='IN-NX'!$P$3,B1990&lt;='IN-NX'!$Q$3,'IN-NX'!$D$7=D1990,OR(LEFT(L1990,2)="15",AND(LEFT(M1990,2)&lt;&gt;"15",LEFT(M1990,2)&lt;&gt;"33"))),"x","")</f>
        <v/>
      </c>
      <c r="V1990" s="525" t="str">
        <f>IF(AND(OR(LEFT(TH!L1990,2)="15",LEFT(TH!M1990,2)="15"),'152-CT'!$J$8=TH!F1990),"x","")</f>
        <v/>
      </c>
      <c r="W1990" s="525" t="str">
        <f>IF(AND(OR(LEFT(TH!L1990,2)="15",LEFT(TH!M1990,2)="15"),TK!$E$7=TH!F1990),"x","")</f>
        <v/>
      </c>
      <c r="X1990" s="525" t="str">
        <f>IF(AND('341-CT'!$E$9=H1990,OR(LEFT(L1990,3)=$X$7,LEFT(M1990,3)=$X$7)),"x","")</f>
        <v/>
      </c>
      <c r="Y1990" s="525" t="str">
        <f>IF(OR(TH!L1990=TH!$Y$7,M1990=TH!$Y$7),"x","")</f>
        <v/>
      </c>
      <c r="Z1990" s="525" t="str">
        <f>IF(AND(B1990&lt;=NKC!$N$8,B1990&gt;=NKC!$M$8),"x","")</f>
        <v>x</v>
      </c>
      <c r="AA1990" s="526"/>
      <c r="AB1990" s="527"/>
    </row>
    <row r="1991" spans="1:31" s="503" customFormat="1" ht="15.75" customHeight="1">
      <c r="A1991" s="517" t="str">
        <f>IF(B1991&lt;&gt;"",IF(AND(B1991&gt;=_TM1,B1991&lt;=_TM2,OR(TH!L1991="1111",TH!M1991="1111")),TH!D1991,""),"")</f>
        <v/>
      </c>
      <c r="B1991" s="531">
        <f t="shared" ref="B1991:B2054" si="189">IF(C1991&lt;&gt;"",MONTH(C1991),"")</f>
        <v>4</v>
      </c>
      <c r="C1991" s="315">
        <f t="shared" ref="C1991:C2054" si="190">E1991</f>
        <v>42826</v>
      </c>
      <c r="D1991" s="315" t="s">
        <v>957</v>
      </c>
      <c r="E1991" s="545">
        <v>42826</v>
      </c>
      <c r="F1991" s="249" t="s">
        <v>1089</v>
      </c>
      <c r="G1991" s="314" t="s">
        <v>1088</v>
      </c>
      <c r="H1991" s="473" t="s">
        <v>271</v>
      </c>
      <c r="I1991" s="307">
        <v>72</v>
      </c>
      <c r="J1991" s="307">
        <v>38224</v>
      </c>
      <c r="K1991" s="532">
        <f t="shared" ref="K1991:K1997" si="191">ROUND(I1991*J1991,0)</f>
        <v>2752128</v>
      </c>
      <c r="L1991" s="534" t="s">
        <v>292</v>
      </c>
      <c r="M1991" s="534" t="s">
        <v>8</v>
      </c>
      <c r="N1991" s="525" t="str">
        <f>IF(AND('331-CT'!$E$7=TH!H1991,OR(L1991="331",M1991="331")),"331",IF(AND(OR(L1991="131",M1991="131"),H1991='131-CT'!$E$7),"131",""))</f>
        <v>331</v>
      </c>
      <c r="O1991" s="525" t="str">
        <f>IF(AND($B1991&gt;='111'!$N$11,$B1991&lt;='111'!$O$11,OR($L1991=$O$7,$M1991=$O$7)),"x","")</f>
        <v/>
      </c>
      <c r="P1991" s="525" t="str">
        <f>IF(AND($L1991=$O$7,$B1991&lt;'111'!$N$11),"x","")</f>
        <v/>
      </c>
      <c r="Q1991" s="525" t="str">
        <f>IF(AND($M1991=$O$7,$B1991&lt;'111'!$N$11),"x","")</f>
        <v/>
      </c>
      <c r="R1991" s="525" t="str">
        <f>IF(ISERROR(FIND('112'!$M$9,G1991,1)),"",IF((AND(FIND('112'!$M$9,G1991,1)&gt;=1,$B1991&gt;='112'!$N$8,$B1991&lt;='112'!$O$8,OR($L1991='112'!$I$6,$M1991='112'!$I$6))),"x",""))</f>
        <v/>
      </c>
      <c r="S1991" s="525" t="str">
        <f>IF(ISERROR(FIND('112'!$M$9,G1991,1)),"",IF((AND(LEFT(G1991,2)=LEFT('112'!$M$9,2),B1991&lt;'112'!$N$8,$L1991='112'!$I$6)),"x",""))</f>
        <v/>
      </c>
      <c r="T1991" s="525" t="str">
        <f>IF(ISERROR(FIND('112'!$M$9,G1991,1)),"",IF((AND(RIGHT(G1991,2)=RIGHT('112'!$M$9,2),B1991&lt;'112'!$N$8,$M1991='112'!$I$6)),"x",""))</f>
        <v/>
      </c>
      <c r="U1991" s="525" t="str">
        <f>IF(AND(B1991&gt;='IN-NX'!$P$3,B1991&lt;='IN-NX'!$Q$3,'IN-NX'!$D$7=D1991,OR(LEFT(L1991,2)="15",AND(LEFT(M1991,2)&lt;&gt;"15",LEFT(M1991,2)&lt;&gt;"33"))),"x","")</f>
        <v/>
      </c>
      <c r="V1991" s="525" t="str">
        <f>IF(AND(OR(LEFT(TH!L1991,2)="15",LEFT(TH!M1991,2)="15"),'152-CT'!$J$8=TH!F1991),"x","")</f>
        <v/>
      </c>
      <c r="W1991" s="525" t="str">
        <f>IF(AND(OR(LEFT(TH!L1991,2)="15",LEFT(TH!M1991,2)="15"),TK!$E$7=TH!F1991),"x","")</f>
        <v/>
      </c>
      <c r="X1991" s="525" t="str">
        <f>IF(AND('341-CT'!$E$9=H1991,OR(LEFT(L1991,3)=$X$7,LEFT(M1991,3)=$X$7)),"x","")</f>
        <v/>
      </c>
      <c r="Y1991" s="525" t="str">
        <f>IF(OR(TH!L1991=TH!$Y$7,M1991=TH!$Y$7),"x","")</f>
        <v/>
      </c>
      <c r="Z1991" s="525" t="str">
        <f>IF(AND(B1991&lt;=NKC!$N$8,B1991&gt;=NKC!$M$8),"x","")</f>
        <v/>
      </c>
      <c r="AA1991" s="535">
        <v>2</v>
      </c>
    </row>
    <row r="1992" spans="1:31" s="503" customFormat="1" ht="15.75" customHeight="1">
      <c r="A1992" s="517" t="str">
        <f>IF(B1992&lt;&gt;"",IF(AND(B1992&gt;=_TM1,B1992&lt;=_TM2,OR(TH!L1992="1111",TH!M1992="1111")),TH!D1992,""),"")</f>
        <v/>
      </c>
      <c r="B1992" s="531">
        <f t="shared" si="189"/>
        <v>4</v>
      </c>
      <c r="C1992" s="315">
        <f t="shared" si="190"/>
        <v>42826</v>
      </c>
      <c r="D1992" s="315" t="s">
        <v>957</v>
      </c>
      <c r="E1992" s="545">
        <v>42826</v>
      </c>
      <c r="F1992" s="249" t="s">
        <v>1089</v>
      </c>
      <c r="G1992" s="314" t="s">
        <v>1088</v>
      </c>
      <c r="H1992" s="473" t="s">
        <v>271</v>
      </c>
      <c r="I1992" s="307">
        <v>72</v>
      </c>
      <c r="J1992" s="307">
        <v>26003</v>
      </c>
      <c r="K1992" s="532">
        <f t="shared" si="191"/>
        <v>1872216</v>
      </c>
      <c r="L1992" s="534" t="s">
        <v>292</v>
      </c>
      <c r="M1992" s="534" t="s">
        <v>8</v>
      </c>
      <c r="N1992" s="525" t="str">
        <f>IF(AND('331-CT'!$E$7=TH!H1992,OR(L1992="331",M1992="331")),"331",IF(AND(OR(L1992="131",M1992="131"),H1992='131-CT'!$E$7),"131",""))</f>
        <v>331</v>
      </c>
      <c r="O1992" s="525" t="str">
        <f>IF(AND($B1992&gt;='111'!$N$11,$B1992&lt;='111'!$O$11,OR($L1992=$O$7,$M1992=$O$7)),"x","")</f>
        <v/>
      </c>
      <c r="P1992" s="525" t="str">
        <f>IF(AND($L1992=$O$7,$B1992&lt;'111'!$N$11),"x","")</f>
        <v/>
      </c>
      <c r="Q1992" s="525" t="str">
        <f>IF(AND($M1992=$O$7,$B1992&lt;'111'!$N$11),"x","")</f>
        <v/>
      </c>
      <c r="R1992" s="525" t="str">
        <f>IF(ISERROR(FIND('112'!$M$9,G1992,1)),"",IF((AND(FIND('112'!$M$9,G1992,1)&gt;=1,$B1992&gt;='112'!$N$8,$B1992&lt;='112'!$O$8,OR($L1992='112'!$I$6,$M1992='112'!$I$6))),"x",""))</f>
        <v/>
      </c>
      <c r="S1992" s="525" t="str">
        <f>IF(ISERROR(FIND('112'!$M$9,G1992,1)),"",IF((AND(LEFT(G1992,2)=LEFT('112'!$M$9,2),B1992&lt;'112'!$N$8,$L1992='112'!$I$6)),"x",""))</f>
        <v/>
      </c>
      <c r="T1992" s="525" t="str">
        <f>IF(ISERROR(FIND('112'!$M$9,G1992,1)),"",IF((AND(RIGHT(G1992,2)=RIGHT('112'!$M$9,2),B1992&lt;'112'!$N$8,$M1992='112'!$I$6)),"x",""))</f>
        <v/>
      </c>
      <c r="U1992" s="525" t="str">
        <f>IF(AND(B1992&gt;='IN-NX'!$P$3,B1992&lt;='IN-NX'!$Q$3,'IN-NX'!$D$7=D1992,OR(LEFT(L1992,2)="15",AND(LEFT(M1992,2)&lt;&gt;"15",LEFT(M1992,2)&lt;&gt;"33"))),"x","")</f>
        <v/>
      </c>
      <c r="V1992" s="525" t="str">
        <f>IF(AND(OR(LEFT(TH!L1992,2)="15",LEFT(TH!M1992,2)="15"),'152-CT'!$J$8=TH!F1992),"x","")</f>
        <v/>
      </c>
      <c r="W1992" s="525" t="str">
        <f>IF(AND(OR(LEFT(TH!L1992,2)="15",LEFT(TH!M1992,2)="15"),TK!$E$7=TH!F1992),"x","")</f>
        <v/>
      </c>
      <c r="X1992" s="525" t="str">
        <f>IF(AND('341-CT'!$E$9=H1992,OR(LEFT(L1992,3)=$X$7,LEFT(M1992,3)=$X$7)),"x","")</f>
        <v/>
      </c>
      <c r="Y1992" s="525" t="str">
        <f>IF(OR(TH!L1992=TH!$Y$7,M1992=TH!$Y$7),"x","")</f>
        <v/>
      </c>
      <c r="Z1992" s="525" t="str">
        <f>IF(AND(B1992&lt;=NKC!$N$8,B1992&gt;=NKC!$M$8),"x","")</f>
        <v/>
      </c>
      <c r="AA1992" s="535">
        <v>2</v>
      </c>
      <c r="AB1992" s="536"/>
    </row>
    <row r="1993" spans="1:31" s="503" customFormat="1" ht="15.75" customHeight="1">
      <c r="A1993" s="517" t="str">
        <f>IF(B1993&lt;&gt;"",IF(AND(B1993&gt;=_TM1,B1993&lt;=_TM2,OR(TH!L1993="1111",TH!M1993="1111")),TH!D1993,""),"")</f>
        <v/>
      </c>
      <c r="B1993" s="531">
        <f t="shared" si="189"/>
        <v>4</v>
      </c>
      <c r="C1993" s="315">
        <f t="shared" si="190"/>
        <v>42826</v>
      </c>
      <c r="D1993" s="315" t="s">
        <v>957</v>
      </c>
      <c r="E1993" s="545">
        <v>42826</v>
      </c>
      <c r="F1993" s="249" t="s">
        <v>1090</v>
      </c>
      <c r="G1993" s="314" t="s">
        <v>1088</v>
      </c>
      <c r="H1993" s="473" t="s">
        <v>271</v>
      </c>
      <c r="I1993" s="307">
        <v>20</v>
      </c>
      <c r="J1993" s="307">
        <v>26421</v>
      </c>
      <c r="K1993" s="532">
        <f t="shared" si="191"/>
        <v>528420</v>
      </c>
      <c r="L1993" s="534" t="s">
        <v>292</v>
      </c>
      <c r="M1993" s="534" t="s">
        <v>8</v>
      </c>
      <c r="N1993" s="525" t="str">
        <f>IF(AND('331-CT'!$E$7=TH!H1993,OR(L1993="331",M1993="331")),"331",IF(AND(OR(L1993="131",M1993="131"),H1993='131-CT'!$E$7),"131",""))</f>
        <v>331</v>
      </c>
      <c r="O1993" s="525" t="str">
        <f>IF(AND($B1993&gt;='111'!$N$11,$B1993&lt;='111'!$O$11,OR($L1993=$O$7,$M1993=$O$7)),"x","")</f>
        <v/>
      </c>
      <c r="P1993" s="525" t="str">
        <f>IF(AND($L1993=$O$7,$B1993&lt;'111'!$N$11),"x","")</f>
        <v/>
      </c>
      <c r="Q1993" s="525" t="str">
        <f>IF(AND($M1993=$O$7,$B1993&lt;'111'!$N$11),"x","")</f>
        <v/>
      </c>
      <c r="R1993" s="525" t="str">
        <f>IF(ISERROR(FIND('112'!$M$9,G1993,1)),"",IF((AND(FIND('112'!$M$9,G1993,1)&gt;=1,$B1993&gt;='112'!$N$8,$B1993&lt;='112'!$O$8,OR($L1993='112'!$I$6,$M1993='112'!$I$6))),"x",""))</f>
        <v/>
      </c>
      <c r="S1993" s="525" t="str">
        <f>IF(ISERROR(FIND('112'!$M$9,G1993,1)),"",IF((AND(LEFT(G1993,2)=LEFT('112'!$M$9,2),B1993&lt;'112'!$N$8,$L1993='112'!$I$6)),"x",""))</f>
        <v/>
      </c>
      <c r="T1993" s="525" t="str">
        <f>IF(ISERROR(FIND('112'!$M$9,G1993,1)),"",IF((AND(RIGHT(G1993,2)=RIGHT('112'!$M$9,2),B1993&lt;'112'!$N$8,$M1993='112'!$I$6)),"x",""))</f>
        <v/>
      </c>
      <c r="U1993" s="525" t="str">
        <f>IF(AND(B1993&gt;='IN-NX'!$P$3,B1993&lt;='IN-NX'!$Q$3,'IN-NX'!$D$7=D1993,OR(LEFT(L1993,2)="15",AND(LEFT(M1993,2)&lt;&gt;"15",LEFT(M1993,2)&lt;&gt;"33"))),"x","")</f>
        <v/>
      </c>
      <c r="V1993" s="525" t="str">
        <f>IF(AND(OR(LEFT(TH!L1993,2)="15",LEFT(TH!M1993,2)="15"),'152-CT'!$J$8=TH!F1993),"x","")</f>
        <v/>
      </c>
      <c r="W1993" s="525" t="str">
        <f>IF(AND(OR(LEFT(TH!L1993,2)="15",LEFT(TH!M1993,2)="15"),TK!$E$7=TH!F1993),"x","")</f>
        <v/>
      </c>
      <c r="X1993" s="525" t="str">
        <f>IF(AND('341-CT'!$E$9=H1993,OR(LEFT(L1993,3)=$X$7,LEFT(M1993,3)=$X$7)),"x","")</f>
        <v/>
      </c>
      <c r="Y1993" s="525" t="str">
        <f>IF(OR(TH!L1993=TH!$Y$7,M1993=TH!$Y$7),"x","")</f>
        <v/>
      </c>
      <c r="Z1993" s="525" t="str">
        <f>IF(AND(B1993&lt;=NKC!$N$8,B1993&gt;=NKC!$M$8),"x","")</f>
        <v/>
      </c>
      <c r="AA1993" s="535">
        <v>2</v>
      </c>
      <c r="AB1993" s="536"/>
    </row>
    <row r="1994" spans="1:31" s="503" customFormat="1" ht="15.75" customHeight="1">
      <c r="A1994" s="517" t="str">
        <f>IF(B1994&lt;&gt;"",IF(AND(B1994&gt;=_TM1,B1994&lt;=_TM2,OR(TH!L1994="1111",TH!M1994="1111")),TH!D1994,""),"")</f>
        <v/>
      </c>
      <c r="B1994" s="531">
        <f t="shared" si="189"/>
        <v>4</v>
      </c>
      <c r="C1994" s="315">
        <f t="shared" si="190"/>
        <v>42826</v>
      </c>
      <c r="D1994" s="315" t="s">
        <v>957</v>
      </c>
      <c r="E1994" s="545">
        <v>42826</v>
      </c>
      <c r="F1994" s="249" t="s">
        <v>401</v>
      </c>
      <c r="G1994" s="314" t="s">
        <v>1088</v>
      </c>
      <c r="H1994" s="473" t="s">
        <v>271</v>
      </c>
      <c r="I1994" s="307">
        <v>48</v>
      </c>
      <c r="J1994" s="307">
        <v>23505</v>
      </c>
      <c r="K1994" s="532">
        <f t="shared" si="191"/>
        <v>1128240</v>
      </c>
      <c r="L1994" s="534" t="s">
        <v>292</v>
      </c>
      <c r="M1994" s="534" t="s">
        <v>8</v>
      </c>
      <c r="N1994" s="525" t="str">
        <f>IF(AND('331-CT'!$E$7=TH!H1994,OR(L1994="331",M1994="331")),"331",IF(AND(OR(L1994="131",M1994="131"),H1994='131-CT'!$E$7),"131",""))</f>
        <v>331</v>
      </c>
      <c r="O1994" s="525" t="str">
        <f>IF(AND($B1994&gt;='111'!$N$11,$B1994&lt;='111'!$O$11,OR($L1994=$O$7,$M1994=$O$7)),"x","")</f>
        <v/>
      </c>
      <c r="P1994" s="525" t="str">
        <f>IF(AND($L1994=$O$7,$B1994&lt;'111'!$N$11),"x","")</f>
        <v/>
      </c>
      <c r="Q1994" s="525" t="str">
        <f>IF(AND($M1994=$O$7,$B1994&lt;'111'!$N$11),"x","")</f>
        <v/>
      </c>
      <c r="R1994" s="525" t="str">
        <f>IF(ISERROR(FIND('112'!$M$9,G1994,1)),"",IF((AND(FIND('112'!$M$9,G1994,1)&gt;=1,$B1994&gt;='112'!$N$8,$B1994&lt;='112'!$O$8,OR($L1994='112'!$I$6,$M1994='112'!$I$6))),"x",""))</f>
        <v/>
      </c>
      <c r="S1994" s="525" t="str">
        <f>IF(ISERROR(FIND('112'!$M$9,G1994,1)),"",IF((AND(LEFT(G1994,2)=LEFT('112'!$M$9,2),B1994&lt;'112'!$N$8,$L1994='112'!$I$6)),"x",""))</f>
        <v/>
      </c>
      <c r="T1994" s="525" t="str">
        <f>IF(ISERROR(FIND('112'!$M$9,G1994,1)),"",IF((AND(RIGHT(G1994,2)=RIGHT('112'!$M$9,2),B1994&lt;'112'!$N$8,$M1994='112'!$I$6)),"x",""))</f>
        <v/>
      </c>
      <c r="U1994" s="525" t="str">
        <f>IF(AND(B1994&gt;='IN-NX'!$P$3,B1994&lt;='IN-NX'!$Q$3,'IN-NX'!$D$7=D1994,OR(LEFT(L1994,2)="15",AND(LEFT(M1994,2)&lt;&gt;"15",LEFT(M1994,2)&lt;&gt;"33"))),"x","")</f>
        <v/>
      </c>
      <c r="V1994" s="525" t="str">
        <f>IF(AND(OR(LEFT(TH!L1994,2)="15",LEFT(TH!M1994,2)="15"),'152-CT'!$J$8=TH!F1994),"x","")</f>
        <v/>
      </c>
      <c r="W1994" s="525" t="str">
        <f>IF(AND(OR(LEFT(TH!L1994,2)="15",LEFT(TH!M1994,2)="15"),TK!$E$7=TH!F1994),"x","")</f>
        <v/>
      </c>
      <c r="X1994" s="525" t="str">
        <f>IF(AND('341-CT'!$E$9=H1994,OR(LEFT(L1994,3)=$X$7,LEFT(M1994,3)=$X$7)),"x","")</f>
        <v/>
      </c>
      <c r="Y1994" s="525" t="str">
        <f>IF(OR(TH!L1994=TH!$Y$7,M1994=TH!$Y$7),"x","")</f>
        <v/>
      </c>
      <c r="Z1994" s="525" t="str">
        <f>IF(AND(B1994&lt;=NKC!$N$8,B1994&gt;=NKC!$M$8),"x","")</f>
        <v/>
      </c>
      <c r="AA1994" s="535">
        <v>2</v>
      </c>
      <c r="AB1994" s="536"/>
    </row>
    <row r="1995" spans="1:31" s="503" customFormat="1" ht="15.75" customHeight="1">
      <c r="A1995" s="517" t="str">
        <f>IF(B1995&lt;&gt;"",IF(AND(B1995&gt;=_TM1,B1995&lt;=_TM2,OR(TH!L1995="1111",TH!M1995="1111")),TH!D1995,""),"")</f>
        <v/>
      </c>
      <c r="B1995" s="531">
        <f t="shared" si="189"/>
        <v>4</v>
      </c>
      <c r="C1995" s="315">
        <f t="shared" si="190"/>
        <v>42826</v>
      </c>
      <c r="D1995" s="315" t="s">
        <v>957</v>
      </c>
      <c r="E1995" s="545">
        <v>42826</v>
      </c>
      <c r="F1995" s="249" t="s">
        <v>401</v>
      </c>
      <c r="G1995" s="314" t="s">
        <v>1088</v>
      </c>
      <c r="H1995" s="473" t="s">
        <v>271</v>
      </c>
      <c r="I1995" s="307">
        <v>48</v>
      </c>
      <c r="J1995" s="307">
        <v>15990</v>
      </c>
      <c r="K1995" s="532">
        <f t="shared" si="191"/>
        <v>767520</v>
      </c>
      <c r="L1995" s="534" t="s">
        <v>292</v>
      </c>
      <c r="M1995" s="534" t="s">
        <v>8</v>
      </c>
      <c r="N1995" s="525" t="str">
        <f>IF(AND('331-CT'!$E$7=TH!H1995,OR(L1995="331",M1995="331")),"331",IF(AND(OR(L1995="131",M1995="131"),H1995='131-CT'!$E$7),"131",""))</f>
        <v>331</v>
      </c>
      <c r="O1995" s="525" t="str">
        <f>IF(AND($B1995&gt;='111'!$N$11,$B1995&lt;='111'!$O$11,OR($L1995=$O$7,$M1995=$O$7)),"x","")</f>
        <v/>
      </c>
      <c r="P1995" s="525" t="str">
        <f>IF(AND($L1995=$O$7,$B1995&lt;'111'!$N$11),"x","")</f>
        <v/>
      </c>
      <c r="Q1995" s="525" t="str">
        <f>IF(AND($M1995=$O$7,$B1995&lt;'111'!$N$11),"x","")</f>
        <v/>
      </c>
      <c r="R1995" s="525" t="str">
        <f>IF(ISERROR(FIND('112'!$M$9,G1995,1)),"",IF((AND(FIND('112'!$M$9,G1995,1)&gt;=1,$B1995&gt;='112'!$N$8,$B1995&lt;='112'!$O$8,OR($L1995='112'!$I$6,$M1995='112'!$I$6))),"x",""))</f>
        <v/>
      </c>
      <c r="S1995" s="525" t="str">
        <f>IF(ISERROR(FIND('112'!$M$9,G1995,1)),"",IF((AND(LEFT(G1995,2)=LEFT('112'!$M$9,2),B1995&lt;'112'!$N$8,$L1995='112'!$I$6)),"x",""))</f>
        <v/>
      </c>
      <c r="T1995" s="525" t="str">
        <f>IF(ISERROR(FIND('112'!$M$9,G1995,1)),"",IF((AND(RIGHT(G1995,2)=RIGHT('112'!$M$9,2),B1995&lt;'112'!$N$8,$M1995='112'!$I$6)),"x",""))</f>
        <v/>
      </c>
      <c r="U1995" s="525" t="str">
        <f>IF(AND(B1995&gt;='IN-NX'!$P$3,B1995&lt;='IN-NX'!$Q$3,'IN-NX'!$D$7=D1995,OR(LEFT(L1995,2)="15",AND(LEFT(M1995,2)&lt;&gt;"15",LEFT(M1995,2)&lt;&gt;"33"))),"x","")</f>
        <v/>
      </c>
      <c r="V1995" s="525" t="str">
        <f>IF(AND(OR(LEFT(TH!L1995,2)="15",LEFT(TH!M1995,2)="15"),'152-CT'!$J$8=TH!F1995),"x","")</f>
        <v/>
      </c>
      <c r="W1995" s="525" t="str">
        <f>IF(AND(OR(LEFT(TH!L1995,2)="15",LEFT(TH!M1995,2)="15"),TK!$E$7=TH!F1995),"x","")</f>
        <v/>
      </c>
      <c r="X1995" s="525" t="str">
        <f>IF(AND('341-CT'!$E$9=H1995,OR(LEFT(L1995,3)=$X$7,LEFT(M1995,3)=$X$7)),"x","")</f>
        <v/>
      </c>
      <c r="Y1995" s="525" t="str">
        <f>IF(OR(TH!L1995=TH!$Y$7,M1995=TH!$Y$7),"x","")</f>
        <v/>
      </c>
      <c r="Z1995" s="525" t="str">
        <f>IF(AND(B1995&lt;=NKC!$N$8,B1995&gt;=NKC!$M$8),"x","")</f>
        <v/>
      </c>
      <c r="AA1995" s="535">
        <v>2</v>
      </c>
      <c r="AB1995" s="536"/>
    </row>
    <row r="1996" spans="1:31" s="503" customFormat="1" ht="15.75" customHeight="1">
      <c r="A1996" s="517" t="str">
        <f>IF(B1996&lt;&gt;"",IF(AND(B1996&gt;=_TM1,B1996&lt;=_TM2,OR(TH!L1996="1111",TH!M1996="1111")),TH!D1996,""),"")</f>
        <v/>
      </c>
      <c r="B1996" s="531">
        <f t="shared" si="189"/>
        <v>4</v>
      </c>
      <c r="C1996" s="315">
        <f t="shared" si="190"/>
        <v>42826</v>
      </c>
      <c r="D1996" s="315" t="s">
        <v>957</v>
      </c>
      <c r="E1996" s="545">
        <v>42826</v>
      </c>
      <c r="F1996" s="249" t="s">
        <v>1091</v>
      </c>
      <c r="G1996" s="314" t="s">
        <v>1088</v>
      </c>
      <c r="H1996" s="473" t="s">
        <v>271</v>
      </c>
      <c r="I1996" s="307">
        <v>36</v>
      </c>
      <c r="J1996" s="307">
        <v>23225</v>
      </c>
      <c r="K1996" s="532">
        <f t="shared" si="191"/>
        <v>836100</v>
      </c>
      <c r="L1996" s="534" t="s">
        <v>292</v>
      </c>
      <c r="M1996" s="534" t="s">
        <v>8</v>
      </c>
      <c r="N1996" s="525" t="str">
        <f>IF(AND('331-CT'!$E$7=TH!H1996,OR(L1996="331",M1996="331")),"331",IF(AND(OR(L1996="131",M1996="131"),H1996='131-CT'!$E$7),"131",""))</f>
        <v>331</v>
      </c>
      <c r="O1996" s="525" t="str">
        <f>IF(AND($B1996&gt;='111'!$N$11,$B1996&lt;='111'!$O$11,OR($L1996=$O$7,$M1996=$O$7)),"x","")</f>
        <v/>
      </c>
      <c r="P1996" s="525" t="str">
        <f>IF(AND($L1996=$O$7,$B1996&lt;'111'!$N$11),"x","")</f>
        <v/>
      </c>
      <c r="Q1996" s="525" t="str">
        <f>IF(AND($M1996=$O$7,$B1996&lt;'111'!$N$11),"x","")</f>
        <v/>
      </c>
      <c r="R1996" s="525" t="str">
        <f>IF(ISERROR(FIND('112'!$M$9,G1996,1)),"",IF((AND(FIND('112'!$M$9,G1996,1)&gt;=1,$B1996&gt;='112'!$N$8,$B1996&lt;='112'!$O$8,OR($L1996='112'!$I$6,$M1996='112'!$I$6))),"x",""))</f>
        <v/>
      </c>
      <c r="S1996" s="525" t="str">
        <f>IF(ISERROR(FIND('112'!$M$9,G1996,1)),"",IF((AND(LEFT(G1996,2)=LEFT('112'!$M$9,2),B1996&lt;'112'!$N$8,$L1996='112'!$I$6)),"x",""))</f>
        <v/>
      </c>
      <c r="T1996" s="525" t="str">
        <f>IF(ISERROR(FIND('112'!$M$9,G1996,1)),"",IF((AND(RIGHT(G1996,2)=RIGHT('112'!$M$9,2),B1996&lt;'112'!$N$8,$M1996='112'!$I$6)),"x",""))</f>
        <v/>
      </c>
      <c r="U1996" s="525" t="str">
        <f>IF(AND(B1996&gt;='IN-NX'!$P$3,B1996&lt;='IN-NX'!$Q$3,'IN-NX'!$D$7=D1996,OR(LEFT(L1996,2)="15",AND(LEFT(M1996,2)&lt;&gt;"15",LEFT(M1996,2)&lt;&gt;"33"))),"x","")</f>
        <v/>
      </c>
      <c r="V1996" s="525" t="str">
        <f>IF(AND(OR(LEFT(TH!L1996,2)="15",LEFT(TH!M1996,2)="15"),'152-CT'!$J$8=TH!F1996),"x","")</f>
        <v/>
      </c>
      <c r="W1996" s="525" t="str">
        <f>IF(AND(OR(LEFT(TH!L1996,2)="15",LEFT(TH!M1996,2)="15"),TK!$E$7=TH!F1996),"x","")</f>
        <v/>
      </c>
      <c r="X1996" s="525" t="str">
        <f>IF(AND('341-CT'!$E$9=H1996,OR(LEFT(L1996,3)=$X$7,LEFT(M1996,3)=$X$7)),"x","")</f>
        <v/>
      </c>
      <c r="Y1996" s="525" t="str">
        <f>IF(OR(TH!L1996=TH!$Y$7,M1996=TH!$Y$7),"x","")</f>
        <v/>
      </c>
      <c r="Z1996" s="525" t="str">
        <f>IF(AND(B1996&lt;=NKC!$N$8,B1996&gt;=NKC!$M$8),"x","")</f>
        <v/>
      </c>
      <c r="AA1996" s="535">
        <v>2</v>
      </c>
      <c r="AB1996" s="536"/>
    </row>
    <row r="1997" spans="1:31" s="503" customFormat="1" ht="15.75" customHeight="1">
      <c r="A1997" s="517" t="str">
        <f>IF(B1997&lt;&gt;"",IF(AND(B1997&gt;=_TM1,B1997&lt;=_TM2,OR(TH!L1997="1111",TH!M1997="1111")),TH!D1997,""),"")</f>
        <v/>
      </c>
      <c r="B1997" s="531">
        <f t="shared" si="189"/>
        <v>4</v>
      </c>
      <c r="C1997" s="315">
        <f t="shared" si="190"/>
        <v>42826</v>
      </c>
      <c r="D1997" s="315" t="s">
        <v>957</v>
      </c>
      <c r="E1997" s="545">
        <v>42826</v>
      </c>
      <c r="F1997" s="249" t="s">
        <v>1091</v>
      </c>
      <c r="G1997" s="314" t="s">
        <v>1088</v>
      </c>
      <c r="H1997" s="473" t="s">
        <v>271</v>
      </c>
      <c r="I1997" s="307">
        <v>36</v>
      </c>
      <c r="J1997" s="307">
        <v>15800</v>
      </c>
      <c r="K1997" s="532">
        <f t="shared" si="191"/>
        <v>568800</v>
      </c>
      <c r="L1997" s="534" t="s">
        <v>292</v>
      </c>
      <c r="M1997" s="534" t="s">
        <v>8</v>
      </c>
      <c r="N1997" s="525" t="str">
        <f>IF(AND('331-CT'!$E$7=TH!H1997,OR(L1997="331",M1997="331")),"331",IF(AND(OR(L1997="131",M1997="131"),H1997='131-CT'!$E$7),"131",""))</f>
        <v>331</v>
      </c>
      <c r="O1997" s="525" t="str">
        <f>IF(AND($B1997&gt;='111'!$N$11,$B1997&lt;='111'!$O$11,OR($L1997=$O$7,$M1997=$O$7)),"x","")</f>
        <v/>
      </c>
      <c r="P1997" s="525" t="str">
        <f>IF(AND($L1997=$O$7,$B1997&lt;'111'!$N$11),"x","")</f>
        <v/>
      </c>
      <c r="Q1997" s="525" t="str">
        <f>IF(AND($M1997=$O$7,$B1997&lt;'111'!$N$11),"x","")</f>
        <v/>
      </c>
      <c r="R1997" s="525" t="str">
        <f>IF(ISERROR(FIND('112'!$M$9,G1997,1)),"",IF((AND(FIND('112'!$M$9,G1997,1)&gt;=1,$B1997&gt;='112'!$N$8,$B1997&lt;='112'!$O$8,OR($L1997='112'!$I$6,$M1997='112'!$I$6))),"x",""))</f>
        <v/>
      </c>
      <c r="S1997" s="525" t="str">
        <f>IF(ISERROR(FIND('112'!$M$9,G1997,1)),"",IF((AND(LEFT(G1997,2)=LEFT('112'!$M$9,2),B1997&lt;'112'!$N$8,$L1997='112'!$I$6)),"x",""))</f>
        <v/>
      </c>
      <c r="T1997" s="525" t="str">
        <f>IF(ISERROR(FIND('112'!$M$9,G1997,1)),"",IF((AND(RIGHT(G1997,2)=RIGHT('112'!$M$9,2),B1997&lt;'112'!$N$8,$M1997='112'!$I$6)),"x",""))</f>
        <v/>
      </c>
      <c r="U1997" s="525" t="str">
        <f>IF(AND(B1997&gt;='IN-NX'!$P$3,B1997&lt;='IN-NX'!$Q$3,'IN-NX'!$D$7=D1997,OR(LEFT(L1997,2)="15",AND(LEFT(M1997,2)&lt;&gt;"15",LEFT(M1997,2)&lt;&gt;"33"))),"x","")</f>
        <v/>
      </c>
      <c r="V1997" s="525" t="str">
        <f>IF(AND(OR(LEFT(TH!L1997,2)="15",LEFT(TH!M1997,2)="15"),'152-CT'!$J$8=TH!F1997),"x","")</f>
        <v/>
      </c>
      <c r="W1997" s="525" t="str">
        <f>IF(AND(OR(LEFT(TH!L1997,2)="15",LEFT(TH!M1997,2)="15"),TK!$E$7=TH!F1997),"x","")</f>
        <v/>
      </c>
      <c r="X1997" s="525" t="str">
        <f>IF(AND('341-CT'!$E$9=H1997,OR(LEFT(L1997,3)=$X$7,LEFT(M1997,3)=$X$7)),"x","")</f>
        <v/>
      </c>
      <c r="Y1997" s="525" t="str">
        <f>IF(OR(TH!L1997=TH!$Y$7,M1997=TH!$Y$7),"x","")</f>
        <v/>
      </c>
      <c r="Z1997" s="525" t="str">
        <f>IF(AND(B1997&lt;=NKC!$N$8,B1997&gt;=NKC!$M$8),"x","")</f>
        <v/>
      </c>
      <c r="AA1997" s="535">
        <v>2</v>
      </c>
      <c r="AB1997" s="536"/>
    </row>
    <row r="1998" spans="1:31" s="503" customFormat="1" ht="15.75" customHeight="1">
      <c r="A1998" s="517" t="str">
        <f>IF(B1998&lt;&gt;"",IF(AND(B1998&gt;=_TM1,B1998&lt;=_TM2,OR(TH!L1998="1111",TH!M1998="1111")),TH!D1998,""),"")</f>
        <v/>
      </c>
      <c r="B1998" s="531">
        <f t="shared" si="189"/>
        <v>4</v>
      </c>
      <c r="C1998" s="315">
        <f t="shared" si="190"/>
        <v>42826</v>
      </c>
      <c r="D1998" s="315" t="s">
        <v>957</v>
      </c>
      <c r="E1998" s="545">
        <v>42826</v>
      </c>
      <c r="F1998" s="249" t="s">
        <v>526</v>
      </c>
      <c r="G1998" s="314" t="s">
        <v>1088</v>
      </c>
      <c r="H1998" s="473" t="s">
        <v>271</v>
      </c>
      <c r="I1998" s="307"/>
      <c r="J1998" s="307"/>
      <c r="K1998" s="532">
        <v>845342</v>
      </c>
      <c r="L1998" s="713" t="s">
        <v>9</v>
      </c>
      <c r="M1998" s="534" t="s">
        <v>8</v>
      </c>
      <c r="N1998" s="525" t="str">
        <f>IF(AND('331-CT'!$E$7=TH!H1998,OR(L1998="331",M1998="331")),"331",IF(AND(OR(L1998="131",M1998="131"),H1998='131-CT'!$E$7),"131",""))</f>
        <v>331</v>
      </c>
      <c r="O1998" s="525" t="str">
        <f>IF(AND($B1998&gt;='111'!$N$11,$B1998&lt;='111'!$O$11,OR($L1998=$O$7,$M1998=$O$7)),"x","")</f>
        <v/>
      </c>
      <c r="P1998" s="525" t="str">
        <f>IF(AND($L1998=$O$7,$B1998&lt;'111'!$N$11),"x","")</f>
        <v/>
      </c>
      <c r="Q1998" s="525" t="str">
        <f>IF(AND($M1998=$O$7,$B1998&lt;'111'!$N$11),"x","")</f>
        <v/>
      </c>
      <c r="R1998" s="525" t="str">
        <f>IF(ISERROR(FIND('112'!$M$9,G1998,1)),"",IF((AND(FIND('112'!$M$9,G1998,1)&gt;=1,$B1998&gt;='112'!$N$8,$B1998&lt;='112'!$O$8,OR($L1998='112'!$I$6,$M1998='112'!$I$6))),"x",""))</f>
        <v/>
      </c>
      <c r="S1998" s="525" t="str">
        <f>IF(ISERROR(FIND('112'!$M$9,G1998,1)),"",IF((AND(LEFT(G1998,2)=LEFT('112'!$M$9,2),B1998&lt;'112'!$N$8,$L1998='112'!$I$6)),"x",""))</f>
        <v/>
      </c>
      <c r="T1998" s="525" t="str">
        <f>IF(ISERROR(FIND('112'!$M$9,G1998,1)),"",IF((AND(RIGHT(G1998,2)=RIGHT('112'!$M$9,2),B1998&lt;'112'!$N$8,$M1998='112'!$I$6)),"x",""))</f>
        <v/>
      </c>
      <c r="U1998" s="525" t="str">
        <f>IF(AND(B1998&gt;='IN-NX'!$P$3,B1998&lt;='IN-NX'!$Q$3,'IN-NX'!$D$7=D1998,OR(LEFT(L1998,2)="15",AND(LEFT(M1998,2)&lt;&gt;"15",LEFT(M1998,2)&lt;&gt;"33"))),"x","")</f>
        <v/>
      </c>
      <c r="V1998" s="525" t="str">
        <f>IF(AND(OR(LEFT(TH!L1998,2)="15",LEFT(TH!M1998,2)="15"),'152-CT'!$J$8=TH!F1998),"x","")</f>
        <v/>
      </c>
      <c r="W1998" s="525" t="str">
        <f>IF(AND(OR(LEFT(TH!L1998,2)="15",LEFT(TH!M1998,2)="15"),TK!$E$7=TH!F1998),"x","")</f>
        <v/>
      </c>
      <c r="X1998" s="525" t="str">
        <f>IF(AND('341-CT'!$E$9=H1998,OR(LEFT(L1998,3)=$X$7,LEFT(M1998,3)=$X$7)),"x","")</f>
        <v/>
      </c>
      <c r="Y1998" s="525" t="str">
        <f>IF(OR(TH!L1998=TH!$Y$7,M1998=TH!$Y$7),"x","")</f>
        <v/>
      </c>
      <c r="Z1998" s="525" t="str">
        <f>IF(AND(B1998&lt;=NKC!$N$8,B1998&gt;=NKC!$M$8),"x","")</f>
        <v/>
      </c>
      <c r="AA1998" s="535">
        <v>2</v>
      </c>
      <c r="AB1998" s="536"/>
    </row>
    <row r="1999" spans="1:31" s="503" customFormat="1" ht="15.75" customHeight="1">
      <c r="A1999" s="517" t="str">
        <f>IF(B1999&lt;&gt;"",IF(AND(B1999&gt;=_TM1,B1999&lt;=_TM2,OR(TH!L1999="1111",TH!M1999="1111")),TH!D1999,""),"")</f>
        <v/>
      </c>
      <c r="B1999" s="531">
        <f t="shared" si="189"/>
        <v>4</v>
      </c>
      <c r="C1999" s="315">
        <f t="shared" si="190"/>
        <v>42827</v>
      </c>
      <c r="D1999" s="315" t="s">
        <v>958</v>
      </c>
      <c r="E1999" s="545">
        <v>42827</v>
      </c>
      <c r="F1999" s="249" t="s">
        <v>689</v>
      </c>
      <c r="G1999" s="314" t="s">
        <v>1003</v>
      </c>
      <c r="H1999" s="473" t="s">
        <v>447</v>
      </c>
      <c r="I1999" s="307">
        <v>10</v>
      </c>
      <c r="J1999" s="307">
        <v>78953</v>
      </c>
      <c r="K1999" s="532">
        <f t="shared" ref="K1999:K2027" si="192">ROUND(I1999*J1999,0)</f>
        <v>789530</v>
      </c>
      <c r="L1999" s="534" t="s">
        <v>292</v>
      </c>
      <c r="M1999" s="534" t="s">
        <v>8</v>
      </c>
      <c r="N1999" s="525" t="str">
        <f>IF(AND('331-CT'!$E$7=TH!H1999,OR(L1999="331",M1999="331")),"331",IF(AND(OR(L1999="131",M1999="131"),H1999='131-CT'!$E$7),"131",""))</f>
        <v/>
      </c>
      <c r="O1999" s="525" t="str">
        <f>IF(AND($B1999&gt;='111'!$N$11,$B1999&lt;='111'!$O$11,OR($L1999=$O$7,$M1999=$O$7)),"x","")</f>
        <v/>
      </c>
      <c r="P1999" s="525" t="str">
        <f>IF(AND($L1999=$O$7,$B1999&lt;'111'!$N$11),"x","")</f>
        <v/>
      </c>
      <c r="Q1999" s="525" t="str">
        <f>IF(AND($M1999=$O$7,$B1999&lt;'111'!$N$11),"x","")</f>
        <v/>
      </c>
      <c r="R1999" s="525" t="str">
        <f>IF(ISERROR(FIND('112'!$M$9,G1999,1)),"",IF((AND(FIND('112'!$M$9,G1999,1)&gt;=1,$B1999&gt;='112'!$N$8,$B1999&lt;='112'!$O$8,OR($L1999='112'!$I$6,$M1999='112'!$I$6))),"x",""))</f>
        <v/>
      </c>
      <c r="S1999" s="525" t="str">
        <f>IF(ISERROR(FIND('112'!$M$9,G1999,1)),"",IF((AND(LEFT(G1999,2)=LEFT('112'!$M$9,2),B1999&lt;'112'!$N$8,$L1999='112'!$I$6)),"x",""))</f>
        <v/>
      </c>
      <c r="T1999" s="525" t="str">
        <f>IF(ISERROR(FIND('112'!$M$9,G1999,1)),"",IF((AND(RIGHT(G1999,2)=RIGHT('112'!$M$9,2),B1999&lt;'112'!$N$8,$M1999='112'!$I$6)),"x",""))</f>
        <v/>
      </c>
      <c r="U1999" s="525" t="str">
        <f>IF(AND(B1999&gt;='IN-NX'!$P$3,B1999&lt;='IN-NX'!$Q$3,'IN-NX'!$D$7=D1999,OR(LEFT(L1999,2)="15",AND(LEFT(M1999,2)&lt;&gt;"15",LEFT(M1999,2)&lt;&gt;"33"))),"x","")</f>
        <v/>
      </c>
      <c r="V1999" s="525" t="str">
        <f>IF(AND(OR(LEFT(TH!L1999,2)="15",LEFT(TH!M1999,2)="15"),'152-CT'!$J$8=TH!F1999),"x","")</f>
        <v/>
      </c>
      <c r="W1999" s="525" t="str">
        <f>IF(AND(OR(LEFT(TH!L1999,2)="15",LEFT(TH!M1999,2)="15"),TK!$E$7=TH!F1999),"x","")</f>
        <v/>
      </c>
      <c r="X1999" s="525" t="str">
        <f>IF(AND('341-CT'!$E$9=H1999,OR(LEFT(L1999,3)=$X$7,LEFT(M1999,3)=$X$7)),"x","")</f>
        <v/>
      </c>
      <c r="Y1999" s="525" t="str">
        <f>IF(OR(TH!L1999=TH!$Y$7,M1999=TH!$Y$7),"x","")</f>
        <v/>
      </c>
      <c r="Z1999" s="525" t="str">
        <f>IF(AND(B1999&lt;=NKC!$N$8,B1999&gt;=NKC!$M$8),"x","")</f>
        <v/>
      </c>
      <c r="AA1999" s="535">
        <v>2</v>
      </c>
      <c r="AB1999" s="536"/>
      <c r="AE1999" s="536"/>
    </row>
    <row r="2000" spans="1:31" s="503" customFormat="1" ht="15.75" customHeight="1">
      <c r="A2000" s="517" t="str">
        <f>IF(B2000&lt;&gt;"",IF(AND(B2000&gt;=_TM1,B2000&lt;=_TM2,OR(TH!L2000="1111",TH!M2000="1111")),TH!D2000,""),"")</f>
        <v/>
      </c>
      <c r="B2000" s="531">
        <f t="shared" si="189"/>
        <v>4</v>
      </c>
      <c r="C2000" s="315">
        <f t="shared" si="190"/>
        <v>42827</v>
      </c>
      <c r="D2000" s="315" t="s">
        <v>958</v>
      </c>
      <c r="E2000" s="545">
        <v>42827</v>
      </c>
      <c r="F2000" s="249" t="s">
        <v>692</v>
      </c>
      <c r="G2000" s="314" t="s">
        <v>1003</v>
      </c>
      <c r="H2000" s="473" t="s">
        <v>447</v>
      </c>
      <c r="I2000" s="307">
        <v>18</v>
      </c>
      <c r="J2000" s="307">
        <v>183100</v>
      </c>
      <c r="K2000" s="532">
        <f t="shared" si="192"/>
        <v>3295800</v>
      </c>
      <c r="L2000" s="534" t="s">
        <v>292</v>
      </c>
      <c r="M2000" s="534" t="s">
        <v>8</v>
      </c>
      <c r="N2000" s="525" t="str">
        <f>IF(AND('331-CT'!$E$7=TH!H2000,OR(L2000="331",M2000="331")),"331",IF(AND(OR(L2000="131",M2000="131"),H2000='131-CT'!$E$7),"131",""))</f>
        <v/>
      </c>
      <c r="O2000" s="525" t="str">
        <f>IF(AND($B2000&gt;='111'!$N$11,$B2000&lt;='111'!$O$11,OR($L2000=$O$7,$M2000=$O$7)),"x","")</f>
        <v/>
      </c>
      <c r="P2000" s="525" t="str">
        <f>IF(AND($L2000=$O$7,$B2000&lt;'111'!$N$11),"x","")</f>
        <v/>
      </c>
      <c r="Q2000" s="525" t="str">
        <f>IF(AND($M2000=$O$7,$B2000&lt;'111'!$N$11),"x","")</f>
        <v/>
      </c>
      <c r="R2000" s="525" t="str">
        <f>IF(ISERROR(FIND('112'!$M$9,G2000,1)),"",IF((AND(FIND('112'!$M$9,G2000,1)&gt;=1,$B2000&gt;='112'!$N$8,$B2000&lt;='112'!$O$8,OR($L2000='112'!$I$6,$M2000='112'!$I$6))),"x",""))</f>
        <v/>
      </c>
      <c r="S2000" s="525" t="str">
        <f>IF(ISERROR(FIND('112'!$M$9,G2000,1)),"",IF((AND(LEFT(G2000,2)=LEFT('112'!$M$9,2),B2000&lt;'112'!$N$8,$L2000='112'!$I$6)),"x",""))</f>
        <v/>
      </c>
      <c r="T2000" s="525" t="str">
        <f>IF(ISERROR(FIND('112'!$M$9,G2000,1)),"",IF((AND(RIGHT(G2000,2)=RIGHT('112'!$M$9,2),B2000&lt;'112'!$N$8,$M2000='112'!$I$6)),"x",""))</f>
        <v/>
      </c>
      <c r="U2000" s="525" t="str">
        <f>IF(AND(B2000&gt;='IN-NX'!$P$3,B2000&lt;='IN-NX'!$Q$3,'IN-NX'!$D$7=D2000,OR(LEFT(L2000,2)="15",AND(LEFT(M2000,2)&lt;&gt;"15",LEFT(M2000,2)&lt;&gt;"33"))),"x","")</f>
        <v/>
      </c>
      <c r="V2000" s="525" t="str">
        <f>IF(AND(OR(LEFT(TH!L2000,2)="15",LEFT(TH!M2000,2)="15"),'152-CT'!$J$8=TH!F2000),"x","")</f>
        <v/>
      </c>
      <c r="W2000" s="525" t="str">
        <f>IF(AND(OR(LEFT(TH!L2000,2)="15",LEFT(TH!M2000,2)="15"),TK!$E$7=TH!F2000),"x","")</f>
        <v/>
      </c>
      <c r="X2000" s="525" t="str">
        <f>IF(AND('341-CT'!$E$9=H2000,OR(LEFT(L2000,3)=$X$7,LEFT(M2000,3)=$X$7)),"x","")</f>
        <v/>
      </c>
      <c r="Y2000" s="525" t="str">
        <f>IF(OR(TH!L2000=TH!$Y$7,M2000=TH!$Y$7),"x","")</f>
        <v/>
      </c>
      <c r="Z2000" s="525" t="str">
        <f>IF(AND(B2000&lt;=NKC!$N$8,B2000&gt;=NKC!$M$8),"x","")</f>
        <v/>
      </c>
      <c r="AA2000" s="535">
        <v>2</v>
      </c>
      <c r="AB2000" s="536"/>
      <c r="AE2000" s="536"/>
    </row>
    <row r="2001" spans="1:34" s="503" customFormat="1" ht="15.75" customHeight="1">
      <c r="A2001" s="517" t="str">
        <f>IF(B2001&lt;&gt;"",IF(AND(B2001&gt;=_TM1,B2001&lt;=_TM2,OR(TH!L2001="1111",TH!M2001="1111")),TH!D2001,""),"")</f>
        <v/>
      </c>
      <c r="B2001" s="531">
        <f t="shared" si="189"/>
        <v>4</v>
      </c>
      <c r="C2001" s="315">
        <f t="shared" si="190"/>
        <v>42827</v>
      </c>
      <c r="D2001" s="315" t="s">
        <v>958</v>
      </c>
      <c r="E2001" s="545">
        <v>42827</v>
      </c>
      <c r="F2001" s="249" t="s">
        <v>691</v>
      </c>
      <c r="G2001" s="314" t="s">
        <v>1003</v>
      </c>
      <c r="H2001" s="473" t="s">
        <v>447</v>
      </c>
      <c r="I2001" s="307">
        <v>32</v>
      </c>
      <c r="J2001" s="307">
        <v>49574</v>
      </c>
      <c r="K2001" s="532">
        <f t="shared" si="192"/>
        <v>1586368</v>
      </c>
      <c r="L2001" s="534" t="s">
        <v>292</v>
      </c>
      <c r="M2001" s="534" t="s">
        <v>8</v>
      </c>
      <c r="N2001" s="525" t="str">
        <f>IF(AND('331-CT'!$E$7=TH!H2001,OR(L2001="331",M2001="331")),"331",IF(AND(OR(L2001="131",M2001="131"),H2001='131-CT'!$E$7),"131",""))</f>
        <v/>
      </c>
      <c r="O2001" s="525" t="str">
        <f>IF(AND($B2001&gt;='111'!$N$11,$B2001&lt;='111'!$O$11,OR($L2001=$O$7,$M2001=$O$7)),"x","")</f>
        <v/>
      </c>
      <c r="P2001" s="525" t="str">
        <f>IF(AND($L2001=$O$7,$B2001&lt;'111'!$N$11),"x","")</f>
        <v/>
      </c>
      <c r="Q2001" s="525" t="str">
        <f>IF(AND($M2001=$O$7,$B2001&lt;'111'!$N$11),"x","")</f>
        <v/>
      </c>
      <c r="R2001" s="525" t="str">
        <f>IF(ISERROR(FIND('112'!$M$9,G2001,1)),"",IF((AND(FIND('112'!$M$9,G2001,1)&gt;=1,$B2001&gt;='112'!$N$8,$B2001&lt;='112'!$O$8,OR($L2001='112'!$I$6,$M2001='112'!$I$6))),"x",""))</f>
        <v/>
      </c>
      <c r="S2001" s="525" t="str">
        <f>IF(ISERROR(FIND('112'!$M$9,G2001,1)),"",IF((AND(LEFT(G2001,2)=LEFT('112'!$M$9,2),B2001&lt;'112'!$N$8,$L2001='112'!$I$6)),"x",""))</f>
        <v/>
      </c>
      <c r="T2001" s="525" t="str">
        <f>IF(ISERROR(FIND('112'!$M$9,G2001,1)),"",IF((AND(RIGHT(G2001,2)=RIGHT('112'!$M$9,2),B2001&lt;'112'!$N$8,$M2001='112'!$I$6)),"x",""))</f>
        <v/>
      </c>
      <c r="U2001" s="525" t="str">
        <f>IF(AND(B2001&gt;='IN-NX'!$P$3,B2001&lt;='IN-NX'!$Q$3,'IN-NX'!$D$7=D2001,OR(LEFT(L2001,2)="15",AND(LEFT(M2001,2)&lt;&gt;"15",LEFT(M2001,2)&lt;&gt;"33"))),"x","")</f>
        <v/>
      </c>
      <c r="V2001" s="525" t="str">
        <f>IF(AND(OR(LEFT(TH!L2001,2)="15",LEFT(TH!M2001,2)="15"),'152-CT'!$J$8=TH!F2001),"x","")</f>
        <v/>
      </c>
      <c r="W2001" s="525" t="str">
        <f>IF(AND(OR(LEFT(TH!L2001,2)="15",LEFT(TH!M2001,2)="15"),TK!$E$7=TH!F2001),"x","")</f>
        <v/>
      </c>
      <c r="X2001" s="525" t="str">
        <f>IF(AND('341-CT'!$E$9=H2001,OR(LEFT(L2001,3)=$X$7,LEFT(M2001,3)=$X$7)),"x","")</f>
        <v/>
      </c>
      <c r="Y2001" s="525" t="str">
        <f>IF(OR(TH!L2001=TH!$Y$7,M2001=TH!$Y$7),"x","")</f>
        <v/>
      </c>
      <c r="Z2001" s="525" t="str">
        <f>IF(AND(B2001&lt;=NKC!$N$8,B2001&gt;=NKC!$M$8),"x","")</f>
        <v/>
      </c>
      <c r="AA2001" s="535">
        <v>2</v>
      </c>
      <c r="AB2001" s="536"/>
      <c r="AE2001" s="536"/>
    </row>
    <row r="2002" spans="1:34" s="503" customFormat="1" ht="15.75" customHeight="1">
      <c r="A2002" s="517" t="str">
        <f>IF(B2002&lt;&gt;"",IF(AND(B2002&gt;=_TM1,B2002&lt;=_TM2,OR(TH!L2002="1111",TH!M2002="1111")),TH!D2002,""),"")</f>
        <v/>
      </c>
      <c r="B2002" s="531">
        <f t="shared" si="189"/>
        <v>4</v>
      </c>
      <c r="C2002" s="315">
        <f t="shared" si="190"/>
        <v>42827</v>
      </c>
      <c r="D2002" s="315" t="s">
        <v>958</v>
      </c>
      <c r="E2002" s="545">
        <v>42827</v>
      </c>
      <c r="F2002" s="249" t="s">
        <v>611</v>
      </c>
      <c r="G2002" s="314" t="s">
        <v>1003</v>
      </c>
      <c r="H2002" s="473" t="s">
        <v>447</v>
      </c>
      <c r="I2002" s="307">
        <v>32</v>
      </c>
      <c r="J2002" s="307">
        <v>43918</v>
      </c>
      <c r="K2002" s="532">
        <f t="shared" si="192"/>
        <v>1405376</v>
      </c>
      <c r="L2002" s="534" t="s">
        <v>292</v>
      </c>
      <c r="M2002" s="534" t="s">
        <v>8</v>
      </c>
      <c r="N2002" s="525" t="str">
        <f>IF(AND('331-CT'!$E$7=TH!H2002,OR(L2002="331",M2002="331")),"331",IF(AND(OR(L2002="131",M2002="131"),H2002='131-CT'!$E$7),"131",""))</f>
        <v/>
      </c>
      <c r="O2002" s="525" t="str">
        <f>IF(AND($B2002&gt;='111'!$N$11,$B2002&lt;='111'!$O$11,OR($L2002=$O$7,$M2002=$O$7)),"x","")</f>
        <v/>
      </c>
      <c r="P2002" s="525" t="str">
        <f>IF(AND($L2002=$O$7,$B2002&lt;'111'!$N$11),"x","")</f>
        <v/>
      </c>
      <c r="Q2002" s="525" t="str">
        <f>IF(AND($M2002=$O$7,$B2002&lt;'111'!$N$11),"x","")</f>
        <v/>
      </c>
      <c r="R2002" s="525" t="str">
        <f>IF(ISERROR(FIND('112'!$M$9,G2002,1)),"",IF((AND(FIND('112'!$M$9,G2002,1)&gt;=1,$B2002&gt;='112'!$N$8,$B2002&lt;='112'!$O$8,OR($L2002='112'!$I$6,$M2002='112'!$I$6))),"x",""))</f>
        <v/>
      </c>
      <c r="S2002" s="525" t="str">
        <f>IF(ISERROR(FIND('112'!$M$9,G2002,1)),"",IF((AND(LEFT(G2002,2)=LEFT('112'!$M$9,2),B2002&lt;'112'!$N$8,$L2002='112'!$I$6)),"x",""))</f>
        <v/>
      </c>
      <c r="T2002" s="525" t="str">
        <f>IF(ISERROR(FIND('112'!$M$9,G2002,1)),"",IF((AND(RIGHT(G2002,2)=RIGHT('112'!$M$9,2),B2002&lt;'112'!$N$8,$M2002='112'!$I$6)),"x",""))</f>
        <v/>
      </c>
      <c r="U2002" s="525" t="str">
        <f>IF(AND(B2002&gt;='IN-NX'!$P$3,B2002&lt;='IN-NX'!$Q$3,'IN-NX'!$D$7=D2002,OR(LEFT(L2002,2)="15",AND(LEFT(M2002,2)&lt;&gt;"15",LEFT(M2002,2)&lt;&gt;"33"))),"x","")</f>
        <v/>
      </c>
      <c r="V2002" s="525" t="str">
        <f>IF(AND(OR(LEFT(TH!L2002,2)="15",LEFT(TH!M2002,2)="15"),'152-CT'!$J$8=TH!F2002),"x","")</f>
        <v/>
      </c>
      <c r="W2002" s="525" t="str">
        <f>IF(AND(OR(LEFT(TH!L2002,2)="15",LEFT(TH!M2002,2)="15"),TK!$E$7=TH!F2002),"x","")</f>
        <v/>
      </c>
      <c r="X2002" s="525" t="str">
        <f>IF(AND('341-CT'!$E$9=H2002,OR(LEFT(L2002,3)=$X$7,LEFT(M2002,3)=$X$7)),"x","")</f>
        <v/>
      </c>
      <c r="Y2002" s="525" t="str">
        <f>IF(OR(TH!L2002=TH!$Y$7,M2002=TH!$Y$7),"x","")</f>
        <v/>
      </c>
      <c r="Z2002" s="525" t="str">
        <f>IF(AND(B2002&lt;=NKC!$N$8,B2002&gt;=NKC!$M$8),"x","")</f>
        <v/>
      </c>
      <c r="AA2002" s="535">
        <v>2</v>
      </c>
      <c r="AB2002" s="536"/>
      <c r="AE2002" s="536"/>
    </row>
    <row r="2003" spans="1:34" s="503" customFormat="1" ht="15.75" customHeight="1">
      <c r="A2003" s="517" t="str">
        <f>IF(B2003&lt;&gt;"",IF(AND(B2003&gt;=_TM1,B2003&lt;=_TM2,OR(TH!L2003="1111",TH!M2003="1111")),TH!D2003,""),"")</f>
        <v/>
      </c>
      <c r="B2003" s="531">
        <f t="shared" si="189"/>
        <v>4</v>
      </c>
      <c r="C2003" s="315">
        <f t="shared" si="190"/>
        <v>42827</v>
      </c>
      <c r="D2003" s="315" t="s">
        <v>958</v>
      </c>
      <c r="E2003" s="545">
        <v>42827</v>
      </c>
      <c r="F2003" s="249" t="s">
        <v>660</v>
      </c>
      <c r="G2003" s="314" t="s">
        <v>1003</v>
      </c>
      <c r="H2003" s="473" t="s">
        <v>447</v>
      </c>
      <c r="I2003" s="307">
        <v>8</v>
      </c>
      <c r="J2003" s="307">
        <v>97796</v>
      </c>
      <c r="K2003" s="532">
        <f t="shared" si="192"/>
        <v>782368</v>
      </c>
      <c r="L2003" s="534" t="s">
        <v>292</v>
      </c>
      <c r="M2003" s="534" t="s">
        <v>8</v>
      </c>
      <c r="N2003" s="525" t="str">
        <f>IF(AND('331-CT'!$E$7=TH!H2003,OR(L2003="331",M2003="331")),"331",IF(AND(OR(L2003="131",M2003="131"),H2003='131-CT'!$E$7),"131",""))</f>
        <v/>
      </c>
      <c r="O2003" s="525" t="str">
        <f>IF(AND($B2003&gt;='111'!$N$11,$B2003&lt;='111'!$O$11,OR($L2003=$O$7,$M2003=$O$7)),"x","")</f>
        <v/>
      </c>
      <c r="P2003" s="525" t="str">
        <f>IF(AND($L2003=$O$7,$B2003&lt;'111'!$N$11),"x","")</f>
        <v/>
      </c>
      <c r="Q2003" s="525" t="str">
        <f>IF(AND($M2003=$O$7,$B2003&lt;'111'!$N$11),"x","")</f>
        <v/>
      </c>
      <c r="R2003" s="525" t="str">
        <f>IF(ISERROR(FIND('112'!$M$9,G2003,1)),"",IF((AND(FIND('112'!$M$9,G2003,1)&gt;=1,$B2003&gt;='112'!$N$8,$B2003&lt;='112'!$O$8,OR($L2003='112'!$I$6,$M2003='112'!$I$6))),"x",""))</f>
        <v/>
      </c>
      <c r="S2003" s="525" t="str">
        <f>IF(ISERROR(FIND('112'!$M$9,G2003,1)),"",IF((AND(LEFT(G2003,2)=LEFT('112'!$M$9,2),B2003&lt;'112'!$N$8,$L2003='112'!$I$6)),"x",""))</f>
        <v/>
      </c>
      <c r="T2003" s="525" t="str">
        <f>IF(ISERROR(FIND('112'!$M$9,G2003,1)),"",IF((AND(RIGHT(G2003,2)=RIGHT('112'!$M$9,2),B2003&lt;'112'!$N$8,$M2003='112'!$I$6)),"x",""))</f>
        <v/>
      </c>
      <c r="U2003" s="525" t="str">
        <f>IF(AND(B2003&gt;='IN-NX'!$P$3,B2003&lt;='IN-NX'!$Q$3,'IN-NX'!$D$7=D2003,OR(LEFT(L2003,2)="15",AND(LEFT(M2003,2)&lt;&gt;"15",LEFT(M2003,2)&lt;&gt;"33"))),"x","")</f>
        <v/>
      </c>
      <c r="V2003" s="525" t="str">
        <f>IF(AND(OR(LEFT(TH!L2003,2)="15",LEFT(TH!M2003,2)="15"),'152-CT'!$J$8=TH!F2003),"x","")</f>
        <v/>
      </c>
      <c r="W2003" s="525" t="str">
        <f>IF(AND(OR(LEFT(TH!L2003,2)="15",LEFT(TH!M2003,2)="15"),TK!$E$7=TH!F2003),"x","")</f>
        <v/>
      </c>
      <c r="X2003" s="525" t="str">
        <f>IF(AND('341-CT'!$E$9=H2003,OR(LEFT(L2003,3)=$X$7,LEFT(M2003,3)=$X$7)),"x","")</f>
        <v/>
      </c>
      <c r="Y2003" s="525" t="str">
        <f>IF(OR(TH!L2003=TH!$Y$7,M2003=TH!$Y$7),"x","")</f>
        <v/>
      </c>
      <c r="Z2003" s="525" t="str">
        <f>IF(AND(B2003&lt;=NKC!$N$8,B2003&gt;=NKC!$M$8),"x","")</f>
        <v/>
      </c>
      <c r="AA2003" s="535">
        <v>2</v>
      </c>
      <c r="AB2003" s="536"/>
      <c r="AE2003" s="536"/>
    </row>
    <row r="2004" spans="1:34" s="503" customFormat="1" ht="15.75" customHeight="1">
      <c r="A2004" s="517" t="str">
        <f>IF(B2004&lt;&gt;"",IF(AND(B2004&gt;=_TM1,B2004&lt;=_TM2,OR(TH!L2004="1111",TH!M2004="1111")),TH!D2004,""),"")</f>
        <v/>
      </c>
      <c r="B2004" s="531">
        <f t="shared" si="189"/>
        <v>4</v>
      </c>
      <c r="C2004" s="315">
        <f t="shared" si="190"/>
        <v>42827</v>
      </c>
      <c r="D2004" s="315" t="s">
        <v>958</v>
      </c>
      <c r="E2004" s="545">
        <v>42827</v>
      </c>
      <c r="F2004" s="249" t="s">
        <v>740</v>
      </c>
      <c r="G2004" s="314" t="s">
        <v>1003</v>
      </c>
      <c r="H2004" s="473" t="s">
        <v>447</v>
      </c>
      <c r="I2004" s="307">
        <v>20</v>
      </c>
      <c r="J2004" s="307">
        <v>160236</v>
      </c>
      <c r="K2004" s="532">
        <f t="shared" si="192"/>
        <v>3204720</v>
      </c>
      <c r="L2004" s="534" t="s">
        <v>292</v>
      </c>
      <c r="M2004" s="534" t="s">
        <v>8</v>
      </c>
      <c r="N2004" s="525" t="str">
        <f>IF(AND('331-CT'!$E$7=TH!H2004,OR(L2004="331",M2004="331")),"331",IF(AND(OR(L2004="131",M2004="131"),H2004='131-CT'!$E$7),"131",""))</f>
        <v/>
      </c>
      <c r="O2004" s="525" t="str">
        <f>IF(AND($B2004&gt;='111'!$N$11,$B2004&lt;='111'!$O$11,OR($L2004=$O$7,$M2004=$O$7)),"x","")</f>
        <v/>
      </c>
      <c r="P2004" s="525" t="str">
        <f>IF(AND($L2004=$O$7,$B2004&lt;'111'!$N$11),"x","")</f>
        <v/>
      </c>
      <c r="Q2004" s="525" t="str">
        <f>IF(AND($M2004=$O$7,$B2004&lt;'111'!$N$11),"x","")</f>
        <v/>
      </c>
      <c r="R2004" s="525" t="str">
        <f>IF(ISERROR(FIND('112'!$M$9,G2004,1)),"",IF((AND(FIND('112'!$M$9,G2004,1)&gt;=1,$B2004&gt;='112'!$N$8,$B2004&lt;='112'!$O$8,OR($L2004='112'!$I$6,$M2004='112'!$I$6))),"x",""))</f>
        <v/>
      </c>
      <c r="S2004" s="525" t="str">
        <f>IF(ISERROR(FIND('112'!$M$9,G2004,1)),"",IF((AND(LEFT(G2004,2)=LEFT('112'!$M$9,2),B2004&lt;'112'!$N$8,$L2004='112'!$I$6)),"x",""))</f>
        <v/>
      </c>
      <c r="T2004" s="525" t="str">
        <f>IF(ISERROR(FIND('112'!$M$9,G2004,1)),"",IF((AND(RIGHT(G2004,2)=RIGHT('112'!$M$9,2),B2004&lt;'112'!$N$8,$M2004='112'!$I$6)),"x",""))</f>
        <v/>
      </c>
      <c r="U2004" s="525" t="str">
        <f>IF(AND(B2004&gt;='IN-NX'!$P$3,B2004&lt;='IN-NX'!$Q$3,'IN-NX'!$D$7=D2004,OR(LEFT(L2004,2)="15",AND(LEFT(M2004,2)&lt;&gt;"15",LEFT(M2004,2)&lt;&gt;"33"))),"x","")</f>
        <v/>
      </c>
      <c r="V2004" s="525" t="str">
        <f>IF(AND(OR(LEFT(TH!L2004,2)="15",LEFT(TH!M2004,2)="15"),'152-CT'!$J$8=TH!F2004),"x","")</f>
        <v/>
      </c>
      <c r="W2004" s="525" t="str">
        <f>IF(AND(OR(LEFT(TH!L2004,2)="15",LEFT(TH!M2004,2)="15"),TK!$E$7=TH!F2004),"x","")</f>
        <v/>
      </c>
      <c r="X2004" s="525" t="str">
        <f>IF(AND('341-CT'!$E$9=H2004,OR(LEFT(L2004,3)=$X$7,LEFT(M2004,3)=$X$7)),"x","")</f>
        <v/>
      </c>
      <c r="Y2004" s="525" t="str">
        <f>IF(OR(TH!L2004=TH!$Y$7,M2004=TH!$Y$7),"x","")</f>
        <v/>
      </c>
      <c r="Z2004" s="525" t="str">
        <f>IF(AND(B2004&lt;=NKC!$N$8,B2004&gt;=NKC!$M$8),"x","")</f>
        <v/>
      </c>
      <c r="AA2004" s="535">
        <v>2</v>
      </c>
      <c r="AB2004" s="536"/>
      <c r="AE2004" s="536"/>
    </row>
    <row r="2005" spans="1:34" s="536" customFormat="1" ht="15.75" customHeight="1">
      <c r="A2005" s="517" t="str">
        <f>IF(B2005&lt;&gt;"",IF(AND(B2005&gt;=_TM1,B2005&lt;=_TM2,OR(TH!L2005="1111",TH!M2005="1111")),TH!D2005,""),"")</f>
        <v/>
      </c>
      <c r="B2005" s="531">
        <f t="shared" si="189"/>
        <v>4</v>
      </c>
      <c r="C2005" s="315">
        <f t="shared" si="190"/>
        <v>42827</v>
      </c>
      <c r="D2005" s="315" t="s">
        <v>958</v>
      </c>
      <c r="E2005" s="545">
        <v>42827</v>
      </c>
      <c r="F2005" s="249" t="s">
        <v>741</v>
      </c>
      <c r="G2005" s="314" t="s">
        <v>1003</v>
      </c>
      <c r="H2005" s="473" t="s">
        <v>447</v>
      </c>
      <c r="I2005" s="307">
        <v>4</v>
      </c>
      <c r="J2005" s="307">
        <v>210369</v>
      </c>
      <c r="K2005" s="532">
        <f t="shared" si="192"/>
        <v>841476</v>
      </c>
      <c r="L2005" s="534" t="s">
        <v>292</v>
      </c>
      <c r="M2005" s="534" t="s">
        <v>8</v>
      </c>
      <c r="N2005" s="525" t="str">
        <f>IF(AND('331-CT'!$E$7=TH!H2005,OR(L2005="331",M2005="331")),"331",IF(AND(OR(L2005="131",M2005="131"),H2005='131-CT'!$E$7),"131",""))</f>
        <v/>
      </c>
      <c r="O2005" s="525" t="str">
        <f>IF(AND($B2005&gt;='111'!$N$11,$B2005&lt;='111'!$O$11,OR($L2005=$O$7,$M2005=$O$7)),"x","")</f>
        <v/>
      </c>
      <c r="P2005" s="525" t="str">
        <f>IF(AND($L2005=$O$7,$B2005&lt;'111'!$N$11),"x","")</f>
        <v/>
      </c>
      <c r="Q2005" s="525" t="str">
        <f>IF(AND($M2005=$O$7,$B2005&lt;'111'!$N$11),"x","")</f>
        <v/>
      </c>
      <c r="R2005" s="525" t="str">
        <f>IF(ISERROR(FIND('112'!$M$9,G2005,1)),"",IF((AND(FIND('112'!$M$9,G2005,1)&gt;=1,$B2005&gt;='112'!$N$8,$B2005&lt;='112'!$O$8,OR($L2005='112'!$I$6,$M2005='112'!$I$6))),"x",""))</f>
        <v/>
      </c>
      <c r="S2005" s="525" t="str">
        <f>IF(ISERROR(FIND('112'!$M$9,G2005,1)),"",IF((AND(LEFT(G2005,2)=LEFT('112'!$M$9,2),B2005&lt;'112'!$N$8,$L2005='112'!$I$6)),"x",""))</f>
        <v/>
      </c>
      <c r="T2005" s="525" t="str">
        <f>IF(ISERROR(FIND('112'!$M$9,G2005,1)),"",IF((AND(RIGHT(G2005,2)=RIGHT('112'!$M$9,2),B2005&lt;'112'!$N$8,$M2005='112'!$I$6)),"x",""))</f>
        <v/>
      </c>
      <c r="U2005" s="525" t="str">
        <f>IF(AND(B2005&gt;='IN-NX'!$P$3,B2005&lt;='IN-NX'!$Q$3,'IN-NX'!$D$7=D2005,OR(LEFT(L2005,2)="15",AND(LEFT(M2005,2)&lt;&gt;"15",LEFT(M2005,2)&lt;&gt;"33"))),"x","")</f>
        <v/>
      </c>
      <c r="V2005" s="525" t="str">
        <f>IF(AND(OR(LEFT(TH!L2005,2)="15",LEFT(TH!M2005,2)="15"),'152-CT'!$J$8=TH!F2005),"x","")</f>
        <v/>
      </c>
      <c r="W2005" s="525" t="str">
        <f>IF(AND(OR(LEFT(TH!L2005,2)="15",LEFT(TH!M2005,2)="15"),TK!$E$7=TH!F2005),"x","")</f>
        <v/>
      </c>
      <c r="X2005" s="525" t="str">
        <f>IF(AND('341-CT'!$E$9=H2005,OR(LEFT(L2005,3)=$X$7,LEFT(M2005,3)=$X$7)),"x","")</f>
        <v/>
      </c>
      <c r="Y2005" s="525" t="str">
        <f>IF(OR(TH!L2005=TH!$Y$7,M2005=TH!$Y$7),"x","")</f>
        <v/>
      </c>
      <c r="Z2005" s="525" t="str">
        <f>IF(AND(B2005&lt;=NKC!$N$8,B2005&gt;=NKC!$M$8),"x","")</f>
        <v/>
      </c>
      <c r="AA2005" s="535">
        <v>2</v>
      </c>
      <c r="AC2005" s="503"/>
      <c r="AD2005" s="503"/>
      <c r="AE2005" s="503"/>
      <c r="AF2005" s="503"/>
      <c r="AG2005" s="503"/>
      <c r="AH2005" s="503"/>
    </row>
    <row r="2006" spans="1:34" s="536" customFormat="1" ht="15.75" customHeight="1">
      <c r="A2006" s="517" t="str">
        <f>IF(B2006&lt;&gt;"",IF(AND(B2006&gt;=_TM1,B2006&lt;=_TM2,OR(TH!L2006="1111",TH!M2006="1111")),TH!D2006,""),"")</f>
        <v/>
      </c>
      <c r="B2006" s="531">
        <f t="shared" si="189"/>
        <v>4</v>
      </c>
      <c r="C2006" s="315">
        <f t="shared" si="190"/>
        <v>42827</v>
      </c>
      <c r="D2006" s="315" t="s">
        <v>958</v>
      </c>
      <c r="E2006" s="545">
        <v>42827</v>
      </c>
      <c r="F2006" s="249" t="s">
        <v>691</v>
      </c>
      <c r="G2006" s="314" t="s">
        <v>1003</v>
      </c>
      <c r="H2006" s="473" t="s">
        <v>447</v>
      </c>
      <c r="I2006" s="307">
        <v>12</v>
      </c>
      <c r="J2006" s="307">
        <v>54792</v>
      </c>
      <c r="K2006" s="532">
        <f t="shared" si="192"/>
        <v>657504</v>
      </c>
      <c r="L2006" s="534" t="s">
        <v>292</v>
      </c>
      <c r="M2006" s="534" t="s">
        <v>8</v>
      </c>
      <c r="N2006" s="525" t="str">
        <f>IF(AND('331-CT'!$E$7=TH!H2006,OR(L2006="331",M2006="331")),"331",IF(AND(OR(L2006="131",M2006="131"),H2006='131-CT'!$E$7),"131",""))</f>
        <v/>
      </c>
      <c r="O2006" s="525" t="str">
        <f>IF(AND($B2006&gt;='111'!$N$11,$B2006&lt;='111'!$O$11,OR($L2006=$O$7,$M2006=$O$7)),"x","")</f>
        <v/>
      </c>
      <c r="P2006" s="525" t="str">
        <f>IF(AND($L2006=$O$7,$B2006&lt;'111'!$N$11),"x","")</f>
        <v/>
      </c>
      <c r="Q2006" s="525" t="str">
        <f>IF(AND($M2006=$O$7,$B2006&lt;'111'!$N$11),"x","")</f>
        <v/>
      </c>
      <c r="R2006" s="525" t="str">
        <f>IF(ISERROR(FIND('112'!$M$9,G2006,1)),"",IF((AND(FIND('112'!$M$9,G2006,1)&gt;=1,$B2006&gt;='112'!$N$8,$B2006&lt;='112'!$O$8,OR($L2006='112'!$I$6,$M2006='112'!$I$6))),"x",""))</f>
        <v/>
      </c>
      <c r="S2006" s="525" t="str">
        <f>IF(ISERROR(FIND('112'!$M$9,G2006,1)),"",IF((AND(LEFT(G2006,2)=LEFT('112'!$M$9,2),B2006&lt;'112'!$N$8,$L2006='112'!$I$6)),"x",""))</f>
        <v/>
      </c>
      <c r="T2006" s="525" t="str">
        <f>IF(ISERROR(FIND('112'!$M$9,G2006,1)),"",IF((AND(RIGHT(G2006,2)=RIGHT('112'!$M$9,2),B2006&lt;'112'!$N$8,$M2006='112'!$I$6)),"x",""))</f>
        <v/>
      </c>
      <c r="U2006" s="525" t="str">
        <f>IF(AND(B2006&gt;='IN-NX'!$P$3,B2006&lt;='IN-NX'!$Q$3,'IN-NX'!$D$7=D2006,OR(LEFT(L2006,2)="15",AND(LEFT(M2006,2)&lt;&gt;"15",LEFT(M2006,2)&lt;&gt;"33"))),"x","")</f>
        <v/>
      </c>
      <c r="V2006" s="525" t="str">
        <f>IF(AND(OR(LEFT(TH!L2006,2)="15",LEFT(TH!M2006,2)="15"),'152-CT'!$J$8=TH!F2006),"x","")</f>
        <v/>
      </c>
      <c r="W2006" s="525" t="str">
        <f>IF(AND(OR(LEFT(TH!L2006,2)="15",LEFT(TH!M2006,2)="15"),TK!$E$7=TH!F2006),"x","")</f>
        <v/>
      </c>
      <c r="X2006" s="525" t="str">
        <f>IF(AND('341-CT'!$E$9=H2006,OR(LEFT(L2006,3)=$X$7,LEFT(M2006,3)=$X$7)),"x","")</f>
        <v/>
      </c>
      <c r="Y2006" s="525" t="str">
        <f>IF(OR(TH!L2006=TH!$Y$7,M2006=TH!$Y$7),"x","")</f>
        <v/>
      </c>
      <c r="Z2006" s="525" t="str">
        <f>IF(AND(B2006&lt;=NKC!$N$8,B2006&gt;=NKC!$M$8),"x","")</f>
        <v/>
      </c>
      <c r="AA2006" s="535">
        <v>2</v>
      </c>
      <c r="AC2006" s="503"/>
      <c r="AD2006" s="503"/>
      <c r="AE2006" s="503"/>
      <c r="AF2006" s="503"/>
      <c r="AG2006" s="503"/>
      <c r="AH2006" s="503"/>
    </row>
    <row r="2007" spans="1:34" s="536" customFormat="1" ht="15.75" customHeight="1">
      <c r="A2007" s="517" t="str">
        <f>IF(B2007&lt;&gt;"",IF(AND(B2007&gt;=_TM1,B2007&lt;=_TM2,OR(TH!L2007="1111",TH!M2007="1111")),TH!D2007,""),"")</f>
        <v/>
      </c>
      <c r="B2007" s="531">
        <f t="shared" si="189"/>
        <v>4</v>
      </c>
      <c r="C2007" s="315">
        <f t="shared" si="190"/>
        <v>42827</v>
      </c>
      <c r="D2007" s="315" t="s">
        <v>958</v>
      </c>
      <c r="E2007" s="545">
        <v>42827</v>
      </c>
      <c r="F2007" s="249" t="s">
        <v>647</v>
      </c>
      <c r="G2007" s="314" t="s">
        <v>1003</v>
      </c>
      <c r="H2007" s="473" t="s">
        <v>447</v>
      </c>
      <c r="I2007" s="307">
        <v>8</v>
      </c>
      <c r="J2007" s="307">
        <v>110473</v>
      </c>
      <c r="K2007" s="532">
        <f t="shared" si="192"/>
        <v>883784</v>
      </c>
      <c r="L2007" s="534" t="s">
        <v>292</v>
      </c>
      <c r="M2007" s="534" t="s">
        <v>8</v>
      </c>
      <c r="N2007" s="525" t="str">
        <f>IF(AND('331-CT'!$E$7=TH!H2007,OR(L2007="331",M2007="331")),"331",IF(AND(OR(L2007="131",M2007="131"),H2007='131-CT'!$E$7),"131",""))</f>
        <v/>
      </c>
      <c r="O2007" s="525" t="str">
        <f>IF(AND($B2007&gt;='111'!$N$11,$B2007&lt;='111'!$O$11,OR($L2007=$O$7,$M2007=$O$7)),"x","")</f>
        <v/>
      </c>
      <c r="P2007" s="525" t="str">
        <f>IF(AND($L2007=$O$7,$B2007&lt;'111'!$N$11),"x","")</f>
        <v/>
      </c>
      <c r="Q2007" s="525" t="str">
        <f>IF(AND($M2007=$O$7,$B2007&lt;'111'!$N$11),"x","")</f>
        <v/>
      </c>
      <c r="R2007" s="525" t="str">
        <f>IF(ISERROR(FIND('112'!$M$9,G2007,1)),"",IF((AND(FIND('112'!$M$9,G2007,1)&gt;=1,$B2007&gt;='112'!$N$8,$B2007&lt;='112'!$O$8,OR($L2007='112'!$I$6,$M2007='112'!$I$6))),"x",""))</f>
        <v/>
      </c>
      <c r="S2007" s="525" t="str">
        <f>IF(ISERROR(FIND('112'!$M$9,G2007,1)),"",IF((AND(LEFT(G2007,2)=LEFT('112'!$M$9,2),B2007&lt;'112'!$N$8,$L2007='112'!$I$6)),"x",""))</f>
        <v/>
      </c>
      <c r="T2007" s="525" t="str">
        <f>IF(ISERROR(FIND('112'!$M$9,G2007,1)),"",IF((AND(RIGHT(G2007,2)=RIGHT('112'!$M$9,2),B2007&lt;'112'!$N$8,$M2007='112'!$I$6)),"x",""))</f>
        <v/>
      </c>
      <c r="U2007" s="525" t="str">
        <f>IF(AND(B2007&gt;='IN-NX'!$P$3,B2007&lt;='IN-NX'!$Q$3,'IN-NX'!$D$7=D2007,OR(LEFT(L2007,2)="15",AND(LEFT(M2007,2)&lt;&gt;"15",LEFT(M2007,2)&lt;&gt;"33"))),"x","")</f>
        <v/>
      </c>
      <c r="V2007" s="525" t="str">
        <f>IF(AND(OR(LEFT(TH!L2007,2)="15",LEFT(TH!M2007,2)="15"),'152-CT'!$J$8=TH!F2007),"x","")</f>
        <v/>
      </c>
      <c r="W2007" s="525" t="str">
        <f>IF(AND(OR(LEFT(TH!L2007,2)="15",LEFT(TH!M2007,2)="15"),TK!$E$7=TH!F2007),"x","")</f>
        <v/>
      </c>
      <c r="X2007" s="525" t="str">
        <f>IF(AND('341-CT'!$E$9=H2007,OR(LEFT(L2007,3)=$X$7,LEFT(M2007,3)=$X$7)),"x","")</f>
        <v/>
      </c>
      <c r="Y2007" s="525" t="str">
        <f>IF(OR(TH!L2007=TH!$Y$7,M2007=TH!$Y$7),"x","")</f>
        <v/>
      </c>
      <c r="Z2007" s="525" t="str">
        <f>IF(AND(B2007&lt;=NKC!$N$8,B2007&gt;=NKC!$M$8),"x","")</f>
        <v/>
      </c>
      <c r="AA2007" s="535">
        <v>2</v>
      </c>
      <c r="AC2007" s="503"/>
      <c r="AD2007" s="503"/>
      <c r="AE2007" s="503"/>
      <c r="AF2007" s="503"/>
      <c r="AG2007" s="503"/>
      <c r="AH2007" s="503"/>
    </row>
    <row r="2008" spans="1:34" s="536" customFormat="1" ht="15.75" customHeight="1">
      <c r="A2008" s="517" t="str">
        <f>IF(B2008&lt;&gt;"",IF(AND(B2008&gt;=_TM1,B2008&lt;=_TM2,OR(TH!L2008="1111",TH!M2008="1111")),TH!D2008,""),"")</f>
        <v/>
      </c>
      <c r="B2008" s="531">
        <f t="shared" si="189"/>
        <v>4</v>
      </c>
      <c r="C2008" s="315">
        <f t="shared" si="190"/>
        <v>42827</v>
      </c>
      <c r="D2008" s="315" t="s">
        <v>958</v>
      </c>
      <c r="E2008" s="545">
        <v>42827</v>
      </c>
      <c r="F2008" s="249" t="s">
        <v>649</v>
      </c>
      <c r="G2008" s="314" t="s">
        <v>1003</v>
      </c>
      <c r="H2008" s="473" t="s">
        <v>447</v>
      </c>
      <c r="I2008" s="307">
        <v>12</v>
      </c>
      <c r="J2008" s="307">
        <v>67963</v>
      </c>
      <c r="K2008" s="532">
        <f t="shared" si="192"/>
        <v>815556</v>
      </c>
      <c r="L2008" s="534" t="s">
        <v>292</v>
      </c>
      <c r="M2008" s="534" t="s">
        <v>8</v>
      </c>
      <c r="N2008" s="525" t="str">
        <f>IF(AND('331-CT'!$E$7=TH!H2008,OR(L2008="331",M2008="331")),"331",IF(AND(OR(L2008="131",M2008="131"),H2008='131-CT'!$E$7),"131",""))</f>
        <v/>
      </c>
      <c r="O2008" s="525" t="str">
        <f>IF(AND($B2008&gt;='111'!$N$11,$B2008&lt;='111'!$O$11,OR($L2008=$O$7,$M2008=$O$7)),"x","")</f>
        <v/>
      </c>
      <c r="P2008" s="525" t="str">
        <f>IF(AND($L2008=$O$7,$B2008&lt;'111'!$N$11),"x","")</f>
        <v/>
      </c>
      <c r="Q2008" s="525" t="str">
        <f>IF(AND($M2008=$O$7,$B2008&lt;'111'!$N$11),"x","")</f>
        <v/>
      </c>
      <c r="R2008" s="525" t="str">
        <f>IF(ISERROR(FIND('112'!$M$9,G2008,1)),"",IF((AND(FIND('112'!$M$9,G2008,1)&gt;=1,$B2008&gt;='112'!$N$8,$B2008&lt;='112'!$O$8,OR($L2008='112'!$I$6,$M2008='112'!$I$6))),"x",""))</f>
        <v/>
      </c>
      <c r="S2008" s="525" t="str">
        <f>IF(ISERROR(FIND('112'!$M$9,G2008,1)),"",IF((AND(LEFT(G2008,2)=LEFT('112'!$M$9,2),B2008&lt;'112'!$N$8,$L2008='112'!$I$6)),"x",""))</f>
        <v/>
      </c>
      <c r="T2008" s="525" t="str">
        <f>IF(ISERROR(FIND('112'!$M$9,G2008,1)),"",IF((AND(RIGHT(G2008,2)=RIGHT('112'!$M$9,2),B2008&lt;'112'!$N$8,$M2008='112'!$I$6)),"x",""))</f>
        <v/>
      </c>
      <c r="U2008" s="525" t="str">
        <f>IF(AND(B2008&gt;='IN-NX'!$P$3,B2008&lt;='IN-NX'!$Q$3,'IN-NX'!$D$7=D2008,OR(LEFT(L2008,2)="15",AND(LEFT(M2008,2)&lt;&gt;"15",LEFT(M2008,2)&lt;&gt;"33"))),"x","")</f>
        <v/>
      </c>
      <c r="V2008" s="525" t="str">
        <f>IF(AND(OR(LEFT(TH!L2008,2)="15",LEFT(TH!M2008,2)="15"),'152-CT'!$J$8=TH!F2008),"x","")</f>
        <v/>
      </c>
      <c r="W2008" s="525" t="str">
        <f>IF(AND(OR(LEFT(TH!L2008,2)="15",LEFT(TH!M2008,2)="15"),TK!$E$7=TH!F2008),"x","")</f>
        <v/>
      </c>
      <c r="X2008" s="525" t="str">
        <f>IF(AND('341-CT'!$E$9=H2008,OR(LEFT(L2008,3)=$X$7,LEFT(M2008,3)=$X$7)),"x","")</f>
        <v/>
      </c>
      <c r="Y2008" s="525" t="str">
        <f>IF(OR(TH!L2008=TH!$Y$7,M2008=TH!$Y$7),"x","")</f>
        <v/>
      </c>
      <c r="Z2008" s="525" t="str">
        <f>IF(AND(B2008&lt;=NKC!$N$8,B2008&gt;=NKC!$M$8),"x","")</f>
        <v/>
      </c>
      <c r="AA2008" s="535">
        <v>2</v>
      </c>
      <c r="AC2008" s="503"/>
      <c r="AD2008" s="503"/>
      <c r="AE2008" s="503"/>
      <c r="AF2008" s="503"/>
      <c r="AG2008" s="503"/>
      <c r="AH2008" s="503"/>
    </row>
    <row r="2009" spans="1:34" s="536" customFormat="1" ht="15.75" customHeight="1">
      <c r="A2009" s="517" t="str">
        <f>IF(B2009&lt;&gt;"",IF(AND(B2009&gt;=_TM1,B2009&lt;=_TM2,OR(TH!L2009="1111",TH!M2009="1111")),TH!D2009,""),"")</f>
        <v/>
      </c>
      <c r="B2009" s="531">
        <f t="shared" si="189"/>
        <v>4</v>
      </c>
      <c r="C2009" s="315">
        <f t="shared" si="190"/>
        <v>42827</v>
      </c>
      <c r="D2009" s="315" t="s">
        <v>958</v>
      </c>
      <c r="E2009" s="545">
        <v>42827</v>
      </c>
      <c r="F2009" s="249" t="s">
        <v>738</v>
      </c>
      <c r="G2009" s="314" t="s">
        <v>1003</v>
      </c>
      <c r="H2009" s="473" t="s">
        <v>447</v>
      </c>
      <c r="I2009" s="307">
        <v>4</v>
      </c>
      <c r="J2009" s="307">
        <v>147559</v>
      </c>
      <c r="K2009" s="532">
        <f t="shared" si="192"/>
        <v>590236</v>
      </c>
      <c r="L2009" s="534" t="s">
        <v>292</v>
      </c>
      <c r="M2009" s="534" t="s">
        <v>8</v>
      </c>
      <c r="N2009" s="525" t="str">
        <f>IF(AND('331-CT'!$E$7=TH!H2009,OR(L2009="331",M2009="331")),"331",IF(AND(OR(L2009="131",M2009="131"),H2009='131-CT'!$E$7),"131",""))</f>
        <v/>
      </c>
      <c r="O2009" s="525" t="str">
        <f>IF(AND($B2009&gt;='111'!$N$11,$B2009&lt;='111'!$O$11,OR($L2009=$O$7,$M2009=$O$7)),"x","")</f>
        <v/>
      </c>
      <c r="P2009" s="525" t="str">
        <f>IF(AND($L2009=$O$7,$B2009&lt;'111'!$N$11),"x","")</f>
        <v/>
      </c>
      <c r="Q2009" s="525" t="str">
        <f>IF(AND($M2009=$O$7,$B2009&lt;'111'!$N$11),"x","")</f>
        <v/>
      </c>
      <c r="R2009" s="525" t="str">
        <f>IF(ISERROR(FIND('112'!$M$9,G2009,1)),"",IF((AND(FIND('112'!$M$9,G2009,1)&gt;=1,$B2009&gt;='112'!$N$8,$B2009&lt;='112'!$O$8,OR($L2009='112'!$I$6,$M2009='112'!$I$6))),"x",""))</f>
        <v/>
      </c>
      <c r="S2009" s="525" t="str">
        <f>IF(ISERROR(FIND('112'!$M$9,G2009,1)),"",IF((AND(LEFT(G2009,2)=LEFT('112'!$M$9,2),B2009&lt;'112'!$N$8,$L2009='112'!$I$6)),"x",""))</f>
        <v/>
      </c>
      <c r="T2009" s="525" t="str">
        <f>IF(ISERROR(FIND('112'!$M$9,G2009,1)),"",IF((AND(RIGHT(G2009,2)=RIGHT('112'!$M$9,2),B2009&lt;'112'!$N$8,$M2009='112'!$I$6)),"x",""))</f>
        <v/>
      </c>
      <c r="U2009" s="525" t="str">
        <f>IF(AND(B2009&gt;='IN-NX'!$P$3,B2009&lt;='IN-NX'!$Q$3,'IN-NX'!$D$7=D2009,OR(LEFT(L2009,2)="15",AND(LEFT(M2009,2)&lt;&gt;"15",LEFT(M2009,2)&lt;&gt;"33"))),"x","")</f>
        <v/>
      </c>
      <c r="V2009" s="525" t="str">
        <f>IF(AND(OR(LEFT(TH!L2009,2)="15",LEFT(TH!M2009,2)="15"),'152-CT'!$J$8=TH!F2009),"x","")</f>
        <v/>
      </c>
      <c r="W2009" s="525" t="str">
        <f>IF(AND(OR(LEFT(TH!L2009,2)="15",LEFT(TH!M2009,2)="15"),TK!$E$7=TH!F2009),"x","")</f>
        <v/>
      </c>
      <c r="X2009" s="525" t="str">
        <f>IF(AND('341-CT'!$E$9=H2009,OR(LEFT(L2009,3)=$X$7,LEFT(M2009,3)=$X$7)),"x","")</f>
        <v/>
      </c>
      <c r="Y2009" s="525" t="str">
        <f>IF(OR(TH!L2009=TH!$Y$7,M2009=TH!$Y$7),"x","")</f>
        <v/>
      </c>
      <c r="Z2009" s="525" t="str">
        <f>IF(AND(B2009&lt;=NKC!$N$8,B2009&gt;=NKC!$M$8),"x","")</f>
        <v/>
      </c>
      <c r="AA2009" s="535">
        <v>2</v>
      </c>
      <c r="AC2009" s="503"/>
      <c r="AD2009" s="503"/>
      <c r="AE2009" s="503"/>
      <c r="AF2009" s="503"/>
      <c r="AG2009" s="503"/>
      <c r="AH2009" s="503"/>
    </row>
    <row r="2010" spans="1:34" s="536" customFormat="1" ht="15.75" customHeight="1">
      <c r="A2010" s="517" t="str">
        <f>IF(B2010&lt;&gt;"",IF(AND(B2010&gt;=_TM1,B2010&lt;=_TM2,OR(TH!L2010="1111",TH!M2010="1111")),TH!D2010,""),"")</f>
        <v/>
      </c>
      <c r="B2010" s="531">
        <f t="shared" si="189"/>
        <v>4</v>
      </c>
      <c r="C2010" s="315">
        <f t="shared" si="190"/>
        <v>42827</v>
      </c>
      <c r="D2010" s="315" t="s">
        <v>958</v>
      </c>
      <c r="E2010" s="545">
        <v>42827</v>
      </c>
      <c r="F2010" s="249" t="s">
        <v>742</v>
      </c>
      <c r="G2010" s="314" t="s">
        <v>1003</v>
      </c>
      <c r="H2010" s="473" t="s">
        <v>447</v>
      </c>
      <c r="I2010" s="307">
        <v>4</v>
      </c>
      <c r="J2010" s="307">
        <v>80707</v>
      </c>
      <c r="K2010" s="532">
        <f t="shared" si="192"/>
        <v>322828</v>
      </c>
      <c r="L2010" s="534" t="s">
        <v>292</v>
      </c>
      <c r="M2010" s="534" t="s">
        <v>8</v>
      </c>
      <c r="N2010" s="525" t="str">
        <f>IF(AND('331-CT'!$E$7=TH!H2010,OR(L2010="331",M2010="331")),"331",IF(AND(OR(L2010="131",M2010="131"),H2010='131-CT'!$E$7),"131",""))</f>
        <v/>
      </c>
      <c r="O2010" s="525" t="str">
        <f>IF(AND($B2010&gt;='111'!$N$11,$B2010&lt;='111'!$O$11,OR($L2010=$O$7,$M2010=$O$7)),"x","")</f>
        <v/>
      </c>
      <c r="P2010" s="525" t="str">
        <f>IF(AND($L2010=$O$7,$B2010&lt;'111'!$N$11),"x","")</f>
        <v/>
      </c>
      <c r="Q2010" s="525" t="str">
        <f>IF(AND($M2010=$O$7,$B2010&lt;'111'!$N$11),"x","")</f>
        <v/>
      </c>
      <c r="R2010" s="525" t="str">
        <f>IF(ISERROR(FIND('112'!$M$9,G2010,1)),"",IF((AND(FIND('112'!$M$9,G2010,1)&gt;=1,$B2010&gt;='112'!$N$8,$B2010&lt;='112'!$O$8,OR($L2010='112'!$I$6,$M2010='112'!$I$6))),"x",""))</f>
        <v/>
      </c>
      <c r="S2010" s="525" t="str">
        <f>IF(ISERROR(FIND('112'!$M$9,G2010,1)),"",IF((AND(LEFT(G2010,2)=LEFT('112'!$M$9,2),B2010&lt;'112'!$N$8,$L2010='112'!$I$6)),"x",""))</f>
        <v/>
      </c>
      <c r="T2010" s="525" t="str">
        <f>IF(ISERROR(FIND('112'!$M$9,G2010,1)),"",IF((AND(RIGHT(G2010,2)=RIGHT('112'!$M$9,2),B2010&lt;'112'!$N$8,$M2010='112'!$I$6)),"x",""))</f>
        <v/>
      </c>
      <c r="U2010" s="525" t="str">
        <f>IF(AND(B2010&gt;='IN-NX'!$P$3,B2010&lt;='IN-NX'!$Q$3,'IN-NX'!$D$7=D2010,OR(LEFT(L2010,2)="15",AND(LEFT(M2010,2)&lt;&gt;"15",LEFT(M2010,2)&lt;&gt;"33"))),"x","")</f>
        <v/>
      </c>
      <c r="V2010" s="525" t="str">
        <f>IF(AND(OR(LEFT(TH!L2010,2)="15",LEFT(TH!M2010,2)="15"),'152-CT'!$J$8=TH!F2010),"x","")</f>
        <v/>
      </c>
      <c r="W2010" s="525" t="str">
        <f>IF(AND(OR(LEFT(TH!L2010,2)="15",LEFT(TH!M2010,2)="15"),TK!$E$7=TH!F2010),"x","")</f>
        <v/>
      </c>
      <c r="X2010" s="525" t="str">
        <f>IF(AND('341-CT'!$E$9=H2010,OR(LEFT(L2010,3)=$X$7,LEFT(M2010,3)=$X$7)),"x","")</f>
        <v/>
      </c>
      <c r="Y2010" s="525" t="str">
        <f>IF(OR(TH!L2010=TH!$Y$7,M2010=TH!$Y$7),"x","")</f>
        <v/>
      </c>
      <c r="Z2010" s="525" t="str">
        <f>IF(AND(B2010&lt;=NKC!$N$8,B2010&gt;=NKC!$M$8),"x","")</f>
        <v/>
      </c>
      <c r="AA2010" s="535">
        <v>2</v>
      </c>
      <c r="AC2010" s="503"/>
      <c r="AD2010" s="503"/>
      <c r="AF2010" s="503"/>
      <c r="AG2010" s="503"/>
      <c r="AH2010" s="503"/>
    </row>
    <row r="2011" spans="1:34" s="536" customFormat="1" ht="15.75" customHeight="1">
      <c r="A2011" s="517" t="str">
        <f>IF(B2011&lt;&gt;"",IF(AND(B2011&gt;=_TM1,B2011&lt;=_TM2,OR(TH!L2011="1111",TH!M2011="1111")),TH!D2011,""),"")</f>
        <v/>
      </c>
      <c r="B2011" s="531">
        <f t="shared" si="189"/>
        <v>4</v>
      </c>
      <c r="C2011" s="315">
        <f t="shared" si="190"/>
        <v>42827</v>
      </c>
      <c r="D2011" s="315" t="s">
        <v>959</v>
      </c>
      <c r="E2011" s="545">
        <v>42827</v>
      </c>
      <c r="F2011" s="249" t="s">
        <v>694</v>
      </c>
      <c r="G2011" s="314" t="s">
        <v>1003</v>
      </c>
      <c r="H2011" s="473" t="s">
        <v>447</v>
      </c>
      <c r="I2011" s="307">
        <v>6</v>
      </c>
      <c r="J2011" s="307">
        <v>50207</v>
      </c>
      <c r="K2011" s="532">
        <f t="shared" si="192"/>
        <v>301242</v>
      </c>
      <c r="L2011" s="534" t="s">
        <v>292</v>
      </c>
      <c r="M2011" s="534" t="s">
        <v>8</v>
      </c>
      <c r="N2011" s="525" t="str">
        <f>IF(AND('331-CT'!$E$7=TH!H2011,OR(L2011="331",M2011="331")),"331",IF(AND(OR(L2011="131",M2011="131"),H2011='131-CT'!$E$7),"131",""))</f>
        <v/>
      </c>
      <c r="O2011" s="525" t="str">
        <f>IF(AND($B2011&gt;='111'!$N$11,$B2011&lt;='111'!$O$11,OR($L2011=$O$7,$M2011=$O$7)),"x","")</f>
        <v/>
      </c>
      <c r="P2011" s="525" t="str">
        <f>IF(AND($L2011=$O$7,$B2011&lt;'111'!$N$11),"x","")</f>
        <v/>
      </c>
      <c r="Q2011" s="525" t="str">
        <f>IF(AND($M2011=$O$7,$B2011&lt;'111'!$N$11),"x","")</f>
        <v/>
      </c>
      <c r="R2011" s="525" t="str">
        <f>IF(ISERROR(FIND('112'!$M$9,G2011,1)),"",IF((AND(FIND('112'!$M$9,G2011,1)&gt;=1,$B2011&gt;='112'!$N$8,$B2011&lt;='112'!$O$8,OR($L2011='112'!$I$6,$M2011='112'!$I$6))),"x",""))</f>
        <v/>
      </c>
      <c r="S2011" s="525" t="str">
        <f>IF(ISERROR(FIND('112'!$M$9,G2011,1)),"",IF((AND(LEFT(G2011,2)=LEFT('112'!$M$9,2),B2011&lt;'112'!$N$8,$L2011='112'!$I$6)),"x",""))</f>
        <v/>
      </c>
      <c r="T2011" s="525" t="str">
        <f>IF(ISERROR(FIND('112'!$M$9,G2011,1)),"",IF((AND(RIGHT(G2011,2)=RIGHT('112'!$M$9,2),B2011&lt;'112'!$N$8,$M2011='112'!$I$6)),"x",""))</f>
        <v/>
      </c>
      <c r="U2011" s="525" t="str">
        <f>IF(AND(B2011&gt;='IN-NX'!$P$3,B2011&lt;='IN-NX'!$Q$3,'IN-NX'!$D$7=D2011,OR(LEFT(L2011,2)="15",AND(LEFT(M2011,2)&lt;&gt;"15",LEFT(M2011,2)&lt;&gt;"33"))),"x","")</f>
        <v/>
      </c>
      <c r="V2011" s="525" t="str">
        <f>IF(AND(OR(LEFT(TH!L2011,2)="15",LEFT(TH!M2011,2)="15"),'152-CT'!$J$8=TH!F2011),"x","")</f>
        <v/>
      </c>
      <c r="W2011" s="525" t="str">
        <f>IF(AND(OR(LEFT(TH!L2011,2)="15",LEFT(TH!M2011,2)="15"),TK!$E$7=TH!F2011),"x","")</f>
        <v/>
      </c>
      <c r="X2011" s="525" t="str">
        <f>IF(AND('341-CT'!$E$9=H2011,OR(LEFT(L2011,3)=$X$7,LEFT(M2011,3)=$X$7)),"x","")</f>
        <v/>
      </c>
      <c r="Y2011" s="525" t="str">
        <f>IF(OR(TH!L2011=TH!$Y$7,M2011=TH!$Y$7),"x","")</f>
        <v/>
      </c>
      <c r="Z2011" s="525" t="str">
        <f>IF(AND(B2011&lt;=NKC!$N$8,B2011&gt;=NKC!$M$8),"x","")</f>
        <v/>
      </c>
      <c r="AA2011" s="535">
        <v>2</v>
      </c>
      <c r="AC2011" s="503"/>
      <c r="AD2011" s="503"/>
      <c r="AF2011" s="503"/>
      <c r="AG2011" s="503"/>
      <c r="AH2011" s="503"/>
    </row>
    <row r="2012" spans="1:34" s="536" customFormat="1" ht="15.75" customHeight="1">
      <c r="A2012" s="517" t="str">
        <f>IF(B2012&lt;&gt;"",IF(AND(B2012&gt;=_TM1,B2012&lt;=_TM2,OR(TH!L2012="1111",TH!M2012="1111")),TH!D2012,""),"")</f>
        <v/>
      </c>
      <c r="B2012" s="531">
        <f t="shared" si="189"/>
        <v>4</v>
      </c>
      <c r="C2012" s="315">
        <f t="shared" si="190"/>
        <v>42827</v>
      </c>
      <c r="D2012" s="315" t="s">
        <v>959</v>
      </c>
      <c r="E2012" s="545">
        <v>42827</v>
      </c>
      <c r="F2012" s="247" t="s">
        <v>663</v>
      </c>
      <c r="G2012" s="314" t="s">
        <v>1003</v>
      </c>
      <c r="H2012" s="473" t="s">
        <v>447</v>
      </c>
      <c r="I2012" s="307">
        <v>14</v>
      </c>
      <c r="J2012" s="307">
        <v>42796</v>
      </c>
      <c r="K2012" s="532">
        <f t="shared" si="192"/>
        <v>599144</v>
      </c>
      <c r="L2012" s="534" t="s">
        <v>292</v>
      </c>
      <c r="M2012" s="534" t="s">
        <v>8</v>
      </c>
      <c r="N2012" s="525" t="str">
        <f>IF(AND('331-CT'!$E$7=TH!H2012,OR(L2012="331",M2012="331")),"331",IF(AND(OR(L2012="131",M2012="131"),H2012='131-CT'!$E$7),"131",""))</f>
        <v/>
      </c>
      <c r="O2012" s="525" t="str">
        <f>IF(AND($B2012&gt;='111'!$N$11,$B2012&lt;='111'!$O$11,OR($L2012=$O$7,$M2012=$O$7)),"x","")</f>
        <v/>
      </c>
      <c r="P2012" s="525" t="str">
        <f>IF(AND($L2012=$O$7,$B2012&lt;'111'!$N$11),"x","")</f>
        <v/>
      </c>
      <c r="Q2012" s="525" t="str">
        <f>IF(AND($M2012=$O$7,$B2012&lt;'111'!$N$11),"x","")</f>
        <v/>
      </c>
      <c r="R2012" s="525" t="str">
        <f>IF(ISERROR(FIND('112'!$M$9,G2012,1)),"",IF((AND(FIND('112'!$M$9,G2012,1)&gt;=1,$B2012&gt;='112'!$N$8,$B2012&lt;='112'!$O$8,OR($L2012='112'!$I$6,$M2012='112'!$I$6))),"x",""))</f>
        <v/>
      </c>
      <c r="S2012" s="525" t="str">
        <f>IF(ISERROR(FIND('112'!$M$9,G2012,1)),"",IF((AND(LEFT(G2012,2)=LEFT('112'!$M$9,2),B2012&lt;'112'!$N$8,$L2012='112'!$I$6)),"x",""))</f>
        <v/>
      </c>
      <c r="T2012" s="525" t="str">
        <f>IF(ISERROR(FIND('112'!$M$9,G2012,1)),"",IF((AND(RIGHT(G2012,2)=RIGHT('112'!$M$9,2),B2012&lt;'112'!$N$8,$M2012='112'!$I$6)),"x",""))</f>
        <v/>
      </c>
      <c r="U2012" s="525" t="str">
        <f>IF(AND(B2012&gt;='IN-NX'!$P$3,B2012&lt;='IN-NX'!$Q$3,'IN-NX'!$D$7=D2012,OR(LEFT(L2012,2)="15",AND(LEFT(M2012,2)&lt;&gt;"15",LEFT(M2012,2)&lt;&gt;"33"))),"x","")</f>
        <v/>
      </c>
      <c r="V2012" s="525" t="str">
        <f>IF(AND(OR(LEFT(TH!L2012,2)="15",LEFT(TH!M2012,2)="15"),'152-CT'!$J$8=TH!F2012),"x","")</f>
        <v/>
      </c>
      <c r="W2012" s="525" t="str">
        <f>IF(AND(OR(LEFT(TH!L2012,2)="15",LEFT(TH!M2012,2)="15"),TK!$E$7=TH!F2012),"x","")</f>
        <v/>
      </c>
      <c r="X2012" s="525" t="str">
        <f>IF(AND('341-CT'!$E$9=H2012,OR(LEFT(L2012,3)=$X$7,LEFT(M2012,3)=$X$7)),"x","")</f>
        <v/>
      </c>
      <c r="Y2012" s="525" t="str">
        <f>IF(OR(TH!L2012=TH!$Y$7,M2012=TH!$Y$7),"x","")</f>
        <v/>
      </c>
      <c r="Z2012" s="525" t="str">
        <f>IF(AND(B2012&lt;=NKC!$N$8,B2012&gt;=NKC!$M$8),"x","")</f>
        <v/>
      </c>
      <c r="AA2012" s="535">
        <v>2</v>
      </c>
      <c r="AC2012" s="503"/>
      <c r="AD2012" s="503"/>
      <c r="AF2012" s="503"/>
      <c r="AG2012" s="503"/>
      <c r="AH2012" s="503"/>
    </row>
    <row r="2013" spans="1:34" s="536" customFormat="1" ht="15.75" customHeight="1">
      <c r="A2013" s="517" t="str">
        <f>IF(B2013&lt;&gt;"",IF(AND(B2013&gt;=_TM1,B2013&lt;=_TM2,OR(TH!L2013="1111",TH!M2013="1111")),TH!D2013,""),"")</f>
        <v/>
      </c>
      <c r="B2013" s="531">
        <f t="shared" si="189"/>
        <v>4</v>
      </c>
      <c r="C2013" s="315">
        <f t="shared" si="190"/>
        <v>42827</v>
      </c>
      <c r="D2013" s="315" t="s">
        <v>959</v>
      </c>
      <c r="E2013" s="545">
        <v>42827</v>
      </c>
      <c r="F2013" s="247" t="s">
        <v>744</v>
      </c>
      <c r="G2013" s="314" t="s">
        <v>1003</v>
      </c>
      <c r="H2013" s="473" t="s">
        <v>447</v>
      </c>
      <c r="I2013" s="307">
        <v>12</v>
      </c>
      <c r="J2013" s="307">
        <v>32199</v>
      </c>
      <c r="K2013" s="532">
        <f t="shared" si="192"/>
        <v>386388</v>
      </c>
      <c r="L2013" s="534" t="s">
        <v>292</v>
      </c>
      <c r="M2013" s="534" t="s">
        <v>8</v>
      </c>
      <c r="N2013" s="525" t="str">
        <f>IF(AND('331-CT'!$E$7=TH!H2013,OR(L2013="331",M2013="331")),"331",IF(AND(OR(L2013="131",M2013="131"),H2013='131-CT'!$E$7),"131",""))</f>
        <v/>
      </c>
      <c r="O2013" s="525" t="str">
        <f>IF(AND($B2013&gt;='111'!$N$11,$B2013&lt;='111'!$O$11,OR($L2013=$O$7,$M2013=$O$7)),"x","")</f>
        <v/>
      </c>
      <c r="P2013" s="525" t="str">
        <f>IF(AND($L2013=$O$7,$B2013&lt;'111'!$N$11),"x","")</f>
        <v/>
      </c>
      <c r="Q2013" s="525" t="str">
        <f>IF(AND($M2013=$O$7,$B2013&lt;'111'!$N$11),"x","")</f>
        <v/>
      </c>
      <c r="R2013" s="525" t="str">
        <f>IF(ISERROR(FIND('112'!$M$9,G2013,1)),"",IF((AND(FIND('112'!$M$9,G2013,1)&gt;=1,$B2013&gt;='112'!$N$8,$B2013&lt;='112'!$O$8,OR($L2013='112'!$I$6,$M2013='112'!$I$6))),"x",""))</f>
        <v/>
      </c>
      <c r="S2013" s="525" t="str">
        <f>IF(ISERROR(FIND('112'!$M$9,G2013,1)),"",IF((AND(LEFT(G2013,2)=LEFT('112'!$M$9,2),B2013&lt;'112'!$N$8,$L2013='112'!$I$6)),"x",""))</f>
        <v/>
      </c>
      <c r="T2013" s="525" t="str">
        <f>IF(ISERROR(FIND('112'!$M$9,G2013,1)),"",IF((AND(RIGHT(G2013,2)=RIGHT('112'!$M$9,2),B2013&lt;'112'!$N$8,$M2013='112'!$I$6)),"x",""))</f>
        <v/>
      </c>
      <c r="U2013" s="525" t="str">
        <f>IF(AND(B2013&gt;='IN-NX'!$P$3,B2013&lt;='IN-NX'!$Q$3,'IN-NX'!$D$7=D2013,OR(LEFT(L2013,2)="15",AND(LEFT(M2013,2)&lt;&gt;"15",LEFT(M2013,2)&lt;&gt;"33"))),"x","")</f>
        <v/>
      </c>
      <c r="V2013" s="525" t="str">
        <f>IF(AND(OR(LEFT(TH!L2013,2)="15",LEFT(TH!M2013,2)="15"),'152-CT'!$J$8=TH!F2013),"x","")</f>
        <v/>
      </c>
      <c r="W2013" s="525" t="str">
        <f>IF(AND(OR(LEFT(TH!L2013,2)="15",LEFT(TH!M2013,2)="15"),TK!$E$7=TH!F2013),"x","")</f>
        <v/>
      </c>
      <c r="X2013" s="525" t="str">
        <f>IF(AND('341-CT'!$E$9=H2013,OR(LEFT(L2013,3)=$X$7,LEFT(M2013,3)=$X$7)),"x","")</f>
        <v/>
      </c>
      <c r="Y2013" s="525" t="str">
        <f>IF(OR(TH!L2013=TH!$Y$7,M2013=TH!$Y$7),"x","")</f>
        <v/>
      </c>
      <c r="Z2013" s="525" t="str">
        <f>IF(AND(B2013&lt;=NKC!$N$8,B2013&gt;=NKC!$M$8),"x","")</f>
        <v/>
      </c>
      <c r="AA2013" s="535">
        <v>2</v>
      </c>
      <c r="AC2013" s="503"/>
      <c r="AD2013" s="503"/>
    </row>
    <row r="2014" spans="1:34" s="536" customFormat="1" ht="15.75" customHeight="1">
      <c r="A2014" s="517" t="str">
        <f>IF(B2014&lt;&gt;"",IF(AND(B2014&gt;=_TM1,B2014&lt;=_TM2,OR(TH!L2014="1111",TH!M2014="1111")),TH!D2014,""),"")</f>
        <v/>
      </c>
      <c r="B2014" s="531">
        <f t="shared" si="189"/>
        <v>4</v>
      </c>
      <c r="C2014" s="315">
        <f t="shared" si="190"/>
        <v>42827</v>
      </c>
      <c r="D2014" s="315" t="s">
        <v>959</v>
      </c>
      <c r="E2014" s="545">
        <v>42827</v>
      </c>
      <c r="F2014" s="247" t="s">
        <v>745</v>
      </c>
      <c r="G2014" s="314" t="s">
        <v>1003</v>
      </c>
      <c r="H2014" s="473" t="s">
        <v>447</v>
      </c>
      <c r="I2014" s="307">
        <v>8</v>
      </c>
      <c r="J2014" s="307">
        <v>62653</v>
      </c>
      <c r="K2014" s="532">
        <f t="shared" si="192"/>
        <v>501224</v>
      </c>
      <c r="L2014" s="534" t="s">
        <v>292</v>
      </c>
      <c r="M2014" s="534" t="s">
        <v>8</v>
      </c>
      <c r="N2014" s="525" t="str">
        <f>IF(AND('331-CT'!$E$7=TH!H2014,OR(L2014="331",M2014="331")),"331",IF(AND(OR(L2014="131",M2014="131"),H2014='131-CT'!$E$7),"131",""))</f>
        <v/>
      </c>
      <c r="O2014" s="525" t="str">
        <f>IF(AND($B2014&gt;='111'!$N$11,$B2014&lt;='111'!$O$11,OR($L2014=$O$7,$M2014=$O$7)),"x","")</f>
        <v/>
      </c>
      <c r="P2014" s="525" t="str">
        <f>IF(AND($L2014=$O$7,$B2014&lt;'111'!$N$11),"x","")</f>
        <v/>
      </c>
      <c r="Q2014" s="525" t="str">
        <f>IF(AND($M2014=$O$7,$B2014&lt;'111'!$N$11),"x","")</f>
        <v/>
      </c>
      <c r="R2014" s="525" t="str">
        <f>IF(ISERROR(FIND('112'!$M$9,G2014,1)),"",IF((AND(FIND('112'!$M$9,G2014,1)&gt;=1,$B2014&gt;='112'!$N$8,$B2014&lt;='112'!$O$8,OR($L2014='112'!$I$6,$M2014='112'!$I$6))),"x",""))</f>
        <v/>
      </c>
      <c r="S2014" s="525" t="str">
        <f>IF(ISERROR(FIND('112'!$M$9,G2014,1)),"",IF((AND(LEFT(G2014,2)=LEFT('112'!$M$9,2),B2014&lt;'112'!$N$8,$L2014='112'!$I$6)),"x",""))</f>
        <v/>
      </c>
      <c r="T2014" s="525" t="str">
        <f>IF(ISERROR(FIND('112'!$M$9,G2014,1)),"",IF((AND(RIGHT(G2014,2)=RIGHT('112'!$M$9,2),B2014&lt;'112'!$N$8,$M2014='112'!$I$6)),"x",""))</f>
        <v/>
      </c>
      <c r="U2014" s="525" t="str">
        <f>IF(AND(B2014&gt;='IN-NX'!$P$3,B2014&lt;='IN-NX'!$Q$3,'IN-NX'!$D$7=D2014,OR(LEFT(L2014,2)="15",AND(LEFT(M2014,2)&lt;&gt;"15",LEFT(M2014,2)&lt;&gt;"33"))),"x","")</f>
        <v/>
      </c>
      <c r="V2014" s="525" t="str">
        <f>IF(AND(OR(LEFT(TH!L2014,2)="15",LEFT(TH!M2014,2)="15"),'152-CT'!$J$8=TH!F2014),"x","")</f>
        <v/>
      </c>
      <c r="W2014" s="525" t="str">
        <f>IF(AND(OR(LEFT(TH!L2014,2)="15",LEFT(TH!M2014,2)="15"),TK!$E$7=TH!F2014),"x","")</f>
        <v/>
      </c>
      <c r="X2014" s="525" t="str">
        <f>IF(AND('341-CT'!$E$9=H2014,OR(LEFT(L2014,3)=$X$7,LEFT(M2014,3)=$X$7)),"x","")</f>
        <v/>
      </c>
      <c r="Y2014" s="525" t="str">
        <f>IF(OR(TH!L2014=TH!$Y$7,M2014=TH!$Y$7),"x","")</f>
        <v/>
      </c>
      <c r="Z2014" s="525" t="str">
        <f>IF(AND(B2014&lt;=NKC!$N$8,B2014&gt;=NKC!$M$8),"x","")</f>
        <v/>
      </c>
      <c r="AA2014" s="535">
        <v>2</v>
      </c>
      <c r="AC2014" s="503"/>
      <c r="AD2014" s="503"/>
    </row>
    <row r="2015" spans="1:34" s="536" customFormat="1" ht="15.75" customHeight="1">
      <c r="A2015" s="517" t="str">
        <f>IF(B2015&lt;&gt;"",IF(AND(B2015&gt;=_TM1,B2015&lt;=_TM2,OR(TH!L2015="1111",TH!M2015="1111")),TH!D2015,""),"")</f>
        <v/>
      </c>
      <c r="B2015" s="531">
        <f t="shared" si="189"/>
        <v>4</v>
      </c>
      <c r="C2015" s="315">
        <f t="shared" si="190"/>
        <v>42827</v>
      </c>
      <c r="D2015" s="315" t="s">
        <v>959</v>
      </c>
      <c r="E2015" s="545">
        <v>42827</v>
      </c>
      <c r="F2015" s="247" t="s">
        <v>662</v>
      </c>
      <c r="G2015" s="314" t="s">
        <v>1003</v>
      </c>
      <c r="H2015" s="473" t="s">
        <v>447</v>
      </c>
      <c r="I2015" s="307">
        <v>4</v>
      </c>
      <c r="J2015" s="307">
        <v>105271</v>
      </c>
      <c r="K2015" s="532">
        <f t="shared" si="192"/>
        <v>421084</v>
      </c>
      <c r="L2015" s="534" t="s">
        <v>292</v>
      </c>
      <c r="M2015" s="534" t="s">
        <v>8</v>
      </c>
      <c r="N2015" s="525" t="str">
        <f>IF(AND('331-CT'!$E$7=TH!H2015,OR(L2015="331",M2015="331")),"331",IF(AND(OR(L2015="131",M2015="131"),H2015='131-CT'!$E$7),"131",""))</f>
        <v/>
      </c>
      <c r="O2015" s="525" t="str">
        <f>IF(AND($B2015&gt;='111'!$N$11,$B2015&lt;='111'!$O$11,OR($L2015=$O$7,$M2015=$O$7)),"x","")</f>
        <v/>
      </c>
      <c r="P2015" s="525" t="str">
        <f>IF(AND($L2015=$O$7,$B2015&lt;'111'!$N$11),"x","")</f>
        <v/>
      </c>
      <c r="Q2015" s="525" t="str">
        <f>IF(AND($M2015=$O$7,$B2015&lt;'111'!$N$11),"x","")</f>
        <v/>
      </c>
      <c r="R2015" s="525" t="str">
        <f>IF(ISERROR(FIND('112'!$M$9,G2015,1)),"",IF((AND(FIND('112'!$M$9,G2015,1)&gt;=1,$B2015&gt;='112'!$N$8,$B2015&lt;='112'!$O$8,OR($L2015='112'!$I$6,$M2015='112'!$I$6))),"x",""))</f>
        <v/>
      </c>
      <c r="S2015" s="525" t="str">
        <f>IF(ISERROR(FIND('112'!$M$9,G2015,1)),"",IF((AND(LEFT(G2015,2)=LEFT('112'!$M$9,2),B2015&lt;'112'!$N$8,$L2015='112'!$I$6)),"x",""))</f>
        <v/>
      </c>
      <c r="T2015" s="525" t="str">
        <f>IF(ISERROR(FIND('112'!$M$9,G2015,1)),"",IF((AND(RIGHT(G2015,2)=RIGHT('112'!$M$9,2),B2015&lt;'112'!$N$8,$M2015='112'!$I$6)),"x",""))</f>
        <v/>
      </c>
      <c r="U2015" s="525" t="str">
        <f>IF(AND(B2015&gt;='IN-NX'!$P$3,B2015&lt;='IN-NX'!$Q$3,'IN-NX'!$D$7=D2015,OR(LEFT(L2015,2)="15",AND(LEFT(M2015,2)&lt;&gt;"15",LEFT(M2015,2)&lt;&gt;"33"))),"x","")</f>
        <v/>
      </c>
      <c r="V2015" s="525" t="str">
        <f>IF(AND(OR(LEFT(TH!L2015,2)="15",LEFT(TH!M2015,2)="15"),'152-CT'!$J$8=TH!F2015),"x","")</f>
        <v/>
      </c>
      <c r="W2015" s="525" t="str">
        <f>IF(AND(OR(LEFT(TH!L2015,2)="15",LEFT(TH!M2015,2)="15"),TK!$E$7=TH!F2015),"x","")</f>
        <v/>
      </c>
      <c r="X2015" s="525" t="str">
        <f>IF(AND('341-CT'!$E$9=H2015,OR(LEFT(L2015,3)=$X$7,LEFT(M2015,3)=$X$7)),"x","")</f>
        <v/>
      </c>
      <c r="Y2015" s="525" t="str">
        <f>IF(OR(TH!L2015=TH!$Y$7,M2015=TH!$Y$7),"x","")</f>
        <v/>
      </c>
      <c r="Z2015" s="525" t="str">
        <f>IF(AND(B2015&lt;=NKC!$N$8,B2015&gt;=NKC!$M$8),"x","")</f>
        <v/>
      </c>
      <c r="AA2015" s="535">
        <v>2</v>
      </c>
      <c r="AC2015" s="503"/>
      <c r="AD2015" s="503"/>
    </row>
    <row r="2016" spans="1:34" s="536" customFormat="1" ht="15.75" customHeight="1">
      <c r="A2016" s="517" t="str">
        <f>IF(B2016&lt;&gt;"",IF(AND(B2016&gt;=_TM1,B2016&lt;=_TM2,OR(TH!L2016="1111",TH!M2016="1111")),TH!D2016,""),"")</f>
        <v/>
      </c>
      <c r="B2016" s="531">
        <f t="shared" si="189"/>
        <v>4</v>
      </c>
      <c r="C2016" s="315">
        <f t="shared" si="190"/>
        <v>42827</v>
      </c>
      <c r="D2016" s="315" t="s">
        <v>959</v>
      </c>
      <c r="E2016" s="545">
        <v>42827</v>
      </c>
      <c r="F2016" s="247" t="s">
        <v>743</v>
      </c>
      <c r="G2016" s="314" t="s">
        <v>1003</v>
      </c>
      <c r="H2016" s="473" t="s">
        <v>447</v>
      </c>
      <c r="I2016" s="307">
        <v>16</v>
      </c>
      <c r="J2016" s="307">
        <v>42678</v>
      </c>
      <c r="K2016" s="532">
        <f t="shared" si="192"/>
        <v>682848</v>
      </c>
      <c r="L2016" s="534" t="s">
        <v>292</v>
      </c>
      <c r="M2016" s="534" t="s">
        <v>8</v>
      </c>
      <c r="N2016" s="525" t="str">
        <f>IF(AND('331-CT'!$E$7=TH!H2016,OR(L2016="331",M2016="331")),"331",IF(AND(OR(L2016="131",M2016="131"),H2016='131-CT'!$E$7),"131",""))</f>
        <v/>
      </c>
      <c r="O2016" s="525" t="str">
        <f>IF(AND($B2016&gt;='111'!$N$11,$B2016&lt;='111'!$O$11,OR($L2016=$O$7,$M2016=$O$7)),"x","")</f>
        <v/>
      </c>
      <c r="P2016" s="525" t="str">
        <f>IF(AND($L2016=$O$7,$B2016&lt;'111'!$N$11),"x","")</f>
        <v/>
      </c>
      <c r="Q2016" s="525" t="str">
        <f>IF(AND($M2016=$O$7,$B2016&lt;'111'!$N$11),"x","")</f>
        <v/>
      </c>
      <c r="R2016" s="525" t="str">
        <f>IF(ISERROR(FIND('112'!$M$9,G2016,1)),"",IF((AND(FIND('112'!$M$9,G2016,1)&gt;=1,$B2016&gt;='112'!$N$8,$B2016&lt;='112'!$O$8,OR($L2016='112'!$I$6,$M2016='112'!$I$6))),"x",""))</f>
        <v/>
      </c>
      <c r="S2016" s="525" t="str">
        <f>IF(ISERROR(FIND('112'!$M$9,G2016,1)),"",IF((AND(LEFT(G2016,2)=LEFT('112'!$M$9,2),B2016&lt;'112'!$N$8,$L2016='112'!$I$6)),"x",""))</f>
        <v/>
      </c>
      <c r="T2016" s="525" t="str">
        <f>IF(ISERROR(FIND('112'!$M$9,G2016,1)),"",IF((AND(RIGHT(G2016,2)=RIGHT('112'!$M$9,2),B2016&lt;'112'!$N$8,$M2016='112'!$I$6)),"x",""))</f>
        <v/>
      </c>
      <c r="U2016" s="525" t="str">
        <f>IF(AND(B2016&gt;='IN-NX'!$P$3,B2016&lt;='IN-NX'!$Q$3,'IN-NX'!$D$7=D2016,OR(LEFT(L2016,2)="15",AND(LEFT(M2016,2)&lt;&gt;"15",LEFT(M2016,2)&lt;&gt;"33"))),"x","")</f>
        <v/>
      </c>
      <c r="V2016" s="525" t="str">
        <f>IF(AND(OR(LEFT(TH!L2016,2)="15",LEFT(TH!M2016,2)="15"),'152-CT'!$J$8=TH!F2016),"x","")</f>
        <v/>
      </c>
      <c r="W2016" s="525" t="str">
        <f>IF(AND(OR(LEFT(TH!L2016,2)="15",LEFT(TH!M2016,2)="15"),TK!$E$7=TH!F2016),"x","")</f>
        <v/>
      </c>
      <c r="X2016" s="525" t="str">
        <f>IF(AND('341-CT'!$E$9=H2016,OR(LEFT(L2016,3)=$X$7,LEFT(M2016,3)=$X$7)),"x","")</f>
        <v/>
      </c>
      <c r="Y2016" s="525" t="str">
        <f>IF(OR(TH!L2016=TH!$Y$7,M2016=TH!$Y$7),"x","")</f>
        <v/>
      </c>
      <c r="Z2016" s="525" t="str">
        <f>IF(AND(B2016&lt;=NKC!$N$8,B2016&gt;=NKC!$M$8),"x","")</f>
        <v/>
      </c>
      <c r="AA2016" s="535">
        <v>2</v>
      </c>
      <c r="AC2016" s="503"/>
      <c r="AD2016" s="503"/>
    </row>
    <row r="2017" spans="1:31" s="536" customFormat="1" ht="15.75" customHeight="1">
      <c r="A2017" s="517" t="str">
        <f>IF(B2017&lt;&gt;"",IF(AND(B2017&gt;=_TM1,B2017&lt;=_TM2,OR(TH!L2017="1111",TH!M2017="1111")),TH!D2017,""),"")</f>
        <v/>
      </c>
      <c r="B2017" s="531">
        <f t="shared" si="189"/>
        <v>4</v>
      </c>
      <c r="C2017" s="315">
        <f t="shared" si="190"/>
        <v>42827</v>
      </c>
      <c r="D2017" s="315" t="s">
        <v>959</v>
      </c>
      <c r="E2017" s="545">
        <v>42827</v>
      </c>
      <c r="F2017" s="247" t="s">
        <v>714</v>
      </c>
      <c r="G2017" s="314" t="s">
        <v>1003</v>
      </c>
      <c r="H2017" s="473" t="s">
        <v>447</v>
      </c>
      <c r="I2017" s="307">
        <v>30</v>
      </c>
      <c r="J2017" s="307">
        <v>48224</v>
      </c>
      <c r="K2017" s="532">
        <f t="shared" si="192"/>
        <v>1446720</v>
      </c>
      <c r="L2017" s="534" t="s">
        <v>292</v>
      </c>
      <c r="M2017" s="534" t="s">
        <v>8</v>
      </c>
      <c r="N2017" s="525" t="str">
        <f>IF(AND('331-CT'!$E$7=TH!H2017,OR(L2017="331",M2017="331")),"331",IF(AND(OR(L2017="131",M2017="131"),H2017='131-CT'!$E$7),"131",""))</f>
        <v/>
      </c>
      <c r="O2017" s="525" t="str">
        <f>IF(AND($B2017&gt;='111'!$N$11,$B2017&lt;='111'!$O$11,OR($L2017=$O$7,$M2017=$O$7)),"x","")</f>
        <v/>
      </c>
      <c r="P2017" s="525" t="str">
        <f>IF(AND($L2017=$O$7,$B2017&lt;'111'!$N$11),"x","")</f>
        <v/>
      </c>
      <c r="Q2017" s="525" t="str">
        <f>IF(AND($M2017=$O$7,$B2017&lt;'111'!$N$11),"x","")</f>
        <v/>
      </c>
      <c r="R2017" s="525" t="str">
        <f>IF(ISERROR(FIND('112'!$M$9,G2017,1)),"",IF((AND(FIND('112'!$M$9,G2017,1)&gt;=1,$B2017&gt;='112'!$N$8,$B2017&lt;='112'!$O$8,OR($L2017='112'!$I$6,$M2017='112'!$I$6))),"x",""))</f>
        <v/>
      </c>
      <c r="S2017" s="525" t="str">
        <f>IF(ISERROR(FIND('112'!$M$9,G2017,1)),"",IF((AND(LEFT(G2017,2)=LEFT('112'!$M$9,2),B2017&lt;'112'!$N$8,$L2017='112'!$I$6)),"x",""))</f>
        <v/>
      </c>
      <c r="T2017" s="525" t="str">
        <f>IF(ISERROR(FIND('112'!$M$9,G2017,1)),"",IF((AND(RIGHT(G2017,2)=RIGHT('112'!$M$9,2),B2017&lt;'112'!$N$8,$M2017='112'!$I$6)),"x",""))</f>
        <v/>
      </c>
      <c r="U2017" s="525" t="str">
        <f>IF(AND(B2017&gt;='IN-NX'!$P$3,B2017&lt;='IN-NX'!$Q$3,'IN-NX'!$D$7=D2017,OR(LEFT(L2017,2)="15",AND(LEFT(M2017,2)&lt;&gt;"15",LEFT(M2017,2)&lt;&gt;"33"))),"x","")</f>
        <v/>
      </c>
      <c r="V2017" s="525" t="str">
        <f>IF(AND(OR(LEFT(TH!L2017,2)="15",LEFT(TH!M2017,2)="15"),'152-CT'!$J$8=TH!F2017),"x","")</f>
        <v/>
      </c>
      <c r="W2017" s="525" t="str">
        <f>IF(AND(OR(LEFT(TH!L2017,2)="15",LEFT(TH!M2017,2)="15"),TK!$E$7=TH!F2017),"x","")</f>
        <v/>
      </c>
      <c r="X2017" s="525" t="str">
        <f>IF(AND('341-CT'!$E$9=H2017,OR(LEFT(L2017,3)=$X$7,LEFT(M2017,3)=$X$7)),"x","")</f>
        <v/>
      </c>
      <c r="Y2017" s="525" t="str">
        <f>IF(OR(TH!L2017=TH!$Y$7,M2017=TH!$Y$7),"x","")</f>
        <v/>
      </c>
      <c r="Z2017" s="525" t="str">
        <f>IF(AND(B2017&lt;=NKC!$N$8,B2017&gt;=NKC!$M$8),"x","")</f>
        <v/>
      </c>
      <c r="AA2017" s="535">
        <v>2</v>
      </c>
      <c r="AC2017" s="503"/>
      <c r="AD2017" s="503"/>
    </row>
    <row r="2018" spans="1:31" s="536" customFormat="1" ht="15.75" customHeight="1">
      <c r="A2018" s="517" t="str">
        <f>IF(B2018&lt;&gt;"",IF(AND(B2018&gt;=_TM1,B2018&lt;=_TM2,OR(TH!L2018="1111",TH!M2018="1111")),TH!D2018,""),"")</f>
        <v/>
      </c>
      <c r="B2018" s="531">
        <f t="shared" si="189"/>
        <v>4</v>
      </c>
      <c r="C2018" s="315">
        <f t="shared" si="190"/>
        <v>42827</v>
      </c>
      <c r="D2018" s="315" t="s">
        <v>959</v>
      </c>
      <c r="E2018" s="545">
        <v>42827</v>
      </c>
      <c r="F2018" s="247" t="s">
        <v>728</v>
      </c>
      <c r="G2018" s="314" t="s">
        <v>1003</v>
      </c>
      <c r="H2018" s="473" t="s">
        <v>447</v>
      </c>
      <c r="I2018" s="307">
        <v>6</v>
      </c>
      <c r="J2018" s="307">
        <v>20041</v>
      </c>
      <c r="K2018" s="532">
        <f t="shared" si="192"/>
        <v>120246</v>
      </c>
      <c r="L2018" s="534" t="s">
        <v>292</v>
      </c>
      <c r="M2018" s="534" t="s">
        <v>8</v>
      </c>
      <c r="N2018" s="525" t="str">
        <f>IF(AND('331-CT'!$E$7=TH!H2018,OR(L2018="331",M2018="331")),"331",IF(AND(OR(L2018="131",M2018="131"),H2018='131-CT'!$E$7),"131",""))</f>
        <v/>
      </c>
      <c r="O2018" s="525" t="str">
        <f>IF(AND($B2018&gt;='111'!$N$11,$B2018&lt;='111'!$O$11,OR($L2018=$O$7,$M2018=$O$7)),"x","")</f>
        <v/>
      </c>
      <c r="P2018" s="525" t="str">
        <f>IF(AND($L2018=$O$7,$B2018&lt;'111'!$N$11),"x","")</f>
        <v/>
      </c>
      <c r="Q2018" s="525" t="str">
        <f>IF(AND($M2018=$O$7,$B2018&lt;'111'!$N$11),"x","")</f>
        <v/>
      </c>
      <c r="R2018" s="525" t="str">
        <f>IF(ISERROR(FIND('112'!$M$9,G2018,1)),"",IF((AND(FIND('112'!$M$9,G2018,1)&gt;=1,$B2018&gt;='112'!$N$8,$B2018&lt;='112'!$O$8,OR($L2018='112'!$I$6,$M2018='112'!$I$6))),"x",""))</f>
        <v/>
      </c>
      <c r="S2018" s="525" t="str">
        <f>IF(ISERROR(FIND('112'!$M$9,G2018,1)),"",IF((AND(LEFT(G2018,2)=LEFT('112'!$M$9,2),B2018&lt;'112'!$N$8,$L2018='112'!$I$6)),"x",""))</f>
        <v/>
      </c>
      <c r="T2018" s="525" t="str">
        <f>IF(ISERROR(FIND('112'!$M$9,G2018,1)),"",IF((AND(RIGHT(G2018,2)=RIGHT('112'!$M$9,2),B2018&lt;'112'!$N$8,$M2018='112'!$I$6)),"x",""))</f>
        <v/>
      </c>
      <c r="U2018" s="525" t="str">
        <f>IF(AND(B2018&gt;='IN-NX'!$P$3,B2018&lt;='IN-NX'!$Q$3,'IN-NX'!$D$7=D2018,OR(LEFT(L2018,2)="15",AND(LEFT(M2018,2)&lt;&gt;"15",LEFT(M2018,2)&lt;&gt;"33"))),"x","")</f>
        <v/>
      </c>
      <c r="V2018" s="525" t="str">
        <f>IF(AND(OR(LEFT(TH!L2018,2)="15",LEFT(TH!M2018,2)="15"),'152-CT'!$J$8=TH!F2018),"x","")</f>
        <v/>
      </c>
      <c r="W2018" s="525" t="str">
        <f>IF(AND(OR(LEFT(TH!L2018,2)="15",LEFT(TH!M2018,2)="15"),TK!$E$7=TH!F2018),"x","")</f>
        <v/>
      </c>
      <c r="X2018" s="525" t="str">
        <f>IF(AND('341-CT'!$E$9=H2018,OR(LEFT(L2018,3)=$X$7,LEFT(M2018,3)=$X$7)),"x","")</f>
        <v/>
      </c>
      <c r="Y2018" s="525" t="str">
        <f>IF(OR(TH!L2018=TH!$Y$7,M2018=TH!$Y$7),"x","")</f>
        <v/>
      </c>
      <c r="Z2018" s="525" t="str">
        <f>IF(AND(B2018&lt;=NKC!$N$8,B2018&gt;=NKC!$M$8),"x","")</f>
        <v/>
      </c>
      <c r="AA2018" s="535">
        <v>2</v>
      </c>
      <c r="AC2018" s="503"/>
      <c r="AD2018" s="503"/>
    </row>
    <row r="2019" spans="1:31" s="536" customFormat="1" ht="15.75" customHeight="1">
      <c r="A2019" s="517" t="str">
        <f>IF(B2019&lt;&gt;"",IF(AND(B2019&gt;=_TM1,B2019&lt;=_TM2,OR(TH!L2019="1111",TH!M2019="1111")),TH!D2019,""),"")</f>
        <v/>
      </c>
      <c r="B2019" s="531">
        <f t="shared" si="189"/>
        <v>4</v>
      </c>
      <c r="C2019" s="315">
        <f t="shared" si="190"/>
        <v>42827</v>
      </c>
      <c r="D2019" s="315" t="s">
        <v>959</v>
      </c>
      <c r="E2019" s="545">
        <v>42827</v>
      </c>
      <c r="F2019" s="249" t="s">
        <v>747</v>
      </c>
      <c r="G2019" s="314" t="s">
        <v>1003</v>
      </c>
      <c r="H2019" s="473" t="s">
        <v>447</v>
      </c>
      <c r="I2019" s="307">
        <v>15</v>
      </c>
      <c r="J2019" s="307">
        <v>58741</v>
      </c>
      <c r="K2019" s="532">
        <f t="shared" si="192"/>
        <v>881115</v>
      </c>
      <c r="L2019" s="534" t="s">
        <v>292</v>
      </c>
      <c r="M2019" s="534" t="s">
        <v>8</v>
      </c>
      <c r="N2019" s="525" t="str">
        <f>IF(AND('331-CT'!$E$7=TH!H2019,OR(L2019="331",M2019="331")),"331",IF(AND(OR(L2019="131",M2019="131"),H2019='131-CT'!$E$7),"131",""))</f>
        <v/>
      </c>
      <c r="O2019" s="525" t="str">
        <f>IF(AND($B2019&gt;='111'!$N$11,$B2019&lt;='111'!$O$11,OR($L2019=$O$7,$M2019=$O$7)),"x","")</f>
        <v/>
      </c>
      <c r="P2019" s="525" t="str">
        <f>IF(AND($L2019=$O$7,$B2019&lt;'111'!$N$11),"x","")</f>
        <v/>
      </c>
      <c r="Q2019" s="525" t="str">
        <f>IF(AND($M2019=$O$7,$B2019&lt;'111'!$N$11),"x","")</f>
        <v/>
      </c>
      <c r="R2019" s="525" t="str">
        <f>IF(ISERROR(FIND('112'!$M$9,G2019,1)),"",IF((AND(FIND('112'!$M$9,G2019,1)&gt;=1,$B2019&gt;='112'!$N$8,$B2019&lt;='112'!$O$8,OR($L2019='112'!$I$6,$M2019='112'!$I$6))),"x",""))</f>
        <v/>
      </c>
      <c r="S2019" s="525" t="str">
        <f>IF(ISERROR(FIND('112'!$M$9,G2019,1)),"",IF((AND(LEFT(G2019,2)=LEFT('112'!$M$9,2),B2019&lt;'112'!$N$8,$L2019='112'!$I$6)),"x",""))</f>
        <v/>
      </c>
      <c r="T2019" s="525" t="str">
        <f>IF(ISERROR(FIND('112'!$M$9,G2019,1)),"",IF((AND(RIGHT(G2019,2)=RIGHT('112'!$M$9,2),B2019&lt;'112'!$N$8,$M2019='112'!$I$6)),"x",""))</f>
        <v/>
      </c>
      <c r="U2019" s="525" t="str">
        <f>IF(AND(B2019&gt;='IN-NX'!$P$3,B2019&lt;='IN-NX'!$Q$3,'IN-NX'!$D$7=D2019,OR(LEFT(L2019,2)="15",AND(LEFT(M2019,2)&lt;&gt;"15",LEFT(M2019,2)&lt;&gt;"33"))),"x","")</f>
        <v/>
      </c>
      <c r="V2019" s="525" t="str">
        <f>IF(AND(OR(LEFT(TH!L2019,2)="15",LEFT(TH!M2019,2)="15"),'152-CT'!$J$8=TH!F2019),"x","")</f>
        <v/>
      </c>
      <c r="W2019" s="525" t="str">
        <f>IF(AND(OR(LEFT(TH!L2019,2)="15",LEFT(TH!M2019,2)="15"),TK!$E$7=TH!F2019),"x","")</f>
        <v/>
      </c>
      <c r="X2019" s="525" t="str">
        <f>IF(AND('341-CT'!$E$9=H2019,OR(LEFT(L2019,3)=$X$7,LEFT(M2019,3)=$X$7)),"x","")</f>
        <v/>
      </c>
      <c r="Y2019" s="525" t="str">
        <f>IF(OR(TH!L2019=TH!$Y$7,M2019=TH!$Y$7),"x","")</f>
        <v/>
      </c>
      <c r="Z2019" s="525" t="str">
        <f>IF(AND(B2019&lt;=NKC!$N$8,B2019&gt;=NKC!$M$8),"x","")</f>
        <v/>
      </c>
      <c r="AA2019" s="535">
        <v>2</v>
      </c>
      <c r="AC2019" s="503"/>
      <c r="AD2019" s="503"/>
    </row>
    <row r="2020" spans="1:31" s="536" customFormat="1" ht="15.75" customHeight="1">
      <c r="A2020" s="517" t="str">
        <f>IF(B2020&lt;&gt;"",IF(AND(B2020&gt;=_TM1,B2020&lt;=_TM2,OR(TH!L2020="1111",TH!M2020="1111")),TH!D2020,""),"")</f>
        <v/>
      </c>
      <c r="B2020" s="531">
        <f t="shared" si="189"/>
        <v>4</v>
      </c>
      <c r="C2020" s="315">
        <f t="shared" si="190"/>
        <v>42827</v>
      </c>
      <c r="D2020" s="315" t="s">
        <v>959</v>
      </c>
      <c r="E2020" s="545">
        <v>42827</v>
      </c>
      <c r="F2020" s="247" t="s">
        <v>998</v>
      </c>
      <c r="G2020" s="314" t="s">
        <v>1003</v>
      </c>
      <c r="H2020" s="473" t="s">
        <v>447</v>
      </c>
      <c r="I2020" s="307">
        <v>20</v>
      </c>
      <c r="J2020" s="307">
        <v>69249</v>
      </c>
      <c r="K2020" s="532">
        <f t="shared" si="192"/>
        <v>1384980</v>
      </c>
      <c r="L2020" s="534" t="s">
        <v>292</v>
      </c>
      <c r="M2020" s="534" t="s">
        <v>8</v>
      </c>
      <c r="N2020" s="525" t="str">
        <f>IF(AND('331-CT'!$E$7=TH!H2020,OR(L2020="331",M2020="331")),"331",IF(AND(OR(L2020="131",M2020="131"),H2020='131-CT'!$E$7),"131",""))</f>
        <v/>
      </c>
      <c r="O2020" s="525" t="str">
        <f>IF(AND($B2020&gt;='111'!$N$11,$B2020&lt;='111'!$O$11,OR($L2020=$O$7,$M2020=$O$7)),"x","")</f>
        <v/>
      </c>
      <c r="P2020" s="525" t="str">
        <f>IF(AND($L2020=$O$7,$B2020&lt;'111'!$N$11),"x","")</f>
        <v/>
      </c>
      <c r="Q2020" s="525" t="str">
        <f>IF(AND($M2020=$O$7,$B2020&lt;'111'!$N$11),"x","")</f>
        <v/>
      </c>
      <c r="R2020" s="525" t="str">
        <f>IF(ISERROR(FIND('112'!$M$9,G2020,1)),"",IF((AND(FIND('112'!$M$9,G2020,1)&gt;=1,$B2020&gt;='112'!$N$8,$B2020&lt;='112'!$O$8,OR($L2020='112'!$I$6,$M2020='112'!$I$6))),"x",""))</f>
        <v/>
      </c>
      <c r="S2020" s="525" t="str">
        <f>IF(ISERROR(FIND('112'!$M$9,G2020,1)),"",IF((AND(LEFT(G2020,2)=LEFT('112'!$M$9,2),B2020&lt;'112'!$N$8,$L2020='112'!$I$6)),"x",""))</f>
        <v/>
      </c>
      <c r="T2020" s="525" t="str">
        <f>IF(ISERROR(FIND('112'!$M$9,G2020,1)),"",IF((AND(RIGHT(G2020,2)=RIGHT('112'!$M$9,2),B2020&lt;'112'!$N$8,$M2020='112'!$I$6)),"x",""))</f>
        <v/>
      </c>
      <c r="U2020" s="525" t="str">
        <f>IF(AND(B2020&gt;='IN-NX'!$P$3,B2020&lt;='IN-NX'!$Q$3,'IN-NX'!$D$7=D2020,OR(LEFT(L2020,2)="15",AND(LEFT(M2020,2)&lt;&gt;"15",LEFT(M2020,2)&lt;&gt;"33"))),"x","")</f>
        <v/>
      </c>
      <c r="V2020" s="525" t="str">
        <f>IF(AND(OR(LEFT(TH!L2020,2)="15",LEFT(TH!M2020,2)="15"),'152-CT'!$J$8=TH!F2020),"x","")</f>
        <v/>
      </c>
      <c r="W2020" s="525" t="str">
        <f>IF(AND(OR(LEFT(TH!L2020,2)="15",LEFT(TH!M2020,2)="15"),TK!$E$7=TH!F2020),"x","")</f>
        <v/>
      </c>
      <c r="X2020" s="525" t="str">
        <f>IF(AND('341-CT'!$E$9=H2020,OR(LEFT(L2020,3)=$X$7,LEFT(M2020,3)=$X$7)),"x","")</f>
        <v/>
      </c>
      <c r="Y2020" s="525" t="str">
        <f>IF(OR(TH!L2020=TH!$Y$7,M2020=TH!$Y$7),"x","")</f>
        <v/>
      </c>
      <c r="Z2020" s="525" t="str">
        <f>IF(AND(B2020&lt;=NKC!$N$8,B2020&gt;=NKC!$M$8),"x","")</f>
        <v/>
      </c>
      <c r="AA2020" s="535">
        <v>2</v>
      </c>
      <c r="AC2020" s="503"/>
      <c r="AD2020" s="503"/>
    </row>
    <row r="2021" spans="1:31" s="536" customFormat="1" ht="15.75" customHeight="1">
      <c r="A2021" s="517" t="str">
        <f>IF(B2021&lt;&gt;"",IF(AND(B2021&gt;=_TM1,B2021&lt;=_TM2,OR(TH!L2021="1111",TH!M2021="1111")),TH!D2021,""),"")</f>
        <v/>
      </c>
      <c r="B2021" s="531">
        <f t="shared" si="189"/>
        <v>4</v>
      </c>
      <c r="C2021" s="315">
        <f t="shared" si="190"/>
        <v>42827</v>
      </c>
      <c r="D2021" s="315" t="s">
        <v>959</v>
      </c>
      <c r="E2021" s="315">
        <v>42827</v>
      </c>
      <c r="F2021" s="247" t="s">
        <v>999</v>
      </c>
      <c r="G2021" s="314" t="s">
        <v>1003</v>
      </c>
      <c r="H2021" s="473" t="s">
        <v>447</v>
      </c>
      <c r="I2021" s="307">
        <v>30</v>
      </c>
      <c r="J2021" s="307">
        <v>75076</v>
      </c>
      <c r="K2021" s="532">
        <f t="shared" si="192"/>
        <v>2252280</v>
      </c>
      <c r="L2021" s="534" t="s">
        <v>292</v>
      </c>
      <c r="M2021" s="534" t="s">
        <v>8</v>
      </c>
      <c r="N2021" s="525" t="str">
        <f>IF(AND('331-CT'!$E$7=TH!H2021,OR(L2021="331",M2021="331")),"331",IF(AND(OR(L2021="131",M2021="131"),H2021='131-CT'!$E$7),"131",""))</f>
        <v/>
      </c>
      <c r="O2021" s="525" t="str">
        <f>IF(AND($B2021&gt;='111'!$N$11,$B2021&lt;='111'!$O$11,OR($L2021=$O$7,$M2021=$O$7)),"x","")</f>
        <v/>
      </c>
      <c r="P2021" s="525" t="str">
        <f>IF(AND($L2021=$O$7,$B2021&lt;'111'!$N$11),"x","")</f>
        <v/>
      </c>
      <c r="Q2021" s="525" t="str">
        <f>IF(AND($M2021=$O$7,$B2021&lt;'111'!$N$11),"x","")</f>
        <v/>
      </c>
      <c r="R2021" s="525" t="str">
        <f>IF(ISERROR(FIND('112'!$M$9,G2021,1)),"",IF((AND(FIND('112'!$M$9,G2021,1)&gt;=1,$B2021&gt;='112'!$N$8,$B2021&lt;='112'!$O$8,OR($L2021='112'!$I$6,$M2021='112'!$I$6))),"x",""))</f>
        <v/>
      </c>
      <c r="S2021" s="525" t="str">
        <f>IF(ISERROR(FIND('112'!$M$9,G2021,1)),"",IF((AND(LEFT(G2021,2)=LEFT('112'!$M$9,2),B2021&lt;'112'!$N$8,$L2021='112'!$I$6)),"x",""))</f>
        <v/>
      </c>
      <c r="T2021" s="525" t="str">
        <f>IF(ISERROR(FIND('112'!$M$9,G2021,1)),"",IF((AND(RIGHT(G2021,2)=RIGHT('112'!$M$9,2),B2021&lt;'112'!$N$8,$M2021='112'!$I$6)),"x",""))</f>
        <v/>
      </c>
      <c r="U2021" s="525" t="str">
        <f>IF(AND(B2021&gt;='IN-NX'!$P$3,B2021&lt;='IN-NX'!$Q$3,'IN-NX'!$D$7=D2021,OR(LEFT(L2021,2)="15",AND(LEFT(M2021,2)&lt;&gt;"15",LEFT(M2021,2)&lt;&gt;"33"))),"x","")</f>
        <v/>
      </c>
      <c r="V2021" s="525" t="str">
        <f>IF(AND(OR(LEFT(TH!L2021,2)="15",LEFT(TH!M2021,2)="15"),'152-CT'!$J$8=TH!F2021),"x","")</f>
        <v/>
      </c>
      <c r="W2021" s="525" t="str">
        <f>IF(AND(OR(LEFT(TH!L2021,2)="15",LEFT(TH!M2021,2)="15"),TK!$E$7=TH!F2021),"x","")</f>
        <v/>
      </c>
      <c r="X2021" s="525" t="str">
        <f>IF(AND('341-CT'!$E$9=H2021,OR(LEFT(L2021,3)=$X$7,LEFT(M2021,3)=$X$7)),"x","")</f>
        <v/>
      </c>
      <c r="Y2021" s="525" t="str">
        <f>IF(OR(TH!L2021=TH!$Y$7,M2021=TH!$Y$7),"x","")</f>
        <v/>
      </c>
      <c r="Z2021" s="525" t="str">
        <f>IF(AND(B2021&lt;=NKC!$N$8,B2021&gt;=NKC!$M$8),"x","")</f>
        <v/>
      </c>
      <c r="AA2021" s="535">
        <v>2</v>
      </c>
      <c r="AC2021" s="503"/>
      <c r="AD2021" s="503"/>
    </row>
    <row r="2022" spans="1:31" s="536" customFormat="1" ht="15.75" customHeight="1">
      <c r="A2022" s="517" t="str">
        <f>IF(B2022&lt;&gt;"",IF(AND(B2022&gt;=_TM1,B2022&lt;=_TM2,OR(TH!L2022="1111",TH!M2022="1111")),TH!D2022,""),"")</f>
        <v/>
      </c>
      <c r="B2022" s="531">
        <f t="shared" si="189"/>
        <v>4</v>
      </c>
      <c r="C2022" s="315">
        <f t="shared" si="190"/>
        <v>42827</v>
      </c>
      <c r="D2022" s="315" t="s">
        <v>959</v>
      </c>
      <c r="E2022" s="315">
        <v>42827</v>
      </c>
      <c r="F2022" s="247" t="s">
        <v>629</v>
      </c>
      <c r="G2022" s="314" t="s">
        <v>1003</v>
      </c>
      <c r="H2022" s="473" t="s">
        <v>447</v>
      </c>
      <c r="I2022" s="307">
        <v>40</v>
      </c>
      <c r="J2022" s="307">
        <v>24753</v>
      </c>
      <c r="K2022" s="532">
        <f t="shared" si="192"/>
        <v>990120</v>
      </c>
      <c r="L2022" s="534" t="s">
        <v>292</v>
      </c>
      <c r="M2022" s="534" t="s">
        <v>8</v>
      </c>
      <c r="N2022" s="525" t="str">
        <f>IF(AND('331-CT'!$E$7=TH!H2022,OR(L2022="331",M2022="331")),"331",IF(AND(OR(L2022="131",M2022="131"),H2022='131-CT'!$E$7),"131",""))</f>
        <v/>
      </c>
      <c r="O2022" s="525" t="str">
        <f>IF(AND($B2022&gt;='111'!$N$11,$B2022&lt;='111'!$O$11,OR($L2022=$O$7,$M2022=$O$7)),"x","")</f>
        <v/>
      </c>
      <c r="P2022" s="525" t="str">
        <f>IF(AND($L2022=$O$7,$B2022&lt;'111'!$N$11),"x","")</f>
        <v/>
      </c>
      <c r="Q2022" s="525" t="str">
        <f>IF(AND($M2022=$O$7,$B2022&lt;'111'!$N$11),"x","")</f>
        <v/>
      </c>
      <c r="R2022" s="525" t="str">
        <f>IF(ISERROR(FIND('112'!$M$9,G2022,1)),"",IF((AND(FIND('112'!$M$9,G2022,1)&gt;=1,$B2022&gt;='112'!$N$8,$B2022&lt;='112'!$O$8,OR($L2022='112'!$I$6,$M2022='112'!$I$6))),"x",""))</f>
        <v/>
      </c>
      <c r="S2022" s="525" t="str">
        <f>IF(ISERROR(FIND('112'!$M$9,G2022,1)),"",IF((AND(LEFT(G2022,2)=LEFT('112'!$M$9,2),B2022&lt;'112'!$N$8,$L2022='112'!$I$6)),"x",""))</f>
        <v/>
      </c>
      <c r="T2022" s="525" t="str">
        <f>IF(ISERROR(FIND('112'!$M$9,G2022,1)),"",IF((AND(RIGHT(G2022,2)=RIGHT('112'!$M$9,2),B2022&lt;'112'!$N$8,$M2022='112'!$I$6)),"x",""))</f>
        <v/>
      </c>
      <c r="U2022" s="525" t="str">
        <f>IF(AND(B2022&gt;='IN-NX'!$P$3,B2022&lt;='IN-NX'!$Q$3,'IN-NX'!$D$7=D2022,OR(LEFT(L2022,2)="15",AND(LEFT(M2022,2)&lt;&gt;"15",LEFT(M2022,2)&lt;&gt;"33"))),"x","")</f>
        <v/>
      </c>
      <c r="V2022" s="525" t="str">
        <f>IF(AND(OR(LEFT(TH!L2022,2)="15",LEFT(TH!M2022,2)="15"),'152-CT'!$J$8=TH!F2022),"x","")</f>
        <v/>
      </c>
      <c r="W2022" s="525" t="str">
        <f>IF(AND(OR(LEFT(TH!L2022,2)="15",LEFT(TH!M2022,2)="15"),TK!$E$7=TH!F2022),"x","")</f>
        <v/>
      </c>
      <c r="X2022" s="525" t="str">
        <f>IF(AND('341-CT'!$E$9=H2022,OR(LEFT(L2022,3)=$X$7,LEFT(M2022,3)=$X$7)),"x","")</f>
        <v/>
      </c>
      <c r="Y2022" s="525" t="str">
        <f>IF(OR(TH!L2022=TH!$Y$7,M2022=TH!$Y$7),"x","")</f>
        <v/>
      </c>
      <c r="Z2022" s="525" t="str">
        <f>IF(AND(B2022&lt;=NKC!$N$8,B2022&gt;=NKC!$M$8),"x","")</f>
        <v/>
      </c>
      <c r="AA2022" s="535">
        <v>2</v>
      </c>
      <c r="AC2022" s="503"/>
      <c r="AD2022" s="503"/>
    </row>
    <row r="2023" spans="1:31" s="536" customFormat="1" ht="15.75" customHeight="1">
      <c r="A2023" s="517" t="str">
        <f>IF(B2023&lt;&gt;"",IF(AND(B2023&gt;=_TM1,B2023&lt;=_TM2,OR(TH!L2023="1111",TH!M2023="1111")),TH!D2023,""),"")</f>
        <v/>
      </c>
      <c r="B2023" s="531">
        <f t="shared" si="189"/>
        <v>4</v>
      </c>
      <c r="C2023" s="315">
        <f t="shared" si="190"/>
        <v>42827</v>
      </c>
      <c r="D2023" s="315" t="s">
        <v>960</v>
      </c>
      <c r="E2023" s="315">
        <v>42827</v>
      </c>
      <c r="F2023" s="247" t="s">
        <v>1000</v>
      </c>
      <c r="G2023" s="314" t="s">
        <v>1003</v>
      </c>
      <c r="H2023" s="473" t="s">
        <v>447</v>
      </c>
      <c r="I2023" s="307">
        <v>20</v>
      </c>
      <c r="J2023" s="307">
        <v>29631</v>
      </c>
      <c r="K2023" s="532">
        <f t="shared" si="192"/>
        <v>592620</v>
      </c>
      <c r="L2023" s="534" t="s">
        <v>292</v>
      </c>
      <c r="M2023" s="534" t="s">
        <v>8</v>
      </c>
      <c r="N2023" s="525" t="str">
        <f>IF(AND('331-CT'!$E$7=TH!H2023,OR(L2023="331",M2023="331")),"331",IF(AND(OR(L2023="131",M2023="131"),H2023='131-CT'!$E$7),"131",""))</f>
        <v/>
      </c>
      <c r="O2023" s="525" t="str">
        <f>IF(AND($B2023&gt;='111'!$N$11,$B2023&lt;='111'!$O$11,OR($L2023=$O$7,$M2023=$O$7)),"x","")</f>
        <v/>
      </c>
      <c r="P2023" s="525" t="str">
        <f>IF(AND($L2023=$O$7,$B2023&lt;'111'!$N$11),"x","")</f>
        <v/>
      </c>
      <c r="Q2023" s="525" t="str">
        <f>IF(AND($M2023=$O$7,$B2023&lt;'111'!$N$11),"x","")</f>
        <v/>
      </c>
      <c r="R2023" s="525" t="str">
        <f>IF(ISERROR(FIND('112'!$M$9,G2023,1)),"",IF((AND(FIND('112'!$M$9,G2023,1)&gt;=1,$B2023&gt;='112'!$N$8,$B2023&lt;='112'!$O$8,OR($L2023='112'!$I$6,$M2023='112'!$I$6))),"x",""))</f>
        <v/>
      </c>
      <c r="S2023" s="525" t="str">
        <f>IF(ISERROR(FIND('112'!$M$9,G2023,1)),"",IF((AND(LEFT(G2023,2)=LEFT('112'!$M$9,2),B2023&lt;'112'!$N$8,$L2023='112'!$I$6)),"x",""))</f>
        <v/>
      </c>
      <c r="T2023" s="525" t="str">
        <f>IF(ISERROR(FIND('112'!$M$9,G2023,1)),"",IF((AND(RIGHT(G2023,2)=RIGHT('112'!$M$9,2),B2023&lt;'112'!$N$8,$M2023='112'!$I$6)),"x",""))</f>
        <v/>
      </c>
      <c r="U2023" s="525" t="str">
        <f>IF(AND(B2023&gt;='IN-NX'!$P$3,B2023&lt;='IN-NX'!$Q$3,'IN-NX'!$D$7=D2023,OR(LEFT(L2023,2)="15",AND(LEFT(M2023,2)&lt;&gt;"15",LEFT(M2023,2)&lt;&gt;"33"))),"x","")</f>
        <v/>
      </c>
      <c r="V2023" s="525" t="str">
        <f>IF(AND(OR(LEFT(TH!L2023,2)="15",LEFT(TH!M2023,2)="15"),'152-CT'!$J$8=TH!F2023),"x","")</f>
        <v/>
      </c>
      <c r="W2023" s="525" t="str">
        <f>IF(AND(OR(LEFT(TH!L2023,2)="15",LEFT(TH!M2023,2)="15"),TK!$E$7=TH!F2023),"x","")</f>
        <v/>
      </c>
      <c r="X2023" s="525" t="str">
        <f>IF(AND('341-CT'!$E$9=H2023,OR(LEFT(L2023,3)=$X$7,LEFT(M2023,3)=$X$7)),"x","")</f>
        <v/>
      </c>
      <c r="Y2023" s="525" t="str">
        <f>IF(OR(TH!L2023=TH!$Y$7,M2023=TH!$Y$7),"x","")</f>
        <v/>
      </c>
      <c r="Z2023" s="525" t="str">
        <f>IF(AND(B2023&lt;=NKC!$N$8,B2023&gt;=NKC!$M$8),"x","")</f>
        <v/>
      </c>
      <c r="AA2023" s="535">
        <v>2</v>
      </c>
      <c r="AC2023" s="503"/>
      <c r="AD2023" s="503"/>
    </row>
    <row r="2024" spans="1:31" s="536" customFormat="1" ht="15.75" customHeight="1">
      <c r="A2024" s="517" t="str">
        <f>IF(B2024&lt;&gt;"",IF(AND(B2024&gt;=_TM1,B2024&lt;=_TM2,OR(TH!L2024="1111",TH!M2024="1111")),TH!D2024,""),"")</f>
        <v/>
      </c>
      <c r="B2024" s="531">
        <f t="shared" si="189"/>
        <v>4</v>
      </c>
      <c r="C2024" s="315">
        <f t="shared" si="190"/>
        <v>42827</v>
      </c>
      <c r="D2024" s="315" t="s">
        <v>960</v>
      </c>
      <c r="E2024" s="315">
        <v>42827</v>
      </c>
      <c r="F2024" s="247" t="s">
        <v>619</v>
      </c>
      <c r="G2024" s="314" t="s">
        <v>1003</v>
      </c>
      <c r="H2024" s="473" t="s">
        <v>447</v>
      </c>
      <c r="I2024" s="307">
        <v>268</v>
      </c>
      <c r="J2024" s="307">
        <v>19834</v>
      </c>
      <c r="K2024" s="532">
        <f t="shared" si="192"/>
        <v>5315512</v>
      </c>
      <c r="L2024" s="534" t="s">
        <v>292</v>
      </c>
      <c r="M2024" s="534" t="s">
        <v>8</v>
      </c>
      <c r="N2024" s="525" t="str">
        <f>IF(AND('331-CT'!$E$7=TH!H2024,OR(L2024="331",M2024="331")),"331",IF(AND(OR(L2024="131",M2024="131"),H2024='131-CT'!$E$7),"131",""))</f>
        <v/>
      </c>
      <c r="O2024" s="525" t="str">
        <f>IF(AND($B2024&gt;='111'!$N$11,$B2024&lt;='111'!$O$11,OR($L2024=$O$7,$M2024=$O$7)),"x","")</f>
        <v/>
      </c>
      <c r="P2024" s="525" t="str">
        <f>IF(AND($L2024=$O$7,$B2024&lt;'111'!$N$11),"x","")</f>
        <v/>
      </c>
      <c r="Q2024" s="525" t="str">
        <f>IF(AND($M2024=$O$7,$B2024&lt;'111'!$N$11),"x","")</f>
        <v/>
      </c>
      <c r="R2024" s="525" t="str">
        <f>IF(ISERROR(FIND('112'!$M$9,G2024,1)),"",IF((AND(FIND('112'!$M$9,G2024,1)&gt;=1,$B2024&gt;='112'!$N$8,$B2024&lt;='112'!$O$8,OR($L2024='112'!$I$6,$M2024='112'!$I$6))),"x",""))</f>
        <v/>
      </c>
      <c r="S2024" s="525" t="str">
        <f>IF(ISERROR(FIND('112'!$M$9,G2024,1)),"",IF((AND(LEFT(G2024,2)=LEFT('112'!$M$9,2),B2024&lt;'112'!$N$8,$L2024='112'!$I$6)),"x",""))</f>
        <v/>
      </c>
      <c r="T2024" s="525" t="str">
        <f>IF(ISERROR(FIND('112'!$M$9,G2024,1)),"",IF((AND(RIGHT(G2024,2)=RIGHT('112'!$M$9,2),B2024&lt;'112'!$N$8,$M2024='112'!$I$6)),"x",""))</f>
        <v/>
      </c>
      <c r="U2024" s="525" t="str">
        <f>IF(AND(B2024&gt;='IN-NX'!$P$3,B2024&lt;='IN-NX'!$Q$3,'IN-NX'!$D$7=D2024,OR(LEFT(L2024,2)="15",AND(LEFT(M2024,2)&lt;&gt;"15",LEFT(M2024,2)&lt;&gt;"33"))),"x","")</f>
        <v/>
      </c>
      <c r="V2024" s="525" t="str">
        <f>IF(AND(OR(LEFT(TH!L2024,2)="15",LEFT(TH!M2024,2)="15"),'152-CT'!$J$8=TH!F2024),"x","")</f>
        <v/>
      </c>
      <c r="W2024" s="525" t="str">
        <f>IF(AND(OR(LEFT(TH!L2024,2)="15",LEFT(TH!M2024,2)="15"),TK!$E$7=TH!F2024),"x","")</f>
        <v/>
      </c>
      <c r="X2024" s="525" t="str">
        <f>IF(AND('341-CT'!$E$9=H2024,OR(LEFT(L2024,3)=$X$7,LEFT(M2024,3)=$X$7)),"x","")</f>
        <v/>
      </c>
      <c r="Y2024" s="525" t="str">
        <f>IF(OR(TH!L2024=TH!$Y$7,M2024=TH!$Y$7),"x","")</f>
        <v/>
      </c>
      <c r="Z2024" s="525" t="str">
        <f>IF(AND(B2024&lt;=NKC!$N$8,B2024&gt;=NKC!$M$8),"x","")</f>
        <v/>
      </c>
      <c r="AA2024" s="535">
        <v>2</v>
      </c>
      <c r="AC2024" s="503"/>
      <c r="AD2024" s="503"/>
    </row>
    <row r="2025" spans="1:31" s="536" customFormat="1" ht="15.75" customHeight="1">
      <c r="A2025" s="517" t="str">
        <f>IF(B2025&lt;&gt;"",IF(AND(B2025&gt;=_TM1,B2025&lt;=_TM2,OR(TH!L2025="1111",TH!M2025="1111")),TH!D2025,""),"")</f>
        <v/>
      </c>
      <c r="B2025" s="531">
        <f t="shared" si="189"/>
        <v>4</v>
      </c>
      <c r="C2025" s="315">
        <f t="shared" si="190"/>
        <v>42827</v>
      </c>
      <c r="D2025" s="315" t="s">
        <v>960</v>
      </c>
      <c r="E2025" s="315">
        <v>42827</v>
      </c>
      <c r="F2025" s="247" t="s">
        <v>695</v>
      </c>
      <c r="G2025" s="314" t="s">
        <v>1003</v>
      </c>
      <c r="H2025" s="473" t="s">
        <v>447</v>
      </c>
      <c r="I2025" s="307">
        <v>10</v>
      </c>
      <c r="J2025" s="307">
        <v>103608</v>
      </c>
      <c r="K2025" s="532">
        <f t="shared" si="192"/>
        <v>1036080</v>
      </c>
      <c r="L2025" s="534" t="s">
        <v>292</v>
      </c>
      <c r="M2025" s="534" t="s">
        <v>8</v>
      </c>
      <c r="N2025" s="525" t="str">
        <f>IF(AND('331-CT'!$E$7=TH!H2025,OR(L2025="331",M2025="331")),"331",IF(AND(OR(L2025="131",M2025="131"),H2025='131-CT'!$E$7),"131",""))</f>
        <v/>
      </c>
      <c r="O2025" s="525" t="str">
        <f>IF(AND($B2025&gt;='111'!$N$11,$B2025&lt;='111'!$O$11,OR($L2025=$O$7,$M2025=$O$7)),"x","")</f>
        <v/>
      </c>
      <c r="P2025" s="525" t="str">
        <f>IF(AND($L2025=$O$7,$B2025&lt;'111'!$N$11),"x","")</f>
        <v/>
      </c>
      <c r="Q2025" s="525" t="str">
        <f>IF(AND($M2025=$O$7,$B2025&lt;'111'!$N$11),"x","")</f>
        <v/>
      </c>
      <c r="R2025" s="525" t="str">
        <f>IF(ISERROR(FIND('112'!$M$9,G2025,1)),"",IF((AND(FIND('112'!$M$9,G2025,1)&gt;=1,$B2025&gt;='112'!$N$8,$B2025&lt;='112'!$O$8,OR($L2025='112'!$I$6,$M2025='112'!$I$6))),"x",""))</f>
        <v/>
      </c>
      <c r="S2025" s="525" t="str">
        <f>IF(ISERROR(FIND('112'!$M$9,G2025,1)),"",IF((AND(LEFT(G2025,2)=LEFT('112'!$M$9,2),B2025&lt;'112'!$N$8,$L2025='112'!$I$6)),"x",""))</f>
        <v/>
      </c>
      <c r="T2025" s="525" t="str">
        <f>IF(ISERROR(FIND('112'!$M$9,G2025,1)),"",IF((AND(RIGHT(G2025,2)=RIGHT('112'!$M$9,2),B2025&lt;'112'!$N$8,$M2025='112'!$I$6)),"x",""))</f>
        <v/>
      </c>
      <c r="U2025" s="525" t="str">
        <f>IF(AND(B2025&gt;='IN-NX'!$P$3,B2025&lt;='IN-NX'!$Q$3,'IN-NX'!$D$7=D2025,OR(LEFT(L2025,2)="15",AND(LEFT(M2025,2)&lt;&gt;"15",LEFT(M2025,2)&lt;&gt;"33"))),"x","")</f>
        <v/>
      </c>
      <c r="V2025" s="525" t="str">
        <f>IF(AND(OR(LEFT(TH!L2025,2)="15",LEFT(TH!M2025,2)="15"),'152-CT'!$J$8=TH!F2025),"x","")</f>
        <v/>
      </c>
      <c r="W2025" s="525" t="str">
        <f>IF(AND(OR(LEFT(TH!L2025,2)="15",LEFT(TH!M2025,2)="15"),TK!$E$7=TH!F2025),"x","")</f>
        <v/>
      </c>
      <c r="X2025" s="525" t="str">
        <f>IF(AND('341-CT'!$E$9=H2025,OR(LEFT(L2025,3)=$X$7,LEFT(M2025,3)=$X$7)),"x","")</f>
        <v/>
      </c>
      <c r="Y2025" s="525" t="str">
        <f>IF(OR(TH!L2025=TH!$Y$7,M2025=TH!$Y$7),"x","")</f>
        <v/>
      </c>
      <c r="Z2025" s="525" t="str">
        <f>IF(AND(B2025&lt;=NKC!$N$8,B2025&gt;=NKC!$M$8),"x","")</f>
        <v/>
      </c>
      <c r="AA2025" s="535">
        <v>2</v>
      </c>
      <c r="AC2025" s="503"/>
      <c r="AD2025" s="503"/>
    </row>
    <row r="2026" spans="1:31" s="536" customFormat="1" ht="15.75" customHeight="1">
      <c r="A2026" s="517" t="str">
        <f>IF(B2026&lt;&gt;"",IF(AND(B2026&gt;=_TM1,B2026&lt;=_TM2,OR(TH!L2026="1111",TH!M2026="1111")),TH!D2026,""),"")</f>
        <v/>
      </c>
      <c r="B2026" s="531">
        <f t="shared" si="189"/>
        <v>4</v>
      </c>
      <c r="C2026" s="315">
        <f t="shared" si="190"/>
        <v>42827</v>
      </c>
      <c r="D2026" s="315" t="s">
        <v>960</v>
      </c>
      <c r="E2026" s="315">
        <v>42827</v>
      </c>
      <c r="F2026" s="247" t="s">
        <v>706</v>
      </c>
      <c r="G2026" s="314" t="s">
        <v>1003</v>
      </c>
      <c r="H2026" s="473" t="s">
        <v>447</v>
      </c>
      <c r="I2026" s="307">
        <v>8</v>
      </c>
      <c r="J2026" s="307">
        <v>24338</v>
      </c>
      <c r="K2026" s="532">
        <f t="shared" si="192"/>
        <v>194704</v>
      </c>
      <c r="L2026" s="534" t="s">
        <v>292</v>
      </c>
      <c r="M2026" s="534" t="s">
        <v>8</v>
      </c>
      <c r="N2026" s="525" t="str">
        <f>IF(AND('331-CT'!$E$7=TH!H2026,OR(L2026="331",M2026="331")),"331",IF(AND(OR(L2026="131",M2026="131"),H2026='131-CT'!$E$7),"131",""))</f>
        <v/>
      </c>
      <c r="O2026" s="525" t="str">
        <f>IF(AND($B2026&gt;='111'!$N$11,$B2026&lt;='111'!$O$11,OR($L2026=$O$7,$M2026=$O$7)),"x","")</f>
        <v/>
      </c>
      <c r="P2026" s="525" t="str">
        <f>IF(AND($L2026=$O$7,$B2026&lt;'111'!$N$11),"x","")</f>
        <v/>
      </c>
      <c r="Q2026" s="525" t="str">
        <f>IF(AND($M2026=$O$7,$B2026&lt;'111'!$N$11),"x","")</f>
        <v/>
      </c>
      <c r="R2026" s="525" t="str">
        <f>IF(ISERROR(FIND('112'!$M$9,G2026,1)),"",IF((AND(FIND('112'!$M$9,G2026,1)&gt;=1,$B2026&gt;='112'!$N$8,$B2026&lt;='112'!$O$8,OR($L2026='112'!$I$6,$M2026='112'!$I$6))),"x",""))</f>
        <v/>
      </c>
      <c r="S2026" s="525" t="str">
        <f>IF(ISERROR(FIND('112'!$M$9,G2026,1)),"",IF((AND(LEFT(G2026,2)=LEFT('112'!$M$9,2),B2026&lt;'112'!$N$8,$L2026='112'!$I$6)),"x",""))</f>
        <v/>
      </c>
      <c r="T2026" s="525" t="str">
        <f>IF(ISERROR(FIND('112'!$M$9,G2026,1)),"",IF((AND(RIGHT(G2026,2)=RIGHT('112'!$M$9,2),B2026&lt;'112'!$N$8,$M2026='112'!$I$6)),"x",""))</f>
        <v/>
      </c>
      <c r="U2026" s="525" t="str">
        <f>IF(AND(B2026&gt;='IN-NX'!$P$3,B2026&lt;='IN-NX'!$Q$3,'IN-NX'!$D$7=D2026,OR(LEFT(L2026,2)="15",AND(LEFT(M2026,2)&lt;&gt;"15",LEFT(M2026,2)&lt;&gt;"33"))),"x","")</f>
        <v/>
      </c>
      <c r="V2026" s="525" t="str">
        <f>IF(AND(OR(LEFT(TH!L2026,2)="15",LEFT(TH!M2026,2)="15"),'152-CT'!$J$8=TH!F2026),"x","")</f>
        <v/>
      </c>
      <c r="W2026" s="525" t="str">
        <f>IF(AND(OR(LEFT(TH!L2026,2)="15",LEFT(TH!M2026,2)="15"),TK!$E$7=TH!F2026),"x","")</f>
        <v/>
      </c>
      <c r="X2026" s="525" t="str">
        <f>IF(AND('341-CT'!$E$9=H2026,OR(LEFT(L2026,3)=$X$7,LEFT(M2026,3)=$X$7)),"x","")</f>
        <v/>
      </c>
      <c r="Y2026" s="525" t="str">
        <f>IF(OR(TH!L2026=TH!$Y$7,M2026=TH!$Y$7),"x","")</f>
        <v/>
      </c>
      <c r="Z2026" s="525" t="str">
        <f>IF(AND(B2026&lt;=NKC!$N$8,B2026&gt;=NKC!$M$8),"x","")</f>
        <v/>
      </c>
      <c r="AA2026" s="535">
        <v>2</v>
      </c>
      <c r="AC2026" s="503"/>
      <c r="AD2026" s="503"/>
      <c r="AE2026" s="503"/>
    </row>
    <row r="2027" spans="1:31" s="536" customFormat="1" ht="15.75" customHeight="1">
      <c r="A2027" s="517" t="str">
        <f>IF(B2027&lt;&gt;"",IF(AND(B2027&gt;=_TM1,B2027&lt;=_TM2,OR(TH!L2027="1111",TH!M2027="1111")),TH!D2027,""),"")</f>
        <v/>
      </c>
      <c r="B2027" s="531">
        <f t="shared" si="189"/>
        <v>4</v>
      </c>
      <c r="C2027" s="315">
        <f t="shared" si="190"/>
        <v>42827</v>
      </c>
      <c r="D2027" s="315" t="s">
        <v>960</v>
      </c>
      <c r="E2027" s="315">
        <v>42827</v>
      </c>
      <c r="F2027" s="247" t="s">
        <v>1001</v>
      </c>
      <c r="G2027" s="314" t="s">
        <v>1003</v>
      </c>
      <c r="H2027" s="473" t="s">
        <v>447</v>
      </c>
      <c r="I2027" s="307">
        <v>8</v>
      </c>
      <c r="J2027" s="307">
        <v>161179</v>
      </c>
      <c r="K2027" s="532">
        <f t="shared" si="192"/>
        <v>1289432</v>
      </c>
      <c r="L2027" s="534" t="s">
        <v>292</v>
      </c>
      <c r="M2027" s="534" t="s">
        <v>8</v>
      </c>
      <c r="N2027" s="525" t="str">
        <f>IF(AND('331-CT'!$E$7=TH!H2027,OR(L2027="331",M2027="331")),"331",IF(AND(OR(L2027="131",M2027="131"),H2027='131-CT'!$E$7),"131",""))</f>
        <v/>
      </c>
      <c r="O2027" s="525" t="str">
        <f>IF(AND($B2027&gt;='111'!$N$11,$B2027&lt;='111'!$O$11,OR($L2027=$O$7,$M2027=$O$7)),"x","")</f>
        <v/>
      </c>
      <c r="P2027" s="525" t="str">
        <f>IF(AND($L2027=$O$7,$B2027&lt;'111'!$N$11),"x","")</f>
        <v/>
      </c>
      <c r="Q2027" s="525" t="str">
        <f>IF(AND($M2027=$O$7,$B2027&lt;'111'!$N$11),"x","")</f>
        <v/>
      </c>
      <c r="R2027" s="525" t="str">
        <f>IF(ISERROR(FIND('112'!$M$9,G2027,1)),"",IF((AND(FIND('112'!$M$9,G2027,1)&gt;=1,$B2027&gt;='112'!$N$8,$B2027&lt;='112'!$O$8,OR($L2027='112'!$I$6,$M2027='112'!$I$6))),"x",""))</f>
        <v/>
      </c>
      <c r="S2027" s="525" t="str">
        <f>IF(ISERROR(FIND('112'!$M$9,G2027,1)),"",IF((AND(LEFT(G2027,2)=LEFT('112'!$M$9,2),B2027&lt;'112'!$N$8,$L2027='112'!$I$6)),"x",""))</f>
        <v/>
      </c>
      <c r="T2027" s="525" t="str">
        <f>IF(ISERROR(FIND('112'!$M$9,G2027,1)),"",IF((AND(RIGHT(G2027,2)=RIGHT('112'!$M$9,2),B2027&lt;'112'!$N$8,$M2027='112'!$I$6)),"x",""))</f>
        <v/>
      </c>
      <c r="U2027" s="525" t="str">
        <f>IF(AND(B2027&gt;='IN-NX'!$P$3,B2027&lt;='IN-NX'!$Q$3,'IN-NX'!$D$7=D2027,OR(LEFT(L2027,2)="15",AND(LEFT(M2027,2)&lt;&gt;"15",LEFT(M2027,2)&lt;&gt;"33"))),"x","")</f>
        <v/>
      </c>
      <c r="V2027" s="525" t="str">
        <f>IF(AND(OR(LEFT(TH!L2027,2)="15",LEFT(TH!M2027,2)="15"),'152-CT'!$J$8=TH!F2027),"x","")</f>
        <v/>
      </c>
      <c r="W2027" s="525" t="str">
        <f>IF(AND(OR(LEFT(TH!L2027,2)="15",LEFT(TH!M2027,2)="15"),TK!$E$7=TH!F2027),"x","")</f>
        <v/>
      </c>
      <c r="X2027" s="525" t="str">
        <f>IF(AND('341-CT'!$E$9=H2027,OR(LEFT(L2027,3)=$X$7,LEFT(M2027,3)=$X$7)),"x","")</f>
        <v/>
      </c>
      <c r="Y2027" s="525" t="str">
        <f>IF(OR(TH!L2027=TH!$Y$7,M2027=TH!$Y$7),"x","")</f>
        <v/>
      </c>
      <c r="Z2027" s="525" t="str">
        <f>IF(AND(B2027&lt;=NKC!$N$8,B2027&gt;=NKC!$M$8),"x","")</f>
        <v/>
      </c>
      <c r="AA2027" s="535">
        <v>2</v>
      </c>
      <c r="AC2027" s="503"/>
      <c r="AD2027" s="503"/>
      <c r="AE2027" s="503"/>
    </row>
    <row r="2028" spans="1:31" s="536" customFormat="1" ht="15.75" customHeight="1">
      <c r="A2028" s="517" t="str">
        <f>IF(B2028&lt;&gt;"",IF(AND(B2028&gt;=_TM1,B2028&lt;=_TM2,OR(TH!L2028="1111",TH!M2028="1111")),TH!D2028,""),"")</f>
        <v/>
      </c>
      <c r="B2028" s="531">
        <f t="shared" si="189"/>
        <v>4</v>
      </c>
      <c r="C2028" s="315">
        <f t="shared" si="190"/>
        <v>42827</v>
      </c>
      <c r="D2028" s="315" t="s">
        <v>960</v>
      </c>
      <c r="E2028" s="315">
        <v>42827</v>
      </c>
      <c r="F2028" s="247" t="s">
        <v>1002</v>
      </c>
      <c r="G2028" s="314" t="s">
        <v>1003</v>
      </c>
      <c r="H2028" s="473" t="s">
        <v>447</v>
      </c>
      <c r="I2028" s="307"/>
      <c r="J2028" s="307"/>
      <c r="K2028" s="532">
        <v>3357129</v>
      </c>
      <c r="L2028" s="713" t="s">
        <v>9</v>
      </c>
      <c r="M2028" s="534" t="s">
        <v>8</v>
      </c>
      <c r="N2028" s="525" t="str">
        <f>IF(AND('331-CT'!$E$7=TH!H2028,OR(L2028="331",M2028="331")),"331",IF(AND(OR(L2028="131",M2028="131"),H2028='131-CT'!$E$7),"131",""))</f>
        <v/>
      </c>
      <c r="O2028" s="525" t="str">
        <f>IF(AND($B2028&gt;='111'!$N$11,$B2028&lt;='111'!$O$11,OR($L2028=$O$7,$M2028=$O$7)),"x","")</f>
        <v/>
      </c>
      <c r="P2028" s="525" t="str">
        <f>IF(AND($L2028=$O$7,$B2028&lt;'111'!$N$11),"x","")</f>
        <v/>
      </c>
      <c r="Q2028" s="525" t="str">
        <f>IF(AND($M2028=$O$7,$B2028&lt;'111'!$N$11),"x","")</f>
        <v/>
      </c>
      <c r="R2028" s="525" t="str">
        <f>IF(ISERROR(FIND('112'!$M$9,G2028,1)),"",IF((AND(FIND('112'!$M$9,G2028,1)&gt;=1,$B2028&gt;='112'!$N$8,$B2028&lt;='112'!$O$8,OR($L2028='112'!$I$6,$M2028='112'!$I$6))),"x",""))</f>
        <v/>
      </c>
      <c r="S2028" s="525" t="str">
        <f>IF(ISERROR(FIND('112'!$M$9,G2028,1)),"",IF((AND(LEFT(G2028,2)=LEFT('112'!$M$9,2),B2028&lt;'112'!$N$8,$L2028='112'!$I$6)),"x",""))</f>
        <v/>
      </c>
      <c r="T2028" s="525" t="str">
        <f>IF(ISERROR(FIND('112'!$M$9,G2028,1)),"",IF((AND(RIGHT(G2028,2)=RIGHT('112'!$M$9,2),B2028&lt;'112'!$N$8,$M2028='112'!$I$6)),"x",""))</f>
        <v/>
      </c>
      <c r="U2028" s="525" t="str">
        <f>IF(AND(B2028&gt;='IN-NX'!$P$3,B2028&lt;='IN-NX'!$Q$3,'IN-NX'!$D$7=D2028,OR(LEFT(L2028,2)="15",AND(LEFT(M2028,2)&lt;&gt;"15",LEFT(M2028,2)&lt;&gt;"33"))),"x","")</f>
        <v/>
      </c>
      <c r="V2028" s="525" t="str">
        <f>IF(AND(OR(LEFT(TH!L2028,2)="15",LEFT(TH!M2028,2)="15"),'152-CT'!$J$8=TH!F2028),"x","")</f>
        <v/>
      </c>
      <c r="W2028" s="525" t="str">
        <f>IF(AND(OR(LEFT(TH!L2028,2)="15",LEFT(TH!M2028,2)="15"),TK!$E$7=TH!F2028),"x","")</f>
        <v/>
      </c>
      <c r="X2028" s="525" t="str">
        <f>IF(AND('341-CT'!$E$9=H2028,OR(LEFT(L2028,3)=$X$7,LEFT(M2028,3)=$X$7)),"x","")</f>
        <v/>
      </c>
      <c r="Y2028" s="525" t="str">
        <f>IF(OR(TH!L2028=TH!$Y$7,M2028=TH!$Y$7),"x","")</f>
        <v/>
      </c>
      <c r="Z2028" s="525" t="str">
        <f>IF(AND(B2028&lt;=NKC!$N$8,B2028&gt;=NKC!$M$8),"x","")</f>
        <v/>
      </c>
      <c r="AA2028" s="535">
        <v>2</v>
      </c>
      <c r="AC2028" s="503"/>
      <c r="AD2028" s="503"/>
      <c r="AE2028" s="503"/>
    </row>
    <row r="2029" spans="1:31" s="536" customFormat="1" ht="15.75" customHeight="1">
      <c r="A2029" s="517" t="str">
        <f>IF(B2029&lt;&gt;"",IF(AND(B2029&gt;=_TM1,B2029&lt;=_TM2,OR(TH!L2029="1111",TH!M2029="1111")),TH!D2029,""),"")</f>
        <v/>
      </c>
      <c r="B2029" s="531">
        <f t="shared" si="189"/>
        <v>4</v>
      </c>
      <c r="C2029" s="315">
        <f t="shared" si="190"/>
        <v>42829</v>
      </c>
      <c r="D2029" s="315" t="s">
        <v>961</v>
      </c>
      <c r="E2029" s="315">
        <v>42829</v>
      </c>
      <c r="F2029" s="247" t="s">
        <v>1004</v>
      </c>
      <c r="G2029" s="314" t="s">
        <v>1012</v>
      </c>
      <c r="H2029" s="473" t="s">
        <v>447</v>
      </c>
      <c r="I2029" s="307">
        <v>126</v>
      </c>
      <c r="J2029" s="307">
        <v>13651</v>
      </c>
      <c r="K2029" s="532">
        <f t="shared" ref="K2029:K2039" si="193">ROUND(I2029*J2029,0)</f>
        <v>1720026</v>
      </c>
      <c r="L2029" s="534" t="s">
        <v>292</v>
      </c>
      <c r="M2029" s="534" t="s">
        <v>8</v>
      </c>
      <c r="N2029" s="525" t="str">
        <f>IF(AND('331-CT'!$E$7=TH!H2029,OR(L2029="331",M2029="331")),"331",IF(AND(OR(L2029="131",M2029="131"),H2029='131-CT'!$E$7),"131",""))</f>
        <v/>
      </c>
      <c r="O2029" s="525" t="str">
        <f>IF(AND($B2029&gt;='111'!$N$11,$B2029&lt;='111'!$O$11,OR($L2029=$O$7,$M2029=$O$7)),"x","")</f>
        <v/>
      </c>
      <c r="P2029" s="525" t="str">
        <f>IF(AND($L2029=$O$7,$B2029&lt;'111'!$N$11),"x","")</f>
        <v/>
      </c>
      <c r="Q2029" s="525" t="str">
        <f>IF(AND($M2029=$O$7,$B2029&lt;'111'!$N$11),"x","")</f>
        <v/>
      </c>
      <c r="R2029" s="525" t="str">
        <f>IF(ISERROR(FIND('112'!$M$9,G2029,1)),"",IF((AND(FIND('112'!$M$9,G2029,1)&gt;=1,$B2029&gt;='112'!$N$8,$B2029&lt;='112'!$O$8,OR($L2029='112'!$I$6,$M2029='112'!$I$6))),"x",""))</f>
        <v/>
      </c>
      <c r="S2029" s="525" t="str">
        <f>IF(ISERROR(FIND('112'!$M$9,G2029,1)),"",IF((AND(LEFT(G2029,2)=LEFT('112'!$M$9,2),B2029&lt;'112'!$N$8,$L2029='112'!$I$6)),"x",""))</f>
        <v/>
      </c>
      <c r="T2029" s="525" t="str">
        <f>IF(ISERROR(FIND('112'!$M$9,G2029,1)),"",IF((AND(RIGHT(G2029,2)=RIGHT('112'!$M$9,2),B2029&lt;'112'!$N$8,$M2029='112'!$I$6)),"x",""))</f>
        <v/>
      </c>
      <c r="U2029" s="525" t="str">
        <f>IF(AND(B2029&gt;='IN-NX'!$P$3,B2029&lt;='IN-NX'!$Q$3,'IN-NX'!$D$7=D2029,OR(LEFT(L2029,2)="15",AND(LEFT(M2029,2)&lt;&gt;"15",LEFT(M2029,2)&lt;&gt;"33"))),"x","")</f>
        <v/>
      </c>
      <c r="V2029" s="525" t="str">
        <f>IF(AND(OR(LEFT(TH!L2029,2)="15",LEFT(TH!M2029,2)="15"),'152-CT'!$J$8=TH!F2029),"x","")</f>
        <v/>
      </c>
      <c r="W2029" s="525" t="str">
        <f>IF(AND(OR(LEFT(TH!L2029,2)="15",LEFT(TH!M2029,2)="15"),TK!$E$7=TH!F2029),"x","")</f>
        <v/>
      </c>
      <c r="X2029" s="525" t="str">
        <f>IF(AND('341-CT'!$E$9=H2029,OR(LEFT(L2029,3)=$X$7,LEFT(M2029,3)=$X$7)),"x","")</f>
        <v/>
      </c>
      <c r="Y2029" s="525" t="str">
        <f>IF(OR(TH!L2029=TH!$Y$7,M2029=TH!$Y$7),"x","")</f>
        <v/>
      </c>
      <c r="Z2029" s="525" t="str">
        <f>IF(AND(B2029&lt;=NKC!$N$8,B2029&gt;=NKC!$M$8),"x","")</f>
        <v/>
      </c>
      <c r="AA2029" s="535">
        <v>2</v>
      </c>
      <c r="AC2029" s="503"/>
      <c r="AD2029" s="503"/>
      <c r="AE2029" s="503"/>
    </row>
    <row r="2030" spans="1:31" s="536" customFormat="1" ht="15.75" customHeight="1">
      <c r="A2030" s="517" t="str">
        <f>IF(B2030&lt;&gt;"",IF(AND(B2030&gt;=_TM1,B2030&lt;=_TM2,OR(TH!L2030="1111",TH!M2030="1111")),TH!D2030,""),"")</f>
        <v/>
      </c>
      <c r="B2030" s="531">
        <f t="shared" si="189"/>
        <v>4</v>
      </c>
      <c r="C2030" s="315">
        <f t="shared" si="190"/>
        <v>42829</v>
      </c>
      <c r="D2030" s="315" t="s">
        <v>961</v>
      </c>
      <c r="E2030" s="315">
        <v>42829</v>
      </c>
      <c r="F2030" s="247" t="s">
        <v>1005</v>
      </c>
      <c r="G2030" s="314" t="s">
        <v>1012</v>
      </c>
      <c r="H2030" s="473" t="s">
        <v>447</v>
      </c>
      <c r="I2030" s="307">
        <v>1140</v>
      </c>
      <c r="J2030" s="307">
        <v>6873</v>
      </c>
      <c r="K2030" s="532">
        <f t="shared" si="193"/>
        <v>7835220</v>
      </c>
      <c r="L2030" s="534" t="s">
        <v>292</v>
      </c>
      <c r="M2030" s="534" t="s">
        <v>8</v>
      </c>
      <c r="N2030" s="525" t="str">
        <f>IF(AND('331-CT'!$E$7=TH!H2030,OR(L2030="331",M2030="331")),"331",IF(AND(OR(L2030="131",M2030="131"),H2030='131-CT'!$E$7),"131",""))</f>
        <v/>
      </c>
      <c r="O2030" s="525" t="str">
        <f>IF(AND($B2030&gt;='111'!$N$11,$B2030&lt;='111'!$O$11,OR($L2030=$O$7,$M2030=$O$7)),"x","")</f>
        <v/>
      </c>
      <c r="P2030" s="525" t="str">
        <f>IF(AND($L2030=$O$7,$B2030&lt;'111'!$N$11),"x","")</f>
        <v/>
      </c>
      <c r="Q2030" s="525" t="str">
        <f>IF(AND($M2030=$O$7,$B2030&lt;'111'!$N$11),"x","")</f>
        <v/>
      </c>
      <c r="R2030" s="525" t="str">
        <f>IF(ISERROR(FIND('112'!$M$9,G2030,1)),"",IF((AND(FIND('112'!$M$9,G2030,1)&gt;=1,$B2030&gt;='112'!$N$8,$B2030&lt;='112'!$O$8,OR($L2030='112'!$I$6,$M2030='112'!$I$6))),"x",""))</f>
        <v/>
      </c>
      <c r="S2030" s="525" t="str">
        <f>IF(ISERROR(FIND('112'!$M$9,G2030,1)),"",IF((AND(LEFT(G2030,2)=LEFT('112'!$M$9,2),B2030&lt;'112'!$N$8,$L2030='112'!$I$6)),"x",""))</f>
        <v/>
      </c>
      <c r="T2030" s="525" t="str">
        <f>IF(ISERROR(FIND('112'!$M$9,G2030,1)),"",IF((AND(RIGHT(G2030,2)=RIGHT('112'!$M$9,2),B2030&lt;'112'!$N$8,$M2030='112'!$I$6)),"x",""))</f>
        <v/>
      </c>
      <c r="U2030" s="525" t="str">
        <f>IF(AND(B2030&gt;='IN-NX'!$P$3,B2030&lt;='IN-NX'!$Q$3,'IN-NX'!$D$7=D2030,OR(LEFT(L2030,2)="15",AND(LEFT(M2030,2)&lt;&gt;"15",LEFT(M2030,2)&lt;&gt;"33"))),"x","")</f>
        <v/>
      </c>
      <c r="V2030" s="525" t="str">
        <f>IF(AND(OR(LEFT(TH!L2030,2)="15",LEFT(TH!M2030,2)="15"),'152-CT'!$J$8=TH!F2030),"x","")</f>
        <v/>
      </c>
      <c r="W2030" s="525" t="str">
        <f>IF(AND(OR(LEFT(TH!L2030,2)="15",LEFT(TH!M2030,2)="15"),TK!$E$7=TH!F2030),"x","")</f>
        <v/>
      </c>
      <c r="X2030" s="525" t="str">
        <f>IF(AND('341-CT'!$E$9=H2030,OR(LEFT(L2030,3)=$X$7,LEFT(M2030,3)=$X$7)),"x","")</f>
        <v/>
      </c>
      <c r="Y2030" s="525" t="str">
        <f>IF(OR(TH!L2030=TH!$Y$7,M2030=TH!$Y$7),"x","")</f>
        <v/>
      </c>
      <c r="Z2030" s="525" t="str">
        <f>IF(AND(B2030&lt;=NKC!$N$8,B2030&gt;=NKC!$M$8),"x","")</f>
        <v/>
      </c>
      <c r="AA2030" s="535">
        <v>2</v>
      </c>
      <c r="AC2030" s="503"/>
      <c r="AD2030" s="503"/>
      <c r="AE2030" s="503"/>
    </row>
    <row r="2031" spans="1:31" s="536" customFormat="1" ht="15.75" customHeight="1">
      <c r="A2031" s="517" t="str">
        <f>IF(B2031&lt;&gt;"",IF(AND(B2031&gt;=_TM1,B2031&lt;=_TM2,OR(TH!L2031="1111",TH!M2031="1111")),TH!D2031,""),"")</f>
        <v/>
      </c>
      <c r="B2031" s="531">
        <f t="shared" si="189"/>
        <v>4</v>
      </c>
      <c r="C2031" s="315">
        <f t="shared" si="190"/>
        <v>42829</v>
      </c>
      <c r="D2031" s="315" t="s">
        <v>961</v>
      </c>
      <c r="E2031" s="315">
        <v>42829</v>
      </c>
      <c r="F2031" s="247" t="s">
        <v>1006</v>
      </c>
      <c r="G2031" s="314" t="s">
        <v>1012</v>
      </c>
      <c r="H2031" s="473" t="s">
        <v>447</v>
      </c>
      <c r="I2031" s="307">
        <v>255</v>
      </c>
      <c r="J2031" s="307">
        <v>16905</v>
      </c>
      <c r="K2031" s="532">
        <f t="shared" si="193"/>
        <v>4310775</v>
      </c>
      <c r="L2031" s="534" t="s">
        <v>292</v>
      </c>
      <c r="M2031" s="534" t="s">
        <v>8</v>
      </c>
      <c r="N2031" s="525" t="str">
        <f>IF(AND('331-CT'!$E$7=TH!H2031,OR(L2031="331",M2031="331")),"331",IF(AND(OR(L2031="131",M2031="131"),H2031='131-CT'!$E$7),"131",""))</f>
        <v/>
      </c>
      <c r="O2031" s="525" t="str">
        <f>IF(AND($B2031&gt;='111'!$N$11,$B2031&lt;='111'!$O$11,OR($L2031=$O$7,$M2031=$O$7)),"x","")</f>
        <v/>
      </c>
      <c r="P2031" s="525" t="str">
        <f>IF(AND($L2031=$O$7,$B2031&lt;'111'!$N$11),"x","")</f>
        <v/>
      </c>
      <c r="Q2031" s="525" t="str">
        <f>IF(AND($M2031=$O$7,$B2031&lt;'111'!$N$11),"x","")</f>
        <v/>
      </c>
      <c r="R2031" s="525" t="str">
        <f>IF(ISERROR(FIND('112'!$M$9,G2031,1)),"",IF((AND(FIND('112'!$M$9,G2031,1)&gt;=1,$B2031&gt;='112'!$N$8,$B2031&lt;='112'!$O$8,OR($L2031='112'!$I$6,$M2031='112'!$I$6))),"x",""))</f>
        <v/>
      </c>
      <c r="S2031" s="525" t="str">
        <f>IF(ISERROR(FIND('112'!$M$9,G2031,1)),"",IF((AND(LEFT(G2031,2)=LEFT('112'!$M$9,2),B2031&lt;'112'!$N$8,$L2031='112'!$I$6)),"x",""))</f>
        <v/>
      </c>
      <c r="T2031" s="525" t="str">
        <f>IF(ISERROR(FIND('112'!$M$9,G2031,1)),"",IF((AND(RIGHT(G2031,2)=RIGHT('112'!$M$9,2),B2031&lt;'112'!$N$8,$M2031='112'!$I$6)),"x",""))</f>
        <v/>
      </c>
      <c r="U2031" s="525" t="str">
        <f>IF(AND(B2031&gt;='IN-NX'!$P$3,B2031&lt;='IN-NX'!$Q$3,'IN-NX'!$D$7=D2031,OR(LEFT(L2031,2)="15",AND(LEFT(M2031,2)&lt;&gt;"15",LEFT(M2031,2)&lt;&gt;"33"))),"x","")</f>
        <v/>
      </c>
      <c r="V2031" s="525" t="str">
        <f>IF(AND(OR(LEFT(TH!L2031,2)="15",LEFT(TH!M2031,2)="15"),'152-CT'!$J$8=TH!F2031),"x","")</f>
        <v/>
      </c>
      <c r="W2031" s="525" t="str">
        <f>IF(AND(OR(LEFT(TH!L2031,2)="15",LEFT(TH!M2031,2)="15"),TK!$E$7=TH!F2031),"x","")</f>
        <v/>
      </c>
      <c r="X2031" s="525" t="str">
        <f>IF(AND('341-CT'!$E$9=H2031,OR(LEFT(L2031,3)=$X$7,LEFT(M2031,3)=$X$7)),"x","")</f>
        <v/>
      </c>
      <c r="Y2031" s="525" t="str">
        <f>IF(OR(TH!L2031=TH!$Y$7,M2031=TH!$Y$7),"x","")</f>
        <v/>
      </c>
      <c r="Z2031" s="525" t="str">
        <f>IF(AND(B2031&lt;=NKC!$N$8,B2031&gt;=NKC!$M$8),"x","")</f>
        <v/>
      </c>
      <c r="AA2031" s="535">
        <v>2</v>
      </c>
      <c r="AC2031" s="503"/>
      <c r="AD2031" s="503"/>
      <c r="AE2031" s="503"/>
    </row>
    <row r="2032" spans="1:31" s="536" customFormat="1" ht="15.75" customHeight="1">
      <c r="A2032" s="517" t="str">
        <f>IF(B2032&lt;&gt;"",IF(AND(B2032&gt;=_TM1,B2032&lt;=_TM2,OR(TH!L2032="1111",TH!M2032="1111")),TH!D2032,""),"")</f>
        <v/>
      </c>
      <c r="B2032" s="531">
        <f t="shared" si="189"/>
        <v>4</v>
      </c>
      <c r="C2032" s="315">
        <f t="shared" si="190"/>
        <v>42829</v>
      </c>
      <c r="D2032" s="315" t="s">
        <v>961</v>
      </c>
      <c r="E2032" s="315">
        <v>42829</v>
      </c>
      <c r="F2032" s="249" t="s">
        <v>1007</v>
      </c>
      <c r="G2032" s="314" t="s">
        <v>1012</v>
      </c>
      <c r="H2032" s="473" t="s">
        <v>447</v>
      </c>
      <c r="I2032" s="307">
        <v>600</v>
      </c>
      <c r="J2032" s="307">
        <v>7853</v>
      </c>
      <c r="K2032" s="532">
        <f t="shared" si="193"/>
        <v>4711800</v>
      </c>
      <c r="L2032" s="534" t="s">
        <v>292</v>
      </c>
      <c r="M2032" s="534" t="s">
        <v>8</v>
      </c>
      <c r="N2032" s="525" t="str">
        <f>IF(AND('331-CT'!$E$7=TH!H2032,OR(L2032="331",M2032="331")),"331",IF(AND(OR(L2032="131",M2032="131"),H2032='131-CT'!$E$7),"131",""))</f>
        <v/>
      </c>
      <c r="O2032" s="525" t="str">
        <f>IF(AND($B2032&gt;='111'!$N$11,$B2032&lt;='111'!$O$11,OR($L2032=$O$7,$M2032=$O$7)),"x","")</f>
        <v/>
      </c>
      <c r="P2032" s="525" t="str">
        <f>IF(AND($L2032=$O$7,$B2032&lt;'111'!$N$11),"x","")</f>
        <v/>
      </c>
      <c r="Q2032" s="525" t="str">
        <f>IF(AND($M2032=$O$7,$B2032&lt;'111'!$N$11),"x","")</f>
        <v/>
      </c>
      <c r="R2032" s="525" t="str">
        <f>IF(ISERROR(FIND('112'!$M$9,G2032,1)),"",IF((AND(FIND('112'!$M$9,G2032,1)&gt;=1,$B2032&gt;='112'!$N$8,$B2032&lt;='112'!$O$8,OR($L2032='112'!$I$6,$M2032='112'!$I$6))),"x",""))</f>
        <v/>
      </c>
      <c r="S2032" s="525" t="str">
        <f>IF(ISERROR(FIND('112'!$M$9,G2032,1)),"",IF((AND(LEFT(G2032,2)=LEFT('112'!$M$9,2),B2032&lt;'112'!$N$8,$L2032='112'!$I$6)),"x",""))</f>
        <v/>
      </c>
      <c r="T2032" s="525" t="str">
        <f>IF(ISERROR(FIND('112'!$M$9,G2032,1)),"",IF((AND(RIGHT(G2032,2)=RIGHT('112'!$M$9,2),B2032&lt;'112'!$N$8,$M2032='112'!$I$6)),"x",""))</f>
        <v/>
      </c>
      <c r="U2032" s="525" t="str">
        <f>IF(AND(B2032&gt;='IN-NX'!$P$3,B2032&lt;='IN-NX'!$Q$3,'IN-NX'!$D$7=D2032,OR(LEFT(L2032,2)="15",AND(LEFT(M2032,2)&lt;&gt;"15",LEFT(M2032,2)&lt;&gt;"33"))),"x","")</f>
        <v/>
      </c>
      <c r="V2032" s="525" t="str">
        <f>IF(AND(OR(LEFT(TH!L2032,2)="15",LEFT(TH!M2032,2)="15"),'152-CT'!$J$8=TH!F2032),"x","")</f>
        <v/>
      </c>
      <c r="W2032" s="525" t="str">
        <f>IF(AND(OR(LEFT(TH!L2032,2)="15",LEFT(TH!M2032,2)="15"),TK!$E$7=TH!F2032),"x","")</f>
        <v/>
      </c>
      <c r="X2032" s="525" t="str">
        <f>IF(AND('341-CT'!$E$9=H2032,OR(LEFT(L2032,3)=$X$7,LEFT(M2032,3)=$X$7)),"x","")</f>
        <v/>
      </c>
      <c r="Y2032" s="525" t="str">
        <f>IF(OR(TH!L2032=TH!$Y$7,M2032=TH!$Y$7),"x","")</f>
        <v/>
      </c>
      <c r="Z2032" s="525" t="str">
        <f>IF(AND(B2032&lt;=NKC!$N$8,B2032&gt;=NKC!$M$8),"x","")</f>
        <v/>
      </c>
      <c r="AA2032" s="535">
        <v>2</v>
      </c>
      <c r="AC2032" s="503"/>
      <c r="AD2032" s="503"/>
      <c r="AE2032" s="503"/>
    </row>
    <row r="2033" spans="1:34" s="536" customFormat="1" ht="15.75" customHeight="1">
      <c r="A2033" s="517" t="str">
        <f>IF(B2033&lt;&gt;"",IF(AND(B2033&gt;=_TM1,B2033&lt;=_TM2,OR(TH!L2033="1111",TH!M2033="1111")),TH!D2033,""),"")</f>
        <v/>
      </c>
      <c r="B2033" s="531">
        <f t="shared" si="189"/>
        <v>4</v>
      </c>
      <c r="C2033" s="315">
        <f t="shared" si="190"/>
        <v>42829</v>
      </c>
      <c r="D2033" s="315" t="s">
        <v>961</v>
      </c>
      <c r="E2033" s="315">
        <v>42829</v>
      </c>
      <c r="F2033" s="247" t="s">
        <v>274</v>
      </c>
      <c r="G2033" s="314" t="s">
        <v>1012</v>
      </c>
      <c r="H2033" s="473" t="s">
        <v>447</v>
      </c>
      <c r="I2033" s="307">
        <v>541</v>
      </c>
      <c r="J2033" s="307">
        <v>11858</v>
      </c>
      <c r="K2033" s="532">
        <f t="shared" si="193"/>
        <v>6415178</v>
      </c>
      <c r="L2033" s="534" t="s">
        <v>292</v>
      </c>
      <c r="M2033" s="534" t="s">
        <v>8</v>
      </c>
      <c r="N2033" s="525" t="str">
        <f>IF(AND('331-CT'!$E$7=TH!H2033,OR(L2033="331",M2033="331")),"331",IF(AND(OR(L2033="131",M2033="131"),H2033='131-CT'!$E$7),"131",""))</f>
        <v/>
      </c>
      <c r="O2033" s="525" t="str">
        <f>IF(AND($B2033&gt;='111'!$N$11,$B2033&lt;='111'!$O$11,OR($L2033=$O$7,$M2033=$O$7)),"x","")</f>
        <v/>
      </c>
      <c r="P2033" s="525" t="str">
        <f>IF(AND($L2033=$O$7,$B2033&lt;'111'!$N$11),"x","")</f>
        <v/>
      </c>
      <c r="Q2033" s="525" t="str">
        <f>IF(AND($M2033=$O$7,$B2033&lt;'111'!$N$11),"x","")</f>
        <v/>
      </c>
      <c r="R2033" s="525" t="str">
        <f>IF(ISERROR(FIND('112'!$M$9,G2033,1)),"",IF((AND(FIND('112'!$M$9,G2033,1)&gt;=1,$B2033&gt;='112'!$N$8,$B2033&lt;='112'!$O$8,OR($L2033='112'!$I$6,$M2033='112'!$I$6))),"x",""))</f>
        <v/>
      </c>
      <c r="S2033" s="525" t="str">
        <f>IF(ISERROR(FIND('112'!$M$9,G2033,1)),"",IF((AND(LEFT(G2033,2)=LEFT('112'!$M$9,2),B2033&lt;'112'!$N$8,$L2033='112'!$I$6)),"x",""))</f>
        <v/>
      </c>
      <c r="T2033" s="525" t="str">
        <f>IF(ISERROR(FIND('112'!$M$9,G2033,1)),"",IF((AND(RIGHT(G2033,2)=RIGHT('112'!$M$9,2),B2033&lt;'112'!$N$8,$M2033='112'!$I$6)),"x",""))</f>
        <v/>
      </c>
      <c r="U2033" s="525" t="str">
        <f>IF(AND(B2033&gt;='IN-NX'!$P$3,B2033&lt;='IN-NX'!$Q$3,'IN-NX'!$D$7=D2033,OR(LEFT(L2033,2)="15",AND(LEFT(M2033,2)&lt;&gt;"15",LEFT(M2033,2)&lt;&gt;"33"))),"x","")</f>
        <v/>
      </c>
      <c r="V2033" s="525" t="str">
        <f>IF(AND(OR(LEFT(TH!L2033,2)="15",LEFT(TH!M2033,2)="15"),'152-CT'!$J$8=TH!F2033),"x","")</f>
        <v/>
      </c>
      <c r="W2033" s="525" t="str">
        <f>IF(AND(OR(LEFT(TH!L2033,2)="15",LEFT(TH!M2033,2)="15"),TK!$E$7=TH!F2033),"x","")</f>
        <v>x</v>
      </c>
      <c r="X2033" s="525" t="str">
        <f>IF(AND('341-CT'!$E$9=H2033,OR(LEFT(L2033,3)=$X$7,LEFT(M2033,3)=$X$7)),"x","")</f>
        <v/>
      </c>
      <c r="Y2033" s="525" t="str">
        <f>IF(OR(TH!L2033=TH!$Y$7,M2033=TH!$Y$7),"x","")</f>
        <v/>
      </c>
      <c r="Z2033" s="525" t="str">
        <f>IF(AND(B2033&lt;=NKC!$N$8,B2033&gt;=NKC!$M$8),"x","")</f>
        <v/>
      </c>
      <c r="AA2033" s="535">
        <v>2</v>
      </c>
      <c r="AC2033" s="503"/>
      <c r="AD2033" s="503"/>
      <c r="AE2033" s="503"/>
    </row>
    <row r="2034" spans="1:34" s="536" customFormat="1" ht="15.75" customHeight="1">
      <c r="A2034" s="517" t="str">
        <f>IF(B2034&lt;&gt;"",IF(AND(B2034&gt;=_TM1,B2034&lt;=_TM2,OR(TH!L2034="1111",TH!M2034="1111")),TH!D2034,""),"")</f>
        <v/>
      </c>
      <c r="B2034" s="531">
        <f t="shared" si="189"/>
        <v>4</v>
      </c>
      <c r="C2034" s="315">
        <f t="shared" si="190"/>
        <v>42829</v>
      </c>
      <c r="D2034" s="315" t="s">
        <v>961</v>
      </c>
      <c r="E2034" s="315">
        <v>42829</v>
      </c>
      <c r="F2034" s="247" t="s">
        <v>1008</v>
      </c>
      <c r="G2034" s="314" t="s">
        <v>1012</v>
      </c>
      <c r="H2034" s="473" t="s">
        <v>447</v>
      </c>
      <c r="I2034" s="307">
        <v>4800</v>
      </c>
      <c r="J2034" s="307">
        <v>8918</v>
      </c>
      <c r="K2034" s="532">
        <f t="shared" si="193"/>
        <v>42806400</v>
      </c>
      <c r="L2034" s="534" t="s">
        <v>292</v>
      </c>
      <c r="M2034" s="534" t="s">
        <v>8</v>
      </c>
      <c r="N2034" s="525" t="str">
        <f>IF(AND('331-CT'!$E$7=TH!H2034,OR(L2034="331",M2034="331")),"331",IF(AND(OR(L2034="131",M2034="131"),H2034='131-CT'!$E$7),"131",""))</f>
        <v/>
      </c>
      <c r="O2034" s="525" t="str">
        <f>IF(AND($B2034&gt;='111'!$N$11,$B2034&lt;='111'!$O$11,OR($L2034=$O$7,$M2034=$O$7)),"x","")</f>
        <v/>
      </c>
      <c r="P2034" s="525" t="str">
        <f>IF(AND($L2034=$O$7,$B2034&lt;'111'!$N$11),"x","")</f>
        <v/>
      </c>
      <c r="Q2034" s="525" t="str">
        <f>IF(AND($M2034=$O$7,$B2034&lt;'111'!$N$11),"x","")</f>
        <v/>
      </c>
      <c r="R2034" s="525" t="str">
        <f>IF(ISERROR(FIND('112'!$M$9,G2034,1)),"",IF((AND(FIND('112'!$M$9,G2034,1)&gt;=1,$B2034&gt;='112'!$N$8,$B2034&lt;='112'!$O$8,OR($L2034='112'!$I$6,$M2034='112'!$I$6))),"x",""))</f>
        <v/>
      </c>
      <c r="S2034" s="525" t="str">
        <f>IF(ISERROR(FIND('112'!$M$9,G2034,1)),"",IF((AND(LEFT(G2034,2)=LEFT('112'!$M$9,2),B2034&lt;'112'!$N$8,$L2034='112'!$I$6)),"x",""))</f>
        <v/>
      </c>
      <c r="T2034" s="525" t="str">
        <f>IF(ISERROR(FIND('112'!$M$9,G2034,1)),"",IF((AND(RIGHT(G2034,2)=RIGHT('112'!$M$9,2),B2034&lt;'112'!$N$8,$M2034='112'!$I$6)),"x",""))</f>
        <v/>
      </c>
      <c r="U2034" s="525" t="str">
        <f>IF(AND(B2034&gt;='IN-NX'!$P$3,B2034&lt;='IN-NX'!$Q$3,'IN-NX'!$D$7=D2034,OR(LEFT(L2034,2)="15",AND(LEFT(M2034,2)&lt;&gt;"15",LEFT(M2034,2)&lt;&gt;"33"))),"x","")</f>
        <v/>
      </c>
      <c r="V2034" s="525" t="str">
        <f>IF(AND(OR(LEFT(TH!L2034,2)="15",LEFT(TH!M2034,2)="15"),'152-CT'!$J$8=TH!F2034),"x","")</f>
        <v/>
      </c>
      <c r="W2034" s="525" t="str">
        <f>IF(AND(OR(LEFT(TH!L2034,2)="15",LEFT(TH!M2034,2)="15"),TK!$E$7=TH!F2034),"x","")</f>
        <v/>
      </c>
      <c r="X2034" s="525" t="str">
        <f>IF(AND('341-CT'!$E$9=H2034,OR(LEFT(L2034,3)=$X$7,LEFT(M2034,3)=$X$7)),"x","")</f>
        <v/>
      </c>
      <c r="Y2034" s="525" t="str">
        <f>IF(OR(TH!L2034=TH!$Y$7,M2034=TH!$Y$7),"x","")</f>
        <v/>
      </c>
      <c r="Z2034" s="525" t="str">
        <f>IF(AND(B2034&lt;=NKC!$N$8,B2034&gt;=NKC!$M$8),"x","")</f>
        <v/>
      </c>
      <c r="AA2034" s="535">
        <v>2</v>
      </c>
      <c r="AC2034" s="503"/>
      <c r="AD2034" s="503"/>
      <c r="AE2034" s="503"/>
    </row>
    <row r="2035" spans="1:34" s="536" customFormat="1" ht="15.75" customHeight="1">
      <c r="A2035" s="517" t="str">
        <f>IF(B2035&lt;&gt;"",IF(AND(B2035&gt;=_TM1,B2035&lt;=_TM2,OR(TH!L2035="1111",TH!M2035="1111")),TH!D2035,""),"")</f>
        <v/>
      </c>
      <c r="B2035" s="531">
        <f t="shared" si="189"/>
        <v>4</v>
      </c>
      <c r="C2035" s="315">
        <f t="shared" si="190"/>
        <v>42829</v>
      </c>
      <c r="D2035" s="315" t="s">
        <v>961</v>
      </c>
      <c r="E2035" s="315">
        <v>42829</v>
      </c>
      <c r="F2035" s="249" t="s">
        <v>500</v>
      </c>
      <c r="G2035" s="314" t="s">
        <v>1012</v>
      </c>
      <c r="H2035" s="473" t="s">
        <v>447</v>
      </c>
      <c r="I2035" s="307">
        <v>300</v>
      </c>
      <c r="J2035" s="307">
        <v>7712</v>
      </c>
      <c r="K2035" s="532">
        <f t="shared" si="193"/>
        <v>2313600</v>
      </c>
      <c r="L2035" s="534" t="s">
        <v>292</v>
      </c>
      <c r="M2035" s="534" t="s">
        <v>8</v>
      </c>
      <c r="N2035" s="525" t="str">
        <f>IF(AND('331-CT'!$E$7=TH!H2035,OR(L2035="331",M2035="331")),"331",IF(AND(OR(L2035="131",M2035="131"),H2035='131-CT'!$E$7),"131",""))</f>
        <v/>
      </c>
      <c r="O2035" s="525" t="str">
        <f>IF(AND($B2035&gt;='111'!$N$11,$B2035&lt;='111'!$O$11,OR($L2035=$O$7,$M2035=$O$7)),"x","")</f>
        <v/>
      </c>
      <c r="P2035" s="525" t="str">
        <f>IF(AND($L2035=$O$7,$B2035&lt;'111'!$N$11),"x","")</f>
        <v/>
      </c>
      <c r="Q2035" s="525" t="str">
        <f>IF(AND($M2035=$O$7,$B2035&lt;'111'!$N$11),"x","")</f>
        <v/>
      </c>
      <c r="R2035" s="525" t="str">
        <f>IF(ISERROR(FIND('112'!$M$9,G2035,1)),"",IF((AND(FIND('112'!$M$9,G2035,1)&gt;=1,$B2035&gt;='112'!$N$8,$B2035&lt;='112'!$O$8,OR($L2035='112'!$I$6,$M2035='112'!$I$6))),"x",""))</f>
        <v/>
      </c>
      <c r="S2035" s="525" t="str">
        <f>IF(ISERROR(FIND('112'!$M$9,G2035,1)),"",IF((AND(LEFT(G2035,2)=LEFT('112'!$M$9,2),B2035&lt;'112'!$N$8,$L2035='112'!$I$6)),"x",""))</f>
        <v/>
      </c>
      <c r="T2035" s="525" t="str">
        <f>IF(ISERROR(FIND('112'!$M$9,G2035,1)),"",IF((AND(RIGHT(G2035,2)=RIGHT('112'!$M$9,2),B2035&lt;'112'!$N$8,$M2035='112'!$I$6)),"x",""))</f>
        <v/>
      </c>
      <c r="U2035" s="525" t="str">
        <f>IF(AND(B2035&gt;='IN-NX'!$P$3,B2035&lt;='IN-NX'!$Q$3,'IN-NX'!$D$7=D2035,OR(LEFT(L2035,2)="15",AND(LEFT(M2035,2)&lt;&gt;"15",LEFT(M2035,2)&lt;&gt;"33"))),"x","")</f>
        <v/>
      </c>
      <c r="V2035" s="525" t="str">
        <f>IF(AND(OR(LEFT(TH!L2035,2)="15",LEFT(TH!M2035,2)="15"),'152-CT'!$J$8=TH!F2035),"x","")</f>
        <v/>
      </c>
      <c r="W2035" s="525" t="str">
        <f>IF(AND(OR(LEFT(TH!L2035,2)="15",LEFT(TH!M2035,2)="15"),TK!$E$7=TH!F2035),"x","")</f>
        <v/>
      </c>
      <c r="X2035" s="525" t="str">
        <f>IF(AND('341-CT'!$E$9=H2035,OR(LEFT(L2035,3)=$X$7,LEFT(M2035,3)=$X$7)),"x","")</f>
        <v/>
      </c>
      <c r="Y2035" s="525" t="str">
        <f>IF(OR(TH!L2035=TH!$Y$7,M2035=TH!$Y$7),"x","")</f>
        <v/>
      </c>
      <c r="Z2035" s="525" t="str">
        <f>IF(AND(B2035&lt;=NKC!$N$8,B2035&gt;=NKC!$M$8),"x","")</f>
        <v/>
      </c>
      <c r="AA2035" s="535">
        <v>2</v>
      </c>
      <c r="AC2035" s="503"/>
      <c r="AE2035" s="503"/>
    </row>
    <row r="2036" spans="1:34" s="536" customFormat="1" ht="15.75" customHeight="1">
      <c r="A2036" s="517" t="str">
        <f>IF(B2036&lt;&gt;"",IF(AND(B2036&gt;=_TM1,B2036&lt;=_TM2,OR(TH!L2036="1111",TH!M2036="1111")),TH!D2036,""),"")</f>
        <v/>
      </c>
      <c r="B2036" s="531">
        <f t="shared" si="189"/>
        <v>4</v>
      </c>
      <c r="C2036" s="315">
        <f t="shared" si="190"/>
        <v>42829</v>
      </c>
      <c r="D2036" s="315" t="s">
        <v>961</v>
      </c>
      <c r="E2036" s="315">
        <v>42829</v>
      </c>
      <c r="F2036" s="249" t="s">
        <v>1009</v>
      </c>
      <c r="G2036" s="314" t="s">
        <v>1012</v>
      </c>
      <c r="H2036" s="473" t="s">
        <v>447</v>
      </c>
      <c r="I2036" s="307">
        <v>130</v>
      </c>
      <c r="J2036" s="307">
        <v>13651</v>
      </c>
      <c r="K2036" s="532">
        <f t="shared" si="193"/>
        <v>1774630</v>
      </c>
      <c r="L2036" s="534" t="s">
        <v>292</v>
      </c>
      <c r="M2036" s="534" t="s">
        <v>8</v>
      </c>
      <c r="N2036" s="525" t="str">
        <f>IF(AND('331-CT'!$E$7=TH!H2036,OR(L2036="331",M2036="331")),"331",IF(AND(OR(L2036="131",M2036="131"),H2036='131-CT'!$E$7),"131",""))</f>
        <v/>
      </c>
      <c r="O2036" s="525" t="str">
        <f>IF(AND($B2036&gt;='111'!$N$11,$B2036&lt;='111'!$O$11,OR($L2036=$O$7,$M2036=$O$7)),"x","")</f>
        <v/>
      </c>
      <c r="P2036" s="525" t="str">
        <f>IF(AND($L2036=$O$7,$B2036&lt;'111'!$N$11),"x","")</f>
        <v/>
      </c>
      <c r="Q2036" s="525" t="str">
        <f>IF(AND($M2036=$O$7,$B2036&lt;'111'!$N$11),"x","")</f>
        <v/>
      </c>
      <c r="R2036" s="525" t="str">
        <f>IF(ISERROR(FIND('112'!$M$9,G2036,1)),"",IF((AND(FIND('112'!$M$9,G2036,1)&gt;=1,$B2036&gt;='112'!$N$8,$B2036&lt;='112'!$O$8,OR($L2036='112'!$I$6,$M2036='112'!$I$6))),"x",""))</f>
        <v/>
      </c>
      <c r="S2036" s="525" t="str">
        <f>IF(ISERROR(FIND('112'!$M$9,G2036,1)),"",IF((AND(LEFT(G2036,2)=LEFT('112'!$M$9,2),B2036&lt;'112'!$N$8,$L2036='112'!$I$6)),"x",""))</f>
        <v/>
      </c>
      <c r="T2036" s="525" t="str">
        <f>IF(ISERROR(FIND('112'!$M$9,G2036,1)),"",IF((AND(RIGHT(G2036,2)=RIGHT('112'!$M$9,2),B2036&lt;'112'!$N$8,$M2036='112'!$I$6)),"x",""))</f>
        <v/>
      </c>
      <c r="U2036" s="525" t="str">
        <f>IF(AND(B2036&gt;='IN-NX'!$P$3,B2036&lt;='IN-NX'!$Q$3,'IN-NX'!$D$7=D2036,OR(LEFT(L2036,2)="15",AND(LEFT(M2036,2)&lt;&gt;"15",LEFT(M2036,2)&lt;&gt;"33"))),"x","")</f>
        <v/>
      </c>
      <c r="V2036" s="525" t="str">
        <f>IF(AND(OR(LEFT(TH!L2036,2)="15",LEFT(TH!M2036,2)="15"),'152-CT'!$J$8=TH!F2036),"x","")</f>
        <v/>
      </c>
      <c r="W2036" s="525" t="str">
        <f>IF(AND(OR(LEFT(TH!L2036,2)="15",LEFT(TH!M2036,2)="15"),TK!$E$7=TH!F2036),"x","")</f>
        <v/>
      </c>
      <c r="X2036" s="525" t="str">
        <f>IF(AND('341-CT'!$E$9=H2036,OR(LEFT(L2036,3)=$X$7,LEFT(M2036,3)=$X$7)),"x","")</f>
        <v/>
      </c>
      <c r="Y2036" s="525" t="str">
        <f>IF(OR(TH!L2036=TH!$Y$7,M2036=TH!$Y$7),"x","")</f>
        <v/>
      </c>
      <c r="Z2036" s="525" t="str">
        <f>IF(AND(B2036&lt;=NKC!$N$8,B2036&gt;=NKC!$M$8),"x","")</f>
        <v/>
      </c>
      <c r="AA2036" s="535">
        <v>2</v>
      </c>
      <c r="AC2036" s="503"/>
      <c r="AD2036" s="503"/>
      <c r="AE2036" s="503"/>
    </row>
    <row r="2037" spans="1:34" s="536" customFormat="1" ht="15.75" customHeight="1">
      <c r="A2037" s="517" t="str">
        <f>IF(B2037&lt;&gt;"",IF(AND(B2037&gt;=_TM1,B2037&lt;=_TM2,OR(TH!L2037="1111",TH!M2037="1111")),TH!D2037,""),"")</f>
        <v/>
      </c>
      <c r="B2037" s="531">
        <f t="shared" si="189"/>
        <v>4</v>
      </c>
      <c r="C2037" s="315">
        <f t="shared" si="190"/>
        <v>42829</v>
      </c>
      <c r="D2037" s="315" t="s">
        <v>961</v>
      </c>
      <c r="E2037" s="315">
        <v>42829</v>
      </c>
      <c r="F2037" s="249" t="s">
        <v>1010</v>
      </c>
      <c r="G2037" s="314" t="s">
        <v>1012</v>
      </c>
      <c r="H2037" s="473" t="s">
        <v>447</v>
      </c>
      <c r="I2037" s="307">
        <v>480</v>
      </c>
      <c r="J2037" s="307">
        <v>13651</v>
      </c>
      <c r="K2037" s="532">
        <f t="shared" si="193"/>
        <v>6552480</v>
      </c>
      <c r="L2037" s="534" t="s">
        <v>292</v>
      </c>
      <c r="M2037" s="534" t="s">
        <v>8</v>
      </c>
      <c r="N2037" s="525" t="str">
        <f>IF(AND('331-CT'!$E$7=TH!H2037,OR(L2037="331",M2037="331")),"331",IF(AND(OR(L2037="131",M2037="131"),H2037='131-CT'!$E$7),"131",""))</f>
        <v/>
      </c>
      <c r="O2037" s="525" t="str">
        <f>IF(AND($B2037&gt;='111'!$N$11,$B2037&lt;='111'!$O$11,OR($L2037=$O$7,$M2037=$O$7)),"x","")</f>
        <v/>
      </c>
      <c r="P2037" s="525" t="str">
        <f>IF(AND($L2037=$O$7,$B2037&lt;'111'!$N$11),"x","")</f>
        <v/>
      </c>
      <c r="Q2037" s="525" t="str">
        <f>IF(AND($M2037=$O$7,$B2037&lt;'111'!$N$11),"x","")</f>
        <v/>
      </c>
      <c r="R2037" s="525" t="str">
        <f>IF(ISERROR(FIND('112'!$M$9,G2037,1)),"",IF((AND(FIND('112'!$M$9,G2037,1)&gt;=1,$B2037&gt;='112'!$N$8,$B2037&lt;='112'!$O$8,OR($L2037='112'!$I$6,$M2037='112'!$I$6))),"x",""))</f>
        <v/>
      </c>
      <c r="S2037" s="525" t="str">
        <f>IF(ISERROR(FIND('112'!$M$9,G2037,1)),"",IF((AND(LEFT(G2037,2)=LEFT('112'!$M$9,2),B2037&lt;'112'!$N$8,$L2037='112'!$I$6)),"x",""))</f>
        <v/>
      </c>
      <c r="T2037" s="525" t="str">
        <f>IF(ISERROR(FIND('112'!$M$9,G2037,1)),"",IF((AND(RIGHT(G2037,2)=RIGHT('112'!$M$9,2),B2037&lt;'112'!$N$8,$M2037='112'!$I$6)),"x",""))</f>
        <v/>
      </c>
      <c r="U2037" s="525" t="str">
        <f>IF(AND(B2037&gt;='IN-NX'!$P$3,B2037&lt;='IN-NX'!$Q$3,'IN-NX'!$D$7=D2037,OR(LEFT(L2037,2)="15",AND(LEFT(M2037,2)&lt;&gt;"15",LEFT(M2037,2)&lt;&gt;"33"))),"x","")</f>
        <v/>
      </c>
      <c r="V2037" s="525" t="str">
        <f>IF(AND(OR(LEFT(TH!L2037,2)="15",LEFT(TH!M2037,2)="15"),'152-CT'!$J$8=TH!F2037),"x","")</f>
        <v/>
      </c>
      <c r="W2037" s="525" t="str">
        <f>IF(AND(OR(LEFT(TH!L2037,2)="15",LEFT(TH!M2037,2)="15"),TK!$E$7=TH!F2037),"x","")</f>
        <v/>
      </c>
      <c r="X2037" s="525" t="str">
        <f>IF(AND('341-CT'!$E$9=H2037,OR(LEFT(L2037,3)=$X$7,LEFT(M2037,3)=$X$7)),"x","")</f>
        <v/>
      </c>
      <c r="Y2037" s="525" t="str">
        <f>IF(OR(TH!L2037=TH!$Y$7,M2037=TH!$Y$7),"x","")</f>
        <v/>
      </c>
      <c r="Z2037" s="525" t="str">
        <f>IF(AND(B2037&lt;=NKC!$N$8,B2037&gt;=NKC!$M$8),"x","")</f>
        <v/>
      </c>
      <c r="AA2037" s="535">
        <v>2</v>
      </c>
      <c r="AC2037" s="503"/>
      <c r="AE2037" s="503"/>
    </row>
    <row r="2038" spans="1:34" s="536" customFormat="1" ht="15.75" customHeight="1">
      <c r="A2038" s="517" t="str">
        <f>IF(B2038&lt;&gt;"",IF(AND(B2038&gt;=_TM1,B2038&lt;=_TM2,OR(TH!L2038="1111",TH!M2038="1111")),TH!D2038,""),"")</f>
        <v/>
      </c>
      <c r="B2038" s="531">
        <f t="shared" si="189"/>
        <v>4</v>
      </c>
      <c r="C2038" s="315">
        <f t="shared" si="190"/>
        <v>42829</v>
      </c>
      <c r="D2038" s="315" t="s">
        <v>961</v>
      </c>
      <c r="E2038" s="315">
        <v>42829</v>
      </c>
      <c r="F2038" s="249" t="s">
        <v>1007</v>
      </c>
      <c r="G2038" s="314" t="s">
        <v>1012</v>
      </c>
      <c r="H2038" s="473" t="s">
        <v>447</v>
      </c>
      <c r="I2038" s="307">
        <v>1920</v>
      </c>
      <c r="J2038" s="307">
        <v>6873</v>
      </c>
      <c r="K2038" s="532">
        <f t="shared" si="193"/>
        <v>13196160</v>
      </c>
      <c r="L2038" s="534" t="s">
        <v>292</v>
      </c>
      <c r="M2038" s="534" t="s">
        <v>8</v>
      </c>
      <c r="N2038" s="525" t="str">
        <f>IF(AND('331-CT'!$E$7=TH!H2038,OR(L2038="331",M2038="331")),"331",IF(AND(OR(L2038="131",M2038="131"),H2038='131-CT'!$E$7),"131",""))</f>
        <v/>
      </c>
      <c r="O2038" s="525" t="str">
        <f>IF(AND($B2038&gt;='111'!$N$11,$B2038&lt;='111'!$O$11,OR($L2038=$O$7,$M2038=$O$7)),"x","")</f>
        <v/>
      </c>
      <c r="P2038" s="525" t="str">
        <f>IF(AND($L2038=$O$7,$B2038&lt;'111'!$N$11),"x","")</f>
        <v/>
      </c>
      <c r="Q2038" s="525" t="str">
        <f>IF(AND($M2038=$O$7,$B2038&lt;'111'!$N$11),"x","")</f>
        <v/>
      </c>
      <c r="R2038" s="525" t="str">
        <f>IF(ISERROR(FIND('112'!$M$9,G2038,1)),"",IF((AND(FIND('112'!$M$9,G2038,1)&gt;=1,$B2038&gt;='112'!$N$8,$B2038&lt;='112'!$O$8,OR($L2038='112'!$I$6,$M2038='112'!$I$6))),"x",""))</f>
        <v/>
      </c>
      <c r="S2038" s="525" t="str">
        <f>IF(ISERROR(FIND('112'!$M$9,G2038,1)),"",IF((AND(LEFT(G2038,2)=LEFT('112'!$M$9,2),B2038&lt;'112'!$N$8,$L2038='112'!$I$6)),"x",""))</f>
        <v/>
      </c>
      <c r="T2038" s="525" t="str">
        <f>IF(ISERROR(FIND('112'!$M$9,G2038,1)),"",IF((AND(RIGHT(G2038,2)=RIGHT('112'!$M$9,2),B2038&lt;'112'!$N$8,$M2038='112'!$I$6)),"x",""))</f>
        <v/>
      </c>
      <c r="U2038" s="525" t="str">
        <f>IF(AND(B2038&gt;='IN-NX'!$P$3,B2038&lt;='IN-NX'!$Q$3,'IN-NX'!$D$7=D2038,OR(LEFT(L2038,2)="15",AND(LEFT(M2038,2)&lt;&gt;"15",LEFT(M2038,2)&lt;&gt;"33"))),"x","")</f>
        <v/>
      </c>
      <c r="V2038" s="525" t="str">
        <f>IF(AND(OR(LEFT(TH!L2038,2)="15",LEFT(TH!M2038,2)="15"),'152-CT'!$J$8=TH!F2038),"x","")</f>
        <v/>
      </c>
      <c r="W2038" s="525" t="str">
        <f>IF(AND(OR(LEFT(TH!L2038,2)="15",LEFT(TH!M2038,2)="15"),TK!$E$7=TH!F2038),"x","")</f>
        <v/>
      </c>
      <c r="X2038" s="525" t="str">
        <f>IF(AND('341-CT'!$E$9=H2038,OR(LEFT(L2038,3)=$X$7,LEFT(M2038,3)=$X$7)),"x","")</f>
        <v/>
      </c>
      <c r="Y2038" s="525" t="str">
        <f>IF(OR(TH!L2038=TH!$Y$7,M2038=TH!$Y$7),"x","")</f>
        <v/>
      </c>
      <c r="Z2038" s="525" t="str">
        <f>IF(AND(B2038&lt;=NKC!$N$8,B2038&gt;=NKC!$M$8),"x","")</f>
        <v/>
      </c>
      <c r="AA2038" s="535">
        <v>2</v>
      </c>
      <c r="AC2038" s="503"/>
      <c r="AE2038" s="503"/>
    </row>
    <row r="2039" spans="1:34" s="536" customFormat="1" ht="15.75" customHeight="1">
      <c r="A2039" s="517" t="str">
        <f>IF(B2039&lt;&gt;"",IF(AND(B2039&gt;=_TM1,B2039&lt;=_TM2,OR(TH!L2039="1111",TH!M2039="1111")),TH!D2039,""),"")</f>
        <v/>
      </c>
      <c r="B2039" s="531">
        <f t="shared" si="189"/>
        <v>4</v>
      </c>
      <c r="C2039" s="315">
        <f t="shared" si="190"/>
        <v>42829</v>
      </c>
      <c r="D2039" s="315" t="s">
        <v>961</v>
      </c>
      <c r="E2039" s="315">
        <v>42829</v>
      </c>
      <c r="F2039" s="249" t="s">
        <v>1011</v>
      </c>
      <c r="G2039" s="314" t="s">
        <v>1012</v>
      </c>
      <c r="H2039" s="473" t="s">
        <v>447</v>
      </c>
      <c r="I2039" s="307">
        <v>1010</v>
      </c>
      <c r="J2039" s="307">
        <v>3479</v>
      </c>
      <c r="K2039" s="532">
        <f t="shared" si="193"/>
        <v>3513790</v>
      </c>
      <c r="L2039" s="534" t="s">
        <v>292</v>
      </c>
      <c r="M2039" s="534" t="s">
        <v>8</v>
      </c>
      <c r="N2039" s="525" t="str">
        <f>IF(AND('331-CT'!$E$7=TH!H2039,OR(L2039="331",M2039="331")),"331",IF(AND(OR(L2039="131",M2039="131"),H2039='131-CT'!$E$7),"131",""))</f>
        <v/>
      </c>
      <c r="O2039" s="525" t="str">
        <f>IF(AND($B2039&gt;='111'!$N$11,$B2039&lt;='111'!$O$11,OR($L2039=$O$7,$M2039=$O$7)),"x","")</f>
        <v/>
      </c>
      <c r="P2039" s="525" t="str">
        <f>IF(AND($L2039=$O$7,$B2039&lt;'111'!$N$11),"x","")</f>
        <v/>
      </c>
      <c r="Q2039" s="525" t="str">
        <f>IF(AND($M2039=$O$7,$B2039&lt;'111'!$N$11),"x","")</f>
        <v/>
      </c>
      <c r="R2039" s="525" t="str">
        <f>IF(ISERROR(FIND('112'!$M$9,G2039,1)),"",IF((AND(FIND('112'!$M$9,G2039,1)&gt;=1,$B2039&gt;='112'!$N$8,$B2039&lt;='112'!$O$8,OR($L2039='112'!$I$6,$M2039='112'!$I$6))),"x",""))</f>
        <v/>
      </c>
      <c r="S2039" s="525" t="str">
        <f>IF(ISERROR(FIND('112'!$M$9,G2039,1)),"",IF((AND(LEFT(G2039,2)=LEFT('112'!$M$9,2),B2039&lt;'112'!$N$8,$L2039='112'!$I$6)),"x",""))</f>
        <v/>
      </c>
      <c r="T2039" s="525" t="str">
        <f>IF(ISERROR(FIND('112'!$M$9,G2039,1)),"",IF((AND(RIGHT(G2039,2)=RIGHT('112'!$M$9,2),B2039&lt;'112'!$N$8,$M2039='112'!$I$6)),"x",""))</f>
        <v/>
      </c>
      <c r="U2039" s="525" t="str">
        <f>IF(AND(B2039&gt;='IN-NX'!$P$3,B2039&lt;='IN-NX'!$Q$3,'IN-NX'!$D$7=D2039,OR(LEFT(L2039,2)="15",AND(LEFT(M2039,2)&lt;&gt;"15",LEFT(M2039,2)&lt;&gt;"33"))),"x","")</f>
        <v/>
      </c>
      <c r="V2039" s="525" t="str">
        <f>IF(AND(OR(LEFT(TH!L2039,2)="15",LEFT(TH!M2039,2)="15"),'152-CT'!$J$8=TH!F2039),"x","")</f>
        <v/>
      </c>
      <c r="W2039" s="525" t="str">
        <f>IF(AND(OR(LEFT(TH!L2039,2)="15",LEFT(TH!M2039,2)="15"),TK!$E$7=TH!F2039),"x","")</f>
        <v/>
      </c>
      <c r="X2039" s="525" t="str">
        <f>IF(AND('341-CT'!$E$9=H2039,OR(LEFT(L2039,3)=$X$7,LEFT(M2039,3)=$X$7)),"x","")</f>
        <v/>
      </c>
      <c r="Y2039" s="525" t="str">
        <f>IF(OR(TH!L2039=TH!$Y$7,M2039=TH!$Y$7),"x","")</f>
        <v/>
      </c>
      <c r="Z2039" s="525" t="str">
        <f>IF(AND(B2039&lt;=NKC!$N$8,B2039&gt;=NKC!$M$8),"x","")</f>
        <v/>
      </c>
      <c r="AA2039" s="535">
        <v>2</v>
      </c>
      <c r="AC2039" s="503"/>
      <c r="AE2039" s="503"/>
    </row>
    <row r="2040" spans="1:34" s="536" customFormat="1" ht="15.75" customHeight="1">
      <c r="A2040" s="517" t="str">
        <f>IF(B2040&lt;&gt;"",IF(AND(B2040&gt;=_TM1,B2040&lt;=_TM2,OR(TH!L2040="1111",TH!M2040="1111")),TH!D2040,""),"")</f>
        <v/>
      </c>
      <c r="B2040" s="531">
        <f t="shared" si="189"/>
        <v>4</v>
      </c>
      <c r="C2040" s="315">
        <f t="shared" si="190"/>
        <v>42829</v>
      </c>
      <c r="D2040" s="315" t="s">
        <v>961</v>
      </c>
      <c r="E2040" s="315">
        <v>42829</v>
      </c>
      <c r="F2040" s="247" t="s">
        <v>1002</v>
      </c>
      <c r="G2040" s="314" t="s">
        <v>1012</v>
      </c>
      <c r="H2040" s="473" t="s">
        <v>447</v>
      </c>
      <c r="I2040" s="307"/>
      <c r="J2040" s="307"/>
      <c r="K2040" s="532">
        <v>9515006</v>
      </c>
      <c r="L2040" s="713" t="s">
        <v>9</v>
      </c>
      <c r="M2040" s="534" t="s">
        <v>8</v>
      </c>
      <c r="N2040" s="525" t="str">
        <f>IF(AND('331-CT'!$E$7=TH!H2040,OR(L2040="331",M2040="331")),"331",IF(AND(OR(L2040="131",M2040="131"),H2040='131-CT'!$E$7),"131",""))</f>
        <v/>
      </c>
      <c r="O2040" s="525" t="str">
        <f>IF(AND($B2040&gt;='111'!$N$11,$B2040&lt;='111'!$O$11,OR($L2040=$O$7,$M2040=$O$7)),"x","")</f>
        <v/>
      </c>
      <c r="P2040" s="525" t="str">
        <f>IF(AND($L2040=$O$7,$B2040&lt;'111'!$N$11),"x","")</f>
        <v/>
      </c>
      <c r="Q2040" s="525" t="str">
        <f>IF(AND($M2040=$O$7,$B2040&lt;'111'!$N$11),"x","")</f>
        <v/>
      </c>
      <c r="R2040" s="525" t="str">
        <f>IF(ISERROR(FIND('112'!$M$9,G2040,1)),"",IF((AND(FIND('112'!$M$9,G2040,1)&gt;=1,$B2040&gt;='112'!$N$8,$B2040&lt;='112'!$O$8,OR($L2040='112'!$I$6,$M2040='112'!$I$6))),"x",""))</f>
        <v/>
      </c>
      <c r="S2040" s="525" t="str">
        <f>IF(ISERROR(FIND('112'!$M$9,G2040,1)),"",IF((AND(LEFT(G2040,2)=LEFT('112'!$M$9,2),B2040&lt;'112'!$N$8,$L2040='112'!$I$6)),"x",""))</f>
        <v/>
      </c>
      <c r="T2040" s="525" t="str">
        <f>IF(ISERROR(FIND('112'!$M$9,G2040,1)),"",IF((AND(RIGHT(G2040,2)=RIGHT('112'!$M$9,2),B2040&lt;'112'!$N$8,$M2040='112'!$I$6)),"x",""))</f>
        <v/>
      </c>
      <c r="U2040" s="525" t="str">
        <f>IF(AND(B2040&gt;='IN-NX'!$P$3,B2040&lt;='IN-NX'!$Q$3,'IN-NX'!$D$7=D2040,OR(LEFT(L2040,2)="15",AND(LEFT(M2040,2)&lt;&gt;"15",LEFT(M2040,2)&lt;&gt;"33"))),"x","")</f>
        <v/>
      </c>
      <c r="V2040" s="525" t="str">
        <f>IF(AND(OR(LEFT(TH!L2040,2)="15",LEFT(TH!M2040,2)="15"),'152-CT'!$J$8=TH!F2040),"x","")</f>
        <v/>
      </c>
      <c r="W2040" s="525" t="str">
        <f>IF(AND(OR(LEFT(TH!L2040,2)="15",LEFT(TH!M2040,2)="15"),TK!$E$7=TH!F2040),"x","")</f>
        <v/>
      </c>
      <c r="X2040" s="525" t="str">
        <f>IF(AND('341-CT'!$E$9=H2040,OR(LEFT(L2040,3)=$X$7,LEFT(M2040,3)=$X$7)),"x","")</f>
        <v/>
      </c>
      <c r="Y2040" s="525" t="str">
        <f>IF(OR(TH!L2040=TH!$Y$7,M2040=TH!$Y$7),"x","")</f>
        <v/>
      </c>
      <c r="Z2040" s="525" t="str">
        <f>IF(AND(B2040&lt;=NKC!$N$8,B2040&gt;=NKC!$M$8),"x","")</f>
        <v/>
      </c>
      <c r="AA2040" s="535">
        <v>2</v>
      </c>
      <c r="AC2040" s="503"/>
      <c r="AE2040" s="503"/>
    </row>
    <row r="2041" spans="1:34" s="536" customFormat="1" ht="15.75" customHeight="1">
      <c r="A2041" s="517" t="str">
        <f>IF(B2041&lt;&gt;"",IF(AND(B2041&gt;=_TM1,B2041&lt;=_TM2,OR(TH!L2041="1111",TH!M2041="1111")),TH!D2041,""),"")</f>
        <v/>
      </c>
      <c r="B2041" s="531">
        <f t="shared" si="189"/>
        <v>4</v>
      </c>
      <c r="C2041" s="315">
        <f t="shared" si="190"/>
        <v>42829</v>
      </c>
      <c r="D2041" s="315" t="s">
        <v>894</v>
      </c>
      <c r="E2041" s="315">
        <v>42829</v>
      </c>
      <c r="F2041" s="249" t="s">
        <v>1004</v>
      </c>
      <c r="G2041" s="314" t="s">
        <v>1094</v>
      </c>
      <c r="H2041" s="473" t="s">
        <v>1093</v>
      </c>
      <c r="I2041" s="307">
        <v>126</v>
      </c>
      <c r="J2041" s="307">
        <v>13930</v>
      </c>
      <c r="K2041" s="532">
        <f>ROUND(I2041*J2041,0)</f>
        <v>1755180</v>
      </c>
      <c r="L2041" s="534" t="s">
        <v>223</v>
      </c>
      <c r="M2041" s="534" t="s">
        <v>162</v>
      </c>
      <c r="N2041" s="525" t="str">
        <f>IF(AND('331-CT'!$E$7=TH!H2041,OR(L2041="331",M2041="331")),"331",IF(AND(OR(L2041="131",M2041="131"),H2041='131-CT'!$E$7),"131",""))</f>
        <v/>
      </c>
      <c r="O2041" s="525" t="str">
        <f>IF(AND($B2041&gt;='111'!$N$11,$B2041&lt;='111'!$O$11,OR($L2041=$O$7,$M2041=$O$7)),"x","")</f>
        <v/>
      </c>
      <c r="P2041" s="525" t="str">
        <f>IF(AND($L2041=$O$7,$B2041&lt;'111'!$N$11),"x","")</f>
        <v/>
      </c>
      <c r="Q2041" s="525" t="str">
        <f>IF(AND($M2041=$O$7,$B2041&lt;'111'!$N$11),"x","")</f>
        <v/>
      </c>
      <c r="R2041" s="525" t="str">
        <f>IF(ISERROR(FIND('112'!$M$9,G2041,1)),"",IF((AND(FIND('112'!$M$9,G2041,1)&gt;=1,$B2041&gt;='112'!$N$8,$B2041&lt;='112'!$O$8,OR($L2041='112'!$I$6,$M2041='112'!$I$6))),"x",""))</f>
        <v/>
      </c>
      <c r="S2041" s="525" t="str">
        <f>IF(ISERROR(FIND('112'!$M$9,G2041,1)),"",IF((AND(LEFT(G2041,2)=LEFT('112'!$M$9,2),B2041&lt;'112'!$N$8,$L2041='112'!$I$6)),"x",""))</f>
        <v/>
      </c>
      <c r="T2041" s="525" t="str">
        <f>IF(ISERROR(FIND('112'!$M$9,G2041,1)),"",IF((AND(RIGHT(G2041,2)=RIGHT('112'!$M$9,2),B2041&lt;'112'!$N$8,$M2041='112'!$I$6)),"x",""))</f>
        <v/>
      </c>
      <c r="U2041" s="525" t="str">
        <f>IF(AND(B2041&gt;='IN-NX'!$P$3,B2041&lt;='IN-NX'!$Q$3,'IN-NX'!$D$7=D2041,OR(LEFT(L2041,2)="15",AND(LEFT(M2041,2)&lt;&gt;"15",LEFT(M2041,2)&lt;&gt;"33"))),"x","")</f>
        <v>x</v>
      </c>
      <c r="V2041" s="525" t="str">
        <f>IF(AND(OR(LEFT(TH!L2041,2)="15",LEFT(TH!M2041,2)="15"),'152-CT'!$J$8=TH!F2041),"x","")</f>
        <v/>
      </c>
      <c r="W2041" s="525" t="str">
        <f>IF(AND(OR(LEFT(TH!L2041,2)="15",LEFT(TH!M2041,2)="15"),TK!$E$7=TH!F2041),"x","")</f>
        <v/>
      </c>
      <c r="X2041" s="525" t="str">
        <f>IF(AND('341-CT'!$E$9=H2041,OR(LEFT(L2041,3)=$X$7,LEFT(M2041,3)=$X$7)),"x","")</f>
        <v/>
      </c>
      <c r="Y2041" s="525" t="str">
        <f>IF(OR(TH!L2041=TH!$Y$7,M2041=TH!$Y$7),"x","")</f>
        <v/>
      </c>
      <c r="Z2041" s="525" t="str">
        <f>IF(AND(B2041&lt;=NKC!$N$8,B2041&gt;=NKC!$M$8),"x","")</f>
        <v/>
      </c>
      <c r="AA2041" s="535"/>
      <c r="AC2041" s="503"/>
      <c r="AD2041" s="503"/>
      <c r="AE2041" s="503"/>
      <c r="AF2041" s="503"/>
      <c r="AG2041" s="503"/>
      <c r="AH2041" s="503"/>
    </row>
    <row r="2042" spans="1:34" s="536" customFormat="1" ht="15.75" customHeight="1">
      <c r="A2042" s="517" t="str">
        <f>IF(B2042&lt;&gt;"",IF(AND(B2042&gt;=_TM1,B2042&lt;=_TM2,OR(TH!L2042="1111",TH!M2042="1111")),TH!D2042,""),"")</f>
        <v/>
      </c>
      <c r="B2042" s="531">
        <f t="shared" si="189"/>
        <v>4</v>
      </c>
      <c r="C2042" s="315">
        <f t="shared" si="190"/>
        <v>42829</v>
      </c>
      <c r="D2042" s="315" t="s">
        <v>894</v>
      </c>
      <c r="E2042" s="315">
        <v>42829</v>
      </c>
      <c r="F2042" s="249" t="s">
        <v>1005</v>
      </c>
      <c r="G2042" s="314" t="s">
        <v>1094</v>
      </c>
      <c r="H2042" s="473" t="s">
        <v>1093</v>
      </c>
      <c r="I2042" s="307">
        <v>520</v>
      </c>
      <c r="J2042" s="307">
        <v>7013</v>
      </c>
      <c r="K2042" s="532">
        <f>ROUND(I2042*J2042,0)</f>
        <v>3646760</v>
      </c>
      <c r="L2042" s="534" t="s">
        <v>223</v>
      </c>
      <c r="M2042" s="534" t="s">
        <v>162</v>
      </c>
      <c r="N2042" s="525" t="str">
        <f>IF(AND('331-CT'!$E$7=TH!H2042,OR(L2042="331",M2042="331")),"331",IF(AND(OR(L2042="131",M2042="131"),H2042='131-CT'!$E$7),"131",""))</f>
        <v/>
      </c>
      <c r="O2042" s="525" t="str">
        <f>IF(AND($B2042&gt;='111'!$N$11,$B2042&lt;='111'!$O$11,OR($L2042=$O$7,$M2042=$O$7)),"x","")</f>
        <v/>
      </c>
      <c r="P2042" s="525" t="str">
        <f>IF(AND($L2042=$O$7,$B2042&lt;'111'!$N$11),"x","")</f>
        <v/>
      </c>
      <c r="Q2042" s="525" t="str">
        <f>IF(AND($M2042=$O$7,$B2042&lt;'111'!$N$11),"x","")</f>
        <v/>
      </c>
      <c r="R2042" s="525" t="str">
        <f>IF(ISERROR(FIND('112'!$M$9,G2042,1)),"",IF((AND(FIND('112'!$M$9,G2042,1)&gt;=1,$B2042&gt;='112'!$N$8,$B2042&lt;='112'!$O$8,OR($L2042='112'!$I$6,$M2042='112'!$I$6))),"x",""))</f>
        <v/>
      </c>
      <c r="S2042" s="525" t="str">
        <f>IF(ISERROR(FIND('112'!$M$9,G2042,1)),"",IF((AND(LEFT(G2042,2)=LEFT('112'!$M$9,2),B2042&lt;'112'!$N$8,$L2042='112'!$I$6)),"x",""))</f>
        <v/>
      </c>
      <c r="T2042" s="525" t="str">
        <f>IF(ISERROR(FIND('112'!$M$9,G2042,1)),"",IF((AND(RIGHT(G2042,2)=RIGHT('112'!$M$9,2),B2042&lt;'112'!$N$8,$M2042='112'!$I$6)),"x",""))</f>
        <v/>
      </c>
      <c r="U2042" s="525" t="str">
        <f>IF(AND(B2042&gt;='IN-NX'!$P$3,B2042&lt;='IN-NX'!$Q$3,'IN-NX'!$D$7=D2042,OR(LEFT(L2042,2)="15",AND(LEFT(M2042,2)&lt;&gt;"15",LEFT(M2042,2)&lt;&gt;"33"))),"x","")</f>
        <v>x</v>
      </c>
      <c r="V2042" s="525" t="str">
        <f>IF(AND(OR(LEFT(TH!L2042,2)="15",LEFT(TH!M2042,2)="15"),'152-CT'!$J$8=TH!F2042),"x","")</f>
        <v/>
      </c>
      <c r="W2042" s="525" t="str">
        <f>IF(AND(OR(LEFT(TH!L2042,2)="15",LEFT(TH!M2042,2)="15"),TK!$E$7=TH!F2042),"x","")</f>
        <v/>
      </c>
      <c r="X2042" s="525" t="str">
        <f>IF(AND('341-CT'!$E$9=H2042,OR(LEFT(L2042,3)=$X$7,LEFT(M2042,3)=$X$7)),"x","")</f>
        <v/>
      </c>
      <c r="Y2042" s="525" t="str">
        <f>IF(OR(TH!L2042=TH!$Y$7,M2042=TH!$Y$7),"x","")</f>
        <v/>
      </c>
      <c r="Z2042" s="525" t="str">
        <f>IF(AND(B2042&lt;=NKC!$N$8,B2042&gt;=NKC!$M$8),"x","")</f>
        <v/>
      </c>
      <c r="AA2042" s="535"/>
      <c r="AC2042" s="503"/>
      <c r="AD2042" s="503"/>
      <c r="AE2042" s="503"/>
      <c r="AF2042" s="503"/>
      <c r="AG2042" s="503"/>
      <c r="AH2042" s="503"/>
    </row>
    <row r="2043" spans="1:34" s="536" customFormat="1" ht="15.75" customHeight="1">
      <c r="A2043" s="517" t="str">
        <f>IF(B2043&lt;&gt;"",IF(AND(B2043&gt;=_TM1,B2043&lt;=_TM2,OR(TH!L2043="1111",TH!M2043="1111")),TH!D2043,""),"")</f>
        <v/>
      </c>
      <c r="B2043" s="531">
        <f t="shared" si="189"/>
        <v>4</v>
      </c>
      <c r="C2043" s="315">
        <f t="shared" si="190"/>
        <v>42829</v>
      </c>
      <c r="D2043" s="315" t="s">
        <v>894</v>
      </c>
      <c r="E2043" s="315">
        <v>42829</v>
      </c>
      <c r="F2043" s="249" t="s">
        <v>1006</v>
      </c>
      <c r="G2043" s="314" t="s">
        <v>1094</v>
      </c>
      <c r="H2043" s="473" t="s">
        <v>1093</v>
      </c>
      <c r="I2043" s="307">
        <v>255</v>
      </c>
      <c r="J2043" s="307">
        <v>17250</v>
      </c>
      <c r="K2043" s="532">
        <f>ROUND(I2043*J2043,0)</f>
        <v>4398750</v>
      </c>
      <c r="L2043" s="534" t="s">
        <v>223</v>
      </c>
      <c r="M2043" s="534" t="s">
        <v>162</v>
      </c>
      <c r="N2043" s="525" t="str">
        <f>IF(AND('331-CT'!$E$7=TH!H2043,OR(L2043="331",M2043="331")),"331",IF(AND(OR(L2043="131",M2043="131"),H2043='131-CT'!$E$7),"131",""))</f>
        <v/>
      </c>
      <c r="O2043" s="525" t="str">
        <f>IF(AND($B2043&gt;='111'!$N$11,$B2043&lt;='111'!$O$11,OR($L2043=$O$7,$M2043=$O$7)),"x","")</f>
        <v/>
      </c>
      <c r="P2043" s="525" t="str">
        <f>IF(AND($L2043=$O$7,$B2043&lt;'111'!$N$11),"x","")</f>
        <v/>
      </c>
      <c r="Q2043" s="525" t="str">
        <f>IF(AND($M2043=$O$7,$B2043&lt;'111'!$N$11),"x","")</f>
        <v/>
      </c>
      <c r="R2043" s="525" t="str">
        <f>IF(ISERROR(FIND('112'!$M$9,G2043,1)),"",IF((AND(FIND('112'!$M$9,G2043,1)&gt;=1,$B2043&gt;='112'!$N$8,$B2043&lt;='112'!$O$8,OR($L2043='112'!$I$6,$M2043='112'!$I$6))),"x",""))</f>
        <v/>
      </c>
      <c r="S2043" s="525" t="str">
        <f>IF(ISERROR(FIND('112'!$M$9,G2043,1)),"",IF((AND(LEFT(G2043,2)=LEFT('112'!$M$9,2),B2043&lt;'112'!$N$8,$L2043='112'!$I$6)),"x",""))</f>
        <v/>
      </c>
      <c r="T2043" s="525" t="str">
        <f>IF(ISERROR(FIND('112'!$M$9,G2043,1)),"",IF((AND(RIGHT(G2043,2)=RIGHT('112'!$M$9,2),B2043&lt;'112'!$N$8,$M2043='112'!$I$6)),"x",""))</f>
        <v/>
      </c>
      <c r="U2043" s="525" t="str">
        <f>IF(AND(B2043&gt;='IN-NX'!$P$3,B2043&lt;='IN-NX'!$Q$3,'IN-NX'!$D$7=D2043,OR(LEFT(L2043,2)="15",AND(LEFT(M2043,2)&lt;&gt;"15",LEFT(M2043,2)&lt;&gt;"33"))),"x","")</f>
        <v>x</v>
      </c>
      <c r="V2043" s="525" t="str">
        <f>IF(AND(OR(LEFT(TH!L2043,2)="15",LEFT(TH!M2043,2)="15"),'152-CT'!$J$8=TH!F2043),"x","")</f>
        <v/>
      </c>
      <c r="W2043" s="525" t="str">
        <f>IF(AND(OR(LEFT(TH!L2043,2)="15",LEFT(TH!M2043,2)="15"),TK!$E$7=TH!F2043),"x","")</f>
        <v/>
      </c>
      <c r="X2043" s="525" t="str">
        <f>IF(AND('341-CT'!$E$9=H2043,OR(LEFT(L2043,3)=$X$7,LEFT(M2043,3)=$X$7)),"x","")</f>
        <v/>
      </c>
      <c r="Y2043" s="525" t="str">
        <f>IF(OR(TH!L2043=TH!$Y$7,M2043=TH!$Y$7),"x","")</f>
        <v/>
      </c>
      <c r="Z2043" s="525" t="str">
        <f>IF(AND(B2043&lt;=NKC!$N$8,B2043&gt;=NKC!$M$8),"x","")</f>
        <v/>
      </c>
      <c r="AA2043" s="535"/>
      <c r="AC2043" s="503"/>
      <c r="AD2043" s="503"/>
      <c r="AE2043" s="503"/>
      <c r="AF2043" s="503"/>
      <c r="AG2043" s="503"/>
      <c r="AH2043" s="503"/>
    </row>
    <row r="2044" spans="1:34" s="536" customFormat="1" ht="15.75" customHeight="1">
      <c r="A2044" s="517" t="str">
        <f>IF(B2044&lt;&gt;"",IF(AND(B2044&gt;=_TM1,B2044&lt;=_TM2,OR(TH!L2044="1111",TH!M2044="1111")),TH!D2044,""),"")</f>
        <v/>
      </c>
      <c r="B2044" s="531">
        <f t="shared" si="189"/>
        <v>4</v>
      </c>
      <c r="C2044" s="315">
        <f t="shared" si="190"/>
        <v>42829</v>
      </c>
      <c r="D2044" s="315" t="s">
        <v>894</v>
      </c>
      <c r="E2044" s="315">
        <v>42829</v>
      </c>
      <c r="F2044" s="249" t="s">
        <v>1007</v>
      </c>
      <c r="G2044" s="314" t="s">
        <v>1094</v>
      </c>
      <c r="H2044" s="473" t="s">
        <v>1093</v>
      </c>
      <c r="I2044" s="307">
        <v>600</v>
      </c>
      <c r="J2044" s="307">
        <v>8013</v>
      </c>
      <c r="K2044" s="532">
        <f>ROUND(I2044*J2044,0)</f>
        <v>4807800</v>
      </c>
      <c r="L2044" s="534" t="s">
        <v>223</v>
      </c>
      <c r="M2044" s="534" t="s">
        <v>162</v>
      </c>
      <c r="N2044" s="525" t="str">
        <f>IF(AND('331-CT'!$E$7=TH!H2044,OR(L2044="331",M2044="331")),"331",IF(AND(OR(L2044="131",M2044="131"),H2044='131-CT'!$E$7),"131",""))</f>
        <v/>
      </c>
      <c r="O2044" s="525" t="str">
        <f>IF(AND($B2044&gt;='111'!$N$11,$B2044&lt;='111'!$O$11,OR($L2044=$O$7,$M2044=$O$7)),"x","")</f>
        <v/>
      </c>
      <c r="P2044" s="525" t="str">
        <f>IF(AND($L2044=$O$7,$B2044&lt;'111'!$N$11),"x","")</f>
        <v/>
      </c>
      <c r="Q2044" s="525" t="str">
        <f>IF(AND($M2044=$O$7,$B2044&lt;'111'!$N$11),"x","")</f>
        <v/>
      </c>
      <c r="R2044" s="525" t="str">
        <f>IF(ISERROR(FIND('112'!$M$9,G2044,1)),"",IF((AND(FIND('112'!$M$9,G2044,1)&gt;=1,$B2044&gt;='112'!$N$8,$B2044&lt;='112'!$O$8,OR($L2044='112'!$I$6,$M2044='112'!$I$6))),"x",""))</f>
        <v/>
      </c>
      <c r="S2044" s="525" t="str">
        <f>IF(ISERROR(FIND('112'!$M$9,G2044,1)),"",IF((AND(LEFT(G2044,2)=LEFT('112'!$M$9,2),B2044&lt;'112'!$N$8,$L2044='112'!$I$6)),"x",""))</f>
        <v/>
      </c>
      <c r="T2044" s="525" t="str">
        <f>IF(ISERROR(FIND('112'!$M$9,G2044,1)),"",IF((AND(RIGHT(G2044,2)=RIGHT('112'!$M$9,2),B2044&lt;'112'!$N$8,$M2044='112'!$I$6)),"x",""))</f>
        <v/>
      </c>
      <c r="U2044" s="525" t="str">
        <f>IF(AND(B2044&gt;='IN-NX'!$P$3,B2044&lt;='IN-NX'!$Q$3,'IN-NX'!$D$7=D2044,OR(LEFT(L2044,2)="15",AND(LEFT(M2044,2)&lt;&gt;"15",LEFT(M2044,2)&lt;&gt;"33"))),"x","")</f>
        <v>x</v>
      </c>
      <c r="V2044" s="525" t="str">
        <f>IF(AND(OR(LEFT(TH!L2044,2)="15",LEFT(TH!M2044,2)="15"),'152-CT'!$J$8=TH!F2044),"x","")</f>
        <v/>
      </c>
      <c r="W2044" s="525" t="str">
        <f>IF(AND(OR(LEFT(TH!L2044,2)="15",LEFT(TH!M2044,2)="15"),TK!$E$7=TH!F2044),"x","")</f>
        <v/>
      </c>
      <c r="X2044" s="525" t="str">
        <f>IF(AND('341-CT'!$E$9=H2044,OR(LEFT(L2044,3)=$X$7,LEFT(M2044,3)=$X$7)),"x","")</f>
        <v/>
      </c>
      <c r="Y2044" s="525" t="str">
        <f>IF(OR(TH!L2044=TH!$Y$7,M2044=TH!$Y$7),"x","")</f>
        <v/>
      </c>
      <c r="Z2044" s="525" t="str">
        <f>IF(AND(B2044&lt;=NKC!$N$8,B2044&gt;=NKC!$M$8),"x","")</f>
        <v/>
      </c>
      <c r="AA2044" s="535"/>
      <c r="AC2044" s="503"/>
      <c r="AD2044" s="503"/>
      <c r="AE2044" s="503"/>
      <c r="AF2044" s="503"/>
      <c r="AG2044" s="503"/>
      <c r="AH2044" s="503"/>
    </row>
    <row r="2045" spans="1:34" s="536" customFormat="1" ht="15.75" customHeight="1">
      <c r="A2045" s="517" t="str">
        <f>IF(B2045&lt;&gt;"",IF(AND(B2045&gt;=_TM1,B2045&lt;=_TM2,OR(TH!L2045="1111",TH!M2045="1111")),TH!D2045,""),"")</f>
        <v/>
      </c>
      <c r="B2045" s="531">
        <f t="shared" si="189"/>
        <v>4</v>
      </c>
      <c r="C2045" s="315">
        <f t="shared" si="190"/>
        <v>42829</v>
      </c>
      <c r="D2045" s="315" t="s">
        <v>894</v>
      </c>
      <c r="E2045" s="315">
        <v>42829</v>
      </c>
      <c r="F2045" s="249" t="s">
        <v>494</v>
      </c>
      <c r="G2045" s="314" t="s">
        <v>1094</v>
      </c>
      <c r="H2045" s="473" t="s">
        <v>1093</v>
      </c>
      <c r="I2045" s="307"/>
      <c r="J2045" s="307"/>
      <c r="K2045" s="532">
        <v>1460849</v>
      </c>
      <c r="L2045" s="534" t="s">
        <v>223</v>
      </c>
      <c r="M2045" s="534" t="s">
        <v>259</v>
      </c>
      <c r="N2045" s="525" t="str">
        <f>IF(AND('331-CT'!$E$7=TH!H2045,OR(L2045="331",M2045="331")),"331",IF(AND(OR(L2045="131",M2045="131"),H2045='131-CT'!$E$7),"131",""))</f>
        <v/>
      </c>
      <c r="O2045" s="525" t="str">
        <f>IF(AND($B2045&gt;='111'!$N$11,$B2045&lt;='111'!$O$11,OR($L2045=$O$7,$M2045=$O$7)),"x","")</f>
        <v/>
      </c>
      <c r="P2045" s="525" t="str">
        <f>IF(AND($L2045=$O$7,$B2045&lt;'111'!$N$11),"x","")</f>
        <v/>
      </c>
      <c r="Q2045" s="525" t="str">
        <f>IF(AND($M2045=$O$7,$B2045&lt;'111'!$N$11),"x","")</f>
        <v/>
      </c>
      <c r="R2045" s="525" t="str">
        <f>IF(ISERROR(FIND('112'!$M$9,G2045,1)),"",IF((AND(FIND('112'!$M$9,G2045,1)&gt;=1,$B2045&gt;='112'!$N$8,$B2045&lt;='112'!$O$8,OR($L2045='112'!$I$6,$M2045='112'!$I$6))),"x",""))</f>
        <v/>
      </c>
      <c r="S2045" s="525" t="str">
        <f>IF(ISERROR(FIND('112'!$M$9,G2045,1)),"",IF((AND(LEFT(G2045,2)=LEFT('112'!$M$9,2),B2045&lt;'112'!$N$8,$L2045='112'!$I$6)),"x",""))</f>
        <v/>
      </c>
      <c r="T2045" s="525" t="str">
        <f>IF(ISERROR(FIND('112'!$M$9,G2045,1)),"",IF((AND(RIGHT(G2045,2)=RIGHT('112'!$M$9,2),B2045&lt;'112'!$N$8,$M2045='112'!$I$6)),"x",""))</f>
        <v/>
      </c>
      <c r="U2045" s="525" t="str">
        <f>IF(AND(B2045&gt;='IN-NX'!$P$3,B2045&lt;='IN-NX'!$Q$3,'IN-NX'!$D$7=D2045,OR(LEFT(L2045,2)="15",AND(LEFT(M2045,2)&lt;&gt;"15",LEFT(M2045,2)&lt;&gt;"33"))),"x","")</f>
        <v/>
      </c>
      <c r="V2045" s="525" t="str">
        <f>IF(AND(OR(LEFT(TH!L2045,2)="15",LEFT(TH!M2045,2)="15"),'152-CT'!$J$8=TH!F2045),"x","")</f>
        <v/>
      </c>
      <c r="W2045" s="525" t="str">
        <f>IF(AND(OR(LEFT(TH!L2045,2)="15",LEFT(TH!M2045,2)="15"),TK!$E$7=TH!F2045),"x","")</f>
        <v/>
      </c>
      <c r="X2045" s="525" t="str">
        <f>IF(AND('341-CT'!$E$9=H2045,OR(LEFT(L2045,3)=$X$7,LEFT(M2045,3)=$X$7)),"x","")</f>
        <v/>
      </c>
      <c r="Y2045" s="525" t="str">
        <f>IF(OR(TH!L2045=TH!$Y$7,M2045=TH!$Y$7),"x","")</f>
        <v/>
      </c>
      <c r="Z2045" s="525" t="str">
        <f>IF(AND(B2045&lt;=NKC!$N$8,B2045&gt;=NKC!$M$8),"x","")</f>
        <v/>
      </c>
      <c r="AA2045" s="535"/>
      <c r="AC2045" s="503"/>
      <c r="AD2045" s="503"/>
      <c r="AE2045" s="503"/>
      <c r="AF2045" s="503"/>
      <c r="AG2045" s="503"/>
      <c r="AH2045" s="503"/>
    </row>
    <row r="2046" spans="1:34" s="536" customFormat="1" ht="15.75" customHeight="1">
      <c r="A2046" s="517" t="str">
        <f>IF(B2046&lt;&gt;"",IF(AND(B2046&gt;=_TM1,B2046&lt;=_TM2,OR(TH!L2046="1111",TH!M2046="1111")),TH!D2046,""),"")</f>
        <v/>
      </c>
      <c r="B2046" s="531">
        <f t="shared" si="189"/>
        <v>4</v>
      </c>
      <c r="C2046" s="315">
        <f t="shared" si="190"/>
        <v>42829</v>
      </c>
      <c r="D2046" s="315" t="s">
        <v>895</v>
      </c>
      <c r="E2046" s="315">
        <v>42829</v>
      </c>
      <c r="F2046" s="250" t="s">
        <v>1217</v>
      </c>
      <c r="G2046" s="314" t="s">
        <v>1219</v>
      </c>
      <c r="H2046" s="473" t="s">
        <v>1218</v>
      </c>
      <c r="I2046" s="307">
        <v>2030</v>
      </c>
      <c r="J2046" s="307">
        <v>8800</v>
      </c>
      <c r="K2046" s="532">
        <f>ROUND(I2046*J2046,0)</f>
        <v>17864000</v>
      </c>
      <c r="L2046" s="534" t="s">
        <v>223</v>
      </c>
      <c r="M2046" s="534" t="s">
        <v>162</v>
      </c>
      <c r="N2046" s="525" t="str">
        <f>IF(AND('331-CT'!$E$7=TH!H2046,OR(L2046="331",M2046="331")),"331",IF(AND(OR(L2046="131",M2046="131"),H2046='131-CT'!$E$7),"131",""))</f>
        <v/>
      </c>
      <c r="O2046" s="525" t="str">
        <f>IF(AND($B2046&gt;='111'!$N$11,$B2046&lt;='111'!$O$11,OR($L2046=$O$7,$M2046=$O$7)),"x","")</f>
        <v/>
      </c>
      <c r="P2046" s="525" t="str">
        <f>IF(AND($L2046=$O$7,$B2046&lt;'111'!$N$11),"x","")</f>
        <v/>
      </c>
      <c r="Q2046" s="525" t="str">
        <f>IF(AND($M2046=$O$7,$B2046&lt;'111'!$N$11),"x","")</f>
        <v/>
      </c>
      <c r="R2046" s="525" t="str">
        <f>IF(ISERROR(FIND('112'!$M$9,G2046,1)),"",IF((AND(FIND('112'!$M$9,G2046,1)&gt;=1,$B2046&gt;='112'!$N$8,$B2046&lt;='112'!$O$8,OR($L2046='112'!$I$6,$M2046='112'!$I$6))),"x",""))</f>
        <v/>
      </c>
      <c r="S2046" s="525" t="str">
        <f>IF(ISERROR(FIND('112'!$M$9,G2046,1)),"",IF((AND(LEFT(G2046,2)=LEFT('112'!$M$9,2),B2046&lt;'112'!$N$8,$L2046='112'!$I$6)),"x",""))</f>
        <v/>
      </c>
      <c r="T2046" s="525" t="str">
        <f>IF(ISERROR(FIND('112'!$M$9,G2046,1)),"",IF((AND(RIGHT(G2046,2)=RIGHT('112'!$M$9,2),B2046&lt;'112'!$N$8,$M2046='112'!$I$6)),"x",""))</f>
        <v/>
      </c>
      <c r="U2046" s="525" t="str">
        <f>IF(AND(B2046&gt;='IN-NX'!$P$3,B2046&lt;='IN-NX'!$Q$3,'IN-NX'!$D$7=D2046,OR(LEFT(L2046,2)="15",AND(LEFT(M2046,2)&lt;&gt;"15",LEFT(M2046,2)&lt;&gt;"33"))),"x","")</f>
        <v/>
      </c>
      <c r="V2046" s="525" t="str">
        <f>IF(AND(OR(LEFT(TH!L2046,2)="15",LEFT(TH!M2046,2)="15"),'152-CT'!$J$8=TH!F2046),"x","")</f>
        <v/>
      </c>
      <c r="W2046" s="525" t="str">
        <f>IF(AND(OR(LEFT(TH!L2046,2)="15",LEFT(TH!M2046,2)="15"),TK!$E$7=TH!F2046),"x","")</f>
        <v/>
      </c>
      <c r="X2046" s="525" t="str">
        <f>IF(AND('341-CT'!$E$9=H2046,OR(LEFT(L2046,3)=$X$7,LEFT(M2046,3)=$X$7)),"x","")</f>
        <v/>
      </c>
      <c r="Y2046" s="525" t="str">
        <f>IF(OR(TH!L2046=TH!$Y$7,M2046=TH!$Y$7),"x","")</f>
        <v/>
      </c>
      <c r="Z2046" s="525" t="str">
        <f>IF(AND(B2046&lt;=NKC!$N$8,B2046&gt;=NKC!$M$8),"x","")</f>
        <v/>
      </c>
      <c r="AA2046" s="535"/>
      <c r="AC2046" s="503"/>
      <c r="AD2046" s="503"/>
      <c r="AE2046" s="503"/>
      <c r="AF2046" s="503"/>
      <c r="AG2046" s="503"/>
      <c r="AH2046" s="503"/>
    </row>
    <row r="2047" spans="1:34" s="536" customFormat="1" ht="15.75" customHeight="1">
      <c r="A2047" s="517" t="str">
        <f>IF(B2047&lt;&gt;"",IF(AND(B2047&gt;=_TM1,B2047&lt;=_TM2,OR(TH!L2047="1111",TH!M2047="1111")),TH!D2047,""),"")</f>
        <v/>
      </c>
      <c r="B2047" s="531">
        <f t="shared" si="189"/>
        <v>4</v>
      </c>
      <c r="C2047" s="315">
        <f t="shared" si="190"/>
        <v>42829</v>
      </c>
      <c r="D2047" s="315" t="s">
        <v>895</v>
      </c>
      <c r="E2047" s="315">
        <v>42829</v>
      </c>
      <c r="F2047" s="249" t="s">
        <v>494</v>
      </c>
      <c r="G2047" s="314" t="s">
        <v>1219</v>
      </c>
      <c r="H2047" s="473" t="s">
        <v>1218</v>
      </c>
      <c r="I2047" s="307"/>
      <c r="J2047" s="307"/>
      <c r="K2047" s="532">
        <v>1786400</v>
      </c>
      <c r="L2047" s="534" t="s">
        <v>223</v>
      </c>
      <c r="M2047" s="534" t="s">
        <v>259</v>
      </c>
      <c r="N2047" s="525" t="str">
        <f>IF(AND('331-CT'!$E$7=TH!H2047,OR(L2047="331",M2047="331")),"331",IF(AND(OR(L2047="131",M2047="131"),H2047='131-CT'!$E$7),"131",""))</f>
        <v/>
      </c>
      <c r="O2047" s="525" t="str">
        <f>IF(AND($B2047&gt;='111'!$N$11,$B2047&lt;='111'!$O$11,OR($L2047=$O$7,$M2047=$O$7)),"x","")</f>
        <v/>
      </c>
      <c r="P2047" s="525" t="str">
        <f>IF(AND($L2047=$O$7,$B2047&lt;'111'!$N$11),"x","")</f>
        <v/>
      </c>
      <c r="Q2047" s="525" t="str">
        <f>IF(AND($M2047=$O$7,$B2047&lt;'111'!$N$11),"x","")</f>
        <v/>
      </c>
      <c r="R2047" s="525" t="str">
        <f>IF(ISERROR(FIND('112'!$M$9,G2047,1)),"",IF((AND(FIND('112'!$M$9,G2047,1)&gt;=1,$B2047&gt;='112'!$N$8,$B2047&lt;='112'!$O$8,OR($L2047='112'!$I$6,$M2047='112'!$I$6))),"x",""))</f>
        <v/>
      </c>
      <c r="S2047" s="525" t="str">
        <f>IF(ISERROR(FIND('112'!$M$9,G2047,1)),"",IF((AND(LEFT(G2047,2)=LEFT('112'!$M$9,2),B2047&lt;'112'!$N$8,$L2047='112'!$I$6)),"x",""))</f>
        <v/>
      </c>
      <c r="T2047" s="525" t="str">
        <f>IF(ISERROR(FIND('112'!$M$9,G2047,1)),"",IF((AND(RIGHT(G2047,2)=RIGHT('112'!$M$9,2),B2047&lt;'112'!$N$8,$M2047='112'!$I$6)),"x",""))</f>
        <v/>
      </c>
      <c r="U2047" s="525" t="str">
        <f>IF(AND(B2047&gt;='IN-NX'!$P$3,B2047&lt;='IN-NX'!$Q$3,'IN-NX'!$D$7=D2047,OR(LEFT(L2047,2)="15",AND(LEFT(M2047,2)&lt;&gt;"15",LEFT(M2047,2)&lt;&gt;"33"))),"x","")</f>
        <v/>
      </c>
      <c r="V2047" s="525" t="str">
        <f>IF(AND(OR(LEFT(TH!L2047,2)="15",LEFT(TH!M2047,2)="15"),'152-CT'!$J$8=TH!F2047),"x","")</f>
        <v/>
      </c>
      <c r="W2047" s="525" t="str">
        <f>IF(AND(OR(LEFT(TH!L2047,2)="15",LEFT(TH!M2047,2)="15"),TK!$E$7=TH!F2047),"x","")</f>
        <v/>
      </c>
      <c r="X2047" s="525" t="str">
        <f>IF(AND('341-CT'!$E$9=H2047,OR(LEFT(L2047,3)=$X$7,LEFT(M2047,3)=$X$7)),"x","")</f>
        <v/>
      </c>
      <c r="Y2047" s="525" t="str">
        <f>IF(OR(TH!L2047=TH!$Y$7,M2047=TH!$Y$7),"x","")</f>
        <v/>
      </c>
      <c r="Z2047" s="525" t="str">
        <f>IF(AND(B2047&lt;=NKC!$N$8,B2047&gt;=NKC!$M$8),"x","")</f>
        <v/>
      </c>
      <c r="AA2047" s="535"/>
      <c r="AC2047" s="503"/>
      <c r="AD2047" s="503"/>
      <c r="AE2047" s="503"/>
      <c r="AF2047" s="503"/>
      <c r="AG2047" s="503"/>
      <c r="AH2047" s="503"/>
    </row>
    <row r="2048" spans="1:34" s="536" customFormat="1" ht="15.75" customHeight="1">
      <c r="A2048" s="517" t="str">
        <f>IF(B2048&lt;&gt;"",IF(AND(B2048&gt;=_TM1,B2048&lt;=_TM2,OR(TH!L2048="1111",TH!M2048="1111")),TH!D2048,""),"")</f>
        <v/>
      </c>
      <c r="B2048" s="531">
        <f t="shared" si="189"/>
        <v>4</v>
      </c>
      <c r="C2048" s="315">
        <f t="shared" si="190"/>
        <v>42830</v>
      </c>
      <c r="D2048" s="315" t="s">
        <v>896</v>
      </c>
      <c r="E2048" s="315">
        <v>42830</v>
      </c>
      <c r="F2048" s="249" t="s">
        <v>274</v>
      </c>
      <c r="G2048" s="314" t="s">
        <v>1095</v>
      </c>
      <c r="H2048" s="473" t="s">
        <v>394</v>
      </c>
      <c r="I2048" s="307">
        <v>541</v>
      </c>
      <c r="J2048" s="307">
        <v>12100</v>
      </c>
      <c r="K2048" s="532">
        <f>ROUND(I2048*J2048,0)</f>
        <v>6546100</v>
      </c>
      <c r="L2048" s="534" t="s">
        <v>223</v>
      </c>
      <c r="M2048" s="534" t="s">
        <v>162</v>
      </c>
      <c r="N2048" s="525" t="str">
        <f>IF(AND('331-CT'!$E$7=TH!H2048,OR(L2048="331",M2048="331")),"331",IF(AND(OR(L2048="131",M2048="131"),H2048='131-CT'!$E$7),"131",""))</f>
        <v/>
      </c>
      <c r="O2048" s="525" t="str">
        <f>IF(AND($B2048&gt;='111'!$N$11,$B2048&lt;='111'!$O$11,OR($L2048=$O$7,$M2048=$O$7)),"x","")</f>
        <v/>
      </c>
      <c r="P2048" s="525" t="str">
        <f>IF(AND($L2048=$O$7,$B2048&lt;'111'!$N$11),"x","")</f>
        <v/>
      </c>
      <c r="Q2048" s="525" t="str">
        <f>IF(AND($M2048=$O$7,$B2048&lt;'111'!$N$11),"x","")</f>
        <v/>
      </c>
      <c r="R2048" s="525" t="str">
        <f>IF(ISERROR(FIND('112'!$M$9,G2048,1)),"",IF((AND(FIND('112'!$M$9,G2048,1)&gt;=1,$B2048&gt;='112'!$N$8,$B2048&lt;='112'!$O$8,OR($L2048='112'!$I$6,$M2048='112'!$I$6))),"x",""))</f>
        <v/>
      </c>
      <c r="S2048" s="525" t="str">
        <f>IF(ISERROR(FIND('112'!$M$9,G2048,1)),"",IF((AND(LEFT(G2048,2)=LEFT('112'!$M$9,2),B2048&lt;'112'!$N$8,$L2048='112'!$I$6)),"x",""))</f>
        <v/>
      </c>
      <c r="T2048" s="525" t="str">
        <f>IF(ISERROR(FIND('112'!$M$9,G2048,1)),"",IF((AND(RIGHT(G2048,2)=RIGHT('112'!$M$9,2),B2048&lt;'112'!$N$8,$M2048='112'!$I$6)),"x",""))</f>
        <v/>
      </c>
      <c r="U2048" s="525" t="str">
        <f>IF(AND(B2048&gt;='IN-NX'!$P$3,B2048&lt;='IN-NX'!$Q$3,'IN-NX'!$D$7=D2048,OR(LEFT(L2048,2)="15",AND(LEFT(M2048,2)&lt;&gt;"15",LEFT(M2048,2)&lt;&gt;"33"))),"x","")</f>
        <v/>
      </c>
      <c r="V2048" s="525" t="str">
        <f>IF(AND(OR(LEFT(TH!L2048,2)="15",LEFT(TH!M2048,2)="15"),'152-CT'!$J$8=TH!F2048),"x","")</f>
        <v/>
      </c>
      <c r="W2048" s="525" t="str">
        <f>IF(AND(OR(LEFT(TH!L2048,2)="15",LEFT(TH!M2048,2)="15"),TK!$E$7=TH!F2048),"x","")</f>
        <v/>
      </c>
      <c r="X2048" s="525" t="str">
        <f>IF(AND('341-CT'!$E$9=H2048,OR(LEFT(L2048,3)=$X$7,LEFT(M2048,3)=$X$7)),"x","")</f>
        <v/>
      </c>
      <c r="Y2048" s="525" t="str">
        <f>IF(OR(TH!L2048=TH!$Y$7,M2048=TH!$Y$7),"x","")</f>
        <v/>
      </c>
      <c r="Z2048" s="525" t="str">
        <f>IF(AND(B2048&lt;=NKC!$N$8,B2048&gt;=NKC!$M$8),"x","")</f>
        <v/>
      </c>
      <c r="AA2048" s="535"/>
      <c r="AC2048" s="503"/>
      <c r="AD2048" s="503"/>
      <c r="AE2048" s="503"/>
      <c r="AF2048" s="503"/>
      <c r="AG2048" s="503"/>
      <c r="AH2048" s="503"/>
    </row>
    <row r="2049" spans="1:34" s="536" customFormat="1" ht="15.75" customHeight="1">
      <c r="A2049" s="517" t="str">
        <f>IF(B2049&lt;&gt;"",IF(AND(B2049&gt;=_TM1,B2049&lt;=_TM2,OR(TH!L2049="1111",TH!M2049="1111")),TH!D2049,""),"")</f>
        <v/>
      </c>
      <c r="B2049" s="531">
        <f t="shared" si="189"/>
        <v>4</v>
      </c>
      <c r="C2049" s="315">
        <f t="shared" si="190"/>
        <v>42830</v>
      </c>
      <c r="D2049" s="315" t="s">
        <v>896</v>
      </c>
      <c r="E2049" s="315">
        <v>42830</v>
      </c>
      <c r="F2049" s="249" t="s">
        <v>501</v>
      </c>
      <c r="G2049" s="314" t="s">
        <v>1095</v>
      </c>
      <c r="H2049" s="473" t="s">
        <v>394</v>
      </c>
      <c r="I2049" s="307"/>
      <c r="J2049" s="307"/>
      <c r="K2049" s="532">
        <v>654610</v>
      </c>
      <c r="L2049" s="534" t="s">
        <v>223</v>
      </c>
      <c r="M2049" s="534" t="s">
        <v>259</v>
      </c>
      <c r="N2049" s="525" t="str">
        <f>IF(AND('331-CT'!$E$7=TH!H2049,OR(L2049="331",M2049="331")),"331",IF(AND(OR(L2049="131",M2049="131"),H2049='131-CT'!$E$7),"131",""))</f>
        <v/>
      </c>
      <c r="O2049" s="525" t="str">
        <f>IF(AND($B2049&gt;='111'!$N$11,$B2049&lt;='111'!$O$11,OR($L2049=$O$7,$M2049=$O$7)),"x","")</f>
        <v/>
      </c>
      <c r="P2049" s="525" t="str">
        <f>IF(AND($L2049=$O$7,$B2049&lt;'111'!$N$11),"x","")</f>
        <v/>
      </c>
      <c r="Q2049" s="525" t="str">
        <f>IF(AND($M2049=$O$7,$B2049&lt;'111'!$N$11),"x","")</f>
        <v/>
      </c>
      <c r="R2049" s="525" t="str">
        <f>IF(ISERROR(FIND('112'!$M$9,G2049,1)),"",IF((AND(FIND('112'!$M$9,G2049,1)&gt;=1,$B2049&gt;='112'!$N$8,$B2049&lt;='112'!$O$8,OR($L2049='112'!$I$6,$M2049='112'!$I$6))),"x",""))</f>
        <v/>
      </c>
      <c r="S2049" s="525" t="str">
        <f>IF(ISERROR(FIND('112'!$M$9,G2049,1)),"",IF((AND(LEFT(G2049,2)=LEFT('112'!$M$9,2),B2049&lt;'112'!$N$8,$L2049='112'!$I$6)),"x",""))</f>
        <v/>
      </c>
      <c r="T2049" s="525" t="str">
        <f>IF(ISERROR(FIND('112'!$M$9,G2049,1)),"",IF((AND(RIGHT(G2049,2)=RIGHT('112'!$M$9,2),B2049&lt;'112'!$N$8,$M2049='112'!$I$6)),"x",""))</f>
        <v/>
      </c>
      <c r="U2049" s="525" t="str">
        <f>IF(AND(B2049&gt;='IN-NX'!$P$3,B2049&lt;='IN-NX'!$Q$3,'IN-NX'!$D$7=D2049,OR(LEFT(L2049,2)="15",AND(LEFT(M2049,2)&lt;&gt;"15",LEFT(M2049,2)&lt;&gt;"33"))),"x","")</f>
        <v/>
      </c>
      <c r="V2049" s="525" t="str">
        <f>IF(AND(OR(LEFT(TH!L2049,2)="15",LEFT(TH!M2049,2)="15"),'152-CT'!$J$8=TH!F2049),"x","")</f>
        <v/>
      </c>
      <c r="W2049" s="525" t="str">
        <f>IF(AND(OR(LEFT(TH!L2049,2)="15",LEFT(TH!M2049,2)="15"),TK!$E$7=TH!F2049),"x","")</f>
        <v/>
      </c>
      <c r="X2049" s="525" t="str">
        <f>IF(AND('341-CT'!$E$9=H2049,OR(LEFT(L2049,3)=$X$7,LEFT(M2049,3)=$X$7)),"x","")</f>
        <v/>
      </c>
      <c r="Y2049" s="525" t="str">
        <f>IF(OR(TH!L2049=TH!$Y$7,M2049=TH!$Y$7),"x","")</f>
        <v/>
      </c>
      <c r="Z2049" s="525" t="str">
        <f>IF(AND(B2049&lt;=NKC!$N$8,B2049&gt;=NKC!$M$8),"x","")</f>
        <v/>
      </c>
      <c r="AA2049" s="535"/>
      <c r="AC2049" s="503"/>
      <c r="AD2049" s="503"/>
      <c r="AE2049" s="503"/>
      <c r="AF2049" s="503"/>
      <c r="AG2049" s="503"/>
      <c r="AH2049" s="503"/>
    </row>
    <row r="2050" spans="1:34" s="536" customFormat="1" ht="15.75" customHeight="1">
      <c r="A2050" s="517" t="str">
        <f>IF(B2050&lt;&gt;"",IF(AND(B2050&gt;=_TM1,B2050&lt;=_TM2,OR(TH!L2050="1111",TH!M2050="1111")),TH!D2050,""),"")</f>
        <v/>
      </c>
      <c r="B2050" s="531">
        <f t="shared" si="189"/>
        <v>4</v>
      </c>
      <c r="C2050" s="315">
        <f t="shared" si="190"/>
        <v>42832</v>
      </c>
      <c r="D2050" s="315" t="s">
        <v>962</v>
      </c>
      <c r="E2050" s="315">
        <v>42832</v>
      </c>
      <c r="F2050" s="249" t="s">
        <v>505</v>
      </c>
      <c r="G2050" s="314" t="s">
        <v>1077</v>
      </c>
      <c r="H2050" s="473" t="s">
        <v>1071</v>
      </c>
      <c r="I2050" s="307">
        <v>520</v>
      </c>
      <c r="J2050" s="307">
        <v>32350</v>
      </c>
      <c r="K2050" s="532">
        <f>ROUND(I2050*J2050,0)</f>
        <v>16822000</v>
      </c>
      <c r="L2050" s="534" t="s">
        <v>292</v>
      </c>
      <c r="M2050" s="534" t="s">
        <v>8</v>
      </c>
      <c r="N2050" s="525" t="str">
        <f>IF(AND('331-CT'!$E$7=TH!H2050,OR(L2050="331",M2050="331")),"331",IF(AND(OR(L2050="131",M2050="131"),H2050='131-CT'!$E$7),"131",""))</f>
        <v/>
      </c>
      <c r="O2050" s="525" t="str">
        <f>IF(AND($B2050&gt;='111'!$N$11,$B2050&lt;='111'!$O$11,OR($L2050=$O$7,$M2050=$O$7)),"x","")</f>
        <v/>
      </c>
      <c r="P2050" s="525" t="str">
        <f>IF(AND($L2050=$O$7,$B2050&lt;'111'!$N$11),"x","")</f>
        <v/>
      </c>
      <c r="Q2050" s="525" t="str">
        <f>IF(AND($M2050=$O$7,$B2050&lt;'111'!$N$11),"x","")</f>
        <v/>
      </c>
      <c r="R2050" s="525" t="str">
        <f>IF(ISERROR(FIND('112'!$M$9,G2050,1)),"",IF((AND(FIND('112'!$M$9,G2050,1)&gt;=1,$B2050&gt;='112'!$N$8,$B2050&lt;='112'!$O$8,OR($L2050='112'!$I$6,$M2050='112'!$I$6))),"x",""))</f>
        <v/>
      </c>
      <c r="S2050" s="525" t="str">
        <f>IF(ISERROR(FIND('112'!$M$9,G2050,1)),"",IF((AND(LEFT(G2050,2)=LEFT('112'!$M$9,2),B2050&lt;'112'!$N$8,$L2050='112'!$I$6)),"x",""))</f>
        <v/>
      </c>
      <c r="T2050" s="525" t="str">
        <f>IF(ISERROR(FIND('112'!$M$9,G2050,1)),"",IF((AND(RIGHT(G2050,2)=RIGHT('112'!$M$9,2),B2050&lt;'112'!$N$8,$M2050='112'!$I$6)),"x",""))</f>
        <v/>
      </c>
      <c r="U2050" s="525" t="str">
        <f>IF(AND(B2050&gt;='IN-NX'!$P$3,B2050&lt;='IN-NX'!$Q$3,'IN-NX'!$D$7=D2050,OR(LEFT(L2050,2)="15",AND(LEFT(M2050,2)&lt;&gt;"15",LEFT(M2050,2)&lt;&gt;"33"))),"x","")</f>
        <v/>
      </c>
      <c r="V2050" s="525" t="str">
        <f>IF(AND(OR(LEFT(TH!L2050,2)="15",LEFT(TH!M2050,2)="15"),'152-CT'!$J$8=TH!F2050),"x","")</f>
        <v/>
      </c>
      <c r="W2050" s="525" t="str">
        <f>IF(AND(OR(LEFT(TH!L2050,2)="15",LEFT(TH!M2050,2)="15"),TK!$E$7=TH!F2050),"x","")</f>
        <v/>
      </c>
      <c r="X2050" s="525" t="str">
        <f>IF(AND('341-CT'!$E$9=H2050,OR(LEFT(L2050,3)=$X$7,LEFT(M2050,3)=$X$7)),"x","")</f>
        <v/>
      </c>
      <c r="Y2050" s="525" t="str">
        <f>IF(OR(TH!L2050=TH!$Y$7,M2050=TH!$Y$7),"x","")</f>
        <v/>
      </c>
      <c r="Z2050" s="525" t="str">
        <f>IF(AND(B2050&lt;=NKC!$N$8,B2050&gt;=NKC!$M$8),"x","")</f>
        <v/>
      </c>
      <c r="AA2050" s="535">
        <v>2</v>
      </c>
      <c r="AC2050" s="503"/>
      <c r="AD2050" s="503"/>
      <c r="AE2050" s="503"/>
      <c r="AF2050" s="503"/>
      <c r="AG2050" s="503"/>
      <c r="AH2050" s="503"/>
    </row>
    <row r="2051" spans="1:34" s="536" customFormat="1" ht="15.75" customHeight="1">
      <c r="A2051" s="517" t="str">
        <f>IF(B2051&lt;&gt;"",IF(AND(B2051&gt;=_TM1,B2051&lt;=_TM2,OR(TH!L2051="1111",TH!M2051="1111")),TH!D2051,""),"")</f>
        <v/>
      </c>
      <c r="B2051" s="531">
        <f t="shared" si="189"/>
        <v>4</v>
      </c>
      <c r="C2051" s="315">
        <f t="shared" si="190"/>
        <v>42832</v>
      </c>
      <c r="D2051" s="315" t="s">
        <v>962</v>
      </c>
      <c r="E2051" s="315">
        <v>42832</v>
      </c>
      <c r="F2051" s="247" t="s">
        <v>1002</v>
      </c>
      <c r="G2051" s="314" t="s">
        <v>1077</v>
      </c>
      <c r="H2051" s="473" t="s">
        <v>1071</v>
      </c>
      <c r="I2051" s="307"/>
      <c r="J2051" s="307"/>
      <c r="K2051" s="532">
        <v>1682200</v>
      </c>
      <c r="L2051" s="713" t="s">
        <v>9</v>
      </c>
      <c r="M2051" s="534" t="s">
        <v>8</v>
      </c>
      <c r="N2051" s="525" t="str">
        <f>IF(AND('331-CT'!$E$7=TH!H2051,OR(L2051="331",M2051="331")),"331",IF(AND(OR(L2051="131",M2051="131"),H2051='131-CT'!$E$7),"131",""))</f>
        <v/>
      </c>
      <c r="O2051" s="525" t="str">
        <f>IF(AND($B2051&gt;='111'!$N$11,$B2051&lt;='111'!$O$11,OR($L2051=$O$7,$M2051=$O$7)),"x","")</f>
        <v/>
      </c>
      <c r="P2051" s="525" t="str">
        <f>IF(AND($L2051=$O$7,$B2051&lt;'111'!$N$11),"x","")</f>
        <v/>
      </c>
      <c r="Q2051" s="525" t="str">
        <f>IF(AND($M2051=$O$7,$B2051&lt;'111'!$N$11),"x","")</f>
        <v/>
      </c>
      <c r="R2051" s="525" t="str">
        <f>IF(ISERROR(FIND('112'!$M$9,G2051,1)),"",IF((AND(FIND('112'!$M$9,G2051,1)&gt;=1,$B2051&gt;='112'!$N$8,$B2051&lt;='112'!$O$8,OR($L2051='112'!$I$6,$M2051='112'!$I$6))),"x",""))</f>
        <v/>
      </c>
      <c r="S2051" s="525" t="str">
        <f>IF(ISERROR(FIND('112'!$M$9,G2051,1)),"",IF((AND(LEFT(G2051,2)=LEFT('112'!$M$9,2),B2051&lt;'112'!$N$8,$L2051='112'!$I$6)),"x",""))</f>
        <v/>
      </c>
      <c r="T2051" s="525" t="str">
        <f>IF(ISERROR(FIND('112'!$M$9,G2051,1)),"",IF((AND(RIGHT(G2051,2)=RIGHT('112'!$M$9,2),B2051&lt;'112'!$N$8,$M2051='112'!$I$6)),"x",""))</f>
        <v/>
      </c>
      <c r="U2051" s="525" t="str">
        <f>IF(AND(B2051&gt;='IN-NX'!$P$3,B2051&lt;='IN-NX'!$Q$3,'IN-NX'!$D$7=D2051,OR(LEFT(L2051,2)="15",AND(LEFT(M2051,2)&lt;&gt;"15",LEFT(M2051,2)&lt;&gt;"33"))),"x","")</f>
        <v/>
      </c>
      <c r="V2051" s="525" t="str">
        <f>IF(AND(OR(LEFT(TH!L2051,2)="15",LEFT(TH!M2051,2)="15"),'152-CT'!$J$8=TH!F2051),"x","")</f>
        <v/>
      </c>
      <c r="W2051" s="525" t="str">
        <f>IF(AND(OR(LEFT(TH!L2051,2)="15",LEFT(TH!M2051,2)="15"),TK!$E$7=TH!F2051),"x","")</f>
        <v/>
      </c>
      <c r="X2051" s="525" t="str">
        <f>IF(AND('341-CT'!$E$9=H2051,OR(LEFT(L2051,3)=$X$7,LEFT(M2051,3)=$X$7)),"x","")</f>
        <v/>
      </c>
      <c r="Y2051" s="525" t="str">
        <f>IF(OR(TH!L2051=TH!$Y$7,M2051=TH!$Y$7),"x","")</f>
        <v/>
      </c>
      <c r="Z2051" s="525" t="str">
        <f>IF(AND(B2051&lt;=NKC!$N$8,B2051&gt;=NKC!$M$8),"x","")</f>
        <v/>
      </c>
      <c r="AA2051" s="535">
        <v>2</v>
      </c>
      <c r="AC2051" s="503"/>
      <c r="AD2051" s="503"/>
      <c r="AE2051" s="503"/>
      <c r="AF2051" s="503"/>
      <c r="AG2051" s="503"/>
      <c r="AH2051" s="503"/>
    </row>
    <row r="2052" spans="1:34" s="536" customFormat="1" ht="15.75" customHeight="1">
      <c r="A2052" s="517" t="str">
        <f>IF(B2052&lt;&gt;"",IF(AND(B2052&gt;=_TM1,B2052&lt;=_TM2,OR(TH!L2052="1111",TH!M2052="1111")),TH!D2052,""),"")</f>
        <v/>
      </c>
      <c r="B2052" s="531">
        <f t="shared" si="189"/>
        <v>4</v>
      </c>
      <c r="C2052" s="315">
        <f t="shared" si="190"/>
        <v>42832</v>
      </c>
      <c r="D2052" s="315" t="s">
        <v>897</v>
      </c>
      <c r="E2052" s="315">
        <v>42832</v>
      </c>
      <c r="F2052" s="249" t="s">
        <v>1008</v>
      </c>
      <c r="G2052" s="314" t="s">
        <v>1096</v>
      </c>
      <c r="H2052" s="472" t="s">
        <v>289</v>
      </c>
      <c r="I2052" s="307">
        <v>4800</v>
      </c>
      <c r="J2052" s="307">
        <v>9100</v>
      </c>
      <c r="K2052" s="532">
        <f>ROUND(I2052*J2052,0)</f>
        <v>43680000</v>
      </c>
      <c r="L2052" s="534" t="s">
        <v>223</v>
      </c>
      <c r="M2052" s="534" t="s">
        <v>162</v>
      </c>
      <c r="N2052" s="525" t="str">
        <f>IF(AND('331-CT'!$E$7=TH!H2052,OR(L2052="331",M2052="331")),"331",IF(AND(OR(L2052="131",M2052="131"),H2052='131-CT'!$E$7),"131",""))</f>
        <v/>
      </c>
      <c r="O2052" s="525" t="str">
        <f>IF(AND($B2052&gt;='111'!$N$11,$B2052&lt;='111'!$O$11,OR($L2052=$O$7,$M2052=$O$7)),"x","")</f>
        <v/>
      </c>
      <c r="P2052" s="525" t="str">
        <f>IF(AND($L2052=$O$7,$B2052&lt;'111'!$N$11),"x","")</f>
        <v/>
      </c>
      <c r="Q2052" s="525" t="str">
        <f>IF(AND($M2052=$O$7,$B2052&lt;'111'!$N$11),"x","")</f>
        <v/>
      </c>
      <c r="R2052" s="525" t="str">
        <f>IF(ISERROR(FIND('112'!$M$9,G2052,1)),"",IF((AND(FIND('112'!$M$9,G2052,1)&gt;=1,$B2052&gt;='112'!$N$8,$B2052&lt;='112'!$O$8,OR($L2052='112'!$I$6,$M2052='112'!$I$6))),"x",""))</f>
        <v/>
      </c>
      <c r="S2052" s="525" t="str">
        <f>IF(ISERROR(FIND('112'!$M$9,G2052,1)),"",IF((AND(LEFT(G2052,2)=LEFT('112'!$M$9,2),B2052&lt;'112'!$N$8,$L2052='112'!$I$6)),"x",""))</f>
        <v/>
      </c>
      <c r="T2052" s="525" t="str">
        <f>IF(ISERROR(FIND('112'!$M$9,G2052,1)),"",IF((AND(RIGHT(G2052,2)=RIGHT('112'!$M$9,2),B2052&lt;'112'!$N$8,$M2052='112'!$I$6)),"x",""))</f>
        <v/>
      </c>
      <c r="U2052" s="525" t="str">
        <f>IF(AND(B2052&gt;='IN-NX'!$P$3,B2052&lt;='IN-NX'!$Q$3,'IN-NX'!$D$7=D2052,OR(LEFT(L2052,2)="15",AND(LEFT(M2052,2)&lt;&gt;"15",LEFT(M2052,2)&lt;&gt;"33"))),"x","")</f>
        <v/>
      </c>
      <c r="V2052" s="525" t="str">
        <f>IF(AND(OR(LEFT(TH!L2052,2)="15",LEFT(TH!M2052,2)="15"),'152-CT'!$J$8=TH!F2052),"x","")</f>
        <v/>
      </c>
      <c r="W2052" s="525" t="str">
        <f>IF(AND(OR(LEFT(TH!L2052,2)="15",LEFT(TH!M2052,2)="15"),TK!$E$7=TH!F2052),"x","")</f>
        <v/>
      </c>
      <c r="X2052" s="525" t="str">
        <f>IF(AND('341-CT'!$E$9=H2052,OR(LEFT(L2052,3)=$X$7,LEFT(M2052,3)=$X$7)),"x","")</f>
        <v/>
      </c>
      <c r="Y2052" s="525" t="str">
        <f>IF(OR(TH!L2052=TH!$Y$7,M2052=TH!$Y$7),"x","")</f>
        <v/>
      </c>
      <c r="Z2052" s="525" t="str">
        <f>IF(AND(B2052&lt;=NKC!$N$8,B2052&gt;=NKC!$M$8),"x","")</f>
        <v/>
      </c>
      <c r="AA2052" s="535"/>
      <c r="AC2052" s="503"/>
      <c r="AD2052" s="503"/>
      <c r="AE2052" s="503"/>
      <c r="AF2052" s="503"/>
      <c r="AG2052" s="503"/>
      <c r="AH2052" s="503"/>
    </row>
    <row r="2053" spans="1:34" s="536" customFormat="1" ht="15.75" customHeight="1">
      <c r="A2053" s="517" t="str">
        <f>IF(B2053&lt;&gt;"",IF(AND(B2053&gt;=_TM1,B2053&lt;=_TM2,OR(TH!L2053="1111",TH!M2053="1111")),TH!D2053,""),"")</f>
        <v/>
      </c>
      <c r="B2053" s="531">
        <f t="shared" si="189"/>
        <v>4</v>
      </c>
      <c r="C2053" s="315">
        <f t="shared" si="190"/>
        <v>42832</v>
      </c>
      <c r="D2053" s="315" t="s">
        <v>897</v>
      </c>
      <c r="E2053" s="315">
        <v>42832</v>
      </c>
      <c r="F2053" s="249" t="s">
        <v>494</v>
      </c>
      <c r="G2053" s="314" t="s">
        <v>1096</v>
      </c>
      <c r="H2053" s="472" t="s">
        <v>289</v>
      </c>
      <c r="I2053" s="307"/>
      <c r="J2053" s="307"/>
      <c r="K2053" s="532">
        <v>4368000</v>
      </c>
      <c r="L2053" s="534" t="s">
        <v>223</v>
      </c>
      <c r="M2053" s="534" t="s">
        <v>259</v>
      </c>
      <c r="N2053" s="525" t="str">
        <f>IF(AND('331-CT'!$E$7=TH!H2053,OR(L2053="331",M2053="331")),"331",IF(AND(OR(L2053="131",M2053="131"),H2053='131-CT'!$E$7),"131",""))</f>
        <v/>
      </c>
      <c r="O2053" s="525" t="str">
        <f>IF(AND($B2053&gt;='111'!$N$11,$B2053&lt;='111'!$O$11,OR($L2053=$O$7,$M2053=$O$7)),"x","")</f>
        <v/>
      </c>
      <c r="P2053" s="525" t="str">
        <f>IF(AND($L2053=$O$7,$B2053&lt;'111'!$N$11),"x","")</f>
        <v/>
      </c>
      <c r="Q2053" s="525" t="str">
        <f>IF(AND($M2053=$O$7,$B2053&lt;'111'!$N$11),"x","")</f>
        <v/>
      </c>
      <c r="R2053" s="525" t="str">
        <f>IF(ISERROR(FIND('112'!$M$9,G2053,1)),"",IF((AND(FIND('112'!$M$9,G2053,1)&gt;=1,$B2053&gt;='112'!$N$8,$B2053&lt;='112'!$O$8,OR($L2053='112'!$I$6,$M2053='112'!$I$6))),"x",""))</f>
        <v/>
      </c>
      <c r="S2053" s="525" t="str">
        <f>IF(ISERROR(FIND('112'!$M$9,G2053,1)),"",IF((AND(LEFT(G2053,2)=LEFT('112'!$M$9,2),B2053&lt;'112'!$N$8,$L2053='112'!$I$6)),"x",""))</f>
        <v/>
      </c>
      <c r="T2053" s="525" t="str">
        <f>IF(ISERROR(FIND('112'!$M$9,G2053,1)),"",IF((AND(RIGHT(G2053,2)=RIGHT('112'!$M$9,2),B2053&lt;'112'!$N$8,$M2053='112'!$I$6)),"x",""))</f>
        <v/>
      </c>
      <c r="U2053" s="525" t="str">
        <f>IF(AND(B2053&gt;='IN-NX'!$P$3,B2053&lt;='IN-NX'!$Q$3,'IN-NX'!$D$7=D2053,OR(LEFT(L2053,2)="15",AND(LEFT(M2053,2)&lt;&gt;"15",LEFT(M2053,2)&lt;&gt;"33"))),"x","")</f>
        <v/>
      </c>
      <c r="V2053" s="525" t="str">
        <f>IF(AND(OR(LEFT(TH!L2053,2)="15",LEFT(TH!M2053,2)="15"),'152-CT'!$J$8=TH!F2053),"x","")</f>
        <v/>
      </c>
      <c r="W2053" s="525" t="str">
        <f>IF(AND(OR(LEFT(TH!L2053,2)="15",LEFT(TH!M2053,2)="15"),TK!$E$7=TH!F2053),"x","")</f>
        <v/>
      </c>
      <c r="X2053" s="525" t="str">
        <f>IF(AND('341-CT'!$E$9=H2053,OR(LEFT(L2053,3)=$X$7,LEFT(M2053,3)=$X$7)),"x","")</f>
        <v/>
      </c>
      <c r="Y2053" s="525" t="str">
        <f>IF(OR(TH!L2053=TH!$Y$7,M2053=TH!$Y$7),"x","")</f>
        <v/>
      </c>
      <c r="Z2053" s="525" t="str">
        <f>IF(AND(B2053&lt;=NKC!$N$8,B2053&gt;=NKC!$M$8),"x","")</f>
        <v/>
      </c>
      <c r="AA2053" s="535"/>
      <c r="AC2053" s="503"/>
      <c r="AD2053" s="503"/>
      <c r="AE2053" s="503"/>
      <c r="AF2053" s="503"/>
      <c r="AG2053" s="503"/>
      <c r="AH2053" s="503"/>
    </row>
    <row r="2054" spans="1:34" s="536" customFormat="1" ht="15.75" customHeight="1">
      <c r="A2054" s="517" t="str">
        <f>IF(B2054&lt;&gt;"",IF(AND(B2054&gt;=_TM1,B2054&lt;=_TM2,OR(TH!L2054="1111",TH!M2054="1111")),TH!D2054,""),"")</f>
        <v/>
      </c>
      <c r="B2054" s="531">
        <f t="shared" si="189"/>
        <v>4</v>
      </c>
      <c r="C2054" s="315">
        <f t="shared" si="190"/>
        <v>42832</v>
      </c>
      <c r="D2054" s="315" t="s">
        <v>898</v>
      </c>
      <c r="E2054" s="315">
        <v>42832</v>
      </c>
      <c r="F2054" s="249" t="s">
        <v>500</v>
      </c>
      <c r="G2054" s="314" t="s">
        <v>1097</v>
      </c>
      <c r="H2054" s="474" t="s">
        <v>280</v>
      </c>
      <c r="I2054" s="307">
        <v>300</v>
      </c>
      <c r="J2054" s="307">
        <v>8030</v>
      </c>
      <c r="K2054" s="532">
        <f>ROUND(I2054*J2054,0)</f>
        <v>2409000</v>
      </c>
      <c r="L2054" s="534" t="s">
        <v>223</v>
      </c>
      <c r="M2054" s="534" t="s">
        <v>162</v>
      </c>
      <c r="N2054" s="525" t="str">
        <f>IF(AND('331-CT'!$E$7=TH!H2054,OR(L2054="331",M2054="331")),"331",IF(AND(OR(L2054="131",M2054="131"),H2054='131-CT'!$E$7),"131",""))</f>
        <v/>
      </c>
      <c r="O2054" s="525" t="str">
        <f>IF(AND($B2054&gt;='111'!$N$11,$B2054&lt;='111'!$O$11,OR($L2054=$O$7,$M2054=$O$7)),"x","")</f>
        <v/>
      </c>
      <c r="P2054" s="525" t="str">
        <f>IF(AND($L2054=$O$7,$B2054&lt;'111'!$N$11),"x","")</f>
        <v/>
      </c>
      <c r="Q2054" s="525" t="str">
        <f>IF(AND($M2054=$O$7,$B2054&lt;'111'!$N$11),"x","")</f>
        <v/>
      </c>
      <c r="R2054" s="525" t="str">
        <f>IF(ISERROR(FIND('112'!$M$9,G2054,1)),"",IF((AND(FIND('112'!$M$9,G2054,1)&gt;=1,$B2054&gt;='112'!$N$8,$B2054&lt;='112'!$O$8,OR($L2054='112'!$I$6,$M2054='112'!$I$6))),"x",""))</f>
        <v/>
      </c>
      <c r="S2054" s="525" t="str">
        <f>IF(ISERROR(FIND('112'!$M$9,G2054,1)),"",IF((AND(LEFT(G2054,2)=LEFT('112'!$M$9,2),B2054&lt;'112'!$N$8,$L2054='112'!$I$6)),"x",""))</f>
        <v/>
      </c>
      <c r="T2054" s="525" t="str">
        <f>IF(ISERROR(FIND('112'!$M$9,G2054,1)),"",IF((AND(RIGHT(G2054,2)=RIGHT('112'!$M$9,2),B2054&lt;'112'!$N$8,$M2054='112'!$I$6)),"x",""))</f>
        <v/>
      </c>
      <c r="U2054" s="525" t="str">
        <f>IF(AND(B2054&gt;='IN-NX'!$P$3,B2054&lt;='IN-NX'!$Q$3,'IN-NX'!$D$7=D2054,OR(LEFT(L2054,2)="15",AND(LEFT(M2054,2)&lt;&gt;"15",LEFT(M2054,2)&lt;&gt;"33"))),"x","")</f>
        <v/>
      </c>
      <c r="V2054" s="525" t="str">
        <f>IF(AND(OR(LEFT(TH!L2054,2)="15",LEFT(TH!M2054,2)="15"),'152-CT'!$J$8=TH!F2054),"x","")</f>
        <v/>
      </c>
      <c r="W2054" s="525" t="str">
        <f>IF(AND(OR(LEFT(TH!L2054,2)="15",LEFT(TH!M2054,2)="15"),TK!$E$7=TH!F2054),"x","")</f>
        <v/>
      </c>
      <c r="X2054" s="525" t="str">
        <f>IF(AND('341-CT'!$E$9=H2054,OR(LEFT(L2054,3)=$X$7,LEFT(M2054,3)=$X$7)),"x","")</f>
        <v/>
      </c>
      <c r="Y2054" s="525" t="str">
        <f>IF(OR(TH!L2054=TH!$Y$7,M2054=TH!$Y$7),"x","")</f>
        <v/>
      </c>
      <c r="Z2054" s="525" t="str">
        <f>IF(AND(B2054&lt;=NKC!$N$8,B2054&gt;=NKC!$M$8),"x","")</f>
        <v/>
      </c>
      <c r="AA2054" s="535"/>
      <c r="AC2054" s="503"/>
      <c r="AD2054" s="503"/>
      <c r="AE2054" s="503"/>
      <c r="AF2054" s="503"/>
      <c r="AG2054" s="503"/>
      <c r="AH2054" s="503"/>
    </row>
    <row r="2055" spans="1:34" s="536" customFormat="1" ht="15.75" customHeight="1">
      <c r="A2055" s="517" t="str">
        <f>IF(B2055&lt;&gt;"",IF(AND(B2055&gt;=_TM1,B2055&lt;=_TM2,OR(TH!L2055="1111",TH!M2055="1111")),TH!D2055,""),"")</f>
        <v/>
      </c>
      <c r="B2055" s="531">
        <f t="shared" ref="B2055:B2118" si="194">IF(C2055&lt;&gt;"",MONTH(C2055),"")</f>
        <v>4</v>
      </c>
      <c r="C2055" s="315">
        <f t="shared" ref="C2055:C2118" si="195">E2055</f>
        <v>42832</v>
      </c>
      <c r="D2055" s="315" t="s">
        <v>898</v>
      </c>
      <c r="E2055" s="315">
        <v>42832</v>
      </c>
      <c r="F2055" s="249" t="s">
        <v>494</v>
      </c>
      <c r="G2055" s="314" t="s">
        <v>1097</v>
      </c>
      <c r="H2055" s="474" t="s">
        <v>280</v>
      </c>
      <c r="I2055" s="307"/>
      <c r="J2055" s="307"/>
      <c r="K2055" s="532">
        <v>240900</v>
      </c>
      <c r="L2055" s="534" t="s">
        <v>223</v>
      </c>
      <c r="M2055" s="534" t="s">
        <v>259</v>
      </c>
      <c r="N2055" s="525" t="str">
        <f>IF(AND('331-CT'!$E$7=TH!H2055,OR(L2055="331",M2055="331")),"331",IF(AND(OR(L2055="131",M2055="131"),H2055='131-CT'!$E$7),"131",""))</f>
        <v/>
      </c>
      <c r="O2055" s="525" t="str">
        <f>IF(AND($B2055&gt;='111'!$N$11,$B2055&lt;='111'!$O$11,OR($L2055=$O$7,$M2055=$O$7)),"x","")</f>
        <v/>
      </c>
      <c r="P2055" s="525" t="str">
        <f>IF(AND($L2055=$O$7,$B2055&lt;'111'!$N$11),"x","")</f>
        <v/>
      </c>
      <c r="Q2055" s="525" t="str">
        <f>IF(AND($M2055=$O$7,$B2055&lt;'111'!$N$11),"x","")</f>
        <v/>
      </c>
      <c r="R2055" s="525" t="str">
        <f>IF(ISERROR(FIND('112'!$M$9,G2055,1)),"",IF((AND(FIND('112'!$M$9,G2055,1)&gt;=1,$B2055&gt;='112'!$N$8,$B2055&lt;='112'!$O$8,OR($L2055='112'!$I$6,$M2055='112'!$I$6))),"x",""))</f>
        <v/>
      </c>
      <c r="S2055" s="525" t="str">
        <f>IF(ISERROR(FIND('112'!$M$9,G2055,1)),"",IF((AND(LEFT(G2055,2)=LEFT('112'!$M$9,2),B2055&lt;'112'!$N$8,$L2055='112'!$I$6)),"x",""))</f>
        <v/>
      </c>
      <c r="T2055" s="525" t="str">
        <f>IF(ISERROR(FIND('112'!$M$9,G2055,1)),"",IF((AND(RIGHT(G2055,2)=RIGHT('112'!$M$9,2),B2055&lt;'112'!$N$8,$M2055='112'!$I$6)),"x",""))</f>
        <v/>
      </c>
      <c r="U2055" s="525" t="str">
        <f>IF(AND(B2055&gt;='IN-NX'!$P$3,B2055&lt;='IN-NX'!$Q$3,'IN-NX'!$D$7=D2055,OR(LEFT(L2055,2)="15",AND(LEFT(M2055,2)&lt;&gt;"15",LEFT(M2055,2)&lt;&gt;"33"))),"x","")</f>
        <v/>
      </c>
      <c r="V2055" s="525" t="str">
        <f>IF(AND(OR(LEFT(TH!L2055,2)="15",LEFT(TH!M2055,2)="15"),'152-CT'!$J$8=TH!F2055),"x","")</f>
        <v/>
      </c>
      <c r="W2055" s="525" t="str">
        <f>IF(AND(OR(LEFT(TH!L2055,2)="15",LEFT(TH!M2055,2)="15"),TK!$E$7=TH!F2055),"x","")</f>
        <v/>
      </c>
      <c r="X2055" s="525" t="str">
        <f>IF(AND('341-CT'!$E$9=H2055,OR(LEFT(L2055,3)=$X$7,LEFT(M2055,3)=$X$7)),"x","")</f>
        <v/>
      </c>
      <c r="Y2055" s="525" t="str">
        <f>IF(OR(TH!L2055=TH!$Y$7,M2055=TH!$Y$7),"x","")</f>
        <v/>
      </c>
      <c r="Z2055" s="525" t="str">
        <f>IF(AND(B2055&lt;=NKC!$N$8,B2055&gt;=NKC!$M$8),"x","")</f>
        <v/>
      </c>
      <c r="AA2055" s="535"/>
      <c r="AC2055" s="503"/>
      <c r="AD2055" s="503"/>
      <c r="AE2055" s="503"/>
      <c r="AF2055" s="503"/>
      <c r="AG2055" s="503"/>
      <c r="AH2055" s="503"/>
    </row>
    <row r="2056" spans="1:34" s="536" customFormat="1" ht="15.75" customHeight="1">
      <c r="A2056" s="517" t="str">
        <f>IF(B2056&lt;&gt;"",IF(AND(B2056&gt;=_TM1,B2056&lt;=_TM2,OR(TH!L2056="1111",TH!M2056="1111")),TH!D2056,""),"")</f>
        <v/>
      </c>
      <c r="B2056" s="531">
        <f t="shared" si="194"/>
        <v>4</v>
      </c>
      <c r="C2056" s="315">
        <f t="shared" si="195"/>
        <v>42833</v>
      </c>
      <c r="D2056" s="315" t="s">
        <v>963</v>
      </c>
      <c r="E2056" s="315">
        <v>42833</v>
      </c>
      <c r="F2056" s="249" t="s">
        <v>622</v>
      </c>
      <c r="G2056" s="314" t="s">
        <v>1029</v>
      </c>
      <c r="H2056" s="473" t="s">
        <v>447</v>
      </c>
      <c r="I2056" s="307">
        <v>20</v>
      </c>
      <c r="J2056" s="307">
        <v>8077</v>
      </c>
      <c r="K2056" s="532">
        <f t="shared" ref="K2056:K2093" si="196">ROUND(I2056*J2056,0)</f>
        <v>161540</v>
      </c>
      <c r="L2056" s="534" t="s">
        <v>292</v>
      </c>
      <c r="M2056" s="534" t="s">
        <v>8</v>
      </c>
      <c r="N2056" s="525" t="str">
        <f>IF(AND('331-CT'!$E$7=TH!H2056,OR(L2056="331",M2056="331")),"331",IF(AND(OR(L2056="131",M2056="131"),H2056='131-CT'!$E$7),"131",""))</f>
        <v/>
      </c>
      <c r="O2056" s="525" t="str">
        <f>IF(AND($B2056&gt;='111'!$N$11,$B2056&lt;='111'!$O$11,OR($L2056=$O$7,$M2056=$O$7)),"x","")</f>
        <v/>
      </c>
      <c r="P2056" s="525" t="str">
        <f>IF(AND($L2056=$O$7,$B2056&lt;'111'!$N$11),"x","")</f>
        <v/>
      </c>
      <c r="Q2056" s="525" t="str">
        <f>IF(AND($M2056=$O$7,$B2056&lt;'111'!$N$11),"x","")</f>
        <v/>
      </c>
      <c r="R2056" s="525" t="str">
        <f>IF(ISERROR(FIND('112'!$M$9,G2056,1)),"",IF((AND(FIND('112'!$M$9,G2056,1)&gt;=1,$B2056&gt;='112'!$N$8,$B2056&lt;='112'!$O$8,OR($L2056='112'!$I$6,$M2056='112'!$I$6))),"x",""))</f>
        <v/>
      </c>
      <c r="S2056" s="525" t="str">
        <f>IF(ISERROR(FIND('112'!$M$9,G2056,1)),"",IF((AND(LEFT(G2056,2)=LEFT('112'!$M$9,2),B2056&lt;'112'!$N$8,$L2056='112'!$I$6)),"x",""))</f>
        <v/>
      </c>
      <c r="T2056" s="525" t="str">
        <f>IF(ISERROR(FIND('112'!$M$9,G2056,1)),"",IF((AND(RIGHT(G2056,2)=RIGHT('112'!$M$9,2),B2056&lt;'112'!$N$8,$M2056='112'!$I$6)),"x",""))</f>
        <v/>
      </c>
      <c r="U2056" s="525" t="str">
        <f>IF(AND(B2056&gt;='IN-NX'!$P$3,B2056&lt;='IN-NX'!$Q$3,'IN-NX'!$D$7=D2056,OR(LEFT(L2056,2)="15",AND(LEFT(M2056,2)&lt;&gt;"15",LEFT(M2056,2)&lt;&gt;"33"))),"x","")</f>
        <v/>
      </c>
      <c r="V2056" s="525" t="str">
        <f>IF(AND(OR(LEFT(TH!L2056,2)="15",LEFT(TH!M2056,2)="15"),'152-CT'!$J$8=TH!F2056),"x","")</f>
        <v/>
      </c>
      <c r="W2056" s="525" t="str">
        <f>IF(AND(OR(LEFT(TH!L2056,2)="15",LEFT(TH!M2056,2)="15"),TK!$E$7=TH!F2056),"x","")</f>
        <v/>
      </c>
      <c r="X2056" s="525" t="str">
        <f>IF(AND('341-CT'!$E$9=H2056,OR(LEFT(L2056,3)=$X$7,LEFT(M2056,3)=$X$7)),"x","")</f>
        <v/>
      </c>
      <c r="Y2056" s="525" t="str">
        <f>IF(OR(TH!L2056=TH!$Y$7,M2056=TH!$Y$7),"x","")</f>
        <v/>
      </c>
      <c r="Z2056" s="525" t="str">
        <f>IF(AND(B2056&lt;=NKC!$N$8,B2056&gt;=NKC!$M$8),"x","")</f>
        <v/>
      </c>
      <c r="AA2056" s="535">
        <v>2</v>
      </c>
      <c r="AC2056" s="503"/>
      <c r="AD2056" s="503"/>
      <c r="AE2056" s="503"/>
    </row>
    <row r="2057" spans="1:34" s="536" customFormat="1" ht="15.75" customHeight="1">
      <c r="A2057" s="517" t="str">
        <f>IF(B2057&lt;&gt;"",IF(AND(B2057&gt;=_TM1,B2057&lt;=_TM2,OR(TH!L2057="1111",TH!M2057="1111")),TH!D2057,""),"")</f>
        <v/>
      </c>
      <c r="B2057" s="531">
        <f t="shared" si="194"/>
        <v>4</v>
      </c>
      <c r="C2057" s="315">
        <f t="shared" si="195"/>
        <v>42833</v>
      </c>
      <c r="D2057" s="315" t="s">
        <v>963</v>
      </c>
      <c r="E2057" s="315">
        <v>42833</v>
      </c>
      <c r="F2057" s="249" t="s">
        <v>614</v>
      </c>
      <c r="G2057" s="314" t="s">
        <v>1029</v>
      </c>
      <c r="H2057" s="473" t="s">
        <v>447</v>
      </c>
      <c r="I2057" s="307">
        <v>20</v>
      </c>
      <c r="J2057" s="307">
        <v>17324</v>
      </c>
      <c r="K2057" s="532">
        <f t="shared" si="196"/>
        <v>346480</v>
      </c>
      <c r="L2057" s="534" t="s">
        <v>292</v>
      </c>
      <c r="M2057" s="534" t="s">
        <v>8</v>
      </c>
      <c r="N2057" s="525" t="str">
        <f>IF(AND('331-CT'!$E$7=TH!H2057,OR(L2057="331",M2057="331")),"331",IF(AND(OR(L2057="131",M2057="131"),H2057='131-CT'!$E$7),"131",""))</f>
        <v/>
      </c>
      <c r="O2057" s="525" t="str">
        <f>IF(AND($B2057&gt;='111'!$N$11,$B2057&lt;='111'!$O$11,OR($L2057=$O$7,$M2057=$O$7)),"x","")</f>
        <v/>
      </c>
      <c r="P2057" s="525" t="str">
        <f>IF(AND($L2057=$O$7,$B2057&lt;'111'!$N$11),"x","")</f>
        <v/>
      </c>
      <c r="Q2057" s="525" t="str">
        <f>IF(AND($M2057=$O$7,$B2057&lt;'111'!$N$11),"x","")</f>
        <v/>
      </c>
      <c r="R2057" s="525" t="str">
        <f>IF(ISERROR(FIND('112'!$M$9,G2057,1)),"",IF((AND(FIND('112'!$M$9,G2057,1)&gt;=1,$B2057&gt;='112'!$N$8,$B2057&lt;='112'!$O$8,OR($L2057='112'!$I$6,$M2057='112'!$I$6))),"x",""))</f>
        <v/>
      </c>
      <c r="S2057" s="525" t="str">
        <f>IF(ISERROR(FIND('112'!$M$9,G2057,1)),"",IF((AND(LEFT(G2057,2)=LEFT('112'!$M$9,2),B2057&lt;'112'!$N$8,$L2057='112'!$I$6)),"x",""))</f>
        <v/>
      </c>
      <c r="T2057" s="525" t="str">
        <f>IF(ISERROR(FIND('112'!$M$9,G2057,1)),"",IF((AND(RIGHT(G2057,2)=RIGHT('112'!$M$9,2),B2057&lt;'112'!$N$8,$M2057='112'!$I$6)),"x",""))</f>
        <v/>
      </c>
      <c r="U2057" s="525" t="str">
        <f>IF(AND(B2057&gt;='IN-NX'!$P$3,B2057&lt;='IN-NX'!$Q$3,'IN-NX'!$D$7=D2057,OR(LEFT(L2057,2)="15",AND(LEFT(M2057,2)&lt;&gt;"15",LEFT(M2057,2)&lt;&gt;"33"))),"x","")</f>
        <v/>
      </c>
      <c r="V2057" s="525" t="str">
        <f>IF(AND(OR(LEFT(TH!L2057,2)="15",LEFT(TH!M2057,2)="15"),'152-CT'!$J$8=TH!F2057),"x","")</f>
        <v/>
      </c>
      <c r="W2057" s="525" t="str">
        <f>IF(AND(OR(LEFT(TH!L2057,2)="15",LEFT(TH!M2057,2)="15"),TK!$E$7=TH!F2057),"x","")</f>
        <v/>
      </c>
      <c r="X2057" s="525" t="str">
        <f>IF(AND('341-CT'!$E$9=H2057,OR(LEFT(L2057,3)=$X$7,LEFT(M2057,3)=$X$7)),"x","")</f>
        <v/>
      </c>
      <c r="Y2057" s="525" t="str">
        <f>IF(OR(TH!L2057=TH!$Y$7,M2057=TH!$Y$7),"x","")</f>
        <v/>
      </c>
      <c r="Z2057" s="525" t="str">
        <f>IF(AND(B2057&lt;=NKC!$N$8,B2057&gt;=NKC!$M$8),"x","")</f>
        <v/>
      </c>
      <c r="AA2057" s="535">
        <v>2</v>
      </c>
      <c r="AC2057" s="503"/>
      <c r="AD2057" s="503"/>
      <c r="AE2057" s="503"/>
    </row>
    <row r="2058" spans="1:34" s="536" customFormat="1" ht="15.75" customHeight="1">
      <c r="A2058" s="517" t="str">
        <f>IF(B2058&lt;&gt;"",IF(AND(B2058&gt;=_TM1,B2058&lt;=_TM2,OR(TH!L2058="1111",TH!M2058="1111")),TH!D2058,""),"")</f>
        <v/>
      </c>
      <c r="B2058" s="531">
        <f t="shared" si="194"/>
        <v>4</v>
      </c>
      <c r="C2058" s="315">
        <f t="shared" si="195"/>
        <v>42833</v>
      </c>
      <c r="D2058" s="315" t="s">
        <v>963</v>
      </c>
      <c r="E2058" s="315">
        <v>42833</v>
      </c>
      <c r="F2058" s="249" t="s">
        <v>615</v>
      </c>
      <c r="G2058" s="314" t="s">
        <v>1029</v>
      </c>
      <c r="H2058" s="473" t="s">
        <v>447</v>
      </c>
      <c r="I2058" s="307">
        <v>20</v>
      </c>
      <c r="J2058" s="307">
        <v>35090</v>
      </c>
      <c r="K2058" s="532">
        <f t="shared" si="196"/>
        <v>701800</v>
      </c>
      <c r="L2058" s="534" t="s">
        <v>292</v>
      </c>
      <c r="M2058" s="534" t="s">
        <v>8</v>
      </c>
      <c r="N2058" s="525" t="str">
        <f>IF(AND('331-CT'!$E$7=TH!H2058,OR(L2058="331",M2058="331")),"331",IF(AND(OR(L2058="131",M2058="131"),H2058='131-CT'!$E$7),"131",""))</f>
        <v/>
      </c>
      <c r="O2058" s="525" t="str">
        <f>IF(AND($B2058&gt;='111'!$N$11,$B2058&lt;='111'!$O$11,OR($L2058=$O$7,$M2058=$O$7)),"x","")</f>
        <v/>
      </c>
      <c r="P2058" s="525" t="str">
        <f>IF(AND($L2058=$O$7,$B2058&lt;'111'!$N$11),"x","")</f>
        <v/>
      </c>
      <c r="Q2058" s="525" t="str">
        <f>IF(AND($M2058=$O$7,$B2058&lt;'111'!$N$11),"x","")</f>
        <v/>
      </c>
      <c r="R2058" s="525" t="str">
        <f>IF(ISERROR(FIND('112'!$M$9,G2058,1)),"",IF((AND(FIND('112'!$M$9,G2058,1)&gt;=1,$B2058&gt;='112'!$N$8,$B2058&lt;='112'!$O$8,OR($L2058='112'!$I$6,$M2058='112'!$I$6))),"x",""))</f>
        <v/>
      </c>
      <c r="S2058" s="525" t="str">
        <f>IF(ISERROR(FIND('112'!$M$9,G2058,1)),"",IF((AND(LEFT(G2058,2)=LEFT('112'!$M$9,2),B2058&lt;'112'!$N$8,$L2058='112'!$I$6)),"x",""))</f>
        <v/>
      </c>
      <c r="T2058" s="525" t="str">
        <f>IF(ISERROR(FIND('112'!$M$9,G2058,1)),"",IF((AND(RIGHT(G2058,2)=RIGHT('112'!$M$9,2),B2058&lt;'112'!$N$8,$M2058='112'!$I$6)),"x",""))</f>
        <v/>
      </c>
      <c r="U2058" s="525" t="str">
        <f>IF(AND(B2058&gt;='IN-NX'!$P$3,B2058&lt;='IN-NX'!$Q$3,'IN-NX'!$D$7=D2058,OR(LEFT(L2058,2)="15",AND(LEFT(M2058,2)&lt;&gt;"15",LEFT(M2058,2)&lt;&gt;"33"))),"x","")</f>
        <v/>
      </c>
      <c r="V2058" s="525" t="str">
        <f>IF(AND(OR(LEFT(TH!L2058,2)="15",LEFT(TH!M2058,2)="15"),'152-CT'!$J$8=TH!F2058),"x","")</f>
        <v/>
      </c>
      <c r="W2058" s="525" t="str">
        <f>IF(AND(OR(LEFT(TH!L2058,2)="15",LEFT(TH!M2058,2)="15"),TK!$E$7=TH!F2058),"x","")</f>
        <v/>
      </c>
      <c r="X2058" s="525" t="str">
        <f>IF(AND('341-CT'!$E$9=H2058,OR(LEFT(L2058,3)=$X$7,LEFT(M2058,3)=$X$7)),"x","")</f>
        <v/>
      </c>
      <c r="Y2058" s="525" t="str">
        <f>IF(OR(TH!L2058=TH!$Y$7,M2058=TH!$Y$7),"x","")</f>
        <v/>
      </c>
      <c r="Z2058" s="525" t="str">
        <f>IF(AND(B2058&lt;=NKC!$N$8,B2058&gt;=NKC!$M$8),"x","")</f>
        <v/>
      </c>
      <c r="AA2058" s="535">
        <v>2</v>
      </c>
      <c r="AC2058" s="503"/>
      <c r="AD2058" s="503"/>
    </row>
    <row r="2059" spans="1:34" s="536" customFormat="1" ht="15.75" customHeight="1">
      <c r="A2059" s="517" t="str">
        <f>IF(B2059&lt;&gt;"",IF(AND(B2059&gt;=_TM1,B2059&lt;=_TM2,OR(TH!L2059="1111",TH!M2059="1111")),TH!D2059,""),"")</f>
        <v/>
      </c>
      <c r="B2059" s="531">
        <f t="shared" si="194"/>
        <v>4</v>
      </c>
      <c r="C2059" s="315">
        <f t="shared" si="195"/>
        <v>42833</v>
      </c>
      <c r="D2059" s="315" t="s">
        <v>963</v>
      </c>
      <c r="E2059" s="315">
        <v>42833</v>
      </c>
      <c r="F2059" s="249" t="s">
        <v>1013</v>
      </c>
      <c r="G2059" s="314" t="s">
        <v>1029</v>
      </c>
      <c r="H2059" s="473" t="s">
        <v>447</v>
      </c>
      <c r="I2059" s="307">
        <v>20</v>
      </c>
      <c r="J2059" s="307">
        <v>22089</v>
      </c>
      <c r="K2059" s="532">
        <f t="shared" si="196"/>
        <v>441780</v>
      </c>
      <c r="L2059" s="534" t="s">
        <v>292</v>
      </c>
      <c r="M2059" s="534" t="s">
        <v>8</v>
      </c>
      <c r="N2059" s="525" t="str">
        <f>IF(AND('331-CT'!$E$7=TH!H2059,OR(L2059="331",M2059="331")),"331",IF(AND(OR(L2059="131",M2059="131"),H2059='131-CT'!$E$7),"131",""))</f>
        <v/>
      </c>
      <c r="O2059" s="525" t="str">
        <f>IF(AND($B2059&gt;='111'!$N$11,$B2059&lt;='111'!$O$11,OR($L2059=$O$7,$M2059=$O$7)),"x","")</f>
        <v/>
      </c>
      <c r="P2059" s="525" t="str">
        <f>IF(AND($L2059=$O$7,$B2059&lt;'111'!$N$11),"x","")</f>
        <v/>
      </c>
      <c r="Q2059" s="525" t="str">
        <f>IF(AND($M2059=$O$7,$B2059&lt;'111'!$N$11),"x","")</f>
        <v/>
      </c>
      <c r="R2059" s="525" t="str">
        <f>IF(ISERROR(FIND('112'!$M$9,G2059,1)),"",IF((AND(FIND('112'!$M$9,G2059,1)&gt;=1,$B2059&gt;='112'!$N$8,$B2059&lt;='112'!$O$8,OR($L2059='112'!$I$6,$M2059='112'!$I$6))),"x",""))</f>
        <v/>
      </c>
      <c r="S2059" s="525" t="str">
        <f>IF(ISERROR(FIND('112'!$M$9,G2059,1)),"",IF((AND(LEFT(G2059,2)=LEFT('112'!$M$9,2),B2059&lt;'112'!$N$8,$L2059='112'!$I$6)),"x",""))</f>
        <v/>
      </c>
      <c r="T2059" s="525" t="str">
        <f>IF(ISERROR(FIND('112'!$M$9,G2059,1)),"",IF((AND(RIGHT(G2059,2)=RIGHT('112'!$M$9,2),B2059&lt;'112'!$N$8,$M2059='112'!$I$6)),"x",""))</f>
        <v/>
      </c>
      <c r="U2059" s="525" t="str">
        <f>IF(AND(B2059&gt;='IN-NX'!$P$3,B2059&lt;='IN-NX'!$Q$3,'IN-NX'!$D$7=D2059,OR(LEFT(L2059,2)="15",AND(LEFT(M2059,2)&lt;&gt;"15",LEFT(M2059,2)&lt;&gt;"33"))),"x","")</f>
        <v/>
      </c>
      <c r="V2059" s="525" t="str">
        <f>IF(AND(OR(LEFT(TH!L2059,2)="15",LEFT(TH!M2059,2)="15"),'152-CT'!$J$8=TH!F2059),"x","")</f>
        <v/>
      </c>
      <c r="W2059" s="525" t="str">
        <f>IF(AND(OR(LEFT(TH!L2059,2)="15",LEFT(TH!M2059,2)="15"),TK!$E$7=TH!F2059),"x","")</f>
        <v/>
      </c>
      <c r="X2059" s="525" t="str">
        <f>IF(AND('341-CT'!$E$9=H2059,OR(LEFT(L2059,3)=$X$7,LEFT(M2059,3)=$X$7)),"x","")</f>
        <v/>
      </c>
      <c r="Y2059" s="525" t="str">
        <f>IF(OR(TH!L2059=TH!$Y$7,M2059=TH!$Y$7),"x","")</f>
        <v/>
      </c>
      <c r="Z2059" s="525" t="str">
        <f>IF(AND(B2059&lt;=NKC!$N$8,B2059&gt;=NKC!$M$8),"x","")</f>
        <v/>
      </c>
      <c r="AA2059" s="535">
        <v>2</v>
      </c>
      <c r="AC2059" s="503"/>
      <c r="AD2059" s="503"/>
    </row>
    <row r="2060" spans="1:34" s="536" customFormat="1" ht="15.75" customHeight="1">
      <c r="A2060" s="517" t="str">
        <f>IF(B2060&lt;&gt;"",IF(AND(B2060&gt;=_TM1,B2060&lt;=_TM2,OR(TH!L2060="1111",TH!M2060="1111")),TH!D2060,""),"")</f>
        <v/>
      </c>
      <c r="B2060" s="531">
        <f t="shared" si="194"/>
        <v>4</v>
      </c>
      <c r="C2060" s="315">
        <f t="shared" si="195"/>
        <v>42833</v>
      </c>
      <c r="D2060" s="315" t="s">
        <v>963</v>
      </c>
      <c r="E2060" s="315">
        <v>42833</v>
      </c>
      <c r="F2060" s="247" t="s">
        <v>1014</v>
      </c>
      <c r="G2060" s="314" t="s">
        <v>1029</v>
      </c>
      <c r="H2060" s="473" t="s">
        <v>447</v>
      </c>
      <c r="I2060" s="307">
        <v>20</v>
      </c>
      <c r="J2060" s="307">
        <v>43309</v>
      </c>
      <c r="K2060" s="532">
        <f t="shared" si="196"/>
        <v>866180</v>
      </c>
      <c r="L2060" s="534" t="s">
        <v>292</v>
      </c>
      <c r="M2060" s="534" t="s">
        <v>8</v>
      </c>
      <c r="N2060" s="525" t="str">
        <f>IF(AND('331-CT'!$E$7=TH!H2060,OR(L2060="331",M2060="331")),"331",IF(AND(OR(L2060="131",M2060="131"),H2060='131-CT'!$E$7),"131",""))</f>
        <v/>
      </c>
      <c r="O2060" s="525" t="str">
        <f>IF(AND($B2060&gt;='111'!$N$11,$B2060&lt;='111'!$O$11,OR($L2060=$O$7,$M2060=$O$7)),"x","")</f>
        <v/>
      </c>
      <c r="P2060" s="525" t="str">
        <f>IF(AND($L2060=$O$7,$B2060&lt;'111'!$N$11),"x","")</f>
        <v/>
      </c>
      <c r="Q2060" s="525" t="str">
        <f>IF(AND($M2060=$O$7,$B2060&lt;'111'!$N$11),"x","")</f>
        <v/>
      </c>
      <c r="R2060" s="525" t="str">
        <f>IF(ISERROR(FIND('112'!$M$9,G2060,1)),"",IF((AND(FIND('112'!$M$9,G2060,1)&gt;=1,$B2060&gt;='112'!$N$8,$B2060&lt;='112'!$O$8,OR($L2060='112'!$I$6,$M2060='112'!$I$6))),"x",""))</f>
        <v/>
      </c>
      <c r="S2060" s="525" t="str">
        <f>IF(ISERROR(FIND('112'!$M$9,G2060,1)),"",IF((AND(LEFT(G2060,2)=LEFT('112'!$M$9,2),B2060&lt;'112'!$N$8,$L2060='112'!$I$6)),"x",""))</f>
        <v/>
      </c>
      <c r="T2060" s="525" t="str">
        <f>IF(ISERROR(FIND('112'!$M$9,G2060,1)),"",IF((AND(RIGHT(G2060,2)=RIGHT('112'!$M$9,2),B2060&lt;'112'!$N$8,$M2060='112'!$I$6)),"x",""))</f>
        <v/>
      </c>
      <c r="U2060" s="525" t="str">
        <f>IF(AND(B2060&gt;='IN-NX'!$P$3,B2060&lt;='IN-NX'!$Q$3,'IN-NX'!$D$7=D2060,OR(LEFT(L2060,2)="15",AND(LEFT(M2060,2)&lt;&gt;"15",LEFT(M2060,2)&lt;&gt;"33"))),"x","")</f>
        <v/>
      </c>
      <c r="V2060" s="525" t="str">
        <f>IF(AND(OR(LEFT(TH!L2060,2)="15",LEFT(TH!M2060,2)="15"),'152-CT'!$J$8=TH!F2060),"x","")</f>
        <v/>
      </c>
      <c r="W2060" s="525" t="str">
        <f>IF(AND(OR(LEFT(TH!L2060,2)="15",LEFT(TH!M2060,2)="15"),TK!$E$7=TH!F2060),"x","")</f>
        <v/>
      </c>
      <c r="X2060" s="525" t="str">
        <f>IF(AND('341-CT'!$E$9=H2060,OR(LEFT(L2060,3)=$X$7,LEFT(M2060,3)=$X$7)),"x","")</f>
        <v/>
      </c>
      <c r="Y2060" s="525" t="str">
        <f>IF(OR(TH!L2060=TH!$Y$7,M2060=TH!$Y$7),"x","")</f>
        <v/>
      </c>
      <c r="Z2060" s="525" t="str">
        <f>IF(AND(B2060&lt;=NKC!$N$8,B2060&gt;=NKC!$M$8),"x","")</f>
        <v/>
      </c>
      <c r="AA2060" s="535">
        <v>2</v>
      </c>
      <c r="AC2060" s="503"/>
      <c r="AD2060" s="503"/>
    </row>
    <row r="2061" spans="1:34" s="536" customFormat="1" ht="15.75" customHeight="1">
      <c r="A2061" s="517" t="str">
        <f>IF(B2061&lt;&gt;"",IF(AND(B2061&gt;=_TM1,B2061&lt;=_TM2,OR(TH!L2061="1111",TH!M2061="1111")),TH!D2061,""),"")</f>
        <v/>
      </c>
      <c r="B2061" s="531">
        <f t="shared" si="194"/>
        <v>4</v>
      </c>
      <c r="C2061" s="315">
        <f t="shared" si="195"/>
        <v>42833</v>
      </c>
      <c r="D2061" s="315" t="s">
        <v>963</v>
      </c>
      <c r="E2061" s="315">
        <v>42833</v>
      </c>
      <c r="F2061" s="247" t="s">
        <v>624</v>
      </c>
      <c r="G2061" s="314" t="s">
        <v>1029</v>
      </c>
      <c r="H2061" s="473" t="s">
        <v>447</v>
      </c>
      <c r="I2061" s="307">
        <v>12</v>
      </c>
      <c r="J2061" s="307">
        <v>34679</v>
      </c>
      <c r="K2061" s="532">
        <f t="shared" si="196"/>
        <v>416148</v>
      </c>
      <c r="L2061" s="534" t="s">
        <v>292</v>
      </c>
      <c r="M2061" s="534" t="s">
        <v>8</v>
      </c>
      <c r="N2061" s="525" t="str">
        <f>IF(AND('331-CT'!$E$7=TH!H2061,OR(L2061="331",M2061="331")),"331",IF(AND(OR(L2061="131",M2061="131"),H2061='131-CT'!$E$7),"131",""))</f>
        <v/>
      </c>
      <c r="O2061" s="525" t="str">
        <f>IF(AND($B2061&gt;='111'!$N$11,$B2061&lt;='111'!$O$11,OR($L2061=$O$7,$M2061=$O$7)),"x","")</f>
        <v/>
      </c>
      <c r="P2061" s="525" t="str">
        <f>IF(AND($L2061=$O$7,$B2061&lt;'111'!$N$11),"x","")</f>
        <v/>
      </c>
      <c r="Q2061" s="525" t="str">
        <f>IF(AND($M2061=$O$7,$B2061&lt;'111'!$N$11),"x","")</f>
        <v/>
      </c>
      <c r="R2061" s="525" t="str">
        <f>IF(ISERROR(FIND('112'!$M$9,G2061,1)),"",IF((AND(FIND('112'!$M$9,G2061,1)&gt;=1,$B2061&gt;='112'!$N$8,$B2061&lt;='112'!$O$8,OR($L2061='112'!$I$6,$M2061='112'!$I$6))),"x",""))</f>
        <v/>
      </c>
      <c r="S2061" s="525" t="str">
        <f>IF(ISERROR(FIND('112'!$M$9,G2061,1)),"",IF((AND(LEFT(G2061,2)=LEFT('112'!$M$9,2),B2061&lt;'112'!$N$8,$L2061='112'!$I$6)),"x",""))</f>
        <v/>
      </c>
      <c r="T2061" s="525" t="str">
        <f>IF(ISERROR(FIND('112'!$M$9,G2061,1)),"",IF((AND(RIGHT(G2061,2)=RIGHT('112'!$M$9,2),B2061&lt;'112'!$N$8,$M2061='112'!$I$6)),"x",""))</f>
        <v/>
      </c>
      <c r="U2061" s="525" t="str">
        <f>IF(AND(B2061&gt;='IN-NX'!$P$3,B2061&lt;='IN-NX'!$Q$3,'IN-NX'!$D$7=D2061,OR(LEFT(L2061,2)="15",AND(LEFT(M2061,2)&lt;&gt;"15",LEFT(M2061,2)&lt;&gt;"33"))),"x","")</f>
        <v/>
      </c>
      <c r="V2061" s="525" t="str">
        <f>IF(AND(OR(LEFT(TH!L2061,2)="15",LEFT(TH!M2061,2)="15"),'152-CT'!$J$8=TH!F2061),"x","")</f>
        <v/>
      </c>
      <c r="W2061" s="525" t="str">
        <f>IF(AND(OR(LEFT(TH!L2061,2)="15",LEFT(TH!M2061,2)="15"),TK!$E$7=TH!F2061),"x","")</f>
        <v/>
      </c>
      <c r="X2061" s="525" t="str">
        <f>IF(AND('341-CT'!$E$9=H2061,OR(LEFT(L2061,3)=$X$7,LEFT(M2061,3)=$X$7)),"x","")</f>
        <v/>
      </c>
      <c r="Y2061" s="525" t="str">
        <f>IF(OR(TH!L2061=TH!$Y$7,M2061=TH!$Y$7),"x","")</f>
        <v/>
      </c>
      <c r="Z2061" s="525" t="str">
        <f>IF(AND(B2061&lt;=NKC!$N$8,B2061&gt;=NKC!$M$8),"x","")</f>
        <v/>
      </c>
      <c r="AA2061" s="535">
        <v>2</v>
      </c>
      <c r="AC2061" s="503"/>
      <c r="AD2061" s="503"/>
    </row>
    <row r="2062" spans="1:34" s="536" customFormat="1" ht="15.75" customHeight="1">
      <c r="A2062" s="517" t="str">
        <f>IF(B2062&lt;&gt;"",IF(AND(B2062&gt;=_TM1,B2062&lt;=_TM2,OR(TH!L2062="1111",TH!M2062="1111")),TH!D2062,""),"")</f>
        <v/>
      </c>
      <c r="B2062" s="531">
        <f t="shared" si="194"/>
        <v>4</v>
      </c>
      <c r="C2062" s="315">
        <f t="shared" si="195"/>
        <v>42833</v>
      </c>
      <c r="D2062" s="315" t="s">
        <v>963</v>
      </c>
      <c r="E2062" s="315">
        <v>42833</v>
      </c>
      <c r="F2062" s="247" t="s">
        <v>625</v>
      </c>
      <c r="G2062" s="314" t="s">
        <v>1029</v>
      </c>
      <c r="H2062" s="473" t="s">
        <v>447</v>
      </c>
      <c r="I2062" s="307">
        <v>42</v>
      </c>
      <c r="J2062" s="307">
        <v>37367</v>
      </c>
      <c r="K2062" s="532">
        <f t="shared" si="196"/>
        <v>1569414</v>
      </c>
      <c r="L2062" s="534" t="s">
        <v>292</v>
      </c>
      <c r="M2062" s="534" t="s">
        <v>8</v>
      </c>
      <c r="N2062" s="525" t="str">
        <f>IF(AND('331-CT'!$E$7=TH!H2062,OR(L2062="331",M2062="331")),"331",IF(AND(OR(L2062="131",M2062="131"),H2062='131-CT'!$E$7),"131",""))</f>
        <v/>
      </c>
      <c r="O2062" s="525" t="str">
        <f>IF(AND($B2062&gt;='111'!$N$11,$B2062&lt;='111'!$O$11,OR($L2062=$O$7,$M2062=$O$7)),"x","")</f>
        <v/>
      </c>
      <c r="P2062" s="525" t="str">
        <f>IF(AND($L2062=$O$7,$B2062&lt;'111'!$N$11),"x","")</f>
        <v/>
      </c>
      <c r="Q2062" s="525" t="str">
        <f>IF(AND($M2062=$O$7,$B2062&lt;'111'!$N$11),"x","")</f>
        <v/>
      </c>
      <c r="R2062" s="525" t="str">
        <f>IF(ISERROR(FIND('112'!$M$9,G2062,1)),"",IF((AND(FIND('112'!$M$9,G2062,1)&gt;=1,$B2062&gt;='112'!$N$8,$B2062&lt;='112'!$O$8,OR($L2062='112'!$I$6,$M2062='112'!$I$6))),"x",""))</f>
        <v/>
      </c>
      <c r="S2062" s="525" t="str">
        <f>IF(ISERROR(FIND('112'!$M$9,G2062,1)),"",IF((AND(LEFT(G2062,2)=LEFT('112'!$M$9,2),B2062&lt;'112'!$N$8,$L2062='112'!$I$6)),"x",""))</f>
        <v/>
      </c>
      <c r="T2062" s="525" t="str">
        <f>IF(ISERROR(FIND('112'!$M$9,G2062,1)),"",IF((AND(RIGHT(G2062,2)=RIGHT('112'!$M$9,2),B2062&lt;'112'!$N$8,$M2062='112'!$I$6)),"x",""))</f>
        <v/>
      </c>
      <c r="U2062" s="525" t="str">
        <f>IF(AND(B2062&gt;='IN-NX'!$P$3,B2062&lt;='IN-NX'!$Q$3,'IN-NX'!$D$7=D2062,OR(LEFT(L2062,2)="15",AND(LEFT(M2062,2)&lt;&gt;"15",LEFT(M2062,2)&lt;&gt;"33"))),"x","")</f>
        <v/>
      </c>
      <c r="V2062" s="525" t="str">
        <f>IF(AND(OR(LEFT(TH!L2062,2)="15",LEFT(TH!M2062,2)="15"),'152-CT'!$J$8=TH!F2062),"x","")</f>
        <v/>
      </c>
      <c r="W2062" s="525" t="str">
        <f>IF(AND(OR(LEFT(TH!L2062,2)="15",LEFT(TH!M2062,2)="15"),TK!$E$7=TH!F2062),"x","")</f>
        <v/>
      </c>
      <c r="X2062" s="525" t="str">
        <f>IF(AND('341-CT'!$E$9=H2062,OR(LEFT(L2062,3)=$X$7,LEFT(M2062,3)=$X$7)),"x","")</f>
        <v/>
      </c>
      <c r="Y2062" s="525" t="str">
        <f>IF(OR(TH!L2062=TH!$Y$7,M2062=TH!$Y$7),"x","")</f>
        <v/>
      </c>
      <c r="Z2062" s="525" t="str">
        <f>IF(AND(B2062&lt;=NKC!$N$8,B2062&gt;=NKC!$M$8),"x","")</f>
        <v/>
      </c>
      <c r="AA2062" s="535">
        <v>2</v>
      </c>
      <c r="AB2062" s="503"/>
      <c r="AC2062" s="503"/>
      <c r="AD2062" s="503"/>
    </row>
    <row r="2063" spans="1:34" s="536" customFormat="1" ht="15.75" customHeight="1">
      <c r="A2063" s="517" t="str">
        <f>IF(B2063&lt;&gt;"",IF(AND(B2063&gt;=_TM1,B2063&lt;=_TM2,OR(TH!L2063="1111",TH!M2063="1111")),TH!D2063,""),"")</f>
        <v/>
      </c>
      <c r="B2063" s="531">
        <f t="shared" si="194"/>
        <v>4</v>
      </c>
      <c r="C2063" s="315">
        <f t="shared" si="195"/>
        <v>42833</v>
      </c>
      <c r="D2063" s="315" t="s">
        <v>963</v>
      </c>
      <c r="E2063" s="315">
        <v>42833</v>
      </c>
      <c r="F2063" s="249" t="s">
        <v>627</v>
      </c>
      <c r="G2063" s="314" t="s">
        <v>1029</v>
      </c>
      <c r="H2063" s="473" t="s">
        <v>447</v>
      </c>
      <c r="I2063" s="307">
        <v>4</v>
      </c>
      <c r="J2063" s="307">
        <v>32633</v>
      </c>
      <c r="K2063" s="532">
        <f t="shared" si="196"/>
        <v>130532</v>
      </c>
      <c r="L2063" s="534" t="s">
        <v>292</v>
      </c>
      <c r="M2063" s="534" t="s">
        <v>8</v>
      </c>
      <c r="N2063" s="525" t="str">
        <f>IF(AND('331-CT'!$E$7=TH!H2063,OR(L2063="331",M2063="331")),"331",IF(AND(OR(L2063="131",M2063="131"),H2063='131-CT'!$E$7),"131",""))</f>
        <v/>
      </c>
      <c r="O2063" s="525" t="str">
        <f>IF(AND($B2063&gt;='111'!$N$11,$B2063&lt;='111'!$O$11,OR($L2063=$O$7,$M2063=$O$7)),"x","")</f>
        <v/>
      </c>
      <c r="P2063" s="525" t="str">
        <f>IF(AND($L2063=$O$7,$B2063&lt;'111'!$N$11),"x","")</f>
        <v/>
      </c>
      <c r="Q2063" s="525" t="str">
        <f>IF(AND($M2063=$O$7,$B2063&lt;'111'!$N$11),"x","")</f>
        <v/>
      </c>
      <c r="R2063" s="525" t="str">
        <f>IF(ISERROR(FIND('112'!$M$9,G2063,1)),"",IF((AND(FIND('112'!$M$9,G2063,1)&gt;=1,$B2063&gt;='112'!$N$8,$B2063&lt;='112'!$O$8,OR($L2063='112'!$I$6,$M2063='112'!$I$6))),"x",""))</f>
        <v/>
      </c>
      <c r="S2063" s="525" t="str">
        <f>IF(ISERROR(FIND('112'!$M$9,G2063,1)),"",IF((AND(LEFT(G2063,2)=LEFT('112'!$M$9,2),B2063&lt;'112'!$N$8,$L2063='112'!$I$6)),"x",""))</f>
        <v/>
      </c>
      <c r="T2063" s="525" t="str">
        <f>IF(ISERROR(FIND('112'!$M$9,G2063,1)),"",IF((AND(RIGHT(G2063,2)=RIGHT('112'!$M$9,2),B2063&lt;'112'!$N$8,$M2063='112'!$I$6)),"x",""))</f>
        <v/>
      </c>
      <c r="U2063" s="525" t="str">
        <f>IF(AND(B2063&gt;='IN-NX'!$P$3,B2063&lt;='IN-NX'!$Q$3,'IN-NX'!$D$7=D2063,OR(LEFT(L2063,2)="15",AND(LEFT(M2063,2)&lt;&gt;"15",LEFT(M2063,2)&lt;&gt;"33"))),"x","")</f>
        <v/>
      </c>
      <c r="V2063" s="525" t="str">
        <f>IF(AND(OR(LEFT(TH!L2063,2)="15",LEFT(TH!M2063,2)="15"),'152-CT'!$J$8=TH!F2063),"x","")</f>
        <v/>
      </c>
      <c r="W2063" s="525" t="str">
        <f>IF(AND(OR(LEFT(TH!L2063,2)="15",LEFT(TH!M2063,2)="15"),TK!$E$7=TH!F2063),"x","")</f>
        <v/>
      </c>
      <c r="X2063" s="525" t="str">
        <f>IF(AND('341-CT'!$E$9=H2063,OR(LEFT(L2063,3)=$X$7,LEFT(M2063,3)=$X$7)),"x","")</f>
        <v/>
      </c>
      <c r="Y2063" s="525" t="str">
        <f>IF(OR(TH!L2063=TH!$Y$7,M2063=TH!$Y$7),"x","")</f>
        <v/>
      </c>
      <c r="Z2063" s="525" t="str">
        <f>IF(AND(B2063&lt;=NKC!$N$8,B2063&gt;=NKC!$M$8),"x","")</f>
        <v/>
      </c>
      <c r="AA2063" s="535">
        <v>2</v>
      </c>
      <c r="AC2063" s="503"/>
      <c r="AD2063" s="503"/>
      <c r="AE2063" s="503"/>
    </row>
    <row r="2064" spans="1:34" s="536" customFormat="1" ht="15.75" customHeight="1">
      <c r="A2064" s="517" t="str">
        <f>IF(B2064&lt;&gt;"",IF(AND(B2064&gt;=_TM1,B2064&lt;=_TM2,OR(TH!L2064="1111",TH!M2064="1111")),TH!D2064,""),"")</f>
        <v/>
      </c>
      <c r="B2064" s="531">
        <f t="shared" si="194"/>
        <v>4</v>
      </c>
      <c r="C2064" s="315">
        <f t="shared" si="195"/>
        <v>42833</v>
      </c>
      <c r="D2064" s="315" t="s">
        <v>963</v>
      </c>
      <c r="E2064" s="315">
        <v>42833</v>
      </c>
      <c r="F2064" s="249" t="s">
        <v>628</v>
      </c>
      <c r="G2064" s="314" t="s">
        <v>1029</v>
      </c>
      <c r="H2064" s="473" t="s">
        <v>447</v>
      </c>
      <c r="I2064" s="307">
        <v>5</v>
      </c>
      <c r="J2064" s="307">
        <v>97228</v>
      </c>
      <c r="K2064" s="532">
        <f t="shared" si="196"/>
        <v>486140</v>
      </c>
      <c r="L2064" s="534" t="s">
        <v>292</v>
      </c>
      <c r="M2064" s="534" t="s">
        <v>8</v>
      </c>
      <c r="N2064" s="525" t="str">
        <f>IF(AND('331-CT'!$E$7=TH!H2064,OR(L2064="331",M2064="331")),"331",IF(AND(OR(L2064="131",M2064="131"),H2064='131-CT'!$E$7),"131",""))</f>
        <v/>
      </c>
      <c r="O2064" s="525" t="str">
        <f>IF(AND($B2064&gt;='111'!$N$11,$B2064&lt;='111'!$O$11,OR($L2064=$O$7,$M2064=$O$7)),"x","")</f>
        <v/>
      </c>
      <c r="P2064" s="525" t="str">
        <f>IF(AND($L2064=$O$7,$B2064&lt;'111'!$N$11),"x","")</f>
        <v/>
      </c>
      <c r="Q2064" s="525" t="str">
        <f>IF(AND($M2064=$O$7,$B2064&lt;'111'!$N$11),"x","")</f>
        <v/>
      </c>
      <c r="R2064" s="525" t="str">
        <f>IF(ISERROR(FIND('112'!$M$9,G2064,1)),"",IF((AND(FIND('112'!$M$9,G2064,1)&gt;=1,$B2064&gt;='112'!$N$8,$B2064&lt;='112'!$O$8,OR($L2064='112'!$I$6,$M2064='112'!$I$6))),"x",""))</f>
        <v/>
      </c>
      <c r="S2064" s="525" t="str">
        <f>IF(ISERROR(FIND('112'!$M$9,G2064,1)),"",IF((AND(LEFT(G2064,2)=LEFT('112'!$M$9,2),B2064&lt;'112'!$N$8,$L2064='112'!$I$6)),"x",""))</f>
        <v/>
      </c>
      <c r="T2064" s="525" t="str">
        <f>IF(ISERROR(FIND('112'!$M$9,G2064,1)),"",IF((AND(RIGHT(G2064,2)=RIGHT('112'!$M$9,2),B2064&lt;'112'!$N$8,$M2064='112'!$I$6)),"x",""))</f>
        <v/>
      </c>
      <c r="U2064" s="525" t="str">
        <f>IF(AND(B2064&gt;='IN-NX'!$P$3,B2064&lt;='IN-NX'!$Q$3,'IN-NX'!$D$7=D2064,OR(LEFT(L2064,2)="15",AND(LEFT(M2064,2)&lt;&gt;"15",LEFT(M2064,2)&lt;&gt;"33"))),"x","")</f>
        <v/>
      </c>
      <c r="V2064" s="525" t="str">
        <f>IF(AND(OR(LEFT(TH!L2064,2)="15",LEFT(TH!M2064,2)="15"),'152-CT'!$J$8=TH!F2064),"x","")</f>
        <v/>
      </c>
      <c r="W2064" s="525" t="str">
        <f>IF(AND(OR(LEFT(TH!L2064,2)="15",LEFT(TH!M2064,2)="15"),TK!$E$7=TH!F2064),"x","")</f>
        <v/>
      </c>
      <c r="X2064" s="525" t="str">
        <f>IF(AND('341-CT'!$E$9=H2064,OR(LEFT(L2064,3)=$X$7,LEFT(M2064,3)=$X$7)),"x","")</f>
        <v/>
      </c>
      <c r="Y2064" s="525" t="str">
        <f>IF(OR(TH!L2064=TH!$Y$7,M2064=TH!$Y$7),"x","")</f>
        <v/>
      </c>
      <c r="Z2064" s="525" t="str">
        <f>IF(AND(B2064&lt;=NKC!$N$8,B2064&gt;=NKC!$M$8),"x","")</f>
        <v/>
      </c>
      <c r="AA2064" s="535">
        <v>2</v>
      </c>
      <c r="AC2064" s="503"/>
      <c r="AD2064" s="503"/>
      <c r="AE2064" s="503"/>
    </row>
    <row r="2065" spans="1:31" s="536" customFormat="1" ht="15.75" customHeight="1">
      <c r="A2065" s="517" t="str">
        <f>IF(B2065&lt;&gt;"",IF(AND(B2065&gt;=_TM1,B2065&lt;=_TM2,OR(TH!L2065="1111",TH!M2065="1111")),TH!D2065,""),"")</f>
        <v/>
      </c>
      <c r="B2065" s="531">
        <f t="shared" si="194"/>
        <v>4</v>
      </c>
      <c r="C2065" s="315">
        <f t="shared" si="195"/>
        <v>42833</v>
      </c>
      <c r="D2065" s="315" t="s">
        <v>963</v>
      </c>
      <c r="E2065" s="315">
        <v>42833</v>
      </c>
      <c r="F2065" s="249" t="s">
        <v>629</v>
      </c>
      <c r="G2065" s="314" t="s">
        <v>1029</v>
      </c>
      <c r="H2065" s="473" t="s">
        <v>447</v>
      </c>
      <c r="I2065" s="307">
        <v>10</v>
      </c>
      <c r="J2065" s="307">
        <v>24753</v>
      </c>
      <c r="K2065" s="532">
        <f t="shared" si="196"/>
        <v>247530</v>
      </c>
      <c r="L2065" s="534" t="s">
        <v>292</v>
      </c>
      <c r="M2065" s="534" t="s">
        <v>8</v>
      </c>
      <c r="N2065" s="525" t="str">
        <f>IF(AND('331-CT'!$E$7=TH!H2065,OR(L2065="331",M2065="331")),"331",IF(AND(OR(L2065="131",M2065="131"),H2065='131-CT'!$E$7),"131",""))</f>
        <v/>
      </c>
      <c r="O2065" s="525" t="str">
        <f>IF(AND($B2065&gt;='111'!$N$11,$B2065&lt;='111'!$O$11,OR($L2065=$O$7,$M2065=$O$7)),"x","")</f>
        <v/>
      </c>
      <c r="P2065" s="525" t="str">
        <f>IF(AND($L2065=$O$7,$B2065&lt;'111'!$N$11),"x","")</f>
        <v/>
      </c>
      <c r="Q2065" s="525" t="str">
        <f>IF(AND($M2065=$O$7,$B2065&lt;'111'!$N$11),"x","")</f>
        <v/>
      </c>
      <c r="R2065" s="525" t="str">
        <f>IF(ISERROR(FIND('112'!$M$9,G2065,1)),"",IF((AND(FIND('112'!$M$9,G2065,1)&gt;=1,$B2065&gt;='112'!$N$8,$B2065&lt;='112'!$O$8,OR($L2065='112'!$I$6,$M2065='112'!$I$6))),"x",""))</f>
        <v/>
      </c>
      <c r="S2065" s="525" t="str">
        <f>IF(ISERROR(FIND('112'!$M$9,G2065,1)),"",IF((AND(LEFT(G2065,2)=LEFT('112'!$M$9,2),B2065&lt;'112'!$N$8,$L2065='112'!$I$6)),"x",""))</f>
        <v/>
      </c>
      <c r="T2065" s="525" t="str">
        <f>IF(ISERROR(FIND('112'!$M$9,G2065,1)),"",IF((AND(RIGHT(G2065,2)=RIGHT('112'!$M$9,2),B2065&lt;'112'!$N$8,$M2065='112'!$I$6)),"x",""))</f>
        <v/>
      </c>
      <c r="U2065" s="525" t="str">
        <f>IF(AND(B2065&gt;='IN-NX'!$P$3,B2065&lt;='IN-NX'!$Q$3,'IN-NX'!$D$7=D2065,OR(LEFT(L2065,2)="15",AND(LEFT(M2065,2)&lt;&gt;"15",LEFT(M2065,2)&lt;&gt;"33"))),"x","")</f>
        <v/>
      </c>
      <c r="V2065" s="525" t="str">
        <f>IF(AND(OR(LEFT(TH!L2065,2)="15",LEFT(TH!M2065,2)="15"),'152-CT'!$J$8=TH!F2065),"x","")</f>
        <v/>
      </c>
      <c r="W2065" s="525" t="str">
        <f>IF(AND(OR(LEFT(TH!L2065,2)="15",LEFT(TH!M2065,2)="15"),TK!$E$7=TH!F2065),"x","")</f>
        <v/>
      </c>
      <c r="X2065" s="525" t="str">
        <f>IF(AND('341-CT'!$E$9=H2065,OR(LEFT(L2065,3)=$X$7,LEFT(M2065,3)=$X$7)),"x","")</f>
        <v/>
      </c>
      <c r="Y2065" s="525" t="str">
        <f>IF(OR(TH!L2065=TH!$Y$7,M2065=TH!$Y$7),"x","")</f>
        <v/>
      </c>
      <c r="Z2065" s="525" t="str">
        <f>IF(AND(B2065&lt;=NKC!$N$8,B2065&gt;=NKC!$M$8),"x","")</f>
        <v/>
      </c>
      <c r="AA2065" s="535">
        <v>2</v>
      </c>
      <c r="AC2065" s="503"/>
      <c r="AD2065" s="503"/>
      <c r="AE2065" s="503"/>
    </row>
    <row r="2066" spans="1:31" s="536" customFormat="1" ht="15.75" customHeight="1">
      <c r="A2066" s="517" t="str">
        <f>IF(B2066&lt;&gt;"",IF(AND(B2066&gt;=_TM1,B2066&lt;=_TM2,OR(TH!L2066="1111",TH!M2066="1111")),TH!D2066,""),"")</f>
        <v/>
      </c>
      <c r="B2066" s="531">
        <f t="shared" si="194"/>
        <v>4</v>
      </c>
      <c r="C2066" s="315">
        <f t="shared" si="195"/>
        <v>42833</v>
      </c>
      <c r="D2066" s="315" t="s">
        <v>963</v>
      </c>
      <c r="E2066" s="315">
        <v>42833</v>
      </c>
      <c r="F2066" s="249" t="s">
        <v>1015</v>
      </c>
      <c r="G2066" s="314" t="s">
        <v>1029</v>
      </c>
      <c r="H2066" s="473" t="s">
        <v>447</v>
      </c>
      <c r="I2066" s="307">
        <v>4</v>
      </c>
      <c r="J2066" s="307">
        <v>16616</v>
      </c>
      <c r="K2066" s="532">
        <f t="shared" si="196"/>
        <v>66464</v>
      </c>
      <c r="L2066" s="534" t="s">
        <v>292</v>
      </c>
      <c r="M2066" s="534" t="s">
        <v>8</v>
      </c>
      <c r="N2066" s="525" t="str">
        <f>IF(AND('331-CT'!$E$7=TH!H2066,OR(L2066="331",M2066="331")),"331",IF(AND(OR(L2066="131",M2066="131"),H2066='131-CT'!$E$7),"131",""))</f>
        <v/>
      </c>
      <c r="O2066" s="525" t="str">
        <f>IF(AND($B2066&gt;='111'!$N$11,$B2066&lt;='111'!$O$11,OR($L2066=$O$7,$M2066=$O$7)),"x","")</f>
        <v/>
      </c>
      <c r="P2066" s="525" t="str">
        <f>IF(AND($L2066=$O$7,$B2066&lt;'111'!$N$11),"x","")</f>
        <v/>
      </c>
      <c r="Q2066" s="525" t="str">
        <f>IF(AND($M2066=$O$7,$B2066&lt;'111'!$N$11),"x","")</f>
        <v/>
      </c>
      <c r="R2066" s="525" t="str">
        <f>IF(ISERROR(FIND('112'!$M$9,G2066,1)),"",IF((AND(FIND('112'!$M$9,G2066,1)&gt;=1,$B2066&gt;='112'!$N$8,$B2066&lt;='112'!$O$8,OR($L2066='112'!$I$6,$M2066='112'!$I$6))),"x",""))</f>
        <v/>
      </c>
      <c r="S2066" s="525" t="str">
        <f>IF(ISERROR(FIND('112'!$M$9,G2066,1)),"",IF((AND(LEFT(G2066,2)=LEFT('112'!$M$9,2),B2066&lt;'112'!$N$8,$L2066='112'!$I$6)),"x",""))</f>
        <v/>
      </c>
      <c r="T2066" s="525" t="str">
        <f>IF(ISERROR(FIND('112'!$M$9,G2066,1)),"",IF((AND(RIGHT(G2066,2)=RIGHT('112'!$M$9,2),B2066&lt;'112'!$N$8,$M2066='112'!$I$6)),"x",""))</f>
        <v/>
      </c>
      <c r="U2066" s="525" t="str">
        <f>IF(AND(B2066&gt;='IN-NX'!$P$3,B2066&lt;='IN-NX'!$Q$3,'IN-NX'!$D$7=D2066,OR(LEFT(L2066,2)="15",AND(LEFT(M2066,2)&lt;&gt;"15",LEFT(M2066,2)&lt;&gt;"33"))),"x","")</f>
        <v/>
      </c>
      <c r="V2066" s="525" t="str">
        <f>IF(AND(OR(LEFT(TH!L2066,2)="15",LEFT(TH!M2066,2)="15"),'152-CT'!$J$8=TH!F2066),"x","")</f>
        <v/>
      </c>
      <c r="W2066" s="525" t="str">
        <f>IF(AND(OR(LEFT(TH!L2066,2)="15",LEFT(TH!M2066,2)="15"),TK!$E$7=TH!F2066),"x","")</f>
        <v/>
      </c>
      <c r="X2066" s="525" t="str">
        <f>IF(AND('341-CT'!$E$9=H2066,OR(LEFT(L2066,3)=$X$7,LEFT(M2066,3)=$X$7)),"x","")</f>
        <v/>
      </c>
      <c r="Y2066" s="525" t="str">
        <f>IF(OR(TH!L2066=TH!$Y$7,M2066=TH!$Y$7),"x","")</f>
        <v/>
      </c>
      <c r="Z2066" s="525" t="str">
        <f>IF(AND(B2066&lt;=NKC!$N$8,B2066&gt;=NKC!$M$8),"x","")</f>
        <v/>
      </c>
      <c r="AA2066" s="535">
        <v>2</v>
      </c>
      <c r="AC2066" s="503"/>
      <c r="AD2066" s="503"/>
      <c r="AE2066" s="503"/>
    </row>
    <row r="2067" spans="1:31" s="536" customFormat="1" ht="15.75" customHeight="1">
      <c r="A2067" s="517" t="str">
        <f>IF(B2067&lt;&gt;"",IF(AND(B2067&gt;=_TM1,B2067&lt;=_TM2,OR(TH!L2067="1111",TH!M2067="1111")),TH!D2067,""),"")</f>
        <v/>
      </c>
      <c r="B2067" s="531">
        <f t="shared" si="194"/>
        <v>4</v>
      </c>
      <c r="C2067" s="315">
        <f t="shared" si="195"/>
        <v>42833</v>
      </c>
      <c r="D2067" s="315" t="s">
        <v>963</v>
      </c>
      <c r="E2067" s="315">
        <v>42833</v>
      </c>
      <c r="F2067" s="249" t="s">
        <v>619</v>
      </c>
      <c r="G2067" s="314" t="s">
        <v>1029</v>
      </c>
      <c r="H2067" s="473" t="s">
        <v>447</v>
      </c>
      <c r="I2067" s="307">
        <v>24</v>
      </c>
      <c r="J2067" s="307">
        <v>19834</v>
      </c>
      <c r="K2067" s="532">
        <f t="shared" si="196"/>
        <v>476016</v>
      </c>
      <c r="L2067" s="534" t="s">
        <v>292</v>
      </c>
      <c r="M2067" s="534" t="s">
        <v>8</v>
      </c>
      <c r="N2067" s="525" t="str">
        <f>IF(AND('331-CT'!$E$7=TH!H2067,OR(L2067="331",M2067="331")),"331",IF(AND(OR(L2067="131",M2067="131"),H2067='131-CT'!$E$7),"131",""))</f>
        <v/>
      </c>
      <c r="O2067" s="525" t="str">
        <f>IF(AND($B2067&gt;='111'!$N$11,$B2067&lt;='111'!$O$11,OR($L2067=$O$7,$M2067=$O$7)),"x","")</f>
        <v/>
      </c>
      <c r="P2067" s="525" t="str">
        <f>IF(AND($L2067=$O$7,$B2067&lt;'111'!$N$11),"x","")</f>
        <v/>
      </c>
      <c r="Q2067" s="525" t="str">
        <f>IF(AND($M2067=$O$7,$B2067&lt;'111'!$N$11),"x","")</f>
        <v/>
      </c>
      <c r="R2067" s="525" t="str">
        <f>IF(ISERROR(FIND('112'!$M$9,G2067,1)),"",IF((AND(FIND('112'!$M$9,G2067,1)&gt;=1,$B2067&gt;='112'!$N$8,$B2067&lt;='112'!$O$8,OR($L2067='112'!$I$6,$M2067='112'!$I$6))),"x",""))</f>
        <v/>
      </c>
      <c r="S2067" s="525" t="str">
        <f>IF(ISERROR(FIND('112'!$M$9,G2067,1)),"",IF((AND(LEFT(G2067,2)=LEFT('112'!$M$9,2),B2067&lt;'112'!$N$8,$L2067='112'!$I$6)),"x",""))</f>
        <v/>
      </c>
      <c r="T2067" s="525" t="str">
        <f>IF(ISERROR(FIND('112'!$M$9,G2067,1)),"",IF((AND(RIGHT(G2067,2)=RIGHT('112'!$M$9,2),B2067&lt;'112'!$N$8,$M2067='112'!$I$6)),"x",""))</f>
        <v/>
      </c>
      <c r="U2067" s="525" t="str">
        <f>IF(AND(B2067&gt;='IN-NX'!$P$3,B2067&lt;='IN-NX'!$Q$3,'IN-NX'!$D$7=D2067,OR(LEFT(L2067,2)="15",AND(LEFT(M2067,2)&lt;&gt;"15",LEFT(M2067,2)&lt;&gt;"33"))),"x","")</f>
        <v/>
      </c>
      <c r="V2067" s="525" t="str">
        <f>IF(AND(OR(LEFT(TH!L2067,2)="15",LEFT(TH!M2067,2)="15"),'152-CT'!$J$8=TH!F2067),"x","")</f>
        <v/>
      </c>
      <c r="W2067" s="525" t="str">
        <f>IF(AND(OR(LEFT(TH!L2067,2)="15",LEFT(TH!M2067,2)="15"),TK!$E$7=TH!F2067),"x","")</f>
        <v/>
      </c>
      <c r="X2067" s="525" t="str">
        <f>IF(AND('341-CT'!$E$9=H2067,OR(LEFT(L2067,3)=$X$7,LEFT(M2067,3)=$X$7)),"x","")</f>
        <v/>
      </c>
      <c r="Y2067" s="525" t="str">
        <f>IF(OR(TH!L2067=TH!$Y$7,M2067=TH!$Y$7),"x","")</f>
        <v/>
      </c>
      <c r="Z2067" s="525" t="str">
        <f>IF(AND(B2067&lt;=NKC!$N$8,B2067&gt;=NKC!$M$8),"x","")</f>
        <v/>
      </c>
      <c r="AA2067" s="535">
        <v>2</v>
      </c>
      <c r="AC2067" s="503"/>
      <c r="AD2067" s="503"/>
      <c r="AE2067" s="503"/>
    </row>
    <row r="2068" spans="1:31" s="536" customFormat="1" ht="15.75" customHeight="1">
      <c r="A2068" s="517" t="str">
        <f>IF(B2068&lt;&gt;"",IF(AND(B2068&gt;=_TM1,B2068&lt;=_TM2,OR(TH!L2068="1111",TH!M2068="1111")),TH!D2068,""),"")</f>
        <v/>
      </c>
      <c r="B2068" s="531">
        <f t="shared" si="194"/>
        <v>4</v>
      </c>
      <c r="C2068" s="315">
        <f t="shared" si="195"/>
        <v>42833</v>
      </c>
      <c r="D2068" s="315" t="s">
        <v>964</v>
      </c>
      <c r="E2068" s="315">
        <v>42833</v>
      </c>
      <c r="F2068" s="249" t="s">
        <v>631</v>
      </c>
      <c r="G2068" s="314" t="s">
        <v>1029</v>
      </c>
      <c r="H2068" s="473" t="s">
        <v>447</v>
      </c>
      <c r="I2068" s="307">
        <v>8</v>
      </c>
      <c r="J2068" s="307">
        <v>28011</v>
      </c>
      <c r="K2068" s="532">
        <f t="shared" si="196"/>
        <v>224088</v>
      </c>
      <c r="L2068" s="534" t="s">
        <v>292</v>
      </c>
      <c r="M2068" s="534" t="s">
        <v>8</v>
      </c>
      <c r="N2068" s="525" t="str">
        <f>IF(AND('331-CT'!$E$7=TH!H2068,OR(L2068="331",M2068="331")),"331",IF(AND(OR(L2068="131",M2068="131"),H2068='131-CT'!$E$7),"131",""))</f>
        <v/>
      </c>
      <c r="O2068" s="525" t="str">
        <f>IF(AND($B2068&gt;='111'!$N$11,$B2068&lt;='111'!$O$11,OR($L2068=$O$7,$M2068=$O$7)),"x","")</f>
        <v/>
      </c>
      <c r="P2068" s="525" t="str">
        <f>IF(AND($L2068=$O$7,$B2068&lt;'111'!$N$11),"x","")</f>
        <v/>
      </c>
      <c r="Q2068" s="525" t="str">
        <f>IF(AND($M2068=$O$7,$B2068&lt;'111'!$N$11),"x","")</f>
        <v/>
      </c>
      <c r="R2068" s="525" t="str">
        <f>IF(ISERROR(FIND('112'!$M$9,G2068,1)),"",IF((AND(FIND('112'!$M$9,G2068,1)&gt;=1,$B2068&gt;='112'!$N$8,$B2068&lt;='112'!$O$8,OR($L2068='112'!$I$6,$M2068='112'!$I$6))),"x",""))</f>
        <v/>
      </c>
      <c r="S2068" s="525" t="str">
        <f>IF(ISERROR(FIND('112'!$M$9,G2068,1)),"",IF((AND(LEFT(G2068,2)=LEFT('112'!$M$9,2),B2068&lt;'112'!$N$8,$L2068='112'!$I$6)),"x",""))</f>
        <v/>
      </c>
      <c r="T2068" s="525" t="str">
        <f>IF(ISERROR(FIND('112'!$M$9,G2068,1)),"",IF((AND(RIGHT(G2068,2)=RIGHT('112'!$M$9,2),B2068&lt;'112'!$N$8,$M2068='112'!$I$6)),"x",""))</f>
        <v/>
      </c>
      <c r="U2068" s="525" t="str">
        <f>IF(AND(B2068&gt;='IN-NX'!$P$3,B2068&lt;='IN-NX'!$Q$3,'IN-NX'!$D$7=D2068,OR(LEFT(L2068,2)="15",AND(LEFT(M2068,2)&lt;&gt;"15",LEFT(M2068,2)&lt;&gt;"33"))),"x","")</f>
        <v/>
      </c>
      <c r="V2068" s="525" t="str">
        <f>IF(AND(OR(LEFT(TH!L2068,2)="15",LEFT(TH!M2068,2)="15"),'152-CT'!$J$8=TH!F2068),"x","")</f>
        <v/>
      </c>
      <c r="W2068" s="525" t="str">
        <f>IF(AND(OR(LEFT(TH!L2068,2)="15",LEFT(TH!M2068,2)="15"),TK!$E$7=TH!F2068),"x","")</f>
        <v/>
      </c>
      <c r="X2068" s="525" t="str">
        <f>IF(AND('341-CT'!$E$9=H2068,OR(LEFT(L2068,3)=$X$7,LEFT(M2068,3)=$X$7)),"x","")</f>
        <v/>
      </c>
      <c r="Y2068" s="525" t="str">
        <f>IF(OR(TH!L2068=TH!$Y$7,M2068=TH!$Y$7),"x","")</f>
        <v/>
      </c>
      <c r="Z2068" s="525" t="str">
        <f>IF(AND(B2068&lt;=NKC!$N$8,B2068&gt;=NKC!$M$8),"x","")</f>
        <v/>
      </c>
      <c r="AA2068" s="535">
        <v>2</v>
      </c>
      <c r="AC2068" s="503"/>
      <c r="AD2068" s="503"/>
      <c r="AE2068" s="503"/>
    </row>
    <row r="2069" spans="1:31" s="536" customFormat="1" ht="15.75" customHeight="1">
      <c r="A2069" s="517" t="str">
        <f>IF(B2069&lt;&gt;"",IF(AND(B2069&gt;=_TM1,B2069&lt;=_TM2,OR(TH!L2069="1111",TH!M2069="1111")),TH!D2069,""),"")</f>
        <v/>
      </c>
      <c r="B2069" s="531">
        <f t="shared" si="194"/>
        <v>4</v>
      </c>
      <c r="C2069" s="315">
        <f t="shared" si="195"/>
        <v>42833</v>
      </c>
      <c r="D2069" s="315" t="s">
        <v>964</v>
      </c>
      <c r="E2069" s="315">
        <v>42833</v>
      </c>
      <c r="F2069" s="249" t="s">
        <v>1016</v>
      </c>
      <c r="G2069" s="314" t="s">
        <v>1029</v>
      </c>
      <c r="H2069" s="473" t="s">
        <v>447</v>
      </c>
      <c r="I2069" s="307">
        <v>8</v>
      </c>
      <c r="J2069" s="307">
        <v>34262</v>
      </c>
      <c r="K2069" s="532">
        <f t="shared" si="196"/>
        <v>274096</v>
      </c>
      <c r="L2069" s="534" t="s">
        <v>292</v>
      </c>
      <c r="M2069" s="534" t="s">
        <v>8</v>
      </c>
      <c r="N2069" s="525" t="str">
        <f>IF(AND('331-CT'!$E$7=TH!H2069,OR(L2069="331",M2069="331")),"331",IF(AND(OR(L2069="131",M2069="131"),H2069='131-CT'!$E$7),"131",""))</f>
        <v/>
      </c>
      <c r="O2069" s="525" t="str">
        <f>IF(AND($B2069&gt;='111'!$N$11,$B2069&lt;='111'!$O$11,OR($L2069=$O$7,$M2069=$O$7)),"x","")</f>
        <v/>
      </c>
      <c r="P2069" s="525" t="str">
        <f>IF(AND($L2069=$O$7,$B2069&lt;'111'!$N$11),"x","")</f>
        <v/>
      </c>
      <c r="Q2069" s="525" t="str">
        <f>IF(AND($M2069=$O$7,$B2069&lt;'111'!$N$11),"x","")</f>
        <v/>
      </c>
      <c r="R2069" s="525" t="str">
        <f>IF(ISERROR(FIND('112'!$M$9,G2069,1)),"",IF((AND(FIND('112'!$M$9,G2069,1)&gt;=1,$B2069&gt;='112'!$N$8,$B2069&lt;='112'!$O$8,OR($L2069='112'!$I$6,$M2069='112'!$I$6))),"x",""))</f>
        <v/>
      </c>
      <c r="S2069" s="525" t="str">
        <f>IF(ISERROR(FIND('112'!$M$9,G2069,1)),"",IF((AND(LEFT(G2069,2)=LEFT('112'!$M$9,2),B2069&lt;'112'!$N$8,$L2069='112'!$I$6)),"x",""))</f>
        <v/>
      </c>
      <c r="T2069" s="525" t="str">
        <f>IF(ISERROR(FIND('112'!$M$9,G2069,1)),"",IF((AND(RIGHT(G2069,2)=RIGHT('112'!$M$9,2),B2069&lt;'112'!$N$8,$M2069='112'!$I$6)),"x",""))</f>
        <v/>
      </c>
      <c r="U2069" s="525" t="str">
        <f>IF(AND(B2069&gt;='IN-NX'!$P$3,B2069&lt;='IN-NX'!$Q$3,'IN-NX'!$D$7=D2069,OR(LEFT(L2069,2)="15",AND(LEFT(M2069,2)&lt;&gt;"15",LEFT(M2069,2)&lt;&gt;"33"))),"x","")</f>
        <v/>
      </c>
      <c r="V2069" s="525" t="str">
        <f>IF(AND(OR(LEFT(TH!L2069,2)="15",LEFT(TH!M2069,2)="15"),'152-CT'!$J$8=TH!F2069),"x","")</f>
        <v/>
      </c>
      <c r="W2069" s="525" t="str">
        <f>IF(AND(OR(LEFT(TH!L2069,2)="15",LEFT(TH!M2069,2)="15"),TK!$E$7=TH!F2069),"x","")</f>
        <v/>
      </c>
      <c r="X2069" s="525" t="str">
        <f>IF(AND('341-CT'!$E$9=H2069,OR(LEFT(L2069,3)=$X$7,LEFT(M2069,3)=$X$7)),"x","")</f>
        <v/>
      </c>
      <c r="Y2069" s="525" t="str">
        <f>IF(OR(TH!L2069=TH!$Y$7,M2069=TH!$Y$7),"x","")</f>
        <v/>
      </c>
      <c r="Z2069" s="525" t="str">
        <f>IF(AND(B2069&lt;=NKC!$N$8,B2069&gt;=NKC!$M$8),"x","")</f>
        <v/>
      </c>
      <c r="AA2069" s="535">
        <v>2</v>
      </c>
      <c r="AC2069" s="503"/>
      <c r="AD2069" s="503"/>
      <c r="AE2069" s="503"/>
    </row>
    <row r="2070" spans="1:31" s="536" customFormat="1" ht="15.75" customHeight="1">
      <c r="A2070" s="517" t="str">
        <f>IF(B2070&lt;&gt;"",IF(AND(B2070&gt;=_TM1,B2070&lt;=_TM2,OR(TH!L2070="1111",TH!M2070="1111")),TH!D2070,""),"")</f>
        <v/>
      </c>
      <c r="B2070" s="531">
        <f t="shared" si="194"/>
        <v>4</v>
      </c>
      <c r="C2070" s="315">
        <f t="shared" si="195"/>
        <v>42833</v>
      </c>
      <c r="D2070" s="315" t="s">
        <v>964</v>
      </c>
      <c r="E2070" s="315">
        <v>42833</v>
      </c>
      <c r="F2070" s="249" t="s">
        <v>999</v>
      </c>
      <c r="G2070" s="314" t="s">
        <v>1029</v>
      </c>
      <c r="H2070" s="473" t="s">
        <v>447</v>
      </c>
      <c r="I2070" s="307">
        <v>4</v>
      </c>
      <c r="J2070" s="307">
        <v>50182</v>
      </c>
      <c r="K2070" s="532">
        <f t="shared" si="196"/>
        <v>200728</v>
      </c>
      <c r="L2070" s="534" t="s">
        <v>292</v>
      </c>
      <c r="M2070" s="534" t="s">
        <v>8</v>
      </c>
      <c r="N2070" s="525" t="str">
        <f>IF(AND('331-CT'!$E$7=TH!H2070,OR(L2070="331",M2070="331")),"331",IF(AND(OR(L2070="131",M2070="131"),H2070='131-CT'!$E$7),"131",""))</f>
        <v/>
      </c>
      <c r="O2070" s="525" t="str">
        <f>IF(AND($B2070&gt;='111'!$N$11,$B2070&lt;='111'!$O$11,OR($L2070=$O$7,$M2070=$O$7)),"x","")</f>
        <v/>
      </c>
      <c r="P2070" s="525" t="str">
        <f>IF(AND($L2070=$O$7,$B2070&lt;'111'!$N$11),"x","")</f>
        <v/>
      </c>
      <c r="Q2070" s="525" t="str">
        <f>IF(AND($M2070=$O$7,$B2070&lt;'111'!$N$11),"x","")</f>
        <v/>
      </c>
      <c r="R2070" s="525" t="str">
        <f>IF(ISERROR(FIND('112'!$M$9,G2070,1)),"",IF((AND(FIND('112'!$M$9,G2070,1)&gt;=1,$B2070&gt;='112'!$N$8,$B2070&lt;='112'!$O$8,OR($L2070='112'!$I$6,$M2070='112'!$I$6))),"x",""))</f>
        <v/>
      </c>
      <c r="S2070" s="525" t="str">
        <f>IF(ISERROR(FIND('112'!$M$9,G2070,1)),"",IF((AND(LEFT(G2070,2)=LEFT('112'!$M$9,2),B2070&lt;'112'!$N$8,$L2070='112'!$I$6)),"x",""))</f>
        <v/>
      </c>
      <c r="T2070" s="525" t="str">
        <f>IF(ISERROR(FIND('112'!$M$9,G2070,1)),"",IF((AND(RIGHT(G2070,2)=RIGHT('112'!$M$9,2),B2070&lt;'112'!$N$8,$M2070='112'!$I$6)),"x",""))</f>
        <v/>
      </c>
      <c r="U2070" s="525" t="str">
        <f>IF(AND(B2070&gt;='IN-NX'!$P$3,B2070&lt;='IN-NX'!$Q$3,'IN-NX'!$D$7=D2070,OR(LEFT(L2070,2)="15",AND(LEFT(M2070,2)&lt;&gt;"15",LEFT(M2070,2)&lt;&gt;"33"))),"x","")</f>
        <v/>
      </c>
      <c r="V2070" s="525" t="str">
        <f>IF(AND(OR(LEFT(TH!L2070,2)="15",LEFT(TH!M2070,2)="15"),'152-CT'!$J$8=TH!F2070),"x","")</f>
        <v/>
      </c>
      <c r="W2070" s="525" t="str">
        <f>IF(AND(OR(LEFT(TH!L2070,2)="15",LEFT(TH!M2070,2)="15"),TK!$E$7=TH!F2070),"x","")</f>
        <v/>
      </c>
      <c r="X2070" s="525" t="str">
        <f>IF(AND('341-CT'!$E$9=H2070,OR(LEFT(L2070,3)=$X$7,LEFT(M2070,3)=$X$7)),"x","")</f>
        <v/>
      </c>
      <c r="Y2070" s="525" t="str">
        <f>IF(OR(TH!L2070=TH!$Y$7,M2070=TH!$Y$7),"x","")</f>
        <v/>
      </c>
      <c r="Z2070" s="525" t="str">
        <f>IF(AND(B2070&lt;=NKC!$N$8,B2070&gt;=NKC!$M$8),"x","")</f>
        <v/>
      </c>
      <c r="AA2070" s="535">
        <v>2</v>
      </c>
      <c r="AC2070" s="503"/>
      <c r="AD2070" s="503"/>
      <c r="AE2070" s="503"/>
    </row>
    <row r="2071" spans="1:31" s="536" customFormat="1" ht="15.75" customHeight="1">
      <c r="A2071" s="517" t="str">
        <f>IF(B2071&lt;&gt;"",IF(AND(B2071&gt;=_TM1,B2071&lt;=_TM2,OR(TH!L2071="1111",TH!M2071="1111")),TH!D2071,""),"")</f>
        <v/>
      </c>
      <c r="B2071" s="531">
        <f t="shared" si="194"/>
        <v>4</v>
      </c>
      <c r="C2071" s="315">
        <f t="shared" si="195"/>
        <v>42833</v>
      </c>
      <c r="D2071" s="315" t="s">
        <v>964</v>
      </c>
      <c r="E2071" s="315">
        <v>42833</v>
      </c>
      <c r="F2071" s="249" t="s">
        <v>627</v>
      </c>
      <c r="G2071" s="314" t="s">
        <v>1029</v>
      </c>
      <c r="H2071" s="473" t="s">
        <v>447</v>
      </c>
      <c r="I2071" s="307">
        <v>100</v>
      </c>
      <c r="J2071" s="307">
        <v>48822</v>
      </c>
      <c r="K2071" s="532">
        <f t="shared" si="196"/>
        <v>4882200</v>
      </c>
      <c r="L2071" s="534" t="s">
        <v>292</v>
      </c>
      <c r="M2071" s="534" t="s">
        <v>8</v>
      </c>
      <c r="N2071" s="525" t="str">
        <f>IF(AND('331-CT'!$E$7=TH!H2071,OR(L2071="331",M2071="331")),"331",IF(AND(OR(L2071="131",M2071="131"),H2071='131-CT'!$E$7),"131",""))</f>
        <v/>
      </c>
      <c r="O2071" s="525" t="str">
        <f>IF(AND($B2071&gt;='111'!$N$11,$B2071&lt;='111'!$O$11,OR($L2071=$O$7,$M2071=$O$7)),"x","")</f>
        <v/>
      </c>
      <c r="P2071" s="525" t="str">
        <f>IF(AND($L2071=$O$7,$B2071&lt;'111'!$N$11),"x","")</f>
        <v/>
      </c>
      <c r="Q2071" s="525" t="str">
        <f>IF(AND($M2071=$O$7,$B2071&lt;'111'!$N$11),"x","")</f>
        <v/>
      </c>
      <c r="R2071" s="525" t="str">
        <f>IF(ISERROR(FIND('112'!$M$9,G2071,1)),"",IF((AND(FIND('112'!$M$9,G2071,1)&gt;=1,$B2071&gt;='112'!$N$8,$B2071&lt;='112'!$O$8,OR($L2071='112'!$I$6,$M2071='112'!$I$6))),"x",""))</f>
        <v/>
      </c>
      <c r="S2071" s="525" t="str">
        <f>IF(ISERROR(FIND('112'!$M$9,G2071,1)),"",IF((AND(LEFT(G2071,2)=LEFT('112'!$M$9,2),B2071&lt;'112'!$N$8,$L2071='112'!$I$6)),"x",""))</f>
        <v/>
      </c>
      <c r="T2071" s="525" t="str">
        <f>IF(ISERROR(FIND('112'!$M$9,G2071,1)),"",IF((AND(RIGHT(G2071,2)=RIGHT('112'!$M$9,2),B2071&lt;'112'!$N$8,$M2071='112'!$I$6)),"x",""))</f>
        <v/>
      </c>
      <c r="U2071" s="525" t="str">
        <f>IF(AND(B2071&gt;='IN-NX'!$P$3,B2071&lt;='IN-NX'!$Q$3,'IN-NX'!$D$7=D2071,OR(LEFT(L2071,2)="15",AND(LEFT(M2071,2)&lt;&gt;"15",LEFT(M2071,2)&lt;&gt;"33"))),"x","")</f>
        <v/>
      </c>
      <c r="V2071" s="525" t="str">
        <f>IF(AND(OR(LEFT(TH!L2071,2)="15",LEFT(TH!M2071,2)="15"),'152-CT'!$J$8=TH!F2071),"x","")</f>
        <v/>
      </c>
      <c r="W2071" s="525" t="str">
        <f>IF(AND(OR(LEFT(TH!L2071,2)="15",LEFT(TH!M2071,2)="15"),TK!$E$7=TH!F2071),"x","")</f>
        <v/>
      </c>
      <c r="X2071" s="525" t="str">
        <f>IF(AND('341-CT'!$E$9=H2071,OR(LEFT(L2071,3)=$X$7,LEFT(M2071,3)=$X$7)),"x","")</f>
        <v/>
      </c>
      <c r="Y2071" s="525" t="str">
        <f>IF(OR(TH!L2071=TH!$Y$7,M2071=TH!$Y$7),"x","")</f>
        <v/>
      </c>
      <c r="Z2071" s="525" t="str">
        <f>IF(AND(B2071&lt;=NKC!$N$8,B2071&gt;=NKC!$M$8),"x","")</f>
        <v/>
      </c>
      <c r="AA2071" s="535">
        <v>2</v>
      </c>
      <c r="AC2071" s="503"/>
      <c r="AD2071" s="503"/>
      <c r="AE2071" s="503"/>
    </row>
    <row r="2072" spans="1:31" s="536" customFormat="1" ht="15.75" customHeight="1">
      <c r="A2072" s="517" t="str">
        <f>IF(B2072&lt;&gt;"",IF(AND(B2072&gt;=_TM1,B2072&lt;=_TM2,OR(TH!L2072="1111",TH!M2072="1111")),TH!D2072,""),"")</f>
        <v/>
      </c>
      <c r="B2072" s="531">
        <f t="shared" si="194"/>
        <v>4</v>
      </c>
      <c r="C2072" s="315">
        <f t="shared" si="195"/>
        <v>42833</v>
      </c>
      <c r="D2072" s="315" t="s">
        <v>964</v>
      </c>
      <c r="E2072" s="315">
        <v>42833</v>
      </c>
      <c r="F2072" s="249" t="s">
        <v>755</v>
      </c>
      <c r="G2072" s="314" t="s">
        <v>1029</v>
      </c>
      <c r="H2072" s="473" t="s">
        <v>447</v>
      </c>
      <c r="I2072" s="307">
        <v>26</v>
      </c>
      <c r="J2072" s="307">
        <v>69249</v>
      </c>
      <c r="K2072" s="532">
        <f t="shared" si="196"/>
        <v>1800474</v>
      </c>
      <c r="L2072" s="534" t="s">
        <v>292</v>
      </c>
      <c r="M2072" s="534" t="s">
        <v>8</v>
      </c>
      <c r="N2072" s="525" t="str">
        <f>IF(AND('331-CT'!$E$7=TH!H2072,OR(L2072="331",M2072="331")),"331",IF(AND(OR(L2072="131",M2072="131"),H2072='131-CT'!$E$7),"131",""))</f>
        <v/>
      </c>
      <c r="O2072" s="525" t="str">
        <f>IF(AND($B2072&gt;='111'!$N$11,$B2072&lt;='111'!$O$11,OR($L2072=$O$7,$M2072=$O$7)),"x","")</f>
        <v/>
      </c>
      <c r="P2072" s="525" t="str">
        <f>IF(AND($L2072=$O$7,$B2072&lt;'111'!$N$11),"x","")</f>
        <v/>
      </c>
      <c r="Q2072" s="525" t="str">
        <f>IF(AND($M2072=$O$7,$B2072&lt;'111'!$N$11),"x","")</f>
        <v/>
      </c>
      <c r="R2072" s="525" t="str">
        <f>IF(ISERROR(FIND('112'!$M$9,G2072,1)),"",IF((AND(FIND('112'!$M$9,G2072,1)&gt;=1,$B2072&gt;='112'!$N$8,$B2072&lt;='112'!$O$8,OR($L2072='112'!$I$6,$M2072='112'!$I$6))),"x",""))</f>
        <v/>
      </c>
      <c r="S2072" s="525" t="str">
        <f>IF(ISERROR(FIND('112'!$M$9,G2072,1)),"",IF((AND(LEFT(G2072,2)=LEFT('112'!$M$9,2),B2072&lt;'112'!$N$8,$L2072='112'!$I$6)),"x",""))</f>
        <v/>
      </c>
      <c r="T2072" s="525" t="str">
        <f>IF(ISERROR(FIND('112'!$M$9,G2072,1)),"",IF((AND(RIGHT(G2072,2)=RIGHT('112'!$M$9,2),B2072&lt;'112'!$N$8,$M2072='112'!$I$6)),"x",""))</f>
        <v/>
      </c>
      <c r="U2072" s="525" t="str">
        <f>IF(AND(B2072&gt;='IN-NX'!$P$3,B2072&lt;='IN-NX'!$Q$3,'IN-NX'!$D$7=D2072,OR(LEFT(L2072,2)="15",AND(LEFT(M2072,2)&lt;&gt;"15",LEFT(M2072,2)&lt;&gt;"33"))),"x","")</f>
        <v/>
      </c>
      <c r="V2072" s="525" t="str">
        <f>IF(AND(OR(LEFT(TH!L2072,2)="15",LEFT(TH!M2072,2)="15"),'152-CT'!$J$8=TH!F2072),"x","")</f>
        <v/>
      </c>
      <c r="W2072" s="525" t="str">
        <f>IF(AND(OR(LEFT(TH!L2072,2)="15",LEFT(TH!M2072,2)="15"),TK!$E$7=TH!F2072),"x","")</f>
        <v/>
      </c>
      <c r="X2072" s="525" t="str">
        <f>IF(AND('341-CT'!$E$9=H2072,OR(LEFT(L2072,3)=$X$7,LEFT(M2072,3)=$X$7)),"x","")</f>
        <v/>
      </c>
      <c r="Y2072" s="525" t="str">
        <f>IF(OR(TH!L2072=TH!$Y$7,M2072=TH!$Y$7),"x","")</f>
        <v/>
      </c>
      <c r="Z2072" s="525" t="str">
        <f>IF(AND(B2072&lt;=NKC!$N$8,B2072&gt;=NKC!$M$8),"x","")</f>
        <v/>
      </c>
      <c r="AA2072" s="535">
        <v>2</v>
      </c>
      <c r="AC2072" s="503"/>
      <c r="AD2072" s="503"/>
      <c r="AE2072" s="503"/>
    </row>
    <row r="2073" spans="1:31" s="536" customFormat="1" ht="15.75" customHeight="1">
      <c r="A2073" s="517" t="str">
        <f>IF(B2073&lt;&gt;"",IF(AND(B2073&gt;=_TM1,B2073&lt;=_TM2,OR(TH!L2073="1111",TH!M2073="1111")),TH!D2073,""),"")</f>
        <v/>
      </c>
      <c r="B2073" s="531">
        <f t="shared" si="194"/>
        <v>4</v>
      </c>
      <c r="C2073" s="315">
        <f t="shared" si="195"/>
        <v>42833</v>
      </c>
      <c r="D2073" s="315" t="s">
        <v>964</v>
      </c>
      <c r="E2073" s="315">
        <v>42833</v>
      </c>
      <c r="F2073" s="249" t="s">
        <v>756</v>
      </c>
      <c r="G2073" s="314" t="s">
        <v>1029</v>
      </c>
      <c r="H2073" s="473" t="s">
        <v>447</v>
      </c>
      <c r="I2073" s="307">
        <v>50</v>
      </c>
      <c r="J2073" s="307">
        <v>37751</v>
      </c>
      <c r="K2073" s="532">
        <f t="shared" si="196"/>
        <v>1887550</v>
      </c>
      <c r="L2073" s="534" t="s">
        <v>292</v>
      </c>
      <c r="M2073" s="534" t="s">
        <v>8</v>
      </c>
      <c r="N2073" s="525" t="str">
        <f>IF(AND('331-CT'!$E$7=TH!H2073,OR(L2073="331",M2073="331")),"331",IF(AND(OR(L2073="131",M2073="131"),H2073='131-CT'!$E$7),"131",""))</f>
        <v/>
      </c>
      <c r="O2073" s="525" t="str">
        <f>IF(AND($B2073&gt;='111'!$N$11,$B2073&lt;='111'!$O$11,OR($L2073=$O$7,$M2073=$O$7)),"x","")</f>
        <v/>
      </c>
      <c r="P2073" s="525" t="str">
        <f>IF(AND($L2073=$O$7,$B2073&lt;'111'!$N$11),"x","")</f>
        <v/>
      </c>
      <c r="Q2073" s="525" t="str">
        <f>IF(AND($M2073=$O$7,$B2073&lt;'111'!$N$11),"x","")</f>
        <v/>
      </c>
      <c r="R2073" s="525" t="str">
        <f>IF(ISERROR(FIND('112'!$M$9,G2073,1)),"",IF((AND(FIND('112'!$M$9,G2073,1)&gt;=1,$B2073&gt;='112'!$N$8,$B2073&lt;='112'!$O$8,OR($L2073='112'!$I$6,$M2073='112'!$I$6))),"x",""))</f>
        <v/>
      </c>
      <c r="S2073" s="525" t="str">
        <f>IF(ISERROR(FIND('112'!$M$9,G2073,1)),"",IF((AND(LEFT(G2073,2)=LEFT('112'!$M$9,2),B2073&lt;'112'!$N$8,$L2073='112'!$I$6)),"x",""))</f>
        <v/>
      </c>
      <c r="T2073" s="525" t="str">
        <f>IF(ISERROR(FIND('112'!$M$9,G2073,1)),"",IF((AND(RIGHT(G2073,2)=RIGHT('112'!$M$9,2),B2073&lt;'112'!$N$8,$M2073='112'!$I$6)),"x",""))</f>
        <v/>
      </c>
      <c r="U2073" s="525" t="str">
        <f>IF(AND(B2073&gt;='IN-NX'!$P$3,B2073&lt;='IN-NX'!$Q$3,'IN-NX'!$D$7=D2073,OR(LEFT(L2073,2)="15",AND(LEFT(M2073,2)&lt;&gt;"15",LEFT(M2073,2)&lt;&gt;"33"))),"x","")</f>
        <v/>
      </c>
      <c r="V2073" s="525" t="str">
        <f>IF(AND(OR(LEFT(TH!L2073,2)="15",LEFT(TH!M2073,2)="15"),'152-CT'!$J$8=TH!F2073),"x","")</f>
        <v/>
      </c>
      <c r="W2073" s="525" t="str">
        <f>IF(AND(OR(LEFT(TH!L2073,2)="15",LEFT(TH!M2073,2)="15"),TK!$E$7=TH!F2073),"x","")</f>
        <v/>
      </c>
      <c r="X2073" s="525" t="str">
        <f>IF(AND('341-CT'!$E$9=H2073,OR(LEFT(L2073,3)=$X$7,LEFT(M2073,3)=$X$7)),"x","")</f>
        <v/>
      </c>
      <c r="Y2073" s="525" t="str">
        <f>IF(OR(TH!L2073=TH!$Y$7,M2073=TH!$Y$7),"x","")</f>
        <v/>
      </c>
      <c r="Z2073" s="525" t="str">
        <f>IF(AND(B2073&lt;=NKC!$N$8,B2073&gt;=NKC!$M$8),"x","")</f>
        <v/>
      </c>
      <c r="AA2073" s="535">
        <v>2</v>
      </c>
      <c r="AC2073" s="503"/>
      <c r="AD2073" s="503"/>
      <c r="AE2073" s="503"/>
    </row>
    <row r="2074" spans="1:31" s="536" customFormat="1" ht="15.75" customHeight="1">
      <c r="A2074" s="517" t="str">
        <f>IF(B2074&lt;&gt;"",IF(AND(B2074&gt;=_TM1,B2074&lt;=_TM2,OR(TH!L2074="1111",TH!M2074="1111")),TH!D2074,""),"")</f>
        <v/>
      </c>
      <c r="B2074" s="531">
        <f t="shared" si="194"/>
        <v>4</v>
      </c>
      <c r="C2074" s="315">
        <f t="shared" si="195"/>
        <v>42833</v>
      </c>
      <c r="D2074" s="315" t="s">
        <v>964</v>
      </c>
      <c r="E2074" s="315">
        <v>42833</v>
      </c>
      <c r="F2074" s="249" t="s">
        <v>1017</v>
      </c>
      <c r="G2074" s="314" t="s">
        <v>1029</v>
      </c>
      <c r="H2074" s="473" t="s">
        <v>447</v>
      </c>
      <c r="I2074" s="307">
        <v>12</v>
      </c>
      <c r="J2074" s="307">
        <v>121340</v>
      </c>
      <c r="K2074" s="532">
        <f t="shared" si="196"/>
        <v>1456080</v>
      </c>
      <c r="L2074" s="534" t="s">
        <v>292</v>
      </c>
      <c r="M2074" s="534" t="s">
        <v>8</v>
      </c>
      <c r="N2074" s="525" t="str">
        <f>IF(AND('331-CT'!$E$7=TH!H2074,OR(L2074="331",M2074="331")),"331",IF(AND(OR(L2074="131",M2074="131"),H2074='131-CT'!$E$7),"131",""))</f>
        <v/>
      </c>
      <c r="O2074" s="525" t="str">
        <f>IF(AND($B2074&gt;='111'!$N$11,$B2074&lt;='111'!$O$11,OR($L2074=$O$7,$M2074=$O$7)),"x","")</f>
        <v/>
      </c>
      <c r="P2074" s="525" t="str">
        <f>IF(AND($L2074=$O$7,$B2074&lt;'111'!$N$11),"x","")</f>
        <v/>
      </c>
      <c r="Q2074" s="525" t="str">
        <f>IF(AND($M2074=$O$7,$B2074&lt;'111'!$N$11),"x","")</f>
        <v/>
      </c>
      <c r="R2074" s="525" t="str">
        <f>IF(ISERROR(FIND('112'!$M$9,G2074,1)),"",IF((AND(FIND('112'!$M$9,G2074,1)&gt;=1,$B2074&gt;='112'!$N$8,$B2074&lt;='112'!$O$8,OR($L2074='112'!$I$6,$M2074='112'!$I$6))),"x",""))</f>
        <v/>
      </c>
      <c r="S2074" s="525" t="str">
        <f>IF(ISERROR(FIND('112'!$M$9,G2074,1)),"",IF((AND(LEFT(G2074,2)=LEFT('112'!$M$9,2),B2074&lt;'112'!$N$8,$L2074='112'!$I$6)),"x",""))</f>
        <v/>
      </c>
      <c r="T2074" s="525" t="str">
        <f>IF(ISERROR(FIND('112'!$M$9,G2074,1)),"",IF((AND(RIGHT(G2074,2)=RIGHT('112'!$M$9,2),B2074&lt;'112'!$N$8,$M2074='112'!$I$6)),"x",""))</f>
        <v/>
      </c>
      <c r="U2074" s="525" t="str">
        <f>IF(AND(B2074&gt;='IN-NX'!$P$3,B2074&lt;='IN-NX'!$Q$3,'IN-NX'!$D$7=D2074,OR(LEFT(L2074,2)="15",AND(LEFT(M2074,2)&lt;&gt;"15",LEFT(M2074,2)&lt;&gt;"33"))),"x","")</f>
        <v/>
      </c>
      <c r="V2074" s="525" t="str">
        <f>IF(AND(OR(LEFT(TH!L2074,2)="15",LEFT(TH!M2074,2)="15"),'152-CT'!$J$8=TH!F2074),"x","")</f>
        <v/>
      </c>
      <c r="W2074" s="525" t="str">
        <f>IF(AND(OR(LEFT(TH!L2074,2)="15",LEFT(TH!M2074,2)="15"),TK!$E$7=TH!F2074),"x","")</f>
        <v/>
      </c>
      <c r="X2074" s="525" t="str">
        <f>IF(AND('341-CT'!$E$9=H2074,OR(LEFT(L2074,3)=$X$7,LEFT(M2074,3)=$X$7)),"x","")</f>
        <v/>
      </c>
      <c r="Y2074" s="525" t="str">
        <f>IF(OR(TH!L2074=TH!$Y$7,M2074=TH!$Y$7),"x","")</f>
        <v/>
      </c>
      <c r="Z2074" s="525" t="str">
        <f>IF(AND(B2074&lt;=NKC!$N$8,B2074&gt;=NKC!$M$8),"x","")</f>
        <v/>
      </c>
      <c r="AA2074" s="535">
        <v>2</v>
      </c>
      <c r="AC2074" s="503"/>
      <c r="AE2074" s="503"/>
    </row>
    <row r="2075" spans="1:31" s="536" customFormat="1" ht="15.75" customHeight="1">
      <c r="A2075" s="517" t="str">
        <f>IF(B2075&lt;&gt;"",IF(AND(B2075&gt;=_TM1,B2075&lt;=_TM2,OR(TH!L2075="1111",TH!M2075="1111")),TH!D2075,""),"")</f>
        <v/>
      </c>
      <c r="B2075" s="531">
        <f t="shared" si="194"/>
        <v>4</v>
      </c>
      <c r="C2075" s="315">
        <f t="shared" si="195"/>
        <v>42833</v>
      </c>
      <c r="D2075" s="315" t="s">
        <v>964</v>
      </c>
      <c r="E2075" s="315">
        <v>42833</v>
      </c>
      <c r="F2075" s="249" t="s">
        <v>1018</v>
      </c>
      <c r="G2075" s="314" t="s">
        <v>1029</v>
      </c>
      <c r="H2075" s="473" t="s">
        <v>447</v>
      </c>
      <c r="I2075" s="307">
        <v>24</v>
      </c>
      <c r="J2075" s="307">
        <v>53631</v>
      </c>
      <c r="K2075" s="532">
        <f t="shared" si="196"/>
        <v>1287144</v>
      </c>
      <c r="L2075" s="534" t="s">
        <v>292</v>
      </c>
      <c r="M2075" s="534" t="s">
        <v>8</v>
      </c>
      <c r="N2075" s="525" t="str">
        <f>IF(AND('331-CT'!$E$7=TH!H2075,OR(L2075="331",M2075="331")),"331",IF(AND(OR(L2075="131",M2075="131"),H2075='131-CT'!$E$7),"131",""))</f>
        <v/>
      </c>
      <c r="O2075" s="525" t="str">
        <f>IF(AND($B2075&gt;='111'!$N$11,$B2075&lt;='111'!$O$11,OR($L2075=$O$7,$M2075=$O$7)),"x","")</f>
        <v/>
      </c>
      <c r="P2075" s="525" t="str">
        <f>IF(AND($L2075=$O$7,$B2075&lt;'111'!$N$11),"x","")</f>
        <v/>
      </c>
      <c r="Q2075" s="525" t="str">
        <f>IF(AND($M2075=$O$7,$B2075&lt;'111'!$N$11),"x","")</f>
        <v/>
      </c>
      <c r="R2075" s="525" t="str">
        <f>IF(ISERROR(FIND('112'!$M$9,G2075,1)),"",IF((AND(FIND('112'!$M$9,G2075,1)&gt;=1,$B2075&gt;='112'!$N$8,$B2075&lt;='112'!$O$8,OR($L2075='112'!$I$6,$M2075='112'!$I$6))),"x",""))</f>
        <v/>
      </c>
      <c r="S2075" s="525" t="str">
        <f>IF(ISERROR(FIND('112'!$M$9,G2075,1)),"",IF((AND(LEFT(G2075,2)=LEFT('112'!$M$9,2),B2075&lt;'112'!$N$8,$L2075='112'!$I$6)),"x",""))</f>
        <v/>
      </c>
      <c r="T2075" s="525" t="str">
        <f>IF(ISERROR(FIND('112'!$M$9,G2075,1)),"",IF((AND(RIGHT(G2075,2)=RIGHT('112'!$M$9,2),B2075&lt;'112'!$N$8,$M2075='112'!$I$6)),"x",""))</f>
        <v/>
      </c>
      <c r="U2075" s="525" t="str">
        <f>IF(AND(B2075&gt;='IN-NX'!$P$3,B2075&lt;='IN-NX'!$Q$3,'IN-NX'!$D$7=D2075,OR(LEFT(L2075,2)="15",AND(LEFT(M2075,2)&lt;&gt;"15",LEFT(M2075,2)&lt;&gt;"33"))),"x","")</f>
        <v/>
      </c>
      <c r="V2075" s="525" t="str">
        <f>IF(AND(OR(LEFT(TH!L2075,2)="15",LEFT(TH!M2075,2)="15"),'152-CT'!$J$8=TH!F2075),"x","")</f>
        <v/>
      </c>
      <c r="W2075" s="525" t="str">
        <f>IF(AND(OR(LEFT(TH!L2075,2)="15",LEFT(TH!M2075,2)="15"),TK!$E$7=TH!F2075),"x","")</f>
        <v/>
      </c>
      <c r="X2075" s="525" t="str">
        <f>IF(AND('341-CT'!$E$9=H2075,OR(LEFT(L2075,3)=$X$7,LEFT(M2075,3)=$X$7)),"x","")</f>
        <v/>
      </c>
      <c r="Y2075" s="525" t="str">
        <f>IF(OR(TH!L2075=TH!$Y$7,M2075=TH!$Y$7),"x","")</f>
        <v/>
      </c>
      <c r="Z2075" s="525" t="str">
        <f>IF(AND(B2075&lt;=NKC!$N$8,B2075&gt;=NKC!$M$8),"x","")</f>
        <v/>
      </c>
      <c r="AA2075" s="535">
        <v>2</v>
      </c>
      <c r="AC2075" s="503"/>
      <c r="AE2075" s="503"/>
    </row>
    <row r="2076" spans="1:31" s="536" customFormat="1" ht="15.75" customHeight="1">
      <c r="A2076" s="517" t="str">
        <f>IF(B2076&lt;&gt;"",IF(AND(B2076&gt;=_TM1,B2076&lt;=_TM2,OR(TH!L2076="1111",TH!M2076="1111")),TH!D2076,""),"")</f>
        <v/>
      </c>
      <c r="B2076" s="531">
        <f t="shared" si="194"/>
        <v>4</v>
      </c>
      <c r="C2076" s="315">
        <f t="shared" si="195"/>
        <v>42833</v>
      </c>
      <c r="D2076" s="315" t="s">
        <v>964</v>
      </c>
      <c r="E2076" s="315">
        <v>42833</v>
      </c>
      <c r="F2076" s="249" t="s">
        <v>704</v>
      </c>
      <c r="G2076" s="314" t="s">
        <v>1029</v>
      </c>
      <c r="H2076" s="473" t="s">
        <v>447</v>
      </c>
      <c r="I2076" s="307">
        <v>131</v>
      </c>
      <c r="J2076" s="307">
        <v>17250</v>
      </c>
      <c r="K2076" s="532">
        <f t="shared" si="196"/>
        <v>2259750</v>
      </c>
      <c r="L2076" s="534" t="s">
        <v>292</v>
      </c>
      <c r="M2076" s="534" t="s">
        <v>8</v>
      </c>
      <c r="N2076" s="525" t="str">
        <f>IF(AND('331-CT'!$E$7=TH!H2076,OR(L2076="331",M2076="331")),"331",IF(AND(OR(L2076="131",M2076="131"),H2076='131-CT'!$E$7),"131",""))</f>
        <v/>
      </c>
      <c r="O2076" s="525" t="str">
        <f>IF(AND($B2076&gt;='111'!$N$11,$B2076&lt;='111'!$O$11,OR($L2076=$O$7,$M2076=$O$7)),"x","")</f>
        <v/>
      </c>
      <c r="P2076" s="525" t="str">
        <f>IF(AND($L2076=$O$7,$B2076&lt;'111'!$N$11),"x","")</f>
        <v/>
      </c>
      <c r="Q2076" s="525" t="str">
        <f>IF(AND($M2076=$O$7,$B2076&lt;'111'!$N$11),"x","")</f>
        <v/>
      </c>
      <c r="R2076" s="525" t="str">
        <f>IF(ISERROR(FIND('112'!$M$9,G2076,1)),"",IF((AND(FIND('112'!$M$9,G2076,1)&gt;=1,$B2076&gt;='112'!$N$8,$B2076&lt;='112'!$O$8,OR($L2076='112'!$I$6,$M2076='112'!$I$6))),"x",""))</f>
        <v/>
      </c>
      <c r="S2076" s="525" t="str">
        <f>IF(ISERROR(FIND('112'!$M$9,G2076,1)),"",IF((AND(LEFT(G2076,2)=LEFT('112'!$M$9,2),B2076&lt;'112'!$N$8,$L2076='112'!$I$6)),"x",""))</f>
        <v/>
      </c>
      <c r="T2076" s="525" t="str">
        <f>IF(ISERROR(FIND('112'!$M$9,G2076,1)),"",IF((AND(RIGHT(G2076,2)=RIGHT('112'!$M$9,2),B2076&lt;'112'!$N$8,$M2076='112'!$I$6)),"x",""))</f>
        <v/>
      </c>
      <c r="U2076" s="525" t="str">
        <f>IF(AND(B2076&gt;='IN-NX'!$P$3,B2076&lt;='IN-NX'!$Q$3,'IN-NX'!$D$7=D2076,OR(LEFT(L2076,2)="15",AND(LEFT(M2076,2)&lt;&gt;"15",LEFT(M2076,2)&lt;&gt;"33"))),"x","")</f>
        <v/>
      </c>
      <c r="V2076" s="525" t="str">
        <f>IF(AND(OR(LEFT(TH!L2076,2)="15",LEFT(TH!M2076,2)="15"),'152-CT'!$J$8=TH!F2076),"x","")</f>
        <v/>
      </c>
      <c r="W2076" s="525" t="str">
        <f>IF(AND(OR(LEFT(TH!L2076,2)="15",LEFT(TH!M2076,2)="15"),TK!$E$7=TH!F2076),"x","")</f>
        <v/>
      </c>
      <c r="X2076" s="525" t="str">
        <f>IF(AND('341-CT'!$E$9=H2076,OR(LEFT(L2076,3)=$X$7,LEFT(M2076,3)=$X$7)),"x","")</f>
        <v/>
      </c>
      <c r="Y2076" s="525" t="str">
        <f>IF(OR(TH!L2076=TH!$Y$7,M2076=TH!$Y$7),"x","")</f>
        <v/>
      </c>
      <c r="Z2076" s="525" t="str">
        <f>IF(AND(B2076&lt;=NKC!$N$8,B2076&gt;=NKC!$M$8),"x","")</f>
        <v/>
      </c>
      <c r="AA2076" s="535">
        <v>2</v>
      </c>
      <c r="AC2076" s="503"/>
      <c r="AE2076" s="503"/>
    </row>
    <row r="2077" spans="1:31" s="536" customFormat="1" ht="15.75" customHeight="1">
      <c r="A2077" s="517" t="str">
        <f>IF(B2077&lt;&gt;"",IF(AND(B2077&gt;=_TM1,B2077&lt;=_TM2,OR(TH!L2077="1111",TH!M2077="1111")),TH!D2077,""),"")</f>
        <v/>
      </c>
      <c r="B2077" s="531">
        <f t="shared" si="194"/>
        <v>4</v>
      </c>
      <c r="C2077" s="315">
        <f t="shared" si="195"/>
        <v>42833</v>
      </c>
      <c r="D2077" s="315" t="s">
        <v>964</v>
      </c>
      <c r="E2077" s="315">
        <v>42833</v>
      </c>
      <c r="F2077" s="249" t="s">
        <v>1019</v>
      </c>
      <c r="G2077" s="314" t="s">
        <v>1029</v>
      </c>
      <c r="H2077" s="473" t="s">
        <v>447</v>
      </c>
      <c r="I2077" s="307">
        <v>12</v>
      </c>
      <c r="J2077" s="307">
        <v>21058</v>
      </c>
      <c r="K2077" s="532">
        <f t="shared" si="196"/>
        <v>252696</v>
      </c>
      <c r="L2077" s="534" t="s">
        <v>292</v>
      </c>
      <c r="M2077" s="534" t="s">
        <v>8</v>
      </c>
      <c r="N2077" s="525" t="str">
        <f>IF(AND('331-CT'!$E$7=TH!H2077,OR(L2077="331",M2077="331")),"331",IF(AND(OR(L2077="131",M2077="131"),H2077='131-CT'!$E$7),"131",""))</f>
        <v/>
      </c>
      <c r="O2077" s="525" t="str">
        <f>IF(AND($B2077&gt;='111'!$N$11,$B2077&lt;='111'!$O$11,OR($L2077=$O$7,$M2077=$O$7)),"x","")</f>
        <v/>
      </c>
      <c r="P2077" s="525" t="str">
        <f>IF(AND($L2077=$O$7,$B2077&lt;'111'!$N$11),"x","")</f>
        <v/>
      </c>
      <c r="Q2077" s="525" t="str">
        <f>IF(AND($M2077=$O$7,$B2077&lt;'111'!$N$11),"x","")</f>
        <v/>
      </c>
      <c r="R2077" s="525" t="str">
        <f>IF(ISERROR(FIND('112'!$M$9,G2077,1)),"",IF((AND(FIND('112'!$M$9,G2077,1)&gt;=1,$B2077&gt;='112'!$N$8,$B2077&lt;='112'!$O$8,OR($L2077='112'!$I$6,$M2077='112'!$I$6))),"x",""))</f>
        <v/>
      </c>
      <c r="S2077" s="525" t="str">
        <f>IF(ISERROR(FIND('112'!$M$9,G2077,1)),"",IF((AND(LEFT(G2077,2)=LEFT('112'!$M$9,2),B2077&lt;'112'!$N$8,$L2077='112'!$I$6)),"x",""))</f>
        <v/>
      </c>
      <c r="T2077" s="525" t="str">
        <f>IF(ISERROR(FIND('112'!$M$9,G2077,1)),"",IF((AND(RIGHT(G2077,2)=RIGHT('112'!$M$9,2),B2077&lt;'112'!$N$8,$M2077='112'!$I$6)),"x",""))</f>
        <v/>
      </c>
      <c r="U2077" s="525" t="str">
        <f>IF(AND(B2077&gt;='IN-NX'!$P$3,B2077&lt;='IN-NX'!$Q$3,'IN-NX'!$D$7=D2077,OR(LEFT(L2077,2)="15",AND(LEFT(M2077,2)&lt;&gt;"15",LEFT(M2077,2)&lt;&gt;"33"))),"x","")</f>
        <v/>
      </c>
      <c r="V2077" s="525" t="str">
        <f>IF(AND(OR(LEFT(TH!L2077,2)="15",LEFT(TH!M2077,2)="15"),'152-CT'!$J$8=TH!F2077),"x","")</f>
        <v/>
      </c>
      <c r="W2077" s="525" t="str">
        <f>IF(AND(OR(LEFT(TH!L2077,2)="15",LEFT(TH!M2077,2)="15"),TK!$E$7=TH!F2077),"x","")</f>
        <v/>
      </c>
      <c r="X2077" s="525" t="str">
        <f>IF(AND('341-CT'!$E$9=H2077,OR(LEFT(L2077,3)=$X$7,LEFT(M2077,3)=$X$7)),"x","")</f>
        <v/>
      </c>
      <c r="Y2077" s="525" t="str">
        <f>IF(OR(TH!L2077=TH!$Y$7,M2077=TH!$Y$7),"x","")</f>
        <v/>
      </c>
      <c r="Z2077" s="525" t="str">
        <f>IF(AND(B2077&lt;=NKC!$N$8,B2077&gt;=NKC!$M$8),"x","")</f>
        <v/>
      </c>
      <c r="AA2077" s="535">
        <v>2</v>
      </c>
      <c r="AC2077" s="503"/>
      <c r="AD2077" s="503"/>
      <c r="AE2077" s="503"/>
    </row>
    <row r="2078" spans="1:31" s="536" customFormat="1" ht="15.75" customHeight="1">
      <c r="A2078" s="517" t="str">
        <f>IF(B2078&lt;&gt;"",IF(AND(B2078&gt;=_TM1,B2078&lt;=_TM2,OR(TH!L2078="1111",TH!M2078="1111")),TH!D2078,""),"")</f>
        <v/>
      </c>
      <c r="B2078" s="531">
        <f t="shared" si="194"/>
        <v>4</v>
      </c>
      <c r="C2078" s="315">
        <f t="shared" si="195"/>
        <v>42833</v>
      </c>
      <c r="D2078" s="315" t="s">
        <v>964</v>
      </c>
      <c r="E2078" s="315">
        <v>42833</v>
      </c>
      <c r="F2078" s="247" t="s">
        <v>1020</v>
      </c>
      <c r="G2078" s="314" t="s">
        <v>1029</v>
      </c>
      <c r="H2078" s="473" t="s">
        <v>447</v>
      </c>
      <c r="I2078" s="307">
        <v>12</v>
      </c>
      <c r="J2078" s="307">
        <v>21745</v>
      </c>
      <c r="K2078" s="532">
        <f t="shared" si="196"/>
        <v>260940</v>
      </c>
      <c r="L2078" s="534" t="s">
        <v>292</v>
      </c>
      <c r="M2078" s="534" t="s">
        <v>8</v>
      </c>
      <c r="N2078" s="525" t="str">
        <f>IF(AND('331-CT'!$E$7=TH!H2078,OR(L2078="331",M2078="331")),"331",IF(AND(OR(L2078="131",M2078="131"),H2078='131-CT'!$E$7),"131",""))</f>
        <v/>
      </c>
      <c r="O2078" s="525" t="str">
        <f>IF(AND($B2078&gt;='111'!$N$11,$B2078&lt;='111'!$O$11,OR($L2078=$O$7,$M2078=$O$7)),"x","")</f>
        <v/>
      </c>
      <c r="P2078" s="525" t="str">
        <f>IF(AND($L2078=$O$7,$B2078&lt;'111'!$N$11),"x","")</f>
        <v/>
      </c>
      <c r="Q2078" s="525" t="str">
        <f>IF(AND($M2078=$O$7,$B2078&lt;'111'!$N$11),"x","")</f>
        <v/>
      </c>
      <c r="R2078" s="525" t="str">
        <f>IF(ISERROR(FIND('112'!$M$9,G2078,1)),"",IF((AND(FIND('112'!$M$9,G2078,1)&gt;=1,$B2078&gt;='112'!$N$8,$B2078&lt;='112'!$O$8,OR($L2078='112'!$I$6,$M2078='112'!$I$6))),"x",""))</f>
        <v/>
      </c>
      <c r="S2078" s="525" t="str">
        <f>IF(ISERROR(FIND('112'!$M$9,G2078,1)),"",IF((AND(LEFT(G2078,2)=LEFT('112'!$M$9,2),B2078&lt;'112'!$N$8,$L2078='112'!$I$6)),"x",""))</f>
        <v/>
      </c>
      <c r="T2078" s="525" t="str">
        <f>IF(ISERROR(FIND('112'!$M$9,G2078,1)),"",IF((AND(RIGHT(G2078,2)=RIGHT('112'!$M$9,2),B2078&lt;'112'!$N$8,$M2078='112'!$I$6)),"x",""))</f>
        <v/>
      </c>
      <c r="U2078" s="525" t="str">
        <f>IF(AND(B2078&gt;='IN-NX'!$P$3,B2078&lt;='IN-NX'!$Q$3,'IN-NX'!$D$7=D2078,OR(LEFT(L2078,2)="15",AND(LEFT(M2078,2)&lt;&gt;"15",LEFT(M2078,2)&lt;&gt;"33"))),"x","")</f>
        <v/>
      </c>
      <c r="V2078" s="525" t="str">
        <f>IF(AND(OR(LEFT(TH!L2078,2)="15",LEFT(TH!M2078,2)="15"),'152-CT'!$J$8=TH!F2078),"x","")</f>
        <v/>
      </c>
      <c r="W2078" s="525" t="str">
        <f>IF(AND(OR(LEFT(TH!L2078,2)="15",LEFT(TH!M2078,2)="15"),TK!$E$7=TH!F2078),"x","")</f>
        <v/>
      </c>
      <c r="X2078" s="525" t="str">
        <f>IF(AND('341-CT'!$E$9=H2078,OR(LEFT(L2078,3)=$X$7,LEFT(M2078,3)=$X$7)),"x","")</f>
        <v/>
      </c>
      <c r="Y2078" s="525" t="str">
        <f>IF(OR(TH!L2078=TH!$Y$7,M2078=TH!$Y$7),"x","")</f>
        <v/>
      </c>
      <c r="Z2078" s="525" t="str">
        <f>IF(AND(B2078&lt;=NKC!$N$8,B2078&gt;=NKC!$M$8),"x","")</f>
        <v/>
      </c>
      <c r="AA2078" s="535">
        <v>2</v>
      </c>
      <c r="AC2078" s="503"/>
      <c r="AD2078" s="503"/>
      <c r="AE2078" s="503"/>
    </row>
    <row r="2079" spans="1:31" s="536" customFormat="1" ht="15.75" customHeight="1">
      <c r="A2079" s="517" t="str">
        <f>IF(B2079&lt;&gt;"",IF(AND(B2079&gt;=_TM1,B2079&lt;=_TM2,OR(TH!L2079="1111",TH!M2079="1111")),TH!D2079,""),"")</f>
        <v/>
      </c>
      <c r="B2079" s="531">
        <f t="shared" si="194"/>
        <v>4</v>
      </c>
      <c r="C2079" s="315">
        <f t="shared" si="195"/>
        <v>42833</v>
      </c>
      <c r="D2079" s="315" t="s">
        <v>964</v>
      </c>
      <c r="E2079" s="315">
        <v>42833</v>
      </c>
      <c r="F2079" s="247" t="s">
        <v>1021</v>
      </c>
      <c r="G2079" s="314" t="s">
        <v>1029</v>
      </c>
      <c r="H2079" s="473" t="s">
        <v>447</v>
      </c>
      <c r="I2079" s="307">
        <v>11</v>
      </c>
      <c r="J2079" s="307">
        <v>14662</v>
      </c>
      <c r="K2079" s="532">
        <f t="shared" si="196"/>
        <v>161282</v>
      </c>
      <c r="L2079" s="534" t="s">
        <v>292</v>
      </c>
      <c r="M2079" s="534" t="s">
        <v>8</v>
      </c>
      <c r="N2079" s="525" t="str">
        <f>IF(AND('331-CT'!$E$7=TH!H2079,OR(L2079="331",M2079="331")),"331",IF(AND(OR(L2079="131",M2079="131"),H2079='131-CT'!$E$7),"131",""))</f>
        <v/>
      </c>
      <c r="O2079" s="525" t="str">
        <f>IF(AND($B2079&gt;='111'!$N$11,$B2079&lt;='111'!$O$11,OR($L2079=$O$7,$M2079=$O$7)),"x","")</f>
        <v/>
      </c>
      <c r="P2079" s="525" t="str">
        <f>IF(AND($L2079=$O$7,$B2079&lt;'111'!$N$11),"x","")</f>
        <v/>
      </c>
      <c r="Q2079" s="525" t="str">
        <f>IF(AND($M2079=$O$7,$B2079&lt;'111'!$N$11),"x","")</f>
        <v/>
      </c>
      <c r="R2079" s="525" t="str">
        <f>IF(ISERROR(FIND('112'!$M$9,G2079,1)),"",IF((AND(FIND('112'!$M$9,G2079,1)&gt;=1,$B2079&gt;='112'!$N$8,$B2079&lt;='112'!$O$8,OR($L2079='112'!$I$6,$M2079='112'!$I$6))),"x",""))</f>
        <v/>
      </c>
      <c r="S2079" s="525" t="str">
        <f>IF(ISERROR(FIND('112'!$M$9,G2079,1)),"",IF((AND(LEFT(G2079,2)=LEFT('112'!$M$9,2),B2079&lt;'112'!$N$8,$L2079='112'!$I$6)),"x",""))</f>
        <v/>
      </c>
      <c r="T2079" s="525" t="str">
        <f>IF(ISERROR(FIND('112'!$M$9,G2079,1)),"",IF((AND(RIGHT(G2079,2)=RIGHT('112'!$M$9,2),B2079&lt;'112'!$N$8,$M2079='112'!$I$6)),"x",""))</f>
        <v/>
      </c>
      <c r="U2079" s="525" t="str">
        <f>IF(AND(B2079&gt;='IN-NX'!$P$3,B2079&lt;='IN-NX'!$Q$3,'IN-NX'!$D$7=D2079,OR(LEFT(L2079,2)="15",AND(LEFT(M2079,2)&lt;&gt;"15",LEFT(M2079,2)&lt;&gt;"33"))),"x","")</f>
        <v/>
      </c>
      <c r="V2079" s="525" t="str">
        <f>IF(AND(OR(LEFT(TH!L2079,2)="15",LEFT(TH!M2079,2)="15"),'152-CT'!$J$8=TH!F2079),"x","")</f>
        <v/>
      </c>
      <c r="W2079" s="525" t="str">
        <f>IF(AND(OR(LEFT(TH!L2079,2)="15",LEFT(TH!M2079,2)="15"),TK!$E$7=TH!F2079),"x","")</f>
        <v/>
      </c>
      <c r="X2079" s="525" t="str">
        <f>IF(AND('341-CT'!$E$9=H2079,OR(LEFT(L2079,3)=$X$7,LEFT(M2079,3)=$X$7)),"x","")</f>
        <v/>
      </c>
      <c r="Y2079" s="525" t="str">
        <f>IF(OR(TH!L2079=TH!$Y$7,M2079=TH!$Y$7),"x","")</f>
        <v/>
      </c>
      <c r="Z2079" s="525" t="str">
        <f>IF(AND(B2079&lt;=NKC!$N$8,B2079&gt;=NKC!$M$8),"x","")</f>
        <v/>
      </c>
      <c r="AA2079" s="535">
        <v>2</v>
      </c>
      <c r="AC2079" s="503"/>
      <c r="AD2079" s="503"/>
      <c r="AE2079" s="503"/>
    </row>
    <row r="2080" spans="1:31" s="536" customFormat="1" ht="15.75" customHeight="1">
      <c r="A2080" s="517" t="str">
        <f>IF(B2080&lt;&gt;"",IF(AND(B2080&gt;=_TM1,B2080&lt;=_TM2,OR(TH!L2080="1111",TH!M2080="1111")),TH!D2080,""),"")</f>
        <v/>
      </c>
      <c r="B2080" s="531">
        <f t="shared" si="194"/>
        <v>4</v>
      </c>
      <c r="C2080" s="315">
        <f t="shared" si="195"/>
        <v>42833</v>
      </c>
      <c r="D2080" s="315" t="s">
        <v>965</v>
      </c>
      <c r="E2080" s="315">
        <v>42833</v>
      </c>
      <c r="F2080" s="247" t="s">
        <v>1022</v>
      </c>
      <c r="G2080" s="314" t="s">
        <v>1029</v>
      </c>
      <c r="H2080" s="473" t="s">
        <v>447</v>
      </c>
      <c r="I2080" s="307">
        <v>34</v>
      </c>
      <c r="J2080" s="307">
        <v>20573</v>
      </c>
      <c r="K2080" s="532">
        <f t="shared" si="196"/>
        <v>699482</v>
      </c>
      <c r="L2080" s="534" t="s">
        <v>292</v>
      </c>
      <c r="M2080" s="534" t="s">
        <v>8</v>
      </c>
      <c r="N2080" s="525" t="str">
        <f>IF(AND('331-CT'!$E$7=TH!H2080,OR(L2080="331",M2080="331")),"331",IF(AND(OR(L2080="131",M2080="131"),H2080='131-CT'!$E$7),"131",""))</f>
        <v/>
      </c>
      <c r="O2080" s="525" t="str">
        <f>IF(AND($B2080&gt;='111'!$N$11,$B2080&lt;='111'!$O$11,OR($L2080=$O$7,$M2080=$O$7)),"x","")</f>
        <v/>
      </c>
      <c r="P2080" s="525" t="str">
        <f>IF(AND($L2080=$O$7,$B2080&lt;'111'!$N$11),"x","")</f>
        <v/>
      </c>
      <c r="Q2080" s="525" t="str">
        <f>IF(AND($M2080=$O$7,$B2080&lt;'111'!$N$11),"x","")</f>
        <v/>
      </c>
      <c r="R2080" s="525" t="str">
        <f>IF(ISERROR(FIND('112'!$M$9,G2080,1)),"",IF((AND(FIND('112'!$M$9,G2080,1)&gt;=1,$B2080&gt;='112'!$N$8,$B2080&lt;='112'!$O$8,OR($L2080='112'!$I$6,$M2080='112'!$I$6))),"x",""))</f>
        <v/>
      </c>
      <c r="S2080" s="525" t="str">
        <f>IF(ISERROR(FIND('112'!$M$9,G2080,1)),"",IF((AND(LEFT(G2080,2)=LEFT('112'!$M$9,2),B2080&lt;'112'!$N$8,$L2080='112'!$I$6)),"x",""))</f>
        <v/>
      </c>
      <c r="T2080" s="525" t="str">
        <f>IF(ISERROR(FIND('112'!$M$9,G2080,1)),"",IF((AND(RIGHT(G2080,2)=RIGHT('112'!$M$9,2),B2080&lt;'112'!$N$8,$M2080='112'!$I$6)),"x",""))</f>
        <v/>
      </c>
      <c r="U2080" s="525" t="str">
        <f>IF(AND(B2080&gt;='IN-NX'!$P$3,B2080&lt;='IN-NX'!$Q$3,'IN-NX'!$D$7=D2080,OR(LEFT(L2080,2)="15",AND(LEFT(M2080,2)&lt;&gt;"15",LEFT(M2080,2)&lt;&gt;"33"))),"x","")</f>
        <v/>
      </c>
      <c r="V2080" s="525" t="str">
        <f>IF(AND(OR(LEFT(TH!L2080,2)="15",LEFT(TH!M2080,2)="15"),'152-CT'!$J$8=TH!F2080),"x","")</f>
        <v/>
      </c>
      <c r="W2080" s="525" t="str">
        <f>IF(AND(OR(LEFT(TH!L2080,2)="15",LEFT(TH!M2080,2)="15"),TK!$E$7=TH!F2080),"x","")</f>
        <v/>
      </c>
      <c r="X2080" s="525" t="str">
        <f>IF(AND('341-CT'!$E$9=H2080,OR(LEFT(L2080,3)=$X$7,LEFT(M2080,3)=$X$7)),"x","")</f>
        <v/>
      </c>
      <c r="Y2080" s="525" t="str">
        <f>IF(OR(TH!L2080=TH!$Y$7,M2080=TH!$Y$7),"x","")</f>
        <v/>
      </c>
      <c r="Z2080" s="525" t="str">
        <f>IF(AND(B2080&lt;=NKC!$N$8,B2080&gt;=NKC!$M$8),"x","")</f>
        <v/>
      </c>
      <c r="AA2080" s="535">
        <v>2</v>
      </c>
      <c r="AC2080" s="503"/>
      <c r="AD2080" s="503"/>
      <c r="AE2080" s="503"/>
    </row>
    <row r="2081" spans="1:34" s="536" customFormat="1" ht="15.75" customHeight="1">
      <c r="A2081" s="517" t="str">
        <f>IF(B2081&lt;&gt;"",IF(AND(B2081&gt;=_TM1,B2081&lt;=_TM2,OR(TH!L2081="1111",TH!M2081="1111")),TH!D2081,""),"")</f>
        <v/>
      </c>
      <c r="B2081" s="531">
        <f t="shared" si="194"/>
        <v>4</v>
      </c>
      <c r="C2081" s="315">
        <f t="shared" si="195"/>
        <v>42833</v>
      </c>
      <c r="D2081" s="315" t="s">
        <v>965</v>
      </c>
      <c r="E2081" s="315">
        <v>42833</v>
      </c>
      <c r="F2081" s="249" t="s">
        <v>722</v>
      </c>
      <c r="G2081" s="314" t="s">
        <v>1029</v>
      </c>
      <c r="H2081" s="473" t="s">
        <v>447</v>
      </c>
      <c r="I2081" s="307">
        <v>12</v>
      </c>
      <c r="J2081" s="307">
        <v>11341</v>
      </c>
      <c r="K2081" s="532">
        <f t="shared" si="196"/>
        <v>136092</v>
      </c>
      <c r="L2081" s="534" t="s">
        <v>292</v>
      </c>
      <c r="M2081" s="534" t="s">
        <v>8</v>
      </c>
      <c r="N2081" s="525" t="str">
        <f>IF(AND('331-CT'!$E$7=TH!H2081,OR(L2081="331",M2081="331")),"331",IF(AND(OR(L2081="131",M2081="131"),H2081='131-CT'!$E$7),"131",""))</f>
        <v/>
      </c>
      <c r="O2081" s="525" t="str">
        <f>IF(AND($B2081&gt;='111'!$N$11,$B2081&lt;='111'!$O$11,OR($L2081=$O$7,$M2081=$O$7)),"x","")</f>
        <v/>
      </c>
      <c r="P2081" s="525" t="str">
        <f>IF(AND($L2081=$O$7,$B2081&lt;'111'!$N$11),"x","")</f>
        <v/>
      </c>
      <c r="Q2081" s="525" t="str">
        <f>IF(AND($M2081=$O$7,$B2081&lt;'111'!$N$11),"x","")</f>
        <v/>
      </c>
      <c r="R2081" s="525" t="str">
        <f>IF(ISERROR(FIND('112'!$M$9,G2081,1)),"",IF((AND(FIND('112'!$M$9,G2081,1)&gt;=1,$B2081&gt;='112'!$N$8,$B2081&lt;='112'!$O$8,OR($L2081='112'!$I$6,$M2081='112'!$I$6))),"x",""))</f>
        <v/>
      </c>
      <c r="S2081" s="525" t="str">
        <f>IF(ISERROR(FIND('112'!$M$9,G2081,1)),"",IF((AND(LEFT(G2081,2)=LEFT('112'!$M$9,2),B2081&lt;'112'!$N$8,$L2081='112'!$I$6)),"x",""))</f>
        <v/>
      </c>
      <c r="T2081" s="525" t="str">
        <f>IF(ISERROR(FIND('112'!$M$9,G2081,1)),"",IF((AND(RIGHT(G2081,2)=RIGHT('112'!$M$9,2),B2081&lt;'112'!$N$8,$M2081='112'!$I$6)),"x",""))</f>
        <v/>
      </c>
      <c r="U2081" s="525" t="str">
        <f>IF(AND(B2081&gt;='IN-NX'!$P$3,B2081&lt;='IN-NX'!$Q$3,'IN-NX'!$D$7=D2081,OR(LEFT(L2081,2)="15",AND(LEFT(M2081,2)&lt;&gt;"15",LEFT(M2081,2)&lt;&gt;"33"))),"x","")</f>
        <v/>
      </c>
      <c r="V2081" s="525" t="str">
        <f>IF(AND(OR(LEFT(TH!L2081,2)="15",LEFT(TH!M2081,2)="15"),'152-CT'!$J$8=TH!F2081),"x","")</f>
        <v/>
      </c>
      <c r="W2081" s="525" t="str">
        <f>IF(AND(OR(LEFT(TH!L2081,2)="15",LEFT(TH!M2081,2)="15"),TK!$E$7=TH!F2081),"x","")</f>
        <v/>
      </c>
      <c r="X2081" s="525" t="str">
        <f>IF(AND('341-CT'!$E$9=H2081,OR(LEFT(L2081,3)=$X$7,LEFT(M2081,3)=$X$7)),"x","")</f>
        <v/>
      </c>
      <c r="Y2081" s="525" t="str">
        <f>IF(OR(TH!L2081=TH!$Y$7,M2081=TH!$Y$7),"x","")</f>
        <v/>
      </c>
      <c r="Z2081" s="525" t="str">
        <f>IF(AND(B2081&lt;=NKC!$N$8,B2081&gt;=NKC!$M$8),"x","")</f>
        <v/>
      </c>
      <c r="AA2081" s="535">
        <v>2</v>
      </c>
      <c r="AC2081" s="503"/>
      <c r="AD2081" s="503"/>
      <c r="AE2081" s="503"/>
    </row>
    <row r="2082" spans="1:34" s="536" customFormat="1" ht="15.75" customHeight="1">
      <c r="A2082" s="517" t="str">
        <f>IF(B2082&lt;&gt;"",IF(AND(B2082&gt;=_TM1,B2082&lt;=_TM2,OR(TH!L2082="1111",TH!M2082="1111")),TH!D2082,""),"")</f>
        <v/>
      </c>
      <c r="B2082" s="531">
        <f t="shared" si="194"/>
        <v>4</v>
      </c>
      <c r="C2082" s="315">
        <f t="shared" si="195"/>
        <v>42833</v>
      </c>
      <c r="D2082" s="315" t="s">
        <v>965</v>
      </c>
      <c r="E2082" s="315">
        <v>42833</v>
      </c>
      <c r="F2082" s="249" t="s">
        <v>723</v>
      </c>
      <c r="G2082" s="314" t="s">
        <v>1029</v>
      </c>
      <c r="H2082" s="473" t="s">
        <v>447</v>
      </c>
      <c r="I2082" s="307">
        <v>12</v>
      </c>
      <c r="J2082" s="307">
        <v>10507</v>
      </c>
      <c r="K2082" s="532">
        <f t="shared" si="196"/>
        <v>126084</v>
      </c>
      <c r="L2082" s="534" t="s">
        <v>292</v>
      </c>
      <c r="M2082" s="534" t="s">
        <v>8</v>
      </c>
      <c r="N2082" s="525" t="str">
        <f>IF(AND('331-CT'!$E$7=TH!H2082,OR(L2082="331",M2082="331")),"331",IF(AND(OR(L2082="131",M2082="131"),H2082='131-CT'!$E$7),"131",""))</f>
        <v/>
      </c>
      <c r="O2082" s="525" t="str">
        <f>IF(AND($B2082&gt;='111'!$N$11,$B2082&lt;='111'!$O$11,OR($L2082=$O$7,$M2082=$O$7)),"x","")</f>
        <v/>
      </c>
      <c r="P2082" s="525" t="str">
        <f>IF(AND($L2082=$O$7,$B2082&lt;'111'!$N$11),"x","")</f>
        <v/>
      </c>
      <c r="Q2082" s="525" t="str">
        <f>IF(AND($M2082=$O$7,$B2082&lt;'111'!$N$11),"x","")</f>
        <v/>
      </c>
      <c r="R2082" s="525" t="str">
        <f>IF(ISERROR(FIND('112'!$M$9,G2082,1)),"",IF((AND(FIND('112'!$M$9,G2082,1)&gt;=1,$B2082&gt;='112'!$N$8,$B2082&lt;='112'!$O$8,OR($L2082='112'!$I$6,$M2082='112'!$I$6))),"x",""))</f>
        <v/>
      </c>
      <c r="S2082" s="525" t="str">
        <f>IF(ISERROR(FIND('112'!$M$9,G2082,1)),"",IF((AND(LEFT(G2082,2)=LEFT('112'!$M$9,2),B2082&lt;'112'!$N$8,$L2082='112'!$I$6)),"x",""))</f>
        <v/>
      </c>
      <c r="T2082" s="525" t="str">
        <f>IF(ISERROR(FIND('112'!$M$9,G2082,1)),"",IF((AND(RIGHT(G2082,2)=RIGHT('112'!$M$9,2),B2082&lt;'112'!$N$8,$M2082='112'!$I$6)),"x",""))</f>
        <v/>
      </c>
      <c r="U2082" s="525" t="str">
        <f>IF(AND(B2082&gt;='IN-NX'!$P$3,B2082&lt;='IN-NX'!$Q$3,'IN-NX'!$D$7=D2082,OR(LEFT(L2082,2)="15",AND(LEFT(M2082,2)&lt;&gt;"15",LEFT(M2082,2)&lt;&gt;"33"))),"x","")</f>
        <v/>
      </c>
      <c r="V2082" s="525" t="str">
        <f>IF(AND(OR(LEFT(TH!L2082,2)="15",LEFT(TH!M2082,2)="15"),'152-CT'!$J$8=TH!F2082),"x","")</f>
        <v/>
      </c>
      <c r="W2082" s="525" t="str">
        <f>IF(AND(OR(LEFT(TH!L2082,2)="15",LEFT(TH!M2082,2)="15"),TK!$E$7=TH!F2082),"x","")</f>
        <v/>
      </c>
      <c r="X2082" s="525" t="str">
        <f>IF(AND('341-CT'!$E$9=H2082,OR(LEFT(L2082,3)=$X$7,LEFT(M2082,3)=$X$7)),"x","")</f>
        <v/>
      </c>
      <c r="Y2082" s="525" t="str">
        <f>IF(OR(TH!L2082=TH!$Y$7,M2082=TH!$Y$7),"x","")</f>
        <v/>
      </c>
      <c r="Z2082" s="525" t="str">
        <f>IF(AND(B2082&lt;=NKC!$N$8,B2082&gt;=NKC!$M$8),"x","")</f>
        <v/>
      </c>
      <c r="AA2082" s="535">
        <v>2</v>
      </c>
      <c r="AC2082" s="503"/>
      <c r="AD2082" s="503"/>
      <c r="AE2082" s="503"/>
    </row>
    <row r="2083" spans="1:34" s="536" customFormat="1" ht="15.75" customHeight="1">
      <c r="A2083" s="517" t="str">
        <f>IF(B2083&lt;&gt;"",IF(AND(B2083&gt;=_TM1,B2083&lt;=_TM2,OR(TH!L2083="1111",TH!M2083="1111")),TH!D2083,""),"")</f>
        <v/>
      </c>
      <c r="B2083" s="531">
        <f t="shared" si="194"/>
        <v>4</v>
      </c>
      <c r="C2083" s="315">
        <f t="shared" si="195"/>
        <v>42833</v>
      </c>
      <c r="D2083" s="315" t="s">
        <v>965</v>
      </c>
      <c r="E2083" s="315">
        <v>42833</v>
      </c>
      <c r="F2083" s="247" t="s">
        <v>731</v>
      </c>
      <c r="G2083" s="314" t="s">
        <v>1029</v>
      </c>
      <c r="H2083" s="473" t="s">
        <v>447</v>
      </c>
      <c r="I2083" s="307">
        <v>10</v>
      </c>
      <c r="J2083" s="307">
        <v>54883</v>
      </c>
      <c r="K2083" s="532">
        <f t="shared" si="196"/>
        <v>548830</v>
      </c>
      <c r="L2083" s="534" t="s">
        <v>292</v>
      </c>
      <c r="M2083" s="534" t="s">
        <v>8</v>
      </c>
      <c r="N2083" s="525" t="str">
        <f>IF(AND('331-CT'!$E$7=TH!H2083,OR(L2083="331",M2083="331")),"331",IF(AND(OR(L2083="131",M2083="131"),H2083='131-CT'!$E$7),"131",""))</f>
        <v/>
      </c>
      <c r="O2083" s="525" t="str">
        <f>IF(AND($B2083&gt;='111'!$N$11,$B2083&lt;='111'!$O$11,OR($L2083=$O$7,$M2083=$O$7)),"x","")</f>
        <v/>
      </c>
      <c r="P2083" s="525" t="str">
        <f>IF(AND($L2083=$O$7,$B2083&lt;'111'!$N$11),"x","")</f>
        <v/>
      </c>
      <c r="Q2083" s="525" t="str">
        <f>IF(AND($M2083=$O$7,$B2083&lt;'111'!$N$11),"x","")</f>
        <v/>
      </c>
      <c r="R2083" s="525" t="str">
        <f>IF(ISERROR(FIND('112'!$M$9,G2083,1)),"",IF((AND(FIND('112'!$M$9,G2083,1)&gt;=1,$B2083&gt;='112'!$N$8,$B2083&lt;='112'!$O$8,OR($L2083='112'!$I$6,$M2083='112'!$I$6))),"x",""))</f>
        <v/>
      </c>
      <c r="S2083" s="525" t="str">
        <f>IF(ISERROR(FIND('112'!$M$9,G2083,1)),"",IF((AND(LEFT(G2083,2)=LEFT('112'!$M$9,2),B2083&lt;'112'!$N$8,$L2083='112'!$I$6)),"x",""))</f>
        <v/>
      </c>
      <c r="T2083" s="525" t="str">
        <f>IF(ISERROR(FIND('112'!$M$9,G2083,1)),"",IF((AND(RIGHT(G2083,2)=RIGHT('112'!$M$9,2),B2083&lt;'112'!$N$8,$M2083='112'!$I$6)),"x",""))</f>
        <v/>
      </c>
      <c r="U2083" s="525" t="str">
        <f>IF(AND(B2083&gt;='IN-NX'!$P$3,B2083&lt;='IN-NX'!$Q$3,'IN-NX'!$D$7=D2083,OR(LEFT(L2083,2)="15",AND(LEFT(M2083,2)&lt;&gt;"15",LEFT(M2083,2)&lt;&gt;"33"))),"x","")</f>
        <v/>
      </c>
      <c r="V2083" s="525" t="str">
        <f>IF(AND(OR(LEFT(TH!L2083,2)="15",LEFT(TH!M2083,2)="15"),'152-CT'!$J$8=TH!F2083),"x","")</f>
        <v/>
      </c>
      <c r="W2083" s="525" t="str">
        <f>IF(AND(OR(LEFT(TH!L2083,2)="15",LEFT(TH!M2083,2)="15"),TK!$E$7=TH!F2083),"x","")</f>
        <v/>
      </c>
      <c r="X2083" s="525" t="str">
        <f>IF(AND('341-CT'!$E$9=H2083,OR(LEFT(L2083,3)=$X$7,LEFT(M2083,3)=$X$7)),"x","")</f>
        <v/>
      </c>
      <c r="Y2083" s="525" t="str">
        <f>IF(OR(TH!L2083=TH!$Y$7,M2083=TH!$Y$7),"x","")</f>
        <v/>
      </c>
      <c r="Z2083" s="525" t="str">
        <f>IF(AND(B2083&lt;=NKC!$N$8,B2083&gt;=NKC!$M$8),"x","")</f>
        <v/>
      </c>
      <c r="AA2083" s="535">
        <v>2</v>
      </c>
      <c r="AC2083" s="503"/>
      <c r="AD2083" s="503"/>
      <c r="AE2083" s="503"/>
    </row>
    <row r="2084" spans="1:34" s="536" customFormat="1" ht="15.75" customHeight="1">
      <c r="A2084" s="517" t="str">
        <f>IF(B2084&lt;&gt;"",IF(AND(B2084&gt;=_TM1,B2084&lt;=_TM2,OR(TH!L2084="1111",TH!M2084="1111")),TH!D2084,""),"")</f>
        <v/>
      </c>
      <c r="B2084" s="531">
        <f t="shared" si="194"/>
        <v>4</v>
      </c>
      <c r="C2084" s="315">
        <f t="shared" si="195"/>
        <v>42833</v>
      </c>
      <c r="D2084" s="315" t="s">
        <v>965</v>
      </c>
      <c r="E2084" s="315">
        <v>42833</v>
      </c>
      <c r="F2084" s="247" t="s">
        <v>1023</v>
      </c>
      <c r="G2084" s="314" t="s">
        <v>1029</v>
      </c>
      <c r="H2084" s="473" t="s">
        <v>447</v>
      </c>
      <c r="I2084" s="307">
        <v>12</v>
      </c>
      <c r="J2084" s="307">
        <v>81250</v>
      </c>
      <c r="K2084" s="532">
        <f t="shared" si="196"/>
        <v>975000</v>
      </c>
      <c r="L2084" s="534" t="s">
        <v>292</v>
      </c>
      <c r="M2084" s="534" t="s">
        <v>8</v>
      </c>
      <c r="N2084" s="525" t="str">
        <f>IF(AND('331-CT'!$E$7=TH!H2084,OR(L2084="331",M2084="331")),"331",IF(AND(OR(L2084="131",M2084="131"),H2084='131-CT'!$E$7),"131",""))</f>
        <v/>
      </c>
      <c r="O2084" s="525" t="str">
        <f>IF(AND($B2084&gt;='111'!$N$11,$B2084&lt;='111'!$O$11,OR($L2084=$O$7,$M2084=$O$7)),"x","")</f>
        <v/>
      </c>
      <c r="P2084" s="525" t="str">
        <f>IF(AND($L2084=$O$7,$B2084&lt;'111'!$N$11),"x","")</f>
        <v/>
      </c>
      <c r="Q2084" s="525" t="str">
        <f>IF(AND($M2084=$O$7,$B2084&lt;'111'!$N$11),"x","")</f>
        <v/>
      </c>
      <c r="R2084" s="525" t="str">
        <f>IF(ISERROR(FIND('112'!$M$9,G2084,1)),"",IF((AND(FIND('112'!$M$9,G2084,1)&gt;=1,$B2084&gt;='112'!$N$8,$B2084&lt;='112'!$O$8,OR($L2084='112'!$I$6,$M2084='112'!$I$6))),"x",""))</f>
        <v/>
      </c>
      <c r="S2084" s="525" t="str">
        <f>IF(ISERROR(FIND('112'!$M$9,G2084,1)),"",IF((AND(LEFT(G2084,2)=LEFT('112'!$M$9,2),B2084&lt;'112'!$N$8,$L2084='112'!$I$6)),"x",""))</f>
        <v/>
      </c>
      <c r="T2084" s="525" t="str">
        <f>IF(ISERROR(FIND('112'!$M$9,G2084,1)),"",IF((AND(RIGHT(G2084,2)=RIGHT('112'!$M$9,2),B2084&lt;'112'!$N$8,$M2084='112'!$I$6)),"x",""))</f>
        <v/>
      </c>
      <c r="U2084" s="525" t="str">
        <f>IF(AND(B2084&gt;='IN-NX'!$P$3,B2084&lt;='IN-NX'!$Q$3,'IN-NX'!$D$7=D2084,OR(LEFT(L2084,2)="15",AND(LEFT(M2084,2)&lt;&gt;"15",LEFT(M2084,2)&lt;&gt;"33"))),"x","")</f>
        <v/>
      </c>
      <c r="V2084" s="525" t="str">
        <f>IF(AND(OR(LEFT(TH!L2084,2)="15",LEFT(TH!M2084,2)="15"),'152-CT'!$J$8=TH!F2084),"x","")</f>
        <v/>
      </c>
      <c r="W2084" s="525" t="str">
        <f>IF(AND(OR(LEFT(TH!L2084,2)="15",LEFT(TH!M2084,2)="15"),TK!$E$7=TH!F2084),"x","")</f>
        <v/>
      </c>
      <c r="X2084" s="525" t="str">
        <f>IF(AND('341-CT'!$E$9=H2084,OR(LEFT(L2084,3)=$X$7,LEFT(M2084,3)=$X$7)),"x","")</f>
        <v/>
      </c>
      <c r="Y2084" s="525" t="str">
        <f>IF(OR(TH!L2084=TH!$Y$7,M2084=TH!$Y$7),"x","")</f>
        <v/>
      </c>
      <c r="Z2084" s="525" t="str">
        <f>IF(AND(B2084&lt;=NKC!$N$8,B2084&gt;=NKC!$M$8),"x","")</f>
        <v/>
      </c>
      <c r="AA2084" s="535">
        <v>2</v>
      </c>
      <c r="AC2084" s="503"/>
      <c r="AD2084" s="503"/>
      <c r="AE2084" s="503"/>
    </row>
    <row r="2085" spans="1:34" s="536" customFormat="1" ht="15.75" customHeight="1">
      <c r="A2085" s="517" t="str">
        <f>IF(B2085&lt;&gt;"",IF(AND(B2085&gt;=_TM1,B2085&lt;=_TM2,OR(TH!L2085="1111",TH!M2085="1111")),TH!D2085,""),"")</f>
        <v/>
      </c>
      <c r="B2085" s="531">
        <f t="shared" si="194"/>
        <v>4</v>
      </c>
      <c r="C2085" s="315">
        <f t="shared" si="195"/>
        <v>42833</v>
      </c>
      <c r="D2085" s="315" t="s">
        <v>965</v>
      </c>
      <c r="E2085" s="315">
        <v>42833</v>
      </c>
      <c r="F2085" s="249" t="s">
        <v>1024</v>
      </c>
      <c r="G2085" s="314" t="s">
        <v>1029</v>
      </c>
      <c r="H2085" s="473" t="s">
        <v>447</v>
      </c>
      <c r="I2085" s="307">
        <v>20</v>
      </c>
      <c r="J2085" s="307">
        <v>67239</v>
      </c>
      <c r="K2085" s="532">
        <f t="shared" si="196"/>
        <v>1344780</v>
      </c>
      <c r="L2085" s="534" t="s">
        <v>292</v>
      </c>
      <c r="M2085" s="534" t="s">
        <v>8</v>
      </c>
      <c r="N2085" s="525" t="str">
        <f>IF(AND('331-CT'!$E$7=TH!H2085,OR(L2085="331",M2085="331")),"331",IF(AND(OR(L2085="131",M2085="131"),H2085='131-CT'!$E$7),"131",""))</f>
        <v/>
      </c>
      <c r="O2085" s="525" t="str">
        <f>IF(AND($B2085&gt;='111'!$N$11,$B2085&lt;='111'!$O$11,OR($L2085=$O$7,$M2085=$O$7)),"x","")</f>
        <v/>
      </c>
      <c r="P2085" s="525" t="str">
        <f>IF(AND($L2085=$O$7,$B2085&lt;'111'!$N$11),"x","")</f>
        <v/>
      </c>
      <c r="Q2085" s="525" t="str">
        <f>IF(AND($M2085=$O$7,$B2085&lt;'111'!$N$11),"x","")</f>
        <v/>
      </c>
      <c r="R2085" s="525" t="str">
        <f>IF(ISERROR(FIND('112'!$M$9,G2085,1)),"",IF((AND(FIND('112'!$M$9,G2085,1)&gt;=1,$B2085&gt;='112'!$N$8,$B2085&lt;='112'!$O$8,OR($L2085='112'!$I$6,$M2085='112'!$I$6))),"x",""))</f>
        <v/>
      </c>
      <c r="S2085" s="525" t="str">
        <f>IF(ISERROR(FIND('112'!$M$9,G2085,1)),"",IF((AND(LEFT(G2085,2)=LEFT('112'!$M$9,2),B2085&lt;'112'!$N$8,$L2085='112'!$I$6)),"x",""))</f>
        <v/>
      </c>
      <c r="T2085" s="525" t="str">
        <f>IF(ISERROR(FIND('112'!$M$9,G2085,1)),"",IF((AND(RIGHT(G2085,2)=RIGHT('112'!$M$9,2),B2085&lt;'112'!$N$8,$M2085='112'!$I$6)),"x",""))</f>
        <v/>
      </c>
      <c r="U2085" s="525" t="str">
        <f>IF(AND(B2085&gt;='IN-NX'!$P$3,B2085&lt;='IN-NX'!$Q$3,'IN-NX'!$D$7=D2085,OR(LEFT(L2085,2)="15",AND(LEFT(M2085,2)&lt;&gt;"15",LEFT(M2085,2)&lt;&gt;"33"))),"x","")</f>
        <v/>
      </c>
      <c r="V2085" s="525" t="str">
        <f>IF(AND(OR(LEFT(TH!L2085,2)="15",LEFT(TH!M2085,2)="15"),'152-CT'!$J$8=TH!F2085),"x","")</f>
        <v/>
      </c>
      <c r="W2085" s="525" t="str">
        <f>IF(AND(OR(LEFT(TH!L2085,2)="15",LEFT(TH!M2085,2)="15"),TK!$E$7=TH!F2085),"x","")</f>
        <v/>
      </c>
      <c r="X2085" s="525" t="str">
        <f>IF(AND('341-CT'!$E$9=H2085,OR(LEFT(L2085,3)=$X$7,LEFT(M2085,3)=$X$7)),"x","")</f>
        <v/>
      </c>
      <c r="Y2085" s="525" t="str">
        <f>IF(OR(TH!L2085=TH!$Y$7,M2085=TH!$Y$7),"x","")</f>
        <v/>
      </c>
      <c r="Z2085" s="525" t="str">
        <f>IF(AND(B2085&lt;=NKC!$N$8,B2085&gt;=NKC!$M$8),"x","")</f>
        <v/>
      </c>
      <c r="AA2085" s="535">
        <v>2</v>
      </c>
      <c r="AC2085" s="503"/>
      <c r="AD2085" s="503"/>
    </row>
    <row r="2086" spans="1:34" s="536" customFormat="1" ht="15.75" customHeight="1">
      <c r="A2086" s="517" t="str">
        <f>IF(B2086&lt;&gt;"",IF(AND(B2086&gt;=_TM1,B2086&lt;=_TM2,OR(TH!L2086="1111",TH!M2086="1111")),TH!D2086,""),"")</f>
        <v/>
      </c>
      <c r="B2086" s="531">
        <f t="shared" si="194"/>
        <v>4</v>
      </c>
      <c r="C2086" s="315">
        <f t="shared" si="195"/>
        <v>42833</v>
      </c>
      <c r="D2086" s="315" t="s">
        <v>965</v>
      </c>
      <c r="E2086" s="315">
        <v>42833</v>
      </c>
      <c r="F2086" s="249" t="s">
        <v>1025</v>
      </c>
      <c r="G2086" s="314" t="s">
        <v>1029</v>
      </c>
      <c r="H2086" s="473" t="s">
        <v>447</v>
      </c>
      <c r="I2086" s="307">
        <v>24</v>
      </c>
      <c r="J2086" s="307">
        <v>45241</v>
      </c>
      <c r="K2086" s="532">
        <f t="shared" si="196"/>
        <v>1085784</v>
      </c>
      <c r="L2086" s="534" t="s">
        <v>292</v>
      </c>
      <c r="M2086" s="534" t="s">
        <v>8</v>
      </c>
      <c r="N2086" s="525" t="str">
        <f>IF(AND('331-CT'!$E$7=TH!H2086,OR(L2086="331",M2086="331")),"331",IF(AND(OR(L2086="131",M2086="131"),H2086='131-CT'!$E$7),"131",""))</f>
        <v/>
      </c>
      <c r="O2086" s="525" t="str">
        <f>IF(AND($B2086&gt;='111'!$N$11,$B2086&lt;='111'!$O$11,OR($L2086=$O$7,$M2086=$O$7)),"x","")</f>
        <v/>
      </c>
      <c r="P2086" s="525" t="str">
        <f>IF(AND($L2086=$O$7,$B2086&lt;'111'!$N$11),"x","")</f>
        <v/>
      </c>
      <c r="Q2086" s="525" t="str">
        <f>IF(AND($M2086=$O$7,$B2086&lt;'111'!$N$11),"x","")</f>
        <v/>
      </c>
      <c r="R2086" s="525" t="str">
        <f>IF(ISERROR(FIND('112'!$M$9,G2086,1)),"",IF((AND(FIND('112'!$M$9,G2086,1)&gt;=1,$B2086&gt;='112'!$N$8,$B2086&lt;='112'!$O$8,OR($L2086='112'!$I$6,$M2086='112'!$I$6))),"x",""))</f>
        <v/>
      </c>
      <c r="S2086" s="525" t="str">
        <f>IF(ISERROR(FIND('112'!$M$9,G2086,1)),"",IF((AND(LEFT(G2086,2)=LEFT('112'!$M$9,2),B2086&lt;'112'!$N$8,$L2086='112'!$I$6)),"x",""))</f>
        <v/>
      </c>
      <c r="T2086" s="525" t="str">
        <f>IF(ISERROR(FIND('112'!$M$9,G2086,1)),"",IF((AND(RIGHT(G2086,2)=RIGHT('112'!$M$9,2),B2086&lt;'112'!$N$8,$M2086='112'!$I$6)),"x",""))</f>
        <v/>
      </c>
      <c r="U2086" s="525" t="str">
        <f>IF(AND(B2086&gt;='IN-NX'!$P$3,B2086&lt;='IN-NX'!$Q$3,'IN-NX'!$D$7=D2086,OR(LEFT(L2086,2)="15",AND(LEFT(M2086,2)&lt;&gt;"15",LEFT(M2086,2)&lt;&gt;"33"))),"x","")</f>
        <v/>
      </c>
      <c r="V2086" s="525" t="str">
        <f>IF(AND(OR(LEFT(TH!L2086,2)="15",LEFT(TH!M2086,2)="15"),'152-CT'!$J$8=TH!F2086),"x","")</f>
        <v/>
      </c>
      <c r="W2086" s="525" t="str">
        <f>IF(AND(OR(LEFT(TH!L2086,2)="15",LEFT(TH!M2086,2)="15"),TK!$E$7=TH!F2086),"x","")</f>
        <v/>
      </c>
      <c r="X2086" s="525" t="str">
        <f>IF(AND('341-CT'!$E$9=H2086,OR(LEFT(L2086,3)=$X$7,LEFT(M2086,3)=$X$7)),"x","")</f>
        <v/>
      </c>
      <c r="Y2086" s="525" t="str">
        <f>IF(OR(TH!L2086=TH!$Y$7,M2086=TH!$Y$7),"x","")</f>
        <v/>
      </c>
      <c r="Z2086" s="525" t="str">
        <f>IF(AND(B2086&lt;=NKC!$N$8,B2086&gt;=NKC!$M$8),"x","")</f>
        <v/>
      </c>
      <c r="AA2086" s="535">
        <v>2</v>
      </c>
      <c r="AC2086" s="503"/>
    </row>
    <row r="2087" spans="1:34" s="536" customFormat="1" ht="15.75" customHeight="1">
      <c r="A2087" s="517" t="str">
        <f>IF(B2087&lt;&gt;"",IF(AND(B2087&gt;=_TM1,B2087&lt;=_TM2,OR(TH!L2087="1111",TH!M2087="1111")),TH!D2087,""),"")</f>
        <v/>
      </c>
      <c r="B2087" s="531">
        <f t="shared" si="194"/>
        <v>4</v>
      </c>
      <c r="C2087" s="315">
        <f t="shared" si="195"/>
        <v>42833</v>
      </c>
      <c r="D2087" s="315" t="s">
        <v>965</v>
      </c>
      <c r="E2087" s="315">
        <v>42833</v>
      </c>
      <c r="F2087" s="249" t="s">
        <v>1026</v>
      </c>
      <c r="G2087" s="314" t="s">
        <v>1029</v>
      </c>
      <c r="H2087" s="473" t="s">
        <v>447</v>
      </c>
      <c r="I2087" s="307">
        <v>2</v>
      </c>
      <c r="J2087" s="307">
        <v>84794</v>
      </c>
      <c r="K2087" s="532">
        <f t="shared" si="196"/>
        <v>169588</v>
      </c>
      <c r="L2087" s="534" t="s">
        <v>292</v>
      </c>
      <c r="M2087" s="534" t="s">
        <v>8</v>
      </c>
      <c r="N2087" s="525" t="str">
        <f>IF(AND('331-CT'!$E$7=TH!H2087,OR(L2087="331",M2087="331")),"331",IF(AND(OR(L2087="131",M2087="131"),H2087='131-CT'!$E$7),"131",""))</f>
        <v/>
      </c>
      <c r="O2087" s="525" t="str">
        <f>IF(AND($B2087&gt;='111'!$N$11,$B2087&lt;='111'!$O$11,OR($L2087=$O$7,$M2087=$O$7)),"x","")</f>
        <v/>
      </c>
      <c r="P2087" s="525" t="str">
        <f>IF(AND($L2087=$O$7,$B2087&lt;'111'!$N$11),"x","")</f>
        <v/>
      </c>
      <c r="Q2087" s="525" t="str">
        <f>IF(AND($M2087=$O$7,$B2087&lt;'111'!$N$11),"x","")</f>
        <v/>
      </c>
      <c r="R2087" s="525" t="str">
        <f>IF(ISERROR(FIND('112'!$M$9,G2087,1)),"",IF((AND(FIND('112'!$M$9,G2087,1)&gt;=1,$B2087&gt;='112'!$N$8,$B2087&lt;='112'!$O$8,OR($L2087='112'!$I$6,$M2087='112'!$I$6))),"x",""))</f>
        <v/>
      </c>
      <c r="S2087" s="525" t="str">
        <f>IF(ISERROR(FIND('112'!$M$9,G2087,1)),"",IF((AND(LEFT(G2087,2)=LEFT('112'!$M$9,2),B2087&lt;'112'!$N$8,$L2087='112'!$I$6)),"x",""))</f>
        <v/>
      </c>
      <c r="T2087" s="525" t="str">
        <f>IF(ISERROR(FIND('112'!$M$9,G2087,1)),"",IF((AND(RIGHT(G2087,2)=RIGHT('112'!$M$9,2),B2087&lt;'112'!$N$8,$M2087='112'!$I$6)),"x",""))</f>
        <v/>
      </c>
      <c r="U2087" s="525" t="str">
        <f>IF(AND(B2087&gt;='IN-NX'!$P$3,B2087&lt;='IN-NX'!$Q$3,'IN-NX'!$D$7=D2087,OR(LEFT(L2087,2)="15",AND(LEFT(M2087,2)&lt;&gt;"15",LEFT(M2087,2)&lt;&gt;"33"))),"x","")</f>
        <v/>
      </c>
      <c r="V2087" s="525" t="str">
        <f>IF(AND(OR(LEFT(TH!L2087,2)="15",LEFT(TH!M2087,2)="15"),'152-CT'!$J$8=TH!F2087),"x","")</f>
        <v/>
      </c>
      <c r="W2087" s="525" t="str">
        <f>IF(AND(OR(LEFT(TH!L2087,2)="15",LEFT(TH!M2087,2)="15"),TK!$E$7=TH!F2087),"x","")</f>
        <v/>
      </c>
      <c r="X2087" s="525" t="str">
        <f>IF(AND('341-CT'!$E$9=H2087,OR(LEFT(L2087,3)=$X$7,LEFT(M2087,3)=$X$7)),"x","")</f>
        <v/>
      </c>
      <c r="Y2087" s="525" t="str">
        <f>IF(OR(TH!L2087=TH!$Y$7,M2087=TH!$Y$7),"x","")</f>
        <v/>
      </c>
      <c r="Z2087" s="525" t="str">
        <f>IF(AND(B2087&lt;=NKC!$N$8,B2087&gt;=NKC!$M$8),"x","")</f>
        <v/>
      </c>
      <c r="AA2087" s="535">
        <v>2</v>
      </c>
      <c r="AC2087" s="503"/>
    </row>
    <row r="2088" spans="1:34" s="536" customFormat="1" ht="15.75" customHeight="1">
      <c r="A2088" s="517" t="str">
        <f>IF(B2088&lt;&gt;"",IF(AND(B2088&gt;=_TM1,B2088&lt;=_TM2,OR(TH!L2088="1111",TH!M2088="1111")),TH!D2088,""),"")</f>
        <v/>
      </c>
      <c r="B2088" s="531">
        <f t="shared" si="194"/>
        <v>4</v>
      </c>
      <c r="C2088" s="315">
        <f t="shared" si="195"/>
        <v>42833</v>
      </c>
      <c r="D2088" s="315" t="s">
        <v>965</v>
      </c>
      <c r="E2088" s="315">
        <v>42833</v>
      </c>
      <c r="F2088" s="249" t="s">
        <v>1027</v>
      </c>
      <c r="G2088" s="314" t="s">
        <v>1029</v>
      </c>
      <c r="H2088" s="473" t="s">
        <v>447</v>
      </c>
      <c r="I2088" s="307">
        <v>4</v>
      </c>
      <c r="J2088" s="307">
        <v>72681</v>
      </c>
      <c r="K2088" s="532">
        <f t="shared" si="196"/>
        <v>290724</v>
      </c>
      <c r="L2088" s="534" t="s">
        <v>292</v>
      </c>
      <c r="M2088" s="534" t="s">
        <v>8</v>
      </c>
      <c r="N2088" s="525" t="str">
        <f>IF(AND('331-CT'!$E$7=TH!H2088,OR(L2088="331",M2088="331")),"331",IF(AND(OR(L2088="131",M2088="131"),H2088='131-CT'!$E$7),"131",""))</f>
        <v/>
      </c>
      <c r="O2088" s="525" t="str">
        <f>IF(AND($B2088&gt;='111'!$N$11,$B2088&lt;='111'!$O$11,OR($L2088=$O$7,$M2088=$O$7)),"x","")</f>
        <v/>
      </c>
      <c r="P2088" s="525" t="str">
        <f>IF(AND($L2088=$O$7,$B2088&lt;'111'!$N$11),"x","")</f>
        <v/>
      </c>
      <c r="Q2088" s="525" t="str">
        <f>IF(AND($M2088=$O$7,$B2088&lt;'111'!$N$11),"x","")</f>
        <v/>
      </c>
      <c r="R2088" s="525" t="str">
        <f>IF(ISERROR(FIND('112'!$M$9,G2088,1)),"",IF((AND(FIND('112'!$M$9,G2088,1)&gt;=1,$B2088&gt;='112'!$N$8,$B2088&lt;='112'!$O$8,OR($L2088='112'!$I$6,$M2088='112'!$I$6))),"x",""))</f>
        <v/>
      </c>
      <c r="S2088" s="525" t="str">
        <f>IF(ISERROR(FIND('112'!$M$9,G2088,1)),"",IF((AND(LEFT(G2088,2)=LEFT('112'!$M$9,2),B2088&lt;'112'!$N$8,$L2088='112'!$I$6)),"x",""))</f>
        <v/>
      </c>
      <c r="T2088" s="525" t="str">
        <f>IF(ISERROR(FIND('112'!$M$9,G2088,1)),"",IF((AND(RIGHT(G2088,2)=RIGHT('112'!$M$9,2),B2088&lt;'112'!$N$8,$M2088='112'!$I$6)),"x",""))</f>
        <v/>
      </c>
      <c r="U2088" s="525" t="str">
        <f>IF(AND(B2088&gt;='IN-NX'!$P$3,B2088&lt;='IN-NX'!$Q$3,'IN-NX'!$D$7=D2088,OR(LEFT(L2088,2)="15",AND(LEFT(M2088,2)&lt;&gt;"15",LEFT(M2088,2)&lt;&gt;"33"))),"x","")</f>
        <v/>
      </c>
      <c r="V2088" s="525" t="str">
        <f>IF(AND(OR(LEFT(TH!L2088,2)="15",LEFT(TH!M2088,2)="15"),'152-CT'!$J$8=TH!F2088),"x","")</f>
        <v/>
      </c>
      <c r="W2088" s="525" t="str">
        <f>IF(AND(OR(LEFT(TH!L2088,2)="15",LEFT(TH!M2088,2)="15"),TK!$E$7=TH!F2088),"x","")</f>
        <v/>
      </c>
      <c r="X2088" s="525" t="str">
        <f>IF(AND('341-CT'!$E$9=H2088,OR(LEFT(L2088,3)=$X$7,LEFT(M2088,3)=$X$7)),"x","")</f>
        <v/>
      </c>
      <c r="Y2088" s="525" t="str">
        <f>IF(OR(TH!L2088=TH!$Y$7,M2088=TH!$Y$7),"x","")</f>
        <v/>
      </c>
      <c r="Z2088" s="525" t="str">
        <f>IF(AND(B2088&lt;=NKC!$N$8,B2088&gt;=NKC!$M$8),"x","")</f>
        <v/>
      </c>
      <c r="AA2088" s="535">
        <v>2</v>
      </c>
      <c r="AC2088" s="503"/>
    </row>
    <row r="2089" spans="1:34" s="536" customFormat="1" ht="15.75" customHeight="1">
      <c r="A2089" s="517" t="str">
        <f>IF(B2089&lt;&gt;"",IF(AND(B2089&gt;=_TM1,B2089&lt;=_TM2,OR(TH!L2089="1111",TH!M2089="1111")),TH!D2089,""),"")</f>
        <v/>
      </c>
      <c r="B2089" s="531">
        <f t="shared" si="194"/>
        <v>4</v>
      </c>
      <c r="C2089" s="315">
        <f t="shared" si="195"/>
        <v>42833</v>
      </c>
      <c r="D2089" s="315" t="s">
        <v>965</v>
      </c>
      <c r="E2089" s="315">
        <v>42833</v>
      </c>
      <c r="F2089" s="249" t="s">
        <v>1028</v>
      </c>
      <c r="G2089" s="314" t="s">
        <v>1029</v>
      </c>
      <c r="H2089" s="473" t="s">
        <v>447</v>
      </c>
      <c r="I2089" s="307">
        <v>15</v>
      </c>
      <c r="J2089" s="307">
        <v>89202</v>
      </c>
      <c r="K2089" s="532">
        <f t="shared" si="196"/>
        <v>1338030</v>
      </c>
      <c r="L2089" s="534" t="s">
        <v>292</v>
      </c>
      <c r="M2089" s="534" t="s">
        <v>8</v>
      </c>
      <c r="N2089" s="525" t="str">
        <f>IF(AND('331-CT'!$E$7=TH!H2089,OR(L2089="331",M2089="331")),"331",IF(AND(OR(L2089="131",M2089="131"),H2089='131-CT'!$E$7),"131",""))</f>
        <v/>
      </c>
      <c r="O2089" s="525" t="str">
        <f>IF(AND($B2089&gt;='111'!$N$11,$B2089&lt;='111'!$O$11,OR($L2089=$O$7,$M2089=$O$7)),"x","")</f>
        <v/>
      </c>
      <c r="P2089" s="525" t="str">
        <f>IF(AND($L2089=$O$7,$B2089&lt;'111'!$N$11),"x","")</f>
        <v/>
      </c>
      <c r="Q2089" s="525" t="str">
        <f>IF(AND($M2089=$O$7,$B2089&lt;'111'!$N$11),"x","")</f>
        <v/>
      </c>
      <c r="R2089" s="525" t="str">
        <f>IF(ISERROR(FIND('112'!$M$9,G2089,1)),"",IF((AND(FIND('112'!$M$9,G2089,1)&gt;=1,$B2089&gt;='112'!$N$8,$B2089&lt;='112'!$O$8,OR($L2089='112'!$I$6,$M2089='112'!$I$6))),"x",""))</f>
        <v/>
      </c>
      <c r="S2089" s="525" t="str">
        <f>IF(ISERROR(FIND('112'!$M$9,G2089,1)),"",IF((AND(LEFT(G2089,2)=LEFT('112'!$M$9,2),B2089&lt;'112'!$N$8,$L2089='112'!$I$6)),"x",""))</f>
        <v/>
      </c>
      <c r="T2089" s="525" t="str">
        <f>IF(ISERROR(FIND('112'!$M$9,G2089,1)),"",IF((AND(RIGHT(G2089,2)=RIGHT('112'!$M$9,2),B2089&lt;'112'!$N$8,$M2089='112'!$I$6)),"x",""))</f>
        <v/>
      </c>
      <c r="U2089" s="525" t="str">
        <f>IF(AND(B2089&gt;='IN-NX'!$P$3,B2089&lt;='IN-NX'!$Q$3,'IN-NX'!$D$7=D2089,OR(LEFT(L2089,2)="15",AND(LEFT(M2089,2)&lt;&gt;"15",LEFT(M2089,2)&lt;&gt;"33"))),"x","")</f>
        <v/>
      </c>
      <c r="V2089" s="525" t="str">
        <f>IF(AND(OR(LEFT(TH!L2089,2)="15",LEFT(TH!M2089,2)="15"),'152-CT'!$J$8=TH!F2089),"x","")</f>
        <v/>
      </c>
      <c r="W2089" s="525" t="str">
        <f>IF(AND(OR(LEFT(TH!L2089,2)="15",LEFT(TH!M2089,2)="15"),TK!$E$7=TH!F2089),"x","")</f>
        <v/>
      </c>
      <c r="X2089" s="525" t="str">
        <f>IF(AND('341-CT'!$E$9=H2089,OR(LEFT(L2089,3)=$X$7,LEFT(M2089,3)=$X$7)),"x","")</f>
        <v/>
      </c>
      <c r="Y2089" s="525" t="str">
        <f>IF(OR(TH!L2089=TH!$Y$7,M2089=TH!$Y$7),"x","")</f>
        <v/>
      </c>
      <c r="Z2089" s="525" t="str">
        <f>IF(AND(B2089&lt;=NKC!$N$8,B2089&gt;=NKC!$M$8),"x","")</f>
        <v/>
      </c>
      <c r="AA2089" s="535">
        <v>2</v>
      </c>
      <c r="AC2089" s="503"/>
      <c r="AD2089" s="503"/>
    </row>
    <row r="2090" spans="1:34" s="536" customFormat="1" ht="15.75" customHeight="1">
      <c r="A2090" s="517" t="str">
        <f>IF(B2090&lt;&gt;"",IF(AND(B2090&gt;=_TM1,B2090&lt;=_TM2,OR(TH!L2090="1111",TH!M2090="1111")),TH!D2090,""),"")</f>
        <v/>
      </c>
      <c r="B2090" s="531">
        <f t="shared" si="194"/>
        <v>4</v>
      </c>
      <c r="C2090" s="315">
        <f t="shared" si="195"/>
        <v>42833</v>
      </c>
      <c r="D2090" s="315" t="s">
        <v>965</v>
      </c>
      <c r="E2090" s="315">
        <v>42833</v>
      </c>
      <c r="F2090" s="249" t="s">
        <v>735</v>
      </c>
      <c r="G2090" s="314" t="s">
        <v>1029</v>
      </c>
      <c r="H2090" s="473" t="s">
        <v>447</v>
      </c>
      <c r="I2090" s="307">
        <v>12</v>
      </c>
      <c r="J2090" s="307">
        <v>49660</v>
      </c>
      <c r="K2090" s="532">
        <f t="shared" si="196"/>
        <v>595920</v>
      </c>
      <c r="L2090" s="534" t="s">
        <v>292</v>
      </c>
      <c r="M2090" s="534" t="s">
        <v>8</v>
      </c>
      <c r="N2090" s="525" t="str">
        <f>IF(AND('331-CT'!$E$7=TH!H2090,OR(L2090="331",M2090="331")),"331",IF(AND(OR(L2090="131",M2090="131"),H2090='131-CT'!$E$7),"131",""))</f>
        <v/>
      </c>
      <c r="O2090" s="525" t="str">
        <f>IF(AND($B2090&gt;='111'!$N$11,$B2090&lt;='111'!$O$11,OR($L2090=$O$7,$M2090=$O$7)),"x","")</f>
        <v/>
      </c>
      <c r="P2090" s="525" t="str">
        <f>IF(AND($L2090=$O$7,$B2090&lt;'111'!$N$11),"x","")</f>
        <v/>
      </c>
      <c r="Q2090" s="525" t="str">
        <f>IF(AND($M2090=$O$7,$B2090&lt;'111'!$N$11),"x","")</f>
        <v/>
      </c>
      <c r="R2090" s="525" t="str">
        <f>IF(ISERROR(FIND('112'!$M$9,G2090,1)),"",IF((AND(FIND('112'!$M$9,G2090,1)&gt;=1,$B2090&gt;='112'!$N$8,$B2090&lt;='112'!$O$8,OR($L2090='112'!$I$6,$M2090='112'!$I$6))),"x",""))</f>
        <v/>
      </c>
      <c r="S2090" s="525" t="str">
        <f>IF(ISERROR(FIND('112'!$M$9,G2090,1)),"",IF((AND(LEFT(G2090,2)=LEFT('112'!$M$9,2),B2090&lt;'112'!$N$8,$L2090='112'!$I$6)),"x",""))</f>
        <v/>
      </c>
      <c r="T2090" s="525" t="str">
        <f>IF(ISERROR(FIND('112'!$M$9,G2090,1)),"",IF((AND(RIGHT(G2090,2)=RIGHT('112'!$M$9,2),B2090&lt;'112'!$N$8,$M2090='112'!$I$6)),"x",""))</f>
        <v/>
      </c>
      <c r="U2090" s="525" t="str">
        <f>IF(AND(B2090&gt;='IN-NX'!$P$3,B2090&lt;='IN-NX'!$Q$3,'IN-NX'!$D$7=D2090,OR(LEFT(L2090,2)="15",AND(LEFT(M2090,2)&lt;&gt;"15",LEFT(M2090,2)&lt;&gt;"33"))),"x","")</f>
        <v/>
      </c>
      <c r="V2090" s="525" t="str">
        <f>IF(AND(OR(LEFT(TH!L2090,2)="15",LEFT(TH!M2090,2)="15"),'152-CT'!$J$8=TH!F2090),"x","")</f>
        <v/>
      </c>
      <c r="W2090" s="525" t="str">
        <f>IF(AND(OR(LEFT(TH!L2090,2)="15",LEFT(TH!M2090,2)="15"),TK!$E$7=TH!F2090),"x","")</f>
        <v/>
      </c>
      <c r="X2090" s="525" t="str">
        <f>IF(AND('341-CT'!$E$9=H2090,OR(LEFT(L2090,3)=$X$7,LEFT(M2090,3)=$X$7)),"x","")</f>
        <v/>
      </c>
      <c r="Y2090" s="525" t="str">
        <f>IF(OR(TH!L2090=TH!$Y$7,M2090=TH!$Y$7),"x","")</f>
        <v/>
      </c>
      <c r="Z2090" s="525" t="str">
        <f>IF(AND(B2090&lt;=NKC!$N$8,B2090&gt;=NKC!$M$8),"x","")</f>
        <v/>
      </c>
      <c r="AA2090" s="535">
        <v>2</v>
      </c>
      <c r="AC2090" s="503"/>
    </row>
    <row r="2091" spans="1:34" s="536" customFormat="1" ht="15.75" customHeight="1">
      <c r="A2091" s="517" t="str">
        <f>IF(B2091&lt;&gt;"",IF(AND(B2091&gt;=_TM1,B2091&lt;=_TM2,OR(TH!L2091="1111",TH!M2091="1111")),TH!D2091,""),"")</f>
        <v/>
      </c>
      <c r="B2091" s="531">
        <f t="shared" si="194"/>
        <v>4</v>
      </c>
      <c r="C2091" s="315">
        <f t="shared" si="195"/>
        <v>42833</v>
      </c>
      <c r="D2091" s="315" t="s">
        <v>965</v>
      </c>
      <c r="E2091" s="315">
        <v>42833</v>
      </c>
      <c r="F2091" s="249" t="s">
        <v>736</v>
      </c>
      <c r="G2091" s="314" t="s">
        <v>1029</v>
      </c>
      <c r="H2091" s="473" t="s">
        <v>447</v>
      </c>
      <c r="I2091" s="307">
        <v>12</v>
      </c>
      <c r="J2091" s="307">
        <v>78500</v>
      </c>
      <c r="K2091" s="532">
        <f t="shared" si="196"/>
        <v>942000</v>
      </c>
      <c r="L2091" s="534" t="s">
        <v>292</v>
      </c>
      <c r="M2091" s="534" t="s">
        <v>8</v>
      </c>
      <c r="N2091" s="525" t="str">
        <f>IF(AND('331-CT'!$E$7=TH!H2091,OR(L2091="331",M2091="331")),"331",IF(AND(OR(L2091="131",M2091="131"),H2091='131-CT'!$E$7),"131",""))</f>
        <v/>
      </c>
      <c r="O2091" s="525" t="str">
        <f>IF(AND($B2091&gt;='111'!$N$11,$B2091&lt;='111'!$O$11,OR($L2091=$O$7,$M2091=$O$7)),"x","")</f>
        <v/>
      </c>
      <c r="P2091" s="525" t="str">
        <f>IF(AND($L2091=$O$7,$B2091&lt;'111'!$N$11),"x","")</f>
        <v/>
      </c>
      <c r="Q2091" s="525" t="str">
        <f>IF(AND($M2091=$O$7,$B2091&lt;'111'!$N$11),"x","")</f>
        <v/>
      </c>
      <c r="R2091" s="525" t="str">
        <f>IF(ISERROR(FIND('112'!$M$9,G2091,1)),"",IF((AND(FIND('112'!$M$9,G2091,1)&gt;=1,$B2091&gt;='112'!$N$8,$B2091&lt;='112'!$O$8,OR($L2091='112'!$I$6,$M2091='112'!$I$6))),"x",""))</f>
        <v/>
      </c>
      <c r="S2091" s="525" t="str">
        <f>IF(ISERROR(FIND('112'!$M$9,G2091,1)),"",IF((AND(LEFT(G2091,2)=LEFT('112'!$M$9,2),B2091&lt;'112'!$N$8,$L2091='112'!$I$6)),"x",""))</f>
        <v/>
      </c>
      <c r="T2091" s="525" t="str">
        <f>IF(ISERROR(FIND('112'!$M$9,G2091,1)),"",IF((AND(RIGHT(G2091,2)=RIGHT('112'!$M$9,2),B2091&lt;'112'!$N$8,$M2091='112'!$I$6)),"x",""))</f>
        <v/>
      </c>
      <c r="U2091" s="525" t="str">
        <f>IF(AND(B2091&gt;='IN-NX'!$P$3,B2091&lt;='IN-NX'!$Q$3,'IN-NX'!$D$7=D2091,OR(LEFT(L2091,2)="15",AND(LEFT(M2091,2)&lt;&gt;"15",LEFT(M2091,2)&lt;&gt;"33"))),"x","")</f>
        <v/>
      </c>
      <c r="V2091" s="525" t="str">
        <f>IF(AND(OR(LEFT(TH!L2091,2)="15",LEFT(TH!M2091,2)="15"),'152-CT'!$J$8=TH!F2091),"x","")</f>
        <v/>
      </c>
      <c r="W2091" s="525" t="str">
        <f>IF(AND(OR(LEFT(TH!L2091,2)="15",LEFT(TH!M2091,2)="15"),TK!$E$7=TH!F2091),"x","")</f>
        <v/>
      </c>
      <c r="X2091" s="525" t="str">
        <f>IF(AND('341-CT'!$E$9=H2091,OR(LEFT(L2091,3)=$X$7,LEFT(M2091,3)=$X$7)),"x","")</f>
        <v/>
      </c>
      <c r="Y2091" s="525" t="str">
        <f>IF(OR(TH!L2091=TH!$Y$7,M2091=TH!$Y$7),"x","")</f>
        <v/>
      </c>
      <c r="Z2091" s="525" t="str">
        <f>IF(AND(B2091&lt;=NKC!$N$8,B2091&gt;=NKC!$M$8),"x","")</f>
        <v/>
      </c>
      <c r="AA2091" s="535">
        <v>2</v>
      </c>
      <c r="AC2091" s="503"/>
    </row>
    <row r="2092" spans="1:34" s="536" customFormat="1" ht="15.75" customHeight="1">
      <c r="A2092" s="517" t="str">
        <f>IF(B2092&lt;&gt;"",IF(AND(B2092&gt;=_TM1,B2092&lt;=_TM2,OR(TH!L2092="1111",TH!M2092="1111")),TH!D2092,""),"")</f>
        <v/>
      </c>
      <c r="B2092" s="531">
        <f t="shared" si="194"/>
        <v>4</v>
      </c>
      <c r="C2092" s="315">
        <f t="shared" si="195"/>
        <v>42833</v>
      </c>
      <c r="D2092" s="315" t="s">
        <v>966</v>
      </c>
      <c r="E2092" s="315">
        <v>42833</v>
      </c>
      <c r="F2092" s="249" t="s">
        <v>706</v>
      </c>
      <c r="G2092" s="314" t="s">
        <v>1029</v>
      </c>
      <c r="H2092" s="473" t="s">
        <v>447</v>
      </c>
      <c r="I2092" s="307">
        <v>8</v>
      </c>
      <c r="J2092" s="307">
        <v>24338</v>
      </c>
      <c r="K2092" s="532">
        <f t="shared" si="196"/>
        <v>194704</v>
      </c>
      <c r="L2092" s="534" t="s">
        <v>292</v>
      </c>
      <c r="M2092" s="534" t="s">
        <v>8</v>
      </c>
      <c r="N2092" s="525" t="str">
        <f>IF(AND('331-CT'!$E$7=TH!H2092,OR(L2092="331",M2092="331")),"331",IF(AND(OR(L2092="131",M2092="131"),H2092='131-CT'!$E$7),"131",""))</f>
        <v/>
      </c>
      <c r="O2092" s="525" t="str">
        <f>IF(AND($B2092&gt;='111'!$N$11,$B2092&lt;='111'!$O$11,OR($L2092=$O$7,$M2092=$O$7)),"x","")</f>
        <v/>
      </c>
      <c r="P2092" s="525" t="str">
        <f>IF(AND($L2092=$O$7,$B2092&lt;'111'!$N$11),"x","")</f>
        <v/>
      </c>
      <c r="Q2092" s="525" t="str">
        <f>IF(AND($M2092=$O$7,$B2092&lt;'111'!$N$11),"x","")</f>
        <v/>
      </c>
      <c r="R2092" s="525" t="str">
        <f>IF(ISERROR(FIND('112'!$M$9,G2092,1)),"",IF((AND(FIND('112'!$M$9,G2092,1)&gt;=1,$B2092&gt;='112'!$N$8,$B2092&lt;='112'!$O$8,OR($L2092='112'!$I$6,$M2092='112'!$I$6))),"x",""))</f>
        <v/>
      </c>
      <c r="S2092" s="525" t="str">
        <f>IF(ISERROR(FIND('112'!$M$9,G2092,1)),"",IF((AND(LEFT(G2092,2)=LEFT('112'!$M$9,2),B2092&lt;'112'!$N$8,$L2092='112'!$I$6)),"x",""))</f>
        <v/>
      </c>
      <c r="T2092" s="525" t="str">
        <f>IF(ISERROR(FIND('112'!$M$9,G2092,1)),"",IF((AND(RIGHT(G2092,2)=RIGHT('112'!$M$9,2),B2092&lt;'112'!$N$8,$M2092='112'!$I$6)),"x",""))</f>
        <v/>
      </c>
      <c r="U2092" s="525" t="str">
        <f>IF(AND(B2092&gt;='IN-NX'!$P$3,B2092&lt;='IN-NX'!$Q$3,'IN-NX'!$D$7=D2092,OR(LEFT(L2092,2)="15",AND(LEFT(M2092,2)&lt;&gt;"15",LEFT(M2092,2)&lt;&gt;"33"))),"x","")</f>
        <v/>
      </c>
      <c r="V2092" s="525" t="str">
        <f>IF(AND(OR(LEFT(TH!L2092,2)="15",LEFT(TH!M2092,2)="15"),'152-CT'!$J$8=TH!F2092),"x","")</f>
        <v/>
      </c>
      <c r="W2092" s="525" t="str">
        <f>IF(AND(OR(LEFT(TH!L2092,2)="15",LEFT(TH!M2092,2)="15"),TK!$E$7=TH!F2092),"x","")</f>
        <v/>
      </c>
      <c r="X2092" s="525" t="str">
        <f>IF(AND('341-CT'!$E$9=H2092,OR(LEFT(L2092,3)=$X$7,LEFT(M2092,3)=$X$7)),"x","")</f>
        <v/>
      </c>
      <c r="Y2092" s="525" t="str">
        <f>IF(OR(TH!L2092=TH!$Y$7,M2092=TH!$Y$7),"x","")</f>
        <v/>
      </c>
      <c r="Z2092" s="525" t="str">
        <f>IF(AND(B2092&lt;=NKC!$N$8,B2092&gt;=NKC!$M$8),"x","")</f>
        <v/>
      </c>
      <c r="AA2092" s="535">
        <v>2</v>
      </c>
      <c r="AC2092" s="503"/>
    </row>
    <row r="2093" spans="1:34" s="536" customFormat="1" ht="15.75" customHeight="1">
      <c r="A2093" s="517" t="str">
        <f>IF(B2093&lt;&gt;"",IF(AND(B2093&gt;=_TM1,B2093&lt;=_TM2,OR(TH!L2093="1111",TH!M2093="1111")),TH!D2093,""),"")</f>
        <v/>
      </c>
      <c r="B2093" s="531">
        <f t="shared" si="194"/>
        <v>4</v>
      </c>
      <c r="C2093" s="315">
        <f t="shared" si="195"/>
        <v>42833</v>
      </c>
      <c r="D2093" s="315" t="s">
        <v>966</v>
      </c>
      <c r="E2093" s="315">
        <v>42833</v>
      </c>
      <c r="F2093" s="249" t="s">
        <v>1001</v>
      </c>
      <c r="G2093" s="314" t="s">
        <v>1029</v>
      </c>
      <c r="H2093" s="473" t="s">
        <v>447</v>
      </c>
      <c r="I2093" s="307">
        <v>8</v>
      </c>
      <c r="J2093" s="307">
        <v>161179</v>
      </c>
      <c r="K2093" s="532">
        <f t="shared" si="196"/>
        <v>1289432</v>
      </c>
      <c r="L2093" s="534" t="s">
        <v>292</v>
      </c>
      <c r="M2093" s="534" t="s">
        <v>8</v>
      </c>
      <c r="N2093" s="525" t="str">
        <f>IF(AND('331-CT'!$E$7=TH!H2093,OR(L2093="331",M2093="331")),"331",IF(AND(OR(L2093="131",M2093="131"),H2093='131-CT'!$E$7),"131",""))</f>
        <v/>
      </c>
      <c r="O2093" s="525" t="str">
        <f>IF(AND($B2093&gt;='111'!$N$11,$B2093&lt;='111'!$O$11,OR($L2093=$O$7,$M2093=$O$7)),"x","")</f>
        <v/>
      </c>
      <c r="P2093" s="525" t="str">
        <f>IF(AND($L2093=$O$7,$B2093&lt;'111'!$N$11),"x","")</f>
        <v/>
      </c>
      <c r="Q2093" s="525" t="str">
        <f>IF(AND($M2093=$O$7,$B2093&lt;'111'!$N$11),"x","")</f>
        <v/>
      </c>
      <c r="R2093" s="525" t="str">
        <f>IF(ISERROR(FIND('112'!$M$9,G2093,1)),"",IF((AND(FIND('112'!$M$9,G2093,1)&gt;=1,$B2093&gt;='112'!$N$8,$B2093&lt;='112'!$O$8,OR($L2093='112'!$I$6,$M2093='112'!$I$6))),"x",""))</f>
        <v/>
      </c>
      <c r="S2093" s="525" t="str">
        <f>IF(ISERROR(FIND('112'!$M$9,G2093,1)),"",IF((AND(LEFT(G2093,2)=LEFT('112'!$M$9,2),B2093&lt;'112'!$N$8,$L2093='112'!$I$6)),"x",""))</f>
        <v/>
      </c>
      <c r="T2093" s="525" t="str">
        <f>IF(ISERROR(FIND('112'!$M$9,G2093,1)),"",IF((AND(RIGHT(G2093,2)=RIGHT('112'!$M$9,2),B2093&lt;'112'!$N$8,$M2093='112'!$I$6)),"x",""))</f>
        <v/>
      </c>
      <c r="U2093" s="525" t="str">
        <f>IF(AND(B2093&gt;='IN-NX'!$P$3,B2093&lt;='IN-NX'!$Q$3,'IN-NX'!$D$7=D2093,OR(LEFT(L2093,2)="15",AND(LEFT(M2093,2)&lt;&gt;"15",LEFT(M2093,2)&lt;&gt;"33"))),"x","")</f>
        <v/>
      </c>
      <c r="V2093" s="525" t="str">
        <f>IF(AND(OR(LEFT(TH!L2093,2)="15",LEFT(TH!M2093,2)="15"),'152-CT'!$J$8=TH!F2093),"x","")</f>
        <v/>
      </c>
      <c r="W2093" s="525" t="str">
        <f>IF(AND(OR(LEFT(TH!L2093,2)="15",LEFT(TH!M2093,2)="15"),TK!$E$7=TH!F2093),"x","")</f>
        <v/>
      </c>
      <c r="X2093" s="525" t="str">
        <f>IF(AND('341-CT'!$E$9=H2093,OR(LEFT(L2093,3)=$X$7,LEFT(M2093,3)=$X$7)),"x","")</f>
        <v/>
      </c>
      <c r="Y2093" s="525" t="str">
        <f>IF(OR(TH!L2093=TH!$Y$7,M2093=TH!$Y$7),"x","")</f>
        <v/>
      </c>
      <c r="Z2093" s="525" t="str">
        <f>IF(AND(B2093&lt;=NKC!$N$8,B2093&gt;=NKC!$M$8),"x","")</f>
        <v/>
      </c>
      <c r="AA2093" s="535">
        <v>2</v>
      </c>
      <c r="AC2093" s="503"/>
    </row>
    <row r="2094" spans="1:34" s="536" customFormat="1" ht="15.75" customHeight="1">
      <c r="A2094" s="517" t="str">
        <f>IF(B2094&lt;&gt;"",IF(AND(B2094&gt;=_TM1,B2094&lt;=_TM2,OR(TH!L2094="1111",TH!M2094="1111")),TH!D2094,""),"")</f>
        <v/>
      </c>
      <c r="B2094" s="531">
        <f t="shared" si="194"/>
        <v>4</v>
      </c>
      <c r="C2094" s="315">
        <f t="shared" si="195"/>
        <v>42833</v>
      </c>
      <c r="D2094" s="315" t="s">
        <v>966</v>
      </c>
      <c r="E2094" s="315">
        <v>42833</v>
      </c>
      <c r="F2094" s="247" t="s">
        <v>1002</v>
      </c>
      <c r="G2094" s="314" t="s">
        <v>1029</v>
      </c>
      <c r="H2094" s="473" t="s">
        <v>447</v>
      </c>
      <c r="I2094" s="307"/>
      <c r="J2094" s="307"/>
      <c r="K2094" s="532">
        <v>3059350</v>
      </c>
      <c r="L2094" s="713" t="s">
        <v>9</v>
      </c>
      <c r="M2094" s="534" t="s">
        <v>8</v>
      </c>
      <c r="N2094" s="525" t="str">
        <f>IF(AND('331-CT'!$E$7=TH!H2094,OR(L2094="331",M2094="331")),"331",IF(AND(OR(L2094="131",M2094="131"),H2094='131-CT'!$E$7),"131",""))</f>
        <v/>
      </c>
      <c r="O2094" s="525" t="str">
        <f>IF(AND($B2094&gt;='111'!$N$11,$B2094&lt;='111'!$O$11,OR($L2094=$O$7,$M2094=$O$7)),"x","")</f>
        <v/>
      </c>
      <c r="P2094" s="525" t="str">
        <f>IF(AND($L2094=$O$7,$B2094&lt;'111'!$N$11),"x","")</f>
        <v/>
      </c>
      <c r="Q2094" s="525" t="str">
        <f>IF(AND($M2094=$O$7,$B2094&lt;'111'!$N$11),"x","")</f>
        <v/>
      </c>
      <c r="R2094" s="525" t="str">
        <f>IF(ISERROR(FIND('112'!$M$9,G2094,1)),"",IF((AND(FIND('112'!$M$9,G2094,1)&gt;=1,$B2094&gt;='112'!$N$8,$B2094&lt;='112'!$O$8,OR($L2094='112'!$I$6,$M2094='112'!$I$6))),"x",""))</f>
        <v/>
      </c>
      <c r="S2094" s="525" t="str">
        <f>IF(ISERROR(FIND('112'!$M$9,G2094,1)),"",IF((AND(LEFT(G2094,2)=LEFT('112'!$M$9,2),B2094&lt;'112'!$N$8,$L2094='112'!$I$6)),"x",""))</f>
        <v/>
      </c>
      <c r="T2094" s="525" t="str">
        <f>IF(ISERROR(FIND('112'!$M$9,G2094,1)),"",IF((AND(RIGHT(G2094,2)=RIGHT('112'!$M$9,2),B2094&lt;'112'!$N$8,$M2094='112'!$I$6)),"x",""))</f>
        <v/>
      </c>
      <c r="U2094" s="525" t="str">
        <f>IF(AND(B2094&gt;='IN-NX'!$P$3,B2094&lt;='IN-NX'!$Q$3,'IN-NX'!$D$7=D2094,OR(LEFT(L2094,2)="15",AND(LEFT(M2094,2)&lt;&gt;"15",LEFT(M2094,2)&lt;&gt;"33"))),"x","")</f>
        <v/>
      </c>
      <c r="V2094" s="525" t="str">
        <f>IF(AND(OR(LEFT(TH!L2094,2)="15",LEFT(TH!M2094,2)="15"),'152-CT'!$J$8=TH!F2094),"x","")</f>
        <v/>
      </c>
      <c r="W2094" s="525" t="str">
        <f>IF(AND(OR(LEFT(TH!L2094,2)="15",LEFT(TH!M2094,2)="15"),TK!$E$7=TH!F2094),"x","")</f>
        <v/>
      </c>
      <c r="X2094" s="525" t="str">
        <f>IF(AND('341-CT'!$E$9=H2094,OR(LEFT(L2094,3)=$X$7,LEFT(M2094,3)=$X$7)),"x","")</f>
        <v/>
      </c>
      <c r="Y2094" s="525" t="str">
        <f>IF(OR(TH!L2094=TH!$Y$7,M2094=TH!$Y$7),"x","")</f>
        <v/>
      </c>
      <c r="Z2094" s="525" t="str">
        <f>IF(AND(B2094&lt;=NKC!$N$8,B2094&gt;=NKC!$M$8),"x","")</f>
        <v/>
      </c>
      <c r="AA2094" s="535">
        <v>2</v>
      </c>
      <c r="AC2094" s="503"/>
    </row>
    <row r="2095" spans="1:34" s="536" customFormat="1" ht="15.75" customHeight="1">
      <c r="A2095" s="517" t="str">
        <f>IF(B2095&lt;&gt;"",IF(AND(B2095&gt;=_TM1,B2095&lt;=_TM2,OR(TH!L2095="1111",TH!M2095="1111")),TH!D2095,""),"")</f>
        <v/>
      </c>
      <c r="B2095" s="531">
        <f t="shared" si="194"/>
        <v>4</v>
      </c>
      <c r="C2095" s="315">
        <f t="shared" si="195"/>
        <v>42833</v>
      </c>
      <c r="D2095" s="315" t="s">
        <v>899</v>
      </c>
      <c r="E2095" s="315">
        <v>42833</v>
      </c>
      <c r="F2095" s="249" t="s">
        <v>1009</v>
      </c>
      <c r="G2095" s="314" t="s">
        <v>1098</v>
      </c>
      <c r="H2095" s="473" t="s">
        <v>1093</v>
      </c>
      <c r="I2095" s="307">
        <v>130</v>
      </c>
      <c r="J2095" s="307">
        <v>13930</v>
      </c>
      <c r="K2095" s="532">
        <f>ROUND(I2095*J2095,0)</f>
        <v>1810900</v>
      </c>
      <c r="L2095" s="534" t="s">
        <v>223</v>
      </c>
      <c r="M2095" s="534" t="s">
        <v>162</v>
      </c>
      <c r="N2095" s="525" t="str">
        <f>IF(AND('331-CT'!$E$7=TH!H2095,OR(L2095="331",M2095="331")),"331",IF(AND(OR(L2095="131",M2095="131"),H2095='131-CT'!$E$7),"131",""))</f>
        <v/>
      </c>
      <c r="O2095" s="525" t="str">
        <f>IF(AND($B2095&gt;='111'!$N$11,$B2095&lt;='111'!$O$11,OR($L2095=$O$7,$M2095=$O$7)),"x","")</f>
        <v/>
      </c>
      <c r="P2095" s="525" t="str">
        <f>IF(AND($L2095=$O$7,$B2095&lt;'111'!$N$11),"x","")</f>
        <v/>
      </c>
      <c r="Q2095" s="525" t="str">
        <f>IF(AND($M2095=$O$7,$B2095&lt;'111'!$N$11),"x","")</f>
        <v/>
      </c>
      <c r="R2095" s="525" t="str">
        <f>IF(ISERROR(FIND('112'!$M$9,G2095,1)),"",IF((AND(FIND('112'!$M$9,G2095,1)&gt;=1,$B2095&gt;='112'!$N$8,$B2095&lt;='112'!$O$8,OR($L2095='112'!$I$6,$M2095='112'!$I$6))),"x",""))</f>
        <v/>
      </c>
      <c r="S2095" s="525" t="str">
        <f>IF(ISERROR(FIND('112'!$M$9,G2095,1)),"",IF((AND(LEFT(G2095,2)=LEFT('112'!$M$9,2),B2095&lt;'112'!$N$8,$L2095='112'!$I$6)),"x",""))</f>
        <v/>
      </c>
      <c r="T2095" s="525" t="str">
        <f>IF(ISERROR(FIND('112'!$M$9,G2095,1)),"",IF((AND(RIGHT(G2095,2)=RIGHT('112'!$M$9,2),B2095&lt;'112'!$N$8,$M2095='112'!$I$6)),"x",""))</f>
        <v/>
      </c>
      <c r="U2095" s="525" t="str">
        <f>IF(AND(B2095&gt;='IN-NX'!$P$3,B2095&lt;='IN-NX'!$Q$3,'IN-NX'!$D$7=D2095,OR(LEFT(L2095,2)="15",AND(LEFT(M2095,2)&lt;&gt;"15",LEFT(M2095,2)&lt;&gt;"33"))),"x","")</f>
        <v/>
      </c>
      <c r="V2095" s="525" t="str">
        <f>IF(AND(OR(LEFT(TH!L2095,2)="15",LEFT(TH!M2095,2)="15"),'152-CT'!$J$8=TH!F2095),"x","")</f>
        <v/>
      </c>
      <c r="W2095" s="525" t="str">
        <f>IF(AND(OR(LEFT(TH!L2095,2)="15",LEFT(TH!M2095,2)="15"),TK!$E$7=TH!F2095),"x","")</f>
        <v/>
      </c>
      <c r="X2095" s="525" t="str">
        <f>IF(AND('341-CT'!$E$9=H2095,OR(LEFT(L2095,3)=$X$7,LEFT(M2095,3)=$X$7)),"x","")</f>
        <v/>
      </c>
      <c r="Y2095" s="525" t="str">
        <f>IF(OR(TH!L2095=TH!$Y$7,M2095=TH!$Y$7),"x","")</f>
        <v/>
      </c>
      <c r="Z2095" s="525" t="str">
        <f>IF(AND(B2095&lt;=NKC!$N$8,B2095&gt;=NKC!$M$8),"x","")</f>
        <v/>
      </c>
      <c r="AA2095" s="535"/>
      <c r="AC2095" s="503"/>
      <c r="AD2095" s="503"/>
      <c r="AE2095" s="503"/>
      <c r="AF2095" s="503"/>
      <c r="AG2095" s="503"/>
      <c r="AH2095" s="503"/>
    </row>
    <row r="2096" spans="1:34" s="536" customFormat="1" ht="15.75" customHeight="1">
      <c r="A2096" s="517" t="str">
        <f>IF(B2096&lt;&gt;"",IF(AND(B2096&gt;=_TM1,B2096&lt;=_TM2,OR(TH!L2096="1111",TH!M2096="1111")),TH!D2096,""),"")</f>
        <v/>
      </c>
      <c r="B2096" s="531">
        <f t="shared" si="194"/>
        <v>4</v>
      </c>
      <c r="C2096" s="315">
        <f t="shared" si="195"/>
        <v>42833</v>
      </c>
      <c r="D2096" s="315" t="s">
        <v>899</v>
      </c>
      <c r="E2096" s="315">
        <v>42833</v>
      </c>
      <c r="F2096" s="249" t="s">
        <v>1005</v>
      </c>
      <c r="G2096" s="314" t="s">
        <v>1098</v>
      </c>
      <c r="H2096" s="473" t="s">
        <v>1093</v>
      </c>
      <c r="I2096" s="307">
        <v>620</v>
      </c>
      <c r="J2096" s="307">
        <v>7013</v>
      </c>
      <c r="K2096" s="532">
        <f>ROUND(I2096*J2096,0)</f>
        <v>4348060</v>
      </c>
      <c r="L2096" s="534" t="s">
        <v>223</v>
      </c>
      <c r="M2096" s="534" t="s">
        <v>162</v>
      </c>
      <c r="N2096" s="525" t="str">
        <f>IF(AND('331-CT'!$E$7=TH!H2096,OR(L2096="331",M2096="331")),"331",IF(AND(OR(L2096="131",M2096="131"),H2096='131-CT'!$E$7),"131",""))</f>
        <v/>
      </c>
      <c r="O2096" s="525" t="str">
        <f>IF(AND($B2096&gt;='111'!$N$11,$B2096&lt;='111'!$O$11,OR($L2096=$O$7,$M2096=$O$7)),"x","")</f>
        <v/>
      </c>
      <c r="P2096" s="525" t="str">
        <f>IF(AND($L2096=$O$7,$B2096&lt;'111'!$N$11),"x","")</f>
        <v/>
      </c>
      <c r="Q2096" s="525" t="str">
        <f>IF(AND($M2096=$O$7,$B2096&lt;'111'!$N$11),"x","")</f>
        <v/>
      </c>
      <c r="R2096" s="525" t="str">
        <f>IF(ISERROR(FIND('112'!$M$9,G2096,1)),"",IF((AND(FIND('112'!$M$9,G2096,1)&gt;=1,$B2096&gt;='112'!$N$8,$B2096&lt;='112'!$O$8,OR($L2096='112'!$I$6,$M2096='112'!$I$6))),"x",""))</f>
        <v/>
      </c>
      <c r="S2096" s="525" t="str">
        <f>IF(ISERROR(FIND('112'!$M$9,G2096,1)),"",IF((AND(LEFT(G2096,2)=LEFT('112'!$M$9,2),B2096&lt;'112'!$N$8,$L2096='112'!$I$6)),"x",""))</f>
        <v/>
      </c>
      <c r="T2096" s="525" t="str">
        <f>IF(ISERROR(FIND('112'!$M$9,G2096,1)),"",IF((AND(RIGHT(G2096,2)=RIGHT('112'!$M$9,2),B2096&lt;'112'!$N$8,$M2096='112'!$I$6)),"x",""))</f>
        <v/>
      </c>
      <c r="U2096" s="525" t="str">
        <f>IF(AND(B2096&gt;='IN-NX'!$P$3,B2096&lt;='IN-NX'!$Q$3,'IN-NX'!$D$7=D2096,OR(LEFT(L2096,2)="15",AND(LEFT(M2096,2)&lt;&gt;"15",LEFT(M2096,2)&lt;&gt;"33"))),"x","")</f>
        <v/>
      </c>
      <c r="V2096" s="525" t="str">
        <f>IF(AND(OR(LEFT(TH!L2096,2)="15",LEFT(TH!M2096,2)="15"),'152-CT'!$J$8=TH!F2096),"x","")</f>
        <v/>
      </c>
      <c r="W2096" s="525" t="str">
        <f>IF(AND(OR(LEFT(TH!L2096,2)="15",LEFT(TH!M2096,2)="15"),TK!$E$7=TH!F2096),"x","")</f>
        <v/>
      </c>
      <c r="X2096" s="525" t="str">
        <f>IF(AND('341-CT'!$E$9=H2096,OR(LEFT(L2096,3)=$X$7,LEFT(M2096,3)=$X$7)),"x","")</f>
        <v/>
      </c>
      <c r="Y2096" s="525" t="str">
        <f>IF(OR(TH!L2096=TH!$Y$7,M2096=TH!$Y$7),"x","")</f>
        <v/>
      </c>
      <c r="Z2096" s="525" t="str">
        <f>IF(AND(B2096&lt;=NKC!$N$8,B2096&gt;=NKC!$M$8),"x","")</f>
        <v/>
      </c>
      <c r="AA2096" s="535"/>
      <c r="AC2096" s="503"/>
      <c r="AD2096" s="503"/>
      <c r="AE2096" s="503"/>
      <c r="AF2096" s="503"/>
      <c r="AG2096" s="503"/>
      <c r="AH2096" s="503"/>
    </row>
    <row r="2097" spans="1:34" s="536" customFormat="1" ht="15.75" customHeight="1">
      <c r="A2097" s="517" t="str">
        <f>IF(B2097&lt;&gt;"",IF(AND(B2097&gt;=_TM1,B2097&lt;=_TM2,OR(TH!L2097="1111",TH!M2097="1111")),TH!D2097,""),"")</f>
        <v/>
      </c>
      <c r="B2097" s="531">
        <f t="shared" si="194"/>
        <v>4</v>
      </c>
      <c r="C2097" s="315">
        <f t="shared" si="195"/>
        <v>42833</v>
      </c>
      <c r="D2097" s="315" t="s">
        <v>899</v>
      </c>
      <c r="E2097" s="315">
        <v>42833</v>
      </c>
      <c r="F2097" s="249" t="s">
        <v>1010</v>
      </c>
      <c r="G2097" s="314" t="s">
        <v>1098</v>
      </c>
      <c r="H2097" s="473" t="s">
        <v>1093</v>
      </c>
      <c r="I2097" s="307">
        <v>480</v>
      </c>
      <c r="J2097" s="307">
        <v>13930</v>
      </c>
      <c r="K2097" s="532">
        <f>ROUND(I2097*J2097,0)</f>
        <v>6686400</v>
      </c>
      <c r="L2097" s="534" t="s">
        <v>223</v>
      </c>
      <c r="M2097" s="534" t="s">
        <v>162</v>
      </c>
      <c r="N2097" s="525" t="str">
        <f>IF(AND('331-CT'!$E$7=TH!H2097,OR(L2097="331",M2097="331")),"331",IF(AND(OR(L2097="131",M2097="131"),H2097='131-CT'!$E$7),"131",""))</f>
        <v/>
      </c>
      <c r="O2097" s="525" t="str">
        <f>IF(AND($B2097&gt;='111'!$N$11,$B2097&lt;='111'!$O$11,OR($L2097=$O$7,$M2097=$O$7)),"x","")</f>
        <v/>
      </c>
      <c r="P2097" s="525" t="str">
        <f>IF(AND($L2097=$O$7,$B2097&lt;'111'!$N$11),"x","")</f>
        <v/>
      </c>
      <c r="Q2097" s="525" t="str">
        <f>IF(AND($M2097=$O$7,$B2097&lt;'111'!$N$11),"x","")</f>
        <v/>
      </c>
      <c r="R2097" s="525" t="str">
        <f>IF(ISERROR(FIND('112'!$M$9,G2097,1)),"",IF((AND(FIND('112'!$M$9,G2097,1)&gt;=1,$B2097&gt;='112'!$N$8,$B2097&lt;='112'!$O$8,OR($L2097='112'!$I$6,$M2097='112'!$I$6))),"x",""))</f>
        <v/>
      </c>
      <c r="S2097" s="525" t="str">
        <f>IF(ISERROR(FIND('112'!$M$9,G2097,1)),"",IF((AND(LEFT(G2097,2)=LEFT('112'!$M$9,2),B2097&lt;'112'!$N$8,$L2097='112'!$I$6)),"x",""))</f>
        <v/>
      </c>
      <c r="T2097" s="525" t="str">
        <f>IF(ISERROR(FIND('112'!$M$9,G2097,1)),"",IF((AND(RIGHT(G2097,2)=RIGHT('112'!$M$9,2),B2097&lt;'112'!$N$8,$M2097='112'!$I$6)),"x",""))</f>
        <v/>
      </c>
      <c r="U2097" s="525" t="str">
        <f>IF(AND(B2097&gt;='IN-NX'!$P$3,B2097&lt;='IN-NX'!$Q$3,'IN-NX'!$D$7=D2097,OR(LEFT(L2097,2)="15",AND(LEFT(M2097,2)&lt;&gt;"15",LEFT(M2097,2)&lt;&gt;"33"))),"x","")</f>
        <v/>
      </c>
      <c r="V2097" s="525" t="str">
        <f>IF(AND(OR(LEFT(TH!L2097,2)="15",LEFT(TH!M2097,2)="15"),'152-CT'!$J$8=TH!F2097),"x","")</f>
        <v/>
      </c>
      <c r="W2097" s="525" t="str">
        <f>IF(AND(OR(LEFT(TH!L2097,2)="15",LEFT(TH!M2097,2)="15"),TK!$E$7=TH!F2097),"x","")</f>
        <v/>
      </c>
      <c r="X2097" s="525" t="str">
        <f>IF(AND('341-CT'!$E$9=H2097,OR(LEFT(L2097,3)=$X$7,LEFT(M2097,3)=$X$7)),"x","")</f>
        <v/>
      </c>
      <c r="Y2097" s="525" t="str">
        <f>IF(OR(TH!L2097=TH!$Y$7,M2097=TH!$Y$7),"x","")</f>
        <v/>
      </c>
      <c r="Z2097" s="525" t="str">
        <f>IF(AND(B2097&lt;=NKC!$N$8,B2097&gt;=NKC!$M$8),"x","")</f>
        <v/>
      </c>
      <c r="AA2097" s="535"/>
      <c r="AC2097" s="503"/>
      <c r="AD2097" s="503"/>
      <c r="AE2097" s="503"/>
      <c r="AF2097" s="503"/>
      <c r="AG2097" s="503"/>
      <c r="AH2097" s="503"/>
    </row>
    <row r="2098" spans="1:34" s="536" customFormat="1" ht="15.75" customHeight="1">
      <c r="A2098" s="517" t="str">
        <f>IF(B2098&lt;&gt;"",IF(AND(B2098&gt;=_TM1,B2098&lt;=_TM2,OR(TH!L2098="1111",TH!M2098="1111")),TH!D2098,""),"")</f>
        <v/>
      </c>
      <c r="B2098" s="531">
        <f t="shared" si="194"/>
        <v>4</v>
      </c>
      <c r="C2098" s="315">
        <f t="shared" si="195"/>
        <v>42833</v>
      </c>
      <c r="D2098" s="315" t="s">
        <v>899</v>
      </c>
      <c r="E2098" s="315">
        <v>42833</v>
      </c>
      <c r="F2098" s="249" t="s">
        <v>1007</v>
      </c>
      <c r="G2098" s="314" t="s">
        <v>1098</v>
      </c>
      <c r="H2098" s="473" t="s">
        <v>1093</v>
      </c>
      <c r="I2098" s="307">
        <v>1920</v>
      </c>
      <c r="J2098" s="307">
        <v>7013</v>
      </c>
      <c r="K2098" s="532">
        <f>ROUND(I2098*J2098,0)</f>
        <v>13464960</v>
      </c>
      <c r="L2098" s="534" t="s">
        <v>223</v>
      </c>
      <c r="M2098" s="534" t="s">
        <v>162</v>
      </c>
      <c r="N2098" s="525" t="str">
        <f>IF(AND('331-CT'!$E$7=TH!H2098,OR(L2098="331",M2098="331")),"331",IF(AND(OR(L2098="131",M2098="131"),H2098='131-CT'!$E$7),"131",""))</f>
        <v/>
      </c>
      <c r="O2098" s="525" t="str">
        <f>IF(AND($B2098&gt;='111'!$N$11,$B2098&lt;='111'!$O$11,OR($L2098=$O$7,$M2098=$O$7)),"x","")</f>
        <v/>
      </c>
      <c r="P2098" s="525" t="str">
        <f>IF(AND($L2098=$O$7,$B2098&lt;'111'!$N$11),"x","")</f>
        <v/>
      </c>
      <c r="Q2098" s="525" t="str">
        <f>IF(AND($M2098=$O$7,$B2098&lt;'111'!$N$11),"x","")</f>
        <v/>
      </c>
      <c r="R2098" s="525" t="str">
        <f>IF(ISERROR(FIND('112'!$M$9,G2098,1)),"",IF((AND(FIND('112'!$M$9,G2098,1)&gt;=1,$B2098&gt;='112'!$N$8,$B2098&lt;='112'!$O$8,OR($L2098='112'!$I$6,$M2098='112'!$I$6))),"x",""))</f>
        <v/>
      </c>
      <c r="S2098" s="525" t="str">
        <f>IF(ISERROR(FIND('112'!$M$9,G2098,1)),"",IF((AND(LEFT(G2098,2)=LEFT('112'!$M$9,2),B2098&lt;'112'!$N$8,$L2098='112'!$I$6)),"x",""))</f>
        <v/>
      </c>
      <c r="T2098" s="525" t="str">
        <f>IF(ISERROR(FIND('112'!$M$9,G2098,1)),"",IF((AND(RIGHT(G2098,2)=RIGHT('112'!$M$9,2),B2098&lt;'112'!$N$8,$M2098='112'!$I$6)),"x",""))</f>
        <v/>
      </c>
      <c r="U2098" s="525" t="str">
        <f>IF(AND(B2098&gt;='IN-NX'!$P$3,B2098&lt;='IN-NX'!$Q$3,'IN-NX'!$D$7=D2098,OR(LEFT(L2098,2)="15",AND(LEFT(M2098,2)&lt;&gt;"15",LEFT(M2098,2)&lt;&gt;"33"))),"x","")</f>
        <v/>
      </c>
      <c r="V2098" s="525" t="str">
        <f>IF(AND(OR(LEFT(TH!L2098,2)="15",LEFT(TH!M2098,2)="15"),'152-CT'!$J$8=TH!F2098),"x","")</f>
        <v/>
      </c>
      <c r="W2098" s="525" t="str">
        <f>IF(AND(OR(LEFT(TH!L2098,2)="15",LEFT(TH!M2098,2)="15"),TK!$E$7=TH!F2098),"x","")</f>
        <v/>
      </c>
      <c r="X2098" s="525" t="str">
        <f>IF(AND('341-CT'!$E$9=H2098,OR(LEFT(L2098,3)=$X$7,LEFT(M2098,3)=$X$7)),"x","")</f>
        <v/>
      </c>
      <c r="Y2098" s="525" t="str">
        <f>IF(OR(TH!L2098=TH!$Y$7,M2098=TH!$Y$7),"x","")</f>
        <v/>
      </c>
      <c r="Z2098" s="525" t="str">
        <f>IF(AND(B2098&lt;=NKC!$N$8,B2098&gt;=NKC!$M$8),"x","")</f>
        <v/>
      </c>
      <c r="AA2098" s="535"/>
      <c r="AC2098" s="503"/>
      <c r="AD2098" s="503"/>
      <c r="AE2098" s="503"/>
      <c r="AF2098" s="503"/>
      <c r="AG2098" s="503"/>
      <c r="AH2098" s="503"/>
    </row>
    <row r="2099" spans="1:34" s="536" customFormat="1" ht="15.75" customHeight="1">
      <c r="A2099" s="517" t="str">
        <f>IF(B2099&lt;&gt;"",IF(AND(B2099&gt;=_TM1,B2099&lt;=_TM2,OR(TH!L2099="1111",TH!M2099="1111")),TH!D2099,""),"")</f>
        <v/>
      </c>
      <c r="B2099" s="531">
        <f t="shared" si="194"/>
        <v>4</v>
      </c>
      <c r="C2099" s="315">
        <f t="shared" si="195"/>
        <v>42833</v>
      </c>
      <c r="D2099" s="315" t="s">
        <v>899</v>
      </c>
      <c r="E2099" s="315">
        <v>42833</v>
      </c>
      <c r="F2099" s="249" t="s">
        <v>1011</v>
      </c>
      <c r="G2099" s="314" t="s">
        <v>1098</v>
      </c>
      <c r="H2099" s="473" t="s">
        <v>1093</v>
      </c>
      <c r="I2099" s="307">
        <v>1010</v>
      </c>
      <c r="J2099" s="307">
        <v>3550</v>
      </c>
      <c r="K2099" s="532">
        <f>ROUND(I2099*J2099,0)</f>
        <v>3585500</v>
      </c>
      <c r="L2099" s="534" t="s">
        <v>223</v>
      </c>
      <c r="M2099" s="534" t="s">
        <v>162</v>
      </c>
      <c r="N2099" s="525" t="str">
        <f>IF(AND('331-CT'!$E$7=TH!H2099,OR(L2099="331",M2099="331")),"331",IF(AND(OR(L2099="131",M2099="131"),H2099='131-CT'!$E$7),"131",""))</f>
        <v/>
      </c>
      <c r="O2099" s="525" t="str">
        <f>IF(AND($B2099&gt;='111'!$N$11,$B2099&lt;='111'!$O$11,OR($L2099=$O$7,$M2099=$O$7)),"x","")</f>
        <v/>
      </c>
      <c r="P2099" s="525" t="str">
        <f>IF(AND($L2099=$O$7,$B2099&lt;'111'!$N$11),"x","")</f>
        <v/>
      </c>
      <c r="Q2099" s="525" t="str">
        <f>IF(AND($M2099=$O$7,$B2099&lt;'111'!$N$11),"x","")</f>
        <v/>
      </c>
      <c r="R2099" s="525" t="str">
        <f>IF(ISERROR(FIND('112'!$M$9,G2099,1)),"",IF((AND(FIND('112'!$M$9,G2099,1)&gt;=1,$B2099&gt;='112'!$N$8,$B2099&lt;='112'!$O$8,OR($L2099='112'!$I$6,$M2099='112'!$I$6))),"x",""))</f>
        <v/>
      </c>
      <c r="S2099" s="525" t="str">
        <f>IF(ISERROR(FIND('112'!$M$9,G2099,1)),"",IF((AND(LEFT(G2099,2)=LEFT('112'!$M$9,2),B2099&lt;'112'!$N$8,$L2099='112'!$I$6)),"x",""))</f>
        <v/>
      </c>
      <c r="T2099" s="525" t="str">
        <f>IF(ISERROR(FIND('112'!$M$9,G2099,1)),"",IF((AND(RIGHT(G2099,2)=RIGHT('112'!$M$9,2),B2099&lt;'112'!$N$8,$M2099='112'!$I$6)),"x",""))</f>
        <v/>
      </c>
      <c r="U2099" s="525" t="str">
        <f>IF(AND(B2099&gt;='IN-NX'!$P$3,B2099&lt;='IN-NX'!$Q$3,'IN-NX'!$D$7=D2099,OR(LEFT(L2099,2)="15",AND(LEFT(M2099,2)&lt;&gt;"15",LEFT(M2099,2)&lt;&gt;"33"))),"x","")</f>
        <v/>
      </c>
      <c r="V2099" s="525" t="str">
        <f>IF(AND(OR(LEFT(TH!L2099,2)="15",LEFT(TH!M2099,2)="15"),'152-CT'!$J$8=TH!F2099),"x","")</f>
        <v/>
      </c>
      <c r="W2099" s="525" t="str">
        <f>IF(AND(OR(LEFT(TH!L2099,2)="15",LEFT(TH!M2099,2)="15"),TK!$E$7=TH!F2099),"x","")</f>
        <v/>
      </c>
      <c r="X2099" s="525" t="str">
        <f>IF(AND('341-CT'!$E$9=H2099,OR(LEFT(L2099,3)=$X$7,LEFT(M2099,3)=$X$7)),"x","")</f>
        <v/>
      </c>
      <c r="Y2099" s="525" t="str">
        <f>IF(OR(TH!L2099=TH!$Y$7,M2099=TH!$Y$7),"x","")</f>
        <v/>
      </c>
      <c r="Z2099" s="525" t="str">
        <f>IF(AND(B2099&lt;=NKC!$N$8,B2099&gt;=NKC!$M$8),"x","")</f>
        <v/>
      </c>
      <c r="AA2099" s="535"/>
      <c r="AC2099" s="503"/>
      <c r="AD2099" s="503"/>
      <c r="AE2099" s="503"/>
      <c r="AF2099" s="503"/>
      <c r="AG2099" s="503"/>
      <c r="AH2099" s="503"/>
    </row>
    <row r="2100" spans="1:34" s="536" customFormat="1" ht="15.75" customHeight="1">
      <c r="A2100" s="517" t="str">
        <f>IF(B2100&lt;&gt;"",IF(AND(B2100&gt;=_TM1,B2100&lt;=_TM2,OR(TH!L2100="1111",TH!M2100="1111")),TH!D2100,""),"")</f>
        <v/>
      </c>
      <c r="B2100" s="531">
        <f t="shared" si="194"/>
        <v>4</v>
      </c>
      <c r="C2100" s="315">
        <f t="shared" si="195"/>
        <v>42833</v>
      </c>
      <c r="D2100" s="315" t="s">
        <v>899</v>
      </c>
      <c r="E2100" s="315">
        <v>42833</v>
      </c>
      <c r="F2100" s="249" t="s">
        <v>1099</v>
      </c>
      <c r="G2100" s="314" t="s">
        <v>1098</v>
      </c>
      <c r="H2100" s="473" t="s">
        <v>1093</v>
      </c>
      <c r="I2100" s="307"/>
      <c r="J2100" s="307"/>
      <c r="K2100" s="532">
        <v>1000000</v>
      </c>
      <c r="L2100" s="534" t="s">
        <v>223</v>
      </c>
      <c r="M2100" s="534" t="s">
        <v>275</v>
      </c>
      <c r="N2100" s="525" t="str">
        <f>IF(AND('331-CT'!$E$7=TH!H2100,OR(L2100="331",M2100="331")),"331",IF(AND(OR(L2100="131",M2100="131"),H2100='131-CT'!$E$7),"131",""))</f>
        <v/>
      </c>
      <c r="O2100" s="525" t="str">
        <f>IF(AND($B2100&gt;='111'!$N$11,$B2100&lt;='111'!$O$11,OR($L2100=$O$7,$M2100=$O$7)),"x","")</f>
        <v/>
      </c>
      <c r="P2100" s="525" t="str">
        <f>IF(AND($L2100=$O$7,$B2100&lt;'111'!$N$11),"x","")</f>
        <v/>
      </c>
      <c r="Q2100" s="525" t="str">
        <f>IF(AND($M2100=$O$7,$B2100&lt;'111'!$N$11),"x","")</f>
        <v/>
      </c>
      <c r="R2100" s="525" t="str">
        <f>IF(ISERROR(FIND('112'!$M$9,G2100,1)),"",IF((AND(FIND('112'!$M$9,G2100,1)&gt;=1,$B2100&gt;='112'!$N$8,$B2100&lt;='112'!$O$8,OR($L2100='112'!$I$6,$M2100='112'!$I$6))),"x",""))</f>
        <v/>
      </c>
      <c r="S2100" s="525" t="str">
        <f>IF(ISERROR(FIND('112'!$M$9,G2100,1)),"",IF((AND(LEFT(G2100,2)=LEFT('112'!$M$9,2),B2100&lt;'112'!$N$8,$L2100='112'!$I$6)),"x",""))</f>
        <v/>
      </c>
      <c r="T2100" s="525" t="str">
        <f>IF(ISERROR(FIND('112'!$M$9,G2100,1)),"",IF((AND(RIGHT(G2100,2)=RIGHT('112'!$M$9,2),B2100&lt;'112'!$N$8,$M2100='112'!$I$6)),"x",""))</f>
        <v/>
      </c>
      <c r="U2100" s="525" t="str">
        <f>IF(AND(B2100&gt;='IN-NX'!$P$3,B2100&lt;='IN-NX'!$Q$3,'IN-NX'!$D$7=D2100,OR(LEFT(L2100,2)="15",AND(LEFT(M2100,2)&lt;&gt;"15",LEFT(M2100,2)&lt;&gt;"33"))),"x","")</f>
        <v/>
      </c>
      <c r="V2100" s="525" t="str">
        <f>IF(AND(OR(LEFT(TH!L2100,2)="15",LEFT(TH!M2100,2)="15"),'152-CT'!$J$8=TH!F2100),"x","")</f>
        <v/>
      </c>
      <c r="W2100" s="525" t="str">
        <f>IF(AND(OR(LEFT(TH!L2100,2)="15",LEFT(TH!M2100,2)="15"),TK!$E$7=TH!F2100),"x","")</f>
        <v/>
      </c>
      <c r="X2100" s="525" t="str">
        <f>IF(AND('341-CT'!$E$9=H2100,OR(LEFT(L2100,3)=$X$7,LEFT(M2100,3)=$X$7)),"x","")</f>
        <v/>
      </c>
      <c r="Y2100" s="525" t="str">
        <f>IF(OR(TH!L2100=TH!$Y$7,M2100=TH!$Y$7),"x","")</f>
        <v/>
      </c>
      <c r="Z2100" s="525" t="str">
        <f>IF(AND(B2100&lt;=NKC!$N$8,B2100&gt;=NKC!$M$8),"x","")</f>
        <v/>
      </c>
      <c r="AA2100" s="535"/>
      <c r="AC2100" s="503"/>
      <c r="AD2100" s="503"/>
      <c r="AE2100" s="503"/>
      <c r="AF2100" s="503"/>
      <c r="AG2100" s="503"/>
      <c r="AH2100" s="503"/>
    </row>
    <row r="2101" spans="1:34" s="536" customFormat="1" ht="15.75" customHeight="1">
      <c r="A2101" s="517" t="str">
        <f>IF(B2101&lt;&gt;"",IF(AND(B2101&gt;=_TM1,B2101&lt;=_TM2,OR(TH!L2101="1111",TH!M2101="1111")),TH!D2101,""),"")</f>
        <v/>
      </c>
      <c r="B2101" s="531">
        <f t="shared" si="194"/>
        <v>4</v>
      </c>
      <c r="C2101" s="315">
        <f t="shared" si="195"/>
        <v>42833</v>
      </c>
      <c r="D2101" s="315" t="s">
        <v>899</v>
      </c>
      <c r="E2101" s="315">
        <v>42833</v>
      </c>
      <c r="F2101" s="249" t="s">
        <v>494</v>
      </c>
      <c r="G2101" s="314" t="s">
        <v>1098</v>
      </c>
      <c r="H2101" s="473" t="s">
        <v>1093</v>
      </c>
      <c r="I2101" s="307"/>
      <c r="J2101" s="307"/>
      <c r="K2101" s="532">
        <v>3089582</v>
      </c>
      <c r="L2101" s="534" t="s">
        <v>223</v>
      </c>
      <c r="M2101" s="534" t="s">
        <v>259</v>
      </c>
      <c r="N2101" s="525" t="str">
        <f>IF(AND('331-CT'!$E$7=TH!H2101,OR(L2101="331",M2101="331")),"331",IF(AND(OR(L2101="131",M2101="131"),H2101='131-CT'!$E$7),"131",""))</f>
        <v/>
      </c>
      <c r="O2101" s="525" t="str">
        <f>IF(AND($B2101&gt;='111'!$N$11,$B2101&lt;='111'!$O$11,OR($L2101=$O$7,$M2101=$O$7)),"x","")</f>
        <v/>
      </c>
      <c r="P2101" s="525" t="str">
        <f>IF(AND($L2101=$O$7,$B2101&lt;'111'!$N$11),"x","")</f>
        <v/>
      </c>
      <c r="Q2101" s="525" t="str">
        <f>IF(AND($M2101=$O$7,$B2101&lt;'111'!$N$11),"x","")</f>
        <v/>
      </c>
      <c r="R2101" s="525" t="str">
        <f>IF(ISERROR(FIND('112'!$M$9,G2101,1)),"",IF((AND(FIND('112'!$M$9,G2101,1)&gt;=1,$B2101&gt;='112'!$N$8,$B2101&lt;='112'!$O$8,OR($L2101='112'!$I$6,$M2101='112'!$I$6))),"x",""))</f>
        <v/>
      </c>
      <c r="S2101" s="525" t="str">
        <f>IF(ISERROR(FIND('112'!$M$9,G2101,1)),"",IF((AND(LEFT(G2101,2)=LEFT('112'!$M$9,2),B2101&lt;'112'!$N$8,$L2101='112'!$I$6)),"x",""))</f>
        <v/>
      </c>
      <c r="T2101" s="525" t="str">
        <f>IF(ISERROR(FIND('112'!$M$9,G2101,1)),"",IF((AND(RIGHT(G2101,2)=RIGHT('112'!$M$9,2),B2101&lt;'112'!$N$8,$M2101='112'!$I$6)),"x",""))</f>
        <v/>
      </c>
      <c r="U2101" s="525" t="str">
        <f>IF(AND(B2101&gt;='IN-NX'!$P$3,B2101&lt;='IN-NX'!$Q$3,'IN-NX'!$D$7=D2101,OR(LEFT(L2101,2)="15",AND(LEFT(M2101,2)&lt;&gt;"15",LEFT(M2101,2)&lt;&gt;"33"))),"x","")</f>
        <v/>
      </c>
      <c r="V2101" s="525" t="str">
        <f>IF(AND(OR(LEFT(TH!L2101,2)="15",LEFT(TH!M2101,2)="15"),'152-CT'!$J$8=TH!F2101),"x","")</f>
        <v/>
      </c>
      <c r="W2101" s="525" t="str">
        <f>IF(AND(OR(LEFT(TH!L2101,2)="15",LEFT(TH!M2101,2)="15"),TK!$E$7=TH!F2101),"x","")</f>
        <v/>
      </c>
      <c r="X2101" s="525" t="str">
        <f>IF(AND('341-CT'!$E$9=H2101,OR(LEFT(L2101,3)=$X$7,LEFT(M2101,3)=$X$7)),"x","")</f>
        <v/>
      </c>
      <c r="Y2101" s="525" t="str">
        <f>IF(OR(TH!L2101=TH!$Y$7,M2101=TH!$Y$7),"x","")</f>
        <v/>
      </c>
      <c r="Z2101" s="525" t="str">
        <f>IF(AND(B2101&lt;=NKC!$N$8,B2101&gt;=NKC!$M$8),"x","")</f>
        <v/>
      </c>
      <c r="AA2101" s="535"/>
      <c r="AC2101" s="503"/>
      <c r="AD2101" s="503"/>
      <c r="AE2101" s="503"/>
      <c r="AF2101" s="503"/>
      <c r="AG2101" s="503"/>
      <c r="AH2101" s="503"/>
    </row>
    <row r="2102" spans="1:34" s="536" customFormat="1" ht="15.75" customHeight="1">
      <c r="A2102" s="517" t="str">
        <f>IF(B2102&lt;&gt;"",IF(AND(B2102&gt;=_TM1,B2102&lt;=_TM2,OR(TH!L2102="1111",TH!M2102="1111")),TH!D2102,""),"")</f>
        <v/>
      </c>
      <c r="B2102" s="531">
        <f t="shared" si="194"/>
        <v>4</v>
      </c>
      <c r="C2102" s="315">
        <f t="shared" si="195"/>
        <v>42834</v>
      </c>
      <c r="D2102" s="315" t="s">
        <v>967</v>
      </c>
      <c r="E2102" s="315">
        <v>42834</v>
      </c>
      <c r="F2102" s="249" t="s">
        <v>274</v>
      </c>
      <c r="G2102" s="314" t="s">
        <v>1078</v>
      </c>
      <c r="H2102" s="473" t="s">
        <v>1071</v>
      </c>
      <c r="I2102" s="307">
        <v>541</v>
      </c>
      <c r="J2102" s="307">
        <v>12000</v>
      </c>
      <c r="K2102" s="532">
        <f>ROUND(I2102*J2102,0)</f>
        <v>6492000</v>
      </c>
      <c r="L2102" s="534" t="s">
        <v>292</v>
      </c>
      <c r="M2102" s="534" t="s">
        <v>8</v>
      </c>
      <c r="N2102" s="525" t="str">
        <f>IF(AND('331-CT'!$E$7=TH!H2102,OR(L2102="331",M2102="331")),"331",IF(AND(OR(L2102="131",M2102="131"),H2102='131-CT'!$E$7),"131",""))</f>
        <v/>
      </c>
      <c r="O2102" s="525" t="str">
        <f>IF(AND($B2102&gt;='111'!$N$11,$B2102&lt;='111'!$O$11,OR($L2102=$O$7,$M2102=$O$7)),"x","")</f>
        <v/>
      </c>
      <c r="P2102" s="525" t="str">
        <f>IF(AND($L2102=$O$7,$B2102&lt;'111'!$N$11),"x","")</f>
        <v/>
      </c>
      <c r="Q2102" s="525" t="str">
        <f>IF(AND($M2102=$O$7,$B2102&lt;'111'!$N$11),"x","")</f>
        <v/>
      </c>
      <c r="R2102" s="525" t="str">
        <f>IF(ISERROR(FIND('112'!$M$9,G2102,1)),"",IF((AND(FIND('112'!$M$9,G2102,1)&gt;=1,$B2102&gt;='112'!$N$8,$B2102&lt;='112'!$O$8,OR($L2102='112'!$I$6,$M2102='112'!$I$6))),"x",""))</f>
        <v/>
      </c>
      <c r="S2102" s="525" t="str">
        <f>IF(ISERROR(FIND('112'!$M$9,G2102,1)),"",IF((AND(LEFT(G2102,2)=LEFT('112'!$M$9,2),B2102&lt;'112'!$N$8,$L2102='112'!$I$6)),"x",""))</f>
        <v/>
      </c>
      <c r="T2102" s="525" t="str">
        <f>IF(ISERROR(FIND('112'!$M$9,G2102,1)),"",IF((AND(RIGHT(G2102,2)=RIGHT('112'!$M$9,2),B2102&lt;'112'!$N$8,$M2102='112'!$I$6)),"x",""))</f>
        <v/>
      </c>
      <c r="U2102" s="525" t="str">
        <f>IF(AND(B2102&gt;='IN-NX'!$P$3,B2102&lt;='IN-NX'!$Q$3,'IN-NX'!$D$7=D2102,OR(LEFT(L2102,2)="15",AND(LEFT(M2102,2)&lt;&gt;"15",LEFT(M2102,2)&lt;&gt;"33"))),"x","")</f>
        <v/>
      </c>
      <c r="V2102" s="525" t="str">
        <f>IF(AND(OR(LEFT(TH!L2102,2)="15",LEFT(TH!M2102,2)="15"),'152-CT'!$J$8=TH!F2102),"x","")</f>
        <v/>
      </c>
      <c r="W2102" s="525" t="str">
        <f>IF(AND(OR(LEFT(TH!L2102,2)="15",LEFT(TH!M2102,2)="15"),TK!$E$7=TH!F2102),"x","")</f>
        <v>x</v>
      </c>
      <c r="X2102" s="525" t="str">
        <f>IF(AND('341-CT'!$E$9=H2102,OR(LEFT(L2102,3)=$X$7,LEFT(M2102,3)=$X$7)),"x","")</f>
        <v/>
      </c>
      <c r="Y2102" s="525" t="str">
        <f>IF(OR(TH!L2102=TH!$Y$7,M2102=TH!$Y$7),"x","")</f>
        <v/>
      </c>
      <c r="Z2102" s="525" t="str">
        <f>IF(AND(B2102&lt;=NKC!$N$8,B2102&gt;=NKC!$M$8),"x","")</f>
        <v/>
      </c>
      <c r="AA2102" s="535">
        <v>2</v>
      </c>
      <c r="AC2102" s="503"/>
      <c r="AD2102" s="503"/>
      <c r="AE2102" s="503"/>
      <c r="AF2102" s="503"/>
      <c r="AG2102" s="503"/>
      <c r="AH2102" s="503"/>
    </row>
    <row r="2103" spans="1:34" s="536" customFormat="1" ht="15.75" customHeight="1">
      <c r="A2103" s="517" t="str">
        <f>IF(B2103&lt;&gt;"",IF(AND(B2103&gt;=_TM1,B2103&lt;=_TM2,OR(TH!L2103="1111",TH!M2103="1111")),TH!D2103,""),"")</f>
        <v/>
      </c>
      <c r="B2103" s="531">
        <f t="shared" si="194"/>
        <v>4</v>
      </c>
      <c r="C2103" s="315">
        <f t="shared" si="195"/>
        <v>42834</v>
      </c>
      <c r="D2103" s="315" t="s">
        <v>967</v>
      </c>
      <c r="E2103" s="315">
        <v>42834</v>
      </c>
      <c r="F2103" s="249" t="s">
        <v>273</v>
      </c>
      <c r="G2103" s="314" t="s">
        <v>1078</v>
      </c>
      <c r="H2103" s="473" t="s">
        <v>1071</v>
      </c>
      <c r="I2103" s="307">
        <v>140</v>
      </c>
      <c r="J2103" s="307">
        <v>18350</v>
      </c>
      <c r="K2103" s="532">
        <f>ROUND(I2103*J2103,0)</f>
        <v>2569000</v>
      </c>
      <c r="L2103" s="534" t="s">
        <v>292</v>
      </c>
      <c r="M2103" s="534" t="s">
        <v>8</v>
      </c>
      <c r="N2103" s="525" t="str">
        <f>IF(AND('331-CT'!$E$7=TH!H2103,OR(L2103="331",M2103="331")),"331",IF(AND(OR(L2103="131",M2103="131"),H2103='131-CT'!$E$7),"131",""))</f>
        <v/>
      </c>
      <c r="O2103" s="525" t="str">
        <f>IF(AND($B2103&gt;='111'!$N$11,$B2103&lt;='111'!$O$11,OR($L2103=$O$7,$M2103=$O$7)),"x","")</f>
        <v/>
      </c>
      <c r="P2103" s="525" t="str">
        <f>IF(AND($L2103=$O$7,$B2103&lt;'111'!$N$11),"x","")</f>
        <v/>
      </c>
      <c r="Q2103" s="525" t="str">
        <f>IF(AND($M2103=$O$7,$B2103&lt;'111'!$N$11),"x","")</f>
        <v/>
      </c>
      <c r="R2103" s="525" t="str">
        <f>IF(ISERROR(FIND('112'!$M$9,G2103,1)),"",IF((AND(FIND('112'!$M$9,G2103,1)&gt;=1,$B2103&gt;='112'!$N$8,$B2103&lt;='112'!$O$8,OR($L2103='112'!$I$6,$M2103='112'!$I$6))),"x",""))</f>
        <v/>
      </c>
      <c r="S2103" s="525" t="str">
        <f>IF(ISERROR(FIND('112'!$M$9,G2103,1)),"",IF((AND(LEFT(G2103,2)=LEFT('112'!$M$9,2),B2103&lt;'112'!$N$8,$L2103='112'!$I$6)),"x",""))</f>
        <v/>
      </c>
      <c r="T2103" s="525" t="str">
        <f>IF(ISERROR(FIND('112'!$M$9,G2103,1)),"",IF((AND(RIGHT(G2103,2)=RIGHT('112'!$M$9,2),B2103&lt;'112'!$N$8,$M2103='112'!$I$6)),"x",""))</f>
        <v/>
      </c>
      <c r="U2103" s="525" t="str">
        <f>IF(AND(B2103&gt;='IN-NX'!$P$3,B2103&lt;='IN-NX'!$Q$3,'IN-NX'!$D$7=D2103,OR(LEFT(L2103,2)="15",AND(LEFT(M2103,2)&lt;&gt;"15",LEFT(M2103,2)&lt;&gt;"33"))),"x","")</f>
        <v/>
      </c>
      <c r="V2103" s="525" t="str">
        <f>IF(AND(OR(LEFT(TH!L2103,2)="15",LEFT(TH!M2103,2)="15"),'152-CT'!$J$8=TH!F2103),"x","")</f>
        <v>x</v>
      </c>
      <c r="W2103" s="525" t="str">
        <f>IF(AND(OR(LEFT(TH!L2103,2)="15",LEFT(TH!M2103,2)="15"),TK!$E$7=TH!F2103),"x","")</f>
        <v/>
      </c>
      <c r="X2103" s="525" t="str">
        <f>IF(AND('341-CT'!$E$9=H2103,OR(LEFT(L2103,3)=$X$7,LEFT(M2103,3)=$X$7)),"x","")</f>
        <v/>
      </c>
      <c r="Y2103" s="525" t="str">
        <f>IF(OR(TH!L2103=TH!$Y$7,M2103=TH!$Y$7),"x","")</f>
        <v/>
      </c>
      <c r="Z2103" s="525" t="str">
        <f>IF(AND(B2103&lt;=NKC!$N$8,B2103&gt;=NKC!$M$8),"x","")</f>
        <v/>
      </c>
      <c r="AA2103" s="535">
        <v>2</v>
      </c>
      <c r="AC2103" s="503"/>
      <c r="AD2103" s="503"/>
      <c r="AE2103" s="503"/>
      <c r="AF2103" s="503"/>
      <c r="AG2103" s="503"/>
      <c r="AH2103" s="503"/>
    </row>
    <row r="2104" spans="1:34" s="536" customFormat="1" ht="15.75" customHeight="1">
      <c r="A2104" s="517" t="str">
        <f>IF(B2104&lt;&gt;"",IF(AND(B2104&gt;=_TM1,B2104&lt;=_TM2,OR(TH!L2104="1111",TH!M2104="1111")),TH!D2104,""),"")</f>
        <v/>
      </c>
      <c r="B2104" s="531">
        <f t="shared" si="194"/>
        <v>4</v>
      </c>
      <c r="C2104" s="315">
        <f t="shared" si="195"/>
        <v>42834</v>
      </c>
      <c r="D2104" s="315" t="s">
        <v>967</v>
      </c>
      <c r="E2104" s="315">
        <v>42834</v>
      </c>
      <c r="F2104" s="249" t="s">
        <v>503</v>
      </c>
      <c r="G2104" s="314" t="s">
        <v>1078</v>
      </c>
      <c r="H2104" s="473" t="s">
        <v>1071</v>
      </c>
      <c r="I2104" s="307">
        <v>1000</v>
      </c>
      <c r="J2104" s="307">
        <v>8000</v>
      </c>
      <c r="K2104" s="532">
        <f>ROUND(I2104*J2104,0)</f>
        <v>8000000</v>
      </c>
      <c r="L2104" s="534" t="s">
        <v>292</v>
      </c>
      <c r="M2104" s="534" t="s">
        <v>8</v>
      </c>
      <c r="N2104" s="525" t="str">
        <f>IF(AND('331-CT'!$E$7=TH!H2104,OR(L2104="331",M2104="331")),"331",IF(AND(OR(L2104="131",M2104="131"),H2104='131-CT'!$E$7),"131",""))</f>
        <v/>
      </c>
      <c r="O2104" s="525" t="str">
        <f>IF(AND($B2104&gt;='111'!$N$11,$B2104&lt;='111'!$O$11,OR($L2104=$O$7,$M2104=$O$7)),"x","")</f>
        <v/>
      </c>
      <c r="P2104" s="525" t="str">
        <f>IF(AND($L2104=$O$7,$B2104&lt;'111'!$N$11),"x","")</f>
        <v/>
      </c>
      <c r="Q2104" s="525" t="str">
        <f>IF(AND($M2104=$O$7,$B2104&lt;'111'!$N$11),"x","")</f>
        <v/>
      </c>
      <c r="R2104" s="525" t="str">
        <f>IF(ISERROR(FIND('112'!$M$9,G2104,1)),"",IF((AND(FIND('112'!$M$9,G2104,1)&gt;=1,$B2104&gt;='112'!$N$8,$B2104&lt;='112'!$O$8,OR($L2104='112'!$I$6,$M2104='112'!$I$6))),"x",""))</f>
        <v/>
      </c>
      <c r="S2104" s="525" t="str">
        <f>IF(ISERROR(FIND('112'!$M$9,G2104,1)),"",IF((AND(LEFT(G2104,2)=LEFT('112'!$M$9,2),B2104&lt;'112'!$N$8,$L2104='112'!$I$6)),"x",""))</f>
        <v/>
      </c>
      <c r="T2104" s="525" t="str">
        <f>IF(ISERROR(FIND('112'!$M$9,G2104,1)),"",IF((AND(RIGHT(G2104,2)=RIGHT('112'!$M$9,2),B2104&lt;'112'!$N$8,$M2104='112'!$I$6)),"x",""))</f>
        <v/>
      </c>
      <c r="U2104" s="525" t="str">
        <f>IF(AND(B2104&gt;='IN-NX'!$P$3,B2104&lt;='IN-NX'!$Q$3,'IN-NX'!$D$7=D2104,OR(LEFT(L2104,2)="15",AND(LEFT(M2104,2)&lt;&gt;"15",LEFT(M2104,2)&lt;&gt;"33"))),"x","")</f>
        <v/>
      </c>
      <c r="V2104" s="525" t="str">
        <f>IF(AND(OR(LEFT(TH!L2104,2)="15",LEFT(TH!M2104,2)="15"),'152-CT'!$J$8=TH!F2104),"x","")</f>
        <v/>
      </c>
      <c r="W2104" s="525" t="str">
        <f>IF(AND(OR(LEFT(TH!L2104,2)="15",LEFT(TH!M2104,2)="15"),TK!$E$7=TH!F2104),"x","")</f>
        <v/>
      </c>
      <c r="X2104" s="525" t="str">
        <f>IF(AND('341-CT'!$E$9=H2104,OR(LEFT(L2104,3)=$X$7,LEFT(M2104,3)=$X$7)),"x","")</f>
        <v/>
      </c>
      <c r="Y2104" s="525" t="str">
        <f>IF(OR(TH!L2104=TH!$Y$7,M2104=TH!$Y$7),"x","")</f>
        <v/>
      </c>
      <c r="Z2104" s="525" t="str">
        <f>IF(AND(B2104&lt;=NKC!$N$8,B2104&gt;=NKC!$M$8),"x","")</f>
        <v/>
      </c>
      <c r="AA2104" s="535">
        <v>2</v>
      </c>
      <c r="AC2104" s="503"/>
      <c r="AD2104" s="503"/>
      <c r="AE2104" s="503"/>
      <c r="AF2104" s="503"/>
      <c r="AG2104" s="503"/>
      <c r="AH2104" s="503"/>
    </row>
    <row r="2105" spans="1:34" s="536" customFormat="1" ht="15.75" customHeight="1">
      <c r="A2105" s="517" t="str">
        <f>IF(B2105&lt;&gt;"",IF(AND(B2105&gt;=_TM1,B2105&lt;=_TM2,OR(TH!L2105="1111",TH!M2105="1111")),TH!D2105,""),"")</f>
        <v/>
      </c>
      <c r="B2105" s="531">
        <f t="shared" si="194"/>
        <v>4</v>
      </c>
      <c r="C2105" s="315">
        <f t="shared" si="195"/>
        <v>42834</v>
      </c>
      <c r="D2105" s="315" t="s">
        <v>967</v>
      </c>
      <c r="E2105" s="315">
        <v>42834</v>
      </c>
      <c r="F2105" s="249" t="s">
        <v>1073</v>
      </c>
      <c r="G2105" s="314" t="s">
        <v>1078</v>
      </c>
      <c r="H2105" s="473" t="s">
        <v>1071</v>
      </c>
      <c r="I2105" s="307"/>
      <c r="J2105" s="307"/>
      <c r="K2105" s="532">
        <v>1706100</v>
      </c>
      <c r="L2105" s="713" t="s">
        <v>9</v>
      </c>
      <c r="M2105" s="534" t="s">
        <v>8</v>
      </c>
      <c r="N2105" s="525" t="str">
        <f>IF(AND('331-CT'!$E$7=TH!H2105,OR(L2105="331",M2105="331")),"331",IF(AND(OR(L2105="131",M2105="131"),H2105='131-CT'!$E$7),"131",""))</f>
        <v/>
      </c>
      <c r="O2105" s="525" t="str">
        <f>IF(AND($B2105&gt;='111'!$N$11,$B2105&lt;='111'!$O$11,OR($L2105=$O$7,$M2105=$O$7)),"x","")</f>
        <v/>
      </c>
      <c r="P2105" s="525" t="str">
        <f>IF(AND($L2105=$O$7,$B2105&lt;'111'!$N$11),"x","")</f>
        <v/>
      </c>
      <c r="Q2105" s="525" t="str">
        <f>IF(AND($M2105=$O$7,$B2105&lt;'111'!$N$11),"x","")</f>
        <v/>
      </c>
      <c r="R2105" s="525" t="str">
        <f>IF(ISERROR(FIND('112'!$M$9,G2105,1)),"",IF((AND(FIND('112'!$M$9,G2105,1)&gt;=1,$B2105&gt;='112'!$N$8,$B2105&lt;='112'!$O$8,OR($L2105='112'!$I$6,$M2105='112'!$I$6))),"x",""))</f>
        <v/>
      </c>
      <c r="S2105" s="525" t="str">
        <f>IF(ISERROR(FIND('112'!$M$9,G2105,1)),"",IF((AND(LEFT(G2105,2)=LEFT('112'!$M$9,2),B2105&lt;'112'!$N$8,$L2105='112'!$I$6)),"x",""))</f>
        <v/>
      </c>
      <c r="T2105" s="525" t="str">
        <f>IF(ISERROR(FIND('112'!$M$9,G2105,1)),"",IF((AND(RIGHT(G2105,2)=RIGHT('112'!$M$9,2),B2105&lt;'112'!$N$8,$M2105='112'!$I$6)),"x",""))</f>
        <v/>
      </c>
      <c r="U2105" s="525" t="str">
        <f>IF(AND(B2105&gt;='IN-NX'!$P$3,B2105&lt;='IN-NX'!$Q$3,'IN-NX'!$D$7=D2105,OR(LEFT(L2105,2)="15",AND(LEFT(M2105,2)&lt;&gt;"15",LEFT(M2105,2)&lt;&gt;"33"))),"x","")</f>
        <v/>
      </c>
      <c r="V2105" s="525" t="str">
        <f>IF(AND(OR(LEFT(TH!L2105,2)="15",LEFT(TH!M2105,2)="15"),'152-CT'!$J$8=TH!F2105),"x","")</f>
        <v/>
      </c>
      <c r="W2105" s="525" t="str">
        <f>IF(AND(OR(LEFT(TH!L2105,2)="15",LEFT(TH!M2105,2)="15"),TK!$E$7=TH!F2105),"x","")</f>
        <v/>
      </c>
      <c r="X2105" s="525" t="str">
        <f>IF(AND('341-CT'!$E$9=H2105,OR(LEFT(L2105,3)=$X$7,LEFT(M2105,3)=$X$7)),"x","")</f>
        <v/>
      </c>
      <c r="Y2105" s="525" t="str">
        <f>IF(OR(TH!L2105=TH!$Y$7,M2105=TH!$Y$7),"x","")</f>
        <v/>
      </c>
      <c r="Z2105" s="525" t="str">
        <f>IF(AND(B2105&lt;=NKC!$N$8,B2105&gt;=NKC!$M$8),"x","")</f>
        <v/>
      </c>
      <c r="AA2105" s="535">
        <v>2</v>
      </c>
      <c r="AC2105" s="503"/>
      <c r="AD2105" s="503"/>
      <c r="AE2105" s="503"/>
      <c r="AF2105" s="503"/>
      <c r="AG2105" s="503"/>
      <c r="AH2105" s="503"/>
    </row>
    <row r="2106" spans="1:34" s="536" customFormat="1" ht="15.75" customHeight="1">
      <c r="A2106" s="517" t="str">
        <f>IF(B2106&lt;&gt;"",IF(AND(B2106&gt;=_TM1,B2106&lt;=_TM2,OR(TH!L2106="1111",TH!M2106="1111")),TH!D2106,""),"")</f>
        <v/>
      </c>
      <c r="B2106" s="531">
        <f t="shared" si="194"/>
        <v>4</v>
      </c>
      <c r="C2106" s="315">
        <f t="shared" si="195"/>
        <v>42836</v>
      </c>
      <c r="D2106" s="315" t="s">
        <v>968</v>
      </c>
      <c r="E2106" s="315">
        <v>42836</v>
      </c>
      <c r="F2106" s="249" t="s">
        <v>274</v>
      </c>
      <c r="G2106" s="541" t="s">
        <v>1074</v>
      </c>
      <c r="H2106" s="473" t="s">
        <v>1071</v>
      </c>
      <c r="I2106" s="307">
        <v>500</v>
      </c>
      <c r="J2106" s="307">
        <v>18350</v>
      </c>
      <c r="K2106" s="532">
        <f>ROUND(I2106*J2106,0)</f>
        <v>9175000</v>
      </c>
      <c r="L2106" s="534" t="s">
        <v>292</v>
      </c>
      <c r="M2106" s="534" t="s">
        <v>8</v>
      </c>
      <c r="N2106" s="525" t="str">
        <f>IF(AND('331-CT'!$E$7=TH!H2106,OR(L2106="331",M2106="331")),"331",IF(AND(OR(L2106="131",M2106="131"),H2106='131-CT'!$E$7),"131",""))</f>
        <v/>
      </c>
      <c r="O2106" s="525" t="str">
        <f>IF(AND($B2106&gt;='111'!$N$11,$B2106&lt;='111'!$O$11,OR($L2106=$O$7,$M2106=$O$7)),"x","")</f>
        <v/>
      </c>
      <c r="P2106" s="525" t="str">
        <f>IF(AND($L2106=$O$7,$B2106&lt;'111'!$N$11),"x","")</f>
        <v/>
      </c>
      <c r="Q2106" s="525" t="str">
        <f>IF(AND($M2106=$O$7,$B2106&lt;'111'!$N$11),"x","")</f>
        <v/>
      </c>
      <c r="R2106" s="525" t="str">
        <f>IF(ISERROR(FIND('112'!$M$9,G2106,1)),"",IF((AND(FIND('112'!$M$9,G2106,1)&gt;=1,$B2106&gt;='112'!$N$8,$B2106&lt;='112'!$O$8,OR($L2106='112'!$I$6,$M2106='112'!$I$6))),"x",""))</f>
        <v/>
      </c>
      <c r="S2106" s="525" t="str">
        <f>IF(ISERROR(FIND('112'!$M$9,G2106,1)),"",IF((AND(LEFT(G2106,2)=LEFT('112'!$M$9,2),B2106&lt;'112'!$N$8,$L2106='112'!$I$6)),"x",""))</f>
        <v/>
      </c>
      <c r="T2106" s="525" t="str">
        <f>IF(ISERROR(FIND('112'!$M$9,G2106,1)),"",IF((AND(RIGHT(G2106,2)=RIGHT('112'!$M$9,2),B2106&lt;'112'!$N$8,$M2106='112'!$I$6)),"x",""))</f>
        <v/>
      </c>
      <c r="U2106" s="525" t="str">
        <f>IF(AND(B2106&gt;='IN-NX'!$P$3,B2106&lt;='IN-NX'!$Q$3,'IN-NX'!$D$7=D2106,OR(LEFT(L2106,2)="15",AND(LEFT(M2106,2)&lt;&gt;"15",LEFT(M2106,2)&lt;&gt;"33"))),"x","")</f>
        <v/>
      </c>
      <c r="V2106" s="525" t="str">
        <f>IF(AND(OR(LEFT(TH!L2106,2)="15",LEFT(TH!M2106,2)="15"),'152-CT'!$J$8=TH!F2106),"x","")</f>
        <v/>
      </c>
      <c r="W2106" s="525" t="str">
        <f>IF(AND(OR(LEFT(TH!L2106,2)="15",LEFT(TH!M2106,2)="15"),TK!$E$7=TH!F2106),"x","")</f>
        <v>x</v>
      </c>
      <c r="X2106" s="525" t="str">
        <f>IF(AND('341-CT'!$E$9=H2106,OR(LEFT(L2106,3)=$X$7,LEFT(M2106,3)=$X$7)),"x","")</f>
        <v/>
      </c>
      <c r="Y2106" s="525" t="str">
        <f>IF(OR(TH!L2106=TH!$Y$7,M2106=TH!$Y$7),"x","")</f>
        <v/>
      </c>
      <c r="Z2106" s="525" t="str">
        <f>IF(AND(B2106&lt;=NKC!$N$8,B2106&gt;=NKC!$M$8),"x","")</f>
        <v/>
      </c>
      <c r="AA2106" s="535">
        <v>2</v>
      </c>
      <c r="AC2106" s="503"/>
      <c r="AD2106" s="503"/>
      <c r="AE2106" s="503"/>
      <c r="AF2106" s="503"/>
      <c r="AG2106" s="503"/>
      <c r="AH2106" s="503"/>
    </row>
    <row r="2107" spans="1:34" s="536" customFormat="1" ht="15.75" customHeight="1">
      <c r="A2107" s="517" t="str">
        <f>IF(B2107&lt;&gt;"",IF(AND(B2107&gt;=_TM1,B2107&lt;=_TM2,OR(TH!L2107="1111",TH!M2107="1111")),TH!D2107,""),"")</f>
        <v/>
      </c>
      <c r="B2107" s="531">
        <f t="shared" si="194"/>
        <v>4</v>
      </c>
      <c r="C2107" s="315">
        <f t="shared" si="195"/>
        <v>42836</v>
      </c>
      <c r="D2107" s="315" t="s">
        <v>968</v>
      </c>
      <c r="E2107" s="315">
        <v>42836</v>
      </c>
      <c r="F2107" s="249" t="s">
        <v>273</v>
      </c>
      <c r="G2107" s="541" t="s">
        <v>1074</v>
      </c>
      <c r="H2107" s="473" t="s">
        <v>1071</v>
      </c>
      <c r="I2107" s="307">
        <v>450</v>
      </c>
      <c r="J2107" s="307">
        <v>18350</v>
      </c>
      <c r="K2107" s="532">
        <f>ROUND(I2107*J2107,0)</f>
        <v>8257500</v>
      </c>
      <c r="L2107" s="534" t="s">
        <v>292</v>
      </c>
      <c r="M2107" s="534" t="s">
        <v>8</v>
      </c>
      <c r="N2107" s="525" t="str">
        <f>IF(AND('331-CT'!$E$7=TH!H2107,OR(L2107="331",M2107="331")),"331",IF(AND(OR(L2107="131",M2107="131"),H2107='131-CT'!$E$7),"131",""))</f>
        <v/>
      </c>
      <c r="O2107" s="525" t="str">
        <f>IF(AND($B2107&gt;='111'!$N$11,$B2107&lt;='111'!$O$11,OR($L2107=$O$7,$M2107=$O$7)),"x","")</f>
        <v/>
      </c>
      <c r="P2107" s="525" t="str">
        <f>IF(AND($L2107=$O$7,$B2107&lt;'111'!$N$11),"x","")</f>
        <v/>
      </c>
      <c r="Q2107" s="525" t="str">
        <f>IF(AND($M2107=$O$7,$B2107&lt;'111'!$N$11),"x","")</f>
        <v/>
      </c>
      <c r="R2107" s="525" t="str">
        <f>IF(ISERROR(FIND('112'!$M$9,G2107,1)),"",IF((AND(FIND('112'!$M$9,G2107,1)&gt;=1,$B2107&gt;='112'!$N$8,$B2107&lt;='112'!$O$8,OR($L2107='112'!$I$6,$M2107='112'!$I$6))),"x",""))</f>
        <v/>
      </c>
      <c r="S2107" s="525" t="str">
        <f>IF(ISERROR(FIND('112'!$M$9,G2107,1)),"",IF((AND(LEFT(G2107,2)=LEFT('112'!$M$9,2),B2107&lt;'112'!$N$8,$L2107='112'!$I$6)),"x",""))</f>
        <v/>
      </c>
      <c r="T2107" s="525" t="str">
        <f>IF(ISERROR(FIND('112'!$M$9,G2107,1)),"",IF((AND(RIGHT(G2107,2)=RIGHT('112'!$M$9,2),B2107&lt;'112'!$N$8,$M2107='112'!$I$6)),"x",""))</f>
        <v/>
      </c>
      <c r="U2107" s="525" t="str">
        <f>IF(AND(B2107&gt;='IN-NX'!$P$3,B2107&lt;='IN-NX'!$Q$3,'IN-NX'!$D$7=D2107,OR(LEFT(L2107,2)="15",AND(LEFT(M2107,2)&lt;&gt;"15",LEFT(M2107,2)&lt;&gt;"33"))),"x","")</f>
        <v/>
      </c>
      <c r="V2107" s="525" t="str">
        <f>IF(AND(OR(LEFT(TH!L2107,2)="15",LEFT(TH!M2107,2)="15"),'152-CT'!$J$8=TH!F2107),"x","")</f>
        <v>x</v>
      </c>
      <c r="W2107" s="525" t="str">
        <f>IF(AND(OR(LEFT(TH!L2107,2)="15",LEFT(TH!M2107,2)="15"),TK!$E$7=TH!F2107),"x","")</f>
        <v/>
      </c>
      <c r="X2107" s="525" t="str">
        <f>IF(AND('341-CT'!$E$9=H2107,OR(LEFT(L2107,3)=$X$7,LEFT(M2107,3)=$X$7)),"x","")</f>
        <v/>
      </c>
      <c r="Y2107" s="525" t="str">
        <f>IF(OR(TH!L2107=TH!$Y$7,M2107=TH!$Y$7),"x","")</f>
        <v/>
      </c>
      <c r="Z2107" s="525" t="str">
        <f>IF(AND(B2107&lt;=NKC!$N$8,B2107&gt;=NKC!$M$8),"x","")</f>
        <v/>
      </c>
      <c r="AA2107" s="535">
        <v>2</v>
      </c>
      <c r="AC2107" s="503"/>
      <c r="AE2107" s="503"/>
      <c r="AF2107" s="503"/>
      <c r="AG2107" s="503"/>
      <c r="AH2107" s="503"/>
    </row>
    <row r="2108" spans="1:34" s="536" customFormat="1" ht="15.75" customHeight="1">
      <c r="A2108" s="517" t="str">
        <f>IF(B2108&lt;&gt;"",IF(AND(B2108&gt;=_TM1,B2108&lt;=_TM2,OR(TH!L2108="1111",TH!M2108="1111")),TH!D2108,""),"")</f>
        <v/>
      </c>
      <c r="B2108" s="531">
        <f t="shared" si="194"/>
        <v>4</v>
      </c>
      <c r="C2108" s="315">
        <f t="shared" si="195"/>
        <v>42836</v>
      </c>
      <c r="D2108" s="315" t="s">
        <v>968</v>
      </c>
      <c r="E2108" s="315">
        <v>42836</v>
      </c>
      <c r="F2108" s="249" t="s">
        <v>1073</v>
      </c>
      <c r="G2108" s="541" t="s">
        <v>1074</v>
      </c>
      <c r="H2108" s="473" t="s">
        <v>1071</v>
      </c>
      <c r="I2108" s="307"/>
      <c r="J2108" s="307"/>
      <c r="K2108" s="532">
        <v>1743250</v>
      </c>
      <c r="L2108" s="713" t="s">
        <v>9</v>
      </c>
      <c r="M2108" s="534" t="s">
        <v>8</v>
      </c>
      <c r="N2108" s="525" t="str">
        <f>IF(AND('331-CT'!$E$7=TH!H2108,OR(L2108="331",M2108="331")),"331",IF(AND(OR(L2108="131",M2108="131"),H2108='131-CT'!$E$7),"131",""))</f>
        <v/>
      </c>
      <c r="O2108" s="525" t="str">
        <f>IF(AND($B2108&gt;='111'!$N$11,$B2108&lt;='111'!$O$11,OR($L2108=$O$7,$M2108=$O$7)),"x","")</f>
        <v/>
      </c>
      <c r="P2108" s="525" t="str">
        <f>IF(AND($L2108=$O$7,$B2108&lt;'111'!$N$11),"x","")</f>
        <v/>
      </c>
      <c r="Q2108" s="525" t="str">
        <f>IF(AND($M2108=$O$7,$B2108&lt;'111'!$N$11),"x","")</f>
        <v/>
      </c>
      <c r="R2108" s="525" t="str">
        <f>IF(ISERROR(FIND('112'!$M$9,G2108,1)),"",IF((AND(FIND('112'!$M$9,G2108,1)&gt;=1,$B2108&gt;='112'!$N$8,$B2108&lt;='112'!$O$8,OR($L2108='112'!$I$6,$M2108='112'!$I$6))),"x",""))</f>
        <v/>
      </c>
      <c r="S2108" s="525" t="str">
        <f>IF(ISERROR(FIND('112'!$M$9,G2108,1)),"",IF((AND(LEFT(G2108,2)=LEFT('112'!$M$9,2),B2108&lt;'112'!$N$8,$L2108='112'!$I$6)),"x",""))</f>
        <v/>
      </c>
      <c r="T2108" s="525" t="str">
        <f>IF(ISERROR(FIND('112'!$M$9,G2108,1)),"",IF((AND(RIGHT(G2108,2)=RIGHT('112'!$M$9,2),B2108&lt;'112'!$N$8,$M2108='112'!$I$6)),"x",""))</f>
        <v/>
      </c>
      <c r="U2108" s="525" t="str">
        <f>IF(AND(B2108&gt;='IN-NX'!$P$3,B2108&lt;='IN-NX'!$Q$3,'IN-NX'!$D$7=D2108,OR(LEFT(L2108,2)="15",AND(LEFT(M2108,2)&lt;&gt;"15",LEFT(M2108,2)&lt;&gt;"33"))),"x","")</f>
        <v/>
      </c>
      <c r="V2108" s="525" t="str">
        <f>IF(AND(OR(LEFT(TH!L2108,2)="15",LEFT(TH!M2108,2)="15"),'152-CT'!$J$8=TH!F2108),"x","")</f>
        <v/>
      </c>
      <c r="W2108" s="525" t="str">
        <f>IF(AND(OR(LEFT(TH!L2108,2)="15",LEFT(TH!M2108,2)="15"),TK!$E$7=TH!F2108),"x","")</f>
        <v/>
      </c>
      <c r="X2108" s="525" t="str">
        <f>IF(AND('341-CT'!$E$9=H2108,OR(LEFT(L2108,3)=$X$7,LEFT(M2108,3)=$X$7)),"x","")</f>
        <v/>
      </c>
      <c r="Y2108" s="525" t="str">
        <f>IF(OR(TH!L2108=TH!$Y$7,M2108=TH!$Y$7),"x","")</f>
        <v/>
      </c>
      <c r="Z2108" s="525" t="str">
        <f>IF(AND(B2108&lt;=NKC!$N$8,B2108&gt;=NKC!$M$8),"x","")</f>
        <v/>
      </c>
      <c r="AA2108" s="535">
        <v>2</v>
      </c>
      <c r="AC2108" s="503"/>
      <c r="AE2108" s="503"/>
    </row>
    <row r="2109" spans="1:34" s="536" customFormat="1" ht="15.75" customHeight="1">
      <c r="A2109" s="517" t="str">
        <f>IF(B2109&lt;&gt;"",IF(AND(B2109&gt;=_TM1,B2109&lt;=_TM2,OR(TH!L2109="1111",TH!M2109="1111")),TH!D2109,""),"")</f>
        <v/>
      </c>
      <c r="B2109" s="531">
        <f t="shared" si="194"/>
        <v>4</v>
      </c>
      <c r="C2109" s="315">
        <f t="shared" si="195"/>
        <v>42836</v>
      </c>
      <c r="D2109" s="315" t="s">
        <v>969</v>
      </c>
      <c r="E2109" s="315">
        <v>42836</v>
      </c>
      <c r="F2109" s="249" t="s">
        <v>505</v>
      </c>
      <c r="G2109" s="541" t="s">
        <v>1279</v>
      </c>
      <c r="H2109" s="473" t="s">
        <v>1278</v>
      </c>
      <c r="I2109" s="307">
        <v>1800</v>
      </c>
      <c r="J2109" s="307">
        <v>31850</v>
      </c>
      <c r="K2109" s="532">
        <f>ROUND(I2109*J2109,0)</f>
        <v>57330000</v>
      </c>
      <c r="L2109" s="534" t="s">
        <v>292</v>
      </c>
      <c r="M2109" s="534" t="s">
        <v>8</v>
      </c>
      <c r="N2109" s="525" t="str">
        <f>IF(AND('331-CT'!$E$7=TH!H2109,OR(L2109="331",M2109="331")),"331",IF(AND(OR(L2109="131",M2109="131"),H2109='131-CT'!$E$7),"131",""))</f>
        <v/>
      </c>
      <c r="O2109" s="525" t="str">
        <f>IF(AND($B2109&gt;='111'!$N$11,$B2109&lt;='111'!$O$11,OR($L2109=$O$7,$M2109=$O$7)),"x","")</f>
        <v/>
      </c>
      <c r="P2109" s="525" t="str">
        <f>IF(AND($L2109=$O$7,$B2109&lt;'111'!$N$11),"x","")</f>
        <v/>
      </c>
      <c r="Q2109" s="525" t="str">
        <f>IF(AND($M2109=$O$7,$B2109&lt;'111'!$N$11),"x","")</f>
        <v/>
      </c>
      <c r="R2109" s="525" t="str">
        <f>IF(ISERROR(FIND('112'!$M$9,G2109,1)),"",IF((AND(FIND('112'!$M$9,G2109,1)&gt;=1,$B2109&gt;='112'!$N$8,$B2109&lt;='112'!$O$8,OR($L2109='112'!$I$6,$M2109='112'!$I$6))),"x",""))</f>
        <v/>
      </c>
      <c r="S2109" s="525" t="str">
        <f>IF(ISERROR(FIND('112'!$M$9,G2109,1)),"",IF((AND(LEFT(G2109,2)=LEFT('112'!$M$9,2),B2109&lt;'112'!$N$8,$L2109='112'!$I$6)),"x",""))</f>
        <v/>
      </c>
      <c r="T2109" s="525" t="str">
        <f>IF(ISERROR(FIND('112'!$M$9,G2109,1)),"",IF((AND(RIGHT(G2109,2)=RIGHT('112'!$M$9,2),B2109&lt;'112'!$N$8,$M2109='112'!$I$6)),"x",""))</f>
        <v/>
      </c>
      <c r="U2109" s="525" t="str">
        <f>IF(AND(B2109&gt;='IN-NX'!$P$3,B2109&lt;='IN-NX'!$Q$3,'IN-NX'!$D$7=D2109,OR(LEFT(L2109,2)="15",AND(LEFT(M2109,2)&lt;&gt;"15",LEFT(M2109,2)&lt;&gt;"33"))),"x","")</f>
        <v/>
      </c>
      <c r="V2109" s="525" t="str">
        <f>IF(AND(OR(LEFT(TH!L2109,2)="15",LEFT(TH!M2109,2)="15"),'152-CT'!$J$8=TH!F2109),"x","")</f>
        <v/>
      </c>
      <c r="W2109" s="525" t="str">
        <f>IF(AND(OR(LEFT(TH!L2109,2)="15",LEFT(TH!M2109,2)="15"),TK!$E$7=TH!F2109),"x","")</f>
        <v/>
      </c>
      <c r="X2109" s="525" t="str">
        <f>IF(AND('341-CT'!$E$9=H2109,OR(LEFT(L2109,3)=$X$7,LEFT(M2109,3)=$X$7)),"x","")</f>
        <v/>
      </c>
      <c r="Y2109" s="525" t="str">
        <f>IF(OR(TH!L2109=TH!$Y$7,M2109=TH!$Y$7),"x","")</f>
        <v/>
      </c>
      <c r="Z2109" s="525" t="str">
        <f>IF(AND(B2109&lt;=NKC!$N$8,B2109&gt;=NKC!$M$8),"x","")</f>
        <v/>
      </c>
      <c r="AA2109" s="535">
        <v>2</v>
      </c>
      <c r="AC2109" s="503"/>
      <c r="AD2109" s="503"/>
      <c r="AE2109" s="503"/>
      <c r="AF2109" s="503"/>
      <c r="AG2109" s="503"/>
      <c r="AH2109" s="503"/>
    </row>
    <row r="2110" spans="1:34" s="536" customFormat="1" ht="15.75" customHeight="1">
      <c r="A2110" s="517" t="str">
        <f>IF(B2110&lt;&gt;"",IF(AND(B2110&gt;=_TM1,B2110&lt;=_TM2,OR(TH!L2110="1111",TH!M2110="1111")),TH!D2110,""),"")</f>
        <v/>
      </c>
      <c r="B2110" s="531">
        <f t="shared" si="194"/>
        <v>4</v>
      </c>
      <c r="C2110" s="315">
        <f t="shared" si="195"/>
        <v>42836</v>
      </c>
      <c r="D2110" s="315" t="s">
        <v>969</v>
      </c>
      <c r="E2110" s="315">
        <v>42836</v>
      </c>
      <c r="F2110" s="249" t="s">
        <v>504</v>
      </c>
      <c r="G2110" s="541" t="s">
        <v>1279</v>
      </c>
      <c r="H2110" s="473" t="s">
        <v>1278</v>
      </c>
      <c r="I2110" s="307">
        <v>2310</v>
      </c>
      <c r="J2110" s="307">
        <v>34300</v>
      </c>
      <c r="K2110" s="532">
        <f>ROUND(I2110*J2110,0)</f>
        <v>79233000</v>
      </c>
      <c r="L2110" s="534" t="s">
        <v>292</v>
      </c>
      <c r="M2110" s="534" t="s">
        <v>8</v>
      </c>
      <c r="N2110" s="525" t="str">
        <f>IF(AND('331-CT'!$E$7=TH!H2110,OR(L2110="331",M2110="331")),"331",IF(AND(OR(L2110="131",M2110="131"),H2110='131-CT'!$E$7),"131",""))</f>
        <v/>
      </c>
      <c r="O2110" s="525" t="str">
        <f>IF(AND($B2110&gt;='111'!$N$11,$B2110&lt;='111'!$O$11,OR($L2110=$O$7,$M2110=$O$7)),"x","")</f>
        <v/>
      </c>
      <c r="P2110" s="525" t="str">
        <f>IF(AND($L2110=$O$7,$B2110&lt;'111'!$N$11),"x","")</f>
        <v/>
      </c>
      <c r="Q2110" s="525" t="str">
        <f>IF(AND($M2110=$O$7,$B2110&lt;'111'!$N$11),"x","")</f>
        <v/>
      </c>
      <c r="R2110" s="525" t="str">
        <f>IF(ISERROR(FIND('112'!$M$9,G2110,1)),"",IF((AND(FIND('112'!$M$9,G2110,1)&gt;=1,$B2110&gt;='112'!$N$8,$B2110&lt;='112'!$O$8,OR($L2110='112'!$I$6,$M2110='112'!$I$6))),"x",""))</f>
        <v/>
      </c>
      <c r="S2110" s="525" t="str">
        <f>IF(ISERROR(FIND('112'!$M$9,G2110,1)),"",IF((AND(LEFT(G2110,2)=LEFT('112'!$M$9,2),B2110&lt;'112'!$N$8,$L2110='112'!$I$6)),"x",""))</f>
        <v/>
      </c>
      <c r="T2110" s="525" t="str">
        <f>IF(ISERROR(FIND('112'!$M$9,G2110,1)),"",IF((AND(RIGHT(G2110,2)=RIGHT('112'!$M$9,2),B2110&lt;'112'!$N$8,$M2110='112'!$I$6)),"x",""))</f>
        <v/>
      </c>
      <c r="U2110" s="525" t="str">
        <f>IF(AND(B2110&gt;='IN-NX'!$P$3,B2110&lt;='IN-NX'!$Q$3,'IN-NX'!$D$7=D2110,OR(LEFT(L2110,2)="15",AND(LEFT(M2110,2)&lt;&gt;"15",LEFT(M2110,2)&lt;&gt;"33"))),"x","")</f>
        <v/>
      </c>
      <c r="V2110" s="525" t="str">
        <f>IF(AND(OR(LEFT(TH!L2110,2)="15",LEFT(TH!M2110,2)="15"),'152-CT'!$J$8=TH!F2110),"x","")</f>
        <v/>
      </c>
      <c r="W2110" s="525" t="str">
        <f>IF(AND(OR(LEFT(TH!L2110,2)="15",LEFT(TH!M2110,2)="15"),TK!$E$7=TH!F2110),"x","")</f>
        <v/>
      </c>
      <c r="X2110" s="525" t="str">
        <f>IF(AND('341-CT'!$E$9=H2110,OR(LEFT(L2110,3)=$X$7,LEFT(M2110,3)=$X$7)),"x","")</f>
        <v/>
      </c>
      <c r="Y2110" s="525" t="str">
        <f>IF(OR(TH!L2110=TH!$Y$7,M2110=TH!$Y$7),"x","")</f>
        <v/>
      </c>
      <c r="Z2110" s="525" t="str">
        <f>IF(AND(B2110&lt;=NKC!$N$8,B2110&gt;=NKC!$M$8),"x","")</f>
        <v/>
      </c>
      <c r="AA2110" s="535">
        <v>2</v>
      </c>
      <c r="AC2110" s="503"/>
      <c r="AE2110" s="503"/>
      <c r="AF2110" s="503"/>
      <c r="AG2110" s="503"/>
      <c r="AH2110" s="503"/>
    </row>
    <row r="2111" spans="1:34" s="536" customFormat="1" ht="15.75" customHeight="1">
      <c r="A2111" s="517" t="str">
        <f>IF(B2111&lt;&gt;"",IF(AND(B2111&gt;=_TM1,B2111&lt;=_TM2,OR(TH!L2111="1111",TH!M2111="1111")),TH!D2111,""),"")</f>
        <v/>
      </c>
      <c r="B2111" s="531">
        <f t="shared" si="194"/>
        <v>4</v>
      </c>
      <c r="C2111" s="315">
        <f t="shared" si="195"/>
        <v>42836</v>
      </c>
      <c r="D2111" s="315" t="s">
        <v>969</v>
      </c>
      <c r="E2111" s="315">
        <v>42836</v>
      </c>
      <c r="F2111" s="247" t="s">
        <v>1002</v>
      </c>
      <c r="G2111" s="541" t="s">
        <v>1279</v>
      </c>
      <c r="H2111" s="473" t="s">
        <v>1278</v>
      </c>
      <c r="I2111" s="307"/>
      <c r="J2111" s="307"/>
      <c r="K2111" s="532">
        <v>13656300</v>
      </c>
      <c r="L2111" s="713" t="s">
        <v>9</v>
      </c>
      <c r="M2111" s="534" t="s">
        <v>8</v>
      </c>
      <c r="N2111" s="525" t="str">
        <f>IF(AND('331-CT'!$E$7=TH!H2111,OR(L2111="331",M2111="331")),"331",IF(AND(OR(L2111="131",M2111="131"),H2111='131-CT'!$E$7),"131",""))</f>
        <v/>
      </c>
      <c r="O2111" s="525" t="str">
        <f>IF(AND($B2111&gt;='111'!$N$11,$B2111&lt;='111'!$O$11,OR($L2111=$O$7,$M2111=$O$7)),"x","")</f>
        <v/>
      </c>
      <c r="P2111" s="525" t="str">
        <f>IF(AND($L2111=$O$7,$B2111&lt;'111'!$N$11),"x","")</f>
        <v/>
      </c>
      <c r="Q2111" s="525" t="str">
        <f>IF(AND($M2111=$O$7,$B2111&lt;'111'!$N$11),"x","")</f>
        <v/>
      </c>
      <c r="R2111" s="525" t="str">
        <f>IF(ISERROR(FIND('112'!$M$9,G2111,1)),"",IF((AND(FIND('112'!$M$9,G2111,1)&gt;=1,$B2111&gt;='112'!$N$8,$B2111&lt;='112'!$O$8,OR($L2111='112'!$I$6,$M2111='112'!$I$6))),"x",""))</f>
        <v/>
      </c>
      <c r="S2111" s="525" t="str">
        <f>IF(ISERROR(FIND('112'!$M$9,G2111,1)),"",IF((AND(LEFT(G2111,2)=LEFT('112'!$M$9,2),B2111&lt;'112'!$N$8,$L2111='112'!$I$6)),"x",""))</f>
        <v/>
      </c>
      <c r="T2111" s="525" t="str">
        <f>IF(ISERROR(FIND('112'!$M$9,G2111,1)),"",IF((AND(RIGHT(G2111,2)=RIGHT('112'!$M$9,2),B2111&lt;'112'!$N$8,$M2111='112'!$I$6)),"x",""))</f>
        <v/>
      </c>
      <c r="U2111" s="525" t="str">
        <f>IF(AND(B2111&gt;='IN-NX'!$P$3,B2111&lt;='IN-NX'!$Q$3,'IN-NX'!$D$7=D2111,OR(LEFT(L2111,2)="15",AND(LEFT(M2111,2)&lt;&gt;"15",LEFT(M2111,2)&lt;&gt;"33"))),"x","")</f>
        <v/>
      </c>
      <c r="V2111" s="525" t="str">
        <f>IF(AND(OR(LEFT(TH!L2111,2)="15",LEFT(TH!M2111,2)="15"),'152-CT'!$J$8=TH!F2111),"x","")</f>
        <v/>
      </c>
      <c r="W2111" s="525" t="str">
        <f>IF(AND(OR(LEFT(TH!L2111,2)="15",LEFT(TH!M2111,2)="15"),TK!$E$7=TH!F2111),"x","")</f>
        <v/>
      </c>
      <c r="X2111" s="525" t="str">
        <f>IF(AND('341-CT'!$E$9=H2111,OR(LEFT(L2111,3)=$X$7,LEFT(M2111,3)=$X$7)),"x","")</f>
        <v/>
      </c>
      <c r="Y2111" s="525" t="str">
        <f>IF(OR(TH!L2111=TH!$Y$7,M2111=TH!$Y$7),"x","")</f>
        <v/>
      </c>
      <c r="Z2111" s="525" t="str">
        <f>IF(AND(B2111&lt;=NKC!$N$8,B2111&gt;=NKC!$M$8),"x","")</f>
        <v/>
      </c>
      <c r="AA2111" s="535">
        <v>2</v>
      </c>
      <c r="AC2111" s="503"/>
      <c r="AE2111" s="503"/>
    </row>
    <row r="2112" spans="1:34" s="536" customFormat="1" ht="15.75" customHeight="1">
      <c r="A2112" s="517" t="str">
        <f>IF(B2112&lt;&gt;"",IF(AND(B2112&gt;=_TM1,B2112&lt;=_TM2,OR(TH!L2112="1111",TH!M2112="1111")),TH!D2112,""),"")</f>
        <v/>
      </c>
      <c r="B2112" s="531">
        <f t="shared" si="194"/>
        <v>4</v>
      </c>
      <c r="C2112" s="315">
        <f t="shared" si="195"/>
        <v>42837</v>
      </c>
      <c r="D2112" s="315"/>
      <c r="E2112" s="315">
        <v>42837</v>
      </c>
      <c r="F2112" s="249" t="s">
        <v>1099</v>
      </c>
      <c r="G2112" s="314" t="s">
        <v>1100</v>
      </c>
      <c r="H2112" s="473" t="s">
        <v>1101</v>
      </c>
      <c r="I2112" s="307"/>
      <c r="J2112" s="307"/>
      <c r="K2112" s="532">
        <v>5000000</v>
      </c>
      <c r="L2112" s="534" t="s">
        <v>45</v>
      </c>
      <c r="M2112" s="534" t="s">
        <v>275</v>
      </c>
      <c r="N2112" s="525" t="str">
        <f>IF(AND('331-CT'!$E$7=TH!H2112,OR(L2112="331",M2112="331")),"331",IF(AND(OR(L2112="131",M2112="131"),H2112='131-CT'!$E$7),"131",""))</f>
        <v/>
      </c>
      <c r="O2112" s="525" t="str">
        <f>IF(AND($B2112&gt;='111'!$N$11,$B2112&lt;='111'!$O$11,OR($L2112=$O$7,$M2112=$O$7)),"x","")</f>
        <v/>
      </c>
      <c r="P2112" s="525" t="str">
        <f>IF(AND($L2112=$O$7,$B2112&lt;'111'!$N$11),"x","")</f>
        <v>x</v>
      </c>
      <c r="Q2112" s="525" t="str">
        <f>IF(AND($M2112=$O$7,$B2112&lt;'111'!$N$11),"x","")</f>
        <v/>
      </c>
      <c r="R2112" s="525" t="str">
        <f>IF(ISERROR(FIND('112'!$M$9,G2112,1)),"",IF((AND(FIND('112'!$M$9,G2112,1)&gt;=1,$B2112&gt;='112'!$N$8,$B2112&lt;='112'!$O$8,OR($L2112='112'!$I$6,$M2112='112'!$I$6))),"x",""))</f>
        <v/>
      </c>
      <c r="S2112" s="525" t="str">
        <f>IF(ISERROR(FIND('112'!$M$9,G2112,1)),"",IF((AND(LEFT(G2112,2)=LEFT('112'!$M$9,2),B2112&lt;'112'!$N$8,$L2112='112'!$I$6)),"x",""))</f>
        <v/>
      </c>
      <c r="T2112" s="525" t="str">
        <f>IF(ISERROR(FIND('112'!$M$9,G2112,1)),"",IF((AND(RIGHT(G2112,2)=RIGHT('112'!$M$9,2),B2112&lt;'112'!$N$8,$M2112='112'!$I$6)),"x",""))</f>
        <v/>
      </c>
      <c r="U2112" s="525" t="str">
        <f>IF(AND(B2112&gt;='IN-NX'!$P$3,B2112&lt;='IN-NX'!$Q$3,'IN-NX'!$D$7=D2112,OR(LEFT(L2112,2)="15",AND(LEFT(M2112,2)&lt;&gt;"15",LEFT(M2112,2)&lt;&gt;"33"))),"x","")</f>
        <v/>
      </c>
      <c r="V2112" s="525" t="str">
        <f>IF(AND(OR(LEFT(TH!L2112,2)="15",LEFT(TH!M2112,2)="15"),'152-CT'!$J$8=TH!F2112),"x","")</f>
        <v/>
      </c>
      <c r="W2112" s="525" t="str">
        <f>IF(AND(OR(LEFT(TH!L2112,2)="15",LEFT(TH!M2112,2)="15"),TK!$E$7=TH!F2112),"x","")</f>
        <v/>
      </c>
      <c r="X2112" s="525" t="str">
        <f>IF(AND('341-CT'!$E$9=H2112,OR(LEFT(L2112,3)=$X$7,LEFT(M2112,3)=$X$7)),"x","")</f>
        <v/>
      </c>
      <c r="Y2112" s="525" t="str">
        <f>IF(OR(TH!L2112=TH!$Y$7,M2112=TH!$Y$7),"x","")</f>
        <v/>
      </c>
      <c r="Z2112" s="525" t="str">
        <f>IF(AND(B2112&lt;=NKC!$N$8,B2112&gt;=NKC!$M$8),"x","")</f>
        <v/>
      </c>
      <c r="AA2112" s="535"/>
      <c r="AC2112" s="503"/>
      <c r="AD2112" s="503"/>
      <c r="AE2112" s="503"/>
      <c r="AF2112" s="503"/>
      <c r="AG2112" s="503"/>
      <c r="AH2112" s="503"/>
    </row>
    <row r="2113" spans="1:34" s="536" customFormat="1" ht="15.75" customHeight="1">
      <c r="A2113" s="517" t="str">
        <f>IF(B2113&lt;&gt;"",IF(AND(B2113&gt;=_TM1,B2113&lt;=_TM2,OR(TH!L2113="1111",TH!M2113="1111")),TH!D2113,""),"")</f>
        <v/>
      </c>
      <c r="B2113" s="531">
        <f t="shared" si="194"/>
        <v>4</v>
      </c>
      <c r="C2113" s="315">
        <f t="shared" si="195"/>
        <v>42837</v>
      </c>
      <c r="D2113" s="315"/>
      <c r="E2113" s="315">
        <v>42837</v>
      </c>
      <c r="F2113" s="249" t="s">
        <v>1102</v>
      </c>
      <c r="G2113" s="314" t="s">
        <v>1100</v>
      </c>
      <c r="H2113" s="473" t="s">
        <v>1101</v>
      </c>
      <c r="I2113" s="307"/>
      <c r="J2113" s="307"/>
      <c r="K2113" s="532">
        <v>500000</v>
      </c>
      <c r="L2113" s="534" t="s">
        <v>45</v>
      </c>
      <c r="M2113" s="534" t="s">
        <v>259</v>
      </c>
      <c r="N2113" s="525" t="str">
        <f>IF(AND('331-CT'!$E$7=TH!H2113,OR(L2113="331",M2113="331")),"331",IF(AND(OR(L2113="131",M2113="131"),H2113='131-CT'!$E$7),"131",""))</f>
        <v/>
      </c>
      <c r="O2113" s="525" t="str">
        <f>IF(AND($B2113&gt;='111'!$N$11,$B2113&lt;='111'!$O$11,OR($L2113=$O$7,$M2113=$O$7)),"x","")</f>
        <v/>
      </c>
      <c r="P2113" s="525" t="str">
        <f>IF(AND($L2113=$O$7,$B2113&lt;'111'!$N$11),"x","")</f>
        <v>x</v>
      </c>
      <c r="Q2113" s="525" t="str">
        <f>IF(AND($M2113=$O$7,$B2113&lt;'111'!$N$11),"x","")</f>
        <v/>
      </c>
      <c r="R2113" s="525" t="str">
        <f>IF(ISERROR(FIND('112'!$M$9,G2113,1)),"",IF((AND(FIND('112'!$M$9,G2113,1)&gt;=1,$B2113&gt;='112'!$N$8,$B2113&lt;='112'!$O$8,OR($L2113='112'!$I$6,$M2113='112'!$I$6))),"x",""))</f>
        <v/>
      </c>
      <c r="S2113" s="525" t="str">
        <f>IF(ISERROR(FIND('112'!$M$9,G2113,1)),"",IF((AND(LEFT(G2113,2)=LEFT('112'!$M$9,2),B2113&lt;'112'!$N$8,$L2113='112'!$I$6)),"x",""))</f>
        <v/>
      </c>
      <c r="T2113" s="525" t="str">
        <f>IF(ISERROR(FIND('112'!$M$9,G2113,1)),"",IF((AND(RIGHT(G2113,2)=RIGHT('112'!$M$9,2),B2113&lt;'112'!$N$8,$M2113='112'!$I$6)),"x",""))</f>
        <v/>
      </c>
      <c r="U2113" s="525" t="str">
        <f>IF(AND(B2113&gt;='IN-NX'!$P$3,B2113&lt;='IN-NX'!$Q$3,'IN-NX'!$D$7=D2113,OR(LEFT(L2113,2)="15",AND(LEFT(M2113,2)&lt;&gt;"15",LEFT(M2113,2)&lt;&gt;"33"))),"x","")</f>
        <v/>
      </c>
      <c r="V2113" s="525" t="str">
        <f>IF(AND(OR(LEFT(TH!L2113,2)="15",LEFT(TH!M2113,2)="15"),'152-CT'!$J$8=TH!F2113),"x","")</f>
        <v/>
      </c>
      <c r="W2113" s="525" t="str">
        <f>IF(AND(OR(LEFT(TH!L2113,2)="15",LEFT(TH!M2113,2)="15"),TK!$E$7=TH!F2113),"x","")</f>
        <v/>
      </c>
      <c r="X2113" s="525" t="str">
        <f>IF(AND('341-CT'!$E$9=H2113,OR(LEFT(L2113,3)=$X$7,LEFT(M2113,3)=$X$7)),"x","")</f>
        <v/>
      </c>
      <c r="Y2113" s="525" t="str">
        <f>IF(OR(TH!L2113=TH!$Y$7,M2113=TH!$Y$7),"x","")</f>
        <v/>
      </c>
      <c r="Z2113" s="525" t="str">
        <f>IF(AND(B2113&lt;=NKC!$N$8,B2113&gt;=NKC!$M$8),"x","")</f>
        <v/>
      </c>
      <c r="AA2113" s="535"/>
      <c r="AC2113" s="503"/>
      <c r="AD2113" s="503"/>
      <c r="AE2113" s="503"/>
      <c r="AF2113" s="503"/>
      <c r="AG2113" s="503"/>
      <c r="AH2113" s="503"/>
    </row>
    <row r="2114" spans="1:34" s="536" customFormat="1" ht="15.75" customHeight="1">
      <c r="A2114" s="517" t="str">
        <f>IF(B2114&lt;&gt;"",IF(AND(B2114&gt;=_TM1,B2114&lt;=_TM2,OR(TH!L2114="1111",TH!M2114="1111")),TH!D2114,""),"")</f>
        <v/>
      </c>
      <c r="B2114" s="531">
        <f t="shared" si="194"/>
        <v>4</v>
      </c>
      <c r="C2114" s="315">
        <f t="shared" si="195"/>
        <v>42838</v>
      </c>
      <c r="D2114" s="315" t="s">
        <v>970</v>
      </c>
      <c r="E2114" s="315">
        <v>42838</v>
      </c>
      <c r="F2114" s="249" t="s">
        <v>274</v>
      </c>
      <c r="G2114" s="541" t="s">
        <v>1075</v>
      </c>
      <c r="H2114" s="473" t="s">
        <v>1071</v>
      </c>
      <c r="I2114" s="307">
        <v>500</v>
      </c>
      <c r="J2114" s="307">
        <v>18350</v>
      </c>
      <c r="K2114" s="532">
        <f>ROUND(I2114*J2114,0)</f>
        <v>9175000</v>
      </c>
      <c r="L2114" s="534" t="s">
        <v>292</v>
      </c>
      <c r="M2114" s="534" t="s">
        <v>8</v>
      </c>
      <c r="N2114" s="525" t="str">
        <f>IF(AND('331-CT'!$E$7=TH!H2114,OR(L2114="331",M2114="331")),"331",IF(AND(OR(L2114="131",M2114="131"),H2114='131-CT'!$E$7),"131",""))</f>
        <v/>
      </c>
      <c r="O2114" s="525" t="str">
        <f>IF(AND($B2114&gt;='111'!$N$11,$B2114&lt;='111'!$O$11,OR($L2114=$O$7,$M2114=$O$7)),"x","")</f>
        <v/>
      </c>
      <c r="P2114" s="525" t="str">
        <f>IF(AND($L2114=$O$7,$B2114&lt;'111'!$N$11),"x","")</f>
        <v/>
      </c>
      <c r="Q2114" s="525" t="str">
        <f>IF(AND($M2114=$O$7,$B2114&lt;'111'!$N$11),"x","")</f>
        <v/>
      </c>
      <c r="R2114" s="525" t="str">
        <f>IF(ISERROR(FIND('112'!$M$9,G2114,1)),"",IF((AND(FIND('112'!$M$9,G2114,1)&gt;=1,$B2114&gt;='112'!$N$8,$B2114&lt;='112'!$O$8,OR($L2114='112'!$I$6,$M2114='112'!$I$6))),"x",""))</f>
        <v/>
      </c>
      <c r="S2114" s="525" t="str">
        <f>IF(ISERROR(FIND('112'!$M$9,G2114,1)),"",IF((AND(LEFT(G2114,2)=LEFT('112'!$M$9,2),B2114&lt;'112'!$N$8,$L2114='112'!$I$6)),"x",""))</f>
        <v/>
      </c>
      <c r="T2114" s="525" t="str">
        <f>IF(ISERROR(FIND('112'!$M$9,G2114,1)),"",IF((AND(RIGHT(G2114,2)=RIGHT('112'!$M$9,2),B2114&lt;'112'!$N$8,$M2114='112'!$I$6)),"x",""))</f>
        <v/>
      </c>
      <c r="U2114" s="525" t="str">
        <f>IF(AND(B2114&gt;='IN-NX'!$P$3,B2114&lt;='IN-NX'!$Q$3,'IN-NX'!$D$7=D2114,OR(LEFT(L2114,2)="15",AND(LEFT(M2114,2)&lt;&gt;"15",LEFT(M2114,2)&lt;&gt;"33"))),"x","")</f>
        <v/>
      </c>
      <c r="V2114" s="525" t="str">
        <f>IF(AND(OR(LEFT(TH!L2114,2)="15",LEFT(TH!M2114,2)="15"),'152-CT'!$J$8=TH!F2114),"x","")</f>
        <v/>
      </c>
      <c r="W2114" s="525" t="str">
        <f>IF(AND(OR(LEFT(TH!L2114,2)="15",LEFT(TH!M2114,2)="15"),TK!$E$7=TH!F2114),"x","")</f>
        <v>x</v>
      </c>
      <c r="X2114" s="525" t="str">
        <f>IF(AND('341-CT'!$E$9=H2114,OR(LEFT(L2114,3)=$X$7,LEFT(M2114,3)=$X$7)),"x","")</f>
        <v/>
      </c>
      <c r="Y2114" s="525" t="str">
        <f>IF(OR(TH!L2114=TH!$Y$7,M2114=TH!$Y$7),"x","")</f>
        <v/>
      </c>
      <c r="Z2114" s="525" t="str">
        <f>IF(AND(B2114&lt;=NKC!$N$8,B2114&gt;=NKC!$M$8),"x","")</f>
        <v/>
      </c>
      <c r="AA2114" s="535">
        <v>2</v>
      </c>
      <c r="AC2114" s="503"/>
      <c r="AE2114" s="503"/>
    </row>
    <row r="2115" spans="1:34" s="536" customFormat="1" ht="15.75" customHeight="1">
      <c r="A2115" s="517" t="str">
        <f>IF(B2115&lt;&gt;"",IF(AND(B2115&gt;=_TM1,B2115&lt;=_TM2,OR(TH!L2115="1111",TH!M2115="1111")),TH!D2115,""),"")</f>
        <v/>
      </c>
      <c r="B2115" s="531">
        <f t="shared" si="194"/>
        <v>4</v>
      </c>
      <c r="C2115" s="315">
        <f t="shared" si="195"/>
        <v>42838</v>
      </c>
      <c r="D2115" s="315" t="s">
        <v>970</v>
      </c>
      <c r="E2115" s="315">
        <v>42838</v>
      </c>
      <c r="F2115" s="249" t="s">
        <v>503</v>
      </c>
      <c r="G2115" s="541" t="s">
        <v>1075</v>
      </c>
      <c r="H2115" s="473" t="s">
        <v>1071</v>
      </c>
      <c r="I2115" s="307">
        <v>1000</v>
      </c>
      <c r="J2115" s="307">
        <v>8000</v>
      </c>
      <c r="K2115" s="532">
        <f>ROUND(I2115*J2115,0)</f>
        <v>8000000</v>
      </c>
      <c r="L2115" s="534" t="s">
        <v>292</v>
      </c>
      <c r="M2115" s="534" t="s">
        <v>8</v>
      </c>
      <c r="N2115" s="525" t="str">
        <f>IF(AND('331-CT'!$E$7=TH!H2115,OR(L2115="331",M2115="331")),"331",IF(AND(OR(L2115="131",M2115="131"),H2115='131-CT'!$E$7),"131",""))</f>
        <v/>
      </c>
      <c r="O2115" s="525" t="str">
        <f>IF(AND($B2115&gt;='111'!$N$11,$B2115&lt;='111'!$O$11,OR($L2115=$O$7,$M2115=$O$7)),"x","")</f>
        <v/>
      </c>
      <c r="P2115" s="525" t="str">
        <f>IF(AND($L2115=$O$7,$B2115&lt;'111'!$N$11),"x","")</f>
        <v/>
      </c>
      <c r="Q2115" s="525" t="str">
        <f>IF(AND($M2115=$O$7,$B2115&lt;'111'!$N$11),"x","")</f>
        <v/>
      </c>
      <c r="R2115" s="525" t="str">
        <f>IF(ISERROR(FIND('112'!$M$9,G2115,1)),"",IF((AND(FIND('112'!$M$9,G2115,1)&gt;=1,$B2115&gt;='112'!$N$8,$B2115&lt;='112'!$O$8,OR($L2115='112'!$I$6,$M2115='112'!$I$6))),"x",""))</f>
        <v/>
      </c>
      <c r="S2115" s="525" t="str">
        <f>IF(ISERROR(FIND('112'!$M$9,G2115,1)),"",IF((AND(LEFT(G2115,2)=LEFT('112'!$M$9,2),B2115&lt;'112'!$N$8,$L2115='112'!$I$6)),"x",""))</f>
        <v/>
      </c>
      <c r="T2115" s="525" t="str">
        <f>IF(ISERROR(FIND('112'!$M$9,G2115,1)),"",IF((AND(RIGHT(G2115,2)=RIGHT('112'!$M$9,2),B2115&lt;'112'!$N$8,$M2115='112'!$I$6)),"x",""))</f>
        <v/>
      </c>
      <c r="U2115" s="525" t="str">
        <f>IF(AND(B2115&gt;='IN-NX'!$P$3,B2115&lt;='IN-NX'!$Q$3,'IN-NX'!$D$7=D2115,OR(LEFT(L2115,2)="15",AND(LEFT(M2115,2)&lt;&gt;"15",LEFT(M2115,2)&lt;&gt;"33"))),"x","")</f>
        <v/>
      </c>
      <c r="V2115" s="525" t="str">
        <f>IF(AND(OR(LEFT(TH!L2115,2)="15",LEFT(TH!M2115,2)="15"),'152-CT'!$J$8=TH!F2115),"x","")</f>
        <v/>
      </c>
      <c r="W2115" s="525" t="str">
        <f>IF(AND(OR(LEFT(TH!L2115,2)="15",LEFT(TH!M2115,2)="15"),TK!$E$7=TH!F2115),"x","")</f>
        <v/>
      </c>
      <c r="X2115" s="525" t="str">
        <f>IF(AND('341-CT'!$E$9=H2115,OR(LEFT(L2115,3)=$X$7,LEFT(M2115,3)=$X$7)),"x","")</f>
        <v/>
      </c>
      <c r="Y2115" s="525" t="str">
        <f>IF(OR(TH!L2115=TH!$Y$7,M2115=TH!$Y$7),"x","")</f>
        <v/>
      </c>
      <c r="Z2115" s="525" t="str">
        <f>IF(AND(B2115&lt;=NKC!$N$8,B2115&gt;=NKC!$M$8),"x","")</f>
        <v/>
      </c>
      <c r="AA2115" s="535">
        <v>2</v>
      </c>
      <c r="AC2115" s="503"/>
      <c r="AE2115" s="503"/>
    </row>
    <row r="2116" spans="1:34" s="536" customFormat="1" ht="15.75" customHeight="1">
      <c r="A2116" s="517" t="str">
        <f>IF(B2116&lt;&gt;"",IF(AND(B2116&gt;=_TM1,B2116&lt;=_TM2,OR(TH!L2116="1111",TH!M2116="1111")),TH!D2116,""),"")</f>
        <v/>
      </c>
      <c r="B2116" s="531">
        <f t="shared" si="194"/>
        <v>4</v>
      </c>
      <c r="C2116" s="315">
        <f t="shared" si="195"/>
        <v>42838</v>
      </c>
      <c r="D2116" s="315" t="s">
        <v>970</v>
      </c>
      <c r="E2116" s="315">
        <v>42838</v>
      </c>
      <c r="F2116" s="249" t="s">
        <v>1073</v>
      </c>
      <c r="G2116" s="541" t="s">
        <v>1075</v>
      </c>
      <c r="H2116" s="473" t="s">
        <v>1071</v>
      </c>
      <c r="I2116" s="307"/>
      <c r="J2116" s="307"/>
      <c r="K2116" s="532">
        <v>1717500</v>
      </c>
      <c r="L2116" s="713" t="s">
        <v>9</v>
      </c>
      <c r="M2116" s="534" t="s">
        <v>8</v>
      </c>
      <c r="N2116" s="525" t="str">
        <f>IF(AND('331-CT'!$E$7=TH!H2116,OR(L2116="331",M2116="331")),"331",IF(AND(OR(L2116="131",M2116="131"),H2116='131-CT'!$E$7),"131",""))</f>
        <v/>
      </c>
      <c r="O2116" s="525" t="str">
        <f>IF(AND($B2116&gt;='111'!$N$11,$B2116&lt;='111'!$O$11,OR($L2116=$O$7,$M2116=$O$7)),"x","")</f>
        <v/>
      </c>
      <c r="P2116" s="525" t="str">
        <f>IF(AND($L2116=$O$7,$B2116&lt;'111'!$N$11),"x","")</f>
        <v/>
      </c>
      <c r="Q2116" s="525" t="str">
        <f>IF(AND($M2116=$O$7,$B2116&lt;'111'!$N$11),"x","")</f>
        <v/>
      </c>
      <c r="R2116" s="525" t="str">
        <f>IF(ISERROR(FIND('112'!$M$9,G2116,1)),"",IF((AND(FIND('112'!$M$9,G2116,1)&gt;=1,$B2116&gt;='112'!$N$8,$B2116&lt;='112'!$O$8,OR($L2116='112'!$I$6,$M2116='112'!$I$6))),"x",""))</f>
        <v/>
      </c>
      <c r="S2116" s="525" t="str">
        <f>IF(ISERROR(FIND('112'!$M$9,G2116,1)),"",IF((AND(LEFT(G2116,2)=LEFT('112'!$M$9,2),B2116&lt;'112'!$N$8,$L2116='112'!$I$6)),"x",""))</f>
        <v/>
      </c>
      <c r="T2116" s="525" t="str">
        <f>IF(ISERROR(FIND('112'!$M$9,G2116,1)),"",IF((AND(RIGHT(G2116,2)=RIGHT('112'!$M$9,2),B2116&lt;'112'!$N$8,$M2116='112'!$I$6)),"x",""))</f>
        <v/>
      </c>
      <c r="U2116" s="525" t="str">
        <f>IF(AND(B2116&gt;='IN-NX'!$P$3,B2116&lt;='IN-NX'!$Q$3,'IN-NX'!$D$7=D2116,OR(LEFT(L2116,2)="15",AND(LEFT(M2116,2)&lt;&gt;"15",LEFT(M2116,2)&lt;&gt;"33"))),"x","")</f>
        <v/>
      </c>
      <c r="V2116" s="525" t="str">
        <f>IF(AND(OR(LEFT(TH!L2116,2)="15",LEFT(TH!M2116,2)="15"),'152-CT'!$J$8=TH!F2116),"x","")</f>
        <v/>
      </c>
      <c r="W2116" s="525" t="str">
        <f>IF(AND(OR(LEFT(TH!L2116,2)="15",LEFT(TH!M2116,2)="15"),TK!$E$7=TH!F2116),"x","")</f>
        <v/>
      </c>
      <c r="X2116" s="525" t="str">
        <f>IF(AND('341-CT'!$E$9=H2116,OR(LEFT(L2116,3)=$X$7,LEFT(M2116,3)=$X$7)),"x","")</f>
        <v/>
      </c>
      <c r="Y2116" s="525" t="str">
        <f>IF(OR(TH!L2116=TH!$Y$7,M2116=TH!$Y$7),"x","")</f>
        <v/>
      </c>
      <c r="Z2116" s="525" t="str">
        <f>IF(AND(B2116&lt;=NKC!$N$8,B2116&gt;=NKC!$M$8),"x","")</f>
        <v/>
      </c>
      <c r="AA2116" s="535">
        <v>2</v>
      </c>
      <c r="AC2116" s="503"/>
      <c r="AE2116" s="503"/>
      <c r="AF2116" s="503"/>
      <c r="AG2116" s="503"/>
      <c r="AH2116" s="503"/>
    </row>
    <row r="2117" spans="1:34" s="536" customFormat="1" ht="15.75" customHeight="1">
      <c r="A2117" s="517" t="str">
        <f>IF(B2117&lt;&gt;"",IF(AND(B2117&gt;=_TM1,B2117&lt;=_TM2,OR(TH!L2117="1111",TH!M2117="1111")),TH!D2117,""),"")</f>
        <v/>
      </c>
      <c r="B2117" s="531">
        <f t="shared" si="194"/>
        <v>4</v>
      </c>
      <c r="C2117" s="315">
        <f t="shared" si="195"/>
        <v>42838</v>
      </c>
      <c r="D2117" s="315" t="s">
        <v>900</v>
      </c>
      <c r="E2117" s="315">
        <v>42838</v>
      </c>
      <c r="F2117" s="249" t="s">
        <v>503</v>
      </c>
      <c r="G2117" s="314" t="s">
        <v>1103</v>
      </c>
      <c r="H2117" s="473" t="s">
        <v>375</v>
      </c>
      <c r="I2117" s="307">
        <v>1700</v>
      </c>
      <c r="J2117" s="307">
        <v>8500</v>
      </c>
      <c r="K2117" s="532">
        <f>ROUND(I2117*J2117,0)</f>
        <v>14450000</v>
      </c>
      <c r="L2117" s="534" t="s">
        <v>223</v>
      </c>
      <c r="M2117" s="534" t="s">
        <v>162</v>
      </c>
      <c r="N2117" s="525" t="str">
        <f>IF(AND('331-CT'!$E$7=TH!H2117,OR(L2117="331",M2117="331")),"331",IF(AND(OR(L2117="131",M2117="131"),H2117='131-CT'!$E$7),"131",""))</f>
        <v/>
      </c>
      <c r="O2117" s="525" t="str">
        <f>IF(AND($B2117&gt;='111'!$N$11,$B2117&lt;='111'!$O$11,OR($L2117=$O$7,$M2117=$O$7)),"x","")</f>
        <v/>
      </c>
      <c r="P2117" s="525" t="str">
        <f>IF(AND($L2117=$O$7,$B2117&lt;'111'!$N$11),"x","")</f>
        <v/>
      </c>
      <c r="Q2117" s="525" t="str">
        <f>IF(AND($M2117=$O$7,$B2117&lt;'111'!$N$11),"x","")</f>
        <v/>
      </c>
      <c r="R2117" s="525" t="str">
        <f>IF(ISERROR(FIND('112'!$M$9,G2117,1)),"",IF((AND(FIND('112'!$M$9,G2117,1)&gt;=1,$B2117&gt;='112'!$N$8,$B2117&lt;='112'!$O$8,OR($L2117='112'!$I$6,$M2117='112'!$I$6))),"x",""))</f>
        <v/>
      </c>
      <c r="S2117" s="525" t="str">
        <f>IF(ISERROR(FIND('112'!$M$9,G2117,1)),"",IF((AND(LEFT(G2117,2)=LEFT('112'!$M$9,2),B2117&lt;'112'!$N$8,$L2117='112'!$I$6)),"x",""))</f>
        <v/>
      </c>
      <c r="T2117" s="525" t="str">
        <f>IF(ISERROR(FIND('112'!$M$9,G2117,1)),"",IF((AND(RIGHT(G2117,2)=RIGHT('112'!$M$9,2),B2117&lt;'112'!$N$8,$M2117='112'!$I$6)),"x",""))</f>
        <v/>
      </c>
      <c r="U2117" s="525" t="str">
        <f>IF(AND(B2117&gt;='IN-NX'!$P$3,B2117&lt;='IN-NX'!$Q$3,'IN-NX'!$D$7=D2117,OR(LEFT(L2117,2)="15",AND(LEFT(M2117,2)&lt;&gt;"15",LEFT(M2117,2)&lt;&gt;"33"))),"x","")</f>
        <v/>
      </c>
      <c r="V2117" s="525" t="str">
        <f>IF(AND(OR(LEFT(TH!L2117,2)="15",LEFT(TH!M2117,2)="15"),'152-CT'!$J$8=TH!F2117),"x","")</f>
        <v/>
      </c>
      <c r="W2117" s="525" t="str">
        <f>IF(AND(OR(LEFT(TH!L2117,2)="15",LEFT(TH!M2117,2)="15"),TK!$E$7=TH!F2117),"x","")</f>
        <v/>
      </c>
      <c r="X2117" s="525" t="str">
        <f>IF(AND('341-CT'!$E$9=H2117,OR(LEFT(L2117,3)=$X$7,LEFT(M2117,3)=$X$7)),"x","")</f>
        <v/>
      </c>
      <c r="Y2117" s="525" t="str">
        <f>IF(OR(TH!L2117=TH!$Y$7,M2117=TH!$Y$7),"x","")</f>
        <v/>
      </c>
      <c r="Z2117" s="525" t="str">
        <f>IF(AND(B2117&lt;=NKC!$N$8,B2117&gt;=NKC!$M$8),"x","")</f>
        <v/>
      </c>
      <c r="AA2117" s="535"/>
      <c r="AC2117" s="503"/>
      <c r="AD2117" s="503"/>
      <c r="AE2117" s="503"/>
      <c r="AF2117" s="503"/>
      <c r="AG2117" s="503"/>
      <c r="AH2117" s="503"/>
    </row>
    <row r="2118" spans="1:34" s="536" customFormat="1" ht="15.75" customHeight="1">
      <c r="A2118" s="517" t="str">
        <f>IF(B2118&lt;&gt;"",IF(AND(B2118&gt;=_TM1,B2118&lt;=_TM2,OR(TH!L2118="1111",TH!M2118="1111")),TH!D2118,""),"")</f>
        <v/>
      </c>
      <c r="B2118" s="531">
        <f t="shared" si="194"/>
        <v>4</v>
      </c>
      <c r="C2118" s="315">
        <f t="shared" si="195"/>
        <v>42838</v>
      </c>
      <c r="D2118" s="315" t="s">
        <v>900</v>
      </c>
      <c r="E2118" s="315">
        <v>42838</v>
      </c>
      <c r="F2118" s="249" t="s">
        <v>501</v>
      </c>
      <c r="G2118" s="314" t="s">
        <v>1103</v>
      </c>
      <c r="H2118" s="473" t="s">
        <v>375</v>
      </c>
      <c r="I2118" s="307"/>
      <c r="J2118" s="307"/>
      <c r="K2118" s="532">
        <v>1445000</v>
      </c>
      <c r="L2118" s="534" t="s">
        <v>223</v>
      </c>
      <c r="M2118" s="534" t="s">
        <v>259</v>
      </c>
      <c r="N2118" s="525" t="str">
        <f>IF(AND('331-CT'!$E$7=TH!H2118,OR(L2118="331",M2118="331")),"331",IF(AND(OR(L2118="131",M2118="131"),H2118='131-CT'!$E$7),"131",""))</f>
        <v/>
      </c>
      <c r="O2118" s="525" t="str">
        <f>IF(AND($B2118&gt;='111'!$N$11,$B2118&lt;='111'!$O$11,OR($L2118=$O$7,$M2118=$O$7)),"x","")</f>
        <v/>
      </c>
      <c r="P2118" s="525" t="str">
        <f>IF(AND($L2118=$O$7,$B2118&lt;'111'!$N$11),"x","")</f>
        <v/>
      </c>
      <c r="Q2118" s="525" t="str">
        <f>IF(AND($M2118=$O$7,$B2118&lt;'111'!$N$11),"x","")</f>
        <v/>
      </c>
      <c r="R2118" s="525" t="str">
        <f>IF(ISERROR(FIND('112'!$M$9,G2118,1)),"",IF((AND(FIND('112'!$M$9,G2118,1)&gt;=1,$B2118&gt;='112'!$N$8,$B2118&lt;='112'!$O$8,OR($L2118='112'!$I$6,$M2118='112'!$I$6))),"x",""))</f>
        <v/>
      </c>
      <c r="S2118" s="525" t="str">
        <f>IF(ISERROR(FIND('112'!$M$9,G2118,1)),"",IF((AND(LEFT(G2118,2)=LEFT('112'!$M$9,2),B2118&lt;'112'!$N$8,$L2118='112'!$I$6)),"x",""))</f>
        <v/>
      </c>
      <c r="T2118" s="525" t="str">
        <f>IF(ISERROR(FIND('112'!$M$9,G2118,1)),"",IF((AND(RIGHT(G2118,2)=RIGHT('112'!$M$9,2),B2118&lt;'112'!$N$8,$M2118='112'!$I$6)),"x",""))</f>
        <v/>
      </c>
      <c r="U2118" s="525" t="str">
        <f>IF(AND(B2118&gt;='IN-NX'!$P$3,B2118&lt;='IN-NX'!$Q$3,'IN-NX'!$D$7=D2118,OR(LEFT(L2118,2)="15",AND(LEFT(M2118,2)&lt;&gt;"15",LEFT(M2118,2)&lt;&gt;"33"))),"x","")</f>
        <v/>
      </c>
      <c r="V2118" s="525" t="str">
        <f>IF(AND(OR(LEFT(TH!L2118,2)="15",LEFT(TH!M2118,2)="15"),'152-CT'!$J$8=TH!F2118),"x","")</f>
        <v/>
      </c>
      <c r="W2118" s="525" t="str">
        <f>IF(AND(OR(LEFT(TH!L2118,2)="15",LEFT(TH!M2118,2)="15"),TK!$E$7=TH!F2118),"x","")</f>
        <v/>
      </c>
      <c r="X2118" s="525" t="str">
        <f>IF(AND('341-CT'!$E$9=H2118,OR(LEFT(L2118,3)=$X$7,LEFT(M2118,3)=$X$7)),"x","")</f>
        <v/>
      </c>
      <c r="Y2118" s="525" t="str">
        <f>IF(OR(TH!L2118=TH!$Y$7,M2118=TH!$Y$7),"x","")</f>
        <v/>
      </c>
      <c r="Z2118" s="525" t="str">
        <f>IF(AND(B2118&lt;=NKC!$N$8,B2118&gt;=NKC!$M$8),"x","")</f>
        <v/>
      </c>
      <c r="AA2118" s="535"/>
      <c r="AC2118" s="503"/>
      <c r="AD2118" s="503"/>
      <c r="AE2118" s="503"/>
      <c r="AF2118" s="503"/>
      <c r="AG2118" s="503"/>
      <c r="AH2118" s="503"/>
    </row>
    <row r="2119" spans="1:34" s="536" customFormat="1" ht="15.75" customHeight="1">
      <c r="A2119" s="517" t="str">
        <f>IF(B2119&lt;&gt;"",IF(AND(B2119&gt;=_TM1,B2119&lt;=_TM2,OR(TH!L2119="1111",TH!M2119="1111")),TH!D2119,""),"")</f>
        <v/>
      </c>
      <c r="B2119" s="531">
        <f t="shared" ref="B2119:B2182" si="197">IF(C2119&lt;&gt;"",MONTH(C2119),"")</f>
        <v>4</v>
      </c>
      <c r="C2119" s="315">
        <f t="shared" ref="C2119:C2182" si="198">E2119</f>
        <v>42839</v>
      </c>
      <c r="D2119" s="315" t="s">
        <v>971</v>
      </c>
      <c r="E2119" s="315">
        <v>42839</v>
      </c>
      <c r="F2119" s="249" t="s">
        <v>429</v>
      </c>
      <c r="G2119" s="314" t="s">
        <v>1092</v>
      </c>
      <c r="H2119" s="473" t="s">
        <v>271</v>
      </c>
      <c r="I2119" s="307">
        <v>23</v>
      </c>
      <c r="J2119" s="307">
        <v>34799</v>
      </c>
      <c r="K2119" s="532">
        <f t="shared" ref="K2119:K2126" si="199">ROUND(I2119*J2119,0)</f>
        <v>800377</v>
      </c>
      <c r="L2119" s="534" t="s">
        <v>292</v>
      </c>
      <c r="M2119" s="534" t="s">
        <v>8</v>
      </c>
      <c r="N2119" s="525" t="str">
        <f>IF(AND('331-CT'!$E$7=TH!H2119,OR(L2119="331",M2119="331")),"331",IF(AND(OR(L2119="131",M2119="131"),H2119='131-CT'!$E$7),"131",""))</f>
        <v>331</v>
      </c>
      <c r="O2119" s="525" t="str">
        <f>IF(AND($B2119&gt;='111'!$N$11,$B2119&lt;='111'!$O$11,OR($L2119=$O$7,$M2119=$O$7)),"x","")</f>
        <v/>
      </c>
      <c r="P2119" s="525" t="str">
        <f>IF(AND($L2119=$O$7,$B2119&lt;'111'!$N$11),"x","")</f>
        <v/>
      </c>
      <c r="Q2119" s="525" t="str">
        <f>IF(AND($M2119=$O$7,$B2119&lt;'111'!$N$11),"x","")</f>
        <v/>
      </c>
      <c r="R2119" s="525" t="str">
        <f>IF(ISERROR(FIND('112'!$M$9,G2119,1)),"",IF((AND(FIND('112'!$M$9,G2119,1)&gt;=1,$B2119&gt;='112'!$N$8,$B2119&lt;='112'!$O$8,OR($L2119='112'!$I$6,$M2119='112'!$I$6))),"x",""))</f>
        <v/>
      </c>
      <c r="S2119" s="525" t="str">
        <f>IF(ISERROR(FIND('112'!$M$9,G2119,1)),"",IF((AND(LEFT(G2119,2)=LEFT('112'!$M$9,2),B2119&lt;'112'!$N$8,$L2119='112'!$I$6)),"x",""))</f>
        <v/>
      </c>
      <c r="T2119" s="525" t="str">
        <f>IF(ISERROR(FIND('112'!$M$9,G2119,1)),"",IF((AND(RIGHT(G2119,2)=RIGHT('112'!$M$9,2),B2119&lt;'112'!$N$8,$M2119='112'!$I$6)),"x",""))</f>
        <v/>
      </c>
      <c r="U2119" s="525" t="str">
        <f>IF(AND(B2119&gt;='IN-NX'!$P$3,B2119&lt;='IN-NX'!$Q$3,'IN-NX'!$D$7=D2119,OR(LEFT(L2119,2)="15",AND(LEFT(M2119,2)&lt;&gt;"15",LEFT(M2119,2)&lt;&gt;"33"))),"x","")</f>
        <v/>
      </c>
      <c r="V2119" s="525" t="str">
        <f>IF(AND(OR(LEFT(TH!L2119,2)="15",LEFT(TH!M2119,2)="15"),'152-CT'!$J$8=TH!F2119),"x","")</f>
        <v/>
      </c>
      <c r="W2119" s="525" t="str">
        <f>IF(AND(OR(LEFT(TH!L2119,2)="15",LEFT(TH!M2119,2)="15"),TK!$E$7=TH!F2119),"x","")</f>
        <v/>
      </c>
      <c r="X2119" s="525" t="str">
        <f>IF(AND('341-CT'!$E$9=H2119,OR(LEFT(L2119,3)=$X$7,LEFT(M2119,3)=$X$7)),"x","")</f>
        <v/>
      </c>
      <c r="Y2119" s="525" t="str">
        <f>IF(OR(TH!L2119=TH!$Y$7,M2119=TH!$Y$7),"x","")</f>
        <v/>
      </c>
      <c r="Z2119" s="525" t="str">
        <f>IF(AND(B2119&lt;=NKC!$N$8,B2119&gt;=NKC!$M$8),"x","")</f>
        <v/>
      </c>
      <c r="AA2119" s="535">
        <v>2</v>
      </c>
      <c r="AC2119" s="503"/>
      <c r="AD2119" s="503"/>
      <c r="AE2119" s="503"/>
      <c r="AF2119" s="503"/>
      <c r="AG2119" s="503"/>
      <c r="AH2119" s="503"/>
    </row>
    <row r="2120" spans="1:34" s="536" customFormat="1" ht="15.75" customHeight="1">
      <c r="A2120" s="517" t="str">
        <f>IF(B2120&lt;&gt;"",IF(AND(B2120&gt;=_TM1,B2120&lt;=_TM2,OR(TH!L2120="1111",TH!M2120="1111")),TH!D2120,""),"")</f>
        <v/>
      </c>
      <c r="B2120" s="531">
        <f t="shared" si="197"/>
        <v>4</v>
      </c>
      <c r="C2120" s="315">
        <f t="shared" si="198"/>
        <v>42839</v>
      </c>
      <c r="D2120" s="315" t="s">
        <v>971</v>
      </c>
      <c r="E2120" s="315">
        <v>42839</v>
      </c>
      <c r="F2120" s="249" t="s">
        <v>429</v>
      </c>
      <c r="G2120" s="314" t="s">
        <v>1092</v>
      </c>
      <c r="H2120" s="473" t="s">
        <v>271</v>
      </c>
      <c r="I2120" s="307">
        <v>23</v>
      </c>
      <c r="J2120" s="307">
        <v>23810</v>
      </c>
      <c r="K2120" s="532">
        <f t="shared" si="199"/>
        <v>547630</v>
      </c>
      <c r="L2120" s="534" t="s">
        <v>292</v>
      </c>
      <c r="M2120" s="534" t="s">
        <v>8</v>
      </c>
      <c r="N2120" s="525" t="str">
        <f>IF(AND('331-CT'!$E$7=TH!H2120,OR(L2120="331",M2120="331")),"331",IF(AND(OR(L2120="131",M2120="131"),H2120='131-CT'!$E$7),"131",""))</f>
        <v>331</v>
      </c>
      <c r="O2120" s="525" t="str">
        <f>IF(AND($B2120&gt;='111'!$N$11,$B2120&lt;='111'!$O$11,OR($L2120=$O$7,$M2120=$O$7)),"x","")</f>
        <v/>
      </c>
      <c r="P2120" s="525" t="str">
        <f>IF(AND($L2120=$O$7,$B2120&lt;'111'!$N$11),"x","")</f>
        <v/>
      </c>
      <c r="Q2120" s="525" t="str">
        <f>IF(AND($M2120=$O$7,$B2120&lt;'111'!$N$11),"x","")</f>
        <v/>
      </c>
      <c r="R2120" s="525" t="str">
        <f>IF(ISERROR(FIND('112'!$M$9,G2120,1)),"",IF((AND(FIND('112'!$M$9,G2120,1)&gt;=1,$B2120&gt;='112'!$N$8,$B2120&lt;='112'!$O$8,OR($L2120='112'!$I$6,$M2120='112'!$I$6))),"x",""))</f>
        <v/>
      </c>
      <c r="S2120" s="525" t="str">
        <f>IF(ISERROR(FIND('112'!$M$9,G2120,1)),"",IF((AND(LEFT(G2120,2)=LEFT('112'!$M$9,2),B2120&lt;'112'!$N$8,$L2120='112'!$I$6)),"x",""))</f>
        <v/>
      </c>
      <c r="T2120" s="525" t="str">
        <f>IF(ISERROR(FIND('112'!$M$9,G2120,1)),"",IF((AND(RIGHT(G2120,2)=RIGHT('112'!$M$9,2),B2120&lt;'112'!$N$8,$M2120='112'!$I$6)),"x",""))</f>
        <v/>
      </c>
      <c r="U2120" s="525" t="str">
        <f>IF(AND(B2120&gt;='IN-NX'!$P$3,B2120&lt;='IN-NX'!$Q$3,'IN-NX'!$D$7=D2120,OR(LEFT(L2120,2)="15",AND(LEFT(M2120,2)&lt;&gt;"15",LEFT(M2120,2)&lt;&gt;"33"))),"x","")</f>
        <v/>
      </c>
      <c r="V2120" s="525" t="str">
        <f>IF(AND(OR(LEFT(TH!L2120,2)="15",LEFT(TH!M2120,2)="15"),'152-CT'!$J$8=TH!F2120),"x","")</f>
        <v/>
      </c>
      <c r="W2120" s="525" t="str">
        <f>IF(AND(OR(LEFT(TH!L2120,2)="15",LEFT(TH!M2120,2)="15"),TK!$E$7=TH!F2120),"x","")</f>
        <v/>
      </c>
      <c r="X2120" s="525" t="str">
        <f>IF(AND('341-CT'!$E$9=H2120,OR(LEFT(L2120,3)=$X$7,LEFT(M2120,3)=$X$7)),"x","")</f>
        <v/>
      </c>
      <c r="Y2120" s="525" t="str">
        <f>IF(OR(TH!L2120=TH!$Y$7,M2120=TH!$Y$7),"x","")</f>
        <v/>
      </c>
      <c r="Z2120" s="525" t="str">
        <f>IF(AND(B2120&lt;=NKC!$N$8,B2120&gt;=NKC!$M$8),"x","")</f>
        <v/>
      </c>
      <c r="AA2120" s="535">
        <v>2</v>
      </c>
      <c r="AC2120" s="503"/>
      <c r="AD2120" s="503"/>
      <c r="AE2120" s="503"/>
      <c r="AF2120" s="503"/>
      <c r="AG2120" s="503"/>
      <c r="AH2120" s="503"/>
    </row>
    <row r="2121" spans="1:34" s="536" customFormat="1" ht="15.75" customHeight="1">
      <c r="A2121" s="517" t="str">
        <f>IF(B2121&lt;&gt;"",IF(AND(B2121&gt;=_TM1,B2121&lt;=_TM2,OR(TH!L2121="1111",TH!M2121="1111")),TH!D2121,""),"")</f>
        <v/>
      </c>
      <c r="B2121" s="531">
        <f t="shared" si="197"/>
        <v>4</v>
      </c>
      <c r="C2121" s="315">
        <f t="shared" si="198"/>
        <v>42839</v>
      </c>
      <c r="D2121" s="315" t="s">
        <v>971</v>
      </c>
      <c r="E2121" s="315">
        <v>42839</v>
      </c>
      <c r="F2121" s="249" t="s">
        <v>401</v>
      </c>
      <c r="G2121" s="314" t="s">
        <v>1092</v>
      </c>
      <c r="H2121" s="473" t="s">
        <v>271</v>
      </c>
      <c r="I2121" s="307">
        <v>48</v>
      </c>
      <c r="J2121" s="307">
        <v>23370</v>
      </c>
      <c r="K2121" s="532">
        <f t="shared" si="199"/>
        <v>1121760</v>
      </c>
      <c r="L2121" s="534" t="s">
        <v>292</v>
      </c>
      <c r="M2121" s="534" t="s">
        <v>8</v>
      </c>
      <c r="N2121" s="525" t="str">
        <f>IF(AND('331-CT'!$E$7=TH!H2121,OR(L2121="331",M2121="331")),"331",IF(AND(OR(L2121="131",M2121="131"),H2121='131-CT'!$E$7),"131",""))</f>
        <v>331</v>
      </c>
      <c r="O2121" s="525" t="str">
        <f>IF(AND($B2121&gt;='111'!$N$11,$B2121&lt;='111'!$O$11,OR($L2121=$O$7,$M2121=$O$7)),"x","")</f>
        <v/>
      </c>
      <c r="P2121" s="525" t="str">
        <f>IF(AND($L2121=$O$7,$B2121&lt;'111'!$N$11),"x","")</f>
        <v/>
      </c>
      <c r="Q2121" s="525" t="str">
        <f>IF(AND($M2121=$O$7,$B2121&lt;'111'!$N$11),"x","")</f>
        <v/>
      </c>
      <c r="R2121" s="525" t="str">
        <f>IF(ISERROR(FIND('112'!$M$9,G2121,1)),"",IF((AND(FIND('112'!$M$9,G2121,1)&gt;=1,$B2121&gt;='112'!$N$8,$B2121&lt;='112'!$O$8,OR($L2121='112'!$I$6,$M2121='112'!$I$6))),"x",""))</f>
        <v/>
      </c>
      <c r="S2121" s="525" t="str">
        <f>IF(ISERROR(FIND('112'!$M$9,G2121,1)),"",IF((AND(LEFT(G2121,2)=LEFT('112'!$M$9,2),B2121&lt;'112'!$N$8,$L2121='112'!$I$6)),"x",""))</f>
        <v/>
      </c>
      <c r="T2121" s="525" t="str">
        <f>IF(ISERROR(FIND('112'!$M$9,G2121,1)),"",IF((AND(RIGHT(G2121,2)=RIGHT('112'!$M$9,2),B2121&lt;'112'!$N$8,$M2121='112'!$I$6)),"x",""))</f>
        <v/>
      </c>
      <c r="U2121" s="525" t="str">
        <f>IF(AND(B2121&gt;='IN-NX'!$P$3,B2121&lt;='IN-NX'!$Q$3,'IN-NX'!$D$7=D2121,OR(LEFT(L2121,2)="15",AND(LEFT(M2121,2)&lt;&gt;"15",LEFT(M2121,2)&lt;&gt;"33"))),"x","")</f>
        <v/>
      </c>
      <c r="V2121" s="525" t="str">
        <f>IF(AND(OR(LEFT(TH!L2121,2)="15",LEFT(TH!M2121,2)="15"),'152-CT'!$J$8=TH!F2121),"x","")</f>
        <v/>
      </c>
      <c r="W2121" s="525" t="str">
        <f>IF(AND(OR(LEFT(TH!L2121,2)="15",LEFT(TH!M2121,2)="15"),TK!$E$7=TH!F2121),"x","")</f>
        <v/>
      </c>
      <c r="X2121" s="525" t="str">
        <f>IF(AND('341-CT'!$E$9=H2121,OR(LEFT(L2121,3)=$X$7,LEFT(M2121,3)=$X$7)),"x","")</f>
        <v/>
      </c>
      <c r="Y2121" s="525" t="str">
        <f>IF(OR(TH!L2121=TH!$Y$7,M2121=TH!$Y$7),"x","")</f>
        <v/>
      </c>
      <c r="Z2121" s="525" t="str">
        <f>IF(AND(B2121&lt;=NKC!$N$8,B2121&gt;=NKC!$M$8),"x","")</f>
        <v/>
      </c>
      <c r="AA2121" s="535">
        <v>2</v>
      </c>
      <c r="AC2121" s="503"/>
      <c r="AD2121" s="503"/>
      <c r="AE2121" s="503"/>
      <c r="AF2121" s="503"/>
      <c r="AG2121" s="503"/>
      <c r="AH2121" s="503"/>
    </row>
    <row r="2122" spans="1:34" s="536" customFormat="1" ht="15.75" customHeight="1">
      <c r="A2122" s="517" t="str">
        <f>IF(B2122&lt;&gt;"",IF(AND(B2122&gt;=_TM1,B2122&lt;=_TM2,OR(TH!L2122="1111",TH!M2122="1111")),TH!D2122,""),"")</f>
        <v/>
      </c>
      <c r="B2122" s="531">
        <f t="shared" si="197"/>
        <v>4</v>
      </c>
      <c r="C2122" s="315">
        <f t="shared" si="198"/>
        <v>42839</v>
      </c>
      <c r="D2122" s="315" t="s">
        <v>971</v>
      </c>
      <c r="E2122" s="315">
        <v>42839</v>
      </c>
      <c r="F2122" s="249" t="s">
        <v>401</v>
      </c>
      <c r="G2122" s="314" t="s">
        <v>1092</v>
      </c>
      <c r="H2122" s="473" t="s">
        <v>271</v>
      </c>
      <c r="I2122" s="307">
        <v>48</v>
      </c>
      <c r="J2122" s="307">
        <v>15990</v>
      </c>
      <c r="K2122" s="532">
        <f t="shared" si="199"/>
        <v>767520</v>
      </c>
      <c r="L2122" s="534" t="s">
        <v>292</v>
      </c>
      <c r="M2122" s="534" t="s">
        <v>8</v>
      </c>
      <c r="N2122" s="525" t="str">
        <f>IF(AND('331-CT'!$E$7=TH!H2122,OR(L2122="331",M2122="331")),"331",IF(AND(OR(L2122="131",M2122="131"),H2122='131-CT'!$E$7),"131",""))</f>
        <v>331</v>
      </c>
      <c r="O2122" s="525" t="str">
        <f>IF(AND($B2122&gt;='111'!$N$11,$B2122&lt;='111'!$O$11,OR($L2122=$O$7,$M2122=$O$7)),"x","")</f>
        <v/>
      </c>
      <c r="P2122" s="525" t="str">
        <f>IF(AND($L2122=$O$7,$B2122&lt;'111'!$N$11),"x","")</f>
        <v/>
      </c>
      <c r="Q2122" s="525" t="str">
        <f>IF(AND($M2122=$O$7,$B2122&lt;'111'!$N$11),"x","")</f>
        <v/>
      </c>
      <c r="R2122" s="525" t="str">
        <f>IF(ISERROR(FIND('112'!$M$9,G2122,1)),"",IF((AND(FIND('112'!$M$9,G2122,1)&gt;=1,$B2122&gt;='112'!$N$8,$B2122&lt;='112'!$O$8,OR($L2122='112'!$I$6,$M2122='112'!$I$6))),"x",""))</f>
        <v/>
      </c>
      <c r="S2122" s="525" t="str">
        <f>IF(ISERROR(FIND('112'!$M$9,G2122,1)),"",IF((AND(LEFT(G2122,2)=LEFT('112'!$M$9,2),B2122&lt;'112'!$N$8,$L2122='112'!$I$6)),"x",""))</f>
        <v/>
      </c>
      <c r="T2122" s="525" t="str">
        <f>IF(ISERROR(FIND('112'!$M$9,G2122,1)),"",IF((AND(RIGHT(G2122,2)=RIGHT('112'!$M$9,2),B2122&lt;'112'!$N$8,$M2122='112'!$I$6)),"x",""))</f>
        <v/>
      </c>
      <c r="U2122" s="525" t="str">
        <f>IF(AND(B2122&gt;='IN-NX'!$P$3,B2122&lt;='IN-NX'!$Q$3,'IN-NX'!$D$7=D2122,OR(LEFT(L2122,2)="15",AND(LEFT(M2122,2)&lt;&gt;"15",LEFT(M2122,2)&lt;&gt;"33"))),"x","")</f>
        <v/>
      </c>
      <c r="V2122" s="525" t="str">
        <f>IF(AND(OR(LEFT(TH!L2122,2)="15",LEFT(TH!M2122,2)="15"),'152-CT'!$J$8=TH!F2122),"x","")</f>
        <v/>
      </c>
      <c r="W2122" s="525" t="str">
        <f>IF(AND(OR(LEFT(TH!L2122,2)="15",LEFT(TH!M2122,2)="15"),TK!$E$7=TH!F2122),"x","")</f>
        <v/>
      </c>
      <c r="X2122" s="525" t="str">
        <f>IF(AND('341-CT'!$E$9=H2122,OR(LEFT(L2122,3)=$X$7,LEFT(M2122,3)=$X$7)),"x","")</f>
        <v/>
      </c>
      <c r="Y2122" s="525" t="str">
        <f>IF(OR(TH!L2122=TH!$Y$7,M2122=TH!$Y$7),"x","")</f>
        <v/>
      </c>
      <c r="Z2122" s="525" t="str">
        <f>IF(AND(B2122&lt;=NKC!$N$8,B2122&gt;=NKC!$M$8),"x","")</f>
        <v/>
      </c>
      <c r="AA2122" s="535">
        <v>2</v>
      </c>
      <c r="AC2122" s="503"/>
      <c r="AD2122" s="503"/>
      <c r="AE2122" s="503"/>
      <c r="AF2122" s="503"/>
      <c r="AG2122" s="503"/>
      <c r="AH2122" s="503"/>
    </row>
    <row r="2123" spans="1:34" s="536" customFormat="1" ht="15.75" customHeight="1">
      <c r="A2123" s="517" t="str">
        <f>IF(B2123&lt;&gt;"",IF(AND(B2123&gt;=_TM1,B2123&lt;=_TM2,OR(TH!L2123="1111",TH!M2123="1111")),TH!D2123,""),"")</f>
        <v/>
      </c>
      <c r="B2123" s="531">
        <f t="shared" si="197"/>
        <v>4</v>
      </c>
      <c r="C2123" s="315">
        <f t="shared" si="198"/>
        <v>42839</v>
      </c>
      <c r="D2123" s="315" t="s">
        <v>971</v>
      </c>
      <c r="E2123" s="315">
        <v>42839</v>
      </c>
      <c r="F2123" s="249" t="s">
        <v>1087</v>
      </c>
      <c r="G2123" s="314" t="s">
        <v>1092</v>
      </c>
      <c r="H2123" s="473" t="s">
        <v>271</v>
      </c>
      <c r="I2123" s="307">
        <v>30</v>
      </c>
      <c r="J2123" s="307">
        <v>26395</v>
      </c>
      <c r="K2123" s="532">
        <f t="shared" si="199"/>
        <v>791850</v>
      </c>
      <c r="L2123" s="534" t="s">
        <v>292</v>
      </c>
      <c r="M2123" s="534" t="s">
        <v>8</v>
      </c>
      <c r="N2123" s="525" t="str">
        <f>IF(AND('331-CT'!$E$7=TH!H2123,OR(L2123="331",M2123="331")),"331",IF(AND(OR(L2123="131",M2123="131"),H2123='131-CT'!$E$7),"131",""))</f>
        <v>331</v>
      </c>
      <c r="O2123" s="525" t="str">
        <f>IF(AND($B2123&gt;='111'!$N$11,$B2123&lt;='111'!$O$11,OR($L2123=$O$7,$M2123=$O$7)),"x","")</f>
        <v/>
      </c>
      <c r="P2123" s="525" t="str">
        <f>IF(AND($L2123=$O$7,$B2123&lt;'111'!$N$11),"x","")</f>
        <v/>
      </c>
      <c r="Q2123" s="525" t="str">
        <f>IF(AND($M2123=$O$7,$B2123&lt;'111'!$N$11),"x","")</f>
        <v/>
      </c>
      <c r="R2123" s="525" t="str">
        <f>IF(ISERROR(FIND('112'!$M$9,G2123,1)),"",IF((AND(FIND('112'!$M$9,G2123,1)&gt;=1,$B2123&gt;='112'!$N$8,$B2123&lt;='112'!$O$8,OR($L2123='112'!$I$6,$M2123='112'!$I$6))),"x",""))</f>
        <v/>
      </c>
      <c r="S2123" s="525" t="str">
        <f>IF(ISERROR(FIND('112'!$M$9,G2123,1)),"",IF((AND(LEFT(G2123,2)=LEFT('112'!$M$9,2),B2123&lt;'112'!$N$8,$L2123='112'!$I$6)),"x",""))</f>
        <v/>
      </c>
      <c r="T2123" s="525" t="str">
        <f>IF(ISERROR(FIND('112'!$M$9,G2123,1)),"",IF((AND(RIGHT(G2123,2)=RIGHT('112'!$M$9,2),B2123&lt;'112'!$N$8,$M2123='112'!$I$6)),"x",""))</f>
        <v/>
      </c>
      <c r="U2123" s="525" t="str">
        <f>IF(AND(B2123&gt;='IN-NX'!$P$3,B2123&lt;='IN-NX'!$Q$3,'IN-NX'!$D$7=D2123,OR(LEFT(L2123,2)="15",AND(LEFT(M2123,2)&lt;&gt;"15",LEFT(M2123,2)&lt;&gt;"33"))),"x","")</f>
        <v/>
      </c>
      <c r="V2123" s="525" t="str">
        <f>IF(AND(OR(LEFT(TH!L2123,2)="15",LEFT(TH!M2123,2)="15"),'152-CT'!$J$8=TH!F2123),"x","")</f>
        <v/>
      </c>
      <c r="W2123" s="525" t="str">
        <f>IF(AND(OR(LEFT(TH!L2123,2)="15",LEFT(TH!M2123,2)="15"),TK!$E$7=TH!F2123),"x","")</f>
        <v/>
      </c>
      <c r="X2123" s="525" t="str">
        <f>IF(AND('341-CT'!$E$9=H2123,OR(LEFT(L2123,3)=$X$7,LEFT(M2123,3)=$X$7)),"x","")</f>
        <v/>
      </c>
      <c r="Y2123" s="525" t="str">
        <f>IF(OR(TH!L2123=TH!$Y$7,M2123=TH!$Y$7),"x","")</f>
        <v/>
      </c>
      <c r="Z2123" s="525" t="str">
        <f>IF(AND(B2123&lt;=NKC!$N$8,B2123&gt;=NKC!$M$8),"x","")</f>
        <v/>
      </c>
      <c r="AA2123" s="535">
        <v>2</v>
      </c>
      <c r="AC2123" s="503"/>
      <c r="AD2123" s="503"/>
      <c r="AE2123" s="503"/>
      <c r="AF2123" s="503"/>
      <c r="AG2123" s="503"/>
      <c r="AH2123" s="503"/>
    </row>
    <row r="2124" spans="1:34" s="536" customFormat="1" ht="15.75" customHeight="1">
      <c r="A2124" s="517" t="str">
        <f>IF(B2124&lt;&gt;"",IF(AND(B2124&gt;=_TM1,B2124&lt;=_TM2,OR(TH!L2124="1111",TH!M2124="1111")),TH!D2124,""),"")</f>
        <v/>
      </c>
      <c r="B2124" s="531">
        <f t="shared" si="197"/>
        <v>4</v>
      </c>
      <c r="C2124" s="315">
        <f t="shared" si="198"/>
        <v>42839</v>
      </c>
      <c r="D2124" s="315" t="s">
        <v>971</v>
      </c>
      <c r="E2124" s="315">
        <v>42839</v>
      </c>
      <c r="F2124" s="249" t="s">
        <v>1087</v>
      </c>
      <c r="G2124" s="314" t="s">
        <v>1092</v>
      </c>
      <c r="H2124" s="473" t="s">
        <v>271</v>
      </c>
      <c r="I2124" s="307">
        <v>30</v>
      </c>
      <c r="J2124" s="307">
        <v>18060</v>
      </c>
      <c r="K2124" s="532">
        <f t="shared" si="199"/>
        <v>541800</v>
      </c>
      <c r="L2124" s="534" t="s">
        <v>292</v>
      </c>
      <c r="M2124" s="534" t="s">
        <v>8</v>
      </c>
      <c r="N2124" s="525" t="str">
        <f>IF(AND('331-CT'!$E$7=TH!H2124,OR(L2124="331",M2124="331")),"331",IF(AND(OR(L2124="131",M2124="131"),H2124='131-CT'!$E$7),"131",""))</f>
        <v>331</v>
      </c>
      <c r="O2124" s="525" t="str">
        <f>IF(AND($B2124&gt;='111'!$N$11,$B2124&lt;='111'!$O$11,OR($L2124=$O$7,$M2124=$O$7)),"x","")</f>
        <v/>
      </c>
      <c r="P2124" s="525" t="str">
        <f>IF(AND($L2124=$O$7,$B2124&lt;'111'!$N$11),"x","")</f>
        <v/>
      </c>
      <c r="Q2124" s="525" t="str">
        <f>IF(AND($M2124=$O$7,$B2124&lt;'111'!$N$11),"x","")</f>
        <v/>
      </c>
      <c r="R2124" s="525" t="str">
        <f>IF(ISERROR(FIND('112'!$M$9,G2124,1)),"",IF((AND(FIND('112'!$M$9,G2124,1)&gt;=1,$B2124&gt;='112'!$N$8,$B2124&lt;='112'!$O$8,OR($L2124='112'!$I$6,$M2124='112'!$I$6))),"x",""))</f>
        <v/>
      </c>
      <c r="S2124" s="525" t="str">
        <f>IF(ISERROR(FIND('112'!$M$9,G2124,1)),"",IF((AND(LEFT(G2124,2)=LEFT('112'!$M$9,2),B2124&lt;'112'!$N$8,$L2124='112'!$I$6)),"x",""))</f>
        <v/>
      </c>
      <c r="T2124" s="525" t="str">
        <f>IF(ISERROR(FIND('112'!$M$9,G2124,1)),"",IF((AND(RIGHT(G2124,2)=RIGHT('112'!$M$9,2),B2124&lt;'112'!$N$8,$M2124='112'!$I$6)),"x",""))</f>
        <v/>
      </c>
      <c r="U2124" s="525" t="str">
        <f>IF(AND(B2124&gt;='IN-NX'!$P$3,B2124&lt;='IN-NX'!$Q$3,'IN-NX'!$D$7=D2124,OR(LEFT(L2124,2)="15",AND(LEFT(M2124,2)&lt;&gt;"15",LEFT(M2124,2)&lt;&gt;"33"))),"x","")</f>
        <v/>
      </c>
      <c r="V2124" s="525" t="str">
        <f>IF(AND(OR(LEFT(TH!L2124,2)="15",LEFT(TH!M2124,2)="15"),'152-CT'!$J$8=TH!F2124),"x","")</f>
        <v/>
      </c>
      <c r="W2124" s="525" t="str">
        <f>IF(AND(OR(LEFT(TH!L2124,2)="15",LEFT(TH!M2124,2)="15"),TK!$E$7=TH!F2124),"x","")</f>
        <v/>
      </c>
      <c r="X2124" s="525" t="str">
        <f>IF(AND('341-CT'!$E$9=H2124,OR(LEFT(L2124,3)=$X$7,LEFT(M2124,3)=$X$7)),"x","")</f>
        <v/>
      </c>
      <c r="Y2124" s="525" t="str">
        <f>IF(OR(TH!L2124=TH!$Y$7,M2124=TH!$Y$7),"x","")</f>
        <v/>
      </c>
      <c r="Z2124" s="525" t="str">
        <f>IF(AND(B2124&lt;=NKC!$N$8,B2124&gt;=NKC!$M$8),"x","")</f>
        <v/>
      </c>
      <c r="AA2124" s="535">
        <v>2</v>
      </c>
      <c r="AC2124" s="503"/>
      <c r="AD2124" s="503"/>
      <c r="AE2124" s="503"/>
      <c r="AF2124" s="503"/>
      <c r="AG2124" s="503"/>
      <c r="AH2124" s="503"/>
    </row>
    <row r="2125" spans="1:34" s="536" customFormat="1" ht="15.75" customHeight="1">
      <c r="A2125" s="517" t="str">
        <f>IF(B2125&lt;&gt;"",IF(AND(B2125&gt;=_TM1,B2125&lt;=_TM2,OR(TH!L2125="1111",TH!M2125="1111")),TH!D2125,""),"")</f>
        <v/>
      </c>
      <c r="B2125" s="531">
        <f t="shared" si="197"/>
        <v>4</v>
      </c>
      <c r="C2125" s="315">
        <f t="shared" si="198"/>
        <v>42839</v>
      </c>
      <c r="D2125" s="315" t="s">
        <v>971</v>
      </c>
      <c r="E2125" s="315">
        <v>42839</v>
      </c>
      <c r="F2125" s="249" t="s">
        <v>572</v>
      </c>
      <c r="G2125" s="314" t="s">
        <v>1092</v>
      </c>
      <c r="H2125" s="473" t="s">
        <v>271</v>
      </c>
      <c r="I2125" s="307">
        <v>40</v>
      </c>
      <c r="J2125" s="307">
        <v>30741</v>
      </c>
      <c r="K2125" s="532">
        <f t="shared" si="199"/>
        <v>1229640</v>
      </c>
      <c r="L2125" s="534" t="s">
        <v>292</v>
      </c>
      <c r="M2125" s="534" t="s">
        <v>8</v>
      </c>
      <c r="N2125" s="525" t="str">
        <f>IF(AND('331-CT'!$E$7=TH!H2125,OR(L2125="331",M2125="331")),"331",IF(AND(OR(L2125="131",M2125="131"),H2125='131-CT'!$E$7),"131",""))</f>
        <v>331</v>
      </c>
      <c r="O2125" s="525" t="str">
        <f>IF(AND($B2125&gt;='111'!$N$11,$B2125&lt;='111'!$O$11,OR($L2125=$O$7,$M2125=$O$7)),"x","")</f>
        <v/>
      </c>
      <c r="P2125" s="525" t="str">
        <f>IF(AND($L2125=$O$7,$B2125&lt;'111'!$N$11),"x","")</f>
        <v/>
      </c>
      <c r="Q2125" s="525" t="str">
        <f>IF(AND($M2125=$O$7,$B2125&lt;'111'!$N$11),"x","")</f>
        <v/>
      </c>
      <c r="R2125" s="525" t="str">
        <f>IF(ISERROR(FIND('112'!$M$9,G2125,1)),"",IF((AND(FIND('112'!$M$9,G2125,1)&gt;=1,$B2125&gt;='112'!$N$8,$B2125&lt;='112'!$O$8,OR($L2125='112'!$I$6,$M2125='112'!$I$6))),"x",""))</f>
        <v/>
      </c>
      <c r="S2125" s="525" t="str">
        <f>IF(ISERROR(FIND('112'!$M$9,G2125,1)),"",IF((AND(LEFT(G2125,2)=LEFT('112'!$M$9,2),B2125&lt;'112'!$N$8,$L2125='112'!$I$6)),"x",""))</f>
        <v/>
      </c>
      <c r="T2125" s="525" t="str">
        <f>IF(ISERROR(FIND('112'!$M$9,G2125,1)),"",IF((AND(RIGHT(G2125,2)=RIGHT('112'!$M$9,2),B2125&lt;'112'!$N$8,$M2125='112'!$I$6)),"x",""))</f>
        <v/>
      </c>
      <c r="U2125" s="525" t="str">
        <f>IF(AND(B2125&gt;='IN-NX'!$P$3,B2125&lt;='IN-NX'!$Q$3,'IN-NX'!$D$7=D2125,OR(LEFT(L2125,2)="15",AND(LEFT(M2125,2)&lt;&gt;"15",LEFT(M2125,2)&lt;&gt;"33"))),"x","")</f>
        <v/>
      </c>
      <c r="V2125" s="525" t="str">
        <f>IF(AND(OR(LEFT(TH!L2125,2)="15",LEFT(TH!M2125,2)="15"),'152-CT'!$J$8=TH!F2125),"x","")</f>
        <v/>
      </c>
      <c r="W2125" s="525" t="str">
        <f>IF(AND(OR(LEFT(TH!L2125,2)="15",LEFT(TH!M2125,2)="15"),TK!$E$7=TH!F2125),"x","")</f>
        <v/>
      </c>
      <c r="X2125" s="525" t="str">
        <f>IF(AND('341-CT'!$E$9=H2125,OR(LEFT(L2125,3)=$X$7,LEFT(M2125,3)=$X$7)),"x","")</f>
        <v/>
      </c>
      <c r="Y2125" s="525" t="str">
        <f>IF(OR(TH!L2125=TH!$Y$7,M2125=TH!$Y$7),"x","")</f>
        <v/>
      </c>
      <c r="Z2125" s="525" t="str">
        <f>IF(AND(B2125&lt;=NKC!$N$8,B2125&gt;=NKC!$M$8),"x","")</f>
        <v/>
      </c>
      <c r="AA2125" s="535">
        <v>2</v>
      </c>
      <c r="AC2125" s="503"/>
      <c r="AD2125" s="503"/>
      <c r="AE2125" s="503"/>
      <c r="AF2125" s="503"/>
      <c r="AG2125" s="503"/>
      <c r="AH2125" s="503"/>
    </row>
    <row r="2126" spans="1:34" s="536" customFormat="1" ht="15.75" customHeight="1">
      <c r="A2126" s="517" t="str">
        <f>IF(B2126&lt;&gt;"",IF(AND(B2126&gt;=_TM1,B2126&lt;=_TM2,OR(TH!L2126="1111",TH!M2126="1111")),TH!D2126,""),"")</f>
        <v/>
      </c>
      <c r="B2126" s="531">
        <f t="shared" si="197"/>
        <v>4</v>
      </c>
      <c r="C2126" s="315">
        <f t="shared" si="198"/>
        <v>42839</v>
      </c>
      <c r="D2126" s="315" t="s">
        <v>971</v>
      </c>
      <c r="E2126" s="315">
        <v>42839</v>
      </c>
      <c r="F2126" s="249" t="s">
        <v>572</v>
      </c>
      <c r="G2126" s="314" t="s">
        <v>1092</v>
      </c>
      <c r="H2126" s="473" t="s">
        <v>271</v>
      </c>
      <c r="I2126" s="307">
        <v>40</v>
      </c>
      <c r="J2126" s="307">
        <v>21034</v>
      </c>
      <c r="K2126" s="532">
        <f t="shared" si="199"/>
        <v>841360</v>
      </c>
      <c r="L2126" s="534" t="s">
        <v>292</v>
      </c>
      <c r="M2126" s="534" t="s">
        <v>8</v>
      </c>
      <c r="N2126" s="525" t="str">
        <f>IF(AND('331-CT'!$E$7=TH!H2126,OR(L2126="331",M2126="331")),"331",IF(AND(OR(L2126="131",M2126="131"),H2126='131-CT'!$E$7),"131",""))</f>
        <v>331</v>
      </c>
      <c r="O2126" s="525" t="str">
        <f>IF(AND($B2126&gt;='111'!$N$11,$B2126&lt;='111'!$O$11,OR($L2126=$O$7,$M2126=$O$7)),"x","")</f>
        <v/>
      </c>
      <c r="P2126" s="525" t="str">
        <f>IF(AND($L2126=$O$7,$B2126&lt;'111'!$N$11),"x","")</f>
        <v/>
      </c>
      <c r="Q2126" s="525" t="str">
        <f>IF(AND($M2126=$O$7,$B2126&lt;'111'!$N$11),"x","")</f>
        <v/>
      </c>
      <c r="R2126" s="525" t="str">
        <f>IF(ISERROR(FIND('112'!$M$9,G2126,1)),"",IF((AND(FIND('112'!$M$9,G2126,1)&gt;=1,$B2126&gt;='112'!$N$8,$B2126&lt;='112'!$O$8,OR($L2126='112'!$I$6,$M2126='112'!$I$6))),"x",""))</f>
        <v/>
      </c>
      <c r="S2126" s="525" t="str">
        <f>IF(ISERROR(FIND('112'!$M$9,G2126,1)),"",IF((AND(LEFT(G2126,2)=LEFT('112'!$M$9,2),B2126&lt;'112'!$N$8,$L2126='112'!$I$6)),"x",""))</f>
        <v/>
      </c>
      <c r="T2126" s="525" t="str">
        <f>IF(ISERROR(FIND('112'!$M$9,G2126,1)),"",IF((AND(RIGHT(G2126,2)=RIGHT('112'!$M$9,2),B2126&lt;'112'!$N$8,$M2126='112'!$I$6)),"x",""))</f>
        <v/>
      </c>
      <c r="U2126" s="525" t="str">
        <f>IF(AND(B2126&gt;='IN-NX'!$P$3,B2126&lt;='IN-NX'!$Q$3,'IN-NX'!$D$7=D2126,OR(LEFT(L2126,2)="15",AND(LEFT(M2126,2)&lt;&gt;"15",LEFT(M2126,2)&lt;&gt;"33"))),"x","")</f>
        <v/>
      </c>
      <c r="V2126" s="525" t="str">
        <f>IF(AND(OR(LEFT(TH!L2126,2)="15",LEFT(TH!M2126,2)="15"),'152-CT'!$J$8=TH!F2126),"x","")</f>
        <v/>
      </c>
      <c r="W2126" s="525" t="str">
        <f>IF(AND(OR(LEFT(TH!L2126,2)="15",LEFT(TH!M2126,2)="15"),TK!$E$7=TH!F2126),"x","")</f>
        <v/>
      </c>
      <c r="X2126" s="525" t="str">
        <f>IF(AND('341-CT'!$E$9=H2126,OR(LEFT(L2126,3)=$X$7,LEFT(M2126,3)=$X$7)),"x","")</f>
        <v/>
      </c>
      <c r="Y2126" s="525" t="str">
        <f>IF(OR(TH!L2126=TH!$Y$7,M2126=TH!$Y$7),"x","")</f>
        <v/>
      </c>
      <c r="Z2126" s="525" t="str">
        <f>IF(AND(B2126&lt;=NKC!$N$8,B2126&gt;=NKC!$M$8),"x","")</f>
        <v/>
      </c>
      <c r="AA2126" s="535">
        <v>2</v>
      </c>
      <c r="AC2126" s="503"/>
      <c r="AD2126" s="503"/>
      <c r="AE2126" s="503"/>
      <c r="AF2126" s="503"/>
      <c r="AG2126" s="503"/>
      <c r="AH2126" s="503"/>
    </row>
    <row r="2127" spans="1:34" s="536" customFormat="1" ht="15.75" customHeight="1">
      <c r="A2127" s="517" t="str">
        <f>IF(B2127&lt;&gt;"",IF(AND(B2127&gt;=_TM1,B2127&lt;=_TM2,OR(TH!L2127="1111",TH!M2127="1111")),TH!D2127,""),"")</f>
        <v/>
      </c>
      <c r="B2127" s="531">
        <f t="shared" si="197"/>
        <v>4</v>
      </c>
      <c r="C2127" s="315">
        <f t="shared" si="198"/>
        <v>42839</v>
      </c>
      <c r="D2127" s="315" t="s">
        <v>971</v>
      </c>
      <c r="E2127" s="315">
        <v>42839</v>
      </c>
      <c r="F2127" s="249" t="s">
        <v>526</v>
      </c>
      <c r="G2127" s="314" t="s">
        <v>1092</v>
      </c>
      <c r="H2127" s="473" t="s">
        <v>271</v>
      </c>
      <c r="I2127" s="307"/>
      <c r="J2127" s="307"/>
      <c r="K2127" s="532">
        <v>664194</v>
      </c>
      <c r="L2127" s="713" t="s">
        <v>9</v>
      </c>
      <c r="M2127" s="534" t="s">
        <v>8</v>
      </c>
      <c r="N2127" s="525" t="str">
        <f>IF(AND('331-CT'!$E$7=TH!H2127,OR(L2127="331",M2127="331")),"331",IF(AND(OR(L2127="131",M2127="131"),H2127='131-CT'!$E$7),"131",""))</f>
        <v>331</v>
      </c>
      <c r="O2127" s="525" t="str">
        <f>IF(AND($B2127&gt;='111'!$N$11,$B2127&lt;='111'!$O$11,OR($L2127=$O$7,$M2127=$O$7)),"x","")</f>
        <v/>
      </c>
      <c r="P2127" s="525" t="str">
        <f>IF(AND($L2127=$O$7,$B2127&lt;'111'!$N$11),"x","")</f>
        <v/>
      </c>
      <c r="Q2127" s="525" t="str">
        <f>IF(AND($M2127=$O$7,$B2127&lt;'111'!$N$11),"x","")</f>
        <v/>
      </c>
      <c r="R2127" s="525" t="str">
        <f>IF(ISERROR(FIND('112'!$M$9,G2127,1)),"",IF((AND(FIND('112'!$M$9,G2127,1)&gt;=1,$B2127&gt;='112'!$N$8,$B2127&lt;='112'!$O$8,OR($L2127='112'!$I$6,$M2127='112'!$I$6))),"x",""))</f>
        <v/>
      </c>
      <c r="S2127" s="525" t="str">
        <f>IF(ISERROR(FIND('112'!$M$9,G2127,1)),"",IF((AND(LEFT(G2127,2)=LEFT('112'!$M$9,2),B2127&lt;'112'!$N$8,$L2127='112'!$I$6)),"x",""))</f>
        <v/>
      </c>
      <c r="T2127" s="525" t="str">
        <f>IF(ISERROR(FIND('112'!$M$9,G2127,1)),"",IF((AND(RIGHT(G2127,2)=RIGHT('112'!$M$9,2),B2127&lt;'112'!$N$8,$M2127='112'!$I$6)),"x",""))</f>
        <v/>
      </c>
      <c r="U2127" s="525" t="str">
        <f>IF(AND(B2127&gt;='IN-NX'!$P$3,B2127&lt;='IN-NX'!$Q$3,'IN-NX'!$D$7=D2127,OR(LEFT(L2127,2)="15",AND(LEFT(M2127,2)&lt;&gt;"15",LEFT(M2127,2)&lt;&gt;"33"))),"x","")</f>
        <v/>
      </c>
      <c r="V2127" s="525" t="str">
        <f>IF(AND(OR(LEFT(TH!L2127,2)="15",LEFT(TH!M2127,2)="15"),'152-CT'!$J$8=TH!F2127),"x","")</f>
        <v/>
      </c>
      <c r="W2127" s="525" t="str">
        <f>IF(AND(OR(LEFT(TH!L2127,2)="15",LEFT(TH!M2127,2)="15"),TK!$E$7=TH!F2127),"x","")</f>
        <v/>
      </c>
      <c r="X2127" s="525" t="str">
        <f>IF(AND('341-CT'!$E$9=H2127,OR(LEFT(L2127,3)=$X$7,LEFT(M2127,3)=$X$7)),"x","")</f>
        <v/>
      </c>
      <c r="Y2127" s="525" t="str">
        <f>IF(OR(TH!L2127=TH!$Y$7,M2127=TH!$Y$7),"x","")</f>
        <v/>
      </c>
      <c r="Z2127" s="525" t="str">
        <f>IF(AND(B2127&lt;=NKC!$N$8,B2127&gt;=NKC!$M$8),"x","")</f>
        <v/>
      </c>
      <c r="AA2127" s="535">
        <v>2</v>
      </c>
      <c r="AC2127" s="503"/>
      <c r="AD2127" s="503"/>
      <c r="AE2127" s="503"/>
      <c r="AF2127" s="503"/>
      <c r="AG2127" s="503"/>
      <c r="AH2127" s="503"/>
    </row>
    <row r="2128" spans="1:34" s="536" customFormat="1" ht="15.75" customHeight="1">
      <c r="A2128" s="517" t="str">
        <f>IF(B2128&lt;&gt;"",IF(AND(B2128&gt;=_TM1,B2128&lt;=_TM2,OR(TH!L2128="1111",TH!M2128="1111")),TH!D2128,""),"")</f>
        <v/>
      </c>
      <c r="B2128" s="531">
        <f t="shared" si="197"/>
        <v>4</v>
      </c>
      <c r="C2128" s="315">
        <f t="shared" si="198"/>
        <v>42840</v>
      </c>
      <c r="D2128" s="315" t="s">
        <v>972</v>
      </c>
      <c r="E2128" s="315">
        <v>42840</v>
      </c>
      <c r="F2128" s="249" t="s">
        <v>505</v>
      </c>
      <c r="G2128" s="541" t="s">
        <v>603</v>
      </c>
      <c r="H2128" s="473" t="s">
        <v>1071</v>
      </c>
      <c r="I2128" s="307">
        <v>305</v>
      </c>
      <c r="J2128" s="307">
        <v>32350</v>
      </c>
      <c r="K2128" s="532">
        <f>ROUND(I2128*J2128,0)</f>
        <v>9866750</v>
      </c>
      <c r="L2128" s="534" t="s">
        <v>292</v>
      </c>
      <c r="M2128" s="534" t="s">
        <v>8</v>
      </c>
      <c r="N2128" s="525" t="str">
        <f>IF(AND('331-CT'!$E$7=TH!H2128,OR(L2128="331",M2128="331")),"331",IF(AND(OR(L2128="131",M2128="131"),H2128='131-CT'!$E$7),"131",""))</f>
        <v/>
      </c>
      <c r="O2128" s="525" t="str">
        <f>IF(AND($B2128&gt;='111'!$N$11,$B2128&lt;='111'!$O$11,OR($L2128=$O$7,$M2128=$O$7)),"x","")</f>
        <v/>
      </c>
      <c r="P2128" s="525" t="str">
        <f>IF(AND($L2128=$O$7,$B2128&lt;'111'!$N$11),"x","")</f>
        <v/>
      </c>
      <c r="Q2128" s="525" t="str">
        <f>IF(AND($M2128=$O$7,$B2128&lt;'111'!$N$11),"x","")</f>
        <v/>
      </c>
      <c r="R2128" s="525" t="str">
        <f>IF(ISERROR(FIND('112'!$M$9,G2128,1)),"",IF((AND(FIND('112'!$M$9,G2128,1)&gt;=1,$B2128&gt;='112'!$N$8,$B2128&lt;='112'!$O$8,OR($L2128='112'!$I$6,$M2128='112'!$I$6))),"x",""))</f>
        <v/>
      </c>
      <c r="S2128" s="525" t="str">
        <f>IF(ISERROR(FIND('112'!$M$9,G2128,1)),"",IF((AND(LEFT(G2128,2)=LEFT('112'!$M$9,2),B2128&lt;'112'!$N$8,$L2128='112'!$I$6)),"x",""))</f>
        <v/>
      </c>
      <c r="T2128" s="525" t="str">
        <f>IF(ISERROR(FIND('112'!$M$9,G2128,1)),"",IF((AND(RIGHT(G2128,2)=RIGHT('112'!$M$9,2),B2128&lt;'112'!$N$8,$M2128='112'!$I$6)),"x",""))</f>
        <v/>
      </c>
      <c r="U2128" s="525" t="str">
        <f>IF(AND(B2128&gt;='IN-NX'!$P$3,B2128&lt;='IN-NX'!$Q$3,'IN-NX'!$D$7=D2128,OR(LEFT(L2128,2)="15",AND(LEFT(M2128,2)&lt;&gt;"15",LEFT(M2128,2)&lt;&gt;"33"))),"x","")</f>
        <v/>
      </c>
      <c r="V2128" s="525" t="str">
        <f>IF(AND(OR(LEFT(TH!L2128,2)="15",LEFT(TH!M2128,2)="15"),'152-CT'!$J$8=TH!F2128),"x","")</f>
        <v/>
      </c>
      <c r="W2128" s="525" t="str">
        <f>IF(AND(OR(LEFT(TH!L2128,2)="15",LEFT(TH!M2128,2)="15"),TK!$E$7=TH!F2128),"x","")</f>
        <v/>
      </c>
      <c r="X2128" s="525" t="str">
        <f>IF(AND('341-CT'!$E$9=H2128,OR(LEFT(L2128,3)=$X$7,LEFT(M2128,3)=$X$7)),"x","")</f>
        <v/>
      </c>
      <c r="Y2128" s="525" t="str">
        <f>IF(OR(TH!L2128=TH!$Y$7,M2128=TH!$Y$7),"x","")</f>
        <v/>
      </c>
      <c r="Z2128" s="525" t="str">
        <f>IF(AND(B2128&lt;=NKC!$N$8,B2128&gt;=NKC!$M$8),"x","")</f>
        <v/>
      </c>
      <c r="AA2128" s="535">
        <v>2</v>
      </c>
      <c r="AC2128" s="503"/>
      <c r="AE2128" s="503"/>
      <c r="AF2128" s="503"/>
      <c r="AG2128" s="503"/>
      <c r="AH2128" s="503"/>
    </row>
    <row r="2129" spans="1:34" s="536" customFormat="1" ht="15.75" customHeight="1">
      <c r="A2129" s="517" t="str">
        <f>IF(B2129&lt;&gt;"",IF(AND(B2129&gt;=_TM1,B2129&lt;=_TM2,OR(TH!L2129="1111",TH!M2129="1111")),TH!D2129,""),"")</f>
        <v/>
      </c>
      <c r="B2129" s="531">
        <f t="shared" si="197"/>
        <v>4</v>
      </c>
      <c r="C2129" s="315">
        <f t="shared" si="198"/>
        <v>42840</v>
      </c>
      <c r="D2129" s="315" t="s">
        <v>972</v>
      </c>
      <c r="E2129" s="315">
        <v>42840</v>
      </c>
      <c r="F2129" s="249" t="s">
        <v>503</v>
      </c>
      <c r="G2129" s="541" t="s">
        <v>603</v>
      </c>
      <c r="H2129" s="473" t="s">
        <v>1071</v>
      </c>
      <c r="I2129" s="307">
        <v>1000</v>
      </c>
      <c r="J2129" s="307">
        <v>8000</v>
      </c>
      <c r="K2129" s="532">
        <f>ROUND(I2129*J2129,0)</f>
        <v>8000000</v>
      </c>
      <c r="L2129" s="534" t="s">
        <v>292</v>
      </c>
      <c r="M2129" s="534" t="s">
        <v>8</v>
      </c>
      <c r="N2129" s="525" t="str">
        <f>IF(AND('331-CT'!$E$7=TH!H2129,OR(L2129="331",M2129="331")),"331",IF(AND(OR(L2129="131",M2129="131"),H2129='131-CT'!$E$7),"131",""))</f>
        <v/>
      </c>
      <c r="O2129" s="525" t="str">
        <f>IF(AND($B2129&gt;='111'!$N$11,$B2129&lt;='111'!$O$11,OR($L2129=$O$7,$M2129=$O$7)),"x","")</f>
        <v/>
      </c>
      <c r="P2129" s="525" t="str">
        <f>IF(AND($L2129=$O$7,$B2129&lt;'111'!$N$11),"x","")</f>
        <v/>
      </c>
      <c r="Q2129" s="525" t="str">
        <f>IF(AND($M2129=$O$7,$B2129&lt;'111'!$N$11),"x","")</f>
        <v/>
      </c>
      <c r="R2129" s="525" t="str">
        <f>IF(ISERROR(FIND('112'!$M$9,G2129,1)),"",IF((AND(FIND('112'!$M$9,G2129,1)&gt;=1,$B2129&gt;='112'!$N$8,$B2129&lt;='112'!$O$8,OR($L2129='112'!$I$6,$M2129='112'!$I$6))),"x",""))</f>
        <v/>
      </c>
      <c r="S2129" s="525" t="str">
        <f>IF(ISERROR(FIND('112'!$M$9,G2129,1)),"",IF((AND(LEFT(G2129,2)=LEFT('112'!$M$9,2),B2129&lt;'112'!$N$8,$L2129='112'!$I$6)),"x",""))</f>
        <v/>
      </c>
      <c r="T2129" s="525" t="str">
        <f>IF(ISERROR(FIND('112'!$M$9,G2129,1)),"",IF((AND(RIGHT(G2129,2)=RIGHT('112'!$M$9,2),B2129&lt;'112'!$N$8,$M2129='112'!$I$6)),"x",""))</f>
        <v/>
      </c>
      <c r="U2129" s="525" t="str">
        <f>IF(AND(B2129&gt;='IN-NX'!$P$3,B2129&lt;='IN-NX'!$Q$3,'IN-NX'!$D$7=D2129,OR(LEFT(L2129,2)="15",AND(LEFT(M2129,2)&lt;&gt;"15",LEFT(M2129,2)&lt;&gt;"33"))),"x","")</f>
        <v/>
      </c>
      <c r="V2129" s="525" t="str">
        <f>IF(AND(OR(LEFT(TH!L2129,2)="15",LEFT(TH!M2129,2)="15"),'152-CT'!$J$8=TH!F2129),"x","")</f>
        <v/>
      </c>
      <c r="W2129" s="525" t="str">
        <f>IF(AND(OR(LEFT(TH!L2129,2)="15",LEFT(TH!M2129,2)="15"),TK!$E$7=TH!F2129),"x","")</f>
        <v/>
      </c>
      <c r="X2129" s="525" t="str">
        <f>IF(AND('341-CT'!$E$9=H2129,OR(LEFT(L2129,3)=$X$7,LEFT(M2129,3)=$X$7)),"x","")</f>
        <v/>
      </c>
      <c r="Y2129" s="525" t="str">
        <f>IF(OR(TH!L2129=TH!$Y$7,M2129=TH!$Y$7),"x","")</f>
        <v/>
      </c>
      <c r="Z2129" s="525" t="str">
        <f>IF(AND(B2129&lt;=NKC!$N$8,B2129&gt;=NKC!$M$8),"x","")</f>
        <v/>
      </c>
      <c r="AA2129" s="535">
        <v>2</v>
      </c>
      <c r="AC2129" s="503"/>
      <c r="AE2129" s="503"/>
      <c r="AF2129" s="503"/>
      <c r="AG2129" s="503"/>
      <c r="AH2129" s="503"/>
    </row>
    <row r="2130" spans="1:34" s="536" customFormat="1" ht="15.75" customHeight="1">
      <c r="A2130" s="517" t="str">
        <f>IF(B2130&lt;&gt;"",IF(AND(B2130&gt;=_TM1,B2130&lt;=_TM2,OR(TH!L2130="1111",TH!M2130="1111")),TH!D2130,""),"")</f>
        <v/>
      </c>
      <c r="B2130" s="531">
        <f t="shared" si="197"/>
        <v>4</v>
      </c>
      <c r="C2130" s="315">
        <f t="shared" si="198"/>
        <v>42840</v>
      </c>
      <c r="D2130" s="315" t="s">
        <v>972</v>
      </c>
      <c r="E2130" s="315">
        <v>42840</v>
      </c>
      <c r="F2130" s="247" t="s">
        <v>1002</v>
      </c>
      <c r="G2130" s="541" t="s">
        <v>603</v>
      </c>
      <c r="H2130" s="473" t="s">
        <v>1071</v>
      </c>
      <c r="I2130" s="307"/>
      <c r="J2130" s="307"/>
      <c r="K2130" s="532">
        <v>1786675</v>
      </c>
      <c r="L2130" s="713" t="s">
        <v>9</v>
      </c>
      <c r="M2130" s="534" t="s">
        <v>8</v>
      </c>
      <c r="N2130" s="525" t="str">
        <f>IF(AND('331-CT'!$E$7=TH!H2130,OR(L2130="331",M2130="331")),"331",IF(AND(OR(L2130="131",M2130="131"),H2130='131-CT'!$E$7),"131",""))</f>
        <v/>
      </c>
      <c r="O2130" s="525" t="str">
        <f>IF(AND($B2130&gt;='111'!$N$11,$B2130&lt;='111'!$O$11,OR($L2130=$O$7,$M2130=$O$7)),"x","")</f>
        <v/>
      </c>
      <c r="P2130" s="525" t="str">
        <f>IF(AND($L2130=$O$7,$B2130&lt;'111'!$N$11),"x","")</f>
        <v/>
      </c>
      <c r="Q2130" s="525" t="str">
        <f>IF(AND($M2130=$O$7,$B2130&lt;'111'!$N$11),"x","")</f>
        <v/>
      </c>
      <c r="R2130" s="525" t="str">
        <f>IF(ISERROR(FIND('112'!$M$9,G2130,1)),"",IF((AND(FIND('112'!$M$9,G2130,1)&gt;=1,$B2130&gt;='112'!$N$8,$B2130&lt;='112'!$O$8,OR($L2130='112'!$I$6,$M2130='112'!$I$6))),"x",""))</f>
        <v/>
      </c>
      <c r="S2130" s="525" t="str">
        <f>IF(ISERROR(FIND('112'!$M$9,G2130,1)),"",IF((AND(LEFT(G2130,2)=LEFT('112'!$M$9,2),B2130&lt;'112'!$N$8,$L2130='112'!$I$6)),"x",""))</f>
        <v/>
      </c>
      <c r="T2130" s="525" t="str">
        <f>IF(ISERROR(FIND('112'!$M$9,G2130,1)),"",IF((AND(RIGHT(G2130,2)=RIGHT('112'!$M$9,2),B2130&lt;'112'!$N$8,$M2130='112'!$I$6)),"x",""))</f>
        <v/>
      </c>
      <c r="U2130" s="525" t="str">
        <f>IF(AND(B2130&gt;='IN-NX'!$P$3,B2130&lt;='IN-NX'!$Q$3,'IN-NX'!$D$7=D2130,OR(LEFT(L2130,2)="15",AND(LEFT(M2130,2)&lt;&gt;"15",LEFT(M2130,2)&lt;&gt;"33"))),"x","")</f>
        <v/>
      </c>
      <c r="V2130" s="525" t="str">
        <f>IF(AND(OR(LEFT(TH!L2130,2)="15",LEFT(TH!M2130,2)="15"),'152-CT'!$J$8=TH!F2130),"x","")</f>
        <v/>
      </c>
      <c r="W2130" s="525" t="str">
        <f>IF(AND(OR(LEFT(TH!L2130,2)="15",LEFT(TH!M2130,2)="15"),TK!$E$7=TH!F2130),"x","")</f>
        <v/>
      </c>
      <c r="X2130" s="525" t="str">
        <f>IF(AND('341-CT'!$E$9=H2130,OR(LEFT(L2130,3)=$X$7,LEFT(M2130,3)=$X$7)),"x","")</f>
        <v/>
      </c>
      <c r="Y2130" s="525" t="str">
        <f>IF(OR(TH!L2130=TH!$Y$7,M2130=TH!$Y$7),"x","")</f>
        <v/>
      </c>
      <c r="Z2130" s="525" t="str">
        <f>IF(AND(B2130&lt;=NKC!$N$8,B2130&gt;=NKC!$M$8),"x","")</f>
        <v/>
      </c>
      <c r="AA2130" s="535">
        <v>2</v>
      </c>
      <c r="AE2130" s="503"/>
      <c r="AF2130" s="503"/>
      <c r="AG2130" s="503"/>
      <c r="AH2130" s="503"/>
    </row>
    <row r="2131" spans="1:34" s="536" customFormat="1" ht="15.75" customHeight="1">
      <c r="A2131" s="517" t="str">
        <f>IF(B2131&lt;&gt;"",IF(AND(B2131&gt;=_TM1,B2131&lt;=_TM2,OR(TH!L2131="1111",TH!M2131="1111")),TH!D2131,""),"")</f>
        <v/>
      </c>
      <c r="B2131" s="531">
        <f t="shared" si="197"/>
        <v>4</v>
      </c>
      <c r="C2131" s="315">
        <f t="shared" si="198"/>
        <v>42841</v>
      </c>
      <c r="D2131" s="315" t="s">
        <v>973</v>
      </c>
      <c r="E2131" s="315">
        <v>42841</v>
      </c>
      <c r="F2131" s="249" t="s">
        <v>497</v>
      </c>
      <c r="G2131" s="314" t="s">
        <v>1040</v>
      </c>
      <c r="H2131" s="473" t="s">
        <v>447</v>
      </c>
      <c r="I2131" s="307">
        <v>50</v>
      </c>
      <c r="J2131" s="307">
        <v>37524</v>
      </c>
      <c r="K2131" s="532">
        <f t="shared" ref="K2131:K2144" si="200">ROUND(I2131*J2131,0)</f>
        <v>1876200</v>
      </c>
      <c r="L2131" s="534" t="s">
        <v>292</v>
      </c>
      <c r="M2131" s="534" t="s">
        <v>8</v>
      </c>
      <c r="N2131" s="525" t="str">
        <f>IF(AND('331-CT'!$E$7=TH!H2131,OR(L2131="331",M2131="331")),"331",IF(AND(OR(L2131="131",M2131="131"),H2131='131-CT'!$E$7),"131",""))</f>
        <v/>
      </c>
      <c r="O2131" s="525" t="str">
        <f>IF(AND($B2131&gt;='111'!$N$11,$B2131&lt;='111'!$O$11,OR($L2131=$O$7,$M2131=$O$7)),"x","")</f>
        <v/>
      </c>
      <c r="P2131" s="525" t="str">
        <f>IF(AND($L2131=$O$7,$B2131&lt;'111'!$N$11),"x","")</f>
        <v/>
      </c>
      <c r="Q2131" s="525" t="str">
        <f>IF(AND($M2131=$O$7,$B2131&lt;'111'!$N$11),"x","")</f>
        <v/>
      </c>
      <c r="R2131" s="525" t="str">
        <f>IF(ISERROR(FIND('112'!$M$9,G2131,1)),"",IF((AND(FIND('112'!$M$9,G2131,1)&gt;=1,$B2131&gt;='112'!$N$8,$B2131&lt;='112'!$O$8,OR($L2131='112'!$I$6,$M2131='112'!$I$6))),"x",""))</f>
        <v/>
      </c>
      <c r="S2131" s="525" t="str">
        <f>IF(ISERROR(FIND('112'!$M$9,G2131,1)),"",IF((AND(LEFT(G2131,2)=LEFT('112'!$M$9,2),B2131&lt;'112'!$N$8,$L2131='112'!$I$6)),"x",""))</f>
        <v/>
      </c>
      <c r="T2131" s="525" t="str">
        <f>IF(ISERROR(FIND('112'!$M$9,G2131,1)),"",IF((AND(RIGHT(G2131,2)=RIGHT('112'!$M$9,2),B2131&lt;'112'!$N$8,$M2131='112'!$I$6)),"x",""))</f>
        <v/>
      </c>
      <c r="U2131" s="525" t="str">
        <f>IF(AND(B2131&gt;='IN-NX'!$P$3,B2131&lt;='IN-NX'!$Q$3,'IN-NX'!$D$7=D2131,OR(LEFT(L2131,2)="15",AND(LEFT(M2131,2)&lt;&gt;"15",LEFT(M2131,2)&lt;&gt;"33"))),"x","")</f>
        <v/>
      </c>
      <c r="V2131" s="525" t="str">
        <f>IF(AND(OR(LEFT(TH!L2131,2)="15",LEFT(TH!M2131,2)="15"),'152-CT'!$J$8=TH!F2131),"x","")</f>
        <v/>
      </c>
      <c r="W2131" s="525" t="str">
        <f>IF(AND(OR(LEFT(TH!L2131,2)="15",LEFT(TH!M2131,2)="15"),TK!$E$7=TH!F2131),"x","")</f>
        <v/>
      </c>
      <c r="X2131" s="525" t="str">
        <f>IF(AND('341-CT'!$E$9=H2131,OR(LEFT(L2131,3)=$X$7,LEFT(M2131,3)=$X$7)),"x","")</f>
        <v/>
      </c>
      <c r="Y2131" s="525" t="str">
        <f>IF(OR(TH!L2131=TH!$Y$7,M2131=TH!$Y$7),"x","")</f>
        <v/>
      </c>
      <c r="Z2131" s="525" t="str">
        <f>IF(AND(B2131&lt;=NKC!$N$8,B2131&gt;=NKC!$M$8),"x","")</f>
        <v/>
      </c>
      <c r="AA2131" s="535">
        <v>2</v>
      </c>
      <c r="AC2131" s="503"/>
    </row>
    <row r="2132" spans="1:34" s="536" customFormat="1" ht="15.75" customHeight="1">
      <c r="A2132" s="517" t="str">
        <f>IF(B2132&lt;&gt;"",IF(AND(B2132&gt;=_TM1,B2132&lt;=_TM2,OR(TH!L2132="1111",TH!M2132="1111")),TH!D2132,""),"")</f>
        <v/>
      </c>
      <c r="B2132" s="531">
        <f t="shared" si="197"/>
        <v>4</v>
      </c>
      <c r="C2132" s="315">
        <f t="shared" si="198"/>
        <v>42841</v>
      </c>
      <c r="D2132" s="315" t="s">
        <v>973</v>
      </c>
      <c r="E2132" s="315">
        <v>42841</v>
      </c>
      <c r="F2132" s="249" t="s">
        <v>495</v>
      </c>
      <c r="G2132" s="314" t="s">
        <v>1040</v>
      </c>
      <c r="H2132" s="473" t="s">
        <v>447</v>
      </c>
      <c r="I2132" s="307">
        <v>50</v>
      </c>
      <c r="J2132" s="307">
        <v>24784</v>
      </c>
      <c r="K2132" s="532">
        <f t="shared" si="200"/>
        <v>1239200</v>
      </c>
      <c r="L2132" s="534" t="s">
        <v>292</v>
      </c>
      <c r="M2132" s="534" t="s">
        <v>8</v>
      </c>
      <c r="N2132" s="525" t="str">
        <f>IF(AND('331-CT'!$E$7=TH!H2132,OR(L2132="331",M2132="331")),"331",IF(AND(OR(L2132="131",M2132="131"),H2132='131-CT'!$E$7),"131",""))</f>
        <v/>
      </c>
      <c r="O2132" s="525" t="str">
        <f>IF(AND($B2132&gt;='111'!$N$11,$B2132&lt;='111'!$O$11,OR($L2132=$O$7,$M2132=$O$7)),"x","")</f>
        <v/>
      </c>
      <c r="P2132" s="525" t="str">
        <f>IF(AND($L2132=$O$7,$B2132&lt;'111'!$N$11),"x","")</f>
        <v/>
      </c>
      <c r="Q2132" s="525" t="str">
        <f>IF(AND($M2132=$O$7,$B2132&lt;'111'!$N$11),"x","")</f>
        <v/>
      </c>
      <c r="R2132" s="525" t="str">
        <f>IF(ISERROR(FIND('112'!$M$9,G2132,1)),"",IF((AND(FIND('112'!$M$9,G2132,1)&gt;=1,$B2132&gt;='112'!$N$8,$B2132&lt;='112'!$O$8,OR($L2132='112'!$I$6,$M2132='112'!$I$6))),"x",""))</f>
        <v/>
      </c>
      <c r="S2132" s="525" t="str">
        <f>IF(ISERROR(FIND('112'!$M$9,G2132,1)),"",IF((AND(LEFT(G2132,2)=LEFT('112'!$M$9,2),B2132&lt;'112'!$N$8,$L2132='112'!$I$6)),"x",""))</f>
        <v/>
      </c>
      <c r="T2132" s="525" t="str">
        <f>IF(ISERROR(FIND('112'!$M$9,G2132,1)),"",IF((AND(RIGHT(G2132,2)=RIGHT('112'!$M$9,2),B2132&lt;'112'!$N$8,$M2132='112'!$I$6)),"x",""))</f>
        <v/>
      </c>
      <c r="U2132" s="525" t="str">
        <f>IF(AND(B2132&gt;='IN-NX'!$P$3,B2132&lt;='IN-NX'!$Q$3,'IN-NX'!$D$7=D2132,OR(LEFT(L2132,2)="15",AND(LEFT(M2132,2)&lt;&gt;"15",LEFT(M2132,2)&lt;&gt;"33"))),"x","")</f>
        <v/>
      </c>
      <c r="V2132" s="525" t="str">
        <f>IF(AND(OR(LEFT(TH!L2132,2)="15",LEFT(TH!M2132,2)="15"),'152-CT'!$J$8=TH!F2132),"x","")</f>
        <v/>
      </c>
      <c r="W2132" s="525" t="str">
        <f>IF(AND(OR(LEFT(TH!L2132,2)="15",LEFT(TH!M2132,2)="15"),TK!$E$7=TH!F2132),"x","")</f>
        <v/>
      </c>
      <c r="X2132" s="525" t="str">
        <f>IF(AND('341-CT'!$E$9=H2132,OR(LEFT(L2132,3)=$X$7,LEFT(M2132,3)=$X$7)),"x","")</f>
        <v/>
      </c>
      <c r="Y2132" s="525" t="str">
        <f>IF(OR(TH!L2132=TH!$Y$7,M2132=TH!$Y$7),"x","")</f>
        <v/>
      </c>
      <c r="Z2132" s="525" t="str">
        <f>IF(AND(B2132&lt;=NKC!$N$8,B2132&gt;=NKC!$M$8),"x","")</f>
        <v/>
      </c>
      <c r="AA2132" s="535">
        <v>2</v>
      </c>
      <c r="AC2132" s="503"/>
      <c r="AD2132" s="503"/>
    </row>
    <row r="2133" spans="1:34" s="536" customFormat="1" ht="15.75" customHeight="1">
      <c r="A2133" s="517" t="str">
        <f>IF(B2133&lt;&gt;"",IF(AND(B2133&gt;=_TM1,B2133&lt;=_TM2,OR(TH!L2133="1111",TH!M2133="1111")),TH!D2133,""),"")</f>
        <v/>
      </c>
      <c r="B2133" s="531">
        <f t="shared" si="197"/>
        <v>4</v>
      </c>
      <c r="C2133" s="315">
        <f t="shared" si="198"/>
        <v>42841</v>
      </c>
      <c r="D2133" s="315" t="s">
        <v>973</v>
      </c>
      <c r="E2133" s="315">
        <v>42841</v>
      </c>
      <c r="F2133" s="249" t="s">
        <v>502</v>
      </c>
      <c r="G2133" s="314" t="s">
        <v>1040</v>
      </c>
      <c r="H2133" s="473" t="s">
        <v>447</v>
      </c>
      <c r="I2133" s="307">
        <v>100</v>
      </c>
      <c r="J2133" s="307">
        <v>13720</v>
      </c>
      <c r="K2133" s="532">
        <f t="shared" si="200"/>
        <v>1372000</v>
      </c>
      <c r="L2133" s="534" t="s">
        <v>292</v>
      </c>
      <c r="M2133" s="534" t="s">
        <v>8</v>
      </c>
      <c r="N2133" s="525" t="str">
        <f>IF(AND('331-CT'!$E$7=TH!H2133,OR(L2133="331",M2133="331")),"331",IF(AND(OR(L2133="131",M2133="131"),H2133='131-CT'!$E$7),"131",""))</f>
        <v/>
      </c>
      <c r="O2133" s="525" t="str">
        <f>IF(AND($B2133&gt;='111'!$N$11,$B2133&lt;='111'!$O$11,OR($L2133=$O$7,$M2133=$O$7)),"x","")</f>
        <v/>
      </c>
      <c r="P2133" s="525" t="str">
        <f>IF(AND($L2133=$O$7,$B2133&lt;'111'!$N$11),"x","")</f>
        <v/>
      </c>
      <c r="Q2133" s="525" t="str">
        <f>IF(AND($M2133=$O$7,$B2133&lt;'111'!$N$11),"x","")</f>
        <v/>
      </c>
      <c r="R2133" s="525" t="str">
        <f>IF(ISERROR(FIND('112'!$M$9,G2133,1)),"",IF((AND(FIND('112'!$M$9,G2133,1)&gt;=1,$B2133&gt;='112'!$N$8,$B2133&lt;='112'!$O$8,OR($L2133='112'!$I$6,$M2133='112'!$I$6))),"x",""))</f>
        <v/>
      </c>
      <c r="S2133" s="525" t="str">
        <f>IF(ISERROR(FIND('112'!$M$9,G2133,1)),"",IF((AND(LEFT(G2133,2)=LEFT('112'!$M$9,2),B2133&lt;'112'!$N$8,$L2133='112'!$I$6)),"x",""))</f>
        <v/>
      </c>
      <c r="T2133" s="525" t="str">
        <f>IF(ISERROR(FIND('112'!$M$9,G2133,1)),"",IF((AND(RIGHT(G2133,2)=RIGHT('112'!$M$9,2),B2133&lt;'112'!$N$8,$M2133='112'!$I$6)),"x",""))</f>
        <v/>
      </c>
      <c r="U2133" s="525" t="str">
        <f>IF(AND(B2133&gt;='IN-NX'!$P$3,B2133&lt;='IN-NX'!$Q$3,'IN-NX'!$D$7=D2133,OR(LEFT(L2133,2)="15",AND(LEFT(M2133,2)&lt;&gt;"15",LEFT(M2133,2)&lt;&gt;"33"))),"x","")</f>
        <v/>
      </c>
      <c r="V2133" s="525" t="str">
        <f>IF(AND(OR(LEFT(TH!L2133,2)="15",LEFT(TH!M2133,2)="15"),'152-CT'!$J$8=TH!F2133),"x","")</f>
        <v/>
      </c>
      <c r="W2133" s="525" t="str">
        <f>IF(AND(OR(LEFT(TH!L2133,2)="15",LEFT(TH!M2133,2)="15"),TK!$E$7=TH!F2133),"x","")</f>
        <v/>
      </c>
      <c r="X2133" s="525" t="str">
        <f>IF(AND('341-CT'!$E$9=H2133,OR(LEFT(L2133,3)=$X$7,LEFT(M2133,3)=$X$7)),"x","")</f>
        <v/>
      </c>
      <c r="Y2133" s="525" t="str">
        <f>IF(OR(TH!L2133=TH!$Y$7,M2133=TH!$Y$7),"x","")</f>
        <v/>
      </c>
      <c r="Z2133" s="525" t="str">
        <f>IF(AND(B2133&lt;=NKC!$N$8,B2133&gt;=NKC!$M$8),"x","")</f>
        <v/>
      </c>
      <c r="AA2133" s="535">
        <v>2</v>
      </c>
      <c r="AC2133" s="503"/>
      <c r="AD2133" s="503"/>
      <c r="AE2133" s="503"/>
    </row>
    <row r="2134" spans="1:34" s="536" customFormat="1" ht="15.75" customHeight="1">
      <c r="A2134" s="517" t="str">
        <f>IF(B2134&lt;&gt;"",IF(AND(B2134&gt;=_TM1,B2134&lt;=_TM2,OR(TH!L2134="1111",TH!M2134="1111")),TH!D2134,""),"")</f>
        <v/>
      </c>
      <c r="B2134" s="531">
        <f t="shared" si="197"/>
        <v>4</v>
      </c>
      <c r="C2134" s="315">
        <f t="shared" si="198"/>
        <v>42841</v>
      </c>
      <c r="D2134" s="315" t="s">
        <v>973</v>
      </c>
      <c r="E2134" s="315">
        <v>42841</v>
      </c>
      <c r="F2134" s="249" t="s">
        <v>1030</v>
      </c>
      <c r="G2134" s="314" t="s">
        <v>1040</v>
      </c>
      <c r="H2134" s="473" t="s">
        <v>447</v>
      </c>
      <c r="I2134" s="307">
        <v>50</v>
      </c>
      <c r="J2134" s="307">
        <v>23285</v>
      </c>
      <c r="K2134" s="532">
        <f t="shared" si="200"/>
        <v>1164250</v>
      </c>
      <c r="L2134" s="534" t="s">
        <v>292</v>
      </c>
      <c r="M2134" s="534" t="s">
        <v>8</v>
      </c>
      <c r="N2134" s="525" t="str">
        <f>IF(AND('331-CT'!$E$7=TH!H2134,OR(L2134="331",M2134="331")),"331",IF(AND(OR(L2134="131",M2134="131"),H2134='131-CT'!$E$7),"131",""))</f>
        <v/>
      </c>
      <c r="O2134" s="525" t="str">
        <f>IF(AND($B2134&gt;='111'!$N$11,$B2134&lt;='111'!$O$11,OR($L2134=$O$7,$M2134=$O$7)),"x","")</f>
        <v/>
      </c>
      <c r="P2134" s="525" t="str">
        <f>IF(AND($L2134=$O$7,$B2134&lt;'111'!$N$11),"x","")</f>
        <v/>
      </c>
      <c r="Q2134" s="525" t="str">
        <f>IF(AND($M2134=$O$7,$B2134&lt;'111'!$N$11),"x","")</f>
        <v/>
      </c>
      <c r="R2134" s="525" t="str">
        <f>IF(ISERROR(FIND('112'!$M$9,G2134,1)),"",IF((AND(FIND('112'!$M$9,G2134,1)&gt;=1,$B2134&gt;='112'!$N$8,$B2134&lt;='112'!$O$8,OR($L2134='112'!$I$6,$M2134='112'!$I$6))),"x",""))</f>
        <v/>
      </c>
      <c r="S2134" s="525" t="str">
        <f>IF(ISERROR(FIND('112'!$M$9,G2134,1)),"",IF((AND(LEFT(G2134,2)=LEFT('112'!$M$9,2),B2134&lt;'112'!$N$8,$L2134='112'!$I$6)),"x",""))</f>
        <v/>
      </c>
      <c r="T2134" s="525" t="str">
        <f>IF(ISERROR(FIND('112'!$M$9,G2134,1)),"",IF((AND(RIGHT(G2134,2)=RIGHT('112'!$M$9,2),B2134&lt;'112'!$N$8,$M2134='112'!$I$6)),"x",""))</f>
        <v/>
      </c>
      <c r="U2134" s="525" t="str">
        <f>IF(AND(B2134&gt;='IN-NX'!$P$3,B2134&lt;='IN-NX'!$Q$3,'IN-NX'!$D$7=D2134,OR(LEFT(L2134,2)="15",AND(LEFT(M2134,2)&lt;&gt;"15",LEFT(M2134,2)&lt;&gt;"33"))),"x","")</f>
        <v/>
      </c>
      <c r="V2134" s="525" t="str">
        <f>IF(AND(OR(LEFT(TH!L2134,2)="15",LEFT(TH!M2134,2)="15"),'152-CT'!$J$8=TH!F2134),"x","")</f>
        <v/>
      </c>
      <c r="W2134" s="525" t="str">
        <f>IF(AND(OR(LEFT(TH!L2134,2)="15",LEFT(TH!M2134,2)="15"),TK!$E$7=TH!F2134),"x","")</f>
        <v/>
      </c>
      <c r="X2134" s="525" t="str">
        <f>IF(AND('341-CT'!$E$9=H2134,OR(LEFT(L2134,3)=$X$7,LEFT(M2134,3)=$X$7)),"x","")</f>
        <v/>
      </c>
      <c r="Y2134" s="525" t="str">
        <f>IF(OR(TH!L2134=TH!$Y$7,M2134=TH!$Y$7),"x","")</f>
        <v/>
      </c>
      <c r="Z2134" s="525" t="str">
        <f>IF(AND(B2134&lt;=NKC!$N$8,B2134&gt;=NKC!$M$8),"x","")</f>
        <v/>
      </c>
      <c r="AA2134" s="535">
        <v>2</v>
      </c>
      <c r="AC2134" s="503"/>
      <c r="AD2134" s="503"/>
      <c r="AE2134" s="503"/>
    </row>
    <row r="2135" spans="1:34" s="536" customFormat="1" ht="15.75" customHeight="1">
      <c r="A2135" s="517" t="str">
        <f>IF(B2135&lt;&gt;"",IF(AND(B2135&gt;=_TM1,B2135&lt;=_TM2,OR(TH!L2135="1111",TH!M2135="1111")),TH!D2135,""),"")</f>
        <v/>
      </c>
      <c r="B2135" s="531">
        <f t="shared" si="197"/>
        <v>4</v>
      </c>
      <c r="C2135" s="315">
        <f t="shared" si="198"/>
        <v>42841</v>
      </c>
      <c r="D2135" s="315" t="s">
        <v>973</v>
      </c>
      <c r="E2135" s="315">
        <v>42841</v>
      </c>
      <c r="F2135" s="249" t="s">
        <v>273</v>
      </c>
      <c r="G2135" s="314" t="s">
        <v>1040</v>
      </c>
      <c r="H2135" s="473" t="s">
        <v>447</v>
      </c>
      <c r="I2135" s="307">
        <v>4700</v>
      </c>
      <c r="J2135" s="307">
        <v>20421.097872340426</v>
      </c>
      <c r="K2135" s="532">
        <f t="shared" si="200"/>
        <v>95979160</v>
      </c>
      <c r="L2135" s="534" t="s">
        <v>292</v>
      </c>
      <c r="M2135" s="534" t="s">
        <v>8</v>
      </c>
      <c r="N2135" s="525" t="str">
        <f>IF(AND('331-CT'!$E$7=TH!H2135,OR(L2135="331",M2135="331")),"331",IF(AND(OR(L2135="131",M2135="131"),H2135='131-CT'!$E$7),"131",""))</f>
        <v/>
      </c>
      <c r="O2135" s="525" t="str">
        <f>IF(AND($B2135&gt;='111'!$N$11,$B2135&lt;='111'!$O$11,OR($L2135=$O$7,$M2135=$O$7)),"x","")</f>
        <v/>
      </c>
      <c r="P2135" s="525" t="str">
        <f>IF(AND($L2135=$O$7,$B2135&lt;'111'!$N$11),"x","")</f>
        <v/>
      </c>
      <c r="Q2135" s="525" t="str">
        <f>IF(AND($M2135=$O$7,$B2135&lt;'111'!$N$11),"x","")</f>
        <v/>
      </c>
      <c r="R2135" s="525" t="str">
        <f>IF(ISERROR(FIND('112'!$M$9,G2135,1)),"",IF((AND(FIND('112'!$M$9,G2135,1)&gt;=1,$B2135&gt;='112'!$N$8,$B2135&lt;='112'!$O$8,OR($L2135='112'!$I$6,$M2135='112'!$I$6))),"x",""))</f>
        <v/>
      </c>
      <c r="S2135" s="525" t="str">
        <f>IF(ISERROR(FIND('112'!$M$9,G2135,1)),"",IF((AND(LEFT(G2135,2)=LEFT('112'!$M$9,2),B2135&lt;'112'!$N$8,$L2135='112'!$I$6)),"x",""))</f>
        <v/>
      </c>
      <c r="T2135" s="525" t="str">
        <f>IF(ISERROR(FIND('112'!$M$9,G2135,1)),"",IF((AND(RIGHT(G2135,2)=RIGHT('112'!$M$9,2),B2135&lt;'112'!$N$8,$M2135='112'!$I$6)),"x",""))</f>
        <v/>
      </c>
      <c r="U2135" s="525" t="str">
        <f>IF(AND(B2135&gt;='IN-NX'!$P$3,B2135&lt;='IN-NX'!$Q$3,'IN-NX'!$D$7=D2135,OR(LEFT(L2135,2)="15",AND(LEFT(M2135,2)&lt;&gt;"15",LEFT(M2135,2)&lt;&gt;"33"))),"x","")</f>
        <v/>
      </c>
      <c r="V2135" s="525" t="str">
        <f>IF(AND(OR(LEFT(TH!L2135,2)="15",LEFT(TH!M2135,2)="15"),'152-CT'!$J$8=TH!F2135),"x","")</f>
        <v>x</v>
      </c>
      <c r="W2135" s="525" t="str">
        <f>IF(AND(OR(LEFT(TH!L2135,2)="15",LEFT(TH!M2135,2)="15"),TK!$E$7=TH!F2135),"x","")</f>
        <v/>
      </c>
      <c r="X2135" s="525" t="str">
        <f>IF(AND('341-CT'!$E$9=H2135,OR(LEFT(L2135,3)=$X$7,LEFT(M2135,3)=$X$7)),"x","")</f>
        <v/>
      </c>
      <c r="Y2135" s="525" t="str">
        <f>IF(OR(TH!L2135=TH!$Y$7,M2135=TH!$Y$7),"x","")</f>
        <v/>
      </c>
      <c r="Z2135" s="525" t="str">
        <f>IF(AND(B2135&lt;=NKC!$N$8,B2135&gt;=NKC!$M$8),"x","")</f>
        <v/>
      </c>
      <c r="AA2135" s="535">
        <v>2</v>
      </c>
      <c r="AC2135" s="503"/>
      <c r="AD2135" s="503"/>
      <c r="AE2135" s="503"/>
    </row>
    <row r="2136" spans="1:34" s="536" customFormat="1" ht="15.75" customHeight="1">
      <c r="A2136" s="517" t="str">
        <f>IF(B2136&lt;&gt;"",IF(AND(B2136&gt;=_TM1,B2136&lt;=_TM2,OR(TH!L2136="1111",TH!M2136="1111")),TH!D2136,""),"")</f>
        <v/>
      </c>
      <c r="B2136" s="531">
        <f t="shared" si="197"/>
        <v>4</v>
      </c>
      <c r="C2136" s="315">
        <f t="shared" si="198"/>
        <v>42841</v>
      </c>
      <c r="D2136" s="315" t="s">
        <v>973</v>
      </c>
      <c r="E2136" s="315">
        <v>42841</v>
      </c>
      <c r="F2136" s="249" t="s">
        <v>1031</v>
      </c>
      <c r="G2136" s="314" t="s">
        <v>1040</v>
      </c>
      <c r="H2136" s="473" t="s">
        <v>447</v>
      </c>
      <c r="I2136" s="307">
        <v>265</v>
      </c>
      <c r="J2136" s="307">
        <v>18522</v>
      </c>
      <c r="K2136" s="532">
        <f t="shared" si="200"/>
        <v>4908330</v>
      </c>
      <c r="L2136" s="534" t="s">
        <v>292</v>
      </c>
      <c r="M2136" s="534" t="s">
        <v>8</v>
      </c>
      <c r="N2136" s="525" t="str">
        <f>IF(AND('331-CT'!$E$7=TH!H2136,OR(L2136="331",M2136="331")),"331",IF(AND(OR(L2136="131",M2136="131"),H2136='131-CT'!$E$7),"131",""))</f>
        <v/>
      </c>
      <c r="O2136" s="525" t="str">
        <f>IF(AND($B2136&gt;='111'!$N$11,$B2136&lt;='111'!$O$11,OR($L2136=$O$7,$M2136=$O$7)),"x","")</f>
        <v/>
      </c>
      <c r="P2136" s="525" t="str">
        <f>IF(AND($L2136=$O$7,$B2136&lt;'111'!$N$11),"x","")</f>
        <v/>
      </c>
      <c r="Q2136" s="525" t="str">
        <f>IF(AND($M2136=$O$7,$B2136&lt;'111'!$N$11),"x","")</f>
        <v/>
      </c>
      <c r="R2136" s="525" t="str">
        <f>IF(ISERROR(FIND('112'!$M$9,G2136,1)),"",IF((AND(FIND('112'!$M$9,G2136,1)&gt;=1,$B2136&gt;='112'!$N$8,$B2136&lt;='112'!$O$8,OR($L2136='112'!$I$6,$M2136='112'!$I$6))),"x",""))</f>
        <v/>
      </c>
      <c r="S2136" s="525" t="str">
        <f>IF(ISERROR(FIND('112'!$M$9,G2136,1)),"",IF((AND(LEFT(G2136,2)=LEFT('112'!$M$9,2),B2136&lt;'112'!$N$8,$L2136='112'!$I$6)),"x",""))</f>
        <v/>
      </c>
      <c r="T2136" s="525" t="str">
        <f>IF(ISERROR(FIND('112'!$M$9,G2136,1)),"",IF((AND(RIGHT(G2136,2)=RIGHT('112'!$M$9,2),B2136&lt;'112'!$N$8,$M2136='112'!$I$6)),"x",""))</f>
        <v/>
      </c>
      <c r="U2136" s="525" t="str">
        <f>IF(AND(B2136&gt;='IN-NX'!$P$3,B2136&lt;='IN-NX'!$Q$3,'IN-NX'!$D$7=D2136,OR(LEFT(L2136,2)="15",AND(LEFT(M2136,2)&lt;&gt;"15",LEFT(M2136,2)&lt;&gt;"33"))),"x","")</f>
        <v/>
      </c>
      <c r="V2136" s="525" t="str">
        <f>IF(AND(OR(LEFT(TH!L2136,2)="15",LEFT(TH!M2136,2)="15"),'152-CT'!$J$8=TH!F2136),"x","")</f>
        <v/>
      </c>
      <c r="W2136" s="525" t="str">
        <f>IF(AND(OR(LEFT(TH!L2136,2)="15",LEFT(TH!M2136,2)="15"),TK!$E$7=TH!F2136),"x","")</f>
        <v/>
      </c>
      <c r="X2136" s="525" t="str">
        <f>IF(AND('341-CT'!$E$9=H2136,OR(LEFT(L2136,3)=$X$7,LEFT(M2136,3)=$X$7)),"x","")</f>
        <v/>
      </c>
      <c r="Y2136" s="525" t="str">
        <f>IF(OR(TH!L2136=TH!$Y$7,M2136=TH!$Y$7),"x","")</f>
        <v/>
      </c>
      <c r="Z2136" s="525" t="str">
        <f>IF(AND(B2136&lt;=NKC!$N$8,B2136&gt;=NKC!$M$8),"x","")</f>
        <v/>
      </c>
      <c r="AA2136" s="535">
        <v>2</v>
      </c>
      <c r="AC2136" s="503"/>
      <c r="AD2136" s="503"/>
      <c r="AE2136" s="503"/>
    </row>
    <row r="2137" spans="1:34" s="536" customFormat="1" ht="15.75" customHeight="1">
      <c r="A2137" s="517" t="str">
        <f>IF(B2137&lt;&gt;"",IF(AND(B2137&gt;=_TM1,B2137&lt;=_TM2,OR(TH!L2137="1111",TH!M2137="1111")),TH!D2137,""),"")</f>
        <v/>
      </c>
      <c r="B2137" s="531">
        <f t="shared" si="197"/>
        <v>4</v>
      </c>
      <c r="C2137" s="315">
        <f t="shared" si="198"/>
        <v>42841</v>
      </c>
      <c r="D2137" s="315" t="s">
        <v>973</v>
      </c>
      <c r="E2137" s="315">
        <v>42841</v>
      </c>
      <c r="F2137" s="249" t="s">
        <v>1032</v>
      </c>
      <c r="G2137" s="314" t="s">
        <v>1040</v>
      </c>
      <c r="H2137" s="473" t="s">
        <v>447</v>
      </c>
      <c r="I2137" s="307">
        <v>265</v>
      </c>
      <c r="J2137" s="307">
        <v>12397</v>
      </c>
      <c r="K2137" s="532">
        <f t="shared" si="200"/>
        <v>3285205</v>
      </c>
      <c r="L2137" s="534" t="s">
        <v>292</v>
      </c>
      <c r="M2137" s="534" t="s">
        <v>8</v>
      </c>
      <c r="N2137" s="525" t="str">
        <f>IF(AND('331-CT'!$E$7=TH!H2137,OR(L2137="331",M2137="331")),"331",IF(AND(OR(L2137="131",M2137="131"),H2137='131-CT'!$E$7),"131",""))</f>
        <v/>
      </c>
      <c r="O2137" s="525" t="str">
        <f>IF(AND($B2137&gt;='111'!$N$11,$B2137&lt;='111'!$O$11,OR($L2137=$O$7,$M2137=$O$7)),"x","")</f>
        <v/>
      </c>
      <c r="P2137" s="525" t="str">
        <f>IF(AND($L2137=$O$7,$B2137&lt;'111'!$N$11),"x","")</f>
        <v/>
      </c>
      <c r="Q2137" s="525" t="str">
        <f>IF(AND($M2137=$O$7,$B2137&lt;'111'!$N$11),"x","")</f>
        <v/>
      </c>
      <c r="R2137" s="525" t="str">
        <f>IF(ISERROR(FIND('112'!$M$9,G2137,1)),"",IF((AND(FIND('112'!$M$9,G2137,1)&gt;=1,$B2137&gt;='112'!$N$8,$B2137&lt;='112'!$O$8,OR($L2137='112'!$I$6,$M2137='112'!$I$6))),"x",""))</f>
        <v/>
      </c>
      <c r="S2137" s="525" t="str">
        <f>IF(ISERROR(FIND('112'!$M$9,G2137,1)),"",IF((AND(LEFT(G2137,2)=LEFT('112'!$M$9,2),B2137&lt;'112'!$N$8,$L2137='112'!$I$6)),"x",""))</f>
        <v/>
      </c>
      <c r="T2137" s="525" t="str">
        <f>IF(ISERROR(FIND('112'!$M$9,G2137,1)),"",IF((AND(RIGHT(G2137,2)=RIGHT('112'!$M$9,2),B2137&lt;'112'!$N$8,$M2137='112'!$I$6)),"x",""))</f>
        <v/>
      </c>
      <c r="U2137" s="525" t="str">
        <f>IF(AND(B2137&gt;='IN-NX'!$P$3,B2137&lt;='IN-NX'!$Q$3,'IN-NX'!$D$7=D2137,OR(LEFT(L2137,2)="15",AND(LEFT(M2137,2)&lt;&gt;"15",LEFT(M2137,2)&lt;&gt;"33"))),"x","")</f>
        <v/>
      </c>
      <c r="V2137" s="525" t="str">
        <f>IF(AND(OR(LEFT(TH!L2137,2)="15",LEFT(TH!M2137,2)="15"),'152-CT'!$J$8=TH!F2137),"x","")</f>
        <v/>
      </c>
      <c r="W2137" s="525" t="str">
        <f>IF(AND(OR(LEFT(TH!L2137,2)="15",LEFT(TH!M2137,2)="15"),TK!$E$7=TH!F2137),"x","")</f>
        <v/>
      </c>
      <c r="X2137" s="525" t="str">
        <f>IF(AND('341-CT'!$E$9=H2137,OR(LEFT(L2137,3)=$X$7,LEFT(M2137,3)=$X$7)),"x","")</f>
        <v/>
      </c>
      <c r="Y2137" s="525" t="str">
        <f>IF(OR(TH!L2137=TH!$Y$7,M2137=TH!$Y$7),"x","")</f>
        <v/>
      </c>
      <c r="Z2137" s="525" t="str">
        <f>IF(AND(B2137&lt;=NKC!$N$8,B2137&gt;=NKC!$M$8),"x","")</f>
        <v/>
      </c>
      <c r="AA2137" s="535">
        <v>2</v>
      </c>
      <c r="AC2137" s="503"/>
      <c r="AD2137" s="503"/>
      <c r="AE2137" s="503"/>
    </row>
    <row r="2138" spans="1:34" s="536" customFormat="1" ht="15.75" customHeight="1">
      <c r="A2138" s="517" t="str">
        <f>IF(B2138&lt;&gt;"",IF(AND(B2138&gt;=_TM1,B2138&lt;=_TM2,OR(TH!L2138="1111",TH!M2138="1111")),TH!D2138,""),"")</f>
        <v/>
      </c>
      <c r="B2138" s="531">
        <f t="shared" si="197"/>
        <v>4</v>
      </c>
      <c r="C2138" s="315">
        <f t="shared" si="198"/>
        <v>42841</v>
      </c>
      <c r="D2138" s="315" t="s">
        <v>973</v>
      </c>
      <c r="E2138" s="315">
        <v>42841</v>
      </c>
      <c r="F2138" s="249" t="s">
        <v>1033</v>
      </c>
      <c r="G2138" s="314" t="s">
        <v>1040</v>
      </c>
      <c r="H2138" s="473" t="s">
        <v>447</v>
      </c>
      <c r="I2138" s="307">
        <v>325</v>
      </c>
      <c r="J2138" s="307">
        <v>24794</v>
      </c>
      <c r="K2138" s="532">
        <f t="shared" si="200"/>
        <v>8058050</v>
      </c>
      <c r="L2138" s="534" t="s">
        <v>292</v>
      </c>
      <c r="M2138" s="534" t="s">
        <v>8</v>
      </c>
      <c r="N2138" s="525" t="str">
        <f>IF(AND('331-CT'!$E$7=TH!H2138,OR(L2138="331",M2138="331")),"331",IF(AND(OR(L2138="131",M2138="131"),H2138='131-CT'!$E$7),"131",""))</f>
        <v/>
      </c>
      <c r="O2138" s="525" t="str">
        <f>IF(AND($B2138&gt;='111'!$N$11,$B2138&lt;='111'!$O$11,OR($L2138=$O$7,$M2138=$O$7)),"x","")</f>
        <v/>
      </c>
      <c r="P2138" s="525" t="str">
        <f>IF(AND($L2138=$O$7,$B2138&lt;'111'!$N$11),"x","")</f>
        <v/>
      </c>
      <c r="Q2138" s="525" t="str">
        <f>IF(AND($M2138=$O$7,$B2138&lt;'111'!$N$11),"x","")</f>
        <v/>
      </c>
      <c r="R2138" s="525" t="str">
        <f>IF(ISERROR(FIND('112'!$M$9,G2138,1)),"",IF((AND(FIND('112'!$M$9,G2138,1)&gt;=1,$B2138&gt;='112'!$N$8,$B2138&lt;='112'!$O$8,OR($L2138='112'!$I$6,$M2138='112'!$I$6))),"x",""))</f>
        <v/>
      </c>
      <c r="S2138" s="525" t="str">
        <f>IF(ISERROR(FIND('112'!$M$9,G2138,1)),"",IF((AND(LEFT(G2138,2)=LEFT('112'!$M$9,2),B2138&lt;'112'!$N$8,$L2138='112'!$I$6)),"x",""))</f>
        <v/>
      </c>
      <c r="T2138" s="525" t="str">
        <f>IF(ISERROR(FIND('112'!$M$9,G2138,1)),"",IF((AND(RIGHT(G2138,2)=RIGHT('112'!$M$9,2),B2138&lt;'112'!$N$8,$M2138='112'!$I$6)),"x",""))</f>
        <v/>
      </c>
      <c r="U2138" s="525" t="str">
        <f>IF(AND(B2138&gt;='IN-NX'!$P$3,B2138&lt;='IN-NX'!$Q$3,'IN-NX'!$D$7=D2138,OR(LEFT(L2138,2)="15",AND(LEFT(M2138,2)&lt;&gt;"15",LEFT(M2138,2)&lt;&gt;"33"))),"x","")</f>
        <v/>
      </c>
      <c r="V2138" s="525" t="str">
        <f>IF(AND(OR(LEFT(TH!L2138,2)="15",LEFT(TH!M2138,2)="15"),'152-CT'!$J$8=TH!F2138),"x","")</f>
        <v/>
      </c>
      <c r="W2138" s="525" t="str">
        <f>IF(AND(OR(LEFT(TH!L2138,2)="15",LEFT(TH!M2138,2)="15"),TK!$E$7=TH!F2138),"x","")</f>
        <v/>
      </c>
      <c r="X2138" s="525" t="str">
        <f>IF(AND('341-CT'!$E$9=H2138,OR(LEFT(L2138,3)=$X$7,LEFT(M2138,3)=$X$7)),"x","")</f>
        <v/>
      </c>
      <c r="Y2138" s="525" t="str">
        <f>IF(OR(TH!L2138=TH!$Y$7,M2138=TH!$Y$7),"x","")</f>
        <v/>
      </c>
      <c r="Z2138" s="525" t="str">
        <f>IF(AND(B2138&lt;=NKC!$N$8,B2138&gt;=NKC!$M$8),"x","")</f>
        <v/>
      </c>
      <c r="AA2138" s="535">
        <v>2</v>
      </c>
      <c r="AC2138" s="503"/>
      <c r="AD2138" s="503"/>
    </row>
    <row r="2139" spans="1:34" s="536" customFormat="1" ht="15.75" customHeight="1">
      <c r="A2139" s="517" t="str">
        <f>IF(B2139&lt;&gt;"",IF(AND(B2139&gt;=_TM1,B2139&lt;=_TM2,OR(TH!L2139="1111",TH!M2139="1111")),TH!D2139,""),"")</f>
        <v/>
      </c>
      <c r="B2139" s="531">
        <f t="shared" si="197"/>
        <v>4</v>
      </c>
      <c r="C2139" s="315">
        <f t="shared" si="198"/>
        <v>42841</v>
      </c>
      <c r="D2139" s="315" t="s">
        <v>973</v>
      </c>
      <c r="E2139" s="315">
        <v>42841</v>
      </c>
      <c r="F2139" s="249" t="s">
        <v>1034</v>
      </c>
      <c r="G2139" s="314" t="s">
        <v>1040</v>
      </c>
      <c r="H2139" s="473" t="s">
        <v>447</v>
      </c>
      <c r="I2139" s="307">
        <v>325</v>
      </c>
      <c r="J2139" s="307">
        <v>21364</v>
      </c>
      <c r="K2139" s="532">
        <f t="shared" si="200"/>
        <v>6943300</v>
      </c>
      <c r="L2139" s="534" t="s">
        <v>292</v>
      </c>
      <c r="M2139" s="534" t="s">
        <v>8</v>
      </c>
      <c r="N2139" s="525" t="str">
        <f>IF(AND('331-CT'!$E$7=TH!H2139,OR(L2139="331",M2139="331")),"331",IF(AND(OR(L2139="131",M2139="131"),H2139='131-CT'!$E$7),"131",""))</f>
        <v/>
      </c>
      <c r="O2139" s="525" t="str">
        <f>IF(AND($B2139&gt;='111'!$N$11,$B2139&lt;='111'!$O$11,OR($L2139=$O$7,$M2139=$O$7)),"x","")</f>
        <v/>
      </c>
      <c r="P2139" s="525" t="str">
        <f>IF(AND($L2139=$O$7,$B2139&lt;'111'!$N$11),"x","")</f>
        <v/>
      </c>
      <c r="Q2139" s="525" t="str">
        <f>IF(AND($M2139=$O$7,$B2139&lt;'111'!$N$11),"x","")</f>
        <v/>
      </c>
      <c r="R2139" s="525" t="str">
        <f>IF(ISERROR(FIND('112'!$M$9,G2139,1)),"",IF((AND(FIND('112'!$M$9,G2139,1)&gt;=1,$B2139&gt;='112'!$N$8,$B2139&lt;='112'!$O$8,OR($L2139='112'!$I$6,$M2139='112'!$I$6))),"x",""))</f>
        <v/>
      </c>
      <c r="S2139" s="525" t="str">
        <f>IF(ISERROR(FIND('112'!$M$9,G2139,1)),"",IF((AND(LEFT(G2139,2)=LEFT('112'!$M$9,2),B2139&lt;'112'!$N$8,$L2139='112'!$I$6)),"x",""))</f>
        <v/>
      </c>
      <c r="T2139" s="525" t="str">
        <f>IF(ISERROR(FIND('112'!$M$9,G2139,1)),"",IF((AND(RIGHT(G2139,2)=RIGHT('112'!$M$9,2),B2139&lt;'112'!$N$8,$M2139='112'!$I$6)),"x",""))</f>
        <v/>
      </c>
      <c r="U2139" s="525" t="str">
        <f>IF(AND(B2139&gt;='IN-NX'!$P$3,B2139&lt;='IN-NX'!$Q$3,'IN-NX'!$D$7=D2139,OR(LEFT(L2139,2)="15",AND(LEFT(M2139,2)&lt;&gt;"15",LEFT(M2139,2)&lt;&gt;"33"))),"x","")</f>
        <v/>
      </c>
      <c r="V2139" s="525" t="str">
        <f>IF(AND(OR(LEFT(TH!L2139,2)="15",LEFT(TH!M2139,2)="15"),'152-CT'!$J$8=TH!F2139),"x","")</f>
        <v/>
      </c>
      <c r="W2139" s="525" t="str">
        <f>IF(AND(OR(LEFT(TH!L2139,2)="15",LEFT(TH!M2139,2)="15"),TK!$E$7=TH!F2139),"x","")</f>
        <v/>
      </c>
      <c r="X2139" s="525" t="str">
        <f>IF(AND('341-CT'!$E$9=H2139,OR(LEFT(L2139,3)=$X$7,LEFT(M2139,3)=$X$7)),"x","")</f>
        <v/>
      </c>
      <c r="Y2139" s="525" t="str">
        <f>IF(OR(TH!L2139=TH!$Y$7,M2139=TH!$Y$7),"x","")</f>
        <v/>
      </c>
      <c r="Z2139" s="525" t="str">
        <f>IF(AND(B2139&lt;=NKC!$N$8,B2139&gt;=NKC!$M$8),"x","")</f>
        <v/>
      </c>
      <c r="AA2139" s="535">
        <v>2</v>
      </c>
      <c r="AC2139" s="503"/>
      <c r="AD2139" s="503"/>
    </row>
    <row r="2140" spans="1:34" s="536" customFormat="1" ht="15.75" customHeight="1">
      <c r="A2140" s="517" t="str">
        <f>IF(B2140&lt;&gt;"",IF(AND(B2140&gt;=_TM1,B2140&lt;=_TM2,OR(TH!L2140="1111",TH!M2140="1111")),TH!D2140,""),"")</f>
        <v/>
      </c>
      <c r="B2140" s="531">
        <f t="shared" si="197"/>
        <v>4</v>
      </c>
      <c r="C2140" s="315">
        <f t="shared" si="198"/>
        <v>42841</v>
      </c>
      <c r="D2140" s="315" t="s">
        <v>973</v>
      </c>
      <c r="E2140" s="315">
        <v>42841</v>
      </c>
      <c r="F2140" s="249" t="s">
        <v>1035</v>
      </c>
      <c r="G2140" s="314" t="s">
        <v>1040</v>
      </c>
      <c r="H2140" s="473" t="s">
        <v>447</v>
      </c>
      <c r="I2140" s="307">
        <v>325</v>
      </c>
      <c r="J2140" s="307">
        <v>1372</v>
      </c>
      <c r="K2140" s="532">
        <f t="shared" si="200"/>
        <v>445900</v>
      </c>
      <c r="L2140" s="534" t="s">
        <v>292</v>
      </c>
      <c r="M2140" s="534" t="s">
        <v>8</v>
      </c>
      <c r="N2140" s="525" t="str">
        <f>IF(AND('331-CT'!$E$7=TH!H2140,OR(L2140="331",M2140="331")),"331",IF(AND(OR(L2140="131",M2140="131"),H2140='131-CT'!$E$7),"131",""))</f>
        <v/>
      </c>
      <c r="O2140" s="525" t="str">
        <f>IF(AND($B2140&gt;='111'!$N$11,$B2140&lt;='111'!$O$11,OR($L2140=$O$7,$M2140=$O$7)),"x","")</f>
        <v/>
      </c>
      <c r="P2140" s="525" t="str">
        <f>IF(AND($L2140=$O$7,$B2140&lt;'111'!$N$11),"x","")</f>
        <v/>
      </c>
      <c r="Q2140" s="525" t="str">
        <f>IF(AND($M2140=$O$7,$B2140&lt;'111'!$N$11),"x","")</f>
        <v/>
      </c>
      <c r="R2140" s="525" t="str">
        <f>IF(ISERROR(FIND('112'!$M$9,G2140,1)),"",IF((AND(FIND('112'!$M$9,G2140,1)&gt;=1,$B2140&gt;='112'!$N$8,$B2140&lt;='112'!$O$8,OR($L2140='112'!$I$6,$M2140='112'!$I$6))),"x",""))</f>
        <v/>
      </c>
      <c r="S2140" s="525" t="str">
        <f>IF(ISERROR(FIND('112'!$M$9,G2140,1)),"",IF((AND(LEFT(G2140,2)=LEFT('112'!$M$9,2),B2140&lt;'112'!$N$8,$L2140='112'!$I$6)),"x",""))</f>
        <v/>
      </c>
      <c r="T2140" s="525" t="str">
        <f>IF(ISERROR(FIND('112'!$M$9,G2140,1)),"",IF((AND(RIGHT(G2140,2)=RIGHT('112'!$M$9,2),B2140&lt;'112'!$N$8,$M2140='112'!$I$6)),"x",""))</f>
        <v/>
      </c>
      <c r="U2140" s="525" t="str">
        <f>IF(AND(B2140&gt;='IN-NX'!$P$3,B2140&lt;='IN-NX'!$Q$3,'IN-NX'!$D$7=D2140,OR(LEFT(L2140,2)="15",AND(LEFT(M2140,2)&lt;&gt;"15",LEFT(M2140,2)&lt;&gt;"33"))),"x","")</f>
        <v/>
      </c>
      <c r="V2140" s="525" t="str">
        <f>IF(AND(OR(LEFT(TH!L2140,2)="15",LEFT(TH!M2140,2)="15"),'152-CT'!$J$8=TH!F2140),"x","")</f>
        <v/>
      </c>
      <c r="W2140" s="525" t="str">
        <f>IF(AND(OR(LEFT(TH!L2140,2)="15",LEFT(TH!M2140,2)="15"),TK!$E$7=TH!F2140),"x","")</f>
        <v/>
      </c>
      <c r="X2140" s="525" t="str">
        <f>IF(AND('341-CT'!$E$9=H2140,OR(LEFT(L2140,3)=$X$7,LEFT(M2140,3)=$X$7)),"x","")</f>
        <v/>
      </c>
      <c r="Y2140" s="525" t="str">
        <f>IF(OR(TH!L2140=TH!$Y$7,M2140=TH!$Y$7),"x","")</f>
        <v/>
      </c>
      <c r="Z2140" s="525" t="str">
        <f>IF(AND(B2140&lt;=NKC!$N$8,B2140&gt;=NKC!$M$8),"x","")</f>
        <v/>
      </c>
      <c r="AA2140" s="535">
        <v>2</v>
      </c>
      <c r="AC2140" s="503"/>
      <c r="AD2140" s="503"/>
    </row>
    <row r="2141" spans="1:34" s="536" customFormat="1" ht="15.75" customHeight="1">
      <c r="A2141" s="517" t="str">
        <f>IF(B2141&lt;&gt;"",IF(AND(B2141&gt;=_TM1,B2141&lt;=_TM2,OR(TH!L2141="1111",TH!M2141="1111")),TH!D2141,""),"")</f>
        <v/>
      </c>
      <c r="B2141" s="531">
        <f t="shared" si="197"/>
        <v>4</v>
      </c>
      <c r="C2141" s="315">
        <f t="shared" si="198"/>
        <v>42841</v>
      </c>
      <c r="D2141" s="315" t="s">
        <v>973</v>
      </c>
      <c r="E2141" s="315">
        <v>42841</v>
      </c>
      <c r="F2141" s="249" t="s">
        <v>1036</v>
      </c>
      <c r="G2141" s="314" t="s">
        <v>1040</v>
      </c>
      <c r="H2141" s="473" t="s">
        <v>447</v>
      </c>
      <c r="I2141" s="307">
        <v>325</v>
      </c>
      <c r="J2141" s="307">
        <v>1049</v>
      </c>
      <c r="K2141" s="532">
        <f t="shared" si="200"/>
        <v>340925</v>
      </c>
      <c r="L2141" s="534" t="s">
        <v>292</v>
      </c>
      <c r="M2141" s="534" t="s">
        <v>8</v>
      </c>
      <c r="N2141" s="525" t="str">
        <f>IF(AND('331-CT'!$E$7=TH!H2141,OR(L2141="331",M2141="331")),"331",IF(AND(OR(L2141="131",M2141="131"),H2141='131-CT'!$E$7),"131",""))</f>
        <v/>
      </c>
      <c r="O2141" s="525" t="str">
        <f>IF(AND($B2141&gt;='111'!$N$11,$B2141&lt;='111'!$O$11,OR($L2141=$O$7,$M2141=$O$7)),"x","")</f>
        <v/>
      </c>
      <c r="P2141" s="525" t="str">
        <f>IF(AND($L2141=$O$7,$B2141&lt;'111'!$N$11),"x","")</f>
        <v/>
      </c>
      <c r="Q2141" s="525" t="str">
        <f>IF(AND($M2141=$O$7,$B2141&lt;'111'!$N$11),"x","")</f>
        <v/>
      </c>
      <c r="R2141" s="525" t="str">
        <f>IF(ISERROR(FIND('112'!$M$9,G2141,1)),"",IF((AND(FIND('112'!$M$9,G2141,1)&gt;=1,$B2141&gt;='112'!$N$8,$B2141&lt;='112'!$O$8,OR($L2141='112'!$I$6,$M2141='112'!$I$6))),"x",""))</f>
        <v/>
      </c>
      <c r="S2141" s="525" t="str">
        <f>IF(ISERROR(FIND('112'!$M$9,G2141,1)),"",IF((AND(LEFT(G2141,2)=LEFT('112'!$M$9,2),B2141&lt;'112'!$N$8,$L2141='112'!$I$6)),"x",""))</f>
        <v/>
      </c>
      <c r="T2141" s="525" t="str">
        <f>IF(ISERROR(FIND('112'!$M$9,G2141,1)),"",IF((AND(RIGHT(G2141,2)=RIGHT('112'!$M$9,2),B2141&lt;'112'!$N$8,$M2141='112'!$I$6)),"x",""))</f>
        <v/>
      </c>
      <c r="U2141" s="525" t="str">
        <f>IF(AND(B2141&gt;='IN-NX'!$P$3,B2141&lt;='IN-NX'!$Q$3,'IN-NX'!$D$7=D2141,OR(LEFT(L2141,2)="15",AND(LEFT(M2141,2)&lt;&gt;"15",LEFT(M2141,2)&lt;&gt;"33"))),"x","")</f>
        <v/>
      </c>
      <c r="V2141" s="525" t="str">
        <f>IF(AND(OR(LEFT(TH!L2141,2)="15",LEFT(TH!M2141,2)="15"),'152-CT'!$J$8=TH!F2141),"x","")</f>
        <v/>
      </c>
      <c r="W2141" s="525" t="str">
        <f>IF(AND(OR(LEFT(TH!L2141,2)="15",LEFT(TH!M2141,2)="15"),TK!$E$7=TH!F2141),"x","")</f>
        <v/>
      </c>
      <c r="X2141" s="525" t="str">
        <f>IF(AND('341-CT'!$E$9=H2141,OR(LEFT(L2141,3)=$X$7,LEFT(M2141,3)=$X$7)),"x","")</f>
        <v/>
      </c>
      <c r="Y2141" s="525" t="str">
        <f>IF(OR(TH!L2141=TH!$Y$7,M2141=TH!$Y$7),"x","")</f>
        <v/>
      </c>
      <c r="Z2141" s="525" t="str">
        <f>IF(AND(B2141&lt;=NKC!$N$8,B2141&gt;=NKC!$M$8),"x","")</f>
        <v/>
      </c>
      <c r="AA2141" s="535">
        <v>2</v>
      </c>
      <c r="AC2141" s="503"/>
      <c r="AD2141" s="503"/>
    </row>
    <row r="2142" spans="1:34" s="536" customFormat="1" ht="15.75" customHeight="1">
      <c r="A2142" s="517" t="str">
        <f>IF(B2142&lt;&gt;"",IF(AND(B2142&gt;=_TM1,B2142&lt;=_TM2,OR(TH!L2142="1111",TH!M2142="1111")),TH!D2142,""),"")</f>
        <v/>
      </c>
      <c r="B2142" s="531">
        <f t="shared" si="197"/>
        <v>4</v>
      </c>
      <c r="C2142" s="315">
        <f t="shared" si="198"/>
        <v>42841</v>
      </c>
      <c r="D2142" s="315" t="s">
        <v>973</v>
      </c>
      <c r="E2142" s="315">
        <v>42841</v>
      </c>
      <c r="F2142" s="249" t="s">
        <v>1037</v>
      </c>
      <c r="G2142" s="314" t="s">
        <v>1040</v>
      </c>
      <c r="H2142" s="473" t="s">
        <v>447</v>
      </c>
      <c r="I2142" s="307">
        <v>300</v>
      </c>
      <c r="J2142" s="307">
        <v>10388</v>
      </c>
      <c r="K2142" s="532">
        <f t="shared" si="200"/>
        <v>3116400</v>
      </c>
      <c r="L2142" s="534" t="s">
        <v>292</v>
      </c>
      <c r="M2142" s="534" t="s">
        <v>8</v>
      </c>
      <c r="N2142" s="525" t="str">
        <f>IF(AND('331-CT'!$E$7=TH!H2142,OR(L2142="331",M2142="331")),"331",IF(AND(OR(L2142="131",M2142="131"),H2142='131-CT'!$E$7),"131",""))</f>
        <v/>
      </c>
      <c r="O2142" s="525" t="str">
        <f>IF(AND($B2142&gt;='111'!$N$11,$B2142&lt;='111'!$O$11,OR($L2142=$O$7,$M2142=$O$7)),"x","")</f>
        <v/>
      </c>
      <c r="P2142" s="525" t="str">
        <f>IF(AND($L2142=$O$7,$B2142&lt;'111'!$N$11),"x","")</f>
        <v/>
      </c>
      <c r="Q2142" s="525" t="str">
        <f>IF(AND($M2142=$O$7,$B2142&lt;'111'!$N$11),"x","")</f>
        <v/>
      </c>
      <c r="R2142" s="525" t="str">
        <f>IF(ISERROR(FIND('112'!$M$9,G2142,1)),"",IF((AND(FIND('112'!$M$9,G2142,1)&gt;=1,$B2142&gt;='112'!$N$8,$B2142&lt;='112'!$O$8,OR($L2142='112'!$I$6,$M2142='112'!$I$6))),"x",""))</f>
        <v/>
      </c>
      <c r="S2142" s="525" t="str">
        <f>IF(ISERROR(FIND('112'!$M$9,G2142,1)),"",IF((AND(LEFT(G2142,2)=LEFT('112'!$M$9,2),B2142&lt;'112'!$N$8,$L2142='112'!$I$6)),"x",""))</f>
        <v/>
      </c>
      <c r="T2142" s="525" t="str">
        <f>IF(ISERROR(FIND('112'!$M$9,G2142,1)),"",IF((AND(RIGHT(G2142,2)=RIGHT('112'!$M$9,2),B2142&lt;'112'!$N$8,$M2142='112'!$I$6)),"x",""))</f>
        <v/>
      </c>
      <c r="U2142" s="525" t="str">
        <f>IF(AND(B2142&gt;='IN-NX'!$P$3,B2142&lt;='IN-NX'!$Q$3,'IN-NX'!$D$7=D2142,OR(LEFT(L2142,2)="15",AND(LEFT(M2142,2)&lt;&gt;"15",LEFT(M2142,2)&lt;&gt;"33"))),"x","")</f>
        <v/>
      </c>
      <c r="V2142" s="525" t="str">
        <f>IF(AND(OR(LEFT(TH!L2142,2)="15",LEFT(TH!M2142,2)="15"),'152-CT'!$J$8=TH!F2142),"x","")</f>
        <v/>
      </c>
      <c r="W2142" s="525" t="str">
        <f>IF(AND(OR(LEFT(TH!L2142,2)="15",LEFT(TH!M2142,2)="15"),TK!$E$7=TH!F2142),"x","")</f>
        <v/>
      </c>
      <c r="X2142" s="525" t="str">
        <f>IF(AND('341-CT'!$E$9=H2142,OR(LEFT(L2142,3)=$X$7,LEFT(M2142,3)=$X$7)),"x","")</f>
        <v/>
      </c>
      <c r="Y2142" s="525" t="str">
        <f>IF(OR(TH!L2142=TH!$Y$7,M2142=TH!$Y$7),"x","")</f>
        <v/>
      </c>
      <c r="Z2142" s="525" t="str">
        <f>IF(AND(B2142&lt;=NKC!$N$8,B2142&gt;=NKC!$M$8),"x","")</f>
        <v/>
      </c>
      <c r="AA2142" s="535">
        <v>2</v>
      </c>
      <c r="AC2142" s="503"/>
    </row>
    <row r="2143" spans="1:34" s="536" customFormat="1" ht="15.75" customHeight="1">
      <c r="A2143" s="517" t="str">
        <f>IF(B2143&lt;&gt;"",IF(AND(B2143&gt;=_TM1,B2143&lt;=_TM2,OR(TH!L2143="1111",TH!M2143="1111")),TH!D2143,""),"")</f>
        <v/>
      </c>
      <c r="B2143" s="531">
        <f t="shared" si="197"/>
        <v>4</v>
      </c>
      <c r="C2143" s="315">
        <f t="shared" si="198"/>
        <v>42841</v>
      </c>
      <c r="D2143" s="315" t="s">
        <v>974</v>
      </c>
      <c r="E2143" s="315">
        <v>42841</v>
      </c>
      <c r="F2143" s="249" t="s">
        <v>1038</v>
      </c>
      <c r="G2143" s="314" t="s">
        <v>1040</v>
      </c>
      <c r="H2143" s="473" t="s">
        <v>447</v>
      </c>
      <c r="I2143" s="307">
        <v>100</v>
      </c>
      <c r="J2143" s="307">
        <v>18228</v>
      </c>
      <c r="K2143" s="532">
        <f t="shared" si="200"/>
        <v>1822800</v>
      </c>
      <c r="L2143" s="534" t="s">
        <v>292</v>
      </c>
      <c r="M2143" s="534" t="s">
        <v>8</v>
      </c>
      <c r="N2143" s="525" t="str">
        <f>IF(AND('331-CT'!$E$7=TH!H2143,OR(L2143="331",M2143="331")),"331",IF(AND(OR(L2143="131",M2143="131"),H2143='131-CT'!$E$7),"131",""))</f>
        <v/>
      </c>
      <c r="O2143" s="525" t="str">
        <f>IF(AND($B2143&gt;='111'!$N$11,$B2143&lt;='111'!$O$11,OR($L2143=$O$7,$M2143=$O$7)),"x","")</f>
        <v/>
      </c>
      <c r="P2143" s="525" t="str">
        <f>IF(AND($L2143=$O$7,$B2143&lt;'111'!$N$11),"x","")</f>
        <v/>
      </c>
      <c r="Q2143" s="525" t="str">
        <f>IF(AND($M2143=$O$7,$B2143&lt;'111'!$N$11),"x","")</f>
        <v/>
      </c>
      <c r="R2143" s="525" t="str">
        <f>IF(ISERROR(FIND('112'!$M$9,G2143,1)),"",IF((AND(FIND('112'!$M$9,G2143,1)&gt;=1,$B2143&gt;='112'!$N$8,$B2143&lt;='112'!$O$8,OR($L2143='112'!$I$6,$M2143='112'!$I$6))),"x",""))</f>
        <v/>
      </c>
      <c r="S2143" s="525" t="str">
        <f>IF(ISERROR(FIND('112'!$M$9,G2143,1)),"",IF((AND(LEFT(G2143,2)=LEFT('112'!$M$9,2),B2143&lt;'112'!$N$8,$L2143='112'!$I$6)),"x",""))</f>
        <v/>
      </c>
      <c r="T2143" s="525" t="str">
        <f>IF(ISERROR(FIND('112'!$M$9,G2143,1)),"",IF((AND(RIGHT(G2143,2)=RIGHT('112'!$M$9,2),B2143&lt;'112'!$N$8,$M2143='112'!$I$6)),"x",""))</f>
        <v/>
      </c>
      <c r="U2143" s="525" t="str">
        <f>IF(AND(B2143&gt;='IN-NX'!$P$3,B2143&lt;='IN-NX'!$Q$3,'IN-NX'!$D$7=D2143,OR(LEFT(L2143,2)="15",AND(LEFT(M2143,2)&lt;&gt;"15",LEFT(M2143,2)&lt;&gt;"33"))),"x","")</f>
        <v/>
      </c>
      <c r="V2143" s="525" t="str">
        <f>IF(AND(OR(LEFT(TH!L2143,2)="15",LEFT(TH!M2143,2)="15"),'152-CT'!$J$8=TH!F2143),"x","")</f>
        <v/>
      </c>
      <c r="W2143" s="525" t="str">
        <f>IF(AND(OR(LEFT(TH!L2143,2)="15",LEFT(TH!M2143,2)="15"),TK!$E$7=TH!F2143),"x","")</f>
        <v/>
      </c>
      <c r="X2143" s="525" t="str">
        <f>IF(AND('341-CT'!$E$9=H2143,OR(LEFT(L2143,3)=$X$7,LEFT(M2143,3)=$X$7)),"x","")</f>
        <v/>
      </c>
      <c r="Y2143" s="525" t="str">
        <f>IF(OR(TH!L2143=TH!$Y$7,M2143=TH!$Y$7),"x","")</f>
        <v/>
      </c>
      <c r="Z2143" s="525" t="str">
        <f>IF(AND(B2143&lt;=NKC!$N$8,B2143&gt;=NKC!$M$8),"x","")</f>
        <v/>
      </c>
      <c r="AA2143" s="535">
        <v>2</v>
      </c>
      <c r="AC2143" s="503"/>
    </row>
    <row r="2144" spans="1:34" s="536" customFormat="1" ht="15.75" customHeight="1">
      <c r="A2144" s="517" t="str">
        <f>IF(B2144&lt;&gt;"",IF(AND(B2144&gt;=_TM1,B2144&lt;=_TM2,OR(TH!L2144="1111",TH!M2144="1111")),TH!D2144,""),"")</f>
        <v/>
      </c>
      <c r="B2144" s="531">
        <f t="shared" si="197"/>
        <v>4</v>
      </c>
      <c r="C2144" s="315">
        <f t="shared" si="198"/>
        <v>42841</v>
      </c>
      <c r="D2144" s="315" t="s">
        <v>974</v>
      </c>
      <c r="E2144" s="315">
        <v>42841</v>
      </c>
      <c r="F2144" s="249" t="s">
        <v>1039</v>
      </c>
      <c r="G2144" s="314" t="s">
        <v>1040</v>
      </c>
      <c r="H2144" s="473" t="s">
        <v>447</v>
      </c>
      <c r="I2144" s="307">
        <v>200</v>
      </c>
      <c r="J2144" s="307">
        <v>18718</v>
      </c>
      <c r="K2144" s="532">
        <f t="shared" si="200"/>
        <v>3743600</v>
      </c>
      <c r="L2144" s="534" t="s">
        <v>292</v>
      </c>
      <c r="M2144" s="534" t="s">
        <v>8</v>
      </c>
      <c r="N2144" s="525" t="str">
        <f>IF(AND('331-CT'!$E$7=TH!H2144,OR(L2144="331",M2144="331")),"331",IF(AND(OR(L2144="131",M2144="131"),H2144='131-CT'!$E$7),"131",""))</f>
        <v/>
      </c>
      <c r="O2144" s="525" t="str">
        <f>IF(AND($B2144&gt;='111'!$N$11,$B2144&lt;='111'!$O$11,OR($L2144=$O$7,$M2144=$O$7)),"x","")</f>
        <v/>
      </c>
      <c r="P2144" s="525" t="str">
        <f>IF(AND($L2144=$O$7,$B2144&lt;'111'!$N$11),"x","")</f>
        <v/>
      </c>
      <c r="Q2144" s="525" t="str">
        <f>IF(AND($M2144=$O$7,$B2144&lt;'111'!$N$11),"x","")</f>
        <v/>
      </c>
      <c r="R2144" s="525" t="str">
        <f>IF(ISERROR(FIND('112'!$M$9,G2144,1)),"",IF((AND(FIND('112'!$M$9,G2144,1)&gt;=1,$B2144&gt;='112'!$N$8,$B2144&lt;='112'!$O$8,OR($L2144='112'!$I$6,$M2144='112'!$I$6))),"x",""))</f>
        <v/>
      </c>
      <c r="S2144" s="525" t="str">
        <f>IF(ISERROR(FIND('112'!$M$9,G2144,1)),"",IF((AND(LEFT(G2144,2)=LEFT('112'!$M$9,2),B2144&lt;'112'!$N$8,$L2144='112'!$I$6)),"x",""))</f>
        <v/>
      </c>
      <c r="T2144" s="525" t="str">
        <f>IF(ISERROR(FIND('112'!$M$9,G2144,1)),"",IF((AND(RIGHT(G2144,2)=RIGHT('112'!$M$9,2),B2144&lt;'112'!$N$8,$M2144='112'!$I$6)),"x",""))</f>
        <v/>
      </c>
      <c r="U2144" s="525" t="str">
        <f>IF(AND(B2144&gt;='IN-NX'!$P$3,B2144&lt;='IN-NX'!$Q$3,'IN-NX'!$D$7=D2144,OR(LEFT(L2144,2)="15",AND(LEFT(M2144,2)&lt;&gt;"15",LEFT(M2144,2)&lt;&gt;"33"))),"x","")</f>
        <v/>
      </c>
      <c r="V2144" s="525" t="str">
        <f>IF(AND(OR(LEFT(TH!L2144,2)="15",LEFT(TH!M2144,2)="15"),'152-CT'!$J$8=TH!F2144),"x","")</f>
        <v/>
      </c>
      <c r="W2144" s="525" t="str">
        <f>IF(AND(OR(LEFT(TH!L2144,2)="15",LEFT(TH!M2144,2)="15"),TK!$E$7=TH!F2144),"x","")</f>
        <v/>
      </c>
      <c r="X2144" s="525" t="str">
        <f>IF(AND('341-CT'!$E$9=H2144,OR(LEFT(L2144,3)=$X$7,LEFT(M2144,3)=$X$7)),"x","")</f>
        <v/>
      </c>
      <c r="Y2144" s="525" t="str">
        <f>IF(OR(TH!L2144=TH!$Y$7,M2144=TH!$Y$7),"x","")</f>
        <v/>
      </c>
      <c r="Z2144" s="525" t="str">
        <f>IF(AND(B2144&lt;=NKC!$N$8,B2144&gt;=NKC!$M$8),"x","")</f>
        <v/>
      </c>
      <c r="AA2144" s="535">
        <v>2</v>
      </c>
      <c r="AC2144" s="503"/>
      <c r="AD2144" s="503"/>
    </row>
    <row r="2145" spans="1:34" s="536" customFormat="1" ht="15.75" customHeight="1">
      <c r="A2145" s="517" t="str">
        <f>IF(B2145&lt;&gt;"",IF(AND(B2145&gt;=_TM1,B2145&lt;=_TM2,OR(TH!L2145="1111",TH!M2145="1111")),TH!D2145,""),"")</f>
        <v/>
      </c>
      <c r="B2145" s="531">
        <f t="shared" si="197"/>
        <v>4</v>
      </c>
      <c r="C2145" s="315">
        <f t="shared" si="198"/>
        <v>42841</v>
      </c>
      <c r="D2145" s="315" t="s">
        <v>974</v>
      </c>
      <c r="E2145" s="315">
        <v>42841</v>
      </c>
      <c r="F2145" s="247" t="s">
        <v>1002</v>
      </c>
      <c r="G2145" s="314" t="s">
        <v>1040</v>
      </c>
      <c r="H2145" s="473" t="s">
        <v>447</v>
      </c>
      <c r="I2145" s="307"/>
      <c r="J2145" s="307"/>
      <c r="K2145" s="532">
        <v>13429532</v>
      </c>
      <c r="L2145" s="713" t="s">
        <v>9</v>
      </c>
      <c r="M2145" s="534" t="s">
        <v>8</v>
      </c>
      <c r="N2145" s="525" t="str">
        <f>IF(AND('331-CT'!$E$7=TH!H2145,OR(L2145="331",M2145="331")),"331",IF(AND(OR(L2145="131",M2145="131"),H2145='131-CT'!$E$7),"131",""))</f>
        <v/>
      </c>
      <c r="O2145" s="525" t="str">
        <f>IF(AND($B2145&gt;='111'!$N$11,$B2145&lt;='111'!$O$11,OR($L2145=$O$7,$M2145=$O$7)),"x","")</f>
        <v/>
      </c>
      <c r="P2145" s="525" t="str">
        <f>IF(AND($L2145=$O$7,$B2145&lt;'111'!$N$11),"x","")</f>
        <v/>
      </c>
      <c r="Q2145" s="525" t="str">
        <f>IF(AND($M2145=$O$7,$B2145&lt;'111'!$N$11),"x","")</f>
        <v/>
      </c>
      <c r="R2145" s="525" t="str">
        <f>IF(ISERROR(FIND('112'!$M$9,G2145,1)),"",IF((AND(FIND('112'!$M$9,G2145,1)&gt;=1,$B2145&gt;='112'!$N$8,$B2145&lt;='112'!$O$8,OR($L2145='112'!$I$6,$M2145='112'!$I$6))),"x",""))</f>
        <v/>
      </c>
      <c r="S2145" s="525" t="str">
        <f>IF(ISERROR(FIND('112'!$M$9,G2145,1)),"",IF((AND(LEFT(G2145,2)=LEFT('112'!$M$9,2),B2145&lt;'112'!$N$8,$L2145='112'!$I$6)),"x",""))</f>
        <v/>
      </c>
      <c r="T2145" s="525" t="str">
        <f>IF(ISERROR(FIND('112'!$M$9,G2145,1)),"",IF((AND(RIGHT(G2145,2)=RIGHT('112'!$M$9,2),B2145&lt;'112'!$N$8,$M2145='112'!$I$6)),"x",""))</f>
        <v/>
      </c>
      <c r="U2145" s="525" t="str">
        <f>IF(AND(B2145&gt;='IN-NX'!$P$3,B2145&lt;='IN-NX'!$Q$3,'IN-NX'!$D$7=D2145,OR(LEFT(L2145,2)="15",AND(LEFT(M2145,2)&lt;&gt;"15",LEFT(M2145,2)&lt;&gt;"33"))),"x","")</f>
        <v/>
      </c>
      <c r="V2145" s="525" t="str">
        <f>IF(AND(OR(LEFT(TH!L2145,2)="15",LEFT(TH!M2145,2)="15"),'152-CT'!$J$8=TH!F2145),"x","")</f>
        <v/>
      </c>
      <c r="W2145" s="525" t="str">
        <f>IF(AND(OR(LEFT(TH!L2145,2)="15",LEFT(TH!M2145,2)="15"),TK!$E$7=TH!F2145),"x","")</f>
        <v/>
      </c>
      <c r="X2145" s="525" t="str">
        <f>IF(AND('341-CT'!$E$9=H2145,OR(LEFT(L2145,3)=$X$7,LEFT(M2145,3)=$X$7)),"x","")</f>
        <v/>
      </c>
      <c r="Y2145" s="525" t="str">
        <f>IF(OR(TH!L2145=TH!$Y$7,M2145=TH!$Y$7),"x","")</f>
        <v/>
      </c>
      <c r="Z2145" s="525" t="str">
        <f>IF(AND(B2145&lt;=NKC!$N$8,B2145&gt;=NKC!$M$8),"x","")</f>
        <v/>
      </c>
      <c r="AA2145" s="535">
        <v>2</v>
      </c>
      <c r="AC2145" s="503"/>
      <c r="AD2145" s="503"/>
    </row>
    <row r="2146" spans="1:34" s="503" customFormat="1" ht="15.75" customHeight="1">
      <c r="A2146" s="517" t="str">
        <f>IF(B2146&lt;&gt;"",IF(AND(B2146&gt;=_TM1,B2146&lt;=_TM2,OR(TH!L2146="1111",TH!M2146="1111")),TH!D2146,""),"")</f>
        <v/>
      </c>
      <c r="B2146" s="531">
        <f t="shared" si="197"/>
        <v>4</v>
      </c>
      <c r="C2146" s="315">
        <f t="shared" si="198"/>
        <v>42842</v>
      </c>
      <c r="D2146" s="315" t="s">
        <v>975</v>
      </c>
      <c r="E2146" s="315">
        <v>42842</v>
      </c>
      <c r="F2146" s="249" t="s">
        <v>504</v>
      </c>
      <c r="G2146" s="541" t="s">
        <v>1072</v>
      </c>
      <c r="H2146" s="473" t="s">
        <v>1071</v>
      </c>
      <c r="I2146" s="307">
        <v>250</v>
      </c>
      <c r="J2146" s="307">
        <v>32350</v>
      </c>
      <c r="K2146" s="532">
        <f>ROUND(I2146*J2146,0)</f>
        <v>8087500</v>
      </c>
      <c r="L2146" s="534" t="s">
        <v>292</v>
      </c>
      <c r="M2146" s="534" t="s">
        <v>8</v>
      </c>
      <c r="N2146" s="525" t="str">
        <f>IF(AND('331-CT'!$E$7=TH!H2146,OR(L2146="331",M2146="331")),"331",IF(AND(OR(L2146="131",M2146="131"),H2146='131-CT'!$E$7),"131",""))</f>
        <v/>
      </c>
      <c r="O2146" s="525" t="str">
        <f>IF(AND($B2146&gt;='111'!$N$11,$B2146&lt;='111'!$O$11,OR($L2146=$O$7,$M2146=$O$7)),"x","")</f>
        <v/>
      </c>
      <c r="P2146" s="525" t="str">
        <f>IF(AND($L2146=$O$7,$B2146&lt;'111'!$N$11),"x","")</f>
        <v/>
      </c>
      <c r="Q2146" s="525" t="str">
        <f>IF(AND($M2146=$O$7,$B2146&lt;'111'!$N$11),"x","")</f>
        <v/>
      </c>
      <c r="R2146" s="525" t="str">
        <f>IF(ISERROR(FIND('112'!$M$9,G2146,1)),"",IF((AND(FIND('112'!$M$9,G2146,1)&gt;=1,$B2146&gt;='112'!$N$8,$B2146&lt;='112'!$O$8,OR($L2146='112'!$I$6,$M2146='112'!$I$6))),"x",""))</f>
        <v/>
      </c>
      <c r="S2146" s="525" t="str">
        <f>IF(ISERROR(FIND('112'!$M$9,G2146,1)),"",IF((AND(LEFT(G2146,2)=LEFT('112'!$M$9,2),B2146&lt;'112'!$N$8,$L2146='112'!$I$6)),"x",""))</f>
        <v/>
      </c>
      <c r="T2146" s="525" t="str">
        <f>IF(ISERROR(FIND('112'!$M$9,G2146,1)),"",IF((AND(RIGHT(G2146,2)=RIGHT('112'!$M$9,2),B2146&lt;'112'!$N$8,$M2146='112'!$I$6)),"x",""))</f>
        <v/>
      </c>
      <c r="U2146" s="525" t="str">
        <f>IF(AND(B2146&gt;='IN-NX'!$P$3,B2146&lt;='IN-NX'!$Q$3,'IN-NX'!$D$7=D2146,OR(LEFT(L2146,2)="15",AND(LEFT(M2146,2)&lt;&gt;"15",LEFT(M2146,2)&lt;&gt;"33"))),"x","")</f>
        <v/>
      </c>
      <c r="V2146" s="525" t="str">
        <f>IF(AND(OR(LEFT(TH!L2146,2)="15",LEFT(TH!M2146,2)="15"),'152-CT'!$J$8=TH!F2146),"x","")</f>
        <v/>
      </c>
      <c r="W2146" s="525" t="str">
        <f>IF(AND(OR(LEFT(TH!L2146,2)="15",LEFT(TH!M2146,2)="15"),TK!$E$7=TH!F2146),"x","")</f>
        <v/>
      </c>
      <c r="X2146" s="525" t="str">
        <f>IF(AND('341-CT'!$E$9=H2146,OR(LEFT(L2146,3)=$X$7,LEFT(M2146,3)=$X$7)),"x","")</f>
        <v/>
      </c>
      <c r="Y2146" s="525" t="str">
        <f>IF(OR(TH!L2146=TH!$Y$7,M2146=TH!$Y$7),"x","")</f>
        <v/>
      </c>
      <c r="Z2146" s="525" t="str">
        <f>IF(AND(B2146&lt;=NKC!$N$8,B2146&gt;=NKC!$M$8),"x","")</f>
        <v/>
      </c>
      <c r="AA2146" s="535">
        <v>2</v>
      </c>
      <c r="AB2146" s="536"/>
    </row>
    <row r="2147" spans="1:34" s="503" customFormat="1" ht="15.75" customHeight="1">
      <c r="A2147" s="517" t="str">
        <f>IF(B2147&lt;&gt;"",IF(AND(B2147&gt;=_TM1,B2147&lt;=_TM2,OR(TH!L2147="1111",TH!M2147="1111")),TH!D2147,""),"")</f>
        <v/>
      </c>
      <c r="B2147" s="531">
        <f t="shared" si="197"/>
        <v>4</v>
      </c>
      <c r="C2147" s="315">
        <f t="shared" si="198"/>
        <v>42842</v>
      </c>
      <c r="D2147" s="315" t="s">
        <v>975</v>
      </c>
      <c r="E2147" s="315">
        <v>42842</v>
      </c>
      <c r="F2147" s="249" t="s">
        <v>503</v>
      </c>
      <c r="G2147" s="541" t="s">
        <v>1072</v>
      </c>
      <c r="H2147" s="473" t="s">
        <v>1071</v>
      </c>
      <c r="I2147" s="307">
        <v>1000</v>
      </c>
      <c r="J2147" s="307">
        <v>8000</v>
      </c>
      <c r="K2147" s="532">
        <f>ROUND(I2147*J2147,0)</f>
        <v>8000000</v>
      </c>
      <c r="L2147" s="534" t="s">
        <v>292</v>
      </c>
      <c r="M2147" s="534" t="s">
        <v>8</v>
      </c>
      <c r="N2147" s="525" t="str">
        <f>IF(AND('331-CT'!$E$7=TH!H2147,OR(L2147="331",M2147="331")),"331",IF(AND(OR(L2147="131",M2147="131"),H2147='131-CT'!$E$7),"131",""))</f>
        <v/>
      </c>
      <c r="O2147" s="525" t="str">
        <f>IF(AND($B2147&gt;='111'!$N$11,$B2147&lt;='111'!$O$11,OR($L2147=$O$7,$M2147=$O$7)),"x","")</f>
        <v/>
      </c>
      <c r="P2147" s="525" t="str">
        <f>IF(AND($L2147=$O$7,$B2147&lt;'111'!$N$11),"x","")</f>
        <v/>
      </c>
      <c r="Q2147" s="525" t="str">
        <f>IF(AND($M2147=$O$7,$B2147&lt;'111'!$N$11),"x","")</f>
        <v/>
      </c>
      <c r="R2147" s="525" t="str">
        <f>IF(ISERROR(FIND('112'!$M$9,G2147,1)),"",IF((AND(FIND('112'!$M$9,G2147,1)&gt;=1,$B2147&gt;='112'!$N$8,$B2147&lt;='112'!$O$8,OR($L2147='112'!$I$6,$M2147='112'!$I$6))),"x",""))</f>
        <v/>
      </c>
      <c r="S2147" s="525" t="str">
        <f>IF(ISERROR(FIND('112'!$M$9,G2147,1)),"",IF((AND(LEFT(G2147,2)=LEFT('112'!$M$9,2),B2147&lt;'112'!$N$8,$L2147='112'!$I$6)),"x",""))</f>
        <v/>
      </c>
      <c r="T2147" s="525" t="str">
        <f>IF(ISERROR(FIND('112'!$M$9,G2147,1)),"",IF((AND(RIGHT(G2147,2)=RIGHT('112'!$M$9,2),B2147&lt;'112'!$N$8,$M2147='112'!$I$6)),"x",""))</f>
        <v/>
      </c>
      <c r="U2147" s="525" t="str">
        <f>IF(AND(B2147&gt;='IN-NX'!$P$3,B2147&lt;='IN-NX'!$Q$3,'IN-NX'!$D$7=D2147,OR(LEFT(L2147,2)="15",AND(LEFT(M2147,2)&lt;&gt;"15",LEFT(M2147,2)&lt;&gt;"33"))),"x","")</f>
        <v/>
      </c>
      <c r="V2147" s="525" t="str">
        <f>IF(AND(OR(LEFT(TH!L2147,2)="15",LEFT(TH!M2147,2)="15"),'152-CT'!$J$8=TH!F2147),"x","")</f>
        <v/>
      </c>
      <c r="W2147" s="525" t="str">
        <f>IF(AND(OR(LEFT(TH!L2147,2)="15",LEFT(TH!M2147,2)="15"),TK!$E$7=TH!F2147),"x","")</f>
        <v/>
      </c>
      <c r="X2147" s="525" t="str">
        <f>IF(AND('341-CT'!$E$9=H2147,OR(LEFT(L2147,3)=$X$7,LEFT(M2147,3)=$X$7)),"x","")</f>
        <v/>
      </c>
      <c r="Y2147" s="525" t="str">
        <f>IF(OR(TH!L2147=TH!$Y$7,M2147=TH!$Y$7),"x","")</f>
        <v/>
      </c>
      <c r="Z2147" s="525" t="str">
        <f>IF(AND(B2147&lt;=NKC!$N$8,B2147&gt;=NKC!$M$8),"x","")</f>
        <v/>
      </c>
      <c r="AA2147" s="535">
        <v>2</v>
      </c>
      <c r="AB2147" s="536"/>
    </row>
    <row r="2148" spans="1:34" s="503" customFormat="1" ht="15.75" customHeight="1">
      <c r="A2148" s="517" t="str">
        <f>IF(B2148&lt;&gt;"",IF(AND(B2148&gt;=_TM1,B2148&lt;=_TM2,OR(TH!L2148="1111",TH!M2148="1111")),TH!D2148,""),"")</f>
        <v/>
      </c>
      <c r="B2148" s="531">
        <f t="shared" si="197"/>
        <v>4</v>
      </c>
      <c r="C2148" s="315">
        <f t="shared" si="198"/>
        <v>42842</v>
      </c>
      <c r="D2148" s="315" t="s">
        <v>975</v>
      </c>
      <c r="E2148" s="315">
        <v>42842</v>
      </c>
      <c r="F2148" s="247" t="s">
        <v>1002</v>
      </c>
      <c r="G2148" s="541" t="s">
        <v>1072</v>
      </c>
      <c r="H2148" s="473" t="s">
        <v>1071</v>
      </c>
      <c r="I2148" s="307"/>
      <c r="J2148" s="307"/>
      <c r="K2148" s="532">
        <v>1608750</v>
      </c>
      <c r="L2148" s="713" t="s">
        <v>9</v>
      </c>
      <c r="M2148" s="534" t="s">
        <v>8</v>
      </c>
      <c r="N2148" s="525" t="str">
        <f>IF(AND('331-CT'!$E$7=TH!H2148,OR(L2148="331",M2148="331")),"331",IF(AND(OR(L2148="131",M2148="131"),H2148='131-CT'!$E$7),"131",""))</f>
        <v/>
      </c>
      <c r="O2148" s="525" t="str">
        <f>IF(AND($B2148&gt;='111'!$N$11,$B2148&lt;='111'!$O$11,OR($L2148=$O$7,$M2148=$O$7)),"x","")</f>
        <v/>
      </c>
      <c r="P2148" s="525" t="str">
        <f>IF(AND($L2148=$O$7,$B2148&lt;'111'!$N$11),"x","")</f>
        <v/>
      </c>
      <c r="Q2148" s="525" t="str">
        <f>IF(AND($M2148=$O$7,$B2148&lt;'111'!$N$11),"x","")</f>
        <v/>
      </c>
      <c r="R2148" s="525" t="str">
        <f>IF(ISERROR(FIND('112'!$M$9,G2148,1)),"",IF((AND(FIND('112'!$M$9,G2148,1)&gt;=1,$B2148&gt;='112'!$N$8,$B2148&lt;='112'!$O$8,OR($L2148='112'!$I$6,$M2148='112'!$I$6))),"x",""))</f>
        <v/>
      </c>
      <c r="S2148" s="525" t="str">
        <f>IF(ISERROR(FIND('112'!$M$9,G2148,1)),"",IF((AND(LEFT(G2148,2)=LEFT('112'!$M$9,2),B2148&lt;'112'!$N$8,$L2148='112'!$I$6)),"x",""))</f>
        <v/>
      </c>
      <c r="T2148" s="525" t="str">
        <f>IF(ISERROR(FIND('112'!$M$9,G2148,1)),"",IF((AND(RIGHT(G2148,2)=RIGHT('112'!$M$9,2),B2148&lt;'112'!$N$8,$M2148='112'!$I$6)),"x",""))</f>
        <v/>
      </c>
      <c r="U2148" s="525" t="str">
        <f>IF(AND(B2148&gt;='IN-NX'!$P$3,B2148&lt;='IN-NX'!$Q$3,'IN-NX'!$D$7=D2148,OR(LEFT(L2148,2)="15",AND(LEFT(M2148,2)&lt;&gt;"15",LEFT(M2148,2)&lt;&gt;"33"))),"x","")</f>
        <v/>
      </c>
      <c r="V2148" s="525" t="str">
        <f>IF(AND(OR(LEFT(TH!L2148,2)="15",LEFT(TH!M2148,2)="15"),'152-CT'!$J$8=TH!F2148),"x","")</f>
        <v/>
      </c>
      <c r="W2148" s="525" t="str">
        <f>IF(AND(OR(LEFT(TH!L2148,2)="15",LEFT(TH!M2148,2)="15"),TK!$E$7=TH!F2148),"x","")</f>
        <v/>
      </c>
      <c r="X2148" s="525" t="str">
        <f>IF(AND('341-CT'!$E$9=H2148,OR(LEFT(L2148,3)=$X$7,LEFT(M2148,3)=$X$7)),"x","")</f>
        <v/>
      </c>
      <c r="Y2148" s="525" t="str">
        <f>IF(OR(TH!L2148=TH!$Y$7,M2148=TH!$Y$7),"x","")</f>
        <v/>
      </c>
      <c r="Z2148" s="525" t="str">
        <f>IF(AND(B2148&lt;=NKC!$N$8,B2148&gt;=NKC!$M$8),"x","")</f>
        <v/>
      </c>
      <c r="AA2148" s="535">
        <v>2</v>
      </c>
      <c r="AB2148" s="536"/>
    </row>
    <row r="2149" spans="1:34" s="503" customFormat="1" ht="15.75" customHeight="1">
      <c r="A2149" s="517" t="str">
        <f>IF(B2149&lt;&gt;"",IF(AND(B2149&gt;=_TM1,B2149&lt;=_TM2,OR(TH!L2149="1111",TH!M2149="1111")),TH!D2149,""),"")</f>
        <v/>
      </c>
      <c r="B2149" s="531">
        <f t="shared" si="197"/>
        <v>4</v>
      </c>
      <c r="C2149" s="315">
        <f t="shared" si="198"/>
        <v>42842</v>
      </c>
      <c r="D2149" s="315" t="s">
        <v>901</v>
      </c>
      <c r="E2149" s="315">
        <v>42842</v>
      </c>
      <c r="F2149" s="249" t="s">
        <v>503</v>
      </c>
      <c r="G2149" s="314" t="s">
        <v>1104</v>
      </c>
      <c r="H2149" s="473" t="s">
        <v>375</v>
      </c>
      <c r="I2149" s="307">
        <v>1800</v>
      </c>
      <c r="J2149" s="307">
        <v>8500</v>
      </c>
      <c r="K2149" s="532">
        <f>ROUND(I2149*J2149,0)</f>
        <v>15300000</v>
      </c>
      <c r="L2149" s="534" t="s">
        <v>223</v>
      </c>
      <c r="M2149" s="534" t="s">
        <v>162</v>
      </c>
      <c r="N2149" s="525" t="str">
        <f>IF(AND('331-CT'!$E$7=TH!H2149,OR(L2149="331",M2149="331")),"331",IF(AND(OR(L2149="131",M2149="131"),H2149='131-CT'!$E$7),"131",""))</f>
        <v/>
      </c>
      <c r="O2149" s="525" t="str">
        <f>IF(AND($B2149&gt;='111'!$N$11,$B2149&lt;='111'!$O$11,OR($L2149=$O$7,$M2149=$O$7)),"x","")</f>
        <v/>
      </c>
      <c r="P2149" s="525" t="str">
        <f>IF(AND($L2149=$O$7,$B2149&lt;'111'!$N$11),"x","")</f>
        <v/>
      </c>
      <c r="Q2149" s="525" t="str">
        <f>IF(AND($M2149=$O$7,$B2149&lt;'111'!$N$11),"x","")</f>
        <v/>
      </c>
      <c r="R2149" s="525" t="str">
        <f>IF(ISERROR(FIND('112'!$M$9,G2149,1)),"",IF((AND(FIND('112'!$M$9,G2149,1)&gt;=1,$B2149&gt;='112'!$N$8,$B2149&lt;='112'!$O$8,OR($L2149='112'!$I$6,$M2149='112'!$I$6))),"x",""))</f>
        <v/>
      </c>
      <c r="S2149" s="525" t="str">
        <f>IF(ISERROR(FIND('112'!$M$9,G2149,1)),"",IF((AND(LEFT(G2149,2)=LEFT('112'!$M$9,2),B2149&lt;'112'!$N$8,$L2149='112'!$I$6)),"x",""))</f>
        <v/>
      </c>
      <c r="T2149" s="525" t="str">
        <f>IF(ISERROR(FIND('112'!$M$9,G2149,1)),"",IF((AND(RIGHT(G2149,2)=RIGHT('112'!$M$9,2),B2149&lt;'112'!$N$8,$M2149='112'!$I$6)),"x",""))</f>
        <v/>
      </c>
      <c r="U2149" s="525" t="str">
        <f>IF(AND(B2149&gt;='IN-NX'!$P$3,B2149&lt;='IN-NX'!$Q$3,'IN-NX'!$D$7=D2149,OR(LEFT(L2149,2)="15",AND(LEFT(M2149,2)&lt;&gt;"15",LEFT(M2149,2)&lt;&gt;"33"))),"x","")</f>
        <v/>
      </c>
      <c r="V2149" s="525" t="str">
        <f>IF(AND(OR(LEFT(TH!L2149,2)="15",LEFT(TH!M2149,2)="15"),'152-CT'!$J$8=TH!F2149),"x","")</f>
        <v/>
      </c>
      <c r="W2149" s="525" t="str">
        <f>IF(AND(OR(LEFT(TH!L2149,2)="15",LEFT(TH!M2149,2)="15"),TK!$E$7=TH!F2149),"x","")</f>
        <v/>
      </c>
      <c r="X2149" s="525" t="str">
        <f>IF(AND('341-CT'!$E$9=H2149,OR(LEFT(L2149,3)=$X$7,LEFT(M2149,3)=$X$7)),"x","")</f>
        <v/>
      </c>
      <c r="Y2149" s="525" t="str">
        <f>IF(OR(TH!L2149=TH!$Y$7,M2149=TH!$Y$7),"x","")</f>
        <v/>
      </c>
      <c r="Z2149" s="525" t="str">
        <f>IF(AND(B2149&lt;=NKC!$N$8,B2149&gt;=NKC!$M$8),"x","")</f>
        <v/>
      </c>
      <c r="AA2149" s="535"/>
      <c r="AB2149" s="536"/>
    </row>
    <row r="2150" spans="1:34" s="503" customFormat="1" ht="15.75" customHeight="1">
      <c r="A2150" s="517" t="str">
        <f>IF(B2150&lt;&gt;"",IF(AND(B2150&gt;=_TM1,B2150&lt;=_TM2,OR(TH!L2150="1111",TH!M2150="1111")),TH!D2150,""),"")</f>
        <v/>
      </c>
      <c r="B2150" s="531">
        <f t="shared" si="197"/>
        <v>4</v>
      </c>
      <c r="C2150" s="315">
        <f t="shared" si="198"/>
        <v>42842</v>
      </c>
      <c r="D2150" s="315" t="s">
        <v>901</v>
      </c>
      <c r="E2150" s="315">
        <v>42842</v>
      </c>
      <c r="F2150" s="249" t="s">
        <v>501</v>
      </c>
      <c r="G2150" s="314" t="s">
        <v>1104</v>
      </c>
      <c r="H2150" s="473" t="s">
        <v>375</v>
      </c>
      <c r="I2150" s="307"/>
      <c r="J2150" s="307"/>
      <c r="K2150" s="532">
        <v>1530000</v>
      </c>
      <c r="L2150" s="534" t="s">
        <v>223</v>
      </c>
      <c r="M2150" s="534" t="s">
        <v>259</v>
      </c>
      <c r="N2150" s="525" t="str">
        <f>IF(AND('331-CT'!$E$7=TH!H2150,OR(L2150="331",M2150="331")),"331",IF(AND(OR(L2150="131",M2150="131"),H2150='131-CT'!$E$7),"131",""))</f>
        <v/>
      </c>
      <c r="O2150" s="525" t="str">
        <f>IF(AND($B2150&gt;='111'!$N$11,$B2150&lt;='111'!$O$11,OR($L2150=$O$7,$M2150=$O$7)),"x","")</f>
        <v/>
      </c>
      <c r="P2150" s="525" t="str">
        <f>IF(AND($L2150=$O$7,$B2150&lt;'111'!$N$11),"x","")</f>
        <v/>
      </c>
      <c r="Q2150" s="525" t="str">
        <f>IF(AND($M2150=$O$7,$B2150&lt;'111'!$N$11),"x","")</f>
        <v/>
      </c>
      <c r="R2150" s="525" t="str">
        <f>IF(ISERROR(FIND('112'!$M$9,G2150,1)),"",IF((AND(FIND('112'!$M$9,G2150,1)&gt;=1,$B2150&gt;='112'!$N$8,$B2150&lt;='112'!$O$8,OR($L2150='112'!$I$6,$M2150='112'!$I$6))),"x",""))</f>
        <v/>
      </c>
      <c r="S2150" s="525" t="str">
        <f>IF(ISERROR(FIND('112'!$M$9,G2150,1)),"",IF((AND(LEFT(G2150,2)=LEFT('112'!$M$9,2),B2150&lt;'112'!$N$8,$L2150='112'!$I$6)),"x",""))</f>
        <v/>
      </c>
      <c r="T2150" s="525" t="str">
        <f>IF(ISERROR(FIND('112'!$M$9,G2150,1)),"",IF((AND(RIGHT(G2150,2)=RIGHT('112'!$M$9,2),B2150&lt;'112'!$N$8,$M2150='112'!$I$6)),"x",""))</f>
        <v/>
      </c>
      <c r="U2150" s="525" t="str">
        <f>IF(AND(B2150&gt;='IN-NX'!$P$3,B2150&lt;='IN-NX'!$Q$3,'IN-NX'!$D$7=D2150,OR(LEFT(L2150,2)="15",AND(LEFT(M2150,2)&lt;&gt;"15",LEFT(M2150,2)&lt;&gt;"33"))),"x","")</f>
        <v/>
      </c>
      <c r="V2150" s="525" t="str">
        <f>IF(AND(OR(LEFT(TH!L2150,2)="15",LEFT(TH!M2150,2)="15"),'152-CT'!$J$8=TH!F2150),"x","")</f>
        <v/>
      </c>
      <c r="W2150" s="525" t="str">
        <f>IF(AND(OR(LEFT(TH!L2150,2)="15",LEFT(TH!M2150,2)="15"),TK!$E$7=TH!F2150),"x","")</f>
        <v/>
      </c>
      <c r="X2150" s="525" t="str">
        <f>IF(AND('341-CT'!$E$9=H2150,OR(LEFT(L2150,3)=$X$7,LEFT(M2150,3)=$X$7)),"x","")</f>
        <v/>
      </c>
      <c r="Y2150" s="525" t="str">
        <f>IF(OR(TH!L2150=TH!$Y$7,M2150=TH!$Y$7),"x","")</f>
        <v/>
      </c>
      <c r="Z2150" s="525" t="str">
        <f>IF(AND(B2150&lt;=NKC!$N$8,B2150&gt;=NKC!$M$8),"x","")</f>
        <v/>
      </c>
      <c r="AA2150" s="535"/>
      <c r="AB2150" s="536"/>
    </row>
    <row r="2151" spans="1:34" s="503" customFormat="1" ht="15.75" customHeight="1">
      <c r="A2151" s="517" t="str">
        <f>IF(B2151&lt;&gt;"",IF(AND(B2151&gt;=_TM1,B2151&lt;=_TM2,OR(TH!L2151="1111",TH!M2151="1111")),TH!D2151,""),"")</f>
        <v/>
      </c>
      <c r="B2151" s="531">
        <f t="shared" si="197"/>
        <v>4</v>
      </c>
      <c r="C2151" s="315">
        <f t="shared" si="198"/>
        <v>42843</v>
      </c>
      <c r="D2151" s="315" t="s">
        <v>976</v>
      </c>
      <c r="E2151" s="315">
        <v>42843</v>
      </c>
      <c r="F2151" s="249" t="s">
        <v>1041</v>
      </c>
      <c r="G2151" s="314" t="s">
        <v>1051</v>
      </c>
      <c r="H2151" s="473" t="s">
        <v>447</v>
      </c>
      <c r="I2151" s="307">
        <v>12</v>
      </c>
      <c r="J2151" s="307">
        <v>21268</v>
      </c>
      <c r="K2151" s="532">
        <f t="shared" ref="K2151:K2180" si="201">ROUND(I2151*J2151,0)</f>
        <v>255216</v>
      </c>
      <c r="L2151" s="534" t="s">
        <v>292</v>
      </c>
      <c r="M2151" s="534" t="s">
        <v>8</v>
      </c>
      <c r="N2151" s="525" t="str">
        <f>IF(AND('331-CT'!$E$7=TH!H2151,OR(L2151="331",M2151="331")),"331",IF(AND(OR(L2151="131",M2151="131"),H2151='131-CT'!$E$7),"131",""))</f>
        <v/>
      </c>
      <c r="O2151" s="525" t="str">
        <f>IF(AND($B2151&gt;='111'!$N$11,$B2151&lt;='111'!$O$11,OR($L2151=$O$7,$M2151=$O$7)),"x","")</f>
        <v/>
      </c>
      <c r="P2151" s="525" t="str">
        <f>IF(AND($L2151=$O$7,$B2151&lt;'111'!$N$11),"x","")</f>
        <v/>
      </c>
      <c r="Q2151" s="525" t="str">
        <f>IF(AND($M2151=$O$7,$B2151&lt;'111'!$N$11),"x","")</f>
        <v/>
      </c>
      <c r="R2151" s="525" t="str">
        <f>IF(ISERROR(FIND('112'!$M$9,G2151,1)),"",IF((AND(FIND('112'!$M$9,G2151,1)&gt;=1,$B2151&gt;='112'!$N$8,$B2151&lt;='112'!$O$8,OR($L2151='112'!$I$6,$M2151='112'!$I$6))),"x",""))</f>
        <v/>
      </c>
      <c r="S2151" s="525" t="str">
        <f>IF(ISERROR(FIND('112'!$M$9,G2151,1)),"",IF((AND(LEFT(G2151,2)=LEFT('112'!$M$9,2),B2151&lt;'112'!$N$8,$L2151='112'!$I$6)),"x",""))</f>
        <v/>
      </c>
      <c r="T2151" s="525" t="str">
        <f>IF(ISERROR(FIND('112'!$M$9,G2151,1)),"",IF((AND(RIGHT(G2151,2)=RIGHT('112'!$M$9,2),B2151&lt;'112'!$N$8,$M2151='112'!$I$6)),"x",""))</f>
        <v/>
      </c>
      <c r="U2151" s="525" t="str">
        <f>IF(AND(B2151&gt;='IN-NX'!$P$3,B2151&lt;='IN-NX'!$Q$3,'IN-NX'!$D$7=D2151,OR(LEFT(L2151,2)="15",AND(LEFT(M2151,2)&lt;&gt;"15",LEFT(M2151,2)&lt;&gt;"33"))),"x","")</f>
        <v/>
      </c>
      <c r="V2151" s="525" t="str">
        <f>IF(AND(OR(LEFT(TH!L2151,2)="15",LEFT(TH!M2151,2)="15"),'152-CT'!$J$8=TH!F2151),"x","")</f>
        <v/>
      </c>
      <c r="W2151" s="525" t="str">
        <f>IF(AND(OR(LEFT(TH!L2151,2)="15",LEFT(TH!M2151,2)="15"),TK!$E$7=TH!F2151),"x","")</f>
        <v/>
      </c>
      <c r="X2151" s="525" t="str">
        <f>IF(AND('341-CT'!$E$9=H2151,OR(LEFT(L2151,3)=$X$7,LEFT(M2151,3)=$X$7)),"x","")</f>
        <v/>
      </c>
      <c r="Y2151" s="525" t="str">
        <f>IF(OR(TH!L2151=TH!$Y$7,M2151=TH!$Y$7),"x","")</f>
        <v/>
      </c>
      <c r="Z2151" s="525" t="str">
        <f>IF(AND(B2151&lt;=NKC!$N$8,B2151&gt;=NKC!$M$8),"x","")</f>
        <v/>
      </c>
      <c r="AA2151" s="535">
        <v>2</v>
      </c>
      <c r="AB2151" s="536"/>
      <c r="AE2151" s="536"/>
      <c r="AF2151" s="536"/>
      <c r="AG2151" s="536"/>
      <c r="AH2151" s="536"/>
    </row>
    <row r="2152" spans="1:34" s="503" customFormat="1" ht="15.75" customHeight="1">
      <c r="A2152" s="517" t="str">
        <f>IF(B2152&lt;&gt;"",IF(AND(B2152&gt;=_TM1,B2152&lt;=_TM2,OR(TH!L2152="1111",TH!M2152="1111")),TH!D2152,""),"")</f>
        <v/>
      </c>
      <c r="B2152" s="531">
        <f t="shared" si="197"/>
        <v>4</v>
      </c>
      <c r="C2152" s="315">
        <f t="shared" si="198"/>
        <v>42843</v>
      </c>
      <c r="D2152" s="315" t="s">
        <v>976</v>
      </c>
      <c r="E2152" s="315">
        <v>42843</v>
      </c>
      <c r="F2152" s="249" t="s">
        <v>665</v>
      </c>
      <c r="G2152" s="314" t="s">
        <v>1051</v>
      </c>
      <c r="H2152" s="473" t="s">
        <v>447</v>
      </c>
      <c r="I2152" s="307">
        <v>12</v>
      </c>
      <c r="J2152" s="307">
        <v>14428</v>
      </c>
      <c r="K2152" s="532">
        <f t="shared" si="201"/>
        <v>173136</v>
      </c>
      <c r="L2152" s="534" t="s">
        <v>292</v>
      </c>
      <c r="M2152" s="534" t="s">
        <v>8</v>
      </c>
      <c r="N2152" s="525" t="str">
        <f>IF(AND('331-CT'!$E$7=TH!H2152,OR(L2152="331",M2152="331")),"331",IF(AND(OR(L2152="131",M2152="131"),H2152='131-CT'!$E$7),"131",""))</f>
        <v/>
      </c>
      <c r="O2152" s="525" t="str">
        <f>IF(AND($B2152&gt;='111'!$N$11,$B2152&lt;='111'!$O$11,OR($L2152=$O$7,$M2152=$O$7)),"x","")</f>
        <v/>
      </c>
      <c r="P2152" s="525" t="str">
        <f>IF(AND($L2152=$O$7,$B2152&lt;'111'!$N$11),"x","")</f>
        <v/>
      </c>
      <c r="Q2152" s="525" t="str">
        <f>IF(AND($M2152=$O$7,$B2152&lt;'111'!$N$11),"x","")</f>
        <v/>
      </c>
      <c r="R2152" s="525" t="str">
        <f>IF(ISERROR(FIND('112'!$M$9,G2152,1)),"",IF((AND(FIND('112'!$M$9,G2152,1)&gt;=1,$B2152&gt;='112'!$N$8,$B2152&lt;='112'!$O$8,OR($L2152='112'!$I$6,$M2152='112'!$I$6))),"x",""))</f>
        <v/>
      </c>
      <c r="S2152" s="525" t="str">
        <f>IF(ISERROR(FIND('112'!$M$9,G2152,1)),"",IF((AND(LEFT(G2152,2)=LEFT('112'!$M$9,2),B2152&lt;'112'!$N$8,$L2152='112'!$I$6)),"x",""))</f>
        <v/>
      </c>
      <c r="T2152" s="525" t="str">
        <f>IF(ISERROR(FIND('112'!$M$9,G2152,1)),"",IF((AND(RIGHT(G2152,2)=RIGHT('112'!$M$9,2),B2152&lt;'112'!$N$8,$M2152='112'!$I$6)),"x",""))</f>
        <v/>
      </c>
      <c r="U2152" s="525" t="str">
        <f>IF(AND(B2152&gt;='IN-NX'!$P$3,B2152&lt;='IN-NX'!$Q$3,'IN-NX'!$D$7=D2152,OR(LEFT(L2152,2)="15",AND(LEFT(M2152,2)&lt;&gt;"15",LEFT(M2152,2)&lt;&gt;"33"))),"x","")</f>
        <v/>
      </c>
      <c r="V2152" s="525" t="str">
        <f>IF(AND(OR(LEFT(TH!L2152,2)="15",LEFT(TH!M2152,2)="15"),'152-CT'!$J$8=TH!F2152),"x","")</f>
        <v/>
      </c>
      <c r="W2152" s="525" t="str">
        <f>IF(AND(OR(LEFT(TH!L2152,2)="15",LEFT(TH!M2152,2)="15"),TK!$E$7=TH!F2152),"x","")</f>
        <v/>
      </c>
      <c r="X2152" s="525" t="str">
        <f>IF(AND('341-CT'!$E$9=H2152,OR(LEFT(L2152,3)=$X$7,LEFT(M2152,3)=$X$7)),"x","")</f>
        <v/>
      </c>
      <c r="Y2152" s="525" t="str">
        <f>IF(OR(TH!L2152=TH!$Y$7,M2152=TH!$Y$7),"x","")</f>
        <v/>
      </c>
      <c r="Z2152" s="525" t="str">
        <f>IF(AND(B2152&lt;=NKC!$N$8,B2152&gt;=NKC!$M$8),"x","")</f>
        <v/>
      </c>
      <c r="AA2152" s="535">
        <v>2</v>
      </c>
      <c r="AB2152" s="536"/>
      <c r="AE2152" s="536"/>
      <c r="AF2152" s="536"/>
      <c r="AG2152" s="536"/>
      <c r="AH2152" s="536"/>
    </row>
    <row r="2153" spans="1:34" s="503" customFormat="1" ht="15.75" customHeight="1">
      <c r="A2153" s="517" t="str">
        <f>IF(B2153&lt;&gt;"",IF(AND(B2153&gt;=_TM1,B2153&lt;=_TM2,OR(TH!L2153="1111",TH!M2153="1111")),TH!D2153,""),"")</f>
        <v/>
      </c>
      <c r="B2153" s="531">
        <f t="shared" si="197"/>
        <v>4</v>
      </c>
      <c r="C2153" s="315">
        <f t="shared" si="198"/>
        <v>42843</v>
      </c>
      <c r="D2153" s="315" t="s">
        <v>976</v>
      </c>
      <c r="E2153" s="315">
        <v>42843</v>
      </c>
      <c r="F2153" s="249" t="s">
        <v>1042</v>
      </c>
      <c r="G2153" s="314" t="s">
        <v>1051</v>
      </c>
      <c r="H2153" s="473" t="s">
        <v>447</v>
      </c>
      <c r="I2153" s="307">
        <v>24</v>
      </c>
      <c r="J2153" s="307">
        <v>18191</v>
      </c>
      <c r="K2153" s="532">
        <f t="shared" si="201"/>
        <v>436584</v>
      </c>
      <c r="L2153" s="534" t="s">
        <v>292</v>
      </c>
      <c r="M2153" s="534" t="s">
        <v>8</v>
      </c>
      <c r="N2153" s="525" t="str">
        <f>IF(AND('331-CT'!$E$7=TH!H2153,OR(L2153="331",M2153="331")),"331",IF(AND(OR(L2153="131",M2153="131"),H2153='131-CT'!$E$7),"131",""))</f>
        <v/>
      </c>
      <c r="O2153" s="525" t="str">
        <f>IF(AND($B2153&gt;='111'!$N$11,$B2153&lt;='111'!$O$11,OR($L2153=$O$7,$M2153=$O$7)),"x","")</f>
        <v/>
      </c>
      <c r="P2153" s="525" t="str">
        <f>IF(AND($L2153=$O$7,$B2153&lt;'111'!$N$11),"x","")</f>
        <v/>
      </c>
      <c r="Q2153" s="525" t="str">
        <f>IF(AND($M2153=$O$7,$B2153&lt;'111'!$N$11),"x","")</f>
        <v/>
      </c>
      <c r="R2153" s="525" t="str">
        <f>IF(ISERROR(FIND('112'!$M$9,G2153,1)),"",IF((AND(FIND('112'!$M$9,G2153,1)&gt;=1,$B2153&gt;='112'!$N$8,$B2153&lt;='112'!$O$8,OR($L2153='112'!$I$6,$M2153='112'!$I$6))),"x",""))</f>
        <v/>
      </c>
      <c r="S2153" s="525" t="str">
        <f>IF(ISERROR(FIND('112'!$M$9,G2153,1)),"",IF((AND(LEFT(G2153,2)=LEFT('112'!$M$9,2),B2153&lt;'112'!$N$8,$L2153='112'!$I$6)),"x",""))</f>
        <v/>
      </c>
      <c r="T2153" s="525" t="str">
        <f>IF(ISERROR(FIND('112'!$M$9,G2153,1)),"",IF((AND(RIGHT(G2153,2)=RIGHT('112'!$M$9,2),B2153&lt;'112'!$N$8,$M2153='112'!$I$6)),"x",""))</f>
        <v/>
      </c>
      <c r="U2153" s="525" t="str">
        <f>IF(AND(B2153&gt;='IN-NX'!$P$3,B2153&lt;='IN-NX'!$Q$3,'IN-NX'!$D$7=D2153,OR(LEFT(L2153,2)="15",AND(LEFT(M2153,2)&lt;&gt;"15",LEFT(M2153,2)&lt;&gt;"33"))),"x","")</f>
        <v/>
      </c>
      <c r="V2153" s="525" t="str">
        <f>IF(AND(OR(LEFT(TH!L2153,2)="15",LEFT(TH!M2153,2)="15"),'152-CT'!$J$8=TH!F2153),"x","")</f>
        <v/>
      </c>
      <c r="W2153" s="525" t="str">
        <f>IF(AND(OR(LEFT(TH!L2153,2)="15",LEFT(TH!M2153,2)="15"),TK!$E$7=TH!F2153),"x","")</f>
        <v/>
      </c>
      <c r="X2153" s="525" t="str">
        <f>IF(AND('341-CT'!$E$9=H2153,OR(LEFT(L2153,3)=$X$7,LEFT(M2153,3)=$X$7)),"x","")</f>
        <v/>
      </c>
      <c r="Y2153" s="525" t="str">
        <f>IF(OR(TH!L2153=TH!$Y$7,M2153=TH!$Y$7),"x","")</f>
        <v/>
      </c>
      <c r="Z2153" s="525" t="str">
        <f>IF(AND(B2153&lt;=NKC!$N$8,B2153&gt;=NKC!$M$8),"x","")</f>
        <v/>
      </c>
      <c r="AA2153" s="535">
        <v>2</v>
      </c>
      <c r="AB2153" s="536"/>
      <c r="AE2153" s="536"/>
      <c r="AF2153" s="536"/>
      <c r="AG2153" s="536"/>
      <c r="AH2153" s="536"/>
    </row>
    <row r="2154" spans="1:34" s="503" customFormat="1" ht="15" customHeight="1">
      <c r="A2154" s="517" t="str">
        <f>IF(B2154&lt;&gt;"",IF(AND(B2154&gt;=_TM1,B2154&lt;=_TM2,OR(TH!L2154="1111",TH!M2154="1111")),TH!D2154,""),"")</f>
        <v/>
      </c>
      <c r="B2154" s="531">
        <f t="shared" si="197"/>
        <v>4</v>
      </c>
      <c r="C2154" s="315">
        <f t="shared" si="198"/>
        <v>42843</v>
      </c>
      <c r="D2154" s="315" t="s">
        <v>976</v>
      </c>
      <c r="E2154" s="315">
        <v>42843</v>
      </c>
      <c r="F2154" s="249" t="s">
        <v>652</v>
      </c>
      <c r="G2154" s="314" t="s">
        <v>1051</v>
      </c>
      <c r="H2154" s="473" t="s">
        <v>447</v>
      </c>
      <c r="I2154" s="307">
        <v>6</v>
      </c>
      <c r="J2154" s="307">
        <v>19057</v>
      </c>
      <c r="K2154" s="532">
        <f t="shared" si="201"/>
        <v>114342</v>
      </c>
      <c r="L2154" s="534" t="s">
        <v>292</v>
      </c>
      <c r="M2154" s="534" t="s">
        <v>8</v>
      </c>
      <c r="N2154" s="525" t="str">
        <f>IF(AND('331-CT'!$E$7=TH!H2154,OR(L2154="331",M2154="331")),"331",IF(AND(OR(L2154="131",M2154="131"),H2154='131-CT'!$E$7),"131",""))</f>
        <v/>
      </c>
      <c r="O2154" s="525" t="str">
        <f>IF(AND($B2154&gt;='111'!$N$11,$B2154&lt;='111'!$O$11,OR($L2154=$O$7,$M2154=$O$7)),"x","")</f>
        <v/>
      </c>
      <c r="P2154" s="525" t="str">
        <f>IF(AND($L2154=$O$7,$B2154&lt;'111'!$N$11),"x","")</f>
        <v/>
      </c>
      <c r="Q2154" s="525" t="str">
        <f>IF(AND($M2154=$O$7,$B2154&lt;'111'!$N$11),"x","")</f>
        <v/>
      </c>
      <c r="R2154" s="525" t="str">
        <f>IF(ISERROR(FIND('112'!$M$9,G2154,1)),"",IF((AND(FIND('112'!$M$9,G2154,1)&gt;=1,$B2154&gt;='112'!$N$8,$B2154&lt;='112'!$O$8,OR($L2154='112'!$I$6,$M2154='112'!$I$6))),"x",""))</f>
        <v/>
      </c>
      <c r="S2154" s="525" t="str">
        <f>IF(ISERROR(FIND('112'!$M$9,G2154,1)),"",IF((AND(LEFT(G2154,2)=LEFT('112'!$M$9,2),B2154&lt;'112'!$N$8,$L2154='112'!$I$6)),"x",""))</f>
        <v/>
      </c>
      <c r="T2154" s="525" t="str">
        <f>IF(ISERROR(FIND('112'!$M$9,G2154,1)),"",IF((AND(RIGHT(G2154,2)=RIGHT('112'!$M$9,2),B2154&lt;'112'!$N$8,$M2154='112'!$I$6)),"x",""))</f>
        <v/>
      </c>
      <c r="U2154" s="525" t="str">
        <f>IF(AND(B2154&gt;='IN-NX'!$P$3,B2154&lt;='IN-NX'!$Q$3,'IN-NX'!$D$7=D2154,OR(LEFT(L2154,2)="15",AND(LEFT(M2154,2)&lt;&gt;"15",LEFT(M2154,2)&lt;&gt;"33"))),"x","")</f>
        <v/>
      </c>
      <c r="V2154" s="525" t="str">
        <f>IF(AND(OR(LEFT(TH!L2154,2)="15",LEFT(TH!M2154,2)="15"),'152-CT'!$J$8=TH!F2154),"x","")</f>
        <v/>
      </c>
      <c r="W2154" s="525" t="str">
        <f>IF(AND(OR(LEFT(TH!L2154,2)="15",LEFT(TH!M2154,2)="15"),TK!$E$7=TH!F2154),"x","")</f>
        <v/>
      </c>
      <c r="X2154" s="525" t="str">
        <f>IF(AND('341-CT'!$E$9=H2154,OR(LEFT(L2154,3)=$X$7,LEFT(M2154,3)=$X$7)),"x","")</f>
        <v/>
      </c>
      <c r="Y2154" s="525" t="str">
        <f>IF(OR(TH!L2154=TH!$Y$7,M2154=TH!$Y$7),"x","")</f>
        <v/>
      </c>
      <c r="Z2154" s="525" t="str">
        <f>IF(AND(B2154&lt;=NKC!$N$8,B2154&gt;=NKC!$M$8),"x","")</f>
        <v/>
      </c>
      <c r="AA2154" s="535">
        <v>2</v>
      </c>
      <c r="AB2154" s="536"/>
      <c r="AE2154" s="536"/>
      <c r="AF2154" s="536"/>
      <c r="AG2154" s="536"/>
      <c r="AH2154" s="536"/>
    </row>
    <row r="2155" spans="1:34" s="503" customFormat="1" ht="15.75" customHeight="1">
      <c r="A2155" s="517" t="str">
        <f>IF(B2155&lt;&gt;"",IF(AND(B2155&gt;=_TM1,B2155&lt;=_TM2,OR(TH!L2155="1111",TH!M2155="1111")),TH!D2155,""),"")</f>
        <v/>
      </c>
      <c r="B2155" s="531">
        <f t="shared" si="197"/>
        <v>4</v>
      </c>
      <c r="C2155" s="315">
        <f t="shared" si="198"/>
        <v>42843</v>
      </c>
      <c r="D2155" s="315" t="s">
        <v>976</v>
      </c>
      <c r="E2155" s="315">
        <v>42843</v>
      </c>
      <c r="F2155" s="249" t="s">
        <v>728</v>
      </c>
      <c r="G2155" s="314" t="s">
        <v>1051</v>
      </c>
      <c r="H2155" s="473" t="s">
        <v>447</v>
      </c>
      <c r="I2155" s="307">
        <v>24</v>
      </c>
      <c r="J2155" s="307">
        <v>20041</v>
      </c>
      <c r="K2155" s="532">
        <f t="shared" si="201"/>
        <v>480984</v>
      </c>
      <c r="L2155" s="534" t="s">
        <v>292</v>
      </c>
      <c r="M2155" s="534" t="s">
        <v>8</v>
      </c>
      <c r="N2155" s="525" t="str">
        <f>IF(AND('331-CT'!$E$7=TH!H2155,OR(L2155="331",M2155="331")),"331",IF(AND(OR(L2155="131",M2155="131"),H2155='131-CT'!$E$7),"131",""))</f>
        <v/>
      </c>
      <c r="O2155" s="525" t="str">
        <f>IF(AND($B2155&gt;='111'!$N$11,$B2155&lt;='111'!$O$11,OR($L2155=$O$7,$M2155=$O$7)),"x","")</f>
        <v/>
      </c>
      <c r="P2155" s="525" t="str">
        <f>IF(AND($L2155=$O$7,$B2155&lt;'111'!$N$11),"x","")</f>
        <v/>
      </c>
      <c r="Q2155" s="525" t="str">
        <f>IF(AND($M2155=$O$7,$B2155&lt;'111'!$N$11),"x","")</f>
        <v/>
      </c>
      <c r="R2155" s="525" t="str">
        <f>IF(ISERROR(FIND('112'!$M$9,G2155,1)),"",IF((AND(FIND('112'!$M$9,G2155,1)&gt;=1,$B2155&gt;='112'!$N$8,$B2155&lt;='112'!$O$8,OR($L2155='112'!$I$6,$M2155='112'!$I$6))),"x",""))</f>
        <v/>
      </c>
      <c r="S2155" s="525" t="str">
        <f>IF(ISERROR(FIND('112'!$M$9,G2155,1)),"",IF((AND(LEFT(G2155,2)=LEFT('112'!$M$9,2),B2155&lt;'112'!$N$8,$L2155='112'!$I$6)),"x",""))</f>
        <v/>
      </c>
      <c r="T2155" s="525" t="str">
        <f>IF(ISERROR(FIND('112'!$M$9,G2155,1)),"",IF((AND(RIGHT(G2155,2)=RIGHT('112'!$M$9,2),B2155&lt;'112'!$N$8,$M2155='112'!$I$6)),"x",""))</f>
        <v/>
      </c>
      <c r="U2155" s="525" t="str">
        <f>IF(AND(B2155&gt;='IN-NX'!$P$3,B2155&lt;='IN-NX'!$Q$3,'IN-NX'!$D$7=D2155,OR(LEFT(L2155,2)="15",AND(LEFT(M2155,2)&lt;&gt;"15",LEFT(M2155,2)&lt;&gt;"33"))),"x","")</f>
        <v/>
      </c>
      <c r="V2155" s="525" t="str">
        <f>IF(AND(OR(LEFT(TH!L2155,2)="15",LEFT(TH!M2155,2)="15"),'152-CT'!$J$8=TH!F2155),"x","")</f>
        <v/>
      </c>
      <c r="W2155" s="525" t="str">
        <f>IF(AND(OR(LEFT(TH!L2155,2)="15",LEFT(TH!M2155,2)="15"),TK!$E$7=TH!F2155),"x","")</f>
        <v/>
      </c>
      <c r="X2155" s="525" t="str">
        <f>IF(AND('341-CT'!$E$9=H2155,OR(LEFT(L2155,3)=$X$7,LEFT(M2155,3)=$X$7)),"x","")</f>
        <v/>
      </c>
      <c r="Y2155" s="525" t="str">
        <f>IF(OR(TH!L2155=TH!$Y$7,M2155=TH!$Y$7),"x","")</f>
        <v/>
      </c>
      <c r="Z2155" s="525" t="str">
        <f>IF(AND(B2155&lt;=NKC!$N$8,B2155&gt;=NKC!$M$8),"x","")</f>
        <v/>
      </c>
      <c r="AA2155" s="535">
        <v>2</v>
      </c>
      <c r="AB2155" s="536"/>
      <c r="AE2155" s="536"/>
      <c r="AF2155" s="536"/>
      <c r="AG2155" s="536"/>
      <c r="AH2155" s="536"/>
    </row>
    <row r="2156" spans="1:34" s="503" customFormat="1" ht="15" customHeight="1">
      <c r="A2156" s="517" t="str">
        <f>IF(B2156&lt;&gt;"",IF(AND(B2156&gt;=_TM1,B2156&lt;=_TM2,OR(TH!L2156="1111",TH!M2156="1111")),TH!D2156,""),"")</f>
        <v/>
      </c>
      <c r="B2156" s="531">
        <f t="shared" si="197"/>
        <v>4</v>
      </c>
      <c r="C2156" s="315">
        <f t="shared" si="198"/>
        <v>42843</v>
      </c>
      <c r="D2156" s="315" t="s">
        <v>976</v>
      </c>
      <c r="E2156" s="315">
        <v>42843</v>
      </c>
      <c r="F2156" s="249" t="s">
        <v>1043</v>
      </c>
      <c r="G2156" s="314" t="s">
        <v>1051</v>
      </c>
      <c r="H2156" s="473" t="s">
        <v>447</v>
      </c>
      <c r="I2156" s="307">
        <v>6</v>
      </c>
      <c r="J2156" s="307">
        <v>24690</v>
      </c>
      <c r="K2156" s="532">
        <f t="shared" si="201"/>
        <v>148140</v>
      </c>
      <c r="L2156" s="534" t="s">
        <v>292</v>
      </c>
      <c r="M2156" s="534" t="s">
        <v>8</v>
      </c>
      <c r="N2156" s="525" t="str">
        <f>IF(AND('331-CT'!$E$7=TH!H2156,OR(L2156="331",M2156="331")),"331",IF(AND(OR(L2156="131",M2156="131"),H2156='131-CT'!$E$7),"131",""))</f>
        <v/>
      </c>
      <c r="O2156" s="525" t="str">
        <f>IF(AND($B2156&gt;='111'!$N$11,$B2156&lt;='111'!$O$11,OR($L2156=$O$7,$M2156=$O$7)),"x","")</f>
        <v/>
      </c>
      <c r="P2156" s="525" t="str">
        <f>IF(AND($L2156=$O$7,$B2156&lt;'111'!$N$11),"x","")</f>
        <v/>
      </c>
      <c r="Q2156" s="525" t="str">
        <f>IF(AND($M2156=$O$7,$B2156&lt;'111'!$N$11),"x","")</f>
        <v/>
      </c>
      <c r="R2156" s="525" t="str">
        <f>IF(ISERROR(FIND('112'!$M$9,G2156,1)),"",IF((AND(FIND('112'!$M$9,G2156,1)&gt;=1,$B2156&gt;='112'!$N$8,$B2156&lt;='112'!$O$8,OR($L2156='112'!$I$6,$M2156='112'!$I$6))),"x",""))</f>
        <v/>
      </c>
      <c r="S2156" s="525" t="str">
        <f>IF(ISERROR(FIND('112'!$M$9,G2156,1)),"",IF((AND(LEFT(G2156,2)=LEFT('112'!$M$9,2),B2156&lt;'112'!$N$8,$L2156='112'!$I$6)),"x",""))</f>
        <v/>
      </c>
      <c r="T2156" s="525" t="str">
        <f>IF(ISERROR(FIND('112'!$M$9,G2156,1)),"",IF((AND(RIGHT(G2156,2)=RIGHT('112'!$M$9,2),B2156&lt;'112'!$N$8,$M2156='112'!$I$6)),"x",""))</f>
        <v/>
      </c>
      <c r="U2156" s="525" t="str">
        <f>IF(AND(B2156&gt;='IN-NX'!$P$3,B2156&lt;='IN-NX'!$Q$3,'IN-NX'!$D$7=D2156,OR(LEFT(L2156,2)="15",AND(LEFT(M2156,2)&lt;&gt;"15",LEFT(M2156,2)&lt;&gt;"33"))),"x","")</f>
        <v/>
      </c>
      <c r="V2156" s="525" t="str">
        <f>IF(AND(OR(LEFT(TH!L2156,2)="15",LEFT(TH!M2156,2)="15"),'152-CT'!$J$8=TH!F2156),"x","")</f>
        <v/>
      </c>
      <c r="W2156" s="525" t="str">
        <f>IF(AND(OR(LEFT(TH!L2156,2)="15",LEFT(TH!M2156,2)="15"),TK!$E$7=TH!F2156),"x","")</f>
        <v/>
      </c>
      <c r="X2156" s="525" t="str">
        <f>IF(AND('341-CT'!$E$9=H2156,OR(LEFT(L2156,3)=$X$7,LEFT(M2156,3)=$X$7)),"x","")</f>
        <v/>
      </c>
      <c r="Y2156" s="525" t="str">
        <f>IF(OR(TH!L2156=TH!$Y$7,M2156=TH!$Y$7),"x","")</f>
        <v/>
      </c>
      <c r="Z2156" s="525" t="str">
        <f>IF(AND(B2156&lt;=NKC!$N$8,B2156&gt;=NKC!$M$8),"x","")</f>
        <v/>
      </c>
      <c r="AA2156" s="535">
        <v>2</v>
      </c>
      <c r="AB2156" s="536"/>
      <c r="AE2156" s="536"/>
      <c r="AF2156" s="536"/>
      <c r="AG2156" s="536"/>
      <c r="AH2156" s="536"/>
    </row>
    <row r="2157" spans="1:34" s="503" customFormat="1" ht="15.75" customHeight="1">
      <c r="A2157" s="517" t="str">
        <f>IF(B2157&lt;&gt;"",IF(AND(B2157&gt;=_TM1,B2157&lt;=_TM2,OR(TH!L2157="1111",TH!M2157="1111")),TH!D2157,""),"")</f>
        <v/>
      </c>
      <c r="B2157" s="531">
        <f t="shared" si="197"/>
        <v>4</v>
      </c>
      <c r="C2157" s="315">
        <f t="shared" si="198"/>
        <v>42843</v>
      </c>
      <c r="D2157" s="315" t="s">
        <v>976</v>
      </c>
      <c r="E2157" s="315">
        <v>42843</v>
      </c>
      <c r="F2157" s="249" t="s">
        <v>1044</v>
      </c>
      <c r="G2157" s="314" t="s">
        <v>1051</v>
      </c>
      <c r="H2157" s="473" t="s">
        <v>447</v>
      </c>
      <c r="I2157" s="307">
        <v>24</v>
      </c>
      <c r="J2157" s="307">
        <v>17895</v>
      </c>
      <c r="K2157" s="532">
        <f t="shared" si="201"/>
        <v>429480</v>
      </c>
      <c r="L2157" s="534" t="s">
        <v>292</v>
      </c>
      <c r="M2157" s="534" t="s">
        <v>8</v>
      </c>
      <c r="N2157" s="525" t="str">
        <f>IF(AND('331-CT'!$E$7=TH!H2157,OR(L2157="331",M2157="331")),"331",IF(AND(OR(L2157="131",M2157="131"),H2157='131-CT'!$E$7),"131",""))</f>
        <v/>
      </c>
      <c r="O2157" s="525" t="str">
        <f>IF(AND($B2157&gt;='111'!$N$11,$B2157&lt;='111'!$O$11,OR($L2157=$O$7,$M2157=$O$7)),"x","")</f>
        <v/>
      </c>
      <c r="P2157" s="525" t="str">
        <f>IF(AND($L2157=$O$7,$B2157&lt;'111'!$N$11),"x","")</f>
        <v/>
      </c>
      <c r="Q2157" s="525" t="str">
        <f>IF(AND($M2157=$O$7,$B2157&lt;'111'!$N$11),"x","")</f>
        <v/>
      </c>
      <c r="R2157" s="525" t="str">
        <f>IF(ISERROR(FIND('112'!$M$9,G2157,1)),"",IF((AND(FIND('112'!$M$9,G2157,1)&gt;=1,$B2157&gt;='112'!$N$8,$B2157&lt;='112'!$O$8,OR($L2157='112'!$I$6,$M2157='112'!$I$6))),"x",""))</f>
        <v/>
      </c>
      <c r="S2157" s="525" t="str">
        <f>IF(ISERROR(FIND('112'!$M$9,G2157,1)),"",IF((AND(LEFT(G2157,2)=LEFT('112'!$M$9,2),B2157&lt;'112'!$N$8,$L2157='112'!$I$6)),"x",""))</f>
        <v/>
      </c>
      <c r="T2157" s="525" t="str">
        <f>IF(ISERROR(FIND('112'!$M$9,G2157,1)),"",IF((AND(RIGHT(G2157,2)=RIGHT('112'!$M$9,2),B2157&lt;'112'!$N$8,$M2157='112'!$I$6)),"x",""))</f>
        <v/>
      </c>
      <c r="U2157" s="525" t="str">
        <f>IF(AND(B2157&gt;='IN-NX'!$P$3,B2157&lt;='IN-NX'!$Q$3,'IN-NX'!$D$7=D2157,OR(LEFT(L2157,2)="15",AND(LEFT(M2157,2)&lt;&gt;"15",LEFT(M2157,2)&lt;&gt;"33"))),"x","")</f>
        <v/>
      </c>
      <c r="V2157" s="525" t="str">
        <f>IF(AND(OR(LEFT(TH!L2157,2)="15",LEFT(TH!M2157,2)="15"),'152-CT'!$J$8=TH!F2157),"x","")</f>
        <v/>
      </c>
      <c r="W2157" s="525" t="str">
        <f>IF(AND(OR(LEFT(TH!L2157,2)="15",LEFT(TH!M2157,2)="15"),TK!$E$7=TH!F2157),"x","")</f>
        <v/>
      </c>
      <c r="X2157" s="525" t="str">
        <f>IF(AND('341-CT'!$E$9=H2157,OR(LEFT(L2157,3)=$X$7,LEFT(M2157,3)=$X$7)),"x","")</f>
        <v/>
      </c>
      <c r="Y2157" s="525" t="str">
        <f>IF(OR(TH!L2157=TH!$Y$7,M2157=TH!$Y$7),"x","")</f>
        <v/>
      </c>
      <c r="Z2157" s="525" t="str">
        <f>IF(AND(B2157&lt;=NKC!$N$8,B2157&gt;=NKC!$M$8),"x","")</f>
        <v/>
      </c>
      <c r="AA2157" s="535">
        <v>2</v>
      </c>
      <c r="AB2157" s="536"/>
      <c r="AE2157" s="536"/>
      <c r="AF2157" s="536"/>
      <c r="AG2157" s="536"/>
      <c r="AH2157" s="536"/>
    </row>
    <row r="2158" spans="1:34" s="503" customFormat="1" ht="15.75" customHeight="1">
      <c r="A2158" s="517" t="str">
        <f>IF(B2158&lt;&gt;"",IF(AND(B2158&gt;=_TM1,B2158&lt;=_TM2,OR(TH!L2158="1111",TH!M2158="1111")),TH!D2158,""),"")</f>
        <v/>
      </c>
      <c r="B2158" s="531">
        <f t="shared" si="197"/>
        <v>4</v>
      </c>
      <c r="C2158" s="315">
        <f t="shared" si="198"/>
        <v>42843</v>
      </c>
      <c r="D2158" s="315" t="s">
        <v>976</v>
      </c>
      <c r="E2158" s="315">
        <v>42843</v>
      </c>
      <c r="F2158" s="249" t="s">
        <v>714</v>
      </c>
      <c r="G2158" s="314" t="s">
        <v>1051</v>
      </c>
      <c r="H2158" s="473" t="s">
        <v>447</v>
      </c>
      <c r="I2158" s="307">
        <v>12</v>
      </c>
      <c r="J2158" s="307">
        <v>48224</v>
      </c>
      <c r="K2158" s="532">
        <f t="shared" si="201"/>
        <v>578688</v>
      </c>
      <c r="L2158" s="534" t="s">
        <v>292</v>
      </c>
      <c r="M2158" s="534" t="s">
        <v>8</v>
      </c>
      <c r="N2158" s="525" t="str">
        <f>IF(AND('331-CT'!$E$7=TH!H2158,OR(L2158="331",M2158="331")),"331",IF(AND(OR(L2158="131",M2158="131"),H2158='131-CT'!$E$7),"131",""))</f>
        <v/>
      </c>
      <c r="O2158" s="525" t="str">
        <f>IF(AND($B2158&gt;='111'!$N$11,$B2158&lt;='111'!$O$11,OR($L2158=$O$7,$M2158=$O$7)),"x","")</f>
        <v/>
      </c>
      <c r="P2158" s="525" t="str">
        <f>IF(AND($L2158=$O$7,$B2158&lt;'111'!$N$11),"x","")</f>
        <v/>
      </c>
      <c r="Q2158" s="525" t="str">
        <f>IF(AND($M2158=$O$7,$B2158&lt;'111'!$N$11),"x","")</f>
        <v/>
      </c>
      <c r="R2158" s="525" t="str">
        <f>IF(ISERROR(FIND('112'!$M$9,G2158,1)),"",IF((AND(FIND('112'!$M$9,G2158,1)&gt;=1,$B2158&gt;='112'!$N$8,$B2158&lt;='112'!$O$8,OR($L2158='112'!$I$6,$M2158='112'!$I$6))),"x",""))</f>
        <v/>
      </c>
      <c r="S2158" s="525" t="str">
        <f>IF(ISERROR(FIND('112'!$M$9,G2158,1)),"",IF((AND(LEFT(G2158,2)=LEFT('112'!$M$9,2),B2158&lt;'112'!$N$8,$L2158='112'!$I$6)),"x",""))</f>
        <v/>
      </c>
      <c r="T2158" s="525" t="str">
        <f>IF(ISERROR(FIND('112'!$M$9,G2158,1)),"",IF((AND(RIGHT(G2158,2)=RIGHT('112'!$M$9,2),B2158&lt;'112'!$N$8,$M2158='112'!$I$6)),"x",""))</f>
        <v/>
      </c>
      <c r="U2158" s="525" t="str">
        <f>IF(AND(B2158&gt;='IN-NX'!$P$3,B2158&lt;='IN-NX'!$Q$3,'IN-NX'!$D$7=D2158,OR(LEFT(L2158,2)="15",AND(LEFT(M2158,2)&lt;&gt;"15",LEFT(M2158,2)&lt;&gt;"33"))),"x","")</f>
        <v/>
      </c>
      <c r="V2158" s="525" t="str">
        <f>IF(AND(OR(LEFT(TH!L2158,2)="15",LEFT(TH!M2158,2)="15"),'152-CT'!$J$8=TH!F2158),"x","")</f>
        <v/>
      </c>
      <c r="W2158" s="525" t="str">
        <f>IF(AND(OR(LEFT(TH!L2158,2)="15",LEFT(TH!M2158,2)="15"),TK!$E$7=TH!F2158),"x","")</f>
        <v/>
      </c>
      <c r="X2158" s="525" t="str">
        <f>IF(AND('341-CT'!$E$9=H2158,OR(LEFT(L2158,3)=$X$7,LEFT(M2158,3)=$X$7)),"x","")</f>
        <v/>
      </c>
      <c r="Y2158" s="525" t="str">
        <f>IF(OR(TH!L2158=TH!$Y$7,M2158=TH!$Y$7),"x","")</f>
        <v/>
      </c>
      <c r="Z2158" s="525" t="str">
        <f>IF(AND(B2158&lt;=NKC!$N$8,B2158&gt;=NKC!$M$8),"x","")</f>
        <v/>
      </c>
      <c r="AA2158" s="535">
        <v>2</v>
      </c>
      <c r="AB2158" s="536"/>
      <c r="AE2158" s="536"/>
      <c r="AF2158" s="536"/>
      <c r="AG2158" s="536"/>
      <c r="AH2158" s="536"/>
    </row>
    <row r="2159" spans="1:34" s="503" customFormat="1" ht="15.75" customHeight="1">
      <c r="A2159" s="517" t="str">
        <f>IF(B2159&lt;&gt;"",IF(AND(B2159&gt;=_TM1,B2159&lt;=_TM2,OR(TH!L2159="1111",TH!M2159="1111")),TH!D2159,""),"")</f>
        <v/>
      </c>
      <c r="B2159" s="531">
        <f t="shared" si="197"/>
        <v>4</v>
      </c>
      <c r="C2159" s="315">
        <f t="shared" si="198"/>
        <v>42843</v>
      </c>
      <c r="D2159" s="315" t="s">
        <v>976</v>
      </c>
      <c r="E2159" s="315">
        <v>42843</v>
      </c>
      <c r="F2159" s="249" t="s">
        <v>761</v>
      </c>
      <c r="G2159" s="314" t="s">
        <v>1051</v>
      </c>
      <c r="H2159" s="473" t="s">
        <v>447</v>
      </c>
      <c r="I2159" s="307">
        <v>12</v>
      </c>
      <c r="J2159" s="307">
        <v>36812</v>
      </c>
      <c r="K2159" s="532">
        <f t="shared" si="201"/>
        <v>441744</v>
      </c>
      <c r="L2159" s="534" t="s">
        <v>292</v>
      </c>
      <c r="M2159" s="534" t="s">
        <v>8</v>
      </c>
      <c r="N2159" s="525" t="str">
        <f>IF(AND('331-CT'!$E$7=TH!H2159,OR(L2159="331",M2159="331")),"331",IF(AND(OR(L2159="131",M2159="131"),H2159='131-CT'!$E$7),"131",""))</f>
        <v/>
      </c>
      <c r="O2159" s="525" t="str">
        <f>IF(AND($B2159&gt;='111'!$N$11,$B2159&lt;='111'!$O$11,OR($L2159=$O$7,$M2159=$O$7)),"x","")</f>
        <v/>
      </c>
      <c r="P2159" s="525" t="str">
        <f>IF(AND($L2159=$O$7,$B2159&lt;'111'!$N$11),"x","")</f>
        <v/>
      </c>
      <c r="Q2159" s="525" t="str">
        <f>IF(AND($M2159=$O$7,$B2159&lt;'111'!$N$11),"x","")</f>
        <v/>
      </c>
      <c r="R2159" s="525" t="str">
        <f>IF(ISERROR(FIND('112'!$M$9,G2159,1)),"",IF((AND(FIND('112'!$M$9,G2159,1)&gt;=1,$B2159&gt;='112'!$N$8,$B2159&lt;='112'!$O$8,OR($L2159='112'!$I$6,$M2159='112'!$I$6))),"x",""))</f>
        <v/>
      </c>
      <c r="S2159" s="525" t="str">
        <f>IF(ISERROR(FIND('112'!$M$9,G2159,1)),"",IF((AND(LEFT(G2159,2)=LEFT('112'!$M$9,2),B2159&lt;'112'!$N$8,$L2159='112'!$I$6)),"x",""))</f>
        <v/>
      </c>
      <c r="T2159" s="525" t="str">
        <f>IF(ISERROR(FIND('112'!$M$9,G2159,1)),"",IF((AND(RIGHT(G2159,2)=RIGHT('112'!$M$9,2),B2159&lt;'112'!$N$8,$M2159='112'!$I$6)),"x",""))</f>
        <v/>
      </c>
      <c r="U2159" s="525" t="str">
        <f>IF(AND(B2159&gt;='IN-NX'!$P$3,B2159&lt;='IN-NX'!$Q$3,'IN-NX'!$D$7=D2159,OR(LEFT(L2159,2)="15",AND(LEFT(M2159,2)&lt;&gt;"15",LEFT(M2159,2)&lt;&gt;"33"))),"x","")</f>
        <v/>
      </c>
      <c r="V2159" s="525" t="str">
        <f>IF(AND(OR(LEFT(TH!L2159,2)="15",LEFT(TH!M2159,2)="15"),'152-CT'!$J$8=TH!F2159),"x","")</f>
        <v/>
      </c>
      <c r="W2159" s="525" t="str">
        <f>IF(AND(OR(LEFT(TH!L2159,2)="15",LEFT(TH!M2159,2)="15"),TK!$E$7=TH!F2159),"x","")</f>
        <v/>
      </c>
      <c r="X2159" s="525" t="str">
        <f>IF(AND('341-CT'!$E$9=H2159,OR(LEFT(L2159,3)=$X$7,LEFT(M2159,3)=$X$7)),"x","")</f>
        <v/>
      </c>
      <c r="Y2159" s="525" t="str">
        <f>IF(OR(TH!L2159=TH!$Y$7,M2159=TH!$Y$7),"x","")</f>
        <v/>
      </c>
      <c r="Z2159" s="525" t="str">
        <f>IF(AND(B2159&lt;=NKC!$N$8,B2159&gt;=NKC!$M$8),"x","")</f>
        <v/>
      </c>
      <c r="AA2159" s="535">
        <v>2</v>
      </c>
      <c r="AB2159" s="536"/>
      <c r="AE2159" s="536"/>
      <c r="AF2159" s="536"/>
      <c r="AG2159" s="536"/>
      <c r="AH2159" s="536"/>
    </row>
    <row r="2160" spans="1:34" s="503" customFormat="1" ht="15.75" customHeight="1">
      <c r="A2160" s="517" t="str">
        <f>IF(B2160&lt;&gt;"",IF(AND(B2160&gt;=_TM1,B2160&lt;=_TM2,OR(TH!L2160="1111",TH!M2160="1111")),TH!D2160,""),"")</f>
        <v/>
      </c>
      <c r="B2160" s="531">
        <f t="shared" si="197"/>
        <v>4</v>
      </c>
      <c r="C2160" s="315">
        <f t="shared" si="198"/>
        <v>42843</v>
      </c>
      <c r="D2160" s="315" t="s">
        <v>976</v>
      </c>
      <c r="E2160" s="315">
        <v>42843</v>
      </c>
      <c r="F2160" s="249" t="s">
        <v>1045</v>
      </c>
      <c r="G2160" s="314" t="s">
        <v>1051</v>
      </c>
      <c r="H2160" s="473" t="s">
        <v>447</v>
      </c>
      <c r="I2160" s="307">
        <v>144</v>
      </c>
      <c r="J2160" s="307">
        <v>41098</v>
      </c>
      <c r="K2160" s="532">
        <f t="shared" si="201"/>
        <v>5918112</v>
      </c>
      <c r="L2160" s="534" t="s">
        <v>292</v>
      </c>
      <c r="M2160" s="534" t="s">
        <v>8</v>
      </c>
      <c r="N2160" s="525" t="str">
        <f>IF(AND('331-CT'!$E$7=TH!H2160,OR(L2160="331",M2160="331")),"331",IF(AND(OR(L2160="131",M2160="131"),H2160='131-CT'!$E$7),"131",""))</f>
        <v/>
      </c>
      <c r="O2160" s="525" t="str">
        <f>IF(AND($B2160&gt;='111'!$N$11,$B2160&lt;='111'!$O$11,OR($L2160=$O$7,$M2160=$O$7)),"x","")</f>
        <v/>
      </c>
      <c r="P2160" s="525" t="str">
        <f>IF(AND($L2160=$O$7,$B2160&lt;'111'!$N$11),"x","")</f>
        <v/>
      </c>
      <c r="Q2160" s="525" t="str">
        <f>IF(AND($M2160=$O$7,$B2160&lt;'111'!$N$11),"x","")</f>
        <v/>
      </c>
      <c r="R2160" s="525" t="str">
        <f>IF(ISERROR(FIND('112'!$M$9,G2160,1)),"",IF((AND(FIND('112'!$M$9,G2160,1)&gt;=1,$B2160&gt;='112'!$N$8,$B2160&lt;='112'!$O$8,OR($L2160='112'!$I$6,$M2160='112'!$I$6))),"x",""))</f>
        <v/>
      </c>
      <c r="S2160" s="525" t="str">
        <f>IF(ISERROR(FIND('112'!$M$9,G2160,1)),"",IF((AND(LEFT(G2160,2)=LEFT('112'!$M$9,2),B2160&lt;'112'!$N$8,$L2160='112'!$I$6)),"x",""))</f>
        <v/>
      </c>
      <c r="T2160" s="525" t="str">
        <f>IF(ISERROR(FIND('112'!$M$9,G2160,1)),"",IF((AND(RIGHT(G2160,2)=RIGHT('112'!$M$9,2),B2160&lt;'112'!$N$8,$M2160='112'!$I$6)),"x",""))</f>
        <v/>
      </c>
      <c r="U2160" s="525" t="str">
        <f>IF(AND(B2160&gt;='IN-NX'!$P$3,B2160&lt;='IN-NX'!$Q$3,'IN-NX'!$D$7=D2160,OR(LEFT(L2160,2)="15",AND(LEFT(M2160,2)&lt;&gt;"15",LEFT(M2160,2)&lt;&gt;"33"))),"x","")</f>
        <v/>
      </c>
      <c r="V2160" s="525" t="str">
        <f>IF(AND(OR(LEFT(TH!L2160,2)="15",LEFT(TH!M2160,2)="15"),'152-CT'!$J$8=TH!F2160),"x","")</f>
        <v/>
      </c>
      <c r="W2160" s="525" t="str">
        <f>IF(AND(OR(LEFT(TH!L2160,2)="15",LEFT(TH!M2160,2)="15"),TK!$E$7=TH!F2160),"x","")</f>
        <v/>
      </c>
      <c r="X2160" s="525" t="str">
        <f>IF(AND('341-CT'!$E$9=H2160,OR(LEFT(L2160,3)=$X$7,LEFT(M2160,3)=$X$7)),"x","")</f>
        <v/>
      </c>
      <c r="Y2160" s="525" t="str">
        <f>IF(OR(TH!L2160=TH!$Y$7,M2160=TH!$Y$7),"x","")</f>
        <v/>
      </c>
      <c r="Z2160" s="525" t="str">
        <f>IF(AND(B2160&lt;=NKC!$N$8,B2160&gt;=NKC!$M$8),"x","")</f>
        <v/>
      </c>
      <c r="AA2160" s="535">
        <v>2</v>
      </c>
      <c r="AB2160" s="536"/>
      <c r="AE2160" s="536"/>
      <c r="AF2160" s="536"/>
      <c r="AG2160" s="536"/>
      <c r="AH2160" s="536"/>
    </row>
    <row r="2161" spans="1:34" s="503" customFormat="1" ht="15.75" customHeight="1">
      <c r="A2161" s="517" t="str">
        <f>IF(B2161&lt;&gt;"",IF(AND(B2161&gt;=_TM1,B2161&lt;=_TM2,OR(TH!L2161="1111",TH!M2161="1111")),TH!D2161,""),"")</f>
        <v/>
      </c>
      <c r="B2161" s="531">
        <f t="shared" si="197"/>
        <v>4</v>
      </c>
      <c r="C2161" s="315">
        <f t="shared" si="198"/>
        <v>42843</v>
      </c>
      <c r="D2161" s="315" t="s">
        <v>976</v>
      </c>
      <c r="E2161" s="315">
        <v>42843</v>
      </c>
      <c r="F2161" s="249" t="s">
        <v>611</v>
      </c>
      <c r="G2161" s="314" t="s">
        <v>1051</v>
      </c>
      <c r="H2161" s="473" t="s">
        <v>447</v>
      </c>
      <c r="I2161" s="307">
        <v>150</v>
      </c>
      <c r="J2161" s="307">
        <v>39735</v>
      </c>
      <c r="K2161" s="532">
        <f t="shared" si="201"/>
        <v>5960250</v>
      </c>
      <c r="L2161" s="534" t="s">
        <v>292</v>
      </c>
      <c r="M2161" s="534" t="s">
        <v>8</v>
      </c>
      <c r="N2161" s="525" t="str">
        <f>IF(AND('331-CT'!$E$7=TH!H2161,OR(L2161="331",M2161="331")),"331",IF(AND(OR(L2161="131",M2161="131"),H2161='131-CT'!$E$7),"131",""))</f>
        <v/>
      </c>
      <c r="O2161" s="525" t="str">
        <f>IF(AND($B2161&gt;='111'!$N$11,$B2161&lt;='111'!$O$11,OR($L2161=$O$7,$M2161=$O$7)),"x","")</f>
        <v/>
      </c>
      <c r="P2161" s="525" t="str">
        <f>IF(AND($L2161=$O$7,$B2161&lt;'111'!$N$11),"x","")</f>
        <v/>
      </c>
      <c r="Q2161" s="525" t="str">
        <f>IF(AND($M2161=$O$7,$B2161&lt;'111'!$N$11),"x","")</f>
        <v/>
      </c>
      <c r="R2161" s="525" t="str">
        <f>IF(ISERROR(FIND('112'!$M$9,G2161,1)),"",IF((AND(FIND('112'!$M$9,G2161,1)&gt;=1,$B2161&gt;='112'!$N$8,$B2161&lt;='112'!$O$8,OR($L2161='112'!$I$6,$M2161='112'!$I$6))),"x",""))</f>
        <v/>
      </c>
      <c r="S2161" s="525" t="str">
        <f>IF(ISERROR(FIND('112'!$M$9,G2161,1)),"",IF((AND(LEFT(G2161,2)=LEFT('112'!$M$9,2),B2161&lt;'112'!$N$8,$L2161='112'!$I$6)),"x",""))</f>
        <v/>
      </c>
      <c r="T2161" s="525" t="str">
        <f>IF(ISERROR(FIND('112'!$M$9,G2161,1)),"",IF((AND(RIGHT(G2161,2)=RIGHT('112'!$M$9,2),B2161&lt;'112'!$N$8,$M2161='112'!$I$6)),"x",""))</f>
        <v/>
      </c>
      <c r="U2161" s="525" t="str">
        <f>IF(AND(B2161&gt;='IN-NX'!$P$3,B2161&lt;='IN-NX'!$Q$3,'IN-NX'!$D$7=D2161,OR(LEFT(L2161,2)="15",AND(LEFT(M2161,2)&lt;&gt;"15",LEFT(M2161,2)&lt;&gt;"33"))),"x","")</f>
        <v/>
      </c>
      <c r="V2161" s="525" t="str">
        <f>IF(AND(OR(LEFT(TH!L2161,2)="15",LEFT(TH!M2161,2)="15"),'152-CT'!$J$8=TH!F2161),"x","")</f>
        <v/>
      </c>
      <c r="W2161" s="525" t="str">
        <f>IF(AND(OR(LEFT(TH!L2161,2)="15",LEFT(TH!M2161,2)="15"),TK!$E$7=TH!F2161),"x","")</f>
        <v/>
      </c>
      <c r="X2161" s="525" t="str">
        <f>IF(AND('341-CT'!$E$9=H2161,OR(LEFT(L2161,3)=$X$7,LEFT(M2161,3)=$X$7)),"x","")</f>
        <v/>
      </c>
      <c r="Y2161" s="525" t="str">
        <f>IF(OR(TH!L2161=TH!$Y$7,M2161=TH!$Y$7),"x","")</f>
        <v/>
      </c>
      <c r="Z2161" s="525" t="str">
        <f>IF(AND(B2161&lt;=NKC!$N$8,B2161&gt;=NKC!$M$8),"x","")</f>
        <v/>
      </c>
      <c r="AA2161" s="535">
        <v>2</v>
      </c>
      <c r="AB2161" s="536"/>
      <c r="AD2161" s="536"/>
      <c r="AF2161" s="536"/>
      <c r="AG2161" s="536"/>
      <c r="AH2161" s="536"/>
    </row>
    <row r="2162" spans="1:34" s="503" customFormat="1" ht="15.75" customHeight="1">
      <c r="A2162" s="517" t="str">
        <f>IF(B2162&lt;&gt;"",IF(AND(B2162&gt;=_TM1,B2162&lt;=_TM2,OR(TH!L2162="1111",TH!M2162="1111")),TH!D2162,""),"")</f>
        <v/>
      </c>
      <c r="B2162" s="531">
        <f t="shared" si="197"/>
        <v>4</v>
      </c>
      <c r="C2162" s="315">
        <f t="shared" si="198"/>
        <v>42843</v>
      </c>
      <c r="D2162" s="315" t="s">
        <v>976</v>
      </c>
      <c r="E2162" s="315">
        <v>42843</v>
      </c>
      <c r="F2162" s="249" t="s">
        <v>274</v>
      </c>
      <c r="G2162" s="314" t="s">
        <v>1051</v>
      </c>
      <c r="H2162" s="473" t="s">
        <v>447</v>
      </c>
      <c r="I2162" s="307">
        <v>304</v>
      </c>
      <c r="J2162" s="307">
        <v>11010</v>
      </c>
      <c r="K2162" s="532">
        <f t="shared" si="201"/>
        <v>3347040</v>
      </c>
      <c r="L2162" s="534" t="s">
        <v>292</v>
      </c>
      <c r="M2162" s="534" t="s">
        <v>8</v>
      </c>
      <c r="N2162" s="525" t="str">
        <f>IF(AND('331-CT'!$E$7=TH!H2162,OR(L2162="331",M2162="331")),"331",IF(AND(OR(L2162="131",M2162="131"),H2162='131-CT'!$E$7),"131",""))</f>
        <v/>
      </c>
      <c r="O2162" s="525" t="str">
        <f>IF(AND($B2162&gt;='111'!$N$11,$B2162&lt;='111'!$O$11,OR($L2162=$O$7,$M2162=$O$7)),"x","")</f>
        <v/>
      </c>
      <c r="P2162" s="525" t="str">
        <f>IF(AND($L2162=$O$7,$B2162&lt;'111'!$N$11),"x","")</f>
        <v/>
      </c>
      <c r="Q2162" s="525" t="str">
        <f>IF(AND($M2162=$O$7,$B2162&lt;'111'!$N$11),"x","")</f>
        <v/>
      </c>
      <c r="R2162" s="525" t="str">
        <f>IF(ISERROR(FIND('112'!$M$9,G2162,1)),"",IF((AND(FIND('112'!$M$9,G2162,1)&gt;=1,$B2162&gt;='112'!$N$8,$B2162&lt;='112'!$O$8,OR($L2162='112'!$I$6,$M2162='112'!$I$6))),"x",""))</f>
        <v/>
      </c>
      <c r="S2162" s="525" t="str">
        <f>IF(ISERROR(FIND('112'!$M$9,G2162,1)),"",IF((AND(LEFT(G2162,2)=LEFT('112'!$M$9,2),B2162&lt;'112'!$N$8,$L2162='112'!$I$6)),"x",""))</f>
        <v/>
      </c>
      <c r="T2162" s="525" t="str">
        <f>IF(ISERROR(FIND('112'!$M$9,G2162,1)),"",IF((AND(RIGHT(G2162,2)=RIGHT('112'!$M$9,2),B2162&lt;'112'!$N$8,$M2162='112'!$I$6)),"x",""))</f>
        <v/>
      </c>
      <c r="U2162" s="525" t="str">
        <f>IF(AND(B2162&gt;='IN-NX'!$P$3,B2162&lt;='IN-NX'!$Q$3,'IN-NX'!$D$7=D2162,OR(LEFT(L2162,2)="15",AND(LEFT(M2162,2)&lt;&gt;"15",LEFT(M2162,2)&lt;&gt;"33"))),"x","")</f>
        <v/>
      </c>
      <c r="V2162" s="525" t="str">
        <f>IF(AND(OR(LEFT(TH!L2162,2)="15",LEFT(TH!M2162,2)="15"),'152-CT'!$J$8=TH!F2162),"x","")</f>
        <v/>
      </c>
      <c r="W2162" s="525" t="str">
        <f>IF(AND(OR(LEFT(TH!L2162,2)="15",LEFT(TH!M2162,2)="15"),TK!$E$7=TH!F2162),"x","")</f>
        <v>x</v>
      </c>
      <c r="X2162" s="525" t="str">
        <f>IF(AND('341-CT'!$E$9=H2162,OR(LEFT(L2162,3)=$X$7,LEFT(M2162,3)=$X$7)),"x","")</f>
        <v/>
      </c>
      <c r="Y2162" s="525" t="str">
        <f>IF(OR(TH!L2162=TH!$Y$7,M2162=TH!$Y$7),"x","")</f>
        <v/>
      </c>
      <c r="Z2162" s="525" t="str">
        <f>IF(AND(B2162&lt;=NKC!$N$8,B2162&gt;=NKC!$M$8),"x","")</f>
        <v/>
      </c>
      <c r="AA2162" s="535">
        <v>2</v>
      </c>
      <c r="AB2162" s="536"/>
      <c r="AD2162" s="536"/>
      <c r="AF2162" s="536"/>
      <c r="AG2162" s="536"/>
      <c r="AH2162" s="536"/>
    </row>
    <row r="2163" spans="1:34" s="503" customFormat="1" ht="15.75" customHeight="1">
      <c r="A2163" s="517" t="str">
        <f>IF(B2163&lt;&gt;"",IF(AND(B2163&gt;=_TM1,B2163&lt;=_TM2,OR(TH!L2163="1111",TH!M2163="1111")),TH!D2163,""),"")</f>
        <v/>
      </c>
      <c r="B2163" s="531">
        <f t="shared" si="197"/>
        <v>4</v>
      </c>
      <c r="C2163" s="315">
        <f t="shared" si="198"/>
        <v>42843</v>
      </c>
      <c r="D2163" s="315" t="s">
        <v>977</v>
      </c>
      <c r="E2163" s="315">
        <v>42843</v>
      </c>
      <c r="F2163" s="249" t="s">
        <v>734</v>
      </c>
      <c r="G2163" s="314" t="s">
        <v>1051</v>
      </c>
      <c r="H2163" s="473" t="s">
        <v>447</v>
      </c>
      <c r="I2163" s="307">
        <v>15</v>
      </c>
      <c r="J2163" s="307">
        <v>99421</v>
      </c>
      <c r="K2163" s="532">
        <f t="shared" si="201"/>
        <v>1491315</v>
      </c>
      <c r="L2163" s="534" t="s">
        <v>292</v>
      </c>
      <c r="M2163" s="534" t="s">
        <v>8</v>
      </c>
      <c r="N2163" s="525" t="str">
        <f>IF(AND('331-CT'!$E$7=TH!H2163,OR(L2163="331",M2163="331")),"331",IF(AND(OR(L2163="131",M2163="131"),H2163='131-CT'!$E$7),"131",""))</f>
        <v/>
      </c>
      <c r="O2163" s="525" t="str">
        <f>IF(AND($B2163&gt;='111'!$N$11,$B2163&lt;='111'!$O$11,OR($L2163=$O$7,$M2163=$O$7)),"x","")</f>
        <v/>
      </c>
      <c r="P2163" s="525" t="str">
        <f>IF(AND($L2163=$O$7,$B2163&lt;'111'!$N$11),"x","")</f>
        <v/>
      </c>
      <c r="Q2163" s="525" t="str">
        <f>IF(AND($M2163=$O$7,$B2163&lt;'111'!$N$11),"x","")</f>
        <v/>
      </c>
      <c r="R2163" s="525" t="str">
        <f>IF(ISERROR(FIND('112'!$M$9,G2163,1)),"",IF((AND(FIND('112'!$M$9,G2163,1)&gt;=1,$B2163&gt;='112'!$N$8,$B2163&lt;='112'!$O$8,OR($L2163='112'!$I$6,$M2163='112'!$I$6))),"x",""))</f>
        <v/>
      </c>
      <c r="S2163" s="525" t="str">
        <f>IF(ISERROR(FIND('112'!$M$9,G2163,1)),"",IF((AND(LEFT(G2163,2)=LEFT('112'!$M$9,2),B2163&lt;'112'!$N$8,$L2163='112'!$I$6)),"x",""))</f>
        <v/>
      </c>
      <c r="T2163" s="525" t="str">
        <f>IF(ISERROR(FIND('112'!$M$9,G2163,1)),"",IF((AND(RIGHT(G2163,2)=RIGHT('112'!$M$9,2),B2163&lt;'112'!$N$8,$M2163='112'!$I$6)),"x",""))</f>
        <v/>
      </c>
      <c r="U2163" s="525" t="str">
        <f>IF(AND(B2163&gt;='IN-NX'!$P$3,B2163&lt;='IN-NX'!$Q$3,'IN-NX'!$D$7=D2163,OR(LEFT(L2163,2)="15",AND(LEFT(M2163,2)&lt;&gt;"15",LEFT(M2163,2)&lt;&gt;"33"))),"x","")</f>
        <v/>
      </c>
      <c r="V2163" s="525" t="str">
        <f>IF(AND(OR(LEFT(TH!L2163,2)="15",LEFT(TH!M2163,2)="15"),'152-CT'!$J$8=TH!F2163),"x","")</f>
        <v/>
      </c>
      <c r="W2163" s="525" t="str">
        <f>IF(AND(OR(LEFT(TH!L2163,2)="15",LEFT(TH!M2163,2)="15"),TK!$E$7=TH!F2163),"x","")</f>
        <v/>
      </c>
      <c r="X2163" s="525" t="str">
        <f>IF(AND('341-CT'!$E$9=H2163,OR(LEFT(L2163,3)=$X$7,LEFT(M2163,3)=$X$7)),"x","")</f>
        <v/>
      </c>
      <c r="Y2163" s="525" t="str">
        <f>IF(OR(TH!L2163=TH!$Y$7,M2163=TH!$Y$7),"x","")</f>
        <v/>
      </c>
      <c r="Z2163" s="525" t="str">
        <f>IF(AND(B2163&lt;=NKC!$N$8,B2163&gt;=NKC!$M$8),"x","")</f>
        <v/>
      </c>
      <c r="AA2163" s="535">
        <v>2</v>
      </c>
      <c r="AB2163" s="536"/>
      <c r="AF2163" s="536"/>
      <c r="AG2163" s="536"/>
      <c r="AH2163" s="536"/>
    </row>
    <row r="2164" spans="1:34" s="503" customFormat="1" ht="15.75" customHeight="1">
      <c r="A2164" s="517" t="str">
        <f>IF(B2164&lt;&gt;"",IF(AND(B2164&gt;=_TM1,B2164&lt;=_TM2,OR(TH!L2164="1111",TH!M2164="1111")),TH!D2164,""),"")</f>
        <v/>
      </c>
      <c r="B2164" s="531">
        <f t="shared" si="197"/>
        <v>4</v>
      </c>
      <c r="C2164" s="315">
        <f t="shared" si="198"/>
        <v>42843</v>
      </c>
      <c r="D2164" s="315" t="s">
        <v>977</v>
      </c>
      <c r="E2164" s="315">
        <v>42843</v>
      </c>
      <c r="F2164" s="249" t="s">
        <v>705</v>
      </c>
      <c r="G2164" s="314" t="s">
        <v>1051</v>
      </c>
      <c r="H2164" s="473" t="s">
        <v>447</v>
      </c>
      <c r="I2164" s="307">
        <v>8</v>
      </c>
      <c r="J2164" s="307">
        <v>46675</v>
      </c>
      <c r="K2164" s="532">
        <f t="shared" si="201"/>
        <v>373400</v>
      </c>
      <c r="L2164" s="534" t="s">
        <v>292</v>
      </c>
      <c r="M2164" s="534" t="s">
        <v>8</v>
      </c>
      <c r="N2164" s="525" t="str">
        <f>IF(AND('331-CT'!$E$7=TH!H2164,OR(L2164="331",M2164="331")),"331",IF(AND(OR(L2164="131",M2164="131"),H2164='131-CT'!$E$7),"131",""))</f>
        <v/>
      </c>
      <c r="O2164" s="525" t="str">
        <f>IF(AND($B2164&gt;='111'!$N$11,$B2164&lt;='111'!$O$11,OR($L2164=$O$7,$M2164=$O$7)),"x","")</f>
        <v/>
      </c>
      <c r="P2164" s="525" t="str">
        <f>IF(AND($L2164=$O$7,$B2164&lt;'111'!$N$11),"x","")</f>
        <v/>
      </c>
      <c r="Q2164" s="525" t="str">
        <f>IF(AND($M2164=$O$7,$B2164&lt;'111'!$N$11),"x","")</f>
        <v/>
      </c>
      <c r="R2164" s="525" t="str">
        <f>IF(ISERROR(FIND('112'!$M$9,G2164,1)),"",IF((AND(FIND('112'!$M$9,G2164,1)&gt;=1,$B2164&gt;='112'!$N$8,$B2164&lt;='112'!$O$8,OR($L2164='112'!$I$6,$M2164='112'!$I$6))),"x",""))</f>
        <v/>
      </c>
      <c r="S2164" s="525" t="str">
        <f>IF(ISERROR(FIND('112'!$M$9,G2164,1)),"",IF((AND(LEFT(G2164,2)=LEFT('112'!$M$9,2),B2164&lt;'112'!$N$8,$L2164='112'!$I$6)),"x",""))</f>
        <v/>
      </c>
      <c r="T2164" s="525" t="str">
        <f>IF(ISERROR(FIND('112'!$M$9,G2164,1)),"",IF((AND(RIGHT(G2164,2)=RIGHT('112'!$M$9,2),B2164&lt;'112'!$N$8,$M2164='112'!$I$6)),"x",""))</f>
        <v/>
      </c>
      <c r="U2164" s="525" t="str">
        <f>IF(AND(B2164&gt;='IN-NX'!$P$3,B2164&lt;='IN-NX'!$Q$3,'IN-NX'!$D$7=D2164,OR(LEFT(L2164,2)="15",AND(LEFT(M2164,2)&lt;&gt;"15",LEFT(M2164,2)&lt;&gt;"33"))),"x","")</f>
        <v/>
      </c>
      <c r="V2164" s="525" t="str">
        <f>IF(AND(OR(LEFT(TH!L2164,2)="15",LEFT(TH!M2164,2)="15"),'152-CT'!$J$8=TH!F2164),"x","")</f>
        <v/>
      </c>
      <c r="W2164" s="525" t="str">
        <f>IF(AND(OR(LEFT(TH!L2164,2)="15",LEFT(TH!M2164,2)="15"),TK!$E$7=TH!F2164),"x","")</f>
        <v/>
      </c>
      <c r="X2164" s="525" t="str">
        <f>IF(AND('341-CT'!$E$9=H2164,OR(LEFT(L2164,3)=$X$7,LEFT(M2164,3)=$X$7)),"x","")</f>
        <v/>
      </c>
      <c r="Y2164" s="525" t="str">
        <f>IF(OR(TH!L2164=TH!$Y$7,M2164=TH!$Y$7),"x","")</f>
        <v/>
      </c>
      <c r="Z2164" s="525" t="str">
        <f>IF(AND(B2164&lt;=NKC!$N$8,B2164&gt;=NKC!$M$8),"x","")</f>
        <v/>
      </c>
      <c r="AA2164" s="535">
        <v>2</v>
      </c>
      <c r="AB2164" s="536"/>
      <c r="AF2164" s="536"/>
      <c r="AG2164" s="536"/>
      <c r="AH2164" s="536"/>
    </row>
    <row r="2165" spans="1:34" s="503" customFormat="1" ht="15.75" customHeight="1">
      <c r="A2165" s="517" t="str">
        <f>IF(B2165&lt;&gt;"",IF(AND(B2165&gt;=_TM1,B2165&lt;=_TM2,OR(TH!L2165="1111",TH!M2165="1111")),TH!D2165,""),"")</f>
        <v/>
      </c>
      <c r="B2165" s="531">
        <f t="shared" si="197"/>
        <v>4</v>
      </c>
      <c r="C2165" s="315">
        <f t="shared" si="198"/>
        <v>42843</v>
      </c>
      <c r="D2165" s="315" t="s">
        <v>977</v>
      </c>
      <c r="E2165" s="315">
        <v>42843</v>
      </c>
      <c r="F2165" s="249" t="s">
        <v>707</v>
      </c>
      <c r="G2165" s="314" t="s">
        <v>1051</v>
      </c>
      <c r="H2165" s="473" t="s">
        <v>447</v>
      </c>
      <c r="I2165" s="307">
        <v>8</v>
      </c>
      <c r="J2165" s="307">
        <v>29746</v>
      </c>
      <c r="K2165" s="532">
        <f t="shared" si="201"/>
        <v>237968</v>
      </c>
      <c r="L2165" s="534" t="s">
        <v>292</v>
      </c>
      <c r="M2165" s="534" t="s">
        <v>8</v>
      </c>
      <c r="N2165" s="525" t="str">
        <f>IF(AND('331-CT'!$E$7=TH!H2165,OR(L2165="331",M2165="331")),"331",IF(AND(OR(L2165="131",M2165="131"),H2165='131-CT'!$E$7),"131",""))</f>
        <v/>
      </c>
      <c r="O2165" s="525" t="str">
        <f>IF(AND($B2165&gt;='111'!$N$11,$B2165&lt;='111'!$O$11,OR($L2165=$O$7,$M2165=$O$7)),"x","")</f>
        <v/>
      </c>
      <c r="P2165" s="525" t="str">
        <f>IF(AND($L2165=$O$7,$B2165&lt;'111'!$N$11),"x","")</f>
        <v/>
      </c>
      <c r="Q2165" s="525" t="str">
        <f>IF(AND($M2165=$O$7,$B2165&lt;'111'!$N$11),"x","")</f>
        <v/>
      </c>
      <c r="R2165" s="525" t="str">
        <f>IF(ISERROR(FIND('112'!$M$9,G2165,1)),"",IF((AND(FIND('112'!$M$9,G2165,1)&gt;=1,$B2165&gt;='112'!$N$8,$B2165&lt;='112'!$O$8,OR($L2165='112'!$I$6,$M2165='112'!$I$6))),"x",""))</f>
        <v/>
      </c>
      <c r="S2165" s="525" t="str">
        <f>IF(ISERROR(FIND('112'!$M$9,G2165,1)),"",IF((AND(LEFT(G2165,2)=LEFT('112'!$M$9,2),B2165&lt;'112'!$N$8,$L2165='112'!$I$6)),"x",""))</f>
        <v/>
      </c>
      <c r="T2165" s="525" t="str">
        <f>IF(ISERROR(FIND('112'!$M$9,G2165,1)),"",IF((AND(RIGHT(G2165,2)=RIGHT('112'!$M$9,2),B2165&lt;'112'!$N$8,$M2165='112'!$I$6)),"x",""))</f>
        <v/>
      </c>
      <c r="U2165" s="525" t="str">
        <f>IF(AND(B2165&gt;='IN-NX'!$P$3,B2165&lt;='IN-NX'!$Q$3,'IN-NX'!$D$7=D2165,OR(LEFT(L2165,2)="15",AND(LEFT(M2165,2)&lt;&gt;"15",LEFT(M2165,2)&lt;&gt;"33"))),"x","")</f>
        <v/>
      </c>
      <c r="V2165" s="525" t="str">
        <f>IF(AND(OR(LEFT(TH!L2165,2)="15",LEFT(TH!M2165,2)="15"),'152-CT'!$J$8=TH!F2165),"x","")</f>
        <v/>
      </c>
      <c r="W2165" s="525" t="str">
        <f>IF(AND(OR(LEFT(TH!L2165,2)="15",LEFT(TH!M2165,2)="15"),TK!$E$7=TH!F2165),"x","")</f>
        <v/>
      </c>
      <c r="X2165" s="525" t="str">
        <f>IF(AND('341-CT'!$E$9=H2165,OR(LEFT(L2165,3)=$X$7,LEFT(M2165,3)=$X$7)),"x","")</f>
        <v/>
      </c>
      <c r="Y2165" s="525" t="str">
        <f>IF(OR(TH!L2165=TH!$Y$7,M2165=TH!$Y$7),"x","")</f>
        <v/>
      </c>
      <c r="Z2165" s="525" t="str">
        <f>IF(AND(B2165&lt;=NKC!$N$8,B2165&gt;=NKC!$M$8),"x","")</f>
        <v/>
      </c>
      <c r="AA2165" s="535">
        <v>2</v>
      </c>
      <c r="AB2165" s="536"/>
      <c r="AF2165" s="536"/>
      <c r="AG2165" s="536"/>
      <c r="AH2165" s="536"/>
    </row>
    <row r="2166" spans="1:34" s="503" customFormat="1" ht="15.75" customHeight="1">
      <c r="A2166" s="517" t="str">
        <f>IF(B2166&lt;&gt;"",IF(AND(B2166&gt;=_TM1,B2166&lt;=_TM2,OR(TH!L2166="1111",TH!M2166="1111")),TH!D2166,""),"")</f>
        <v/>
      </c>
      <c r="B2166" s="531">
        <f t="shared" si="197"/>
        <v>4</v>
      </c>
      <c r="C2166" s="315">
        <f t="shared" si="198"/>
        <v>42843</v>
      </c>
      <c r="D2166" s="315" t="s">
        <v>977</v>
      </c>
      <c r="E2166" s="315">
        <v>42843</v>
      </c>
      <c r="F2166" s="249" t="s">
        <v>708</v>
      </c>
      <c r="G2166" s="314" t="s">
        <v>1051</v>
      </c>
      <c r="H2166" s="473" t="s">
        <v>447</v>
      </c>
      <c r="I2166" s="307">
        <v>24</v>
      </c>
      <c r="J2166" s="307">
        <v>35663</v>
      </c>
      <c r="K2166" s="532">
        <f t="shared" si="201"/>
        <v>855912</v>
      </c>
      <c r="L2166" s="534" t="s">
        <v>292</v>
      </c>
      <c r="M2166" s="534" t="s">
        <v>8</v>
      </c>
      <c r="N2166" s="525" t="str">
        <f>IF(AND('331-CT'!$E$7=TH!H2166,OR(L2166="331",M2166="331")),"331",IF(AND(OR(L2166="131",M2166="131"),H2166='131-CT'!$E$7),"131",""))</f>
        <v/>
      </c>
      <c r="O2166" s="525" t="str">
        <f>IF(AND($B2166&gt;='111'!$N$11,$B2166&lt;='111'!$O$11,OR($L2166=$O$7,$M2166=$O$7)),"x","")</f>
        <v/>
      </c>
      <c r="P2166" s="525" t="str">
        <f>IF(AND($L2166=$O$7,$B2166&lt;'111'!$N$11),"x","")</f>
        <v/>
      </c>
      <c r="Q2166" s="525" t="str">
        <f>IF(AND($M2166=$O$7,$B2166&lt;'111'!$N$11),"x","")</f>
        <v/>
      </c>
      <c r="R2166" s="525" t="str">
        <f>IF(ISERROR(FIND('112'!$M$9,G2166,1)),"",IF((AND(FIND('112'!$M$9,G2166,1)&gt;=1,$B2166&gt;='112'!$N$8,$B2166&lt;='112'!$O$8,OR($L2166='112'!$I$6,$M2166='112'!$I$6))),"x",""))</f>
        <v/>
      </c>
      <c r="S2166" s="525" t="str">
        <f>IF(ISERROR(FIND('112'!$M$9,G2166,1)),"",IF((AND(LEFT(G2166,2)=LEFT('112'!$M$9,2),B2166&lt;'112'!$N$8,$L2166='112'!$I$6)),"x",""))</f>
        <v/>
      </c>
      <c r="T2166" s="525" t="str">
        <f>IF(ISERROR(FIND('112'!$M$9,G2166,1)),"",IF((AND(RIGHT(G2166,2)=RIGHT('112'!$M$9,2),B2166&lt;'112'!$N$8,$M2166='112'!$I$6)),"x",""))</f>
        <v/>
      </c>
      <c r="U2166" s="525" t="str">
        <f>IF(AND(B2166&gt;='IN-NX'!$P$3,B2166&lt;='IN-NX'!$Q$3,'IN-NX'!$D$7=D2166,OR(LEFT(L2166,2)="15",AND(LEFT(M2166,2)&lt;&gt;"15",LEFT(M2166,2)&lt;&gt;"33"))),"x","")</f>
        <v/>
      </c>
      <c r="V2166" s="525" t="str">
        <f>IF(AND(OR(LEFT(TH!L2166,2)="15",LEFT(TH!M2166,2)="15"),'152-CT'!$J$8=TH!F2166),"x","")</f>
        <v/>
      </c>
      <c r="W2166" s="525" t="str">
        <f>IF(AND(OR(LEFT(TH!L2166,2)="15",LEFT(TH!M2166,2)="15"),TK!$E$7=TH!F2166),"x","")</f>
        <v/>
      </c>
      <c r="X2166" s="525" t="str">
        <f>IF(AND('341-CT'!$E$9=H2166,OR(LEFT(L2166,3)=$X$7,LEFT(M2166,3)=$X$7)),"x","")</f>
        <v/>
      </c>
      <c r="Y2166" s="525" t="str">
        <f>IF(OR(TH!L2166=TH!$Y$7,M2166=TH!$Y$7),"x","")</f>
        <v/>
      </c>
      <c r="Z2166" s="525" t="str">
        <f>IF(AND(B2166&lt;=NKC!$N$8,B2166&gt;=NKC!$M$8),"x","")</f>
        <v/>
      </c>
      <c r="AA2166" s="535">
        <v>2</v>
      </c>
      <c r="AB2166" s="536"/>
      <c r="AF2166" s="536"/>
      <c r="AG2166" s="536"/>
      <c r="AH2166" s="536"/>
    </row>
    <row r="2167" spans="1:34" s="503" customFormat="1" ht="15.75" customHeight="1">
      <c r="A2167" s="517" t="str">
        <f>IF(B2167&lt;&gt;"",IF(AND(B2167&gt;=_TM1,B2167&lt;=_TM2,OR(TH!L2167="1111",TH!M2167="1111")),TH!D2167,""),"")</f>
        <v/>
      </c>
      <c r="B2167" s="531">
        <f t="shared" si="197"/>
        <v>4</v>
      </c>
      <c r="C2167" s="315">
        <f t="shared" si="198"/>
        <v>42843</v>
      </c>
      <c r="D2167" s="315" t="s">
        <v>977</v>
      </c>
      <c r="E2167" s="315">
        <v>42843</v>
      </c>
      <c r="F2167" s="249" t="s">
        <v>709</v>
      </c>
      <c r="G2167" s="314" t="s">
        <v>1051</v>
      </c>
      <c r="H2167" s="473" t="s">
        <v>447</v>
      </c>
      <c r="I2167" s="307">
        <v>24</v>
      </c>
      <c r="J2167" s="307">
        <v>40351</v>
      </c>
      <c r="K2167" s="532">
        <f t="shared" si="201"/>
        <v>968424</v>
      </c>
      <c r="L2167" s="534" t="s">
        <v>292</v>
      </c>
      <c r="M2167" s="534" t="s">
        <v>8</v>
      </c>
      <c r="N2167" s="525" t="str">
        <f>IF(AND('331-CT'!$E$7=TH!H2167,OR(L2167="331",M2167="331")),"331",IF(AND(OR(L2167="131",M2167="131"),H2167='131-CT'!$E$7),"131",""))</f>
        <v/>
      </c>
      <c r="O2167" s="525" t="str">
        <f>IF(AND($B2167&gt;='111'!$N$11,$B2167&lt;='111'!$O$11,OR($L2167=$O$7,$M2167=$O$7)),"x","")</f>
        <v/>
      </c>
      <c r="P2167" s="525" t="str">
        <f>IF(AND($L2167=$O$7,$B2167&lt;'111'!$N$11),"x","")</f>
        <v/>
      </c>
      <c r="Q2167" s="525" t="str">
        <f>IF(AND($M2167=$O$7,$B2167&lt;'111'!$N$11),"x","")</f>
        <v/>
      </c>
      <c r="R2167" s="525" t="str">
        <f>IF(ISERROR(FIND('112'!$M$9,G2167,1)),"",IF((AND(FIND('112'!$M$9,G2167,1)&gt;=1,$B2167&gt;='112'!$N$8,$B2167&lt;='112'!$O$8,OR($L2167='112'!$I$6,$M2167='112'!$I$6))),"x",""))</f>
        <v/>
      </c>
      <c r="S2167" s="525" t="str">
        <f>IF(ISERROR(FIND('112'!$M$9,G2167,1)),"",IF((AND(LEFT(G2167,2)=LEFT('112'!$M$9,2),B2167&lt;'112'!$N$8,$L2167='112'!$I$6)),"x",""))</f>
        <v/>
      </c>
      <c r="T2167" s="525" t="str">
        <f>IF(ISERROR(FIND('112'!$M$9,G2167,1)),"",IF((AND(RIGHT(G2167,2)=RIGHT('112'!$M$9,2),B2167&lt;'112'!$N$8,$M2167='112'!$I$6)),"x",""))</f>
        <v/>
      </c>
      <c r="U2167" s="525" t="str">
        <f>IF(AND(B2167&gt;='IN-NX'!$P$3,B2167&lt;='IN-NX'!$Q$3,'IN-NX'!$D$7=D2167,OR(LEFT(L2167,2)="15",AND(LEFT(M2167,2)&lt;&gt;"15",LEFT(M2167,2)&lt;&gt;"33"))),"x","")</f>
        <v/>
      </c>
      <c r="V2167" s="525" t="str">
        <f>IF(AND(OR(LEFT(TH!L2167,2)="15",LEFT(TH!M2167,2)="15"),'152-CT'!$J$8=TH!F2167),"x","")</f>
        <v/>
      </c>
      <c r="W2167" s="525" t="str">
        <f>IF(AND(OR(LEFT(TH!L2167,2)="15",LEFT(TH!M2167,2)="15"),TK!$E$7=TH!F2167),"x","")</f>
        <v/>
      </c>
      <c r="X2167" s="525" t="str">
        <f>IF(AND('341-CT'!$E$9=H2167,OR(LEFT(L2167,3)=$X$7,LEFT(M2167,3)=$X$7)),"x","")</f>
        <v/>
      </c>
      <c r="Y2167" s="525" t="str">
        <f>IF(OR(TH!L2167=TH!$Y$7,M2167=TH!$Y$7),"x","")</f>
        <v/>
      </c>
      <c r="Z2167" s="525" t="str">
        <f>IF(AND(B2167&lt;=NKC!$N$8,B2167&gt;=NKC!$M$8),"x","")</f>
        <v/>
      </c>
      <c r="AA2167" s="535">
        <v>2</v>
      </c>
      <c r="AB2167" s="536"/>
      <c r="AF2167" s="536"/>
      <c r="AG2167" s="536"/>
      <c r="AH2167" s="536"/>
    </row>
    <row r="2168" spans="1:34" s="503" customFormat="1" ht="15.75" customHeight="1">
      <c r="A2168" s="517" t="str">
        <f>IF(B2168&lt;&gt;"",IF(AND(B2168&gt;=_TM1,B2168&lt;=_TM2,OR(TH!L2168="1111",TH!M2168="1111")),TH!D2168,""),"")</f>
        <v/>
      </c>
      <c r="B2168" s="531">
        <f t="shared" si="197"/>
        <v>4</v>
      </c>
      <c r="C2168" s="315">
        <f t="shared" si="198"/>
        <v>42843</v>
      </c>
      <c r="D2168" s="315" t="s">
        <v>977</v>
      </c>
      <c r="E2168" s="315">
        <v>42843</v>
      </c>
      <c r="F2168" s="249" t="s">
        <v>1046</v>
      </c>
      <c r="G2168" s="314" t="s">
        <v>1051</v>
      </c>
      <c r="H2168" s="473" t="s">
        <v>447</v>
      </c>
      <c r="I2168" s="307">
        <v>45</v>
      </c>
      <c r="J2168" s="307">
        <v>14921</v>
      </c>
      <c r="K2168" s="532">
        <f t="shared" si="201"/>
        <v>671445</v>
      </c>
      <c r="L2168" s="534" t="s">
        <v>292</v>
      </c>
      <c r="M2168" s="534" t="s">
        <v>8</v>
      </c>
      <c r="N2168" s="525" t="str">
        <f>IF(AND('331-CT'!$E$7=TH!H2168,OR(L2168="331",M2168="331")),"331",IF(AND(OR(L2168="131",M2168="131"),H2168='131-CT'!$E$7),"131",""))</f>
        <v/>
      </c>
      <c r="O2168" s="525" t="str">
        <f>IF(AND($B2168&gt;='111'!$N$11,$B2168&lt;='111'!$O$11,OR($L2168=$O$7,$M2168=$O$7)),"x","")</f>
        <v/>
      </c>
      <c r="P2168" s="525" t="str">
        <f>IF(AND($L2168=$O$7,$B2168&lt;'111'!$N$11),"x","")</f>
        <v/>
      </c>
      <c r="Q2168" s="525" t="str">
        <f>IF(AND($M2168=$O$7,$B2168&lt;'111'!$N$11),"x","")</f>
        <v/>
      </c>
      <c r="R2168" s="525" t="str">
        <f>IF(ISERROR(FIND('112'!$M$9,G2168,1)),"",IF((AND(FIND('112'!$M$9,G2168,1)&gt;=1,$B2168&gt;='112'!$N$8,$B2168&lt;='112'!$O$8,OR($L2168='112'!$I$6,$M2168='112'!$I$6))),"x",""))</f>
        <v/>
      </c>
      <c r="S2168" s="525" t="str">
        <f>IF(ISERROR(FIND('112'!$M$9,G2168,1)),"",IF((AND(LEFT(G2168,2)=LEFT('112'!$M$9,2),B2168&lt;'112'!$N$8,$L2168='112'!$I$6)),"x",""))</f>
        <v/>
      </c>
      <c r="T2168" s="525" t="str">
        <f>IF(ISERROR(FIND('112'!$M$9,G2168,1)),"",IF((AND(RIGHT(G2168,2)=RIGHT('112'!$M$9,2),B2168&lt;'112'!$N$8,$M2168='112'!$I$6)),"x",""))</f>
        <v/>
      </c>
      <c r="U2168" s="525" t="str">
        <f>IF(AND(B2168&gt;='IN-NX'!$P$3,B2168&lt;='IN-NX'!$Q$3,'IN-NX'!$D$7=D2168,OR(LEFT(L2168,2)="15",AND(LEFT(M2168,2)&lt;&gt;"15",LEFT(M2168,2)&lt;&gt;"33"))),"x","")</f>
        <v/>
      </c>
      <c r="V2168" s="525" t="str">
        <f>IF(AND(OR(LEFT(TH!L2168,2)="15",LEFT(TH!M2168,2)="15"),'152-CT'!$J$8=TH!F2168),"x","")</f>
        <v/>
      </c>
      <c r="W2168" s="525" t="str">
        <f>IF(AND(OR(LEFT(TH!L2168,2)="15",LEFT(TH!M2168,2)="15"),TK!$E$7=TH!F2168),"x","")</f>
        <v/>
      </c>
      <c r="X2168" s="525" t="str">
        <f>IF(AND('341-CT'!$E$9=H2168,OR(LEFT(L2168,3)=$X$7,LEFT(M2168,3)=$X$7)),"x","")</f>
        <v/>
      </c>
      <c r="Y2168" s="525" t="str">
        <f>IF(OR(TH!L2168=TH!$Y$7,M2168=TH!$Y$7),"x","")</f>
        <v/>
      </c>
      <c r="Z2168" s="525" t="str">
        <f>IF(AND(B2168&lt;=NKC!$N$8,B2168&gt;=NKC!$M$8),"x","")</f>
        <v/>
      </c>
      <c r="AA2168" s="535">
        <v>2</v>
      </c>
      <c r="AB2168" s="536"/>
      <c r="AF2168" s="536"/>
      <c r="AG2168" s="536"/>
      <c r="AH2168" s="536"/>
    </row>
    <row r="2169" spans="1:34" s="503" customFormat="1" ht="15.75" customHeight="1">
      <c r="A2169" s="517" t="str">
        <f>IF(B2169&lt;&gt;"",IF(AND(B2169&gt;=_TM1,B2169&lt;=_TM2,OR(TH!L2169="1111",TH!M2169="1111")),TH!D2169,""),"")</f>
        <v/>
      </c>
      <c r="B2169" s="531">
        <f t="shared" si="197"/>
        <v>4</v>
      </c>
      <c r="C2169" s="315">
        <f t="shared" si="198"/>
        <v>42843</v>
      </c>
      <c r="D2169" s="315" t="s">
        <v>977</v>
      </c>
      <c r="E2169" s="315">
        <v>42843</v>
      </c>
      <c r="F2169" s="249" t="s">
        <v>721</v>
      </c>
      <c r="G2169" s="314" t="s">
        <v>1051</v>
      </c>
      <c r="H2169" s="473" t="s">
        <v>447</v>
      </c>
      <c r="I2169" s="307">
        <v>12</v>
      </c>
      <c r="J2169" s="307">
        <v>7804</v>
      </c>
      <c r="K2169" s="532">
        <f t="shared" si="201"/>
        <v>93648</v>
      </c>
      <c r="L2169" s="534" t="s">
        <v>292</v>
      </c>
      <c r="M2169" s="534" t="s">
        <v>8</v>
      </c>
      <c r="N2169" s="525" t="str">
        <f>IF(AND('331-CT'!$E$7=TH!H2169,OR(L2169="331",M2169="331")),"331",IF(AND(OR(L2169="131",M2169="131"),H2169='131-CT'!$E$7),"131",""))</f>
        <v/>
      </c>
      <c r="O2169" s="525" t="str">
        <f>IF(AND($B2169&gt;='111'!$N$11,$B2169&lt;='111'!$O$11,OR($L2169=$O$7,$M2169=$O$7)),"x","")</f>
        <v/>
      </c>
      <c r="P2169" s="525" t="str">
        <f>IF(AND($L2169=$O$7,$B2169&lt;'111'!$N$11),"x","")</f>
        <v/>
      </c>
      <c r="Q2169" s="525" t="str">
        <f>IF(AND($M2169=$O$7,$B2169&lt;'111'!$N$11),"x","")</f>
        <v/>
      </c>
      <c r="R2169" s="525" t="str">
        <f>IF(ISERROR(FIND('112'!$M$9,G2169,1)),"",IF((AND(FIND('112'!$M$9,G2169,1)&gt;=1,$B2169&gt;='112'!$N$8,$B2169&lt;='112'!$O$8,OR($L2169='112'!$I$6,$M2169='112'!$I$6))),"x",""))</f>
        <v/>
      </c>
      <c r="S2169" s="525" t="str">
        <f>IF(ISERROR(FIND('112'!$M$9,G2169,1)),"",IF((AND(LEFT(G2169,2)=LEFT('112'!$M$9,2),B2169&lt;'112'!$N$8,$L2169='112'!$I$6)),"x",""))</f>
        <v/>
      </c>
      <c r="T2169" s="525" t="str">
        <f>IF(ISERROR(FIND('112'!$M$9,G2169,1)),"",IF((AND(RIGHT(G2169,2)=RIGHT('112'!$M$9,2),B2169&lt;'112'!$N$8,$M2169='112'!$I$6)),"x",""))</f>
        <v/>
      </c>
      <c r="U2169" s="525" t="str">
        <f>IF(AND(B2169&gt;='IN-NX'!$P$3,B2169&lt;='IN-NX'!$Q$3,'IN-NX'!$D$7=D2169,OR(LEFT(L2169,2)="15",AND(LEFT(M2169,2)&lt;&gt;"15",LEFT(M2169,2)&lt;&gt;"33"))),"x","")</f>
        <v/>
      </c>
      <c r="V2169" s="525" t="str">
        <f>IF(AND(OR(LEFT(TH!L2169,2)="15",LEFT(TH!M2169,2)="15"),'152-CT'!$J$8=TH!F2169),"x","")</f>
        <v/>
      </c>
      <c r="W2169" s="525" t="str">
        <f>IF(AND(OR(LEFT(TH!L2169,2)="15",LEFT(TH!M2169,2)="15"),TK!$E$7=TH!F2169),"x","")</f>
        <v/>
      </c>
      <c r="X2169" s="525" t="str">
        <f>IF(AND('341-CT'!$E$9=H2169,OR(LEFT(L2169,3)=$X$7,LEFT(M2169,3)=$X$7)),"x","")</f>
        <v/>
      </c>
      <c r="Y2169" s="525" t="str">
        <f>IF(OR(TH!L2169=TH!$Y$7,M2169=TH!$Y$7),"x","")</f>
        <v/>
      </c>
      <c r="Z2169" s="525" t="str">
        <f>IF(AND(B2169&lt;=NKC!$N$8,B2169&gt;=NKC!$M$8),"x","")</f>
        <v/>
      </c>
      <c r="AA2169" s="535">
        <v>2</v>
      </c>
      <c r="AB2169" s="536"/>
      <c r="AD2169" s="536"/>
      <c r="AF2169" s="536"/>
      <c r="AG2169" s="536"/>
      <c r="AH2169" s="536"/>
    </row>
    <row r="2170" spans="1:34" s="503" customFormat="1" ht="15.75" customHeight="1">
      <c r="A2170" s="517" t="str">
        <f>IF(B2170&lt;&gt;"",IF(AND(B2170&gt;=_TM1,B2170&lt;=_TM2,OR(TH!L2170="1111",TH!M2170="1111")),TH!D2170,""),"")</f>
        <v/>
      </c>
      <c r="B2170" s="531">
        <f t="shared" si="197"/>
        <v>4</v>
      </c>
      <c r="C2170" s="315">
        <f t="shared" si="198"/>
        <v>42843</v>
      </c>
      <c r="D2170" s="315" t="s">
        <v>977</v>
      </c>
      <c r="E2170" s="315">
        <v>42843</v>
      </c>
      <c r="F2170" s="249" t="s">
        <v>724</v>
      </c>
      <c r="G2170" s="314" t="s">
        <v>1051</v>
      </c>
      <c r="H2170" s="473" t="s">
        <v>447</v>
      </c>
      <c r="I2170" s="307">
        <v>32</v>
      </c>
      <c r="J2170" s="307">
        <v>8229</v>
      </c>
      <c r="K2170" s="532">
        <f t="shared" si="201"/>
        <v>263328</v>
      </c>
      <c r="L2170" s="534" t="s">
        <v>292</v>
      </c>
      <c r="M2170" s="534" t="s">
        <v>8</v>
      </c>
      <c r="N2170" s="525" t="str">
        <f>IF(AND('331-CT'!$E$7=TH!H2170,OR(L2170="331",M2170="331")),"331",IF(AND(OR(L2170="131",M2170="131"),H2170='131-CT'!$E$7),"131",""))</f>
        <v/>
      </c>
      <c r="O2170" s="525" t="str">
        <f>IF(AND($B2170&gt;='111'!$N$11,$B2170&lt;='111'!$O$11,OR($L2170=$O$7,$M2170=$O$7)),"x","")</f>
        <v/>
      </c>
      <c r="P2170" s="525" t="str">
        <f>IF(AND($L2170=$O$7,$B2170&lt;'111'!$N$11),"x","")</f>
        <v/>
      </c>
      <c r="Q2170" s="525" t="str">
        <f>IF(AND($M2170=$O$7,$B2170&lt;'111'!$N$11),"x","")</f>
        <v/>
      </c>
      <c r="R2170" s="525" t="str">
        <f>IF(ISERROR(FIND('112'!$M$9,G2170,1)),"",IF((AND(FIND('112'!$M$9,G2170,1)&gt;=1,$B2170&gt;='112'!$N$8,$B2170&lt;='112'!$O$8,OR($L2170='112'!$I$6,$M2170='112'!$I$6))),"x",""))</f>
        <v/>
      </c>
      <c r="S2170" s="525" t="str">
        <f>IF(ISERROR(FIND('112'!$M$9,G2170,1)),"",IF((AND(LEFT(G2170,2)=LEFT('112'!$M$9,2),B2170&lt;'112'!$N$8,$L2170='112'!$I$6)),"x",""))</f>
        <v/>
      </c>
      <c r="T2170" s="525" t="str">
        <f>IF(ISERROR(FIND('112'!$M$9,G2170,1)),"",IF((AND(RIGHT(G2170,2)=RIGHT('112'!$M$9,2),B2170&lt;'112'!$N$8,$M2170='112'!$I$6)),"x",""))</f>
        <v/>
      </c>
      <c r="U2170" s="525" t="str">
        <f>IF(AND(B2170&gt;='IN-NX'!$P$3,B2170&lt;='IN-NX'!$Q$3,'IN-NX'!$D$7=D2170,OR(LEFT(L2170,2)="15",AND(LEFT(M2170,2)&lt;&gt;"15",LEFT(M2170,2)&lt;&gt;"33"))),"x","")</f>
        <v/>
      </c>
      <c r="V2170" s="525" t="str">
        <f>IF(AND(OR(LEFT(TH!L2170,2)="15",LEFT(TH!M2170,2)="15"),'152-CT'!$J$8=TH!F2170),"x","")</f>
        <v/>
      </c>
      <c r="W2170" s="525" t="str">
        <f>IF(AND(OR(LEFT(TH!L2170,2)="15",LEFT(TH!M2170,2)="15"),TK!$E$7=TH!F2170),"x","")</f>
        <v/>
      </c>
      <c r="X2170" s="525" t="str">
        <f>IF(AND('341-CT'!$E$9=H2170,OR(LEFT(L2170,3)=$X$7,LEFT(M2170,3)=$X$7)),"x","")</f>
        <v/>
      </c>
      <c r="Y2170" s="525" t="str">
        <f>IF(OR(TH!L2170=TH!$Y$7,M2170=TH!$Y$7),"x","")</f>
        <v/>
      </c>
      <c r="Z2170" s="525" t="str">
        <f>IF(AND(B2170&lt;=NKC!$N$8,B2170&gt;=NKC!$M$8),"x","")</f>
        <v/>
      </c>
      <c r="AA2170" s="535">
        <v>2</v>
      </c>
      <c r="AB2170" s="536"/>
      <c r="AD2170" s="536"/>
      <c r="AF2170" s="536"/>
      <c r="AG2170" s="536"/>
      <c r="AH2170" s="536"/>
    </row>
    <row r="2171" spans="1:34" s="503" customFormat="1" ht="15.75" customHeight="1">
      <c r="A2171" s="517" t="str">
        <f>IF(B2171&lt;&gt;"",IF(AND(B2171&gt;=_TM1,B2171&lt;=_TM2,OR(TH!L2171="1111",TH!M2171="1111")),TH!D2171,""),"")</f>
        <v/>
      </c>
      <c r="B2171" s="531">
        <f t="shared" si="197"/>
        <v>4</v>
      </c>
      <c r="C2171" s="315">
        <f t="shared" si="198"/>
        <v>42843</v>
      </c>
      <c r="D2171" s="315" t="s">
        <v>977</v>
      </c>
      <c r="E2171" s="315">
        <v>42843</v>
      </c>
      <c r="F2171" s="249" t="s">
        <v>727</v>
      </c>
      <c r="G2171" s="314" t="s">
        <v>1051</v>
      </c>
      <c r="H2171" s="473" t="s">
        <v>447</v>
      </c>
      <c r="I2171" s="307">
        <v>12</v>
      </c>
      <c r="J2171" s="307">
        <v>22519</v>
      </c>
      <c r="K2171" s="532">
        <f t="shared" si="201"/>
        <v>270228</v>
      </c>
      <c r="L2171" s="534" t="s">
        <v>292</v>
      </c>
      <c r="M2171" s="534" t="s">
        <v>8</v>
      </c>
      <c r="N2171" s="525" t="str">
        <f>IF(AND('331-CT'!$E$7=TH!H2171,OR(L2171="331",M2171="331")),"331",IF(AND(OR(L2171="131",M2171="131"),H2171='131-CT'!$E$7),"131",""))</f>
        <v/>
      </c>
      <c r="O2171" s="525" t="str">
        <f>IF(AND($B2171&gt;='111'!$N$11,$B2171&lt;='111'!$O$11,OR($L2171=$O$7,$M2171=$O$7)),"x","")</f>
        <v/>
      </c>
      <c r="P2171" s="525" t="str">
        <f>IF(AND($L2171=$O$7,$B2171&lt;'111'!$N$11),"x","")</f>
        <v/>
      </c>
      <c r="Q2171" s="525" t="str">
        <f>IF(AND($M2171=$O$7,$B2171&lt;'111'!$N$11),"x","")</f>
        <v/>
      </c>
      <c r="R2171" s="525" t="str">
        <f>IF(ISERROR(FIND('112'!$M$9,G2171,1)),"",IF((AND(FIND('112'!$M$9,G2171,1)&gt;=1,$B2171&gt;='112'!$N$8,$B2171&lt;='112'!$O$8,OR($L2171='112'!$I$6,$M2171='112'!$I$6))),"x",""))</f>
        <v/>
      </c>
      <c r="S2171" s="525" t="str">
        <f>IF(ISERROR(FIND('112'!$M$9,G2171,1)),"",IF((AND(LEFT(G2171,2)=LEFT('112'!$M$9,2),B2171&lt;'112'!$N$8,$L2171='112'!$I$6)),"x",""))</f>
        <v/>
      </c>
      <c r="T2171" s="525" t="str">
        <f>IF(ISERROR(FIND('112'!$M$9,G2171,1)),"",IF((AND(RIGHT(G2171,2)=RIGHT('112'!$M$9,2),B2171&lt;'112'!$N$8,$M2171='112'!$I$6)),"x",""))</f>
        <v/>
      </c>
      <c r="U2171" s="525" t="str">
        <f>IF(AND(B2171&gt;='IN-NX'!$P$3,B2171&lt;='IN-NX'!$Q$3,'IN-NX'!$D$7=D2171,OR(LEFT(L2171,2)="15",AND(LEFT(M2171,2)&lt;&gt;"15",LEFT(M2171,2)&lt;&gt;"33"))),"x","")</f>
        <v/>
      </c>
      <c r="V2171" s="525" t="str">
        <f>IF(AND(OR(LEFT(TH!L2171,2)="15",LEFT(TH!M2171,2)="15"),'152-CT'!$J$8=TH!F2171),"x","")</f>
        <v/>
      </c>
      <c r="W2171" s="525" t="str">
        <f>IF(AND(OR(LEFT(TH!L2171,2)="15",LEFT(TH!M2171,2)="15"),TK!$E$7=TH!F2171),"x","")</f>
        <v/>
      </c>
      <c r="X2171" s="525" t="str">
        <f>IF(AND('341-CT'!$E$9=H2171,OR(LEFT(L2171,3)=$X$7,LEFT(M2171,3)=$X$7)),"x","")</f>
        <v/>
      </c>
      <c r="Y2171" s="525" t="str">
        <f>IF(OR(TH!L2171=TH!$Y$7,M2171=TH!$Y$7),"x","")</f>
        <v/>
      </c>
      <c r="Z2171" s="525" t="str">
        <f>IF(AND(B2171&lt;=NKC!$N$8,B2171&gt;=NKC!$M$8),"x","")</f>
        <v/>
      </c>
      <c r="AA2171" s="535">
        <v>2</v>
      </c>
      <c r="AB2171" s="536"/>
      <c r="AD2171" s="536"/>
      <c r="AF2171" s="536"/>
      <c r="AG2171" s="536"/>
      <c r="AH2171" s="536"/>
    </row>
    <row r="2172" spans="1:34" s="503" customFormat="1" ht="15.75" customHeight="1">
      <c r="A2172" s="517" t="str">
        <f>IF(B2172&lt;&gt;"",IF(AND(B2172&gt;=_TM1,B2172&lt;=_TM2,OR(TH!L2172="1111",TH!M2172="1111")),TH!D2172,""),"")</f>
        <v/>
      </c>
      <c r="B2172" s="531">
        <f t="shared" si="197"/>
        <v>4</v>
      </c>
      <c r="C2172" s="315">
        <f t="shared" si="198"/>
        <v>42843</v>
      </c>
      <c r="D2172" s="315" t="s">
        <v>977</v>
      </c>
      <c r="E2172" s="315">
        <v>42843</v>
      </c>
      <c r="F2172" s="249" t="s">
        <v>1047</v>
      </c>
      <c r="G2172" s="314" t="s">
        <v>1051</v>
      </c>
      <c r="H2172" s="473" t="s">
        <v>447</v>
      </c>
      <c r="I2172" s="307">
        <v>4</v>
      </c>
      <c r="J2172" s="307">
        <v>39964</v>
      </c>
      <c r="K2172" s="532">
        <f t="shared" si="201"/>
        <v>159856</v>
      </c>
      <c r="L2172" s="534" t="s">
        <v>292</v>
      </c>
      <c r="M2172" s="534" t="s">
        <v>8</v>
      </c>
      <c r="N2172" s="525" t="str">
        <f>IF(AND('331-CT'!$E$7=TH!H2172,OR(L2172="331",M2172="331")),"331",IF(AND(OR(L2172="131",M2172="131"),H2172='131-CT'!$E$7),"131",""))</f>
        <v/>
      </c>
      <c r="O2172" s="525" t="str">
        <f>IF(AND($B2172&gt;='111'!$N$11,$B2172&lt;='111'!$O$11,OR($L2172=$O$7,$M2172=$O$7)),"x","")</f>
        <v/>
      </c>
      <c r="P2172" s="525" t="str">
        <f>IF(AND($L2172=$O$7,$B2172&lt;'111'!$N$11),"x","")</f>
        <v/>
      </c>
      <c r="Q2172" s="525" t="str">
        <f>IF(AND($M2172=$O$7,$B2172&lt;'111'!$N$11),"x","")</f>
        <v/>
      </c>
      <c r="R2172" s="525" t="str">
        <f>IF(ISERROR(FIND('112'!$M$9,G2172,1)),"",IF((AND(FIND('112'!$M$9,G2172,1)&gt;=1,$B2172&gt;='112'!$N$8,$B2172&lt;='112'!$O$8,OR($L2172='112'!$I$6,$M2172='112'!$I$6))),"x",""))</f>
        <v/>
      </c>
      <c r="S2172" s="525" t="str">
        <f>IF(ISERROR(FIND('112'!$M$9,G2172,1)),"",IF((AND(LEFT(G2172,2)=LEFT('112'!$M$9,2),B2172&lt;'112'!$N$8,$L2172='112'!$I$6)),"x",""))</f>
        <v/>
      </c>
      <c r="T2172" s="525" t="str">
        <f>IF(ISERROR(FIND('112'!$M$9,G2172,1)),"",IF((AND(RIGHT(G2172,2)=RIGHT('112'!$M$9,2),B2172&lt;'112'!$N$8,$M2172='112'!$I$6)),"x",""))</f>
        <v/>
      </c>
      <c r="U2172" s="525" t="str">
        <f>IF(AND(B2172&gt;='IN-NX'!$P$3,B2172&lt;='IN-NX'!$Q$3,'IN-NX'!$D$7=D2172,OR(LEFT(L2172,2)="15",AND(LEFT(M2172,2)&lt;&gt;"15",LEFT(M2172,2)&lt;&gt;"33"))),"x","")</f>
        <v/>
      </c>
      <c r="V2172" s="525" t="str">
        <f>IF(AND(OR(LEFT(TH!L2172,2)="15",LEFT(TH!M2172,2)="15"),'152-CT'!$J$8=TH!F2172),"x","")</f>
        <v/>
      </c>
      <c r="W2172" s="525" t="str">
        <f>IF(AND(OR(LEFT(TH!L2172,2)="15",LEFT(TH!M2172,2)="15"),TK!$E$7=TH!F2172),"x","")</f>
        <v/>
      </c>
      <c r="X2172" s="525" t="str">
        <f>IF(AND('341-CT'!$E$9=H2172,OR(LEFT(L2172,3)=$X$7,LEFT(M2172,3)=$X$7)),"x","")</f>
        <v/>
      </c>
      <c r="Y2172" s="525" t="str">
        <f>IF(OR(TH!L2172=TH!$Y$7,M2172=TH!$Y$7),"x","")</f>
        <v/>
      </c>
      <c r="Z2172" s="525" t="str">
        <f>IF(AND(B2172&lt;=NKC!$N$8,B2172&gt;=NKC!$M$8),"x","")</f>
        <v/>
      </c>
      <c r="AA2172" s="535">
        <v>2</v>
      </c>
      <c r="AB2172" s="536"/>
      <c r="AF2172" s="536"/>
      <c r="AG2172" s="536"/>
      <c r="AH2172" s="536"/>
    </row>
    <row r="2173" spans="1:34" s="503" customFormat="1" ht="15.75" customHeight="1">
      <c r="A2173" s="517" t="str">
        <f>IF(B2173&lt;&gt;"",IF(AND(B2173&gt;=_TM1,B2173&lt;=_TM2,OR(TH!L2173="1111",TH!M2173="1111")),TH!D2173,""),"")</f>
        <v/>
      </c>
      <c r="B2173" s="531">
        <f t="shared" si="197"/>
        <v>4</v>
      </c>
      <c r="C2173" s="315">
        <f t="shared" si="198"/>
        <v>42843</v>
      </c>
      <c r="D2173" s="315" t="s">
        <v>977</v>
      </c>
      <c r="E2173" s="315">
        <v>42843</v>
      </c>
      <c r="F2173" s="249" t="s">
        <v>1048</v>
      </c>
      <c r="G2173" s="314" t="s">
        <v>1051</v>
      </c>
      <c r="H2173" s="473" t="s">
        <v>447</v>
      </c>
      <c r="I2173" s="307">
        <v>4</v>
      </c>
      <c r="J2173" s="307">
        <v>41226</v>
      </c>
      <c r="K2173" s="532">
        <f t="shared" si="201"/>
        <v>164904</v>
      </c>
      <c r="L2173" s="534" t="s">
        <v>292</v>
      </c>
      <c r="M2173" s="534" t="s">
        <v>8</v>
      </c>
      <c r="N2173" s="525" t="str">
        <f>IF(AND('331-CT'!$E$7=TH!H2173,OR(L2173="331",M2173="331")),"331",IF(AND(OR(L2173="131",M2173="131"),H2173='131-CT'!$E$7),"131",""))</f>
        <v/>
      </c>
      <c r="O2173" s="525" t="str">
        <f>IF(AND($B2173&gt;='111'!$N$11,$B2173&lt;='111'!$O$11,OR($L2173=$O$7,$M2173=$O$7)),"x","")</f>
        <v/>
      </c>
      <c r="P2173" s="525" t="str">
        <f>IF(AND($L2173=$O$7,$B2173&lt;'111'!$N$11),"x","")</f>
        <v/>
      </c>
      <c r="Q2173" s="525" t="str">
        <f>IF(AND($M2173=$O$7,$B2173&lt;'111'!$N$11),"x","")</f>
        <v/>
      </c>
      <c r="R2173" s="525" t="str">
        <f>IF(ISERROR(FIND('112'!$M$9,G2173,1)),"",IF((AND(FIND('112'!$M$9,G2173,1)&gt;=1,$B2173&gt;='112'!$N$8,$B2173&lt;='112'!$O$8,OR($L2173='112'!$I$6,$M2173='112'!$I$6))),"x",""))</f>
        <v/>
      </c>
      <c r="S2173" s="525" t="str">
        <f>IF(ISERROR(FIND('112'!$M$9,G2173,1)),"",IF((AND(LEFT(G2173,2)=LEFT('112'!$M$9,2),B2173&lt;'112'!$N$8,$L2173='112'!$I$6)),"x",""))</f>
        <v/>
      </c>
      <c r="T2173" s="525" t="str">
        <f>IF(ISERROR(FIND('112'!$M$9,G2173,1)),"",IF((AND(RIGHT(G2173,2)=RIGHT('112'!$M$9,2),B2173&lt;'112'!$N$8,$M2173='112'!$I$6)),"x",""))</f>
        <v/>
      </c>
      <c r="U2173" s="525" t="str">
        <f>IF(AND(B2173&gt;='IN-NX'!$P$3,B2173&lt;='IN-NX'!$Q$3,'IN-NX'!$D$7=D2173,OR(LEFT(L2173,2)="15",AND(LEFT(M2173,2)&lt;&gt;"15",LEFT(M2173,2)&lt;&gt;"33"))),"x","")</f>
        <v/>
      </c>
      <c r="V2173" s="525" t="str">
        <f>IF(AND(OR(LEFT(TH!L2173,2)="15",LEFT(TH!M2173,2)="15"),'152-CT'!$J$8=TH!F2173),"x","")</f>
        <v/>
      </c>
      <c r="W2173" s="525" t="str">
        <f>IF(AND(OR(LEFT(TH!L2173,2)="15",LEFT(TH!M2173,2)="15"),TK!$E$7=TH!F2173),"x","")</f>
        <v/>
      </c>
      <c r="X2173" s="525" t="str">
        <f>IF(AND('341-CT'!$E$9=H2173,OR(LEFT(L2173,3)=$X$7,LEFT(M2173,3)=$X$7)),"x","")</f>
        <v/>
      </c>
      <c r="Y2173" s="525" t="str">
        <f>IF(OR(TH!L2173=TH!$Y$7,M2173=TH!$Y$7),"x","")</f>
        <v/>
      </c>
      <c r="Z2173" s="525" t="str">
        <f>IF(AND(B2173&lt;=NKC!$N$8,B2173&gt;=NKC!$M$8),"x","")</f>
        <v/>
      </c>
      <c r="AA2173" s="535">
        <v>2</v>
      </c>
      <c r="AB2173" s="536"/>
      <c r="AF2173" s="536"/>
      <c r="AG2173" s="536"/>
      <c r="AH2173" s="536"/>
    </row>
    <row r="2174" spans="1:34" s="503" customFormat="1" ht="15.75" customHeight="1">
      <c r="A2174" s="517" t="str">
        <f>IF(B2174&lt;&gt;"",IF(AND(B2174&gt;=_TM1,B2174&lt;=_TM2,OR(TH!L2174="1111",TH!M2174="1111")),TH!D2174,""),"")</f>
        <v/>
      </c>
      <c r="B2174" s="531">
        <f t="shared" si="197"/>
        <v>4</v>
      </c>
      <c r="C2174" s="315">
        <f t="shared" si="198"/>
        <v>42843</v>
      </c>
      <c r="D2174" s="315" t="s">
        <v>977</v>
      </c>
      <c r="E2174" s="315">
        <v>42843</v>
      </c>
      <c r="F2174" s="245" t="s">
        <v>730</v>
      </c>
      <c r="G2174" s="314" t="s">
        <v>1051</v>
      </c>
      <c r="H2174" s="473" t="s">
        <v>447</v>
      </c>
      <c r="I2174" s="307">
        <v>4</v>
      </c>
      <c r="J2174" s="307">
        <v>36740</v>
      </c>
      <c r="K2174" s="532">
        <f t="shared" si="201"/>
        <v>146960</v>
      </c>
      <c r="L2174" s="534" t="s">
        <v>292</v>
      </c>
      <c r="M2174" s="534" t="s">
        <v>8</v>
      </c>
      <c r="N2174" s="525" t="str">
        <f>IF(AND('331-CT'!$E$7=TH!H2174,OR(L2174="331",M2174="331")),"331",IF(AND(OR(L2174="131",M2174="131"),H2174='131-CT'!$E$7),"131",""))</f>
        <v/>
      </c>
      <c r="O2174" s="525" t="str">
        <f>IF(AND($B2174&gt;='111'!$N$11,$B2174&lt;='111'!$O$11,OR($L2174=$O$7,$M2174=$O$7)),"x","")</f>
        <v/>
      </c>
      <c r="P2174" s="525" t="str">
        <f>IF(AND($L2174=$O$7,$B2174&lt;'111'!$N$11),"x","")</f>
        <v/>
      </c>
      <c r="Q2174" s="525" t="str">
        <f>IF(AND($M2174=$O$7,$B2174&lt;'111'!$N$11),"x","")</f>
        <v/>
      </c>
      <c r="R2174" s="525" t="str">
        <f>IF(ISERROR(FIND('112'!$M$9,G2174,1)),"",IF((AND(FIND('112'!$M$9,G2174,1)&gt;=1,$B2174&gt;='112'!$N$8,$B2174&lt;='112'!$O$8,OR($L2174='112'!$I$6,$M2174='112'!$I$6))),"x",""))</f>
        <v/>
      </c>
      <c r="S2174" s="525" t="str">
        <f>IF(ISERROR(FIND('112'!$M$9,G2174,1)),"",IF((AND(LEFT(G2174,2)=LEFT('112'!$M$9,2),B2174&lt;'112'!$N$8,$L2174='112'!$I$6)),"x",""))</f>
        <v/>
      </c>
      <c r="T2174" s="525" t="str">
        <f>IF(ISERROR(FIND('112'!$M$9,G2174,1)),"",IF((AND(RIGHT(G2174,2)=RIGHT('112'!$M$9,2),B2174&lt;'112'!$N$8,$M2174='112'!$I$6)),"x",""))</f>
        <v/>
      </c>
      <c r="U2174" s="525" t="str">
        <f>IF(AND(B2174&gt;='IN-NX'!$P$3,B2174&lt;='IN-NX'!$Q$3,'IN-NX'!$D$7=D2174,OR(LEFT(L2174,2)="15",AND(LEFT(M2174,2)&lt;&gt;"15",LEFT(M2174,2)&lt;&gt;"33"))),"x","")</f>
        <v/>
      </c>
      <c r="V2174" s="525" t="str">
        <f>IF(AND(OR(LEFT(TH!L2174,2)="15",LEFT(TH!M2174,2)="15"),'152-CT'!$J$8=TH!F2174),"x","")</f>
        <v/>
      </c>
      <c r="W2174" s="525" t="str">
        <f>IF(AND(OR(LEFT(TH!L2174,2)="15",LEFT(TH!M2174,2)="15"),TK!$E$7=TH!F2174),"x","")</f>
        <v/>
      </c>
      <c r="X2174" s="525" t="str">
        <f>IF(AND('341-CT'!$E$9=H2174,OR(LEFT(L2174,3)=$X$7,LEFT(M2174,3)=$X$7)),"x","")</f>
        <v/>
      </c>
      <c r="Y2174" s="525" t="str">
        <f>IF(OR(TH!L2174=TH!$Y$7,M2174=TH!$Y$7),"x","")</f>
        <v/>
      </c>
      <c r="Z2174" s="525" t="str">
        <f>IF(AND(B2174&lt;=NKC!$N$8,B2174&gt;=NKC!$M$8),"x","")</f>
        <v/>
      </c>
      <c r="AA2174" s="535">
        <v>2</v>
      </c>
      <c r="AB2174" s="536"/>
      <c r="AF2174" s="536"/>
      <c r="AG2174" s="536"/>
      <c r="AH2174" s="536"/>
    </row>
    <row r="2175" spans="1:34" s="503" customFormat="1" ht="15.75" customHeight="1">
      <c r="A2175" s="517" t="str">
        <f>IF(B2175&lt;&gt;"",IF(AND(B2175&gt;=_TM1,B2175&lt;=_TM2,OR(TH!L2175="1111",TH!M2175="1111")),TH!D2175,""),"")</f>
        <v/>
      </c>
      <c r="B2175" s="531">
        <f t="shared" si="197"/>
        <v>4</v>
      </c>
      <c r="C2175" s="315">
        <f t="shared" si="198"/>
        <v>42843</v>
      </c>
      <c r="D2175" s="315" t="s">
        <v>978</v>
      </c>
      <c r="E2175" s="315">
        <v>42843</v>
      </c>
      <c r="F2175" s="249" t="s">
        <v>746</v>
      </c>
      <c r="G2175" s="314" t="s">
        <v>1051</v>
      </c>
      <c r="H2175" s="473" t="s">
        <v>447</v>
      </c>
      <c r="I2175" s="307">
        <v>6</v>
      </c>
      <c r="J2175" s="307">
        <v>20831</v>
      </c>
      <c r="K2175" s="532">
        <f t="shared" si="201"/>
        <v>124986</v>
      </c>
      <c r="L2175" s="534" t="s">
        <v>292</v>
      </c>
      <c r="M2175" s="534" t="s">
        <v>8</v>
      </c>
      <c r="N2175" s="525" t="str">
        <f>IF(AND('331-CT'!$E$7=TH!H2175,OR(L2175="331",M2175="331")),"331",IF(AND(OR(L2175="131",M2175="131"),H2175='131-CT'!$E$7),"131",""))</f>
        <v/>
      </c>
      <c r="O2175" s="525" t="str">
        <f>IF(AND($B2175&gt;='111'!$N$11,$B2175&lt;='111'!$O$11,OR($L2175=$O$7,$M2175=$O$7)),"x","")</f>
        <v/>
      </c>
      <c r="P2175" s="525" t="str">
        <f>IF(AND($L2175=$O$7,$B2175&lt;'111'!$N$11),"x","")</f>
        <v/>
      </c>
      <c r="Q2175" s="525" t="str">
        <f>IF(AND($M2175=$O$7,$B2175&lt;'111'!$N$11),"x","")</f>
        <v/>
      </c>
      <c r="R2175" s="525" t="str">
        <f>IF(ISERROR(FIND('112'!$M$9,G2175,1)),"",IF((AND(FIND('112'!$M$9,G2175,1)&gt;=1,$B2175&gt;='112'!$N$8,$B2175&lt;='112'!$O$8,OR($L2175='112'!$I$6,$M2175='112'!$I$6))),"x",""))</f>
        <v/>
      </c>
      <c r="S2175" s="525" t="str">
        <f>IF(ISERROR(FIND('112'!$M$9,G2175,1)),"",IF((AND(LEFT(G2175,2)=LEFT('112'!$M$9,2),B2175&lt;'112'!$N$8,$L2175='112'!$I$6)),"x",""))</f>
        <v/>
      </c>
      <c r="T2175" s="525" t="str">
        <f>IF(ISERROR(FIND('112'!$M$9,G2175,1)),"",IF((AND(RIGHT(G2175,2)=RIGHT('112'!$M$9,2),B2175&lt;'112'!$N$8,$M2175='112'!$I$6)),"x",""))</f>
        <v/>
      </c>
      <c r="U2175" s="525" t="str">
        <f>IF(AND(B2175&gt;='IN-NX'!$P$3,B2175&lt;='IN-NX'!$Q$3,'IN-NX'!$D$7=D2175,OR(LEFT(L2175,2)="15",AND(LEFT(M2175,2)&lt;&gt;"15",LEFT(M2175,2)&lt;&gt;"33"))),"x","")</f>
        <v/>
      </c>
      <c r="V2175" s="525" t="str">
        <f>IF(AND(OR(LEFT(TH!L2175,2)="15",LEFT(TH!M2175,2)="15"),'152-CT'!$J$8=TH!F2175),"x","")</f>
        <v/>
      </c>
      <c r="W2175" s="525" t="str">
        <f>IF(AND(OR(LEFT(TH!L2175,2)="15",LEFT(TH!M2175,2)="15"),TK!$E$7=TH!F2175),"x","")</f>
        <v/>
      </c>
      <c r="X2175" s="525" t="str">
        <f>IF(AND('341-CT'!$E$9=H2175,OR(LEFT(L2175,3)=$X$7,LEFT(M2175,3)=$X$7)),"x","")</f>
        <v/>
      </c>
      <c r="Y2175" s="525" t="str">
        <f>IF(OR(TH!L2175=TH!$Y$7,M2175=TH!$Y$7),"x","")</f>
        <v/>
      </c>
      <c r="Z2175" s="525" t="str">
        <f>IF(AND(B2175&lt;=NKC!$N$8,B2175&gt;=NKC!$M$8),"x","")</f>
        <v/>
      </c>
      <c r="AA2175" s="535">
        <v>2</v>
      </c>
      <c r="AB2175" s="536"/>
      <c r="AF2175" s="536"/>
      <c r="AG2175" s="536"/>
      <c r="AH2175" s="536"/>
    </row>
    <row r="2176" spans="1:34" s="503" customFormat="1" ht="15.75" customHeight="1">
      <c r="A2176" s="517" t="str">
        <f>IF(B2176&lt;&gt;"",IF(AND(B2176&gt;=_TM1,B2176&lt;=_TM2,OR(TH!L2176="1111",TH!M2176="1111")),TH!D2176,""),"")</f>
        <v/>
      </c>
      <c r="B2176" s="531">
        <f t="shared" si="197"/>
        <v>4</v>
      </c>
      <c r="C2176" s="315">
        <f t="shared" si="198"/>
        <v>42843</v>
      </c>
      <c r="D2176" s="315" t="s">
        <v>978</v>
      </c>
      <c r="E2176" s="315">
        <v>42843</v>
      </c>
      <c r="F2176" s="245" t="s">
        <v>712</v>
      </c>
      <c r="G2176" s="314" t="s">
        <v>1051</v>
      </c>
      <c r="H2176" s="473" t="s">
        <v>447</v>
      </c>
      <c r="I2176" s="307">
        <v>36</v>
      </c>
      <c r="J2176" s="307">
        <v>45869</v>
      </c>
      <c r="K2176" s="532">
        <f t="shared" si="201"/>
        <v>1651284</v>
      </c>
      <c r="L2176" s="534" t="s">
        <v>292</v>
      </c>
      <c r="M2176" s="534" t="s">
        <v>8</v>
      </c>
      <c r="N2176" s="525" t="str">
        <f>IF(AND('331-CT'!$E$7=TH!H2176,OR(L2176="331",M2176="331")),"331",IF(AND(OR(L2176="131",M2176="131"),H2176='131-CT'!$E$7),"131",""))</f>
        <v/>
      </c>
      <c r="O2176" s="525" t="str">
        <f>IF(AND($B2176&gt;='111'!$N$11,$B2176&lt;='111'!$O$11,OR($L2176=$O$7,$M2176=$O$7)),"x","")</f>
        <v/>
      </c>
      <c r="P2176" s="525" t="str">
        <f>IF(AND($L2176=$O$7,$B2176&lt;'111'!$N$11),"x","")</f>
        <v/>
      </c>
      <c r="Q2176" s="525" t="str">
        <f>IF(AND($M2176=$O$7,$B2176&lt;'111'!$N$11),"x","")</f>
        <v/>
      </c>
      <c r="R2176" s="525" t="str">
        <f>IF(ISERROR(FIND('112'!$M$9,G2176,1)),"",IF((AND(FIND('112'!$M$9,G2176,1)&gt;=1,$B2176&gt;='112'!$N$8,$B2176&lt;='112'!$O$8,OR($L2176='112'!$I$6,$M2176='112'!$I$6))),"x",""))</f>
        <v/>
      </c>
      <c r="S2176" s="525" t="str">
        <f>IF(ISERROR(FIND('112'!$M$9,G2176,1)),"",IF((AND(LEFT(G2176,2)=LEFT('112'!$M$9,2),B2176&lt;'112'!$N$8,$L2176='112'!$I$6)),"x",""))</f>
        <v/>
      </c>
      <c r="T2176" s="525" t="str">
        <f>IF(ISERROR(FIND('112'!$M$9,G2176,1)),"",IF((AND(RIGHT(G2176,2)=RIGHT('112'!$M$9,2),B2176&lt;'112'!$N$8,$M2176='112'!$I$6)),"x",""))</f>
        <v/>
      </c>
      <c r="U2176" s="525" t="str">
        <f>IF(AND(B2176&gt;='IN-NX'!$P$3,B2176&lt;='IN-NX'!$Q$3,'IN-NX'!$D$7=D2176,OR(LEFT(L2176,2)="15",AND(LEFT(M2176,2)&lt;&gt;"15",LEFT(M2176,2)&lt;&gt;"33"))),"x","")</f>
        <v/>
      </c>
      <c r="V2176" s="525" t="str">
        <f>IF(AND(OR(LEFT(TH!L2176,2)="15",LEFT(TH!M2176,2)="15"),'152-CT'!$J$8=TH!F2176),"x","")</f>
        <v/>
      </c>
      <c r="W2176" s="525" t="str">
        <f>IF(AND(OR(LEFT(TH!L2176,2)="15",LEFT(TH!M2176,2)="15"),TK!$E$7=TH!F2176),"x","")</f>
        <v/>
      </c>
      <c r="X2176" s="525" t="str">
        <f>IF(AND('341-CT'!$E$9=H2176,OR(LEFT(L2176,3)=$X$7,LEFT(M2176,3)=$X$7)),"x","")</f>
        <v/>
      </c>
      <c r="Y2176" s="525" t="str">
        <f>IF(OR(TH!L2176=TH!$Y$7,M2176=TH!$Y$7),"x","")</f>
        <v/>
      </c>
      <c r="Z2176" s="525" t="str">
        <f>IF(AND(B2176&lt;=NKC!$N$8,B2176&gt;=NKC!$M$8),"x","")</f>
        <v/>
      </c>
      <c r="AA2176" s="535">
        <v>2</v>
      </c>
      <c r="AB2176" s="536"/>
      <c r="AF2176" s="536"/>
      <c r="AG2176" s="536"/>
      <c r="AH2176" s="536"/>
    </row>
    <row r="2177" spans="1:34" s="503" customFormat="1" ht="15.75" customHeight="1">
      <c r="A2177" s="517" t="str">
        <f>IF(B2177&lt;&gt;"",IF(AND(B2177&gt;=_TM1,B2177&lt;=_TM2,OR(TH!L2177="1111",TH!M2177="1111")),TH!D2177,""),"")</f>
        <v/>
      </c>
      <c r="B2177" s="531">
        <f t="shared" si="197"/>
        <v>4</v>
      </c>
      <c r="C2177" s="315">
        <f t="shared" si="198"/>
        <v>42843</v>
      </c>
      <c r="D2177" s="315" t="s">
        <v>978</v>
      </c>
      <c r="E2177" s="315">
        <v>42843</v>
      </c>
      <c r="F2177" s="249" t="s">
        <v>713</v>
      </c>
      <c r="G2177" s="314" t="s">
        <v>1051</v>
      </c>
      <c r="H2177" s="473" t="s">
        <v>447</v>
      </c>
      <c r="I2177" s="307">
        <v>18</v>
      </c>
      <c r="J2177" s="307">
        <v>33167</v>
      </c>
      <c r="K2177" s="532">
        <f t="shared" si="201"/>
        <v>597006</v>
      </c>
      <c r="L2177" s="534" t="s">
        <v>292</v>
      </c>
      <c r="M2177" s="534" t="s">
        <v>8</v>
      </c>
      <c r="N2177" s="525" t="str">
        <f>IF(AND('331-CT'!$E$7=TH!H2177,OR(L2177="331",M2177="331")),"331",IF(AND(OR(L2177="131",M2177="131"),H2177='131-CT'!$E$7),"131",""))</f>
        <v/>
      </c>
      <c r="O2177" s="525" t="str">
        <f>IF(AND($B2177&gt;='111'!$N$11,$B2177&lt;='111'!$O$11,OR($L2177=$O$7,$M2177=$O$7)),"x","")</f>
        <v/>
      </c>
      <c r="P2177" s="525" t="str">
        <f>IF(AND($L2177=$O$7,$B2177&lt;'111'!$N$11),"x","")</f>
        <v/>
      </c>
      <c r="Q2177" s="525" t="str">
        <f>IF(AND($M2177=$O$7,$B2177&lt;'111'!$N$11),"x","")</f>
        <v/>
      </c>
      <c r="R2177" s="525" t="str">
        <f>IF(ISERROR(FIND('112'!$M$9,G2177,1)),"",IF((AND(FIND('112'!$M$9,G2177,1)&gt;=1,$B2177&gt;='112'!$N$8,$B2177&lt;='112'!$O$8,OR($L2177='112'!$I$6,$M2177='112'!$I$6))),"x",""))</f>
        <v/>
      </c>
      <c r="S2177" s="525" t="str">
        <f>IF(ISERROR(FIND('112'!$M$9,G2177,1)),"",IF((AND(LEFT(G2177,2)=LEFT('112'!$M$9,2),B2177&lt;'112'!$N$8,$L2177='112'!$I$6)),"x",""))</f>
        <v/>
      </c>
      <c r="T2177" s="525" t="str">
        <f>IF(ISERROR(FIND('112'!$M$9,G2177,1)),"",IF((AND(RIGHT(G2177,2)=RIGHT('112'!$M$9,2),B2177&lt;'112'!$N$8,$M2177='112'!$I$6)),"x",""))</f>
        <v/>
      </c>
      <c r="U2177" s="525" t="str">
        <f>IF(AND(B2177&gt;='IN-NX'!$P$3,B2177&lt;='IN-NX'!$Q$3,'IN-NX'!$D$7=D2177,OR(LEFT(L2177,2)="15",AND(LEFT(M2177,2)&lt;&gt;"15",LEFT(M2177,2)&lt;&gt;"33"))),"x","")</f>
        <v/>
      </c>
      <c r="V2177" s="525" t="str">
        <f>IF(AND(OR(LEFT(TH!L2177,2)="15",LEFT(TH!M2177,2)="15"),'152-CT'!$J$8=TH!F2177),"x","")</f>
        <v/>
      </c>
      <c r="W2177" s="525" t="str">
        <f>IF(AND(OR(LEFT(TH!L2177,2)="15",LEFT(TH!M2177,2)="15"),TK!$E$7=TH!F2177),"x","")</f>
        <v/>
      </c>
      <c r="X2177" s="525" t="str">
        <f>IF(AND('341-CT'!$E$9=H2177,OR(LEFT(L2177,3)=$X$7,LEFT(M2177,3)=$X$7)),"x","")</f>
        <v/>
      </c>
      <c r="Y2177" s="525" t="str">
        <f>IF(OR(TH!L2177=TH!$Y$7,M2177=TH!$Y$7),"x","")</f>
        <v/>
      </c>
      <c r="Z2177" s="525" t="str">
        <f>IF(AND(B2177&lt;=NKC!$N$8,B2177&gt;=NKC!$M$8),"x","")</f>
        <v/>
      </c>
      <c r="AA2177" s="535">
        <v>2</v>
      </c>
      <c r="AB2177" s="536"/>
      <c r="AF2177" s="536"/>
      <c r="AG2177" s="536"/>
      <c r="AH2177" s="536"/>
    </row>
    <row r="2178" spans="1:34" s="536" customFormat="1" ht="15.75" customHeight="1">
      <c r="A2178" s="517" t="str">
        <f>IF(B2178&lt;&gt;"",IF(AND(B2178&gt;=_TM1,B2178&lt;=_TM2,OR(TH!L2178="1111",TH!M2178="1111")),TH!D2178,""),"")</f>
        <v/>
      </c>
      <c r="B2178" s="531">
        <f t="shared" si="197"/>
        <v>4</v>
      </c>
      <c r="C2178" s="315">
        <f t="shared" si="198"/>
        <v>42843</v>
      </c>
      <c r="D2178" s="315" t="s">
        <v>978</v>
      </c>
      <c r="E2178" s="315">
        <v>42843</v>
      </c>
      <c r="F2178" s="249" t="s">
        <v>715</v>
      </c>
      <c r="G2178" s="314" t="s">
        <v>1051</v>
      </c>
      <c r="H2178" s="473" t="s">
        <v>447</v>
      </c>
      <c r="I2178" s="307">
        <v>12</v>
      </c>
      <c r="J2178" s="307">
        <v>36447</v>
      </c>
      <c r="K2178" s="532">
        <f t="shared" si="201"/>
        <v>437364</v>
      </c>
      <c r="L2178" s="534" t="s">
        <v>292</v>
      </c>
      <c r="M2178" s="534" t="s">
        <v>8</v>
      </c>
      <c r="N2178" s="525" t="str">
        <f>IF(AND('331-CT'!$E$7=TH!H2178,OR(L2178="331",M2178="331")),"331",IF(AND(OR(L2178="131",M2178="131"),H2178='131-CT'!$E$7),"131",""))</f>
        <v/>
      </c>
      <c r="O2178" s="525" t="str">
        <f>IF(AND($B2178&gt;='111'!$N$11,$B2178&lt;='111'!$O$11,OR($L2178=$O$7,$M2178=$O$7)),"x","")</f>
        <v/>
      </c>
      <c r="P2178" s="525" t="str">
        <f>IF(AND($L2178=$O$7,$B2178&lt;'111'!$N$11),"x","")</f>
        <v/>
      </c>
      <c r="Q2178" s="525" t="str">
        <f>IF(AND($M2178=$O$7,$B2178&lt;'111'!$N$11),"x","")</f>
        <v/>
      </c>
      <c r="R2178" s="525" t="str">
        <f>IF(ISERROR(FIND('112'!$M$9,G2178,1)),"",IF((AND(FIND('112'!$M$9,G2178,1)&gt;=1,$B2178&gt;='112'!$N$8,$B2178&lt;='112'!$O$8,OR($L2178='112'!$I$6,$M2178='112'!$I$6))),"x",""))</f>
        <v/>
      </c>
      <c r="S2178" s="525" t="str">
        <f>IF(ISERROR(FIND('112'!$M$9,G2178,1)),"",IF((AND(LEFT(G2178,2)=LEFT('112'!$M$9,2),B2178&lt;'112'!$N$8,$L2178='112'!$I$6)),"x",""))</f>
        <v/>
      </c>
      <c r="T2178" s="525" t="str">
        <f>IF(ISERROR(FIND('112'!$M$9,G2178,1)),"",IF((AND(RIGHT(G2178,2)=RIGHT('112'!$M$9,2),B2178&lt;'112'!$N$8,$M2178='112'!$I$6)),"x",""))</f>
        <v/>
      </c>
      <c r="U2178" s="525" t="str">
        <f>IF(AND(B2178&gt;='IN-NX'!$P$3,B2178&lt;='IN-NX'!$Q$3,'IN-NX'!$D$7=D2178,OR(LEFT(L2178,2)="15",AND(LEFT(M2178,2)&lt;&gt;"15",LEFT(M2178,2)&lt;&gt;"33"))),"x","")</f>
        <v/>
      </c>
      <c r="V2178" s="525" t="str">
        <f>IF(AND(OR(LEFT(TH!L2178,2)="15",LEFT(TH!M2178,2)="15"),'152-CT'!$J$8=TH!F2178),"x","")</f>
        <v/>
      </c>
      <c r="W2178" s="525" t="str">
        <f>IF(AND(OR(LEFT(TH!L2178,2)="15",LEFT(TH!M2178,2)="15"),TK!$E$7=TH!F2178),"x","")</f>
        <v/>
      </c>
      <c r="X2178" s="525" t="str">
        <f>IF(AND('341-CT'!$E$9=H2178,OR(LEFT(L2178,3)=$X$7,LEFT(M2178,3)=$X$7)),"x","")</f>
        <v/>
      </c>
      <c r="Y2178" s="525" t="str">
        <f>IF(OR(TH!L2178=TH!$Y$7,M2178=TH!$Y$7),"x","")</f>
        <v/>
      </c>
      <c r="Z2178" s="525" t="str">
        <f>IF(AND(B2178&lt;=NKC!$N$8,B2178&gt;=NKC!$M$8),"x","")</f>
        <v/>
      </c>
      <c r="AA2178" s="535">
        <v>2</v>
      </c>
      <c r="AC2178" s="503"/>
      <c r="AD2178" s="503"/>
      <c r="AE2178" s="503"/>
    </row>
    <row r="2179" spans="1:34" s="536" customFormat="1" ht="15.75" customHeight="1">
      <c r="A2179" s="517" t="str">
        <f>IF(B2179&lt;&gt;"",IF(AND(B2179&gt;=_TM1,B2179&lt;=_TM2,OR(TH!L2179="1111",TH!M2179="1111")),TH!D2179,""),"")</f>
        <v/>
      </c>
      <c r="B2179" s="531">
        <f t="shared" si="197"/>
        <v>4</v>
      </c>
      <c r="C2179" s="315">
        <f t="shared" si="198"/>
        <v>42843</v>
      </c>
      <c r="D2179" s="315" t="s">
        <v>978</v>
      </c>
      <c r="E2179" s="315">
        <v>42843</v>
      </c>
      <c r="F2179" s="245" t="s">
        <v>1049</v>
      </c>
      <c r="G2179" s="314" t="s">
        <v>1051</v>
      </c>
      <c r="H2179" s="473" t="s">
        <v>447</v>
      </c>
      <c r="I2179" s="307">
        <v>12</v>
      </c>
      <c r="J2179" s="307">
        <v>24145</v>
      </c>
      <c r="K2179" s="532">
        <f t="shared" si="201"/>
        <v>289740</v>
      </c>
      <c r="L2179" s="534" t="s">
        <v>292</v>
      </c>
      <c r="M2179" s="534" t="s">
        <v>8</v>
      </c>
      <c r="N2179" s="525" t="str">
        <f>IF(AND('331-CT'!$E$7=TH!H2179,OR(L2179="331",M2179="331")),"331",IF(AND(OR(L2179="131",M2179="131"),H2179='131-CT'!$E$7),"131",""))</f>
        <v/>
      </c>
      <c r="O2179" s="525" t="str">
        <f>IF(AND($B2179&gt;='111'!$N$11,$B2179&lt;='111'!$O$11,OR($L2179=$O$7,$M2179=$O$7)),"x","")</f>
        <v/>
      </c>
      <c r="P2179" s="525" t="str">
        <f>IF(AND($L2179=$O$7,$B2179&lt;'111'!$N$11),"x","")</f>
        <v/>
      </c>
      <c r="Q2179" s="525" t="str">
        <f>IF(AND($M2179=$O$7,$B2179&lt;'111'!$N$11),"x","")</f>
        <v/>
      </c>
      <c r="R2179" s="525" t="str">
        <f>IF(ISERROR(FIND('112'!$M$9,G2179,1)),"",IF((AND(FIND('112'!$M$9,G2179,1)&gt;=1,$B2179&gt;='112'!$N$8,$B2179&lt;='112'!$O$8,OR($L2179='112'!$I$6,$M2179='112'!$I$6))),"x",""))</f>
        <v/>
      </c>
      <c r="S2179" s="525" t="str">
        <f>IF(ISERROR(FIND('112'!$M$9,G2179,1)),"",IF((AND(LEFT(G2179,2)=LEFT('112'!$M$9,2),B2179&lt;'112'!$N$8,$L2179='112'!$I$6)),"x",""))</f>
        <v/>
      </c>
      <c r="T2179" s="525" t="str">
        <f>IF(ISERROR(FIND('112'!$M$9,G2179,1)),"",IF((AND(RIGHT(G2179,2)=RIGHT('112'!$M$9,2),B2179&lt;'112'!$N$8,$M2179='112'!$I$6)),"x",""))</f>
        <v/>
      </c>
      <c r="U2179" s="525" t="str">
        <f>IF(AND(B2179&gt;='IN-NX'!$P$3,B2179&lt;='IN-NX'!$Q$3,'IN-NX'!$D$7=D2179,OR(LEFT(L2179,2)="15",AND(LEFT(M2179,2)&lt;&gt;"15",LEFT(M2179,2)&lt;&gt;"33"))),"x","")</f>
        <v/>
      </c>
      <c r="V2179" s="525" t="str">
        <f>IF(AND(OR(LEFT(TH!L2179,2)="15",LEFT(TH!M2179,2)="15"),'152-CT'!$J$8=TH!F2179),"x","")</f>
        <v/>
      </c>
      <c r="W2179" s="525" t="str">
        <f>IF(AND(OR(LEFT(TH!L2179,2)="15",LEFT(TH!M2179,2)="15"),TK!$E$7=TH!F2179),"x","")</f>
        <v/>
      </c>
      <c r="X2179" s="525" t="str">
        <f>IF(AND('341-CT'!$E$9=H2179,OR(LEFT(L2179,3)=$X$7,LEFT(M2179,3)=$X$7)),"x","")</f>
        <v/>
      </c>
      <c r="Y2179" s="525" t="str">
        <f>IF(OR(TH!L2179=TH!$Y$7,M2179=TH!$Y$7),"x","")</f>
        <v/>
      </c>
      <c r="Z2179" s="525" t="str">
        <f>IF(AND(B2179&lt;=NKC!$N$8,B2179&gt;=NKC!$M$8),"x","")</f>
        <v/>
      </c>
      <c r="AA2179" s="535">
        <v>2</v>
      </c>
      <c r="AC2179" s="503"/>
      <c r="AD2179" s="503"/>
      <c r="AE2179" s="503"/>
    </row>
    <row r="2180" spans="1:34" s="536" customFormat="1" ht="15.75" customHeight="1">
      <c r="A2180" s="517" t="str">
        <f>IF(B2180&lt;&gt;"",IF(AND(B2180&gt;=_TM1,B2180&lt;=_TM2,OR(TH!L2180="1111",TH!M2180="1111")),TH!D2180,""),"")</f>
        <v/>
      </c>
      <c r="B2180" s="531">
        <f t="shared" si="197"/>
        <v>4</v>
      </c>
      <c r="C2180" s="315">
        <f t="shared" si="198"/>
        <v>42843</v>
      </c>
      <c r="D2180" s="315" t="s">
        <v>978</v>
      </c>
      <c r="E2180" s="315">
        <v>42843</v>
      </c>
      <c r="F2180" s="245" t="s">
        <v>1050</v>
      </c>
      <c r="G2180" s="314" t="s">
        <v>1051</v>
      </c>
      <c r="H2180" s="473" t="s">
        <v>447</v>
      </c>
      <c r="I2180" s="307">
        <v>36</v>
      </c>
      <c r="J2180" s="307">
        <v>12849</v>
      </c>
      <c r="K2180" s="532">
        <f t="shared" si="201"/>
        <v>462564</v>
      </c>
      <c r="L2180" s="534" t="s">
        <v>292</v>
      </c>
      <c r="M2180" s="534" t="s">
        <v>8</v>
      </c>
      <c r="N2180" s="525" t="str">
        <f>IF(AND('331-CT'!$E$7=TH!H2180,OR(L2180="331",M2180="331")),"331",IF(AND(OR(L2180="131",M2180="131"),H2180='131-CT'!$E$7),"131",""))</f>
        <v/>
      </c>
      <c r="O2180" s="525" t="str">
        <f>IF(AND($B2180&gt;='111'!$N$11,$B2180&lt;='111'!$O$11,OR($L2180=$O$7,$M2180=$O$7)),"x","")</f>
        <v/>
      </c>
      <c r="P2180" s="525" t="str">
        <f>IF(AND($L2180=$O$7,$B2180&lt;'111'!$N$11),"x","")</f>
        <v/>
      </c>
      <c r="Q2180" s="525" t="str">
        <f>IF(AND($M2180=$O$7,$B2180&lt;'111'!$N$11),"x","")</f>
        <v/>
      </c>
      <c r="R2180" s="525" t="str">
        <f>IF(ISERROR(FIND('112'!$M$9,G2180,1)),"",IF((AND(FIND('112'!$M$9,G2180,1)&gt;=1,$B2180&gt;='112'!$N$8,$B2180&lt;='112'!$O$8,OR($L2180='112'!$I$6,$M2180='112'!$I$6))),"x",""))</f>
        <v/>
      </c>
      <c r="S2180" s="525" t="str">
        <f>IF(ISERROR(FIND('112'!$M$9,G2180,1)),"",IF((AND(LEFT(G2180,2)=LEFT('112'!$M$9,2),B2180&lt;'112'!$N$8,$L2180='112'!$I$6)),"x",""))</f>
        <v/>
      </c>
      <c r="T2180" s="525" t="str">
        <f>IF(ISERROR(FIND('112'!$M$9,G2180,1)),"",IF((AND(RIGHT(G2180,2)=RIGHT('112'!$M$9,2),B2180&lt;'112'!$N$8,$M2180='112'!$I$6)),"x",""))</f>
        <v/>
      </c>
      <c r="U2180" s="525" t="str">
        <f>IF(AND(B2180&gt;='IN-NX'!$P$3,B2180&lt;='IN-NX'!$Q$3,'IN-NX'!$D$7=D2180,OR(LEFT(L2180,2)="15",AND(LEFT(M2180,2)&lt;&gt;"15",LEFT(M2180,2)&lt;&gt;"33"))),"x","")</f>
        <v/>
      </c>
      <c r="V2180" s="525" t="str">
        <f>IF(AND(OR(LEFT(TH!L2180,2)="15",LEFT(TH!M2180,2)="15"),'152-CT'!$J$8=TH!F2180),"x","")</f>
        <v/>
      </c>
      <c r="W2180" s="525" t="str">
        <f>IF(AND(OR(LEFT(TH!L2180,2)="15",LEFT(TH!M2180,2)="15"),TK!$E$7=TH!F2180),"x","")</f>
        <v/>
      </c>
      <c r="X2180" s="525" t="str">
        <f>IF(AND('341-CT'!$E$9=H2180,OR(LEFT(L2180,3)=$X$7,LEFT(M2180,3)=$X$7)),"x","")</f>
        <v/>
      </c>
      <c r="Y2180" s="525" t="str">
        <f>IF(OR(TH!L2180=TH!$Y$7,M2180=TH!$Y$7),"x","")</f>
        <v/>
      </c>
      <c r="Z2180" s="525" t="str">
        <f>IF(AND(B2180&lt;=NKC!$N$8,B2180&gt;=NKC!$M$8),"x","")</f>
        <v/>
      </c>
      <c r="AA2180" s="535">
        <v>2</v>
      </c>
      <c r="AC2180" s="503"/>
      <c r="AD2180" s="503"/>
      <c r="AE2180" s="503"/>
    </row>
    <row r="2181" spans="1:34" s="503" customFormat="1" ht="15.75" customHeight="1">
      <c r="A2181" s="517" t="str">
        <f>IF(B2181&lt;&gt;"",IF(AND(B2181&gt;=_TM1,B2181&lt;=_TM2,OR(TH!L2181="1111",TH!M2181="1111")),TH!D2181,""),"")</f>
        <v/>
      </c>
      <c r="B2181" s="531">
        <f t="shared" si="197"/>
        <v>4</v>
      </c>
      <c r="C2181" s="315">
        <f t="shared" si="198"/>
        <v>42843</v>
      </c>
      <c r="D2181" s="315" t="s">
        <v>978</v>
      </c>
      <c r="E2181" s="315">
        <v>42843</v>
      </c>
      <c r="F2181" s="247" t="s">
        <v>1002</v>
      </c>
      <c r="G2181" s="314" t="s">
        <v>1051</v>
      </c>
      <c r="H2181" s="473" t="s">
        <v>447</v>
      </c>
      <c r="I2181" s="307"/>
      <c r="J2181" s="307"/>
      <c r="K2181" s="532">
        <v>2754405</v>
      </c>
      <c r="L2181" s="713" t="s">
        <v>9</v>
      </c>
      <c r="M2181" s="534" t="s">
        <v>8</v>
      </c>
      <c r="N2181" s="525" t="str">
        <f>IF(AND('331-CT'!$E$7=TH!H2181,OR(L2181="331",M2181="331")),"331",IF(AND(OR(L2181="131",M2181="131"),H2181='131-CT'!$E$7),"131",""))</f>
        <v/>
      </c>
      <c r="O2181" s="525" t="str">
        <f>IF(AND($B2181&gt;='111'!$N$11,$B2181&lt;='111'!$O$11,OR($L2181=$O$7,$M2181=$O$7)),"x","")</f>
        <v/>
      </c>
      <c r="P2181" s="525" t="str">
        <f>IF(AND($L2181=$O$7,$B2181&lt;'111'!$N$11),"x","")</f>
        <v/>
      </c>
      <c r="Q2181" s="525" t="str">
        <f>IF(AND($M2181=$O$7,$B2181&lt;'111'!$N$11),"x","")</f>
        <v/>
      </c>
      <c r="R2181" s="525" t="str">
        <f>IF(ISERROR(FIND('112'!$M$9,G2181,1)),"",IF((AND(FIND('112'!$M$9,G2181,1)&gt;=1,$B2181&gt;='112'!$N$8,$B2181&lt;='112'!$O$8,OR($L2181='112'!$I$6,$M2181='112'!$I$6))),"x",""))</f>
        <v/>
      </c>
      <c r="S2181" s="525" t="str">
        <f>IF(ISERROR(FIND('112'!$M$9,G2181,1)),"",IF((AND(LEFT(G2181,2)=LEFT('112'!$M$9,2),B2181&lt;'112'!$N$8,$L2181='112'!$I$6)),"x",""))</f>
        <v/>
      </c>
      <c r="T2181" s="525" t="str">
        <f>IF(ISERROR(FIND('112'!$M$9,G2181,1)),"",IF((AND(RIGHT(G2181,2)=RIGHT('112'!$M$9,2),B2181&lt;'112'!$N$8,$M2181='112'!$I$6)),"x",""))</f>
        <v/>
      </c>
      <c r="U2181" s="525" t="str">
        <f>IF(AND(B2181&gt;='IN-NX'!$P$3,B2181&lt;='IN-NX'!$Q$3,'IN-NX'!$D$7=D2181,OR(LEFT(L2181,2)="15",AND(LEFT(M2181,2)&lt;&gt;"15",LEFT(M2181,2)&lt;&gt;"33"))),"x","")</f>
        <v/>
      </c>
      <c r="V2181" s="525" t="str">
        <f>IF(AND(OR(LEFT(TH!L2181,2)="15",LEFT(TH!M2181,2)="15"),'152-CT'!$J$8=TH!F2181),"x","")</f>
        <v/>
      </c>
      <c r="W2181" s="525" t="str">
        <f>IF(AND(OR(LEFT(TH!L2181,2)="15",LEFT(TH!M2181,2)="15"),TK!$E$7=TH!F2181),"x","")</f>
        <v/>
      </c>
      <c r="X2181" s="525" t="str">
        <f>IF(AND('341-CT'!$E$9=H2181,OR(LEFT(L2181,3)=$X$7,LEFT(M2181,3)=$X$7)),"x","")</f>
        <v/>
      </c>
      <c r="Y2181" s="525" t="str">
        <f>IF(OR(TH!L2181=TH!$Y$7,M2181=TH!$Y$7),"x","")</f>
        <v/>
      </c>
      <c r="Z2181" s="525" t="str">
        <f>IF(AND(B2181&lt;=NKC!$N$8,B2181&gt;=NKC!$M$8),"x","")</f>
        <v/>
      </c>
      <c r="AA2181" s="535">
        <v>2</v>
      </c>
      <c r="AB2181" s="536"/>
      <c r="AF2181" s="536"/>
      <c r="AG2181" s="536"/>
      <c r="AH2181" s="536"/>
    </row>
    <row r="2182" spans="1:34" s="503" customFormat="1" ht="15.75" customHeight="1">
      <c r="A2182" s="517" t="str">
        <f>IF(B2182&lt;&gt;"",IF(AND(B2182&gt;=_TM1,B2182&lt;=_TM2,OR(TH!L2182="1111",TH!M2182="1111")),TH!D2182,""),"")</f>
        <v/>
      </c>
      <c r="B2182" s="531">
        <f t="shared" si="197"/>
        <v>4</v>
      </c>
      <c r="C2182" s="315">
        <f t="shared" si="198"/>
        <v>42843</v>
      </c>
      <c r="D2182" s="315" t="s">
        <v>902</v>
      </c>
      <c r="E2182" s="315">
        <v>42843</v>
      </c>
      <c r="F2182" s="249" t="s">
        <v>497</v>
      </c>
      <c r="G2182" s="314" t="s">
        <v>1105</v>
      </c>
      <c r="H2182" s="473" t="s">
        <v>279</v>
      </c>
      <c r="I2182" s="307">
        <v>50</v>
      </c>
      <c r="J2182" s="307">
        <v>38290</v>
      </c>
      <c r="K2182" s="532">
        <f>ROUND(I2182*J2182,0)</f>
        <v>1914500</v>
      </c>
      <c r="L2182" s="534" t="s">
        <v>223</v>
      </c>
      <c r="M2182" s="534" t="s">
        <v>162</v>
      </c>
      <c r="N2182" s="525" t="str">
        <f>IF(AND('331-CT'!$E$7=TH!H2182,OR(L2182="331",M2182="331")),"331",IF(AND(OR(L2182="131",M2182="131"),H2182='131-CT'!$E$7),"131",""))</f>
        <v/>
      </c>
      <c r="O2182" s="525" t="str">
        <f>IF(AND($B2182&gt;='111'!$N$11,$B2182&lt;='111'!$O$11,OR($L2182=$O$7,$M2182=$O$7)),"x","")</f>
        <v/>
      </c>
      <c r="P2182" s="525" t="str">
        <f>IF(AND($L2182=$O$7,$B2182&lt;'111'!$N$11),"x","")</f>
        <v/>
      </c>
      <c r="Q2182" s="525" t="str">
        <f>IF(AND($M2182=$O$7,$B2182&lt;'111'!$N$11),"x","")</f>
        <v/>
      </c>
      <c r="R2182" s="525" t="str">
        <f>IF(ISERROR(FIND('112'!$M$9,G2182,1)),"",IF((AND(FIND('112'!$M$9,G2182,1)&gt;=1,$B2182&gt;='112'!$N$8,$B2182&lt;='112'!$O$8,OR($L2182='112'!$I$6,$M2182='112'!$I$6))),"x",""))</f>
        <v/>
      </c>
      <c r="S2182" s="525" t="str">
        <f>IF(ISERROR(FIND('112'!$M$9,G2182,1)),"",IF((AND(LEFT(G2182,2)=LEFT('112'!$M$9,2),B2182&lt;'112'!$N$8,$L2182='112'!$I$6)),"x",""))</f>
        <v/>
      </c>
      <c r="T2182" s="525" t="str">
        <f>IF(ISERROR(FIND('112'!$M$9,G2182,1)),"",IF((AND(RIGHT(G2182,2)=RIGHT('112'!$M$9,2),B2182&lt;'112'!$N$8,$M2182='112'!$I$6)),"x",""))</f>
        <v/>
      </c>
      <c r="U2182" s="525" t="str">
        <f>IF(AND(B2182&gt;='IN-NX'!$P$3,B2182&lt;='IN-NX'!$Q$3,'IN-NX'!$D$7=D2182,OR(LEFT(L2182,2)="15",AND(LEFT(M2182,2)&lt;&gt;"15",LEFT(M2182,2)&lt;&gt;"33"))),"x","")</f>
        <v/>
      </c>
      <c r="V2182" s="525" t="str">
        <f>IF(AND(OR(LEFT(TH!L2182,2)="15",LEFT(TH!M2182,2)="15"),'152-CT'!$J$8=TH!F2182),"x","")</f>
        <v/>
      </c>
      <c r="W2182" s="525" t="str">
        <f>IF(AND(OR(LEFT(TH!L2182,2)="15",LEFT(TH!M2182,2)="15"),TK!$E$7=TH!F2182),"x","")</f>
        <v/>
      </c>
      <c r="X2182" s="525" t="str">
        <f>IF(AND('341-CT'!$E$9=H2182,OR(LEFT(L2182,3)=$X$7,LEFT(M2182,3)=$X$7)),"x","")</f>
        <v/>
      </c>
      <c r="Y2182" s="525" t="str">
        <f>IF(OR(TH!L2182=TH!$Y$7,M2182=TH!$Y$7),"x","")</f>
        <v/>
      </c>
      <c r="Z2182" s="525" t="str">
        <f>IF(AND(B2182&lt;=NKC!$N$8,B2182&gt;=NKC!$M$8),"x","")</f>
        <v/>
      </c>
      <c r="AA2182" s="535"/>
      <c r="AB2182" s="536"/>
    </row>
    <row r="2183" spans="1:34" s="503" customFormat="1" ht="15.75" customHeight="1">
      <c r="A2183" s="517" t="str">
        <f>IF(B2183&lt;&gt;"",IF(AND(B2183&gt;=_TM1,B2183&lt;=_TM2,OR(TH!L2183="1111",TH!M2183="1111")),TH!D2183,""),"")</f>
        <v/>
      </c>
      <c r="B2183" s="531">
        <f t="shared" ref="B2183:B2246" si="202">IF(C2183&lt;&gt;"",MONTH(C2183),"")</f>
        <v>4</v>
      </c>
      <c r="C2183" s="315">
        <f t="shared" ref="C2183:C2246" si="203">E2183</f>
        <v>42843</v>
      </c>
      <c r="D2183" s="315" t="s">
        <v>902</v>
      </c>
      <c r="E2183" s="315">
        <v>42843</v>
      </c>
      <c r="F2183" s="245" t="s">
        <v>495</v>
      </c>
      <c r="G2183" s="314" t="s">
        <v>1105</v>
      </c>
      <c r="H2183" s="473" t="s">
        <v>279</v>
      </c>
      <c r="I2183" s="307">
        <v>50</v>
      </c>
      <c r="J2183" s="307">
        <v>25290</v>
      </c>
      <c r="K2183" s="532">
        <f>ROUND(I2183*J2183,0)</f>
        <v>1264500</v>
      </c>
      <c r="L2183" s="534" t="s">
        <v>223</v>
      </c>
      <c r="M2183" s="534" t="s">
        <v>162</v>
      </c>
      <c r="N2183" s="525" t="str">
        <f>IF(AND('331-CT'!$E$7=TH!H2183,OR(L2183="331",M2183="331")),"331",IF(AND(OR(L2183="131",M2183="131"),H2183='131-CT'!$E$7),"131",""))</f>
        <v/>
      </c>
      <c r="O2183" s="525" t="str">
        <f>IF(AND($B2183&gt;='111'!$N$11,$B2183&lt;='111'!$O$11,OR($L2183=$O$7,$M2183=$O$7)),"x","")</f>
        <v/>
      </c>
      <c r="P2183" s="525" t="str">
        <f>IF(AND($L2183=$O$7,$B2183&lt;'111'!$N$11),"x","")</f>
        <v/>
      </c>
      <c r="Q2183" s="525" t="str">
        <f>IF(AND($M2183=$O$7,$B2183&lt;'111'!$N$11),"x","")</f>
        <v/>
      </c>
      <c r="R2183" s="525" t="str">
        <f>IF(ISERROR(FIND('112'!$M$9,G2183,1)),"",IF((AND(FIND('112'!$M$9,G2183,1)&gt;=1,$B2183&gt;='112'!$N$8,$B2183&lt;='112'!$O$8,OR($L2183='112'!$I$6,$M2183='112'!$I$6))),"x",""))</f>
        <v/>
      </c>
      <c r="S2183" s="525" t="str">
        <f>IF(ISERROR(FIND('112'!$M$9,G2183,1)),"",IF((AND(LEFT(G2183,2)=LEFT('112'!$M$9,2),B2183&lt;'112'!$N$8,$L2183='112'!$I$6)),"x",""))</f>
        <v/>
      </c>
      <c r="T2183" s="525" t="str">
        <f>IF(ISERROR(FIND('112'!$M$9,G2183,1)),"",IF((AND(RIGHT(G2183,2)=RIGHT('112'!$M$9,2),B2183&lt;'112'!$N$8,$M2183='112'!$I$6)),"x",""))</f>
        <v/>
      </c>
      <c r="U2183" s="525" t="str">
        <f>IF(AND(B2183&gt;='IN-NX'!$P$3,B2183&lt;='IN-NX'!$Q$3,'IN-NX'!$D$7=D2183,OR(LEFT(L2183,2)="15",AND(LEFT(M2183,2)&lt;&gt;"15",LEFT(M2183,2)&lt;&gt;"33"))),"x","")</f>
        <v/>
      </c>
      <c r="V2183" s="525" t="str">
        <f>IF(AND(OR(LEFT(TH!L2183,2)="15",LEFT(TH!M2183,2)="15"),'152-CT'!$J$8=TH!F2183),"x","")</f>
        <v/>
      </c>
      <c r="W2183" s="525" t="str">
        <f>IF(AND(OR(LEFT(TH!L2183,2)="15",LEFT(TH!M2183,2)="15"),TK!$E$7=TH!F2183),"x","")</f>
        <v/>
      </c>
      <c r="X2183" s="525" t="str">
        <f>IF(AND('341-CT'!$E$9=H2183,OR(LEFT(L2183,3)=$X$7,LEFT(M2183,3)=$X$7)),"x","")</f>
        <v/>
      </c>
      <c r="Y2183" s="525" t="str">
        <f>IF(OR(TH!L2183=TH!$Y$7,M2183=TH!$Y$7),"x","")</f>
        <v/>
      </c>
      <c r="Z2183" s="525" t="str">
        <f>IF(AND(B2183&lt;=NKC!$N$8,B2183&gt;=NKC!$M$8),"x","")</f>
        <v/>
      </c>
      <c r="AA2183" s="535"/>
      <c r="AB2183" s="536"/>
    </row>
    <row r="2184" spans="1:34" s="503" customFormat="1" ht="15.75" customHeight="1">
      <c r="A2184" s="517" t="str">
        <f>IF(B2184&lt;&gt;"",IF(AND(B2184&gt;=_TM1,B2184&lt;=_TM2,OR(TH!L2184="1111",TH!M2184="1111")),TH!D2184,""),"")</f>
        <v/>
      </c>
      <c r="B2184" s="531">
        <f t="shared" si="202"/>
        <v>4</v>
      </c>
      <c r="C2184" s="315">
        <f t="shared" si="203"/>
        <v>42843</v>
      </c>
      <c r="D2184" s="315" t="s">
        <v>902</v>
      </c>
      <c r="E2184" s="315">
        <v>42843</v>
      </c>
      <c r="F2184" s="249" t="s">
        <v>502</v>
      </c>
      <c r="G2184" s="314" t="s">
        <v>1105</v>
      </c>
      <c r="H2184" s="473" t="s">
        <v>279</v>
      </c>
      <c r="I2184" s="307">
        <v>100</v>
      </c>
      <c r="J2184" s="307">
        <v>14000</v>
      </c>
      <c r="K2184" s="532">
        <f>ROUND(I2184*J2184,0)</f>
        <v>1400000</v>
      </c>
      <c r="L2184" s="534" t="s">
        <v>223</v>
      </c>
      <c r="M2184" s="534" t="s">
        <v>162</v>
      </c>
      <c r="N2184" s="525" t="str">
        <f>IF(AND('331-CT'!$E$7=TH!H2184,OR(L2184="331",M2184="331")),"331",IF(AND(OR(L2184="131",M2184="131"),H2184='131-CT'!$E$7),"131",""))</f>
        <v/>
      </c>
      <c r="O2184" s="525" t="str">
        <f>IF(AND($B2184&gt;='111'!$N$11,$B2184&lt;='111'!$O$11,OR($L2184=$O$7,$M2184=$O$7)),"x","")</f>
        <v/>
      </c>
      <c r="P2184" s="525" t="str">
        <f>IF(AND($L2184=$O$7,$B2184&lt;'111'!$N$11),"x","")</f>
        <v/>
      </c>
      <c r="Q2184" s="525" t="str">
        <f>IF(AND($M2184=$O$7,$B2184&lt;'111'!$N$11),"x","")</f>
        <v/>
      </c>
      <c r="R2184" s="525" t="str">
        <f>IF(ISERROR(FIND('112'!$M$9,G2184,1)),"",IF((AND(FIND('112'!$M$9,G2184,1)&gt;=1,$B2184&gt;='112'!$N$8,$B2184&lt;='112'!$O$8,OR($L2184='112'!$I$6,$M2184='112'!$I$6))),"x",""))</f>
        <v/>
      </c>
      <c r="S2184" s="525" t="str">
        <f>IF(ISERROR(FIND('112'!$M$9,G2184,1)),"",IF((AND(LEFT(G2184,2)=LEFT('112'!$M$9,2),B2184&lt;'112'!$N$8,$L2184='112'!$I$6)),"x",""))</f>
        <v/>
      </c>
      <c r="T2184" s="525" t="str">
        <f>IF(ISERROR(FIND('112'!$M$9,G2184,1)),"",IF((AND(RIGHT(G2184,2)=RIGHT('112'!$M$9,2),B2184&lt;'112'!$N$8,$M2184='112'!$I$6)),"x",""))</f>
        <v/>
      </c>
      <c r="U2184" s="525" t="str">
        <f>IF(AND(B2184&gt;='IN-NX'!$P$3,B2184&lt;='IN-NX'!$Q$3,'IN-NX'!$D$7=D2184,OR(LEFT(L2184,2)="15",AND(LEFT(M2184,2)&lt;&gt;"15",LEFT(M2184,2)&lt;&gt;"33"))),"x","")</f>
        <v/>
      </c>
      <c r="V2184" s="525" t="str">
        <f>IF(AND(OR(LEFT(TH!L2184,2)="15",LEFT(TH!M2184,2)="15"),'152-CT'!$J$8=TH!F2184),"x","")</f>
        <v/>
      </c>
      <c r="W2184" s="525" t="str">
        <f>IF(AND(OR(LEFT(TH!L2184,2)="15",LEFT(TH!M2184,2)="15"),TK!$E$7=TH!F2184),"x","")</f>
        <v/>
      </c>
      <c r="X2184" s="525" t="str">
        <f>IF(AND('341-CT'!$E$9=H2184,OR(LEFT(L2184,3)=$X$7,LEFT(M2184,3)=$X$7)),"x","")</f>
        <v/>
      </c>
      <c r="Y2184" s="525" t="str">
        <f>IF(OR(TH!L2184=TH!$Y$7,M2184=TH!$Y$7),"x","")</f>
        <v/>
      </c>
      <c r="Z2184" s="525" t="str">
        <f>IF(AND(B2184&lt;=NKC!$N$8,B2184&gt;=NKC!$M$8),"x","")</f>
        <v/>
      </c>
      <c r="AA2184" s="535"/>
      <c r="AB2184" s="536"/>
    </row>
    <row r="2185" spans="1:34" s="503" customFormat="1" ht="15.75" customHeight="1">
      <c r="A2185" s="517" t="str">
        <f>IF(B2185&lt;&gt;"",IF(AND(B2185&gt;=_TM1,B2185&lt;=_TM2,OR(TH!L2185="1111",TH!M2185="1111")),TH!D2185,""),"")</f>
        <v/>
      </c>
      <c r="B2185" s="531">
        <f t="shared" si="202"/>
        <v>4</v>
      </c>
      <c r="C2185" s="315">
        <f t="shared" si="203"/>
        <v>42843</v>
      </c>
      <c r="D2185" s="315" t="s">
        <v>902</v>
      </c>
      <c r="E2185" s="315">
        <v>42843</v>
      </c>
      <c r="F2185" s="249" t="s">
        <v>1030</v>
      </c>
      <c r="G2185" s="314" t="s">
        <v>1105</v>
      </c>
      <c r="H2185" s="473" t="s">
        <v>279</v>
      </c>
      <c r="I2185" s="307">
        <v>50</v>
      </c>
      <c r="J2185" s="307">
        <v>23760</v>
      </c>
      <c r="K2185" s="532">
        <f>ROUND(I2185*J2185,0)</f>
        <v>1188000</v>
      </c>
      <c r="L2185" s="534" t="s">
        <v>223</v>
      </c>
      <c r="M2185" s="534" t="s">
        <v>162</v>
      </c>
      <c r="N2185" s="525" t="str">
        <f>IF(AND('331-CT'!$E$7=TH!H2185,OR(L2185="331",M2185="331")),"331",IF(AND(OR(L2185="131",M2185="131"),H2185='131-CT'!$E$7),"131",""))</f>
        <v/>
      </c>
      <c r="O2185" s="525" t="str">
        <f>IF(AND($B2185&gt;='111'!$N$11,$B2185&lt;='111'!$O$11,OR($L2185=$O$7,$M2185=$O$7)),"x","")</f>
        <v/>
      </c>
      <c r="P2185" s="525" t="str">
        <f>IF(AND($L2185=$O$7,$B2185&lt;'111'!$N$11),"x","")</f>
        <v/>
      </c>
      <c r="Q2185" s="525" t="str">
        <f>IF(AND($M2185=$O$7,$B2185&lt;'111'!$N$11),"x","")</f>
        <v/>
      </c>
      <c r="R2185" s="525" t="str">
        <f>IF(ISERROR(FIND('112'!$M$9,G2185,1)),"",IF((AND(FIND('112'!$M$9,G2185,1)&gt;=1,$B2185&gt;='112'!$N$8,$B2185&lt;='112'!$O$8,OR($L2185='112'!$I$6,$M2185='112'!$I$6))),"x",""))</f>
        <v/>
      </c>
      <c r="S2185" s="525" t="str">
        <f>IF(ISERROR(FIND('112'!$M$9,G2185,1)),"",IF((AND(LEFT(G2185,2)=LEFT('112'!$M$9,2),B2185&lt;'112'!$N$8,$L2185='112'!$I$6)),"x",""))</f>
        <v/>
      </c>
      <c r="T2185" s="525" t="str">
        <f>IF(ISERROR(FIND('112'!$M$9,G2185,1)),"",IF((AND(RIGHT(G2185,2)=RIGHT('112'!$M$9,2),B2185&lt;'112'!$N$8,$M2185='112'!$I$6)),"x",""))</f>
        <v/>
      </c>
      <c r="U2185" s="525" t="str">
        <f>IF(AND(B2185&gt;='IN-NX'!$P$3,B2185&lt;='IN-NX'!$Q$3,'IN-NX'!$D$7=D2185,OR(LEFT(L2185,2)="15",AND(LEFT(M2185,2)&lt;&gt;"15",LEFT(M2185,2)&lt;&gt;"33"))),"x","")</f>
        <v/>
      </c>
      <c r="V2185" s="525" t="str">
        <f>IF(AND(OR(LEFT(TH!L2185,2)="15",LEFT(TH!M2185,2)="15"),'152-CT'!$J$8=TH!F2185),"x","")</f>
        <v/>
      </c>
      <c r="W2185" s="525" t="str">
        <f>IF(AND(OR(LEFT(TH!L2185,2)="15",LEFT(TH!M2185,2)="15"),TK!$E$7=TH!F2185),"x","")</f>
        <v/>
      </c>
      <c r="X2185" s="525" t="str">
        <f>IF(AND('341-CT'!$E$9=H2185,OR(LEFT(L2185,3)=$X$7,LEFT(M2185,3)=$X$7)),"x","")</f>
        <v/>
      </c>
      <c r="Y2185" s="525" t="str">
        <f>IF(OR(TH!L2185=TH!$Y$7,M2185=TH!$Y$7),"x","")</f>
        <v/>
      </c>
      <c r="Z2185" s="525" t="str">
        <f>IF(AND(B2185&lt;=NKC!$N$8,B2185&gt;=NKC!$M$8),"x","")</f>
        <v/>
      </c>
      <c r="AA2185" s="535"/>
      <c r="AB2185" s="536"/>
    </row>
    <row r="2186" spans="1:34" s="503" customFormat="1" ht="15.75" customHeight="1">
      <c r="A2186" s="517" t="str">
        <f>IF(B2186&lt;&gt;"",IF(AND(B2186&gt;=_TM1,B2186&lt;=_TM2,OR(TH!L2186="1111",TH!M2186="1111")),TH!D2186,""),"")</f>
        <v/>
      </c>
      <c r="B2186" s="531">
        <f t="shared" si="202"/>
        <v>4</v>
      </c>
      <c r="C2186" s="315">
        <f t="shared" si="203"/>
        <v>42843</v>
      </c>
      <c r="D2186" s="315" t="s">
        <v>902</v>
      </c>
      <c r="E2186" s="315">
        <v>42843</v>
      </c>
      <c r="F2186" s="249" t="s">
        <v>494</v>
      </c>
      <c r="G2186" s="314" t="s">
        <v>1105</v>
      </c>
      <c r="H2186" s="473" t="s">
        <v>279</v>
      </c>
      <c r="I2186" s="307"/>
      <c r="J2186" s="307"/>
      <c r="K2186" s="532">
        <v>576700</v>
      </c>
      <c r="L2186" s="534" t="s">
        <v>223</v>
      </c>
      <c r="M2186" s="534" t="s">
        <v>259</v>
      </c>
      <c r="N2186" s="525" t="str">
        <f>IF(AND('331-CT'!$E$7=TH!H2186,OR(L2186="331",M2186="331")),"331",IF(AND(OR(L2186="131",M2186="131"),H2186='131-CT'!$E$7),"131",""))</f>
        <v/>
      </c>
      <c r="O2186" s="525" t="str">
        <f>IF(AND($B2186&gt;='111'!$N$11,$B2186&lt;='111'!$O$11,OR($L2186=$O$7,$M2186=$O$7)),"x","")</f>
        <v/>
      </c>
      <c r="P2186" s="525" t="str">
        <f>IF(AND($L2186=$O$7,$B2186&lt;'111'!$N$11),"x","")</f>
        <v/>
      </c>
      <c r="Q2186" s="525" t="str">
        <f>IF(AND($M2186=$O$7,$B2186&lt;'111'!$N$11),"x","")</f>
        <v/>
      </c>
      <c r="R2186" s="525" t="str">
        <f>IF(ISERROR(FIND('112'!$M$9,G2186,1)),"",IF((AND(FIND('112'!$M$9,G2186,1)&gt;=1,$B2186&gt;='112'!$N$8,$B2186&lt;='112'!$O$8,OR($L2186='112'!$I$6,$M2186='112'!$I$6))),"x",""))</f>
        <v/>
      </c>
      <c r="S2186" s="525" t="str">
        <f>IF(ISERROR(FIND('112'!$M$9,G2186,1)),"",IF((AND(LEFT(G2186,2)=LEFT('112'!$M$9,2),B2186&lt;'112'!$N$8,$L2186='112'!$I$6)),"x",""))</f>
        <v/>
      </c>
      <c r="T2186" s="525" t="str">
        <f>IF(ISERROR(FIND('112'!$M$9,G2186,1)),"",IF((AND(RIGHT(G2186,2)=RIGHT('112'!$M$9,2),B2186&lt;'112'!$N$8,$M2186='112'!$I$6)),"x",""))</f>
        <v/>
      </c>
      <c r="U2186" s="525" t="str">
        <f>IF(AND(B2186&gt;='IN-NX'!$P$3,B2186&lt;='IN-NX'!$Q$3,'IN-NX'!$D$7=D2186,OR(LEFT(L2186,2)="15",AND(LEFT(M2186,2)&lt;&gt;"15",LEFT(M2186,2)&lt;&gt;"33"))),"x","")</f>
        <v/>
      </c>
      <c r="V2186" s="525" t="str">
        <f>IF(AND(OR(LEFT(TH!L2186,2)="15",LEFT(TH!M2186,2)="15"),'152-CT'!$J$8=TH!F2186),"x","")</f>
        <v/>
      </c>
      <c r="W2186" s="525" t="str">
        <f>IF(AND(OR(LEFT(TH!L2186,2)="15",LEFT(TH!M2186,2)="15"),TK!$E$7=TH!F2186),"x","")</f>
        <v/>
      </c>
      <c r="X2186" s="525" t="str">
        <f>IF(AND('341-CT'!$E$9=H2186,OR(LEFT(L2186,3)=$X$7,LEFT(M2186,3)=$X$7)),"x","")</f>
        <v/>
      </c>
      <c r="Y2186" s="525" t="str">
        <f>IF(OR(TH!L2186=TH!$Y$7,M2186=TH!$Y$7),"x","")</f>
        <v/>
      </c>
      <c r="Z2186" s="525" t="str">
        <f>IF(AND(B2186&lt;=NKC!$N$8,B2186&gt;=NKC!$M$8),"x","")</f>
        <v/>
      </c>
      <c r="AA2186" s="535"/>
      <c r="AB2186" s="536"/>
    </row>
    <row r="2187" spans="1:34" s="503" customFormat="1" ht="15.75" customHeight="1">
      <c r="A2187" s="517" t="str">
        <f>IF(B2187&lt;&gt;"",IF(AND(B2187&gt;=_TM1,B2187&lt;=_TM2,OR(TH!L2187="1111",TH!M2187="1111")),TH!D2187,""),"")</f>
        <v/>
      </c>
      <c r="B2187" s="531">
        <f t="shared" si="202"/>
        <v>4</v>
      </c>
      <c r="C2187" s="315">
        <f t="shared" si="203"/>
        <v>42843</v>
      </c>
      <c r="D2187" s="315"/>
      <c r="E2187" s="315">
        <v>42843</v>
      </c>
      <c r="F2187" s="249" t="s">
        <v>1099</v>
      </c>
      <c r="G2187" s="314" t="s">
        <v>1106</v>
      </c>
      <c r="H2187" s="473" t="s">
        <v>1107</v>
      </c>
      <c r="I2187" s="307"/>
      <c r="J2187" s="307"/>
      <c r="K2187" s="532">
        <v>7600000</v>
      </c>
      <c r="L2187" s="534" t="s">
        <v>45</v>
      </c>
      <c r="M2187" s="534" t="s">
        <v>275</v>
      </c>
      <c r="N2187" s="525" t="str">
        <f>IF(AND('331-CT'!$E$7=TH!H2187,OR(L2187="331",M2187="331")),"331",IF(AND(OR(L2187="131",M2187="131"),H2187='131-CT'!$E$7),"131",""))</f>
        <v/>
      </c>
      <c r="O2187" s="525" t="str">
        <f>IF(AND($B2187&gt;='111'!$N$11,$B2187&lt;='111'!$O$11,OR($L2187=$O$7,$M2187=$O$7)),"x","")</f>
        <v/>
      </c>
      <c r="P2187" s="525" t="str">
        <f>IF(AND($L2187=$O$7,$B2187&lt;'111'!$N$11),"x","")</f>
        <v>x</v>
      </c>
      <c r="Q2187" s="525" t="str">
        <f>IF(AND($M2187=$O$7,$B2187&lt;'111'!$N$11),"x","")</f>
        <v/>
      </c>
      <c r="R2187" s="525" t="str">
        <f>IF(ISERROR(FIND('112'!$M$9,G2187,1)),"",IF((AND(FIND('112'!$M$9,G2187,1)&gt;=1,$B2187&gt;='112'!$N$8,$B2187&lt;='112'!$O$8,OR($L2187='112'!$I$6,$M2187='112'!$I$6))),"x",""))</f>
        <v/>
      </c>
      <c r="S2187" s="525" t="str">
        <f>IF(ISERROR(FIND('112'!$M$9,G2187,1)),"",IF((AND(LEFT(G2187,2)=LEFT('112'!$M$9,2),B2187&lt;'112'!$N$8,$L2187='112'!$I$6)),"x",""))</f>
        <v/>
      </c>
      <c r="T2187" s="525" t="str">
        <f>IF(ISERROR(FIND('112'!$M$9,G2187,1)),"",IF((AND(RIGHT(G2187,2)=RIGHT('112'!$M$9,2),B2187&lt;'112'!$N$8,$M2187='112'!$I$6)),"x",""))</f>
        <v/>
      </c>
      <c r="U2187" s="525" t="str">
        <f>IF(AND(B2187&gt;='IN-NX'!$P$3,B2187&lt;='IN-NX'!$Q$3,'IN-NX'!$D$7=D2187,OR(LEFT(L2187,2)="15",AND(LEFT(M2187,2)&lt;&gt;"15",LEFT(M2187,2)&lt;&gt;"33"))),"x","")</f>
        <v/>
      </c>
      <c r="V2187" s="525" t="str">
        <f>IF(AND(OR(LEFT(TH!L2187,2)="15",LEFT(TH!M2187,2)="15"),'152-CT'!$J$8=TH!F2187),"x","")</f>
        <v/>
      </c>
      <c r="W2187" s="525" t="str">
        <f>IF(AND(OR(LEFT(TH!L2187,2)="15",LEFT(TH!M2187,2)="15"),TK!$E$7=TH!F2187),"x","")</f>
        <v/>
      </c>
      <c r="X2187" s="525" t="str">
        <f>IF(AND('341-CT'!$E$9=H2187,OR(LEFT(L2187,3)=$X$7,LEFT(M2187,3)=$X$7)),"x","")</f>
        <v/>
      </c>
      <c r="Y2187" s="525" t="str">
        <f>IF(OR(TH!L2187=TH!$Y$7,M2187=TH!$Y$7),"x","")</f>
        <v/>
      </c>
      <c r="Z2187" s="525" t="str">
        <f>IF(AND(B2187&lt;=NKC!$N$8,B2187&gt;=NKC!$M$8),"x","")</f>
        <v/>
      </c>
      <c r="AA2187" s="535"/>
      <c r="AB2187" s="536"/>
    </row>
    <row r="2188" spans="1:34" s="503" customFormat="1" ht="15.75" customHeight="1">
      <c r="A2188" s="517" t="str">
        <f>IF(B2188&lt;&gt;"",IF(AND(B2188&gt;=_TM1,B2188&lt;=_TM2,OR(TH!L2188="1111",TH!M2188="1111")),TH!D2188,""),"")</f>
        <v/>
      </c>
      <c r="B2188" s="531">
        <f t="shared" si="202"/>
        <v>4</v>
      </c>
      <c r="C2188" s="315">
        <f t="shared" si="203"/>
        <v>42843</v>
      </c>
      <c r="D2188" s="315"/>
      <c r="E2188" s="315">
        <v>42843</v>
      </c>
      <c r="F2188" s="249" t="s">
        <v>1102</v>
      </c>
      <c r="G2188" s="314" t="s">
        <v>1106</v>
      </c>
      <c r="H2188" s="473" t="s">
        <v>1107</v>
      </c>
      <c r="I2188" s="307"/>
      <c r="J2188" s="307"/>
      <c r="K2188" s="532">
        <v>760000</v>
      </c>
      <c r="L2188" s="534" t="s">
        <v>45</v>
      </c>
      <c r="M2188" s="534" t="s">
        <v>259</v>
      </c>
      <c r="N2188" s="525" t="str">
        <f>IF(AND('331-CT'!$E$7=TH!H2188,OR(L2188="331",M2188="331")),"331",IF(AND(OR(L2188="131",M2188="131"),H2188='131-CT'!$E$7),"131",""))</f>
        <v/>
      </c>
      <c r="O2188" s="525" t="str">
        <f>IF(AND($B2188&gt;='111'!$N$11,$B2188&lt;='111'!$O$11,OR($L2188=$O$7,$M2188=$O$7)),"x","")</f>
        <v/>
      </c>
      <c r="P2188" s="525" t="str">
        <f>IF(AND($L2188=$O$7,$B2188&lt;'111'!$N$11),"x","")</f>
        <v>x</v>
      </c>
      <c r="Q2188" s="525" t="str">
        <f>IF(AND($M2188=$O$7,$B2188&lt;'111'!$N$11),"x","")</f>
        <v/>
      </c>
      <c r="R2188" s="525" t="str">
        <f>IF(ISERROR(FIND('112'!$M$9,G2188,1)),"",IF((AND(FIND('112'!$M$9,G2188,1)&gt;=1,$B2188&gt;='112'!$N$8,$B2188&lt;='112'!$O$8,OR($L2188='112'!$I$6,$M2188='112'!$I$6))),"x",""))</f>
        <v/>
      </c>
      <c r="S2188" s="525" t="str">
        <f>IF(ISERROR(FIND('112'!$M$9,G2188,1)),"",IF((AND(LEFT(G2188,2)=LEFT('112'!$M$9,2),B2188&lt;'112'!$N$8,$L2188='112'!$I$6)),"x",""))</f>
        <v/>
      </c>
      <c r="T2188" s="525" t="str">
        <f>IF(ISERROR(FIND('112'!$M$9,G2188,1)),"",IF((AND(RIGHT(G2188,2)=RIGHT('112'!$M$9,2),B2188&lt;'112'!$N$8,$M2188='112'!$I$6)),"x",""))</f>
        <v/>
      </c>
      <c r="U2188" s="525" t="str">
        <f>IF(AND(B2188&gt;='IN-NX'!$P$3,B2188&lt;='IN-NX'!$Q$3,'IN-NX'!$D$7=D2188,OR(LEFT(L2188,2)="15",AND(LEFT(M2188,2)&lt;&gt;"15",LEFT(M2188,2)&lt;&gt;"33"))),"x","")</f>
        <v/>
      </c>
      <c r="V2188" s="525" t="str">
        <f>IF(AND(OR(LEFT(TH!L2188,2)="15",LEFT(TH!M2188,2)="15"),'152-CT'!$J$8=TH!F2188),"x","")</f>
        <v/>
      </c>
      <c r="W2188" s="525" t="str">
        <f>IF(AND(OR(LEFT(TH!L2188,2)="15",LEFT(TH!M2188,2)="15"),TK!$E$7=TH!F2188),"x","")</f>
        <v/>
      </c>
      <c r="X2188" s="525" t="str">
        <f>IF(AND('341-CT'!$E$9=H2188,OR(LEFT(L2188,3)=$X$7,LEFT(M2188,3)=$X$7)),"x","")</f>
        <v/>
      </c>
      <c r="Y2188" s="525" t="str">
        <f>IF(OR(TH!L2188=TH!$Y$7,M2188=TH!$Y$7),"x","")</f>
        <v/>
      </c>
      <c r="Z2188" s="525" t="str">
        <f>IF(AND(B2188&lt;=NKC!$N$8,B2188&gt;=NKC!$M$8),"x","")</f>
        <v/>
      </c>
      <c r="AA2188" s="535"/>
      <c r="AB2188" s="536"/>
    </row>
    <row r="2189" spans="1:34" s="503" customFormat="1" ht="15.75" customHeight="1">
      <c r="A2189" s="517" t="str">
        <f>IF(B2189&lt;&gt;"",IF(AND(B2189&gt;=_TM1,B2189&lt;=_TM2,OR(TH!L2189="1111",TH!M2189="1111")),TH!D2189,""),"")</f>
        <v/>
      </c>
      <c r="B2189" s="531">
        <f t="shared" si="202"/>
        <v>4</v>
      </c>
      <c r="C2189" s="315">
        <f t="shared" si="203"/>
        <v>42844</v>
      </c>
      <c r="D2189" s="315" t="s">
        <v>979</v>
      </c>
      <c r="E2189" s="315">
        <v>42844</v>
      </c>
      <c r="F2189" s="245" t="s">
        <v>274</v>
      </c>
      <c r="G2189" s="314" t="s">
        <v>1079</v>
      </c>
      <c r="H2189" s="473" t="s">
        <v>1071</v>
      </c>
      <c r="I2189" s="307">
        <v>490</v>
      </c>
      <c r="J2189" s="307">
        <v>18350</v>
      </c>
      <c r="K2189" s="532">
        <f>ROUND(I2189*J2189,0)</f>
        <v>8991500</v>
      </c>
      <c r="L2189" s="534" t="s">
        <v>292</v>
      </c>
      <c r="M2189" s="534" t="s">
        <v>8</v>
      </c>
      <c r="N2189" s="525" t="str">
        <f>IF(AND('331-CT'!$E$7=TH!H2189,OR(L2189="331",M2189="331")),"331",IF(AND(OR(L2189="131",M2189="131"),H2189='131-CT'!$E$7),"131",""))</f>
        <v/>
      </c>
      <c r="O2189" s="525" t="str">
        <f>IF(AND($B2189&gt;='111'!$N$11,$B2189&lt;='111'!$O$11,OR($L2189=$O$7,$M2189=$O$7)),"x","")</f>
        <v/>
      </c>
      <c r="P2189" s="525" t="str">
        <f>IF(AND($L2189=$O$7,$B2189&lt;'111'!$N$11),"x","")</f>
        <v/>
      </c>
      <c r="Q2189" s="525" t="str">
        <f>IF(AND($M2189=$O$7,$B2189&lt;'111'!$N$11),"x","")</f>
        <v/>
      </c>
      <c r="R2189" s="525" t="str">
        <f>IF(ISERROR(FIND('112'!$M$9,G2189,1)),"",IF((AND(FIND('112'!$M$9,G2189,1)&gt;=1,$B2189&gt;='112'!$N$8,$B2189&lt;='112'!$O$8,OR($L2189='112'!$I$6,$M2189='112'!$I$6))),"x",""))</f>
        <v/>
      </c>
      <c r="S2189" s="525" t="str">
        <f>IF(ISERROR(FIND('112'!$M$9,G2189,1)),"",IF((AND(LEFT(G2189,2)=LEFT('112'!$M$9,2),B2189&lt;'112'!$N$8,$L2189='112'!$I$6)),"x",""))</f>
        <v/>
      </c>
      <c r="T2189" s="525" t="str">
        <f>IF(ISERROR(FIND('112'!$M$9,G2189,1)),"",IF((AND(RIGHT(G2189,2)=RIGHT('112'!$M$9,2),B2189&lt;'112'!$N$8,$M2189='112'!$I$6)),"x",""))</f>
        <v/>
      </c>
      <c r="U2189" s="525" t="str">
        <f>IF(AND(B2189&gt;='IN-NX'!$P$3,B2189&lt;='IN-NX'!$Q$3,'IN-NX'!$D$7=D2189,OR(LEFT(L2189,2)="15",AND(LEFT(M2189,2)&lt;&gt;"15",LEFT(M2189,2)&lt;&gt;"33"))),"x","")</f>
        <v/>
      </c>
      <c r="V2189" s="525" t="str">
        <f>IF(AND(OR(LEFT(TH!L2189,2)="15",LEFT(TH!M2189,2)="15"),'152-CT'!$J$8=TH!F2189),"x","")</f>
        <v/>
      </c>
      <c r="W2189" s="525" t="str">
        <f>IF(AND(OR(LEFT(TH!L2189,2)="15",LEFT(TH!M2189,2)="15"),TK!$E$7=TH!F2189),"x","")</f>
        <v>x</v>
      </c>
      <c r="X2189" s="525" t="str">
        <f>IF(AND('341-CT'!$E$9=H2189,OR(LEFT(L2189,3)=$X$7,LEFT(M2189,3)=$X$7)),"x","")</f>
        <v/>
      </c>
      <c r="Y2189" s="525" t="str">
        <f>IF(OR(TH!L2189=TH!$Y$7,M2189=TH!$Y$7),"x","")</f>
        <v/>
      </c>
      <c r="Z2189" s="525" t="str">
        <f>IF(AND(B2189&lt;=NKC!$N$8,B2189&gt;=NKC!$M$8),"x","")</f>
        <v/>
      </c>
      <c r="AA2189" s="535">
        <v>2</v>
      </c>
      <c r="AB2189" s="536"/>
    </row>
    <row r="2190" spans="1:34" s="503" customFormat="1" ht="15.75" customHeight="1">
      <c r="A2190" s="517" t="str">
        <f>IF(B2190&lt;&gt;"",IF(AND(B2190&gt;=_TM1,B2190&lt;=_TM2,OR(TH!L2190="1111",TH!M2190="1111")),TH!D2190,""),"")</f>
        <v/>
      </c>
      <c r="B2190" s="531">
        <f t="shared" si="202"/>
        <v>4</v>
      </c>
      <c r="C2190" s="315">
        <f t="shared" si="203"/>
        <v>42844</v>
      </c>
      <c r="D2190" s="315" t="s">
        <v>979</v>
      </c>
      <c r="E2190" s="315">
        <v>42844</v>
      </c>
      <c r="F2190" s="245" t="s">
        <v>503</v>
      </c>
      <c r="G2190" s="314" t="s">
        <v>1079</v>
      </c>
      <c r="H2190" s="473" t="s">
        <v>1071</v>
      </c>
      <c r="I2190" s="307">
        <v>1000</v>
      </c>
      <c r="J2190" s="307">
        <v>8000</v>
      </c>
      <c r="K2190" s="532">
        <f>ROUND(I2190*J2190,0)</f>
        <v>8000000</v>
      </c>
      <c r="L2190" s="534" t="s">
        <v>292</v>
      </c>
      <c r="M2190" s="534" t="s">
        <v>8</v>
      </c>
      <c r="N2190" s="525" t="str">
        <f>IF(AND('331-CT'!$E$7=TH!H2190,OR(L2190="331",M2190="331")),"331",IF(AND(OR(L2190="131",M2190="131"),H2190='131-CT'!$E$7),"131",""))</f>
        <v/>
      </c>
      <c r="O2190" s="525" t="str">
        <f>IF(AND($B2190&gt;='111'!$N$11,$B2190&lt;='111'!$O$11,OR($L2190=$O$7,$M2190=$O$7)),"x","")</f>
        <v/>
      </c>
      <c r="P2190" s="525" t="str">
        <f>IF(AND($L2190=$O$7,$B2190&lt;'111'!$N$11),"x","")</f>
        <v/>
      </c>
      <c r="Q2190" s="525" t="str">
        <f>IF(AND($M2190=$O$7,$B2190&lt;'111'!$N$11),"x","")</f>
        <v/>
      </c>
      <c r="R2190" s="525" t="str">
        <f>IF(ISERROR(FIND('112'!$M$9,G2190,1)),"",IF((AND(FIND('112'!$M$9,G2190,1)&gt;=1,$B2190&gt;='112'!$N$8,$B2190&lt;='112'!$O$8,OR($L2190='112'!$I$6,$M2190='112'!$I$6))),"x",""))</f>
        <v/>
      </c>
      <c r="S2190" s="525" t="str">
        <f>IF(ISERROR(FIND('112'!$M$9,G2190,1)),"",IF((AND(LEFT(G2190,2)=LEFT('112'!$M$9,2),B2190&lt;'112'!$N$8,$L2190='112'!$I$6)),"x",""))</f>
        <v/>
      </c>
      <c r="T2190" s="525" t="str">
        <f>IF(ISERROR(FIND('112'!$M$9,G2190,1)),"",IF((AND(RIGHT(G2190,2)=RIGHT('112'!$M$9,2),B2190&lt;'112'!$N$8,$M2190='112'!$I$6)),"x",""))</f>
        <v/>
      </c>
      <c r="U2190" s="525" t="str">
        <f>IF(AND(B2190&gt;='IN-NX'!$P$3,B2190&lt;='IN-NX'!$Q$3,'IN-NX'!$D$7=D2190,OR(LEFT(L2190,2)="15",AND(LEFT(M2190,2)&lt;&gt;"15",LEFT(M2190,2)&lt;&gt;"33"))),"x","")</f>
        <v/>
      </c>
      <c r="V2190" s="525" t="str">
        <f>IF(AND(OR(LEFT(TH!L2190,2)="15",LEFT(TH!M2190,2)="15"),'152-CT'!$J$8=TH!F2190),"x","")</f>
        <v/>
      </c>
      <c r="W2190" s="525" t="str">
        <f>IF(AND(OR(LEFT(TH!L2190,2)="15",LEFT(TH!M2190,2)="15"),TK!$E$7=TH!F2190),"x","")</f>
        <v/>
      </c>
      <c r="X2190" s="525" t="str">
        <f>IF(AND('341-CT'!$E$9=H2190,OR(LEFT(L2190,3)=$X$7,LEFT(M2190,3)=$X$7)),"x","")</f>
        <v/>
      </c>
      <c r="Y2190" s="525" t="str">
        <f>IF(OR(TH!L2190=TH!$Y$7,M2190=TH!$Y$7),"x","")</f>
        <v/>
      </c>
      <c r="Z2190" s="525" t="str">
        <f>IF(AND(B2190&lt;=NKC!$N$8,B2190&gt;=NKC!$M$8),"x","")</f>
        <v/>
      </c>
      <c r="AA2190" s="535">
        <v>2</v>
      </c>
      <c r="AB2190" s="536"/>
    </row>
    <row r="2191" spans="1:34" s="503" customFormat="1" ht="15.75" customHeight="1">
      <c r="A2191" s="517" t="str">
        <f>IF(B2191&lt;&gt;"",IF(AND(B2191&gt;=_TM1,B2191&lt;=_TM2,OR(TH!L2191="1111",TH!M2191="1111")),TH!D2191,""),"")</f>
        <v/>
      </c>
      <c r="B2191" s="531">
        <f t="shared" si="202"/>
        <v>4</v>
      </c>
      <c r="C2191" s="315">
        <f t="shared" si="203"/>
        <v>42844</v>
      </c>
      <c r="D2191" s="315" t="s">
        <v>979</v>
      </c>
      <c r="E2191" s="315">
        <v>42844</v>
      </c>
      <c r="F2191" s="249" t="s">
        <v>1073</v>
      </c>
      <c r="G2191" s="314" t="s">
        <v>1079</v>
      </c>
      <c r="H2191" s="473" t="s">
        <v>1071</v>
      </c>
      <c r="I2191" s="307"/>
      <c r="J2191" s="307"/>
      <c r="K2191" s="532">
        <v>1699150</v>
      </c>
      <c r="L2191" s="713" t="s">
        <v>9</v>
      </c>
      <c r="M2191" s="534" t="s">
        <v>8</v>
      </c>
      <c r="N2191" s="525" t="str">
        <f>IF(AND('331-CT'!$E$7=TH!H2191,OR(L2191="331",M2191="331")),"331",IF(AND(OR(L2191="131",M2191="131"),H2191='131-CT'!$E$7),"131",""))</f>
        <v/>
      </c>
      <c r="O2191" s="525" t="str">
        <f>IF(AND($B2191&gt;='111'!$N$11,$B2191&lt;='111'!$O$11,OR($L2191=$O$7,$M2191=$O$7)),"x","")</f>
        <v/>
      </c>
      <c r="P2191" s="525" t="str">
        <f>IF(AND($L2191=$O$7,$B2191&lt;'111'!$N$11),"x","")</f>
        <v/>
      </c>
      <c r="Q2191" s="525" t="str">
        <f>IF(AND($M2191=$O$7,$B2191&lt;'111'!$N$11),"x","")</f>
        <v/>
      </c>
      <c r="R2191" s="525" t="str">
        <f>IF(ISERROR(FIND('112'!$M$9,G2191,1)),"",IF((AND(FIND('112'!$M$9,G2191,1)&gt;=1,$B2191&gt;='112'!$N$8,$B2191&lt;='112'!$O$8,OR($L2191='112'!$I$6,$M2191='112'!$I$6))),"x",""))</f>
        <v/>
      </c>
      <c r="S2191" s="525" t="str">
        <f>IF(ISERROR(FIND('112'!$M$9,G2191,1)),"",IF((AND(LEFT(G2191,2)=LEFT('112'!$M$9,2),B2191&lt;'112'!$N$8,$L2191='112'!$I$6)),"x",""))</f>
        <v/>
      </c>
      <c r="T2191" s="525" t="str">
        <f>IF(ISERROR(FIND('112'!$M$9,G2191,1)),"",IF((AND(RIGHT(G2191,2)=RIGHT('112'!$M$9,2),B2191&lt;'112'!$N$8,$M2191='112'!$I$6)),"x",""))</f>
        <v/>
      </c>
      <c r="U2191" s="525" t="str">
        <f>IF(AND(B2191&gt;='IN-NX'!$P$3,B2191&lt;='IN-NX'!$Q$3,'IN-NX'!$D$7=D2191,OR(LEFT(L2191,2)="15",AND(LEFT(M2191,2)&lt;&gt;"15",LEFT(M2191,2)&lt;&gt;"33"))),"x","")</f>
        <v/>
      </c>
      <c r="V2191" s="525" t="str">
        <f>IF(AND(OR(LEFT(TH!L2191,2)="15",LEFT(TH!M2191,2)="15"),'152-CT'!$J$8=TH!F2191),"x","")</f>
        <v/>
      </c>
      <c r="W2191" s="525" t="str">
        <f>IF(AND(OR(LEFT(TH!L2191,2)="15",LEFT(TH!M2191,2)="15"),TK!$E$7=TH!F2191),"x","")</f>
        <v/>
      </c>
      <c r="X2191" s="525" t="str">
        <f>IF(AND('341-CT'!$E$9=H2191,OR(LEFT(L2191,3)=$X$7,LEFT(M2191,3)=$X$7)),"x","")</f>
        <v/>
      </c>
      <c r="Y2191" s="525" t="str">
        <f>IF(OR(TH!L2191=TH!$Y$7,M2191=TH!$Y$7),"x","")</f>
        <v/>
      </c>
      <c r="Z2191" s="525" t="str">
        <f>IF(AND(B2191&lt;=NKC!$N$8,B2191&gt;=NKC!$M$8),"x","")</f>
        <v/>
      </c>
      <c r="AA2191" s="535">
        <v>2</v>
      </c>
      <c r="AB2191" s="536"/>
    </row>
    <row r="2192" spans="1:34" s="503" customFormat="1" ht="15.75" customHeight="1">
      <c r="A2192" s="517" t="str">
        <f>IF(B2192&lt;&gt;"",IF(AND(B2192&gt;=_TM1,B2192&lt;=_TM2,OR(TH!L2192="1111",TH!M2192="1111")),TH!D2192,""),"")</f>
        <v/>
      </c>
      <c r="B2192" s="531">
        <f t="shared" si="202"/>
        <v>4</v>
      </c>
      <c r="C2192" s="315">
        <f t="shared" si="203"/>
        <v>42844</v>
      </c>
      <c r="D2192" s="315" t="s">
        <v>980</v>
      </c>
      <c r="E2192" s="315">
        <v>42844</v>
      </c>
      <c r="F2192" s="245" t="s">
        <v>1182</v>
      </c>
      <c r="G2192" s="314" t="s">
        <v>1155</v>
      </c>
      <c r="H2192" s="473" t="s">
        <v>1278</v>
      </c>
      <c r="I2192" s="307">
        <v>2769</v>
      </c>
      <c r="J2192" s="307">
        <v>34300</v>
      </c>
      <c r="K2192" s="532">
        <f>ROUND(I2192*J2192,0)</f>
        <v>94976700</v>
      </c>
      <c r="L2192" s="534" t="s">
        <v>292</v>
      </c>
      <c r="M2192" s="534" t="s">
        <v>8</v>
      </c>
      <c r="N2192" s="525" t="str">
        <f>IF(AND('331-CT'!$E$7=TH!H2192,OR(L2192="331",M2192="331")),"331",IF(AND(OR(L2192="131",M2192="131"),H2192='131-CT'!$E$7),"131",""))</f>
        <v/>
      </c>
      <c r="O2192" s="525" t="str">
        <f>IF(AND($B2192&gt;='111'!$N$11,$B2192&lt;='111'!$O$11,OR($L2192=$O$7,$M2192=$O$7)),"x","")</f>
        <v/>
      </c>
      <c r="P2192" s="525" t="str">
        <f>IF(AND($L2192=$O$7,$B2192&lt;'111'!$N$11),"x","")</f>
        <v/>
      </c>
      <c r="Q2192" s="525" t="str">
        <f>IF(AND($M2192=$O$7,$B2192&lt;'111'!$N$11),"x","")</f>
        <v/>
      </c>
      <c r="R2192" s="525" t="str">
        <f>IF(ISERROR(FIND('112'!$M$9,G2192,1)),"",IF((AND(FIND('112'!$M$9,G2192,1)&gt;=1,$B2192&gt;='112'!$N$8,$B2192&lt;='112'!$O$8,OR($L2192='112'!$I$6,$M2192='112'!$I$6))),"x",""))</f>
        <v/>
      </c>
      <c r="S2192" s="525" t="str">
        <f>IF(ISERROR(FIND('112'!$M$9,G2192,1)),"",IF((AND(LEFT(G2192,2)=LEFT('112'!$M$9,2),B2192&lt;'112'!$N$8,$L2192='112'!$I$6)),"x",""))</f>
        <v/>
      </c>
      <c r="T2192" s="525" t="str">
        <f>IF(ISERROR(FIND('112'!$M$9,G2192,1)),"",IF((AND(RIGHT(G2192,2)=RIGHT('112'!$M$9,2),B2192&lt;'112'!$N$8,$M2192='112'!$I$6)),"x",""))</f>
        <v/>
      </c>
      <c r="U2192" s="525" t="str">
        <f>IF(AND(B2192&gt;='IN-NX'!$P$3,B2192&lt;='IN-NX'!$Q$3,'IN-NX'!$D$7=D2192,OR(LEFT(L2192,2)="15",AND(LEFT(M2192,2)&lt;&gt;"15",LEFT(M2192,2)&lt;&gt;"33"))),"x","")</f>
        <v/>
      </c>
      <c r="V2192" s="525" t="str">
        <f>IF(AND(OR(LEFT(TH!L2192,2)="15",LEFT(TH!M2192,2)="15"),'152-CT'!$J$8=TH!F2192),"x","")</f>
        <v/>
      </c>
      <c r="W2192" s="525" t="str">
        <f>IF(AND(OR(LEFT(TH!L2192,2)="15",LEFT(TH!M2192,2)="15"),TK!$E$7=TH!F2192),"x","")</f>
        <v/>
      </c>
      <c r="X2192" s="525" t="str">
        <f>IF(AND('341-CT'!$E$9=H2192,OR(LEFT(L2192,3)=$X$7,LEFT(M2192,3)=$X$7)),"x","")</f>
        <v/>
      </c>
      <c r="Y2192" s="525" t="str">
        <f>IF(OR(TH!L2192=TH!$Y$7,M2192=TH!$Y$7),"x","")</f>
        <v/>
      </c>
      <c r="Z2192" s="525" t="str">
        <f>IF(AND(B2192&lt;=NKC!$N$8,B2192&gt;=NKC!$M$8),"x","")</f>
        <v/>
      </c>
      <c r="AA2192" s="535">
        <v>2</v>
      </c>
      <c r="AB2192" s="536"/>
    </row>
    <row r="2193" spans="1:30" s="503" customFormat="1" ht="15.75" customHeight="1">
      <c r="A2193" s="517" t="str">
        <f>IF(B2193&lt;&gt;"",IF(AND(B2193&gt;=_TM1,B2193&lt;=_TM2,OR(TH!L2193="1111",TH!M2193="1111")),TH!D2193,""),"")</f>
        <v/>
      </c>
      <c r="B2193" s="531">
        <f t="shared" si="202"/>
        <v>4</v>
      </c>
      <c r="C2193" s="315">
        <f t="shared" si="203"/>
        <v>42844</v>
      </c>
      <c r="D2193" s="315" t="s">
        <v>980</v>
      </c>
      <c r="E2193" s="315">
        <v>42844</v>
      </c>
      <c r="F2193" s="249" t="s">
        <v>1183</v>
      </c>
      <c r="G2193" s="314" t="s">
        <v>1155</v>
      </c>
      <c r="H2193" s="473" t="s">
        <v>1278</v>
      </c>
      <c r="I2193" s="307">
        <v>987</v>
      </c>
      <c r="J2193" s="307">
        <v>31360</v>
      </c>
      <c r="K2193" s="532">
        <f>ROUND(I2193*J2193,0)</f>
        <v>30952320</v>
      </c>
      <c r="L2193" s="534" t="s">
        <v>292</v>
      </c>
      <c r="M2193" s="534" t="s">
        <v>8</v>
      </c>
      <c r="N2193" s="525" t="str">
        <f>IF(AND('331-CT'!$E$7=TH!H2193,OR(L2193="331",M2193="331")),"331",IF(AND(OR(L2193="131",M2193="131"),H2193='131-CT'!$E$7),"131",""))</f>
        <v/>
      </c>
      <c r="O2193" s="525" t="str">
        <f>IF(AND($B2193&gt;='111'!$N$11,$B2193&lt;='111'!$O$11,OR($L2193=$O$7,$M2193=$O$7)),"x","")</f>
        <v/>
      </c>
      <c r="P2193" s="525" t="str">
        <f>IF(AND($L2193=$O$7,$B2193&lt;'111'!$N$11),"x","")</f>
        <v/>
      </c>
      <c r="Q2193" s="525" t="str">
        <f>IF(AND($M2193=$O$7,$B2193&lt;'111'!$N$11),"x","")</f>
        <v/>
      </c>
      <c r="R2193" s="525" t="str">
        <f>IF(ISERROR(FIND('112'!$M$9,G2193,1)),"",IF((AND(FIND('112'!$M$9,G2193,1)&gt;=1,$B2193&gt;='112'!$N$8,$B2193&lt;='112'!$O$8,OR($L2193='112'!$I$6,$M2193='112'!$I$6))),"x",""))</f>
        <v/>
      </c>
      <c r="S2193" s="525" t="str">
        <f>IF(ISERROR(FIND('112'!$M$9,G2193,1)),"",IF((AND(LEFT(G2193,2)=LEFT('112'!$M$9,2),B2193&lt;'112'!$N$8,$L2193='112'!$I$6)),"x",""))</f>
        <v/>
      </c>
      <c r="T2193" s="525" t="str">
        <f>IF(ISERROR(FIND('112'!$M$9,G2193,1)),"",IF((AND(RIGHT(G2193,2)=RIGHT('112'!$M$9,2),B2193&lt;'112'!$N$8,$M2193='112'!$I$6)),"x",""))</f>
        <v/>
      </c>
      <c r="U2193" s="525" t="str">
        <f>IF(AND(B2193&gt;='IN-NX'!$P$3,B2193&lt;='IN-NX'!$Q$3,'IN-NX'!$D$7=D2193,OR(LEFT(L2193,2)="15",AND(LEFT(M2193,2)&lt;&gt;"15",LEFT(M2193,2)&lt;&gt;"33"))),"x","")</f>
        <v/>
      </c>
      <c r="V2193" s="525" t="str">
        <f>IF(AND(OR(LEFT(TH!L2193,2)="15",LEFT(TH!M2193,2)="15"),'152-CT'!$J$8=TH!F2193),"x","")</f>
        <v/>
      </c>
      <c r="W2193" s="525" t="str">
        <f>IF(AND(OR(LEFT(TH!L2193,2)="15",LEFT(TH!M2193,2)="15"),TK!$E$7=TH!F2193),"x","")</f>
        <v/>
      </c>
      <c r="X2193" s="525" t="str">
        <f>IF(AND('341-CT'!$E$9=H2193,OR(LEFT(L2193,3)=$X$7,LEFT(M2193,3)=$X$7)),"x","")</f>
        <v/>
      </c>
      <c r="Y2193" s="525" t="str">
        <f>IF(OR(TH!L2193=TH!$Y$7,M2193=TH!$Y$7),"x","")</f>
        <v/>
      </c>
      <c r="Z2193" s="525" t="str">
        <f>IF(AND(B2193&lt;=NKC!$N$8,B2193&gt;=NKC!$M$8),"x","")</f>
        <v/>
      </c>
      <c r="AA2193" s="535">
        <v>2</v>
      </c>
      <c r="AB2193" s="536"/>
    </row>
    <row r="2194" spans="1:30" s="503" customFormat="1" ht="15.75" customHeight="1">
      <c r="A2194" s="517" t="str">
        <f>IF(B2194&lt;&gt;"",IF(AND(B2194&gt;=_TM1,B2194&lt;=_TM2,OR(TH!L2194="1111",TH!M2194="1111")),TH!D2194,""),"")</f>
        <v/>
      </c>
      <c r="B2194" s="531">
        <f t="shared" si="202"/>
        <v>4</v>
      </c>
      <c r="C2194" s="315">
        <f t="shared" si="203"/>
        <v>42844</v>
      </c>
      <c r="D2194" s="315" t="s">
        <v>980</v>
      </c>
      <c r="E2194" s="315">
        <v>42844</v>
      </c>
      <c r="F2194" s="245" t="s">
        <v>501</v>
      </c>
      <c r="G2194" s="314" t="s">
        <v>1155</v>
      </c>
      <c r="H2194" s="473" t="s">
        <v>1278</v>
      </c>
      <c r="I2194" s="307"/>
      <c r="J2194" s="307"/>
      <c r="K2194" s="532">
        <v>12592902</v>
      </c>
      <c r="L2194" s="713" t="s">
        <v>9</v>
      </c>
      <c r="M2194" s="534" t="s">
        <v>8</v>
      </c>
      <c r="N2194" s="525" t="str">
        <f>IF(AND('331-CT'!$E$7=TH!H2194,OR(L2194="331",M2194="331")),"331",IF(AND(OR(L2194="131",M2194="131"),H2194='131-CT'!$E$7),"131",""))</f>
        <v/>
      </c>
      <c r="O2194" s="525" t="str">
        <f>IF(AND($B2194&gt;='111'!$N$11,$B2194&lt;='111'!$O$11,OR($L2194=$O$7,$M2194=$O$7)),"x","")</f>
        <v/>
      </c>
      <c r="P2194" s="525" t="str">
        <f>IF(AND($L2194=$O$7,$B2194&lt;'111'!$N$11),"x","")</f>
        <v/>
      </c>
      <c r="Q2194" s="525" t="str">
        <f>IF(AND($M2194=$O$7,$B2194&lt;'111'!$N$11),"x","")</f>
        <v/>
      </c>
      <c r="R2194" s="525" t="str">
        <f>IF(ISERROR(FIND('112'!$M$9,G2194,1)),"",IF((AND(FIND('112'!$M$9,G2194,1)&gt;=1,$B2194&gt;='112'!$N$8,$B2194&lt;='112'!$O$8,OR($L2194='112'!$I$6,$M2194='112'!$I$6))),"x",""))</f>
        <v/>
      </c>
      <c r="S2194" s="525" t="str">
        <f>IF(ISERROR(FIND('112'!$M$9,G2194,1)),"",IF((AND(LEFT(G2194,2)=LEFT('112'!$M$9,2),B2194&lt;'112'!$N$8,$L2194='112'!$I$6)),"x",""))</f>
        <v/>
      </c>
      <c r="T2194" s="525" t="str">
        <f>IF(ISERROR(FIND('112'!$M$9,G2194,1)),"",IF((AND(RIGHT(G2194,2)=RIGHT('112'!$M$9,2),B2194&lt;'112'!$N$8,$M2194='112'!$I$6)),"x",""))</f>
        <v/>
      </c>
      <c r="U2194" s="525" t="str">
        <f>IF(AND(B2194&gt;='IN-NX'!$P$3,B2194&lt;='IN-NX'!$Q$3,'IN-NX'!$D$7=D2194,OR(LEFT(L2194,2)="15",AND(LEFT(M2194,2)&lt;&gt;"15",LEFT(M2194,2)&lt;&gt;"33"))),"x","")</f>
        <v/>
      </c>
      <c r="V2194" s="525" t="str">
        <f>IF(AND(OR(LEFT(TH!L2194,2)="15",LEFT(TH!M2194,2)="15"),'152-CT'!$J$8=TH!F2194),"x","")</f>
        <v/>
      </c>
      <c r="W2194" s="525" t="str">
        <f>IF(AND(OR(LEFT(TH!L2194,2)="15",LEFT(TH!M2194,2)="15"),TK!$E$7=TH!F2194),"x","")</f>
        <v/>
      </c>
      <c r="X2194" s="525" t="str">
        <f>IF(AND('341-CT'!$E$9=H2194,OR(LEFT(L2194,3)=$X$7,LEFT(M2194,3)=$X$7)),"x","")</f>
        <v/>
      </c>
      <c r="Y2194" s="525" t="str">
        <f>IF(OR(TH!L2194=TH!$Y$7,M2194=TH!$Y$7),"x","")</f>
        <v/>
      </c>
      <c r="Z2194" s="525" t="str">
        <f>IF(AND(B2194&lt;=NKC!$N$8,B2194&gt;=NKC!$M$8),"x","")</f>
        <v/>
      </c>
      <c r="AA2194" s="535">
        <v>2</v>
      </c>
      <c r="AB2194" s="536"/>
    </row>
    <row r="2195" spans="1:30" s="503" customFormat="1" ht="15.75" customHeight="1">
      <c r="A2195" s="517" t="str">
        <f>IF(B2195&lt;&gt;"",IF(AND(B2195&gt;=_TM1,B2195&lt;=_TM2,OR(TH!L2195="1111",TH!M2195="1111")),TH!D2195,""),"")</f>
        <v/>
      </c>
      <c r="B2195" s="531">
        <f t="shared" si="202"/>
        <v>4</v>
      </c>
      <c r="C2195" s="315">
        <f t="shared" si="203"/>
        <v>42844</v>
      </c>
      <c r="D2195" s="315" t="s">
        <v>903</v>
      </c>
      <c r="E2195" s="315">
        <v>42844</v>
      </c>
      <c r="F2195" s="249" t="s">
        <v>1031</v>
      </c>
      <c r="G2195" s="314" t="s">
        <v>1108</v>
      </c>
      <c r="H2195" s="473" t="s">
        <v>1093</v>
      </c>
      <c r="I2195" s="307">
        <v>265</v>
      </c>
      <c r="J2195" s="307">
        <v>18900</v>
      </c>
      <c r="K2195" s="532">
        <f t="shared" ref="K2195:K2200" si="204">ROUND(I2195*J2195,0)</f>
        <v>5008500</v>
      </c>
      <c r="L2195" s="534" t="s">
        <v>223</v>
      </c>
      <c r="M2195" s="534" t="s">
        <v>162</v>
      </c>
      <c r="N2195" s="525" t="str">
        <f>IF(AND('331-CT'!$E$7=TH!H2195,OR(L2195="331",M2195="331")),"331",IF(AND(OR(L2195="131",M2195="131"),H2195='131-CT'!$E$7),"131",""))</f>
        <v/>
      </c>
      <c r="O2195" s="525" t="str">
        <f>IF(AND($B2195&gt;='111'!$N$11,$B2195&lt;='111'!$O$11,OR($L2195=$O$7,$M2195=$O$7)),"x","")</f>
        <v/>
      </c>
      <c r="P2195" s="525" t="str">
        <f>IF(AND($L2195=$O$7,$B2195&lt;'111'!$N$11),"x","")</f>
        <v/>
      </c>
      <c r="Q2195" s="525" t="str">
        <f>IF(AND($M2195=$O$7,$B2195&lt;'111'!$N$11),"x","")</f>
        <v/>
      </c>
      <c r="R2195" s="525" t="str">
        <f>IF(ISERROR(FIND('112'!$M$9,G2195,1)),"",IF((AND(FIND('112'!$M$9,G2195,1)&gt;=1,$B2195&gt;='112'!$N$8,$B2195&lt;='112'!$O$8,OR($L2195='112'!$I$6,$M2195='112'!$I$6))),"x",""))</f>
        <v/>
      </c>
      <c r="S2195" s="525" t="str">
        <f>IF(ISERROR(FIND('112'!$M$9,G2195,1)),"",IF((AND(LEFT(G2195,2)=LEFT('112'!$M$9,2),B2195&lt;'112'!$N$8,$L2195='112'!$I$6)),"x",""))</f>
        <v/>
      </c>
      <c r="T2195" s="525" t="str">
        <f>IF(ISERROR(FIND('112'!$M$9,G2195,1)),"",IF((AND(RIGHT(G2195,2)=RIGHT('112'!$M$9,2),B2195&lt;'112'!$N$8,$M2195='112'!$I$6)),"x",""))</f>
        <v/>
      </c>
      <c r="U2195" s="525" t="str">
        <f>IF(AND(B2195&gt;='IN-NX'!$P$3,B2195&lt;='IN-NX'!$Q$3,'IN-NX'!$D$7=D2195,OR(LEFT(L2195,2)="15",AND(LEFT(M2195,2)&lt;&gt;"15",LEFT(M2195,2)&lt;&gt;"33"))),"x","")</f>
        <v/>
      </c>
      <c r="V2195" s="525" t="str">
        <f>IF(AND(OR(LEFT(TH!L2195,2)="15",LEFT(TH!M2195,2)="15"),'152-CT'!$J$8=TH!F2195),"x","")</f>
        <v/>
      </c>
      <c r="W2195" s="525" t="str">
        <f>IF(AND(OR(LEFT(TH!L2195,2)="15",LEFT(TH!M2195,2)="15"),TK!$E$7=TH!F2195),"x","")</f>
        <v/>
      </c>
      <c r="X2195" s="525" t="str">
        <f>IF(AND('341-CT'!$E$9=H2195,OR(LEFT(L2195,3)=$X$7,LEFT(M2195,3)=$X$7)),"x","")</f>
        <v/>
      </c>
      <c r="Y2195" s="525" t="str">
        <f>IF(OR(TH!L2195=TH!$Y$7,M2195=TH!$Y$7),"x","")</f>
        <v/>
      </c>
      <c r="Z2195" s="525" t="str">
        <f>IF(AND(B2195&lt;=NKC!$N$8,B2195&gt;=NKC!$M$8),"x","")</f>
        <v/>
      </c>
      <c r="AA2195" s="535"/>
      <c r="AB2195" s="536"/>
    </row>
    <row r="2196" spans="1:30" s="503" customFormat="1" ht="15.75" customHeight="1">
      <c r="A2196" s="517" t="str">
        <f>IF(B2196&lt;&gt;"",IF(AND(B2196&gt;=_TM1,B2196&lt;=_TM2,OR(TH!L2196="1111",TH!M2196="1111")),TH!D2196,""),"")</f>
        <v/>
      </c>
      <c r="B2196" s="531">
        <f t="shared" si="202"/>
        <v>4</v>
      </c>
      <c r="C2196" s="315">
        <f t="shared" si="203"/>
        <v>42844</v>
      </c>
      <c r="D2196" s="315" t="s">
        <v>903</v>
      </c>
      <c r="E2196" s="315">
        <v>42844</v>
      </c>
      <c r="F2196" s="249" t="s">
        <v>1032</v>
      </c>
      <c r="G2196" s="314" t="s">
        <v>1108</v>
      </c>
      <c r="H2196" s="473" t="s">
        <v>1093</v>
      </c>
      <c r="I2196" s="307">
        <v>265</v>
      </c>
      <c r="J2196" s="307">
        <v>12650</v>
      </c>
      <c r="K2196" s="532">
        <f t="shared" si="204"/>
        <v>3352250</v>
      </c>
      <c r="L2196" s="534" t="s">
        <v>223</v>
      </c>
      <c r="M2196" s="534" t="s">
        <v>162</v>
      </c>
      <c r="N2196" s="525" t="str">
        <f>IF(AND('331-CT'!$E$7=TH!H2196,OR(L2196="331",M2196="331")),"331",IF(AND(OR(L2196="131",M2196="131"),H2196='131-CT'!$E$7),"131",""))</f>
        <v/>
      </c>
      <c r="O2196" s="525" t="str">
        <f>IF(AND($B2196&gt;='111'!$N$11,$B2196&lt;='111'!$O$11,OR($L2196=$O$7,$M2196=$O$7)),"x","")</f>
        <v/>
      </c>
      <c r="P2196" s="525" t="str">
        <f>IF(AND($L2196=$O$7,$B2196&lt;'111'!$N$11),"x","")</f>
        <v/>
      </c>
      <c r="Q2196" s="525" t="str">
        <f>IF(AND($M2196=$O$7,$B2196&lt;'111'!$N$11),"x","")</f>
        <v/>
      </c>
      <c r="R2196" s="525" t="str">
        <f>IF(ISERROR(FIND('112'!$M$9,G2196,1)),"",IF((AND(FIND('112'!$M$9,G2196,1)&gt;=1,$B2196&gt;='112'!$N$8,$B2196&lt;='112'!$O$8,OR($L2196='112'!$I$6,$M2196='112'!$I$6))),"x",""))</f>
        <v/>
      </c>
      <c r="S2196" s="525" t="str">
        <f>IF(ISERROR(FIND('112'!$M$9,G2196,1)),"",IF((AND(LEFT(G2196,2)=LEFT('112'!$M$9,2),B2196&lt;'112'!$N$8,$L2196='112'!$I$6)),"x",""))</f>
        <v/>
      </c>
      <c r="T2196" s="525" t="str">
        <f>IF(ISERROR(FIND('112'!$M$9,G2196,1)),"",IF((AND(RIGHT(G2196,2)=RIGHT('112'!$M$9,2),B2196&lt;'112'!$N$8,$M2196='112'!$I$6)),"x",""))</f>
        <v/>
      </c>
      <c r="U2196" s="525" t="str">
        <f>IF(AND(B2196&gt;='IN-NX'!$P$3,B2196&lt;='IN-NX'!$Q$3,'IN-NX'!$D$7=D2196,OR(LEFT(L2196,2)="15",AND(LEFT(M2196,2)&lt;&gt;"15",LEFT(M2196,2)&lt;&gt;"33"))),"x","")</f>
        <v/>
      </c>
      <c r="V2196" s="525" t="str">
        <f>IF(AND(OR(LEFT(TH!L2196,2)="15",LEFT(TH!M2196,2)="15"),'152-CT'!$J$8=TH!F2196),"x","")</f>
        <v/>
      </c>
      <c r="W2196" s="525" t="str">
        <f>IF(AND(OR(LEFT(TH!L2196,2)="15",LEFT(TH!M2196,2)="15"),TK!$E$7=TH!F2196),"x","")</f>
        <v/>
      </c>
      <c r="X2196" s="525" t="str">
        <f>IF(AND('341-CT'!$E$9=H2196,OR(LEFT(L2196,3)=$X$7,LEFT(M2196,3)=$X$7)),"x","")</f>
        <v/>
      </c>
      <c r="Y2196" s="525" t="str">
        <f>IF(OR(TH!L2196=TH!$Y$7,M2196=TH!$Y$7),"x","")</f>
        <v/>
      </c>
      <c r="Z2196" s="525" t="str">
        <f>IF(AND(B2196&lt;=NKC!$N$8,B2196&gt;=NKC!$M$8),"x","")</f>
        <v/>
      </c>
      <c r="AA2196" s="535"/>
      <c r="AB2196" s="536"/>
    </row>
    <row r="2197" spans="1:30" s="503" customFormat="1" ht="15.75" customHeight="1">
      <c r="A2197" s="517" t="str">
        <f>IF(B2197&lt;&gt;"",IF(AND(B2197&gt;=_TM1,B2197&lt;=_TM2,OR(TH!L2197="1111",TH!M2197="1111")),TH!D2197,""),"")</f>
        <v/>
      </c>
      <c r="B2197" s="531">
        <f t="shared" si="202"/>
        <v>4</v>
      </c>
      <c r="C2197" s="315">
        <f t="shared" si="203"/>
        <v>42844</v>
      </c>
      <c r="D2197" s="315" t="s">
        <v>903</v>
      </c>
      <c r="E2197" s="315">
        <v>42844</v>
      </c>
      <c r="F2197" s="249" t="s">
        <v>1033</v>
      </c>
      <c r="G2197" s="314" t="s">
        <v>1108</v>
      </c>
      <c r="H2197" s="473" t="s">
        <v>1093</v>
      </c>
      <c r="I2197" s="307">
        <v>325</v>
      </c>
      <c r="J2197" s="307">
        <v>25300</v>
      </c>
      <c r="K2197" s="532">
        <f t="shared" si="204"/>
        <v>8222500</v>
      </c>
      <c r="L2197" s="534" t="s">
        <v>223</v>
      </c>
      <c r="M2197" s="534" t="s">
        <v>162</v>
      </c>
      <c r="N2197" s="525" t="str">
        <f>IF(AND('331-CT'!$E$7=TH!H2197,OR(L2197="331",M2197="331")),"331",IF(AND(OR(L2197="131",M2197="131"),H2197='131-CT'!$E$7),"131",""))</f>
        <v/>
      </c>
      <c r="O2197" s="525" t="str">
        <f>IF(AND($B2197&gt;='111'!$N$11,$B2197&lt;='111'!$O$11,OR($L2197=$O$7,$M2197=$O$7)),"x","")</f>
        <v/>
      </c>
      <c r="P2197" s="525" t="str">
        <f>IF(AND($L2197=$O$7,$B2197&lt;'111'!$N$11),"x","")</f>
        <v/>
      </c>
      <c r="Q2197" s="525" t="str">
        <f>IF(AND($M2197=$O$7,$B2197&lt;'111'!$N$11),"x","")</f>
        <v/>
      </c>
      <c r="R2197" s="525" t="str">
        <f>IF(ISERROR(FIND('112'!$M$9,G2197,1)),"",IF((AND(FIND('112'!$M$9,G2197,1)&gt;=1,$B2197&gt;='112'!$N$8,$B2197&lt;='112'!$O$8,OR($L2197='112'!$I$6,$M2197='112'!$I$6))),"x",""))</f>
        <v/>
      </c>
      <c r="S2197" s="525" t="str">
        <f>IF(ISERROR(FIND('112'!$M$9,G2197,1)),"",IF((AND(LEFT(G2197,2)=LEFT('112'!$M$9,2),B2197&lt;'112'!$N$8,$L2197='112'!$I$6)),"x",""))</f>
        <v/>
      </c>
      <c r="T2197" s="525" t="str">
        <f>IF(ISERROR(FIND('112'!$M$9,G2197,1)),"",IF((AND(RIGHT(G2197,2)=RIGHT('112'!$M$9,2),B2197&lt;'112'!$N$8,$M2197='112'!$I$6)),"x",""))</f>
        <v/>
      </c>
      <c r="U2197" s="525" t="str">
        <f>IF(AND(B2197&gt;='IN-NX'!$P$3,B2197&lt;='IN-NX'!$Q$3,'IN-NX'!$D$7=D2197,OR(LEFT(L2197,2)="15",AND(LEFT(M2197,2)&lt;&gt;"15",LEFT(M2197,2)&lt;&gt;"33"))),"x","")</f>
        <v/>
      </c>
      <c r="V2197" s="525" t="str">
        <f>IF(AND(OR(LEFT(TH!L2197,2)="15",LEFT(TH!M2197,2)="15"),'152-CT'!$J$8=TH!F2197),"x","")</f>
        <v/>
      </c>
      <c r="W2197" s="525" t="str">
        <f>IF(AND(OR(LEFT(TH!L2197,2)="15",LEFT(TH!M2197,2)="15"),TK!$E$7=TH!F2197),"x","")</f>
        <v/>
      </c>
      <c r="X2197" s="525" t="str">
        <f>IF(AND('341-CT'!$E$9=H2197,OR(LEFT(L2197,3)=$X$7,LEFT(M2197,3)=$X$7)),"x","")</f>
        <v/>
      </c>
      <c r="Y2197" s="525" t="str">
        <f>IF(OR(TH!L2197=TH!$Y$7,M2197=TH!$Y$7),"x","")</f>
        <v/>
      </c>
      <c r="Z2197" s="525" t="str">
        <f>IF(AND(B2197&lt;=NKC!$N$8,B2197&gt;=NKC!$M$8),"x","")</f>
        <v/>
      </c>
      <c r="AA2197" s="535"/>
      <c r="AB2197" s="536"/>
    </row>
    <row r="2198" spans="1:30" s="503" customFormat="1" ht="15.75" customHeight="1">
      <c r="A2198" s="517" t="str">
        <f>IF(B2198&lt;&gt;"",IF(AND(B2198&gt;=_TM1,B2198&lt;=_TM2,OR(TH!L2198="1111",TH!M2198="1111")),TH!D2198,""),"")</f>
        <v/>
      </c>
      <c r="B2198" s="531">
        <f t="shared" si="202"/>
        <v>4</v>
      </c>
      <c r="C2198" s="315">
        <f t="shared" si="203"/>
        <v>42844</v>
      </c>
      <c r="D2198" s="315" t="s">
        <v>903</v>
      </c>
      <c r="E2198" s="315">
        <v>42844</v>
      </c>
      <c r="F2198" s="249" t="s">
        <v>1034</v>
      </c>
      <c r="G2198" s="314" t="s">
        <v>1108</v>
      </c>
      <c r="H2198" s="473" t="s">
        <v>1093</v>
      </c>
      <c r="I2198" s="307">
        <v>325</v>
      </c>
      <c r="J2198" s="307">
        <v>21800</v>
      </c>
      <c r="K2198" s="532">
        <f t="shared" si="204"/>
        <v>7085000</v>
      </c>
      <c r="L2198" s="534" t="s">
        <v>223</v>
      </c>
      <c r="M2198" s="534" t="s">
        <v>162</v>
      </c>
      <c r="N2198" s="525" t="str">
        <f>IF(AND('331-CT'!$E$7=TH!H2198,OR(L2198="331",M2198="331")),"331",IF(AND(OR(L2198="131",M2198="131"),H2198='131-CT'!$E$7),"131",""))</f>
        <v/>
      </c>
      <c r="O2198" s="525" t="str">
        <f>IF(AND($B2198&gt;='111'!$N$11,$B2198&lt;='111'!$O$11,OR($L2198=$O$7,$M2198=$O$7)),"x","")</f>
        <v/>
      </c>
      <c r="P2198" s="525" t="str">
        <f>IF(AND($L2198=$O$7,$B2198&lt;'111'!$N$11),"x","")</f>
        <v/>
      </c>
      <c r="Q2198" s="525" t="str">
        <f>IF(AND($M2198=$O$7,$B2198&lt;'111'!$N$11),"x","")</f>
        <v/>
      </c>
      <c r="R2198" s="525" t="str">
        <f>IF(ISERROR(FIND('112'!$M$9,G2198,1)),"",IF((AND(FIND('112'!$M$9,G2198,1)&gt;=1,$B2198&gt;='112'!$N$8,$B2198&lt;='112'!$O$8,OR($L2198='112'!$I$6,$M2198='112'!$I$6))),"x",""))</f>
        <v/>
      </c>
      <c r="S2198" s="525" t="str">
        <f>IF(ISERROR(FIND('112'!$M$9,G2198,1)),"",IF((AND(LEFT(G2198,2)=LEFT('112'!$M$9,2),B2198&lt;'112'!$N$8,$L2198='112'!$I$6)),"x",""))</f>
        <v/>
      </c>
      <c r="T2198" s="525" t="str">
        <f>IF(ISERROR(FIND('112'!$M$9,G2198,1)),"",IF((AND(RIGHT(G2198,2)=RIGHT('112'!$M$9,2),B2198&lt;'112'!$N$8,$M2198='112'!$I$6)),"x",""))</f>
        <v/>
      </c>
      <c r="U2198" s="525" t="str">
        <f>IF(AND(B2198&gt;='IN-NX'!$P$3,B2198&lt;='IN-NX'!$Q$3,'IN-NX'!$D$7=D2198,OR(LEFT(L2198,2)="15",AND(LEFT(M2198,2)&lt;&gt;"15",LEFT(M2198,2)&lt;&gt;"33"))),"x","")</f>
        <v/>
      </c>
      <c r="V2198" s="525" t="str">
        <f>IF(AND(OR(LEFT(TH!L2198,2)="15",LEFT(TH!M2198,2)="15"),'152-CT'!$J$8=TH!F2198),"x","")</f>
        <v/>
      </c>
      <c r="W2198" s="525" t="str">
        <f>IF(AND(OR(LEFT(TH!L2198,2)="15",LEFT(TH!M2198,2)="15"),TK!$E$7=TH!F2198),"x","")</f>
        <v/>
      </c>
      <c r="X2198" s="525" t="str">
        <f>IF(AND('341-CT'!$E$9=H2198,OR(LEFT(L2198,3)=$X$7,LEFT(M2198,3)=$X$7)),"x","")</f>
        <v/>
      </c>
      <c r="Y2198" s="525" t="str">
        <f>IF(OR(TH!L2198=TH!$Y$7,M2198=TH!$Y$7),"x","")</f>
        <v/>
      </c>
      <c r="Z2198" s="525" t="str">
        <f>IF(AND(B2198&lt;=NKC!$N$8,B2198&gt;=NKC!$M$8),"x","")</f>
        <v/>
      </c>
      <c r="AA2198" s="535"/>
      <c r="AB2198" s="536"/>
    </row>
    <row r="2199" spans="1:30" s="503" customFormat="1" ht="15.75" customHeight="1">
      <c r="A2199" s="517" t="str">
        <f>IF(B2199&lt;&gt;"",IF(AND(B2199&gt;=_TM1,B2199&lt;=_TM2,OR(TH!L2199="1111",TH!M2199="1111")),TH!D2199,""),"")</f>
        <v/>
      </c>
      <c r="B2199" s="531">
        <f t="shared" si="202"/>
        <v>4</v>
      </c>
      <c r="C2199" s="315">
        <f t="shared" si="203"/>
        <v>42844</v>
      </c>
      <c r="D2199" s="315" t="s">
        <v>903</v>
      </c>
      <c r="E2199" s="315">
        <v>42844</v>
      </c>
      <c r="F2199" s="249" t="s">
        <v>1035</v>
      </c>
      <c r="G2199" s="314" t="s">
        <v>1108</v>
      </c>
      <c r="H2199" s="473" t="s">
        <v>1093</v>
      </c>
      <c r="I2199" s="307">
        <v>325</v>
      </c>
      <c r="J2199" s="307">
        <v>1400</v>
      </c>
      <c r="K2199" s="532">
        <f t="shared" si="204"/>
        <v>455000</v>
      </c>
      <c r="L2199" s="534" t="s">
        <v>223</v>
      </c>
      <c r="M2199" s="534" t="s">
        <v>162</v>
      </c>
      <c r="N2199" s="525" t="str">
        <f>IF(AND('331-CT'!$E$7=TH!H2199,OR(L2199="331",M2199="331")),"331",IF(AND(OR(L2199="131",M2199="131"),H2199='131-CT'!$E$7),"131",""))</f>
        <v/>
      </c>
      <c r="O2199" s="525" t="str">
        <f>IF(AND($B2199&gt;='111'!$N$11,$B2199&lt;='111'!$O$11,OR($L2199=$O$7,$M2199=$O$7)),"x","")</f>
        <v/>
      </c>
      <c r="P2199" s="525" t="str">
        <f>IF(AND($L2199=$O$7,$B2199&lt;'111'!$N$11),"x","")</f>
        <v/>
      </c>
      <c r="Q2199" s="525" t="str">
        <f>IF(AND($M2199=$O$7,$B2199&lt;'111'!$N$11),"x","")</f>
        <v/>
      </c>
      <c r="R2199" s="525" t="str">
        <f>IF(ISERROR(FIND('112'!$M$9,G2199,1)),"",IF((AND(FIND('112'!$M$9,G2199,1)&gt;=1,$B2199&gt;='112'!$N$8,$B2199&lt;='112'!$O$8,OR($L2199='112'!$I$6,$M2199='112'!$I$6))),"x",""))</f>
        <v/>
      </c>
      <c r="S2199" s="525" t="str">
        <f>IF(ISERROR(FIND('112'!$M$9,G2199,1)),"",IF((AND(LEFT(G2199,2)=LEFT('112'!$M$9,2),B2199&lt;'112'!$N$8,$L2199='112'!$I$6)),"x",""))</f>
        <v/>
      </c>
      <c r="T2199" s="525" t="str">
        <f>IF(ISERROR(FIND('112'!$M$9,G2199,1)),"",IF((AND(RIGHT(G2199,2)=RIGHT('112'!$M$9,2),B2199&lt;'112'!$N$8,$M2199='112'!$I$6)),"x",""))</f>
        <v/>
      </c>
      <c r="U2199" s="525" t="str">
        <f>IF(AND(B2199&gt;='IN-NX'!$P$3,B2199&lt;='IN-NX'!$Q$3,'IN-NX'!$D$7=D2199,OR(LEFT(L2199,2)="15",AND(LEFT(M2199,2)&lt;&gt;"15",LEFT(M2199,2)&lt;&gt;"33"))),"x","")</f>
        <v/>
      </c>
      <c r="V2199" s="525" t="str">
        <f>IF(AND(OR(LEFT(TH!L2199,2)="15",LEFT(TH!M2199,2)="15"),'152-CT'!$J$8=TH!F2199),"x","")</f>
        <v/>
      </c>
      <c r="W2199" s="525" t="str">
        <f>IF(AND(OR(LEFT(TH!L2199,2)="15",LEFT(TH!M2199,2)="15"),TK!$E$7=TH!F2199),"x","")</f>
        <v/>
      </c>
      <c r="X2199" s="525" t="str">
        <f>IF(AND('341-CT'!$E$9=H2199,OR(LEFT(L2199,3)=$X$7,LEFT(M2199,3)=$X$7)),"x","")</f>
        <v/>
      </c>
      <c r="Y2199" s="525" t="str">
        <f>IF(OR(TH!L2199=TH!$Y$7,M2199=TH!$Y$7),"x","")</f>
        <v/>
      </c>
      <c r="Z2199" s="525" t="str">
        <f>IF(AND(B2199&lt;=NKC!$N$8,B2199&gt;=NKC!$M$8),"x","")</f>
        <v/>
      </c>
      <c r="AA2199" s="535"/>
      <c r="AB2199" s="536"/>
    </row>
    <row r="2200" spans="1:30" s="503" customFormat="1" ht="15.75" customHeight="1">
      <c r="A2200" s="517" t="str">
        <f>IF(B2200&lt;&gt;"",IF(AND(B2200&gt;=_TM1,B2200&lt;=_TM2,OR(TH!L2200="1111",TH!M2200="1111")),TH!D2200,""),"")</f>
        <v/>
      </c>
      <c r="B2200" s="531">
        <f t="shared" si="202"/>
        <v>4</v>
      </c>
      <c r="C2200" s="315">
        <f t="shared" si="203"/>
        <v>42844</v>
      </c>
      <c r="D2200" s="315" t="s">
        <v>903</v>
      </c>
      <c r="E2200" s="315">
        <v>42844</v>
      </c>
      <c r="F2200" s="249" t="s">
        <v>1036</v>
      </c>
      <c r="G2200" s="314" t="s">
        <v>1108</v>
      </c>
      <c r="H2200" s="473" t="s">
        <v>1093</v>
      </c>
      <c r="I2200" s="307">
        <v>325</v>
      </c>
      <c r="J2200" s="307">
        <v>1070</v>
      </c>
      <c r="K2200" s="532">
        <f t="shared" si="204"/>
        <v>347750</v>
      </c>
      <c r="L2200" s="534" t="s">
        <v>223</v>
      </c>
      <c r="M2200" s="534" t="s">
        <v>162</v>
      </c>
      <c r="N2200" s="525" t="str">
        <f>IF(AND('331-CT'!$E$7=TH!H2200,OR(L2200="331",M2200="331")),"331",IF(AND(OR(L2200="131",M2200="131"),H2200='131-CT'!$E$7),"131",""))</f>
        <v/>
      </c>
      <c r="O2200" s="525" t="str">
        <f>IF(AND($B2200&gt;='111'!$N$11,$B2200&lt;='111'!$O$11,OR($L2200=$O$7,$M2200=$O$7)),"x","")</f>
        <v/>
      </c>
      <c r="P2200" s="525" t="str">
        <f>IF(AND($L2200=$O$7,$B2200&lt;'111'!$N$11),"x","")</f>
        <v/>
      </c>
      <c r="Q2200" s="525" t="str">
        <f>IF(AND($M2200=$O$7,$B2200&lt;'111'!$N$11),"x","")</f>
        <v/>
      </c>
      <c r="R2200" s="525" t="str">
        <f>IF(ISERROR(FIND('112'!$M$9,G2200,1)),"",IF((AND(FIND('112'!$M$9,G2200,1)&gt;=1,$B2200&gt;='112'!$N$8,$B2200&lt;='112'!$O$8,OR($L2200='112'!$I$6,$M2200='112'!$I$6))),"x",""))</f>
        <v/>
      </c>
      <c r="S2200" s="525" t="str">
        <f>IF(ISERROR(FIND('112'!$M$9,G2200,1)),"",IF((AND(LEFT(G2200,2)=LEFT('112'!$M$9,2),B2200&lt;'112'!$N$8,$L2200='112'!$I$6)),"x",""))</f>
        <v/>
      </c>
      <c r="T2200" s="525" t="str">
        <f>IF(ISERROR(FIND('112'!$M$9,G2200,1)),"",IF((AND(RIGHT(G2200,2)=RIGHT('112'!$M$9,2),B2200&lt;'112'!$N$8,$M2200='112'!$I$6)),"x",""))</f>
        <v/>
      </c>
      <c r="U2200" s="525" t="str">
        <f>IF(AND(B2200&gt;='IN-NX'!$P$3,B2200&lt;='IN-NX'!$Q$3,'IN-NX'!$D$7=D2200,OR(LEFT(L2200,2)="15",AND(LEFT(M2200,2)&lt;&gt;"15",LEFT(M2200,2)&lt;&gt;"33"))),"x","")</f>
        <v/>
      </c>
      <c r="V2200" s="525" t="str">
        <f>IF(AND(OR(LEFT(TH!L2200,2)="15",LEFT(TH!M2200,2)="15"),'152-CT'!$J$8=TH!F2200),"x","")</f>
        <v/>
      </c>
      <c r="W2200" s="525" t="str">
        <f>IF(AND(OR(LEFT(TH!L2200,2)="15",LEFT(TH!M2200,2)="15"),TK!$E$7=TH!F2200),"x","")</f>
        <v/>
      </c>
      <c r="X2200" s="525" t="str">
        <f>IF(AND('341-CT'!$E$9=H2200,OR(LEFT(L2200,3)=$X$7,LEFT(M2200,3)=$X$7)),"x","")</f>
        <v/>
      </c>
      <c r="Y2200" s="525" t="str">
        <f>IF(OR(TH!L2200=TH!$Y$7,M2200=TH!$Y$7),"x","")</f>
        <v/>
      </c>
      <c r="Z2200" s="525" t="str">
        <f>IF(AND(B2200&lt;=NKC!$N$8,B2200&gt;=NKC!$M$8),"x","")</f>
        <v/>
      </c>
      <c r="AA2200" s="535"/>
      <c r="AB2200" s="536"/>
    </row>
    <row r="2201" spans="1:30" s="503" customFormat="1" ht="15.75" customHeight="1">
      <c r="A2201" s="517" t="str">
        <f>IF(B2201&lt;&gt;"",IF(AND(B2201&gt;=_TM1,B2201&lt;=_TM2,OR(TH!L2201="1111",TH!M2201="1111")),TH!D2201,""),"")</f>
        <v/>
      </c>
      <c r="B2201" s="531">
        <f t="shared" si="202"/>
        <v>4</v>
      </c>
      <c r="C2201" s="315">
        <f t="shared" si="203"/>
        <v>42844</v>
      </c>
      <c r="D2201" s="315" t="s">
        <v>903</v>
      </c>
      <c r="E2201" s="315">
        <v>42844</v>
      </c>
      <c r="F2201" s="249" t="s">
        <v>1099</v>
      </c>
      <c r="G2201" s="314" t="s">
        <v>1108</v>
      </c>
      <c r="H2201" s="473" t="s">
        <v>1093</v>
      </c>
      <c r="I2201" s="307"/>
      <c r="J2201" s="307"/>
      <c r="K2201" s="532">
        <v>1000000</v>
      </c>
      <c r="L2201" s="534" t="s">
        <v>223</v>
      </c>
      <c r="M2201" s="534" t="s">
        <v>275</v>
      </c>
      <c r="N2201" s="525" t="str">
        <f>IF(AND('331-CT'!$E$7=TH!H2201,OR(L2201="331",M2201="331")),"331",IF(AND(OR(L2201="131",M2201="131"),H2201='131-CT'!$E$7),"131",""))</f>
        <v/>
      </c>
      <c r="O2201" s="525" t="str">
        <f>IF(AND($B2201&gt;='111'!$N$11,$B2201&lt;='111'!$O$11,OR($L2201=$O$7,$M2201=$O$7)),"x","")</f>
        <v/>
      </c>
      <c r="P2201" s="525" t="str">
        <f>IF(AND($L2201=$O$7,$B2201&lt;'111'!$N$11),"x","")</f>
        <v/>
      </c>
      <c r="Q2201" s="525" t="str">
        <f>IF(AND($M2201=$O$7,$B2201&lt;'111'!$N$11),"x","")</f>
        <v/>
      </c>
      <c r="R2201" s="525" t="str">
        <f>IF(ISERROR(FIND('112'!$M$9,G2201,1)),"",IF((AND(FIND('112'!$M$9,G2201,1)&gt;=1,$B2201&gt;='112'!$N$8,$B2201&lt;='112'!$O$8,OR($L2201='112'!$I$6,$M2201='112'!$I$6))),"x",""))</f>
        <v/>
      </c>
      <c r="S2201" s="525" t="str">
        <f>IF(ISERROR(FIND('112'!$M$9,G2201,1)),"",IF((AND(LEFT(G2201,2)=LEFT('112'!$M$9,2),B2201&lt;'112'!$N$8,$L2201='112'!$I$6)),"x",""))</f>
        <v/>
      </c>
      <c r="T2201" s="525" t="str">
        <f>IF(ISERROR(FIND('112'!$M$9,G2201,1)),"",IF((AND(RIGHT(G2201,2)=RIGHT('112'!$M$9,2),B2201&lt;'112'!$N$8,$M2201='112'!$I$6)),"x",""))</f>
        <v/>
      </c>
      <c r="U2201" s="525" t="str">
        <f>IF(AND(B2201&gt;='IN-NX'!$P$3,B2201&lt;='IN-NX'!$Q$3,'IN-NX'!$D$7=D2201,OR(LEFT(L2201,2)="15",AND(LEFT(M2201,2)&lt;&gt;"15",LEFT(M2201,2)&lt;&gt;"33"))),"x","")</f>
        <v/>
      </c>
      <c r="V2201" s="525" t="str">
        <f>IF(AND(OR(LEFT(TH!L2201,2)="15",LEFT(TH!M2201,2)="15"),'152-CT'!$J$8=TH!F2201),"x","")</f>
        <v/>
      </c>
      <c r="W2201" s="525" t="str">
        <f>IF(AND(OR(LEFT(TH!L2201,2)="15",LEFT(TH!M2201,2)="15"),TK!$E$7=TH!F2201),"x","")</f>
        <v/>
      </c>
      <c r="X2201" s="525" t="str">
        <f>IF(AND('341-CT'!$E$9=H2201,OR(LEFT(L2201,3)=$X$7,LEFT(M2201,3)=$X$7)),"x","")</f>
        <v/>
      </c>
      <c r="Y2201" s="525" t="str">
        <f>IF(OR(TH!L2201=TH!$Y$7,M2201=TH!$Y$7),"x","")</f>
        <v/>
      </c>
      <c r="Z2201" s="525" t="str">
        <f>IF(AND(B2201&lt;=NKC!$N$8,B2201&gt;=NKC!$M$8),"x","")</f>
        <v/>
      </c>
      <c r="AA2201" s="535"/>
      <c r="AB2201" s="536"/>
    </row>
    <row r="2202" spans="1:30" s="503" customFormat="1" ht="15.75" customHeight="1">
      <c r="A2202" s="517" t="str">
        <f>IF(B2202&lt;&gt;"",IF(AND(B2202&gt;=_TM1,B2202&lt;=_TM2,OR(TH!L2202="1111",TH!M2202="1111")),TH!D2202,""),"")</f>
        <v/>
      </c>
      <c r="B2202" s="531">
        <f t="shared" si="202"/>
        <v>4</v>
      </c>
      <c r="C2202" s="315">
        <f t="shared" si="203"/>
        <v>42844</v>
      </c>
      <c r="D2202" s="315" t="s">
        <v>903</v>
      </c>
      <c r="E2202" s="315">
        <v>42844</v>
      </c>
      <c r="F2202" s="249" t="s">
        <v>494</v>
      </c>
      <c r="G2202" s="314" t="s">
        <v>1108</v>
      </c>
      <c r="H2202" s="473" t="s">
        <v>1093</v>
      </c>
      <c r="I2202" s="307"/>
      <c r="J2202" s="307"/>
      <c r="K2202" s="532">
        <v>2547100</v>
      </c>
      <c r="L2202" s="534" t="s">
        <v>223</v>
      </c>
      <c r="M2202" s="534" t="s">
        <v>259</v>
      </c>
      <c r="N2202" s="525" t="str">
        <f>IF(AND('331-CT'!$E$7=TH!H2202,OR(L2202="331",M2202="331")),"331",IF(AND(OR(L2202="131",M2202="131"),H2202='131-CT'!$E$7),"131",""))</f>
        <v/>
      </c>
      <c r="O2202" s="525" t="str">
        <f>IF(AND($B2202&gt;='111'!$N$11,$B2202&lt;='111'!$O$11,OR($L2202=$O$7,$M2202=$O$7)),"x","")</f>
        <v/>
      </c>
      <c r="P2202" s="525" t="str">
        <f>IF(AND($L2202=$O$7,$B2202&lt;'111'!$N$11),"x","")</f>
        <v/>
      </c>
      <c r="Q2202" s="525" t="str">
        <f>IF(AND($M2202=$O$7,$B2202&lt;'111'!$N$11),"x","")</f>
        <v/>
      </c>
      <c r="R2202" s="525" t="str">
        <f>IF(ISERROR(FIND('112'!$M$9,G2202,1)),"",IF((AND(FIND('112'!$M$9,G2202,1)&gt;=1,$B2202&gt;='112'!$N$8,$B2202&lt;='112'!$O$8,OR($L2202='112'!$I$6,$M2202='112'!$I$6))),"x",""))</f>
        <v/>
      </c>
      <c r="S2202" s="525" t="str">
        <f>IF(ISERROR(FIND('112'!$M$9,G2202,1)),"",IF((AND(LEFT(G2202,2)=LEFT('112'!$M$9,2),B2202&lt;'112'!$N$8,$L2202='112'!$I$6)),"x",""))</f>
        <v/>
      </c>
      <c r="T2202" s="525" t="str">
        <f>IF(ISERROR(FIND('112'!$M$9,G2202,1)),"",IF((AND(RIGHT(G2202,2)=RIGHT('112'!$M$9,2),B2202&lt;'112'!$N$8,$M2202='112'!$I$6)),"x",""))</f>
        <v/>
      </c>
      <c r="U2202" s="525" t="str">
        <f>IF(AND(B2202&gt;='IN-NX'!$P$3,B2202&lt;='IN-NX'!$Q$3,'IN-NX'!$D$7=D2202,OR(LEFT(L2202,2)="15",AND(LEFT(M2202,2)&lt;&gt;"15",LEFT(M2202,2)&lt;&gt;"33"))),"x","")</f>
        <v/>
      </c>
      <c r="V2202" s="525" t="str">
        <f>IF(AND(OR(LEFT(TH!L2202,2)="15",LEFT(TH!M2202,2)="15"),'152-CT'!$J$8=TH!F2202),"x","")</f>
        <v/>
      </c>
      <c r="W2202" s="525" t="str">
        <f>IF(AND(OR(LEFT(TH!L2202,2)="15",LEFT(TH!M2202,2)="15"),TK!$E$7=TH!F2202),"x","")</f>
        <v/>
      </c>
      <c r="X2202" s="525" t="str">
        <f>IF(AND('341-CT'!$E$9=H2202,OR(LEFT(L2202,3)=$X$7,LEFT(M2202,3)=$X$7)),"x","")</f>
        <v/>
      </c>
      <c r="Y2202" s="525" t="str">
        <f>IF(OR(TH!L2202=TH!$Y$7,M2202=TH!$Y$7),"x","")</f>
        <v/>
      </c>
      <c r="Z2202" s="525" t="str">
        <f>IF(AND(B2202&lt;=NKC!$N$8,B2202&gt;=NKC!$M$8),"x","")</f>
        <v/>
      </c>
      <c r="AA2202" s="535"/>
      <c r="AB2202" s="536"/>
    </row>
    <row r="2203" spans="1:30" s="503" customFormat="1" ht="15.75" customHeight="1">
      <c r="A2203" s="517" t="str">
        <f>IF(B2203&lt;&gt;"",IF(AND(B2203&gt;=_TM1,B2203&lt;=_TM2,OR(TH!L2203="1111",TH!M2203="1111")),TH!D2203,""),"")</f>
        <v/>
      </c>
      <c r="B2203" s="531">
        <f t="shared" si="202"/>
        <v>4</v>
      </c>
      <c r="C2203" s="315">
        <f t="shared" si="203"/>
        <v>42844</v>
      </c>
      <c r="D2203" s="315" t="s">
        <v>904</v>
      </c>
      <c r="E2203" s="315">
        <v>42844</v>
      </c>
      <c r="F2203" s="249" t="s">
        <v>504</v>
      </c>
      <c r="G2203" s="314" t="s">
        <v>1109</v>
      </c>
      <c r="H2203" s="473" t="s">
        <v>283</v>
      </c>
      <c r="I2203" s="307">
        <v>1900</v>
      </c>
      <c r="J2203" s="307">
        <v>35000</v>
      </c>
      <c r="K2203" s="532">
        <f>ROUND(I2203*J2203,0)</f>
        <v>66500000</v>
      </c>
      <c r="L2203" s="534" t="s">
        <v>223</v>
      </c>
      <c r="M2203" s="534" t="s">
        <v>162</v>
      </c>
      <c r="N2203" s="525" t="str">
        <f>IF(AND('331-CT'!$E$7=TH!H2203,OR(L2203="331",M2203="331")),"331",IF(AND(OR(L2203="131",M2203="131"),H2203='131-CT'!$E$7),"131",""))</f>
        <v/>
      </c>
      <c r="O2203" s="525" t="str">
        <f>IF(AND($B2203&gt;='111'!$N$11,$B2203&lt;='111'!$O$11,OR($L2203=$O$7,$M2203=$O$7)),"x","")</f>
        <v/>
      </c>
      <c r="P2203" s="525" t="str">
        <f>IF(AND($L2203=$O$7,$B2203&lt;'111'!$N$11),"x","")</f>
        <v/>
      </c>
      <c r="Q2203" s="525" t="str">
        <f>IF(AND($M2203=$O$7,$B2203&lt;'111'!$N$11),"x","")</f>
        <v/>
      </c>
      <c r="R2203" s="525" t="str">
        <f>IF(ISERROR(FIND('112'!$M$9,G2203,1)),"",IF((AND(FIND('112'!$M$9,G2203,1)&gt;=1,$B2203&gt;='112'!$N$8,$B2203&lt;='112'!$O$8,OR($L2203='112'!$I$6,$M2203='112'!$I$6))),"x",""))</f>
        <v/>
      </c>
      <c r="S2203" s="525" t="str">
        <f>IF(ISERROR(FIND('112'!$M$9,G2203,1)),"",IF((AND(LEFT(G2203,2)=LEFT('112'!$M$9,2),B2203&lt;'112'!$N$8,$L2203='112'!$I$6)),"x",""))</f>
        <v/>
      </c>
      <c r="T2203" s="525" t="str">
        <f>IF(ISERROR(FIND('112'!$M$9,G2203,1)),"",IF((AND(RIGHT(G2203,2)=RIGHT('112'!$M$9,2),B2203&lt;'112'!$N$8,$M2203='112'!$I$6)),"x",""))</f>
        <v/>
      </c>
      <c r="U2203" s="525" t="str">
        <f>IF(AND(B2203&gt;='IN-NX'!$P$3,B2203&lt;='IN-NX'!$Q$3,'IN-NX'!$D$7=D2203,OR(LEFT(L2203,2)="15",AND(LEFT(M2203,2)&lt;&gt;"15",LEFT(M2203,2)&lt;&gt;"33"))),"x","")</f>
        <v/>
      </c>
      <c r="V2203" s="525" t="str">
        <f>IF(AND(OR(LEFT(TH!L2203,2)="15",LEFT(TH!M2203,2)="15"),'152-CT'!$J$8=TH!F2203),"x","")</f>
        <v/>
      </c>
      <c r="W2203" s="525" t="str">
        <f>IF(AND(OR(LEFT(TH!L2203,2)="15",LEFT(TH!M2203,2)="15"),TK!$E$7=TH!F2203),"x","")</f>
        <v/>
      </c>
      <c r="X2203" s="525" t="str">
        <f>IF(AND('341-CT'!$E$9=H2203,OR(LEFT(L2203,3)=$X$7,LEFT(M2203,3)=$X$7)),"x","")</f>
        <v/>
      </c>
      <c r="Y2203" s="525" t="str">
        <f>IF(OR(TH!L2203=TH!$Y$7,M2203=TH!$Y$7),"x","")</f>
        <v/>
      </c>
      <c r="Z2203" s="525" t="str">
        <f>IF(AND(B2203&lt;=NKC!$N$8,B2203&gt;=NKC!$M$8),"x","")</f>
        <v/>
      </c>
      <c r="AA2203" s="535"/>
      <c r="AB2203" s="536"/>
    </row>
    <row r="2204" spans="1:30" s="503" customFormat="1" ht="15.75" customHeight="1">
      <c r="A2204" s="517" t="str">
        <f>IF(B2204&lt;&gt;"",IF(AND(B2204&gt;=_TM1,B2204&lt;=_TM2,OR(TH!L2204="1111",TH!M2204="1111")),TH!D2204,""),"")</f>
        <v/>
      </c>
      <c r="B2204" s="531">
        <f t="shared" si="202"/>
        <v>4</v>
      </c>
      <c r="C2204" s="315">
        <f t="shared" si="203"/>
        <v>42844</v>
      </c>
      <c r="D2204" s="315" t="s">
        <v>904</v>
      </c>
      <c r="E2204" s="315">
        <v>42844</v>
      </c>
      <c r="F2204" s="249" t="s">
        <v>505</v>
      </c>
      <c r="G2204" s="314" t="s">
        <v>1109</v>
      </c>
      <c r="H2204" s="473" t="s">
        <v>283</v>
      </c>
      <c r="I2204" s="307">
        <v>2000</v>
      </c>
      <c r="J2204" s="307">
        <v>32500</v>
      </c>
      <c r="K2204" s="532">
        <f>ROUND(I2204*J2204,0)</f>
        <v>65000000</v>
      </c>
      <c r="L2204" s="534" t="s">
        <v>223</v>
      </c>
      <c r="M2204" s="534" t="s">
        <v>162</v>
      </c>
      <c r="N2204" s="525" t="str">
        <f>IF(AND('331-CT'!$E$7=TH!H2204,OR(L2204="331",M2204="331")),"331",IF(AND(OR(L2204="131",M2204="131"),H2204='131-CT'!$E$7),"131",""))</f>
        <v/>
      </c>
      <c r="O2204" s="525" t="str">
        <f>IF(AND($B2204&gt;='111'!$N$11,$B2204&lt;='111'!$O$11,OR($L2204=$O$7,$M2204=$O$7)),"x","")</f>
        <v/>
      </c>
      <c r="P2204" s="525" t="str">
        <f>IF(AND($L2204=$O$7,$B2204&lt;'111'!$N$11),"x","")</f>
        <v/>
      </c>
      <c r="Q2204" s="525" t="str">
        <f>IF(AND($M2204=$O$7,$B2204&lt;'111'!$N$11),"x","")</f>
        <v/>
      </c>
      <c r="R2204" s="525" t="str">
        <f>IF(ISERROR(FIND('112'!$M$9,G2204,1)),"",IF((AND(FIND('112'!$M$9,G2204,1)&gt;=1,$B2204&gt;='112'!$N$8,$B2204&lt;='112'!$O$8,OR($L2204='112'!$I$6,$M2204='112'!$I$6))),"x",""))</f>
        <v/>
      </c>
      <c r="S2204" s="525" t="str">
        <f>IF(ISERROR(FIND('112'!$M$9,G2204,1)),"",IF((AND(LEFT(G2204,2)=LEFT('112'!$M$9,2),B2204&lt;'112'!$N$8,$L2204='112'!$I$6)),"x",""))</f>
        <v/>
      </c>
      <c r="T2204" s="525" t="str">
        <f>IF(ISERROR(FIND('112'!$M$9,G2204,1)),"",IF((AND(RIGHT(G2204,2)=RIGHT('112'!$M$9,2),B2204&lt;'112'!$N$8,$M2204='112'!$I$6)),"x",""))</f>
        <v/>
      </c>
      <c r="U2204" s="525" t="str">
        <f>IF(AND(B2204&gt;='IN-NX'!$P$3,B2204&lt;='IN-NX'!$Q$3,'IN-NX'!$D$7=D2204,OR(LEFT(L2204,2)="15",AND(LEFT(M2204,2)&lt;&gt;"15",LEFT(M2204,2)&lt;&gt;"33"))),"x","")</f>
        <v/>
      </c>
      <c r="V2204" s="525" t="str">
        <f>IF(AND(OR(LEFT(TH!L2204,2)="15",LEFT(TH!M2204,2)="15"),'152-CT'!$J$8=TH!F2204),"x","")</f>
        <v/>
      </c>
      <c r="W2204" s="525" t="str">
        <f>IF(AND(OR(LEFT(TH!L2204,2)="15",LEFT(TH!M2204,2)="15"),TK!$E$7=TH!F2204),"x","")</f>
        <v/>
      </c>
      <c r="X2204" s="525" t="str">
        <f>IF(AND('341-CT'!$E$9=H2204,OR(LEFT(L2204,3)=$X$7,LEFT(M2204,3)=$X$7)),"x","")</f>
        <v/>
      </c>
      <c r="Y2204" s="525" t="str">
        <f>IF(OR(TH!L2204=TH!$Y$7,M2204=TH!$Y$7),"x","")</f>
        <v/>
      </c>
      <c r="Z2204" s="525" t="str">
        <f>IF(AND(B2204&lt;=NKC!$N$8,B2204&gt;=NKC!$M$8),"x","")</f>
        <v/>
      </c>
      <c r="AA2204" s="535"/>
      <c r="AB2204" s="536"/>
    </row>
    <row r="2205" spans="1:30" s="503" customFormat="1" ht="15.75" customHeight="1">
      <c r="A2205" s="517" t="str">
        <f>IF(B2205&lt;&gt;"",IF(AND(B2205&gt;=_TM1,B2205&lt;=_TM2,OR(TH!L2205="1111",TH!M2205="1111")),TH!D2205,""),"")</f>
        <v/>
      </c>
      <c r="B2205" s="531">
        <f t="shared" si="202"/>
        <v>4</v>
      </c>
      <c r="C2205" s="315">
        <f t="shared" si="203"/>
        <v>42844</v>
      </c>
      <c r="D2205" s="315" t="s">
        <v>904</v>
      </c>
      <c r="E2205" s="315">
        <v>42844</v>
      </c>
      <c r="F2205" s="249" t="s">
        <v>274</v>
      </c>
      <c r="G2205" s="314" t="s">
        <v>1109</v>
      </c>
      <c r="H2205" s="473" t="s">
        <v>283</v>
      </c>
      <c r="I2205" s="307">
        <v>4800</v>
      </c>
      <c r="J2205" s="307">
        <v>18500</v>
      </c>
      <c r="K2205" s="532">
        <f>ROUND(I2205*J2205,0)</f>
        <v>88800000</v>
      </c>
      <c r="L2205" s="534" t="s">
        <v>223</v>
      </c>
      <c r="M2205" s="534" t="s">
        <v>162</v>
      </c>
      <c r="N2205" s="525" t="str">
        <f>IF(AND('331-CT'!$E$7=TH!H2205,OR(L2205="331",M2205="331")),"331",IF(AND(OR(L2205="131",M2205="131"),H2205='131-CT'!$E$7),"131",""))</f>
        <v/>
      </c>
      <c r="O2205" s="525" t="str">
        <f>IF(AND($B2205&gt;='111'!$N$11,$B2205&lt;='111'!$O$11,OR($L2205=$O$7,$M2205=$O$7)),"x","")</f>
        <v/>
      </c>
      <c r="P2205" s="525" t="str">
        <f>IF(AND($L2205=$O$7,$B2205&lt;'111'!$N$11),"x","")</f>
        <v/>
      </c>
      <c r="Q2205" s="525" t="str">
        <f>IF(AND($M2205=$O$7,$B2205&lt;'111'!$N$11),"x","")</f>
        <v/>
      </c>
      <c r="R2205" s="525" t="str">
        <f>IF(ISERROR(FIND('112'!$M$9,G2205,1)),"",IF((AND(FIND('112'!$M$9,G2205,1)&gt;=1,$B2205&gt;='112'!$N$8,$B2205&lt;='112'!$O$8,OR($L2205='112'!$I$6,$M2205='112'!$I$6))),"x",""))</f>
        <v/>
      </c>
      <c r="S2205" s="525" t="str">
        <f>IF(ISERROR(FIND('112'!$M$9,G2205,1)),"",IF((AND(LEFT(G2205,2)=LEFT('112'!$M$9,2),B2205&lt;'112'!$N$8,$L2205='112'!$I$6)),"x",""))</f>
        <v/>
      </c>
      <c r="T2205" s="525" t="str">
        <f>IF(ISERROR(FIND('112'!$M$9,G2205,1)),"",IF((AND(RIGHT(G2205,2)=RIGHT('112'!$M$9,2),B2205&lt;'112'!$N$8,$M2205='112'!$I$6)),"x",""))</f>
        <v/>
      </c>
      <c r="U2205" s="525" t="str">
        <f>IF(AND(B2205&gt;='IN-NX'!$P$3,B2205&lt;='IN-NX'!$Q$3,'IN-NX'!$D$7=D2205,OR(LEFT(L2205,2)="15",AND(LEFT(M2205,2)&lt;&gt;"15",LEFT(M2205,2)&lt;&gt;"33"))),"x","")</f>
        <v/>
      </c>
      <c r="V2205" s="525" t="str">
        <f>IF(AND(OR(LEFT(TH!L2205,2)="15",LEFT(TH!M2205,2)="15"),'152-CT'!$J$8=TH!F2205),"x","")</f>
        <v/>
      </c>
      <c r="W2205" s="525" t="str">
        <f>IF(AND(OR(LEFT(TH!L2205,2)="15",LEFT(TH!M2205,2)="15"),TK!$E$7=TH!F2205),"x","")</f>
        <v/>
      </c>
      <c r="X2205" s="525" t="str">
        <f>IF(AND('341-CT'!$E$9=H2205,OR(LEFT(L2205,3)=$X$7,LEFT(M2205,3)=$X$7)),"x","")</f>
        <v/>
      </c>
      <c r="Y2205" s="525" t="str">
        <f>IF(OR(TH!L2205=TH!$Y$7,M2205=TH!$Y$7),"x","")</f>
        <v/>
      </c>
      <c r="Z2205" s="525" t="str">
        <f>IF(AND(B2205&lt;=NKC!$N$8,B2205&gt;=NKC!$M$8),"x","")</f>
        <v/>
      </c>
      <c r="AA2205" s="535"/>
      <c r="AB2205" s="536"/>
    </row>
    <row r="2206" spans="1:30" s="503" customFormat="1" ht="15.75" customHeight="1">
      <c r="A2206" s="517" t="str">
        <f>IF(B2206&lt;&gt;"",IF(AND(B2206&gt;=_TM1,B2206&lt;=_TM2,OR(TH!L2206="1111",TH!M2206="1111")),TH!D2206,""),"")</f>
        <v/>
      </c>
      <c r="B2206" s="531">
        <f t="shared" si="202"/>
        <v>4</v>
      </c>
      <c r="C2206" s="315">
        <f t="shared" si="203"/>
        <v>42844</v>
      </c>
      <c r="D2206" s="315" t="s">
        <v>904</v>
      </c>
      <c r="E2206" s="315">
        <v>42844</v>
      </c>
      <c r="F2206" s="249" t="s">
        <v>273</v>
      </c>
      <c r="G2206" s="314" t="s">
        <v>1109</v>
      </c>
      <c r="H2206" s="473" t="s">
        <v>283</v>
      </c>
      <c r="I2206" s="307">
        <v>4700</v>
      </c>
      <c r="J2206" s="307">
        <v>18500</v>
      </c>
      <c r="K2206" s="532">
        <f>ROUND(I2206*J2206,0)</f>
        <v>86950000</v>
      </c>
      <c r="L2206" s="534" t="s">
        <v>223</v>
      </c>
      <c r="M2206" s="534" t="s">
        <v>162</v>
      </c>
      <c r="N2206" s="525" t="str">
        <f>IF(AND('331-CT'!$E$7=TH!H2206,OR(L2206="331",M2206="331")),"331",IF(AND(OR(L2206="131",M2206="131"),H2206='131-CT'!$E$7),"131",""))</f>
        <v/>
      </c>
      <c r="O2206" s="525" t="str">
        <f>IF(AND($B2206&gt;='111'!$N$11,$B2206&lt;='111'!$O$11,OR($L2206=$O$7,$M2206=$O$7)),"x","")</f>
        <v/>
      </c>
      <c r="P2206" s="525" t="str">
        <f>IF(AND($L2206=$O$7,$B2206&lt;'111'!$N$11),"x","")</f>
        <v/>
      </c>
      <c r="Q2206" s="525" t="str">
        <f>IF(AND($M2206=$O$7,$B2206&lt;'111'!$N$11),"x","")</f>
        <v/>
      </c>
      <c r="R2206" s="525" t="str">
        <f>IF(ISERROR(FIND('112'!$M$9,G2206,1)),"",IF((AND(FIND('112'!$M$9,G2206,1)&gt;=1,$B2206&gt;='112'!$N$8,$B2206&lt;='112'!$O$8,OR($L2206='112'!$I$6,$M2206='112'!$I$6))),"x",""))</f>
        <v/>
      </c>
      <c r="S2206" s="525" t="str">
        <f>IF(ISERROR(FIND('112'!$M$9,G2206,1)),"",IF((AND(LEFT(G2206,2)=LEFT('112'!$M$9,2),B2206&lt;'112'!$N$8,$L2206='112'!$I$6)),"x",""))</f>
        <v/>
      </c>
      <c r="T2206" s="525" t="str">
        <f>IF(ISERROR(FIND('112'!$M$9,G2206,1)),"",IF((AND(RIGHT(G2206,2)=RIGHT('112'!$M$9,2),B2206&lt;'112'!$N$8,$M2206='112'!$I$6)),"x",""))</f>
        <v/>
      </c>
      <c r="U2206" s="525" t="str">
        <f>IF(AND(B2206&gt;='IN-NX'!$P$3,B2206&lt;='IN-NX'!$Q$3,'IN-NX'!$D$7=D2206,OR(LEFT(L2206,2)="15",AND(LEFT(M2206,2)&lt;&gt;"15",LEFT(M2206,2)&lt;&gt;"33"))),"x","")</f>
        <v/>
      </c>
      <c r="V2206" s="525" t="str">
        <f>IF(AND(OR(LEFT(TH!L2206,2)="15",LEFT(TH!M2206,2)="15"),'152-CT'!$J$8=TH!F2206),"x","")</f>
        <v/>
      </c>
      <c r="W2206" s="525" t="str">
        <f>IF(AND(OR(LEFT(TH!L2206,2)="15",LEFT(TH!M2206,2)="15"),TK!$E$7=TH!F2206),"x","")</f>
        <v/>
      </c>
      <c r="X2206" s="525" t="str">
        <f>IF(AND('341-CT'!$E$9=H2206,OR(LEFT(L2206,3)=$X$7,LEFT(M2206,3)=$X$7)),"x","")</f>
        <v/>
      </c>
      <c r="Y2206" s="525" t="str">
        <f>IF(OR(TH!L2206=TH!$Y$7,M2206=TH!$Y$7),"x","")</f>
        <v/>
      </c>
      <c r="Z2206" s="525" t="str">
        <f>IF(AND(B2206&lt;=NKC!$N$8,B2206&gt;=NKC!$M$8),"x","")</f>
        <v/>
      </c>
      <c r="AA2206" s="535"/>
      <c r="AB2206" s="536"/>
    </row>
    <row r="2207" spans="1:30" s="503" customFormat="1" ht="15.75" customHeight="1">
      <c r="A2207" s="517" t="str">
        <f>IF(B2207&lt;&gt;"",IF(AND(B2207&gt;=_TM1,B2207&lt;=_TM2,OR(TH!L2207="1111",TH!M2207="1111")),TH!D2207,""),"")</f>
        <v/>
      </c>
      <c r="B2207" s="531">
        <f t="shared" si="202"/>
        <v>4</v>
      </c>
      <c r="C2207" s="315">
        <f t="shared" si="203"/>
        <v>42844</v>
      </c>
      <c r="D2207" s="315" t="s">
        <v>904</v>
      </c>
      <c r="E2207" s="315">
        <v>42844</v>
      </c>
      <c r="F2207" s="249" t="s">
        <v>494</v>
      </c>
      <c r="G2207" s="314" t="s">
        <v>1109</v>
      </c>
      <c r="H2207" s="473" t="s">
        <v>283</v>
      </c>
      <c r="I2207" s="307"/>
      <c r="J2207" s="307"/>
      <c r="K2207" s="532">
        <v>30725000</v>
      </c>
      <c r="L2207" s="534" t="s">
        <v>223</v>
      </c>
      <c r="M2207" s="534" t="s">
        <v>259</v>
      </c>
      <c r="N2207" s="525" t="str">
        <f>IF(AND('331-CT'!$E$7=TH!H2207,OR(L2207="331",M2207="331")),"331",IF(AND(OR(L2207="131",M2207="131"),H2207='131-CT'!$E$7),"131",""))</f>
        <v/>
      </c>
      <c r="O2207" s="525" t="str">
        <f>IF(AND($B2207&gt;='111'!$N$11,$B2207&lt;='111'!$O$11,OR($L2207=$O$7,$M2207=$O$7)),"x","")</f>
        <v/>
      </c>
      <c r="P2207" s="525" t="str">
        <f>IF(AND($L2207=$O$7,$B2207&lt;'111'!$N$11),"x","")</f>
        <v/>
      </c>
      <c r="Q2207" s="525" t="str">
        <f>IF(AND($M2207=$O$7,$B2207&lt;'111'!$N$11),"x","")</f>
        <v/>
      </c>
      <c r="R2207" s="525" t="str">
        <f>IF(ISERROR(FIND('112'!$M$9,G2207,1)),"",IF((AND(FIND('112'!$M$9,G2207,1)&gt;=1,$B2207&gt;='112'!$N$8,$B2207&lt;='112'!$O$8,OR($L2207='112'!$I$6,$M2207='112'!$I$6))),"x",""))</f>
        <v/>
      </c>
      <c r="S2207" s="525" t="str">
        <f>IF(ISERROR(FIND('112'!$M$9,G2207,1)),"",IF((AND(LEFT(G2207,2)=LEFT('112'!$M$9,2),B2207&lt;'112'!$N$8,$L2207='112'!$I$6)),"x",""))</f>
        <v/>
      </c>
      <c r="T2207" s="525" t="str">
        <f>IF(ISERROR(FIND('112'!$M$9,G2207,1)),"",IF((AND(RIGHT(G2207,2)=RIGHT('112'!$M$9,2),B2207&lt;'112'!$N$8,$M2207='112'!$I$6)),"x",""))</f>
        <v/>
      </c>
      <c r="U2207" s="525" t="str">
        <f>IF(AND(B2207&gt;='IN-NX'!$P$3,B2207&lt;='IN-NX'!$Q$3,'IN-NX'!$D$7=D2207,OR(LEFT(L2207,2)="15",AND(LEFT(M2207,2)&lt;&gt;"15",LEFT(M2207,2)&lt;&gt;"33"))),"x","")</f>
        <v/>
      </c>
      <c r="V2207" s="525" t="str">
        <f>IF(AND(OR(LEFT(TH!L2207,2)="15",LEFT(TH!M2207,2)="15"),'152-CT'!$J$8=TH!F2207),"x","")</f>
        <v/>
      </c>
      <c r="W2207" s="525" t="str">
        <f>IF(AND(OR(LEFT(TH!L2207,2)="15",LEFT(TH!M2207,2)="15"),TK!$E$7=TH!F2207),"x","")</f>
        <v/>
      </c>
      <c r="X2207" s="525" t="str">
        <f>IF(AND('341-CT'!$E$9=H2207,OR(LEFT(L2207,3)=$X$7,LEFT(M2207,3)=$X$7)),"x","")</f>
        <v/>
      </c>
      <c r="Y2207" s="525" t="str">
        <f>IF(OR(TH!L2207=TH!$Y$7,M2207=TH!$Y$7),"x","")</f>
        <v/>
      </c>
      <c r="Z2207" s="525" t="str">
        <f>IF(AND(B2207&lt;=NKC!$N$8,B2207&gt;=NKC!$M$8),"x","")</f>
        <v/>
      </c>
      <c r="AA2207" s="535"/>
      <c r="AB2207" s="536"/>
    </row>
    <row r="2208" spans="1:30" s="503" customFormat="1" ht="15.75" customHeight="1">
      <c r="A2208" s="517" t="str">
        <f>IF(B2208&lt;&gt;"",IF(AND(B2208&gt;=_TM1,B2208&lt;=_TM2,OR(TH!L2208="1111",TH!M2208="1111")),TH!D2208,""),"")</f>
        <v/>
      </c>
      <c r="B2208" s="531">
        <f t="shared" si="202"/>
        <v>4</v>
      </c>
      <c r="C2208" s="315">
        <f t="shared" si="203"/>
        <v>42845</v>
      </c>
      <c r="D2208" s="315" t="s">
        <v>981</v>
      </c>
      <c r="E2208" s="315">
        <v>42845</v>
      </c>
      <c r="F2208" s="249" t="s">
        <v>504</v>
      </c>
      <c r="G2208" s="541" t="s">
        <v>1076</v>
      </c>
      <c r="H2208" s="473" t="s">
        <v>1071</v>
      </c>
      <c r="I2208" s="307">
        <v>560</v>
      </c>
      <c r="J2208" s="307">
        <v>32350</v>
      </c>
      <c r="K2208" s="532">
        <f>ROUND(I2208*J2208,0)</f>
        <v>18116000</v>
      </c>
      <c r="L2208" s="534" t="s">
        <v>292</v>
      </c>
      <c r="M2208" s="534" t="s">
        <v>8</v>
      </c>
      <c r="N2208" s="525" t="str">
        <f>IF(AND('331-CT'!$E$7=TH!H2208,OR(L2208="331",M2208="331")),"331",IF(AND(OR(L2208="131",M2208="131"),H2208='131-CT'!$E$7),"131",""))</f>
        <v/>
      </c>
      <c r="O2208" s="525" t="str">
        <f>IF(AND($B2208&gt;='111'!$N$11,$B2208&lt;='111'!$O$11,OR($L2208=$O$7,$M2208=$O$7)),"x","")</f>
        <v/>
      </c>
      <c r="P2208" s="525" t="str">
        <f>IF(AND($L2208=$O$7,$B2208&lt;'111'!$N$11),"x","")</f>
        <v/>
      </c>
      <c r="Q2208" s="525" t="str">
        <f>IF(AND($M2208=$O$7,$B2208&lt;'111'!$N$11),"x","")</f>
        <v/>
      </c>
      <c r="R2208" s="525" t="str">
        <f>IF(ISERROR(FIND('112'!$M$9,G2208,1)),"",IF((AND(FIND('112'!$M$9,G2208,1)&gt;=1,$B2208&gt;='112'!$N$8,$B2208&lt;='112'!$O$8,OR($L2208='112'!$I$6,$M2208='112'!$I$6))),"x",""))</f>
        <v/>
      </c>
      <c r="S2208" s="525" t="str">
        <f>IF(ISERROR(FIND('112'!$M$9,G2208,1)),"",IF((AND(LEFT(G2208,2)=LEFT('112'!$M$9,2),B2208&lt;'112'!$N$8,$L2208='112'!$I$6)),"x",""))</f>
        <v/>
      </c>
      <c r="T2208" s="525" t="str">
        <f>IF(ISERROR(FIND('112'!$M$9,G2208,1)),"",IF((AND(RIGHT(G2208,2)=RIGHT('112'!$M$9,2),B2208&lt;'112'!$N$8,$M2208='112'!$I$6)),"x",""))</f>
        <v/>
      </c>
      <c r="U2208" s="525" t="str">
        <f>IF(AND(B2208&gt;='IN-NX'!$P$3,B2208&lt;='IN-NX'!$Q$3,'IN-NX'!$D$7=D2208,OR(LEFT(L2208,2)="15",AND(LEFT(M2208,2)&lt;&gt;"15",LEFT(M2208,2)&lt;&gt;"33"))),"x","")</f>
        <v/>
      </c>
      <c r="V2208" s="525" t="str">
        <f>IF(AND(OR(LEFT(TH!L2208,2)="15",LEFT(TH!M2208,2)="15"),'152-CT'!$J$8=TH!F2208),"x","")</f>
        <v/>
      </c>
      <c r="W2208" s="525" t="str">
        <f>IF(AND(OR(LEFT(TH!L2208,2)="15",LEFT(TH!M2208,2)="15"),TK!$E$7=TH!F2208),"x","")</f>
        <v/>
      </c>
      <c r="X2208" s="525" t="str">
        <f>IF(AND('341-CT'!$E$9=H2208,OR(LEFT(L2208,3)=$X$7,LEFT(M2208,3)=$X$7)),"x","")</f>
        <v/>
      </c>
      <c r="Y2208" s="525" t="str">
        <f>IF(OR(TH!L2208=TH!$Y$7,M2208=TH!$Y$7),"x","")</f>
        <v/>
      </c>
      <c r="Z2208" s="525" t="str">
        <f>IF(AND(B2208&lt;=NKC!$N$8,B2208&gt;=NKC!$M$8),"x","")</f>
        <v/>
      </c>
      <c r="AA2208" s="535">
        <v>2</v>
      </c>
      <c r="AB2208" s="536"/>
      <c r="AD2208" s="536"/>
    </row>
    <row r="2209" spans="1:34" s="503" customFormat="1" ht="15.75" customHeight="1">
      <c r="A2209" s="517" t="str">
        <f>IF(B2209&lt;&gt;"",IF(AND(B2209&gt;=_TM1,B2209&lt;=_TM2,OR(TH!L2209="1111",TH!M2209="1111")),TH!D2209,""),"")</f>
        <v/>
      </c>
      <c r="B2209" s="531">
        <f t="shared" si="202"/>
        <v>4</v>
      </c>
      <c r="C2209" s="315">
        <f t="shared" si="203"/>
        <v>42845</v>
      </c>
      <c r="D2209" s="315" t="s">
        <v>981</v>
      </c>
      <c r="E2209" s="315">
        <v>42845</v>
      </c>
      <c r="F2209" s="247" t="s">
        <v>1002</v>
      </c>
      <c r="G2209" s="541" t="s">
        <v>1076</v>
      </c>
      <c r="H2209" s="473" t="s">
        <v>1071</v>
      </c>
      <c r="I2209" s="307"/>
      <c r="J2209" s="307"/>
      <c r="K2209" s="532">
        <v>1811600</v>
      </c>
      <c r="L2209" s="713" t="s">
        <v>9</v>
      </c>
      <c r="M2209" s="534" t="s">
        <v>8</v>
      </c>
      <c r="N2209" s="525" t="str">
        <f>IF(AND('331-CT'!$E$7=TH!H2209,OR(L2209="331",M2209="331")),"331",IF(AND(OR(L2209="131",M2209="131"),H2209='131-CT'!$E$7),"131",""))</f>
        <v/>
      </c>
      <c r="O2209" s="525" t="str">
        <f>IF(AND($B2209&gt;='111'!$N$11,$B2209&lt;='111'!$O$11,OR($L2209=$O$7,$M2209=$O$7)),"x","")</f>
        <v/>
      </c>
      <c r="P2209" s="525" t="str">
        <f>IF(AND($L2209=$O$7,$B2209&lt;'111'!$N$11),"x","")</f>
        <v/>
      </c>
      <c r="Q2209" s="525" t="str">
        <f>IF(AND($M2209=$O$7,$B2209&lt;'111'!$N$11),"x","")</f>
        <v/>
      </c>
      <c r="R2209" s="525" t="str">
        <f>IF(ISERROR(FIND('112'!$M$9,G2209,1)),"",IF((AND(FIND('112'!$M$9,G2209,1)&gt;=1,$B2209&gt;='112'!$N$8,$B2209&lt;='112'!$O$8,OR($L2209='112'!$I$6,$M2209='112'!$I$6))),"x",""))</f>
        <v/>
      </c>
      <c r="S2209" s="525" t="str">
        <f>IF(ISERROR(FIND('112'!$M$9,G2209,1)),"",IF((AND(LEFT(G2209,2)=LEFT('112'!$M$9,2),B2209&lt;'112'!$N$8,$L2209='112'!$I$6)),"x",""))</f>
        <v/>
      </c>
      <c r="T2209" s="525" t="str">
        <f>IF(ISERROR(FIND('112'!$M$9,G2209,1)),"",IF((AND(RIGHT(G2209,2)=RIGHT('112'!$M$9,2),B2209&lt;'112'!$N$8,$M2209='112'!$I$6)),"x",""))</f>
        <v/>
      </c>
      <c r="U2209" s="525" t="str">
        <f>IF(AND(B2209&gt;='IN-NX'!$P$3,B2209&lt;='IN-NX'!$Q$3,'IN-NX'!$D$7=D2209,OR(LEFT(L2209,2)="15",AND(LEFT(M2209,2)&lt;&gt;"15",LEFT(M2209,2)&lt;&gt;"33"))),"x","")</f>
        <v/>
      </c>
      <c r="V2209" s="525" t="str">
        <f>IF(AND(OR(LEFT(TH!L2209,2)="15",LEFT(TH!M2209,2)="15"),'152-CT'!$J$8=TH!F2209),"x","")</f>
        <v/>
      </c>
      <c r="W2209" s="525" t="str">
        <f>IF(AND(OR(LEFT(TH!L2209,2)="15",LEFT(TH!M2209,2)="15"),TK!$E$7=TH!F2209),"x","")</f>
        <v/>
      </c>
      <c r="X2209" s="525" t="str">
        <f>IF(AND('341-CT'!$E$9=H2209,OR(LEFT(L2209,3)=$X$7,LEFT(M2209,3)=$X$7)),"x","")</f>
        <v/>
      </c>
      <c r="Y2209" s="525" t="str">
        <f>IF(OR(TH!L2209=TH!$Y$7,M2209=TH!$Y$7),"x","")</f>
        <v/>
      </c>
      <c r="Z2209" s="525" t="str">
        <f>IF(AND(B2209&lt;=NKC!$N$8,B2209&gt;=NKC!$M$8),"x","")</f>
        <v/>
      </c>
      <c r="AA2209" s="535">
        <v>2</v>
      </c>
      <c r="AB2209" s="536"/>
      <c r="AD2209" s="536"/>
    </row>
    <row r="2210" spans="1:34" s="503" customFormat="1" ht="15.75" customHeight="1">
      <c r="A2210" s="517" t="str">
        <f>IF(B2210&lt;&gt;"",IF(AND(B2210&gt;=_TM1,B2210&lt;=_TM2,OR(TH!L2210="1111",TH!M2210="1111")),TH!D2210,""),"")</f>
        <v/>
      </c>
      <c r="B2210" s="531">
        <f t="shared" si="202"/>
        <v>4</v>
      </c>
      <c r="C2210" s="315">
        <f t="shared" si="203"/>
        <v>42846</v>
      </c>
      <c r="D2210" s="315" t="s">
        <v>982</v>
      </c>
      <c r="E2210" s="315">
        <v>42846</v>
      </c>
      <c r="F2210" s="249" t="s">
        <v>274</v>
      </c>
      <c r="G2210" s="314" t="s">
        <v>1054</v>
      </c>
      <c r="H2210" s="473" t="s">
        <v>447</v>
      </c>
      <c r="I2210" s="307">
        <v>821</v>
      </c>
      <c r="J2210" s="307">
        <v>11010</v>
      </c>
      <c r="K2210" s="532">
        <f t="shared" ref="K2210:K2227" si="205">ROUND(I2210*J2210,0)</f>
        <v>9039210</v>
      </c>
      <c r="L2210" s="534" t="s">
        <v>292</v>
      </c>
      <c r="M2210" s="534" t="s">
        <v>8</v>
      </c>
      <c r="N2210" s="525" t="str">
        <f>IF(AND('331-CT'!$E$7=TH!H2210,OR(L2210="331",M2210="331")),"331",IF(AND(OR(L2210="131",M2210="131"),H2210='131-CT'!$E$7),"131",""))</f>
        <v/>
      </c>
      <c r="O2210" s="525" t="str">
        <f>IF(AND($B2210&gt;='111'!$N$11,$B2210&lt;='111'!$O$11,OR($L2210=$O$7,$M2210=$O$7)),"x","")</f>
        <v/>
      </c>
      <c r="P2210" s="525" t="str">
        <f>IF(AND($L2210=$O$7,$B2210&lt;'111'!$N$11),"x","")</f>
        <v/>
      </c>
      <c r="Q2210" s="525" t="str">
        <f>IF(AND($M2210=$O$7,$B2210&lt;'111'!$N$11),"x","")</f>
        <v/>
      </c>
      <c r="R2210" s="525" t="str">
        <f>IF(ISERROR(FIND('112'!$M$9,G2210,1)),"",IF((AND(FIND('112'!$M$9,G2210,1)&gt;=1,$B2210&gt;='112'!$N$8,$B2210&lt;='112'!$O$8,OR($L2210='112'!$I$6,$M2210='112'!$I$6))),"x",""))</f>
        <v/>
      </c>
      <c r="S2210" s="525" t="str">
        <f>IF(ISERROR(FIND('112'!$M$9,G2210,1)),"",IF((AND(LEFT(G2210,2)=LEFT('112'!$M$9,2),B2210&lt;'112'!$N$8,$L2210='112'!$I$6)),"x",""))</f>
        <v/>
      </c>
      <c r="T2210" s="525" t="str">
        <f>IF(ISERROR(FIND('112'!$M$9,G2210,1)),"",IF((AND(RIGHT(G2210,2)=RIGHT('112'!$M$9,2),B2210&lt;'112'!$N$8,$M2210='112'!$I$6)),"x",""))</f>
        <v/>
      </c>
      <c r="U2210" s="525" t="str">
        <f>IF(AND(B2210&gt;='IN-NX'!$P$3,B2210&lt;='IN-NX'!$Q$3,'IN-NX'!$D$7=D2210,OR(LEFT(L2210,2)="15",AND(LEFT(M2210,2)&lt;&gt;"15",LEFT(M2210,2)&lt;&gt;"33"))),"x","")</f>
        <v/>
      </c>
      <c r="V2210" s="525" t="str">
        <f>IF(AND(OR(LEFT(TH!L2210,2)="15",LEFT(TH!M2210,2)="15"),'152-CT'!$J$8=TH!F2210),"x","")</f>
        <v/>
      </c>
      <c r="W2210" s="525" t="str">
        <f>IF(AND(OR(LEFT(TH!L2210,2)="15",LEFT(TH!M2210,2)="15"),TK!$E$7=TH!F2210),"x","")</f>
        <v>x</v>
      </c>
      <c r="X2210" s="525" t="str">
        <f>IF(AND('341-CT'!$E$9=H2210,OR(LEFT(L2210,3)=$X$7,LEFT(M2210,3)=$X$7)),"x","")</f>
        <v/>
      </c>
      <c r="Y2210" s="525" t="str">
        <f>IF(OR(TH!L2210=TH!$Y$7,M2210=TH!$Y$7),"x","")</f>
        <v/>
      </c>
      <c r="Z2210" s="525" t="str">
        <f>IF(AND(B2210&lt;=NKC!$N$8,B2210&gt;=NKC!$M$8),"x","")</f>
        <v/>
      </c>
      <c r="AA2210" s="535">
        <v>2</v>
      </c>
      <c r="AB2210" s="536"/>
      <c r="AF2210" s="536"/>
      <c r="AG2210" s="536"/>
      <c r="AH2210" s="536"/>
    </row>
    <row r="2211" spans="1:34" s="503" customFormat="1" ht="15.75" customHeight="1">
      <c r="A2211" s="517" t="str">
        <f>IF(B2211&lt;&gt;"",IF(AND(B2211&gt;=_TM1,B2211&lt;=_TM2,OR(TH!L2211="1111",TH!M2211="1111")),TH!D2211,""),"")</f>
        <v/>
      </c>
      <c r="B2211" s="531">
        <f t="shared" si="202"/>
        <v>4</v>
      </c>
      <c r="C2211" s="315">
        <f t="shared" si="203"/>
        <v>42846</v>
      </c>
      <c r="D2211" s="315" t="s">
        <v>982</v>
      </c>
      <c r="E2211" s="315">
        <v>42846</v>
      </c>
      <c r="F2211" s="249" t="s">
        <v>740</v>
      </c>
      <c r="G2211" s="314" t="s">
        <v>1054</v>
      </c>
      <c r="H2211" s="473" t="s">
        <v>447</v>
      </c>
      <c r="I2211" s="307">
        <v>10</v>
      </c>
      <c r="J2211" s="307">
        <v>176257.2</v>
      </c>
      <c r="K2211" s="532">
        <f t="shared" si="205"/>
        <v>1762572</v>
      </c>
      <c r="L2211" s="534" t="s">
        <v>292</v>
      </c>
      <c r="M2211" s="534" t="s">
        <v>8</v>
      </c>
      <c r="N2211" s="525" t="str">
        <f>IF(AND('331-CT'!$E$7=TH!H2211,OR(L2211="331",M2211="331")),"331",IF(AND(OR(L2211="131",M2211="131"),H2211='131-CT'!$E$7),"131",""))</f>
        <v/>
      </c>
      <c r="O2211" s="525" t="str">
        <f>IF(AND($B2211&gt;='111'!$N$11,$B2211&lt;='111'!$O$11,OR($L2211=$O$7,$M2211=$O$7)),"x","")</f>
        <v/>
      </c>
      <c r="P2211" s="525" t="str">
        <f>IF(AND($L2211=$O$7,$B2211&lt;'111'!$N$11),"x","")</f>
        <v/>
      </c>
      <c r="Q2211" s="525" t="str">
        <f>IF(AND($M2211=$O$7,$B2211&lt;'111'!$N$11),"x","")</f>
        <v/>
      </c>
      <c r="R2211" s="525" t="str">
        <f>IF(ISERROR(FIND('112'!$M$9,G2211,1)),"",IF((AND(FIND('112'!$M$9,G2211,1)&gt;=1,$B2211&gt;='112'!$N$8,$B2211&lt;='112'!$O$8,OR($L2211='112'!$I$6,$M2211='112'!$I$6))),"x",""))</f>
        <v/>
      </c>
      <c r="S2211" s="525" t="str">
        <f>IF(ISERROR(FIND('112'!$M$9,G2211,1)),"",IF((AND(LEFT(G2211,2)=LEFT('112'!$M$9,2),B2211&lt;'112'!$N$8,$L2211='112'!$I$6)),"x",""))</f>
        <v/>
      </c>
      <c r="T2211" s="525" t="str">
        <f>IF(ISERROR(FIND('112'!$M$9,G2211,1)),"",IF((AND(RIGHT(G2211,2)=RIGHT('112'!$M$9,2),B2211&lt;'112'!$N$8,$M2211='112'!$I$6)),"x",""))</f>
        <v/>
      </c>
      <c r="U2211" s="525" t="str">
        <f>IF(AND(B2211&gt;='IN-NX'!$P$3,B2211&lt;='IN-NX'!$Q$3,'IN-NX'!$D$7=D2211,OR(LEFT(L2211,2)="15",AND(LEFT(M2211,2)&lt;&gt;"15",LEFT(M2211,2)&lt;&gt;"33"))),"x","")</f>
        <v/>
      </c>
      <c r="V2211" s="525" t="str">
        <f>IF(AND(OR(LEFT(TH!L2211,2)="15",LEFT(TH!M2211,2)="15"),'152-CT'!$J$8=TH!F2211),"x","")</f>
        <v/>
      </c>
      <c r="W2211" s="525" t="str">
        <f>IF(AND(OR(LEFT(TH!L2211,2)="15",LEFT(TH!M2211,2)="15"),TK!$E$7=TH!F2211),"x","")</f>
        <v/>
      </c>
      <c r="X2211" s="525" t="str">
        <f>IF(AND('341-CT'!$E$9=H2211,OR(LEFT(L2211,3)=$X$7,LEFT(M2211,3)=$X$7)),"x","")</f>
        <v/>
      </c>
      <c r="Y2211" s="525" t="str">
        <f>IF(OR(TH!L2211=TH!$Y$7,M2211=TH!$Y$7),"x","")</f>
        <v/>
      </c>
      <c r="Z2211" s="525" t="str">
        <f>IF(AND(B2211&lt;=NKC!$N$8,B2211&gt;=NKC!$M$8),"x","")</f>
        <v/>
      </c>
      <c r="AA2211" s="535">
        <v>2</v>
      </c>
      <c r="AB2211" s="536"/>
      <c r="AF2211" s="536"/>
      <c r="AG2211" s="536"/>
      <c r="AH2211" s="536"/>
    </row>
    <row r="2212" spans="1:34" s="503" customFormat="1" ht="15.75" customHeight="1">
      <c r="A2212" s="517" t="str">
        <f>IF(B2212&lt;&gt;"",IF(AND(B2212&gt;=_TM1,B2212&lt;=_TM2,OR(TH!L2212="1111",TH!M2212="1111")),TH!D2212,""),"")</f>
        <v/>
      </c>
      <c r="B2212" s="531">
        <f t="shared" si="202"/>
        <v>4</v>
      </c>
      <c r="C2212" s="315">
        <f t="shared" si="203"/>
        <v>42846</v>
      </c>
      <c r="D2212" s="315" t="s">
        <v>982</v>
      </c>
      <c r="E2212" s="315">
        <v>42846</v>
      </c>
      <c r="F2212" s="249" t="s">
        <v>741</v>
      </c>
      <c r="G2212" s="314" t="s">
        <v>1054</v>
      </c>
      <c r="H2212" s="473" t="s">
        <v>447</v>
      </c>
      <c r="I2212" s="307">
        <v>16</v>
      </c>
      <c r="J2212" s="307">
        <v>231405</v>
      </c>
      <c r="K2212" s="532">
        <f t="shared" si="205"/>
        <v>3702480</v>
      </c>
      <c r="L2212" s="534" t="s">
        <v>292</v>
      </c>
      <c r="M2212" s="534" t="s">
        <v>8</v>
      </c>
      <c r="N2212" s="525" t="str">
        <f>IF(AND('331-CT'!$E$7=TH!H2212,OR(L2212="331",M2212="331")),"331",IF(AND(OR(L2212="131",M2212="131"),H2212='131-CT'!$E$7),"131",""))</f>
        <v/>
      </c>
      <c r="O2212" s="525" t="str">
        <f>IF(AND($B2212&gt;='111'!$N$11,$B2212&lt;='111'!$O$11,OR($L2212=$O$7,$M2212=$O$7)),"x","")</f>
        <v/>
      </c>
      <c r="P2212" s="525" t="str">
        <f>IF(AND($L2212=$O$7,$B2212&lt;'111'!$N$11),"x","")</f>
        <v/>
      </c>
      <c r="Q2212" s="525" t="str">
        <f>IF(AND($M2212=$O$7,$B2212&lt;'111'!$N$11),"x","")</f>
        <v/>
      </c>
      <c r="R2212" s="525" t="str">
        <f>IF(ISERROR(FIND('112'!$M$9,G2212,1)),"",IF((AND(FIND('112'!$M$9,G2212,1)&gt;=1,$B2212&gt;='112'!$N$8,$B2212&lt;='112'!$O$8,OR($L2212='112'!$I$6,$M2212='112'!$I$6))),"x",""))</f>
        <v/>
      </c>
      <c r="S2212" s="525" t="str">
        <f>IF(ISERROR(FIND('112'!$M$9,G2212,1)),"",IF((AND(LEFT(G2212,2)=LEFT('112'!$M$9,2),B2212&lt;'112'!$N$8,$L2212='112'!$I$6)),"x",""))</f>
        <v/>
      </c>
      <c r="T2212" s="525" t="str">
        <f>IF(ISERROR(FIND('112'!$M$9,G2212,1)),"",IF((AND(RIGHT(G2212,2)=RIGHT('112'!$M$9,2),B2212&lt;'112'!$N$8,$M2212='112'!$I$6)),"x",""))</f>
        <v/>
      </c>
      <c r="U2212" s="525" t="str">
        <f>IF(AND(B2212&gt;='IN-NX'!$P$3,B2212&lt;='IN-NX'!$Q$3,'IN-NX'!$D$7=D2212,OR(LEFT(L2212,2)="15",AND(LEFT(M2212,2)&lt;&gt;"15",LEFT(M2212,2)&lt;&gt;"33"))),"x","")</f>
        <v/>
      </c>
      <c r="V2212" s="525" t="str">
        <f>IF(AND(OR(LEFT(TH!L2212,2)="15",LEFT(TH!M2212,2)="15"),'152-CT'!$J$8=TH!F2212),"x","")</f>
        <v/>
      </c>
      <c r="W2212" s="525" t="str">
        <f>IF(AND(OR(LEFT(TH!L2212,2)="15",LEFT(TH!M2212,2)="15"),TK!$E$7=TH!F2212),"x","")</f>
        <v/>
      </c>
      <c r="X2212" s="525" t="str">
        <f>IF(AND('341-CT'!$E$9=H2212,OR(LEFT(L2212,3)=$X$7,LEFT(M2212,3)=$X$7)),"x","")</f>
        <v/>
      </c>
      <c r="Y2212" s="525" t="str">
        <f>IF(OR(TH!L2212=TH!$Y$7,M2212=TH!$Y$7),"x","")</f>
        <v/>
      </c>
      <c r="Z2212" s="525" t="str">
        <f>IF(AND(B2212&lt;=NKC!$N$8,B2212&gt;=NKC!$M$8),"x","")</f>
        <v/>
      </c>
      <c r="AA2212" s="535">
        <v>2</v>
      </c>
      <c r="AB2212" s="536"/>
      <c r="AF2212" s="536"/>
      <c r="AG2212" s="536"/>
      <c r="AH2212" s="536"/>
    </row>
    <row r="2213" spans="1:34" s="503" customFormat="1" ht="15.75" customHeight="1">
      <c r="A2213" s="517" t="str">
        <f>IF(B2213&lt;&gt;"",IF(AND(B2213&gt;=_TM1,B2213&lt;=_TM2,OR(TH!L2213="1111",TH!M2213="1111")),TH!D2213,""),"")</f>
        <v/>
      </c>
      <c r="B2213" s="531">
        <f t="shared" si="202"/>
        <v>4</v>
      </c>
      <c r="C2213" s="315">
        <f t="shared" si="203"/>
        <v>42846</v>
      </c>
      <c r="D2213" s="315" t="s">
        <v>982</v>
      </c>
      <c r="E2213" s="315">
        <v>42846</v>
      </c>
      <c r="F2213" s="249" t="s">
        <v>1052</v>
      </c>
      <c r="G2213" s="314" t="s">
        <v>1054</v>
      </c>
      <c r="H2213" s="473" t="s">
        <v>447</v>
      </c>
      <c r="I2213" s="307">
        <v>4</v>
      </c>
      <c r="J2213" s="307">
        <v>76990</v>
      </c>
      <c r="K2213" s="532">
        <f t="shared" si="205"/>
        <v>307960</v>
      </c>
      <c r="L2213" s="534" t="s">
        <v>292</v>
      </c>
      <c r="M2213" s="534" t="s">
        <v>8</v>
      </c>
      <c r="N2213" s="525" t="str">
        <f>IF(AND('331-CT'!$E$7=TH!H2213,OR(L2213="331",M2213="331")),"331",IF(AND(OR(L2213="131",M2213="131"),H2213='131-CT'!$E$7),"131",""))</f>
        <v/>
      </c>
      <c r="O2213" s="525" t="str">
        <f>IF(AND($B2213&gt;='111'!$N$11,$B2213&lt;='111'!$O$11,OR($L2213=$O$7,$M2213=$O$7)),"x","")</f>
        <v/>
      </c>
      <c r="P2213" s="525" t="str">
        <f>IF(AND($L2213=$O$7,$B2213&lt;'111'!$N$11),"x","")</f>
        <v/>
      </c>
      <c r="Q2213" s="525" t="str">
        <f>IF(AND($M2213=$O$7,$B2213&lt;'111'!$N$11),"x","")</f>
        <v/>
      </c>
      <c r="R2213" s="525" t="str">
        <f>IF(ISERROR(FIND('112'!$M$9,G2213,1)),"",IF((AND(FIND('112'!$M$9,G2213,1)&gt;=1,$B2213&gt;='112'!$N$8,$B2213&lt;='112'!$O$8,OR($L2213='112'!$I$6,$M2213='112'!$I$6))),"x",""))</f>
        <v/>
      </c>
      <c r="S2213" s="525" t="str">
        <f>IF(ISERROR(FIND('112'!$M$9,G2213,1)),"",IF((AND(LEFT(G2213,2)=LEFT('112'!$M$9,2),B2213&lt;'112'!$N$8,$L2213='112'!$I$6)),"x",""))</f>
        <v/>
      </c>
      <c r="T2213" s="525" t="str">
        <f>IF(ISERROR(FIND('112'!$M$9,G2213,1)),"",IF((AND(RIGHT(G2213,2)=RIGHT('112'!$M$9,2),B2213&lt;'112'!$N$8,$M2213='112'!$I$6)),"x",""))</f>
        <v/>
      </c>
      <c r="U2213" s="525" t="str">
        <f>IF(AND(B2213&gt;='IN-NX'!$P$3,B2213&lt;='IN-NX'!$Q$3,'IN-NX'!$D$7=D2213,OR(LEFT(L2213,2)="15",AND(LEFT(M2213,2)&lt;&gt;"15",LEFT(M2213,2)&lt;&gt;"33"))),"x","")</f>
        <v/>
      </c>
      <c r="V2213" s="525" t="str">
        <f>IF(AND(OR(LEFT(TH!L2213,2)="15",LEFT(TH!M2213,2)="15"),'152-CT'!$J$8=TH!F2213),"x","")</f>
        <v/>
      </c>
      <c r="W2213" s="525" t="str">
        <f>IF(AND(OR(LEFT(TH!L2213,2)="15",LEFT(TH!M2213,2)="15"),TK!$E$7=TH!F2213),"x","")</f>
        <v/>
      </c>
      <c r="X2213" s="525" t="str">
        <f>IF(AND('341-CT'!$E$9=H2213,OR(LEFT(L2213,3)=$X$7,LEFT(M2213,3)=$X$7)),"x","")</f>
        <v/>
      </c>
      <c r="Y2213" s="525" t="str">
        <f>IF(OR(TH!L2213=TH!$Y$7,M2213=TH!$Y$7),"x","")</f>
        <v/>
      </c>
      <c r="Z2213" s="525" t="str">
        <f>IF(AND(B2213&lt;=NKC!$N$8,B2213&gt;=NKC!$M$8),"x","")</f>
        <v/>
      </c>
      <c r="AA2213" s="535">
        <v>2</v>
      </c>
      <c r="AB2213" s="536"/>
      <c r="AF2213" s="536"/>
      <c r="AG2213" s="536"/>
      <c r="AH2213" s="536"/>
    </row>
    <row r="2214" spans="1:34" s="503" customFormat="1" ht="15.75" customHeight="1">
      <c r="A2214" s="517" t="str">
        <f>IF(B2214&lt;&gt;"",IF(AND(B2214&gt;=_TM1,B2214&lt;=_TM2,OR(TH!L2214="1111",TH!M2214="1111")),TH!D2214,""),"")</f>
        <v/>
      </c>
      <c r="B2214" s="531">
        <f t="shared" si="202"/>
        <v>4</v>
      </c>
      <c r="C2214" s="315">
        <f t="shared" si="203"/>
        <v>42846</v>
      </c>
      <c r="D2214" s="315" t="s">
        <v>982</v>
      </c>
      <c r="E2214" s="315">
        <v>42846</v>
      </c>
      <c r="F2214" s="249" t="s">
        <v>1053</v>
      </c>
      <c r="G2214" s="314" t="s">
        <v>1054</v>
      </c>
      <c r="H2214" s="473" t="s">
        <v>447</v>
      </c>
      <c r="I2214" s="307">
        <v>24</v>
      </c>
      <c r="J2214" s="307">
        <v>48910</v>
      </c>
      <c r="K2214" s="532">
        <f t="shared" si="205"/>
        <v>1173840</v>
      </c>
      <c r="L2214" s="534" t="s">
        <v>292</v>
      </c>
      <c r="M2214" s="534" t="s">
        <v>8</v>
      </c>
      <c r="N2214" s="525" t="str">
        <f>IF(AND('331-CT'!$E$7=TH!H2214,OR(L2214="331",M2214="331")),"331",IF(AND(OR(L2214="131",M2214="131"),H2214='131-CT'!$E$7),"131",""))</f>
        <v/>
      </c>
      <c r="O2214" s="525" t="str">
        <f>IF(AND($B2214&gt;='111'!$N$11,$B2214&lt;='111'!$O$11,OR($L2214=$O$7,$M2214=$O$7)),"x","")</f>
        <v/>
      </c>
      <c r="P2214" s="525" t="str">
        <f>IF(AND($L2214=$O$7,$B2214&lt;'111'!$N$11),"x","")</f>
        <v/>
      </c>
      <c r="Q2214" s="525" t="str">
        <f>IF(AND($M2214=$O$7,$B2214&lt;'111'!$N$11),"x","")</f>
        <v/>
      </c>
      <c r="R2214" s="525" t="str">
        <f>IF(ISERROR(FIND('112'!$M$9,G2214,1)),"",IF((AND(FIND('112'!$M$9,G2214,1)&gt;=1,$B2214&gt;='112'!$N$8,$B2214&lt;='112'!$O$8,OR($L2214='112'!$I$6,$M2214='112'!$I$6))),"x",""))</f>
        <v/>
      </c>
      <c r="S2214" s="525" t="str">
        <f>IF(ISERROR(FIND('112'!$M$9,G2214,1)),"",IF((AND(LEFT(G2214,2)=LEFT('112'!$M$9,2),B2214&lt;'112'!$N$8,$L2214='112'!$I$6)),"x",""))</f>
        <v/>
      </c>
      <c r="T2214" s="525" t="str">
        <f>IF(ISERROR(FIND('112'!$M$9,G2214,1)),"",IF((AND(RIGHT(G2214,2)=RIGHT('112'!$M$9,2),B2214&lt;'112'!$N$8,$M2214='112'!$I$6)),"x",""))</f>
        <v/>
      </c>
      <c r="U2214" s="525" t="str">
        <f>IF(AND(B2214&gt;='IN-NX'!$P$3,B2214&lt;='IN-NX'!$Q$3,'IN-NX'!$D$7=D2214,OR(LEFT(L2214,2)="15",AND(LEFT(M2214,2)&lt;&gt;"15",LEFT(M2214,2)&lt;&gt;"33"))),"x","")</f>
        <v/>
      </c>
      <c r="V2214" s="525" t="str">
        <f>IF(AND(OR(LEFT(TH!L2214,2)="15",LEFT(TH!M2214,2)="15"),'152-CT'!$J$8=TH!F2214),"x","")</f>
        <v/>
      </c>
      <c r="W2214" s="525" t="str">
        <f>IF(AND(OR(LEFT(TH!L2214,2)="15",LEFT(TH!M2214,2)="15"),TK!$E$7=TH!F2214),"x","")</f>
        <v/>
      </c>
      <c r="X2214" s="525" t="str">
        <f>IF(AND('341-CT'!$E$9=H2214,OR(LEFT(L2214,3)=$X$7,LEFT(M2214,3)=$X$7)),"x","")</f>
        <v/>
      </c>
      <c r="Y2214" s="525" t="str">
        <f>IF(OR(TH!L2214=TH!$Y$7,M2214=TH!$Y$7),"x","")</f>
        <v/>
      </c>
      <c r="Z2214" s="525" t="str">
        <f>IF(AND(B2214&lt;=NKC!$N$8,B2214&gt;=NKC!$M$8),"x","")</f>
        <v/>
      </c>
      <c r="AA2214" s="535">
        <v>2</v>
      </c>
      <c r="AB2214" s="536"/>
      <c r="AF2214" s="536"/>
      <c r="AG2214" s="536"/>
      <c r="AH2214" s="536"/>
    </row>
    <row r="2215" spans="1:34" s="503" customFormat="1" ht="15.75" customHeight="1">
      <c r="A2215" s="517" t="str">
        <f>IF(B2215&lt;&gt;"",IF(AND(B2215&gt;=_TM1,B2215&lt;=_TM2,OR(TH!L2215="1111",TH!M2215="1111")),TH!D2215,""),"")</f>
        <v/>
      </c>
      <c r="B2215" s="531">
        <f t="shared" si="202"/>
        <v>4</v>
      </c>
      <c r="C2215" s="315">
        <f t="shared" si="203"/>
        <v>42846</v>
      </c>
      <c r="D2215" s="315" t="s">
        <v>982</v>
      </c>
      <c r="E2215" s="315">
        <v>42846</v>
      </c>
      <c r="F2215" s="249" t="s">
        <v>692</v>
      </c>
      <c r="G2215" s="314" t="s">
        <v>1054</v>
      </c>
      <c r="H2215" s="473" t="s">
        <v>447</v>
      </c>
      <c r="I2215" s="307">
        <v>3</v>
      </c>
      <c r="J2215" s="307">
        <v>201411</v>
      </c>
      <c r="K2215" s="532">
        <f t="shared" si="205"/>
        <v>604233</v>
      </c>
      <c r="L2215" s="534" t="s">
        <v>292</v>
      </c>
      <c r="M2215" s="534" t="s">
        <v>8</v>
      </c>
      <c r="N2215" s="525" t="str">
        <f>IF(AND('331-CT'!$E$7=TH!H2215,OR(L2215="331",M2215="331")),"331",IF(AND(OR(L2215="131",M2215="131"),H2215='131-CT'!$E$7),"131",""))</f>
        <v/>
      </c>
      <c r="O2215" s="525" t="str">
        <f>IF(AND($B2215&gt;='111'!$N$11,$B2215&lt;='111'!$O$11,OR($L2215=$O$7,$M2215=$O$7)),"x","")</f>
        <v/>
      </c>
      <c r="P2215" s="525" t="str">
        <f>IF(AND($L2215=$O$7,$B2215&lt;'111'!$N$11),"x","")</f>
        <v/>
      </c>
      <c r="Q2215" s="525" t="str">
        <f>IF(AND($M2215=$O$7,$B2215&lt;'111'!$N$11),"x","")</f>
        <v/>
      </c>
      <c r="R2215" s="525" t="str">
        <f>IF(ISERROR(FIND('112'!$M$9,G2215,1)),"",IF((AND(FIND('112'!$M$9,G2215,1)&gt;=1,$B2215&gt;='112'!$N$8,$B2215&lt;='112'!$O$8,OR($L2215='112'!$I$6,$M2215='112'!$I$6))),"x",""))</f>
        <v/>
      </c>
      <c r="S2215" s="525" t="str">
        <f>IF(ISERROR(FIND('112'!$M$9,G2215,1)),"",IF((AND(LEFT(G2215,2)=LEFT('112'!$M$9,2),B2215&lt;'112'!$N$8,$L2215='112'!$I$6)),"x",""))</f>
        <v/>
      </c>
      <c r="T2215" s="525" t="str">
        <f>IF(ISERROR(FIND('112'!$M$9,G2215,1)),"",IF((AND(RIGHT(G2215,2)=RIGHT('112'!$M$9,2),B2215&lt;'112'!$N$8,$M2215='112'!$I$6)),"x",""))</f>
        <v/>
      </c>
      <c r="U2215" s="525" t="str">
        <f>IF(AND(B2215&gt;='IN-NX'!$P$3,B2215&lt;='IN-NX'!$Q$3,'IN-NX'!$D$7=D2215,OR(LEFT(L2215,2)="15",AND(LEFT(M2215,2)&lt;&gt;"15",LEFT(M2215,2)&lt;&gt;"33"))),"x","")</f>
        <v/>
      </c>
      <c r="V2215" s="525" t="str">
        <f>IF(AND(OR(LEFT(TH!L2215,2)="15",LEFT(TH!M2215,2)="15"),'152-CT'!$J$8=TH!F2215),"x","")</f>
        <v/>
      </c>
      <c r="W2215" s="525" t="str">
        <f>IF(AND(OR(LEFT(TH!L2215,2)="15",LEFT(TH!M2215,2)="15"),TK!$E$7=TH!F2215),"x","")</f>
        <v/>
      </c>
      <c r="X2215" s="525" t="str">
        <f>IF(AND('341-CT'!$E$9=H2215,OR(LEFT(L2215,3)=$X$7,LEFT(M2215,3)=$X$7)),"x","")</f>
        <v/>
      </c>
      <c r="Y2215" s="525" t="str">
        <f>IF(OR(TH!L2215=TH!$Y$7,M2215=TH!$Y$7),"x","")</f>
        <v/>
      </c>
      <c r="Z2215" s="525" t="str">
        <f>IF(AND(B2215&lt;=NKC!$N$8,B2215&gt;=NKC!$M$8),"x","")</f>
        <v/>
      </c>
      <c r="AA2215" s="535">
        <v>2</v>
      </c>
      <c r="AB2215" s="536"/>
      <c r="AF2215" s="536"/>
      <c r="AG2215" s="536"/>
      <c r="AH2215" s="536"/>
    </row>
    <row r="2216" spans="1:34" s="503" customFormat="1" ht="15.75" customHeight="1">
      <c r="A2216" s="517" t="str">
        <f>IF(B2216&lt;&gt;"",IF(AND(B2216&gt;=_TM1,B2216&lt;=_TM2,OR(TH!L2216="1111",TH!M2216="1111")),TH!D2216,""),"")</f>
        <v/>
      </c>
      <c r="B2216" s="531">
        <f t="shared" si="202"/>
        <v>4</v>
      </c>
      <c r="C2216" s="315">
        <f t="shared" si="203"/>
        <v>42846</v>
      </c>
      <c r="D2216" s="315" t="s">
        <v>982</v>
      </c>
      <c r="E2216" s="315">
        <v>42846</v>
      </c>
      <c r="F2216" s="249" t="s">
        <v>693</v>
      </c>
      <c r="G2216" s="314" t="s">
        <v>1054</v>
      </c>
      <c r="H2216" s="473" t="s">
        <v>447</v>
      </c>
      <c r="I2216" s="307">
        <v>6</v>
      </c>
      <c r="J2216" s="307">
        <v>101418</v>
      </c>
      <c r="K2216" s="532">
        <f t="shared" si="205"/>
        <v>608508</v>
      </c>
      <c r="L2216" s="534" t="s">
        <v>292</v>
      </c>
      <c r="M2216" s="534" t="s">
        <v>8</v>
      </c>
      <c r="N2216" s="525" t="str">
        <f>IF(AND('331-CT'!$E$7=TH!H2216,OR(L2216="331",M2216="331")),"331",IF(AND(OR(L2216="131",M2216="131"),H2216='131-CT'!$E$7),"131",""))</f>
        <v/>
      </c>
      <c r="O2216" s="525" t="str">
        <f>IF(AND($B2216&gt;='111'!$N$11,$B2216&lt;='111'!$O$11,OR($L2216=$O$7,$M2216=$O$7)),"x","")</f>
        <v/>
      </c>
      <c r="P2216" s="525" t="str">
        <f>IF(AND($L2216=$O$7,$B2216&lt;'111'!$N$11),"x","")</f>
        <v/>
      </c>
      <c r="Q2216" s="525" t="str">
        <f>IF(AND($M2216=$O$7,$B2216&lt;'111'!$N$11),"x","")</f>
        <v/>
      </c>
      <c r="R2216" s="525" t="str">
        <f>IF(ISERROR(FIND('112'!$M$9,G2216,1)),"",IF((AND(FIND('112'!$M$9,G2216,1)&gt;=1,$B2216&gt;='112'!$N$8,$B2216&lt;='112'!$O$8,OR($L2216='112'!$I$6,$M2216='112'!$I$6))),"x",""))</f>
        <v/>
      </c>
      <c r="S2216" s="525" t="str">
        <f>IF(ISERROR(FIND('112'!$M$9,G2216,1)),"",IF((AND(LEFT(G2216,2)=LEFT('112'!$M$9,2),B2216&lt;'112'!$N$8,$L2216='112'!$I$6)),"x",""))</f>
        <v/>
      </c>
      <c r="T2216" s="525" t="str">
        <f>IF(ISERROR(FIND('112'!$M$9,G2216,1)),"",IF((AND(RIGHT(G2216,2)=RIGHT('112'!$M$9,2),B2216&lt;'112'!$N$8,$M2216='112'!$I$6)),"x",""))</f>
        <v/>
      </c>
      <c r="U2216" s="525" t="str">
        <f>IF(AND(B2216&gt;='IN-NX'!$P$3,B2216&lt;='IN-NX'!$Q$3,'IN-NX'!$D$7=D2216,OR(LEFT(L2216,2)="15",AND(LEFT(M2216,2)&lt;&gt;"15",LEFT(M2216,2)&lt;&gt;"33"))),"x","")</f>
        <v/>
      </c>
      <c r="V2216" s="525" t="str">
        <f>IF(AND(OR(LEFT(TH!L2216,2)="15",LEFT(TH!M2216,2)="15"),'152-CT'!$J$8=TH!F2216),"x","")</f>
        <v/>
      </c>
      <c r="W2216" s="525" t="str">
        <f>IF(AND(OR(LEFT(TH!L2216,2)="15",LEFT(TH!M2216,2)="15"),TK!$E$7=TH!F2216),"x","")</f>
        <v/>
      </c>
      <c r="X2216" s="525" t="str">
        <f>IF(AND('341-CT'!$E$9=H2216,OR(LEFT(L2216,3)=$X$7,LEFT(M2216,3)=$X$7)),"x","")</f>
        <v/>
      </c>
      <c r="Y2216" s="525" t="str">
        <f>IF(OR(TH!L2216=TH!$Y$7,M2216=TH!$Y$7),"x","")</f>
        <v/>
      </c>
      <c r="Z2216" s="525" t="str">
        <f>IF(AND(B2216&lt;=NKC!$N$8,B2216&gt;=NKC!$M$8),"x","")</f>
        <v/>
      </c>
      <c r="AA2216" s="535">
        <v>2</v>
      </c>
      <c r="AB2216" s="536"/>
      <c r="AF2216" s="536"/>
      <c r="AG2216" s="536"/>
      <c r="AH2216" s="536"/>
    </row>
    <row r="2217" spans="1:34" s="503" customFormat="1" ht="15.75" customHeight="1">
      <c r="A2217" s="517" t="str">
        <f>IF(B2217&lt;&gt;"",IF(AND(B2217&gt;=_TM1,B2217&lt;=_TM2,OR(TH!L2217="1111",TH!M2217="1111")),TH!D2217,""),"")</f>
        <v/>
      </c>
      <c r="B2217" s="531">
        <f t="shared" si="202"/>
        <v>4</v>
      </c>
      <c r="C2217" s="315">
        <f t="shared" si="203"/>
        <v>42846</v>
      </c>
      <c r="D2217" s="315" t="s">
        <v>982</v>
      </c>
      <c r="E2217" s="315">
        <v>42846</v>
      </c>
      <c r="F2217" s="249" t="s">
        <v>698</v>
      </c>
      <c r="G2217" s="314" t="s">
        <v>1054</v>
      </c>
      <c r="H2217" s="473" t="s">
        <v>447</v>
      </c>
      <c r="I2217" s="307">
        <v>5</v>
      </c>
      <c r="J2217" s="307">
        <v>140372</v>
      </c>
      <c r="K2217" s="532">
        <f t="shared" si="205"/>
        <v>701860</v>
      </c>
      <c r="L2217" s="534" t="s">
        <v>292</v>
      </c>
      <c r="M2217" s="534" t="s">
        <v>8</v>
      </c>
      <c r="N2217" s="525" t="str">
        <f>IF(AND('331-CT'!$E$7=TH!H2217,OR(L2217="331",M2217="331")),"331",IF(AND(OR(L2217="131",M2217="131"),H2217='131-CT'!$E$7),"131",""))</f>
        <v/>
      </c>
      <c r="O2217" s="525" t="str">
        <f>IF(AND($B2217&gt;='111'!$N$11,$B2217&lt;='111'!$O$11,OR($L2217=$O$7,$M2217=$O$7)),"x","")</f>
        <v/>
      </c>
      <c r="P2217" s="525" t="str">
        <f>IF(AND($L2217=$O$7,$B2217&lt;'111'!$N$11),"x","")</f>
        <v/>
      </c>
      <c r="Q2217" s="525" t="str">
        <f>IF(AND($M2217=$O$7,$B2217&lt;'111'!$N$11),"x","")</f>
        <v/>
      </c>
      <c r="R2217" s="525" t="str">
        <f>IF(ISERROR(FIND('112'!$M$9,G2217,1)),"",IF((AND(FIND('112'!$M$9,G2217,1)&gt;=1,$B2217&gt;='112'!$N$8,$B2217&lt;='112'!$O$8,OR($L2217='112'!$I$6,$M2217='112'!$I$6))),"x",""))</f>
        <v/>
      </c>
      <c r="S2217" s="525" t="str">
        <f>IF(ISERROR(FIND('112'!$M$9,G2217,1)),"",IF((AND(LEFT(G2217,2)=LEFT('112'!$M$9,2),B2217&lt;'112'!$N$8,$L2217='112'!$I$6)),"x",""))</f>
        <v/>
      </c>
      <c r="T2217" s="525" t="str">
        <f>IF(ISERROR(FIND('112'!$M$9,G2217,1)),"",IF((AND(RIGHT(G2217,2)=RIGHT('112'!$M$9,2),B2217&lt;'112'!$N$8,$M2217='112'!$I$6)),"x",""))</f>
        <v/>
      </c>
      <c r="U2217" s="525" t="str">
        <f>IF(AND(B2217&gt;='IN-NX'!$P$3,B2217&lt;='IN-NX'!$Q$3,'IN-NX'!$D$7=D2217,OR(LEFT(L2217,2)="15",AND(LEFT(M2217,2)&lt;&gt;"15",LEFT(M2217,2)&lt;&gt;"33"))),"x","")</f>
        <v/>
      </c>
      <c r="V2217" s="525" t="str">
        <f>IF(AND(OR(LEFT(TH!L2217,2)="15",LEFT(TH!M2217,2)="15"),'152-CT'!$J$8=TH!F2217),"x","")</f>
        <v/>
      </c>
      <c r="W2217" s="525" t="str">
        <f>IF(AND(OR(LEFT(TH!L2217,2)="15",LEFT(TH!M2217,2)="15"),TK!$E$7=TH!F2217),"x","")</f>
        <v/>
      </c>
      <c r="X2217" s="525" t="str">
        <f>IF(AND('341-CT'!$E$9=H2217,OR(LEFT(L2217,3)=$X$7,LEFT(M2217,3)=$X$7)),"x","")</f>
        <v/>
      </c>
      <c r="Y2217" s="525" t="str">
        <f>IF(OR(TH!L2217=TH!$Y$7,M2217=TH!$Y$7),"x","")</f>
        <v/>
      </c>
      <c r="Z2217" s="525" t="str">
        <f>IF(AND(B2217&lt;=NKC!$N$8,B2217&gt;=NKC!$M$8),"x","")</f>
        <v/>
      </c>
      <c r="AA2217" s="535">
        <v>2</v>
      </c>
      <c r="AB2217" s="536"/>
      <c r="AF2217" s="536"/>
      <c r="AG2217" s="536"/>
      <c r="AH2217" s="536"/>
    </row>
    <row r="2218" spans="1:34" s="503" customFormat="1" ht="15.75" customHeight="1">
      <c r="A2218" s="517" t="str">
        <f>IF(B2218&lt;&gt;"",IF(AND(B2218&gt;=_TM1,B2218&lt;=_TM2,OR(TH!L2218="1111",TH!M2218="1111")),TH!D2218,""),"")</f>
        <v/>
      </c>
      <c r="B2218" s="531">
        <f t="shared" si="202"/>
        <v>4</v>
      </c>
      <c r="C2218" s="315">
        <f t="shared" si="203"/>
        <v>42846</v>
      </c>
      <c r="D2218" s="315" t="s">
        <v>982</v>
      </c>
      <c r="E2218" s="315">
        <v>42846</v>
      </c>
      <c r="F2218" s="249" t="s">
        <v>660</v>
      </c>
      <c r="G2218" s="314" t="s">
        <v>1054</v>
      </c>
      <c r="H2218" s="473" t="s">
        <v>447</v>
      </c>
      <c r="I2218" s="307">
        <v>6</v>
      </c>
      <c r="J2218" s="307">
        <v>97796</v>
      </c>
      <c r="K2218" s="532">
        <f t="shared" si="205"/>
        <v>586776</v>
      </c>
      <c r="L2218" s="534" t="s">
        <v>292</v>
      </c>
      <c r="M2218" s="534" t="s">
        <v>8</v>
      </c>
      <c r="N2218" s="525" t="str">
        <f>IF(AND('331-CT'!$E$7=TH!H2218,OR(L2218="331",M2218="331")),"331",IF(AND(OR(L2218="131",M2218="131"),H2218='131-CT'!$E$7),"131",""))</f>
        <v/>
      </c>
      <c r="O2218" s="525" t="str">
        <f>IF(AND($B2218&gt;='111'!$N$11,$B2218&lt;='111'!$O$11,OR($L2218=$O$7,$M2218=$O$7)),"x","")</f>
        <v/>
      </c>
      <c r="P2218" s="525" t="str">
        <f>IF(AND($L2218=$O$7,$B2218&lt;'111'!$N$11),"x","")</f>
        <v/>
      </c>
      <c r="Q2218" s="525" t="str">
        <f>IF(AND($M2218=$O$7,$B2218&lt;'111'!$N$11),"x","")</f>
        <v/>
      </c>
      <c r="R2218" s="525" t="str">
        <f>IF(ISERROR(FIND('112'!$M$9,G2218,1)),"",IF((AND(FIND('112'!$M$9,G2218,1)&gt;=1,$B2218&gt;='112'!$N$8,$B2218&lt;='112'!$O$8,OR($L2218='112'!$I$6,$M2218='112'!$I$6))),"x",""))</f>
        <v/>
      </c>
      <c r="S2218" s="525" t="str">
        <f>IF(ISERROR(FIND('112'!$M$9,G2218,1)),"",IF((AND(LEFT(G2218,2)=LEFT('112'!$M$9,2),B2218&lt;'112'!$N$8,$L2218='112'!$I$6)),"x",""))</f>
        <v/>
      </c>
      <c r="T2218" s="525" t="str">
        <f>IF(ISERROR(FIND('112'!$M$9,G2218,1)),"",IF((AND(RIGHT(G2218,2)=RIGHT('112'!$M$9,2),B2218&lt;'112'!$N$8,$M2218='112'!$I$6)),"x",""))</f>
        <v/>
      </c>
      <c r="U2218" s="525" t="str">
        <f>IF(AND(B2218&gt;='IN-NX'!$P$3,B2218&lt;='IN-NX'!$Q$3,'IN-NX'!$D$7=D2218,OR(LEFT(L2218,2)="15",AND(LEFT(M2218,2)&lt;&gt;"15",LEFT(M2218,2)&lt;&gt;"33"))),"x","")</f>
        <v/>
      </c>
      <c r="V2218" s="525" t="str">
        <f>IF(AND(OR(LEFT(TH!L2218,2)="15",LEFT(TH!M2218,2)="15"),'152-CT'!$J$8=TH!F2218),"x","")</f>
        <v/>
      </c>
      <c r="W2218" s="525" t="str">
        <f>IF(AND(OR(LEFT(TH!L2218,2)="15",LEFT(TH!M2218,2)="15"),TK!$E$7=TH!F2218),"x","")</f>
        <v/>
      </c>
      <c r="X2218" s="525" t="str">
        <f>IF(AND('341-CT'!$E$9=H2218,OR(LEFT(L2218,3)=$X$7,LEFT(M2218,3)=$X$7)),"x","")</f>
        <v/>
      </c>
      <c r="Y2218" s="525" t="str">
        <f>IF(OR(TH!L2218=TH!$Y$7,M2218=TH!$Y$7),"x","")</f>
        <v/>
      </c>
      <c r="Z2218" s="525" t="str">
        <f>IF(AND(B2218&lt;=NKC!$N$8,B2218&gt;=NKC!$M$8),"x","")</f>
        <v/>
      </c>
      <c r="AA2218" s="535">
        <v>2</v>
      </c>
      <c r="AB2218" s="536"/>
      <c r="AF2218" s="536"/>
      <c r="AG2218" s="536"/>
      <c r="AH2218" s="536"/>
    </row>
    <row r="2219" spans="1:34" s="503" customFormat="1" ht="15.75" customHeight="1">
      <c r="A2219" s="517" t="str">
        <f>IF(B2219&lt;&gt;"",IF(AND(B2219&gt;=_TM1,B2219&lt;=_TM2,OR(TH!L2219="1111",TH!M2219="1111")),TH!D2219,""),"")</f>
        <v/>
      </c>
      <c r="B2219" s="531">
        <f t="shared" si="202"/>
        <v>4</v>
      </c>
      <c r="C2219" s="315">
        <f t="shared" si="203"/>
        <v>42846</v>
      </c>
      <c r="D2219" s="315" t="s">
        <v>982</v>
      </c>
      <c r="E2219" s="315">
        <v>42846</v>
      </c>
      <c r="F2219" s="249" t="s">
        <v>647</v>
      </c>
      <c r="G2219" s="314" t="s">
        <v>1054</v>
      </c>
      <c r="H2219" s="473" t="s">
        <v>447</v>
      </c>
      <c r="I2219" s="307">
        <v>6</v>
      </c>
      <c r="J2219" s="307">
        <v>110473</v>
      </c>
      <c r="K2219" s="532">
        <f t="shared" si="205"/>
        <v>662838</v>
      </c>
      <c r="L2219" s="534" t="s">
        <v>292</v>
      </c>
      <c r="M2219" s="534" t="s">
        <v>8</v>
      </c>
      <c r="N2219" s="525" t="str">
        <f>IF(AND('331-CT'!$E$7=TH!H2219,OR(L2219="331",M2219="331")),"331",IF(AND(OR(L2219="131",M2219="131"),H2219='131-CT'!$E$7),"131",""))</f>
        <v/>
      </c>
      <c r="O2219" s="525" t="str">
        <f>IF(AND($B2219&gt;='111'!$N$11,$B2219&lt;='111'!$O$11,OR($L2219=$O$7,$M2219=$O$7)),"x","")</f>
        <v/>
      </c>
      <c r="P2219" s="525" t="str">
        <f>IF(AND($L2219=$O$7,$B2219&lt;'111'!$N$11),"x","")</f>
        <v/>
      </c>
      <c r="Q2219" s="525" t="str">
        <f>IF(AND($M2219=$O$7,$B2219&lt;'111'!$N$11),"x","")</f>
        <v/>
      </c>
      <c r="R2219" s="525" t="str">
        <f>IF(ISERROR(FIND('112'!$M$9,G2219,1)),"",IF((AND(FIND('112'!$M$9,G2219,1)&gt;=1,$B2219&gt;='112'!$N$8,$B2219&lt;='112'!$O$8,OR($L2219='112'!$I$6,$M2219='112'!$I$6))),"x",""))</f>
        <v/>
      </c>
      <c r="S2219" s="525" t="str">
        <f>IF(ISERROR(FIND('112'!$M$9,G2219,1)),"",IF((AND(LEFT(G2219,2)=LEFT('112'!$M$9,2),B2219&lt;'112'!$N$8,$L2219='112'!$I$6)),"x",""))</f>
        <v/>
      </c>
      <c r="T2219" s="525" t="str">
        <f>IF(ISERROR(FIND('112'!$M$9,G2219,1)),"",IF((AND(RIGHT(G2219,2)=RIGHT('112'!$M$9,2),B2219&lt;'112'!$N$8,$M2219='112'!$I$6)),"x",""))</f>
        <v/>
      </c>
      <c r="U2219" s="525" t="str">
        <f>IF(AND(B2219&gt;='IN-NX'!$P$3,B2219&lt;='IN-NX'!$Q$3,'IN-NX'!$D$7=D2219,OR(LEFT(L2219,2)="15",AND(LEFT(M2219,2)&lt;&gt;"15",LEFT(M2219,2)&lt;&gt;"33"))),"x","")</f>
        <v/>
      </c>
      <c r="V2219" s="525" t="str">
        <f>IF(AND(OR(LEFT(TH!L2219,2)="15",LEFT(TH!M2219,2)="15"),'152-CT'!$J$8=TH!F2219),"x","")</f>
        <v/>
      </c>
      <c r="W2219" s="525" t="str">
        <f>IF(AND(OR(LEFT(TH!L2219,2)="15",LEFT(TH!M2219,2)="15"),TK!$E$7=TH!F2219),"x","")</f>
        <v/>
      </c>
      <c r="X2219" s="525" t="str">
        <f>IF(AND('341-CT'!$E$9=H2219,OR(LEFT(L2219,3)=$X$7,LEFT(M2219,3)=$X$7)),"x","")</f>
        <v/>
      </c>
      <c r="Y2219" s="525" t="str">
        <f>IF(OR(TH!L2219=TH!$Y$7,M2219=TH!$Y$7),"x","")</f>
        <v/>
      </c>
      <c r="Z2219" s="525" t="str">
        <f>IF(AND(B2219&lt;=NKC!$N$8,B2219&gt;=NKC!$M$8),"x","")</f>
        <v/>
      </c>
      <c r="AA2219" s="535">
        <v>2</v>
      </c>
      <c r="AB2219" s="536"/>
      <c r="AF2219" s="536"/>
      <c r="AG2219" s="536"/>
      <c r="AH2219" s="536"/>
    </row>
    <row r="2220" spans="1:34" s="503" customFormat="1" ht="15.75" customHeight="1">
      <c r="A2220" s="517" t="str">
        <f>IF(B2220&lt;&gt;"",IF(AND(B2220&gt;=_TM1,B2220&lt;=_TM2,OR(TH!L2220="1111",TH!M2220="1111")),TH!D2220,""),"")</f>
        <v/>
      </c>
      <c r="B2220" s="531">
        <f t="shared" si="202"/>
        <v>4</v>
      </c>
      <c r="C2220" s="315">
        <f t="shared" si="203"/>
        <v>42846</v>
      </c>
      <c r="D2220" s="315" t="s">
        <v>982</v>
      </c>
      <c r="E2220" s="315">
        <v>42846</v>
      </c>
      <c r="F2220" s="249" t="s">
        <v>649</v>
      </c>
      <c r="G2220" s="314" t="s">
        <v>1054</v>
      </c>
      <c r="H2220" s="473" t="s">
        <v>447</v>
      </c>
      <c r="I2220" s="307">
        <v>16</v>
      </c>
      <c r="J2220" s="307">
        <v>67963</v>
      </c>
      <c r="K2220" s="532">
        <f t="shared" si="205"/>
        <v>1087408</v>
      </c>
      <c r="L2220" s="534" t="s">
        <v>292</v>
      </c>
      <c r="M2220" s="534" t="s">
        <v>8</v>
      </c>
      <c r="N2220" s="525" t="str">
        <f>IF(AND('331-CT'!$E$7=TH!H2220,OR(L2220="331",M2220="331")),"331",IF(AND(OR(L2220="131",M2220="131"),H2220='131-CT'!$E$7),"131",""))</f>
        <v/>
      </c>
      <c r="O2220" s="525" t="str">
        <f>IF(AND($B2220&gt;='111'!$N$11,$B2220&lt;='111'!$O$11,OR($L2220=$O$7,$M2220=$O$7)),"x","")</f>
        <v/>
      </c>
      <c r="P2220" s="525" t="str">
        <f>IF(AND($L2220=$O$7,$B2220&lt;'111'!$N$11),"x","")</f>
        <v/>
      </c>
      <c r="Q2220" s="525" t="str">
        <f>IF(AND($M2220=$O$7,$B2220&lt;'111'!$N$11),"x","")</f>
        <v/>
      </c>
      <c r="R2220" s="525" t="str">
        <f>IF(ISERROR(FIND('112'!$M$9,G2220,1)),"",IF((AND(FIND('112'!$M$9,G2220,1)&gt;=1,$B2220&gt;='112'!$N$8,$B2220&lt;='112'!$O$8,OR($L2220='112'!$I$6,$M2220='112'!$I$6))),"x",""))</f>
        <v/>
      </c>
      <c r="S2220" s="525" t="str">
        <f>IF(ISERROR(FIND('112'!$M$9,G2220,1)),"",IF((AND(LEFT(G2220,2)=LEFT('112'!$M$9,2),B2220&lt;'112'!$N$8,$L2220='112'!$I$6)),"x",""))</f>
        <v/>
      </c>
      <c r="T2220" s="525" t="str">
        <f>IF(ISERROR(FIND('112'!$M$9,G2220,1)),"",IF((AND(RIGHT(G2220,2)=RIGHT('112'!$M$9,2),B2220&lt;'112'!$N$8,$M2220='112'!$I$6)),"x",""))</f>
        <v/>
      </c>
      <c r="U2220" s="525" t="str">
        <f>IF(AND(B2220&gt;='IN-NX'!$P$3,B2220&lt;='IN-NX'!$Q$3,'IN-NX'!$D$7=D2220,OR(LEFT(L2220,2)="15",AND(LEFT(M2220,2)&lt;&gt;"15",LEFT(M2220,2)&lt;&gt;"33"))),"x","")</f>
        <v/>
      </c>
      <c r="V2220" s="525" t="str">
        <f>IF(AND(OR(LEFT(TH!L2220,2)="15",LEFT(TH!M2220,2)="15"),'152-CT'!$J$8=TH!F2220),"x","")</f>
        <v/>
      </c>
      <c r="W2220" s="525" t="str">
        <f>IF(AND(OR(LEFT(TH!L2220,2)="15",LEFT(TH!M2220,2)="15"),TK!$E$7=TH!F2220),"x","")</f>
        <v/>
      </c>
      <c r="X2220" s="525" t="str">
        <f>IF(AND('341-CT'!$E$9=H2220,OR(LEFT(L2220,3)=$X$7,LEFT(M2220,3)=$X$7)),"x","")</f>
        <v/>
      </c>
      <c r="Y2220" s="525" t="str">
        <f>IF(OR(TH!L2220=TH!$Y$7,M2220=TH!$Y$7),"x","")</f>
        <v/>
      </c>
      <c r="Z2220" s="525" t="str">
        <f>IF(AND(B2220&lt;=NKC!$N$8,B2220&gt;=NKC!$M$8),"x","")</f>
        <v/>
      </c>
      <c r="AA2220" s="535">
        <v>2</v>
      </c>
      <c r="AB2220" s="536"/>
      <c r="AF2220" s="536"/>
      <c r="AG2220" s="536"/>
      <c r="AH2220" s="536"/>
    </row>
    <row r="2221" spans="1:34" s="503" customFormat="1" ht="15.75" customHeight="1">
      <c r="A2221" s="517" t="str">
        <f>IF(B2221&lt;&gt;"",IF(AND(B2221&gt;=_TM1,B2221&lt;=_TM2,OR(TH!L2221="1111",TH!M2221="1111")),TH!D2221,""),"")</f>
        <v/>
      </c>
      <c r="B2221" s="531">
        <f t="shared" si="202"/>
        <v>4</v>
      </c>
      <c r="C2221" s="315">
        <f t="shared" si="203"/>
        <v>42846</v>
      </c>
      <c r="D2221" s="315" t="s">
        <v>982</v>
      </c>
      <c r="E2221" s="315">
        <v>42846</v>
      </c>
      <c r="F2221" s="249" t="s">
        <v>690</v>
      </c>
      <c r="G2221" s="314" t="s">
        <v>1054</v>
      </c>
      <c r="H2221" s="473" t="s">
        <v>447</v>
      </c>
      <c r="I2221" s="307">
        <v>6</v>
      </c>
      <c r="J2221" s="307">
        <v>132374</v>
      </c>
      <c r="K2221" s="532">
        <f t="shared" si="205"/>
        <v>794244</v>
      </c>
      <c r="L2221" s="534" t="s">
        <v>292</v>
      </c>
      <c r="M2221" s="534" t="s">
        <v>8</v>
      </c>
      <c r="N2221" s="525" t="str">
        <f>IF(AND('331-CT'!$E$7=TH!H2221,OR(L2221="331",M2221="331")),"331",IF(AND(OR(L2221="131",M2221="131"),H2221='131-CT'!$E$7),"131",""))</f>
        <v/>
      </c>
      <c r="O2221" s="525" t="str">
        <f>IF(AND($B2221&gt;='111'!$N$11,$B2221&lt;='111'!$O$11,OR($L2221=$O$7,$M2221=$O$7)),"x","")</f>
        <v/>
      </c>
      <c r="P2221" s="525" t="str">
        <f>IF(AND($L2221=$O$7,$B2221&lt;'111'!$N$11),"x","")</f>
        <v/>
      </c>
      <c r="Q2221" s="525" t="str">
        <f>IF(AND($M2221=$O$7,$B2221&lt;'111'!$N$11),"x","")</f>
        <v/>
      </c>
      <c r="R2221" s="525" t="str">
        <f>IF(ISERROR(FIND('112'!$M$9,G2221,1)),"",IF((AND(FIND('112'!$M$9,G2221,1)&gt;=1,$B2221&gt;='112'!$N$8,$B2221&lt;='112'!$O$8,OR($L2221='112'!$I$6,$M2221='112'!$I$6))),"x",""))</f>
        <v/>
      </c>
      <c r="S2221" s="525" t="str">
        <f>IF(ISERROR(FIND('112'!$M$9,G2221,1)),"",IF((AND(LEFT(G2221,2)=LEFT('112'!$M$9,2),B2221&lt;'112'!$N$8,$L2221='112'!$I$6)),"x",""))</f>
        <v/>
      </c>
      <c r="T2221" s="525" t="str">
        <f>IF(ISERROR(FIND('112'!$M$9,G2221,1)),"",IF((AND(RIGHT(G2221,2)=RIGHT('112'!$M$9,2),B2221&lt;'112'!$N$8,$M2221='112'!$I$6)),"x",""))</f>
        <v/>
      </c>
      <c r="U2221" s="525" t="str">
        <f>IF(AND(B2221&gt;='IN-NX'!$P$3,B2221&lt;='IN-NX'!$Q$3,'IN-NX'!$D$7=D2221,OR(LEFT(L2221,2)="15",AND(LEFT(M2221,2)&lt;&gt;"15",LEFT(M2221,2)&lt;&gt;"33"))),"x","")</f>
        <v/>
      </c>
      <c r="V2221" s="525" t="str">
        <f>IF(AND(OR(LEFT(TH!L2221,2)="15",LEFT(TH!M2221,2)="15"),'152-CT'!$J$8=TH!F2221),"x","")</f>
        <v/>
      </c>
      <c r="W2221" s="525" t="str">
        <f>IF(AND(OR(LEFT(TH!L2221,2)="15",LEFT(TH!M2221,2)="15"),TK!$E$7=TH!F2221),"x","")</f>
        <v/>
      </c>
      <c r="X2221" s="525" t="str">
        <f>IF(AND('341-CT'!$E$9=H2221,OR(LEFT(L2221,3)=$X$7,LEFT(M2221,3)=$X$7)),"x","")</f>
        <v/>
      </c>
      <c r="Y2221" s="525" t="str">
        <f>IF(OR(TH!L2221=TH!$Y$7,M2221=TH!$Y$7),"x","")</f>
        <v/>
      </c>
      <c r="Z2221" s="525" t="str">
        <f>IF(AND(B2221&lt;=NKC!$N$8,B2221&gt;=NKC!$M$8),"x","")</f>
        <v/>
      </c>
      <c r="AA2221" s="535">
        <v>2</v>
      </c>
      <c r="AB2221" s="536"/>
      <c r="AF2221" s="536"/>
      <c r="AG2221" s="536"/>
      <c r="AH2221" s="536"/>
    </row>
    <row r="2222" spans="1:34" s="503" customFormat="1" ht="15.75" customHeight="1">
      <c r="A2222" s="517" t="str">
        <f>IF(B2222&lt;&gt;"",IF(AND(B2222&gt;=_TM1,B2222&lt;=_TM2,OR(TH!L2222="1111",TH!M2222="1111")),TH!D2222,""),"")</f>
        <v/>
      </c>
      <c r="B2222" s="531">
        <f t="shared" si="202"/>
        <v>4</v>
      </c>
      <c r="C2222" s="315">
        <f t="shared" si="203"/>
        <v>42846</v>
      </c>
      <c r="D2222" s="315" t="s">
        <v>983</v>
      </c>
      <c r="E2222" s="315">
        <v>42846</v>
      </c>
      <c r="F2222" s="249" t="s">
        <v>691</v>
      </c>
      <c r="G2222" s="314" t="s">
        <v>1054</v>
      </c>
      <c r="H2222" s="473" t="s">
        <v>447</v>
      </c>
      <c r="I2222" s="307">
        <v>20</v>
      </c>
      <c r="J2222" s="307">
        <v>52170</v>
      </c>
      <c r="K2222" s="532">
        <f t="shared" si="205"/>
        <v>1043400</v>
      </c>
      <c r="L2222" s="534" t="s">
        <v>292</v>
      </c>
      <c r="M2222" s="534" t="s">
        <v>8</v>
      </c>
      <c r="N2222" s="525" t="str">
        <f>IF(AND('331-CT'!$E$7=TH!H2222,OR(L2222="331",M2222="331")),"331",IF(AND(OR(L2222="131",M2222="131"),H2222='131-CT'!$E$7),"131",""))</f>
        <v/>
      </c>
      <c r="O2222" s="525" t="str">
        <f>IF(AND($B2222&gt;='111'!$N$11,$B2222&lt;='111'!$O$11,OR($L2222=$O$7,$M2222=$O$7)),"x","")</f>
        <v/>
      </c>
      <c r="P2222" s="525" t="str">
        <f>IF(AND($L2222=$O$7,$B2222&lt;'111'!$N$11),"x","")</f>
        <v/>
      </c>
      <c r="Q2222" s="525" t="str">
        <f>IF(AND($M2222=$O$7,$B2222&lt;'111'!$N$11),"x","")</f>
        <v/>
      </c>
      <c r="R2222" s="525" t="str">
        <f>IF(ISERROR(FIND('112'!$M$9,G2222,1)),"",IF((AND(FIND('112'!$M$9,G2222,1)&gt;=1,$B2222&gt;='112'!$N$8,$B2222&lt;='112'!$O$8,OR($L2222='112'!$I$6,$M2222='112'!$I$6))),"x",""))</f>
        <v/>
      </c>
      <c r="S2222" s="525" t="str">
        <f>IF(ISERROR(FIND('112'!$M$9,G2222,1)),"",IF((AND(LEFT(G2222,2)=LEFT('112'!$M$9,2),B2222&lt;'112'!$N$8,$L2222='112'!$I$6)),"x",""))</f>
        <v/>
      </c>
      <c r="T2222" s="525" t="str">
        <f>IF(ISERROR(FIND('112'!$M$9,G2222,1)),"",IF((AND(RIGHT(G2222,2)=RIGHT('112'!$M$9,2),B2222&lt;'112'!$N$8,$M2222='112'!$I$6)),"x",""))</f>
        <v/>
      </c>
      <c r="U2222" s="525" t="str">
        <f>IF(AND(B2222&gt;='IN-NX'!$P$3,B2222&lt;='IN-NX'!$Q$3,'IN-NX'!$D$7=D2222,OR(LEFT(L2222,2)="15",AND(LEFT(M2222,2)&lt;&gt;"15",LEFT(M2222,2)&lt;&gt;"33"))),"x","")</f>
        <v/>
      </c>
      <c r="V2222" s="525" t="str">
        <f>IF(AND(OR(LEFT(TH!L2222,2)="15",LEFT(TH!M2222,2)="15"),'152-CT'!$J$8=TH!F2222),"x","")</f>
        <v/>
      </c>
      <c r="W2222" s="525" t="str">
        <f>IF(AND(OR(LEFT(TH!L2222,2)="15",LEFT(TH!M2222,2)="15"),TK!$E$7=TH!F2222),"x","")</f>
        <v/>
      </c>
      <c r="X2222" s="525" t="str">
        <f>IF(AND('341-CT'!$E$9=H2222,OR(LEFT(L2222,3)=$X$7,LEFT(M2222,3)=$X$7)),"x","")</f>
        <v/>
      </c>
      <c r="Y2222" s="525" t="str">
        <f>IF(OR(TH!L2222=TH!$Y$7,M2222=TH!$Y$7),"x","")</f>
        <v/>
      </c>
      <c r="Z2222" s="525" t="str">
        <f>IF(AND(B2222&lt;=NKC!$N$8,B2222&gt;=NKC!$M$8),"x","")</f>
        <v/>
      </c>
      <c r="AA2222" s="535">
        <v>2</v>
      </c>
      <c r="AB2222" s="536"/>
      <c r="AF2222" s="536"/>
      <c r="AG2222" s="536"/>
      <c r="AH2222" s="536"/>
    </row>
    <row r="2223" spans="1:34" s="503" customFormat="1" ht="15.75" customHeight="1">
      <c r="A2223" s="517" t="str">
        <f>IF(B2223&lt;&gt;"",IF(AND(B2223&gt;=_TM1,B2223&lt;=_TM2,OR(TH!L2223="1111",TH!M2223="1111")),TH!D2223,""),"")</f>
        <v/>
      </c>
      <c r="B2223" s="531">
        <f t="shared" si="202"/>
        <v>4</v>
      </c>
      <c r="C2223" s="315">
        <f t="shared" si="203"/>
        <v>42846</v>
      </c>
      <c r="D2223" s="315" t="s">
        <v>983</v>
      </c>
      <c r="E2223" s="315">
        <v>42846</v>
      </c>
      <c r="F2223" s="249" t="s">
        <v>611</v>
      </c>
      <c r="G2223" s="314" t="s">
        <v>1054</v>
      </c>
      <c r="H2223" s="473" t="s">
        <v>447</v>
      </c>
      <c r="I2223" s="307">
        <v>8</v>
      </c>
      <c r="J2223" s="307">
        <v>43918</v>
      </c>
      <c r="K2223" s="532">
        <f t="shared" si="205"/>
        <v>351344</v>
      </c>
      <c r="L2223" s="534" t="s">
        <v>292</v>
      </c>
      <c r="M2223" s="534" t="s">
        <v>8</v>
      </c>
      <c r="N2223" s="525" t="str">
        <f>IF(AND('331-CT'!$E$7=TH!H2223,OR(L2223="331",M2223="331")),"331",IF(AND(OR(L2223="131",M2223="131"),H2223='131-CT'!$E$7),"131",""))</f>
        <v/>
      </c>
      <c r="O2223" s="525" t="str">
        <f>IF(AND($B2223&gt;='111'!$N$11,$B2223&lt;='111'!$O$11,OR($L2223=$O$7,$M2223=$O$7)),"x","")</f>
        <v/>
      </c>
      <c r="P2223" s="525" t="str">
        <f>IF(AND($L2223=$O$7,$B2223&lt;'111'!$N$11),"x","")</f>
        <v/>
      </c>
      <c r="Q2223" s="525" t="str">
        <f>IF(AND($M2223=$O$7,$B2223&lt;'111'!$N$11),"x","")</f>
        <v/>
      </c>
      <c r="R2223" s="525" t="str">
        <f>IF(ISERROR(FIND('112'!$M$9,G2223,1)),"",IF((AND(FIND('112'!$M$9,G2223,1)&gt;=1,$B2223&gt;='112'!$N$8,$B2223&lt;='112'!$O$8,OR($L2223='112'!$I$6,$M2223='112'!$I$6))),"x",""))</f>
        <v/>
      </c>
      <c r="S2223" s="525" t="str">
        <f>IF(ISERROR(FIND('112'!$M$9,G2223,1)),"",IF((AND(LEFT(G2223,2)=LEFT('112'!$M$9,2),B2223&lt;'112'!$N$8,$L2223='112'!$I$6)),"x",""))</f>
        <v/>
      </c>
      <c r="T2223" s="525" t="str">
        <f>IF(ISERROR(FIND('112'!$M$9,G2223,1)),"",IF((AND(RIGHT(G2223,2)=RIGHT('112'!$M$9,2),B2223&lt;'112'!$N$8,$M2223='112'!$I$6)),"x",""))</f>
        <v/>
      </c>
      <c r="U2223" s="525" t="str">
        <f>IF(AND(B2223&gt;='IN-NX'!$P$3,B2223&lt;='IN-NX'!$Q$3,'IN-NX'!$D$7=D2223,OR(LEFT(L2223,2)="15",AND(LEFT(M2223,2)&lt;&gt;"15",LEFT(M2223,2)&lt;&gt;"33"))),"x","")</f>
        <v/>
      </c>
      <c r="V2223" s="525" t="str">
        <f>IF(AND(OR(LEFT(TH!L2223,2)="15",LEFT(TH!M2223,2)="15"),'152-CT'!$J$8=TH!F2223),"x","")</f>
        <v/>
      </c>
      <c r="W2223" s="525" t="str">
        <f>IF(AND(OR(LEFT(TH!L2223,2)="15",LEFT(TH!M2223,2)="15"),TK!$E$7=TH!F2223),"x","")</f>
        <v/>
      </c>
      <c r="X2223" s="525" t="str">
        <f>IF(AND('341-CT'!$E$9=H2223,OR(LEFT(L2223,3)=$X$7,LEFT(M2223,3)=$X$7)),"x","")</f>
        <v/>
      </c>
      <c r="Y2223" s="525" t="str">
        <f>IF(OR(TH!L2223=TH!$Y$7,M2223=TH!$Y$7),"x","")</f>
        <v/>
      </c>
      <c r="Z2223" s="525" t="str">
        <f>IF(AND(B2223&lt;=NKC!$N$8,B2223&gt;=NKC!$M$8),"x","")</f>
        <v/>
      </c>
      <c r="AA2223" s="535">
        <v>2</v>
      </c>
      <c r="AB2223" s="536"/>
      <c r="AD2223" s="536"/>
      <c r="AF2223" s="536"/>
      <c r="AG2223" s="536"/>
      <c r="AH2223" s="536"/>
    </row>
    <row r="2224" spans="1:34" s="503" customFormat="1" ht="15.75" customHeight="1">
      <c r="A2224" s="517" t="str">
        <f>IF(B2224&lt;&gt;"",IF(AND(B2224&gt;=_TM1,B2224&lt;=_TM2,OR(TH!L2224="1111",TH!M2224="1111")),TH!D2224,""),"")</f>
        <v/>
      </c>
      <c r="B2224" s="531">
        <f t="shared" si="202"/>
        <v>4</v>
      </c>
      <c r="C2224" s="315">
        <f t="shared" si="203"/>
        <v>42846</v>
      </c>
      <c r="D2224" s="315" t="s">
        <v>983</v>
      </c>
      <c r="E2224" s="315">
        <v>42846</v>
      </c>
      <c r="F2224" s="249" t="s">
        <v>699</v>
      </c>
      <c r="G2224" s="314" t="s">
        <v>1054</v>
      </c>
      <c r="H2224" s="473" t="s">
        <v>447</v>
      </c>
      <c r="I2224" s="307">
        <v>8</v>
      </c>
      <c r="J2224" s="307">
        <v>48453</v>
      </c>
      <c r="K2224" s="532">
        <f t="shared" si="205"/>
        <v>387624</v>
      </c>
      <c r="L2224" s="534" t="s">
        <v>292</v>
      </c>
      <c r="M2224" s="534" t="s">
        <v>8</v>
      </c>
      <c r="N2224" s="525" t="str">
        <f>IF(AND('331-CT'!$E$7=TH!H2224,OR(L2224="331",M2224="331")),"331",IF(AND(OR(L2224="131",M2224="131"),H2224='131-CT'!$E$7),"131",""))</f>
        <v/>
      </c>
      <c r="O2224" s="525" t="str">
        <f>IF(AND($B2224&gt;='111'!$N$11,$B2224&lt;='111'!$O$11,OR($L2224=$O$7,$M2224=$O$7)),"x","")</f>
        <v/>
      </c>
      <c r="P2224" s="525" t="str">
        <f>IF(AND($L2224=$O$7,$B2224&lt;'111'!$N$11),"x","")</f>
        <v/>
      </c>
      <c r="Q2224" s="525" t="str">
        <f>IF(AND($M2224=$O$7,$B2224&lt;'111'!$N$11),"x","")</f>
        <v/>
      </c>
      <c r="R2224" s="525" t="str">
        <f>IF(ISERROR(FIND('112'!$M$9,G2224,1)),"",IF((AND(FIND('112'!$M$9,G2224,1)&gt;=1,$B2224&gt;='112'!$N$8,$B2224&lt;='112'!$O$8,OR($L2224='112'!$I$6,$M2224='112'!$I$6))),"x",""))</f>
        <v/>
      </c>
      <c r="S2224" s="525" t="str">
        <f>IF(ISERROR(FIND('112'!$M$9,G2224,1)),"",IF((AND(LEFT(G2224,2)=LEFT('112'!$M$9,2),B2224&lt;'112'!$N$8,$L2224='112'!$I$6)),"x",""))</f>
        <v/>
      </c>
      <c r="T2224" s="525" t="str">
        <f>IF(ISERROR(FIND('112'!$M$9,G2224,1)),"",IF((AND(RIGHT(G2224,2)=RIGHT('112'!$M$9,2),B2224&lt;'112'!$N$8,$M2224='112'!$I$6)),"x",""))</f>
        <v/>
      </c>
      <c r="U2224" s="525" t="str">
        <f>IF(AND(B2224&gt;='IN-NX'!$P$3,B2224&lt;='IN-NX'!$Q$3,'IN-NX'!$D$7=D2224,OR(LEFT(L2224,2)="15",AND(LEFT(M2224,2)&lt;&gt;"15",LEFT(M2224,2)&lt;&gt;"33"))),"x","")</f>
        <v/>
      </c>
      <c r="V2224" s="525" t="str">
        <f>IF(AND(OR(LEFT(TH!L2224,2)="15",LEFT(TH!M2224,2)="15"),'152-CT'!$J$8=TH!F2224),"x","")</f>
        <v/>
      </c>
      <c r="W2224" s="525" t="str">
        <f>IF(AND(OR(LEFT(TH!L2224,2)="15",LEFT(TH!M2224,2)="15"),TK!$E$7=TH!F2224),"x","")</f>
        <v/>
      </c>
      <c r="X2224" s="525" t="str">
        <f>IF(AND('341-CT'!$E$9=H2224,OR(LEFT(L2224,3)=$X$7,LEFT(M2224,3)=$X$7)),"x","")</f>
        <v/>
      </c>
      <c r="Y2224" s="525" t="str">
        <f>IF(OR(TH!L2224=TH!$Y$7,M2224=TH!$Y$7),"x","")</f>
        <v/>
      </c>
      <c r="Z2224" s="525" t="str">
        <f>IF(AND(B2224&lt;=NKC!$N$8,B2224&gt;=NKC!$M$8),"x","")</f>
        <v/>
      </c>
      <c r="AA2224" s="535">
        <v>2</v>
      </c>
      <c r="AB2224" s="536"/>
      <c r="AF2224" s="536"/>
      <c r="AG2224" s="536"/>
      <c r="AH2224" s="536"/>
    </row>
    <row r="2225" spans="1:34" s="503" customFormat="1" ht="15.75" customHeight="1">
      <c r="A2225" s="517" t="str">
        <f>IF(B2225&lt;&gt;"",IF(AND(B2225&gt;=_TM1,B2225&lt;=_TM2,OR(TH!L2225="1111",TH!M2225="1111")),TH!D2225,""),"")</f>
        <v/>
      </c>
      <c r="B2225" s="531">
        <f t="shared" si="202"/>
        <v>4</v>
      </c>
      <c r="C2225" s="315">
        <f t="shared" si="203"/>
        <v>42846</v>
      </c>
      <c r="D2225" s="315" t="s">
        <v>983</v>
      </c>
      <c r="E2225" s="315">
        <v>42846</v>
      </c>
      <c r="F2225" s="249" t="s">
        <v>648</v>
      </c>
      <c r="G2225" s="314" t="s">
        <v>1054</v>
      </c>
      <c r="H2225" s="473" t="s">
        <v>447</v>
      </c>
      <c r="I2225" s="307">
        <v>7</v>
      </c>
      <c r="J2225" s="307">
        <v>48490</v>
      </c>
      <c r="K2225" s="532">
        <f t="shared" si="205"/>
        <v>339430</v>
      </c>
      <c r="L2225" s="534" t="s">
        <v>292</v>
      </c>
      <c r="M2225" s="534" t="s">
        <v>8</v>
      </c>
      <c r="N2225" s="525" t="str">
        <f>IF(AND('331-CT'!$E$7=TH!H2225,OR(L2225="331",M2225="331")),"331",IF(AND(OR(L2225="131",M2225="131"),H2225='131-CT'!$E$7),"131",""))</f>
        <v/>
      </c>
      <c r="O2225" s="525" t="str">
        <f>IF(AND($B2225&gt;='111'!$N$11,$B2225&lt;='111'!$O$11,OR($L2225=$O$7,$M2225=$O$7)),"x","")</f>
        <v/>
      </c>
      <c r="P2225" s="525" t="str">
        <f>IF(AND($L2225=$O$7,$B2225&lt;'111'!$N$11),"x","")</f>
        <v/>
      </c>
      <c r="Q2225" s="525" t="str">
        <f>IF(AND($M2225=$O$7,$B2225&lt;'111'!$N$11),"x","")</f>
        <v/>
      </c>
      <c r="R2225" s="525" t="str">
        <f>IF(ISERROR(FIND('112'!$M$9,G2225,1)),"",IF((AND(FIND('112'!$M$9,G2225,1)&gt;=1,$B2225&gt;='112'!$N$8,$B2225&lt;='112'!$O$8,OR($L2225='112'!$I$6,$M2225='112'!$I$6))),"x",""))</f>
        <v/>
      </c>
      <c r="S2225" s="525" t="str">
        <f>IF(ISERROR(FIND('112'!$M$9,G2225,1)),"",IF((AND(LEFT(G2225,2)=LEFT('112'!$M$9,2),B2225&lt;'112'!$N$8,$L2225='112'!$I$6)),"x",""))</f>
        <v/>
      </c>
      <c r="T2225" s="525" t="str">
        <f>IF(ISERROR(FIND('112'!$M$9,G2225,1)),"",IF((AND(RIGHT(G2225,2)=RIGHT('112'!$M$9,2),B2225&lt;'112'!$N$8,$M2225='112'!$I$6)),"x",""))</f>
        <v/>
      </c>
      <c r="U2225" s="525" t="str">
        <f>IF(AND(B2225&gt;='IN-NX'!$P$3,B2225&lt;='IN-NX'!$Q$3,'IN-NX'!$D$7=D2225,OR(LEFT(L2225,2)="15",AND(LEFT(M2225,2)&lt;&gt;"15",LEFT(M2225,2)&lt;&gt;"33"))),"x","")</f>
        <v/>
      </c>
      <c r="V2225" s="525" t="str">
        <f>IF(AND(OR(LEFT(TH!L2225,2)="15",LEFT(TH!M2225,2)="15"),'152-CT'!$J$8=TH!F2225),"x","")</f>
        <v/>
      </c>
      <c r="W2225" s="525" t="str">
        <f>IF(AND(OR(LEFT(TH!L2225,2)="15",LEFT(TH!M2225,2)="15"),TK!$E$7=TH!F2225),"x","")</f>
        <v/>
      </c>
      <c r="X2225" s="525" t="str">
        <f>IF(AND('341-CT'!$E$9=H2225,OR(LEFT(L2225,3)=$X$7,LEFT(M2225,3)=$X$7)),"x","")</f>
        <v/>
      </c>
      <c r="Y2225" s="525" t="str">
        <f>IF(OR(TH!L2225=TH!$Y$7,M2225=TH!$Y$7),"x","")</f>
        <v/>
      </c>
      <c r="Z2225" s="525" t="str">
        <f>IF(AND(B2225&lt;=NKC!$N$8,B2225&gt;=NKC!$M$8),"x","")</f>
        <v/>
      </c>
      <c r="AA2225" s="535">
        <v>2</v>
      </c>
      <c r="AB2225" s="536"/>
      <c r="AD2225" s="536"/>
      <c r="AF2225" s="536"/>
      <c r="AG2225" s="536"/>
      <c r="AH2225" s="536"/>
    </row>
    <row r="2226" spans="1:34" s="503" customFormat="1" ht="15.75" customHeight="1">
      <c r="A2226" s="517" t="str">
        <f>IF(B2226&lt;&gt;"",IF(AND(B2226&gt;=_TM1,B2226&lt;=_TM2,OR(TH!L2226="1111",TH!M2226="1111")),TH!D2226,""),"")</f>
        <v/>
      </c>
      <c r="B2226" s="531">
        <f t="shared" si="202"/>
        <v>4</v>
      </c>
      <c r="C2226" s="315">
        <f t="shared" si="203"/>
        <v>42846</v>
      </c>
      <c r="D2226" s="315" t="s">
        <v>983</v>
      </c>
      <c r="E2226" s="315">
        <v>42846</v>
      </c>
      <c r="F2226" s="249" t="s">
        <v>661</v>
      </c>
      <c r="G2226" s="314" t="s">
        <v>1054</v>
      </c>
      <c r="H2226" s="473" t="s">
        <v>447</v>
      </c>
      <c r="I2226" s="307">
        <v>14</v>
      </c>
      <c r="J2226" s="307">
        <v>60161</v>
      </c>
      <c r="K2226" s="532">
        <f t="shared" si="205"/>
        <v>842254</v>
      </c>
      <c r="L2226" s="534" t="s">
        <v>292</v>
      </c>
      <c r="M2226" s="534" t="s">
        <v>8</v>
      </c>
      <c r="N2226" s="525" t="str">
        <f>IF(AND('331-CT'!$E$7=TH!H2226,OR(L2226="331",M2226="331")),"331",IF(AND(OR(L2226="131",M2226="131"),H2226='131-CT'!$E$7),"131",""))</f>
        <v/>
      </c>
      <c r="O2226" s="525" t="str">
        <f>IF(AND($B2226&gt;='111'!$N$11,$B2226&lt;='111'!$O$11,OR($L2226=$O$7,$M2226=$O$7)),"x","")</f>
        <v/>
      </c>
      <c r="P2226" s="525" t="str">
        <f>IF(AND($L2226=$O$7,$B2226&lt;'111'!$N$11),"x","")</f>
        <v/>
      </c>
      <c r="Q2226" s="525" t="str">
        <f>IF(AND($M2226=$O$7,$B2226&lt;'111'!$N$11),"x","")</f>
        <v/>
      </c>
      <c r="R2226" s="525" t="str">
        <f>IF(ISERROR(FIND('112'!$M$9,G2226,1)),"",IF((AND(FIND('112'!$M$9,G2226,1)&gt;=1,$B2226&gt;='112'!$N$8,$B2226&lt;='112'!$O$8,OR($L2226='112'!$I$6,$M2226='112'!$I$6))),"x",""))</f>
        <v/>
      </c>
      <c r="S2226" s="525" t="str">
        <f>IF(ISERROR(FIND('112'!$M$9,G2226,1)),"",IF((AND(LEFT(G2226,2)=LEFT('112'!$M$9,2),B2226&lt;'112'!$N$8,$L2226='112'!$I$6)),"x",""))</f>
        <v/>
      </c>
      <c r="T2226" s="525" t="str">
        <f>IF(ISERROR(FIND('112'!$M$9,G2226,1)),"",IF((AND(RIGHT(G2226,2)=RIGHT('112'!$M$9,2),B2226&lt;'112'!$N$8,$M2226='112'!$I$6)),"x",""))</f>
        <v/>
      </c>
      <c r="U2226" s="525" t="str">
        <f>IF(AND(B2226&gt;='IN-NX'!$P$3,B2226&lt;='IN-NX'!$Q$3,'IN-NX'!$D$7=D2226,OR(LEFT(L2226,2)="15",AND(LEFT(M2226,2)&lt;&gt;"15",LEFT(M2226,2)&lt;&gt;"33"))),"x","")</f>
        <v/>
      </c>
      <c r="V2226" s="525" t="str">
        <f>IF(AND(OR(LEFT(TH!L2226,2)="15",LEFT(TH!M2226,2)="15"),'152-CT'!$J$8=TH!F2226),"x","")</f>
        <v/>
      </c>
      <c r="W2226" s="525" t="str">
        <f>IF(AND(OR(LEFT(TH!L2226,2)="15",LEFT(TH!M2226,2)="15"),TK!$E$7=TH!F2226),"x","")</f>
        <v/>
      </c>
      <c r="X2226" s="525" t="str">
        <f>IF(AND('341-CT'!$E$9=H2226,OR(LEFT(L2226,3)=$X$7,LEFT(M2226,3)=$X$7)),"x","")</f>
        <v/>
      </c>
      <c r="Y2226" s="525" t="str">
        <f>IF(OR(TH!L2226=TH!$Y$7,M2226=TH!$Y$7),"x","")</f>
        <v/>
      </c>
      <c r="Z2226" s="525" t="str">
        <f>IF(AND(B2226&lt;=NKC!$N$8,B2226&gt;=NKC!$M$8),"x","")</f>
        <v/>
      </c>
      <c r="AA2226" s="535">
        <v>2</v>
      </c>
      <c r="AB2226" s="536"/>
      <c r="AF2226" s="536"/>
      <c r="AG2226" s="536"/>
      <c r="AH2226" s="536"/>
    </row>
    <row r="2227" spans="1:34" s="503" customFormat="1" ht="15.75" customHeight="1">
      <c r="A2227" s="517" t="str">
        <f>IF(B2227&lt;&gt;"",IF(AND(B2227&gt;=_TM1,B2227&lt;=_TM2,OR(TH!L2227="1111",TH!M2227="1111")),TH!D2227,""),"")</f>
        <v/>
      </c>
      <c r="B2227" s="531">
        <f t="shared" si="202"/>
        <v>4</v>
      </c>
      <c r="C2227" s="315">
        <f t="shared" si="203"/>
        <v>42846</v>
      </c>
      <c r="D2227" s="315" t="s">
        <v>983</v>
      </c>
      <c r="E2227" s="315">
        <v>42846</v>
      </c>
      <c r="F2227" s="249" t="s">
        <v>611</v>
      </c>
      <c r="G2227" s="314" t="s">
        <v>1054</v>
      </c>
      <c r="H2227" s="473" t="s">
        <v>447</v>
      </c>
      <c r="I2227" s="307">
        <v>32</v>
      </c>
      <c r="J2227" s="307">
        <v>39735</v>
      </c>
      <c r="K2227" s="532">
        <f t="shared" si="205"/>
        <v>1271520</v>
      </c>
      <c r="L2227" s="534" t="s">
        <v>292</v>
      </c>
      <c r="M2227" s="534" t="s">
        <v>8</v>
      </c>
      <c r="N2227" s="525" t="str">
        <f>IF(AND('331-CT'!$E$7=TH!H2227,OR(L2227="331",M2227="331")),"331",IF(AND(OR(L2227="131",M2227="131"),H2227='131-CT'!$E$7),"131",""))</f>
        <v/>
      </c>
      <c r="O2227" s="525" t="str">
        <f>IF(AND($B2227&gt;='111'!$N$11,$B2227&lt;='111'!$O$11,OR($L2227=$O$7,$M2227=$O$7)),"x","")</f>
        <v/>
      </c>
      <c r="P2227" s="525" t="str">
        <f>IF(AND($L2227=$O$7,$B2227&lt;'111'!$N$11),"x","")</f>
        <v/>
      </c>
      <c r="Q2227" s="525" t="str">
        <f>IF(AND($M2227=$O$7,$B2227&lt;'111'!$N$11),"x","")</f>
        <v/>
      </c>
      <c r="R2227" s="525" t="str">
        <f>IF(ISERROR(FIND('112'!$M$9,G2227,1)),"",IF((AND(FIND('112'!$M$9,G2227,1)&gt;=1,$B2227&gt;='112'!$N$8,$B2227&lt;='112'!$O$8,OR($L2227='112'!$I$6,$M2227='112'!$I$6))),"x",""))</f>
        <v/>
      </c>
      <c r="S2227" s="525" t="str">
        <f>IF(ISERROR(FIND('112'!$M$9,G2227,1)),"",IF((AND(LEFT(G2227,2)=LEFT('112'!$M$9,2),B2227&lt;'112'!$N$8,$L2227='112'!$I$6)),"x",""))</f>
        <v/>
      </c>
      <c r="T2227" s="525" t="str">
        <f>IF(ISERROR(FIND('112'!$M$9,G2227,1)),"",IF((AND(RIGHT(G2227,2)=RIGHT('112'!$M$9,2),B2227&lt;'112'!$N$8,$M2227='112'!$I$6)),"x",""))</f>
        <v/>
      </c>
      <c r="U2227" s="525" t="str">
        <f>IF(AND(B2227&gt;='IN-NX'!$P$3,B2227&lt;='IN-NX'!$Q$3,'IN-NX'!$D$7=D2227,OR(LEFT(L2227,2)="15",AND(LEFT(M2227,2)&lt;&gt;"15",LEFT(M2227,2)&lt;&gt;"33"))),"x","")</f>
        <v/>
      </c>
      <c r="V2227" s="525" t="str">
        <f>IF(AND(OR(LEFT(TH!L2227,2)="15",LEFT(TH!M2227,2)="15"),'152-CT'!$J$8=TH!F2227),"x","")</f>
        <v/>
      </c>
      <c r="W2227" s="525" t="str">
        <f>IF(AND(OR(LEFT(TH!L2227,2)="15",LEFT(TH!M2227,2)="15"),TK!$E$7=TH!F2227),"x","")</f>
        <v/>
      </c>
      <c r="X2227" s="525" t="str">
        <f>IF(AND('341-CT'!$E$9=H2227,OR(LEFT(L2227,3)=$X$7,LEFT(M2227,3)=$X$7)),"x","")</f>
        <v/>
      </c>
      <c r="Y2227" s="525" t="str">
        <f>IF(OR(TH!L2227=TH!$Y$7,M2227=TH!$Y$7),"x","")</f>
        <v/>
      </c>
      <c r="Z2227" s="525" t="str">
        <f>IF(AND(B2227&lt;=NKC!$N$8,B2227&gt;=NKC!$M$8),"x","")</f>
        <v/>
      </c>
      <c r="AA2227" s="535">
        <v>2</v>
      </c>
      <c r="AB2227" s="536"/>
      <c r="AF2227" s="536"/>
      <c r="AG2227" s="536"/>
      <c r="AH2227" s="536"/>
    </row>
    <row r="2228" spans="1:34" s="503" customFormat="1" ht="15.75" customHeight="1">
      <c r="A2228" s="517" t="str">
        <f>IF(B2228&lt;&gt;"",IF(AND(B2228&gt;=_TM1,B2228&lt;=_TM2,OR(TH!L2228="1111",TH!M2228="1111")),TH!D2228,""),"")</f>
        <v/>
      </c>
      <c r="B2228" s="531">
        <f t="shared" si="202"/>
        <v>4</v>
      </c>
      <c r="C2228" s="315">
        <f t="shared" si="203"/>
        <v>42846</v>
      </c>
      <c r="D2228" s="315" t="s">
        <v>983</v>
      </c>
      <c r="E2228" s="315">
        <v>42846</v>
      </c>
      <c r="F2228" s="247" t="s">
        <v>1002</v>
      </c>
      <c r="G2228" s="314" t="s">
        <v>1054</v>
      </c>
      <c r="H2228" s="473" t="s">
        <v>447</v>
      </c>
      <c r="I2228" s="307"/>
      <c r="J2228" s="307"/>
      <c r="K2228" s="532">
        <v>2526750</v>
      </c>
      <c r="L2228" s="713" t="s">
        <v>9</v>
      </c>
      <c r="M2228" s="534" t="s">
        <v>8</v>
      </c>
      <c r="N2228" s="525" t="str">
        <f>IF(AND('331-CT'!$E$7=TH!H2228,OR(L2228="331",M2228="331")),"331",IF(AND(OR(L2228="131",M2228="131"),H2228='131-CT'!$E$7),"131",""))</f>
        <v/>
      </c>
      <c r="O2228" s="525" t="str">
        <f>IF(AND($B2228&gt;='111'!$N$11,$B2228&lt;='111'!$O$11,OR($L2228=$O$7,$M2228=$O$7)),"x","")</f>
        <v/>
      </c>
      <c r="P2228" s="525" t="str">
        <f>IF(AND($L2228=$O$7,$B2228&lt;'111'!$N$11),"x","")</f>
        <v/>
      </c>
      <c r="Q2228" s="525" t="str">
        <f>IF(AND($M2228=$O$7,$B2228&lt;'111'!$N$11),"x","")</f>
        <v/>
      </c>
      <c r="R2228" s="525" t="str">
        <f>IF(ISERROR(FIND('112'!$M$9,G2228,1)),"",IF((AND(FIND('112'!$M$9,G2228,1)&gt;=1,$B2228&gt;='112'!$N$8,$B2228&lt;='112'!$O$8,OR($L2228='112'!$I$6,$M2228='112'!$I$6))),"x",""))</f>
        <v/>
      </c>
      <c r="S2228" s="525" t="str">
        <f>IF(ISERROR(FIND('112'!$M$9,G2228,1)),"",IF((AND(LEFT(G2228,2)=LEFT('112'!$M$9,2),B2228&lt;'112'!$N$8,$L2228='112'!$I$6)),"x",""))</f>
        <v/>
      </c>
      <c r="T2228" s="525" t="str">
        <f>IF(ISERROR(FIND('112'!$M$9,G2228,1)),"",IF((AND(RIGHT(G2228,2)=RIGHT('112'!$M$9,2),B2228&lt;'112'!$N$8,$M2228='112'!$I$6)),"x",""))</f>
        <v/>
      </c>
      <c r="U2228" s="525" t="str">
        <f>IF(AND(B2228&gt;='IN-NX'!$P$3,B2228&lt;='IN-NX'!$Q$3,'IN-NX'!$D$7=D2228,OR(LEFT(L2228,2)="15",AND(LEFT(M2228,2)&lt;&gt;"15",LEFT(M2228,2)&lt;&gt;"33"))),"x","")</f>
        <v/>
      </c>
      <c r="V2228" s="525" t="str">
        <f>IF(AND(OR(LEFT(TH!L2228,2)="15",LEFT(TH!M2228,2)="15"),'152-CT'!$J$8=TH!F2228),"x","")</f>
        <v/>
      </c>
      <c r="W2228" s="525" t="str">
        <f>IF(AND(OR(LEFT(TH!L2228,2)="15",LEFT(TH!M2228,2)="15"),TK!$E$7=TH!F2228),"x","")</f>
        <v/>
      </c>
      <c r="X2228" s="525" t="str">
        <f>IF(AND('341-CT'!$E$9=H2228,OR(LEFT(L2228,3)=$X$7,LEFT(M2228,3)=$X$7)),"x","")</f>
        <v/>
      </c>
      <c r="Y2228" s="525" t="str">
        <f>IF(OR(TH!L2228=TH!$Y$7,M2228=TH!$Y$7),"x","")</f>
        <v/>
      </c>
      <c r="Z2228" s="525" t="str">
        <f>IF(AND(B2228&lt;=NKC!$N$8,B2228&gt;=NKC!$M$8),"x","")</f>
        <v/>
      </c>
      <c r="AA2228" s="535">
        <v>2</v>
      </c>
      <c r="AB2228" s="536"/>
      <c r="AF2228" s="536"/>
      <c r="AG2228" s="536"/>
      <c r="AH2228" s="536"/>
    </row>
    <row r="2229" spans="1:34" s="503" customFormat="1" ht="15.75" customHeight="1">
      <c r="A2229" s="517" t="str">
        <f>IF(B2229&lt;&gt;"",IF(AND(B2229&gt;=_TM1,B2229&lt;=_TM2,OR(TH!L2229="1111",TH!M2229="1111")),TH!D2229,""),"")</f>
        <v/>
      </c>
      <c r="B2229" s="531">
        <f t="shared" si="202"/>
        <v>4</v>
      </c>
      <c r="C2229" s="315">
        <f t="shared" si="203"/>
        <v>42846</v>
      </c>
      <c r="D2229" s="315" t="s">
        <v>984</v>
      </c>
      <c r="E2229" s="315">
        <v>42846</v>
      </c>
      <c r="F2229" s="249" t="s">
        <v>1082</v>
      </c>
      <c r="G2229" s="314" t="s">
        <v>1085</v>
      </c>
      <c r="H2229" s="473" t="s">
        <v>271</v>
      </c>
      <c r="I2229" s="307">
        <v>24</v>
      </c>
      <c r="J2229" s="307">
        <v>24744</v>
      </c>
      <c r="K2229" s="532">
        <f t="shared" ref="K2229:K2235" si="206">ROUND(I2229*J2229,0)</f>
        <v>593856</v>
      </c>
      <c r="L2229" s="534" t="s">
        <v>292</v>
      </c>
      <c r="M2229" s="534" t="s">
        <v>8</v>
      </c>
      <c r="N2229" s="525" t="str">
        <f>IF(AND('331-CT'!$E$7=TH!H2229,OR(L2229="331",M2229="331")),"331",IF(AND(OR(L2229="131",M2229="131"),H2229='131-CT'!$E$7),"131",""))</f>
        <v>331</v>
      </c>
      <c r="O2229" s="525" t="str">
        <f>IF(AND($B2229&gt;='111'!$N$11,$B2229&lt;='111'!$O$11,OR($L2229=$O$7,$M2229=$O$7)),"x","")</f>
        <v/>
      </c>
      <c r="P2229" s="525" t="str">
        <f>IF(AND($L2229=$O$7,$B2229&lt;'111'!$N$11),"x","")</f>
        <v/>
      </c>
      <c r="Q2229" s="525" t="str">
        <f>IF(AND($M2229=$O$7,$B2229&lt;'111'!$N$11),"x","")</f>
        <v/>
      </c>
      <c r="R2229" s="525" t="str">
        <f>IF(ISERROR(FIND('112'!$M$9,G2229,1)),"",IF((AND(FIND('112'!$M$9,G2229,1)&gt;=1,$B2229&gt;='112'!$N$8,$B2229&lt;='112'!$O$8,OR($L2229='112'!$I$6,$M2229='112'!$I$6))),"x",""))</f>
        <v/>
      </c>
      <c r="S2229" s="525" t="str">
        <f>IF(ISERROR(FIND('112'!$M$9,G2229,1)),"",IF((AND(LEFT(G2229,2)=LEFT('112'!$M$9,2),B2229&lt;'112'!$N$8,$L2229='112'!$I$6)),"x",""))</f>
        <v/>
      </c>
      <c r="T2229" s="525" t="str">
        <f>IF(ISERROR(FIND('112'!$M$9,G2229,1)),"",IF((AND(RIGHT(G2229,2)=RIGHT('112'!$M$9,2),B2229&lt;'112'!$N$8,$M2229='112'!$I$6)),"x",""))</f>
        <v/>
      </c>
      <c r="U2229" s="525" t="str">
        <f>IF(AND(B2229&gt;='IN-NX'!$P$3,B2229&lt;='IN-NX'!$Q$3,'IN-NX'!$D$7=D2229,OR(LEFT(L2229,2)="15",AND(LEFT(M2229,2)&lt;&gt;"15",LEFT(M2229,2)&lt;&gt;"33"))),"x","")</f>
        <v/>
      </c>
      <c r="V2229" s="525" t="str">
        <f>IF(AND(OR(LEFT(TH!L2229,2)="15",LEFT(TH!M2229,2)="15"),'152-CT'!$J$8=TH!F2229),"x","")</f>
        <v/>
      </c>
      <c r="W2229" s="525" t="str">
        <f>IF(AND(OR(LEFT(TH!L2229,2)="15",LEFT(TH!M2229,2)="15"),TK!$E$7=TH!F2229),"x","")</f>
        <v/>
      </c>
      <c r="X2229" s="525" t="str">
        <f>IF(AND('341-CT'!$E$9=H2229,OR(LEFT(L2229,3)=$X$7,LEFT(M2229,3)=$X$7)),"x","")</f>
        <v/>
      </c>
      <c r="Y2229" s="525" t="str">
        <f>IF(OR(TH!L2229=TH!$Y$7,M2229=TH!$Y$7),"x","")</f>
        <v/>
      </c>
      <c r="Z2229" s="525" t="str">
        <f>IF(AND(B2229&lt;=NKC!$N$8,B2229&gt;=NKC!$M$8),"x","")</f>
        <v/>
      </c>
      <c r="AA2229" s="535">
        <v>2</v>
      </c>
      <c r="AB2229" s="536"/>
    </row>
    <row r="2230" spans="1:34" s="503" customFormat="1" ht="15.75" customHeight="1">
      <c r="A2230" s="517" t="str">
        <f>IF(B2230&lt;&gt;"",IF(AND(B2230&gt;=_TM1,B2230&lt;=_TM2,OR(TH!L2230="1111",TH!M2230="1111")),TH!D2230,""),"")</f>
        <v/>
      </c>
      <c r="B2230" s="531">
        <f t="shared" si="202"/>
        <v>4</v>
      </c>
      <c r="C2230" s="315">
        <f t="shared" si="203"/>
        <v>42846</v>
      </c>
      <c r="D2230" s="315" t="s">
        <v>984</v>
      </c>
      <c r="E2230" s="315">
        <v>42846</v>
      </c>
      <c r="F2230" s="249" t="s">
        <v>1086</v>
      </c>
      <c r="G2230" s="314" t="s">
        <v>1085</v>
      </c>
      <c r="H2230" s="473" t="s">
        <v>271</v>
      </c>
      <c r="I2230" s="307">
        <v>20</v>
      </c>
      <c r="J2230" s="307">
        <v>39593</v>
      </c>
      <c r="K2230" s="532">
        <f t="shared" si="206"/>
        <v>791860</v>
      </c>
      <c r="L2230" s="534" t="s">
        <v>292</v>
      </c>
      <c r="M2230" s="534" t="s">
        <v>8</v>
      </c>
      <c r="N2230" s="525" t="str">
        <f>IF(AND('331-CT'!$E$7=TH!H2230,OR(L2230="331",M2230="331")),"331",IF(AND(OR(L2230="131",M2230="131"),H2230='131-CT'!$E$7),"131",""))</f>
        <v>331</v>
      </c>
      <c r="O2230" s="525" t="str">
        <f>IF(AND($B2230&gt;='111'!$N$11,$B2230&lt;='111'!$O$11,OR($L2230=$O$7,$M2230=$O$7)),"x","")</f>
        <v/>
      </c>
      <c r="P2230" s="525" t="str">
        <f>IF(AND($L2230=$O$7,$B2230&lt;'111'!$N$11),"x","")</f>
        <v/>
      </c>
      <c r="Q2230" s="525" t="str">
        <f>IF(AND($M2230=$O$7,$B2230&lt;'111'!$N$11),"x","")</f>
        <v/>
      </c>
      <c r="R2230" s="525" t="str">
        <f>IF(ISERROR(FIND('112'!$M$9,G2230,1)),"",IF((AND(FIND('112'!$M$9,G2230,1)&gt;=1,$B2230&gt;='112'!$N$8,$B2230&lt;='112'!$O$8,OR($L2230='112'!$I$6,$M2230='112'!$I$6))),"x",""))</f>
        <v/>
      </c>
      <c r="S2230" s="525" t="str">
        <f>IF(ISERROR(FIND('112'!$M$9,G2230,1)),"",IF((AND(LEFT(G2230,2)=LEFT('112'!$M$9,2),B2230&lt;'112'!$N$8,$L2230='112'!$I$6)),"x",""))</f>
        <v/>
      </c>
      <c r="T2230" s="525" t="str">
        <f>IF(ISERROR(FIND('112'!$M$9,G2230,1)),"",IF((AND(RIGHT(G2230,2)=RIGHT('112'!$M$9,2),B2230&lt;'112'!$N$8,$M2230='112'!$I$6)),"x",""))</f>
        <v/>
      </c>
      <c r="U2230" s="525" t="str">
        <f>IF(AND(B2230&gt;='IN-NX'!$P$3,B2230&lt;='IN-NX'!$Q$3,'IN-NX'!$D$7=D2230,OR(LEFT(L2230,2)="15",AND(LEFT(M2230,2)&lt;&gt;"15",LEFT(M2230,2)&lt;&gt;"33"))),"x","")</f>
        <v/>
      </c>
      <c r="V2230" s="525" t="str">
        <f>IF(AND(OR(LEFT(TH!L2230,2)="15",LEFT(TH!M2230,2)="15"),'152-CT'!$J$8=TH!F2230),"x","")</f>
        <v/>
      </c>
      <c r="W2230" s="525" t="str">
        <f>IF(AND(OR(LEFT(TH!L2230,2)="15",LEFT(TH!M2230,2)="15"),TK!$E$7=TH!F2230),"x","")</f>
        <v/>
      </c>
      <c r="X2230" s="525" t="str">
        <f>IF(AND('341-CT'!$E$9=H2230,OR(LEFT(L2230,3)=$X$7,LEFT(M2230,3)=$X$7)),"x","")</f>
        <v/>
      </c>
      <c r="Y2230" s="525" t="str">
        <f>IF(OR(TH!L2230=TH!$Y$7,M2230=TH!$Y$7),"x","")</f>
        <v/>
      </c>
      <c r="Z2230" s="525" t="str">
        <f>IF(AND(B2230&lt;=NKC!$N$8,B2230&gt;=NKC!$M$8),"x","")</f>
        <v/>
      </c>
      <c r="AA2230" s="535">
        <v>2</v>
      </c>
      <c r="AB2230" s="536"/>
    </row>
    <row r="2231" spans="1:34" s="503" customFormat="1" ht="15.75" customHeight="1">
      <c r="A2231" s="517" t="str">
        <f>IF(B2231&lt;&gt;"",IF(AND(B2231&gt;=_TM1,B2231&lt;=_TM2,OR(TH!L2231="1111",TH!M2231="1111")),TH!D2231,""),"")</f>
        <v/>
      </c>
      <c r="B2231" s="531">
        <f t="shared" si="202"/>
        <v>4</v>
      </c>
      <c r="C2231" s="315">
        <f t="shared" si="203"/>
        <v>42846</v>
      </c>
      <c r="D2231" s="315" t="s">
        <v>984</v>
      </c>
      <c r="E2231" s="315">
        <v>42846</v>
      </c>
      <c r="F2231" s="249" t="s">
        <v>1086</v>
      </c>
      <c r="G2231" s="314" t="s">
        <v>1085</v>
      </c>
      <c r="H2231" s="473" t="s">
        <v>271</v>
      </c>
      <c r="I2231" s="307">
        <v>20</v>
      </c>
      <c r="J2231" s="307">
        <v>27091</v>
      </c>
      <c r="K2231" s="532">
        <f t="shared" si="206"/>
        <v>541820</v>
      </c>
      <c r="L2231" s="534" t="s">
        <v>292</v>
      </c>
      <c r="M2231" s="534" t="s">
        <v>8</v>
      </c>
      <c r="N2231" s="525" t="str">
        <f>IF(AND('331-CT'!$E$7=TH!H2231,OR(L2231="331",M2231="331")),"331",IF(AND(OR(L2231="131",M2231="131"),H2231='131-CT'!$E$7),"131",""))</f>
        <v>331</v>
      </c>
      <c r="O2231" s="525" t="str">
        <f>IF(AND($B2231&gt;='111'!$N$11,$B2231&lt;='111'!$O$11,OR($L2231=$O$7,$M2231=$O$7)),"x","")</f>
        <v/>
      </c>
      <c r="P2231" s="525" t="str">
        <f>IF(AND($L2231=$O$7,$B2231&lt;'111'!$N$11),"x","")</f>
        <v/>
      </c>
      <c r="Q2231" s="525" t="str">
        <f>IF(AND($M2231=$O$7,$B2231&lt;'111'!$N$11),"x","")</f>
        <v/>
      </c>
      <c r="R2231" s="525" t="str">
        <f>IF(ISERROR(FIND('112'!$M$9,G2231,1)),"",IF((AND(FIND('112'!$M$9,G2231,1)&gt;=1,$B2231&gt;='112'!$N$8,$B2231&lt;='112'!$O$8,OR($L2231='112'!$I$6,$M2231='112'!$I$6))),"x",""))</f>
        <v/>
      </c>
      <c r="S2231" s="525" t="str">
        <f>IF(ISERROR(FIND('112'!$M$9,G2231,1)),"",IF((AND(LEFT(G2231,2)=LEFT('112'!$M$9,2),B2231&lt;'112'!$N$8,$L2231='112'!$I$6)),"x",""))</f>
        <v/>
      </c>
      <c r="T2231" s="525" t="str">
        <f>IF(ISERROR(FIND('112'!$M$9,G2231,1)),"",IF((AND(RIGHT(G2231,2)=RIGHT('112'!$M$9,2),B2231&lt;'112'!$N$8,$M2231='112'!$I$6)),"x",""))</f>
        <v/>
      </c>
      <c r="U2231" s="525" t="str">
        <f>IF(AND(B2231&gt;='IN-NX'!$P$3,B2231&lt;='IN-NX'!$Q$3,'IN-NX'!$D$7=D2231,OR(LEFT(L2231,2)="15",AND(LEFT(M2231,2)&lt;&gt;"15",LEFT(M2231,2)&lt;&gt;"33"))),"x","")</f>
        <v/>
      </c>
      <c r="V2231" s="525" t="str">
        <f>IF(AND(OR(LEFT(TH!L2231,2)="15",LEFT(TH!M2231,2)="15"),'152-CT'!$J$8=TH!F2231),"x","")</f>
        <v/>
      </c>
      <c r="W2231" s="525" t="str">
        <f>IF(AND(OR(LEFT(TH!L2231,2)="15",LEFT(TH!M2231,2)="15"),TK!$E$7=TH!F2231),"x","")</f>
        <v/>
      </c>
      <c r="X2231" s="525" t="str">
        <f>IF(AND('341-CT'!$E$9=H2231,OR(LEFT(L2231,3)=$X$7,LEFT(M2231,3)=$X$7)),"x","")</f>
        <v/>
      </c>
      <c r="Y2231" s="525" t="str">
        <f>IF(OR(TH!L2231=TH!$Y$7,M2231=TH!$Y$7),"x","")</f>
        <v/>
      </c>
      <c r="Z2231" s="525" t="str">
        <f>IF(AND(B2231&lt;=NKC!$N$8,B2231&gt;=NKC!$M$8),"x","")</f>
        <v/>
      </c>
      <c r="AA2231" s="535">
        <v>2</v>
      </c>
      <c r="AB2231" s="536"/>
    </row>
    <row r="2232" spans="1:34" s="503" customFormat="1" ht="15.75" customHeight="1">
      <c r="A2232" s="517" t="str">
        <f>IF(B2232&lt;&gt;"",IF(AND(B2232&gt;=_TM1,B2232&lt;=_TM2,OR(TH!L2232="1111",TH!M2232="1111")),TH!D2232,""),"")</f>
        <v/>
      </c>
      <c r="B2232" s="531">
        <f t="shared" si="202"/>
        <v>4</v>
      </c>
      <c r="C2232" s="315">
        <f t="shared" si="203"/>
        <v>42846</v>
      </c>
      <c r="D2232" s="315" t="s">
        <v>984</v>
      </c>
      <c r="E2232" s="315">
        <v>42846</v>
      </c>
      <c r="F2232" s="249" t="s">
        <v>429</v>
      </c>
      <c r="G2232" s="314" t="s">
        <v>1085</v>
      </c>
      <c r="H2232" s="473" t="s">
        <v>271</v>
      </c>
      <c r="I2232" s="307">
        <v>22</v>
      </c>
      <c r="J2232" s="307">
        <v>34799</v>
      </c>
      <c r="K2232" s="532">
        <f t="shared" si="206"/>
        <v>765578</v>
      </c>
      <c r="L2232" s="534" t="s">
        <v>292</v>
      </c>
      <c r="M2232" s="534" t="s">
        <v>8</v>
      </c>
      <c r="N2232" s="525" t="str">
        <f>IF(AND('331-CT'!$E$7=TH!H2232,OR(L2232="331",M2232="331")),"331",IF(AND(OR(L2232="131",M2232="131"),H2232='131-CT'!$E$7),"131",""))</f>
        <v>331</v>
      </c>
      <c r="O2232" s="525" t="str">
        <f>IF(AND($B2232&gt;='111'!$N$11,$B2232&lt;='111'!$O$11,OR($L2232=$O$7,$M2232=$O$7)),"x","")</f>
        <v/>
      </c>
      <c r="P2232" s="525" t="str">
        <f>IF(AND($L2232=$O$7,$B2232&lt;'111'!$N$11),"x","")</f>
        <v/>
      </c>
      <c r="Q2232" s="525" t="str">
        <f>IF(AND($M2232=$O$7,$B2232&lt;'111'!$N$11),"x","")</f>
        <v/>
      </c>
      <c r="R2232" s="525" t="str">
        <f>IF(ISERROR(FIND('112'!$M$9,G2232,1)),"",IF((AND(FIND('112'!$M$9,G2232,1)&gt;=1,$B2232&gt;='112'!$N$8,$B2232&lt;='112'!$O$8,OR($L2232='112'!$I$6,$M2232='112'!$I$6))),"x",""))</f>
        <v/>
      </c>
      <c r="S2232" s="525" t="str">
        <f>IF(ISERROR(FIND('112'!$M$9,G2232,1)),"",IF((AND(LEFT(G2232,2)=LEFT('112'!$M$9,2),B2232&lt;'112'!$N$8,$L2232='112'!$I$6)),"x",""))</f>
        <v/>
      </c>
      <c r="T2232" s="525" t="str">
        <f>IF(ISERROR(FIND('112'!$M$9,G2232,1)),"",IF((AND(RIGHT(G2232,2)=RIGHT('112'!$M$9,2),B2232&lt;'112'!$N$8,$M2232='112'!$I$6)),"x",""))</f>
        <v/>
      </c>
      <c r="U2232" s="525" t="str">
        <f>IF(AND(B2232&gt;='IN-NX'!$P$3,B2232&lt;='IN-NX'!$Q$3,'IN-NX'!$D$7=D2232,OR(LEFT(L2232,2)="15",AND(LEFT(M2232,2)&lt;&gt;"15",LEFT(M2232,2)&lt;&gt;"33"))),"x","")</f>
        <v/>
      </c>
      <c r="V2232" s="525" t="str">
        <f>IF(AND(OR(LEFT(TH!L2232,2)="15",LEFT(TH!M2232,2)="15"),'152-CT'!$J$8=TH!F2232),"x","")</f>
        <v/>
      </c>
      <c r="W2232" s="525" t="str">
        <f>IF(AND(OR(LEFT(TH!L2232,2)="15",LEFT(TH!M2232,2)="15"),TK!$E$7=TH!F2232),"x","")</f>
        <v/>
      </c>
      <c r="X2232" s="525" t="str">
        <f>IF(AND('341-CT'!$E$9=H2232,OR(LEFT(L2232,3)=$X$7,LEFT(M2232,3)=$X$7)),"x","")</f>
        <v/>
      </c>
      <c r="Y2232" s="525" t="str">
        <f>IF(OR(TH!L2232=TH!$Y$7,M2232=TH!$Y$7),"x","")</f>
        <v/>
      </c>
      <c r="Z2232" s="525" t="str">
        <f>IF(AND(B2232&lt;=NKC!$N$8,B2232&gt;=NKC!$M$8),"x","")</f>
        <v/>
      </c>
      <c r="AA2232" s="535">
        <v>2</v>
      </c>
      <c r="AB2232" s="536"/>
    </row>
    <row r="2233" spans="1:34" s="503" customFormat="1" ht="15.75" customHeight="1">
      <c r="A2233" s="517" t="str">
        <f>IF(B2233&lt;&gt;"",IF(AND(B2233&gt;=_TM1,B2233&lt;=_TM2,OR(TH!L2233="1111",TH!M2233="1111")),TH!D2233,""),"")</f>
        <v/>
      </c>
      <c r="B2233" s="531">
        <f t="shared" si="202"/>
        <v>4</v>
      </c>
      <c r="C2233" s="315">
        <f t="shared" si="203"/>
        <v>42846</v>
      </c>
      <c r="D2233" s="315" t="s">
        <v>984</v>
      </c>
      <c r="E2233" s="315">
        <v>42846</v>
      </c>
      <c r="F2233" s="249" t="s">
        <v>429</v>
      </c>
      <c r="G2233" s="314" t="s">
        <v>1085</v>
      </c>
      <c r="H2233" s="473" t="s">
        <v>271</v>
      </c>
      <c r="I2233" s="307">
        <v>22</v>
      </c>
      <c r="J2233" s="307">
        <v>23810</v>
      </c>
      <c r="K2233" s="532">
        <f t="shared" si="206"/>
        <v>523820</v>
      </c>
      <c r="L2233" s="534" t="s">
        <v>292</v>
      </c>
      <c r="M2233" s="534" t="s">
        <v>8</v>
      </c>
      <c r="N2233" s="525" t="str">
        <f>IF(AND('331-CT'!$E$7=TH!H2233,OR(L2233="331",M2233="331")),"331",IF(AND(OR(L2233="131",M2233="131"),H2233='131-CT'!$E$7),"131",""))</f>
        <v>331</v>
      </c>
      <c r="O2233" s="525" t="str">
        <f>IF(AND($B2233&gt;='111'!$N$11,$B2233&lt;='111'!$O$11,OR($L2233=$O$7,$M2233=$O$7)),"x","")</f>
        <v/>
      </c>
      <c r="P2233" s="525" t="str">
        <f>IF(AND($L2233=$O$7,$B2233&lt;'111'!$N$11),"x","")</f>
        <v/>
      </c>
      <c r="Q2233" s="525" t="str">
        <f>IF(AND($M2233=$O$7,$B2233&lt;'111'!$N$11),"x","")</f>
        <v/>
      </c>
      <c r="R2233" s="525" t="str">
        <f>IF(ISERROR(FIND('112'!$M$9,G2233,1)),"",IF((AND(FIND('112'!$M$9,G2233,1)&gt;=1,$B2233&gt;='112'!$N$8,$B2233&lt;='112'!$O$8,OR($L2233='112'!$I$6,$M2233='112'!$I$6))),"x",""))</f>
        <v/>
      </c>
      <c r="S2233" s="525" t="str">
        <f>IF(ISERROR(FIND('112'!$M$9,G2233,1)),"",IF((AND(LEFT(G2233,2)=LEFT('112'!$M$9,2),B2233&lt;'112'!$N$8,$L2233='112'!$I$6)),"x",""))</f>
        <v/>
      </c>
      <c r="T2233" s="525" t="str">
        <f>IF(ISERROR(FIND('112'!$M$9,G2233,1)),"",IF((AND(RIGHT(G2233,2)=RIGHT('112'!$M$9,2),B2233&lt;'112'!$N$8,$M2233='112'!$I$6)),"x",""))</f>
        <v/>
      </c>
      <c r="U2233" s="525" t="str">
        <f>IF(AND(B2233&gt;='IN-NX'!$P$3,B2233&lt;='IN-NX'!$Q$3,'IN-NX'!$D$7=D2233,OR(LEFT(L2233,2)="15",AND(LEFT(M2233,2)&lt;&gt;"15",LEFT(M2233,2)&lt;&gt;"33"))),"x","")</f>
        <v/>
      </c>
      <c r="V2233" s="525" t="str">
        <f>IF(AND(OR(LEFT(TH!L2233,2)="15",LEFT(TH!M2233,2)="15"),'152-CT'!$J$8=TH!F2233),"x","")</f>
        <v/>
      </c>
      <c r="W2233" s="525" t="str">
        <f>IF(AND(OR(LEFT(TH!L2233,2)="15",LEFT(TH!M2233,2)="15"),TK!$E$7=TH!F2233),"x","")</f>
        <v/>
      </c>
      <c r="X2233" s="525" t="str">
        <f>IF(AND('341-CT'!$E$9=H2233,OR(LEFT(L2233,3)=$X$7,LEFT(M2233,3)=$X$7)),"x","")</f>
        <v/>
      </c>
      <c r="Y2233" s="525" t="str">
        <f>IF(OR(TH!L2233=TH!$Y$7,M2233=TH!$Y$7),"x","")</f>
        <v/>
      </c>
      <c r="Z2233" s="525" t="str">
        <f>IF(AND(B2233&lt;=NKC!$N$8,B2233&gt;=NKC!$M$8),"x","")</f>
        <v/>
      </c>
      <c r="AA2233" s="535">
        <v>2</v>
      </c>
      <c r="AB2233" s="536"/>
    </row>
    <row r="2234" spans="1:34" s="503" customFormat="1" ht="15.75" customHeight="1">
      <c r="A2234" s="517" t="str">
        <f>IF(B2234&lt;&gt;"",IF(AND(B2234&gt;=_TM1,B2234&lt;=_TM2,OR(TH!L2234="1111",TH!M2234="1111")),TH!D2234,""),"")</f>
        <v/>
      </c>
      <c r="B2234" s="531">
        <f t="shared" si="202"/>
        <v>4</v>
      </c>
      <c r="C2234" s="315">
        <f t="shared" si="203"/>
        <v>42846</v>
      </c>
      <c r="D2234" s="315" t="s">
        <v>984</v>
      </c>
      <c r="E2234" s="315">
        <v>42846</v>
      </c>
      <c r="F2234" s="249" t="s">
        <v>1087</v>
      </c>
      <c r="G2234" s="314" t="s">
        <v>1085</v>
      </c>
      <c r="H2234" s="473" t="s">
        <v>271</v>
      </c>
      <c r="I2234" s="307">
        <v>30</v>
      </c>
      <c r="J2234" s="307">
        <v>26395</v>
      </c>
      <c r="K2234" s="532">
        <f t="shared" si="206"/>
        <v>791850</v>
      </c>
      <c r="L2234" s="534" t="s">
        <v>292</v>
      </c>
      <c r="M2234" s="534" t="s">
        <v>8</v>
      </c>
      <c r="N2234" s="525" t="str">
        <f>IF(AND('331-CT'!$E$7=TH!H2234,OR(L2234="331",M2234="331")),"331",IF(AND(OR(L2234="131",M2234="131"),H2234='131-CT'!$E$7),"131",""))</f>
        <v>331</v>
      </c>
      <c r="O2234" s="525" t="str">
        <f>IF(AND($B2234&gt;='111'!$N$11,$B2234&lt;='111'!$O$11,OR($L2234=$O$7,$M2234=$O$7)),"x","")</f>
        <v/>
      </c>
      <c r="P2234" s="525" t="str">
        <f>IF(AND($L2234=$O$7,$B2234&lt;'111'!$N$11),"x","")</f>
        <v/>
      </c>
      <c r="Q2234" s="525" t="str">
        <f>IF(AND($M2234=$O$7,$B2234&lt;'111'!$N$11),"x","")</f>
        <v/>
      </c>
      <c r="R2234" s="525" t="str">
        <f>IF(ISERROR(FIND('112'!$M$9,G2234,1)),"",IF((AND(FIND('112'!$M$9,G2234,1)&gt;=1,$B2234&gt;='112'!$N$8,$B2234&lt;='112'!$O$8,OR($L2234='112'!$I$6,$M2234='112'!$I$6))),"x",""))</f>
        <v/>
      </c>
      <c r="S2234" s="525" t="str">
        <f>IF(ISERROR(FIND('112'!$M$9,G2234,1)),"",IF((AND(LEFT(G2234,2)=LEFT('112'!$M$9,2),B2234&lt;'112'!$N$8,$L2234='112'!$I$6)),"x",""))</f>
        <v/>
      </c>
      <c r="T2234" s="525" t="str">
        <f>IF(ISERROR(FIND('112'!$M$9,G2234,1)),"",IF((AND(RIGHT(G2234,2)=RIGHT('112'!$M$9,2),B2234&lt;'112'!$N$8,$M2234='112'!$I$6)),"x",""))</f>
        <v/>
      </c>
      <c r="U2234" s="525" t="str">
        <f>IF(AND(B2234&gt;='IN-NX'!$P$3,B2234&lt;='IN-NX'!$Q$3,'IN-NX'!$D$7=D2234,OR(LEFT(L2234,2)="15",AND(LEFT(M2234,2)&lt;&gt;"15",LEFT(M2234,2)&lt;&gt;"33"))),"x","")</f>
        <v/>
      </c>
      <c r="V2234" s="525" t="str">
        <f>IF(AND(OR(LEFT(TH!L2234,2)="15",LEFT(TH!M2234,2)="15"),'152-CT'!$J$8=TH!F2234),"x","")</f>
        <v/>
      </c>
      <c r="W2234" s="525" t="str">
        <f>IF(AND(OR(LEFT(TH!L2234,2)="15",LEFT(TH!M2234,2)="15"),TK!$E$7=TH!F2234),"x","")</f>
        <v/>
      </c>
      <c r="X2234" s="525" t="str">
        <f>IF(AND('341-CT'!$E$9=H2234,OR(LEFT(L2234,3)=$X$7,LEFT(M2234,3)=$X$7)),"x","")</f>
        <v/>
      </c>
      <c r="Y2234" s="525" t="str">
        <f>IF(OR(TH!L2234=TH!$Y$7,M2234=TH!$Y$7),"x","")</f>
        <v/>
      </c>
      <c r="Z2234" s="525" t="str">
        <f>IF(AND(B2234&lt;=NKC!$N$8,B2234&gt;=NKC!$M$8),"x","")</f>
        <v/>
      </c>
      <c r="AA2234" s="535">
        <v>2</v>
      </c>
      <c r="AB2234" s="536"/>
    </row>
    <row r="2235" spans="1:34" s="503" customFormat="1" ht="15.75" customHeight="1">
      <c r="A2235" s="517" t="str">
        <f>IF(B2235&lt;&gt;"",IF(AND(B2235&gt;=_TM1,B2235&lt;=_TM2,OR(TH!L2235="1111",TH!M2235="1111")),TH!D2235,""),"")</f>
        <v/>
      </c>
      <c r="B2235" s="531">
        <f t="shared" si="202"/>
        <v>4</v>
      </c>
      <c r="C2235" s="315">
        <f t="shared" si="203"/>
        <v>42846</v>
      </c>
      <c r="D2235" s="315" t="s">
        <v>984</v>
      </c>
      <c r="E2235" s="315">
        <v>42846</v>
      </c>
      <c r="F2235" s="249" t="s">
        <v>1087</v>
      </c>
      <c r="G2235" s="314" t="s">
        <v>1085</v>
      </c>
      <c r="H2235" s="473" t="s">
        <v>271</v>
      </c>
      <c r="I2235" s="307">
        <v>30</v>
      </c>
      <c r="J2235" s="307">
        <v>18060</v>
      </c>
      <c r="K2235" s="532">
        <f t="shared" si="206"/>
        <v>541800</v>
      </c>
      <c r="L2235" s="534" t="s">
        <v>292</v>
      </c>
      <c r="M2235" s="534" t="s">
        <v>8</v>
      </c>
      <c r="N2235" s="525" t="str">
        <f>IF(AND('331-CT'!$E$7=TH!H2235,OR(L2235="331",M2235="331")),"331",IF(AND(OR(L2235="131",M2235="131"),H2235='131-CT'!$E$7),"131",""))</f>
        <v>331</v>
      </c>
      <c r="O2235" s="525" t="str">
        <f>IF(AND($B2235&gt;='111'!$N$11,$B2235&lt;='111'!$O$11,OR($L2235=$O$7,$M2235=$O$7)),"x","")</f>
        <v/>
      </c>
      <c r="P2235" s="525" t="str">
        <f>IF(AND($L2235=$O$7,$B2235&lt;'111'!$N$11),"x","")</f>
        <v/>
      </c>
      <c r="Q2235" s="525" t="str">
        <f>IF(AND($M2235=$O$7,$B2235&lt;'111'!$N$11),"x","")</f>
        <v/>
      </c>
      <c r="R2235" s="525" t="str">
        <f>IF(ISERROR(FIND('112'!$M$9,G2235,1)),"",IF((AND(FIND('112'!$M$9,G2235,1)&gt;=1,$B2235&gt;='112'!$N$8,$B2235&lt;='112'!$O$8,OR($L2235='112'!$I$6,$M2235='112'!$I$6))),"x",""))</f>
        <v/>
      </c>
      <c r="S2235" s="525" t="str">
        <f>IF(ISERROR(FIND('112'!$M$9,G2235,1)),"",IF((AND(LEFT(G2235,2)=LEFT('112'!$M$9,2),B2235&lt;'112'!$N$8,$L2235='112'!$I$6)),"x",""))</f>
        <v/>
      </c>
      <c r="T2235" s="525" t="str">
        <f>IF(ISERROR(FIND('112'!$M$9,G2235,1)),"",IF((AND(RIGHT(G2235,2)=RIGHT('112'!$M$9,2),B2235&lt;'112'!$N$8,$M2235='112'!$I$6)),"x",""))</f>
        <v/>
      </c>
      <c r="U2235" s="525" t="str">
        <f>IF(AND(B2235&gt;='IN-NX'!$P$3,B2235&lt;='IN-NX'!$Q$3,'IN-NX'!$D$7=D2235,OR(LEFT(L2235,2)="15",AND(LEFT(M2235,2)&lt;&gt;"15",LEFT(M2235,2)&lt;&gt;"33"))),"x","")</f>
        <v/>
      </c>
      <c r="V2235" s="525" t="str">
        <f>IF(AND(OR(LEFT(TH!L2235,2)="15",LEFT(TH!M2235,2)="15"),'152-CT'!$J$8=TH!F2235),"x","")</f>
        <v/>
      </c>
      <c r="W2235" s="525" t="str">
        <f>IF(AND(OR(LEFT(TH!L2235,2)="15",LEFT(TH!M2235,2)="15"),TK!$E$7=TH!F2235),"x","")</f>
        <v/>
      </c>
      <c r="X2235" s="525" t="str">
        <f>IF(AND('341-CT'!$E$9=H2235,OR(LEFT(L2235,3)=$X$7,LEFT(M2235,3)=$X$7)),"x","")</f>
        <v/>
      </c>
      <c r="Y2235" s="525" t="str">
        <f>IF(OR(TH!L2235=TH!$Y$7,M2235=TH!$Y$7),"x","")</f>
        <v/>
      </c>
      <c r="Z2235" s="525" t="str">
        <f>IF(AND(B2235&lt;=NKC!$N$8,B2235&gt;=NKC!$M$8),"x","")</f>
        <v/>
      </c>
      <c r="AA2235" s="535">
        <v>2</v>
      </c>
      <c r="AB2235" s="536"/>
    </row>
    <row r="2236" spans="1:34" s="503" customFormat="1" ht="15.75" customHeight="1">
      <c r="A2236" s="517" t="str">
        <f>IF(B2236&lt;&gt;"",IF(AND(B2236&gt;=_TM1,B2236&lt;=_TM2,OR(TH!L2236="1111",TH!M2236="1111")),TH!D2236,""),"")</f>
        <v/>
      </c>
      <c r="B2236" s="531">
        <f t="shared" si="202"/>
        <v>4</v>
      </c>
      <c r="C2236" s="315">
        <f t="shared" si="203"/>
        <v>42846</v>
      </c>
      <c r="D2236" s="315" t="s">
        <v>984</v>
      </c>
      <c r="E2236" s="315">
        <v>42846</v>
      </c>
      <c r="F2236" s="249" t="s">
        <v>526</v>
      </c>
      <c r="G2236" s="314" t="s">
        <v>1085</v>
      </c>
      <c r="H2236" s="473" t="s">
        <v>271</v>
      </c>
      <c r="I2236" s="307"/>
      <c r="J2236" s="307"/>
      <c r="K2236" s="532">
        <v>455058</v>
      </c>
      <c r="L2236" s="713" t="s">
        <v>9</v>
      </c>
      <c r="M2236" s="534" t="s">
        <v>8</v>
      </c>
      <c r="N2236" s="525" t="str">
        <f>IF(AND('331-CT'!$E$7=TH!H2236,OR(L2236="331",M2236="331")),"331",IF(AND(OR(L2236="131",M2236="131"),H2236='131-CT'!$E$7),"131",""))</f>
        <v>331</v>
      </c>
      <c r="O2236" s="525" t="str">
        <f>IF(AND($B2236&gt;='111'!$N$11,$B2236&lt;='111'!$O$11,OR($L2236=$O$7,$M2236=$O$7)),"x","")</f>
        <v/>
      </c>
      <c r="P2236" s="525" t="str">
        <f>IF(AND($L2236=$O$7,$B2236&lt;'111'!$N$11),"x","")</f>
        <v/>
      </c>
      <c r="Q2236" s="525" t="str">
        <f>IF(AND($M2236=$O$7,$B2236&lt;'111'!$N$11),"x","")</f>
        <v/>
      </c>
      <c r="R2236" s="525" t="str">
        <f>IF(ISERROR(FIND('112'!$M$9,G2236,1)),"",IF((AND(FIND('112'!$M$9,G2236,1)&gt;=1,$B2236&gt;='112'!$N$8,$B2236&lt;='112'!$O$8,OR($L2236='112'!$I$6,$M2236='112'!$I$6))),"x",""))</f>
        <v/>
      </c>
      <c r="S2236" s="525" t="str">
        <f>IF(ISERROR(FIND('112'!$M$9,G2236,1)),"",IF((AND(LEFT(G2236,2)=LEFT('112'!$M$9,2),B2236&lt;'112'!$N$8,$L2236='112'!$I$6)),"x",""))</f>
        <v/>
      </c>
      <c r="T2236" s="525" t="str">
        <f>IF(ISERROR(FIND('112'!$M$9,G2236,1)),"",IF((AND(RIGHT(G2236,2)=RIGHT('112'!$M$9,2),B2236&lt;'112'!$N$8,$M2236='112'!$I$6)),"x",""))</f>
        <v/>
      </c>
      <c r="U2236" s="525" t="str">
        <f>IF(AND(B2236&gt;='IN-NX'!$P$3,B2236&lt;='IN-NX'!$Q$3,'IN-NX'!$D$7=D2236,OR(LEFT(L2236,2)="15",AND(LEFT(M2236,2)&lt;&gt;"15",LEFT(M2236,2)&lt;&gt;"33"))),"x","")</f>
        <v/>
      </c>
      <c r="V2236" s="525" t="str">
        <f>IF(AND(OR(LEFT(TH!L2236,2)="15",LEFT(TH!M2236,2)="15"),'152-CT'!$J$8=TH!F2236),"x","")</f>
        <v/>
      </c>
      <c r="W2236" s="525" t="str">
        <f>IF(AND(OR(LEFT(TH!L2236,2)="15",LEFT(TH!M2236,2)="15"),TK!$E$7=TH!F2236),"x","")</f>
        <v/>
      </c>
      <c r="X2236" s="525" t="str">
        <f>IF(AND('341-CT'!$E$9=H2236,OR(LEFT(L2236,3)=$X$7,LEFT(M2236,3)=$X$7)),"x","")</f>
        <v/>
      </c>
      <c r="Y2236" s="525" t="str">
        <f>IF(OR(TH!L2236=TH!$Y$7,M2236=TH!$Y$7),"x","")</f>
        <v/>
      </c>
      <c r="Z2236" s="525" t="str">
        <f>IF(AND(B2236&lt;=NKC!$N$8,B2236&gt;=NKC!$M$8),"x","")</f>
        <v/>
      </c>
      <c r="AA2236" s="535">
        <v>2</v>
      </c>
      <c r="AB2236" s="536"/>
    </row>
    <row r="2237" spans="1:34" s="503" customFormat="1" ht="15.75" customHeight="1">
      <c r="A2237" s="517" t="str">
        <f>IF(B2237&lt;&gt;"",IF(AND(B2237&gt;=_TM1,B2237&lt;=_TM2,OR(TH!L2237="1111",TH!M2237="1111")),TH!D2237,""),"")</f>
        <v/>
      </c>
      <c r="B2237" s="531">
        <f t="shared" si="202"/>
        <v>4</v>
      </c>
      <c r="C2237" s="315">
        <f t="shared" si="203"/>
        <v>42846</v>
      </c>
      <c r="D2237" s="315" t="s">
        <v>905</v>
      </c>
      <c r="E2237" s="315">
        <v>42846</v>
      </c>
      <c r="F2237" s="249" t="s">
        <v>1037</v>
      </c>
      <c r="G2237" s="314" t="s">
        <v>1110</v>
      </c>
      <c r="H2237" s="473" t="s">
        <v>1111</v>
      </c>
      <c r="I2237" s="307">
        <v>300</v>
      </c>
      <c r="J2237" s="307">
        <v>10600</v>
      </c>
      <c r="K2237" s="532">
        <f>ROUND(I2237*J2237,0)</f>
        <v>3180000</v>
      </c>
      <c r="L2237" s="534" t="s">
        <v>223</v>
      </c>
      <c r="M2237" s="534" t="s">
        <v>162</v>
      </c>
      <c r="N2237" s="525" t="str">
        <f>IF(AND('331-CT'!$E$7=TH!H2237,OR(L2237="331",M2237="331")),"331",IF(AND(OR(L2237="131",M2237="131"),H2237='131-CT'!$E$7),"131",""))</f>
        <v/>
      </c>
      <c r="O2237" s="525" t="str">
        <f>IF(AND($B2237&gt;='111'!$N$11,$B2237&lt;='111'!$O$11,OR($L2237=$O$7,$M2237=$O$7)),"x","")</f>
        <v/>
      </c>
      <c r="P2237" s="525" t="str">
        <f>IF(AND($L2237=$O$7,$B2237&lt;'111'!$N$11),"x","")</f>
        <v/>
      </c>
      <c r="Q2237" s="525" t="str">
        <f>IF(AND($M2237=$O$7,$B2237&lt;'111'!$N$11),"x","")</f>
        <v/>
      </c>
      <c r="R2237" s="525" t="str">
        <f>IF(ISERROR(FIND('112'!$M$9,G2237,1)),"",IF((AND(FIND('112'!$M$9,G2237,1)&gt;=1,$B2237&gt;='112'!$N$8,$B2237&lt;='112'!$O$8,OR($L2237='112'!$I$6,$M2237='112'!$I$6))),"x",""))</f>
        <v/>
      </c>
      <c r="S2237" s="525" t="str">
        <f>IF(ISERROR(FIND('112'!$M$9,G2237,1)),"",IF((AND(LEFT(G2237,2)=LEFT('112'!$M$9,2),B2237&lt;'112'!$N$8,$L2237='112'!$I$6)),"x",""))</f>
        <v/>
      </c>
      <c r="T2237" s="525" t="str">
        <f>IF(ISERROR(FIND('112'!$M$9,G2237,1)),"",IF((AND(RIGHT(G2237,2)=RIGHT('112'!$M$9,2),B2237&lt;'112'!$N$8,$M2237='112'!$I$6)),"x",""))</f>
        <v/>
      </c>
      <c r="U2237" s="525" t="str">
        <f>IF(AND(B2237&gt;='IN-NX'!$P$3,B2237&lt;='IN-NX'!$Q$3,'IN-NX'!$D$7=D2237,OR(LEFT(L2237,2)="15",AND(LEFT(M2237,2)&lt;&gt;"15",LEFT(M2237,2)&lt;&gt;"33"))),"x","")</f>
        <v/>
      </c>
      <c r="V2237" s="525" t="str">
        <f>IF(AND(OR(LEFT(TH!L2237,2)="15",LEFT(TH!M2237,2)="15"),'152-CT'!$J$8=TH!F2237),"x","")</f>
        <v/>
      </c>
      <c r="W2237" s="525" t="str">
        <f>IF(AND(OR(LEFT(TH!L2237,2)="15",LEFT(TH!M2237,2)="15"),TK!$E$7=TH!F2237),"x","")</f>
        <v/>
      </c>
      <c r="X2237" s="525" t="str">
        <f>IF(AND('341-CT'!$E$9=H2237,OR(LEFT(L2237,3)=$X$7,LEFT(M2237,3)=$X$7)),"x","")</f>
        <v/>
      </c>
      <c r="Y2237" s="525" t="str">
        <f>IF(OR(TH!L2237=TH!$Y$7,M2237=TH!$Y$7),"x","")</f>
        <v/>
      </c>
      <c r="Z2237" s="525" t="str">
        <f>IF(AND(B2237&lt;=NKC!$N$8,B2237&gt;=NKC!$M$8),"x","")</f>
        <v/>
      </c>
      <c r="AA2237" s="535"/>
      <c r="AB2237" s="536"/>
    </row>
    <row r="2238" spans="1:34" s="503" customFormat="1" ht="15.75" customHeight="1">
      <c r="A2238" s="517" t="str">
        <f>IF(B2238&lt;&gt;"",IF(AND(B2238&gt;=_TM1,B2238&lt;=_TM2,OR(TH!L2238="1111",TH!M2238="1111")),TH!D2238,""),"")</f>
        <v/>
      </c>
      <c r="B2238" s="531">
        <f t="shared" si="202"/>
        <v>4</v>
      </c>
      <c r="C2238" s="315">
        <f t="shared" si="203"/>
        <v>42846</v>
      </c>
      <c r="D2238" s="315" t="s">
        <v>905</v>
      </c>
      <c r="E2238" s="315">
        <v>42846</v>
      </c>
      <c r="F2238" s="249" t="s">
        <v>1038</v>
      </c>
      <c r="G2238" s="314" t="s">
        <v>1110</v>
      </c>
      <c r="H2238" s="473" t="s">
        <v>1111</v>
      </c>
      <c r="I2238" s="307">
        <v>100</v>
      </c>
      <c r="J2238" s="307">
        <v>18600</v>
      </c>
      <c r="K2238" s="532">
        <f>ROUND(I2238*J2238,0)</f>
        <v>1860000</v>
      </c>
      <c r="L2238" s="534" t="s">
        <v>223</v>
      </c>
      <c r="M2238" s="534" t="s">
        <v>162</v>
      </c>
      <c r="N2238" s="525" t="str">
        <f>IF(AND('331-CT'!$E$7=TH!H2238,OR(L2238="331",M2238="331")),"331",IF(AND(OR(L2238="131",M2238="131"),H2238='131-CT'!$E$7),"131",""))</f>
        <v/>
      </c>
      <c r="O2238" s="525" t="str">
        <f>IF(AND($B2238&gt;='111'!$N$11,$B2238&lt;='111'!$O$11,OR($L2238=$O$7,$M2238=$O$7)),"x","")</f>
        <v/>
      </c>
      <c r="P2238" s="525" t="str">
        <f>IF(AND($L2238=$O$7,$B2238&lt;'111'!$N$11),"x","")</f>
        <v/>
      </c>
      <c r="Q2238" s="525" t="str">
        <f>IF(AND($M2238=$O$7,$B2238&lt;'111'!$N$11),"x","")</f>
        <v/>
      </c>
      <c r="R2238" s="525" t="str">
        <f>IF(ISERROR(FIND('112'!$M$9,G2238,1)),"",IF((AND(FIND('112'!$M$9,G2238,1)&gt;=1,$B2238&gt;='112'!$N$8,$B2238&lt;='112'!$O$8,OR($L2238='112'!$I$6,$M2238='112'!$I$6))),"x",""))</f>
        <v/>
      </c>
      <c r="S2238" s="525" t="str">
        <f>IF(ISERROR(FIND('112'!$M$9,G2238,1)),"",IF((AND(LEFT(G2238,2)=LEFT('112'!$M$9,2),B2238&lt;'112'!$N$8,$L2238='112'!$I$6)),"x",""))</f>
        <v/>
      </c>
      <c r="T2238" s="525" t="str">
        <f>IF(ISERROR(FIND('112'!$M$9,G2238,1)),"",IF((AND(RIGHT(G2238,2)=RIGHT('112'!$M$9,2),B2238&lt;'112'!$N$8,$M2238='112'!$I$6)),"x",""))</f>
        <v/>
      </c>
      <c r="U2238" s="525" t="str">
        <f>IF(AND(B2238&gt;='IN-NX'!$P$3,B2238&lt;='IN-NX'!$Q$3,'IN-NX'!$D$7=D2238,OR(LEFT(L2238,2)="15",AND(LEFT(M2238,2)&lt;&gt;"15",LEFT(M2238,2)&lt;&gt;"33"))),"x","")</f>
        <v/>
      </c>
      <c r="V2238" s="525" t="str">
        <f>IF(AND(OR(LEFT(TH!L2238,2)="15",LEFT(TH!M2238,2)="15"),'152-CT'!$J$8=TH!F2238),"x","")</f>
        <v/>
      </c>
      <c r="W2238" s="525" t="str">
        <f>IF(AND(OR(LEFT(TH!L2238,2)="15",LEFT(TH!M2238,2)="15"),TK!$E$7=TH!F2238),"x","")</f>
        <v/>
      </c>
      <c r="X2238" s="525" t="str">
        <f>IF(AND('341-CT'!$E$9=H2238,OR(LEFT(L2238,3)=$X$7,LEFT(M2238,3)=$X$7)),"x","")</f>
        <v/>
      </c>
      <c r="Y2238" s="525" t="str">
        <f>IF(OR(TH!L2238=TH!$Y$7,M2238=TH!$Y$7),"x","")</f>
        <v/>
      </c>
      <c r="Z2238" s="525" t="str">
        <f>IF(AND(B2238&lt;=NKC!$N$8,B2238&gt;=NKC!$M$8),"x","")</f>
        <v/>
      </c>
      <c r="AA2238" s="535"/>
      <c r="AB2238" s="536"/>
    </row>
    <row r="2239" spans="1:34" s="503" customFormat="1" ht="15.75" customHeight="1">
      <c r="A2239" s="517" t="str">
        <f>IF(B2239&lt;&gt;"",IF(AND(B2239&gt;=_TM1,B2239&lt;=_TM2,OR(TH!L2239="1111",TH!M2239="1111")),TH!D2239,""),"")</f>
        <v/>
      </c>
      <c r="B2239" s="531">
        <f t="shared" si="202"/>
        <v>4</v>
      </c>
      <c r="C2239" s="315">
        <f t="shared" si="203"/>
        <v>42846</v>
      </c>
      <c r="D2239" s="315" t="s">
        <v>905</v>
      </c>
      <c r="E2239" s="315">
        <v>42846</v>
      </c>
      <c r="F2239" s="249" t="s">
        <v>1039</v>
      </c>
      <c r="G2239" s="314" t="s">
        <v>1110</v>
      </c>
      <c r="H2239" s="473" t="s">
        <v>1111</v>
      </c>
      <c r="I2239" s="307">
        <v>200</v>
      </c>
      <c r="J2239" s="307">
        <v>19100</v>
      </c>
      <c r="K2239" s="532">
        <f>ROUND(I2239*J2239,0)</f>
        <v>3820000</v>
      </c>
      <c r="L2239" s="534" t="s">
        <v>223</v>
      </c>
      <c r="M2239" s="534" t="s">
        <v>162</v>
      </c>
      <c r="N2239" s="525" t="str">
        <f>IF(AND('331-CT'!$E$7=TH!H2239,OR(L2239="331",M2239="331")),"331",IF(AND(OR(L2239="131",M2239="131"),H2239='131-CT'!$E$7),"131",""))</f>
        <v/>
      </c>
      <c r="O2239" s="525" t="str">
        <f>IF(AND($B2239&gt;='111'!$N$11,$B2239&lt;='111'!$O$11,OR($L2239=$O$7,$M2239=$O$7)),"x","")</f>
        <v/>
      </c>
      <c r="P2239" s="525" t="str">
        <f>IF(AND($L2239=$O$7,$B2239&lt;'111'!$N$11),"x","")</f>
        <v/>
      </c>
      <c r="Q2239" s="525" t="str">
        <f>IF(AND($M2239=$O$7,$B2239&lt;'111'!$N$11),"x","")</f>
        <v/>
      </c>
      <c r="R2239" s="525" t="str">
        <f>IF(ISERROR(FIND('112'!$M$9,G2239,1)),"",IF((AND(FIND('112'!$M$9,G2239,1)&gt;=1,$B2239&gt;='112'!$N$8,$B2239&lt;='112'!$O$8,OR($L2239='112'!$I$6,$M2239='112'!$I$6))),"x",""))</f>
        <v/>
      </c>
      <c r="S2239" s="525" t="str">
        <f>IF(ISERROR(FIND('112'!$M$9,G2239,1)),"",IF((AND(LEFT(G2239,2)=LEFT('112'!$M$9,2),B2239&lt;'112'!$N$8,$L2239='112'!$I$6)),"x",""))</f>
        <v/>
      </c>
      <c r="T2239" s="525" t="str">
        <f>IF(ISERROR(FIND('112'!$M$9,G2239,1)),"",IF((AND(RIGHT(G2239,2)=RIGHT('112'!$M$9,2),B2239&lt;'112'!$N$8,$M2239='112'!$I$6)),"x",""))</f>
        <v/>
      </c>
      <c r="U2239" s="525" t="str">
        <f>IF(AND(B2239&gt;='IN-NX'!$P$3,B2239&lt;='IN-NX'!$Q$3,'IN-NX'!$D$7=D2239,OR(LEFT(L2239,2)="15",AND(LEFT(M2239,2)&lt;&gt;"15",LEFT(M2239,2)&lt;&gt;"33"))),"x","")</f>
        <v/>
      </c>
      <c r="V2239" s="525" t="str">
        <f>IF(AND(OR(LEFT(TH!L2239,2)="15",LEFT(TH!M2239,2)="15"),'152-CT'!$J$8=TH!F2239),"x","")</f>
        <v/>
      </c>
      <c r="W2239" s="525" t="str">
        <f>IF(AND(OR(LEFT(TH!L2239,2)="15",LEFT(TH!M2239,2)="15"),TK!$E$7=TH!F2239),"x","")</f>
        <v/>
      </c>
      <c r="X2239" s="525" t="str">
        <f>IF(AND('341-CT'!$E$9=H2239,OR(LEFT(L2239,3)=$X$7,LEFT(M2239,3)=$X$7)),"x","")</f>
        <v/>
      </c>
      <c r="Y2239" s="525" t="str">
        <f>IF(OR(TH!L2239=TH!$Y$7,M2239=TH!$Y$7),"x","")</f>
        <v/>
      </c>
      <c r="Z2239" s="525" t="str">
        <f>IF(AND(B2239&lt;=NKC!$N$8,B2239&gt;=NKC!$M$8),"x","")</f>
        <v/>
      </c>
      <c r="AA2239" s="535"/>
      <c r="AB2239" s="536"/>
    </row>
    <row r="2240" spans="1:34" s="503" customFormat="1" ht="15.75" customHeight="1">
      <c r="A2240" s="517" t="str">
        <f>IF(B2240&lt;&gt;"",IF(AND(B2240&gt;=_TM1,B2240&lt;=_TM2,OR(TH!L2240="1111",TH!M2240="1111")),TH!D2240,""),"")</f>
        <v/>
      </c>
      <c r="B2240" s="531">
        <f t="shared" si="202"/>
        <v>4</v>
      </c>
      <c r="C2240" s="315">
        <f t="shared" si="203"/>
        <v>42846</v>
      </c>
      <c r="D2240" s="315" t="s">
        <v>905</v>
      </c>
      <c r="E2240" s="315">
        <v>42846</v>
      </c>
      <c r="F2240" s="249" t="s">
        <v>494</v>
      </c>
      <c r="G2240" s="314" t="s">
        <v>1110</v>
      </c>
      <c r="H2240" s="473" t="s">
        <v>1111</v>
      </c>
      <c r="I2240" s="307"/>
      <c r="J2240" s="307"/>
      <c r="K2240" s="532">
        <v>886000</v>
      </c>
      <c r="L2240" s="534" t="s">
        <v>223</v>
      </c>
      <c r="M2240" s="534" t="s">
        <v>259</v>
      </c>
      <c r="N2240" s="525" t="str">
        <f>IF(AND('331-CT'!$E$7=TH!H2240,OR(L2240="331",M2240="331")),"331",IF(AND(OR(L2240="131",M2240="131"),H2240='131-CT'!$E$7),"131",""))</f>
        <v/>
      </c>
      <c r="O2240" s="525" t="str">
        <f>IF(AND($B2240&gt;='111'!$N$11,$B2240&lt;='111'!$O$11,OR($L2240=$O$7,$M2240=$O$7)),"x","")</f>
        <v/>
      </c>
      <c r="P2240" s="525" t="str">
        <f>IF(AND($L2240=$O$7,$B2240&lt;'111'!$N$11),"x","")</f>
        <v/>
      </c>
      <c r="Q2240" s="525" t="str">
        <f>IF(AND($M2240=$O$7,$B2240&lt;'111'!$N$11),"x","")</f>
        <v/>
      </c>
      <c r="R2240" s="525" t="str">
        <f>IF(ISERROR(FIND('112'!$M$9,G2240,1)),"",IF((AND(FIND('112'!$M$9,G2240,1)&gt;=1,$B2240&gt;='112'!$N$8,$B2240&lt;='112'!$O$8,OR($L2240='112'!$I$6,$M2240='112'!$I$6))),"x",""))</f>
        <v/>
      </c>
      <c r="S2240" s="525" t="str">
        <f>IF(ISERROR(FIND('112'!$M$9,G2240,1)),"",IF((AND(LEFT(G2240,2)=LEFT('112'!$M$9,2),B2240&lt;'112'!$N$8,$L2240='112'!$I$6)),"x",""))</f>
        <v/>
      </c>
      <c r="T2240" s="525" t="str">
        <f>IF(ISERROR(FIND('112'!$M$9,G2240,1)),"",IF((AND(RIGHT(G2240,2)=RIGHT('112'!$M$9,2),B2240&lt;'112'!$N$8,$M2240='112'!$I$6)),"x",""))</f>
        <v/>
      </c>
      <c r="U2240" s="525" t="str">
        <f>IF(AND(B2240&gt;='IN-NX'!$P$3,B2240&lt;='IN-NX'!$Q$3,'IN-NX'!$D$7=D2240,OR(LEFT(L2240,2)="15",AND(LEFT(M2240,2)&lt;&gt;"15",LEFT(M2240,2)&lt;&gt;"33"))),"x","")</f>
        <v/>
      </c>
      <c r="V2240" s="525" t="str">
        <f>IF(AND(OR(LEFT(TH!L2240,2)="15",LEFT(TH!M2240,2)="15"),'152-CT'!$J$8=TH!F2240),"x","")</f>
        <v/>
      </c>
      <c r="W2240" s="525" t="str">
        <f>IF(AND(OR(LEFT(TH!L2240,2)="15",LEFT(TH!M2240,2)="15"),TK!$E$7=TH!F2240),"x","")</f>
        <v/>
      </c>
      <c r="X2240" s="525" t="str">
        <f>IF(AND('341-CT'!$E$9=H2240,OR(LEFT(L2240,3)=$X$7,LEFT(M2240,3)=$X$7)),"x","")</f>
        <v/>
      </c>
      <c r="Y2240" s="525" t="str">
        <f>IF(OR(TH!L2240=TH!$Y$7,M2240=TH!$Y$7),"x","")</f>
        <v/>
      </c>
      <c r="Z2240" s="525" t="str">
        <f>IF(AND(B2240&lt;=NKC!$N$8,B2240&gt;=NKC!$M$8),"x","")</f>
        <v/>
      </c>
      <c r="AA2240" s="535"/>
      <c r="AB2240" s="536"/>
    </row>
    <row r="2241" spans="1:34" s="503" customFormat="1" ht="15.75" customHeight="1">
      <c r="A2241" s="517" t="str">
        <f>IF(B2241&lt;&gt;"",IF(AND(B2241&gt;=_TM1,B2241&lt;=_TM2,OR(TH!L2241="1111",TH!M2241="1111")),TH!D2241,""),"")</f>
        <v/>
      </c>
      <c r="B2241" s="531">
        <f t="shared" si="202"/>
        <v>4</v>
      </c>
      <c r="C2241" s="315">
        <f t="shared" si="203"/>
        <v>42846</v>
      </c>
      <c r="D2241" s="315" t="s">
        <v>906</v>
      </c>
      <c r="E2241" s="315">
        <v>42846</v>
      </c>
      <c r="F2241" s="249" t="s">
        <v>503</v>
      </c>
      <c r="G2241" s="314" t="s">
        <v>1112</v>
      </c>
      <c r="H2241" s="473" t="s">
        <v>375</v>
      </c>
      <c r="I2241" s="307">
        <v>1500</v>
      </c>
      <c r="J2241" s="307">
        <v>8500</v>
      </c>
      <c r="K2241" s="532">
        <f>ROUND(I2241*J2241,0)</f>
        <v>12750000</v>
      </c>
      <c r="L2241" s="534" t="s">
        <v>223</v>
      </c>
      <c r="M2241" s="534" t="s">
        <v>162</v>
      </c>
      <c r="N2241" s="525" t="str">
        <f>IF(AND('331-CT'!$E$7=TH!H2241,OR(L2241="331",M2241="331")),"331",IF(AND(OR(L2241="131",M2241="131"),H2241='131-CT'!$E$7),"131",""))</f>
        <v/>
      </c>
      <c r="O2241" s="525" t="str">
        <f>IF(AND($B2241&gt;='111'!$N$11,$B2241&lt;='111'!$O$11,OR($L2241=$O$7,$M2241=$O$7)),"x","")</f>
        <v/>
      </c>
      <c r="P2241" s="525" t="str">
        <f>IF(AND($L2241=$O$7,$B2241&lt;'111'!$N$11),"x","")</f>
        <v/>
      </c>
      <c r="Q2241" s="525" t="str">
        <f>IF(AND($M2241=$O$7,$B2241&lt;'111'!$N$11),"x","")</f>
        <v/>
      </c>
      <c r="R2241" s="525" t="str">
        <f>IF(ISERROR(FIND('112'!$M$9,G2241,1)),"",IF((AND(FIND('112'!$M$9,G2241,1)&gt;=1,$B2241&gt;='112'!$N$8,$B2241&lt;='112'!$O$8,OR($L2241='112'!$I$6,$M2241='112'!$I$6))),"x",""))</f>
        <v/>
      </c>
      <c r="S2241" s="525" t="str">
        <f>IF(ISERROR(FIND('112'!$M$9,G2241,1)),"",IF((AND(LEFT(G2241,2)=LEFT('112'!$M$9,2),B2241&lt;'112'!$N$8,$L2241='112'!$I$6)),"x",""))</f>
        <v/>
      </c>
      <c r="T2241" s="525" t="str">
        <f>IF(ISERROR(FIND('112'!$M$9,G2241,1)),"",IF((AND(RIGHT(G2241,2)=RIGHT('112'!$M$9,2),B2241&lt;'112'!$N$8,$M2241='112'!$I$6)),"x",""))</f>
        <v/>
      </c>
      <c r="U2241" s="525" t="str">
        <f>IF(AND(B2241&gt;='IN-NX'!$P$3,B2241&lt;='IN-NX'!$Q$3,'IN-NX'!$D$7=D2241,OR(LEFT(L2241,2)="15",AND(LEFT(M2241,2)&lt;&gt;"15",LEFT(M2241,2)&lt;&gt;"33"))),"x","")</f>
        <v/>
      </c>
      <c r="V2241" s="525" t="str">
        <f>IF(AND(OR(LEFT(TH!L2241,2)="15",LEFT(TH!M2241,2)="15"),'152-CT'!$J$8=TH!F2241),"x","")</f>
        <v/>
      </c>
      <c r="W2241" s="525" t="str">
        <f>IF(AND(OR(LEFT(TH!L2241,2)="15",LEFT(TH!M2241,2)="15"),TK!$E$7=TH!F2241),"x","")</f>
        <v/>
      </c>
      <c r="X2241" s="525" t="str">
        <f>IF(AND('341-CT'!$E$9=H2241,OR(LEFT(L2241,3)=$X$7,LEFT(M2241,3)=$X$7)),"x","")</f>
        <v/>
      </c>
      <c r="Y2241" s="525" t="str">
        <f>IF(OR(TH!L2241=TH!$Y$7,M2241=TH!$Y$7),"x","")</f>
        <v/>
      </c>
      <c r="Z2241" s="525" t="str">
        <f>IF(AND(B2241&lt;=NKC!$N$8,B2241&gt;=NKC!$M$8),"x","")</f>
        <v/>
      </c>
      <c r="AA2241" s="535"/>
      <c r="AB2241" s="536"/>
    </row>
    <row r="2242" spans="1:34" s="503" customFormat="1" ht="15.75" customHeight="1">
      <c r="A2242" s="517" t="str">
        <f>IF(B2242&lt;&gt;"",IF(AND(B2242&gt;=_TM1,B2242&lt;=_TM2,OR(TH!L2242="1111",TH!M2242="1111")),TH!D2242,""),"")</f>
        <v/>
      </c>
      <c r="B2242" s="531">
        <f t="shared" si="202"/>
        <v>4</v>
      </c>
      <c r="C2242" s="315">
        <f t="shared" si="203"/>
        <v>42846</v>
      </c>
      <c r="D2242" s="315" t="s">
        <v>906</v>
      </c>
      <c r="E2242" s="315">
        <v>42846</v>
      </c>
      <c r="F2242" s="249" t="s">
        <v>501</v>
      </c>
      <c r="G2242" s="314" t="s">
        <v>1112</v>
      </c>
      <c r="H2242" s="473" t="s">
        <v>375</v>
      </c>
      <c r="I2242" s="307"/>
      <c r="J2242" s="307"/>
      <c r="K2242" s="532">
        <v>1275000</v>
      </c>
      <c r="L2242" s="534" t="s">
        <v>223</v>
      </c>
      <c r="M2242" s="534" t="s">
        <v>259</v>
      </c>
      <c r="N2242" s="525" t="str">
        <f>IF(AND('331-CT'!$E$7=TH!H2242,OR(L2242="331",M2242="331")),"331",IF(AND(OR(L2242="131",M2242="131"),H2242='131-CT'!$E$7),"131",""))</f>
        <v/>
      </c>
      <c r="O2242" s="525" t="str">
        <f>IF(AND($B2242&gt;='111'!$N$11,$B2242&lt;='111'!$O$11,OR($L2242=$O$7,$M2242=$O$7)),"x","")</f>
        <v/>
      </c>
      <c r="P2242" s="525" t="str">
        <f>IF(AND($L2242=$O$7,$B2242&lt;'111'!$N$11),"x","")</f>
        <v/>
      </c>
      <c r="Q2242" s="525" t="str">
        <f>IF(AND($M2242=$O$7,$B2242&lt;'111'!$N$11),"x","")</f>
        <v/>
      </c>
      <c r="R2242" s="525" t="str">
        <f>IF(ISERROR(FIND('112'!$M$9,G2242,1)),"",IF((AND(FIND('112'!$M$9,G2242,1)&gt;=1,$B2242&gt;='112'!$N$8,$B2242&lt;='112'!$O$8,OR($L2242='112'!$I$6,$M2242='112'!$I$6))),"x",""))</f>
        <v/>
      </c>
      <c r="S2242" s="525" t="str">
        <f>IF(ISERROR(FIND('112'!$M$9,G2242,1)),"",IF((AND(LEFT(G2242,2)=LEFT('112'!$M$9,2),B2242&lt;'112'!$N$8,$L2242='112'!$I$6)),"x",""))</f>
        <v/>
      </c>
      <c r="T2242" s="525" t="str">
        <f>IF(ISERROR(FIND('112'!$M$9,G2242,1)),"",IF((AND(RIGHT(G2242,2)=RIGHT('112'!$M$9,2),B2242&lt;'112'!$N$8,$M2242='112'!$I$6)),"x",""))</f>
        <v/>
      </c>
      <c r="U2242" s="525" t="str">
        <f>IF(AND(B2242&gt;='IN-NX'!$P$3,B2242&lt;='IN-NX'!$Q$3,'IN-NX'!$D$7=D2242,OR(LEFT(L2242,2)="15",AND(LEFT(M2242,2)&lt;&gt;"15",LEFT(M2242,2)&lt;&gt;"33"))),"x","")</f>
        <v/>
      </c>
      <c r="V2242" s="525" t="str">
        <f>IF(AND(OR(LEFT(TH!L2242,2)="15",LEFT(TH!M2242,2)="15"),'152-CT'!$J$8=TH!F2242),"x","")</f>
        <v/>
      </c>
      <c r="W2242" s="525" t="str">
        <f>IF(AND(OR(LEFT(TH!L2242,2)="15",LEFT(TH!M2242,2)="15"),TK!$E$7=TH!F2242),"x","")</f>
        <v/>
      </c>
      <c r="X2242" s="525" t="str">
        <f>IF(AND('341-CT'!$E$9=H2242,OR(LEFT(L2242,3)=$X$7,LEFT(M2242,3)=$X$7)),"x","")</f>
        <v/>
      </c>
      <c r="Y2242" s="525" t="str">
        <f>IF(OR(TH!L2242=TH!$Y$7,M2242=TH!$Y$7),"x","")</f>
        <v/>
      </c>
      <c r="Z2242" s="525" t="str">
        <f>IF(AND(B2242&lt;=NKC!$N$8,B2242&gt;=NKC!$M$8),"x","")</f>
        <v/>
      </c>
      <c r="AA2242" s="535"/>
      <c r="AB2242" s="536"/>
    </row>
    <row r="2243" spans="1:34" s="503" customFormat="1" ht="15.75" customHeight="1">
      <c r="A2243" s="517" t="str">
        <f>IF(B2243&lt;&gt;"",IF(AND(B2243&gt;=_TM1,B2243&lt;=_TM2,OR(TH!L2243="1111",TH!M2243="1111")),TH!D2243,""),"")</f>
        <v/>
      </c>
      <c r="B2243" s="531">
        <f t="shared" si="202"/>
        <v>4</v>
      </c>
      <c r="C2243" s="315">
        <f t="shared" si="203"/>
        <v>42849</v>
      </c>
      <c r="D2243" s="315" t="s">
        <v>985</v>
      </c>
      <c r="E2243" s="544">
        <v>42849</v>
      </c>
      <c r="F2243" s="249" t="s">
        <v>1082</v>
      </c>
      <c r="G2243" s="314" t="s">
        <v>1081</v>
      </c>
      <c r="H2243" s="473" t="s">
        <v>271</v>
      </c>
      <c r="I2243" s="307">
        <v>24</v>
      </c>
      <c r="J2243" s="307">
        <v>36163</v>
      </c>
      <c r="K2243" s="532">
        <f>ROUND(I2243*J2243,0)</f>
        <v>867912</v>
      </c>
      <c r="L2243" s="534" t="s">
        <v>292</v>
      </c>
      <c r="M2243" s="534" t="s">
        <v>8</v>
      </c>
      <c r="N2243" s="525" t="str">
        <f>IF(AND('331-CT'!$E$7=TH!H2243,OR(L2243="331",M2243="331")),"331",IF(AND(OR(L2243="131",M2243="131"),H2243='131-CT'!$E$7),"131",""))</f>
        <v>331</v>
      </c>
      <c r="O2243" s="525" t="str">
        <f>IF(AND($B2243&gt;='111'!$N$11,$B2243&lt;='111'!$O$11,OR($L2243=$O$7,$M2243=$O$7)),"x","")</f>
        <v/>
      </c>
      <c r="P2243" s="525" t="str">
        <f>IF(AND($L2243=$O$7,$B2243&lt;'111'!$N$11),"x","")</f>
        <v/>
      </c>
      <c r="Q2243" s="525" t="str">
        <f>IF(AND($M2243=$O$7,$B2243&lt;'111'!$N$11),"x","")</f>
        <v/>
      </c>
      <c r="R2243" s="525" t="str">
        <f>IF(ISERROR(FIND('112'!$M$9,G2243,1)),"",IF((AND(FIND('112'!$M$9,G2243,1)&gt;=1,$B2243&gt;='112'!$N$8,$B2243&lt;='112'!$O$8,OR($L2243='112'!$I$6,$M2243='112'!$I$6))),"x",""))</f>
        <v/>
      </c>
      <c r="S2243" s="525" t="str">
        <f>IF(ISERROR(FIND('112'!$M$9,G2243,1)),"",IF((AND(LEFT(G2243,2)=LEFT('112'!$M$9,2),B2243&lt;'112'!$N$8,$L2243='112'!$I$6)),"x",""))</f>
        <v/>
      </c>
      <c r="T2243" s="525" t="str">
        <f>IF(ISERROR(FIND('112'!$M$9,G2243,1)),"",IF((AND(RIGHT(G2243,2)=RIGHT('112'!$M$9,2),B2243&lt;'112'!$N$8,$M2243='112'!$I$6)),"x",""))</f>
        <v/>
      </c>
      <c r="U2243" s="525" t="str">
        <f>IF(AND(B2243&gt;='IN-NX'!$P$3,B2243&lt;='IN-NX'!$Q$3,'IN-NX'!$D$7=D2243,OR(LEFT(L2243,2)="15",AND(LEFT(M2243,2)&lt;&gt;"15",LEFT(M2243,2)&lt;&gt;"33"))),"x","")</f>
        <v/>
      </c>
      <c r="V2243" s="525" t="str">
        <f>IF(AND(OR(LEFT(TH!L2243,2)="15",LEFT(TH!M2243,2)="15"),'152-CT'!$J$8=TH!F2243),"x","")</f>
        <v/>
      </c>
      <c r="W2243" s="525" t="str">
        <f>IF(AND(OR(LEFT(TH!L2243,2)="15",LEFT(TH!M2243,2)="15"),TK!$E$7=TH!F2243),"x","")</f>
        <v/>
      </c>
      <c r="X2243" s="525" t="str">
        <f>IF(AND('341-CT'!$E$9=H2243,OR(LEFT(L2243,3)=$X$7,LEFT(M2243,3)=$X$7)),"x","")</f>
        <v/>
      </c>
      <c r="Y2243" s="525" t="str">
        <f>IF(OR(TH!L2243=TH!$Y$7,M2243=TH!$Y$7),"x","")</f>
        <v/>
      </c>
      <c r="Z2243" s="525" t="str">
        <f>IF(AND(B2243&lt;=NKC!$N$8,B2243&gt;=NKC!$M$8),"x","")</f>
        <v/>
      </c>
      <c r="AA2243" s="535">
        <v>2</v>
      </c>
      <c r="AB2243" s="536"/>
    </row>
    <row r="2244" spans="1:34" s="503" customFormat="1" ht="15.75" customHeight="1">
      <c r="A2244" s="517" t="str">
        <f>IF(B2244&lt;&gt;"",IF(AND(B2244&gt;=_TM1,B2244&lt;=_TM2,OR(TH!L2244="1111",TH!M2244="1111")),TH!D2244,""),"")</f>
        <v/>
      </c>
      <c r="B2244" s="531">
        <f t="shared" si="202"/>
        <v>4</v>
      </c>
      <c r="C2244" s="315">
        <f t="shared" si="203"/>
        <v>42849</v>
      </c>
      <c r="D2244" s="315" t="s">
        <v>985</v>
      </c>
      <c r="E2244" s="544">
        <v>42849</v>
      </c>
      <c r="F2244" s="249" t="s">
        <v>1083</v>
      </c>
      <c r="G2244" s="314" t="s">
        <v>1081</v>
      </c>
      <c r="H2244" s="473" t="s">
        <v>271</v>
      </c>
      <c r="I2244" s="307">
        <v>335</v>
      </c>
      <c r="J2244" s="307">
        <v>15045</v>
      </c>
      <c r="K2244" s="532">
        <f>ROUND(I2244*J2244,0)</f>
        <v>5040075</v>
      </c>
      <c r="L2244" s="534" t="s">
        <v>292</v>
      </c>
      <c r="M2244" s="534" t="s">
        <v>8</v>
      </c>
      <c r="N2244" s="525" t="str">
        <f>IF(AND('331-CT'!$E$7=TH!H2244,OR(L2244="331",M2244="331")),"331",IF(AND(OR(L2244="131",M2244="131"),H2244='131-CT'!$E$7),"131",""))</f>
        <v>331</v>
      </c>
      <c r="O2244" s="525" t="str">
        <f>IF(AND($B2244&gt;='111'!$N$11,$B2244&lt;='111'!$O$11,OR($L2244=$O$7,$M2244=$O$7)),"x","")</f>
        <v/>
      </c>
      <c r="P2244" s="525" t="str">
        <f>IF(AND($L2244=$O$7,$B2244&lt;'111'!$N$11),"x","")</f>
        <v/>
      </c>
      <c r="Q2244" s="525" t="str">
        <f>IF(AND($M2244=$O$7,$B2244&lt;'111'!$N$11),"x","")</f>
        <v/>
      </c>
      <c r="R2244" s="525" t="str">
        <f>IF(ISERROR(FIND('112'!$M$9,G2244,1)),"",IF((AND(FIND('112'!$M$9,G2244,1)&gt;=1,$B2244&gt;='112'!$N$8,$B2244&lt;='112'!$O$8,OR($L2244='112'!$I$6,$M2244='112'!$I$6))),"x",""))</f>
        <v/>
      </c>
      <c r="S2244" s="525" t="str">
        <f>IF(ISERROR(FIND('112'!$M$9,G2244,1)),"",IF((AND(LEFT(G2244,2)=LEFT('112'!$M$9,2),B2244&lt;'112'!$N$8,$L2244='112'!$I$6)),"x",""))</f>
        <v/>
      </c>
      <c r="T2244" s="525" t="str">
        <f>IF(ISERROR(FIND('112'!$M$9,G2244,1)),"",IF((AND(RIGHT(G2244,2)=RIGHT('112'!$M$9,2),B2244&lt;'112'!$N$8,$M2244='112'!$I$6)),"x",""))</f>
        <v/>
      </c>
      <c r="U2244" s="525" t="str">
        <f>IF(AND(B2244&gt;='IN-NX'!$P$3,B2244&lt;='IN-NX'!$Q$3,'IN-NX'!$D$7=D2244,OR(LEFT(L2244,2)="15",AND(LEFT(M2244,2)&lt;&gt;"15",LEFT(M2244,2)&lt;&gt;"33"))),"x","")</f>
        <v/>
      </c>
      <c r="V2244" s="525" t="str">
        <f>IF(AND(OR(LEFT(TH!L2244,2)="15",LEFT(TH!M2244,2)="15"),'152-CT'!$J$8=TH!F2244),"x","")</f>
        <v/>
      </c>
      <c r="W2244" s="525" t="str">
        <f>IF(AND(OR(LEFT(TH!L2244,2)="15",LEFT(TH!M2244,2)="15"),TK!$E$7=TH!F2244),"x","")</f>
        <v/>
      </c>
      <c r="X2244" s="525" t="str">
        <f>IF(AND('341-CT'!$E$9=H2244,OR(LEFT(L2244,3)=$X$7,LEFT(M2244,3)=$X$7)),"x","")</f>
        <v/>
      </c>
      <c r="Y2244" s="525" t="str">
        <f>IF(OR(TH!L2244=TH!$Y$7,M2244=TH!$Y$7),"x","")</f>
        <v/>
      </c>
      <c r="Z2244" s="525" t="str">
        <f>IF(AND(B2244&lt;=NKC!$N$8,B2244&gt;=NKC!$M$8),"x","")</f>
        <v/>
      </c>
      <c r="AA2244" s="535">
        <v>2</v>
      </c>
      <c r="AB2244" s="536"/>
    </row>
    <row r="2245" spans="1:34" s="503" customFormat="1" ht="15.75" customHeight="1">
      <c r="A2245" s="517" t="str">
        <f>IF(B2245&lt;&gt;"",IF(AND(B2245&gt;=_TM1,B2245&lt;=_TM2,OR(TH!L2245="1111",TH!M2245="1111")),TH!D2245,""),"")</f>
        <v/>
      </c>
      <c r="B2245" s="531">
        <f t="shared" si="202"/>
        <v>4</v>
      </c>
      <c r="C2245" s="315">
        <f t="shared" si="203"/>
        <v>42849</v>
      </c>
      <c r="D2245" s="315" t="s">
        <v>985</v>
      </c>
      <c r="E2245" s="544">
        <v>42849</v>
      </c>
      <c r="F2245" s="249" t="s">
        <v>526</v>
      </c>
      <c r="G2245" s="314" t="s">
        <v>1081</v>
      </c>
      <c r="H2245" s="473" t="s">
        <v>271</v>
      </c>
      <c r="I2245" s="307"/>
      <c r="J2245" s="307"/>
      <c r="K2245" s="532">
        <v>590799</v>
      </c>
      <c r="L2245" s="713" t="s">
        <v>9</v>
      </c>
      <c r="M2245" s="534" t="s">
        <v>8</v>
      </c>
      <c r="N2245" s="525" t="str">
        <f>IF(AND('331-CT'!$E$7=TH!H2245,OR(L2245="331",M2245="331")),"331",IF(AND(OR(L2245="131",M2245="131"),H2245='131-CT'!$E$7),"131",""))</f>
        <v>331</v>
      </c>
      <c r="O2245" s="525" t="str">
        <f>IF(AND($B2245&gt;='111'!$N$11,$B2245&lt;='111'!$O$11,OR($L2245=$O$7,$M2245=$O$7)),"x","")</f>
        <v/>
      </c>
      <c r="P2245" s="525" t="str">
        <f>IF(AND($L2245=$O$7,$B2245&lt;'111'!$N$11),"x","")</f>
        <v/>
      </c>
      <c r="Q2245" s="525" t="str">
        <f>IF(AND($M2245=$O$7,$B2245&lt;'111'!$N$11),"x","")</f>
        <v/>
      </c>
      <c r="R2245" s="525" t="str">
        <f>IF(ISERROR(FIND('112'!$M$9,G2245,1)),"",IF((AND(FIND('112'!$M$9,G2245,1)&gt;=1,$B2245&gt;='112'!$N$8,$B2245&lt;='112'!$O$8,OR($L2245='112'!$I$6,$M2245='112'!$I$6))),"x",""))</f>
        <v/>
      </c>
      <c r="S2245" s="525" t="str">
        <f>IF(ISERROR(FIND('112'!$M$9,G2245,1)),"",IF((AND(LEFT(G2245,2)=LEFT('112'!$M$9,2),B2245&lt;'112'!$N$8,$L2245='112'!$I$6)),"x",""))</f>
        <v/>
      </c>
      <c r="T2245" s="525" t="str">
        <f>IF(ISERROR(FIND('112'!$M$9,G2245,1)),"",IF((AND(RIGHT(G2245,2)=RIGHT('112'!$M$9,2),B2245&lt;'112'!$N$8,$M2245='112'!$I$6)),"x",""))</f>
        <v/>
      </c>
      <c r="U2245" s="525" t="str">
        <f>IF(AND(B2245&gt;='IN-NX'!$P$3,B2245&lt;='IN-NX'!$Q$3,'IN-NX'!$D$7=D2245,OR(LEFT(L2245,2)="15",AND(LEFT(M2245,2)&lt;&gt;"15",LEFT(M2245,2)&lt;&gt;"33"))),"x","")</f>
        <v/>
      </c>
      <c r="V2245" s="525" t="str">
        <f>IF(AND(OR(LEFT(TH!L2245,2)="15",LEFT(TH!M2245,2)="15"),'152-CT'!$J$8=TH!F2245),"x","")</f>
        <v/>
      </c>
      <c r="W2245" s="525" t="str">
        <f>IF(AND(OR(LEFT(TH!L2245,2)="15",LEFT(TH!M2245,2)="15"),TK!$E$7=TH!F2245),"x","")</f>
        <v/>
      </c>
      <c r="X2245" s="525" t="str">
        <f>IF(AND('341-CT'!$E$9=H2245,OR(LEFT(L2245,3)=$X$7,LEFT(M2245,3)=$X$7)),"x","")</f>
        <v/>
      </c>
      <c r="Y2245" s="525" t="str">
        <f>IF(OR(TH!L2245=TH!$Y$7,M2245=TH!$Y$7),"x","")</f>
        <v/>
      </c>
      <c r="Z2245" s="525" t="str">
        <f>IF(AND(B2245&lt;=NKC!$N$8,B2245&gt;=NKC!$M$8),"x","")</f>
        <v/>
      </c>
      <c r="AA2245" s="535">
        <v>2</v>
      </c>
      <c r="AB2245" s="536"/>
    </row>
    <row r="2246" spans="1:34" s="503" customFormat="1" ht="15.75" customHeight="1">
      <c r="A2246" s="517" t="str">
        <f>IF(B2246&lt;&gt;"",IF(AND(B2246&gt;=_TM1,B2246&lt;=_TM2,OR(TH!L2246="1111",TH!M2246="1111")),TH!D2246,""),"")</f>
        <v/>
      </c>
      <c r="B2246" s="531">
        <f t="shared" si="202"/>
        <v>4</v>
      </c>
      <c r="C2246" s="315">
        <f t="shared" si="203"/>
        <v>42850</v>
      </c>
      <c r="D2246" s="315" t="s">
        <v>986</v>
      </c>
      <c r="E2246" s="315">
        <v>42850</v>
      </c>
      <c r="F2246" s="249" t="s">
        <v>274</v>
      </c>
      <c r="G2246" s="314" t="s">
        <v>1070</v>
      </c>
      <c r="H2246" s="473" t="s">
        <v>447</v>
      </c>
      <c r="I2246" s="307">
        <v>787</v>
      </c>
      <c r="J2246" s="307">
        <v>11221</v>
      </c>
      <c r="K2246" s="532">
        <f t="shared" ref="K2246:K2277" si="207">ROUND(I2246*J2246,0)</f>
        <v>8830927</v>
      </c>
      <c r="L2246" s="534" t="s">
        <v>292</v>
      </c>
      <c r="M2246" s="534" t="s">
        <v>8</v>
      </c>
      <c r="N2246" s="525" t="str">
        <f>IF(AND('331-CT'!$E$7=TH!H2246,OR(L2246="331",M2246="331")),"331",IF(AND(OR(L2246="131",M2246="131"),H2246='131-CT'!$E$7),"131",""))</f>
        <v/>
      </c>
      <c r="O2246" s="525" t="str">
        <f>IF(AND($B2246&gt;='111'!$N$11,$B2246&lt;='111'!$O$11,OR($L2246=$O$7,$M2246=$O$7)),"x","")</f>
        <v/>
      </c>
      <c r="P2246" s="525" t="str">
        <f>IF(AND($L2246=$O$7,$B2246&lt;'111'!$N$11),"x","")</f>
        <v/>
      </c>
      <c r="Q2246" s="525" t="str">
        <f>IF(AND($M2246=$O$7,$B2246&lt;'111'!$N$11),"x","")</f>
        <v/>
      </c>
      <c r="R2246" s="525" t="str">
        <f>IF(ISERROR(FIND('112'!$M$9,G2246,1)),"",IF((AND(FIND('112'!$M$9,G2246,1)&gt;=1,$B2246&gt;='112'!$N$8,$B2246&lt;='112'!$O$8,OR($L2246='112'!$I$6,$M2246='112'!$I$6))),"x",""))</f>
        <v/>
      </c>
      <c r="S2246" s="525" t="str">
        <f>IF(ISERROR(FIND('112'!$M$9,G2246,1)),"",IF((AND(LEFT(G2246,2)=LEFT('112'!$M$9,2),B2246&lt;'112'!$N$8,$L2246='112'!$I$6)),"x",""))</f>
        <v/>
      </c>
      <c r="T2246" s="525" t="str">
        <f>IF(ISERROR(FIND('112'!$M$9,G2246,1)),"",IF((AND(RIGHT(G2246,2)=RIGHT('112'!$M$9,2),B2246&lt;'112'!$N$8,$M2246='112'!$I$6)),"x",""))</f>
        <v/>
      </c>
      <c r="U2246" s="525" t="str">
        <f>IF(AND(B2246&gt;='IN-NX'!$P$3,B2246&lt;='IN-NX'!$Q$3,'IN-NX'!$D$7=D2246,OR(LEFT(L2246,2)="15",AND(LEFT(M2246,2)&lt;&gt;"15",LEFT(M2246,2)&lt;&gt;"33"))),"x","")</f>
        <v/>
      </c>
      <c r="V2246" s="525" t="str">
        <f>IF(AND(OR(LEFT(TH!L2246,2)="15",LEFT(TH!M2246,2)="15"),'152-CT'!$J$8=TH!F2246),"x","")</f>
        <v/>
      </c>
      <c r="W2246" s="525" t="str">
        <f>IF(AND(OR(LEFT(TH!L2246,2)="15",LEFT(TH!M2246,2)="15"),TK!$E$7=TH!F2246),"x","")</f>
        <v>x</v>
      </c>
      <c r="X2246" s="525" t="str">
        <f>IF(AND('341-CT'!$E$9=H2246,OR(LEFT(L2246,3)=$X$7,LEFT(M2246,3)=$X$7)),"x","")</f>
        <v/>
      </c>
      <c r="Y2246" s="525" t="str">
        <f>IF(OR(TH!L2246=TH!$Y$7,M2246=TH!$Y$7),"x","")</f>
        <v/>
      </c>
      <c r="Z2246" s="525" t="str">
        <f>IF(AND(B2246&lt;=NKC!$N$8,B2246&gt;=NKC!$M$8),"x","")</f>
        <v/>
      </c>
      <c r="AA2246" s="535">
        <v>2</v>
      </c>
      <c r="AB2246" s="536"/>
      <c r="AD2246" s="536"/>
      <c r="AF2246" s="536"/>
      <c r="AG2246" s="536"/>
      <c r="AH2246" s="536"/>
    </row>
    <row r="2247" spans="1:34" s="503" customFormat="1" ht="15.75" customHeight="1">
      <c r="A2247" s="517" t="str">
        <f>IF(B2247&lt;&gt;"",IF(AND(B2247&gt;=_TM1,B2247&lt;=_TM2,OR(TH!L2247="1111",TH!M2247="1111")),TH!D2247,""),"")</f>
        <v/>
      </c>
      <c r="B2247" s="531">
        <f t="shared" ref="B2247:B2310" si="208">IF(C2247&lt;&gt;"",MONTH(C2247),"")</f>
        <v>4</v>
      </c>
      <c r="C2247" s="315">
        <f t="shared" ref="C2247:C2310" si="209">E2247</f>
        <v>42850</v>
      </c>
      <c r="D2247" s="315" t="s">
        <v>986</v>
      </c>
      <c r="E2247" s="315">
        <v>42850</v>
      </c>
      <c r="F2247" s="249" t="s">
        <v>745</v>
      </c>
      <c r="G2247" s="314" t="s">
        <v>1070</v>
      </c>
      <c r="H2247" s="473" t="s">
        <v>447</v>
      </c>
      <c r="I2247" s="307">
        <v>4</v>
      </c>
      <c r="J2247" s="307">
        <v>62653</v>
      </c>
      <c r="K2247" s="532">
        <f t="shared" si="207"/>
        <v>250612</v>
      </c>
      <c r="L2247" s="534" t="s">
        <v>292</v>
      </c>
      <c r="M2247" s="534" t="s">
        <v>8</v>
      </c>
      <c r="N2247" s="525" t="str">
        <f>IF(AND('331-CT'!$E$7=TH!H2247,OR(L2247="331",M2247="331")),"331",IF(AND(OR(L2247="131",M2247="131"),H2247='131-CT'!$E$7),"131",""))</f>
        <v/>
      </c>
      <c r="O2247" s="525" t="str">
        <f>IF(AND($B2247&gt;='111'!$N$11,$B2247&lt;='111'!$O$11,OR($L2247=$O$7,$M2247=$O$7)),"x","")</f>
        <v/>
      </c>
      <c r="P2247" s="525" t="str">
        <f>IF(AND($L2247=$O$7,$B2247&lt;'111'!$N$11),"x","")</f>
        <v/>
      </c>
      <c r="Q2247" s="525" t="str">
        <f>IF(AND($M2247=$O$7,$B2247&lt;'111'!$N$11),"x","")</f>
        <v/>
      </c>
      <c r="R2247" s="525" t="str">
        <f>IF(ISERROR(FIND('112'!$M$9,G2247,1)),"",IF((AND(FIND('112'!$M$9,G2247,1)&gt;=1,$B2247&gt;='112'!$N$8,$B2247&lt;='112'!$O$8,OR($L2247='112'!$I$6,$M2247='112'!$I$6))),"x",""))</f>
        <v/>
      </c>
      <c r="S2247" s="525" t="str">
        <f>IF(ISERROR(FIND('112'!$M$9,G2247,1)),"",IF((AND(LEFT(G2247,2)=LEFT('112'!$M$9,2),B2247&lt;'112'!$N$8,$L2247='112'!$I$6)),"x",""))</f>
        <v/>
      </c>
      <c r="T2247" s="525" t="str">
        <f>IF(ISERROR(FIND('112'!$M$9,G2247,1)),"",IF((AND(RIGHT(G2247,2)=RIGHT('112'!$M$9,2),B2247&lt;'112'!$N$8,$M2247='112'!$I$6)),"x",""))</f>
        <v/>
      </c>
      <c r="U2247" s="525" t="str">
        <f>IF(AND(B2247&gt;='IN-NX'!$P$3,B2247&lt;='IN-NX'!$Q$3,'IN-NX'!$D$7=D2247,OR(LEFT(L2247,2)="15",AND(LEFT(M2247,2)&lt;&gt;"15",LEFT(M2247,2)&lt;&gt;"33"))),"x","")</f>
        <v/>
      </c>
      <c r="V2247" s="525" t="str">
        <f>IF(AND(OR(LEFT(TH!L2247,2)="15",LEFT(TH!M2247,2)="15"),'152-CT'!$J$8=TH!F2247),"x","")</f>
        <v/>
      </c>
      <c r="W2247" s="525" t="str">
        <f>IF(AND(OR(LEFT(TH!L2247,2)="15",LEFT(TH!M2247,2)="15"),TK!$E$7=TH!F2247),"x","")</f>
        <v/>
      </c>
      <c r="X2247" s="525" t="str">
        <f>IF(AND('341-CT'!$E$9=H2247,OR(LEFT(L2247,3)=$X$7,LEFT(M2247,3)=$X$7)),"x","")</f>
        <v/>
      </c>
      <c r="Y2247" s="525" t="str">
        <f>IF(OR(TH!L2247=TH!$Y$7,M2247=TH!$Y$7),"x","")</f>
        <v/>
      </c>
      <c r="Z2247" s="525" t="str">
        <f>IF(AND(B2247&lt;=NKC!$N$8,B2247&gt;=NKC!$M$8),"x","")</f>
        <v/>
      </c>
      <c r="AA2247" s="535">
        <v>2</v>
      </c>
      <c r="AB2247" s="536"/>
      <c r="AF2247" s="536"/>
      <c r="AG2247" s="536"/>
      <c r="AH2247" s="536"/>
    </row>
    <row r="2248" spans="1:34" s="503" customFormat="1" ht="15.75" customHeight="1">
      <c r="A2248" s="517" t="str">
        <f>IF(B2248&lt;&gt;"",IF(AND(B2248&gt;=_TM1,B2248&lt;=_TM2,OR(TH!L2248="1111",TH!M2248="1111")),TH!D2248,""),"")</f>
        <v/>
      </c>
      <c r="B2248" s="531">
        <f t="shared" si="208"/>
        <v>4</v>
      </c>
      <c r="C2248" s="315">
        <f t="shared" si="209"/>
        <v>42850</v>
      </c>
      <c r="D2248" s="315" t="s">
        <v>986</v>
      </c>
      <c r="E2248" s="315">
        <v>42850</v>
      </c>
      <c r="F2248" s="249" t="s">
        <v>1001</v>
      </c>
      <c r="G2248" s="314" t="s">
        <v>1070</v>
      </c>
      <c r="H2248" s="473" t="s">
        <v>447</v>
      </c>
      <c r="I2248" s="307">
        <v>8</v>
      </c>
      <c r="J2248" s="307">
        <v>161179</v>
      </c>
      <c r="K2248" s="532">
        <f t="shared" si="207"/>
        <v>1289432</v>
      </c>
      <c r="L2248" s="534" t="s">
        <v>292</v>
      </c>
      <c r="M2248" s="534" t="s">
        <v>8</v>
      </c>
      <c r="N2248" s="525" t="str">
        <f>IF(AND('331-CT'!$E$7=TH!H2248,OR(L2248="331",M2248="331")),"331",IF(AND(OR(L2248="131",M2248="131"),H2248='131-CT'!$E$7),"131",""))</f>
        <v/>
      </c>
      <c r="O2248" s="525" t="str">
        <f>IF(AND($B2248&gt;='111'!$N$11,$B2248&lt;='111'!$O$11,OR($L2248=$O$7,$M2248=$O$7)),"x","")</f>
        <v/>
      </c>
      <c r="P2248" s="525" t="str">
        <f>IF(AND($L2248=$O$7,$B2248&lt;'111'!$N$11),"x","")</f>
        <v/>
      </c>
      <c r="Q2248" s="525" t="str">
        <f>IF(AND($M2248=$O$7,$B2248&lt;'111'!$N$11),"x","")</f>
        <v/>
      </c>
      <c r="R2248" s="525" t="str">
        <f>IF(ISERROR(FIND('112'!$M$9,G2248,1)),"",IF((AND(FIND('112'!$M$9,G2248,1)&gt;=1,$B2248&gt;='112'!$N$8,$B2248&lt;='112'!$O$8,OR($L2248='112'!$I$6,$M2248='112'!$I$6))),"x",""))</f>
        <v/>
      </c>
      <c r="S2248" s="525" t="str">
        <f>IF(ISERROR(FIND('112'!$M$9,G2248,1)),"",IF((AND(LEFT(G2248,2)=LEFT('112'!$M$9,2),B2248&lt;'112'!$N$8,$L2248='112'!$I$6)),"x",""))</f>
        <v/>
      </c>
      <c r="T2248" s="525" t="str">
        <f>IF(ISERROR(FIND('112'!$M$9,G2248,1)),"",IF((AND(RIGHT(G2248,2)=RIGHT('112'!$M$9,2),B2248&lt;'112'!$N$8,$M2248='112'!$I$6)),"x",""))</f>
        <v/>
      </c>
      <c r="U2248" s="525" t="str">
        <f>IF(AND(B2248&gt;='IN-NX'!$P$3,B2248&lt;='IN-NX'!$Q$3,'IN-NX'!$D$7=D2248,OR(LEFT(L2248,2)="15",AND(LEFT(M2248,2)&lt;&gt;"15",LEFT(M2248,2)&lt;&gt;"33"))),"x","")</f>
        <v/>
      </c>
      <c r="V2248" s="525" t="str">
        <f>IF(AND(OR(LEFT(TH!L2248,2)="15",LEFT(TH!M2248,2)="15"),'152-CT'!$J$8=TH!F2248),"x","")</f>
        <v/>
      </c>
      <c r="W2248" s="525" t="str">
        <f>IF(AND(OR(LEFT(TH!L2248,2)="15",LEFT(TH!M2248,2)="15"),TK!$E$7=TH!F2248),"x","")</f>
        <v/>
      </c>
      <c r="X2248" s="525" t="str">
        <f>IF(AND('341-CT'!$E$9=H2248,OR(LEFT(L2248,3)=$X$7,LEFT(M2248,3)=$X$7)),"x","")</f>
        <v/>
      </c>
      <c r="Y2248" s="525" t="str">
        <f>IF(OR(TH!L2248=TH!$Y$7,M2248=TH!$Y$7),"x","")</f>
        <v/>
      </c>
      <c r="Z2248" s="525" t="str">
        <f>IF(AND(B2248&lt;=NKC!$N$8,B2248&gt;=NKC!$M$8),"x","")</f>
        <v/>
      </c>
      <c r="AA2248" s="535">
        <v>2</v>
      </c>
      <c r="AB2248" s="536"/>
      <c r="AF2248" s="536"/>
      <c r="AG2248" s="536"/>
      <c r="AH2248" s="536"/>
    </row>
    <row r="2249" spans="1:34" s="503" customFormat="1" ht="15.75" customHeight="1">
      <c r="A2249" s="517" t="str">
        <f>IF(B2249&lt;&gt;"",IF(AND(B2249&gt;=_TM1,B2249&lt;=_TM2,OR(TH!L2249="1111",TH!M2249="1111")),TH!D2249,""),"")</f>
        <v/>
      </c>
      <c r="B2249" s="531">
        <f t="shared" si="208"/>
        <v>4</v>
      </c>
      <c r="C2249" s="315">
        <f t="shared" si="209"/>
        <v>42850</v>
      </c>
      <c r="D2249" s="315" t="s">
        <v>986</v>
      </c>
      <c r="E2249" s="315">
        <v>42850</v>
      </c>
      <c r="F2249" s="249" t="s">
        <v>738</v>
      </c>
      <c r="G2249" s="314" t="s">
        <v>1070</v>
      </c>
      <c r="H2249" s="473" t="s">
        <v>447</v>
      </c>
      <c r="I2249" s="307">
        <v>6</v>
      </c>
      <c r="J2249" s="307">
        <v>162314</v>
      </c>
      <c r="K2249" s="532">
        <f t="shared" si="207"/>
        <v>973884</v>
      </c>
      <c r="L2249" s="534" t="s">
        <v>292</v>
      </c>
      <c r="M2249" s="534" t="s">
        <v>8</v>
      </c>
      <c r="N2249" s="525" t="str">
        <f>IF(AND('331-CT'!$E$7=TH!H2249,OR(L2249="331",M2249="331")),"331",IF(AND(OR(L2249="131",M2249="131"),H2249='131-CT'!$E$7),"131",""))</f>
        <v/>
      </c>
      <c r="O2249" s="525" t="str">
        <f>IF(AND($B2249&gt;='111'!$N$11,$B2249&lt;='111'!$O$11,OR($L2249=$O$7,$M2249=$O$7)),"x","")</f>
        <v/>
      </c>
      <c r="P2249" s="525" t="str">
        <f>IF(AND($L2249=$O$7,$B2249&lt;'111'!$N$11),"x","")</f>
        <v/>
      </c>
      <c r="Q2249" s="525" t="str">
        <f>IF(AND($M2249=$O$7,$B2249&lt;'111'!$N$11),"x","")</f>
        <v/>
      </c>
      <c r="R2249" s="525" t="str">
        <f>IF(ISERROR(FIND('112'!$M$9,G2249,1)),"",IF((AND(FIND('112'!$M$9,G2249,1)&gt;=1,$B2249&gt;='112'!$N$8,$B2249&lt;='112'!$O$8,OR($L2249='112'!$I$6,$M2249='112'!$I$6))),"x",""))</f>
        <v/>
      </c>
      <c r="S2249" s="525" t="str">
        <f>IF(ISERROR(FIND('112'!$M$9,G2249,1)),"",IF((AND(LEFT(G2249,2)=LEFT('112'!$M$9,2),B2249&lt;'112'!$N$8,$L2249='112'!$I$6)),"x",""))</f>
        <v/>
      </c>
      <c r="T2249" s="525" t="str">
        <f>IF(ISERROR(FIND('112'!$M$9,G2249,1)),"",IF((AND(RIGHT(G2249,2)=RIGHT('112'!$M$9,2),B2249&lt;'112'!$N$8,$M2249='112'!$I$6)),"x",""))</f>
        <v/>
      </c>
      <c r="U2249" s="525" t="str">
        <f>IF(AND(B2249&gt;='IN-NX'!$P$3,B2249&lt;='IN-NX'!$Q$3,'IN-NX'!$D$7=D2249,OR(LEFT(L2249,2)="15",AND(LEFT(M2249,2)&lt;&gt;"15",LEFT(M2249,2)&lt;&gt;"33"))),"x","")</f>
        <v/>
      </c>
      <c r="V2249" s="525" t="str">
        <f>IF(AND(OR(LEFT(TH!L2249,2)="15",LEFT(TH!M2249,2)="15"),'152-CT'!$J$8=TH!F2249),"x","")</f>
        <v/>
      </c>
      <c r="W2249" s="525" t="str">
        <f>IF(AND(OR(LEFT(TH!L2249,2)="15",LEFT(TH!M2249,2)="15"),TK!$E$7=TH!F2249),"x","")</f>
        <v/>
      </c>
      <c r="X2249" s="525" t="str">
        <f>IF(AND('341-CT'!$E$9=H2249,OR(LEFT(L2249,3)=$X$7,LEFT(M2249,3)=$X$7)),"x","")</f>
        <v/>
      </c>
      <c r="Y2249" s="525" t="str">
        <f>IF(OR(TH!L2249=TH!$Y$7,M2249=TH!$Y$7),"x","")</f>
        <v/>
      </c>
      <c r="Z2249" s="525" t="str">
        <f>IF(AND(B2249&lt;=NKC!$N$8,B2249&gt;=NKC!$M$8),"x","")</f>
        <v/>
      </c>
      <c r="AA2249" s="535">
        <v>2</v>
      </c>
      <c r="AB2249" s="536"/>
      <c r="AF2249" s="536"/>
      <c r="AG2249" s="536"/>
      <c r="AH2249" s="536"/>
    </row>
    <row r="2250" spans="1:34" s="503" customFormat="1" ht="15.75" customHeight="1">
      <c r="A2250" s="517" t="str">
        <f>IF(B2250&lt;&gt;"",IF(AND(B2250&gt;=_TM1,B2250&lt;=_TM2,OR(TH!L2250="1111",TH!M2250="1111")),TH!D2250,""),"")</f>
        <v/>
      </c>
      <c r="B2250" s="531">
        <f t="shared" si="208"/>
        <v>4</v>
      </c>
      <c r="C2250" s="315">
        <f t="shared" si="209"/>
        <v>42850</v>
      </c>
      <c r="D2250" s="315" t="s">
        <v>986</v>
      </c>
      <c r="E2250" s="315">
        <v>42850</v>
      </c>
      <c r="F2250" s="249" t="s">
        <v>611</v>
      </c>
      <c r="G2250" s="314" t="s">
        <v>1070</v>
      </c>
      <c r="H2250" s="473" t="s">
        <v>447</v>
      </c>
      <c r="I2250" s="307">
        <v>10</v>
      </c>
      <c r="J2250" s="307">
        <v>43918</v>
      </c>
      <c r="K2250" s="532">
        <f t="shared" si="207"/>
        <v>439180</v>
      </c>
      <c r="L2250" s="534" t="s">
        <v>292</v>
      </c>
      <c r="M2250" s="534" t="s">
        <v>8</v>
      </c>
      <c r="N2250" s="525" t="str">
        <f>IF(AND('331-CT'!$E$7=TH!H2250,OR(L2250="331",M2250="331")),"331",IF(AND(OR(L2250="131",M2250="131"),H2250='131-CT'!$E$7),"131",""))</f>
        <v/>
      </c>
      <c r="O2250" s="525" t="str">
        <f>IF(AND($B2250&gt;='111'!$N$11,$B2250&lt;='111'!$O$11,OR($L2250=$O$7,$M2250=$O$7)),"x","")</f>
        <v/>
      </c>
      <c r="P2250" s="525" t="str">
        <f>IF(AND($L2250=$O$7,$B2250&lt;'111'!$N$11),"x","")</f>
        <v/>
      </c>
      <c r="Q2250" s="525" t="str">
        <f>IF(AND($M2250=$O$7,$B2250&lt;'111'!$N$11),"x","")</f>
        <v/>
      </c>
      <c r="R2250" s="525" t="str">
        <f>IF(ISERROR(FIND('112'!$M$9,G2250,1)),"",IF((AND(FIND('112'!$M$9,G2250,1)&gt;=1,$B2250&gt;='112'!$N$8,$B2250&lt;='112'!$O$8,OR($L2250='112'!$I$6,$M2250='112'!$I$6))),"x",""))</f>
        <v/>
      </c>
      <c r="S2250" s="525" t="str">
        <f>IF(ISERROR(FIND('112'!$M$9,G2250,1)),"",IF((AND(LEFT(G2250,2)=LEFT('112'!$M$9,2),B2250&lt;'112'!$N$8,$L2250='112'!$I$6)),"x",""))</f>
        <v/>
      </c>
      <c r="T2250" s="525" t="str">
        <f>IF(ISERROR(FIND('112'!$M$9,G2250,1)),"",IF((AND(RIGHT(G2250,2)=RIGHT('112'!$M$9,2),B2250&lt;'112'!$N$8,$M2250='112'!$I$6)),"x",""))</f>
        <v/>
      </c>
      <c r="U2250" s="525" t="str">
        <f>IF(AND(B2250&gt;='IN-NX'!$P$3,B2250&lt;='IN-NX'!$Q$3,'IN-NX'!$D$7=D2250,OR(LEFT(L2250,2)="15",AND(LEFT(M2250,2)&lt;&gt;"15",LEFT(M2250,2)&lt;&gt;"33"))),"x","")</f>
        <v/>
      </c>
      <c r="V2250" s="525" t="str">
        <f>IF(AND(OR(LEFT(TH!L2250,2)="15",LEFT(TH!M2250,2)="15"),'152-CT'!$J$8=TH!F2250),"x","")</f>
        <v/>
      </c>
      <c r="W2250" s="525" t="str">
        <f>IF(AND(OR(LEFT(TH!L2250,2)="15",LEFT(TH!M2250,2)="15"),TK!$E$7=TH!F2250),"x","")</f>
        <v/>
      </c>
      <c r="X2250" s="525" t="str">
        <f>IF(AND('341-CT'!$E$9=H2250,OR(LEFT(L2250,3)=$X$7,LEFT(M2250,3)=$X$7)),"x","")</f>
        <v/>
      </c>
      <c r="Y2250" s="525" t="str">
        <f>IF(OR(TH!L2250=TH!$Y$7,M2250=TH!$Y$7),"x","")</f>
        <v/>
      </c>
      <c r="Z2250" s="525" t="str">
        <f>IF(AND(B2250&lt;=NKC!$N$8,B2250&gt;=NKC!$M$8),"x","")</f>
        <v/>
      </c>
      <c r="AA2250" s="535">
        <v>2</v>
      </c>
      <c r="AB2250" s="536"/>
      <c r="AF2250" s="536"/>
      <c r="AG2250" s="536"/>
      <c r="AH2250" s="536"/>
    </row>
    <row r="2251" spans="1:34" s="503" customFormat="1" ht="15.75" customHeight="1">
      <c r="A2251" s="517" t="str">
        <f>IF(B2251&lt;&gt;"",IF(AND(B2251&gt;=_TM1,B2251&lt;=_TM2,OR(TH!L2251="1111",TH!M2251="1111")),TH!D2251,""),"")</f>
        <v/>
      </c>
      <c r="B2251" s="531">
        <f t="shared" si="208"/>
        <v>4</v>
      </c>
      <c r="C2251" s="315">
        <f t="shared" si="209"/>
        <v>42850</v>
      </c>
      <c r="D2251" s="315" t="s">
        <v>986</v>
      </c>
      <c r="E2251" s="315">
        <v>42850</v>
      </c>
      <c r="F2251" s="249" t="s">
        <v>795</v>
      </c>
      <c r="G2251" s="314" t="s">
        <v>1070</v>
      </c>
      <c r="H2251" s="473" t="s">
        <v>447</v>
      </c>
      <c r="I2251" s="307">
        <v>60</v>
      </c>
      <c r="J2251" s="307">
        <v>75459</v>
      </c>
      <c r="K2251" s="532">
        <f t="shared" si="207"/>
        <v>4527540</v>
      </c>
      <c r="L2251" s="534" t="s">
        <v>292</v>
      </c>
      <c r="M2251" s="534" t="s">
        <v>8</v>
      </c>
      <c r="N2251" s="525" t="str">
        <f>IF(AND('331-CT'!$E$7=TH!H2251,OR(L2251="331",M2251="331")),"331",IF(AND(OR(L2251="131",M2251="131"),H2251='131-CT'!$E$7),"131",""))</f>
        <v/>
      </c>
      <c r="O2251" s="525" t="str">
        <f>IF(AND($B2251&gt;='111'!$N$11,$B2251&lt;='111'!$O$11,OR($L2251=$O$7,$M2251=$O$7)),"x","")</f>
        <v/>
      </c>
      <c r="P2251" s="525" t="str">
        <f>IF(AND($L2251=$O$7,$B2251&lt;'111'!$N$11),"x","")</f>
        <v/>
      </c>
      <c r="Q2251" s="525" t="str">
        <f>IF(AND($M2251=$O$7,$B2251&lt;'111'!$N$11),"x","")</f>
        <v/>
      </c>
      <c r="R2251" s="525" t="str">
        <f>IF(ISERROR(FIND('112'!$M$9,G2251,1)),"",IF((AND(FIND('112'!$M$9,G2251,1)&gt;=1,$B2251&gt;='112'!$N$8,$B2251&lt;='112'!$O$8,OR($L2251='112'!$I$6,$M2251='112'!$I$6))),"x",""))</f>
        <v/>
      </c>
      <c r="S2251" s="525" t="str">
        <f>IF(ISERROR(FIND('112'!$M$9,G2251,1)),"",IF((AND(LEFT(G2251,2)=LEFT('112'!$M$9,2),B2251&lt;'112'!$N$8,$L2251='112'!$I$6)),"x",""))</f>
        <v/>
      </c>
      <c r="T2251" s="525" t="str">
        <f>IF(ISERROR(FIND('112'!$M$9,G2251,1)),"",IF((AND(RIGHT(G2251,2)=RIGHT('112'!$M$9,2),B2251&lt;'112'!$N$8,$M2251='112'!$I$6)),"x",""))</f>
        <v/>
      </c>
      <c r="U2251" s="525" t="str">
        <f>IF(AND(B2251&gt;='IN-NX'!$P$3,B2251&lt;='IN-NX'!$Q$3,'IN-NX'!$D$7=D2251,OR(LEFT(L2251,2)="15",AND(LEFT(M2251,2)&lt;&gt;"15",LEFT(M2251,2)&lt;&gt;"33"))),"x","")</f>
        <v/>
      </c>
      <c r="V2251" s="525" t="str">
        <f>IF(AND(OR(LEFT(TH!L2251,2)="15",LEFT(TH!M2251,2)="15"),'152-CT'!$J$8=TH!F2251),"x","")</f>
        <v/>
      </c>
      <c r="W2251" s="525" t="str">
        <f>IF(AND(OR(LEFT(TH!L2251,2)="15",LEFT(TH!M2251,2)="15"),TK!$E$7=TH!F2251),"x","")</f>
        <v/>
      </c>
      <c r="X2251" s="525" t="str">
        <f>IF(AND('341-CT'!$E$9=H2251,OR(LEFT(L2251,3)=$X$7,LEFT(M2251,3)=$X$7)),"x","")</f>
        <v/>
      </c>
      <c r="Y2251" s="525" t="str">
        <f>IF(OR(TH!L2251=TH!$Y$7,M2251=TH!$Y$7),"x","")</f>
        <v/>
      </c>
      <c r="Z2251" s="525" t="str">
        <f>IF(AND(B2251&lt;=NKC!$N$8,B2251&gt;=NKC!$M$8),"x","")</f>
        <v/>
      </c>
      <c r="AA2251" s="535">
        <v>2</v>
      </c>
      <c r="AB2251" s="536"/>
      <c r="AF2251" s="536"/>
      <c r="AG2251" s="536"/>
      <c r="AH2251" s="536"/>
    </row>
    <row r="2252" spans="1:34" s="503" customFormat="1" ht="15.75" customHeight="1">
      <c r="A2252" s="517" t="str">
        <f>IF(B2252&lt;&gt;"",IF(AND(B2252&gt;=_TM1,B2252&lt;=_TM2,OR(TH!L2252="1111",TH!M2252="1111")),TH!D2252,""),"")</f>
        <v/>
      </c>
      <c r="B2252" s="531">
        <f t="shared" si="208"/>
        <v>4</v>
      </c>
      <c r="C2252" s="315">
        <f t="shared" si="209"/>
        <v>42850</v>
      </c>
      <c r="D2252" s="315" t="s">
        <v>986</v>
      </c>
      <c r="E2252" s="315">
        <v>42850</v>
      </c>
      <c r="F2252" s="249" t="s">
        <v>791</v>
      </c>
      <c r="G2252" s="314" t="s">
        <v>1070</v>
      </c>
      <c r="H2252" s="473" t="s">
        <v>447</v>
      </c>
      <c r="I2252" s="307">
        <v>20</v>
      </c>
      <c r="J2252" s="307">
        <v>142010</v>
      </c>
      <c r="K2252" s="532">
        <f t="shared" si="207"/>
        <v>2840200</v>
      </c>
      <c r="L2252" s="534" t="s">
        <v>292</v>
      </c>
      <c r="M2252" s="534" t="s">
        <v>8</v>
      </c>
      <c r="N2252" s="525" t="str">
        <f>IF(AND('331-CT'!$E$7=TH!H2252,OR(L2252="331",M2252="331")),"331",IF(AND(OR(L2252="131",M2252="131"),H2252='131-CT'!$E$7),"131",""))</f>
        <v/>
      </c>
      <c r="O2252" s="525" t="str">
        <f>IF(AND($B2252&gt;='111'!$N$11,$B2252&lt;='111'!$O$11,OR($L2252=$O$7,$M2252=$O$7)),"x","")</f>
        <v/>
      </c>
      <c r="P2252" s="525" t="str">
        <f>IF(AND($L2252=$O$7,$B2252&lt;'111'!$N$11),"x","")</f>
        <v/>
      </c>
      <c r="Q2252" s="525" t="str">
        <f>IF(AND($M2252=$O$7,$B2252&lt;'111'!$N$11),"x","")</f>
        <v/>
      </c>
      <c r="R2252" s="525" t="str">
        <f>IF(ISERROR(FIND('112'!$M$9,G2252,1)),"",IF((AND(FIND('112'!$M$9,G2252,1)&gt;=1,$B2252&gt;='112'!$N$8,$B2252&lt;='112'!$O$8,OR($L2252='112'!$I$6,$M2252='112'!$I$6))),"x",""))</f>
        <v/>
      </c>
      <c r="S2252" s="525" t="str">
        <f>IF(ISERROR(FIND('112'!$M$9,G2252,1)),"",IF((AND(LEFT(G2252,2)=LEFT('112'!$M$9,2),B2252&lt;'112'!$N$8,$L2252='112'!$I$6)),"x",""))</f>
        <v/>
      </c>
      <c r="T2252" s="525" t="str">
        <f>IF(ISERROR(FIND('112'!$M$9,G2252,1)),"",IF((AND(RIGHT(G2252,2)=RIGHT('112'!$M$9,2),B2252&lt;'112'!$N$8,$M2252='112'!$I$6)),"x",""))</f>
        <v/>
      </c>
      <c r="U2252" s="525" t="str">
        <f>IF(AND(B2252&gt;='IN-NX'!$P$3,B2252&lt;='IN-NX'!$Q$3,'IN-NX'!$D$7=D2252,OR(LEFT(L2252,2)="15",AND(LEFT(M2252,2)&lt;&gt;"15",LEFT(M2252,2)&lt;&gt;"33"))),"x","")</f>
        <v/>
      </c>
      <c r="V2252" s="525" t="str">
        <f>IF(AND(OR(LEFT(TH!L2252,2)="15",LEFT(TH!M2252,2)="15"),'152-CT'!$J$8=TH!F2252),"x","")</f>
        <v/>
      </c>
      <c r="W2252" s="525" t="str">
        <f>IF(AND(OR(LEFT(TH!L2252,2)="15",LEFT(TH!M2252,2)="15"),TK!$E$7=TH!F2252),"x","")</f>
        <v/>
      </c>
      <c r="X2252" s="525" t="str">
        <f>IF(AND('341-CT'!$E$9=H2252,OR(LEFT(L2252,3)=$X$7,LEFT(M2252,3)=$X$7)),"x","")</f>
        <v/>
      </c>
      <c r="Y2252" s="525" t="str">
        <f>IF(OR(TH!L2252=TH!$Y$7,M2252=TH!$Y$7),"x","")</f>
        <v/>
      </c>
      <c r="Z2252" s="525" t="str">
        <f>IF(AND(B2252&lt;=NKC!$N$8,B2252&gt;=NKC!$M$8),"x","")</f>
        <v/>
      </c>
      <c r="AA2252" s="535">
        <v>2</v>
      </c>
      <c r="AB2252" s="536"/>
    </row>
    <row r="2253" spans="1:34" s="503" customFormat="1" ht="15.75" customHeight="1">
      <c r="A2253" s="517" t="str">
        <f>IF(B2253&lt;&gt;"",IF(AND(B2253&gt;=_TM1,B2253&lt;=_TM2,OR(TH!L2253="1111",TH!M2253="1111")),TH!D2253,""),"")</f>
        <v/>
      </c>
      <c r="B2253" s="531">
        <f t="shared" si="208"/>
        <v>4</v>
      </c>
      <c r="C2253" s="315">
        <f t="shared" si="209"/>
        <v>42850</v>
      </c>
      <c r="D2253" s="315" t="s">
        <v>986</v>
      </c>
      <c r="E2253" s="315">
        <v>42850</v>
      </c>
      <c r="F2253" s="249" t="s">
        <v>1055</v>
      </c>
      <c r="G2253" s="314" t="s">
        <v>1070</v>
      </c>
      <c r="H2253" s="473" t="s">
        <v>447</v>
      </c>
      <c r="I2253" s="307">
        <v>8</v>
      </c>
      <c r="J2253" s="307">
        <v>99278</v>
      </c>
      <c r="K2253" s="532">
        <f t="shared" si="207"/>
        <v>794224</v>
      </c>
      <c r="L2253" s="534" t="s">
        <v>292</v>
      </c>
      <c r="M2253" s="534" t="s">
        <v>8</v>
      </c>
      <c r="N2253" s="525" t="str">
        <f>IF(AND('331-CT'!$E$7=TH!H2253,OR(L2253="331",M2253="331")),"331",IF(AND(OR(L2253="131",M2253="131"),H2253='131-CT'!$E$7),"131",""))</f>
        <v/>
      </c>
      <c r="O2253" s="525" t="str">
        <f>IF(AND($B2253&gt;='111'!$N$11,$B2253&lt;='111'!$O$11,OR($L2253=$O$7,$M2253=$O$7)),"x","")</f>
        <v/>
      </c>
      <c r="P2253" s="525" t="str">
        <f>IF(AND($L2253=$O$7,$B2253&lt;'111'!$N$11),"x","")</f>
        <v/>
      </c>
      <c r="Q2253" s="525" t="str">
        <f>IF(AND($M2253=$O$7,$B2253&lt;'111'!$N$11),"x","")</f>
        <v/>
      </c>
      <c r="R2253" s="525" t="str">
        <f>IF(ISERROR(FIND('112'!$M$9,G2253,1)),"",IF((AND(FIND('112'!$M$9,G2253,1)&gt;=1,$B2253&gt;='112'!$N$8,$B2253&lt;='112'!$O$8,OR($L2253='112'!$I$6,$M2253='112'!$I$6))),"x",""))</f>
        <v/>
      </c>
      <c r="S2253" s="525" t="str">
        <f>IF(ISERROR(FIND('112'!$M$9,G2253,1)),"",IF((AND(LEFT(G2253,2)=LEFT('112'!$M$9,2),B2253&lt;'112'!$N$8,$L2253='112'!$I$6)),"x",""))</f>
        <v/>
      </c>
      <c r="T2253" s="525" t="str">
        <f>IF(ISERROR(FIND('112'!$M$9,G2253,1)),"",IF((AND(RIGHT(G2253,2)=RIGHT('112'!$M$9,2),B2253&lt;'112'!$N$8,$M2253='112'!$I$6)),"x",""))</f>
        <v/>
      </c>
      <c r="U2253" s="525" t="str">
        <f>IF(AND(B2253&gt;='IN-NX'!$P$3,B2253&lt;='IN-NX'!$Q$3,'IN-NX'!$D$7=D2253,OR(LEFT(L2253,2)="15",AND(LEFT(M2253,2)&lt;&gt;"15",LEFT(M2253,2)&lt;&gt;"33"))),"x","")</f>
        <v/>
      </c>
      <c r="V2253" s="525" t="str">
        <f>IF(AND(OR(LEFT(TH!L2253,2)="15",LEFT(TH!M2253,2)="15"),'152-CT'!$J$8=TH!F2253),"x","")</f>
        <v/>
      </c>
      <c r="W2253" s="525" t="str">
        <f>IF(AND(OR(LEFT(TH!L2253,2)="15",LEFT(TH!M2253,2)="15"),TK!$E$7=TH!F2253),"x","")</f>
        <v/>
      </c>
      <c r="X2253" s="525" t="str">
        <f>IF(AND('341-CT'!$E$9=H2253,OR(LEFT(L2253,3)=$X$7,LEFT(M2253,3)=$X$7)),"x","")</f>
        <v/>
      </c>
      <c r="Y2253" s="525" t="str">
        <f>IF(OR(TH!L2253=TH!$Y$7,M2253=TH!$Y$7),"x","")</f>
        <v/>
      </c>
      <c r="Z2253" s="525" t="str">
        <f>IF(AND(B2253&lt;=NKC!$N$8,B2253&gt;=NKC!$M$8),"x","")</f>
        <v/>
      </c>
      <c r="AA2253" s="535">
        <v>2</v>
      </c>
      <c r="AB2253" s="536"/>
    </row>
    <row r="2254" spans="1:34" s="503" customFormat="1" ht="15.75" customHeight="1">
      <c r="A2254" s="517" t="str">
        <f>IF(B2254&lt;&gt;"",IF(AND(B2254&gt;=_TM1,B2254&lt;=_TM2,OR(TH!L2254="1111",TH!M2254="1111")),TH!D2254,""),"")</f>
        <v/>
      </c>
      <c r="B2254" s="531">
        <f t="shared" si="208"/>
        <v>4</v>
      </c>
      <c r="C2254" s="315">
        <f t="shared" si="209"/>
        <v>42850</v>
      </c>
      <c r="D2254" s="315" t="s">
        <v>986</v>
      </c>
      <c r="E2254" s="315">
        <v>42850</v>
      </c>
      <c r="F2254" s="249" t="s">
        <v>652</v>
      </c>
      <c r="G2254" s="314" t="s">
        <v>1070</v>
      </c>
      <c r="H2254" s="473" t="s">
        <v>447</v>
      </c>
      <c r="I2254" s="307">
        <v>100</v>
      </c>
      <c r="J2254" s="307">
        <v>28511</v>
      </c>
      <c r="K2254" s="532">
        <f t="shared" si="207"/>
        <v>2851100</v>
      </c>
      <c r="L2254" s="534" t="s">
        <v>292</v>
      </c>
      <c r="M2254" s="534" t="s">
        <v>8</v>
      </c>
      <c r="N2254" s="525" t="str">
        <f>IF(AND('331-CT'!$E$7=TH!H2254,OR(L2254="331",M2254="331")),"331",IF(AND(OR(L2254="131",M2254="131"),H2254='131-CT'!$E$7),"131",""))</f>
        <v/>
      </c>
      <c r="O2254" s="525" t="str">
        <f>IF(AND($B2254&gt;='111'!$N$11,$B2254&lt;='111'!$O$11,OR($L2254=$O$7,$M2254=$O$7)),"x","")</f>
        <v/>
      </c>
      <c r="P2254" s="525" t="str">
        <f>IF(AND($L2254=$O$7,$B2254&lt;'111'!$N$11),"x","")</f>
        <v/>
      </c>
      <c r="Q2254" s="525" t="str">
        <f>IF(AND($M2254=$O$7,$B2254&lt;'111'!$N$11),"x","")</f>
        <v/>
      </c>
      <c r="R2254" s="525" t="str">
        <f>IF(ISERROR(FIND('112'!$M$9,G2254,1)),"",IF((AND(FIND('112'!$M$9,G2254,1)&gt;=1,$B2254&gt;='112'!$N$8,$B2254&lt;='112'!$O$8,OR($L2254='112'!$I$6,$M2254='112'!$I$6))),"x",""))</f>
        <v/>
      </c>
      <c r="S2254" s="525" t="str">
        <f>IF(ISERROR(FIND('112'!$M$9,G2254,1)),"",IF((AND(LEFT(G2254,2)=LEFT('112'!$M$9,2),B2254&lt;'112'!$N$8,$L2254='112'!$I$6)),"x",""))</f>
        <v/>
      </c>
      <c r="T2254" s="525" t="str">
        <f>IF(ISERROR(FIND('112'!$M$9,G2254,1)),"",IF((AND(RIGHT(G2254,2)=RIGHT('112'!$M$9,2),B2254&lt;'112'!$N$8,$M2254='112'!$I$6)),"x",""))</f>
        <v/>
      </c>
      <c r="U2254" s="525" t="str">
        <f>IF(AND(B2254&gt;='IN-NX'!$P$3,B2254&lt;='IN-NX'!$Q$3,'IN-NX'!$D$7=D2254,OR(LEFT(L2254,2)="15",AND(LEFT(M2254,2)&lt;&gt;"15",LEFT(M2254,2)&lt;&gt;"33"))),"x","")</f>
        <v/>
      </c>
      <c r="V2254" s="525" t="str">
        <f>IF(AND(OR(LEFT(TH!L2254,2)="15",LEFT(TH!M2254,2)="15"),'152-CT'!$J$8=TH!F2254),"x","")</f>
        <v/>
      </c>
      <c r="W2254" s="525" t="str">
        <f>IF(AND(OR(LEFT(TH!L2254,2)="15",LEFT(TH!M2254,2)="15"),TK!$E$7=TH!F2254),"x","")</f>
        <v/>
      </c>
      <c r="X2254" s="525" t="str">
        <f>IF(AND('341-CT'!$E$9=H2254,OR(LEFT(L2254,3)=$X$7,LEFT(M2254,3)=$X$7)),"x","")</f>
        <v/>
      </c>
      <c r="Y2254" s="525" t="str">
        <f>IF(OR(TH!L2254=TH!$Y$7,M2254=TH!$Y$7),"x","")</f>
        <v/>
      </c>
      <c r="Z2254" s="525" t="str">
        <f>IF(AND(B2254&lt;=NKC!$N$8,B2254&gt;=NKC!$M$8),"x","")</f>
        <v/>
      </c>
      <c r="AA2254" s="535">
        <v>2</v>
      </c>
      <c r="AB2254" s="536"/>
    </row>
    <row r="2255" spans="1:34" s="503" customFormat="1" ht="15.75" customHeight="1">
      <c r="A2255" s="517" t="str">
        <f>IF(B2255&lt;&gt;"",IF(AND(B2255&gt;=_TM1,B2255&lt;=_TM2,OR(TH!L2255="1111",TH!M2255="1111")),TH!D2255,""),"")</f>
        <v/>
      </c>
      <c r="B2255" s="531">
        <f t="shared" si="208"/>
        <v>4</v>
      </c>
      <c r="C2255" s="315">
        <f t="shared" si="209"/>
        <v>42850</v>
      </c>
      <c r="D2255" s="315" t="s">
        <v>986</v>
      </c>
      <c r="E2255" s="315">
        <v>42850</v>
      </c>
      <c r="F2255" s="249" t="s">
        <v>1056</v>
      </c>
      <c r="G2255" s="314" t="s">
        <v>1070</v>
      </c>
      <c r="H2255" s="473" t="s">
        <v>447</v>
      </c>
      <c r="I2255" s="307">
        <v>35</v>
      </c>
      <c r="J2255" s="307">
        <v>46680</v>
      </c>
      <c r="K2255" s="532">
        <f t="shared" si="207"/>
        <v>1633800</v>
      </c>
      <c r="L2255" s="534" t="s">
        <v>292</v>
      </c>
      <c r="M2255" s="534" t="s">
        <v>8</v>
      </c>
      <c r="N2255" s="525" t="str">
        <f>IF(AND('331-CT'!$E$7=TH!H2255,OR(L2255="331",M2255="331")),"331",IF(AND(OR(L2255="131",M2255="131"),H2255='131-CT'!$E$7),"131",""))</f>
        <v/>
      </c>
      <c r="O2255" s="525" t="str">
        <f>IF(AND($B2255&gt;='111'!$N$11,$B2255&lt;='111'!$O$11,OR($L2255=$O$7,$M2255=$O$7)),"x","")</f>
        <v/>
      </c>
      <c r="P2255" s="525" t="str">
        <f>IF(AND($L2255=$O$7,$B2255&lt;'111'!$N$11),"x","")</f>
        <v/>
      </c>
      <c r="Q2255" s="525" t="str">
        <f>IF(AND($M2255=$O$7,$B2255&lt;'111'!$N$11),"x","")</f>
        <v/>
      </c>
      <c r="R2255" s="525" t="str">
        <f>IF(ISERROR(FIND('112'!$M$9,G2255,1)),"",IF((AND(FIND('112'!$M$9,G2255,1)&gt;=1,$B2255&gt;='112'!$N$8,$B2255&lt;='112'!$O$8,OR($L2255='112'!$I$6,$M2255='112'!$I$6))),"x",""))</f>
        <v/>
      </c>
      <c r="S2255" s="525" t="str">
        <f>IF(ISERROR(FIND('112'!$M$9,G2255,1)),"",IF((AND(LEFT(G2255,2)=LEFT('112'!$M$9,2),B2255&lt;'112'!$N$8,$L2255='112'!$I$6)),"x",""))</f>
        <v/>
      </c>
      <c r="T2255" s="525" t="str">
        <f>IF(ISERROR(FIND('112'!$M$9,G2255,1)),"",IF((AND(RIGHT(G2255,2)=RIGHT('112'!$M$9,2),B2255&lt;'112'!$N$8,$M2255='112'!$I$6)),"x",""))</f>
        <v/>
      </c>
      <c r="U2255" s="525" t="str">
        <f>IF(AND(B2255&gt;='IN-NX'!$P$3,B2255&lt;='IN-NX'!$Q$3,'IN-NX'!$D$7=D2255,OR(LEFT(L2255,2)="15",AND(LEFT(M2255,2)&lt;&gt;"15",LEFT(M2255,2)&lt;&gt;"33"))),"x","")</f>
        <v/>
      </c>
      <c r="V2255" s="525" t="str">
        <f>IF(AND(OR(LEFT(TH!L2255,2)="15",LEFT(TH!M2255,2)="15"),'152-CT'!$J$8=TH!F2255),"x","")</f>
        <v/>
      </c>
      <c r="W2255" s="525" t="str">
        <f>IF(AND(OR(LEFT(TH!L2255,2)="15",LEFT(TH!M2255,2)="15"),TK!$E$7=TH!F2255),"x","")</f>
        <v/>
      </c>
      <c r="X2255" s="525" t="str">
        <f>IF(AND('341-CT'!$E$9=H2255,OR(LEFT(L2255,3)=$X$7,LEFT(M2255,3)=$X$7)),"x","")</f>
        <v/>
      </c>
      <c r="Y2255" s="525" t="str">
        <f>IF(OR(TH!L2255=TH!$Y$7,M2255=TH!$Y$7),"x","")</f>
        <v/>
      </c>
      <c r="Z2255" s="525" t="str">
        <f>IF(AND(B2255&lt;=NKC!$N$8,B2255&gt;=NKC!$M$8),"x","")</f>
        <v/>
      </c>
      <c r="AA2255" s="535">
        <v>2</v>
      </c>
      <c r="AB2255" s="536"/>
    </row>
    <row r="2256" spans="1:34" s="503" customFormat="1" ht="15.75" customHeight="1">
      <c r="A2256" s="517" t="str">
        <f>IF(B2256&lt;&gt;"",IF(AND(B2256&gt;=_TM1,B2256&lt;=_TM2,OR(TH!L2256="1111",TH!M2256="1111")),TH!D2256,""),"")</f>
        <v/>
      </c>
      <c r="B2256" s="531">
        <f t="shared" si="208"/>
        <v>4</v>
      </c>
      <c r="C2256" s="315">
        <f t="shared" si="209"/>
        <v>42850</v>
      </c>
      <c r="D2256" s="315" t="s">
        <v>986</v>
      </c>
      <c r="E2256" s="315">
        <v>42850</v>
      </c>
      <c r="F2256" s="249" t="s">
        <v>655</v>
      </c>
      <c r="G2256" s="314" t="s">
        <v>1070</v>
      </c>
      <c r="H2256" s="473" t="s">
        <v>447</v>
      </c>
      <c r="I2256" s="307">
        <v>30</v>
      </c>
      <c r="J2256" s="307">
        <v>50535</v>
      </c>
      <c r="K2256" s="532">
        <f t="shared" si="207"/>
        <v>1516050</v>
      </c>
      <c r="L2256" s="534" t="s">
        <v>292</v>
      </c>
      <c r="M2256" s="534" t="s">
        <v>8</v>
      </c>
      <c r="N2256" s="525" t="str">
        <f>IF(AND('331-CT'!$E$7=TH!H2256,OR(L2256="331",M2256="331")),"331",IF(AND(OR(L2256="131",M2256="131"),H2256='131-CT'!$E$7),"131",""))</f>
        <v/>
      </c>
      <c r="O2256" s="525" t="str">
        <f>IF(AND($B2256&gt;='111'!$N$11,$B2256&lt;='111'!$O$11,OR($L2256=$O$7,$M2256=$O$7)),"x","")</f>
        <v/>
      </c>
      <c r="P2256" s="525" t="str">
        <f>IF(AND($L2256=$O$7,$B2256&lt;'111'!$N$11),"x","")</f>
        <v/>
      </c>
      <c r="Q2256" s="525" t="str">
        <f>IF(AND($M2256=$O$7,$B2256&lt;'111'!$N$11),"x","")</f>
        <v/>
      </c>
      <c r="R2256" s="525" t="str">
        <f>IF(ISERROR(FIND('112'!$M$9,G2256,1)),"",IF((AND(FIND('112'!$M$9,G2256,1)&gt;=1,$B2256&gt;='112'!$N$8,$B2256&lt;='112'!$O$8,OR($L2256='112'!$I$6,$M2256='112'!$I$6))),"x",""))</f>
        <v/>
      </c>
      <c r="S2256" s="525" t="str">
        <f>IF(ISERROR(FIND('112'!$M$9,G2256,1)),"",IF((AND(LEFT(G2256,2)=LEFT('112'!$M$9,2),B2256&lt;'112'!$N$8,$L2256='112'!$I$6)),"x",""))</f>
        <v/>
      </c>
      <c r="T2256" s="525" t="str">
        <f>IF(ISERROR(FIND('112'!$M$9,G2256,1)),"",IF((AND(RIGHT(G2256,2)=RIGHT('112'!$M$9,2),B2256&lt;'112'!$N$8,$M2256='112'!$I$6)),"x",""))</f>
        <v/>
      </c>
      <c r="U2256" s="525" t="str">
        <f>IF(AND(B2256&gt;='IN-NX'!$P$3,B2256&lt;='IN-NX'!$Q$3,'IN-NX'!$D$7=D2256,OR(LEFT(L2256,2)="15",AND(LEFT(M2256,2)&lt;&gt;"15",LEFT(M2256,2)&lt;&gt;"33"))),"x","")</f>
        <v/>
      </c>
      <c r="V2256" s="525" t="str">
        <f>IF(AND(OR(LEFT(TH!L2256,2)="15",LEFT(TH!M2256,2)="15"),'152-CT'!$J$8=TH!F2256),"x","")</f>
        <v/>
      </c>
      <c r="W2256" s="525" t="str">
        <f>IF(AND(OR(LEFT(TH!L2256,2)="15",LEFT(TH!M2256,2)="15"),TK!$E$7=TH!F2256),"x","")</f>
        <v/>
      </c>
      <c r="X2256" s="525" t="str">
        <f>IF(AND('341-CT'!$E$9=H2256,OR(LEFT(L2256,3)=$X$7,LEFT(M2256,3)=$X$7)),"x","")</f>
        <v/>
      </c>
      <c r="Y2256" s="525" t="str">
        <f>IF(OR(TH!L2256=TH!$Y$7,M2256=TH!$Y$7),"x","")</f>
        <v/>
      </c>
      <c r="Z2256" s="525" t="str">
        <f>IF(AND(B2256&lt;=NKC!$N$8,B2256&gt;=NKC!$M$8),"x","")</f>
        <v/>
      </c>
      <c r="AA2256" s="535">
        <v>2</v>
      </c>
      <c r="AB2256" s="536"/>
    </row>
    <row r="2257" spans="1:30" s="503" customFormat="1" ht="15.75" customHeight="1">
      <c r="A2257" s="517" t="str">
        <f>IF(B2257&lt;&gt;"",IF(AND(B2257&gt;=_TM1,B2257&lt;=_TM2,OR(TH!L2257="1111",TH!M2257="1111")),TH!D2257,""),"")</f>
        <v/>
      </c>
      <c r="B2257" s="531">
        <f t="shared" si="208"/>
        <v>4</v>
      </c>
      <c r="C2257" s="315">
        <f t="shared" si="209"/>
        <v>42850</v>
      </c>
      <c r="D2257" s="315" t="s">
        <v>986</v>
      </c>
      <c r="E2257" s="315">
        <v>42850</v>
      </c>
      <c r="F2257" s="249" t="s">
        <v>1057</v>
      </c>
      <c r="G2257" s="314" t="s">
        <v>1070</v>
      </c>
      <c r="H2257" s="473" t="s">
        <v>447</v>
      </c>
      <c r="I2257" s="307">
        <v>30</v>
      </c>
      <c r="J2257" s="307">
        <v>71107</v>
      </c>
      <c r="K2257" s="532">
        <f t="shared" si="207"/>
        <v>2133210</v>
      </c>
      <c r="L2257" s="534" t="s">
        <v>292</v>
      </c>
      <c r="M2257" s="534" t="s">
        <v>8</v>
      </c>
      <c r="N2257" s="525" t="str">
        <f>IF(AND('331-CT'!$E$7=TH!H2257,OR(L2257="331",M2257="331")),"331",IF(AND(OR(L2257="131",M2257="131"),H2257='131-CT'!$E$7),"131",""))</f>
        <v/>
      </c>
      <c r="O2257" s="525" t="str">
        <f>IF(AND($B2257&gt;='111'!$N$11,$B2257&lt;='111'!$O$11,OR($L2257=$O$7,$M2257=$O$7)),"x","")</f>
        <v/>
      </c>
      <c r="P2257" s="525" t="str">
        <f>IF(AND($L2257=$O$7,$B2257&lt;'111'!$N$11),"x","")</f>
        <v/>
      </c>
      <c r="Q2257" s="525" t="str">
        <f>IF(AND($M2257=$O$7,$B2257&lt;'111'!$N$11),"x","")</f>
        <v/>
      </c>
      <c r="R2257" s="525" t="str">
        <f>IF(ISERROR(FIND('112'!$M$9,G2257,1)),"",IF((AND(FIND('112'!$M$9,G2257,1)&gt;=1,$B2257&gt;='112'!$N$8,$B2257&lt;='112'!$O$8,OR($L2257='112'!$I$6,$M2257='112'!$I$6))),"x",""))</f>
        <v/>
      </c>
      <c r="S2257" s="525" t="str">
        <f>IF(ISERROR(FIND('112'!$M$9,G2257,1)),"",IF((AND(LEFT(G2257,2)=LEFT('112'!$M$9,2),B2257&lt;'112'!$N$8,$L2257='112'!$I$6)),"x",""))</f>
        <v/>
      </c>
      <c r="T2257" s="525" t="str">
        <f>IF(ISERROR(FIND('112'!$M$9,G2257,1)),"",IF((AND(RIGHT(G2257,2)=RIGHT('112'!$M$9,2),B2257&lt;'112'!$N$8,$M2257='112'!$I$6)),"x",""))</f>
        <v/>
      </c>
      <c r="U2257" s="525" t="str">
        <f>IF(AND(B2257&gt;='IN-NX'!$P$3,B2257&lt;='IN-NX'!$Q$3,'IN-NX'!$D$7=D2257,OR(LEFT(L2257,2)="15",AND(LEFT(M2257,2)&lt;&gt;"15",LEFT(M2257,2)&lt;&gt;"33"))),"x","")</f>
        <v/>
      </c>
      <c r="V2257" s="525" t="str">
        <f>IF(AND(OR(LEFT(TH!L2257,2)="15",LEFT(TH!M2257,2)="15"),'152-CT'!$J$8=TH!F2257),"x","")</f>
        <v/>
      </c>
      <c r="W2257" s="525" t="str">
        <f>IF(AND(OR(LEFT(TH!L2257,2)="15",LEFT(TH!M2257,2)="15"),TK!$E$7=TH!F2257),"x","")</f>
        <v/>
      </c>
      <c r="X2257" s="525" t="str">
        <f>IF(AND('341-CT'!$E$9=H2257,OR(LEFT(L2257,3)=$X$7,LEFT(M2257,3)=$X$7)),"x","")</f>
        <v/>
      </c>
      <c r="Y2257" s="525" t="str">
        <f>IF(OR(TH!L2257=TH!$Y$7,M2257=TH!$Y$7),"x","")</f>
        <v/>
      </c>
      <c r="Z2257" s="525" t="str">
        <f>IF(AND(B2257&lt;=NKC!$N$8,B2257&gt;=NKC!$M$8),"x","")</f>
        <v/>
      </c>
      <c r="AA2257" s="535">
        <v>2</v>
      </c>
      <c r="AB2257" s="536"/>
    </row>
    <row r="2258" spans="1:30" s="503" customFormat="1" ht="15.75" customHeight="1">
      <c r="A2258" s="517" t="str">
        <f>IF(B2258&lt;&gt;"",IF(AND(B2258&gt;=_TM1,B2258&lt;=_TM2,OR(TH!L2258="1111",TH!M2258="1111")),TH!D2258,""),"")</f>
        <v/>
      </c>
      <c r="B2258" s="531">
        <f t="shared" si="208"/>
        <v>4</v>
      </c>
      <c r="C2258" s="315">
        <f t="shared" si="209"/>
        <v>42850</v>
      </c>
      <c r="D2258" s="315" t="s">
        <v>987</v>
      </c>
      <c r="E2258" s="315">
        <v>42850</v>
      </c>
      <c r="F2258" s="249" t="s">
        <v>1058</v>
      </c>
      <c r="G2258" s="314" t="s">
        <v>1070</v>
      </c>
      <c r="H2258" s="473" t="s">
        <v>447</v>
      </c>
      <c r="I2258" s="307">
        <v>20</v>
      </c>
      <c r="J2258" s="307">
        <v>43572</v>
      </c>
      <c r="K2258" s="532">
        <f t="shared" si="207"/>
        <v>871440</v>
      </c>
      <c r="L2258" s="534" t="s">
        <v>292</v>
      </c>
      <c r="M2258" s="534" t="s">
        <v>8</v>
      </c>
      <c r="N2258" s="525" t="str">
        <f>IF(AND('331-CT'!$E$7=TH!H2258,OR(L2258="331",M2258="331")),"331",IF(AND(OR(L2258="131",M2258="131"),H2258='131-CT'!$E$7),"131",""))</f>
        <v/>
      </c>
      <c r="O2258" s="525" t="str">
        <f>IF(AND($B2258&gt;='111'!$N$11,$B2258&lt;='111'!$O$11,OR($L2258=$O$7,$M2258=$O$7)),"x","")</f>
        <v/>
      </c>
      <c r="P2258" s="525" t="str">
        <f>IF(AND($L2258=$O$7,$B2258&lt;'111'!$N$11),"x","")</f>
        <v/>
      </c>
      <c r="Q2258" s="525" t="str">
        <f>IF(AND($M2258=$O$7,$B2258&lt;'111'!$N$11),"x","")</f>
        <v/>
      </c>
      <c r="R2258" s="525" t="str">
        <f>IF(ISERROR(FIND('112'!$M$9,G2258,1)),"",IF((AND(FIND('112'!$M$9,G2258,1)&gt;=1,$B2258&gt;='112'!$N$8,$B2258&lt;='112'!$O$8,OR($L2258='112'!$I$6,$M2258='112'!$I$6))),"x",""))</f>
        <v/>
      </c>
      <c r="S2258" s="525" t="str">
        <f>IF(ISERROR(FIND('112'!$M$9,G2258,1)),"",IF((AND(LEFT(G2258,2)=LEFT('112'!$M$9,2),B2258&lt;'112'!$N$8,$L2258='112'!$I$6)),"x",""))</f>
        <v/>
      </c>
      <c r="T2258" s="525" t="str">
        <f>IF(ISERROR(FIND('112'!$M$9,G2258,1)),"",IF((AND(RIGHT(G2258,2)=RIGHT('112'!$M$9,2),B2258&lt;'112'!$N$8,$M2258='112'!$I$6)),"x",""))</f>
        <v/>
      </c>
      <c r="U2258" s="525" t="str">
        <f>IF(AND(B2258&gt;='IN-NX'!$P$3,B2258&lt;='IN-NX'!$Q$3,'IN-NX'!$D$7=D2258,OR(LEFT(L2258,2)="15",AND(LEFT(M2258,2)&lt;&gt;"15",LEFT(M2258,2)&lt;&gt;"33"))),"x","")</f>
        <v/>
      </c>
      <c r="V2258" s="525" t="str">
        <f>IF(AND(OR(LEFT(TH!L2258,2)="15",LEFT(TH!M2258,2)="15"),'152-CT'!$J$8=TH!F2258),"x","")</f>
        <v/>
      </c>
      <c r="W2258" s="525" t="str">
        <f>IF(AND(OR(LEFT(TH!L2258,2)="15",LEFT(TH!M2258,2)="15"),TK!$E$7=TH!F2258),"x","")</f>
        <v/>
      </c>
      <c r="X2258" s="525" t="str">
        <f>IF(AND('341-CT'!$E$9=H2258,OR(LEFT(L2258,3)=$X$7,LEFT(M2258,3)=$X$7)),"x","")</f>
        <v/>
      </c>
      <c r="Y2258" s="525" t="str">
        <f>IF(OR(TH!L2258=TH!$Y$7,M2258=TH!$Y$7),"x","")</f>
        <v/>
      </c>
      <c r="Z2258" s="525" t="str">
        <f>IF(AND(B2258&lt;=NKC!$N$8,B2258&gt;=NKC!$M$8),"x","")</f>
        <v/>
      </c>
      <c r="AA2258" s="535">
        <v>2</v>
      </c>
      <c r="AB2258" s="536"/>
      <c r="AD2258" s="536"/>
    </row>
    <row r="2259" spans="1:30" s="503" customFormat="1" ht="15.75" customHeight="1">
      <c r="A2259" s="517" t="str">
        <f>IF(B2259&lt;&gt;"",IF(AND(B2259&gt;=_TM1,B2259&lt;=_TM2,OR(TH!L2259="1111",TH!M2259="1111")),TH!D2259,""),"")</f>
        <v/>
      </c>
      <c r="B2259" s="531">
        <f t="shared" si="208"/>
        <v>4</v>
      </c>
      <c r="C2259" s="315">
        <f t="shared" si="209"/>
        <v>42850</v>
      </c>
      <c r="D2259" s="315" t="s">
        <v>987</v>
      </c>
      <c r="E2259" s="315">
        <v>42850</v>
      </c>
      <c r="F2259" s="249" t="s">
        <v>657</v>
      </c>
      <c r="G2259" s="314" t="s">
        <v>1070</v>
      </c>
      <c r="H2259" s="473" t="s">
        <v>447</v>
      </c>
      <c r="I2259" s="307">
        <v>20</v>
      </c>
      <c r="J2259" s="307">
        <v>52543</v>
      </c>
      <c r="K2259" s="532">
        <f t="shared" si="207"/>
        <v>1050860</v>
      </c>
      <c r="L2259" s="534" t="s">
        <v>292</v>
      </c>
      <c r="M2259" s="534" t="s">
        <v>8</v>
      </c>
      <c r="N2259" s="525" t="str">
        <f>IF(AND('331-CT'!$E$7=TH!H2259,OR(L2259="331",M2259="331")),"331",IF(AND(OR(L2259="131",M2259="131"),H2259='131-CT'!$E$7),"131",""))</f>
        <v/>
      </c>
      <c r="O2259" s="525" t="str">
        <f>IF(AND($B2259&gt;='111'!$N$11,$B2259&lt;='111'!$O$11,OR($L2259=$O$7,$M2259=$O$7)),"x","")</f>
        <v/>
      </c>
      <c r="P2259" s="525" t="str">
        <f>IF(AND($L2259=$O$7,$B2259&lt;'111'!$N$11),"x","")</f>
        <v/>
      </c>
      <c r="Q2259" s="525" t="str">
        <f>IF(AND($M2259=$O$7,$B2259&lt;'111'!$N$11),"x","")</f>
        <v/>
      </c>
      <c r="R2259" s="525" t="str">
        <f>IF(ISERROR(FIND('112'!$M$9,G2259,1)),"",IF((AND(FIND('112'!$M$9,G2259,1)&gt;=1,$B2259&gt;='112'!$N$8,$B2259&lt;='112'!$O$8,OR($L2259='112'!$I$6,$M2259='112'!$I$6))),"x",""))</f>
        <v/>
      </c>
      <c r="S2259" s="525" t="str">
        <f>IF(ISERROR(FIND('112'!$M$9,G2259,1)),"",IF((AND(LEFT(G2259,2)=LEFT('112'!$M$9,2),B2259&lt;'112'!$N$8,$L2259='112'!$I$6)),"x",""))</f>
        <v/>
      </c>
      <c r="T2259" s="525" t="str">
        <f>IF(ISERROR(FIND('112'!$M$9,G2259,1)),"",IF((AND(RIGHT(G2259,2)=RIGHT('112'!$M$9,2),B2259&lt;'112'!$N$8,$M2259='112'!$I$6)),"x",""))</f>
        <v/>
      </c>
      <c r="U2259" s="525" t="str">
        <f>IF(AND(B2259&gt;='IN-NX'!$P$3,B2259&lt;='IN-NX'!$Q$3,'IN-NX'!$D$7=D2259,OR(LEFT(L2259,2)="15",AND(LEFT(M2259,2)&lt;&gt;"15",LEFT(M2259,2)&lt;&gt;"33"))),"x","")</f>
        <v/>
      </c>
      <c r="V2259" s="525" t="str">
        <f>IF(AND(OR(LEFT(TH!L2259,2)="15",LEFT(TH!M2259,2)="15"),'152-CT'!$J$8=TH!F2259),"x","")</f>
        <v/>
      </c>
      <c r="W2259" s="525" t="str">
        <f>IF(AND(OR(LEFT(TH!L2259,2)="15",LEFT(TH!M2259,2)="15"),TK!$E$7=TH!F2259),"x","")</f>
        <v/>
      </c>
      <c r="X2259" s="525" t="str">
        <f>IF(AND('341-CT'!$E$9=H2259,OR(LEFT(L2259,3)=$X$7,LEFT(M2259,3)=$X$7)),"x","")</f>
        <v/>
      </c>
      <c r="Y2259" s="525" t="str">
        <f>IF(OR(TH!L2259=TH!$Y$7,M2259=TH!$Y$7),"x","")</f>
        <v/>
      </c>
      <c r="Z2259" s="525" t="str">
        <f>IF(AND(B2259&lt;=NKC!$N$8,B2259&gt;=NKC!$M$8),"x","")</f>
        <v/>
      </c>
      <c r="AA2259" s="535">
        <v>2</v>
      </c>
      <c r="AB2259" s="536"/>
      <c r="AD2259" s="536"/>
    </row>
    <row r="2260" spans="1:30" s="503" customFormat="1" ht="15.75" customHeight="1">
      <c r="A2260" s="517" t="str">
        <f>IF(B2260&lt;&gt;"",IF(AND(B2260&gt;=_TM1,B2260&lt;=_TM2,OR(TH!L2260="1111",TH!M2260="1111")),TH!D2260,""),"")</f>
        <v/>
      </c>
      <c r="B2260" s="531">
        <f t="shared" si="208"/>
        <v>4</v>
      </c>
      <c r="C2260" s="315">
        <f t="shared" si="209"/>
        <v>42850</v>
      </c>
      <c r="D2260" s="315" t="s">
        <v>987</v>
      </c>
      <c r="E2260" s="315">
        <v>42850</v>
      </c>
      <c r="F2260" s="249" t="s">
        <v>761</v>
      </c>
      <c r="G2260" s="314" t="s">
        <v>1070</v>
      </c>
      <c r="H2260" s="473" t="s">
        <v>447</v>
      </c>
      <c r="I2260" s="307">
        <v>20</v>
      </c>
      <c r="J2260" s="307">
        <v>39020</v>
      </c>
      <c r="K2260" s="532">
        <f t="shared" si="207"/>
        <v>780400</v>
      </c>
      <c r="L2260" s="534" t="s">
        <v>292</v>
      </c>
      <c r="M2260" s="534" t="s">
        <v>8</v>
      </c>
      <c r="N2260" s="525" t="str">
        <f>IF(AND('331-CT'!$E$7=TH!H2260,OR(L2260="331",M2260="331")),"331",IF(AND(OR(L2260="131",M2260="131"),H2260='131-CT'!$E$7),"131",""))</f>
        <v/>
      </c>
      <c r="O2260" s="525" t="str">
        <f>IF(AND($B2260&gt;='111'!$N$11,$B2260&lt;='111'!$O$11,OR($L2260=$O$7,$M2260=$O$7)),"x","")</f>
        <v/>
      </c>
      <c r="P2260" s="525" t="str">
        <f>IF(AND($L2260=$O$7,$B2260&lt;'111'!$N$11),"x","")</f>
        <v/>
      </c>
      <c r="Q2260" s="525" t="str">
        <f>IF(AND($M2260=$O$7,$B2260&lt;'111'!$N$11),"x","")</f>
        <v/>
      </c>
      <c r="R2260" s="525" t="str">
        <f>IF(ISERROR(FIND('112'!$M$9,G2260,1)),"",IF((AND(FIND('112'!$M$9,G2260,1)&gt;=1,$B2260&gt;='112'!$N$8,$B2260&lt;='112'!$O$8,OR($L2260='112'!$I$6,$M2260='112'!$I$6))),"x",""))</f>
        <v/>
      </c>
      <c r="S2260" s="525" t="str">
        <f>IF(ISERROR(FIND('112'!$M$9,G2260,1)),"",IF((AND(LEFT(G2260,2)=LEFT('112'!$M$9,2),B2260&lt;'112'!$N$8,$L2260='112'!$I$6)),"x",""))</f>
        <v/>
      </c>
      <c r="T2260" s="525" t="str">
        <f>IF(ISERROR(FIND('112'!$M$9,G2260,1)),"",IF((AND(RIGHT(G2260,2)=RIGHT('112'!$M$9,2),B2260&lt;'112'!$N$8,$M2260='112'!$I$6)),"x",""))</f>
        <v/>
      </c>
      <c r="U2260" s="525" t="str">
        <f>IF(AND(B2260&gt;='IN-NX'!$P$3,B2260&lt;='IN-NX'!$Q$3,'IN-NX'!$D$7=D2260,OR(LEFT(L2260,2)="15",AND(LEFT(M2260,2)&lt;&gt;"15",LEFT(M2260,2)&lt;&gt;"33"))),"x","")</f>
        <v/>
      </c>
      <c r="V2260" s="525" t="str">
        <f>IF(AND(OR(LEFT(TH!L2260,2)="15",LEFT(TH!M2260,2)="15"),'152-CT'!$J$8=TH!F2260),"x","")</f>
        <v/>
      </c>
      <c r="W2260" s="525" t="str">
        <f>IF(AND(OR(LEFT(TH!L2260,2)="15",LEFT(TH!M2260,2)="15"),TK!$E$7=TH!F2260),"x","")</f>
        <v/>
      </c>
      <c r="X2260" s="525" t="str">
        <f>IF(AND('341-CT'!$E$9=H2260,OR(LEFT(L2260,3)=$X$7,LEFT(M2260,3)=$X$7)),"x","")</f>
        <v/>
      </c>
      <c r="Y2260" s="525" t="str">
        <f>IF(OR(TH!L2260=TH!$Y$7,M2260=TH!$Y$7),"x","")</f>
        <v/>
      </c>
      <c r="Z2260" s="525" t="str">
        <f>IF(AND(B2260&lt;=NKC!$N$8,B2260&gt;=NKC!$M$8),"x","")</f>
        <v/>
      </c>
      <c r="AA2260" s="535">
        <v>2</v>
      </c>
      <c r="AB2260" s="536"/>
      <c r="AD2260" s="536"/>
    </row>
    <row r="2261" spans="1:30" s="503" customFormat="1" ht="15.75" customHeight="1">
      <c r="A2261" s="517" t="str">
        <f>IF(B2261&lt;&gt;"",IF(AND(B2261&gt;=_TM1,B2261&lt;=_TM2,OR(TH!L2261="1111",TH!M2261="1111")),TH!D2261,""),"")</f>
        <v/>
      </c>
      <c r="B2261" s="531">
        <f t="shared" si="208"/>
        <v>4</v>
      </c>
      <c r="C2261" s="315">
        <f t="shared" si="209"/>
        <v>42850</v>
      </c>
      <c r="D2261" s="315" t="s">
        <v>987</v>
      </c>
      <c r="E2261" s="315">
        <v>42850</v>
      </c>
      <c r="F2261" s="249" t="s">
        <v>627</v>
      </c>
      <c r="G2261" s="314" t="s">
        <v>1070</v>
      </c>
      <c r="H2261" s="473" t="s">
        <v>447</v>
      </c>
      <c r="I2261" s="307">
        <v>50</v>
      </c>
      <c r="J2261" s="307">
        <v>51751</v>
      </c>
      <c r="K2261" s="532">
        <f t="shared" si="207"/>
        <v>2587550</v>
      </c>
      <c r="L2261" s="534" t="s">
        <v>292</v>
      </c>
      <c r="M2261" s="534" t="s">
        <v>8</v>
      </c>
      <c r="N2261" s="525" t="str">
        <f>IF(AND('331-CT'!$E$7=TH!H2261,OR(L2261="331",M2261="331")),"331",IF(AND(OR(L2261="131",M2261="131"),H2261='131-CT'!$E$7),"131",""))</f>
        <v/>
      </c>
      <c r="O2261" s="525" t="str">
        <f>IF(AND($B2261&gt;='111'!$N$11,$B2261&lt;='111'!$O$11,OR($L2261=$O$7,$M2261=$O$7)),"x","")</f>
        <v/>
      </c>
      <c r="P2261" s="525" t="str">
        <f>IF(AND($L2261=$O$7,$B2261&lt;'111'!$N$11),"x","")</f>
        <v/>
      </c>
      <c r="Q2261" s="525" t="str">
        <f>IF(AND($M2261=$O$7,$B2261&lt;'111'!$N$11),"x","")</f>
        <v/>
      </c>
      <c r="R2261" s="525" t="str">
        <f>IF(ISERROR(FIND('112'!$M$9,G2261,1)),"",IF((AND(FIND('112'!$M$9,G2261,1)&gt;=1,$B2261&gt;='112'!$N$8,$B2261&lt;='112'!$O$8,OR($L2261='112'!$I$6,$M2261='112'!$I$6))),"x",""))</f>
        <v/>
      </c>
      <c r="S2261" s="525" t="str">
        <f>IF(ISERROR(FIND('112'!$M$9,G2261,1)),"",IF((AND(LEFT(G2261,2)=LEFT('112'!$M$9,2),B2261&lt;'112'!$N$8,$L2261='112'!$I$6)),"x",""))</f>
        <v/>
      </c>
      <c r="T2261" s="525" t="str">
        <f>IF(ISERROR(FIND('112'!$M$9,G2261,1)),"",IF((AND(RIGHT(G2261,2)=RIGHT('112'!$M$9,2),B2261&lt;'112'!$N$8,$M2261='112'!$I$6)),"x",""))</f>
        <v/>
      </c>
      <c r="U2261" s="525" t="str">
        <f>IF(AND(B2261&gt;='IN-NX'!$P$3,B2261&lt;='IN-NX'!$Q$3,'IN-NX'!$D$7=D2261,OR(LEFT(L2261,2)="15",AND(LEFT(M2261,2)&lt;&gt;"15",LEFT(M2261,2)&lt;&gt;"33"))),"x","")</f>
        <v/>
      </c>
      <c r="V2261" s="525" t="str">
        <f>IF(AND(OR(LEFT(TH!L2261,2)="15",LEFT(TH!M2261,2)="15"),'152-CT'!$J$8=TH!F2261),"x","")</f>
        <v/>
      </c>
      <c r="W2261" s="525" t="str">
        <f>IF(AND(OR(LEFT(TH!L2261,2)="15",LEFT(TH!M2261,2)="15"),TK!$E$7=TH!F2261),"x","")</f>
        <v/>
      </c>
      <c r="X2261" s="525" t="str">
        <f>IF(AND('341-CT'!$E$9=H2261,OR(LEFT(L2261,3)=$X$7,LEFT(M2261,3)=$X$7)),"x","")</f>
        <v/>
      </c>
      <c r="Y2261" s="525" t="str">
        <f>IF(OR(TH!L2261=TH!$Y$7,M2261=TH!$Y$7),"x","")</f>
        <v/>
      </c>
      <c r="Z2261" s="525" t="str">
        <f>IF(AND(B2261&lt;=NKC!$N$8,B2261&gt;=NKC!$M$8),"x","")</f>
        <v/>
      </c>
      <c r="AA2261" s="535">
        <v>2</v>
      </c>
      <c r="AB2261" s="536"/>
    </row>
    <row r="2262" spans="1:30" s="503" customFormat="1" ht="15.75" customHeight="1">
      <c r="A2262" s="517" t="str">
        <f>IF(B2262&lt;&gt;"",IF(AND(B2262&gt;=_TM1,B2262&lt;=_TM2,OR(TH!L2262="1111",TH!M2262="1111")),TH!D2262,""),"")</f>
        <v/>
      </c>
      <c r="B2262" s="531">
        <f t="shared" si="208"/>
        <v>4</v>
      </c>
      <c r="C2262" s="315">
        <f t="shared" si="209"/>
        <v>42850</v>
      </c>
      <c r="D2262" s="315" t="s">
        <v>987</v>
      </c>
      <c r="E2262" s="315">
        <v>42850</v>
      </c>
      <c r="F2262" s="249" t="s">
        <v>755</v>
      </c>
      <c r="G2262" s="314" t="s">
        <v>1070</v>
      </c>
      <c r="H2262" s="473" t="s">
        <v>447</v>
      </c>
      <c r="I2262" s="307">
        <v>20</v>
      </c>
      <c r="J2262" s="307">
        <v>73425</v>
      </c>
      <c r="K2262" s="532">
        <f t="shared" si="207"/>
        <v>1468500</v>
      </c>
      <c r="L2262" s="534" t="s">
        <v>292</v>
      </c>
      <c r="M2262" s="534" t="s">
        <v>8</v>
      </c>
      <c r="N2262" s="525" t="str">
        <f>IF(AND('331-CT'!$E$7=TH!H2262,OR(L2262="331",M2262="331")),"331",IF(AND(OR(L2262="131",M2262="131"),H2262='131-CT'!$E$7),"131",""))</f>
        <v/>
      </c>
      <c r="O2262" s="525" t="str">
        <f>IF(AND($B2262&gt;='111'!$N$11,$B2262&lt;='111'!$O$11,OR($L2262=$O$7,$M2262=$O$7)),"x","")</f>
        <v/>
      </c>
      <c r="P2262" s="525" t="str">
        <f>IF(AND($L2262=$O$7,$B2262&lt;'111'!$N$11),"x","")</f>
        <v/>
      </c>
      <c r="Q2262" s="525" t="str">
        <f>IF(AND($M2262=$O$7,$B2262&lt;'111'!$N$11),"x","")</f>
        <v/>
      </c>
      <c r="R2262" s="525" t="str">
        <f>IF(ISERROR(FIND('112'!$M$9,G2262,1)),"",IF((AND(FIND('112'!$M$9,G2262,1)&gt;=1,$B2262&gt;='112'!$N$8,$B2262&lt;='112'!$O$8,OR($L2262='112'!$I$6,$M2262='112'!$I$6))),"x",""))</f>
        <v/>
      </c>
      <c r="S2262" s="525" t="str">
        <f>IF(ISERROR(FIND('112'!$M$9,G2262,1)),"",IF((AND(LEFT(G2262,2)=LEFT('112'!$M$9,2),B2262&lt;'112'!$N$8,$L2262='112'!$I$6)),"x",""))</f>
        <v/>
      </c>
      <c r="T2262" s="525" t="str">
        <f>IF(ISERROR(FIND('112'!$M$9,G2262,1)),"",IF((AND(RIGHT(G2262,2)=RIGHT('112'!$M$9,2),B2262&lt;'112'!$N$8,$M2262='112'!$I$6)),"x",""))</f>
        <v/>
      </c>
      <c r="U2262" s="525" t="str">
        <f>IF(AND(B2262&gt;='IN-NX'!$P$3,B2262&lt;='IN-NX'!$Q$3,'IN-NX'!$D$7=D2262,OR(LEFT(L2262,2)="15",AND(LEFT(M2262,2)&lt;&gt;"15",LEFT(M2262,2)&lt;&gt;"33"))),"x","")</f>
        <v/>
      </c>
      <c r="V2262" s="525" t="str">
        <f>IF(AND(OR(LEFT(TH!L2262,2)="15",LEFT(TH!M2262,2)="15"),'152-CT'!$J$8=TH!F2262),"x","")</f>
        <v/>
      </c>
      <c r="W2262" s="525" t="str">
        <f>IF(AND(OR(LEFT(TH!L2262,2)="15",LEFT(TH!M2262,2)="15"),TK!$E$7=TH!F2262),"x","")</f>
        <v/>
      </c>
      <c r="X2262" s="525" t="str">
        <f>IF(AND('341-CT'!$E$9=H2262,OR(LEFT(L2262,3)=$X$7,LEFT(M2262,3)=$X$7)),"x","")</f>
        <v/>
      </c>
      <c r="Y2262" s="525" t="str">
        <f>IF(OR(TH!L2262=TH!$Y$7,M2262=TH!$Y$7),"x","")</f>
        <v/>
      </c>
      <c r="Z2262" s="525" t="str">
        <f>IF(AND(B2262&lt;=NKC!$N$8,B2262&gt;=NKC!$M$8),"x","")</f>
        <v/>
      </c>
      <c r="AA2262" s="535">
        <v>2</v>
      </c>
      <c r="AB2262" s="536"/>
    </row>
    <row r="2263" spans="1:30" s="503" customFormat="1" ht="15.75" customHeight="1">
      <c r="A2263" s="517" t="str">
        <f>IF(B2263&lt;&gt;"",IF(AND(B2263&gt;=_TM1,B2263&lt;=_TM2,OR(TH!L2263="1111",TH!M2263="1111")),TH!D2263,""),"")</f>
        <v/>
      </c>
      <c r="B2263" s="531">
        <f t="shared" si="208"/>
        <v>4</v>
      </c>
      <c r="C2263" s="315">
        <f t="shared" si="209"/>
        <v>42850</v>
      </c>
      <c r="D2263" s="315" t="s">
        <v>987</v>
      </c>
      <c r="E2263" s="315">
        <v>42850</v>
      </c>
      <c r="F2263" s="249" t="s">
        <v>1059</v>
      </c>
      <c r="G2263" s="314" t="s">
        <v>1070</v>
      </c>
      <c r="H2263" s="473" t="s">
        <v>447</v>
      </c>
      <c r="I2263" s="307">
        <v>2</v>
      </c>
      <c r="J2263" s="307">
        <v>36740</v>
      </c>
      <c r="K2263" s="532">
        <f t="shared" si="207"/>
        <v>73480</v>
      </c>
      <c r="L2263" s="534" t="s">
        <v>292</v>
      </c>
      <c r="M2263" s="534" t="s">
        <v>8</v>
      </c>
      <c r="N2263" s="525" t="str">
        <f>IF(AND('331-CT'!$E$7=TH!H2263,OR(L2263="331",M2263="331")),"331",IF(AND(OR(L2263="131",M2263="131"),H2263='131-CT'!$E$7),"131",""))</f>
        <v/>
      </c>
      <c r="O2263" s="525" t="str">
        <f>IF(AND($B2263&gt;='111'!$N$11,$B2263&lt;='111'!$O$11,OR($L2263=$O$7,$M2263=$O$7)),"x","")</f>
        <v/>
      </c>
      <c r="P2263" s="525" t="str">
        <f>IF(AND($L2263=$O$7,$B2263&lt;'111'!$N$11),"x","")</f>
        <v/>
      </c>
      <c r="Q2263" s="525" t="str">
        <f>IF(AND($M2263=$O$7,$B2263&lt;'111'!$N$11),"x","")</f>
        <v/>
      </c>
      <c r="R2263" s="525" t="str">
        <f>IF(ISERROR(FIND('112'!$M$9,G2263,1)),"",IF((AND(FIND('112'!$M$9,G2263,1)&gt;=1,$B2263&gt;='112'!$N$8,$B2263&lt;='112'!$O$8,OR($L2263='112'!$I$6,$M2263='112'!$I$6))),"x",""))</f>
        <v/>
      </c>
      <c r="S2263" s="525" t="str">
        <f>IF(ISERROR(FIND('112'!$M$9,G2263,1)),"",IF((AND(LEFT(G2263,2)=LEFT('112'!$M$9,2),B2263&lt;'112'!$N$8,$L2263='112'!$I$6)),"x",""))</f>
        <v/>
      </c>
      <c r="T2263" s="525" t="str">
        <f>IF(ISERROR(FIND('112'!$M$9,G2263,1)),"",IF((AND(RIGHT(G2263,2)=RIGHT('112'!$M$9,2),B2263&lt;'112'!$N$8,$M2263='112'!$I$6)),"x",""))</f>
        <v/>
      </c>
      <c r="U2263" s="525" t="str">
        <f>IF(AND(B2263&gt;='IN-NX'!$P$3,B2263&lt;='IN-NX'!$Q$3,'IN-NX'!$D$7=D2263,OR(LEFT(L2263,2)="15",AND(LEFT(M2263,2)&lt;&gt;"15",LEFT(M2263,2)&lt;&gt;"33"))),"x","")</f>
        <v/>
      </c>
      <c r="V2263" s="525" t="str">
        <f>IF(AND(OR(LEFT(TH!L2263,2)="15",LEFT(TH!M2263,2)="15"),'152-CT'!$J$8=TH!F2263),"x","")</f>
        <v/>
      </c>
      <c r="W2263" s="525" t="str">
        <f>IF(AND(OR(LEFT(TH!L2263,2)="15",LEFT(TH!M2263,2)="15"),TK!$E$7=TH!F2263),"x","")</f>
        <v/>
      </c>
      <c r="X2263" s="525" t="str">
        <f>IF(AND('341-CT'!$E$9=H2263,OR(LEFT(L2263,3)=$X$7,LEFT(M2263,3)=$X$7)),"x","")</f>
        <v/>
      </c>
      <c r="Y2263" s="525" t="str">
        <f>IF(OR(TH!L2263=TH!$Y$7,M2263=TH!$Y$7),"x","")</f>
        <v/>
      </c>
      <c r="Z2263" s="525" t="str">
        <f>IF(AND(B2263&lt;=NKC!$N$8,B2263&gt;=NKC!$M$8),"x","")</f>
        <v/>
      </c>
      <c r="AA2263" s="535">
        <v>2</v>
      </c>
      <c r="AB2263" s="536"/>
    </row>
    <row r="2264" spans="1:30" s="503" customFormat="1" ht="15.75" customHeight="1">
      <c r="A2264" s="517" t="str">
        <f>IF(B2264&lt;&gt;"",IF(AND(B2264&gt;=_TM1,B2264&lt;=_TM2,OR(TH!L2264="1111",TH!M2264="1111")),TH!D2264,""),"")</f>
        <v/>
      </c>
      <c r="B2264" s="531">
        <f t="shared" si="208"/>
        <v>4</v>
      </c>
      <c r="C2264" s="315">
        <f t="shared" si="209"/>
        <v>42850</v>
      </c>
      <c r="D2264" s="315" t="s">
        <v>987</v>
      </c>
      <c r="E2264" s="315">
        <v>42850</v>
      </c>
      <c r="F2264" s="245" t="s">
        <v>1060</v>
      </c>
      <c r="G2264" s="314" t="s">
        <v>1070</v>
      </c>
      <c r="H2264" s="473" t="s">
        <v>447</v>
      </c>
      <c r="I2264" s="307">
        <v>2</v>
      </c>
      <c r="J2264" s="307">
        <v>41221</v>
      </c>
      <c r="K2264" s="532">
        <f t="shared" si="207"/>
        <v>82442</v>
      </c>
      <c r="L2264" s="534" t="s">
        <v>292</v>
      </c>
      <c r="M2264" s="534" t="s">
        <v>8</v>
      </c>
      <c r="N2264" s="525" t="str">
        <f>IF(AND('331-CT'!$E$7=TH!H2264,OR(L2264="331",M2264="331")),"331",IF(AND(OR(L2264="131",M2264="131"),H2264='131-CT'!$E$7),"131",""))</f>
        <v/>
      </c>
      <c r="O2264" s="525" t="str">
        <f>IF(AND($B2264&gt;='111'!$N$11,$B2264&lt;='111'!$O$11,OR($L2264=$O$7,$M2264=$O$7)),"x","")</f>
        <v/>
      </c>
      <c r="P2264" s="525" t="str">
        <f>IF(AND($L2264=$O$7,$B2264&lt;'111'!$N$11),"x","")</f>
        <v/>
      </c>
      <c r="Q2264" s="525" t="str">
        <f>IF(AND($M2264=$O$7,$B2264&lt;'111'!$N$11),"x","")</f>
        <v/>
      </c>
      <c r="R2264" s="525" t="str">
        <f>IF(ISERROR(FIND('112'!$M$9,G2264,1)),"",IF((AND(FIND('112'!$M$9,G2264,1)&gt;=1,$B2264&gt;='112'!$N$8,$B2264&lt;='112'!$O$8,OR($L2264='112'!$I$6,$M2264='112'!$I$6))),"x",""))</f>
        <v/>
      </c>
      <c r="S2264" s="525" t="str">
        <f>IF(ISERROR(FIND('112'!$M$9,G2264,1)),"",IF((AND(LEFT(G2264,2)=LEFT('112'!$M$9,2),B2264&lt;'112'!$N$8,$L2264='112'!$I$6)),"x",""))</f>
        <v/>
      </c>
      <c r="T2264" s="525" t="str">
        <f>IF(ISERROR(FIND('112'!$M$9,G2264,1)),"",IF((AND(RIGHT(G2264,2)=RIGHT('112'!$M$9,2),B2264&lt;'112'!$N$8,$M2264='112'!$I$6)),"x",""))</f>
        <v/>
      </c>
      <c r="U2264" s="525" t="str">
        <f>IF(AND(B2264&gt;='IN-NX'!$P$3,B2264&lt;='IN-NX'!$Q$3,'IN-NX'!$D$7=D2264,OR(LEFT(L2264,2)="15",AND(LEFT(M2264,2)&lt;&gt;"15",LEFT(M2264,2)&lt;&gt;"33"))),"x","")</f>
        <v/>
      </c>
      <c r="V2264" s="525" t="str">
        <f>IF(AND(OR(LEFT(TH!L2264,2)="15",LEFT(TH!M2264,2)="15"),'152-CT'!$J$8=TH!F2264),"x","")</f>
        <v/>
      </c>
      <c r="W2264" s="525" t="str">
        <f>IF(AND(OR(LEFT(TH!L2264,2)="15",LEFT(TH!M2264,2)="15"),TK!$E$7=TH!F2264),"x","")</f>
        <v/>
      </c>
      <c r="X2264" s="525" t="str">
        <f>IF(AND('341-CT'!$E$9=H2264,OR(LEFT(L2264,3)=$X$7,LEFT(M2264,3)=$X$7)),"x","")</f>
        <v/>
      </c>
      <c r="Y2264" s="525" t="str">
        <f>IF(OR(TH!L2264=TH!$Y$7,M2264=TH!$Y$7),"x","")</f>
        <v/>
      </c>
      <c r="Z2264" s="525" t="str">
        <f>IF(AND(B2264&lt;=NKC!$N$8,B2264&gt;=NKC!$M$8),"x","")</f>
        <v/>
      </c>
      <c r="AA2264" s="535">
        <v>2</v>
      </c>
      <c r="AB2264" s="536"/>
    </row>
    <row r="2265" spans="1:30" s="503" customFormat="1" ht="15.75" customHeight="1">
      <c r="A2265" s="517" t="str">
        <f>IF(B2265&lt;&gt;"",IF(AND(B2265&gt;=_TM1,B2265&lt;=_TM2,OR(TH!L2265="1111",TH!M2265="1111")),TH!D2265,""),"")</f>
        <v/>
      </c>
      <c r="B2265" s="531">
        <f t="shared" si="208"/>
        <v>4</v>
      </c>
      <c r="C2265" s="315">
        <f t="shared" si="209"/>
        <v>42850</v>
      </c>
      <c r="D2265" s="315" t="s">
        <v>987</v>
      </c>
      <c r="E2265" s="315">
        <v>42850</v>
      </c>
      <c r="F2265" s="249" t="s">
        <v>1061</v>
      </c>
      <c r="G2265" s="314" t="s">
        <v>1070</v>
      </c>
      <c r="H2265" s="473" t="s">
        <v>447</v>
      </c>
      <c r="I2265" s="307">
        <v>12</v>
      </c>
      <c r="J2265" s="307">
        <v>32016</v>
      </c>
      <c r="K2265" s="532">
        <f t="shared" si="207"/>
        <v>384192</v>
      </c>
      <c r="L2265" s="534" t="s">
        <v>292</v>
      </c>
      <c r="M2265" s="534" t="s">
        <v>8</v>
      </c>
      <c r="N2265" s="525" t="str">
        <f>IF(AND('331-CT'!$E$7=TH!H2265,OR(L2265="331",M2265="331")),"331",IF(AND(OR(L2265="131",M2265="131"),H2265='131-CT'!$E$7),"131",""))</f>
        <v/>
      </c>
      <c r="O2265" s="525" t="str">
        <f>IF(AND($B2265&gt;='111'!$N$11,$B2265&lt;='111'!$O$11,OR($L2265=$O$7,$M2265=$O$7)),"x","")</f>
        <v/>
      </c>
      <c r="P2265" s="525" t="str">
        <f>IF(AND($L2265=$O$7,$B2265&lt;'111'!$N$11),"x","")</f>
        <v/>
      </c>
      <c r="Q2265" s="525" t="str">
        <f>IF(AND($M2265=$O$7,$B2265&lt;'111'!$N$11),"x","")</f>
        <v/>
      </c>
      <c r="R2265" s="525" t="str">
        <f>IF(ISERROR(FIND('112'!$M$9,G2265,1)),"",IF((AND(FIND('112'!$M$9,G2265,1)&gt;=1,$B2265&gt;='112'!$N$8,$B2265&lt;='112'!$O$8,OR($L2265='112'!$I$6,$M2265='112'!$I$6))),"x",""))</f>
        <v/>
      </c>
      <c r="S2265" s="525" t="str">
        <f>IF(ISERROR(FIND('112'!$M$9,G2265,1)),"",IF((AND(LEFT(G2265,2)=LEFT('112'!$M$9,2),B2265&lt;'112'!$N$8,$L2265='112'!$I$6)),"x",""))</f>
        <v/>
      </c>
      <c r="T2265" s="525" t="str">
        <f>IF(ISERROR(FIND('112'!$M$9,G2265,1)),"",IF((AND(RIGHT(G2265,2)=RIGHT('112'!$M$9,2),B2265&lt;'112'!$N$8,$M2265='112'!$I$6)),"x",""))</f>
        <v/>
      </c>
      <c r="U2265" s="525" t="str">
        <f>IF(AND(B2265&gt;='IN-NX'!$P$3,B2265&lt;='IN-NX'!$Q$3,'IN-NX'!$D$7=D2265,OR(LEFT(L2265,2)="15",AND(LEFT(M2265,2)&lt;&gt;"15",LEFT(M2265,2)&lt;&gt;"33"))),"x","")</f>
        <v/>
      </c>
      <c r="V2265" s="525" t="str">
        <f>IF(AND(OR(LEFT(TH!L2265,2)="15",LEFT(TH!M2265,2)="15"),'152-CT'!$J$8=TH!F2265),"x","")</f>
        <v/>
      </c>
      <c r="W2265" s="525" t="str">
        <f>IF(AND(OR(LEFT(TH!L2265,2)="15",LEFT(TH!M2265,2)="15"),TK!$E$7=TH!F2265),"x","")</f>
        <v/>
      </c>
      <c r="X2265" s="525" t="str">
        <f>IF(AND('341-CT'!$E$9=H2265,OR(LEFT(L2265,3)=$X$7,LEFT(M2265,3)=$X$7)),"x","")</f>
        <v/>
      </c>
      <c r="Y2265" s="525" t="str">
        <f>IF(OR(TH!L2265=TH!$Y$7,M2265=TH!$Y$7),"x","")</f>
        <v/>
      </c>
      <c r="Z2265" s="525" t="str">
        <f>IF(AND(B2265&lt;=NKC!$N$8,B2265&gt;=NKC!$M$8),"x","")</f>
        <v/>
      </c>
      <c r="AA2265" s="535">
        <v>2</v>
      </c>
      <c r="AB2265" s="536"/>
    </row>
    <row r="2266" spans="1:30" s="503" customFormat="1" ht="15.75" customHeight="1">
      <c r="A2266" s="517" t="str">
        <f>IF(B2266&lt;&gt;"",IF(AND(B2266&gt;=_TM1,B2266&lt;=_TM2,OR(TH!L2266="1111",TH!M2266="1111")),TH!D2266,""),"")</f>
        <v/>
      </c>
      <c r="B2266" s="531">
        <f t="shared" si="208"/>
        <v>4</v>
      </c>
      <c r="C2266" s="315">
        <f t="shared" si="209"/>
        <v>42850</v>
      </c>
      <c r="D2266" s="315" t="s">
        <v>987</v>
      </c>
      <c r="E2266" s="315">
        <v>42850</v>
      </c>
      <c r="F2266" s="249" t="s">
        <v>1062</v>
      </c>
      <c r="G2266" s="314" t="s">
        <v>1070</v>
      </c>
      <c r="H2266" s="473" t="s">
        <v>447</v>
      </c>
      <c r="I2266" s="307">
        <v>7</v>
      </c>
      <c r="J2266" s="307">
        <v>77626</v>
      </c>
      <c r="K2266" s="532">
        <f t="shared" si="207"/>
        <v>543382</v>
      </c>
      <c r="L2266" s="534" t="s">
        <v>292</v>
      </c>
      <c r="M2266" s="534" t="s">
        <v>8</v>
      </c>
      <c r="N2266" s="525" t="str">
        <f>IF(AND('331-CT'!$E$7=TH!H2266,OR(L2266="331",M2266="331")),"331",IF(AND(OR(L2266="131",M2266="131"),H2266='131-CT'!$E$7),"131",""))</f>
        <v/>
      </c>
      <c r="O2266" s="525" t="str">
        <f>IF(AND($B2266&gt;='111'!$N$11,$B2266&lt;='111'!$O$11,OR($L2266=$O$7,$M2266=$O$7)),"x","")</f>
        <v/>
      </c>
      <c r="P2266" s="525" t="str">
        <f>IF(AND($L2266=$O$7,$B2266&lt;'111'!$N$11),"x","")</f>
        <v/>
      </c>
      <c r="Q2266" s="525" t="str">
        <f>IF(AND($M2266=$O$7,$B2266&lt;'111'!$N$11),"x","")</f>
        <v/>
      </c>
      <c r="R2266" s="525" t="str">
        <f>IF(ISERROR(FIND('112'!$M$9,G2266,1)),"",IF((AND(FIND('112'!$M$9,G2266,1)&gt;=1,$B2266&gt;='112'!$N$8,$B2266&lt;='112'!$O$8,OR($L2266='112'!$I$6,$M2266='112'!$I$6))),"x",""))</f>
        <v/>
      </c>
      <c r="S2266" s="525" t="str">
        <f>IF(ISERROR(FIND('112'!$M$9,G2266,1)),"",IF((AND(LEFT(G2266,2)=LEFT('112'!$M$9,2),B2266&lt;'112'!$N$8,$L2266='112'!$I$6)),"x",""))</f>
        <v/>
      </c>
      <c r="T2266" s="525" t="str">
        <f>IF(ISERROR(FIND('112'!$M$9,G2266,1)),"",IF((AND(RIGHT(G2266,2)=RIGHT('112'!$M$9,2),B2266&lt;'112'!$N$8,$M2266='112'!$I$6)),"x",""))</f>
        <v/>
      </c>
      <c r="U2266" s="525" t="str">
        <f>IF(AND(B2266&gt;='IN-NX'!$P$3,B2266&lt;='IN-NX'!$Q$3,'IN-NX'!$D$7=D2266,OR(LEFT(L2266,2)="15",AND(LEFT(M2266,2)&lt;&gt;"15",LEFT(M2266,2)&lt;&gt;"33"))),"x","")</f>
        <v/>
      </c>
      <c r="V2266" s="525" t="str">
        <f>IF(AND(OR(LEFT(TH!L2266,2)="15",LEFT(TH!M2266,2)="15"),'152-CT'!$J$8=TH!F2266),"x","")</f>
        <v/>
      </c>
      <c r="W2266" s="525" t="str">
        <f>IF(AND(OR(LEFT(TH!L2266,2)="15",LEFT(TH!M2266,2)="15"),TK!$E$7=TH!F2266),"x","")</f>
        <v/>
      </c>
      <c r="X2266" s="525" t="str">
        <f>IF(AND('341-CT'!$E$9=H2266,OR(LEFT(L2266,3)=$X$7,LEFT(M2266,3)=$X$7)),"x","")</f>
        <v/>
      </c>
      <c r="Y2266" s="525" t="str">
        <f>IF(OR(TH!L2266=TH!$Y$7,M2266=TH!$Y$7),"x","")</f>
        <v/>
      </c>
      <c r="Z2266" s="525" t="str">
        <f>IF(AND(B2266&lt;=NKC!$N$8,B2266&gt;=NKC!$M$8),"x","")</f>
        <v/>
      </c>
      <c r="AA2266" s="535">
        <v>2</v>
      </c>
      <c r="AB2266" s="536"/>
    </row>
    <row r="2267" spans="1:30" s="503" customFormat="1" ht="15.75" customHeight="1">
      <c r="A2267" s="517" t="str">
        <f>IF(B2267&lt;&gt;"",IF(AND(B2267&gt;=_TM1,B2267&lt;=_TM2,OR(TH!L2267="1111",TH!M2267="1111")),TH!D2267,""),"")</f>
        <v/>
      </c>
      <c r="B2267" s="531">
        <f t="shared" si="208"/>
        <v>4</v>
      </c>
      <c r="C2267" s="315">
        <f t="shared" si="209"/>
        <v>42850</v>
      </c>
      <c r="D2267" s="315" t="s">
        <v>987</v>
      </c>
      <c r="E2267" s="315">
        <v>42850</v>
      </c>
      <c r="F2267" s="249" t="s">
        <v>1063</v>
      </c>
      <c r="G2267" s="314" t="s">
        <v>1070</v>
      </c>
      <c r="H2267" s="473" t="s">
        <v>447</v>
      </c>
      <c r="I2267" s="307">
        <v>7</v>
      </c>
      <c r="J2267" s="307">
        <v>79803</v>
      </c>
      <c r="K2267" s="532">
        <f t="shared" si="207"/>
        <v>558621</v>
      </c>
      <c r="L2267" s="534" t="s">
        <v>292</v>
      </c>
      <c r="M2267" s="534" t="s">
        <v>8</v>
      </c>
      <c r="N2267" s="525" t="str">
        <f>IF(AND('331-CT'!$E$7=TH!H2267,OR(L2267="331",M2267="331")),"331",IF(AND(OR(L2267="131",M2267="131"),H2267='131-CT'!$E$7),"131",""))</f>
        <v/>
      </c>
      <c r="O2267" s="525" t="str">
        <f>IF(AND($B2267&gt;='111'!$N$11,$B2267&lt;='111'!$O$11,OR($L2267=$O$7,$M2267=$O$7)),"x","")</f>
        <v/>
      </c>
      <c r="P2267" s="525" t="str">
        <f>IF(AND($L2267=$O$7,$B2267&lt;'111'!$N$11),"x","")</f>
        <v/>
      </c>
      <c r="Q2267" s="525" t="str">
        <f>IF(AND($M2267=$O$7,$B2267&lt;'111'!$N$11),"x","")</f>
        <v/>
      </c>
      <c r="R2267" s="525" t="str">
        <f>IF(ISERROR(FIND('112'!$M$9,G2267,1)),"",IF((AND(FIND('112'!$M$9,G2267,1)&gt;=1,$B2267&gt;='112'!$N$8,$B2267&lt;='112'!$O$8,OR($L2267='112'!$I$6,$M2267='112'!$I$6))),"x",""))</f>
        <v/>
      </c>
      <c r="S2267" s="525" t="str">
        <f>IF(ISERROR(FIND('112'!$M$9,G2267,1)),"",IF((AND(LEFT(G2267,2)=LEFT('112'!$M$9,2),B2267&lt;'112'!$N$8,$L2267='112'!$I$6)),"x",""))</f>
        <v/>
      </c>
      <c r="T2267" s="525" t="str">
        <f>IF(ISERROR(FIND('112'!$M$9,G2267,1)),"",IF((AND(RIGHT(G2267,2)=RIGHT('112'!$M$9,2),B2267&lt;'112'!$N$8,$M2267='112'!$I$6)),"x",""))</f>
        <v/>
      </c>
      <c r="U2267" s="525" t="str">
        <f>IF(AND(B2267&gt;='IN-NX'!$P$3,B2267&lt;='IN-NX'!$Q$3,'IN-NX'!$D$7=D2267,OR(LEFT(L2267,2)="15",AND(LEFT(M2267,2)&lt;&gt;"15",LEFT(M2267,2)&lt;&gt;"33"))),"x","")</f>
        <v/>
      </c>
      <c r="V2267" s="525" t="str">
        <f>IF(AND(OR(LEFT(TH!L2267,2)="15",LEFT(TH!M2267,2)="15"),'152-CT'!$J$8=TH!F2267),"x","")</f>
        <v/>
      </c>
      <c r="W2267" s="525" t="str">
        <f>IF(AND(OR(LEFT(TH!L2267,2)="15",LEFT(TH!M2267,2)="15"),TK!$E$7=TH!F2267),"x","")</f>
        <v/>
      </c>
      <c r="X2267" s="525" t="str">
        <f>IF(AND('341-CT'!$E$9=H2267,OR(LEFT(L2267,3)=$X$7,LEFT(M2267,3)=$X$7)),"x","")</f>
        <v/>
      </c>
      <c r="Y2267" s="525" t="str">
        <f>IF(OR(TH!L2267=TH!$Y$7,M2267=TH!$Y$7),"x","")</f>
        <v/>
      </c>
      <c r="Z2267" s="525" t="str">
        <f>IF(AND(B2267&lt;=NKC!$N$8,B2267&gt;=NKC!$M$8),"x","")</f>
        <v/>
      </c>
      <c r="AA2267" s="535">
        <v>2</v>
      </c>
      <c r="AB2267" s="536"/>
    </row>
    <row r="2268" spans="1:30" s="503" customFormat="1" ht="15.75" customHeight="1">
      <c r="A2268" s="517" t="str">
        <f>IF(B2268&lt;&gt;"",IF(AND(B2268&gt;=_TM1,B2268&lt;=_TM2,OR(TH!L2268="1111",TH!M2268="1111")),TH!D2268,""),"")</f>
        <v/>
      </c>
      <c r="B2268" s="531">
        <f t="shared" si="208"/>
        <v>4</v>
      </c>
      <c r="C2268" s="315">
        <f t="shared" si="209"/>
        <v>42850</v>
      </c>
      <c r="D2268" s="315" t="s">
        <v>987</v>
      </c>
      <c r="E2268" s="315">
        <v>42850</v>
      </c>
      <c r="F2268" s="249" t="s">
        <v>704</v>
      </c>
      <c r="G2268" s="314" t="s">
        <v>1070</v>
      </c>
      <c r="H2268" s="473" t="s">
        <v>447</v>
      </c>
      <c r="I2268" s="307">
        <v>55</v>
      </c>
      <c r="J2268" s="307">
        <v>17250</v>
      </c>
      <c r="K2268" s="532">
        <f t="shared" si="207"/>
        <v>948750</v>
      </c>
      <c r="L2268" s="534" t="s">
        <v>292</v>
      </c>
      <c r="M2268" s="534" t="s">
        <v>8</v>
      </c>
      <c r="N2268" s="525" t="str">
        <f>IF(AND('331-CT'!$E$7=TH!H2268,OR(L2268="331",M2268="331")),"331",IF(AND(OR(L2268="131",M2268="131"),H2268='131-CT'!$E$7),"131",""))</f>
        <v/>
      </c>
      <c r="O2268" s="525" t="str">
        <f>IF(AND($B2268&gt;='111'!$N$11,$B2268&lt;='111'!$O$11,OR($L2268=$O$7,$M2268=$O$7)),"x","")</f>
        <v/>
      </c>
      <c r="P2268" s="525" t="str">
        <f>IF(AND($L2268=$O$7,$B2268&lt;'111'!$N$11),"x","")</f>
        <v/>
      </c>
      <c r="Q2268" s="525" t="str">
        <f>IF(AND($M2268=$O$7,$B2268&lt;'111'!$N$11),"x","")</f>
        <v/>
      </c>
      <c r="R2268" s="525" t="str">
        <f>IF(ISERROR(FIND('112'!$M$9,G2268,1)),"",IF((AND(FIND('112'!$M$9,G2268,1)&gt;=1,$B2268&gt;='112'!$N$8,$B2268&lt;='112'!$O$8,OR($L2268='112'!$I$6,$M2268='112'!$I$6))),"x",""))</f>
        <v/>
      </c>
      <c r="S2268" s="525" t="str">
        <f>IF(ISERROR(FIND('112'!$M$9,G2268,1)),"",IF((AND(LEFT(G2268,2)=LEFT('112'!$M$9,2),B2268&lt;'112'!$N$8,$L2268='112'!$I$6)),"x",""))</f>
        <v/>
      </c>
      <c r="T2268" s="525" t="str">
        <f>IF(ISERROR(FIND('112'!$M$9,G2268,1)),"",IF((AND(RIGHT(G2268,2)=RIGHT('112'!$M$9,2),B2268&lt;'112'!$N$8,$M2268='112'!$I$6)),"x",""))</f>
        <v/>
      </c>
      <c r="U2268" s="525" t="str">
        <f>IF(AND(B2268&gt;='IN-NX'!$P$3,B2268&lt;='IN-NX'!$Q$3,'IN-NX'!$D$7=D2268,OR(LEFT(L2268,2)="15",AND(LEFT(M2268,2)&lt;&gt;"15",LEFT(M2268,2)&lt;&gt;"33"))),"x","")</f>
        <v/>
      </c>
      <c r="V2268" s="525" t="str">
        <f>IF(AND(OR(LEFT(TH!L2268,2)="15",LEFT(TH!M2268,2)="15"),'152-CT'!$J$8=TH!F2268),"x","")</f>
        <v/>
      </c>
      <c r="W2268" s="525" t="str">
        <f>IF(AND(OR(LEFT(TH!L2268,2)="15",LEFT(TH!M2268,2)="15"),TK!$E$7=TH!F2268),"x","")</f>
        <v/>
      </c>
      <c r="X2268" s="525" t="str">
        <f>IF(AND('341-CT'!$E$9=H2268,OR(LEFT(L2268,3)=$X$7,LEFT(M2268,3)=$X$7)),"x","")</f>
        <v/>
      </c>
      <c r="Y2268" s="525" t="str">
        <f>IF(OR(TH!L2268=TH!$Y$7,M2268=TH!$Y$7),"x","")</f>
        <v/>
      </c>
      <c r="Z2268" s="525" t="str">
        <f>IF(AND(B2268&lt;=NKC!$N$8,B2268&gt;=NKC!$M$8),"x","")</f>
        <v/>
      </c>
      <c r="AA2268" s="535">
        <v>2</v>
      </c>
      <c r="AB2268" s="536"/>
    </row>
    <row r="2269" spans="1:30" s="503" customFormat="1" ht="15.75" customHeight="1">
      <c r="A2269" s="517" t="str">
        <f>IF(B2269&lt;&gt;"",IF(AND(B2269&gt;=_TM1,B2269&lt;=_TM2,OR(TH!L2269="1111",TH!M2269="1111")),TH!D2269,""),"")</f>
        <v/>
      </c>
      <c r="B2269" s="531">
        <f t="shared" si="208"/>
        <v>4</v>
      </c>
      <c r="C2269" s="315">
        <f t="shared" si="209"/>
        <v>42850</v>
      </c>
      <c r="D2269" s="315" t="s">
        <v>987</v>
      </c>
      <c r="E2269" s="315">
        <v>42850</v>
      </c>
      <c r="F2269" s="249" t="s">
        <v>1064</v>
      </c>
      <c r="G2269" s="314" t="s">
        <v>1070</v>
      </c>
      <c r="H2269" s="473" t="s">
        <v>447</v>
      </c>
      <c r="I2269" s="307">
        <v>10</v>
      </c>
      <c r="J2269" s="307">
        <v>15844</v>
      </c>
      <c r="K2269" s="532">
        <f t="shared" si="207"/>
        <v>158440</v>
      </c>
      <c r="L2269" s="534" t="s">
        <v>292</v>
      </c>
      <c r="M2269" s="534" t="s">
        <v>8</v>
      </c>
      <c r="N2269" s="525" t="str">
        <f>IF(AND('331-CT'!$E$7=TH!H2269,OR(L2269="331",M2269="331")),"331",IF(AND(OR(L2269="131",M2269="131"),H2269='131-CT'!$E$7),"131",""))</f>
        <v/>
      </c>
      <c r="O2269" s="525" t="str">
        <f>IF(AND($B2269&gt;='111'!$N$11,$B2269&lt;='111'!$O$11,OR($L2269=$O$7,$M2269=$O$7)),"x","")</f>
        <v/>
      </c>
      <c r="P2269" s="525" t="str">
        <f>IF(AND($L2269=$O$7,$B2269&lt;'111'!$N$11),"x","")</f>
        <v/>
      </c>
      <c r="Q2269" s="525" t="str">
        <f>IF(AND($M2269=$O$7,$B2269&lt;'111'!$N$11),"x","")</f>
        <v/>
      </c>
      <c r="R2269" s="525" t="str">
        <f>IF(ISERROR(FIND('112'!$M$9,G2269,1)),"",IF((AND(FIND('112'!$M$9,G2269,1)&gt;=1,$B2269&gt;='112'!$N$8,$B2269&lt;='112'!$O$8,OR($L2269='112'!$I$6,$M2269='112'!$I$6))),"x",""))</f>
        <v/>
      </c>
      <c r="S2269" s="525" t="str">
        <f>IF(ISERROR(FIND('112'!$M$9,G2269,1)),"",IF((AND(LEFT(G2269,2)=LEFT('112'!$M$9,2),B2269&lt;'112'!$N$8,$L2269='112'!$I$6)),"x",""))</f>
        <v/>
      </c>
      <c r="T2269" s="525" t="str">
        <f>IF(ISERROR(FIND('112'!$M$9,G2269,1)),"",IF((AND(RIGHT(G2269,2)=RIGHT('112'!$M$9,2),B2269&lt;'112'!$N$8,$M2269='112'!$I$6)),"x",""))</f>
        <v/>
      </c>
      <c r="U2269" s="525" t="str">
        <f>IF(AND(B2269&gt;='IN-NX'!$P$3,B2269&lt;='IN-NX'!$Q$3,'IN-NX'!$D$7=D2269,OR(LEFT(L2269,2)="15",AND(LEFT(M2269,2)&lt;&gt;"15",LEFT(M2269,2)&lt;&gt;"33"))),"x","")</f>
        <v/>
      </c>
      <c r="V2269" s="525" t="str">
        <f>IF(AND(OR(LEFT(TH!L2269,2)="15",LEFT(TH!M2269,2)="15"),'152-CT'!$J$8=TH!F2269),"x","")</f>
        <v/>
      </c>
      <c r="W2269" s="525" t="str">
        <f>IF(AND(OR(LEFT(TH!L2269,2)="15",LEFT(TH!M2269,2)="15"),TK!$E$7=TH!F2269),"x","")</f>
        <v/>
      </c>
      <c r="X2269" s="525" t="str">
        <f>IF(AND('341-CT'!$E$9=H2269,OR(LEFT(L2269,3)=$X$7,LEFT(M2269,3)=$X$7)),"x","")</f>
        <v/>
      </c>
      <c r="Y2269" s="525" t="str">
        <f>IF(OR(TH!L2269=TH!$Y$7,M2269=TH!$Y$7),"x","")</f>
        <v/>
      </c>
      <c r="Z2269" s="525" t="str">
        <f>IF(AND(B2269&lt;=NKC!$N$8,B2269&gt;=NKC!$M$8),"x","")</f>
        <v/>
      </c>
      <c r="AA2269" s="535">
        <v>2</v>
      </c>
      <c r="AB2269" s="536"/>
    </row>
    <row r="2270" spans="1:30" s="503" customFormat="1" ht="15.75" customHeight="1">
      <c r="A2270" s="517" t="str">
        <f>IF(B2270&lt;&gt;"",IF(AND(B2270&gt;=_TM1,B2270&lt;=_TM2,OR(TH!L2270="1111",TH!M2270="1111")),TH!D2270,""),"")</f>
        <v/>
      </c>
      <c r="B2270" s="531">
        <f t="shared" si="208"/>
        <v>4</v>
      </c>
      <c r="C2270" s="315">
        <f t="shared" si="209"/>
        <v>42850</v>
      </c>
      <c r="D2270" s="315" t="s">
        <v>988</v>
      </c>
      <c r="E2270" s="315">
        <v>42850</v>
      </c>
      <c r="F2270" s="249" t="s">
        <v>1065</v>
      </c>
      <c r="G2270" s="314" t="s">
        <v>1070</v>
      </c>
      <c r="H2270" s="473" t="s">
        <v>447</v>
      </c>
      <c r="I2270" s="307">
        <v>8</v>
      </c>
      <c r="J2270" s="307">
        <v>44247</v>
      </c>
      <c r="K2270" s="532">
        <f t="shared" si="207"/>
        <v>353976</v>
      </c>
      <c r="L2270" s="534" t="s">
        <v>292</v>
      </c>
      <c r="M2270" s="534" t="s">
        <v>8</v>
      </c>
      <c r="N2270" s="525" t="str">
        <f>IF(AND('331-CT'!$E$7=TH!H2270,OR(L2270="331",M2270="331")),"331",IF(AND(OR(L2270="131",M2270="131"),H2270='131-CT'!$E$7),"131",""))</f>
        <v/>
      </c>
      <c r="O2270" s="525" t="str">
        <f>IF(AND($B2270&gt;='111'!$N$11,$B2270&lt;='111'!$O$11,OR($L2270=$O$7,$M2270=$O$7)),"x","")</f>
        <v/>
      </c>
      <c r="P2270" s="525" t="str">
        <f>IF(AND($L2270=$O$7,$B2270&lt;'111'!$N$11),"x","")</f>
        <v/>
      </c>
      <c r="Q2270" s="525" t="str">
        <f>IF(AND($M2270=$O$7,$B2270&lt;'111'!$N$11),"x","")</f>
        <v/>
      </c>
      <c r="R2270" s="525" t="str">
        <f>IF(ISERROR(FIND('112'!$M$9,G2270,1)),"",IF((AND(FIND('112'!$M$9,G2270,1)&gt;=1,$B2270&gt;='112'!$N$8,$B2270&lt;='112'!$O$8,OR($L2270='112'!$I$6,$M2270='112'!$I$6))),"x",""))</f>
        <v/>
      </c>
      <c r="S2270" s="525" t="str">
        <f>IF(ISERROR(FIND('112'!$M$9,G2270,1)),"",IF((AND(LEFT(G2270,2)=LEFT('112'!$M$9,2),B2270&lt;'112'!$N$8,$L2270='112'!$I$6)),"x",""))</f>
        <v/>
      </c>
      <c r="T2270" s="525" t="str">
        <f>IF(ISERROR(FIND('112'!$M$9,G2270,1)),"",IF((AND(RIGHT(G2270,2)=RIGHT('112'!$M$9,2),B2270&lt;'112'!$N$8,$M2270='112'!$I$6)),"x",""))</f>
        <v/>
      </c>
      <c r="U2270" s="525" t="str">
        <f>IF(AND(B2270&gt;='IN-NX'!$P$3,B2270&lt;='IN-NX'!$Q$3,'IN-NX'!$D$7=D2270,OR(LEFT(L2270,2)="15",AND(LEFT(M2270,2)&lt;&gt;"15",LEFT(M2270,2)&lt;&gt;"33"))),"x","")</f>
        <v/>
      </c>
      <c r="V2270" s="525" t="str">
        <f>IF(AND(OR(LEFT(TH!L2270,2)="15",LEFT(TH!M2270,2)="15"),'152-CT'!$J$8=TH!F2270),"x","")</f>
        <v/>
      </c>
      <c r="W2270" s="525" t="str">
        <f>IF(AND(OR(LEFT(TH!L2270,2)="15",LEFT(TH!M2270,2)="15"),TK!$E$7=TH!F2270),"x","")</f>
        <v/>
      </c>
      <c r="X2270" s="525" t="str">
        <f>IF(AND('341-CT'!$E$9=H2270,OR(LEFT(L2270,3)=$X$7,LEFT(M2270,3)=$X$7)),"x","")</f>
        <v/>
      </c>
      <c r="Y2270" s="525" t="str">
        <f>IF(OR(TH!L2270=TH!$Y$7,M2270=TH!$Y$7),"x","")</f>
        <v/>
      </c>
      <c r="Z2270" s="525" t="str">
        <f>IF(AND(B2270&lt;=NKC!$N$8,B2270&gt;=NKC!$M$8),"x","")</f>
        <v/>
      </c>
      <c r="AA2270" s="535">
        <v>2</v>
      </c>
      <c r="AB2270" s="536"/>
    </row>
    <row r="2271" spans="1:30" s="503" customFormat="1" ht="15.75" customHeight="1">
      <c r="A2271" s="517" t="str">
        <f>IF(B2271&lt;&gt;"",IF(AND(B2271&gt;=_TM1,B2271&lt;=_TM2,OR(TH!L2271="1111",TH!M2271="1111")),TH!D2271,""),"")</f>
        <v/>
      </c>
      <c r="B2271" s="531">
        <f t="shared" si="208"/>
        <v>4</v>
      </c>
      <c r="C2271" s="315">
        <f t="shared" si="209"/>
        <v>42850</v>
      </c>
      <c r="D2271" s="315" t="s">
        <v>988</v>
      </c>
      <c r="E2271" s="315">
        <v>42850</v>
      </c>
      <c r="F2271" s="249" t="s">
        <v>1066</v>
      </c>
      <c r="G2271" s="314" t="s">
        <v>1070</v>
      </c>
      <c r="H2271" s="473" t="s">
        <v>447</v>
      </c>
      <c r="I2271" s="307">
        <v>8</v>
      </c>
      <c r="J2271" s="307">
        <v>76516</v>
      </c>
      <c r="K2271" s="532">
        <f t="shared" si="207"/>
        <v>612128</v>
      </c>
      <c r="L2271" s="534" t="s">
        <v>292</v>
      </c>
      <c r="M2271" s="534" t="s">
        <v>8</v>
      </c>
      <c r="N2271" s="525" t="str">
        <f>IF(AND('331-CT'!$E$7=TH!H2271,OR(L2271="331",M2271="331")),"331",IF(AND(OR(L2271="131",M2271="131"),H2271='131-CT'!$E$7),"131",""))</f>
        <v/>
      </c>
      <c r="O2271" s="525" t="str">
        <f>IF(AND($B2271&gt;='111'!$N$11,$B2271&lt;='111'!$O$11,OR($L2271=$O$7,$M2271=$O$7)),"x","")</f>
        <v/>
      </c>
      <c r="P2271" s="525" t="str">
        <f>IF(AND($L2271=$O$7,$B2271&lt;'111'!$N$11),"x","")</f>
        <v/>
      </c>
      <c r="Q2271" s="525" t="str">
        <f>IF(AND($M2271=$O$7,$B2271&lt;'111'!$N$11),"x","")</f>
        <v/>
      </c>
      <c r="R2271" s="525" t="str">
        <f>IF(ISERROR(FIND('112'!$M$9,G2271,1)),"",IF((AND(FIND('112'!$M$9,G2271,1)&gt;=1,$B2271&gt;='112'!$N$8,$B2271&lt;='112'!$O$8,OR($L2271='112'!$I$6,$M2271='112'!$I$6))),"x",""))</f>
        <v/>
      </c>
      <c r="S2271" s="525" t="str">
        <f>IF(ISERROR(FIND('112'!$M$9,G2271,1)),"",IF((AND(LEFT(G2271,2)=LEFT('112'!$M$9,2),B2271&lt;'112'!$N$8,$L2271='112'!$I$6)),"x",""))</f>
        <v/>
      </c>
      <c r="T2271" s="525" t="str">
        <f>IF(ISERROR(FIND('112'!$M$9,G2271,1)),"",IF((AND(RIGHT(G2271,2)=RIGHT('112'!$M$9,2),B2271&lt;'112'!$N$8,$M2271='112'!$I$6)),"x",""))</f>
        <v/>
      </c>
      <c r="U2271" s="525" t="str">
        <f>IF(AND(B2271&gt;='IN-NX'!$P$3,B2271&lt;='IN-NX'!$Q$3,'IN-NX'!$D$7=D2271,OR(LEFT(L2271,2)="15",AND(LEFT(M2271,2)&lt;&gt;"15",LEFT(M2271,2)&lt;&gt;"33"))),"x","")</f>
        <v/>
      </c>
      <c r="V2271" s="525" t="str">
        <f>IF(AND(OR(LEFT(TH!L2271,2)="15",LEFT(TH!M2271,2)="15"),'152-CT'!$J$8=TH!F2271),"x","")</f>
        <v/>
      </c>
      <c r="W2271" s="525" t="str">
        <f>IF(AND(OR(LEFT(TH!L2271,2)="15",LEFT(TH!M2271,2)="15"),TK!$E$7=TH!F2271),"x","")</f>
        <v/>
      </c>
      <c r="X2271" s="525" t="str">
        <f>IF(AND('341-CT'!$E$9=H2271,OR(LEFT(L2271,3)=$X$7,LEFT(M2271,3)=$X$7)),"x","")</f>
        <v/>
      </c>
      <c r="Y2271" s="525" t="str">
        <f>IF(OR(TH!L2271=TH!$Y$7,M2271=TH!$Y$7),"x","")</f>
        <v/>
      </c>
      <c r="Z2271" s="525" t="str">
        <f>IF(AND(B2271&lt;=NKC!$N$8,B2271&gt;=NKC!$M$8),"x","")</f>
        <v/>
      </c>
      <c r="AA2271" s="535">
        <v>2</v>
      </c>
      <c r="AB2271" s="536"/>
    </row>
    <row r="2272" spans="1:30" s="503" customFormat="1" ht="15.75" customHeight="1">
      <c r="A2272" s="517" t="str">
        <f>IF(B2272&lt;&gt;"",IF(AND(B2272&gt;=_TM1,B2272&lt;=_TM2,OR(TH!L2272="1111",TH!M2272="1111")),TH!D2272,""),"")</f>
        <v/>
      </c>
      <c r="B2272" s="531">
        <f t="shared" si="208"/>
        <v>4</v>
      </c>
      <c r="C2272" s="315">
        <f t="shared" si="209"/>
        <v>42850</v>
      </c>
      <c r="D2272" s="315" t="s">
        <v>988</v>
      </c>
      <c r="E2272" s="315">
        <v>42850</v>
      </c>
      <c r="F2272" s="249" t="s">
        <v>1067</v>
      </c>
      <c r="G2272" s="314" t="s">
        <v>1070</v>
      </c>
      <c r="H2272" s="473" t="s">
        <v>447</v>
      </c>
      <c r="I2272" s="307">
        <v>6</v>
      </c>
      <c r="J2272" s="307">
        <v>41337</v>
      </c>
      <c r="K2272" s="532">
        <f t="shared" si="207"/>
        <v>248022</v>
      </c>
      <c r="L2272" s="534" t="s">
        <v>292</v>
      </c>
      <c r="M2272" s="534" t="s">
        <v>8</v>
      </c>
      <c r="N2272" s="525" t="str">
        <f>IF(AND('331-CT'!$E$7=TH!H2272,OR(L2272="331",M2272="331")),"331",IF(AND(OR(L2272="131",M2272="131"),H2272='131-CT'!$E$7),"131",""))</f>
        <v/>
      </c>
      <c r="O2272" s="525" t="str">
        <f>IF(AND($B2272&gt;='111'!$N$11,$B2272&lt;='111'!$O$11,OR($L2272=$O$7,$M2272=$O$7)),"x","")</f>
        <v/>
      </c>
      <c r="P2272" s="525" t="str">
        <f>IF(AND($L2272=$O$7,$B2272&lt;'111'!$N$11),"x","")</f>
        <v/>
      </c>
      <c r="Q2272" s="525" t="str">
        <f>IF(AND($M2272=$O$7,$B2272&lt;'111'!$N$11),"x","")</f>
        <v/>
      </c>
      <c r="R2272" s="525" t="str">
        <f>IF(ISERROR(FIND('112'!$M$9,G2272,1)),"",IF((AND(FIND('112'!$M$9,G2272,1)&gt;=1,$B2272&gt;='112'!$N$8,$B2272&lt;='112'!$O$8,OR($L2272='112'!$I$6,$M2272='112'!$I$6))),"x",""))</f>
        <v/>
      </c>
      <c r="S2272" s="525" t="str">
        <f>IF(ISERROR(FIND('112'!$M$9,G2272,1)),"",IF((AND(LEFT(G2272,2)=LEFT('112'!$M$9,2),B2272&lt;'112'!$N$8,$L2272='112'!$I$6)),"x",""))</f>
        <v/>
      </c>
      <c r="T2272" s="525" t="str">
        <f>IF(ISERROR(FIND('112'!$M$9,G2272,1)),"",IF((AND(RIGHT(G2272,2)=RIGHT('112'!$M$9,2),B2272&lt;'112'!$N$8,$M2272='112'!$I$6)),"x",""))</f>
        <v/>
      </c>
      <c r="U2272" s="525" t="str">
        <f>IF(AND(B2272&gt;='IN-NX'!$P$3,B2272&lt;='IN-NX'!$Q$3,'IN-NX'!$D$7=D2272,OR(LEFT(L2272,2)="15",AND(LEFT(M2272,2)&lt;&gt;"15",LEFT(M2272,2)&lt;&gt;"33"))),"x","")</f>
        <v/>
      </c>
      <c r="V2272" s="525" t="str">
        <f>IF(AND(OR(LEFT(TH!L2272,2)="15",LEFT(TH!M2272,2)="15"),'152-CT'!$J$8=TH!F2272),"x","")</f>
        <v/>
      </c>
      <c r="W2272" s="525" t="str">
        <f>IF(AND(OR(LEFT(TH!L2272,2)="15",LEFT(TH!M2272,2)="15"),TK!$E$7=TH!F2272),"x","")</f>
        <v/>
      </c>
      <c r="X2272" s="525" t="str">
        <f>IF(AND('341-CT'!$E$9=H2272,OR(LEFT(L2272,3)=$X$7,LEFT(M2272,3)=$X$7)),"x","")</f>
        <v/>
      </c>
      <c r="Y2272" s="525" t="str">
        <f>IF(OR(TH!L2272=TH!$Y$7,M2272=TH!$Y$7),"x","")</f>
        <v/>
      </c>
      <c r="Z2272" s="525" t="str">
        <f>IF(AND(B2272&lt;=NKC!$N$8,B2272&gt;=NKC!$M$8),"x","")</f>
        <v/>
      </c>
      <c r="AA2272" s="535">
        <v>2</v>
      </c>
      <c r="AB2272" s="536"/>
    </row>
    <row r="2273" spans="1:28" s="503" customFormat="1" ht="15.75" customHeight="1">
      <c r="A2273" s="517" t="str">
        <f>IF(B2273&lt;&gt;"",IF(AND(B2273&gt;=_TM1,B2273&lt;=_TM2,OR(TH!L2273="1111",TH!M2273="1111")),TH!D2273,""),"")</f>
        <v/>
      </c>
      <c r="B2273" s="531">
        <f t="shared" si="208"/>
        <v>4</v>
      </c>
      <c r="C2273" s="315">
        <f t="shared" si="209"/>
        <v>42850</v>
      </c>
      <c r="D2273" s="315" t="s">
        <v>988</v>
      </c>
      <c r="E2273" s="315">
        <v>42850</v>
      </c>
      <c r="F2273" s="249" t="s">
        <v>730</v>
      </c>
      <c r="G2273" s="314" t="s">
        <v>1070</v>
      </c>
      <c r="H2273" s="473" t="s">
        <v>447</v>
      </c>
      <c r="I2273" s="307">
        <v>12</v>
      </c>
      <c r="J2273" s="307">
        <v>36740</v>
      </c>
      <c r="K2273" s="532">
        <f t="shared" si="207"/>
        <v>440880</v>
      </c>
      <c r="L2273" s="534" t="s">
        <v>292</v>
      </c>
      <c r="M2273" s="534" t="s">
        <v>8</v>
      </c>
      <c r="N2273" s="525" t="str">
        <f>IF(AND('331-CT'!$E$7=TH!H2273,OR(L2273="331",M2273="331")),"331",IF(AND(OR(L2273="131",M2273="131"),H2273='131-CT'!$E$7),"131",""))</f>
        <v/>
      </c>
      <c r="O2273" s="525" t="str">
        <f>IF(AND($B2273&gt;='111'!$N$11,$B2273&lt;='111'!$O$11,OR($L2273=$O$7,$M2273=$O$7)),"x","")</f>
        <v/>
      </c>
      <c r="P2273" s="525" t="str">
        <f>IF(AND($L2273=$O$7,$B2273&lt;'111'!$N$11),"x","")</f>
        <v/>
      </c>
      <c r="Q2273" s="525" t="str">
        <f>IF(AND($M2273=$O$7,$B2273&lt;'111'!$N$11),"x","")</f>
        <v/>
      </c>
      <c r="R2273" s="525" t="str">
        <f>IF(ISERROR(FIND('112'!$M$9,G2273,1)),"",IF((AND(FIND('112'!$M$9,G2273,1)&gt;=1,$B2273&gt;='112'!$N$8,$B2273&lt;='112'!$O$8,OR($L2273='112'!$I$6,$M2273='112'!$I$6))),"x",""))</f>
        <v/>
      </c>
      <c r="S2273" s="525" t="str">
        <f>IF(ISERROR(FIND('112'!$M$9,G2273,1)),"",IF((AND(LEFT(G2273,2)=LEFT('112'!$M$9,2),B2273&lt;'112'!$N$8,$L2273='112'!$I$6)),"x",""))</f>
        <v/>
      </c>
      <c r="T2273" s="525" t="str">
        <f>IF(ISERROR(FIND('112'!$M$9,G2273,1)),"",IF((AND(RIGHT(G2273,2)=RIGHT('112'!$M$9,2),B2273&lt;'112'!$N$8,$M2273='112'!$I$6)),"x",""))</f>
        <v/>
      </c>
      <c r="U2273" s="525" t="str">
        <f>IF(AND(B2273&gt;='IN-NX'!$P$3,B2273&lt;='IN-NX'!$Q$3,'IN-NX'!$D$7=D2273,OR(LEFT(L2273,2)="15",AND(LEFT(M2273,2)&lt;&gt;"15",LEFT(M2273,2)&lt;&gt;"33"))),"x","")</f>
        <v/>
      </c>
      <c r="V2273" s="525" t="str">
        <f>IF(AND(OR(LEFT(TH!L2273,2)="15",LEFT(TH!M2273,2)="15"),'152-CT'!$J$8=TH!F2273),"x","")</f>
        <v/>
      </c>
      <c r="W2273" s="525" t="str">
        <f>IF(AND(OR(LEFT(TH!L2273,2)="15",LEFT(TH!M2273,2)="15"),TK!$E$7=TH!F2273),"x","")</f>
        <v/>
      </c>
      <c r="X2273" s="525" t="str">
        <f>IF(AND('341-CT'!$E$9=H2273,OR(LEFT(L2273,3)=$X$7,LEFT(M2273,3)=$X$7)),"x","")</f>
        <v/>
      </c>
      <c r="Y2273" s="525" t="str">
        <f>IF(OR(TH!L2273=TH!$Y$7,M2273=TH!$Y$7),"x","")</f>
        <v/>
      </c>
      <c r="Z2273" s="525" t="str">
        <f>IF(AND(B2273&lt;=NKC!$N$8,B2273&gt;=NKC!$M$8),"x","")</f>
        <v/>
      </c>
      <c r="AA2273" s="535">
        <v>2</v>
      </c>
      <c r="AB2273" s="536"/>
    </row>
    <row r="2274" spans="1:28" s="503" customFormat="1" ht="15.75" customHeight="1">
      <c r="A2274" s="517" t="str">
        <f>IF(B2274&lt;&gt;"",IF(AND(B2274&gt;=_TM1,B2274&lt;=_TM2,OR(TH!L2274="1111",TH!M2274="1111")),TH!D2274,""),"")</f>
        <v/>
      </c>
      <c r="B2274" s="531">
        <f t="shared" si="208"/>
        <v>4</v>
      </c>
      <c r="C2274" s="315">
        <f t="shared" si="209"/>
        <v>42850</v>
      </c>
      <c r="D2274" s="315" t="s">
        <v>988</v>
      </c>
      <c r="E2274" s="315">
        <v>42850</v>
      </c>
      <c r="F2274" s="249" t="s">
        <v>679</v>
      </c>
      <c r="G2274" s="314" t="s">
        <v>1070</v>
      </c>
      <c r="H2274" s="473" t="s">
        <v>447</v>
      </c>
      <c r="I2274" s="307">
        <v>12</v>
      </c>
      <c r="J2274" s="307">
        <v>45701</v>
      </c>
      <c r="K2274" s="532">
        <f t="shared" si="207"/>
        <v>548412</v>
      </c>
      <c r="L2274" s="534" t="s">
        <v>292</v>
      </c>
      <c r="M2274" s="534" t="s">
        <v>8</v>
      </c>
      <c r="N2274" s="525" t="str">
        <f>IF(AND('331-CT'!$E$7=TH!H2274,OR(L2274="331",M2274="331")),"331",IF(AND(OR(L2274="131",M2274="131"),H2274='131-CT'!$E$7),"131",""))</f>
        <v/>
      </c>
      <c r="O2274" s="525" t="str">
        <f>IF(AND($B2274&gt;='111'!$N$11,$B2274&lt;='111'!$O$11,OR($L2274=$O$7,$M2274=$O$7)),"x","")</f>
        <v/>
      </c>
      <c r="P2274" s="525" t="str">
        <f>IF(AND($L2274=$O$7,$B2274&lt;'111'!$N$11),"x","")</f>
        <v/>
      </c>
      <c r="Q2274" s="525" t="str">
        <f>IF(AND($M2274=$O$7,$B2274&lt;'111'!$N$11),"x","")</f>
        <v/>
      </c>
      <c r="R2274" s="525" t="str">
        <f>IF(ISERROR(FIND('112'!$M$9,G2274,1)),"",IF((AND(FIND('112'!$M$9,G2274,1)&gt;=1,$B2274&gt;='112'!$N$8,$B2274&lt;='112'!$O$8,OR($L2274='112'!$I$6,$M2274='112'!$I$6))),"x",""))</f>
        <v/>
      </c>
      <c r="S2274" s="525" t="str">
        <f>IF(ISERROR(FIND('112'!$M$9,G2274,1)),"",IF((AND(LEFT(G2274,2)=LEFT('112'!$M$9,2),B2274&lt;'112'!$N$8,$L2274='112'!$I$6)),"x",""))</f>
        <v/>
      </c>
      <c r="T2274" s="525" t="str">
        <f>IF(ISERROR(FIND('112'!$M$9,G2274,1)),"",IF((AND(RIGHT(G2274,2)=RIGHT('112'!$M$9,2),B2274&lt;'112'!$N$8,$M2274='112'!$I$6)),"x",""))</f>
        <v/>
      </c>
      <c r="U2274" s="525" t="str">
        <f>IF(AND(B2274&gt;='IN-NX'!$P$3,B2274&lt;='IN-NX'!$Q$3,'IN-NX'!$D$7=D2274,OR(LEFT(L2274,2)="15",AND(LEFT(M2274,2)&lt;&gt;"15",LEFT(M2274,2)&lt;&gt;"33"))),"x","")</f>
        <v/>
      </c>
      <c r="V2274" s="525" t="str">
        <f>IF(AND(OR(LEFT(TH!L2274,2)="15",LEFT(TH!M2274,2)="15"),'152-CT'!$J$8=TH!F2274),"x","")</f>
        <v/>
      </c>
      <c r="W2274" s="525" t="str">
        <f>IF(AND(OR(LEFT(TH!L2274,2)="15",LEFT(TH!M2274,2)="15"),TK!$E$7=TH!F2274),"x","")</f>
        <v/>
      </c>
      <c r="X2274" s="525" t="str">
        <f>IF(AND('341-CT'!$E$9=H2274,OR(LEFT(L2274,3)=$X$7,LEFT(M2274,3)=$X$7)),"x","")</f>
        <v/>
      </c>
      <c r="Y2274" s="525" t="str">
        <f>IF(OR(TH!L2274=TH!$Y$7,M2274=TH!$Y$7),"x","")</f>
        <v/>
      </c>
      <c r="Z2274" s="525" t="str">
        <f>IF(AND(B2274&lt;=NKC!$N$8,B2274&gt;=NKC!$M$8),"x","")</f>
        <v/>
      </c>
      <c r="AA2274" s="535">
        <v>2</v>
      </c>
      <c r="AB2274" s="536"/>
    </row>
    <row r="2275" spans="1:28" s="503" customFormat="1" ht="15.75" customHeight="1">
      <c r="A2275" s="517" t="str">
        <f>IF(B2275&lt;&gt;"",IF(AND(B2275&gt;=_TM1,B2275&lt;=_TM2,OR(TH!L2275="1111",TH!M2275="1111")),TH!D2275,""),"")</f>
        <v/>
      </c>
      <c r="B2275" s="531">
        <f t="shared" si="208"/>
        <v>4</v>
      </c>
      <c r="C2275" s="315">
        <f t="shared" si="209"/>
        <v>42850</v>
      </c>
      <c r="D2275" s="315" t="s">
        <v>988</v>
      </c>
      <c r="E2275" s="315">
        <v>42850</v>
      </c>
      <c r="F2275" s="249" t="s">
        <v>1068</v>
      </c>
      <c r="G2275" s="314" t="s">
        <v>1070</v>
      </c>
      <c r="H2275" s="473" t="s">
        <v>447</v>
      </c>
      <c r="I2275" s="307">
        <v>12</v>
      </c>
      <c r="J2275" s="307">
        <v>52422</v>
      </c>
      <c r="K2275" s="532">
        <f t="shared" si="207"/>
        <v>629064</v>
      </c>
      <c r="L2275" s="534" t="s">
        <v>292</v>
      </c>
      <c r="M2275" s="534" t="s">
        <v>8</v>
      </c>
      <c r="N2275" s="525" t="str">
        <f>IF(AND('331-CT'!$E$7=TH!H2275,OR(L2275="331",M2275="331")),"331",IF(AND(OR(L2275="131",M2275="131"),H2275='131-CT'!$E$7),"131",""))</f>
        <v/>
      </c>
      <c r="O2275" s="525" t="str">
        <f>IF(AND($B2275&gt;='111'!$N$11,$B2275&lt;='111'!$O$11,OR($L2275=$O$7,$M2275=$O$7)),"x","")</f>
        <v/>
      </c>
      <c r="P2275" s="525" t="str">
        <f>IF(AND($L2275=$O$7,$B2275&lt;'111'!$N$11),"x","")</f>
        <v/>
      </c>
      <c r="Q2275" s="525" t="str">
        <f>IF(AND($M2275=$O$7,$B2275&lt;'111'!$N$11),"x","")</f>
        <v/>
      </c>
      <c r="R2275" s="525" t="str">
        <f>IF(ISERROR(FIND('112'!$M$9,G2275,1)),"",IF((AND(FIND('112'!$M$9,G2275,1)&gt;=1,$B2275&gt;='112'!$N$8,$B2275&lt;='112'!$O$8,OR($L2275='112'!$I$6,$M2275='112'!$I$6))),"x",""))</f>
        <v/>
      </c>
      <c r="S2275" s="525" t="str">
        <f>IF(ISERROR(FIND('112'!$M$9,G2275,1)),"",IF((AND(LEFT(G2275,2)=LEFT('112'!$M$9,2),B2275&lt;'112'!$N$8,$L2275='112'!$I$6)),"x",""))</f>
        <v/>
      </c>
      <c r="T2275" s="525" t="str">
        <f>IF(ISERROR(FIND('112'!$M$9,G2275,1)),"",IF((AND(RIGHT(G2275,2)=RIGHT('112'!$M$9,2),B2275&lt;'112'!$N$8,$M2275='112'!$I$6)),"x",""))</f>
        <v/>
      </c>
      <c r="U2275" s="525" t="str">
        <f>IF(AND(B2275&gt;='IN-NX'!$P$3,B2275&lt;='IN-NX'!$Q$3,'IN-NX'!$D$7=D2275,OR(LEFT(L2275,2)="15",AND(LEFT(M2275,2)&lt;&gt;"15",LEFT(M2275,2)&lt;&gt;"33"))),"x","")</f>
        <v/>
      </c>
      <c r="V2275" s="525" t="str">
        <f>IF(AND(OR(LEFT(TH!L2275,2)="15",LEFT(TH!M2275,2)="15"),'152-CT'!$J$8=TH!F2275),"x","")</f>
        <v/>
      </c>
      <c r="W2275" s="525" t="str">
        <f>IF(AND(OR(LEFT(TH!L2275,2)="15",LEFT(TH!M2275,2)="15"),TK!$E$7=TH!F2275),"x","")</f>
        <v/>
      </c>
      <c r="X2275" s="525" t="str">
        <f>IF(AND('341-CT'!$E$9=H2275,OR(LEFT(L2275,3)=$X$7,LEFT(M2275,3)=$X$7)),"x","")</f>
        <v/>
      </c>
      <c r="Y2275" s="525" t="str">
        <f>IF(OR(TH!L2275=TH!$Y$7,M2275=TH!$Y$7),"x","")</f>
        <v/>
      </c>
      <c r="Z2275" s="525" t="str">
        <f>IF(AND(B2275&lt;=NKC!$N$8,B2275&gt;=NKC!$M$8),"x","")</f>
        <v/>
      </c>
      <c r="AA2275" s="535">
        <v>2</v>
      </c>
      <c r="AB2275" s="536"/>
    </row>
    <row r="2276" spans="1:28" s="503" customFormat="1" ht="15.75" customHeight="1">
      <c r="A2276" s="517" t="str">
        <f>IF(B2276&lt;&gt;"",IF(AND(B2276&gt;=_TM1,B2276&lt;=_TM2,OR(TH!L2276="1111",TH!M2276="1111")),TH!D2276,""),"")</f>
        <v/>
      </c>
      <c r="B2276" s="531">
        <f t="shared" si="208"/>
        <v>4</v>
      </c>
      <c r="C2276" s="315">
        <f t="shared" si="209"/>
        <v>42850</v>
      </c>
      <c r="D2276" s="315" t="s">
        <v>988</v>
      </c>
      <c r="E2276" s="315">
        <v>42850</v>
      </c>
      <c r="F2276" s="249" t="s">
        <v>796</v>
      </c>
      <c r="G2276" s="314" t="s">
        <v>1070</v>
      </c>
      <c r="H2276" s="473" t="s">
        <v>447</v>
      </c>
      <c r="I2276" s="307">
        <v>18</v>
      </c>
      <c r="J2276" s="307">
        <v>77165</v>
      </c>
      <c r="K2276" s="532">
        <f t="shared" si="207"/>
        <v>1388970</v>
      </c>
      <c r="L2276" s="534" t="s">
        <v>292</v>
      </c>
      <c r="M2276" s="534" t="s">
        <v>8</v>
      </c>
      <c r="N2276" s="525" t="str">
        <f>IF(AND('331-CT'!$E$7=TH!H2276,OR(L2276="331",M2276="331")),"331",IF(AND(OR(L2276="131",M2276="131"),H2276='131-CT'!$E$7),"131",""))</f>
        <v/>
      </c>
      <c r="O2276" s="525" t="str">
        <f>IF(AND($B2276&gt;='111'!$N$11,$B2276&lt;='111'!$O$11,OR($L2276=$O$7,$M2276=$O$7)),"x","")</f>
        <v/>
      </c>
      <c r="P2276" s="525" t="str">
        <f>IF(AND($L2276=$O$7,$B2276&lt;'111'!$N$11),"x","")</f>
        <v/>
      </c>
      <c r="Q2276" s="525" t="str">
        <f>IF(AND($M2276=$O$7,$B2276&lt;'111'!$N$11),"x","")</f>
        <v/>
      </c>
      <c r="R2276" s="525" t="str">
        <f>IF(ISERROR(FIND('112'!$M$9,G2276,1)),"",IF((AND(FIND('112'!$M$9,G2276,1)&gt;=1,$B2276&gt;='112'!$N$8,$B2276&lt;='112'!$O$8,OR($L2276='112'!$I$6,$M2276='112'!$I$6))),"x",""))</f>
        <v/>
      </c>
      <c r="S2276" s="525" t="str">
        <f>IF(ISERROR(FIND('112'!$M$9,G2276,1)),"",IF((AND(LEFT(G2276,2)=LEFT('112'!$M$9,2),B2276&lt;'112'!$N$8,$L2276='112'!$I$6)),"x",""))</f>
        <v/>
      </c>
      <c r="T2276" s="525" t="str">
        <f>IF(ISERROR(FIND('112'!$M$9,G2276,1)),"",IF((AND(RIGHT(G2276,2)=RIGHT('112'!$M$9,2),B2276&lt;'112'!$N$8,$M2276='112'!$I$6)),"x",""))</f>
        <v/>
      </c>
      <c r="U2276" s="525" t="str">
        <f>IF(AND(B2276&gt;='IN-NX'!$P$3,B2276&lt;='IN-NX'!$Q$3,'IN-NX'!$D$7=D2276,OR(LEFT(L2276,2)="15",AND(LEFT(M2276,2)&lt;&gt;"15",LEFT(M2276,2)&lt;&gt;"33"))),"x","")</f>
        <v/>
      </c>
      <c r="V2276" s="525" t="str">
        <f>IF(AND(OR(LEFT(TH!L2276,2)="15",LEFT(TH!M2276,2)="15"),'152-CT'!$J$8=TH!F2276),"x","")</f>
        <v/>
      </c>
      <c r="W2276" s="525" t="str">
        <f>IF(AND(OR(LEFT(TH!L2276,2)="15",LEFT(TH!M2276,2)="15"),TK!$E$7=TH!F2276),"x","")</f>
        <v/>
      </c>
      <c r="X2276" s="525" t="str">
        <f>IF(AND('341-CT'!$E$9=H2276,OR(LEFT(L2276,3)=$X$7,LEFT(M2276,3)=$X$7)),"x","")</f>
        <v/>
      </c>
      <c r="Y2276" s="525" t="str">
        <f>IF(OR(TH!L2276=TH!$Y$7,M2276=TH!$Y$7),"x","")</f>
        <v/>
      </c>
      <c r="Z2276" s="525" t="str">
        <f>IF(AND(B2276&lt;=NKC!$N$8,B2276&gt;=NKC!$M$8),"x","")</f>
        <v/>
      </c>
      <c r="AA2276" s="535">
        <v>2</v>
      </c>
      <c r="AB2276" s="536"/>
    </row>
    <row r="2277" spans="1:28" s="503" customFormat="1" ht="15.75" customHeight="1">
      <c r="A2277" s="517" t="str">
        <f>IF(B2277&lt;&gt;"",IF(AND(B2277&gt;=_TM1,B2277&lt;=_TM2,OR(TH!L2277="1111",TH!M2277="1111")),TH!D2277,""),"")</f>
        <v/>
      </c>
      <c r="B2277" s="531">
        <f t="shared" si="208"/>
        <v>4</v>
      </c>
      <c r="C2277" s="315">
        <f t="shared" si="209"/>
        <v>42850</v>
      </c>
      <c r="D2277" s="315" t="s">
        <v>988</v>
      </c>
      <c r="E2277" s="315">
        <v>42850</v>
      </c>
      <c r="F2277" s="249" t="s">
        <v>1069</v>
      </c>
      <c r="G2277" s="314" t="s">
        <v>1070</v>
      </c>
      <c r="H2277" s="473" t="s">
        <v>447</v>
      </c>
      <c r="I2277" s="307">
        <v>8</v>
      </c>
      <c r="J2277" s="307">
        <v>49622</v>
      </c>
      <c r="K2277" s="532">
        <f t="shared" si="207"/>
        <v>396976</v>
      </c>
      <c r="L2277" s="534" t="s">
        <v>292</v>
      </c>
      <c r="M2277" s="534" t="s">
        <v>8</v>
      </c>
      <c r="N2277" s="525" t="str">
        <f>IF(AND('331-CT'!$E$7=TH!H2277,OR(L2277="331",M2277="331")),"331",IF(AND(OR(L2277="131",M2277="131"),H2277='131-CT'!$E$7),"131",""))</f>
        <v/>
      </c>
      <c r="O2277" s="525" t="str">
        <f>IF(AND($B2277&gt;='111'!$N$11,$B2277&lt;='111'!$O$11,OR($L2277=$O$7,$M2277=$O$7)),"x","")</f>
        <v/>
      </c>
      <c r="P2277" s="525" t="str">
        <f>IF(AND($L2277=$O$7,$B2277&lt;'111'!$N$11),"x","")</f>
        <v/>
      </c>
      <c r="Q2277" s="525" t="str">
        <f>IF(AND($M2277=$O$7,$B2277&lt;'111'!$N$11),"x","")</f>
        <v/>
      </c>
      <c r="R2277" s="525" t="str">
        <f>IF(ISERROR(FIND('112'!$M$9,G2277,1)),"",IF((AND(FIND('112'!$M$9,G2277,1)&gt;=1,$B2277&gt;='112'!$N$8,$B2277&lt;='112'!$O$8,OR($L2277='112'!$I$6,$M2277='112'!$I$6))),"x",""))</f>
        <v/>
      </c>
      <c r="S2277" s="525" t="str">
        <f>IF(ISERROR(FIND('112'!$M$9,G2277,1)),"",IF((AND(LEFT(G2277,2)=LEFT('112'!$M$9,2),B2277&lt;'112'!$N$8,$L2277='112'!$I$6)),"x",""))</f>
        <v/>
      </c>
      <c r="T2277" s="525" t="str">
        <f>IF(ISERROR(FIND('112'!$M$9,G2277,1)),"",IF((AND(RIGHT(G2277,2)=RIGHT('112'!$M$9,2),B2277&lt;'112'!$N$8,$M2277='112'!$I$6)),"x",""))</f>
        <v/>
      </c>
      <c r="U2277" s="525" t="str">
        <f>IF(AND(B2277&gt;='IN-NX'!$P$3,B2277&lt;='IN-NX'!$Q$3,'IN-NX'!$D$7=D2277,OR(LEFT(L2277,2)="15",AND(LEFT(M2277,2)&lt;&gt;"15",LEFT(M2277,2)&lt;&gt;"33"))),"x","")</f>
        <v/>
      </c>
      <c r="V2277" s="525" t="str">
        <f>IF(AND(OR(LEFT(TH!L2277,2)="15",LEFT(TH!M2277,2)="15"),'152-CT'!$J$8=TH!F2277),"x","")</f>
        <v/>
      </c>
      <c r="W2277" s="525" t="str">
        <f>IF(AND(OR(LEFT(TH!L2277,2)="15",LEFT(TH!M2277,2)="15"),TK!$E$7=TH!F2277),"x","")</f>
        <v/>
      </c>
      <c r="X2277" s="525" t="str">
        <f>IF(AND('341-CT'!$E$9=H2277,OR(LEFT(L2277,3)=$X$7,LEFT(M2277,3)=$X$7)),"x","")</f>
        <v/>
      </c>
      <c r="Y2277" s="525" t="str">
        <f>IF(OR(TH!L2277=TH!$Y$7,M2277=TH!$Y$7),"x","")</f>
        <v/>
      </c>
      <c r="Z2277" s="525" t="str">
        <f>IF(AND(B2277&lt;=NKC!$N$8,B2277&gt;=NKC!$M$8),"x","")</f>
        <v/>
      </c>
      <c r="AA2277" s="535">
        <v>2</v>
      </c>
      <c r="AB2277" s="536"/>
    </row>
    <row r="2278" spans="1:28" s="503" customFormat="1" ht="15.75" customHeight="1">
      <c r="A2278" s="517" t="str">
        <f>IF(B2278&lt;&gt;"",IF(AND(B2278&gt;=_TM1,B2278&lt;=_TM2,OR(TH!L2278="1111",TH!M2278="1111")),TH!D2278,""),"")</f>
        <v/>
      </c>
      <c r="B2278" s="531">
        <f t="shared" si="208"/>
        <v>4</v>
      </c>
      <c r="C2278" s="315">
        <f t="shared" si="209"/>
        <v>42850</v>
      </c>
      <c r="D2278" s="315" t="s">
        <v>988</v>
      </c>
      <c r="E2278" s="315">
        <v>42850</v>
      </c>
      <c r="F2278" s="247" t="s">
        <v>1002</v>
      </c>
      <c r="G2278" s="314" t="s">
        <v>1070</v>
      </c>
      <c r="H2278" s="473" t="s">
        <v>447</v>
      </c>
      <c r="I2278" s="307"/>
      <c r="J2278" s="307"/>
      <c r="K2278" s="532">
        <v>4220664</v>
      </c>
      <c r="L2278" s="713" t="s">
        <v>9</v>
      </c>
      <c r="M2278" s="534" t="s">
        <v>8</v>
      </c>
      <c r="N2278" s="525" t="str">
        <f>IF(AND('331-CT'!$E$7=TH!H2278,OR(L2278="331",M2278="331")),"331",IF(AND(OR(L2278="131",M2278="131"),H2278='131-CT'!$E$7),"131",""))</f>
        <v/>
      </c>
      <c r="O2278" s="525" t="str">
        <f>IF(AND($B2278&gt;='111'!$N$11,$B2278&lt;='111'!$O$11,OR($L2278=$O$7,$M2278=$O$7)),"x","")</f>
        <v/>
      </c>
      <c r="P2278" s="525" t="str">
        <f>IF(AND($L2278=$O$7,$B2278&lt;'111'!$N$11),"x","")</f>
        <v/>
      </c>
      <c r="Q2278" s="525" t="str">
        <f>IF(AND($M2278=$O$7,$B2278&lt;'111'!$N$11),"x","")</f>
        <v/>
      </c>
      <c r="R2278" s="525" t="str">
        <f>IF(ISERROR(FIND('112'!$M$9,G2278,1)),"",IF((AND(FIND('112'!$M$9,G2278,1)&gt;=1,$B2278&gt;='112'!$N$8,$B2278&lt;='112'!$O$8,OR($L2278='112'!$I$6,$M2278='112'!$I$6))),"x",""))</f>
        <v/>
      </c>
      <c r="S2278" s="525" t="str">
        <f>IF(ISERROR(FIND('112'!$M$9,G2278,1)),"",IF((AND(LEFT(G2278,2)=LEFT('112'!$M$9,2),B2278&lt;'112'!$N$8,$L2278='112'!$I$6)),"x",""))</f>
        <v/>
      </c>
      <c r="T2278" s="525" t="str">
        <f>IF(ISERROR(FIND('112'!$M$9,G2278,1)),"",IF((AND(RIGHT(G2278,2)=RIGHT('112'!$M$9,2),B2278&lt;'112'!$N$8,$M2278='112'!$I$6)),"x",""))</f>
        <v/>
      </c>
      <c r="U2278" s="525" t="str">
        <f>IF(AND(B2278&gt;='IN-NX'!$P$3,B2278&lt;='IN-NX'!$Q$3,'IN-NX'!$D$7=D2278,OR(LEFT(L2278,2)="15",AND(LEFT(M2278,2)&lt;&gt;"15",LEFT(M2278,2)&lt;&gt;"33"))),"x","")</f>
        <v/>
      </c>
      <c r="V2278" s="525" t="str">
        <f>IF(AND(OR(LEFT(TH!L2278,2)="15",LEFT(TH!M2278,2)="15"),'152-CT'!$J$8=TH!F2278),"x","")</f>
        <v/>
      </c>
      <c r="W2278" s="525" t="str">
        <f>IF(AND(OR(LEFT(TH!L2278,2)="15",LEFT(TH!M2278,2)="15"),TK!$E$7=TH!F2278),"x","")</f>
        <v/>
      </c>
      <c r="X2278" s="525" t="str">
        <f>IF(AND('341-CT'!$E$9=H2278,OR(LEFT(L2278,3)=$X$7,LEFT(M2278,3)=$X$7)),"x","")</f>
        <v/>
      </c>
      <c r="Y2278" s="525" t="str">
        <f>IF(OR(TH!L2278=TH!$Y$7,M2278=TH!$Y$7),"x","")</f>
        <v/>
      </c>
      <c r="Z2278" s="525" t="str">
        <f>IF(AND(B2278&lt;=NKC!$N$8,B2278&gt;=NKC!$M$8),"x","")</f>
        <v/>
      </c>
      <c r="AA2278" s="535">
        <v>2</v>
      </c>
      <c r="AB2278" s="536"/>
    </row>
    <row r="2279" spans="1:28" s="503" customFormat="1" ht="15.75" customHeight="1">
      <c r="A2279" s="517" t="str">
        <f>IF(B2279&lt;&gt;"",IF(AND(B2279&gt;=_TM1,B2279&lt;=_TM2,OR(TH!L2279="1111",TH!M2279="1111")),TH!D2279,""),"")</f>
        <v/>
      </c>
      <c r="B2279" s="531">
        <f t="shared" si="208"/>
        <v>4</v>
      </c>
      <c r="C2279" s="315">
        <f t="shared" si="209"/>
        <v>42851</v>
      </c>
      <c r="D2279" s="315" t="s">
        <v>989</v>
      </c>
      <c r="E2279" s="544">
        <v>42851</v>
      </c>
      <c r="F2279" s="249" t="s">
        <v>1084</v>
      </c>
      <c r="G2279" s="314" t="s">
        <v>1080</v>
      </c>
      <c r="H2279" s="473" t="s">
        <v>271</v>
      </c>
      <c r="I2279" s="307">
        <v>167</v>
      </c>
      <c r="J2279" s="307">
        <v>22657</v>
      </c>
      <c r="K2279" s="532">
        <f>ROUND(I2279*J2279,0)</f>
        <v>3783719</v>
      </c>
      <c r="L2279" s="534" t="s">
        <v>292</v>
      </c>
      <c r="M2279" s="534" t="s">
        <v>8</v>
      </c>
      <c r="N2279" s="525" t="str">
        <f>IF(AND('331-CT'!$E$7=TH!H2279,OR(L2279="331",M2279="331")),"331",IF(AND(OR(L2279="131",M2279="131"),H2279='131-CT'!$E$7),"131",""))</f>
        <v>331</v>
      </c>
      <c r="O2279" s="525" t="str">
        <f>IF(AND($B2279&gt;='111'!$N$11,$B2279&lt;='111'!$O$11,OR($L2279=$O$7,$M2279=$O$7)),"x","")</f>
        <v/>
      </c>
      <c r="P2279" s="525" t="str">
        <f>IF(AND($L2279=$O$7,$B2279&lt;'111'!$N$11),"x","")</f>
        <v/>
      </c>
      <c r="Q2279" s="525" t="str">
        <f>IF(AND($M2279=$O$7,$B2279&lt;'111'!$N$11),"x","")</f>
        <v/>
      </c>
      <c r="R2279" s="525" t="str">
        <f>IF(ISERROR(FIND('112'!$M$9,G2279,1)),"",IF((AND(FIND('112'!$M$9,G2279,1)&gt;=1,$B2279&gt;='112'!$N$8,$B2279&lt;='112'!$O$8,OR($L2279='112'!$I$6,$M2279='112'!$I$6))),"x",""))</f>
        <v/>
      </c>
      <c r="S2279" s="525" t="str">
        <f>IF(ISERROR(FIND('112'!$M$9,G2279,1)),"",IF((AND(LEFT(G2279,2)=LEFT('112'!$M$9,2),B2279&lt;'112'!$N$8,$L2279='112'!$I$6)),"x",""))</f>
        <v/>
      </c>
      <c r="T2279" s="525" t="str">
        <f>IF(ISERROR(FIND('112'!$M$9,G2279,1)),"",IF((AND(RIGHT(G2279,2)=RIGHT('112'!$M$9,2),B2279&lt;'112'!$N$8,$M2279='112'!$I$6)),"x",""))</f>
        <v/>
      </c>
      <c r="U2279" s="525" t="str">
        <f>IF(AND(B2279&gt;='IN-NX'!$P$3,B2279&lt;='IN-NX'!$Q$3,'IN-NX'!$D$7=D2279,OR(LEFT(L2279,2)="15",AND(LEFT(M2279,2)&lt;&gt;"15",LEFT(M2279,2)&lt;&gt;"33"))),"x","")</f>
        <v/>
      </c>
      <c r="V2279" s="525" t="str">
        <f>IF(AND(OR(LEFT(TH!L2279,2)="15",LEFT(TH!M2279,2)="15"),'152-CT'!$J$8=TH!F2279),"x","")</f>
        <v/>
      </c>
      <c r="W2279" s="525" t="str">
        <f>IF(AND(OR(LEFT(TH!L2279,2)="15",LEFT(TH!M2279,2)="15"),TK!$E$7=TH!F2279),"x","")</f>
        <v/>
      </c>
      <c r="X2279" s="525" t="str">
        <f>IF(AND('341-CT'!$E$9=H2279,OR(LEFT(L2279,3)=$X$7,LEFT(M2279,3)=$X$7)),"x","")</f>
        <v/>
      </c>
      <c r="Y2279" s="525" t="str">
        <f>IF(OR(TH!L2279=TH!$Y$7,M2279=TH!$Y$7),"x","")</f>
        <v/>
      </c>
      <c r="Z2279" s="525" t="str">
        <f>IF(AND(B2279&lt;=NKC!$N$8,B2279&gt;=NKC!$M$8),"x","")</f>
        <v/>
      </c>
      <c r="AA2279" s="535">
        <v>2</v>
      </c>
      <c r="AB2279" s="536"/>
    </row>
    <row r="2280" spans="1:28" s="503" customFormat="1" ht="15.75" customHeight="1">
      <c r="A2280" s="517" t="str">
        <f>IF(B2280&lt;&gt;"",IF(AND(B2280&gt;=_TM1,B2280&lt;=_TM2,OR(TH!L2280="1111",TH!M2280="1111")),TH!D2280,""),"")</f>
        <v/>
      </c>
      <c r="B2280" s="531">
        <f t="shared" si="208"/>
        <v>4</v>
      </c>
      <c r="C2280" s="315">
        <f t="shared" si="209"/>
        <v>42851</v>
      </c>
      <c r="D2280" s="315" t="s">
        <v>989</v>
      </c>
      <c r="E2280" s="544">
        <v>42851</v>
      </c>
      <c r="F2280" s="249" t="s">
        <v>526</v>
      </c>
      <c r="G2280" s="314" t="s">
        <v>1080</v>
      </c>
      <c r="H2280" s="473" t="s">
        <v>271</v>
      </c>
      <c r="I2280" s="307"/>
      <c r="J2280" s="307"/>
      <c r="K2280" s="532">
        <v>378372</v>
      </c>
      <c r="L2280" s="713" t="s">
        <v>9</v>
      </c>
      <c r="M2280" s="534" t="s">
        <v>8</v>
      </c>
      <c r="N2280" s="525" t="str">
        <f>IF(AND('331-CT'!$E$7=TH!H2280,OR(L2280="331",M2280="331")),"331",IF(AND(OR(L2280="131",M2280="131"),H2280='131-CT'!$E$7),"131",""))</f>
        <v>331</v>
      </c>
      <c r="O2280" s="525" t="str">
        <f>IF(AND($B2280&gt;='111'!$N$11,$B2280&lt;='111'!$O$11,OR($L2280=$O$7,$M2280=$O$7)),"x","")</f>
        <v/>
      </c>
      <c r="P2280" s="525" t="str">
        <f>IF(AND($L2280=$O$7,$B2280&lt;'111'!$N$11),"x","")</f>
        <v/>
      </c>
      <c r="Q2280" s="525" t="str">
        <f>IF(AND($M2280=$O$7,$B2280&lt;'111'!$N$11),"x","")</f>
        <v/>
      </c>
      <c r="R2280" s="525" t="str">
        <f>IF(ISERROR(FIND('112'!$M$9,G2280,1)),"",IF((AND(FIND('112'!$M$9,G2280,1)&gt;=1,$B2280&gt;='112'!$N$8,$B2280&lt;='112'!$O$8,OR($L2280='112'!$I$6,$M2280='112'!$I$6))),"x",""))</f>
        <v/>
      </c>
      <c r="S2280" s="525" t="str">
        <f>IF(ISERROR(FIND('112'!$M$9,G2280,1)),"",IF((AND(LEFT(G2280,2)=LEFT('112'!$M$9,2),B2280&lt;'112'!$N$8,$L2280='112'!$I$6)),"x",""))</f>
        <v/>
      </c>
      <c r="T2280" s="525" t="str">
        <f>IF(ISERROR(FIND('112'!$M$9,G2280,1)),"",IF((AND(RIGHT(G2280,2)=RIGHT('112'!$M$9,2),B2280&lt;'112'!$N$8,$M2280='112'!$I$6)),"x",""))</f>
        <v/>
      </c>
      <c r="U2280" s="525" t="str">
        <f>IF(AND(B2280&gt;='IN-NX'!$P$3,B2280&lt;='IN-NX'!$Q$3,'IN-NX'!$D$7=D2280,OR(LEFT(L2280,2)="15",AND(LEFT(M2280,2)&lt;&gt;"15",LEFT(M2280,2)&lt;&gt;"33"))),"x","")</f>
        <v/>
      </c>
      <c r="V2280" s="525" t="str">
        <f>IF(AND(OR(LEFT(TH!L2280,2)="15",LEFT(TH!M2280,2)="15"),'152-CT'!$J$8=TH!F2280),"x","")</f>
        <v/>
      </c>
      <c r="W2280" s="525" t="str">
        <f>IF(AND(OR(LEFT(TH!L2280,2)="15",LEFT(TH!M2280,2)="15"),TK!$E$7=TH!F2280),"x","")</f>
        <v/>
      </c>
      <c r="X2280" s="525" t="str">
        <f>IF(AND('341-CT'!$E$9=H2280,OR(LEFT(L2280,3)=$X$7,LEFT(M2280,3)=$X$7)),"x","")</f>
        <v/>
      </c>
      <c r="Y2280" s="525" t="str">
        <f>IF(OR(TH!L2280=TH!$Y$7,M2280=TH!$Y$7),"x","")</f>
        <v/>
      </c>
      <c r="Z2280" s="525" t="str">
        <f>IF(AND(B2280&lt;=NKC!$N$8,B2280&gt;=NKC!$M$8),"x","")</f>
        <v/>
      </c>
      <c r="AA2280" s="535">
        <v>2</v>
      </c>
      <c r="AB2280" s="536"/>
    </row>
    <row r="2281" spans="1:28" s="503" customFormat="1" ht="15.75" customHeight="1">
      <c r="A2281" s="517" t="str">
        <f>IF(B2281&lt;&gt;"",IF(AND(B2281&gt;=_TM1,B2281&lt;=_TM2,OR(TH!L2281="1111",TH!M2281="1111")),TH!D2281,""),"")</f>
        <v/>
      </c>
      <c r="B2281" s="531">
        <f t="shared" si="208"/>
        <v>4</v>
      </c>
      <c r="C2281" s="315">
        <f t="shared" si="209"/>
        <v>42851</v>
      </c>
      <c r="D2281" s="315" t="s">
        <v>907</v>
      </c>
      <c r="E2281" s="315">
        <v>42851</v>
      </c>
      <c r="F2281" s="249" t="s">
        <v>500</v>
      </c>
      <c r="G2281" s="314" t="s">
        <v>1113</v>
      </c>
      <c r="H2281" s="474" t="s">
        <v>280</v>
      </c>
      <c r="I2281" s="307">
        <v>300</v>
      </c>
      <c r="J2281" s="307">
        <v>8030</v>
      </c>
      <c r="K2281" s="532">
        <f>ROUND(I2281*J2281,0)</f>
        <v>2409000</v>
      </c>
      <c r="L2281" s="534" t="s">
        <v>223</v>
      </c>
      <c r="M2281" s="534" t="s">
        <v>162</v>
      </c>
      <c r="N2281" s="525" t="str">
        <f>IF(AND('331-CT'!$E$7=TH!H2281,OR(L2281="331",M2281="331")),"331",IF(AND(OR(L2281="131",M2281="131"),H2281='131-CT'!$E$7),"131",""))</f>
        <v/>
      </c>
      <c r="O2281" s="525" t="str">
        <f>IF(AND($B2281&gt;='111'!$N$11,$B2281&lt;='111'!$O$11,OR($L2281=$O$7,$M2281=$O$7)),"x","")</f>
        <v/>
      </c>
      <c r="P2281" s="525" t="str">
        <f>IF(AND($L2281=$O$7,$B2281&lt;'111'!$N$11),"x","")</f>
        <v/>
      </c>
      <c r="Q2281" s="525" t="str">
        <f>IF(AND($M2281=$O$7,$B2281&lt;'111'!$N$11),"x","")</f>
        <v/>
      </c>
      <c r="R2281" s="525" t="str">
        <f>IF(ISERROR(FIND('112'!$M$9,G2281,1)),"",IF((AND(FIND('112'!$M$9,G2281,1)&gt;=1,$B2281&gt;='112'!$N$8,$B2281&lt;='112'!$O$8,OR($L2281='112'!$I$6,$M2281='112'!$I$6))),"x",""))</f>
        <v/>
      </c>
      <c r="S2281" s="525" t="str">
        <f>IF(ISERROR(FIND('112'!$M$9,G2281,1)),"",IF((AND(LEFT(G2281,2)=LEFT('112'!$M$9,2),B2281&lt;'112'!$N$8,$L2281='112'!$I$6)),"x",""))</f>
        <v/>
      </c>
      <c r="T2281" s="525" t="str">
        <f>IF(ISERROR(FIND('112'!$M$9,G2281,1)),"",IF((AND(RIGHT(G2281,2)=RIGHT('112'!$M$9,2),B2281&lt;'112'!$N$8,$M2281='112'!$I$6)),"x",""))</f>
        <v/>
      </c>
      <c r="U2281" s="525" t="str">
        <f>IF(AND(B2281&gt;='IN-NX'!$P$3,B2281&lt;='IN-NX'!$Q$3,'IN-NX'!$D$7=D2281,OR(LEFT(L2281,2)="15",AND(LEFT(M2281,2)&lt;&gt;"15",LEFT(M2281,2)&lt;&gt;"33"))),"x","")</f>
        <v/>
      </c>
      <c r="V2281" s="525" t="str">
        <f>IF(AND(OR(LEFT(TH!L2281,2)="15",LEFT(TH!M2281,2)="15"),'152-CT'!$J$8=TH!F2281),"x","")</f>
        <v/>
      </c>
      <c r="W2281" s="525" t="str">
        <f>IF(AND(OR(LEFT(TH!L2281,2)="15",LEFT(TH!M2281,2)="15"),TK!$E$7=TH!F2281),"x","")</f>
        <v/>
      </c>
      <c r="X2281" s="525" t="str">
        <f>IF(AND('341-CT'!$E$9=H2281,OR(LEFT(L2281,3)=$X$7,LEFT(M2281,3)=$X$7)),"x","")</f>
        <v/>
      </c>
      <c r="Y2281" s="525" t="str">
        <f>IF(OR(TH!L2281=TH!$Y$7,M2281=TH!$Y$7),"x","")</f>
        <v/>
      </c>
      <c r="Z2281" s="525" t="str">
        <f>IF(AND(B2281&lt;=NKC!$N$8,B2281&gt;=NKC!$M$8),"x","")</f>
        <v/>
      </c>
      <c r="AA2281" s="535"/>
      <c r="AB2281" s="536"/>
    </row>
    <row r="2282" spans="1:28" s="503" customFormat="1" ht="15.75" customHeight="1">
      <c r="A2282" s="517" t="str">
        <f>IF(B2282&lt;&gt;"",IF(AND(B2282&gt;=_TM1,B2282&lt;=_TM2,OR(TH!L2282="1111",TH!M2282="1111")),TH!D2282,""),"")</f>
        <v/>
      </c>
      <c r="B2282" s="531">
        <f t="shared" si="208"/>
        <v>4</v>
      </c>
      <c r="C2282" s="315">
        <f t="shared" si="209"/>
        <v>42851</v>
      </c>
      <c r="D2282" s="315" t="s">
        <v>907</v>
      </c>
      <c r="E2282" s="315">
        <v>42851</v>
      </c>
      <c r="F2282" s="249" t="s">
        <v>1114</v>
      </c>
      <c r="G2282" s="314" t="s">
        <v>1113</v>
      </c>
      <c r="H2282" s="474" t="s">
        <v>280</v>
      </c>
      <c r="I2282" s="307">
        <v>177</v>
      </c>
      <c r="J2282" s="307">
        <v>5500</v>
      </c>
      <c r="K2282" s="532">
        <f>ROUND(I2282*J2282,0)</f>
        <v>973500</v>
      </c>
      <c r="L2282" s="534" t="s">
        <v>223</v>
      </c>
      <c r="M2282" s="534" t="s">
        <v>162</v>
      </c>
      <c r="N2282" s="525" t="str">
        <f>IF(AND('331-CT'!$E$7=TH!H2282,OR(L2282="331",M2282="331")),"331",IF(AND(OR(L2282="131",M2282="131"),H2282='131-CT'!$E$7),"131",""))</f>
        <v/>
      </c>
      <c r="O2282" s="525" t="str">
        <f>IF(AND($B2282&gt;='111'!$N$11,$B2282&lt;='111'!$O$11,OR($L2282=$O$7,$M2282=$O$7)),"x","")</f>
        <v/>
      </c>
      <c r="P2282" s="525" t="str">
        <f>IF(AND($L2282=$O$7,$B2282&lt;'111'!$N$11),"x","")</f>
        <v/>
      </c>
      <c r="Q2282" s="525" t="str">
        <f>IF(AND($M2282=$O$7,$B2282&lt;'111'!$N$11),"x","")</f>
        <v/>
      </c>
      <c r="R2282" s="525" t="str">
        <f>IF(ISERROR(FIND('112'!$M$9,G2282,1)),"",IF((AND(FIND('112'!$M$9,G2282,1)&gt;=1,$B2282&gt;='112'!$N$8,$B2282&lt;='112'!$O$8,OR($L2282='112'!$I$6,$M2282='112'!$I$6))),"x",""))</f>
        <v/>
      </c>
      <c r="S2282" s="525" t="str">
        <f>IF(ISERROR(FIND('112'!$M$9,G2282,1)),"",IF((AND(LEFT(G2282,2)=LEFT('112'!$M$9,2),B2282&lt;'112'!$N$8,$L2282='112'!$I$6)),"x",""))</f>
        <v/>
      </c>
      <c r="T2282" s="525" t="str">
        <f>IF(ISERROR(FIND('112'!$M$9,G2282,1)),"",IF((AND(RIGHT(G2282,2)=RIGHT('112'!$M$9,2),B2282&lt;'112'!$N$8,$M2282='112'!$I$6)),"x",""))</f>
        <v/>
      </c>
      <c r="U2282" s="525" t="str">
        <f>IF(AND(B2282&gt;='IN-NX'!$P$3,B2282&lt;='IN-NX'!$Q$3,'IN-NX'!$D$7=D2282,OR(LEFT(L2282,2)="15",AND(LEFT(M2282,2)&lt;&gt;"15",LEFT(M2282,2)&lt;&gt;"33"))),"x","")</f>
        <v/>
      </c>
      <c r="V2282" s="525" t="str">
        <f>IF(AND(OR(LEFT(TH!L2282,2)="15",LEFT(TH!M2282,2)="15"),'152-CT'!$J$8=TH!F2282),"x","")</f>
        <v/>
      </c>
      <c r="W2282" s="525" t="str">
        <f>IF(AND(OR(LEFT(TH!L2282,2)="15",LEFT(TH!M2282,2)="15"),TK!$E$7=TH!F2282),"x","")</f>
        <v/>
      </c>
      <c r="X2282" s="525" t="str">
        <f>IF(AND('341-CT'!$E$9=H2282,OR(LEFT(L2282,3)=$X$7,LEFT(M2282,3)=$X$7)),"x","")</f>
        <v/>
      </c>
      <c r="Y2282" s="525" t="str">
        <f>IF(OR(TH!L2282=TH!$Y$7,M2282=TH!$Y$7),"x","")</f>
        <v/>
      </c>
      <c r="Z2282" s="525" t="str">
        <f>IF(AND(B2282&lt;=NKC!$N$8,B2282&gt;=NKC!$M$8),"x","")</f>
        <v/>
      </c>
      <c r="AA2282" s="535"/>
      <c r="AB2282" s="536"/>
    </row>
    <row r="2283" spans="1:28" s="503" customFormat="1" ht="15.75" customHeight="1">
      <c r="A2283" s="517" t="str">
        <f>IF(B2283&lt;&gt;"",IF(AND(B2283&gt;=_TM1,B2283&lt;=_TM2,OR(TH!L2283="1111",TH!M2283="1111")),TH!D2283,""),"")</f>
        <v/>
      </c>
      <c r="B2283" s="531">
        <f t="shared" si="208"/>
        <v>4</v>
      </c>
      <c r="C2283" s="315">
        <f t="shared" si="209"/>
        <v>42851</v>
      </c>
      <c r="D2283" s="315" t="s">
        <v>907</v>
      </c>
      <c r="E2283" s="315">
        <v>42851</v>
      </c>
      <c r="F2283" s="249" t="s">
        <v>494</v>
      </c>
      <c r="G2283" s="314" t="s">
        <v>1113</v>
      </c>
      <c r="H2283" s="474" t="s">
        <v>280</v>
      </c>
      <c r="I2283" s="307"/>
      <c r="J2283" s="307"/>
      <c r="K2283" s="532">
        <v>338250</v>
      </c>
      <c r="L2283" s="534" t="s">
        <v>223</v>
      </c>
      <c r="M2283" s="534" t="s">
        <v>259</v>
      </c>
      <c r="N2283" s="525" t="str">
        <f>IF(AND('331-CT'!$E$7=TH!H2283,OR(L2283="331",M2283="331")),"331",IF(AND(OR(L2283="131",M2283="131"),H2283='131-CT'!$E$7),"131",""))</f>
        <v/>
      </c>
      <c r="O2283" s="525" t="str">
        <f>IF(AND($B2283&gt;='111'!$N$11,$B2283&lt;='111'!$O$11,OR($L2283=$O$7,$M2283=$O$7)),"x","")</f>
        <v/>
      </c>
      <c r="P2283" s="525" t="str">
        <f>IF(AND($L2283=$O$7,$B2283&lt;'111'!$N$11),"x","")</f>
        <v/>
      </c>
      <c r="Q2283" s="525" t="str">
        <f>IF(AND($M2283=$O$7,$B2283&lt;'111'!$N$11),"x","")</f>
        <v/>
      </c>
      <c r="R2283" s="525" t="str">
        <f>IF(ISERROR(FIND('112'!$M$9,G2283,1)),"",IF((AND(FIND('112'!$M$9,G2283,1)&gt;=1,$B2283&gt;='112'!$N$8,$B2283&lt;='112'!$O$8,OR($L2283='112'!$I$6,$M2283='112'!$I$6))),"x",""))</f>
        <v/>
      </c>
      <c r="S2283" s="525" t="str">
        <f>IF(ISERROR(FIND('112'!$M$9,G2283,1)),"",IF((AND(LEFT(G2283,2)=LEFT('112'!$M$9,2),B2283&lt;'112'!$N$8,$L2283='112'!$I$6)),"x",""))</f>
        <v/>
      </c>
      <c r="T2283" s="525" t="str">
        <f>IF(ISERROR(FIND('112'!$M$9,G2283,1)),"",IF((AND(RIGHT(G2283,2)=RIGHT('112'!$M$9,2),B2283&lt;'112'!$N$8,$M2283='112'!$I$6)),"x",""))</f>
        <v/>
      </c>
      <c r="U2283" s="525" t="str">
        <f>IF(AND(B2283&gt;='IN-NX'!$P$3,B2283&lt;='IN-NX'!$Q$3,'IN-NX'!$D$7=D2283,OR(LEFT(L2283,2)="15",AND(LEFT(M2283,2)&lt;&gt;"15",LEFT(M2283,2)&lt;&gt;"33"))),"x","")</f>
        <v/>
      </c>
      <c r="V2283" s="525" t="str">
        <f>IF(AND(OR(LEFT(TH!L2283,2)="15",LEFT(TH!M2283,2)="15"),'152-CT'!$J$8=TH!F2283),"x","")</f>
        <v/>
      </c>
      <c r="W2283" s="525" t="str">
        <f>IF(AND(OR(LEFT(TH!L2283,2)="15",LEFT(TH!M2283,2)="15"),TK!$E$7=TH!F2283),"x","")</f>
        <v/>
      </c>
      <c r="X2283" s="525" t="str">
        <f>IF(AND('341-CT'!$E$9=H2283,OR(LEFT(L2283,3)=$X$7,LEFT(M2283,3)=$X$7)),"x","")</f>
        <v/>
      </c>
      <c r="Y2283" s="525" t="str">
        <f>IF(OR(TH!L2283=TH!$Y$7,M2283=TH!$Y$7),"x","")</f>
        <v/>
      </c>
      <c r="Z2283" s="525" t="str">
        <f>IF(AND(B2283&lt;=NKC!$N$8,B2283&gt;=NKC!$M$8),"x","")</f>
        <v/>
      </c>
      <c r="AA2283" s="535"/>
      <c r="AB2283" s="536"/>
    </row>
    <row r="2284" spans="1:28" s="503" customFormat="1" ht="15.75" customHeight="1">
      <c r="A2284" s="517" t="str">
        <f>IF(B2284&lt;&gt;"",IF(AND(B2284&gt;=_TM1,B2284&lt;=_TM2,OR(TH!L2284="1111",TH!M2284="1111")),TH!D2284,""),"")</f>
        <v/>
      </c>
      <c r="B2284" s="531">
        <f t="shared" si="208"/>
        <v>4</v>
      </c>
      <c r="C2284" s="315">
        <f t="shared" si="209"/>
        <v>42851</v>
      </c>
      <c r="D2284" s="315"/>
      <c r="E2284" s="315">
        <v>42851</v>
      </c>
      <c r="F2284" s="249" t="s">
        <v>1099</v>
      </c>
      <c r="G2284" s="314" t="s">
        <v>1115</v>
      </c>
      <c r="H2284" s="473" t="s">
        <v>511</v>
      </c>
      <c r="I2284" s="307"/>
      <c r="J2284" s="307"/>
      <c r="K2284" s="532">
        <v>3800000</v>
      </c>
      <c r="L2284" s="534" t="s">
        <v>45</v>
      </c>
      <c r="M2284" s="534" t="s">
        <v>275</v>
      </c>
      <c r="N2284" s="525" t="str">
        <f>IF(AND('331-CT'!$E$7=TH!H2284,OR(L2284="331",M2284="331")),"331",IF(AND(OR(L2284="131",M2284="131"),H2284='131-CT'!$E$7),"131",""))</f>
        <v/>
      </c>
      <c r="O2284" s="525" t="str">
        <f>IF(AND($B2284&gt;='111'!$N$11,$B2284&lt;='111'!$O$11,OR($L2284=$O$7,$M2284=$O$7)),"x","")</f>
        <v/>
      </c>
      <c r="P2284" s="525" t="str">
        <f>IF(AND($L2284=$O$7,$B2284&lt;'111'!$N$11),"x","")</f>
        <v>x</v>
      </c>
      <c r="Q2284" s="525" t="str">
        <f>IF(AND($M2284=$O$7,$B2284&lt;'111'!$N$11),"x","")</f>
        <v/>
      </c>
      <c r="R2284" s="525" t="str">
        <f>IF(ISERROR(FIND('112'!$M$9,G2284,1)),"",IF((AND(FIND('112'!$M$9,G2284,1)&gt;=1,$B2284&gt;='112'!$N$8,$B2284&lt;='112'!$O$8,OR($L2284='112'!$I$6,$M2284='112'!$I$6))),"x",""))</f>
        <v/>
      </c>
      <c r="S2284" s="525" t="str">
        <f>IF(ISERROR(FIND('112'!$M$9,G2284,1)),"",IF((AND(LEFT(G2284,2)=LEFT('112'!$M$9,2),B2284&lt;'112'!$N$8,$L2284='112'!$I$6)),"x",""))</f>
        <v/>
      </c>
      <c r="T2284" s="525" t="str">
        <f>IF(ISERROR(FIND('112'!$M$9,G2284,1)),"",IF((AND(RIGHT(G2284,2)=RIGHT('112'!$M$9,2),B2284&lt;'112'!$N$8,$M2284='112'!$I$6)),"x",""))</f>
        <v/>
      </c>
      <c r="U2284" s="525" t="str">
        <f>IF(AND(B2284&gt;='IN-NX'!$P$3,B2284&lt;='IN-NX'!$Q$3,'IN-NX'!$D$7=D2284,OR(LEFT(L2284,2)="15",AND(LEFT(M2284,2)&lt;&gt;"15",LEFT(M2284,2)&lt;&gt;"33"))),"x","")</f>
        <v/>
      </c>
      <c r="V2284" s="525" t="str">
        <f>IF(AND(OR(LEFT(TH!L2284,2)="15",LEFT(TH!M2284,2)="15"),'152-CT'!$J$8=TH!F2284),"x","")</f>
        <v/>
      </c>
      <c r="W2284" s="525" t="str">
        <f>IF(AND(OR(LEFT(TH!L2284,2)="15",LEFT(TH!M2284,2)="15"),TK!$E$7=TH!F2284),"x","")</f>
        <v/>
      </c>
      <c r="X2284" s="525" t="str">
        <f>IF(AND('341-CT'!$E$9=H2284,OR(LEFT(L2284,3)=$X$7,LEFT(M2284,3)=$X$7)),"x","")</f>
        <v/>
      </c>
      <c r="Y2284" s="525" t="str">
        <f>IF(OR(TH!L2284=TH!$Y$7,M2284=TH!$Y$7),"x","")</f>
        <v/>
      </c>
      <c r="Z2284" s="525" t="str">
        <f>IF(AND(B2284&lt;=NKC!$N$8,B2284&gt;=NKC!$M$8),"x","")</f>
        <v/>
      </c>
      <c r="AA2284" s="535"/>
      <c r="AB2284" s="536"/>
    </row>
    <row r="2285" spans="1:28" s="503" customFormat="1" ht="15.75" customHeight="1">
      <c r="A2285" s="517" t="str">
        <f>IF(B2285&lt;&gt;"",IF(AND(B2285&gt;=_TM1,B2285&lt;=_TM2,OR(TH!L2285="1111",TH!M2285="1111")),TH!D2285,""),"")</f>
        <v/>
      </c>
      <c r="B2285" s="531">
        <f t="shared" si="208"/>
        <v>4</v>
      </c>
      <c r="C2285" s="315">
        <f t="shared" si="209"/>
        <v>42851</v>
      </c>
      <c r="D2285" s="315"/>
      <c r="E2285" s="315">
        <v>42851</v>
      </c>
      <c r="F2285" s="249" t="s">
        <v>1102</v>
      </c>
      <c r="G2285" s="314" t="s">
        <v>1115</v>
      </c>
      <c r="H2285" s="473" t="s">
        <v>511</v>
      </c>
      <c r="I2285" s="307"/>
      <c r="J2285" s="307"/>
      <c r="K2285" s="532">
        <v>380000</v>
      </c>
      <c r="L2285" s="534" t="s">
        <v>45</v>
      </c>
      <c r="M2285" s="534" t="s">
        <v>259</v>
      </c>
      <c r="N2285" s="525" t="str">
        <f>IF(AND('331-CT'!$E$7=TH!H2285,OR(L2285="331",M2285="331")),"331",IF(AND(OR(L2285="131",M2285="131"),H2285='131-CT'!$E$7),"131",""))</f>
        <v/>
      </c>
      <c r="O2285" s="525" t="str">
        <f>IF(AND($B2285&gt;='111'!$N$11,$B2285&lt;='111'!$O$11,OR($L2285=$O$7,$M2285=$O$7)),"x","")</f>
        <v/>
      </c>
      <c r="P2285" s="525" t="str">
        <f>IF(AND($L2285=$O$7,$B2285&lt;'111'!$N$11),"x","")</f>
        <v>x</v>
      </c>
      <c r="Q2285" s="525" t="str">
        <f>IF(AND($M2285=$O$7,$B2285&lt;'111'!$N$11),"x","")</f>
        <v/>
      </c>
      <c r="R2285" s="525" t="str">
        <f>IF(ISERROR(FIND('112'!$M$9,G2285,1)),"",IF((AND(FIND('112'!$M$9,G2285,1)&gt;=1,$B2285&gt;='112'!$N$8,$B2285&lt;='112'!$O$8,OR($L2285='112'!$I$6,$M2285='112'!$I$6))),"x",""))</f>
        <v/>
      </c>
      <c r="S2285" s="525" t="str">
        <f>IF(ISERROR(FIND('112'!$M$9,G2285,1)),"",IF((AND(LEFT(G2285,2)=LEFT('112'!$M$9,2),B2285&lt;'112'!$N$8,$L2285='112'!$I$6)),"x",""))</f>
        <v/>
      </c>
      <c r="T2285" s="525" t="str">
        <f>IF(ISERROR(FIND('112'!$M$9,G2285,1)),"",IF((AND(RIGHT(G2285,2)=RIGHT('112'!$M$9,2),B2285&lt;'112'!$N$8,$M2285='112'!$I$6)),"x",""))</f>
        <v/>
      </c>
      <c r="U2285" s="525" t="str">
        <f>IF(AND(B2285&gt;='IN-NX'!$P$3,B2285&lt;='IN-NX'!$Q$3,'IN-NX'!$D$7=D2285,OR(LEFT(L2285,2)="15",AND(LEFT(M2285,2)&lt;&gt;"15",LEFT(M2285,2)&lt;&gt;"33"))),"x","")</f>
        <v/>
      </c>
      <c r="V2285" s="525" t="str">
        <f>IF(AND(OR(LEFT(TH!L2285,2)="15",LEFT(TH!M2285,2)="15"),'152-CT'!$J$8=TH!F2285),"x","")</f>
        <v/>
      </c>
      <c r="W2285" s="525" t="str">
        <f>IF(AND(OR(LEFT(TH!L2285,2)="15",LEFT(TH!M2285,2)="15"),TK!$E$7=TH!F2285),"x","")</f>
        <v/>
      </c>
      <c r="X2285" s="525" t="str">
        <f>IF(AND('341-CT'!$E$9=H2285,OR(LEFT(L2285,3)=$X$7,LEFT(M2285,3)=$X$7)),"x","")</f>
        <v/>
      </c>
      <c r="Y2285" s="525" t="str">
        <f>IF(OR(TH!L2285=TH!$Y$7,M2285=TH!$Y$7),"x","")</f>
        <v/>
      </c>
      <c r="Z2285" s="525" t="str">
        <f>IF(AND(B2285&lt;=NKC!$N$8,B2285&gt;=NKC!$M$8),"x","")</f>
        <v/>
      </c>
      <c r="AA2285" s="535"/>
      <c r="AB2285" s="536"/>
    </row>
    <row r="2286" spans="1:28" s="503" customFormat="1" ht="15.75" customHeight="1">
      <c r="A2286" s="517" t="str">
        <f>IF(B2286&lt;&gt;"",IF(AND(B2286&gt;=_TM1,B2286&lt;=_TM2,OR(TH!L2286="1111",TH!M2286="1111")),TH!D2286,""),"")</f>
        <v/>
      </c>
      <c r="B2286" s="531">
        <f t="shared" si="208"/>
        <v>4</v>
      </c>
      <c r="C2286" s="315">
        <f t="shared" si="209"/>
        <v>42853</v>
      </c>
      <c r="D2286" s="315" t="s">
        <v>908</v>
      </c>
      <c r="E2286" s="315">
        <v>42853</v>
      </c>
      <c r="F2286" s="249" t="s">
        <v>689</v>
      </c>
      <c r="G2286" s="314" t="s">
        <v>1116</v>
      </c>
      <c r="H2286" s="473" t="s">
        <v>284</v>
      </c>
      <c r="I2286" s="307">
        <v>10</v>
      </c>
      <c r="J2286" s="307">
        <v>80564</v>
      </c>
      <c r="K2286" s="532">
        <f t="shared" ref="K2286:K2317" si="210">ROUND(I2286*J2286,0)</f>
        <v>805640</v>
      </c>
      <c r="L2286" s="534" t="s">
        <v>223</v>
      </c>
      <c r="M2286" s="534" t="s">
        <v>162</v>
      </c>
      <c r="N2286" s="525" t="str">
        <f>IF(AND('331-CT'!$E$7=TH!H2286,OR(L2286="331",M2286="331")),"331",IF(AND(OR(L2286="131",M2286="131"),H2286='131-CT'!$E$7),"131",""))</f>
        <v/>
      </c>
      <c r="O2286" s="525" t="str">
        <f>IF(AND($B2286&gt;='111'!$N$11,$B2286&lt;='111'!$O$11,OR($L2286=$O$7,$M2286=$O$7)),"x","")</f>
        <v/>
      </c>
      <c r="P2286" s="525" t="str">
        <f>IF(AND($L2286=$O$7,$B2286&lt;'111'!$N$11),"x","")</f>
        <v/>
      </c>
      <c r="Q2286" s="525" t="str">
        <f>IF(AND($M2286=$O$7,$B2286&lt;'111'!$N$11),"x","")</f>
        <v/>
      </c>
      <c r="R2286" s="525" t="str">
        <f>IF(ISERROR(FIND('112'!$M$9,G2286,1)),"",IF((AND(FIND('112'!$M$9,G2286,1)&gt;=1,$B2286&gt;='112'!$N$8,$B2286&lt;='112'!$O$8,OR($L2286='112'!$I$6,$M2286='112'!$I$6))),"x",""))</f>
        <v/>
      </c>
      <c r="S2286" s="525" t="str">
        <f>IF(ISERROR(FIND('112'!$M$9,G2286,1)),"",IF((AND(LEFT(G2286,2)=LEFT('112'!$M$9,2),B2286&lt;'112'!$N$8,$L2286='112'!$I$6)),"x",""))</f>
        <v/>
      </c>
      <c r="T2286" s="525" t="str">
        <f>IF(ISERROR(FIND('112'!$M$9,G2286,1)),"",IF((AND(RIGHT(G2286,2)=RIGHT('112'!$M$9,2),B2286&lt;'112'!$N$8,$M2286='112'!$I$6)),"x",""))</f>
        <v/>
      </c>
      <c r="U2286" s="525" t="str">
        <f>IF(AND(B2286&gt;='IN-NX'!$P$3,B2286&lt;='IN-NX'!$Q$3,'IN-NX'!$D$7=D2286,OR(LEFT(L2286,2)="15",AND(LEFT(M2286,2)&lt;&gt;"15",LEFT(M2286,2)&lt;&gt;"33"))),"x","")</f>
        <v/>
      </c>
      <c r="V2286" s="525" t="str">
        <f>IF(AND(OR(LEFT(TH!L2286,2)="15",LEFT(TH!M2286,2)="15"),'152-CT'!$J$8=TH!F2286),"x","")</f>
        <v/>
      </c>
      <c r="W2286" s="525" t="str">
        <f>IF(AND(OR(LEFT(TH!L2286,2)="15",LEFT(TH!M2286,2)="15"),TK!$E$7=TH!F2286),"x","")</f>
        <v/>
      </c>
      <c r="X2286" s="525" t="str">
        <f>IF(AND('341-CT'!$E$9=H2286,OR(LEFT(L2286,3)=$X$7,LEFT(M2286,3)=$X$7)),"x","")</f>
        <v/>
      </c>
      <c r="Y2286" s="525" t="str">
        <f>IF(OR(TH!L2286=TH!$Y$7,M2286=TH!$Y$7),"x","")</f>
        <v/>
      </c>
      <c r="Z2286" s="525" t="str">
        <f>IF(AND(B2286&lt;=NKC!$N$8,B2286&gt;=NKC!$M$8),"x","")</f>
        <v/>
      </c>
      <c r="AA2286" s="535"/>
      <c r="AB2286" s="536"/>
    </row>
    <row r="2287" spans="1:28" s="503" customFormat="1" ht="15.75" customHeight="1">
      <c r="A2287" s="517" t="str">
        <f>IF(B2287&lt;&gt;"",IF(AND(B2287&gt;=_TM1,B2287&lt;=_TM2,OR(TH!L2287="1111",TH!M2287="1111")),TH!D2287,""),"")</f>
        <v/>
      </c>
      <c r="B2287" s="531">
        <f t="shared" si="208"/>
        <v>4</v>
      </c>
      <c r="C2287" s="315">
        <f t="shared" si="209"/>
        <v>42853</v>
      </c>
      <c r="D2287" s="315" t="s">
        <v>908</v>
      </c>
      <c r="E2287" s="315">
        <v>42853</v>
      </c>
      <c r="F2287" s="249" t="s">
        <v>692</v>
      </c>
      <c r="G2287" s="314" t="s">
        <v>1116</v>
      </c>
      <c r="H2287" s="473" t="s">
        <v>284</v>
      </c>
      <c r="I2287" s="307">
        <v>18</v>
      </c>
      <c r="J2287" s="307">
        <v>186837</v>
      </c>
      <c r="K2287" s="532">
        <f t="shared" si="210"/>
        <v>3363066</v>
      </c>
      <c r="L2287" s="534" t="s">
        <v>223</v>
      </c>
      <c r="M2287" s="534" t="s">
        <v>162</v>
      </c>
      <c r="N2287" s="525" t="str">
        <f>IF(AND('331-CT'!$E$7=TH!H2287,OR(L2287="331",M2287="331")),"331",IF(AND(OR(L2287="131",M2287="131"),H2287='131-CT'!$E$7),"131",""))</f>
        <v/>
      </c>
      <c r="O2287" s="525" t="str">
        <f>IF(AND($B2287&gt;='111'!$N$11,$B2287&lt;='111'!$O$11,OR($L2287=$O$7,$M2287=$O$7)),"x","")</f>
        <v/>
      </c>
      <c r="P2287" s="525" t="str">
        <f>IF(AND($L2287=$O$7,$B2287&lt;'111'!$N$11),"x","")</f>
        <v/>
      </c>
      <c r="Q2287" s="525" t="str">
        <f>IF(AND($M2287=$O$7,$B2287&lt;'111'!$N$11),"x","")</f>
        <v/>
      </c>
      <c r="R2287" s="525" t="str">
        <f>IF(ISERROR(FIND('112'!$M$9,G2287,1)),"",IF((AND(FIND('112'!$M$9,G2287,1)&gt;=1,$B2287&gt;='112'!$N$8,$B2287&lt;='112'!$O$8,OR($L2287='112'!$I$6,$M2287='112'!$I$6))),"x",""))</f>
        <v/>
      </c>
      <c r="S2287" s="525" t="str">
        <f>IF(ISERROR(FIND('112'!$M$9,G2287,1)),"",IF((AND(LEFT(G2287,2)=LEFT('112'!$M$9,2),B2287&lt;'112'!$N$8,$L2287='112'!$I$6)),"x",""))</f>
        <v/>
      </c>
      <c r="T2287" s="525" t="str">
        <f>IF(ISERROR(FIND('112'!$M$9,G2287,1)),"",IF((AND(RIGHT(G2287,2)=RIGHT('112'!$M$9,2),B2287&lt;'112'!$N$8,$M2287='112'!$I$6)),"x",""))</f>
        <v/>
      </c>
      <c r="U2287" s="525" t="str">
        <f>IF(AND(B2287&gt;='IN-NX'!$P$3,B2287&lt;='IN-NX'!$Q$3,'IN-NX'!$D$7=D2287,OR(LEFT(L2287,2)="15",AND(LEFT(M2287,2)&lt;&gt;"15",LEFT(M2287,2)&lt;&gt;"33"))),"x","")</f>
        <v/>
      </c>
      <c r="V2287" s="525" t="str">
        <f>IF(AND(OR(LEFT(TH!L2287,2)="15",LEFT(TH!M2287,2)="15"),'152-CT'!$J$8=TH!F2287),"x","")</f>
        <v/>
      </c>
      <c r="W2287" s="525" t="str">
        <f>IF(AND(OR(LEFT(TH!L2287,2)="15",LEFT(TH!M2287,2)="15"),TK!$E$7=TH!F2287),"x","")</f>
        <v/>
      </c>
      <c r="X2287" s="525" t="str">
        <f>IF(AND('341-CT'!$E$9=H2287,OR(LEFT(L2287,3)=$X$7,LEFT(M2287,3)=$X$7)),"x","")</f>
        <v/>
      </c>
      <c r="Y2287" s="525" t="str">
        <f>IF(OR(TH!L2287=TH!$Y$7,M2287=TH!$Y$7),"x","")</f>
        <v/>
      </c>
      <c r="Z2287" s="525" t="str">
        <f>IF(AND(B2287&lt;=NKC!$N$8,B2287&gt;=NKC!$M$8),"x","")</f>
        <v/>
      </c>
      <c r="AA2287" s="535"/>
      <c r="AB2287" s="536"/>
    </row>
    <row r="2288" spans="1:28" s="503" customFormat="1" ht="15.75" customHeight="1">
      <c r="A2288" s="517" t="str">
        <f>IF(B2288&lt;&gt;"",IF(AND(B2288&gt;=_TM1,B2288&lt;=_TM2,OR(TH!L2288="1111",TH!M2288="1111")),TH!D2288,""),"")</f>
        <v/>
      </c>
      <c r="B2288" s="531">
        <f t="shared" si="208"/>
        <v>4</v>
      </c>
      <c r="C2288" s="315">
        <f t="shared" si="209"/>
        <v>42853</v>
      </c>
      <c r="D2288" s="315" t="s">
        <v>908</v>
      </c>
      <c r="E2288" s="315">
        <v>42853</v>
      </c>
      <c r="F2288" s="249" t="s">
        <v>691</v>
      </c>
      <c r="G2288" s="314" t="s">
        <v>1116</v>
      </c>
      <c r="H2288" s="473" t="s">
        <v>284</v>
      </c>
      <c r="I2288" s="307">
        <v>32</v>
      </c>
      <c r="J2288" s="307">
        <v>50586</v>
      </c>
      <c r="K2288" s="532">
        <f t="shared" si="210"/>
        <v>1618752</v>
      </c>
      <c r="L2288" s="534" t="s">
        <v>223</v>
      </c>
      <c r="M2288" s="534" t="s">
        <v>162</v>
      </c>
      <c r="N2288" s="525" t="str">
        <f>IF(AND('331-CT'!$E$7=TH!H2288,OR(L2288="331",M2288="331")),"331",IF(AND(OR(L2288="131",M2288="131"),H2288='131-CT'!$E$7),"131",""))</f>
        <v/>
      </c>
      <c r="O2288" s="525" t="str">
        <f>IF(AND($B2288&gt;='111'!$N$11,$B2288&lt;='111'!$O$11,OR($L2288=$O$7,$M2288=$O$7)),"x","")</f>
        <v/>
      </c>
      <c r="P2288" s="525" t="str">
        <f>IF(AND($L2288=$O$7,$B2288&lt;'111'!$N$11),"x","")</f>
        <v/>
      </c>
      <c r="Q2288" s="525" t="str">
        <f>IF(AND($M2288=$O$7,$B2288&lt;'111'!$N$11),"x","")</f>
        <v/>
      </c>
      <c r="R2288" s="525" t="str">
        <f>IF(ISERROR(FIND('112'!$M$9,G2288,1)),"",IF((AND(FIND('112'!$M$9,G2288,1)&gt;=1,$B2288&gt;='112'!$N$8,$B2288&lt;='112'!$O$8,OR($L2288='112'!$I$6,$M2288='112'!$I$6))),"x",""))</f>
        <v/>
      </c>
      <c r="S2288" s="525" t="str">
        <f>IF(ISERROR(FIND('112'!$M$9,G2288,1)),"",IF((AND(LEFT(G2288,2)=LEFT('112'!$M$9,2),B2288&lt;'112'!$N$8,$L2288='112'!$I$6)),"x",""))</f>
        <v/>
      </c>
      <c r="T2288" s="525" t="str">
        <f>IF(ISERROR(FIND('112'!$M$9,G2288,1)),"",IF((AND(RIGHT(G2288,2)=RIGHT('112'!$M$9,2),B2288&lt;'112'!$N$8,$M2288='112'!$I$6)),"x",""))</f>
        <v/>
      </c>
      <c r="U2288" s="525" t="str">
        <f>IF(AND(B2288&gt;='IN-NX'!$P$3,B2288&lt;='IN-NX'!$Q$3,'IN-NX'!$D$7=D2288,OR(LEFT(L2288,2)="15",AND(LEFT(M2288,2)&lt;&gt;"15",LEFT(M2288,2)&lt;&gt;"33"))),"x","")</f>
        <v/>
      </c>
      <c r="V2288" s="525" t="str">
        <f>IF(AND(OR(LEFT(TH!L2288,2)="15",LEFT(TH!M2288,2)="15"),'152-CT'!$J$8=TH!F2288),"x","")</f>
        <v/>
      </c>
      <c r="W2288" s="525" t="str">
        <f>IF(AND(OR(LEFT(TH!L2288,2)="15",LEFT(TH!M2288,2)="15"),TK!$E$7=TH!F2288),"x","")</f>
        <v/>
      </c>
      <c r="X2288" s="525" t="str">
        <f>IF(AND('341-CT'!$E$9=H2288,OR(LEFT(L2288,3)=$X$7,LEFT(M2288,3)=$X$7)),"x","")</f>
        <v/>
      </c>
      <c r="Y2288" s="525" t="str">
        <f>IF(OR(TH!L2288=TH!$Y$7,M2288=TH!$Y$7),"x","")</f>
        <v/>
      </c>
      <c r="Z2288" s="525" t="str">
        <f>IF(AND(B2288&lt;=NKC!$N$8,B2288&gt;=NKC!$M$8),"x","")</f>
        <v/>
      </c>
      <c r="AA2288" s="535"/>
      <c r="AB2288" s="536"/>
    </row>
    <row r="2289" spans="1:31" s="503" customFormat="1" ht="15.75" customHeight="1">
      <c r="A2289" s="517" t="str">
        <f>IF(B2289&lt;&gt;"",IF(AND(B2289&gt;=_TM1,B2289&lt;=_TM2,OR(TH!L2289="1111",TH!M2289="1111")),TH!D2289,""),"")</f>
        <v/>
      </c>
      <c r="B2289" s="531">
        <f t="shared" si="208"/>
        <v>4</v>
      </c>
      <c r="C2289" s="315">
        <f t="shared" si="209"/>
        <v>42853</v>
      </c>
      <c r="D2289" s="315" t="s">
        <v>908</v>
      </c>
      <c r="E2289" s="315">
        <v>42853</v>
      </c>
      <c r="F2289" s="249" t="s">
        <v>611</v>
      </c>
      <c r="G2289" s="314" t="s">
        <v>1116</v>
      </c>
      <c r="H2289" s="473" t="s">
        <v>284</v>
      </c>
      <c r="I2289" s="307">
        <v>50</v>
      </c>
      <c r="J2289" s="307">
        <v>44814</v>
      </c>
      <c r="K2289" s="532">
        <f t="shared" si="210"/>
        <v>2240700</v>
      </c>
      <c r="L2289" s="534" t="s">
        <v>223</v>
      </c>
      <c r="M2289" s="534" t="s">
        <v>162</v>
      </c>
      <c r="N2289" s="525" t="str">
        <f>IF(AND('331-CT'!$E$7=TH!H2289,OR(L2289="331",M2289="331")),"331",IF(AND(OR(L2289="131",M2289="131"),H2289='131-CT'!$E$7),"131",""))</f>
        <v/>
      </c>
      <c r="O2289" s="525" t="str">
        <f>IF(AND($B2289&gt;='111'!$N$11,$B2289&lt;='111'!$O$11,OR($L2289=$O$7,$M2289=$O$7)),"x","")</f>
        <v/>
      </c>
      <c r="P2289" s="525" t="str">
        <f>IF(AND($L2289=$O$7,$B2289&lt;'111'!$N$11),"x","")</f>
        <v/>
      </c>
      <c r="Q2289" s="525" t="str">
        <f>IF(AND($M2289=$O$7,$B2289&lt;'111'!$N$11),"x","")</f>
        <v/>
      </c>
      <c r="R2289" s="525" t="str">
        <f>IF(ISERROR(FIND('112'!$M$9,G2289,1)),"",IF((AND(FIND('112'!$M$9,G2289,1)&gt;=1,$B2289&gt;='112'!$N$8,$B2289&lt;='112'!$O$8,OR($L2289='112'!$I$6,$M2289='112'!$I$6))),"x",""))</f>
        <v/>
      </c>
      <c r="S2289" s="525" t="str">
        <f>IF(ISERROR(FIND('112'!$M$9,G2289,1)),"",IF((AND(LEFT(G2289,2)=LEFT('112'!$M$9,2),B2289&lt;'112'!$N$8,$L2289='112'!$I$6)),"x",""))</f>
        <v/>
      </c>
      <c r="T2289" s="525" t="str">
        <f>IF(ISERROR(FIND('112'!$M$9,G2289,1)),"",IF((AND(RIGHT(G2289,2)=RIGHT('112'!$M$9,2),B2289&lt;'112'!$N$8,$M2289='112'!$I$6)),"x",""))</f>
        <v/>
      </c>
      <c r="U2289" s="525" t="str">
        <f>IF(AND(B2289&gt;='IN-NX'!$P$3,B2289&lt;='IN-NX'!$Q$3,'IN-NX'!$D$7=D2289,OR(LEFT(L2289,2)="15",AND(LEFT(M2289,2)&lt;&gt;"15",LEFT(M2289,2)&lt;&gt;"33"))),"x","")</f>
        <v/>
      </c>
      <c r="V2289" s="525" t="str">
        <f>IF(AND(OR(LEFT(TH!L2289,2)="15",LEFT(TH!M2289,2)="15"),'152-CT'!$J$8=TH!F2289),"x","")</f>
        <v/>
      </c>
      <c r="W2289" s="525" t="str">
        <f>IF(AND(OR(LEFT(TH!L2289,2)="15",LEFT(TH!M2289,2)="15"),TK!$E$7=TH!F2289),"x","")</f>
        <v/>
      </c>
      <c r="X2289" s="525" t="str">
        <f>IF(AND('341-CT'!$E$9=H2289,OR(LEFT(L2289,3)=$X$7,LEFT(M2289,3)=$X$7)),"x","")</f>
        <v/>
      </c>
      <c r="Y2289" s="525" t="str">
        <f>IF(OR(TH!L2289=TH!$Y$7,M2289=TH!$Y$7),"x","")</f>
        <v/>
      </c>
      <c r="Z2289" s="525" t="str">
        <f>IF(AND(B2289&lt;=NKC!$N$8,B2289&gt;=NKC!$M$8),"x","")</f>
        <v/>
      </c>
      <c r="AA2289" s="546"/>
      <c r="AB2289" s="536"/>
      <c r="AE2289" s="536"/>
    </row>
    <row r="2290" spans="1:31" s="503" customFormat="1" ht="15.75" customHeight="1">
      <c r="A2290" s="517" t="str">
        <f>IF(B2290&lt;&gt;"",IF(AND(B2290&gt;=_TM1,B2290&lt;=_TM2,OR(TH!L2290="1111",TH!M2290="1111")),TH!D2290,""),"")</f>
        <v/>
      </c>
      <c r="B2290" s="531">
        <f t="shared" si="208"/>
        <v>4</v>
      </c>
      <c r="C2290" s="315">
        <f t="shared" si="209"/>
        <v>42853</v>
      </c>
      <c r="D2290" s="315" t="s">
        <v>908</v>
      </c>
      <c r="E2290" s="315">
        <v>42853</v>
      </c>
      <c r="F2290" s="249" t="s">
        <v>660</v>
      </c>
      <c r="G2290" s="314" t="s">
        <v>1116</v>
      </c>
      <c r="H2290" s="473" t="s">
        <v>284</v>
      </c>
      <c r="I2290" s="307">
        <v>14</v>
      </c>
      <c r="J2290" s="307">
        <v>99792</v>
      </c>
      <c r="K2290" s="532">
        <f t="shared" si="210"/>
        <v>1397088</v>
      </c>
      <c r="L2290" s="534" t="s">
        <v>223</v>
      </c>
      <c r="M2290" s="534" t="s">
        <v>162</v>
      </c>
      <c r="N2290" s="525" t="str">
        <f>IF(AND('331-CT'!$E$7=TH!H2290,OR(L2290="331",M2290="331")),"331",IF(AND(OR(L2290="131",M2290="131"),H2290='131-CT'!$E$7),"131",""))</f>
        <v/>
      </c>
      <c r="O2290" s="525" t="str">
        <f>IF(AND($B2290&gt;='111'!$N$11,$B2290&lt;='111'!$O$11,OR($L2290=$O$7,$M2290=$O$7)),"x","")</f>
        <v/>
      </c>
      <c r="P2290" s="525" t="str">
        <f>IF(AND($L2290=$O$7,$B2290&lt;'111'!$N$11),"x","")</f>
        <v/>
      </c>
      <c r="Q2290" s="525" t="str">
        <f>IF(AND($M2290=$O$7,$B2290&lt;'111'!$N$11),"x","")</f>
        <v/>
      </c>
      <c r="R2290" s="525" t="str">
        <f>IF(ISERROR(FIND('112'!$M$9,G2290,1)),"",IF((AND(FIND('112'!$M$9,G2290,1)&gt;=1,$B2290&gt;='112'!$N$8,$B2290&lt;='112'!$O$8,OR($L2290='112'!$I$6,$M2290='112'!$I$6))),"x",""))</f>
        <v/>
      </c>
      <c r="S2290" s="525" t="str">
        <f>IF(ISERROR(FIND('112'!$M$9,G2290,1)),"",IF((AND(LEFT(G2290,2)=LEFT('112'!$M$9,2),B2290&lt;'112'!$N$8,$L2290='112'!$I$6)),"x",""))</f>
        <v/>
      </c>
      <c r="T2290" s="525" t="str">
        <f>IF(ISERROR(FIND('112'!$M$9,G2290,1)),"",IF((AND(RIGHT(G2290,2)=RIGHT('112'!$M$9,2),B2290&lt;'112'!$N$8,$M2290='112'!$I$6)),"x",""))</f>
        <v/>
      </c>
      <c r="U2290" s="525" t="str">
        <f>IF(AND(B2290&gt;='IN-NX'!$P$3,B2290&lt;='IN-NX'!$Q$3,'IN-NX'!$D$7=D2290,OR(LEFT(L2290,2)="15",AND(LEFT(M2290,2)&lt;&gt;"15",LEFT(M2290,2)&lt;&gt;"33"))),"x","")</f>
        <v/>
      </c>
      <c r="V2290" s="525" t="str">
        <f>IF(AND(OR(LEFT(TH!L2290,2)="15",LEFT(TH!M2290,2)="15"),'152-CT'!$J$8=TH!F2290),"x","")</f>
        <v/>
      </c>
      <c r="W2290" s="525" t="str">
        <f>IF(AND(OR(LEFT(TH!L2290,2)="15",LEFT(TH!M2290,2)="15"),TK!$E$7=TH!F2290),"x","")</f>
        <v/>
      </c>
      <c r="X2290" s="525" t="str">
        <f>IF(AND('341-CT'!$E$9=H2290,OR(LEFT(L2290,3)=$X$7,LEFT(M2290,3)=$X$7)),"x","")</f>
        <v/>
      </c>
      <c r="Y2290" s="525" t="str">
        <f>IF(OR(TH!L2290=TH!$Y$7,M2290=TH!$Y$7),"x","")</f>
        <v/>
      </c>
      <c r="Z2290" s="525" t="str">
        <f>IF(AND(B2290&lt;=NKC!$N$8,B2290&gt;=NKC!$M$8),"x","")</f>
        <v/>
      </c>
      <c r="AA2290" s="546"/>
      <c r="AB2290" s="536"/>
      <c r="AE2290" s="536"/>
    </row>
    <row r="2291" spans="1:31" s="503" customFormat="1" ht="15.75" customHeight="1">
      <c r="A2291" s="517" t="str">
        <f>IF(B2291&lt;&gt;"",IF(AND(B2291&gt;=_TM1,B2291&lt;=_TM2,OR(TH!L2291="1111",TH!M2291="1111")),TH!D2291,""),"")</f>
        <v/>
      </c>
      <c r="B2291" s="531">
        <f t="shared" si="208"/>
        <v>4</v>
      </c>
      <c r="C2291" s="315">
        <f t="shared" si="209"/>
        <v>42853</v>
      </c>
      <c r="D2291" s="315" t="s">
        <v>908</v>
      </c>
      <c r="E2291" s="315">
        <v>42853</v>
      </c>
      <c r="F2291" s="249" t="s">
        <v>740</v>
      </c>
      <c r="G2291" s="314" t="s">
        <v>1116</v>
      </c>
      <c r="H2291" s="473" t="s">
        <v>284</v>
      </c>
      <c r="I2291" s="307">
        <v>20</v>
      </c>
      <c r="J2291" s="307">
        <v>163506</v>
      </c>
      <c r="K2291" s="532">
        <f t="shared" si="210"/>
        <v>3270120</v>
      </c>
      <c r="L2291" s="534" t="s">
        <v>223</v>
      </c>
      <c r="M2291" s="534" t="s">
        <v>162</v>
      </c>
      <c r="N2291" s="525" t="str">
        <f>IF(AND('331-CT'!$E$7=TH!H2291,OR(L2291="331",M2291="331")),"331",IF(AND(OR(L2291="131",M2291="131"),H2291='131-CT'!$E$7),"131",""))</f>
        <v/>
      </c>
      <c r="O2291" s="525" t="str">
        <f>IF(AND($B2291&gt;='111'!$N$11,$B2291&lt;='111'!$O$11,OR($L2291=$O$7,$M2291=$O$7)),"x","")</f>
        <v/>
      </c>
      <c r="P2291" s="525" t="str">
        <f>IF(AND($L2291=$O$7,$B2291&lt;'111'!$N$11),"x","")</f>
        <v/>
      </c>
      <c r="Q2291" s="525" t="str">
        <f>IF(AND($M2291=$O$7,$B2291&lt;'111'!$N$11),"x","")</f>
        <v/>
      </c>
      <c r="R2291" s="525" t="str">
        <f>IF(ISERROR(FIND('112'!$M$9,G2291,1)),"",IF((AND(FIND('112'!$M$9,G2291,1)&gt;=1,$B2291&gt;='112'!$N$8,$B2291&lt;='112'!$O$8,OR($L2291='112'!$I$6,$M2291='112'!$I$6))),"x",""))</f>
        <v/>
      </c>
      <c r="S2291" s="525" t="str">
        <f>IF(ISERROR(FIND('112'!$M$9,G2291,1)),"",IF((AND(LEFT(G2291,2)=LEFT('112'!$M$9,2),B2291&lt;'112'!$N$8,$L2291='112'!$I$6)),"x",""))</f>
        <v/>
      </c>
      <c r="T2291" s="525" t="str">
        <f>IF(ISERROR(FIND('112'!$M$9,G2291,1)),"",IF((AND(RIGHT(G2291,2)=RIGHT('112'!$M$9,2),B2291&lt;'112'!$N$8,$M2291='112'!$I$6)),"x",""))</f>
        <v/>
      </c>
      <c r="U2291" s="525" t="str">
        <f>IF(AND(B2291&gt;='IN-NX'!$P$3,B2291&lt;='IN-NX'!$Q$3,'IN-NX'!$D$7=D2291,OR(LEFT(L2291,2)="15",AND(LEFT(M2291,2)&lt;&gt;"15",LEFT(M2291,2)&lt;&gt;"33"))),"x","")</f>
        <v/>
      </c>
      <c r="V2291" s="525" t="str">
        <f>IF(AND(OR(LEFT(TH!L2291,2)="15",LEFT(TH!M2291,2)="15"),'152-CT'!$J$8=TH!F2291),"x","")</f>
        <v/>
      </c>
      <c r="W2291" s="525" t="str">
        <f>IF(AND(OR(LEFT(TH!L2291,2)="15",LEFT(TH!M2291,2)="15"),TK!$E$7=TH!F2291),"x","")</f>
        <v/>
      </c>
      <c r="X2291" s="525" t="str">
        <f>IF(AND('341-CT'!$E$9=H2291,OR(LEFT(L2291,3)=$X$7,LEFT(M2291,3)=$X$7)),"x","")</f>
        <v/>
      </c>
      <c r="Y2291" s="525" t="str">
        <f>IF(OR(TH!L2291=TH!$Y$7,M2291=TH!$Y$7),"x","")</f>
        <v/>
      </c>
      <c r="Z2291" s="525" t="str">
        <f>IF(AND(B2291&lt;=NKC!$N$8,B2291&gt;=NKC!$M$8),"x","")</f>
        <v/>
      </c>
      <c r="AA2291" s="546"/>
      <c r="AB2291" s="536"/>
      <c r="AE2291" s="536"/>
    </row>
    <row r="2292" spans="1:31" s="503" customFormat="1" ht="15.75" customHeight="1">
      <c r="A2292" s="517" t="str">
        <f>IF(B2292&lt;&gt;"",IF(AND(B2292&gt;=_TM1,B2292&lt;=_TM2,OR(TH!L2292="1111",TH!M2292="1111")),TH!D2292,""),"")</f>
        <v/>
      </c>
      <c r="B2292" s="531">
        <f t="shared" si="208"/>
        <v>4</v>
      </c>
      <c r="C2292" s="315">
        <f t="shared" si="209"/>
        <v>42853</v>
      </c>
      <c r="D2292" s="315" t="s">
        <v>908</v>
      </c>
      <c r="E2292" s="315">
        <v>42853</v>
      </c>
      <c r="F2292" s="249" t="s">
        <v>741</v>
      </c>
      <c r="G2292" s="314" t="s">
        <v>1116</v>
      </c>
      <c r="H2292" s="473" t="s">
        <v>284</v>
      </c>
      <c r="I2292" s="307">
        <v>4</v>
      </c>
      <c r="J2292" s="307">
        <v>214662</v>
      </c>
      <c r="K2292" s="532">
        <f t="shared" si="210"/>
        <v>858648</v>
      </c>
      <c r="L2292" s="534" t="s">
        <v>223</v>
      </c>
      <c r="M2292" s="534" t="s">
        <v>162</v>
      </c>
      <c r="N2292" s="525" t="str">
        <f>IF(AND('331-CT'!$E$7=TH!H2292,OR(L2292="331",M2292="331")),"331",IF(AND(OR(L2292="131",M2292="131"),H2292='131-CT'!$E$7),"131",""))</f>
        <v/>
      </c>
      <c r="O2292" s="525" t="str">
        <f>IF(AND($B2292&gt;='111'!$N$11,$B2292&lt;='111'!$O$11,OR($L2292=$O$7,$M2292=$O$7)),"x","")</f>
        <v/>
      </c>
      <c r="P2292" s="525" t="str">
        <f>IF(AND($L2292=$O$7,$B2292&lt;'111'!$N$11),"x","")</f>
        <v/>
      </c>
      <c r="Q2292" s="525" t="str">
        <f>IF(AND($M2292=$O$7,$B2292&lt;'111'!$N$11),"x","")</f>
        <v/>
      </c>
      <c r="R2292" s="525" t="str">
        <f>IF(ISERROR(FIND('112'!$M$9,G2292,1)),"",IF((AND(FIND('112'!$M$9,G2292,1)&gt;=1,$B2292&gt;='112'!$N$8,$B2292&lt;='112'!$O$8,OR($L2292='112'!$I$6,$M2292='112'!$I$6))),"x",""))</f>
        <v/>
      </c>
      <c r="S2292" s="525" t="str">
        <f>IF(ISERROR(FIND('112'!$M$9,G2292,1)),"",IF((AND(LEFT(G2292,2)=LEFT('112'!$M$9,2),B2292&lt;'112'!$N$8,$L2292='112'!$I$6)),"x",""))</f>
        <v/>
      </c>
      <c r="T2292" s="525" t="str">
        <f>IF(ISERROR(FIND('112'!$M$9,G2292,1)),"",IF((AND(RIGHT(G2292,2)=RIGHT('112'!$M$9,2),B2292&lt;'112'!$N$8,$M2292='112'!$I$6)),"x",""))</f>
        <v/>
      </c>
      <c r="U2292" s="525" t="str">
        <f>IF(AND(B2292&gt;='IN-NX'!$P$3,B2292&lt;='IN-NX'!$Q$3,'IN-NX'!$D$7=D2292,OR(LEFT(L2292,2)="15",AND(LEFT(M2292,2)&lt;&gt;"15",LEFT(M2292,2)&lt;&gt;"33"))),"x","")</f>
        <v/>
      </c>
      <c r="V2292" s="525" t="str">
        <f>IF(AND(OR(LEFT(TH!L2292,2)="15",LEFT(TH!M2292,2)="15"),'152-CT'!$J$8=TH!F2292),"x","")</f>
        <v/>
      </c>
      <c r="W2292" s="525" t="str">
        <f>IF(AND(OR(LEFT(TH!L2292,2)="15",LEFT(TH!M2292,2)="15"),TK!$E$7=TH!F2292),"x","")</f>
        <v/>
      </c>
      <c r="X2292" s="525" t="str">
        <f>IF(AND('341-CT'!$E$9=H2292,OR(LEFT(L2292,3)=$X$7,LEFT(M2292,3)=$X$7)),"x","")</f>
        <v/>
      </c>
      <c r="Y2292" s="525" t="str">
        <f>IF(OR(TH!L2292=TH!$Y$7,M2292=TH!$Y$7),"x","")</f>
        <v/>
      </c>
      <c r="Z2292" s="525" t="str">
        <f>IF(AND(B2292&lt;=NKC!$N$8,B2292&gt;=NKC!$M$8),"x","")</f>
        <v/>
      </c>
      <c r="AA2292" s="535"/>
      <c r="AB2292" s="536"/>
    </row>
    <row r="2293" spans="1:31" s="503" customFormat="1" ht="15.75" customHeight="1">
      <c r="A2293" s="517" t="str">
        <f>IF(B2293&lt;&gt;"",IF(AND(B2293&gt;=_TM1,B2293&lt;=_TM2,OR(TH!L2293="1111",TH!M2293="1111")),TH!D2293,""),"")</f>
        <v/>
      </c>
      <c r="B2293" s="531">
        <f t="shared" si="208"/>
        <v>4</v>
      </c>
      <c r="C2293" s="315">
        <f t="shared" si="209"/>
        <v>42853</v>
      </c>
      <c r="D2293" s="315" t="s">
        <v>908</v>
      </c>
      <c r="E2293" s="315">
        <v>42853</v>
      </c>
      <c r="F2293" s="249" t="s">
        <v>691</v>
      </c>
      <c r="G2293" s="314" t="s">
        <v>1116</v>
      </c>
      <c r="H2293" s="473" t="s">
        <v>284</v>
      </c>
      <c r="I2293" s="307">
        <v>12</v>
      </c>
      <c r="J2293" s="307">
        <v>55910</v>
      </c>
      <c r="K2293" s="532">
        <f t="shared" si="210"/>
        <v>670920</v>
      </c>
      <c r="L2293" s="534" t="s">
        <v>223</v>
      </c>
      <c r="M2293" s="534" t="s">
        <v>162</v>
      </c>
      <c r="N2293" s="525" t="str">
        <f>IF(AND('331-CT'!$E$7=TH!H2293,OR(L2293="331",M2293="331")),"331",IF(AND(OR(L2293="131",M2293="131"),H2293='131-CT'!$E$7),"131",""))</f>
        <v/>
      </c>
      <c r="O2293" s="525" t="str">
        <f>IF(AND($B2293&gt;='111'!$N$11,$B2293&lt;='111'!$O$11,OR($L2293=$O$7,$M2293=$O$7)),"x","")</f>
        <v/>
      </c>
      <c r="P2293" s="525" t="str">
        <f>IF(AND($L2293=$O$7,$B2293&lt;'111'!$N$11),"x","")</f>
        <v/>
      </c>
      <c r="Q2293" s="525" t="str">
        <f>IF(AND($M2293=$O$7,$B2293&lt;'111'!$N$11),"x","")</f>
        <v/>
      </c>
      <c r="R2293" s="525" t="str">
        <f>IF(ISERROR(FIND('112'!$M$9,G2293,1)),"",IF((AND(FIND('112'!$M$9,G2293,1)&gt;=1,$B2293&gt;='112'!$N$8,$B2293&lt;='112'!$O$8,OR($L2293='112'!$I$6,$M2293='112'!$I$6))),"x",""))</f>
        <v/>
      </c>
      <c r="S2293" s="525" t="str">
        <f>IF(ISERROR(FIND('112'!$M$9,G2293,1)),"",IF((AND(LEFT(G2293,2)=LEFT('112'!$M$9,2),B2293&lt;'112'!$N$8,$L2293='112'!$I$6)),"x",""))</f>
        <v/>
      </c>
      <c r="T2293" s="525" t="str">
        <f>IF(ISERROR(FIND('112'!$M$9,G2293,1)),"",IF((AND(RIGHT(G2293,2)=RIGHT('112'!$M$9,2),B2293&lt;'112'!$N$8,$M2293='112'!$I$6)),"x",""))</f>
        <v/>
      </c>
      <c r="U2293" s="525" t="str">
        <f>IF(AND(B2293&gt;='IN-NX'!$P$3,B2293&lt;='IN-NX'!$Q$3,'IN-NX'!$D$7=D2293,OR(LEFT(L2293,2)="15",AND(LEFT(M2293,2)&lt;&gt;"15",LEFT(M2293,2)&lt;&gt;"33"))),"x","")</f>
        <v/>
      </c>
      <c r="V2293" s="525" t="str">
        <f>IF(AND(OR(LEFT(TH!L2293,2)="15",LEFT(TH!M2293,2)="15"),'152-CT'!$J$8=TH!F2293),"x","")</f>
        <v/>
      </c>
      <c r="W2293" s="525" t="str">
        <f>IF(AND(OR(LEFT(TH!L2293,2)="15",LEFT(TH!M2293,2)="15"),TK!$E$7=TH!F2293),"x","")</f>
        <v/>
      </c>
      <c r="X2293" s="525" t="str">
        <f>IF(AND('341-CT'!$E$9=H2293,OR(LEFT(L2293,3)=$X$7,LEFT(M2293,3)=$X$7)),"x","")</f>
        <v/>
      </c>
      <c r="Y2293" s="525" t="str">
        <f>IF(OR(TH!L2293=TH!$Y$7,M2293=TH!$Y$7),"x","")</f>
        <v/>
      </c>
      <c r="Z2293" s="525" t="str">
        <f>IF(AND(B2293&lt;=NKC!$N$8,B2293&gt;=NKC!$M$8),"x","")</f>
        <v/>
      </c>
      <c r="AA2293" s="535"/>
      <c r="AB2293" s="536"/>
    </row>
    <row r="2294" spans="1:31" s="503" customFormat="1" ht="15.75" customHeight="1">
      <c r="A2294" s="517" t="str">
        <f>IF(B2294&lt;&gt;"",IF(AND(B2294&gt;=_TM1,B2294&lt;=_TM2,OR(TH!L2294="1111",TH!M2294="1111")),TH!D2294,""),"")</f>
        <v/>
      </c>
      <c r="B2294" s="531">
        <f t="shared" si="208"/>
        <v>4</v>
      </c>
      <c r="C2294" s="315">
        <f t="shared" si="209"/>
        <v>42853</v>
      </c>
      <c r="D2294" s="315" t="s">
        <v>908</v>
      </c>
      <c r="E2294" s="315">
        <v>42853</v>
      </c>
      <c r="F2294" s="247" t="s">
        <v>647</v>
      </c>
      <c r="G2294" s="314" t="s">
        <v>1116</v>
      </c>
      <c r="H2294" s="473" t="s">
        <v>284</v>
      </c>
      <c r="I2294" s="307">
        <v>14</v>
      </c>
      <c r="J2294" s="307">
        <v>112728</v>
      </c>
      <c r="K2294" s="532">
        <f t="shared" si="210"/>
        <v>1578192</v>
      </c>
      <c r="L2294" s="534" t="s">
        <v>223</v>
      </c>
      <c r="M2294" s="534" t="s">
        <v>162</v>
      </c>
      <c r="N2294" s="525" t="str">
        <f>IF(AND('331-CT'!$E$7=TH!H2294,OR(L2294="331",M2294="331")),"331",IF(AND(OR(L2294="131",M2294="131"),H2294='131-CT'!$E$7),"131",""))</f>
        <v/>
      </c>
      <c r="O2294" s="525" t="str">
        <f>IF(AND($B2294&gt;='111'!$N$11,$B2294&lt;='111'!$O$11,OR($L2294=$O$7,$M2294=$O$7)),"x","")</f>
        <v/>
      </c>
      <c r="P2294" s="525" t="str">
        <f>IF(AND($L2294=$O$7,$B2294&lt;'111'!$N$11),"x","")</f>
        <v/>
      </c>
      <c r="Q2294" s="525" t="str">
        <f>IF(AND($M2294=$O$7,$B2294&lt;'111'!$N$11),"x","")</f>
        <v/>
      </c>
      <c r="R2294" s="525" t="str">
        <f>IF(ISERROR(FIND('112'!$M$9,G2294,1)),"",IF((AND(FIND('112'!$M$9,G2294,1)&gt;=1,$B2294&gt;='112'!$N$8,$B2294&lt;='112'!$O$8,OR($L2294='112'!$I$6,$M2294='112'!$I$6))),"x",""))</f>
        <v/>
      </c>
      <c r="S2294" s="525" t="str">
        <f>IF(ISERROR(FIND('112'!$M$9,G2294,1)),"",IF((AND(LEFT(G2294,2)=LEFT('112'!$M$9,2),B2294&lt;'112'!$N$8,$L2294='112'!$I$6)),"x",""))</f>
        <v/>
      </c>
      <c r="T2294" s="525" t="str">
        <f>IF(ISERROR(FIND('112'!$M$9,G2294,1)),"",IF((AND(RIGHT(G2294,2)=RIGHT('112'!$M$9,2),B2294&lt;'112'!$N$8,$M2294='112'!$I$6)),"x",""))</f>
        <v/>
      </c>
      <c r="U2294" s="525" t="str">
        <f>IF(AND(B2294&gt;='IN-NX'!$P$3,B2294&lt;='IN-NX'!$Q$3,'IN-NX'!$D$7=D2294,OR(LEFT(L2294,2)="15",AND(LEFT(M2294,2)&lt;&gt;"15",LEFT(M2294,2)&lt;&gt;"33"))),"x","")</f>
        <v/>
      </c>
      <c r="V2294" s="525" t="str">
        <f>IF(AND(OR(LEFT(TH!L2294,2)="15",LEFT(TH!M2294,2)="15"),'152-CT'!$J$8=TH!F2294),"x","")</f>
        <v/>
      </c>
      <c r="W2294" s="525" t="str">
        <f>IF(AND(OR(LEFT(TH!L2294,2)="15",LEFT(TH!M2294,2)="15"),TK!$E$7=TH!F2294),"x","")</f>
        <v/>
      </c>
      <c r="X2294" s="525" t="str">
        <f>IF(AND('341-CT'!$E$9=H2294,OR(LEFT(L2294,3)=$X$7,LEFT(M2294,3)=$X$7)),"x","")</f>
        <v/>
      </c>
      <c r="Y2294" s="525" t="str">
        <f>IF(OR(TH!L2294=TH!$Y$7,M2294=TH!$Y$7),"x","")</f>
        <v/>
      </c>
      <c r="Z2294" s="525" t="str">
        <f>IF(AND(B2294&lt;=NKC!$N$8,B2294&gt;=NKC!$M$8),"x","")</f>
        <v/>
      </c>
      <c r="AA2294" s="535"/>
      <c r="AB2294" s="536"/>
      <c r="AD2294" s="536"/>
      <c r="AE2294" s="536"/>
    </row>
    <row r="2295" spans="1:31" s="503" customFormat="1" ht="15.75" customHeight="1">
      <c r="A2295" s="517" t="str">
        <f>IF(B2295&lt;&gt;"",IF(AND(B2295&gt;=_TM1,B2295&lt;=_TM2,OR(TH!L2295="1111",TH!M2295="1111")),TH!D2295,""),"")</f>
        <v/>
      </c>
      <c r="B2295" s="531">
        <f t="shared" si="208"/>
        <v>4</v>
      </c>
      <c r="C2295" s="315">
        <f t="shared" si="209"/>
        <v>42853</v>
      </c>
      <c r="D2295" s="315" t="s">
        <v>908</v>
      </c>
      <c r="E2295" s="315">
        <v>42853</v>
      </c>
      <c r="F2295" s="247" t="s">
        <v>649</v>
      </c>
      <c r="G2295" s="314" t="s">
        <v>1116</v>
      </c>
      <c r="H2295" s="473" t="s">
        <v>284</v>
      </c>
      <c r="I2295" s="307">
        <v>28</v>
      </c>
      <c r="J2295" s="307">
        <v>69350</v>
      </c>
      <c r="K2295" s="532">
        <f t="shared" si="210"/>
        <v>1941800</v>
      </c>
      <c r="L2295" s="534" t="s">
        <v>223</v>
      </c>
      <c r="M2295" s="534" t="s">
        <v>162</v>
      </c>
      <c r="N2295" s="525" t="str">
        <f>IF(AND('331-CT'!$E$7=TH!H2295,OR(L2295="331",M2295="331")),"331",IF(AND(OR(L2295="131",M2295="131"),H2295='131-CT'!$E$7),"131",""))</f>
        <v/>
      </c>
      <c r="O2295" s="525" t="str">
        <f>IF(AND($B2295&gt;='111'!$N$11,$B2295&lt;='111'!$O$11,OR($L2295=$O$7,$M2295=$O$7)),"x","")</f>
        <v/>
      </c>
      <c r="P2295" s="525" t="str">
        <f>IF(AND($L2295=$O$7,$B2295&lt;'111'!$N$11),"x","")</f>
        <v/>
      </c>
      <c r="Q2295" s="525" t="str">
        <f>IF(AND($M2295=$O$7,$B2295&lt;'111'!$N$11),"x","")</f>
        <v/>
      </c>
      <c r="R2295" s="525" t="str">
        <f>IF(ISERROR(FIND('112'!$M$9,G2295,1)),"",IF((AND(FIND('112'!$M$9,G2295,1)&gt;=1,$B2295&gt;='112'!$N$8,$B2295&lt;='112'!$O$8,OR($L2295='112'!$I$6,$M2295='112'!$I$6))),"x",""))</f>
        <v/>
      </c>
      <c r="S2295" s="525" t="str">
        <f>IF(ISERROR(FIND('112'!$M$9,G2295,1)),"",IF((AND(LEFT(G2295,2)=LEFT('112'!$M$9,2),B2295&lt;'112'!$N$8,$L2295='112'!$I$6)),"x",""))</f>
        <v/>
      </c>
      <c r="T2295" s="525" t="str">
        <f>IF(ISERROR(FIND('112'!$M$9,G2295,1)),"",IF((AND(RIGHT(G2295,2)=RIGHT('112'!$M$9,2),B2295&lt;'112'!$N$8,$M2295='112'!$I$6)),"x",""))</f>
        <v/>
      </c>
      <c r="U2295" s="525" t="str">
        <f>IF(AND(B2295&gt;='IN-NX'!$P$3,B2295&lt;='IN-NX'!$Q$3,'IN-NX'!$D$7=D2295,OR(LEFT(L2295,2)="15",AND(LEFT(M2295,2)&lt;&gt;"15",LEFT(M2295,2)&lt;&gt;"33"))),"x","")</f>
        <v/>
      </c>
      <c r="V2295" s="525" t="str">
        <f>IF(AND(OR(LEFT(TH!L2295,2)="15",LEFT(TH!M2295,2)="15"),'152-CT'!$J$8=TH!F2295),"x","")</f>
        <v/>
      </c>
      <c r="W2295" s="525" t="str">
        <f>IF(AND(OR(LEFT(TH!L2295,2)="15",LEFT(TH!M2295,2)="15"),TK!$E$7=TH!F2295),"x","")</f>
        <v/>
      </c>
      <c r="X2295" s="525" t="str">
        <f>IF(AND('341-CT'!$E$9=H2295,OR(LEFT(L2295,3)=$X$7,LEFT(M2295,3)=$X$7)),"x","")</f>
        <v/>
      </c>
      <c r="Y2295" s="525" t="str">
        <f>IF(OR(TH!L2295=TH!$Y$7,M2295=TH!$Y$7),"x","")</f>
        <v/>
      </c>
      <c r="Z2295" s="525" t="str">
        <f>IF(AND(B2295&lt;=NKC!$N$8,B2295&gt;=NKC!$M$8),"x","")</f>
        <v/>
      </c>
      <c r="AA2295" s="535"/>
      <c r="AB2295" s="536"/>
      <c r="AD2295" s="536"/>
    </row>
    <row r="2296" spans="1:31" s="503" customFormat="1" ht="15.75" customHeight="1">
      <c r="A2296" s="517" t="str">
        <f>IF(B2296&lt;&gt;"",IF(AND(B2296&gt;=_TM1,B2296&lt;=_TM2,OR(TH!L2296="1111",TH!M2296="1111")),TH!D2296,""),"")</f>
        <v/>
      </c>
      <c r="B2296" s="531">
        <f t="shared" si="208"/>
        <v>4</v>
      </c>
      <c r="C2296" s="315">
        <f t="shared" si="209"/>
        <v>42853</v>
      </c>
      <c r="D2296" s="315" t="s">
        <v>908</v>
      </c>
      <c r="E2296" s="315">
        <v>42853</v>
      </c>
      <c r="F2296" s="247" t="s">
        <v>738</v>
      </c>
      <c r="G2296" s="314" t="s">
        <v>1116</v>
      </c>
      <c r="H2296" s="473" t="s">
        <v>284</v>
      </c>
      <c r="I2296" s="307">
        <v>4</v>
      </c>
      <c r="J2296" s="307">
        <v>150570</v>
      </c>
      <c r="K2296" s="532">
        <f t="shared" si="210"/>
        <v>602280</v>
      </c>
      <c r="L2296" s="534" t="s">
        <v>223</v>
      </c>
      <c r="M2296" s="534" t="s">
        <v>162</v>
      </c>
      <c r="N2296" s="525" t="str">
        <f>IF(AND('331-CT'!$E$7=TH!H2296,OR(L2296="331",M2296="331")),"331",IF(AND(OR(L2296="131",M2296="131"),H2296='131-CT'!$E$7),"131",""))</f>
        <v/>
      </c>
      <c r="O2296" s="525" t="str">
        <f>IF(AND($B2296&gt;='111'!$N$11,$B2296&lt;='111'!$O$11,OR($L2296=$O$7,$M2296=$O$7)),"x","")</f>
        <v/>
      </c>
      <c r="P2296" s="525" t="str">
        <f>IF(AND($L2296=$O$7,$B2296&lt;'111'!$N$11),"x","")</f>
        <v/>
      </c>
      <c r="Q2296" s="525" t="str">
        <f>IF(AND($M2296=$O$7,$B2296&lt;'111'!$N$11),"x","")</f>
        <v/>
      </c>
      <c r="R2296" s="525" t="str">
        <f>IF(ISERROR(FIND('112'!$M$9,G2296,1)),"",IF((AND(FIND('112'!$M$9,G2296,1)&gt;=1,$B2296&gt;='112'!$N$8,$B2296&lt;='112'!$O$8,OR($L2296='112'!$I$6,$M2296='112'!$I$6))),"x",""))</f>
        <v/>
      </c>
      <c r="S2296" s="525" t="str">
        <f>IF(ISERROR(FIND('112'!$M$9,G2296,1)),"",IF((AND(LEFT(G2296,2)=LEFT('112'!$M$9,2),B2296&lt;'112'!$N$8,$L2296='112'!$I$6)),"x",""))</f>
        <v/>
      </c>
      <c r="T2296" s="525" t="str">
        <f>IF(ISERROR(FIND('112'!$M$9,G2296,1)),"",IF((AND(RIGHT(G2296,2)=RIGHT('112'!$M$9,2),B2296&lt;'112'!$N$8,$M2296='112'!$I$6)),"x",""))</f>
        <v/>
      </c>
      <c r="U2296" s="525" t="str">
        <f>IF(AND(B2296&gt;='IN-NX'!$P$3,B2296&lt;='IN-NX'!$Q$3,'IN-NX'!$D$7=D2296,OR(LEFT(L2296,2)="15",AND(LEFT(M2296,2)&lt;&gt;"15",LEFT(M2296,2)&lt;&gt;"33"))),"x","")</f>
        <v/>
      </c>
      <c r="V2296" s="525" t="str">
        <f>IF(AND(OR(LEFT(TH!L2296,2)="15",LEFT(TH!M2296,2)="15"),'152-CT'!$J$8=TH!F2296),"x","")</f>
        <v/>
      </c>
      <c r="W2296" s="525" t="str">
        <f>IF(AND(OR(LEFT(TH!L2296,2)="15",LEFT(TH!M2296,2)="15"),TK!$E$7=TH!F2296),"x","")</f>
        <v/>
      </c>
      <c r="X2296" s="525" t="str">
        <f>IF(AND('341-CT'!$E$9=H2296,OR(LEFT(L2296,3)=$X$7,LEFT(M2296,3)=$X$7)),"x","")</f>
        <v/>
      </c>
      <c r="Y2296" s="525" t="str">
        <f>IF(OR(TH!L2296=TH!$Y$7,M2296=TH!$Y$7),"x","")</f>
        <v/>
      </c>
      <c r="Z2296" s="525" t="str">
        <f>IF(AND(B2296&lt;=NKC!$N$8,B2296&gt;=NKC!$M$8),"x","")</f>
        <v/>
      </c>
      <c r="AA2296" s="535"/>
    </row>
    <row r="2297" spans="1:31" s="503" customFormat="1" ht="15.75" customHeight="1">
      <c r="A2297" s="517" t="str">
        <f>IF(B2297&lt;&gt;"",IF(AND(B2297&gt;=_TM1,B2297&lt;=_TM2,OR(TH!L2297="1111",TH!M2297="1111")),TH!D2297,""),"")</f>
        <v/>
      </c>
      <c r="B2297" s="531">
        <f t="shared" si="208"/>
        <v>4</v>
      </c>
      <c r="C2297" s="315">
        <f t="shared" si="209"/>
        <v>42853</v>
      </c>
      <c r="D2297" s="315" t="s">
        <v>908</v>
      </c>
      <c r="E2297" s="315">
        <v>42853</v>
      </c>
      <c r="F2297" s="247" t="s">
        <v>742</v>
      </c>
      <c r="G2297" s="314" t="s">
        <v>1116</v>
      </c>
      <c r="H2297" s="473" t="s">
        <v>284</v>
      </c>
      <c r="I2297" s="307">
        <v>4</v>
      </c>
      <c r="J2297" s="307">
        <v>82354</v>
      </c>
      <c r="K2297" s="532">
        <f t="shared" si="210"/>
        <v>329416</v>
      </c>
      <c r="L2297" s="534" t="s">
        <v>223</v>
      </c>
      <c r="M2297" s="534" t="s">
        <v>162</v>
      </c>
      <c r="N2297" s="525" t="str">
        <f>IF(AND('331-CT'!$E$7=TH!H2297,OR(L2297="331",M2297="331")),"331",IF(AND(OR(L2297="131",M2297="131"),H2297='131-CT'!$E$7),"131",""))</f>
        <v/>
      </c>
      <c r="O2297" s="525" t="str">
        <f>IF(AND($B2297&gt;='111'!$N$11,$B2297&lt;='111'!$O$11,OR($L2297=$O$7,$M2297=$O$7)),"x","")</f>
        <v/>
      </c>
      <c r="P2297" s="525" t="str">
        <f>IF(AND($L2297=$O$7,$B2297&lt;'111'!$N$11),"x","")</f>
        <v/>
      </c>
      <c r="Q2297" s="525" t="str">
        <f>IF(AND($M2297=$O$7,$B2297&lt;'111'!$N$11),"x","")</f>
        <v/>
      </c>
      <c r="R2297" s="525" t="str">
        <f>IF(ISERROR(FIND('112'!$M$9,G2297,1)),"",IF((AND(FIND('112'!$M$9,G2297,1)&gt;=1,$B2297&gt;='112'!$N$8,$B2297&lt;='112'!$O$8,OR($L2297='112'!$I$6,$M2297='112'!$I$6))),"x",""))</f>
        <v/>
      </c>
      <c r="S2297" s="525" t="str">
        <f>IF(ISERROR(FIND('112'!$M$9,G2297,1)),"",IF((AND(LEFT(G2297,2)=LEFT('112'!$M$9,2),B2297&lt;'112'!$N$8,$L2297='112'!$I$6)),"x",""))</f>
        <v/>
      </c>
      <c r="T2297" s="525" t="str">
        <f>IF(ISERROR(FIND('112'!$M$9,G2297,1)),"",IF((AND(RIGHT(G2297,2)=RIGHT('112'!$M$9,2),B2297&lt;'112'!$N$8,$M2297='112'!$I$6)),"x",""))</f>
        <v/>
      </c>
      <c r="U2297" s="525" t="str">
        <f>IF(AND(B2297&gt;='IN-NX'!$P$3,B2297&lt;='IN-NX'!$Q$3,'IN-NX'!$D$7=D2297,OR(LEFT(L2297,2)="15",AND(LEFT(M2297,2)&lt;&gt;"15",LEFT(M2297,2)&lt;&gt;"33"))),"x","")</f>
        <v/>
      </c>
      <c r="V2297" s="525" t="str">
        <f>IF(AND(OR(LEFT(TH!L2297,2)="15",LEFT(TH!M2297,2)="15"),'152-CT'!$J$8=TH!F2297),"x","")</f>
        <v/>
      </c>
      <c r="W2297" s="525" t="str">
        <f>IF(AND(OR(LEFT(TH!L2297,2)="15",LEFT(TH!M2297,2)="15"),TK!$E$7=TH!F2297),"x","")</f>
        <v/>
      </c>
      <c r="X2297" s="525" t="str">
        <f>IF(AND('341-CT'!$E$9=H2297,OR(LEFT(L2297,3)=$X$7,LEFT(M2297,3)=$X$7)),"x","")</f>
        <v/>
      </c>
      <c r="Y2297" s="525" t="str">
        <f>IF(OR(TH!L2297=TH!$Y$7,M2297=TH!$Y$7),"x","")</f>
        <v/>
      </c>
      <c r="Z2297" s="525" t="str">
        <f>IF(AND(B2297&lt;=NKC!$N$8,B2297&gt;=NKC!$M$8),"x","")</f>
        <v/>
      </c>
      <c r="AA2297" s="535"/>
    </row>
    <row r="2298" spans="1:31" s="503" customFormat="1" ht="15.75" customHeight="1">
      <c r="A2298" s="517" t="str">
        <f>IF(B2298&lt;&gt;"",IF(AND(B2298&gt;=_TM1,B2298&lt;=_TM2,OR(TH!L2298="1111",TH!M2298="1111")),TH!D2298,""),"")</f>
        <v/>
      </c>
      <c r="B2298" s="531">
        <f t="shared" si="208"/>
        <v>4</v>
      </c>
      <c r="C2298" s="315">
        <f t="shared" si="209"/>
        <v>42853</v>
      </c>
      <c r="D2298" s="315" t="s">
        <v>909</v>
      </c>
      <c r="E2298" s="315">
        <v>42853</v>
      </c>
      <c r="F2298" s="247" t="s">
        <v>694</v>
      </c>
      <c r="G2298" s="314" t="s">
        <v>1116</v>
      </c>
      <c r="H2298" s="473" t="s">
        <v>284</v>
      </c>
      <c r="I2298" s="307">
        <v>6</v>
      </c>
      <c r="J2298" s="307">
        <v>51232</v>
      </c>
      <c r="K2298" s="532">
        <f t="shared" si="210"/>
        <v>307392</v>
      </c>
      <c r="L2298" s="534" t="s">
        <v>223</v>
      </c>
      <c r="M2298" s="534" t="s">
        <v>162</v>
      </c>
      <c r="N2298" s="525" t="str">
        <f>IF(AND('331-CT'!$E$7=TH!H2298,OR(L2298="331",M2298="331")),"331",IF(AND(OR(L2298="131",M2298="131"),H2298='131-CT'!$E$7),"131",""))</f>
        <v/>
      </c>
      <c r="O2298" s="525" t="str">
        <f>IF(AND($B2298&gt;='111'!$N$11,$B2298&lt;='111'!$O$11,OR($L2298=$O$7,$M2298=$O$7)),"x","")</f>
        <v/>
      </c>
      <c r="P2298" s="525" t="str">
        <f>IF(AND($L2298=$O$7,$B2298&lt;'111'!$N$11),"x","")</f>
        <v/>
      </c>
      <c r="Q2298" s="525" t="str">
        <f>IF(AND($M2298=$O$7,$B2298&lt;'111'!$N$11),"x","")</f>
        <v/>
      </c>
      <c r="R2298" s="525" t="str">
        <f>IF(ISERROR(FIND('112'!$M$9,G2298,1)),"",IF((AND(FIND('112'!$M$9,G2298,1)&gt;=1,$B2298&gt;='112'!$N$8,$B2298&lt;='112'!$O$8,OR($L2298='112'!$I$6,$M2298='112'!$I$6))),"x",""))</f>
        <v/>
      </c>
      <c r="S2298" s="525" t="str">
        <f>IF(ISERROR(FIND('112'!$M$9,G2298,1)),"",IF((AND(LEFT(G2298,2)=LEFT('112'!$M$9,2),B2298&lt;'112'!$N$8,$L2298='112'!$I$6)),"x",""))</f>
        <v/>
      </c>
      <c r="T2298" s="525" t="str">
        <f>IF(ISERROR(FIND('112'!$M$9,G2298,1)),"",IF((AND(RIGHT(G2298,2)=RIGHT('112'!$M$9,2),B2298&lt;'112'!$N$8,$M2298='112'!$I$6)),"x",""))</f>
        <v/>
      </c>
      <c r="U2298" s="525" t="str">
        <f>IF(AND(B2298&gt;='IN-NX'!$P$3,B2298&lt;='IN-NX'!$Q$3,'IN-NX'!$D$7=D2298,OR(LEFT(L2298,2)="15",AND(LEFT(M2298,2)&lt;&gt;"15",LEFT(M2298,2)&lt;&gt;"33"))),"x","")</f>
        <v/>
      </c>
      <c r="V2298" s="525" t="str">
        <f>IF(AND(OR(LEFT(TH!L2298,2)="15",LEFT(TH!M2298,2)="15"),'152-CT'!$J$8=TH!F2298),"x","")</f>
        <v/>
      </c>
      <c r="W2298" s="525" t="str">
        <f>IF(AND(OR(LEFT(TH!L2298,2)="15",LEFT(TH!M2298,2)="15"),TK!$E$7=TH!F2298),"x","")</f>
        <v/>
      </c>
      <c r="X2298" s="525" t="str">
        <f>IF(AND('341-CT'!$E$9=H2298,OR(LEFT(L2298,3)=$X$7,LEFT(M2298,3)=$X$7)),"x","")</f>
        <v/>
      </c>
      <c r="Y2298" s="525" t="str">
        <f>IF(OR(TH!L2298=TH!$Y$7,M2298=TH!$Y$7),"x","")</f>
        <v/>
      </c>
      <c r="Z2298" s="525" t="str">
        <f>IF(AND(B2298&lt;=NKC!$N$8,B2298&gt;=NKC!$M$8),"x","")</f>
        <v/>
      </c>
      <c r="AA2298" s="535"/>
    </row>
    <row r="2299" spans="1:31" s="503" customFormat="1" ht="15.75" customHeight="1">
      <c r="A2299" s="517" t="str">
        <f>IF(B2299&lt;&gt;"",IF(AND(B2299&gt;=_TM1,B2299&lt;=_TM2,OR(TH!L2299="1111",TH!M2299="1111")),TH!D2299,""),"")</f>
        <v/>
      </c>
      <c r="B2299" s="531">
        <f t="shared" si="208"/>
        <v>4</v>
      </c>
      <c r="C2299" s="315">
        <f t="shared" si="209"/>
        <v>42853</v>
      </c>
      <c r="D2299" s="315" t="s">
        <v>909</v>
      </c>
      <c r="E2299" s="315">
        <v>42853</v>
      </c>
      <c r="F2299" s="247" t="s">
        <v>663</v>
      </c>
      <c r="G2299" s="314" t="s">
        <v>1116</v>
      </c>
      <c r="H2299" s="473" t="s">
        <v>284</v>
      </c>
      <c r="I2299" s="307">
        <v>14</v>
      </c>
      <c r="J2299" s="307">
        <v>43669</v>
      </c>
      <c r="K2299" s="532">
        <f t="shared" si="210"/>
        <v>611366</v>
      </c>
      <c r="L2299" s="534" t="s">
        <v>223</v>
      </c>
      <c r="M2299" s="534" t="s">
        <v>162</v>
      </c>
      <c r="N2299" s="525" t="str">
        <f>IF(AND('331-CT'!$E$7=TH!H2299,OR(L2299="331",M2299="331")),"331",IF(AND(OR(L2299="131",M2299="131"),H2299='131-CT'!$E$7),"131",""))</f>
        <v/>
      </c>
      <c r="O2299" s="525" t="str">
        <f>IF(AND($B2299&gt;='111'!$N$11,$B2299&lt;='111'!$O$11,OR($L2299=$O$7,$M2299=$O$7)),"x","")</f>
        <v/>
      </c>
      <c r="P2299" s="525" t="str">
        <f>IF(AND($L2299=$O$7,$B2299&lt;'111'!$N$11),"x","")</f>
        <v/>
      </c>
      <c r="Q2299" s="525" t="str">
        <f>IF(AND($M2299=$O$7,$B2299&lt;'111'!$N$11),"x","")</f>
        <v/>
      </c>
      <c r="R2299" s="525" t="str">
        <f>IF(ISERROR(FIND('112'!$M$9,G2299,1)),"",IF((AND(FIND('112'!$M$9,G2299,1)&gt;=1,$B2299&gt;='112'!$N$8,$B2299&lt;='112'!$O$8,OR($L2299='112'!$I$6,$M2299='112'!$I$6))),"x",""))</f>
        <v/>
      </c>
      <c r="S2299" s="525" t="str">
        <f>IF(ISERROR(FIND('112'!$M$9,G2299,1)),"",IF((AND(LEFT(G2299,2)=LEFT('112'!$M$9,2),B2299&lt;'112'!$N$8,$L2299='112'!$I$6)),"x",""))</f>
        <v/>
      </c>
      <c r="T2299" s="525" t="str">
        <f>IF(ISERROR(FIND('112'!$M$9,G2299,1)),"",IF((AND(RIGHT(G2299,2)=RIGHT('112'!$M$9,2),B2299&lt;'112'!$N$8,$M2299='112'!$I$6)),"x",""))</f>
        <v/>
      </c>
      <c r="U2299" s="525" t="str">
        <f>IF(AND(B2299&gt;='IN-NX'!$P$3,B2299&lt;='IN-NX'!$Q$3,'IN-NX'!$D$7=D2299,OR(LEFT(L2299,2)="15",AND(LEFT(M2299,2)&lt;&gt;"15",LEFT(M2299,2)&lt;&gt;"33"))),"x","")</f>
        <v/>
      </c>
      <c r="V2299" s="525" t="str">
        <f>IF(AND(OR(LEFT(TH!L2299,2)="15",LEFT(TH!M2299,2)="15"),'152-CT'!$J$8=TH!F2299),"x","")</f>
        <v/>
      </c>
      <c r="W2299" s="525" t="str">
        <f>IF(AND(OR(LEFT(TH!L2299,2)="15",LEFT(TH!M2299,2)="15"),TK!$E$7=TH!F2299),"x","")</f>
        <v/>
      </c>
      <c r="X2299" s="525" t="str">
        <f>IF(AND('341-CT'!$E$9=H2299,OR(LEFT(L2299,3)=$X$7,LEFT(M2299,3)=$X$7)),"x","")</f>
        <v/>
      </c>
      <c r="Y2299" s="525" t="str">
        <f>IF(OR(TH!L2299=TH!$Y$7,M2299=TH!$Y$7),"x","")</f>
        <v/>
      </c>
      <c r="Z2299" s="525" t="str">
        <f>IF(AND(B2299&lt;=NKC!$N$8,B2299&gt;=NKC!$M$8),"x","")</f>
        <v/>
      </c>
      <c r="AA2299" s="535"/>
    </row>
    <row r="2300" spans="1:31" s="503" customFormat="1" ht="15.75" customHeight="1">
      <c r="A2300" s="517" t="str">
        <f>IF(B2300&lt;&gt;"",IF(AND(B2300&gt;=_TM1,B2300&lt;=_TM2,OR(TH!L2300="1111",TH!M2300="1111")),TH!D2300,""),"")</f>
        <v/>
      </c>
      <c r="B2300" s="531">
        <f t="shared" si="208"/>
        <v>4</v>
      </c>
      <c r="C2300" s="315">
        <f t="shared" si="209"/>
        <v>42853</v>
      </c>
      <c r="D2300" s="315" t="s">
        <v>909</v>
      </c>
      <c r="E2300" s="315">
        <v>42853</v>
      </c>
      <c r="F2300" s="247" t="s">
        <v>744</v>
      </c>
      <c r="G2300" s="314" t="s">
        <v>1116</v>
      </c>
      <c r="H2300" s="473" t="s">
        <v>284</v>
      </c>
      <c r="I2300" s="307">
        <v>12</v>
      </c>
      <c r="J2300" s="307">
        <v>32856</v>
      </c>
      <c r="K2300" s="532">
        <f t="shared" si="210"/>
        <v>394272</v>
      </c>
      <c r="L2300" s="534" t="s">
        <v>223</v>
      </c>
      <c r="M2300" s="534" t="s">
        <v>162</v>
      </c>
      <c r="N2300" s="525" t="str">
        <f>IF(AND('331-CT'!$E$7=TH!H2300,OR(L2300="331",M2300="331")),"331",IF(AND(OR(L2300="131",M2300="131"),H2300='131-CT'!$E$7),"131",""))</f>
        <v/>
      </c>
      <c r="O2300" s="525" t="str">
        <f>IF(AND($B2300&gt;='111'!$N$11,$B2300&lt;='111'!$O$11,OR($L2300=$O$7,$M2300=$O$7)),"x","")</f>
        <v/>
      </c>
      <c r="P2300" s="525" t="str">
        <f>IF(AND($L2300=$O$7,$B2300&lt;'111'!$N$11),"x","")</f>
        <v/>
      </c>
      <c r="Q2300" s="525" t="str">
        <f>IF(AND($M2300=$O$7,$B2300&lt;'111'!$N$11),"x","")</f>
        <v/>
      </c>
      <c r="R2300" s="525" t="str">
        <f>IF(ISERROR(FIND('112'!$M$9,G2300,1)),"",IF((AND(FIND('112'!$M$9,G2300,1)&gt;=1,$B2300&gt;='112'!$N$8,$B2300&lt;='112'!$O$8,OR($L2300='112'!$I$6,$M2300='112'!$I$6))),"x",""))</f>
        <v/>
      </c>
      <c r="S2300" s="525" t="str">
        <f>IF(ISERROR(FIND('112'!$M$9,G2300,1)),"",IF((AND(LEFT(G2300,2)=LEFT('112'!$M$9,2),B2300&lt;'112'!$N$8,$L2300='112'!$I$6)),"x",""))</f>
        <v/>
      </c>
      <c r="T2300" s="525" t="str">
        <f>IF(ISERROR(FIND('112'!$M$9,G2300,1)),"",IF((AND(RIGHT(G2300,2)=RIGHT('112'!$M$9,2),B2300&lt;'112'!$N$8,$M2300='112'!$I$6)),"x",""))</f>
        <v/>
      </c>
      <c r="U2300" s="525" t="str">
        <f>IF(AND(B2300&gt;='IN-NX'!$P$3,B2300&lt;='IN-NX'!$Q$3,'IN-NX'!$D$7=D2300,OR(LEFT(L2300,2)="15",AND(LEFT(M2300,2)&lt;&gt;"15",LEFT(M2300,2)&lt;&gt;"33"))),"x","")</f>
        <v/>
      </c>
      <c r="V2300" s="525" t="str">
        <f>IF(AND(OR(LEFT(TH!L2300,2)="15",LEFT(TH!M2300,2)="15"),'152-CT'!$J$8=TH!F2300),"x","")</f>
        <v/>
      </c>
      <c r="W2300" s="525" t="str">
        <f>IF(AND(OR(LEFT(TH!L2300,2)="15",LEFT(TH!M2300,2)="15"),TK!$E$7=TH!F2300),"x","")</f>
        <v/>
      </c>
      <c r="X2300" s="525" t="str">
        <f>IF(AND('341-CT'!$E$9=H2300,OR(LEFT(L2300,3)=$X$7,LEFT(M2300,3)=$X$7)),"x","")</f>
        <v/>
      </c>
      <c r="Y2300" s="525" t="str">
        <f>IF(OR(TH!L2300=TH!$Y$7,M2300=TH!$Y$7),"x","")</f>
        <v/>
      </c>
      <c r="Z2300" s="525" t="str">
        <f>IF(AND(B2300&lt;=NKC!$N$8,B2300&gt;=NKC!$M$8),"x","")</f>
        <v/>
      </c>
      <c r="AA2300" s="535"/>
    </row>
    <row r="2301" spans="1:31" s="503" customFormat="1" ht="15.75" customHeight="1">
      <c r="A2301" s="517" t="str">
        <f>IF(B2301&lt;&gt;"",IF(AND(B2301&gt;=_TM1,B2301&lt;=_TM2,OR(TH!L2301="1111",TH!M2301="1111")),TH!D2301,""),"")</f>
        <v/>
      </c>
      <c r="B2301" s="531">
        <f t="shared" si="208"/>
        <v>4</v>
      </c>
      <c r="C2301" s="315">
        <f t="shared" si="209"/>
        <v>42853</v>
      </c>
      <c r="D2301" s="315" t="s">
        <v>909</v>
      </c>
      <c r="E2301" s="315">
        <v>42853</v>
      </c>
      <c r="F2301" s="249" t="s">
        <v>745</v>
      </c>
      <c r="G2301" s="314" t="s">
        <v>1116</v>
      </c>
      <c r="H2301" s="473" t="s">
        <v>284</v>
      </c>
      <c r="I2301" s="307">
        <v>12</v>
      </c>
      <c r="J2301" s="307">
        <v>63932</v>
      </c>
      <c r="K2301" s="532">
        <f t="shared" si="210"/>
        <v>767184</v>
      </c>
      <c r="L2301" s="534" t="s">
        <v>223</v>
      </c>
      <c r="M2301" s="534" t="s">
        <v>162</v>
      </c>
      <c r="N2301" s="525" t="str">
        <f>IF(AND('331-CT'!$E$7=TH!H2301,OR(L2301="331",M2301="331")),"331",IF(AND(OR(L2301="131",M2301="131"),H2301='131-CT'!$E$7),"131",""))</f>
        <v/>
      </c>
      <c r="O2301" s="525" t="str">
        <f>IF(AND($B2301&gt;='111'!$N$11,$B2301&lt;='111'!$O$11,OR($L2301=$O$7,$M2301=$O$7)),"x","")</f>
        <v/>
      </c>
      <c r="P2301" s="525" t="str">
        <f>IF(AND($L2301=$O$7,$B2301&lt;'111'!$N$11),"x","")</f>
        <v/>
      </c>
      <c r="Q2301" s="525" t="str">
        <f>IF(AND($M2301=$O$7,$B2301&lt;'111'!$N$11),"x","")</f>
        <v/>
      </c>
      <c r="R2301" s="525" t="str">
        <f>IF(ISERROR(FIND('112'!$M$9,G2301,1)),"",IF((AND(FIND('112'!$M$9,G2301,1)&gt;=1,$B2301&gt;='112'!$N$8,$B2301&lt;='112'!$O$8,OR($L2301='112'!$I$6,$M2301='112'!$I$6))),"x",""))</f>
        <v/>
      </c>
      <c r="S2301" s="525" t="str">
        <f>IF(ISERROR(FIND('112'!$M$9,G2301,1)),"",IF((AND(LEFT(G2301,2)=LEFT('112'!$M$9,2),B2301&lt;'112'!$N$8,$L2301='112'!$I$6)),"x",""))</f>
        <v/>
      </c>
      <c r="T2301" s="525" t="str">
        <f>IF(ISERROR(FIND('112'!$M$9,G2301,1)),"",IF((AND(RIGHT(G2301,2)=RIGHT('112'!$M$9,2),B2301&lt;'112'!$N$8,$M2301='112'!$I$6)),"x",""))</f>
        <v/>
      </c>
      <c r="U2301" s="525" t="str">
        <f>IF(AND(B2301&gt;='IN-NX'!$P$3,B2301&lt;='IN-NX'!$Q$3,'IN-NX'!$D$7=D2301,OR(LEFT(L2301,2)="15",AND(LEFT(M2301,2)&lt;&gt;"15",LEFT(M2301,2)&lt;&gt;"33"))),"x","")</f>
        <v/>
      </c>
      <c r="V2301" s="525" t="str">
        <f>IF(AND(OR(LEFT(TH!L2301,2)="15",LEFT(TH!M2301,2)="15"),'152-CT'!$J$8=TH!F2301),"x","")</f>
        <v/>
      </c>
      <c r="W2301" s="525" t="str">
        <f>IF(AND(OR(LEFT(TH!L2301,2)="15",LEFT(TH!M2301,2)="15"),TK!$E$7=TH!F2301),"x","")</f>
        <v/>
      </c>
      <c r="X2301" s="525" t="str">
        <f>IF(AND('341-CT'!$E$9=H2301,OR(LEFT(L2301,3)=$X$7,LEFT(M2301,3)=$X$7)),"x","")</f>
        <v/>
      </c>
      <c r="Y2301" s="525" t="str">
        <f>IF(OR(TH!L2301=TH!$Y$7,M2301=TH!$Y$7),"x","")</f>
        <v/>
      </c>
      <c r="Z2301" s="525" t="str">
        <f>IF(AND(B2301&lt;=NKC!$N$8,B2301&gt;=NKC!$M$8),"x","")</f>
        <v/>
      </c>
      <c r="AA2301" s="535"/>
      <c r="AB2301" s="536"/>
    </row>
    <row r="2302" spans="1:31" s="503" customFormat="1" ht="15.75" customHeight="1">
      <c r="A2302" s="517" t="str">
        <f>IF(B2302&lt;&gt;"",IF(AND(B2302&gt;=_TM1,B2302&lt;=_TM2,OR(TH!L2302="1111",TH!M2302="1111")),TH!D2302,""),"")</f>
        <v/>
      </c>
      <c r="B2302" s="531">
        <f t="shared" si="208"/>
        <v>4</v>
      </c>
      <c r="C2302" s="315">
        <f t="shared" si="209"/>
        <v>42853</v>
      </c>
      <c r="D2302" s="315" t="s">
        <v>909</v>
      </c>
      <c r="E2302" s="315">
        <v>42853</v>
      </c>
      <c r="F2302" s="249" t="s">
        <v>662</v>
      </c>
      <c r="G2302" s="314" t="s">
        <v>1116</v>
      </c>
      <c r="H2302" s="473" t="s">
        <v>284</v>
      </c>
      <c r="I2302" s="307">
        <v>4</v>
      </c>
      <c r="J2302" s="307">
        <v>107419</v>
      </c>
      <c r="K2302" s="532">
        <f t="shared" si="210"/>
        <v>429676</v>
      </c>
      <c r="L2302" s="534" t="s">
        <v>223</v>
      </c>
      <c r="M2302" s="534" t="s">
        <v>162</v>
      </c>
      <c r="N2302" s="525" t="str">
        <f>IF(AND('331-CT'!$E$7=TH!H2302,OR(L2302="331",M2302="331")),"331",IF(AND(OR(L2302="131",M2302="131"),H2302='131-CT'!$E$7),"131",""))</f>
        <v/>
      </c>
      <c r="O2302" s="525" t="str">
        <f>IF(AND($B2302&gt;='111'!$N$11,$B2302&lt;='111'!$O$11,OR($L2302=$O$7,$M2302=$O$7)),"x","")</f>
        <v/>
      </c>
      <c r="P2302" s="525" t="str">
        <f>IF(AND($L2302=$O$7,$B2302&lt;'111'!$N$11),"x","")</f>
        <v/>
      </c>
      <c r="Q2302" s="525" t="str">
        <f>IF(AND($M2302=$O$7,$B2302&lt;'111'!$N$11),"x","")</f>
        <v/>
      </c>
      <c r="R2302" s="525" t="str">
        <f>IF(ISERROR(FIND('112'!$M$9,G2302,1)),"",IF((AND(FIND('112'!$M$9,G2302,1)&gt;=1,$B2302&gt;='112'!$N$8,$B2302&lt;='112'!$O$8,OR($L2302='112'!$I$6,$M2302='112'!$I$6))),"x",""))</f>
        <v/>
      </c>
      <c r="S2302" s="525" t="str">
        <f>IF(ISERROR(FIND('112'!$M$9,G2302,1)),"",IF((AND(LEFT(G2302,2)=LEFT('112'!$M$9,2),B2302&lt;'112'!$N$8,$L2302='112'!$I$6)),"x",""))</f>
        <v/>
      </c>
      <c r="T2302" s="525" t="str">
        <f>IF(ISERROR(FIND('112'!$M$9,G2302,1)),"",IF((AND(RIGHT(G2302,2)=RIGHT('112'!$M$9,2),B2302&lt;'112'!$N$8,$M2302='112'!$I$6)),"x",""))</f>
        <v/>
      </c>
      <c r="U2302" s="525" t="str">
        <f>IF(AND(B2302&gt;='IN-NX'!$P$3,B2302&lt;='IN-NX'!$Q$3,'IN-NX'!$D$7=D2302,OR(LEFT(L2302,2)="15",AND(LEFT(M2302,2)&lt;&gt;"15",LEFT(M2302,2)&lt;&gt;"33"))),"x","")</f>
        <v/>
      </c>
      <c r="V2302" s="525" t="str">
        <f>IF(AND(OR(LEFT(TH!L2302,2)="15",LEFT(TH!M2302,2)="15"),'152-CT'!$J$8=TH!F2302),"x","")</f>
        <v/>
      </c>
      <c r="W2302" s="525" t="str">
        <f>IF(AND(OR(LEFT(TH!L2302,2)="15",LEFT(TH!M2302,2)="15"),TK!$E$7=TH!F2302),"x","")</f>
        <v/>
      </c>
      <c r="X2302" s="525" t="str">
        <f>IF(AND('341-CT'!$E$9=H2302,OR(LEFT(L2302,3)=$X$7,LEFT(M2302,3)=$X$7)),"x","")</f>
        <v/>
      </c>
      <c r="Y2302" s="525" t="str">
        <f>IF(OR(TH!L2302=TH!$Y$7,M2302=TH!$Y$7),"x","")</f>
        <v/>
      </c>
      <c r="Z2302" s="525" t="str">
        <f>IF(AND(B2302&lt;=NKC!$N$8,B2302&gt;=NKC!$M$8),"x","")</f>
        <v/>
      </c>
      <c r="AA2302" s="535"/>
      <c r="AB2302" s="536"/>
    </row>
    <row r="2303" spans="1:31" s="503" customFormat="1" ht="15.75" customHeight="1">
      <c r="A2303" s="517" t="str">
        <f>IF(B2303&lt;&gt;"",IF(AND(B2303&gt;=_TM1,B2303&lt;=_TM2,OR(TH!L2303="1111",TH!M2303="1111")),TH!D2303,""),"")</f>
        <v/>
      </c>
      <c r="B2303" s="531">
        <f t="shared" si="208"/>
        <v>4</v>
      </c>
      <c r="C2303" s="315">
        <f t="shared" si="209"/>
        <v>42853</v>
      </c>
      <c r="D2303" s="315" t="s">
        <v>909</v>
      </c>
      <c r="E2303" s="315">
        <v>42853</v>
      </c>
      <c r="F2303" s="249" t="s">
        <v>743</v>
      </c>
      <c r="G2303" s="314" t="s">
        <v>1116</v>
      </c>
      <c r="H2303" s="473" t="s">
        <v>284</v>
      </c>
      <c r="I2303" s="307">
        <v>16</v>
      </c>
      <c r="J2303" s="307">
        <v>43549</v>
      </c>
      <c r="K2303" s="532">
        <f t="shared" si="210"/>
        <v>696784</v>
      </c>
      <c r="L2303" s="534" t="s">
        <v>223</v>
      </c>
      <c r="M2303" s="534" t="s">
        <v>162</v>
      </c>
      <c r="N2303" s="525" t="str">
        <f>IF(AND('331-CT'!$E$7=TH!H2303,OR(L2303="331",M2303="331")),"331",IF(AND(OR(L2303="131",M2303="131"),H2303='131-CT'!$E$7),"131",""))</f>
        <v/>
      </c>
      <c r="O2303" s="525" t="str">
        <f>IF(AND($B2303&gt;='111'!$N$11,$B2303&lt;='111'!$O$11,OR($L2303=$O$7,$M2303=$O$7)),"x","")</f>
        <v/>
      </c>
      <c r="P2303" s="525" t="str">
        <f>IF(AND($L2303=$O$7,$B2303&lt;'111'!$N$11),"x","")</f>
        <v/>
      </c>
      <c r="Q2303" s="525" t="str">
        <f>IF(AND($M2303=$O$7,$B2303&lt;'111'!$N$11),"x","")</f>
        <v/>
      </c>
      <c r="R2303" s="525" t="str">
        <f>IF(ISERROR(FIND('112'!$M$9,G2303,1)),"",IF((AND(FIND('112'!$M$9,G2303,1)&gt;=1,$B2303&gt;='112'!$N$8,$B2303&lt;='112'!$O$8,OR($L2303='112'!$I$6,$M2303='112'!$I$6))),"x",""))</f>
        <v/>
      </c>
      <c r="S2303" s="525" t="str">
        <f>IF(ISERROR(FIND('112'!$M$9,G2303,1)),"",IF((AND(LEFT(G2303,2)=LEFT('112'!$M$9,2),B2303&lt;'112'!$N$8,$L2303='112'!$I$6)),"x",""))</f>
        <v/>
      </c>
      <c r="T2303" s="525" t="str">
        <f>IF(ISERROR(FIND('112'!$M$9,G2303,1)),"",IF((AND(RIGHT(G2303,2)=RIGHT('112'!$M$9,2),B2303&lt;'112'!$N$8,$M2303='112'!$I$6)),"x",""))</f>
        <v/>
      </c>
      <c r="U2303" s="525" t="str">
        <f>IF(AND(B2303&gt;='IN-NX'!$P$3,B2303&lt;='IN-NX'!$Q$3,'IN-NX'!$D$7=D2303,OR(LEFT(L2303,2)="15",AND(LEFT(M2303,2)&lt;&gt;"15",LEFT(M2303,2)&lt;&gt;"33"))),"x","")</f>
        <v/>
      </c>
      <c r="V2303" s="525" t="str">
        <f>IF(AND(OR(LEFT(TH!L2303,2)="15",LEFT(TH!M2303,2)="15"),'152-CT'!$J$8=TH!F2303),"x","")</f>
        <v/>
      </c>
      <c r="W2303" s="525" t="str">
        <f>IF(AND(OR(LEFT(TH!L2303,2)="15",LEFT(TH!M2303,2)="15"),TK!$E$7=TH!F2303),"x","")</f>
        <v/>
      </c>
      <c r="X2303" s="525" t="str">
        <f>IF(AND('341-CT'!$E$9=H2303,OR(LEFT(L2303,3)=$X$7,LEFT(M2303,3)=$X$7)),"x","")</f>
        <v/>
      </c>
      <c r="Y2303" s="525" t="str">
        <f>IF(OR(TH!L2303=TH!$Y$7,M2303=TH!$Y$7),"x","")</f>
        <v/>
      </c>
      <c r="Z2303" s="525" t="str">
        <f>IF(AND(B2303&lt;=NKC!$N$8,B2303&gt;=NKC!$M$8),"x","")</f>
        <v/>
      </c>
      <c r="AA2303" s="535"/>
      <c r="AB2303" s="536"/>
    </row>
    <row r="2304" spans="1:31" s="503" customFormat="1" ht="15.75" customHeight="1">
      <c r="A2304" s="517" t="str">
        <f>IF(B2304&lt;&gt;"",IF(AND(B2304&gt;=_TM1,B2304&lt;=_TM2,OR(TH!L2304="1111",TH!M2304="1111")),TH!D2304,""),"")</f>
        <v/>
      </c>
      <c r="B2304" s="531">
        <f t="shared" si="208"/>
        <v>4</v>
      </c>
      <c r="C2304" s="315">
        <f t="shared" si="209"/>
        <v>42853</v>
      </c>
      <c r="D2304" s="315" t="s">
        <v>909</v>
      </c>
      <c r="E2304" s="315">
        <v>42853</v>
      </c>
      <c r="F2304" s="249" t="s">
        <v>714</v>
      </c>
      <c r="G2304" s="314" t="s">
        <v>1116</v>
      </c>
      <c r="H2304" s="473" t="s">
        <v>284</v>
      </c>
      <c r="I2304" s="307">
        <v>42</v>
      </c>
      <c r="J2304" s="307">
        <v>49208</v>
      </c>
      <c r="K2304" s="532">
        <f t="shared" si="210"/>
        <v>2066736</v>
      </c>
      <c r="L2304" s="534" t="s">
        <v>223</v>
      </c>
      <c r="M2304" s="534" t="s">
        <v>162</v>
      </c>
      <c r="N2304" s="525" t="str">
        <f>IF(AND('331-CT'!$E$7=TH!H2304,OR(L2304="331",M2304="331")),"331",IF(AND(OR(L2304="131",M2304="131"),H2304='131-CT'!$E$7),"131",""))</f>
        <v/>
      </c>
      <c r="O2304" s="525" t="str">
        <f>IF(AND($B2304&gt;='111'!$N$11,$B2304&lt;='111'!$O$11,OR($L2304=$O$7,$M2304=$O$7)),"x","")</f>
        <v/>
      </c>
      <c r="P2304" s="525" t="str">
        <f>IF(AND($L2304=$O$7,$B2304&lt;'111'!$N$11),"x","")</f>
        <v/>
      </c>
      <c r="Q2304" s="525" t="str">
        <f>IF(AND($M2304=$O$7,$B2304&lt;'111'!$N$11),"x","")</f>
        <v/>
      </c>
      <c r="R2304" s="525" t="str">
        <f>IF(ISERROR(FIND('112'!$M$9,G2304,1)),"",IF((AND(FIND('112'!$M$9,G2304,1)&gt;=1,$B2304&gt;='112'!$N$8,$B2304&lt;='112'!$O$8,OR($L2304='112'!$I$6,$M2304='112'!$I$6))),"x",""))</f>
        <v/>
      </c>
      <c r="S2304" s="525" t="str">
        <f>IF(ISERROR(FIND('112'!$M$9,G2304,1)),"",IF((AND(LEFT(G2304,2)=LEFT('112'!$M$9,2),B2304&lt;'112'!$N$8,$L2304='112'!$I$6)),"x",""))</f>
        <v/>
      </c>
      <c r="T2304" s="525" t="str">
        <f>IF(ISERROR(FIND('112'!$M$9,G2304,1)),"",IF((AND(RIGHT(G2304,2)=RIGHT('112'!$M$9,2),B2304&lt;'112'!$N$8,$M2304='112'!$I$6)),"x",""))</f>
        <v/>
      </c>
      <c r="U2304" s="525" t="str">
        <f>IF(AND(B2304&gt;='IN-NX'!$P$3,B2304&lt;='IN-NX'!$Q$3,'IN-NX'!$D$7=D2304,OR(LEFT(L2304,2)="15",AND(LEFT(M2304,2)&lt;&gt;"15",LEFT(M2304,2)&lt;&gt;"33"))),"x","")</f>
        <v/>
      </c>
      <c r="V2304" s="525" t="str">
        <f>IF(AND(OR(LEFT(TH!L2304,2)="15",LEFT(TH!M2304,2)="15"),'152-CT'!$J$8=TH!F2304),"x","")</f>
        <v/>
      </c>
      <c r="W2304" s="525" t="str">
        <f>IF(AND(OR(LEFT(TH!L2304,2)="15",LEFT(TH!M2304,2)="15"),TK!$E$7=TH!F2304),"x","")</f>
        <v/>
      </c>
      <c r="X2304" s="525" t="str">
        <f>IF(AND('341-CT'!$E$9=H2304,OR(LEFT(L2304,3)=$X$7,LEFT(M2304,3)=$X$7)),"x","")</f>
        <v/>
      </c>
      <c r="Y2304" s="525" t="str">
        <f>IF(OR(TH!L2304=TH!$Y$7,M2304=TH!$Y$7),"x","")</f>
        <v/>
      </c>
      <c r="Z2304" s="525" t="str">
        <f>IF(AND(B2304&lt;=NKC!$N$8,B2304&gt;=NKC!$M$8),"x","")</f>
        <v/>
      </c>
      <c r="AA2304" s="535"/>
      <c r="AB2304" s="536"/>
    </row>
    <row r="2305" spans="1:28" s="503" customFormat="1" ht="15.75" customHeight="1">
      <c r="A2305" s="517" t="str">
        <f>IF(B2305&lt;&gt;"",IF(AND(B2305&gt;=_TM1,B2305&lt;=_TM2,OR(TH!L2305="1111",TH!M2305="1111")),TH!D2305,""),"")</f>
        <v/>
      </c>
      <c r="B2305" s="531">
        <f t="shared" si="208"/>
        <v>4</v>
      </c>
      <c r="C2305" s="315">
        <f t="shared" si="209"/>
        <v>42853</v>
      </c>
      <c r="D2305" s="315" t="s">
        <v>909</v>
      </c>
      <c r="E2305" s="315">
        <v>42853</v>
      </c>
      <c r="F2305" s="249" t="s">
        <v>728</v>
      </c>
      <c r="G2305" s="314" t="s">
        <v>1116</v>
      </c>
      <c r="H2305" s="473" t="s">
        <v>284</v>
      </c>
      <c r="I2305" s="307">
        <v>30</v>
      </c>
      <c r="J2305" s="307">
        <v>20450</v>
      </c>
      <c r="K2305" s="532">
        <f t="shared" si="210"/>
        <v>613500</v>
      </c>
      <c r="L2305" s="534" t="s">
        <v>223</v>
      </c>
      <c r="M2305" s="534" t="s">
        <v>162</v>
      </c>
      <c r="N2305" s="525" t="str">
        <f>IF(AND('331-CT'!$E$7=TH!H2305,OR(L2305="331",M2305="331")),"331",IF(AND(OR(L2305="131",M2305="131"),H2305='131-CT'!$E$7),"131",""))</f>
        <v/>
      </c>
      <c r="O2305" s="525" t="str">
        <f>IF(AND($B2305&gt;='111'!$N$11,$B2305&lt;='111'!$O$11,OR($L2305=$O$7,$M2305=$O$7)),"x","")</f>
        <v/>
      </c>
      <c r="P2305" s="525" t="str">
        <f>IF(AND($L2305=$O$7,$B2305&lt;'111'!$N$11),"x","")</f>
        <v/>
      </c>
      <c r="Q2305" s="525" t="str">
        <f>IF(AND($M2305=$O$7,$B2305&lt;'111'!$N$11),"x","")</f>
        <v/>
      </c>
      <c r="R2305" s="525" t="str">
        <f>IF(ISERROR(FIND('112'!$M$9,G2305,1)),"",IF((AND(FIND('112'!$M$9,G2305,1)&gt;=1,$B2305&gt;='112'!$N$8,$B2305&lt;='112'!$O$8,OR($L2305='112'!$I$6,$M2305='112'!$I$6))),"x",""))</f>
        <v/>
      </c>
      <c r="S2305" s="525" t="str">
        <f>IF(ISERROR(FIND('112'!$M$9,G2305,1)),"",IF((AND(LEFT(G2305,2)=LEFT('112'!$M$9,2),B2305&lt;'112'!$N$8,$L2305='112'!$I$6)),"x",""))</f>
        <v/>
      </c>
      <c r="T2305" s="525" t="str">
        <f>IF(ISERROR(FIND('112'!$M$9,G2305,1)),"",IF((AND(RIGHT(G2305,2)=RIGHT('112'!$M$9,2),B2305&lt;'112'!$N$8,$M2305='112'!$I$6)),"x",""))</f>
        <v/>
      </c>
      <c r="U2305" s="525" t="str">
        <f>IF(AND(B2305&gt;='IN-NX'!$P$3,B2305&lt;='IN-NX'!$Q$3,'IN-NX'!$D$7=D2305,OR(LEFT(L2305,2)="15",AND(LEFT(M2305,2)&lt;&gt;"15",LEFT(M2305,2)&lt;&gt;"33"))),"x","")</f>
        <v/>
      </c>
      <c r="V2305" s="525" t="str">
        <f>IF(AND(OR(LEFT(TH!L2305,2)="15",LEFT(TH!M2305,2)="15"),'152-CT'!$J$8=TH!F2305),"x","")</f>
        <v/>
      </c>
      <c r="W2305" s="525" t="str">
        <f>IF(AND(OR(LEFT(TH!L2305,2)="15",LEFT(TH!M2305,2)="15"),TK!$E$7=TH!F2305),"x","")</f>
        <v/>
      </c>
      <c r="X2305" s="525" t="str">
        <f>IF(AND('341-CT'!$E$9=H2305,OR(LEFT(L2305,3)=$X$7,LEFT(M2305,3)=$X$7)),"x","")</f>
        <v/>
      </c>
      <c r="Y2305" s="525" t="str">
        <f>IF(OR(TH!L2305=TH!$Y$7,M2305=TH!$Y$7),"x","")</f>
        <v/>
      </c>
      <c r="Z2305" s="525" t="str">
        <f>IF(AND(B2305&lt;=NKC!$N$8,B2305&gt;=NKC!$M$8),"x","")</f>
        <v/>
      </c>
      <c r="AA2305" s="535"/>
      <c r="AB2305" s="536"/>
    </row>
    <row r="2306" spans="1:28" s="503" customFormat="1" ht="15.75" customHeight="1">
      <c r="A2306" s="517" t="str">
        <f>IF(B2306&lt;&gt;"",IF(AND(B2306&gt;=_TM1,B2306&lt;=_TM2,OR(TH!L2306="1111",TH!M2306="1111")),TH!D2306,""),"")</f>
        <v/>
      </c>
      <c r="B2306" s="531">
        <f t="shared" si="208"/>
        <v>4</v>
      </c>
      <c r="C2306" s="315">
        <f t="shared" si="209"/>
        <v>42853</v>
      </c>
      <c r="D2306" s="315" t="s">
        <v>909</v>
      </c>
      <c r="E2306" s="315">
        <v>42853</v>
      </c>
      <c r="F2306" s="249" t="s">
        <v>747</v>
      </c>
      <c r="G2306" s="314" t="s">
        <v>1116</v>
      </c>
      <c r="H2306" s="473" t="s">
        <v>284</v>
      </c>
      <c r="I2306" s="307">
        <v>15</v>
      </c>
      <c r="J2306" s="307">
        <v>59940</v>
      </c>
      <c r="K2306" s="532">
        <f t="shared" si="210"/>
        <v>899100</v>
      </c>
      <c r="L2306" s="534" t="s">
        <v>223</v>
      </c>
      <c r="M2306" s="534" t="s">
        <v>162</v>
      </c>
      <c r="N2306" s="525" t="str">
        <f>IF(AND('331-CT'!$E$7=TH!H2306,OR(L2306="331",M2306="331")),"331",IF(AND(OR(L2306="131",M2306="131"),H2306='131-CT'!$E$7),"131",""))</f>
        <v/>
      </c>
      <c r="O2306" s="525" t="str">
        <f>IF(AND($B2306&gt;='111'!$N$11,$B2306&lt;='111'!$O$11,OR($L2306=$O$7,$M2306=$O$7)),"x","")</f>
        <v/>
      </c>
      <c r="P2306" s="525" t="str">
        <f>IF(AND($L2306=$O$7,$B2306&lt;'111'!$N$11),"x","")</f>
        <v/>
      </c>
      <c r="Q2306" s="525" t="str">
        <f>IF(AND($M2306=$O$7,$B2306&lt;'111'!$N$11),"x","")</f>
        <v/>
      </c>
      <c r="R2306" s="525" t="str">
        <f>IF(ISERROR(FIND('112'!$M$9,G2306,1)),"",IF((AND(FIND('112'!$M$9,G2306,1)&gt;=1,$B2306&gt;='112'!$N$8,$B2306&lt;='112'!$O$8,OR($L2306='112'!$I$6,$M2306='112'!$I$6))),"x",""))</f>
        <v/>
      </c>
      <c r="S2306" s="525" t="str">
        <f>IF(ISERROR(FIND('112'!$M$9,G2306,1)),"",IF((AND(LEFT(G2306,2)=LEFT('112'!$M$9,2),B2306&lt;'112'!$N$8,$L2306='112'!$I$6)),"x",""))</f>
        <v/>
      </c>
      <c r="T2306" s="525" t="str">
        <f>IF(ISERROR(FIND('112'!$M$9,G2306,1)),"",IF((AND(RIGHT(G2306,2)=RIGHT('112'!$M$9,2),B2306&lt;'112'!$N$8,$M2306='112'!$I$6)),"x",""))</f>
        <v/>
      </c>
      <c r="U2306" s="525" t="str">
        <f>IF(AND(B2306&gt;='IN-NX'!$P$3,B2306&lt;='IN-NX'!$Q$3,'IN-NX'!$D$7=D2306,OR(LEFT(L2306,2)="15",AND(LEFT(M2306,2)&lt;&gt;"15",LEFT(M2306,2)&lt;&gt;"33"))),"x","")</f>
        <v/>
      </c>
      <c r="V2306" s="525" t="str">
        <f>IF(AND(OR(LEFT(TH!L2306,2)="15",LEFT(TH!M2306,2)="15"),'152-CT'!$J$8=TH!F2306),"x","")</f>
        <v/>
      </c>
      <c r="W2306" s="525" t="str">
        <f>IF(AND(OR(LEFT(TH!L2306,2)="15",LEFT(TH!M2306,2)="15"),TK!$E$7=TH!F2306),"x","")</f>
        <v/>
      </c>
      <c r="X2306" s="525" t="str">
        <f>IF(AND('341-CT'!$E$9=H2306,OR(LEFT(L2306,3)=$X$7,LEFT(M2306,3)=$X$7)),"x","")</f>
        <v/>
      </c>
      <c r="Y2306" s="525" t="str">
        <f>IF(OR(TH!L2306=TH!$Y$7,M2306=TH!$Y$7),"x","")</f>
        <v/>
      </c>
      <c r="Z2306" s="525" t="str">
        <f>IF(AND(B2306&lt;=NKC!$N$8,B2306&gt;=NKC!$M$8),"x","")</f>
        <v/>
      </c>
      <c r="AA2306" s="535"/>
      <c r="AB2306" s="536"/>
    </row>
    <row r="2307" spans="1:28" s="503" customFormat="1" ht="15.75" customHeight="1">
      <c r="A2307" s="517" t="str">
        <f>IF(B2307&lt;&gt;"",IF(AND(B2307&gt;=_TM1,B2307&lt;=_TM2,OR(TH!L2307="1111",TH!M2307="1111")),TH!D2307,""),"")</f>
        <v/>
      </c>
      <c r="B2307" s="531">
        <f t="shared" si="208"/>
        <v>4</v>
      </c>
      <c r="C2307" s="315">
        <f t="shared" si="209"/>
        <v>42853</v>
      </c>
      <c r="D2307" s="315" t="s">
        <v>909</v>
      </c>
      <c r="E2307" s="315">
        <v>42853</v>
      </c>
      <c r="F2307" s="247" t="s">
        <v>998</v>
      </c>
      <c r="G2307" s="314" t="s">
        <v>1116</v>
      </c>
      <c r="H2307" s="473" t="s">
        <v>284</v>
      </c>
      <c r="I2307" s="307">
        <v>20</v>
      </c>
      <c r="J2307" s="307">
        <v>70662</v>
      </c>
      <c r="K2307" s="532">
        <f t="shared" si="210"/>
        <v>1413240</v>
      </c>
      <c r="L2307" s="534" t="s">
        <v>223</v>
      </c>
      <c r="M2307" s="534" t="s">
        <v>162</v>
      </c>
      <c r="N2307" s="525" t="str">
        <f>IF(AND('331-CT'!$E$7=TH!H2307,OR(L2307="331",M2307="331")),"331",IF(AND(OR(L2307="131",M2307="131"),H2307='131-CT'!$E$7),"131",""))</f>
        <v/>
      </c>
      <c r="O2307" s="525" t="str">
        <f>IF(AND($B2307&gt;='111'!$N$11,$B2307&lt;='111'!$O$11,OR($L2307=$O$7,$M2307=$O$7)),"x","")</f>
        <v/>
      </c>
      <c r="P2307" s="525" t="str">
        <f>IF(AND($L2307=$O$7,$B2307&lt;'111'!$N$11),"x","")</f>
        <v/>
      </c>
      <c r="Q2307" s="525" t="str">
        <f>IF(AND($M2307=$O$7,$B2307&lt;'111'!$N$11),"x","")</f>
        <v/>
      </c>
      <c r="R2307" s="525" t="str">
        <f>IF(ISERROR(FIND('112'!$M$9,G2307,1)),"",IF((AND(FIND('112'!$M$9,G2307,1)&gt;=1,$B2307&gt;='112'!$N$8,$B2307&lt;='112'!$O$8,OR($L2307='112'!$I$6,$M2307='112'!$I$6))),"x",""))</f>
        <v/>
      </c>
      <c r="S2307" s="525" t="str">
        <f>IF(ISERROR(FIND('112'!$M$9,G2307,1)),"",IF((AND(LEFT(G2307,2)=LEFT('112'!$M$9,2),B2307&lt;'112'!$N$8,$L2307='112'!$I$6)),"x",""))</f>
        <v/>
      </c>
      <c r="T2307" s="525" t="str">
        <f>IF(ISERROR(FIND('112'!$M$9,G2307,1)),"",IF((AND(RIGHT(G2307,2)=RIGHT('112'!$M$9,2),B2307&lt;'112'!$N$8,$M2307='112'!$I$6)),"x",""))</f>
        <v/>
      </c>
      <c r="U2307" s="525" t="str">
        <f>IF(AND(B2307&gt;='IN-NX'!$P$3,B2307&lt;='IN-NX'!$Q$3,'IN-NX'!$D$7=D2307,OR(LEFT(L2307,2)="15",AND(LEFT(M2307,2)&lt;&gt;"15",LEFT(M2307,2)&lt;&gt;"33"))),"x","")</f>
        <v/>
      </c>
      <c r="V2307" s="525" t="str">
        <f>IF(AND(OR(LEFT(TH!L2307,2)="15",LEFT(TH!M2307,2)="15"),'152-CT'!$J$8=TH!F2307),"x","")</f>
        <v/>
      </c>
      <c r="W2307" s="525" t="str">
        <f>IF(AND(OR(LEFT(TH!L2307,2)="15",LEFT(TH!M2307,2)="15"),TK!$E$7=TH!F2307),"x","")</f>
        <v/>
      </c>
      <c r="X2307" s="525" t="str">
        <f>IF(AND('341-CT'!$E$9=H2307,OR(LEFT(L2307,3)=$X$7,LEFT(M2307,3)=$X$7)),"x","")</f>
        <v/>
      </c>
      <c r="Y2307" s="525" t="str">
        <f>IF(OR(TH!L2307=TH!$Y$7,M2307=TH!$Y$7),"x","")</f>
        <v/>
      </c>
      <c r="Z2307" s="525" t="str">
        <f>IF(AND(B2307&lt;=NKC!$N$8,B2307&gt;=NKC!$M$8),"x","")</f>
        <v/>
      </c>
      <c r="AA2307" s="535"/>
    </row>
    <row r="2308" spans="1:28" s="503" customFormat="1" ht="15.75" customHeight="1">
      <c r="A2308" s="517" t="str">
        <f>IF(B2308&lt;&gt;"",IF(AND(B2308&gt;=_TM1,B2308&lt;=_TM2,OR(TH!L2308="1111",TH!M2308="1111")),TH!D2308,""),"")</f>
        <v/>
      </c>
      <c r="B2308" s="531">
        <f t="shared" si="208"/>
        <v>4</v>
      </c>
      <c r="C2308" s="315">
        <f t="shared" si="209"/>
        <v>42853</v>
      </c>
      <c r="D2308" s="315" t="s">
        <v>909</v>
      </c>
      <c r="E2308" s="315">
        <v>42853</v>
      </c>
      <c r="F2308" s="247" t="s">
        <v>999</v>
      </c>
      <c r="G2308" s="314" t="s">
        <v>1116</v>
      </c>
      <c r="H2308" s="473" t="s">
        <v>284</v>
      </c>
      <c r="I2308" s="307">
        <v>30</v>
      </c>
      <c r="J2308" s="307">
        <v>76608</v>
      </c>
      <c r="K2308" s="532">
        <f t="shared" si="210"/>
        <v>2298240</v>
      </c>
      <c r="L2308" s="534" t="s">
        <v>223</v>
      </c>
      <c r="M2308" s="534" t="s">
        <v>162</v>
      </c>
      <c r="N2308" s="525" t="str">
        <f>IF(AND('331-CT'!$E$7=TH!H2308,OR(L2308="331",M2308="331")),"331",IF(AND(OR(L2308="131",M2308="131"),H2308='131-CT'!$E$7),"131",""))</f>
        <v/>
      </c>
      <c r="O2308" s="525" t="str">
        <f>IF(AND($B2308&gt;='111'!$N$11,$B2308&lt;='111'!$O$11,OR($L2308=$O$7,$M2308=$O$7)),"x","")</f>
        <v/>
      </c>
      <c r="P2308" s="525" t="str">
        <f>IF(AND($L2308=$O$7,$B2308&lt;'111'!$N$11),"x","")</f>
        <v/>
      </c>
      <c r="Q2308" s="525" t="str">
        <f>IF(AND($M2308=$O$7,$B2308&lt;'111'!$N$11),"x","")</f>
        <v/>
      </c>
      <c r="R2308" s="525" t="str">
        <f>IF(ISERROR(FIND('112'!$M$9,G2308,1)),"",IF((AND(FIND('112'!$M$9,G2308,1)&gt;=1,$B2308&gt;='112'!$N$8,$B2308&lt;='112'!$O$8,OR($L2308='112'!$I$6,$M2308='112'!$I$6))),"x",""))</f>
        <v/>
      </c>
      <c r="S2308" s="525" t="str">
        <f>IF(ISERROR(FIND('112'!$M$9,G2308,1)),"",IF((AND(LEFT(G2308,2)=LEFT('112'!$M$9,2),B2308&lt;'112'!$N$8,$L2308='112'!$I$6)),"x",""))</f>
        <v/>
      </c>
      <c r="T2308" s="525" t="str">
        <f>IF(ISERROR(FIND('112'!$M$9,G2308,1)),"",IF((AND(RIGHT(G2308,2)=RIGHT('112'!$M$9,2),B2308&lt;'112'!$N$8,$M2308='112'!$I$6)),"x",""))</f>
        <v/>
      </c>
      <c r="U2308" s="525" t="str">
        <f>IF(AND(B2308&gt;='IN-NX'!$P$3,B2308&lt;='IN-NX'!$Q$3,'IN-NX'!$D$7=D2308,OR(LEFT(L2308,2)="15",AND(LEFT(M2308,2)&lt;&gt;"15",LEFT(M2308,2)&lt;&gt;"33"))),"x","")</f>
        <v/>
      </c>
      <c r="V2308" s="525" t="str">
        <f>IF(AND(OR(LEFT(TH!L2308,2)="15",LEFT(TH!M2308,2)="15"),'152-CT'!$J$8=TH!F2308),"x","")</f>
        <v/>
      </c>
      <c r="W2308" s="525" t="str">
        <f>IF(AND(OR(LEFT(TH!L2308,2)="15",LEFT(TH!M2308,2)="15"),TK!$E$7=TH!F2308),"x","")</f>
        <v/>
      </c>
      <c r="X2308" s="525" t="str">
        <f>IF(AND('341-CT'!$E$9=H2308,OR(LEFT(L2308,3)=$X$7,LEFT(M2308,3)=$X$7)),"x","")</f>
        <v/>
      </c>
      <c r="Y2308" s="525" t="str">
        <f>IF(OR(TH!L2308=TH!$Y$7,M2308=TH!$Y$7),"x","")</f>
        <v/>
      </c>
      <c r="Z2308" s="525" t="str">
        <f>IF(AND(B2308&lt;=NKC!$N$8,B2308&gt;=NKC!$M$8),"x","")</f>
        <v/>
      </c>
      <c r="AA2308" s="535"/>
    </row>
    <row r="2309" spans="1:28" s="503" customFormat="1" ht="15.75" customHeight="1">
      <c r="A2309" s="517" t="str">
        <f>IF(B2309&lt;&gt;"",IF(AND(B2309&gt;=_TM1,B2309&lt;=_TM2,OR(TH!L2309="1111",TH!M2309="1111")),TH!D2309,""),"")</f>
        <v/>
      </c>
      <c r="B2309" s="531">
        <f t="shared" si="208"/>
        <v>4</v>
      </c>
      <c r="C2309" s="315">
        <f t="shared" si="209"/>
        <v>42853</v>
      </c>
      <c r="D2309" s="315" t="s">
        <v>909</v>
      </c>
      <c r="E2309" s="315">
        <v>42853</v>
      </c>
      <c r="F2309" s="247" t="s">
        <v>629</v>
      </c>
      <c r="G2309" s="314" t="s">
        <v>1116</v>
      </c>
      <c r="H2309" s="473" t="s">
        <v>284</v>
      </c>
      <c r="I2309" s="307">
        <v>50</v>
      </c>
      <c r="J2309" s="307">
        <v>25258</v>
      </c>
      <c r="K2309" s="532">
        <f t="shared" si="210"/>
        <v>1262900</v>
      </c>
      <c r="L2309" s="534" t="s">
        <v>223</v>
      </c>
      <c r="M2309" s="534" t="s">
        <v>162</v>
      </c>
      <c r="N2309" s="525" t="str">
        <f>IF(AND('331-CT'!$E$7=TH!H2309,OR(L2309="331",M2309="331")),"331",IF(AND(OR(L2309="131",M2309="131"),H2309='131-CT'!$E$7),"131",""))</f>
        <v/>
      </c>
      <c r="O2309" s="525" t="str">
        <f>IF(AND($B2309&gt;='111'!$N$11,$B2309&lt;='111'!$O$11,OR($L2309=$O$7,$M2309=$O$7)),"x","")</f>
        <v/>
      </c>
      <c r="P2309" s="525" t="str">
        <f>IF(AND($L2309=$O$7,$B2309&lt;'111'!$N$11),"x","")</f>
        <v/>
      </c>
      <c r="Q2309" s="525" t="str">
        <f>IF(AND($M2309=$O$7,$B2309&lt;'111'!$N$11),"x","")</f>
        <v/>
      </c>
      <c r="R2309" s="525" t="str">
        <f>IF(ISERROR(FIND('112'!$M$9,G2309,1)),"",IF((AND(FIND('112'!$M$9,G2309,1)&gt;=1,$B2309&gt;='112'!$N$8,$B2309&lt;='112'!$O$8,OR($L2309='112'!$I$6,$M2309='112'!$I$6))),"x",""))</f>
        <v/>
      </c>
      <c r="S2309" s="525" t="str">
        <f>IF(ISERROR(FIND('112'!$M$9,G2309,1)),"",IF((AND(LEFT(G2309,2)=LEFT('112'!$M$9,2),B2309&lt;'112'!$N$8,$L2309='112'!$I$6)),"x",""))</f>
        <v/>
      </c>
      <c r="T2309" s="525" t="str">
        <f>IF(ISERROR(FIND('112'!$M$9,G2309,1)),"",IF((AND(RIGHT(G2309,2)=RIGHT('112'!$M$9,2),B2309&lt;'112'!$N$8,$M2309='112'!$I$6)),"x",""))</f>
        <v/>
      </c>
      <c r="U2309" s="525" t="str">
        <f>IF(AND(B2309&gt;='IN-NX'!$P$3,B2309&lt;='IN-NX'!$Q$3,'IN-NX'!$D$7=D2309,OR(LEFT(L2309,2)="15",AND(LEFT(M2309,2)&lt;&gt;"15",LEFT(M2309,2)&lt;&gt;"33"))),"x","")</f>
        <v/>
      </c>
      <c r="V2309" s="525" t="str">
        <f>IF(AND(OR(LEFT(TH!L2309,2)="15",LEFT(TH!M2309,2)="15"),'152-CT'!$J$8=TH!F2309),"x","")</f>
        <v/>
      </c>
      <c r="W2309" s="525" t="str">
        <f>IF(AND(OR(LEFT(TH!L2309,2)="15",LEFT(TH!M2309,2)="15"),TK!$E$7=TH!F2309),"x","")</f>
        <v/>
      </c>
      <c r="X2309" s="525" t="str">
        <f>IF(AND('341-CT'!$E$9=H2309,OR(LEFT(L2309,3)=$X$7,LEFT(M2309,3)=$X$7)),"x","")</f>
        <v/>
      </c>
      <c r="Y2309" s="525" t="str">
        <f>IF(OR(TH!L2309=TH!$Y$7,M2309=TH!$Y$7),"x","")</f>
        <v/>
      </c>
      <c r="Z2309" s="525" t="str">
        <f>IF(AND(B2309&lt;=NKC!$N$8,B2309&gt;=NKC!$M$8),"x","")</f>
        <v/>
      </c>
      <c r="AA2309" s="535"/>
    </row>
    <row r="2310" spans="1:28" s="503" customFormat="1" ht="15.75" customHeight="1">
      <c r="A2310" s="517" t="str">
        <f>IF(B2310&lt;&gt;"",IF(AND(B2310&gt;=_TM1,B2310&lt;=_TM2,OR(TH!L2310="1111",TH!M2310="1111")),TH!D2310,""),"")</f>
        <v/>
      </c>
      <c r="B2310" s="531">
        <f t="shared" si="208"/>
        <v>4</v>
      </c>
      <c r="C2310" s="315">
        <f t="shared" si="209"/>
        <v>42853</v>
      </c>
      <c r="D2310" s="315" t="s">
        <v>910</v>
      </c>
      <c r="E2310" s="315">
        <v>42853</v>
      </c>
      <c r="F2310" s="247" t="s">
        <v>1000</v>
      </c>
      <c r="G2310" s="314" t="s">
        <v>1116</v>
      </c>
      <c r="H2310" s="473" t="s">
        <v>284</v>
      </c>
      <c r="I2310" s="307">
        <v>20</v>
      </c>
      <c r="J2310" s="307">
        <v>30236</v>
      </c>
      <c r="K2310" s="532">
        <f t="shared" si="210"/>
        <v>604720</v>
      </c>
      <c r="L2310" s="534" t="s">
        <v>223</v>
      </c>
      <c r="M2310" s="534" t="s">
        <v>162</v>
      </c>
      <c r="N2310" s="525" t="str">
        <f>IF(AND('331-CT'!$E$7=TH!H2310,OR(L2310="331",M2310="331")),"331",IF(AND(OR(L2310="131",M2310="131"),H2310='131-CT'!$E$7),"131",""))</f>
        <v/>
      </c>
      <c r="O2310" s="525" t="str">
        <f>IF(AND($B2310&gt;='111'!$N$11,$B2310&lt;='111'!$O$11,OR($L2310=$O$7,$M2310=$O$7)),"x","")</f>
        <v/>
      </c>
      <c r="P2310" s="525" t="str">
        <f>IF(AND($L2310=$O$7,$B2310&lt;'111'!$N$11),"x","")</f>
        <v/>
      </c>
      <c r="Q2310" s="525" t="str">
        <f>IF(AND($M2310=$O$7,$B2310&lt;'111'!$N$11),"x","")</f>
        <v/>
      </c>
      <c r="R2310" s="525" t="str">
        <f>IF(ISERROR(FIND('112'!$M$9,G2310,1)),"",IF((AND(FIND('112'!$M$9,G2310,1)&gt;=1,$B2310&gt;='112'!$N$8,$B2310&lt;='112'!$O$8,OR($L2310='112'!$I$6,$M2310='112'!$I$6))),"x",""))</f>
        <v/>
      </c>
      <c r="S2310" s="525" t="str">
        <f>IF(ISERROR(FIND('112'!$M$9,G2310,1)),"",IF((AND(LEFT(G2310,2)=LEFT('112'!$M$9,2),B2310&lt;'112'!$N$8,$L2310='112'!$I$6)),"x",""))</f>
        <v/>
      </c>
      <c r="T2310" s="525" t="str">
        <f>IF(ISERROR(FIND('112'!$M$9,G2310,1)),"",IF((AND(RIGHT(G2310,2)=RIGHT('112'!$M$9,2),B2310&lt;'112'!$N$8,$M2310='112'!$I$6)),"x",""))</f>
        <v/>
      </c>
      <c r="U2310" s="525" t="str">
        <f>IF(AND(B2310&gt;='IN-NX'!$P$3,B2310&lt;='IN-NX'!$Q$3,'IN-NX'!$D$7=D2310,OR(LEFT(L2310,2)="15",AND(LEFT(M2310,2)&lt;&gt;"15",LEFT(M2310,2)&lt;&gt;"33"))),"x","")</f>
        <v/>
      </c>
      <c r="V2310" s="525" t="str">
        <f>IF(AND(OR(LEFT(TH!L2310,2)="15",LEFT(TH!M2310,2)="15"),'152-CT'!$J$8=TH!F2310),"x","")</f>
        <v/>
      </c>
      <c r="W2310" s="525" t="str">
        <f>IF(AND(OR(LEFT(TH!L2310,2)="15",LEFT(TH!M2310,2)="15"),TK!$E$7=TH!F2310),"x","")</f>
        <v/>
      </c>
      <c r="X2310" s="525" t="str">
        <f>IF(AND('341-CT'!$E$9=H2310,OR(LEFT(L2310,3)=$X$7,LEFT(M2310,3)=$X$7)),"x","")</f>
        <v/>
      </c>
      <c r="Y2310" s="525" t="str">
        <f>IF(OR(TH!L2310=TH!$Y$7,M2310=TH!$Y$7),"x","")</f>
        <v/>
      </c>
      <c r="Z2310" s="525" t="str">
        <f>IF(AND(B2310&lt;=NKC!$N$8,B2310&gt;=NKC!$M$8),"x","")</f>
        <v/>
      </c>
      <c r="AA2310" s="535"/>
    </row>
    <row r="2311" spans="1:28" s="503" customFormat="1" ht="15.75" customHeight="1">
      <c r="A2311" s="517" t="str">
        <f>IF(B2311&lt;&gt;"",IF(AND(B2311&gt;=_TM1,B2311&lt;=_TM2,OR(TH!L2311="1111",TH!M2311="1111")),TH!D2311,""),"")</f>
        <v/>
      </c>
      <c r="B2311" s="531">
        <f t="shared" ref="B2311:B2374" si="211">IF(C2311&lt;&gt;"",MONTH(C2311),"")</f>
        <v>4</v>
      </c>
      <c r="C2311" s="315">
        <f t="shared" ref="C2311:C2374" si="212">E2311</f>
        <v>42853</v>
      </c>
      <c r="D2311" s="315" t="s">
        <v>910</v>
      </c>
      <c r="E2311" s="315">
        <v>42853</v>
      </c>
      <c r="F2311" s="247" t="s">
        <v>619</v>
      </c>
      <c r="G2311" s="314" t="s">
        <v>1116</v>
      </c>
      <c r="H2311" s="473" t="s">
        <v>284</v>
      </c>
      <c r="I2311" s="307">
        <v>292</v>
      </c>
      <c r="J2311" s="307">
        <v>20239</v>
      </c>
      <c r="K2311" s="532">
        <f t="shared" si="210"/>
        <v>5909788</v>
      </c>
      <c r="L2311" s="534" t="s">
        <v>223</v>
      </c>
      <c r="M2311" s="534" t="s">
        <v>162</v>
      </c>
      <c r="N2311" s="525" t="str">
        <f>IF(AND('331-CT'!$E$7=TH!H2311,OR(L2311="331",M2311="331")),"331",IF(AND(OR(L2311="131",M2311="131"),H2311='131-CT'!$E$7),"131",""))</f>
        <v/>
      </c>
      <c r="O2311" s="525" t="str">
        <f>IF(AND($B2311&gt;='111'!$N$11,$B2311&lt;='111'!$O$11,OR($L2311=$O$7,$M2311=$O$7)),"x","")</f>
        <v/>
      </c>
      <c r="P2311" s="525" t="str">
        <f>IF(AND($L2311=$O$7,$B2311&lt;'111'!$N$11),"x","")</f>
        <v/>
      </c>
      <c r="Q2311" s="525" t="str">
        <f>IF(AND($M2311=$O$7,$B2311&lt;'111'!$N$11),"x","")</f>
        <v/>
      </c>
      <c r="R2311" s="525" t="str">
        <f>IF(ISERROR(FIND('112'!$M$9,G2311,1)),"",IF((AND(FIND('112'!$M$9,G2311,1)&gt;=1,$B2311&gt;='112'!$N$8,$B2311&lt;='112'!$O$8,OR($L2311='112'!$I$6,$M2311='112'!$I$6))),"x",""))</f>
        <v/>
      </c>
      <c r="S2311" s="525" t="str">
        <f>IF(ISERROR(FIND('112'!$M$9,G2311,1)),"",IF((AND(LEFT(G2311,2)=LEFT('112'!$M$9,2),B2311&lt;'112'!$N$8,$L2311='112'!$I$6)),"x",""))</f>
        <v/>
      </c>
      <c r="T2311" s="525" t="str">
        <f>IF(ISERROR(FIND('112'!$M$9,G2311,1)),"",IF((AND(RIGHT(G2311,2)=RIGHT('112'!$M$9,2),B2311&lt;'112'!$N$8,$M2311='112'!$I$6)),"x",""))</f>
        <v/>
      </c>
      <c r="U2311" s="525" t="str">
        <f>IF(AND(B2311&gt;='IN-NX'!$P$3,B2311&lt;='IN-NX'!$Q$3,'IN-NX'!$D$7=D2311,OR(LEFT(L2311,2)="15",AND(LEFT(M2311,2)&lt;&gt;"15",LEFT(M2311,2)&lt;&gt;"33"))),"x","")</f>
        <v/>
      </c>
      <c r="V2311" s="525" t="str">
        <f>IF(AND(OR(LEFT(TH!L2311,2)="15",LEFT(TH!M2311,2)="15"),'152-CT'!$J$8=TH!F2311),"x","")</f>
        <v/>
      </c>
      <c r="W2311" s="525" t="str">
        <f>IF(AND(OR(LEFT(TH!L2311,2)="15",LEFT(TH!M2311,2)="15"),TK!$E$7=TH!F2311),"x","")</f>
        <v/>
      </c>
      <c r="X2311" s="525" t="str">
        <f>IF(AND('341-CT'!$E$9=H2311,OR(LEFT(L2311,3)=$X$7,LEFT(M2311,3)=$X$7)),"x","")</f>
        <v/>
      </c>
      <c r="Y2311" s="525" t="str">
        <f>IF(OR(TH!L2311=TH!$Y$7,M2311=TH!$Y$7),"x","")</f>
        <v/>
      </c>
      <c r="Z2311" s="525" t="str">
        <f>IF(AND(B2311&lt;=NKC!$N$8,B2311&gt;=NKC!$M$8),"x","")</f>
        <v/>
      </c>
      <c r="AA2311" s="535"/>
    </row>
    <row r="2312" spans="1:28" s="503" customFormat="1" ht="15.75" customHeight="1">
      <c r="A2312" s="517" t="str">
        <f>IF(B2312&lt;&gt;"",IF(AND(B2312&gt;=_TM1,B2312&lt;=_TM2,OR(TH!L2312="1111",TH!M2312="1111")),TH!D2312,""),"")</f>
        <v/>
      </c>
      <c r="B2312" s="531">
        <f t="shared" si="211"/>
        <v>4</v>
      </c>
      <c r="C2312" s="315">
        <f t="shared" si="212"/>
        <v>42853</v>
      </c>
      <c r="D2312" s="315" t="s">
        <v>910</v>
      </c>
      <c r="E2312" s="315">
        <v>42853</v>
      </c>
      <c r="F2312" s="247" t="s">
        <v>695</v>
      </c>
      <c r="G2312" s="314" t="s">
        <v>1116</v>
      </c>
      <c r="H2312" s="473" t="s">
        <v>284</v>
      </c>
      <c r="I2312" s="307">
        <v>10</v>
      </c>
      <c r="J2312" s="307">
        <v>105722</v>
      </c>
      <c r="K2312" s="532">
        <f t="shared" si="210"/>
        <v>1057220</v>
      </c>
      <c r="L2312" s="534" t="s">
        <v>223</v>
      </c>
      <c r="M2312" s="534" t="s">
        <v>162</v>
      </c>
      <c r="N2312" s="525" t="str">
        <f>IF(AND('331-CT'!$E$7=TH!H2312,OR(L2312="331",M2312="331")),"331",IF(AND(OR(L2312="131",M2312="131"),H2312='131-CT'!$E$7),"131",""))</f>
        <v/>
      </c>
      <c r="O2312" s="525" t="str">
        <f>IF(AND($B2312&gt;='111'!$N$11,$B2312&lt;='111'!$O$11,OR($L2312=$O$7,$M2312=$O$7)),"x","")</f>
        <v/>
      </c>
      <c r="P2312" s="525" t="str">
        <f>IF(AND($L2312=$O$7,$B2312&lt;'111'!$N$11),"x","")</f>
        <v/>
      </c>
      <c r="Q2312" s="525" t="str">
        <f>IF(AND($M2312=$O$7,$B2312&lt;'111'!$N$11),"x","")</f>
        <v/>
      </c>
      <c r="R2312" s="525" t="str">
        <f>IF(ISERROR(FIND('112'!$M$9,G2312,1)),"",IF((AND(FIND('112'!$M$9,G2312,1)&gt;=1,$B2312&gt;='112'!$N$8,$B2312&lt;='112'!$O$8,OR($L2312='112'!$I$6,$M2312='112'!$I$6))),"x",""))</f>
        <v/>
      </c>
      <c r="S2312" s="525" t="str">
        <f>IF(ISERROR(FIND('112'!$M$9,G2312,1)),"",IF((AND(LEFT(G2312,2)=LEFT('112'!$M$9,2),B2312&lt;'112'!$N$8,$L2312='112'!$I$6)),"x",""))</f>
        <v/>
      </c>
      <c r="T2312" s="525" t="str">
        <f>IF(ISERROR(FIND('112'!$M$9,G2312,1)),"",IF((AND(RIGHT(G2312,2)=RIGHT('112'!$M$9,2),B2312&lt;'112'!$N$8,$M2312='112'!$I$6)),"x",""))</f>
        <v/>
      </c>
      <c r="U2312" s="525" t="str">
        <f>IF(AND(B2312&gt;='IN-NX'!$P$3,B2312&lt;='IN-NX'!$Q$3,'IN-NX'!$D$7=D2312,OR(LEFT(L2312,2)="15",AND(LEFT(M2312,2)&lt;&gt;"15",LEFT(M2312,2)&lt;&gt;"33"))),"x","")</f>
        <v/>
      </c>
      <c r="V2312" s="525" t="str">
        <f>IF(AND(OR(LEFT(TH!L2312,2)="15",LEFT(TH!M2312,2)="15"),'152-CT'!$J$8=TH!F2312),"x","")</f>
        <v/>
      </c>
      <c r="W2312" s="525" t="str">
        <f>IF(AND(OR(LEFT(TH!L2312,2)="15",LEFT(TH!M2312,2)="15"),TK!$E$7=TH!F2312),"x","")</f>
        <v/>
      </c>
      <c r="X2312" s="525" t="str">
        <f>IF(AND('341-CT'!$E$9=H2312,OR(LEFT(L2312,3)=$X$7,LEFT(M2312,3)=$X$7)),"x","")</f>
        <v/>
      </c>
      <c r="Y2312" s="525" t="str">
        <f>IF(OR(TH!L2312=TH!$Y$7,M2312=TH!$Y$7),"x","")</f>
        <v/>
      </c>
      <c r="Z2312" s="525" t="str">
        <f>IF(AND(B2312&lt;=NKC!$N$8,B2312&gt;=NKC!$M$8),"x","")</f>
        <v/>
      </c>
      <c r="AA2312" s="535"/>
    </row>
    <row r="2313" spans="1:28" s="503" customFormat="1" ht="15.75" customHeight="1">
      <c r="A2313" s="517" t="str">
        <f>IF(B2313&lt;&gt;"",IF(AND(B2313&gt;=_TM1,B2313&lt;=_TM2,OR(TH!L2313="1111",TH!M2313="1111")),TH!D2313,""),"")</f>
        <v/>
      </c>
      <c r="B2313" s="531">
        <f t="shared" si="211"/>
        <v>4</v>
      </c>
      <c r="C2313" s="315">
        <f t="shared" si="212"/>
        <v>42853</v>
      </c>
      <c r="D2313" s="315" t="s">
        <v>910</v>
      </c>
      <c r="E2313" s="315">
        <v>42853</v>
      </c>
      <c r="F2313" s="247" t="s">
        <v>706</v>
      </c>
      <c r="G2313" s="314" t="s">
        <v>1116</v>
      </c>
      <c r="H2313" s="473" t="s">
        <v>284</v>
      </c>
      <c r="I2313" s="307">
        <v>8</v>
      </c>
      <c r="J2313" s="307">
        <v>24835</v>
      </c>
      <c r="K2313" s="532">
        <f t="shared" si="210"/>
        <v>198680</v>
      </c>
      <c r="L2313" s="534" t="s">
        <v>223</v>
      </c>
      <c r="M2313" s="534" t="s">
        <v>162</v>
      </c>
      <c r="N2313" s="525" t="str">
        <f>IF(AND('331-CT'!$E$7=TH!H2313,OR(L2313="331",M2313="331")),"331",IF(AND(OR(L2313="131",M2313="131"),H2313='131-CT'!$E$7),"131",""))</f>
        <v/>
      </c>
      <c r="O2313" s="525" t="str">
        <f>IF(AND($B2313&gt;='111'!$N$11,$B2313&lt;='111'!$O$11,OR($L2313=$O$7,$M2313=$O$7)),"x","")</f>
        <v/>
      </c>
      <c r="P2313" s="525" t="str">
        <f>IF(AND($L2313=$O$7,$B2313&lt;'111'!$N$11),"x","")</f>
        <v/>
      </c>
      <c r="Q2313" s="525" t="str">
        <f>IF(AND($M2313=$O$7,$B2313&lt;'111'!$N$11),"x","")</f>
        <v/>
      </c>
      <c r="R2313" s="525" t="str">
        <f>IF(ISERROR(FIND('112'!$M$9,G2313,1)),"",IF((AND(FIND('112'!$M$9,G2313,1)&gt;=1,$B2313&gt;='112'!$N$8,$B2313&lt;='112'!$O$8,OR($L2313='112'!$I$6,$M2313='112'!$I$6))),"x",""))</f>
        <v/>
      </c>
      <c r="S2313" s="525" t="str">
        <f>IF(ISERROR(FIND('112'!$M$9,G2313,1)),"",IF((AND(LEFT(G2313,2)=LEFT('112'!$M$9,2),B2313&lt;'112'!$N$8,$L2313='112'!$I$6)),"x",""))</f>
        <v/>
      </c>
      <c r="T2313" s="525" t="str">
        <f>IF(ISERROR(FIND('112'!$M$9,G2313,1)),"",IF((AND(RIGHT(G2313,2)=RIGHT('112'!$M$9,2),B2313&lt;'112'!$N$8,$M2313='112'!$I$6)),"x",""))</f>
        <v/>
      </c>
      <c r="U2313" s="525" t="str">
        <f>IF(AND(B2313&gt;='IN-NX'!$P$3,B2313&lt;='IN-NX'!$Q$3,'IN-NX'!$D$7=D2313,OR(LEFT(L2313,2)="15",AND(LEFT(M2313,2)&lt;&gt;"15",LEFT(M2313,2)&lt;&gt;"33"))),"x","")</f>
        <v/>
      </c>
      <c r="V2313" s="525" t="str">
        <f>IF(AND(OR(LEFT(TH!L2313,2)="15",LEFT(TH!M2313,2)="15"),'152-CT'!$J$8=TH!F2313),"x","")</f>
        <v/>
      </c>
      <c r="W2313" s="525" t="str">
        <f>IF(AND(OR(LEFT(TH!L2313,2)="15",LEFT(TH!M2313,2)="15"),TK!$E$7=TH!F2313),"x","")</f>
        <v/>
      </c>
      <c r="X2313" s="525" t="str">
        <f>IF(AND('341-CT'!$E$9=H2313,OR(LEFT(L2313,3)=$X$7,LEFT(M2313,3)=$X$7)),"x","")</f>
        <v/>
      </c>
      <c r="Y2313" s="525" t="str">
        <f>IF(OR(TH!L2313=TH!$Y$7,M2313=TH!$Y$7),"x","")</f>
        <v/>
      </c>
      <c r="Z2313" s="525" t="str">
        <f>IF(AND(B2313&lt;=NKC!$N$8,B2313&gt;=NKC!$M$8),"x","")</f>
        <v/>
      </c>
      <c r="AA2313" s="535"/>
    </row>
    <row r="2314" spans="1:28" s="503" customFormat="1" ht="15.75" customHeight="1">
      <c r="A2314" s="517" t="str">
        <f>IF(B2314&lt;&gt;"",IF(AND(B2314&gt;=_TM1,B2314&lt;=_TM2,OR(TH!L2314="1111",TH!M2314="1111")),TH!D2314,""),"")</f>
        <v/>
      </c>
      <c r="B2314" s="531">
        <f t="shared" si="211"/>
        <v>4</v>
      </c>
      <c r="C2314" s="315">
        <f t="shared" si="212"/>
        <v>42853</v>
      </c>
      <c r="D2314" s="315" t="s">
        <v>910</v>
      </c>
      <c r="E2314" s="315">
        <v>42853</v>
      </c>
      <c r="F2314" s="249" t="s">
        <v>1001</v>
      </c>
      <c r="G2314" s="314" t="s">
        <v>1116</v>
      </c>
      <c r="H2314" s="473" t="s">
        <v>284</v>
      </c>
      <c r="I2314" s="307">
        <v>16</v>
      </c>
      <c r="J2314" s="307">
        <v>164468</v>
      </c>
      <c r="K2314" s="532">
        <f t="shared" si="210"/>
        <v>2631488</v>
      </c>
      <c r="L2314" s="534" t="s">
        <v>223</v>
      </c>
      <c r="M2314" s="534" t="s">
        <v>162</v>
      </c>
      <c r="N2314" s="525" t="str">
        <f>IF(AND('331-CT'!$E$7=TH!H2314,OR(L2314="331",M2314="331")),"331",IF(AND(OR(L2314="131",M2314="131"),H2314='131-CT'!$E$7),"131",""))</f>
        <v/>
      </c>
      <c r="O2314" s="525" t="str">
        <f>IF(AND($B2314&gt;='111'!$N$11,$B2314&lt;='111'!$O$11,OR($L2314=$O$7,$M2314=$O$7)),"x","")</f>
        <v/>
      </c>
      <c r="P2314" s="525" t="str">
        <f>IF(AND($L2314=$O$7,$B2314&lt;'111'!$N$11),"x","")</f>
        <v/>
      </c>
      <c r="Q2314" s="525" t="str">
        <f>IF(AND($M2314=$O$7,$B2314&lt;'111'!$N$11),"x","")</f>
        <v/>
      </c>
      <c r="R2314" s="525" t="str">
        <f>IF(ISERROR(FIND('112'!$M$9,G2314,1)),"",IF((AND(FIND('112'!$M$9,G2314,1)&gt;=1,$B2314&gt;='112'!$N$8,$B2314&lt;='112'!$O$8,OR($L2314='112'!$I$6,$M2314='112'!$I$6))),"x",""))</f>
        <v/>
      </c>
      <c r="S2314" s="525" t="str">
        <f>IF(ISERROR(FIND('112'!$M$9,G2314,1)),"",IF((AND(LEFT(G2314,2)=LEFT('112'!$M$9,2),B2314&lt;'112'!$N$8,$L2314='112'!$I$6)),"x",""))</f>
        <v/>
      </c>
      <c r="T2314" s="525" t="str">
        <f>IF(ISERROR(FIND('112'!$M$9,G2314,1)),"",IF((AND(RIGHT(G2314,2)=RIGHT('112'!$M$9,2),B2314&lt;'112'!$N$8,$M2314='112'!$I$6)),"x",""))</f>
        <v/>
      </c>
      <c r="U2314" s="525" t="str">
        <f>IF(AND(B2314&gt;='IN-NX'!$P$3,B2314&lt;='IN-NX'!$Q$3,'IN-NX'!$D$7=D2314,OR(LEFT(L2314,2)="15",AND(LEFT(M2314,2)&lt;&gt;"15",LEFT(M2314,2)&lt;&gt;"33"))),"x","")</f>
        <v/>
      </c>
      <c r="V2314" s="525" t="str">
        <f>IF(AND(OR(LEFT(TH!L2314,2)="15",LEFT(TH!M2314,2)="15"),'152-CT'!$J$8=TH!F2314),"x","")</f>
        <v/>
      </c>
      <c r="W2314" s="525" t="str">
        <f>IF(AND(OR(LEFT(TH!L2314,2)="15",LEFT(TH!M2314,2)="15"),TK!$E$7=TH!F2314),"x","")</f>
        <v/>
      </c>
      <c r="X2314" s="525" t="str">
        <f>IF(AND('341-CT'!$E$9=H2314,OR(LEFT(L2314,3)=$X$7,LEFT(M2314,3)=$X$7)),"x","")</f>
        <v/>
      </c>
      <c r="Y2314" s="525" t="str">
        <f>IF(OR(TH!L2314=TH!$Y$7,M2314=TH!$Y$7),"x","")</f>
        <v/>
      </c>
      <c r="Z2314" s="525" t="str">
        <f>IF(AND(B2314&lt;=NKC!$N$8,B2314&gt;=NKC!$M$8),"x","")</f>
        <v/>
      </c>
      <c r="AA2314" s="535"/>
      <c r="AB2314" s="536"/>
    </row>
    <row r="2315" spans="1:28" s="503" customFormat="1" ht="15.75" customHeight="1">
      <c r="A2315" s="517" t="str">
        <f>IF(B2315&lt;&gt;"",IF(AND(B2315&gt;=_TM1,B2315&lt;=_TM2,OR(TH!L2315="1111",TH!M2315="1111")),TH!D2315,""),"")</f>
        <v/>
      </c>
      <c r="B2315" s="531">
        <f t="shared" si="211"/>
        <v>4</v>
      </c>
      <c r="C2315" s="315">
        <f t="shared" si="212"/>
        <v>42853</v>
      </c>
      <c r="D2315" s="315" t="s">
        <v>910</v>
      </c>
      <c r="E2315" s="315">
        <v>42853</v>
      </c>
      <c r="F2315" s="249" t="s">
        <v>622</v>
      </c>
      <c r="G2315" s="314" t="s">
        <v>1116</v>
      </c>
      <c r="H2315" s="473" t="s">
        <v>284</v>
      </c>
      <c r="I2315" s="307">
        <v>20</v>
      </c>
      <c r="J2315" s="307">
        <v>8242</v>
      </c>
      <c r="K2315" s="532">
        <f t="shared" si="210"/>
        <v>164840</v>
      </c>
      <c r="L2315" s="534" t="s">
        <v>223</v>
      </c>
      <c r="M2315" s="534" t="s">
        <v>162</v>
      </c>
      <c r="N2315" s="525" t="str">
        <f>IF(AND('331-CT'!$E$7=TH!H2315,OR(L2315="331",M2315="331")),"331",IF(AND(OR(L2315="131",M2315="131"),H2315='131-CT'!$E$7),"131",""))</f>
        <v/>
      </c>
      <c r="O2315" s="525" t="str">
        <f>IF(AND($B2315&gt;='111'!$N$11,$B2315&lt;='111'!$O$11,OR($L2315=$O$7,$M2315=$O$7)),"x","")</f>
        <v/>
      </c>
      <c r="P2315" s="525" t="str">
        <f>IF(AND($L2315=$O$7,$B2315&lt;'111'!$N$11),"x","")</f>
        <v/>
      </c>
      <c r="Q2315" s="525" t="str">
        <f>IF(AND($M2315=$O$7,$B2315&lt;'111'!$N$11),"x","")</f>
        <v/>
      </c>
      <c r="R2315" s="525" t="str">
        <f>IF(ISERROR(FIND('112'!$M$9,G2315,1)),"",IF((AND(FIND('112'!$M$9,G2315,1)&gt;=1,$B2315&gt;='112'!$N$8,$B2315&lt;='112'!$O$8,OR($L2315='112'!$I$6,$M2315='112'!$I$6))),"x",""))</f>
        <v/>
      </c>
      <c r="S2315" s="525" t="str">
        <f>IF(ISERROR(FIND('112'!$M$9,G2315,1)),"",IF((AND(LEFT(G2315,2)=LEFT('112'!$M$9,2),B2315&lt;'112'!$N$8,$L2315='112'!$I$6)),"x",""))</f>
        <v/>
      </c>
      <c r="T2315" s="525" t="str">
        <f>IF(ISERROR(FIND('112'!$M$9,G2315,1)),"",IF((AND(RIGHT(G2315,2)=RIGHT('112'!$M$9,2),B2315&lt;'112'!$N$8,$M2315='112'!$I$6)),"x",""))</f>
        <v/>
      </c>
      <c r="U2315" s="525" t="str">
        <f>IF(AND(B2315&gt;='IN-NX'!$P$3,B2315&lt;='IN-NX'!$Q$3,'IN-NX'!$D$7=D2315,OR(LEFT(L2315,2)="15",AND(LEFT(M2315,2)&lt;&gt;"15",LEFT(M2315,2)&lt;&gt;"33"))),"x","")</f>
        <v/>
      </c>
      <c r="V2315" s="525" t="str">
        <f>IF(AND(OR(LEFT(TH!L2315,2)="15",LEFT(TH!M2315,2)="15"),'152-CT'!$J$8=TH!F2315),"x","")</f>
        <v/>
      </c>
      <c r="W2315" s="525" t="str">
        <f>IF(AND(OR(LEFT(TH!L2315,2)="15",LEFT(TH!M2315,2)="15"),TK!$E$7=TH!F2315),"x","")</f>
        <v/>
      </c>
      <c r="X2315" s="525" t="str">
        <f>IF(AND('341-CT'!$E$9=H2315,OR(LEFT(L2315,3)=$X$7,LEFT(M2315,3)=$X$7)),"x","")</f>
        <v/>
      </c>
      <c r="Y2315" s="525" t="str">
        <f>IF(OR(TH!L2315=TH!$Y$7,M2315=TH!$Y$7),"x","")</f>
        <v/>
      </c>
      <c r="Z2315" s="525" t="str">
        <f>IF(AND(B2315&lt;=NKC!$N$8,B2315&gt;=NKC!$M$8),"x","")</f>
        <v/>
      </c>
      <c r="AA2315" s="535"/>
      <c r="AB2315" s="536"/>
    </row>
    <row r="2316" spans="1:28" s="503" customFormat="1" ht="15.75" customHeight="1">
      <c r="A2316" s="517" t="str">
        <f>IF(B2316&lt;&gt;"",IF(AND(B2316&gt;=_TM1,B2316&lt;=_TM2,OR(TH!L2316="1111",TH!M2316="1111")),TH!D2316,""),"")</f>
        <v/>
      </c>
      <c r="B2316" s="531">
        <f t="shared" si="211"/>
        <v>4</v>
      </c>
      <c r="C2316" s="315">
        <f t="shared" si="212"/>
        <v>42853</v>
      </c>
      <c r="D2316" s="315" t="s">
        <v>910</v>
      </c>
      <c r="E2316" s="315">
        <v>42853</v>
      </c>
      <c r="F2316" s="249" t="s">
        <v>614</v>
      </c>
      <c r="G2316" s="314" t="s">
        <v>1116</v>
      </c>
      <c r="H2316" s="473" t="s">
        <v>284</v>
      </c>
      <c r="I2316" s="307">
        <v>20</v>
      </c>
      <c r="J2316" s="307">
        <v>17678</v>
      </c>
      <c r="K2316" s="532">
        <f t="shared" si="210"/>
        <v>353560</v>
      </c>
      <c r="L2316" s="534" t="s">
        <v>223</v>
      </c>
      <c r="M2316" s="534" t="s">
        <v>162</v>
      </c>
      <c r="N2316" s="525" t="str">
        <f>IF(AND('331-CT'!$E$7=TH!H2316,OR(L2316="331",M2316="331")),"331",IF(AND(OR(L2316="131",M2316="131"),H2316='131-CT'!$E$7),"131",""))</f>
        <v/>
      </c>
      <c r="O2316" s="525" t="str">
        <f>IF(AND($B2316&gt;='111'!$N$11,$B2316&lt;='111'!$O$11,OR($L2316=$O$7,$M2316=$O$7)),"x","")</f>
        <v/>
      </c>
      <c r="P2316" s="525" t="str">
        <f>IF(AND($L2316=$O$7,$B2316&lt;'111'!$N$11),"x","")</f>
        <v/>
      </c>
      <c r="Q2316" s="525" t="str">
        <f>IF(AND($M2316=$O$7,$B2316&lt;'111'!$N$11),"x","")</f>
        <v/>
      </c>
      <c r="R2316" s="525" t="str">
        <f>IF(ISERROR(FIND('112'!$M$9,G2316,1)),"",IF((AND(FIND('112'!$M$9,G2316,1)&gt;=1,$B2316&gt;='112'!$N$8,$B2316&lt;='112'!$O$8,OR($L2316='112'!$I$6,$M2316='112'!$I$6))),"x",""))</f>
        <v/>
      </c>
      <c r="S2316" s="525" t="str">
        <f>IF(ISERROR(FIND('112'!$M$9,G2316,1)),"",IF((AND(LEFT(G2316,2)=LEFT('112'!$M$9,2),B2316&lt;'112'!$N$8,$L2316='112'!$I$6)),"x",""))</f>
        <v/>
      </c>
      <c r="T2316" s="525" t="str">
        <f>IF(ISERROR(FIND('112'!$M$9,G2316,1)),"",IF((AND(RIGHT(G2316,2)=RIGHT('112'!$M$9,2),B2316&lt;'112'!$N$8,$M2316='112'!$I$6)),"x",""))</f>
        <v/>
      </c>
      <c r="U2316" s="525" t="str">
        <f>IF(AND(B2316&gt;='IN-NX'!$P$3,B2316&lt;='IN-NX'!$Q$3,'IN-NX'!$D$7=D2316,OR(LEFT(L2316,2)="15",AND(LEFT(M2316,2)&lt;&gt;"15",LEFT(M2316,2)&lt;&gt;"33"))),"x","")</f>
        <v/>
      </c>
      <c r="V2316" s="525" t="str">
        <f>IF(AND(OR(LEFT(TH!L2316,2)="15",LEFT(TH!M2316,2)="15"),'152-CT'!$J$8=TH!F2316),"x","")</f>
        <v/>
      </c>
      <c r="W2316" s="525" t="str">
        <f>IF(AND(OR(LEFT(TH!L2316,2)="15",LEFT(TH!M2316,2)="15"),TK!$E$7=TH!F2316),"x","")</f>
        <v/>
      </c>
      <c r="X2316" s="525" t="str">
        <f>IF(AND('341-CT'!$E$9=H2316,OR(LEFT(L2316,3)=$X$7,LEFT(M2316,3)=$X$7)),"x","")</f>
        <v/>
      </c>
      <c r="Y2316" s="525" t="str">
        <f>IF(OR(TH!L2316=TH!$Y$7,M2316=TH!$Y$7),"x","")</f>
        <v/>
      </c>
      <c r="Z2316" s="525" t="str">
        <f>IF(AND(B2316&lt;=NKC!$N$8,B2316&gt;=NKC!$M$8),"x","")</f>
        <v/>
      </c>
      <c r="AA2316" s="535"/>
      <c r="AB2316" s="536"/>
    </row>
    <row r="2317" spans="1:28" s="503" customFormat="1" ht="15.75" customHeight="1">
      <c r="A2317" s="517" t="str">
        <f>IF(B2317&lt;&gt;"",IF(AND(B2317&gt;=_TM1,B2317&lt;=_TM2,OR(TH!L2317="1111",TH!M2317="1111")),TH!D2317,""),"")</f>
        <v/>
      </c>
      <c r="B2317" s="531">
        <f t="shared" si="211"/>
        <v>4</v>
      </c>
      <c r="C2317" s="315">
        <f t="shared" si="212"/>
        <v>42853</v>
      </c>
      <c r="D2317" s="315" t="s">
        <v>910</v>
      </c>
      <c r="E2317" s="315">
        <v>42853</v>
      </c>
      <c r="F2317" s="249" t="s">
        <v>615</v>
      </c>
      <c r="G2317" s="314" t="s">
        <v>1116</v>
      </c>
      <c r="H2317" s="473" t="s">
        <v>284</v>
      </c>
      <c r="I2317" s="307">
        <v>20</v>
      </c>
      <c r="J2317" s="307">
        <v>35806</v>
      </c>
      <c r="K2317" s="532">
        <f t="shared" si="210"/>
        <v>716120</v>
      </c>
      <c r="L2317" s="534" t="s">
        <v>223</v>
      </c>
      <c r="M2317" s="534" t="s">
        <v>162</v>
      </c>
      <c r="N2317" s="525" t="str">
        <f>IF(AND('331-CT'!$E$7=TH!H2317,OR(L2317="331",M2317="331")),"331",IF(AND(OR(L2317="131",M2317="131"),H2317='131-CT'!$E$7),"131",""))</f>
        <v/>
      </c>
      <c r="O2317" s="525" t="str">
        <f>IF(AND($B2317&gt;='111'!$N$11,$B2317&lt;='111'!$O$11,OR($L2317=$O$7,$M2317=$O$7)),"x","")</f>
        <v/>
      </c>
      <c r="P2317" s="525" t="str">
        <f>IF(AND($L2317=$O$7,$B2317&lt;'111'!$N$11),"x","")</f>
        <v/>
      </c>
      <c r="Q2317" s="525" t="str">
        <f>IF(AND($M2317=$O$7,$B2317&lt;'111'!$N$11),"x","")</f>
        <v/>
      </c>
      <c r="R2317" s="525" t="str">
        <f>IF(ISERROR(FIND('112'!$M$9,G2317,1)),"",IF((AND(FIND('112'!$M$9,G2317,1)&gt;=1,$B2317&gt;='112'!$N$8,$B2317&lt;='112'!$O$8,OR($L2317='112'!$I$6,$M2317='112'!$I$6))),"x",""))</f>
        <v/>
      </c>
      <c r="S2317" s="525" t="str">
        <f>IF(ISERROR(FIND('112'!$M$9,G2317,1)),"",IF((AND(LEFT(G2317,2)=LEFT('112'!$M$9,2),B2317&lt;'112'!$N$8,$L2317='112'!$I$6)),"x",""))</f>
        <v/>
      </c>
      <c r="T2317" s="525" t="str">
        <f>IF(ISERROR(FIND('112'!$M$9,G2317,1)),"",IF((AND(RIGHT(G2317,2)=RIGHT('112'!$M$9,2),B2317&lt;'112'!$N$8,$M2317='112'!$I$6)),"x",""))</f>
        <v/>
      </c>
      <c r="U2317" s="525" t="str">
        <f>IF(AND(B2317&gt;='IN-NX'!$P$3,B2317&lt;='IN-NX'!$Q$3,'IN-NX'!$D$7=D2317,OR(LEFT(L2317,2)="15",AND(LEFT(M2317,2)&lt;&gt;"15",LEFT(M2317,2)&lt;&gt;"33"))),"x","")</f>
        <v/>
      </c>
      <c r="V2317" s="525" t="str">
        <f>IF(AND(OR(LEFT(TH!L2317,2)="15",LEFT(TH!M2317,2)="15"),'152-CT'!$J$8=TH!F2317),"x","")</f>
        <v/>
      </c>
      <c r="W2317" s="525" t="str">
        <f>IF(AND(OR(LEFT(TH!L2317,2)="15",LEFT(TH!M2317,2)="15"),TK!$E$7=TH!F2317),"x","")</f>
        <v/>
      </c>
      <c r="X2317" s="525" t="str">
        <f>IF(AND('341-CT'!$E$9=H2317,OR(LEFT(L2317,3)=$X$7,LEFT(M2317,3)=$X$7)),"x","")</f>
        <v/>
      </c>
      <c r="Y2317" s="525" t="str">
        <f>IF(OR(TH!L2317=TH!$Y$7,M2317=TH!$Y$7),"x","")</f>
        <v/>
      </c>
      <c r="Z2317" s="525" t="str">
        <f>IF(AND(B2317&lt;=NKC!$N$8,B2317&gt;=NKC!$M$8),"x","")</f>
        <v/>
      </c>
      <c r="AA2317" s="535"/>
      <c r="AB2317" s="536"/>
    </row>
    <row r="2318" spans="1:28" s="503" customFormat="1" ht="15.75" customHeight="1">
      <c r="A2318" s="517" t="str">
        <f>IF(B2318&lt;&gt;"",IF(AND(B2318&gt;=_TM1,B2318&lt;=_TM2,OR(TH!L2318="1111",TH!M2318="1111")),TH!D2318,""),"")</f>
        <v/>
      </c>
      <c r="B2318" s="531">
        <f t="shared" si="211"/>
        <v>4</v>
      </c>
      <c r="C2318" s="315">
        <f t="shared" si="212"/>
        <v>42853</v>
      </c>
      <c r="D2318" s="315" t="s">
        <v>910</v>
      </c>
      <c r="E2318" s="315">
        <v>42853</v>
      </c>
      <c r="F2318" s="245" t="s">
        <v>1013</v>
      </c>
      <c r="G2318" s="314" t="s">
        <v>1116</v>
      </c>
      <c r="H2318" s="473" t="s">
        <v>284</v>
      </c>
      <c r="I2318" s="307">
        <v>20</v>
      </c>
      <c r="J2318" s="307">
        <v>22540</v>
      </c>
      <c r="K2318" s="532">
        <f t="shared" ref="K2318:K2349" si="213">ROUND(I2318*J2318,0)</f>
        <v>450800</v>
      </c>
      <c r="L2318" s="534" t="s">
        <v>223</v>
      </c>
      <c r="M2318" s="534" t="s">
        <v>162</v>
      </c>
      <c r="N2318" s="525" t="str">
        <f>IF(AND('331-CT'!$E$7=TH!H2318,OR(L2318="331",M2318="331")),"331",IF(AND(OR(L2318="131",M2318="131"),H2318='131-CT'!$E$7),"131",""))</f>
        <v/>
      </c>
      <c r="O2318" s="525" t="str">
        <f>IF(AND($B2318&gt;='111'!$N$11,$B2318&lt;='111'!$O$11,OR($L2318=$O$7,$M2318=$O$7)),"x","")</f>
        <v/>
      </c>
      <c r="P2318" s="525" t="str">
        <f>IF(AND($L2318=$O$7,$B2318&lt;'111'!$N$11),"x","")</f>
        <v/>
      </c>
      <c r="Q2318" s="525" t="str">
        <f>IF(AND($M2318=$O$7,$B2318&lt;'111'!$N$11),"x","")</f>
        <v/>
      </c>
      <c r="R2318" s="525" t="str">
        <f>IF(ISERROR(FIND('112'!$M$9,G2318,1)),"",IF((AND(FIND('112'!$M$9,G2318,1)&gt;=1,$B2318&gt;='112'!$N$8,$B2318&lt;='112'!$O$8,OR($L2318='112'!$I$6,$M2318='112'!$I$6))),"x",""))</f>
        <v/>
      </c>
      <c r="S2318" s="525" t="str">
        <f>IF(ISERROR(FIND('112'!$M$9,G2318,1)),"",IF((AND(LEFT(G2318,2)=LEFT('112'!$M$9,2),B2318&lt;'112'!$N$8,$L2318='112'!$I$6)),"x",""))</f>
        <v/>
      </c>
      <c r="T2318" s="525" t="str">
        <f>IF(ISERROR(FIND('112'!$M$9,G2318,1)),"",IF((AND(RIGHT(G2318,2)=RIGHT('112'!$M$9,2),B2318&lt;'112'!$N$8,$M2318='112'!$I$6)),"x",""))</f>
        <v/>
      </c>
      <c r="U2318" s="525" t="str">
        <f>IF(AND(B2318&gt;='IN-NX'!$P$3,B2318&lt;='IN-NX'!$Q$3,'IN-NX'!$D$7=D2318,OR(LEFT(L2318,2)="15",AND(LEFT(M2318,2)&lt;&gt;"15",LEFT(M2318,2)&lt;&gt;"33"))),"x","")</f>
        <v/>
      </c>
      <c r="V2318" s="525" t="str">
        <f>IF(AND(OR(LEFT(TH!L2318,2)="15",LEFT(TH!M2318,2)="15"),'152-CT'!$J$8=TH!F2318),"x","")</f>
        <v/>
      </c>
      <c r="W2318" s="525" t="str">
        <f>IF(AND(OR(LEFT(TH!L2318,2)="15",LEFT(TH!M2318,2)="15"),TK!$E$7=TH!F2318),"x","")</f>
        <v/>
      </c>
      <c r="X2318" s="525" t="str">
        <f>IF(AND('341-CT'!$E$9=H2318,OR(LEFT(L2318,3)=$X$7,LEFT(M2318,3)=$X$7)),"x","")</f>
        <v/>
      </c>
      <c r="Y2318" s="525" t="str">
        <f>IF(OR(TH!L2318=TH!$Y$7,M2318=TH!$Y$7),"x","")</f>
        <v/>
      </c>
      <c r="Z2318" s="525" t="str">
        <f>IF(AND(B2318&lt;=NKC!$N$8,B2318&gt;=NKC!$M$8),"x","")</f>
        <v/>
      </c>
      <c r="AA2318" s="535"/>
      <c r="AB2318" s="536"/>
    </row>
    <row r="2319" spans="1:28" s="503" customFormat="1" ht="15.75" customHeight="1">
      <c r="A2319" s="517" t="str">
        <f>IF(B2319&lt;&gt;"",IF(AND(B2319&gt;=_TM1,B2319&lt;=_TM2,OR(TH!L2319="1111",TH!M2319="1111")),TH!D2319,""),"")</f>
        <v/>
      </c>
      <c r="B2319" s="531">
        <f t="shared" si="211"/>
        <v>4</v>
      </c>
      <c r="C2319" s="315">
        <f t="shared" si="212"/>
        <v>42853</v>
      </c>
      <c r="D2319" s="315" t="s">
        <v>910</v>
      </c>
      <c r="E2319" s="315">
        <v>42853</v>
      </c>
      <c r="F2319" s="249" t="s">
        <v>1014</v>
      </c>
      <c r="G2319" s="314" t="s">
        <v>1116</v>
      </c>
      <c r="H2319" s="473" t="s">
        <v>284</v>
      </c>
      <c r="I2319" s="307">
        <v>20</v>
      </c>
      <c r="J2319" s="307">
        <v>44193</v>
      </c>
      <c r="K2319" s="532">
        <f t="shared" si="213"/>
        <v>883860</v>
      </c>
      <c r="L2319" s="534" t="s">
        <v>223</v>
      </c>
      <c r="M2319" s="534" t="s">
        <v>162</v>
      </c>
      <c r="N2319" s="525" t="str">
        <f>IF(AND('331-CT'!$E$7=TH!H2319,OR(L2319="331",M2319="331")),"331",IF(AND(OR(L2319="131",M2319="131"),H2319='131-CT'!$E$7),"131",""))</f>
        <v/>
      </c>
      <c r="O2319" s="525" t="str">
        <f>IF(AND($B2319&gt;='111'!$N$11,$B2319&lt;='111'!$O$11,OR($L2319=$O$7,$M2319=$O$7)),"x","")</f>
        <v/>
      </c>
      <c r="P2319" s="525" t="str">
        <f>IF(AND($L2319=$O$7,$B2319&lt;'111'!$N$11),"x","")</f>
        <v/>
      </c>
      <c r="Q2319" s="525" t="str">
        <f>IF(AND($M2319=$O$7,$B2319&lt;'111'!$N$11),"x","")</f>
        <v/>
      </c>
      <c r="R2319" s="525" t="str">
        <f>IF(ISERROR(FIND('112'!$M$9,G2319,1)),"",IF((AND(FIND('112'!$M$9,G2319,1)&gt;=1,$B2319&gt;='112'!$N$8,$B2319&lt;='112'!$O$8,OR($L2319='112'!$I$6,$M2319='112'!$I$6))),"x",""))</f>
        <v/>
      </c>
      <c r="S2319" s="525" t="str">
        <f>IF(ISERROR(FIND('112'!$M$9,G2319,1)),"",IF((AND(LEFT(G2319,2)=LEFT('112'!$M$9,2),B2319&lt;'112'!$N$8,$L2319='112'!$I$6)),"x",""))</f>
        <v/>
      </c>
      <c r="T2319" s="525" t="str">
        <f>IF(ISERROR(FIND('112'!$M$9,G2319,1)),"",IF((AND(RIGHT(G2319,2)=RIGHT('112'!$M$9,2),B2319&lt;'112'!$N$8,$M2319='112'!$I$6)),"x",""))</f>
        <v/>
      </c>
      <c r="U2319" s="525" t="str">
        <f>IF(AND(B2319&gt;='IN-NX'!$P$3,B2319&lt;='IN-NX'!$Q$3,'IN-NX'!$D$7=D2319,OR(LEFT(L2319,2)="15",AND(LEFT(M2319,2)&lt;&gt;"15",LEFT(M2319,2)&lt;&gt;"33"))),"x","")</f>
        <v/>
      </c>
      <c r="V2319" s="525" t="str">
        <f>IF(AND(OR(LEFT(TH!L2319,2)="15",LEFT(TH!M2319,2)="15"),'152-CT'!$J$8=TH!F2319),"x","")</f>
        <v/>
      </c>
      <c r="W2319" s="525" t="str">
        <f>IF(AND(OR(LEFT(TH!L2319,2)="15",LEFT(TH!M2319,2)="15"),TK!$E$7=TH!F2319),"x","")</f>
        <v/>
      </c>
      <c r="X2319" s="525" t="str">
        <f>IF(AND('341-CT'!$E$9=H2319,OR(LEFT(L2319,3)=$X$7,LEFT(M2319,3)=$X$7)),"x","")</f>
        <v/>
      </c>
      <c r="Y2319" s="525" t="str">
        <f>IF(OR(TH!L2319=TH!$Y$7,M2319=TH!$Y$7),"x","")</f>
        <v/>
      </c>
      <c r="Z2319" s="525" t="str">
        <f>IF(AND(B2319&lt;=NKC!$N$8,B2319&gt;=NKC!$M$8),"x","")</f>
        <v/>
      </c>
      <c r="AA2319" s="535"/>
      <c r="AB2319" s="536"/>
    </row>
    <row r="2320" spans="1:28" s="503" customFormat="1" ht="15.75" customHeight="1">
      <c r="A2320" s="517" t="str">
        <f>IF(B2320&lt;&gt;"",IF(AND(B2320&gt;=_TM1,B2320&lt;=_TM2,OR(TH!L2320="1111",TH!M2320="1111")),TH!D2320,""),"")</f>
        <v/>
      </c>
      <c r="B2320" s="531">
        <f t="shared" si="211"/>
        <v>4</v>
      </c>
      <c r="C2320" s="315">
        <f t="shared" si="212"/>
        <v>42853</v>
      </c>
      <c r="D2320" s="315" t="s">
        <v>910</v>
      </c>
      <c r="E2320" s="315">
        <v>42853</v>
      </c>
      <c r="F2320" s="249" t="s">
        <v>624</v>
      </c>
      <c r="G2320" s="314" t="s">
        <v>1116</v>
      </c>
      <c r="H2320" s="473" t="s">
        <v>284</v>
      </c>
      <c r="I2320" s="307">
        <v>12</v>
      </c>
      <c r="J2320" s="307">
        <v>35387</v>
      </c>
      <c r="K2320" s="532">
        <f t="shared" si="213"/>
        <v>424644</v>
      </c>
      <c r="L2320" s="534" t="s">
        <v>223</v>
      </c>
      <c r="M2320" s="534" t="s">
        <v>162</v>
      </c>
      <c r="N2320" s="525" t="str">
        <f>IF(AND('331-CT'!$E$7=TH!H2320,OR(L2320="331",M2320="331")),"331",IF(AND(OR(L2320="131",M2320="131"),H2320='131-CT'!$E$7),"131",""))</f>
        <v/>
      </c>
      <c r="O2320" s="525" t="str">
        <f>IF(AND($B2320&gt;='111'!$N$11,$B2320&lt;='111'!$O$11,OR($L2320=$O$7,$M2320=$O$7)),"x","")</f>
        <v/>
      </c>
      <c r="P2320" s="525" t="str">
        <f>IF(AND($L2320=$O$7,$B2320&lt;'111'!$N$11),"x","")</f>
        <v/>
      </c>
      <c r="Q2320" s="525" t="str">
        <f>IF(AND($M2320=$O$7,$B2320&lt;'111'!$N$11),"x","")</f>
        <v/>
      </c>
      <c r="R2320" s="525" t="str">
        <f>IF(ISERROR(FIND('112'!$M$9,G2320,1)),"",IF((AND(FIND('112'!$M$9,G2320,1)&gt;=1,$B2320&gt;='112'!$N$8,$B2320&lt;='112'!$O$8,OR($L2320='112'!$I$6,$M2320='112'!$I$6))),"x",""))</f>
        <v/>
      </c>
      <c r="S2320" s="525" t="str">
        <f>IF(ISERROR(FIND('112'!$M$9,G2320,1)),"",IF((AND(LEFT(G2320,2)=LEFT('112'!$M$9,2),B2320&lt;'112'!$N$8,$L2320='112'!$I$6)),"x",""))</f>
        <v/>
      </c>
      <c r="T2320" s="525" t="str">
        <f>IF(ISERROR(FIND('112'!$M$9,G2320,1)),"",IF((AND(RIGHT(G2320,2)=RIGHT('112'!$M$9,2),B2320&lt;'112'!$N$8,$M2320='112'!$I$6)),"x",""))</f>
        <v/>
      </c>
      <c r="U2320" s="525" t="str">
        <f>IF(AND(B2320&gt;='IN-NX'!$P$3,B2320&lt;='IN-NX'!$Q$3,'IN-NX'!$D$7=D2320,OR(LEFT(L2320,2)="15",AND(LEFT(M2320,2)&lt;&gt;"15",LEFT(M2320,2)&lt;&gt;"33"))),"x","")</f>
        <v/>
      </c>
      <c r="V2320" s="525" t="str">
        <f>IF(AND(OR(LEFT(TH!L2320,2)="15",LEFT(TH!M2320,2)="15"),'152-CT'!$J$8=TH!F2320),"x","")</f>
        <v/>
      </c>
      <c r="W2320" s="525" t="str">
        <f>IF(AND(OR(LEFT(TH!L2320,2)="15",LEFT(TH!M2320,2)="15"),TK!$E$7=TH!F2320),"x","")</f>
        <v/>
      </c>
      <c r="X2320" s="525" t="str">
        <f>IF(AND('341-CT'!$E$9=H2320,OR(LEFT(L2320,3)=$X$7,LEFT(M2320,3)=$X$7)),"x","")</f>
        <v/>
      </c>
      <c r="Y2320" s="525" t="str">
        <f>IF(OR(TH!L2320=TH!$Y$7,M2320=TH!$Y$7),"x","")</f>
        <v/>
      </c>
      <c r="Z2320" s="525" t="str">
        <f>IF(AND(B2320&lt;=NKC!$N$8,B2320&gt;=NKC!$M$8),"x","")</f>
        <v/>
      </c>
      <c r="AA2320" s="535"/>
      <c r="AB2320" s="536"/>
    </row>
    <row r="2321" spans="1:30" s="503" customFormat="1" ht="15.75" customHeight="1">
      <c r="A2321" s="517" t="str">
        <f>IF(B2321&lt;&gt;"",IF(AND(B2321&gt;=_TM1,B2321&lt;=_TM2,OR(TH!L2321="1111",TH!M2321="1111")),TH!D2321,""),"")</f>
        <v/>
      </c>
      <c r="B2321" s="531">
        <f t="shared" si="211"/>
        <v>4</v>
      </c>
      <c r="C2321" s="315">
        <f t="shared" si="212"/>
        <v>42853</v>
      </c>
      <c r="D2321" s="315" t="s">
        <v>910</v>
      </c>
      <c r="E2321" s="315">
        <v>42853</v>
      </c>
      <c r="F2321" s="249" t="s">
        <v>625</v>
      </c>
      <c r="G2321" s="314" t="s">
        <v>1116</v>
      </c>
      <c r="H2321" s="473" t="s">
        <v>284</v>
      </c>
      <c r="I2321" s="307">
        <v>42</v>
      </c>
      <c r="J2321" s="307">
        <v>38130</v>
      </c>
      <c r="K2321" s="532">
        <f t="shared" si="213"/>
        <v>1601460</v>
      </c>
      <c r="L2321" s="534" t="s">
        <v>223</v>
      </c>
      <c r="M2321" s="534" t="s">
        <v>162</v>
      </c>
      <c r="N2321" s="525" t="str">
        <f>IF(AND('331-CT'!$E$7=TH!H2321,OR(L2321="331",M2321="331")),"331",IF(AND(OR(L2321="131",M2321="131"),H2321='131-CT'!$E$7),"131",""))</f>
        <v/>
      </c>
      <c r="O2321" s="525" t="str">
        <f>IF(AND($B2321&gt;='111'!$N$11,$B2321&lt;='111'!$O$11,OR($L2321=$O$7,$M2321=$O$7)),"x","")</f>
        <v/>
      </c>
      <c r="P2321" s="525" t="str">
        <f>IF(AND($L2321=$O$7,$B2321&lt;'111'!$N$11),"x","")</f>
        <v/>
      </c>
      <c r="Q2321" s="525" t="str">
        <f>IF(AND($M2321=$O$7,$B2321&lt;'111'!$N$11),"x","")</f>
        <v/>
      </c>
      <c r="R2321" s="525" t="str">
        <f>IF(ISERROR(FIND('112'!$M$9,G2321,1)),"",IF((AND(FIND('112'!$M$9,G2321,1)&gt;=1,$B2321&gt;='112'!$N$8,$B2321&lt;='112'!$O$8,OR($L2321='112'!$I$6,$M2321='112'!$I$6))),"x",""))</f>
        <v/>
      </c>
      <c r="S2321" s="525" t="str">
        <f>IF(ISERROR(FIND('112'!$M$9,G2321,1)),"",IF((AND(LEFT(G2321,2)=LEFT('112'!$M$9,2),B2321&lt;'112'!$N$8,$L2321='112'!$I$6)),"x",""))</f>
        <v/>
      </c>
      <c r="T2321" s="525" t="str">
        <f>IF(ISERROR(FIND('112'!$M$9,G2321,1)),"",IF((AND(RIGHT(G2321,2)=RIGHT('112'!$M$9,2),B2321&lt;'112'!$N$8,$M2321='112'!$I$6)),"x",""))</f>
        <v/>
      </c>
      <c r="U2321" s="525" t="str">
        <f>IF(AND(B2321&gt;='IN-NX'!$P$3,B2321&lt;='IN-NX'!$Q$3,'IN-NX'!$D$7=D2321,OR(LEFT(L2321,2)="15",AND(LEFT(M2321,2)&lt;&gt;"15",LEFT(M2321,2)&lt;&gt;"33"))),"x","")</f>
        <v/>
      </c>
      <c r="V2321" s="525" t="str">
        <f>IF(AND(OR(LEFT(TH!L2321,2)="15",LEFT(TH!M2321,2)="15"),'152-CT'!$J$8=TH!F2321),"x","")</f>
        <v/>
      </c>
      <c r="W2321" s="525" t="str">
        <f>IF(AND(OR(LEFT(TH!L2321,2)="15",LEFT(TH!M2321,2)="15"),TK!$E$7=TH!F2321),"x","")</f>
        <v/>
      </c>
      <c r="X2321" s="525" t="str">
        <f>IF(AND('341-CT'!$E$9=H2321,OR(LEFT(L2321,3)=$X$7,LEFT(M2321,3)=$X$7)),"x","")</f>
        <v/>
      </c>
      <c r="Y2321" s="525" t="str">
        <f>IF(OR(TH!L2321=TH!$Y$7,M2321=TH!$Y$7),"x","")</f>
        <v/>
      </c>
      <c r="Z2321" s="525" t="str">
        <f>IF(AND(B2321&lt;=NKC!$N$8,B2321&gt;=NKC!$M$8),"x","")</f>
        <v/>
      </c>
      <c r="AA2321" s="535"/>
      <c r="AB2321" s="536"/>
    </row>
    <row r="2322" spans="1:30" s="503" customFormat="1" ht="15.75" customHeight="1">
      <c r="A2322" s="517" t="str">
        <f>IF(B2322&lt;&gt;"",IF(AND(B2322&gt;=_TM1,B2322&lt;=_TM2,OR(TH!L2322="1111",TH!M2322="1111")),TH!D2322,""),"")</f>
        <v/>
      </c>
      <c r="B2322" s="531">
        <f t="shared" si="211"/>
        <v>4</v>
      </c>
      <c r="C2322" s="315">
        <f t="shared" si="212"/>
        <v>42853</v>
      </c>
      <c r="D2322" s="315" t="s">
        <v>911</v>
      </c>
      <c r="E2322" s="315">
        <v>42853</v>
      </c>
      <c r="F2322" s="247" t="s">
        <v>627</v>
      </c>
      <c r="G2322" s="314" t="s">
        <v>1116</v>
      </c>
      <c r="H2322" s="473" t="s">
        <v>284</v>
      </c>
      <c r="I2322" s="307">
        <v>4</v>
      </c>
      <c r="J2322" s="307">
        <v>33299</v>
      </c>
      <c r="K2322" s="532">
        <f t="shared" si="213"/>
        <v>133196</v>
      </c>
      <c r="L2322" s="534" t="s">
        <v>223</v>
      </c>
      <c r="M2322" s="534" t="s">
        <v>162</v>
      </c>
      <c r="N2322" s="525" t="str">
        <f>IF(AND('331-CT'!$E$7=TH!H2322,OR(L2322="331",M2322="331")),"331",IF(AND(OR(L2322="131",M2322="131"),H2322='131-CT'!$E$7),"131",""))</f>
        <v/>
      </c>
      <c r="O2322" s="525" t="str">
        <f>IF(AND($B2322&gt;='111'!$N$11,$B2322&lt;='111'!$O$11,OR($L2322=$O$7,$M2322=$O$7)),"x","")</f>
        <v/>
      </c>
      <c r="P2322" s="525" t="str">
        <f>IF(AND($L2322=$O$7,$B2322&lt;'111'!$N$11),"x","")</f>
        <v/>
      </c>
      <c r="Q2322" s="525" t="str">
        <f>IF(AND($M2322=$O$7,$B2322&lt;'111'!$N$11),"x","")</f>
        <v/>
      </c>
      <c r="R2322" s="525" t="str">
        <f>IF(ISERROR(FIND('112'!$M$9,G2322,1)),"",IF((AND(FIND('112'!$M$9,G2322,1)&gt;=1,$B2322&gt;='112'!$N$8,$B2322&lt;='112'!$O$8,OR($L2322='112'!$I$6,$M2322='112'!$I$6))),"x",""))</f>
        <v/>
      </c>
      <c r="S2322" s="525" t="str">
        <f>IF(ISERROR(FIND('112'!$M$9,G2322,1)),"",IF((AND(LEFT(G2322,2)=LEFT('112'!$M$9,2),B2322&lt;'112'!$N$8,$L2322='112'!$I$6)),"x",""))</f>
        <v/>
      </c>
      <c r="T2322" s="525" t="str">
        <f>IF(ISERROR(FIND('112'!$M$9,G2322,1)),"",IF((AND(RIGHT(G2322,2)=RIGHT('112'!$M$9,2),B2322&lt;'112'!$N$8,$M2322='112'!$I$6)),"x",""))</f>
        <v/>
      </c>
      <c r="U2322" s="525" t="str">
        <f>IF(AND(B2322&gt;='IN-NX'!$P$3,B2322&lt;='IN-NX'!$Q$3,'IN-NX'!$D$7=D2322,OR(LEFT(L2322,2)="15",AND(LEFT(M2322,2)&lt;&gt;"15",LEFT(M2322,2)&lt;&gt;"33"))),"x","")</f>
        <v/>
      </c>
      <c r="V2322" s="525" t="str">
        <f>IF(AND(OR(LEFT(TH!L2322,2)="15",LEFT(TH!M2322,2)="15"),'152-CT'!$J$8=TH!F2322),"x","")</f>
        <v/>
      </c>
      <c r="W2322" s="525" t="str">
        <f>IF(AND(OR(LEFT(TH!L2322,2)="15",LEFT(TH!M2322,2)="15"),TK!$E$7=TH!F2322),"x","")</f>
        <v/>
      </c>
      <c r="X2322" s="525" t="str">
        <f>IF(AND('341-CT'!$E$9=H2322,OR(LEFT(L2322,3)=$X$7,LEFT(M2322,3)=$X$7)),"x","")</f>
        <v/>
      </c>
      <c r="Y2322" s="525" t="str">
        <f>IF(OR(TH!L2322=TH!$Y$7,M2322=TH!$Y$7),"x","")</f>
        <v/>
      </c>
      <c r="Z2322" s="525" t="str">
        <f>IF(AND(B2322&lt;=NKC!$N$8,B2322&gt;=NKC!$M$8),"x","")</f>
        <v/>
      </c>
      <c r="AA2322" s="535"/>
      <c r="AB2322" s="536"/>
    </row>
    <row r="2323" spans="1:30" s="503" customFormat="1" ht="15.75" customHeight="1">
      <c r="A2323" s="517" t="str">
        <f>IF(B2323&lt;&gt;"",IF(AND(B2323&gt;=_TM1,B2323&lt;=_TM2,OR(TH!L2323="1111",TH!M2323="1111")),TH!D2323,""),"")</f>
        <v/>
      </c>
      <c r="B2323" s="531">
        <f t="shared" si="211"/>
        <v>4</v>
      </c>
      <c r="C2323" s="315">
        <f t="shared" si="212"/>
        <v>42853</v>
      </c>
      <c r="D2323" s="315" t="s">
        <v>911</v>
      </c>
      <c r="E2323" s="315">
        <v>42853</v>
      </c>
      <c r="F2323" s="246" t="s">
        <v>628</v>
      </c>
      <c r="G2323" s="314" t="s">
        <v>1116</v>
      </c>
      <c r="H2323" s="473" t="s">
        <v>284</v>
      </c>
      <c r="I2323" s="307">
        <v>5</v>
      </c>
      <c r="J2323" s="307">
        <v>99212</v>
      </c>
      <c r="K2323" s="532">
        <f t="shared" si="213"/>
        <v>496060</v>
      </c>
      <c r="L2323" s="534" t="s">
        <v>223</v>
      </c>
      <c r="M2323" s="534" t="s">
        <v>162</v>
      </c>
      <c r="N2323" s="525" t="str">
        <f>IF(AND('331-CT'!$E$7=TH!H2323,OR(L2323="331",M2323="331")),"331",IF(AND(OR(L2323="131",M2323="131"),H2323='131-CT'!$E$7),"131",""))</f>
        <v/>
      </c>
      <c r="O2323" s="525" t="str">
        <f>IF(AND($B2323&gt;='111'!$N$11,$B2323&lt;='111'!$O$11,OR($L2323=$O$7,$M2323=$O$7)),"x","")</f>
        <v/>
      </c>
      <c r="P2323" s="525" t="str">
        <f>IF(AND($L2323=$O$7,$B2323&lt;'111'!$N$11),"x","")</f>
        <v/>
      </c>
      <c r="Q2323" s="525" t="str">
        <f>IF(AND($M2323=$O$7,$B2323&lt;'111'!$N$11),"x","")</f>
        <v/>
      </c>
      <c r="R2323" s="525" t="str">
        <f>IF(ISERROR(FIND('112'!$M$9,G2323,1)),"",IF((AND(FIND('112'!$M$9,G2323,1)&gt;=1,$B2323&gt;='112'!$N$8,$B2323&lt;='112'!$O$8,OR($L2323='112'!$I$6,$M2323='112'!$I$6))),"x",""))</f>
        <v/>
      </c>
      <c r="S2323" s="525" t="str">
        <f>IF(ISERROR(FIND('112'!$M$9,G2323,1)),"",IF((AND(LEFT(G2323,2)=LEFT('112'!$M$9,2),B2323&lt;'112'!$N$8,$L2323='112'!$I$6)),"x",""))</f>
        <v/>
      </c>
      <c r="T2323" s="525" t="str">
        <f>IF(ISERROR(FIND('112'!$M$9,G2323,1)),"",IF((AND(RIGHT(G2323,2)=RIGHT('112'!$M$9,2),B2323&lt;'112'!$N$8,$M2323='112'!$I$6)),"x",""))</f>
        <v/>
      </c>
      <c r="U2323" s="525" t="str">
        <f>IF(AND(B2323&gt;='IN-NX'!$P$3,B2323&lt;='IN-NX'!$Q$3,'IN-NX'!$D$7=D2323,OR(LEFT(L2323,2)="15",AND(LEFT(M2323,2)&lt;&gt;"15",LEFT(M2323,2)&lt;&gt;"33"))),"x","")</f>
        <v/>
      </c>
      <c r="V2323" s="525" t="str">
        <f>IF(AND(OR(LEFT(TH!L2323,2)="15",LEFT(TH!M2323,2)="15"),'152-CT'!$J$8=TH!F2323),"x","")</f>
        <v/>
      </c>
      <c r="W2323" s="525" t="str">
        <f>IF(AND(OR(LEFT(TH!L2323,2)="15",LEFT(TH!M2323,2)="15"),TK!$E$7=TH!F2323),"x","")</f>
        <v/>
      </c>
      <c r="X2323" s="525" t="str">
        <f>IF(AND('341-CT'!$E$9=H2323,OR(LEFT(L2323,3)=$X$7,LEFT(M2323,3)=$X$7)),"x","")</f>
        <v/>
      </c>
      <c r="Y2323" s="525" t="str">
        <f>IF(OR(TH!L2323=TH!$Y$7,M2323=TH!$Y$7),"x","")</f>
        <v/>
      </c>
      <c r="Z2323" s="525" t="str">
        <f>IF(AND(B2323&lt;=NKC!$N$8,B2323&gt;=NKC!$M$8),"x","")</f>
        <v/>
      </c>
      <c r="AA2323" s="535"/>
      <c r="AB2323" s="536"/>
    </row>
    <row r="2324" spans="1:30" s="503" customFormat="1" ht="15.75" customHeight="1">
      <c r="A2324" s="517" t="str">
        <f>IF(B2324&lt;&gt;"",IF(AND(B2324&gt;=_TM1,B2324&lt;=_TM2,OR(TH!L2324="1111",TH!M2324="1111")),TH!D2324,""),"")</f>
        <v/>
      </c>
      <c r="B2324" s="531">
        <f t="shared" si="211"/>
        <v>4</v>
      </c>
      <c r="C2324" s="315">
        <f t="shared" si="212"/>
        <v>42853</v>
      </c>
      <c r="D2324" s="315" t="s">
        <v>911</v>
      </c>
      <c r="E2324" s="315">
        <v>42853</v>
      </c>
      <c r="F2324" s="249" t="s">
        <v>1015</v>
      </c>
      <c r="G2324" s="314" t="s">
        <v>1116</v>
      </c>
      <c r="H2324" s="473" t="s">
        <v>284</v>
      </c>
      <c r="I2324" s="307">
        <v>4</v>
      </c>
      <c r="J2324" s="307">
        <v>16955</v>
      </c>
      <c r="K2324" s="532">
        <f t="shared" si="213"/>
        <v>67820</v>
      </c>
      <c r="L2324" s="534" t="s">
        <v>223</v>
      </c>
      <c r="M2324" s="534" t="s">
        <v>162</v>
      </c>
      <c r="N2324" s="525" t="str">
        <f>IF(AND('331-CT'!$E$7=TH!H2324,OR(L2324="331",M2324="331")),"331",IF(AND(OR(L2324="131",M2324="131"),H2324='131-CT'!$E$7),"131",""))</f>
        <v/>
      </c>
      <c r="O2324" s="525" t="str">
        <f>IF(AND($B2324&gt;='111'!$N$11,$B2324&lt;='111'!$O$11,OR($L2324=$O$7,$M2324=$O$7)),"x","")</f>
        <v/>
      </c>
      <c r="P2324" s="525" t="str">
        <f>IF(AND($L2324=$O$7,$B2324&lt;'111'!$N$11),"x","")</f>
        <v/>
      </c>
      <c r="Q2324" s="525" t="str">
        <f>IF(AND($M2324=$O$7,$B2324&lt;'111'!$N$11),"x","")</f>
        <v/>
      </c>
      <c r="R2324" s="525" t="str">
        <f>IF(ISERROR(FIND('112'!$M$9,G2324,1)),"",IF((AND(FIND('112'!$M$9,G2324,1)&gt;=1,$B2324&gt;='112'!$N$8,$B2324&lt;='112'!$O$8,OR($L2324='112'!$I$6,$M2324='112'!$I$6))),"x",""))</f>
        <v/>
      </c>
      <c r="S2324" s="525" t="str">
        <f>IF(ISERROR(FIND('112'!$M$9,G2324,1)),"",IF((AND(LEFT(G2324,2)=LEFT('112'!$M$9,2),B2324&lt;'112'!$N$8,$L2324='112'!$I$6)),"x",""))</f>
        <v/>
      </c>
      <c r="T2324" s="525" t="str">
        <f>IF(ISERROR(FIND('112'!$M$9,G2324,1)),"",IF((AND(RIGHT(G2324,2)=RIGHT('112'!$M$9,2),B2324&lt;'112'!$N$8,$M2324='112'!$I$6)),"x",""))</f>
        <v/>
      </c>
      <c r="U2324" s="525" t="str">
        <f>IF(AND(B2324&gt;='IN-NX'!$P$3,B2324&lt;='IN-NX'!$Q$3,'IN-NX'!$D$7=D2324,OR(LEFT(L2324,2)="15",AND(LEFT(M2324,2)&lt;&gt;"15",LEFT(M2324,2)&lt;&gt;"33"))),"x","")</f>
        <v/>
      </c>
      <c r="V2324" s="525" t="str">
        <f>IF(AND(OR(LEFT(TH!L2324,2)="15",LEFT(TH!M2324,2)="15"),'152-CT'!$J$8=TH!F2324),"x","")</f>
        <v/>
      </c>
      <c r="W2324" s="525" t="str">
        <f>IF(AND(OR(LEFT(TH!L2324,2)="15",LEFT(TH!M2324,2)="15"),TK!$E$7=TH!F2324),"x","")</f>
        <v/>
      </c>
      <c r="X2324" s="525" t="str">
        <f>IF(AND('341-CT'!$E$9=H2324,OR(LEFT(L2324,3)=$X$7,LEFT(M2324,3)=$X$7)),"x","")</f>
        <v/>
      </c>
      <c r="Y2324" s="525" t="str">
        <f>IF(OR(TH!L2324=TH!$Y$7,M2324=TH!$Y$7),"x","")</f>
        <v/>
      </c>
      <c r="Z2324" s="525" t="str">
        <f>IF(AND(B2324&lt;=NKC!$N$8,B2324&gt;=NKC!$M$8),"x","")</f>
        <v/>
      </c>
      <c r="AA2324" s="535"/>
      <c r="AB2324" s="536"/>
    </row>
    <row r="2325" spans="1:30" s="503" customFormat="1" ht="15.75" customHeight="1">
      <c r="A2325" s="517" t="str">
        <f>IF(B2325&lt;&gt;"",IF(AND(B2325&gt;=_TM1,B2325&lt;=_TM2,OR(TH!L2325="1111",TH!M2325="1111")),TH!D2325,""),"")</f>
        <v/>
      </c>
      <c r="B2325" s="531">
        <f t="shared" si="211"/>
        <v>4</v>
      </c>
      <c r="C2325" s="315">
        <f t="shared" si="212"/>
        <v>42853</v>
      </c>
      <c r="D2325" s="315" t="s">
        <v>911</v>
      </c>
      <c r="E2325" s="315">
        <v>42853</v>
      </c>
      <c r="F2325" s="247" t="s">
        <v>631</v>
      </c>
      <c r="G2325" s="314" t="s">
        <v>1116</v>
      </c>
      <c r="H2325" s="473" t="s">
        <v>284</v>
      </c>
      <c r="I2325" s="307">
        <v>8</v>
      </c>
      <c r="J2325" s="307">
        <v>28583</v>
      </c>
      <c r="K2325" s="532">
        <f t="shared" si="213"/>
        <v>228664</v>
      </c>
      <c r="L2325" s="534" t="s">
        <v>223</v>
      </c>
      <c r="M2325" s="534" t="s">
        <v>162</v>
      </c>
      <c r="N2325" s="525" t="str">
        <f>IF(AND('331-CT'!$E$7=TH!H2325,OR(L2325="331",M2325="331")),"331",IF(AND(OR(L2325="131",M2325="131"),H2325='131-CT'!$E$7),"131",""))</f>
        <v/>
      </c>
      <c r="O2325" s="525" t="str">
        <f>IF(AND($B2325&gt;='111'!$N$11,$B2325&lt;='111'!$O$11,OR($L2325=$O$7,$M2325=$O$7)),"x","")</f>
        <v/>
      </c>
      <c r="P2325" s="525" t="str">
        <f>IF(AND($L2325=$O$7,$B2325&lt;'111'!$N$11),"x","")</f>
        <v/>
      </c>
      <c r="Q2325" s="525" t="str">
        <f>IF(AND($M2325=$O$7,$B2325&lt;'111'!$N$11),"x","")</f>
        <v/>
      </c>
      <c r="R2325" s="525" t="str">
        <f>IF(ISERROR(FIND('112'!$M$9,G2325,1)),"",IF((AND(FIND('112'!$M$9,G2325,1)&gt;=1,$B2325&gt;='112'!$N$8,$B2325&lt;='112'!$O$8,OR($L2325='112'!$I$6,$M2325='112'!$I$6))),"x",""))</f>
        <v/>
      </c>
      <c r="S2325" s="525" t="str">
        <f>IF(ISERROR(FIND('112'!$M$9,G2325,1)),"",IF((AND(LEFT(G2325,2)=LEFT('112'!$M$9,2),B2325&lt;'112'!$N$8,$L2325='112'!$I$6)),"x",""))</f>
        <v/>
      </c>
      <c r="T2325" s="525" t="str">
        <f>IF(ISERROR(FIND('112'!$M$9,G2325,1)),"",IF((AND(RIGHT(G2325,2)=RIGHT('112'!$M$9,2),B2325&lt;'112'!$N$8,$M2325='112'!$I$6)),"x",""))</f>
        <v/>
      </c>
      <c r="U2325" s="525" t="str">
        <f>IF(AND(B2325&gt;='IN-NX'!$P$3,B2325&lt;='IN-NX'!$Q$3,'IN-NX'!$D$7=D2325,OR(LEFT(L2325,2)="15",AND(LEFT(M2325,2)&lt;&gt;"15",LEFT(M2325,2)&lt;&gt;"33"))),"x","")</f>
        <v/>
      </c>
      <c r="V2325" s="525" t="str">
        <f>IF(AND(OR(LEFT(TH!L2325,2)="15",LEFT(TH!M2325,2)="15"),'152-CT'!$J$8=TH!F2325),"x","")</f>
        <v/>
      </c>
      <c r="W2325" s="525" t="str">
        <f>IF(AND(OR(LEFT(TH!L2325,2)="15",LEFT(TH!M2325,2)="15"),TK!$E$7=TH!F2325),"x","")</f>
        <v/>
      </c>
      <c r="X2325" s="525" t="str">
        <f>IF(AND('341-CT'!$E$9=H2325,OR(LEFT(L2325,3)=$X$7,LEFT(M2325,3)=$X$7)),"x","")</f>
        <v/>
      </c>
      <c r="Y2325" s="525" t="str">
        <f>IF(OR(TH!L2325=TH!$Y$7,M2325=TH!$Y$7),"x","")</f>
        <v/>
      </c>
      <c r="Z2325" s="525" t="str">
        <f>IF(AND(B2325&lt;=NKC!$N$8,B2325&gt;=NKC!$M$8),"x","")</f>
        <v/>
      </c>
      <c r="AA2325" s="535"/>
      <c r="AB2325" s="536"/>
    </row>
    <row r="2326" spans="1:30" s="503" customFormat="1" ht="15.75" customHeight="1">
      <c r="A2326" s="517" t="str">
        <f>IF(B2326&lt;&gt;"",IF(AND(B2326&gt;=_TM1,B2326&lt;=_TM2,OR(TH!L2326="1111",TH!M2326="1111")),TH!D2326,""),"")</f>
        <v/>
      </c>
      <c r="B2326" s="531">
        <f t="shared" si="211"/>
        <v>4</v>
      </c>
      <c r="C2326" s="315">
        <f t="shared" si="212"/>
        <v>42853</v>
      </c>
      <c r="D2326" s="315" t="s">
        <v>911</v>
      </c>
      <c r="E2326" s="315">
        <v>42853</v>
      </c>
      <c r="F2326" s="247" t="s">
        <v>1016</v>
      </c>
      <c r="G2326" s="314" t="s">
        <v>1116</v>
      </c>
      <c r="H2326" s="473" t="s">
        <v>284</v>
      </c>
      <c r="I2326" s="307">
        <v>8</v>
      </c>
      <c r="J2326" s="307">
        <v>34961</v>
      </c>
      <c r="K2326" s="532">
        <f t="shared" si="213"/>
        <v>279688</v>
      </c>
      <c r="L2326" s="534" t="s">
        <v>223</v>
      </c>
      <c r="M2326" s="534" t="s">
        <v>162</v>
      </c>
      <c r="N2326" s="525" t="str">
        <f>IF(AND('331-CT'!$E$7=TH!H2326,OR(L2326="331",M2326="331")),"331",IF(AND(OR(L2326="131",M2326="131"),H2326='131-CT'!$E$7),"131",""))</f>
        <v/>
      </c>
      <c r="O2326" s="525" t="str">
        <f>IF(AND($B2326&gt;='111'!$N$11,$B2326&lt;='111'!$O$11,OR($L2326=$O$7,$M2326=$O$7)),"x","")</f>
        <v/>
      </c>
      <c r="P2326" s="525" t="str">
        <f>IF(AND($L2326=$O$7,$B2326&lt;'111'!$N$11),"x","")</f>
        <v/>
      </c>
      <c r="Q2326" s="525" t="str">
        <f>IF(AND($M2326=$O$7,$B2326&lt;'111'!$N$11),"x","")</f>
        <v/>
      </c>
      <c r="R2326" s="525" t="str">
        <f>IF(ISERROR(FIND('112'!$M$9,G2326,1)),"",IF((AND(FIND('112'!$M$9,G2326,1)&gt;=1,$B2326&gt;='112'!$N$8,$B2326&lt;='112'!$O$8,OR($L2326='112'!$I$6,$M2326='112'!$I$6))),"x",""))</f>
        <v/>
      </c>
      <c r="S2326" s="525" t="str">
        <f>IF(ISERROR(FIND('112'!$M$9,G2326,1)),"",IF((AND(LEFT(G2326,2)=LEFT('112'!$M$9,2),B2326&lt;'112'!$N$8,$L2326='112'!$I$6)),"x",""))</f>
        <v/>
      </c>
      <c r="T2326" s="525" t="str">
        <f>IF(ISERROR(FIND('112'!$M$9,G2326,1)),"",IF((AND(RIGHT(G2326,2)=RIGHT('112'!$M$9,2),B2326&lt;'112'!$N$8,$M2326='112'!$I$6)),"x",""))</f>
        <v/>
      </c>
      <c r="U2326" s="525" t="str">
        <f>IF(AND(B2326&gt;='IN-NX'!$P$3,B2326&lt;='IN-NX'!$Q$3,'IN-NX'!$D$7=D2326,OR(LEFT(L2326,2)="15",AND(LEFT(M2326,2)&lt;&gt;"15",LEFT(M2326,2)&lt;&gt;"33"))),"x","")</f>
        <v/>
      </c>
      <c r="V2326" s="525" t="str">
        <f>IF(AND(OR(LEFT(TH!L2326,2)="15",LEFT(TH!M2326,2)="15"),'152-CT'!$J$8=TH!F2326),"x","")</f>
        <v/>
      </c>
      <c r="W2326" s="525" t="str">
        <f>IF(AND(OR(LEFT(TH!L2326,2)="15",LEFT(TH!M2326,2)="15"),TK!$E$7=TH!F2326),"x","")</f>
        <v/>
      </c>
      <c r="X2326" s="525" t="str">
        <f>IF(AND('341-CT'!$E$9=H2326,OR(LEFT(L2326,3)=$X$7,LEFT(M2326,3)=$X$7)),"x","")</f>
        <v/>
      </c>
      <c r="Y2326" s="525" t="str">
        <f>IF(OR(TH!L2326=TH!$Y$7,M2326=TH!$Y$7),"x","")</f>
        <v/>
      </c>
      <c r="Z2326" s="525" t="str">
        <f>IF(AND(B2326&lt;=NKC!$N$8,B2326&gt;=NKC!$M$8),"x","")</f>
        <v/>
      </c>
      <c r="AA2326" s="535"/>
      <c r="AB2326" s="536"/>
    </row>
    <row r="2327" spans="1:30" s="503" customFormat="1" ht="15.75" customHeight="1">
      <c r="A2327" s="517" t="str">
        <f>IF(B2327&lt;&gt;"",IF(AND(B2327&gt;=_TM1,B2327&lt;=_TM2,OR(TH!L2327="1111",TH!M2327="1111")),TH!D2327,""),"")</f>
        <v/>
      </c>
      <c r="B2327" s="531">
        <f t="shared" si="211"/>
        <v>4</v>
      </c>
      <c r="C2327" s="315">
        <f t="shared" si="212"/>
        <v>42853</v>
      </c>
      <c r="D2327" s="315" t="s">
        <v>911</v>
      </c>
      <c r="E2327" s="315">
        <v>42853</v>
      </c>
      <c r="F2327" s="247" t="s">
        <v>999</v>
      </c>
      <c r="G2327" s="314" t="s">
        <v>1116</v>
      </c>
      <c r="H2327" s="473" t="s">
        <v>284</v>
      </c>
      <c r="I2327" s="307">
        <v>4</v>
      </c>
      <c r="J2327" s="307">
        <v>51206</v>
      </c>
      <c r="K2327" s="532">
        <f t="shared" si="213"/>
        <v>204824</v>
      </c>
      <c r="L2327" s="534" t="s">
        <v>223</v>
      </c>
      <c r="M2327" s="534" t="s">
        <v>162</v>
      </c>
      <c r="N2327" s="525" t="str">
        <f>IF(AND('331-CT'!$E$7=TH!H2327,OR(L2327="331",M2327="331")),"331",IF(AND(OR(L2327="131",M2327="131"),H2327='131-CT'!$E$7),"131",""))</f>
        <v/>
      </c>
      <c r="O2327" s="525" t="str">
        <f>IF(AND($B2327&gt;='111'!$N$11,$B2327&lt;='111'!$O$11,OR($L2327=$O$7,$M2327=$O$7)),"x","")</f>
        <v/>
      </c>
      <c r="P2327" s="525" t="str">
        <f>IF(AND($L2327=$O$7,$B2327&lt;'111'!$N$11),"x","")</f>
        <v/>
      </c>
      <c r="Q2327" s="525" t="str">
        <f>IF(AND($M2327=$O$7,$B2327&lt;'111'!$N$11),"x","")</f>
        <v/>
      </c>
      <c r="R2327" s="525" t="str">
        <f>IF(ISERROR(FIND('112'!$M$9,G2327,1)),"",IF((AND(FIND('112'!$M$9,G2327,1)&gt;=1,$B2327&gt;='112'!$N$8,$B2327&lt;='112'!$O$8,OR($L2327='112'!$I$6,$M2327='112'!$I$6))),"x",""))</f>
        <v/>
      </c>
      <c r="S2327" s="525" t="str">
        <f>IF(ISERROR(FIND('112'!$M$9,G2327,1)),"",IF((AND(LEFT(G2327,2)=LEFT('112'!$M$9,2),B2327&lt;'112'!$N$8,$L2327='112'!$I$6)),"x",""))</f>
        <v/>
      </c>
      <c r="T2327" s="525" t="str">
        <f>IF(ISERROR(FIND('112'!$M$9,G2327,1)),"",IF((AND(RIGHT(G2327,2)=RIGHT('112'!$M$9,2),B2327&lt;'112'!$N$8,$M2327='112'!$I$6)),"x",""))</f>
        <v/>
      </c>
      <c r="U2327" s="525" t="str">
        <f>IF(AND(B2327&gt;='IN-NX'!$P$3,B2327&lt;='IN-NX'!$Q$3,'IN-NX'!$D$7=D2327,OR(LEFT(L2327,2)="15",AND(LEFT(M2327,2)&lt;&gt;"15",LEFT(M2327,2)&lt;&gt;"33"))),"x","")</f>
        <v/>
      </c>
      <c r="V2327" s="525" t="str">
        <f>IF(AND(OR(LEFT(TH!L2327,2)="15",LEFT(TH!M2327,2)="15"),'152-CT'!$J$8=TH!F2327),"x","")</f>
        <v/>
      </c>
      <c r="W2327" s="525" t="str">
        <f>IF(AND(OR(LEFT(TH!L2327,2)="15",LEFT(TH!M2327,2)="15"),TK!$E$7=TH!F2327),"x","")</f>
        <v/>
      </c>
      <c r="X2327" s="525" t="str">
        <f>IF(AND('341-CT'!$E$9=H2327,OR(LEFT(L2327,3)=$X$7,LEFT(M2327,3)=$X$7)),"x","")</f>
        <v/>
      </c>
      <c r="Y2327" s="525" t="str">
        <f>IF(OR(TH!L2327=TH!$Y$7,M2327=TH!$Y$7),"x","")</f>
        <v/>
      </c>
      <c r="Z2327" s="525" t="str">
        <f>IF(AND(B2327&lt;=NKC!$N$8,B2327&gt;=NKC!$M$8),"x","")</f>
        <v/>
      </c>
      <c r="AA2327" s="535"/>
      <c r="AB2327" s="536"/>
    </row>
    <row r="2328" spans="1:30" s="503" customFormat="1" ht="15.75" customHeight="1">
      <c r="A2328" s="517" t="str">
        <f>IF(B2328&lt;&gt;"",IF(AND(B2328&gt;=_TM1,B2328&lt;=_TM2,OR(TH!L2328="1111",TH!M2328="1111")),TH!D2328,""),"")</f>
        <v/>
      </c>
      <c r="B2328" s="531">
        <f t="shared" si="211"/>
        <v>4</v>
      </c>
      <c r="C2328" s="315">
        <f t="shared" si="212"/>
        <v>42853</v>
      </c>
      <c r="D2328" s="315" t="s">
        <v>911</v>
      </c>
      <c r="E2328" s="315">
        <v>42853</v>
      </c>
      <c r="F2328" s="247" t="s">
        <v>627</v>
      </c>
      <c r="G2328" s="314" t="s">
        <v>1116</v>
      </c>
      <c r="H2328" s="473" t="s">
        <v>284</v>
      </c>
      <c r="I2328" s="307">
        <v>100</v>
      </c>
      <c r="J2328" s="307">
        <v>49818</v>
      </c>
      <c r="K2328" s="532">
        <f t="shared" si="213"/>
        <v>4981800</v>
      </c>
      <c r="L2328" s="534" t="s">
        <v>223</v>
      </c>
      <c r="M2328" s="534" t="s">
        <v>162</v>
      </c>
      <c r="N2328" s="525" t="str">
        <f>IF(AND('331-CT'!$E$7=TH!H2328,OR(L2328="331",M2328="331")),"331",IF(AND(OR(L2328="131",M2328="131"),H2328='131-CT'!$E$7),"131",""))</f>
        <v/>
      </c>
      <c r="O2328" s="525" t="str">
        <f>IF(AND($B2328&gt;='111'!$N$11,$B2328&lt;='111'!$O$11,OR($L2328=$O$7,$M2328=$O$7)),"x","")</f>
        <v/>
      </c>
      <c r="P2328" s="525" t="str">
        <f>IF(AND($L2328=$O$7,$B2328&lt;'111'!$N$11),"x","")</f>
        <v/>
      </c>
      <c r="Q2328" s="525" t="str">
        <f>IF(AND($M2328=$O$7,$B2328&lt;'111'!$N$11),"x","")</f>
        <v/>
      </c>
      <c r="R2328" s="525" t="str">
        <f>IF(ISERROR(FIND('112'!$M$9,G2328,1)),"",IF((AND(FIND('112'!$M$9,G2328,1)&gt;=1,$B2328&gt;='112'!$N$8,$B2328&lt;='112'!$O$8,OR($L2328='112'!$I$6,$M2328='112'!$I$6))),"x",""))</f>
        <v/>
      </c>
      <c r="S2328" s="525" t="str">
        <f>IF(ISERROR(FIND('112'!$M$9,G2328,1)),"",IF((AND(LEFT(G2328,2)=LEFT('112'!$M$9,2),B2328&lt;'112'!$N$8,$L2328='112'!$I$6)),"x",""))</f>
        <v/>
      </c>
      <c r="T2328" s="525" t="str">
        <f>IF(ISERROR(FIND('112'!$M$9,G2328,1)),"",IF((AND(RIGHT(G2328,2)=RIGHT('112'!$M$9,2),B2328&lt;'112'!$N$8,$M2328='112'!$I$6)),"x",""))</f>
        <v/>
      </c>
      <c r="U2328" s="525" t="str">
        <f>IF(AND(B2328&gt;='IN-NX'!$P$3,B2328&lt;='IN-NX'!$Q$3,'IN-NX'!$D$7=D2328,OR(LEFT(L2328,2)="15",AND(LEFT(M2328,2)&lt;&gt;"15",LEFT(M2328,2)&lt;&gt;"33"))),"x","")</f>
        <v/>
      </c>
      <c r="V2328" s="525" t="str">
        <f>IF(AND(OR(LEFT(TH!L2328,2)="15",LEFT(TH!M2328,2)="15"),'152-CT'!$J$8=TH!F2328),"x","")</f>
        <v/>
      </c>
      <c r="W2328" s="525" t="str">
        <f>IF(AND(OR(LEFT(TH!L2328,2)="15",LEFT(TH!M2328,2)="15"),TK!$E$7=TH!F2328),"x","")</f>
        <v/>
      </c>
      <c r="X2328" s="525" t="str">
        <f>IF(AND('341-CT'!$E$9=H2328,OR(LEFT(L2328,3)=$X$7,LEFT(M2328,3)=$X$7)),"x","")</f>
        <v/>
      </c>
      <c r="Y2328" s="525" t="str">
        <f>IF(OR(TH!L2328=TH!$Y$7,M2328=TH!$Y$7),"x","")</f>
        <v/>
      </c>
      <c r="Z2328" s="525" t="str">
        <f>IF(AND(B2328&lt;=NKC!$N$8,B2328&gt;=NKC!$M$8),"x","")</f>
        <v/>
      </c>
      <c r="AA2328" s="535"/>
      <c r="AB2328" s="536"/>
    </row>
    <row r="2329" spans="1:30" s="503" customFormat="1" ht="15.75" customHeight="1">
      <c r="A2329" s="517" t="str">
        <f>IF(B2329&lt;&gt;"",IF(AND(B2329&gt;=_TM1,B2329&lt;=_TM2,OR(TH!L2329="1111",TH!M2329="1111")),TH!D2329,""),"")</f>
        <v/>
      </c>
      <c r="B2329" s="531">
        <f t="shared" si="211"/>
        <v>4</v>
      </c>
      <c r="C2329" s="315">
        <f t="shared" si="212"/>
        <v>42853</v>
      </c>
      <c r="D2329" s="315" t="s">
        <v>911</v>
      </c>
      <c r="E2329" s="315">
        <v>42853</v>
      </c>
      <c r="F2329" s="247" t="s">
        <v>755</v>
      </c>
      <c r="G2329" s="314" t="s">
        <v>1116</v>
      </c>
      <c r="H2329" s="473" t="s">
        <v>284</v>
      </c>
      <c r="I2329" s="307">
        <v>26</v>
      </c>
      <c r="J2329" s="307">
        <v>70662</v>
      </c>
      <c r="K2329" s="532">
        <f t="shared" si="213"/>
        <v>1837212</v>
      </c>
      <c r="L2329" s="534" t="s">
        <v>223</v>
      </c>
      <c r="M2329" s="534" t="s">
        <v>162</v>
      </c>
      <c r="N2329" s="525" t="str">
        <f>IF(AND('331-CT'!$E$7=TH!H2329,OR(L2329="331",M2329="331")),"331",IF(AND(OR(L2329="131",M2329="131"),H2329='131-CT'!$E$7),"131",""))</f>
        <v/>
      </c>
      <c r="O2329" s="525" t="str">
        <f>IF(AND($B2329&gt;='111'!$N$11,$B2329&lt;='111'!$O$11,OR($L2329=$O$7,$M2329=$O$7)),"x","")</f>
        <v/>
      </c>
      <c r="P2329" s="525" t="str">
        <f>IF(AND($L2329=$O$7,$B2329&lt;'111'!$N$11),"x","")</f>
        <v/>
      </c>
      <c r="Q2329" s="525" t="str">
        <f>IF(AND($M2329=$O$7,$B2329&lt;'111'!$N$11),"x","")</f>
        <v/>
      </c>
      <c r="R2329" s="525" t="str">
        <f>IF(ISERROR(FIND('112'!$M$9,G2329,1)),"",IF((AND(FIND('112'!$M$9,G2329,1)&gt;=1,$B2329&gt;='112'!$N$8,$B2329&lt;='112'!$O$8,OR($L2329='112'!$I$6,$M2329='112'!$I$6))),"x",""))</f>
        <v/>
      </c>
      <c r="S2329" s="525" t="str">
        <f>IF(ISERROR(FIND('112'!$M$9,G2329,1)),"",IF((AND(LEFT(G2329,2)=LEFT('112'!$M$9,2),B2329&lt;'112'!$N$8,$L2329='112'!$I$6)),"x",""))</f>
        <v/>
      </c>
      <c r="T2329" s="525" t="str">
        <f>IF(ISERROR(FIND('112'!$M$9,G2329,1)),"",IF((AND(RIGHT(G2329,2)=RIGHT('112'!$M$9,2),B2329&lt;'112'!$N$8,$M2329='112'!$I$6)),"x",""))</f>
        <v/>
      </c>
      <c r="U2329" s="525" t="str">
        <f>IF(AND(B2329&gt;='IN-NX'!$P$3,B2329&lt;='IN-NX'!$Q$3,'IN-NX'!$D$7=D2329,OR(LEFT(L2329,2)="15",AND(LEFT(M2329,2)&lt;&gt;"15",LEFT(M2329,2)&lt;&gt;"33"))),"x","")</f>
        <v/>
      </c>
      <c r="V2329" s="525" t="str">
        <f>IF(AND(OR(LEFT(TH!L2329,2)="15",LEFT(TH!M2329,2)="15"),'152-CT'!$J$8=TH!F2329),"x","")</f>
        <v/>
      </c>
      <c r="W2329" s="525" t="str">
        <f>IF(AND(OR(LEFT(TH!L2329,2)="15",LEFT(TH!M2329,2)="15"),TK!$E$7=TH!F2329),"x","")</f>
        <v/>
      </c>
      <c r="X2329" s="525" t="str">
        <f>IF(AND('341-CT'!$E$9=H2329,OR(LEFT(L2329,3)=$X$7,LEFT(M2329,3)=$X$7)),"x","")</f>
        <v/>
      </c>
      <c r="Y2329" s="525" t="str">
        <f>IF(OR(TH!L2329=TH!$Y$7,M2329=TH!$Y$7),"x","")</f>
        <v/>
      </c>
      <c r="Z2329" s="525" t="str">
        <f>IF(AND(B2329&lt;=NKC!$N$8,B2329&gt;=NKC!$M$8),"x","")</f>
        <v/>
      </c>
      <c r="AA2329" s="535"/>
      <c r="AB2329" s="536"/>
    </row>
    <row r="2330" spans="1:30" s="503" customFormat="1" ht="15.75" customHeight="1">
      <c r="A2330" s="517" t="str">
        <f>IF(B2330&lt;&gt;"",IF(AND(B2330&gt;=_TM1,B2330&lt;=_TM2,OR(TH!L2330="1111",TH!M2330="1111")),TH!D2330,""),"")</f>
        <v/>
      </c>
      <c r="B2330" s="531">
        <f t="shared" si="211"/>
        <v>4</v>
      </c>
      <c r="C2330" s="315">
        <f t="shared" si="212"/>
        <v>42853</v>
      </c>
      <c r="D2330" s="315" t="s">
        <v>911</v>
      </c>
      <c r="E2330" s="315">
        <v>42853</v>
      </c>
      <c r="F2330" s="247" t="s">
        <v>756</v>
      </c>
      <c r="G2330" s="314" t="s">
        <v>1116</v>
      </c>
      <c r="H2330" s="473" t="s">
        <v>284</v>
      </c>
      <c r="I2330" s="307">
        <v>50</v>
      </c>
      <c r="J2330" s="307">
        <v>38521</v>
      </c>
      <c r="K2330" s="532">
        <f t="shared" si="213"/>
        <v>1926050</v>
      </c>
      <c r="L2330" s="534" t="s">
        <v>223</v>
      </c>
      <c r="M2330" s="534" t="s">
        <v>162</v>
      </c>
      <c r="N2330" s="525" t="str">
        <f>IF(AND('331-CT'!$E$7=TH!H2330,OR(L2330="331",M2330="331")),"331",IF(AND(OR(L2330="131",M2330="131"),H2330='131-CT'!$E$7),"131",""))</f>
        <v/>
      </c>
      <c r="O2330" s="525" t="str">
        <f>IF(AND($B2330&gt;='111'!$N$11,$B2330&lt;='111'!$O$11,OR($L2330=$O$7,$M2330=$O$7)),"x","")</f>
        <v/>
      </c>
      <c r="P2330" s="525" t="str">
        <f>IF(AND($L2330=$O$7,$B2330&lt;'111'!$N$11),"x","")</f>
        <v/>
      </c>
      <c r="Q2330" s="525" t="str">
        <f>IF(AND($M2330=$O$7,$B2330&lt;'111'!$N$11),"x","")</f>
        <v/>
      </c>
      <c r="R2330" s="525" t="str">
        <f>IF(ISERROR(FIND('112'!$M$9,G2330,1)),"",IF((AND(FIND('112'!$M$9,G2330,1)&gt;=1,$B2330&gt;='112'!$N$8,$B2330&lt;='112'!$O$8,OR($L2330='112'!$I$6,$M2330='112'!$I$6))),"x",""))</f>
        <v/>
      </c>
      <c r="S2330" s="525" t="str">
        <f>IF(ISERROR(FIND('112'!$M$9,G2330,1)),"",IF((AND(LEFT(G2330,2)=LEFT('112'!$M$9,2),B2330&lt;'112'!$N$8,$L2330='112'!$I$6)),"x",""))</f>
        <v/>
      </c>
      <c r="T2330" s="525" t="str">
        <f>IF(ISERROR(FIND('112'!$M$9,G2330,1)),"",IF((AND(RIGHT(G2330,2)=RIGHT('112'!$M$9,2),B2330&lt;'112'!$N$8,$M2330='112'!$I$6)),"x",""))</f>
        <v/>
      </c>
      <c r="U2330" s="525" t="str">
        <f>IF(AND(B2330&gt;='IN-NX'!$P$3,B2330&lt;='IN-NX'!$Q$3,'IN-NX'!$D$7=D2330,OR(LEFT(L2330,2)="15",AND(LEFT(M2330,2)&lt;&gt;"15",LEFT(M2330,2)&lt;&gt;"33"))),"x","")</f>
        <v/>
      </c>
      <c r="V2330" s="525" t="str">
        <f>IF(AND(OR(LEFT(TH!L2330,2)="15",LEFT(TH!M2330,2)="15"),'152-CT'!$J$8=TH!F2330),"x","")</f>
        <v/>
      </c>
      <c r="W2330" s="525" t="str">
        <f>IF(AND(OR(LEFT(TH!L2330,2)="15",LEFT(TH!M2330,2)="15"),TK!$E$7=TH!F2330),"x","")</f>
        <v/>
      </c>
      <c r="X2330" s="525" t="str">
        <f>IF(AND('341-CT'!$E$9=H2330,OR(LEFT(L2330,3)=$X$7,LEFT(M2330,3)=$X$7)),"x","")</f>
        <v/>
      </c>
      <c r="Y2330" s="525" t="str">
        <f>IF(OR(TH!L2330=TH!$Y$7,M2330=TH!$Y$7),"x","")</f>
        <v/>
      </c>
      <c r="Z2330" s="525" t="str">
        <f>IF(AND(B2330&lt;=NKC!$N$8,B2330&gt;=NKC!$M$8),"x","")</f>
        <v/>
      </c>
      <c r="AA2330" s="535"/>
      <c r="AB2330" s="536"/>
    </row>
    <row r="2331" spans="1:30" s="503" customFormat="1" ht="15.75" customHeight="1">
      <c r="A2331" s="517" t="str">
        <f>IF(B2331&lt;&gt;"",IF(AND(B2331&gt;=_TM1,B2331&lt;=_TM2,OR(TH!L2331="1111",TH!M2331="1111")),TH!D2331,""),"")</f>
        <v/>
      </c>
      <c r="B2331" s="531">
        <f t="shared" si="211"/>
        <v>4</v>
      </c>
      <c r="C2331" s="315">
        <f t="shared" si="212"/>
        <v>42853</v>
      </c>
      <c r="D2331" s="315" t="s">
        <v>911</v>
      </c>
      <c r="E2331" s="315">
        <v>42853</v>
      </c>
      <c r="F2331" s="247" t="s">
        <v>1017</v>
      </c>
      <c r="G2331" s="314" t="s">
        <v>1116</v>
      </c>
      <c r="H2331" s="473" t="s">
        <v>284</v>
      </c>
      <c r="I2331" s="307">
        <v>12</v>
      </c>
      <c r="J2331" s="307">
        <v>123816</v>
      </c>
      <c r="K2331" s="532">
        <f t="shared" si="213"/>
        <v>1485792</v>
      </c>
      <c r="L2331" s="534" t="s">
        <v>223</v>
      </c>
      <c r="M2331" s="534" t="s">
        <v>162</v>
      </c>
      <c r="N2331" s="525" t="str">
        <f>IF(AND('331-CT'!$E$7=TH!H2331,OR(L2331="331",M2331="331")),"331",IF(AND(OR(L2331="131",M2331="131"),H2331='131-CT'!$E$7),"131",""))</f>
        <v/>
      </c>
      <c r="O2331" s="525" t="str">
        <f>IF(AND($B2331&gt;='111'!$N$11,$B2331&lt;='111'!$O$11,OR($L2331=$O$7,$M2331=$O$7)),"x","")</f>
        <v/>
      </c>
      <c r="P2331" s="525" t="str">
        <f>IF(AND($L2331=$O$7,$B2331&lt;'111'!$N$11),"x","")</f>
        <v/>
      </c>
      <c r="Q2331" s="525" t="str">
        <f>IF(AND($M2331=$O$7,$B2331&lt;'111'!$N$11),"x","")</f>
        <v/>
      </c>
      <c r="R2331" s="525" t="str">
        <f>IF(ISERROR(FIND('112'!$M$9,G2331,1)),"",IF((AND(FIND('112'!$M$9,G2331,1)&gt;=1,$B2331&gt;='112'!$N$8,$B2331&lt;='112'!$O$8,OR($L2331='112'!$I$6,$M2331='112'!$I$6))),"x",""))</f>
        <v/>
      </c>
      <c r="S2331" s="525" t="str">
        <f>IF(ISERROR(FIND('112'!$M$9,G2331,1)),"",IF((AND(LEFT(G2331,2)=LEFT('112'!$M$9,2),B2331&lt;'112'!$N$8,$L2331='112'!$I$6)),"x",""))</f>
        <v/>
      </c>
      <c r="T2331" s="525" t="str">
        <f>IF(ISERROR(FIND('112'!$M$9,G2331,1)),"",IF((AND(RIGHT(G2331,2)=RIGHT('112'!$M$9,2),B2331&lt;'112'!$N$8,$M2331='112'!$I$6)),"x",""))</f>
        <v/>
      </c>
      <c r="U2331" s="525" t="str">
        <f>IF(AND(B2331&gt;='IN-NX'!$P$3,B2331&lt;='IN-NX'!$Q$3,'IN-NX'!$D$7=D2331,OR(LEFT(L2331,2)="15",AND(LEFT(M2331,2)&lt;&gt;"15",LEFT(M2331,2)&lt;&gt;"33"))),"x","")</f>
        <v/>
      </c>
      <c r="V2331" s="525" t="str">
        <f>IF(AND(OR(LEFT(TH!L2331,2)="15",LEFT(TH!M2331,2)="15"),'152-CT'!$J$8=TH!F2331),"x","")</f>
        <v/>
      </c>
      <c r="W2331" s="525" t="str">
        <f>IF(AND(OR(LEFT(TH!L2331,2)="15",LEFT(TH!M2331,2)="15"),TK!$E$7=TH!F2331),"x","")</f>
        <v/>
      </c>
      <c r="X2331" s="525" t="str">
        <f>IF(AND('341-CT'!$E$9=H2331,OR(LEFT(L2331,3)=$X$7,LEFT(M2331,3)=$X$7)),"x","")</f>
        <v/>
      </c>
      <c r="Y2331" s="525" t="str">
        <f>IF(OR(TH!L2331=TH!$Y$7,M2331=TH!$Y$7),"x","")</f>
        <v/>
      </c>
      <c r="Z2331" s="525" t="str">
        <f>IF(AND(B2331&lt;=NKC!$N$8,B2331&gt;=NKC!$M$8),"x","")</f>
        <v/>
      </c>
      <c r="AA2331" s="535"/>
      <c r="AB2331" s="536"/>
    </row>
    <row r="2332" spans="1:30" s="503" customFormat="1" ht="15.75" customHeight="1">
      <c r="A2332" s="517" t="str">
        <f>IF(B2332&lt;&gt;"",IF(AND(B2332&gt;=_TM1,B2332&lt;=_TM2,OR(TH!L2332="1111",TH!M2332="1111")),TH!D2332,""),"")</f>
        <v/>
      </c>
      <c r="B2332" s="531">
        <f t="shared" si="211"/>
        <v>4</v>
      </c>
      <c r="C2332" s="315">
        <f t="shared" si="212"/>
        <v>42853</v>
      </c>
      <c r="D2332" s="315" t="s">
        <v>911</v>
      </c>
      <c r="E2332" s="315">
        <v>42853</v>
      </c>
      <c r="F2332" s="247" t="s">
        <v>1018</v>
      </c>
      <c r="G2332" s="314" t="s">
        <v>1116</v>
      </c>
      <c r="H2332" s="473" t="s">
        <v>284</v>
      </c>
      <c r="I2332" s="307">
        <v>24</v>
      </c>
      <c r="J2332" s="307">
        <v>54726</v>
      </c>
      <c r="K2332" s="532">
        <f t="shared" si="213"/>
        <v>1313424</v>
      </c>
      <c r="L2332" s="534" t="s">
        <v>223</v>
      </c>
      <c r="M2332" s="534" t="s">
        <v>162</v>
      </c>
      <c r="N2332" s="525" t="str">
        <f>IF(AND('331-CT'!$E$7=TH!H2332,OR(L2332="331",M2332="331")),"331",IF(AND(OR(L2332="131",M2332="131"),H2332='131-CT'!$E$7),"131",""))</f>
        <v/>
      </c>
      <c r="O2332" s="525" t="str">
        <f>IF(AND($B2332&gt;='111'!$N$11,$B2332&lt;='111'!$O$11,OR($L2332=$O$7,$M2332=$O$7)),"x","")</f>
        <v/>
      </c>
      <c r="P2332" s="525" t="str">
        <f>IF(AND($L2332=$O$7,$B2332&lt;'111'!$N$11),"x","")</f>
        <v/>
      </c>
      <c r="Q2332" s="525" t="str">
        <f>IF(AND($M2332=$O$7,$B2332&lt;'111'!$N$11),"x","")</f>
        <v/>
      </c>
      <c r="R2332" s="525" t="str">
        <f>IF(ISERROR(FIND('112'!$M$9,G2332,1)),"",IF((AND(FIND('112'!$M$9,G2332,1)&gt;=1,$B2332&gt;='112'!$N$8,$B2332&lt;='112'!$O$8,OR($L2332='112'!$I$6,$M2332='112'!$I$6))),"x",""))</f>
        <v/>
      </c>
      <c r="S2332" s="525" t="str">
        <f>IF(ISERROR(FIND('112'!$M$9,G2332,1)),"",IF((AND(LEFT(G2332,2)=LEFT('112'!$M$9,2),B2332&lt;'112'!$N$8,$L2332='112'!$I$6)),"x",""))</f>
        <v/>
      </c>
      <c r="T2332" s="525" t="str">
        <f>IF(ISERROR(FIND('112'!$M$9,G2332,1)),"",IF((AND(RIGHT(G2332,2)=RIGHT('112'!$M$9,2),B2332&lt;'112'!$N$8,$M2332='112'!$I$6)),"x",""))</f>
        <v/>
      </c>
      <c r="U2332" s="525" t="str">
        <f>IF(AND(B2332&gt;='IN-NX'!$P$3,B2332&lt;='IN-NX'!$Q$3,'IN-NX'!$D$7=D2332,OR(LEFT(L2332,2)="15",AND(LEFT(M2332,2)&lt;&gt;"15",LEFT(M2332,2)&lt;&gt;"33"))),"x","")</f>
        <v/>
      </c>
      <c r="V2332" s="525" t="str">
        <f>IF(AND(OR(LEFT(TH!L2332,2)="15",LEFT(TH!M2332,2)="15"),'152-CT'!$J$8=TH!F2332),"x","")</f>
        <v/>
      </c>
      <c r="W2332" s="525" t="str">
        <f>IF(AND(OR(LEFT(TH!L2332,2)="15",LEFT(TH!M2332,2)="15"),TK!$E$7=TH!F2332),"x","")</f>
        <v/>
      </c>
      <c r="X2332" s="525" t="str">
        <f>IF(AND('341-CT'!$E$9=H2332,OR(LEFT(L2332,3)=$X$7,LEFT(M2332,3)=$X$7)),"x","")</f>
        <v/>
      </c>
      <c r="Y2332" s="525" t="str">
        <f>IF(OR(TH!L2332=TH!$Y$7,M2332=TH!$Y$7),"x","")</f>
        <v/>
      </c>
      <c r="Z2332" s="525" t="str">
        <f>IF(AND(B2332&lt;=NKC!$N$8,B2332&gt;=NKC!$M$8),"x","")</f>
        <v/>
      </c>
      <c r="AA2332" s="535"/>
      <c r="AB2332" s="536"/>
    </row>
    <row r="2333" spans="1:30" s="503" customFormat="1" ht="15.75" customHeight="1">
      <c r="A2333" s="517" t="str">
        <f>IF(B2333&lt;&gt;"",IF(AND(B2333&gt;=_TM1,B2333&lt;=_TM2,OR(TH!L2333="1111",TH!M2333="1111")),TH!D2333,""),"")</f>
        <v/>
      </c>
      <c r="B2333" s="531">
        <f t="shared" si="211"/>
        <v>4</v>
      </c>
      <c r="C2333" s="315">
        <f t="shared" si="212"/>
        <v>42853</v>
      </c>
      <c r="D2333" s="315" t="s">
        <v>911</v>
      </c>
      <c r="E2333" s="315">
        <v>42853</v>
      </c>
      <c r="F2333" s="247" t="s">
        <v>704</v>
      </c>
      <c r="G2333" s="314" t="s">
        <v>1116</v>
      </c>
      <c r="H2333" s="473" t="s">
        <v>284</v>
      </c>
      <c r="I2333" s="307">
        <v>186</v>
      </c>
      <c r="J2333" s="307">
        <v>17602</v>
      </c>
      <c r="K2333" s="532">
        <f t="shared" si="213"/>
        <v>3273972</v>
      </c>
      <c r="L2333" s="534" t="s">
        <v>223</v>
      </c>
      <c r="M2333" s="534" t="s">
        <v>162</v>
      </c>
      <c r="N2333" s="525" t="str">
        <f>IF(AND('331-CT'!$E$7=TH!H2333,OR(L2333="331",M2333="331")),"331",IF(AND(OR(L2333="131",M2333="131"),H2333='131-CT'!$E$7),"131",""))</f>
        <v/>
      </c>
      <c r="O2333" s="525" t="str">
        <f>IF(AND($B2333&gt;='111'!$N$11,$B2333&lt;='111'!$O$11,OR($L2333=$O$7,$M2333=$O$7)),"x","")</f>
        <v/>
      </c>
      <c r="P2333" s="525" t="str">
        <f>IF(AND($L2333=$O$7,$B2333&lt;'111'!$N$11),"x","")</f>
        <v/>
      </c>
      <c r="Q2333" s="525" t="str">
        <f>IF(AND($M2333=$O$7,$B2333&lt;'111'!$N$11),"x","")</f>
        <v/>
      </c>
      <c r="R2333" s="525" t="str">
        <f>IF(ISERROR(FIND('112'!$M$9,G2333,1)),"",IF((AND(FIND('112'!$M$9,G2333,1)&gt;=1,$B2333&gt;='112'!$N$8,$B2333&lt;='112'!$O$8,OR($L2333='112'!$I$6,$M2333='112'!$I$6))),"x",""))</f>
        <v/>
      </c>
      <c r="S2333" s="525" t="str">
        <f>IF(ISERROR(FIND('112'!$M$9,G2333,1)),"",IF((AND(LEFT(G2333,2)=LEFT('112'!$M$9,2),B2333&lt;'112'!$N$8,$L2333='112'!$I$6)),"x",""))</f>
        <v/>
      </c>
      <c r="T2333" s="525" t="str">
        <f>IF(ISERROR(FIND('112'!$M$9,G2333,1)),"",IF((AND(RIGHT(G2333,2)=RIGHT('112'!$M$9,2),B2333&lt;'112'!$N$8,$M2333='112'!$I$6)),"x",""))</f>
        <v/>
      </c>
      <c r="U2333" s="525" t="str">
        <f>IF(AND(B2333&gt;='IN-NX'!$P$3,B2333&lt;='IN-NX'!$Q$3,'IN-NX'!$D$7=D2333,OR(LEFT(L2333,2)="15",AND(LEFT(M2333,2)&lt;&gt;"15",LEFT(M2333,2)&lt;&gt;"33"))),"x","")</f>
        <v/>
      </c>
      <c r="V2333" s="525" t="str">
        <f>IF(AND(OR(LEFT(TH!L2333,2)="15",LEFT(TH!M2333,2)="15"),'152-CT'!$J$8=TH!F2333),"x","")</f>
        <v/>
      </c>
      <c r="W2333" s="525" t="str">
        <f>IF(AND(OR(LEFT(TH!L2333,2)="15",LEFT(TH!M2333,2)="15"),TK!$E$7=TH!F2333),"x","")</f>
        <v/>
      </c>
      <c r="X2333" s="525" t="str">
        <f>IF(AND('341-CT'!$E$9=H2333,OR(LEFT(L2333,3)=$X$7,LEFT(M2333,3)=$X$7)),"x","")</f>
        <v/>
      </c>
      <c r="Y2333" s="525" t="str">
        <f>IF(OR(TH!L2333=TH!$Y$7,M2333=TH!$Y$7),"x","")</f>
        <v/>
      </c>
      <c r="Z2333" s="525" t="str">
        <f>IF(AND(B2333&lt;=NKC!$N$8,B2333&gt;=NKC!$M$8),"x","")</f>
        <v/>
      </c>
      <c r="AA2333" s="535"/>
      <c r="AB2333" s="536"/>
    </row>
    <row r="2334" spans="1:30" s="503" customFormat="1" ht="15.75" customHeight="1">
      <c r="A2334" s="517" t="str">
        <f>IF(B2334&lt;&gt;"",IF(AND(B2334&gt;=_TM1,B2334&lt;=_TM2,OR(TH!L2334="1111",TH!M2334="1111")),TH!D2334,""),"")</f>
        <v/>
      </c>
      <c r="B2334" s="531">
        <f t="shared" si="211"/>
        <v>4</v>
      </c>
      <c r="C2334" s="315">
        <f t="shared" si="212"/>
        <v>42853</v>
      </c>
      <c r="D2334" s="315" t="s">
        <v>912</v>
      </c>
      <c r="E2334" s="315">
        <v>42853</v>
      </c>
      <c r="F2334" s="249" t="s">
        <v>1019</v>
      </c>
      <c r="G2334" s="314" t="s">
        <v>1116</v>
      </c>
      <c r="H2334" s="473" t="s">
        <v>284</v>
      </c>
      <c r="I2334" s="307">
        <v>12</v>
      </c>
      <c r="J2334" s="311">
        <v>21488</v>
      </c>
      <c r="K2334" s="532">
        <f t="shared" si="213"/>
        <v>257856</v>
      </c>
      <c r="L2334" s="534" t="s">
        <v>223</v>
      </c>
      <c r="M2334" s="534" t="s">
        <v>162</v>
      </c>
      <c r="N2334" s="525" t="str">
        <f>IF(AND('331-CT'!$E$7=TH!H2334,OR(L2334="331",M2334="331")),"331",IF(AND(OR(L2334="131",M2334="131"),H2334='131-CT'!$E$7),"131",""))</f>
        <v/>
      </c>
      <c r="O2334" s="525" t="str">
        <f>IF(AND($B2334&gt;='111'!$N$11,$B2334&lt;='111'!$O$11,OR($L2334=$O$7,$M2334=$O$7)),"x","")</f>
        <v/>
      </c>
      <c r="P2334" s="525" t="str">
        <f>IF(AND($L2334=$O$7,$B2334&lt;'111'!$N$11),"x","")</f>
        <v/>
      </c>
      <c r="Q2334" s="525" t="str">
        <f>IF(AND($M2334=$O$7,$B2334&lt;'111'!$N$11),"x","")</f>
        <v/>
      </c>
      <c r="R2334" s="525" t="str">
        <f>IF(ISERROR(FIND('112'!$M$9,G2334,1)),"",IF((AND(FIND('112'!$M$9,G2334,1)&gt;=1,$B2334&gt;='112'!$N$8,$B2334&lt;='112'!$O$8,OR($L2334='112'!$I$6,$M2334='112'!$I$6))),"x",""))</f>
        <v/>
      </c>
      <c r="S2334" s="525" t="str">
        <f>IF(ISERROR(FIND('112'!$M$9,G2334,1)),"",IF((AND(LEFT(G2334,2)=LEFT('112'!$M$9,2),B2334&lt;'112'!$N$8,$L2334='112'!$I$6)),"x",""))</f>
        <v/>
      </c>
      <c r="T2334" s="525" t="str">
        <f>IF(ISERROR(FIND('112'!$M$9,G2334,1)),"",IF((AND(RIGHT(G2334,2)=RIGHT('112'!$M$9,2),B2334&lt;'112'!$N$8,$M2334='112'!$I$6)),"x",""))</f>
        <v/>
      </c>
      <c r="U2334" s="525" t="str">
        <f>IF(AND(B2334&gt;='IN-NX'!$P$3,B2334&lt;='IN-NX'!$Q$3,'IN-NX'!$D$7=D2334,OR(LEFT(L2334,2)="15",AND(LEFT(M2334,2)&lt;&gt;"15",LEFT(M2334,2)&lt;&gt;"33"))),"x","")</f>
        <v/>
      </c>
      <c r="V2334" s="525" t="str">
        <f>IF(AND(OR(LEFT(TH!L2334,2)="15",LEFT(TH!M2334,2)="15"),'152-CT'!$J$8=TH!F2334),"x","")</f>
        <v/>
      </c>
      <c r="W2334" s="525" t="str">
        <f>IF(AND(OR(LEFT(TH!L2334,2)="15",LEFT(TH!M2334,2)="15"),TK!$E$7=TH!F2334),"x","")</f>
        <v/>
      </c>
      <c r="X2334" s="525" t="str">
        <f>IF(AND('341-CT'!$E$9=H2334,OR(LEFT(L2334,3)=$X$7,LEFT(M2334,3)=$X$7)),"x","")</f>
        <v/>
      </c>
      <c r="Y2334" s="525" t="str">
        <f>IF(OR(TH!L2334=TH!$Y$7,M2334=TH!$Y$7),"x","")</f>
        <v/>
      </c>
      <c r="Z2334" s="525" t="str">
        <f>IF(AND(B2334&lt;=NKC!$N$8,B2334&gt;=NKC!$M$8),"x","")</f>
        <v/>
      </c>
      <c r="AA2334" s="535"/>
      <c r="AB2334" s="536"/>
      <c r="AD2334" s="536"/>
    </row>
    <row r="2335" spans="1:30" s="503" customFormat="1" ht="15.75" customHeight="1">
      <c r="A2335" s="517" t="str">
        <f>IF(B2335&lt;&gt;"",IF(AND(B2335&gt;=_TM1,B2335&lt;=_TM2,OR(TH!L2335="1111",TH!M2335="1111")),TH!D2335,""),"")</f>
        <v/>
      </c>
      <c r="B2335" s="531">
        <f t="shared" si="211"/>
        <v>4</v>
      </c>
      <c r="C2335" s="315">
        <f t="shared" si="212"/>
        <v>42853</v>
      </c>
      <c r="D2335" s="315" t="s">
        <v>912</v>
      </c>
      <c r="E2335" s="315">
        <v>42853</v>
      </c>
      <c r="F2335" s="249" t="s">
        <v>1020</v>
      </c>
      <c r="G2335" s="314" t="s">
        <v>1116</v>
      </c>
      <c r="H2335" s="473" t="s">
        <v>284</v>
      </c>
      <c r="I2335" s="307">
        <v>12</v>
      </c>
      <c r="J2335" s="311">
        <v>22189</v>
      </c>
      <c r="K2335" s="532">
        <f t="shared" si="213"/>
        <v>266268</v>
      </c>
      <c r="L2335" s="534" t="s">
        <v>223</v>
      </c>
      <c r="M2335" s="534" t="s">
        <v>162</v>
      </c>
      <c r="N2335" s="525" t="str">
        <f>IF(AND('331-CT'!$E$7=TH!H2335,OR(L2335="331",M2335="331")),"331",IF(AND(OR(L2335="131",M2335="131"),H2335='131-CT'!$E$7),"131",""))</f>
        <v/>
      </c>
      <c r="O2335" s="525" t="str">
        <f>IF(AND($B2335&gt;='111'!$N$11,$B2335&lt;='111'!$O$11,OR($L2335=$O$7,$M2335=$O$7)),"x","")</f>
        <v/>
      </c>
      <c r="P2335" s="525" t="str">
        <f>IF(AND($L2335=$O$7,$B2335&lt;'111'!$N$11),"x","")</f>
        <v/>
      </c>
      <c r="Q2335" s="525" t="str">
        <f>IF(AND($M2335=$O$7,$B2335&lt;'111'!$N$11),"x","")</f>
        <v/>
      </c>
      <c r="R2335" s="525" t="str">
        <f>IF(ISERROR(FIND('112'!$M$9,G2335,1)),"",IF((AND(FIND('112'!$M$9,G2335,1)&gt;=1,$B2335&gt;='112'!$N$8,$B2335&lt;='112'!$O$8,OR($L2335='112'!$I$6,$M2335='112'!$I$6))),"x",""))</f>
        <v/>
      </c>
      <c r="S2335" s="525" t="str">
        <f>IF(ISERROR(FIND('112'!$M$9,G2335,1)),"",IF((AND(LEFT(G2335,2)=LEFT('112'!$M$9,2),B2335&lt;'112'!$N$8,$L2335='112'!$I$6)),"x",""))</f>
        <v/>
      </c>
      <c r="T2335" s="525" t="str">
        <f>IF(ISERROR(FIND('112'!$M$9,G2335,1)),"",IF((AND(RIGHT(G2335,2)=RIGHT('112'!$M$9,2),B2335&lt;'112'!$N$8,$M2335='112'!$I$6)),"x",""))</f>
        <v/>
      </c>
      <c r="U2335" s="525" t="str">
        <f>IF(AND(B2335&gt;='IN-NX'!$P$3,B2335&lt;='IN-NX'!$Q$3,'IN-NX'!$D$7=D2335,OR(LEFT(L2335,2)="15",AND(LEFT(M2335,2)&lt;&gt;"15",LEFT(M2335,2)&lt;&gt;"33"))),"x","")</f>
        <v/>
      </c>
      <c r="V2335" s="525" t="str">
        <f>IF(AND(OR(LEFT(TH!L2335,2)="15",LEFT(TH!M2335,2)="15"),'152-CT'!$J$8=TH!F2335),"x","")</f>
        <v/>
      </c>
      <c r="W2335" s="525" t="str">
        <f>IF(AND(OR(LEFT(TH!L2335,2)="15",LEFT(TH!M2335,2)="15"),TK!$E$7=TH!F2335),"x","")</f>
        <v/>
      </c>
      <c r="X2335" s="525" t="str">
        <f>IF(AND('341-CT'!$E$9=H2335,OR(LEFT(L2335,3)=$X$7,LEFT(M2335,3)=$X$7)),"x","")</f>
        <v/>
      </c>
      <c r="Y2335" s="525" t="str">
        <f>IF(OR(TH!L2335=TH!$Y$7,M2335=TH!$Y$7),"x","")</f>
        <v/>
      </c>
      <c r="Z2335" s="525" t="str">
        <f>IF(AND(B2335&lt;=NKC!$N$8,B2335&gt;=NKC!$M$8),"x","")</f>
        <v/>
      </c>
      <c r="AA2335" s="535"/>
      <c r="AB2335" s="536"/>
      <c r="AD2335" s="536"/>
    </row>
    <row r="2336" spans="1:30" s="503" customFormat="1" ht="15.75" customHeight="1">
      <c r="A2336" s="517" t="str">
        <f>IF(B2336&lt;&gt;"",IF(AND(B2336&gt;=_TM1,B2336&lt;=_TM2,OR(TH!L2336="1111",TH!M2336="1111")),TH!D2336,""),"")</f>
        <v/>
      </c>
      <c r="B2336" s="531">
        <f t="shared" si="211"/>
        <v>4</v>
      </c>
      <c r="C2336" s="315">
        <f t="shared" si="212"/>
        <v>42853</v>
      </c>
      <c r="D2336" s="315" t="s">
        <v>912</v>
      </c>
      <c r="E2336" s="315">
        <v>42853</v>
      </c>
      <c r="F2336" s="249" t="s">
        <v>1021</v>
      </c>
      <c r="G2336" s="314" t="s">
        <v>1116</v>
      </c>
      <c r="H2336" s="473" t="s">
        <v>284</v>
      </c>
      <c r="I2336" s="307">
        <v>11</v>
      </c>
      <c r="J2336" s="311">
        <v>14961</v>
      </c>
      <c r="K2336" s="532">
        <f t="shared" si="213"/>
        <v>164571</v>
      </c>
      <c r="L2336" s="534" t="s">
        <v>223</v>
      </c>
      <c r="M2336" s="534" t="s">
        <v>162</v>
      </c>
      <c r="N2336" s="525" t="str">
        <f>IF(AND('331-CT'!$E$7=TH!H2336,OR(L2336="331",M2336="331")),"331",IF(AND(OR(L2336="131",M2336="131"),H2336='131-CT'!$E$7),"131",""))</f>
        <v/>
      </c>
      <c r="O2336" s="525" t="str">
        <f>IF(AND($B2336&gt;='111'!$N$11,$B2336&lt;='111'!$O$11,OR($L2336=$O$7,$M2336=$O$7)),"x","")</f>
        <v/>
      </c>
      <c r="P2336" s="525" t="str">
        <f>IF(AND($L2336=$O$7,$B2336&lt;'111'!$N$11),"x","")</f>
        <v/>
      </c>
      <c r="Q2336" s="525" t="str">
        <f>IF(AND($M2336=$O$7,$B2336&lt;'111'!$N$11),"x","")</f>
        <v/>
      </c>
      <c r="R2336" s="525" t="str">
        <f>IF(ISERROR(FIND('112'!$M$9,G2336,1)),"",IF((AND(FIND('112'!$M$9,G2336,1)&gt;=1,$B2336&gt;='112'!$N$8,$B2336&lt;='112'!$O$8,OR($L2336='112'!$I$6,$M2336='112'!$I$6))),"x",""))</f>
        <v/>
      </c>
      <c r="S2336" s="525" t="str">
        <f>IF(ISERROR(FIND('112'!$M$9,G2336,1)),"",IF((AND(LEFT(G2336,2)=LEFT('112'!$M$9,2),B2336&lt;'112'!$N$8,$L2336='112'!$I$6)),"x",""))</f>
        <v/>
      </c>
      <c r="T2336" s="525" t="str">
        <f>IF(ISERROR(FIND('112'!$M$9,G2336,1)),"",IF((AND(RIGHT(G2336,2)=RIGHT('112'!$M$9,2),B2336&lt;'112'!$N$8,$M2336='112'!$I$6)),"x",""))</f>
        <v/>
      </c>
      <c r="U2336" s="525" t="str">
        <f>IF(AND(B2336&gt;='IN-NX'!$P$3,B2336&lt;='IN-NX'!$Q$3,'IN-NX'!$D$7=D2336,OR(LEFT(L2336,2)="15",AND(LEFT(M2336,2)&lt;&gt;"15",LEFT(M2336,2)&lt;&gt;"33"))),"x","")</f>
        <v/>
      </c>
      <c r="V2336" s="525" t="str">
        <f>IF(AND(OR(LEFT(TH!L2336,2)="15",LEFT(TH!M2336,2)="15"),'152-CT'!$J$8=TH!F2336),"x","")</f>
        <v/>
      </c>
      <c r="W2336" s="525" t="str">
        <f>IF(AND(OR(LEFT(TH!L2336,2)="15",LEFT(TH!M2336,2)="15"),TK!$E$7=TH!F2336),"x","")</f>
        <v/>
      </c>
      <c r="X2336" s="525" t="str">
        <f>IF(AND('341-CT'!$E$9=H2336,OR(LEFT(L2336,3)=$X$7,LEFT(M2336,3)=$X$7)),"x","")</f>
        <v/>
      </c>
      <c r="Y2336" s="525" t="str">
        <f>IF(OR(TH!L2336=TH!$Y$7,M2336=TH!$Y$7),"x","")</f>
        <v/>
      </c>
      <c r="Z2336" s="525" t="str">
        <f>IF(AND(B2336&lt;=NKC!$N$8,B2336&gt;=NKC!$M$8),"x","")</f>
        <v/>
      </c>
      <c r="AA2336" s="535"/>
      <c r="AB2336" s="536"/>
      <c r="AD2336" s="536"/>
    </row>
    <row r="2337" spans="1:30" s="503" customFormat="1" ht="15.75" customHeight="1">
      <c r="A2337" s="517" t="str">
        <f>IF(B2337&lt;&gt;"",IF(AND(B2337&gt;=_TM1,B2337&lt;=_TM2,OR(TH!L2337="1111",TH!M2337="1111")),TH!D2337,""),"")</f>
        <v/>
      </c>
      <c r="B2337" s="531">
        <f t="shared" si="211"/>
        <v>4</v>
      </c>
      <c r="C2337" s="315">
        <f t="shared" si="212"/>
        <v>42853</v>
      </c>
      <c r="D2337" s="315" t="s">
        <v>912</v>
      </c>
      <c r="E2337" s="315">
        <v>42853</v>
      </c>
      <c r="F2337" s="249" t="s">
        <v>1022</v>
      </c>
      <c r="G2337" s="314" t="s">
        <v>1116</v>
      </c>
      <c r="H2337" s="473" t="s">
        <v>284</v>
      </c>
      <c r="I2337" s="307">
        <v>34</v>
      </c>
      <c r="J2337" s="311">
        <v>20993</v>
      </c>
      <c r="K2337" s="532">
        <f t="shared" si="213"/>
        <v>713762</v>
      </c>
      <c r="L2337" s="534" t="s">
        <v>223</v>
      </c>
      <c r="M2337" s="534" t="s">
        <v>162</v>
      </c>
      <c r="N2337" s="525" t="str">
        <f>IF(AND('331-CT'!$E$7=TH!H2337,OR(L2337="331",M2337="331")),"331",IF(AND(OR(L2337="131",M2337="131"),H2337='131-CT'!$E$7),"131",""))</f>
        <v/>
      </c>
      <c r="O2337" s="525" t="str">
        <f>IF(AND($B2337&gt;='111'!$N$11,$B2337&lt;='111'!$O$11,OR($L2337=$O$7,$M2337=$O$7)),"x","")</f>
        <v/>
      </c>
      <c r="P2337" s="525" t="str">
        <f>IF(AND($L2337=$O$7,$B2337&lt;'111'!$N$11),"x","")</f>
        <v/>
      </c>
      <c r="Q2337" s="525" t="str">
        <f>IF(AND($M2337=$O$7,$B2337&lt;'111'!$N$11),"x","")</f>
        <v/>
      </c>
      <c r="R2337" s="525" t="str">
        <f>IF(ISERROR(FIND('112'!$M$9,G2337,1)),"",IF((AND(FIND('112'!$M$9,G2337,1)&gt;=1,$B2337&gt;='112'!$N$8,$B2337&lt;='112'!$O$8,OR($L2337='112'!$I$6,$M2337='112'!$I$6))),"x",""))</f>
        <v/>
      </c>
      <c r="S2337" s="525" t="str">
        <f>IF(ISERROR(FIND('112'!$M$9,G2337,1)),"",IF((AND(LEFT(G2337,2)=LEFT('112'!$M$9,2),B2337&lt;'112'!$N$8,$L2337='112'!$I$6)),"x",""))</f>
        <v/>
      </c>
      <c r="T2337" s="525" t="str">
        <f>IF(ISERROR(FIND('112'!$M$9,G2337,1)),"",IF((AND(RIGHT(G2337,2)=RIGHT('112'!$M$9,2),B2337&lt;'112'!$N$8,$M2337='112'!$I$6)),"x",""))</f>
        <v/>
      </c>
      <c r="U2337" s="525" t="str">
        <f>IF(AND(B2337&gt;='IN-NX'!$P$3,B2337&lt;='IN-NX'!$Q$3,'IN-NX'!$D$7=D2337,OR(LEFT(L2337,2)="15",AND(LEFT(M2337,2)&lt;&gt;"15",LEFT(M2337,2)&lt;&gt;"33"))),"x","")</f>
        <v/>
      </c>
      <c r="V2337" s="525" t="str">
        <f>IF(AND(OR(LEFT(TH!L2337,2)="15",LEFT(TH!M2337,2)="15"),'152-CT'!$J$8=TH!F2337),"x","")</f>
        <v/>
      </c>
      <c r="W2337" s="525" t="str">
        <f>IF(AND(OR(LEFT(TH!L2337,2)="15",LEFT(TH!M2337,2)="15"),TK!$E$7=TH!F2337),"x","")</f>
        <v/>
      </c>
      <c r="X2337" s="525" t="str">
        <f>IF(AND('341-CT'!$E$9=H2337,OR(LEFT(L2337,3)=$X$7,LEFT(M2337,3)=$X$7)),"x","")</f>
        <v/>
      </c>
      <c r="Y2337" s="525" t="str">
        <f>IF(OR(TH!L2337=TH!$Y$7,M2337=TH!$Y$7),"x","")</f>
        <v/>
      </c>
      <c r="Z2337" s="525" t="str">
        <f>IF(AND(B2337&lt;=NKC!$N$8,B2337&gt;=NKC!$M$8),"x","")</f>
        <v/>
      </c>
      <c r="AA2337" s="535"/>
      <c r="AB2337" s="536"/>
      <c r="AD2337" s="536"/>
    </row>
    <row r="2338" spans="1:30" s="503" customFormat="1" ht="15.75" customHeight="1">
      <c r="A2338" s="517" t="str">
        <f>IF(B2338&lt;&gt;"",IF(AND(B2338&gt;=_TM1,B2338&lt;=_TM2,OR(TH!L2338="1111",TH!M2338="1111")),TH!D2338,""),"")</f>
        <v/>
      </c>
      <c r="B2338" s="531">
        <f t="shared" si="211"/>
        <v>4</v>
      </c>
      <c r="C2338" s="315">
        <f t="shared" si="212"/>
        <v>42853</v>
      </c>
      <c r="D2338" s="315" t="s">
        <v>912</v>
      </c>
      <c r="E2338" s="315">
        <v>42853</v>
      </c>
      <c r="F2338" s="249" t="s">
        <v>722</v>
      </c>
      <c r="G2338" s="314" t="s">
        <v>1116</v>
      </c>
      <c r="H2338" s="473" t="s">
        <v>284</v>
      </c>
      <c r="I2338" s="307">
        <v>12</v>
      </c>
      <c r="J2338" s="307">
        <v>11572</v>
      </c>
      <c r="K2338" s="532">
        <f t="shared" si="213"/>
        <v>138864</v>
      </c>
      <c r="L2338" s="534" t="s">
        <v>223</v>
      </c>
      <c r="M2338" s="534" t="s">
        <v>162</v>
      </c>
      <c r="N2338" s="525" t="str">
        <f>IF(AND('331-CT'!$E$7=TH!H2338,OR(L2338="331",M2338="331")),"331",IF(AND(OR(L2338="131",M2338="131"),H2338='131-CT'!$E$7),"131",""))</f>
        <v/>
      </c>
      <c r="O2338" s="525" t="str">
        <f>IF(AND($B2338&gt;='111'!$N$11,$B2338&lt;='111'!$O$11,OR($L2338=$O$7,$M2338=$O$7)),"x","")</f>
        <v/>
      </c>
      <c r="P2338" s="525" t="str">
        <f>IF(AND($L2338=$O$7,$B2338&lt;'111'!$N$11),"x","")</f>
        <v/>
      </c>
      <c r="Q2338" s="525" t="str">
        <f>IF(AND($M2338=$O$7,$B2338&lt;'111'!$N$11),"x","")</f>
        <v/>
      </c>
      <c r="R2338" s="525" t="str">
        <f>IF(ISERROR(FIND('112'!$M$9,G2338,1)),"",IF((AND(FIND('112'!$M$9,G2338,1)&gt;=1,$B2338&gt;='112'!$N$8,$B2338&lt;='112'!$O$8,OR($L2338='112'!$I$6,$M2338='112'!$I$6))),"x",""))</f>
        <v/>
      </c>
      <c r="S2338" s="525" t="str">
        <f>IF(ISERROR(FIND('112'!$M$9,G2338,1)),"",IF((AND(LEFT(G2338,2)=LEFT('112'!$M$9,2),B2338&lt;'112'!$N$8,$L2338='112'!$I$6)),"x",""))</f>
        <v/>
      </c>
      <c r="T2338" s="525" t="str">
        <f>IF(ISERROR(FIND('112'!$M$9,G2338,1)),"",IF((AND(RIGHT(G2338,2)=RIGHT('112'!$M$9,2),B2338&lt;'112'!$N$8,$M2338='112'!$I$6)),"x",""))</f>
        <v/>
      </c>
      <c r="U2338" s="525" t="str">
        <f>IF(AND(B2338&gt;='IN-NX'!$P$3,B2338&lt;='IN-NX'!$Q$3,'IN-NX'!$D$7=D2338,OR(LEFT(L2338,2)="15",AND(LEFT(M2338,2)&lt;&gt;"15",LEFT(M2338,2)&lt;&gt;"33"))),"x","")</f>
        <v/>
      </c>
      <c r="V2338" s="525" t="str">
        <f>IF(AND(OR(LEFT(TH!L2338,2)="15",LEFT(TH!M2338,2)="15"),'152-CT'!$J$8=TH!F2338),"x","")</f>
        <v/>
      </c>
      <c r="W2338" s="525" t="str">
        <f>IF(AND(OR(LEFT(TH!L2338,2)="15",LEFT(TH!M2338,2)="15"),TK!$E$7=TH!F2338),"x","")</f>
        <v/>
      </c>
      <c r="X2338" s="525" t="str">
        <f>IF(AND('341-CT'!$E$9=H2338,OR(LEFT(L2338,3)=$X$7,LEFT(M2338,3)=$X$7)),"x","")</f>
        <v/>
      </c>
      <c r="Y2338" s="525" t="str">
        <f>IF(OR(TH!L2338=TH!$Y$7,M2338=TH!$Y$7),"x","")</f>
        <v/>
      </c>
      <c r="Z2338" s="525" t="str">
        <f>IF(AND(B2338&lt;=NKC!$N$8,B2338&gt;=NKC!$M$8),"x","")</f>
        <v/>
      </c>
      <c r="AA2338" s="535"/>
      <c r="AB2338" s="536"/>
      <c r="AD2338" s="536"/>
    </row>
    <row r="2339" spans="1:30" s="503" customFormat="1" ht="15.75" customHeight="1">
      <c r="A2339" s="517" t="str">
        <f>IF(B2339&lt;&gt;"",IF(AND(B2339&gt;=_TM1,B2339&lt;=_TM2,OR(TH!L2339="1111",TH!M2339="1111")),TH!D2339,""),"")</f>
        <v/>
      </c>
      <c r="B2339" s="531">
        <f t="shared" si="211"/>
        <v>4</v>
      </c>
      <c r="C2339" s="315">
        <f t="shared" si="212"/>
        <v>42853</v>
      </c>
      <c r="D2339" s="315" t="s">
        <v>912</v>
      </c>
      <c r="E2339" s="315">
        <v>42853</v>
      </c>
      <c r="F2339" s="247" t="s">
        <v>723</v>
      </c>
      <c r="G2339" s="314" t="s">
        <v>1116</v>
      </c>
      <c r="H2339" s="473" t="s">
        <v>284</v>
      </c>
      <c r="I2339" s="307">
        <v>12</v>
      </c>
      <c r="J2339" s="307">
        <v>10721</v>
      </c>
      <c r="K2339" s="532">
        <f t="shared" si="213"/>
        <v>128652</v>
      </c>
      <c r="L2339" s="534" t="s">
        <v>223</v>
      </c>
      <c r="M2339" s="534" t="s">
        <v>162</v>
      </c>
      <c r="N2339" s="525" t="str">
        <f>IF(AND('331-CT'!$E$7=TH!H2339,OR(L2339="331",M2339="331")),"331",IF(AND(OR(L2339="131",M2339="131"),H2339='131-CT'!$E$7),"131",""))</f>
        <v/>
      </c>
      <c r="O2339" s="525" t="str">
        <f>IF(AND($B2339&gt;='111'!$N$11,$B2339&lt;='111'!$O$11,OR($L2339=$O$7,$M2339=$O$7)),"x","")</f>
        <v/>
      </c>
      <c r="P2339" s="525" t="str">
        <f>IF(AND($L2339=$O$7,$B2339&lt;'111'!$N$11),"x","")</f>
        <v/>
      </c>
      <c r="Q2339" s="525" t="str">
        <f>IF(AND($M2339=$O$7,$B2339&lt;'111'!$N$11),"x","")</f>
        <v/>
      </c>
      <c r="R2339" s="525" t="str">
        <f>IF(ISERROR(FIND('112'!$M$9,G2339,1)),"",IF((AND(FIND('112'!$M$9,G2339,1)&gt;=1,$B2339&gt;='112'!$N$8,$B2339&lt;='112'!$O$8,OR($L2339='112'!$I$6,$M2339='112'!$I$6))),"x",""))</f>
        <v/>
      </c>
      <c r="S2339" s="525" t="str">
        <f>IF(ISERROR(FIND('112'!$M$9,G2339,1)),"",IF((AND(LEFT(G2339,2)=LEFT('112'!$M$9,2),B2339&lt;'112'!$N$8,$L2339='112'!$I$6)),"x",""))</f>
        <v/>
      </c>
      <c r="T2339" s="525" t="str">
        <f>IF(ISERROR(FIND('112'!$M$9,G2339,1)),"",IF((AND(RIGHT(G2339,2)=RIGHT('112'!$M$9,2),B2339&lt;'112'!$N$8,$M2339='112'!$I$6)),"x",""))</f>
        <v/>
      </c>
      <c r="U2339" s="525" t="str">
        <f>IF(AND(B2339&gt;='IN-NX'!$P$3,B2339&lt;='IN-NX'!$Q$3,'IN-NX'!$D$7=D2339,OR(LEFT(L2339,2)="15",AND(LEFT(M2339,2)&lt;&gt;"15",LEFT(M2339,2)&lt;&gt;"33"))),"x","")</f>
        <v/>
      </c>
      <c r="V2339" s="525" t="str">
        <f>IF(AND(OR(LEFT(TH!L2339,2)="15",LEFT(TH!M2339,2)="15"),'152-CT'!$J$8=TH!F2339),"x","")</f>
        <v/>
      </c>
      <c r="W2339" s="525" t="str">
        <f>IF(AND(OR(LEFT(TH!L2339,2)="15",LEFT(TH!M2339,2)="15"),TK!$E$7=TH!F2339),"x","")</f>
        <v/>
      </c>
      <c r="X2339" s="525" t="str">
        <f>IF(AND('341-CT'!$E$9=H2339,OR(LEFT(L2339,3)=$X$7,LEFT(M2339,3)=$X$7)),"x","")</f>
        <v/>
      </c>
      <c r="Y2339" s="525" t="str">
        <f>IF(OR(TH!L2339=TH!$Y$7,M2339=TH!$Y$7),"x","")</f>
        <v/>
      </c>
      <c r="Z2339" s="525" t="str">
        <f>IF(AND(B2339&lt;=NKC!$N$8,B2339&gt;=NKC!$M$8),"x","")</f>
        <v/>
      </c>
      <c r="AA2339" s="535"/>
      <c r="AB2339" s="536"/>
      <c r="AD2339" s="536"/>
    </row>
    <row r="2340" spans="1:30" s="503" customFormat="1" ht="15.75" customHeight="1">
      <c r="A2340" s="517" t="str">
        <f>IF(B2340&lt;&gt;"",IF(AND(B2340&gt;=_TM1,B2340&lt;=_TM2,OR(TH!L2340="1111",TH!M2340="1111")),TH!D2340,""),"")</f>
        <v/>
      </c>
      <c r="B2340" s="531">
        <f t="shared" si="211"/>
        <v>4</v>
      </c>
      <c r="C2340" s="315">
        <f t="shared" si="212"/>
        <v>42853</v>
      </c>
      <c r="D2340" s="315" t="s">
        <v>912</v>
      </c>
      <c r="E2340" s="315">
        <v>42853</v>
      </c>
      <c r="F2340" s="247" t="s">
        <v>731</v>
      </c>
      <c r="G2340" s="314" t="s">
        <v>1116</v>
      </c>
      <c r="H2340" s="473" t="s">
        <v>284</v>
      </c>
      <c r="I2340" s="307">
        <v>10</v>
      </c>
      <c r="J2340" s="311">
        <v>56003</v>
      </c>
      <c r="K2340" s="532">
        <f t="shared" si="213"/>
        <v>560030</v>
      </c>
      <c r="L2340" s="534" t="s">
        <v>223</v>
      </c>
      <c r="M2340" s="534" t="s">
        <v>162</v>
      </c>
      <c r="N2340" s="525" t="str">
        <f>IF(AND('331-CT'!$E$7=TH!H2340,OR(L2340="331",M2340="331")),"331",IF(AND(OR(L2340="131",M2340="131"),H2340='131-CT'!$E$7),"131",""))</f>
        <v/>
      </c>
      <c r="O2340" s="525" t="str">
        <f>IF(AND($B2340&gt;='111'!$N$11,$B2340&lt;='111'!$O$11,OR($L2340=$O$7,$M2340=$O$7)),"x","")</f>
        <v/>
      </c>
      <c r="P2340" s="525" t="str">
        <f>IF(AND($L2340=$O$7,$B2340&lt;'111'!$N$11),"x","")</f>
        <v/>
      </c>
      <c r="Q2340" s="525" t="str">
        <f>IF(AND($M2340=$O$7,$B2340&lt;'111'!$N$11),"x","")</f>
        <v/>
      </c>
      <c r="R2340" s="525" t="str">
        <f>IF(ISERROR(FIND('112'!$M$9,G2340,1)),"",IF((AND(FIND('112'!$M$9,G2340,1)&gt;=1,$B2340&gt;='112'!$N$8,$B2340&lt;='112'!$O$8,OR($L2340='112'!$I$6,$M2340='112'!$I$6))),"x",""))</f>
        <v/>
      </c>
      <c r="S2340" s="525" t="str">
        <f>IF(ISERROR(FIND('112'!$M$9,G2340,1)),"",IF((AND(LEFT(G2340,2)=LEFT('112'!$M$9,2),B2340&lt;'112'!$N$8,$L2340='112'!$I$6)),"x",""))</f>
        <v/>
      </c>
      <c r="T2340" s="525" t="str">
        <f>IF(ISERROR(FIND('112'!$M$9,G2340,1)),"",IF((AND(RIGHT(G2340,2)=RIGHT('112'!$M$9,2),B2340&lt;'112'!$N$8,$M2340='112'!$I$6)),"x",""))</f>
        <v/>
      </c>
      <c r="U2340" s="525" t="str">
        <f>IF(AND(B2340&gt;='IN-NX'!$P$3,B2340&lt;='IN-NX'!$Q$3,'IN-NX'!$D$7=D2340,OR(LEFT(L2340,2)="15",AND(LEFT(M2340,2)&lt;&gt;"15",LEFT(M2340,2)&lt;&gt;"33"))),"x","")</f>
        <v/>
      </c>
      <c r="V2340" s="525" t="str">
        <f>IF(AND(OR(LEFT(TH!L2340,2)="15",LEFT(TH!M2340,2)="15"),'152-CT'!$J$8=TH!F2340),"x","")</f>
        <v/>
      </c>
      <c r="W2340" s="525" t="str">
        <f>IF(AND(OR(LEFT(TH!L2340,2)="15",LEFT(TH!M2340,2)="15"),TK!$E$7=TH!F2340),"x","")</f>
        <v/>
      </c>
      <c r="X2340" s="525" t="str">
        <f>IF(AND('341-CT'!$E$9=H2340,OR(LEFT(L2340,3)=$X$7,LEFT(M2340,3)=$X$7)),"x","")</f>
        <v/>
      </c>
      <c r="Y2340" s="525" t="str">
        <f>IF(OR(TH!L2340=TH!$Y$7,M2340=TH!$Y$7),"x","")</f>
        <v/>
      </c>
      <c r="Z2340" s="525" t="str">
        <f>IF(AND(B2340&lt;=NKC!$N$8,B2340&gt;=NKC!$M$8),"x","")</f>
        <v/>
      </c>
      <c r="AA2340" s="535"/>
      <c r="AB2340" s="536"/>
      <c r="AD2340" s="536"/>
    </row>
    <row r="2341" spans="1:30" s="503" customFormat="1" ht="15.75" customHeight="1">
      <c r="A2341" s="517" t="str">
        <f>IF(B2341&lt;&gt;"",IF(AND(B2341&gt;=_TM1,B2341&lt;=_TM2,OR(TH!L2341="1111",TH!M2341="1111")),TH!D2341,""),"")</f>
        <v/>
      </c>
      <c r="B2341" s="531">
        <f t="shared" si="211"/>
        <v>4</v>
      </c>
      <c r="C2341" s="315">
        <f t="shared" si="212"/>
        <v>42853</v>
      </c>
      <c r="D2341" s="315" t="s">
        <v>912</v>
      </c>
      <c r="E2341" s="315">
        <v>42853</v>
      </c>
      <c r="F2341" s="249" t="s">
        <v>1023</v>
      </c>
      <c r="G2341" s="314" t="s">
        <v>1116</v>
      </c>
      <c r="H2341" s="473" t="s">
        <v>284</v>
      </c>
      <c r="I2341" s="307">
        <v>12</v>
      </c>
      <c r="J2341" s="307">
        <v>82908</v>
      </c>
      <c r="K2341" s="532">
        <f t="shared" si="213"/>
        <v>994896</v>
      </c>
      <c r="L2341" s="534" t="s">
        <v>223</v>
      </c>
      <c r="M2341" s="534" t="s">
        <v>162</v>
      </c>
      <c r="N2341" s="525" t="str">
        <f>IF(AND('331-CT'!$E$7=TH!H2341,OR(L2341="331",M2341="331")),"331",IF(AND(OR(L2341="131",M2341="131"),H2341='131-CT'!$E$7),"131",""))</f>
        <v/>
      </c>
      <c r="O2341" s="525" t="str">
        <f>IF(AND($B2341&gt;='111'!$N$11,$B2341&lt;='111'!$O$11,OR($L2341=$O$7,$M2341=$O$7)),"x","")</f>
        <v/>
      </c>
      <c r="P2341" s="525" t="str">
        <f>IF(AND($L2341=$O$7,$B2341&lt;'111'!$N$11),"x","")</f>
        <v/>
      </c>
      <c r="Q2341" s="525" t="str">
        <f>IF(AND($M2341=$O$7,$B2341&lt;'111'!$N$11),"x","")</f>
        <v/>
      </c>
      <c r="R2341" s="525" t="str">
        <f>IF(ISERROR(FIND('112'!$M$9,G2341,1)),"",IF((AND(FIND('112'!$M$9,G2341,1)&gt;=1,$B2341&gt;='112'!$N$8,$B2341&lt;='112'!$O$8,OR($L2341='112'!$I$6,$M2341='112'!$I$6))),"x",""))</f>
        <v/>
      </c>
      <c r="S2341" s="525" t="str">
        <f>IF(ISERROR(FIND('112'!$M$9,G2341,1)),"",IF((AND(LEFT(G2341,2)=LEFT('112'!$M$9,2),B2341&lt;'112'!$N$8,$L2341='112'!$I$6)),"x",""))</f>
        <v/>
      </c>
      <c r="T2341" s="525" t="str">
        <f>IF(ISERROR(FIND('112'!$M$9,G2341,1)),"",IF((AND(RIGHT(G2341,2)=RIGHT('112'!$M$9,2),B2341&lt;'112'!$N$8,$M2341='112'!$I$6)),"x",""))</f>
        <v/>
      </c>
      <c r="U2341" s="525" t="str">
        <f>IF(AND(B2341&gt;='IN-NX'!$P$3,B2341&lt;='IN-NX'!$Q$3,'IN-NX'!$D$7=D2341,OR(LEFT(L2341,2)="15",AND(LEFT(M2341,2)&lt;&gt;"15",LEFT(M2341,2)&lt;&gt;"33"))),"x","")</f>
        <v/>
      </c>
      <c r="V2341" s="525" t="str">
        <f>IF(AND(OR(LEFT(TH!L2341,2)="15",LEFT(TH!M2341,2)="15"),'152-CT'!$J$8=TH!F2341),"x","")</f>
        <v/>
      </c>
      <c r="W2341" s="525" t="str">
        <f>IF(AND(OR(LEFT(TH!L2341,2)="15",LEFT(TH!M2341,2)="15"),TK!$E$7=TH!F2341),"x","")</f>
        <v/>
      </c>
      <c r="X2341" s="525" t="str">
        <f>IF(AND('341-CT'!$E$9=H2341,OR(LEFT(L2341,3)=$X$7,LEFT(M2341,3)=$X$7)),"x","")</f>
        <v/>
      </c>
      <c r="Y2341" s="525" t="str">
        <f>IF(OR(TH!L2341=TH!$Y$7,M2341=TH!$Y$7),"x","")</f>
        <v/>
      </c>
      <c r="Z2341" s="525" t="str">
        <f>IF(AND(B2341&lt;=NKC!$N$8,B2341&gt;=NKC!$M$8),"x","")</f>
        <v/>
      </c>
      <c r="AA2341" s="535"/>
      <c r="AB2341" s="536"/>
      <c r="AD2341" s="536"/>
    </row>
    <row r="2342" spans="1:30" s="503" customFormat="1" ht="15.75" customHeight="1">
      <c r="A2342" s="517" t="str">
        <f>IF(B2342&lt;&gt;"",IF(AND(B2342&gt;=_TM1,B2342&lt;=_TM2,OR(TH!L2342="1111",TH!M2342="1111")),TH!D2342,""),"")</f>
        <v/>
      </c>
      <c r="B2342" s="531">
        <f t="shared" si="211"/>
        <v>4</v>
      </c>
      <c r="C2342" s="315">
        <f t="shared" si="212"/>
        <v>42853</v>
      </c>
      <c r="D2342" s="315" t="s">
        <v>912</v>
      </c>
      <c r="E2342" s="315">
        <v>42853</v>
      </c>
      <c r="F2342" s="249" t="s">
        <v>1024</v>
      </c>
      <c r="G2342" s="314" t="s">
        <v>1116</v>
      </c>
      <c r="H2342" s="473" t="s">
        <v>284</v>
      </c>
      <c r="I2342" s="307">
        <v>20</v>
      </c>
      <c r="J2342" s="307">
        <v>68611</v>
      </c>
      <c r="K2342" s="532">
        <f t="shared" si="213"/>
        <v>1372220</v>
      </c>
      <c r="L2342" s="534" t="s">
        <v>223</v>
      </c>
      <c r="M2342" s="534" t="s">
        <v>162</v>
      </c>
      <c r="N2342" s="525" t="str">
        <f>IF(AND('331-CT'!$E$7=TH!H2342,OR(L2342="331",M2342="331")),"331",IF(AND(OR(L2342="131",M2342="131"),H2342='131-CT'!$E$7),"131",""))</f>
        <v/>
      </c>
      <c r="O2342" s="525" t="str">
        <f>IF(AND($B2342&gt;='111'!$N$11,$B2342&lt;='111'!$O$11,OR($L2342=$O$7,$M2342=$O$7)),"x","")</f>
        <v/>
      </c>
      <c r="P2342" s="525" t="str">
        <f>IF(AND($L2342=$O$7,$B2342&lt;'111'!$N$11),"x","")</f>
        <v/>
      </c>
      <c r="Q2342" s="525" t="str">
        <f>IF(AND($M2342=$O$7,$B2342&lt;'111'!$N$11),"x","")</f>
        <v/>
      </c>
      <c r="R2342" s="525" t="str">
        <f>IF(ISERROR(FIND('112'!$M$9,G2342,1)),"",IF((AND(FIND('112'!$M$9,G2342,1)&gt;=1,$B2342&gt;='112'!$N$8,$B2342&lt;='112'!$O$8,OR($L2342='112'!$I$6,$M2342='112'!$I$6))),"x",""))</f>
        <v/>
      </c>
      <c r="S2342" s="525" t="str">
        <f>IF(ISERROR(FIND('112'!$M$9,G2342,1)),"",IF((AND(LEFT(G2342,2)=LEFT('112'!$M$9,2),B2342&lt;'112'!$N$8,$L2342='112'!$I$6)),"x",""))</f>
        <v/>
      </c>
      <c r="T2342" s="525" t="str">
        <f>IF(ISERROR(FIND('112'!$M$9,G2342,1)),"",IF((AND(RIGHT(G2342,2)=RIGHT('112'!$M$9,2),B2342&lt;'112'!$N$8,$M2342='112'!$I$6)),"x",""))</f>
        <v/>
      </c>
      <c r="U2342" s="525" t="str">
        <f>IF(AND(B2342&gt;='IN-NX'!$P$3,B2342&lt;='IN-NX'!$Q$3,'IN-NX'!$D$7=D2342,OR(LEFT(L2342,2)="15",AND(LEFT(M2342,2)&lt;&gt;"15",LEFT(M2342,2)&lt;&gt;"33"))),"x","")</f>
        <v/>
      </c>
      <c r="V2342" s="525" t="str">
        <f>IF(AND(OR(LEFT(TH!L2342,2)="15",LEFT(TH!M2342,2)="15"),'152-CT'!$J$8=TH!F2342),"x","")</f>
        <v/>
      </c>
      <c r="W2342" s="525" t="str">
        <f>IF(AND(OR(LEFT(TH!L2342,2)="15",LEFT(TH!M2342,2)="15"),TK!$E$7=TH!F2342),"x","")</f>
        <v/>
      </c>
      <c r="X2342" s="525" t="str">
        <f>IF(AND('341-CT'!$E$9=H2342,OR(LEFT(L2342,3)=$X$7,LEFT(M2342,3)=$X$7)),"x","")</f>
        <v/>
      </c>
      <c r="Y2342" s="525" t="str">
        <f>IF(OR(TH!L2342=TH!$Y$7,M2342=TH!$Y$7),"x","")</f>
        <v/>
      </c>
      <c r="Z2342" s="525" t="str">
        <f>IF(AND(B2342&lt;=NKC!$N$8,B2342&gt;=NKC!$M$8),"x","")</f>
        <v/>
      </c>
      <c r="AA2342" s="535"/>
      <c r="AB2342" s="536"/>
    </row>
    <row r="2343" spans="1:30" s="503" customFormat="1" ht="15.75" customHeight="1">
      <c r="A2343" s="517" t="str">
        <f>IF(B2343&lt;&gt;"",IF(AND(B2343&gt;=_TM1,B2343&lt;=_TM2,OR(TH!L2343="1111",TH!M2343="1111")),TH!D2343,""),"")</f>
        <v/>
      </c>
      <c r="B2343" s="531">
        <f t="shared" si="211"/>
        <v>4</v>
      </c>
      <c r="C2343" s="315">
        <f t="shared" si="212"/>
        <v>42853</v>
      </c>
      <c r="D2343" s="315" t="s">
        <v>912</v>
      </c>
      <c r="E2343" s="315">
        <v>42853</v>
      </c>
      <c r="F2343" s="249" t="s">
        <v>1025</v>
      </c>
      <c r="G2343" s="314" t="s">
        <v>1116</v>
      </c>
      <c r="H2343" s="473" t="s">
        <v>284</v>
      </c>
      <c r="I2343" s="307">
        <v>24</v>
      </c>
      <c r="J2343" s="307">
        <v>46164</v>
      </c>
      <c r="K2343" s="532">
        <f t="shared" si="213"/>
        <v>1107936</v>
      </c>
      <c r="L2343" s="534" t="s">
        <v>223</v>
      </c>
      <c r="M2343" s="534" t="s">
        <v>162</v>
      </c>
      <c r="N2343" s="525" t="str">
        <f>IF(AND('331-CT'!$E$7=TH!H2343,OR(L2343="331",M2343="331")),"331",IF(AND(OR(L2343="131",M2343="131"),H2343='131-CT'!$E$7),"131",""))</f>
        <v/>
      </c>
      <c r="O2343" s="525" t="str">
        <f>IF(AND($B2343&gt;='111'!$N$11,$B2343&lt;='111'!$O$11,OR($L2343=$O$7,$M2343=$O$7)),"x","")</f>
        <v/>
      </c>
      <c r="P2343" s="525" t="str">
        <f>IF(AND($L2343=$O$7,$B2343&lt;'111'!$N$11),"x","")</f>
        <v/>
      </c>
      <c r="Q2343" s="525" t="str">
        <f>IF(AND($M2343=$O$7,$B2343&lt;'111'!$N$11),"x","")</f>
        <v/>
      </c>
      <c r="R2343" s="525" t="str">
        <f>IF(ISERROR(FIND('112'!$M$9,G2343,1)),"",IF((AND(FIND('112'!$M$9,G2343,1)&gt;=1,$B2343&gt;='112'!$N$8,$B2343&lt;='112'!$O$8,OR($L2343='112'!$I$6,$M2343='112'!$I$6))),"x",""))</f>
        <v/>
      </c>
      <c r="S2343" s="525" t="str">
        <f>IF(ISERROR(FIND('112'!$M$9,G2343,1)),"",IF((AND(LEFT(G2343,2)=LEFT('112'!$M$9,2),B2343&lt;'112'!$N$8,$L2343='112'!$I$6)),"x",""))</f>
        <v/>
      </c>
      <c r="T2343" s="525" t="str">
        <f>IF(ISERROR(FIND('112'!$M$9,G2343,1)),"",IF((AND(RIGHT(G2343,2)=RIGHT('112'!$M$9,2),B2343&lt;'112'!$N$8,$M2343='112'!$I$6)),"x",""))</f>
        <v/>
      </c>
      <c r="U2343" s="525" t="str">
        <f>IF(AND(B2343&gt;='IN-NX'!$P$3,B2343&lt;='IN-NX'!$Q$3,'IN-NX'!$D$7=D2343,OR(LEFT(L2343,2)="15",AND(LEFT(M2343,2)&lt;&gt;"15",LEFT(M2343,2)&lt;&gt;"33"))),"x","")</f>
        <v/>
      </c>
      <c r="V2343" s="525" t="str">
        <f>IF(AND(OR(LEFT(TH!L2343,2)="15",LEFT(TH!M2343,2)="15"),'152-CT'!$J$8=TH!F2343),"x","")</f>
        <v/>
      </c>
      <c r="W2343" s="525" t="str">
        <f>IF(AND(OR(LEFT(TH!L2343,2)="15",LEFT(TH!M2343,2)="15"),TK!$E$7=TH!F2343),"x","")</f>
        <v/>
      </c>
      <c r="X2343" s="525" t="str">
        <f>IF(AND('341-CT'!$E$9=H2343,OR(LEFT(L2343,3)=$X$7,LEFT(M2343,3)=$X$7)),"x","")</f>
        <v/>
      </c>
      <c r="Y2343" s="525" t="str">
        <f>IF(OR(TH!L2343=TH!$Y$7,M2343=TH!$Y$7),"x","")</f>
        <v/>
      </c>
      <c r="Z2343" s="525" t="str">
        <f>IF(AND(B2343&lt;=NKC!$N$8,B2343&gt;=NKC!$M$8),"x","")</f>
        <v/>
      </c>
      <c r="AA2343" s="535"/>
      <c r="AB2343" s="536"/>
    </row>
    <row r="2344" spans="1:30" s="503" customFormat="1" ht="15.75" customHeight="1">
      <c r="A2344" s="517" t="str">
        <f>IF(B2344&lt;&gt;"",IF(AND(B2344&gt;=_TM1,B2344&lt;=_TM2,OR(TH!L2344="1111",TH!M2344="1111")),TH!D2344,""),"")</f>
        <v/>
      </c>
      <c r="B2344" s="531">
        <f t="shared" si="211"/>
        <v>4</v>
      </c>
      <c r="C2344" s="315">
        <f t="shared" si="212"/>
        <v>42853</v>
      </c>
      <c r="D2344" s="315" t="s">
        <v>912</v>
      </c>
      <c r="E2344" s="315">
        <v>42853</v>
      </c>
      <c r="F2344" s="249" t="s">
        <v>1026</v>
      </c>
      <c r="G2344" s="314" t="s">
        <v>1116</v>
      </c>
      <c r="H2344" s="473" t="s">
        <v>284</v>
      </c>
      <c r="I2344" s="307">
        <v>2</v>
      </c>
      <c r="J2344" s="307">
        <v>86524</v>
      </c>
      <c r="K2344" s="532">
        <f t="shared" si="213"/>
        <v>173048</v>
      </c>
      <c r="L2344" s="534" t="s">
        <v>223</v>
      </c>
      <c r="M2344" s="534" t="s">
        <v>162</v>
      </c>
      <c r="N2344" s="525" t="str">
        <f>IF(AND('331-CT'!$E$7=TH!H2344,OR(L2344="331",M2344="331")),"331",IF(AND(OR(L2344="131",M2344="131"),H2344='131-CT'!$E$7),"131",""))</f>
        <v/>
      </c>
      <c r="O2344" s="525" t="str">
        <f>IF(AND($B2344&gt;='111'!$N$11,$B2344&lt;='111'!$O$11,OR($L2344=$O$7,$M2344=$O$7)),"x","")</f>
        <v/>
      </c>
      <c r="P2344" s="525" t="str">
        <f>IF(AND($L2344=$O$7,$B2344&lt;'111'!$N$11),"x","")</f>
        <v/>
      </c>
      <c r="Q2344" s="525" t="str">
        <f>IF(AND($M2344=$O$7,$B2344&lt;'111'!$N$11),"x","")</f>
        <v/>
      </c>
      <c r="R2344" s="525" t="str">
        <f>IF(ISERROR(FIND('112'!$M$9,G2344,1)),"",IF((AND(FIND('112'!$M$9,G2344,1)&gt;=1,$B2344&gt;='112'!$N$8,$B2344&lt;='112'!$O$8,OR($L2344='112'!$I$6,$M2344='112'!$I$6))),"x",""))</f>
        <v/>
      </c>
      <c r="S2344" s="525" t="str">
        <f>IF(ISERROR(FIND('112'!$M$9,G2344,1)),"",IF((AND(LEFT(G2344,2)=LEFT('112'!$M$9,2),B2344&lt;'112'!$N$8,$L2344='112'!$I$6)),"x",""))</f>
        <v/>
      </c>
      <c r="T2344" s="525" t="str">
        <f>IF(ISERROR(FIND('112'!$M$9,G2344,1)),"",IF((AND(RIGHT(G2344,2)=RIGHT('112'!$M$9,2),B2344&lt;'112'!$N$8,$M2344='112'!$I$6)),"x",""))</f>
        <v/>
      </c>
      <c r="U2344" s="525" t="str">
        <f>IF(AND(B2344&gt;='IN-NX'!$P$3,B2344&lt;='IN-NX'!$Q$3,'IN-NX'!$D$7=D2344,OR(LEFT(L2344,2)="15",AND(LEFT(M2344,2)&lt;&gt;"15",LEFT(M2344,2)&lt;&gt;"33"))),"x","")</f>
        <v/>
      </c>
      <c r="V2344" s="525" t="str">
        <f>IF(AND(OR(LEFT(TH!L2344,2)="15",LEFT(TH!M2344,2)="15"),'152-CT'!$J$8=TH!F2344),"x","")</f>
        <v/>
      </c>
      <c r="W2344" s="525" t="str">
        <f>IF(AND(OR(LEFT(TH!L2344,2)="15",LEFT(TH!M2344,2)="15"),TK!$E$7=TH!F2344),"x","")</f>
        <v/>
      </c>
      <c r="X2344" s="525" t="str">
        <f>IF(AND('341-CT'!$E$9=H2344,OR(LEFT(L2344,3)=$X$7,LEFT(M2344,3)=$X$7)),"x","")</f>
        <v/>
      </c>
      <c r="Y2344" s="525" t="str">
        <f>IF(OR(TH!L2344=TH!$Y$7,M2344=TH!$Y$7),"x","")</f>
        <v/>
      </c>
      <c r="Z2344" s="525" t="str">
        <f>IF(AND(B2344&lt;=NKC!$N$8,B2344&gt;=NKC!$M$8),"x","")</f>
        <v/>
      </c>
      <c r="AA2344" s="535"/>
      <c r="AB2344" s="536"/>
    </row>
    <row r="2345" spans="1:30" s="503" customFormat="1" ht="15.75" customHeight="1">
      <c r="A2345" s="517" t="str">
        <f>IF(B2345&lt;&gt;"",IF(AND(B2345&gt;=_TM1,B2345&lt;=_TM2,OR(TH!L2345="1111",TH!M2345="1111")),TH!D2345,""),"")</f>
        <v/>
      </c>
      <c r="B2345" s="531">
        <f t="shared" si="211"/>
        <v>4</v>
      </c>
      <c r="C2345" s="315">
        <f t="shared" si="212"/>
        <v>42853</v>
      </c>
      <c r="D2345" s="315" t="s">
        <v>912</v>
      </c>
      <c r="E2345" s="315">
        <v>42853</v>
      </c>
      <c r="F2345" s="249" t="s">
        <v>1027</v>
      </c>
      <c r="G2345" s="314" t="s">
        <v>1116</v>
      </c>
      <c r="H2345" s="473" t="s">
        <v>284</v>
      </c>
      <c r="I2345" s="307">
        <v>4</v>
      </c>
      <c r="J2345" s="307">
        <v>74164</v>
      </c>
      <c r="K2345" s="532">
        <f t="shared" si="213"/>
        <v>296656</v>
      </c>
      <c r="L2345" s="534" t="s">
        <v>223</v>
      </c>
      <c r="M2345" s="534" t="s">
        <v>162</v>
      </c>
      <c r="N2345" s="525" t="str">
        <f>IF(AND('331-CT'!$E$7=TH!H2345,OR(L2345="331",M2345="331")),"331",IF(AND(OR(L2345="131",M2345="131"),H2345='131-CT'!$E$7),"131",""))</f>
        <v/>
      </c>
      <c r="O2345" s="525" t="str">
        <f>IF(AND($B2345&gt;='111'!$N$11,$B2345&lt;='111'!$O$11,OR($L2345=$O$7,$M2345=$O$7)),"x","")</f>
        <v/>
      </c>
      <c r="P2345" s="525" t="str">
        <f>IF(AND($L2345=$O$7,$B2345&lt;'111'!$N$11),"x","")</f>
        <v/>
      </c>
      <c r="Q2345" s="525" t="str">
        <f>IF(AND($M2345=$O$7,$B2345&lt;'111'!$N$11),"x","")</f>
        <v/>
      </c>
      <c r="R2345" s="525" t="str">
        <f>IF(ISERROR(FIND('112'!$M$9,G2345,1)),"",IF((AND(FIND('112'!$M$9,G2345,1)&gt;=1,$B2345&gt;='112'!$N$8,$B2345&lt;='112'!$O$8,OR($L2345='112'!$I$6,$M2345='112'!$I$6))),"x",""))</f>
        <v/>
      </c>
      <c r="S2345" s="525" t="str">
        <f>IF(ISERROR(FIND('112'!$M$9,G2345,1)),"",IF((AND(LEFT(G2345,2)=LEFT('112'!$M$9,2),B2345&lt;'112'!$N$8,$L2345='112'!$I$6)),"x",""))</f>
        <v/>
      </c>
      <c r="T2345" s="525" t="str">
        <f>IF(ISERROR(FIND('112'!$M$9,G2345,1)),"",IF((AND(RIGHT(G2345,2)=RIGHT('112'!$M$9,2),B2345&lt;'112'!$N$8,$M2345='112'!$I$6)),"x",""))</f>
        <v/>
      </c>
      <c r="U2345" s="525" t="str">
        <f>IF(AND(B2345&gt;='IN-NX'!$P$3,B2345&lt;='IN-NX'!$Q$3,'IN-NX'!$D$7=D2345,OR(LEFT(L2345,2)="15",AND(LEFT(M2345,2)&lt;&gt;"15",LEFT(M2345,2)&lt;&gt;"33"))),"x","")</f>
        <v/>
      </c>
      <c r="V2345" s="525" t="str">
        <f>IF(AND(OR(LEFT(TH!L2345,2)="15",LEFT(TH!M2345,2)="15"),'152-CT'!$J$8=TH!F2345),"x","")</f>
        <v/>
      </c>
      <c r="W2345" s="525" t="str">
        <f>IF(AND(OR(LEFT(TH!L2345,2)="15",LEFT(TH!M2345,2)="15"),TK!$E$7=TH!F2345),"x","")</f>
        <v/>
      </c>
      <c r="X2345" s="525" t="str">
        <f>IF(AND('341-CT'!$E$9=H2345,OR(LEFT(L2345,3)=$X$7,LEFT(M2345,3)=$X$7)),"x","")</f>
        <v/>
      </c>
      <c r="Y2345" s="525" t="str">
        <f>IF(OR(TH!L2345=TH!$Y$7,M2345=TH!$Y$7),"x","")</f>
        <v/>
      </c>
      <c r="Z2345" s="525" t="str">
        <f>IF(AND(B2345&lt;=NKC!$N$8,B2345&gt;=NKC!$M$8),"x","")</f>
        <v/>
      </c>
      <c r="AA2345" s="535"/>
      <c r="AB2345" s="536"/>
    </row>
    <row r="2346" spans="1:30" s="503" customFormat="1" ht="15.75" customHeight="1">
      <c r="A2346" s="517" t="str">
        <f>IF(B2346&lt;&gt;"",IF(AND(B2346&gt;=_TM1,B2346&lt;=_TM2,OR(TH!L2346="1111",TH!M2346="1111")),TH!D2346,""),"")</f>
        <v/>
      </c>
      <c r="B2346" s="531">
        <f t="shared" si="211"/>
        <v>4</v>
      </c>
      <c r="C2346" s="315">
        <f t="shared" si="212"/>
        <v>42853</v>
      </c>
      <c r="D2346" s="315" t="s">
        <v>913</v>
      </c>
      <c r="E2346" s="315">
        <v>42853</v>
      </c>
      <c r="F2346" s="249" t="s">
        <v>1028</v>
      </c>
      <c r="G2346" s="314" t="s">
        <v>1116</v>
      </c>
      <c r="H2346" s="473" t="s">
        <v>284</v>
      </c>
      <c r="I2346" s="307">
        <v>15</v>
      </c>
      <c r="J2346" s="307">
        <v>91022</v>
      </c>
      <c r="K2346" s="532">
        <f t="shared" si="213"/>
        <v>1365330</v>
      </c>
      <c r="L2346" s="534" t="s">
        <v>223</v>
      </c>
      <c r="M2346" s="534" t="s">
        <v>162</v>
      </c>
      <c r="N2346" s="525" t="str">
        <f>IF(AND('331-CT'!$E$7=TH!H2346,OR(L2346="331",M2346="331")),"331",IF(AND(OR(L2346="131",M2346="131"),H2346='131-CT'!$E$7),"131",""))</f>
        <v/>
      </c>
      <c r="O2346" s="525" t="str">
        <f>IF(AND($B2346&gt;='111'!$N$11,$B2346&lt;='111'!$O$11,OR($L2346=$O$7,$M2346=$O$7)),"x","")</f>
        <v/>
      </c>
      <c r="P2346" s="525" t="str">
        <f>IF(AND($L2346=$O$7,$B2346&lt;'111'!$N$11),"x","")</f>
        <v/>
      </c>
      <c r="Q2346" s="525" t="str">
        <f>IF(AND($M2346=$O$7,$B2346&lt;'111'!$N$11),"x","")</f>
        <v/>
      </c>
      <c r="R2346" s="525" t="str">
        <f>IF(ISERROR(FIND('112'!$M$9,G2346,1)),"",IF((AND(FIND('112'!$M$9,G2346,1)&gt;=1,$B2346&gt;='112'!$N$8,$B2346&lt;='112'!$O$8,OR($L2346='112'!$I$6,$M2346='112'!$I$6))),"x",""))</f>
        <v/>
      </c>
      <c r="S2346" s="525" t="str">
        <f>IF(ISERROR(FIND('112'!$M$9,G2346,1)),"",IF((AND(LEFT(G2346,2)=LEFT('112'!$M$9,2),B2346&lt;'112'!$N$8,$L2346='112'!$I$6)),"x",""))</f>
        <v/>
      </c>
      <c r="T2346" s="525" t="str">
        <f>IF(ISERROR(FIND('112'!$M$9,G2346,1)),"",IF((AND(RIGHT(G2346,2)=RIGHT('112'!$M$9,2),B2346&lt;'112'!$N$8,$M2346='112'!$I$6)),"x",""))</f>
        <v/>
      </c>
      <c r="U2346" s="525" t="str">
        <f>IF(AND(B2346&gt;='IN-NX'!$P$3,B2346&lt;='IN-NX'!$Q$3,'IN-NX'!$D$7=D2346,OR(LEFT(L2346,2)="15",AND(LEFT(M2346,2)&lt;&gt;"15",LEFT(M2346,2)&lt;&gt;"33"))),"x","")</f>
        <v/>
      </c>
      <c r="V2346" s="525" t="str">
        <f>IF(AND(OR(LEFT(TH!L2346,2)="15",LEFT(TH!M2346,2)="15"),'152-CT'!$J$8=TH!F2346),"x","")</f>
        <v/>
      </c>
      <c r="W2346" s="525" t="str">
        <f>IF(AND(OR(LEFT(TH!L2346,2)="15",LEFT(TH!M2346,2)="15"),TK!$E$7=TH!F2346),"x","")</f>
        <v/>
      </c>
      <c r="X2346" s="525" t="str">
        <f>IF(AND('341-CT'!$E$9=H2346,OR(LEFT(L2346,3)=$X$7,LEFT(M2346,3)=$X$7)),"x","")</f>
        <v/>
      </c>
      <c r="Y2346" s="525" t="str">
        <f>IF(OR(TH!L2346=TH!$Y$7,M2346=TH!$Y$7),"x","")</f>
        <v/>
      </c>
      <c r="Z2346" s="525" t="str">
        <f>IF(AND(B2346&lt;=NKC!$N$8,B2346&gt;=NKC!$M$8),"x","")</f>
        <v/>
      </c>
      <c r="AA2346" s="535"/>
      <c r="AB2346" s="536"/>
    </row>
    <row r="2347" spans="1:30" s="503" customFormat="1" ht="15.75" customHeight="1">
      <c r="A2347" s="517" t="str">
        <f>IF(B2347&lt;&gt;"",IF(AND(B2347&gt;=_TM1,B2347&lt;=_TM2,OR(TH!L2347="1111",TH!M2347="1111")),TH!D2347,""),"")</f>
        <v/>
      </c>
      <c r="B2347" s="531">
        <f t="shared" si="211"/>
        <v>4</v>
      </c>
      <c r="C2347" s="315">
        <f t="shared" si="212"/>
        <v>42853</v>
      </c>
      <c r="D2347" s="315" t="s">
        <v>913</v>
      </c>
      <c r="E2347" s="315">
        <v>42853</v>
      </c>
      <c r="F2347" s="249" t="s">
        <v>735</v>
      </c>
      <c r="G2347" s="314" t="s">
        <v>1116</v>
      </c>
      <c r="H2347" s="473" t="s">
        <v>284</v>
      </c>
      <c r="I2347" s="307">
        <v>12</v>
      </c>
      <c r="J2347" s="307">
        <v>50673</v>
      </c>
      <c r="K2347" s="532">
        <f t="shared" si="213"/>
        <v>608076</v>
      </c>
      <c r="L2347" s="534" t="s">
        <v>223</v>
      </c>
      <c r="M2347" s="534" t="s">
        <v>162</v>
      </c>
      <c r="N2347" s="525" t="str">
        <f>IF(AND('331-CT'!$E$7=TH!H2347,OR(L2347="331",M2347="331")),"331",IF(AND(OR(L2347="131",M2347="131"),H2347='131-CT'!$E$7),"131",""))</f>
        <v/>
      </c>
      <c r="O2347" s="525" t="str">
        <f>IF(AND($B2347&gt;='111'!$N$11,$B2347&lt;='111'!$O$11,OR($L2347=$O$7,$M2347=$O$7)),"x","")</f>
        <v/>
      </c>
      <c r="P2347" s="525" t="str">
        <f>IF(AND($L2347=$O$7,$B2347&lt;'111'!$N$11),"x","")</f>
        <v/>
      </c>
      <c r="Q2347" s="525" t="str">
        <f>IF(AND($M2347=$O$7,$B2347&lt;'111'!$N$11),"x","")</f>
        <v/>
      </c>
      <c r="R2347" s="525" t="str">
        <f>IF(ISERROR(FIND('112'!$M$9,G2347,1)),"",IF((AND(FIND('112'!$M$9,G2347,1)&gt;=1,$B2347&gt;='112'!$N$8,$B2347&lt;='112'!$O$8,OR($L2347='112'!$I$6,$M2347='112'!$I$6))),"x",""))</f>
        <v/>
      </c>
      <c r="S2347" s="525" t="str">
        <f>IF(ISERROR(FIND('112'!$M$9,G2347,1)),"",IF((AND(LEFT(G2347,2)=LEFT('112'!$M$9,2),B2347&lt;'112'!$N$8,$L2347='112'!$I$6)),"x",""))</f>
        <v/>
      </c>
      <c r="T2347" s="525" t="str">
        <f>IF(ISERROR(FIND('112'!$M$9,G2347,1)),"",IF((AND(RIGHT(G2347,2)=RIGHT('112'!$M$9,2),B2347&lt;'112'!$N$8,$M2347='112'!$I$6)),"x",""))</f>
        <v/>
      </c>
      <c r="U2347" s="525" t="str">
        <f>IF(AND(B2347&gt;='IN-NX'!$P$3,B2347&lt;='IN-NX'!$Q$3,'IN-NX'!$D$7=D2347,OR(LEFT(L2347,2)="15",AND(LEFT(M2347,2)&lt;&gt;"15",LEFT(M2347,2)&lt;&gt;"33"))),"x","")</f>
        <v/>
      </c>
      <c r="V2347" s="525" t="str">
        <f>IF(AND(OR(LEFT(TH!L2347,2)="15",LEFT(TH!M2347,2)="15"),'152-CT'!$J$8=TH!F2347),"x","")</f>
        <v/>
      </c>
      <c r="W2347" s="525" t="str">
        <f>IF(AND(OR(LEFT(TH!L2347,2)="15",LEFT(TH!M2347,2)="15"),TK!$E$7=TH!F2347),"x","")</f>
        <v/>
      </c>
      <c r="X2347" s="525" t="str">
        <f>IF(AND('341-CT'!$E$9=H2347,OR(LEFT(L2347,3)=$X$7,LEFT(M2347,3)=$X$7)),"x","")</f>
        <v/>
      </c>
      <c r="Y2347" s="525" t="str">
        <f>IF(OR(TH!L2347=TH!$Y$7,M2347=TH!$Y$7),"x","")</f>
        <v/>
      </c>
      <c r="Z2347" s="525" t="str">
        <f>IF(AND(B2347&lt;=NKC!$N$8,B2347&gt;=NKC!$M$8),"x","")</f>
        <v/>
      </c>
      <c r="AA2347" s="535"/>
      <c r="AB2347" s="536"/>
    </row>
    <row r="2348" spans="1:30" s="503" customFormat="1" ht="15.75" customHeight="1">
      <c r="A2348" s="517" t="str">
        <f>IF(B2348&lt;&gt;"",IF(AND(B2348&gt;=_TM1,B2348&lt;=_TM2,OR(TH!L2348="1111",TH!M2348="1111")),TH!D2348,""),"")</f>
        <v/>
      </c>
      <c r="B2348" s="531">
        <f t="shared" si="211"/>
        <v>4</v>
      </c>
      <c r="C2348" s="315">
        <f t="shared" si="212"/>
        <v>42853</v>
      </c>
      <c r="D2348" s="315" t="s">
        <v>913</v>
      </c>
      <c r="E2348" s="315">
        <v>42853</v>
      </c>
      <c r="F2348" s="247" t="s">
        <v>736</v>
      </c>
      <c r="G2348" s="314" t="s">
        <v>1116</v>
      </c>
      <c r="H2348" s="473" t="s">
        <v>284</v>
      </c>
      <c r="I2348" s="307">
        <v>12</v>
      </c>
      <c r="J2348" s="307">
        <v>80102</v>
      </c>
      <c r="K2348" s="532">
        <f t="shared" si="213"/>
        <v>961224</v>
      </c>
      <c r="L2348" s="534" t="s">
        <v>223</v>
      </c>
      <c r="M2348" s="534" t="s">
        <v>162</v>
      </c>
      <c r="N2348" s="525" t="str">
        <f>IF(AND('331-CT'!$E$7=TH!H2348,OR(L2348="331",M2348="331")),"331",IF(AND(OR(L2348="131",M2348="131"),H2348='131-CT'!$E$7),"131",""))</f>
        <v/>
      </c>
      <c r="O2348" s="525" t="str">
        <f>IF(AND($B2348&gt;='111'!$N$11,$B2348&lt;='111'!$O$11,OR($L2348=$O$7,$M2348=$O$7)),"x","")</f>
        <v/>
      </c>
      <c r="P2348" s="525" t="str">
        <f>IF(AND($L2348=$O$7,$B2348&lt;'111'!$N$11),"x","")</f>
        <v/>
      </c>
      <c r="Q2348" s="525" t="str">
        <f>IF(AND($M2348=$O$7,$B2348&lt;'111'!$N$11),"x","")</f>
        <v/>
      </c>
      <c r="R2348" s="525" t="str">
        <f>IF(ISERROR(FIND('112'!$M$9,G2348,1)),"",IF((AND(FIND('112'!$M$9,G2348,1)&gt;=1,$B2348&gt;='112'!$N$8,$B2348&lt;='112'!$O$8,OR($L2348='112'!$I$6,$M2348='112'!$I$6))),"x",""))</f>
        <v/>
      </c>
      <c r="S2348" s="525" t="str">
        <f>IF(ISERROR(FIND('112'!$M$9,G2348,1)),"",IF((AND(LEFT(G2348,2)=LEFT('112'!$M$9,2),B2348&lt;'112'!$N$8,$L2348='112'!$I$6)),"x",""))</f>
        <v/>
      </c>
      <c r="T2348" s="525" t="str">
        <f>IF(ISERROR(FIND('112'!$M$9,G2348,1)),"",IF((AND(RIGHT(G2348,2)=RIGHT('112'!$M$9,2),B2348&lt;'112'!$N$8,$M2348='112'!$I$6)),"x",""))</f>
        <v/>
      </c>
      <c r="U2348" s="525" t="str">
        <f>IF(AND(B2348&gt;='IN-NX'!$P$3,B2348&lt;='IN-NX'!$Q$3,'IN-NX'!$D$7=D2348,OR(LEFT(L2348,2)="15",AND(LEFT(M2348,2)&lt;&gt;"15",LEFT(M2348,2)&lt;&gt;"33"))),"x","")</f>
        <v/>
      </c>
      <c r="V2348" s="525" t="str">
        <f>IF(AND(OR(LEFT(TH!L2348,2)="15",LEFT(TH!M2348,2)="15"),'152-CT'!$J$8=TH!F2348),"x","")</f>
        <v/>
      </c>
      <c r="W2348" s="525" t="str">
        <f>IF(AND(OR(LEFT(TH!L2348,2)="15",LEFT(TH!M2348,2)="15"),TK!$E$7=TH!F2348),"x","")</f>
        <v/>
      </c>
      <c r="X2348" s="525" t="str">
        <f>IF(AND('341-CT'!$E$9=H2348,OR(LEFT(L2348,3)=$X$7,LEFT(M2348,3)=$X$7)),"x","")</f>
        <v/>
      </c>
      <c r="Y2348" s="525" t="str">
        <f>IF(OR(TH!L2348=TH!$Y$7,M2348=TH!$Y$7),"x","")</f>
        <v/>
      </c>
      <c r="Z2348" s="525" t="str">
        <f>IF(AND(B2348&lt;=NKC!$N$8,B2348&gt;=NKC!$M$8),"x","")</f>
        <v/>
      </c>
      <c r="AA2348" s="535"/>
      <c r="AB2348" s="536"/>
    </row>
    <row r="2349" spans="1:30" s="503" customFormat="1" ht="15.75" customHeight="1">
      <c r="A2349" s="517" t="str">
        <f>IF(B2349&lt;&gt;"",IF(AND(B2349&gt;=_TM1,B2349&lt;=_TM2,OR(TH!L2349="1111",TH!M2349="1111")),TH!D2349,""),"")</f>
        <v/>
      </c>
      <c r="B2349" s="531">
        <f t="shared" si="211"/>
        <v>4</v>
      </c>
      <c r="C2349" s="315">
        <f t="shared" si="212"/>
        <v>42853</v>
      </c>
      <c r="D2349" s="315" t="s">
        <v>913</v>
      </c>
      <c r="E2349" s="315">
        <v>42853</v>
      </c>
      <c r="F2349" s="247" t="s">
        <v>1041</v>
      </c>
      <c r="G2349" s="314" t="s">
        <v>1116</v>
      </c>
      <c r="H2349" s="473" t="s">
        <v>284</v>
      </c>
      <c r="I2349" s="543">
        <v>12</v>
      </c>
      <c r="J2349" s="307">
        <v>21702</v>
      </c>
      <c r="K2349" s="532">
        <f t="shared" si="213"/>
        <v>260424</v>
      </c>
      <c r="L2349" s="534" t="s">
        <v>223</v>
      </c>
      <c r="M2349" s="534" t="s">
        <v>162</v>
      </c>
      <c r="N2349" s="525" t="str">
        <f>IF(AND('331-CT'!$E$7=TH!H2349,OR(L2349="331",M2349="331")),"331",IF(AND(OR(L2349="131",M2349="131"),H2349='131-CT'!$E$7),"131",""))</f>
        <v/>
      </c>
      <c r="O2349" s="525" t="str">
        <f>IF(AND($B2349&gt;='111'!$N$11,$B2349&lt;='111'!$O$11,OR($L2349=$O$7,$M2349=$O$7)),"x","")</f>
        <v/>
      </c>
      <c r="P2349" s="525" t="str">
        <f>IF(AND($L2349=$O$7,$B2349&lt;'111'!$N$11),"x","")</f>
        <v/>
      </c>
      <c r="Q2349" s="525" t="str">
        <f>IF(AND($M2349=$O$7,$B2349&lt;'111'!$N$11),"x","")</f>
        <v/>
      </c>
      <c r="R2349" s="525" t="str">
        <f>IF(ISERROR(FIND('112'!$M$9,G2349,1)),"",IF((AND(FIND('112'!$M$9,G2349,1)&gt;=1,$B2349&gt;='112'!$N$8,$B2349&lt;='112'!$O$8,OR($L2349='112'!$I$6,$M2349='112'!$I$6))),"x",""))</f>
        <v/>
      </c>
      <c r="S2349" s="525" t="str">
        <f>IF(ISERROR(FIND('112'!$M$9,G2349,1)),"",IF((AND(LEFT(G2349,2)=LEFT('112'!$M$9,2),B2349&lt;'112'!$N$8,$L2349='112'!$I$6)),"x",""))</f>
        <v/>
      </c>
      <c r="T2349" s="525" t="str">
        <f>IF(ISERROR(FIND('112'!$M$9,G2349,1)),"",IF((AND(RIGHT(G2349,2)=RIGHT('112'!$M$9,2),B2349&lt;'112'!$N$8,$M2349='112'!$I$6)),"x",""))</f>
        <v/>
      </c>
      <c r="U2349" s="525" t="str">
        <f>IF(AND(B2349&gt;='IN-NX'!$P$3,B2349&lt;='IN-NX'!$Q$3,'IN-NX'!$D$7=D2349,OR(LEFT(L2349,2)="15",AND(LEFT(M2349,2)&lt;&gt;"15",LEFT(M2349,2)&lt;&gt;"33"))),"x","")</f>
        <v/>
      </c>
      <c r="V2349" s="525" t="str">
        <f>IF(AND(OR(LEFT(TH!L2349,2)="15",LEFT(TH!M2349,2)="15"),'152-CT'!$J$8=TH!F2349),"x","")</f>
        <v/>
      </c>
      <c r="W2349" s="525" t="str">
        <f>IF(AND(OR(LEFT(TH!L2349,2)="15",LEFT(TH!M2349,2)="15"),TK!$E$7=TH!F2349),"x","")</f>
        <v/>
      </c>
      <c r="X2349" s="525" t="str">
        <f>IF(AND('341-CT'!$E$9=H2349,OR(LEFT(L2349,3)=$X$7,LEFT(M2349,3)=$X$7)),"x","")</f>
        <v/>
      </c>
      <c r="Y2349" s="525" t="str">
        <f>IF(OR(TH!L2349=TH!$Y$7,M2349=TH!$Y$7),"x","")</f>
        <v/>
      </c>
      <c r="Z2349" s="525" t="str">
        <f>IF(AND(B2349&lt;=NKC!$N$8,B2349&gt;=NKC!$M$8),"x","")</f>
        <v/>
      </c>
      <c r="AA2349" s="535"/>
      <c r="AB2349" s="536"/>
    </row>
    <row r="2350" spans="1:30" s="503" customFormat="1" ht="15.75" customHeight="1">
      <c r="A2350" s="517" t="str">
        <f>IF(B2350&lt;&gt;"",IF(AND(B2350&gt;=_TM1,B2350&lt;=_TM2,OR(TH!L2350="1111",TH!M2350="1111")),TH!D2350,""),"")</f>
        <v/>
      </c>
      <c r="B2350" s="531">
        <f t="shared" si="211"/>
        <v>4</v>
      </c>
      <c r="C2350" s="315">
        <f t="shared" si="212"/>
        <v>42853</v>
      </c>
      <c r="D2350" s="315" t="s">
        <v>913</v>
      </c>
      <c r="E2350" s="315">
        <v>42853</v>
      </c>
      <c r="F2350" s="247" t="s">
        <v>665</v>
      </c>
      <c r="G2350" s="314" t="s">
        <v>1116</v>
      </c>
      <c r="H2350" s="473" t="s">
        <v>284</v>
      </c>
      <c r="I2350" s="543">
        <v>12</v>
      </c>
      <c r="J2350" s="307">
        <v>14722</v>
      </c>
      <c r="K2350" s="532">
        <f t="shared" ref="K2350:K2381" si="214">ROUND(I2350*J2350,0)</f>
        <v>176664</v>
      </c>
      <c r="L2350" s="534" t="s">
        <v>223</v>
      </c>
      <c r="M2350" s="534" t="s">
        <v>162</v>
      </c>
      <c r="N2350" s="525" t="str">
        <f>IF(AND('331-CT'!$E$7=TH!H2350,OR(L2350="331",M2350="331")),"331",IF(AND(OR(L2350="131",M2350="131"),H2350='131-CT'!$E$7),"131",""))</f>
        <v/>
      </c>
      <c r="O2350" s="525" t="str">
        <f>IF(AND($B2350&gt;='111'!$N$11,$B2350&lt;='111'!$O$11,OR($L2350=$O$7,$M2350=$O$7)),"x","")</f>
        <v/>
      </c>
      <c r="P2350" s="525" t="str">
        <f>IF(AND($L2350=$O$7,$B2350&lt;'111'!$N$11),"x","")</f>
        <v/>
      </c>
      <c r="Q2350" s="525" t="str">
        <f>IF(AND($M2350=$O$7,$B2350&lt;'111'!$N$11),"x","")</f>
        <v/>
      </c>
      <c r="R2350" s="525" t="str">
        <f>IF(ISERROR(FIND('112'!$M$9,G2350,1)),"",IF((AND(FIND('112'!$M$9,G2350,1)&gt;=1,$B2350&gt;='112'!$N$8,$B2350&lt;='112'!$O$8,OR($L2350='112'!$I$6,$M2350='112'!$I$6))),"x",""))</f>
        <v/>
      </c>
      <c r="S2350" s="525" t="str">
        <f>IF(ISERROR(FIND('112'!$M$9,G2350,1)),"",IF((AND(LEFT(G2350,2)=LEFT('112'!$M$9,2),B2350&lt;'112'!$N$8,$L2350='112'!$I$6)),"x",""))</f>
        <v/>
      </c>
      <c r="T2350" s="525" t="str">
        <f>IF(ISERROR(FIND('112'!$M$9,G2350,1)),"",IF((AND(RIGHT(G2350,2)=RIGHT('112'!$M$9,2),B2350&lt;'112'!$N$8,$M2350='112'!$I$6)),"x",""))</f>
        <v/>
      </c>
      <c r="U2350" s="525" t="str">
        <f>IF(AND(B2350&gt;='IN-NX'!$P$3,B2350&lt;='IN-NX'!$Q$3,'IN-NX'!$D$7=D2350,OR(LEFT(L2350,2)="15",AND(LEFT(M2350,2)&lt;&gt;"15",LEFT(M2350,2)&lt;&gt;"33"))),"x","")</f>
        <v/>
      </c>
      <c r="V2350" s="525" t="str">
        <f>IF(AND(OR(LEFT(TH!L2350,2)="15",LEFT(TH!M2350,2)="15"),'152-CT'!$J$8=TH!F2350),"x","")</f>
        <v/>
      </c>
      <c r="W2350" s="525" t="str">
        <f>IF(AND(OR(LEFT(TH!L2350,2)="15",LEFT(TH!M2350,2)="15"),TK!$E$7=TH!F2350),"x","")</f>
        <v/>
      </c>
      <c r="X2350" s="525" t="str">
        <f>IF(AND('341-CT'!$E$9=H2350,OR(LEFT(L2350,3)=$X$7,LEFT(M2350,3)=$X$7)),"x","")</f>
        <v/>
      </c>
      <c r="Y2350" s="525" t="str">
        <f>IF(OR(TH!L2350=TH!$Y$7,M2350=TH!$Y$7),"x","")</f>
        <v/>
      </c>
      <c r="Z2350" s="525" t="str">
        <f>IF(AND(B2350&lt;=NKC!$N$8,B2350&gt;=NKC!$M$8),"x","")</f>
        <v/>
      </c>
      <c r="AA2350" s="535"/>
      <c r="AB2350" s="536"/>
    </row>
    <row r="2351" spans="1:30" s="503" customFormat="1" ht="15.75" customHeight="1">
      <c r="A2351" s="517" t="str">
        <f>IF(B2351&lt;&gt;"",IF(AND(B2351&gt;=_TM1,B2351&lt;=_TM2,OR(TH!L2351="1111",TH!M2351="1111")),TH!D2351,""),"")</f>
        <v/>
      </c>
      <c r="B2351" s="531">
        <f t="shared" si="211"/>
        <v>4</v>
      </c>
      <c r="C2351" s="315">
        <f t="shared" si="212"/>
        <v>42853</v>
      </c>
      <c r="D2351" s="315" t="s">
        <v>913</v>
      </c>
      <c r="E2351" s="315">
        <v>42853</v>
      </c>
      <c r="F2351" s="247" t="s">
        <v>1042</v>
      </c>
      <c r="G2351" s="314" t="s">
        <v>1116</v>
      </c>
      <c r="H2351" s="473" t="s">
        <v>284</v>
      </c>
      <c r="I2351" s="307">
        <v>24</v>
      </c>
      <c r="J2351" s="307">
        <v>18562</v>
      </c>
      <c r="K2351" s="532">
        <f t="shared" si="214"/>
        <v>445488</v>
      </c>
      <c r="L2351" s="534" t="s">
        <v>223</v>
      </c>
      <c r="M2351" s="534" t="s">
        <v>162</v>
      </c>
      <c r="N2351" s="525" t="str">
        <f>IF(AND('331-CT'!$E$7=TH!H2351,OR(L2351="331",M2351="331")),"331",IF(AND(OR(L2351="131",M2351="131"),H2351='131-CT'!$E$7),"131",""))</f>
        <v/>
      </c>
      <c r="O2351" s="525" t="str">
        <f>IF(AND($B2351&gt;='111'!$N$11,$B2351&lt;='111'!$O$11,OR($L2351=$O$7,$M2351=$O$7)),"x","")</f>
        <v/>
      </c>
      <c r="P2351" s="525" t="str">
        <f>IF(AND($L2351=$O$7,$B2351&lt;'111'!$N$11),"x","")</f>
        <v/>
      </c>
      <c r="Q2351" s="525" t="str">
        <f>IF(AND($M2351=$O$7,$B2351&lt;'111'!$N$11),"x","")</f>
        <v/>
      </c>
      <c r="R2351" s="525" t="str">
        <f>IF(ISERROR(FIND('112'!$M$9,G2351,1)),"",IF((AND(FIND('112'!$M$9,G2351,1)&gt;=1,$B2351&gt;='112'!$N$8,$B2351&lt;='112'!$O$8,OR($L2351='112'!$I$6,$M2351='112'!$I$6))),"x",""))</f>
        <v/>
      </c>
      <c r="S2351" s="525" t="str">
        <f>IF(ISERROR(FIND('112'!$M$9,G2351,1)),"",IF((AND(LEFT(G2351,2)=LEFT('112'!$M$9,2),B2351&lt;'112'!$N$8,$L2351='112'!$I$6)),"x",""))</f>
        <v/>
      </c>
      <c r="T2351" s="525" t="str">
        <f>IF(ISERROR(FIND('112'!$M$9,G2351,1)),"",IF((AND(RIGHT(G2351,2)=RIGHT('112'!$M$9,2),B2351&lt;'112'!$N$8,$M2351='112'!$I$6)),"x",""))</f>
        <v/>
      </c>
      <c r="U2351" s="525" t="str">
        <f>IF(AND(B2351&gt;='IN-NX'!$P$3,B2351&lt;='IN-NX'!$Q$3,'IN-NX'!$D$7=D2351,OR(LEFT(L2351,2)="15",AND(LEFT(M2351,2)&lt;&gt;"15",LEFT(M2351,2)&lt;&gt;"33"))),"x","")</f>
        <v/>
      </c>
      <c r="V2351" s="525" t="str">
        <f>IF(AND(OR(LEFT(TH!L2351,2)="15",LEFT(TH!M2351,2)="15"),'152-CT'!$J$8=TH!F2351),"x","")</f>
        <v/>
      </c>
      <c r="W2351" s="525" t="str">
        <f>IF(AND(OR(LEFT(TH!L2351,2)="15",LEFT(TH!M2351,2)="15"),TK!$E$7=TH!F2351),"x","")</f>
        <v/>
      </c>
      <c r="X2351" s="525" t="str">
        <f>IF(AND('341-CT'!$E$9=H2351,OR(LEFT(L2351,3)=$X$7,LEFT(M2351,3)=$X$7)),"x","")</f>
        <v/>
      </c>
      <c r="Y2351" s="525" t="str">
        <f>IF(OR(TH!L2351=TH!$Y$7,M2351=TH!$Y$7),"x","")</f>
        <v/>
      </c>
      <c r="Z2351" s="525" t="str">
        <f>IF(AND(B2351&lt;=NKC!$N$8,B2351&gt;=NKC!$M$8),"x","")</f>
        <v/>
      </c>
      <c r="AA2351" s="535"/>
      <c r="AB2351" s="536"/>
    </row>
    <row r="2352" spans="1:30" s="503" customFormat="1" ht="15.75" customHeight="1">
      <c r="A2352" s="517" t="str">
        <f>IF(B2352&lt;&gt;"",IF(AND(B2352&gt;=_TM1,B2352&lt;=_TM2,OR(TH!L2352="1111",TH!M2352="1111")),TH!D2352,""),"")</f>
        <v/>
      </c>
      <c r="B2352" s="531">
        <f t="shared" si="211"/>
        <v>4</v>
      </c>
      <c r="C2352" s="315">
        <f t="shared" si="212"/>
        <v>42853</v>
      </c>
      <c r="D2352" s="315" t="s">
        <v>913</v>
      </c>
      <c r="E2352" s="315">
        <v>42853</v>
      </c>
      <c r="F2352" s="249" t="s">
        <v>652</v>
      </c>
      <c r="G2352" s="314" t="s">
        <v>1116</v>
      </c>
      <c r="H2352" s="473" t="s">
        <v>284</v>
      </c>
      <c r="I2352" s="307">
        <v>6</v>
      </c>
      <c r="J2352" s="307">
        <v>19446</v>
      </c>
      <c r="K2352" s="532">
        <f t="shared" si="214"/>
        <v>116676</v>
      </c>
      <c r="L2352" s="534" t="s">
        <v>223</v>
      </c>
      <c r="M2352" s="534" t="s">
        <v>162</v>
      </c>
      <c r="N2352" s="525" t="str">
        <f>IF(AND('331-CT'!$E$7=TH!H2352,OR(L2352="331",M2352="331")),"331",IF(AND(OR(L2352="131",M2352="131"),H2352='131-CT'!$E$7),"131",""))</f>
        <v/>
      </c>
      <c r="O2352" s="525" t="str">
        <f>IF(AND($B2352&gt;='111'!$N$11,$B2352&lt;='111'!$O$11,OR($L2352=$O$7,$M2352=$O$7)),"x","")</f>
        <v/>
      </c>
      <c r="P2352" s="525" t="str">
        <f>IF(AND($L2352=$O$7,$B2352&lt;'111'!$N$11),"x","")</f>
        <v/>
      </c>
      <c r="Q2352" s="525" t="str">
        <f>IF(AND($M2352=$O$7,$B2352&lt;'111'!$N$11),"x","")</f>
        <v/>
      </c>
      <c r="R2352" s="525" t="str">
        <f>IF(ISERROR(FIND('112'!$M$9,G2352,1)),"",IF((AND(FIND('112'!$M$9,G2352,1)&gt;=1,$B2352&gt;='112'!$N$8,$B2352&lt;='112'!$O$8,OR($L2352='112'!$I$6,$M2352='112'!$I$6))),"x",""))</f>
        <v/>
      </c>
      <c r="S2352" s="525" t="str">
        <f>IF(ISERROR(FIND('112'!$M$9,G2352,1)),"",IF((AND(LEFT(G2352,2)=LEFT('112'!$M$9,2),B2352&lt;'112'!$N$8,$L2352='112'!$I$6)),"x",""))</f>
        <v/>
      </c>
      <c r="T2352" s="525" t="str">
        <f>IF(ISERROR(FIND('112'!$M$9,G2352,1)),"",IF((AND(RIGHT(G2352,2)=RIGHT('112'!$M$9,2),B2352&lt;'112'!$N$8,$M2352='112'!$I$6)),"x",""))</f>
        <v/>
      </c>
      <c r="U2352" s="525" t="str">
        <f>IF(AND(B2352&gt;='IN-NX'!$P$3,B2352&lt;='IN-NX'!$Q$3,'IN-NX'!$D$7=D2352,OR(LEFT(L2352,2)="15",AND(LEFT(M2352,2)&lt;&gt;"15",LEFT(M2352,2)&lt;&gt;"33"))),"x","")</f>
        <v/>
      </c>
      <c r="V2352" s="525" t="str">
        <f>IF(AND(OR(LEFT(TH!L2352,2)="15",LEFT(TH!M2352,2)="15"),'152-CT'!$J$8=TH!F2352),"x","")</f>
        <v/>
      </c>
      <c r="W2352" s="525" t="str">
        <f>IF(AND(OR(LEFT(TH!L2352,2)="15",LEFT(TH!M2352,2)="15"),TK!$E$7=TH!F2352),"x","")</f>
        <v/>
      </c>
      <c r="X2352" s="525" t="str">
        <f>IF(AND('341-CT'!$E$9=H2352,OR(LEFT(L2352,3)=$X$7,LEFT(M2352,3)=$X$7)),"x","")</f>
        <v/>
      </c>
      <c r="Y2352" s="525" t="str">
        <f>IF(OR(TH!L2352=TH!$Y$7,M2352=TH!$Y$7),"x","")</f>
        <v/>
      </c>
      <c r="Z2352" s="525" t="str">
        <f>IF(AND(B2352&lt;=NKC!$N$8,B2352&gt;=NKC!$M$8),"x","")</f>
        <v/>
      </c>
      <c r="AA2352" s="535"/>
      <c r="AB2352" s="536"/>
    </row>
    <row r="2353" spans="1:28" s="503" customFormat="1" ht="15.75" customHeight="1">
      <c r="A2353" s="517" t="str">
        <f>IF(B2353&lt;&gt;"",IF(AND(B2353&gt;=_TM1,B2353&lt;=_TM2,OR(TH!L2353="1111",TH!M2353="1111")),TH!D2353,""),"")</f>
        <v/>
      </c>
      <c r="B2353" s="531">
        <f t="shared" si="211"/>
        <v>4</v>
      </c>
      <c r="C2353" s="315">
        <f t="shared" si="212"/>
        <v>42853</v>
      </c>
      <c r="D2353" s="315" t="s">
        <v>913</v>
      </c>
      <c r="E2353" s="315">
        <v>42853</v>
      </c>
      <c r="F2353" s="249" t="s">
        <v>1043</v>
      </c>
      <c r="G2353" s="314" t="s">
        <v>1116</v>
      </c>
      <c r="H2353" s="473" t="s">
        <v>284</v>
      </c>
      <c r="I2353" s="307">
        <v>6</v>
      </c>
      <c r="J2353" s="307">
        <v>25194</v>
      </c>
      <c r="K2353" s="532">
        <f t="shared" si="214"/>
        <v>151164</v>
      </c>
      <c r="L2353" s="534" t="s">
        <v>223</v>
      </c>
      <c r="M2353" s="534" t="s">
        <v>162</v>
      </c>
      <c r="N2353" s="525" t="str">
        <f>IF(AND('331-CT'!$E$7=TH!H2353,OR(L2353="331",M2353="331")),"331",IF(AND(OR(L2353="131",M2353="131"),H2353='131-CT'!$E$7),"131",""))</f>
        <v/>
      </c>
      <c r="O2353" s="525" t="str">
        <f>IF(AND($B2353&gt;='111'!$N$11,$B2353&lt;='111'!$O$11,OR($L2353=$O$7,$M2353=$O$7)),"x","")</f>
        <v/>
      </c>
      <c r="P2353" s="525" t="str">
        <f>IF(AND($L2353=$O$7,$B2353&lt;'111'!$N$11),"x","")</f>
        <v/>
      </c>
      <c r="Q2353" s="525" t="str">
        <f>IF(AND($M2353=$O$7,$B2353&lt;'111'!$N$11),"x","")</f>
        <v/>
      </c>
      <c r="R2353" s="525" t="str">
        <f>IF(ISERROR(FIND('112'!$M$9,G2353,1)),"",IF((AND(FIND('112'!$M$9,G2353,1)&gt;=1,$B2353&gt;='112'!$N$8,$B2353&lt;='112'!$O$8,OR($L2353='112'!$I$6,$M2353='112'!$I$6))),"x",""))</f>
        <v/>
      </c>
      <c r="S2353" s="525" t="str">
        <f>IF(ISERROR(FIND('112'!$M$9,G2353,1)),"",IF((AND(LEFT(G2353,2)=LEFT('112'!$M$9,2),B2353&lt;'112'!$N$8,$L2353='112'!$I$6)),"x",""))</f>
        <v/>
      </c>
      <c r="T2353" s="525" t="str">
        <f>IF(ISERROR(FIND('112'!$M$9,G2353,1)),"",IF((AND(RIGHT(G2353,2)=RIGHT('112'!$M$9,2),B2353&lt;'112'!$N$8,$M2353='112'!$I$6)),"x",""))</f>
        <v/>
      </c>
      <c r="U2353" s="525" t="str">
        <f>IF(AND(B2353&gt;='IN-NX'!$P$3,B2353&lt;='IN-NX'!$Q$3,'IN-NX'!$D$7=D2353,OR(LEFT(L2353,2)="15",AND(LEFT(M2353,2)&lt;&gt;"15",LEFT(M2353,2)&lt;&gt;"33"))),"x","")</f>
        <v/>
      </c>
      <c r="V2353" s="525" t="str">
        <f>IF(AND(OR(LEFT(TH!L2353,2)="15",LEFT(TH!M2353,2)="15"),'152-CT'!$J$8=TH!F2353),"x","")</f>
        <v/>
      </c>
      <c r="W2353" s="525" t="str">
        <f>IF(AND(OR(LEFT(TH!L2353,2)="15",LEFT(TH!M2353,2)="15"),TK!$E$7=TH!F2353),"x","")</f>
        <v/>
      </c>
      <c r="X2353" s="525" t="str">
        <f>IF(AND('341-CT'!$E$9=H2353,OR(LEFT(L2353,3)=$X$7,LEFT(M2353,3)=$X$7)),"x","")</f>
        <v/>
      </c>
      <c r="Y2353" s="525" t="str">
        <f>IF(OR(TH!L2353=TH!$Y$7,M2353=TH!$Y$7),"x","")</f>
        <v/>
      </c>
      <c r="Z2353" s="525" t="str">
        <f>IF(AND(B2353&lt;=NKC!$N$8,B2353&gt;=NKC!$M$8),"x","")</f>
        <v/>
      </c>
      <c r="AA2353" s="535"/>
      <c r="AB2353" s="536"/>
    </row>
    <row r="2354" spans="1:28" s="503" customFormat="1" ht="15.75" customHeight="1">
      <c r="A2354" s="517" t="str">
        <f>IF(B2354&lt;&gt;"",IF(AND(B2354&gt;=_TM1,B2354&lt;=_TM2,OR(TH!L2354="1111",TH!M2354="1111")),TH!D2354,""),"")</f>
        <v/>
      </c>
      <c r="B2354" s="531">
        <f t="shared" si="211"/>
        <v>4</v>
      </c>
      <c r="C2354" s="315">
        <f t="shared" si="212"/>
        <v>42853</v>
      </c>
      <c r="D2354" s="315" t="s">
        <v>913</v>
      </c>
      <c r="E2354" s="315">
        <v>42853</v>
      </c>
      <c r="F2354" s="250" t="s">
        <v>1044</v>
      </c>
      <c r="G2354" s="314" t="s">
        <v>1116</v>
      </c>
      <c r="H2354" s="473" t="s">
        <v>284</v>
      </c>
      <c r="I2354" s="307">
        <v>24</v>
      </c>
      <c r="J2354" s="307">
        <v>18260</v>
      </c>
      <c r="K2354" s="532">
        <f t="shared" si="214"/>
        <v>438240</v>
      </c>
      <c r="L2354" s="534" t="s">
        <v>223</v>
      </c>
      <c r="M2354" s="534" t="s">
        <v>162</v>
      </c>
      <c r="N2354" s="525" t="str">
        <f>IF(AND('331-CT'!$E$7=TH!H2354,OR(L2354="331",M2354="331")),"331",IF(AND(OR(L2354="131",M2354="131"),H2354='131-CT'!$E$7),"131",""))</f>
        <v/>
      </c>
      <c r="O2354" s="525" t="str">
        <f>IF(AND($B2354&gt;='111'!$N$11,$B2354&lt;='111'!$O$11,OR($L2354=$O$7,$M2354=$O$7)),"x","")</f>
        <v/>
      </c>
      <c r="P2354" s="525" t="str">
        <f>IF(AND($L2354=$O$7,$B2354&lt;'111'!$N$11),"x","")</f>
        <v/>
      </c>
      <c r="Q2354" s="525" t="str">
        <f>IF(AND($M2354=$O$7,$B2354&lt;'111'!$N$11),"x","")</f>
        <v/>
      </c>
      <c r="R2354" s="525" t="str">
        <f>IF(ISERROR(FIND('112'!$M$9,G2354,1)),"",IF((AND(FIND('112'!$M$9,G2354,1)&gt;=1,$B2354&gt;='112'!$N$8,$B2354&lt;='112'!$O$8,OR($L2354='112'!$I$6,$M2354='112'!$I$6))),"x",""))</f>
        <v/>
      </c>
      <c r="S2354" s="525" t="str">
        <f>IF(ISERROR(FIND('112'!$M$9,G2354,1)),"",IF((AND(LEFT(G2354,2)=LEFT('112'!$M$9,2),B2354&lt;'112'!$N$8,$L2354='112'!$I$6)),"x",""))</f>
        <v/>
      </c>
      <c r="T2354" s="525" t="str">
        <f>IF(ISERROR(FIND('112'!$M$9,G2354,1)),"",IF((AND(RIGHT(G2354,2)=RIGHT('112'!$M$9,2),B2354&lt;'112'!$N$8,$M2354='112'!$I$6)),"x",""))</f>
        <v/>
      </c>
      <c r="U2354" s="525" t="str">
        <f>IF(AND(B2354&gt;='IN-NX'!$P$3,B2354&lt;='IN-NX'!$Q$3,'IN-NX'!$D$7=D2354,OR(LEFT(L2354,2)="15",AND(LEFT(M2354,2)&lt;&gt;"15",LEFT(M2354,2)&lt;&gt;"33"))),"x","")</f>
        <v/>
      </c>
      <c r="V2354" s="525" t="str">
        <f>IF(AND(OR(LEFT(TH!L2354,2)="15",LEFT(TH!M2354,2)="15"),'152-CT'!$J$8=TH!F2354),"x","")</f>
        <v/>
      </c>
      <c r="W2354" s="525" t="str">
        <f>IF(AND(OR(LEFT(TH!L2354,2)="15",LEFT(TH!M2354,2)="15"),TK!$E$7=TH!F2354),"x","")</f>
        <v/>
      </c>
      <c r="X2354" s="525" t="str">
        <f>IF(AND('341-CT'!$E$9=H2354,OR(LEFT(L2354,3)=$X$7,LEFT(M2354,3)=$X$7)),"x","")</f>
        <v/>
      </c>
      <c r="Y2354" s="525" t="str">
        <f>IF(OR(TH!L2354=TH!$Y$7,M2354=TH!$Y$7),"x","")</f>
        <v/>
      </c>
      <c r="Z2354" s="525" t="str">
        <f>IF(AND(B2354&lt;=NKC!$N$8,B2354&gt;=NKC!$M$8),"x","")</f>
        <v/>
      </c>
      <c r="AA2354" s="535"/>
      <c r="AB2354" s="536"/>
    </row>
    <row r="2355" spans="1:28" s="503" customFormat="1" ht="15.75" customHeight="1">
      <c r="A2355" s="517" t="str">
        <f>IF(B2355&lt;&gt;"",IF(AND(B2355&gt;=_TM1,B2355&lt;=_TM2,OR(TH!L2355="1111",TH!M2355="1111")),TH!D2355,""),"")</f>
        <v/>
      </c>
      <c r="B2355" s="531">
        <f t="shared" si="211"/>
        <v>4</v>
      </c>
      <c r="C2355" s="315">
        <f t="shared" si="212"/>
        <v>42853</v>
      </c>
      <c r="D2355" s="315" t="s">
        <v>913</v>
      </c>
      <c r="E2355" s="315">
        <v>42853</v>
      </c>
      <c r="F2355" s="247" t="s">
        <v>761</v>
      </c>
      <c r="G2355" s="314" t="s">
        <v>1116</v>
      </c>
      <c r="H2355" s="473" t="s">
        <v>284</v>
      </c>
      <c r="I2355" s="307">
        <v>12</v>
      </c>
      <c r="J2355" s="307">
        <v>37563</v>
      </c>
      <c r="K2355" s="532">
        <f t="shared" si="214"/>
        <v>450756</v>
      </c>
      <c r="L2355" s="534" t="s">
        <v>223</v>
      </c>
      <c r="M2355" s="534" t="s">
        <v>162</v>
      </c>
      <c r="N2355" s="525" t="str">
        <f>IF(AND('331-CT'!$E$7=TH!H2355,OR(L2355="331",M2355="331")),"331",IF(AND(OR(L2355="131",M2355="131"),H2355='131-CT'!$E$7),"131",""))</f>
        <v/>
      </c>
      <c r="O2355" s="525" t="str">
        <f>IF(AND($B2355&gt;='111'!$N$11,$B2355&lt;='111'!$O$11,OR($L2355=$O$7,$M2355=$O$7)),"x","")</f>
        <v/>
      </c>
      <c r="P2355" s="525" t="str">
        <f>IF(AND($L2355=$O$7,$B2355&lt;'111'!$N$11),"x","")</f>
        <v/>
      </c>
      <c r="Q2355" s="525" t="str">
        <f>IF(AND($M2355=$O$7,$B2355&lt;'111'!$N$11),"x","")</f>
        <v/>
      </c>
      <c r="R2355" s="525" t="str">
        <f>IF(ISERROR(FIND('112'!$M$9,G2355,1)),"",IF((AND(FIND('112'!$M$9,G2355,1)&gt;=1,$B2355&gt;='112'!$N$8,$B2355&lt;='112'!$O$8,OR($L2355='112'!$I$6,$M2355='112'!$I$6))),"x",""))</f>
        <v/>
      </c>
      <c r="S2355" s="525" t="str">
        <f>IF(ISERROR(FIND('112'!$M$9,G2355,1)),"",IF((AND(LEFT(G2355,2)=LEFT('112'!$M$9,2),B2355&lt;'112'!$N$8,$L2355='112'!$I$6)),"x",""))</f>
        <v/>
      </c>
      <c r="T2355" s="525" t="str">
        <f>IF(ISERROR(FIND('112'!$M$9,G2355,1)),"",IF((AND(RIGHT(G2355,2)=RIGHT('112'!$M$9,2),B2355&lt;'112'!$N$8,$M2355='112'!$I$6)),"x",""))</f>
        <v/>
      </c>
      <c r="U2355" s="525" t="str">
        <f>IF(AND(B2355&gt;='IN-NX'!$P$3,B2355&lt;='IN-NX'!$Q$3,'IN-NX'!$D$7=D2355,OR(LEFT(L2355,2)="15",AND(LEFT(M2355,2)&lt;&gt;"15",LEFT(M2355,2)&lt;&gt;"33"))),"x","")</f>
        <v/>
      </c>
      <c r="V2355" s="525" t="str">
        <f>IF(AND(OR(LEFT(TH!L2355,2)="15",LEFT(TH!M2355,2)="15"),'152-CT'!$J$8=TH!F2355),"x","")</f>
        <v/>
      </c>
      <c r="W2355" s="525" t="str">
        <f>IF(AND(OR(LEFT(TH!L2355,2)="15",LEFT(TH!M2355,2)="15"),TK!$E$7=TH!F2355),"x","")</f>
        <v/>
      </c>
      <c r="X2355" s="525" t="str">
        <f>IF(AND('341-CT'!$E$9=H2355,OR(LEFT(L2355,3)=$X$7,LEFT(M2355,3)=$X$7)),"x","")</f>
        <v/>
      </c>
      <c r="Y2355" s="525" t="str">
        <f>IF(OR(TH!L2355=TH!$Y$7,M2355=TH!$Y$7),"x","")</f>
        <v/>
      </c>
      <c r="Z2355" s="525" t="str">
        <f>IF(AND(B2355&lt;=NKC!$N$8,B2355&gt;=NKC!$M$8),"x","")</f>
        <v/>
      </c>
      <c r="AA2355" s="535"/>
      <c r="AB2355" s="536"/>
    </row>
    <row r="2356" spans="1:28" s="503" customFormat="1" ht="15.75" customHeight="1">
      <c r="A2356" s="517" t="str">
        <f>IF(B2356&lt;&gt;"",IF(AND(B2356&gt;=_TM1,B2356&lt;=_TM2,OR(TH!L2356="1111",TH!M2356="1111")),TH!D2356,""),"")</f>
        <v/>
      </c>
      <c r="B2356" s="531">
        <f t="shared" si="211"/>
        <v>4</v>
      </c>
      <c r="C2356" s="315">
        <f t="shared" si="212"/>
        <v>42853</v>
      </c>
      <c r="D2356" s="315" t="s">
        <v>913</v>
      </c>
      <c r="E2356" s="315">
        <v>42853</v>
      </c>
      <c r="F2356" s="247" t="s">
        <v>1045</v>
      </c>
      <c r="G2356" s="314" t="s">
        <v>1116</v>
      </c>
      <c r="H2356" s="473" t="s">
        <v>284</v>
      </c>
      <c r="I2356" s="307">
        <v>144</v>
      </c>
      <c r="J2356" s="307">
        <v>41937</v>
      </c>
      <c r="K2356" s="532">
        <f t="shared" si="214"/>
        <v>6038928</v>
      </c>
      <c r="L2356" s="534" t="s">
        <v>223</v>
      </c>
      <c r="M2356" s="534" t="s">
        <v>162</v>
      </c>
      <c r="N2356" s="525" t="str">
        <f>IF(AND('331-CT'!$E$7=TH!H2356,OR(L2356="331",M2356="331")),"331",IF(AND(OR(L2356="131",M2356="131"),H2356='131-CT'!$E$7),"131",""))</f>
        <v/>
      </c>
      <c r="O2356" s="525" t="str">
        <f>IF(AND($B2356&gt;='111'!$N$11,$B2356&lt;='111'!$O$11,OR($L2356=$O$7,$M2356=$O$7)),"x","")</f>
        <v/>
      </c>
      <c r="P2356" s="525" t="str">
        <f>IF(AND($L2356=$O$7,$B2356&lt;'111'!$N$11),"x","")</f>
        <v/>
      </c>
      <c r="Q2356" s="525" t="str">
        <f>IF(AND($M2356=$O$7,$B2356&lt;'111'!$N$11),"x","")</f>
        <v/>
      </c>
      <c r="R2356" s="525" t="str">
        <f>IF(ISERROR(FIND('112'!$M$9,G2356,1)),"",IF((AND(FIND('112'!$M$9,G2356,1)&gt;=1,$B2356&gt;='112'!$N$8,$B2356&lt;='112'!$O$8,OR($L2356='112'!$I$6,$M2356='112'!$I$6))),"x",""))</f>
        <v/>
      </c>
      <c r="S2356" s="525" t="str">
        <f>IF(ISERROR(FIND('112'!$M$9,G2356,1)),"",IF((AND(LEFT(G2356,2)=LEFT('112'!$M$9,2),B2356&lt;'112'!$N$8,$L2356='112'!$I$6)),"x",""))</f>
        <v/>
      </c>
      <c r="T2356" s="525" t="str">
        <f>IF(ISERROR(FIND('112'!$M$9,G2356,1)),"",IF((AND(RIGHT(G2356,2)=RIGHT('112'!$M$9,2),B2356&lt;'112'!$N$8,$M2356='112'!$I$6)),"x",""))</f>
        <v/>
      </c>
      <c r="U2356" s="525" t="str">
        <f>IF(AND(B2356&gt;='IN-NX'!$P$3,B2356&lt;='IN-NX'!$Q$3,'IN-NX'!$D$7=D2356,OR(LEFT(L2356,2)="15",AND(LEFT(M2356,2)&lt;&gt;"15",LEFT(M2356,2)&lt;&gt;"33"))),"x","")</f>
        <v/>
      </c>
      <c r="V2356" s="525" t="str">
        <f>IF(AND(OR(LEFT(TH!L2356,2)="15",LEFT(TH!M2356,2)="15"),'152-CT'!$J$8=TH!F2356),"x","")</f>
        <v/>
      </c>
      <c r="W2356" s="525" t="str">
        <f>IF(AND(OR(LEFT(TH!L2356,2)="15",LEFT(TH!M2356,2)="15"),TK!$E$7=TH!F2356),"x","")</f>
        <v/>
      </c>
      <c r="X2356" s="525" t="str">
        <f>IF(AND('341-CT'!$E$9=H2356,OR(LEFT(L2356,3)=$X$7,LEFT(M2356,3)=$X$7)),"x","")</f>
        <v/>
      </c>
      <c r="Y2356" s="525" t="str">
        <f>IF(OR(TH!L2356=TH!$Y$7,M2356=TH!$Y$7),"x","")</f>
        <v/>
      </c>
      <c r="Z2356" s="525" t="str">
        <f>IF(AND(B2356&lt;=NKC!$N$8,B2356&gt;=NKC!$M$8),"x","")</f>
        <v/>
      </c>
      <c r="AA2356" s="535"/>
      <c r="AB2356" s="536"/>
    </row>
    <row r="2357" spans="1:28" s="503" customFormat="1" ht="15.75" customHeight="1">
      <c r="A2357" s="517" t="str">
        <f>IF(B2357&lt;&gt;"",IF(AND(B2357&gt;=_TM1,B2357&lt;=_TM2,OR(TH!L2357="1111",TH!M2357="1111")),TH!D2357,""),"")</f>
        <v/>
      </c>
      <c r="B2357" s="531">
        <f t="shared" si="211"/>
        <v>4</v>
      </c>
      <c r="C2357" s="315">
        <f t="shared" si="212"/>
        <v>42853</v>
      </c>
      <c r="D2357" s="315" t="s">
        <v>913</v>
      </c>
      <c r="E2357" s="315">
        <v>42853</v>
      </c>
      <c r="F2357" s="247" t="s">
        <v>611</v>
      </c>
      <c r="G2357" s="314" t="s">
        <v>1116</v>
      </c>
      <c r="H2357" s="473" t="s">
        <v>284</v>
      </c>
      <c r="I2357" s="307">
        <v>182</v>
      </c>
      <c r="J2357" s="307">
        <v>40546</v>
      </c>
      <c r="K2357" s="532">
        <f t="shared" si="214"/>
        <v>7379372</v>
      </c>
      <c r="L2357" s="534" t="s">
        <v>223</v>
      </c>
      <c r="M2357" s="534" t="s">
        <v>162</v>
      </c>
      <c r="N2357" s="525" t="str">
        <f>IF(AND('331-CT'!$E$7=TH!H2357,OR(L2357="331",M2357="331")),"331",IF(AND(OR(L2357="131",M2357="131"),H2357='131-CT'!$E$7),"131",""))</f>
        <v/>
      </c>
      <c r="O2357" s="525" t="str">
        <f>IF(AND($B2357&gt;='111'!$N$11,$B2357&lt;='111'!$O$11,OR($L2357=$O$7,$M2357=$O$7)),"x","")</f>
        <v/>
      </c>
      <c r="P2357" s="525" t="str">
        <f>IF(AND($L2357=$O$7,$B2357&lt;'111'!$N$11),"x","")</f>
        <v/>
      </c>
      <c r="Q2357" s="525" t="str">
        <f>IF(AND($M2357=$O$7,$B2357&lt;'111'!$N$11),"x","")</f>
        <v/>
      </c>
      <c r="R2357" s="525" t="str">
        <f>IF(ISERROR(FIND('112'!$M$9,G2357,1)),"",IF((AND(FIND('112'!$M$9,G2357,1)&gt;=1,$B2357&gt;='112'!$N$8,$B2357&lt;='112'!$O$8,OR($L2357='112'!$I$6,$M2357='112'!$I$6))),"x",""))</f>
        <v/>
      </c>
      <c r="S2357" s="525" t="str">
        <f>IF(ISERROR(FIND('112'!$M$9,G2357,1)),"",IF((AND(LEFT(G2357,2)=LEFT('112'!$M$9,2),B2357&lt;'112'!$N$8,$L2357='112'!$I$6)),"x",""))</f>
        <v/>
      </c>
      <c r="T2357" s="525" t="str">
        <f>IF(ISERROR(FIND('112'!$M$9,G2357,1)),"",IF((AND(RIGHT(G2357,2)=RIGHT('112'!$M$9,2),B2357&lt;'112'!$N$8,$M2357='112'!$I$6)),"x",""))</f>
        <v/>
      </c>
      <c r="U2357" s="525" t="str">
        <f>IF(AND(B2357&gt;='IN-NX'!$P$3,B2357&lt;='IN-NX'!$Q$3,'IN-NX'!$D$7=D2357,OR(LEFT(L2357,2)="15",AND(LEFT(M2357,2)&lt;&gt;"15",LEFT(M2357,2)&lt;&gt;"33"))),"x","")</f>
        <v/>
      </c>
      <c r="V2357" s="525" t="str">
        <f>IF(AND(OR(LEFT(TH!L2357,2)="15",LEFT(TH!M2357,2)="15"),'152-CT'!$J$8=TH!F2357),"x","")</f>
        <v/>
      </c>
      <c r="W2357" s="525" t="str">
        <f>IF(AND(OR(LEFT(TH!L2357,2)="15",LEFT(TH!M2357,2)="15"),TK!$E$7=TH!F2357),"x","")</f>
        <v/>
      </c>
      <c r="X2357" s="525" t="str">
        <f>IF(AND('341-CT'!$E$9=H2357,OR(LEFT(L2357,3)=$X$7,LEFT(M2357,3)=$X$7)),"x","")</f>
        <v/>
      </c>
      <c r="Y2357" s="525" t="str">
        <f>IF(OR(TH!L2357=TH!$Y$7,M2357=TH!$Y$7),"x","")</f>
        <v/>
      </c>
      <c r="Z2357" s="525" t="str">
        <f>IF(AND(B2357&lt;=NKC!$N$8,B2357&gt;=NKC!$M$8),"x","")</f>
        <v/>
      </c>
      <c r="AA2357" s="535"/>
      <c r="AB2357" s="536"/>
    </row>
    <row r="2358" spans="1:28" s="503" customFormat="1" ht="15.75" customHeight="1">
      <c r="A2358" s="517" t="str">
        <f>IF(B2358&lt;&gt;"",IF(AND(B2358&gt;=_TM1,B2358&lt;=_TM2,OR(TH!L2358="1111",TH!M2358="1111")),TH!D2358,""),"")</f>
        <v/>
      </c>
      <c r="B2358" s="531">
        <f t="shared" si="211"/>
        <v>4</v>
      </c>
      <c r="C2358" s="315">
        <f t="shared" si="212"/>
        <v>42853</v>
      </c>
      <c r="D2358" s="315" t="s">
        <v>914</v>
      </c>
      <c r="E2358" s="315">
        <v>42853</v>
      </c>
      <c r="F2358" s="247" t="s">
        <v>274</v>
      </c>
      <c r="G2358" s="314" t="s">
        <v>1116</v>
      </c>
      <c r="H2358" s="473" t="s">
        <v>284</v>
      </c>
      <c r="I2358" s="307">
        <v>1125</v>
      </c>
      <c r="J2358" s="307">
        <v>11235</v>
      </c>
      <c r="K2358" s="532">
        <f t="shared" si="214"/>
        <v>12639375</v>
      </c>
      <c r="L2358" s="534" t="s">
        <v>223</v>
      </c>
      <c r="M2358" s="534" t="s">
        <v>162</v>
      </c>
      <c r="N2358" s="525" t="str">
        <f>IF(AND('331-CT'!$E$7=TH!H2358,OR(L2358="331",M2358="331")),"331",IF(AND(OR(L2358="131",M2358="131"),H2358='131-CT'!$E$7),"131",""))</f>
        <v/>
      </c>
      <c r="O2358" s="525" t="str">
        <f>IF(AND($B2358&gt;='111'!$N$11,$B2358&lt;='111'!$O$11,OR($L2358=$O$7,$M2358=$O$7)),"x","")</f>
        <v/>
      </c>
      <c r="P2358" s="525" t="str">
        <f>IF(AND($L2358=$O$7,$B2358&lt;'111'!$N$11),"x","")</f>
        <v/>
      </c>
      <c r="Q2358" s="525" t="str">
        <f>IF(AND($M2358=$O$7,$B2358&lt;'111'!$N$11),"x","")</f>
        <v/>
      </c>
      <c r="R2358" s="525" t="str">
        <f>IF(ISERROR(FIND('112'!$M$9,G2358,1)),"",IF((AND(FIND('112'!$M$9,G2358,1)&gt;=1,$B2358&gt;='112'!$N$8,$B2358&lt;='112'!$O$8,OR($L2358='112'!$I$6,$M2358='112'!$I$6))),"x",""))</f>
        <v/>
      </c>
      <c r="S2358" s="525" t="str">
        <f>IF(ISERROR(FIND('112'!$M$9,G2358,1)),"",IF((AND(LEFT(G2358,2)=LEFT('112'!$M$9,2),B2358&lt;'112'!$N$8,$L2358='112'!$I$6)),"x",""))</f>
        <v/>
      </c>
      <c r="T2358" s="525" t="str">
        <f>IF(ISERROR(FIND('112'!$M$9,G2358,1)),"",IF((AND(RIGHT(G2358,2)=RIGHT('112'!$M$9,2),B2358&lt;'112'!$N$8,$M2358='112'!$I$6)),"x",""))</f>
        <v/>
      </c>
      <c r="U2358" s="525" t="str">
        <f>IF(AND(B2358&gt;='IN-NX'!$P$3,B2358&lt;='IN-NX'!$Q$3,'IN-NX'!$D$7=D2358,OR(LEFT(L2358,2)="15",AND(LEFT(M2358,2)&lt;&gt;"15",LEFT(M2358,2)&lt;&gt;"33"))),"x","")</f>
        <v/>
      </c>
      <c r="V2358" s="525" t="str">
        <f>IF(AND(OR(LEFT(TH!L2358,2)="15",LEFT(TH!M2358,2)="15"),'152-CT'!$J$8=TH!F2358),"x","")</f>
        <v/>
      </c>
      <c r="W2358" s="525" t="str">
        <f>IF(AND(OR(LEFT(TH!L2358,2)="15",LEFT(TH!M2358,2)="15"),TK!$E$7=TH!F2358),"x","")</f>
        <v/>
      </c>
      <c r="X2358" s="525" t="str">
        <f>IF(AND('341-CT'!$E$9=H2358,OR(LEFT(L2358,3)=$X$7,LEFT(M2358,3)=$X$7)),"x","")</f>
        <v/>
      </c>
      <c r="Y2358" s="525" t="str">
        <f>IF(OR(TH!L2358=TH!$Y$7,M2358=TH!$Y$7),"x","")</f>
        <v/>
      </c>
      <c r="Z2358" s="525" t="str">
        <f>IF(AND(B2358&lt;=NKC!$N$8,B2358&gt;=NKC!$M$8),"x","")</f>
        <v/>
      </c>
      <c r="AA2358" s="535"/>
      <c r="AB2358" s="536"/>
    </row>
    <row r="2359" spans="1:28" s="503" customFormat="1" ht="15.75" customHeight="1">
      <c r="A2359" s="517" t="str">
        <f>IF(B2359&lt;&gt;"",IF(AND(B2359&gt;=_TM1,B2359&lt;=_TM2,OR(TH!L2359="1111",TH!M2359="1111")),TH!D2359,""),"")</f>
        <v/>
      </c>
      <c r="B2359" s="531">
        <f t="shared" si="211"/>
        <v>4</v>
      </c>
      <c r="C2359" s="315">
        <f t="shared" si="212"/>
        <v>42853</v>
      </c>
      <c r="D2359" s="315" t="s">
        <v>914</v>
      </c>
      <c r="E2359" s="315">
        <v>42853</v>
      </c>
      <c r="F2359" s="250" t="s">
        <v>734</v>
      </c>
      <c r="G2359" s="314" t="s">
        <v>1116</v>
      </c>
      <c r="H2359" s="473" t="s">
        <v>284</v>
      </c>
      <c r="I2359" s="307">
        <v>15</v>
      </c>
      <c r="J2359" s="307">
        <v>101450</v>
      </c>
      <c r="K2359" s="532">
        <f t="shared" si="214"/>
        <v>1521750</v>
      </c>
      <c r="L2359" s="534" t="s">
        <v>223</v>
      </c>
      <c r="M2359" s="534" t="s">
        <v>162</v>
      </c>
      <c r="N2359" s="525" t="str">
        <f>IF(AND('331-CT'!$E$7=TH!H2359,OR(L2359="331",M2359="331")),"331",IF(AND(OR(L2359="131",M2359="131"),H2359='131-CT'!$E$7),"131",""))</f>
        <v/>
      </c>
      <c r="O2359" s="525" t="str">
        <f>IF(AND($B2359&gt;='111'!$N$11,$B2359&lt;='111'!$O$11,OR($L2359=$O$7,$M2359=$O$7)),"x","")</f>
        <v/>
      </c>
      <c r="P2359" s="525" t="str">
        <f>IF(AND($L2359=$O$7,$B2359&lt;'111'!$N$11),"x","")</f>
        <v/>
      </c>
      <c r="Q2359" s="525" t="str">
        <f>IF(AND($M2359=$O$7,$B2359&lt;'111'!$N$11),"x","")</f>
        <v/>
      </c>
      <c r="R2359" s="525" t="str">
        <f>IF(ISERROR(FIND('112'!$M$9,G2359,1)),"",IF((AND(FIND('112'!$M$9,G2359,1)&gt;=1,$B2359&gt;='112'!$N$8,$B2359&lt;='112'!$O$8,OR($L2359='112'!$I$6,$M2359='112'!$I$6))),"x",""))</f>
        <v/>
      </c>
      <c r="S2359" s="525" t="str">
        <f>IF(ISERROR(FIND('112'!$M$9,G2359,1)),"",IF((AND(LEFT(G2359,2)=LEFT('112'!$M$9,2),B2359&lt;'112'!$N$8,$L2359='112'!$I$6)),"x",""))</f>
        <v/>
      </c>
      <c r="T2359" s="525" t="str">
        <f>IF(ISERROR(FIND('112'!$M$9,G2359,1)),"",IF((AND(RIGHT(G2359,2)=RIGHT('112'!$M$9,2),B2359&lt;'112'!$N$8,$M2359='112'!$I$6)),"x",""))</f>
        <v/>
      </c>
      <c r="U2359" s="525" t="str">
        <f>IF(AND(B2359&gt;='IN-NX'!$P$3,B2359&lt;='IN-NX'!$Q$3,'IN-NX'!$D$7=D2359,OR(LEFT(L2359,2)="15",AND(LEFT(M2359,2)&lt;&gt;"15",LEFT(M2359,2)&lt;&gt;"33"))),"x","")</f>
        <v/>
      </c>
      <c r="V2359" s="525" t="str">
        <f>IF(AND(OR(LEFT(TH!L2359,2)="15",LEFT(TH!M2359,2)="15"),'152-CT'!$J$8=TH!F2359),"x","")</f>
        <v/>
      </c>
      <c r="W2359" s="525" t="str">
        <f>IF(AND(OR(LEFT(TH!L2359,2)="15",LEFT(TH!M2359,2)="15"),TK!$E$7=TH!F2359),"x","")</f>
        <v/>
      </c>
      <c r="X2359" s="525" t="str">
        <f>IF(AND('341-CT'!$E$9=H2359,OR(LEFT(L2359,3)=$X$7,LEFT(M2359,3)=$X$7)),"x","")</f>
        <v/>
      </c>
      <c r="Y2359" s="525" t="str">
        <f>IF(OR(TH!L2359=TH!$Y$7,M2359=TH!$Y$7),"x","")</f>
        <v/>
      </c>
      <c r="Z2359" s="525" t="str">
        <f>IF(AND(B2359&lt;=NKC!$N$8,B2359&gt;=NKC!$M$8),"x","")</f>
        <v/>
      </c>
      <c r="AA2359" s="535"/>
      <c r="AB2359" s="536"/>
    </row>
    <row r="2360" spans="1:28" s="503" customFormat="1" ht="15.75" customHeight="1">
      <c r="A2360" s="517" t="str">
        <f>IF(B2360&lt;&gt;"",IF(AND(B2360&gt;=_TM1,B2360&lt;=_TM2,OR(TH!L2360="1111",TH!M2360="1111")),TH!D2360,""),"")</f>
        <v/>
      </c>
      <c r="B2360" s="531">
        <f t="shared" si="211"/>
        <v>4</v>
      </c>
      <c r="C2360" s="315">
        <f t="shared" si="212"/>
        <v>42853</v>
      </c>
      <c r="D2360" s="315" t="s">
        <v>914</v>
      </c>
      <c r="E2360" s="315">
        <v>42853</v>
      </c>
      <c r="F2360" s="250" t="s">
        <v>705</v>
      </c>
      <c r="G2360" s="314" t="s">
        <v>1116</v>
      </c>
      <c r="H2360" s="473" t="s">
        <v>284</v>
      </c>
      <c r="I2360" s="307">
        <v>8</v>
      </c>
      <c r="J2360" s="307">
        <v>47628</v>
      </c>
      <c r="K2360" s="532">
        <f t="shared" si="214"/>
        <v>381024</v>
      </c>
      <c r="L2360" s="534" t="s">
        <v>223</v>
      </c>
      <c r="M2360" s="534" t="s">
        <v>162</v>
      </c>
      <c r="N2360" s="525" t="str">
        <f>IF(AND('331-CT'!$E$7=TH!H2360,OR(L2360="331",M2360="331")),"331",IF(AND(OR(L2360="131",M2360="131"),H2360='131-CT'!$E$7),"131",""))</f>
        <v/>
      </c>
      <c r="O2360" s="525" t="str">
        <f>IF(AND($B2360&gt;='111'!$N$11,$B2360&lt;='111'!$O$11,OR($L2360=$O$7,$M2360=$O$7)),"x","")</f>
        <v/>
      </c>
      <c r="P2360" s="525" t="str">
        <f>IF(AND($L2360=$O$7,$B2360&lt;'111'!$N$11),"x","")</f>
        <v/>
      </c>
      <c r="Q2360" s="525" t="str">
        <f>IF(AND($M2360=$O$7,$B2360&lt;'111'!$N$11),"x","")</f>
        <v/>
      </c>
      <c r="R2360" s="525" t="str">
        <f>IF(ISERROR(FIND('112'!$M$9,G2360,1)),"",IF((AND(FIND('112'!$M$9,G2360,1)&gt;=1,$B2360&gt;='112'!$N$8,$B2360&lt;='112'!$O$8,OR($L2360='112'!$I$6,$M2360='112'!$I$6))),"x",""))</f>
        <v/>
      </c>
      <c r="S2360" s="525" t="str">
        <f>IF(ISERROR(FIND('112'!$M$9,G2360,1)),"",IF((AND(LEFT(G2360,2)=LEFT('112'!$M$9,2),B2360&lt;'112'!$N$8,$L2360='112'!$I$6)),"x",""))</f>
        <v/>
      </c>
      <c r="T2360" s="525" t="str">
        <f>IF(ISERROR(FIND('112'!$M$9,G2360,1)),"",IF((AND(RIGHT(G2360,2)=RIGHT('112'!$M$9,2),B2360&lt;'112'!$N$8,$M2360='112'!$I$6)),"x",""))</f>
        <v/>
      </c>
      <c r="U2360" s="525" t="str">
        <f>IF(AND(B2360&gt;='IN-NX'!$P$3,B2360&lt;='IN-NX'!$Q$3,'IN-NX'!$D$7=D2360,OR(LEFT(L2360,2)="15",AND(LEFT(M2360,2)&lt;&gt;"15",LEFT(M2360,2)&lt;&gt;"33"))),"x","")</f>
        <v/>
      </c>
      <c r="V2360" s="525" t="str">
        <f>IF(AND(OR(LEFT(TH!L2360,2)="15",LEFT(TH!M2360,2)="15"),'152-CT'!$J$8=TH!F2360),"x","")</f>
        <v/>
      </c>
      <c r="W2360" s="525" t="str">
        <f>IF(AND(OR(LEFT(TH!L2360,2)="15",LEFT(TH!M2360,2)="15"),TK!$E$7=TH!F2360),"x","")</f>
        <v/>
      </c>
      <c r="X2360" s="525" t="str">
        <f>IF(AND('341-CT'!$E$9=H2360,OR(LEFT(L2360,3)=$X$7,LEFT(M2360,3)=$X$7)),"x","")</f>
        <v/>
      </c>
      <c r="Y2360" s="525" t="str">
        <f>IF(OR(TH!L2360=TH!$Y$7,M2360=TH!$Y$7),"x","")</f>
        <v/>
      </c>
      <c r="Z2360" s="525" t="str">
        <f>IF(AND(B2360&lt;=NKC!$N$8,B2360&gt;=NKC!$M$8),"x","")</f>
        <v/>
      </c>
      <c r="AA2360" s="535"/>
      <c r="AB2360" s="536"/>
    </row>
    <row r="2361" spans="1:28" s="503" customFormat="1" ht="15.75" customHeight="1">
      <c r="A2361" s="517" t="str">
        <f>IF(B2361&lt;&gt;"",IF(AND(B2361&gt;=_TM1,B2361&lt;=_TM2,OR(TH!L2361="1111",TH!M2361="1111")),TH!D2361,""),"")</f>
        <v/>
      </c>
      <c r="B2361" s="531">
        <f t="shared" si="211"/>
        <v>4</v>
      </c>
      <c r="C2361" s="315">
        <f t="shared" si="212"/>
        <v>42853</v>
      </c>
      <c r="D2361" s="315" t="s">
        <v>914</v>
      </c>
      <c r="E2361" s="315">
        <v>42853</v>
      </c>
      <c r="F2361" s="247" t="s">
        <v>707</v>
      </c>
      <c r="G2361" s="314" t="s">
        <v>1116</v>
      </c>
      <c r="H2361" s="473" t="s">
        <v>284</v>
      </c>
      <c r="I2361" s="307">
        <v>8</v>
      </c>
      <c r="J2361" s="307">
        <v>30353</v>
      </c>
      <c r="K2361" s="532">
        <f t="shared" si="214"/>
        <v>242824</v>
      </c>
      <c r="L2361" s="534" t="s">
        <v>223</v>
      </c>
      <c r="M2361" s="534" t="s">
        <v>162</v>
      </c>
      <c r="N2361" s="525" t="str">
        <f>IF(AND('331-CT'!$E$7=TH!H2361,OR(L2361="331",M2361="331")),"331",IF(AND(OR(L2361="131",M2361="131"),H2361='131-CT'!$E$7),"131",""))</f>
        <v/>
      </c>
      <c r="O2361" s="525" t="str">
        <f>IF(AND($B2361&gt;='111'!$N$11,$B2361&lt;='111'!$O$11,OR($L2361=$O$7,$M2361=$O$7)),"x","")</f>
        <v/>
      </c>
      <c r="P2361" s="525" t="str">
        <f>IF(AND($L2361=$O$7,$B2361&lt;'111'!$N$11),"x","")</f>
        <v/>
      </c>
      <c r="Q2361" s="525" t="str">
        <f>IF(AND($M2361=$O$7,$B2361&lt;'111'!$N$11),"x","")</f>
        <v/>
      </c>
      <c r="R2361" s="525" t="str">
        <f>IF(ISERROR(FIND('112'!$M$9,G2361,1)),"",IF((AND(FIND('112'!$M$9,G2361,1)&gt;=1,$B2361&gt;='112'!$N$8,$B2361&lt;='112'!$O$8,OR($L2361='112'!$I$6,$M2361='112'!$I$6))),"x",""))</f>
        <v/>
      </c>
      <c r="S2361" s="525" t="str">
        <f>IF(ISERROR(FIND('112'!$M$9,G2361,1)),"",IF((AND(LEFT(G2361,2)=LEFT('112'!$M$9,2),B2361&lt;'112'!$N$8,$L2361='112'!$I$6)),"x",""))</f>
        <v/>
      </c>
      <c r="T2361" s="525" t="str">
        <f>IF(ISERROR(FIND('112'!$M$9,G2361,1)),"",IF((AND(RIGHT(G2361,2)=RIGHT('112'!$M$9,2),B2361&lt;'112'!$N$8,$M2361='112'!$I$6)),"x",""))</f>
        <v/>
      </c>
      <c r="U2361" s="525" t="str">
        <f>IF(AND(B2361&gt;='IN-NX'!$P$3,B2361&lt;='IN-NX'!$Q$3,'IN-NX'!$D$7=D2361,OR(LEFT(L2361,2)="15",AND(LEFT(M2361,2)&lt;&gt;"15",LEFT(M2361,2)&lt;&gt;"33"))),"x","")</f>
        <v/>
      </c>
      <c r="V2361" s="525" t="str">
        <f>IF(AND(OR(LEFT(TH!L2361,2)="15",LEFT(TH!M2361,2)="15"),'152-CT'!$J$8=TH!F2361),"x","")</f>
        <v/>
      </c>
      <c r="W2361" s="525" t="str">
        <f>IF(AND(OR(LEFT(TH!L2361,2)="15",LEFT(TH!M2361,2)="15"),TK!$E$7=TH!F2361),"x","")</f>
        <v/>
      </c>
      <c r="X2361" s="525" t="str">
        <f>IF(AND('341-CT'!$E$9=H2361,OR(LEFT(L2361,3)=$X$7,LEFT(M2361,3)=$X$7)),"x","")</f>
        <v/>
      </c>
      <c r="Y2361" s="525" t="str">
        <f>IF(OR(TH!L2361=TH!$Y$7,M2361=TH!$Y$7),"x","")</f>
        <v/>
      </c>
      <c r="Z2361" s="525" t="str">
        <f>IF(AND(B2361&lt;=NKC!$N$8,B2361&gt;=NKC!$M$8),"x","")</f>
        <v/>
      </c>
      <c r="AA2361" s="535"/>
      <c r="AB2361" s="536"/>
    </row>
    <row r="2362" spans="1:28" s="503" customFormat="1" ht="15.75" customHeight="1">
      <c r="A2362" s="517" t="str">
        <f>IF(B2362&lt;&gt;"",IF(AND(B2362&gt;=_TM1,B2362&lt;=_TM2,OR(TH!L2362="1111",TH!M2362="1111")),TH!D2362,""),"")</f>
        <v/>
      </c>
      <c r="B2362" s="531">
        <f t="shared" si="211"/>
        <v>4</v>
      </c>
      <c r="C2362" s="315">
        <f t="shared" si="212"/>
        <v>42853</v>
      </c>
      <c r="D2362" s="315" t="s">
        <v>914</v>
      </c>
      <c r="E2362" s="315">
        <v>42853</v>
      </c>
      <c r="F2362" s="249" t="s">
        <v>708</v>
      </c>
      <c r="G2362" s="314" t="s">
        <v>1116</v>
      </c>
      <c r="H2362" s="473" t="s">
        <v>284</v>
      </c>
      <c r="I2362" s="307">
        <v>24</v>
      </c>
      <c r="J2362" s="307">
        <v>36391</v>
      </c>
      <c r="K2362" s="532">
        <f t="shared" si="214"/>
        <v>873384</v>
      </c>
      <c r="L2362" s="534" t="s">
        <v>223</v>
      </c>
      <c r="M2362" s="534" t="s">
        <v>162</v>
      </c>
      <c r="N2362" s="525" t="str">
        <f>IF(AND('331-CT'!$E$7=TH!H2362,OR(L2362="331",M2362="331")),"331",IF(AND(OR(L2362="131",M2362="131"),H2362='131-CT'!$E$7),"131",""))</f>
        <v/>
      </c>
      <c r="O2362" s="525" t="str">
        <f>IF(AND($B2362&gt;='111'!$N$11,$B2362&lt;='111'!$O$11,OR($L2362=$O$7,$M2362=$O$7)),"x","")</f>
        <v/>
      </c>
      <c r="P2362" s="525" t="str">
        <f>IF(AND($L2362=$O$7,$B2362&lt;'111'!$N$11),"x","")</f>
        <v/>
      </c>
      <c r="Q2362" s="525" t="str">
        <f>IF(AND($M2362=$O$7,$B2362&lt;'111'!$N$11),"x","")</f>
        <v/>
      </c>
      <c r="R2362" s="525" t="str">
        <f>IF(ISERROR(FIND('112'!$M$9,G2362,1)),"",IF((AND(FIND('112'!$M$9,G2362,1)&gt;=1,$B2362&gt;='112'!$N$8,$B2362&lt;='112'!$O$8,OR($L2362='112'!$I$6,$M2362='112'!$I$6))),"x",""))</f>
        <v/>
      </c>
      <c r="S2362" s="525" t="str">
        <f>IF(ISERROR(FIND('112'!$M$9,G2362,1)),"",IF((AND(LEFT(G2362,2)=LEFT('112'!$M$9,2),B2362&lt;'112'!$N$8,$L2362='112'!$I$6)),"x",""))</f>
        <v/>
      </c>
      <c r="T2362" s="525" t="str">
        <f>IF(ISERROR(FIND('112'!$M$9,G2362,1)),"",IF((AND(RIGHT(G2362,2)=RIGHT('112'!$M$9,2),B2362&lt;'112'!$N$8,$M2362='112'!$I$6)),"x",""))</f>
        <v/>
      </c>
      <c r="U2362" s="525" t="str">
        <f>IF(AND(B2362&gt;='IN-NX'!$P$3,B2362&lt;='IN-NX'!$Q$3,'IN-NX'!$D$7=D2362,OR(LEFT(L2362,2)="15",AND(LEFT(M2362,2)&lt;&gt;"15",LEFT(M2362,2)&lt;&gt;"33"))),"x","")</f>
        <v/>
      </c>
      <c r="V2362" s="525" t="str">
        <f>IF(AND(OR(LEFT(TH!L2362,2)="15",LEFT(TH!M2362,2)="15"),'152-CT'!$J$8=TH!F2362),"x","")</f>
        <v/>
      </c>
      <c r="W2362" s="525" t="str">
        <f>IF(AND(OR(LEFT(TH!L2362,2)="15",LEFT(TH!M2362,2)="15"),TK!$E$7=TH!F2362),"x","")</f>
        <v/>
      </c>
      <c r="X2362" s="525" t="str">
        <f>IF(AND('341-CT'!$E$9=H2362,OR(LEFT(L2362,3)=$X$7,LEFT(M2362,3)=$X$7)),"x","")</f>
        <v/>
      </c>
      <c r="Y2362" s="525" t="str">
        <f>IF(OR(TH!L2362=TH!$Y$7,M2362=TH!$Y$7),"x","")</f>
        <v/>
      </c>
      <c r="Z2362" s="525" t="str">
        <f>IF(AND(B2362&lt;=NKC!$N$8,B2362&gt;=NKC!$M$8),"x","")</f>
        <v/>
      </c>
      <c r="AA2362" s="535"/>
      <c r="AB2362" s="536"/>
    </row>
    <row r="2363" spans="1:28" s="503" customFormat="1" ht="15.75" customHeight="1">
      <c r="A2363" s="517" t="str">
        <f>IF(B2363&lt;&gt;"",IF(AND(B2363&gt;=_TM1,B2363&lt;=_TM2,OR(TH!L2363="1111",TH!M2363="1111")),TH!D2363,""),"")</f>
        <v/>
      </c>
      <c r="B2363" s="531">
        <f t="shared" si="211"/>
        <v>4</v>
      </c>
      <c r="C2363" s="315">
        <f t="shared" si="212"/>
        <v>42853</v>
      </c>
      <c r="D2363" s="315" t="s">
        <v>914</v>
      </c>
      <c r="E2363" s="315">
        <v>42853</v>
      </c>
      <c r="F2363" s="249" t="s">
        <v>709</v>
      </c>
      <c r="G2363" s="314" t="s">
        <v>1116</v>
      </c>
      <c r="H2363" s="473" t="s">
        <v>284</v>
      </c>
      <c r="I2363" s="307">
        <v>24</v>
      </c>
      <c r="J2363" s="307">
        <v>41174</v>
      </c>
      <c r="K2363" s="532">
        <f t="shared" si="214"/>
        <v>988176</v>
      </c>
      <c r="L2363" s="534" t="s">
        <v>223</v>
      </c>
      <c r="M2363" s="534" t="s">
        <v>162</v>
      </c>
      <c r="N2363" s="525" t="str">
        <f>IF(AND('331-CT'!$E$7=TH!H2363,OR(L2363="331",M2363="331")),"331",IF(AND(OR(L2363="131",M2363="131"),H2363='131-CT'!$E$7),"131",""))</f>
        <v/>
      </c>
      <c r="O2363" s="525" t="str">
        <f>IF(AND($B2363&gt;='111'!$N$11,$B2363&lt;='111'!$O$11,OR($L2363=$O$7,$M2363=$O$7)),"x","")</f>
        <v/>
      </c>
      <c r="P2363" s="525" t="str">
        <f>IF(AND($L2363=$O$7,$B2363&lt;'111'!$N$11),"x","")</f>
        <v/>
      </c>
      <c r="Q2363" s="525" t="str">
        <f>IF(AND($M2363=$O$7,$B2363&lt;'111'!$N$11),"x","")</f>
        <v/>
      </c>
      <c r="R2363" s="525" t="str">
        <f>IF(ISERROR(FIND('112'!$M$9,G2363,1)),"",IF((AND(FIND('112'!$M$9,G2363,1)&gt;=1,$B2363&gt;='112'!$N$8,$B2363&lt;='112'!$O$8,OR($L2363='112'!$I$6,$M2363='112'!$I$6))),"x",""))</f>
        <v/>
      </c>
      <c r="S2363" s="525" t="str">
        <f>IF(ISERROR(FIND('112'!$M$9,G2363,1)),"",IF((AND(LEFT(G2363,2)=LEFT('112'!$M$9,2),B2363&lt;'112'!$N$8,$L2363='112'!$I$6)),"x",""))</f>
        <v/>
      </c>
      <c r="T2363" s="525" t="str">
        <f>IF(ISERROR(FIND('112'!$M$9,G2363,1)),"",IF((AND(RIGHT(G2363,2)=RIGHT('112'!$M$9,2),B2363&lt;'112'!$N$8,$M2363='112'!$I$6)),"x",""))</f>
        <v/>
      </c>
      <c r="U2363" s="525" t="str">
        <f>IF(AND(B2363&gt;='IN-NX'!$P$3,B2363&lt;='IN-NX'!$Q$3,'IN-NX'!$D$7=D2363,OR(LEFT(L2363,2)="15",AND(LEFT(M2363,2)&lt;&gt;"15",LEFT(M2363,2)&lt;&gt;"33"))),"x","")</f>
        <v/>
      </c>
      <c r="V2363" s="525" t="str">
        <f>IF(AND(OR(LEFT(TH!L2363,2)="15",LEFT(TH!M2363,2)="15"),'152-CT'!$J$8=TH!F2363),"x","")</f>
        <v/>
      </c>
      <c r="W2363" s="525" t="str">
        <f>IF(AND(OR(LEFT(TH!L2363,2)="15",LEFT(TH!M2363,2)="15"),TK!$E$7=TH!F2363),"x","")</f>
        <v/>
      </c>
      <c r="X2363" s="525" t="str">
        <f>IF(AND('341-CT'!$E$9=H2363,OR(LEFT(L2363,3)=$X$7,LEFT(M2363,3)=$X$7)),"x","")</f>
        <v/>
      </c>
      <c r="Y2363" s="525" t="str">
        <f>IF(OR(TH!L2363=TH!$Y$7,M2363=TH!$Y$7),"x","")</f>
        <v/>
      </c>
      <c r="Z2363" s="525" t="str">
        <f>IF(AND(B2363&lt;=NKC!$N$8,B2363&gt;=NKC!$M$8),"x","")</f>
        <v/>
      </c>
      <c r="AA2363" s="535"/>
      <c r="AB2363" s="536"/>
    </row>
    <row r="2364" spans="1:28" s="503" customFormat="1" ht="15.75" customHeight="1">
      <c r="A2364" s="517" t="str">
        <f>IF(B2364&lt;&gt;"",IF(AND(B2364&gt;=_TM1,B2364&lt;=_TM2,OR(TH!L2364="1111",TH!M2364="1111")),TH!D2364,""),"")</f>
        <v/>
      </c>
      <c r="B2364" s="531">
        <f t="shared" si="211"/>
        <v>4</v>
      </c>
      <c r="C2364" s="315">
        <f t="shared" si="212"/>
        <v>42853</v>
      </c>
      <c r="D2364" s="315" t="s">
        <v>914</v>
      </c>
      <c r="E2364" s="315">
        <v>42853</v>
      </c>
      <c r="F2364" s="247" t="s">
        <v>1046</v>
      </c>
      <c r="G2364" s="314" t="s">
        <v>1116</v>
      </c>
      <c r="H2364" s="473" t="s">
        <v>284</v>
      </c>
      <c r="I2364" s="307">
        <v>45</v>
      </c>
      <c r="J2364" s="307">
        <v>15225</v>
      </c>
      <c r="K2364" s="532">
        <f t="shared" si="214"/>
        <v>685125</v>
      </c>
      <c r="L2364" s="534" t="s">
        <v>223</v>
      </c>
      <c r="M2364" s="534" t="s">
        <v>162</v>
      </c>
      <c r="N2364" s="525" t="str">
        <f>IF(AND('331-CT'!$E$7=TH!H2364,OR(L2364="331",M2364="331")),"331",IF(AND(OR(L2364="131",M2364="131"),H2364='131-CT'!$E$7),"131",""))</f>
        <v/>
      </c>
      <c r="O2364" s="525" t="str">
        <f>IF(AND($B2364&gt;='111'!$N$11,$B2364&lt;='111'!$O$11,OR($L2364=$O$7,$M2364=$O$7)),"x","")</f>
        <v/>
      </c>
      <c r="P2364" s="525" t="str">
        <f>IF(AND($L2364=$O$7,$B2364&lt;'111'!$N$11),"x","")</f>
        <v/>
      </c>
      <c r="Q2364" s="525" t="str">
        <f>IF(AND($M2364=$O$7,$B2364&lt;'111'!$N$11),"x","")</f>
        <v/>
      </c>
      <c r="R2364" s="525" t="str">
        <f>IF(ISERROR(FIND('112'!$M$9,G2364,1)),"",IF((AND(FIND('112'!$M$9,G2364,1)&gt;=1,$B2364&gt;='112'!$N$8,$B2364&lt;='112'!$O$8,OR($L2364='112'!$I$6,$M2364='112'!$I$6))),"x",""))</f>
        <v/>
      </c>
      <c r="S2364" s="525" t="str">
        <f>IF(ISERROR(FIND('112'!$M$9,G2364,1)),"",IF((AND(LEFT(G2364,2)=LEFT('112'!$M$9,2),B2364&lt;'112'!$N$8,$L2364='112'!$I$6)),"x",""))</f>
        <v/>
      </c>
      <c r="T2364" s="525" t="str">
        <f>IF(ISERROR(FIND('112'!$M$9,G2364,1)),"",IF((AND(RIGHT(G2364,2)=RIGHT('112'!$M$9,2),B2364&lt;'112'!$N$8,$M2364='112'!$I$6)),"x",""))</f>
        <v/>
      </c>
      <c r="U2364" s="525" t="str">
        <f>IF(AND(B2364&gt;='IN-NX'!$P$3,B2364&lt;='IN-NX'!$Q$3,'IN-NX'!$D$7=D2364,OR(LEFT(L2364,2)="15",AND(LEFT(M2364,2)&lt;&gt;"15",LEFT(M2364,2)&lt;&gt;"33"))),"x","")</f>
        <v/>
      </c>
      <c r="V2364" s="525" t="str">
        <f>IF(AND(OR(LEFT(TH!L2364,2)="15",LEFT(TH!M2364,2)="15"),'152-CT'!$J$8=TH!F2364),"x","")</f>
        <v/>
      </c>
      <c r="W2364" s="525" t="str">
        <f>IF(AND(OR(LEFT(TH!L2364,2)="15",LEFT(TH!M2364,2)="15"),TK!$E$7=TH!F2364),"x","")</f>
        <v/>
      </c>
      <c r="X2364" s="525" t="str">
        <f>IF(AND('341-CT'!$E$9=H2364,OR(LEFT(L2364,3)=$X$7,LEFT(M2364,3)=$X$7)),"x","")</f>
        <v/>
      </c>
      <c r="Y2364" s="525" t="str">
        <f>IF(OR(TH!L2364=TH!$Y$7,M2364=TH!$Y$7),"x","")</f>
        <v/>
      </c>
      <c r="Z2364" s="525" t="str">
        <f>IF(AND(B2364&lt;=NKC!$N$8,B2364&gt;=NKC!$M$8),"x","")</f>
        <v/>
      </c>
      <c r="AA2364" s="535"/>
      <c r="AB2364" s="536"/>
    </row>
    <row r="2365" spans="1:28" s="503" customFormat="1" ht="15.75" customHeight="1">
      <c r="A2365" s="517" t="str">
        <f>IF(B2365&lt;&gt;"",IF(AND(B2365&gt;=_TM1,B2365&lt;=_TM2,OR(TH!L2365="1111",TH!M2365="1111")),TH!D2365,""),"")</f>
        <v/>
      </c>
      <c r="B2365" s="531">
        <f t="shared" si="211"/>
        <v>4</v>
      </c>
      <c r="C2365" s="315">
        <f t="shared" si="212"/>
        <v>42853</v>
      </c>
      <c r="D2365" s="315" t="s">
        <v>914</v>
      </c>
      <c r="E2365" s="315">
        <v>42853</v>
      </c>
      <c r="F2365" s="249" t="s">
        <v>721</v>
      </c>
      <c r="G2365" s="314" t="s">
        <v>1116</v>
      </c>
      <c r="H2365" s="473" t="s">
        <v>284</v>
      </c>
      <c r="I2365" s="307">
        <v>12</v>
      </c>
      <c r="J2365" s="307">
        <v>7963</v>
      </c>
      <c r="K2365" s="532">
        <f t="shared" si="214"/>
        <v>95556</v>
      </c>
      <c r="L2365" s="534" t="s">
        <v>223</v>
      </c>
      <c r="M2365" s="534" t="s">
        <v>162</v>
      </c>
      <c r="N2365" s="525" t="str">
        <f>IF(AND('331-CT'!$E$7=TH!H2365,OR(L2365="331",M2365="331")),"331",IF(AND(OR(L2365="131",M2365="131"),H2365='131-CT'!$E$7),"131",""))</f>
        <v/>
      </c>
      <c r="O2365" s="525" t="str">
        <f>IF(AND($B2365&gt;='111'!$N$11,$B2365&lt;='111'!$O$11,OR($L2365=$O$7,$M2365=$O$7)),"x","")</f>
        <v/>
      </c>
      <c r="P2365" s="525" t="str">
        <f>IF(AND($L2365=$O$7,$B2365&lt;'111'!$N$11),"x","")</f>
        <v/>
      </c>
      <c r="Q2365" s="525" t="str">
        <f>IF(AND($M2365=$O$7,$B2365&lt;'111'!$N$11),"x","")</f>
        <v/>
      </c>
      <c r="R2365" s="525" t="str">
        <f>IF(ISERROR(FIND('112'!$M$9,G2365,1)),"",IF((AND(FIND('112'!$M$9,G2365,1)&gt;=1,$B2365&gt;='112'!$N$8,$B2365&lt;='112'!$O$8,OR($L2365='112'!$I$6,$M2365='112'!$I$6))),"x",""))</f>
        <v/>
      </c>
      <c r="S2365" s="525" t="str">
        <f>IF(ISERROR(FIND('112'!$M$9,G2365,1)),"",IF((AND(LEFT(G2365,2)=LEFT('112'!$M$9,2),B2365&lt;'112'!$N$8,$L2365='112'!$I$6)),"x",""))</f>
        <v/>
      </c>
      <c r="T2365" s="525" t="str">
        <f>IF(ISERROR(FIND('112'!$M$9,G2365,1)),"",IF((AND(RIGHT(G2365,2)=RIGHT('112'!$M$9,2),B2365&lt;'112'!$N$8,$M2365='112'!$I$6)),"x",""))</f>
        <v/>
      </c>
      <c r="U2365" s="525" t="str">
        <f>IF(AND(B2365&gt;='IN-NX'!$P$3,B2365&lt;='IN-NX'!$Q$3,'IN-NX'!$D$7=D2365,OR(LEFT(L2365,2)="15",AND(LEFT(M2365,2)&lt;&gt;"15",LEFT(M2365,2)&lt;&gt;"33"))),"x","")</f>
        <v/>
      </c>
      <c r="V2365" s="525" t="str">
        <f>IF(AND(OR(LEFT(TH!L2365,2)="15",LEFT(TH!M2365,2)="15"),'152-CT'!$J$8=TH!F2365),"x","")</f>
        <v/>
      </c>
      <c r="W2365" s="525" t="str">
        <f>IF(AND(OR(LEFT(TH!L2365,2)="15",LEFT(TH!M2365,2)="15"),TK!$E$7=TH!F2365),"x","")</f>
        <v/>
      </c>
      <c r="X2365" s="525" t="str">
        <f>IF(AND('341-CT'!$E$9=H2365,OR(LEFT(L2365,3)=$X$7,LEFT(M2365,3)=$X$7)),"x","")</f>
        <v/>
      </c>
      <c r="Y2365" s="525" t="str">
        <f>IF(OR(TH!L2365=TH!$Y$7,M2365=TH!$Y$7),"x","")</f>
        <v/>
      </c>
      <c r="Z2365" s="525" t="str">
        <f>IF(AND(B2365&lt;=NKC!$N$8,B2365&gt;=NKC!$M$8),"x","")</f>
        <v/>
      </c>
      <c r="AA2365" s="535"/>
      <c r="AB2365" s="536"/>
    </row>
    <row r="2366" spans="1:28" s="503" customFormat="1" ht="15.75" customHeight="1">
      <c r="A2366" s="517" t="str">
        <f>IF(B2366&lt;&gt;"",IF(AND(B2366&gt;=_TM1,B2366&lt;=_TM2,OR(TH!L2366="1111",TH!M2366="1111")),TH!D2366,""),"")</f>
        <v/>
      </c>
      <c r="B2366" s="531">
        <f t="shared" si="211"/>
        <v>4</v>
      </c>
      <c r="C2366" s="315">
        <f t="shared" si="212"/>
        <v>42853</v>
      </c>
      <c r="D2366" s="315" t="s">
        <v>914</v>
      </c>
      <c r="E2366" s="315">
        <v>42853</v>
      </c>
      <c r="F2366" s="249" t="s">
        <v>727</v>
      </c>
      <c r="G2366" s="314" t="s">
        <v>1116</v>
      </c>
      <c r="H2366" s="473" t="s">
        <v>284</v>
      </c>
      <c r="I2366" s="307">
        <v>12</v>
      </c>
      <c r="J2366" s="307">
        <v>22979</v>
      </c>
      <c r="K2366" s="532">
        <f t="shared" si="214"/>
        <v>275748</v>
      </c>
      <c r="L2366" s="534" t="s">
        <v>223</v>
      </c>
      <c r="M2366" s="534" t="s">
        <v>162</v>
      </c>
      <c r="N2366" s="525" t="str">
        <f>IF(AND('331-CT'!$E$7=TH!H2366,OR(L2366="331",M2366="331")),"331",IF(AND(OR(L2366="131",M2366="131"),H2366='131-CT'!$E$7),"131",""))</f>
        <v/>
      </c>
      <c r="O2366" s="525" t="str">
        <f>IF(AND($B2366&gt;='111'!$N$11,$B2366&lt;='111'!$O$11,OR($L2366=$O$7,$M2366=$O$7)),"x","")</f>
        <v/>
      </c>
      <c r="P2366" s="525" t="str">
        <f>IF(AND($L2366=$O$7,$B2366&lt;'111'!$N$11),"x","")</f>
        <v/>
      </c>
      <c r="Q2366" s="525" t="str">
        <f>IF(AND($M2366=$O$7,$B2366&lt;'111'!$N$11),"x","")</f>
        <v/>
      </c>
      <c r="R2366" s="525" t="str">
        <f>IF(ISERROR(FIND('112'!$M$9,G2366,1)),"",IF((AND(FIND('112'!$M$9,G2366,1)&gt;=1,$B2366&gt;='112'!$N$8,$B2366&lt;='112'!$O$8,OR($L2366='112'!$I$6,$M2366='112'!$I$6))),"x",""))</f>
        <v/>
      </c>
      <c r="S2366" s="525" t="str">
        <f>IF(ISERROR(FIND('112'!$M$9,G2366,1)),"",IF((AND(LEFT(G2366,2)=LEFT('112'!$M$9,2),B2366&lt;'112'!$N$8,$L2366='112'!$I$6)),"x",""))</f>
        <v/>
      </c>
      <c r="T2366" s="525" t="str">
        <f>IF(ISERROR(FIND('112'!$M$9,G2366,1)),"",IF((AND(RIGHT(G2366,2)=RIGHT('112'!$M$9,2),B2366&lt;'112'!$N$8,$M2366='112'!$I$6)),"x",""))</f>
        <v/>
      </c>
      <c r="U2366" s="525" t="str">
        <f>IF(AND(B2366&gt;='IN-NX'!$P$3,B2366&lt;='IN-NX'!$Q$3,'IN-NX'!$D$7=D2366,OR(LEFT(L2366,2)="15",AND(LEFT(M2366,2)&lt;&gt;"15",LEFT(M2366,2)&lt;&gt;"33"))),"x","")</f>
        <v/>
      </c>
      <c r="V2366" s="525" t="str">
        <f>IF(AND(OR(LEFT(TH!L2366,2)="15",LEFT(TH!M2366,2)="15"),'152-CT'!$J$8=TH!F2366),"x","")</f>
        <v/>
      </c>
      <c r="W2366" s="525" t="str">
        <f>IF(AND(OR(LEFT(TH!L2366,2)="15",LEFT(TH!M2366,2)="15"),TK!$E$7=TH!F2366),"x","")</f>
        <v/>
      </c>
      <c r="X2366" s="525" t="str">
        <f>IF(AND('341-CT'!$E$9=H2366,OR(LEFT(L2366,3)=$X$7,LEFT(M2366,3)=$X$7)),"x","")</f>
        <v/>
      </c>
      <c r="Y2366" s="525" t="str">
        <f>IF(OR(TH!L2366=TH!$Y$7,M2366=TH!$Y$7),"x","")</f>
        <v/>
      </c>
      <c r="Z2366" s="525" t="str">
        <f>IF(AND(B2366&lt;=NKC!$N$8,B2366&gt;=NKC!$M$8),"x","")</f>
        <v/>
      </c>
      <c r="AA2366" s="535"/>
      <c r="AB2366" s="536"/>
    </row>
    <row r="2367" spans="1:28" s="503" customFormat="1" ht="15.75" customHeight="1">
      <c r="A2367" s="517" t="str">
        <f>IF(B2367&lt;&gt;"",IF(AND(B2367&gt;=_TM1,B2367&lt;=_TM2,OR(TH!L2367="1111",TH!M2367="1111")),TH!D2367,""),"")</f>
        <v/>
      </c>
      <c r="B2367" s="531">
        <f t="shared" si="211"/>
        <v>4</v>
      </c>
      <c r="C2367" s="315">
        <f t="shared" si="212"/>
        <v>42853</v>
      </c>
      <c r="D2367" s="315" t="s">
        <v>914</v>
      </c>
      <c r="E2367" s="315">
        <v>42853</v>
      </c>
      <c r="F2367" s="249" t="s">
        <v>1047</v>
      </c>
      <c r="G2367" s="314" t="s">
        <v>1116</v>
      </c>
      <c r="H2367" s="473" t="s">
        <v>284</v>
      </c>
      <c r="I2367" s="307">
        <v>4</v>
      </c>
      <c r="J2367" s="307">
        <v>40780</v>
      </c>
      <c r="K2367" s="532">
        <f t="shared" si="214"/>
        <v>163120</v>
      </c>
      <c r="L2367" s="534" t="s">
        <v>223</v>
      </c>
      <c r="M2367" s="534" t="s">
        <v>162</v>
      </c>
      <c r="N2367" s="525" t="str">
        <f>IF(AND('331-CT'!$E$7=TH!H2367,OR(L2367="331",M2367="331")),"331",IF(AND(OR(L2367="131",M2367="131"),H2367='131-CT'!$E$7),"131",""))</f>
        <v/>
      </c>
      <c r="O2367" s="525" t="str">
        <f>IF(AND($B2367&gt;='111'!$N$11,$B2367&lt;='111'!$O$11,OR($L2367=$O$7,$M2367=$O$7)),"x","")</f>
        <v/>
      </c>
      <c r="P2367" s="525" t="str">
        <f>IF(AND($L2367=$O$7,$B2367&lt;'111'!$N$11),"x","")</f>
        <v/>
      </c>
      <c r="Q2367" s="525" t="str">
        <f>IF(AND($M2367=$O$7,$B2367&lt;'111'!$N$11),"x","")</f>
        <v/>
      </c>
      <c r="R2367" s="525" t="str">
        <f>IF(ISERROR(FIND('112'!$M$9,G2367,1)),"",IF((AND(FIND('112'!$M$9,G2367,1)&gt;=1,$B2367&gt;='112'!$N$8,$B2367&lt;='112'!$O$8,OR($L2367='112'!$I$6,$M2367='112'!$I$6))),"x",""))</f>
        <v/>
      </c>
      <c r="S2367" s="525" t="str">
        <f>IF(ISERROR(FIND('112'!$M$9,G2367,1)),"",IF((AND(LEFT(G2367,2)=LEFT('112'!$M$9,2),B2367&lt;'112'!$N$8,$L2367='112'!$I$6)),"x",""))</f>
        <v/>
      </c>
      <c r="T2367" s="525" t="str">
        <f>IF(ISERROR(FIND('112'!$M$9,G2367,1)),"",IF((AND(RIGHT(G2367,2)=RIGHT('112'!$M$9,2),B2367&lt;'112'!$N$8,$M2367='112'!$I$6)),"x",""))</f>
        <v/>
      </c>
      <c r="U2367" s="525" t="str">
        <f>IF(AND(B2367&gt;='IN-NX'!$P$3,B2367&lt;='IN-NX'!$Q$3,'IN-NX'!$D$7=D2367,OR(LEFT(L2367,2)="15",AND(LEFT(M2367,2)&lt;&gt;"15",LEFT(M2367,2)&lt;&gt;"33"))),"x","")</f>
        <v/>
      </c>
      <c r="V2367" s="525" t="str">
        <f>IF(AND(OR(LEFT(TH!L2367,2)="15",LEFT(TH!M2367,2)="15"),'152-CT'!$J$8=TH!F2367),"x","")</f>
        <v/>
      </c>
      <c r="W2367" s="525" t="str">
        <f>IF(AND(OR(LEFT(TH!L2367,2)="15",LEFT(TH!M2367,2)="15"),TK!$E$7=TH!F2367),"x","")</f>
        <v/>
      </c>
      <c r="X2367" s="525" t="str">
        <f>IF(AND('341-CT'!$E$9=H2367,OR(LEFT(L2367,3)=$X$7,LEFT(M2367,3)=$X$7)),"x","")</f>
        <v/>
      </c>
      <c r="Y2367" s="525" t="str">
        <f>IF(OR(TH!L2367=TH!$Y$7,M2367=TH!$Y$7),"x","")</f>
        <v/>
      </c>
      <c r="Z2367" s="525" t="str">
        <f>IF(AND(B2367&lt;=NKC!$N$8,B2367&gt;=NKC!$M$8),"x","")</f>
        <v/>
      </c>
      <c r="AA2367" s="535"/>
      <c r="AB2367" s="536"/>
    </row>
    <row r="2368" spans="1:28" s="503" customFormat="1" ht="15.75" customHeight="1">
      <c r="A2368" s="517" t="str">
        <f>IF(B2368&lt;&gt;"",IF(AND(B2368&gt;=_TM1,B2368&lt;=_TM2,OR(TH!L2368="1111",TH!M2368="1111")),TH!D2368,""),"")</f>
        <v/>
      </c>
      <c r="B2368" s="531">
        <f t="shared" si="211"/>
        <v>4</v>
      </c>
      <c r="C2368" s="315">
        <f t="shared" si="212"/>
        <v>42853</v>
      </c>
      <c r="D2368" s="315" t="s">
        <v>914</v>
      </c>
      <c r="E2368" s="315">
        <v>42853</v>
      </c>
      <c r="F2368" s="249" t="s">
        <v>1048</v>
      </c>
      <c r="G2368" s="314" t="s">
        <v>1116</v>
      </c>
      <c r="H2368" s="473" t="s">
        <v>284</v>
      </c>
      <c r="I2368" s="307">
        <v>4</v>
      </c>
      <c r="J2368" s="307">
        <v>42067</v>
      </c>
      <c r="K2368" s="532">
        <f t="shared" si="214"/>
        <v>168268</v>
      </c>
      <c r="L2368" s="534" t="s">
        <v>223</v>
      </c>
      <c r="M2368" s="534" t="s">
        <v>162</v>
      </c>
      <c r="N2368" s="525" t="str">
        <f>IF(AND('331-CT'!$E$7=TH!H2368,OR(L2368="331",M2368="331")),"331",IF(AND(OR(L2368="131",M2368="131"),H2368='131-CT'!$E$7),"131",""))</f>
        <v/>
      </c>
      <c r="O2368" s="525" t="str">
        <f>IF(AND($B2368&gt;='111'!$N$11,$B2368&lt;='111'!$O$11,OR($L2368=$O$7,$M2368=$O$7)),"x","")</f>
        <v/>
      </c>
      <c r="P2368" s="525" t="str">
        <f>IF(AND($L2368=$O$7,$B2368&lt;'111'!$N$11),"x","")</f>
        <v/>
      </c>
      <c r="Q2368" s="525" t="str">
        <f>IF(AND($M2368=$O$7,$B2368&lt;'111'!$N$11),"x","")</f>
        <v/>
      </c>
      <c r="R2368" s="525" t="str">
        <f>IF(ISERROR(FIND('112'!$M$9,G2368,1)),"",IF((AND(FIND('112'!$M$9,G2368,1)&gt;=1,$B2368&gt;='112'!$N$8,$B2368&lt;='112'!$O$8,OR($L2368='112'!$I$6,$M2368='112'!$I$6))),"x",""))</f>
        <v/>
      </c>
      <c r="S2368" s="525" t="str">
        <f>IF(ISERROR(FIND('112'!$M$9,G2368,1)),"",IF((AND(LEFT(G2368,2)=LEFT('112'!$M$9,2),B2368&lt;'112'!$N$8,$L2368='112'!$I$6)),"x",""))</f>
        <v/>
      </c>
      <c r="T2368" s="525" t="str">
        <f>IF(ISERROR(FIND('112'!$M$9,G2368,1)),"",IF((AND(RIGHT(G2368,2)=RIGHT('112'!$M$9,2),B2368&lt;'112'!$N$8,$M2368='112'!$I$6)),"x",""))</f>
        <v/>
      </c>
      <c r="U2368" s="525" t="str">
        <f>IF(AND(B2368&gt;='IN-NX'!$P$3,B2368&lt;='IN-NX'!$Q$3,'IN-NX'!$D$7=D2368,OR(LEFT(L2368,2)="15",AND(LEFT(M2368,2)&lt;&gt;"15",LEFT(M2368,2)&lt;&gt;"33"))),"x","")</f>
        <v/>
      </c>
      <c r="V2368" s="525" t="str">
        <f>IF(AND(OR(LEFT(TH!L2368,2)="15",LEFT(TH!M2368,2)="15"),'152-CT'!$J$8=TH!F2368),"x","")</f>
        <v/>
      </c>
      <c r="W2368" s="525" t="str">
        <f>IF(AND(OR(LEFT(TH!L2368,2)="15",LEFT(TH!M2368,2)="15"),TK!$E$7=TH!F2368),"x","")</f>
        <v/>
      </c>
      <c r="X2368" s="525" t="str">
        <f>IF(AND('341-CT'!$E$9=H2368,OR(LEFT(L2368,3)=$X$7,LEFT(M2368,3)=$X$7)),"x","")</f>
        <v/>
      </c>
      <c r="Y2368" s="525" t="str">
        <f>IF(OR(TH!L2368=TH!$Y$7,M2368=TH!$Y$7),"x","")</f>
        <v/>
      </c>
      <c r="Z2368" s="525" t="str">
        <f>IF(AND(B2368&lt;=NKC!$N$8,B2368&gt;=NKC!$M$8),"x","")</f>
        <v/>
      </c>
      <c r="AA2368" s="535"/>
      <c r="AB2368" s="536"/>
    </row>
    <row r="2369" spans="1:28" s="503" customFormat="1" ht="15.75" customHeight="1">
      <c r="A2369" s="517" t="str">
        <f>IF(B2369&lt;&gt;"",IF(AND(B2369&gt;=_TM1,B2369&lt;=_TM2,OR(TH!L2369="1111",TH!M2369="1111")),TH!D2369,""),"")</f>
        <v/>
      </c>
      <c r="B2369" s="531">
        <f t="shared" si="211"/>
        <v>4</v>
      </c>
      <c r="C2369" s="315">
        <f t="shared" si="212"/>
        <v>42853</v>
      </c>
      <c r="D2369" s="315" t="s">
        <v>914</v>
      </c>
      <c r="E2369" s="315">
        <v>42853</v>
      </c>
      <c r="F2369" s="249" t="s">
        <v>746</v>
      </c>
      <c r="G2369" s="314" t="s">
        <v>1116</v>
      </c>
      <c r="H2369" s="473" t="s">
        <v>284</v>
      </c>
      <c r="I2369" s="307">
        <v>6</v>
      </c>
      <c r="J2369" s="307">
        <v>21256</v>
      </c>
      <c r="K2369" s="532">
        <f t="shared" si="214"/>
        <v>127536</v>
      </c>
      <c r="L2369" s="534" t="s">
        <v>223</v>
      </c>
      <c r="M2369" s="534" t="s">
        <v>162</v>
      </c>
      <c r="N2369" s="525" t="str">
        <f>IF(AND('331-CT'!$E$7=TH!H2369,OR(L2369="331",M2369="331")),"331",IF(AND(OR(L2369="131",M2369="131"),H2369='131-CT'!$E$7),"131",""))</f>
        <v/>
      </c>
      <c r="O2369" s="525" t="str">
        <f>IF(AND($B2369&gt;='111'!$N$11,$B2369&lt;='111'!$O$11,OR($L2369=$O$7,$M2369=$O$7)),"x","")</f>
        <v/>
      </c>
      <c r="P2369" s="525" t="str">
        <f>IF(AND($L2369=$O$7,$B2369&lt;'111'!$N$11),"x","")</f>
        <v/>
      </c>
      <c r="Q2369" s="525" t="str">
        <f>IF(AND($M2369=$O$7,$B2369&lt;'111'!$N$11),"x","")</f>
        <v/>
      </c>
      <c r="R2369" s="525" t="str">
        <f>IF(ISERROR(FIND('112'!$M$9,G2369,1)),"",IF((AND(FIND('112'!$M$9,G2369,1)&gt;=1,$B2369&gt;='112'!$N$8,$B2369&lt;='112'!$O$8,OR($L2369='112'!$I$6,$M2369='112'!$I$6))),"x",""))</f>
        <v/>
      </c>
      <c r="S2369" s="525" t="str">
        <f>IF(ISERROR(FIND('112'!$M$9,G2369,1)),"",IF((AND(LEFT(G2369,2)=LEFT('112'!$M$9,2),B2369&lt;'112'!$N$8,$L2369='112'!$I$6)),"x",""))</f>
        <v/>
      </c>
      <c r="T2369" s="525" t="str">
        <f>IF(ISERROR(FIND('112'!$M$9,G2369,1)),"",IF((AND(RIGHT(G2369,2)=RIGHT('112'!$M$9,2),B2369&lt;'112'!$N$8,$M2369='112'!$I$6)),"x",""))</f>
        <v/>
      </c>
      <c r="U2369" s="525" t="str">
        <f>IF(AND(B2369&gt;='IN-NX'!$P$3,B2369&lt;='IN-NX'!$Q$3,'IN-NX'!$D$7=D2369,OR(LEFT(L2369,2)="15",AND(LEFT(M2369,2)&lt;&gt;"15",LEFT(M2369,2)&lt;&gt;"33"))),"x","")</f>
        <v/>
      </c>
      <c r="V2369" s="525" t="str">
        <f>IF(AND(OR(LEFT(TH!L2369,2)="15",LEFT(TH!M2369,2)="15"),'152-CT'!$J$8=TH!F2369),"x","")</f>
        <v/>
      </c>
      <c r="W2369" s="525" t="str">
        <f>IF(AND(OR(LEFT(TH!L2369,2)="15",LEFT(TH!M2369,2)="15"),TK!$E$7=TH!F2369),"x","")</f>
        <v/>
      </c>
      <c r="X2369" s="525" t="str">
        <f>IF(AND('341-CT'!$E$9=H2369,OR(LEFT(L2369,3)=$X$7,LEFT(M2369,3)=$X$7)),"x","")</f>
        <v/>
      </c>
      <c r="Y2369" s="525" t="str">
        <f>IF(OR(TH!L2369=TH!$Y$7,M2369=TH!$Y$7),"x","")</f>
        <v/>
      </c>
      <c r="Z2369" s="525" t="str">
        <f>IF(AND(B2369&lt;=NKC!$N$8,B2369&gt;=NKC!$M$8),"x","")</f>
        <v/>
      </c>
      <c r="AA2369" s="535"/>
      <c r="AB2369" s="536"/>
    </row>
    <row r="2370" spans="1:28" s="503" customFormat="1" ht="15.75" customHeight="1">
      <c r="A2370" s="517" t="str">
        <f>IF(B2370&lt;&gt;"",IF(AND(B2370&gt;=_TM1,B2370&lt;=_TM2,OR(TH!L2370="1111",TH!M2370="1111")),TH!D2370,""),"")</f>
        <v/>
      </c>
      <c r="B2370" s="531">
        <f t="shared" si="211"/>
        <v>4</v>
      </c>
      <c r="C2370" s="315">
        <f t="shared" si="212"/>
        <v>42853</v>
      </c>
      <c r="D2370" s="315" t="s">
        <v>915</v>
      </c>
      <c r="E2370" s="315">
        <v>42853</v>
      </c>
      <c r="F2370" s="249" t="s">
        <v>712</v>
      </c>
      <c r="G2370" s="314" t="s">
        <v>1116</v>
      </c>
      <c r="H2370" s="473" t="s">
        <v>284</v>
      </c>
      <c r="I2370" s="307">
        <v>36</v>
      </c>
      <c r="J2370" s="307">
        <v>46805</v>
      </c>
      <c r="K2370" s="532">
        <f t="shared" si="214"/>
        <v>1684980</v>
      </c>
      <c r="L2370" s="534" t="s">
        <v>223</v>
      </c>
      <c r="M2370" s="534" t="s">
        <v>162</v>
      </c>
      <c r="N2370" s="525" t="str">
        <f>IF(AND('331-CT'!$E$7=TH!H2370,OR(L2370="331",M2370="331")),"331",IF(AND(OR(L2370="131",M2370="131"),H2370='131-CT'!$E$7),"131",""))</f>
        <v/>
      </c>
      <c r="O2370" s="525" t="str">
        <f>IF(AND($B2370&gt;='111'!$N$11,$B2370&lt;='111'!$O$11,OR($L2370=$O$7,$M2370=$O$7)),"x","")</f>
        <v/>
      </c>
      <c r="P2370" s="525" t="str">
        <f>IF(AND($L2370=$O$7,$B2370&lt;'111'!$N$11),"x","")</f>
        <v/>
      </c>
      <c r="Q2370" s="525" t="str">
        <f>IF(AND($M2370=$O$7,$B2370&lt;'111'!$N$11),"x","")</f>
        <v/>
      </c>
      <c r="R2370" s="525" t="str">
        <f>IF(ISERROR(FIND('112'!$M$9,G2370,1)),"",IF((AND(FIND('112'!$M$9,G2370,1)&gt;=1,$B2370&gt;='112'!$N$8,$B2370&lt;='112'!$O$8,OR($L2370='112'!$I$6,$M2370='112'!$I$6))),"x",""))</f>
        <v/>
      </c>
      <c r="S2370" s="525" t="str">
        <f>IF(ISERROR(FIND('112'!$M$9,G2370,1)),"",IF((AND(LEFT(G2370,2)=LEFT('112'!$M$9,2),B2370&lt;'112'!$N$8,$L2370='112'!$I$6)),"x",""))</f>
        <v/>
      </c>
      <c r="T2370" s="525" t="str">
        <f>IF(ISERROR(FIND('112'!$M$9,G2370,1)),"",IF((AND(RIGHT(G2370,2)=RIGHT('112'!$M$9,2),B2370&lt;'112'!$N$8,$M2370='112'!$I$6)),"x",""))</f>
        <v/>
      </c>
      <c r="U2370" s="525" t="str">
        <f>IF(AND(B2370&gt;='IN-NX'!$P$3,B2370&lt;='IN-NX'!$Q$3,'IN-NX'!$D$7=D2370,OR(LEFT(L2370,2)="15",AND(LEFT(M2370,2)&lt;&gt;"15",LEFT(M2370,2)&lt;&gt;"33"))),"x","")</f>
        <v/>
      </c>
      <c r="V2370" s="525" t="str">
        <f>IF(AND(OR(LEFT(TH!L2370,2)="15",LEFT(TH!M2370,2)="15"),'152-CT'!$J$8=TH!F2370),"x","")</f>
        <v/>
      </c>
      <c r="W2370" s="525" t="str">
        <f>IF(AND(OR(LEFT(TH!L2370,2)="15",LEFT(TH!M2370,2)="15"),TK!$E$7=TH!F2370),"x","")</f>
        <v/>
      </c>
      <c r="X2370" s="525" t="str">
        <f>IF(AND('341-CT'!$E$9=H2370,OR(LEFT(L2370,3)=$X$7,LEFT(M2370,3)=$X$7)),"x","")</f>
        <v/>
      </c>
      <c r="Y2370" s="525" t="str">
        <f>IF(OR(TH!L2370=TH!$Y$7,M2370=TH!$Y$7),"x","")</f>
        <v/>
      </c>
      <c r="Z2370" s="525" t="str">
        <f>IF(AND(B2370&lt;=NKC!$N$8,B2370&gt;=NKC!$M$8),"x","")</f>
        <v/>
      </c>
      <c r="AA2370" s="535"/>
      <c r="AB2370" s="536"/>
    </row>
    <row r="2371" spans="1:28" s="503" customFormat="1" ht="15.75" customHeight="1">
      <c r="A2371" s="517" t="str">
        <f>IF(B2371&lt;&gt;"",IF(AND(B2371&gt;=_TM1,B2371&lt;=_TM2,OR(TH!L2371="1111",TH!M2371="1111")),TH!D2371,""),"")</f>
        <v/>
      </c>
      <c r="B2371" s="531">
        <f t="shared" si="211"/>
        <v>4</v>
      </c>
      <c r="C2371" s="315">
        <f t="shared" si="212"/>
        <v>42853</v>
      </c>
      <c r="D2371" s="315" t="s">
        <v>915</v>
      </c>
      <c r="E2371" s="315">
        <v>42853</v>
      </c>
      <c r="F2371" s="249" t="s">
        <v>713</v>
      </c>
      <c r="G2371" s="314" t="s">
        <v>1116</v>
      </c>
      <c r="H2371" s="473" t="s">
        <v>284</v>
      </c>
      <c r="I2371" s="307">
        <v>18</v>
      </c>
      <c r="J2371" s="307">
        <v>33844</v>
      </c>
      <c r="K2371" s="532">
        <f t="shared" si="214"/>
        <v>609192</v>
      </c>
      <c r="L2371" s="534" t="s">
        <v>223</v>
      </c>
      <c r="M2371" s="534" t="s">
        <v>162</v>
      </c>
      <c r="N2371" s="525" t="str">
        <f>IF(AND('331-CT'!$E$7=TH!H2371,OR(L2371="331",M2371="331")),"331",IF(AND(OR(L2371="131",M2371="131"),H2371='131-CT'!$E$7),"131",""))</f>
        <v/>
      </c>
      <c r="O2371" s="525" t="str">
        <f>IF(AND($B2371&gt;='111'!$N$11,$B2371&lt;='111'!$O$11,OR($L2371=$O$7,$M2371=$O$7)),"x","")</f>
        <v/>
      </c>
      <c r="P2371" s="525" t="str">
        <f>IF(AND($L2371=$O$7,$B2371&lt;'111'!$N$11),"x","")</f>
        <v/>
      </c>
      <c r="Q2371" s="525" t="str">
        <f>IF(AND($M2371=$O$7,$B2371&lt;'111'!$N$11),"x","")</f>
        <v/>
      </c>
      <c r="R2371" s="525" t="str">
        <f>IF(ISERROR(FIND('112'!$M$9,G2371,1)),"",IF((AND(FIND('112'!$M$9,G2371,1)&gt;=1,$B2371&gt;='112'!$N$8,$B2371&lt;='112'!$O$8,OR($L2371='112'!$I$6,$M2371='112'!$I$6))),"x",""))</f>
        <v/>
      </c>
      <c r="S2371" s="525" t="str">
        <f>IF(ISERROR(FIND('112'!$M$9,G2371,1)),"",IF((AND(LEFT(G2371,2)=LEFT('112'!$M$9,2),B2371&lt;'112'!$N$8,$L2371='112'!$I$6)),"x",""))</f>
        <v/>
      </c>
      <c r="T2371" s="525" t="str">
        <f>IF(ISERROR(FIND('112'!$M$9,G2371,1)),"",IF((AND(RIGHT(G2371,2)=RIGHT('112'!$M$9,2),B2371&lt;'112'!$N$8,$M2371='112'!$I$6)),"x",""))</f>
        <v/>
      </c>
      <c r="U2371" s="525" t="str">
        <f>IF(AND(B2371&gt;='IN-NX'!$P$3,B2371&lt;='IN-NX'!$Q$3,'IN-NX'!$D$7=D2371,OR(LEFT(L2371,2)="15",AND(LEFT(M2371,2)&lt;&gt;"15",LEFT(M2371,2)&lt;&gt;"33"))),"x","")</f>
        <v/>
      </c>
      <c r="V2371" s="525" t="str">
        <f>IF(AND(OR(LEFT(TH!L2371,2)="15",LEFT(TH!M2371,2)="15"),'152-CT'!$J$8=TH!F2371),"x","")</f>
        <v/>
      </c>
      <c r="W2371" s="525" t="str">
        <f>IF(AND(OR(LEFT(TH!L2371,2)="15",LEFT(TH!M2371,2)="15"),TK!$E$7=TH!F2371),"x","")</f>
        <v/>
      </c>
      <c r="X2371" s="525" t="str">
        <f>IF(AND('341-CT'!$E$9=H2371,OR(LEFT(L2371,3)=$X$7,LEFT(M2371,3)=$X$7)),"x","")</f>
        <v/>
      </c>
      <c r="Y2371" s="525" t="str">
        <f>IF(OR(TH!L2371=TH!$Y$7,M2371=TH!$Y$7),"x","")</f>
        <v/>
      </c>
      <c r="Z2371" s="525" t="str">
        <f>IF(AND(B2371&lt;=NKC!$N$8,B2371&gt;=NKC!$M$8),"x","")</f>
        <v/>
      </c>
      <c r="AA2371" s="535"/>
      <c r="AB2371" s="536"/>
    </row>
    <row r="2372" spans="1:28" s="503" customFormat="1" ht="15.75" customHeight="1">
      <c r="A2372" s="517" t="str">
        <f>IF(B2372&lt;&gt;"",IF(AND(B2372&gt;=_TM1,B2372&lt;=_TM2,OR(TH!L2372="1111",TH!M2372="1111")),TH!D2372,""),"")</f>
        <v/>
      </c>
      <c r="B2372" s="531">
        <f t="shared" si="211"/>
        <v>4</v>
      </c>
      <c r="C2372" s="315">
        <f t="shared" si="212"/>
        <v>42853</v>
      </c>
      <c r="D2372" s="315" t="s">
        <v>915</v>
      </c>
      <c r="E2372" s="315">
        <v>42853</v>
      </c>
      <c r="F2372" s="249" t="s">
        <v>715</v>
      </c>
      <c r="G2372" s="314" t="s">
        <v>1116</v>
      </c>
      <c r="H2372" s="473" t="s">
        <v>284</v>
      </c>
      <c r="I2372" s="284">
        <v>12</v>
      </c>
      <c r="J2372" s="284">
        <v>37191</v>
      </c>
      <c r="K2372" s="532">
        <f t="shared" si="214"/>
        <v>446292</v>
      </c>
      <c r="L2372" s="534" t="s">
        <v>223</v>
      </c>
      <c r="M2372" s="534" t="s">
        <v>162</v>
      </c>
      <c r="N2372" s="525" t="str">
        <f>IF(AND('331-CT'!$E$7=TH!H2372,OR(L2372="331",M2372="331")),"331",IF(AND(OR(L2372="131",M2372="131"),H2372='131-CT'!$E$7),"131",""))</f>
        <v/>
      </c>
      <c r="O2372" s="525" t="str">
        <f>IF(AND($B2372&gt;='111'!$N$11,$B2372&lt;='111'!$O$11,OR($L2372=$O$7,$M2372=$O$7)),"x","")</f>
        <v/>
      </c>
      <c r="P2372" s="525" t="str">
        <f>IF(AND($L2372=$O$7,$B2372&lt;'111'!$N$11),"x","")</f>
        <v/>
      </c>
      <c r="Q2372" s="525" t="str">
        <f>IF(AND($M2372=$O$7,$B2372&lt;'111'!$N$11),"x","")</f>
        <v/>
      </c>
      <c r="R2372" s="525" t="str">
        <f>IF(ISERROR(FIND('112'!$M$9,G2372,1)),"",IF((AND(FIND('112'!$M$9,G2372,1)&gt;=1,$B2372&gt;='112'!$N$8,$B2372&lt;='112'!$O$8,OR($L2372='112'!$I$6,$M2372='112'!$I$6))),"x",""))</f>
        <v/>
      </c>
      <c r="S2372" s="525" t="str">
        <f>IF(ISERROR(FIND('112'!$M$9,G2372,1)),"",IF((AND(LEFT(G2372,2)=LEFT('112'!$M$9,2),B2372&lt;'112'!$N$8,$L2372='112'!$I$6)),"x",""))</f>
        <v/>
      </c>
      <c r="T2372" s="525" t="str">
        <f>IF(ISERROR(FIND('112'!$M$9,G2372,1)),"",IF((AND(RIGHT(G2372,2)=RIGHT('112'!$M$9,2),B2372&lt;'112'!$N$8,$M2372='112'!$I$6)),"x",""))</f>
        <v/>
      </c>
      <c r="U2372" s="525" t="str">
        <f>IF(AND(B2372&gt;='IN-NX'!$P$3,B2372&lt;='IN-NX'!$Q$3,'IN-NX'!$D$7=D2372,OR(LEFT(L2372,2)="15",AND(LEFT(M2372,2)&lt;&gt;"15",LEFT(M2372,2)&lt;&gt;"33"))),"x","")</f>
        <v/>
      </c>
      <c r="V2372" s="525" t="str">
        <f>IF(AND(OR(LEFT(TH!L2372,2)="15",LEFT(TH!M2372,2)="15"),'152-CT'!$J$8=TH!F2372),"x","")</f>
        <v/>
      </c>
      <c r="W2372" s="525" t="str">
        <f>IF(AND(OR(LEFT(TH!L2372,2)="15",LEFT(TH!M2372,2)="15"),TK!$E$7=TH!F2372),"x","")</f>
        <v/>
      </c>
      <c r="X2372" s="525" t="str">
        <f>IF(AND('341-CT'!$E$9=H2372,OR(LEFT(L2372,3)=$X$7,LEFT(M2372,3)=$X$7)),"x","")</f>
        <v/>
      </c>
      <c r="Y2372" s="525" t="str">
        <f>IF(OR(TH!L2372=TH!$Y$7,M2372=TH!$Y$7),"x","")</f>
        <v/>
      </c>
      <c r="Z2372" s="525" t="str">
        <f>IF(AND(B2372&lt;=NKC!$N$8,B2372&gt;=NKC!$M$8),"x","")</f>
        <v/>
      </c>
      <c r="AA2372" s="535"/>
      <c r="AB2372" s="536"/>
    </row>
    <row r="2373" spans="1:28" s="503" customFormat="1" ht="15.75" customHeight="1">
      <c r="A2373" s="517" t="str">
        <f>IF(B2373&lt;&gt;"",IF(AND(B2373&gt;=_TM1,B2373&lt;=_TM2,OR(TH!L2373="1111",TH!M2373="1111")),TH!D2373,""),"")</f>
        <v/>
      </c>
      <c r="B2373" s="531">
        <f t="shared" si="211"/>
        <v>4</v>
      </c>
      <c r="C2373" s="315">
        <f t="shared" si="212"/>
        <v>42853</v>
      </c>
      <c r="D2373" s="315" t="s">
        <v>915</v>
      </c>
      <c r="E2373" s="315">
        <v>42853</v>
      </c>
      <c r="F2373" s="249" t="s">
        <v>1049</v>
      </c>
      <c r="G2373" s="314" t="s">
        <v>1116</v>
      </c>
      <c r="H2373" s="473" t="s">
        <v>284</v>
      </c>
      <c r="I2373" s="307">
        <v>12</v>
      </c>
      <c r="J2373" s="307">
        <v>24638</v>
      </c>
      <c r="K2373" s="532">
        <f t="shared" si="214"/>
        <v>295656</v>
      </c>
      <c r="L2373" s="534" t="s">
        <v>223</v>
      </c>
      <c r="M2373" s="534" t="s">
        <v>162</v>
      </c>
      <c r="N2373" s="525" t="str">
        <f>IF(AND('331-CT'!$E$7=TH!H2373,OR(L2373="331",M2373="331")),"331",IF(AND(OR(L2373="131",M2373="131"),H2373='131-CT'!$E$7),"131",""))</f>
        <v/>
      </c>
      <c r="O2373" s="525" t="str">
        <f>IF(AND($B2373&gt;='111'!$N$11,$B2373&lt;='111'!$O$11,OR($L2373=$O$7,$M2373=$O$7)),"x","")</f>
        <v/>
      </c>
      <c r="P2373" s="525" t="str">
        <f>IF(AND($L2373=$O$7,$B2373&lt;'111'!$N$11),"x","")</f>
        <v/>
      </c>
      <c r="Q2373" s="525" t="str">
        <f>IF(AND($M2373=$O$7,$B2373&lt;'111'!$N$11),"x","")</f>
        <v/>
      </c>
      <c r="R2373" s="525" t="str">
        <f>IF(ISERROR(FIND('112'!$M$9,G2373,1)),"",IF((AND(FIND('112'!$M$9,G2373,1)&gt;=1,$B2373&gt;='112'!$N$8,$B2373&lt;='112'!$O$8,OR($L2373='112'!$I$6,$M2373='112'!$I$6))),"x",""))</f>
        <v/>
      </c>
      <c r="S2373" s="525" t="str">
        <f>IF(ISERROR(FIND('112'!$M$9,G2373,1)),"",IF((AND(LEFT(G2373,2)=LEFT('112'!$M$9,2),B2373&lt;'112'!$N$8,$L2373='112'!$I$6)),"x",""))</f>
        <v/>
      </c>
      <c r="T2373" s="525" t="str">
        <f>IF(ISERROR(FIND('112'!$M$9,G2373,1)),"",IF((AND(RIGHT(G2373,2)=RIGHT('112'!$M$9,2),B2373&lt;'112'!$N$8,$M2373='112'!$I$6)),"x",""))</f>
        <v/>
      </c>
      <c r="U2373" s="525" t="str">
        <f>IF(AND(B2373&gt;='IN-NX'!$P$3,B2373&lt;='IN-NX'!$Q$3,'IN-NX'!$D$7=D2373,OR(LEFT(L2373,2)="15",AND(LEFT(M2373,2)&lt;&gt;"15",LEFT(M2373,2)&lt;&gt;"33"))),"x","")</f>
        <v/>
      </c>
      <c r="V2373" s="525" t="str">
        <f>IF(AND(OR(LEFT(TH!L2373,2)="15",LEFT(TH!M2373,2)="15"),'152-CT'!$J$8=TH!F2373),"x","")</f>
        <v/>
      </c>
      <c r="W2373" s="525" t="str">
        <f>IF(AND(OR(LEFT(TH!L2373,2)="15",LEFT(TH!M2373,2)="15"),TK!$E$7=TH!F2373),"x","")</f>
        <v/>
      </c>
      <c r="X2373" s="525" t="str">
        <f>IF(AND('341-CT'!$E$9=H2373,OR(LEFT(L2373,3)=$X$7,LEFT(M2373,3)=$X$7)),"x","")</f>
        <v/>
      </c>
      <c r="Y2373" s="525" t="str">
        <f>IF(OR(TH!L2373=TH!$Y$7,M2373=TH!$Y$7),"x","")</f>
        <v/>
      </c>
      <c r="Z2373" s="525" t="str">
        <f>IF(AND(B2373&lt;=NKC!$N$8,B2373&gt;=NKC!$M$8),"x","")</f>
        <v/>
      </c>
      <c r="AA2373" s="535"/>
      <c r="AB2373" s="536"/>
    </row>
    <row r="2374" spans="1:28" s="503" customFormat="1" ht="15.75" customHeight="1">
      <c r="A2374" s="517" t="str">
        <f>IF(B2374&lt;&gt;"",IF(AND(B2374&gt;=_TM1,B2374&lt;=_TM2,OR(TH!L2374="1111",TH!M2374="1111")),TH!D2374,""),"")</f>
        <v/>
      </c>
      <c r="B2374" s="531">
        <f t="shared" si="211"/>
        <v>4</v>
      </c>
      <c r="C2374" s="315">
        <f t="shared" si="212"/>
        <v>42853</v>
      </c>
      <c r="D2374" s="315" t="s">
        <v>915</v>
      </c>
      <c r="E2374" s="315">
        <v>42853</v>
      </c>
      <c r="F2374" s="249" t="s">
        <v>1050</v>
      </c>
      <c r="G2374" s="314" t="s">
        <v>1116</v>
      </c>
      <c r="H2374" s="473" t="s">
        <v>284</v>
      </c>
      <c r="I2374" s="307">
        <v>36</v>
      </c>
      <c r="J2374" s="307">
        <v>13111</v>
      </c>
      <c r="K2374" s="532">
        <f t="shared" si="214"/>
        <v>471996</v>
      </c>
      <c r="L2374" s="534" t="s">
        <v>223</v>
      </c>
      <c r="M2374" s="534" t="s">
        <v>162</v>
      </c>
      <c r="N2374" s="525" t="str">
        <f>IF(AND('331-CT'!$E$7=TH!H2374,OR(L2374="331",M2374="331")),"331",IF(AND(OR(L2374="131",M2374="131"),H2374='131-CT'!$E$7),"131",""))</f>
        <v/>
      </c>
      <c r="O2374" s="525" t="str">
        <f>IF(AND($B2374&gt;='111'!$N$11,$B2374&lt;='111'!$O$11,OR($L2374=$O$7,$M2374=$O$7)),"x","")</f>
        <v/>
      </c>
      <c r="P2374" s="525" t="str">
        <f>IF(AND($L2374=$O$7,$B2374&lt;'111'!$N$11),"x","")</f>
        <v/>
      </c>
      <c r="Q2374" s="525" t="str">
        <f>IF(AND($M2374=$O$7,$B2374&lt;'111'!$N$11),"x","")</f>
        <v/>
      </c>
      <c r="R2374" s="525" t="str">
        <f>IF(ISERROR(FIND('112'!$M$9,G2374,1)),"",IF((AND(FIND('112'!$M$9,G2374,1)&gt;=1,$B2374&gt;='112'!$N$8,$B2374&lt;='112'!$O$8,OR($L2374='112'!$I$6,$M2374='112'!$I$6))),"x",""))</f>
        <v/>
      </c>
      <c r="S2374" s="525" t="str">
        <f>IF(ISERROR(FIND('112'!$M$9,G2374,1)),"",IF((AND(LEFT(G2374,2)=LEFT('112'!$M$9,2),B2374&lt;'112'!$N$8,$L2374='112'!$I$6)),"x",""))</f>
        <v/>
      </c>
      <c r="T2374" s="525" t="str">
        <f>IF(ISERROR(FIND('112'!$M$9,G2374,1)),"",IF((AND(RIGHT(G2374,2)=RIGHT('112'!$M$9,2),B2374&lt;'112'!$N$8,$M2374='112'!$I$6)),"x",""))</f>
        <v/>
      </c>
      <c r="U2374" s="525" t="str">
        <f>IF(AND(B2374&gt;='IN-NX'!$P$3,B2374&lt;='IN-NX'!$Q$3,'IN-NX'!$D$7=D2374,OR(LEFT(L2374,2)="15",AND(LEFT(M2374,2)&lt;&gt;"15",LEFT(M2374,2)&lt;&gt;"33"))),"x","")</f>
        <v/>
      </c>
      <c r="V2374" s="525" t="str">
        <f>IF(AND(OR(LEFT(TH!L2374,2)="15",LEFT(TH!M2374,2)="15"),'152-CT'!$J$8=TH!F2374),"x","")</f>
        <v/>
      </c>
      <c r="W2374" s="525" t="str">
        <f>IF(AND(OR(LEFT(TH!L2374,2)="15",LEFT(TH!M2374,2)="15"),TK!$E$7=TH!F2374),"x","")</f>
        <v/>
      </c>
      <c r="X2374" s="525" t="str">
        <f>IF(AND('341-CT'!$E$9=H2374,OR(LEFT(L2374,3)=$X$7,LEFT(M2374,3)=$X$7)),"x","")</f>
        <v/>
      </c>
      <c r="Y2374" s="525" t="str">
        <f>IF(OR(TH!L2374=TH!$Y$7,M2374=TH!$Y$7),"x","")</f>
        <v/>
      </c>
      <c r="Z2374" s="525" t="str">
        <f>IF(AND(B2374&lt;=NKC!$N$8,B2374&gt;=NKC!$M$8),"x","")</f>
        <v/>
      </c>
      <c r="AA2374" s="535"/>
      <c r="AB2374" s="536"/>
    </row>
    <row r="2375" spans="1:28" s="503" customFormat="1" ht="15.75" customHeight="1">
      <c r="A2375" s="517" t="str">
        <f>IF(B2375&lt;&gt;"",IF(AND(B2375&gt;=_TM1,B2375&lt;=_TM2,OR(TH!L2375="1111",TH!M2375="1111")),TH!D2375,""),"")</f>
        <v/>
      </c>
      <c r="B2375" s="531">
        <f t="shared" ref="B2375:B2438" si="215">IF(C2375&lt;&gt;"",MONTH(C2375),"")</f>
        <v>4</v>
      </c>
      <c r="C2375" s="315">
        <f t="shared" ref="C2375:C2438" si="216">E2375</f>
        <v>42853</v>
      </c>
      <c r="D2375" s="315" t="s">
        <v>915</v>
      </c>
      <c r="E2375" s="315">
        <v>42853</v>
      </c>
      <c r="F2375" s="249" t="s">
        <v>724</v>
      </c>
      <c r="G2375" s="314" t="s">
        <v>1116</v>
      </c>
      <c r="H2375" s="473" t="s">
        <v>284</v>
      </c>
      <c r="I2375" s="307">
        <v>32</v>
      </c>
      <c r="J2375" s="307">
        <v>8397</v>
      </c>
      <c r="K2375" s="532">
        <f t="shared" si="214"/>
        <v>268704</v>
      </c>
      <c r="L2375" s="534" t="s">
        <v>223</v>
      </c>
      <c r="M2375" s="534" t="s">
        <v>162</v>
      </c>
      <c r="N2375" s="525" t="str">
        <f>IF(AND('331-CT'!$E$7=TH!H2375,OR(L2375="331",M2375="331")),"331",IF(AND(OR(L2375="131",M2375="131"),H2375='131-CT'!$E$7),"131",""))</f>
        <v/>
      </c>
      <c r="O2375" s="525" t="str">
        <f>IF(AND($B2375&gt;='111'!$N$11,$B2375&lt;='111'!$O$11,OR($L2375=$O$7,$M2375=$O$7)),"x","")</f>
        <v/>
      </c>
      <c r="P2375" s="525" t="str">
        <f>IF(AND($L2375=$O$7,$B2375&lt;'111'!$N$11),"x","")</f>
        <v/>
      </c>
      <c r="Q2375" s="525" t="str">
        <f>IF(AND($M2375=$O$7,$B2375&lt;'111'!$N$11),"x","")</f>
        <v/>
      </c>
      <c r="R2375" s="525" t="str">
        <f>IF(ISERROR(FIND('112'!$M$9,G2375,1)),"",IF((AND(FIND('112'!$M$9,G2375,1)&gt;=1,$B2375&gt;='112'!$N$8,$B2375&lt;='112'!$O$8,OR($L2375='112'!$I$6,$M2375='112'!$I$6))),"x",""))</f>
        <v/>
      </c>
      <c r="S2375" s="525" t="str">
        <f>IF(ISERROR(FIND('112'!$M$9,G2375,1)),"",IF((AND(LEFT(G2375,2)=LEFT('112'!$M$9,2),B2375&lt;'112'!$N$8,$L2375='112'!$I$6)),"x",""))</f>
        <v/>
      </c>
      <c r="T2375" s="525" t="str">
        <f>IF(ISERROR(FIND('112'!$M$9,G2375,1)),"",IF((AND(RIGHT(G2375,2)=RIGHT('112'!$M$9,2),B2375&lt;'112'!$N$8,$M2375='112'!$I$6)),"x",""))</f>
        <v/>
      </c>
      <c r="U2375" s="525" t="str">
        <f>IF(AND(B2375&gt;='IN-NX'!$P$3,B2375&lt;='IN-NX'!$Q$3,'IN-NX'!$D$7=D2375,OR(LEFT(L2375,2)="15",AND(LEFT(M2375,2)&lt;&gt;"15",LEFT(M2375,2)&lt;&gt;"33"))),"x","")</f>
        <v/>
      </c>
      <c r="V2375" s="525" t="str">
        <f>IF(AND(OR(LEFT(TH!L2375,2)="15",LEFT(TH!M2375,2)="15"),'152-CT'!$J$8=TH!F2375),"x","")</f>
        <v/>
      </c>
      <c r="W2375" s="525" t="str">
        <f>IF(AND(OR(LEFT(TH!L2375,2)="15",LEFT(TH!M2375,2)="15"),TK!$E$7=TH!F2375),"x","")</f>
        <v/>
      </c>
      <c r="X2375" s="525" t="str">
        <f>IF(AND('341-CT'!$E$9=H2375,OR(LEFT(L2375,3)=$X$7,LEFT(M2375,3)=$X$7)),"x","")</f>
        <v/>
      </c>
      <c r="Y2375" s="525" t="str">
        <f>IF(OR(TH!L2375=TH!$Y$7,M2375=TH!$Y$7),"x","")</f>
        <v/>
      </c>
      <c r="Z2375" s="525" t="str">
        <f>IF(AND(B2375&lt;=NKC!$N$8,B2375&gt;=NKC!$M$8),"x","")</f>
        <v/>
      </c>
      <c r="AA2375" s="535"/>
      <c r="AB2375" s="536"/>
    </row>
    <row r="2376" spans="1:28" s="503" customFormat="1" ht="15.75" customHeight="1">
      <c r="A2376" s="517" t="str">
        <f>IF(B2376&lt;&gt;"",IF(AND(B2376&gt;=_TM1,B2376&lt;=_TM2,OR(TH!L2376="1111",TH!M2376="1111")),TH!D2376,""),"")</f>
        <v/>
      </c>
      <c r="B2376" s="531">
        <f t="shared" si="215"/>
        <v>4</v>
      </c>
      <c r="C2376" s="315">
        <f t="shared" si="216"/>
        <v>42853</v>
      </c>
      <c r="D2376" s="315" t="s">
        <v>915</v>
      </c>
      <c r="E2376" s="315">
        <v>42853</v>
      </c>
      <c r="F2376" s="249" t="s">
        <v>740</v>
      </c>
      <c r="G2376" s="314" t="s">
        <v>1116</v>
      </c>
      <c r="H2376" s="473" t="s">
        <v>284</v>
      </c>
      <c r="I2376" s="307">
        <v>4</v>
      </c>
      <c r="J2376" s="307">
        <v>179850</v>
      </c>
      <c r="K2376" s="532">
        <f t="shared" si="214"/>
        <v>719400</v>
      </c>
      <c r="L2376" s="534" t="s">
        <v>223</v>
      </c>
      <c r="M2376" s="534" t="s">
        <v>162</v>
      </c>
      <c r="N2376" s="525" t="str">
        <f>IF(AND('331-CT'!$E$7=TH!H2376,OR(L2376="331",M2376="331")),"331",IF(AND(OR(L2376="131",M2376="131"),H2376='131-CT'!$E$7),"131",""))</f>
        <v/>
      </c>
      <c r="O2376" s="525" t="str">
        <f>IF(AND($B2376&gt;='111'!$N$11,$B2376&lt;='111'!$O$11,OR($L2376=$O$7,$M2376=$O$7)),"x","")</f>
        <v/>
      </c>
      <c r="P2376" s="525" t="str">
        <f>IF(AND($L2376=$O$7,$B2376&lt;'111'!$N$11),"x","")</f>
        <v/>
      </c>
      <c r="Q2376" s="525" t="str">
        <f>IF(AND($M2376=$O$7,$B2376&lt;'111'!$N$11),"x","")</f>
        <v/>
      </c>
      <c r="R2376" s="525" t="str">
        <f>IF(ISERROR(FIND('112'!$M$9,G2376,1)),"",IF((AND(FIND('112'!$M$9,G2376,1)&gt;=1,$B2376&gt;='112'!$N$8,$B2376&lt;='112'!$O$8,OR($L2376='112'!$I$6,$M2376='112'!$I$6))),"x",""))</f>
        <v/>
      </c>
      <c r="S2376" s="525" t="str">
        <f>IF(ISERROR(FIND('112'!$M$9,G2376,1)),"",IF((AND(LEFT(G2376,2)=LEFT('112'!$M$9,2),B2376&lt;'112'!$N$8,$L2376='112'!$I$6)),"x",""))</f>
        <v/>
      </c>
      <c r="T2376" s="525" t="str">
        <f>IF(ISERROR(FIND('112'!$M$9,G2376,1)),"",IF((AND(RIGHT(G2376,2)=RIGHT('112'!$M$9,2),B2376&lt;'112'!$N$8,$M2376='112'!$I$6)),"x",""))</f>
        <v/>
      </c>
      <c r="U2376" s="525" t="str">
        <f>IF(AND(B2376&gt;='IN-NX'!$P$3,B2376&lt;='IN-NX'!$Q$3,'IN-NX'!$D$7=D2376,OR(LEFT(L2376,2)="15",AND(LEFT(M2376,2)&lt;&gt;"15",LEFT(M2376,2)&lt;&gt;"33"))),"x","")</f>
        <v/>
      </c>
      <c r="V2376" s="525" t="str">
        <f>IF(AND(OR(LEFT(TH!L2376,2)="15",LEFT(TH!M2376,2)="15"),'152-CT'!$J$8=TH!F2376),"x","")</f>
        <v/>
      </c>
      <c r="W2376" s="525" t="str">
        <f>IF(AND(OR(LEFT(TH!L2376,2)="15",LEFT(TH!M2376,2)="15"),TK!$E$7=TH!F2376),"x","")</f>
        <v/>
      </c>
      <c r="X2376" s="525" t="str">
        <f>IF(AND('341-CT'!$E$9=H2376,OR(LEFT(L2376,3)=$X$7,LEFT(M2376,3)=$X$7)),"x","")</f>
        <v/>
      </c>
      <c r="Y2376" s="525" t="str">
        <f>IF(OR(TH!L2376=TH!$Y$7,M2376=TH!$Y$7),"x","")</f>
        <v/>
      </c>
      <c r="Z2376" s="525" t="str">
        <f>IF(AND(B2376&lt;=NKC!$N$8,B2376&gt;=NKC!$M$8),"x","")</f>
        <v/>
      </c>
      <c r="AA2376" s="535"/>
      <c r="AB2376" s="536"/>
    </row>
    <row r="2377" spans="1:28" s="503" customFormat="1" ht="15.75" customHeight="1">
      <c r="A2377" s="517" t="str">
        <f>IF(B2377&lt;&gt;"",IF(AND(B2377&gt;=_TM1,B2377&lt;=_TM2,OR(TH!L2377="1111",TH!M2377="1111")),TH!D2377,""),"")</f>
        <v/>
      </c>
      <c r="B2377" s="531">
        <f t="shared" si="215"/>
        <v>4</v>
      </c>
      <c r="C2377" s="315">
        <f t="shared" si="216"/>
        <v>42853</v>
      </c>
      <c r="D2377" s="315" t="s">
        <v>915</v>
      </c>
      <c r="E2377" s="315">
        <v>42853</v>
      </c>
      <c r="F2377" s="250" t="s">
        <v>741</v>
      </c>
      <c r="G2377" s="314" t="s">
        <v>1116</v>
      </c>
      <c r="H2377" s="473" t="s">
        <v>284</v>
      </c>
      <c r="I2377" s="307">
        <v>16</v>
      </c>
      <c r="J2377" s="307">
        <v>236128</v>
      </c>
      <c r="K2377" s="532">
        <f t="shared" si="214"/>
        <v>3778048</v>
      </c>
      <c r="L2377" s="534" t="s">
        <v>223</v>
      </c>
      <c r="M2377" s="534" t="s">
        <v>162</v>
      </c>
      <c r="N2377" s="525" t="str">
        <f>IF(AND('331-CT'!$E$7=TH!H2377,OR(L2377="331",M2377="331")),"331",IF(AND(OR(L2377="131",M2377="131"),H2377='131-CT'!$E$7),"131",""))</f>
        <v/>
      </c>
      <c r="O2377" s="525" t="str">
        <f>IF(AND($B2377&gt;='111'!$N$11,$B2377&lt;='111'!$O$11,OR($L2377=$O$7,$M2377=$O$7)),"x","")</f>
        <v/>
      </c>
      <c r="P2377" s="525" t="str">
        <f>IF(AND($L2377=$O$7,$B2377&lt;'111'!$N$11),"x","")</f>
        <v/>
      </c>
      <c r="Q2377" s="525" t="str">
        <f>IF(AND($M2377=$O$7,$B2377&lt;'111'!$N$11),"x","")</f>
        <v/>
      </c>
      <c r="R2377" s="525" t="str">
        <f>IF(ISERROR(FIND('112'!$M$9,G2377,1)),"",IF((AND(FIND('112'!$M$9,G2377,1)&gt;=1,$B2377&gt;='112'!$N$8,$B2377&lt;='112'!$O$8,OR($L2377='112'!$I$6,$M2377='112'!$I$6))),"x",""))</f>
        <v/>
      </c>
      <c r="S2377" s="525" t="str">
        <f>IF(ISERROR(FIND('112'!$M$9,G2377,1)),"",IF((AND(LEFT(G2377,2)=LEFT('112'!$M$9,2),B2377&lt;'112'!$N$8,$L2377='112'!$I$6)),"x",""))</f>
        <v/>
      </c>
      <c r="T2377" s="525" t="str">
        <f>IF(ISERROR(FIND('112'!$M$9,G2377,1)),"",IF((AND(RIGHT(G2377,2)=RIGHT('112'!$M$9,2),B2377&lt;'112'!$N$8,$M2377='112'!$I$6)),"x",""))</f>
        <v/>
      </c>
      <c r="U2377" s="525" t="str">
        <f>IF(AND(B2377&gt;='IN-NX'!$P$3,B2377&lt;='IN-NX'!$Q$3,'IN-NX'!$D$7=D2377,OR(LEFT(L2377,2)="15",AND(LEFT(M2377,2)&lt;&gt;"15",LEFT(M2377,2)&lt;&gt;"33"))),"x","")</f>
        <v/>
      </c>
      <c r="V2377" s="525" t="str">
        <f>IF(AND(OR(LEFT(TH!L2377,2)="15",LEFT(TH!M2377,2)="15"),'152-CT'!$J$8=TH!F2377),"x","")</f>
        <v/>
      </c>
      <c r="W2377" s="525" t="str">
        <f>IF(AND(OR(LEFT(TH!L2377,2)="15",LEFT(TH!M2377,2)="15"),TK!$E$7=TH!F2377),"x","")</f>
        <v/>
      </c>
      <c r="X2377" s="525" t="str">
        <f>IF(AND('341-CT'!$E$9=H2377,OR(LEFT(L2377,3)=$X$7,LEFT(M2377,3)=$X$7)),"x","")</f>
        <v/>
      </c>
      <c r="Y2377" s="525" t="str">
        <f>IF(OR(TH!L2377=TH!$Y$7,M2377=TH!$Y$7),"x","")</f>
        <v/>
      </c>
      <c r="Z2377" s="525" t="str">
        <f>IF(AND(B2377&lt;=NKC!$N$8,B2377&gt;=NKC!$M$8),"x","")</f>
        <v/>
      </c>
      <c r="AA2377" s="535"/>
      <c r="AB2377" s="536"/>
    </row>
    <row r="2378" spans="1:28" s="503" customFormat="1" ht="15.75" customHeight="1">
      <c r="A2378" s="517" t="str">
        <f>IF(B2378&lt;&gt;"",IF(AND(B2378&gt;=_TM1,B2378&lt;=_TM2,OR(TH!L2378="1111",TH!M2378="1111")),TH!D2378,""),"")</f>
        <v/>
      </c>
      <c r="B2378" s="531">
        <f t="shared" si="215"/>
        <v>4</v>
      </c>
      <c r="C2378" s="315">
        <f t="shared" si="216"/>
        <v>42853</v>
      </c>
      <c r="D2378" s="315" t="s">
        <v>915</v>
      </c>
      <c r="E2378" s="315">
        <v>42853</v>
      </c>
      <c r="F2378" s="250" t="s">
        <v>1052</v>
      </c>
      <c r="G2378" s="314" t="s">
        <v>1116</v>
      </c>
      <c r="H2378" s="473" t="s">
        <v>284</v>
      </c>
      <c r="I2378" s="307">
        <v>4</v>
      </c>
      <c r="J2378" s="307">
        <v>78561</v>
      </c>
      <c r="K2378" s="532">
        <f t="shared" si="214"/>
        <v>314244</v>
      </c>
      <c r="L2378" s="534" t="s">
        <v>223</v>
      </c>
      <c r="M2378" s="534" t="s">
        <v>162</v>
      </c>
      <c r="N2378" s="525" t="str">
        <f>IF(AND('331-CT'!$E$7=TH!H2378,OR(L2378="331",M2378="331")),"331",IF(AND(OR(L2378="131",M2378="131"),H2378='131-CT'!$E$7),"131",""))</f>
        <v/>
      </c>
      <c r="O2378" s="525" t="str">
        <f>IF(AND($B2378&gt;='111'!$N$11,$B2378&lt;='111'!$O$11,OR($L2378=$O$7,$M2378=$O$7)),"x","")</f>
        <v/>
      </c>
      <c r="P2378" s="525" t="str">
        <f>IF(AND($L2378=$O$7,$B2378&lt;'111'!$N$11),"x","")</f>
        <v/>
      </c>
      <c r="Q2378" s="525" t="str">
        <f>IF(AND($M2378=$O$7,$B2378&lt;'111'!$N$11),"x","")</f>
        <v/>
      </c>
      <c r="R2378" s="525" t="str">
        <f>IF(ISERROR(FIND('112'!$M$9,G2378,1)),"",IF((AND(FIND('112'!$M$9,G2378,1)&gt;=1,$B2378&gt;='112'!$N$8,$B2378&lt;='112'!$O$8,OR($L2378='112'!$I$6,$M2378='112'!$I$6))),"x",""))</f>
        <v/>
      </c>
      <c r="S2378" s="525" t="str">
        <f>IF(ISERROR(FIND('112'!$M$9,G2378,1)),"",IF((AND(LEFT(G2378,2)=LEFT('112'!$M$9,2),B2378&lt;'112'!$N$8,$L2378='112'!$I$6)),"x",""))</f>
        <v/>
      </c>
      <c r="T2378" s="525" t="str">
        <f>IF(ISERROR(FIND('112'!$M$9,G2378,1)),"",IF((AND(RIGHT(G2378,2)=RIGHT('112'!$M$9,2),B2378&lt;'112'!$N$8,$M2378='112'!$I$6)),"x",""))</f>
        <v/>
      </c>
      <c r="U2378" s="525" t="str">
        <f>IF(AND(B2378&gt;='IN-NX'!$P$3,B2378&lt;='IN-NX'!$Q$3,'IN-NX'!$D$7=D2378,OR(LEFT(L2378,2)="15",AND(LEFT(M2378,2)&lt;&gt;"15",LEFT(M2378,2)&lt;&gt;"33"))),"x","")</f>
        <v/>
      </c>
      <c r="V2378" s="525" t="str">
        <f>IF(AND(OR(LEFT(TH!L2378,2)="15",LEFT(TH!M2378,2)="15"),'152-CT'!$J$8=TH!F2378),"x","")</f>
        <v/>
      </c>
      <c r="W2378" s="525" t="str">
        <f>IF(AND(OR(LEFT(TH!L2378,2)="15",LEFT(TH!M2378,2)="15"),TK!$E$7=TH!F2378),"x","")</f>
        <v/>
      </c>
      <c r="X2378" s="525" t="str">
        <f>IF(AND('341-CT'!$E$9=H2378,OR(LEFT(L2378,3)=$X$7,LEFT(M2378,3)=$X$7)),"x","")</f>
        <v/>
      </c>
      <c r="Y2378" s="525" t="str">
        <f>IF(OR(TH!L2378=TH!$Y$7,M2378=TH!$Y$7),"x","")</f>
        <v/>
      </c>
      <c r="Z2378" s="525" t="str">
        <f>IF(AND(B2378&lt;=NKC!$N$8,B2378&gt;=NKC!$M$8),"x","")</f>
        <v/>
      </c>
      <c r="AA2378" s="535"/>
      <c r="AB2378" s="536"/>
    </row>
    <row r="2379" spans="1:28" s="503" customFormat="1" ht="15.75" customHeight="1">
      <c r="A2379" s="517" t="str">
        <f>IF(B2379&lt;&gt;"",IF(AND(B2379&gt;=_TM1,B2379&lt;=_TM2,OR(TH!L2379="1111",TH!M2379="1111")),TH!D2379,""),"")</f>
        <v/>
      </c>
      <c r="B2379" s="531">
        <f t="shared" si="215"/>
        <v>4</v>
      </c>
      <c r="C2379" s="315">
        <f t="shared" si="216"/>
        <v>42853</v>
      </c>
      <c r="D2379" s="315" t="s">
        <v>915</v>
      </c>
      <c r="E2379" s="315">
        <v>42853</v>
      </c>
      <c r="F2379" s="250" t="s">
        <v>1053</v>
      </c>
      <c r="G2379" s="314" t="s">
        <v>1116</v>
      </c>
      <c r="H2379" s="473" t="s">
        <v>284</v>
      </c>
      <c r="I2379" s="307">
        <v>24</v>
      </c>
      <c r="J2379" s="307">
        <v>49908</v>
      </c>
      <c r="K2379" s="532">
        <f t="shared" si="214"/>
        <v>1197792</v>
      </c>
      <c r="L2379" s="534" t="s">
        <v>223</v>
      </c>
      <c r="M2379" s="534" t="s">
        <v>162</v>
      </c>
      <c r="N2379" s="525" t="str">
        <f>IF(AND('331-CT'!$E$7=TH!H2379,OR(L2379="331",M2379="331")),"331",IF(AND(OR(L2379="131",M2379="131"),H2379='131-CT'!$E$7),"131",""))</f>
        <v/>
      </c>
      <c r="O2379" s="525" t="str">
        <f>IF(AND($B2379&gt;='111'!$N$11,$B2379&lt;='111'!$O$11,OR($L2379=$O$7,$M2379=$O$7)),"x","")</f>
        <v/>
      </c>
      <c r="P2379" s="525" t="str">
        <f>IF(AND($L2379=$O$7,$B2379&lt;'111'!$N$11),"x","")</f>
        <v/>
      </c>
      <c r="Q2379" s="525" t="str">
        <f>IF(AND($M2379=$O$7,$B2379&lt;'111'!$N$11),"x","")</f>
        <v/>
      </c>
      <c r="R2379" s="525" t="str">
        <f>IF(ISERROR(FIND('112'!$M$9,G2379,1)),"",IF((AND(FIND('112'!$M$9,G2379,1)&gt;=1,$B2379&gt;='112'!$N$8,$B2379&lt;='112'!$O$8,OR($L2379='112'!$I$6,$M2379='112'!$I$6))),"x",""))</f>
        <v/>
      </c>
      <c r="S2379" s="525" t="str">
        <f>IF(ISERROR(FIND('112'!$M$9,G2379,1)),"",IF((AND(LEFT(G2379,2)=LEFT('112'!$M$9,2),B2379&lt;'112'!$N$8,$L2379='112'!$I$6)),"x",""))</f>
        <v/>
      </c>
      <c r="T2379" s="525" t="str">
        <f>IF(ISERROR(FIND('112'!$M$9,G2379,1)),"",IF((AND(RIGHT(G2379,2)=RIGHT('112'!$M$9,2),B2379&lt;'112'!$N$8,$M2379='112'!$I$6)),"x",""))</f>
        <v/>
      </c>
      <c r="U2379" s="525" t="str">
        <f>IF(AND(B2379&gt;='IN-NX'!$P$3,B2379&lt;='IN-NX'!$Q$3,'IN-NX'!$D$7=D2379,OR(LEFT(L2379,2)="15",AND(LEFT(M2379,2)&lt;&gt;"15",LEFT(M2379,2)&lt;&gt;"33"))),"x","")</f>
        <v/>
      </c>
      <c r="V2379" s="525" t="str">
        <f>IF(AND(OR(LEFT(TH!L2379,2)="15",LEFT(TH!M2379,2)="15"),'152-CT'!$J$8=TH!F2379),"x","")</f>
        <v/>
      </c>
      <c r="W2379" s="525" t="str">
        <f>IF(AND(OR(LEFT(TH!L2379,2)="15",LEFT(TH!M2379,2)="15"),TK!$E$7=TH!F2379),"x","")</f>
        <v/>
      </c>
      <c r="X2379" s="525" t="str">
        <f>IF(AND('341-CT'!$E$9=H2379,OR(LEFT(L2379,3)=$X$7,LEFT(M2379,3)=$X$7)),"x","")</f>
        <v/>
      </c>
      <c r="Y2379" s="525" t="str">
        <f>IF(OR(TH!L2379=TH!$Y$7,M2379=TH!$Y$7),"x","")</f>
        <v/>
      </c>
      <c r="Z2379" s="525" t="str">
        <f>IF(AND(B2379&lt;=NKC!$N$8,B2379&gt;=NKC!$M$8),"x","")</f>
        <v/>
      </c>
      <c r="AA2379" s="535"/>
      <c r="AB2379" s="536"/>
    </row>
    <row r="2380" spans="1:28" s="503" customFormat="1" ht="15.75" customHeight="1">
      <c r="A2380" s="517" t="str">
        <f>IF(B2380&lt;&gt;"",IF(AND(B2380&gt;=_TM1,B2380&lt;=_TM2,OR(TH!L2380="1111",TH!M2380="1111")),TH!D2380,""),"")</f>
        <v/>
      </c>
      <c r="B2380" s="531">
        <f t="shared" si="215"/>
        <v>4</v>
      </c>
      <c r="C2380" s="315">
        <f t="shared" si="216"/>
        <v>42853</v>
      </c>
      <c r="D2380" s="315" t="s">
        <v>915</v>
      </c>
      <c r="E2380" s="315">
        <v>42853</v>
      </c>
      <c r="F2380" s="250" t="s">
        <v>692</v>
      </c>
      <c r="G2380" s="314" t="s">
        <v>1116</v>
      </c>
      <c r="H2380" s="473" t="s">
        <v>284</v>
      </c>
      <c r="I2380" s="307">
        <v>3</v>
      </c>
      <c r="J2380" s="307">
        <v>205521</v>
      </c>
      <c r="K2380" s="532">
        <f t="shared" si="214"/>
        <v>616563</v>
      </c>
      <c r="L2380" s="534" t="s">
        <v>223</v>
      </c>
      <c r="M2380" s="534" t="s">
        <v>162</v>
      </c>
      <c r="N2380" s="525" t="str">
        <f>IF(AND('331-CT'!$E$7=TH!H2380,OR(L2380="331",M2380="331")),"331",IF(AND(OR(L2380="131",M2380="131"),H2380='131-CT'!$E$7),"131",""))</f>
        <v/>
      </c>
      <c r="O2380" s="525" t="str">
        <f>IF(AND($B2380&gt;='111'!$N$11,$B2380&lt;='111'!$O$11,OR($L2380=$O$7,$M2380=$O$7)),"x","")</f>
        <v/>
      </c>
      <c r="P2380" s="525" t="str">
        <f>IF(AND($L2380=$O$7,$B2380&lt;'111'!$N$11),"x","")</f>
        <v/>
      </c>
      <c r="Q2380" s="525" t="str">
        <f>IF(AND($M2380=$O$7,$B2380&lt;'111'!$N$11),"x","")</f>
        <v/>
      </c>
      <c r="R2380" s="525" t="str">
        <f>IF(ISERROR(FIND('112'!$M$9,G2380,1)),"",IF((AND(FIND('112'!$M$9,G2380,1)&gt;=1,$B2380&gt;='112'!$N$8,$B2380&lt;='112'!$O$8,OR($L2380='112'!$I$6,$M2380='112'!$I$6))),"x",""))</f>
        <v/>
      </c>
      <c r="S2380" s="525" t="str">
        <f>IF(ISERROR(FIND('112'!$M$9,G2380,1)),"",IF((AND(LEFT(G2380,2)=LEFT('112'!$M$9,2),B2380&lt;'112'!$N$8,$L2380='112'!$I$6)),"x",""))</f>
        <v/>
      </c>
      <c r="T2380" s="525" t="str">
        <f>IF(ISERROR(FIND('112'!$M$9,G2380,1)),"",IF((AND(RIGHT(G2380,2)=RIGHT('112'!$M$9,2),B2380&lt;'112'!$N$8,$M2380='112'!$I$6)),"x",""))</f>
        <v/>
      </c>
      <c r="U2380" s="525" t="str">
        <f>IF(AND(B2380&gt;='IN-NX'!$P$3,B2380&lt;='IN-NX'!$Q$3,'IN-NX'!$D$7=D2380,OR(LEFT(L2380,2)="15",AND(LEFT(M2380,2)&lt;&gt;"15",LEFT(M2380,2)&lt;&gt;"33"))),"x","")</f>
        <v/>
      </c>
      <c r="V2380" s="525" t="str">
        <f>IF(AND(OR(LEFT(TH!L2380,2)="15",LEFT(TH!M2380,2)="15"),'152-CT'!$J$8=TH!F2380),"x","")</f>
        <v/>
      </c>
      <c r="W2380" s="525" t="str">
        <f>IF(AND(OR(LEFT(TH!L2380,2)="15",LEFT(TH!M2380,2)="15"),TK!$E$7=TH!F2380),"x","")</f>
        <v/>
      </c>
      <c r="X2380" s="525" t="str">
        <f>IF(AND('341-CT'!$E$9=H2380,OR(LEFT(L2380,3)=$X$7,LEFT(M2380,3)=$X$7)),"x","")</f>
        <v/>
      </c>
      <c r="Y2380" s="525" t="str">
        <f>IF(OR(TH!L2380=TH!$Y$7,M2380=TH!$Y$7),"x","")</f>
        <v/>
      </c>
      <c r="Z2380" s="525" t="str">
        <f>IF(AND(B2380&lt;=NKC!$N$8,B2380&gt;=NKC!$M$8),"x","")</f>
        <v/>
      </c>
      <c r="AA2380" s="535"/>
      <c r="AB2380" s="536"/>
    </row>
    <row r="2381" spans="1:28" s="503" customFormat="1" ht="15.75" customHeight="1">
      <c r="A2381" s="517" t="str">
        <f>IF(B2381&lt;&gt;"",IF(AND(B2381&gt;=_TM1,B2381&lt;=_TM2,OR(TH!L2381="1111",TH!M2381="1111")),TH!D2381,""),"")</f>
        <v/>
      </c>
      <c r="B2381" s="531">
        <f t="shared" si="215"/>
        <v>4</v>
      </c>
      <c r="C2381" s="315">
        <f t="shared" si="216"/>
        <v>42853</v>
      </c>
      <c r="D2381" s="315" t="s">
        <v>915</v>
      </c>
      <c r="E2381" s="315">
        <v>42853</v>
      </c>
      <c r="F2381" s="250" t="s">
        <v>693</v>
      </c>
      <c r="G2381" s="314" t="s">
        <v>1116</v>
      </c>
      <c r="H2381" s="473" t="s">
        <v>284</v>
      </c>
      <c r="I2381" s="307">
        <v>6</v>
      </c>
      <c r="J2381" s="307">
        <v>103488</v>
      </c>
      <c r="K2381" s="532">
        <f t="shared" si="214"/>
        <v>620928</v>
      </c>
      <c r="L2381" s="534" t="s">
        <v>223</v>
      </c>
      <c r="M2381" s="534" t="s">
        <v>162</v>
      </c>
      <c r="N2381" s="525" t="str">
        <f>IF(AND('331-CT'!$E$7=TH!H2381,OR(L2381="331",M2381="331")),"331",IF(AND(OR(L2381="131",M2381="131"),H2381='131-CT'!$E$7),"131",""))</f>
        <v/>
      </c>
      <c r="O2381" s="525" t="str">
        <f>IF(AND($B2381&gt;='111'!$N$11,$B2381&lt;='111'!$O$11,OR($L2381=$O$7,$M2381=$O$7)),"x","")</f>
        <v/>
      </c>
      <c r="P2381" s="525" t="str">
        <f>IF(AND($L2381=$O$7,$B2381&lt;'111'!$N$11),"x","")</f>
        <v/>
      </c>
      <c r="Q2381" s="525" t="str">
        <f>IF(AND($M2381=$O$7,$B2381&lt;'111'!$N$11),"x","")</f>
        <v/>
      </c>
      <c r="R2381" s="525" t="str">
        <f>IF(ISERROR(FIND('112'!$M$9,G2381,1)),"",IF((AND(FIND('112'!$M$9,G2381,1)&gt;=1,$B2381&gt;='112'!$N$8,$B2381&lt;='112'!$O$8,OR($L2381='112'!$I$6,$M2381='112'!$I$6))),"x",""))</f>
        <v/>
      </c>
      <c r="S2381" s="525" t="str">
        <f>IF(ISERROR(FIND('112'!$M$9,G2381,1)),"",IF((AND(LEFT(G2381,2)=LEFT('112'!$M$9,2),B2381&lt;'112'!$N$8,$L2381='112'!$I$6)),"x",""))</f>
        <v/>
      </c>
      <c r="T2381" s="525" t="str">
        <f>IF(ISERROR(FIND('112'!$M$9,G2381,1)),"",IF((AND(RIGHT(G2381,2)=RIGHT('112'!$M$9,2),B2381&lt;'112'!$N$8,$M2381='112'!$I$6)),"x",""))</f>
        <v/>
      </c>
      <c r="U2381" s="525" t="str">
        <f>IF(AND(B2381&gt;='IN-NX'!$P$3,B2381&lt;='IN-NX'!$Q$3,'IN-NX'!$D$7=D2381,OR(LEFT(L2381,2)="15",AND(LEFT(M2381,2)&lt;&gt;"15",LEFT(M2381,2)&lt;&gt;"33"))),"x","")</f>
        <v/>
      </c>
      <c r="V2381" s="525" t="str">
        <f>IF(AND(OR(LEFT(TH!L2381,2)="15",LEFT(TH!M2381,2)="15"),'152-CT'!$J$8=TH!F2381),"x","")</f>
        <v/>
      </c>
      <c r="W2381" s="525" t="str">
        <f>IF(AND(OR(LEFT(TH!L2381,2)="15",LEFT(TH!M2381,2)="15"),TK!$E$7=TH!F2381),"x","")</f>
        <v/>
      </c>
      <c r="X2381" s="525" t="str">
        <f>IF(AND('341-CT'!$E$9=H2381,OR(LEFT(L2381,3)=$X$7,LEFT(M2381,3)=$X$7)),"x","")</f>
        <v/>
      </c>
      <c r="Y2381" s="525" t="str">
        <f>IF(OR(TH!L2381=TH!$Y$7,M2381=TH!$Y$7),"x","")</f>
        <v/>
      </c>
      <c r="Z2381" s="525" t="str">
        <f>IF(AND(B2381&lt;=NKC!$N$8,B2381&gt;=NKC!$M$8),"x","")</f>
        <v/>
      </c>
      <c r="AA2381" s="535"/>
      <c r="AB2381" s="536"/>
    </row>
    <row r="2382" spans="1:28" s="503" customFormat="1" ht="15.75" customHeight="1">
      <c r="A2382" s="517" t="str">
        <f>IF(B2382&lt;&gt;"",IF(AND(B2382&gt;=_TM1,B2382&lt;=_TM2,OR(TH!L2382="1111",TH!M2382="1111")),TH!D2382,""),"")</f>
        <v/>
      </c>
      <c r="B2382" s="531">
        <f t="shared" si="215"/>
        <v>4</v>
      </c>
      <c r="C2382" s="315">
        <f t="shared" si="216"/>
        <v>42853</v>
      </c>
      <c r="D2382" s="315" t="s">
        <v>916</v>
      </c>
      <c r="E2382" s="315">
        <v>42853</v>
      </c>
      <c r="F2382" s="250" t="s">
        <v>698</v>
      </c>
      <c r="G2382" s="314" t="s">
        <v>1116</v>
      </c>
      <c r="H2382" s="473" t="s">
        <v>284</v>
      </c>
      <c r="I2382" s="307">
        <v>5</v>
      </c>
      <c r="J2382" s="307">
        <v>143237</v>
      </c>
      <c r="K2382" s="532">
        <f t="shared" ref="K2382:K2413" si="217">ROUND(I2382*J2382,0)</f>
        <v>716185</v>
      </c>
      <c r="L2382" s="534" t="s">
        <v>223</v>
      </c>
      <c r="M2382" s="534" t="s">
        <v>162</v>
      </c>
      <c r="N2382" s="525" t="str">
        <f>IF(AND('331-CT'!$E$7=TH!H2382,OR(L2382="331",M2382="331")),"331",IF(AND(OR(L2382="131",M2382="131"),H2382='131-CT'!$E$7),"131",""))</f>
        <v/>
      </c>
      <c r="O2382" s="525" t="str">
        <f>IF(AND($B2382&gt;='111'!$N$11,$B2382&lt;='111'!$O$11,OR($L2382=$O$7,$M2382=$O$7)),"x","")</f>
        <v/>
      </c>
      <c r="P2382" s="525" t="str">
        <f>IF(AND($L2382=$O$7,$B2382&lt;'111'!$N$11),"x","")</f>
        <v/>
      </c>
      <c r="Q2382" s="525" t="str">
        <f>IF(AND($M2382=$O$7,$B2382&lt;'111'!$N$11),"x","")</f>
        <v/>
      </c>
      <c r="R2382" s="525" t="str">
        <f>IF(ISERROR(FIND('112'!$M$9,G2382,1)),"",IF((AND(FIND('112'!$M$9,G2382,1)&gt;=1,$B2382&gt;='112'!$N$8,$B2382&lt;='112'!$O$8,OR($L2382='112'!$I$6,$M2382='112'!$I$6))),"x",""))</f>
        <v/>
      </c>
      <c r="S2382" s="525" t="str">
        <f>IF(ISERROR(FIND('112'!$M$9,G2382,1)),"",IF((AND(LEFT(G2382,2)=LEFT('112'!$M$9,2),B2382&lt;'112'!$N$8,$L2382='112'!$I$6)),"x",""))</f>
        <v/>
      </c>
      <c r="T2382" s="525" t="str">
        <f>IF(ISERROR(FIND('112'!$M$9,G2382,1)),"",IF((AND(RIGHT(G2382,2)=RIGHT('112'!$M$9,2),B2382&lt;'112'!$N$8,$M2382='112'!$I$6)),"x",""))</f>
        <v/>
      </c>
      <c r="U2382" s="525" t="str">
        <f>IF(AND(B2382&gt;='IN-NX'!$P$3,B2382&lt;='IN-NX'!$Q$3,'IN-NX'!$D$7=D2382,OR(LEFT(L2382,2)="15",AND(LEFT(M2382,2)&lt;&gt;"15",LEFT(M2382,2)&lt;&gt;"33"))),"x","")</f>
        <v/>
      </c>
      <c r="V2382" s="525" t="str">
        <f>IF(AND(OR(LEFT(TH!L2382,2)="15",LEFT(TH!M2382,2)="15"),'152-CT'!$J$8=TH!F2382),"x","")</f>
        <v/>
      </c>
      <c r="W2382" s="525" t="str">
        <f>IF(AND(OR(LEFT(TH!L2382,2)="15",LEFT(TH!M2382,2)="15"),TK!$E$7=TH!F2382),"x","")</f>
        <v/>
      </c>
      <c r="X2382" s="525" t="str">
        <f>IF(AND('341-CT'!$E$9=H2382,OR(LEFT(L2382,3)=$X$7,LEFT(M2382,3)=$X$7)),"x","")</f>
        <v/>
      </c>
      <c r="Y2382" s="525" t="str">
        <f>IF(OR(TH!L2382=TH!$Y$7,M2382=TH!$Y$7),"x","")</f>
        <v/>
      </c>
      <c r="Z2382" s="525" t="str">
        <f>IF(AND(B2382&lt;=NKC!$N$8,B2382&gt;=NKC!$M$8),"x","")</f>
        <v/>
      </c>
      <c r="AA2382" s="535"/>
      <c r="AB2382" s="536"/>
    </row>
    <row r="2383" spans="1:28" s="503" customFormat="1" ht="15.75" customHeight="1">
      <c r="A2383" s="517" t="str">
        <f>IF(B2383&lt;&gt;"",IF(AND(B2383&gt;=_TM1,B2383&lt;=_TM2,OR(TH!L2383="1111",TH!M2383="1111")),TH!D2383,""),"")</f>
        <v/>
      </c>
      <c r="B2383" s="531">
        <f t="shared" si="215"/>
        <v>4</v>
      </c>
      <c r="C2383" s="315">
        <f t="shared" si="216"/>
        <v>42853</v>
      </c>
      <c r="D2383" s="315" t="s">
        <v>916</v>
      </c>
      <c r="E2383" s="315">
        <v>42853</v>
      </c>
      <c r="F2383" s="250" t="s">
        <v>740</v>
      </c>
      <c r="G2383" s="314" t="s">
        <v>1116</v>
      </c>
      <c r="H2383" s="473" t="s">
        <v>284</v>
      </c>
      <c r="I2383" s="307">
        <v>6</v>
      </c>
      <c r="J2383" s="307">
        <v>179857</v>
      </c>
      <c r="K2383" s="532">
        <f t="shared" si="217"/>
        <v>1079142</v>
      </c>
      <c r="L2383" s="534" t="s">
        <v>223</v>
      </c>
      <c r="M2383" s="534" t="s">
        <v>162</v>
      </c>
      <c r="N2383" s="525" t="str">
        <f>IF(AND('331-CT'!$E$7=TH!H2383,OR(L2383="331",M2383="331")),"331",IF(AND(OR(L2383="131",M2383="131"),H2383='131-CT'!$E$7),"131",""))</f>
        <v/>
      </c>
      <c r="O2383" s="525" t="str">
        <f>IF(AND($B2383&gt;='111'!$N$11,$B2383&lt;='111'!$O$11,OR($L2383=$O$7,$M2383=$O$7)),"x","")</f>
        <v/>
      </c>
      <c r="P2383" s="525" t="str">
        <f>IF(AND($L2383=$O$7,$B2383&lt;'111'!$N$11),"x","")</f>
        <v/>
      </c>
      <c r="Q2383" s="525" t="str">
        <f>IF(AND($M2383=$O$7,$B2383&lt;'111'!$N$11),"x","")</f>
        <v/>
      </c>
      <c r="R2383" s="525" t="str">
        <f>IF(ISERROR(FIND('112'!$M$9,G2383,1)),"",IF((AND(FIND('112'!$M$9,G2383,1)&gt;=1,$B2383&gt;='112'!$N$8,$B2383&lt;='112'!$O$8,OR($L2383='112'!$I$6,$M2383='112'!$I$6))),"x",""))</f>
        <v/>
      </c>
      <c r="S2383" s="525" t="str">
        <f>IF(ISERROR(FIND('112'!$M$9,G2383,1)),"",IF((AND(LEFT(G2383,2)=LEFT('112'!$M$9,2),B2383&lt;'112'!$N$8,$L2383='112'!$I$6)),"x",""))</f>
        <v/>
      </c>
      <c r="T2383" s="525" t="str">
        <f>IF(ISERROR(FIND('112'!$M$9,G2383,1)),"",IF((AND(RIGHT(G2383,2)=RIGHT('112'!$M$9,2),B2383&lt;'112'!$N$8,$M2383='112'!$I$6)),"x",""))</f>
        <v/>
      </c>
      <c r="U2383" s="525" t="str">
        <f>IF(AND(B2383&gt;='IN-NX'!$P$3,B2383&lt;='IN-NX'!$Q$3,'IN-NX'!$D$7=D2383,OR(LEFT(L2383,2)="15",AND(LEFT(M2383,2)&lt;&gt;"15",LEFT(M2383,2)&lt;&gt;"33"))),"x","")</f>
        <v/>
      </c>
      <c r="V2383" s="525" t="str">
        <f>IF(AND(OR(LEFT(TH!L2383,2)="15",LEFT(TH!M2383,2)="15"),'152-CT'!$J$8=TH!F2383),"x","")</f>
        <v/>
      </c>
      <c r="W2383" s="525" t="str">
        <f>IF(AND(OR(LEFT(TH!L2383,2)="15",LEFT(TH!M2383,2)="15"),TK!$E$7=TH!F2383),"x","")</f>
        <v/>
      </c>
      <c r="X2383" s="525" t="str">
        <f>IF(AND('341-CT'!$E$9=H2383,OR(LEFT(L2383,3)=$X$7,LEFT(M2383,3)=$X$7)),"x","")</f>
        <v/>
      </c>
      <c r="Y2383" s="525" t="str">
        <f>IF(OR(TH!L2383=TH!$Y$7,M2383=TH!$Y$7),"x","")</f>
        <v/>
      </c>
      <c r="Z2383" s="525" t="str">
        <f>IF(AND(B2383&lt;=NKC!$N$8,B2383&gt;=NKC!$M$8),"x","")</f>
        <v/>
      </c>
      <c r="AA2383" s="535"/>
      <c r="AB2383" s="536"/>
    </row>
    <row r="2384" spans="1:28" s="503" customFormat="1" ht="15.75" customHeight="1">
      <c r="A2384" s="517" t="str">
        <f>IF(B2384&lt;&gt;"",IF(AND(B2384&gt;=_TM1,B2384&lt;=_TM2,OR(TH!L2384="1111",TH!M2384="1111")),TH!D2384,""),"")</f>
        <v/>
      </c>
      <c r="B2384" s="531">
        <f t="shared" si="215"/>
        <v>4</v>
      </c>
      <c r="C2384" s="315">
        <f t="shared" si="216"/>
        <v>42853</v>
      </c>
      <c r="D2384" s="315" t="s">
        <v>916</v>
      </c>
      <c r="E2384" s="315">
        <v>42853</v>
      </c>
      <c r="F2384" s="250" t="s">
        <v>690</v>
      </c>
      <c r="G2384" s="314" t="s">
        <v>1116</v>
      </c>
      <c r="H2384" s="473" t="s">
        <v>284</v>
      </c>
      <c r="I2384" s="307">
        <v>6</v>
      </c>
      <c r="J2384" s="307">
        <v>135075</v>
      </c>
      <c r="K2384" s="532">
        <f t="shared" si="217"/>
        <v>810450</v>
      </c>
      <c r="L2384" s="534" t="s">
        <v>223</v>
      </c>
      <c r="M2384" s="534" t="s">
        <v>162</v>
      </c>
      <c r="N2384" s="525" t="str">
        <f>IF(AND('331-CT'!$E$7=TH!H2384,OR(L2384="331",M2384="331")),"331",IF(AND(OR(L2384="131",M2384="131"),H2384='131-CT'!$E$7),"131",""))</f>
        <v/>
      </c>
      <c r="O2384" s="525" t="str">
        <f>IF(AND($B2384&gt;='111'!$N$11,$B2384&lt;='111'!$O$11,OR($L2384=$O$7,$M2384=$O$7)),"x","")</f>
        <v/>
      </c>
      <c r="P2384" s="525" t="str">
        <f>IF(AND($L2384=$O$7,$B2384&lt;'111'!$N$11),"x","")</f>
        <v/>
      </c>
      <c r="Q2384" s="525" t="str">
        <f>IF(AND($M2384=$O$7,$B2384&lt;'111'!$N$11),"x","")</f>
        <v/>
      </c>
      <c r="R2384" s="525" t="str">
        <f>IF(ISERROR(FIND('112'!$M$9,G2384,1)),"",IF((AND(FIND('112'!$M$9,G2384,1)&gt;=1,$B2384&gt;='112'!$N$8,$B2384&lt;='112'!$O$8,OR($L2384='112'!$I$6,$M2384='112'!$I$6))),"x",""))</f>
        <v/>
      </c>
      <c r="S2384" s="525" t="str">
        <f>IF(ISERROR(FIND('112'!$M$9,G2384,1)),"",IF((AND(LEFT(G2384,2)=LEFT('112'!$M$9,2),B2384&lt;'112'!$N$8,$L2384='112'!$I$6)),"x",""))</f>
        <v/>
      </c>
      <c r="T2384" s="525" t="str">
        <f>IF(ISERROR(FIND('112'!$M$9,G2384,1)),"",IF((AND(RIGHT(G2384,2)=RIGHT('112'!$M$9,2),B2384&lt;'112'!$N$8,$M2384='112'!$I$6)),"x",""))</f>
        <v/>
      </c>
      <c r="U2384" s="525" t="str">
        <f>IF(AND(B2384&gt;='IN-NX'!$P$3,B2384&lt;='IN-NX'!$Q$3,'IN-NX'!$D$7=D2384,OR(LEFT(L2384,2)="15",AND(LEFT(M2384,2)&lt;&gt;"15",LEFT(M2384,2)&lt;&gt;"33"))),"x","")</f>
        <v/>
      </c>
      <c r="V2384" s="525" t="str">
        <f>IF(AND(OR(LEFT(TH!L2384,2)="15",LEFT(TH!M2384,2)="15"),'152-CT'!$J$8=TH!F2384),"x","")</f>
        <v/>
      </c>
      <c r="W2384" s="525" t="str">
        <f>IF(AND(OR(LEFT(TH!L2384,2)="15",LEFT(TH!M2384,2)="15"),TK!$E$7=TH!F2384),"x","")</f>
        <v/>
      </c>
      <c r="X2384" s="525" t="str">
        <f>IF(AND('341-CT'!$E$9=H2384,OR(LEFT(L2384,3)=$X$7,LEFT(M2384,3)=$X$7)),"x","")</f>
        <v/>
      </c>
      <c r="Y2384" s="525" t="str">
        <f>IF(OR(TH!L2384=TH!$Y$7,M2384=TH!$Y$7),"x","")</f>
        <v/>
      </c>
      <c r="Z2384" s="525" t="str">
        <f>IF(AND(B2384&lt;=NKC!$N$8,B2384&gt;=NKC!$M$8),"x","")</f>
        <v/>
      </c>
      <c r="AA2384" s="535"/>
      <c r="AB2384" s="536"/>
    </row>
    <row r="2385" spans="1:28" s="503" customFormat="1" ht="15.75" customHeight="1">
      <c r="A2385" s="517" t="str">
        <f>IF(B2385&lt;&gt;"",IF(AND(B2385&gt;=_TM1,B2385&lt;=_TM2,OR(TH!L2385="1111",TH!M2385="1111")),TH!D2385,""),"")</f>
        <v/>
      </c>
      <c r="B2385" s="531">
        <f t="shared" si="215"/>
        <v>4</v>
      </c>
      <c r="C2385" s="315">
        <f t="shared" si="216"/>
        <v>42853</v>
      </c>
      <c r="D2385" s="315" t="s">
        <v>916</v>
      </c>
      <c r="E2385" s="315">
        <v>42853</v>
      </c>
      <c r="F2385" s="250" t="s">
        <v>691</v>
      </c>
      <c r="G2385" s="314" t="s">
        <v>1116</v>
      </c>
      <c r="H2385" s="473" t="s">
        <v>284</v>
      </c>
      <c r="I2385" s="307">
        <v>20</v>
      </c>
      <c r="J2385" s="307">
        <v>53235</v>
      </c>
      <c r="K2385" s="532">
        <f t="shared" si="217"/>
        <v>1064700</v>
      </c>
      <c r="L2385" s="534" t="s">
        <v>223</v>
      </c>
      <c r="M2385" s="534" t="s">
        <v>162</v>
      </c>
      <c r="N2385" s="525" t="str">
        <f>IF(AND('331-CT'!$E$7=TH!H2385,OR(L2385="331",M2385="331")),"331",IF(AND(OR(L2385="131",M2385="131"),H2385='131-CT'!$E$7),"131",""))</f>
        <v/>
      </c>
      <c r="O2385" s="525" t="str">
        <f>IF(AND($B2385&gt;='111'!$N$11,$B2385&lt;='111'!$O$11,OR($L2385=$O$7,$M2385=$O$7)),"x","")</f>
        <v/>
      </c>
      <c r="P2385" s="525" t="str">
        <f>IF(AND($L2385=$O$7,$B2385&lt;'111'!$N$11),"x","")</f>
        <v/>
      </c>
      <c r="Q2385" s="525" t="str">
        <f>IF(AND($M2385=$O$7,$B2385&lt;'111'!$N$11),"x","")</f>
        <v/>
      </c>
      <c r="R2385" s="525" t="str">
        <f>IF(ISERROR(FIND('112'!$M$9,G2385,1)),"",IF((AND(FIND('112'!$M$9,G2385,1)&gt;=1,$B2385&gt;='112'!$N$8,$B2385&lt;='112'!$O$8,OR($L2385='112'!$I$6,$M2385='112'!$I$6))),"x",""))</f>
        <v/>
      </c>
      <c r="S2385" s="525" t="str">
        <f>IF(ISERROR(FIND('112'!$M$9,G2385,1)),"",IF((AND(LEFT(G2385,2)=LEFT('112'!$M$9,2),B2385&lt;'112'!$N$8,$L2385='112'!$I$6)),"x",""))</f>
        <v/>
      </c>
      <c r="T2385" s="525" t="str">
        <f>IF(ISERROR(FIND('112'!$M$9,G2385,1)),"",IF((AND(RIGHT(G2385,2)=RIGHT('112'!$M$9,2),B2385&lt;'112'!$N$8,$M2385='112'!$I$6)),"x",""))</f>
        <v/>
      </c>
      <c r="U2385" s="525" t="str">
        <f>IF(AND(B2385&gt;='IN-NX'!$P$3,B2385&lt;='IN-NX'!$Q$3,'IN-NX'!$D$7=D2385,OR(LEFT(L2385,2)="15",AND(LEFT(M2385,2)&lt;&gt;"15",LEFT(M2385,2)&lt;&gt;"33"))),"x","")</f>
        <v/>
      </c>
      <c r="V2385" s="525" t="str">
        <f>IF(AND(OR(LEFT(TH!L2385,2)="15",LEFT(TH!M2385,2)="15"),'152-CT'!$J$8=TH!F2385),"x","")</f>
        <v/>
      </c>
      <c r="W2385" s="525" t="str">
        <f>IF(AND(OR(LEFT(TH!L2385,2)="15",LEFT(TH!M2385,2)="15"),TK!$E$7=TH!F2385),"x","")</f>
        <v/>
      </c>
      <c r="X2385" s="525" t="str">
        <f>IF(AND('341-CT'!$E$9=H2385,OR(LEFT(L2385,3)=$X$7,LEFT(M2385,3)=$X$7)),"x","")</f>
        <v/>
      </c>
      <c r="Y2385" s="525" t="str">
        <f>IF(OR(TH!L2385=TH!$Y$7,M2385=TH!$Y$7),"x","")</f>
        <v/>
      </c>
      <c r="Z2385" s="525" t="str">
        <f>IF(AND(B2385&lt;=NKC!$N$8,B2385&gt;=NKC!$M$8),"x","")</f>
        <v/>
      </c>
      <c r="AA2385" s="535"/>
      <c r="AB2385" s="536"/>
    </row>
    <row r="2386" spans="1:28" s="503" customFormat="1" ht="15.75" customHeight="1">
      <c r="A2386" s="517" t="str">
        <f>IF(B2386&lt;&gt;"",IF(AND(B2386&gt;=_TM1,B2386&lt;=_TM2,OR(TH!L2386="1111",TH!M2386="1111")),TH!D2386,""),"")</f>
        <v/>
      </c>
      <c r="B2386" s="531">
        <f t="shared" si="215"/>
        <v>4</v>
      </c>
      <c r="C2386" s="315">
        <f t="shared" si="216"/>
        <v>42853</v>
      </c>
      <c r="D2386" s="315" t="s">
        <v>916</v>
      </c>
      <c r="E2386" s="315">
        <v>42853</v>
      </c>
      <c r="F2386" s="250" t="s">
        <v>699</v>
      </c>
      <c r="G2386" s="314" t="s">
        <v>1116</v>
      </c>
      <c r="H2386" s="473" t="s">
        <v>284</v>
      </c>
      <c r="I2386" s="307">
        <v>8</v>
      </c>
      <c r="J2386" s="307">
        <v>49442</v>
      </c>
      <c r="K2386" s="532">
        <f t="shared" si="217"/>
        <v>395536</v>
      </c>
      <c r="L2386" s="534" t="s">
        <v>223</v>
      </c>
      <c r="M2386" s="534" t="s">
        <v>162</v>
      </c>
      <c r="N2386" s="525" t="str">
        <f>IF(AND('331-CT'!$E$7=TH!H2386,OR(L2386="331",M2386="331")),"331",IF(AND(OR(L2386="131",M2386="131"),H2386='131-CT'!$E$7),"131",""))</f>
        <v/>
      </c>
      <c r="O2386" s="525" t="str">
        <f>IF(AND($B2386&gt;='111'!$N$11,$B2386&lt;='111'!$O$11,OR($L2386=$O$7,$M2386=$O$7)),"x","")</f>
        <v/>
      </c>
      <c r="P2386" s="525" t="str">
        <f>IF(AND($L2386=$O$7,$B2386&lt;'111'!$N$11),"x","")</f>
        <v/>
      </c>
      <c r="Q2386" s="525" t="str">
        <f>IF(AND($M2386=$O$7,$B2386&lt;'111'!$N$11),"x","")</f>
        <v/>
      </c>
      <c r="R2386" s="525" t="str">
        <f>IF(ISERROR(FIND('112'!$M$9,G2386,1)),"",IF((AND(FIND('112'!$M$9,G2386,1)&gt;=1,$B2386&gt;='112'!$N$8,$B2386&lt;='112'!$O$8,OR($L2386='112'!$I$6,$M2386='112'!$I$6))),"x",""))</f>
        <v/>
      </c>
      <c r="S2386" s="525" t="str">
        <f>IF(ISERROR(FIND('112'!$M$9,G2386,1)),"",IF((AND(LEFT(G2386,2)=LEFT('112'!$M$9,2),B2386&lt;'112'!$N$8,$L2386='112'!$I$6)),"x",""))</f>
        <v/>
      </c>
      <c r="T2386" s="525" t="str">
        <f>IF(ISERROR(FIND('112'!$M$9,G2386,1)),"",IF((AND(RIGHT(G2386,2)=RIGHT('112'!$M$9,2),B2386&lt;'112'!$N$8,$M2386='112'!$I$6)),"x",""))</f>
        <v/>
      </c>
      <c r="U2386" s="525" t="str">
        <f>IF(AND(B2386&gt;='IN-NX'!$P$3,B2386&lt;='IN-NX'!$Q$3,'IN-NX'!$D$7=D2386,OR(LEFT(L2386,2)="15",AND(LEFT(M2386,2)&lt;&gt;"15",LEFT(M2386,2)&lt;&gt;"33"))),"x","")</f>
        <v/>
      </c>
      <c r="V2386" s="525" t="str">
        <f>IF(AND(OR(LEFT(TH!L2386,2)="15",LEFT(TH!M2386,2)="15"),'152-CT'!$J$8=TH!F2386),"x","")</f>
        <v/>
      </c>
      <c r="W2386" s="525" t="str">
        <f>IF(AND(OR(LEFT(TH!L2386,2)="15",LEFT(TH!M2386,2)="15"),TK!$E$7=TH!F2386),"x","")</f>
        <v/>
      </c>
      <c r="X2386" s="525" t="str">
        <f>IF(AND('341-CT'!$E$9=H2386,OR(LEFT(L2386,3)=$X$7,LEFT(M2386,3)=$X$7)),"x","")</f>
        <v/>
      </c>
      <c r="Y2386" s="525" t="str">
        <f>IF(OR(TH!L2386=TH!$Y$7,M2386=TH!$Y$7),"x","")</f>
        <v/>
      </c>
      <c r="Z2386" s="525" t="str">
        <f>IF(AND(B2386&lt;=NKC!$N$8,B2386&gt;=NKC!$M$8),"x","")</f>
        <v/>
      </c>
      <c r="AA2386" s="535"/>
      <c r="AB2386" s="536"/>
    </row>
    <row r="2387" spans="1:28" s="503" customFormat="1" ht="15.75" customHeight="1">
      <c r="A2387" s="517" t="str">
        <f>IF(B2387&lt;&gt;"",IF(AND(B2387&gt;=_TM1,B2387&lt;=_TM2,OR(TH!L2387="1111",TH!M2387="1111")),TH!D2387,""),"")</f>
        <v/>
      </c>
      <c r="B2387" s="531">
        <f t="shared" si="215"/>
        <v>4</v>
      </c>
      <c r="C2387" s="315">
        <f t="shared" si="216"/>
        <v>42853</v>
      </c>
      <c r="D2387" s="315" t="s">
        <v>916</v>
      </c>
      <c r="E2387" s="315">
        <v>42853</v>
      </c>
      <c r="F2387" s="250" t="s">
        <v>648</v>
      </c>
      <c r="G2387" s="314" t="s">
        <v>1116</v>
      </c>
      <c r="H2387" s="473" t="s">
        <v>284</v>
      </c>
      <c r="I2387" s="307">
        <v>7</v>
      </c>
      <c r="J2387" s="307">
        <v>49480</v>
      </c>
      <c r="K2387" s="532">
        <f t="shared" si="217"/>
        <v>346360</v>
      </c>
      <c r="L2387" s="534" t="s">
        <v>223</v>
      </c>
      <c r="M2387" s="534" t="s">
        <v>162</v>
      </c>
      <c r="N2387" s="525" t="str">
        <f>IF(AND('331-CT'!$E$7=TH!H2387,OR(L2387="331",M2387="331")),"331",IF(AND(OR(L2387="131",M2387="131"),H2387='131-CT'!$E$7),"131",""))</f>
        <v/>
      </c>
      <c r="O2387" s="525" t="str">
        <f>IF(AND($B2387&gt;='111'!$N$11,$B2387&lt;='111'!$O$11,OR($L2387=$O$7,$M2387=$O$7)),"x","")</f>
        <v/>
      </c>
      <c r="P2387" s="525" t="str">
        <f>IF(AND($L2387=$O$7,$B2387&lt;'111'!$N$11),"x","")</f>
        <v/>
      </c>
      <c r="Q2387" s="525" t="str">
        <f>IF(AND($M2387=$O$7,$B2387&lt;'111'!$N$11),"x","")</f>
        <v/>
      </c>
      <c r="R2387" s="525" t="str">
        <f>IF(ISERROR(FIND('112'!$M$9,G2387,1)),"",IF((AND(FIND('112'!$M$9,G2387,1)&gt;=1,$B2387&gt;='112'!$N$8,$B2387&lt;='112'!$O$8,OR($L2387='112'!$I$6,$M2387='112'!$I$6))),"x",""))</f>
        <v/>
      </c>
      <c r="S2387" s="525" t="str">
        <f>IF(ISERROR(FIND('112'!$M$9,G2387,1)),"",IF((AND(LEFT(G2387,2)=LEFT('112'!$M$9,2),B2387&lt;'112'!$N$8,$L2387='112'!$I$6)),"x",""))</f>
        <v/>
      </c>
      <c r="T2387" s="525" t="str">
        <f>IF(ISERROR(FIND('112'!$M$9,G2387,1)),"",IF((AND(RIGHT(G2387,2)=RIGHT('112'!$M$9,2),B2387&lt;'112'!$N$8,$M2387='112'!$I$6)),"x",""))</f>
        <v/>
      </c>
      <c r="U2387" s="525" t="str">
        <f>IF(AND(B2387&gt;='IN-NX'!$P$3,B2387&lt;='IN-NX'!$Q$3,'IN-NX'!$D$7=D2387,OR(LEFT(L2387,2)="15",AND(LEFT(M2387,2)&lt;&gt;"15",LEFT(M2387,2)&lt;&gt;"33"))),"x","")</f>
        <v/>
      </c>
      <c r="V2387" s="525" t="str">
        <f>IF(AND(OR(LEFT(TH!L2387,2)="15",LEFT(TH!M2387,2)="15"),'152-CT'!$J$8=TH!F2387),"x","")</f>
        <v/>
      </c>
      <c r="W2387" s="525" t="str">
        <f>IF(AND(OR(LEFT(TH!L2387,2)="15",LEFT(TH!M2387,2)="15"),TK!$E$7=TH!F2387),"x","")</f>
        <v/>
      </c>
      <c r="X2387" s="525" t="str">
        <f>IF(AND('341-CT'!$E$9=H2387,OR(LEFT(L2387,3)=$X$7,LEFT(M2387,3)=$X$7)),"x","")</f>
        <v/>
      </c>
      <c r="Y2387" s="525" t="str">
        <f>IF(OR(TH!L2387=TH!$Y$7,M2387=TH!$Y$7),"x","")</f>
        <v/>
      </c>
      <c r="Z2387" s="525" t="str">
        <f>IF(AND(B2387&lt;=NKC!$N$8,B2387&gt;=NKC!$M$8),"x","")</f>
        <v/>
      </c>
      <c r="AA2387" s="535"/>
      <c r="AB2387" s="536"/>
    </row>
    <row r="2388" spans="1:28" s="503" customFormat="1" ht="15.75" customHeight="1">
      <c r="A2388" s="517" t="str">
        <f>IF(B2388&lt;&gt;"",IF(AND(B2388&gt;=_TM1,B2388&lt;=_TM2,OR(TH!L2388="1111",TH!M2388="1111")),TH!D2388,""),"")</f>
        <v/>
      </c>
      <c r="B2388" s="531">
        <f t="shared" si="215"/>
        <v>4</v>
      </c>
      <c r="C2388" s="315">
        <f t="shared" si="216"/>
        <v>42853</v>
      </c>
      <c r="D2388" s="315" t="s">
        <v>916</v>
      </c>
      <c r="E2388" s="315">
        <v>42853</v>
      </c>
      <c r="F2388" s="250" t="s">
        <v>661</v>
      </c>
      <c r="G2388" s="314" t="s">
        <v>1116</v>
      </c>
      <c r="H2388" s="473" t="s">
        <v>284</v>
      </c>
      <c r="I2388" s="307">
        <v>14</v>
      </c>
      <c r="J2388" s="307">
        <v>61389</v>
      </c>
      <c r="K2388" s="532">
        <f t="shared" si="217"/>
        <v>859446</v>
      </c>
      <c r="L2388" s="534" t="s">
        <v>223</v>
      </c>
      <c r="M2388" s="534" t="s">
        <v>162</v>
      </c>
      <c r="N2388" s="525" t="str">
        <f>IF(AND('331-CT'!$E$7=TH!H2388,OR(L2388="331",M2388="331")),"331",IF(AND(OR(L2388="131",M2388="131"),H2388='131-CT'!$E$7),"131",""))</f>
        <v/>
      </c>
      <c r="O2388" s="525" t="str">
        <f>IF(AND($B2388&gt;='111'!$N$11,$B2388&lt;='111'!$O$11,OR($L2388=$O$7,$M2388=$O$7)),"x","")</f>
        <v/>
      </c>
      <c r="P2388" s="525" t="str">
        <f>IF(AND($L2388=$O$7,$B2388&lt;'111'!$N$11),"x","")</f>
        <v/>
      </c>
      <c r="Q2388" s="525" t="str">
        <f>IF(AND($M2388=$O$7,$B2388&lt;'111'!$N$11),"x","")</f>
        <v/>
      </c>
      <c r="R2388" s="525" t="str">
        <f>IF(ISERROR(FIND('112'!$M$9,G2388,1)),"",IF((AND(FIND('112'!$M$9,G2388,1)&gt;=1,$B2388&gt;='112'!$N$8,$B2388&lt;='112'!$O$8,OR($L2388='112'!$I$6,$M2388='112'!$I$6))),"x",""))</f>
        <v/>
      </c>
      <c r="S2388" s="525" t="str">
        <f>IF(ISERROR(FIND('112'!$M$9,G2388,1)),"",IF((AND(LEFT(G2388,2)=LEFT('112'!$M$9,2),B2388&lt;'112'!$N$8,$L2388='112'!$I$6)),"x",""))</f>
        <v/>
      </c>
      <c r="T2388" s="525" t="str">
        <f>IF(ISERROR(FIND('112'!$M$9,G2388,1)),"",IF((AND(RIGHT(G2388,2)=RIGHT('112'!$M$9,2),B2388&lt;'112'!$N$8,$M2388='112'!$I$6)),"x",""))</f>
        <v/>
      </c>
      <c r="U2388" s="525" t="str">
        <f>IF(AND(B2388&gt;='IN-NX'!$P$3,B2388&lt;='IN-NX'!$Q$3,'IN-NX'!$D$7=D2388,OR(LEFT(L2388,2)="15",AND(LEFT(M2388,2)&lt;&gt;"15",LEFT(M2388,2)&lt;&gt;"33"))),"x","")</f>
        <v/>
      </c>
      <c r="V2388" s="525" t="str">
        <f>IF(AND(OR(LEFT(TH!L2388,2)="15",LEFT(TH!M2388,2)="15"),'152-CT'!$J$8=TH!F2388),"x","")</f>
        <v/>
      </c>
      <c r="W2388" s="525" t="str">
        <f>IF(AND(OR(LEFT(TH!L2388,2)="15",LEFT(TH!M2388,2)="15"),TK!$E$7=TH!F2388),"x","")</f>
        <v/>
      </c>
      <c r="X2388" s="525" t="str">
        <f>IF(AND('341-CT'!$E$9=H2388,OR(LEFT(L2388,3)=$X$7,LEFT(M2388,3)=$X$7)),"x","")</f>
        <v/>
      </c>
      <c r="Y2388" s="525" t="str">
        <f>IF(OR(TH!L2388=TH!$Y$7,M2388=TH!$Y$7),"x","")</f>
        <v/>
      </c>
      <c r="Z2388" s="525" t="str">
        <f>IF(AND(B2388&lt;=NKC!$N$8,B2388&gt;=NKC!$M$8),"x","")</f>
        <v/>
      </c>
      <c r="AA2388" s="535"/>
      <c r="AB2388" s="536"/>
    </row>
    <row r="2389" spans="1:28" s="503" customFormat="1" ht="15.75" customHeight="1">
      <c r="A2389" s="517" t="str">
        <f>IF(B2389&lt;&gt;"",IF(AND(B2389&gt;=_TM1,B2389&lt;=_TM2,OR(TH!L2389="1111",TH!M2389="1111")),TH!D2389,""),"")</f>
        <v/>
      </c>
      <c r="B2389" s="531">
        <f t="shared" si="215"/>
        <v>4</v>
      </c>
      <c r="C2389" s="315">
        <f t="shared" si="216"/>
        <v>42853</v>
      </c>
      <c r="D2389" s="315" t="s">
        <v>916</v>
      </c>
      <c r="E2389" s="315">
        <v>42853</v>
      </c>
      <c r="F2389" s="250" t="s">
        <v>274</v>
      </c>
      <c r="G2389" s="314" t="s">
        <v>1116</v>
      </c>
      <c r="H2389" s="473" t="s">
        <v>284</v>
      </c>
      <c r="I2389" s="307">
        <v>787</v>
      </c>
      <c r="J2389" s="307">
        <v>11450</v>
      </c>
      <c r="K2389" s="532">
        <f t="shared" si="217"/>
        <v>9011150</v>
      </c>
      <c r="L2389" s="534" t="s">
        <v>223</v>
      </c>
      <c r="M2389" s="534" t="s">
        <v>162</v>
      </c>
      <c r="N2389" s="525" t="str">
        <f>IF(AND('331-CT'!$E$7=TH!H2389,OR(L2389="331",M2389="331")),"331",IF(AND(OR(L2389="131",M2389="131"),H2389='131-CT'!$E$7),"131",""))</f>
        <v/>
      </c>
      <c r="O2389" s="525" t="str">
        <f>IF(AND($B2389&gt;='111'!$N$11,$B2389&lt;='111'!$O$11,OR($L2389=$O$7,$M2389=$O$7)),"x","")</f>
        <v/>
      </c>
      <c r="P2389" s="525" t="str">
        <f>IF(AND($L2389=$O$7,$B2389&lt;'111'!$N$11),"x","")</f>
        <v/>
      </c>
      <c r="Q2389" s="525" t="str">
        <f>IF(AND($M2389=$O$7,$B2389&lt;'111'!$N$11),"x","")</f>
        <v/>
      </c>
      <c r="R2389" s="525" t="str">
        <f>IF(ISERROR(FIND('112'!$M$9,G2389,1)),"",IF((AND(FIND('112'!$M$9,G2389,1)&gt;=1,$B2389&gt;='112'!$N$8,$B2389&lt;='112'!$O$8,OR($L2389='112'!$I$6,$M2389='112'!$I$6))),"x",""))</f>
        <v/>
      </c>
      <c r="S2389" s="525" t="str">
        <f>IF(ISERROR(FIND('112'!$M$9,G2389,1)),"",IF((AND(LEFT(G2389,2)=LEFT('112'!$M$9,2),B2389&lt;'112'!$N$8,$L2389='112'!$I$6)),"x",""))</f>
        <v/>
      </c>
      <c r="T2389" s="525" t="str">
        <f>IF(ISERROR(FIND('112'!$M$9,G2389,1)),"",IF((AND(RIGHT(G2389,2)=RIGHT('112'!$M$9,2),B2389&lt;'112'!$N$8,$M2389='112'!$I$6)),"x",""))</f>
        <v/>
      </c>
      <c r="U2389" s="525" t="str">
        <f>IF(AND(B2389&gt;='IN-NX'!$P$3,B2389&lt;='IN-NX'!$Q$3,'IN-NX'!$D$7=D2389,OR(LEFT(L2389,2)="15",AND(LEFT(M2389,2)&lt;&gt;"15",LEFT(M2389,2)&lt;&gt;"33"))),"x","")</f>
        <v/>
      </c>
      <c r="V2389" s="525" t="str">
        <f>IF(AND(OR(LEFT(TH!L2389,2)="15",LEFT(TH!M2389,2)="15"),'152-CT'!$J$8=TH!F2389),"x","")</f>
        <v/>
      </c>
      <c r="W2389" s="525" t="str">
        <f>IF(AND(OR(LEFT(TH!L2389,2)="15",LEFT(TH!M2389,2)="15"),TK!$E$7=TH!F2389),"x","")</f>
        <v/>
      </c>
      <c r="X2389" s="525" t="str">
        <f>IF(AND('341-CT'!$E$9=H2389,OR(LEFT(L2389,3)=$X$7,LEFT(M2389,3)=$X$7)),"x","")</f>
        <v/>
      </c>
      <c r="Y2389" s="525" t="str">
        <f>IF(OR(TH!L2389=TH!$Y$7,M2389=TH!$Y$7),"x","")</f>
        <v/>
      </c>
      <c r="Z2389" s="525" t="str">
        <f>IF(AND(B2389&lt;=NKC!$N$8,B2389&gt;=NKC!$M$8),"x","")</f>
        <v/>
      </c>
      <c r="AA2389" s="535"/>
      <c r="AB2389" s="536"/>
    </row>
    <row r="2390" spans="1:28" s="503" customFormat="1" ht="15.75" customHeight="1">
      <c r="A2390" s="517" t="str">
        <f>IF(B2390&lt;&gt;"",IF(AND(B2390&gt;=_TM1,B2390&lt;=_TM2,OR(TH!L2390="1111",TH!M2390="1111")),TH!D2390,""),"")</f>
        <v/>
      </c>
      <c r="B2390" s="531">
        <f t="shared" si="215"/>
        <v>4</v>
      </c>
      <c r="C2390" s="315">
        <f t="shared" si="216"/>
        <v>42853</v>
      </c>
      <c r="D2390" s="315" t="s">
        <v>916</v>
      </c>
      <c r="E2390" s="315">
        <v>42853</v>
      </c>
      <c r="F2390" s="250" t="s">
        <v>738</v>
      </c>
      <c r="G2390" s="314" t="s">
        <v>1116</v>
      </c>
      <c r="H2390" s="473" t="s">
        <v>284</v>
      </c>
      <c r="I2390" s="307">
        <v>6</v>
      </c>
      <c r="J2390" s="307">
        <v>165627</v>
      </c>
      <c r="K2390" s="532">
        <f t="shared" si="217"/>
        <v>993762</v>
      </c>
      <c r="L2390" s="534" t="s">
        <v>223</v>
      </c>
      <c r="M2390" s="534" t="s">
        <v>162</v>
      </c>
      <c r="N2390" s="525" t="str">
        <f>IF(AND('331-CT'!$E$7=TH!H2390,OR(L2390="331",M2390="331")),"331",IF(AND(OR(L2390="131",M2390="131"),H2390='131-CT'!$E$7),"131",""))</f>
        <v/>
      </c>
      <c r="O2390" s="525" t="str">
        <f>IF(AND($B2390&gt;='111'!$N$11,$B2390&lt;='111'!$O$11,OR($L2390=$O$7,$M2390=$O$7)),"x","")</f>
        <v/>
      </c>
      <c r="P2390" s="525" t="str">
        <f>IF(AND($L2390=$O$7,$B2390&lt;'111'!$N$11),"x","")</f>
        <v/>
      </c>
      <c r="Q2390" s="525" t="str">
        <f>IF(AND($M2390=$O$7,$B2390&lt;'111'!$N$11),"x","")</f>
        <v/>
      </c>
      <c r="R2390" s="525" t="str">
        <f>IF(ISERROR(FIND('112'!$M$9,G2390,1)),"",IF((AND(FIND('112'!$M$9,G2390,1)&gt;=1,$B2390&gt;='112'!$N$8,$B2390&lt;='112'!$O$8,OR($L2390='112'!$I$6,$M2390='112'!$I$6))),"x",""))</f>
        <v/>
      </c>
      <c r="S2390" s="525" t="str">
        <f>IF(ISERROR(FIND('112'!$M$9,G2390,1)),"",IF((AND(LEFT(G2390,2)=LEFT('112'!$M$9,2),B2390&lt;'112'!$N$8,$L2390='112'!$I$6)),"x",""))</f>
        <v/>
      </c>
      <c r="T2390" s="525" t="str">
        <f>IF(ISERROR(FIND('112'!$M$9,G2390,1)),"",IF((AND(RIGHT(G2390,2)=RIGHT('112'!$M$9,2),B2390&lt;'112'!$N$8,$M2390='112'!$I$6)),"x",""))</f>
        <v/>
      </c>
      <c r="U2390" s="525" t="str">
        <f>IF(AND(B2390&gt;='IN-NX'!$P$3,B2390&lt;='IN-NX'!$Q$3,'IN-NX'!$D$7=D2390,OR(LEFT(L2390,2)="15",AND(LEFT(M2390,2)&lt;&gt;"15",LEFT(M2390,2)&lt;&gt;"33"))),"x","")</f>
        <v/>
      </c>
      <c r="V2390" s="525" t="str">
        <f>IF(AND(OR(LEFT(TH!L2390,2)="15",LEFT(TH!M2390,2)="15"),'152-CT'!$J$8=TH!F2390),"x","")</f>
        <v/>
      </c>
      <c r="W2390" s="525" t="str">
        <f>IF(AND(OR(LEFT(TH!L2390,2)="15",LEFT(TH!M2390,2)="15"),TK!$E$7=TH!F2390),"x","")</f>
        <v/>
      </c>
      <c r="X2390" s="525" t="str">
        <f>IF(AND('341-CT'!$E$9=H2390,OR(LEFT(L2390,3)=$X$7,LEFT(M2390,3)=$X$7)),"x","")</f>
        <v/>
      </c>
      <c r="Y2390" s="525" t="str">
        <f>IF(OR(TH!L2390=TH!$Y$7,M2390=TH!$Y$7),"x","")</f>
        <v/>
      </c>
      <c r="Z2390" s="525" t="str">
        <f>IF(AND(B2390&lt;=NKC!$N$8,B2390&gt;=NKC!$M$8),"x","")</f>
        <v/>
      </c>
      <c r="AA2390" s="535"/>
      <c r="AB2390" s="536"/>
    </row>
    <row r="2391" spans="1:28" s="503" customFormat="1" ht="15.75" customHeight="1">
      <c r="A2391" s="517" t="str">
        <f>IF(B2391&lt;&gt;"",IF(AND(B2391&gt;=_TM1,B2391&lt;=_TM2,OR(TH!L2391="1111",TH!M2391="1111")),TH!D2391,""),"")</f>
        <v/>
      </c>
      <c r="B2391" s="531">
        <f t="shared" si="215"/>
        <v>4</v>
      </c>
      <c r="C2391" s="315">
        <f t="shared" si="216"/>
        <v>42853</v>
      </c>
      <c r="D2391" s="315" t="s">
        <v>916</v>
      </c>
      <c r="E2391" s="315">
        <v>42853</v>
      </c>
      <c r="F2391" s="250" t="s">
        <v>795</v>
      </c>
      <c r="G2391" s="314" t="s">
        <v>1116</v>
      </c>
      <c r="H2391" s="473" t="s">
        <v>284</v>
      </c>
      <c r="I2391" s="307">
        <v>60</v>
      </c>
      <c r="J2391" s="307">
        <v>76999</v>
      </c>
      <c r="K2391" s="532">
        <f t="shared" si="217"/>
        <v>4619940</v>
      </c>
      <c r="L2391" s="534" t="s">
        <v>223</v>
      </c>
      <c r="M2391" s="534" t="s">
        <v>162</v>
      </c>
      <c r="N2391" s="525" t="str">
        <f>IF(AND('331-CT'!$E$7=TH!H2391,OR(L2391="331",M2391="331")),"331",IF(AND(OR(L2391="131",M2391="131"),H2391='131-CT'!$E$7),"131",""))</f>
        <v/>
      </c>
      <c r="O2391" s="525" t="str">
        <f>IF(AND($B2391&gt;='111'!$N$11,$B2391&lt;='111'!$O$11,OR($L2391=$O$7,$M2391=$O$7)),"x","")</f>
        <v/>
      </c>
      <c r="P2391" s="525" t="str">
        <f>IF(AND($L2391=$O$7,$B2391&lt;'111'!$N$11),"x","")</f>
        <v/>
      </c>
      <c r="Q2391" s="525" t="str">
        <f>IF(AND($M2391=$O$7,$B2391&lt;'111'!$N$11),"x","")</f>
        <v/>
      </c>
      <c r="R2391" s="525" t="str">
        <f>IF(ISERROR(FIND('112'!$M$9,G2391,1)),"",IF((AND(FIND('112'!$M$9,G2391,1)&gt;=1,$B2391&gt;='112'!$N$8,$B2391&lt;='112'!$O$8,OR($L2391='112'!$I$6,$M2391='112'!$I$6))),"x",""))</f>
        <v/>
      </c>
      <c r="S2391" s="525" t="str">
        <f>IF(ISERROR(FIND('112'!$M$9,G2391,1)),"",IF((AND(LEFT(G2391,2)=LEFT('112'!$M$9,2),B2391&lt;'112'!$N$8,$L2391='112'!$I$6)),"x",""))</f>
        <v/>
      </c>
      <c r="T2391" s="525" t="str">
        <f>IF(ISERROR(FIND('112'!$M$9,G2391,1)),"",IF((AND(RIGHT(G2391,2)=RIGHT('112'!$M$9,2),B2391&lt;'112'!$N$8,$M2391='112'!$I$6)),"x",""))</f>
        <v/>
      </c>
      <c r="U2391" s="525" t="str">
        <f>IF(AND(B2391&gt;='IN-NX'!$P$3,B2391&lt;='IN-NX'!$Q$3,'IN-NX'!$D$7=D2391,OR(LEFT(L2391,2)="15",AND(LEFT(M2391,2)&lt;&gt;"15",LEFT(M2391,2)&lt;&gt;"33"))),"x","")</f>
        <v/>
      </c>
      <c r="V2391" s="525" t="str">
        <f>IF(AND(OR(LEFT(TH!L2391,2)="15",LEFT(TH!M2391,2)="15"),'152-CT'!$J$8=TH!F2391),"x","")</f>
        <v/>
      </c>
      <c r="W2391" s="525" t="str">
        <f>IF(AND(OR(LEFT(TH!L2391,2)="15",LEFT(TH!M2391,2)="15"),TK!$E$7=TH!F2391),"x","")</f>
        <v/>
      </c>
      <c r="X2391" s="525" t="str">
        <f>IF(AND('341-CT'!$E$9=H2391,OR(LEFT(L2391,3)=$X$7,LEFT(M2391,3)=$X$7)),"x","")</f>
        <v/>
      </c>
      <c r="Y2391" s="525" t="str">
        <f>IF(OR(TH!L2391=TH!$Y$7,M2391=TH!$Y$7),"x","")</f>
        <v/>
      </c>
      <c r="Z2391" s="525" t="str">
        <f>IF(AND(B2391&lt;=NKC!$N$8,B2391&gt;=NKC!$M$8),"x","")</f>
        <v/>
      </c>
      <c r="AA2391" s="535"/>
      <c r="AB2391" s="536"/>
    </row>
    <row r="2392" spans="1:28" s="503" customFormat="1" ht="15.75" customHeight="1">
      <c r="A2392" s="517" t="str">
        <f>IF(B2392&lt;&gt;"",IF(AND(B2392&gt;=_TM1,B2392&lt;=_TM2,OR(TH!L2392="1111",TH!M2392="1111")),TH!D2392,""),"")</f>
        <v/>
      </c>
      <c r="B2392" s="531">
        <f t="shared" si="215"/>
        <v>4</v>
      </c>
      <c r="C2392" s="315">
        <f t="shared" si="216"/>
        <v>42853</v>
      </c>
      <c r="D2392" s="315" t="s">
        <v>916</v>
      </c>
      <c r="E2392" s="315">
        <v>42853</v>
      </c>
      <c r="F2392" s="250" t="s">
        <v>791</v>
      </c>
      <c r="G2392" s="314" t="s">
        <v>1116</v>
      </c>
      <c r="H2392" s="473" t="s">
        <v>284</v>
      </c>
      <c r="I2392" s="307">
        <v>20</v>
      </c>
      <c r="J2392" s="307">
        <v>144908</v>
      </c>
      <c r="K2392" s="532">
        <f t="shared" si="217"/>
        <v>2898160</v>
      </c>
      <c r="L2392" s="534" t="s">
        <v>223</v>
      </c>
      <c r="M2392" s="534" t="s">
        <v>162</v>
      </c>
      <c r="N2392" s="525" t="str">
        <f>IF(AND('331-CT'!$E$7=TH!H2392,OR(L2392="331",M2392="331")),"331",IF(AND(OR(L2392="131",M2392="131"),H2392='131-CT'!$E$7),"131",""))</f>
        <v/>
      </c>
      <c r="O2392" s="525" t="str">
        <f>IF(AND($B2392&gt;='111'!$N$11,$B2392&lt;='111'!$O$11,OR($L2392=$O$7,$M2392=$O$7)),"x","")</f>
        <v/>
      </c>
      <c r="P2392" s="525" t="str">
        <f>IF(AND($L2392=$O$7,$B2392&lt;'111'!$N$11),"x","")</f>
        <v/>
      </c>
      <c r="Q2392" s="525" t="str">
        <f>IF(AND($M2392=$O$7,$B2392&lt;'111'!$N$11),"x","")</f>
        <v/>
      </c>
      <c r="R2392" s="525" t="str">
        <f>IF(ISERROR(FIND('112'!$M$9,G2392,1)),"",IF((AND(FIND('112'!$M$9,G2392,1)&gt;=1,$B2392&gt;='112'!$N$8,$B2392&lt;='112'!$O$8,OR($L2392='112'!$I$6,$M2392='112'!$I$6))),"x",""))</f>
        <v/>
      </c>
      <c r="S2392" s="525" t="str">
        <f>IF(ISERROR(FIND('112'!$M$9,G2392,1)),"",IF((AND(LEFT(G2392,2)=LEFT('112'!$M$9,2),B2392&lt;'112'!$N$8,$L2392='112'!$I$6)),"x",""))</f>
        <v/>
      </c>
      <c r="T2392" s="525" t="str">
        <f>IF(ISERROR(FIND('112'!$M$9,G2392,1)),"",IF((AND(RIGHT(G2392,2)=RIGHT('112'!$M$9,2),B2392&lt;'112'!$N$8,$M2392='112'!$I$6)),"x",""))</f>
        <v/>
      </c>
      <c r="U2392" s="525" t="str">
        <f>IF(AND(B2392&gt;='IN-NX'!$P$3,B2392&lt;='IN-NX'!$Q$3,'IN-NX'!$D$7=D2392,OR(LEFT(L2392,2)="15",AND(LEFT(M2392,2)&lt;&gt;"15",LEFT(M2392,2)&lt;&gt;"33"))),"x","")</f>
        <v/>
      </c>
      <c r="V2392" s="525" t="str">
        <f>IF(AND(OR(LEFT(TH!L2392,2)="15",LEFT(TH!M2392,2)="15"),'152-CT'!$J$8=TH!F2392),"x","")</f>
        <v/>
      </c>
      <c r="W2392" s="525" t="str">
        <f>IF(AND(OR(LEFT(TH!L2392,2)="15",LEFT(TH!M2392,2)="15"),TK!$E$7=TH!F2392),"x","")</f>
        <v/>
      </c>
      <c r="X2392" s="525" t="str">
        <f>IF(AND('341-CT'!$E$9=H2392,OR(LEFT(L2392,3)=$X$7,LEFT(M2392,3)=$X$7)),"x","")</f>
        <v/>
      </c>
      <c r="Y2392" s="525" t="str">
        <f>IF(OR(TH!L2392=TH!$Y$7,M2392=TH!$Y$7),"x","")</f>
        <v/>
      </c>
      <c r="Z2392" s="525" t="str">
        <f>IF(AND(B2392&lt;=NKC!$N$8,B2392&gt;=NKC!$M$8),"x","")</f>
        <v/>
      </c>
      <c r="AA2392" s="535"/>
      <c r="AB2392" s="536"/>
    </row>
    <row r="2393" spans="1:28" s="503" customFormat="1" ht="15.75" customHeight="1">
      <c r="A2393" s="517" t="str">
        <f>IF(B2393&lt;&gt;"",IF(AND(B2393&gt;=_TM1,B2393&lt;=_TM2,OR(TH!L2393="1111",TH!M2393="1111")),TH!D2393,""),"")</f>
        <v/>
      </c>
      <c r="B2393" s="531">
        <f t="shared" si="215"/>
        <v>4</v>
      </c>
      <c r="C2393" s="315">
        <f t="shared" si="216"/>
        <v>42853</v>
      </c>
      <c r="D2393" s="315" t="s">
        <v>916</v>
      </c>
      <c r="E2393" s="315">
        <v>42853</v>
      </c>
      <c r="F2393" s="249" t="s">
        <v>1055</v>
      </c>
      <c r="G2393" s="314" t="s">
        <v>1116</v>
      </c>
      <c r="H2393" s="473" t="s">
        <v>284</v>
      </c>
      <c r="I2393" s="307">
        <v>8</v>
      </c>
      <c r="J2393" s="307">
        <v>101304</v>
      </c>
      <c r="K2393" s="532">
        <f t="shared" si="217"/>
        <v>810432</v>
      </c>
      <c r="L2393" s="534" t="s">
        <v>223</v>
      </c>
      <c r="M2393" s="534" t="s">
        <v>162</v>
      </c>
      <c r="N2393" s="525" t="str">
        <f>IF(AND('331-CT'!$E$7=TH!H2393,OR(L2393="331",M2393="331")),"331",IF(AND(OR(L2393="131",M2393="131"),H2393='131-CT'!$E$7),"131",""))</f>
        <v/>
      </c>
      <c r="O2393" s="525" t="str">
        <f>IF(AND($B2393&gt;='111'!$N$11,$B2393&lt;='111'!$O$11,OR($L2393=$O$7,$M2393=$O$7)),"x","")</f>
        <v/>
      </c>
      <c r="P2393" s="525" t="str">
        <f>IF(AND($L2393=$O$7,$B2393&lt;'111'!$N$11),"x","")</f>
        <v/>
      </c>
      <c r="Q2393" s="525" t="str">
        <f>IF(AND($M2393=$O$7,$B2393&lt;'111'!$N$11),"x","")</f>
        <v/>
      </c>
      <c r="R2393" s="525" t="str">
        <f>IF(ISERROR(FIND('112'!$M$9,G2393,1)),"",IF((AND(FIND('112'!$M$9,G2393,1)&gt;=1,$B2393&gt;='112'!$N$8,$B2393&lt;='112'!$O$8,OR($L2393='112'!$I$6,$M2393='112'!$I$6))),"x",""))</f>
        <v/>
      </c>
      <c r="S2393" s="525" t="str">
        <f>IF(ISERROR(FIND('112'!$M$9,G2393,1)),"",IF((AND(LEFT(G2393,2)=LEFT('112'!$M$9,2),B2393&lt;'112'!$N$8,$L2393='112'!$I$6)),"x",""))</f>
        <v/>
      </c>
      <c r="T2393" s="525" t="str">
        <f>IF(ISERROR(FIND('112'!$M$9,G2393,1)),"",IF((AND(RIGHT(G2393,2)=RIGHT('112'!$M$9,2),B2393&lt;'112'!$N$8,$M2393='112'!$I$6)),"x",""))</f>
        <v/>
      </c>
      <c r="U2393" s="525" t="str">
        <f>IF(AND(B2393&gt;='IN-NX'!$P$3,B2393&lt;='IN-NX'!$Q$3,'IN-NX'!$D$7=D2393,OR(LEFT(L2393,2)="15",AND(LEFT(M2393,2)&lt;&gt;"15",LEFT(M2393,2)&lt;&gt;"33"))),"x","")</f>
        <v/>
      </c>
      <c r="V2393" s="525" t="str">
        <f>IF(AND(OR(LEFT(TH!L2393,2)="15",LEFT(TH!M2393,2)="15"),'152-CT'!$J$8=TH!F2393),"x","")</f>
        <v/>
      </c>
      <c r="W2393" s="525" t="str">
        <f>IF(AND(OR(LEFT(TH!L2393,2)="15",LEFT(TH!M2393,2)="15"),TK!$E$7=TH!F2393),"x","")</f>
        <v/>
      </c>
      <c r="X2393" s="525" t="str">
        <f>IF(AND('341-CT'!$E$9=H2393,OR(LEFT(L2393,3)=$X$7,LEFT(M2393,3)=$X$7)),"x","")</f>
        <v/>
      </c>
      <c r="Y2393" s="525" t="str">
        <f>IF(OR(TH!L2393=TH!$Y$7,M2393=TH!$Y$7),"x","")</f>
        <v/>
      </c>
      <c r="Z2393" s="525" t="str">
        <f>IF(AND(B2393&lt;=NKC!$N$8,B2393&gt;=NKC!$M$8),"x","")</f>
        <v/>
      </c>
      <c r="AA2393" s="535"/>
      <c r="AB2393" s="536"/>
    </row>
    <row r="2394" spans="1:28" s="503" customFormat="1" ht="15.75" customHeight="1">
      <c r="A2394" s="517" t="str">
        <f>IF(B2394&lt;&gt;"",IF(AND(B2394&gt;=_TM1,B2394&lt;=_TM2,OR(TH!L2394="1111",TH!M2394="1111")),TH!D2394,""),"")</f>
        <v/>
      </c>
      <c r="B2394" s="531">
        <f t="shared" si="215"/>
        <v>4</v>
      </c>
      <c r="C2394" s="315">
        <f t="shared" si="216"/>
        <v>42853</v>
      </c>
      <c r="D2394" s="315" t="s">
        <v>917</v>
      </c>
      <c r="E2394" s="315">
        <v>42853</v>
      </c>
      <c r="F2394" s="250" t="s">
        <v>652</v>
      </c>
      <c r="G2394" s="314" t="s">
        <v>1116</v>
      </c>
      <c r="H2394" s="473" t="s">
        <v>284</v>
      </c>
      <c r="I2394" s="307">
        <v>100</v>
      </c>
      <c r="J2394" s="307">
        <v>29093</v>
      </c>
      <c r="K2394" s="532">
        <f t="shared" si="217"/>
        <v>2909300</v>
      </c>
      <c r="L2394" s="534" t="s">
        <v>223</v>
      </c>
      <c r="M2394" s="534" t="s">
        <v>162</v>
      </c>
      <c r="N2394" s="525" t="str">
        <f>IF(AND('331-CT'!$E$7=TH!H2394,OR(L2394="331",M2394="331")),"331",IF(AND(OR(L2394="131",M2394="131"),H2394='131-CT'!$E$7),"131",""))</f>
        <v/>
      </c>
      <c r="O2394" s="525" t="str">
        <f>IF(AND($B2394&gt;='111'!$N$11,$B2394&lt;='111'!$O$11,OR($L2394=$O$7,$M2394=$O$7)),"x","")</f>
        <v/>
      </c>
      <c r="P2394" s="525" t="str">
        <f>IF(AND($L2394=$O$7,$B2394&lt;'111'!$N$11),"x","")</f>
        <v/>
      </c>
      <c r="Q2394" s="525" t="str">
        <f>IF(AND($M2394=$O$7,$B2394&lt;'111'!$N$11),"x","")</f>
        <v/>
      </c>
      <c r="R2394" s="525" t="str">
        <f>IF(ISERROR(FIND('112'!$M$9,G2394,1)),"",IF((AND(FIND('112'!$M$9,G2394,1)&gt;=1,$B2394&gt;='112'!$N$8,$B2394&lt;='112'!$O$8,OR($L2394='112'!$I$6,$M2394='112'!$I$6))),"x",""))</f>
        <v/>
      </c>
      <c r="S2394" s="525" t="str">
        <f>IF(ISERROR(FIND('112'!$M$9,G2394,1)),"",IF((AND(LEFT(G2394,2)=LEFT('112'!$M$9,2),B2394&lt;'112'!$N$8,$L2394='112'!$I$6)),"x",""))</f>
        <v/>
      </c>
      <c r="T2394" s="525" t="str">
        <f>IF(ISERROR(FIND('112'!$M$9,G2394,1)),"",IF((AND(RIGHT(G2394,2)=RIGHT('112'!$M$9,2),B2394&lt;'112'!$N$8,$M2394='112'!$I$6)),"x",""))</f>
        <v/>
      </c>
      <c r="U2394" s="525" t="str">
        <f>IF(AND(B2394&gt;='IN-NX'!$P$3,B2394&lt;='IN-NX'!$Q$3,'IN-NX'!$D$7=D2394,OR(LEFT(L2394,2)="15",AND(LEFT(M2394,2)&lt;&gt;"15",LEFT(M2394,2)&lt;&gt;"33"))),"x","")</f>
        <v/>
      </c>
      <c r="V2394" s="525" t="str">
        <f>IF(AND(OR(LEFT(TH!L2394,2)="15",LEFT(TH!M2394,2)="15"),'152-CT'!$J$8=TH!F2394),"x","")</f>
        <v/>
      </c>
      <c r="W2394" s="525" t="str">
        <f>IF(AND(OR(LEFT(TH!L2394,2)="15",LEFT(TH!M2394,2)="15"),TK!$E$7=TH!F2394),"x","")</f>
        <v/>
      </c>
      <c r="X2394" s="525" t="str">
        <f>IF(AND('341-CT'!$E$9=H2394,OR(LEFT(L2394,3)=$X$7,LEFT(M2394,3)=$X$7)),"x","")</f>
        <v/>
      </c>
      <c r="Y2394" s="525" t="str">
        <f>IF(OR(TH!L2394=TH!$Y$7,M2394=TH!$Y$7),"x","")</f>
        <v/>
      </c>
      <c r="Z2394" s="525" t="str">
        <f>IF(AND(B2394&lt;=NKC!$N$8,B2394&gt;=NKC!$M$8),"x","")</f>
        <v/>
      </c>
      <c r="AA2394" s="535"/>
      <c r="AB2394" s="536"/>
    </row>
    <row r="2395" spans="1:28" s="503" customFormat="1" ht="15.75" customHeight="1">
      <c r="A2395" s="517" t="str">
        <f>IF(B2395&lt;&gt;"",IF(AND(B2395&gt;=_TM1,B2395&lt;=_TM2,OR(TH!L2395="1111",TH!M2395="1111")),TH!D2395,""),"")</f>
        <v/>
      </c>
      <c r="B2395" s="531">
        <f t="shared" si="215"/>
        <v>4</v>
      </c>
      <c r="C2395" s="315">
        <f t="shared" si="216"/>
        <v>42853</v>
      </c>
      <c r="D2395" s="315" t="s">
        <v>917</v>
      </c>
      <c r="E2395" s="315">
        <v>42853</v>
      </c>
      <c r="F2395" s="249" t="s">
        <v>1056</v>
      </c>
      <c r="G2395" s="314" t="s">
        <v>1116</v>
      </c>
      <c r="H2395" s="473" t="s">
        <v>284</v>
      </c>
      <c r="I2395" s="307">
        <v>35</v>
      </c>
      <c r="J2395" s="307">
        <v>47633</v>
      </c>
      <c r="K2395" s="532">
        <f t="shared" si="217"/>
        <v>1667155</v>
      </c>
      <c r="L2395" s="534" t="s">
        <v>223</v>
      </c>
      <c r="M2395" s="534" t="s">
        <v>162</v>
      </c>
      <c r="N2395" s="525" t="str">
        <f>IF(AND('331-CT'!$E$7=TH!H2395,OR(L2395="331",M2395="331")),"331",IF(AND(OR(L2395="131",M2395="131"),H2395='131-CT'!$E$7),"131",""))</f>
        <v/>
      </c>
      <c r="O2395" s="525" t="str">
        <f>IF(AND($B2395&gt;='111'!$N$11,$B2395&lt;='111'!$O$11,OR($L2395=$O$7,$M2395=$O$7)),"x","")</f>
        <v/>
      </c>
      <c r="P2395" s="525" t="str">
        <f>IF(AND($L2395=$O$7,$B2395&lt;'111'!$N$11),"x","")</f>
        <v/>
      </c>
      <c r="Q2395" s="525" t="str">
        <f>IF(AND($M2395=$O$7,$B2395&lt;'111'!$N$11),"x","")</f>
        <v/>
      </c>
      <c r="R2395" s="525" t="str">
        <f>IF(ISERROR(FIND('112'!$M$9,G2395,1)),"",IF((AND(FIND('112'!$M$9,G2395,1)&gt;=1,$B2395&gt;='112'!$N$8,$B2395&lt;='112'!$O$8,OR($L2395='112'!$I$6,$M2395='112'!$I$6))),"x",""))</f>
        <v/>
      </c>
      <c r="S2395" s="525" t="str">
        <f>IF(ISERROR(FIND('112'!$M$9,G2395,1)),"",IF((AND(LEFT(G2395,2)=LEFT('112'!$M$9,2),B2395&lt;'112'!$N$8,$L2395='112'!$I$6)),"x",""))</f>
        <v/>
      </c>
      <c r="T2395" s="525" t="str">
        <f>IF(ISERROR(FIND('112'!$M$9,G2395,1)),"",IF((AND(RIGHT(G2395,2)=RIGHT('112'!$M$9,2),B2395&lt;'112'!$N$8,$M2395='112'!$I$6)),"x",""))</f>
        <v/>
      </c>
      <c r="U2395" s="525" t="str">
        <f>IF(AND(B2395&gt;='IN-NX'!$P$3,B2395&lt;='IN-NX'!$Q$3,'IN-NX'!$D$7=D2395,OR(LEFT(L2395,2)="15",AND(LEFT(M2395,2)&lt;&gt;"15",LEFT(M2395,2)&lt;&gt;"33"))),"x","")</f>
        <v/>
      </c>
      <c r="V2395" s="525" t="str">
        <f>IF(AND(OR(LEFT(TH!L2395,2)="15",LEFT(TH!M2395,2)="15"),'152-CT'!$J$8=TH!F2395),"x","")</f>
        <v/>
      </c>
      <c r="W2395" s="525" t="str">
        <f>IF(AND(OR(LEFT(TH!L2395,2)="15",LEFT(TH!M2395,2)="15"),TK!$E$7=TH!F2395),"x","")</f>
        <v/>
      </c>
      <c r="X2395" s="525" t="str">
        <f>IF(AND('341-CT'!$E$9=H2395,OR(LEFT(L2395,3)=$X$7,LEFT(M2395,3)=$X$7)),"x","")</f>
        <v/>
      </c>
      <c r="Y2395" s="525" t="str">
        <f>IF(OR(TH!L2395=TH!$Y$7,M2395=TH!$Y$7),"x","")</f>
        <v/>
      </c>
      <c r="Z2395" s="525" t="str">
        <f>IF(AND(B2395&lt;=NKC!$N$8,B2395&gt;=NKC!$M$8),"x","")</f>
        <v/>
      </c>
      <c r="AA2395" s="535"/>
      <c r="AB2395" s="536"/>
    </row>
    <row r="2396" spans="1:28" s="503" customFormat="1" ht="15.75" customHeight="1">
      <c r="A2396" s="517" t="str">
        <f>IF(B2396&lt;&gt;"",IF(AND(B2396&gt;=_TM1,B2396&lt;=_TM2,OR(TH!L2396="1111",TH!M2396="1111")),TH!D2396,""),"")</f>
        <v/>
      </c>
      <c r="B2396" s="531">
        <f t="shared" si="215"/>
        <v>4</v>
      </c>
      <c r="C2396" s="315">
        <f t="shared" si="216"/>
        <v>42853</v>
      </c>
      <c r="D2396" s="315" t="s">
        <v>917</v>
      </c>
      <c r="E2396" s="315">
        <v>42853</v>
      </c>
      <c r="F2396" s="249" t="s">
        <v>655</v>
      </c>
      <c r="G2396" s="314" t="s">
        <v>1116</v>
      </c>
      <c r="H2396" s="473" t="s">
        <v>284</v>
      </c>
      <c r="I2396" s="307">
        <v>30</v>
      </c>
      <c r="J2396" s="307">
        <v>51566</v>
      </c>
      <c r="K2396" s="532">
        <f t="shared" si="217"/>
        <v>1546980</v>
      </c>
      <c r="L2396" s="534" t="s">
        <v>223</v>
      </c>
      <c r="M2396" s="534" t="s">
        <v>162</v>
      </c>
      <c r="N2396" s="525" t="str">
        <f>IF(AND('331-CT'!$E$7=TH!H2396,OR(L2396="331",M2396="331")),"331",IF(AND(OR(L2396="131",M2396="131"),H2396='131-CT'!$E$7),"131",""))</f>
        <v/>
      </c>
      <c r="O2396" s="525" t="str">
        <f>IF(AND($B2396&gt;='111'!$N$11,$B2396&lt;='111'!$O$11,OR($L2396=$O$7,$M2396=$O$7)),"x","")</f>
        <v/>
      </c>
      <c r="P2396" s="525" t="str">
        <f>IF(AND($L2396=$O$7,$B2396&lt;'111'!$N$11),"x","")</f>
        <v/>
      </c>
      <c r="Q2396" s="525" t="str">
        <f>IF(AND($M2396=$O$7,$B2396&lt;'111'!$N$11),"x","")</f>
        <v/>
      </c>
      <c r="R2396" s="525" t="str">
        <f>IF(ISERROR(FIND('112'!$M$9,G2396,1)),"",IF((AND(FIND('112'!$M$9,G2396,1)&gt;=1,$B2396&gt;='112'!$N$8,$B2396&lt;='112'!$O$8,OR($L2396='112'!$I$6,$M2396='112'!$I$6))),"x",""))</f>
        <v/>
      </c>
      <c r="S2396" s="525" t="str">
        <f>IF(ISERROR(FIND('112'!$M$9,G2396,1)),"",IF((AND(LEFT(G2396,2)=LEFT('112'!$M$9,2),B2396&lt;'112'!$N$8,$L2396='112'!$I$6)),"x",""))</f>
        <v/>
      </c>
      <c r="T2396" s="525" t="str">
        <f>IF(ISERROR(FIND('112'!$M$9,G2396,1)),"",IF((AND(RIGHT(G2396,2)=RIGHT('112'!$M$9,2),B2396&lt;'112'!$N$8,$M2396='112'!$I$6)),"x",""))</f>
        <v/>
      </c>
      <c r="U2396" s="525" t="str">
        <f>IF(AND(B2396&gt;='IN-NX'!$P$3,B2396&lt;='IN-NX'!$Q$3,'IN-NX'!$D$7=D2396,OR(LEFT(L2396,2)="15",AND(LEFT(M2396,2)&lt;&gt;"15",LEFT(M2396,2)&lt;&gt;"33"))),"x","")</f>
        <v/>
      </c>
      <c r="V2396" s="525" t="str">
        <f>IF(AND(OR(LEFT(TH!L2396,2)="15",LEFT(TH!M2396,2)="15"),'152-CT'!$J$8=TH!F2396),"x","")</f>
        <v/>
      </c>
      <c r="W2396" s="525" t="str">
        <f>IF(AND(OR(LEFT(TH!L2396,2)="15",LEFT(TH!M2396,2)="15"),TK!$E$7=TH!F2396),"x","")</f>
        <v/>
      </c>
      <c r="X2396" s="525" t="str">
        <f>IF(AND('341-CT'!$E$9=H2396,OR(LEFT(L2396,3)=$X$7,LEFT(M2396,3)=$X$7)),"x","")</f>
        <v/>
      </c>
      <c r="Y2396" s="525" t="str">
        <f>IF(OR(TH!L2396=TH!$Y$7,M2396=TH!$Y$7),"x","")</f>
        <v/>
      </c>
      <c r="Z2396" s="525" t="str">
        <f>IF(AND(B2396&lt;=NKC!$N$8,B2396&gt;=NKC!$M$8),"x","")</f>
        <v/>
      </c>
      <c r="AA2396" s="535"/>
      <c r="AB2396" s="536"/>
    </row>
    <row r="2397" spans="1:28" s="503" customFormat="1" ht="15.75" customHeight="1">
      <c r="A2397" s="517" t="str">
        <f>IF(B2397&lt;&gt;"",IF(AND(B2397&gt;=_TM1,B2397&lt;=_TM2,OR(TH!L2397="1111",TH!M2397="1111")),TH!D2397,""),"")</f>
        <v/>
      </c>
      <c r="B2397" s="531">
        <f t="shared" si="215"/>
        <v>4</v>
      </c>
      <c r="C2397" s="315">
        <f t="shared" si="216"/>
        <v>42853</v>
      </c>
      <c r="D2397" s="315" t="s">
        <v>917</v>
      </c>
      <c r="E2397" s="315">
        <v>42853</v>
      </c>
      <c r="F2397" s="249" t="s">
        <v>1057</v>
      </c>
      <c r="G2397" s="314" t="s">
        <v>1116</v>
      </c>
      <c r="H2397" s="473" t="s">
        <v>284</v>
      </c>
      <c r="I2397" s="307">
        <v>30</v>
      </c>
      <c r="J2397" s="307">
        <v>72558</v>
      </c>
      <c r="K2397" s="532">
        <f t="shared" si="217"/>
        <v>2176740</v>
      </c>
      <c r="L2397" s="534" t="s">
        <v>223</v>
      </c>
      <c r="M2397" s="534" t="s">
        <v>162</v>
      </c>
      <c r="N2397" s="525" t="str">
        <f>IF(AND('331-CT'!$E$7=TH!H2397,OR(L2397="331",M2397="331")),"331",IF(AND(OR(L2397="131",M2397="131"),H2397='131-CT'!$E$7),"131",""))</f>
        <v/>
      </c>
      <c r="O2397" s="525" t="str">
        <f>IF(AND($B2397&gt;='111'!$N$11,$B2397&lt;='111'!$O$11,OR($L2397=$O$7,$M2397=$O$7)),"x","")</f>
        <v/>
      </c>
      <c r="P2397" s="525" t="str">
        <f>IF(AND($L2397=$O$7,$B2397&lt;'111'!$N$11),"x","")</f>
        <v/>
      </c>
      <c r="Q2397" s="525" t="str">
        <f>IF(AND($M2397=$O$7,$B2397&lt;'111'!$N$11),"x","")</f>
        <v/>
      </c>
      <c r="R2397" s="525" t="str">
        <f>IF(ISERROR(FIND('112'!$M$9,G2397,1)),"",IF((AND(FIND('112'!$M$9,G2397,1)&gt;=1,$B2397&gt;='112'!$N$8,$B2397&lt;='112'!$O$8,OR($L2397='112'!$I$6,$M2397='112'!$I$6))),"x",""))</f>
        <v/>
      </c>
      <c r="S2397" s="525" t="str">
        <f>IF(ISERROR(FIND('112'!$M$9,G2397,1)),"",IF((AND(LEFT(G2397,2)=LEFT('112'!$M$9,2),B2397&lt;'112'!$N$8,$L2397='112'!$I$6)),"x",""))</f>
        <v/>
      </c>
      <c r="T2397" s="525" t="str">
        <f>IF(ISERROR(FIND('112'!$M$9,G2397,1)),"",IF((AND(RIGHT(G2397,2)=RIGHT('112'!$M$9,2),B2397&lt;'112'!$N$8,$M2397='112'!$I$6)),"x",""))</f>
        <v/>
      </c>
      <c r="U2397" s="525" t="str">
        <f>IF(AND(B2397&gt;='IN-NX'!$P$3,B2397&lt;='IN-NX'!$Q$3,'IN-NX'!$D$7=D2397,OR(LEFT(L2397,2)="15",AND(LEFT(M2397,2)&lt;&gt;"15",LEFT(M2397,2)&lt;&gt;"33"))),"x","")</f>
        <v/>
      </c>
      <c r="V2397" s="525" t="str">
        <f>IF(AND(OR(LEFT(TH!L2397,2)="15",LEFT(TH!M2397,2)="15"),'152-CT'!$J$8=TH!F2397),"x","")</f>
        <v/>
      </c>
      <c r="W2397" s="525" t="str">
        <f>IF(AND(OR(LEFT(TH!L2397,2)="15",LEFT(TH!M2397,2)="15"),TK!$E$7=TH!F2397),"x","")</f>
        <v/>
      </c>
      <c r="X2397" s="525" t="str">
        <f>IF(AND('341-CT'!$E$9=H2397,OR(LEFT(L2397,3)=$X$7,LEFT(M2397,3)=$X$7)),"x","")</f>
        <v/>
      </c>
      <c r="Y2397" s="525" t="str">
        <f>IF(OR(TH!L2397=TH!$Y$7,M2397=TH!$Y$7),"x","")</f>
        <v/>
      </c>
      <c r="Z2397" s="525" t="str">
        <f>IF(AND(B2397&lt;=NKC!$N$8,B2397&gt;=NKC!$M$8),"x","")</f>
        <v/>
      </c>
      <c r="AA2397" s="535"/>
      <c r="AB2397" s="536"/>
    </row>
    <row r="2398" spans="1:28" s="503" customFormat="1" ht="15.75" customHeight="1">
      <c r="A2398" s="517" t="str">
        <f>IF(B2398&lt;&gt;"",IF(AND(B2398&gt;=_TM1,B2398&lt;=_TM2,OR(TH!L2398="1111",TH!M2398="1111")),TH!D2398,""),"")</f>
        <v/>
      </c>
      <c r="B2398" s="531">
        <f t="shared" si="215"/>
        <v>4</v>
      </c>
      <c r="C2398" s="315">
        <f t="shared" si="216"/>
        <v>42853</v>
      </c>
      <c r="D2398" s="315" t="s">
        <v>917</v>
      </c>
      <c r="E2398" s="315">
        <v>42853</v>
      </c>
      <c r="F2398" s="249" t="s">
        <v>1058</v>
      </c>
      <c r="G2398" s="314" t="s">
        <v>1116</v>
      </c>
      <c r="H2398" s="473" t="s">
        <v>284</v>
      </c>
      <c r="I2398" s="307">
        <v>20</v>
      </c>
      <c r="J2398" s="307">
        <v>44461</v>
      </c>
      <c r="K2398" s="532">
        <f t="shared" si="217"/>
        <v>889220</v>
      </c>
      <c r="L2398" s="534" t="s">
        <v>223</v>
      </c>
      <c r="M2398" s="534" t="s">
        <v>162</v>
      </c>
      <c r="N2398" s="525" t="str">
        <f>IF(AND('331-CT'!$E$7=TH!H2398,OR(L2398="331",M2398="331")),"331",IF(AND(OR(L2398="131",M2398="131"),H2398='131-CT'!$E$7),"131",""))</f>
        <v/>
      </c>
      <c r="O2398" s="525" t="str">
        <f>IF(AND($B2398&gt;='111'!$N$11,$B2398&lt;='111'!$O$11,OR($L2398=$O$7,$M2398=$O$7)),"x","")</f>
        <v/>
      </c>
      <c r="P2398" s="525" t="str">
        <f>IF(AND($L2398=$O$7,$B2398&lt;'111'!$N$11),"x","")</f>
        <v/>
      </c>
      <c r="Q2398" s="525" t="str">
        <f>IF(AND($M2398=$O$7,$B2398&lt;'111'!$N$11),"x","")</f>
        <v/>
      </c>
      <c r="R2398" s="525" t="str">
        <f>IF(ISERROR(FIND('112'!$M$9,G2398,1)),"",IF((AND(FIND('112'!$M$9,G2398,1)&gt;=1,$B2398&gt;='112'!$N$8,$B2398&lt;='112'!$O$8,OR($L2398='112'!$I$6,$M2398='112'!$I$6))),"x",""))</f>
        <v/>
      </c>
      <c r="S2398" s="525" t="str">
        <f>IF(ISERROR(FIND('112'!$M$9,G2398,1)),"",IF((AND(LEFT(G2398,2)=LEFT('112'!$M$9,2),B2398&lt;'112'!$N$8,$L2398='112'!$I$6)),"x",""))</f>
        <v/>
      </c>
      <c r="T2398" s="525" t="str">
        <f>IF(ISERROR(FIND('112'!$M$9,G2398,1)),"",IF((AND(RIGHT(G2398,2)=RIGHT('112'!$M$9,2),B2398&lt;'112'!$N$8,$M2398='112'!$I$6)),"x",""))</f>
        <v/>
      </c>
      <c r="U2398" s="525" t="str">
        <f>IF(AND(B2398&gt;='IN-NX'!$P$3,B2398&lt;='IN-NX'!$Q$3,'IN-NX'!$D$7=D2398,OR(LEFT(L2398,2)="15",AND(LEFT(M2398,2)&lt;&gt;"15",LEFT(M2398,2)&lt;&gt;"33"))),"x","")</f>
        <v/>
      </c>
      <c r="V2398" s="525" t="str">
        <f>IF(AND(OR(LEFT(TH!L2398,2)="15",LEFT(TH!M2398,2)="15"),'152-CT'!$J$8=TH!F2398),"x","")</f>
        <v/>
      </c>
      <c r="W2398" s="525" t="str">
        <f>IF(AND(OR(LEFT(TH!L2398,2)="15",LEFT(TH!M2398,2)="15"),TK!$E$7=TH!F2398),"x","")</f>
        <v/>
      </c>
      <c r="X2398" s="525" t="str">
        <f>IF(AND('341-CT'!$E$9=H2398,OR(LEFT(L2398,3)=$X$7,LEFT(M2398,3)=$X$7)),"x","")</f>
        <v/>
      </c>
      <c r="Y2398" s="525" t="str">
        <f>IF(OR(TH!L2398=TH!$Y$7,M2398=TH!$Y$7),"x","")</f>
        <v/>
      </c>
      <c r="Z2398" s="525" t="str">
        <f>IF(AND(B2398&lt;=NKC!$N$8,B2398&gt;=NKC!$M$8),"x","")</f>
        <v/>
      </c>
      <c r="AA2398" s="535"/>
      <c r="AB2398" s="536"/>
    </row>
    <row r="2399" spans="1:28" s="503" customFormat="1" ht="15.75" customHeight="1">
      <c r="A2399" s="517" t="str">
        <f>IF(B2399&lt;&gt;"",IF(AND(B2399&gt;=_TM1,B2399&lt;=_TM2,OR(TH!L2399="1111",TH!M2399="1111")),TH!D2399,""),"")</f>
        <v/>
      </c>
      <c r="B2399" s="531">
        <f t="shared" si="215"/>
        <v>4</v>
      </c>
      <c r="C2399" s="315">
        <f t="shared" si="216"/>
        <v>42853</v>
      </c>
      <c r="D2399" s="315" t="s">
        <v>917</v>
      </c>
      <c r="E2399" s="315">
        <v>42853</v>
      </c>
      <c r="F2399" s="249" t="s">
        <v>657</v>
      </c>
      <c r="G2399" s="314" t="s">
        <v>1116</v>
      </c>
      <c r="H2399" s="473" t="s">
        <v>284</v>
      </c>
      <c r="I2399" s="307">
        <v>20</v>
      </c>
      <c r="J2399" s="307">
        <v>53615</v>
      </c>
      <c r="K2399" s="532">
        <f t="shared" si="217"/>
        <v>1072300</v>
      </c>
      <c r="L2399" s="534" t="s">
        <v>223</v>
      </c>
      <c r="M2399" s="534" t="s">
        <v>162</v>
      </c>
      <c r="N2399" s="525" t="str">
        <f>IF(AND('331-CT'!$E$7=TH!H2399,OR(L2399="331",M2399="331")),"331",IF(AND(OR(L2399="131",M2399="131"),H2399='131-CT'!$E$7),"131",""))</f>
        <v/>
      </c>
      <c r="O2399" s="525" t="str">
        <f>IF(AND($B2399&gt;='111'!$N$11,$B2399&lt;='111'!$O$11,OR($L2399=$O$7,$M2399=$O$7)),"x","")</f>
        <v/>
      </c>
      <c r="P2399" s="525" t="str">
        <f>IF(AND($L2399=$O$7,$B2399&lt;'111'!$N$11),"x","")</f>
        <v/>
      </c>
      <c r="Q2399" s="525" t="str">
        <f>IF(AND($M2399=$O$7,$B2399&lt;'111'!$N$11),"x","")</f>
        <v/>
      </c>
      <c r="R2399" s="525" t="str">
        <f>IF(ISERROR(FIND('112'!$M$9,G2399,1)),"",IF((AND(FIND('112'!$M$9,G2399,1)&gt;=1,$B2399&gt;='112'!$N$8,$B2399&lt;='112'!$O$8,OR($L2399='112'!$I$6,$M2399='112'!$I$6))),"x",""))</f>
        <v/>
      </c>
      <c r="S2399" s="525" t="str">
        <f>IF(ISERROR(FIND('112'!$M$9,G2399,1)),"",IF((AND(LEFT(G2399,2)=LEFT('112'!$M$9,2),B2399&lt;'112'!$N$8,$L2399='112'!$I$6)),"x",""))</f>
        <v/>
      </c>
      <c r="T2399" s="525" t="str">
        <f>IF(ISERROR(FIND('112'!$M$9,G2399,1)),"",IF((AND(RIGHT(G2399,2)=RIGHT('112'!$M$9,2),B2399&lt;'112'!$N$8,$M2399='112'!$I$6)),"x",""))</f>
        <v/>
      </c>
      <c r="U2399" s="525" t="str">
        <f>IF(AND(B2399&gt;='IN-NX'!$P$3,B2399&lt;='IN-NX'!$Q$3,'IN-NX'!$D$7=D2399,OR(LEFT(L2399,2)="15",AND(LEFT(M2399,2)&lt;&gt;"15",LEFT(M2399,2)&lt;&gt;"33"))),"x","")</f>
        <v/>
      </c>
      <c r="V2399" s="525" t="str">
        <f>IF(AND(OR(LEFT(TH!L2399,2)="15",LEFT(TH!M2399,2)="15"),'152-CT'!$J$8=TH!F2399),"x","")</f>
        <v/>
      </c>
      <c r="W2399" s="525" t="str">
        <f>IF(AND(OR(LEFT(TH!L2399,2)="15",LEFT(TH!M2399,2)="15"),TK!$E$7=TH!F2399),"x","")</f>
        <v/>
      </c>
      <c r="X2399" s="525" t="str">
        <f>IF(AND('341-CT'!$E$9=H2399,OR(LEFT(L2399,3)=$X$7,LEFT(M2399,3)=$X$7)),"x","")</f>
        <v/>
      </c>
      <c r="Y2399" s="525" t="str">
        <f>IF(OR(TH!L2399=TH!$Y$7,M2399=TH!$Y$7),"x","")</f>
        <v/>
      </c>
      <c r="Z2399" s="525" t="str">
        <f>IF(AND(B2399&lt;=NKC!$N$8,B2399&gt;=NKC!$M$8),"x","")</f>
        <v/>
      </c>
      <c r="AA2399" s="535"/>
      <c r="AB2399" s="536"/>
    </row>
    <row r="2400" spans="1:28" s="503" customFormat="1" ht="15.75" customHeight="1">
      <c r="A2400" s="517" t="str">
        <f>IF(B2400&lt;&gt;"",IF(AND(B2400&gt;=_TM1,B2400&lt;=_TM2,OR(TH!L2400="1111",TH!M2400="1111")),TH!D2400,""),"")</f>
        <v/>
      </c>
      <c r="B2400" s="531">
        <f t="shared" si="215"/>
        <v>4</v>
      </c>
      <c r="C2400" s="315">
        <f t="shared" si="216"/>
        <v>42853</v>
      </c>
      <c r="D2400" s="315" t="s">
        <v>917</v>
      </c>
      <c r="E2400" s="315">
        <v>42853</v>
      </c>
      <c r="F2400" s="249" t="s">
        <v>761</v>
      </c>
      <c r="G2400" s="314" t="s">
        <v>1116</v>
      </c>
      <c r="H2400" s="473" t="s">
        <v>284</v>
      </c>
      <c r="I2400" s="307">
        <v>20</v>
      </c>
      <c r="J2400" s="307">
        <v>39816</v>
      </c>
      <c r="K2400" s="532">
        <f t="shared" si="217"/>
        <v>796320</v>
      </c>
      <c r="L2400" s="534" t="s">
        <v>223</v>
      </c>
      <c r="M2400" s="534" t="s">
        <v>162</v>
      </c>
      <c r="N2400" s="525" t="str">
        <f>IF(AND('331-CT'!$E$7=TH!H2400,OR(L2400="331",M2400="331")),"331",IF(AND(OR(L2400="131",M2400="131"),H2400='131-CT'!$E$7),"131",""))</f>
        <v/>
      </c>
      <c r="O2400" s="525" t="str">
        <f>IF(AND($B2400&gt;='111'!$N$11,$B2400&lt;='111'!$O$11,OR($L2400=$O$7,$M2400=$O$7)),"x","")</f>
        <v/>
      </c>
      <c r="P2400" s="525" t="str">
        <f>IF(AND($L2400=$O$7,$B2400&lt;'111'!$N$11),"x","")</f>
        <v/>
      </c>
      <c r="Q2400" s="525" t="str">
        <f>IF(AND($M2400=$O$7,$B2400&lt;'111'!$N$11),"x","")</f>
        <v/>
      </c>
      <c r="R2400" s="525" t="str">
        <f>IF(ISERROR(FIND('112'!$M$9,G2400,1)),"",IF((AND(FIND('112'!$M$9,G2400,1)&gt;=1,$B2400&gt;='112'!$N$8,$B2400&lt;='112'!$O$8,OR($L2400='112'!$I$6,$M2400='112'!$I$6))),"x",""))</f>
        <v/>
      </c>
      <c r="S2400" s="525" t="str">
        <f>IF(ISERROR(FIND('112'!$M$9,G2400,1)),"",IF((AND(LEFT(G2400,2)=LEFT('112'!$M$9,2),B2400&lt;'112'!$N$8,$L2400='112'!$I$6)),"x",""))</f>
        <v/>
      </c>
      <c r="T2400" s="525" t="str">
        <f>IF(ISERROR(FIND('112'!$M$9,G2400,1)),"",IF((AND(RIGHT(G2400,2)=RIGHT('112'!$M$9,2),B2400&lt;'112'!$N$8,$M2400='112'!$I$6)),"x",""))</f>
        <v/>
      </c>
      <c r="U2400" s="525" t="str">
        <f>IF(AND(B2400&gt;='IN-NX'!$P$3,B2400&lt;='IN-NX'!$Q$3,'IN-NX'!$D$7=D2400,OR(LEFT(L2400,2)="15",AND(LEFT(M2400,2)&lt;&gt;"15",LEFT(M2400,2)&lt;&gt;"33"))),"x","")</f>
        <v/>
      </c>
      <c r="V2400" s="525" t="str">
        <f>IF(AND(OR(LEFT(TH!L2400,2)="15",LEFT(TH!M2400,2)="15"),'152-CT'!$J$8=TH!F2400),"x","")</f>
        <v/>
      </c>
      <c r="W2400" s="525" t="str">
        <f>IF(AND(OR(LEFT(TH!L2400,2)="15",LEFT(TH!M2400,2)="15"),TK!$E$7=TH!F2400),"x","")</f>
        <v/>
      </c>
      <c r="X2400" s="525" t="str">
        <f>IF(AND('341-CT'!$E$9=H2400,OR(LEFT(L2400,3)=$X$7,LEFT(M2400,3)=$X$7)),"x","")</f>
        <v/>
      </c>
      <c r="Y2400" s="525" t="str">
        <f>IF(OR(TH!L2400=TH!$Y$7,M2400=TH!$Y$7),"x","")</f>
        <v/>
      </c>
      <c r="Z2400" s="525" t="str">
        <f>IF(AND(B2400&lt;=NKC!$N$8,B2400&gt;=NKC!$M$8),"x","")</f>
        <v/>
      </c>
      <c r="AA2400" s="535"/>
      <c r="AB2400" s="536"/>
    </row>
    <row r="2401" spans="1:28" s="503" customFormat="1" ht="15.75" customHeight="1">
      <c r="A2401" s="517" t="str">
        <f>IF(B2401&lt;&gt;"",IF(AND(B2401&gt;=_TM1,B2401&lt;=_TM2,OR(TH!L2401="1111",TH!M2401="1111")),TH!D2401,""),"")</f>
        <v/>
      </c>
      <c r="B2401" s="531">
        <f t="shared" si="215"/>
        <v>4</v>
      </c>
      <c r="C2401" s="315">
        <f t="shared" si="216"/>
        <v>42853</v>
      </c>
      <c r="D2401" s="315" t="s">
        <v>917</v>
      </c>
      <c r="E2401" s="315">
        <v>42853</v>
      </c>
      <c r="F2401" s="249" t="s">
        <v>627</v>
      </c>
      <c r="G2401" s="314" t="s">
        <v>1116</v>
      </c>
      <c r="H2401" s="473" t="s">
        <v>284</v>
      </c>
      <c r="I2401" s="307">
        <v>50</v>
      </c>
      <c r="J2401" s="307">
        <v>52807</v>
      </c>
      <c r="K2401" s="532">
        <f t="shared" si="217"/>
        <v>2640350</v>
      </c>
      <c r="L2401" s="534" t="s">
        <v>223</v>
      </c>
      <c r="M2401" s="534" t="s">
        <v>162</v>
      </c>
      <c r="N2401" s="525" t="str">
        <f>IF(AND('331-CT'!$E$7=TH!H2401,OR(L2401="331",M2401="331")),"331",IF(AND(OR(L2401="131",M2401="131"),H2401='131-CT'!$E$7),"131",""))</f>
        <v/>
      </c>
      <c r="O2401" s="525" t="str">
        <f>IF(AND($B2401&gt;='111'!$N$11,$B2401&lt;='111'!$O$11,OR($L2401=$O$7,$M2401=$O$7)),"x","")</f>
        <v/>
      </c>
      <c r="P2401" s="525" t="str">
        <f>IF(AND($L2401=$O$7,$B2401&lt;'111'!$N$11),"x","")</f>
        <v/>
      </c>
      <c r="Q2401" s="525" t="str">
        <f>IF(AND($M2401=$O$7,$B2401&lt;'111'!$N$11),"x","")</f>
        <v/>
      </c>
      <c r="R2401" s="525" t="str">
        <f>IF(ISERROR(FIND('112'!$M$9,G2401,1)),"",IF((AND(FIND('112'!$M$9,G2401,1)&gt;=1,$B2401&gt;='112'!$N$8,$B2401&lt;='112'!$O$8,OR($L2401='112'!$I$6,$M2401='112'!$I$6))),"x",""))</f>
        <v/>
      </c>
      <c r="S2401" s="525" t="str">
        <f>IF(ISERROR(FIND('112'!$M$9,G2401,1)),"",IF((AND(LEFT(G2401,2)=LEFT('112'!$M$9,2),B2401&lt;'112'!$N$8,$L2401='112'!$I$6)),"x",""))</f>
        <v/>
      </c>
      <c r="T2401" s="525" t="str">
        <f>IF(ISERROR(FIND('112'!$M$9,G2401,1)),"",IF((AND(RIGHT(G2401,2)=RIGHT('112'!$M$9,2),B2401&lt;'112'!$N$8,$M2401='112'!$I$6)),"x",""))</f>
        <v/>
      </c>
      <c r="U2401" s="525" t="str">
        <f>IF(AND(B2401&gt;='IN-NX'!$P$3,B2401&lt;='IN-NX'!$Q$3,'IN-NX'!$D$7=D2401,OR(LEFT(L2401,2)="15",AND(LEFT(M2401,2)&lt;&gt;"15",LEFT(M2401,2)&lt;&gt;"33"))),"x","")</f>
        <v/>
      </c>
      <c r="V2401" s="525" t="str">
        <f>IF(AND(OR(LEFT(TH!L2401,2)="15",LEFT(TH!M2401,2)="15"),'152-CT'!$J$8=TH!F2401),"x","")</f>
        <v/>
      </c>
      <c r="W2401" s="525" t="str">
        <f>IF(AND(OR(LEFT(TH!L2401,2)="15",LEFT(TH!M2401,2)="15"),TK!$E$7=TH!F2401),"x","")</f>
        <v/>
      </c>
      <c r="X2401" s="525" t="str">
        <f>IF(AND('341-CT'!$E$9=H2401,OR(LEFT(L2401,3)=$X$7,LEFT(M2401,3)=$X$7)),"x","")</f>
        <v/>
      </c>
      <c r="Y2401" s="525" t="str">
        <f>IF(OR(TH!L2401=TH!$Y$7,M2401=TH!$Y$7),"x","")</f>
        <v/>
      </c>
      <c r="Z2401" s="525" t="str">
        <f>IF(AND(B2401&lt;=NKC!$N$8,B2401&gt;=NKC!$M$8),"x","")</f>
        <v/>
      </c>
      <c r="AA2401" s="535"/>
      <c r="AB2401" s="536"/>
    </row>
    <row r="2402" spans="1:28" s="503" customFormat="1" ht="15.75" customHeight="1">
      <c r="A2402" s="517" t="str">
        <f>IF(B2402&lt;&gt;"",IF(AND(B2402&gt;=_TM1,B2402&lt;=_TM2,OR(TH!L2402="1111",TH!M2402="1111")),TH!D2402,""),"")</f>
        <v/>
      </c>
      <c r="B2402" s="531">
        <f t="shared" si="215"/>
        <v>4</v>
      </c>
      <c r="C2402" s="315">
        <f t="shared" si="216"/>
        <v>42853</v>
      </c>
      <c r="D2402" s="315" t="s">
        <v>917</v>
      </c>
      <c r="E2402" s="315">
        <v>42853</v>
      </c>
      <c r="F2402" s="247" t="s">
        <v>755</v>
      </c>
      <c r="G2402" s="314" t="s">
        <v>1116</v>
      </c>
      <c r="H2402" s="473" t="s">
        <v>284</v>
      </c>
      <c r="I2402" s="307">
        <v>20</v>
      </c>
      <c r="J2402" s="307">
        <v>74923</v>
      </c>
      <c r="K2402" s="532">
        <f t="shared" si="217"/>
        <v>1498460</v>
      </c>
      <c r="L2402" s="534" t="s">
        <v>223</v>
      </c>
      <c r="M2402" s="534" t="s">
        <v>162</v>
      </c>
      <c r="N2402" s="525" t="str">
        <f>IF(AND('331-CT'!$E$7=TH!H2402,OR(L2402="331",M2402="331")),"331",IF(AND(OR(L2402="131",M2402="131"),H2402='131-CT'!$E$7),"131",""))</f>
        <v/>
      </c>
      <c r="O2402" s="525" t="str">
        <f>IF(AND($B2402&gt;='111'!$N$11,$B2402&lt;='111'!$O$11,OR($L2402=$O$7,$M2402=$O$7)),"x","")</f>
        <v/>
      </c>
      <c r="P2402" s="525" t="str">
        <f>IF(AND($L2402=$O$7,$B2402&lt;'111'!$N$11),"x","")</f>
        <v/>
      </c>
      <c r="Q2402" s="525" t="str">
        <f>IF(AND($M2402=$O$7,$B2402&lt;'111'!$N$11),"x","")</f>
        <v/>
      </c>
      <c r="R2402" s="525" t="str">
        <f>IF(ISERROR(FIND('112'!$M$9,G2402,1)),"",IF((AND(FIND('112'!$M$9,G2402,1)&gt;=1,$B2402&gt;='112'!$N$8,$B2402&lt;='112'!$O$8,OR($L2402='112'!$I$6,$M2402='112'!$I$6))),"x",""))</f>
        <v/>
      </c>
      <c r="S2402" s="525" t="str">
        <f>IF(ISERROR(FIND('112'!$M$9,G2402,1)),"",IF((AND(LEFT(G2402,2)=LEFT('112'!$M$9,2),B2402&lt;'112'!$N$8,$L2402='112'!$I$6)),"x",""))</f>
        <v/>
      </c>
      <c r="T2402" s="525" t="str">
        <f>IF(ISERROR(FIND('112'!$M$9,G2402,1)),"",IF((AND(RIGHT(G2402,2)=RIGHT('112'!$M$9,2),B2402&lt;'112'!$N$8,$M2402='112'!$I$6)),"x",""))</f>
        <v/>
      </c>
      <c r="U2402" s="525" t="str">
        <f>IF(AND(B2402&gt;='IN-NX'!$P$3,B2402&lt;='IN-NX'!$Q$3,'IN-NX'!$D$7=D2402,OR(LEFT(L2402,2)="15",AND(LEFT(M2402,2)&lt;&gt;"15",LEFT(M2402,2)&lt;&gt;"33"))),"x","")</f>
        <v/>
      </c>
      <c r="V2402" s="525" t="str">
        <f>IF(AND(OR(LEFT(TH!L2402,2)="15",LEFT(TH!M2402,2)="15"),'152-CT'!$J$8=TH!F2402),"x","")</f>
        <v/>
      </c>
      <c r="W2402" s="525" t="str">
        <f>IF(AND(OR(LEFT(TH!L2402,2)="15",LEFT(TH!M2402,2)="15"),TK!$E$7=TH!F2402),"x","")</f>
        <v/>
      </c>
      <c r="X2402" s="525" t="str">
        <f>IF(AND('341-CT'!$E$9=H2402,OR(LEFT(L2402,3)=$X$7,LEFT(M2402,3)=$X$7)),"x","")</f>
        <v/>
      </c>
      <c r="Y2402" s="525" t="str">
        <f>IF(OR(TH!L2402=TH!$Y$7,M2402=TH!$Y$7),"x","")</f>
        <v/>
      </c>
      <c r="Z2402" s="525" t="str">
        <f>IF(AND(B2402&lt;=NKC!$N$8,B2402&gt;=NKC!$M$8),"x","")</f>
        <v/>
      </c>
      <c r="AA2402" s="535"/>
      <c r="AB2402" s="536"/>
    </row>
    <row r="2403" spans="1:28" s="503" customFormat="1" ht="15.75" customHeight="1">
      <c r="A2403" s="517" t="str">
        <f>IF(B2403&lt;&gt;"",IF(AND(B2403&gt;=_TM1,B2403&lt;=_TM2,OR(TH!L2403="1111",TH!M2403="1111")),TH!D2403,""),"")</f>
        <v/>
      </c>
      <c r="B2403" s="531">
        <f t="shared" si="215"/>
        <v>4</v>
      </c>
      <c r="C2403" s="315">
        <f t="shared" si="216"/>
        <v>42853</v>
      </c>
      <c r="D2403" s="315" t="s">
        <v>917</v>
      </c>
      <c r="E2403" s="315">
        <v>42853</v>
      </c>
      <c r="F2403" s="249" t="s">
        <v>1059</v>
      </c>
      <c r="G2403" s="314" t="s">
        <v>1116</v>
      </c>
      <c r="H2403" s="473" t="s">
        <v>284</v>
      </c>
      <c r="I2403" s="307">
        <v>2</v>
      </c>
      <c r="J2403" s="307">
        <v>37490</v>
      </c>
      <c r="K2403" s="532">
        <f t="shared" si="217"/>
        <v>74980</v>
      </c>
      <c r="L2403" s="534" t="s">
        <v>223</v>
      </c>
      <c r="M2403" s="534" t="s">
        <v>162</v>
      </c>
      <c r="N2403" s="525" t="str">
        <f>IF(AND('331-CT'!$E$7=TH!H2403,OR(L2403="331",M2403="331")),"331",IF(AND(OR(L2403="131",M2403="131"),H2403='131-CT'!$E$7),"131",""))</f>
        <v/>
      </c>
      <c r="O2403" s="525" t="str">
        <f>IF(AND($B2403&gt;='111'!$N$11,$B2403&lt;='111'!$O$11,OR($L2403=$O$7,$M2403=$O$7)),"x","")</f>
        <v/>
      </c>
      <c r="P2403" s="525" t="str">
        <f>IF(AND($L2403=$O$7,$B2403&lt;'111'!$N$11),"x","")</f>
        <v/>
      </c>
      <c r="Q2403" s="525" t="str">
        <f>IF(AND($M2403=$O$7,$B2403&lt;'111'!$N$11),"x","")</f>
        <v/>
      </c>
      <c r="R2403" s="525" t="str">
        <f>IF(ISERROR(FIND('112'!$M$9,G2403,1)),"",IF((AND(FIND('112'!$M$9,G2403,1)&gt;=1,$B2403&gt;='112'!$N$8,$B2403&lt;='112'!$O$8,OR($L2403='112'!$I$6,$M2403='112'!$I$6))),"x",""))</f>
        <v/>
      </c>
      <c r="S2403" s="525" t="str">
        <f>IF(ISERROR(FIND('112'!$M$9,G2403,1)),"",IF((AND(LEFT(G2403,2)=LEFT('112'!$M$9,2),B2403&lt;'112'!$N$8,$L2403='112'!$I$6)),"x",""))</f>
        <v/>
      </c>
      <c r="T2403" s="525" t="str">
        <f>IF(ISERROR(FIND('112'!$M$9,G2403,1)),"",IF((AND(RIGHT(G2403,2)=RIGHT('112'!$M$9,2),B2403&lt;'112'!$N$8,$M2403='112'!$I$6)),"x",""))</f>
        <v/>
      </c>
      <c r="U2403" s="525" t="str">
        <f>IF(AND(B2403&gt;='IN-NX'!$P$3,B2403&lt;='IN-NX'!$Q$3,'IN-NX'!$D$7=D2403,OR(LEFT(L2403,2)="15",AND(LEFT(M2403,2)&lt;&gt;"15",LEFT(M2403,2)&lt;&gt;"33"))),"x","")</f>
        <v/>
      </c>
      <c r="V2403" s="525" t="str">
        <f>IF(AND(OR(LEFT(TH!L2403,2)="15",LEFT(TH!M2403,2)="15"),'152-CT'!$J$8=TH!F2403),"x","")</f>
        <v/>
      </c>
      <c r="W2403" s="525" t="str">
        <f>IF(AND(OR(LEFT(TH!L2403,2)="15",LEFT(TH!M2403,2)="15"),TK!$E$7=TH!F2403),"x","")</f>
        <v/>
      </c>
      <c r="X2403" s="525" t="str">
        <f>IF(AND('341-CT'!$E$9=H2403,OR(LEFT(L2403,3)=$X$7,LEFT(M2403,3)=$X$7)),"x","")</f>
        <v/>
      </c>
      <c r="Y2403" s="525" t="str">
        <f>IF(OR(TH!L2403=TH!$Y$7,M2403=TH!$Y$7),"x","")</f>
        <v/>
      </c>
      <c r="Z2403" s="525" t="str">
        <f>IF(AND(B2403&lt;=NKC!$N$8,B2403&gt;=NKC!$M$8),"x","")</f>
        <v/>
      </c>
      <c r="AA2403" s="535"/>
      <c r="AB2403" s="536"/>
    </row>
    <row r="2404" spans="1:28" s="503" customFormat="1" ht="15.75" customHeight="1">
      <c r="A2404" s="517" t="str">
        <f>IF(B2404&lt;&gt;"",IF(AND(B2404&gt;=_TM1,B2404&lt;=_TM2,OR(TH!L2404="1111",TH!M2404="1111")),TH!D2404,""),"")</f>
        <v/>
      </c>
      <c r="B2404" s="531">
        <f t="shared" si="215"/>
        <v>4</v>
      </c>
      <c r="C2404" s="315">
        <f t="shared" si="216"/>
        <v>42853</v>
      </c>
      <c r="D2404" s="315" t="s">
        <v>917</v>
      </c>
      <c r="E2404" s="315">
        <v>42853</v>
      </c>
      <c r="F2404" s="250" t="s">
        <v>1060</v>
      </c>
      <c r="G2404" s="314" t="s">
        <v>1116</v>
      </c>
      <c r="H2404" s="473" t="s">
        <v>284</v>
      </c>
      <c r="I2404" s="307">
        <v>2</v>
      </c>
      <c r="J2404" s="307">
        <v>42062</v>
      </c>
      <c r="K2404" s="532">
        <f t="shared" si="217"/>
        <v>84124</v>
      </c>
      <c r="L2404" s="534" t="s">
        <v>223</v>
      </c>
      <c r="M2404" s="534" t="s">
        <v>162</v>
      </c>
      <c r="N2404" s="525" t="str">
        <f>IF(AND('331-CT'!$E$7=TH!H2404,OR(L2404="331",M2404="331")),"331",IF(AND(OR(L2404="131",M2404="131"),H2404='131-CT'!$E$7),"131",""))</f>
        <v/>
      </c>
      <c r="O2404" s="525" t="str">
        <f>IF(AND($B2404&gt;='111'!$N$11,$B2404&lt;='111'!$O$11,OR($L2404=$O$7,$M2404=$O$7)),"x","")</f>
        <v/>
      </c>
      <c r="P2404" s="525" t="str">
        <f>IF(AND($L2404=$O$7,$B2404&lt;'111'!$N$11),"x","")</f>
        <v/>
      </c>
      <c r="Q2404" s="525" t="str">
        <f>IF(AND($M2404=$O$7,$B2404&lt;'111'!$N$11),"x","")</f>
        <v/>
      </c>
      <c r="R2404" s="525" t="str">
        <f>IF(ISERROR(FIND('112'!$M$9,G2404,1)),"",IF((AND(FIND('112'!$M$9,G2404,1)&gt;=1,$B2404&gt;='112'!$N$8,$B2404&lt;='112'!$O$8,OR($L2404='112'!$I$6,$M2404='112'!$I$6))),"x",""))</f>
        <v/>
      </c>
      <c r="S2404" s="525" t="str">
        <f>IF(ISERROR(FIND('112'!$M$9,G2404,1)),"",IF((AND(LEFT(G2404,2)=LEFT('112'!$M$9,2),B2404&lt;'112'!$N$8,$L2404='112'!$I$6)),"x",""))</f>
        <v/>
      </c>
      <c r="T2404" s="525" t="str">
        <f>IF(ISERROR(FIND('112'!$M$9,G2404,1)),"",IF((AND(RIGHT(G2404,2)=RIGHT('112'!$M$9,2),B2404&lt;'112'!$N$8,$M2404='112'!$I$6)),"x",""))</f>
        <v/>
      </c>
      <c r="U2404" s="525" t="str">
        <f>IF(AND(B2404&gt;='IN-NX'!$P$3,B2404&lt;='IN-NX'!$Q$3,'IN-NX'!$D$7=D2404,OR(LEFT(L2404,2)="15",AND(LEFT(M2404,2)&lt;&gt;"15",LEFT(M2404,2)&lt;&gt;"33"))),"x","")</f>
        <v/>
      </c>
      <c r="V2404" s="525" t="str">
        <f>IF(AND(OR(LEFT(TH!L2404,2)="15",LEFT(TH!M2404,2)="15"),'152-CT'!$J$8=TH!F2404),"x","")</f>
        <v/>
      </c>
      <c r="W2404" s="525" t="str">
        <f>IF(AND(OR(LEFT(TH!L2404,2)="15",LEFT(TH!M2404,2)="15"),TK!$E$7=TH!F2404),"x","")</f>
        <v/>
      </c>
      <c r="X2404" s="525" t="str">
        <f>IF(AND('341-CT'!$E$9=H2404,OR(LEFT(L2404,3)=$X$7,LEFT(M2404,3)=$X$7)),"x","")</f>
        <v/>
      </c>
      <c r="Y2404" s="525" t="str">
        <f>IF(OR(TH!L2404=TH!$Y$7,M2404=TH!$Y$7),"x","")</f>
        <v/>
      </c>
      <c r="Z2404" s="525" t="str">
        <f>IF(AND(B2404&lt;=NKC!$N$8,B2404&gt;=NKC!$M$8),"x","")</f>
        <v/>
      </c>
      <c r="AA2404" s="535"/>
      <c r="AB2404" s="536"/>
    </row>
    <row r="2405" spans="1:28" s="503" customFormat="1" ht="15.75" customHeight="1">
      <c r="A2405" s="517" t="str">
        <f>IF(B2405&lt;&gt;"",IF(AND(B2405&gt;=_TM1,B2405&lt;=_TM2,OR(TH!L2405="1111",TH!M2405="1111")),TH!D2405,""),"")</f>
        <v/>
      </c>
      <c r="B2405" s="531">
        <f t="shared" si="215"/>
        <v>4</v>
      </c>
      <c r="C2405" s="315">
        <f t="shared" si="216"/>
        <v>42853</v>
      </c>
      <c r="D2405" s="315" t="s">
        <v>917</v>
      </c>
      <c r="E2405" s="315">
        <v>42853</v>
      </c>
      <c r="F2405" s="250" t="s">
        <v>1061</v>
      </c>
      <c r="G2405" s="314" t="s">
        <v>1116</v>
      </c>
      <c r="H2405" s="473" t="s">
        <v>284</v>
      </c>
      <c r="I2405" s="307">
        <v>12</v>
      </c>
      <c r="J2405" s="307">
        <v>32669</v>
      </c>
      <c r="K2405" s="532">
        <f t="shared" si="217"/>
        <v>392028</v>
      </c>
      <c r="L2405" s="534" t="s">
        <v>223</v>
      </c>
      <c r="M2405" s="534" t="s">
        <v>162</v>
      </c>
      <c r="N2405" s="525" t="str">
        <f>IF(AND('331-CT'!$E$7=TH!H2405,OR(L2405="331",M2405="331")),"331",IF(AND(OR(L2405="131",M2405="131"),H2405='131-CT'!$E$7),"131",""))</f>
        <v/>
      </c>
      <c r="O2405" s="525" t="str">
        <f>IF(AND($B2405&gt;='111'!$N$11,$B2405&lt;='111'!$O$11,OR($L2405=$O$7,$M2405=$O$7)),"x","")</f>
        <v/>
      </c>
      <c r="P2405" s="525" t="str">
        <f>IF(AND($L2405=$O$7,$B2405&lt;'111'!$N$11),"x","")</f>
        <v/>
      </c>
      <c r="Q2405" s="525" t="str">
        <f>IF(AND($M2405=$O$7,$B2405&lt;'111'!$N$11),"x","")</f>
        <v/>
      </c>
      <c r="R2405" s="525" t="str">
        <f>IF(ISERROR(FIND('112'!$M$9,G2405,1)),"",IF((AND(FIND('112'!$M$9,G2405,1)&gt;=1,$B2405&gt;='112'!$N$8,$B2405&lt;='112'!$O$8,OR($L2405='112'!$I$6,$M2405='112'!$I$6))),"x",""))</f>
        <v/>
      </c>
      <c r="S2405" s="525" t="str">
        <f>IF(ISERROR(FIND('112'!$M$9,G2405,1)),"",IF((AND(LEFT(G2405,2)=LEFT('112'!$M$9,2),B2405&lt;'112'!$N$8,$L2405='112'!$I$6)),"x",""))</f>
        <v/>
      </c>
      <c r="T2405" s="525" t="str">
        <f>IF(ISERROR(FIND('112'!$M$9,G2405,1)),"",IF((AND(RIGHT(G2405,2)=RIGHT('112'!$M$9,2),B2405&lt;'112'!$N$8,$M2405='112'!$I$6)),"x",""))</f>
        <v/>
      </c>
      <c r="U2405" s="525" t="str">
        <f>IF(AND(B2405&gt;='IN-NX'!$P$3,B2405&lt;='IN-NX'!$Q$3,'IN-NX'!$D$7=D2405,OR(LEFT(L2405,2)="15",AND(LEFT(M2405,2)&lt;&gt;"15",LEFT(M2405,2)&lt;&gt;"33"))),"x","")</f>
        <v/>
      </c>
      <c r="V2405" s="525" t="str">
        <f>IF(AND(OR(LEFT(TH!L2405,2)="15",LEFT(TH!M2405,2)="15"),'152-CT'!$J$8=TH!F2405),"x","")</f>
        <v/>
      </c>
      <c r="W2405" s="525" t="str">
        <f>IF(AND(OR(LEFT(TH!L2405,2)="15",LEFT(TH!M2405,2)="15"),TK!$E$7=TH!F2405),"x","")</f>
        <v/>
      </c>
      <c r="X2405" s="525" t="str">
        <f>IF(AND('341-CT'!$E$9=H2405,OR(LEFT(L2405,3)=$X$7,LEFT(M2405,3)=$X$7)),"x","")</f>
        <v/>
      </c>
      <c r="Y2405" s="525" t="str">
        <f>IF(OR(TH!L2405=TH!$Y$7,M2405=TH!$Y$7),"x","")</f>
        <v/>
      </c>
      <c r="Z2405" s="525" t="str">
        <f>IF(AND(B2405&lt;=NKC!$N$8,B2405&gt;=NKC!$M$8),"x","")</f>
        <v/>
      </c>
      <c r="AA2405" s="535"/>
      <c r="AB2405" s="536"/>
    </row>
    <row r="2406" spans="1:28" s="503" customFormat="1" ht="15.75" customHeight="1">
      <c r="A2406" s="517" t="str">
        <f>IF(B2406&lt;&gt;"",IF(AND(B2406&gt;=_TM1,B2406&lt;=_TM2,OR(TH!L2406="1111",TH!M2406="1111")),TH!D2406,""),"")</f>
        <v/>
      </c>
      <c r="B2406" s="531">
        <f t="shared" si="215"/>
        <v>4</v>
      </c>
      <c r="C2406" s="315">
        <f t="shared" si="216"/>
        <v>42853</v>
      </c>
      <c r="D2406" s="315" t="s">
        <v>918</v>
      </c>
      <c r="E2406" s="315">
        <v>42853</v>
      </c>
      <c r="F2406" s="250" t="s">
        <v>1062</v>
      </c>
      <c r="G2406" s="314" t="s">
        <v>1116</v>
      </c>
      <c r="H2406" s="473" t="s">
        <v>284</v>
      </c>
      <c r="I2406" s="307">
        <v>7</v>
      </c>
      <c r="J2406" s="307">
        <v>79210</v>
      </c>
      <c r="K2406" s="532">
        <f t="shared" si="217"/>
        <v>554470</v>
      </c>
      <c r="L2406" s="534" t="s">
        <v>223</v>
      </c>
      <c r="M2406" s="534" t="s">
        <v>162</v>
      </c>
      <c r="N2406" s="525" t="str">
        <f>IF(AND('331-CT'!$E$7=TH!H2406,OR(L2406="331",M2406="331")),"331",IF(AND(OR(L2406="131",M2406="131"),H2406='131-CT'!$E$7),"131",""))</f>
        <v/>
      </c>
      <c r="O2406" s="525" t="str">
        <f>IF(AND($B2406&gt;='111'!$N$11,$B2406&lt;='111'!$O$11,OR($L2406=$O$7,$M2406=$O$7)),"x","")</f>
        <v/>
      </c>
      <c r="P2406" s="525" t="str">
        <f>IF(AND($L2406=$O$7,$B2406&lt;'111'!$N$11),"x","")</f>
        <v/>
      </c>
      <c r="Q2406" s="525" t="str">
        <f>IF(AND($M2406=$O$7,$B2406&lt;'111'!$N$11),"x","")</f>
        <v/>
      </c>
      <c r="R2406" s="525" t="str">
        <f>IF(ISERROR(FIND('112'!$M$9,G2406,1)),"",IF((AND(FIND('112'!$M$9,G2406,1)&gt;=1,$B2406&gt;='112'!$N$8,$B2406&lt;='112'!$O$8,OR($L2406='112'!$I$6,$M2406='112'!$I$6))),"x",""))</f>
        <v/>
      </c>
      <c r="S2406" s="525" t="str">
        <f>IF(ISERROR(FIND('112'!$M$9,G2406,1)),"",IF((AND(LEFT(G2406,2)=LEFT('112'!$M$9,2),B2406&lt;'112'!$N$8,$L2406='112'!$I$6)),"x",""))</f>
        <v/>
      </c>
      <c r="T2406" s="525" t="str">
        <f>IF(ISERROR(FIND('112'!$M$9,G2406,1)),"",IF((AND(RIGHT(G2406,2)=RIGHT('112'!$M$9,2),B2406&lt;'112'!$N$8,$M2406='112'!$I$6)),"x",""))</f>
        <v/>
      </c>
      <c r="U2406" s="525" t="str">
        <f>IF(AND(B2406&gt;='IN-NX'!$P$3,B2406&lt;='IN-NX'!$Q$3,'IN-NX'!$D$7=D2406,OR(LEFT(L2406,2)="15",AND(LEFT(M2406,2)&lt;&gt;"15",LEFT(M2406,2)&lt;&gt;"33"))),"x","")</f>
        <v/>
      </c>
      <c r="V2406" s="525" t="str">
        <f>IF(AND(OR(LEFT(TH!L2406,2)="15",LEFT(TH!M2406,2)="15"),'152-CT'!$J$8=TH!F2406),"x","")</f>
        <v/>
      </c>
      <c r="W2406" s="525" t="str">
        <f>IF(AND(OR(LEFT(TH!L2406,2)="15",LEFT(TH!M2406,2)="15"),TK!$E$7=TH!F2406),"x","")</f>
        <v/>
      </c>
      <c r="X2406" s="525" t="str">
        <f>IF(AND('341-CT'!$E$9=H2406,OR(LEFT(L2406,3)=$X$7,LEFT(M2406,3)=$X$7)),"x","")</f>
        <v/>
      </c>
      <c r="Y2406" s="525" t="str">
        <f>IF(OR(TH!L2406=TH!$Y$7,M2406=TH!$Y$7),"x","")</f>
        <v/>
      </c>
      <c r="Z2406" s="525" t="str">
        <f>IF(AND(B2406&lt;=NKC!$N$8,B2406&gt;=NKC!$M$8),"x","")</f>
        <v/>
      </c>
      <c r="AA2406" s="535"/>
      <c r="AB2406" s="536"/>
    </row>
    <row r="2407" spans="1:28" s="503" customFormat="1" ht="15.75" customHeight="1">
      <c r="A2407" s="517" t="str">
        <f>IF(B2407&lt;&gt;"",IF(AND(B2407&gt;=_TM1,B2407&lt;=_TM2,OR(TH!L2407="1111",TH!M2407="1111")),TH!D2407,""),"")</f>
        <v/>
      </c>
      <c r="B2407" s="531">
        <f t="shared" si="215"/>
        <v>4</v>
      </c>
      <c r="C2407" s="315">
        <f t="shared" si="216"/>
        <v>42853</v>
      </c>
      <c r="D2407" s="315" t="s">
        <v>918</v>
      </c>
      <c r="E2407" s="315">
        <v>42853</v>
      </c>
      <c r="F2407" s="250" t="s">
        <v>1063</v>
      </c>
      <c r="G2407" s="314" t="s">
        <v>1116</v>
      </c>
      <c r="H2407" s="473" t="s">
        <v>284</v>
      </c>
      <c r="I2407" s="307">
        <v>7</v>
      </c>
      <c r="J2407" s="307">
        <v>81432</v>
      </c>
      <c r="K2407" s="532">
        <f t="shared" si="217"/>
        <v>570024</v>
      </c>
      <c r="L2407" s="534" t="s">
        <v>223</v>
      </c>
      <c r="M2407" s="534" t="s">
        <v>162</v>
      </c>
      <c r="N2407" s="525" t="str">
        <f>IF(AND('331-CT'!$E$7=TH!H2407,OR(L2407="331",M2407="331")),"331",IF(AND(OR(L2407="131",M2407="131"),H2407='131-CT'!$E$7),"131",""))</f>
        <v/>
      </c>
      <c r="O2407" s="525" t="str">
        <f>IF(AND($B2407&gt;='111'!$N$11,$B2407&lt;='111'!$O$11,OR($L2407=$O$7,$M2407=$O$7)),"x","")</f>
        <v/>
      </c>
      <c r="P2407" s="525" t="str">
        <f>IF(AND($L2407=$O$7,$B2407&lt;'111'!$N$11),"x","")</f>
        <v/>
      </c>
      <c r="Q2407" s="525" t="str">
        <f>IF(AND($M2407=$O$7,$B2407&lt;'111'!$N$11),"x","")</f>
        <v/>
      </c>
      <c r="R2407" s="525" t="str">
        <f>IF(ISERROR(FIND('112'!$M$9,G2407,1)),"",IF((AND(FIND('112'!$M$9,G2407,1)&gt;=1,$B2407&gt;='112'!$N$8,$B2407&lt;='112'!$O$8,OR($L2407='112'!$I$6,$M2407='112'!$I$6))),"x",""))</f>
        <v/>
      </c>
      <c r="S2407" s="525" t="str">
        <f>IF(ISERROR(FIND('112'!$M$9,G2407,1)),"",IF((AND(LEFT(G2407,2)=LEFT('112'!$M$9,2),B2407&lt;'112'!$N$8,$L2407='112'!$I$6)),"x",""))</f>
        <v/>
      </c>
      <c r="T2407" s="525" t="str">
        <f>IF(ISERROR(FIND('112'!$M$9,G2407,1)),"",IF((AND(RIGHT(G2407,2)=RIGHT('112'!$M$9,2),B2407&lt;'112'!$N$8,$M2407='112'!$I$6)),"x",""))</f>
        <v/>
      </c>
      <c r="U2407" s="525" t="str">
        <f>IF(AND(B2407&gt;='IN-NX'!$P$3,B2407&lt;='IN-NX'!$Q$3,'IN-NX'!$D$7=D2407,OR(LEFT(L2407,2)="15",AND(LEFT(M2407,2)&lt;&gt;"15",LEFT(M2407,2)&lt;&gt;"33"))),"x","")</f>
        <v/>
      </c>
      <c r="V2407" s="525" t="str">
        <f>IF(AND(OR(LEFT(TH!L2407,2)="15",LEFT(TH!M2407,2)="15"),'152-CT'!$J$8=TH!F2407),"x","")</f>
        <v/>
      </c>
      <c r="W2407" s="525" t="str">
        <f>IF(AND(OR(LEFT(TH!L2407,2)="15",LEFT(TH!M2407,2)="15"),TK!$E$7=TH!F2407),"x","")</f>
        <v/>
      </c>
      <c r="X2407" s="525" t="str">
        <f>IF(AND('341-CT'!$E$9=H2407,OR(LEFT(L2407,3)=$X$7,LEFT(M2407,3)=$X$7)),"x","")</f>
        <v/>
      </c>
      <c r="Y2407" s="525" t="str">
        <f>IF(OR(TH!L2407=TH!$Y$7,M2407=TH!$Y$7),"x","")</f>
        <v/>
      </c>
      <c r="Z2407" s="525" t="str">
        <f>IF(AND(B2407&lt;=NKC!$N$8,B2407&gt;=NKC!$M$8),"x","")</f>
        <v/>
      </c>
      <c r="AA2407" s="535"/>
      <c r="AB2407" s="536"/>
    </row>
    <row r="2408" spans="1:28" s="503" customFormat="1" ht="15.75" customHeight="1">
      <c r="A2408" s="517" t="str">
        <f>IF(B2408&lt;&gt;"",IF(AND(B2408&gt;=_TM1,B2408&lt;=_TM2,OR(TH!L2408="1111",TH!M2408="1111")),TH!D2408,""),"")</f>
        <v/>
      </c>
      <c r="B2408" s="531">
        <f t="shared" si="215"/>
        <v>4</v>
      </c>
      <c r="C2408" s="315">
        <f t="shared" si="216"/>
        <v>42853</v>
      </c>
      <c r="D2408" s="315" t="s">
        <v>918</v>
      </c>
      <c r="E2408" s="315">
        <v>42853</v>
      </c>
      <c r="F2408" s="250" t="s">
        <v>1064</v>
      </c>
      <c r="G2408" s="314" t="s">
        <v>1116</v>
      </c>
      <c r="H2408" s="473" t="s">
        <v>284</v>
      </c>
      <c r="I2408" s="307">
        <v>10</v>
      </c>
      <c r="J2408" s="307">
        <v>16167</v>
      </c>
      <c r="K2408" s="532">
        <f t="shared" si="217"/>
        <v>161670</v>
      </c>
      <c r="L2408" s="534" t="s">
        <v>223</v>
      </c>
      <c r="M2408" s="534" t="s">
        <v>162</v>
      </c>
      <c r="N2408" s="525" t="str">
        <f>IF(AND('331-CT'!$E$7=TH!H2408,OR(L2408="331",M2408="331")),"331",IF(AND(OR(L2408="131",M2408="131"),H2408='131-CT'!$E$7),"131",""))</f>
        <v/>
      </c>
      <c r="O2408" s="525" t="str">
        <f>IF(AND($B2408&gt;='111'!$N$11,$B2408&lt;='111'!$O$11,OR($L2408=$O$7,$M2408=$O$7)),"x","")</f>
        <v/>
      </c>
      <c r="P2408" s="525" t="str">
        <f>IF(AND($L2408=$O$7,$B2408&lt;'111'!$N$11),"x","")</f>
        <v/>
      </c>
      <c r="Q2408" s="525" t="str">
        <f>IF(AND($M2408=$O$7,$B2408&lt;'111'!$N$11),"x","")</f>
        <v/>
      </c>
      <c r="R2408" s="525" t="str">
        <f>IF(ISERROR(FIND('112'!$M$9,G2408,1)),"",IF((AND(FIND('112'!$M$9,G2408,1)&gt;=1,$B2408&gt;='112'!$N$8,$B2408&lt;='112'!$O$8,OR($L2408='112'!$I$6,$M2408='112'!$I$6))),"x",""))</f>
        <v/>
      </c>
      <c r="S2408" s="525" t="str">
        <f>IF(ISERROR(FIND('112'!$M$9,G2408,1)),"",IF((AND(LEFT(G2408,2)=LEFT('112'!$M$9,2),B2408&lt;'112'!$N$8,$L2408='112'!$I$6)),"x",""))</f>
        <v/>
      </c>
      <c r="T2408" s="525" t="str">
        <f>IF(ISERROR(FIND('112'!$M$9,G2408,1)),"",IF((AND(RIGHT(G2408,2)=RIGHT('112'!$M$9,2),B2408&lt;'112'!$N$8,$M2408='112'!$I$6)),"x",""))</f>
        <v/>
      </c>
      <c r="U2408" s="525" t="str">
        <f>IF(AND(B2408&gt;='IN-NX'!$P$3,B2408&lt;='IN-NX'!$Q$3,'IN-NX'!$D$7=D2408,OR(LEFT(L2408,2)="15",AND(LEFT(M2408,2)&lt;&gt;"15",LEFT(M2408,2)&lt;&gt;"33"))),"x","")</f>
        <v/>
      </c>
      <c r="V2408" s="525" t="str">
        <f>IF(AND(OR(LEFT(TH!L2408,2)="15",LEFT(TH!M2408,2)="15"),'152-CT'!$J$8=TH!F2408),"x","")</f>
        <v/>
      </c>
      <c r="W2408" s="525" t="str">
        <f>IF(AND(OR(LEFT(TH!L2408,2)="15",LEFT(TH!M2408,2)="15"),TK!$E$7=TH!F2408),"x","")</f>
        <v/>
      </c>
      <c r="X2408" s="525" t="str">
        <f>IF(AND('341-CT'!$E$9=H2408,OR(LEFT(L2408,3)=$X$7,LEFT(M2408,3)=$X$7)),"x","")</f>
        <v/>
      </c>
      <c r="Y2408" s="525" t="str">
        <f>IF(OR(TH!L2408=TH!$Y$7,M2408=TH!$Y$7),"x","")</f>
        <v/>
      </c>
      <c r="Z2408" s="525" t="str">
        <f>IF(AND(B2408&lt;=NKC!$N$8,B2408&gt;=NKC!$M$8),"x","")</f>
        <v/>
      </c>
      <c r="AA2408" s="535"/>
      <c r="AB2408" s="536"/>
    </row>
    <row r="2409" spans="1:28" s="503" customFormat="1" ht="15.75" customHeight="1">
      <c r="A2409" s="517" t="str">
        <f>IF(B2409&lt;&gt;"",IF(AND(B2409&gt;=_TM1,B2409&lt;=_TM2,OR(TH!L2409="1111",TH!M2409="1111")),TH!D2409,""),"")</f>
        <v/>
      </c>
      <c r="B2409" s="531">
        <f t="shared" si="215"/>
        <v>4</v>
      </c>
      <c r="C2409" s="315">
        <f t="shared" si="216"/>
        <v>42853</v>
      </c>
      <c r="D2409" s="315" t="s">
        <v>918</v>
      </c>
      <c r="E2409" s="315">
        <v>42853</v>
      </c>
      <c r="F2409" s="250" t="s">
        <v>1065</v>
      </c>
      <c r="G2409" s="314" t="s">
        <v>1116</v>
      </c>
      <c r="H2409" s="473" t="s">
        <v>284</v>
      </c>
      <c r="I2409" s="307">
        <v>8</v>
      </c>
      <c r="J2409" s="307">
        <v>45150</v>
      </c>
      <c r="K2409" s="532">
        <f t="shared" si="217"/>
        <v>361200</v>
      </c>
      <c r="L2409" s="534" t="s">
        <v>223</v>
      </c>
      <c r="M2409" s="534" t="s">
        <v>162</v>
      </c>
      <c r="N2409" s="525" t="str">
        <f>IF(AND('331-CT'!$E$7=TH!H2409,OR(L2409="331",M2409="331")),"331",IF(AND(OR(L2409="131",M2409="131"),H2409='131-CT'!$E$7),"131",""))</f>
        <v/>
      </c>
      <c r="O2409" s="525" t="str">
        <f>IF(AND($B2409&gt;='111'!$N$11,$B2409&lt;='111'!$O$11,OR($L2409=$O$7,$M2409=$O$7)),"x","")</f>
        <v/>
      </c>
      <c r="P2409" s="525" t="str">
        <f>IF(AND($L2409=$O$7,$B2409&lt;'111'!$N$11),"x","")</f>
        <v/>
      </c>
      <c r="Q2409" s="525" t="str">
        <f>IF(AND($M2409=$O$7,$B2409&lt;'111'!$N$11),"x","")</f>
        <v/>
      </c>
      <c r="R2409" s="525" t="str">
        <f>IF(ISERROR(FIND('112'!$M$9,G2409,1)),"",IF((AND(FIND('112'!$M$9,G2409,1)&gt;=1,$B2409&gt;='112'!$N$8,$B2409&lt;='112'!$O$8,OR($L2409='112'!$I$6,$M2409='112'!$I$6))),"x",""))</f>
        <v/>
      </c>
      <c r="S2409" s="525" t="str">
        <f>IF(ISERROR(FIND('112'!$M$9,G2409,1)),"",IF((AND(LEFT(G2409,2)=LEFT('112'!$M$9,2),B2409&lt;'112'!$N$8,$L2409='112'!$I$6)),"x",""))</f>
        <v/>
      </c>
      <c r="T2409" s="525" t="str">
        <f>IF(ISERROR(FIND('112'!$M$9,G2409,1)),"",IF((AND(RIGHT(G2409,2)=RIGHT('112'!$M$9,2),B2409&lt;'112'!$N$8,$M2409='112'!$I$6)),"x",""))</f>
        <v/>
      </c>
      <c r="U2409" s="525" t="str">
        <f>IF(AND(B2409&gt;='IN-NX'!$P$3,B2409&lt;='IN-NX'!$Q$3,'IN-NX'!$D$7=D2409,OR(LEFT(L2409,2)="15",AND(LEFT(M2409,2)&lt;&gt;"15",LEFT(M2409,2)&lt;&gt;"33"))),"x","")</f>
        <v/>
      </c>
      <c r="V2409" s="525" t="str">
        <f>IF(AND(OR(LEFT(TH!L2409,2)="15",LEFT(TH!M2409,2)="15"),'152-CT'!$J$8=TH!F2409),"x","")</f>
        <v/>
      </c>
      <c r="W2409" s="525" t="str">
        <f>IF(AND(OR(LEFT(TH!L2409,2)="15",LEFT(TH!M2409,2)="15"),TK!$E$7=TH!F2409),"x","")</f>
        <v/>
      </c>
      <c r="X2409" s="525" t="str">
        <f>IF(AND('341-CT'!$E$9=H2409,OR(LEFT(L2409,3)=$X$7,LEFT(M2409,3)=$X$7)),"x","")</f>
        <v/>
      </c>
      <c r="Y2409" s="525" t="str">
        <f>IF(OR(TH!L2409=TH!$Y$7,M2409=TH!$Y$7),"x","")</f>
        <v/>
      </c>
      <c r="Z2409" s="525" t="str">
        <f>IF(AND(B2409&lt;=NKC!$N$8,B2409&gt;=NKC!$M$8),"x","")</f>
        <v/>
      </c>
      <c r="AA2409" s="535"/>
      <c r="AB2409" s="536"/>
    </row>
    <row r="2410" spans="1:28" s="503" customFormat="1" ht="15.75" customHeight="1">
      <c r="A2410" s="517" t="str">
        <f>IF(B2410&lt;&gt;"",IF(AND(B2410&gt;=_TM1,B2410&lt;=_TM2,OR(TH!L2410="1111",TH!M2410="1111")),TH!D2410,""),"")</f>
        <v/>
      </c>
      <c r="B2410" s="531">
        <f t="shared" si="215"/>
        <v>4</v>
      </c>
      <c r="C2410" s="315">
        <f t="shared" si="216"/>
        <v>42853</v>
      </c>
      <c r="D2410" s="315" t="s">
        <v>918</v>
      </c>
      <c r="E2410" s="315">
        <v>42853</v>
      </c>
      <c r="F2410" s="250" t="s">
        <v>1066</v>
      </c>
      <c r="G2410" s="314" t="s">
        <v>1116</v>
      </c>
      <c r="H2410" s="473" t="s">
        <v>284</v>
      </c>
      <c r="I2410" s="307">
        <v>8</v>
      </c>
      <c r="J2410" s="307">
        <v>78078</v>
      </c>
      <c r="K2410" s="532">
        <f t="shared" si="217"/>
        <v>624624</v>
      </c>
      <c r="L2410" s="534" t="s">
        <v>223</v>
      </c>
      <c r="M2410" s="534" t="s">
        <v>162</v>
      </c>
      <c r="N2410" s="525" t="str">
        <f>IF(AND('331-CT'!$E$7=TH!H2410,OR(L2410="331",M2410="331")),"331",IF(AND(OR(L2410="131",M2410="131"),H2410='131-CT'!$E$7),"131",""))</f>
        <v/>
      </c>
      <c r="O2410" s="525" t="str">
        <f>IF(AND($B2410&gt;='111'!$N$11,$B2410&lt;='111'!$O$11,OR($L2410=$O$7,$M2410=$O$7)),"x","")</f>
        <v/>
      </c>
      <c r="P2410" s="525" t="str">
        <f>IF(AND($L2410=$O$7,$B2410&lt;'111'!$N$11),"x","")</f>
        <v/>
      </c>
      <c r="Q2410" s="525" t="str">
        <f>IF(AND($M2410=$O$7,$B2410&lt;'111'!$N$11),"x","")</f>
        <v/>
      </c>
      <c r="R2410" s="525" t="str">
        <f>IF(ISERROR(FIND('112'!$M$9,G2410,1)),"",IF((AND(FIND('112'!$M$9,G2410,1)&gt;=1,$B2410&gt;='112'!$N$8,$B2410&lt;='112'!$O$8,OR($L2410='112'!$I$6,$M2410='112'!$I$6))),"x",""))</f>
        <v/>
      </c>
      <c r="S2410" s="525" t="str">
        <f>IF(ISERROR(FIND('112'!$M$9,G2410,1)),"",IF((AND(LEFT(G2410,2)=LEFT('112'!$M$9,2),B2410&lt;'112'!$N$8,$L2410='112'!$I$6)),"x",""))</f>
        <v/>
      </c>
      <c r="T2410" s="525" t="str">
        <f>IF(ISERROR(FIND('112'!$M$9,G2410,1)),"",IF((AND(RIGHT(G2410,2)=RIGHT('112'!$M$9,2),B2410&lt;'112'!$N$8,$M2410='112'!$I$6)),"x",""))</f>
        <v/>
      </c>
      <c r="U2410" s="525" t="str">
        <f>IF(AND(B2410&gt;='IN-NX'!$P$3,B2410&lt;='IN-NX'!$Q$3,'IN-NX'!$D$7=D2410,OR(LEFT(L2410,2)="15",AND(LEFT(M2410,2)&lt;&gt;"15",LEFT(M2410,2)&lt;&gt;"33"))),"x","")</f>
        <v/>
      </c>
      <c r="V2410" s="525" t="str">
        <f>IF(AND(OR(LEFT(TH!L2410,2)="15",LEFT(TH!M2410,2)="15"),'152-CT'!$J$8=TH!F2410),"x","")</f>
        <v/>
      </c>
      <c r="W2410" s="525" t="str">
        <f>IF(AND(OR(LEFT(TH!L2410,2)="15",LEFT(TH!M2410,2)="15"),TK!$E$7=TH!F2410),"x","")</f>
        <v/>
      </c>
      <c r="X2410" s="525" t="str">
        <f>IF(AND('341-CT'!$E$9=H2410,OR(LEFT(L2410,3)=$X$7,LEFT(M2410,3)=$X$7)),"x","")</f>
        <v/>
      </c>
      <c r="Y2410" s="525" t="str">
        <f>IF(OR(TH!L2410=TH!$Y$7,M2410=TH!$Y$7),"x","")</f>
        <v/>
      </c>
      <c r="Z2410" s="525" t="str">
        <f>IF(AND(B2410&lt;=NKC!$N$8,B2410&gt;=NKC!$M$8),"x","")</f>
        <v/>
      </c>
      <c r="AA2410" s="535"/>
      <c r="AB2410" s="536"/>
    </row>
    <row r="2411" spans="1:28" s="503" customFormat="1" ht="15.75" customHeight="1">
      <c r="A2411" s="517" t="str">
        <f>IF(B2411&lt;&gt;"",IF(AND(B2411&gt;=_TM1,B2411&lt;=_TM2,OR(TH!L2411="1111",TH!M2411="1111")),TH!D2411,""),"")</f>
        <v/>
      </c>
      <c r="B2411" s="531">
        <f t="shared" si="215"/>
        <v>4</v>
      </c>
      <c r="C2411" s="315">
        <f t="shared" si="216"/>
        <v>42853</v>
      </c>
      <c r="D2411" s="315" t="s">
        <v>918</v>
      </c>
      <c r="E2411" s="315">
        <v>42853</v>
      </c>
      <c r="F2411" s="249" t="s">
        <v>1067</v>
      </c>
      <c r="G2411" s="314" t="s">
        <v>1116</v>
      </c>
      <c r="H2411" s="473" t="s">
        <v>284</v>
      </c>
      <c r="I2411" s="307">
        <v>6</v>
      </c>
      <c r="J2411" s="307">
        <v>42181</v>
      </c>
      <c r="K2411" s="532">
        <f t="shared" si="217"/>
        <v>253086</v>
      </c>
      <c r="L2411" s="534" t="s">
        <v>223</v>
      </c>
      <c r="M2411" s="534" t="s">
        <v>162</v>
      </c>
      <c r="N2411" s="525" t="str">
        <f>IF(AND('331-CT'!$E$7=TH!H2411,OR(L2411="331",M2411="331")),"331",IF(AND(OR(L2411="131",M2411="131"),H2411='131-CT'!$E$7),"131",""))</f>
        <v/>
      </c>
      <c r="O2411" s="525" t="str">
        <f>IF(AND($B2411&gt;='111'!$N$11,$B2411&lt;='111'!$O$11,OR($L2411=$O$7,$M2411=$O$7)),"x","")</f>
        <v/>
      </c>
      <c r="P2411" s="525" t="str">
        <f>IF(AND($L2411=$O$7,$B2411&lt;'111'!$N$11),"x","")</f>
        <v/>
      </c>
      <c r="Q2411" s="525" t="str">
        <f>IF(AND($M2411=$O$7,$B2411&lt;'111'!$N$11),"x","")</f>
        <v/>
      </c>
      <c r="R2411" s="525" t="str">
        <f>IF(ISERROR(FIND('112'!$M$9,G2411,1)),"",IF((AND(FIND('112'!$M$9,G2411,1)&gt;=1,$B2411&gt;='112'!$N$8,$B2411&lt;='112'!$O$8,OR($L2411='112'!$I$6,$M2411='112'!$I$6))),"x",""))</f>
        <v/>
      </c>
      <c r="S2411" s="525" t="str">
        <f>IF(ISERROR(FIND('112'!$M$9,G2411,1)),"",IF((AND(LEFT(G2411,2)=LEFT('112'!$M$9,2),B2411&lt;'112'!$N$8,$L2411='112'!$I$6)),"x",""))</f>
        <v/>
      </c>
      <c r="T2411" s="525" t="str">
        <f>IF(ISERROR(FIND('112'!$M$9,G2411,1)),"",IF((AND(RIGHT(G2411,2)=RIGHT('112'!$M$9,2),B2411&lt;'112'!$N$8,$M2411='112'!$I$6)),"x",""))</f>
        <v/>
      </c>
      <c r="U2411" s="525" t="str">
        <f>IF(AND(B2411&gt;='IN-NX'!$P$3,B2411&lt;='IN-NX'!$Q$3,'IN-NX'!$D$7=D2411,OR(LEFT(L2411,2)="15",AND(LEFT(M2411,2)&lt;&gt;"15",LEFT(M2411,2)&lt;&gt;"33"))),"x","")</f>
        <v/>
      </c>
      <c r="V2411" s="525" t="str">
        <f>IF(AND(OR(LEFT(TH!L2411,2)="15",LEFT(TH!M2411,2)="15"),'152-CT'!$J$8=TH!F2411),"x","")</f>
        <v/>
      </c>
      <c r="W2411" s="525" t="str">
        <f>IF(AND(OR(LEFT(TH!L2411,2)="15",LEFT(TH!M2411,2)="15"),TK!$E$7=TH!F2411),"x","")</f>
        <v/>
      </c>
      <c r="X2411" s="525" t="str">
        <f>IF(AND('341-CT'!$E$9=H2411,OR(LEFT(L2411,3)=$X$7,LEFT(M2411,3)=$X$7)),"x","")</f>
        <v/>
      </c>
      <c r="Y2411" s="525" t="str">
        <f>IF(OR(TH!L2411=TH!$Y$7,M2411=TH!$Y$7),"x","")</f>
        <v/>
      </c>
      <c r="Z2411" s="525" t="str">
        <f>IF(AND(B2411&lt;=NKC!$N$8,B2411&gt;=NKC!$M$8),"x","")</f>
        <v/>
      </c>
      <c r="AA2411" s="535"/>
      <c r="AB2411" s="536"/>
    </row>
    <row r="2412" spans="1:28" s="503" customFormat="1" ht="15.75" customHeight="1">
      <c r="A2412" s="517" t="str">
        <f>IF(B2412&lt;&gt;"",IF(AND(B2412&gt;=_TM1,B2412&lt;=_TM2,OR(TH!L2412="1111",TH!M2412="1111")),TH!D2412,""),"")</f>
        <v/>
      </c>
      <c r="B2412" s="531">
        <f t="shared" si="215"/>
        <v>4</v>
      </c>
      <c r="C2412" s="315">
        <f t="shared" si="216"/>
        <v>42853</v>
      </c>
      <c r="D2412" s="315" t="s">
        <v>918</v>
      </c>
      <c r="E2412" s="315">
        <v>42853</v>
      </c>
      <c r="F2412" s="250" t="s">
        <v>730</v>
      </c>
      <c r="G2412" s="314" t="s">
        <v>1116</v>
      </c>
      <c r="H2412" s="473" t="s">
        <v>284</v>
      </c>
      <c r="I2412" s="307">
        <v>16</v>
      </c>
      <c r="J2412" s="307">
        <v>37490</v>
      </c>
      <c r="K2412" s="532">
        <f t="shared" si="217"/>
        <v>599840</v>
      </c>
      <c r="L2412" s="534" t="s">
        <v>223</v>
      </c>
      <c r="M2412" s="534" t="s">
        <v>162</v>
      </c>
      <c r="N2412" s="525" t="str">
        <f>IF(AND('331-CT'!$E$7=TH!H2412,OR(L2412="331",M2412="331")),"331",IF(AND(OR(L2412="131",M2412="131"),H2412='131-CT'!$E$7),"131",""))</f>
        <v/>
      </c>
      <c r="O2412" s="525" t="str">
        <f>IF(AND($B2412&gt;='111'!$N$11,$B2412&lt;='111'!$O$11,OR($L2412=$O$7,$M2412=$O$7)),"x","")</f>
        <v/>
      </c>
      <c r="P2412" s="525" t="str">
        <f>IF(AND($L2412=$O$7,$B2412&lt;'111'!$N$11),"x","")</f>
        <v/>
      </c>
      <c r="Q2412" s="525" t="str">
        <f>IF(AND($M2412=$O$7,$B2412&lt;'111'!$N$11),"x","")</f>
        <v/>
      </c>
      <c r="R2412" s="525" t="str">
        <f>IF(ISERROR(FIND('112'!$M$9,G2412,1)),"",IF((AND(FIND('112'!$M$9,G2412,1)&gt;=1,$B2412&gt;='112'!$N$8,$B2412&lt;='112'!$O$8,OR($L2412='112'!$I$6,$M2412='112'!$I$6))),"x",""))</f>
        <v/>
      </c>
      <c r="S2412" s="525" t="str">
        <f>IF(ISERROR(FIND('112'!$M$9,G2412,1)),"",IF((AND(LEFT(G2412,2)=LEFT('112'!$M$9,2),B2412&lt;'112'!$N$8,$L2412='112'!$I$6)),"x",""))</f>
        <v/>
      </c>
      <c r="T2412" s="525" t="str">
        <f>IF(ISERROR(FIND('112'!$M$9,G2412,1)),"",IF((AND(RIGHT(G2412,2)=RIGHT('112'!$M$9,2),B2412&lt;'112'!$N$8,$M2412='112'!$I$6)),"x",""))</f>
        <v/>
      </c>
      <c r="U2412" s="525" t="str">
        <f>IF(AND(B2412&gt;='IN-NX'!$P$3,B2412&lt;='IN-NX'!$Q$3,'IN-NX'!$D$7=D2412,OR(LEFT(L2412,2)="15",AND(LEFT(M2412,2)&lt;&gt;"15",LEFT(M2412,2)&lt;&gt;"33"))),"x","")</f>
        <v/>
      </c>
      <c r="V2412" s="525" t="str">
        <f>IF(AND(OR(LEFT(TH!L2412,2)="15",LEFT(TH!M2412,2)="15"),'152-CT'!$J$8=TH!F2412),"x","")</f>
        <v/>
      </c>
      <c r="W2412" s="525" t="str">
        <f>IF(AND(OR(LEFT(TH!L2412,2)="15",LEFT(TH!M2412,2)="15"),TK!$E$7=TH!F2412),"x","")</f>
        <v/>
      </c>
      <c r="X2412" s="525" t="str">
        <f>IF(AND('341-CT'!$E$9=H2412,OR(LEFT(L2412,3)=$X$7,LEFT(M2412,3)=$X$7)),"x","")</f>
        <v/>
      </c>
      <c r="Y2412" s="525" t="str">
        <f>IF(OR(TH!L2412=TH!$Y$7,M2412=TH!$Y$7),"x","")</f>
        <v/>
      </c>
      <c r="Z2412" s="525" t="str">
        <f>IF(AND(B2412&lt;=NKC!$N$8,B2412&gt;=NKC!$M$8),"x","")</f>
        <v/>
      </c>
      <c r="AA2412" s="535"/>
      <c r="AB2412" s="536"/>
    </row>
    <row r="2413" spans="1:28" s="503" customFormat="1" ht="15.75" customHeight="1">
      <c r="A2413" s="517" t="str">
        <f>IF(B2413&lt;&gt;"",IF(AND(B2413&gt;=_TM1,B2413&lt;=_TM2,OR(TH!L2413="1111",TH!M2413="1111")),TH!D2413,""),"")</f>
        <v/>
      </c>
      <c r="B2413" s="531">
        <f t="shared" si="215"/>
        <v>4</v>
      </c>
      <c r="C2413" s="315">
        <f t="shared" si="216"/>
        <v>42853</v>
      </c>
      <c r="D2413" s="315" t="s">
        <v>918</v>
      </c>
      <c r="E2413" s="315">
        <v>42853</v>
      </c>
      <c r="F2413" s="250" t="s">
        <v>679</v>
      </c>
      <c r="G2413" s="314" t="s">
        <v>1116</v>
      </c>
      <c r="H2413" s="473" t="s">
        <v>284</v>
      </c>
      <c r="I2413" s="307">
        <v>12</v>
      </c>
      <c r="J2413" s="307">
        <v>46634</v>
      </c>
      <c r="K2413" s="532">
        <f t="shared" si="217"/>
        <v>559608</v>
      </c>
      <c r="L2413" s="534" t="s">
        <v>223</v>
      </c>
      <c r="M2413" s="534" t="s">
        <v>162</v>
      </c>
      <c r="N2413" s="525" t="str">
        <f>IF(AND('331-CT'!$E$7=TH!H2413,OR(L2413="331",M2413="331")),"331",IF(AND(OR(L2413="131",M2413="131"),H2413='131-CT'!$E$7),"131",""))</f>
        <v/>
      </c>
      <c r="O2413" s="525" t="str">
        <f>IF(AND($B2413&gt;='111'!$N$11,$B2413&lt;='111'!$O$11,OR($L2413=$O$7,$M2413=$O$7)),"x","")</f>
        <v/>
      </c>
      <c r="P2413" s="525" t="str">
        <f>IF(AND($L2413=$O$7,$B2413&lt;'111'!$N$11),"x","")</f>
        <v/>
      </c>
      <c r="Q2413" s="525" t="str">
        <f>IF(AND($M2413=$O$7,$B2413&lt;'111'!$N$11),"x","")</f>
        <v/>
      </c>
      <c r="R2413" s="525" t="str">
        <f>IF(ISERROR(FIND('112'!$M$9,G2413,1)),"",IF((AND(FIND('112'!$M$9,G2413,1)&gt;=1,$B2413&gt;='112'!$N$8,$B2413&lt;='112'!$O$8,OR($L2413='112'!$I$6,$M2413='112'!$I$6))),"x",""))</f>
        <v/>
      </c>
      <c r="S2413" s="525" t="str">
        <f>IF(ISERROR(FIND('112'!$M$9,G2413,1)),"",IF((AND(LEFT(G2413,2)=LEFT('112'!$M$9,2),B2413&lt;'112'!$N$8,$L2413='112'!$I$6)),"x",""))</f>
        <v/>
      </c>
      <c r="T2413" s="525" t="str">
        <f>IF(ISERROR(FIND('112'!$M$9,G2413,1)),"",IF((AND(RIGHT(G2413,2)=RIGHT('112'!$M$9,2),B2413&lt;'112'!$N$8,$M2413='112'!$I$6)),"x",""))</f>
        <v/>
      </c>
      <c r="U2413" s="525" t="str">
        <f>IF(AND(B2413&gt;='IN-NX'!$P$3,B2413&lt;='IN-NX'!$Q$3,'IN-NX'!$D$7=D2413,OR(LEFT(L2413,2)="15",AND(LEFT(M2413,2)&lt;&gt;"15",LEFT(M2413,2)&lt;&gt;"33"))),"x","")</f>
        <v/>
      </c>
      <c r="V2413" s="525" t="str">
        <f>IF(AND(OR(LEFT(TH!L2413,2)="15",LEFT(TH!M2413,2)="15"),'152-CT'!$J$8=TH!F2413),"x","")</f>
        <v/>
      </c>
      <c r="W2413" s="525" t="str">
        <f>IF(AND(OR(LEFT(TH!L2413,2)="15",LEFT(TH!M2413,2)="15"),TK!$E$7=TH!F2413),"x","")</f>
        <v/>
      </c>
      <c r="X2413" s="525" t="str">
        <f>IF(AND('341-CT'!$E$9=H2413,OR(LEFT(L2413,3)=$X$7,LEFT(M2413,3)=$X$7)),"x","")</f>
        <v/>
      </c>
      <c r="Y2413" s="525" t="str">
        <f>IF(OR(TH!L2413=TH!$Y$7,M2413=TH!$Y$7),"x","")</f>
        <v/>
      </c>
      <c r="Z2413" s="525" t="str">
        <f>IF(AND(B2413&lt;=NKC!$N$8,B2413&gt;=NKC!$M$8),"x","")</f>
        <v/>
      </c>
      <c r="AA2413" s="535"/>
      <c r="AB2413" s="536"/>
    </row>
    <row r="2414" spans="1:28" s="503" customFormat="1" ht="15.75" customHeight="1">
      <c r="A2414" s="517" t="str">
        <f>IF(B2414&lt;&gt;"",IF(AND(B2414&gt;=_TM1,B2414&lt;=_TM2,OR(TH!L2414="1111",TH!M2414="1111")),TH!D2414,""),"")</f>
        <v/>
      </c>
      <c r="B2414" s="531">
        <f t="shared" si="215"/>
        <v>4</v>
      </c>
      <c r="C2414" s="315">
        <f t="shared" si="216"/>
        <v>42853</v>
      </c>
      <c r="D2414" s="315" t="s">
        <v>918</v>
      </c>
      <c r="E2414" s="315">
        <v>42853</v>
      </c>
      <c r="F2414" s="250" t="s">
        <v>1068</v>
      </c>
      <c r="G2414" s="314" t="s">
        <v>1116</v>
      </c>
      <c r="H2414" s="473" t="s">
        <v>284</v>
      </c>
      <c r="I2414" s="307">
        <v>12</v>
      </c>
      <c r="J2414" s="307">
        <v>53492</v>
      </c>
      <c r="K2414" s="532">
        <f t="shared" ref="K2414:K2416" si="218">ROUND(I2414*J2414,0)</f>
        <v>641904</v>
      </c>
      <c r="L2414" s="534" t="s">
        <v>223</v>
      </c>
      <c r="M2414" s="534" t="s">
        <v>162</v>
      </c>
      <c r="N2414" s="525" t="str">
        <f>IF(AND('331-CT'!$E$7=TH!H2414,OR(L2414="331",M2414="331")),"331",IF(AND(OR(L2414="131",M2414="131"),H2414='131-CT'!$E$7),"131",""))</f>
        <v/>
      </c>
      <c r="O2414" s="525" t="str">
        <f>IF(AND($B2414&gt;='111'!$N$11,$B2414&lt;='111'!$O$11,OR($L2414=$O$7,$M2414=$O$7)),"x","")</f>
        <v/>
      </c>
      <c r="P2414" s="525" t="str">
        <f>IF(AND($L2414=$O$7,$B2414&lt;'111'!$N$11),"x","")</f>
        <v/>
      </c>
      <c r="Q2414" s="525" t="str">
        <f>IF(AND($M2414=$O$7,$B2414&lt;'111'!$N$11),"x","")</f>
        <v/>
      </c>
      <c r="R2414" s="525" t="str">
        <f>IF(ISERROR(FIND('112'!$M$9,G2414,1)),"",IF((AND(FIND('112'!$M$9,G2414,1)&gt;=1,$B2414&gt;='112'!$N$8,$B2414&lt;='112'!$O$8,OR($L2414='112'!$I$6,$M2414='112'!$I$6))),"x",""))</f>
        <v/>
      </c>
      <c r="S2414" s="525" t="str">
        <f>IF(ISERROR(FIND('112'!$M$9,G2414,1)),"",IF((AND(LEFT(G2414,2)=LEFT('112'!$M$9,2),B2414&lt;'112'!$N$8,$L2414='112'!$I$6)),"x",""))</f>
        <v/>
      </c>
      <c r="T2414" s="525" t="str">
        <f>IF(ISERROR(FIND('112'!$M$9,G2414,1)),"",IF((AND(RIGHT(G2414,2)=RIGHT('112'!$M$9,2),B2414&lt;'112'!$N$8,$M2414='112'!$I$6)),"x",""))</f>
        <v/>
      </c>
      <c r="U2414" s="525" t="str">
        <f>IF(AND(B2414&gt;='IN-NX'!$P$3,B2414&lt;='IN-NX'!$Q$3,'IN-NX'!$D$7=D2414,OR(LEFT(L2414,2)="15",AND(LEFT(M2414,2)&lt;&gt;"15",LEFT(M2414,2)&lt;&gt;"33"))),"x","")</f>
        <v/>
      </c>
      <c r="V2414" s="525" t="str">
        <f>IF(AND(OR(LEFT(TH!L2414,2)="15",LEFT(TH!M2414,2)="15"),'152-CT'!$J$8=TH!F2414),"x","")</f>
        <v/>
      </c>
      <c r="W2414" s="525" t="str">
        <f>IF(AND(OR(LEFT(TH!L2414,2)="15",LEFT(TH!M2414,2)="15"),TK!$E$7=TH!F2414),"x","")</f>
        <v/>
      </c>
      <c r="X2414" s="525" t="str">
        <f>IF(AND('341-CT'!$E$9=H2414,OR(LEFT(L2414,3)=$X$7,LEFT(M2414,3)=$X$7)),"x","")</f>
        <v/>
      </c>
      <c r="Y2414" s="525" t="str">
        <f>IF(OR(TH!L2414=TH!$Y$7,M2414=TH!$Y$7),"x","")</f>
        <v/>
      </c>
      <c r="Z2414" s="525" t="str">
        <f>IF(AND(B2414&lt;=NKC!$N$8,B2414&gt;=NKC!$M$8),"x","")</f>
        <v/>
      </c>
      <c r="AA2414" s="535"/>
      <c r="AB2414" s="536"/>
    </row>
    <row r="2415" spans="1:28" s="503" customFormat="1" ht="15.75" customHeight="1">
      <c r="A2415" s="517" t="str">
        <f>IF(B2415&lt;&gt;"",IF(AND(B2415&gt;=_TM1,B2415&lt;=_TM2,OR(TH!L2415="1111",TH!M2415="1111")),TH!D2415,""),"")</f>
        <v/>
      </c>
      <c r="B2415" s="531">
        <f t="shared" si="215"/>
        <v>4</v>
      </c>
      <c r="C2415" s="315">
        <f t="shared" si="216"/>
        <v>42853</v>
      </c>
      <c r="D2415" s="315" t="s">
        <v>918</v>
      </c>
      <c r="E2415" s="315">
        <v>42853</v>
      </c>
      <c r="F2415" s="250" t="s">
        <v>796</v>
      </c>
      <c r="G2415" s="314" t="s">
        <v>1116</v>
      </c>
      <c r="H2415" s="473" t="s">
        <v>284</v>
      </c>
      <c r="I2415" s="307">
        <v>18</v>
      </c>
      <c r="J2415" s="307">
        <v>78740</v>
      </c>
      <c r="K2415" s="532">
        <f t="shared" si="218"/>
        <v>1417320</v>
      </c>
      <c r="L2415" s="534" t="s">
        <v>223</v>
      </c>
      <c r="M2415" s="534" t="s">
        <v>162</v>
      </c>
      <c r="N2415" s="525" t="str">
        <f>IF(AND('331-CT'!$E$7=TH!H2415,OR(L2415="331",M2415="331")),"331",IF(AND(OR(L2415="131",M2415="131"),H2415='131-CT'!$E$7),"131",""))</f>
        <v/>
      </c>
      <c r="O2415" s="525" t="str">
        <f>IF(AND($B2415&gt;='111'!$N$11,$B2415&lt;='111'!$O$11,OR($L2415=$O$7,$M2415=$O$7)),"x","")</f>
        <v/>
      </c>
      <c r="P2415" s="525" t="str">
        <f>IF(AND($L2415=$O$7,$B2415&lt;'111'!$N$11),"x","")</f>
        <v/>
      </c>
      <c r="Q2415" s="525" t="str">
        <f>IF(AND($M2415=$O$7,$B2415&lt;'111'!$N$11),"x","")</f>
        <v/>
      </c>
      <c r="R2415" s="525" t="str">
        <f>IF(ISERROR(FIND('112'!$M$9,G2415,1)),"",IF((AND(FIND('112'!$M$9,G2415,1)&gt;=1,$B2415&gt;='112'!$N$8,$B2415&lt;='112'!$O$8,OR($L2415='112'!$I$6,$M2415='112'!$I$6))),"x",""))</f>
        <v/>
      </c>
      <c r="S2415" s="525" t="str">
        <f>IF(ISERROR(FIND('112'!$M$9,G2415,1)),"",IF((AND(LEFT(G2415,2)=LEFT('112'!$M$9,2),B2415&lt;'112'!$N$8,$L2415='112'!$I$6)),"x",""))</f>
        <v/>
      </c>
      <c r="T2415" s="525" t="str">
        <f>IF(ISERROR(FIND('112'!$M$9,G2415,1)),"",IF((AND(RIGHT(G2415,2)=RIGHT('112'!$M$9,2),B2415&lt;'112'!$N$8,$M2415='112'!$I$6)),"x",""))</f>
        <v/>
      </c>
      <c r="U2415" s="525" t="str">
        <f>IF(AND(B2415&gt;='IN-NX'!$P$3,B2415&lt;='IN-NX'!$Q$3,'IN-NX'!$D$7=D2415,OR(LEFT(L2415,2)="15",AND(LEFT(M2415,2)&lt;&gt;"15",LEFT(M2415,2)&lt;&gt;"33"))),"x","")</f>
        <v/>
      </c>
      <c r="V2415" s="525" t="str">
        <f>IF(AND(OR(LEFT(TH!L2415,2)="15",LEFT(TH!M2415,2)="15"),'152-CT'!$J$8=TH!F2415),"x","")</f>
        <v/>
      </c>
      <c r="W2415" s="525" t="str">
        <f>IF(AND(OR(LEFT(TH!L2415,2)="15",LEFT(TH!M2415,2)="15"),TK!$E$7=TH!F2415),"x","")</f>
        <v/>
      </c>
      <c r="X2415" s="525" t="str">
        <f>IF(AND('341-CT'!$E$9=H2415,OR(LEFT(L2415,3)=$X$7,LEFT(M2415,3)=$X$7)),"x","")</f>
        <v/>
      </c>
      <c r="Y2415" s="525" t="str">
        <f>IF(OR(TH!L2415=TH!$Y$7,M2415=TH!$Y$7),"x","")</f>
        <v/>
      </c>
      <c r="Z2415" s="525" t="str">
        <f>IF(AND(B2415&lt;=NKC!$N$8,B2415&gt;=NKC!$M$8),"x","")</f>
        <v/>
      </c>
      <c r="AA2415" s="535"/>
      <c r="AB2415" s="536"/>
    </row>
    <row r="2416" spans="1:28" s="503" customFormat="1" ht="15.75" customHeight="1">
      <c r="A2416" s="517" t="str">
        <f>IF(B2416&lt;&gt;"",IF(AND(B2416&gt;=_TM1,B2416&lt;=_TM2,OR(TH!L2416="1111",TH!M2416="1111")),TH!D2416,""),"")</f>
        <v/>
      </c>
      <c r="B2416" s="531">
        <f t="shared" si="215"/>
        <v>4</v>
      </c>
      <c r="C2416" s="315">
        <f t="shared" si="216"/>
        <v>42853</v>
      </c>
      <c r="D2416" s="315" t="s">
        <v>918</v>
      </c>
      <c r="E2416" s="315">
        <v>42853</v>
      </c>
      <c r="F2416" s="250" t="s">
        <v>1069</v>
      </c>
      <c r="G2416" s="314" t="s">
        <v>1116</v>
      </c>
      <c r="H2416" s="473" t="s">
        <v>284</v>
      </c>
      <c r="I2416" s="307">
        <v>8</v>
      </c>
      <c r="J2416" s="307">
        <v>50635</v>
      </c>
      <c r="K2416" s="532">
        <f t="shared" si="218"/>
        <v>405080</v>
      </c>
      <c r="L2416" s="534" t="s">
        <v>223</v>
      </c>
      <c r="M2416" s="534" t="s">
        <v>162</v>
      </c>
      <c r="N2416" s="525" t="str">
        <f>IF(AND('331-CT'!$E$7=TH!H2416,OR(L2416="331",M2416="331")),"331",IF(AND(OR(L2416="131",M2416="131"),H2416='131-CT'!$E$7),"131",""))</f>
        <v/>
      </c>
      <c r="O2416" s="525" t="str">
        <f>IF(AND($B2416&gt;='111'!$N$11,$B2416&lt;='111'!$O$11,OR($L2416=$O$7,$M2416=$O$7)),"x","")</f>
        <v/>
      </c>
      <c r="P2416" s="525" t="str">
        <f>IF(AND($L2416=$O$7,$B2416&lt;'111'!$N$11),"x","")</f>
        <v/>
      </c>
      <c r="Q2416" s="525" t="str">
        <f>IF(AND($M2416=$O$7,$B2416&lt;'111'!$N$11),"x","")</f>
        <v/>
      </c>
      <c r="R2416" s="525" t="str">
        <f>IF(ISERROR(FIND('112'!$M$9,G2416,1)),"",IF((AND(FIND('112'!$M$9,G2416,1)&gt;=1,$B2416&gt;='112'!$N$8,$B2416&lt;='112'!$O$8,OR($L2416='112'!$I$6,$M2416='112'!$I$6))),"x",""))</f>
        <v/>
      </c>
      <c r="S2416" s="525" t="str">
        <f>IF(ISERROR(FIND('112'!$M$9,G2416,1)),"",IF((AND(LEFT(G2416,2)=LEFT('112'!$M$9,2),B2416&lt;'112'!$N$8,$L2416='112'!$I$6)),"x",""))</f>
        <v/>
      </c>
      <c r="T2416" s="525" t="str">
        <f>IF(ISERROR(FIND('112'!$M$9,G2416,1)),"",IF((AND(RIGHT(G2416,2)=RIGHT('112'!$M$9,2),B2416&lt;'112'!$N$8,$M2416='112'!$I$6)),"x",""))</f>
        <v/>
      </c>
      <c r="U2416" s="525" t="str">
        <f>IF(AND(B2416&gt;='IN-NX'!$P$3,B2416&lt;='IN-NX'!$Q$3,'IN-NX'!$D$7=D2416,OR(LEFT(L2416,2)="15",AND(LEFT(M2416,2)&lt;&gt;"15",LEFT(M2416,2)&lt;&gt;"33"))),"x","")</f>
        <v/>
      </c>
      <c r="V2416" s="525" t="str">
        <f>IF(AND(OR(LEFT(TH!L2416,2)="15",LEFT(TH!M2416,2)="15"),'152-CT'!$J$8=TH!F2416),"x","")</f>
        <v/>
      </c>
      <c r="W2416" s="525" t="str">
        <f>IF(AND(OR(LEFT(TH!L2416,2)="15",LEFT(TH!M2416,2)="15"),TK!$E$7=TH!F2416),"x","")</f>
        <v/>
      </c>
      <c r="X2416" s="525" t="str">
        <f>IF(AND('341-CT'!$E$9=H2416,OR(LEFT(L2416,3)=$X$7,LEFT(M2416,3)=$X$7)),"x","")</f>
        <v/>
      </c>
      <c r="Y2416" s="525" t="str">
        <f>IF(OR(TH!L2416=TH!$Y$7,M2416=TH!$Y$7),"x","")</f>
        <v/>
      </c>
      <c r="Z2416" s="525" t="str">
        <f>IF(AND(B2416&lt;=NKC!$N$8,B2416&gt;=NKC!$M$8),"x","")</f>
        <v/>
      </c>
      <c r="AA2416" s="535"/>
      <c r="AB2416" s="536"/>
    </row>
    <row r="2417" spans="1:28" s="503" customFormat="1" ht="15.75" customHeight="1">
      <c r="A2417" s="517" t="str">
        <f>IF(B2417&lt;&gt;"",IF(AND(B2417&gt;=_TM1,B2417&lt;=_TM2,OR(TH!L2417="1111",TH!M2417="1111")),TH!D2417,""),"")</f>
        <v/>
      </c>
      <c r="B2417" s="531">
        <f t="shared" si="215"/>
        <v>4</v>
      </c>
      <c r="C2417" s="315">
        <f t="shared" si="216"/>
        <v>42853</v>
      </c>
      <c r="D2417" s="315" t="s">
        <v>918</v>
      </c>
      <c r="E2417" s="315">
        <v>42853</v>
      </c>
      <c r="F2417" s="249" t="s">
        <v>494</v>
      </c>
      <c r="G2417" s="314" t="s">
        <v>1116</v>
      </c>
      <c r="H2417" s="473" t="s">
        <v>284</v>
      </c>
      <c r="I2417" s="307"/>
      <c r="J2417" s="307"/>
      <c r="K2417" s="532">
        <v>16091752</v>
      </c>
      <c r="L2417" s="534" t="s">
        <v>223</v>
      </c>
      <c r="M2417" s="534" t="s">
        <v>259</v>
      </c>
      <c r="N2417" s="525" t="str">
        <f>IF(AND('331-CT'!$E$7=TH!H2417,OR(L2417="331",M2417="331")),"331",IF(AND(OR(L2417="131",M2417="131"),H2417='131-CT'!$E$7),"131",""))</f>
        <v/>
      </c>
      <c r="O2417" s="525" t="str">
        <f>IF(AND($B2417&gt;='111'!$N$11,$B2417&lt;='111'!$O$11,OR($L2417=$O$7,$M2417=$O$7)),"x","")</f>
        <v/>
      </c>
      <c r="P2417" s="525" t="str">
        <f>IF(AND($L2417=$O$7,$B2417&lt;'111'!$N$11),"x","")</f>
        <v/>
      </c>
      <c r="Q2417" s="525" t="str">
        <f>IF(AND($M2417=$O$7,$B2417&lt;'111'!$N$11),"x","")</f>
        <v/>
      </c>
      <c r="R2417" s="525" t="str">
        <f>IF(ISERROR(FIND('112'!$M$9,G2417,1)),"",IF((AND(FIND('112'!$M$9,G2417,1)&gt;=1,$B2417&gt;='112'!$N$8,$B2417&lt;='112'!$O$8,OR($L2417='112'!$I$6,$M2417='112'!$I$6))),"x",""))</f>
        <v/>
      </c>
      <c r="S2417" s="525" t="str">
        <f>IF(ISERROR(FIND('112'!$M$9,G2417,1)),"",IF((AND(LEFT(G2417,2)=LEFT('112'!$M$9,2),B2417&lt;'112'!$N$8,$L2417='112'!$I$6)),"x",""))</f>
        <v/>
      </c>
      <c r="T2417" s="525" t="str">
        <f>IF(ISERROR(FIND('112'!$M$9,G2417,1)),"",IF((AND(RIGHT(G2417,2)=RIGHT('112'!$M$9,2),B2417&lt;'112'!$N$8,$M2417='112'!$I$6)),"x",""))</f>
        <v/>
      </c>
      <c r="U2417" s="525" t="str">
        <f>IF(AND(B2417&gt;='IN-NX'!$P$3,B2417&lt;='IN-NX'!$Q$3,'IN-NX'!$D$7=D2417,OR(LEFT(L2417,2)="15",AND(LEFT(M2417,2)&lt;&gt;"15",LEFT(M2417,2)&lt;&gt;"33"))),"x","")</f>
        <v/>
      </c>
      <c r="V2417" s="525" t="str">
        <f>IF(AND(OR(LEFT(TH!L2417,2)="15",LEFT(TH!M2417,2)="15"),'152-CT'!$J$8=TH!F2417),"x","")</f>
        <v/>
      </c>
      <c r="W2417" s="525" t="str">
        <f>IF(AND(OR(LEFT(TH!L2417,2)="15",LEFT(TH!M2417,2)="15"),TK!$E$7=TH!F2417),"x","")</f>
        <v/>
      </c>
      <c r="X2417" s="525" t="str">
        <f>IF(AND('341-CT'!$E$9=H2417,OR(LEFT(L2417,3)=$X$7,LEFT(M2417,3)=$X$7)),"x","")</f>
        <v/>
      </c>
      <c r="Y2417" s="525" t="str">
        <f>IF(OR(TH!L2417=TH!$Y$7,M2417=TH!$Y$7),"x","")</f>
        <v/>
      </c>
      <c r="Z2417" s="525" t="str">
        <f>IF(AND(B2417&lt;=NKC!$N$8,B2417&gt;=NKC!$M$8),"x","")</f>
        <v/>
      </c>
      <c r="AA2417" s="535"/>
      <c r="AB2417" s="536"/>
    </row>
    <row r="2418" spans="1:28" s="503" customFormat="1" ht="15.75" customHeight="1">
      <c r="A2418" s="517" t="str">
        <f>IF(B2418&lt;&gt;"",IF(AND(B2418&gt;=_TM1,B2418&lt;=_TM2,OR(TH!L2418="1111",TH!M2418="1111")),TH!D2418,""),"")</f>
        <v/>
      </c>
      <c r="B2418" s="531">
        <f t="shared" si="215"/>
        <v>5</v>
      </c>
      <c r="C2418" s="315">
        <f t="shared" si="216"/>
        <v>42859</v>
      </c>
      <c r="D2418" s="315" t="s">
        <v>990</v>
      </c>
      <c r="E2418" s="315">
        <v>42859</v>
      </c>
      <c r="F2418" s="249" t="s">
        <v>1032</v>
      </c>
      <c r="G2418" s="314" t="s">
        <v>1143</v>
      </c>
      <c r="H2418" s="473" t="s">
        <v>1142</v>
      </c>
      <c r="I2418" s="307">
        <v>3632</v>
      </c>
      <c r="J2418" s="307">
        <v>12142</v>
      </c>
      <c r="K2418" s="532">
        <f>ROUND(I2418*J2418,0)</f>
        <v>44099744</v>
      </c>
      <c r="L2418" s="534" t="s">
        <v>292</v>
      </c>
      <c r="M2418" s="534" t="s">
        <v>8</v>
      </c>
      <c r="N2418" s="525" t="str">
        <f>IF(AND('331-CT'!$E$7=TH!H2418,OR(L2418="331",M2418="331")),"331",IF(AND(OR(L2418="131",M2418="131"),H2418='131-CT'!$E$7),"131",""))</f>
        <v/>
      </c>
      <c r="O2418" s="525" t="str">
        <f>IF(AND($B2418&gt;='111'!$N$11,$B2418&lt;='111'!$O$11,OR($L2418=$O$7,$M2418=$O$7)),"x","")</f>
        <v/>
      </c>
      <c r="P2418" s="525" t="str">
        <f>IF(AND($L2418=$O$7,$B2418&lt;'111'!$N$11),"x","")</f>
        <v/>
      </c>
      <c r="Q2418" s="525" t="str">
        <f>IF(AND($M2418=$O$7,$B2418&lt;'111'!$N$11),"x","")</f>
        <v/>
      </c>
      <c r="R2418" s="525" t="str">
        <f>IF(ISERROR(FIND('112'!$M$9,G2418,1)),"",IF((AND(FIND('112'!$M$9,G2418,1)&gt;=1,$B2418&gt;='112'!$N$8,$B2418&lt;='112'!$O$8,OR($L2418='112'!$I$6,$M2418='112'!$I$6))),"x",""))</f>
        <v/>
      </c>
      <c r="S2418" s="525" t="str">
        <f>IF(ISERROR(FIND('112'!$M$9,G2418,1)),"",IF((AND(LEFT(G2418,2)=LEFT('112'!$M$9,2),B2418&lt;'112'!$N$8,$L2418='112'!$I$6)),"x",""))</f>
        <v/>
      </c>
      <c r="T2418" s="525" t="str">
        <f>IF(ISERROR(FIND('112'!$M$9,G2418,1)),"",IF((AND(RIGHT(G2418,2)=RIGHT('112'!$M$9,2),B2418&lt;'112'!$N$8,$M2418='112'!$I$6)),"x",""))</f>
        <v/>
      </c>
      <c r="U2418" s="525" t="str">
        <f>IF(AND(B2418&gt;='IN-NX'!$P$3,B2418&lt;='IN-NX'!$Q$3,'IN-NX'!$D$7=D2418,OR(LEFT(L2418,2)="15",AND(LEFT(M2418,2)&lt;&gt;"15",LEFT(M2418,2)&lt;&gt;"33"))),"x","")</f>
        <v/>
      </c>
      <c r="V2418" s="525" t="str">
        <f>IF(AND(OR(LEFT(TH!L2418,2)="15",LEFT(TH!M2418,2)="15"),'152-CT'!$J$8=TH!F2418),"x","")</f>
        <v/>
      </c>
      <c r="W2418" s="525" t="str">
        <f>IF(AND(OR(LEFT(TH!L2418,2)="15",LEFT(TH!M2418,2)="15"),TK!$E$7=TH!F2418),"x","")</f>
        <v/>
      </c>
      <c r="X2418" s="525" t="str">
        <f>IF(AND('341-CT'!$E$9=H2418,OR(LEFT(L2418,3)=$X$7,LEFT(M2418,3)=$X$7)),"x","")</f>
        <v/>
      </c>
      <c r="Y2418" s="525" t="str">
        <f>IF(OR(TH!L2418=TH!$Y$7,M2418=TH!$Y$7),"x","")</f>
        <v/>
      </c>
      <c r="Z2418" s="525" t="str">
        <f>IF(AND(B2418&lt;=NKC!$N$8,B2418&gt;=NKC!$M$8),"x","")</f>
        <v/>
      </c>
      <c r="AA2418" s="535">
        <v>2</v>
      </c>
      <c r="AB2418" s="536"/>
    </row>
    <row r="2419" spans="1:28" s="503" customFormat="1" ht="15.75" customHeight="1">
      <c r="A2419" s="517" t="str">
        <f>IF(B2419&lt;&gt;"",IF(AND(B2419&gt;=_TM1,B2419&lt;=_TM2,OR(TH!L2419="1111",TH!M2419="1111")),TH!D2419,""),"")</f>
        <v/>
      </c>
      <c r="B2419" s="531">
        <f t="shared" si="215"/>
        <v>5</v>
      </c>
      <c r="C2419" s="315">
        <f t="shared" si="216"/>
        <v>42859</v>
      </c>
      <c r="D2419" s="315" t="s">
        <v>990</v>
      </c>
      <c r="E2419" s="315">
        <v>42859</v>
      </c>
      <c r="F2419" s="249" t="s">
        <v>1002</v>
      </c>
      <c r="G2419" s="314" t="s">
        <v>1143</v>
      </c>
      <c r="H2419" s="473" t="s">
        <v>1142</v>
      </c>
      <c r="I2419" s="307"/>
      <c r="J2419" s="307"/>
      <c r="K2419" s="532">
        <v>4409974</v>
      </c>
      <c r="L2419" s="713" t="s">
        <v>9</v>
      </c>
      <c r="M2419" s="534" t="s">
        <v>8</v>
      </c>
      <c r="N2419" s="525" t="str">
        <f>IF(AND('331-CT'!$E$7=TH!H2419,OR(L2419="331",M2419="331")),"331",IF(AND(OR(L2419="131",M2419="131"),H2419='131-CT'!$E$7),"131",""))</f>
        <v/>
      </c>
      <c r="O2419" s="525" t="str">
        <f>IF(AND($B2419&gt;='111'!$N$11,$B2419&lt;='111'!$O$11,OR($L2419=$O$7,$M2419=$O$7)),"x","")</f>
        <v/>
      </c>
      <c r="P2419" s="525" t="str">
        <f>IF(AND($L2419=$O$7,$B2419&lt;'111'!$N$11),"x","")</f>
        <v/>
      </c>
      <c r="Q2419" s="525" t="str">
        <f>IF(AND($M2419=$O$7,$B2419&lt;'111'!$N$11),"x","")</f>
        <v/>
      </c>
      <c r="R2419" s="525" t="str">
        <f>IF(ISERROR(FIND('112'!$M$9,G2419,1)),"",IF((AND(FIND('112'!$M$9,G2419,1)&gt;=1,$B2419&gt;='112'!$N$8,$B2419&lt;='112'!$O$8,OR($L2419='112'!$I$6,$M2419='112'!$I$6))),"x",""))</f>
        <v/>
      </c>
      <c r="S2419" s="525" t="str">
        <f>IF(ISERROR(FIND('112'!$M$9,G2419,1)),"",IF((AND(LEFT(G2419,2)=LEFT('112'!$M$9,2),B2419&lt;'112'!$N$8,$L2419='112'!$I$6)),"x",""))</f>
        <v/>
      </c>
      <c r="T2419" s="525" t="str">
        <f>IF(ISERROR(FIND('112'!$M$9,G2419,1)),"",IF((AND(RIGHT(G2419,2)=RIGHT('112'!$M$9,2),B2419&lt;'112'!$N$8,$M2419='112'!$I$6)),"x",""))</f>
        <v/>
      </c>
      <c r="U2419" s="525" t="str">
        <f>IF(AND(B2419&gt;='IN-NX'!$P$3,B2419&lt;='IN-NX'!$Q$3,'IN-NX'!$D$7=D2419,OR(LEFT(L2419,2)="15",AND(LEFT(M2419,2)&lt;&gt;"15",LEFT(M2419,2)&lt;&gt;"33"))),"x","")</f>
        <v/>
      </c>
      <c r="V2419" s="525" t="str">
        <f>IF(AND(OR(LEFT(TH!L2419,2)="15",LEFT(TH!M2419,2)="15"),'152-CT'!$J$8=TH!F2419),"x","")</f>
        <v/>
      </c>
      <c r="W2419" s="525" t="str">
        <f>IF(AND(OR(LEFT(TH!L2419,2)="15",LEFT(TH!M2419,2)="15"),TK!$E$7=TH!F2419),"x","")</f>
        <v/>
      </c>
      <c r="X2419" s="525" t="str">
        <f>IF(AND('341-CT'!$E$9=H2419,OR(LEFT(L2419,3)=$X$7,LEFT(M2419,3)=$X$7)),"x","")</f>
        <v/>
      </c>
      <c r="Y2419" s="525" t="str">
        <f>IF(OR(TH!L2419=TH!$Y$7,M2419=TH!$Y$7),"x","")</f>
        <v/>
      </c>
      <c r="Z2419" s="525" t="str">
        <f>IF(AND(B2419&lt;=NKC!$N$8,B2419&gt;=NKC!$M$8),"x","")</f>
        <v/>
      </c>
      <c r="AA2419" s="535">
        <v>2</v>
      </c>
      <c r="AB2419" s="536"/>
    </row>
    <row r="2420" spans="1:28" s="503" customFormat="1" ht="15.75" customHeight="1">
      <c r="A2420" s="517" t="str">
        <f>IF(B2420&lt;&gt;"",IF(AND(B2420&gt;=_TM1,B2420&lt;=_TM2,OR(TH!L2420="1111",TH!M2420="1111")),TH!D2420,""),"")</f>
        <v/>
      </c>
      <c r="B2420" s="531">
        <f t="shared" si="215"/>
        <v>5</v>
      </c>
      <c r="C2420" s="315">
        <f t="shared" si="216"/>
        <v>42860</v>
      </c>
      <c r="D2420" s="315" t="s">
        <v>919</v>
      </c>
      <c r="E2420" s="545">
        <v>42860</v>
      </c>
      <c r="F2420" s="250" t="s">
        <v>1032</v>
      </c>
      <c r="G2420" s="314" t="s">
        <v>1125</v>
      </c>
      <c r="H2420" s="472" t="s">
        <v>289</v>
      </c>
      <c r="I2420" s="307">
        <v>3632</v>
      </c>
      <c r="J2420" s="307">
        <v>12390</v>
      </c>
      <c r="K2420" s="532">
        <f>ROUND(I2420*J2420,0)</f>
        <v>45000480</v>
      </c>
      <c r="L2420" s="534" t="s">
        <v>223</v>
      </c>
      <c r="M2420" s="534" t="s">
        <v>162</v>
      </c>
      <c r="N2420" s="525" t="str">
        <f>IF(AND('331-CT'!$E$7=TH!H2420,OR(L2420="331",M2420="331")),"331",IF(AND(OR(L2420="131",M2420="131"),H2420='131-CT'!$E$7),"131",""))</f>
        <v/>
      </c>
      <c r="O2420" s="525" t="str">
        <f>IF(AND($B2420&gt;='111'!$N$11,$B2420&lt;='111'!$O$11,OR($L2420=$O$7,$M2420=$O$7)),"x","")</f>
        <v/>
      </c>
      <c r="P2420" s="525" t="str">
        <f>IF(AND($L2420=$O$7,$B2420&lt;'111'!$N$11),"x","")</f>
        <v/>
      </c>
      <c r="Q2420" s="525" t="str">
        <f>IF(AND($M2420=$O$7,$B2420&lt;'111'!$N$11),"x","")</f>
        <v/>
      </c>
      <c r="R2420" s="525" t="str">
        <f>IF(ISERROR(FIND('112'!$M$9,G2420,1)),"",IF((AND(FIND('112'!$M$9,G2420,1)&gt;=1,$B2420&gt;='112'!$N$8,$B2420&lt;='112'!$O$8,OR($L2420='112'!$I$6,$M2420='112'!$I$6))),"x",""))</f>
        <v/>
      </c>
      <c r="S2420" s="525" t="str">
        <f>IF(ISERROR(FIND('112'!$M$9,G2420,1)),"",IF((AND(LEFT(G2420,2)=LEFT('112'!$M$9,2),B2420&lt;'112'!$N$8,$L2420='112'!$I$6)),"x",""))</f>
        <v/>
      </c>
      <c r="T2420" s="525" t="str">
        <f>IF(ISERROR(FIND('112'!$M$9,G2420,1)),"",IF((AND(RIGHT(G2420,2)=RIGHT('112'!$M$9,2),B2420&lt;'112'!$N$8,$M2420='112'!$I$6)),"x",""))</f>
        <v/>
      </c>
      <c r="U2420" s="525" t="str">
        <f>IF(AND(B2420&gt;='IN-NX'!$P$3,B2420&lt;='IN-NX'!$Q$3,'IN-NX'!$D$7=D2420,OR(LEFT(L2420,2)="15",AND(LEFT(M2420,2)&lt;&gt;"15",LEFT(M2420,2)&lt;&gt;"33"))),"x","")</f>
        <v/>
      </c>
      <c r="V2420" s="525" t="str">
        <f>IF(AND(OR(LEFT(TH!L2420,2)="15",LEFT(TH!M2420,2)="15"),'152-CT'!$J$8=TH!F2420),"x","")</f>
        <v/>
      </c>
      <c r="W2420" s="525" t="str">
        <f>IF(AND(OR(LEFT(TH!L2420,2)="15",LEFT(TH!M2420,2)="15"),TK!$E$7=TH!F2420),"x","")</f>
        <v/>
      </c>
      <c r="X2420" s="525" t="str">
        <f>IF(AND('341-CT'!$E$9=H2420,OR(LEFT(L2420,3)=$X$7,LEFT(M2420,3)=$X$7)),"x","")</f>
        <v/>
      </c>
      <c r="Y2420" s="525" t="str">
        <f>IF(OR(TH!L2420=TH!$Y$7,M2420=TH!$Y$7),"x","")</f>
        <v/>
      </c>
      <c r="Z2420" s="525" t="str">
        <f>IF(AND(B2420&lt;=NKC!$N$8,B2420&gt;=NKC!$M$8),"x","")</f>
        <v/>
      </c>
      <c r="AA2420" s="535"/>
      <c r="AB2420" s="536"/>
    </row>
    <row r="2421" spans="1:28" s="503" customFormat="1" ht="15.75" customHeight="1">
      <c r="A2421" s="517" t="str">
        <f>IF(B2421&lt;&gt;"",IF(AND(B2421&gt;=_TM1,B2421&lt;=_TM2,OR(TH!L2421="1111",TH!M2421="1111")),TH!D2421,""),"")</f>
        <v/>
      </c>
      <c r="B2421" s="531">
        <f t="shared" si="215"/>
        <v>5</v>
      </c>
      <c r="C2421" s="315">
        <f t="shared" si="216"/>
        <v>42860</v>
      </c>
      <c r="D2421" s="315" t="s">
        <v>919</v>
      </c>
      <c r="E2421" s="545">
        <v>42860</v>
      </c>
      <c r="F2421" s="249" t="s">
        <v>494</v>
      </c>
      <c r="G2421" s="314" t="s">
        <v>1125</v>
      </c>
      <c r="H2421" s="472" t="s">
        <v>289</v>
      </c>
      <c r="I2421" s="307"/>
      <c r="J2421" s="307"/>
      <c r="K2421" s="532">
        <v>4500048</v>
      </c>
      <c r="L2421" s="534" t="s">
        <v>223</v>
      </c>
      <c r="M2421" s="534" t="s">
        <v>259</v>
      </c>
      <c r="N2421" s="525" t="str">
        <f>IF(AND('331-CT'!$E$7=TH!H2421,OR(L2421="331",M2421="331")),"331",IF(AND(OR(L2421="131",M2421="131"),H2421='131-CT'!$E$7),"131",""))</f>
        <v/>
      </c>
      <c r="O2421" s="525" t="str">
        <f>IF(AND($B2421&gt;='111'!$N$11,$B2421&lt;='111'!$O$11,OR($L2421=$O$7,$M2421=$O$7)),"x","")</f>
        <v/>
      </c>
      <c r="P2421" s="525" t="str">
        <f>IF(AND($L2421=$O$7,$B2421&lt;'111'!$N$11),"x","")</f>
        <v/>
      </c>
      <c r="Q2421" s="525" t="str">
        <f>IF(AND($M2421=$O$7,$B2421&lt;'111'!$N$11),"x","")</f>
        <v/>
      </c>
      <c r="R2421" s="525" t="str">
        <f>IF(ISERROR(FIND('112'!$M$9,G2421,1)),"",IF((AND(FIND('112'!$M$9,G2421,1)&gt;=1,$B2421&gt;='112'!$N$8,$B2421&lt;='112'!$O$8,OR($L2421='112'!$I$6,$M2421='112'!$I$6))),"x",""))</f>
        <v/>
      </c>
      <c r="S2421" s="525" t="str">
        <f>IF(ISERROR(FIND('112'!$M$9,G2421,1)),"",IF((AND(LEFT(G2421,2)=LEFT('112'!$M$9,2),B2421&lt;'112'!$N$8,$L2421='112'!$I$6)),"x",""))</f>
        <v/>
      </c>
      <c r="T2421" s="525" t="str">
        <f>IF(ISERROR(FIND('112'!$M$9,G2421,1)),"",IF((AND(RIGHT(G2421,2)=RIGHT('112'!$M$9,2),B2421&lt;'112'!$N$8,$M2421='112'!$I$6)),"x",""))</f>
        <v/>
      </c>
      <c r="U2421" s="525" t="str">
        <f>IF(AND(B2421&gt;='IN-NX'!$P$3,B2421&lt;='IN-NX'!$Q$3,'IN-NX'!$D$7=D2421,OR(LEFT(L2421,2)="15",AND(LEFT(M2421,2)&lt;&gt;"15",LEFT(M2421,2)&lt;&gt;"33"))),"x","")</f>
        <v/>
      </c>
      <c r="V2421" s="525" t="str">
        <f>IF(AND(OR(LEFT(TH!L2421,2)="15",LEFT(TH!M2421,2)="15"),'152-CT'!$J$8=TH!F2421),"x","")</f>
        <v/>
      </c>
      <c r="W2421" s="525" t="str">
        <f>IF(AND(OR(LEFT(TH!L2421,2)="15",LEFT(TH!M2421,2)="15"),TK!$E$7=TH!F2421),"x","")</f>
        <v/>
      </c>
      <c r="X2421" s="525" t="str">
        <f>IF(AND('341-CT'!$E$9=H2421,OR(LEFT(L2421,3)=$X$7,LEFT(M2421,3)=$X$7)),"x","")</f>
        <v/>
      </c>
      <c r="Y2421" s="525" t="str">
        <f>IF(OR(TH!L2421=TH!$Y$7,M2421=TH!$Y$7),"x","")</f>
        <v/>
      </c>
      <c r="Z2421" s="525" t="str">
        <f>IF(AND(B2421&lt;=NKC!$N$8,B2421&gt;=NKC!$M$8),"x","")</f>
        <v/>
      </c>
      <c r="AA2421" s="535"/>
      <c r="AB2421" s="536"/>
    </row>
    <row r="2422" spans="1:28" s="503" customFormat="1" ht="15.75" customHeight="1">
      <c r="A2422" s="517" t="str">
        <f>IF(B2422&lt;&gt;"",IF(AND(B2422&gt;=_TM1,B2422&lt;=_TM2,OR(TH!L2422="1111",TH!M2422="1111")),TH!D2422,""),"")</f>
        <v/>
      </c>
      <c r="B2422" s="531">
        <f t="shared" si="215"/>
        <v>5</v>
      </c>
      <c r="C2422" s="315">
        <f t="shared" si="216"/>
        <v>42861</v>
      </c>
      <c r="D2422" s="315" t="s">
        <v>991</v>
      </c>
      <c r="E2422" s="545">
        <v>42861</v>
      </c>
      <c r="F2422" s="249" t="s">
        <v>1160</v>
      </c>
      <c r="G2422" s="314" t="s">
        <v>1144</v>
      </c>
      <c r="H2422" s="473" t="s">
        <v>1142</v>
      </c>
      <c r="I2422" s="307">
        <v>30</v>
      </c>
      <c r="J2422" s="307">
        <v>63900</v>
      </c>
      <c r="K2422" s="532">
        <f t="shared" ref="K2422:K2453" si="219">ROUND(I2422*J2422,0)</f>
        <v>1917000</v>
      </c>
      <c r="L2422" s="534" t="s">
        <v>292</v>
      </c>
      <c r="M2422" s="534" t="s">
        <v>8</v>
      </c>
      <c r="N2422" s="525" t="str">
        <f>IF(AND('331-CT'!$E$7=TH!H2422,OR(L2422="331",M2422="331")),"331",IF(AND(OR(L2422="131",M2422="131"),H2422='131-CT'!$E$7),"131",""))</f>
        <v/>
      </c>
      <c r="O2422" s="525" t="str">
        <f>IF(AND($B2422&gt;='111'!$N$11,$B2422&lt;='111'!$O$11,OR($L2422=$O$7,$M2422=$O$7)),"x","")</f>
        <v/>
      </c>
      <c r="P2422" s="525" t="str">
        <f>IF(AND($L2422=$O$7,$B2422&lt;'111'!$N$11),"x","")</f>
        <v/>
      </c>
      <c r="Q2422" s="525" t="str">
        <f>IF(AND($M2422=$O$7,$B2422&lt;'111'!$N$11),"x","")</f>
        <v/>
      </c>
      <c r="R2422" s="525" t="str">
        <f>IF(ISERROR(FIND('112'!$M$9,G2422,1)),"",IF((AND(FIND('112'!$M$9,G2422,1)&gt;=1,$B2422&gt;='112'!$N$8,$B2422&lt;='112'!$O$8,OR($L2422='112'!$I$6,$M2422='112'!$I$6))),"x",""))</f>
        <v/>
      </c>
      <c r="S2422" s="525" t="str">
        <f>IF(ISERROR(FIND('112'!$M$9,G2422,1)),"",IF((AND(LEFT(G2422,2)=LEFT('112'!$M$9,2),B2422&lt;'112'!$N$8,$L2422='112'!$I$6)),"x",""))</f>
        <v/>
      </c>
      <c r="T2422" s="525" t="str">
        <f>IF(ISERROR(FIND('112'!$M$9,G2422,1)),"",IF((AND(RIGHT(G2422,2)=RIGHT('112'!$M$9,2),B2422&lt;'112'!$N$8,$M2422='112'!$I$6)),"x",""))</f>
        <v/>
      </c>
      <c r="U2422" s="525" t="str">
        <f>IF(AND(B2422&gt;='IN-NX'!$P$3,B2422&lt;='IN-NX'!$Q$3,'IN-NX'!$D$7=D2422,OR(LEFT(L2422,2)="15",AND(LEFT(M2422,2)&lt;&gt;"15",LEFT(M2422,2)&lt;&gt;"33"))),"x","")</f>
        <v/>
      </c>
      <c r="V2422" s="525" t="str">
        <f>IF(AND(OR(LEFT(TH!L2422,2)="15",LEFT(TH!M2422,2)="15"),'152-CT'!$J$8=TH!F2422),"x","")</f>
        <v/>
      </c>
      <c r="W2422" s="525" t="str">
        <f>IF(AND(OR(LEFT(TH!L2422,2)="15",LEFT(TH!M2422,2)="15"),TK!$E$7=TH!F2422),"x","")</f>
        <v/>
      </c>
      <c r="X2422" s="525" t="str">
        <f>IF(AND('341-CT'!$E$9=H2422,OR(LEFT(L2422,3)=$X$7,LEFT(M2422,3)=$X$7)),"x","")</f>
        <v/>
      </c>
      <c r="Y2422" s="525" t="str">
        <f>IF(OR(TH!L2422=TH!$Y$7,M2422=TH!$Y$7),"x","")</f>
        <v/>
      </c>
      <c r="Z2422" s="525" t="str">
        <f>IF(AND(B2422&lt;=NKC!$N$8,B2422&gt;=NKC!$M$8),"x","")</f>
        <v/>
      </c>
      <c r="AA2422" s="535">
        <v>2</v>
      </c>
      <c r="AB2422" s="536"/>
    </row>
    <row r="2423" spans="1:28" s="503" customFormat="1" ht="15.75" customHeight="1">
      <c r="A2423" s="517" t="str">
        <f>IF(B2423&lt;&gt;"",IF(AND(B2423&gt;=_TM1,B2423&lt;=_TM2,OR(TH!L2423="1111",TH!M2423="1111")),TH!D2423,""),"")</f>
        <v/>
      </c>
      <c r="B2423" s="531">
        <f t="shared" si="215"/>
        <v>5</v>
      </c>
      <c r="C2423" s="315">
        <f t="shared" si="216"/>
        <v>42861</v>
      </c>
      <c r="D2423" s="315" t="s">
        <v>991</v>
      </c>
      <c r="E2423" s="545">
        <v>42861</v>
      </c>
      <c r="F2423" s="249" t="s">
        <v>1161</v>
      </c>
      <c r="G2423" s="314" t="s">
        <v>1144</v>
      </c>
      <c r="H2423" s="473" t="s">
        <v>1142</v>
      </c>
      <c r="I2423" s="307">
        <v>30</v>
      </c>
      <c r="J2423" s="307">
        <v>48550</v>
      </c>
      <c r="K2423" s="532">
        <f t="shared" si="219"/>
        <v>1456500</v>
      </c>
      <c r="L2423" s="534" t="s">
        <v>292</v>
      </c>
      <c r="M2423" s="534" t="s">
        <v>8</v>
      </c>
      <c r="N2423" s="525" t="str">
        <f>IF(AND('331-CT'!$E$7=TH!H2423,OR(L2423="331",M2423="331")),"331",IF(AND(OR(L2423="131",M2423="131"),H2423='131-CT'!$E$7),"131",""))</f>
        <v/>
      </c>
      <c r="O2423" s="525" t="str">
        <f>IF(AND($B2423&gt;='111'!$N$11,$B2423&lt;='111'!$O$11,OR($L2423=$O$7,$M2423=$O$7)),"x","")</f>
        <v/>
      </c>
      <c r="P2423" s="525" t="str">
        <f>IF(AND($L2423=$O$7,$B2423&lt;'111'!$N$11),"x","")</f>
        <v/>
      </c>
      <c r="Q2423" s="525" t="str">
        <f>IF(AND($M2423=$O$7,$B2423&lt;'111'!$N$11),"x","")</f>
        <v/>
      </c>
      <c r="R2423" s="525" t="str">
        <f>IF(ISERROR(FIND('112'!$M$9,G2423,1)),"",IF((AND(FIND('112'!$M$9,G2423,1)&gt;=1,$B2423&gt;='112'!$N$8,$B2423&lt;='112'!$O$8,OR($L2423='112'!$I$6,$M2423='112'!$I$6))),"x",""))</f>
        <v/>
      </c>
      <c r="S2423" s="525" t="str">
        <f>IF(ISERROR(FIND('112'!$M$9,G2423,1)),"",IF((AND(LEFT(G2423,2)=LEFT('112'!$M$9,2),B2423&lt;'112'!$N$8,$L2423='112'!$I$6)),"x",""))</f>
        <v/>
      </c>
      <c r="T2423" s="525" t="str">
        <f>IF(ISERROR(FIND('112'!$M$9,G2423,1)),"",IF((AND(RIGHT(G2423,2)=RIGHT('112'!$M$9,2),B2423&lt;'112'!$N$8,$M2423='112'!$I$6)),"x",""))</f>
        <v/>
      </c>
      <c r="U2423" s="525" t="str">
        <f>IF(AND(B2423&gt;='IN-NX'!$P$3,B2423&lt;='IN-NX'!$Q$3,'IN-NX'!$D$7=D2423,OR(LEFT(L2423,2)="15",AND(LEFT(M2423,2)&lt;&gt;"15",LEFT(M2423,2)&lt;&gt;"33"))),"x","")</f>
        <v/>
      </c>
      <c r="V2423" s="525" t="str">
        <f>IF(AND(OR(LEFT(TH!L2423,2)="15",LEFT(TH!M2423,2)="15"),'152-CT'!$J$8=TH!F2423),"x","")</f>
        <v/>
      </c>
      <c r="W2423" s="525" t="str">
        <f>IF(AND(OR(LEFT(TH!L2423,2)="15",LEFT(TH!M2423,2)="15"),TK!$E$7=TH!F2423),"x","")</f>
        <v/>
      </c>
      <c r="X2423" s="525" t="str">
        <f>IF(AND('341-CT'!$E$9=H2423,OR(LEFT(L2423,3)=$X$7,LEFT(M2423,3)=$X$7)),"x","")</f>
        <v/>
      </c>
      <c r="Y2423" s="525" t="str">
        <f>IF(OR(TH!L2423=TH!$Y$7,M2423=TH!$Y$7),"x","")</f>
        <v/>
      </c>
      <c r="Z2423" s="525" t="str">
        <f>IF(AND(B2423&lt;=NKC!$N$8,B2423&gt;=NKC!$M$8),"x","")</f>
        <v/>
      </c>
      <c r="AA2423" s="535">
        <v>2</v>
      </c>
      <c r="AB2423" s="536"/>
    </row>
    <row r="2424" spans="1:28" s="503" customFormat="1" ht="15.75" customHeight="1">
      <c r="A2424" s="517" t="str">
        <f>IF(B2424&lt;&gt;"",IF(AND(B2424&gt;=_TM1,B2424&lt;=_TM2,OR(TH!L2424="1111",TH!M2424="1111")),TH!D2424,""),"")</f>
        <v/>
      </c>
      <c r="B2424" s="531">
        <f t="shared" si="215"/>
        <v>5</v>
      </c>
      <c r="C2424" s="315">
        <f t="shared" si="216"/>
        <v>42861</v>
      </c>
      <c r="D2424" s="315" t="s">
        <v>991</v>
      </c>
      <c r="E2424" s="545">
        <v>42861</v>
      </c>
      <c r="F2424" s="249" t="s">
        <v>655</v>
      </c>
      <c r="G2424" s="314" t="s">
        <v>1144</v>
      </c>
      <c r="H2424" s="473" t="s">
        <v>1142</v>
      </c>
      <c r="I2424" s="307">
        <v>40</v>
      </c>
      <c r="J2424" s="307">
        <v>50790</v>
      </c>
      <c r="K2424" s="532">
        <f t="shared" si="219"/>
        <v>2031600</v>
      </c>
      <c r="L2424" s="534" t="s">
        <v>292</v>
      </c>
      <c r="M2424" s="534" t="s">
        <v>8</v>
      </c>
      <c r="N2424" s="525" t="str">
        <f>IF(AND('331-CT'!$E$7=TH!H2424,OR(L2424="331",M2424="331")),"331",IF(AND(OR(L2424="131",M2424="131"),H2424='131-CT'!$E$7),"131",""))</f>
        <v/>
      </c>
      <c r="O2424" s="525" t="str">
        <f>IF(AND($B2424&gt;='111'!$N$11,$B2424&lt;='111'!$O$11,OR($L2424=$O$7,$M2424=$O$7)),"x","")</f>
        <v/>
      </c>
      <c r="P2424" s="525" t="str">
        <f>IF(AND($L2424=$O$7,$B2424&lt;'111'!$N$11),"x","")</f>
        <v/>
      </c>
      <c r="Q2424" s="525" t="str">
        <f>IF(AND($M2424=$O$7,$B2424&lt;'111'!$N$11),"x","")</f>
        <v/>
      </c>
      <c r="R2424" s="525" t="str">
        <f>IF(ISERROR(FIND('112'!$M$9,G2424,1)),"",IF((AND(FIND('112'!$M$9,G2424,1)&gt;=1,$B2424&gt;='112'!$N$8,$B2424&lt;='112'!$O$8,OR($L2424='112'!$I$6,$M2424='112'!$I$6))),"x",""))</f>
        <v/>
      </c>
      <c r="S2424" s="525" t="str">
        <f>IF(ISERROR(FIND('112'!$M$9,G2424,1)),"",IF((AND(LEFT(G2424,2)=LEFT('112'!$M$9,2),B2424&lt;'112'!$N$8,$L2424='112'!$I$6)),"x",""))</f>
        <v/>
      </c>
      <c r="T2424" s="525" t="str">
        <f>IF(ISERROR(FIND('112'!$M$9,G2424,1)),"",IF((AND(RIGHT(G2424,2)=RIGHT('112'!$M$9,2),B2424&lt;'112'!$N$8,$M2424='112'!$I$6)),"x",""))</f>
        <v/>
      </c>
      <c r="U2424" s="525" t="str">
        <f>IF(AND(B2424&gt;='IN-NX'!$P$3,B2424&lt;='IN-NX'!$Q$3,'IN-NX'!$D$7=D2424,OR(LEFT(L2424,2)="15",AND(LEFT(M2424,2)&lt;&gt;"15",LEFT(M2424,2)&lt;&gt;"33"))),"x","")</f>
        <v/>
      </c>
      <c r="V2424" s="525" t="str">
        <f>IF(AND(OR(LEFT(TH!L2424,2)="15",LEFT(TH!M2424,2)="15"),'152-CT'!$J$8=TH!F2424),"x","")</f>
        <v/>
      </c>
      <c r="W2424" s="525" t="str">
        <f>IF(AND(OR(LEFT(TH!L2424,2)="15",LEFT(TH!M2424,2)="15"),TK!$E$7=TH!F2424),"x","")</f>
        <v/>
      </c>
      <c r="X2424" s="525" t="str">
        <f>IF(AND('341-CT'!$E$9=H2424,OR(LEFT(L2424,3)=$X$7,LEFT(M2424,3)=$X$7)),"x","")</f>
        <v/>
      </c>
      <c r="Y2424" s="525" t="str">
        <f>IF(OR(TH!L2424=TH!$Y$7,M2424=TH!$Y$7),"x","")</f>
        <v/>
      </c>
      <c r="Z2424" s="525" t="str">
        <f>IF(AND(B2424&lt;=NKC!$N$8,B2424&gt;=NKC!$M$8),"x","")</f>
        <v/>
      </c>
      <c r="AA2424" s="535">
        <v>2</v>
      </c>
      <c r="AB2424" s="536"/>
    </row>
    <row r="2425" spans="1:28" s="503" customFormat="1" ht="15.75" customHeight="1">
      <c r="A2425" s="517" t="str">
        <f>IF(B2425&lt;&gt;"",IF(AND(B2425&gt;=_TM1,B2425&lt;=_TM2,OR(TH!L2425="1111",TH!M2425="1111")),TH!D2425,""),"")</f>
        <v/>
      </c>
      <c r="B2425" s="531">
        <f t="shared" si="215"/>
        <v>5</v>
      </c>
      <c r="C2425" s="315">
        <f t="shared" si="216"/>
        <v>42861</v>
      </c>
      <c r="D2425" s="315" t="s">
        <v>991</v>
      </c>
      <c r="E2425" s="545">
        <v>42861</v>
      </c>
      <c r="F2425" s="245" t="s">
        <v>1162</v>
      </c>
      <c r="G2425" s="314" t="s">
        <v>1144</v>
      </c>
      <c r="H2425" s="473" t="s">
        <v>1142</v>
      </c>
      <c r="I2425" s="307">
        <v>20</v>
      </c>
      <c r="J2425" s="307">
        <v>188620</v>
      </c>
      <c r="K2425" s="532">
        <f t="shared" si="219"/>
        <v>3772400</v>
      </c>
      <c r="L2425" s="534" t="s">
        <v>292</v>
      </c>
      <c r="M2425" s="534" t="s">
        <v>8</v>
      </c>
      <c r="N2425" s="525" t="str">
        <f>IF(AND('331-CT'!$E$7=TH!H2425,OR(L2425="331",M2425="331")),"331",IF(AND(OR(L2425="131",M2425="131"),H2425='131-CT'!$E$7),"131",""))</f>
        <v/>
      </c>
      <c r="O2425" s="525" t="str">
        <f>IF(AND($B2425&gt;='111'!$N$11,$B2425&lt;='111'!$O$11,OR($L2425=$O$7,$M2425=$O$7)),"x","")</f>
        <v/>
      </c>
      <c r="P2425" s="525" t="str">
        <f>IF(AND($L2425=$O$7,$B2425&lt;'111'!$N$11),"x","")</f>
        <v/>
      </c>
      <c r="Q2425" s="525" t="str">
        <f>IF(AND($M2425=$O$7,$B2425&lt;'111'!$N$11),"x","")</f>
        <v/>
      </c>
      <c r="R2425" s="525" t="str">
        <f>IF(ISERROR(FIND('112'!$M$9,G2425,1)),"",IF((AND(FIND('112'!$M$9,G2425,1)&gt;=1,$B2425&gt;='112'!$N$8,$B2425&lt;='112'!$O$8,OR($L2425='112'!$I$6,$M2425='112'!$I$6))),"x",""))</f>
        <v/>
      </c>
      <c r="S2425" s="525" t="str">
        <f>IF(ISERROR(FIND('112'!$M$9,G2425,1)),"",IF((AND(LEFT(G2425,2)=LEFT('112'!$M$9,2),B2425&lt;'112'!$N$8,$L2425='112'!$I$6)),"x",""))</f>
        <v/>
      </c>
      <c r="T2425" s="525" t="str">
        <f>IF(ISERROR(FIND('112'!$M$9,G2425,1)),"",IF((AND(RIGHT(G2425,2)=RIGHT('112'!$M$9,2),B2425&lt;'112'!$N$8,$M2425='112'!$I$6)),"x",""))</f>
        <v/>
      </c>
      <c r="U2425" s="525" t="str">
        <f>IF(AND(B2425&gt;='IN-NX'!$P$3,B2425&lt;='IN-NX'!$Q$3,'IN-NX'!$D$7=D2425,OR(LEFT(L2425,2)="15",AND(LEFT(M2425,2)&lt;&gt;"15",LEFT(M2425,2)&lt;&gt;"33"))),"x","")</f>
        <v/>
      </c>
      <c r="V2425" s="525" t="str">
        <f>IF(AND(OR(LEFT(TH!L2425,2)="15",LEFT(TH!M2425,2)="15"),'152-CT'!$J$8=TH!F2425),"x","")</f>
        <v/>
      </c>
      <c r="W2425" s="525" t="str">
        <f>IF(AND(OR(LEFT(TH!L2425,2)="15",LEFT(TH!M2425,2)="15"),TK!$E$7=TH!F2425),"x","")</f>
        <v/>
      </c>
      <c r="X2425" s="525" t="str">
        <f>IF(AND('341-CT'!$E$9=H2425,OR(LEFT(L2425,3)=$X$7,LEFT(M2425,3)=$X$7)),"x","")</f>
        <v/>
      </c>
      <c r="Y2425" s="525" t="str">
        <f>IF(OR(TH!L2425=TH!$Y$7,M2425=TH!$Y$7),"x","")</f>
        <v/>
      </c>
      <c r="Z2425" s="525" t="str">
        <f>IF(AND(B2425&lt;=NKC!$N$8,B2425&gt;=NKC!$M$8),"x","")</f>
        <v/>
      </c>
      <c r="AA2425" s="535">
        <v>2</v>
      </c>
      <c r="AB2425" s="536"/>
    </row>
    <row r="2426" spans="1:28" s="503" customFormat="1" ht="15.75" customHeight="1">
      <c r="A2426" s="517" t="str">
        <f>IF(B2426&lt;&gt;"",IF(AND(B2426&gt;=_TM1,B2426&lt;=_TM2,OR(TH!L2426="1111",TH!M2426="1111")),TH!D2426,""),"")</f>
        <v/>
      </c>
      <c r="B2426" s="531">
        <f t="shared" si="215"/>
        <v>5</v>
      </c>
      <c r="C2426" s="315">
        <f t="shared" si="216"/>
        <v>42861</v>
      </c>
      <c r="D2426" s="315" t="s">
        <v>991</v>
      </c>
      <c r="E2426" s="545">
        <v>42861</v>
      </c>
      <c r="F2426" s="249" t="s">
        <v>1163</v>
      </c>
      <c r="G2426" s="314" t="s">
        <v>1144</v>
      </c>
      <c r="H2426" s="473" t="s">
        <v>1142</v>
      </c>
      <c r="I2426" s="307">
        <v>20</v>
      </c>
      <c r="J2426" s="307">
        <v>44160</v>
      </c>
      <c r="K2426" s="532">
        <f t="shared" si="219"/>
        <v>883200</v>
      </c>
      <c r="L2426" s="534" t="s">
        <v>292</v>
      </c>
      <c r="M2426" s="534" t="s">
        <v>8</v>
      </c>
      <c r="N2426" s="525" t="str">
        <f>IF(AND('331-CT'!$E$7=TH!H2426,OR(L2426="331",M2426="331")),"331",IF(AND(OR(L2426="131",M2426="131"),H2426='131-CT'!$E$7),"131",""))</f>
        <v/>
      </c>
      <c r="O2426" s="525" t="str">
        <f>IF(AND($B2426&gt;='111'!$N$11,$B2426&lt;='111'!$O$11,OR($L2426=$O$7,$M2426=$O$7)),"x","")</f>
        <v/>
      </c>
      <c r="P2426" s="525" t="str">
        <f>IF(AND($L2426=$O$7,$B2426&lt;'111'!$N$11),"x","")</f>
        <v/>
      </c>
      <c r="Q2426" s="525" t="str">
        <f>IF(AND($M2426=$O$7,$B2426&lt;'111'!$N$11),"x","")</f>
        <v/>
      </c>
      <c r="R2426" s="525" t="str">
        <f>IF(ISERROR(FIND('112'!$M$9,G2426,1)),"",IF((AND(FIND('112'!$M$9,G2426,1)&gt;=1,$B2426&gt;='112'!$N$8,$B2426&lt;='112'!$O$8,OR($L2426='112'!$I$6,$M2426='112'!$I$6))),"x",""))</f>
        <v/>
      </c>
      <c r="S2426" s="525" t="str">
        <f>IF(ISERROR(FIND('112'!$M$9,G2426,1)),"",IF((AND(LEFT(G2426,2)=LEFT('112'!$M$9,2),B2426&lt;'112'!$N$8,$L2426='112'!$I$6)),"x",""))</f>
        <v/>
      </c>
      <c r="T2426" s="525" t="str">
        <f>IF(ISERROR(FIND('112'!$M$9,G2426,1)),"",IF((AND(RIGHT(G2426,2)=RIGHT('112'!$M$9,2),B2426&lt;'112'!$N$8,$M2426='112'!$I$6)),"x",""))</f>
        <v/>
      </c>
      <c r="U2426" s="525" t="str">
        <f>IF(AND(B2426&gt;='IN-NX'!$P$3,B2426&lt;='IN-NX'!$Q$3,'IN-NX'!$D$7=D2426,OR(LEFT(L2426,2)="15",AND(LEFT(M2426,2)&lt;&gt;"15",LEFT(M2426,2)&lt;&gt;"33"))),"x","")</f>
        <v/>
      </c>
      <c r="V2426" s="525" t="str">
        <f>IF(AND(OR(LEFT(TH!L2426,2)="15",LEFT(TH!M2426,2)="15"),'152-CT'!$J$8=TH!F2426),"x","")</f>
        <v/>
      </c>
      <c r="W2426" s="525" t="str">
        <f>IF(AND(OR(LEFT(TH!L2426,2)="15",LEFT(TH!M2426,2)="15"),TK!$E$7=TH!F2426),"x","")</f>
        <v/>
      </c>
      <c r="X2426" s="525" t="str">
        <f>IF(AND('341-CT'!$E$9=H2426,OR(LEFT(L2426,3)=$X$7,LEFT(M2426,3)=$X$7)),"x","")</f>
        <v/>
      </c>
      <c r="Y2426" s="525" t="str">
        <f>IF(OR(TH!L2426=TH!$Y$7,M2426=TH!$Y$7),"x","")</f>
        <v/>
      </c>
      <c r="Z2426" s="525" t="str">
        <f>IF(AND(B2426&lt;=NKC!$N$8,B2426&gt;=NKC!$M$8),"x","")</f>
        <v/>
      </c>
      <c r="AA2426" s="535">
        <v>2</v>
      </c>
      <c r="AB2426" s="536"/>
    </row>
    <row r="2427" spans="1:28" s="503" customFormat="1" ht="15.75" customHeight="1">
      <c r="A2427" s="517" t="str">
        <f>IF(B2427&lt;&gt;"",IF(AND(B2427&gt;=_TM1,B2427&lt;=_TM2,OR(TH!L2427="1111",TH!M2427="1111")),TH!D2427,""),"")</f>
        <v/>
      </c>
      <c r="B2427" s="531">
        <f t="shared" si="215"/>
        <v>5</v>
      </c>
      <c r="C2427" s="315">
        <f t="shared" si="216"/>
        <v>42861</v>
      </c>
      <c r="D2427" s="315" t="s">
        <v>991</v>
      </c>
      <c r="E2427" s="545">
        <v>42861</v>
      </c>
      <c r="F2427" s="249" t="s">
        <v>731</v>
      </c>
      <c r="G2427" s="314" t="s">
        <v>1144</v>
      </c>
      <c r="H2427" s="473" t="s">
        <v>1142</v>
      </c>
      <c r="I2427" s="307">
        <v>14</v>
      </c>
      <c r="J2427" s="307">
        <v>55670</v>
      </c>
      <c r="K2427" s="532">
        <f t="shared" si="219"/>
        <v>779380</v>
      </c>
      <c r="L2427" s="534" t="s">
        <v>292</v>
      </c>
      <c r="M2427" s="534" t="s">
        <v>8</v>
      </c>
      <c r="N2427" s="525" t="str">
        <f>IF(AND('331-CT'!$E$7=TH!H2427,OR(L2427="331",M2427="331")),"331",IF(AND(OR(L2427="131",M2427="131"),H2427='131-CT'!$E$7),"131",""))</f>
        <v/>
      </c>
      <c r="O2427" s="525" t="str">
        <f>IF(AND($B2427&gt;='111'!$N$11,$B2427&lt;='111'!$O$11,OR($L2427=$O$7,$M2427=$O$7)),"x","")</f>
        <v/>
      </c>
      <c r="P2427" s="525" t="str">
        <f>IF(AND($L2427=$O$7,$B2427&lt;'111'!$N$11),"x","")</f>
        <v/>
      </c>
      <c r="Q2427" s="525" t="str">
        <f>IF(AND($M2427=$O$7,$B2427&lt;'111'!$N$11),"x","")</f>
        <v/>
      </c>
      <c r="R2427" s="525" t="str">
        <f>IF(ISERROR(FIND('112'!$M$9,G2427,1)),"",IF((AND(FIND('112'!$M$9,G2427,1)&gt;=1,$B2427&gt;='112'!$N$8,$B2427&lt;='112'!$O$8,OR($L2427='112'!$I$6,$M2427='112'!$I$6))),"x",""))</f>
        <v/>
      </c>
      <c r="S2427" s="525" t="str">
        <f>IF(ISERROR(FIND('112'!$M$9,G2427,1)),"",IF((AND(LEFT(G2427,2)=LEFT('112'!$M$9,2),B2427&lt;'112'!$N$8,$L2427='112'!$I$6)),"x",""))</f>
        <v/>
      </c>
      <c r="T2427" s="525" t="str">
        <f>IF(ISERROR(FIND('112'!$M$9,G2427,1)),"",IF((AND(RIGHT(G2427,2)=RIGHT('112'!$M$9,2),B2427&lt;'112'!$N$8,$M2427='112'!$I$6)),"x",""))</f>
        <v/>
      </c>
      <c r="U2427" s="525" t="str">
        <f>IF(AND(B2427&gt;='IN-NX'!$P$3,B2427&lt;='IN-NX'!$Q$3,'IN-NX'!$D$7=D2427,OR(LEFT(L2427,2)="15",AND(LEFT(M2427,2)&lt;&gt;"15",LEFT(M2427,2)&lt;&gt;"33"))),"x","")</f>
        <v/>
      </c>
      <c r="V2427" s="525" t="str">
        <f>IF(AND(OR(LEFT(TH!L2427,2)="15",LEFT(TH!M2427,2)="15"),'152-CT'!$J$8=TH!F2427),"x","")</f>
        <v/>
      </c>
      <c r="W2427" s="525" t="str">
        <f>IF(AND(OR(LEFT(TH!L2427,2)="15",LEFT(TH!M2427,2)="15"),TK!$E$7=TH!F2427),"x","")</f>
        <v/>
      </c>
      <c r="X2427" s="525" t="str">
        <f>IF(AND('341-CT'!$E$9=H2427,OR(LEFT(L2427,3)=$X$7,LEFT(M2427,3)=$X$7)),"x","")</f>
        <v/>
      </c>
      <c r="Y2427" s="525" t="str">
        <f>IF(OR(TH!L2427=TH!$Y$7,M2427=TH!$Y$7),"x","")</f>
        <v/>
      </c>
      <c r="Z2427" s="525" t="str">
        <f>IF(AND(B2427&lt;=NKC!$N$8,B2427&gt;=NKC!$M$8),"x","")</f>
        <v/>
      </c>
      <c r="AA2427" s="535">
        <v>2</v>
      </c>
      <c r="AB2427" s="536"/>
    </row>
    <row r="2428" spans="1:28" s="503" customFormat="1" ht="15.75" customHeight="1">
      <c r="A2428" s="517" t="str">
        <f>IF(B2428&lt;&gt;"",IF(AND(B2428&gt;=_TM1,B2428&lt;=_TM2,OR(TH!L2428="1111",TH!M2428="1111")),TH!D2428,""),"")</f>
        <v/>
      </c>
      <c r="B2428" s="531">
        <f t="shared" si="215"/>
        <v>5</v>
      </c>
      <c r="C2428" s="315">
        <f t="shared" si="216"/>
        <v>42861</v>
      </c>
      <c r="D2428" s="315" t="s">
        <v>991</v>
      </c>
      <c r="E2428" s="545">
        <v>42861</v>
      </c>
      <c r="F2428" s="249" t="s">
        <v>733</v>
      </c>
      <c r="G2428" s="314" t="s">
        <v>1144</v>
      </c>
      <c r="H2428" s="473" t="s">
        <v>1142</v>
      </c>
      <c r="I2428" s="307">
        <v>54</v>
      </c>
      <c r="J2428" s="307">
        <v>45390</v>
      </c>
      <c r="K2428" s="532">
        <f t="shared" si="219"/>
        <v>2451060</v>
      </c>
      <c r="L2428" s="534" t="s">
        <v>292</v>
      </c>
      <c r="M2428" s="534" t="s">
        <v>8</v>
      </c>
      <c r="N2428" s="525" t="str">
        <f>IF(AND('331-CT'!$E$7=TH!H2428,OR(L2428="331",M2428="331")),"331",IF(AND(OR(L2428="131",M2428="131"),H2428='131-CT'!$E$7),"131",""))</f>
        <v/>
      </c>
      <c r="O2428" s="525" t="str">
        <f>IF(AND($B2428&gt;='111'!$N$11,$B2428&lt;='111'!$O$11,OR($L2428=$O$7,$M2428=$O$7)),"x","")</f>
        <v/>
      </c>
      <c r="P2428" s="525" t="str">
        <f>IF(AND($L2428=$O$7,$B2428&lt;'111'!$N$11),"x","")</f>
        <v/>
      </c>
      <c r="Q2428" s="525" t="str">
        <f>IF(AND($M2428=$O$7,$B2428&lt;'111'!$N$11),"x","")</f>
        <v/>
      </c>
      <c r="R2428" s="525" t="str">
        <f>IF(ISERROR(FIND('112'!$M$9,G2428,1)),"",IF((AND(FIND('112'!$M$9,G2428,1)&gt;=1,$B2428&gt;='112'!$N$8,$B2428&lt;='112'!$O$8,OR($L2428='112'!$I$6,$M2428='112'!$I$6))),"x",""))</f>
        <v/>
      </c>
      <c r="S2428" s="525" t="str">
        <f>IF(ISERROR(FIND('112'!$M$9,G2428,1)),"",IF((AND(LEFT(G2428,2)=LEFT('112'!$M$9,2),B2428&lt;'112'!$N$8,$L2428='112'!$I$6)),"x",""))</f>
        <v/>
      </c>
      <c r="T2428" s="525" t="str">
        <f>IF(ISERROR(FIND('112'!$M$9,G2428,1)),"",IF((AND(RIGHT(G2428,2)=RIGHT('112'!$M$9,2),B2428&lt;'112'!$N$8,$M2428='112'!$I$6)),"x",""))</f>
        <v/>
      </c>
      <c r="U2428" s="525" t="str">
        <f>IF(AND(B2428&gt;='IN-NX'!$P$3,B2428&lt;='IN-NX'!$Q$3,'IN-NX'!$D$7=D2428,OR(LEFT(L2428,2)="15",AND(LEFT(M2428,2)&lt;&gt;"15",LEFT(M2428,2)&lt;&gt;"33"))),"x","")</f>
        <v/>
      </c>
      <c r="V2428" s="525" t="str">
        <f>IF(AND(OR(LEFT(TH!L2428,2)="15",LEFT(TH!M2428,2)="15"),'152-CT'!$J$8=TH!F2428),"x","")</f>
        <v/>
      </c>
      <c r="W2428" s="525" t="str">
        <f>IF(AND(OR(LEFT(TH!L2428,2)="15",LEFT(TH!M2428,2)="15"),TK!$E$7=TH!F2428),"x","")</f>
        <v/>
      </c>
      <c r="X2428" s="525" t="str">
        <f>IF(AND('341-CT'!$E$9=H2428,OR(LEFT(L2428,3)=$X$7,LEFT(M2428,3)=$X$7)),"x","")</f>
        <v/>
      </c>
      <c r="Y2428" s="525" t="str">
        <f>IF(OR(TH!L2428=TH!$Y$7,M2428=TH!$Y$7),"x","")</f>
        <v/>
      </c>
      <c r="Z2428" s="525" t="str">
        <f>IF(AND(B2428&lt;=NKC!$N$8,B2428&gt;=NKC!$M$8),"x","")</f>
        <v/>
      </c>
      <c r="AA2428" s="535">
        <v>2</v>
      </c>
      <c r="AB2428" s="536"/>
    </row>
    <row r="2429" spans="1:28" s="503" customFormat="1" ht="15.75" customHeight="1">
      <c r="A2429" s="517" t="str">
        <f>IF(B2429&lt;&gt;"",IF(AND(B2429&gt;=_TM1,B2429&lt;=_TM2,OR(TH!L2429="1111",TH!M2429="1111")),TH!D2429,""),"")</f>
        <v/>
      </c>
      <c r="B2429" s="531">
        <f t="shared" si="215"/>
        <v>5</v>
      </c>
      <c r="C2429" s="315">
        <f t="shared" si="216"/>
        <v>42861</v>
      </c>
      <c r="D2429" s="315" t="s">
        <v>991</v>
      </c>
      <c r="E2429" s="545">
        <v>42861</v>
      </c>
      <c r="F2429" s="249" t="s">
        <v>1026</v>
      </c>
      <c r="G2429" s="314" t="s">
        <v>1144</v>
      </c>
      <c r="H2429" s="473" t="s">
        <v>1142</v>
      </c>
      <c r="I2429" s="307">
        <v>12</v>
      </c>
      <c r="J2429" s="307">
        <v>90340</v>
      </c>
      <c r="K2429" s="532">
        <f t="shared" si="219"/>
        <v>1084080</v>
      </c>
      <c r="L2429" s="534" t="s">
        <v>292</v>
      </c>
      <c r="M2429" s="534" t="s">
        <v>8</v>
      </c>
      <c r="N2429" s="525" t="str">
        <f>IF(AND('331-CT'!$E$7=TH!H2429,OR(L2429="331",M2429="331")),"331",IF(AND(OR(L2429="131",M2429="131"),H2429='131-CT'!$E$7),"131",""))</f>
        <v/>
      </c>
      <c r="O2429" s="525" t="str">
        <f>IF(AND($B2429&gt;='111'!$N$11,$B2429&lt;='111'!$O$11,OR($L2429=$O$7,$M2429=$O$7)),"x","")</f>
        <v/>
      </c>
      <c r="P2429" s="525" t="str">
        <f>IF(AND($L2429=$O$7,$B2429&lt;'111'!$N$11),"x","")</f>
        <v/>
      </c>
      <c r="Q2429" s="525" t="str">
        <f>IF(AND($M2429=$O$7,$B2429&lt;'111'!$N$11),"x","")</f>
        <v/>
      </c>
      <c r="R2429" s="525" t="str">
        <f>IF(ISERROR(FIND('112'!$M$9,G2429,1)),"",IF((AND(FIND('112'!$M$9,G2429,1)&gt;=1,$B2429&gt;='112'!$N$8,$B2429&lt;='112'!$O$8,OR($L2429='112'!$I$6,$M2429='112'!$I$6))),"x",""))</f>
        <v/>
      </c>
      <c r="S2429" s="525" t="str">
        <f>IF(ISERROR(FIND('112'!$M$9,G2429,1)),"",IF((AND(LEFT(G2429,2)=LEFT('112'!$M$9,2),B2429&lt;'112'!$N$8,$L2429='112'!$I$6)),"x",""))</f>
        <v/>
      </c>
      <c r="T2429" s="525" t="str">
        <f>IF(ISERROR(FIND('112'!$M$9,G2429,1)),"",IF((AND(RIGHT(G2429,2)=RIGHT('112'!$M$9,2),B2429&lt;'112'!$N$8,$M2429='112'!$I$6)),"x",""))</f>
        <v/>
      </c>
      <c r="U2429" s="525" t="str">
        <f>IF(AND(B2429&gt;='IN-NX'!$P$3,B2429&lt;='IN-NX'!$Q$3,'IN-NX'!$D$7=D2429,OR(LEFT(L2429,2)="15",AND(LEFT(M2429,2)&lt;&gt;"15",LEFT(M2429,2)&lt;&gt;"33"))),"x","")</f>
        <v/>
      </c>
      <c r="V2429" s="525" t="str">
        <f>IF(AND(OR(LEFT(TH!L2429,2)="15",LEFT(TH!M2429,2)="15"),'152-CT'!$J$8=TH!F2429),"x","")</f>
        <v/>
      </c>
      <c r="W2429" s="525" t="str">
        <f>IF(AND(OR(LEFT(TH!L2429,2)="15",LEFT(TH!M2429,2)="15"),TK!$E$7=TH!F2429),"x","")</f>
        <v/>
      </c>
      <c r="X2429" s="525" t="str">
        <f>IF(AND('341-CT'!$E$9=H2429,OR(LEFT(L2429,3)=$X$7,LEFT(M2429,3)=$X$7)),"x","")</f>
        <v/>
      </c>
      <c r="Y2429" s="525" t="str">
        <f>IF(OR(TH!L2429=TH!$Y$7,M2429=TH!$Y$7),"x","")</f>
        <v/>
      </c>
      <c r="Z2429" s="525" t="str">
        <f>IF(AND(B2429&lt;=NKC!$N$8,B2429&gt;=NKC!$M$8),"x","")</f>
        <v/>
      </c>
      <c r="AA2429" s="535">
        <v>2</v>
      </c>
      <c r="AB2429" s="536"/>
    </row>
    <row r="2430" spans="1:28" s="503" customFormat="1" ht="15.75" customHeight="1">
      <c r="A2430" s="517" t="str">
        <f>IF(B2430&lt;&gt;"",IF(AND(B2430&gt;=_TM1,B2430&lt;=_TM2,OR(TH!L2430="1111",TH!M2430="1111")),TH!D2430,""),"")</f>
        <v/>
      </c>
      <c r="B2430" s="531">
        <f t="shared" si="215"/>
        <v>5</v>
      </c>
      <c r="C2430" s="315">
        <f t="shared" si="216"/>
        <v>42861</v>
      </c>
      <c r="D2430" s="315" t="s">
        <v>991</v>
      </c>
      <c r="E2430" s="545">
        <v>42861</v>
      </c>
      <c r="F2430" s="249" t="s">
        <v>1027</v>
      </c>
      <c r="G2430" s="314" t="s">
        <v>1144</v>
      </c>
      <c r="H2430" s="473" t="s">
        <v>1142</v>
      </c>
      <c r="I2430" s="307">
        <v>6</v>
      </c>
      <c r="J2430" s="307">
        <v>77431</v>
      </c>
      <c r="K2430" s="532">
        <f t="shared" si="219"/>
        <v>464586</v>
      </c>
      <c r="L2430" s="534" t="s">
        <v>292</v>
      </c>
      <c r="M2430" s="534" t="s">
        <v>8</v>
      </c>
      <c r="N2430" s="525" t="str">
        <f>IF(AND('331-CT'!$E$7=TH!H2430,OR(L2430="331",M2430="331")),"331",IF(AND(OR(L2430="131",M2430="131"),H2430='131-CT'!$E$7),"131",""))</f>
        <v/>
      </c>
      <c r="O2430" s="525" t="str">
        <f>IF(AND($B2430&gt;='111'!$N$11,$B2430&lt;='111'!$O$11,OR($L2430=$O$7,$M2430=$O$7)),"x","")</f>
        <v/>
      </c>
      <c r="P2430" s="525" t="str">
        <f>IF(AND($L2430=$O$7,$B2430&lt;'111'!$N$11),"x","")</f>
        <v/>
      </c>
      <c r="Q2430" s="525" t="str">
        <f>IF(AND($M2430=$O$7,$B2430&lt;'111'!$N$11),"x","")</f>
        <v/>
      </c>
      <c r="R2430" s="525" t="str">
        <f>IF(ISERROR(FIND('112'!$M$9,G2430,1)),"",IF((AND(FIND('112'!$M$9,G2430,1)&gt;=1,$B2430&gt;='112'!$N$8,$B2430&lt;='112'!$O$8,OR($L2430='112'!$I$6,$M2430='112'!$I$6))),"x",""))</f>
        <v/>
      </c>
      <c r="S2430" s="525" t="str">
        <f>IF(ISERROR(FIND('112'!$M$9,G2430,1)),"",IF((AND(LEFT(G2430,2)=LEFT('112'!$M$9,2),B2430&lt;'112'!$N$8,$L2430='112'!$I$6)),"x",""))</f>
        <v/>
      </c>
      <c r="T2430" s="525" t="str">
        <f>IF(ISERROR(FIND('112'!$M$9,G2430,1)),"",IF((AND(RIGHT(G2430,2)=RIGHT('112'!$M$9,2),B2430&lt;'112'!$N$8,$M2430='112'!$I$6)),"x",""))</f>
        <v/>
      </c>
      <c r="U2430" s="525" t="str">
        <f>IF(AND(B2430&gt;='IN-NX'!$P$3,B2430&lt;='IN-NX'!$Q$3,'IN-NX'!$D$7=D2430,OR(LEFT(L2430,2)="15",AND(LEFT(M2430,2)&lt;&gt;"15",LEFT(M2430,2)&lt;&gt;"33"))),"x","")</f>
        <v/>
      </c>
      <c r="V2430" s="525" t="str">
        <f>IF(AND(OR(LEFT(TH!L2430,2)="15",LEFT(TH!M2430,2)="15"),'152-CT'!$J$8=TH!F2430),"x","")</f>
        <v/>
      </c>
      <c r="W2430" s="525" t="str">
        <f>IF(AND(OR(LEFT(TH!L2430,2)="15",LEFT(TH!M2430,2)="15"),TK!$E$7=TH!F2430),"x","")</f>
        <v/>
      </c>
      <c r="X2430" s="525" t="str">
        <f>IF(AND('341-CT'!$E$9=H2430,OR(LEFT(L2430,3)=$X$7,LEFT(M2430,3)=$X$7)),"x","")</f>
        <v/>
      </c>
      <c r="Y2430" s="525" t="str">
        <f>IF(OR(TH!L2430=TH!$Y$7,M2430=TH!$Y$7),"x","")</f>
        <v/>
      </c>
      <c r="Z2430" s="525" t="str">
        <f>IF(AND(B2430&lt;=NKC!$N$8,B2430&gt;=NKC!$M$8),"x","")</f>
        <v/>
      </c>
      <c r="AA2430" s="535">
        <v>2</v>
      </c>
      <c r="AB2430" s="536"/>
    </row>
    <row r="2431" spans="1:28" s="503" customFormat="1" ht="15.75" customHeight="1">
      <c r="A2431" s="517" t="str">
        <f>IF(B2431&lt;&gt;"",IF(AND(B2431&gt;=_TM1,B2431&lt;=_TM2,OR(TH!L2431="1111",TH!M2431="1111")),TH!D2431,""),"")</f>
        <v/>
      </c>
      <c r="B2431" s="531">
        <f t="shared" si="215"/>
        <v>5</v>
      </c>
      <c r="C2431" s="315">
        <f t="shared" si="216"/>
        <v>42861</v>
      </c>
      <c r="D2431" s="315" t="s">
        <v>991</v>
      </c>
      <c r="E2431" s="545">
        <v>42861</v>
      </c>
      <c r="F2431" s="249" t="s">
        <v>734</v>
      </c>
      <c r="G2431" s="314" t="s">
        <v>1144</v>
      </c>
      <c r="H2431" s="473" t="s">
        <v>1142</v>
      </c>
      <c r="I2431" s="307">
        <v>8</v>
      </c>
      <c r="J2431" s="307">
        <v>99002</v>
      </c>
      <c r="K2431" s="532">
        <f t="shared" si="219"/>
        <v>792016</v>
      </c>
      <c r="L2431" s="534" t="s">
        <v>292</v>
      </c>
      <c r="M2431" s="534" t="s">
        <v>8</v>
      </c>
      <c r="N2431" s="525" t="str">
        <f>IF(AND('331-CT'!$E$7=TH!H2431,OR(L2431="331",M2431="331")),"331",IF(AND(OR(L2431="131",M2431="131"),H2431='131-CT'!$E$7),"131",""))</f>
        <v/>
      </c>
      <c r="O2431" s="525" t="str">
        <f>IF(AND($B2431&gt;='111'!$N$11,$B2431&lt;='111'!$O$11,OR($L2431=$O$7,$M2431=$O$7)),"x","")</f>
        <v/>
      </c>
      <c r="P2431" s="525" t="str">
        <f>IF(AND($L2431=$O$7,$B2431&lt;'111'!$N$11),"x","")</f>
        <v/>
      </c>
      <c r="Q2431" s="525" t="str">
        <f>IF(AND($M2431=$O$7,$B2431&lt;'111'!$N$11),"x","")</f>
        <v/>
      </c>
      <c r="R2431" s="525" t="str">
        <f>IF(ISERROR(FIND('112'!$M$9,G2431,1)),"",IF((AND(FIND('112'!$M$9,G2431,1)&gt;=1,$B2431&gt;='112'!$N$8,$B2431&lt;='112'!$O$8,OR($L2431='112'!$I$6,$M2431='112'!$I$6))),"x",""))</f>
        <v/>
      </c>
      <c r="S2431" s="525" t="str">
        <f>IF(ISERROR(FIND('112'!$M$9,G2431,1)),"",IF((AND(LEFT(G2431,2)=LEFT('112'!$M$9,2),B2431&lt;'112'!$N$8,$L2431='112'!$I$6)),"x",""))</f>
        <v/>
      </c>
      <c r="T2431" s="525" t="str">
        <f>IF(ISERROR(FIND('112'!$M$9,G2431,1)),"",IF((AND(RIGHT(G2431,2)=RIGHT('112'!$M$9,2),B2431&lt;'112'!$N$8,$M2431='112'!$I$6)),"x",""))</f>
        <v/>
      </c>
      <c r="U2431" s="525" t="str">
        <f>IF(AND(B2431&gt;='IN-NX'!$P$3,B2431&lt;='IN-NX'!$Q$3,'IN-NX'!$D$7=D2431,OR(LEFT(L2431,2)="15",AND(LEFT(M2431,2)&lt;&gt;"15",LEFT(M2431,2)&lt;&gt;"33"))),"x","")</f>
        <v/>
      </c>
      <c r="V2431" s="525" t="str">
        <f>IF(AND(OR(LEFT(TH!L2431,2)="15",LEFT(TH!M2431,2)="15"),'152-CT'!$J$8=TH!F2431),"x","")</f>
        <v/>
      </c>
      <c r="W2431" s="525" t="str">
        <f>IF(AND(OR(LEFT(TH!L2431,2)="15",LEFT(TH!M2431,2)="15"),TK!$E$7=TH!F2431),"x","")</f>
        <v/>
      </c>
      <c r="X2431" s="525" t="str">
        <f>IF(AND('341-CT'!$E$9=H2431,OR(LEFT(L2431,3)=$X$7,LEFT(M2431,3)=$X$7)),"x","")</f>
        <v/>
      </c>
      <c r="Y2431" s="525" t="str">
        <f>IF(OR(TH!L2431=TH!$Y$7,M2431=TH!$Y$7),"x","")</f>
        <v/>
      </c>
      <c r="Z2431" s="525" t="str">
        <f>IF(AND(B2431&lt;=NKC!$N$8,B2431&gt;=NKC!$M$8),"x","")</f>
        <v/>
      </c>
      <c r="AA2431" s="535">
        <v>2</v>
      </c>
      <c r="AB2431" s="536"/>
    </row>
    <row r="2432" spans="1:28" s="503" customFormat="1" ht="15.75" customHeight="1">
      <c r="A2432" s="517" t="str">
        <f>IF(B2432&lt;&gt;"",IF(AND(B2432&gt;=_TM1,B2432&lt;=_TM2,OR(TH!L2432="1111",TH!M2432="1111")),TH!D2432,""),"")</f>
        <v/>
      </c>
      <c r="B2432" s="531">
        <f t="shared" si="215"/>
        <v>5</v>
      </c>
      <c r="C2432" s="315">
        <f t="shared" si="216"/>
        <v>42861</v>
      </c>
      <c r="D2432" s="315" t="s">
        <v>991</v>
      </c>
      <c r="E2432" s="545">
        <v>42861</v>
      </c>
      <c r="F2432" s="249" t="s">
        <v>1164</v>
      </c>
      <c r="G2432" s="314" t="s">
        <v>1144</v>
      </c>
      <c r="H2432" s="473" t="s">
        <v>1142</v>
      </c>
      <c r="I2432" s="307">
        <v>753</v>
      </c>
      <c r="J2432" s="307">
        <v>11280</v>
      </c>
      <c r="K2432" s="532">
        <f t="shared" si="219"/>
        <v>8493840</v>
      </c>
      <c r="L2432" s="534" t="s">
        <v>292</v>
      </c>
      <c r="M2432" s="534" t="s">
        <v>8</v>
      </c>
      <c r="N2432" s="525" t="str">
        <f>IF(AND('331-CT'!$E$7=TH!H2432,OR(L2432="331",M2432="331")),"331",IF(AND(OR(L2432="131",M2432="131"),H2432='131-CT'!$E$7),"131",""))</f>
        <v/>
      </c>
      <c r="O2432" s="525" t="str">
        <f>IF(AND($B2432&gt;='111'!$N$11,$B2432&lt;='111'!$O$11,OR($L2432=$O$7,$M2432=$O$7)),"x","")</f>
        <v/>
      </c>
      <c r="P2432" s="525" t="str">
        <f>IF(AND($L2432=$O$7,$B2432&lt;'111'!$N$11),"x","")</f>
        <v/>
      </c>
      <c r="Q2432" s="525" t="str">
        <f>IF(AND($M2432=$O$7,$B2432&lt;'111'!$N$11),"x","")</f>
        <v/>
      </c>
      <c r="R2432" s="525" t="str">
        <f>IF(ISERROR(FIND('112'!$M$9,G2432,1)),"",IF((AND(FIND('112'!$M$9,G2432,1)&gt;=1,$B2432&gt;='112'!$N$8,$B2432&lt;='112'!$O$8,OR($L2432='112'!$I$6,$M2432='112'!$I$6))),"x",""))</f>
        <v/>
      </c>
      <c r="S2432" s="525" t="str">
        <f>IF(ISERROR(FIND('112'!$M$9,G2432,1)),"",IF((AND(LEFT(G2432,2)=LEFT('112'!$M$9,2),B2432&lt;'112'!$N$8,$L2432='112'!$I$6)),"x",""))</f>
        <v/>
      </c>
      <c r="T2432" s="525" t="str">
        <f>IF(ISERROR(FIND('112'!$M$9,G2432,1)),"",IF((AND(RIGHT(G2432,2)=RIGHT('112'!$M$9,2),B2432&lt;'112'!$N$8,$M2432='112'!$I$6)),"x",""))</f>
        <v/>
      </c>
      <c r="U2432" s="525" t="str">
        <f>IF(AND(B2432&gt;='IN-NX'!$P$3,B2432&lt;='IN-NX'!$Q$3,'IN-NX'!$D$7=D2432,OR(LEFT(L2432,2)="15",AND(LEFT(M2432,2)&lt;&gt;"15",LEFT(M2432,2)&lt;&gt;"33"))),"x","")</f>
        <v/>
      </c>
      <c r="V2432" s="525" t="str">
        <f>IF(AND(OR(LEFT(TH!L2432,2)="15",LEFT(TH!M2432,2)="15"),'152-CT'!$J$8=TH!F2432),"x","")</f>
        <v/>
      </c>
      <c r="W2432" s="525" t="str">
        <f>IF(AND(OR(LEFT(TH!L2432,2)="15",LEFT(TH!M2432,2)="15"),TK!$E$7=TH!F2432),"x","")</f>
        <v>x</v>
      </c>
      <c r="X2432" s="525" t="str">
        <f>IF(AND('341-CT'!$E$9=H2432,OR(LEFT(L2432,3)=$X$7,LEFT(M2432,3)=$X$7)),"x","")</f>
        <v/>
      </c>
      <c r="Y2432" s="525" t="str">
        <f>IF(OR(TH!L2432=TH!$Y$7,M2432=TH!$Y$7),"x","")</f>
        <v/>
      </c>
      <c r="Z2432" s="525" t="str">
        <f>IF(AND(B2432&lt;=NKC!$N$8,B2432&gt;=NKC!$M$8),"x","")</f>
        <v/>
      </c>
      <c r="AA2432" s="535">
        <v>2</v>
      </c>
      <c r="AB2432" s="536"/>
    </row>
    <row r="2433" spans="1:28" s="503" customFormat="1" ht="15.75" customHeight="1">
      <c r="A2433" s="517" t="str">
        <f>IF(B2433&lt;&gt;"",IF(AND(B2433&gt;=_TM1,B2433&lt;=_TM2,OR(TH!L2433="1111",TH!M2433="1111")),TH!D2433,""),"")</f>
        <v/>
      </c>
      <c r="B2433" s="531">
        <f t="shared" si="215"/>
        <v>5</v>
      </c>
      <c r="C2433" s="315">
        <f t="shared" si="216"/>
        <v>42861</v>
      </c>
      <c r="D2433" s="315" t="s">
        <v>991</v>
      </c>
      <c r="E2433" s="545">
        <v>42861</v>
      </c>
      <c r="F2433" s="249" t="s">
        <v>651</v>
      </c>
      <c r="G2433" s="314" t="s">
        <v>1144</v>
      </c>
      <c r="H2433" s="473" t="s">
        <v>1142</v>
      </c>
      <c r="I2433" s="307">
        <v>20</v>
      </c>
      <c r="J2433" s="307">
        <v>111846</v>
      </c>
      <c r="K2433" s="532">
        <f t="shared" si="219"/>
        <v>2236920</v>
      </c>
      <c r="L2433" s="534" t="s">
        <v>292</v>
      </c>
      <c r="M2433" s="534" t="s">
        <v>8</v>
      </c>
      <c r="N2433" s="525" t="str">
        <f>IF(AND('331-CT'!$E$7=TH!H2433,OR(L2433="331",M2433="331")),"331",IF(AND(OR(L2433="131",M2433="131"),H2433='131-CT'!$E$7),"131",""))</f>
        <v/>
      </c>
      <c r="O2433" s="525" t="str">
        <f>IF(AND($B2433&gt;='111'!$N$11,$B2433&lt;='111'!$O$11,OR($L2433=$O$7,$M2433=$O$7)),"x","")</f>
        <v/>
      </c>
      <c r="P2433" s="525" t="str">
        <f>IF(AND($L2433=$O$7,$B2433&lt;'111'!$N$11),"x","")</f>
        <v/>
      </c>
      <c r="Q2433" s="525" t="str">
        <f>IF(AND($M2433=$O$7,$B2433&lt;'111'!$N$11),"x","")</f>
        <v/>
      </c>
      <c r="R2433" s="525" t="str">
        <f>IF(ISERROR(FIND('112'!$M$9,G2433,1)),"",IF((AND(FIND('112'!$M$9,G2433,1)&gt;=1,$B2433&gt;='112'!$N$8,$B2433&lt;='112'!$O$8,OR($L2433='112'!$I$6,$M2433='112'!$I$6))),"x",""))</f>
        <v/>
      </c>
      <c r="S2433" s="525" t="str">
        <f>IF(ISERROR(FIND('112'!$M$9,G2433,1)),"",IF((AND(LEFT(G2433,2)=LEFT('112'!$M$9,2),B2433&lt;'112'!$N$8,$L2433='112'!$I$6)),"x",""))</f>
        <v/>
      </c>
      <c r="T2433" s="525" t="str">
        <f>IF(ISERROR(FIND('112'!$M$9,G2433,1)),"",IF((AND(RIGHT(G2433,2)=RIGHT('112'!$M$9,2),B2433&lt;'112'!$N$8,$M2433='112'!$I$6)),"x",""))</f>
        <v/>
      </c>
      <c r="U2433" s="525" t="str">
        <f>IF(AND(B2433&gt;='IN-NX'!$P$3,B2433&lt;='IN-NX'!$Q$3,'IN-NX'!$D$7=D2433,OR(LEFT(L2433,2)="15",AND(LEFT(M2433,2)&lt;&gt;"15",LEFT(M2433,2)&lt;&gt;"33"))),"x","")</f>
        <v/>
      </c>
      <c r="V2433" s="525" t="str">
        <f>IF(AND(OR(LEFT(TH!L2433,2)="15",LEFT(TH!M2433,2)="15"),'152-CT'!$J$8=TH!F2433),"x","")</f>
        <v/>
      </c>
      <c r="W2433" s="525" t="str">
        <f>IF(AND(OR(LEFT(TH!L2433,2)="15",LEFT(TH!M2433,2)="15"),TK!$E$7=TH!F2433),"x","")</f>
        <v/>
      </c>
      <c r="X2433" s="525" t="str">
        <f>IF(AND('341-CT'!$E$9=H2433,OR(LEFT(L2433,3)=$X$7,LEFT(M2433,3)=$X$7)),"x","")</f>
        <v/>
      </c>
      <c r="Y2433" s="525" t="str">
        <f>IF(OR(TH!L2433=TH!$Y$7,M2433=TH!$Y$7),"x","")</f>
        <v/>
      </c>
      <c r="Z2433" s="525" t="str">
        <f>IF(AND(B2433&lt;=NKC!$N$8,B2433&gt;=NKC!$M$8),"x","")</f>
        <v/>
      </c>
      <c r="AA2433" s="535">
        <v>2</v>
      </c>
      <c r="AB2433" s="536"/>
    </row>
    <row r="2434" spans="1:28" s="503" customFormat="1" ht="15.75" customHeight="1">
      <c r="A2434" s="517" t="str">
        <f>IF(B2434&lt;&gt;"",IF(AND(B2434&gt;=_TM1,B2434&lt;=_TM2,OR(TH!L2434="1111",TH!M2434="1111")),TH!D2434,""),"")</f>
        <v/>
      </c>
      <c r="B2434" s="531">
        <f t="shared" si="215"/>
        <v>5</v>
      </c>
      <c r="C2434" s="315">
        <f t="shared" si="216"/>
        <v>42861</v>
      </c>
      <c r="D2434" s="315" t="s">
        <v>992</v>
      </c>
      <c r="E2434" s="545">
        <v>42861</v>
      </c>
      <c r="F2434" s="249" t="s">
        <v>656</v>
      </c>
      <c r="G2434" s="314" t="s">
        <v>1144</v>
      </c>
      <c r="H2434" s="473" t="s">
        <v>1142</v>
      </c>
      <c r="I2434" s="307">
        <v>15</v>
      </c>
      <c r="J2434" s="307">
        <v>74350</v>
      </c>
      <c r="K2434" s="532">
        <f t="shared" si="219"/>
        <v>1115250</v>
      </c>
      <c r="L2434" s="534" t="s">
        <v>292</v>
      </c>
      <c r="M2434" s="534" t="s">
        <v>8</v>
      </c>
      <c r="N2434" s="525" t="str">
        <f>IF(AND('331-CT'!$E$7=TH!H2434,OR(L2434="331",M2434="331")),"331",IF(AND(OR(L2434="131",M2434="131"),H2434='131-CT'!$E$7),"131",""))</f>
        <v/>
      </c>
      <c r="O2434" s="525" t="str">
        <f>IF(AND($B2434&gt;='111'!$N$11,$B2434&lt;='111'!$O$11,OR($L2434=$O$7,$M2434=$O$7)),"x","")</f>
        <v/>
      </c>
      <c r="P2434" s="525" t="str">
        <f>IF(AND($L2434=$O$7,$B2434&lt;'111'!$N$11),"x","")</f>
        <v/>
      </c>
      <c r="Q2434" s="525" t="str">
        <f>IF(AND($M2434=$O$7,$B2434&lt;'111'!$N$11),"x","")</f>
        <v/>
      </c>
      <c r="R2434" s="525" t="str">
        <f>IF(ISERROR(FIND('112'!$M$9,G2434,1)),"",IF((AND(FIND('112'!$M$9,G2434,1)&gt;=1,$B2434&gt;='112'!$N$8,$B2434&lt;='112'!$O$8,OR($L2434='112'!$I$6,$M2434='112'!$I$6))),"x",""))</f>
        <v/>
      </c>
      <c r="S2434" s="525" t="str">
        <f>IF(ISERROR(FIND('112'!$M$9,G2434,1)),"",IF((AND(LEFT(G2434,2)=LEFT('112'!$M$9,2),B2434&lt;'112'!$N$8,$L2434='112'!$I$6)),"x",""))</f>
        <v/>
      </c>
      <c r="T2434" s="525" t="str">
        <f>IF(ISERROR(FIND('112'!$M$9,G2434,1)),"",IF((AND(RIGHT(G2434,2)=RIGHT('112'!$M$9,2),B2434&lt;'112'!$N$8,$M2434='112'!$I$6)),"x",""))</f>
        <v/>
      </c>
      <c r="U2434" s="525" t="str">
        <f>IF(AND(B2434&gt;='IN-NX'!$P$3,B2434&lt;='IN-NX'!$Q$3,'IN-NX'!$D$7=D2434,OR(LEFT(L2434,2)="15",AND(LEFT(M2434,2)&lt;&gt;"15",LEFT(M2434,2)&lt;&gt;"33"))),"x","")</f>
        <v/>
      </c>
      <c r="V2434" s="525" t="str">
        <f>IF(AND(OR(LEFT(TH!L2434,2)="15",LEFT(TH!M2434,2)="15"),'152-CT'!$J$8=TH!F2434),"x","")</f>
        <v/>
      </c>
      <c r="W2434" s="525" t="str">
        <f>IF(AND(OR(LEFT(TH!L2434,2)="15",LEFT(TH!M2434,2)="15"),TK!$E$7=TH!F2434),"x","")</f>
        <v/>
      </c>
      <c r="X2434" s="525" t="str">
        <f>IF(AND('341-CT'!$E$9=H2434,OR(LEFT(L2434,3)=$X$7,LEFT(M2434,3)=$X$7)),"x","")</f>
        <v/>
      </c>
      <c r="Y2434" s="525" t="str">
        <f>IF(OR(TH!L2434=TH!$Y$7,M2434=TH!$Y$7),"x","")</f>
        <v/>
      </c>
      <c r="Z2434" s="525" t="str">
        <f>IF(AND(B2434&lt;=NKC!$N$8,B2434&gt;=NKC!$M$8),"x","")</f>
        <v/>
      </c>
      <c r="AA2434" s="535">
        <v>2</v>
      </c>
      <c r="AB2434" s="536"/>
    </row>
    <row r="2435" spans="1:28" s="503" customFormat="1" ht="15.75" customHeight="1">
      <c r="A2435" s="517" t="str">
        <f>IF(B2435&lt;&gt;"",IF(AND(B2435&gt;=_TM1,B2435&lt;=_TM2,OR(TH!L2435="1111",TH!M2435="1111")),TH!D2435,""),"")</f>
        <v/>
      </c>
      <c r="B2435" s="531">
        <f t="shared" si="215"/>
        <v>5</v>
      </c>
      <c r="C2435" s="315">
        <f t="shared" si="216"/>
        <v>42861</v>
      </c>
      <c r="D2435" s="315" t="s">
        <v>992</v>
      </c>
      <c r="E2435" s="545">
        <v>42861</v>
      </c>
      <c r="F2435" s="249" t="s">
        <v>704</v>
      </c>
      <c r="G2435" s="314" t="s">
        <v>1144</v>
      </c>
      <c r="H2435" s="473" t="s">
        <v>1142</v>
      </c>
      <c r="I2435" s="307">
        <v>276</v>
      </c>
      <c r="J2435" s="307">
        <v>17540</v>
      </c>
      <c r="K2435" s="532">
        <f t="shared" si="219"/>
        <v>4841040</v>
      </c>
      <c r="L2435" s="534" t="s">
        <v>292</v>
      </c>
      <c r="M2435" s="534" t="s">
        <v>8</v>
      </c>
      <c r="N2435" s="525" t="str">
        <f>IF(AND('331-CT'!$E$7=TH!H2435,OR(L2435="331",M2435="331")),"331",IF(AND(OR(L2435="131",M2435="131"),H2435='131-CT'!$E$7),"131",""))</f>
        <v/>
      </c>
      <c r="O2435" s="525" t="str">
        <f>IF(AND($B2435&gt;='111'!$N$11,$B2435&lt;='111'!$O$11,OR($L2435=$O$7,$M2435=$O$7)),"x","")</f>
        <v/>
      </c>
      <c r="P2435" s="525" t="str">
        <f>IF(AND($L2435=$O$7,$B2435&lt;'111'!$N$11),"x","")</f>
        <v/>
      </c>
      <c r="Q2435" s="525" t="str">
        <f>IF(AND($M2435=$O$7,$B2435&lt;'111'!$N$11),"x","")</f>
        <v/>
      </c>
      <c r="R2435" s="525" t="str">
        <f>IF(ISERROR(FIND('112'!$M$9,G2435,1)),"",IF((AND(FIND('112'!$M$9,G2435,1)&gt;=1,$B2435&gt;='112'!$N$8,$B2435&lt;='112'!$O$8,OR($L2435='112'!$I$6,$M2435='112'!$I$6))),"x",""))</f>
        <v/>
      </c>
      <c r="S2435" s="525" t="str">
        <f>IF(ISERROR(FIND('112'!$M$9,G2435,1)),"",IF((AND(LEFT(G2435,2)=LEFT('112'!$M$9,2),B2435&lt;'112'!$N$8,$L2435='112'!$I$6)),"x",""))</f>
        <v/>
      </c>
      <c r="T2435" s="525" t="str">
        <f>IF(ISERROR(FIND('112'!$M$9,G2435,1)),"",IF((AND(RIGHT(G2435,2)=RIGHT('112'!$M$9,2),B2435&lt;'112'!$N$8,$M2435='112'!$I$6)),"x",""))</f>
        <v/>
      </c>
      <c r="U2435" s="525" t="str">
        <f>IF(AND(B2435&gt;='IN-NX'!$P$3,B2435&lt;='IN-NX'!$Q$3,'IN-NX'!$D$7=D2435,OR(LEFT(L2435,2)="15",AND(LEFT(M2435,2)&lt;&gt;"15",LEFT(M2435,2)&lt;&gt;"33"))),"x","")</f>
        <v/>
      </c>
      <c r="V2435" s="525" t="str">
        <f>IF(AND(OR(LEFT(TH!L2435,2)="15",LEFT(TH!M2435,2)="15"),'152-CT'!$J$8=TH!F2435),"x","")</f>
        <v/>
      </c>
      <c r="W2435" s="525" t="str">
        <f>IF(AND(OR(LEFT(TH!L2435,2)="15",LEFT(TH!M2435,2)="15"),TK!$E$7=TH!F2435),"x","")</f>
        <v/>
      </c>
      <c r="X2435" s="525" t="str">
        <f>IF(AND('341-CT'!$E$9=H2435,OR(LEFT(L2435,3)=$X$7,LEFT(M2435,3)=$X$7)),"x","")</f>
        <v/>
      </c>
      <c r="Y2435" s="525" t="str">
        <f>IF(OR(TH!L2435=TH!$Y$7,M2435=TH!$Y$7),"x","")</f>
        <v/>
      </c>
      <c r="Z2435" s="525" t="str">
        <f>IF(AND(B2435&lt;=NKC!$N$8,B2435&gt;=NKC!$M$8),"x","")</f>
        <v/>
      </c>
      <c r="AA2435" s="535">
        <v>2</v>
      </c>
      <c r="AB2435" s="536"/>
    </row>
    <row r="2436" spans="1:28" s="503" customFormat="1" ht="15.75" customHeight="1">
      <c r="A2436" s="517" t="str">
        <f>IF(B2436&lt;&gt;"",IF(AND(B2436&gt;=_TM1,B2436&lt;=_TM2,OR(TH!L2436="1111",TH!M2436="1111")),TH!D2436,""),"")</f>
        <v/>
      </c>
      <c r="B2436" s="531">
        <f t="shared" si="215"/>
        <v>5</v>
      </c>
      <c r="C2436" s="315">
        <f t="shared" si="216"/>
        <v>42861</v>
      </c>
      <c r="D2436" s="315" t="s">
        <v>992</v>
      </c>
      <c r="E2436" s="545">
        <v>42861</v>
      </c>
      <c r="F2436" s="249" t="s">
        <v>1041</v>
      </c>
      <c r="G2436" s="314" t="s">
        <v>1144</v>
      </c>
      <c r="H2436" s="473" t="s">
        <v>1142</v>
      </c>
      <c r="I2436" s="307">
        <v>28</v>
      </c>
      <c r="J2436" s="307">
        <v>21580</v>
      </c>
      <c r="K2436" s="532">
        <f t="shared" si="219"/>
        <v>604240</v>
      </c>
      <c r="L2436" s="534" t="s">
        <v>292</v>
      </c>
      <c r="M2436" s="534" t="s">
        <v>8</v>
      </c>
      <c r="N2436" s="525" t="str">
        <f>IF(AND('331-CT'!$E$7=TH!H2436,OR(L2436="331",M2436="331")),"331",IF(AND(OR(L2436="131",M2436="131"),H2436='131-CT'!$E$7),"131",""))</f>
        <v/>
      </c>
      <c r="O2436" s="525" t="str">
        <f>IF(AND($B2436&gt;='111'!$N$11,$B2436&lt;='111'!$O$11,OR($L2436=$O$7,$M2436=$O$7)),"x","")</f>
        <v/>
      </c>
      <c r="P2436" s="525" t="str">
        <f>IF(AND($L2436=$O$7,$B2436&lt;'111'!$N$11),"x","")</f>
        <v/>
      </c>
      <c r="Q2436" s="525" t="str">
        <f>IF(AND($M2436=$O$7,$B2436&lt;'111'!$N$11),"x","")</f>
        <v/>
      </c>
      <c r="R2436" s="525" t="str">
        <f>IF(ISERROR(FIND('112'!$M$9,G2436,1)),"",IF((AND(FIND('112'!$M$9,G2436,1)&gt;=1,$B2436&gt;='112'!$N$8,$B2436&lt;='112'!$O$8,OR($L2436='112'!$I$6,$M2436='112'!$I$6))),"x",""))</f>
        <v/>
      </c>
      <c r="S2436" s="525" t="str">
        <f>IF(ISERROR(FIND('112'!$M$9,G2436,1)),"",IF((AND(LEFT(G2436,2)=LEFT('112'!$M$9,2),B2436&lt;'112'!$N$8,$L2436='112'!$I$6)),"x",""))</f>
        <v/>
      </c>
      <c r="T2436" s="525" t="str">
        <f>IF(ISERROR(FIND('112'!$M$9,G2436,1)),"",IF((AND(RIGHT(G2436,2)=RIGHT('112'!$M$9,2),B2436&lt;'112'!$N$8,$M2436='112'!$I$6)),"x",""))</f>
        <v/>
      </c>
      <c r="U2436" s="525" t="str">
        <f>IF(AND(B2436&gt;='IN-NX'!$P$3,B2436&lt;='IN-NX'!$Q$3,'IN-NX'!$D$7=D2436,OR(LEFT(L2436,2)="15",AND(LEFT(M2436,2)&lt;&gt;"15",LEFT(M2436,2)&lt;&gt;"33"))),"x","")</f>
        <v/>
      </c>
      <c r="V2436" s="525" t="str">
        <f>IF(AND(OR(LEFT(TH!L2436,2)="15",LEFT(TH!M2436,2)="15"),'152-CT'!$J$8=TH!F2436),"x","")</f>
        <v/>
      </c>
      <c r="W2436" s="525" t="str">
        <f>IF(AND(OR(LEFT(TH!L2436,2)="15",LEFT(TH!M2436,2)="15"),TK!$E$7=TH!F2436),"x","")</f>
        <v/>
      </c>
      <c r="X2436" s="525" t="str">
        <f>IF(AND('341-CT'!$E$9=H2436,OR(LEFT(L2436,3)=$X$7,LEFT(M2436,3)=$X$7)),"x","")</f>
        <v/>
      </c>
      <c r="Y2436" s="525" t="str">
        <f>IF(OR(TH!L2436=TH!$Y$7,M2436=TH!$Y$7),"x","")</f>
        <v/>
      </c>
      <c r="Z2436" s="525" t="str">
        <f>IF(AND(B2436&lt;=NKC!$N$8,B2436&gt;=NKC!$M$8),"x","")</f>
        <v/>
      </c>
      <c r="AA2436" s="535">
        <v>2</v>
      </c>
      <c r="AB2436" s="536"/>
    </row>
    <row r="2437" spans="1:28" s="503" customFormat="1" ht="15.75" customHeight="1">
      <c r="A2437" s="517" t="str">
        <f>IF(B2437&lt;&gt;"",IF(AND(B2437&gt;=_TM1,B2437&lt;=_TM2,OR(TH!L2437="1111",TH!M2437="1111")),TH!D2437,""),"")</f>
        <v/>
      </c>
      <c r="B2437" s="531">
        <f t="shared" si="215"/>
        <v>5</v>
      </c>
      <c r="C2437" s="315">
        <f t="shared" si="216"/>
        <v>42861</v>
      </c>
      <c r="D2437" s="315" t="s">
        <v>992</v>
      </c>
      <c r="E2437" s="545">
        <v>42861</v>
      </c>
      <c r="F2437" s="249" t="s">
        <v>1165</v>
      </c>
      <c r="G2437" s="314" t="s">
        <v>1144</v>
      </c>
      <c r="H2437" s="473" t="s">
        <v>1142</v>
      </c>
      <c r="I2437" s="307">
        <v>8</v>
      </c>
      <c r="J2437" s="307">
        <v>30200</v>
      </c>
      <c r="K2437" s="532">
        <f t="shared" si="219"/>
        <v>241600</v>
      </c>
      <c r="L2437" s="534" t="s">
        <v>292</v>
      </c>
      <c r="M2437" s="534" t="s">
        <v>8</v>
      </c>
      <c r="N2437" s="525" t="str">
        <f>IF(AND('331-CT'!$E$7=TH!H2437,OR(L2437="331",M2437="331")),"331",IF(AND(OR(L2437="131",M2437="131"),H2437='131-CT'!$E$7),"131",""))</f>
        <v/>
      </c>
      <c r="O2437" s="525" t="str">
        <f>IF(AND($B2437&gt;='111'!$N$11,$B2437&lt;='111'!$O$11,OR($L2437=$O$7,$M2437=$O$7)),"x","")</f>
        <v/>
      </c>
      <c r="P2437" s="525" t="str">
        <f>IF(AND($L2437=$O$7,$B2437&lt;'111'!$N$11),"x","")</f>
        <v/>
      </c>
      <c r="Q2437" s="525" t="str">
        <f>IF(AND($M2437=$O$7,$B2437&lt;'111'!$N$11),"x","")</f>
        <v/>
      </c>
      <c r="R2437" s="525" t="str">
        <f>IF(ISERROR(FIND('112'!$M$9,G2437,1)),"",IF((AND(FIND('112'!$M$9,G2437,1)&gt;=1,$B2437&gt;='112'!$N$8,$B2437&lt;='112'!$O$8,OR($L2437='112'!$I$6,$M2437='112'!$I$6))),"x",""))</f>
        <v/>
      </c>
      <c r="S2437" s="525" t="str">
        <f>IF(ISERROR(FIND('112'!$M$9,G2437,1)),"",IF((AND(LEFT(G2437,2)=LEFT('112'!$M$9,2),B2437&lt;'112'!$N$8,$L2437='112'!$I$6)),"x",""))</f>
        <v/>
      </c>
      <c r="T2437" s="525" t="str">
        <f>IF(ISERROR(FIND('112'!$M$9,G2437,1)),"",IF((AND(RIGHT(G2437,2)=RIGHT('112'!$M$9,2),B2437&lt;'112'!$N$8,$M2437='112'!$I$6)),"x",""))</f>
        <v/>
      </c>
      <c r="U2437" s="525" t="str">
        <f>IF(AND(B2437&gt;='IN-NX'!$P$3,B2437&lt;='IN-NX'!$Q$3,'IN-NX'!$D$7=D2437,OR(LEFT(L2437,2)="15",AND(LEFT(M2437,2)&lt;&gt;"15",LEFT(M2437,2)&lt;&gt;"33"))),"x","")</f>
        <v/>
      </c>
      <c r="V2437" s="525" t="str">
        <f>IF(AND(OR(LEFT(TH!L2437,2)="15",LEFT(TH!M2437,2)="15"),'152-CT'!$J$8=TH!F2437),"x","")</f>
        <v/>
      </c>
      <c r="W2437" s="525" t="str">
        <f>IF(AND(OR(LEFT(TH!L2437,2)="15",LEFT(TH!M2437,2)="15"),TK!$E$7=TH!F2437),"x","")</f>
        <v/>
      </c>
      <c r="X2437" s="525" t="str">
        <f>IF(AND('341-CT'!$E$9=H2437,OR(LEFT(L2437,3)=$X$7,LEFT(M2437,3)=$X$7)),"x","")</f>
        <v/>
      </c>
      <c r="Y2437" s="525" t="str">
        <f>IF(OR(TH!L2437=TH!$Y$7,M2437=TH!$Y$7),"x","")</f>
        <v/>
      </c>
      <c r="Z2437" s="525" t="str">
        <f>IF(AND(B2437&lt;=NKC!$N$8,B2437&gt;=NKC!$M$8),"x","")</f>
        <v/>
      </c>
      <c r="AA2437" s="535">
        <v>2</v>
      </c>
      <c r="AB2437" s="536"/>
    </row>
    <row r="2438" spans="1:28" s="503" customFormat="1" ht="15.75" customHeight="1">
      <c r="A2438" s="517" t="str">
        <f>IF(B2438&lt;&gt;"",IF(AND(B2438&gt;=_TM1,B2438&lt;=_TM2,OR(TH!L2438="1111",TH!M2438="1111")),TH!D2438,""),"")</f>
        <v/>
      </c>
      <c r="B2438" s="531">
        <f t="shared" si="215"/>
        <v>5</v>
      </c>
      <c r="C2438" s="315">
        <f t="shared" si="216"/>
        <v>42861</v>
      </c>
      <c r="D2438" s="315" t="s">
        <v>992</v>
      </c>
      <c r="E2438" s="545">
        <v>42861</v>
      </c>
      <c r="F2438" s="249" t="s">
        <v>619</v>
      </c>
      <c r="G2438" s="314" t="s">
        <v>1144</v>
      </c>
      <c r="H2438" s="473" t="s">
        <v>1142</v>
      </c>
      <c r="I2438" s="307">
        <v>54</v>
      </c>
      <c r="J2438" s="307">
        <v>32220</v>
      </c>
      <c r="K2438" s="532">
        <f t="shared" si="219"/>
        <v>1739880</v>
      </c>
      <c r="L2438" s="534" t="s">
        <v>292</v>
      </c>
      <c r="M2438" s="534" t="s">
        <v>8</v>
      </c>
      <c r="N2438" s="525" t="str">
        <f>IF(AND('331-CT'!$E$7=TH!H2438,OR(L2438="331",M2438="331")),"331",IF(AND(OR(L2438="131",M2438="131"),H2438='131-CT'!$E$7),"131",""))</f>
        <v/>
      </c>
      <c r="O2438" s="525" t="str">
        <f>IF(AND($B2438&gt;='111'!$N$11,$B2438&lt;='111'!$O$11,OR($L2438=$O$7,$M2438=$O$7)),"x","")</f>
        <v/>
      </c>
      <c r="P2438" s="525" t="str">
        <f>IF(AND($L2438=$O$7,$B2438&lt;'111'!$N$11),"x","")</f>
        <v/>
      </c>
      <c r="Q2438" s="525" t="str">
        <f>IF(AND($M2438=$O$7,$B2438&lt;'111'!$N$11),"x","")</f>
        <v/>
      </c>
      <c r="R2438" s="525" t="str">
        <f>IF(ISERROR(FIND('112'!$M$9,G2438,1)),"",IF((AND(FIND('112'!$M$9,G2438,1)&gt;=1,$B2438&gt;='112'!$N$8,$B2438&lt;='112'!$O$8,OR($L2438='112'!$I$6,$M2438='112'!$I$6))),"x",""))</f>
        <v/>
      </c>
      <c r="S2438" s="525" t="str">
        <f>IF(ISERROR(FIND('112'!$M$9,G2438,1)),"",IF((AND(LEFT(G2438,2)=LEFT('112'!$M$9,2),B2438&lt;'112'!$N$8,$L2438='112'!$I$6)),"x",""))</f>
        <v/>
      </c>
      <c r="T2438" s="525" t="str">
        <f>IF(ISERROR(FIND('112'!$M$9,G2438,1)),"",IF((AND(RIGHT(G2438,2)=RIGHT('112'!$M$9,2),B2438&lt;'112'!$N$8,$M2438='112'!$I$6)),"x",""))</f>
        <v/>
      </c>
      <c r="U2438" s="525" t="str">
        <f>IF(AND(B2438&gt;='IN-NX'!$P$3,B2438&lt;='IN-NX'!$Q$3,'IN-NX'!$D$7=D2438,OR(LEFT(L2438,2)="15",AND(LEFT(M2438,2)&lt;&gt;"15",LEFT(M2438,2)&lt;&gt;"33"))),"x","")</f>
        <v/>
      </c>
      <c r="V2438" s="525" t="str">
        <f>IF(AND(OR(LEFT(TH!L2438,2)="15",LEFT(TH!M2438,2)="15"),'152-CT'!$J$8=TH!F2438),"x","")</f>
        <v/>
      </c>
      <c r="W2438" s="525" t="str">
        <f>IF(AND(OR(LEFT(TH!L2438,2)="15",LEFT(TH!M2438,2)="15"),TK!$E$7=TH!F2438),"x","")</f>
        <v/>
      </c>
      <c r="X2438" s="525" t="str">
        <f>IF(AND('341-CT'!$E$9=H2438,OR(LEFT(L2438,3)=$X$7,LEFT(M2438,3)=$X$7)),"x","")</f>
        <v/>
      </c>
      <c r="Y2438" s="525" t="str">
        <f>IF(OR(TH!L2438=TH!$Y$7,M2438=TH!$Y$7),"x","")</f>
        <v/>
      </c>
      <c r="Z2438" s="525" t="str">
        <f>IF(AND(B2438&lt;=NKC!$N$8,B2438&gt;=NKC!$M$8),"x","")</f>
        <v/>
      </c>
      <c r="AA2438" s="535">
        <v>2</v>
      </c>
      <c r="AB2438" s="536"/>
    </row>
    <row r="2439" spans="1:28" s="503" customFormat="1" ht="15.75" customHeight="1">
      <c r="A2439" s="517" t="str">
        <f>IF(B2439&lt;&gt;"",IF(AND(B2439&gt;=_TM1,B2439&lt;=_TM2,OR(TH!L2439="1111",TH!M2439="1111")),TH!D2439,""),"")</f>
        <v/>
      </c>
      <c r="B2439" s="531">
        <f t="shared" ref="B2439:B2502" si="220">IF(C2439&lt;&gt;"",MONTH(C2439),"")</f>
        <v>5</v>
      </c>
      <c r="C2439" s="315">
        <f t="shared" ref="C2439:C2502" si="221">E2439</f>
        <v>42861</v>
      </c>
      <c r="D2439" s="315" t="s">
        <v>992</v>
      </c>
      <c r="E2439" s="545">
        <v>42861</v>
      </c>
      <c r="F2439" s="249" t="s">
        <v>665</v>
      </c>
      <c r="G2439" s="314" t="s">
        <v>1144</v>
      </c>
      <c r="H2439" s="473" t="s">
        <v>1142</v>
      </c>
      <c r="I2439" s="307">
        <v>36</v>
      </c>
      <c r="J2439" s="307">
        <v>14740</v>
      </c>
      <c r="K2439" s="532">
        <f t="shared" si="219"/>
        <v>530640</v>
      </c>
      <c r="L2439" s="534" t="s">
        <v>292</v>
      </c>
      <c r="M2439" s="534" t="s">
        <v>8</v>
      </c>
      <c r="N2439" s="525" t="str">
        <f>IF(AND('331-CT'!$E$7=TH!H2439,OR(L2439="331",M2439="331")),"331",IF(AND(OR(L2439="131",M2439="131"),H2439='131-CT'!$E$7),"131",""))</f>
        <v/>
      </c>
      <c r="O2439" s="525" t="str">
        <f>IF(AND($B2439&gt;='111'!$N$11,$B2439&lt;='111'!$O$11,OR($L2439=$O$7,$M2439=$O$7)),"x","")</f>
        <v/>
      </c>
      <c r="P2439" s="525" t="str">
        <f>IF(AND($L2439=$O$7,$B2439&lt;'111'!$N$11),"x","")</f>
        <v/>
      </c>
      <c r="Q2439" s="525" t="str">
        <f>IF(AND($M2439=$O$7,$B2439&lt;'111'!$N$11),"x","")</f>
        <v/>
      </c>
      <c r="R2439" s="525" t="str">
        <f>IF(ISERROR(FIND('112'!$M$9,G2439,1)),"",IF((AND(FIND('112'!$M$9,G2439,1)&gt;=1,$B2439&gt;='112'!$N$8,$B2439&lt;='112'!$O$8,OR($L2439='112'!$I$6,$M2439='112'!$I$6))),"x",""))</f>
        <v/>
      </c>
      <c r="S2439" s="525" t="str">
        <f>IF(ISERROR(FIND('112'!$M$9,G2439,1)),"",IF((AND(LEFT(G2439,2)=LEFT('112'!$M$9,2),B2439&lt;'112'!$N$8,$L2439='112'!$I$6)),"x",""))</f>
        <v/>
      </c>
      <c r="T2439" s="525" t="str">
        <f>IF(ISERROR(FIND('112'!$M$9,G2439,1)),"",IF((AND(RIGHT(G2439,2)=RIGHT('112'!$M$9,2),B2439&lt;'112'!$N$8,$M2439='112'!$I$6)),"x",""))</f>
        <v/>
      </c>
      <c r="U2439" s="525" t="str">
        <f>IF(AND(B2439&gt;='IN-NX'!$P$3,B2439&lt;='IN-NX'!$Q$3,'IN-NX'!$D$7=D2439,OR(LEFT(L2439,2)="15",AND(LEFT(M2439,2)&lt;&gt;"15",LEFT(M2439,2)&lt;&gt;"33"))),"x","")</f>
        <v/>
      </c>
      <c r="V2439" s="525" t="str">
        <f>IF(AND(OR(LEFT(TH!L2439,2)="15",LEFT(TH!M2439,2)="15"),'152-CT'!$J$8=TH!F2439),"x","")</f>
        <v/>
      </c>
      <c r="W2439" s="525" t="str">
        <f>IF(AND(OR(LEFT(TH!L2439,2)="15",LEFT(TH!M2439,2)="15"),TK!$E$7=TH!F2439),"x","")</f>
        <v/>
      </c>
      <c r="X2439" s="525" t="str">
        <f>IF(AND('341-CT'!$E$9=H2439,OR(LEFT(L2439,3)=$X$7,LEFT(M2439,3)=$X$7)),"x","")</f>
        <v/>
      </c>
      <c r="Y2439" s="525" t="str">
        <f>IF(OR(TH!L2439=TH!$Y$7,M2439=TH!$Y$7),"x","")</f>
        <v/>
      </c>
      <c r="Z2439" s="525" t="str">
        <f>IF(AND(B2439&lt;=NKC!$N$8,B2439&gt;=NKC!$M$8),"x","")</f>
        <v/>
      </c>
      <c r="AA2439" s="535">
        <v>2</v>
      </c>
      <c r="AB2439" s="536"/>
    </row>
    <row r="2440" spans="1:28" s="503" customFormat="1" ht="15.75" customHeight="1">
      <c r="A2440" s="517" t="str">
        <f>IF(B2440&lt;&gt;"",IF(AND(B2440&gt;=_TM1,B2440&lt;=_TM2,OR(TH!L2440="1111",TH!M2440="1111")),TH!D2440,""),"")</f>
        <v/>
      </c>
      <c r="B2440" s="531">
        <f t="shared" si="220"/>
        <v>5</v>
      </c>
      <c r="C2440" s="315">
        <f t="shared" si="221"/>
        <v>42861</v>
      </c>
      <c r="D2440" s="315" t="s">
        <v>992</v>
      </c>
      <c r="E2440" s="545">
        <v>42861</v>
      </c>
      <c r="F2440" s="245" t="s">
        <v>708</v>
      </c>
      <c r="G2440" s="314" t="s">
        <v>1144</v>
      </c>
      <c r="H2440" s="473" t="s">
        <v>1142</v>
      </c>
      <c r="I2440" s="307">
        <v>60</v>
      </c>
      <c r="J2440" s="307">
        <v>36840</v>
      </c>
      <c r="K2440" s="532">
        <f t="shared" si="219"/>
        <v>2210400</v>
      </c>
      <c r="L2440" s="534" t="s">
        <v>292</v>
      </c>
      <c r="M2440" s="534" t="s">
        <v>8</v>
      </c>
      <c r="N2440" s="525" t="str">
        <f>IF(AND('331-CT'!$E$7=TH!H2440,OR(L2440="331",M2440="331")),"331",IF(AND(OR(L2440="131",M2440="131"),H2440='131-CT'!$E$7),"131",""))</f>
        <v/>
      </c>
      <c r="O2440" s="525" t="str">
        <f>IF(AND($B2440&gt;='111'!$N$11,$B2440&lt;='111'!$O$11,OR($L2440=$O$7,$M2440=$O$7)),"x","")</f>
        <v/>
      </c>
      <c r="P2440" s="525" t="str">
        <f>IF(AND($L2440=$O$7,$B2440&lt;'111'!$N$11),"x","")</f>
        <v/>
      </c>
      <c r="Q2440" s="525" t="str">
        <f>IF(AND($M2440=$O$7,$B2440&lt;'111'!$N$11),"x","")</f>
        <v/>
      </c>
      <c r="R2440" s="525" t="str">
        <f>IF(ISERROR(FIND('112'!$M$9,G2440,1)),"",IF((AND(FIND('112'!$M$9,G2440,1)&gt;=1,$B2440&gt;='112'!$N$8,$B2440&lt;='112'!$O$8,OR($L2440='112'!$I$6,$M2440='112'!$I$6))),"x",""))</f>
        <v/>
      </c>
      <c r="S2440" s="525" t="str">
        <f>IF(ISERROR(FIND('112'!$M$9,G2440,1)),"",IF((AND(LEFT(G2440,2)=LEFT('112'!$M$9,2),B2440&lt;'112'!$N$8,$L2440='112'!$I$6)),"x",""))</f>
        <v/>
      </c>
      <c r="T2440" s="525" t="str">
        <f>IF(ISERROR(FIND('112'!$M$9,G2440,1)),"",IF((AND(RIGHT(G2440,2)=RIGHT('112'!$M$9,2),B2440&lt;'112'!$N$8,$M2440='112'!$I$6)),"x",""))</f>
        <v/>
      </c>
      <c r="U2440" s="525" t="str">
        <f>IF(AND(B2440&gt;='IN-NX'!$P$3,B2440&lt;='IN-NX'!$Q$3,'IN-NX'!$D$7=D2440,OR(LEFT(L2440,2)="15",AND(LEFT(M2440,2)&lt;&gt;"15",LEFT(M2440,2)&lt;&gt;"33"))),"x","")</f>
        <v/>
      </c>
      <c r="V2440" s="525" t="str">
        <f>IF(AND(OR(LEFT(TH!L2440,2)="15",LEFT(TH!M2440,2)="15"),'152-CT'!$J$8=TH!F2440),"x","")</f>
        <v/>
      </c>
      <c r="W2440" s="525" t="str">
        <f>IF(AND(OR(LEFT(TH!L2440,2)="15",LEFT(TH!M2440,2)="15"),TK!$E$7=TH!F2440),"x","")</f>
        <v/>
      </c>
      <c r="X2440" s="525" t="str">
        <f>IF(AND('341-CT'!$E$9=H2440,OR(LEFT(L2440,3)=$X$7,LEFT(M2440,3)=$X$7)),"x","")</f>
        <v/>
      </c>
      <c r="Y2440" s="525" t="str">
        <f>IF(OR(TH!L2440=TH!$Y$7,M2440=TH!$Y$7),"x","")</f>
        <v/>
      </c>
      <c r="Z2440" s="525" t="str">
        <f>IF(AND(B2440&lt;=NKC!$N$8,B2440&gt;=NKC!$M$8),"x","")</f>
        <v/>
      </c>
      <c r="AA2440" s="535">
        <v>2</v>
      </c>
      <c r="AB2440" s="536"/>
    </row>
    <row r="2441" spans="1:28" s="503" customFormat="1" ht="15.75" customHeight="1">
      <c r="A2441" s="517" t="str">
        <f>IF(B2441&lt;&gt;"",IF(AND(B2441&gt;=_TM1,B2441&lt;=_TM2,OR(TH!L2441="1111",TH!M2441="1111")),TH!D2441,""),"")</f>
        <v/>
      </c>
      <c r="B2441" s="531">
        <f t="shared" si="220"/>
        <v>5</v>
      </c>
      <c r="C2441" s="315">
        <f t="shared" si="221"/>
        <v>42861</v>
      </c>
      <c r="D2441" s="315" t="s">
        <v>992</v>
      </c>
      <c r="E2441" s="545">
        <v>42861</v>
      </c>
      <c r="F2441" s="249" t="s">
        <v>1022</v>
      </c>
      <c r="G2441" s="314" t="s">
        <v>1144</v>
      </c>
      <c r="H2441" s="473" t="s">
        <v>1142</v>
      </c>
      <c r="I2441" s="307">
        <v>48</v>
      </c>
      <c r="J2441" s="307">
        <v>20910</v>
      </c>
      <c r="K2441" s="532">
        <f t="shared" si="219"/>
        <v>1003680</v>
      </c>
      <c r="L2441" s="534" t="s">
        <v>292</v>
      </c>
      <c r="M2441" s="534" t="s">
        <v>8</v>
      </c>
      <c r="N2441" s="525" t="str">
        <f>IF(AND('331-CT'!$E$7=TH!H2441,OR(L2441="331",M2441="331")),"331",IF(AND(OR(L2441="131",M2441="131"),H2441='131-CT'!$E$7),"131",""))</f>
        <v/>
      </c>
      <c r="O2441" s="525" t="str">
        <f>IF(AND($B2441&gt;='111'!$N$11,$B2441&lt;='111'!$O$11,OR($L2441=$O$7,$M2441=$O$7)),"x","")</f>
        <v/>
      </c>
      <c r="P2441" s="525" t="str">
        <f>IF(AND($L2441=$O$7,$B2441&lt;'111'!$N$11),"x","")</f>
        <v/>
      </c>
      <c r="Q2441" s="525" t="str">
        <f>IF(AND($M2441=$O$7,$B2441&lt;'111'!$N$11),"x","")</f>
        <v/>
      </c>
      <c r="R2441" s="525" t="str">
        <f>IF(ISERROR(FIND('112'!$M$9,G2441,1)),"",IF((AND(FIND('112'!$M$9,G2441,1)&gt;=1,$B2441&gt;='112'!$N$8,$B2441&lt;='112'!$O$8,OR($L2441='112'!$I$6,$M2441='112'!$I$6))),"x",""))</f>
        <v/>
      </c>
      <c r="S2441" s="525" t="str">
        <f>IF(ISERROR(FIND('112'!$M$9,G2441,1)),"",IF((AND(LEFT(G2441,2)=LEFT('112'!$M$9,2),B2441&lt;'112'!$N$8,$L2441='112'!$I$6)),"x",""))</f>
        <v/>
      </c>
      <c r="T2441" s="525" t="str">
        <f>IF(ISERROR(FIND('112'!$M$9,G2441,1)),"",IF((AND(RIGHT(G2441,2)=RIGHT('112'!$M$9,2),B2441&lt;'112'!$N$8,$M2441='112'!$I$6)),"x",""))</f>
        <v/>
      </c>
      <c r="U2441" s="525" t="str">
        <f>IF(AND(B2441&gt;='IN-NX'!$P$3,B2441&lt;='IN-NX'!$Q$3,'IN-NX'!$D$7=D2441,OR(LEFT(L2441,2)="15",AND(LEFT(M2441,2)&lt;&gt;"15",LEFT(M2441,2)&lt;&gt;"33"))),"x","")</f>
        <v/>
      </c>
      <c r="V2441" s="525" t="str">
        <f>IF(AND(OR(LEFT(TH!L2441,2)="15",LEFT(TH!M2441,2)="15"),'152-CT'!$J$8=TH!F2441),"x","")</f>
        <v/>
      </c>
      <c r="W2441" s="525" t="str">
        <f>IF(AND(OR(LEFT(TH!L2441,2)="15",LEFT(TH!M2441,2)="15"),TK!$E$7=TH!F2441),"x","")</f>
        <v/>
      </c>
      <c r="X2441" s="525" t="str">
        <f>IF(AND('341-CT'!$E$9=H2441,OR(LEFT(L2441,3)=$X$7,LEFT(M2441,3)=$X$7)),"x","")</f>
        <v/>
      </c>
      <c r="Y2441" s="525" t="str">
        <f>IF(OR(TH!L2441=TH!$Y$7,M2441=TH!$Y$7),"x","")</f>
        <v/>
      </c>
      <c r="Z2441" s="525" t="str">
        <f>IF(AND(B2441&lt;=NKC!$N$8,B2441&gt;=NKC!$M$8),"x","")</f>
        <v/>
      </c>
      <c r="AA2441" s="535">
        <v>2</v>
      </c>
      <c r="AB2441" s="536"/>
    </row>
    <row r="2442" spans="1:28" s="503" customFormat="1" ht="15.75" customHeight="1">
      <c r="A2442" s="517" t="str">
        <f>IF(B2442&lt;&gt;"",IF(AND(B2442&gt;=_TM1,B2442&lt;=_TM2,OR(TH!L2442="1111",TH!M2442="1111")),TH!D2442,""),"")</f>
        <v/>
      </c>
      <c r="B2442" s="531">
        <f t="shared" si="220"/>
        <v>5</v>
      </c>
      <c r="C2442" s="315">
        <f t="shared" si="221"/>
        <v>42861</v>
      </c>
      <c r="D2442" s="315" t="s">
        <v>992</v>
      </c>
      <c r="E2442" s="315">
        <v>42861</v>
      </c>
      <c r="F2442" s="245" t="s">
        <v>710</v>
      </c>
      <c r="G2442" s="314" t="s">
        <v>1144</v>
      </c>
      <c r="H2442" s="473" t="s">
        <v>1142</v>
      </c>
      <c r="I2442" s="307">
        <v>68</v>
      </c>
      <c r="J2442" s="307">
        <v>20700</v>
      </c>
      <c r="K2442" s="532">
        <f t="shared" si="219"/>
        <v>1407600</v>
      </c>
      <c r="L2442" s="534" t="s">
        <v>292</v>
      </c>
      <c r="M2442" s="534" t="s">
        <v>8</v>
      </c>
      <c r="N2442" s="525" t="str">
        <f>IF(AND('331-CT'!$E$7=TH!H2442,OR(L2442="331",M2442="331")),"331",IF(AND(OR(L2442="131",M2442="131"),H2442='131-CT'!$E$7),"131",""))</f>
        <v/>
      </c>
      <c r="O2442" s="525" t="str">
        <f>IF(AND($B2442&gt;='111'!$N$11,$B2442&lt;='111'!$O$11,OR($L2442=$O$7,$M2442=$O$7)),"x","")</f>
        <v/>
      </c>
      <c r="P2442" s="525" t="str">
        <f>IF(AND($L2442=$O$7,$B2442&lt;'111'!$N$11),"x","")</f>
        <v/>
      </c>
      <c r="Q2442" s="525" t="str">
        <f>IF(AND($M2442=$O$7,$B2442&lt;'111'!$N$11),"x","")</f>
        <v/>
      </c>
      <c r="R2442" s="525" t="str">
        <f>IF(ISERROR(FIND('112'!$M$9,G2442,1)),"",IF((AND(FIND('112'!$M$9,G2442,1)&gt;=1,$B2442&gt;='112'!$N$8,$B2442&lt;='112'!$O$8,OR($L2442='112'!$I$6,$M2442='112'!$I$6))),"x",""))</f>
        <v/>
      </c>
      <c r="S2442" s="525" t="str">
        <f>IF(ISERROR(FIND('112'!$M$9,G2442,1)),"",IF((AND(LEFT(G2442,2)=LEFT('112'!$M$9,2),B2442&lt;'112'!$N$8,$L2442='112'!$I$6)),"x",""))</f>
        <v/>
      </c>
      <c r="T2442" s="525" t="str">
        <f>IF(ISERROR(FIND('112'!$M$9,G2442,1)),"",IF((AND(RIGHT(G2442,2)=RIGHT('112'!$M$9,2),B2442&lt;'112'!$N$8,$M2442='112'!$I$6)),"x",""))</f>
        <v/>
      </c>
      <c r="U2442" s="525" t="str">
        <f>IF(AND(B2442&gt;='IN-NX'!$P$3,B2442&lt;='IN-NX'!$Q$3,'IN-NX'!$D$7=D2442,OR(LEFT(L2442,2)="15",AND(LEFT(M2442,2)&lt;&gt;"15",LEFT(M2442,2)&lt;&gt;"33"))),"x","")</f>
        <v/>
      </c>
      <c r="V2442" s="525" t="str">
        <f>IF(AND(OR(LEFT(TH!L2442,2)="15",LEFT(TH!M2442,2)="15"),'152-CT'!$J$8=TH!F2442),"x","")</f>
        <v/>
      </c>
      <c r="W2442" s="525" t="str">
        <f>IF(AND(OR(LEFT(TH!L2442,2)="15",LEFT(TH!M2442,2)="15"),TK!$E$7=TH!F2442),"x","")</f>
        <v/>
      </c>
      <c r="X2442" s="525" t="str">
        <f>IF(AND('341-CT'!$E$9=H2442,OR(LEFT(L2442,3)=$X$7,LEFT(M2442,3)=$X$7)),"x","")</f>
        <v/>
      </c>
      <c r="Y2442" s="525" t="str">
        <f>IF(OR(TH!L2442=TH!$Y$7,M2442=TH!$Y$7),"x","")</f>
        <v/>
      </c>
      <c r="Z2442" s="525" t="str">
        <f>IF(AND(B2442&lt;=NKC!$N$8,B2442&gt;=NKC!$M$8),"x","")</f>
        <v/>
      </c>
      <c r="AA2442" s="535">
        <v>2</v>
      </c>
      <c r="AB2442" s="536"/>
    </row>
    <row r="2443" spans="1:28" s="503" customFormat="1" ht="15.75" customHeight="1">
      <c r="A2443" s="517" t="str">
        <f>IF(B2443&lt;&gt;"",IF(AND(B2443&gt;=_TM1,B2443&lt;=_TM2,OR(TH!L2443="1111",TH!M2443="1111")),TH!D2443,""),"")</f>
        <v/>
      </c>
      <c r="B2443" s="531">
        <f t="shared" si="220"/>
        <v>5</v>
      </c>
      <c r="C2443" s="315">
        <f t="shared" si="221"/>
        <v>42861</v>
      </c>
      <c r="D2443" s="315" t="s">
        <v>992</v>
      </c>
      <c r="E2443" s="315">
        <v>42861</v>
      </c>
      <c r="F2443" s="249" t="s">
        <v>1042</v>
      </c>
      <c r="G2443" s="314" t="s">
        <v>1144</v>
      </c>
      <c r="H2443" s="473" t="s">
        <v>1142</v>
      </c>
      <c r="I2443" s="307">
        <v>48</v>
      </c>
      <c r="J2443" s="307">
        <v>18460</v>
      </c>
      <c r="K2443" s="532">
        <f t="shared" si="219"/>
        <v>886080</v>
      </c>
      <c r="L2443" s="534" t="s">
        <v>292</v>
      </c>
      <c r="M2443" s="534" t="s">
        <v>8</v>
      </c>
      <c r="N2443" s="525" t="str">
        <f>IF(AND('331-CT'!$E$7=TH!H2443,OR(L2443="331",M2443="331")),"331",IF(AND(OR(L2443="131",M2443="131"),H2443='131-CT'!$E$7),"131",""))</f>
        <v/>
      </c>
      <c r="O2443" s="525" t="str">
        <f>IF(AND($B2443&gt;='111'!$N$11,$B2443&lt;='111'!$O$11,OR($L2443=$O$7,$M2443=$O$7)),"x","")</f>
        <v/>
      </c>
      <c r="P2443" s="525" t="str">
        <f>IF(AND($L2443=$O$7,$B2443&lt;'111'!$N$11),"x","")</f>
        <v/>
      </c>
      <c r="Q2443" s="525" t="str">
        <f>IF(AND($M2443=$O$7,$B2443&lt;'111'!$N$11),"x","")</f>
        <v/>
      </c>
      <c r="R2443" s="525" t="str">
        <f>IF(ISERROR(FIND('112'!$M$9,G2443,1)),"",IF((AND(FIND('112'!$M$9,G2443,1)&gt;=1,$B2443&gt;='112'!$N$8,$B2443&lt;='112'!$O$8,OR($L2443='112'!$I$6,$M2443='112'!$I$6))),"x",""))</f>
        <v/>
      </c>
      <c r="S2443" s="525" t="str">
        <f>IF(ISERROR(FIND('112'!$M$9,G2443,1)),"",IF((AND(LEFT(G2443,2)=LEFT('112'!$M$9,2),B2443&lt;'112'!$N$8,$L2443='112'!$I$6)),"x",""))</f>
        <v/>
      </c>
      <c r="T2443" s="525" t="str">
        <f>IF(ISERROR(FIND('112'!$M$9,G2443,1)),"",IF((AND(RIGHT(G2443,2)=RIGHT('112'!$M$9,2),B2443&lt;'112'!$N$8,$M2443='112'!$I$6)),"x",""))</f>
        <v/>
      </c>
      <c r="U2443" s="525" t="str">
        <f>IF(AND(B2443&gt;='IN-NX'!$P$3,B2443&lt;='IN-NX'!$Q$3,'IN-NX'!$D$7=D2443,OR(LEFT(L2443,2)="15",AND(LEFT(M2443,2)&lt;&gt;"15",LEFT(M2443,2)&lt;&gt;"33"))),"x","")</f>
        <v/>
      </c>
      <c r="V2443" s="525" t="str">
        <f>IF(AND(OR(LEFT(TH!L2443,2)="15",LEFT(TH!M2443,2)="15"),'152-CT'!$J$8=TH!F2443),"x","")</f>
        <v/>
      </c>
      <c r="W2443" s="525" t="str">
        <f>IF(AND(OR(LEFT(TH!L2443,2)="15",LEFT(TH!M2443,2)="15"),TK!$E$7=TH!F2443),"x","")</f>
        <v/>
      </c>
      <c r="X2443" s="525" t="str">
        <f>IF(AND('341-CT'!$E$9=H2443,OR(LEFT(L2443,3)=$X$7,LEFT(M2443,3)=$X$7)),"x","")</f>
        <v/>
      </c>
      <c r="Y2443" s="525" t="str">
        <f>IF(OR(TH!L2443=TH!$Y$7,M2443=TH!$Y$7),"x","")</f>
        <v/>
      </c>
      <c r="Z2443" s="525" t="str">
        <f>IF(AND(B2443&lt;=NKC!$N$8,B2443&gt;=NKC!$M$8),"x","")</f>
        <v/>
      </c>
      <c r="AA2443" s="535">
        <v>2</v>
      </c>
      <c r="AB2443" s="536"/>
    </row>
    <row r="2444" spans="1:28" s="503" customFormat="1" ht="15.75" customHeight="1">
      <c r="A2444" s="517" t="str">
        <f>IF(B2444&lt;&gt;"",IF(AND(B2444&gt;=_TM1,B2444&lt;=_TM2,OR(TH!L2444="1111",TH!M2444="1111")),TH!D2444,""),"")</f>
        <v/>
      </c>
      <c r="B2444" s="531">
        <f t="shared" si="220"/>
        <v>5</v>
      </c>
      <c r="C2444" s="315">
        <f t="shared" si="221"/>
        <v>42861</v>
      </c>
      <c r="D2444" s="315" t="s">
        <v>992</v>
      </c>
      <c r="E2444" s="315">
        <v>42861</v>
      </c>
      <c r="F2444" s="249" t="s">
        <v>1049</v>
      </c>
      <c r="G2444" s="314" t="s">
        <v>1144</v>
      </c>
      <c r="H2444" s="473" t="s">
        <v>1142</v>
      </c>
      <c r="I2444" s="307">
        <v>12</v>
      </c>
      <c r="J2444" s="307">
        <v>24270</v>
      </c>
      <c r="K2444" s="532">
        <f t="shared" si="219"/>
        <v>291240</v>
      </c>
      <c r="L2444" s="534" t="s">
        <v>292</v>
      </c>
      <c r="M2444" s="534" t="s">
        <v>8</v>
      </c>
      <c r="N2444" s="525" t="str">
        <f>IF(AND('331-CT'!$E$7=TH!H2444,OR(L2444="331",M2444="331")),"331",IF(AND(OR(L2444="131",M2444="131"),H2444='131-CT'!$E$7),"131",""))</f>
        <v/>
      </c>
      <c r="O2444" s="525" t="str">
        <f>IF(AND($B2444&gt;='111'!$N$11,$B2444&lt;='111'!$O$11,OR($L2444=$O$7,$M2444=$O$7)),"x","")</f>
        <v/>
      </c>
      <c r="P2444" s="525" t="str">
        <f>IF(AND($L2444=$O$7,$B2444&lt;'111'!$N$11),"x","")</f>
        <v/>
      </c>
      <c r="Q2444" s="525" t="str">
        <f>IF(AND($M2444=$O$7,$B2444&lt;'111'!$N$11),"x","")</f>
        <v/>
      </c>
      <c r="R2444" s="525" t="str">
        <f>IF(ISERROR(FIND('112'!$M$9,G2444,1)),"",IF((AND(FIND('112'!$M$9,G2444,1)&gt;=1,$B2444&gt;='112'!$N$8,$B2444&lt;='112'!$O$8,OR($L2444='112'!$I$6,$M2444='112'!$I$6))),"x",""))</f>
        <v/>
      </c>
      <c r="S2444" s="525" t="str">
        <f>IF(ISERROR(FIND('112'!$M$9,G2444,1)),"",IF((AND(LEFT(G2444,2)=LEFT('112'!$M$9,2),B2444&lt;'112'!$N$8,$L2444='112'!$I$6)),"x",""))</f>
        <v/>
      </c>
      <c r="T2444" s="525" t="str">
        <f>IF(ISERROR(FIND('112'!$M$9,G2444,1)),"",IF((AND(RIGHT(G2444,2)=RIGHT('112'!$M$9,2),B2444&lt;'112'!$N$8,$M2444='112'!$I$6)),"x",""))</f>
        <v/>
      </c>
      <c r="U2444" s="525" t="str">
        <f>IF(AND(B2444&gt;='IN-NX'!$P$3,B2444&lt;='IN-NX'!$Q$3,'IN-NX'!$D$7=D2444,OR(LEFT(L2444,2)="15",AND(LEFT(M2444,2)&lt;&gt;"15",LEFT(M2444,2)&lt;&gt;"33"))),"x","")</f>
        <v/>
      </c>
      <c r="V2444" s="525" t="str">
        <f>IF(AND(OR(LEFT(TH!L2444,2)="15",LEFT(TH!M2444,2)="15"),'152-CT'!$J$8=TH!F2444),"x","")</f>
        <v/>
      </c>
      <c r="W2444" s="525" t="str">
        <f>IF(AND(OR(LEFT(TH!L2444,2)="15",LEFT(TH!M2444,2)="15"),TK!$E$7=TH!F2444),"x","")</f>
        <v/>
      </c>
      <c r="X2444" s="525" t="str">
        <f>IF(AND('341-CT'!$E$9=H2444,OR(LEFT(L2444,3)=$X$7,LEFT(M2444,3)=$X$7)),"x","")</f>
        <v/>
      </c>
      <c r="Y2444" s="525" t="str">
        <f>IF(OR(TH!L2444=TH!$Y$7,M2444=TH!$Y$7),"x","")</f>
        <v/>
      </c>
      <c r="Z2444" s="525" t="str">
        <f>IF(AND(B2444&lt;=NKC!$N$8,B2444&gt;=NKC!$M$8),"x","")</f>
        <v/>
      </c>
      <c r="AA2444" s="535">
        <v>2</v>
      </c>
      <c r="AB2444" s="536"/>
    </row>
    <row r="2445" spans="1:28" s="503" customFormat="1" ht="15.75" customHeight="1">
      <c r="A2445" s="517" t="str">
        <f>IF(B2445&lt;&gt;"",IF(AND(B2445&gt;=_TM1,B2445&lt;=_TM2,OR(TH!L2445="1111",TH!M2445="1111")),TH!D2445,""),"")</f>
        <v/>
      </c>
      <c r="B2445" s="531">
        <f t="shared" si="220"/>
        <v>5</v>
      </c>
      <c r="C2445" s="315">
        <f t="shared" si="221"/>
        <v>42861</v>
      </c>
      <c r="D2445" s="315" t="s">
        <v>992</v>
      </c>
      <c r="E2445" s="315">
        <v>42861</v>
      </c>
      <c r="F2445" s="249" t="s">
        <v>728</v>
      </c>
      <c r="G2445" s="314" t="s">
        <v>1144</v>
      </c>
      <c r="H2445" s="473" t="s">
        <v>1142</v>
      </c>
      <c r="I2445" s="307">
        <v>60</v>
      </c>
      <c r="J2445" s="307">
        <v>20310</v>
      </c>
      <c r="K2445" s="532">
        <f t="shared" si="219"/>
        <v>1218600</v>
      </c>
      <c r="L2445" s="534" t="s">
        <v>292</v>
      </c>
      <c r="M2445" s="534" t="s">
        <v>8</v>
      </c>
      <c r="N2445" s="525" t="str">
        <f>IF(AND('331-CT'!$E$7=TH!H2445,OR(L2445="331",M2445="331")),"331",IF(AND(OR(L2445="131",M2445="131"),H2445='131-CT'!$E$7),"131",""))</f>
        <v/>
      </c>
      <c r="O2445" s="525" t="str">
        <f>IF(AND($B2445&gt;='111'!$N$11,$B2445&lt;='111'!$O$11,OR($L2445=$O$7,$M2445=$O$7)),"x","")</f>
        <v/>
      </c>
      <c r="P2445" s="525" t="str">
        <f>IF(AND($L2445=$O$7,$B2445&lt;'111'!$N$11),"x","")</f>
        <v/>
      </c>
      <c r="Q2445" s="525" t="str">
        <f>IF(AND($M2445=$O$7,$B2445&lt;'111'!$N$11),"x","")</f>
        <v/>
      </c>
      <c r="R2445" s="525" t="str">
        <f>IF(ISERROR(FIND('112'!$M$9,G2445,1)),"",IF((AND(FIND('112'!$M$9,G2445,1)&gt;=1,$B2445&gt;='112'!$N$8,$B2445&lt;='112'!$O$8,OR($L2445='112'!$I$6,$M2445='112'!$I$6))),"x",""))</f>
        <v/>
      </c>
      <c r="S2445" s="525" t="str">
        <f>IF(ISERROR(FIND('112'!$M$9,G2445,1)),"",IF((AND(LEFT(G2445,2)=LEFT('112'!$M$9,2),B2445&lt;'112'!$N$8,$L2445='112'!$I$6)),"x",""))</f>
        <v/>
      </c>
      <c r="T2445" s="525" t="str">
        <f>IF(ISERROR(FIND('112'!$M$9,G2445,1)),"",IF((AND(RIGHT(G2445,2)=RIGHT('112'!$M$9,2),B2445&lt;'112'!$N$8,$M2445='112'!$I$6)),"x",""))</f>
        <v/>
      </c>
      <c r="U2445" s="525" t="str">
        <f>IF(AND(B2445&gt;='IN-NX'!$P$3,B2445&lt;='IN-NX'!$Q$3,'IN-NX'!$D$7=D2445,OR(LEFT(L2445,2)="15",AND(LEFT(M2445,2)&lt;&gt;"15",LEFT(M2445,2)&lt;&gt;"33"))),"x","")</f>
        <v/>
      </c>
      <c r="V2445" s="525" t="str">
        <f>IF(AND(OR(LEFT(TH!L2445,2)="15",LEFT(TH!M2445,2)="15"),'152-CT'!$J$8=TH!F2445),"x","")</f>
        <v/>
      </c>
      <c r="W2445" s="525" t="str">
        <f>IF(AND(OR(LEFT(TH!L2445,2)="15",LEFT(TH!M2445,2)="15"),TK!$E$7=TH!F2445),"x","")</f>
        <v/>
      </c>
      <c r="X2445" s="525" t="str">
        <f>IF(AND('341-CT'!$E$9=H2445,OR(LEFT(L2445,3)=$X$7,LEFT(M2445,3)=$X$7)),"x","")</f>
        <v/>
      </c>
      <c r="Y2445" s="525" t="str">
        <f>IF(OR(TH!L2445=TH!$Y$7,M2445=TH!$Y$7),"x","")</f>
        <v/>
      </c>
      <c r="Z2445" s="525" t="str">
        <f>IF(AND(B2445&lt;=NKC!$N$8,B2445&gt;=NKC!$M$8),"x","")</f>
        <v/>
      </c>
      <c r="AA2445" s="535">
        <v>2</v>
      </c>
      <c r="AB2445" s="536"/>
    </row>
    <row r="2446" spans="1:28" s="503" customFormat="1" ht="15.75" customHeight="1">
      <c r="A2446" s="517" t="str">
        <f>IF(B2446&lt;&gt;"",IF(AND(B2446&gt;=_TM1,B2446&lt;=_TM2,OR(TH!L2446="1111",TH!M2446="1111")),TH!D2446,""),"")</f>
        <v/>
      </c>
      <c r="B2446" s="531">
        <f t="shared" si="220"/>
        <v>5</v>
      </c>
      <c r="C2446" s="315">
        <f t="shared" si="221"/>
        <v>42861</v>
      </c>
      <c r="D2446" s="315" t="s">
        <v>993</v>
      </c>
      <c r="E2446" s="315">
        <v>42861</v>
      </c>
      <c r="F2446" s="249" t="s">
        <v>1166</v>
      </c>
      <c r="G2446" s="314" t="s">
        <v>1144</v>
      </c>
      <c r="H2446" s="473" t="s">
        <v>1142</v>
      </c>
      <c r="I2446" s="307">
        <v>12</v>
      </c>
      <c r="J2446" s="307">
        <v>13010</v>
      </c>
      <c r="K2446" s="532">
        <f t="shared" si="219"/>
        <v>156120</v>
      </c>
      <c r="L2446" s="534" t="s">
        <v>292</v>
      </c>
      <c r="M2446" s="534" t="s">
        <v>8</v>
      </c>
      <c r="N2446" s="525" t="str">
        <f>IF(AND('331-CT'!$E$7=TH!H2446,OR(L2446="331",M2446="331")),"331",IF(AND(OR(L2446="131",M2446="131"),H2446='131-CT'!$E$7),"131",""))</f>
        <v/>
      </c>
      <c r="O2446" s="525" t="str">
        <f>IF(AND($B2446&gt;='111'!$N$11,$B2446&lt;='111'!$O$11,OR($L2446=$O$7,$M2446=$O$7)),"x","")</f>
        <v/>
      </c>
      <c r="P2446" s="525" t="str">
        <f>IF(AND($L2446=$O$7,$B2446&lt;'111'!$N$11),"x","")</f>
        <v/>
      </c>
      <c r="Q2446" s="525" t="str">
        <f>IF(AND($M2446=$O$7,$B2446&lt;'111'!$N$11),"x","")</f>
        <v/>
      </c>
      <c r="R2446" s="525" t="str">
        <f>IF(ISERROR(FIND('112'!$M$9,G2446,1)),"",IF((AND(FIND('112'!$M$9,G2446,1)&gt;=1,$B2446&gt;='112'!$N$8,$B2446&lt;='112'!$O$8,OR($L2446='112'!$I$6,$M2446='112'!$I$6))),"x",""))</f>
        <v/>
      </c>
      <c r="S2446" s="525" t="str">
        <f>IF(ISERROR(FIND('112'!$M$9,G2446,1)),"",IF((AND(LEFT(G2446,2)=LEFT('112'!$M$9,2),B2446&lt;'112'!$N$8,$L2446='112'!$I$6)),"x",""))</f>
        <v/>
      </c>
      <c r="T2446" s="525" t="str">
        <f>IF(ISERROR(FIND('112'!$M$9,G2446,1)),"",IF((AND(RIGHT(G2446,2)=RIGHT('112'!$M$9,2),B2446&lt;'112'!$N$8,$M2446='112'!$I$6)),"x",""))</f>
        <v/>
      </c>
      <c r="U2446" s="525" t="str">
        <f>IF(AND(B2446&gt;='IN-NX'!$P$3,B2446&lt;='IN-NX'!$Q$3,'IN-NX'!$D$7=D2446,OR(LEFT(L2446,2)="15",AND(LEFT(M2446,2)&lt;&gt;"15",LEFT(M2446,2)&lt;&gt;"33"))),"x","")</f>
        <v/>
      </c>
      <c r="V2446" s="525" t="str">
        <f>IF(AND(OR(LEFT(TH!L2446,2)="15",LEFT(TH!M2446,2)="15"),'152-CT'!$J$8=TH!F2446),"x","")</f>
        <v/>
      </c>
      <c r="W2446" s="525" t="str">
        <f>IF(AND(OR(LEFT(TH!L2446,2)="15",LEFT(TH!M2446,2)="15"),TK!$E$7=TH!F2446),"x","")</f>
        <v/>
      </c>
      <c r="X2446" s="525" t="str">
        <f>IF(AND('341-CT'!$E$9=H2446,OR(LEFT(L2446,3)=$X$7,LEFT(M2446,3)=$X$7)),"x","")</f>
        <v/>
      </c>
      <c r="Y2446" s="525" t="str">
        <f>IF(OR(TH!L2446=TH!$Y$7,M2446=TH!$Y$7),"x","")</f>
        <v/>
      </c>
      <c r="Z2446" s="525" t="str">
        <f>IF(AND(B2446&lt;=NKC!$N$8,B2446&gt;=NKC!$M$8),"x","")</f>
        <v/>
      </c>
      <c r="AA2446" s="535">
        <v>2</v>
      </c>
      <c r="AB2446" s="536"/>
    </row>
    <row r="2447" spans="1:28" s="503" customFormat="1" ht="15.75" customHeight="1">
      <c r="A2447" s="517" t="str">
        <f>IF(B2447&lt;&gt;"",IF(AND(B2447&gt;=_TM1,B2447&lt;=_TM2,OR(TH!L2447="1111",TH!M2447="1111")),TH!D2447,""),"")</f>
        <v/>
      </c>
      <c r="B2447" s="531">
        <f t="shared" si="220"/>
        <v>5</v>
      </c>
      <c r="C2447" s="315">
        <f t="shared" si="221"/>
        <v>42861</v>
      </c>
      <c r="D2447" s="315" t="s">
        <v>993</v>
      </c>
      <c r="E2447" s="315">
        <v>42861</v>
      </c>
      <c r="F2447" s="249" t="s">
        <v>673</v>
      </c>
      <c r="G2447" s="314" t="s">
        <v>1144</v>
      </c>
      <c r="H2447" s="473" t="s">
        <v>1142</v>
      </c>
      <c r="I2447" s="307">
        <v>12</v>
      </c>
      <c r="J2447" s="307">
        <v>18840</v>
      </c>
      <c r="K2447" s="532">
        <f t="shared" si="219"/>
        <v>226080</v>
      </c>
      <c r="L2447" s="534" t="s">
        <v>292</v>
      </c>
      <c r="M2447" s="534" t="s">
        <v>8</v>
      </c>
      <c r="N2447" s="525" t="str">
        <f>IF(AND('331-CT'!$E$7=TH!H2447,OR(L2447="331",M2447="331")),"331",IF(AND(OR(L2447="131",M2447="131"),H2447='131-CT'!$E$7),"131",""))</f>
        <v/>
      </c>
      <c r="O2447" s="525" t="str">
        <f>IF(AND($B2447&gt;='111'!$N$11,$B2447&lt;='111'!$O$11,OR($L2447=$O$7,$M2447=$O$7)),"x","")</f>
        <v/>
      </c>
      <c r="P2447" s="525" t="str">
        <f>IF(AND($L2447=$O$7,$B2447&lt;'111'!$N$11),"x","")</f>
        <v/>
      </c>
      <c r="Q2447" s="525" t="str">
        <f>IF(AND($M2447=$O$7,$B2447&lt;'111'!$N$11),"x","")</f>
        <v/>
      </c>
      <c r="R2447" s="525" t="str">
        <f>IF(ISERROR(FIND('112'!$M$9,G2447,1)),"",IF((AND(FIND('112'!$M$9,G2447,1)&gt;=1,$B2447&gt;='112'!$N$8,$B2447&lt;='112'!$O$8,OR($L2447='112'!$I$6,$M2447='112'!$I$6))),"x",""))</f>
        <v/>
      </c>
      <c r="S2447" s="525" t="str">
        <f>IF(ISERROR(FIND('112'!$M$9,G2447,1)),"",IF((AND(LEFT(G2447,2)=LEFT('112'!$M$9,2),B2447&lt;'112'!$N$8,$L2447='112'!$I$6)),"x",""))</f>
        <v/>
      </c>
      <c r="T2447" s="525" t="str">
        <f>IF(ISERROR(FIND('112'!$M$9,G2447,1)),"",IF((AND(RIGHT(G2447,2)=RIGHT('112'!$M$9,2),B2447&lt;'112'!$N$8,$M2447='112'!$I$6)),"x",""))</f>
        <v/>
      </c>
      <c r="U2447" s="525" t="str">
        <f>IF(AND(B2447&gt;='IN-NX'!$P$3,B2447&lt;='IN-NX'!$Q$3,'IN-NX'!$D$7=D2447,OR(LEFT(L2447,2)="15",AND(LEFT(M2447,2)&lt;&gt;"15",LEFT(M2447,2)&lt;&gt;"33"))),"x","")</f>
        <v/>
      </c>
      <c r="V2447" s="525" t="str">
        <f>IF(AND(OR(LEFT(TH!L2447,2)="15",LEFT(TH!M2447,2)="15"),'152-CT'!$J$8=TH!F2447),"x","")</f>
        <v/>
      </c>
      <c r="W2447" s="525" t="str">
        <f>IF(AND(OR(LEFT(TH!L2447,2)="15",LEFT(TH!M2447,2)="15"),TK!$E$7=TH!F2447),"x","")</f>
        <v/>
      </c>
      <c r="X2447" s="525" t="str">
        <f>IF(AND('341-CT'!$E$9=H2447,OR(LEFT(L2447,3)=$X$7,LEFT(M2447,3)=$X$7)),"x","")</f>
        <v/>
      </c>
      <c r="Y2447" s="525" t="str">
        <f>IF(OR(TH!L2447=TH!$Y$7,M2447=TH!$Y$7),"x","")</f>
        <v/>
      </c>
      <c r="Z2447" s="525" t="str">
        <f>IF(AND(B2447&lt;=NKC!$N$8,B2447&gt;=NKC!$M$8),"x","")</f>
        <v/>
      </c>
      <c r="AA2447" s="535">
        <v>2</v>
      </c>
      <c r="AB2447" s="536"/>
    </row>
    <row r="2448" spans="1:28" s="503" customFormat="1" ht="15.75" customHeight="1">
      <c r="A2448" s="517" t="str">
        <f>IF(B2448&lt;&gt;"",IF(AND(B2448&gt;=_TM1,B2448&lt;=_TM2,OR(TH!L2448="1111",TH!M2448="1111")),TH!D2448,""),"")</f>
        <v/>
      </c>
      <c r="B2448" s="531">
        <f t="shared" si="220"/>
        <v>5</v>
      </c>
      <c r="C2448" s="315">
        <f t="shared" si="221"/>
        <v>42861</v>
      </c>
      <c r="D2448" s="315" t="s">
        <v>993</v>
      </c>
      <c r="E2448" s="315">
        <v>42861</v>
      </c>
      <c r="F2448" s="249" t="s">
        <v>723</v>
      </c>
      <c r="G2448" s="314" t="s">
        <v>1144</v>
      </c>
      <c r="H2448" s="473" t="s">
        <v>1142</v>
      </c>
      <c r="I2448" s="307">
        <v>60</v>
      </c>
      <c r="J2448" s="307">
        <v>10670</v>
      </c>
      <c r="K2448" s="532">
        <f t="shared" si="219"/>
        <v>640200</v>
      </c>
      <c r="L2448" s="534" t="s">
        <v>292</v>
      </c>
      <c r="M2448" s="534" t="s">
        <v>8</v>
      </c>
      <c r="N2448" s="525" t="str">
        <f>IF(AND('331-CT'!$E$7=TH!H2448,OR(L2448="331",M2448="331")),"331",IF(AND(OR(L2448="131",M2448="131"),H2448='131-CT'!$E$7),"131",""))</f>
        <v/>
      </c>
      <c r="O2448" s="525" t="str">
        <f>IF(AND($B2448&gt;='111'!$N$11,$B2448&lt;='111'!$O$11,OR($L2448=$O$7,$M2448=$O$7)),"x","")</f>
        <v/>
      </c>
      <c r="P2448" s="525" t="str">
        <f>IF(AND($L2448=$O$7,$B2448&lt;'111'!$N$11),"x","")</f>
        <v/>
      </c>
      <c r="Q2448" s="525" t="str">
        <f>IF(AND($M2448=$O$7,$B2448&lt;'111'!$N$11),"x","")</f>
        <v/>
      </c>
      <c r="R2448" s="525" t="str">
        <f>IF(ISERROR(FIND('112'!$M$9,G2448,1)),"",IF((AND(FIND('112'!$M$9,G2448,1)&gt;=1,$B2448&gt;='112'!$N$8,$B2448&lt;='112'!$O$8,OR($L2448='112'!$I$6,$M2448='112'!$I$6))),"x",""))</f>
        <v/>
      </c>
      <c r="S2448" s="525" t="str">
        <f>IF(ISERROR(FIND('112'!$M$9,G2448,1)),"",IF((AND(LEFT(G2448,2)=LEFT('112'!$M$9,2),B2448&lt;'112'!$N$8,$L2448='112'!$I$6)),"x",""))</f>
        <v/>
      </c>
      <c r="T2448" s="525" t="str">
        <f>IF(ISERROR(FIND('112'!$M$9,G2448,1)),"",IF((AND(RIGHT(G2448,2)=RIGHT('112'!$M$9,2),B2448&lt;'112'!$N$8,$M2448='112'!$I$6)),"x",""))</f>
        <v/>
      </c>
      <c r="U2448" s="525" t="str">
        <f>IF(AND(B2448&gt;='IN-NX'!$P$3,B2448&lt;='IN-NX'!$Q$3,'IN-NX'!$D$7=D2448,OR(LEFT(L2448,2)="15",AND(LEFT(M2448,2)&lt;&gt;"15",LEFT(M2448,2)&lt;&gt;"33"))),"x","")</f>
        <v/>
      </c>
      <c r="V2448" s="525" t="str">
        <f>IF(AND(OR(LEFT(TH!L2448,2)="15",LEFT(TH!M2448,2)="15"),'152-CT'!$J$8=TH!F2448),"x","")</f>
        <v/>
      </c>
      <c r="W2448" s="525" t="str">
        <f>IF(AND(OR(LEFT(TH!L2448,2)="15",LEFT(TH!M2448,2)="15"),TK!$E$7=TH!F2448),"x","")</f>
        <v/>
      </c>
      <c r="X2448" s="525" t="str">
        <f>IF(AND('341-CT'!$E$9=H2448,OR(LEFT(L2448,3)=$X$7,LEFT(M2448,3)=$X$7)),"x","")</f>
        <v/>
      </c>
      <c r="Y2448" s="525" t="str">
        <f>IF(OR(TH!L2448=TH!$Y$7,M2448=TH!$Y$7),"x","")</f>
        <v/>
      </c>
      <c r="Z2448" s="525" t="str">
        <f>IF(AND(B2448&lt;=NKC!$N$8,B2448&gt;=NKC!$M$8),"x","")</f>
        <v/>
      </c>
      <c r="AA2448" s="535">
        <v>2</v>
      </c>
      <c r="AB2448" s="536"/>
    </row>
    <row r="2449" spans="1:28" s="503" customFormat="1" ht="15.75" customHeight="1">
      <c r="A2449" s="517" t="str">
        <f>IF(B2449&lt;&gt;"",IF(AND(B2449&gt;=_TM1,B2449&lt;=_TM2,OR(TH!L2449="1111",TH!M2449="1111")),TH!D2449,""),"")</f>
        <v/>
      </c>
      <c r="B2449" s="531">
        <f t="shared" si="220"/>
        <v>5</v>
      </c>
      <c r="C2449" s="315">
        <f t="shared" si="221"/>
        <v>42861</v>
      </c>
      <c r="D2449" s="315" t="s">
        <v>993</v>
      </c>
      <c r="E2449" s="315">
        <v>42861</v>
      </c>
      <c r="F2449" s="249" t="s">
        <v>1167</v>
      </c>
      <c r="G2449" s="314" t="s">
        <v>1144</v>
      </c>
      <c r="H2449" s="473" t="s">
        <v>1142</v>
      </c>
      <c r="I2449" s="307">
        <v>36</v>
      </c>
      <c r="J2449" s="307">
        <v>8380</v>
      </c>
      <c r="K2449" s="532">
        <f t="shared" si="219"/>
        <v>301680</v>
      </c>
      <c r="L2449" s="534" t="s">
        <v>292</v>
      </c>
      <c r="M2449" s="534" t="s">
        <v>8</v>
      </c>
      <c r="N2449" s="525" t="str">
        <f>IF(AND('331-CT'!$E$7=TH!H2449,OR(L2449="331",M2449="331")),"331",IF(AND(OR(L2449="131",M2449="131"),H2449='131-CT'!$E$7),"131",""))</f>
        <v/>
      </c>
      <c r="O2449" s="525" t="str">
        <f>IF(AND($B2449&gt;='111'!$N$11,$B2449&lt;='111'!$O$11,OR($L2449=$O$7,$M2449=$O$7)),"x","")</f>
        <v/>
      </c>
      <c r="P2449" s="525" t="str">
        <f>IF(AND($L2449=$O$7,$B2449&lt;'111'!$N$11),"x","")</f>
        <v/>
      </c>
      <c r="Q2449" s="525" t="str">
        <f>IF(AND($M2449=$O$7,$B2449&lt;'111'!$N$11),"x","")</f>
        <v/>
      </c>
      <c r="R2449" s="525" t="str">
        <f>IF(ISERROR(FIND('112'!$M$9,G2449,1)),"",IF((AND(FIND('112'!$M$9,G2449,1)&gt;=1,$B2449&gt;='112'!$N$8,$B2449&lt;='112'!$O$8,OR($L2449='112'!$I$6,$M2449='112'!$I$6))),"x",""))</f>
        <v/>
      </c>
      <c r="S2449" s="525" t="str">
        <f>IF(ISERROR(FIND('112'!$M$9,G2449,1)),"",IF((AND(LEFT(G2449,2)=LEFT('112'!$M$9,2),B2449&lt;'112'!$N$8,$L2449='112'!$I$6)),"x",""))</f>
        <v/>
      </c>
      <c r="T2449" s="525" t="str">
        <f>IF(ISERROR(FIND('112'!$M$9,G2449,1)),"",IF((AND(RIGHT(G2449,2)=RIGHT('112'!$M$9,2),B2449&lt;'112'!$N$8,$M2449='112'!$I$6)),"x",""))</f>
        <v/>
      </c>
      <c r="U2449" s="525" t="str">
        <f>IF(AND(B2449&gt;='IN-NX'!$P$3,B2449&lt;='IN-NX'!$Q$3,'IN-NX'!$D$7=D2449,OR(LEFT(L2449,2)="15",AND(LEFT(M2449,2)&lt;&gt;"15",LEFT(M2449,2)&lt;&gt;"33"))),"x","")</f>
        <v/>
      </c>
      <c r="V2449" s="525" t="str">
        <f>IF(AND(OR(LEFT(TH!L2449,2)="15",LEFT(TH!M2449,2)="15"),'152-CT'!$J$8=TH!F2449),"x","")</f>
        <v/>
      </c>
      <c r="W2449" s="525" t="str">
        <f>IF(AND(OR(LEFT(TH!L2449,2)="15",LEFT(TH!M2449,2)="15"),TK!$E$7=TH!F2449),"x","")</f>
        <v/>
      </c>
      <c r="X2449" s="525" t="str">
        <f>IF(AND('341-CT'!$E$9=H2449,OR(LEFT(L2449,3)=$X$7,LEFT(M2449,3)=$X$7)),"x","")</f>
        <v/>
      </c>
      <c r="Y2449" s="525" t="str">
        <f>IF(OR(TH!L2449=TH!$Y$7,M2449=TH!$Y$7),"x","")</f>
        <v/>
      </c>
      <c r="Z2449" s="525" t="str">
        <f>IF(AND(B2449&lt;=NKC!$N$8,B2449&gt;=NKC!$M$8),"x","")</f>
        <v/>
      </c>
      <c r="AA2449" s="535">
        <v>2</v>
      </c>
      <c r="AB2449" s="536"/>
    </row>
    <row r="2450" spans="1:28" s="503" customFormat="1" ht="15.75" customHeight="1">
      <c r="A2450" s="517" t="str">
        <f>IF(B2450&lt;&gt;"",IF(AND(B2450&gt;=_TM1,B2450&lt;=_TM2,OR(TH!L2450="1111",TH!M2450="1111")),TH!D2450,""),"")</f>
        <v/>
      </c>
      <c r="B2450" s="531">
        <f t="shared" si="220"/>
        <v>5</v>
      </c>
      <c r="C2450" s="315">
        <f t="shared" si="221"/>
        <v>42861</v>
      </c>
      <c r="D2450" s="315" t="s">
        <v>993</v>
      </c>
      <c r="E2450" s="315">
        <v>42861</v>
      </c>
      <c r="F2450" s="249" t="s">
        <v>1047</v>
      </c>
      <c r="G2450" s="314" t="s">
        <v>1144</v>
      </c>
      <c r="H2450" s="473" t="s">
        <v>1142</v>
      </c>
      <c r="I2450" s="307">
        <v>4</v>
      </c>
      <c r="J2450" s="307">
        <v>40170</v>
      </c>
      <c r="K2450" s="532">
        <f t="shared" si="219"/>
        <v>160680</v>
      </c>
      <c r="L2450" s="534" t="s">
        <v>292</v>
      </c>
      <c r="M2450" s="534" t="s">
        <v>8</v>
      </c>
      <c r="N2450" s="525" t="str">
        <f>IF(AND('331-CT'!$E$7=TH!H2450,OR(L2450="331",M2450="331")),"331",IF(AND(OR(L2450="131",M2450="131"),H2450='131-CT'!$E$7),"131",""))</f>
        <v/>
      </c>
      <c r="O2450" s="525" t="str">
        <f>IF(AND($B2450&gt;='111'!$N$11,$B2450&lt;='111'!$O$11,OR($L2450=$O$7,$M2450=$O$7)),"x","")</f>
        <v/>
      </c>
      <c r="P2450" s="525" t="str">
        <f>IF(AND($L2450=$O$7,$B2450&lt;'111'!$N$11),"x","")</f>
        <v/>
      </c>
      <c r="Q2450" s="525" t="str">
        <f>IF(AND($M2450=$O$7,$B2450&lt;'111'!$N$11),"x","")</f>
        <v/>
      </c>
      <c r="R2450" s="525" t="str">
        <f>IF(ISERROR(FIND('112'!$M$9,G2450,1)),"",IF((AND(FIND('112'!$M$9,G2450,1)&gt;=1,$B2450&gt;='112'!$N$8,$B2450&lt;='112'!$O$8,OR($L2450='112'!$I$6,$M2450='112'!$I$6))),"x",""))</f>
        <v/>
      </c>
      <c r="S2450" s="525" t="str">
        <f>IF(ISERROR(FIND('112'!$M$9,G2450,1)),"",IF((AND(LEFT(G2450,2)=LEFT('112'!$M$9,2),B2450&lt;'112'!$N$8,$L2450='112'!$I$6)),"x",""))</f>
        <v/>
      </c>
      <c r="T2450" s="525" t="str">
        <f>IF(ISERROR(FIND('112'!$M$9,G2450,1)),"",IF((AND(RIGHT(G2450,2)=RIGHT('112'!$M$9,2),B2450&lt;'112'!$N$8,$M2450='112'!$I$6)),"x",""))</f>
        <v/>
      </c>
      <c r="U2450" s="525" t="str">
        <f>IF(AND(B2450&gt;='IN-NX'!$P$3,B2450&lt;='IN-NX'!$Q$3,'IN-NX'!$D$7=D2450,OR(LEFT(L2450,2)="15",AND(LEFT(M2450,2)&lt;&gt;"15",LEFT(M2450,2)&lt;&gt;"33"))),"x","")</f>
        <v/>
      </c>
      <c r="V2450" s="525" t="str">
        <f>IF(AND(OR(LEFT(TH!L2450,2)="15",LEFT(TH!M2450,2)="15"),'152-CT'!$J$8=TH!F2450),"x","")</f>
        <v/>
      </c>
      <c r="W2450" s="525" t="str">
        <f>IF(AND(OR(LEFT(TH!L2450,2)="15",LEFT(TH!M2450,2)="15"),TK!$E$7=TH!F2450),"x","")</f>
        <v/>
      </c>
      <c r="X2450" s="525" t="str">
        <f>IF(AND('341-CT'!$E$9=H2450,OR(LEFT(L2450,3)=$X$7,LEFT(M2450,3)=$X$7)),"x","")</f>
        <v/>
      </c>
      <c r="Y2450" s="525" t="str">
        <f>IF(OR(TH!L2450=TH!$Y$7,M2450=TH!$Y$7),"x","")</f>
        <v/>
      </c>
      <c r="Z2450" s="525" t="str">
        <f>IF(AND(B2450&lt;=NKC!$N$8,B2450&gt;=NKC!$M$8),"x","")</f>
        <v/>
      </c>
      <c r="AA2450" s="535">
        <v>2</v>
      </c>
      <c r="AB2450" s="536"/>
    </row>
    <row r="2451" spans="1:28" s="503" customFormat="1" ht="15.75" customHeight="1">
      <c r="A2451" s="517" t="str">
        <f>IF(B2451&lt;&gt;"",IF(AND(B2451&gt;=_TM1,B2451&lt;=_TM2,OR(TH!L2451="1111",TH!M2451="1111")),TH!D2451,""),"")</f>
        <v/>
      </c>
      <c r="B2451" s="531">
        <f t="shared" si="220"/>
        <v>5</v>
      </c>
      <c r="C2451" s="315">
        <f t="shared" si="221"/>
        <v>42861</v>
      </c>
      <c r="D2451" s="315" t="s">
        <v>993</v>
      </c>
      <c r="E2451" s="315">
        <v>42861</v>
      </c>
      <c r="F2451" s="249" t="s">
        <v>759</v>
      </c>
      <c r="G2451" s="314" t="s">
        <v>1144</v>
      </c>
      <c r="H2451" s="473" t="s">
        <v>1142</v>
      </c>
      <c r="I2451" s="307">
        <v>30</v>
      </c>
      <c r="J2451" s="307">
        <v>33920</v>
      </c>
      <c r="K2451" s="532">
        <f t="shared" si="219"/>
        <v>1017600</v>
      </c>
      <c r="L2451" s="534" t="s">
        <v>292</v>
      </c>
      <c r="M2451" s="534" t="s">
        <v>8</v>
      </c>
      <c r="N2451" s="525" t="str">
        <f>IF(AND('331-CT'!$E$7=TH!H2451,OR(L2451="331",M2451="331")),"331",IF(AND(OR(L2451="131",M2451="131"),H2451='131-CT'!$E$7),"131",""))</f>
        <v/>
      </c>
      <c r="O2451" s="525" t="str">
        <f>IF(AND($B2451&gt;='111'!$N$11,$B2451&lt;='111'!$O$11,OR($L2451=$O$7,$M2451=$O$7)),"x","")</f>
        <v/>
      </c>
      <c r="P2451" s="525" t="str">
        <f>IF(AND($L2451=$O$7,$B2451&lt;'111'!$N$11),"x","")</f>
        <v/>
      </c>
      <c r="Q2451" s="525" t="str">
        <f>IF(AND($M2451=$O$7,$B2451&lt;'111'!$N$11),"x","")</f>
        <v/>
      </c>
      <c r="R2451" s="525" t="str">
        <f>IF(ISERROR(FIND('112'!$M$9,G2451,1)),"",IF((AND(FIND('112'!$M$9,G2451,1)&gt;=1,$B2451&gt;='112'!$N$8,$B2451&lt;='112'!$O$8,OR($L2451='112'!$I$6,$M2451='112'!$I$6))),"x",""))</f>
        <v/>
      </c>
      <c r="S2451" s="525" t="str">
        <f>IF(ISERROR(FIND('112'!$M$9,G2451,1)),"",IF((AND(LEFT(G2451,2)=LEFT('112'!$M$9,2),B2451&lt;'112'!$N$8,$L2451='112'!$I$6)),"x",""))</f>
        <v/>
      </c>
      <c r="T2451" s="525" t="str">
        <f>IF(ISERROR(FIND('112'!$M$9,G2451,1)),"",IF((AND(RIGHT(G2451,2)=RIGHT('112'!$M$9,2),B2451&lt;'112'!$N$8,$M2451='112'!$I$6)),"x",""))</f>
        <v/>
      </c>
      <c r="U2451" s="525" t="str">
        <f>IF(AND(B2451&gt;='IN-NX'!$P$3,B2451&lt;='IN-NX'!$Q$3,'IN-NX'!$D$7=D2451,OR(LEFT(L2451,2)="15",AND(LEFT(M2451,2)&lt;&gt;"15",LEFT(M2451,2)&lt;&gt;"33"))),"x","")</f>
        <v/>
      </c>
      <c r="V2451" s="525" t="str">
        <f>IF(AND(OR(LEFT(TH!L2451,2)="15",LEFT(TH!M2451,2)="15"),'152-CT'!$J$8=TH!F2451),"x","")</f>
        <v/>
      </c>
      <c r="W2451" s="525" t="str">
        <f>IF(AND(OR(LEFT(TH!L2451,2)="15",LEFT(TH!M2451,2)="15"),TK!$E$7=TH!F2451),"x","")</f>
        <v/>
      </c>
      <c r="X2451" s="525" t="str">
        <f>IF(AND('341-CT'!$E$9=H2451,OR(LEFT(L2451,3)=$X$7,LEFT(M2451,3)=$X$7)),"x","")</f>
        <v/>
      </c>
      <c r="Y2451" s="525" t="str">
        <f>IF(OR(TH!L2451=TH!$Y$7,M2451=TH!$Y$7),"x","")</f>
        <v/>
      </c>
      <c r="Z2451" s="525" t="str">
        <f>IF(AND(B2451&lt;=NKC!$N$8,B2451&gt;=NKC!$M$8),"x","")</f>
        <v/>
      </c>
      <c r="AA2451" s="535">
        <v>2</v>
      </c>
      <c r="AB2451" s="536"/>
    </row>
    <row r="2452" spans="1:28" s="503" customFormat="1" ht="15.75" customHeight="1">
      <c r="A2452" s="517" t="str">
        <f>IF(B2452&lt;&gt;"",IF(AND(B2452&gt;=_TM1,B2452&lt;=_TM2,OR(TH!L2452="1111",TH!M2452="1111")),TH!D2452,""),"")</f>
        <v/>
      </c>
      <c r="B2452" s="531">
        <f t="shared" si="220"/>
        <v>5</v>
      </c>
      <c r="C2452" s="315">
        <f t="shared" si="221"/>
        <v>42861</v>
      </c>
      <c r="D2452" s="315" t="s">
        <v>993</v>
      </c>
      <c r="E2452" s="315">
        <v>42861</v>
      </c>
      <c r="F2452" s="249" t="s">
        <v>667</v>
      </c>
      <c r="G2452" s="314" t="s">
        <v>1144</v>
      </c>
      <c r="H2452" s="473" t="s">
        <v>1142</v>
      </c>
      <c r="I2452" s="307">
        <v>40</v>
      </c>
      <c r="J2452" s="307">
        <v>65300</v>
      </c>
      <c r="K2452" s="532">
        <f t="shared" si="219"/>
        <v>2612000</v>
      </c>
      <c r="L2452" s="534" t="s">
        <v>292</v>
      </c>
      <c r="M2452" s="534" t="s">
        <v>8</v>
      </c>
      <c r="N2452" s="525" t="str">
        <f>IF(AND('331-CT'!$E$7=TH!H2452,OR(L2452="331",M2452="331")),"331",IF(AND(OR(L2452="131",M2452="131"),H2452='131-CT'!$E$7),"131",""))</f>
        <v/>
      </c>
      <c r="O2452" s="525" t="str">
        <f>IF(AND($B2452&gt;='111'!$N$11,$B2452&lt;='111'!$O$11,OR($L2452=$O$7,$M2452=$O$7)),"x","")</f>
        <v/>
      </c>
      <c r="P2452" s="525" t="str">
        <f>IF(AND($L2452=$O$7,$B2452&lt;'111'!$N$11),"x","")</f>
        <v/>
      </c>
      <c r="Q2452" s="525" t="str">
        <f>IF(AND($M2452=$O$7,$B2452&lt;'111'!$N$11),"x","")</f>
        <v/>
      </c>
      <c r="R2452" s="525" t="str">
        <f>IF(ISERROR(FIND('112'!$M$9,G2452,1)),"",IF((AND(FIND('112'!$M$9,G2452,1)&gt;=1,$B2452&gt;='112'!$N$8,$B2452&lt;='112'!$O$8,OR($L2452='112'!$I$6,$M2452='112'!$I$6))),"x",""))</f>
        <v/>
      </c>
      <c r="S2452" s="525" t="str">
        <f>IF(ISERROR(FIND('112'!$M$9,G2452,1)),"",IF((AND(LEFT(G2452,2)=LEFT('112'!$M$9,2),B2452&lt;'112'!$N$8,$L2452='112'!$I$6)),"x",""))</f>
        <v/>
      </c>
      <c r="T2452" s="525" t="str">
        <f>IF(ISERROR(FIND('112'!$M$9,G2452,1)),"",IF((AND(RIGHT(G2452,2)=RIGHT('112'!$M$9,2),B2452&lt;'112'!$N$8,$M2452='112'!$I$6)),"x",""))</f>
        <v/>
      </c>
      <c r="U2452" s="525" t="str">
        <f>IF(AND(B2452&gt;='IN-NX'!$P$3,B2452&lt;='IN-NX'!$Q$3,'IN-NX'!$D$7=D2452,OR(LEFT(L2452,2)="15",AND(LEFT(M2452,2)&lt;&gt;"15",LEFT(M2452,2)&lt;&gt;"33"))),"x","")</f>
        <v/>
      </c>
      <c r="V2452" s="525" t="str">
        <f>IF(AND(OR(LEFT(TH!L2452,2)="15",LEFT(TH!M2452,2)="15"),'152-CT'!$J$8=TH!F2452),"x","")</f>
        <v/>
      </c>
      <c r="W2452" s="525" t="str">
        <f>IF(AND(OR(LEFT(TH!L2452,2)="15",LEFT(TH!M2452,2)="15"),TK!$E$7=TH!F2452),"x","")</f>
        <v/>
      </c>
      <c r="X2452" s="525" t="str">
        <f>IF(AND('341-CT'!$E$9=H2452,OR(LEFT(L2452,3)=$X$7,LEFT(M2452,3)=$X$7)),"x","")</f>
        <v/>
      </c>
      <c r="Y2452" s="525" t="str">
        <f>IF(OR(TH!L2452=TH!$Y$7,M2452=TH!$Y$7),"x","")</f>
        <v/>
      </c>
      <c r="Z2452" s="525" t="str">
        <f>IF(AND(B2452&lt;=NKC!$N$8,B2452&gt;=NKC!$M$8),"x","")</f>
        <v/>
      </c>
      <c r="AA2452" s="535">
        <v>2</v>
      </c>
      <c r="AB2452" s="536"/>
    </row>
    <row r="2453" spans="1:28" s="503" customFormat="1" ht="15.75" customHeight="1">
      <c r="A2453" s="517" t="str">
        <f>IF(B2453&lt;&gt;"",IF(AND(B2453&gt;=_TM1,B2453&lt;=_TM2,OR(TH!L2453="1111",TH!M2453="1111")),TH!D2453,""),"")</f>
        <v/>
      </c>
      <c r="B2453" s="531">
        <f t="shared" si="220"/>
        <v>5</v>
      </c>
      <c r="C2453" s="315">
        <f t="shared" si="221"/>
        <v>42861</v>
      </c>
      <c r="D2453" s="315" t="s">
        <v>993</v>
      </c>
      <c r="E2453" s="315">
        <v>42861</v>
      </c>
      <c r="F2453" s="249" t="s">
        <v>1023</v>
      </c>
      <c r="G2453" s="314" t="s">
        <v>1144</v>
      </c>
      <c r="H2453" s="473" t="s">
        <v>1142</v>
      </c>
      <c r="I2453" s="307">
        <v>20</v>
      </c>
      <c r="J2453" s="307">
        <v>82420</v>
      </c>
      <c r="K2453" s="532">
        <f t="shared" si="219"/>
        <v>1648400</v>
      </c>
      <c r="L2453" s="534" t="s">
        <v>292</v>
      </c>
      <c r="M2453" s="534" t="s">
        <v>8</v>
      </c>
      <c r="N2453" s="525" t="str">
        <f>IF(AND('331-CT'!$E$7=TH!H2453,OR(L2453="331",M2453="331")),"331",IF(AND(OR(L2453="131",M2453="131"),H2453='131-CT'!$E$7),"131",""))</f>
        <v/>
      </c>
      <c r="O2453" s="525" t="str">
        <f>IF(AND($B2453&gt;='111'!$N$11,$B2453&lt;='111'!$O$11,OR($L2453=$O$7,$M2453=$O$7)),"x","")</f>
        <v/>
      </c>
      <c r="P2453" s="525" t="str">
        <f>IF(AND($L2453=$O$7,$B2453&lt;'111'!$N$11),"x","")</f>
        <v/>
      </c>
      <c r="Q2453" s="525" t="str">
        <f>IF(AND($M2453=$O$7,$B2453&lt;'111'!$N$11),"x","")</f>
        <v/>
      </c>
      <c r="R2453" s="525" t="str">
        <f>IF(ISERROR(FIND('112'!$M$9,G2453,1)),"",IF((AND(FIND('112'!$M$9,G2453,1)&gt;=1,$B2453&gt;='112'!$N$8,$B2453&lt;='112'!$O$8,OR($L2453='112'!$I$6,$M2453='112'!$I$6))),"x",""))</f>
        <v/>
      </c>
      <c r="S2453" s="525" t="str">
        <f>IF(ISERROR(FIND('112'!$M$9,G2453,1)),"",IF((AND(LEFT(G2453,2)=LEFT('112'!$M$9,2),B2453&lt;'112'!$N$8,$L2453='112'!$I$6)),"x",""))</f>
        <v/>
      </c>
      <c r="T2453" s="525" t="str">
        <f>IF(ISERROR(FIND('112'!$M$9,G2453,1)),"",IF((AND(RIGHT(G2453,2)=RIGHT('112'!$M$9,2),B2453&lt;'112'!$N$8,$M2453='112'!$I$6)),"x",""))</f>
        <v/>
      </c>
      <c r="U2453" s="525" t="str">
        <f>IF(AND(B2453&gt;='IN-NX'!$P$3,B2453&lt;='IN-NX'!$Q$3,'IN-NX'!$D$7=D2453,OR(LEFT(L2453,2)="15",AND(LEFT(M2453,2)&lt;&gt;"15",LEFT(M2453,2)&lt;&gt;"33"))),"x","")</f>
        <v/>
      </c>
      <c r="V2453" s="525" t="str">
        <f>IF(AND(OR(LEFT(TH!L2453,2)="15",LEFT(TH!M2453,2)="15"),'152-CT'!$J$8=TH!F2453),"x","")</f>
        <v/>
      </c>
      <c r="W2453" s="525" t="str">
        <f>IF(AND(OR(LEFT(TH!L2453,2)="15",LEFT(TH!M2453,2)="15"),TK!$E$7=TH!F2453),"x","")</f>
        <v/>
      </c>
      <c r="X2453" s="525" t="str">
        <f>IF(AND('341-CT'!$E$9=H2453,OR(LEFT(L2453,3)=$X$7,LEFT(M2453,3)=$X$7)),"x","")</f>
        <v/>
      </c>
      <c r="Y2453" s="525" t="str">
        <f>IF(OR(TH!L2453=TH!$Y$7,M2453=TH!$Y$7),"x","")</f>
        <v/>
      </c>
      <c r="Z2453" s="525" t="str">
        <f>IF(AND(B2453&lt;=NKC!$N$8,B2453&gt;=NKC!$M$8),"x","")</f>
        <v/>
      </c>
      <c r="AA2453" s="535">
        <v>2</v>
      </c>
      <c r="AB2453" s="536"/>
    </row>
    <row r="2454" spans="1:28" s="503" customFormat="1" ht="15.75" customHeight="1">
      <c r="A2454" s="517" t="str">
        <f>IF(B2454&lt;&gt;"",IF(AND(B2454&gt;=_TM1,B2454&lt;=_TM2,OR(TH!L2454="1111",TH!M2454="1111")),TH!D2454,""),"")</f>
        <v/>
      </c>
      <c r="B2454" s="531">
        <f t="shared" si="220"/>
        <v>5</v>
      </c>
      <c r="C2454" s="315">
        <f t="shared" si="221"/>
        <v>42861</v>
      </c>
      <c r="D2454" s="315" t="s">
        <v>993</v>
      </c>
      <c r="E2454" s="315">
        <v>42861</v>
      </c>
      <c r="F2454" s="249" t="s">
        <v>1002</v>
      </c>
      <c r="G2454" s="314" t="s">
        <v>1144</v>
      </c>
      <c r="H2454" s="473" t="s">
        <v>1142</v>
      </c>
      <c r="I2454" s="307"/>
      <c r="J2454" s="307"/>
      <c r="K2454" s="532">
        <v>4921559</v>
      </c>
      <c r="L2454" s="713" t="s">
        <v>9</v>
      </c>
      <c r="M2454" s="534" t="s">
        <v>8</v>
      </c>
      <c r="N2454" s="525" t="str">
        <f>IF(AND('331-CT'!$E$7=TH!H2454,OR(L2454="331",M2454="331")),"331",IF(AND(OR(L2454="131",M2454="131"),H2454='131-CT'!$E$7),"131",""))</f>
        <v/>
      </c>
      <c r="O2454" s="525" t="str">
        <f>IF(AND($B2454&gt;='111'!$N$11,$B2454&lt;='111'!$O$11,OR($L2454=$O$7,$M2454=$O$7)),"x","")</f>
        <v/>
      </c>
      <c r="P2454" s="525" t="str">
        <f>IF(AND($L2454=$O$7,$B2454&lt;'111'!$N$11),"x","")</f>
        <v/>
      </c>
      <c r="Q2454" s="525" t="str">
        <f>IF(AND($M2454=$O$7,$B2454&lt;'111'!$N$11),"x","")</f>
        <v/>
      </c>
      <c r="R2454" s="525" t="str">
        <f>IF(ISERROR(FIND('112'!$M$9,G2454,1)),"",IF((AND(FIND('112'!$M$9,G2454,1)&gt;=1,$B2454&gt;='112'!$N$8,$B2454&lt;='112'!$O$8,OR($L2454='112'!$I$6,$M2454='112'!$I$6))),"x",""))</f>
        <v/>
      </c>
      <c r="S2454" s="525" t="str">
        <f>IF(ISERROR(FIND('112'!$M$9,G2454,1)),"",IF((AND(LEFT(G2454,2)=LEFT('112'!$M$9,2),B2454&lt;'112'!$N$8,$L2454='112'!$I$6)),"x",""))</f>
        <v/>
      </c>
      <c r="T2454" s="525" t="str">
        <f>IF(ISERROR(FIND('112'!$M$9,G2454,1)),"",IF((AND(RIGHT(G2454,2)=RIGHT('112'!$M$9,2),B2454&lt;'112'!$N$8,$M2454='112'!$I$6)),"x",""))</f>
        <v/>
      </c>
      <c r="U2454" s="525" t="str">
        <f>IF(AND(B2454&gt;='IN-NX'!$P$3,B2454&lt;='IN-NX'!$Q$3,'IN-NX'!$D$7=D2454,OR(LEFT(L2454,2)="15",AND(LEFT(M2454,2)&lt;&gt;"15",LEFT(M2454,2)&lt;&gt;"33"))),"x","")</f>
        <v/>
      </c>
      <c r="V2454" s="525" t="str">
        <f>IF(AND(OR(LEFT(TH!L2454,2)="15",LEFT(TH!M2454,2)="15"),'152-CT'!$J$8=TH!F2454),"x","")</f>
        <v/>
      </c>
      <c r="W2454" s="525" t="str">
        <f>IF(AND(OR(LEFT(TH!L2454,2)="15",LEFT(TH!M2454,2)="15"),TK!$E$7=TH!F2454),"x","")</f>
        <v/>
      </c>
      <c r="X2454" s="525" t="str">
        <f>IF(AND('341-CT'!$E$9=H2454,OR(LEFT(L2454,3)=$X$7,LEFT(M2454,3)=$X$7)),"x","")</f>
        <v/>
      </c>
      <c r="Y2454" s="525" t="str">
        <f>IF(OR(TH!L2454=TH!$Y$7,M2454=TH!$Y$7),"x","")</f>
        <v/>
      </c>
      <c r="Z2454" s="525" t="str">
        <f>IF(AND(B2454&lt;=NKC!$N$8,B2454&gt;=NKC!$M$8),"x","")</f>
        <v/>
      </c>
      <c r="AA2454" s="535">
        <v>2</v>
      </c>
      <c r="AB2454" s="536"/>
    </row>
    <row r="2455" spans="1:28" s="503" customFormat="1" ht="15.75" customHeight="1">
      <c r="A2455" s="517" t="str">
        <f>IF(B2455&lt;&gt;"",IF(AND(B2455&gt;=_TM1,B2455&lt;=_TM2,OR(TH!L2455="1111",TH!M2455="1111")),TH!D2455,""),"")</f>
        <v/>
      </c>
      <c r="B2455" s="531">
        <f t="shared" si="220"/>
        <v>5</v>
      </c>
      <c r="C2455" s="315">
        <f t="shared" si="221"/>
        <v>42872</v>
      </c>
      <c r="D2455" s="315" t="s">
        <v>920</v>
      </c>
      <c r="E2455" s="315">
        <v>42872</v>
      </c>
      <c r="F2455" s="250" t="s">
        <v>1217</v>
      </c>
      <c r="G2455" s="314" t="s">
        <v>1220</v>
      </c>
      <c r="H2455" s="473" t="s">
        <v>1218</v>
      </c>
      <c r="I2455" s="307">
        <v>2030</v>
      </c>
      <c r="J2455" s="307">
        <v>8800</v>
      </c>
      <c r="K2455" s="532">
        <f>ROUND(I2455*J2455,0)</f>
        <v>17864000</v>
      </c>
      <c r="L2455" s="534" t="s">
        <v>223</v>
      </c>
      <c r="M2455" s="534" t="s">
        <v>162</v>
      </c>
      <c r="N2455" s="525" t="str">
        <f>IF(AND('331-CT'!$E$7=TH!H2455,OR(L2455="331",M2455="331")),"331",IF(AND(OR(L2455="131",M2455="131"),H2455='131-CT'!$E$7),"131",""))</f>
        <v/>
      </c>
      <c r="O2455" s="525" t="str">
        <f>IF(AND($B2455&gt;='111'!$N$11,$B2455&lt;='111'!$O$11,OR($L2455=$O$7,$M2455=$O$7)),"x","")</f>
        <v/>
      </c>
      <c r="P2455" s="525" t="str">
        <f>IF(AND($L2455=$O$7,$B2455&lt;'111'!$N$11),"x","")</f>
        <v/>
      </c>
      <c r="Q2455" s="525" t="str">
        <f>IF(AND($M2455=$O$7,$B2455&lt;'111'!$N$11),"x","")</f>
        <v/>
      </c>
      <c r="R2455" s="525" t="str">
        <f>IF(ISERROR(FIND('112'!$M$9,G2455,1)),"",IF((AND(FIND('112'!$M$9,G2455,1)&gt;=1,$B2455&gt;='112'!$N$8,$B2455&lt;='112'!$O$8,OR($L2455='112'!$I$6,$M2455='112'!$I$6))),"x",""))</f>
        <v/>
      </c>
      <c r="S2455" s="525" t="str">
        <f>IF(ISERROR(FIND('112'!$M$9,G2455,1)),"",IF((AND(LEFT(G2455,2)=LEFT('112'!$M$9,2),B2455&lt;'112'!$N$8,$L2455='112'!$I$6)),"x",""))</f>
        <v/>
      </c>
      <c r="T2455" s="525" t="str">
        <f>IF(ISERROR(FIND('112'!$M$9,G2455,1)),"",IF((AND(RIGHT(G2455,2)=RIGHT('112'!$M$9,2),B2455&lt;'112'!$N$8,$M2455='112'!$I$6)),"x",""))</f>
        <v/>
      </c>
      <c r="U2455" s="525" t="str">
        <f>IF(AND(B2455&gt;='IN-NX'!$P$3,B2455&lt;='IN-NX'!$Q$3,'IN-NX'!$D$7=D2455,OR(LEFT(L2455,2)="15",AND(LEFT(M2455,2)&lt;&gt;"15",LEFT(M2455,2)&lt;&gt;"33"))),"x","")</f>
        <v/>
      </c>
      <c r="V2455" s="525" t="str">
        <f>IF(AND(OR(LEFT(TH!L2455,2)="15",LEFT(TH!M2455,2)="15"),'152-CT'!$J$8=TH!F2455),"x","")</f>
        <v/>
      </c>
      <c r="W2455" s="525" t="str">
        <f>IF(AND(OR(LEFT(TH!L2455,2)="15",LEFT(TH!M2455,2)="15"),TK!$E$7=TH!F2455),"x","")</f>
        <v/>
      </c>
      <c r="X2455" s="525" t="str">
        <f>IF(AND('341-CT'!$E$9=H2455,OR(LEFT(L2455,3)=$X$7,LEFT(M2455,3)=$X$7)),"x","")</f>
        <v/>
      </c>
      <c r="Y2455" s="525" t="str">
        <f>IF(OR(TH!L2455=TH!$Y$7,M2455=TH!$Y$7),"x","")</f>
        <v/>
      </c>
      <c r="Z2455" s="525" t="str">
        <f>IF(AND(B2455&lt;=NKC!$N$8,B2455&gt;=NKC!$M$8),"x","")</f>
        <v/>
      </c>
      <c r="AA2455" s="535"/>
      <c r="AB2455" s="536"/>
    </row>
    <row r="2456" spans="1:28" s="503" customFormat="1" ht="15.75" customHeight="1">
      <c r="A2456" s="517" t="str">
        <f>IF(B2456&lt;&gt;"",IF(AND(B2456&gt;=_TM1,B2456&lt;=_TM2,OR(TH!L2456="1111",TH!M2456="1111")),TH!D2456,""),"")</f>
        <v/>
      </c>
      <c r="B2456" s="531">
        <f t="shared" si="220"/>
        <v>5</v>
      </c>
      <c r="C2456" s="315">
        <f t="shared" si="221"/>
        <v>42872</v>
      </c>
      <c r="D2456" s="315" t="s">
        <v>920</v>
      </c>
      <c r="E2456" s="315">
        <v>42872</v>
      </c>
      <c r="F2456" s="249" t="s">
        <v>494</v>
      </c>
      <c r="G2456" s="314" t="s">
        <v>1220</v>
      </c>
      <c r="H2456" s="473" t="s">
        <v>1218</v>
      </c>
      <c r="I2456" s="307"/>
      <c r="J2456" s="307"/>
      <c r="K2456" s="532">
        <v>1786400</v>
      </c>
      <c r="L2456" s="534" t="s">
        <v>223</v>
      </c>
      <c r="M2456" s="534" t="s">
        <v>259</v>
      </c>
      <c r="N2456" s="525" t="str">
        <f>IF(AND('331-CT'!$E$7=TH!H2456,OR(L2456="331",M2456="331")),"331",IF(AND(OR(L2456="131",M2456="131"),H2456='131-CT'!$E$7),"131",""))</f>
        <v/>
      </c>
      <c r="O2456" s="525" t="str">
        <f>IF(AND($B2456&gt;='111'!$N$11,$B2456&lt;='111'!$O$11,OR($L2456=$O$7,$M2456=$O$7)),"x","")</f>
        <v/>
      </c>
      <c r="P2456" s="525" t="str">
        <f>IF(AND($L2456=$O$7,$B2456&lt;'111'!$N$11),"x","")</f>
        <v/>
      </c>
      <c r="Q2456" s="525" t="str">
        <f>IF(AND($M2456=$O$7,$B2456&lt;'111'!$N$11),"x","")</f>
        <v/>
      </c>
      <c r="R2456" s="525" t="str">
        <f>IF(ISERROR(FIND('112'!$M$9,G2456,1)),"",IF((AND(FIND('112'!$M$9,G2456,1)&gt;=1,$B2456&gt;='112'!$N$8,$B2456&lt;='112'!$O$8,OR($L2456='112'!$I$6,$M2456='112'!$I$6))),"x",""))</f>
        <v/>
      </c>
      <c r="S2456" s="525" t="str">
        <f>IF(ISERROR(FIND('112'!$M$9,G2456,1)),"",IF((AND(LEFT(G2456,2)=LEFT('112'!$M$9,2),B2456&lt;'112'!$N$8,$L2456='112'!$I$6)),"x",""))</f>
        <v/>
      </c>
      <c r="T2456" s="525" t="str">
        <f>IF(ISERROR(FIND('112'!$M$9,G2456,1)),"",IF((AND(RIGHT(G2456,2)=RIGHT('112'!$M$9,2),B2456&lt;'112'!$N$8,$M2456='112'!$I$6)),"x",""))</f>
        <v/>
      </c>
      <c r="U2456" s="525" t="str">
        <f>IF(AND(B2456&gt;='IN-NX'!$P$3,B2456&lt;='IN-NX'!$Q$3,'IN-NX'!$D$7=D2456,OR(LEFT(L2456,2)="15",AND(LEFT(M2456,2)&lt;&gt;"15",LEFT(M2456,2)&lt;&gt;"33"))),"x","")</f>
        <v/>
      </c>
      <c r="V2456" s="525" t="str">
        <f>IF(AND(OR(LEFT(TH!L2456,2)="15",LEFT(TH!M2456,2)="15"),'152-CT'!$J$8=TH!F2456),"x","")</f>
        <v/>
      </c>
      <c r="W2456" s="525" t="str">
        <f>IF(AND(OR(LEFT(TH!L2456,2)="15",LEFT(TH!M2456,2)="15"),TK!$E$7=TH!F2456),"x","")</f>
        <v/>
      </c>
      <c r="X2456" s="525" t="str">
        <f>IF(AND('341-CT'!$E$9=H2456,OR(LEFT(L2456,3)=$X$7,LEFT(M2456,3)=$X$7)),"x","")</f>
        <v/>
      </c>
      <c r="Y2456" s="525" t="str">
        <f>IF(OR(TH!L2456=TH!$Y$7,M2456=TH!$Y$7),"x","")</f>
        <v/>
      </c>
      <c r="Z2456" s="525" t="str">
        <f>IF(AND(B2456&lt;=NKC!$N$8,B2456&gt;=NKC!$M$8),"x","")</f>
        <v/>
      </c>
      <c r="AA2456" s="535"/>
      <c r="AB2456" s="536"/>
    </row>
    <row r="2457" spans="1:28" s="503" customFormat="1" ht="15.75" customHeight="1">
      <c r="A2457" s="517" t="str">
        <f>IF(B2457&lt;&gt;"",IF(AND(B2457&gt;=_TM1,B2457&lt;=_TM2,OR(TH!L2457="1111",TH!M2457="1111")),TH!D2457,""),"")</f>
        <v/>
      </c>
      <c r="B2457" s="531">
        <f t="shared" si="220"/>
        <v>5</v>
      </c>
      <c r="C2457" s="315">
        <f t="shared" si="221"/>
        <v>42872</v>
      </c>
      <c r="D2457" s="315"/>
      <c r="E2457" s="315">
        <v>42872</v>
      </c>
      <c r="F2457" s="249" t="s">
        <v>1099</v>
      </c>
      <c r="G2457" s="314" t="s">
        <v>1126</v>
      </c>
      <c r="H2457" s="473" t="s">
        <v>1127</v>
      </c>
      <c r="I2457" s="307"/>
      <c r="J2457" s="307"/>
      <c r="K2457" s="532">
        <v>1440000</v>
      </c>
      <c r="L2457" s="534" t="s">
        <v>45</v>
      </c>
      <c r="M2457" s="534" t="s">
        <v>275</v>
      </c>
      <c r="N2457" s="525" t="str">
        <f>IF(AND('331-CT'!$E$7=TH!H2457,OR(L2457="331",M2457="331")),"331",IF(AND(OR(L2457="131",M2457="131"),H2457='131-CT'!$E$7),"131",""))</f>
        <v/>
      </c>
      <c r="O2457" s="525" t="str">
        <f>IF(AND($B2457&gt;='111'!$N$11,$B2457&lt;='111'!$O$11,OR($L2457=$O$7,$M2457=$O$7)),"x","")</f>
        <v/>
      </c>
      <c r="P2457" s="525" t="str">
        <f>IF(AND($L2457=$O$7,$B2457&lt;'111'!$N$11),"x","")</f>
        <v>x</v>
      </c>
      <c r="Q2457" s="525" t="str">
        <f>IF(AND($M2457=$O$7,$B2457&lt;'111'!$N$11),"x","")</f>
        <v/>
      </c>
      <c r="R2457" s="525" t="str">
        <f>IF(ISERROR(FIND('112'!$M$9,G2457,1)),"",IF((AND(FIND('112'!$M$9,G2457,1)&gt;=1,$B2457&gt;='112'!$N$8,$B2457&lt;='112'!$O$8,OR($L2457='112'!$I$6,$M2457='112'!$I$6))),"x",""))</f>
        <v/>
      </c>
      <c r="S2457" s="525" t="str">
        <f>IF(ISERROR(FIND('112'!$M$9,G2457,1)),"",IF((AND(LEFT(G2457,2)=LEFT('112'!$M$9,2),B2457&lt;'112'!$N$8,$L2457='112'!$I$6)),"x",""))</f>
        <v/>
      </c>
      <c r="T2457" s="525" t="str">
        <f>IF(ISERROR(FIND('112'!$M$9,G2457,1)),"",IF((AND(RIGHT(G2457,2)=RIGHT('112'!$M$9,2),B2457&lt;'112'!$N$8,$M2457='112'!$I$6)),"x",""))</f>
        <v/>
      </c>
      <c r="U2457" s="525" t="str">
        <f>IF(AND(B2457&gt;='IN-NX'!$P$3,B2457&lt;='IN-NX'!$Q$3,'IN-NX'!$D$7=D2457,OR(LEFT(L2457,2)="15",AND(LEFT(M2457,2)&lt;&gt;"15",LEFT(M2457,2)&lt;&gt;"33"))),"x","")</f>
        <v/>
      </c>
      <c r="V2457" s="525" t="str">
        <f>IF(AND(OR(LEFT(TH!L2457,2)="15",LEFT(TH!M2457,2)="15"),'152-CT'!$J$8=TH!F2457),"x","")</f>
        <v/>
      </c>
      <c r="W2457" s="525" t="str">
        <f>IF(AND(OR(LEFT(TH!L2457,2)="15",LEFT(TH!M2457,2)="15"),TK!$E$7=TH!F2457),"x","")</f>
        <v/>
      </c>
      <c r="X2457" s="525" t="str">
        <f>IF(AND('341-CT'!$E$9=H2457,OR(LEFT(L2457,3)=$X$7,LEFT(M2457,3)=$X$7)),"x","")</f>
        <v/>
      </c>
      <c r="Y2457" s="525" t="str">
        <f>IF(OR(TH!L2457=TH!$Y$7,M2457=TH!$Y$7),"x","")</f>
        <v/>
      </c>
      <c r="Z2457" s="525" t="str">
        <f>IF(AND(B2457&lt;=NKC!$N$8,B2457&gt;=NKC!$M$8),"x","")</f>
        <v/>
      </c>
      <c r="AA2457" s="535"/>
      <c r="AB2457" s="536"/>
    </row>
    <row r="2458" spans="1:28" s="503" customFormat="1" ht="15.75" customHeight="1">
      <c r="A2458" s="517" t="str">
        <f>IF(B2458&lt;&gt;"",IF(AND(B2458&gt;=_TM1,B2458&lt;=_TM2,OR(TH!L2458="1111",TH!M2458="1111")),TH!D2458,""),"")</f>
        <v/>
      </c>
      <c r="B2458" s="531">
        <f t="shared" si="220"/>
        <v>5</v>
      </c>
      <c r="C2458" s="315">
        <f t="shared" si="221"/>
        <v>42872</v>
      </c>
      <c r="D2458" s="315"/>
      <c r="E2458" s="315">
        <v>42872</v>
      </c>
      <c r="F2458" s="249" t="s">
        <v>1102</v>
      </c>
      <c r="G2458" s="314" t="s">
        <v>1126</v>
      </c>
      <c r="H2458" s="473" t="s">
        <v>1127</v>
      </c>
      <c r="I2458" s="307"/>
      <c r="J2458" s="307"/>
      <c r="K2458" s="532">
        <v>144000</v>
      </c>
      <c r="L2458" s="534" t="s">
        <v>45</v>
      </c>
      <c r="M2458" s="534" t="s">
        <v>259</v>
      </c>
      <c r="N2458" s="525" t="str">
        <f>IF(AND('331-CT'!$E$7=TH!H2458,OR(L2458="331",M2458="331")),"331",IF(AND(OR(L2458="131",M2458="131"),H2458='131-CT'!$E$7),"131",""))</f>
        <v/>
      </c>
      <c r="O2458" s="525" t="str">
        <f>IF(AND($B2458&gt;='111'!$N$11,$B2458&lt;='111'!$O$11,OR($L2458=$O$7,$M2458=$O$7)),"x","")</f>
        <v/>
      </c>
      <c r="P2458" s="525" t="str">
        <f>IF(AND($L2458=$O$7,$B2458&lt;'111'!$N$11),"x","")</f>
        <v>x</v>
      </c>
      <c r="Q2458" s="525" t="str">
        <f>IF(AND($M2458=$O$7,$B2458&lt;'111'!$N$11),"x","")</f>
        <v/>
      </c>
      <c r="R2458" s="525" t="str">
        <f>IF(ISERROR(FIND('112'!$M$9,G2458,1)),"",IF((AND(FIND('112'!$M$9,G2458,1)&gt;=1,$B2458&gt;='112'!$N$8,$B2458&lt;='112'!$O$8,OR($L2458='112'!$I$6,$M2458='112'!$I$6))),"x",""))</f>
        <v/>
      </c>
      <c r="S2458" s="525" t="str">
        <f>IF(ISERROR(FIND('112'!$M$9,G2458,1)),"",IF((AND(LEFT(G2458,2)=LEFT('112'!$M$9,2),B2458&lt;'112'!$N$8,$L2458='112'!$I$6)),"x",""))</f>
        <v/>
      </c>
      <c r="T2458" s="525" t="str">
        <f>IF(ISERROR(FIND('112'!$M$9,G2458,1)),"",IF((AND(RIGHT(G2458,2)=RIGHT('112'!$M$9,2),B2458&lt;'112'!$N$8,$M2458='112'!$I$6)),"x",""))</f>
        <v/>
      </c>
      <c r="U2458" s="525" t="str">
        <f>IF(AND(B2458&gt;='IN-NX'!$P$3,B2458&lt;='IN-NX'!$Q$3,'IN-NX'!$D$7=D2458,OR(LEFT(L2458,2)="15",AND(LEFT(M2458,2)&lt;&gt;"15",LEFT(M2458,2)&lt;&gt;"33"))),"x","")</f>
        <v/>
      </c>
      <c r="V2458" s="525" t="str">
        <f>IF(AND(OR(LEFT(TH!L2458,2)="15",LEFT(TH!M2458,2)="15"),'152-CT'!$J$8=TH!F2458),"x","")</f>
        <v/>
      </c>
      <c r="W2458" s="525" t="str">
        <f>IF(AND(OR(LEFT(TH!L2458,2)="15",LEFT(TH!M2458,2)="15"),TK!$E$7=TH!F2458),"x","")</f>
        <v/>
      </c>
      <c r="X2458" s="525" t="str">
        <f>IF(AND('341-CT'!$E$9=H2458,OR(LEFT(L2458,3)=$X$7,LEFT(M2458,3)=$X$7)),"x","")</f>
        <v/>
      </c>
      <c r="Y2458" s="525" t="str">
        <f>IF(OR(TH!L2458=TH!$Y$7,M2458=TH!$Y$7),"x","")</f>
        <v/>
      </c>
      <c r="Z2458" s="525" t="str">
        <f>IF(AND(B2458&lt;=NKC!$N$8,B2458&gt;=NKC!$M$8),"x","")</f>
        <v/>
      </c>
      <c r="AA2458" s="535"/>
      <c r="AB2458" s="536"/>
    </row>
    <row r="2459" spans="1:28" s="503" customFormat="1" ht="15.75" customHeight="1">
      <c r="A2459" s="517" t="str">
        <f>IF(B2459&lt;&gt;"",IF(AND(B2459&gt;=_TM1,B2459&lt;=_TM2,OR(TH!L2459="1111",TH!M2459="1111")),TH!D2459,""),"")</f>
        <v/>
      </c>
      <c r="B2459" s="531">
        <f t="shared" si="220"/>
        <v>5</v>
      </c>
      <c r="C2459" s="315">
        <f t="shared" si="221"/>
        <v>42873</v>
      </c>
      <c r="D2459" s="315" t="s">
        <v>994</v>
      </c>
      <c r="E2459" s="315">
        <v>42873</v>
      </c>
      <c r="F2459" s="249" t="s">
        <v>377</v>
      </c>
      <c r="G2459" s="314" t="s">
        <v>1145</v>
      </c>
      <c r="H2459" s="473" t="s">
        <v>1142</v>
      </c>
      <c r="I2459" s="307">
        <v>500</v>
      </c>
      <c r="J2459" s="307">
        <v>11750</v>
      </c>
      <c r="K2459" s="532">
        <f>ROUND(I2459*J2459,0)</f>
        <v>5875000</v>
      </c>
      <c r="L2459" s="534" t="s">
        <v>292</v>
      </c>
      <c r="M2459" s="534" t="s">
        <v>8</v>
      </c>
      <c r="N2459" s="525" t="str">
        <f>IF(AND('331-CT'!$E$7=TH!H2459,OR(L2459="331",M2459="331")),"331",IF(AND(OR(L2459="131",M2459="131"),H2459='131-CT'!$E$7),"131",""))</f>
        <v/>
      </c>
      <c r="O2459" s="525" t="str">
        <f>IF(AND($B2459&gt;='111'!$N$11,$B2459&lt;='111'!$O$11,OR($L2459=$O$7,$M2459=$O$7)),"x","")</f>
        <v/>
      </c>
      <c r="P2459" s="525" t="str">
        <f>IF(AND($L2459=$O$7,$B2459&lt;'111'!$N$11),"x","")</f>
        <v/>
      </c>
      <c r="Q2459" s="525" t="str">
        <f>IF(AND($M2459=$O$7,$B2459&lt;'111'!$N$11),"x","")</f>
        <v/>
      </c>
      <c r="R2459" s="525" t="str">
        <f>IF(ISERROR(FIND('112'!$M$9,G2459,1)),"",IF((AND(FIND('112'!$M$9,G2459,1)&gt;=1,$B2459&gt;='112'!$N$8,$B2459&lt;='112'!$O$8,OR($L2459='112'!$I$6,$M2459='112'!$I$6))),"x",""))</f>
        <v/>
      </c>
      <c r="S2459" s="525" t="str">
        <f>IF(ISERROR(FIND('112'!$M$9,G2459,1)),"",IF((AND(LEFT(G2459,2)=LEFT('112'!$M$9,2),B2459&lt;'112'!$N$8,$L2459='112'!$I$6)),"x",""))</f>
        <v/>
      </c>
      <c r="T2459" s="525" t="str">
        <f>IF(ISERROR(FIND('112'!$M$9,G2459,1)),"",IF((AND(RIGHT(G2459,2)=RIGHT('112'!$M$9,2),B2459&lt;'112'!$N$8,$M2459='112'!$I$6)),"x",""))</f>
        <v/>
      </c>
      <c r="U2459" s="525" t="str">
        <f>IF(AND(B2459&gt;='IN-NX'!$P$3,B2459&lt;='IN-NX'!$Q$3,'IN-NX'!$D$7=D2459,OR(LEFT(L2459,2)="15",AND(LEFT(M2459,2)&lt;&gt;"15",LEFT(M2459,2)&lt;&gt;"33"))),"x","")</f>
        <v/>
      </c>
      <c r="V2459" s="525" t="str">
        <f>IF(AND(OR(LEFT(TH!L2459,2)="15",LEFT(TH!M2459,2)="15"),'152-CT'!$J$8=TH!F2459),"x","")</f>
        <v/>
      </c>
      <c r="W2459" s="525" t="str">
        <f>IF(AND(OR(LEFT(TH!L2459,2)="15",LEFT(TH!M2459,2)="15"),TK!$E$7=TH!F2459),"x","")</f>
        <v/>
      </c>
      <c r="X2459" s="525" t="str">
        <f>IF(AND('341-CT'!$E$9=H2459,OR(LEFT(L2459,3)=$X$7,LEFT(M2459,3)=$X$7)),"x","")</f>
        <v/>
      </c>
      <c r="Y2459" s="525" t="str">
        <f>IF(OR(TH!L2459=TH!$Y$7,M2459=TH!$Y$7),"x","")</f>
        <v/>
      </c>
      <c r="Z2459" s="525" t="str">
        <f>IF(AND(B2459&lt;=NKC!$N$8,B2459&gt;=NKC!$M$8),"x","")</f>
        <v/>
      </c>
      <c r="AA2459" s="535">
        <v>2</v>
      </c>
      <c r="AB2459" s="536"/>
    </row>
    <row r="2460" spans="1:28" s="503" customFormat="1" ht="15.75" customHeight="1">
      <c r="A2460" s="517" t="str">
        <f>IF(B2460&lt;&gt;"",IF(AND(B2460&gt;=_TM1,B2460&lt;=_TM2,OR(TH!L2460="1111",TH!M2460="1111")),TH!D2460,""),"")</f>
        <v/>
      </c>
      <c r="B2460" s="531">
        <f t="shared" si="220"/>
        <v>5</v>
      </c>
      <c r="C2460" s="315">
        <f t="shared" si="221"/>
        <v>42873</v>
      </c>
      <c r="D2460" s="315" t="s">
        <v>994</v>
      </c>
      <c r="E2460" s="315">
        <v>42873</v>
      </c>
      <c r="F2460" s="250" t="s">
        <v>1130</v>
      </c>
      <c r="G2460" s="314" t="s">
        <v>1145</v>
      </c>
      <c r="H2460" s="473" t="s">
        <v>1142</v>
      </c>
      <c r="I2460" s="307">
        <v>500</v>
      </c>
      <c r="J2460" s="307">
        <v>6850</v>
      </c>
      <c r="K2460" s="532">
        <f>ROUND(I2460*J2460,0)</f>
        <v>3425000</v>
      </c>
      <c r="L2460" s="534" t="s">
        <v>292</v>
      </c>
      <c r="M2460" s="534" t="s">
        <v>8</v>
      </c>
      <c r="N2460" s="525" t="str">
        <f>IF(AND('331-CT'!$E$7=TH!H2460,OR(L2460="331",M2460="331")),"331",IF(AND(OR(L2460="131",M2460="131"),H2460='131-CT'!$E$7),"131",""))</f>
        <v/>
      </c>
      <c r="O2460" s="525" t="str">
        <f>IF(AND($B2460&gt;='111'!$N$11,$B2460&lt;='111'!$O$11,OR($L2460=$O$7,$M2460=$O$7)),"x","")</f>
        <v/>
      </c>
      <c r="P2460" s="525" t="str">
        <f>IF(AND($L2460=$O$7,$B2460&lt;'111'!$N$11),"x","")</f>
        <v/>
      </c>
      <c r="Q2460" s="525" t="str">
        <f>IF(AND($M2460=$O$7,$B2460&lt;'111'!$N$11),"x","")</f>
        <v/>
      </c>
      <c r="R2460" s="525" t="str">
        <f>IF(ISERROR(FIND('112'!$M$9,G2460,1)),"",IF((AND(FIND('112'!$M$9,G2460,1)&gt;=1,$B2460&gt;='112'!$N$8,$B2460&lt;='112'!$O$8,OR($L2460='112'!$I$6,$M2460='112'!$I$6))),"x",""))</f>
        <v/>
      </c>
      <c r="S2460" s="525" t="str">
        <f>IF(ISERROR(FIND('112'!$M$9,G2460,1)),"",IF((AND(LEFT(G2460,2)=LEFT('112'!$M$9,2),B2460&lt;'112'!$N$8,$L2460='112'!$I$6)),"x",""))</f>
        <v/>
      </c>
      <c r="T2460" s="525" t="str">
        <f>IF(ISERROR(FIND('112'!$M$9,G2460,1)),"",IF((AND(RIGHT(G2460,2)=RIGHT('112'!$M$9,2),B2460&lt;'112'!$N$8,$M2460='112'!$I$6)),"x",""))</f>
        <v/>
      </c>
      <c r="U2460" s="525" t="str">
        <f>IF(AND(B2460&gt;='IN-NX'!$P$3,B2460&lt;='IN-NX'!$Q$3,'IN-NX'!$D$7=D2460,OR(LEFT(L2460,2)="15",AND(LEFT(M2460,2)&lt;&gt;"15",LEFT(M2460,2)&lt;&gt;"33"))),"x","")</f>
        <v/>
      </c>
      <c r="V2460" s="525" t="str">
        <f>IF(AND(OR(LEFT(TH!L2460,2)="15",LEFT(TH!M2460,2)="15"),'152-CT'!$J$8=TH!F2460),"x","")</f>
        <v/>
      </c>
      <c r="W2460" s="525" t="str">
        <f>IF(AND(OR(LEFT(TH!L2460,2)="15",LEFT(TH!M2460,2)="15"),TK!$E$7=TH!F2460),"x","")</f>
        <v/>
      </c>
      <c r="X2460" s="525" t="str">
        <f>IF(AND('341-CT'!$E$9=H2460,OR(LEFT(L2460,3)=$X$7,LEFT(M2460,3)=$X$7)),"x","")</f>
        <v/>
      </c>
      <c r="Y2460" s="525" t="str">
        <f>IF(OR(TH!L2460=TH!$Y$7,M2460=TH!$Y$7),"x","")</f>
        <v/>
      </c>
      <c r="Z2460" s="525" t="str">
        <f>IF(AND(B2460&lt;=NKC!$N$8,B2460&gt;=NKC!$M$8),"x","")</f>
        <v/>
      </c>
      <c r="AA2460" s="535">
        <v>2</v>
      </c>
      <c r="AB2460" s="536"/>
    </row>
    <row r="2461" spans="1:28" s="503" customFormat="1" ht="15.75" customHeight="1">
      <c r="A2461" s="517" t="str">
        <f>IF(B2461&lt;&gt;"",IF(AND(B2461&gt;=_TM1,B2461&lt;=_TM2,OR(TH!L2461="1111",TH!M2461="1111")),TH!D2461,""),"")</f>
        <v/>
      </c>
      <c r="B2461" s="531">
        <f t="shared" si="220"/>
        <v>5</v>
      </c>
      <c r="C2461" s="315">
        <f t="shared" si="221"/>
        <v>42873</v>
      </c>
      <c r="D2461" s="315" t="s">
        <v>994</v>
      </c>
      <c r="E2461" s="315">
        <v>42873</v>
      </c>
      <c r="F2461" s="245" t="s">
        <v>501</v>
      </c>
      <c r="G2461" s="314" t="s">
        <v>1145</v>
      </c>
      <c r="H2461" s="473" t="s">
        <v>1142</v>
      </c>
      <c r="I2461" s="307"/>
      <c r="J2461" s="307"/>
      <c r="K2461" s="532">
        <v>930000</v>
      </c>
      <c r="L2461" s="713" t="s">
        <v>9</v>
      </c>
      <c r="M2461" s="534" t="s">
        <v>8</v>
      </c>
      <c r="N2461" s="525" t="str">
        <f>IF(AND('331-CT'!$E$7=TH!H2461,OR(L2461="331",M2461="331")),"331",IF(AND(OR(L2461="131",M2461="131"),H2461='131-CT'!$E$7),"131",""))</f>
        <v/>
      </c>
      <c r="O2461" s="525" t="str">
        <f>IF(AND($B2461&gt;='111'!$N$11,$B2461&lt;='111'!$O$11,OR($L2461=$O$7,$M2461=$O$7)),"x","")</f>
        <v/>
      </c>
      <c r="P2461" s="525" t="str">
        <f>IF(AND($L2461=$O$7,$B2461&lt;'111'!$N$11),"x","")</f>
        <v/>
      </c>
      <c r="Q2461" s="525" t="str">
        <f>IF(AND($M2461=$O$7,$B2461&lt;'111'!$N$11),"x","")</f>
        <v/>
      </c>
      <c r="R2461" s="525" t="str">
        <f>IF(ISERROR(FIND('112'!$M$9,G2461,1)),"",IF((AND(FIND('112'!$M$9,G2461,1)&gt;=1,$B2461&gt;='112'!$N$8,$B2461&lt;='112'!$O$8,OR($L2461='112'!$I$6,$M2461='112'!$I$6))),"x",""))</f>
        <v/>
      </c>
      <c r="S2461" s="525" t="str">
        <f>IF(ISERROR(FIND('112'!$M$9,G2461,1)),"",IF((AND(LEFT(G2461,2)=LEFT('112'!$M$9,2),B2461&lt;'112'!$N$8,$L2461='112'!$I$6)),"x",""))</f>
        <v/>
      </c>
      <c r="T2461" s="525" t="str">
        <f>IF(ISERROR(FIND('112'!$M$9,G2461,1)),"",IF((AND(RIGHT(G2461,2)=RIGHT('112'!$M$9,2),B2461&lt;'112'!$N$8,$M2461='112'!$I$6)),"x",""))</f>
        <v/>
      </c>
      <c r="U2461" s="525" t="str">
        <f>IF(AND(B2461&gt;='IN-NX'!$P$3,B2461&lt;='IN-NX'!$Q$3,'IN-NX'!$D$7=D2461,OR(LEFT(L2461,2)="15",AND(LEFT(M2461,2)&lt;&gt;"15",LEFT(M2461,2)&lt;&gt;"33"))),"x","")</f>
        <v/>
      </c>
      <c r="V2461" s="525" t="str">
        <f>IF(AND(OR(LEFT(TH!L2461,2)="15",LEFT(TH!M2461,2)="15"),'152-CT'!$J$8=TH!F2461),"x","")</f>
        <v/>
      </c>
      <c r="W2461" s="525" t="str">
        <f>IF(AND(OR(LEFT(TH!L2461,2)="15",LEFT(TH!M2461,2)="15"),TK!$E$7=TH!F2461),"x","")</f>
        <v/>
      </c>
      <c r="X2461" s="525" t="str">
        <f>IF(AND('341-CT'!$E$9=H2461,OR(LEFT(L2461,3)=$X$7,LEFT(M2461,3)=$X$7)),"x","")</f>
        <v/>
      </c>
      <c r="Y2461" s="525" t="str">
        <f>IF(OR(TH!L2461=TH!$Y$7,M2461=TH!$Y$7),"x","")</f>
        <v/>
      </c>
      <c r="Z2461" s="525" t="str">
        <f>IF(AND(B2461&lt;=NKC!$N$8,B2461&gt;=NKC!$M$8),"x","")</f>
        <v/>
      </c>
      <c r="AA2461" s="535">
        <v>2</v>
      </c>
      <c r="AB2461" s="536"/>
    </row>
    <row r="2462" spans="1:28" s="503" customFormat="1" ht="15.75" customHeight="1">
      <c r="A2462" s="517" t="str">
        <f>IF(B2462&lt;&gt;"",IF(AND(B2462&gt;=_TM1,B2462&lt;=_TM2,OR(TH!L2462="1111",TH!M2462="1111")),TH!D2462,""),"")</f>
        <v/>
      </c>
      <c r="B2462" s="531">
        <f t="shared" si="220"/>
        <v>5</v>
      </c>
      <c r="C2462" s="315">
        <f t="shared" si="221"/>
        <v>42873</v>
      </c>
      <c r="D2462" s="315" t="s">
        <v>995</v>
      </c>
      <c r="E2462" s="315">
        <v>42873</v>
      </c>
      <c r="F2462" s="245" t="s">
        <v>274</v>
      </c>
      <c r="G2462" s="314" t="s">
        <v>1146</v>
      </c>
      <c r="H2462" s="473" t="s">
        <v>1142</v>
      </c>
      <c r="I2462" s="307">
        <v>810</v>
      </c>
      <c r="J2462" s="307">
        <v>18496.3</v>
      </c>
      <c r="K2462" s="532">
        <f>ROUND(I2462*J2462,0)</f>
        <v>14982003</v>
      </c>
      <c r="L2462" s="534" t="s">
        <v>292</v>
      </c>
      <c r="M2462" s="534" t="s">
        <v>8</v>
      </c>
      <c r="N2462" s="525" t="str">
        <f>IF(AND('331-CT'!$E$7=TH!H2462,OR(L2462="331",M2462="331")),"331",IF(AND(OR(L2462="131",M2462="131"),H2462='131-CT'!$E$7),"131",""))</f>
        <v/>
      </c>
      <c r="O2462" s="525" t="str">
        <f>IF(AND($B2462&gt;='111'!$N$11,$B2462&lt;='111'!$O$11,OR($L2462=$O$7,$M2462=$O$7)),"x","")</f>
        <v/>
      </c>
      <c r="P2462" s="525" t="str">
        <f>IF(AND($L2462=$O$7,$B2462&lt;'111'!$N$11),"x","")</f>
        <v/>
      </c>
      <c r="Q2462" s="525" t="str">
        <f>IF(AND($M2462=$O$7,$B2462&lt;'111'!$N$11),"x","")</f>
        <v/>
      </c>
      <c r="R2462" s="525" t="str">
        <f>IF(ISERROR(FIND('112'!$M$9,G2462,1)),"",IF((AND(FIND('112'!$M$9,G2462,1)&gt;=1,$B2462&gt;='112'!$N$8,$B2462&lt;='112'!$O$8,OR($L2462='112'!$I$6,$M2462='112'!$I$6))),"x",""))</f>
        <v/>
      </c>
      <c r="S2462" s="525" t="str">
        <f>IF(ISERROR(FIND('112'!$M$9,G2462,1)),"",IF((AND(LEFT(G2462,2)=LEFT('112'!$M$9,2),B2462&lt;'112'!$N$8,$L2462='112'!$I$6)),"x",""))</f>
        <v/>
      </c>
      <c r="T2462" s="525" t="str">
        <f>IF(ISERROR(FIND('112'!$M$9,G2462,1)),"",IF((AND(RIGHT(G2462,2)=RIGHT('112'!$M$9,2),B2462&lt;'112'!$N$8,$M2462='112'!$I$6)),"x",""))</f>
        <v/>
      </c>
      <c r="U2462" s="525" t="str">
        <f>IF(AND(B2462&gt;='IN-NX'!$P$3,B2462&lt;='IN-NX'!$Q$3,'IN-NX'!$D$7=D2462,OR(LEFT(L2462,2)="15",AND(LEFT(M2462,2)&lt;&gt;"15",LEFT(M2462,2)&lt;&gt;"33"))),"x","")</f>
        <v/>
      </c>
      <c r="V2462" s="525" t="str">
        <f>IF(AND(OR(LEFT(TH!L2462,2)="15",LEFT(TH!M2462,2)="15"),'152-CT'!$J$8=TH!F2462),"x","")</f>
        <v/>
      </c>
      <c r="W2462" s="525" t="str">
        <f>IF(AND(OR(LEFT(TH!L2462,2)="15",LEFT(TH!M2462,2)="15"),TK!$E$7=TH!F2462),"x","")</f>
        <v>x</v>
      </c>
      <c r="X2462" s="525" t="str">
        <f>IF(AND('341-CT'!$E$9=H2462,OR(LEFT(L2462,3)=$X$7,LEFT(M2462,3)=$X$7)),"x","")</f>
        <v/>
      </c>
      <c r="Y2462" s="525" t="str">
        <f>IF(OR(TH!L2462=TH!$Y$7,M2462=TH!$Y$7),"x","")</f>
        <v/>
      </c>
      <c r="Z2462" s="525" t="str">
        <f>IF(AND(B2462&lt;=NKC!$N$8,B2462&gt;=NKC!$M$8),"x","")</f>
        <v/>
      </c>
      <c r="AA2462" s="535">
        <v>2</v>
      </c>
      <c r="AB2462" s="536"/>
    </row>
    <row r="2463" spans="1:28" s="503" customFormat="1" ht="15.75" customHeight="1">
      <c r="A2463" s="517" t="str">
        <f>IF(B2463&lt;&gt;"",IF(AND(B2463&gt;=_TM1,B2463&lt;=_TM2,OR(TH!L2463="1111",TH!M2463="1111")),TH!D2463,""),"")</f>
        <v/>
      </c>
      <c r="B2463" s="531">
        <f t="shared" si="220"/>
        <v>5</v>
      </c>
      <c r="C2463" s="315">
        <f t="shared" si="221"/>
        <v>42873</v>
      </c>
      <c r="D2463" s="315" t="s">
        <v>995</v>
      </c>
      <c r="E2463" s="315">
        <v>42873</v>
      </c>
      <c r="F2463" s="249" t="s">
        <v>273</v>
      </c>
      <c r="G2463" s="314" t="s">
        <v>1146</v>
      </c>
      <c r="H2463" s="473" t="s">
        <v>1142</v>
      </c>
      <c r="I2463" s="307">
        <v>830</v>
      </c>
      <c r="J2463" s="307">
        <v>18496.3</v>
      </c>
      <c r="K2463" s="532">
        <f>ROUND(I2463*J2463,0)</f>
        <v>15351929</v>
      </c>
      <c r="L2463" s="534" t="s">
        <v>292</v>
      </c>
      <c r="M2463" s="534" t="s">
        <v>8</v>
      </c>
      <c r="N2463" s="525" t="str">
        <f>IF(AND('331-CT'!$E$7=TH!H2463,OR(L2463="331",M2463="331")),"331",IF(AND(OR(L2463="131",M2463="131"),H2463='131-CT'!$E$7),"131",""))</f>
        <v/>
      </c>
      <c r="O2463" s="525" t="str">
        <f>IF(AND($B2463&gt;='111'!$N$11,$B2463&lt;='111'!$O$11,OR($L2463=$O$7,$M2463=$O$7)),"x","")</f>
        <v/>
      </c>
      <c r="P2463" s="525" t="str">
        <f>IF(AND($L2463=$O$7,$B2463&lt;'111'!$N$11),"x","")</f>
        <v/>
      </c>
      <c r="Q2463" s="525" t="str">
        <f>IF(AND($M2463=$O$7,$B2463&lt;'111'!$N$11),"x","")</f>
        <v/>
      </c>
      <c r="R2463" s="525" t="str">
        <f>IF(ISERROR(FIND('112'!$M$9,G2463,1)),"",IF((AND(FIND('112'!$M$9,G2463,1)&gt;=1,$B2463&gt;='112'!$N$8,$B2463&lt;='112'!$O$8,OR($L2463='112'!$I$6,$M2463='112'!$I$6))),"x",""))</f>
        <v/>
      </c>
      <c r="S2463" s="525" t="str">
        <f>IF(ISERROR(FIND('112'!$M$9,G2463,1)),"",IF((AND(LEFT(G2463,2)=LEFT('112'!$M$9,2),B2463&lt;'112'!$N$8,$L2463='112'!$I$6)),"x",""))</f>
        <v/>
      </c>
      <c r="T2463" s="525" t="str">
        <f>IF(ISERROR(FIND('112'!$M$9,G2463,1)),"",IF((AND(RIGHT(G2463,2)=RIGHT('112'!$M$9,2),B2463&lt;'112'!$N$8,$M2463='112'!$I$6)),"x",""))</f>
        <v/>
      </c>
      <c r="U2463" s="525" t="str">
        <f>IF(AND(B2463&gt;='IN-NX'!$P$3,B2463&lt;='IN-NX'!$Q$3,'IN-NX'!$D$7=D2463,OR(LEFT(L2463,2)="15",AND(LEFT(M2463,2)&lt;&gt;"15",LEFT(M2463,2)&lt;&gt;"33"))),"x","")</f>
        <v/>
      </c>
      <c r="V2463" s="525" t="str">
        <f>IF(AND(OR(LEFT(TH!L2463,2)="15",LEFT(TH!M2463,2)="15"),'152-CT'!$J$8=TH!F2463),"x","")</f>
        <v>x</v>
      </c>
      <c r="W2463" s="525" t="str">
        <f>IF(AND(OR(LEFT(TH!L2463,2)="15",LEFT(TH!M2463,2)="15"),TK!$E$7=TH!F2463),"x","")</f>
        <v/>
      </c>
      <c r="X2463" s="525" t="str">
        <f>IF(AND('341-CT'!$E$9=H2463,OR(LEFT(L2463,3)=$X$7,LEFT(M2463,3)=$X$7)),"x","")</f>
        <v/>
      </c>
      <c r="Y2463" s="525" t="str">
        <f>IF(OR(TH!L2463=TH!$Y$7,M2463=TH!$Y$7),"x","")</f>
        <v/>
      </c>
      <c r="Z2463" s="525" t="str">
        <f>IF(AND(B2463&lt;=NKC!$N$8,B2463&gt;=NKC!$M$8),"x","")</f>
        <v/>
      </c>
      <c r="AA2463" s="535">
        <v>2</v>
      </c>
      <c r="AB2463" s="536"/>
    </row>
    <row r="2464" spans="1:28" s="503" customFormat="1" ht="15.75" customHeight="1">
      <c r="A2464" s="517" t="str">
        <f>IF(B2464&lt;&gt;"",IF(AND(B2464&gt;=_TM1,B2464&lt;=_TM2,OR(TH!L2464="1111",TH!M2464="1111")),TH!D2464,""),"")</f>
        <v/>
      </c>
      <c r="B2464" s="531">
        <f t="shared" si="220"/>
        <v>5</v>
      </c>
      <c r="C2464" s="315">
        <f t="shared" si="221"/>
        <v>42873</v>
      </c>
      <c r="D2464" s="315" t="s">
        <v>995</v>
      </c>
      <c r="E2464" s="315">
        <v>42873</v>
      </c>
      <c r="F2464" s="249" t="s">
        <v>501</v>
      </c>
      <c r="G2464" s="314" t="s">
        <v>1146</v>
      </c>
      <c r="H2464" s="473" t="s">
        <v>1142</v>
      </c>
      <c r="I2464" s="307"/>
      <c r="J2464" s="307"/>
      <c r="K2464" s="532">
        <v>3033393</v>
      </c>
      <c r="L2464" s="713" t="s">
        <v>9</v>
      </c>
      <c r="M2464" s="534" t="s">
        <v>8</v>
      </c>
      <c r="N2464" s="525" t="str">
        <f>IF(AND('331-CT'!$E$7=TH!H2464,OR(L2464="331",M2464="331")),"331",IF(AND(OR(L2464="131",M2464="131"),H2464='131-CT'!$E$7),"131",""))</f>
        <v/>
      </c>
      <c r="O2464" s="525" t="str">
        <f>IF(AND($B2464&gt;='111'!$N$11,$B2464&lt;='111'!$O$11,OR($L2464=$O$7,$M2464=$O$7)),"x","")</f>
        <v/>
      </c>
      <c r="P2464" s="525" t="str">
        <f>IF(AND($L2464=$O$7,$B2464&lt;'111'!$N$11),"x","")</f>
        <v/>
      </c>
      <c r="Q2464" s="525" t="str">
        <f>IF(AND($M2464=$O$7,$B2464&lt;'111'!$N$11),"x","")</f>
        <v/>
      </c>
      <c r="R2464" s="525" t="str">
        <f>IF(ISERROR(FIND('112'!$M$9,G2464,1)),"",IF((AND(FIND('112'!$M$9,G2464,1)&gt;=1,$B2464&gt;='112'!$N$8,$B2464&lt;='112'!$O$8,OR($L2464='112'!$I$6,$M2464='112'!$I$6))),"x",""))</f>
        <v/>
      </c>
      <c r="S2464" s="525" t="str">
        <f>IF(ISERROR(FIND('112'!$M$9,G2464,1)),"",IF((AND(LEFT(G2464,2)=LEFT('112'!$M$9,2),B2464&lt;'112'!$N$8,$L2464='112'!$I$6)),"x",""))</f>
        <v/>
      </c>
      <c r="T2464" s="525" t="str">
        <f>IF(ISERROR(FIND('112'!$M$9,G2464,1)),"",IF((AND(RIGHT(G2464,2)=RIGHT('112'!$M$9,2),B2464&lt;'112'!$N$8,$M2464='112'!$I$6)),"x",""))</f>
        <v/>
      </c>
      <c r="U2464" s="525" t="str">
        <f>IF(AND(B2464&gt;='IN-NX'!$P$3,B2464&lt;='IN-NX'!$Q$3,'IN-NX'!$D$7=D2464,OR(LEFT(L2464,2)="15",AND(LEFT(M2464,2)&lt;&gt;"15",LEFT(M2464,2)&lt;&gt;"33"))),"x","")</f>
        <v/>
      </c>
      <c r="V2464" s="525" t="str">
        <f>IF(AND(OR(LEFT(TH!L2464,2)="15",LEFT(TH!M2464,2)="15"),'152-CT'!$J$8=TH!F2464),"x","")</f>
        <v/>
      </c>
      <c r="W2464" s="525" t="str">
        <f>IF(AND(OR(LEFT(TH!L2464,2)="15",LEFT(TH!M2464,2)="15"),TK!$E$7=TH!F2464),"x","")</f>
        <v/>
      </c>
      <c r="X2464" s="525" t="str">
        <f>IF(AND('341-CT'!$E$9=H2464,OR(LEFT(L2464,3)=$X$7,LEFT(M2464,3)=$X$7)),"x","")</f>
        <v/>
      </c>
      <c r="Y2464" s="525" t="str">
        <f>IF(OR(TH!L2464=TH!$Y$7,M2464=TH!$Y$7),"x","")</f>
        <v/>
      </c>
      <c r="Z2464" s="525" t="str">
        <f>IF(AND(B2464&lt;=NKC!$N$8,B2464&gt;=NKC!$M$8),"x","")</f>
        <v/>
      </c>
      <c r="AA2464" s="535">
        <v>2</v>
      </c>
      <c r="AB2464" s="536"/>
    </row>
    <row r="2465" spans="1:28" s="503" customFormat="1" ht="15.75" customHeight="1">
      <c r="A2465" s="517" t="str">
        <f>IF(B2465&lt;&gt;"",IF(AND(B2465&gt;=_TM1,B2465&lt;=_TM2,OR(TH!L2465="1111",TH!M2465="1111")),TH!D2465,""),"")</f>
        <v/>
      </c>
      <c r="B2465" s="531">
        <f t="shared" si="220"/>
        <v>5</v>
      </c>
      <c r="C2465" s="315">
        <f t="shared" si="221"/>
        <v>42873</v>
      </c>
      <c r="D2465" s="315" t="s">
        <v>1353</v>
      </c>
      <c r="E2465" s="315">
        <v>42873</v>
      </c>
      <c r="F2465" s="249" t="s">
        <v>1168</v>
      </c>
      <c r="G2465" s="314" t="s">
        <v>1147</v>
      </c>
      <c r="H2465" s="473" t="s">
        <v>1142</v>
      </c>
      <c r="I2465" s="307">
        <v>24</v>
      </c>
      <c r="J2465" s="307">
        <v>21200</v>
      </c>
      <c r="K2465" s="532">
        <f t="shared" ref="K2465:K2494" si="222">ROUND(I2465*J2465,0)</f>
        <v>508800</v>
      </c>
      <c r="L2465" s="534" t="s">
        <v>292</v>
      </c>
      <c r="M2465" s="534" t="s">
        <v>8</v>
      </c>
      <c r="N2465" s="525" t="str">
        <f>IF(AND('331-CT'!$E$7=TH!H2465,OR(L2465="331",M2465="331")),"331",IF(AND(OR(L2465="131",M2465="131"),H2465='131-CT'!$E$7),"131",""))</f>
        <v/>
      </c>
      <c r="O2465" s="525" t="str">
        <f>IF(AND($B2465&gt;='111'!$N$11,$B2465&lt;='111'!$O$11,OR($L2465=$O$7,$M2465=$O$7)),"x","")</f>
        <v/>
      </c>
      <c r="P2465" s="525" t="str">
        <f>IF(AND($L2465=$O$7,$B2465&lt;'111'!$N$11),"x","")</f>
        <v/>
      </c>
      <c r="Q2465" s="525" t="str">
        <f>IF(AND($M2465=$O$7,$B2465&lt;'111'!$N$11),"x","")</f>
        <v/>
      </c>
      <c r="R2465" s="525" t="str">
        <f>IF(ISERROR(FIND('112'!$M$9,G2465,1)),"",IF((AND(FIND('112'!$M$9,G2465,1)&gt;=1,$B2465&gt;='112'!$N$8,$B2465&lt;='112'!$O$8,OR($L2465='112'!$I$6,$M2465='112'!$I$6))),"x",""))</f>
        <v/>
      </c>
      <c r="S2465" s="525" t="str">
        <f>IF(ISERROR(FIND('112'!$M$9,G2465,1)),"",IF((AND(LEFT(G2465,2)=LEFT('112'!$M$9,2),B2465&lt;'112'!$N$8,$L2465='112'!$I$6)),"x",""))</f>
        <v/>
      </c>
      <c r="T2465" s="525" t="str">
        <f>IF(ISERROR(FIND('112'!$M$9,G2465,1)),"",IF((AND(RIGHT(G2465,2)=RIGHT('112'!$M$9,2),B2465&lt;'112'!$N$8,$M2465='112'!$I$6)),"x",""))</f>
        <v/>
      </c>
      <c r="U2465" s="525" t="str">
        <f>IF(AND(B2465&gt;='IN-NX'!$P$3,B2465&lt;='IN-NX'!$Q$3,'IN-NX'!$D$7=D2465,OR(LEFT(L2465,2)="15",AND(LEFT(M2465,2)&lt;&gt;"15",LEFT(M2465,2)&lt;&gt;"33"))),"x","")</f>
        <v/>
      </c>
      <c r="V2465" s="525" t="str">
        <f>IF(AND(OR(LEFT(TH!L2465,2)="15",LEFT(TH!M2465,2)="15"),'152-CT'!$J$8=TH!F2465),"x","")</f>
        <v/>
      </c>
      <c r="W2465" s="525" t="str">
        <f>IF(AND(OR(LEFT(TH!L2465,2)="15",LEFT(TH!M2465,2)="15"),TK!$E$7=TH!F2465),"x","")</f>
        <v/>
      </c>
      <c r="X2465" s="525" t="str">
        <f>IF(AND('341-CT'!$E$9=H2465,OR(LEFT(L2465,3)=$X$7,LEFT(M2465,3)=$X$7)),"x","")</f>
        <v/>
      </c>
      <c r="Y2465" s="525" t="str">
        <f>IF(OR(TH!L2465=TH!$Y$7,M2465=TH!$Y$7),"x","")</f>
        <v/>
      </c>
      <c r="Z2465" s="525" t="str">
        <f>IF(AND(B2465&lt;=NKC!$N$8,B2465&gt;=NKC!$M$8),"x","")</f>
        <v/>
      </c>
      <c r="AA2465" s="535">
        <v>2</v>
      </c>
      <c r="AB2465" s="536"/>
    </row>
    <row r="2466" spans="1:28" s="503" customFormat="1" ht="15.75" customHeight="1">
      <c r="A2466" s="517" t="str">
        <f>IF(B2466&lt;&gt;"",IF(AND(B2466&gt;=_TM1,B2466&lt;=_TM2,OR(TH!L2466="1111",TH!M2466="1111")),TH!D2466,""),"")</f>
        <v/>
      </c>
      <c r="B2466" s="531">
        <f t="shared" si="220"/>
        <v>5</v>
      </c>
      <c r="C2466" s="315">
        <f t="shared" si="221"/>
        <v>42873</v>
      </c>
      <c r="D2466" s="315" t="s">
        <v>1353</v>
      </c>
      <c r="E2466" s="315">
        <v>42873</v>
      </c>
      <c r="F2466" s="249" t="s">
        <v>611</v>
      </c>
      <c r="G2466" s="314" t="s">
        <v>1147</v>
      </c>
      <c r="H2466" s="473" t="s">
        <v>1142</v>
      </c>
      <c r="I2466" s="307">
        <v>18</v>
      </c>
      <c r="J2466" s="307">
        <v>44320</v>
      </c>
      <c r="K2466" s="532">
        <f t="shared" si="222"/>
        <v>797760</v>
      </c>
      <c r="L2466" s="534" t="s">
        <v>292</v>
      </c>
      <c r="M2466" s="534" t="s">
        <v>8</v>
      </c>
      <c r="N2466" s="525" t="str">
        <f>IF(AND('331-CT'!$E$7=TH!H2466,OR(L2466="331",M2466="331")),"331",IF(AND(OR(L2466="131",M2466="131"),H2466='131-CT'!$E$7),"131",""))</f>
        <v/>
      </c>
      <c r="O2466" s="525" t="str">
        <f>IF(AND($B2466&gt;='111'!$N$11,$B2466&lt;='111'!$O$11,OR($L2466=$O$7,$M2466=$O$7)),"x","")</f>
        <v/>
      </c>
      <c r="P2466" s="525" t="str">
        <f>IF(AND($L2466=$O$7,$B2466&lt;'111'!$N$11),"x","")</f>
        <v/>
      </c>
      <c r="Q2466" s="525" t="str">
        <f>IF(AND($M2466=$O$7,$B2466&lt;'111'!$N$11),"x","")</f>
        <v/>
      </c>
      <c r="R2466" s="525" t="str">
        <f>IF(ISERROR(FIND('112'!$M$9,G2466,1)),"",IF((AND(FIND('112'!$M$9,G2466,1)&gt;=1,$B2466&gt;='112'!$N$8,$B2466&lt;='112'!$O$8,OR($L2466='112'!$I$6,$M2466='112'!$I$6))),"x",""))</f>
        <v/>
      </c>
      <c r="S2466" s="525" t="str">
        <f>IF(ISERROR(FIND('112'!$M$9,G2466,1)),"",IF((AND(LEFT(G2466,2)=LEFT('112'!$M$9,2),B2466&lt;'112'!$N$8,$L2466='112'!$I$6)),"x",""))</f>
        <v/>
      </c>
      <c r="T2466" s="525" t="str">
        <f>IF(ISERROR(FIND('112'!$M$9,G2466,1)),"",IF((AND(RIGHT(G2466,2)=RIGHT('112'!$M$9,2),B2466&lt;'112'!$N$8,$M2466='112'!$I$6)),"x",""))</f>
        <v/>
      </c>
      <c r="U2466" s="525" t="str">
        <f>IF(AND(B2466&gt;='IN-NX'!$P$3,B2466&lt;='IN-NX'!$Q$3,'IN-NX'!$D$7=D2466,OR(LEFT(L2466,2)="15",AND(LEFT(M2466,2)&lt;&gt;"15",LEFT(M2466,2)&lt;&gt;"33"))),"x","")</f>
        <v/>
      </c>
      <c r="V2466" s="525" t="str">
        <f>IF(AND(OR(LEFT(TH!L2466,2)="15",LEFT(TH!M2466,2)="15"),'152-CT'!$J$8=TH!F2466),"x","")</f>
        <v/>
      </c>
      <c r="W2466" s="525" t="str">
        <f>IF(AND(OR(LEFT(TH!L2466,2)="15",LEFT(TH!M2466,2)="15"),TK!$E$7=TH!F2466),"x","")</f>
        <v/>
      </c>
      <c r="X2466" s="525" t="str">
        <f>IF(AND('341-CT'!$E$9=H2466,OR(LEFT(L2466,3)=$X$7,LEFT(M2466,3)=$X$7)),"x","")</f>
        <v/>
      </c>
      <c r="Y2466" s="525" t="str">
        <f>IF(OR(TH!L2466=TH!$Y$7,M2466=TH!$Y$7),"x","")</f>
        <v/>
      </c>
      <c r="Z2466" s="525" t="str">
        <f>IF(AND(B2466&lt;=NKC!$N$8,B2466&gt;=NKC!$M$8),"x","")</f>
        <v/>
      </c>
      <c r="AA2466" s="535">
        <v>2</v>
      </c>
      <c r="AB2466" s="536"/>
    </row>
    <row r="2467" spans="1:28" s="503" customFormat="1" ht="15.75" customHeight="1">
      <c r="A2467" s="517" t="str">
        <f>IF(B2467&lt;&gt;"",IF(AND(B2467&gt;=_TM1,B2467&lt;=_TM2,OR(TH!L2467="1111",TH!M2467="1111")),TH!D2467,""),"")</f>
        <v/>
      </c>
      <c r="B2467" s="531">
        <f t="shared" si="220"/>
        <v>5</v>
      </c>
      <c r="C2467" s="315">
        <f t="shared" si="221"/>
        <v>42873</v>
      </c>
      <c r="D2467" s="315" t="s">
        <v>1353</v>
      </c>
      <c r="E2467" s="315">
        <v>42873</v>
      </c>
      <c r="F2467" s="249" t="s">
        <v>735</v>
      </c>
      <c r="G2467" s="314" t="s">
        <v>1147</v>
      </c>
      <c r="H2467" s="473" t="s">
        <v>1142</v>
      </c>
      <c r="I2467" s="307">
        <v>12</v>
      </c>
      <c r="J2467" s="307">
        <v>50120</v>
      </c>
      <c r="K2467" s="532">
        <f t="shared" si="222"/>
        <v>601440</v>
      </c>
      <c r="L2467" s="534" t="s">
        <v>292</v>
      </c>
      <c r="M2467" s="534" t="s">
        <v>8</v>
      </c>
      <c r="N2467" s="525" t="str">
        <f>IF(AND('331-CT'!$E$7=TH!H2467,OR(L2467="331",M2467="331")),"331",IF(AND(OR(L2467="131",M2467="131"),H2467='131-CT'!$E$7),"131",""))</f>
        <v/>
      </c>
      <c r="O2467" s="525" t="str">
        <f>IF(AND($B2467&gt;='111'!$N$11,$B2467&lt;='111'!$O$11,OR($L2467=$O$7,$M2467=$O$7)),"x","")</f>
        <v/>
      </c>
      <c r="P2467" s="525" t="str">
        <f>IF(AND($L2467=$O$7,$B2467&lt;'111'!$N$11),"x","")</f>
        <v/>
      </c>
      <c r="Q2467" s="525" t="str">
        <f>IF(AND($M2467=$O$7,$B2467&lt;'111'!$N$11),"x","")</f>
        <v/>
      </c>
      <c r="R2467" s="525" t="str">
        <f>IF(ISERROR(FIND('112'!$M$9,G2467,1)),"",IF((AND(FIND('112'!$M$9,G2467,1)&gt;=1,$B2467&gt;='112'!$N$8,$B2467&lt;='112'!$O$8,OR($L2467='112'!$I$6,$M2467='112'!$I$6))),"x",""))</f>
        <v/>
      </c>
      <c r="S2467" s="525" t="str">
        <f>IF(ISERROR(FIND('112'!$M$9,G2467,1)),"",IF((AND(LEFT(G2467,2)=LEFT('112'!$M$9,2),B2467&lt;'112'!$N$8,$L2467='112'!$I$6)),"x",""))</f>
        <v/>
      </c>
      <c r="T2467" s="525" t="str">
        <f>IF(ISERROR(FIND('112'!$M$9,G2467,1)),"",IF((AND(RIGHT(G2467,2)=RIGHT('112'!$M$9,2),B2467&lt;'112'!$N$8,$M2467='112'!$I$6)),"x",""))</f>
        <v/>
      </c>
      <c r="U2467" s="525" t="str">
        <f>IF(AND(B2467&gt;='IN-NX'!$P$3,B2467&lt;='IN-NX'!$Q$3,'IN-NX'!$D$7=D2467,OR(LEFT(L2467,2)="15",AND(LEFT(M2467,2)&lt;&gt;"15",LEFT(M2467,2)&lt;&gt;"33"))),"x","")</f>
        <v/>
      </c>
      <c r="V2467" s="525" t="str">
        <f>IF(AND(OR(LEFT(TH!L2467,2)="15",LEFT(TH!M2467,2)="15"),'152-CT'!$J$8=TH!F2467),"x","")</f>
        <v/>
      </c>
      <c r="W2467" s="525" t="str">
        <f>IF(AND(OR(LEFT(TH!L2467,2)="15",LEFT(TH!M2467,2)="15"),TK!$E$7=TH!F2467),"x","")</f>
        <v/>
      </c>
      <c r="X2467" s="525" t="str">
        <f>IF(AND('341-CT'!$E$9=H2467,OR(LEFT(L2467,3)=$X$7,LEFT(M2467,3)=$X$7)),"x","")</f>
        <v/>
      </c>
      <c r="Y2467" s="525" t="str">
        <f>IF(OR(TH!L2467=TH!$Y$7,M2467=TH!$Y$7),"x","")</f>
        <v/>
      </c>
      <c r="Z2467" s="525" t="str">
        <f>IF(AND(B2467&lt;=NKC!$N$8,B2467&gt;=NKC!$M$8),"x","")</f>
        <v/>
      </c>
      <c r="AA2467" s="535">
        <v>2</v>
      </c>
      <c r="AB2467" s="536"/>
    </row>
    <row r="2468" spans="1:28" s="503" customFormat="1" ht="15.75" customHeight="1">
      <c r="A2468" s="517" t="str">
        <f>IF(B2468&lt;&gt;"",IF(AND(B2468&gt;=_TM1,B2468&lt;=_TM2,OR(TH!L2468="1111",TH!M2468="1111")),TH!D2468,""),"")</f>
        <v/>
      </c>
      <c r="B2468" s="531">
        <f t="shared" si="220"/>
        <v>5</v>
      </c>
      <c r="C2468" s="315">
        <f t="shared" si="221"/>
        <v>42873</v>
      </c>
      <c r="D2468" s="315" t="s">
        <v>1353</v>
      </c>
      <c r="E2468" s="315">
        <v>42873</v>
      </c>
      <c r="F2468" s="245" t="s">
        <v>1169</v>
      </c>
      <c r="G2468" s="314" t="s">
        <v>1147</v>
      </c>
      <c r="H2468" s="473" t="s">
        <v>1142</v>
      </c>
      <c r="I2468" s="307">
        <v>8</v>
      </c>
      <c r="J2468" s="307">
        <v>75420</v>
      </c>
      <c r="K2468" s="532">
        <f t="shared" si="222"/>
        <v>603360</v>
      </c>
      <c r="L2468" s="534" t="s">
        <v>292</v>
      </c>
      <c r="M2468" s="534" t="s">
        <v>8</v>
      </c>
      <c r="N2468" s="525" t="str">
        <f>IF(AND('331-CT'!$E$7=TH!H2468,OR(L2468="331",M2468="331")),"331",IF(AND(OR(L2468="131",M2468="131"),H2468='131-CT'!$E$7),"131",""))</f>
        <v/>
      </c>
      <c r="O2468" s="525" t="str">
        <f>IF(AND($B2468&gt;='111'!$N$11,$B2468&lt;='111'!$O$11,OR($L2468=$O$7,$M2468=$O$7)),"x","")</f>
        <v/>
      </c>
      <c r="P2468" s="525" t="str">
        <f>IF(AND($L2468=$O$7,$B2468&lt;'111'!$N$11),"x","")</f>
        <v/>
      </c>
      <c r="Q2468" s="525" t="str">
        <f>IF(AND($M2468=$O$7,$B2468&lt;'111'!$N$11),"x","")</f>
        <v/>
      </c>
      <c r="R2468" s="525" t="str">
        <f>IF(ISERROR(FIND('112'!$M$9,G2468,1)),"",IF((AND(FIND('112'!$M$9,G2468,1)&gt;=1,$B2468&gt;='112'!$N$8,$B2468&lt;='112'!$O$8,OR($L2468='112'!$I$6,$M2468='112'!$I$6))),"x",""))</f>
        <v/>
      </c>
      <c r="S2468" s="525" t="str">
        <f>IF(ISERROR(FIND('112'!$M$9,G2468,1)),"",IF((AND(LEFT(G2468,2)=LEFT('112'!$M$9,2),B2468&lt;'112'!$N$8,$L2468='112'!$I$6)),"x",""))</f>
        <v/>
      </c>
      <c r="T2468" s="525" t="str">
        <f>IF(ISERROR(FIND('112'!$M$9,G2468,1)),"",IF((AND(RIGHT(G2468,2)=RIGHT('112'!$M$9,2),B2468&lt;'112'!$N$8,$M2468='112'!$I$6)),"x",""))</f>
        <v/>
      </c>
      <c r="U2468" s="525" t="str">
        <f>IF(AND(B2468&gt;='IN-NX'!$P$3,B2468&lt;='IN-NX'!$Q$3,'IN-NX'!$D$7=D2468,OR(LEFT(L2468,2)="15",AND(LEFT(M2468,2)&lt;&gt;"15",LEFT(M2468,2)&lt;&gt;"33"))),"x","")</f>
        <v/>
      </c>
      <c r="V2468" s="525" t="str">
        <f>IF(AND(OR(LEFT(TH!L2468,2)="15",LEFT(TH!M2468,2)="15"),'152-CT'!$J$8=TH!F2468),"x","")</f>
        <v/>
      </c>
      <c r="W2468" s="525" t="str">
        <f>IF(AND(OR(LEFT(TH!L2468,2)="15",LEFT(TH!M2468,2)="15"),TK!$E$7=TH!F2468),"x","")</f>
        <v/>
      </c>
      <c r="X2468" s="525" t="str">
        <f>IF(AND('341-CT'!$E$9=H2468,OR(LEFT(L2468,3)=$X$7,LEFT(M2468,3)=$X$7)),"x","")</f>
        <v/>
      </c>
      <c r="Y2468" s="525" t="str">
        <f>IF(OR(TH!L2468=TH!$Y$7,M2468=TH!$Y$7),"x","")</f>
        <v/>
      </c>
      <c r="Z2468" s="525" t="str">
        <f>IF(AND(B2468&lt;=NKC!$N$8,B2468&gt;=NKC!$M$8),"x","")</f>
        <v/>
      </c>
      <c r="AA2468" s="535">
        <v>2</v>
      </c>
      <c r="AB2468" s="536"/>
    </row>
    <row r="2469" spans="1:28" s="503" customFormat="1" ht="15.75" customHeight="1">
      <c r="A2469" s="517" t="str">
        <f>IF(B2469&lt;&gt;"",IF(AND(B2469&gt;=_TM1,B2469&lt;=_TM2,OR(TH!L2469="1111",TH!M2469="1111")),TH!D2469,""),"")</f>
        <v/>
      </c>
      <c r="B2469" s="531">
        <f t="shared" si="220"/>
        <v>5</v>
      </c>
      <c r="C2469" s="315">
        <f t="shared" si="221"/>
        <v>42873</v>
      </c>
      <c r="D2469" s="315" t="s">
        <v>1353</v>
      </c>
      <c r="E2469" s="315">
        <v>42873</v>
      </c>
      <c r="F2469" s="249" t="s">
        <v>705</v>
      </c>
      <c r="G2469" s="314" t="s">
        <v>1147</v>
      </c>
      <c r="H2469" s="473" t="s">
        <v>1142</v>
      </c>
      <c r="I2469" s="307">
        <v>8</v>
      </c>
      <c r="J2469" s="307">
        <v>46680</v>
      </c>
      <c r="K2469" s="532">
        <f t="shared" si="222"/>
        <v>373440</v>
      </c>
      <c r="L2469" s="534" t="s">
        <v>292</v>
      </c>
      <c r="M2469" s="534" t="s">
        <v>8</v>
      </c>
      <c r="N2469" s="525" t="str">
        <f>IF(AND('331-CT'!$E$7=TH!H2469,OR(L2469="331",M2469="331")),"331",IF(AND(OR(L2469="131",M2469="131"),H2469='131-CT'!$E$7),"131",""))</f>
        <v/>
      </c>
      <c r="O2469" s="525" t="str">
        <f>IF(AND($B2469&gt;='111'!$N$11,$B2469&lt;='111'!$O$11,OR($L2469=$O$7,$M2469=$O$7)),"x","")</f>
        <v/>
      </c>
      <c r="P2469" s="525" t="str">
        <f>IF(AND($L2469=$O$7,$B2469&lt;'111'!$N$11),"x","")</f>
        <v/>
      </c>
      <c r="Q2469" s="525" t="str">
        <f>IF(AND($M2469=$O$7,$B2469&lt;'111'!$N$11),"x","")</f>
        <v/>
      </c>
      <c r="R2469" s="525" t="str">
        <f>IF(ISERROR(FIND('112'!$M$9,G2469,1)),"",IF((AND(FIND('112'!$M$9,G2469,1)&gt;=1,$B2469&gt;='112'!$N$8,$B2469&lt;='112'!$O$8,OR($L2469='112'!$I$6,$M2469='112'!$I$6))),"x",""))</f>
        <v/>
      </c>
      <c r="S2469" s="525" t="str">
        <f>IF(ISERROR(FIND('112'!$M$9,G2469,1)),"",IF((AND(LEFT(G2469,2)=LEFT('112'!$M$9,2),B2469&lt;'112'!$N$8,$L2469='112'!$I$6)),"x",""))</f>
        <v/>
      </c>
      <c r="T2469" s="525" t="str">
        <f>IF(ISERROR(FIND('112'!$M$9,G2469,1)),"",IF((AND(RIGHT(G2469,2)=RIGHT('112'!$M$9,2),B2469&lt;'112'!$N$8,$M2469='112'!$I$6)),"x",""))</f>
        <v/>
      </c>
      <c r="U2469" s="525" t="str">
        <f>IF(AND(B2469&gt;='IN-NX'!$P$3,B2469&lt;='IN-NX'!$Q$3,'IN-NX'!$D$7=D2469,OR(LEFT(L2469,2)="15",AND(LEFT(M2469,2)&lt;&gt;"15",LEFT(M2469,2)&lt;&gt;"33"))),"x","")</f>
        <v/>
      </c>
      <c r="V2469" s="525" t="str">
        <f>IF(AND(OR(LEFT(TH!L2469,2)="15",LEFT(TH!M2469,2)="15"),'152-CT'!$J$8=TH!F2469),"x","")</f>
        <v/>
      </c>
      <c r="W2469" s="525" t="str">
        <f>IF(AND(OR(LEFT(TH!L2469,2)="15",LEFT(TH!M2469,2)="15"),TK!$E$7=TH!F2469),"x","")</f>
        <v/>
      </c>
      <c r="X2469" s="525" t="str">
        <f>IF(AND('341-CT'!$E$9=H2469,OR(LEFT(L2469,3)=$X$7,LEFT(M2469,3)=$X$7)),"x","")</f>
        <v/>
      </c>
      <c r="Y2469" s="525" t="str">
        <f>IF(OR(TH!L2469=TH!$Y$7,M2469=TH!$Y$7),"x","")</f>
        <v/>
      </c>
      <c r="Z2469" s="525" t="str">
        <f>IF(AND(B2469&lt;=NKC!$N$8,B2469&gt;=NKC!$M$8),"x","")</f>
        <v/>
      </c>
      <c r="AA2469" s="535">
        <v>2</v>
      </c>
      <c r="AB2469" s="536"/>
    </row>
    <row r="2470" spans="1:28" s="503" customFormat="1" ht="15.75" customHeight="1">
      <c r="A2470" s="517" t="str">
        <f>IF(B2470&lt;&gt;"",IF(AND(B2470&gt;=_TM1,B2470&lt;=_TM2,OR(TH!L2470="1111",TH!M2470="1111")),TH!D2470,""),"")</f>
        <v/>
      </c>
      <c r="B2470" s="531">
        <f t="shared" si="220"/>
        <v>5</v>
      </c>
      <c r="C2470" s="315">
        <f t="shared" si="221"/>
        <v>42873</v>
      </c>
      <c r="D2470" s="315" t="s">
        <v>1353</v>
      </c>
      <c r="E2470" s="315">
        <v>42873</v>
      </c>
      <c r="F2470" s="249" t="s">
        <v>709</v>
      </c>
      <c r="G2470" s="314" t="s">
        <v>1147</v>
      </c>
      <c r="H2470" s="473" t="s">
        <v>1142</v>
      </c>
      <c r="I2470" s="307">
        <v>68</v>
      </c>
      <c r="J2470" s="307">
        <v>40380</v>
      </c>
      <c r="K2470" s="532">
        <f t="shared" si="222"/>
        <v>2745840</v>
      </c>
      <c r="L2470" s="534" t="s">
        <v>292</v>
      </c>
      <c r="M2470" s="534" t="s">
        <v>8</v>
      </c>
      <c r="N2470" s="525" t="str">
        <f>IF(AND('331-CT'!$E$7=TH!H2470,OR(L2470="331",M2470="331")),"331",IF(AND(OR(L2470="131",M2470="131"),H2470='131-CT'!$E$7),"131",""))</f>
        <v/>
      </c>
      <c r="O2470" s="525" t="str">
        <f>IF(AND($B2470&gt;='111'!$N$11,$B2470&lt;='111'!$O$11,OR($L2470=$O$7,$M2470=$O$7)),"x","")</f>
        <v/>
      </c>
      <c r="P2470" s="525" t="str">
        <f>IF(AND($L2470=$O$7,$B2470&lt;'111'!$N$11),"x","")</f>
        <v/>
      </c>
      <c r="Q2470" s="525" t="str">
        <f>IF(AND($M2470=$O$7,$B2470&lt;'111'!$N$11),"x","")</f>
        <v/>
      </c>
      <c r="R2470" s="525" t="str">
        <f>IF(ISERROR(FIND('112'!$M$9,G2470,1)),"",IF((AND(FIND('112'!$M$9,G2470,1)&gt;=1,$B2470&gt;='112'!$N$8,$B2470&lt;='112'!$O$8,OR($L2470='112'!$I$6,$M2470='112'!$I$6))),"x",""))</f>
        <v/>
      </c>
      <c r="S2470" s="525" t="str">
        <f>IF(ISERROR(FIND('112'!$M$9,G2470,1)),"",IF((AND(LEFT(G2470,2)=LEFT('112'!$M$9,2),B2470&lt;'112'!$N$8,$L2470='112'!$I$6)),"x",""))</f>
        <v/>
      </c>
      <c r="T2470" s="525" t="str">
        <f>IF(ISERROR(FIND('112'!$M$9,G2470,1)),"",IF((AND(RIGHT(G2470,2)=RIGHT('112'!$M$9,2),B2470&lt;'112'!$N$8,$M2470='112'!$I$6)),"x",""))</f>
        <v/>
      </c>
      <c r="U2470" s="525" t="str">
        <f>IF(AND(B2470&gt;='IN-NX'!$P$3,B2470&lt;='IN-NX'!$Q$3,'IN-NX'!$D$7=D2470,OR(LEFT(L2470,2)="15",AND(LEFT(M2470,2)&lt;&gt;"15",LEFT(M2470,2)&lt;&gt;"33"))),"x","")</f>
        <v/>
      </c>
      <c r="V2470" s="525" t="str">
        <f>IF(AND(OR(LEFT(TH!L2470,2)="15",LEFT(TH!M2470,2)="15"),'152-CT'!$J$8=TH!F2470),"x","")</f>
        <v/>
      </c>
      <c r="W2470" s="525" t="str">
        <f>IF(AND(OR(LEFT(TH!L2470,2)="15",LEFT(TH!M2470,2)="15"),TK!$E$7=TH!F2470),"x","")</f>
        <v/>
      </c>
      <c r="X2470" s="525" t="str">
        <f>IF(AND('341-CT'!$E$9=H2470,OR(LEFT(L2470,3)=$X$7,LEFT(M2470,3)=$X$7)),"x","")</f>
        <v/>
      </c>
      <c r="Y2470" s="525" t="str">
        <f>IF(OR(TH!L2470=TH!$Y$7,M2470=TH!$Y$7),"x","")</f>
        <v/>
      </c>
      <c r="Z2470" s="525" t="str">
        <f>IF(AND(B2470&lt;=NKC!$N$8,B2470&gt;=NKC!$M$8),"x","")</f>
        <v/>
      </c>
      <c r="AA2470" s="535">
        <v>2</v>
      </c>
      <c r="AB2470" s="536"/>
    </row>
    <row r="2471" spans="1:28" s="503" customFormat="1" ht="15.75" customHeight="1">
      <c r="A2471" s="517" t="str">
        <f>IF(B2471&lt;&gt;"",IF(AND(B2471&gt;=_TM1,B2471&lt;=_TM2,OR(TH!L2471="1111",TH!M2471="1111")),TH!D2471,""),"")</f>
        <v/>
      </c>
      <c r="B2471" s="531">
        <f t="shared" si="220"/>
        <v>5</v>
      </c>
      <c r="C2471" s="315">
        <f t="shared" si="221"/>
        <v>42873</v>
      </c>
      <c r="D2471" s="315" t="s">
        <v>1353</v>
      </c>
      <c r="E2471" s="315">
        <v>42873</v>
      </c>
      <c r="F2471" s="249" t="s">
        <v>713</v>
      </c>
      <c r="G2471" s="314" t="s">
        <v>1147</v>
      </c>
      <c r="H2471" s="473" t="s">
        <v>1142</v>
      </c>
      <c r="I2471" s="307">
        <v>44</v>
      </c>
      <c r="J2471" s="307">
        <v>31520</v>
      </c>
      <c r="K2471" s="532">
        <f t="shared" si="222"/>
        <v>1386880</v>
      </c>
      <c r="L2471" s="534" t="s">
        <v>292</v>
      </c>
      <c r="M2471" s="534" t="s">
        <v>8</v>
      </c>
      <c r="N2471" s="525" t="str">
        <f>IF(AND('331-CT'!$E$7=TH!H2471,OR(L2471="331",M2471="331")),"331",IF(AND(OR(L2471="131",M2471="131"),H2471='131-CT'!$E$7),"131",""))</f>
        <v/>
      </c>
      <c r="O2471" s="525" t="str">
        <f>IF(AND($B2471&gt;='111'!$N$11,$B2471&lt;='111'!$O$11,OR($L2471=$O$7,$M2471=$O$7)),"x","")</f>
        <v/>
      </c>
      <c r="P2471" s="525" t="str">
        <f>IF(AND($L2471=$O$7,$B2471&lt;'111'!$N$11),"x","")</f>
        <v/>
      </c>
      <c r="Q2471" s="525" t="str">
        <f>IF(AND($M2471=$O$7,$B2471&lt;'111'!$N$11),"x","")</f>
        <v/>
      </c>
      <c r="R2471" s="525" t="str">
        <f>IF(ISERROR(FIND('112'!$M$9,G2471,1)),"",IF((AND(FIND('112'!$M$9,G2471,1)&gt;=1,$B2471&gt;='112'!$N$8,$B2471&lt;='112'!$O$8,OR($L2471='112'!$I$6,$M2471='112'!$I$6))),"x",""))</f>
        <v/>
      </c>
      <c r="S2471" s="525" t="str">
        <f>IF(ISERROR(FIND('112'!$M$9,G2471,1)),"",IF((AND(LEFT(G2471,2)=LEFT('112'!$M$9,2),B2471&lt;'112'!$N$8,$L2471='112'!$I$6)),"x",""))</f>
        <v/>
      </c>
      <c r="T2471" s="525" t="str">
        <f>IF(ISERROR(FIND('112'!$M$9,G2471,1)),"",IF((AND(RIGHT(G2471,2)=RIGHT('112'!$M$9,2),B2471&lt;'112'!$N$8,$M2471='112'!$I$6)),"x",""))</f>
        <v/>
      </c>
      <c r="U2471" s="525" t="str">
        <f>IF(AND(B2471&gt;='IN-NX'!$P$3,B2471&lt;='IN-NX'!$Q$3,'IN-NX'!$D$7=D2471,OR(LEFT(L2471,2)="15",AND(LEFT(M2471,2)&lt;&gt;"15",LEFT(M2471,2)&lt;&gt;"33"))),"x","")</f>
        <v/>
      </c>
      <c r="V2471" s="525" t="str">
        <f>IF(AND(OR(LEFT(TH!L2471,2)="15",LEFT(TH!M2471,2)="15"),'152-CT'!$J$8=TH!F2471),"x","")</f>
        <v/>
      </c>
      <c r="W2471" s="525" t="str">
        <f>IF(AND(OR(LEFT(TH!L2471,2)="15",LEFT(TH!M2471,2)="15"),TK!$E$7=TH!F2471),"x","")</f>
        <v/>
      </c>
      <c r="X2471" s="525" t="str">
        <f>IF(AND('341-CT'!$E$9=H2471,OR(LEFT(L2471,3)=$X$7,LEFT(M2471,3)=$X$7)),"x","")</f>
        <v/>
      </c>
      <c r="Y2471" s="525" t="str">
        <f>IF(OR(TH!L2471=TH!$Y$7,M2471=TH!$Y$7),"x","")</f>
        <v/>
      </c>
      <c r="Z2471" s="525" t="str">
        <f>IF(AND(B2471&lt;=NKC!$N$8,B2471&gt;=NKC!$M$8),"x","")</f>
        <v/>
      </c>
      <c r="AA2471" s="535">
        <v>2</v>
      </c>
      <c r="AB2471" s="536"/>
    </row>
    <row r="2472" spans="1:28" s="503" customFormat="1" ht="15.75" customHeight="1">
      <c r="A2472" s="517" t="str">
        <f>IF(B2472&lt;&gt;"",IF(AND(B2472&gt;=_TM1,B2472&lt;=_TM2,OR(TH!L2472="1111",TH!M2472="1111")),TH!D2472,""),"")</f>
        <v/>
      </c>
      <c r="B2472" s="531">
        <f t="shared" si="220"/>
        <v>5</v>
      </c>
      <c r="C2472" s="315">
        <f t="shared" si="221"/>
        <v>42873</v>
      </c>
      <c r="D2472" s="315" t="s">
        <v>1353</v>
      </c>
      <c r="E2472" s="315">
        <v>42873</v>
      </c>
      <c r="F2472" s="249" t="s">
        <v>761</v>
      </c>
      <c r="G2472" s="314" t="s">
        <v>1147</v>
      </c>
      <c r="H2472" s="473" t="s">
        <v>1142</v>
      </c>
      <c r="I2472" s="307">
        <v>26</v>
      </c>
      <c r="J2472" s="307">
        <v>34980</v>
      </c>
      <c r="K2472" s="532">
        <f t="shared" si="222"/>
        <v>909480</v>
      </c>
      <c r="L2472" s="534" t="s">
        <v>292</v>
      </c>
      <c r="M2472" s="534" t="s">
        <v>8</v>
      </c>
      <c r="N2472" s="525" t="str">
        <f>IF(AND('331-CT'!$E$7=TH!H2472,OR(L2472="331",M2472="331")),"331",IF(AND(OR(L2472="131",M2472="131"),H2472='131-CT'!$E$7),"131",""))</f>
        <v/>
      </c>
      <c r="O2472" s="525" t="str">
        <f>IF(AND($B2472&gt;='111'!$N$11,$B2472&lt;='111'!$O$11,OR($L2472=$O$7,$M2472=$O$7)),"x","")</f>
        <v/>
      </c>
      <c r="P2472" s="525" t="str">
        <f>IF(AND($L2472=$O$7,$B2472&lt;'111'!$N$11),"x","")</f>
        <v/>
      </c>
      <c r="Q2472" s="525" t="str">
        <f>IF(AND($M2472=$O$7,$B2472&lt;'111'!$N$11),"x","")</f>
        <v/>
      </c>
      <c r="R2472" s="525" t="str">
        <f>IF(ISERROR(FIND('112'!$M$9,G2472,1)),"",IF((AND(FIND('112'!$M$9,G2472,1)&gt;=1,$B2472&gt;='112'!$N$8,$B2472&lt;='112'!$O$8,OR($L2472='112'!$I$6,$M2472='112'!$I$6))),"x",""))</f>
        <v/>
      </c>
      <c r="S2472" s="525" t="str">
        <f>IF(ISERROR(FIND('112'!$M$9,G2472,1)),"",IF((AND(LEFT(G2472,2)=LEFT('112'!$M$9,2),B2472&lt;'112'!$N$8,$L2472='112'!$I$6)),"x",""))</f>
        <v/>
      </c>
      <c r="T2472" s="525" t="str">
        <f>IF(ISERROR(FIND('112'!$M$9,G2472,1)),"",IF((AND(RIGHT(G2472,2)=RIGHT('112'!$M$9,2),B2472&lt;'112'!$N$8,$M2472='112'!$I$6)),"x",""))</f>
        <v/>
      </c>
      <c r="U2472" s="525" t="str">
        <f>IF(AND(B2472&gt;='IN-NX'!$P$3,B2472&lt;='IN-NX'!$Q$3,'IN-NX'!$D$7=D2472,OR(LEFT(L2472,2)="15",AND(LEFT(M2472,2)&lt;&gt;"15",LEFT(M2472,2)&lt;&gt;"33"))),"x","")</f>
        <v/>
      </c>
      <c r="V2472" s="525" t="str">
        <f>IF(AND(OR(LEFT(TH!L2472,2)="15",LEFT(TH!M2472,2)="15"),'152-CT'!$J$8=TH!F2472),"x","")</f>
        <v/>
      </c>
      <c r="W2472" s="525" t="str">
        <f>IF(AND(OR(LEFT(TH!L2472,2)="15",LEFT(TH!M2472,2)="15"),TK!$E$7=TH!F2472),"x","")</f>
        <v/>
      </c>
      <c r="X2472" s="525" t="str">
        <f>IF(AND('341-CT'!$E$9=H2472,OR(LEFT(L2472,3)=$X$7,LEFT(M2472,3)=$X$7)),"x","")</f>
        <v/>
      </c>
      <c r="Y2472" s="525" t="str">
        <f>IF(OR(TH!L2472=TH!$Y$7,M2472=TH!$Y$7),"x","")</f>
        <v/>
      </c>
      <c r="Z2472" s="525" t="str">
        <f>IF(AND(B2472&lt;=NKC!$N$8,B2472&gt;=NKC!$M$8),"x","")</f>
        <v/>
      </c>
      <c r="AA2472" s="535">
        <v>2</v>
      </c>
      <c r="AB2472" s="536"/>
    </row>
    <row r="2473" spans="1:28" s="503" customFormat="1" ht="15.75" customHeight="1">
      <c r="A2473" s="517" t="str">
        <f>IF(B2473&lt;&gt;"",IF(AND(B2473&gt;=_TM1,B2473&lt;=_TM2,OR(TH!L2473="1111",TH!M2473="1111")),TH!D2473,""),"")</f>
        <v/>
      </c>
      <c r="B2473" s="531">
        <f t="shared" si="220"/>
        <v>5</v>
      </c>
      <c r="C2473" s="315">
        <f t="shared" si="221"/>
        <v>42873</v>
      </c>
      <c r="D2473" s="315" t="s">
        <v>1353</v>
      </c>
      <c r="E2473" s="315">
        <v>42873</v>
      </c>
      <c r="F2473" s="249" t="s">
        <v>1019</v>
      </c>
      <c r="G2473" s="314" t="s">
        <v>1147</v>
      </c>
      <c r="H2473" s="473" t="s">
        <v>1142</v>
      </c>
      <c r="I2473" s="307">
        <v>12</v>
      </c>
      <c r="J2473" s="307">
        <v>21060</v>
      </c>
      <c r="K2473" s="532">
        <f t="shared" si="222"/>
        <v>252720</v>
      </c>
      <c r="L2473" s="534" t="s">
        <v>292</v>
      </c>
      <c r="M2473" s="534" t="s">
        <v>8</v>
      </c>
      <c r="N2473" s="525" t="str">
        <f>IF(AND('331-CT'!$E$7=TH!H2473,OR(L2473="331",M2473="331")),"331",IF(AND(OR(L2473="131",M2473="131"),H2473='131-CT'!$E$7),"131",""))</f>
        <v/>
      </c>
      <c r="O2473" s="525" t="str">
        <f>IF(AND($B2473&gt;='111'!$N$11,$B2473&lt;='111'!$O$11,OR($L2473=$O$7,$M2473=$O$7)),"x","")</f>
        <v/>
      </c>
      <c r="P2473" s="525" t="str">
        <f>IF(AND($L2473=$O$7,$B2473&lt;'111'!$N$11),"x","")</f>
        <v/>
      </c>
      <c r="Q2473" s="525" t="str">
        <f>IF(AND($M2473=$O$7,$B2473&lt;'111'!$N$11),"x","")</f>
        <v/>
      </c>
      <c r="R2473" s="525" t="str">
        <f>IF(ISERROR(FIND('112'!$M$9,G2473,1)),"",IF((AND(FIND('112'!$M$9,G2473,1)&gt;=1,$B2473&gt;='112'!$N$8,$B2473&lt;='112'!$O$8,OR($L2473='112'!$I$6,$M2473='112'!$I$6))),"x",""))</f>
        <v/>
      </c>
      <c r="S2473" s="525" t="str">
        <f>IF(ISERROR(FIND('112'!$M$9,G2473,1)),"",IF((AND(LEFT(G2473,2)=LEFT('112'!$M$9,2),B2473&lt;'112'!$N$8,$L2473='112'!$I$6)),"x",""))</f>
        <v/>
      </c>
      <c r="T2473" s="525" t="str">
        <f>IF(ISERROR(FIND('112'!$M$9,G2473,1)),"",IF((AND(RIGHT(G2473,2)=RIGHT('112'!$M$9,2),B2473&lt;'112'!$N$8,$M2473='112'!$I$6)),"x",""))</f>
        <v/>
      </c>
      <c r="U2473" s="525" t="str">
        <f>IF(AND(B2473&gt;='IN-NX'!$P$3,B2473&lt;='IN-NX'!$Q$3,'IN-NX'!$D$7=D2473,OR(LEFT(L2473,2)="15",AND(LEFT(M2473,2)&lt;&gt;"15",LEFT(M2473,2)&lt;&gt;"33"))),"x","")</f>
        <v/>
      </c>
      <c r="V2473" s="525" t="str">
        <f>IF(AND(OR(LEFT(TH!L2473,2)="15",LEFT(TH!M2473,2)="15"),'152-CT'!$J$8=TH!F2473),"x","")</f>
        <v/>
      </c>
      <c r="W2473" s="525" t="str">
        <f>IF(AND(OR(LEFT(TH!L2473,2)="15",LEFT(TH!M2473,2)="15"),TK!$E$7=TH!F2473),"x","")</f>
        <v/>
      </c>
      <c r="X2473" s="525" t="str">
        <f>IF(AND('341-CT'!$E$9=H2473,OR(LEFT(L2473,3)=$X$7,LEFT(M2473,3)=$X$7)),"x","")</f>
        <v/>
      </c>
      <c r="Y2473" s="525" t="str">
        <f>IF(OR(TH!L2473=TH!$Y$7,M2473=TH!$Y$7),"x","")</f>
        <v/>
      </c>
      <c r="Z2473" s="525" t="str">
        <f>IF(AND(B2473&lt;=NKC!$N$8,B2473&gt;=NKC!$M$8),"x","")</f>
        <v/>
      </c>
      <c r="AA2473" s="535">
        <v>2</v>
      </c>
      <c r="AB2473" s="536"/>
    </row>
    <row r="2474" spans="1:28" s="503" customFormat="1" ht="15.75" customHeight="1">
      <c r="A2474" s="517" t="str">
        <f>IF(B2474&lt;&gt;"",IF(AND(B2474&gt;=_TM1,B2474&lt;=_TM2,OR(TH!L2474="1111",TH!M2474="1111")),TH!D2474,""),"")</f>
        <v/>
      </c>
      <c r="B2474" s="531">
        <f t="shared" si="220"/>
        <v>5</v>
      </c>
      <c r="C2474" s="315">
        <f t="shared" si="221"/>
        <v>42873</v>
      </c>
      <c r="D2474" s="315" t="s">
        <v>1353</v>
      </c>
      <c r="E2474" s="315">
        <v>42873</v>
      </c>
      <c r="F2474" s="249" t="s">
        <v>1050</v>
      </c>
      <c r="G2474" s="314" t="s">
        <v>1147</v>
      </c>
      <c r="H2474" s="473" t="s">
        <v>1142</v>
      </c>
      <c r="I2474" s="307">
        <v>144</v>
      </c>
      <c r="J2474" s="307">
        <v>13170</v>
      </c>
      <c r="K2474" s="532">
        <f t="shared" si="222"/>
        <v>1896480</v>
      </c>
      <c r="L2474" s="534" t="s">
        <v>292</v>
      </c>
      <c r="M2474" s="534" t="s">
        <v>8</v>
      </c>
      <c r="N2474" s="525" t="str">
        <f>IF(AND('331-CT'!$E$7=TH!H2474,OR(L2474="331",M2474="331")),"331",IF(AND(OR(L2474="131",M2474="131"),H2474='131-CT'!$E$7),"131",""))</f>
        <v/>
      </c>
      <c r="O2474" s="525" t="str">
        <f>IF(AND($B2474&gt;='111'!$N$11,$B2474&lt;='111'!$O$11,OR($L2474=$O$7,$M2474=$O$7)),"x","")</f>
        <v/>
      </c>
      <c r="P2474" s="525" t="str">
        <f>IF(AND($L2474=$O$7,$B2474&lt;'111'!$N$11),"x","")</f>
        <v/>
      </c>
      <c r="Q2474" s="525" t="str">
        <f>IF(AND($M2474=$O$7,$B2474&lt;'111'!$N$11),"x","")</f>
        <v/>
      </c>
      <c r="R2474" s="525" t="str">
        <f>IF(ISERROR(FIND('112'!$M$9,G2474,1)),"",IF((AND(FIND('112'!$M$9,G2474,1)&gt;=1,$B2474&gt;='112'!$N$8,$B2474&lt;='112'!$O$8,OR($L2474='112'!$I$6,$M2474='112'!$I$6))),"x",""))</f>
        <v/>
      </c>
      <c r="S2474" s="525" t="str">
        <f>IF(ISERROR(FIND('112'!$M$9,G2474,1)),"",IF((AND(LEFT(G2474,2)=LEFT('112'!$M$9,2),B2474&lt;'112'!$N$8,$L2474='112'!$I$6)),"x",""))</f>
        <v/>
      </c>
      <c r="T2474" s="525" t="str">
        <f>IF(ISERROR(FIND('112'!$M$9,G2474,1)),"",IF((AND(RIGHT(G2474,2)=RIGHT('112'!$M$9,2),B2474&lt;'112'!$N$8,$M2474='112'!$I$6)),"x",""))</f>
        <v/>
      </c>
      <c r="U2474" s="525" t="str">
        <f>IF(AND(B2474&gt;='IN-NX'!$P$3,B2474&lt;='IN-NX'!$Q$3,'IN-NX'!$D$7=D2474,OR(LEFT(L2474,2)="15",AND(LEFT(M2474,2)&lt;&gt;"15",LEFT(M2474,2)&lt;&gt;"33"))),"x","")</f>
        <v/>
      </c>
      <c r="V2474" s="525" t="str">
        <f>IF(AND(OR(LEFT(TH!L2474,2)="15",LEFT(TH!M2474,2)="15"),'152-CT'!$J$8=TH!F2474),"x","")</f>
        <v/>
      </c>
      <c r="W2474" s="525" t="str">
        <f>IF(AND(OR(LEFT(TH!L2474,2)="15",LEFT(TH!M2474,2)="15"),TK!$E$7=TH!F2474),"x","")</f>
        <v/>
      </c>
      <c r="X2474" s="525" t="str">
        <f>IF(AND('341-CT'!$E$9=H2474,OR(LEFT(L2474,3)=$X$7,LEFT(M2474,3)=$X$7)),"x","")</f>
        <v/>
      </c>
      <c r="Y2474" s="525" t="str">
        <f>IF(OR(TH!L2474=TH!$Y$7,M2474=TH!$Y$7),"x","")</f>
        <v/>
      </c>
      <c r="Z2474" s="525" t="str">
        <f>IF(AND(B2474&lt;=NKC!$N$8,B2474&gt;=NKC!$M$8),"x","")</f>
        <v/>
      </c>
      <c r="AA2474" s="535">
        <v>2</v>
      </c>
      <c r="AB2474" s="536"/>
    </row>
    <row r="2475" spans="1:28" s="503" customFormat="1" ht="15.75" customHeight="1">
      <c r="A2475" s="517" t="str">
        <f>IF(B2475&lt;&gt;"",IF(AND(B2475&gt;=_TM1,B2475&lt;=_TM2,OR(TH!L2475="1111",TH!M2475="1111")),TH!D2475,""),"")</f>
        <v/>
      </c>
      <c r="B2475" s="531">
        <f t="shared" si="220"/>
        <v>5</v>
      </c>
      <c r="C2475" s="315">
        <f t="shared" si="221"/>
        <v>42873</v>
      </c>
      <c r="D2475" s="315" t="s">
        <v>1353</v>
      </c>
      <c r="E2475" s="315">
        <v>42873</v>
      </c>
      <c r="F2475" s="249" t="s">
        <v>1043</v>
      </c>
      <c r="G2475" s="314" t="s">
        <v>1147</v>
      </c>
      <c r="H2475" s="473" t="s">
        <v>1142</v>
      </c>
      <c r="I2475" s="307">
        <v>12</v>
      </c>
      <c r="J2475" s="307">
        <v>24670</v>
      </c>
      <c r="K2475" s="532">
        <f t="shared" si="222"/>
        <v>296040</v>
      </c>
      <c r="L2475" s="534" t="s">
        <v>292</v>
      </c>
      <c r="M2475" s="534" t="s">
        <v>8</v>
      </c>
      <c r="N2475" s="525" t="str">
        <f>IF(AND('331-CT'!$E$7=TH!H2475,OR(L2475="331",M2475="331")),"331",IF(AND(OR(L2475="131",M2475="131"),H2475='131-CT'!$E$7),"131",""))</f>
        <v/>
      </c>
      <c r="O2475" s="525" t="str">
        <f>IF(AND($B2475&gt;='111'!$N$11,$B2475&lt;='111'!$O$11,OR($L2475=$O$7,$M2475=$O$7)),"x","")</f>
        <v/>
      </c>
      <c r="P2475" s="525" t="str">
        <f>IF(AND($L2475=$O$7,$B2475&lt;'111'!$N$11),"x","")</f>
        <v/>
      </c>
      <c r="Q2475" s="525" t="str">
        <f>IF(AND($M2475=$O$7,$B2475&lt;'111'!$N$11),"x","")</f>
        <v/>
      </c>
      <c r="R2475" s="525" t="str">
        <f>IF(ISERROR(FIND('112'!$M$9,G2475,1)),"",IF((AND(FIND('112'!$M$9,G2475,1)&gt;=1,$B2475&gt;='112'!$N$8,$B2475&lt;='112'!$O$8,OR($L2475='112'!$I$6,$M2475='112'!$I$6))),"x",""))</f>
        <v/>
      </c>
      <c r="S2475" s="525" t="str">
        <f>IF(ISERROR(FIND('112'!$M$9,G2475,1)),"",IF((AND(LEFT(G2475,2)=LEFT('112'!$M$9,2),B2475&lt;'112'!$N$8,$L2475='112'!$I$6)),"x",""))</f>
        <v/>
      </c>
      <c r="T2475" s="525" t="str">
        <f>IF(ISERROR(FIND('112'!$M$9,G2475,1)),"",IF((AND(RIGHT(G2475,2)=RIGHT('112'!$M$9,2),B2475&lt;'112'!$N$8,$M2475='112'!$I$6)),"x",""))</f>
        <v/>
      </c>
      <c r="U2475" s="525" t="str">
        <f>IF(AND(B2475&gt;='IN-NX'!$P$3,B2475&lt;='IN-NX'!$Q$3,'IN-NX'!$D$7=D2475,OR(LEFT(L2475,2)="15",AND(LEFT(M2475,2)&lt;&gt;"15",LEFT(M2475,2)&lt;&gt;"33"))),"x","")</f>
        <v/>
      </c>
      <c r="V2475" s="525" t="str">
        <f>IF(AND(OR(LEFT(TH!L2475,2)="15",LEFT(TH!M2475,2)="15"),'152-CT'!$J$8=TH!F2475),"x","")</f>
        <v/>
      </c>
      <c r="W2475" s="525" t="str">
        <f>IF(AND(OR(LEFT(TH!L2475,2)="15",LEFT(TH!M2475,2)="15"),TK!$E$7=TH!F2475),"x","")</f>
        <v/>
      </c>
      <c r="X2475" s="525" t="str">
        <f>IF(AND('341-CT'!$E$9=H2475,OR(LEFT(L2475,3)=$X$7,LEFT(M2475,3)=$X$7)),"x","")</f>
        <v/>
      </c>
      <c r="Y2475" s="525" t="str">
        <f>IF(OR(TH!L2475=TH!$Y$7,M2475=TH!$Y$7),"x","")</f>
        <v/>
      </c>
      <c r="Z2475" s="525" t="str">
        <f>IF(AND(B2475&lt;=NKC!$N$8,B2475&gt;=NKC!$M$8),"x","")</f>
        <v/>
      </c>
      <c r="AA2475" s="535">
        <v>2</v>
      </c>
      <c r="AB2475" s="536"/>
    </row>
    <row r="2476" spans="1:28" s="503" customFormat="1" ht="15.75" customHeight="1">
      <c r="A2476" s="517" t="str">
        <f>IF(B2476&lt;&gt;"",IF(AND(B2476&gt;=_TM1,B2476&lt;=_TM2,OR(TH!L2476="1111",TH!M2476="1111")),TH!D2476,""),"")</f>
        <v/>
      </c>
      <c r="B2476" s="531">
        <f t="shared" si="220"/>
        <v>5</v>
      </c>
      <c r="C2476" s="315">
        <f t="shared" si="221"/>
        <v>42873</v>
      </c>
      <c r="D2476" s="315" t="s">
        <v>1353</v>
      </c>
      <c r="E2476" s="315">
        <v>42873</v>
      </c>
      <c r="F2476" s="249" t="s">
        <v>1170</v>
      </c>
      <c r="G2476" s="314" t="s">
        <v>1147</v>
      </c>
      <c r="H2476" s="473" t="s">
        <v>1142</v>
      </c>
      <c r="I2476" s="307">
        <v>6</v>
      </c>
      <c r="J2476" s="307">
        <v>10230</v>
      </c>
      <c r="K2476" s="532">
        <f t="shared" si="222"/>
        <v>61380</v>
      </c>
      <c r="L2476" s="534" t="s">
        <v>292</v>
      </c>
      <c r="M2476" s="534" t="s">
        <v>8</v>
      </c>
      <c r="N2476" s="525" t="str">
        <f>IF(AND('331-CT'!$E$7=TH!H2476,OR(L2476="331",M2476="331")),"331",IF(AND(OR(L2476="131",M2476="131"),H2476='131-CT'!$E$7),"131",""))</f>
        <v/>
      </c>
      <c r="O2476" s="525" t="str">
        <f>IF(AND($B2476&gt;='111'!$N$11,$B2476&lt;='111'!$O$11,OR($L2476=$O$7,$M2476=$O$7)),"x","")</f>
        <v/>
      </c>
      <c r="P2476" s="525" t="str">
        <f>IF(AND($L2476=$O$7,$B2476&lt;'111'!$N$11),"x","")</f>
        <v/>
      </c>
      <c r="Q2476" s="525" t="str">
        <f>IF(AND($M2476=$O$7,$B2476&lt;'111'!$N$11),"x","")</f>
        <v/>
      </c>
      <c r="R2476" s="525" t="str">
        <f>IF(ISERROR(FIND('112'!$M$9,G2476,1)),"",IF((AND(FIND('112'!$M$9,G2476,1)&gt;=1,$B2476&gt;='112'!$N$8,$B2476&lt;='112'!$O$8,OR($L2476='112'!$I$6,$M2476='112'!$I$6))),"x",""))</f>
        <v/>
      </c>
      <c r="S2476" s="525" t="str">
        <f>IF(ISERROR(FIND('112'!$M$9,G2476,1)),"",IF((AND(LEFT(G2476,2)=LEFT('112'!$M$9,2),B2476&lt;'112'!$N$8,$L2476='112'!$I$6)),"x",""))</f>
        <v/>
      </c>
      <c r="T2476" s="525" t="str">
        <f>IF(ISERROR(FIND('112'!$M$9,G2476,1)),"",IF((AND(RIGHT(G2476,2)=RIGHT('112'!$M$9,2),B2476&lt;'112'!$N$8,$M2476='112'!$I$6)),"x",""))</f>
        <v/>
      </c>
      <c r="U2476" s="525" t="str">
        <f>IF(AND(B2476&gt;='IN-NX'!$P$3,B2476&lt;='IN-NX'!$Q$3,'IN-NX'!$D$7=D2476,OR(LEFT(L2476,2)="15",AND(LEFT(M2476,2)&lt;&gt;"15",LEFT(M2476,2)&lt;&gt;"33"))),"x","")</f>
        <v/>
      </c>
      <c r="V2476" s="525" t="str">
        <f>IF(AND(OR(LEFT(TH!L2476,2)="15",LEFT(TH!M2476,2)="15"),'152-CT'!$J$8=TH!F2476),"x","")</f>
        <v/>
      </c>
      <c r="W2476" s="525" t="str">
        <f>IF(AND(OR(LEFT(TH!L2476,2)="15",LEFT(TH!M2476,2)="15"),TK!$E$7=TH!F2476),"x","")</f>
        <v/>
      </c>
      <c r="X2476" s="525" t="str">
        <f>IF(AND('341-CT'!$E$9=H2476,OR(LEFT(L2476,3)=$X$7,LEFT(M2476,3)=$X$7)),"x","")</f>
        <v/>
      </c>
      <c r="Y2476" s="525" t="str">
        <f>IF(OR(TH!L2476=TH!$Y$7,M2476=TH!$Y$7),"x","")</f>
        <v/>
      </c>
      <c r="Z2476" s="525" t="str">
        <f>IF(AND(B2476&lt;=NKC!$N$8,B2476&gt;=NKC!$M$8),"x","")</f>
        <v/>
      </c>
      <c r="AA2476" s="535">
        <v>2</v>
      </c>
      <c r="AB2476" s="536"/>
    </row>
    <row r="2477" spans="1:28" s="503" customFormat="1" ht="15.75" customHeight="1">
      <c r="A2477" s="517" t="str">
        <f>IF(B2477&lt;&gt;"",IF(AND(B2477&gt;=_TM1,B2477&lt;=_TM2,OR(TH!L2477="1111",TH!M2477="1111")),TH!D2477,""),"")</f>
        <v/>
      </c>
      <c r="B2477" s="531">
        <f t="shared" si="220"/>
        <v>5</v>
      </c>
      <c r="C2477" s="315">
        <f t="shared" si="221"/>
        <v>42873</v>
      </c>
      <c r="D2477" s="315" t="s">
        <v>1354</v>
      </c>
      <c r="E2477" s="315">
        <v>42873</v>
      </c>
      <c r="F2477" s="249" t="s">
        <v>1171</v>
      </c>
      <c r="G2477" s="314" t="s">
        <v>1147</v>
      </c>
      <c r="H2477" s="473" t="s">
        <v>1142</v>
      </c>
      <c r="I2477" s="307">
        <v>6</v>
      </c>
      <c r="J2477" s="307">
        <v>22380</v>
      </c>
      <c r="K2477" s="532">
        <f t="shared" si="222"/>
        <v>134280</v>
      </c>
      <c r="L2477" s="534" t="s">
        <v>292</v>
      </c>
      <c r="M2477" s="534" t="s">
        <v>8</v>
      </c>
      <c r="N2477" s="525" t="str">
        <f>IF(AND('331-CT'!$E$7=TH!H2477,OR(L2477="331",M2477="331")),"331",IF(AND(OR(L2477="131",M2477="131"),H2477='131-CT'!$E$7),"131",""))</f>
        <v/>
      </c>
      <c r="O2477" s="525" t="str">
        <f>IF(AND($B2477&gt;='111'!$N$11,$B2477&lt;='111'!$O$11,OR($L2477=$O$7,$M2477=$O$7)),"x","")</f>
        <v/>
      </c>
      <c r="P2477" s="525" t="str">
        <f>IF(AND($L2477=$O$7,$B2477&lt;'111'!$N$11),"x","")</f>
        <v/>
      </c>
      <c r="Q2477" s="525" t="str">
        <f>IF(AND($M2477=$O$7,$B2477&lt;'111'!$N$11),"x","")</f>
        <v/>
      </c>
      <c r="R2477" s="525" t="str">
        <f>IF(ISERROR(FIND('112'!$M$9,G2477,1)),"",IF((AND(FIND('112'!$M$9,G2477,1)&gt;=1,$B2477&gt;='112'!$N$8,$B2477&lt;='112'!$O$8,OR($L2477='112'!$I$6,$M2477='112'!$I$6))),"x",""))</f>
        <v/>
      </c>
      <c r="S2477" s="525" t="str">
        <f>IF(ISERROR(FIND('112'!$M$9,G2477,1)),"",IF((AND(LEFT(G2477,2)=LEFT('112'!$M$9,2),B2477&lt;'112'!$N$8,$L2477='112'!$I$6)),"x",""))</f>
        <v/>
      </c>
      <c r="T2477" s="525" t="str">
        <f>IF(ISERROR(FIND('112'!$M$9,G2477,1)),"",IF((AND(RIGHT(G2477,2)=RIGHT('112'!$M$9,2),B2477&lt;'112'!$N$8,$M2477='112'!$I$6)),"x",""))</f>
        <v/>
      </c>
      <c r="U2477" s="525" t="str">
        <f>IF(AND(B2477&gt;='IN-NX'!$P$3,B2477&lt;='IN-NX'!$Q$3,'IN-NX'!$D$7=D2477,OR(LEFT(L2477,2)="15",AND(LEFT(M2477,2)&lt;&gt;"15",LEFT(M2477,2)&lt;&gt;"33"))),"x","")</f>
        <v/>
      </c>
      <c r="V2477" s="525" t="str">
        <f>IF(AND(OR(LEFT(TH!L2477,2)="15",LEFT(TH!M2477,2)="15"),'152-CT'!$J$8=TH!F2477),"x","")</f>
        <v/>
      </c>
      <c r="W2477" s="525" t="str">
        <f>IF(AND(OR(LEFT(TH!L2477,2)="15",LEFT(TH!M2477,2)="15"),TK!$E$7=TH!F2477),"x","")</f>
        <v/>
      </c>
      <c r="X2477" s="525" t="str">
        <f>IF(AND('341-CT'!$E$9=H2477,OR(LEFT(L2477,3)=$X$7,LEFT(M2477,3)=$X$7)),"x","")</f>
        <v/>
      </c>
      <c r="Y2477" s="525" t="str">
        <f>IF(OR(TH!L2477=TH!$Y$7,M2477=TH!$Y$7),"x","")</f>
        <v/>
      </c>
      <c r="Z2477" s="525" t="str">
        <f>IF(AND(B2477&lt;=NKC!$N$8,B2477&gt;=NKC!$M$8),"x","")</f>
        <v/>
      </c>
      <c r="AA2477" s="535">
        <v>2</v>
      </c>
      <c r="AB2477" s="536"/>
    </row>
    <row r="2478" spans="1:28" s="503" customFormat="1" ht="15.75" customHeight="1">
      <c r="A2478" s="517" t="str">
        <f>IF(B2478&lt;&gt;"",IF(AND(B2478&gt;=_TM1,B2478&lt;=_TM2,OR(TH!L2478="1111",TH!M2478="1111")),TH!D2478,""),"")</f>
        <v/>
      </c>
      <c r="B2478" s="531">
        <f t="shared" si="220"/>
        <v>5</v>
      </c>
      <c r="C2478" s="315">
        <f t="shared" si="221"/>
        <v>42873</v>
      </c>
      <c r="D2478" s="315" t="s">
        <v>1354</v>
      </c>
      <c r="E2478" s="315">
        <v>42873</v>
      </c>
      <c r="F2478" s="249" t="s">
        <v>722</v>
      </c>
      <c r="G2478" s="314" t="s">
        <v>1147</v>
      </c>
      <c r="H2478" s="473" t="s">
        <v>1142</v>
      </c>
      <c r="I2478" s="307">
        <v>36</v>
      </c>
      <c r="J2478" s="307">
        <v>13340</v>
      </c>
      <c r="K2478" s="532">
        <f t="shared" si="222"/>
        <v>480240</v>
      </c>
      <c r="L2478" s="534" t="s">
        <v>292</v>
      </c>
      <c r="M2478" s="534" t="s">
        <v>8</v>
      </c>
      <c r="N2478" s="525" t="str">
        <f>IF(AND('331-CT'!$E$7=TH!H2478,OR(L2478="331",M2478="331")),"331",IF(AND(OR(L2478="131",M2478="131"),H2478='131-CT'!$E$7),"131",""))</f>
        <v/>
      </c>
      <c r="O2478" s="525" t="str">
        <f>IF(AND($B2478&gt;='111'!$N$11,$B2478&lt;='111'!$O$11,OR($L2478=$O$7,$M2478=$O$7)),"x","")</f>
        <v/>
      </c>
      <c r="P2478" s="525" t="str">
        <f>IF(AND($L2478=$O$7,$B2478&lt;'111'!$N$11),"x","")</f>
        <v/>
      </c>
      <c r="Q2478" s="525" t="str">
        <f>IF(AND($M2478=$O$7,$B2478&lt;'111'!$N$11),"x","")</f>
        <v/>
      </c>
      <c r="R2478" s="525" t="str">
        <f>IF(ISERROR(FIND('112'!$M$9,G2478,1)),"",IF((AND(FIND('112'!$M$9,G2478,1)&gt;=1,$B2478&gt;='112'!$N$8,$B2478&lt;='112'!$O$8,OR($L2478='112'!$I$6,$M2478='112'!$I$6))),"x",""))</f>
        <v/>
      </c>
      <c r="S2478" s="525" t="str">
        <f>IF(ISERROR(FIND('112'!$M$9,G2478,1)),"",IF((AND(LEFT(G2478,2)=LEFT('112'!$M$9,2),B2478&lt;'112'!$N$8,$L2478='112'!$I$6)),"x",""))</f>
        <v/>
      </c>
      <c r="T2478" s="525" t="str">
        <f>IF(ISERROR(FIND('112'!$M$9,G2478,1)),"",IF((AND(RIGHT(G2478,2)=RIGHT('112'!$M$9,2),B2478&lt;'112'!$N$8,$M2478='112'!$I$6)),"x",""))</f>
        <v/>
      </c>
      <c r="U2478" s="525" t="str">
        <f>IF(AND(B2478&gt;='IN-NX'!$P$3,B2478&lt;='IN-NX'!$Q$3,'IN-NX'!$D$7=D2478,OR(LEFT(L2478,2)="15",AND(LEFT(M2478,2)&lt;&gt;"15",LEFT(M2478,2)&lt;&gt;"33"))),"x","")</f>
        <v/>
      </c>
      <c r="V2478" s="525" t="str">
        <f>IF(AND(OR(LEFT(TH!L2478,2)="15",LEFT(TH!M2478,2)="15"),'152-CT'!$J$8=TH!F2478),"x","")</f>
        <v/>
      </c>
      <c r="W2478" s="525" t="str">
        <f>IF(AND(OR(LEFT(TH!L2478,2)="15",LEFT(TH!M2478,2)="15"),TK!$E$7=TH!F2478),"x","")</f>
        <v/>
      </c>
      <c r="X2478" s="525" t="str">
        <f>IF(AND('341-CT'!$E$9=H2478,OR(LEFT(L2478,3)=$X$7,LEFT(M2478,3)=$X$7)),"x","")</f>
        <v/>
      </c>
      <c r="Y2478" s="525" t="str">
        <f>IF(OR(TH!L2478=TH!$Y$7,M2478=TH!$Y$7),"x","")</f>
        <v/>
      </c>
      <c r="Z2478" s="525" t="str">
        <f>IF(AND(B2478&lt;=NKC!$N$8,B2478&gt;=NKC!$M$8),"x","")</f>
        <v/>
      </c>
      <c r="AA2478" s="535">
        <v>2</v>
      </c>
      <c r="AB2478" s="536"/>
    </row>
    <row r="2479" spans="1:28" s="503" customFormat="1" ht="15.75" customHeight="1">
      <c r="A2479" s="517" t="str">
        <f>IF(B2479&lt;&gt;"",IF(AND(B2479&gt;=_TM1,B2479&lt;=_TM2,OR(TH!L2479="1111",TH!M2479="1111")),TH!D2479,""),"")</f>
        <v/>
      </c>
      <c r="B2479" s="531">
        <f t="shared" si="220"/>
        <v>5</v>
      </c>
      <c r="C2479" s="315">
        <f t="shared" si="221"/>
        <v>42873</v>
      </c>
      <c r="D2479" s="315" t="s">
        <v>1354</v>
      </c>
      <c r="E2479" s="315">
        <v>42873</v>
      </c>
      <c r="F2479" s="249" t="s">
        <v>724</v>
      </c>
      <c r="G2479" s="314" t="s">
        <v>1147</v>
      </c>
      <c r="H2479" s="473" t="s">
        <v>1142</v>
      </c>
      <c r="I2479" s="307">
        <v>102</v>
      </c>
      <c r="J2479" s="307">
        <v>8360</v>
      </c>
      <c r="K2479" s="532">
        <f t="shared" si="222"/>
        <v>852720</v>
      </c>
      <c r="L2479" s="534" t="s">
        <v>292</v>
      </c>
      <c r="M2479" s="534" t="s">
        <v>8</v>
      </c>
      <c r="N2479" s="525" t="str">
        <f>IF(AND('331-CT'!$E$7=TH!H2479,OR(L2479="331",M2479="331")),"331",IF(AND(OR(L2479="131",M2479="131"),H2479='131-CT'!$E$7),"131",""))</f>
        <v/>
      </c>
      <c r="O2479" s="525" t="str">
        <f>IF(AND($B2479&gt;='111'!$N$11,$B2479&lt;='111'!$O$11,OR($L2479=$O$7,$M2479=$O$7)),"x","")</f>
        <v/>
      </c>
      <c r="P2479" s="525" t="str">
        <f>IF(AND($L2479=$O$7,$B2479&lt;'111'!$N$11),"x","")</f>
        <v/>
      </c>
      <c r="Q2479" s="525" t="str">
        <f>IF(AND($M2479=$O$7,$B2479&lt;'111'!$N$11),"x","")</f>
        <v/>
      </c>
      <c r="R2479" s="525" t="str">
        <f>IF(ISERROR(FIND('112'!$M$9,G2479,1)),"",IF((AND(FIND('112'!$M$9,G2479,1)&gt;=1,$B2479&gt;='112'!$N$8,$B2479&lt;='112'!$O$8,OR($L2479='112'!$I$6,$M2479='112'!$I$6))),"x",""))</f>
        <v/>
      </c>
      <c r="S2479" s="525" t="str">
        <f>IF(ISERROR(FIND('112'!$M$9,G2479,1)),"",IF((AND(LEFT(G2479,2)=LEFT('112'!$M$9,2),B2479&lt;'112'!$N$8,$L2479='112'!$I$6)),"x",""))</f>
        <v/>
      </c>
      <c r="T2479" s="525" t="str">
        <f>IF(ISERROR(FIND('112'!$M$9,G2479,1)),"",IF((AND(RIGHT(G2479,2)=RIGHT('112'!$M$9,2),B2479&lt;'112'!$N$8,$M2479='112'!$I$6)),"x",""))</f>
        <v/>
      </c>
      <c r="U2479" s="525" t="str">
        <f>IF(AND(B2479&gt;='IN-NX'!$P$3,B2479&lt;='IN-NX'!$Q$3,'IN-NX'!$D$7=D2479,OR(LEFT(L2479,2)="15",AND(LEFT(M2479,2)&lt;&gt;"15",LEFT(M2479,2)&lt;&gt;"33"))),"x","")</f>
        <v/>
      </c>
      <c r="V2479" s="525" t="str">
        <f>IF(AND(OR(LEFT(TH!L2479,2)="15",LEFT(TH!M2479,2)="15"),'152-CT'!$J$8=TH!F2479),"x","")</f>
        <v/>
      </c>
      <c r="W2479" s="525" t="str">
        <f>IF(AND(OR(LEFT(TH!L2479,2)="15",LEFT(TH!M2479,2)="15"),TK!$E$7=TH!F2479),"x","")</f>
        <v/>
      </c>
      <c r="X2479" s="525" t="str">
        <f>IF(AND('341-CT'!$E$9=H2479,OR(LEFT(L2479,3)=$X$7,LEFT(M2479,3)=$X$7)),"x","")</f>
        <v/>
      </c>
      <c r="Y2479" s="525" t="str">
        <f>IF(OR(TH!L2479=TH!$Y$7,M2479=TH!$Y$7),"x","")</f>
        <v/>
      </c>
      <c r="Z2479" s="525" t="str">
        <f>IF(AND(B2479&lt;=NKC!$N$8,B2479&gt;=NKC!$M$8),"x","")</f>
        <v/>
      </c>
      <c r="AA2479" s="535">
        <v>2</v>
      </c>
      <c r="AB2479" s="536"/>
    </row>
    <row r="2480" spans="1:28" s="503" customFormat="1" ht="15.75" customHeight="1">
      <c r="A2480" s="517" t="str">
        <f>IF(B2480&lt;&gt;"",IF(AND(B2480&gt;=_TM1,B2480&lt;=_TM2,OR(TH!L2480="1111",TH!M2480="1111")),TH!D2480,""),"")</f>
        <v/>
      </c>
      <c r="B2480" s="531">
        <f t="shared" si="220"/>
        <v>5</v>
      </c>
      <c r="C2480" s="315">
        <f t="shared" si="221"/>
        <v>42873</v>
      </c>
      <c r="D2480" s="315" t="s">
        <v>1354</v>
      </c>
      <c r="E2480" s="315">
        <v>42873</v>
      </c>
      <c r="F2480" s="249" t="s">
        <v>727</v>
      </c>
      <c r="G2480" s="314" t="s">
        <v>1147</v>
      </c>
      <c r="H2480" s="473" t="s">
        <v>1142</v>
      </c>
      <c r="I2480" s="307">
        <v>28</v>
      </c>
      <c r="J2480" s="307">
        <v>22520</v>
      </c>
      <c r="K2480" s="532">
        <f t="shared" si="222"/>
        <v>630560</v>
      </c>
      <c r="L2480" s="534" t="s">
        <v>292</v>
      </c>
      <c r="M2480" s="534" t="s">
        <v>8</v>
      </c>
      <c r="N2480" s="525" t="str">
        <f>IF(AND('331-CT'!$E$7=TH!H2480,OR(L2480="331",M2480="331")),"331",IF(AND(OR(L2480="131",M2480="131"),H2480='131-CT'!$E$7),"131",""))</f>
        <v/>
      </c>
      <c r="O2480" s="525" t="str">
        <f>IF(AND($B2480&gt;='111'!$N$11,$B2480&lt;='111'!$O$11,OR($L2480=$O$7,$M2480=$O$7)),"x","")</f>
        <v/>
      </c>
      <c r="P2480" s="525" t="str">
        <f>IF(AND($L2480=$O$7,$B2480&lt;'111'!$N$11),"x","")</f>
        <v/>
      </c>
      <c r="Q2480" s="525" t="str">
        <f>IF(AND($M2480=$O$7,$B2480&lt;'111'!$N$11),"x","")</f>
        <v/>
      </c>
      <c r="R2480" s="525" t="str">
        <f>IF(ISERROR(FIND('112'!$M$9,G2480,1)),"",IF((AND(FIND('112'!$M$9,G2480,1)&gt;=1,$B2480&gt;='112'!$N$8,$B2480&lt;='112'!$O$8,OR($L2480='112'!$I$6,$M2480='112'!$I$6))),"x",""))</f>
        <v/>
      </c>
      <c r="S2480" s="525" t="str">
        <f>IF(ISERROR(FIND('112'!$M$9,G2480,1)),"",IF((AND(LEFT(G2480,2)=LEFT('112'!$M$9,2),B2480&lt;'112'!$N$8,$L2480='112'!$I$6)),"x",""))</f>
        <v/>
      </c>
      <c r="T2480" s="525" t="str">
        <f>IF(ISERROR(FIND('112'!$M$9,G2480,1)),"",IF((AND(RIGHT(G2480,2)=RIGHT('112'!$M$9,2),B2480&lt;'112'!$N$8,$M2480='112'!$I$6)),"x",""))</f>
        <v/>
      </c>
      <c r="U2480" s="525" t="str">
        <f>IF(AND(B2480&gt;='IN-NX'!$P$3,B2480&lt;='IN-NX'!$Q$3,'IN-NX'!$D$7=D2480,OR(LEFT(L2480,2)="15",AND(LEFT(M2480,2)&lt;&gt;"15",LEFT(M2480,2)&lt;&gt;"33"))),"x","")</f>
        <v/>
      </c>
      <c r="V2480" s="525" t="str">
        <f>IF(AND(OR(LEFT(TH!L2480,2)="15",LEFT(TH!M2480,2)="15"),'152-CT'!$J$8=TH!F2480),"x","")</f>
        <v/>
      </c>
      <c r="W2480" s="525" t="str">
        <f>IF(AND(OR(LEFT(TH!L2480,2)="15",LEFT(TH!M2480,2)="15"),TK!$E$7=TH!F2480),"x","")</f>
        <v/>
      </c>
      <c r="X2480" s="525" t="str">
        <f>IF(AND('341-CT'!$E$9=H2480,OR(LEFT(L2480,3)=$X$7,LEFT(M2480,3)=$X$7)),"x","")</f>
        <v/>
      </c>
      <c r="Y2480" s="525" t="str">
        <f>IF(OR(TH!L2480=TH!$Y$7,M2480=TH!$Y$7),"x","")</f>
        <v/>
      </c>
      <c r="Z2480" s="525" t="str">
        <f>IF(AND(B2480&lt;=NKC!$N$8,B2480&gt;=NKC!$M$8),"x","")</f>
        <v/>
      </c>
      <c r="AA2480" s="535">
        <v>2</v>
      </c>
      <c r="AB2480" s="536"/>
    </row>
    <row r="2481" spans="1:28" s="503" customFormat="1" ht="15.75" customHeight="1">
      <c r="A2481" s="517" t="str">
        <f>IF(B2481&lt;&gt;"",IF(AND(B2481&gt;=_TM1,B2481&lt;=_TM2,OR(TH!L2481="1111",TH!M2481="1111")),TH!D2481,""),"")</f>
        <v/>
      </c>
      <c r="B2481" s="531">
        <f t="shared" si="220"/>
        <v>5</v>
      </c>
      <c r="C2481" s="315">
        <f t="shared" si="221"/>
        <v>42873</v>
      </c>
      <c r="D2481" s="315" t="s">
        <v>1354</v>
      </c>
      <c r="E2481" s="315">
        <v>42873</v>
      </c>
      <c r="F2481" s="249" t="s">
        <v>729</v>
      </c>
      <c r="G2481" s="314" t="s">
        <v>1147</v>
      </c>
      <c r="H2481" s="473" t="s">
        <v>1142</v>
      </c>
      <c r="I2481" s="307">
        <v>48</v>
      </c>
      <c r="J2481" s="307">
        <v>11826</v>
      </c>
      <c r="K2481" s="532">
        <f t="shared" si="222"/>
        <v>567648</v>
      </c>
      <c r="L2481" s="534" t="s">
        <v>292</v>
      </c>
      <c r="M2481" s="534" t="s">
        <v>8</v>
      </c>
      <c r="N2481" s="525" t="str">
        <f>IF(AND('331-CT'!$E$7=TH!H2481,OR(L2481="331",M2481="331")),"331",IF(AND(OR(L2481="131",M2481="131"),H2481='131-CT'!$E$7),"131",""))</f>
        <v/>
      </c>
      <c r="O2481" s="525" t="str">
        <f>IF(AND($B2481&gt;='111'!$N$11,$B2481&lt;='111'!$O$11,OR($L2481=$O$7,$M2481=$O$7)),"x","")</f>
        <v/>
      </c>
      <c r="P2481" s="525" t="str">
        <f>IF(AND($L2481=$O$7,$B2481&lt;'111'!$N$11),"x","")</f>
        <v/>
      </c>
      <c r="Q2481" s="525" t="str">
        <f>IF(AND($M2481=$O$7,$B2481&lt;'111'!$N$11),"x","")</f>
        <v/>
      </c>
      <c r="R2481" s="525" t="str">
        <f>IF(ISERROR(FIND('112'!$M$9,G2481,1)),"",IF((AND(FIND('112'!$M$9,G2481,1)&gt;=1,$B2481&gt;='112'!$N$8,$B2481&lt;='112'!$O$8,OR($L2481='112'!$I$6,$M2481='112'!$I$6))),"x",""))</f>
        <v/>
      </c>
      <c r="S2481" s="525" t="str">
        <f>IF(ISERROR(FIND('112'!$M$9,G2481,1)),"",IF((AND(LEFT(G2481,2)=LEFT('112'!$M$9,2),B2481&lt;'112'!$N$8,$L2481='112'!$I$6)),"x",""))</f>
        <v/>
      </c>
      <c r="T2481" s="525" t="str">
        <f>IF(ISERROR(FIND('112'!$M$9,G2481,1)),"",IF((AND(RIGHT(G2481,2)=RIGHT('112'!$M$9,2),B2481&lt;'112'!$N$8,$M2481='112'!$I$6)),"x",""))</f>
        <v/>
      </c>
      <c r="U2481" s="525" t="str">
        <f>IF(AND(B2481&gt;='IN-NX'!$P$3,B2481&lt;='IN-NX'!$Q$3,'IN-NX'!$D$7=D2481,OR(LEFT(L2481,2)="15",AND(LEFT(M2481,2)&lt;&gt;"15",LEFT(M2481,2)&lt;&gt;"33"))),"x","")</f>
        <v/>
      </c>
      <c r="V2481" s="525" t="str">
        <f>IF(AND(OR(LEFT(TH!L2481,2)="15",LEFT(TH!M2481,2)="15"),'152-CT'!$J$8=TH!F2481),"x","")</f>
        <v/>
      </c>
      <c r="W2481" s="525" t="str">
        <f>IF(AND(OR(LEFT(TH!L2481,2)="15",LEFT(TH!M2481,2)="15"),TK!$E$7=TH!F2481),"x","")</f>
        <v/>
      </c>
      <c r="X2481" s="525" t="str">
        <f>IF(AND('341-CT'!$E$9=H2481,OR(LEFT(L2481,3)=$X$7,LEFT(M2481,3)=$X$7)),"x","")</f>
        <v/>
      </c>
      <c r="Y2481" s="525" t="str">
        <f>IF(OR(TH!L2481=TH!$Y$7,M2481=TH!$Y$7),"x","")</f>
        <v/>
      </c>
      <c r="Z2481" s="525" t="str">
        <f>IF(AND(B2481&lt;=NKC!$N$8,B2481&gt;=NKC!$M$8),"x","")</f>
        <v/>
      </c>
      <c r="AA2481" s="535">
        <v>2</v>
      </c>
      <c r="AB2481" s="536"/>
    </row>
    <row r="2482" spans="1:28" s="503" customFormat="1" ht="15.75" customHeight="1">
      <c r="A2482" s="517" t="str">
        <f>IF(B2482&lt;&gt;"",IF(AND(B2482&gt;=_TM1,B2482&lt;=_TM2,OR(TH!L2482="1111",TH!M2482="1111")),TH!D2482,""),"")</f>
        <v/>
      </c>
      <c r="B2482" s="531">
        <f t="shared" si="220"/>
        <v>5</v>
      </c>
      <c r="C2482" s="315">
        <f t="shared" si="221"/>
        <v>42873</v>
      </c>
      <c r="D2482" s="315" t="s">
        <v>1354</v>
      </c>
      <c r="E2482" s="315">
        <v>42873</v>
      </c>
      <c r="F2482" s="249" t="s">
        <v>1172</v>
      </c>
      <c r="G2482" s="314" t="s">
        <v>1147</v>
      </c>
      <c r="H2482" s="473" t="s">
        <v>1142</v>
      </c>
      <c r="I2482" s="307">
        <v>4</v>
      </c>
      <c r="J2482" s="307">
        <v>42051</v>
      </c>
      <c r="K2482" s="532">
        <f t="shared" si="222"/>
        <v>168204</v>
      </c>
      <c r="L2482" s="534" t="s">
        <v>292</v>
      </c>
      <c r="M2482" s="534" t="s">
        <v>8</v>
      </c>
      <c r="N2482" s="525" t="str">
        <f>IF(AND('331-CT'!$E$7=TH!H2482,OR(L2482="331",M2482="331")),"331",IF(AND(OR(L2482="131",M2482="131"),H2482='131-CT'!$E$7),"131",""))</f>
        <v/>
      </c>
      <c r="O2482" s="525" t="str">
        <f>IF(AND($B2482&gt;='111'!$N$11,$B2482&lt;='111'!$O$11,OR($L2482=$O$7,$M2482=$O$7)),"x","")</f>
        <v/>
      </c>
      <c r="P2482" s="525" t="str">
        <f>IF(AND($L2482=$O$7,$B2482&lt;'111'!$N$11),"x","")</f>
        <v/>
      </c>
      <c r="Q2482" s="525" t="str">
        <f>IF(AND($M2482=$O$7,$B2482&lt;'111'!$N$11),"x","")</f>
        <v/>
      </c>
      <c r="R2482" s="525" t="str">
        <f>IF(ISERROR(FIND('112'!$M$9,G2482,1)),"",IF((AND(FIND('112'!$M$9,G2482,1)&gt;=1,$B2482&gt;='112'!$N$8,$B2482&lt;='112'!$O$8,OR($L2482='112'!$I$6,$M2482='112'!$I$6))),"x",""))</f>
        <v/>
      </c>
      <c r="S2482" s="525" t="str">
        <f>IF(ISERROR(FIND('112'!$M$9,G2482,1)),"",IF((AND(LEFT(G2482,2)=LEFT('112'!$M$9,2),B2482&lt;'112'!$N$8,$L2482='112'!$I$6)),"x",""))</f>
        <v/>
      </c>
      <c r="T2482" s="525" t="str">
        <f>IF(ISERROR(FIND('112'!$M$9,G2482,1)),"",IF((AND(RIGHT(G2482,2)=RIGHT('112'!$M$9,2),B2482&lt;'112'!$N$8,$M2482='112'!$I$6)),"x",""))</f>
        <v/>
      </c>
      <c r="U2482" s="525" t="str">
        <f>IF(AND(B2482&gt;='IN-NX'!$P$3,B2482&lt;='IN-NX'!$Q$3,'IN-NX'!$D$7=D2482,OR(LEFT(L2482,2)="15",AND(LEFT(M2482,2)&lt;&gt;"15",LEFT(M2482,2)&lt;&gt;"33"))),"x","")</f>
        <v/>
      </c>
      <c r="V2482" s="525" t="str">
        <f>IF(AND(OR(LEFT(TH!L2482,2)="15",LEFT(TH!M2482,2)="15"),'152-CT'!$J$8=TH!F2482),"x","")</f>
        <v/>
      </c>
      <c r="W2482" s="525" t="str">
        <f>IF(AND(OR(LEFT(TH!L2482,2)="15",LEFT(TH!M2482,2)="15"),TK!$E$7=TH!F2482),"x","")</f>
        <v/>
      </c>
      <c r="X2482" s="525" t="str">
        <f>IF(AND('341-CT'!$E$9=H2482,OR(LEFT(L2482,3)=$X$7,LEFT(M2482,3)=$X$7)),"x","")</f>
        <v/>
      </c>
      <c r="Y2482" s="525" t="str">
        <f>IF(OR(TH!L2482=TH!$Y$7,M2482=TH!$Y$7),"x","")</f>
        <v/>
      </c>
      <c r="Z2482" s="525" t="str">
        <f>IF(AND(B2482&lt;=NKC!$N$8,B2482&gt;=NKC!$M$8),"x","")</f>
        <v/>
      </c>
      <c r="AA2482" s="535">
        <v>2</v>
      </c>
      <c r="AB2482" s="536"/>
    </row>
    <row r="2483" spans="1:28" s="503" customFormat="1" ht="15.75" customHeight="1">
      <c r="A2483" s="517" t="str">
        <f>IF(B2483&lt;&gt;"",IF(AND(B2483&gt;=_TM1,B2483&lt;=_TM2,OR(TH!L2483="1111",TH!M2483="1111")),TH!D2483,""),"")</f>
        <v/>
      </c>
      <c r="B2483" s="531">
        <f t="shared" si="220"/>
        <v>5</v>
      </c>
      <c r="C2483" s="315">
        <f t="shared" si="221"/>
        <v>42873</v>
      </c>
      <c r="D2483" s="315" t="s">
        <v>1354</v>
      </c>
      <c r="E2483" s="315">
        <v>42873</v>
      </c>
      <c r="F2483" s="249" t="s">
        <v>730</v>
      </c>
      <c r="G2483" s="314" t="s">
        <v>1147</v>
      </c>
      <c r="H2483" s="473" t="s">
        <v>1142</v>
      </c>
      <c r="I2483" s="307">
        <v>8</v>
      </c>
      <c r="J2483" s="307">
        <v>36700</v>
      </c>
      <c r="K2483" s="532">
        <f t="shared" si="222"/>
        <v>293600</v>
      </c>
      <c r="L2483" s="534" t="s">
        <v>292</v>
      </c>
      <c r="M2483" s="534" t="s">
        <v>8</v>
      </c>
      <c r="N2483" s="525" t="str">
        <f>IF(AND('331-CT'!$E$7=TH!H2483,OR(L2483="331",M2483="331")),"331",IF(AND(OR(L2483="131",M2483="131"),H2483='131-CT'!$E$7),"131",""))</f>
        <v/>
      </c>
      <c r="O2483" s="525" t="str">
        <f>IF(AND($B2483&gt;='111'!$N$11,$B2483&lt;='111'!$O$11,OR($L2483=$O$7,$M2483=$O$7)),"x","")</f>
        <v/>
      </c>
      <c r="P2483" s="525" t="str">
        <f>IF(AND($L2483=$O$7,$B2483&lt;'111'!$N$11),"x","")</f>
        <v/>
      </c>
      <c r="Q2483" s="525" t="str">
        <f>IF(AND($M2483=$O$7,$B2483&lt;'111'!$N$11),"x","")</f>
        <v/>
      </c>
      <c r="R2483" s="525" t="str">
        <f>IF(ISERROR(FIND('112'!$M$9,G2483,1)),"",IF((AND(FIND('112'!$M$9,G2483,1)&gt;=1,$B2483&gt;='112'!$N$8,$B2483&lt;='112'!$O$8,OR($L2483='112'!$I$6,$M2483='112'!$I$6))),"x",""))</f>
        <v/>
      </c>
      <c r="S2483" s="525" t="str">
        <f>IF(ISERROR(FIND('112'!$M$9,G2483,1)),"",IF((AND(LEFT(G2483,2)=LEFT('112'!$M$9,2),B2483&lt;'112'!$N$8,$L2483='112'!$I$6)),"x",""))</f>
        <v/>
      </c>
      <c r="T2483" s="525" t="str">
        <f>IF(ISERROR(FIND('112'!$M$9,G2483,1)),"",IF((AND(RIGHT(G2483,2)=RIGHT('112'!$M$9,2),B2483&lt;'112'!$N$8,$M2483='112'!$I$6)),"x",""))</f>
        <v/>
      </c>
      <c r="U2483" s="525" t="str">
        <f>IF(AND(B2483&gt;='IN-NX'!$P$3,B2483&lt;='IN-NX'!$Q$3,'IN-NX'!$D$7=D2483,OR(LEFT(L2483,2)="15",AND(LEFT(M2483,2)&lt;&gt;"15",LEFT(M2483,2)&lt;&gt;"33"))),"x","")</f>
        <v/>
      </c>
      <c r="V2483" s="525" t="str">
        <f>IF(AND(OR(LEFT(TH!L2483,2)="15",LEFT(TH!M2483,2)="15"),'152-CT'!$J$8=TH!F2483),"x","")</f>
        <v/>
      </c>
      <c r="W2483" s="525" t="str">
        <f>IF(AND(OR(LEFT(TH!L2483,2)="15",LEFT(TH!M2483,2)="15"),TK!$E$7=TH!F2483),"x","")</f>
        <v/>
      </c>
      <c r="X2483" s="525" t="str">
        <f>IF(AND('341-CT'!$E$9=H2483,OR(LEFT(L2483,3)=$X$7,LEFT(M2483,3)=$X$7)),"x","")</f>
        <v/>
      </c>
      <c r="Y2483" s="525" t="str">
        <f>IF(OR(TH!L2483=TH!$Y$7,M2483=TH!$Y$7),"x","")</f>
        <v/>
      </c>
      <c r="Z2483" s="525" t="str">
        <f>IF(AND(B2483&lt;=NKC!$N$8,B2483&gt;=NKC!$M$8),"x","")</f>
        <v/>
      </c>
      <c r="AA2483" s="535">
        <v>2</v>
      </c>
      <c r="AB2483" s="536"/>
    </row>
    <row r="2484" spans="1:28" s="503" customFormat="1" ht="15.75" customHeight="1">
      <c r="A2484" s="517" t="str">
        <f>IF(B2484&lt;&gt;"",IF(AND(B2484&gt;=_TM1,B2484&lt;=_TM2,OR(TH!L2484="1111",TH!M2484="1111")),TH!D2484,""),"")</f>
        <v/>
      </c>
      <c r="B2484" s="531">
        <f t="shared" si="220"/>
        <v>5</v>
      </c>
      <c r="C2484" s="315">
        <f t="shared" si="221"/>
        <v>42873</v>
      </c>
      <c r="D2484" s="315" t="s">
        <v>1354</v>
      </c>
      <c r="E2484" s="315">
        <v>42873</v>
      </c>
      <c r="F2484" s="249" t="s">
        <v>1173</v>
      </c>
      <c r="G2484" s="314" t="s">
        <v>1147</v>
      </c>
      <c r="H2484" s="473" t="s">
        <v>1142</v>
      </c>
      <c r="I2484" s="307">
        <v>12</v>
      </c>
      <c r="J2484" s="307">
        <v>55550</v>
      </c>
      <c r="K2484" s="532">
        <f t="shared" si="222"/>
        <v>666600</v>
      </c>
      <c r="L2484" s="534" t="s">
        <v>292</v>
      </c>
      <c r="M2484" s="534" t="s">
        <v>8</v>
      </c>
      <c r="N2484" s="525" t="str">
        <f>IF(AND('331-CT'!$E$7=TH!H2484,OR(L2484="331",M2484="331")),"331",IF(AND(OR(L2484="131",M2484="131"),H2484='131-CT'!$E$7),"131",""))</f>
        <v/>
      </c>
      <c r="O2484" s="525" t="str">
        <f>IF(AND($B2484&gt;='111'!$N$11,$B2484&lt;='111'!$O$11,OR($L2484=$O$7,$M2484=$O$7)),"x","")</f>
        <v/>
      </c>
      <c r="P2484" s="525" t="str">
        <f>IF(AND($L2484=$O$7,$B2484&lt;'111'!$N$11),"x","")</f>
        <v/>
      </c>
      <c r="Q2484" s="525" t="str">
        <f>IF(AND($M2484=$O$7,$B2484&lt;'111'!$N$11),"x","")</f>
        <v/>
      </c>
      <c r="R2484" s="525" t="str">
        <f>IF(ISERROR(FIND('112'!$M$9,G2484,1)),"",IF((AND(FIND('112'!$M$9,G2484,1)&gt;=1,$B2484&gt;='112'!$N$8,$B2484&lt;='112'!$O$8,OR($L2484='112'!$I$6,$M2484='112'!$I$6))),"x",""))</f>
        <v/>
      </c>
      <c r="S2484" s="525" t="str">
        <f>IF(ISERROR(FIND('112'!$M$9,G2484,1)),"",IF((AND(LEFT(G2484,2)=LEFT('112'!$M$9,2),B2484&lt;'112'!$N$8,$L2484='112'!$I$6)),"x",""))</f>
        <v/>
      </c>
      <c r="T2484" s="525" t="str">
        <f>IF(ISERROR(FIND('112'!$M$9,G2484,1)),"",IF((AND(RIGHT(G2484,2)=RIGHT('112'!$M$9,2),B2484&lt;'112'!$N$8,$M2484='112'!$I$6)),"x",""))</f>
        <v/>
      </c>
      <c r="U2484" s="525" t="str">
        <f>IF(AND(B2484&gt;='IN-NX'!$P$3,B2484&lt;='IN-NX'!$Q$3,'IN-NX'!$D$7=D2484,OR(LEFT(L2484,2)="15",AND(LEFT(M2484,2)&lt;&gt;"15",LEFT(M2484,2)&lt;&gt;"33"))),"x","")</f>
        <v/>
      </c>
      <c r="V2484" s="525" t="str">
        <f>IF(AND(OR(LEFT(TH!L2484,2)="15",LEFT(TH!M2484,2)="15"),'152-CT'!$J$8=TH!F2484),"x","")</f>
        <v/>
      </c>
      <c r="W2484" s="525" t="str">
        <f>IF(AND(OR(LEFT(TH!L2484,2)="15",LEFT(TH!M2484,2)="15"),TK!$E$7=TH!F2484),"x","")</f>
        <v/>
      </c>
      <c r="X2484" s="525" t="str">
        <f>IF(AND('341-CT'!$E$9=H2484,OR(LEFT(L2484,3)=$X$7,LEFT(M2484,3)=$X$7)),"x","")</f>
        <v/>
      </c>
      <c r="Y2484" s="525" t="str">
        <f>IF(OR(TH!L2484=TH!$Y$7,M2484=TH!$Y$7),"x","")</f>
        <v/>
      </c>
      <c r="Z2484" s="525" t="str">
        <f>IF(AND(B2484&lt;=NKC!$N$8,B2484&gt;=NKC!$M$8),"x","")</f>
        <v/>
      </c>
      <c r="AA2484" s="535">
        <v>2</v>
      </c>
      <c r="AB2484" s="536"/>
    </row>
    <row r="2485" spans="1:28" s="503" customFormat="1" ht="15.75" customHeight="1">
      <c r="A2485" s="517" t="str">
        <f>IF(B2485&lt;&gt;"",IF(AND(B2485&gt;=_TM1,B2485&lt;=_TM2,OR(TH!L2485="1111",TH!M2485="1111")),TH!D2485,""),"")</f>
        <v/>
      </c>
      <c r="B2485" s="531">
        <f t="shared" si="220"/>
        <v>5</v>
      </c>
      <c r="C2485" s="315">
        <f t="shared" si="221"/>
        <v>42873</v>
      </c>
      <c r="D2485" s="315" t="s">
        <v>1354</v>
      </c>
      <c r="E2485" s="315">
        <v>42873</v>
      </c>
      <c r="F2485" s="249" t="s">
        <v>663</v>
      </c>
      <c r="G2485" s="314" t="s">
        <v>1147</v>
      </c>
      <c r="H2485" s="473" t="s">
        <v>1142</v>
      </c>
      <c r="I2485" s="307">
        <v>74</v>
      </c>
      <c r="J2485" s="307">
        <v>42280</v>
      </c>
      <c r="K2485" s="532">
        <f t="shared" si="222"/>
        <v>3128720</v>
      </c>
      <c r="L2485" s="534" t="s">
        <v>292</v>
      </c>
      <c r="M2485" s="534" t="s">
        <v>8</v>
      </c>
      <c r="N2485" s="525" t="str">
        <f>IF(AND('331-CT'!$E$7=TH!H2485,OR(L2485="331",M2485="331")),"331",IF(AND(OR(L2485="131",M2485="131"),H2485='131-CT'!$E$7),"131",""))</f>
        <v/>
      </c>
      <c r="O2485" s="525" t="str">
        <f>IF(AND($B2485&gt;='111'!$N$11,$B2485&lt;='111'!$O$11,OR($L2485=$O$7,$M2485=$O$7)),"x","")</f>
        <v/>
      </c>
      <c r="P2485" s="525" t="str">
        <f>IF(AND($L2485=$O$7,$B2485&lt;'111'!$N$11),"x","")</f>
        <v/>
      </c>
      <c r="Q2485" s="525" t="str">
        <f>IF(AND($M2485=$O$7,$B2485&lt;'111'!$N$11),"x","")</f>
        <v/>
      </c>
      <c r="R2485" s="525" t="str">
        <f>IF(ISERROR(FIND('112'!$M$9,G2485,1)),"",IF((AND(FIND('112'!$M$9,G2485,1)&gt;=1,$B2485&gt;='112'!$N$8,$B2485&lt;='112'!$O$8,OR($L2485='112'!$I$6,$M2485='112'!$I$6))),"x",""))</f>
        <v/>
      </c>
      <c r="S2485" s="525" t="str">
        <f>IF(ISERROR(FIND('112'!$M$9,G2485,1)),"",IF((AND(LEFT(G2485,2)=LEFT('112'!$M$9,2),B2485&lt;'112'!$N$8,$L2485='112'!$I$6)),"x",""))</f>
        <v/>
      </c>
      <c r="T2485" s="525" t="str">
        <f>IF(ISERROR(FIND('112'!$M$9,G2485,1)),"",IF((AND(RIGHT(G2485,2)=RIGHT('112'!$M$9,2),B2485&lt;'112'!$N$8,$M2485='112'!$I$6)),"x",""))</f>
        <v/>
      </c>
      <c r="U2485" s="525" t="str">
        <f>IF(AND(B2485&gt;='IN-NX'!$P$3,B2485&lt;='IN-NX'!$Q$3,'IN-NX'!$D$7=D2485,OR(LEFT(L2485,2)="15",AND(LEFT(M2485,2)&lt;&gt;"15",LEFT(M2485,2)&lt;&gt;"33"))),"x","")</f>
        <v/>
      </c>
      <c r="V2485" s="525" t="str">
        <f>IF(AND(OR(LEFT(TH!L2485,2)="15",LEFT(TH!M2485,2)="15"),'152-CT'!$J$8=TH!F2485),"x","")</f>
        <v/>
      </c>
      <c r="W2485" s="525" t="str">
        <f>IF(AND(OR(LEFT(TH!L2485,2)="15",LEFT(TH!M2485,2)="15"),TK!$E$7=TH!F2485),"x","")</f>
        <v/>
      </c>
      <c r="X2485" s="525" t="str">
        <f>IF(AND('341-CT'!$E$9=H2485,OR(LEFT(L2485,3)=$X$7,LEFT(M2485,3)=$X$7)),"x","")</f>
        <v/>
      </c>
      <c r="Y2485" s="525" t="str">
        <f>IF(OR(TH!L2485=TH!$Y$7,M2485=TH!$Y$7),"x","")</f>
        <v/>
      </c>
      <c r="Z2485" s="525" t="str">
        <f>IF(AND(B2485&lt;=NKC!$N$8,B2485&gt;=NKC!$M$8),"x","")</f>
        <v/>
      </c>
      <c r="AA2485" s="535">
        <v>2</v>
      </c>
      <c r="AB2485" s="536"/>
    </row>
    <row r="2486" spans="1:28" s="503" customFormat="1" ht="15.75" customHeight="1">
      <c r="A2486" s="517" t="str">
        <f>IF(B2486&lt;&gt;"",IF(AND(B2486&gt;=_TM1,B2486&lt;=_TM2,OR(TH!L2486="1111",TH!M2486="1111")),TH!D2486,""),"")</f>
        <v/>
      </c>
      <c r="B2486" s="531">
        <f t="shared" si="220"/>
        <v>5</v>
      </c>
      <c r="C2486" s="315">
        <f t="shared" si="221"/>
        <v>42873</v>
      </c>
      <c r="D2486" s="315" t="s">
        <v>1354</v>
      </c>
      <c r="E2486" s="315">
        <v>42873</v>
      </c>
      <c r="F2486" s="249" t="s">
        <v>756</v>
      </c>
      <c r="G2486" s="314" t="s">
        <v>1147</v>
      </c>
      <c r="H2486" s="473" t="s">
        <v>1142</v>
      </c>
      <c r="I2486" s="307">
        <v>36</v>
      </c>
      <c r="J2486" s="307">
        <v>40130</v>
      </c>
      <c r="K2486" s="532">
        <f t="shared" si="222"/>
        <v>1444680</v>
      </c>
      <c r="L2486" s="534" t="s">
        <v>292</v>
      </c>
      <c r="M2486" s="534" t="s">
        <v>8</v>
      </c>
      <c r="N2486" s="525" t="str">
        <f>IF(AND('331-CT'!$E$7=TH!H2486,OR(L2486="331",M2486="331")),"331",IF(AND(OR(L2486="131",M2486="131"),H2486='131-CT'!$E$7),"131",""))</f>
        <v/>
      </c>
      <c r="O2486" s="525" t="str">
        <f>IF(AND($B2486&gt;='111'!$N$11,$B2486&lt;='111'!$O$11,OR($L2486=$O$7,$M2486=$O$7)),"x","")</f>
        <v/>
      </c>
      <c r="P2486" s="525" t="str">
        <f>IF(AND($L2486=$O$7,$B2486&lt;'111'!$N$11),"x","")</f>
        <v/>
      </c>
      <c r="Q2486" s="525" t="str">
        <f>IF(AND($M2486=$O$7,$B2486&lt;'111'!$N$11),"x","")</f>
        <v/>
      </c>
      <c r="R2486" s="525" t="str">
        <f>IF(ISERROR(FIND('112'!$M$9,G2486,1)),"",IF((AND(FIND('112'!$M$9,G2486,1)&gt;=1,$B2486&gt;='112'!$N$8,$B2486&lt;='112'!$O$8,OR($L2486='112'!$I$6,$M2486='112'!$I$6))),"x",""))</f>
        <v/>
      </c>
      <c r="S2486" s="525" t="str">
        <f>IF(ISERROR(FIND('112'!$M$9,G2486,1)),"",IF((AND(LEFT(G2486,2)=LEFT('112'!$M$9,2),B2486&lt;'112'!$N$8,$L2486='112'!$I$6)),"x",""))</f>
        <v/>
      </c>
      <c r="T2486" s="525" t="str">
        <f>IF(ISERROR(FIND('112'!$M$9,G2486,1)),"",IF((AND(RIGHT(G2486,2)=RIGHT('112'!$M$9,2),B2486&lt;'112'!$N$8,$M2486='112'!$I$6)),"x",""))</f>
        <v/>
      </c>
      <c r="U2486" s="525" t="str">
        <f>IF(AND(B2486&gt;='IN-NX'!$P$3,B2486&lt;='IN-NX'!$Q$3,'IN-NX'!$D$7=D2486,OR(LEFT(L2486,2)="15",AND(LEFT(M2486,2)&lt;&gt;"15",LEFT(M2486,2)&lt;&gt;"33"))),"x","")</f>
        <v/>
      </c>
      <c r="V2486" s="525" t="str">
        <f>IF(AND(OR(LEFT(TH!L2486,2)="15",LEFT(TH!M2486,2)="15"),'152-CT'!$J$8=TH!F2486),"x","")</f>
        <v/>
      </c>
      <c r="W2486" s="525" t="str">
        <f>IF(AND(OR(LEFT(TH!L2486,2)="15",LEFT(TH!M2486,2)="15"),TK!$E$7=TH!F2486),"x","")</f>
        <v/>
      </c>
      <c r="X2486" s="525" t="str">
        <f>IF(AND('341-CT'!$E$9=H2486,OR(LEFT(L2486,3)=$X$7,LEFT(M2486,3)=$X$7)),"x","")</f>
        <v/>
      </c>
      <c r="Y2486" s="525" t="str">
        <f>IF(OR(TH!L2486=TH!$Y$7,M2486=TH!$Y$7),"x","")</f>
        <v/>
      </c>
      <c r="Z2486" s="525" t="str">
        <f>IF(AND(B2486&lt;=NKC!$N$8,B2486&gt;=NKC!$M$8),"x","")</f>
        <v/>
      </c>
      <c r="AA2486" s="535">
        <v>2</v>
      </c>
      <c r="AB2486" s="536"/>
    </row>
    <row r="2487" spans="1:28" s="503" customFormat="1" ht="15.75" customHeight="1">
      <c r="A2487" s="517" t="str">
        <f>IF(B2487&lt;&gt;"",IF(AND(B2487&gt;=_TM1,B2487&lt;=_TM2,OR(TH!L2487="1111",TH!M2487="1111")),TH!D2487,""),"")</f>
        <v/>
      </c>
      <c r="B2487" s="531">
        <f t="shared" si="220"/>
        <v>5</v>
      </c>
      <c r="C2487" s="315">
        <f t="shared" si="221"/>
        <v>42873</v>
      </c>
      <c r="D2487" s="315" t="s">
        <v>1354</v>
      </c>
      <c r="E2487" s="315">
        <v>42873</v>
      </c>
      <c r="F2487" s="249" t="s">
        <v>627</v>
      </c>
      <c r="G2487" s="314" t="s">
        <v>1147</v>
      </c>
      <c r="H2487" s="473" t="s">
        <v>1142</v>
      </c>
      <c r="I2487" s="307">
        <v>106</v>
      </c>
      <c r="J2487" s="307">
        <v>50840</v>
      </c>
      <c r="K2487" s="532">
        <f t="shared" si="222"/>
        <v>5389040</v>
      </c>
      <c r="L2487" s="534" t="s">
        <v>292</v>
      </c>
      <c r="M2487" s="534" t="s">
        <v>8</v>
      </c>
      <c r="N2487" s="525" t="str">
        <f>IF(AND('331-CT'!$E$7=TH!H2487,OR(L2487="331",M2487="331")),"331",IF(AND(OR(L2487="131",M2487="131"),H2487='131-CT'!$E$7),"131",""))</f>
        <v/>
      </c>
      <c r="O2487" s="525" t="str">
        <f>IF(AND($B2487&gt;='111'!$N$11,$B2487&lt;='111'!$O$11,OR($L2487=$O$7,$M2487=$O$7)),"x","")</f>
        <v/>
      </c>
      <c r="P2487" s="525" t="str">
        <f>IF(AND($L2487=$O$7,$B2487&lt;'111'!$N$11),"x","")</f>
        <v/>
      </c>
      <c r="Q2487" s="525" t="str">
        <f>IF(AND($M2487=$O$7,$B2487&lt;'111'!$N$11),"x","")</f>
        <v/>
      </c>
      <c r="R2487" s="525" t="str">
        <f>IF(ISERROR(FIND('112'!$M$9,G2487,1)),"",IF((AND(FIND('112'!$M$9,G2487,1)&gt;=1,$B2487&gt;='112'!$N$8,$B2487&lt;='112'!$O$8,OR($L2487='112'!$I$6,$M2487='112'!$I$6))),"x",""))</f>
        <v/>
      </c>
      <c r="S2487" s="525" t="str">
        <f>IF(ISERROR(FIND('112'!$M$9,G2487,1)),"",IF((AND(LEFT(G2487,2)=LEFT('112'!$M$9,2),B2487&lt;'112'!$N$8,$L2487='112'!$I$6)),"x",""))</f>
        <v/>
      </c>
      <c r="T2487" s="525" t="str">
        <f>IF(ISERROR(FIND('112'!$M$9,G2487,1)),"",IF((AND(RIGHT(G2487,2)=RIGHT('112'!$M$9,2),B2487&lt;'112'!$N$8,$M2487='112'!$I$6)),"x",""))</f>
        <v/>
      </c>
      <c r="U2487" s="525" t="str">
        <f>IF(AND(B2487&gt;='IN-NX'!$P$3,B2487&lt;='IN-NX'!$Q$3,'IN-NX'!$D$7=D2487,OR(LEFT(L2487,2)="15",AND(LEFT(M2487,2)&lt;&gt;"15",LEFT(M2487,2)&lt;&gt;"33"))),"x","")</f>
        <v/>
      </c>
      <c r="V2487" s="525" t="str">
        <f>IF(AND(OR(LEFT(TH!L2487,2)="15",LEFT(TH!M2487,2)="15"),'152-CT'!$J$8=TH!F2487),"x","")</f>
        <v/>
      </c>
      <c r="W2487" s="525" t="str">
        <f>IF(AND(OR(LEFT(TH!L2487,2)="15",LEFT(TH!M2487,2)="15"),TK!$E$7=TH!F2487),"x","")</f>
        <v/>
      </c>
      <c r="X2487" s="525" t="str">
        <f>IF(AND('341-CT'!$E$9=H2487,OR(LEFT(L2487,3)=$X$7,LEFT(M2487,3)=$X$7)),"x","")</f>
        <v/>
      </c>
      <c r="Y2487" s="525" t="str">
        <f>IF(OR(TH!L2487=TH!$Y$7,M2487=TH!$Y$7),"x","")</f>
        <v/>
      </c>
      <c r="Z2487" s="525" t="str">
        <f>IF(AND(B2487&lt;=NKC!$N$8,B2487&gt;=NKC!$M$8),"x","")</f>
        <v/>
      </c>
      <c r="AA2487" s="535">
        <v>2</v>
      </c>
      <c r="AB2487" s="536"/>
    </row>
    <row r="2488" spans="1:28" s="503" customFormat="1" ht="15.75" customHeight="1">
      <c r="A2488" s="517" t="str">
        <f>IF(B2488&lt;&gt;"",IF(AND(B2488&gt;=_TM1,B2488&lt;=_TM2,OR(TH!L2488="1111",TH!M2488="1111")),TH!D2488,""),"")</f>
        <v/>
      </c>
      <c r="B2488" s="531">
        <f t="shared" si="220"/>
        <v>5</v>
      </c>
      <c r="C2488" s="315">
        <f t="shared" si="221"/>
        <v>42873</v>
      </c>
      <c r="D2488" s="315" t="s">
        <v>1354</v>
      </c>
      <c r="E2488" s="315">
        <v>42873</v>
      </c>
      <c r="F2488" s="249" t="s">
        <v>714</v>
      </c>
      <c r="G2488" s="314" t="s">
        <v>1147</v>
      </c>
      <c r="H2488" s="473" t="s">
        <v>1142</v>
      </c>
      <c r="I2488" s="307">
        <v>30</v>
      </c>
      <c r="J2488" s="307">
        <v>47671</v>
      </c>
      <c r="K2488" s="532">
        <f t="shared" si="222"/>
        <v>1430130</v>
      </c>
      <c r="L2488" s="534" t="s">
        <v>292</v>
      </c>
      <c r="M2488" s="534" t="s">
        <v>8</v>
      </c>
      <c r="N2488" s="525" t="str">
        <f>IF(AND('331-CT'!$E$7=TH!H2488,OR(L2488="331",M2488="331")),"331",IF(AND(OR(L2488="131",M2488="131"),H2488='131-CT'!$E$7),"131",""))</f>
        <v/>
      </c>
      <c r="O2488" s="525" t="str">
        <f>IF(AND($B2488&gt;='111'!$N$11,$B2488&lt;='111'!$O$11,OR($L2488=$O$7,$M2488=$O$7)),"x","")</f>
        <v/>
      </c>
      <c r="P2488" s="525" t="str">
        <f>IF(AND($L2488=$O$7,$B2488&lt;'111'!$N$11),"x","")</f>
        <v/>
      </c>
      <c r="Q2488" s="525" t="str">
        <f>IF(AND($M2488=$O$7,$B2488&lt;'111'!$N$11),"x","")</f>
        <v/>
      </c>
      <c r="R2488" s="525" t="str">
        <f>IF(ISERROR(FIND('112'!$M$9,G2488,1)),"",IF((AND(FIND('112'!$M$9,G2488,1)&gt;=1,$B2488&gt;='112'!$N$8,$B2488&lt;='112'!$O$8,OR($L2488='112'!$I$6,$M2488='112'!$I$6))),"x",""))</f>
        <v/>
      </c>
      <c r="S2488" s="525" t="str">
        <f>IF(ISERROR(FIND('112'!$M$9,G2488,1)),"",IF((AND(LEFT(G2488,2)=LEFT('112'!$M$9,2),B2488&lt;'112'!$N$8,$L2488='112'!$I$6)),"x",""))</f>
        <v/>
      </c>
      <c r="T2488" s="525" t="str">
        <f>IF(ISERROR(FIND('112'!$M$9,G2488,1)),"",IF((AND(RIGHT(G2488,2)=RIGHT('112'!$M$9,2),B2488&lt;'112'!$N$8,$M2488='112'!$I$6)),"x",""))</f>
        <v/>
      </c>
      <c r="U2488" s="525" t="str">
        <f>IF(AND(B2488&gt;='IN-NX'!$P$3,B2488&lt;='IN-NX'!$Q$3,'IN-NX'!$D$7=D2488,OR(LEFT(L2488,2)="15",AND(LEFT(M2488,2)&lt;&gt;"15",LEFT(M2488,2)&lt;&gt;"33"))),"x","")</f>
        <v/>
      </c>
      <c r="V2488" s="525" t="str">
        <f>IF(AND(OR(LEFT(TH!L2488,2)="15",LEFT(TH!M2488,2)="15"),'152-CT'!$J$8=TH!F2488),"x","")</f>
        <v/>
      </c>
      <c r="W2488" s="525" t="str">
        <f>IF(AND(OR(LEFT(TH!L2488,2)="15",LEFT(TH!M2488,2)="15"),TK!$E$7=TH!F2488),"x","")</f>
        <v/>
      </c>
      <c r="X2488" s="525" t="str">
        <f>IF(AND('341-CT'!$E$9=H2488,OR(LEFT(L2488,3)=$X$7,LEFT(M2488,3)=$X$7)),"x","")</f>
        <v/>
      </c>
      <c r="Y2488" s="525" t="str">
        <f>IF(OR(TH!L2488=TH!$Y$7,M2488=TH!$Y$7),"x","")</f>
        <v/>
      </c>
      <c r="Z2488" s="525" t="str">
        <f>IF(AND(B2488&lt;=NKC!$N$8,B2488&gt;=NKC!$M$8),"x","")</f>
        <v/>
      </c>
      <c r="AA2488" s="535">
        <v>2</v>
      </c>
      <c r="AB2488" s="536"/>
    </row>
    <row r="2489" spans="1:28" s="503" customFormat="1" ht="15.75" customHeight="1">
      <c r="A2489" s="517" t="str">
        <f>IF(B2489&lt;&gt;"",IF(AND(B2489&gt;=_TM1,B2489&lt;=_TM2,OR(TH!L2489="1111",TH!M2489="1111")),TH!D2489,""),"")</f>
        <v/>
      </c>
      <c r="B2489" s="531">
        <f t="shared" si="220"/>
        <v>5</v>
      </c>
      <c r="C2489" s="315">
        <f t="shared" si="221"/>
        <v>42873</v>
      </c>
      <c r="D2489" s="315" t="s">
        <v>1355</v>
      </c>
      <c r="E2489" s="315">
        <v>42873</v>
      </c>
      <c r="F2489" s="249" t="s">
        <v>754</v>
      </c>
      <c r="G2489" s="314" t="s">
        <v>1147</v>
      </c>
      <c r="H2489" s="473" t="s">
        <v>1142</v>
      </c>
      <c r="I2489" s="307">
        <v>40</v>
      </c>
      <c r="J2489" s="307">
        <v>62350</v>
      </c>
      <c r="K2489" s="532">
        <f t="shared" si="222"/>
        <v>2494000</v>
      </c>
      <c r="L2489" s="534" t="s">
        <v>292</v>
      </c>
      <c r="M2489" s="534" t="s">
        <v>8</v>
      </c>
      <c r="N2489" s="525" t="str">
        <f>IF(AND('331-CT'!$E$7=TH!H2489,OR(L2489="331",M2489="331")),"331",IF(AND(OR(L2489="131",M2489="131"),H2489='131-CT'!$E$7),"131",""))</f>
        <v/>
      </c>
      <c r="O2489" s="525" t="str">
        <f>IF(AND($B2489&gt;='111'!$N$11,$B2489&lt;='111'!$O$11,OR($L2489=$O$7,$M2489=$O$7)),"x","")</f>
        <v/>
      </c>
      <c r="P2489" s="525" t="str">
        <f>IF(AND($L2489=$O$7,$B2489&lt;'111'!$N$11),"x","")</f>
        <v/>
      </c>
      <c r="Q2489" s="525" t="str">
        <f>IF(AND($M2489=$O$7,$B2489&lt;'111'!$N$11),"x","")</f>
        <v/>
      </c>
      <c r="R2489" s="525" t="str">
        <f>IF(ISERROR(FIND('112'!$M$9,G2489,1)),"",IF((AND(FIND('112'!$M$9,G2489,1)&gt;=1,$B2489&gt;='112'!$N$8,$B2489&lt;='112'!$O$8,OR($L2489='112'!$I$6,$M2489='112'!$I$6))),"x",""))</f>
        <v/>
      </c>
      <c r="S2489" s="525" t="str">
        <f>IF(ISERROR(FIND('112'!$M$9,G2489,1)),"",IF((AND(LEFT(G2489,2)=LEFT('112'!$M$9,2),B2489&lt;'112'!$N$8,$L2489='112'!$I$6)),"x",""))</f>
        <v/>
      </c>
      <c r="T2489" s="525" t="str">
        <f>IF(ISERROR(FIND('112'!$M$9,G2489,1)),"",IF((AND(RIGHT(G2489,2)=RIGHT('112'!$M$9,2),B2489&lt;'112'!$N$8,$M2489='112'!$I$6)),"x",""))</f>
        <v/>
      </c>
      <c r="U2489" s="525" t="str">
        <f>IF(AND(B2489&gt;='IN-NX'!$P$3,B2489&lt;='IN-NX'!$Q$3,'IN-NX'!$D$7=D2489,OR(LEFT(L2489,2)="15",AND(LEFT(M2489,2)&lt;&gt;"15",LEFT(M2489,2)&lt;&gt;"33"))),"x","")</f>
        <v/>
      </c>
      <c r="V2489" s="525" t="str">
        <f>IF(AND(OR(LEFT(TH!L2489,2)="15",LEFT(TH!M2489,2)="15"),'152-CT'!$J$8=TH!F2489),"x","")</f>
        <v/>
      </c>
      <c r="W2489" s="525" t="str">
        <f>IF(AND(OR(LEFT(TH!L2489,2)="15",LEFT(TH!M2489,2)="15"),TK!$E$7=TH!F2489),"x","")</f>
        <v/>
      </c>
      <c r="X2489" s="525" t="str">
        <f>IF(AND('341-CT'!$E$9=H2489,OR(LEFT(L2489,3)=$X$7,LEFT(M2489,3)=$X$7)),"x","")</f>
        <v/>
      </c>
      <c r="Y2489" s="525" t="str">
        <f>IF(OR(TH!L2489=TH!$Y$7,M2489=TH!$Y$7),"x","")</f>
        <v/>
      </c>
      <c r="Z2489" s="525" t="str">
        <f>IF(AND(B2489&lt;=NKC!$N$8,B2489&gt;=NKC!$M$8),"x","")</f>
        <v/>
      </c>
      <c r="AA2489" s="535">
        <v>2</v>
      </c>
      <c r="AB2489" s="536"/>
    </row>
    <row r="2490" spans="1:28" s="503" customFormat="1" ht="15.75" customHeight="1">
      <c r="A2490" s="517" t="str">
        <f>IF(B2490&lt;&gt;"",IF(AND(B2490&gt;=_TM1,B2490&lt;=_TM2,OR(TH!L2490="1111",TH!M2490="1111")),TH!D2490,""),"")</f>
        <v/>
      </c>
      <c r="B2490" s="531">
        <f t="shared" si="220"/>
        <v>5</v>
      </c>
      <c r="C2490" s="315">
        <f t="shared" si="221"/>
        <v>42873</v>
      </c>
      <c r="D2490" s="315" t="s">
        <v>1355</v>
      </c>
      <c r="E2490" s="315">
        <v>42873</v>
      </c>
      <c r="F2490" s="249" t="s">
        <v>1174</v>
      </c>
      <c r="G2490" s="314" t="s">
        <v>1147</v>
      </c>
      <c r="H2490" s="473" t="s">
        <v>1142</v>
      </c>
      <c r="I2490" s="307">
        <v>40</v>
      </c>
      <c r="J2490" s="307">
        <v>62415</v>
      </c>
      <c r="K2490" s="532">
        <f t="shared" si="222"/>
        <v>2496600</v>
      </c>
      <c r="L2490" s="534" t="s">
        <v>292</v>
      </c>
      <c r="M2490" s="534" t="s">
        <v>8</v>
      </c>
      <c r="N2490" s="525" t="str">
        <f>IF(AND('331-CT'!$E$7=TH!H2490,OR(L2490="331",M2490="331")),"331",IF(AND(OR(L2490="131",M2490="131"),H2490='131-CT'!$E$7),"131",""))</f>
        <v/>
      </c>
      <c r="O2490" s="525" t="str">
        <f>IF(AND($B2490&gt;='111'!$N$11,$B2490&lt;='111'!$O$11,OR($L2490=$O$7,$M2490=$O$7)),"x","")</f>
        <v/>
      </c>
      <c r="P2490" s="525" t="str">
        <f>IF(AND($L2490=$O$7,$B2490&lt;'111'!$N$11),"x","")</f>
        <v/>
      </c>
      <c r="Q2490" s="525" t="str">
        <f>IF(AND($M2490=$O$7,$B2490&lt;'111'!$N$11),"x","")</f>
        <v/>
      </c>
      <c r="R2490" s="525" t="str">
        <f>IF(ISERROR(FIND('112'!$M$9,G2490,1)),"",IF((AND(FIND('112'!$M$9,G2490,1)&gt;=1,$B2490&gt;='112'!$N$8,$B2490&lt;='112'!$O$8,OR($L2490='112'!$I$6,$M2490='112'!$I$6))),"x",""))</f>
        <v/>
      </c>
      <c r="S2490" s="525" t="str">
        <f>IF(ISERROR(FIND('112'!$M$9,G2490,1)),"",IF((AND(LEFT(G2490,2)=LEFT('112'!$M$9,2),B2490&lt;'112'!$N$8,$L2490='112'!$I$6)),"x",""))</f>
        <v/>
      </c>
      <c r="T2490" s="525" t="str">
        <f>IF(ISERROR(FIND('112'!$M$9,G2490,1)),"",IF((AND(RIGHT(G2490,2)=RIGHT('112'!$M$9,2),B2490&lt;'112'!$N$8,$M2490='112'!$I$6)),"x",""))</f>
        <v/>
      </c>
      <c r="U2490" s="525" t="str">
        <f>IF(AND(B2490&gt;='IN-NX'!$P$3,B2490&lt;='IN-NX'!$Q$3,'IN-NX'!$D$7=D2490,OR(LEFT(L2490,2)="15",AND(LEFT(M2490,2)&lt;&gt;"15",LEFT(M2490,2)&lt;&gt;"33"))),"x","")</f>
        <v/>
      </c>
      <c r="V2490" s="525" t="str">
        <f>IF(AND(OR(LEFT(TH!L2490,2)="15",LEFT(TH!M2490,2)="15"),'152-CT'!$J$8=TH!F2490),"x","")</f>
        <v/>
      </c>
      <c r="W2490" s="525" t="str">
        <f>IF(AND(OR(LEFT(TH!L2490,2)="15",LEFT(TH!M2490,2)="15"),TK!$E$7=TH!F2490),"x","")</f>
        <v/>
      </c>
      <c r="X2490" s="525" t="str">
        <f>IF(AND('341-CT'!$E$9=H2490,OR(LEFT(L2490,3)=$X$7,LEFT(M2490,3)=$X$7)),"x","")</f>
        <v/>
      </c>
      <c r="Y2490" s="525" t="str">
        <f>IF(OR(TH!L2490=TH!$Y$7,M2490=TH!$Y$7),"x","")</f>
        <v/>
      </c>
      <c r="Z2490" s="525" t="str">
        <f>IF(AND(B2490&lt;=NKC!$N$8,B2490&gt;=NKC!$M$8),"x","")</f>
        <v/>
      </c>
      <c r="AA2490" s="535">
        <v>2</v>
      </c>
      <c r="AB2490" s="536"/>
    </row>
    <row r="2491" spans="1:28" s="503" customFormat="1" ht="15.75" customHeight="1">
      <c r="A2491" s="517" t="str">
        <f>IF(B2491&lt;&gt;"",IF(AND(B2491&gt;=_TM1,B2491&lt;=_TM2,OR(TH!L2491="1111",TH!M2491="1111")),TH!D2491,""),"")</f>
        <v/>
      </c>
      <c r="B2491" s="531">
        <f t="shared" si="220"/>
        <v>5</v>
      </c>
      <c r="C2491" s="315">
        <f t="shared" si="221"/>
        <v>42873</v>
      </c>
      <c r="D2491" s="315" t="s">
        <v>1355</v>
      </c>
      <c r="E2491" s="315">
        <v>42873</v>
      </c>
      <c r="F2491" s="249" t="s">
        <v>1018</v>
      </c>
      <c r="G2491" s="314" t="s">
        <v>1147</v>
      </c>
      <c r="H2491" s="473" t="s">
        <v>1142</v>
      </c>
      <c r="I2491" s="307">
        <v>40</v>
      </c>
      <c r="J2491" s="307">
        <v>54500</v>
      </c>
      <c r="K2491" s="532">
        <f t="shared" si="222"/>
        <v>2180000</v>
      </c>
      <c r="L2491" s="534" t="s">
        <v>292</v>
      </c>
      <c r="M2491" s="534" t="s">
        <v>8</v>
      </c>
      <c r="N2491" s="525" t="str">
        <f>IF(AND('331-CT'!$E$7=TH!H2491,OR(L2491="331",M2491="331")),"331",IF(AND(OR(L2491="131",M2491="131"),H2491='131-CT'!$E$7),"131",""))</f>
        <v/>
      </c>
      <c r="O2491" s="525" t="str">
        <f>IF(AND($B2491&gt;='111'!$N$11,$B2491&lt;='111'!$O$11,OR($L2491=$O$7,$M2491=$O$7)),"x","")</f>
        <v/>
      </c>
      <c r="P2491" s="525" t="str">
        <f>IF(AND($L2491=$O$7,$B2491&lt;'111'!$N$11),"x","")</f>
        <v/>
      </c>
      <c r="Q2491" s="525" t="str">
        <f>IF(AND($M2491=$O$7,$B2491&lt;'111'!$N$11),"x","")</f>
        <v/>
      </c>
      <c r="R2491" s="525" t="str">
        <f>IF(ISERROR(FIND('112'!$M$9,G2491,1)),"",IF((AND(FIND('112'!$M$9,G2491,1)&gt;=1,$B2491&gt;='112'!$N$8,$B2491&lt;='112'!$O$8,OR($L2491='112'!$I$6,$M2491='112'!$I$6))),"x",""))</f>
        <v/>
      </c>
      <c r="S2491" s="525" t="str">
        <f>IF(ISERROR(FIND('112'!$M$9,G2491,1)),"",IF((AND(LEFT(G2491,2)=LEFT('112'!$M$9,2),B2491&lt;'112'!$N$8,$L2491='112'!$I$6)),"x",""))</f>
        <v/>
      </c>
      <c r="T2491" s="525" t="str">
        <f>IF(ISERROR(FIND('112'!$M$9,G2491,1)),"",IF((AND(RIGHT(G2491,2)=RIGHT('112'!$M$9,2),B2491&lt;'112'!$N$8,$M2491='112'!$I$6)),"x",""))</f>
        <v/>
      </c>
      <c r="U2491" s="525" t="str">
        <f>IF(AND(B2491&gt;='IN-NX'!$P$3,B2491&lt;='IN-NX'!$Q$3,'IN-NX'!$D$7=D2491,OR(LEFT(L2491,2)="15",AND(LEFT(M2491,2)&lt;&gt;"15",LEFT(M2491,2)&lt;&gt;"33"))),"x","")</f>
        <v/>
      </c>
      <c r="V2491" s="525" t="str">
        <f>IF(AND(OR(LEFT(TH!L2491,2)="15",LEFT(TH!M2491,2)="15"),'152-CT'!$J$8=TH!F2491),"x","")</f>
        <v/>
      </c>
      <c r="W2491" s="525" t="str">
        <f>IF(AND(OR(LEFT(TH!L2491,2)="15",LEFT(TH!M2491,2)="15"),TK!$E$7=TH!F2491),"x","")</f>
        <v/>
      </c>
      <c r="X2491" s="525" t="str">
        <f>IF(AND('341-CT'!$E$9=H2491,OR(LEFT(L2491,3)=$X$7,LEFT(M2491,3)=$X$7)),"x","")</f>
        <v/>
      </c>
      <c r="Y2491" s="525" t="str">
        <f>IF(OR(TH!L2491=TH!$Y$7,M2491=TH!$Y$7),"x","")</f>
        <v/>
      </c>
      <c r="Z2491" s="525" t="str">
        <f>IF(AND(B2491&lt;=NKC!$N$8,B2491&gt;=NKC!$M$8),"x","")</f>
        <v/>
      </c>
      <c r="AA2491" s="535">
        <v>2</v>
      </c>
      <c r="AB2491" s="536"/>
    </row>
    <row r="2492" spans="1:28" s="503" customFormat="1" ht="15.75" customHeight="1">
      <c r="A2492" s="517" t="str">
        <f>IF(B2492&lt;&gt;"",IF(AND(B2492&gt;=_TM1,B2492&lt;=_TM2,OR(TH!L2492="1111",TH!M2492="1111")),TH!D2492,""),"")</f>
        <v/>
      </c>
      <c r="B2492" s="531">
        <f t="shared" si="220"/>
        <v>5</v>
      </c>
      <c r="C2492" s="315">
        <f t="shared" si="221"/>
        <v>42873</v>
      </c>
      <c r="D2492" s="315" t="s">
        <v>1355</v>
      </c>
      <c r="E2492" s="315">
        <v>42873</v>
      </c>
      <c r="F2492" s="249" t="s">
        <v>795</v>
      </c>
      <c r="G2492" s="314" t="s">
        <v>1147</v>
      </c>
      <c r="H2492" s="473" t="s">
        <v>1142</v>
      </c>
      <c r="I2492" s="307">
        <v>40</v>
      </c>
      <c r="J2492" s="307">
        <v>74100</v>
      </c>
      <c r="K2492" s="532">
        <f t="shared" si="222"/>
        <v>2964000</v>
      </c>
      <c r="L2492" s="534" t="s">
        <v>292</v>
      </c>
      <c r="M2492" s="534" t="s">
        <v>8</v>
      </c>
      <c r="N2492" s="525" t="str">
        <f>IF(AND('331-CT'!$E$7=TH!H2492,OR(L2492="331",M2492="331")),"331",IF(AND(OR(L2492="131",M2492="131"),H2492='131-CT'!$E$7),"131",""))</f>
        <v/>
      </c>
      <c r="O2492" s="525" t="str">
        <f>IF(AND($B2492&gt;='111'!$N$11,$B2492&lt;='111'!$O$11,OR($L2492=$O$7,$M2492=$O$7)),"x","")</f>
        <v/>
      </c>
      <c r="P2492" s="525" t="str">
        <f>IF(AND($L2492=$O$7,$B2492&lt;'111'!$N$11),"x","")</f>
        <v/>
      </c>
      <c r="Q2492" s="525" t="str">
        <f>IF(AND($M2492=$O$7,$B2492&lt;'111'!$N$11),"x","")</f>
        <v/>
      </c>
      <c r="R2492" s="525" t="str">
        <f>IF(ISERROR(FIND('112'!$M$9,G2492,1)),"",IF((AND(FIND('112'!$M$9,G2492,1)&gt;=1,$B2492&gt;='112'!$N$8,$B2492&lt;='112'!$O$8,OR($L2492='112'!$I$6,$M2492='112'!$I$6))),"x",""))</f>
        <v/>
      </c>
      <c r="S2492" s="525" t="str">
        <f>IF(ISERROR(FIND('112'!$M$9,G2492,1)),"",IF((AND(LEFT(G2492,2)=LEFT('112'!$M$9,2),B2492&lt;'112'!$N$8,$L2492='112'!$I$6)),"x",""))</f>
        <v/>
      </c>
      <c r="T2492" s="525" t="str">
        <f>IF(ISERROR(FIND('112'!$M$9,G2492,1)),"",IF((AND(RIGHT(G2492,2)=RIGHT('112'!$M$9,2),B2492&lt;'112'!$N$8,$M2492='112'!$I$6)),"x",""))</f>
        <v/>
      </c>
      <c r="U2492" s="525" t="str">
        <f>IF(AND(B2492&gt;='IN-NX'!$P$3,B2492&lt;='IN-NX'!$Q$3,'IN-NX'!$D$7=D2492,OR(LEFT(L2492,2)="15",AND(LEFT(M2492,2)&lt;&gt;"15",LEFT(M2492,2)&lt;&gt;"33"))),"x","")</f>
        <v/>
      </c>
      <c r="V2492" s="525" t="str">
        <f>IF(AND(OR(LEFT(TH!L2492,2)="15",LEFT(TH!M2492,2)="15"),'152-CT'!$J$8=TH!F2492),"x","")</f>
        <v/>
      </c>
      <c r="W2492" s="525" t="str">
        <f>IF(AND(OR(LEFT(TH!L2492,2)="15",LEFT(TH!M2492,2)="15"),TK!$E$7=TH!F2492),"x","")</f>
        <v/>
      </c>
      <c r="X2492" s="525" t="str">
        <f>IF(AND('341-CT'!$E$9=H2492,OR(LEFT(L2492,3)=$X$7,LEFT(M2492,3)=$X$7)),"x","")</f>
        <v/>
      </c>
      <c r="Y2492" s="525" t="str">
        <f>IF(OR(TH!L2492=TH!$Y$7,M2492=TH!$Y$7),"x","")</f>
        <v/>
      </c>
      <c r="Z2492" s="525" t="str">
        <f>IF(AND(B2492&lt;=NKC!$N$8,B2492&gt;=NKC!$M$8),"x","")</f>
        <v/>
      </c>
      <c r="AA2492" s="535">
        <v>2</v>
      </c>
      <c r="AB2492" s="536"/>
    </row>
    <row r="2493" spans="1:28" s="503" customFormat="1" ht="15.75" customHeight="1">
      <c r="A2493" s="517" t="str">
        <f>IF(B2493&lt;&gt;"",IF(AND(B2493&gt;=_TM1,B2493&lt;=_TM2,OR(TH!L2493="1111",TH!M2493="1111")),TH!D2493,""),"")</f>
        <v/>
      </c>
      <c r="B2493" s="531">
        <f t="shared" si="220"/>
        <v>5</v>
      </c>
      <c r="C2493" s="315">
        <f t="shared" si="221"/>
        <v>42873</v>
      </c>
      <c r="D2493" s="315" t="s">
        <v>1355</v>
      </c>
      <c r="E2493" s="315">
        <v>42873</v>
      </c>
      <c r="F2493" s="249" t="s">
        <v>737</v>
      </c>
      <c r="G2493" s="314" t="s">
        <v>1147</v>
      </c>
      <c r="H2493" s="473" t="s">
        <v>1142</v>
      </c>
      <c r="I2493" s="307">
        <v>80</v>
      </c>
      <c r="J2493" s="307">
        <v>87730</v>
      </c>
      <c r="K2493" s="532">
        <f t="shared" si="222"/>
        <v>7018400</v>
      </c>
      <c r="L2493" s="534" t="s">
        <v>292</v>
      </c>
      <c r="M2493" s="534" t="s">
        <v>8</v>
      </c>
      <c r="N2493" s="525" t="str">
        <f>IF(AND('331-CT'!$E$7=TH!H2493,OR(L2493="331",M2493="331")),"331",IF(AND(OR(L2493="131",M2493="131"),H2493='131-CT'!$E$7),"131",""))</f>
        <v/>
      </c>
      <c r="O2493" s="525" t="str">
        <f>IF(AND($B2493&gt;='111'!$N$11,$B2493&lt;='111'!$O$11,OR($L2493=$O$7,$M2493=$O$7)),"x","")</f>
        <v/>
      </c>
      <c r="P2493" s="525" t="str">
        <f>IF(AND($L2493=$O$7,$B2493&lt;'111'!$N$11),"x","")</f>
        <v/>
      </c>
      <c r="Q2493" s="525" t="str">
        <f>IF(AND($M2493=$O$7,$B2493&lt;'111'!$N$11),"x","")</f>
        <v/>
      </c>
      <c r="R2493" s="525" t="str">
        <f>IF(ISERROR(FIND('112'!$M$9,G2493,1)),"",IF((AND(FIND('112'!$M$9,G2493,1)&gt;=1,$B2493&gt;='112'!$N$8,$B2493&lt;='112'!$O$8,OR($L2493='112'!$I$6,$M2493='112'!$I$6))),"x",""))</f>
        <v/>
      </c>
      <c r="S2493" s="525" t="str">
        <f>IF(ISERROR(FIND('112'!$M$9,G2493,1)),"",IF((AND(LEFT(G2493,2)=LEFT('112'!$M$9,2),B2493&lt;'112'!$N$8,$L2493='112'!$I$6)),"x",""))</f>
        <v/>
      </c>
      <c r="T2493" s="525" t="str">
        <f>IF(ISERROR(FIND('112'!$M$9,G2493,1)),"",IF((AND(RIGHT(G2493,2)=RIGHT('112'!$M$9,2),B2493&lt;'112'!$N$8,$M2493='112'!$I$6)),"x",""))</f>
        <v/>
      </c>
      <c r="U2493" s="525" t="str">
        <f>IF(AND(B2493&gt;='IN-NX'!$P$3,B2493&lt;='IN-NX'!$Q$3,'IN-NX'!$D$7=D2493,OR(LEFT(L2493,2)="15",AND(LEFT(M2493,2)&lt;&gt;"15",LEFT(M2493,2)&lt;&gt;"33"))),"x","")</f>
        <v/>
      </c>
      <c r="V2493" s="525" t="str">
        <f>IF(AND(OR(LEFT(TH!L2493,2)="15",LEFT(TH!M2493,2)="15"),'152-CT'!$J$8=TH!F2493),"x","")</f>
        <v/>
      </c>
      <c r="W2493" s="525" t="str">
        <f>IF(AND(OR(LEFT(TH!L2493,2)="15",LEFT(TH!M2493,2)="15"),TK!$E$7=TH!F2493),"x","")</f>
        <v/>
      </c>
      <c r="X2493" s="525" t="str">
        <f>IF(AND('341-CT'!$E$9=H2493,OR(LEFT(L2493,3)=$X$7,LEFT(M2493,3)=$X$7)),"x","")</f>
        <v/>
      </c>
      <c r="Y2493" s="525" t="str">
        <f>IF(OR(TH!L2493=TH!$Y$7,M2493=TH!$Y$7),"x","")</f>
        <v/>
      </c>
      <c r="Z2493" s="525" t="str">
        <f>IF(AND(B2493&lt;=NKC!$N$8,B2493&gt;=NKC!$M$8),"x","")</f>
        <v/>
      </c>
      <c r="AA2493" s="535">
        <v>2</v>
      </c>
      <c r="AB2493" s="536"/>
    </row>
    <row r="2494" spans="1:28" s="503" customFormat="1" ht="15.75" customHeight="1">
      <c r="A2494" s="517" t="str">
        <f>IF(B2494&lt;&gt;"",IF(AND(B2494&gt;=_TM1,B2494&lt;=_TM2,OR(TH!L2494="1111",TH!M2494="1111")),TH!D2494,""),"")</f>
        <v/>
      </c>
      <c r="B2494" s="531">
        <f t="shared" si="220"/>
        <v>5</v>
      </c>
      <c r="C2494" s="315">
        <f t="shared" si="221"/>
        <v>42873</v>
      </c>
      <c r="D2494" s="315" t="s">
        <v>1355</v>
      </c>
      <c r="E2494" s="315">
        <v>42873</v>
      </c>
      <c r="F2494" s="249" t="s">
        <v>274</v>
      </c>
      <c r="G2494" s="314" t="s">
        <v>1147</v>
      </c>
      <c r="H2494" s="473" t="s">
        <v>1142</v>
      </c>
      <c r="I2494" s="307">
        <v>471</v>
      </c>
      <c r="J2494" s="307">
        <v>18350</v>
      </c>
      <c r="K2494" s="532">
        <f t="shared" si="222"/>
        <v>8642850</v>
      </c>
      <c r="L2494" s="534" t="s">
        <v>292</v>
      </c>
      <c r="M2494" s="534" t="s">
        <v>8</v>
      </c>
      <c r="N2494" s="525" t="str">
        <f>IF(AND('331-CT'!$E$7=TH!H2494,OR(L2494="331",M2494="331")),"331",IF(AND(OR(L2494="131",M2494="131"),H2494='131-CT'!$E$7),"131",""))</f>
        <v/>
      </c>
      <c r="O2494" s="525" t="str">
        <f>IF(AND($B2494&gt;='111'!$N$11,$B2494&lt;='111'!$O$11,OR($L2494=$O$7,$M2494=$O$7)),"x","")</f>
        <v/>
      </c>
      <c r="P2494" s="525" t="str">
        <f>IF(AND($L2494=$O$7,$B2494&lt;'111'!$N$11),"x","")</f>
        <v/>
      </c>
      <c r="Q2494" s="525" t="str">
        <f>IF(AND($M2494=$O$7,$B2494&lt;'111'!$N$11),"x","")</f>
        <v/>
      </c>
      <c r="R2494" s="525" t="str">
        <f>IF(ISERROR(FIND('112'!$M$9,G2494,1)),"",IF((AND(FIND('112'!$M$9,G2494,1)&gt;=1,$B2494&gt;='112'!$N$8,$B2494&lt;='112'!$O$8,OR($L2494='112'!$I$6,$M2494='112'!$I$6))),"x",""))</f>
        <v/>
      </c>
      <c r="S2494" s="525" t="str">
        <f>IF(ISERROR(FIND('112'!$M$9,G2494,1)),"",IF((AND(LEFT(G2494,2)=LEFT('112'!$M$9,2),B2494&lt;'112'!$N$8,$L2494='112'!$I$6)),"x",""))</f>
        <v/>
      </c>
      <c r="T2494" s="525" t="str">
        <f>IF(ISERROR(FIND('112'!$M$9,G2494,1)),"",IF((AND(RIGHT(G2494,2)=RIGHT('112'!$M$9,2),B2494&lt;'112'!$N$8,$M2494='112'!$I$6)),"x",""))</f>
        <v/>
      </c>
      <c r="U2494" s="525" t="str">
        <f>IF(AND(B2494&gt;='IN-NX'!$P$3,B2494&lt;='IN-NX'!$Q$3,'IN-NX'!$D$7=D2494,OR(LEFT(L2494,2)="15",AND(LEFT(M2494,2)&lt;&gt;"15",LEFT(M2494,2)&lt;&gt;"33"))),"x","")</f>
        <v/>
      </c>
      <c r="V2494" s="525" t="str">
        <f>IF(AND(OR(LEFT(TH!L2494,2)="15",LEFT(TH!M2494,2)="15"),'152-CT'!$J$8=TH!F2494),"x","")</f>
        <v/>
      </c>
      <c r="W2494" s="525" t="str">
        <f>IF(AND(OR(LEFT(TH!L2494,2)="15",LEFT(TH!M2494,2)="15"),TK!$E$7=TH!F2494),"x","")</f>
        <v>x</v>
      </c>
      <c r="X2494" s="525" t="str">
        <f>IF(AND('341-CT'!$E$9=H2494,OR(LEFT(L2494,3)=$X$7,LEFT(M2494,3)=$X$7)),"x","")</f>
        <v/>
      </c>
      <c r="Y2494" s="525" t="str">
        <f>IF(OR(TH!L2494=TH!$Y$7,M2494=TH!$Y$7),"x","")</f>
        <v/>
      </c>
      <c r="Z2494" s="525" t="str">
        <f>IF(AND(B2494&lt;=NKC!$N$8,B2494&gt;=NKC!$M$8),"x","")</f>
        <v/>
      </c>
      <c r="AA2494" s="535">
        <v>2</v>
      </c>
      <c r="AB2494" s="536"/>
    </row>
    <row r="2495" spans="1:28" s="503" customFormat="1" ht="15.75" customHeight="1">
      <c r="A2495" s="517" t="str">
        <f>IF(B2495&lt;&gt;"",IF(AND(B2495&gt;=_TM1,B2495&lt;=_TM2,OR(TH!L2495="1111",TH!M2495="1111")),TH!D2495,""),"")</f>
        <v/>
      </c>
      <c r="B2495" s="531">
        <f t="shared" si="220"/>
        <v>5</v>
      </c>
      <c r="C2495" s="315">
        <f t="shared" si="221"/>
        <v>42873</v>
      </c>
      <c r="D2495" s="315" t="s">
        <v>1355</v>
      </c>
      <c r="E2495" s="315">
        <v>42873</v>
      </c>
      <c r="F2495" s="249" t="s">
        <v>1002</v>
      </c>
      <c r="G2495" s="314" t="s">
        <v>1147</v>
      </c>
      <c r="H2495" s="473" t="s">
        <v>1142</v>
      </c>
      <c r="I2495" s="307"/>
      <c r="J2495" s="307"/>
      <c r="K2495" s="532">
        <v>5141589</v>
      </c>
      <c r="L2495" s="713" t="s">
        <v>9</v>
      </c>
      <c r="M2495" s="534" t="s">
        <v>8</v>
      </c>
      <c r="N2495" s="525" t="str">
        <f>IF(AND('331-CT'!$E$7=TH!H2495,OR(L2495="331",M2495="331")),"331",IF(AND(OR(L2495="131",M2495="131"),H2495='131-CT'!$E$7),"131",""))</f>
        <v/>
      </c>
      <c r="O2495" s="525" t="str">
        <f>IF(AND($B2495&gt;='111'!$N$11,$B2495&lt;='111'!$O$11,OR($L2495=$O$7,$M2495=$O$7)),"x","")</f>
        <v/>
      </c>
      <c r="P2495" s="525" t="str">
        <f>IF(AND($L2495=$O$7,$B2495&lt;'111'!$N$11),"x","")</f>
        <v/>
      </c>
      <c r="Q2495" s="525" t="str">
        <f>IF(AND($M2495=$O$7,$B2495&lt;'111'!$N$11),"x","")</f>
        <v/>
      </c>
      <c r="R2495" s="525" t="str">
        <f>IF(ISERROR(FIND('112'!$M$9,G2495,1)),"",IF((AND(FIND('112'!$M$9,G2495,1)&gt;=1,$B2495&gt;='112'!$N$8,$B2495&lt;='112'!$O$8,OR($L2495='112'!$I$6,$M2495='112'!$I$6))),"x",""))</f>
        <v/>
      </c>
      <c r="S2495" s="525" t="str">
        <f>IF(ISERROR(FIND('112'!$M$9,G2495,1)),"",IF((AND(LEFT(G2495,2)=LEFT('112'!$M$9,2),B2495&lt;'112'!$N$8,$L2495='112'!$I$6)),"x",""))</f>
        <v/>
      </c>
      <c r="T2495" s="525" t="str">
        <f>IF(ISERROR(FIND('112'!$M$9,G2495,1)),"",IF((AND(RIGHT(G2495,2)=RIGHT('112'!$M$9,2),B2495&lt;'112'!$N$8,$M2495='112'!$I$6)),"x",""))</f>
        <v/>
      </c>
      <c r="U2495" s="525" t="str">
        <f>IF(AND(B2495&gt;='IN-NX'!$P$3,B2495&lt;='IN-NX'!$Q$3,'IN-NX'!$D$7=D2495,OR(LEFT(L2495,2)="15",AND(LEFT(M2495,2)&lt;&gt;"15",LEFT(M2495,2)&lt;&gt;"33"))),"x","")</f>
        <v/>
      </c>
      <c r="V2495" s="525" t="str">
        <f>IF(AND(OR(LEFT(TH!L2495,2)="15",LEFT(TH!M2495,2)="15"),'152-CT'!$J$8=TH!F2495),"x","")</f>
        <v/>
      </c>
      <c r="W2495" s="525" t="str">
        <f>IF(AND(OR(LEFT(TH!L2495,2)="15",LEFT(TH!M2495,2)="15"),TK!$E$7=TH!F2495),"x","")</f>
        <v/>
      </c>
      <c r="X2495" s="525" t="str">
        <f>IF(AND('341-CT'!$E$9=H2495,OR(LEFT(L2495,3)=$X$7,LEFT(M2495,3)=$X$7)),"x","")</f>
        <v/>
      </c>
      <c r="Y2495" s="525" t="str">
        <f>IF(OR(TH!L2495=TH!$Y$7,M2495=TH!$Y$7),"x","")</f>
        <v/>
      </c>
      <c r="Z2495" s="525" t="str">
        <f>IF(AND(B2495&lt;=NKC!$N$8,B2495&gt;=NKC!$M$8),"x","")</f>
        <v/>
      </c>
      <c r="AA2495" s="535">
        <v>2</v>
      </c>
      <c r="AB2495" s="536"/>
    </row>
    <row r="2496" spans="1:28" s="503" customFormat="1" ht="15.75" customHeight="1">
      <c r="A2496" s="517" t="str">
        <f>IF(B2496&lt;&gt;"",IF(AND(B2496&gt;=_TM1,B2496&lt;=_TM2,OR(TH!L2496="1111",TH!M2496="1111")),TH!D2496,""),"")</f>
        <v/>
      </c>
      <c r="B2496" s="531">
        <f t="shared" si="220"/>
        <v>5</v>
      </c>
      <c r="C2496" s="315">
        <f t="shared" si="221"/>
        <v>42873</v>
      </c>
      <c r="D2496" s="315" t="s">
        <v>1356</v>
      </c>
      <c r="E2496" s="315">
        <v>42873</v>
      </c>
      <c r="F2496" s="249" t="s">
        <v>274</v>
      </c>
      <c r="G2496" s="314" t="s">
        <v>1154</v>
      </c>
      <c r="H2496" s="473" t="s">
        <v>1278</v>
      </c>
      <c r="I2496" s="307">
        <v>2170</v>
      </c>
      <c r="J2496" s="307">
        <v>18350</v>
      </c>
      <c r="K2496" s="532">
        <f>ROUND(I2496*J2496,0)</f>
        <v>39819500</v>
      </c>
      <c r="L2496" s="534" t="s">
        <v>292</v>
      </c>
      <c r="M2496" s="534" t="s">
        <v>8</v>
      </c>
      <c r="N2496" s="525" t="str">
        <f>IF(AND('331-CT'!$E$7=TH!H2496,OR(L2496="331",M2496="331")),"331",IF(AND(OR(L2496="131",M2496="131"),H2496='131-CT'!$E$7),"131",""))</f>
        <v/>
      </c>
      <c r="O2496" s="525" t="str">
        <f>IF(AND($B2496&gt;='111'!$N$11,$B2496&lt;='111'!$O$11,OR($L2496=$O$7,$M2496=$O$7)),"x","")</f>
        <v/>
      </c>
      <c r="P2496" s="525" t="str">
        <f>IF(AND($L2496=$O$7,$B2496&lt;'111'!$N$11),"x","")</f>
        <v/>
      </c>
      <c r="Q2496" s="525" t="str">
        <f>IF(AND($M2496=$O$7,$B2496&lt;'111'!$N$11),"x","")</f>
        <v/>
      </c>
      <c r="R2496" s="525" t="str">
        <f>IF(ISERROR(FIND('112'!$M$9,G2496,1)),"",IF((AND(FIND('112'!$M$9,G2496,1)&gt;=1,$B2496&gt;='112'!$N$8,$B2496&lt;='112'!$O$8,OR($L2496='112'!$I$6,$M2496='112'!$I$6))),"x",""))</f>
        <v/>
      </c>
      <c r="S2496" s="525" t="str">
        <f>IF(ISERROR(FIND('112'!$M$9,G2496,1)),"",IF((AND(LEFT(G2496,2)=LEFT('112'!$M$9,2),B2496&lt;'112'!$N$8,$L2496='112'!$I$6)),"x",""))</f>
        <v/>
      </c>
      <c r="T2496" s="525" t="str">
        <f>IF(ISERROR(FIND('112'!$M$9,G2496,1)),"",IF((AND(RIGHT(G2496,2)=RIGHT('112'!$M$9,2),B2496&lt;'112'!$N$8,$M2496='112'!$I$6)),"x",""))</f>
        <v/>
      </c>
      <c r="U2496" s="525" t="str">
        <f>IF(AND(B2496&gt;='IN-NX'!$P$3,B2496&lt;='IN-NX'!$Q$3,'IN-NX'!$D$7=D2496,OR(LEFT(L2496,2)="15",AND(LEFT(M2496,2)&lt;&gt;"15",LEFT(M2496,2)&lt;&gt;"33"))),"x","")</f>
        <v/>
      </c>
      <c r="V2496" s="525" t="str">
        <f>IF(AND(OR(LEFT(TH!L2496,2)="15",LEFT(TH!M2496,2)="15"),'152-CT'!$J$8=TH!F2496),"x","")</f>
        <v/>
      </c>
      <c r="W2496" s="525" t="str">
        <f>IF(AND(OR(LEFT(TH!L2496,2)="15",LEFT(TH!M2496,2)="15"),TK!$E$7=TH!F2496),"x","")</f>
        <v>x</v>
      </c>
      <c r="X2496" s="525" t="str">
        <f>IF(AND('341-CT'!$E$9=H2496,OR(LEFT(L2496,3)=$X$7,LEFT(M2496,3)=$X$7)),"x","")</f>
        <v/>
      </c>
      <c r="Y2496" s="525" t="str">
        <f>IF(OR(TH!L2496=TH!$Y$7,M2496=TH!$Y$7),"x","")</f>
        <v/>
      </c>
      <c r="Z2496" s="525" t="str">
        <f>IF(AND(B2496&lt;=NKC!$N$8,B2496&gt;=NKC!$M$8),"x","")</f>
        <v/>
      </c>
      <c r="AA2496" s="535">
        <v>2</v>
      </c>
      <c r="AB2496" s="536"/>
    </row>
    <row r="2497" spans="1:28" s="503" customFormat="1" ht="15.75" customHeight="1">
      <c r="A2497" s="517" t="str">
        <f>IF(B2497&lt;&gt;"",IF(AND(B2497&gt;=_TM1,B2497&lt;=_TM2,OR(TH!L2497="1111",TH!M2497="1111")),TH!D2497,""),"")</f>
        <v/>
      </c>
      <c r="B2497" s="531">
        <f t="shared" si="220"/>
        <v>5</v>
      </c>
      <c r="C2497" s="315">
        <f t="shared" si="221"/>
        <v>42873</v>
      </c>
      <c r="D2497" s="315" t="s">
        <v>1356</v>
      </c>
      <c r="E2497" s="315">
        <v>42873</v>
      </c>
      <c r="F2497" s="249" t="s">
        <v>273</v>
      </c>
      <c r="G2497" s="314" t="s">
        <v>1154</v>
      </c>
      <c r="H2497" s="473" t="s">
        <v>1278</v>
      </c>
      <c r="I2497" s="307">
        <v>1700</v>
      </c>
      <c r="J2497" s="307">
        <v>18350</v>
      </c>
      <c r="K2497" s="532">
        <f>ROUND(I2497*J2497,0)</f>
        <v>31195000</v>
      </c>
      <c r="L2497" s="534" t="s">
        <v>292</v>
      </c>
      <c r="M2497" s="534" t="s">
        <v>8</v>
      </c>
      <c r="N2497" s="525" t="str">
        <f>IF(AND('331-CT'!$E$7=TH!H2497,OR(L2497="331",M2497="331")),"331",IF(AND(OR(L2497="131",M2497="131"),H2497='131-CT'!$E$7),"131",""))</f>
        <v/>
      </c>
      <c r="O2497" s="525" t="str">
        <f>IF(AND($B2497&gt;='111'!$N$11,$B2497&lt;='111'!$O$11,OR($L2497=$O$7,$M2497=$O$7)),"x","")</f>
        <v/>
      </c>
      <c r="P2497" s="525" t="str">
        <f>IF(AND($L2497=$O$7,$B2497&lt;'111'!$N$11),"x","")</f>
        <v/>
      </c>
      <c r="Q2497" s="525" t="str">
        <f>IF(AND($M2497=$O$7,$B2497&lt;'111'!$N$11),"x","")</f>
        <v/>
      </c>
      <c r="R2497" s="525" t="str">
        <f>IF(ISERROR(FIND('112'!$M$9,G2497,1)),"",IF((AND(FIND('112'!$M$9,G2497,1)&gt;=1,$B2497&gt;='112'!$N$8,$B2497&lt;='112'!$O$8,OR($L2497='112'!$I$6,$M2497='112'!$I$6))),"x",""))</f>
        <v/>
      </c>
      <c r="S2497" s="525" t="str">
        <f>IF(ISERROR(FIND('112'!$M$9,G2497,1)),"",IF((AND(LEFT(G2497,2)=LEFT('112'!$M$9,2),B2497&lt;'112'!$N$8,$L2497='112'!$I$6)),"x",""))</f>
        <v/>
      </c>
      <c r="T2497" s="525" t="str">
        <f>IF(ISERROR(FIND('112'!$M$9,G2497,1)),"",IF((AND(RIGHT(G2497,2)=RIGHT('112'!$M$9,2),B2497&lt;'112'!$N$8,$M2497='112'!$I$6)),"x",""))</f>
        <v/>
      </c>
      <c r="U2497" s="525" t="str">
        <f>IF(AND(B2497&gt;='IN-NX'!$P$3,B2497&lt;='IN-NX'!$Q$3,'IN-NX'!$D$7=D2497,OR(LEFT(L2497,2)="15",AND(LEFT(M2497,2)&lt;&gt;"15",LEFT(M2497,2)&lt;&gt;"33"))),"x","")</f>
        <v/>
      </c>
      <c r="V2497" s="525" t="str">
        <f>IF(AND(OR(LEFT(TH!L2497,2)="15",LEFT(TH!M2497,2)="15"),'152-CT'!$J$8=TH!F2497),"x","")</f>
        <v>x</v>
      </c>
      <c r="W2497" s="525" t="str">
        <f>IF(AND(OR(LEFT(TH!L2497,2)="15",LEFT(TH!M2497,2)="15"),TK!$E$7=TH!F2497),"x","")</f>
        <v/>
      </c>
      <c r="X2497" s="525" t="str">
        <f>IF(AND('341-CT'!$E$9=H2497,OR(LEFT(L2497,3)=$X$7,LEFT(M2497,3)=$X$7)),"x","")</f>
        <v/>
      </c>
      <c r="Y2497" s="525" t="str">
        <f>IF(OR(TH!L2497=TH!$Y$7,M2497=TH!$Y$7),"x","")</f>
        <v/>
      </c>
      <c r="Z2497" s="525" t="str">
        <f>IF(AND(B2497&lt;=NKC!$N$8,B2497&gt;=NKC!$M$8),"x","")</f>
        <v/>
      </c>
      <c r="AA2497" s="535">
        <v>2</v>
      </c>
      <c r="AB2497" s="536"/>
    </row>
    <row r="2498" spans="1:28" s="503" customFormat="1" ht="15.75" customHeight="1">
      <c r="A2498" s="517" t="str">
        <f>IF(B2498&lt;&gt;"",IF(AND(B2498&gt;=_TM1,B2498&lt;=_TM2,OR(TH!L2498="1111",TH!M2498="1111")),TH!D2498,""),"")</f>
        <v/>
      </c>
      <c r="B2498" s="531">
        <f t="shared" si="220"/>
        <v>5</v>
      </c>
      <c r="C2498" s="315">
        <f t="shared" si="221"/>
        <v>42873</v>
      </c>
      <c r="D2498" s="315" t="s">
        <v>1356</v>
      </c>
      <c r="E2498" s="315">
        <v>42873</v>
      </c>
      <c r="F2498" s="249" t="s">
        <v>501</v>
      </c>
      <c r="G2498" s="314" t="s">
        <v>1154</v>
      </c>
      <c r="H2498" s="473" t="s">
        <v>1278</v>
      </c>
      <c r="I2498" s="307"/>
      <c r="J2498" s="307"/>
      <c r="K2498" s="532">
        <v>7101450</v>
      </c>
      <c r="L2498" s="713" t="s">
        <v>9</v>
      </c>
      <c r="M2498" s="534" t="s">
        <v>8</v>
      </c>
      <c r="N2498" s="525" t="str">
        <f>IF(AND('331-CT'!$E$7=TH!H2498,OR(L2498="331",M2498="331")),"331",IF(AND(OR(L2498="131",M2498="131"),H2498='131-CT'!$E$7),"131",""))</f>
        <v/>
      </c>
      <c r="O2498" s="525" t="str">
        <f>IF(AND($B2498&gt;='111'!$N$11,$B2498&lt;='111'!$O$11,OR($L2498=$O$7,$M2498=$O$7)),"x","")</f>
        <v/>
      </c>
      <c r="P2498" s="525" t="str">
        <f>IF(AND($L2498=$O$7,$B2498&lt;'111'!$N$11),"x","")</f>
        <v/>
      </c>
      <c r="Q2498" s="525" t="str">
        <f>IF(AND($M2498=$O$7,$B2498&lt;'111'!$N$11),"x","")</f>
        <v/>
      </c>
      <c r="R2498" s="525" t="str">
        <f>IF(ISERROR(FIND('112'!$M$9,G2498,1)),"",IF((AND(FIND('112'!$M$9,G2498,1)&gt;=1,$B2498&gt;='112'!$N$8,$B2498&lt;='112'!$O$8,OR($L2498='112'!$I$6,$M2498='112'!$I$6))),"x",""))</f>
        <v/>
      </c>
      <c r="S2498" s="525" t="str">
        <f>IF(ISERROR(FIND('112'!$M$9,G2498,1)),"",IF((AND(LEFT(G2498,2)=LEFT('112'!$M$9,2),B2498&lt;'112'!$N$8,$L2498='112'!$I$6)),"x",""))</f>
        <v/>
      </c>
      <c r="T2498" s="525" t="str">
        <f>IF(ISERROR(FIND('112'!$M$9,G2498,1)),"",IF((AND(RIGHT(G2498,2)=RIGHT('112'!$M$9,2),B2498&lt;'112'!$N$8,$M2498='112'!$I$6)),"x",""))</f>
        <v/>
      </c>
      <c r="U2498" s="525" t="str">
        <f>IF(AND(B2498&gt;='IN-NX'!$P$3,B2498&lt;='IN-NX'!$Q$3,'IN-NX'!$D$7=D2498,OR(LEFT(L2498,2)="15",AND(LEFT(M2498,2)&lt;&gt;"15",LEFT(M2498,2)&lt;&gt;"33"))),"x","")</f>
        <v/>
      </c>
      <c r="V2498" s="525" t="str">
        <f>IF(AND(OR(LEFT(TH!L2498,2)="15",LEFT(TH!M2498,2)="15"),'152-CT'!$J$8=TH!F2498),"x","")</f>
        <v/>
      </c>
      <c r="W2498" s="525" t="str">
        <f>IF(AND(OR(LEFT(TH!L2498,2)="15",LEFT(TH!M2498,2)="15"),TK!$E$7=TH!F2498),"x","")</f>
        <v/>
      </c>
      <c r="X2498" s="525" t="str">
        <f>IF(AND('341-CT'!$E$9=H2498,OR(LEFT(L2498,3)=$X$7,LEFT(M2498,3)=$X$7)),"x","")</f>
        <v/>
      </c>
      <c r="Y2498" s="525" t="str">
        <f>IF(OR(TH!L2498=TH!$Y$7,M2498=TH!$Y$7),"x","")</f>
        <v/>
      </c>
      <c r="Z2498" s="525" t="str">
        <f>IF(AND(B2498&lt;=NKC!$N$8,B2498&gt;=NKC!$M$8),"x","")</f>
        <v/>
      </c>
      <c r="AA2498" s="535">
        <v>2</v>
      </c>
      <c r="AB2498" s="536"/>
    </row>
    <row r="2499" spans="1:28" s="503" customFormat="1" ht="15.75" customHeight="1">
      <c r="A2499" s="517" t="str">
        <f>IF(B2499&lt;&gt;"",IF(AND(B2499&gt;=_TM1,B2499&lt;=_TM2,OR(TH!L2499="1111",TH!M2499="1111")),TH!D2499,""),"")</f>
        <v/>
      </c>
      <c r="B2499" s="531">
        <f t="shared" si="220"/>
        <v>5</v>
      </c>
      <c r="C2499" s="315">
        <f t="shared" si="221"/>
        <v>42873</v>
      </c>
      <c r="D2499" s="315" t="s">
        <v>921</v>
      </c>
      <c r="E2499" s="315">
        <v>42873</v>
      </c>
      <c r="F2499" s="250" t="s">
        <v>274</v>
      </c>
      <c r="G2499" s="314" t="s">
        <v>1128</v>
      </c>
      <c r="H2499" s="473" t="s">
        <v>283</v>
      </c>
      <c r="I2499" s="307">
        <v>3000</v>
      </c>
      <c r="J2499" s="307">
        <v>18500</v>
      </c>
      <c r="K2499" s="532">
        <f>ROUND(I2499*J2499,0)</f>
        <v>55500000</v>
      </c>
      <c r="L2499" s="534" t="s">
        <v>223</v>
      </c>
      <c r="M2499" s="534" t="s">
        <v>162</v>
      </c>
      <c r="N2499" s="525" t="str">
        <f>IF(AND('331-CT'!$E$7=TH!H2499,OR(L2499="331",M2499="331")),"331",IF(AND(OR(L2499="131",M2499="131"),H2499='131-CT'!$E$7),"131",""))</f>
        <v/>
      </c>
      <c r="O2499" s="525" t="str">
        <f>IF(AND($B2499&gt;='111'!$N$11,$B2499&lt;='111'!$O$11,OR($L2499=$O$7,$M2499=$O$7)),"x","")</f>
        <v/>
      </c>
      <c r="P2499" s="525" t="str">
        <f>IF(AND($L2499=$O$7,$B2499&lt;'111'!$N$11),"x","")</f>
        <v/>
      </c>
      <c r="Q2499" s="525" t="str">
        <f>IF(AND($M2499=$O$7,$B2499&lt;'111'!$N$11),"x","")</f>
        <v/>
      </c>
      <c r="R2499" s="525" t="str">
        <f>IF(ISERROR(FIND('112'!$M$9,G2499,1)),"",IF((AND(FIND('112'!$M$9,G2499,1)&gt;=1,$B2499&gt;='112'!$N$8,$B2499&lt;='112'!$O$8,OR($L2499='112'!$I$6,$M2499='112'!$I$6))),"x",""))</f>
        <v/>
      </c>
      <c r="S2499" s="525" t="str">
        <f>IF(ISERROR(FIND('112'!$M$9,G2499,1)),"",IF((AND(LEFT(G2499,2)=LEFT('112'!$M$9,2),B2499&lt;'112'!$N$8,$L2499='112'!$I$6)),"x",""))</f>
        <v/>
      </c>
      <c r="T2499" s="525" t="str">
        <f>IF(ISERROR(FIND('112'!$M$9,G2499,1)),"",IF((AND(RIGHT(G2499,2)=RIGHT('112'!$M$9,2),B2499&lt;'112'!$N$8,$M2499='112'!$I$6)),"x",""))</f>
        <v/>
      </c>
      <c r="U2499" s="525" t="str">
        <f>IF(AND(B2499&gt;='IN-NX'!$P$3,B2499&lt;='IN-NX'!$Q$3,'IN-NX'!$D$7=D2499,OR(LEFT(L2499,2)="15",AND(LEFT(M2499,2)&lt;&gt;"15",LEFT(M2499,2)&lt;&gt;"33"))),"x","")</f>
        <v/>
      </c>
      <c r="V2499" s="525" t="str">
        <f>IF(AND(OR(LEFT(TH!L2499,2)="15",LEFT(TH!M2499,2)="15"),'152-CT'!$J$8=TH!F2499),"x","")</f>
        <v/>
      </c>
      <c r="W2499" s="525" t="str">
        <f>IF(AND(OR(LEFT(TH!L2499,2)="15",LEFT(TH!M2499,2)="15"),TK!$E$7=TH!F2499),"x","")</f>
        <v/>
      </c>
      <c r="X2499" s="525" t="str">
        <f>IF(AND('341-CT'!$E$9=H2499,OR(LEFT(L2499,3)=$X$7,LEFT(M2499,3)=$X$7)),"x","")</f>
        <v/>
      </c>
      <c r="Y2499" s="525" t="str">
        <f>IF(OR(TH!L2499=TH!$Y$7,M2499=TH!$Y$7),"x","")</f>
        <v/>
      </c>
      <c r="Z2499" s="525" t="str">
        <f>IF(AND(B2499&lt;=NKC!$N$8,B2499&gt;=NKC!$M$8),"x","")</f>
        <v/>
      </c>
      <c r="AA2499" s="535"/>
      <c r="AB2499" s="536"/>
    </row>
    <row r="2500" spans="1:28" s="503" customFormat="1" ht="15.75" customHeight="1">
      <c r="A2500" s="517" t="str">
        <f>IF(B2500&lt;&gt;"",IF(AND(B2500&gt;=_TM1,B2500&lt;=_TM2,OR(TH!L2500="1111",TH!M2500="1111")),TH!D2500,""),"")</f>
        <v/>
      </c>
      <c r="B2500" s="531">
        <f t="shared" si="220"/>
        <v>5</v>
      </c>
      <c r="C2500" s="315">
        <f t="shared" si="221"/>
        <v>42873</v>
      </c>
      <c r="D2500" s="315" t="s">
        <v>921</v>
      </c>
      <c r="E2500" s="315">
        <v>42873</v>
      </c>
      <c r="F2500" s="250" t="s">
        <v>273</v>
      </c>
      <c r="G2500" s="314" t="s">
        <v>1128</v>
      </c>
      <c r="H2500" s="473" t="s">
        <v>283</v>
      </c>
      <c r="I2500" s="307">
        <v>3000</v>
      </c>
      <c r="J2500" s="307">
        <v>18500</v>
      </c>
      <c r="K2500" s="532">
        <f>ROUND(I2500*J2500,0)</f>
        <v>55500000</v>
      </c>
      <c r="L2500" s="534" t="s">
        <v>223</v>
      </c>
      <c r="M2500" s="534" t="s">
        <v>162</v>
      </c>
      <c r="N2500" s="525" t="str">
        <f>IF(AND('331-CT'!$E$7=TH!H2500,OR(L2500="331",M2500="331")),"331",IF(AND(OR(L2500="131",M2500="131"),H2500='131-CT'!$E$7),"131",""))</f>
        <v/>
      </c>
      <c r="O2500" s="525" t="str">
        <f>IF(AND($B2500&gt;='111'!$N$11,$B2500&lt;='111'!$O$11,OR($L2500=$O$7,$M2500=$O$7)),"x","")</f>
        <v/>
      </c>
      <c r="P2500" s="525" t="str">
        <f>IF(AND($L2500=$O$7,$B2500&lt;'111'!$N$11),"x","")</f>
        <v/>
      </c>
      <c r="Q2500" s="525" t="str">
        <f>IF(AND($M2500=$O$7,$B2500&lt;'111'!$N$11),"x","")</f>
        <v/>
      </c>
      <c r="R2500" s="525" t="str">
        <f>IF(ISERROR(FIND('112'!$M$9,G2500,1)),"",IF((AND(FIND('112'!$M$9,G2500,1)&gt;=1,$B2500&gt;='112'!$N$8,$B2500&lt;='112'!$O$8,OR($L2500='112'!$I$6,$M2500='112'!$I$6))),"x",""))</f>
        <v/>
      </c>
      <c r="S2500" s="525" t="str">
        <f>IF(ISERROR(FIND('112'!$M$9,G2500,1)),"",IF((AND(LEFT(G2500,2)=LEFT('112'!$M$9,2),B2500&lt;'112'!$N$8,$L2500='112'!$I$6)),"x",""))</f>
        <v/>
      </c>
      <c r="T2500" s="525" t="str">
        <f>IF(ISERROR(FIND('112'!$M$9,G2500,1)),"",IF((AND(RIGHT(G2500,2)=RIGHT('112'!$M$9,2),B2500&lt;'112'!$N$8,$M2500='112'!$I$6)),"x",""))</f>
        <v/>
      </c>
      <c r="U2500" s="525" t="str">
        <f>IF(AND(B2500&gt;='IN-NX'!$P$3,B2500&lt;='IN-NX'!$Q$3,'IN-NX'!$D$7=D2500,OR(LEFT(L2500,2)="15",AND(LEFT(M2500,2)&lt;&gt;"15",LEFT(M2500,2)&lt;&gt;"33"))),"x","")</f>
        <v/>
      </c>
      <c r="V2500" s="525" t="str">
        <f>IF(AND(OR(LEFT(TH!L2500,2)="15",LEFT(TH!M2500,2)="15"),'152-CT'!$J$8=TH!F2500),"x","")</f>
        <v/>
      </c>
      <c r="W2500" s="525" t="str">
        <f>IF(AND(OR(LEFT(TH!L2500,2)="15",LEFT(TH!M2500,2)="15"),TK!$E$7=TH!F2500),"x","")</f>
        <v/>
      </c>
      <c r="X2500" s="525" t="str">
        <f>IF(AND('341-CT'!$E$9=H2500,OR(LEFT(L2500,3)=$X$7,LEFT(M2500,3)=$X$7)),"x","")</f>
        <v/>
      </c>
      <c r="Y2500" s="525" t="str">
        <f>IF(OR(TH!L2500=TH!$Y$7,M2500=TH!$Y$7),"x","")</f>
        <v/>
      </c>
      <c r="Z2500" s="525" t="str">
        <f>IF(AND(B2500&lt;=NKC!$N$8,B2500&gt;=NKC!$M$8),"x","")</f>
        <v/>
      </c>
      <c r="AA2500" s="535"/>
      <c r="AB2500" s="536"/>
    </row>
    <row r="2501" spans="1:28" s="503" customFormat="1" ht="15.75" customHeight="1">
      <c r="A2501" s="517" t="str">
        <f>IF(B2501&lt;&gt;"",IF(AND(B2501&gt;=_TM1,B2501&lt;=_TM2,OR(TH!L2501="1111",TH!M2501="1111")),TH!D2501,""),"")</f>
        <v/>
      </c>
      <c r="B2501" s="531">
        <f t="shared" si="220"/>
        <v>5</v>
      </c>
      <c r="C2501" s="315">
        <f t="shared" si="221"/>
        <v>42873</v>
      </c>
      <c r="D2501" s="315" t="s">
        <v>921</v>
      </c>
      <c r="E2501" s="315">
        <v>42873</v>
      </c>
      <c r="F2501" s="249" t="s">
        <v>501</v>
      </c>
      <c r="G2501" s="314" t="s">
        <v>1128</v>
      </c>
      <c r="H2501" s="473" t="s">
        <v>283</v>
      </c>
      <c r="I2501" s="307"/>
      <c r="J2501" s="307"/>
      <c r="K2501" s="532">
        <v>11100000</v>
      </c>
      <c r="L2501" s="534" t="s">
        <v>223</v>
      </c>
      <c r="M2501" s="534" t="s">
        <v>259</v>
      </c>
      <c r="N2501" s="525" t="str">
        <f>IF(AND('331-CT'!$E$7=TH!H2501,OR(L2501="331",M2501="331")),"331",IF(AND(OR(L2501="131",M2501="131"),H2501='131-CT'!$E$7),"131",""))</f>
        <v/>
      </c>
      <c r="O2501" s="525" t="str">
        <f>IF(AND($B2501&gt;='111'!$N$11,$B2501&lt;='111'!$O$11,OR($L2501=$O$7,$M2501=$O$7)),"x","")</f>
        <v/>
      </c>
      <c r="P2501" s="525" t="str">
        <f>IF(AND($L2501=$O$7,$B2501&lt;'111'!$N$11),"x","")</f>
        <v/>
      </c>
      <c r="Q2501" s="525" t="str">
        <f>IF(AND($M2501=$O$7,$B2501&lt;'111'!$N$11),"x","")</f>
        <v/>
      </c>
      <c r="R2501" s="525" t="str">
        <f>IF(ISERROR(FIND('112'!$M$9,G2501,1)),"",IF((AND(FIND('112'!$M$9,G2501,1)&gt;=1,$B2501&gt;='112'!$N$8,$B2501&lt;='112'!$O$8,OR($L2501='112'!$I$6,$M2501='112'!$I$6))),"x",""))</f>
        <v/>
      </c>
      <c r="S2501" s="525" t="str">
        <f>IF(ISERROR(FIND('112'!$M$9,G2501,1)),"",IF((AND(LEFT(G2501,2)=LEFT('112'!$M$9,2),B2501&lt;'112'!$N$8,$L2501='112'!$I$6)),"x",""))</f>
        <v/>
      </c>
      <c r="T2501" s="525" t="str">
        <f>IF(ISERROR(FIND('112'!$M$9,G2501,1)),"",IF((AND(RIGHT(G2501,2)=RIGHT('112'!$M$9,2),B2501&lt;'112'!$N$8,$M2501='112'!$I$6)),"x",""))</f>
        <v/>
      </c>
      <c r="U2501" s="525" t="str">
        <f>IF(AND(B2501&gt;='IN-NX'!$P$3,B2501&lt;='IN-NX'!$Q$3,'IN-NX'!$D$7=D2501,OR(LEFT(L2501,2)="15",AND(LEFT(M2501,2)&lt;&gt;"15",LEFT(M2501,2)&lt;&gt;"33"))),"x","")</f>
        <v/>
      </c>
      <c r="V2501" s="525" t="str">
        <f>IF(AND(OR(LEFT(TH!L2501,2)="15",LEFT(TH!M2501,2)="15"),'152-CT'!$J$8=TH!F2501),"x","")</f>
        <v/>
      </c>
      <c r="W2501" s="525" t="str">
        <f>IF(AND(OR(LEFT(TH!L2501,2)="15",LEFT(TH!M2501,2)="15"),TK!$E$7=TH!F2501),"x","")</f>
        <v/>
      </c>
      <c r="X2501" s="525" t="str">
        <f>IF(AND('341-CT'!$E$9=H2501,OR(LEFT(L2501,3)=$X$7,LEFT(M2501,3)=$X$7)),"x","")</f>
        <v/>
      </c>
      <c r="Y2501" s="525" t="str">
        <f>IF(OR(TH!L2501=TH!$Y$7,M2501=TH!$Y$7),"x","")</f>
        <v/>
      </c>
      <c r="Z2501" s="525" t="str">
        <f>IF(AND(B2501&lt;=NKC!$N$8,B2501&gt;=NKC!$M$8),"x","")</f>
        <v/>
      </c>
      <c r="AA2501" s="535"/>
      <c r="AB2501" s="536"/>
    </row>
    <row r="2502" spans="1:28" s="503" customFormat="1" ht="15.75" customHeight="1">
      <c r="A2502" s="517" t="str">
        <f>IF(B2502&lt;&gt;"",IF(AND(B2502&gt;=_TM1,B2502&lt;=_TM2,OR(TH!L2502="1111",TH!M2502="1111")),TH!D2502,""),"")</f>
        <v/>
      </c>
      <c r="B2502" s="531">
        <f t="shared" si="220"/>
        <v>5</v>
      </c>
      <c r="C2502" s="315">
        <f t="shared" si="221"/>
        <v>42873</v>
      </c>
      <c r="D2502" s="315" t="s">
        <v>922</v>
      </c>
      <c r="E2502" s="315">
        <v>42873</v>
      </c>
      <c r="F2502" s="250" t="s">
        <v>377</v>
      </c>
      <c r="G2502" s="314" t="s">
        <v>1129</v>
      </c>
      <c r="H2502" s="473" t="s">
        <v>378</v>
      </c>
      <c r="I2502" s="307">
        <v>500</v>
      </c>
      <c r="J2502" s="307">
        <v>11520</v>
      </c>
      <c r="K2502" s="532">
        <f>ROUND(I2502*J2502,0)</f>
        <v>5760000</v>
      </c>
      <c r="L2502" s="534" t="s">
        <v>223</v>
      </c>
      <c r="M2502" s="534" t="s">
        <v>162</v>
      </c>
      <c r="N2502" s="525" t="str">
        <f>IF(AND('331-CT'!$E$7=TH!H2502,OR(L2502="331",M2502="331")),"331",IF(AND(OR(L2502="131",M2502="131"),H2502='131-CT'!$E$7),"131",""))</f>
        <v/>
      </c>
      <c r="O2502" s="525" t="str">
        <f>IF(AND($B2502&gt;='111'!$N$11,$B2502&lt;='111'!$O$11,OR($L2502=$O$7,$M2502=$O$7)),"x","")</f>
        <v/>
      </c>
      <c r="P2502" s="525" t="str">
        <f>IF(AND($L2502=$O$7,$B2502&lt;'111'!$N$11),"x","")</f>
        <v/>
      </c>
      <c r="Q2502" s="525" t="str">
        <f>IF(AND($M2502=$O$7,$B2502&lt;'111'!$N$11),"x","")</f>
        <v/>
      </c>
      <c r="R2502" s="525" t="str">
        <f>IF(ISERROR(FIND('112'!$M$9,G2502,1)),"",IF((AND(FIND('112'!$M$9,G2502,1)&gt;=1,$B2502&gt;='112'!$N$8,$B2502&lt;='112'!$O$8,OR($L2502='112'!$I$6,$M2502='112'!$I$6))),"x",""))</f>
        <v/>
      </c>
      <c r="S2502" s="525" t="str">
        <f>IF(ISERROR(FIND('112'!$M$9,G2502,1)),"",IF((AND(LEFT(G2502,2)=LEFT('112'!$M$9,2),B2502&lt;'112'!$N$8,$L2502='112'!$I$6)),"x",""))</f>
        <v/>
      </c>
      <c r="T2502" s="525" t="str">
        <f>IF(ISERROR(FIND('112'!$M$9,G2502,1)),"",IF((AND(RIGHT(G2502,2)=RIGHT('112'!$M$9,2),B2502&lt;'112'!$N$8,$M2502='112'!$I$6)),"x",""))</f>
        <v/>
      </c>
      <c r="U2502" s="525" t="str">
        <f>IF(AND(B2502&gt;='IN-NX'!$P$3,B2502&lt;='IN-NX'!$Q$3,'IN-NX'!$D$7=D2502,OR(LEFT(L2502,2)="15",AND(LEFT(M2502,2)&lt;&gt;"15",LEFT(M2502,2)&lt;&gt;"33"))),"x","")</f>
        <v/>
      </c>
      <c r="V2502" s="525" t="str">
        <f>IF(AND(OR(LEFT(TH!L2502,2)="15",LEFT(TH!M2502,2)="15"),'152-CT'!$J$8=TH!F2502),"x","")</f>
        <v/>
      </c>
      <c r="W2502" s="525" t="str">
        <f>IF(AND(OR(LEFT(TH!L2502,2)="15",LEFT(TH!M2502,2)="15"),TK!$E$7=TH!F2502),"x","")</f>
        <v/>
      </c>
      <c r="X2502" s="525" t="str">
        <f>IF(AND('341-CT'!$E$9=H2502,OR(LEFT(L2502,3)=$X$7,LEFT(M2502,3)=$X$7)),"x","")</f>
        <v/>
      </c>
      <c r="Y2502" s="525" t="str">
        <f>IF(OR(TH!L2502=TH!$Y$7,M2502=TH!$Y$7),"x","")</f>
        <v/>
      </c>
      <c r="Z2502" s="525" t="str">
        <f>IF(AND(B2502&lt;=NKC!$N$8,B2502&gt;=NKC!$M$8),"x","")</f>
        <v/>
      </c>
      <c r="AA2502" s="535"/>
      <c r="AB2502" s="536"/>
    </row>
    <row r="2503" spans="1:28" s="503" customFormat="1" ht="15.75" customHeight="1">
      <c r="A2503" s="517" t="str">
        <f>IF(B2503&lt;&gt;"",IF(AND(B2503&gt;=_TM1,B2503&lt;=_TM2,OR(TH!L2503="1111",TH!M2503="1111")),TH!D2503,""),"")</f>
        <v/>
      </c>
      <c r="B2503" s="531">
        <f t="shared" ref="B2503:B2566" si="223">IF(C2503&lt;&gt;"",MONTH(C2503),"")</f>
        <v>5</v>
      </c>
      <c r="C2503" s="315">
        <f t="shared" ref="C2503:C2566" si="224">E2503</f>
        <v>42873</v>
      </c>
      <c r="D2503" s="315" t="s">
        <v>922</v>
      </c>
      <c r="E2503" s="315">
        <v>42873</v>
      </c>
      <c r="F2503" s="250" t="s">
        <v>1130</v>
      </c>
      <c r="G2503" s="314" t="s">
        <v>1129</v>
      </c>
      <c r="H2503" s="473" t="s">
        <v>378</v>
      </c>
      <c r="I2503" s="307">
        <v>500</v>
      </c>
      <c r="J2503" s="307">
        <v>6720</v>
      </c>
      <c r="K2503" s="532">
        <f>ROUND(I2503*J2503,0)</f>
        <v>3360000</v>
      </c>
      <c r="L2503" s="534" t="s">
        <v>223</v>
      </c>
      <c r="M2503" s="534" t="s">
        <v>162</v>
      </c>
      <c r="N2503" s="525" t="str">
        <f>IF(AND('331-CT'!$E$7=TH!H2503,OR(L2503="331",M2503="331")),"331",IF(AND(OR(L2503="131",M2503="131"),H2503='131-CT'!$E$7),"131",""))</f>
        <v/>
      </c>
      <c r="O2503" s="525" t="str">
        <f>IF(AND($B2503&gt;='111'!$N$11,$B2503&lt;='111'!$O$11,OR($L2503=$O$7,$M2503=$O$7)),"x","")</f>
        <v/>
      </c>
      <c r="P2503" s="525" t="str">
        <f>IF(AND($L2503=$O$7,$B2503&lt;'111'!$N$11),"x","")</f>
        <v/>
      </c>
      <c r="Q2503" s="525" t="str">
        <f>IF(AND($M2503=$O$7,$B2503&lt;'111'!$N$11),"x","")</f>
        <v/>
      </c>
      <c r="R2503" s="525" t="str">
        <f>IF(ISERROR(FIND('112'!$M$9,G2503,1)),"",IF((AND(FIND('112'!$M$9,G2503,1)&gt;=1,$B2503&gt;='112'!$N$8,$B2503&lt;='112'!$O$8,OR($L2503='112'!$I$6,$M2503='112'!$I$6))),"x",""))</f>
        <v/>
      </c>
      <c r="S2503" s="525" t="str">
        <f>IF(ISERROR(FIND('112'!$M$9,G2503,1)),"",IF((AND(LEFT(G2503,2)=LEFT('112'!$M$9,2),B2503&lt;'112'!$N$8,$L2503='112'!$I$6)),"x",""))</f>
        <v/>
      </c>
      <c r="T2503" s="525" t="str">
        <f>IF(ISERROR(FIND('112'!$M$9,G2503,1)),"",IF((AND(RIGHT(G2503,2)=RIGHT('112'!$M$9,2),B2503&lt;'112'!$N$8,$M2503='112'!$I$6)),"x",""))</f>
        <v/>
      </c>
      <c r="U2503" s="525" t="str">
        <f>IF(AND(B2503&gt;='IN-NX'!$P$3,B2503&lt;='IN-NX'!$Q$3,'IN-NX'!$D$7=D2503,OR(LEFT(L2503,2)="15",AND(LEFT(M2503,2)&lt;&gt;"15",LEFT(M2503,2)&lt;&gt;"33"))),"x","")</f>
        <v/>
      </c>
      <c r="V2503" s="525" t="str">
        <f>IF(AND(OR(LEFT(TH!L2503,2)="15",LEFT(TH!M2503,2)="15"),'152-CT'!$J$8=TH!F2503),"x","")</f>
        <v/>
      </c>
      <c r="W2503" s="525" t="str">
        <f>IF(AND(OR(LEFT(TH!L2503,2)="15",LEFT(TH!M2503,2)="15"),TK!$E$7=TH!F2503),"x","")</f>
        <v/>
      </c>
      <c r="X2503" s="525" t="str">
        <f>IF(AND('341-CT'!$E$9=H2503,OR(LEFT(L2503,3)=$X$7,LEFT(M2503,3)=$X$7)),"x","")</f>
        <v/>
      </c>
      <c r="Y2503" s="525" t="str">
        <f>IF(OR(TH!L2503=TH!$Y$7,M2503=TH!$Y$7),"x","")</f>
        <v/>
      </c>
      <c r="Z2503" s="525" t="str">
        <f>IF(AND(B2503&lt;=NKC!$N$8,B2503&gt;=NKC!$M$8),"x","")</f>
        <v/>
      </c>
      <c r="AA2503" s="535"/>
      <c r="AB2503" s="536"/>
    </row>
    <row r="2504" spans="1:28" s="503" customFormat="1" ht="15.75" customHeight="1">
      <c r="A2504" s="517" t="str">
        <f>IF(B2504&lt;&gt;"",IF(AND(B2504&gt;=_TM1,B2504&lt;=_TM2,OR(TH!L2504="1111",TH!M2504="1111")),TH!D2504,""),"")</f>
        <v/>
      </c>
      <c r="B2504" s="531">
        <f t="shared" si="223"/>
        <v>5</v>
      </c>
      <c r="C2504" s="315">
        <f t="shared" si="224"/>
        <v>42873</v>
      </c>
      <c r="D2504" s="315" t="s">
        <v>922</v>
      </c>
      <c r="E2504" s="315">
        <v>42873</v>
      </c>
      <c r="F2504" s="249" t="s">
        <v>501</v>
      </c>
      <c r="G2504" s="314" t="s">
        <v>1129</v>
      </c>
      <c r="H2504" s="473" t="s">
        <v>378</v>
      </c>
      <c r="I2504" s="307"/>
      <c r="J2504" s="307"/>
      <c r="K2504" s="532">
        <v>912000</v>
      </c>
      <c r="L2504" s="534" t="s">
        <v>223</v>
      </c>
      <c r="M2504" s="534" t="s">
        <v>259</v>
      </c>
      <c r="N2504" s="525" t="str">
        <f>IF(AND('331-CT'!$E$7=TH!H2504,OR(L2504="331",M2504="331")),"331",IF(AND(OR(L2504="131",M2504="131"),H2504='131-CT'!$E$7),"131",""))</f>
        <v/>
      </c>
      <c r="O2504" s="525" t="str">
        <f>IF(AND($B2504&gt;='111'!$N$11,$B2504&lt;='111'!$O$11,OR($L2504=$O$7,$M2504=$O$7)),"x","")</f>
        <v/>
      </c>
      <c r="P2504" s="525" t="str">
        <f>IF(AND($L2504=$O$7,$B2504&lt;'111'!$N$11),"x","")</f>
        <v/>
      </c>
      <c r="Q2504" s="525" t="str">
        <f>IF(AND($M2504=$O$7,$B2504&lt;'111'!$N$11),"x","")</f>
        <v/>
      </c>
      <c r="R2504" s="525" t="str">
        <f>IF(ISERROR(FIND('112'!$M$9,G2504,1)),"",IF((AND(FIND('112'!$M$9,G2504,1)&gt;=1,$B2504&gt;='112'!$N$8,$B2504&lt;='112'!$O$8,OR($L2504='112'!$I$6,$M2504='112'!$I$6))),"x",""))</f>
        <v/>
      </c>
      <c r="S2504" s="525" t="str">
        <f>IF(ISERROR(FIND('112'!$M$9,G2504,1)),"",IF((AND(LEFT(G2504,2)=LEFT('112'!$M$9,2),B2504&lt;'112'!$N$8,$L2504='112'!$I$6)),"x",""))</f>
        <v/>
      </c>
      <c r="T2504" s="525" t="str">
        <f>IF(ISERROR(FIND('112'!$M$9,G2504,1)),"",IF((AND(RIGHT(G2504,2)=RIGHT('112'!$M$9,2),B2504&lt;'112'!$N$8,$M2504='112'!$I$6)),"x",""))</f>
        <v/>
      </c>
      <c r="U2504" s="525" t="str">
        <f>IF(AND(B2504&gt;='IN-NX'!$P$3,B2504&lt;='IN-NX'!$Q$3,'IN-NX'!$D$7=D2504,OR(LEFT(L2504,2)="15",AND(LEFT(M2504,2)&lt;&gt;"15",LEFT(M2504,2)&lt;&gt;"33"))),"x","")</f>
        <v/>
      </c>
      <c r="V2504" s="525" t="str">
        <f>IF(AND(OR(LEFT(TH!L2504,2)="15",LEFT(TH!M2504,2)="15"),'152-CT'!$J$8=TH!F2504),"x","")</f>
        <v/>
      </c>
      <c r="W2504" s="525" t="str">
        <f>IF(AND(OR(LEFT(TH!L2504,2)="15",LEFT(TH!M2504,2)="15"),TK!$E$7=TH!F2504),"x","")</f>
        <v/>
      </c>
      <c r="X2504" s="525" t="str">
        <f>IF(AND('341-CT'!$E$9=H2504,OR(LEFT(L2504,3)=$X$7,LEFT(M2504,3)=$X$7)),"x","")</f>
        <v/>
      </c>
      <c r="Y2504" s="525" t="str">
        <f>IF(OR(TH!L2504=TH!$Y$7,M2504=TH!$Y$7),"x","")</f>
        <v/>
      </c>
      <c r="Z2504" s="525" t="str">
        <f>IF(AND(B2504&lt;=NKC!$N$8,B2504&gt;=NKC!$M$8),"x","")</f>
        <v/>
      </c>
      <c r="AA2504" s="535"/>
      <c r="AB2504" s="536"/>
    </row>
    <row r="2505" spans="1:28" s="503" customFormat="1" ht="15.75" customHeight="1">
      <c r="A2505" s="517" t="str">
        <f>IF(B2505&lt;&gt;"",IF(AND(B2505&gt;=_TM1,B2505&lt;=_TM2,OR(TH!L2505="1111",TH!M2505="1111")),TH!D2505,""),"")</f>
        <v/>
      </c>
      <c r="B2505" s="531">
        <f t="shared" si="223"/>
        <v>5</v>
      </c>
      <c r="C2505" s="315">
        <f t="shared" si="224"/>
        <v>42875</v>
      </c>
      <c r="D2505" s="315" t="s">
        <v>923</v>
      </c>
      <c r="E2505" s="315">
        <v>42875</v>
      </c>
      <c r="F2505" s="249" t="s">
        <v>503</v>
      </c>
      <c r="G2505" s="314" t="s">
        <v>1194</v>
      </c>
      <c r="H2505" s="473" t="s">
        <v>375</v>
      </c>
      <c r="I2505" s="307">
        <v>2100</v>
      </c>
      <c r="J2505" s="307">
        <v>8500</v>
      </c>
      <c r="K2505" s="532">
        <f>ROUND(I2505*J2505,0)</f>
        <v>17850000</v>
      </c>
      <c r="L2505" s="534" t="s">
        <v>223</v>
      </c>
      <c r="M2505" s="534" t="s">
        <v>162</v>
      </c>
      <c r="N2505" s="525" t="str">
        <f>IF(AND('331-CT'!$E$7=TH!H2505,OR(L2505="331",M2505="331")),"331",IF(AND(OR(L2505="131",M2505="131"),H2505='131-CT'!$E$7),"131",""))</f>
        <v/>
      </c>
      <c r="O2505" s="525" t="str">
        <f>IF(AND($B2505&gt;='111'!$N$11,$B2505&lt;='111'!$O$11,OR($L2505=$O$7,$M2505=$O$7)),"x","")</f>
        <v/>
      </c>
      <c r="P2505" s="525" t="str">
        <f>IF(AND($L2505=$O$7,$B2505&lt;'111'!$N$11),"x","")</f>
        <v/>
      </c>
      <c r="Q2505" s="525" t="str">
        <f>IF(AND($M2505=$O$7,$B2505&lt;'111'!$N$11),"x","")</f>
        <v/>
      </c>
      <c r="R2505" s="525" t="str">
        <f>IF(ISERROR(FIND('112'!$M$9,G2505,1)),"",IF((AND(FIND('112'!$M$9,G2505,1)&gt;=1,$B2505&gt;='112'!$N$8,$B2505&lt;='112'!$O$8,OR($L2505='112'!$I$6,$M2505='112'!$I$6))),"x",""))</f>
        <v/>
      </c>
      <c r="S2505" s="525" t="str">
        <f>IF(ISERROR(FIND('112'!$M$9,G2505,1)),"",IF((AND(LEFT(G2505,2)=LEFT('112'!$M$9,2),B2505&lt;'112'!$N$8,$L2505='112'!$I$6)),"x",""))</f>
        <v/>
      </c>
      <c r="T2505" s="525" t="str">
        <f>IF(ISERROR(FIND('112'!$M$9,G2505,1)),"",IF((AND(RIGHT(G2505,2)=RIGHT('112'!$M$9,2),B2505&lt;'112'!$N$8,$M2505='112'!$I$6)),"x",""))</f>
        <v/>
      </c>
      <c r="U2505" s="525" t="str">
        <f>IF(AND(B2505&gt;='IN-NX'!$P$3,B2505&lt;='IN-NX'!$Q$3,'IN-NX'!$D$7=D2505,OR(LEFT(L2505,2)="15",AND(LEFT(M2505,2)&lt;&gt;"15",LEFT(M2505,2)&lt;&gt;"33"))),"x","")</f>
        <v/>
      </c>
      <c r="V2505" s="525" t="str">
        <f>IF(AND(OR(LEFT(TH!L2505,2)="15",LEFT(TH!M2505,2)="15"),'152-CT'!$J$8=TH!F2505),"x","")</f>
        <v/>
      </c>
      <c r="W2505" s="525" t="str">
        <f>IF(AND(OR(LEFT(TH!L2505,2)="15",LEFT(TH!M2505,2)="15"),TK!$E$7=TH!F2505),"x","")</f>
        <v/>
      </c>
      <c r="X2505" s="525" t="str">
        <f>IF(AND('341-CT'!$E$9=H2505,OR(LEFT(L2505,3)=$X$7,LEFT(M2505,3)=$X$7)),"x","")</f>
        <v/>
      </c>
      <c r="Y2505" s="525" t="str">
        <f>IF(OR(TH!L2505=TH!$Y$7,M2505=TH!$Y$7),"x","")</f>
        <v/>
      </c>
      <c r="Z2505" s="525" t="str">
        <f>IF(AND(B2505&lt;=NKC!$N$8,B2505&gt;=NKC!$M$8),"x","")</f>
        <v/>
      </c>
      <c r="AA2505" s="535"/>
      <c r="AB2505" s="536"/>
    </row>
    <row r="2506" spans="1:28" s="503" customFormat="1" ht="15.75" customHeight="1">
      <c r="A2506" s="517" t="str">
        <f>IF(B2506&lt;&gt;"",IF(AND(B2506&gt;=_TM1,B2506&lt;=_TM2,OR(TH!L2506="1111",TH!M2506="1111")),TH!D2506,""),"")</f>
        <v/>
      </c>
      <c r="B2506" s="531">
        <f t="shared" si="223"/>
        <v>5</v>
      </c>
      <c r="C2506" s="315">
        <f t="shared" si="224"/>
        <v>42875</v>
      </c>
      <c r="D2506" s="315" t="s">
        <v>923</v>
      </c>
      <c r="E2506" s="315">
        <v>42875</v>
      </c>
      <c r="F2506" s="249" t="s">
        <v>501</v>
      </c>
      <c r="G2506" s="314" t="s">
        <v>1194</v>
      </c>
      <c r="H2506" s="473" t="s">
        <v>375</v>
      </c>
      <c r="I2506" s="307"/>
      <c r="J2506" s="307"/>
      <c r="K2506" s="532">
        <v>1785000</v>
      </c>
      <c r="L2506" s="534" t="s">
        <v>223</v>
      </c>
      <c r="M2506" s="534" t="s">
        <v>259</v>
      </c>
      <c r="N2506" s="525" t="str">
        <f>IF(AND('331-CT'!$E$7=TH!H2506,OR(L2506="331",M2506="331")),"331",IF(AND(OR(L2506="131",M2506="131"),H2506='131-CT'!$E$7),"131",""))</f>
        <v/>
      </c>
      <c r="O2506" s="525" t="str">
        <f>IF(AND($B2506&gt;='111'!$N$11,$B2506&lt;='111'!$O$11,OR($L2506=$O$7,$M2506=$O$7)),"x","")</f>
        <v/>
      </c>
      <c r="P2506" s="525" t="str">
        <f>IF(AND($L2506=$O$7,$B2506&lt;'111'!$N$11),"x","")</f>
        <v/>
      </c>
      <c r="Q2506" s="525" t="str">
        <f>IF(AND($M2506=$O$7,$B2506&lt;'111'!$N$11),"x","")</f>
        <v/>
      </c>
      <c r="R2506" s="525" t="str">
        <f>IF(ISERROR(FIND('112'!$M$9,G2506,1)),"",IF((AND(FIND('112'!$M$9,G2506,1)&gt;=1,$B2506&gt;='112'!$N$8,$B2506&lt;='112'!$O$8,OR($L2506='112'!$I$6,$M2506='112'!$I$6))),"x",""))</f>
        <v/>
      </c>
      <c r="S2506" s="525" t="str">
        <f>IF(ISERROR(FIND('112'!$M$9,G2506,1)),"",IF((AND(LEFT(G2506,2)=LEFT('112'!$M$9,2),B2506&lt;'112'!$N$8,$L2506='112'!$I$6)),"x",""))</f>
        <v/>
      </c>
      <c r="T2506" s="525" t="str">
        <f>IF(ISERROR(FIND('112'!$M$9,G2506,1)),"",IF((AND(RIGHT(G2506,2)=RIGHT('112'!$M$9,2),B2506&lt;'112'!$N$8,$M2506='112'!$I$6)),"x",""))</f>
        <v/>
      </c>
      <c r="U2506" s="525" t="str">
        <f>IF(AND(B2506&gt;='IN-NX'!$P$3,B2506&lt;='IN-NX'!$Q$3,'IN-NX'!$D$7=D2506,OR(LEFT(L2506,2)="15",AND(LEFT(M2506,2)&lt;&gt;"15",LEFT(M2506,2)&lt;&gt;"33"))),"x","")</f>
        <v/>
      </c>
      <c r="V2506" s="525" t="str">
        <f>IF(AND(OR(LEFT(TH!L2506,2)="15",LEFT(TH!M2506,2)="15"),'152-CT'!$J$8=TH!F2506),"x","")</f>
        <v/>
      </c>
      <c r="W2506" s="525" t="str">
        <f>IF(AND(OR(LEFT(TH!L2506,2)="15",LEFT(TH!M2506,2)="15"),TK!$E$7=TH!F2506),"x","")</f>
        <v/>
      </c>
      <c r="X2506" s="525" t="str">
        <f>IF(AND('341-CT'!$E$9=H2506,OR(LEFT(L2506,3)=$X$7,LEFT(M2506,3)=$X$7)),"x","")</f>
        <v/>
      </c>
      <c r="Y2506" s="525" t="str">
        <f>IF(OR(TH!L2506=TH!$Y$7,M2506=TH!$Y$7),"x","")</f>
        <v/>
      </c>
      <c r="Z2506" s="525" t="str">
        <f>IF(AND(B2506&lt;=NKC!$N$8,B2506&gt;=NKC!$M$8),"x","")</f>
        <v/>
      </c>
      <c r="AA2506" s="535"/>
      <c r="AB2506" s="536"/>
    </row>
    <row r="2507" spans="1:28" s="503" customFormat="1" ht="15.75" customHeight="1">
      <c r="A2507" s="517" t="str">
        <f>IF(B2507&lt;&gt;"",IF(AND(B2507&gt;=_TM1,B2507&lt;=_TM2,OR(TH!L2507="1111",TH!M2507="1111")),TH!D2507,""),"")</f>
        <v/>
      </c>
      <c r="B2507" s="531">
        <f t="shared" si="223"/>
        <v>5</v>
      </c>
      <c r="C2507" s="315">
        <f t="shared" si="224"/>
        <v>42878</v>
      </c>
      <c r="D2507" s="315" t="s">
        <v>1357</v>
      </c>
      <c r="E2507" s="315">
        <v>42878</v>
      </c>
      <c r="F2507" s="249" t="s">
        <v>1132</v>
      </c>
      <c r="G2507" s="314" t="s">
        <v>1148</v>
      </c>
      <c r="H2507" s="473" t="s">
        <v>1142</v>
      </c>
      <c r="I2507" s="307">
        <v>200</v>
      </c>
      <c r="J2507" s="307">
        <v>36390</v>
      </c>
      <c r="K2507" s="532">
        <f>ROUND(I2507*J2507,0)</f>
        <v>7278000</v>
      </c>
      <c r="L2507" s="534" t="s">
        <v>292</v>
      </c>
      <c r="M2507" s="534" t="s">
        <v>8</v>
      </c>
      <c r="N2507" s="525" t="str">
        <f>IF(AND('331-CT'!$E$7=TH!H2507,OR(L2507="331",M2507="331")),"331",IF(AND(OR(L2507="131",M2507="131"),H2507='131-CT'!$E$7),"131",""))</f>
        <v/>
      </c>
      <c r="O2507" s="525" t="str">
        <f>IF(AND($B2507&gt;='111'!$N$11,$B2507&lt;='111'!$O$11,OR($L2507=$O$7,$M2507=$O$7)),"x","")</f>
        <v/>
      </c>
      <c r="P2507" s="525" t="str">
        <f>IF(AND($L2507=$O$7,$B2507&lt;'111'!$N$11),"x","")</f>
        <v/>
      </c>
      <c r="Q2507" s="525" t="str">
        <f>IF(AND($M2507=$O$7,$B2507&lt;'111'!$N$11),"x","")</f>
        <v/>
      </c>
      <c r="R2507" s="525" t="str">
        <f>IF(ISERROR(FIND('112'!$M$9,G2507,1)),"",IF((AND(FIND('112'!$M$9,G2507,1)&gt;=1,$B2507&gt;='112'!$N$8,$B2507&lt;='112'!$O$8,OR($L2507='112'!$I$6,$M2507='112'!$I$6))),"x",""))</f>
        <v/>
      </c>
      <c r="S2507" s="525" t="str">
        <f>IF(ISERROR(FIND('112'!$M$9,G2507,1)),"",IF((AND(LEFT(G2507,2)=LEFT('112'!$M$9,2),B2507&lt;'112'!$N$8,$L2507='112'!$I$6)),"x",""))</f>
        <v/>
      </c>
      <c r="T2507" s="525" t="str">
        <f>IF(ISERROR(FIND('112'!$M$9,G2507,1)),"",IF((AND(RIGHT(G2507,2)=RIGHT('112'!$M$9,2),B2507&lt;'112'!$N$8,$M2507='112'!$I$6)),"x",""))</f>
        <v/>
      </c>
      <c r="U2507" s="525" t="str">
        <f>IF(AND(B2507&gt;='IN-NX'!$P$3,B2507&lt;='IN-NX'!$Q$3,'IN-NX'!$D$7=D2507,OR(LEFT(L2507,2)="15",AND(LEFT(M2507,2)&lt;&gt;"15",LEFT(M2507,2)&lt;&gt;"33"))),"x","")</f>
        <v/>
      </c>
      <c r="V2507" s="525" t="str">
        <f>IF(AND(OR(LEFT(TH!L2507,2)="15",LEFT(TH!M2507,2)="15"),'152-CT'!$J$8=TH!F2507),"x","")</f>
        <v/>
      </c>
      <c r="W2507" s="525" t="str">
        <f>IF(AND(OR(LEFT(TH!L2507,2)="15",LEFT(TH!M2507,2)="15"),TK!$E$7=TH!F2507),"x","")</f>
        <v/>
      </c>
      <c r="X2507" s="525" t="str">
        <f>IF(AND('341-CT'!$E$9=H2507,OR(LEFT(L2507,3)=$X$7,LEFT(M2507,3)=$X$7)),"x","")</f>
        <v/>
      </c>
      <c r="Y2507" s="525" t="str">
        <f>IF(OR(TH!L2507=TH!$Y$7,M2507=TH!$Y$7),"x","")</f>
        <v/>
      </c>
      <c r="Z2507" s="525" t="str">
        <f>IF(AND(B2507&lt;=NKC!$N$8,B2507&gt;=NKC!$M$8),"x","")</f>
        <v/>
      </c>
      <c r="AA2507" s="535">
        <v>2</v>
      </c>
      <c r="AB2507" s="536"/>
    </row>
    <row r="2508" spans="1:28" s="503" customFormat="1" ht="15.75" customHeight="1">
      <c r="A2508" s="517" t="str">
        <f>IF(B2508&lt;&gt;"",IF(AND(B2508&gt;=_TM1,B2508&lt;=_TM2,OR(TH!L2508="1111",TH!M2508="1111")),TH!D2508,""),"")</f>
        <v/>
      </c>
      <c r="B2508" s="531">
        <f t="shared" si="223"/>
        <v>5</v>
      </c>
      <c r="C2508" s="315">
        <f t="shared" si="224"/>
        <v>42878</v>
      </c>
      <c r="D2508" s="315" t="s">
        <v>1357</v>
      </c>
      <c r="E2508" s="315">
        <v>42878</v>
      </c>
      <c r="F2508" s="249" t="s">
        <v>1149</v>
      </c>
      <c r="G2508" s="314" t="s">
        <v>1148</v>
      </c>
      <c r="H2508" s="473" t="s">
        <v>1142</v>
      </c>
      <c r="I2508" s="307">
        <v>500</v>
      </c>
      <c r="J2508" s="307">
        <v>8680</v>
      </c>
      <c r="K2508" s="532">
        <f>ROUND(I2508*J2508,0)</f>
        <v>4340000</v>
      </c>
      <c r="L2508" s="534" t="s">
        <v>292</v>
      </c>
      <c r="M2508" s="534" t="s">
        <v>8</v>
      </c>
      <c r="N2508" s="525" t="str">
        <f>IF(AND('331-CT'!$E$7=TH!H2508,OR(L2508="331",M2508="331")),"331",IF(AND(OR(L2508="131",M2508="131"),H2508='131-CT'!$E$7),"131",""))</f>
        <v/>
      </c>
      <c r="O2508" s="525" t="str">
        <f>IF(AND($B2508&gt;='111'!$N$11,$B2508&lt;='111'!$O$11,OR($L2508=$O$7,$M2508=$O$7)),"x","")</f>
        <v/>
      </c>
      <c r="P2508" s="525" t="str">
        <f>IF(AND($L2508=$O$7,$B2508&lt;'111'!$N$11),"x","")</f>
        <v/>
      </c>
      <c r="Q2508" s="525" t="str">
        <f>IF(AND($M2508=$O$7,$B2508&lt;'111'!$N$11),"x","")</f>
        <v/>
      </c>
      <c r="R2508" s="525" t="str">
        <f>IF(ISERROR(FIND('112'!$M$9,G2508,1)),"",IF((AND(FIND('112'!$M$9,G2508,1)&gt;=1,$B2508&gt;='112'!$N$8,$B2508&lt;='112'!$O$8,OR($L2508='112'!$I$6,$M2508='112'!$I$6))),"x",""))</f>
        <v/>
      </c>
      <c r="S2508" s="525" t="str">
        <f>IF(ISERROR(FIND('112'!$M$9,G2508,1)),"",IF((AND(LEFT(G2508,2)=LEFT('112'!$M$9,2),B2508&lt;'112'!$N$8,$L2508='112'!$I$6)),"x",""))</f>
        <v/>
      </c>
      <c r="T2508" s="525" t="str">
        <f>IF(ISERROR(FIND('112'!$M$9,G2508,1)),"",IF((AND(RIGHT(G2508,2)=RIGHT('112'!$M$9,2),B2508&lt;'112'!$N$8,$M2508='112'!$I$6)),"x",""))</f>
        <v/>
      </c>
      <c r="U2508" s="525" t="str">
        <f>IF(AND(B2508&gt;='IN-NX'!$P$3,B2508&lt;='IN-NX'!$Q$3,'IN-NX'!$D$7=D2508,OR(LEFT(L2508,2)="15",AND(LEFT(M2508,2)&lt;&gt;"15",LEFT(M2508,2)&lt;&gt;"33"))),"x","")</f>
        <v/>
      </c>
      <c r="V2508" s="525" t="str">
        <f>IF(AND(OR(LEFT(TH!L2508,2)="15",LEFT(TH!M2508,2)="15"),'152-CT'!$J$8=TH!F2508),"x","")</f>
        <v/>
      </c>
      <c r="W2508" s="525" t="str">
        <f>IF(AND(OR(LEFT(TH!L2508,2)="15",LEFT(TH!M2508,2)="15"),TK!$E$7=TH!F2508),"x","")</f>
        <v/>
      </c>
      <c r="X2508" s="525" t="str">
        <f>IF(AND('341-CT'!$E$9=H2508,OR(LEFT(L2508,3)=$X$7,LEFT(M2508,3)=$X$7)),"x","")</f>
        <v/>
      </c>
      <c r="Y2508" s="525" t="str">
        <f>IF(OR(TH!L2508=TH!$Y$7,M2508=TH!$Y$7),"x","")</f>
        <v/>
      </c>
      <c r="Z2508" s="525" t="str">
        <f>IF(AND(B2508&lt;=NKC!$N$8,B2508&gt;=NKC!$M$8),"x","")</f>
        <v/>
      </c>
      <c r="AA2508" s="535">
        <v>2</v>
      </c>
      <c r="AB2508" s="536"/>
    </row>
    <row r="2509" spans="1:28" s="503" customFormat="1" ht="15.75" customHeight="1">
      <c r="A2509" s="517" t="str">
        <f>IF(B2509&lt;&gt;"",IF(AND(B2509&gt;=_TM1,B2509&lt;=_TM2,OR(TH!L2509="1111",TH!M2509="1111")),TH!D2509,""),"")</f>
        <v/>
      </c>
      <c r="B2509" s="531">
        <f t="shared" si="223"/>
        <v>5</v>
      </c>
      <c r="C2509" s="315">
        <f t="shared" si="224"/>
        <v>42878</v>
      </c>
      <c r="D2509" s="315" t="s">
        <v>1357</v>
      </c>
      <c r="E2509" s="315">
        <v>42878</v>
      </c>
      <c r="F2509" s="249" t="s">
        <v>1150</v>
      </c>
      <c r="G2509" s="314" t="s">
        <v>1148</v>
      </c>
      <c r="H2509" s="473" t="s">
        <v>1142</v>
      </c>
      <c r="I2509" s="307">
        <v>500</v>
      </c>
      <c r="J2509" s="307">
        <v>6680</v>
      </c>
      <c r="K2509" s="532">
        <f>ROUND(I2509*J2509,0)</f>
        <v>3340000</v>
      </c>
      <c r="L2509" s="534" t="s">
        <v>292</v>
      </c>
      <c r="M2509" s="534" t="s">
        <v>8</v>
      </c>
      <c r="N2509" s="525" t="str">
        <f>IF(AND('331-CT'!$E$7=TH!H2509,OR(L2509="331",M2509="331")),"331",IF(AND(OR(L2509="131",M2509="131"),H2509='131-CT'!$E$7),"131",""))</f>
        <v/>
      </c>
      <c r="O2509" s="525" t="str">
        <f>IF(AND($B2509&gt;='111'!$N$11,$B2509&lt;='111'!$O$11,OR($L2509=$O$7,$M2509=$O$7)),"x","")</f>
        <v/>
      </c>
      <c r="P2509" s="525" t="str">
        <f>IF(AND($L2509=$O$7,$B2509&lt;'111'!$N$11),"x","")</f>
        <v/>
      </c>
      <c r="Q2509" s="525" t="str">
        <f>IF(AND($M2509=$O$7,$B2509&lt;'111'!$N$11),"x","")</f>
        <v/>
      </c>
      <c r="R2509" s="525" t="str">
        <f>IF(ISERROR(FIND('112'!$M$9,G2509,1)),"",IF((AND(FIND('112'!$M$9,G2509,1)&gt;=1,$B2509&gt;='112'!$N$8,$B2509&lt;='112'!$O$8,OR($L2509='112'!$I$6,$M2509='112'!$I$6))),"x",""))</f>
        <v/>
      </c>
      <c r="S2509" s="525" t="str">
        <f>IF(ISERROR(FIND('112'!$M$9,G2509,1)),"",IF((AND(LEFT(G2509,2)=LEFT('112'!$M$9,2),B2509&lt;'112'!$N$8,$L2509='112'!$I$6)),"x",""))</f>
        <v/>
      </c>
      <c r="T2509" s="525" t="str">
        <f>IF(ISERROR(FIND('112'!$M$9,G2509,1)),"",IF((AND(RIGHT(G2509,2)=RIGHT('112'!$M$9,2),B2509&lt;'112'!$N$8,$M2509='112'!$I$6)),"x",""))</f>
        <v/>
      </c>
      <c r="U2509" s="525" t="str">
        <f>IF(AND(B2509&gt;='IN-NX'!$P$3,B2509&lt;='IN-NX'!$Q$3,'IN-NX'!$D$7=D2509,OR(LEFT(L2509,2)="15",AND(LEFT(M2509,2)&lt;&gt;"15",LEFT(M2509,2)&lt;&gt;"33"))),"x","")</f>
        <v/>
      </c>
      <c r="V2509" s="525" t="str">
        <f>IF(AND(OR(LEFT(TH!L2509,2)="15",LEFT(TH!M2509,2)="15"),'152-CT'!$J$8=TH!F2509),"x","")</f>
        <v/>
      </c>
      <c r="W2509" s="525" t="str">
        <f>IF(AND(OR(LEFT(TH!L2509,2)="15",LEFT(TH!M2509,2)="15"),TK!$E$7=TH!F2509),"x","")</f>
        <v/>
      </c>
      <c r="X2509" s="525" t="str">
        <f>IF(AND('341-CT'!$E$9=H2509,OR(LEFT(L2509,3)=$X$7,LEFT(M2509,3)=$X$7)),"x","")</f>
        <v/>
      </c>
      <c r="Y2509" s="525" t="str">
        <f>IF(OR(TH!L2509=TH!$Y$7,M2509=TH!$Y$7),"x","")</f>
        <v/>
      </c>
      <c r="Z2509" s="525" t="str">
        <f>IF(AND(B2509&lt;=NKC!$N$8,B2509&gt;=NKC!$M$8),"x","")</f>
        <v/>
      </c>
      <c r="AA2509" s="535">
        <v>2</v>
      </c>
      <c r="AB2509" s="536"/>
    </row>
    <row r="2510" spans="1:28" s="503" customFormat="1" ht="15.75" customHeight="1">
      <c r="A2510" s="517" t="str">
        <f>IF(B2510&lt;&gt;"",IF(AND(B2510&gt;=_TM1,B2510&lt;=_TM2,OR(TH!L2510="1111",TH!M2510="1111")),TH!D2510,""),"")</f>
        <v/>
      </c>
      <c r="B2510" s="531">
        <f t="shared" si="223"/>
        <v>5</v>
      </c>
      <c r="C2510" s="315">
        <f t="shared" si="224"/>
        <v>42878</v>
      </c>
      <c r="D2510" s="315" t="s">
        <v>1357</v>
      </c>
      <c r="E2510" s="315">
        <v>42878</v>
      </c>
      <c r="F2510" s="249" t="s">
        <v>1151</v>
      </c>
      <c r="G2510" s="314" t="s">
        <v>1148</v>
      </c>
      <c r="H2510" s="473" t="s">
        <v>1142</v>
      </c>
      <c r="I2510" s="307">
        <v>500</v>
      </c>
      <c r="J2510" s="307">
        <v>6270</v>
      </c>
      <c r="K2510" s="532">
        <f>ROUND(I2510*J2510,0)</f>
        <v>3135000</v>
      </c>
      <c r="L2510" s="534" t="s">
        <v>292</v>
      </c>
      <c r="M2510" s="534" t="s">
        <v>8</v>
      </c>
      <c r="N2510" s="525" t="str">
        <f>IF(AND('331-CT'!$E$7=TH!H2510,OR(L2510="331",M2510="331")),"331",IF(AND(OR(L2510="131",M2510="131"),H2510='131-CT'!$E$7),"131",""))</f>
        <v/>
      </c>
      <c r="O2510" s="525" t="str">
        <f>IF(AND($B2510&gt;='111'!$N$11,$B2510&lt;='111'!$O$11,OR($L2510=$O$7,$M2510=$O$7)),"x","")</f>
        <v/>
      </c>
      <c r="P2510" s="525" t="str">
        <f>IF(AND($L2510=$O$7,$B2510&lt;'111'!$N$11),"x","")</f>
        <v/>
      </c>
      <c r="Q2510" s="525" t="str">
        <f>IF(AND($M2510=$O$7,$B2510&lt;'111'!$N$11),"x","")</f>
        <v/>
      </c>
      <c r="R2510" s="525" t="str">
        <f>IF(ISERROR(FIND('112'!$M$9,G2510,1)),"",IF((AND(FIND('112'!$M$9,G2510,1)&gt;=1,$B2510&gt;='112'!$N$8,$B2510&lt;='112'!$O$8,OR($L2510='112'!$I$6,$M2510='112'!$I$6))),"x",""))</f>
        <v/>
      </c>
      <c r="S2510" s="525" t="str">
        <f>IF(ISERROR(FIND('112'!$M$9,G2510,1)),"",IF((AND(LEFT(G2510,2)=LEFT('112'!$M$9,2),B2510&lt;'112'!$N$8,$L2510='112'!$I$6)),"x",""))</f>
        <v/>
      </c>
      <c r="T2510" s="525" t="str">
        <f>IF(ISERROR(FIND('112'!$M$9,G2510,1)),"",IF((AND(RIGHT(G2510,2)=RIGHT('112'!$M$9,2),B2510&lt;'112'!$N$8,$M2510='112'!$I$6)),"x",""))</f>
        <v/>
      </c>
      <c r="U2510" s="525" t="str">
        <f>IF(AND(B2510&gt;='IN-NX'!$P$3,B2510&lt;='IN-NX'!$Q$3,'IN-NX'!$D$7=D2510,OR(LEFT(L2510,2)="15",AND(LEFT(M2510,2)&lt;&gt;"15",LEFT(M2510,2)&lt;&gt;"33"))),"x","")</f>
        <v/>
      </c>
      <c r="V2510" s="525" t="str">
        <f>IF(AND(OR(LEFT(TH!L2510,2)="15",LEFT(TH!M2510,2)="15"),'152-CT'!$J$8=TH!F2510),"x","")</f>
        <v/>
      </c>
      <c r="W2510" s="525" t="str">
        <f>IF(AND(OR(LEFT(TH!L2510,2)="15",LEFT(TH!M2510,2)="15"),TK!$E$7=TH!F2510),"x","")</f>
        <v/>
      </c>
      <c r="X2510" s="525" t="str">
        <f>IF(AND('341-CT'!$E$9=H2510,OR(LEFT(L2510,3)=$X$7,LEFT(M2510,3)=$X$7)),"x","")</f>
        <v/>
      </c>
      <c r="Y2510" s="525" t="str">
        <f>IF(OR(TH!L2510=TH!$Y$7,M2510=TH!$Y$7),"x","")</f>
        <v/>
      </c>
      <c r="Z2510" s="525" t="str">
        <f>IF(AND(B2510&lt;=NKC!$N$8,B2510&gt;=NKC!$M$8),"x","")</f>
        <v/>
      </c>
      <c r="AA2510" s="535">
        <v>2</v>
      </c>
      <c r="AB2510" s="536"/>
    </row>
    <row r="2511" spans="1:28" s="503" customFormat="1" ht="15.75" customHeight="1">
      <c r="A2511" s="517" t="str">
        <f>IF(B2511&lt;&gt;"",IF(AND(B2511&gt;=_TM1,B2511&lt;=_TM2,OR(TH!L2511="1111",TH!M2511="1111")),TH!D2511,""),"")</f>
        <v/>
      </c>
      <c r="B2511" s="531">
        <f t="shared" si="223"/>
        <v>5</v>
      </c>
      <c r="C2511" s="315">
        <f t="shared" si="224"/>
        <v>42878</v>
      </c>
      <c r="D2511" s="315" t="s">
        <v>1357</v>
      </c>
      <c r="E2511" s="315">
        <v>42878</v>
      </c>
      <c r="F2511" s="249" t="s">
        <v>1002</v>
      </c>
      <c r="G2511" s="314" t="s">
        <v>1148</v>
      </c>
      <c r="H2511" s="473" t="s">
        <v>1142</v>
      </c>
      <c r="I2511" s="307"/>
      <c r="J2511" s="307"/>
      <c r="K2511" s="532">
        <v>1809300</v>
      </c>
      <c r="L2511" s="713" t="s">
        <v>9</v>
      </c>
      <c r="M2511" s="534" t="s">
        <v>8</v>
      </c>
      <c r="N2511" s="525" t="str">
        <f>IF(AND('331-CT'!$E$7=TH!H2511,OR(L2511="331",M2511="331")),"331",IF(AND(OR(L2511="131",M2511="131"),H2511='131-CT'!$E$7),"131",""))</f>
        <v/>
      </c>
      <c r="O2511" s="525" t="str">
        <f>IF(AND($B2511&gt;='111'!$N$11,$B2511&lt;='111'!$O$11,OR($L2511=$O$7,$M2511=$O$7)),"x","")</f>
        <v/>
      </c>
      <c r="P2511" s="525" t="str">
        <f>IF(AND($L2511=$O$7,$B2511&lt;'111'!$N$11),"x","")</f>
        <v/>
      </c>
      <c r="Q2511" s="525" t="str">
        <f>IF(AND($M2511=$O$7,$B2511&lt;'111'!$N$11),"x","")</f>
        <v/>
      </c>
      <c r="R2511" s="525" t="str">
        <f>IF(ISERROR(FIND('112'!$M$9,G2511,1)),"",IF((AND(FIND('112'!$M$9,G2511,1)&gt;=1,$B2511&gt;='112'!$N$8,$B2511&lt;='112'!$O$8,OR($L2511='112'!$I$6,$M2511='112'!$I$6))),"x",""))</f>
        <v/>
      </c>
      <c r="S2511" s="525" t="str">
        <f>IF(ISERROR(FIND('112'!$M$9,G2511,1)),"",IF((AND(LEFT(G2511,2)=LEFT('112'!$M$9,2),B2511&lt;'112'!$N$8,$L2511='112'!$I$6)),"x",""))</f>
        <v/>
      </c>
      <c r="T2511" s="525" t="str">
        <f>IF(ISERROR(FIND('112'!$M$9,G2511,1)),"",IF((AND(RIGHT(G2511,2)=RIGHT('112'!$M$9,2),B2511&lt;'112'!$N$8,$M2511='112'!$I$6)),"x",""))</f>
        <v/>
      </c>
      <c r="U2511" s="525" t="str">
        <f>IF(AND(B2511&gt;='IN-NX'!$P$3,B2511&lt;='IN-NX'!$Q$3,'IN-NX'!$D$7=D2511,OR(LEFT(L2511,2)="15",AND(LEFT(M2511,2)&lt;&gt;"15",LEFT(M2511,2)&lt;&gt;"33"))),"x","")</f>
        <v/>
      </c>
      <c r="V2511" s="525" t="str">
        <f>IF(AND(OR(LEFT(TH!L2511,2)="15",LEFT(TH!M2511,2)="15"),'152-CT'!$J$8=TH!F2511),"x","")</f>
        <v/>
      </c>
      <c r="W2511" s="525" t="str">
        <f>IF(AND(OR(LEFT(TH!L2511,2)="15",LEFT(TH!M2511,2)="15"),TK!$E$7=TH!F2511),"x","")</f>
        <v/>
      </c>
      <c r="X2511" s="525" t="str">
        <f>IF(AND('341-CT'!$E$9=H2511,OR(LEFT(L2511,3)=$X$7,LEFT(M2511,3)=$X$7)),"x","")</f>
        <v/>
      </c>
      <c r="Y2511" s="525" t="str">
        <f>IF(OR(TH!L2511=TH!$Y$7,M2511=TH!$Y$7),"x","")</f>
        <v/>
      </c>
      <c r="Z2511" s="525" t="str">
        <f>IF(AND(B2511&lt;=NKC!$N$8,B2511&gt;=NKC!$M$8),"x","")</f>
        <v/>
      </c>
      <c r="AA2511" s="535">
        <v>2</v>
      </c>
      <c r="AB2511" s="536"/>
    </row>
    <row r="2512" spans="1:28" s="503" customFormat="1" ht="15.75" customHeight="1">
      <c r="A2512" s="517" t="str">
        <f>IF(B2512&lt;&gt;"",IF(AND(B2512&gt;=_TM1,B2512&lt;=_TM2,OR(TH!L2512="1111",TH!M2512="1111")),TH!D2512,""),"")</f>
        <v/>
      </c>
      <c r="B2512" s="531">
        <f t="shared" si="223"/>
        <v>5</v>
      </c>
      <c r="C2512" s="315">
        <f t="shared" si="224"/>
        <v>42878</v>
      </c>
      <c r="D2512" s="315" t="s">
        <v>1358</v>
      </c>
      <c r="E2512" s="315">
        <v>42878</v>
      </c>
      <c r="F2512" s="249" t="s">
        <v>630</v>
      </c>
      <c r="G2512" s="314" t="s">
        <v>1152</v>
      </c>
      <c r="H2512" s="473" t="s">
        <v>1142</v>
      </c>
      <c r="I2512" s="307">
        <v>52</v>
      </c>
      <c r="J2512" s="307">
        <v>36399</v>
      </c>
      <c r="K2512" s="532">
        <f t="shared" ref="K2512:K2523" si="225">ROUND(I2512*J2512,0)</f>
        <v>1892748</v>
      </c>
      <c r="L2512" s="534" t="s">
        <v>292</v>
      </c>
      <c r="M2512" s="534" t="s">
        <v>8</v>
      </c>
      <c r="N2512" s="525" t="str">
        <f>IF(AND('331-CT'!$E$7=TH!H2512,OR(L2512="331",M2512="331")),"331",IF(AND(OR(L2512="131",M2512="131"),H2512='131-CT'!$E$7),"131",""))</f>
        <v/>
      </c>
      <c r="O2512" s="525" t="str">
        <f>IF(AND($B2512&gt;='111'!$N$11,$B2512&lt;='111'!$O$11,OR($L2512=$O$7,$M2512=$O$7)),"x","")</f>
        <v/>
      </c>
      <c r="P2512" s="525" t="str">
        <f>IF(AND($L2512=$O$7,$B2512&lt;'111'!$N$11),"x","")</f>
        <v/>
      </c>
      <c r="Q2512" s="525" t="str">
        <f>IF(AND($M2512=$O$7,$B2512&lt;'111'!$N$11),"x","")</f>
        <v/>
      </c>
      <c r="R2512" s="525" t="str">
        <f>IF(ISERROR(FIND('112'!$M$9,G2512,1)),"",IF((AND(FIND('112'!$M$9,G2512,1)&gt;=1,$B2512&gt;='112'!$N$8,$B2512&lt;='112'!$O$8,OR($L2512='112'!$I$6,$M2512='112'!$I$6))),"x",""))</f>
        <v/>
      </c>
      <c r="S2512" s="525" t="str">
        <f>IF(ISERROR(FIND('112'!$M$9,G2512,1)),"",IF((AND(LEFT(G2512,2)=LEFT('112'!$M$9,2),B2512&lt;'112'!$N$8,$L2512='112'!$I$6)),"x",""))</f>
        <v/>
      </c>
      <c r="T2512" s="525" t="str">
        <f>IF(ISERROR(FIND('112'!$M$9,G2512,1)),"",IF((AND(RIGHT(G2512,2)=RIGHT('112'!$M$9,2),B2512&lt;'112'!$N$8,$M2512='112'!$I$6)),"x",""))</f>
        <v/>
      </c>
      <c r="U2512" s="525" t="str">
        <f>IF(AND(B2512&gt;='IN-NX'!$P$3,B2512&lt;='IN-NX'!$Q$3,'IN-NX'!$D$7=D2512,OR(LEFT(L2512,2)="15",AND(LEFT(M2512,2)&lt;&gt;"15",LEFT(M2512,2)&lt;&gt;"33"))),"x","")</f>
        <v/>
      </c>
      <c r="V2512" s="525" t="str">
        <f>IF(AND(OR(LEFT(TH!L2512,2)="15",LEFT(TH!M2512,2)="15"),'152-CT'!$J$8=TH!F2512),"x","")</f>
        <v/>
      </c>
      <c r="W2512" s="525" t="str">
        <f>IF(AND(OR(LEFT(TH!L2512,2)="15",LEFT(TH!M2512,2)="15"),TK!$E$7=TH!F2512),"x","")</f>
        <v/>
      </c>
      <c r="X2512" s="525" t="str">
        <f>IF(AND('341-CT'!$E$9=H2512,OR(LEFT(L2512,3)=$X$7,LEFT(M2512,3)=$X$7)),"x","")</f>
        <v/>
      </c>
      <c r="Y2512" s="525" t="str">
        <f>IF(OR(TH!L2512=TH!$Y$7,M2512=TH!$Y$7),"x","")</f>
        <v/>
      </c>
      <c r="Z2512" s="525" t="str">
        <f>IF(AND(B2512&lt;=NKC!$N$8,B2512&gt;=NKC!$M$8),"x","")</f>
        <v/>
      </c>
      <c r="AA2512" s="535">
        <v>2</v>
      </c>
      <c r="AB2512" s="536"/>
    </row>
    <row r="2513" spans="1:28" s="503" customFormat="1" ht="15.75" customHeight="1">
      <c r="A2513" s="517" t="str">
        <f>IF(B2513&lt;&gt;"",IF(AND(B2513&gt;=_TM1,B2513&lt;=_TM2,OR(TH!L2513="1111",TH!M2513="1111")),TH!D2513,""),"")</f>
        <v/>
      </c>
      <c r="B2513" s="531">
        <f t="shared" si="223"/>
        <v>5</v>
      </c>
      <c r="C2513" s="315">
        <f t="shared" si="224"/>
        <v>42878</v>
      </c>
      <c r="D2513" s="315" t="s">
        <v>1358</v>
      </c>
      <c r="E2513" s="315">
        <v>42878</v>
      </c>
      <c r="F2513" s="249" t="s">
        <v>1175</v>
      </c>
      <c r="G2513" s="314" t="s">
        <v>1152</v>
      </c>
      <c r="H2513" s="473" t="s">
        <v>1142</v>
      </c>
      <c r="I2513" s="307">
        <v>12</v>
      </c>
      <c r="J2513" s="307">
        <v>54000</v>
      </c>
      <c r="K2513" s="532">
        <f t="shared" si="225"/>
        <v>648000</v>
      </c>
      <c r="L2513" s="534" t="s">
        <v>292</v>
      </c>
      <c r="M2513" s="534" t="s">
        <v>8</v>
      </c>
      <c r="N2513" s="525" t="str">
        <f>IF(AND('331-CT'!$E$7=TH!H2513,OR(L2513="331",M2513="331")),"331",IF(AND(OR(L2513="131",M2513="131"),H2513='131-CT'!$E$7),"131",""))</f>
        <v/>
      </c>
      <c r="O2513" s="525" t="str">
        <f>IF(AND($B2513&gt;='111'!$N$11,$B2513&lt;='111'!$O$11,OR($L2513=$O$7,$M2513=$O$7)),"x","")</f>
        <v/>
      </c>
      <c r="P2513" s="525" t="str">
        <f>IF(AND($L2513=$O$7,$B2513&lt;'111'!$N$11),"x","")</f>
        <v/>
      </c>
      <c r="Q2513" s="525" t="str">
        <f>IF(AND($M2513=$O$7,$B2513&lt;'111'!$N$11),"x","")</f>
        <v/>
      </c>
      <c r="R2513" s="525" t="str">
        <f>IF(ISERROR(FIND('112'!$M$9,G2513,1)),"",IF((AND(FIND('112'!$M$9,G2513,1)&gt;=1,$B2513&gt;='112'!$N$8,$B2513&lt;='112'!$O$8,OR($L2513='112'!$I$6,$M2513='112'!$I$6))),"x",""))</f>
        <v/>
      </c>
      <c r="S2513" s="525" t="str">
        <f>IF(ISERROR(FIND('112'!$M$9,G2513,1)),"",IF((AND(LEFT(G2513,2)=LEFT('112'!$M$9,2),B2513&lt;'112'!$N$8,$L2513='112'!$I$6)),"x",""))</f>
        <v/>
      </c>
      <c r="T2513" s="525" t="str">
        <f>IF(ISERROR(FIND('112'!$M$9,G2513,1)),"",IF((AND(RIGHT(G2513,2)=RIGHT('112'!$M$9,2),B2513&lt;'112'!$N$8,$M2513='112'!$I$6)),"x",""))</f>
        <v/>
      </c>
      <c r="U2513" s="525" t="str">
        <f>IF(AND(B2513&gt;='IN-NX'!$P$3,B2513&lt;='IN-NX'!$Q$3,'IN-NX'!$D$7=D2513,OR(LEFT(L2513,2)="15",AND(LEFT(M2513,2)&lt;&gt;"15",LEFT(M2513,2)&lt;&gt;"33"))),"x","")</f>
        <v/>
      </c>
      <c r="V2513" s="525" t="str">
        <f>IF(AND(OR(LEFT(TH!L2513,2)="15",LEFT(TH!M2513,2)="15"),'152-CT'!$J$8=TH!F2513),"x","")</f>
        <v/>
      </c>
      <c r="W2513" s="525" t="str">
        <f>IF(AND(OR(LEFT(TH!L2513,2)="15",LEFT(TH!M2513,2)="15"),TK!$E$7=TH!F2513),"x","")</f>
        <v/>
      </c>
      <c r="X2513" s="525" t="str">
        <f>IF(AND('341-CT'!$E$9=H2513,OR(LEFT(L2513,3)=$X$7,LEFT(M2513,3)=$X$7)),"x","")</f>
        <v/>
      </c>
      <c r="Y2513" s="525" t="str">
        <f>IF(OR(TH!L2513=TH!$Y$7,M2513=TH!$Y$7),"x","")</f>
        <v/>
      </c>
      <c r="Z2513" s="525" t="str">
        <f>IF(AND(B2513&lt;=NKC!$N$8,B2513&gt;=NKC!$M$8),"x","")</f>
        <v/>
      </c>
      <c r="AA2513" s="535">
        <v>2</v>
      </c>
      <c r="AB2513" s="536"/>
    </row>
    <row r="2514" spans="1:28" s="503" customFormat="1" ht="15.75" customHeight="1">
      <c r="A2514" s="517" t="str">
        <f>IF(B2514&lt;&gt;"",IF(AND(B2514&gt;=_TM1,B2514&lt;=_TM2,OR(TH!L2514="1111",TH!M2514="1111")),TH!D2514,""),"")</f>
        <v/>
      </c>
      <c r="B2514" s="531">
        <f t="shared" si="223"/>
        <v>5</v>
      </c>
      <c r="C2514" s="315">
        <f t="shared" si="224"/>
        <v>42878</v>
      </c>
      <c r="D2514" s="315" t="s">
        <v>1358</v>
      </c>
      <c r="E2514" s="315">
        <v>42878</v>
      </c>
      <c r="F2514" s="249" t="s">
        <v>757</v>
      </c>
      <c r="G2514" s="314" t="s">
        <v>1152</v>
      </c>
      <c r="H2514" s="473" t="s">
        <v>1142</v>
      </c>
      <c r="I2514" s="307">
        <v>24</v>
      </c>
      <c r="J2514" s="307">
        <v>50120</v>
      </c>
      <c r="K2514" s="532">
        <f t="shared" si="225"/>
        <v>1202880</v>
      </c>
      <c r="L2514" s="534" t="s">
        <v>292</v>
      </c>
      <c r="M2514" s="534" t="s">
        <v>8</v>
      </c>
      <c r="N2514" s="525" t="str">
        <f>IF(AND('331-CT'!$E$7=TH!H2514,OR(L2514="331",M2514="331")),"331",IF(AND(OR(L2514="131",M2514="131"),H2514='131-CT'!$E$7),"131",""))</f>
        <v/>
      </c>
      <c r="O2514" s="525" t="str">
        <f>IF(AND($B2514&gt;='111'!$N$11,$B2514&lt;='111'!$O$11,OR($L2514=$O$7,$M2514=$O$7)),"x","")</f>
        <v/>
      </c>
      <c r="P2514" s="525" t="str">
        <f>IF(AND($L2514=$O$7,$B2514&lt;'111'!$N$11),"x","")</f>
        <v/>
      </c>
      <c r="Q2514" s="525" t="str">
        <f>IF(AND($M2514=$O$7,$B2514&lt;'111'!$N$11),"x","")</f>
        <v/>
      </c>
      <c r="R2514" s="525" t="str">
        <f>IF(ISERROR(FIND('112'!$M$9,G2514,1)),"",IF((AND(FIND('112'!$M$9,G2514,1)&gt;=1,$B2514&gt;='112'!$N$8,$B2514&lt;='112'!$O$8,OR($L2514='112'!$I$6,$M2514='112'!$I$6))),"x",""))</f>
        <v/>
      </c>
      <c r="S2514" s="525" t="str">
        <f>IF(ISERROR(FIND('112'!$M$9,G2514,1)),"",IF((AND(LEFT(G2514,2)=LEFT('112'!$M$9,2),B2514&lt;'112'!$N$8,$L2514='112'!$I$6)),"x",""))</f>
        <v/>
      </c>
      <c r="T2514" s="525" t="str">
        <f>IF(ISERROR(FIND('112'!$M$9,G2514,1)),"",IF((AND(RIGHT(G2514,2)=RIGHT('112'!$M$9,2),B2514&lt;'112'!$N$8,$M2514='112'!$I$6)),"x",""))</f>
        <v/>
      </c>
      <c r="U2514" s="525" t="str">
        <f>IF(AND(B2514&gt;='IN-NX'!$P$3,B2514&lt;='IN-NX'!$Q$3,'IN-NX'!$D$7=D2514,OR(LEFT(L2514,2)="15",AND(LEFT(M2514,2)&lt;&gt;"15",LEFT(M2514,2)&lt;&gt;"33"))),"x","")</f>
        <v/>
      </c>
      <c r="V2514" s="525" t="str">
        <f>IF(AND(OR(LEFT(TH!L2514,2)="15",LEFT(TH!M2514,2)="15"),'152-CT'!$J$8=TH!F2514),"x","")</f>
        <v/>
      </c>
      <c r="W2514" s="525" t="str">
        <f>IF(AND(OR(LEFT(TH!L2514,2)="15",LEFT(TH!M2514,2)="15"),TK!$E$7=TH!F2514),"x","")</f>
        <v/>
      </c>
      <c r="X2514" s="525" t="str">
        <f>IF(AND('341-CT'!$E$9=H2514,OR(LEFT(L2514,3)=$X$7,LEFT(M2514,3)=$X$7)),"x","")</f>
        <v/>
      </c>
      <c r="Y2514" s="525" t="str">
        <f>IF(OR(TH!L2514=TH!$Y$7,M2514=TH!$Y$7),"x","")</f>
        <v/>
      </c>
      <c r="Z2514" s="525" t="str">
        <f>IF(AND(B2514&lt;=NKC!$N$8,B2514&gt;=NKC!$M$8),"x","")</f>
        <v/>
      </c>
      <c r="AA2514" s="535">
        <v>2</v>
      </c>
      <c r="AB2514" s="536"/>
    </row>
    <row r="2515" spans="1:28" s="503" customFormat="1" ht="15.75" customHeight="1">
      <c r="A2515" s="517" t="str">
        <f>IF(B2515&lt;&gt;"",IF(AND(B2515&gt;=_TM1,B2515&lt;=_TM2,OR(TH!L2515="1111",TH!M2515="1111")),TH!D2515,""),"")</f>
        <v/>
      </c>
      <c r="B2515" s="531">
        <f t="shared" si="223"/>
        <v>5</v>
      </c>
      <c r="C2515" s="315">
        <f t="shared" si="224"/>
        <v>42878</v>
      </c>
      <c r="D2515" s="315" t="s">
        <v>1358</v>
      </c>
      <c r="E2515" s="315">
        <v>42878</v>
      </c>
      <c r="F2515" s="249" t="s">
        <v>1176</v>
      </c>
      <c r="G2515" s="314" t="s">
        <v>1152</v>
      </c>
      <c r="H2515" s="473" t="s">
        <v>1142</v>
      </c>
      <c r="I2515" s="307">
        <v>6</v>
      </c>
      <c r="J2515" s="307">
        <v>9950</v>
      </c>
      <c r="K2515" s="532">
        <f t="shared" si="225"/>
        <v>59700</v>
      </c>
      <c r="L2515" s="534" t="s">
        <v>292</v>
      </c>
      <c r="M2515" s="534" t="s">
        <v>8</v>
      </c>
      <c r="N2515" s="525" t="str">
        <f>IF(AND('331-CT'!$E$7=TH!H2515,OR(L2515="331",M2515="331")),"331",IF(AND(OR(L2515="131",M2515="131"),H2515='131-CT'!$E$7),"131",""))</f>
        <v/>
      </c>
      <c r="O2515" s="525" t="str">
        <f>IF(AND($B2515&gt;='111'!$N$11,$B2515&lt;='111'!$O$11,OR($L2515=$O$7,$M2515=$O$7)),"x","")</f>
        <v/>
      </c>
      <c r="P2515" s="525" t="str">
        <f>IF(AND($L2515=$O$7,$B2515&lt;'111'!$N$11),"x","")</f>
        <v/>
      </c>
      <c r="Q2515" s="525" t="str">
        <f>IF(AND($M2515=$O$7,$B2515&lt;'111'!$N$11),"x","")</f>
        <v/>
      </c>
      <c r="R2515" s="525" t="str">
        <f>IF(ISERROR(FIND('112'!$M$9,G2515,1)),"",IF((AND(FIND('112'!$M$9,G2515,1)&gt;=1,$B2515&gt;='112'!$N$8,$B2515&lt;='112'!$O$8,OR($L2515='112'!$I$6,$M2515='112'!$I$6))),"x",""))</f>
        <v/>
      </c>
      <c r="S2515" s="525" t="str">
        <f>IF(ISERROR(FIND('112'!$M$9,G2515,1)),"",IF((AND(LEFT(G2515,2)=LEFT('112'!$M$9,2),B2515&lt;'112'!$N$8,$L2515='112'!$I$6)),"x",""))</f>
        <v/>
      </c>
      <c r="T2515" s="525" t="str">
        <f>IF(ISERROR(FIND('112'!$M$9,G2515,1)),"",IF((AND(RIGHT(G2515,2)=RIGHT('112'!$M$9,2),B2515&lt;'112'!$N$8,$M2515='112'!$I$6)),"x",""))</f>
        <v/>
      </c>
      <c r="U2515" s="525" t="str">
        <f>IF(AND(B2515&gt;='IN-NX'!$P$3,B2515&lt;='IN-NX'!$Q$3,'IN-NX'!$D$7=D2515,OR(LEFT(L2515,2)="15",AND(LEFT(M2515,2)&lt;&gt;"15",LEFT(M2515,2)&lt;&gt;"33"))),"x","")</f>
        <v/>
      </c>
      <c r="V2515" s="525" t="str">
        <f>IF(AND(OR(LEFT(TH!L2515,2)="15",LEFT(TH!M2515,2)="15"),'152-CT'!$J$8=TH!F2515),"x","")</f>
        <v/>
      </c>
      <c r="W2515" s="525" t="str">
        <f>IF(AND(OR(LEFT(TH!L2515,2)="15",LEFT(TH!M2515,2)="15"),TK!$E$7=TH!F2515),"x","")</f>
        <v/>
      </c>
      <c r="X2515" s="525" t="str">
        <f>IF(AND('341-CT'!$E$9=H2515,OR(LEFT(L2515,3)=$X$7,LEFT(M2515,3)=$X$7)),"x","")</f>
        <v/>
      </c>
      <c r="Y2515" s="525" t="str">
        <f>IF(OR(TH!L2515=TH!$Y$7,M2515=TH!$Y$7),"x","")</f>
        <v/>
      </c>
      <c r="Z2515" s="525" t="str">
        <f>IF(AND(B2515&lt;=NKC!$N$8,B2515&gt;=NKC!$M$8),"x","")</f>
        <v/>
      </c>
      <c r="AA2515" s="535">
        <v>2</v>
      </c>
      <c r="AB2515" s="536"/>
    </row>
    <row r="2516" spans="1:28" s="503" customFormat="1" ht="15.75" customHeight="1">
      <c r="A2516" s="517" t="str">
        <f>IF(B2516&lt;&gt;"",IF(AND(B2516&gt;=_TM1,B2516&lt;=_TM2,OR(TH!L2516="1111",TH!M2516="1111")),TH!D2516,""),"")</f>
        <v/>
      </c>
      <c r="B2516" s="531">
        <f t="shared" si="223"/>
        <v>5</v>
      </c>
      <c r="C2516" s="315">
        <f t="shared" si="224"/>
        <v>42878</v>
      </c>
      <c r="D2516" s="315" t="s">
        <v>1358</v>
      </c>
      <c r="E2516" s="315">
        <v>42878</v>
      </c>
      <c r="F2516" s="249" t="s">
        <v>1177</v>
      </c>
      <c r="G2516" s="314" t="s">
        <v>1152</v>
      </c>
      <c r="H2516" s="473" t="s">
        <v>1142</v>
      </c>
      <c r="I2516" s="307">
        <v>18</v>
      </c>
      <c r="J2516" s="307">
        <v>73000</v>
      </c>
      <c r="K2516" s="532">
        <f t="shared" si="225"/>
        <v>1314000</v>
      </c>
      <c r="L2516" s="534" t="s">
        <v>292</v>
      </c>
      <c r="M2516" s="534" t="s">
        <v>8</v>
      </c>
      <c r="N2516" s="525" t="str">
        <f>IF(AND('331-CT'!$E$7=TH!H2516,OR(L2516="331",M2516="331")),"331",IF(AND(OR(L2516="131",M2516="131"),H2516='131-CT'!$E$7),"131",""))</f>
        <v/>
      </c>
      <c r="O2516" s="525" t="str">
        <f>IF(AND($B2516&gt;='111'!$N$11,$B2516&lt;='111'!$O$11,OR($L2516=$O$7,$M2516=$O$7)),"x","")</f>
        <v/>
      </c>
      <c r="P2516" s="525" t="str">
        <f>IF(AND($L2516=$O$7,$B2516&lt;'111'!$N$11),"x","")</f>
        <v/>
      </c>
      <c r="Q2516" s="525" t="str">
        <f>IF(AND($M2516=$O$7,$B2516&lt;'111'!$N$11),"x","")</f>
        <v/>
      </c>
      <c r="R2516" s="525" t="str">
        <f>IF(ISERROR(FIND('112'!$M$9,G2516,1)),"",IF((AND(FIND('112'!$M$9,G2516,1)&gt;=1,$B2516&gt;='112'!$N$8,$B2516&lt;='112'!$O$8,OR($L2516='112'!$I$6,$M2516='112'!$I$6))),"x",""))</f>
        <v/>
      </c>
      <c r="S2516" s="525" t="str">
        <f>IF(ISERROR(FIND('112'!$M$9,G2516,1)),"",IF((AND(LEFT(G2516,2)=LEFT('112'!$M$9,2),B2516&lt;'112'!$N$8,$L2516='112'!$I$6)),"x",""))</f>
        <v/>
      </c>
      <c r="T2516" s="525" t="str">
        <f>IF(ISERROR(FIND('112'!$M$9,G2516,1)),"",IF((AND(RIGHT(G2516,2)=RIGHT('112'!$M$9,2),B2516&lt;'112'!$N$8,$M2516='112'!$I$6)),"x",""))</f>
        <v/>
      </c>
      <c r="U2516" s="525" t="str">
        <f>IF(AND(B2516&gt;='IN-NX'!$P$3,B2516&lt;='IN-NX'!$Q$3,'IN-NX'!$D$7=D2516,OR(LEFT(L2516,2)="15",AND(LEFT(M2516,2)&lt;&gt;"15",LEFT(M2516,2)&lt;&gt;"33"))),"x","")</f>
        <v/>
      </c>
      <c r="V2516" s="525" t="str">
        <f>IF(AND(OR(LEFT(TH!L2516,2)="15",LEFT(TH!M2516,2)="15"),'152-CT'!$J$8=TH!F2516),"x","")</f>
        <v/>
      </c>
      <c r="W2516" s="525" t="str">
        <f>IF(AND(OR(LEFT(TH!L2516,2)="15",LEFT(TH!M2516,2)="15"),TK!$E$7=TH!F2516),"x","")</f>
        <v/>
      </c>
      <c r="X2516" s="525" t="str">
        <f>IF(AND('341-CT'!$E$9=H2516,OR(LEFT(L2516,3)=$X$7,LEFT(M2516,3)=$X$7)),"x","")</f>
        <v/>
      </c>
      <c r="Y2516" s="525" t="str">
        <f>IF(OR(TH!L2516=TH!$Y$7,M2516=TH!$Y$7),"x","")</f>
        <v/>
      </c>
      <c r="Z2516" s="525" t="str">
        <f>IF(AND(B2516&lt;=NKC!$N$8,B2516&gt;=NKC!$M$8),"x","")</f>
        <v/>
      </c>
      <c r="AA2516" s="535">
        <v>2</v>
      </c>
      <c r="AB2516" s="536"/>
    </row>
    <row r="2517" spans="1:28" s="503" customFormat="1" ht="15.75" customHeight="1">
      <c r="A2517" s="517" t="str">
        <f>IF(B2517&lt;&gt;"",IF(AND(B2517&gt;=_TM1,B2517&lt;=_TM2,OR(TH!L2517="1111",TH!M2517="1111")),TH!D2517,""),"")</f>
        <v/>
      </c>
      <c r="B2517" s="531">
        <f t="shared" si="223"/>
        <v>5</v>
      </c>
      <c r="C2517" s="315">
        <f t="shared" si="224"/>
        <v>42878</v>
      </c>
      <c r="D2517" s="315" t="s">
        <v>1358</v>
      </c>
      <c r="E2517" s="315">
        <v>42878</v>
      </c>
      <c r="F2517" s="249" t="s">
        <v>712</v>
      </c>
      <c r="G2517" s="314" t="s">
        <v>1152</v>
      </c>
      <c r="H2517" s="473" t="s">
        <v>1142</v>
      </c>
      <c r="I2517" s="307">
        <v>36</v>
      </c>
      <c r="J2517" s="307">
        <v>49520</v>
      </c>
      <c r="K2517" s="532">
        <f t="shared" si="225"/>
        <v>1782720</v>
      </c>
      <c r="L2517" s="534" t="s">
        <v>292</v>
      </c>
      <c r="M2517" s="534" t="s">
        <v>8</v>
      </c>
      <c r="N2517" s="525" t="str">
        <f>IF(AND('331-CT'!$E$7=TH!H2517,OR(L2517="331",M2517="331")),"331",IF(AND(OR(L2517="131",M2517="131"),H2517='131-CT'!$E$7),"131",""))</f>
        <v/>
      </c>
      <c r="O2517" s="525" t="str">
        <f>IF(AND($B2517&gt;='111'!$N$11,$B2517&lt;='111'!$O$11,OR($L2517=$O$7,$M2517=$O$7)),"x","")</f>
        <v/>
      </c>
      <c r="P2517" s="525" t="str">
        <f>IF(AND($L2517=$O$7,$B2517&lt;'111'!$N$11),"x","")</f>
        <v/>
      </c>
      <c r="Q2517" s="525" t="str">
        <f>IF(AND($M2517=$O$7,$B2517&lt;'111'!$N$11),"x","")</f>
        <v/>
      </c>
      <c r="R2517" s="525" t="str">
        <f>IF(ISERROR(FIND('112'!$M$9,G2517,1)),"",IF((AND(FIND('112'!$M$9,G2517,1)&gt;=1,$B2517&gt;='112'!$N$8,$B2517&lt;='112'!$O$8,OR($L2517='112'!$I$6,$M2517='112'!$I$6))),"x",""))</f>
        <v/>
      </c>
      <c r="S2517" s="525" t="str">
        <f>IF(ISERROR(FIND('112'!$M$9,G2517,1)),"",IF((AND(LEFT(G2517,2)=LEFT('112'!$M$9,2),B2517&lt;'112'!$N$8,$L2517='112'!$I$6)),"x",""))</f>
        <v/>
      </c>
      <c r="T2517" s="525" t="str">
        <f>IF(ISERROR(FIND('112'!$M$9,G2517,1)),"",IF((AND(RIGHT(G2517,2)=RIGHT('112'!$M$9,2),B2517&lt;'112'!$N$8,$M2517='112'!$I$6)),"x",""))</f>
        <v/>
      </c>
      <c r="U2517" s="525" t="str">
        <f>IF(AND(B2517&gt;='IN-NX'!$P$3,B2517&lt;='IN-NX'!$Q$3,'IN-NX'!$D$7=D2517,OR(LEFT(L2517,2)="15",AND(LEFT(M2517,2)&lt;&gt;"15",LEFT(M2517,2)&lt;&gt;"33"))),"x","")</f>
        <v/>
      </c>
      <c r="V2517" s="525" t="str">
        <f>IF(AND(OR(LEFT(TH!L2517,2)="15",LEFT(TH!M2517,2)="15"),'152-CT'!$J$8=TH!F2517),"x","")</f>
        <v/>
      </c>
      <c r="W2517" s="525" t="str">
        <f>IF(AND(OR(LEFT(TH!L2517,2)="15",LEFT(TH!M2517,2)="15"),TK!$E$7=TH!F2517),"x","")</f>
        <v/>
      </c>
      <c r="X2517" s="525" t="str">
        <f>IF(AND('341-CT'!$E$9=H2517,OR(LEFT(L2517,3)=$X$7,LEFT(M2517,3)=$X$7)),"x","")</f>
        <v/>
      </c>
      <c r="Y2517" s="525" t="str">
        <f>IF(OR(TH!L2517=TH!$Y$7,M2517=TH!$Y$7),"x","")</f>
        <v/>
      </c>
      <c r="Z2517" s="525" t="str">
        <f>IF(AND(B2517&lt;=NKC!$N$8,B2517&gt;=NKC!$M$8),"x","")</f>
        <v/>
      </c>
      <c r="AA2517" s="535">
        <v>2</v>
      </c>
      <c r="AB2517" s="536"/>
    </row>
    <row r="2518" spans="1:28" s="503" customFormat="1" ht="15.75" customHeight="1">
      <c r="A2518" s="517" t="str">
        <f>IF(B2518&lt;&gt;"",IF(AND(B2518&gt;=_TM1,B2518&lt;=_TM2,OR(TH!L2518="1111",TH!M2518="1111")),TH!D2518,""),"")</f>
        <v/>
      </c>
      <c r="B2518" s="531">
        <f t="shared" si="223"/>
        <v>5</v>
      </c>
      <c r="C2518" s="315">
        <f t="shared" si="224"/>
        <v>42878</v>
      </c>
      <c r="D2518" s="315" t="s">
        <v>1358</v>
      </c>
      <c r="E2518" s="315">
        <v>42878</v>
      </c>
      <c r="F2518" s="249" t="s">
        <v>761</v>
      </c>
      <c r="G2518" s="314" t="s">
        <v>1152</v>
      </c>
      <c r="H2518" s="473" t="s">
        <v>1142</v>
      </c>
      <c r="I2518" s="307">
        <v>20</v>
      </c>
      <c r="J2518" s="307">
        <v>38500</v>
      </c>
      <c r="K2518" s="532">
        <f t="shared" si="225"/>
        <v>770000</v>
      </c>
      <c r="L2518" s="534" t="s">
        <v>292</v>
      </c>
      <c r="M2518" s="534" t="s">
        <v>8</v>
      </c>
      <c r="N2518" s="525" t="str">
        <f>IF(AND('331-CT'!$E$7=TH!H2518,OR(L2518="331",M2518="331")),"331",IF(AND(OR(L2518="131",M2518="131"),H2518='131-CT'!$E$7),"131",""))</f>
        <v/>
      </c>
      <c r="O2518" s="525" t="str">
        <f>IF(AND($B2518&gt;='111'!$N$11,$B2518&lt;='111'!$O$11,OR($L2518=$O$7,$M2518=$O$7)),"x","")</f>
        <v/>
      </c>
      <c r="P2518" s="525" t="str">
        <f>IF(AND($L2518=$O$7,$B2518&lt;'111'!$N$11),"x","")</f>
        <v/>
      </c>
      <c r="Q2518" s="525" t="str">
        <f>IF(AND($M2518=$O$7,$B2518&lt;'111'!$N$11),"x","")</f>
        <v/>
      </c>
      <c r="R2518" s="525" t="str">
        <f>IF(ISERROR(FIND('112'!$M$9,G2518,1)),"",IF((AND(FIND('112'!$M$9,G2518,1)&gt;=1,$B2518&gt;='112'!$N$8,$B2518&lt;='112'!$O$8,OR($L2518='112'!$I$6,$M2518='112'!$I$6))),"x",""))</f>
        <v/>
      </c>
      <c r="S2518" s="525" t="str">
        <f>IF(ISERROR(FIND('112'!$M$9,G2518,1)),"",IF((AND(LEFT(G2518,2)=LEFT('112'!$M$9,2),B2518&lt;'112'!$N$8,$L2518='112'!$I$6)),"x",""))</f>
        <v/>
      </c>
      <c r="T2518" s="525" t="str">
        <f>IF(ISERROR(FIND('112'!$M$9,G2518,1)),"",IF((AND(RIGHT(G2518,2)=RIGHT('112'!$M$9,2),B2518&lt;'112'!$N$8,$M2518='112'!$I$6)),"x",""))</f>
        <v/>
      </c>
      <c r="U2518" s="525" t="str">
        <f>IF(AND(B2518&gt;='IN-NX'!$P$3,B2518&lt;='IN-NX'!$Q$3,'IN-NX'!$D$7=D2518,OR(LEFT(L2518,2)="15",AND(LEFT(M2518,2)&lt;&gt;"15",LEFT(M2518,2)&lt;&gt;"33"))),"x","")</f>
        <v/>
      </c>
      <c r="V2518" s="525" t="str">
        <f>IF(AND(OR(LEFT(TH!L2518,2)="15",LEFT(TH!M2518,2)="15"),'152-CT'!$J$8=TH!F2518),"x","")</f>
        <v/>
      </c>
      <c r="W2518" s="525" t="str">
        <f>IF(AND(OR(LEFT(TH!L2518,2)="15",LEFT(TH!M2518,2)="15"),TK!$E$7=TH!F2518),"x","")</f>
        <v/>
      </c>
      <c r="X2518" s="525" t="str">
        <f>IF(AND('341-CT'!$E$9=H2518,OR(LEFT(L2518,3)=$X$7,LEFT(M2518,3)=$X$7)),"x","")</f>
        <v/>
      </c>
      <c r="Y2518" s="525" t="str">
        <f>IF(OR(TH!L2518=TH!$Y$7,M2518=TH!$Y$7),"x","")</f>
        <v/>
      </c>
      <c r="Z2518" s="525" t="str">
        <f>IF(AND(B2518&lt;=NKC!$N$8,B2518&gt;=NKC!$M$8),"x","")</f>
        <v/>
      </c>
      <c r="AA2518" s="535">
        <v>2</v>
      </c>
      <c r="AB2518" s="536"/>
    </row>
    <row r="2519" spans="1:28" s="503" customFormat="1" ht="15.75" customHeight="1">
      <c r="A2519" s="517" t="str">
        <f>IF(B2519&lt;&gt;"",IF(AND(B2519&gt;=_TM1,B2519&lt;=_TM2,OR(TH!L2519="1111",TH!M2519="1111")),TH!D2519,""),"")</f>
        <v/>
      </c>
      <c r="B2519" s="531">
        <f t="shared" si="223"/>
        <v>5</v>
      </c>
      <c r="C2519" s="315">
        <f t="shared" si="224"/>
        <v>42878</v>
      </c>
      <c r="D2519" s="315" t="s">
        <v>1358</v>
      </c>
      <c r="E2519" s="315">
        <v>42878</v>
      </c>
      <c r="F2519" s="249" t="s">
        <v>1170</v>
      </c>
      <c r="G2519" s="314" t="s">
        <v>1152</v>
      </c>
      <c r="H2519" s="473" t="s">
        <v>1142</v>
      </c>
      <c r="I2519" s="307">
        <v>12</v>
      </c>
      <c r="J2519" s="307">
        <v>9850</v>
      </c>
      <c r="K2519" s="532">
        <f t="shared" si="225"/>
        <v>118200</v>
      </c>
      <c r="L2519" s="534" t="s">
        <v>292</v>
      </c>
      <c r="M2519" s="534" t="s">
        <v>8</v>
      </c>
      <c r="N2519" s="525" t="str">
        <f>IF(AND('331-CT'!$E$7=TH!H2519,OR(L2519="331",M2519="331")),"331",IF(AND(OR(L2519="131",M2519="131"),H2519='131-CT'!$E$7),"131",""))</f>
        <v/>
      </c>
      <c r="O2519" s="525" t="str">
        <f>IF(AND($B2519&gt;='111'!$N$11,$B2519&lt;='111'!$O$11,OR($L2519=$O$7,$M2519=$O$7)),"x","")</f>
        <v/>
      </c>
      <c r="P2519" s="525" t="str">
        <f>IF(AND($L2519=$O$7,$B2519&lt;'111'!$N$11),"x","")</f>
        <v/>
      </c>
      <c r="Q2519" s="525" t="str">
        <f>IF(AND($M2519=$O$7,$B2519&lt;'111'!$N$11),"x","")</f>
        <v/>
      </c>
      <c r="R2519" s="525" t="str">
        <f>IF(ISERROR(FIND('112'!$M$9,G2519,1)),"",IF((AND(FIND('112'!$M$9,G2519,1)&gt;=1,$B2519&gt;='112'!$N$8,$B2519&lt;='112'!$O$8,OR($L2519='112'!$I$6,$M2519='112'!$I$6))),"x",""))</f>
        <v/>
      </c>
      <c r="S2519" s="525" t="str">
        <f>IF(ISERROR(FIND('112'!$M$9,G2519,1)),"",IF((AND(LEFT(G2519,2)=LEFT('112'!$M$9,2),B2519&lt;'112'!$N$8,$L2519='112'!$I$6)),"x",""))</f>
        <v/>
      </c>
      <c r="T2519" s="525" t="str">
        <f>IF(ISERROR(FIND('112'!$M$9,G2519,1)),"",IF((AND(RIGHT(G2519,2)=RIGHT('112'!$M$9,2),B2519&lt;'112'!$N$8,$M2519='112'!$I$6)),"x",""))</f>
        <v/>
      </c>
      <c r="U2519" s="525" t="str">
        <f>IF(AND(B2519&gt;='IN-NX'!$P$3,B2519&lt;='IN-NX'!$Q$3,'IN-NX'!$D$7=D2519,OR(LEFT(L2519,2)="15",AND(LEFT(M2519,2)&lt;&gt;"15",LEFT(M2519,2)&lt;&gt;"33"))),"x","")</f>
        <v/>
      </c>
      <c r="V2519" s="525" t="str">
        <f>IF(AND(OR(LEFT(TH!L2519,2)="15",LEFT(TH!M2519,2)="15"),'152-CT'!$J$8=TH!F2519),"x","")</f>
        <v/>
      </c>
      <c r="W2519" s="525" t="str">
        <f>IF(AND(OR(LEFT(TH!L2519,2)="15",LEFT(TH!M2519,2)="15"),TK!$E$7=TH!F2519),"x","")</f>
        <v/>
      </c>
      <c r="X2519" s="525" t="str">
        <f>IF(AND('341-CT'!$E$9=H2519,OR(LEFT(L2519,3)=$X$7,LEFT(M2519,3)=$X$7)),"x","")</f>
        <v/>
      </c>
      <c r="Y2519" s="525" t="str">
        <f>IF(OR(TH!L2519=TH!$Y$7,M2519=TH!$Y$7),"x","")</f>
        <v/>
      </c>
      <c r="Z2519" s="525" t="str">
        <f>IF(AND(B2519&lt;=NKC!$N$8,B2519&gt;=NKC!$M$8),"x","")</f>
        <v/>
      </c>
      <c r="AA2519" s="535">
        <v>2</v>
      </c>
      <c r="AB2519" s="536"/>
    </row>
    <row r="2520" spans="1:28" s="503" customFormat="1" ht="15.75" customHeight="1">
      <c r="A2520" s="517" t="str">
        <f>IF(B2520&lt;&gt;"",IF(AND(B2520&gt;=_TM1,B2520&lt;=_TM2,OR(TH!L2520="1111",TH!M2520="1111")),TH!D2520,""),"")</f>
        <v/>
      </c>
      <c r="B2520" s="531">
        <f t="shared" si="223"/>
        <v>5</v>
      </c>
      <c r="C2520" s="315">
        <f t="shared" si="224"/>
        <v>42878</v>
      </c>
      <c r="D2520" s="315" t="s">
        <v>1358</v>
      </c>
      <c r="E2520" s="315">
        <v>42878</v>
      </c>
      <c r="F2520" s="249" t="s">
        <v>1178</v>
      </c>
      <c r="G2520" s="314" t="s">
        <v>1152</v>
      </c>
      <c r="H2520" s="473" t="s">
        <v>1142</v>
      </c>
      <c r="I2520" s="307">
        <v>6</v>
      </c>
      <c r="J2520" s="307">
        <v>10945</v>
      </c>
      <c r="K2520" s="532">
        <f t="shared" si="225"/>
        <v>65670</v>
      </c>
      <c r="L2520" s="534" t="s">
        <v>292</v>
      </c>
      <c r="M2520" s="534" t="s">
        <v>8</v>
      </c>
      <c r="N2520" s="525" t="str">
        <f>IF(AND('331-CT'!$E$7=TH!H2520,OR(L2520="331",M2520="331")),"331",IF(AND(OR(L2520="131",M2520="131"),H2520='131-CT'!$E$7),"131",""))</f>
        <v/>
      </c>
      <c r="O2520" s="525" t="str">
        <f>IF(AND($B2520&gt;='111'!$N$11,$B2520&lt;='111'!$O$11,OR($L2520=$O$7,$M2520=$O$7)),"x","")</f>
        <v/>
      </c>
      <c r="P2520" s="525" t="str">
        <f>IF(AND($L2520=$O$7,$B2520&lt;'111'!$N$11),"x","")</f>
        <v/>
      </c>
      <c r="Q2520" s="525" t="str">
        <f>IF(AND($M2520=$O$7,$B2520&lt;'111'!$N$11),"x","")</f>
        <v/>
      </c>
      <c r="R2520" s="525" t="str">
        <f>IF(ISERROR(FIND('112'!$M$9,G2520,1)),"",IF((AND(FIND('112'!$M$9,G2520,1)&gt;=1,$B2520&gt;='112'!$N$8,$B2520&lt;='112'!$O$8,OR($L2520='112'!$I$6,$M2520='112'!$I$6))),"x",""))</f>
        <v/>
      </c>
      <c r="S2520" s="525" t="str">
        <f>IF(ISERROR(FIND('112'!$M$9,G2520,1)),"",IF((AND(LEFT(G2520,2)=LEFT('112'!$M$9,2),B2520&lt;'112'!$N$8,$L2520='112'!$I$6)),"x",""))</f>
        <v/>
      </c>
      <c r="T2520" s="525" t="str">
        <f>IF(ISERROR(FIND('112'!$M$9,G2520,1)),"",IF((AND(RIGHT(G2520,2)=RIGHT('112'!$M$9,2),B2520&lt;'112'!$N$8,$M2520='112'!$I$6)),"x",""))</f>
        <v/>
      </c>
      <c r="U2520" s="525" t="str">
        <f>IF(AND(B2520&gt;='IN-NX'!$P$3,B2520&lt;='IN-NX'!$Q$3,'IN-NX'!$D$7=D2520,OR(LEFT(L2520,2)="15",AND(LEFT(M2520,2)&lt;&gt;"15",LEFT(M2520,2)&lt;&gt;"33"))),"x","")</f>
        <v/>
      </c>
      <c r="V2520" s="525" t="str">
        <f>IF(AND(OR(LEFT(TH!L2520,2)="15",LEFT(TH!M2520,2)="15"),'152-CT'!$J$8=TH!F2520),"x","")</f>
        <v/>
      </c>
      <c r="W2520" s="525" t="str">
        <f>IF(AND(OR(LEFT(TH!L2520,2)="15",LEFT(TH!M2520,2)="15"),TK!$E$7=TH!F2520),"x","")</f>
        <v/>
      </c>
      <c r="X2520" s="525" t="str">
        <f>IF(AND('341-CT'!$E$9=H2520,OR(LEFT(L2520,3)=$X$7,LEFT(M2520,3)=$X$7)),"x","")</f>
        <v/>
      </c>
      <c r="Y2520" s="525" t="str">
        <f>IF(OR(TH!L2520=TH!$Y$7,M2520=TH!$Y$7),"x","")</f>
        <v/>
      </c>
      <c r="Z2520" s="525" t="str">
        <f>IF(AND(B2520&lt;=NKC!$N$8,B2520&gt;=NKC!$M$8),"x","")</f>
        <v/>
      </c>
      <c r="AA2520" s="535">
        <v>2</v>
      </c>
      <c r="AB2520" s="536"/>
    </row>
    <row r="2521" spans="1:28" s="503" customFormat="1" ht="15.75" customHeight="1">
      <c r="A2521" s="517" t="str">
        <f>IF(B2521&lt;&gt;"",IF(AND(B2521&gt;=_TM1,B2521&lt;=_TM2,OR(TH!L2521="1111",TH!M2521="1111")),TH!D2521,""),"")</f>
        <v/>
      </c>
      <c r="B2521" s="531">
        <f t="shared" si="223"/>
        <v>5</v>
      </c>
      <c r="C2521" s="315">
        <f t="shared" si="224"/>
        <v>42878</v>
      </c>
      <c r="D2521" s="315" t="s">
        <v>1358</v>
      </c>
      <c r="E2521" s="315">
        <v>42878</v>
      </c>
      <c r="F2521" s="249" t="s">
        <v>1179</v>
      </c>
      <c r="G2521" s="314" t="s">
        <v>1152</v>
      </c>
      <c r="H2521" s="473" t="s">
        <v>1142</v>
      </c>
      <c r="I2521" s="307">
        <v>12</v>
      </c>
      <c r="J2521" s="307">
        <v>15558</v>
      </c>
      <c r="K2521" s="532">
        <f t="shared" si="225"/>
        <v>186696</v>
      </c>
      <c r="L2521" s="534" t="s">
        <v>292</v>
      </c>
      <c r="M2521" s="534" t="s">
        <v>8</v>
      </c>
      <c r="N2521" s="525" t="str">
        <f>IF(AND('331-CT'!$E$7=TH!H2521,OR(L2521="331",M2521="331")),"331",IF(AND(OR(L2521="131",M2521="131"),H2521='131-CT'!$E$7),"131",""))</f>
        <v/>
      </c>
      <c r="O2521" s="525" t="str">
        <f>IF(AND($B2521&gt;='111'!$N$11,$B2521&lt;='111'!$O$11,OR($L2521=$O$7,$M2521=$O$7)),"x","")</f>
        <v/>
      </c>
      <c r="P2521" s="525" t="str">
        <f>IF(AND($L2521=$O$7,$B2521&lt;'111'!$N$11),"x","")</f>
        <v/>
      </c>
      <c r="Q2521" s="525" t="str">
        <f>IF(AND($M2521=$O$7,$B2521&lt;'111'!$N$11),"x","")</f>
        <v/>
      </c>
      <c r="R2521" s="525" t="str">
        <f>IF(ISERROR(FIND('112'!$M$9,G2521,1)),"",IF((AND(FIND('112'!$M$9,G2521,1)&gt;=1,$B2521&gt;='112'!$N$8,$B2521&lt;='112'!$O$8,OR($L2521='112'!$I$6,$M2521='112'!$I$6))),"x",""))</f>
        <v/>
      </c>
      <c r="S2521" s="525" t="str">
        <f>IF(ISERROR(FIND('112'!$M$9,G2521,1)),"",IF((AND(LEFT(G2521,2)=LEFT('112'!$M$9,2),B2521&lt;'112'!$N$8,$L2521='112'!$I$6)),"x",""))</f>
        <v/>
      </c>
      <c r="T2521" s="525" t="str">
        <f>IF(ISERROR(FIND('112'!$M$9,G2521,1)),"",IF((AND(RIGHT(G2521,2)=RIGHT('112'!$M$9,2),B2521&lt;'112'!$N$8,$M2521='112'!$I$6)),"x",""))</f>
        <v/>
      </c>
      <c r="U2521" s="525" t="str">
        <f>IF(AND(B2521&gt;='IN-NX'!$P$3,B2521&lt;='IN-NX'!$Q$3,'IN-NX'!$D$7=D2521,OR(LEFT(L2521,2)="15",AND(LEFT(M2521,2)&lt;&gt;"15",LEFT(M2521,2)&lt;&gt;"33"))),"x","")</f>
        <v/>
      </c>
      <c r="V2521" s="525" t="str">
        <f>IF(AND(OR(LEFT(TH!L2521,2)="15",LEFT(TH!M2521,2)="15"),'152-CT'!$J$8=TH!F2521),"x","")</f>
        <v/>
      </c>
      <c r="W2521" s="525" t="str">
        <f>IF(AND(OR(LEFT(TH!L2521,2)="15",LEFT(TH!M2521,2)="15"),TK!$E$7=TH!F2521),"x","")</f>
        <v/>
      </c>
      <c r="X2521" s="525" t="str">
        <f>IF(AND('341-CT'!$E$9=H2521,OR(LEFT(L2521,3)=$X$7,LEFT(M2521,3)=$X$7)),"x","")</f>
        <v/>
      </c>
      <c r="Y2521" s="525" t="str">
        <f>IF(OR(TH!L2521=TH!$Y$7,M2521=TH!$Y$7),"x","")</f>
        <v/>
      </c>
      <c r="Z2521" s="525" t="str">
        <f>IF(AND(B2521&lt;=NKC!$N$8,B2521&gt;=NKC!$M$8),"x","")</f>
        <v/>
      </c>
      <c r="AA2521" s="535">
        <v>2</v>
      </c>
      <c r="AB2521" s="536"/>
    </row>
    <row r="2522" spans="1:28" s="503" customFormat="1" ht="15.75" customHeight="1">
      <c r="A2522" s="517" t="str">
        <f>IF(B2522&lt;&gt;"",IF(AND(B2522&gt;=_TM1,B2522&lt;=_TM2,OR(TH!L2522="1111",TH!M2522="1111")),TH!D2522,""),"")</f>
        <v/>
      </c>
      <c r="B2522" s="531">
        <f t="shared" si="223"/>
        <v>5</v>
      </c>
      <c r="C2522" s="315">
        <f t="shared" si="224"/>
        <v>42878</v>
      </c>
      <c r="D2522" s="315" t="s">
        <v>1358</v>
      </c>
      <c r="E2522" s="315">
        <v>42878</v>
      </c>
      <c r="F2522" s="249" t="s">
        <v>713</v>
      </c>
      <c r="G2522" s="314" t="s">
        <v>1152</v>
      </c>
      <c r="H2522" s="473" t="s">
        <v>1142</v>
      </c>
      <c r="I2522" s="307">
        <v>30</v>
      </c>
      <c r="J2522" s="307">
        <v>20000</v>
      </c>
      <c r="K2522" s="532">
        <f t="shared" si="225"/>
        <v>600000</v>
      </c>
      <c r="L2522" s="534" t="s">
        <v>292</v>
      </c>
      <c r="M2522" s="534" t="s">
        <v>8</v>
      </c>
      <c r="N2522" s="525" t="str">
        <f>IF(AND('331-CT'!$E$7=TH!H2522,OR(L2522="331",M2522="331")),"331",IF(AND(OR(L2522="131",M2522="131"),H2522='131-CT'!$E$7),"131",""))</f>
        <v/>
      </c>
      <c r="O2522" s="525" t="str">
        <f>IF(AND($B2522&gt;='111'!$N$11,$B2522&lt;='111'!$O$11,OR($L2522=$O$7,$M2522=$O$7)),"x","")</f>
        <v/>
      </c>
      <c r="P2522" s="525" t="str">
        <f>IF(AND($L2522=$O$7,$B2522&lt;'111'!$N$11),"x","")</f>
        <v/>
      </c>
      <c r="Q2522" s="525" t="str">
        <f>IF(AND($M2522=$O$7,$B2522&lt;'111'!$N$11),"x","")</f>
        <v/>
      </c>
      <c r="R2522" s="525" t="str">
        <f>IF(ISERROR(FIND('112'!$M$9,G2522,1)),"",IF((AND(FIND('112'!$M$9,G2522,1)&gt;=1,$B2522&gt;='112'!$N$8,$B2522&lt;='112'!$O$8,OR($L2522='112'!$I$6,$M2522='112'!$I$6))),"x",""))</f>
        <v/>
      </c>
      <c r="S2522" s="525" t="str">
        <f>IF(ISERROR(FIND('112'!$M$9,G2522,1)),"",IF((AND(LEFT(G2522,2)=LEFT('112'!$M$9,2),B2522&lt;'112'!$N$8,$L2522='112'!$I$6)),"x",""))</f>
        <v/>
      </c>
      <c r="T2522" s="525" t="str">
        <f>IF(ISERROR(FIND('112'!$M$9,G2522,1)),"",IF((AND(RIGHT(G2522,2)=RIGHT('112'!$M$9,2),B2522&lt;'112'!$N$8,$M2522='112'!$I$6)),"x",""))</f>
        <v/>
      </c>
      <c r="U2522" s="525" t="str">
        <f>IF(AND(B2522&gt;='IN-NX'!$P$3,B2522&lt;='IN-NX'!$Q$3,'IN-NX'!$D$7=D2522,OR(LEFT(L2522,2)="15",AND(LEFT(M2522,2)&lt;&gt;"15",LEFT(M2522,2)&lt;&gt;"33"))),"x","")</f>
        <v/>
      </c>
      <c r="V2522" s="525" t="str">
        <f>IF(AND(OR(LEFT(TH!L2522,2)="15",LEFT(TH!M2522,2)="15"),'152-CT'!$J$8=TH!F2522),"x","")</f>
        <v/>
      </c>
      <c r="W2522" s="525" t="str">
        <f>IF(AND(OR(LEFT(TH!L2522,2)="15",LEFT(TH!M2522,2)="15"),TK!$E$7=TH!F2522),"x","")</f>
        <v/>
      </c>
      <c r="X2522" s="525" t="str">
        <f>IF(AND('341-CT'!$E$9=H2522,OR(LEFT(L2522,3)=$X$7,LEFT(M2522,3)=$X$7)),"x","")</f>
        <v/>
      </c>
      <c r="Y2522" s="525" t="str">
        <f>IF(OR(TH!L2522=TH!$Y$7,M2522=TH!$Y$7),"x","")</f>
        <v/>
      </c>
      <c r="Z2522" s="525" t="str">
        <f>IF(AND(B2522&lt;=NKC!$N$8,B2522&gt;=NKC!$M$8),"x","")</f>
        <v/>
      </c>
      <c r="AA2522" s="535">
        <v>2</v>
      </c>
      <c r="AB2522" s="536"/>
    </row>
    <row r="2523" spans="1:28" s="503" customFormat="1" ht="15.75" customHeight="1">
      <c r="A2523" s="517" t="str">
        <f>IF(B2523&lt;&gt;"",IF(AND(B2523&gt;=_TM1,B2523&lt;=_TM2,OR(TH!L2523="1111",TH!M2523="1111")),TH!D2523,""),"")</f>
        <v/>
      </c>
      <c r="B2523" s="531">
        <f t="shared" si="223"/>
        <v>5</v>
      </c>
      <c r="C2523" s="315">
        <f t="shared" si="224"/>
        <v>42878</v>
      </c>
      <c r="D2523" s="315" t="s">
        <v>1358</v>
      </c>
      <c r="E2523" s="315">
        <v>42878</v>
      </c>
      <c r="F2523" s="249" t="s">
        <v>274</v>
      </c>
      <c r="G2523" s="314" t="s">
        <v>1152</v>
      </c>
      <c r="H2523" s="473" t="s">
        <v>1142</v>
      </c>
      <c r="I2523" s="307">
        <v>464</v>
      </c>
      <c r="J2523" s="307">
        <v>18350</v>
      </c>
      <c r="K2523" s="532">
        <f t="shared" si="225"/>
        <v>8514400</v>
      </c>
      <c r="L2523" s="534" t="s">
        <v>292</v>
      </c>
      <c r="M2523" s="534" t="s">
        <v>8</v>
      </c>
      <c r="N2523" s="525" t="str">
        <f>IF(AND('331-CT'!$E$7=TH!H2523,OR(L2523="331",M2523="331")),"331",IF(AND(OR(L2523="131",M2523="131"),H2523='131-CT'!$E$7),"131",""))</f>
        <v/>
      </c>
      <c r="O2523" s="525" t="str">
        <f>IF(AND($B2523&gt;='111'!$N$11,$B2523&lt;='111'!$O$11,OR($L2523=$O$7,$M2523=$O$7)),"x","")</f>
        <v/>
      </c>
      <c r="P2523" s="525" t="str">
        <f>IF(AND($L2523=$O$7,$B2523&lt;'111'!$N$11),"x","")</f>
        <v/>
      </c>
      <c r="Q2523" s="525" t="str">
        <f>IF(AND($M2523=$O$7,$B2523&lt;'111'!$N$11),"x","")</f>
        <v/>
      </c>
      <c r="R2523" s="525" t="str">
        <f>IF(ISERROR(FIND('112'!$M$9,G2523,1)),"",IF((AND(FIND('112'!$M$9,G2523,1)&gt;=1,$B2523&gt;='112'!$N$8,$B2523&lt;='112'!$O$8,OR($L2523='112'!$I$6,$M2523='112'!$I$6))),"x",""))</f>
        <v/>
      </c>
      <c r="S2523" s="525" t="str">
        <f>IF(ISERROR(FIND('112'!$M$9,G2523,1)),"",IF((AND(LEFT(G2523,2)=LEFT('112'!$M$9,2),B2523&lt;'112'!$N$8,$L2523='112'!$I$6)),"x",""))</f>
        <v/>
      </c>
      <c r="T2523" s="525" t="str">
        <f>IF(ISERROR(FIND('112'!$M$9,G2523,1)),"",IF((AND(RIGHT(G2523,2)=RIGHT('112'!$M$9,2),B2523&lt;'112'!$N$8,$M2523='112'!$I$6)),"x",""))</f>
        <v/>
      </c>
      <c r="U2523" s="525" t="str">
        <f>IF(AND(B2523&gt;='IN-NX'!$P$3,B2523&lt;='IN-NX'!$Q$3,'IN-NX'!$D$7=D2523,OR(LEFT(L2523,2)="15",AND(LEFT(M2523,2)&lt;&gt;"15",LEFT(M2523,2)&lt;&gt;"33"))),"x","")</f>
        <v/>
      </c>
      <c r="V2523" s="525" t="str">
        <f>IF(AND(OR(LEFT(TH!L2523,2)="15",LEFT(TH!M2523,2)="15"),'152-CT'!$J$8=TH!F2523),"x","")</f>
        <v/>
      </c>
      <c r="W2523" s="525" t="str">
        <f>IF(AND(OR(LEFT(TH!L2523,2)="15",LEFT(TH!M2523,2)="15"),TK!$E$7=TH!F2523),"x","")</f>
        <v>x</v>
      </c>
      <c r="X2523" s="525" t="str">
        <f>IF(AND('341-CT'!$E$9=H2523,OR(LEFT(L2523,3)=$X$7,LEFT(M2523,3)=$X$7)),"x","")</f>
        <v/>
      </c>
      <c r="Y2523" s="525" t="str">
        <f>IF(OR(TH!L2523=TH!$Y$7,M2523=TH!$Y$7),"x","")</f>
        <v/>
      </c>
      <c r="Z2523" s="525" t="str">
        <f>IF(AND(B2523&lt;=NKC!$N$8,B2523&gt;=NKC!$M$8),"x","")</f>
        <v/>
      </c>
      <c r="AA2523" s="535">
        <v>2</v>
      </c>
      <c r="AB2523" s="536"/>
    </row>
    <row r="2524" spans="1:28" s="503" customFormat="1" ht="15.75" customHeight="1">
      <c r="A2524" s="517" t="str">
        <f>IF(B2524&lt;&gt;"",IF(AND(B2524&gt;=_TM1,B2524&lt;=_TM2,OR(TH!L2524="1111",TH!M2524="1111")),TH!D2524,""),"")</f>
        <v/>
      </c>
      <c r="B2524" s="531">
        <f t="shared" si="223"/>
        <v>5</v>
      </c>
      <c r="C2524" s="315">
        <f t="shared" si="224"/>
        <v>42878</v>
      </c>
      <c r="D2524" s="315" t="s">
        <v>1358</v>
      </c>
      <c r="E2524" s="315">
        <v>42878</v>
      </c>
      <c r="F2524" s="249" t="s">
        <v>1002</v>
      </c>
      <c r="G2524" s="314" t="s">
        <v>1152</v>
      </c>
      <c r="H2524" s="473" t="s">
        <v>1142</v>
      </c>
      <c r="I2524" s="307"/>
      <c r="J2524" s="307"/>
      <c r="K2524" s="532">
        <v>1715501</v>
      </c>
      <c r="L2524" s="713" t="s">
        <v>9</v>
      </c>
      <c r="M2524" s="534" t="s">
        <v>8</v>
      </c>
      <c r="N2524" s="525" t="str">
        <f>IF(AND('331-CT'!$E$7=TH!H2524,OR(L2524="331",M2524="331")),"331",IF(AND(OR(L2524="131",M2524="131"),H2524='131-CT'!$E$7),"131",""))</f>
        <v/>
      </c>
      <c r="O2524" s="525" t="str">
        <f>IF(AND($B2524&gt;='111'!$N$11,$B2524&lt;='111'!$O$11,OR($L2524=$O$7,$M2524=$O$7)),"x","")</f>
        <v/>
      </c>
      <c r="P2524" s="525" t="str">
        <f>IF(AND($L2524=$O$7,$B2524&lt;'111'!$N$11),"x","")</f>
        <v/>
      </c>
      <c r="Q2524" s="525" t="str">
        <f>IF(AND($M2524=$O$7,$B2524&lt;'111'!$N$11),"x","")</f>
        <v/>
      </c>
      <c r="R2524" s="525" t="str">
        <f>IF(ISERROR(FIND('112'!$M$9,G2524,1)),"",IF((AND(FIND('112'!$M$9,G2524,1)&gt;=1,$B2524&gt;='112'!$N$8,$B2524&lt;='112'!$O$8,OR($L2524='112'!$I$6,$M2524='112'!$I$6))),"x",""))</f>
        <v/>
      </c>
      <c r="S2524" s="525" t="str">
        <f>IF(ISERROR(FIND('112'!$M$9,G2524,1)),"",IF((AND(LEFT(G2524,2)=LEFT('112'!$M$9,2),B2524&lt;'112'!$N$8,$L2524='112'!$I$6)),"x",""))</f>
        <v/>
      </c>
      <c r="T2524" s="525" t="str">
        <f>IF(ISERROR(FIND('112'!$M$9,G2524,1)),"",IF((AND(RIGHT(G2524,2)=RIGHT('112'!$M$9,2),B2524&lt;'112'!$N$8,$M2524='112'!$I$6)),"x",""))</f>
        <v/>
      </c>
      <c r="U2524" s="525" t="str">
        <f>IF(AND(B2524&gt;='IN-NX'!$P$3,B2524&lt;='IN-NX'!$Q$3,'IN-NX'!$D$7=D2524,OR(LEFT(L2524,2)="15",AND(LEFT(M2524,2)&lt;&gt;"15",LEFT(M2524,2)&lt;&gt;"33"))),"x","")</f>
        <v/>
      </c>
      <c r="V2524" s="525" t="str">
        <f>IF(AND(OR(LEFT(TH!L2524,2)="15",LEFT(TH!M2524,2)="15"),'152-CT'!$J$8=TH!F2524),"x","")</f>
        <v/>
      </c>
      <c r="W2524" s="525" t="str">
        <f>IF(AND(OR(LEFT(TH!L2524,2)="15",LEFT(TH!M2524,2)="15"),TK!$E$7=TH!F2524),"x","")</f>
        <v/>
      </c>
      <c r="X2524" s="525" t="str">
        <f>IF(AND('341-CT'!$E$9=H2524,OR(LEFT(L2524,3)=$X$7,LEFT(M2524,3)=$X$7)),"x","")</f>
        <v/>
      </c>
      <c r="Y2524" s="525" t="str">
        <f>IF(OR(TH!L2524=TH!$Y$7,M2524=TH!$Y$7),"x","")</f>
        <v/>
      </c>
      <c r="Z2524" s="525" t="str">
        <f>IF(AND(B2524&lt;=NKC!$N$8,B2524&gt;=NKC!$M$8),"x","")</f>
        <v/>
      </c>
      <c r="AA2524" s="535">
        <v>2</v>
      </c>
      <c r="AB2524" s="536"/>
    </row>
    <row r="2525" spans="1:28" s="503" customFormat="1" ht="15.75" customHeight="1">
      <c r="A2525" s="517" t="str">
        <f>IF(B2525&lt;&gt;"",IF(AND(B2525&gt;=_TM1,B2525&lt;=_TM2,OR(TH!L2525="1111",TH!M2525="1111")),TH!D2525,""),"")</f>
        <v/>
      </c>
      <c r="B2525" s="531">
        <f t="shared" si="223"/>
        <v>5</v>
      </c>
      <c r="C2525" s="315">
        <f t="shared" si="224"/>
        <v>42878</v>
      </c>
      <c r="D2525" s="315" t="s">
        <v>924</v>
      </c>
      <c r="E2525" s="315">
        <v>42878</v>
      </c>
      <c r="F2525" s="250" t="s">
        <v>1132</v>
      </c>
      <c r="G2525" s="314" t="s">
        <v>1131</v>
      </c>
      <c r="H2525" s="473" t="s">
        <v>374</v>
      </c>
      <c r="I2525" s="307">
        <v>200</v>
      </c>
      <c r="J2525" s="307">
        <v>37133</v>
      </c>
      <c r="K2525" s="532">
        <f>ROUND(I2525*J2525,0)</f>
        <v>7426600</v>
      </c>
      <c r="L2525" s="534" t="s">
        <v>223</v>
      </c>
      <c r="M2525" s="534" t="s">
        <v>162</v>
      </c>
      <c r="N2525" s="525" t="str">
        <f>IF(AND('331-CT'!$E$7=TH!H2525,OR(L2525="331",M2525="331")),"331",IF(AND(OR(L2525="131",M2525="131"),H2525='131-CT'!$E$7),"131",""))</f>
        <v/>
      </c>
      <c r="O2525" s="525" t="str">
        <f>IF(AND($B2525&gt;='111'!$N$11,$B2525&lt;='111'!$O$11,OR($L2525=$O$7,$M2525=$O$7)),"x","")</f>
        <v/>
      </c>
      <c r="P2525" s="525" t="str">
        <f>IF(AND($L2525=$O$7,$B2525&lt;'111'!$N$11),"x","")</f>
        <v/>
      </c>
      <c r="Q2525" s="525" t="str">
        <f>IF(AND($M2525=$O$7,$B2525&lt;'111'!$N$11),"x","")</f>
        <v/>
      </c>
      <c r="R2525" s="525" t="str">
        <f>IF(ISERROR(FIND('112'!$M$9,G2525,1)),"",IF((AND(FIND('112'!$M$9,G2525,1)&gt;=1,$B2525&gt;='112'!$N$8,$B2525&lt;='112'!$O$8,OR($L2525='112'!$I$6,$M2525='112'!$I$6))),"x",""))</f>
        <v/>
      </c>
      <c r="S2525" s="525" t="str">
        <f>IF(ISERROR(FIND('112'!$M$9,G2525,1)),"",IF((AND(LEFT(G2525,2)=LEFT('112'!$M$9,2),B2525&lt;'112'!$N$8,$L2525='112'!$I$6)),"x",""))</f>
        <v/>
      </c>
      <c r="T2525" s="525" t="str">
        <f>IF(ISERROR(FIND('112'!$M$9,G2525,1)),"",IF((AND(RIGHT(G2525,2)=RIGHT('112'!$M$9,2),B2525&lt;'112'!$N$8,$M2525='112'!$I$6)),"x",""))</f>
        <v/>
      </c>
      <c r="U2525" s="525" t="str">
        <f>IF(AND(B2525&gt;='IN-NX'!$P$3,B2525&lt;='IN-NX'!$Q$3,'IN-NX'!$D$7=D2525,OR(LEFT(L2525,2)="15",AND(LEFT(M2525,2)&lt;&gt;"15",LEFT(M2525,2)&lt;&gt;"33"))),"x","")</f>
        <v/>
      </c>
      <c r="V2525" s="525" t="str">
        <f>IF(AND(OR(LEFT(TH!L2525,2)="15",LEFT(TH!M2525,2)="15"),'152-CT'!$J$8=TH!F2525),"x","")</f>
        <v/>
      </c>
      <c r="W2525" s="525" t="str">
        <f>IF(AND(OR(LEFT(TH!L2525,2)="15",LEFT(TH!M2525,2)="15"),TK!$E$7=TH!F2525),"x","")</f>
        <v/>
      </c>
      <c r="X2525" s="525" t="str">
        <f>IF(AND('341-CT'!$E$9=H2525,OR(LEFT(L2525,3)=$X$7,LEFT(M2525,3)=$X$7)),"x","")</f>
        <v/>
      </c>
      <c r="Y2525" s="525" t="str">
        <f>IF(OR(TH!L2525=TH!$Y$7,M2525=TH!$Y$7),"x","")</f>
        <v/>
      </c>
      <c r="Z2525" s="525" t="str">
        <f>IF(AND(B2525&lt;=NKC!$N$8,B2525&gt;=NKC!$M$8),"x","")</f>
        <v/>
      </c>
      <c r="AA2525" s="535"/>
      <c r="AB2525" s="536"/>
    </row>
    <row r="2526" spans="1:28" s="503" customFormat="1" ht="15.75" customHeight="1">
      <c r="A2526" s="517" t="str">
        <f>IF(B2526&lt;&gt;"",IF(AND(B2526&gt;=_TM1,B2526&lt;=_TM2,OR(TH!L2526="1111",TH!M2526="1111")),TH!D2526,""),"")</f>
        <v/>
      </c>
      <c r="B2526" s="531">
        <f t="shared" si="223"/>
        <v>5</v>
      </c>
      <c r="C2526" s="315">
        <f t="shared" si="224"/>
        <v>42878</v>
      </c>
      <c r="D2526" s="315" t="s">
        <v>924</v>
      </c>
      <c r="E2526" s="315">
        <v>42878</v>
      </c>
      <c r="F2526" s="249" t="s">
        <v>501</v>
      </c>
      <c r="G2526" s="314" t="s">
        <v>1131</v>
      </c>
      <c r="H2526" s="473" t="s">
        <v>374</v>
      </c>
      <c r="I2526" s="307"/>
      <c r="J2526" s="307"/>
      <c r="K2526" s="532">
        <v>742660</v>
      </c>
      <c r="L2526" s="534" t="s">
        <v>223</v>
      </c>
      <c r="M2526" s="534" t="s">
        <v>259</v>
      </c>
      <c r="N2526" s="525" t="str">
        <f>IF(AND('331-CT'!$E$7=TH!H2526,OR(L2526="331",M2526="331")),"331",IF(AND(OR(L2526="131",M2526="131"),H2526='131-CT'!$E$7),"131",""))</f>
        <v/>
      </c>
      <c r="O2526" s="525" t="str">
        <f>IF(AND($B2526&gt;='111'!$N$11,$B2526&lt;='111'!$O$11,OR($L2526=$O$7,$M2526=$O$7)),"x","")</f>
        <v/>
      </c>
      <c r="P2526" s="525" t="str">
        <f>IF(AND($L2526=$O$7,$B2526&lt;'111'!$N$11),"x","")</f>
        <v/>
      </c>
      <c r="Q2526" s="525" t="str">
        <f>IF(AND($M2526=$O$7,$B2526&lt;'111'!$N$11),"x","")</f>
        <v/>
      </c>
      <c r="R2526" s="525" t="str">
        <f>IF(ISERROR(FIND('112'!$M$9,G2526,1)),"",IF((AND(FIND('112'!$M$9,G2526,1)&gt;=1,$B2526&gt;='112'!$N$8,$B2526&lt;='112'!$O$8,OR($L2526='112'!$I$6,$M2526='112'!$I$6))),"x",""))</f>
        <v/>
      </c>
      <c r="S2526" s="525" t="str">
        <f>IF(ISERROR(FIND('112'!$M$9,G2526,1)),"",IF((AND(LEFT(G2526,2)=LEFT('112'!$M$9,2),B2526&lt;'112'!$N$8,$L2526='112'!$I$6)),"x",""))</f>
        <v/>
      </c>
      <c r="T2526" s="525" t="str">
        <f>IF(ISERROR(FIND('112'!$M$9,G2526,1)),"",IF((AND(RIGHT(G2526,2)=RIGHT('112'!$M$9,2),B2526&lt;'112'!$N$8,$M2526='112'!$I$6)),"x",""))</f>
        <v/>
      </c>
      <c r="U2526" s="525" t="str">
        <f>IF(AND(B2526&gt;='IN-NX'!$P$3,B2526&lt;='IN-NX'!$Q$3,'IN-NX'!$D$7=D2526,OR(LEFT(L2526,2)="15",AND(LEFT(M2526,2)&lt;&gt;"15",LEFT(M2526,2)&lt;&gt;"33"))),"x","")</f>
        <v/>
      </c>
      <c r="V2526" s="525" t="str">
        <f>IF(AND(OR(LEFT(TH!L2526,2)="15",LEFT(TH!M2526,2)="15"),'152-CT'!$J$8=TH!F2526),"x","")</f>
        <v/>
      </c>
      <c r="W2526" s="525" t="str">
        <f>IF(AND(OR(LEFT(TH!L2526,2)="15",LEFT(TH!M2526,2)="15"),TK!$E$7=TH!F2526),"x","")</f>
        <v/>
      </c>
      <c r="X2526" s="525" t="str">
        <f>IF(AND('341-CT'!$E$9=H2526,OR(LEFT(L2526,3)=$X$7,LEFT(M2526,3)=$X$7)),"x","")</f>
        <v/>
      </c>
      <c r="Y2526" s="525" t="str">
        <f>IF(OR(TH!L2526=TH!$Y$7,M2526=TH!$Y$7),"x","")</f>
        <v/>
      </c>
      <c r="Z2526" s="525" t="str">
        <f>IF(AND(B2526&lt;=NKC!$N$8,B2526&gt;=NKC!$M$8),"x","")</f>
        <v/>
      </c>
      <c r="AA2526" s="535"/>
      <c r="AB2526" s="536"/>
    </row>
    <row r="2527" spans="1:28" s="503" customFormat="1" ht="15.75" customHeight="1">
      <c r="A2527" s="517" t="str">
        <f>IF(B2527&lt;&gt;"",IF(AND(B2527&gt;=_TM1,B2527&lt;=_TM2,OR(TH!L2527="1111",TH!M2527="1111")),TH!D2527,""),"")</f>
        <v/>
      </c>
      <c r="B2527" s="531">
        <f t="shared" si="223"/>
        <v>5</v>
      </c>
      <c r="C2527" s="315">
        <f t="shared" si="224"/>
        <v>42879</v>
      </c>
      <c r="D2527" s="315" t="s">
        <v>925</v>
      </c>
      <c r="E2527" s="315">
        <v>42879</v>
      </c>
      <c r="F2527" s="250" t="s">
        <v>1149</v>
      </c>
      <c r="G2527" s="314" t="s">
        <v>1133</v>
      </c>
      <c r="H2527" s="473" t="s">
        <v>1134</v>
      </c>
      <c r="I2527" s="307">
        <v>500</v>
      </c>
      <c r="J2527" s="307">
        <v>8860</v>
      </c>
      <c r="K2527" s="532">
        <f>ROUND(I2527*J2527,0)</f>
        <v>4430000</v>
      </c>
      <c r="L2527" s="534" t="s">
        <v>223</v>
      </c>
      <c r="M2527" s="534" t="s">
        <v>162</v>
      </c>
      <c r="N2527" s="525" t="str">
        <f>IF(AND('331-CT'!$E$7=TH!H2527,OR(L2527="331",M2527="331")),"331",IF(AND(OR(L2527="131",M2527="131"),H2527='131-CT'!$E$7),"131",""))</f>
        <v/>
      </c>
      <c r="O2527" s="525" t="str">
        <f>IF(AND($B2527&gt;='111'!$N$11,$B2527&lt;='111'!$O$11,OR($L2527=$O$7,$M2527=$O$7)),"x","")</f>
        <v/>
      </c>
      <c r="P2527" s="525" t="str">
        <f>IF(AND($L2527=$O$7,$B2527&lt;'111'!$N$11),"x","")</f>
        <v/>
      </c>
      <c r="Q2527" s="525" t="str">
        <f>IF(AND($M2527=$O$7,$B2527&lt;'111'!$N$11),"x","")</f>
        <v/>
      </c>
      <c r="R2527" s="525" t="str">
        <f>IF(ISERROR(FIND('112'!$M$9,G2527,1)),"",IF((AND(FIND('112'!$M$9,G2527,1)&gt;=1,$B2527&gt;='112'!$N$8,$B2527&lt;='112'!$O$8,OR($L2527='112'!$I$6,$M2527='112'!$I$6))),"x",""))</f>
        <v/>
      </c>
      <c r="S2527" s="525" t="str">
        <f>IF(ISERROR(FIND('112'!$M$9,G2527,1)),"",IF((AND(LEFT(G2527,2)=LEFT('112'!$M$9,2),B2527&lt;'112'!$N$8,$L2527='112'!$I$6)),"x",""))</f>
        <v/>
      </c>
      <c r="T2527" s="525" t="str">
        <f>IF(ISERROR(FIND('112'!$M$9,G2527,1)),"",IF((AND(RIGHT(G2527,2)=RIGHT('112'!$M$9,2),B2527&lt;'112'!$N$8,$M2527='112'!$I$6)),"x",""))</f>
        <v/>
      </c>
      <c r="U2527" s="525" t="str">
        <f>IF(AND(B2527&gt;='IN-NX'!$P$3,B2527&lt;='IN-NX'!$Q$3,'IN-NX'!$D$7=D2527,OR(LEFT(L2527,2)="15",AND(LEFT(M2527,2)&lt;&gt;"15",LEFT(M2527,2)&lt;&gt;"33"))),"x","")</f>
        <v/>
      </c>
      <c r="V2527" s="525" t="str">
        <f>IF(AND(OR(LEFT(TH!L2527,2)="15",LEFT(TH!M2527,2)="15"),'152-CT'!$J$8=TH!F2527),"x","")</f>
        <v/>
      </c>
      <c r="W2527" s="525" t="str">
        <f>IF(AND(OR(LEFT(TH!L2527,2)="15",LEFT(TH!M2527,2)="15"),TK!$E$7=TH!F2527),"x","")</f>
        <v/>
      </c>
      <c r="X2527" s="525" t="str">
        <f>IF(AND('341-CT'!$E$9=H2527,OR(LEFT(L2527,3)=$X$7,LEFT(M2527,3)=$X$7)),"x","")</f>
        <v/>
      </c>
      <c r="Y2527" s="525" t="str">
        <f>IF(OR(TH!L2527=TH!$Y$7,M2527=TH!$Y$7),"x","")</f>
        <v/>
      </c>
      <c r="Z2527" s="525" t="str">
        <f>IF(AND(B2527&lt;=NKC!$N$8,B2527&gt;=NKC!$M$8),"x","")</f>
        <v/>
      </c>
      <c r="AA2527" s="535"/>
      <c r="AB2527" s="536"/>
    </row>
    <row r="2528" spans="1:28" s="503" customFormat="1" ht="15.75" customHeight="1">
      <c r="A2528" s="517" t="str">
        <f>IF(B2528&lt;&gt;"",IF(AND(B2528&gt;=_TM1,B2528&lt;=_TM2,OR(TH!L2528="1111",TH!M2528="1111")),TH!D2528,""),"")</f>
        <v/>
      </c>
      <c r="B2528" s="531">
        <f t="shared" si="223"/>
        <v>5</v>
      </c>
      <c r="C2528" s="315">
        <f t="shared" si="224"/>
        <v>42879</v>
      </c>
      <c r="D2528" s="315" t="s">
        <v>925</v>
      </c>
      <c r="E2528" s="315">
        <v>42879</v>
      </c>
      <c r="F2528" s="250" t="s">
        <v>1150</v>
      </c>
      <c r="G2528" s="314" t="s">
        <v>1133</v>
      </c>
      <c r="H2528" s="473" t="s">
        <v>1134</v>
      </c>
      <c r="I2528" s="307">
        <v>500</v>
      </c>
      <c r="J2528" s="307">
        <v>6820</v>
      </c>
      <c r="K2528" s="532">
        <f>ROUND(I2528*J2528,0)</f>
        <v>3410000</v>
      </c>
      <c r="L2528" s="534" t="s">
        <v>223</v>
      </c>
      <c r="M2528" s="534" t="s">
        <v>162</v>
      </c>
      <c r="N2528" s="525" t="str">
        <f>IF(AND('331-CT'!$E$7=TH!H2528,OR(L2528="331",M2528="331")),"331",IF(AND(OR(L2528="131",M2528="131"),H2528='131-CT'!$E$7),"131",""))</f>
        <v/>
      </c>
      <c r="O2528" s="525" t="str">
        <f>IF(AND($B2528&gt;='111'!$N$11,$B2528&lt;='111'!$O$11,OR($L2528=$O$7,$M2528=$O$7)),"x","")</f>
        <v/>
      </c>
      <c r="P2528" s="525" t="str">
        <f>IF(AND($L2528=$O$7,$B2528&lt;'111'!$N$11),"x","")</f>
        <v/>
      </c>
      <c r="Q2528" s="525" t="str">
        <f>IF(AND($M2528=$O$7,$B2528&lt;'111'!$N$11),"x","")</f>
        <v/>
      </c>
      <c r="R2528" s="525" t="str">
        <f>IF(ISERROR(FIND('112'!$M$9,G2528,1)),"",IF((AND(FIND('112'!$M$9,G2528,1)&gt;=1,$B2528&gt;='112'!$N$8,$B2528&lt;='112'!$O$8,OR($L2528='112'!$I$6,$M2528='112'!$I$6))),"x",""))</f>
        <v/>
      </c>
      <c r="S2528" s="525" t="str">
        <f>IF(ISERROR(FIND('112'!$M$9,G2528,1)),"",IF((AND(LEFT(G2528,2)=LEFT('112'!$M$9,2),B2528&lt;'112'!$N$8,$L2528='112'!$I$6)),"x",""))</f>
        <v/>
      </c>
      <c r="T2528" s="525" t="str">
        <f>IF(ISERROR(FIND('112'!$M$9,G2528,1)),"",IF((AND(RIGHT(G2528,2)=RIGHT('112'!$M$9,2),B2528&lt;'112'!$N$8,$M2528='112'!$I$6)),"x",""))</f>
        <v/>
      </c>
      <c r="U2528" s="525" t="str">
        <f>IF(AND(B2528&gt;='IN-NX'!$P$3,B2528&lt;='IN-NX'!$Q$3,'IN-NX'!$D$7=D2528,OR(LEFT(L2528,2)="15",AND(LEFT(M2528,2)&lt;&gt;"15",LEFT(M2528,2)&lt;&gt;"33"))),"x","")</f>
        <v/>
      </c>
      <c r="V2528" s="525" t="str">
        <f>IF(AND(OR(LEFT(TH!L2528,2)="15",LEFT(TH!M2528,2)="15"),'152-CT'!$J$8=TH!F2528),"x","")</f>
        <v/>
      </c>
      <c r="W2528" s="525" t="str">
        <f>IF(AND(OR(LEFT(TH!L2528,2)="15",LEFT(TH!M2528,2)="15"),TK!$E$7=TH!F2528),"x","")</f>
        <v/>
      </c>
      <c r="X2528" s="525" t="str">
        <f>IF(AND('341-CT'!$E$9=H2528,OR(LEFT(L2528,3)=$X$7,LEFT(M2528,3)=$X$7)),"x","")</f>
        <v/>
      </c>
      <c r="Y2528" s="525" t="str">
        <f>IF(OR(TH!L2528=TH!$Y$7,M2528=TH!$Y$7),"x","")</f>
        <v/>
      </c>
      <c r="Z2528" s="525" t="str">
        <f>IF(AND(B2528&lt;=NKC!$N$8,B2528&gt;=NKC!$M$8),"x","")</f>
        <v/>
      </c>
      <c r="AA2528" s="535"/>
      <c r="AB2528" s="536"/>
    </row>
    <row r="2529" spans="1:29" s="503" customFormat="1" ht="15.75" customHeight="1">
      <c r="A2529" s="517" t="str">
        <f>IF(B2529&lt;&gt;"",IF(AND(B2529&gt;=_TM1,B2529&lt;=_TM2,OR(TH!L2529="1111",TH!M2529="1111")),TH!D2529,""),"")</f>
        <v/>
      </c>
      <c r="B2529" s="531">
        <f t="shared" si="223"/>
        <v>5</v>
      </c>
      <c r="C2529" s="315">
        <f t="shared" si="224"/>
        <v>42879</v>
      </c>
      <c r="D2529" s="315" t="s">
        <v>925</v>
      </c>
      <c r="E2529" s="315">
        <v>42879</v>
      </c>
      <c r="F2529" s="250" t="s">
        <v>1151</v>
      </c>
      <c r="G2529" s="314" t="s">
        <v>1133</v>
      </c>
      <c r="H2529" s="473" t="s">
        <v>1134</v>
      </c>
      <c r="I2529" s="307">
        <v>500</v>
      </c>
      <c r="J2529" s="307">
        <v>6403</v>
      </c>
      <c r="K2529" s="532">
        <f>ROUND(I2529*J2529,0)</f>
        <v>3201500</v>
      </c>
      <c r="L2529" s="534" t="s">
        <v>223</v>
      </c>
      <c r="M2529" s="534" t="s">
        <v>162</v>
      </c>
      <c r="N2529" s="525" t="str">
        <f>IF(AND('331-CT'!$E$7=TH!H2529,OR(L2529="331",M2529="331")),"331",IF(AND(OR(L2529="131",M2529="131"),H2529='131-CT'!$E$7),"131",""))</f>
        <v/>
      </c>
      <c r="O2529" s="525" t="str">
        <f>IF(AND($B2529&gt;='111'!$N$11,$B2529&lt;='111'!$O$11,OR($L2529=$O$7,$M2529=$O$7)),"x","")</f>
        <v/>
      </c>
      <c r="P2529" s="525" t="str">
        <f>IF(AND($L2529=$O$7,$B2529&lt;'111'!$N$11),"x","")</f>
        <v/>
      </c>
      <c r="Q2529" s="525" t="str">
        <f>IF(AND($M2529=$O$7,$B2529&lt;'111'!$N$11),"x","")</f>
        <v/>
      </c>
      <c r="R2529" s="525" t="str">
        <f>IF(ISERROR(FIND('112'!$M$9,G2529,1)),"",IF((AND(FIND('112'!$M$9,G2529,1)&gt;=1,$B2529&gt;='112'!$N$8,$B2529&lt;='112'!$O$8,OR($L2529='112'!$I$6,$M2529='112'!$I$6))),"x",""))</f>
        <v/>
      </c>
      <c r="S2529" s="525" t="str">
        <f>IF(ISERROR(FIND('112'!$M$9,G2529,1)),"",IF((AND(LEFT(G2529,2)=LEFT('112'!$M$9,2),B2529&lt;'112'!$N$8,$L2529='112'!$I$6)),"x",""))</f>
        <v/>
      </c>
      <c r="T2529" s="525" t="str">
        <f>IF(ISERROR(FIND('112'!$M$9,G2529,1)),"",IF((AND(RIGHT(G2529,2)=RIGHT('112'!$M$9,2),B2529&lt;'112'!$N$8,$M2529='112'!$I$6)),"x",""))</f>
        <v/>
      </c>
      <c r="U2529" s="525" t="str">
        <f>IF(AND(B2529&gt;='IN-NX'!$P$3,B2529&lt;='IN-NX'!$Q$3,'IN-NX'!$D$7=D2529,OR(LEFT(L2529,2)="15",AND(LEFT(M2529,2)&lt;&gt;"15",LEFT(M2529,2)&lt;&gt;"33"))),"x","")</f>
        <v/>
      </c>
      <c r="V2529" s="525" t="str">
        <f>IF(AND(OR(LEFT(TH!L2529,2)="15",LEFT(TH!M2529,2)="15"),'152-CT'!$J$8=TH!F2529),"x","")</f>
        <v/>
      </c>
      <c r="W2529" s="525" t="str">
        <f>IF(AND(OR(LEFT(TH!L2529,2)="15",LEFT(TH!M2529,2)="15"),TK!$E$7=TH!F2529),"x","")</f>
        <v/>
      </c>
      <c r="X2529" s="525" t="str">
        <f>IF(AND('341-CT'!$E$9=H2529,OR(LEFT(L2529,3)=$X$7,LEFT(M2529,3)=$X$7)),"x","")</f>
        <v/>
      </c>
      <c r="Y2529" s="525" t="str">
        <f>IF(OR(TH!L2529=TH!$Y$7,M2529=TH!$Y$7),"x","")</f>
        <v/>
      </c>
      <c r="Z2529" s="525" t="str">
        <f>IF(AND(B2529&lt;=NKC!$N$8,B2529&gt;=NKC!$M$8),"x","")</f>
        <v/>
      </c>
      <c r="AA2529" s="535"/>
      <c r="AB2529" s="536"/>
    </row>
    <row r="2530" spans="1:29" s="503" customFormat="1" ht="15.75" customHeight="1">
      <c r="A2530" s="517" t="str">
        <f>IF(B2530&lt;&gt;"",IF(AND(B2530&gt;=_TM1,B2530&lt;=_TM2,OR(TH!L2530="1111",TH!M2530="1111")),TH!D2530,""),"")</f>
        <v/>
      </c>
      <c r="B2530" s="531">
        <f t="shared" si="223"/>
        <v>5</v>
      </c>
      <c r="C2530" s="315">
        <f t="shared" si="224"/>
        <v>42879</v>
      </c>
      <c r="D2530" s="315" t="s">
        <v>925</v>
      </c>
      <c r="E2530" s="315">
        <v>42879</v>
      </c>
      <c r="F2530" s="249" t="s">
        <v>494</v>
      </c>
      <c r="G2530" s="314" t="s">
        <v>1133</v>
      </c>
      <c r="H2530" s="473" t="s">
        <v>1134</v>
      </c>
      <c r="I2530" s="307"/>
      <c r="J2530" s="307"/>
      <c r="K2530" s="532">
        <v>1104150</v>
      </c>
      <c r="L2530" s="534" t="s">
        <v>223</v>
      </c>
      <c r="M2530" s="534" t="s">
        <v>259</v>
      </c>
      <c r="N2530" s="525" t="str">
        <f>IF(AND('331-CT'!$E$7=TH!H2530,OR(L2530="331",M2530="331")),"331",IF(AND(OR(L2530="131",M2530="131"),H2530='131-CT'!$E$7),"131",""))</f>
        <v/>
      </c>
      <c r="O2530" s="525" t="str">
        <f>IF(AND($B2530&gt;='111'!$N$11,$B2530&lt;='111'!$O$11,OR($L2530=$O$7,$M2530=$O$7)),"x","")</f>
        <v/>
      </c>
      <c r="P2530" s="525" t="str">
        <f>IF(AND($L2530=$O$7,$B2530&lt;'111'!$N$11),"x","")</f>
        <v/>
      </c>
      <c r="Q2530" s="525" t="str">
        <f>IF(AND($M2530=$O$7,$B2530&lt;'111'!$N$11),"x","")</f>
        <v/>
      </c>
      <c r="R2530" s="525" t="str">
        <f>IF(ISERROR(FIND('112'!$M$9,G2530,1)),"",IF((AND(FIND('112'!$M$9,G2530,1)&gt;=1,$B2530&gt;='112'!$N$8,$B2530&lt;='112'!$O$8,OR($L2530='112'!$I$6,$M2530='112'!$I$6))),"x",""))</f>
        <v/>
      </c>
      <c r="S2530" s="525" t="str">
        <f>IF(ISERROR(FIND('112'!$M$9,G2530,1)),"",IF((AND(LEFT(G2530,2)=LEFT('112'!$M$9,2),B2530&lt;'112'!$N$8,$L2530='112'!$I$6)),"x",""))</f>
        <v/>
      </c>
      <c r="T2530" s="525" t="str">
        <f>IF(ISERROR(FIND('112'!$M$9,G2530,1)),"",IF((AND(RIGHT(G2530,2)=RIGHT('112'!$M$9,2),B2530&lt;'112'!$N$8,$M2530='112'!$I$6)),"x",""))</f>
        <v/>
      </c>
      <c r="U2530" s="525" t="str">
        <f>IF(AND(B2530&gt;='IN-NX'!$P$3,B2530&lt;='IN-NX'!$Q$3,'IN-NX'!$D$7=D2530,OR(LEFT(L2530,2)="15",AND(LEFT(M2530,2)&lt;&gt;"15",LEFT(M2530,2)&lt;&gt;"33"))),"x","")</f>
        <v/>
      </c>
      <c r="V2530" s="525" t="str">
        <f>IF(AND(OR(LEFT(TH!L2530,2)="15",LEFT(TH!M2530,2)="15"),'152-CT'!$J$8=TH!F2530),"x","")</f>
        <v/>
      </c>
      <c r="W2530" s="525" t="str">
        <f>IF(AND(OR(LEFT(TH!L2530,2)="15",LEFT(TH!M2530,2)="15"),TK!$E$7=TH!F2530),"x","")</f>
        <v/>
      </c>
      <c r="X2530" s="525" t="str">
        <f>IF(AND('341-CT'!$E$9=H2530,OR(LEFT(L2530,3)=$X$7,LEFT(M2530,3)=$X$7)),"x","")</f>
        <v/>
      </c>
      <c r="Y2530" s="525" t="str">
        <f>IF(OR(TH!L2530=TH!$Y$7,M2530=TH!$Y$7),"x","")</f>
        <v/>
      </c>
      <c r="Z2530" s="525" t="str">
        <f>IF(AND(B2530&lt;=NKC!$N$8,B2530&gt;=NKC!$M$8),"x","")</f>
        <v/>
      </c>
      <c r="AA2530" s="535"/>
      <c r="AB2530" s="536"/>
    </row>
    <row r="2531" spans="1:29" s="503" customFormat="1" ht="15.75" customHeight="1">
      <c r="A2531" s="517" t="str">
        <f>IF(B2531&lt;&gt;"",IF(AND(B2531&gt;=_TM1,B2531&lt;=_TM2,OR(TH!L2531="1111",TH!M2531="1111")),TH!D2531,""),"")</f>
        <v/>
      </c>
      <c r="B2531" s="531">
        <f t="shared" si="223"/>
        <v>5</v>
      </c>
      <c r="C2531" s="315">
        <f t="shared" si="224"/>
        <v>42879</v>
      </c>
      <c r="D2531" s="315" t="s">
        <v>926</v>
      </c>
      <c r="E2531" s="315">
        <v>42879</v>
      </c>
      <c r="F2531" s="250" t="s">
        <v>1217</v>
      </c>
      <c r="G2531" s="314" t="s">
        <v>1221</v>
      </c>
      <c r="H2531" s="473" t="s">
        <v>1218</v>
      </c>
      <c r="I2531" s="307">
        <v>2030</v>
      </c>
      <c r="J2531" s="307">
        <v>8800</v>
      </c>
      <c r="K2531" s="532">
        <f>ROUND(I2531*J2531,0)</f>
        <v>17864000</v>
      </c>
      <c r="L2531" s="534" t="s">
        <v>223</v>
      </c>
      <c r="M2531" s="534" t="s">
        <v>162</v>
      </c>
      <c r="N2531" s="525" t="str">
        <f>IF(AND('331-CT'!$E$7=TH!H2531,OR(L2531="331",M2531="331")),"331",IF(AND(OR(L2531="131",M2531="131"),H2531='131-CT'!$E$7),"131",""))</f>
        <v/>
      </c>
      <c r="O2531" s="525" t="str">
        <f>IF(AND($B2531&gt;='111'!$N$11,$B2531&lt;='111'!$O$11,OR($L2531=$O$7,$M2531=$O$7)),"x","")</f>
        <v/>
      </c>
      <c r="P2531" s="525" t="str">
        <f>IF(AND($L2531=$O$7,$B2531&lt;'111'!$N$11),"x","")</f>
        <v/>
      </c>
      <c r="Q2531" s="525" t="str">
        <f>IF(AND($M2531=$O$7,$B2531&lt;'111'!$N$11),"x","")</f>
        <v/>
      </c>
      <c r="R2531" s="525" t="str">
        <f>IF(ISERROR(FIND('112'!$M$9,G2531,1)),"",IF((AND(FIND('112'!$M$9,G2531,1)&gt;=1,$B2531&gt;='112'!$N$8,$B2531&lt;='112'!$O$8,OR($L2531='112'!$I$6,$M2531='112'!$I$6))),"x",""))</f>
        <v/>
      </c>
      <c r="S2531" s="525" t="str">
        <f>IF(ISERROR(FIND('112'!$M$9,G2531,1)),"",IF((AND(LEFT(G2531,2)=LEFT('112'!$M$9,2),B2531&lt;'112'!$N$8,$L2531='112'!$I$6)),"x",""))</f>
        <v/>
      </c>
      <c r="T2531" s="525" t="str">
        <f>IF(ISERROR(FIND('112'!$M$9,G2531,1)),"",IF((AND(RIGHT(G2531,2)=RIGHT('112'!$M$9,2),B2531&lt;'112'!$N$8,$M2531='112'!$I$6)),"x",""))</f>
        <v/>
      </c>
      <c r="U2531" s="525" t="str">
        <f>IF(AND(B2531&gt;='IN-NX'!$P$3,B2531&lt;='IN-NX'!$Q$3,'IN-NX'!$D$7=D2531,OR(LEFT(L2531,2)="15",AND(LEFT(M2531,2)&lt;&gt;"15",LEFT(M2531,2)&lt;&gt;"33"))),"x","")</f>
        <v/>
      </c>
      <c r="V2531" s="525" t="str">
        <f>IF(AND(OR(LEFT(TH!L2531,2)="15",LEFT(TH!M2531,2)="15"),'152-CT'!$J$8=TH!F2531),"x","")</f>
        <v/>
      </c>
      <c r="W2531" s="525" t="str">
        <f>IF(AND(OR(LEFT(TH!L2531,2)="15",LEFT(TH!M2531,2)="15"),TK!$E$7=TH!F2531),"x","")</f>
        <v/>
      </c>
      <c r="X2531" s="525" t="str">
        <f>IF(AND('341-CT'!$E$9=H2531,OR(LEFT(L2531,3)=$X$7,LEFT(M2531,3)=$X$7)),"x","")</f>
        <v/>
      </c>
      <c r="Y2531" s="525" t="str">
        <f>IF(OR(TH!L2531=TH!$Y$7,M2531=TH!$Y$7),"x","")</f>
        <v/>
      </c>
      <c r="Z2531" s="525" t="str">
        <f>IF(AND(B2531&lt;=NKC!$N$8,B2531&gt;=NKC!$M$8),"x","")</f>
        <v/>
      </c>
      <c r="AA2531" s="535"/>
      <c r="AB2531" s="536"/>
    </row>
    <row r="2532" spans="1:29" s="503" customFormat="1" ht="15.75" customHeight="1">
      <c r="A2532" s="517" t="str">
        <f>IF(B2532&lt;&gt;"",IF(AND(B2532&gt;=_TM1,B2532&lt;=_TM2,OR(TH!L2532="1111",TH!M2532="1111")),TH!D2532,""),"")</f>
        <v/>
      </c>
      <c r="B2532" s="531">
        <f t="shared" si="223"/>
        <v>5</v>
      </c>
      <c r="C2532" s="315">
        <f t="shared" si="224"/>
        <v>42879</v>
      </c>
      <c r="D2532" s="315" t="s">
        <v>926</v>
      </c>
      <c r="E2532" s="315">
        <v>42879</v>
      </c>
      <c r="F2532" s="249" t="s">
        <v>494</v>
      </c>
      <c r="G2532" s="314" t="s">
        <v>1221</v>
      </c>
      <c r="H2532" s="473" t="s">
        <v>1218</v>
      </c>
      <c r="I2532" s="307"/>
      <c r="J2532" s="307"/>
      <c r="K2532" s="532">
        <v>1786400</v>
      </c>
      <c r="L2532" s="534" t="s">
        <v>223</v>
      </c>
      <c r="M2532" s="534" t="s">
        <v>259</v>
      </c>
      <c r="N2532" s="525" t="str">
        <f>IF(AND('331-CT'!$E$7=TH!H2532,OR(L2532="331",M2532="331")),"331",IF(AND(OR(L2532="131",M2532="131"),H2532='131-CT'!$E$7),"131",""))</f>
        <v/>
      </c>
      <c r="O2532" s="525" t="str">
        <f>IF(AND($B2532&gt;='111'!$N$11,$B2532&lt;='111'!$O$11,OR($L2532=$O$7,$M2532=$O$7)),"x","")</f>
        <v/>
      </c>
      <c r="P2532" s="525" t="str">
        <f>IF(AND($L2532=$O$7,$B2532&lt;'111'!$N$11),"x","")</f>
        <v/>
      </c>
      <c r="Q2532" s="525" t="str">
        <f>IF(AND($M2532=$O$7,$B2532&lt;'111'!$N$11),"x","")</f>
        <v/>
      </c>
      <c r="R2532" s="525" t="str">
        <f>IF(ISERROR(FIND('112'!$M$9,G2532,1)),"",IF((AND(FIND('112'!$M$9,G2532,1)&gt;=1,$B2532&gt;='112'!$N$8,$B2532&lt;='112'!$O$8,OR($L2532='112'!$I$6,$M2532='112'!$I$6))),"x",""))</f>
        <v/>
      </c>
      <c r="S2532" s="525" t="str">
        <f>IF(ISERROR(FIND('112'!$M$9,G2532,1)),"",IF((AND(LEFT(G2532,2)=LEFT('112'!$M$9,2),B2532&lt;'112'!$N$8,$L2532='112'!$I$6)),"x",""))</f>
        <v/>
      </c>
      <c r="T2532" s="525" t="str">
        <f>IF(ISERROR(FIND('112'!$M$9,G2532,1)),"",IF((AND(RIGHT(G2532,2)=RIGHT('112'!$M$9,2),B2532&lt;'112'!$N$8,$M2532='112'!$I$6)),"x",""))</f>
        <v/>
      </c>
      <c r="U2532" s="525" t="str">
        <f>IF(AND(B2532&gt;='IN-NX'!$P$3,B2532&lt;='IN-NX'!$Q$3,'IN-NX'!$D$7=D2532,OR(LEFT(L2532,2)="15",AND(LEFT(M2532,2)&lt;&gt;"15",LEFT(M2532,2)&lt;&gt;"33"))),"x","")</f>
        <v/>
      </c>
      <c r="V2532" s="525" t="str">
        <f>IF(AND(OR(LEFT(TH!L2532,2)="15",LEFT(TH!M2532,2)="15"),'152-CT'!$J$8=TH!F2532),"x","")</f>
        <v/>
      </c>
      <c r="W2532" s="525" t="str">
        <f>IF(AND(OR(LEFT(TH!L2532,2)="15",LEFT(TH!M2532,2)="15"),TK!$E$7=TH!F2532),"x","")</f>
        <v/>
      </c>
      <c r="X2532" s="525" t="str">
        <f>IF(AND('341-CT'!$E$9=H2532,OR(LEFT(L2532,3)=$X$7,LEFT(M2532,3)=$X$7)),"x","")</f>
        <v/>
      </c>
      <c r="Y2532" s="525" t="str">
        <f>IF(OR(TH!L2532=TH!$Y$7,M2532=TH!$Y$7),"x","")</f>
        <v/>
      </c>
      <c r="Z2532" s="525" t="str">
        <f>IF(AND(B2532&lt;=NKC!$N$8,B2532&gt;=NKC!$M$8),"x","")</f>
        <v/>
      </c>
      <c r="AA2532" s="535"/>
      <c r="AB2532" s="536"/>
    </row>
    <row r="2533" spans="1:29" s="503" customFormat="1" ht="15.75" customHeight="1">
      <c r="A2533" s="517" t="str">
        <f>IF(B2533&lt;&gt;"",IF(AND(B2533&gt;=_TM1,B2533&lt;=_TM2,OR(TH!L2533="1111",TH!M2533="1111")),TH!D2533,""),"")</f>
        <v/>
      </c>
      <c r="B2533" s="531">
        <f t="shared" si="223"/>
        <v>5</v>
      </c>
      <c r="C2533" s="315">
        <f t="shared" si="224"/>
        <v>42880</v>
      </c>
      <c r="D2533" s="315" t="s">
        <v>1359</v>
      </c>
      <c r="E2533" s="315">
        <v>42880</v>
      </c>
      <c r="F2533" s="250" t="s">
        <v>560</v>
      </c>
      <c r="G2533" s="314" t="s">
        <v>1153</v>
      </c>
      <c r="H2533" s="473" t="s">
        <v>1142</v>
      </c>
      <c r="I2533" s="307">
        <v>1000</v>
      </c>
      <c r="J2533" s="307">
        <v>17650</v>
      </c>
      <c r="K2533" s="532">
        <f>ROUND(I2533*J2533,0)</f>
        <v>17650000</v>
      </c>
      <c r="L2533" s="534" t="s">
        <v>292</v>
      </c>
      <c r="M2533" s="534" t="s">
        <v>8</v>
      </c>
      <c r="N2533" s="525" t="str">
        <f>IF(AND('331-CT'!$E$7=TH!H2533,OR(L2533="331",M2533="331")),"331",IF(AND(OR(L2533="131",M2533="131"),H2533='131-CT'!$E$7),"131",""))</f>
        <v/>
      </c>
      <c r="O2533" s="525" t="str">
        <f>IF(AND($B2533&gt;='111'!$N$11,$B2533&lt;='111'!$O$11,OR($L2533=$O$7,$M2533=$O$7)),"x","")</f>
        <v/>
      </c>
      <c r="P2533" s="525" t="str">
        <f>IF(AND($L2533=$O$7,$B2533&lt;'111'!$N$11),"x","")</f>
        <v/>
      </c>
      <c r="Q2533" s="525" t="str">
        <f>IF(AND($M2533=$O$7,$B2533&lt;'111'!$N$11),"x","")</f>
        <v/>
      </c>
      <c r="R2533" s="525" t="str">
        <f>IF(ISERROR(FIND('112'!$M$9,G2533,1)),"",IF((AND(FIND('112'!$M$9,G2533,1)&gt;=1,$B2533&gt;='112'!$N$8,$B2533&lt;='112'!$O$8,OR($L2533='112'!$I$6,$M2533='112'!$I$6))),"x",""))</f>
        <v/>
      </c>
      <c r="S2533" s="525" t="str">
        <f>IF(ISERROR(FIND('112'!$M$9,G2533,1)),"",IF((AND(LEFT(G2533,2)=LEFT('112'!$M$9,2),B2533&lt;'112'!$N$8,$L2533='112'!$I$6)),"x",""))</f>
        <v/>
      </c>
      <c r="T2533" s="525" t="str">
        <f>IF(ISERROR(FIND('112'!$M$9,G2533,1)),"",IF((AND(RIGHT(G2533,2)=RIGHT('112'!$M$9,2),B2533&lt;'112'!$N$8,$M2533='112'!$I$6)),"x",""))</f>
        <v/>
      </c>
      <c r="U2533" s="525" t="str">
        <f>IF(AND(B2533&gt;='IN-NX'!$P$3,B2533&lt;='IN-NX'!$Q$3,'IN-NX'!$D$7=D2533,OR(LEFT(L2533,2)="15",AND(LEFT(M2533,2)&lt;&gt;"15",LEFT(M2533,2)&lt;&gt;"33"))),"x","")</f>
        <v/>
      </c>
      <c r="V2533" s="525" t="str">
        <f>IF(AND(OR(LEFT(TH!L2533,2)="15",LEFT(TH!M2533,2)="15"),'152-CT'!$J$8=TH!F2533),"x","")</f>
        <v/>
      </c>
      <c r="W2533" s="525" t="str">
        <f>IF(AND(OR(LEFT(TH!L2533,2)="15",LEFT(TH!M2533,2)="15"),TK!$E$7=TH!F2533),"x","")</f>
        <v/>
      </c>
      <c r="X2533" s="525" t="str">
        <f>IF(AND('341-CT'!$E$9=H2533,OR(LEFT(L2533,3)=$X$7,LEFT(M2533,3)=$X$7)),"x","")</f>
        <v/>
      </c>
      <c r="Y2533" s="525" t="str">
        <f>IF(OR(TH!L2533=TH!$Y$7,M2533=TH!$Y$7),"x","")</f>
        <v/>
      </c>
      <c r="Z2533" s="525" t="str">
        <f>IF(AND(B2533&lt;=NKC!$N$8,B2533&gt;=NKC!$M$8),"x","")</f>
        <v/>
      </c>
      <c r="AA2533" s="535">
        <v>2</v>
      </c>
      <c r="AB2533" s="536"/>
    </row>
    <row r="2534" spans="1:29" s="503" customFormat="1" ht="15.75" customHeight="1">
      <c r="A2534" s="517" t="str">
        <f>IF(B2534&lt;&gt;"",IF(AND(B2534&gt;=_TM1,B2534&lt;=_TM2,OR(TH!L2534="1111",TH!M2534="1111")),TH!D2534,""),"")</f>
        <v/>
      </c>
      <c r="B2534" s="531">
        <f t="shared" si="223"/>
        <v>5</v>
      </c>
      <c r="C2534" s="315">
        <f t="shared" si="224"/>
        <v>42880</v>
      </c>
      <c r="D2534" s="315" t="s">
        <v>1359</v>
      </c>
      <c r="E2534" s="315">
        <v>42880</v>
      </c>
      <c r="F2534" s="249" t="s">
        <v>501</v>
      </c>
      <c r="G2534" s="314" t="s">
        <v>1153</v>
      </c>
      <c r="H2534" s="473" t="s">
        <v>1142</v>
      </c>
      <c r="I2534" s="307"/>
      <c r="J2534" s="307"/>
      <c r="K2534" s="532">
        <v>1765000</v>
      </c>
      <c r="L2534" s="713" t="s">
        <v>9</v>
      </c>
      <c r="M2534" s="534" t="s">
        <v>8</v>
      </c>
      <c r="N2534" s="525" t="str">
        <f>IF(AND('331-CT'!$E$7=TH!H2534,OR(L2534="331",M2534="331")),"331",IF(AND(OR(L2534="131",M2534="131"),H2534='131-CT'!$E$7),"131",""))</f>
        <v/>
      </c>
      <c r="O2534" s="525" t="str">
        <f>IF(AND($B2534&gt;='111'!$N$11,$B2534&lt;='111'!$O$11,OR($L2534=$O$7,$M2534=$O$7)),"x","")</f>
        <v/>
      </c>
      <c r="P2534" s="525" t="str">
        <f>IF(AND($L2534=$O$7,$B2534&lt;'111'!$N$11),"x","")</f>
        <v/>
      </c>
      <c r="Q2534" s="525" t="str">
        <f>IF(AND($M2534=$O$7,$B2534&lt;'111'!$N$11),"x","")</f>
        <v/>
      </c>
      <c r="R2534" s="525" t="str">
        <f>IF(ISERROR(FIND('112'!$M$9,G2534,1)),"",IF((AND(FIND('112'!$M$9,G2534,1)&gt;=1,$B2534&gt;='112'!$N$8,$B2534&lt;='112'!$O$8,OR($L2534='112'!$I$6,$M2534='112'!$I$6))),"x",""))</f>
        <v/>
      </c>
      <c r="S2534" s="525" t="str">
        <f>IF(ISERROR(FIND('112'!$M$9,G2534,1)),"",IF((AND(LEFT(G2534,2)=LEFT('112'!$M$9,2),B2534&lt;'112'!$N$8,$L2534='112'!$I$6)),"x",""))</f>
        <v/>
      </c>
      <c r="T2534" s="525" t="str">
        <f>IF(ISERROR(FIND('112'!$M$9,G2534,1)),"",IF((AND(RIGHT(G2534,2)=RIGHT('112'!$M$9,2),B2534&lt;'112'!$N$8,$M2534='112'!$I$6)),"x",""))</f>
        <v/>
      </c>
      <c r="U2534" s="525" t="str">
        <f>IF(AND(B2534&gt;='IN-NX'!$P$3,B2534&lt;='IN-NX'!$Q$3,'IN-NX'!$D$7=D2534,OR(LEFT(L2534,2)="15",AND(LEFT(M2534,2)&lt;&gt;"15",LEFT(M2534,2)&lt;&gt;"33"))),"x","")</f>
        <v/>
      </c>
      <c r="V2534" s="525" t="str">
        <f>IF(AND(OR(LEFT(TH!L2534,2)="15",LEFT(TH!M2534,2)="15"),'152-CT'!$J$8=TH!F2534),"x","")</f>
        <v/>
      </c>
      <c r="W2534" s="525" t="str">
        <f>IF(AND(OR(LEFT(TH!L2534,2)="15",LEFT(TH!M2534,2)="15"),TK!$E$7=TH!F2534),"x","")</f>
        <v/>
      </c>
      <c r="X2534" s="525" t="str">
        <f>IF(AND('341-CT'!$E$9=H2534,OR(LEFT(L2534,3)=$X$7,LEFT(M2534,3)=$X$7)),"x","")</f>
        <v/>
      </c>
      <c r="Y2534" s="525" t="str">
        <f>IF(OR(TH!L2534=TH!$Y$7,M2534=TH!$Y$7),"x","")</f>
        <v/>
      </c>
      <c r="Z2534" s="525" t="str">
        <f>IF(AND(B2534&lt;=NKC!$N$8,B2534&gt;=NKC!$M$8),"x","")</f>
        <v/>
      </c>
      <c r="AA2534" s="535">
        <v>2</v>
      </c>
      <c r="AB2534" s="536"/>
    </row>
    <row r="2535" spans="1:29" s="503" customFormat="1" ht="15.75" customHeight="1">
      <c r="A2535" s="517" t="str">
        <f>IF(B2535&lt;&gt;"",IF(AND(B2535&gt;=_TM1,B2535&lt;=_TM2,OR(TH!L2535="1111",TH!M2535="1111")),TH!D2535,""),"")</f>
        <v/>
      </c>
      <c r="B2535" s="531">
        <f t="shared" si="223"/>
        <v>5</v>
      </c>
      <c r="C2535" s="315">
        <f t="shared" si="224"/>
        <v>42881</v>
      </c>
      <c r="D2535" s="315" t="s">
        <v>1360</v>
      </c>
      <c r="E2535" s="315">
        <v>42881</v>
      </c>
      <c r="F2535" s="249" t="s">
        <v>1157</v>
      </c>
      <c r="G2535" s="314" t="s">
        <v>1156</v>
      </c>
      <c r="H2535" s="473" t="s">
        <v>271</v>
      </c>
      <c r="I2535" s="307">
        <v>250</v>
      </c>
      <c r="J2535" s="307">
        <v>18149</v>
      </c>
      <c r="K2535" s="532">
        <f>ROUND(I2535*J2535,0)</f>
        <v>4537250</v>
      </c>
      <c r="L2535" s="534" t="s">
        <v>292</v>
      </c>
      <c r="M2535" s="534" t="s">
        <v>8</v>
      </c>
      <c r="N2535" s="525" t="str">
        <f>IF(AND('331-CT'!$E$7=TH!H2535,OR(L2535="331",M2535="331")),"331",IF(AND(OR(L2535="131",M2535="131"),H2535='131-CT'!$E$7),"131",""))</f>
        <v>331</v>
      </c>
      <c r="O2535" s="525" t="str">
        <f>IF(AND($B2535&gt;='111'!$N$11,$B2535&lt;='111'!$O$11,OR($L2535=$O$7,$M2535=$O$7)),"x","")</f>
        <v/>
      </c>
      <c r="P2535" s="525" t="str">
        <f>IF(AND($L2535=$O$7,$B2535&lt;'111'!$N$11),"x","")</f>
        <v/>
      </c>
      <c r="Q2535" s="525" t="str">
        <f>IF(AND($M2535=$O$7,$B2535&lt;'111'!$N$11),"x","")</f>
        <v/>
      </c>
      <c r="R2535" s="525" t="str">
        <f>IF(ISERROR(FIND('112'!$M$9,G2535,1)),"",IF((AND(FIND('112'!$M$9,G2535,1)&gt;=1,$B2535&gt;='112'!$N$8,$B2535&lt;='112'!$O$8,OR($L2535='112'!$I$6,$M2535='112'!$I$6))),"x",""))</f>
        <v/>
      </c>
      <c r="S2535" s="525" t="str">
        <f>IF(ISERROR(FIND('112'!$M$9,G2535,1)),"",IF((AND(LEFT(G2535,2)=LEFT('112'!$M$9,2),B2535&lt;'112'!$N$8,$L2535='112'!$I$6)),"x",""))</f>
        <v/>
      </c>
      <c r="T2535" s="525" t="str">
        <f>IF(ISERROR(FIND('112'!$M$9,G2535,1)),"",IF((AND(RIGHT(G2535,2)=RIGHT('112'!$M$9,2),B2535&lt;'112'!$N$8,$M2535='112'!$I$6)),"x",""))</f>
        <v/>
      </c>
      <c r="U2535" s="525" t="str">
        <f>IF(AND(B2535&gt;='IN-NX'!$P$3,B2535&lt;='IN-NX'!$Q$3,'IN-NX'!$D$7=D2535,OR(LEFT(L2535,2)="15",AND(LEFT(M2535,2)&lt;&gt;"15",LEFT(M2535,2)&lt;&gt;"33"))),"x","")</f>
        <v/>
      </c>
      <c r="V2535" s="525" t="str">
        <f>IF(AND(OR(LEFT(TH!L2535,2)="15",LEFT(TH!M2535,2)="15"),'152-CT'!$J$8=TH!F2535),"x","")</f>
        <v/>
      </c>
      <c r="W2535" s="525" t="str">
        <f>IF(AND(OR(LEFT(TH!L2535,2)="15",LEFT(TH!M2535,2)="15"),TK!$E$7=TH!F2535),"x","")</f>
        <v/>
      </c>
      <c r="X2535" s="525" t="str">
        <f>IF(AND('341-CT'!$E$9=H2535,OR(LEFT(L2535,3)=$X$7,LEFT(M2535,3)=$X$7)),"x","")</f>
        <v/>
      </c>
      <c r="Y2535" s="525" t="str">
        <f>IF(OR(TH!L2535=TH!$Y$7,M2535=TH!$Y$7),"x","")</f>
        <v/>
      </c>
      <c r="Z2535" s="525" t="str">
        <f>IF(AND(B2535&lt;=NKC!$N$8,B2535&gt;=NKC!$M$8),"x","")</f>
        <v/>
      </c>
      <c r="AA2535" s="535">
        <v>2</v>
      </c>
      <c r="AB2535" s="536"/>
    </row>
    <row r="2536" spans="1:29" s="503" customFormat="1" ht="15.75" customHeight="1">
      <c r="A2536" s="517" t="str">
        <f>IF(B2536&lt;&gt;"",IF(AND(B2536&gt;=_TM1,B2536&lt;=_TM2,OR(TH!L2536="1111",TH!M2536="1111")),TH!D2536,""),"")</f>
        <v/>
      </c>
      <c r="B2536" s="531">
        <f t="shared" si="223"/>
        <v>5</v>
      </c>
      <c r="C2536" s="315">
        <f t="shared" si="224"/>
        <v>42881</v>
      </c>
      <c r="D2536" s="315" t="s">
        <v>1360</v>
      </c>
      <c r="E2536" s="315">
        <v>42881</v>
      </c>
      <c r="F2536" s="249" t="s">
        <v>348</v>
      </c>
      <c r="G2536" s="314" t="s">
        <v>1156</v>
      </c>
      <c r="H2536" s="473" t="s">
        <v>271</v>
      </c>
      <c r="I2536" s="307">
        <v>167</v>
      </c>
      <c r="J2536" s="307">
        <v>13271</v>
      </c>
      <c r="K2536" s="532">
        <f>ROUND(I2536*J2536,0)</f>
        <v>2216257</v>
      </c>
      <c r="L2536" s="534" t="s">
        <v>292</v>
      </c>
      <c r="M2536" s="534" t="s">
        <v>8</v>
      </c>
      <c r="N2536" s="525" t="str">
        <f>IF(AND('331-CT'!$E$7=TH!H2536,OR(L2536="331",M2536="331")),"331",IF(AND(OR(L2536="131",M2536="131"),H2536='131-CT'!$E$7),"131",""))</f>
        <v>331</v>
      </c>
      <c r="O2536" s="525" t="str">
        <f>IF(AND($B2536&gt;='111'!$N$11,$B2536&lt;='111'!$O$11,OR($L2536=$O$7,$M2536=$O$7)),"x","")</f>
        <v/>
      </c>
      <c r="P2536" s="525" t="str">
        <f>IF(AND($L2536=$O$7,$B2536&lt;'111'!$N$11),"x","")</f>
        <v/>
      </c>
      <c r="Q2536" s="525" t="str">
        <f>IF(AND($M2536=$O$7,$B2536&lt;'111'!$N$11),"x","")</f>
        <v/>
      </c>
      <c r="R2536" s="525" t="str">
        <f>IF(ISERROR(FIND('112'!$M$9,G2536,1)),"",IF((AND(FIND('112'!$M$9,G2536,1)&gt;=1,$B2536&gt;='112'!$N$8,$B2536&lt;='112'!$O$8,OR($L2536='112'!$I$6,$M2536='112'!$I$6))),"x",""))</f>
        <v/>
      </c>
      <c r="S2536" s="525" t="str">
        <f>IF(ISERROR(FIND('112'!$M$9,G2536,1)),"",IF((AND(LEFT(G2536,2)=LEFT('112'!$M$9,2),B2536&lt;'112'!$N$8,$L2536='112'!$I$6)),"x",""))</f>
        <v/>
      </c>
      <c r="T2536" s="525" t="str">
        <f>IF(ISERROR(FIND('112'!$M$9,G2536,1)),"",IF((AND(RIGHT(G2536,2)=RIGHT('112'!$M$9,2),B2536&lt;'112'!$N$8,$M2536='112'!$I$6)),"x",""))</f>
        <v/>
      </c>
      <c r="U2536" s="525" t="str">
        <f>IF(AND(B2536&gt;='IN-NX'!$P$3,B2536&lt;='IN-NX'!$Q$3,'IN-NX'!$D$7=D2536,OR(LEFT(L2536,2)="15",AND(LEFT(M2536,2)&lt;&gt;"15",LEFT(M2536,2)&lt;&gt;"33"))),"x","")</f>
        <v/>
      </c>
      <c r="V2536" s="525" t="str">
        <f>IF(AND(OR(LEFT(TH!L2536,2)="15",LEFT(TH!M2536,2)="15"),'152-CT'!$J$8=TH!F2536),"x","")</f>
        <v/>
      </c>
      <c r="W2536" s="525" t="str">
        <f>IF(AND(OR(LEFT(TH!L2536,2)="15",LEFT(TH!M2536,2)="15"),TK!$E$7=TH!F2536),"x","")</f>
        <v/>
      </c>
      <c r="X2536" s="525" t="str">
        <f>IF(AND('341-CT'!$E$9=H2536,OR(LEFT(L2536,3)=$X$7,LEFT(M2536,3)=$X$7)),"x","")</f>
        <v/>
      </c>
      <c r="Y2536" s="525" t="str">
        <f>IF(OR(TH!L2536=TH!$Y$7,M2536=TH!$Y$7),"x","")</f>
        <v/>
      </c>
      <c r="Z2536" s="525" t="str">
        <f>IF(AND(B2536&lt;=NKC!$N$8,B2536&gt;=NKC!$M$8),"x","")</f>
        <v/>
      </c>
      <c r="AA2536" s="535">
        <v>2</v>
      </c>
      <c r="AB2536" s="536"/>
    </row>
    <row r="2537" spans="1:29" s="503" customFormat="1" ht="15.75" customHeight="1">
      <c r="A2537" s="517" t="str">
        <f>IF(B2537&lt;&gt;"",IF(AND(B2537&gt;=_TM1,B2537&lt;=_TM2,OR(TH!L2537="1111",TH!M2537="1111")),TH!D2537,""),"")</f>
        <v/>
      </c>
      <c r="B2537" s="531">
        <f t="shared" si="223"/>
        <v>5</v>
      </c>
      <c r="C2537" s="315">
        <f t="shared" si="224"/>
        <v>42881</v>
      </c>
      <c r="D2537" s="315" t="s">
        <v>1360</v>
      </c>
      <c r="E2537" s="315">
        <v>42881</v>
      </c>
      <c r="F2537" s="249" t="s">
        <v>501</v>
      </c>
      <c r="G2537" s="314" t="s">
        <v>1156</v>
      </c>
      <c r="H2537" s="473" t="s">
        <v>271</v>
      </c>
      <c r="I2537" s="307"/>
      <c r="J2537" s="307"/>
      <c r="K2537" s="532">
        <v>675351</v>
      </c>
      <c r="L2537" s="713" t="s">
        <v>9</v>
      </c>
      <c r="M2537" s="534" t="s">
        <v>8</v>
      </c>
      <c r="N2537" s="525" t="str">
        <f>IF(AND('331-CT'!$E$7=TH!H2537,OR(L2537="331",M2537="331")),"331",IF(AND(OR(L2537="131",M2537="131"),H2537='131-CT'!$E$7),"131",""))</f>
        <v>331</v>
      </c>
      <c r="O2537" s="525" t="str">
        <f>IF(AND($B2537&gt;='111'!$N$11,$B2537&lt;='111'!$O$11,OR($L2537=$O$7,$M2537=$O$7)),"x","")</f>
        <v/>
      </c>
      <c r="P2537" s="525" t="str">
        <f>IF(AND($L2537=$O$7,$B2537&lt;'111'!$N$11),"x","")</f>
        <v/>
      </c>
      <c r="Q2537" s="525" t="str">
        <f>IF(AND($M2537=$O$7,$B2537&lt;'111'!$N$11),"x","")</f>
        <v/>
      </c>
      <c r="R2537" s="525" t="str">
        <f>IF(ISERROR(FIND('112'!$M$9,G2537,1)),"",IF((AND(FIND('112'!$M$9,G2537,1)&gt;=1,$B2537&gt;='112'!$N$8,$B2537&lt;='112'!$O$8,OR($L2537='112'!$I$6,$M2537='112'!$I$6))),"x",""))</f>
        <v/>
      </c>
      <c r="S2537" s="525" t="str">
        <f>IF(ISERROR(FIND('112'!$M$9,G2537,1)),"",IF((AND(LEFT(G2537,2)=LEFT('112'!$M$9,2),B2537&lt;'112'!$N$8,$L2537='112'!$I$6)),"x",""))</f>
        <v/>
      </c>
      <c r="T2537" s="525" t="str">
        <f>IF(ISERROR(FIND('112'!$M$9,G2537,1)),"",IF((AND(RIGHT(G2537,2)=RIGHT('112'!$M$9,2),B2537&lt;'112'!$N$8,$M2537='112'!$I$6)),"x",""))</f>
        <v/>
      </c>
      <c r="U2537" s="525" t="str">
        <f>IF(AND(B2537&gt;='IN-NX'!$P$3,B2537&lt;='IN-NX'!$Q$3,'IN-NX'!$D$7=D2537,OR(LEFT(L2537,2)="15",AND(LEFT(M2537,2)&lt;&gt;"15",LEFT(M2537,2)&lt;&gt;"33"))),"x","")</f>
        <v/>
      </c>
      <c r="V2537" s="525" t="str">
        <f>IF(AND(OR(LEFT(TH!L2537,2)="15",LEFT(TH!M2537,2)="15"),'152-CT'!$J$8=TH!F2537),"x","")</f>
        <v/>
      </c>
      <c r="W2537" s="525" t="str">
        <f>IF(AND(OR(LEFT(TH!L2537,2)="15",LEFT(TH!M2537,2)="15"),TK!$E$7=TH!F2537),"x","")</f>
        <v/>
      </c>
      <c r="X2537" s="525" t="str">
        <f>IF(AND('341-CT'!$E$9=H2537,OR(LEFT(L2537,3)=$X$7,LEFT(M2537,3)=$X$7)),"x","")</f>
        <v/>
      </c>
      <c r="Y2537" s="525" t="str">
        <f>IF(OR(TH!L2537=TH!$Y$7,M2537=TH!$Y$7),"x","")</f>
        <v/>
      </c>
      <c r="Z2537" s="525" t="str">
        <f>IF(AND(B2537&lt;=NKC!$N$8,B2537&gt;=NKC!$M$8),"x","")</f>
        <v/>
      </c>
      <c r="AA2537" s="535">
        <v>2</v>
      </c>
      <c r="AB2537" s="536"/>
    </row>
    <row r="2538" spans="1:29" s="503" customFormat="1" ht="15.75" customHeight="1">
      <c r="A2538" s="517" t="str">
        <f>IF(B2538&lt;&gt;"",IF(AND(B2538&gt;=_TM1,B2538&lt;=_TM2,OR(TH!L2538="1111",TH!M2538="1111")),TH!D2538,""),"")</f>
        <v/>
      </c>
      <c r="B2538" s="531">
        <f t="shared" si="223"/>
        <v>5</v>
      </c>
      <c r="C2538" s="315">
        <f t="shared" si="224"/>
        <v>42882</v>
      </c>
      <c r="D2538" s="315" t="s">
        <v>927</v>
      </c>
      <c r="E2538" s="315">
        <v>42882</v>
      </c>
      <c r="F2538" s="250" t="s">
        <v>560</v>
      </c>
      <c r="G2538" s="314" t="s">
        <v>1135</v>
      </c>
      <c r="H2538" s="472" t="s">
        <v>299</v>
      </c>
      <c r="I2538" s="307">
        <v>1000</v>
      </c>
      <c r="J2538" s="307">
        <v>18018.189999999999</v>
      </c>
      <c r="K2538" s="532">
        <f>ROUND(I2538*J2538,0)</f>
        <v>18018190</v>
      </c>
      <c r="L2538" s="534" t="s">
        <v>223</v>
      </c>
      <c r="M2538" s="534" t="s">
        <v>162</v>
      </c>
      <c r="N2538" s="525" t="str">
        <f>IF(AND('331-CT'!$E$7=TH!H2538,OR(L2538="331",M2538="331")),"331",IF(AND(OR(L2538="131",M2538="131"),H2538='131-CT'!$E$7),"131",""))</f>
        <v/>
      </c>
      <c r="O2538" s="525" t="str">
        <f>IF(AND($B2538&gt;='111'!$N$11,$B2538&lt;='111'!$O$11,OR($L2538=$O$7,$M2538=$O$7)),"x","")</f>
        <v/>
      </c>
      <c r="P2538" s="525" t="str">
        <f>IF(AND($L2538=$O$7,$B2538&lt;'111'!$N$11),"x","")</f>
        <v/>
      </c>
      <c r="Q2538" s="525" t="str">
        <f>IF(AND($M2538=$O$7,$B2538&lt;'111'!$N$11),"x","")</f>
        <v/>
      </c>
      <c r="R2538" s="525" t="str">
        <f>IF(ISERROR(FIND('112'!$M$9,G2538,1)),"",IF((AND(FIND('112'!$M$9,G2538,1)&gt;=1,$B2538&gt;='112'!$N$8,$B2538&lt;='112'!$O$8,OR($L2538='112'!$I$6,$M2538='112'!$I$6))),"x",""))</f>
        <v/>
      </c>
      <c r="S2538" s="525" t="str">
        <f>IF(ISERROR(FIND('112'!$M$9,G2538,1)),"",IF((AND(LEFT(G2538,2)=LEFT('112'!$M$9,2),B2538&lt;'112'!$N$8,$L2538='112'!$I$6)),"x",""))</f>
        <v/>
      </c>
      <c r="T2538" s="525" t="str">
        <f>IF(ISERROR(FIND('112'!$M$9,G2538,1)),"",IF((AND(RIGHT(G2538,2)=RIGHT('112'!$M$9,2),B2538&lt;'112'!$N$8,$M2538='112'!$I$6)),"x",""))</f>
        <v/>
      </c>
      <c r="U2538" s="525" t="str">
        <f>IF(AND(B2538&gt;='IN-NX'!$P$3,B2538&lt;='IN-NX'!$Q$3,'IN-NX'!$D$7=D2538,OR(LEFT(L2538,2)="15",AND(LEFT(M2538,2)&lt;&gt;"15",LEFT(M2538,2)&lt;&gt;"33"))),"x","")</f>
        <v/>
      </c>
      <c r="V2538" s="525" t="str">
        <f>IF(AND(OR(LEFT(TH!L2538,2)="15",LEFT(TH!M2538,2)="15"),'152-CT'!$J$8=TH!F2538),"x","")</f>
        <v/>
      </c>
      <c r="W2538" s="525" t="str">
        <f>IF(AND(OR(LEFT(TH!L2538,2)="15",LEFT(TH!M2538,2)="15"),TK!$E$7=TH!F2538),"x","")</f>
        <v/>
      </c>
      <c r="X2538" s="525" t="str">
        <f>IF(AND('341-CT'!$E$9=H2538,OR(LEFT(L2538,3)=$X$7,LEFT(M2538,3)=$X$7)),"x","")</f>
        <v/>
      </c>
      <c r="Y2538" s="525" t="str">
        <f>IF(OR(TH!L2538=TH!$Y$7,M2538=TH!$Y$7),"x","")</f>
        <v/>
      </c>
      <c r="Z2538" s="525" t="str">
        <f>IF(AND(B2538&lt;=NKC!$N$8,B2538&gt;=NKC!$M$8),"x","")</f>
        <v/>
      </c>
      <c r="AA2538" s="535"/>
      <c r="AB2538" s="536"/>
      <c r="AC2538" s="727"/>
    </row>
    <row r="2539" spans="1:29" s="503" customFormat="1" ht="15.75" customHeight="1">
      <c r="A2539" s="517" t="str">
        <f>IF(B2539&lt;&gt;"",IF(AND(B2539&gt;=_TM1,B2539&lt;=_TM2,OR(TH!L2539="1111",TH!M2539="1111")),TH!D2539,""),"")</f>
        <v/>
      </c>
      <c r="B2539" s="531">
        <f t="shared" si="223"/>
        <v>5</v>
      </c>
      <c r="C2539" s="315">
        <f t="shared" si="224"/>
        <v>42882</v>
      </c>
      <c r="D2539" s="315" t="s">
        <v>927</v>
      </c>
      <c r="E2539" s="315">
        <v>42882</v>
      </c>
      <c r="F2539" s="249" t="s">
        <v>501</v>
      </c>
      <c r="G2539" s="314" t="s">
        <v>1135</v>
      </c>
      <c r="H2539" s="472" t="s">
        <v>299</v>
      </c>
      <c r="I2539" s="307"/>
      <c r="J2539" s="307"/>
      <c r="K2539" s="532">
        <v>1801819</v>
      </c>
      <c r="L2539" s="534" t="s">
        <v>223</v>
      </c>
      <c r="M2539" s="534" t="s">
        <v>259</v>
      </c>
      <c r="N2539" s="525" t="str">
        <f>IF(AND('331-CT'!$E$7=TH!H2539,OR(L2539="331",M2539="331")),"331",IF(AND(OR(L2539="131",M2539="131"),H2539='131-CT'!$E$7),"131",""))</f>
        <v/>
      </c>
      <c r="O2539" s="525" t="str">
        <f>IF(AND($B2539&gt;='111'!$N$11,$B2539&lt;='111'!$O$11,OR($L2539=$O$7,$M2539=$O$7)),"x","")</f>
        <v/>
      </c>
      <c r="P2539" s="525" t="str">
        <f>IF(AND($L2539=$O$7,$B2539&lt;'111'!$N$11),"x","")</f>
        <v/>
      </c>
      <c r="Q2539" s="525" t="str">
        <f>IF(AND($M2539=$O$7,$B2539&lt;'111'!$N$11),"x","")</f>
        <v/>
      </c>
      <c r="R2539" s="525" t="str">
        <f>IF(ISERROR(FIND('112'!$M$9,G2539,1)),"",IF((AND(FIND('112'!$M$9,G2539,1)&gt;=1,$B2539&gt;='112'!$N$8,$B2539&lt;='112'!$O$8,OR($L2539='112'!$I$6,$M2539='112'!$I$6))),"x",""))</f>
        <v/>
      </c>
      <c r="S2539" s="525" t="str">
        <f>IF(ISERROR(FIND('112'!$M$9,G2539,1)),"",IF((AND(LEFT(G2539,2)=LEFT('112'!$M$9,2),B2539&lt;'112'!$N$8,$L2539='112'!$I$6)),"x",""))</f>
        <v/>
      </c>
      <c r="T2539" s="525" t="str">
        <f>IF(ISERROR(FIND('112'!$M$9,G2539,1)),"",IF((AND(RIGHT(G2539,2)=RIGHT('112'!$M$9,2),B2539&lt;'112'!$N$8,$M2539='112'!$I$6)),"x",""))</f>
        <v/>
      </c>
      <c r="U2539" s="525" t="str">
        <f>IF(AND(B2539&gt;='IN-NX'!$P$3,B2539&lt;='IN-NX'!$Q$3,'IN-NX'!$D$7=D2539,OR(LEFT(L2539,2)="15",AND(LEFT(M2539,2)&lt;&gt;"15",LEFT(M2539,2)&lt;&gt;"33"))),"x","")</f>
        <v/>
      </c>
      <c r="V2539" s="525" t="str">
        <f>IF(AND(OR(LEFT(TH!L2539,2)="15",LEFT(TH!M2539,2)="15"),'152-CT'!$J$8=TH!F2539),"x","")</f>
        <v/>
      </c>
      <c r="W2539" s="525" t="str">
        <f>IF(AND(OR(LEFT(TH!L2539,2)="15",LEFT(TH!M2539,2)="15"),TK!$E$7=TH!F2539),"x","")</f>
        <v/>
      </c>
      <c r="X2539" s="525" t="str">
        <f>IF(AND('341-CT'!$E$9=H2539,OR(LEFT(L2539,3)=$X$7,LEFT(M2539,3)=$X$7)),"x","")</f>
        <v/>
      </c>
      <c r="Y2539" s="525" t="str">
        <f>IF(OR(TH!L2539=TH!$Y$7,M2539=TH!$Y$7),"x","")</f>
        <v/>
      </c>
      <c r="Z2539" s="525" t="str">
        <f>IF(AND(B2539&lt;=NKC!$N$8,B2539&gt;=NKC!$M$8),"x","")</f>
        <v/>
      </c>
      <c r="AA2539" s="535"/>
      <c r="AB2539" s="536"/>
    </row>
    <row r="2540" spans="1:29" s="503" customFormat="1" ht="15.75" customHeight="1">
      <c r="A2540" s="517" t="str">
        <f>IF(B2540&lt;&gt;"",IF(AND(B2540&gt;=_TM1,B2540&lt;=_TM2,OR(TH!L2540="1111",TH!M2540="1111")),TH!D2540,""),"")</f>
        <v/>
      </c>
      <c r="B2540" s="531">
        <f t="shared" si="223"/>
        <v>5</v>
      </c>
      <c r="C2540" s="315">
        <f t="shared" si="224"/>
        <v>42882</v>
      </c>
      <c r="D2540" s="315"/>
      <c r="E2540" s="315">
        <v>42882</v>
      </c>
      <c r="F2540" s="249" t="s">
        <v>1099</v>
      </c>
      <c r="G2540" s="314" t="s">
        <v>1136</v>
      </c>
      <c r="H2540" s="473" t="s">
        <v>511</v>
      </c>
      <c r="I2540" s="307"/>
      <c r="J2540" s="307"/>
      <c r="K2540" s="532">
        <v>1800000</v>
      </c>
      <c r="L2540" s="534" t="s">
        <v>45</v>
      </c>
      <c r="M2540" s="534" t="s">
        <v>275</v>
      </c>
      <c r="N2540" s="525" t="str">
        <f>IF(AND('331-CT'!$E$7=TH!H2540,OR(L2540="331",M2540="331")),"331",IF(AND(OR(L2540="131",M2540="131"),H2540='131-CT'!$E$7),"131",""))</f>
        <v/>
      </c>
      <c r="O2540" s="525" t="str">
        <f>IF(AND($B2540&gt;='111'!$N$11,$B2540&lt;='111'!$O$11,OR($L2540=$O$7,$M2540=$O$7)),"x","")</f>
        <v/>
      </c>
      <c r="P2540" s="525" t="str">
        <f>IF(AND($L2540=$O$7,$B2540&lt;'111'!$N$11),"x","")</f>
        <v>x</v>
      </c>
      <c r="Q2540" s="525" t="str">
        <f>IF(AND($M2540=$O$7,$B2540&lt;'111'!$N$11),"x","")</f>
        <v/>
      </c>
      <c r="R2540" s="525" t="str">
        <f>IF(ISERROR(FIND('112'!$M$9,G2540,1)),"",IF((AND(FIND('112'!$M$9,G2540,1)&gt;=1,$B2540&gt;='112'!$N$8,$B2540&lt;='112'!$O$8,OR($L2540='112'!$I$6,$M2540='112'!$I$6))),"x",""))</f>
        <v/>
      </c>
      <c r="S2540" s="525" t="str">
        <f>IF(ISERROR(FIND('112'!$M$9,G2540,1)),"",IF((AND(LEFT(G2540,2)=LEFT('112'!$M$9,2),B2540&lt;'112'!$N$8,$L2540='112'!$I$6)),"x",""))</f>
        <v/>
      </c>
      <c r="T2540" s="525" t="str">
        <f>IF(ISERROR(FIND('112'!$M$9,G2540,1)),"",IF((AND(RIGHT(G2540,2)=RIGHT('112'!$M$9,2),B2540&lt;'112'!$N$8,$M2540='112'!$I$6)),"x",""))</f>
        <v/>
      </c>
      <c r="U2540" s="525" t="str">
        <f>IF(AND(B2540&gt;='IN-NX'!$P$3,B2540&lt;='IN-NX'!$Q$3,'IN-NX'!$D$7=D2540,OR(LEFT(L2540,2)="15",AND(LEFT(M2540,2)&lt;&gt;"15",LEFT(M2540,2)&lt;&gt;"33"))),"x","")</f>
        <v/>
      </c>
      <c r="V2540" s="525" t="str">
        <f>IF(AND(OR(LEFT(TH!L2540,2)="15",LEFT(TH!M2540,2)="15"),'152-CT'!$J$8=TH!F2540),"x","")</f>
        <v/>
      </c>
      <c r="W2540" s="525" t="str">
        <f>IF(AND(OR(LEFT(TH!L2540,2)="15",LEFT(TH!M2540,2)="15"),TK!$E$7=TH!F2540),"x","")</f>
        <v/>
      </c>
      <c r="X2540" s="525" t="str">
        <f>IF(AND('341-CT'!$E$9=H2540,OR(LEFT(L2540,3)=$X$7,LEFT(M2540,3)=$X$7)),"x","")</f>
        <v/>
      </c>
      <c r="Y2540" s="525" t="str">
        <f>IF(OR(TH!L2540=TH!$Y$7,M2540=TH!$Y$7),"x","")</f>
        <v/>
      </c>
      <c r="Z2540" s="525" t="str">
        <f>IF(AND(B2540&lt;=NKC!$N$8,B2540&gt;=NKC!$M$8),"x","")</f>
        <v/>
      </c>
      <c r="AA2540" s="535"/>
      <c r="AB2540" s="536"/>
    </row>
    <row r="2541" spans="1:29" s="503" customFormat="1" ht="15.75" customHeight="1">
      <c r="A2541" s="517" t="str">
        <f>IF(B2541&lt;&gt;"",IF(AND(B2541&gt;=_TM1,B2541&lt;=_TM2,OR(TH!L2541="1111",TH!M2541="1111")),TH!D2541,""),"")</f>
        <v/>
      </c>
      <c r="B2541" s="531">
        <f t="shared" si="223"/>
        <v>5</v>
      </c>
      <c r="C2541" s="315">
        <f t="shared" si="224"/>
        <v>42882</v>
      </c>
      <c r="D2541" s="315"/>
      <c r="E2541" s="315">
        <v>42882</v>
      </c>
      <c r="F2541" s="249" t="s">
        <v>1102</v>
      </c>
      <c r="G2541" s="314" t="s">
        <v>1136</v>
      </c>
      <c r="H2541" s="473" t="s">
        <v>511</v>
      </c>
      <c r="I2541" s="307"/>
      <c r="J2541" s="307"/>
      <c r="K2541" s="532">
        <v>180000</v>
      </c>
      <c r="L2541" s="534" t="s">
        <v>45</v>
      </c>
      <c r="M2541" s="534" t="s">
        <v>259</v>
      </c>
      <c r="N2541" s="525" t="str">
        <f>IF(AND('331-CT'!$E$7=TH!H2541,OR(L2541="331",M2541="331")),"331",IF(AND(OR(L2541="131",M2541="131"),H2541='131-CT'!$E$7),"131",""))</f>
        <v/>
      </c>
      <c r="O2541" s="525" t="str">
        <f>IF(AND($B2541&gt;='111'!$N$11,$B2541&lt;='111'!$O$11,OR($L2541=$O$7,$M2541=$O$7)),"x","")</f>
        <v/>
      </c>
      <c r="P2541" s="525" t="str">
        <f>IF(AND($L2541=$O$7,$B2541&lt;'111'!$N$11),"x","")</f>
        <v>x</v>
      </c>
      <c r="Q2541" s="525" t="str">
        <f>IF(AND($M2541=$O$7,$B2541&lt;'111'!$N$11),"x","")</f>
        <v/>
      </c>
      <c r="R2541" s="525" t="str">
        <f>IF(ISERROR(FIND('112'!$M$9,G2541,1)),"",IF((AND(FIND('112'!$M$9,G2541,1)&gt;=1,$B2541&gt;='112'!$N$8,$B2541&lt;='112'!$O$8,OR($L2541='112'!$I$6,$M2541='112'!$I$6))),"x",""))</f>
        <v/>
      </c>
      <c r="S2541" s="525" t="str">
        <f>IF(ISERROR(FIND('112'!$M$9,G2541,1)),"",IF((AND(LEFT(G2541,2)=LEFT('112'!$M$9,2),B2541&lt;'112'!$N$8,$L2541='112'!$I$6)),"x",""))</f>
        <v/>
      </c>
      <c r="T2541" s="525" t="str">
        <f>IF(ISERROR(FIND('112'!$M$9,G2541,1)),"",IF((AND(RIGHT(G2541,2)=RIGHT('112'!$M$9,2),B2541&lt;'112'!$N$8,$M2541='112'!$I$6)),"x",""))</f>
        <v/>
      </c>
      <c r="U2541" s="525" t="str">
        <f>IF(AND(B2541&gt;='IN-NX'!$P$3,B2541&lt;='IN-NX'!$Q$3,'IN-NX'!$D$7=D2541,OR(LEFT(L2541,2)="15",AND(LEFT(M2541,2)&lt;&gt;"15",LEFT(M2541,2)&lt;&gt;"33"))),"x","")</f>
        <v/>
      </c>
      <c r="V2541" s="525" t="str">
        <f>IF(AND(OR(LEFT(TH!L2541,2)="15",LEFT(TH!M2541,2)="15"),'152-CT'!$J$8=TH!F2541),"x","")</f>
        <v/>
      </c>
      <c r="W2541" s="525" t="str">
        <f>IF(AND(OR(LEFT(TH!L2541,2)="15",LEFT(TH!M2541,2)="15"),TK!$E$7=TH!F2541),"x","")</f>
        <v/>
      </c>
      <c r="X2541" s="525" t="str">
        <f>IF(AND('341-CT'!$E$9=H2541,OR(LEFT(L2541,3)=$X$7,LEFT(M2541,3)=$X$7)),"x","")</f>
        <v/>
      </c>
      <c r="Y2541" s="525" t="str">
        <f>IF(OR(TH!L2541=TH!$Y$7,M2541=TH!$Y$7),"x","")</f>
        <v/>
      </c>
      <c r="Z2541" s="525" t="str">
        <f>IF(AND(B2541&lt;=NKC!$N$8,B2541&gt;=NKC!$M$8),"x","")</f>
        <v/>
      </c>
      <c r="AA2541" s="535"/>
      <c r="AB2541" s="536"/>
    </row>
    <row r="2542" spans="1:29" s="503" customFormat="1" ht="15.75" customHeight="1">
      <c r="A2542" s="517" t="str">
        <f>IF(B2542&lt;&gt;"",IF(AND(B2542&gt;=_TM1,B2542&lt;=_TM2,OR(TH!L2542="1111",TH!M2542="1111")),TH!D2542,""),"")</f>
        <v/>
      </c>
      <c r="B2542" s="531">
        <f t="shared" si="223"/>
        <v>5</v>
      </c>
      <c r="C2542" s="315">
        <f t="shared" si="224"/>
        <v>42884</v>
      </c>
      <c r="D2542" s="315"/>
      <c r="E2542" s="315">
        <v>42884</v>
      </c>
      <c r="F2542" s="249" t="s">
        <v>1099</v>
      </c>
      <c r="G2542" s="314" t="s">
        <v>1137</v>
      </c>
      <c r="H2542" s="473" t="s">
        <v>1138</v>
      </c>
      <c r="I2542" s="307"/>
      <c r="J2542" s="307"/>
      <c r="K2542" s="532">
        <v>2600000</v>
      </c>
      <c r="L2542" s="534" t="s">
        <v>45</v>
      </c>
      <c r="M2542" s="534" t="s">
        <v>275</v>
      </c>
      <c r="N2542" s="525" t="str">
        <f>IF(AND('331-CT'!$E$7=TH!H2542,OR(L2542="331",M2542="331")),"331",IF(AND(OR(L2542="131",M2542="131"),H2542='131-CT'!$E$7),"131",""))</f>
        <v/>
      </c>
      <c r="O2542" s="525" t="str">
        <f>IF(AND($B2542&gt;='111'!$N$11,$B2542&lt;='111'!$O$11,OR($L2542=$O$7,$M2542=$O$7)),"x","")</f>
        <v/>
      </c>
      <c r="P2542" s="525" t="str">
        <f>IF(AND($L2542=$O$7,$B2542&lt;'111'!$N$11),"x","")</f>
        <v>x</v>
      </c>
      <c r="Q2542" s="525" t="str">
        <f>IF(AND($M2542=$O$7,$B2542&lt;'111'!$N$11),"x","")</f>
        <v/>
      </c>
      <c r="R2542" s="525" t="str">
        <f>IF(ISERROR(FIND('112'!$M$9,G2542,1)),"",IF((AND(FIND('112'!$M$9,G2542,1)&gt;=1,$B2542&gt;='112'!$N$8,$B2542&lt;='112'!$O$8,OR($L2542='112'!$I$6,$M2542='112'!$I$6))),"x",""))</f>
        <v/>
      </c>
      <c r="S2542" s="525" t="str">
        <f>IF(ISERROR(FIND('112'!$M$9,G2542,1)),"",IF((AND(LEFT(G2542,2)=LEFT('112'!$M$9,2),B2542&lt;'112'!$N$8,$L2542='112'!$I$6)),"x",""))</f>
        <v/>
      </c>
      <c r="T2542" s="525" t="str">
        <f>IF(ISERROR(FIND('112'!$M$9,G2542,1)),"",IF((AND(RIGHT(G2542,2)=RIGHT('112'!$M$9,2),B2542&lt;'112'!$N$8,$M2542='112'!$I$6)),"x",""))</f>
        <v/>
      </c>
      <c r="U2542" s="525" t="str">
        <f>IF(AND(B2542&gt;='IN-NX'!$P$3,B2542&lt;='IN-NX'!$Q$3,'IN-NX'!$D$7=D2542,OR(LEFT(L2542,2)="15",AND(LEFT(M2542,2)&lt;&gt;"15",LEFT(M2542,2)&lt;&gt;"33"))),"x","")</f>
        <v/>
      </c>
      <c r="V2542" s="525" t="str">
        <f>IF(AND(OR(LEFT(TH!L2542,2)="15",LEFT(TH!M2542,2)="15"),'152-CT'!$J$8=TH!F2542),"x","")</f>
        <v/>
      </c>
      <c r="W2542" s="525" t="str">
        <f>IF(AND(OR(LEFT(TH!L2542,2)="15",LEFT(TH!M2542,2)="15"),TK!$E$7=TH!F2542),"x","")</f>
        <v/>
      </c>
      <c r="X2542" s="525" t="str">
        <f>IF(AND('341-CT'!$E$9=H2542,OR(LEFT(L2542,3)=$X$7,LEFT(M2542,3)=$X$7)),"x","")</f>
        <v/>
      </c>
      <c r="Y2542" s="525" t="str">
        <f>IF(OR(TH!L2542=TH!$Y$7,M2542=TH!$Y$7),"x","")</f>
        <v/>
      </c>
      <c r="Z2542" s="525" t="str">
        <f>IF(AND(B2542&lt;=NKC!$N$8,B2542&gt;=NKC!$M$8),"x","")</f>
        <v/>
      </c>
      <c r="AA2542" s="535"/>
      <c r="AB2542" s="536"/>
    </row>
    <row r="2543" spans="1:29" s="503" customFormat="1" ht="15.75" customHeight="1">
      <c r="A2543" s="517" t="str">
        <f>IF(B2543&lt;&gt;"",IF(AND(B2543&gt;=_TM1,B2543&lt;=_TM2,OR(TH!L2543="1111",TH!M2543="1111")),TH!D2543,""),"")</f>
        <v/>
      </c>
      <c r="B2543" s="531">
        <f t="shared" si="223"/>
        <v>5</v>
      </c>
      <c r="C2543" s="315">
        <f t="shared" si="224"/>
        <v>42884</v>
      </c>
      <c r="D2543" s="315"/>
      <c r="E2543" s="315">
        <v>42884</v>
      </c>
      <c r="F2543" s="249" t="s">
        <v>1102</v>
      </c>
      <c r="G2543" s="314" t="s">
        <v>1137</v>
      </c>
      <c r="H2543" s="473" t="s">
        <v>1138</v>
      </c>
      <c r="I2543" s="307"/>
      <c r="J2543" s="307"/>
      <c r="K2543" s="532">
        <v>260000</v>
      </c>
      <c r="L2543" s="534" t="s">
        <v>45</v>
      </c>
      <c r="M2543" s="534" t="s">
        <v>259</v>
      </c>
      <c r="N2543" s="525" t="str">
        <f>IF(AND('331-CT'!$E$7=TH!H2543,OR(L2543="331",M2543="331")),"331",IF(AND(OR(L2543="131",M2543="131"),H2543='131-CT'!$E$7),"131",""))</f>
        <v/>
      </c>
      <c r="O2543" s="525" t="str">
        <f>IF(AND($B2543&gt;='111'!$N$11,$B2543&lt;='111'!$O$11,OR($L2543=$O$7,$M2543=$O$7)),"x","")</f>
        <v/>
      </c>
      <c r="P2543" s="525" t="str">
        <f>IF(AND($L2543=$O$7,$B2543&lt;'111'!$N$11),"x","")</f>
        <v>x</v>
      </c>
      <c r="Q2543" s="525" t="str">
        <f>IF(AND($M2543=$O$7,$B2543&lt;'111'!$N$11),"x","")</f>
        <v/>
      </c>
      <c r="R2543" s="525" t="str">
        <f>IF(ISERROR(FIND('112'!$M$9,G2543,1)),"",IF((AND(FIND('112'!$M$9,G2543,1)&gt;=1,$B2543&gt;='112'!$N$8,$B2543&lt;='112'!$O$8,OR($L2543='112'!$I$6,$M2543='112'!$I$6))),"x",""))</f>
        <v/>
      </c>
      <c r="S2543" s="525" t="str">
        <f>IF(ISERROR(FIND('112'!$M$9,G2543,1)),"",IF((AND(LEFT(G2543,2)=LEFT('112'!$M$9,2),B2543&lt;'112'!$N$8,$L2543='112'!$I$6)),"x",""))</f>
        <v/>
      </c>
      <c r="T2543" s="525" t="str">
        <f>IF(ISERROR(FIND('112'!$M$9,G2543,1)),"",IF((AND(RIGHT(G2543,2)=RIGHT('112'!$M$9,2),B2543&lt;'112'!$N$8,$M2543='112'!$I$6)),"x",""))</f>
        <v/>
      </c>
      <c r="U2543" s="525" t="str">
        <f>IF(AND(B2543&gt;='IN-NX'!$P$3,B2543&lt;='IN-NX'!$Q$3,'IN-NX'!$D$7=D2543,OR(LEFT(L2543,2)="15",AND(LEFT(M2543,2)&lt;&gt;"15",LEFT(M2543,2)&lt;&gt;"33"))),"x","")</f>
        <v/>
      </c>
      <c r="V2543" s="525" t="str">
        <f>IF(AND(OR(LEFT(TH!L2543,2)="15",LEFT(TH!M2543,2)="15"),'152-CT'!$J$8=TH!F2543),"x","")</f>
        <v/>
      </c>
      <c r="W2543" s="525" t="str">
        <f>IF(AND(OR(LEFT(TH!L2543,2)="15",LEFT(TH!M2543,2)="15"),TK!$E$7=TH!F2543),"x","")</f>
        <v/>
      </c>
      <c r="X2543" s="525" t="str">
        <f>IF(AND('341-CT'!$E$9=H2543,OR(LEFT(L2543,3)=$X$7,LEFT(M2543,3)=$X$7)),"x","")</f>
        <v/>
      </c>
      <c r="Y2543" s="525" t="str">
        <f>IF(OR(TH!L2543=TH!$Y$7,M2543=TH!$Y$7),"x","")</f>
        <v/>
      </c>
      <c r="Z2543" s="525" t="str">
        <f>IF(AND(B2543&lt;=NKC!$N$8,B2543&gt;=NKC!$M$8),"x","")</f>
        <v/>
      </c>
      <c r="AA2543" s="535"/>
      <c r="AB2543" s="536"/>
    </row>
    <row r="2544" spans="1:29" s="503" customFormat="1" ht="15.75" customHeight="1">
      <c r="A2544" s="517" t="str">
        <f>IF(B2544&lt;&gt;"",IF(AND(B2544&gt;=_TM1,B2544&lt;=_TM2,OR(TH!L2544="1111",TH!M2544="1111")),TH!D2544,""),"")</f>
        <v/>
      </c>
      <c r="B2544" s="531">
        <f t="shared" si="223"/>
        <v>5</v>
      </c>
      <c r="C2544" s="315">
        <f t="shared" si="224"/>
        <v>42884</v>
      </c>
      <c r="D2544" s="315" t="s">
        <v>928</v>
      </c>
      <c r="E2544" s="315">
        <v>42884</v>
      </c>
      <c r="F2544" s="250" t="s">
        <v>1158</v>
      </c>
      <c r="G2544" s="314" t="s">
        <v>1139</v>
      </c>
      <c r="H2544" s="473" t="s">
        <v>1140</v>
      </c>
      <c r="I2544" s="307">
        <v>1030</v>
      </c>
      <c r="J2544" s="307">
        <v>564</v>
      </c>
      <c r="K2544" s="532">
        <f>ROUND(I2544*J2544,0)</f>
        <v>580920</v>
      </c>
      <c r="L2544" s="534" t="s">
        <v>223</v>
      </c>
      <c r="M2544" s="534" t="s">
        <v>162</v>
      </c>
      <c r="N2544" s="525" t="str">
        <f>IF(AND('331-CT'!$E$7=TH!H2544,OR(L2544="331",M2544="331")),"331",IF(AND(OR(L2544="131",M2544="131"),H2544='131-CT'!$E$7),"131",""))</f>
        <v/>
      </c>
      <c r="O2544" s="525" t="str">
        <f>IF(AND($B2544&gt;='111'!$N$11,$B2544&lt;='111'!$O$11,OR($L2544=$O$7,$M2544=$O$7)),"x","")</f>
        <v/>
      </c>
      <c r="P2544" s="525" t="str">
        <f>IF(AND($L2544=$O$7,$B2544&lt;'111'!$N$11),"x","")</f>
        <v/>
      </c>
      <c r="Q2544" s="525" t="str">
        <f>IF(AND($M2544=$O$7,$B2544&lt;'111'!$N$11),"x","")</f>
        <v/>
      </c>
      <c r="R2544" s="525" t="str">
        <f>IF(ISERROR(FIND('112'!$M$9,G2544,1)),"",IF((AND(FIND('112'!$M$9,G2544,1)&gt;=1,$B2544&gt;='112'!$N$8,$B2544&lt;='112'!$O$8,OR($L2544='112'!$I$6,$M2544='112'!$I$6))),"x",""))</f>
        <v/>
      </c>
      <c r="S2544" s="525" t="str">
        <f>IF(ISERROR(FIND('112'!$M$9,G2544,1)),"",IF((AND(LEFT(G2544,2)=LEFT('112'!$M$9,2),B2544&lt;'112'!$N$8,$L2544='112'!$I$6)),"x",""))</f>
        <v/>
      </c>
      <c r="T2544" s="525" t="str">
        <f>IF(ISERROR(FIND('112'!$M$9,G2544,1)),"",IF((AND(RIGHT(G2544,2)=RIGHT('112'!$M$9,2),B2544&lt;'112'!$N$8,$M2544='112'!$I$6)),"x",""))</f>
        <v/>
      </c>
      <c r="U2544" s="525" t="str">
        <f>IF(AND(B2544&gt;='IN-NX'!$P$3,B2544&lt;='IN-NX'!$Q$3,'IN-NX'!$D$7=D2544,OR(LEFT(L2544,2)="15",AND(LEFT(M2544,2)&lt;&gt;"15",LEFT(M2544,2)&lt;&gt;"33"))),"x","")</f>
        <v/>
      </c>
      <c r="V2544" s="525" t="str">
        <f>IF(AND(OR(LEFT(TH!L2544,2)="15",LEFT(TH!M2544,2)="15"),'152-CT'!$J$8=TH!F2544),"x","")</f>
        <v/>
      </c>
      <c r="W2544" s="525" t="str">
        <f>IF(AND(OR(LEFT(TH!L2544,2)="15",LEFT(TH!M2544,2)="15"),TK!$E$7=TH!F2544),"x","")</f>
        <v/>
      </c>
      <c r="X2544" s="525" t="str">
        <f>IF(AND('341-CT'!$E$9=H2544,OR(LEFT(L2544,3)=$X$7,LEFT(M2544,3)=$X$7)),"x","")</f>
        <v/>
      </c>
      <c r="Y2544" s="525" t="str">
        <f>IF(OR(TH!L2544=TH!$Y$7,M2544=TH!$Y$7),"x","")</f>
        <v/>
      </c>
      <c r="Z2544" s="525" t="str">
        <f>IF(AND(B2544&lt;=NKC!$N$8,B2544&gt;=NKC!$M$8),"x","")</f>
        <v/>
      </c>
      <c r="AA2544" s="535"/>
      <c r="AB2544" s="536"/>
    </row>
    <row r="2545" spans="1:28" s="503" customFormat="1" ht="15.75" customHeight="1">
      <c r="A2545" s="517" t="str">
        <f>IF(B2545&lt;&gt;"",IF(AND(B2545&gt;=_TM1,B2545&lt;=_TM2,OR(TH!L2545="1111",TH!M2545="1111")),TH!D2545,""),"")</f>
        <v/>
      </c>
      <c r="B2545" s="531">
        <f t="shared" si="223"/>
        <v>5</v>
      </c>
      <c r="C2545" s="315">
        <f t="shared" si="224"/>
        <v>42884</v>
      </c>
      <c r="D2545" s="315" t="s">
        <v>928</v>
      </c>
      <c r="E2545" s="315">
        <v>42884</v>
      </c>
      <c r="F2545" s="250" t="s">
        <v>1159</v>
      </c>
      <c r="G2545" s="314" t="s">
        <v>1139</v>
      </c>
      <c r="H2545" s="473" t="s">
        <v>1140</v>
      </c>
      <c r="I2545" s="307">
        <v>810</v>
      </c>
      <c r="J2545" s="307">
        <v>792</v>
      </c>
      <c r="K2545" s="532">
        <f>ROUND(I2545*J2545,0)</f>
        <v>641520</v>
      </c>
      <c r="L2545" s="534" t="s">
        <v>223</v>
      </c>
      <c r="M2545" s="534" t="s">
        <v>162</v>
      </c>
      <c r="N2545" s="525" t="str">
        <f>IF(AND('331-CT'!$E$7=TH!H2545,OR(L2545="331",M2545="331")),"331",IF(AND(OR(L2545="131",M2545="131"),H2545='131-CT'!$E$7),"131",""))</f>
        <v/>
      </c>
      <c r="O2545" s="525" t="str">
        <f>IF(AND($B2545&gt;='111'!$N$11,$B2545&lt;='111'!$O$11,OR($L2545=$O$7,$M2545=$O$7)),"x","")</f>
        <v/>
      </c>
      <c r="P2545" s="525" t="str">
        <f>IF(AND($L2545=$O$7,$B2545&lt;'111'!$N$11),"x","")</f>
        <v/>
      </c>
      <c r="Q2545" s="525" t="str">
        <f>IF(AND($M2545=$O$7,$B2545&lt;'111'!$N$11),"x","")</f>
        <v/>
      </c>
      <c r="R2545" s="525" t="str">
        <f>IF(ISERROR(FIND('112'!$M$9,G2545,1)),"",IF((AND(FIND('112'!$M$9,G2545,1)&gt;=1,$B2545&gt;='112'!$N$8,$B2545&lt;='112'!$O$8,OR($L2545='112'!$I$6,$M2545='112'!$I$6))),"x",""))</f>
        <v/>
      </c>
      <c r="S2545" s="525" t="str">
        <f>IF(ISERROR(FIND('112'!$M$9,G2545,1)),"",IF((AND(LEFT(G2545,2)=LEFT('112'!$M$9,2),B2545&lt;'112'!$N$8,$L2545='112'!$I$6)),"x",""))</f>
        <v/>
      </c>
      <c r="T2545" s="525" t="str">
        <f>IF(ISERROR(FIND('112'!$M$9,G2545,1)),"",IF((AND(RIGHT(G2545,2)=RIGHT('112'!$M$9,2),B2545&lt;'112'!$N$8,$M2545='112'!$I$6)),"x",""))</f>
        <v/>
      </c>
      <c r="U2545" s="525" t="str">
        <f>IF(AND(B2545&gt;='IN-NX'!$P$3,B2545&lt;='IN-NX'!$Q$3,'IN-NX'!$D$7=D2545,OR(LEFT(L2545,2)="15",AND(LEFT(M2545,2)&lt;&gt;"15",LEFT(M2545,2)&lt;&gt;"33"))),"x","")</f>
        <v/>
      </c>
      <c r="V2545" s="525" t="str">
        <f>IF(AND(OR(LEFT(TH!L2545,2)="15",LEFT(TH!M2545,2)="15"),'152-CT'!$J$8=TH!F2545),"x","")</f>
        <v/>
      </c>
      <c r="W2545" s="525" t="str">
        <f>IF(AND(OR(LEFT(TH!L2545,2)="15",LEFT(TH!M2545,2)="15"),TK!$E$7=TH!F2545),"x","")</f>
        <v/>
      </c>
      <c r="X2545" s="525" t="str">
        <f>IF(AND('341-CT'!$E$9=H2545,OR(LEFT(L2545,3)=$X$7,LEFT(M2545,3)=$X$7)),"x","")</f>
        <v/>
      </c>
      <c r="Y2545" s="525" t="str">
        <f>IF(OR(TH!L2545=TH!$Y$7,M2545=TH!$Y$7),"x","")</f>
        <v/>
      </c>
      <c r="Z2545" s="525" t="str">
        <f>IF(AND(B2545&lt;=NKC!$N$8,B2545&gt;=NKC!$M$8),"x","")</f>
        <v/>
      </c>
      <c r="AA2545" s="535"/>
      <c r="AB2545" s="536"/>
    </row>
    <row r="2546" spans="1:28" s="503" customFormat="1" ht="15.75" customHeight="1">
      <c r="A2546" s="517" t="str">
        <f>IF(B2546&lt;&gt;"",IF(AND(B2546&gt;=_TM1,B2546&lt;=_TM2,OR(TH!L2546="1111",TH!M2546="1111")),TH!D2546,""),"")</f>
        <v/>
      </c>
      <c r="B2546" s="531">
        <f t="shared" si="223"/>
        <v>5</v>
      </c>
      <c r="C2546" s="315">
        <f t="shared" si="224"/>
        <v>42884</v>
      </c>
      <c r="D2546" s="315" t="s">
        <v>928</v>
      </c>
      <c r="E2546" s="315">
        <v>42884</v>
      </c>
      <c r="F2546" s="249" t="s">
        <v>501</v>
      </c>
      <c r="G2546" s="314" t="s">
        <v>1139</v>
      </c>
      <c r="H2546" s="473" t="s">
        <v>1140</v>
      </c>
      <c r="I2546" s="307"/>
      <c r="J2546" s="307"/>
      <c r="K2546" s="532">
        <v>122244</v>
      </c>
      <c r="L2546" s="534" t="s">
        <v>223</v>
      </c>
      <c r="M2546" s="534" t="s">
        <v>259</v>
      </c>
      <c r="N2546" s="525" t="str">
        <f>IF(AND('331-CT'!$E$7=TH!H2546,OR(L2546="331",M2546="331")),"331",IF(AND(OR(L2546="131",M2546="131"),H2546='131-CT'!$E$7),"131",""))</f>
        <v/>
      </c>
      <c r="O2546" s="525" t="str">
        <f>IF(AND($B2546&gt;='111'!$N$11,$B2546&lt;='111'!$O$11,OR($L2546=$O$7,$M2546=$O$7)),"x","")</f>
        <v/>
      </c>
      <c r="P2546" s="525" t="str">
        <f>IF(AND($L2546=$O$7,$B2546&lt;'111'!$N$11),"x","")</f>
        <v/>
      </c>
      <c r="Q2546" s="525" t="str">
        <f>IF(AND($M2546=$O$7,$B2546&lt;'111'!$N$11),"x","")</f>
        <v/>
      </c>
      <c r="R2546" s="525" t="str">
        <f>IF(ISERROR(FIND('112'!$M$9,G2546,1)),"",IF((AND(FIND('112'!$M$9,G2546,1)&gt;=1,$B2546&gt;='112'!$N$8,$B2546&lt;='112'!$O$8,OR($L2546='112'!$I$6,$M2546='112'!$I$6))),"x",""))</f>
        <v/>
      </c>
      <c r="S2546" s="525" t="str">
        <f>IF(ISERROR(FIND('112'!$M$9,G2546,1)),"",IF((AND(LEFT(G2546,2)=LEFT('112'!$M$9,2),B2546&lt;'112'!$N$8,$L2546='112'!$I$6)),"x",""))</f>
        <v/>
      </c>
      <c r="T2546" s="525" t="str">
        <f>IF(ISERROR(FIND('112'!$M$9,G2546,1)),"",IF((AND(RIGHT(G2546,2)=RIGHT('112'!$M$9,2),B2546&lt;'112'!$N$8,$M2546='112'!$I$6)),"x",""))</f>
        <v/>
      </c>
      <c r="U2546" s="525" t="str">
        <f>IF(AND(B2546&gt;='IN-NX'!$P$3,B2546&lt;='IN-NX'!$Q$3,'IN-NX'!$D$7=D2546,OR(LEFT(L2546,2)="15",AND(LEFT(M2546,2)&lt;&gt;"15",LEFT(M2546,2)&lt;&gt;"33"))),"x","")</f>
        <v/>
      </c>
      <c r="V2546" s="525" t="str">
        <f>IF(AND(OR(LEFT(TH!L2546,2)="15",LEFT(TH!M2546,2)="15"),'152-CT'!$J$8=TH!F2546),"x","")</f>
        <v/>
      </c>
      <c r="W2546" s="525" t="str">
        <f>IF(AND(OR(LEFT(TH!L2546,2)="15",LEFT(TH!M2546,2)="15"),TK!$E$7=TH!F2546),"x","")</f>
        <v/>
      </c>
      <c r="X2546" s="525" t="str">
        <f>IF(AND('341-CT'!$E$9=H2546,OR(LEFT(L2546,3)=$X$7,LEFT(M2546,3)=$X$7)),"x","")</f>
        <v/>
      </c>
      <c r="Y2546" s="525" t="str">
        <f>IF(OR(TH!L2546=TH!$Y$7,M2546=TH!$Y$7),"x","")</f>
        <v/>
      </c>
      <c r="Z2546" s="525" t="str">
        <f>IF(AND(B2546&lt;=NKC!$N$8,B2546&gt;=NKC!$M$8),"x","")</f>
        <v/>
      </c>
      <c r="AA2546" s="535"/>
      <c r="AB2546" s="536"/>
    </row>
    <row r="2547" spans="1:28" s="503" customFormat="1" ht="15.75" customHeight="1">
      <c r="A2547" s="517" t="str">
        <f>IF(B2547&lt;&gt;"",IF(AND(B2547&gt;=_TM1,B2547&lt;=_TM2,OR(TH!L2547="1111",TH!M2547="1111")),TH!D2547,""),"")</f>
        <v/>
      </c>
      <c r="B2547" s="531">
        <f t="shared" si="223"/>
        <v>5</v>
      </c>
      <c r="C2547" s="315">
        <f t="shared" si="224"/>
        <v>42886</v>
      </c>
      <c r="D2547" s="315" t="s">
        <v>929</v>
      </c>
      <c r="E2547" s="315">
        <v>42886</v>
      </c>
      <c r="F2547" s="250" t="s">
        <v>1160</v>
      </c>
      <c r="G2547" s="314" t="s">
        <v>1141</v>
      </c>
      <c r="H2547" s="473" t="s">
        <v>284</v>
      </c>
      <c r="I2547" s="307">
        <v>30</v>
      </c>
      <c r="J2547" s="307">
        <v>64874</v>
      </c>
      <c r="K2547" s="532">
        <f t="shared" ref="K2547:K2578" si="226">ROUND(I2547*J2547,0)</f>
        <v>1946220</v>
      </c>
      <c r="L2547" s="534" t="s">
        <v>223</v>
      </c>
      <c r="M2547" s="534" t="s">
        <v>162</v>
      </c>
      <c r="N2547" s="525" t="str">
        <f>IF(AND('331-CT'!$E$7=TH!H2547,OR(L2547="331",M2547="331")),"331",IF(AND(OR(L2547="131",M2547="131"),H2547='131-CT'!$E$7),"131",""))</f>
        <v/>
      </c>
      <c r="O2547" s="525" t="str">
        <f>IF(AND($B2547&gt;='111'!$N$11,$B2547&lt;='111'!$O$11,OR($L2547=$O$7,$M2547=$O$7)),"x","")</f>
        <v/>
      </c>
      <c r="P2547" s="525" t="str">
        <f>IF(AND($L2547=$O$7,$B2547&lt;'111'!$N$11),"x","")</f>
        <v/>
      </c>
      <c r="Q2547" s="525" t="str">
        <f>IF(AND($M2547=$O$7,$B2547&lt;'111'!$N$11),"x","")</f>
        <v/>
      </c>
      <c r="R2547" s="525" t="str">
        <f>IF(ISERROR(FIND('112'!$M$9,G2547,1)),"",IF((AND(FIND('112'!$M$9,G2547,1)&gt;=1,$B2547&gt;='112'!$N$8,$B2547&lt;='112'!$O$8,OR($L2547='112'!$I$6,$M2547='112'!$I$6))),"x",""))</f>
        <v/>
      </c>
      <c r="S2547" s="525" t="str">
        <f>IF(ISERROR(FIND('112'!$M$9,G2547,1)),"",IF((AND(LEFT(G2547,2)=LEFT('112'!$M$9,2),B2547&lt;'112'!$N$8,$L2547='112'!$I$6)),"x",""))</f>
        <v/>
      </c>
      <c r="T2547" s="525" t="str">
        <f>IF(ISERROR(FIND('112'!$M$9,G2547,1)),"",IF((AND(RIGHT(G2547,2)=RIGHT('112'!$M$9,2),B2547&lt;'112'!$N$8,$M2547='112'!$I$6)),"x",""))</f>
        <v/>
      </c>
      <c r="U2547" s="525" t="str">
        <f>IF(AND(B2547&gt;='IN-NX'!$P$3,B2547&lt;='IN-NX'!$Q$3,'IN-NX'!$D$7=D2547,OR(LEFT(L2547,2)="15",AND(LEFT(M2547,2)&lt;&gt;"15",LEFT(M2547,2)&lt;&gt;"33"))),"x","")</f>
        <v/>
      </c>
      <c r="V2547" s="525" t="str">
        <f>IF(AND(OR(LEFT(TH!L2547,2)="15",LEFT(TH!M2547,2)="15"),'152-CT'!$J$8=TH!F2547),"x","")</f>
        <v/>
      </c>
      <c r="W2547" s="525" t="str">
        <f>IF(AND(OR(LEFT(TH!L2547,2)="15",LEFT(TH!M2547,2)="15"),TK!$E$7=TH!F2547),"x","")</f>
        <v/>
      </c>
      <c r="X2547" s="525" t="str">
        <f>IF(AND('341-CT'!$E$9=H2547,OR(LEFT(L2547,3)=$X$7,LEFT(M2547,3)=$X$7)),"x","")</f>
        <v/>
      </c>
      <c r="Y2547" s="525" t="str">
        <f>IF(OR(TH!L2547=TH!$Y$7,M2547=TH!$Y$7),"x","")</f>
        <v/>
      </c>
      <c r="Z2547" s="525" t="str">
        <f>IF(AND(B2547&lt;=NKC!$N$8,B2547&gt;=NKC!$M$8),"x","")</f>
        <v/>
      </c>
      <c r="AA2547" s="535"/>
      <c r="AB2547" s="536"/>
    </row>
    <row r="2548" spans="1:28" s="503" customFormat="1" ht="15.75" customHeight="1">
      <c r="A2548" s="517" t="str">
        <f>IF(B2548&lt;&gt;"",IF(AND(B2548&gt;=_TM1,B2548&lt;=_TM2,OR(TH!L2548="1111",TH!M2548="1111")),TH!D2548,""),"")</f>
        <v/>
      </c>
      <c r="B2548" s="531">
        <f t="shared" si="223"/>
        <v>5</v>
      </c>
      <c r="C2548" s="315">
        <f t="shared" si="224"/>
        <v>42886</v>
      </c>
      <c r="D2548" s="315" t="s">
        <v>929</v>
      </c>
      <c r="E2548" s="315">
        <v>42886</v>
      </c>
      <c r="F2548" s="249" t="s">
        <v>1161</v>
      </c>
      <c r="G2548" s="314" t="s">
        <v>1141</v>
      </c>
      <c r="H2548" s="473" t="s">
        <v>284</v>
      </c>
      <c r="I2548" s="307">
        <v>30</v>
      </c>
      <c r="J2548" s="307">
        <v>49290</v>
      </c>
      <c r="K2548" s="532">
        <f t="shared" si="226"/>
        <v>1478700</v>
      </c>
      <c r="L2548" s="534" t="s">
        <v>223</v>
      </c>
      <c r="M2548" s="534" t="s">
        <v>162</v>
      </c>
      <c r="N2548" s="525" t="str">
        <f>IF(AND('331-CT'!$E$7=TH!H2548,OR(L2548="331",M2548="331")),"331",IF(AND(OR(L2548="131",M2548="131"),H2548='131-CT'!$E$7),"131",""))</f>
        <v/>
      </c>
      <c r="O2548" s="525" t="str">
        <f>IF(AND($B2548&gt;='111'!$N$11,$B2548&lt;='111'!$O$11,OR($L2548=$O$7,$M2548=$O$7)),"x","")</f>
        <v/>
      </c>
      <c r="P2548" s="525" t="str">
        <f>IF(AND($L2548=$O$7,$B2548&lt;'111'!$N$11),"x","")</f>
        <v/>
      </c>
      <c r="Q2548" s="525" t="str">
        <f>IF(AND($M2548=$O$7,$B2548&lt;'111'!$N$11),"x","")</f>
        <v/>
      </c>
      <c r="R2548" s="525" t="str">
        <f>IF(ISERROR(FIND('112'!$M$9,G2548,1)),"",IF((AND(FIND('112'!$M$9,G2548,1)&gt;=1,$B2548&gt;='112'!$N$8,$B2548&lt;='112'!$O$8,OR($L2548='112'!$I$6,$M2548='112'!$I$6))),"x",""))</f>
        <v/>
      </c>
      <c r="S2548" s="525" t="str">
        <f>IF(ISERROR(FIND('112'!$M$9,G2548,1)),"",IF((AND(LEFT(G2548,2)=LEFT('112'!$M$9,2),B2548&lt;'112'!$N$8,$L2548='112'!$I$6)),"x",""))</f>
        <v/>
      </c>
      <c r="T2548" s="525" t="str">
        <f>IF(ISERROR(FIND('112'!$M$9,G2548,1)),"",IF((AND(RIGHT(G2548,2)=RIGHT('112'!$M$9,2),B2548&lt;'112'!$N$8,$M2548='112'!$I$6)),"x",""))</f>
        <v/>
      </c>
      <c r="U2548" s="525" t="str">
        <f>IF(AND(B2548&gt;='IN-NX'!$P$3,B2548&lt;='IN-NX'!$Q$3,'IN-NX'!$D$7=D2548,OR(LEFT(L2548,2)="15",AND(LEFT(M2548,2)&lt;&gt;"15",LEFT(M2548,2)&lt;&gt;"33"))),"x","")</f>
        <v/>
      </c>
      <c r="V2548" s="525" t="str">
        <f>IF(AND(OR(LEFT(TH!L2548,2)="15",LEFT(TH!M2548,2)="15"),'152-CT'!$J$8=TH!F2548),"x","")</f>
        <v/>
      </c>
      <c r="W2548" s="525" t="str">
        <f>IF(AND(OR(LEFT(TH!L2548,2)="15",LEFT(TH!M2548,2)="15"),TK!$E$7=TH!F2548),"x","")</f>
        <v/>
      </c>
      <c r="X2548" s="525" t="str">
        <f>IF(AND('341-CT'!$E$9=H2548,OR(LEFT(L2548,3)=$X$7,LEFT(M2548,3)=$X$7)),"x","")</f>
        <v/>
      </c>
      <c r="Y2548" s="525" t="str">
        <f>IF(OR(TH!L2548=TH!$Y$7,M2548=TH!$Y$7),"x","")</f>
        <v/>
      </c>
      <c r="Z2548" s="525" t="str">
        <f>IF(AND(B2548&lt;=NKC!$N$8,B2548&gt;=NKC!$M$8),"x","")</f>
        <v/>
      </c>
      <c r="AA2548" s="535"/>
      <c r="AB2548" s="536"/>
    </row>
    <row r="2549" spans="1:28" s="503" customFormat="1" ht="15.75" customHeight="1">
      <c r="A2549" s="517" t="str">
        <f>IF(B2549&lt;&gt;"",IF(AND(B2549&gt;=_TM1,B2549&lt;=_TM2,OR(TH!L2549="1111",TH!M2549="1111")),TH!D2549,""),"")</f>
        <v/>
      </c>
      <c r="B2549" s="531">
        <f t="shared" si="223"/>
        <v>5</v>
      </c>
      <c r="C2549" s="315">
        <f t="shared" si="224"/>
        <v>42886</v>
      </c>
      <c r="D2549" s="315" t="s">
        <v>929</v>
      </c>
      <c r="E2549" s="315">
        <v>42886</v>
      </c>
      <c r="F2549" s="250" t="s">
        <v>655</v>
      </c>
      <c r="G2549" s="314" t="s">
        <v>1141</v>
      </c>
      <c r="H2549" s="473" t="s">
        <v>284</v>
      </c>
      <c r="I2549" s="307">
        <v>40</v>
      </c>
      <c r="J2549" s="307">
        <v>51566</v>
      </c>
      <c r="K2549" s="532">
        <f t="shared" si="226"/>
        <v>2062640</v>
      </c>
      <c r="L2549" s="534" t="s">
        <v>223</v>
      </c>
      <c r="M2549" s="534" t="s">
        <v>162</v>
      </c>
      <c r="N2549" s="525" t="str">
        <f>IF(AND('331-CT'!$E$7=TH!H2549,OR(L2549="331",M2549="331")),"331",IF(AND(OR(L2549="131",M2549="131"),H2549='131-CT'!$E$7),"131",""))</f>
        <v/>
      </c>
      <c r="O2549" s="525" t="str">
        <f>IF(AND($B2549&gt;='111'!$N$11,$B2549&lt;='111'!$O$11,OR($L2549=$O$7,$M2549=$O$7)),"x","")</f>
        <v/>
      </c>
      <c r="P2549" s="525" t="str">
        <f>IF(AND($L2549=$O$7,$B2549&lt;'111'!$N$11),"x","")</f>
        <v/>
      </c>
      <c r="Q2549" s="525" t="str">
        <f>IF(AND($M2549=$O$7,$B2549&lt;'111'!$N$11),"x","")</f>
        <v/>
      </c>
      <c r="R2549" s="525" t="str">
        <f>IF(ISERROR(FIND('112'!$M$9,G2549,1)),"",IF((AND(FIND('112'!$M$9,G2549,1)&gt;=1,$B2549&gt;='112'!$N$8,$B2549&lt;='112'!$O$8,OR($L2549='112'!$I$6,$M2549='112'!$I$6))),"x",""))</f>
        <v/>
      </c>
      <c r="S2549" s="525" t="str">
        <f>IF(ISERROR(FIND('112'!$M$9,G2549,1)),"",IF((AND(LEFT(G2549,2)=LEFT('112'!$M$9,2),B2549&lt;'112'!$N$8,$L2549='112'!$I$6)),"x",""))</f>
        <v/>
      </c>
      <c r="T2549" s="525" t="str">
        <f>IF(ISERROR(FIND('112'!$M$9,G2549,1)),"",IF((AND(RIGHT(G2549,2)=RIGHT('112'!$M$9,2),B2549&lt;'112'!$N$8,$M2549='112'!$I$6)),"x",""))</f>
        <v/>
      </c>
      <c r="U2549" s="525" t="str">
        <f>IF(AND(B2549&gt;='IN-NX'!$P$3,B2549&lt;='IN-NX'!$Q$3,'IN-NX'!$D$7=D2549,OR(LEFT(L2549,2)="15",AND(LEFT(M2549,2)&lt;&gt;"15",LEFT(M2549,2)&lt;&gt;"33"))),"x","")</f>
        <v/>
      </c>
      <c r="V2549" s="525" t="str">
        <f>IF(AND(OR(LEFT(TH!L2549,2)="15",LEFT(TH!M2549,2)="15"),'152-CT'!$J$8=TH!F2549),"x","")</f>
        <v/>
      </c>
      <c r="W2549" s="525" t="str">
        <f>IF(AND(OR(LEFT(TH!L2549,2)="15",LEFT(TH!M2549,2)="15"),TK!$E$7=TH!F2549),"x","")</f>
        <v/>
      </c>
      <c r="X2549" s="525" t="str">
        <f>IF(AND('341-CT'!$E$9=H2549,OR(LEFT(L2549,3)=$X$7,LEFT(M2549,3)=$X$7)),"x","")</f>
        <v/>
      </c>
      <c r="Y2549" s="525" t="str">
        <f>IF(OR(TH!L2549=TH!$Y$7,M2549=TH!$Y$7),"x","")</f>
        <v/>
      </c>
      <c r="Z2549" s="525" t="str">
        <f>IF(AND(B2549&lt;=NKC!$N$8,B2549&gt;=NKC!$M$8),"x","")</f>
        <v/>
      </c>
      <c r="AA2549" s="535"/>
      <c r="AB2549" s="536"/>
    </row>
    <row r="2550" spans="1:28" s="503" customFormat="1" ht="15.75" customHeight="1">
      <c r="A2550" s="517" t="str">
        <f>IF(B2550&lt;&gt;"",IF(AND(B2550&gt;=_TM1,B2550&lt;=_TM2,OR(TH!L2550="1111",TH!M2550="1111")),TH!D2550,""),"")</f>
        <v/>
      </c>
      <c r="B2550" s="531">
        <f t="shared" si="223"/>
        <v>5</v>
      </c>
      <c r="C2550" s="315">
        <f t="shared" si="224"/>
        <v>42886</v>
      </c>
      <c r="D2550" s="315" t="s">
        <v>929</v>
      </c>
      <c r="E2550" s="315">
        <v>42886</v>
      </c>
      <c r="F2550" s="250" t="s">
        <v>1162</v>
      </c>
      <c r="G2550" s="314" t="s">
        <v>1141</v>
      </c>
      <c r="H2550" s="473" t="s">
        <v>284</v>
      </c>
      <c r="I2550" s="307">
        <v>20</v>
      </c>
      <c r="J2550" s="307">
        <v>189457</v>
      </c>
      <c r="K2550" s="532">
        <f t="shared" si="226"/>
        <v>3789140</v>
      </c>
      <c r="L2550" s="534" t="s">
        <v>223</v>
      </c>
      <c r="M2550" s="534" t="s">
        <v>162</v>
      </c>
      <c r="N2550" s="525" t="str">
        <f>IF(AND('331-CT'!$E$7=TH!H2550,OR(L2550="331",M2550="331")),"331",IF(AND(OR(L2550="131",M2550="131"),H2550='131-CT'!$E$7),"131",""))</f>
        <v/>
      </c>
      <c r="O2550" s="525" t="str">
        <f>IF(AND($B2550&gt;='111'!$N$11,$B2550&lt;='111'!$O$11,OR($L2550=$O$7,$M2550=$O$7)),"x","")</f>
        <v/>
      </c>
      <c r="P2550" s="525" t="str">
        <f>IF(AND($L2550=$O$7,$B2550&lt;'111'!$N$11),"x","")</f>
        <v/>
      </c>
      <c r="Q2550" s="525" t="str">
        <f>IF(AND($M2550=$O$7,$B2550&lt;'111'!$N$11),"x","")</f>
        <v/>
      </c>
      <c r="R2550" s="525" t="str">
        <f>IF(ISERROR(FIND('112'!$M$9,G2550,1)),"",IF((AND(FIND('112'!$M$9,G2550,1)&gt;=1,$B2550&gt;='112'!$N$8,$B2550&lt;='112'!$O$8,OR($L2550='112'!$I$6,$M2550='112'!$I$6))),"x",""))</f>
        <v/>
      </c>
      <c r="S2550" s="525" t="str">
        <f>IF(ISERROR(FIND('112'!$M$9,G2550,1)),"",IF((AND(LEFT(G2550,2)=LEFT('112'!$M$9,2),B2550&lt;'112'!$N$8,$L2550='112'!$I$6)),"x",""))</f>
        <v/>
      </c>
      <c r="T2550" s="525" t="str">
        <f>IF(ISERROR(FIND('112'!$M$9,G2550,1)),"",IF((AND(RIGHT(G2550,2)=RIGHT('112'!$M$9,2),B2550&lt;'112'!$N$8,$M2550='112'!$I$6)),"x",""))</f>
        <v/>
      </c>
      <c r="U2550" s="525" t="str">
        <f>IF(AND(B2550&gt;='IN-NX'!$P$3,B2550&lt;='IN-NX'!$Q$3,'IN-NX'!$D$7=D2550,OR(LEFT(L2550,2)="15",AND(LEFT(M2550,2)&lt;&gt;"15",LEFT(M2550,2)&lt;&gt;"33"))),"x","")</f>
        <v/>
      </c>
      <c r="V2550" s="525" t="str">
        <f>IF(AND(OR(LEFT(TH!L2550,2)="15",LEFT(TH!M2550,2)="15"),'152-CT'!$J$8=TH!F2550),"x","")</f>
        <v/>
      </c>
      <c r="W2550" s="525" t="str">
        <f>IF(AND(OR(LEFT(TH!L2550,2)="15",LEFT(TH!M2550,2)="15"),TK!$E$7=TH!F2550),"x","")</f>
        <v/>
      </c>
      <c r="X2550" s="525" t="str">
        <f>IF(AND('341-CT'!$E$9=H2550,OR(LEFT(L2550,3)=$X$7,LEFT(M2550,3)=$X$7)),"x","")</f>
        <v/>
      </c>
      <c r="Y2550" s="525" t="str">
        <f>IF(OR(TH!L2550=TH!$Y$7,M2550=TH!$Y$7),"x","")</f>
        <v/>
      </c>
      <c r="Z2550" s="525" t="str">
        <f>IF(AND(B2550&lt;=NKC!$N$8,B2550&gt;=NKC!$M$8),"x","")</f>
        <v/>
      </c>
      <c r="AA2550" s="535"/>
      <c r="AB2550" s="536"/>
    </row>
    <row r="2551" spans="1:28" s="503" customFormat="1" ht="15.75" customHeight="1">
      <c r="A2551" s="517" t="str">
        <f>IF(B2551&lt;&gt;"",IF(AND(B2551&gt;=_TM1,B2551&lt;=_TM2,OR(TH!L2551="1111",TH!M2551="1111")),TH!D2551,""),"")</f>
        <v/>
      </c>
      <c r="B2551" s="531">
        <f t="shared" si="223"/>
        <v>5</v>
      </c>
      <c r="C2551" s="315">
        <f t="shared" si="224"/>
        <v>42886</v>
      </c>
      <c r="D2551" s="315" t="s">
        <v>929</v>
      </c>
      <c r="E2551" s="315">
        <v>42886</v>
      </c>
      <c r="F2551" s="250" t="s">
        <v>1163</v>
      </c>
      <c r="G2551" s="314" t="s">
        <v>1141</v>
      </c>
      <c r="H2551" s="473" t="s">
        <v>284</v>
      </c>
      <c r="I2551" s="307">
        <v>20</v>
      </c>
      <c r="J2551" s="307">
        <v>44829</v>
      </c>
      <c r="K2551" s="532">
        <f t="shared" si="226"/>
        <v>896580</v>
      </c>
      <c r="L2551" s="534" t="s">
        <v>223</v>
      </c>
      <c r="M2551" s="534" t="s">
        <v>162</v>
      </c>
      <c r="N2551" s="525" t="str">
        <f>IF(AND('331-CT'!$E$7=TH!H2551,OR(L2551="331",M2551="331")),"331",IF(AND(OR(L2551="131",M2551="131"),H2551='131-CT'!$E$7),"131",""))</f>
        <v/>
      </c>
      <c r="O2551" s="525" t="str">
        <f>IF(AND($B2551&gt;='111'!$N$11,$B2551&lt;='111'!$O$11,OR($L2551=$O$7,$M2551=$O$7)),"x","")</f>
        <v/>
      </c>
      <c r="P2551" s="525" t="str">
        <f>IF(AND($L2551=$O$7,$B2551&lt;'111'!$N$11),"x","")</f>
        <v/>
      </c>
      <c r="Q2551" s="525" t="str">
        <f>IF(AND($M2551=$O$7,$B2551&lt;'111'!$N$11),"x","")</f>
        <v/>
      </c>
      <c r="R2551" s="525" t="str">
        <f>IF(ISERROR(FIND('112'!$M$9,G2551,1)),"",IF((AND(FIND('112'!$M$9,G2551,1)&gt;=1,$B2551&gt;='112'!$N$8,$B2551&lt;='112'!$O$8,OR($L2551='112'!$I$6,$M2551='112'!$I$6))),"x",""))</f>
        <v/>
      </c>
      <c r="S2551" s="525" t="str">
        <f>IF(ISERROR(FIND('112'!$M$9,G2551,1)),"",IF((AND(LEFT(G2551,2)=LEFT('112'!$M$9,2),B2551&lt;'112'!$N$8,$L2551='112'!$I$6)),"x",""))</f>
        <v/>
      </c>
      <c r="T2551" s="525" t="str">
        <f>IF(ISERROR(FIND('112'!$M$9,G2551,1)),"",IF((AND(RIGHT(G2551,2)=RIGHT('112'!$M$9,2),B2551&lt;'112'!$N$8,$M2551='112'!$I$6)),"x",""))</f>
        <v/>
      </c>
      <c r="U2551" s="525" t="str">
        <f>IF(AND(B2551&gt;='IN-NX'!$P$3,B2551&lt;='IN-NX'!$Q$3,'IN-NX'!$D$7=D2551,OR(LEFT(L2551,2)="15",AND(LEFT(M2551,2)&lt;&gt;"15",LEFT(M2551,2)&lt;&gt;"33"))),"x","")</f>
        <v/>
      </c>
      <c r="V2551" s="525" t="str">
        <f>IF(AND(OR(LEFT(TH!L2551,2)="15",LEFT(TH!M2551,2)="15"),'152-CT'!$J$8=TH!F2551),"x","")</f>
        <v/>
      </c>
      <c r="W2551" s="525" t="str">
        <f>IF(AND(OR(LEFT(TH!L2551,2)="15",LEFT(TH!M2551,2)="15"),TK!$E$7=TH!F2551),"x","")</f>
        <v/>
      </c>
      <c r="X2551" s="525" t="str">
        <f>IF(AND('341-CT'!$E$9=H2551,OR(LEFT(L2551,3)=$X$7,LEFT(M2551,3)=$X$7)),"x","")</f>
        <v/>
      </c>
      <c r="Y2551" s="525" t="str">
        <f>IF(OR(TH!L2551=TH!$Y$7,M2551=TH!$Y$7),"x","")</f>
        <v/>
      </c>
      <c r="Z2551" s="525" t="str">
        <f>IF(AND(B2551&lt;=NKC!$N$8,B2551&gt;=NKC!$M$8),"x","")</f>
        <v/>
      </c>
      <c r="AA2551" s="535"/>
      <c r="AB2551" s="536"/>
    </row>
    <row r="2552" spans="1:28" s="503" customFormat="1" ht="15.75" customHeight="1">
      <c r="A2552" s="517" t="str">
        <f>IF(B2552&lt;&gt;"",IF(AND(B2552&gt;=_TM1,B2552&lt;=_TM2,OR(TH!L2552="1111",TH!M2552="1111")),TH!D2552,""),"")</f>
        <v/>
      </c>
      <c r="B2552" s="531">
        <f t="shared" si="223"/>
        <v>5</v>
      </c>
      <c r="C2552" s="315">
        <f t="shared" si="224"/>
        <v>42886</v>
      </c>
      <c r="D2552" s="315" t="s">
        <v>929</v>
      </c>
      <c r="E2552" s="315">
        <v>42886</v>
      </c>
      <c r="F2552" s="250" t="s">
        <v>731</v>
      </c>
      <c r="G2552" s="314" t="s">
        <v>1141</v>
      </c>
      <c r="H2552" s="473" t="s">
        <v>284</v>
      </c>
      <c r="I2552" s="307">
        <v>14</v>
      </c>
      <c r="J2552" s="307">
        <v>56522</v>
      </c>
      <c r="K2552" s="532">
        <f t="shared" si="226"/>
        <v>791308</v>
      </c>
      <c r="L2552" s="534" t="s">
        <v>223</v>
      </c>
      <c r="M2552" s="534" t="s">
        <v>162</v>
      </c>
      <c r="N2552" s="525" t="str">
        <f>IF(AND('331-CT'!$E$7=TH!H2552,OR(L2552="331",M2552="331")),"331",IF(AND(OR(L2552="131",M2552="131"),H2552='131-CT'!$E$7),"131",""))</f>
        <v/>
      </c>
      <c r="O2552" s="525" t="str">
        <f>IF(AND($B2552&gt;='111'!$N$11,$B2552&lt;='111'!$O$11,OR($L2552=$O$7,$M2552=$O$7)),"x","")</f>
        <v/>
      </c>
      <c r="P2552" s="525" t="str">
        <f>IF(AND($L2552=$O$7,$B2552&lt;'111'!$N$11),"x","")</f>
        <v/>
      </c>
      <c r="Q2552" s="525" t="str">
        <f>IF(AND($M2552=$O$7,$B2552&lt;'111'!$N$11),"x","")</f>
        <v/>
      </c>
      <c r="R2552" s="525" t="str">
        <f>IF(ISERROR(FIND('112'!$M$9,G2552,1)),"",IF((AND(FIND('112'!$M$9,G2552,1)&gt;=1,$B2552&gt;='112'!$N$8,$B2552&lt;='112'!$O$8,OR($L2552='112'!$I$6,$M2552='112'!$I$6))),"x",""))</f>
        <v/>
      </c>
      <c r="S2552" s="525" t="str">
        <f>IF(ISERROR(FIND('112'!$M$9,G2552,1)),"",IF((AND(LEFT(G2552,2)=LEFT('112'!$M$9,2),B2552&lt;'112'!$N$8,$L2552='112'!$I$6)),"x",""))</f>
        <v/>
      </c>
      <c r="T2552" s="525" t="str">
        <f>IF(ISERROR(FIND('112'!$M$9,G2552,1)),"",IF((AND(RIGHT(G2552,2)=RIGHT('112'!$M$9,2),B2552&lt;'112'!$N$8,$M2552='112'!$I$6)),"x",""))</f>
        <v/>
      </c>
      <c r="U2552" s="525" t="str">
        <f>IF(AND(B2552&gt;='IN-NX'!$P$3,B2552&lt;='IN-NX'!$Q$3,'IN-NX'!$D$7=D2552,OR(LEFT(L2552,2)="15",AND(LEFT(M2552,2)&lt;&gt;"15",LEFT(M2552,2)&lt;&gt;"33"))),"x","")</f>
        <v/>
      </c>
      <c r="V2552" s="525" t="str">
        <f>IF(AND(OR(LEFT(TH!L2552,2)="15",LEFT(TH!M2552,2)="15"),'152-CT'!$J$8=TH!F2552),"x","")</f>
        <v/>
      </c>
      <c r="W2552" s="525" t="str">
        <f>IF(AND(OR(LEFT(TH!L2552,2)="15",LEFT(TH!M2552,2)="15"),TK!$E$7=TH!F2552),"x","")</f>
        <v/>
      </c>
      <c r="X2552" s="525" t="str">
        <f>IF(AND('341-CT'!$E$9=H2552,OR(LEFT(L2552,3)=$X$7,LEFT(M2552,3)=$X$7)),"x","")</f>
        <v/>
      </c>
      <c r="Y2552" s="525" t="str">
        <f>IF(OR(TH!L2552=TH!$Y$7,M2552=TH!$Y$7),"x","")</f>
        <v/>
      </c>
      <c r="Z2552" s="525" t="str">
        <f>IF(AND(B2552&lt;=NKC!$N$8,B2552&gt;=NKC!$M$8),"x","")</f>
        <v/>
      </c>
      <c r="AA2552" s="535"/>
      <c r="AB2552" s="536"/>
    </row>
    <row r="2553" spans="1:28" s="503" customFormat="1" ht="15.75" customHeight="1">
      <c r="A2553" s="517" t="str">
        <f>IF(B2553&lt;&gt;"",IF(AND(B2553&gt;=_TM1,B2553&lt;=_TM2,OR(TH!L2553="1111",TH!M2553="1111")),TH!D2553,""),"")</f>
        <v/>
      </c>
      <c r="B2553" s="531">
        <f t="shared" si="223"/>
        <v>5</v>
      </c>
      <c r="C2553" s="315">
        <f t="shared" si="224"/>
        <v>42886</v>
      </c>
      <c r="D2553" s="315" t="s">
        <v>929</v>
      </c>
      <c r="E2553" s="315">
        <v>42886</v>
      </c>
      <c r="F2553" s="250" t="s">
        <v>733</v>
      </c>
      <c r="G2553" s="314" t="s">
        <v>1141</v>
      </c>
      <c r="H2553" s="473" t="s">
        <v>284</v>
      </c>
      <c r="I2553" s="307">
        <v>54</v>
      </c>
      <c r="J2553" s="307">
        <v>46080</v>
      </c>
      <c r="K2553" s="532">
        <f t="shared" si="226"/>
        <v>2488320</v>
      </c>
      <c r="L2553" s="534" t="s">
        <v>223</v>
      </c>
      <c r="M2553" s="534" t="s">
        <v>162</v>
      </c>
      <c r="N2553" s="525" t="str">
        <f>IF(AND('331-CT'!$E$7=TH!H2553,OR(L2553="331",M2553="331")),"331",IF(AND(OR(L2553="131",M2553="131"),H2553='131-CT'!$E$7),"131",""))</f>
        <v/>
      </c>
      <c r="O2553" s="525" t="str">
        <f>IF(AND($B2553&gt;='111'!$N$11,$B2553&lt;='111'!$O$11,OR($L2553=$O$7,$M2553=$O$7)),"x","")</f>
        <v/>
      </c>
      <c r="P2553" s="525" t="str">
        <f>IF(AND($L2553=$O$7,$B2553&lt;'111'!$N$11),"x","")</f>
        <v/>
      </c>
      <c r="Q2553" s="525" t="str">
        <f>IF(AND($M2553=$O$7,$B2553&lt;'111'!$N$11),"x","")</f>
        <v/>
      </c>
      <c r="R2553" s="525" t="str">
        <f>IF(ISERROR(FIND('112'!$M$9,G2553,1)),"",IF((AND(FIND('112'!$M$9,G2553,1)&gt;=1,$B2553&gt;='112'!$N$8,$B2553&lt;='112'!$O$8,OR($L2553='112'!$I$6,$M2553='112'!$I$6))),"x",""))</f>
        <v/>
      </c>
      <c r="S2553" s="525" t="str">
        <f>IF(ISERROR(FIND('112'!$M$9,G2553,1)),"",IF((AND(LEFT(G2553,2)=LEFT('112'!$M$9,2),B2553&lt;'112'!$N$8,$L2553='112'!$I$6)),"x",""))</f>
        <v/>
      </c>
      <c r="T2553" s="525" t="str">
        <f>IF(ISERROR(FIND('112'!$M$9,G2553,1)),"",IF((AND(RIGHT(G2553,2)=RIGHT('112'!$M$9,2),B2553&lt;'112'!$N$8,$M2553='112'!$I$6)),"x",""))</f>
        <v/>
      </c>
      <c r="U2553" s="525" t="str">
        <f>IF(AND(B2553&gt;='IN-NX'!$P$3,B2553&lt;='IN-NX'!$Q$3,'IN-NX'!$D$7=D2553,OR(LEFT(L2553,2)="15",AND(LEFT(M2553,2)&lt;&gt;"15",LEFT(M2553,2)&lt;&gt;"33"))),"x","")</f>
        <v/>
      </c>
      <c r="V2553" s="525" t="str">
        <f>IF(AND(OR(LEFT(TH!L2553,2)="15",LEFT(TH!M2553,2)="15"),'152-CT'!$J$8=TH!F2553),"x","")</f>
        <v/>
      </c>
      <c r="W2553" s="525" t="str">
        <f>IF(AND(OR(LEFT(TH!L2553,2)="15",LEFT(TH!M2553,2)="15"),TK!$E$7=TH!F2553),"x","")</f>
        <v/>
      </c>
      <c r="X2553" s="525" t="str">
        <f>IF(AND('341-CT'!$E$9=H2553,OR(LEFT(L2553,3)=$X$7,LEFT(M2553,3)=$X$7)),"x","")</f>
        <v/>
      </c>
      <c r="Y2553" s="525" t="str">
        <f>IF(OR(TH!L2553=TH!$Y$7,M2553=TH!$Y$7),"x","")</f>
        <v/>
      </c>
      <c r="Z2553" s="525" t="str">
        <f>IF(AND(B2553&lt;=NKC!$N$8,B2553&gt;=NKC!$M$8),"x","")</f>
        <v/>
      </c>
      <c r="AA2553" s="535"/>
      <c r="AB2553" s="536"/>
    </row>
    <row r="2554" spans="1:28" s="503" customFormat="1" ht="15.75" customHeight="1">
      <c r="A2554" s="517" t="str">
        <f>IF(B2554&lt;&gt;"",IF(AND(B2554&gt;=_TM1,B2554&lt;=_TM2,OR(TH!L2554="1111",TH!M2554="1111")),TH!D2554,""),"")</f>
        <v/>
      </c>
      <c r="B2554" s="531">
        <f t="shared" si="223"/>
        <v>5</v>
      </c>
      <c r="C2554" s="315">
        <f t="shared" si="224"/>
        <v>42886</v>
      </c>
      <c r="D2554" s="315" t="s">
        <v>929</v>
      </c>
      <c r="E2554" s="315">
        <v>42886</v>
      </c>
      <c r="F2554" s="250" t="s">
        <v>1026</v>
      </c>
      <c r="G2554" s="314" t="s">
        <v>1141</v>
      </c>
      <c r="H2554" s="473" t="s">
        <v>284</v>
      </c>
      <c r="I2554" s="307">
        <v>12</v>
      </c>
      <c r="J2554" s="307">
        <v>91716</v>
      </c>
      <c r="K2554" s="532">
        <f t="shared" si="226"/>
        <v>1100592</v>
      </c>
      <c r="L2554" s="534" t="s">
        <v>223</v>
      </c>
      <c r="M2554" s="534" t="s">
        <v>162</v>
      </c>
      <c r="N2554" s="525" t="str">
        <f>IF(AND('331-CT'!$E$7=TH!H2554,OR(L2554="331",M2554="331")),"331",IF(AND(OR(L2554="131",M2554="131"),H2554='131-CT'!$E$7),"131",""))</f>
        <v/>
      </c>
      <c r="O2554" s="525" t="str">
        <f>IF(AND($B2554&gt;='111'!$N$11,$B2554&lt;='111'!$O$11,OR($L2554=$O$7,$M2554=$O$7)),"x","")</f>
        <v/>
      </c>
      <c r="P2554" s="525" t="str">
        <f>IF(AND($L2554=$O$7,$B2554&lt;'111'!$N$11),"x","")</f>
        <v/>
      </c>
      <c r="Q2554" s="525" t="str">
        <f>IF(AND($M2554=$O$7,$B2554&lt;'111'!$N$11),"x","")</f>
        <v/>
      </c>
      <c r="R2554" s="525" t="str">
        <f>IF(ISERROR(FIND('112'!$M$9,G2554,1)),"",IF((AND(FIND('112'!$M$9,G2554,1)&gt;=1,$B2554&gt;='112'!$N$8,$B2554&lt;='112'!$O$8,OR($L2554='112'!$I$6,$M2554='112'!$I$6))),"x",""))</f>
        <v/>
      </c>
      <c r="S2554" s="525" t="str">
        <f>IF(ISERROR(FIND('112'!$M$9,G2554,1)),"",IF((AND(LEFT(G2554,2)=LEFT('112'!$M$9,2),B2554&lt;'112'!$N$8,$L2554='112'!$I$6)),"x",""))</f>
        <v/>
      </c>
      <c r="T2554" s="525" t="str">
        <f>IF(ISERROR(FIND('112'!$M$9,G2554,1)),"",IF((AND(RIGHT(G2554,2)=RIGHT('112'!$M$9,2),B2554&lt;'112'!$N$8,$M2554='112'!$I$6)),"x",""))</f>
        <v/>
      </c>
      <c r="U2554" s="525" t="str">
        <f>IF(AND(B2554&gt;='IN-NX'!$P$3,B2554&lt;='IN-NX'!$Q$3,'IN-NX'!$D$7=D2554,OR(LEFT(L2554,2)="15",AND(LEFT(M2554,2)&lt;&gt;"15",LEFT(M2554,2)&lt;&gt;"33"))),"x","")</f>
        <v/>
      </c>
      <c r="V2554" s="525" t="str">
        <f>IF(AND(OR(LEFT(TH!L2554,2)="15",LEFT(TH!M2554,2)="15"),'152-CT'!$J$8=TH!F2554),"x","")</f>
        <v/>
      </c>
      <c r="W2554" s="525" t="str">
        <f>IF(AND(OR(LEFT(TH!L2554,2)="15",LEFT(TH!M2554,2)="15"),TK!$E$7=TH!F2554),"x","")</f>
        <v/>
      </c>
      <c r="X2554" s="525" t="str">
        <f>IF(AND('341-CT'!$E$9=H2554,OR(LEFT(L2554,3)=$X$7,LEFT(M2554,3)=$X$7)),"x","")</f>
        <v/>
      </c>
      <c r="Y2554" s="525" t="str">
        <f>IF(OR(TH!L2554=TH!$Y$7,M2554=TH!$Y$7),"x","")</f>
        <v/>
      </c>
      <c r="Z2554" s="525" t="str">
        <f>IF(AND(B2554&lt;=NKC!$N$8,B2554&gt;=NKC!$M$8),"x","")</f>
        <v/>
      </c>
      <c r="AA2554" s="535"/>
      <c r="AB2554" s="536"/>
    </row>
    <row r="2555" spans="1:28" s="503" customFormat="1" ht="15.75" customHeight="1">
      <c r="A2555" s="517" t="str">
        <f>IF(B2555&lt;&gt;"",IF(AND(B2555&gt;=_TM1,B2555&lt;=_TM2,OR(TH!L2555="1111",TH!M2555="1111")),TH!D2555,""),"")</f>
        <v/>
      </c>
      <c r="B2555" s="531">
        <f t="shared" si="223"/>
        <v>5</v>
      </c>
      <c r="C2555" s="315">
        <f t="shared" si="224"/>
        <v>42886</v>
      </c>
      <c r="D2555" s="315" t="s">
        <v>929</v>
      </c>
      <c r="E2555" s="315">
        <v>42886</v>
      </c>
      <c r="F2555" s="250" t="s">
        <v>1027</v>
      </c>
      <c r="G2555" s="314" t="s">
        <v>1141</v>
      </c>
      <c r="H2555" s="473" t="s">
        <v>284</v>
      </c>
      <c r="I2555" s="307">
        <v>6</v>
      </c>
      <c r="J2555" s="307">
        <v>78613</v>
      </c>
      <c r="K2555" s="532">
        <f t="shared" si="226"/>
        <v>471678</v>
      </c>
      <c r="L2555" s="534" t="s">
        <v>223</v>
      </c>
      <c r="M2555" s="534" t="s">
        <v>162</v>
      </c>
      <c r="N2555" s="525" t="str">
        <f>IF(AND('331-CT'!$E$7=TH!H2555,OR(L2555="331",M2555="331")),"331",IF(AND(OR(L2555="131",M2555="131"),H2555='131-CT'!$E$7),"131",""))</f>
        <v/>
      </c>
      <c r="O2555" s="525" t="str">
        <f>IF(AND($B2555&gt;='111'!$N$11,$B2555&lt;='111'!$O$11,OR($L2555=$O$7,$M2555=$O$7)),"x","")</f>
        <v/>
      </c>
      <c r="P2555" s="525" t="str">
        <f>IF(AND($L2555=$O$7,$B2555&lt;'111'!$N$11),"x","")</f>
        <v/>
      </c>
      <c r="Q2555" s="525" t="str">
        <f>IF(AND($M2555=$O$7,$B2555&lt;'111'!$N$11),"x","")</f>
        <v/>
      </c>
      <c r="R2555" s="525" t="str">
        <f>IF(ISERROR(FIND('112'!$M$9,G2555,1)),"",IF((AND(FIND('112'!$M$9,G2555,1)&gt;=1,$B2555&gt;='112'!$N$8,$B2555&lt;='112'!$O$8,OR($L2555='112'!$I$6,$M2555='112'!$I$6))),"x",""))</f>
        <v/>
      </c>
      <c r="S2555" s="525" t="str">
        <f>IF(ISERROR(FIND('112'!$M$9,G2555,1)),"",IF((AND(LEFT(G2555,2)=LEFT('112'!$M$9,2),B2555&lt;'112'!$N$8,$L2555='112'!$I$6)),"x",""))</f>
        <v/>
      </c>
      <c r="T2555" s="525" t="str">
        <f>IF(ISERROR(FIND('112'!$M$9,G2555,1)),"",IF((AND(RIGHT(G2555,2)=RIGHT('112'!$M$9,2),B2555&lt;'112'!$N$8,$M2555='112'!$I$6)),"x",""))</f>
        <v/>
      </c>
      <c r="U2555" s="525" t="str">
        <f>IF(AND(B2555&gt;='IN-NX'!$P$3,B2555&lt;='IN-NX'!$Q$3,'IN-NX'!$D$7=D2555,OR(LEFT(L2555,2)="15",AND(LEFT(M2555,2)&lt;&gt;"15",LEFT(M2555,2)&lt;&gt;"33"))),"x","")</f>
        <v/>
      </c>
      <c r="V2555" s="525" t="str">
        <f>IF(AND(OR(LEFT(TH!L2555,2)="15",LEFT(TH!M2555,2)="15"),'152-CT'!$J$8=TH!F2555),"x","")</f>
        <v/>
      </c>
      <c r="W2555" s="525" t="str">
        <f>IF(AND(OR(LEFT(TH!L2555,2)="15",LEFT(TH!M2555,2)="15"),TK!$E$7=TH!F2555),"x","")</f>
        <v/>
      </c>
      <c r="X2555" s="525" t="str">
        <f>IF(AND('341-CT'!$E$9=H2555,OR(LEFT(L2555,3)=$X$7,LEFT(M2555,3)=$X$7)),"x","")</f>
        <v/>
      </c>
      <c r="Y2555" s="525" t="str">
        <f>IF(OR(TH!L2555=TH!$Y$7,M2555=TH!$Y$7),"x","")</f>
        <v/>
      </c>
      <c r="Z2555" s="525" t="str">
        <f>IF(AND(B2555&lt;=NKC!$N$8,B2555&gt;=NKC!$M$8),"x","")</f>
        <v/>
      </c>
      <c r="AA2555" s="535"/>
      <c r="AB2555" s="536"/>
    </row>
    <row r="2556" spans="1:28" s="503" customFormat="1" ht="15.75" customHeight="1">
      <c r="A2556" s="517" t="str">
        <f>IF(B2556&lt;&gt;"",IF(AND(B2556&gt;=_TM1,B2556&lt;=_TM2,OR(TH!L2556="1111",TH!M2556="1111")),TH!D2556,""),"")</f>
        <v/>
      </c>
      <c r="B2556" s="531">
        <f t="shared" si="223"/>
        <v>5</v>
      </c>
      <c r="C2556" s="315">
        <f t="shared" si="224"/>
        <v>42886</v>
      </c>
      <c r="D2556" s="315" t="s">
        <v>929</v>
      </c>
      <c r="E2556" s="315">
        <v>42886</v>
      </c>
      <c r="F2556" s="249" t="s">
        <v>734</v>
      </c>
      <c r="G2556" s="314" t="s">
        <v>1141</v>
      </c>
      <c r="H2556" s="473" t="s">
        <v>284</v>
      </c>
      <c r="I2556" s="307">
        <v>8</v>
      </c>
      <c r="J2556" s="307">
        <v>100504</v>
      </c>
      <c r="K2556" s="532">
        <f t="shared" si="226"/>
        <v>804032</v>
      </c>
      <c r="L2556" s="534" t="s">
        <v>223</v>
      </c>
      <c r="M2556" s="534" t="s">
        <v>162</v>
      </c>
      <c r="N2556" s="525" t="str">
        <f>IF(AND('331-CT'!$E$7=TH!H2556,OR(L2556="331",M2556="331")),"331",IF(AND(OR(L2556="131",M2556="131"),H2556='131-CT'!$E$7),"131",""))</f>
        <v/>
      </c>
      <c r="O2556" s="525" t="str">
        <f>IF(AND($B2556&gt;='111'!$N$11,$B2556&lt;='111'!$O$11,OR($L2556=$O$7,$M2556=$O$7)),"x","")</f>
        <v/>
      </c>
      <c r="P2556" s="525" t="str">
        <f>IF(AND($L2556=$O$7,$B2556&lt;'111'!$N$11),"x","")</f>
        <v/>
      </c>
      <c r="Q2556" s="525" t="str">
        <f>IF(AND($M2556=$O$7,$B2556&lt;'111'!$N$11),"x","")</f>
        <v/>
      </c>
      <c r="R2556" s="525" t="str">
        <f>IF(ISERROR(FIND('112'!$M$9,G2556,1)),"",IF((AND(FIND('112'!$M$9,G2556,1)&gt;=1,$B2556&gt;='112'!$N$8,$B2556&lt;='112'!$O$8,OR($L2556='112'!$I$6,$M2556='112'!$I$6))),"x",""))</f>
        <v/>
      </c>
      <c r="S2556" s="525" t="str">
        <f>IF(ISERROR(FIND('112'!$M$9,G2556,1)),"",IF((AND(LEFT(G2556,2)=LEFT('112'!$M$9,2),B2556&lt;'112'!$N$8,$L2556='112'!$I$6)),"x",""))</f>
        <v/>
      </c>
      <c r="T2556" s="525" t="str">
        <f>IF(ISERROR(FIND('112'!$M$9,G2556,1)),"",IF((AND(RIGHT(G2556,2)=RIGHT('112'!$M$9,2),B2556&lt;'112'!$N$8,$M2556='112'!$I$6)),"x",""))</f>
        <v/>
      </c>
      <c r="U2556" s="525" t="str">
        <f>IF(AND(B2556&gt;='IN-NX'!$P$3,B2556&lt;='IN-NX'!$Q$3,'IN-NX'!$D$7=D2556,OR(LEFT(L2556,2)="15",AND(LEFT(M2556,2)&lt;&gt;"15",LEFT(M2556,2)&lt;&gt;"33"))),"x","")</f>
        <v/>
      </c>
      <c r="V2556" s="525" t="str">
        <f>IF(AND(OR(LEFT(TH!L2556,2)="15",LEFT(TH!M2556,2)="15"),'152-CT'!$J$8=TH!F2556),"x","")</f>
        <v/>
      </c>
      <c r="W2556" s="525" t="str">
        <f>IF(AND(OR(LEFT(TH!L2556,2)="15",LEFT(TH!M2556,2)="15"),TK!$E$7=TH!F2556),"x","")</f>
        <v/>
      </c>
      <c r="X2556" s="525" t="str">
        <f>IF(AND('341-CT'!$E$9=H2556,OR(LEFT(L2556,3)=$X$7,LEFT(M2556,3)=$X$7)),"x","")</f>
        <v/>
      </c>
      <c r="Y2556" s="525" t="str">
        <f>IF(OR(TH!L2556=TH!$Y$7,M2556=TH!$Y$7),"x","")</f>
        <v/>
      </c>
      <c r="Z2556" s="525" t="str">
        <f>IF(AND(B2556&lt;=NKC!$N$8,B2556&gt;=NKC!$M$8),"x","")</f>
        <v/>
      </c>
      <c r="AA2556" s="535"/>
      <c r="AB2556" s="536"/>
    </row>
    <row r="2557" spans="1:28" s="503" customFormat="1" ht="15.75" customHeight="1">
      <c r="A2557" s="517" t="str">
        <f>IF(B2557&lt;&gt;"",IF(AND(B2557&gt;=_TM1,B2557&lt;=_TM2,OR(TH!L2557="1111",TH!M2557="1111")),TH!D2557,""),"")</f>
        <v/>
      </c>
      <c r="B2557" s="531">
        <f t="shared" si="223"/>
        <v>5</v>
      </c>
      <c r="C2557" s="315">
        <f t="shared" si="224"/>
        <v>42886</v>
      </c>
      <c r="D2557" s="315" t="s">
        <v>929</v>
      </c>
      <c r="E2557" s="315">
        <v>42886</v>
      </c>
      <c r="F2557" s="250" t="s">
        <v>1164</v>
      </c>
      <c r="G2557" s="314" t="s">
        <v>1141</v>
      </c>
      <c r="H2557" s="473" t="s">
        <v>284</v>
      </c>
      <c r="I2557" s="307">
        <v>753</v>
      </c>
      <c r="J2557" s="307">
        <v>11450</v>
      </c>
      <c r="K2557" s="532">
        <f t="shared" si="226"/>
        <v>8621850</v>
      </c>
      <c r="L2557" s="534" t="s">
        <v>223</v>
      </c>
      <c r="M2557" s="534" t="s">
        <v>162</v>
      </c>
      <c r="N2557" s="525" t="str">
        <f>IF(AND('331-CT'!$E$7=TH!H2557,OR(L2557="331",M2557="331")),"331",IF(AND(OR(L2557="131",M2557="131"),H2557='131-CT'!$E$7),"131",""))</f>
        <v/>
      </c>
      <c r="O2557" s="525" t="str">
        <f>IF(AND($B2557&gt;='111'!$N$11,$B2557&lt;='111'!$O$11,OR($L2557=$O$7,$M2557=$O$7)),"x","")</f>
        <v/>
      </c>
      <c r="P2557" s="525" t="str">
        <f>IF(AND($L2557=$O$7,$B2557&lt;'111'!$N$11),"x","")</f>
        <v/>
      </c>
      <c r="Q2557" s="525" t="str">
        <f>IF(AND($M2557=$O$7,$B2557&lt;'111'!$N$11),"x","")</f>
        <v/>
      </c>
      <c r="R2557" s="525" t="str">
        <f>IF(ISERROR(FIND('112'!$M$9,G2557,1)),"",IF((AND(FIND('112'!$M$9,G2557,1)&gt;=1,$B2557&gt;='112'!$N$8,$B2557&lt;='112'!$O$8,OR($L2557='112'!$I$6,$M2557='112'!$I$6))),"x",""))</f>
        <v/>
      </c>
      <c r="S2557" s="525" t="str">
        <f>IF(ISERROR(FIND('112'!$M$9,G2557,1)),"",IF((AND(LEFT(G2557,2)=LEFT('112'!$M$9,2),B2557&lt;'112'!$N$8,$L2557='112'!$I$6)),"x",""))</f>
        <v/>
      </c>
      <c r="T2557" s="525" t="str">
        <f>IF(ISERROR(FIND('112'!$M$9,G2557,1)),"",IF((AND(RIGHT(G2557,2)=RIGHT('112'!$M$9,2),B2557&lt;'112'!$N$8,$M2557='112'!$I$6)),"x",""))</f>
        <v/>
      </c>
      <c r="U2557" s="525" t="str">
        <f>IF(AND(B2557&gt;='IN-NX'!$P$3,B2557&lt;='IN-NX'!$Q$3,'IN-NX'!$D$7=D2557,OR(LEFT(L2557,2)="15",AND(LEFT(M2557,2)&lt;&gt;"15",LEFT(M2557,2)&lt;&gt;"33"))),"x","")</f>
        <v/>
      </c>
      <c r="V2557" s="525" t="str">
        <f>IF(AND(OR(LEFT(TH!L2557,2)="15",LEFT(TH!M2557,2)="15"),'152-CT'!$J$8=TH!F2557),"x","")</f>
        <v/>
      </c>
      <c r="W2557" s="525" t="str">
        <f>IF(AND(OR(LEFT(TH!L2557,2)="15",LEFT(TH!M2557,2)="15"),TK!$E$7=TH!F2557),"x","")</f>
        <v/>
      </c>
      <c r="X2557" s="525" t="str">
        <f>IF(AND('341-CT'!$E$9=H2557,OR(LEFT(L2557,3)=$X$7,LEFT(M2557,3)=$X$7)),"x","")</f>
        <v/>
      </c>
      <c r="Y2557" s="525" t="str">
        <f>IF(OR(TH!L2557=TH!$Y$7,M2557=TH!$Y$7),"x","")</f>
        <v/>
      </c>
      <c r="Z2557" s="525" t="str">
        <f>IF(AND(B2557&lt;=NKC!$N$8,B2557&gt;=NKC!$M$8),"x","")</f>
        <v/>
      </c>
      <c r="AA2557" s="535"/>
      <c r="AB2557" s="536"/>
    </row>
    <row r="2558" spans="1:28" s="503" customFormat="1" ht="15.75" customHeight="1">
      <c r="A2558" s="517" t="str">
        <f>IF(B2558&lt;&gt;"",IF(AND(B2558&gt;=_TM1,B2558&lt;=_TM2,OR(TH!L2558="1111",TH!M2558="1111")),TH!D2558,""),"")</f>
        <v/>
      </c>
      <c r="B2558" s="531">
        <f t="shared" si="223"/>
        <v>5</v>
      </c>
      <c r="C2558" s="315">
        <f t="shared" si="224"/>
        <v>42886</v>
      </c>
      <c r="D2558" s="315" t="s">
        <v>929</v>
      </c>
      <c r="E2558" s="315">
        <v>42886</v>
      </c>
      <c r="F2558" s="250" t="s">
        <v>651</v>
      </c>
      <c r="G2558" s="314" t="s">
        <v>1141</v>
      </c>
      <c r="H2558" s="473" t="s">
        <v>284</v>
      </c>
      <c r="I2558" s="307">
        <v>20</v>
      </c>
      <c r="J2558" s="307">
        <v>112640</v>
      </c>
      <c r="K2558" s="532">
        <f t="shared" si="226"/>
        <v>2252800</v>
      </c>
      <c r="L2558" s="534" t="s">
        <v>223</v>
      </c>
      <c r="M2558" s="534" t="s">
        <v>162</v>
      </c>
      <c r="N2558" s="525" t="str">
        <f>IF(AND('331-CT'!$E$7=TH!H2558,OR(L2558="331",M2558="331")),"331",IF(AND(OR(L2558="131",M2558="131"),H2558='131-CT'!$E$7),"131",""))</f>
        <v/>
      </c>
      <c r="O2558" s="525" t="str">
        <f>IF(AND($B2558&gt;='111'!$N$11,$B2558&lt;='111'!$O$11,OR($L2558=$O$7,$M2558=$O$7)),"x","")</f>
        <v/>
      </c>
      <c r="P2558" s="525" t="str">
        <f>IF(AND($L2558=$O$7,$B2558&lt;'111'!$N$11),"x","")</f>
        <v/>
      </c>
      <c r="Q2558" s="525" t="str">
        <f>IF(AND($M2558=$O$7,$B2558&lt;'111'!$N$11),"x","")</f>
        <v/>
      </c>
      <c r="R2558" s="525" t="str">
        <f>IF(ISERROR(FIND('112'!$M$9,G2558,1)),"",IF((AND(FIND('112'!$M$9,G2558,1)&gt;=1,$B2558&gt;='112'!$N$8,$B2558&lt;='112'!$O$8,OR($L2558='112'!$I$6,$M2558='112'!$I$6))),"x",""))</f>
        <v/>
      </c>
      <c r="S2558" s="525" t="str">
        <f>IF(ISERROR(FIND('112'!$M$9,G2558,1)),"",IF((AND(LEFT(G2558,2)=LEFT('112'!$M$9,2),B2558&lt;'112'!$N$8,$L2558='112'!$I$6)),"x",""))</f>
        <v/>
      </c>
      <c r="T2558" s="525" t="str">
        <f>IF(ISERROR(FIND('112'!$M$9,G2558,1)),"",IF((AND(RIGHT(G2558,2)=RIGHT('112'!$M$9,2),B2558&lt;'112'!$N$8,$M2558='112'!$I$6)),"x",""))</f>
        <v/>
      </c>
      <c r="U2558" s="525" t="str">
        <f>IF(AND(B2558&gt;='IN-NX'!$P$3,B2558&lt;='IN-NX'!$Q$3,'IN-NX'!$D$7=D2558,OR(LEFT(L2558,2)="15",AND(LEFT(M2558,2)&lt;&gt;"15",LEFT(M2558,2)&lt;&gt;"33"))),"x","")</f>
        <v/>
      </c>
      <c r="V2558" s="525" t="str">
        <f>IF(AND(OR(LEFT(TH!L2558,2)="15",LEFT(TH!M2558,2)="15"),'152-CT'!$J$8=TH!F2558),"x","")</f>
        <v/>
      </c>
      <c r="W2558" s="525" t="str">
        <f>IF(AND(OR(LEFT(TH!L2558,2)="15",LEFT(TH!M2558,2)="15"),TK!$E$7=TH!F2558),"x","")</f>
        <v/>
      </c>
      <c r="X2558" s="525" t="str">
        <f>IF(AND('341-CT'!$E$9=H2558,OR(LEFT(L2558,3)=$X$7,LEFT(M2558,3)=$X$7)),"x","")</f>
        <v/>
      </c>
      <c r="Y2558" s="525" t="str">
        <f>IF(OR(TH!L2558=TH!$Y$7,M2558=TH!$Y$7),"x","")</f>
        <v/>
      </c>
      <c r="Z2558" s="525" t="str">
        <f>IF(AND(B2558&lt;=NKC!$N$8,B2558&gt;=NKC!$M$8),"x","")</f>
        <v/>
      </c>
      <c r="AA2558" s="535"/>
      <c r="AB2558" s="536"/>
    </row>
    <row r="2559" spans="1:28" s="503" customFormat="1" ht="15.75" customHeight="1">
      <c r="A2559" s="517" t="str">
        <f>IF(B2559&lt;&gt;"",IF(AND(B2559&gt;=_TM1,B2559&lt;=_TM2,OR(TH!L2559="1111",TH!M2559="1111")),TH!D2559,""),"")</f>
        <v/>
      </c>
      <c r="B2559" s="531">
        <f t="shared" si="223"/>
        <v>5</v>
      </c>
      <c r="C2559" s="315">
        <f t="shared" si="224"/>
        <v>42886</v>
      </c>
      <c r="D2559" s="315" t="s">
        <v>930</v>
      </c>
      <c r="E2559" s="315">
        <v>42886</v>
      </c>
      <c r="F2559" s="250" t="s">
        <v>656</v>
      </c>
      <c r="G2559" s="314" t="s">
        <v>1141</v>
      </c>
      <c r="H2559" s="473" t="s">
        <v>284</v>
      </c>
      <c r="I2559" s="307">
        <v>15</v>
      </c>
      <c r="J2559" s="307">
        <v>75481</v>
      </c>
      <c r="K2559" s="532">
        <f t="shared" si="226"/>
        <v>1132215</v>
      </c>
      <c r="L2559" s="534" t="s">
        <v>223</v>
      </c>
      <c r="M2559" s="534" t="s">
        <v>162</v>
      </c>
      <c r="N2559" s="525" t="str">
        <f>IF(AND('331-CT'!$E$7=TH!H2559,OR(L2559="331",M2559="331")),"331",IF(AND(OR(L2559="131",M2559="131"),H2559='131-CT'!$E$7),"131",""))</f>
        <v/>
      </c>
      <c r="O2559" s="525" t="str">
        <f>IF(AND($B2559&gt;='111'!$N$11,$B2559&lt;='111'!$O$11,OR($L2559=$O$7,$M2559=$O$7)),"x","")</f>
        <v/>
      </c>
      <c r="P2559" s="525" t="str">
        <f>IF(AND($L2559=$O$7,$B2559&lt;'111'!$N$11),"x","")</f>
        <v/>
      </c>
      <c r="Q2559" s="525" t="str">
        <f>IF(AND($M2559=$O$7,$B2559&lt;'111'!$N$11),"x","")</f>
        <v/>
      </c>
      <c r="R2559" s="525" t="str">
        <f>IF(ISERROR(FIND('112'!$M$9,G2559,1)),"",IF((AND(FIND('112'!$M$9,G2559,1)&gt;=1,$B2559&gt;='112'!$N$8,$B2559&lt;='112'!$O$8,OR($L2559='112'!$I$6,$M2559='112'!$I$6))),"x",""))</f>
        <v/>
      </c>
      <c r="S2559" s="525" t="str">
        <f>IF(ISERROR(FIND('112'!$M$9,G2559,1)),"",IF((AND(LEFT(G2559,2)=LEFT('112'!$M$9,2),B2559&lt;'112'!$N$8,$L2559='112'!$I$6)),"x",""))</f>
        <v/>
      </c>
      <c r="T2559" s="525" t="str">
        <f>IF(ISERROR(FIND('112'!$M$9,G2559,1)),"",IF((AND(RIGHT(G2559,2)=RIGHT('112'!$M$9,2),B2559&lt;'112'!$N$8,$M2559='112'!$I$6)),"x",""))</f>
        <v/>
      </c>
      <c r="U2559" s="525" t="str">
        <f>IF(AND(B2559&gt;='IN-NX'!$P$3,B2559&lt;='IN-NX'!$Q$3,'IN-NX'!$D$7=D2559,OR(LEFT(L2559,2)="15",AND(LEFT(M2559,2)&lt;&gt;"15",LEFT(M2559,2)&lt;&gt;"33"))),"x","")</f>
        <v/>
      </c>
      <c r="V2559" s="525" t="str">
        <f>IF(AND(OR(LEFT(TH!L2559,2)="15",LEFT(TH!M2559,2)="15"),'152-CT'!$J$8=TH!F2559),"x","")</f>
        <v/>
      </c>
      <c r="W2559" s="525" t="str">
        <f>IF(AND(OR(LEFT(TH!L2559,2)="15",LEFT(TH!M2559,2)="15"),TK!$E$7=TH!F2559),"x","")</f>
        <v/>
      </c>
      <c r="X2559" s="525" t="str">
        <f>IF(AND('341-CT'!$E$9=H2559,OR(LEFT(L2559,3)=$X$7,LEFT(M2559,3)=$X$7)),"x","")</f>
        <v/>
      </c>
      <c r="Y2559" s="525" t="str">
        <f>IF(OR(TH!L2559=TH!$Y$7,M2559=TH!$Y$7),"x","")</f>
        <v/>
      </c>
      <c r="Z2559" s="525" t="str">
        <f>IF(AND(B2559&lt;=NKC!$N$8,B2559&gt;=NKC!$M$8),"x","")</f>
        <v/>
      </c>
      <c r="AA2559" s="535"/>
      <c r="AB2559" s="536"/>
    </row>
    <row r="2560" spans="1:28" s="503" customFormat="1" ht="15.75" customHeight="1">
      <c r="A2560" s="517" t="str">
        <f>IF(B2560&lt;&gt;"",IF(AND(B2560&gt;=_TM1,B2560&lt;=_TM2,OR(TH!L2560="1111",TH!M2560="1111")),TH!D2560,""),"")</f>
        <v/>
      </c>
      <c r="B2560" s="531">
        <f t="shared" si="223"/>
        <v>5</v>
      </c>
      <c r="C2560" s="315">
        <f t="shared" si="224"/>
        <v>42886</v>
      </c>
      <c r="D2560" s="315" t="s">
        <v>930</v>
      </c>
      <c r="E2560" s="315">
        <v>42886</v>
      </c>
      <c r="F2560" s="250" t="s">
        <v>704</v>
      </c>
      <c r="G2560" s="314" t="s">
        <v>1141</v>
      </c>
      <c r="H2560" s="473" t="s">
        <v>284</v>
      </c>
      <c r="I2560" s="307">
        <v>276</v>
      </c>
      <c r="J2560" s="307">
        <v>17803</v>
      </c>
      <c r="K2560" s="532">
        <f t="shared" si="226"/>
        <v>4913628</v>
      </c>
      <c r="L2560" s="534" t="s">
        <v>223</v>
      </c>
      <c r="M2560" s="534" t="s">
        <v>162</v>
      </c>
      <c r="N2560" s="525" t="str">
        <f>IF(AND('331-CT'!$E$7=TH!H2560,OR(L2560="331",M2560="331")),"331",IF(AND(OR(L2560="131",M2560="131"),H2560='131-CT'!$E$7),"131",""))</f>
        <v/>
      </c>
      <c r="O2560" s="525" t="str">
        <f>IF(AND($B2560&gt;='111'!$N$11,$B2560&lt;='111'!$O$11,OR($L2560=$O$7,$M2560=$O$7)),"x","")</f>
        <v/>
      </c>
      <c r="P2560" s="525" t="str">
        <f>IF(AND($L2560=$O$7,$B2560&lt;'111'!$N$11),"x","")</f>
        <v/>
      </c>
      <c r="Q2560" s="525" t="str">
        <f>IF(AND($M2560=$O$7,$B2560&lt;'111'!$N$11),"x","")</f>
        <v/>
      </c>
      <c r="R2560" s="525" t="str">
        <f>IF(ISERROR(FIND('112'!$M$9,G2560,1)),"",IF((AND(FIND('112'!$M$9,G2560,1)&gt;=1,$B2560&gt;='112'!$N$8,$B2560&lt;='112'!$O$8,OR($L2560='112'!$I$6,$M2560='112'!$I$6))),"x",""))</f>
        <v/>
      </c>
      <c r="S2560" s="525" t="str">
        <f>IF(ISERROR(FIND('112'!$M$9,G2560,1)),"",IF((AND(LEFT(G2560,2)=LEFT('112'!$M$9,2),B2560&lt;'112'!$N$8,$L2560='112'!$I$6)),"x",""))</f>
        <v/>
      </c>
      <c r="T2560" s="525" t="str">
        <f>IF(ISERROR(FIND('112'!$M$9,G2560,1)),"",IF((AND(RIGHT(G2560,2)=RIGHT('112'!$M$9,2),B2560&lt;'112'!$N$8,$M2560='112'!$I$6)),"x",""))</f>
        <v/>
      </c>
      <c r="U2560" s="525" t="str">
        <f>IF(AND(B2560&gt;='IN-NX'!$P$3,B2560&lt;='IN-NX'!$Q$3,'IN-NX'!$D$7=D2560,OR(LEFT(L2560,2)="15",AND(LEFT(M2560,2)&lt;&gt;"15",LEFT(M2560,2)&lt;&gt;"33"))),"x","")</f>
        <v/>
      </c>
      <c r="V2560" s="525" t="str">
        <f>IF(AND(OR(LEFT(TH!L2560,2)="15",LEFT(TH!M2560,2)="15"),'152-CT'!$J$8=TH!F2560),"x","")</f>
        <v/>
      </c>
      <c r="W2560" s="525" t="str">
        <f>IF(AND(OR(LEFT(TH!L2560,2)="15",LEFT(TH!M2560,2)="15"),TK!$E$7=TH!F2560),"x","")</f>
        <v/>
      </c>
      <c r="X2560" s="525" t="str">
        <f>IF(AND('341-CT'!$E$9=H2560,OR(LEFT(L2560,3)=$X$7,LEFT(M2560,3)=$X$7)),"x","")</f>
        <v/>
      </c>
      <c r="Y2560" s="525" t="str">
        <f>IF(OR(TH!L2560=TH!$Y$7,M2560=TH!$Y$7),"x","")</f>
        <v/>
      </c>
      <c r="Z2560" s="525" t="str">
        <f>IF(AND(B2560&lt;=NKC!$N$8,B2560&gt;=NKC!$M$8),"x","")</f>
        <v/>
      </c>
      <c r="AA2560" s="535"/>
      <c r="AB2560" s="536"/>
    </row>
    <row r="2561" spans="1:28" s="503" customFormat="1" ht="15.75" customHeight="1">
      <c r="A2561" s="517" t="str">
        <f>IF(B2561&lt;&gt;"",IF(AND(B2561&gt;=_TM1,B2561&lt;=_TM2,OR(TH!L2561="1111",TH!M2561="1111")),TH!D2561,""),"")</f>
        <v/>
      </c>
      <c r="B2561" s="531">
        <f t="shared" si="223"/>
        <v>5</v>
      </c>
      <c r="C2561" s="315">
        <f t="shared" si="224"/>
        <v>42886</v>
      </c>
      <c r="D2561" s="315" t="s">
        <v>930</v>
      </c>
      <c r="E2561" s="315">
        <v>42886</v>
      </c>
      <c r="F2561" s="250" t="s">
        <v>1041</v>
      </c>
      <c r="G2561" s="314" t="s">
        <v>1141</v>
      </c>
      <c r="H2561" s="473" t="s">
        <v>284</v>
      </c>
      <c r="I2561" s="307">
        <v>28</v>
      </c>
      <c r="J2561" s="307">
        <v>21905</v>
      </c>
      <c r="K2561" s="532">
        <f t="shared" si="226"/>
        <v>613340</v>
      </c>
      <c r="L2561" s="534" t="s">
        <v>223</v>
      </c>
      <c r="M2561" s="534" t="s">
        <v>162</v>
      </c>
      <c r="N2561" s="525" t="str">
        <f>IF(AND('331-CT'!$E$7=TH!H2561,OR(L2561="331",M2561="331")),"331",IF(AND(OR(L2561="131",M2561="131"),H2561='131-CT'!$E$7),"131",""))</f>
        <v/>
      </c>
      <c r="O2561" s="525" t="str">
        <f>IF(AND($B2561&gt;='111'!$N$11,$B2561&lt;='111'!$O$11,OR($L2561=$O$7,$M2561=$O$7)),"x","")</f>
        <v/>
      </c>
      <c r="P2561" s="525" t="str">
        <f>IF(AND($L2561=$O$7,$B2561&lt;'111'!$N$11),"x","")</f>
        <v/>
      </c>
      <c r="Q2561" s="525" t="str">
        <f>IF(AND($M2561=$O$7,$B2561&lt;'111'!$N$11),"x","")</f>
        <v/>
      </c>
      <c r="R2561" s="525" t="str">
        <f>IF(ISERROR(FIND('112'!$M$9,G2561,1)),"",IF((AND(FIND('112'!$M$9,G2561,1)&gt;=1,$B2561&gt;='112'!$N$8,$B2561&lt;='112'!$O$8,OR($L2561='112'!$I$6,$M2561='112'!$I$6))),"x",""))</f>
        <v/>
      </c>
      <c r="S2561" s="525" t="str">
        <f>IF(ISERROR(FIND('112'!$M$9,G2561,1)),"",IF((AND(LEFT(G2561,2)=LEFT('112'!$M$9,2),B2561&lt;'112'!$N$8,$L2561='112'!$I$6)),"x",""))</f>
        <v/>
      </c>
      <c r="T2561" s="525" t="str">
        <f>IF(ISERROR(FIND('112'!$M$9,G2561,1)),"",IF((AND(RIGHT(G2561,2)=RIGHT('112'!$M$9,2),B2561&lt;'112'!$N$8,$M2561='112'!$I$6)),"x",""))</f>
        <v/>
      </c>
      <c r="U2561" s="525" t="str">
        <f>IF(AND(B2561&gt;='IN-NX'!$P$3,B2561&lt;='IN-NX'!$Q$3,'IN-NX'!$D$7=D2561,OR(LEFT(L2561,2)="15",AND(LEFT(M2561,2)&lt;&gt;"15",LEFT(M2561,2)&lt;&gt;"33"))),"x","")</f>
        <v/>
      </c>
      <c r="V2561" s="525" t="str">
        <f>IF(AND(OR(LEFT(TH!L2561,2)="15",LEFT(TH!M2561,2)="15"),'152-CT'!$J$8=TH!F2561),"x","")</f>
        <v/>
      </c>
      <c r="W2561" s="525" t="str">
        <f>IF(AND(OR(LEFT(TH!L2561,2)="15",LEFT(TH!M2561,2)="15"),TK!$E$7=TH!F2561),"x","")</f>
        <v/>
      </c>
      <c r="X2561" s="525" t="str">
        <f>IF(AND('341-CT'!$E$9=H2561,OR(LEFT(L2561,3)=$X$7,LEFT(M2561,3)=$X$7)),"x","")</f>
        <v/>
      </c>
      <c r="Y2561" s="525" t="str">
        <f>IF(OR(TH!L2561=TH!$Y$7,M2561=TH!$Y$7),"x","")</f>
        <v/>
      </c>
      <c r="Z2561" s="525" t="str">
        <f>IF(AND(B2561&lt;=NKC!$N$8,B2561&gt;=NKC!$M$8),"x","")</f>
        <v/>
      </c>
      <c r="AA2561" s="535"/>
      <c r="AB2561" s="536"/>
    </row>
    <row r="2562" spans="1:28" s="503" customFormat="1" ht="15.75" customHeight="1">
      <c r="A2562" s="517" t="str">
        <f>IF(B2562&lt;&gt;"",IF(AND(B2562&gt;=_TM1,B2562&lt;=_TM2,OR(TH!L2562="1111",TH!M2562="1111")),TH!D2562,""),"")</f>
        <v/>
      </c>
      <c r="B2562" s="531">
        <f t="shared" si="223"/>
        <v>5</v>
      </c>
      <c r="C2562" s="315">
        <f t="shared" si="224"/>
        <v>42886</v>
      </c>
      <c r="D2562" s="315" t="s">
        <v>930</v>
      </c>
      <c r="E2562" s="315">
        <v>42886</v>
      </c>
      <c r="F2562" s="250" t="s">
        <v>1165</v>
      </c>
      <c r="G2562" s="314" t="s">
        <v>1141</v>
      </c>
      <c r="H2562" s="473" t="s">
        <v>284</v>
      </c>
      <c r="I2562" s="307">
        <v>8</v>
      </c>
      <c r="J2562" s="307">
        <v>30660</v>
      </c>
      <c r="K2562" s="532">
        <f t="shared" si="226"/>
        <v>245280</v>
      </c>
      <c r="L2562" s="534" t="s">
        <v>223</v>
      </c>
      <c r="M2562" s="534" t="s">
        <v>162</v>
      </c>
      <c r="N2562" s="525" t="str">
        <f>IF(AND('331-CT'!$E$7=TH!H2562,OR(L2562="331",M2562="331")),"331",IF(AND(OR(L2562="131",M2562="131"),H2562='131-CT'!$E$7),"131",""))</f>
        <v/>
      </c>
      <c r="O2562" s="525" t="str">
        <f>IF(AND($B2562&gt;='111'!$N$11,$B2562&lt;='111'!$O$11,OR($L2562=$O$7,$M2562=$O$7)),"x","")</f>
        <v/>
      </c>
      <c r="P2562" s="525" t="str">
        <f>IF(AND($L2562=$O$7,$B2562&lt;'111'!$N$11),"x","")</f>
        <v/>
      </c>
      <c r="Q2562" s="525" t="str">
        <f>IF(AND($M2562=$O$7,$B2562&lt;'111'!$N$11),"x","")</f>
        <v/>
      </c>
      <c r="R2562" s="525" t="str">
        <f>IF(ISERROR(FIND('112'!$M$9,G2562,1)),"",IF((AND(FIND('112'!$M$9,G2562,1)&gt;=1,$B2562&gt;='112'!$N$8,$B2562&lt;='112'!$O$8,OR($L2562='112'!$I$6,$M2562='112'!$I$6))),"x",""))</f>
        <v/>
      </c>
      <c r="S2562" s="525" t="str">
        <f>IF(ISERROR(FIND('112'!$M$9,G2562,1)),"",IF((AND(LEFT(G2562,2)=LEFT('112'!$M$9,2),B2562&lt;'112'!$N$8,$L2562='112'!$I$6)),"x",""))</f>
        <v/>
      </c>
      <c r="T2562" s="525" t="str">
        <f>IF(ISERROR(FIND('112'!$M$9,G2562,1)),"",IF((AND(RIGHT(G2562,2)=RIGHT('112'!$M$9,2),B2562&lt;'112'!$N$8,$M2562='112'!$I$6)),"x",""))</f>
        <v/>
      </c>
      <c r="U2562" s="525" t="str">
        <f>IF(AND(B2562&gt;='IN-NX'!$P$3,B2562&lt;='IN-NX'!$Q$3,'IN-NX'!$D$7=D2562,OR(LEFT(L2562,2)="15",AND(LEFT(M2562,2)&lt;&gt;"15",LEFT(M2562,2)&lt;&gt;"33"))),"x","")</f>
        <v/>
      </c>
      <c r="V2562" s="525" t="str">
        <f>IF(AND(OR(LEFT(TH!L2562,2)="15",LEFT(TH!M2562,2)="15"),'152-CT'!$J$8=TH!F2562),"x","")</f>
        <v/>
      </c>
      <c r="W2562" s="525" t="str">
        <f>IF(AND(OR(LEFT(TH!L2562,2)="15",LEFT(TH!M2562,2)="15"),TK!$E$7=TH!F2562),"x","")</f>
        <v/>
      </c>
      <c r="X2562" s="525" t="str">
        <f>IF(AND('341-CT'!$E$9=H2562,OR(LEFT(L2562,3)=$X$7,LEFT(M2562,3)=$X$7)),"x","")</f>
        <v/>
      </c>
      <c r="Y2562" s="525" t="str">
        <f>IF(OR(TH!L2562=TH!$Y$7,M2562=TH!$Y$7),"x","")</f>
        <v/>
      </c>
      <c r="Z2562" s="525" t="str">
        <f>IF(AND(B2562&lt;=NKC!$N$8,B2562&gt;=NKC!$M$8),"x","")</f>
        <v/>
      </c>
      <c r="AA2562" s="535"/>
      <c r="AB2562" s="536"/>
    </row>
    <row r="2563" spans="1:28" s="503" customFormat="1" ht="15.75" customHeight="1">
      <c r="A2563" s="517" t="str">
        <f>IF(B2563&lt;&gt;"",IF(AND(B2563&gt;=_TM1,B2563&lt;=_TM2,OR(TH!L2563="1111",TH!M2563="1111")),TH!D2563,""),"")</f>
        <v/>
      </c>
      <c r="B2563" s="531">
        <f t="shared" si="223"/>
        <v>5</v>
      </c>
      <c r="C2563" s="315">
        <f t="shared" si="224"/>
        <v>42886</v>
      </c>
      <c r="D2563" s="315" t="s">
        <v>930</v>
      </c>
      <c r="E2563" s="315">
        <v>42886</v>
      </c>
      <c r="F2563" s="250" t="s">
        <v>619</v>
      </c>
      <c r="G2563" s="314" t="s">
        <v>1141</v>
      </c>
      <c r="H2563" s="473" t="s">
        <v>284</v>
      </c>
      <c r="I2563" s="307">
        <v>54</v>
      </c>
      <c r="J2563" s="307">
        <v>32711</v>
      </c>
      <c r="K2563" s="532">
        <f t="shared" si="226"/>
        <v>1766394</v>
      </c>
      <c r="L2563" s="534" t="s">
        <v>223</v>
      </c>
      <c r="M2563" s="534" t="s">
        <v>162</v>
      </c>
      <c r="N2563" s="525" t="str">
        <f>IF(AND('331-CT'!$E$7=TH!H2563,OR(L2563="331",M2563="331")),"331",IF(AND(OR(L2563="131",M2563="131"),H2563='131-CT'!$E$7),"131",""))</f>
        <v/>
      </c>
      <c r="O2563" s="525" t="str">
        <f>IF(AND($B2563&gt;='111'!$N$11,$B2563&lt;='111'!$O$11,OR($L2563=$O$7,$M2563=$O$7)),"x","")</f>
        <v/>
      </c>
      <c r="P2563" s="525" t="str">
        <f>IF(AND($L2563=$O$7,$B2563&lt;'111'!$N$11),"x","")</f>
        <v/>
      </c>
      <c r="Q2563" s="525" t="str">
        <f>IF(AND($M2563=$O$7,$B2563&lt;'111'!$N$11),"x","")</f>
        <v/>
      </c>
      <c r="R2563" s="525" t="str">
        <f>IF(ISERROR(FIND('112'!$M$9,G2563,1)),"",IF((AND(FIND('112'!$M$9,G2563,1)&gt;=1,$B2563&gt;='112'!$N$8,$B2563&lt;='112'!$O$8,OR($L2563='112'!$I$6,$M2563='112'!$I$6))),"x",""))</f>
        <v/>
      </c>
      <c r="S2563" s="525" t="str">
        <f>IF(ISERROR(FIND('112'!$M$9,G2563,1)),"",IF((AND(LEFT(G2563,2)=LEFT('112'!$M$9,2),B2563&lt;'112'!$N$8,$L2563='112'!$I$6)),"x",""))</f>
        <v/>
      </c>
      <c r="T2563" s="525" t="str">
        <f>IF(ISERROR(FIND('112'!$M$9,G2563,1)),"",IF((AND(RIGHT(G2563,2)=RIGHT('112'!$M$9,2),B2563&lt;'112'!$N$8,$M2563='112'!$I$6)),"x",""))</f>
        <v/>
      </c>
      <c r="U2563" s="525" t="str">
        <f>IF(AND(B2563&gt;='IN-NX'!$P$3,B2563&lt;='IN-NX'!$Q$3,'IN-NX'!$D$7=D2563,OR(LEFT(L2563,2)="15",AND(LEFT(M2563,2)&lt;&gt;"15",LEFT(M2563,2)&lt;&gt;"33"))),"x","")</f>
        <v/>
      </c>
      <c r="V2563" s="525" t="str">
        <f>IF(AND(OR(LEFT(TH!L2563,2)="15",LEFT(TH!M2563,2)="15"),'152-CT'!$J$8=TH!F2563),"x","")</f>
        <v/>
      </c>
      <c r="W2563" s="525" t="str">
        <f>IF(AND(OR(LEFT(TH!L2563,2)="15",LEFT(TH!M2563,2)="15"),TK!$E$7=TH!F2563),"x","")</f>
        <v/>
      </c>
      <c r="X2563" s="525" t="str">
        <f>IF(AND('341-CT'!$E$9=H2563,OR(LEFT(L2563,3)=$X$7,LEFT(M2563,3)=$X$7)),"x","")</f>
        <v/>
      </c>
      <c r="Y2563" s="525" t="str">
        <f>IF(OR(TH!L2563=TH!$Y$7,M2563=TH!$Y$7),"x","")</f>
        <v/>
      </c>
      <c r="Z2563" s="525" t="str">
        <f>IF(AND(B2563&lt;=NKC!$N$8,B2563&gt;=NKC!$M$8),"x","")</f>
        <v/>
      </c>
      <c r="AA2563" s="535"/>
      <c r="AB2563" s="536"/>
    </row>
    <row r="2564" spans="1:28" s="503" customFormat="1" ht="15.75" customHeight="1">
      <c r="A2564" s="517" t="str">
        <f>IF(B2564&lt;&gt;"",IF(AND(B2564&gt;=_TM1,B2564&lt;=_TM2,OR(TH!L2564="1111",TH!M2564="1111")),TH!D2564,""),"")</f>
        <v/>
      </c>
      <c r="B2564" s="531">
        <f t="shared" si="223"/>
        <v>5</v>
      </c>
      <c r="C2564" s="315">
        <f t="shared" si="224"/>
        <v>42886</v>
      </c>
      <c r="D2564" s="315" t="s">
        <v>930</v>
      </c>
      <c r="E2564" s="315">
        <v>42886</v>
      </c>
      <c r="F2564" s="249" t="s">
        <v>665</v>
      </c>
      <c r="G2564" s="314" t="s">
        <v>1141</v>
      </c>
      <c r="H2564" s="473" t="s">
        <v>284</v>
      </c>
      <c r="I2564" s="307">
        <v>36</v>
      </c>
      <c r="J2564" s="307">
        <v>14968</v>
      </c>
      <c r="K2564" s="532">
        <f t="shared" si="226"/>
        <v>538848</v>
      </c>
      <c r="L2564" s="534" t="s">
        <v>223</v>
      </c>
      <c r="M2564" s="534" t="s">
        <v>162</v>
      </c>
      <c r="N2564" s="525" t="str">
        <f>IF(AND('331-CT'!$E$7=TH!H2564,OR(L2564="331",M2564="331")),"331",IF(AND(OR(L2564="131",M2564="131"),H2564='131-CT'!$E$7),"131",""))</f>
        <v/>
      </c>
      <c r="O2564" s="525" t="str">
        <f>IF(AND($B2564&gt;='111'!$N$11,$B2564&lt;='111'!$O$11,OR($L2564=$O$7,$M2564=$O$7)),"x","")</f>
        <v/>
      </c>
      <c r="P2564" s="525" t="str">
        <f>IF(AND($L2564=$O$7,$B2564&lt;'111'!$N$11),"x","")</f>
        <v/>
      </c>
      <c r="Q2564" s="525" t="str">
        <f>IF(AND($M2564=$O$7,$B2564&lt;'111'!$N$11),"x","")</f>
        <v/>
      </c>
      <c r="R2564" s="525" t="str">
        <f>IF(ISERROR(FIND('112'!$M$9,G2564,1)),"",IF((AND(FIND('112'!$M$9,G2564,1)&gt;=1,$B2564&gt;='112'!$N$8,$B2564&lt;='112'!$O$8,OR($L2564='112'!$I$6,$M2564='112'!$I$6))),"x",""))</f>
        <v/>
      </c>
      <c r="S2564" s="525" t="str">
        <f>IF(ISERROR(FIND('112'!$M$9,G2564,1)),"",IF((AND(LEFT(G2564,2)=LEFT('112'!$M$9,2),B2564&lt;'112'!$N$8,$L2564='112'!$I$6)),"x",""))</f>
        <v/>
      </c>
      <c r="T2564" s="525" t="str">
        <f>IF(ISERROR(FIND('112'!$M$9,G2564,1)),"",IF((AND(RIGHT(G2564,2)=RIGHT('112'!$M$9,2),B2564&lt;'112'!$N$8,$M2564='112'!$I$6)),"x",""))</f>
        <v/>
      </c>
      <c r="U2564" s="525" t="str">
        <f>IF(AND(B2564&gt;='IN-NX'!$P$3,B2564&lt;='IN-NX'!$Q$3,'IN-NX'!$D$7=D2564,OR(LEFT(L2564,2)="15",AND(LEFT(M2564,2)&lt;&gt;"15",LEFT(M2564,2)&lt;&gt;"33"))),"x","")</f>
        <v/>
      </c>
      <c r="V2564" s="525" t="str">
        <f>IF(AND(OR(LEFT(TH!L2564,2)="15",LEFT(TH!M2564,2)="15"),'152-CT'!$J$8=TH!F2564),"x","")</f>
        <v/>
      </c>
      <c r="W2564" s="525" t="str">
        <f>IF(AND(OR(LEFT(TH!L2564,2)="15",LEFT(TH!M2564,2)="15"),TK!$E$7=TH!F2564),"x","")</f>
        <v/>
      </c>
      <c r="X2564" s="525" t="str">
        <f>IF(AND('341-CT'!$E$9=H2564,OR(LEFT(L2564,3)=$X$7,LEFT(M2564,3)=$X$7)),"x","")</f>
        <v/>
      </c>
      <c r="Y2564" s="525" t="str">
        <f>IF(OR(TH!L2564=TH!$Y$7,M2564=TH!$Y$7),"x","")</f>
        <v/>
      </c>
      <c r="Z2564" s="525" t="str">
        <f>IF(AND(B2564&lt;=NKC!$N$8,B2564&gt;=NKC!$M$8),"x","")</f>
        <v/>
      </c>
      <c r="AA2564" s="535"/>
      <c r="AB2564" s="536"/>
    </row>
    <row r="2565" spans="1:28" s="503" customFormat="1" ht="15.75" customHeight="1">
      <c r="A2565" s="517" t="str">
        <f>IF(B2565&lt;&gt;"",IF(AND(B2565&gt;=_TM1,B2565&lt;=_TM2,OR(TH!L2565="1111",TH!M2565="1111")),TH!D2565,""),"")</f>
        <v/>
      </c>
      <c r="B2565" s="531">
        <f t="shared" si="223"/>
        <v>5</v>
      </c>
      <c r="C2565" s="315">
        <f t="shared" si="224"/>
        <v>42886</v>
      </c>
      <c r="D2565" s="315" t="s">
        <v>930</v>
      </c>
      <c r="E2565" s="315">
        <v>42886</v>
      </c>
      <c r="F2565" s="250" t="s">
        <v>708</v>
      </c>
      <c r="G2565" s="314" t="s">
        <v>1141</v>
      </c>
      <c r="H2565" s="473" t="s">
        <v>284</v>
      </c>
      <c r="I2565" s="307">
        <v>60</v>
      </c>
      <c r="J2565" s="307">
        <v>37400</v>
      </c>
      <c r="K2565" s="532">
        <f t="shared" si="226"/>
        <v>2244000</v>
      </c>
      <c r="L2565" s="534" t="s">
        <v>223</v>
      </c>
      <c r="M2565" s="534" t="s">
        <v>162</v>
      </c>
      <c r="N2565" s="525" t="str">
        <f>IF(AND('331-CT'!$E$7=TH!H2565,OR(L2565="331",M2565="331")),"331",IF(AND(OR(L2565="131",M2565="131"),H2565='131-CT'!$E$7),"131",""))</f>
        <v/>
      </c>
      <c r="O2565" s="525" t="str">
        <f>IF(AND($B2565&gt;='111'!$N$11,$B2565&lt;='111'!$O$11,OR($L2565=$O$7,$M2565=$O$7)),"x","")</f>
        <v/>
      </c>
      <c r="P2565" s="525" t="str">
        <f>IF(AND($L2565=$O$7,$B2565&lt;'111'!$N$11),"x","")</f>
        <v/>
      </c>
      <c r="Q2565" s="525" t="str">
        <f>IF(AND($M2565=$O$7,$B2565&lt;'111'!$N$11),"x","")</f>
        <v/>
      </c>
      <c r="R2565" s="525" t="str">
        <f>IF(ISERROR(FIND('112'!$M$9,G2565,1)),"",IF((AND(FIND('112'!$M$9,G2565,1)&gt;=1,$B2565&gt;='112'!$N$8,$B2565&lt;='112'!$O$8,OR($L2565='112'!$I$6,$M2565='112'!$I$6))),"x",""))</f>
        <v/>
      </c>
      <c r="S2565" s="525" t="str">
        <f>IF(ISERROR(FIND('112'!$M$9,G2565,1)),"",IF((AND(LEFT(G2565,2)=LEFT('112'!$M$9,2),B2565&lt;'112'!$N$8,$L2565='112'!$I$6)),"x",""))</f>
        <v/>
      </c>
      <c r="T2565" s="525" t="str">
        <f>IF(ISERROR(FIND('112'!$M$9,G2565,1)),"",IF((AND(RIGHT(G2565,2)=RIGHT('112'!$M$9,2),B2565&lt;'112'!$N$8,$M2565='112'!$I$6)),"x",""))</f>
        <v/>
      </c>
      <c r="U2565" s="525" t="str">
        <f>IF(AND(B2565&gt;='IN-NX'!$P$3,B2565&lt;='IN-NX'!$Q$3,'IN-NX'!$D$7=D2565,OR(LEFT(L2565,2)="15",AND(LEFT(M2565,2)&lt;&gt;"15",LEFT(M2565,2)&lt;&gt;"33"))),"x","")</f>
        <v/>
      </c>
      <c r="V2565" s="525" t="str">
        <f>IF(AND(OR(LEFT(TH!L2565,2)="15",LEFT(TH!M2565,2)="15"),'152-CT'!$J$8=TH!F2565),"x","")</f>
        <v/>
      </c>
      <c r="W2565" s="525" t="str">
        <f>IF(AND(OR(LEFT(TH!L2565,2)="15",LEFT(TH!M2565,2)="15"),TK!$E$7=TH!F2565),"x","")</f>
        <v/>
      </c>
      <c r="X2565" s="525" t="str">
        <f>IF(AND('341-CT'!$E$9=H2565,OR(LEFT(L2565,3)=$X$7,LEFT(M2565,3)=$X$7)),"x","")</f>
        <v/>
      </c>
      <c r="Y2565" s="525" t="str">
        <f>IF(OR(TH!L2565=TH!$Y$7,M2565=TH!$Y$7),"x","")</f>
        <v/>
      </c>
      <c r="Z2565" s="525" t="str">
        <f>IF(AND(B2565&lt;=NKC!$N$8,B2565&gt;=NKC!$M$8),"x","")</f>
        <v/>
      </c>
      <c r="AA2565" s="535"/>
      <c r="AB2565" s="536"/>
    </row>
    <row r="2566" spans="1:28" s="503" customFormat="1" ht="15.75" customHeight="1">
      <c r="A2566" s="517" t="str">
        <f>IF(B2566&lt;&gt;"",IF(AND(B2566&gt;=_TM1,B2566&lt;=_TM2,OR(TH!L2566="1111",TH!M2566="1111")),TH!D2566,""),"")</f>
        <v/>
      </c>
      <c r="B2566" s="531">
        <f t="shared" si="223"/>
        <v>5</v>
      </c>
      <c r="C2566" s="315">
        <f t="shared" si="224"/>
        <v>42886</v>
      </c>
      <c r="D2566" s="315" t="s">
        <v>930</v>
      </c>
      <c r="E2566" s="315">
        <v>42886</v>
      </c>
      <c r="F2566" s="250" t="s">
        <v>1022</v>
      </c>
      <c r="G2566" s="314" t="s">
        <v>1141</v>
      </c>
      <c r="H2566" s="473" t="s">
        <v>284</v>
      </c>
      <c r="I2566" s="307">
        <v>48</v>
      </c>
      <c r="J2566" s="307">
        <v>21225</v>
      </c>
      <c r="K2566" s="532">
        <f t="shared" si="226"/>
        <v>1018800</v>
      </c>
      <c r="L2566" s="534" t="s">
        <v>223</v>
      </c>
      <c r="M2566" s="534" t="s">
        <v>162</v>
      </c>
      <c r="N2566" s="525" t="str">
        <f>IF(AND('331-CT'!$E$7=TH!H2566,OR(L2566="331",M2566="331")),"331",IF(AND(OR(L2566="131",M2566="131"),H2566='131-CT'!$E$7),"131",""))</f>
        <v/>
      </c>
      <c r="O2566" s="525" t="str">
        <f>IF(AND($B2566&gt;='111'!$N$11,$B2566&lt;='111'!$O$11,OR($L2566=$O$7,$M2566=$O$7)),"x","")</f>
        <v/>
      </c>
      <c r="P2566" s="525" t="str">
        <f>IF(AND($L2566=$O$7,$B2566&lt;'111'!$N$11),"x","")</f>
        <v/>
      </c>
      <c r="Q2566" s="525" t="str">
        <f>IF(AND($M2566=$O$7,$B2566&lt;'111'!$N$11),"x","")</f>
        <v/>
      </c>
      <c r="R2566" s="525" t="str">
        <f>IF(ISERROR(FIND('112'!$M$9,G2566,1)),"",IF((AND(FIND('112'!$M$9,G2566,1)&gt;=1,$B2566&gt;='112'!$N$8,$B2566&lt;='112'!$O$8,OR($L2566='112'!$I$6,$M2566='112'!$I$6))),"x",""))</f>
        <v/>
      </c>
      <c r="S2566" s="525" t="str">
        <f>IF(ISERROR(FIND('112'!$M$9,G2566,1)),"",IF((AND(LEFT(G2566,2)=LEFT('112'!$M$9,2),B2566&lt;'112'!$N$8,$L2566='112'!$I$6)),"x",""))</f>
        <v/>
      </c>
      <c r="T2566" s="525" t="str">
        <f>IF(ISERROR(FIND('112'!$M$9,G2566,1)),"",IF((AND(RIGHT(G2566,2)=RIGHT('112'!$M$9,2),B2566&lt;'112'!$N$8,$M2566='112'!$I$6)),"x",""))</f>
        <v/>
      </c>
      <c r="U2566" s="525" t="str">
        <f>IF(AND(B2566&gt;='IN-NX'!$P$3,B2566&lt;='IN-NX'!$Q$3,'IN-NX'!$D$7=D2566,OR(LEFT(L2566,2)="15",AND(LEFT(M2566,2)&lt;&gt;"15",LEFT(M2566,2)&lt;&gt;"33"))),"x","")</f>
        <v/>
      </c>
      <c r="V2566" s="525" t="str">
        <f>IF(AND(OR(LEFT(TH!L2566,2)="15",LEFT(TH!M2566,2)="15"),'152-CT'!$J$8=TH!F2566),"x","")</f>
        <v/>
      </c>
      <c r="W2566" s="525" t="str">
        <f>IF(AND(OR(LEFT(TH!L2566,2)="15",LEFT(TH!M2566,2)="15"),TK!$E$7=TH!F2566),"x","")</f>
        <v/>
      </c>
      <c r="X2566" s="525" t="str">
        <f>IF(AND('341-CT'!$E$9=H2566,OR(LEFT(L2566,3)=$X$7,LEFT(M2566,3)=$X$7)),"x","")</f>
        <v/>
      </c>
      <c r="Y2566" s="525" t="str">
        <f>IF(OR(TH!L2566=TH!$Y$7,M2566=TH!$Y$7),"x","")</f>
        <v/>
      </c>
      <c r="Z2566" s="525" t="str">
        <f>IF(AND(B2566&lt;=NKC!$N$8,B2566&gt;=NKC!$M$8),"x","")</f>
        <v/>
      </c>
      <c r="AA2566" s="535"/>
      <c r="AB2566" s="536"/>
    </row>
    <row r="2567" spans="1:28" s="503" customFormat="1" ht="15.75" customHeight="1">
      <c r="A2567" s="517" t="str">
        <f>IF(B2567&lt;&gt;"",IF(AND(B2567&gt;=_TM1,B2567&lt;=_TM2,OR(TH!L2567="1111",TH!M2567="1111")),TH!D2567,""),"")</f>
        <v/>
      </c>
      <c r="B2567" s="531">
        <f t="shared" ref="B2567:B2630" si="227">IF(C2567&lt;&gt;"",MONTH(C2567),"")</f>
        <v>5</v>
      </c>
      <c r="C2567" s="315">
        <f t="shared" ref="C2567:C2630" si="228">E2567</f>
        <v>42886</v>
      </c>
      <c r="D2567" s="315" t="s">
        <v>930</v>
      </c>
      <c r="E2567" s="315">
        <v>42886</v>
      </c>
      <c r="F2567" s="250" t="s">
        <v>710</v>
      </c>
      <c r="G2567" s="314" t="s">
        <v>1141</v>
      </c>
      <c r="H2567" s="473" t="s">
        <v>284</v>
      </c>
      <c r="I2567" s="307">
        <v>68</v>
      </c>
      <c r="J2567" s="307">
        <v>21013</v>
      </c>
      <c r="K2567" s="532">
        <f t="shared" si="226"/>
        <v>1428884</v>
      </c>
      <c r="L2567" s="534" t="s">
        <v>223</v>
      </c>
      <c r="M2567" s="534" t="s">
        <v>162</v>
      </c>
      <c r="N2567" s="525" t="str">
        <f>IF(AND('331-CT'!$E$7=TH!H2567,OR(L2567="331",M2567="331")),"331",IF(AND(OR(L2567="131",M2567="131"),H2567='131-CT'!$E$7),"131",""))</f>
        <v/>
      </c>
      <c r="O2567" s="525" t="str">
        <f>IF(AND($B2567&gt;='111'!$N$11,$B2567&lt;='111'!$O$11,OR($L2567=$O$7,$M2567=$O$7)),"x","")</f>
        <v/>
      </c>
      <c r="P2567" s="525" t="str">
        <f>IF(AND($L2567=$O$7,$B2567&lt;'111'!$N$11),"x","")</f>
        <v/>
      </c>
      <c r="Q2567" s="525" t="str">
        <f>IF(AND($M2567=$O$7,$B2567&lt;'111'!$N$11),"x","")</f>
        <v/>
      </c>
      <c r="R2567" s="525" t="str">
        <f>IF(ISERROR(FIND('112'!$M$9,G2567,1)),"",IF((AND(FIND('112'!$M$9,G2567,1)&gt;=1,$B2567&gt;='112'!$N$8,$B2567&lt;='112'!$O$8,OR($L2567='112'!$I$6,$M2567='112'!$I$6))),"x",""))</f>
        <v/>
      </c>
      <c r="S2567" s="525" t="str">
        <f>IF(ISERROR(FIND('112'!$M$9,G2567,1)),"",IF((AND(LEFT(G2567,2)=LEFT('112'!$M$9,2),B2567&lt;'112'!$N$8,$L2567='112'!$I$6)),"x",""))</f>
        <v/>
      </c>
      <c r="T2567" s="525" t="str">
        <f>IF(ISERROR(FIND('112'!$M$9,G2567,1)),"",IF((AND(RIGHT(G2567,2)=RIGHT('112'!$M$9,2),B2567&lt;'112'!$N$8,$M2567='112'!$I$6)),"x",""))</f>
        <v/>
      </c>
      <c r="U2567" s="525" t="str">
        <f>IF(AND(B2567&gt;='IN-NX'!$P$3,B2567&lt;='IN-NX'!$Q$3,'IN-NX'!$D$7=D2567,OR(LEFT(L2567,2)="15",AND(LEFT(M2567,2)&lt;&gt;"15",LEFT(M2567,2)&lt;&gt;"33"))),"x","")</f>
        <v/>
      </c>
      <c r="V2567" s="525" t="str">
        <f>IF(AND(OR(LEFT(TH!L2567,2)="15",LEFT(TH!M2567,2)="15"),'152-CT'!$J$8=TH!F2567),"x","")</f>
        <v/>
      </c>
      <c r="W2567" s="525" t="str">
        <f>IF(AND(OR(LEFT(TH!L2567,2)="15",LEFT(TH!M2567,2)="15"),TK!$E$7=TH!F2567),"x","")</f>
        <v/>
      </c>
      <c r="X2567" s="525" t="str">
        <f>IF(AND('341-CT'!$E$9=H2567,OR(LEFT(L2567,3)=$X$7,LEFT(M2567,3)=$X$7)),"x","")</f>
        <v/>
      </c>
      <c r="Y2567" s="525" t="str">
        <f>IF(OR(TH!L2567=TH!$Y$7,M2567=TH!$Y$7),"x","")</f>
        <v/>
      </c>
      <c r="Z2567" s="525" t="str">
        <f>IF(AND(B2567&lt;=NKC!$N$8,B2567&gt;=NKC!$M$8),"x","")</f>
        <v/>
      </c>
      <c r="AA2567" s="535"/>
      <c r="AB2567" s="536"/>
    </row>
    <row r="2568" spans="1:28" s="503" customFormat="1" ht="15.75" customHeight="1">
      <c r="A2568" s="517" t="str">
        <f>IF(B2568&lt;&gt;"",IF(AND(B2568&gt;=_TM1,B2568&lt;=_TM2,OR(TH!L2568="1111",TH!M2568="1111")),TH!D2568,""),"")</f>
        <v/>
      </c>
      <c r="B2568" s="531">
        <f t="shared" si="227"/>
        <v>5</v>
      </c>
      <c r="C2568" s="315">
        <f t="shared" si="228"/>
        <v>42886</v>
      </c>
      <c r="D2568" s="315" t="s">
        <v>930</v>
      </c>
      <c r="E2568" s="315">
        <v>42886</v>
      </c>
      <c r="F2568" s="250" t="s">
        <v>1042</v>
      </c>
      <c r="G2568" s="314" t="s">
        <v>1141</v>
      </c>
      <c r="H2568" s="473" t="s">
        <v>284</v>
      </c>
      <c r="I2568" s="307">
        <v>48</v>
      </c>
      <c r="J2568" s="307">
        <v>18740</v>
      </c>
      <c r="K2568" s="532">
        <f t="shared" si="226"/>
        <v>899520</v>
      </c>
      <c r="L2568" s="534" t="s">
        <v>223</v>
      </c>
      <c r="M2568" s="534" t="s">
        <v>162</v>
      </c>
      <c r="N2568" s="525" t="str">
        <f>IF(AND('331-CT'!$E$7=TH!H2568,OR(L2568="331",M2568="331")),"331",IF(AND(OR(L2568="131",M2568="131"),H2568='131-CT'!$E$7),"131",""))</f>
        <v/>
      </c>
      <c r="O2568" s="525" t="str">
        <f>IF(AND($B2568&gt;='111'!$N$11,$B2568&lt;='111'!$O$11,OR($L2568=$O$7,$M2568=$O$7)),"x","")</f>
        <v/>
      </c>
      <c r="P2568" s="525" t="str">
        <f>IF(AND($L2568=$O$7,$B2568&lt;'111'!$N$11),"x","")</f>
        <v/>
      </c>
      <c r="Q2568" s="525" t="str">
        <f>IF(AND($M2568=$O$7,$B2568&lt;'111'!$N$11),"x","")</f>
        <v/>
      </c>
      <c r="R2568" s="525" t="str">
        <f>IF(ISERROR(FIND('112'!$M$9,G2568,1)),"",IF((AND(FIND('112'!$M$9,G2568,1)&gt;=1,$B2568&gt;='112'!$N$8,$B2568&lt;='112'!$O$8,OR($L2568='112'!$I$6,$M2568='112'!$I$6))),"x",""))</f>
        <v/>
      </c>
      <c r="S2568" s="525" t="str">
        <f>IF(ISERROR(FIND('112'!$M$9,G2568,1)),"",IF((AND(LEFT(G2568,2)=LEFT('112'!$M$9,2),B2568&lt;'112'!$N$8,$L2568='112'!$I$6)),"x",""))</f>
        <v/>
      </c>
      <c r="T2568" s="525" t="str">
        <f>IF(ISERROR(FIND('112'!$M$9,G2568,1)),"",IF((AND(RIGHT(G2568,2)=RIGHT('112'!$M$9,2),B2568&lt;'112'!$N$8,$M2568='112'!$I$6)),"x",""))</f>
        <v/>
      </c>
      <c r="U2568" s="525" t="str">
        <f>IF(AND(B2568&gt;='IN-NX'!$P$3,B2568&lt;='IN-NX'!$Q$3,'IN-NX'!$D$7=D2568,OR(LEFT(L2568,2)="15",AND(LEFT(M2568,2)&lt;&gt;"15",LEFT(M2568,2)&lt;&gt;"33"))),"x","")</f>
        <v/>
      </c>
      <c r="V2568" s="525" t="str">
        <f>IF(AND(OR(LEFT(TH!L2568,2)="15",LEFT(TH!M2568,2)="15"),'152-CT'!$J$8=TH!F2568),"x","")</f>
        <v/>
      </c>
      <c r="W2568" s="525" t="str">
        <f>IF(AND(OR(LEFT(TH!L2568,2)="15",LEFT(TH!M2568,2)="15"),TK!$E$7=TH!F2568),"x","")</f>
        <v/>
      </c>
      <c r="X2568" s="525" t="str">
        <f>IF(AND('341-CT'!$E$9=H2568,OR(LEFT(L2568,3)=$X$7,LEFT(M2568,3)=$X$7)),"x","")</f>
        <v/>
      </c>
      <c r="Y2568" s="525" t="str">
        <f>IF(OR(TH!L2568=TH!$Y$7,M2568=TH!$Y$7),"x","")</f>
        <v/>
      </c>
      <c r="Z2568" s="525" t="str">
        <f>IF(AND(B2568&lt;=NKC!$N$8,B2568&gt;=NKC!$M$8),"x","")</f>
        <v/>
      </c>
      <c r="AA2568" s="535"/>
      <c r="AB2568" s="536"/>
    </row>
    <row r="2569" spans="1:28" s="503" customFormat="1" ht="15.75" customHeight="1">
      <c r="A2569" s="517" t="str">
        <f>IF(B2569&lt;&gt;"",IF(AND(B2569&gt;=_TM1,B2569&lt;=_TM2,OR(TH!L2569="1111",TH!M2569="1111")),TH!D2569,""),"")</f>
        <v/>
      </c>
      <c r="B2569" s="531">
        <f t="shared" si="227"/>
        <v>5</v>
      </c>
      <c r="C2569" s="315">
        <f t="shared" si="228"/>
        <v>42886</v>
      </c>
      <c r="D2569" s="315" t="s">
        <v>930</v>
      </c>
      <c r="E2569" s="315">
        <v>42886</v>
      </c>
      <c r="F2569" s="250" t="s">
        <v>1049</v>
      </c>
      <c r="G2569" s="314" t="s">
        <v>1141</v>
      </c>
      <c r="H2569" s="473" t="s">
        <v>284</v>
      </c>
      <c r="I2569" s="307">
        <v>12</v>
      </c>
      <c r="J2569" s="307">
        <v>24638</v>
      </c>
      <c r="K2569" s="532">
        <f t="shared" si="226"/>
        <v>295656</v>
      </c>
      <c r="L2569" s="534" t="s">
        <v>223</v>
      </c>
      <c r="M2569" s="534" t="s">
        <v>162</v>
      </c>
      <c r="N2569" s="525" t="str">
        <f>IF(AND('331-CT'!$E$7=TH!H2569,OR(L2569="331",M2569="331")),"331",IF(AND(OR(L2569="131",M2569="131"),H2569='131-CT'!$E$7),"131",""))</f>
        <v/>
      </c>
      <c r="O2569" s="525" t="str">
        <f>IF(AND($B2569&gt;='111'!$N$11,$B2569&lt;='111'!$O$11,OR($L2569=$O$7,$M2569=$O$7)),"x","")</f>
        <v/>
      </c>
      <c r="P2569" s="525" t="str">
        <f>IF(AND($L2569=$O$7,$B2569&lt;'111'!$N$11),"x","")</f>
        <v/>
      </c>
      <c r="Q2569" s="525" t="str">
        <f>IF(AND($M2569=$O$7,$B2569&lt;'111'!$N$11),"x","")</f>
        <v/>
      </c>
      <c r="R2569" s="525" t="str">
        <f>IF(ISERROR(FIND('112'!$M$9,G2569,1)),"",IF((AND(FIND('112'!$M$9,G2569,1)&gt;=1,$B2569&gt;='112'!$N$8,$B2569&lt;='112'!$O$8,OR($L2569='112'!$I$6,$M2569='112'!$I$6))),"x",""))</f>
        <v/>
      </c>
      <c r="S2569" s="525" t="str">
        <f>IF(ISERROR(FIND('112'!$M$9,G2569,1)),"",IF((AND(LEFT(G2569,2)=LEFT('112'!$M$9,2),B2569&lt;'112'!$N$8,$L2569='112'!$I$6)),"x",""))</f>
        <v/>
      </c>
      <c r="T2569" s="525" t="str">
        <f>IF(ISERROR(FIND('112'!$M$9,G2569,1)),"",IF((AND(RIGHT(G2569,2)=RIGHT('112'!$M$9,2),B2569&lt;'112'!$N$8,$M2569='112'!$I$6)),"x",""))</f>
        <v/>
      </c>
      <c r="U2569" s="525" t="str">
        <f>IF(AND(B2569&gt;='IN-NX'!$P$3,B2569&lt;='IN-NX'!$Q$3,'IN-NX'!$D$7=D2569,OR(LEFT(L2569,2)="15",AND(LEFT(M2569,2)&lt;&gt;"15",LEFT(M2569,2)&lt;&gt;"33"))),"x","")</f>
        <v/>
      </c>
      <c r="V2569" s="525" t="str">
        <f>IF(AND(OR(LEFT(TH!L2569,2)="15",LEFT(TH!M2569,2)="15"),'152-CT'!$J$8=TH!F2569),"x","")</f>
        <v/>
      </c>
      <c r="W2569" s="525" t="str">
        <f>IF(AND(OR(LEFT(TH!L2569,2)="15",LEFT(TH!M2569,2)="15"),TK!$E$7=TH!F2569),"x","")</f>
        <v/>
      </c>
      <c r="X2569" s="525" t="str">
        <f>IF(AND('341-CT'!$E$9=H2569,OR(LEFT(L2569,3)=$X$7,LEFT(M2569,3)=$X$7)),"x","")</f>
        <v/>
      </c>
      <c r="Y2569" s="525" t="str">
        <f>IF(OR(TH!L2569=TH!$Y$7,M2569=TH!$Y$7),"x","")</f>
        <v/>
      </c>
      <c r="Z2569" s="525" t="str">
        <f>IF(AND(B2569&lt;=NKC!$N$8,B2569&gt;=NKC!$M$8),"x","")</f>
        <v/>
      </c>
      <c r="AA2569" s="535"/>
      <c r="AB2569" s="536"/>
    </row>
    <row r="2570" spans="1:28" s="503" customFormat="1" ht="15.75" customHeight="1">
      <c r="A2570" s="517" t="str">
        <f>IF(B2570&lt;&gt;"",IF(AND(B2570&gt;=_TM1,B2570&lt;=_TM2,OR(TH!L2570="1111",TH!M2570="1111")),TH!D2570,""),"")</f>
        <v/>
      </c>
      <c r="B2570" s="531">
        <f t="shared" si="227"/>
        <v>5</v>
      </c>
      <c r="C2570" s="315">
        <f t="shared" si="228"/>
        <v>42886</v>
      </c>
      <c r="D2570" s="315" t="s">
        <v>930</v>
      </c>
      <c r="E2570" s="315">
        <v>42886</v>
      </c>
      <c r="F2570" s="250" t="s">
        <v>728</v>
      </c>
      <c r="G2570" s="314" t="s">
        <v>1141</v>
      </c>
      <c r="H2570" s="473" t="s">
        <v>284</v>
      </c>
      <c r="I2570" s="307">
        <v>60</v>
      </c>
      <c r="J2570" s="307">
        <v>20619</v>
      </c>
      <c r="K2570" s="532">
        <f t="shared" si="226"/>
        <v>1237140</v>
      </c>
      <c r="L2570" s="534" t="s">
        <v>223</v>
      </c>
      <c r="M2570" s="534" t="s">
        <v>162</v>
      </c>
      <c r="N2570" s="525" t="str">
        <f>IF(AND('331-CT'!$E$7=TH!H2570,OR(L2570="331",M2570="331")),"331",IF(AND(OR(L2570="131",M2570="131"),H2570='131-CT'!$E$7),"131",""))</f>
        <v/>
      </c>
      <c r="O2570" s="525" t="str">
        <f>IF(AND($B2570&gt;='111'!$N$11,$B2570&lt;='111'!$O$11,OR($L2570=$O$7,$M2570=$O$7)),"x","")</f>
        <v/>
      </c>
      <c r="P2570" s="525" t="str">
        <f>IF(AND($L2570=$O$7,$B2570&lt;'111'!$N$11),"x","")</f>
        <v/>
      </c>
      <c r="Q2570" s="525" t="str">
        <f>IF(AND($M2570=$O$7,$B2570&lt;'111'!$N$11),"x","")</f>
        <v/>
      </c>
      <c r="R2570" s="525" t="str">
        <f>IF(ISERROR(FIND('112'!$M$9,G2570,1)),"",IF((AND(FIND('112'!$M$9,G2570,1)&gt;=1,$B2570&gt;='112'!$N$8,$B2570&lt;='112'!$O$8,OR($L2570='112'!$I$6,$M2570='112'!$I$6))),"x",""))</f>
        <v/>
      </c>
      <c r="S2570" s="525" t="str">
        <f>IF(ISERROR(FIND('112'!$M$9,G2570,1)),"",IF((AND(LEFT(G2570,2)=LEFT('112'!$M$9,2),B2570&lt;'112'!$N$8,$L2570='112'!$I$6)),"x",""))</f>
        <v/>
      </c>
      <c r="T2570" s="525" t="str">
        <f>IF(ISERROR(FIND('112'!$M$9,G2570,1)),"",IF((AND(RIGHT(G2570,2)=RIGHT('112'!$M$9,2),B2570&lt;'112'!$N$8,$M2570='112'!$I$6)),"x",""))</f>
        <v/>
      </c>
      <c r="U2570" s="525" t="str">
        <f>IF(AND(B2570&gt;='IN-NX'!$P$3,B2570&lt;='IN-NX'!$Q$3,'IN-NX'!$D$7=D2570,OR(LEFT(L2570,2)="15",AND(LEFT(M2570,2)&lt;&gt;"15",LEFT(M2570,2)&lt;&gt;"33"))),"x","")</f>
        <v/>
      </c>
      <c r="V2570" s="525" t="str">
        <f>IF(AND(OR(LEFT(TH!L2570,2)="15",LEFT(TH!M2570,2)="15"),'152-CT'!$J$8=TH!F2570),"x","")</f>
        <v/>
      </c>
      <c r="W2570" s="525" t="str">
        <f>IF(AND(OR(LEFT(TH!L2570,2)="15",LEFT(TH!M2570,2)="15"),TK!$E$7=TH!F2570),"x","")</f>
        <v/>
      </c>
      <c r="X2570" s="525" t="str">
        <f>IF(AND('341-CT'!$E$9=H2570,OR(LEFT(L2570,3)=$X$7,LEFT(M2570,3)=$X$7)),"x","")</f>
        <v/>
      </c>
      <c r="Y2570" s="525" t="str">
        <f>IF(OR(TH!L2570=TH!$Y$7,M2570=TH!$Y$7),"x","")</f>
        <v/>
      </c>
      <c r="Z2570" s="525" t="str">
        <f>IF(AND(B2570&lt;=NKC!$N$8,B2570&gt;=NKC!$M$8),"x","")</f>
        <v/>
      </c>
      <c r="AA2570" s="535"/>
      <c r="AB2570" s="536"/>
    </row>
    <row r="2571" spans="1:28" s="503" customFormat="1" ht="15.75" customHeight="1">
      <c r="A2571" s="517" t="str">
        <f>IF(B2571&lt;&gt;"",IF(AND(B2571&gt;=_TM1,B2571&lt;=_TM2,OR(TH!L2571="1111",TH!M2571="1111")),TH!D2571,""),"")</f>
        <v/>
      </c>
      <c r="B2571" s="531">
        <f t="shared" si="227"/>
        <v>5</v>
      </c>
      <c r="C2571" s="315">
        <f t="shared" si="228"/>
        <v>42886</v>
      </c>
      <c r="D2571" s="315" t="s">
        <v>931</v>
      </c>
      <c r="E2571" s="315">
        <v>42886</v>
      </c>
      <c r="F2571" s="250" t="s">
        <v>1166</v>
      </c>
      <c r="G2571" s="314" t="s">
        <v>1141</v>
      </c>
      <c r="H2571" s="473" t="s">
        <v>284</v>
      </c>
      <c r="I2571" s="307">
        <v>12</v>
      </c>
      <c r="J2571" s="307">
        <v>13208</v>
      </c>
      <c r="K2571" s="532">
        <f t="shared" si="226"/>
        <v>158496</v>
      </c>
      <c r="L2571" s="534" t="s">
        <v>223</v>
      </c>
      <c r="M2571" s="534" t="s">
        <v>162</v>
      </c>
      <c r="N2571" s="525" t="str">
        <f>IF(AND('331-CT'!$E$7=TH!H2571,OR(L2571="331",M2571="331")),"331",IF(AND(OR(L2571="131",M2571="131"),H2571='131-CT'!$E$7),"131",""))</f>
        <v/>
      </c>
      <c r="O2571" s="525" t="str">
        <f>IF(AND($B2571&gt;='111'!$N$11,$B2571&lt;='111'!$O$11,OR($L2571=$O$7,$M2571=$O$7)),"x","")</f>
        <v/>
      </c>
      <c r="P2571" s="525" t="str">
        <f>IF(AND($L2571=$O$7,$B2571&lt;'111'!$N$11),"x","")</f>
        <v/>
      </c>
      <c r="Q2571" s="525" t="str">
        <f>IF(AND($M2571=$O$7,$B2571&lt;'111'!$N$11),"x","")</f>
        <v/>
      </c>
      <c r="R2571" s="525" t="str">
        <f>IF(ISERROR(FIND('112'!$M$9,G2571,1)),"",IF((AND(FIND('112'!$M$9,G2571,1)&gt;=1,$B2571&gt;='112'!$N$8,$B2571&lt;='112'!$O$8,OR($L2571='112'!$I$6,$M2571='112'!$I$6))),"x",""))</f>
        <v/>
      </c>
      <c r="S2571" s="525" t="str">
        <f>IF(ISERROR(FIND('112'!$M$9,G2571,1)),"",IF((AND(LEFT(G2571,2)=LEFT('112'!$M$9,2),B2571&lt;'112'!$N$8,$L2571='112'!$I$6)),"x",""))</f>
        <v/>
      </c>
      <c r="T2571" s="525" t="str">
        <f>IF(ISERROR(FIND('112'!$M$9,G2571,1)),"",IF((AND(RIGHT(G2571,2)=RIGHT('112'!$M$9,2),B2571&lt;'112'!$N$8,$M2571='112'!$I$6)),"x",""))</f>
        <v/>
      </c>
      <c r="U2571" s="525" t="str">
        <f>IF(AND(B2571&gt;='IN-NX'!$P$3,B2571&lt;='IN-NX'!$Q$3,'IN-NX'!$D$7=D2571,OR(LEFT(L2571,2)="15",AND(LEFT(M2571,2)&lt;&gt;"15",LEFT(M2571,2)&lt;&gt;"33"))),"x","")</f>
        <v/>
      </c>
      <c r="V2571" s="525" t="str">
        <f>IF(AND(OR(LEFT(TH!L2571,2)="15",LEFT(TH!M2571,2)="15"),'152-CT'!$J$8=TH!F2571),"x","")</f>
        <v/>
      </c>
      <c r="W2571" s="525" t="str">
        <f>IF(AND(OR(LEFT(TH!L2571,2)="15",LEFT(TH!M2571,2)="15"),TK!$E$7=TH!F2571),"x","")</f>
        <v/>
      </c>
      <c r="X2571" s="525" t="str">
        <f>IF(AND('341-CT'!$E$9=H2571,OR(LEFT(L2571,3)=$X$7,LEFT(M2571,3)=$X$7)),"x","")</f>
        <v/>
      </c>
      <c r="Y2571" s="525" t="str">
        <f>IF(OR(TH!L2571=TH!$Y$7,M2571=TH!$Y$7),"x","")</f>
        <v/>
      </c>
      <c r="Z2571" s="525" t="str">
        <f>IF(AND(B2571&lt;=NKC!$N$8,B2571&gt;=NKC!$M$8),"x","")</f>
        <v/>
      </c>
      <c r="AA2571" s="535"/>
      <c r="AB2571" s="536"/>
    </row>
    <row r="2572" spans="1:28" s="503" customFormat="1" ht="15.75" customHeight="1">
      <c r="A2572" s="517" t="str">
        <f>IF(B2572&lt;&gt;"",IF(AND(B2572&gt;=_TM1,B2572&lt;=_TM2,OR(TH!L2572="1111",TH!M2572="1111")),TH!D2572,""),"")</f>
        <v/>
      </c>
      <c r="B2572" s="531">
        <f t="shared" si="227"/>
        <v>5</v>
      </c>
      <c r="C2572" s="315">
        <f t="shared" si="228"/>
        <v>42886</v>
      </c>
      <c r="D2572" s="315" t="s">
        <v>931</v>
      </c>
      <c r="E2572" s="315">
        <v>42886</v>
      </c>
      <c r="F2572" s="249" t="s">
        <v>673</v>
      </c>
      <c r="G2572" s="314" t="s">
        <v>1141</v>
      </c>
      <c r="H2572" s="473" t="s">
        <v>284</v>
      </c>
      <c r="I2572" s="307">
        <v>12</v>
      </c>
      <c r="J2572" s="307">
        <v>19127</v>
      </c>
      <c r="K2572" s="532">
        <f t="shared" si="226"/>
        <v>229524</v>
      </c>
      <c r="L2572" s="534" t="s">
        <v>223</v>
      </c>
      <c r="M2572" s="534" t="s">
        <v>162</v>
      </c>
      <c r="N2572" s="525" t="str">
        <f>IF(AND('331-CT'!$E$7=TH!H2572,OR(L2572="331",M2572="331")),"331",IF(AND(OR(L2572="131",M2572="131"),H2572='131-CT'!$E$7),"131",""))</f>
        <v/>
      </c>
      <c r="O2572" s="525" t="str">
        <f>IF(AND($B2572&gt;='111'!$N$11,$B2572&lt;='111'!$O$11,OR($L2572=$O$7,$M2572=$O$7)),"x","")</f>
        <v/>
      </c>
      <c r="P2572" s="525" t="str">
        <f>IF(AND($L2572=$O$7,$B2572&lt;'111'!$N$11),"x","")</f>
        <v/>
      </c>
      <c r="Q2572" s="525" t="str">
        <f>IF(AND($M2572=$O$7,$B2572&lt;'111'!$N$11),"x","")</f>
        <v/>
      </c>
      <c r="R2572" s="525" t="str">
        <f>IF(ISERROR(FIND('112'!$M$9,G2572,1)),"",IF((AND(FIND('112'!$M$9,G2572,1)&gt;=1,$B2572&gt;='112'!$N$8,$B2572&lt;='112'!$O$8,OR($L2572='112'!$I$6,$M2572='112'!$I$6))),"x",""))</f>
        <v/>
      </c>
      <c r="S2572" s="525" t="str">
        <f>IF(ISERROR(FIND('112'!$M$9,G2572,1)),"",IF((AND(LEFT(G2572,2)=LEFT('112'!$M$9,2),B2572&lt;'112'!$N$8,$L2572='112'!$I$6)),"x",""))</f>
        <v/>
      </c>
      <c r="T2572" s="525" t="str">
        <f>IF(ISERROR(FIND('112'!$M$9,G2572,1)),"",IF((AND(RIGHT(G2572,2)=RIGHT('112'!$M$9,2),B2572&lt;'112'!$N$8,$M2572='112'!$I$6)),"x",""))</f>
        <v/>
      </c>
      <c r="U2572" s="525" t="str">
        <f>IF(AND(B2572&gt;='IN-NX'!$P$3,B2572&lt;='IN-NX'!$Q$3,'IN-NX'!$D$7=D2572,OR(LEFT(L2572,2)="15",AND(LEFT(M2572,2)&lt;&gt;"15",LEFT(M2572,2)&lt;&gt;"33"))),"x","")</f>
        <v/>
      </c>
      <c r="V2572" s="525" t="str">
        <f>IF(AND(OR(LEFT(TH!L2572,2)="15",LEFT(TH!M2572,2)="15"),'152-CT'!$J$8=TH!F2572),"x","")</f>
        <v/>
      </c>
      <c r="W2572" s="525" t="str">
        <f>IF(AND(OR(LEFT(TH!L2572,2)="15",LEFT(TH!M2572,2)="15"),TK!$E$7=TH!F2572),"x","")</f>
        <v/>
      </c>
      <c r="X2572" s="525" t="str">
        <f>IF(AND('341-CT'!$E$9=H2572,OR(LEFT(L2572,3)=$X$7,LEFT(M2572,3)=$X$7)),"x","")</f>
        <v/>
      </c>
      <c r="Y2572" s="525" t="str">
        <f>IF(OR(TH!L2572=TH!$Y$7,M2572=TH!$Y$7),"x","")</f>
        <v/>
      </c>
      <c r="Z2572" s="525" t="str">
        <f>IF(AND(B2572&lt;=NKC!$N$8,B2572&gt;=NKC!$M$8),"x","")</f>
        <v/>
      </c>
      <c r="AA2572" s="535"/>
      <c r="AB2572" s="536"/>
    </row>
    <row r="2573" spans="1:28" s="503" customFormat="1" ht="15.75" customHeight="1">
      <c r="A2573" s="517" t="str">
        <f>IF(B2573&lt;&gt;"",IF(AND(B2573&gt;=_TM1,B2573&lt;=_TM2,OR(TH!L2573="1111",TH!M2573="1111")),TH!D2573,""),"")</f>
        <v/>
      </c>
      <c r="B2573" s="531">
        <f t="shared" si="227"/>
        <v>5</v>
      </c>
      <c r="C2573" s="315">
        <f t="shared" si="228"/>
        <v>42886</v>
      </c>
      <c r="D2573" s="315" t="s">
        <v>931</v>
      </c>
      <c r="E2573" s="315">
        <v>42886</v>
      </c>
      <c r="F2573" s="250" t="s">
        <v>723</v>
      </c>
      <c r="G2573" s="314" t="s">
        <v>1141</v>
      </c>
      <c r="H2573" s="473" t="s">
        <v>284</v>
      </c>
      <c r="I2573" s="307">
        <v>60</v>
      </c>
      <c r="J2573" s="307">
        <v>10835</v>
      </c>
      <c r="K2573" s="532">
        <f t="shared" si="226"/>
        <v>650100</v>
      </c>
      <c r="L2573" s="534" t="s">
        <v>223</v>
      </c>
      <c r="M2573" s="534" t="s">
        <v>162</v>
      </c>
      <c r="N2573" s="525" t="str">
        <f>IF(AND('331-CT'!$E$7=TH!H2573,OR(L2573="331",M2573="331")),"331",IF(AND(OR(L2573="131",M2573="131"),H2573='131-CT'!$E$7),"131",""))</f>
        <v/>
      </c>
      <c r="O2573" s="525" t="str">
        <f>IF(AND($B2573&gt;='111'!$N$11,$B2573&lt;='111'!$O$11,OR($L2573=$O$7,$M2573=$O$7)),"x","")</f>
        <v/>
      </c>
      <c r="P2573" s="525" t="str">
        <f>IF(AND($L2573=$O$7,$B2573&lt;'111'!$N$11),"x","")</f>
        <v/>
      </c>
      <c r="Q2573" s="525" t="str">
        <f>IF(AND($M2573=$O$7,$B2573&lt;'111'!$N$11),"x","")</f>
        <v/>
      </c>
      <c r="R2573" s="525" t="str">
        <f>IF(ISERROR(FIND('112'!$M$9,G2573,1)),"",IF((AND(FIND('112'!$M$9,G2573,1)&gt;=1,$B2573&gt;='112'!$N$8,$B2573&lt;='112'!$O$8,OR($L2573='112'!$I$6,$M2573='112'!$I$6))),"x",""))</f>
        <v/>
      </c>
      <c r="S2573" s="525" t="str">
        <f>IF(ISERROR(FIND('112'!$M$9,G2573,1)),"",IF((AND(LEFT(G2573,2)=LEFT('112'!$M$9,2),B2573&lt;'112'!$N$8,$L2573='112'!$I$6)),"x",""))</f>
        <v/>
      </c>
      <c r="T2573" s="525" t="str">
        <f>IF(ISERROR(FIND('112'!$M$9,G2573,1)),"",IF((AND(RIGHT(G2573,2)=RIGHT('112'!$M$9,2),B2573&lt;'112'!$N$8,$M2573='112'!$I$6)),"x",""))</f>
        <v/>
      </c>
      <c r="U2573" s="525" t="str">
        <f>IF(AND(B2573&gt;='IN-NX'!$P$3,B2573&lt;='IN-NX'!$Q$3,'IN-NX'!$D$7=D2573,OR(LEFT(L2573,2)="15",AND(LEFT(M2573,2)&lt;&gt;"15",LEFT(M2573,2)&lt;&gt;"33"))),"x","")</f>
        <v/>
      </c>
      <c r="V2573" s="525" t="str">
        <f>IF(AND(OR(LEFT(TH!L2573,2)="15",LEFT(TH!M2573,2)="15"),'152-CT'!$J$8=TH!F2573),"x","")</f>
        <v/>
      </c>
      <c r="W2573" s="525" t="str">
        <f>IF(AND(OR(LEFT(TH!L2573,2)="15",LEFT(TH!M2573,2)="15"),TK!$E$7=TH!F2573),"x","")</f>
        <v/>
      </c>
      <c r="X2573" s="525" t="str">
        <f>IF(AND('341-CT'!$E$9=H2573,OR(LEFT(L2573,3)=$X$7,LEFT(M2573,3)=$X$7)),"x","")</f>
        <v/>
      </c>
      <c r="Y2573" s="525" t="str">
        <f>IF(OR(TH!L2573=TH!$Y$7,M2573=TH!$Y$7),"x","")</f>
        <v/>
      </c>
      <c r="Z2573" s="525" t="str">
        <f>IF(AND(B2573&lt;=NKC!$N$8,B2573&gt;=NKC!$M$8),"x","")</f>
        <v/>
      </c>
      <c r="AA2573" s="535"/>
      <c r="AB2573" s="536"/>
    </row>
    <row r="2574" spans="1:28" s="503" customFormat="1" ht="15.75" customHeight="1">
      <c r="A2574" s="517" t="str">
        <f>IF(B2574&lt;&gt;"",IF(AND(B2574&gt;=_TM1,B2574&lt;=_TM2,OR(TH!L2574="1111",TH!M2574="1111")),TH!D2574,""),"")</f>
        <v/>
      </c>
      <c r="B2574" s="531">
        <f t="shared" si="227"/>
        <v>5</v>
      </c>
      <c r="C2574" s="315">
        <f t="shared" si="228"/>
        <v>42886</v>
      </c>
      <c r="D2574" s="315" t="s">
        <v>931</v>
      </c>
      <c r="E2574" s="315">
        <v>42886</v>
      </c>
      <c r="F2574" s="250" t="s">
        <v>1167</v>
      </c>
      <c r="G2574" s="314" t="s">
        <v>1141</v>
      </c>
      <c r="H2574" s="473" t="s">
        <v>284</v>
      </c>
      <c r="I2574" s="307">
        <v>36</v>
      </c>
      <c r="J2574" s="307">
        <v>8507</v>
      </c>
      <c r="K2574" s="532">
        <f t="shared" si="226"/>
        <v>306252</v>
      </c>
      <c r="L2574" s="534" t="s">
        <v>223</v>
      </c>
      <c r="M2574" s="534" t="s">
        <v>162</v>
      </c>
      <c r="N2574" s="525" t="str">
        <f>IF(AND('331-CT'!$E$7=TH!H2574,OR(L2574="331",M2574="331")),"331",IF(AND(OR(L2574="131",M2574="131"),H2574='131-CT'!$E$7),"131",""))</f>
        <v/>
      </c>
      <c r="O2574" s="525" t="str">
        <f>IF(AND($B2574&gt;='111'!$N$11,$B2574&lt;='111'!$O$11,OR($L2574=$O$7,$M2574=$O$7)),"x","")</f>
        <v/>
      </c>
      <c r="P2574" s="525" t="str">
        <f>IF(AND($L2574=$O$7,$B2574&lt;'111'!$N$11),"x","")</f>
        <v/>
      </c>
      <c r="Q2574" s="525" t="str">
        <f>IF(AND($M2574=$O$7,$B2574&lt;'111'!$N$11),"x","")</f>
        <v/>
      </c>
      <c r="R2574" s="525" t="str">
        <f>IF(ISERROR(FIND('112'!$M$9,G2574,1)),"",IF((AND(FIND('112'!$M$9,G2574,1)&gt;=1,$B2574&gt;='112'!$N$8,$B2574&lt;='112'!$O$8,OR($L2574='112'!$I$6,$M2574='112'!$I$6))),"x",""))</f>
        <v/>
      </c>
      <c r="S2574" s="525" t="str">
        <f>IF(ISERROR(FIND('112'!$M$9,G2574,1)),"",IF((AND(LEFT(G2574,2)=LEFT('112'!$M$9,2),B2574&lt;'112'!$N$8,$L2574='112'!$I$6)),"x",""))</f>
        <v/>
      </c>
      <c r="T2574" s="525" t="str">
        <f>IF(ISERROR(FIND('112'!$M$9,G2574,1)),"",IF((AND(RIGHT(G2574,2)=RIGHT('112'!$M$9,2),B2574&lt;'112'!$N$8,$M2574='112'!$I$6)),"x",""))</f>
        <v/>
      </c>
      <c r="U2574" s="525" t="str">
        <f>IF(AND(B2574&gt;='IN-NX'!$P$3,B2574&lt;='IN-NX'!$Q$3,'IN-NX'!$D$7=D2574,OR(LEFT(L2574,2)="15",AND(LEFT(M2574,2)&lt;&gt;"15",LEFT(M2574,2)&lt;&gt;"33"))),"x","")</f>
        <v/>
      </c>
      <c r="V2574" s="525" t="str">
        <f>IF(AND(OR(LEFT(TH!L2574,2)="15",LEFT(TH!M2574,2)="15"),'152-CT'!$J$8=TH!F2574),"x","")</f>
        <v/>
      </c>
      <c r="W2574" s="525" t="str">
        <f>IF(AND(OR(LEFT(TH!L2574,2)="15",LEFT(TH!M2574,2)="15"),TK!$E$7=TH!F2574),"x","")</f>
        <v/>
      </c>
      <c r="X2574" s="525" t="str">
        <f>IF(AND('341-CT'!$E$9=H2574,OR(LEFT(L2574,3)=$X$7,LEFT(M2574,3)=$X$7)),"x","")</f>
        <v/>
      </c>
      <c r="Y2574" s="525" t="str">
        <f>IF(OR(TH!L2574=TH!$Y$7,M2574=TH!$Y$7),"x","")</f>
        <v/>
      </c>
      <c r="Z2574" s="525" t="str">
        <f>IF(AND(B2574&lt;=NKC!$N$8,B2574&gt;=NKC!$M$8),"x","")</f>
        <v/>
      </c>
      <c r="AA2574" s="535"/>
      <c r="AB2574" s="536"/>
    </row>
    <row r="2575" spans="1:28" s="503" customFormat="1" ht="15.75" customHeight="1">
      <c r="A2575" s="517" t="str">
        <f>IF(B2575&lt;&gt;"",IF(AND(B2575&gt;=_TM1,B2575&lt;=_TM2,OR(TH!L2575="1111",TH!M2575="1111")),TH!D2575,""),"")</f>
        <v/>
      </c>
      <c r="B2575" s="531">
        <f t="shared" si="227"/>
        <v>5</v>
      </c>
      <c r="C2575" s="315">
        <f t="shared" si="228"/>
        <v>42886</v>
      </c>
      <c r="D2575" s="315" t="s">
        <v>931</v>
      </c>
      <c r="E2575" s="315">
        <v>42886</v>
      </c>
      <c r="F2575" s="250" t="s">
        <v>1047</v>
      </c>
      <c r="G2575" s="314" t="s">
        <v>1141</v>
      </c>
      <c r="H2575" s="473" t="s">
        <v>284</v>
      </c>
      <c r="I2575" s="307">
        <v>4</v>
      </c>
      <c r="J2575" s="307">
        <v>40780</v>
      </c>
      <c r="K2575" s="532">
        <f t="shared" si="226"/>
        <v>163120</v>
      </c>
      <c r="L2575" s="534" t="s">
        <v>223</v>
      </c>
      <c r="M2575" s="534" t="s">
        <v>162</v>
      </c>
      <c r="N2575" s="525" t="str">
        <f>IF(AND('331-CT'!$E$7=TH!H2575,OR(L2575="331",M2575="331")),"331",IF(AND(OR(L2575="131",M2575="131"),H2575='131-CT'!$E$7),"131",""))</f>
        <v/>
      </c>
      <c r="O2575" s="525" t="str">
        <f>IF(AND($B2575&gt;='111'!$N$11,$B2575&lt;='111'!$O$11,OR($L2575=$O$7,$M2575=$O$7)),"x","")</f>
        <v/>
      </c>
      <c r="P2575" s="525" t="str">
        <f>IF(AND($L2575=$O$7,$B2575&lt;'111'!$N$11),"x","")</f>
        <v/>
      </c>
      <c r="Q2575" s="525" t="str">
        <f>IF(AND($M2575=$O$7,$B2575&lt;'111'!$N$11),"x","")</f>
        <v/>
      </c>
      <c r="R2575" s="525" t="str">
        <f>IF(ISERROR(FIND('112'!$M$9,G2575,1)),"",IF((AND(FIND('112'!$M$9,G2575,1)&gt;=1,$B2575&gt;='112'!$N$8,$B2575&lt;='112'!$O$8,OR($L2575='112'!$I$6,$M2575='112'!$I$6))),"x",""))</f>
        <v/>
      </c>
      <c r="S2575" s="525" t="str">
        <f>IF(ISERROR(FIND('112'!$M$9,G2575,1)),"",IF((AND(LEFT(G2575,2)=LEFT('112'!$M$9,2),B2575&lt;'112'!$N$8,$L2575='112'!$I$6)),"x",""))</f>
        <v/>
      </c>
      <c r="T2575" s="525" t="str">
        <f>IF(ISERROR(FIND('112'!$M$9,G2575,1)),"",IF((AND(RIGHT(G2575,2)=RIGHT('112'!$M$9,2),B2575&lt;'112'!$N$8,$M2575='112'!$I$6)),"x",""))</f>
        <v/>
      </c>
      <c r="U2575" s="525" t="str">
        <f>IF(AND(B2575&gt;='IN-NX'!$P$3,B2575&lt;='IN-NX'!$Q$3,'IN-NX'!$D$7=D2575,OR(LEFT(L2575,2)="15",AND(LEFT(M2575,2)&lt;&gt;"15",LEFT(M2575,2)&lt;&gt;"33"))),"x","")</f>
        <v/>
      </c>
      <c r="V2575" s="525" t="str">
        <f>IF(AND(OR(LEFT(TH!L2575,2)="15",LEFT(TH!M2575,2)="15"),'152-CT'!$J$8=TH!F2575),"x","")</f>
        <v/>
      </c>
      <c r="W2575" s="525" t="str">
        <f>IF(AND(OR(LEFT(TH!L2575,2)="15",LEFT(TH!M2575,2)="15"),TK!$E$7=TH!F2575),"x","")</f>
        <v/>
      </c>
      <c r="X2575" s="525" t="str">
        <f>IF(AND('341-CT'!$E$9=H2575,OR(LEFT(L2575,3)=$X$7,LEFT(M2575,3)=$X$7)),"x","")</f>
        <v/>
      </c>
      <c r="Y2575" s="525" t="str">
        <f>IF(OR(TH!L2575=TH!$Y$7,M2575=TH!$Y$7),"x","")</f>
        <v/>
      </c>
      <c r="Z2575" s="525" t="str">
        <f>IF(AND(B2575&lt;=NKC!$N$8,B2575&gt;=NKC!$M$8),"x","")</f>
        <v/>
      </c>
      <c r="AA2575" s="535"/>
      <c r="AB2575" s="536"/>
    </row>
    <row r="2576" spans="1:28" s="503" customFormat="1" ht="15.75" customHeight="1">
      <c r="A2576" s="517" t="str">
        <f>IF(B2576&lt;&gt;"",IF(AND(B2576&gt;=_TM1,B2576&lt;=_TM2,OR(TH!L2576="1111",TH!M2576="1111")),TH!D2576,""),"")</f>
        <v/>
      </c>
      <c r="B2576" s="531">
        <f t="shared" si="227"/>
        <v>5</v>
      </c>
      <c r="C2576" s="315">
        <f t="shared" si="228"/>
        <v>42886</v>
      </c>
      <c r="D2576" s="315" t="s">
        <v>931</v>
      </c>
      <c r="E2576" s="315">
        <v>42886</v>
      </c>
      <c r="F2576" s="250" t="s">
        <v>759</v>
      </c>
      <c r="G2576" s="314" t="s">
        <v>1141</v>
      </c>
      <c r="H2576" s="473" t="s">
        <v>284</v>
      </c>
      <c r="I2576" s="307">
        <v>30</v>
      </c>
      <c r="J2576" s="307">
        <v>34439</v>
      </c>
      <c r="K2576" s="532">
        <f t="shared" si="226"/>
        <v>1033170</v>
      </c>
      <c r="L2576" s="534" t="s">
        <v>223</v>
      </c>
      <c r="M2576" s="534" t="s">
        <v>162</v>
      </c>
      <c r="N2576" s="525" t="str">
        <f>IF(AND('331-CT'!$E$7=TH!H2576,OR(L2576="331",M2576="331")),"331",IF(AND(OR(L2576="131",M2576="131"),H2576='131-CT'!$E$7),"131",""))</f>
        <v/>
      </c>
      <c r="O2576" s="525" t="str">
        <f>IF(AND($B2576&gt;='111'!$N$11,$B2576&lt;='111'!$O$11,OR($L2576=$O$7,$M2576=$O$7)),"x","")</f>
        <v/>
      </c>
      <c r="P2576" s="525" t="str">
        <f>IF(AND($L2576=$O$7,$B2576&lt;'111'!$N$11),"x","")</f>
        <v/>
      </c>
      <c r="Q2576" s="525" t="str">
        <f>IF(AND($M2576=$O$7,$B2576&lt;'111'!$N$11),"x","")</f>
        <v/>
      </c>
      <c r="R2576" s="525" t="str">
        <f>IF(ISERROR(FIND('112'!$M$9,G2576,1)),"",IF((AND(FIND('112'!$M$9,G2576,1)&gt;=1,$B2576&gt;='112'!$N$8,$B2576&lt;='112'!$O$8,OR($L2576='112'!$I$6,$M2576='112'!$I$6))),"x",""))</f>
        <v/>
      </c>
      <c r="S2576" s="525" t="str">
        <f>IF(ISERROR(FIND('112'!$M$9,G2576,1)),"",IF((AND(LEFT(G2576,2)=LEFT('112'!$M$9,2),B2576&lt;'112'!$N$8,$L2576='112'!$I$6)),"x",""))</f>
        <v/>
      </c>
      <c r="T2576" s="525" t="str">
        <f>IF(ISERROR(FIND('112'!$M$9,G2576,1)),"",IF((AND(RIGHT(G2576,2)=RIGHT('112'!$M$9,2),B2576&lt;'112'!$N$8,$M2576='112'!$I$6)),"x",""))</f>
        <v/>
      </c>
      <c r="U2576" s="525" t="str">
        <f>IF(AND(B2576&gt;='IN-NX'!$P$3,B2576&lt;='IN-NX'!$Q$3,'IN-NX'!$D$7=D2576,OR(LEFT(L2576,2)="15",AND(LEFT(M2576,2)&lt;&gt;"15",LEFT(M2576,2)&lt;&gt;"33"))),"x","")</f>
        <v/>
      </c>
      <c r="V2576" s="525" t="str">
        <f>IF(AND(OR(LEFT(TH!L2576,2)="15",LEFT(TH!M2576,2)="15"),'152-CT'!$J$8=TH!F2576),"x","")</f>
        <v/>
      </c>
      <c r="W2576" s="525" t="str">
        <f>IF(AND(OR(LEFT(TH!L2576,2)="15",LEFT(TH!M2576,2)="15"),TK!$E$7=TH!F2576),"x","")</f>
        <v/>
      </c>
      <c r="X2576" s="525" t="str">
        <f>IF(AND('341-CT'!$E$9=H2576,OR(LEFT(L2576,3)=$X$7,LEFT(M2576,3)=$X$7)),"x","")</f>
        <v/>
      </c>
      <c r="Y2576" s="525" t="str">
        <f>IF(OR(TH!L2576=TH!$Y$7,M2576=TH!$Y$7),"x","")</f>
        <v/>
      </c>
      <c r="Z2576" s="525" t="str">
        <f>IF(AND(B2576&lt;=NKC!$N$8,B2576&gt;=NKC!$M$8),"x","")</f>
        <v/>
      </c>
      <c r="AA2576" s="535"/>
      <c r="AB2576" s="536"/>
    </row>
    <row r="2577" spans="1:28" s="503" customFormat="1" ht="15.75" customHeight="1">
      <c r="A2577" s="517" t="str">
        <f>IF(B2577&lt;&gt;"",IF(AND(B2577&gt;=_TM1,B2577&lt;=_TM2,OR(TH!L2577="1111",TH!M2577="1111")),TH!D2577,""),"")</f>
        <v/>
      </c>
      <c r="B2577" s="531">
        <f t="shared" si="227"/>
        <v>5</v>
      </c>
      <c r="C2577" s="315">
        <f t="shared" si="228"/>
        <v>42886</v>
      </c>
      <c r="D2577" s="315" t="s">
        <v>931</v>
      </c>
      <c r="E2577" s="315">
        <v>42886</v>
      </c>
      <c r="F2577" s="250" t="s">
        <v>667</v>
      </c>
      <c r="G2577" s="314" t="s">
        <v>1141</v>
      </c>
      <c r="H2577" s="473" t="s">
        <v>284</v>
      </c>
      <c r="I2577" s="307">
        <v>40</v>
      </c>
      <c r="J2577" s="307">
        <v>66297</v>
      </c>
      <c r="K2577" s="532">
        <f t="shared" si="226"/>
        <v>2651880</v>
      </c>
      <c r="L2577" s="534" t="s">
        <v>223</v>
      </c>
      <c r="M2577" s="534" t="s">
        <v>162</v>
      </c>
      <c r="N2577" s="525" t="str">
        <f>IF(AND('331-CT'!$E$7=TH!H2577,OR(L2577="331",M2577="331")),"331",IF(AND(OR(L2577="131",M2577="131"),H2577='131-CT'!$E$7),"131",""))</f>
        <v/>
      </c>
      <c r="O2577" s="525" t="str">
        <f>IF(AND($B2577&gt;='111'!$N$11,$B2577&lt;='111'!$O$11,OR($L2577=$O$7,$M2577=$O$7)),"x","")</f>
        <v/>
      </c>
      <c r="P2577" s="525" t="str">
        <f>IF(AND($L2577=$O$7,$B2577&lt;'111'!$N$11),"x","")</f>
        <v/>
      </c>
      <c r="Q2577" s="525" t="str">
        <f>IF(AND($M2577=$O$7,$B2577&lt;'111'!$N$11),"x","")</f>
        <v/>
      </c>
      <c r="R2577" s="525" t="str">
        <f>IF(ISERROR(FIND('112'!$M$9,G2577,1)),"",IF((AND(FIND('112'!$M$9,G2577,1)&gt;=1,$B2577&gt;='112'!$N$8,$B2577&lt;='112'!$O$8,OR($L2577='112'!$I$6,$M2577='112'!$I$6))),"x",""))</f>
        <v/>
      </c>
      <c r="S2577" s="525" t="str">
        <f>IF(ISERROR(FIND('112'!$M$9,G2577,1)),"",IF((AND(LEFT(G2577,2)=LEFT('112'!$M$9,2),B2577&lt;'112'!$N$8,$L2577='112'!$I$6)),"x",""))</f>
        <v/>
      </c>
      <c r="T2577" s="525" t="str">
        <f>IF(ISERROR(FIND('112'!$M$9,G2577,1)),"",IF((AND(RIGHT(G2577,2)=RIGHT('112'!$M$9,2),B2577&lt;'112'!$N$8,$M2577='112'!$I$6)),"x",""))</f>
        <v/>
      </c>
      <c r="U2577" s="525" t="str">
        <f>IF(AND(B2577&gt;='IN-NX'!$P$3,B2577&lt;='IN-NX'!$Q$3,'IN-NX'!$D$7=D2577,OR(LEFT(L2577,2)="15",AND(LEFT(M2577,2)&lt;&gt;"15",LEFT(M2577,2)&lt;&gt;"33"))),"x","")</f>
        <v/>
      </c>
      <c r="V2577" s="525" t="str">
        <f>IF(AND(OR(LEFT(TH!L2577,2)="15",LEFT(TH!M2577,2)="15"),'152-CT'!$J$8=TH!F2577),"x","")</f>
        <v/>
      </c>
      <c r="W2577" s="525" t="str">
        <f>IF(AND(OR(LEFT(TH!L2577,2)="15",LEFT(TH!M2577,2)="15"),TK!$E$7=TH!F2577),"x","")</f>
        <v/>
      </c>
      <c r="X2577" s="525" t="str">
        <f>IF(AND('341-CT'!$E$9=H2577,OR(LEFT(L2577,3)=$X$7,LEFT(M2577,3)=$X$7)),"x","")</f>
        <v/>
      </c>
      <c r="Y2577" s="525" t="str">
        <f>IF(OR(TH!L2577=TH!$Y$7,M2577=TH!$Y$7),"x","")</f>
        <v/>
      </c>
      <c r="Z2577" s="525" t="str">
        <f>IF(AND(B2577&lt;=NKC!$N$8,B2577&gt;=NKC!$M$8),"x","")</f>
        <v/>
      </c>
      <c r="AA2577" s="535"/>
      <c r="AB2577" s="536"/>
    </row>
    <row r="2578" spans="1:28" s="503" customFormat="1" ht="15.75" customHeight="1">
      <c r="A2578" s="517" t="str">
        <f>IF(B2578&lt;&gt;"",IF(AND(B2578&gt;=_TM1,B2578&lt;=_TM2,OR(TH!L2578="1111",TH!M2578="1111")),TH!D2578,""),"")</f>
        <v/>
      </c>
      <c r="B2578" s="531">
        <f t="shared" si="227"/>
        <v>5</v>
      </c>
      <c r="C2578" s="315">
        <f t="shared" si="228"/>
        <v>42886</v>
      </c>
      <c r="D2578" s="315" t="s">
        <v>931</v>
      </c>
      <c r="E2578" s="315">
        <v>42886</v>
      </c>
      <c r="F2578" s="250" t="s">
        <v>1023</v>
      </c>
      <c r="G2578" s="314" t="s">
        <v>1141</v>
      </c>
      <c r="H2578" s="473" t="s">
        <v>284</v>
      </c>
      <c r="I2578" s="307">
        <v>20</v>
      </c>
      <c r="J2578" s="307">
        <v>83677</v>
      </c>
      <c r="K2578" s="532">
        <f t="shared" si="226"/>
        <v>1673540</v>
      </c>
      <c r="L2578" s="534" t="s">
        <v>223</v>
      </c>
      <c r="M2578" s="534" t="s">
        <v>162</v>
      </c>
      <c r="N2578" s="525" t="str">
        <f>IF(AND('331-CT'!$E$7=TH!H2578,OR(L2578="331",M2578="331")),"331",IF(AND(OR(L2578="131",M2578="131"),H2578='131-CT'!$E$7),"131",""))</f>
        <v/>
      </c>
      <c r="O2578" s="525" t="str">
        <f>IF(AND($B2578&gt;='111'!$N$11,$B2578&lt;='111'!$O$11,OR($L2578=$O$7,$M2578=$O$7)),"x","")</f>
        <v/>
      </c>
      <c r="P2578" s="525" t="str">
        <f>IF(AND($L2578=$O$7,$B2578&lt;'111'!$N$11),"x","")</f>
        <v/>
      </c>
      <c r="Q2578" s="525" t="str">
        <f>IF(AND($M2578=$O$7,$B2578&lt;'111'!$N$11),"x","")</f>
        <v/>
      </c>
      <c r="R2578" s="525" t="str">
        <f>IF(ISERROR(FIND('112'!$M$9,G2578,1)),"",IF((AND(FIND('112'!$M$9,G2578,1)&gt;=1,$B2578&gt;='112'!$N$8,$B2578&lt;='112'!$O$8,OR($L2578='112'!$I$6,$M2578='112'!$I$6))),"x",""))</f>
        <v/>
      </c>
      <c r="S2578" s="525" t="str">
        <f>IF(ISERROR(FIND('112'!$M$9,G2578,1)),"",IF((AND(LEFT(G2578,2)=LEFT('112'!$M$9,2),B2578&lt;'112'!$N$8,$L2578='112'!$I$6)),"x",""))</f>
        <v/>
      </c>
      <c r="T2578" s="525" t="str">
        <f>IF(ISERROR(FIND('112'!$M$9,G2578,1)),"",IF((AND(RIGHT(G2578,2)=RIGHT('112'!$M$9,2),B2578&lt;'112'!$N$8,$M2578='112'!$I$6)),"x",""))</f>
        <v/>
      </c>
      <c r="U2578" s="525" t="str">
        <f>IF(AND(B2578&gt;='IN-NX'!$P$3,B2578&lt;='IN-NX'!$Q$3,'IN-NX'!$D$7=D2578,OR(LEFT(L2578,2)="15",AND(LEFT(M2578,2)&lt;&gt;"15",LEFT(M2578,2)&lt;&gt;"33"))),"x","")</f>
        <v/>
      </c>
      <c r="V2578" s="525" t="str">
        <f>IF(AND(OR(LEFT(TH!L2578,2)="15",LEFT(TH!M2578,2)="15"),'152-CT'!$J$8=TH!F2578),"x","")</f>
        <v/>
      </c>
      <c r="W2578" s="525" t="str">
        <f>IF(AND(OR(LEFT(TH!L2578,2)="15",LEFT(TH!M2578,2)="15"),TK!$E$7=TH!F2578),"x","")</f>
        <v/>
      </c>
      <c r="X2578" s="525" t="str">
        <f>IF(AND('341-CT'!$E$9=H2578,OR(LEFT(L2578,3)=$X$7,LEFT(M2578,3)=$X$7)),"x","")</f>
        <v/>
      </c>
      <c r="Y2578" s="525" t="str">
        <f>IF(OR(TH!L2578=TH!$Y$7,M2578=TH!$Y$7),"x","")</f>
        <v/>
      </c>
      <c r="Z2578" s="525" t="str">
        <f>IF(AND(B2578&lt;=NKC!$N$8,B2578&gt;=NKC!$M$8),"x","")</f>
        <v/>
      </c>
      <c r="AA2578" s="535"/>
      <c r="AB2578" s="536"/>
    </row>
    <row r="2579" spans="1:28" s="503" customFormat="1" ht="15.75" customHeight="1">
      <c r="A2579" s="517" t="str">
        <f>IF(B2579&lt;&gt;"",IF(AND(B2579&gt;=_TM1,B2579&lt;=_TM2,OR(TH!L2579="1111",TH!M2579="1111")),TH!D2579,""),"")</f>
        <v/>
      </c>
      <c r="B2579" s="531">
        <f t="shared" si="227"/>
        <v>5</v>
      </c>
      <c r="C2579" s="315">
        <f t="shared" si="228"/>
        <v>42886</v>
      </c>
      <c r="D2579" s="315" t="s">
        <v>931</v>
      </c>
      <c r="E2579" s="315">
        <v>42886</v>
      </c>
      <c r="F2579" s="250" t="s">
        <v>1168</v>
      </c>
      <c r="G2579" s="314" t="s">
        <v>1141</v>
      </c>
      <c r="H2579" s="473" t="s">
        <v>284</v>
      </c>
      <c r="I2579" s="307">
        <v>24</v>
      </c>
      <c r="J2579" s="307">
        <v>21717</v>
      </c>
      <c r="K2579" s="532">
        <f t="shared" ref="K2579:K2610" si="229">ROUND(I2579*J2579,0)</f>
        <v>521208</v>
      </c>
      <c r="L2579" s="534" t="s">
        <v>223</v>
      </c>
      <c r="M2579" s="534" t="s">
        <v>162</v>
      </c>
      <c r="N2579" s="525" t="str">
        <f>IF(AND('331-CT'!$E$7=TH!H2579,OR(L2579="331",M2579="331")),"331",IF(AND(OR(L2579="131",M2579="131"),H2579='131-CT'!$E$7),"131",""))</f>
        <v/>
      </c>
      <c r="O2579" s="525" t="str">
        <f>IF(AND($B2579&gt;='111'!$N$11,$B2579&lt;='111'!$O$11,OR($L2579=$O$7,$M2579=$O$7)),"x","")</f>
        <v/>
      </c>
      <c r="P2579" s="525" t="str">
        <f>IF(AND($L2579=$O$7,$B2579&lt;'111'!$N$11),"x","")</f>
        <v/>
      </c>
      <c r="Q2579" s="525" t="str">
        <f>IF(AND($M2579=$O$7,$B2579&lt;'111'!$N$11),"x","")</f>
        <v/>
      </c>
      <c r="R2579" s="525" t="str">
        <f>IF(ISERROR(FIND('112'!$M$9,G2579,1)),"",IF((AND(FIND('112'!$M$9,G2579,1)&gt;=1,$B2579&gt;='112'!$N$8,$B2579&lt;='112'!$O$8,OR($L2579='112'!$I$6,$M2579='112'!$I$6))),"x",""))</f>
        <v/>
      </c>
      <c r="S2579" s="525" t="str">
        <f>IF(ISERROR(FIND('112'!$M$9,G2579,1)),"",IF((AND(LEFT(G2579,2)=LEFT('112'!$M$9,2),B2579&lt;'112'!$N$8,$L2579='112'!$I$6)),"x",""))</f>
        <v/>
      </c>
      <c r="T2579" s="525" t="str">
        <f>IF(ISERROR(FIND('112'!$M$9,G2579,1)),"",IF((AND(RIGHT(G2579,2)=RIGHT('112'!$M$9,2),B2579&lt;'112'!$N$8,$M2579='112'!$I$6)),"x",""))</f>
        <v/>
      </c>
      <c r="U2579" s="525" t="str">
        <f>IF(AND(B2579&gt;='IN-NX'!$P$3,B2579&lt;='IN-NX'!$Q$3,'IN-NX'!$D$7=D2579,OR(LEFT(L2579,2)="15",AND(LEFT(M2579,2)&lt;&gt;"15",LEFT(M2579,2)&lt;&gt;"33"))),"x","")</f>
        <v/>
      </c>
      <c r="V2579" s="525" t="str">
        <f>IF(AND(OR(LEFT(TH!L2579,2)="15",LEFT(TH!M2579,2)="15"),'152-CT'!$J$8=TH!F2579),"x","")</f>
        <v/>
      </c>
      <c r="W2579" s="525" t="str">
        <f>IF(AND(OR(LEFT(TH!L2579,2)="15",LEFT(TH!M2579,2)="15"),TK!$E$7=TH!F2579),"x","")</f>
        <v/>
      </c>
      <c r="X2579" s="525" t="str">
        <f>IF(AND('341-CT'!$E$9=H2579,OR(LEFT(L2579,3)=$X$7,LEFT(M2579,3)=$X$7)),"x","")</f>
        <v/>
      </c>
      <c r="Y2579" s="525" t="str">
        <f>IF(OR(TH!L2579=TH!$Y$7,M2579=TH!$Y$7),"x","")</f>
        <v/>
      </c>
      <c r="Z2579" s="525" t="str">
        <f>IF(AND(B2579&lt;=NKC!$N$8,B2579&gt;=NKC!$M$8),"x","")</f>
        <v/>
      </c>
      <c r="AA2579" s="535"/>
      <c r="AB2579" s="536"/>
    </row>
    <row r="2580" spans="1:28" s="503" customFormat="1" ht="15.75" customHeight="1">
      <c r="A2580" s="517" t="str">
        <f>IF(B2580&lt;&gt;"",IF(AND(B2580&gt;=_TM1,B2580&lt;=_TM2,OR(TH!L2580="1111",TH!M2580="1111")),TH!D2580,""),"")</f>
        <v/>
      </c>
      <c r="B2580" s="531">
        <f t="shared" si="227"/>
        <v>5</v>
      </c>
      <c r="C2580" s="315">
        <f t="shared" si="228"/>
        <v>42886</v>
      </c>
      <c r="D2580" s="315" t="s">
        <v>931</v>
      </c>
      <c r="E2580" s="315">
        <v>42886</v>
      </c>
      <c r="F2580" s="249" t="s">
        <v>611</v>
      </c>
      <c r="G2580" s="314" t="s">
        <v>1141</v>
      </c>
      <c r="H2580" s="473" t="s">
        <v>284</v>
      </c>
      <c r="I2580" s="307">
        <v>18</v>
      </c>
      <c r="J2580" s="307">
        <v>45229</v>
      </c>
      <c r="K2580" s="532">
        <f t="shared" si="229"/>
        <v>814122</v>
      </c>
      <c r="L2580" s="534" t="s">
        <v>223</v>
      </c>
      <c r="M2580" s="534" t="s">
        <v>162</v>
      </c>
      <c r="N2580" s="525" t="str">
        <f>IF(AND('331-CT'!$E$7=TH!H2580,OR(L2580="331",M2580="331")),"331",IF(AND(OR(L2580="131",M2580="131"),H2580='131-CT'!$E$7),"131",""))</f>
        <v/>
      </c>
      <c r="O2580" s="525" t="str">
        <f>IF(AND($B2580&gt;='111'!$N$11,$B2580&lt;='111'!$O$11,OR($L2580=$O$7,$M2580=$O$7)),"x","")</f>
        <v/>
      </c>
      <c r="P2580" s="525" t="str">
        <f>IF(AND($L2580=$O$7,$B2580&lt;'111'!$N$11),"x","")</f>
        <v/>
      </c>
      <c r="Q2580" s="525" t="str">
        <f>IF(AND($M2580=$O$7,$B2580&lt;'111'!$N$11),"x","")</f>
        <v/>
      </c>
      <c r="R2580" s="525" t="str">
        <f>IF(ISERROR(FIND('112'!$M$9,G2580,1)),"",IF((AND(FIND('112'!$M$9,G2580,1)&gt;=1,$B2580&gt;='112'!$N$8,$B2580&lt;='112'!$O$8,OR($L2580='112'!$I$6,$M2580='112'!$I$6))),"x",""))</f>
        <v/>
      </c>
      <c r="S2580" s="525" t="str">
        <f>IF(ISERROR(FIND('112'!$M$9,G2580,1)),"",IF((AND(LEFT(G2580,2)=LEFT('112'!$M$9,2),B2580&lt;'112'!$N$8,$L2580='112'!$I$6)),"x",""))</f>
        <v/>
      </c>
      <c r="T2580" s="525" t="str">
        <f>IF(ISERROR(FIND('112'!$M$9,G2580,1)),"",IF((AND(RIGHT(G2580,2)=RIGHT('112'!$M$9,2),B2580&lt;'112'!$N$8,$M2580='112'!$I$6)),"x",""))</f>
        <v/>
      </c>
      <c r="U2580" s="525" t="str">
        <f>IF(AND(B2580&gt;='IN-NX'!$P$3,B2580&lt;='IN-NX'!$Q$3,'IN-NX'!$D$7=D2580,OR(LEFT(L2580,2)="15",AND(LEFT(M2580,2)&lt;&gt;"15",LEFT(M2580,2)&lt;&gt;"33"))),"x","")</f>
        <v/>
      </c>
      <c r="V2580" s="525" t="str">
        <f>IF(AND(OR(LEFT(TH!L2580,2)="15",LEFT(TH!M2580,2)="15"),'152-CT'!$J$8=TH!F2580),"x","")</f>
        <v/>
      </c>
      <c r="W2580" s="525" t="str">
        <f>IF(AND(OR(LEFT(TH!L2580,2)="15",LEFT(TH!M2580,2)="15"),TK!$E$7=TH!F2580),"x","")</f>
        <v/>
      </c>
      <c r="X2580" s="525" t="str">
        <f>IF(AND('341-CT'!$E$9=H2580,OR(LEFT(L2580,3)=$X$7,LEFT(M2580,3)=$X$7)),"x","")</f>
        <v/>
      </c>
      <c r="Y2580" s="525" t="str">
        <f>IF(OR(TH!L2580=TH!$Y$7,M2580=TH!$Y$7),"x","")</f>
        <v/>
      </c>
      <c r="Z2580" s="525" t="str">
        <f>IF(AND(B2580&lt;=NKC!$N$8,B2580&gt;=NKC!$M$8),"x","")</f>
        <v/>
      </c>
      <c r="AA2580" s="535"/>
      <c r="AB2580" s="536"/>
    </row>
    <row r="2581" spans="1:28" s="503" customFormat="1" ht="15.75" customHeight="1">
      <c r="A2581" s="517" t="str">
        <f>IF(B2581&lt;&gt;"",IF(AND(B2581&gt;=_TM1,B2581&lt;=_TM2,OR(TH!L2581="1111",TH!M2581="1111")),TH!D2581,""),"")</f>
        <v/>
      </c>
      <c r="B2581" s="531">
        <f t="shared" si="227"/>
        <v>5</v>
      </c>
      <c r="C2581" s="315">
        <f t="shared" si="228"/>
        <v>42886</v>
      </c>
      <c r="D2581" s="315" t="s">
        <v>931</v>
      </c>
      <c r="E2581" s="315">
        <v>42886</v>
      </c>
      <c r="F2581" s="250" t="s">
        <v>735</v>
      </c>
      <c r="G2581" s="314" t="s">
        <v>1141</v>
      </c>
      <c r="H2581" s="473" t="s">
        <v>284</v>
      </c>
      <c r="I2581" s="307">
        <v>12</v>
      </c>
      <c r="J2581" s="307">
        <v>51143</v>
      </c>
      <c r="K2581" s="532">
        <f t="shared" si="229"/>
        <v>613716</v>
      </c>
      <c r="L2581" s="534" t="s">
        <v>223</v>
      </c>
      <c r="M2581" s="534" t="s">
        <v>162</v>
      </c>
      <c r="N2581" s="525" t="str">
        <f>IF(AND('331-CT'!$E$7=TH!H2581,OR(L2581="331",M2581="331")),"331",IF(AND(OR(L2581="131",M2581="131"),H2581='131-CT'!$E$7),"131",""))</f>
        <v/>
      </c>
      <c r="O2581" s="525" t="str">
        <f>IF(AND($B2581&gt;='111'!$N$11,$B2581&lt;='111'!$O$11,OR($L2581=$O$7,$M2581=$O$7)),"x","")</f>
        <v/>
      </c>
      <c r="P2581" s="525" t="str">
        <f>IF(AND($L2581=$O$7,$B2581&lt;'111'!$N$11),"x","")</f>
        <v/>
      </c>
      <c r="Q2581" s="525" t="str">
        <f>IF(AND($M2581=$O$7,$B2581&lt;'111'!$N$11),"x","")</f>
        <v/>
      </c>
      <c r="R2581" s="525" t="str">
        <f>IF(ISERROR(FIND('112'!$M$9,G2581,1)),"",IF((AND(FIND('112'!$M$9,G2581,1)&gt;=1,$B2581&gt;='112'!$N$8,$B2581&lt;='112'!$O$8,OR($L2581='112'!$I$6,$M2581='112'!$I$6))),"x",""))</f>
        <v/>
      </c>
      <c r="S2581" s="525" t="str">
        <f>IF(ISERROR(FIND('112'!$M$9,G2581,1)),"",IF((AND(LEFT(G2581,2)=LEFT('112'!$M$9,2),B2581&lt;'112'!$N$8,$L2581='112'!$I$6)),"x",""))</f>
        <v/>
      </c>
      <c r="T2581" s="525" t="str">
        <f>IF(ISERROR(FIND('112'!$M$9,G2581,1)),"",IF((AND(RIGHT(G2581,2)=RIGHT('112'!$M$9,2),B2581&lt;'112'!$N$8,$M2581='112'!$I$6)),"x",""))</f>
        <v/>
      </c>
      <c r="U2581" s="525" t="str">
        <f>IF(AND(B2581&gt;='IN-NX'!$P$3,B2581&lt;='IN-NX'!$Q$3,'IN-NX'!$D$7=D2581,OR(LEFT(L2581,2)="15",AND(LEFT(M2581,2)&lt;&gt;"15",LEFT(M2581,2)&lt;&gt;"33"))),"x","")</f>
        <v/>
      </c>
      <c r="V2581" s="525" t="str">
        <f>IF(AND(OR(LEFT(TH!L2581,2)="15",LEFT(TH!M2581,2)="15"),'152-CT'!$J$8=TH!F2581),"x","")</f>
        <v/>
      </c>
      <c r="W2581" s="525" t="str">
        <f>IF(AND(OR(LEFT(TH!L2581,2)="15",LEFT(TH!M2581,2)="15"),TK!$E$7=TH!F2581),"x","")</f>
        <v/>
      </c>
      <c r="X2581" s="525" t="str">
        <f>IF(AND('341-CT'!$E$9=H2581,OR(LEFT(L2581,3)=$X$7,LEFT(M2581,3)=$X$7)),"x","")</f>
        <v/>
      </c>
      <c r="Y2581" s="525" t="str">
        <f>IF(OR(TH!L2581=TH!$Y$7,M2581=TH!$Y$7),"x","")</f>
        <v/>
      </c>
      <c r="Z2581" s="525" t="str">
        <f>IF(AND(B2581&lt;=NKC!$N$8,B2581&gt;=NKC!$M$8),"x","")</f>
        <v/>
      </c>
      <c r="AA2581" s="535"/>
      <c r="AB2581" s="536"/>
    </row>
    <row r="2582" spans="1:28" s="503" customFormat="1" ht="15.75" customHeight="1">
      <c r="A2582" s="517" t="str">
        <f>IF(B2582&lt;&gt;"",IF(AND(B2582&gt;=_TM1,B2582&lt;=_TM2,OR(TH!L2582="1111",TH!M2582="1111")),TH!D2582,""),"")</f>
        <v/>
      </c>
      <c r="B2582" s="531">
        <f t="shared" si="227"/>
        <v>5</v>
      </c>
      <c r="C2582" s="315">
        <f t="shared" si="228"/>
        <v>42886</v>
      </c>
      <c r="D2582" s="315" t="s">
        <v>931</v>
      </c>
      <c r="E2582" s="315">
        <v>42886</v>
      </c>
      <c r="F2582" s="250" t="s">
        <v>1169</v>
      </c>
      <c r="G2582" s="314" t="s">
        <v>1141</v>
      </c>
      <c r="H2582" s="473" t="s">
        <v>284</v>
      </c>
      <c r="I2582" s="307">
        <v>8</v>
      </c>
      <c r="J2582" s="307">
        <v>76957</v>
      </c>
      <c r="K2582" s="532">
        <f t="shared" si="229"/>
        <v>615656</v>
      </c>
      <c r="L2582" s="534" t="s">
        <v>223</v>
      </c>
      <c r="M2582" s="534" t="s">
        <v>162</v>
      </c>
      <c r="N2582" s="525" t="str">
        <f>IF(AND('331-CT'!$E$7=TH!H2582,OR(L2582="331",M2582="331")),"331",IF(AND(OR(L2582="131",M2582="131"),H2582='131-CT'!$E$7),"131",""))</f>
        <v/>
      </c>
      <c r="O2582" s="525" t="str">
        <f>IF(AND($B2582&gt;='111'!$N$11,$B2582&lt;='111'!$O$11,OR($L2582=$O$7,$M2582=$O$7)),"x","")</f>
        <v/>
      </c>
      <c r="P2582" s="525" t="str">
        <f>IF(AND($L2582=$O$7,$B2582&lt;'111'!$N$11),"x","")</f>
        <v/>
      </c>
      <c r="Q2582" s="525" t="str">
        <f>IF(AND($M2582=$O$7,$B2582&lt;'111'!$N$11),"x","")</f>
        <v/>
      </c>
      <c r="R2582" s="525" t="str">
        <f>IF(ISERROR(FIND('112'!$M$9,G2582,1)),"",IF((AND(FIND('112'!$M$9,G2582,1)&gt;=1,$B2582&gt;='112'!$N$8,$B2582&lt;='112'!$O$8,OR($L2582='112'!$I$6,$M2582='112'!$I$6))),"x",""))</f>
        <v/>
      </c>
      <c r="S2582" s="525" t="str">
        <f>IF(ISERROR(FIND('112'!$M$9,G2582,1)),"",IF((AND(LEFT(G2582,2)=LEFT('112'!$M$9,2),B2582&lt;'112'!$N$8,$L2582='112'!$I$6)),"x",""))</f>
        <v/>
      </c>
      <c r="T2582" s="525" t="str">
        <f>IF(ISERROR(FIND('112'!$M$9,G2582,1)),"",IF((AND(RIGHT(G2582,2)=RIGHT('112'!$M$9,2),B2582&lt;'112'!$N$8,$M2582='112'!$I$6)),"x",""))</f>
        <v/>
      </c>
      <c r="U2582" s="525" t="str">
        <f>IF(AND(B2582&gt;='IN-NX'!$P$3,B2582&lt;='IN-NX'!$Q$3,'IN-NX'!$D$7=D2582,OR(LEFT(L2582,2)="15",AND(LEFT(M2582,2)&lt;&gt;"15",LEFT(M2582,2)&lt;&gt;"33"))),"x","")</f>
        <v/>
      </c>
      <c r="V2582" s="525" t="str">
        <f>IF(AND(OR(LEFT(TH!L2582,2)="15",LEFT(TH!M2582,2)="15"),'152-CT'!$J$8=TH!F2582),"x","")</f>
        <v/>
      </c>
      <c r="W2582" s="525" t="str">
        <f>IF(AND(OR(LEFT(TH!L2582,2)="15",LEFT(TH!M2582,2)="15"),TK!$E$7=TH!F2582),"x","")</f>
        <v/>
      </c>
      <c r="X2582" s="525" t="str">
        <f>IF(AND('341-CT'!$E$9=H2582,OR(LEFT(L2582,3)=$X$7,LEFT(M2582,3)=$X$7)),"x","")</f>
        <v/>
      </c>
      <c r="Y2582" s="525" t="str">
        <f>IF(OR(TH!L2582=TH!$Y$7,M2582=TH!$Y$7),"x","")</f>
        <v/>
      </c>
      <c r="Z2582" s="525" t="str">
        <f>IF(AND(B2582&lt;=NKC!$N$8,B2582&gt;=NKC!$M$8),"x","")</f>
        <v/>
      </c>
      <c r="AA2582" s="535"/>
      <c r="AB2582" s="536"/>
    </row>
    <row r="2583" spans="1:28" s="503" customFormat="1" ht="15.75" customHeight="1">
      <c r="A2583" s="517" t="str">
        <f>IF(B2583&lt;&gt;"",IF(AND(B2583&gt;=_TM1,B2583&lt;=_TM2,OR(TH!L2583="1111",TH!M2583="1111")),TH!D2583,""),"")</f>
        <v/>
      </c>
      <c r="B2583" s="531">
        <f t="shared" si="227"/>
        <v>5</v>
      </c>
      <c r="C2583" s="315">
        <f t="shared" si="228"/>
        <v>42886</v>
      </c>
      <c r="D2583" s="315" t="s">
        <v>932</v>
      </c>
      <c r="E2583" s="315">
        <v>42886</v>
      </c>
      <c r="F2583" s="250" t="s">
        <v>705</v>
      </c>
      <c r="G2583" s="314" t="s">
        <v>1141</v>
      </c>
      <c r="H2583" s="473" t="s">
        <v>284</v>
      </c>
      <c r="I2583" s="307">
        <v>8</v>
      </c>
      <c r="J2583" s="307">
        <v>47628</v>
      </c>
      <c r="K2583" s="532">
        <f t="shared" si="229"/>
        <v>381024</v>
      </c>
      <c r="L2583" s="534" t="s">
        <v>223</v>
      </c>
      <c r="M2583" s="534" t="s">
        <v>162</v>
      </c>
      <c r="N2583" s="525" t="str">
        <f>IF(AND('331-CT'!$E$7=TH!H2583,OR(L2583="331",M2583="331")),"331",IF(AND(OR(L2583="131",M2583="131"),H2583='131-CT'!$E$7),"131",""))</f>
        <v/>
      </c>
      <c r="O2583" s="525" t="str">
        <f>IF(AND($B2583&gt;='111'!$N$11,$B2583&lt;='111'!$O$11,OR($L2583=$O$7,$M2583=$O$7)),"x","")</f>
        <v/>
      </c>
      <c r="P2583" s="525" t="str">
        <f>IF(AND($L2583=$O$7,$B2583&lt;'111'!$N$11),"x","")</f>
        <v/>
      </c>
      <c r="Q2583" s="525" t="str">
        <f>IF(AND($M2583=$O$7,$B2583&lt;'111'!$N$11),"x","")</f>
        <v/>
      </c>
      <c r="R2583" s="525" t="str">
        <f>IF(ISERROR(FIND('112'!$M$9,G2583,1)),"",IF((AND(FIND('112'!$M$9,G2583,1)&gt;=1,$B2583&gt;='112'!$N$8,$B2583&lt;='112'!$O$8,OR($L2583='112'!$I$6,$M2583='112'!$I$6))),"x",""))</f>
        <v/>
      </c>
      <c r="S2583" s="525" t="str">
        <f>IF(ISERROR(FIND('112'!$M$9,G2583,1)),"",IF((AND(LEFT(G2583,2)=LEFT('112'!$M$9,2),B2583&lt;'112'!$N$8,$L2583='112'!$I$6)),"x",""))</f>
        <v/>
      </c>
      <c r="T2583" s="525" t="str">
        <f>IF(ISERROR(FIND('112'!$M$9,G2583,1)),"",IF((AND(RIGHT(G2583,2)=RIGHT('112'!$M$9,2),B2583&lt;'112'!$N$8,$M2583='112'!$I$6)),"x",""))</f>
        <v/>
      </c>
      <c r="U2583" s="525" t="str">
        <f>IF(AND(B2583&gt;='IN-NX'!$P$3,B2583&lt;='IN-NX'!$Q$3,'IN-NX'!$D$7=D2583,OR(LEFT(L2583,2)="15",AND(LEFT(M2583,2)&lt;&gt;"15",LEFT(M2583,2)&lt;&gt;"33"))),"x","")</f>
        <v/>
      </c>
      <c r="V2583" s="525" t="str">
        <f>IF(AND(OR(LEFT(TH!L2583,2)="15",LEFT(TH!M2583,2)="15"),'152-CT'!$J$8=TH!F2583),"x","")</f>
        <v/>
      </c>
      <c r="W2583" s="525" t="str">
        <f>IF(AND(OR(LEFT(TH!L2583,2)="15",LEFT(TH!M2583,2)="15"),TK!$E$7=TH!F2583),"x","")</f>
        <v/>
      </c>
      <c r="X2583" s="525" t="str">
        <f>IF(AND('341-CT'!$E$9=H2583,OR(LEFT(L2583,3)=$X$7,LEFT(M2583,3)=$X$7)),"x","")</f>
        <v/>
      </c>
      <c r="Y2583" s="525" t="str">
        <f>IF(OR(TH!L2583=TH!$Y$7,M2583=TH!$Y$7),"x","")</f>
        <v/>
      </c>
      <c r="Z2583" s="525" t="str">
        <f>IF(AND(B2583&lt;=NKC!$N$8,B2583&gt;=NKC!$M$8),"x","")</f>
        <v/>
      </c>
      <c r="AA2583" s="535"/>
      <c r="AB2583" s="536"/>
    </row>
    <row r="2584" spans="1:28" s="503" customFormat="1" ht="15.75" customHeight="1">
      <c r="A2584" s="517" t="str">
        <f>IF(B2584&lt;&gt;"",IF(AND(B2584&gt;=_TM1,B2584&lt;=_TM2,OR(TH!L2584="1111",TH!M2584="1111")),TH!D2584,""),"")</f>
        <v/>
      </c>
      <c r="B2584" s="531">
        <f t="shared" si="227"/>
        <v>5</v>
      </c>
      <c r="C2584" s="315">
        <f t="shared" si="228"/>
        <v>42886</v>
      </c>
      <c r="D2584" s="315" t="s">
        <v>932</v>
      </c>
      <c r="E2584" s="315">
        <v>42886</v>
      </c>
      <c r="F2584" s="250" t="s">
        <v>709</v>
      </c>
      <c r="G2584" s="314" t="s">
        <v>1141</v>
      </c>
      <c r="H2584" s="473" t="s">
        <v>284</v>
      </c>
      <c r="I2584" s="307">
        <v>68</v>
      </c>
      <c r="J2584" s="307">
        <v>41204</v>
      </c>
      <c r="K2584" s="532">
        <f t="shared" si="229"/>
        <v>2801872</v>
      </c>
      <c r="L2584" s="534" t="s">
        <v>223</v>
      </c>
      <c r="M2584" s="534" t="s">
        <v>162</v>
      </c>
      <c r="N2584" s="525" t="str">
        <f>IF(AND('331-CT'!$E$7=TH!H2584,OR(L2584="331",M2584="331")),"331",IF(AND(OR(L2584="131",M2584="131"),H2584='131-CT'!$E$7),"131",""))</f>
        <v/>
      </c>
      <c r="O2584" s="525" t="str">
        <f>IF(AND($B2584&gt;='111'!$N$11,$B2584&lt;='111'!$O$11,OR($L2584=$O$7,$M2584=$O$7)),"x","")</f>
        <v/>
      </c>
      <c r="P2584" s="525" t="str">
        <f>IF(AND($L2584=$O$7,$B2584&lt;'111'!$N$11),"x","")</f>
        <v/>
      </c>
      <c r="Q2584" s="525" t="str">
        <f>IF(AND($M2584=$O$7,$B2584&lt;'111'!$N$11),"x","")</f>
        <v/>
      </c>
      <c r="R2584" s="525" t="str">
        <f>IF(ISERROR(FIND('112'!$M$9,G2584,1)),"",IF((AND(FIND('112'!$M$9,G2584,1)&gt;=1,$B2584&gt;='112'!$N$8,$B2584&lt;='112'!$O$8,OR($L2584='112'!$I$6,$M2584='112'!$I$6))),"x",""))</f>
        <v/>
      </c>
      <c r="S2584" s="525" t="str">
        <f>IF(ISERROR(FIND('112'!$M$9,G2584,1)),"",IF((AND(LEFT(G2584,2)=LEFT('112'!$M$9,2),B2584&lt;'112'!$N$8,$L2584='112'!$I$6)),"x",""))</f>
        <v/>
      </c>
      <c r="T2584" s="525" t="str">
        <f>IF(ISERROR(FIND('112'!$M$9,G2584,1)),"",IF((AND(RIGHT(G2584,2)=RIGHT('112'!$M$9,2),B2584&lt;'112'!$N$8,$M2584='112'!$I$6)),"x",""))</f>
        <v/>
      </c>
      <c r="U2584" s="525" t="str">
        <f>IF(AND(B2584&gt;='IN-NX'!$P$3,B2584&lt;='IN-NX'!$Q$3,'IN-NX'!$D$7=D2584,OR(LEFT(L2584,2)="15",AND(LEFT(M2584,2)&lt;&gt;"15",LEFT(M2584,2)&lt;&gt;"33"))),"x","")</f>
        <v/>
      </c>
      <c r="V2584" s="525" t="str">
        <f>IF(AND(OR(LEFT(TH!L2584,2)="15",LEFT(TH!M2584,2)="15"),'152-CT'!$J$8=TH!F2584),"x","")</f>
        <v/>
      </c>
      <c r="W2584" s="525" t="str">
        <f>IF(AND(OR(LEFT(TH!L2584,2)="15",LEFT(TH!M2584,2)="15"),TK!$E$7=TH!F2584),"x","")</f>
        <v/>
      </c>
      <c r="X2584" s="525" t="str">
        <f>IF(AND('341-CT'!$E$9=H2584,OR(LEFT(L2584,3)=$X$7,LEFT(M2584,3)=$X$7)),"x","")</f>
        <v/>
      </c>
      <c r="Y2584" s="525" t="str">
        <f>IF(OR(TH!L2584=TH!$Y$7,M2584=TH!$Y$7),"x","")</f>
        <v/>
      </c>
      <c r="Z2584" s="525" t="str">
        <f>IF(AND(B2584&lt;=NKC!$N$8,B2584&gt;=NKC!$M$8),"x","")</f>
        <v/>
      </c>
      <c r="AA2584" s="535"/>
      <c r="AB2584" s="536"/>
    </row>
    <row r="2585" spans="1:28" s="503" customFormat="1" ht="15.75" customHeight="1">
      <c r="A2585" s="517" t="str">
        <f>IF(B2585&lt;&gt;"",IF(AND(B2585&gt;=_TM1,B2585&lt;=_TM2,OR(TH!L2585="1111",TH!M2585="1111")),TH!D2585,""),"")</f>
        <v/>
      </c>
      <c r="B2585" s="531">
        <f t="shared" si="227"/>
        <v>5</v>
      </c>
      <c r="C2585" s="315">
        <f t="shared" si="228"/>
        <v>42886</v>
      </c>
      <c r="D2585" s="315" t="s">
        <v>932</v>
      </c>
      <c r="E2585" s="315">
        <v>42886</v>
      </c>
      <c r="F2585" s="250" t="s">
        <v>713</v>
      </c>
      <c r="G2585" s="314" t="s">
        <v>1141</v>
      </c>
      <c r="H2585" s="473" t="s">
        <v>284</v>
      </c>
      <c r="I2585" s="307">
        <v>44</v>
      </c>
      <c r="J2585" s="307">
        <v>32159</v>
      </c>
      <c r="K2585" s="532">
        <f t="shared" si="229"/>
        <v>1414996</v>
      </c>
      <c r="L2585" s="534" t="s">
        <v>223</v>
      </c>
      <c r="M2585" s="534" t="s">
        <v>162</v>
      </c>
      <c r="N2585" s="525" t="str">
        <f>IF(AND('331-CT'!$E$7=TH!H2585,OR(L2585="331",M2585="331")),"331",IF(AND(OR(L2585="131",M2585="131"),H2585='131-CT'!$E$7),"131",""))</f>
        <v/>
      </c>
      <c r="O2585" s="525" t="str">
        <f>IF(AND($B2585&gt;='111'!$N$11,$B2585&lt;='111'!$O$11,OR($L2585=$O$7,$M2585=$O$7)),"x","")</f>
        <v/>
      </c>
      <c r="P2585" s="525" t="str">
        <f>IF(AND($L2585=$O$7,$B2585&lt;'111'!$N$11),"x","")</f>
        <v/>
      </c>
      <c r="Q2585" s="525" t="str">
        <f>IF(AND($M2585=$O$7,$B2585&lt;'111'!$N$11),"x","")</f>
        <v/>
      </c>
      <c r="R2585" s="525" t="str">
        <f>IF(ISERROR(FIND('112'!$M$9,G2585,1)),"",IF((AND(FIND('112'!$M$9,G2585,1)&gt;=1,$B2585&gt;='112'!$N$8,$B2585&lt;='112'!$O$8,OR($L2585='112'!$I$6,$M2585='112'!$I$6))),"x",""))</f>
        <v/>
      </c>
      <c r="S2585" s="525" t="str">
        <f>IF(ISERROR(FIND('112'!$M$9,G2585,1)),"",IF((AND(LEFT(G2585,2)=LEFT('112'!$M$9,2),B2585&lt;'112'!$N$8,$L2585='112'!$I$6)),"x",""))</f>
        <v/>
      </c>
      <c r="T2585" s="525" t="str">
        <f>IF(ISERROR(FIND('112'!$M$9,G2585,1)),"",IF((AND(RIGHT(G2585,2)=RIGHT('112'!$M$9,2),B2585&lt;'112'!$N$8,$M2585='112'!$I$6)),"x",""))</f>
        <v/>
      </c>
      <c r="U2585" s="525" t="str">
        <f>IF(AND(B2585&gt;='IN-NX'!$P$3,B2585&lt;='IN-NX'!$Q$3,'IN-NX'!$D$7=D2585,OR(LEFT(L2585,2)="15",AND(LEFT(M2585,2)&lt;&gt;"15",LEFT(M2585,2)&lt;&gt;"33"))),"x","")</f>
        <v/>
      </c>
      <c r="V2585" s="525" t="str">
        <f>IF(AND(OR(LEFT(TH!L2585,2)="15",LEFT(TH!M2585,2)="15"),'152-CT'!$J$8=TH!F2585),"x","")</f>
        <v/>
      </c>
      <c r="W2585" s="525" t="str">
        <f>IF(AND(OR(LEFT(TH!L2585,2)="15",LEFT(TH!M2585,2)="15"),TK!$E$7=TH!F2585),"x","")</f>
        <v/>
      </c>
      <c r="X2585" s="525" t="str">
        <f>IF(AND('341-CT'!$E$9=H2585,OR(LEFT(L2585,3)=$X$7,LEFT(M2585,3)=$X$7)),"x","")</f>
        <v/>
      </c>
      <c r="Y2585" s="525" t="str">
        <f>IF(OR(TH!L2585=TH!$Y$7,M2585=TH!$Y$7),"x","")</f>
        <v/>
      </c>
      <c r="Z2585" s="525" t="str">
        <f>IF(AND(B2585&lt;=NKC!$N$8,B2585&gt;=NKC!$M$8),"x","")</f>
        <v/>
      </c>
      <c r="AA2585" s="535"/>
      <c r="AB2585" s="536"/>
    </row>
    <row r="2586" spans="1:28" s="503" customFormat="1" ht="15.75" customHeight="1">
      <c r="A2586" s="517" t="str">
        <f>IF(B2586&lt;&gt;"",IF(AND(B2586&gt;=_TM1,B2586&lt;=_TM2,OR(TH!L2586="1111",TH!M2586="1111")),TH!D2586,""),"")</f>
        <v/>
      </c>
      <c r="B2586" s="531">
        <f t="shared" si="227"/>
        <v>5</v>
      </c>
      <c r="C2586" s="315">
        <f t="shared" si="228"/>
        <v>42886</v>
      </c>
      <c r="D2586" s="315" t="s">
        <v>932</v>
      </c>
      <c r="E2586" s="315">
        <v>42886</v>
      </c>
      <c r="F2586" s="249" t="s">
        <v>761</v>
      </c>
      <c r="G2586" s="314" t="s">
        <v>1141</v>
      </c>
      <c r="H2586" s="473" t="s">
        <v>284</v>
      </c>
      <c r="I2586" s="307">
        <v>26</v>
      </c>
      <c r="J2586" s="307">
        <v>35693</v>
      </c>
      <c r="K2586" s="532">
        <f t="shared" si="229"/>
        <v>928018</v>
      </c>
      <c r="L2586" s="534" t="s">
        <v>223</v>
      </c>
      <c r="M2586" s="534" t="s">
        <v>162</v>
      </c>
      <c r="N2586" s="525" t="str">
        <f>IF(AND('331-CT'!$E$7=TH!H2586,OR(L2586="331",M2586="331")),"331",IF(AND(OR(L2586="131",M2586="131"),H2586='131-CT'!$E$7),"131",""))</f>
        <v/>
      </c>
      <c r="O2586" s="525" t="str">
        <f>IF(AND($B2586&gt;='111'!$N$11,$B2586&lt;='111'!$O$11,OR($L2586=$O$7,$M2586=$O$7)),"x","")</f>
        <v/>
      </c>
      <c r="P2586" s="525" t="str">
        <f>IF(AND($L2586=$O$7,$B2586&lt;'111'!$N$11),"x","")</f>
        <v/>
      </c>
      <c r="Q2586" s="525" t="str">
        <f>IF(AND($M2586=$O$7,$B2586&lt;'111'!$N$11),"x","")</f>
        <v/>
      </c>
      <c r="R2586" s="525" t="str">
        <f>IF(ISERROR(FIND('112'!$M$9,G2586,1)),"",IF((AND(FIND('112'!$M$9,G2586,1)&gt;=1,$B2586&gt;='112'!$N$8,$B2586&lt;='112'!$O$8,OR($L2586='112'!$I$6,$M2586='112'!$I$6))),"x",""))</f>
        <v/>
      </c>
      <c r="S2586" s="525" t="str">
        <f>IF(ISERROR(FIND('112'!$M$9,G2586,1)),"",IF((AND(LEFT(G2586,2)=LEFT('112'!$M$9,2),B2586&lt;'112'!$N$8,$L2586='112'!$I$6)),"x",""))</f>
        <v/>
      </c>
      <c r="T2586" s="525" t="str">
        <f>IF(ISERROR(FIND('112'!$M$9,G2586,1)),"",IF((AND(RIGHT(G2586,2)=RIGHT('112'!$M$9,2),B2586&lt;'112'!$N$8,$M2586='112'!$I$6)),"x",""))</f>
        <v/>
      </c>
      <c r="U2586" s="525" t="str">
        <f>IF(AND(B2586&gt;='IN-NX'!$P$3,B2586&lt;='IN-NX'!$Q$3,'IN-NX'!$D$7=D2586,OR(LEFT(L2586,2)="15",AND(LEFT(M2586,2)&lt;&gt;"15",LEFT(M2586,2)&lt;&gt;"33"))),"x","")</f>
        <v/>
      </c>
      <c r="V2586" s="525" t="str">
        <f>IF(AND(OR(LEFT(TH!L2586,2)="15",LEFT(TH!M2586,2)="15"),'152-CT'!$J$8=TH!F2586),"x","")</f>
        <v/>
      </c>
      <c r="W2586" s="525" t="str">
        <f>IF(AND(OR(LEFT(TH!L2586,2)="15",LEFT(TH!M2586,2)="15"),TK!$E$7=TH!F2586),"x","")</f>
        <v/>
      </c>
      <c r="X2586" s="525" t="str">
        <f>IF(AND('341-CT'!$E$9=H2586,OR(LEFT(L2586,3)=$X$7,LEFT(M2586,3)=$X$7)),"x","")</f>
        <v/>
      </c>
      <c r="Y2586" s="525" t="str">
        <f>IF(OR(TH!L2586=TH!$Y$7,M2586=TH!$Y$7),"x","")</f>
        <v/>
      </c>
      <c r="Z2586" s="525" t="str">
        <f>IF(AND(B2586&lt;=NKC!$N$8,B2586&gt;=NKC!$M$8),"x","")</f>
        <v/>
      </c>
      <c r="AA2586" s="535"/>
      <c r="AB2586" s="536"/>
    </row>
    <row r="2587" spans="1:28" s="503" customFormat="1" ht="15.75" customHeight="1">
      <c r="A2587" s="517" t="str">
        <f>IF(B2587&lt;&gt;"",IF(AND(B2587&gt;=_TM1,B2587&lt;=_TM2,OR(TH!L2587="1111",TH!M2587="1111")),TH!D2587,""),"")</f>
        <v/>
      </c>
      <c r="B2587" s="531">
        <f t="shared" si="227"/>
        <v>5</v>
      </c>
      <c r="C2587" s="315">
        <f t="shared" si="228"/>
        <v>42886</v>
      </c>
      <c r="D2587" s="315" t="s">
        <v>932</v>
      </c>
      <c r="E2587" s="315">
        <v>42886</v>
      </c>
      <c r="F2587" s="250" t="s">
        <v>1019</v>
      </c>
      <c r="G2587" s="314" t="s">
        <v>1141</v>
      </c>
      <c r="H2587" s="473" t="s">
        <v>284</v>
      </c>
      <c r="I2587" s="307">
        <v>12</v>
      </c>
      <c r="J2587" s="307">
        <v>21488</v>
      </c>
      <c r="K2587" s="532">
        <f t="shared" si="229"/>
        <v>257856</v>
      </c>
      <c r="L2587" s="534" t="s">
        <v>223</v>
      </c>
      <c r="M2587" s="534" t="s">
        <v>162</v>
      </c>
      <c r="N2587" s="525" t="str">
        <f>IF(AND('331-CT'!$E$7=TH!H2587,OR(L2587="331",M2587="331")),"331",IF(AND(OR(L2587="131",M2587="131"),H2587='131-CT'!$E$7),"131",""))</f>
        <v/>
      </c>
      <c r="O2587" s="525" t="str">
        <f>IF(AND($B2587&gt;='111'!$N$11,$B2587&lt;='111'!$O$11,OR($L2587=$O$7,$M2587=$O$7)),"x","")</f>
        <v/>
      </c>
      <c r="P2587" s="525" t="str">
        <f>IF(AND($L2587=$O$7,$B2587&lt;'111'!$N$11),"x","")</f>
        <v/>
      </c>
      <c r="Q2587" s="525" t="str">
        <f>IF(AND($M2587=$O$7,$B2587&lt;'111'!$N$11),"x","")</f>
        <v/>
      </c>
      <c r="R2587" s="525" t="str">
        <f>IF(ISERROR(FIND('112'!$M$9,G2587,1)),"",IF((AND(FIND('112'!$M$9,G2587,1)&gt;=1,$B2587&gt;='112'!$N$8,$B2587&lt;='112'!$O$8,OR($L2587='112'!$I$6,$M2587='112'!$I$6))),"x",""))</f>
        <v/>
      </c>
      <c r="S2587" s="525" t="str">
        <f>IF(ISERROR(FIND('112'!$M$9,G2587,1)),"",IF((AND(LEFT(G2587,2)=LEFT('112'!$M$9,2),B2587&lt;'112'!$N$8,$L2587='112'!$I$6)),"x",""))</f>
        <v/>
      </c>
      <c r="T2587" s="525" t="str">
        <f>IF(ISERROR(FIND('112'!$M$9,G2587,1)),"",IF((AND(RIGHT(G2587,2)=RIGHT('112'!$M$9,2),B2587&lt;'112'!$N$8,$M2587='112'!$I$6)),"x",""))</f>
        <v/>
      </c>
      <c r="U2587" s="525" t="str">
        <f>IF(AND(B2587&gt;='IN-NX'!$P$3,B2587&lt;='IN-NX'!$Q$3,'IN-NX'!$D$7=D2587,OR(LEFT(L2587,2)="15",AND(LEFT(M2587,2)&lt;&gt;"15",LEFT(M2587,2)&lt;&gt;"33"))),"x","")</f>
        <v/>
      </c>
      <c r="V2587" s="525" t="str">
        <f>IF(AND(OR(LEFT(TH!L2587,2)="15",LEFT(TH!M2587,2)="15"),'152-CT'!$J$8=TH!F2587),"x","")</f>
        <v/>
      </c>
      <c r="W2587" s="525" t="str">
        <f>IF(AND(OR(LEFT(TH!L2587,2)="15",LEFT(TH!M2587,2)="15"),TK!$E$7=TH!F2587),"x","")</f>
        <v/>
      </c>
      <c r="X2587" s="525" t="str">
        <f>IF(AND('341-CT'!$E$9=H2587,OR(LEFT(L2587,3)=$X$7,LEFT(M2587,3)=$X$7)),"x","")</f>
        <v/>
      </c>
      <c r="Y2587" s="525" t="str">
        <f>IF(OR(TH!L2587=TH!$Y$7,M2587=TH!$Y$7),"x","")</f>
        <v/>
      </c>
      <c r="Z2587" s="525" t="str">
        <f>IF(AND(B2587&lt;=NKC!$N$8,B2587&gt;=NKC!$M$8),"x","")</f>
        <v/>
      </c>
      <c r="AA2587" s="535"/>
      <c r="AB2587" s="536"/>
    </row>
    <row r="2588" spans="1:28" s="503" customFormat="1" ht="15.75" customHeight="1">
      <c r="A2588" s="517" t="str">
        <f>IF(B2588&lt;&gt;"",IF(AND(B2588&gt;=_TM1,B2588&lt;=_TM2,OR(TH!L2588="1111",TH!M2588="1111")),TH!D2588,""),"")</f>
        <v/>
      </c>
      <c r="B2588" s="531">
        <f t="shared" si="227"/>
        <v>5</v>
      </c>
      <c r="C2588" s="315">
        <f t="shared" si="228"/>
        <v>42886</v>
      </c>
      <c r="D2588" s="315" t="s">
        <v>932</v>
      </c>
      <c r="E2588" s="315">
        <v>42886</v>
      </c>
      <c r="F2588" s="250" t="s">
        <v>1050</v>
      </c>
      <c r="G2588" s="314" t="s">
        <v>1141</v>
      </c>
      <c r="H2588" s="473" t="s">
        <v>284</v>
      </c>
      <c r="I2588" s="307">
        <v>144</v>
      </c>
      <c r="J2588" s="307">
        <v>13434</v>
      </c>
      <c r="K2588" s="532">
        <f t="shared" si="229"/>
        <v>1934496</v>
      </c>
      <c r="L2588" s="534" t="s">
        <v>223</v>
      </c>
      <c r="M2588" s="534" t="s">
        <v>162</v>
      </c>
      <c r="N2588" s="525" t="str">
        <f>IF(AND('331-CT'!$E$7=TH!H2588,OR(L2588="331",M2588="331")),"331",IF(AND(OR(L2588="131",M2588="131"),H2588='131-CT'!$E$7),"131",""))</f>
        <v/>
      </c>
      <c r="O2588" s="525" t="str">
        <f>IF(AND($B2588&gt;='111'!$N$11,$B2588&lt;='111'!$O$11,OR($L2588=$O$7,$M2588=$O$7)),"x","")</f>
        <v/>
      </c>
      <c r="P2588" s="525" t="str">
        <f>IF(AND($L2588=$O$7,$B2588&lt;'111'!$N$11),"x","")</f>
        <v/>
      </c>
      <c r="Q2588" s="525" t="str">
        <f>IF(AND($M2588=$O$7,$B2588&lt;'111'!$N$11),"x","")</f>
        <v/>
      </c>
      <c r="R2588" s="525" t="str">
        <f>IF(ISERROR(FIND('112'!$M$9,G2588,1)),"",IF((AND(FIND('112'!$M$9,G2588,1)&gt;=1,$B2588&gt;='112'!$N$8,$B2588&lt;='112'!$O$8,OR($L2588='112'!$I$6,$M2588='112'!$I$6))),"x",""))</f>
        <v/>
      </c>
      <c r="S2588" s="525" t="str">
        <f>IF(ISERROR(FIND('112'!$M$9,G2588,1)),"",IF((AND(LEFT(G2588,2)=LEFT('112'!$M$9,2),B2588&lt;'112'!$N$8,$L2588='112'!$I$6)),"x",""))</f>
        <v/>
      </c>
      <c r="T2588" s="525" t="str">
        <f>IF(ISERROR(FIND('112'!$M$9,G2588,1)),"",IF((AND(RIGHT(G2588,2)=RIGHT('112'!$M$9,2),B2588&lt;'112'!$N$8,$M2588='112'!$I$6)),"x",""))</f>
        <v/>
      </c>
      <c r="U2588" s="525" t="str">
        <f>IF(AND(B2588&gt;='IN-NX'!$P$3,B2588&lt;='IN-NX'!$Q$3,'IN-NX'!$D$7=D2588,OR(LEFT(L2588,2)="15",AND(LEFT(M2588,2)&lt;&gt;"15",LEFT(M2588,2)&lt;&gt;"33"))),"x","")</f>
        <v/>
      </c>
      <c r="V2588" s="525" t="str">
        <f>IF(AND(OR(LEFT(TH!L2588,2)="15",LEFT(TH!M2588,2)="15"),'152-CT'!$J$8=TH!F2588),"x","")</f>
        <v/>
      </c>
      <c r="W2588" s="525" t="str">
        <f>IF(AND(OR(LEFT(TH!L2588,2)="15",LEFT(TH!M2588,2)="15"),TK!$E$7=TH!F2588),"x","")</f>
        <v/>
      </c>
      <c r="X2588" s="525" t="str">
        <f>IF(AND('341-CT'!$E$9=H2588,OR(LEFT(L2588,3)=$X$7,LEFT(M2588,3)=$X$7)),"x","")</f>
        <v/>
      </c>
      <c r="Y2588" s="525" t="str">
        <f>IF(OR(TH!L2588=TH!$Y$7,M2588=TH!$Y$7),"x","")</f>
        <v/>
      </c>
      <c r="Z2588" s="525" t="str">
        <f>IF(AND(B2588&lt;=NKC!$N$8,B2588&gt;=NKC!$M$8),"x","")</f>
        <v/>
      </c>
      <c r="AA2588" s="535"/>
      <c r="AB2588" s="536"/>
    </row>
    <row r="2589" spans="1:28" s="503" customFormat="1" ht="15.75" customHeight="1">
      <c r="A2589" s="517" t="str">
        <f>IF(B2589&lt;&gt;"",IF(AND(B2589&gt;=_TM1,B2589&lt;=_TM2,OR(TH!L2589="1111",TH!M2589="1111")),TH!D2589,""),"")</f>
        <v/>
      </c>
      <c r="B2589" s="531">
        <f t="shared" si="227"/>
        <v>5</v>
      </c>
      <c r="C2589" s="315">
        <f t="shared" si="228"/>
        <v>42886</v>
      </c>
      <c r="D2589" s="315" t="s">
        <v>932</v>
      </c>
      <c r="E2589" s="315">
        <v>42886</v>
      </c>
      <c r="F2589" s="555" t="s">
        <v>1043</v>
      </c>
      <c r="G2589" s="314" t="s">
        <v>1141</v>
      </c>
      <c r="H2589" s="473" t="s">
        <v>284</v>
      </c>
      <c r="I2589" s="307">
        <v>12</v>
      </c>
      <c r="J2589" s="307">
        <v>25171.5</v>
      </c>
      <c r="K2589" s="532">
        <f t="shared" si="229"/>
        <v>302058</v>
      </c>
      <c r="L2589" s="534" t="s">
        <v>223</v>
      </c>
      <c r="M2589" s="534" t="s">
        <v>162</v>
      </c>
      <c r="N2589" s="525" t="str">
        <f>IF(AND('331-CT'!$E$7=TH!H2589,OR(L2589="331",M2589="331")),"331",IF(AND(OR(L2589="131",M2589="131"),H2589='131-CT'!$E$7),"131",""))</f>
        <v/>
      </c>
      <c r="O2589" s="525" t="str">
        <f>IF(AND($B2589&gt;='111'!$N$11,$B2589&lt;='111'!$O$11,OR($L2589=$O$7,$M2589=$O$7)),"x","")</f>
        <v/>
      </c>
      <c r="P2589" s="525" t="str">
        <f>IF(AND($L2589=$O$7,$B2589&lt;'111'!$N$11),"x","")</f>
        <v/>
      </c>
      <c r="Q2589" s="525" t="str">
        <f>IF(AND($M2589=$O$7,$B2589&lt;'111'!$N$11),"x","")</f>
        <v/>
      </c>
      <c r="R2589" s="525" t="str">
        <f>IF(ISERROR(FIND('112'!$M$9,G2589,1)),"",IF((AND(FIND('112'!$M$9,G2589,1)&gt;=1,$B2589&gt;='112'!$N$8,$B2589&lt;='112'!$O$8,OR($L2589='112'!$I$6,$M2589='112'!$I$6))),"x",""))</f>
        <v/>
      </c>
      <c r="S2589" s="525" t="str">
        <f>IF(ISERROR(FIND('112'!$M$9,G2589,1)),"",IF((AND(LEFT(G2589,2)=LEFT('112'!$M$9,2),B2589&lt;'112'!$N$8,$L2589='112'!$I$6)),"x",""))</f>
        <v/>
      </c>
      <c r="T2589" s="525" t="str">
        <f>IF(ISERROR(FIND('112'!$M$9,G2589,1)),"",IF((AND(RIGHT(G2589,2)=RIGHT('112'!$M$9,2),B2589&lt;'112'!$N$8,$M2589='112'!$I$6)),"x",""))</f>
        <v/>
      </c>
      <c r="U2589" s="525" t="str">
        <f>IF(AND(B2589&gt;='IN-NX'!$P$3,B2589&lt;='IN-NX'!$Q$3,'IN-NX'!$D$7=D2589,OR(LEFT(L2589,2)="15",AND(LEFT(M2589,2)&lt;&gt;"15",LEFT(M2589,2)&lt;&gt;"33"))),"x","")</f>
        <v/>
      </c>
      <c r="V2589" s="525" t="str">
        <f>IF(AND(OR(LEFT(TH!L2589,2)="15",LEFT(TH!M2589,2)="15"),'152-CT'!$J$8=TH!F2589),"x","")</f>
        <v/>
      </c>
      <c r="W2589" s="525" t="str">
        <f>IF(AND(OR(LEFT(TH!L2589,2)="15",LEFT(TH!M2589,2)="15"),TK!$E$7=TH!F2589),"x","")</f>
        <v/>
      </c>
      <c r="X2589" s="525" t="str">
        <f>IF(AND('341-CT'!$E$9=H2589,OR(LEFT(L2589,3)=$X$7,LEFT(M2589,3)=$X$7)),"x","")</f>
        <v/>
      </c>
      <c r="Y2589" s="525" t="str">
        <f>IF(OR(TH!L2589=TH!$Y$7,M2589=TH!$Y$7),"x","")</f>
        <v/>
      </c>
      <c r="Z2589" s="525" t="str">
        <f>IF(AND(B2589&lt;=NKC!$N$8,B2589&gt;=NKC!$M$8),"x","")</f>
        <v/>
      </c>
      <c r="AA2589" s="535"/>
      <c r="AB2589" s="536"/>
    </row>
    <row r="2590" spans="1:28" s="503" customFormat="1" ht="15.75" customHeight="1">
      <c r="A2590" s="517" t="str">
        <f>IF(B2590&lt;&gt;"",IF(AND(B2590&gt;=_TM1,B2590&lt;=_TM2,OR(TH!L2590="1111",TH!M2590="1111")),TH!D2590,""),"")</f>
        <v/>
      </c>
      <c r="B2590" s="531">
        <f t="shared" si="227"/>
        <v>5</v>
      </c>
      <c r="C2590" s="315">
        <f t="shared" si="228"/>
        <v>42886</v>
      </c>
      <c r="D2590" s="315" t="s">
        <v>932</v>
      </c>
      <c r="E2590" s="315">
        <v>42886</v>
      </c>
      <c r="F2590" s="250" t="s">
        <v>1170</v>
      </c>
      <c r="G2590" s="314" t="s">
        <v>1141</v>
      </c>
      <c r="H2590" s="473" t="s">
        <v>284</v>
      </c>
      <c r="I2590" s="307">
        <v>6</v>
      </c>
      <c r="J2590" s="307">
        <v>10434</v>
      </c>
      <c r="K2590" s="532">
        <f t="shared" si="229"/>
        <v>62604</v>
      </c>
      <c r="L2590" s="534" t="s">
        <v>223</v>
      </c>
      <c r="M2590" s="534" t="s">
        <v>162</v>
      </c>
      <c r="N2590" s="525" t="str">
        <f>IF(AND('331-CT'!$E$7=TH!H2590,OR(L2590="331",M2590="331")),"331",IF(AND(OR(L2590="131",M2590="131"),H2590='131-CT'!$E$7),"131",""))</f>
        <v/>
      </c>
      <c r="O2590" s="525" t="str">
        <f>IF(AND($B2590&gt;='111'!$N$11,$B2590&lt;='111'!$O$11,OR($L2590=$O$7,$M2590=$O$7)),"x","")</f>
        <v/>
      </c>
      <c r="P2590" s="525" t="str">
        <f>IF(AND($L2590=$O$7,$B2590&lt;'111'!$N$11),"x","")</f>
        <v/>
      </c>
      <c r="Q2590" s="525" t="str">
        <f>IF(AND($M2590=$O$7,$B2590&lt;'111'!$N$11),"x","")</f>
        <v/>
      </c>
      <c r="R2590" s="525" t="str">
        <f>IF(ISERROR(FIND('112'!$M$9,G2590,1)),"",IF((AND(FIND('112'!$M$9,G2590,1)&gt;=1,$B2590&gt;='112'!$N$8,$B2590&lt;='112'!$O$8,OR($L2590='112'!$I$6,$M2590='112'!$I$6))),"x",""))</f>
        <v/>
      </c>
      <c r="S2590" s="525" t="str">
        <f>IF(ISERROR(FIND('112'!$M$9,G2590,1)),"",IF((AND(LEFT(G2590,2)=LEFT('112'!$M$9,2),B2590&lt;'112'!$N$8,$L2590='112'!$I$6)),"x",""))</f>
        <v/>
      </c>
      <c r="T2590" s="525" t="str">
        <f>IF(ISERROR(FIND('112'!$M$9,G2590,1)),"",IF((AND(RIGHT(G2590,2)=RIGHT('112'!$M$9,2),B2590&lt;'112'!$N$8,$M2590='112'!$I$6)),"x",""))</f>
        <v/>
      </c>
      <c r="U2590" s="525" t="str">
        <f>IF(AND(B2590&gt;='IN-NX'!$P$3,B2590&lt;='IN-NX'!$Q$3,'IN-NX'!$D$7=D2590,OR(LEFT(L2590,2)="15",AND(LEFT(M2590,2)&lt;&gt;"15",LEFT(M2590,2)&lt;&gt;"33"))),"x","")</f>
        <v/>
      </c>
      <c r="V2590" s="525" t="str">
        <f>IF(AND(OR(LEFT(TH!L2590,2)="15",LEFT(TH!M2590,2)="15"),'152-CT'!$J$8=TH!F2590),"x","")</f>
        <v/>
      </c>
      <c r="W2590" s="525" t="str">
        <f>IF(AND(OR(LEFT(TH!L2590,2)="15",LEFT(TH!M2590,2)="15"),TK!$E$7=TH!F2590),"x","")</f>
        <v/>
      </c>
      <c r="X2590" s="525" t="str">
        <f>IF(AND('341-CT'!$E$9=H2590,OR(LEFT(L2590,3)=$X$7,LEFT(M2590,3)=$X$7)),"x","")</f>
        <v/>
      </c>
      <c r="Y2590" s="525" t="str">
        <f>IF(OR(TH!L2590=TH!$Y$7,M2590=TH!$Y$7),"x","")</f>
        <v/>
      </c>
      <c r="Z2590" s="525" t="str">
        <f>IF(AND(B2590&lt;=NKC!$N$8,B2590&gt;=NKC!$M$8),"x","")</f>
        <v/>
      </c>
      <c r="AA2590" s="535"/>
      <c r="AB2590" s="536"/>
    </row>
    <row r="2591" spans="1:28" s="503" customFormat="1" ht="15.75" customHeight="1">
      <c r="A2591" s="517" t="str">
        <f>IF(B2591&lt;&gt;"",IF(AND(B2591&gt;=_TM1,B2591&lt;=_TM2,OR(TH!L2591="1111",TH!M2591="1111")),TH!D2591,""),"")</f>
        <v/>
      </c>
      <c r="B2591" s="531">
        <f t="shared" si="227"/>
        <v>5</v>
      </c>
      <c r="C2591" s="315">
        <f t="shared" si="228"/>
        <v>42886</v>
      </c>
      <c r="D2591" s="315" t="s">
        <v>932</v>
      </c>
      <c r="E2591" s="315">
        <v>42886</v>
      </c>
      <c r="F2591" s="250" t="s">
        <v>1171</v>
      </c>
      <c r="G2591" s="314" t="s">
        <v>1141</v>
      </c>
      <c r="H2591" s="473" t="s">
        <v>284</v>
      </c>
      <c r="I2591" s="307">
        <v>6</v>
      </c>
      <c r="J2591" s="307">
        <v>22837</v>
      </c>
      <c r="K2591" s="532">
        <f t="shared" si="229"/>
        <v>137022</v>
      </c>
      <c r="L2591" s="534" t="s">
        <v>223</v>
      </c>
      <c r="M2591" s="534" t="s">
        <v>162</v>
      </c>
      <c r="N2591" s="525" t="str">
        <f>IF(AND('331-CT'!$E$7=TH!H2591,OR(L2591="331",M2591="331")),"331",IF(AND(OR(L2591="131",M2591="131"),H2591='131-CT'!$E$7),"131",""))</f>
        <v/>
      </c>
      <c r="O2591" s="525" t="str">
        <f>IF(AND($B2591&gt;='111'!$N$11,$B2591&lt;='111'!$O$11,OR($L2591=$O$7,$M2591=$O$7)),"x","")</f>
        <v/>
      </c>
      <c r="P2591" s="525" t="str">
        <f>IF(AND($L2591=$O$7,$B2591&lt;'111'!$N$11),"x","")</f>
        <v/>
      </c>
      <c r="Q2591" s="525" t="str">
        <f>IF(AND($M2591=$O$7,$B2591&lt;'111'!$N$11),"x","")</f>
        <v/>
      </c>
      <c r="R2591" s="525" t="str">
        <f>IF(ISERROR(FIND('112'!$M$9,G2591,1)),"",IF((AND(FIND('112'!$M$9,G2591,1)&gt;=1,$B2591&gt;='112'!$N$8,$B2591&lt;='112'!$O$8,OR($L2591='112'!$I$6,$M2591='112'!$I$6))),"x",""))</f>
        <v/>
      </c>
      <c r="S2591" s="525" t="str">
        <f>IF(ISERROR(FIND('112'!$M$9,G2591,1)),"",IF((AND(LEFT(G2591,2)=LEFT('112'!$M$9,2),B2591&lt;'112'!$N$8,$L2591='112'!$I$6)),"x",""))</f>
        <v/>
      </c>
      <c r="T2591" s="525" t="str">
        <f>IF(ISERROR(FIND('112'!$M$9,G2591,1)),"",IF((AND(RIGHT(G2591,2)=RIGHT('112'!$M$9,2),B2591&lt;'112'!$N$8,$M2591='112'!$I$6)),"x",""))</f>
        <v/>
      </c>
      <c r="U2591" s="525" t="str">
        <f>IF(AND(B2591&gt;='IN-NX'!$P$3,B2591&lt;='IN-NX'!$Q$3,'IN-NX'!$D$7=D2591,OR(LEFT(L2591,2)="15",AND(LEFT(M2591,2)&lt;&gt;"15",LEFT(M2591,2)&lt;&gt;"33"))),"x","")</f>
        <v/>
      </c>
      <c r="V2591" s="525" t="str">
        <f>IF(AND(OR(LEFT(TH!L2591,2)="15",LEFT(TH!M2591,2)="15"),'152-CT'!$J$8=TH!F2591),"x","")</f>
        <v/>
      </c>
      <c r="W2591" s="525" t="str">
        <f>IF(AND(OR(LEFT(TH!L2591,2)="15",LEFT(TH!M2591,2)="15"),TK!$E$7=TH!F2591),"x","")</f>
        <v/>
      </c>
      <c r="X2591" s="525" t="str">
        <f>IF(AND('341-CT'!$E$9=H2591,OR(LEFT(L2591,3)=$X$7,LEFT(M2591,3)=$X$7)),"x","")</f>
        <v/>
      </c>
      <c r="Y2591" s="525" t="str">
        <f>IF(OR(TH!L2591=TH!$Y$7,M2591=TH!$Y$7),"x","")</f>
        <v/>
      </c>
      <c r="Z2591" s="525" t="str">
        <f>IF(AND(B2591&lt;=NKC!$N$8,B2591&gt;=NKC!$M$8),"x","")</f>
        <v/>
      </c>
      <c r="AA2591" s="535"/>
      <c r="AB2591" s="536"/>
    </row>
    <row r="2592" spans="1:28" s="503" customFormat="1" ht="15.75" customHeight="1">
      <c r="A2592" s="517" t="str">
        <f>IF(B2592&lt;&gt;"",IF(AND(B2592&gt;=_TM1,B2592&lt;=_TM2,OR(TH!L2592="1111",TH!M2592="1111")),TH!D2592,""),"")</f>
        <v/>
      </c>
      <c r="B2592" s="531">
        <f t="shared" si="227"/>
        <v>5</v>
      </c>
      <c r="C2592" s="315">
        <f t="shared" si="228"/>
        <v>42886</v>
      </c>
      <c r="D2592" s="315" t="s">
        <v>932</v>
      </c>
      <c r="E2592" s="315">
        <v>42886</v>
      </c>
      <c r="F2592" s="250" t="s">
        <v>722</v>
      </c>
      <c r="G2592" s="314" t="s">
        <v>1141</v>
      </c>
      <c r="H2592" s="473" t="s">
        <v>284</v>
      </c>
      <c r="I2592" s="307">
        <v>36</v>
      </c>
      <c r="J2592" s="307">
        <v>13614</v>
      </c>
      <c r="K2592" s="532">
        <f t="shared" si="229"/>
        <v>490104</v>
      </c>
      <c r="L2592" s="534" t="s">
        <v>223</v>
      </c>
      <c r="M2592" s="534" t="s">
        <v>162</v>
      </c>
      <c r="N2592" s="525" t="str">
        <f>IF(AND('331-CT'!$E$7=TH!H2592,OR(L2592="331",M2592="331")),"331",IF(AND(OR(L2592="131",M2592="131"),H2592='131-CT'!$E$7),"131",""))</f>
        <v/>
      </c>
      <c r="O2592" s="525" t="str">
        <f>IF(AND($B2592&gt;='111'!$N$11,$B2592&lt;='111'!$O$11,OR($L2592=$O$7,$M2592=$O$7)),"x","")</f>
        <v/>
      </c>
      <c r="P2592" s="525" t="str">
        <f>IF(AND($L2592=$O$7,$B2592&lt;'111'!$N$11),"x","")</f>
        <v/>
      </c>
      <c r="Q2592" s="525" t="str">
        <f>IF(AND($M2592=$O$7,$B2592&lt;'111'!$N$11),"x","")</f>
        <v/>
      </c>
      <c r="R2592" s="525" t="str">
        <f>IF(ISERROR(FIND('112'!$M$9,G2592,1)),"",IF((AND(FIND('112'!$M$9,G2592,1)&gt;=1,$B2592&gt;='112'!$N$8,$B2592&lt;='112'!$O$8,OR($L2592='112'!$I$6,$M2592='112'!$I$6))),"x",""))</f>
        <v/>
      </c>
      <c r="S2592" s="525" t="str">
        <f>IF(ISERROR(FIND('112'!$M$9,G2592,1)),"",IF((AND(LEFT(G2592,2)=LEFT('112'!$M$9,2),B2592&lt;'112'!$N$8,$L2592='112'!$I$6)),"x",""))</f>
        <v/>
      </c>
      <c r="T2592" s="525" t="str">
        <f>IF(ISERROR(FIND('112'!$M$9,G2592,1)),"",IF((AND(RIGHT(G2592,2)=RIGHT('112'!$M$9,2),B2592&lt;'112'!$N$8,$M2592='112'!$I$6)),"x",""))</f>
        <v/>
      </c>
      <c r="U2592" s="525" t="str">
        <f>IF(AND(B2592&gt;='IN-NX'!$P$3,B2592&lt;='IN-NX'!$Q$3,'IN-NX'!$D$7=D2592,OR(LEFT(L2592,2)="15",AND(LEFT(M2592,2)&lt;&gt;"15",LEFT(M2592,2)&lt;&gt;"33"))),"x","")</f>
        <v/>
      </c>
      <c r="V2592" s="525" t="str">
        <f>IF(AND(OR(LEFT(TH!L2592,2)="15",LEFT(TH!M2592,2)="15"),'152-CT'!$J$8=TH!F2592),"x","")</f>
        <v/>
      </c>
      <c r="W2592" s="525" t="str">
        <f>IF(AND(OR(LEFT(TH!L2592,2)="15",LEFT(TH!M2592,2)="15"),TK!$E$7=TH!F2592),"x","")</f>
        <v/>
      </c>
      <c r="X2592" s="525" t="str">
        <f>IF(AND('341-CT'!$E$9=H2592,OR(LEFT(L2592,3)=$X$7,LEFT(M2592,3)=$X$7)),"x","")</f>
        <v/>
      </c>
      <c r="Y2592" s="525" t="str">
        <f>IF(OR(TH!L2592=TH!$Y$7,M2592=TH!$Y$7),"x","")</f>
        <v/>
      </c>
      <c r="Z2592" s="525" t="str">
        <f>IF(AND(B2592&lt;=NKC!$N$8,B2592&gt;=NKC!$M$8),"x","")</f>
        <v/>
      </c>
      <c r="AA2592" s="535"/>
      <c r="AB2592" s="536"/>
    </row>
    <row r="2593" spans="1:28" s="503" customFormat="1" ht="15.75" customHeight="1">
      <c r="A2593" s="517" t="str">
        <f>IF(B2593&lt;&gt;"",IF(AND(B2593&gt;=_TM1,B2593&lt;=_TM2,OR(TH!L2593="1111",TH!M2593="1111")),TH!D2593,""),"")</f>
        <v/>
      </c>
      <c r="B2593" s="531">
        <f t="shared" si="227"/>
        <v>5</v>
      </c>
      <c r="C2593" s="315">
        <f t="shared" si="228"/>
        <v>42886</v>
      </c>
      <c r="D2593" s="315" t="s">
        <v>932</v>
      </c>
      <c r="E2593" s="315">
        <v>42886</v>
      </c>
      <c r="F2593" s="250" t="s">
        <v>724</v>
      </c>
      <c r="G2593" s="314" t="s">
        <v>1141</v>
      </c>
      <c r="H2593" s="473" t="s">
        <v>284</v>
      </c>
      <c r="I2593" s="307">
        <v>102</v>
      </c>
      <c r="J2593" s="307">
        <v>8526</v>
      </c>
      <c r="K2593" s="532">
        <f t="shared" si="229"/>
        <v>869652</v>
      </c>
      <c r="L2593" s="534" t="s">
        <v>223</v>
      </c>
      <c r="M2593" s="534" t="s">
        <v>162</v>
      </c>
      <c r="N2593" s="525" t="str">
        <f>IF(AND('331-CT'!$E$7=TH!H2593,OR(L2593="331",M2593="331")),"331",IF(AND(OR(L2593="131",M2593="131"),H2593='131-CT'!$E$7),"131",""))</f>
        <v/>
      </c>
      <c r="O2593" s="525" t="str">
        <f>IF(AND($B2593&gt;='111'!$N$11,$B2593&lt;='111'!$O$11,OR($L2593=$O$7,$M2593=$O$7)),"x","")</f>
        <v/>
      </c>
      <c r="P2593" s="525" t="str">
        <f>IF(AND($L2593=$O$7,$B2593&lt;'111'!$N$11),"x","")</f>
        <v/>
      </c>
      <c r="Q2593" s="525" t="str">
        <f>IF(AND($M2593=$O$7,$B2593&lt;'111'!$N$11),"x","")</f>
        <v/>
      </c>
      <c r="R2593" s="525" t="str">
        <f>IF(ISERROR(FIND('112'!$M$9,G2593,1)),"",IF((AND(FIND('112'!$M$9,G2593,1)&gt;=1,$B2593&gt;='112'!$N$8,$B2593&lt;='112'!$O$8,OR($L2593='112'!$I$6,$M2593='112'!$I$6))),"x",""))</f>
        <v/>
      </c>
      <c r="S2593" s="525" t="str">
        <f>IF(ISERROR(FIND('112'!$M$9,G2593,1)),"",IF((AND(LEFT(G2593,2)=LEFT('112'!$M$9,2),B2593&lt;'112'!$N$8,$L2593='112'!$I$6)),"x",""))</f>
        <v/>
      </c>
      <c r="T2593" s="525" t="str">
        <f>IF(ISERROR(FIND('112'!$M$9,G2593,1)),"",IF((AND(RIGHT(G2593,2)=RIGHT('112'!$M$9,2),B2593&lt;'112'!$N$8,$M2593='112'!$I$6)),"x",""))</f>
        <v/>
      </c>
      <c r="U2593" s="525" t="str">
        <f>IF(AND(B2593&gt;='IN-NX'!$P$3,B2593&lt;='IN-NX'!$Q$3,'IN-NX'!$D$7=D2593,OR(LEFT(L2593,2)="15",AND(LEFT(M2593,2)&lt;&gt;"15",LEFT(M2593,2)&lt;&gt;"33"))),"x","")</f>
        <v/>
      </c>
      <c r="V2593" s="525" t="str">
        <f>IF(AND(OR(LEFT(TH!L2593,2)="15",LEFT(TH!M2593,2)="15"),'152-CT'!$J$8=TH!F2593),"x","")</f>
        <v/>
      </c>
      <c r="W2593" s="525" t="str">
        <f>IF(AND(OR(LEFT(TH!L2593,2)="15",LEFT(TH!M2593,2)="15"),TK!$E$7=TH!F2593),"x","")</f>
        <v/>
      </c>
      <c r="X2593" s="525" t="str">
        <f>IF(AND('341-CT'!$E$9=H2593,OR(LEFT(L2593,3)=$X$7,LEFT(M2593,3)=$X$7)),"x","")</f>
        <v/>
      </c>
      <c r="Y2593" s="525" t="str">
        <f>IF(OR(TH!L2593=TH!$Y$7,M2593=TH!$Y$7),"x","")</f>
        <v/>
      </c>
      <c r="Z2593" s="525" t="str">
        <f>IF(AND(B2593&lt;=NKC!$N$8,B2593&gt;=NKC!$M$8),"x","")</f>
        <v/>
      </c>
      <c r="AA2593" s="535"/>
      <c r="AB2593" s="536"/>
    </row>
    <row r="2594" spans="1:28" s="503" customFormat="1" ht="15.75" customHeight="1">
      <c r="A2594" s="517" t="str">
        <f>IF(B2594&lt;&gt;"",IF(AND(B2594&gt;=_TM1,B2594&lt;=_TM2,OR(TH!L2594="1111",TH!M2594="1111")),TH!D2594,""),"")</f>
        <v/>
      </c>
      <c r="B2594" s="531">
        <f t="shared" si="227"/>
        <v>5</v>
      </c>
      <c r="C2594" s="315">
        <f t="shared" si="228"/>
        <v>42886</v>
      </c>
      <c r="D2594" s="315" t="s">
        <v>932</v>
      </c>
      <c r="E2594" s="315">
        <v>42886</v>
      </c>
      <c r="F2594" s="249" t="s">
        <v>727</v>
      </c>
      <c r="G2594" s="314" t="s">
        <v>1141</v>
      </c>
      <c r="H2594" s="473" t="s">
        <v>284</v>
      </c>
      <c r="I2594" s="307">
        <v>28</v>
      </c>
      <c r="J2594" s="307">
        <v>22979</v>
      </c>
      <c r="K2594" s="532">
        <f t="shared" si="229"/>
        <v>643412</v>
      </c>
      <c r="L2594" s="534" t="s">
        <v>223</v>
      </c>
      <c r="M2594" s="534" t="s">
        <v>162</v>
      </c>
      <c r="N2594" s="525" t="str">
        <f>IF(AND('331-CT'!$E$7=TH!H2594,OR(L2594="331",M2594="331")),"331",IF(AND(OR(L2594="131",M2594="131"),H2594='131-CT'!$E$7),"131",""))</f>
        <v/>
      </c>
      <c r="O2594" s="525" t="str">
        <f>IF(AND($B2594&gt;='111'!$N$11,$B2594&lt;='111'!$O$11,OR($L2594=$O$7,$M2594=$O$7)),"x","")</f>
        <v/>
      </c>
      <c r="P2594" s="525" t="str">
        <f>IF(AND($L2594=$O$7,$B2594&lt;'111'!$N$11),"x","")</f>
        <v/>
      </c>
      <c r="Q2594" s="525" t="str">
        <f>IF(AND($M2594=$O$7,$B2594&lt;'111'!$N$11),"x","")</f>
        <v/>
      </c>
      <c r="R2594" s="525" t="str">
        <f>IF(ISERROR(FIND('112'!$M$9,G2594,1)),"",IF((AND(FIND('112'!$M$9,G2594,1)&gt;=1,$B2594&gt;='112'!$N$8,$B2594&lt;='112'!$O$8,OR($L2594='112'!$I$6,$M2594='112'!$I$6))),"x",""))</f>
        <v/>
      </c>
      <c r="S2594" s="525" t="str">
        <f>IF(ISERROR(FIND('112'!$M$9,G2594,1)),"",IF((AND(LEFT(G2594,2)=LEFT('112'!$M$9,2),B2594&lt;'112'!$N$8,$L2594='112'!$I$6)),"x",""))</f>
        <v/>
      </c>
      <c r="T2594" s="525" t="str">
        <f>IF(ISERROR(FIND('112'!$M$9,G2594,1)),"",IF((AND(RIGHT(G2594,2)=RIGHT('112'!$M$9,2),B2594&lt;'112'!$N$8,$M2594='112'!$I$6)),"x",""))</f>
        <v/>
      </c>
      <c r="U2594" s="525" t="str">
        <f>IF(AND(B2594&gt;='IN-NX'!$P$3,B2594&lt;='IN-NX'!$Q$3,'IN-NX'!$D$7=D2594,OR(LEFT(L2594,2)="15",AND(LEFT(M2594,2)&lt;&gt;"15",LEFT(M2594,2)&lt;&gt;"33"))),"x","")</f>
        <v/>
      </c>
      <c r="V2594" s="525" t="str">
        <f>IF(AND(OR(LEFT(TH!L2594,2)="15",LEFT(TH!M2594,2)="15"),'152-CT'!$J$8=TH!F2594),"x","")</f>
        <v/>
      </c>
      <c r="W2594" s="525" t="str">
        <f>IF(AND(OR(LEFT(TH!L2594,2)="15",LEFT(TH!M2594,2)="15"),TK!$E$7=TH!F2594),"x","")</f>
        <v/>
      </c>
      <c r="X2594" s="525" t="str">
        <f>IF(AND('341-CT'!$E$9=H2594,OR(LEFT(L2594,3)=$X$7,LEFT(M2594,3)=$X$7)),"x","")</f>
        <v/>
      </c>
      <c r="Y2594" s="525" t="str">
        <f>IF(OR(TH!L2594=TH!$Y$7,M2594=TH!$Y$7),"x","")</f>
        <v/>
      </c>
      <c r="Z2594" s="525" t="str">
        <f>IF(AND(B2594&lt;=NKC!$N$8,B2594&gt;=NKC!$M$8),"x","")</f>
        <v/>
      </c>
      <c r="AA2594" s="535"/>
      <c r="AB2594" s="536"/>
    </row>
    <row r="2595" spans="1:28" s="503" customFormat="1" ht="15.75" customHeight="1">
      <c r="A2595" s="517" t="str">
        <f>IF(B2595&lt;&gt;"",IF(AND(B2595&gt;=_TM1,B2595&lt;=_TM2,OR(TH!L2595="1111",TH!M2595="1111")),TH!D2595,""),"")</f>
        <v/>
      </c>
      <c r="B2595" s="531">
        <f t="shared" si="227"/>
        <v>5</v>
      </c>
      <c r="C2595" s="315">
        <f t="shared" si="228"/>
        <v>42886</v>
      </c>
      <c r="D2595" s="315" t="s">
        <v>933</v>
      </c>
      <c r="E2595" s="315">
        <v>42886</v>
      </c>
      <c r="F2595" s="250" t="s">
        <v>729</v>
      </c>
      <c r="G2595" s="314" t="s">
        <v>1141</v>
      </c>
      <c r="H2595" s="473" t="s">
        <v>284</v>
      </c>
      <c r="I2595" s="307">
        <v>48</v>
      </c>
      <c r="J2595" s="307">
        <v>12213</v>
      </c>
      <c r="K2595" s="532">
        <f t="shared" si="229"/>
        <v>586224</v>
      </c>
      <c r="L2595" s="534" t="s">
        <v>223</v>
      </c>
      <c r="M2595" s="534" t="s">
        <v>162</v>
      </c>
      <c r="N2595" s="525" t="str">
        <f>IF(AND('331-CT'!$E$7=TH!H2595,OR(L2595="331",M2595="331")),"331",IF(AND(OR(L2595="131",M2595="131"),H2595='131-CT'!$E$7),"131",""))</f>
        <v/>
      </c>
      <c r="O2595" s="525" t="str">
        <f>IF(AND($B2595&gt;='111'!$N$11,$B2595&lt;='111'!$O$11,OR($L2595=$O$7,$M2595=$O$7)),"x","")</f>
        <v/>
      </c>
      <c r="P2595" s="525" t="str">
        <f>IF(AND($L2595=$O$7,$B2595&lt;'111'!$N$11),"x","")</f>
        <v/>
      </c>
      <c r="Q2595" s="525" t="str">
        <f>IF(AND($M2595=$O$7,$B2595&lt;'111'!$N$11),"x","")</f>
        <v/>
      </c>
      <c r="R2595" s="525" t="str">
        <f>IF(ISERROR(FIND('112'!$M$9,G2595,1)),"",IF((AND(FIND('112'!$M$9,G2595,1)&gt;=1,$B2595&gt;='112'!$N$8,$B2595&lt;='112'!$O$8,OR($L2595='112'!$I$6,$M2595='112'!$I$6))),"x",""))</f>
        <v/>
      </c>
      <c r="S2595" s="525" t="str">
        <f>IF(ISERROR(FIND('112'!$M$9,G2595,1)),"",IF((AND(LEFT(G2595,2)=LEFT('112'!$M$9,2),B2595&lt;'112'!$N$8,$L2595='112'!$I$6)),"x",""))</f>
        <v/>
      </c>
      <c r="T2595" s="525" t="str">
        <f>IF(ISERROR(FIND('112'!$M$9,G2595,1)),"",IF((AND(RIGHT(G2595,2)=RIGHT('112'!$M$9,2),B2595&lt;'112'!$N$8,$M2595='112'!$I$6)),"x",""))</f>
        <v/>
      </c>
      <c r="U2595" s="525" t="str">
        <f>IF(AND(B2595&gt;='IN-NX'!$P$3,B2595&lt;='IN-NX'!$Q$3,'IN-NX'!$D$7=D2595,OR(LEFT(L2595,2)="15",AND(LEFT(M2595,2)&lt;&gt;"15",LEFT(M2595,2)&lt;&gt;"33"))),"x","")</f>
        <v/>
      </c>
      <c r="V2595" s="525" t="str">
        <f>IF(AND(OR(LEFT(TH!L2595,2)="15",LEFT(TH!M2595,2)="15"),'152-CT'!$J$8=TH!F2595),"x","")</f>
        <v/>
      </c>
      <c r="W2595" s="525" t="str">
        <f>IF(AND(OR(LEFT(TH!L2595,2)="15",LEFT(TH!M2595,2)="15"),TK!$E$7=TH!F2595),"x","")</f>
        <v/>
      </c>
      <c r="X2595" s="525" t="str">
        <f>IF(AND('341-CT'!$E$9=H2595,OR(LEFT(L2595,3)=$X$7,LEFT(M2595,3)=$X$7)),"x","")</f>
        <v/>
      </c>
      <c r="Y2595" s="525" t="str">
        <f>IF(OR(TH!L2595=TH!$Y$7,M2595=TH!$Y$7),"x","")</f>
        <v/>
      </c>
      <c r="Z2595" s="525" t="str">
        <f>IF(AND(B2595&lt;=NKC!$N$8,B2595&gt;=NKC!$M$8),"x","")</f>
        <v/>
      </c>
      <c r="AA2595" s="535"/>
      <c r="AB2595" s="536"/>
    </row>
    <row r="2596" spans="1:28" s="503" customFormat="1" ht="15.75" customHeight="1">
      <c r="A2596" s="517" t="str">
        <f>IF(B2596&lt;&gt;"",IF(AND(B2596&gt;=_TM1,B2596&lt;=_TM2,OR(TH!L2596="1111",TH!M2596="1111")),TH!D2596,""),"")</f>
        <v/>
      </c>
      <c r="B2596" s="531">
        <f t="shared" si="227"/>
        <v>5</v>
      </c>
      <c r="C2596" s="315">
        <f t="shared" si="228"/>
        <v>42886</v>
      </c>
      <c r="D2596" s="315" t="s">
        <v>933</v>
      </c>
      <c r="E2596" s="315">
        <v>42886</v>
      </c>
      <c r="F2596" s="250" t="s">
        <v>1172</v>
      </c>
      <c r="G2596" s="314" t="s">
        <v>1141</v>
      </c>
      <c r="H2596" s="473" t="s">
        <v>284</v>
      </c>
      <c r="I2596" s="307">
        <v>4</v>
      </c>
      <c r="J2596" s="307">
        <v>42927</v>
      </c>
      <c r="K2596" s="532">
        <f t="shared" si="229"/>
        <v>171708</v>
      </c>
      <c r="L2596" s="534" t="s">
        <v>223</v>
      </c>
      <c r="M2596" s="534" t="s">
        <v>162</v>
      </c>
      <c r="N2596" s="525" t="str">
        <f>IF(AND('331-CT'!$E$7=TH!H2596,OR(L2596="331",M2596="331")),"331",IF(AND(OR(L2596="131",M2596="131"),H2596='131-CT'!$E$7),"131",""))</f>
        <v/>
      </c>
      <c r="O2596" s="525" t="str">
        <f>IF(AND($B2596&gt;='111'!$N$11,$B2596&lt;='111'!$O$11,OR($L2596=$O$7,$M2596=$O$7)),"x","")</f>
        <v/>
      </c>
      <c r="P2596" s="525" t="str">
        <f>IF(AND($L2596=$O$7,$B2596&lt;'111'!$N$11),"x","")</f>
        <v/>
      </c>
      <c r="Q2596" s="525" t="str">
        <f>IF(AND($M2596=$O$7,$B2596&lt;'111'!$N$11),"x","")</f>
        <v/>
      </c>
      <c r="R2596" s="525" t="str">
        <f>IF(ISERROR(FIND('112'!$M$9,G2596,1)),"",IF((AND(FIND('112'!$M$9,G2596,1)&gt;=1,$B2596&gt;='112'!$N$8,$B2596&lt;='112'!$O$8,OR($L2596='112'!$I$6,$M2596='112'!$I$6))),"x",""))</f>
        <v/>
      </c>
      <c r="S2596" s="525" t="str">
        <f>IF(ISERROR(FIND('112'!$M$9,G2596,1)),"",IF((AND(LEFT(G2596,2)=LEFT('112'!$M$9,2),B2596&lt;'112'!$N$8,$L2596='112'!$I$6)),"x",""))</f>
        <v/>
      </c>
      <c r="T2596" s="525" t="str">
        <f>IF(ISERROR(FIND('112'!$M$9,G2596,1)),"",IF((AND(RIGHT(G2596,2)=RIGHT('112'!$M$9,2),B2596&lt;'112'!$N$8,$M2596='112'!$I$6)),"x",""))</f>
        <v/>
      </c>
      <c r="U2596" s="525" t="str">
        <f>IF(AND(B2596&gt;='IN-NX'!$P$3,B2596&lt;='IN-NX'!$Q$3,'IN-NX'!$D$7=D2596,OR(LEFT(L2596,2)="15",AND(LEFT(M2596,2)&lt;&gt;"15",LEFT(M2596,2)&lt;&gt;"33"))),"x","")</f>
        <v/>
      </c>
      <c r="V2596" s="525" t="str">
        <f>IF(AND(OR(LEFT(TH!L2596,2)="15",LEFT(TH!M2596,2)="15"),'152-CT'!$J$8=TH!F2596),"x","")</f>
        <v/>
      </c>
      <c r="W2596" s="525" t="str">
        <f>IF(AND(OR(LEFT(TH!L2596,2)="15",LEFT(TH!M2596,2)="15"),TK!$E$7=TH!F2596),"x","")</f>
        <v/>
      </c>
      <c r="X2596" s="525" t="str">
        <f>IF(AND('341-CT'!$E$9=H2596,OR(LEFT(L2596,3)=$X$7,LEFT(M2596,3)=$X$7)),"x","")</f>
        <v/>
      </c>
      <c r="Y2596" s="525" t="str">
        <f>IF(OR(TH!L2596=TH!$Y$7,M2596=TH!$Y$7),"x","")</f>
        <v/>
      </c>
      <c r="Z2596" s="525" t="str">
        <f>IF(AND(B2596&lt;=NKC!$N$8,B2596&gt;=NKC!$M$8),"x","")</f>
        <v/>
      </c>
      <c r="AA2596" s="535"/>
      <c r="AB2596" s="536"/>
    </row>
    <row r="2597" spans="1:28" s="503" customFormat="1" ht="15.75" customHeight="1">
      <c r="A2597" s="517" t="str">
        <f>IF(B2597&lt;&gt;"",IF(AND(B2597&gt;=_TM1,B2597&lt;=_TM2,OR(TH!L2597="1111",TH!M2597="1111")),TH!D2597,""),"")</f>
        <v/>
      </c>
      <c r="B2597" s="531">
        <f t="shared" si="227"/>
        <v>5</v>
      </c>
      <c r="C2597" s="315">
        <f t="shared" si="228"/>
        <v>42886</v>
      </c>
      <c r="D2597" s="315" t="s">
        <v>933</v>
      </c>
      <c r="E2597" s="315">
        <v>42886</v>
      </c>
      <c r="F2597" s="250" t="s">
        <v>730</v>
      </c>
      <c r="G2597" s="314" t="s">
        <v>1141</v>
      </c>
      <c r="H2597" s="473" t="s">
        <v>284</v>
      </c>
      <c r="I2597" s="307">
        <v>8</v>
      </c>
      <c r="J2597" s="307">
        <v>37452</v>
      </c>
      <c r="K2597" s="532">
        <f t="shared" si="229"/>
        <v>299616</v>
      </c>
      <c r="L2597" s="534" t="s">
        <v>223</v>
      </c>
      <c r="M2597" s="534" t="s">
        <v>162</v>
      </c>
      <c r="N2597" s="525" t="str">
        <f>IF(AND('331-CT'!$E$7=TH!H2597,OR(L2597="331",M2597="331")),"331",IF(AND(OR(L2597="131",M2597="131"),H2597='131-CT'!$E$7),"131",""))</f>
        <v/>
      </c>
      <c r="O2597" s="525" t="str">
        <f>IF(AND($B2597&gt;='111'!$N$11,$B2597&lt;='111'!$O$11,OR($L2597=$O$7,$M2597=$O$7)),"x","")</f>
        <v/>
      </c>
      <c r="P2597" s="525" t="str">
        <f>IF(AND($L2597=$O$7,$B2597&lt;'111'!$N$11),"x","")</f>
        <v/>
      </c>
      <c r="Q2597" s="525" t="str">
        <f>IF(AND($M2597=$O$7,$B2597&lt;'111'!$N$11),"x","")</f>
        <v/>
      </c>
      <c r="R2597" s="525" t="str">
        <f>IF(ISERROR(FIND('112'!$M$9,G2597,1)),"",IF((AND(FIND('112'!$M$9,G2597,1)&gt;=1,$B2597&gt;='112'!$N$8,$B2597&lt;='112'!$O$8,OR($L2597='112'!$I$6,$M2597='112'!$I$6))),"x",""))</f>
        <v/>
      </c>
      <c r="S2597" s="525" t="str">
        <f>IF(ISERROR(FIND('112'!$M$9,G2597,1)),"",IF((AND(LEFT(G2597,2)=LEFT('112'!$M$9,2),B2597&lt;'112'!$N$8,$L2597='112'!$I$6)),"x",""))</f>
        <v/>
      </c>
      <c r="T2597" s="525" t="str">
        <f>IF(ISERROR(FIND('112'!$M$9,G2597,1)),"",IF((AND(RIGHT(G2597,2)=RIGHT('112'!$M$9,2),B2597&lt;'112'!$N$8,$M2597='112'!$I$6)),"x",""))</f>
        <v/>
      </c>
      <c r="U2597" s="525" t="str">
        <f>IF(AND(B2597&gt;='IN-NX'!$P$3,B2597&lt;='IN-NX'!$Q$3,'IN-NX'!$D$7=D2597,OR(LEFT(L2597,2)="15",AND(LEFT(M2597,2)&lt;&gt;"15",LEFT(M2597,2)&lt;&gt;"33"))),"x","")</f>
        <v/>
      </c>
      <c r="V2597" s="525" t="str">
        <f>IF(AND(OR(LEFT(TH!L2597,2)="15",LEFT(TH!M2597,2)="15"),'152-CT'!$J$8=TH!F2597),"x","")</f>
        <v/>
      </c>
      <c r="W2597" s="525" t="str">
        <f>IF(AND(OR(LEFT(TH!L2597,2)="15",LEFT(TH!M2597,2)="15"),TK!$E$7=TH!F2597),"x","")</f>
        <v/>
      </c>
      <c r="X2597" s="525" t="str">
        <f>IF(AND('341-CT'!$E$9=H2597,OR(LEFT(L2597,3)=$X$7,LEFT(M2597,3)=$X$7)),"x","")</f>
        <v/>
      </c>
      <c r="Y2597" s="525" t="str">
        <f>IF(OR(TH!L2597=TH!$Y$7,M2597=TH!$Y$7),"x","")</f>
        <v/>
      </c>
      <c r="Z2597" s="525" t="str">
        <f>IF(AND(B2597&lt;=NKC!$N$8,B2597&gt;=NKC!$M$8),"x","")</f>
        <v/>
      </c>
      <c r="AA2597" s="535"/>
      <c r="AB2597" s="536"/>
    </row>
    <row r="2598" spans="1:28" s="503" customFormat="1" ht="15.75" customHeight="1">
      <c r="A2598" s="517" t="str">
        <f>IF(B2598&lt;&gt;"",IF(AND(B2598&gt;=_TM1,B2598&lt;=_TM2,OR(TH!L2598="1111",TH!M2598="1111")),TH!D2598,""),"")</f>
        <v/>
      </c>
      <c r="B2598" s="531">
        <f t="shared" si="227"/>
        <v>5</v>
      </c>
      <c r="C2598" s="315">
        <f t="shared" si="228"/>
        <v>42886</v>
      </c>
      <c r="D2598" s="315" t="s">
        <v>933</v>
      </c>
      <c r="E2598" s="315">
        <v>42886</v>
      </c>
      <c r="F2598" s="250" t="s">
        <v>1173</v>
      </c>
      <c r="G2598" s="314" t="s">
        <v>1141</v>
      </c>
      <c r="H2598" s="473" t="s">
        <v>284</v>
      </c>
      <c r="I2598" s="307">
        <v>12</v>
      </c>
      <c r="J2598" s="307">
        <v>56682</v>
      </c>
      <c r="K2598" s="532">
        <f t="shared" si="229"/>
        <v>680184</v>
      </c>
      <c r="L2598" s="534" t="s">
        <v>223</v>
      </c>
      <c r="M2598" s="534" t="s">
        <v>162</v>
      </c>
      <c r="N2598" s="525" t="str">
        <f>IF(AND('331-CT'!$E$7=TH!H2598,OR(L2598="331",M2598="331")),"331",IF(AND(OR(L2598="131",M2598="131"),H2598='131-CT'!$E$7),"131",""))</f>
        <v/>
      </c>
      <c r="O2598" s="525" t="str">
        <f>IF(AND($B2598&gt;='111'!$N$11,$B2598&lt;='111'!$O$11,OR($L2598=$O$7,$M2598=$O$7)),"x","")</f>
        <v/>
      </c>
      <c r="P2598" s="525" t="str">
        <f>IF(AND($L2598=$O$7,$B2598&lt;'111'!$N$11),"x","")</f>
        <v/>
      </c>
      <c r="Q2598" s="525" t="str">
        <f>IF(AND($M2598=$O$7,$B2598&lt;'111'!$N$11),"x","")</f>
        <v/>
      </c>
      <c r="R2598" s="525" t="str">
        <f>IF(ISERROR(FIND('112'!$M$9,G2598,1)),"",IF((AND(FIND('112'!$M$9,G2598,1)&gt;=1,$B2598&gt;='112'!$N$8,$B2598&lt;='112'!$O$8,OR($L2598='112'!$I$6,$M2598='112'!$I$6))),"x",""))</f>
        <v/>
      </c>
      <c r="S2598" s="525" t="str">
        <f>IF(ISERROR(FIND('112'!$M$9,G2598,1)),"",IF((AND(LEFT(G2598,2)=LEFT('112'!$M$9,2),B2598&lt;'112'!$N$8,$L2598='112'!$I$6)),"x",""))</f>
        <v/>
      </c>
      <c r="T2598" s="525" t="str">
        <f>IF(ISERROR(FIND('112'!$M$9,G2598,1)),"",IF((AND(RIGHT(G2598,2)=RIGHT('112'!$M$9,2),B2598&lt;'112'!$N$8,$M2598='112'!$I$6)),"x",""))</f>
        <v/>
      </c>
      <c r="U2598" s="525" t="str">
        <f>IF(AND(B2598&gt;='IN-NX'!$P$3,B2598&lt;='IN-NX'!$Q$3,'IN-NX'!$D$7=D2598,OR(LEFT(L2598,2)="15",AND(LEFT(M2598,2)&lt;&gt;"15",LEFT(M2598,2)&lt;&gt;"33"))),"x","")</f>
        <v/>
      </c>
      <c r="V2598" s="525" t="str">
        <f>IF(AND(OR(LEFT(TH!L2598,2)="15",LEFT(TH!M2598,2)="15"),'152-CT'!$J$8=TH!F2598),"x","")</f>
        <v/>
      </c>
      <c r="W2598" s="525" t="str">
        <f>IF(AND(OR(LEFT(TH!L2598,2)="15",LEFT(TH!M2598,2)="15"),TK!$E$7=TH!F2598),"x","")</f>
        <v/>
      </c>
      <c r="X2598" s="525" t="str">
        <f>IF(AND('341-CT'!$E$9=H2598,OR(LEFT(L2598,3)=$X$7,LEFT(M2598,3)=$X$7)),"x","")</f>
        <v/>
      </c>
      <c r="Y2598" s="525" t="str">
        <f>IF(OR(TH!L2598=TH!$Y$7,M2598=TH!$Y$7),"x","")</f>
        <v/>
      </c>
      <c r="Z2598" s="525" t="str">
        <f>IF(AND(B2598&lt;=NKC!$N$8,B2598&gt;=NKC!$M$8),"x","")</f>
        <v/>
      </c>
      <c r="AA2598" s="535"/>
      <c r="AB2598" s="536"/>
    </row>
    <row r="2599" spans="1:28" s="503" customFormat="1" ht="15.75" customHeight="1">
      <c r="A2599" s="517" t="str">
        <f>IF(B2599&lt;&gt;"",IF(AND(B2599&gt;=_TM1,B2599&lt;=_TM2,OR(TH!L2599="1111",TH!M2599="1111")),TH!D2599,""),"")</f>
        <v/>
      </c>
      <c r="B2599" s="531">
        <f t="shared" si="227"/>
        <v>5</v>
      </c>
      <c r="C2599" s="315">
        <f t="shared" si="228"/>
        <v>42886</v>
      </c>
      <c r="D2599" s="315" t="s">
        <v>933</v>
      </c>
      <c r="E2599" s="315">
        <v>42886</v>
      </c>
      <c r="F2599" s="250" t="s">
        <v>663</v>
      </c>
      <c r="G2599" s="314" t="s">
        <v>1141</v>
      </c>
      <c r="H2599" s="473" t="s">
        <v>284</v>
      </c>
      <c r="I2599" s="307">
        <v>74</v>
      </c>
      <c r="J2599" s="307">
        <v>43140</v>
      </c>
      <c r="K2599" s="532">
        <f t="shared" si="229"/>
        <v>3192360</v>
      </c>
      <c r="L2599" s="534" t="s">
        <v>223</v>
      </c>
      <c r="M2599" s="534" t="s">
        <v>162</v>
      </c>
      <c r="N2599" s="525" t="str">
        <f>IF(AND('331-CT'!$E$7=TH!H2599,OR(L2599="331",M2599="331")),"331",IF(AND(OR(L2599="131",M2599="131"),H2599='131-CT'!$E$7),"131",""))</f>
        <v/>
      </c>
      <c r="O2599" s="525" t="str">
        <f>IF(AND($B2599&gt;='111'!$N$11,$B2599&lt;='111'!$O$11,OR($L2599=$O$7,$M2599=$O$7)),"x","")</f>
        <v/>
      </c>
      <c r="P2599" s="525" t="str">
        <f>IF(AND($L2599=$O$7,$B2599&lt;'111'!$N$11),"x","")</f>
        <v/>
      </c>
      <c r="Q2599" s="525" t="str">
        <f>IF(AND($M2599=$O$7,$B2599&lt;'111'!$N$11),"x","")</f>
        <v/>
      </c>
      <c r="R2599" s="525" t="str">
        <f>IF(ISERROR(FIND('112'!$M$9,G2599,1)),"",IF((AND(FIND('112'!$M$9,G2599,1)&gt;=1,$B2599&gt;='112'!$N$8,$B2599&lt;='112'!$O$8,OR($L2599='112'!$I$6,$M2599='112'!$I$6))),"x",""))</f>
        <v/>
      </c>
      <c r="S2599" s="525" t="str">
        <f>IF(ISERROR(FIND('112'!$M$9,G2599,1)),"",IF((AND(LEFT(G2599,2)=LEFT('112'!$M$9,2),B2599&lt;'112'!$N$8,$L2599='112'!$I$6)),"x",""))</f>
        <v/>
      </c>
      <c r="T2599" s="525" t="str">
        <f>IF(ISERROR(FIND('112'!$M$9,G2599,1)),"",IF((AND(RIGHT(G2599,2)=RIGHT('112'!$M$9,2),B2599&lt;'112'!$N$8,$M2599='112'!$I$6)),"x",""))</f>
        <v/>
      </c>
      <c r="U2599" s="525" t="str">
        <f>IF(AND(B2599&gt;='IN-NX'!$P$3,B2599&lt;='IN-NX'!$Q$3,'IN-NX'!$D$7=D2599,OR(LEFT(L2599,2)="15",AND(LEFT(M2599,2)&lt;&gt;"15",LEFT(M2599,2)&lt;&gt;"33"))),"x","")</f>
        <v/>
      </c>
      <c r="V2599" s="525" t="str">
        <f>IF(AND(OR(LEFT(TH!L2599,2)="15",LEFT(TH!M2599,2)="15"),'152-CT'!$J$8=TH!F2599),"x","")</f>
        <v/>
      </c>
      <c r="W2599" s="525" t="str">
        <f>IF(AND(OR(LEFT(TH!L2599,2)="15",LEFT(TH!M2599,2)="15"),TK!$E$7=TH!F2599),"x","")</f>
        <v/>
      </c>
      <c r="X2599" s="525" t="str">
        <f>IF(AND('341-CT'!$E$9=H2599,OR(LEFT(L2599,3)=$X$7,LEFT(M2599,3)=$X$7)),"x","")</f>
        <v/>
      </c>
      <c r="Y2599" s="525" t="str">
        <f>IF(OR(TH!L2599=TH!$Y$7,M2599=TH!$Y$7),"x","")</f>
        <v/>
      </c>
      <c r="Z2599" s="525" t="str">
        <f>IF(AND(B2599&lt;=NKC!$N$8,B2599&gt;=NKC!$M$8),"x","")</f>
        <v/>
      </c>
      <c r="AA2599" s="535"/>
      <c r="AB2599" s="536"/>
    </row>
    <row r="2600" spans="1:28" s="503" customFormat="1" ht="15.75" customHeight="1">
      <c r="A2600" s="517" t="str">
        <f>IF(B2600&lt;&gt;"",IF(AND(B2600&gt;=_TM1,B2600&lt;=_TM2,OR(TH!L2600="1111",TH!M2600="1111")),TH!D2600,""),"")</f>
        <v/>
      </c>
      <c r="B2600" s="531">
        <f t="shared" si="227"/>
        <v>5</v>
      </c>
      <c r="C2600" s="315">
        <f t="shared" si="228"/>
        <v>42886</v>
      </c>
      <c r="D2600" s="315" t="s">
        <v>933</v>
      </c>
      <c r="E2600" s="315">
        <v>42886</v>
      </c>
      <c r="F2600" s="250" t="s">
        <v>756</v>
      </c>
      <c r="G2600" s="314" t="s">
        <v>1141</v>
      </c>
      <c r="H2600" s="473" t="s">
        <v>284</v>
      </c>
      <c r="I2600" s="307">
        <v>36</v>
      </c>
      <c r="J2600" s="307">
        <v>40945</v>
      </c>
      <c r="K2600" s="532">
        <f t="shared" si="229"/>
        <v>1474020</v>
      </c>
      <c r="L2600" s="534" t="s">
        <v>223</v>
      </c>
      <c r="M2600" s="534" t="s">
        <v>162</v>
      </c>
      <c r="N2600" s="525" t="str">
        <f>IF(AND('331-CT'!$E$7=TH!H2600,OR(L2600="331",M2600="331")),"331",IF(AND(OR(L2600="131",M2600="131"),H2600='131-CT'!$E$7),"131",""))</f>
        <v/>
      </c>
      <c r="O2600" s="525" t="str">
        <f>IF(AND($B2600&gt;='111'!$N$11,$B2600&lt;='111'!$O$11,OR($L2600=$O$7,$M2600=$O$7)),"x","")</f>
        <v/>
      </c>
      <c r="P2600" s="525" t="str">
        <f>IF(AND($L2600=$O$7,$B2600&lt;'111'!$N$11),"x","")</f>
        <v/>
      </c>
      <c r="Q2600" s="525" t="str">
        <f>IF(AND($M2600=$O$7,$B2600&lt;'111'!$N$11),"x","")</f>
        <v/>
      </c>
      <c r="R2600" s="525" t="str">
        <f>IF(ISERROR(FIND('112'!$M$9,G2600,1)),"",IF((AND(FIND('112'!$M$9,G2600,1)&gt;=1,$B2600&gt;='112'!$N$8,$B2600&lt;='112'!$O$8,OR($L2600='112'!$I$6,$M2600='112'!$I$6))),"x",""))</f>
        <v/>
      </c>
      <c r="S2600" s="525" t="str">
        <f>IF(ISERROR(FIND('112'!$M$9,G2600,1)),"",IF((AND(LEFT(G2600,2)=LEFT('112'!$M$9,2),B2600&lt;'112'!$N$8,$L2600='112'!$I$6)),"x",""))</f>
        <v/>
      </c>
      <c r="T2600" s="525" t="str">
        <f>IF(ISERROR(FIND('112'!$M$9,G2600,1)),"",IF((AND(RIGHT(G2600,2)=RIGHT('112'!$M$9,2),B2600&lt;'112'!$N$8,$M2600='112'!$I$6)),"x",""))</f>
        <v/>
      </c>
      <c r="U2600" s="525" t="str">
        <f>IF(AND(B2600&gt;='IN-NX'!$P$3,B2600&lt;='IN-NX'!$Q$3,'IN-NX'!$D$7=D2600,OR(LEFT(L2600,2)="15",AND(LEFT(M2600,2)&lt;&gt;"15",LEFT(M2600,2)&lt;&gt;"33"))),"x","")</f>
        <v/>
      </c>
      <c r="V2600" s="525" t="str">
        <f>IF(AND(OR(LEFT(TH!L2600,2)="15",LEFT(TH!M2600,2)="15"),'152-CT'!$J$8=TH!F2600),"x","")</f>
        <v/>
      </c>
      <c r="W2600" s="525" t="str">
        <f>IF(AND(OR(LEFT(TH!L2600,2)="15",LEFT(TH!M2600,2)="15"),TK!$E$7=TH!F2600),"x","")</f>
        <v/>
      </c>
      <c r="X2600" s="525" t="str">
        <f>IF(AND('341-CT'!$E$9=H2600,OR(LEFT(L2600,3)=$X$7,LEFT(M2600,3)=$X$7)),"x","")</f>
        <v/>
      </c>
      <c r="Y2600" s="525" t="str">
        <f>IF(OR(TH!L2600=TH!$Y$7,M2600=TH!$Y$7),"x","")</f>
        <v/>
      </c>
      <c r="Z2600" s="525" t="str">
        <f>IF(AND(B2600&lt;=NKC!$N$8,B2600&gt;=NKC!$M$8),"x","")</f>
        <v/>
      </c>
      <c r="AA2600" s="535"/>
      <c r="AB2600" s="536"/>
    </row>
    <row r="2601" spans="1:28" s="503" customFormat="1" ht="15.75" customHeight="1">
      <c r="A2601" s="517" t="str">
        <f>IF(B2601&lt;&gt;"",IF(AND(B2601&gt;=_TM1,B2601&lt;=_TM2,OR(TH!L2601="1111",TH!M2601="1111")),TH!D2601,""),"")</f>
        <v/>
      </c>
      <c r="B2601" s="531">
        <f t="shared" si="227"/>
        <v>5</v>
      </c>
      <c r="C2601" s="315">
        <f t="shared" si="228"/>
        <v>42886</v>
      </c>
      <c r="D2601" s="315" t="s">
        <v>933</v>
      </c>
      <c r="E2601" s="315">
        <v>42886</v>
      </c>
      <c r="F2601" s="250" t="s">
        <v>627</v>
      </c>
      <c r="G2601" s="314" t="s">
        <v>1141</v>
      </c>
      <c r="H2601" s="473" t="s">
        <v>284</v>
      </c>
      <c r="I2601" s="307">
        <v>106</v>
      </c>
      <c r="J2601" s="307">
        <v>51881</v>
      </c>
      <c r="K2601" s="532">
        <f t="shared" si="229"/>
        <v>5499386</v>
      </c>
      <c r="L2601" s="534" t="s">
        <v>223</v>
      </c>
      <c r="M2601" s="534" t="s">
        <v>162</v>
      </c>
      <c r="N2601" s="525" t="str">
        <f>IF(AND('331-CT'!$E$7=TH!H2601,OR(L2601="331",M2601="331")),"331",IF(AND(OR(L2601="131",M2601="131"),H2601='131-CT'!$E$7),"131",""))</f>
        <v/>
      </c>
      <c r="O2601" s="525" t="str">
        <f>IF(AND($B2601&gt;='111'!$N$11,$B2601&lt;='111'!$O$11,OR($L2601=$O$7,$M2601=$O$7)),"x","")</f>
        <v/>
      </c>
      <c r="P2601" s="525" t="str">
        <f>IF(AND($L2601=$O$7,$B2601&lt;'111'!$N$11),"x","")</f>
        <v/>
      </c>
      <c r="Q2601" s="525" t="str">
        <f>IF(AND($M2601=$O$7,$B2601&lt;'111'!$N$11),"x","")</f>
        <v/>
      </c>
      <c r="R2601" s="525" t="str">
        <f>IF(ISERROR(FIND('112'!$M$9,G2601,1)),"",IF((AND(FIND('112'!$M$9,G2601,1)&gt;=1,$B2601&gt;='112'!$N$8,$B2601&lt;='112'!$O$8,OR($L2601='112'!$I$6,$M2601='112'!$I$6))),"x",""))</f>
        <v/>
      </c>
      <c r="S2601" s="525" t="str">
        <f>IF(ISERROR(FIND('112'!$M$9,G2601,1)),"",IF((AND(LEFT(G2601,2)=LEFT('112'!$M$9,2),B2601&lt;'112'!$N$8,$L2601='112'!$I$6)),"x",""))</f>
        <v/>
      </c>
      <c r="T2601" s="525" t="str">
        <f>IF(ISERROR(FIND('112'!$M$9,G2601,1)),"",IF((AND(RIGHT(G2601,2)=RIGHT('112'!$M$9,2),B2601&lt;'112'!$N$8,$M2601='112'!$I$6)),"x",""))</f>
        <v/>
      </c>
      <c r="U2601" s="525" t="str">
        <f>IF(AND(B2601&gt;='IN-NX'!$P$3,B2601&lt;='IN-NX'!$Q$3,'IN-NX'!$D$7=D2601,OR(LEFT(L2601,2)="15",AND(LEFT(M2601,2)&lt;&gt;"15",LEFT(M2601,2)&lt;&gt;"33"))),"x","")</f>
        <v/>
      </c>
      <c r="V2601" s="525" t="str">
        <f>IF(AND(OR(LEFT(TH!L2601,2)="15",LEFT(TH!M2601,2)="15"),'152-CT'!$J$8=TH!F2601),"x","")</f>
        <v/>
      </c>
      <c r="W2601" s="525" t="str">
        <f>IF(AND(OR(LEFT(TH!L2601,2)="15",LEFT(TH!M2601,2)="15"),TK!$E$7=TH!F2601),"x","")</f>
        <v/>
      </c>
      <c r="X2601" s="525" t="str">
        <f>IF(AND('341-CT'!$E$9=H2601,OR(LEFT(L2601,3)=$X$7,LEFT(M2601,3)=$X$7)),"x","")</f>
        <v/>
      </c>
      <c r="Y2601" s="525" t="str">
        <f>IF(OR(TH!L2601=TH!$Y$7,M2601=TH!$Y$7),"x","")</f>
        <v/>
      </c>
      <c r="Z2601" s="525" t="str">
        <f>IF(AND(B2601&lt;=NKC!$N$8,B2601&gt;=NKC!$M$8),"x","")</f>
        <v/>
      </c>
      <c r="AA2601" s="535"/>
      <c r="AB2601" s="536"/>
    </row>
    <row r="2602" spans="1:28" s="503" customFormat="1" ht="15.75" customHeight="1">
      <c r="A2602" s="517" t="str">
        <f>IF(B2602&lt;&gt;"",IF(AND(B2602&gt;=_TM1,B2602&lt;=_TM2,OR(TH!L2602="1111",TH!M2602="1111")),TH!D2602,""),"")</f>
        <v/>
      </c>
      <c r="B2602" s="531">
        <f t="shared" si="227"/>
        <v>5</v>
      </c>
      <c r="C2602" s="315">
        <f t="shared" si="228"/>
        <v>42886</v>
      </c>
      <c r="D2602" s="315" t="s">
        <v>933</v>
      </c>
      <c r="E2602" s="315">
        <v>42886</v>
      </c>
      <c r="F2602" s="249" t="s">
        <v>714</v>
      </c>
      <c r="G2602" s="314" t="s">
        <v>1141</v>
      </c>
      <c r="H2602" s="473" t="s">
        <v>284</v>
      </c>
      <c r="I2602" s="307">
        <v>30</v>
      </c>
      <c r="J2602" s="307">
        <v>48638</v>
      </c>
      <c r="K2602" s="532">
        <f t="shared" si="229"/>
        <v>1459140</v>
      </c>
      <c r="L2602" s="534" t="s">
        <v>223</v>
      </c>
      <c r="M2602" s="534" t="s">
        <v>162</v>
      </c>
      <c r="N2602" s="525" t="str">
        <f>IF(AND('331-CT'!$E$7=TH!H2602,OR(L2602="331",M2602="331")),"331",IF(AND(OR(L2602="131",M2602="131"),H2602='131-CT'!$E$7),"131",""))</f>
        <v/>
      </c>
      <c r="O2602" s="525" t="str">
        <f>IF(AND($B2602&gt;='111'!$N$11,$B2602&lt;='111'!$O$11,OR($L2602=$O$7,$M2602=$O$7)),"x","")</f>
        <v/>
      </c>
      <c r="P2602" s="525" t="str">
        <f>IF(AND($L2602=$O$7,$B2602&lt;'111'!$N$11),"x","")</f>
        <v/>
      </c>
      <c r="Q2602" s="525" t="str">
        <f>IF(AND($M2602=$O$7,$B2602&lt;'111'!$N$11),"x","")</f>
        <v/>
      </c>
      <c r="R2602" s="525" t="str">
        <f>IF(ISERROR(FIND('112'!$M$9,G2602,1)),"",IF((AND(FIND('112'!$M$9,G2602,1)&gt;=1,$B2602&gt;='112'!$N$8,$B2602&lt;='112'!$O$8,OR($L2602='112'!$I$6,$M2602='112'!$I$6))),"x",""))</f>
        <v/>
      </c>
      <c r="S2602" s="525" t="str">
        <f>IF(ISERROR(FIND('112'!$M$9,G2602,1)),"",IF((AND(LEFT(G2602,2)=LEFT('112'!$M$9,2),B2602&lt;'112'!$N$8,$L2602='112'!$I$6)),"x",""))</f>
        <v/>
      </c>
      <c r="T2602" s="525" t="str">
        <f>IF(ISERROR(FIND('112'!$M$9,G2602,1)),"",IF((AND(RIGHT(G2602,2)=RIGHT('112'!$M$9,2),B2602&lt;'112'!$N$8,$M2602='112'!$I$6)),"x",""))</f>
        <v/>
      </c>
      <c r="U2602" s="525" t="str">
        <f>IF(AND(B2602&gt;='IN-NX'!$P$3,B2602&lt;='IN-NX'!$Q$3,'IN-NX'!$D$7=D2602,OR(LEFT(L2602,2)="15",AND(LEFT(M2602,2)&lt;&gt;"15",LEFT(M2602,2)&lt;&gt;"33"))),"x","")</f>
        <v/>
      </c>
      <c r="V2602" s="525" t="str">
        <f>IF(AND(OR(LEFT(TH!L2602,2)="15",LEFT(TH!M2602,2)="15"),'152-CT'!$J$8=TH!F2602),"x","")</f>
        <v/>
      </c>
      <c r="W2602" s="525" t="str">
        <f>IF(AND(OR(LEFT(TH!L2602,2)="15",LEFT(TH!M2602,2)="15"),TK!$E$7=TH!F2602),"x","")</f>
        <v/>
      </c>
      <c r="X2602" s="525" t="str">
        <f>IF(AND('341-CT'!$E$9=H2602,OR(LEFT(L2602,3)=$X$7,LEFT(M2602,3)=$X$7)),"x","")</f>
        <v/>
      </c>
      <c r="Y2602" s="525" t="str">
        <f>IF(OR(TH!L2602=TH!$Y$7,M2602=TH!$Y$7),"x","")</f>
        <v/>
      </c>
      <c r="Z2602" s="525" t="str">
        <f>IF(AND(B2602&lt;=NKC!$N$8,B2602&gt;=NKC!$M$8),"x","")</f>
        <v/>
      </c>
      <c r="AA2602" s="535"/>
      <c r="AB2602" s="536"/>
    </row>
    <row r="2603" spans="1:28" s="503" customFormat="1" ht="15.75" customHeight="1">
      <c r="A2603" s="517" t="str">
        <f>IF(B2603&lt;&gt;"",IF(AND(B2603&gt;=_TM1,B2603&lt;=_TM2,OR(TH!L2603="1111",TH!M2603="1111")),TH!D2603,""),"")</f>
        <v/>
      </c>
      <c r="B2603" s="531">
        <f t="shared" si="227"/>
        <v>5</v>
      </c>
      <c r="C2603" s="315">
        <f t="shared" si="228"/>
        <v>42886</v>
      </c>
      <c r="D2603" s="315" t="s">
        <v>933</v>
      </c>
      <c r="E2603" s="315">
        <v>42886</v>
      </c>
      <c r="F2603" s="250" t="s">
        <v>754</v>
      </c>
      <c r="G2603" s="314" t="s">
        <v>1141</v>
      </c>
      <c r="H2603" s="473" t="s">
        <v>284</v>
      </c>
      <c r="I2603" s="307">
        <v>40</v>
      </c>
      <c r="J2603" s="307">
        <v>63622</v>
      </c>
      <c r="K2603" s="532">
        <f t="shared" si="229"/>
        <v>2544880</v>
      </c>
      <c r="L2603" s="534" t="s">
        <v>223</v>
      </c>
      <c r="M2603" s="534" t="s">
        <v>162</v>
      </c>
      <c r="N2603" s="525" t="str">
        <f>IF(AND('331-CT'!$E$7=TH!H2603,OR(L2603="331",M2603="331")),"331",IF(AND(OR(L2603="131",M2603="131"),H2603='131-CT'!$E$7),"131",""))</f>
        <v/>
      </c>
      <c r="O2603" s="525" t="str">
        <f>IF(AND($B2603&gt;='111'!$N$11,$B2603&lt;='111'!$O$11,OR($L2603=$O$7,$M2603=$O$7)),"x","")</f>
        <v/>
      </c>
      <c r="P2603" s="525" t="str">
        <f>IF(AND($L2603=$O$7,$B2603&lt;'111'!$N$11),"x","")</f>
        <v/>
      </c>
      <c r="Q2603" s="525" t="str">
        <f>IF(AND($M2603=$O$7,$B2603&lt;'111'!$N$11),"x","")</f>
        <v/>
      </c>
      <c r="R2603" s="525" t="str">
        <f>IF(ISERROR(FIND('112'!$M$9,G2603,1)),"",IF((AND(FIND('112'!$M$9,G2603,1)&gt;=1,$B2603&gt;='112'!$N$8,$B2603&lt;='112'!$O$8,OR($L2603='112'!$I$6,$M2603='112'!$I$6))),"x",""))</f>
        <v/>
      </c>
      <c r="S2603" s="525" t="str">
        <f>IF(ISERROR(FIND('112'!$M$9,G2603,1)),"",IF((AND(LEFT(G2603,2)=LEFT('112'!$M$9,2),B2603&lt;'112'!$N$8,$L2603='112'!$I$6)),"x",""))</f>
        <v/>
      </c>
      <c r="T2603" s="525" t="str">
        <f>IF(ISERROR(FIND('112'!$M$9,G2603,1)),"",IF((AND(RIGHT(G2603,2)=RIGHT('112'!$M$9,2),B2603&lt;'112'!$N$8,$M2603='112'!$I$6)),"x",""))</f>
        <v/>
      </c>
      <c r="U2603" s="525" t="str">
        <f>IF(AND(B2603&gt;='IN-NX'!$P$3,B2603&lt;='IN-NX'!$Q$3,'IN-NX'!$D$7=D2603,OR(LEFT(L2603,2)="15",AND(LEFT(M2603,2)&lt;&gt;"15",LEFT(M2603,2)&lt;&gt;"33"))),"x","")</f>
        <v/>
      </c>
      <c r="V2603" s="525" t="str">
        <f>IF(AND(OR(LEFT(TH!L2603,2)="15",LEFT(TH!M2603,2)="15"),'152-CT'!$J$8=TH!F2603),"x","")</f>
        <v/>
      </c>
      <c r="W2603" s="525" t="str">
        <f>IF(AND(OR(LEFT(TH!L2603,2)="15",LEFT(TH!M2603,2)="15"),TK!$E$7=TH!F2603),"x","")</f>
        <v/>
      </c>
      <c r="X2603" s="525" t="str">
        <f>IF(AND('341-CT'!$E$9=H2603,OR(LEFT(L2603,3)=$X$7,LEFT(M2603,3)=$X$7)),"x","")</f>
        <v/>
      </c>
      <c r="Y2603" s="525" t="str">
        <f>IF(OR(TH!L2603=TH!$Y$7,M2603=TH!$Y$7),"x","")</f>
        <v/>
      </c>
      <c r="Z2603" s="525" t="str">
        <f>IF(AND(B2603&lt;=NKC!$N$8,B2603&gt;=NKC!$M$8),"x","")</f>
        <v/>
      </c>
      <c r="AA2603" s="535"/>
      <c r="AB2603" s="536"/>
    </row>
    <row r="2604" spans="1:28" s="503" customFormat="1" ht="15.75" customHeight="1">
      <c r="A2604" s="517" t="str">
        <f>IF(B2604&lt;&gt;"",IF(AND(B2604&gt;=_TM1,B2604&lt;=_TM2,OR(TH!L2604="1111",TH!M2604="1111")),TH!D2604,""),"")</f>
        <v/>
      </c>
      <c r="B2604" s="531">
        <f t="shared" si="227"/>
        <v>5</v>
      </c>
      <c r="C2604" s="315">
        <f t="shared" si="228"/>
        <v>42886</v>
      </c>
      <c r="D2604" s="315" t="s">
        <v>933</v>
      </c>
      <c r="E2604" s="315">
        <v>42886</v>
      </c>
      <c r="F2604" s="250" t="s">
        <v>1174</v>
      </c>
      <c r="G2604" s="314" t="s">
        <v>1141</v>
      </c>
      <c r="H2604" s="473" t="s">
        <v>284</v>
      </c>
      <c r="I2604" s="307">
        <v>40</v>
      </c>
      <c r="J2604" s="307">
        <v>63683</v>
      </c>
      <c r="K2604" s="532">
        <f t="shared" si="229"/>
        <v>2547320</v>
      </c>
      <c r="L2604" s="534" t="s">
        <v>223</v>
      </c>
      <c r="M2604" s="534" t="s">
        <v>162</v>
      </c>
      <c r="N2604" s="525" t="str">
        <f>IF(AND('331-CT'!$E$7=TH!H2604,OR(L2604="331",M2604="331")),"331",IF(AND(OR(L2604="131",M2604="131"),H2604='131-CT'!$E$7),"131",""))</f>
        <v/>
      </c>
      <c r="O2604" s="525" t="str">
        <f>IF(AND($B2604&gt;='111'!$N$11,$B2604&lt;='111'!$O$11,OR($L2604=$O$7,$M2604=$O$7)),"x","")</f>
        <v/>
      </c>
      <c r="P2604" s="525" t="str">
        <f>IF(AND($L2604=$O$7,$B2604&lt;'111'!$N$11),"x","")</f>
        <v/>
      </c>
      <c r="Q2604" s="525" t="str">
        <f>IF(AND($M2604=$O$7,$B2604&lt;'111'!$N$11),"x","")</f>
        <v/>
      </c>
      <c r="R2604" s="525" t="str">
        <f>IF(ISERROR(FIND('112'!$M$9,G2604,1)),"",IF((AND(FIND('112'!$M$9,G2604,1)&gt;=1,$B2604&gt;='112'!$N$8,$B2604&lt;='112'!$O$8,OR($L2604='112'!$I$6,$M2604='112'!$I$6))),"x",""))</f>
        <v/>
      </c>
      <c r="S2604" s="525" t="str">
        <f>IF(ISERROR(FIND('112'!$M$9,G2604,1)),"",IF((AND(LEFT(G2604,2)=LEFT('112'!$M$9,2),B2604&lt;'112'!$N$8,$L2604='112'!$I$6)),"x",""))</f>
        <v/>
      </c>
      <c r="T2604" s="525" t="str">
        <f>IF(ISERROR(FIND('112'!$M$9,G2604,1)),"",IF((AND(RIGHT(G2604,2)=RIGHT('112'!$M$9,2),B2604&lt;'112'!$N$8,$M2604='112'!$I$6)),"x",""))</f>
        <v/>
      </c>
      <c r="U2604" s="525" t="str">
        <f>IF(AND(B2604&gt;='IN-NX'!$P$3,B2604&lt;='IN-NX'!$Q$3,'IN-NX'!$D$7=D2604,OR(LEFT(L2604,2)="15",AND(LEFT(M2604,2)&lt;&gt;"15",LEFT(M2604,2)&lt;&gt;"33"))),"x","")</f>
        <v/>
      </c>
      <c r="V2604" s="525" t="str">
        <f>IF(AND(OR(LEFT(TH!L2604,2)="15",LEFT(TH!M2604,2)="15"),'152-CT'!$J$8=TH!F2604),"x","")</f>
        <v/>
      </c>
      <c r="W2604" s="525" t="str">
        <f>IF(AND(OR(LEFT(TH!L2604,2)="15",LEFT(TH!M2604,2)="15"),TK!$E$7=TH!F2604),"x","")</f>
        <v/>
      </c>
      <c r="X2604" s="525" t="str">
        <f>IF(AND('341-CT'!$E$9=H2604,OR(LEFT(L2604,3)=$X$7,LEFT(M2604,3)=$X$7)),"x","")</f>
        <v/>
      </c>
      <c r="Y2604" s="525" t="str">
        <f>IF(OR(TH!L2604=TH!$Y$7,M2604=TH!$Y$7),"x","")</f>
        <v/>
      </c>
      <c r="Z2604" s="525" t="str">
        <f>IF(AND(B2604&lt;=NKC!$N$8,B2604&gt;=NKC!$M$8),"x","")</f>
        <v/>
      </c>
      <c r="AA2604" s="535"/>
      <c r="AB2604" s="536"/>
    </row>
    <row r="2605" spans="1:28" s="503" customFormat="1" ht="15.75" customHeight="1">
      <c r="A2605" s="517" t="str">
        <f>IF(B2605&lt;&gt;"",IF(AND(B2605&gt;=_TM1,B2605&lt;=_TM2,OR(TH!L2605="1111",TH!M2605="1111")),TH!D2605,""),"")</f>
        <v/>
      </c>
      <c r="B2605" s="531">
        <f t="shared" si="227"/>
        <v>5</v>
      </c>
      <c r="C2605" s="315">
        <f t="shared" si="228"/>
        <v>42886</v>
      </c>
      <c r="D2605" s="315" t="s">
        <v>933</v>
      </c>
      <c r="E2605" s="315">
        <v>42886</v>
      </c>
      <c r="F2605" s="250" t="s">
        <v>1018</v>
      </c>
      <c r="G2605" s="314" t="s">
        <v>1141</v>
      </c>
      <c r="H2605" s="473" t="s">
        <v>284</v>
      </c>
      <c r="I2605" s="307">
        <v>40</v>
      </c>
      <c r="J2605" s="307">
        <v>55617</v>
      </c>
      <c r="K2605" s="532">
        <f t="shared" si="229"/>
        <v>2224680</v>
      </c>
      <c r="L2605" s="534" t="s">
        <v>223</v>
      </c>
      <c r="M2605" s="534" t="s">
        <v>162</v>
      </c>
      <c r="N2605" s="525" t="str">
        <f>IF(AND('331-CT'!$E$7=TH!H2605,OR(L2605="331",M2605="331")),"331",IF(AND(OR(L2605="131",M2605="131"),H2605='131-CT'!$E$7),"131",""))</f>
        <v/>
      </c>
      <c r="O2605" s="525" t="str">
        <f>IF(AND($B2605&gt;='111'!$N$11,$B2605&lt;='111'!$O$11,OR($L2605=$O$7,$M2605=$O$7)),"x","")</f>
        <v/>
      </c>
      <c r="P2605" s="525" t="str">
        <f>IF(AND($L2605=$O$7,$B2605&lt;'111'!$N$11),"x","")</f>
        <v/>
      </c>
      <c r="Q2605" s="525" t="str">
        <f>IF(AND($M2605=$O$7,$B2605&lt;'111'!$N$11),"x","")</f>
        <v/>
      </c>
      <c r="R2605" s="525" t="str">
        <f>IF(ISERROR(FIND('112'!$M$9,G2605,1)),"",IF((AND(FIND('112'!$M$9,G2605,1)&gt;=1,$B2605&gt;='112'!$N$8,$B2605&lt;='112'!$O$8,OR($L2605='112'!$I$6,$M2605='112'!$I$6))),"x",""))</f>
        <v/>
      </c>
      <c r="S2605" s="525" t="str">
        <f>IF(ISERROR(FIND('112'!$M$9,G2605,1)),"",IF((AND(LEFT(G2605,2)=LEFT('112'!$M$9,2),B2605&lt;'112'!$N$8,$L2605='112'!$I$6)),"x",""))</f>
        <v/>
      </c>
      <c r="T2605" s="525" t="str">
        <f>IF(ISERROR(FIND('112'!$M$9,G2605,1)),"",IF((AND(RIGHT(G2605,2)=RIGHT('112'!$M$9,2),B2605&lt;'112'!$N$8,$M2605='112'!$I$6)),"x",""))</f>
        <v/>
      </c>
      <c r="U2605" s="525" t="str">
        <f>IF(AND(B2605&gt;='IN-NX'!$P$3,B2605&lt;='IN-NX'!$Q$3,'IN-NX'!$D$7=D2605,OR(LEFT(L2605,2)="15",AND(LEFT(M2605,2)&lt;&gt;"15",LEFT(M2605,2)&lt;&gt;"33"))),"x","")</f>
        <v/>
      </c>
      <c r="V2605" s="525" t="str">
        <f>IF(AND(OR(LEFT(TH!L2605,2)="15",LEFT(TH!M2605,2)="15"),'152-CT'!$J$8=TH!F2605),"x","")</f>
        <v/>
      </c>
      <c r="W2605" s="525" t="str">
        <f>IF(AND(OR(LEFT(TH!L2605,2)="15",LEFT(TH!M2605,2)="15"),TK!$E$7=TH!F2605),"x","")</f>
        <v/>
      </c>
      <c r="X2605" s="525" t="str">
        <f>IF(AND('341-CT'!$E$9=H2605,OR(LEFT(L2605,3)=$X$7,LEFT(M2605,3)=$X$7)),"x","")</f>
        <v/>
      </c>
      <c r="Y2605" s="525" t="str">
        <f>IF(OR(TH!L2605=TH!$Y$7,M2605=TH!$Y$7),"x","")</f>
        <v/>
      </c>
      <c r="Z2605" s="525" t="str">
        <f>IF(AND(B2605&lt;=NKC!$N$8,B2605&gt;=NKC!$M$8),"x","")</f>
        <v/>
      </c>
      <c r="AA2605" s="535"/>
      <c r="AB2605" s="536"/>
    </row>
    <row r="2606" spans="1:28" s="503" customFormat="1" ht="15.75" customHeight="1">
      <c r="A2606" s="517" t="str">
        <f>IF(B2606&lt;&gt;"",IF(AND(B2606&gt;=_TM1,B2606&lt;=_TM2,OR(TH!L2606="1111",TH!M2606="1111")),TH!D2606,""),"")</f>
        <v/>
      </c>
      <c r="B2606" s="531">
        <f t="shared" si="227"/>
        <v>5</v>
      </c>
      <c r="C2606" s="315">
        <f t="shared" si="228"/>
        <v>42886</v>
      </c>
      <c r="D2606" s="315" t="s">
        <v>933</v>
      </c>
      <c r="E2606" s="315">
        <v>42886</v>
      </c>
      <c r="F2606" s="250" t="s">
        <v>795</v>
      </c>
      <c r="G2606" s="314" t="s">
        <v>1141</v>
      </c>
      <c r="H2606" s="473" t="s">
        <v>284</v>
      </c>
      <c r="I2606" s="307">
        <v>40</v>
      </c>
      <c r="J2606" s="307">
        <v>75573</v>
      </c>
      <c r="K2606" s="532">
        <f t="shared" si="229"/>
        <v>3022920</v>
      </c>
      <c r="L2606" s="534" t="s">
        <v>223</v>
      </c>
      <c r="M2606" s="534" t="s">
        <v>162</v>
      </c>
      <c r="N2606" s="525" t="str">
        <f>IF(AND('331-CT'!$E$7=TH!H2606,OR(L2606="331",M2606="331")),"331",IF(AND(OR(L2606="131",M2606="131"),H2606='131-CT'!$E$7),"131",""))</f>
        <v/>
      </c>
      <c r="O2606" s="525" t="str">
        <f>IF(AND($B2606&gt;='111'!$N$11,$B2606&lt;='111'!$O$11,OR($L2606=$O$7,$M2606=$O$7)),"x","")</f>
        <v/>
      </c>
      <c r="P2606" s="525" t="str">
        <f>IF(AND($L2606=$O$7,$B2606&lt;'111'!$N$11),"x","")</f>
        <v/>
      </c>
      <c r="Q2606" s="525" t="str">
        <f>IF(AND($M2606=$O$7,$B2606&lt;'111'!$N$11),"x","")</f>
        <v/>
      </c>
      <c r="R2606" s="525" t="str">
        <f>IF(ISERROR(FIND('112'!$M$9,G2606,1)),"",IF((AND(FIND('112'!$M$9,G2606,1)&gt;=1,$B2606&gt;='112'!$N$8,$B2606&lt;='112'!$O$8,OR($L2606='112'!$I$6,$M2606='112'!$I$6))),"x",""))</f>
        <v/>
      </c>
      <c r="S2606" s="525" t="str">
        <f>IF(ISERROR(FIND('112'!$M$9,G2606,1)),"",IF((AND(LEFT(G2606,2)=LEFT('112'!$M$9,2),B2606&lt;'112'!$N$8,$L2606='112'!$I$6)),"x",""))</f>
        <v/>
      </c>
      <c r="T2606" s="525" t="str">
        <f>IF(ISERROR(FIND('112'!$M$9,G2606,1)),"",IF((AND(RIGHT(G2606,2)=RIGHT('112'!$M$9,2),B2606&lt;'112'!$N$8,$M2606='112'!$I$6)),"x",""))</f>
        <v/>
      </c>
      <c r="U2606" s="525" t="str">
        <f>IF(AND(B2606&gt;='IN-NX'!$P$3,B2606&lt;='IN-NX'!$Q$3,'IN-NX'!$D$7=D2606,OR(LEFT(L2606,2)="15",AND(LEFT(M2606,2)&lt;&gt;"15",LEFT(M2606,2)&lt;&gt;"33"))),"x","")</f>
        <v/>
      </c>
      <c r="V2606" s="525" t="str">
        <f>IF(AND(OR(LEFT(TH!L2606,2)="15",LEFT(TH!M2606,2)="15"),'152-CT'!$J$8=TH!F2606),"x","")</f>
        <v/>
      </c>
      <c r="W2606" s="525" t="str">
        <f>IF(AND(OR(LEFT(TH!L2606,2)="15",LEFT(TH!M2606,2)="15"),TK!$E$7=TH!F2606),"x","")</f>
        <v/>
      </c>
      <c r="X2606" s="525" t="str">
        <f>IF(AND('341-CT'!$E$9=H2606,OR(LEFT(L2606,3)=$X$7,LEFT(M2606,3)=$X$7)),"x","")</f>
        <v/>
      </c>
      <c r="Y2606" s="525" t="str">
        <f>IF(OR(TH!L2606=TH!$Y$7,M2606=TH!$Y$7),"x","")</f>
        <v/>
      </c>
      <c r="Z2606" s="525" t="str">
        <f>IF(AND(B2606&lt;=NKC!$N$8,B2606&gt;=NKC!$M$8),"x","")</f>
        <v/>
      </c>
      <c r="AA2606" s="535"/>
      <c r="AB2606" s="536"/>
    </row>
    <row r="2607" spans="1:28" s="503" customFormat="1" ht="15.75" customHeight="1">
      <c r="A2607" s="517" t="str">
        <f>IF(B2607&lt;&gt;"",IF(AND(B2607&gt;=_TM1,B2607&lt;=_TM2,OR(TH!L2607="1111",TH!M2607="1111")),TH!D2607,""),"")</f>
        <v/>
      </c>
      <c r="B2607" s="531">
        <f t="shared" si="227"/>
        <v>5</v>
      </c>
      <c r="C2607" s="315">
        <f t="shared" si="228"/>
        <v>42886</v>
      </c>
      <c r="D2607" s="315" t="s">
        <v>934</v>
      </c>
      <c r="E2607" s="315">
        <v>42886</v>
      </c>
      <c r="F2607" s="250" t="s">
        <v>737</v>
      </c>
      <c r="G2607" s="314" t="s">
        <v>1141</v>
      </c>
      <c r="H2607" s="473" t="s">
        <v>284</v>
      </c>
      <c r="I2607" s="307">
        <v>80</v>
      </c>
      <c r="J2607" s="307">
        <v>89522</v>
      </c>
      <c r="K2607" s="532">
        <f t="shared" si="229"/>
        <v>7161760</v>
      </c>
      <c r="L2607" s="534" t="s">
        <v>223</v>
      </c>
      <c r="M2607" s="534" t="s">
        <v>162</v>
      </c>
      <c r="N2607" s="525" t="str">
        <f>IF(AND('331-CT'!$E$7=TH!H2607,OR(L2607="331",M2607="331")),"331",IF(AND(OR(L2607="131",M2607="131"),H2607='131-CT'!$E$7),"131",""))</f>
        <v/>
      </c>
      <c r="O2607" s="525" t="str">
        <f>IF(AND($B2607&gt;='111'!$N$11,$B2607&lt;='111'!$O$11,OR($L2607=$O$7,$M2607=$O$7)),"x","")</f>
        <v/>
      </c>
      <c r="P2607" s="525" t="str">
        <f>IF(AND($L2607=$O$7,$B2607&lt;'111'!$N$11),"x","")</f>
        <v/>
      </c>
      <c r="Q2607" s="525" t="str">
        <f>IF(AND($M2607=$O$7,$B2607&lt;'111'!$N$11),"x","")</f>
        <v/>
      </c>
      <c r="R2607" s="525" t="str">
        <f>IF(ISERROR(FIND('112'!$M$9,G2607,1)),"",IF((AND(FIND('112'!$M$9,G2607,1)&gt;=1,$B2607&gt;='112'!$N$8,$B2607&lt;='112'!$O$8,OR($L2607='112'!$I$6,$M2607='112'!$I$6))),"x",""))</f>
        <v/>
      </c>
      <c r="S2607" s="525" t="str">
        <f>IF(ISERROR(FIND('112'!$M$9,G2607,1)),"",IF((AND(LEFT(G2607,2)=LEFT('112'!$M$9,2),B2607&lt;'112'!$N$8,$L2607='112'!$I$6)),"x",""))</f>
        <v/>
      </c>
      <c r="T2607" s="525" t="str">
        <f>IF(ISERROR(FIND('112'!$M$9,G2607,1)),"",IF((AND(RIGHT(G2607,2)=RIGHT('112'!$M$9,2),B2607&lt;'112'!$N$8,$M2607='112'!$I$6)),"x",""))</f>
        <v/>
      </c>
      <c r="U2607" s="525" t="str">
        <f>IF(AND(B2607&gt;='IN-NX'!$P$3,B2607&lt;='IN-NX'!$Q$3,'IN-NX'!$D$7=D2607,OR(LEFT(L2607,2)="15",AND(LEFT(M2607,2)&lt;&gt;"15",LEFT(M2607,2)&lt;&gt;"33"))),"x","")</f>
        <v/>
      </c>
      <c r="V2607" s="525" t="str">
        <f>IF(AND(OR(LEFT(TH!L2607,2)="15",LEFT(TH!M2607,2)="15"),'152-CT'!$J$8=TH!F2607),"x","")</f>
        <v/>
      </c>
      <c r="W2607" s="525" t="str">
        <f>IF(AND(OR(LEFT(TH!L2607,2)="15",LEFT(TH!M2607,2)="15"),TK!$E$7=TH!F2607),"x","")</f>
        <v/>
      </c>
      <c r="X2607" s="525" t="str">
        <f>IF(AND('341-CT'!$E$9=H2607,OR(LEFT(L2607,3)=$X$7,LEFT(M2607,3)=$X$7)),"x","")</f>
        <v/>
      </c>
      <c r="Y2607" s="525" t="str">
        <f>IF(OR(TH!L2607=TH!$Y$7,M2607=TH!$Y$7),"x","")</f>
        <v/>
      </c>
      <c r="Z2607" s="525" t="str">
        <f>IF(AND(B2607&lt;=NKC!$N$8,B2607&gt;=NKC!$M$8),"x","")</f>
        <v/>
      </c>
      <c r="AA2607" s="535"/>
      <c r="AB2607" s="536"/>
    </row>
    <row r="2608" spans="1:28" s="503" customFormat="1" ht="15.75" customHeight="1">
      <c r="A2608" s="517" t="str">
        <f>IF(B2608&lt;&gt;"",IF(AND(B2608&gt;=_TM1,B2608&lt;=_TM2,OR(TH!L2608="1111",TH!M2608="1111")),TH!D2608,""),"")</f>
        <v/>
      </c>
      <c r="B2608" s="531">
        <f t="shared" si="227"/>
        <v>5</v>
      </c>
      <c r="C2608" s="315">
        <f t="shared" si="228"/>
        <v>42886</v>
      </c>
      <c r="D2608" s="315" t="s">
        <v>934</v>
      </c>
      <c r="E2608" s="315">
        <v>42886</v>
      </c>
      <c r="F2608" s="250" t="s">
        <v>630</v>
      </c>
      <c r="G2608" s="314" t="s">
        <v>1141</v>
      </c>
      <c r="H2608" s="473" t="s">
        <v>284</v>
      </c>
      <c r="I2608" s="307">
        <v>52</v>
      </c>
      <c r="J2608" s="307">
        <v>37240</v>
      </c>
      <c r="K2608" s="532">
        <f t="shared" si="229"/>
        <v>1936480</v>
      </c>
      <c r="L2608" s="534" t="s">
        <v>223</v>
      </c>
      <c r="M2608" s="534" t="s">
        <v>162</v>
      </c>
      <c r="N2608" s="525" t="str">
        <f>IF(AND('331-CT'!$E$7=TH!H2608,OR(L2608="331",M2608="331")),"331",IF(AND(OR(L2608="131",M2608="131"),H2608='131-CT'!$E$7),"131",""))</f>
        <v/>
      </c>
      <c r="O2608" s="525" t="str">
        <f>IF(AND($B2608&gt;='111'!$N$11,$B2608&lt;='111'!$O$11,OR($L2608=$O$7,$M2608=$O$7)),"x","")</f>
        <v/>
      </c>
      <c r="P2608" s="525" t="str">
        <f>IF(AND($L2608=$O$7,$B2608&lt;'111'!$N$11),"x","")</f>
        <v/>
      </c>
      <c r="Q2608" s="525" t="str">
        <f>IF(AND($M2608=$O$7,$B2608&lt;'111'!$N$11),"x","")</f>
        <v/>
      </c>
      <c r="R2608" s="525" t="str">
        <f>IF(ISERROR(FIND('112'!$M$9,G2608,1)),"",IF((AND(FIND('112'!$M$9,G2608,1)&gt;=1,$B2608&gt;='112'!$N$8,$B2608&lt;='112'!$O$8,OR($L2608='112'!$I$6,$M2608='112'!$I$6))),"x",""))</f>
        <v/>
      </c>
      <c r="S2608" s="525" t="str">
        <f>IF(ISERROR(FIND('112'!$M$9,G2608,1)),"",IF((AND(LEFT(G2608,2)=LEFT('112'!$M$9,2),B2608&lt;'112'!$N$8,$L2608='112'!$I$6)),"x",""))</f>
        <v/>
      </c>
      <c r="T2608" s="525" t="str">
        <f>IF(ISERROR(FIND('112'!$M$9,G2608,1)),"",IF((AND(RIGHT(G2608,2)=RIGHT('112'!$M$9,2),B2608&lt;'112'!$N$8,$M2608='112'!$I$6)),"x",""))</f>
        <v/>
      </c>
      <c r="U2608" s="525" t="str">
        <f>IF(AND(B2608&gt;='IN-NX'!$P$3,B2608&lt;='IN-NX'!$Q$3,'IN-NX'!$D$7=D2608,OR(LEFT(L2608,2)="15",AND(LEFT(M2608,2)&lt;&gt;"15",LEFT(M2608,2)&lt;&gt;"33"))),"x","")</f>
        <v/>
      </c>
      <c r="V2608" s="525" t="str">
        <f>IF(AND(OR(LEFT(TH!L2608,2)="15",LEFT(TH!M2608,2)="15"),'152-CT'!$J$8=TH!F2608),"x","")</f>
        <v/>
      </c>
      <c r="W2608" s="525" t="str">
        <f>IF(AND(OR(LEFT(TH!L2608,2)="15",LEFT(TH!M2608,2)="15"),TK!$E$7=TH!F2608),"x","")</f>
        <v/>
      </c>
      <c r="X2608" s="525" t="str">
        <f>IF(AND('341-CT'!$E$9=H2608,OR(LEFT(L2608,3)=$X$7,LEFT(M2608,3)=$X$7)),"x","")</f>
        <v/>
      </c>
      <c r="Y2608" s="525" t="str">
        <f>IF(OR(TH!L2608=TH!$Y$7,M2608=TH!$Y$7),"x","")</f>
        <v/>
      </c>
      <c r="Z2608" s="525" t="str">
        <f>IF(AND(B2608&lt;=NKC!$N$8,B2608&gt;=NKC!$M$8),"x","")</f>
        <v/>
      </c>
      <c r="AA2608" s="535"/>
      <c r="AB2608" s="536"/>
    </row>
    <row r="2609" spans="1:28" s="503" customFormat="1" ht="15.75" customHeight="1">
      <c r="A2609" s="517" t="str">
        <f>IF(B2609&lt;&gt;"",IF(AND(B2609&gt;=_TM1,B2609&lt;=_TM2,OR(TH!L2609="1111",TH!M2609="1111")),TH!D2609,""),"")</f>
        <v/>
      </c>
      <c r="B2609" s="531">
        <f t="shared" si="227"/>
        <v>5</v>
      </c>
      <c r="C2609" s="315">
        <f t="shared" si="228"/>
        <v>42886</v>
      </c>
      <c r="D2609" s="315" t="s">
        <v>934</v>
      </c>
      <c r="E2609" s="315">
        <v>42886</v>
      </c>
      <c r="F2609" s="250" t="s">
        <v>1175</v>
      </c>
      <c r="G2609" s="314" t="s">
        <v>1141</v>
      </c>
      <c r="H2609" s="473" t="s">
        <v>284</v>
      </c>
      <c r="I2609" s="307">
        <v>12</v>
      </c>
      <c r="J2609" s="307">
        <v>55086</v>
      </c>
      <c r="K2609" s="532">
        <f t="shared" si="229"/>
        <v>661032</v>
      </c>
      <c r="L2609" s="534" t="s">
        <v>223</v>
      </c>
      <c r="M2609" s="534" t="s">
        <v>162</v>
      </c>
      <c r="N2609" s="525" t="str">
        <f>IF(AND('331-CT'!$E$7=TH!H2609,OR(L2609="331",M2609="331")),"331",IF(AND(OR(L2609="131",M2609="131"),H2609='131-CT'!$E$7),"131",""))</f>
        <v/>
      </c>
      <c r="O2609" s="525" t="str">
        <f>IF(AND($B2609&gt;='111'!$N$11,$B2609&lt;='111'!$O$11,OR($L2609=$O$7,$M2609=$O$7)),"x","")</f>
        <v/>
      </c>
      <c r="P2609" s="525" t="str">
        <f>IF(AND($L2609=$O$7,$B2609&lt;'111'!$N$11),"x","")</f>
        <v/>
      </c>
      <c r="Q2609" s="525" t="str">
        <f>IF(AND($M2609=$O$7,$B2609&lt;'111'!$N$11),"x","")</f>
        <v/>
      </c>
      <c r="R2609" s="525" t="str">
        <f>IF(ISERROR(FIND('112'!$M$9,G2609,1)),"",IF((AND(FIND('112'!$M$9,G2609,1)&gt;=1,$B2609&gt;='112'!$N$8,$B2609&lt;='112'!$O$8,OR($L2609='112'!$I$6,$M2609='112'!$I$6))),"x",""))</f>
        <v/>
      </c>
      <c r="S2609" s="525" t="str">
        <f>IF(ISERROR(FIND('112'!$M$9,G2609,1)),"",IF((AND(LEFT(G2609,2)=LEFT('112'!$M$9,2),B2609&lt;'112'!$N$8,$L2609='112'!$I$6)),"x",""))</f>
        <v/>
      </c>
      <c r="T2609" s="525" t="str">
        <f>IF(ISERROR(FIND('112'!$M$9,G2609,1)),"",IF((AND(RIGHT(G2609,2)=RIGHT('112'!$M$9,2),B2609&lt;'112'!$N$8,$M2609='112'!$I$6)),"x",""))</f>
        <v/>
      </c>
      <c r="U2609" s="525" t="str">
        <f>IF(AND(B2609&gt;='IN-NX'!$P$3,B2609&lt;='IN-NX'!$Q$3,'IN-NX'!$D$7=D2609,OR(LEFT(L2609,2)="15",AND(LEFT(M2609,2)&lt;&gt;"15",LEFT(M2609,2)&lt;&gt;"33"))),"x","")</f>
        <v/>
      </c>
      <c r="V2609" s="525" t="str">
        <f>IF(AND(OR(LEFT(TH!L2609,2)="15",LEFT(TH!M2609,2)="15"),'152-CT'!$J$8=TH!F2609),"x","")</f>
        <v/>
      </c>
      <c r="W2609" s="525" t="str">
        <f>IF(AND(OR(LEFT(TH!L2609,2)="15",LEFT(TH!M2609,2)="15"),TK!$E$7=TH!F2609),"x","")</f>
        <v/>
      </c>
      <c r="X2609" s="525" t="str">
        <f>IF(AND('341-CT'!$E$9=H2609,OR(LEFT(L2609,3)=$X$7,LEFT(M2609,3)=$X$7)),"x","")</f>
        <v/>
      </c>
      <c r="Y2609" s="525" t="str">
        <f>IF(OR(TH!L2609=TH!$Y$7,M2609=TH!$Y$7),"x","")</f>
        <v/>
      </c>
      <c r="Z2609" s="525" t="str">
        <f>IF(AND(B2609&lt;=NKC!$N$8,B2609&gt;=NKC!$M$8),"x","")</f>
        <v/>
      </c>
      <c r="AA2609" s="535"/>
      <c r="AB2609" s="536"/>
    </row>
    <row r="2610" spans="1:28" s="503" customFormat="1" ht="15.75" customHeight="1">
      <c r="A2610" s="517" t="str">
        <f>IF(B2610&lt;&gt;"",IF(AND(B2610&gt;=_TM1,B2610&lt;=_TM2,OR(TH!L2610="1111",TH!M2610="1111")),TH!D2610,""),"")</f>
        <v/>
      </c>
      <c r="B2610" s="531">
        <f t="shared" si="227"/>
        <v>5</v>
      </c>
      <c r="C2610" s="315">
        <f t="shared" si="228"/>
        <v>42886</v>
      </c>
      <c r="D2610" s="315" t="s">
        <v>934</v>
      </c>
      <c r="E2610" s="315">
        <v>42886</v>
      </c>
      <c r="F2610" s="249" t="s">
        <v>757</v>
      </c>
      <c r="G2610" s="314" t="s">
        <v>1141</v>
      </c>
      <c r="H2610" s="473" t="s">
        <v>284</v>
      </c>
      <c r="I2610" s="307">
        <v>24</v>
      </c>
      <c r="J2610" s="307">
        <v>51144</v>
      </c>
      <c r="K2610" s="532">
        <f t="shared" si="229"/>
        <v>1227456</v>
      </c>
      <c r="L2610" s="534" t="s">
        <v>223</v>
      </c>
      <c r="M2610" s="534" t="s">
        <v>162</v>
      </c>
      <c r="N2610" s="525" t="str">
        <f>IF(AND('331-CT'!$E$7=TH!H2610,OR(L2610="331",M2610="331")),"331",IF(AND(OR(L2610="131",M2610="131"),H2610='131-CT'!$E$7),"131",""))</f>
        <v/>
      </c>
      <c r="O2610" s="525" t="str">
        <f>IF(AND($B2610&gt;='111'!$N$11,$B2610&lt;='111'!$O$11,OR($L2610=$O$7,$M2610=$O$7)),"x","")</f>
        <v/>
      </c>
      <c r="P2610" s="525" t="str">
        <f>IF(AND($L2610=$O$7,$B2610&lt;'111'!$N$11),"x","")</f>
        <v/>
      </c>
      <c r="Q2610" s="525" t="str">
        <f>IF(AND($M2610=$O$7,$B2610&lt;'111'!$N$11),"x","")</f>
        <v/>
      </c>
      <c r="R2610" s="525" t="str">
        <f>IF(ISERROR(FIND('112'!$M$9,G2610,1)),"",IF((AND(FIND('112'!$M$9,G2610,1)&gt;=1,$B2610&gt;='112'!$N$8,$B2610&lt;='112'!$O$8,OR($L2610='112'!$I$6,$M2610='112'!$I$6))),"x",""))</f>
        <v/>
      </c>
      <c r="S2610" s="525" t="str">
        <f>IF(ISERROR(FIND('112'!$M$9,G2610,1)),"",IF((AND(LEFT(G2610,2)=LEFT('112'!$M$9,2),B2610&lt;'112'!$N$8,$L2610='112'!$I$6)),"x",""))</f>
        <v/>
      </c>
      <c r="T2610" s="525" t="str">
        <f>IF(ISERROR(FIND('112'!$M$9,G2610,1)),"",IF((AND(RIGHT(G2610,2)=RIGHT('112'!$M$9,2),B2610&lt;'112'!$N$8,$M2610='112'!$I$6)),"x",""))</f>
        <v/>
      </c>
      <c r="U2610" s="525" t="str">
        <f>IF(AND(B2610&gt;='IN-NX'!$P$3,B2610&lt;='IN-NX'!$Q$3,'IN-NX'!$D$7=D2610,OR(LEFT(L2610,2)="15",AND(LEFT(M2610,2)&lt;&gt;"15",LEFT(M2610,2)&lt;&gt;"33"))),"x","")</f>
        <v/>
      </c>
      <c r="V2610" s="525" t="str">
        <f>IF(AND(OR(LEFT(TH!L2610,2)="15",LEFT(TH!M2610,2)="15"),'152-CT'!$J$8=TH!F2610),"x","")</f>
        <v/>
      </c>
      <c r="W2610" s="525" t="str">
        <f>IF(AND(OR(LEFT(TH!L2610,2)="15",LEFT(TH!M2610,2)="15"),TK!$E$7=TH!F2610),"x","")</f>
        <v/>
      </c>
      <c r="X2610" s="525" t="str">
        <f>IF(AND('341-CT'!$E$9=H2610,OR(LEFT(L2610,3)=$X$7,LEFT(M2610,3)=$X$7)),"x","")</f>
        <v/>
      </c>
      <c r="Y2610" s="525" t="str">
        <f>IF(OR(TH!L2610=TH!$Y$7,M2610=TH!$Y$7),"x","")</f>
        <v/>
      </c>
      <c r="Z2610" s="525" t="str">
        <f>IF(AND(B2610&lt;=NKC!$N$8,B2610&gt;=NKC!$M$8),"x","")</f>
        <v/>
      </c>
      <c r="AA2610" s="535"/>
      <c r="AB2610" s="536"/>
    </row>
    <row r="2611" spans="1:28" s="503" customFormat="1" ht="15.75" customHeight="1">
      <c r="A2611" s="517" t="str">
        <f>IF(B2611&lt;&gt;"",IF(AND(B2611&gt;=_TM1,B2611&lt;=_TM2,OR(TH!L2611="1111",TH!M2611="1111")),TH!D2611,""),"")</f>
        <v/>
      </c>
      <c r="B2611" s="531">
        <f t="shared" si="227"/>
        <v>5</v>
      </c>
      <c r="C2611" s="315">
        <f t="shared" si="228"/>
        <v>42886</v>
      </c>
      <c r="D2611" s="315" t="s">
        <v>934</v>
      </c>
      <c r="E2611" s="315">
        <v>42886</v>
      </c>
      <c r="F2611" s="250" t="s">
        <v>1176</v>
      </c>
      <c r="G2611" s="314" t="s">
        <v>1141</v>
      </c>
      <c r="H2611" s="473" t="s">
        <v>284</v>
      </c>
      <c r="I2611" s="307">
        <v>6</v>
      </c>
      <c r="J2611" s="307">
        <v>10650</v>
      </c>
      <c r="K2611" s="532">
        <f t="shared" ref="K2611:K2618" si="230">ROUND(I2611*J2611,0)</f>
        <v>63900</v>
      </c>
      <c r="L2611" s="534" t="s">
        <v>223</v>
      </c>
      <c r="M2611" s="534" t="s">
        <v>162</v>
      </c>
      <c r="N2611" s="525" t="str">
        <f>IF(AND('331-CT'!$E$7=TH!H2611,OR(L2611="331",M2611="331")),"331",IF(AND(OR(L2611="131",M2611="131"),H2611='131-CT'!$E$7),"131",""))</f>
        <v/>
      </c>
      <c r="O2611" s="525" t="str">
        <f>IF(AND($B2611&gt;='111'!$N$11,$B2611&lt;='111'!$O$11,OR($L2611=$O$7,$M2611=$O$7)),"x","")</f>
        <v/>
      </c>
      <c r="P2611" s="525" t="str">
        <f>IF(AND($L2611=$O$7,$B2611&lt;'111'!$N$11),"x","")</f>
        <v/>
      </c>
      <c r="Q2611" s="525" t="str">
        <f>IF(AND($M2611=$O$7,$B2611&lt;'111'!$N$11),"x","")</f>
        <v/>
      </c>
      <c r="R2611" s="525" t="str">
        <f>IF(ISERROR(FIND('112'!$M$9,G2611,1)),"",IF((AND(FIND('112'!$M$9,G2611,1)&gt;=1,$B2611&gt;='112'!$N$8,$B2611&lt;='112'!$O$8,OR($L2611='112'!$I$6,$M2611='112'!$I$6))),"x",""))</f>
        <v/>
      </c>
      <c r="S2611" s="525" t="str">
        <f>IF(ISERROR(FIND('112'!$M$9,G2611,1)),"",IF((AND(LEFT(G2611,2)=LEFT('112'!$M$9,2),B2611&lt;'112'!$N$8,$L2611='112'!$I$6)),"x",""))</f>
        <v/>
      </c>
      <c r="T2611" s="525" t="str">
        <f>IF(ISERROR(FIND('112'!$M$9,G2611,1)),"",IF((AND(RIGHT(G2611,2)=RIGHT('112'!$M$9,2),B2611&lt;'112'!$N$8,$M2611='112'!$I$6)),"x",""))</f>
        <v/>
      </c>
      <c r="U2611" s="525" t="str">
        <f>IF(AND(B2611&gt;='IN-NX'!$P$3,B2611&lt;='IN-NX'!$Q$3,'IN-NX'!$D$7=D2611,OR(LEFT(L2611,2)="15",AND(LEFT(M2611,2)&lt;&gt;"15",LEFT(M2611,2)&lt;&gt;"33"))),"x","")</f>
        <v/>
      </c>
      <c r="V2611" s="525" t="str">
        <f>IF(AND(OR(LEFT(TH!L2611,2)="15",LEFT(TH!M2611,2)="15"),'152-CT'!$J$8=TH!F2611),"x","")</f>
        <v/>
      </c>
      <c r="W2611" s="525" t="str">
        <f>IF(AND(OR(LEFT(TH!L2611,2)="15",LEFT(TH!M2611,2)="15"),TK!$E$7=TH!F2611),"x","")</f>
        <v/>
      </c>
      <c r="X2611" s="525" t="str">
        <f>IF(AND('341-CT'!$E$9=H2611,OR(LEFT(L2611,3)=$X$7,LEFT(M2611,3)=$X$7)),"x","")</f>
        <v/>
      </c>
      <c r="Y2611" s="525" t="str">
        <f>IF(OR(TH!L2611=TH!$Y$7,M2611=TH!$Y$7),"x","")</f>
        <v/>
      </c>
      <c r="Z2611" s="525" t="str">
        <f>IF(AND(B2611&lt;=NKC!$N$8,B2611&gt;=NKC!$M$8),"x","")</f>
        <v/>
      </c>
      <c r="AA2611" s="535"/>
      <c r="AB2611" s="536"/>
    </row>
    <row r="2612" spans="1:28" s="503" customFormat="1" ht="15.75" customHeight="1">
      <c r="A2612" s="517" t="str">
        <f>IF(B2612&lt;&gt;"",IF(AND(B2612&gt;=_TM1,B2612&lt;=_TM2,OR(TH!L2612="1111",TH!M2612="1111")),TH!D2612,""),"")</f>
        <v/>
      </c>
      <c r="B2612" s="531">
        <f t="shared" si="227"/>
        <v>5</v>
      </c>
      <c r="C2612" s="315">
        <f t="shared" si="228"/>
        <v>42886</v>
      </c>
      <c r="D2612" s="315" t="s">
        <v>934</v>
      </c>
      <c r="E2612" s="315">
        <v>42886</v>
      </c>
      <c r="F2612" s="250" t="s">
        <v>1177</v>
      </c>
      <c r="G2612" s="314" t="s">
        <v>1141</v>
      </c>
      <c r="H2612" s="473" t="s">
        <v>284</v>
      </c>
      <c r="I2612" s="307">
        <v>18</v>
      </c>
      <c r="J2612" s="307">
        <v>74183</v>
      </c>
      <c r="K2612" s="532">
        <f t="shared" si="230"/>
        <v>1335294</v>
      </c>
      <c r="L2612" s="534" t="s">
        <v>223</v>
      </c>
      <c r="M2612" s="534" t="s">
        <v>162</v>
      </c>
      <c r="N2612" s="525" t="str">
        <f>IF(AND('331-CT'!$E$7=TH!H2612,OR(L2612="331",M2612="331")),"331",IF(AND(OR(L2612="131",M2612="131"),H2612='131-CT'!$E$7),"131",""))</f>
        <v/>
      </c>
      <c r="O2612" s="525" t="str">
        <f>IF(AND($B2612&gt;='111'!$N$11,$B2612&lt;='111'!$O$11,OR($L2612=$O$7,$M2612=$O$7)),"x","")</f>
        <v/>
      </c>
      <c r="P2612" s="525" t="str">
        <f>IF(AND($L2612=$O$7,$B2612&lt;'111'!$N$11),"x","")</f>
        <v/>
      </c>
      <c r="Q2612" s="525" t="str">
        <f>IF(AND($M2612=$O$7,$B2612&lt;'111'!$N$11),"x","")</f>
        <v/>
      </c>
      <c r="R2612" s="525" t="str">
        <f>IF(ISERROR(FIND('112'!$M$9,G2612,1)),"",IF((AND(FIND('112'!$M$9,G2612,1)&gt;=1,$B2612&gt;='112'!$N$8,$B2612&lt;='112'!$O$8,OR($L2612='112'!$I$6,$M2612='112'!$I$6))),"x",""))</f>
        <v/>
      </c>
      <c r="S2612" s="525" t="str">
        <f>IF(ISERROR(FIND('112'!$M$9,G2612,1)),"",IF((AND(LEFT(G2612,2)=LEFT('112'!$M$9,2),B2612&lt;'112'!$N$8,$L2612='112'!$I$6)),"x",""))</f>
        <v/>
      </c>
      <c r="T2612" s="525" t="str">
        <f>IF(ISERROR(FIND('112'!$M$9,G2612,1)),"",IF((AND(RIGHT(G2612,2)=RIGHT('112'!$M$9,2),B2612&lt;'112'!$N$8,$M2612='112'!$I$6)),"x",""))</f>
        <v/>
      </c>
      <c r="U2612" s="525" t="str">
        <f>IF(AND(B2612&gt;='IN-NX'!$P$3,B2612&lt;='IN-NX'!$Q$3,'IN-NX'!$D$7=D2612,OR(LEFT(L2612,2)="15",AND(LEFT(M2612,2)&lt;&gt;"15",LEFT(M2612,2)&lt;&gt;"33"))),"x","")</f>
        <v/>
      </c>
      <c r="V2612" s="525" t="str">
        <f>IF(AND(OR(LEFT(TH!L2612,2)="15",LEFT(TH!M2612,2)="15"),'152-CT'!$J$8=TH!F2612),"x","")</f>
        <v/>
      </c>
      <c r="W2612" s="525" t="str">
        <f>IF(AND(OR(LEFT(TH!L2612,2)="15",LEFT(TH!M2612,2)="15"),TK!$E$7=TH!F2612),"x","")</f>
        <v/>
      </c>
      <c r="X2612" s="525" t="str">
        <f>IF(AND('341-CT'!$E$9=H2612,OR(LEFT(L2612,3)=$X$7,LEFT(M2612,3)=$X$7)),"x","")</f>
        <v/>
      </c>
      <c r="Y2612" s="525" t="str">
        <f>IF(OR(TH!L2612=TH!$Y$7,M2612=TH!$Y$7),"x","")</f>
        <v/>
      </c>
      <c r="Z2612" s="525" t="str">
        <f>IF(AND(B2612&lt;=NKC!$N$8,B2612&gt;=NKC!$M$8),"x","")</f>
        <v/>
      </c>
      <c r="AA2612" s="535"/>
      <c r="AB2612" s="536"/>
    </row>
    <row r="2613" spans="1:28" s="503" customFormat="1" ht="15.75" customHeight="1">
      <c r="A2613" s="517" t="str">
        <f>IF(B2613&lt;&gt;"",IF(AND(B2613&gt;=_TM1,B2613&lt;=_TM2,OR(TH!L2613="1111",TH!M2613="1111")),TH!D2613,""),"")</f>
        <v/>
      </c>
      <c r="B2613" s="531">
        <f t="shared" si="227"/>
        <v>5</v>
      </c>
      <c r="C2613" s="315">
        <f t="shared" si="228"/>
        <v>42886</v>
      </c>
      <c r="D2613" s="315" t="s">
        <v>934</v>
      </c>
      <c r="E2613" s="315">
        <v>42886</v>
      </c>
      <c r="F2613" s="250" t="s">
        <v>712</v>
      </c>
      <c r="G2613" s="314" t="s">
        <v>1141</v>
      </c>
      <c r="H2613" s="473" t="s">
        <v>284</v>
      </c>
      <c r="I2613" s="307">
        <v>36</v>
      </c>
      <c r="J2613" s="307">
        <v>50528</v>
      </c>
      <c r="K2613" s="532">
        <f t="shared" si="230"/>
        <v>1819008</v>
      </c>
      <c r="L2613" s="534" t="s">
        <v>223</v>
      </c>
      <c r="M2613" s="534" t="s">
        <v>162</v>
      </c>
      <c r="N2613" s="525" t="str">
        <f>IF(AND('331-CT'!$E$7=TH!H2613,OR(L2613="331",M2613="331")),"331",IF(AND(OR(L2613="131",M2613="131"),H2613='131-CT'!$E$7),"131",""))</f>
        <v/>
      </c>
      <c r="O2613" s="525" t="str">
        <f>IF(AND($B2613&gt;='111'!$N$11,$B2613&lt;='111'!$O$11,OR($L2613=$O$7,$M2613=$O$7)),"x","")</f>
        <v/>
      </c>
      <c r="P2613" s="525" t="str">
        <f>IF(AND($L2613=$O$7,$B2613&lt;'111'!$N$11),"x","")</f>
        <v/>
      </c>
      <c r="Q2613" s="525" t="str">
        <f>IF(AND($M2613=$O$7,$B2613&lt;'111'!$N$11),"x","")</f>
        <v/>
      </c>
      <c r="R2613" s="525" t="str">
        <f>IF(ISERROR(FIND('112'!$M$9,G2613,1)),"",IF((AND(FIND('112'!$M$9,G2613,1)&gt;=1,$B2613&gt;='112'!$N$8,$B2613&lt;='112'!$O$8,OR($L2613='112'!$I$6,$M2613='112'!$I$6))),"x",""))</f>
        <v/>
      </c>
      <c r="S2613" s="525" t="str">
        <f>IF(ISERROR(FIND('112'!$M$9,G2613,1)),"",IF((AND(LEFT(G2613,2)=LEFT('112'!$M$9,2),B2613&lt;'112'!$N$8,$L2613='112'!$I$6)),"x",""))</f>
        <v/>
      </c>
      <c r="T2613" s="525" t="str">
        <f>IF(ISERROR(FIND('112'!$M$9,G2613,1)),"",IF((AND(RIGHT(G2613,2)=RIGHT('112'!$M$9,2),B2613&lt;'112'!$N$8,$M2613='112'!$I$6)),"x",""))</f>
        <v/>
      </c>
      <c r="U2613" s="525" t="str">
        <f>IF(AND(B2613&gt;='IN-NX'!$P$3,B2613&lt;='IN-NX'!$Q$3,'IN-NX'!$D$7=D2613,OR(LEFT(L2613,2)="15",AND(LEFT(M2613,2)&lt;&gt;"15",LEFT(M2613,2)&lt;&gt;"33"))),"x","")</f>
        <v/>
      </c>
      <c r="V2613" s="525" t="str">
        <f>IF(AND(OR(LEFT(TH!L2613,2)="15",LEFT(TH!M2613,2)="15"),'152-CT'!$J$8=TH!F2613),"x","")</f>
        <v/>
      </c>
      <c r="W2613" s="525" t="str">
        <f>IF(AND(OR(LEFT(TH!L2613,2)="15",LEFT(TH!M2613,2)="15"),TK!$E$7=TH!F2613),"x","")</f>
        <v/>
      </c>
      <c r="X2613" s="525" t="str">
        <f>IF(AND('341-CT'!$E$9=H2613,OR(LEFT(L2613,3)=$X$7,LEFT(M2613,3)=$X$7)),"x","")</f>
        <v/>
      </c>
      <c r="Y2613" s="525" t="str">
        <f>IF(OR(TH!L2613=TH!$Y$7,M2613=TH!$Y$7),"x","")</f>
        <v/>
      </c>
      <c r="Z2613" s="525" t="str">
        <f>IF(AND(B2613&lt;=NKC!$N$8,B2613&gt;=NKC!$M$8),"x","")</f>
        <v/>
      </c>
      <c r="AA2613" s="535"/>
      <c r="AB2613" s="536"/>
    </row>
    <row r="2614" spans="1:28" s="503" customFormat="1" ht="15.75" customHeight="1">
      <c r="A2614" s="517" t="str">
        <f>IF(B2614&lt;&gt;"",IF(AND(B2614&gt;=_TM1,B2614&lt;=_TM2,OR(TH!L2614="1111",TH!M2614="1111")),TH!D2614,""),"")</f>
        <v/>
      </c>
      <c r="B2614" s="531">
        <f t="shared" si="227"/>
        <v>5</v>
      </c>
      <c r="C2614" s="315">
        <f t="shared" si="228"/>
        <v>42886</v>
      </c>
      <c r="D2614" s="315" t="s">
        <v>934</v>
      </c>
      <c r="E2614" s="315">
        <v>42886</v>
      </c>
      <c r="F2614" s="250" t="s">
        <v>761</v>
      </c>
      <c r="G2614" s="314" t="s">
        <v>1141</v>
      </c>
      <c r="H2614" s="473" t="s">
        <v>284</v>
      </c>
      <c r="I2614" s="307">
        <v>20</v>
      </c>
      <c r="J2614" s="307">
        <v>39303</v>
      </c>
      <c r="K2614" s="532">
        <f t="shared" si="230"/>
        <v>786060</v>
      </c>
      <c r="L2614" s="534" t="s">
        <v>223</v>
      </c>
      <c r="M2614" s="534" t="s">
        <v>162</v>
      </c>
      <c r="N2614" s="525" t="str">
        <f>IF(AND('331-CT'!$E$7=TH!H2614,OR(L2614="331",M2614="331")),"331",IF(AND(OR(L2614="131",M2614="131"),H2614='131-CT'!$E$7),"131",""))</f>
        <v/>
      </c>
      <c r="O2614" s="525" t="str">
        <f>IF(AND($B2614&gt;='111'!$N$11,$B2614&lt;='111'!$O$11,OR($L2614=$O$7,$M2614=$O$7)),"x","")</f>
        <v/>
      </c>
      <c r="P2614" s="525" t="str">
        <f>IF(AND($L2614=$O$7,$B2614&lt;'111'!$N$11),"x","")</f>
        <v/>
      </c>
      <c r="Q2614" s="525" t="str">
        <f>IF(AND($M2614=$O$7,$B2614&lt;'111'!$N$11),"x","")</f>
        <v/>
      </c>
      <c r="R2614" s="525" t="str">
        <f>IF(ISERROR(FIND('112'!$M$9,G2614,1)),"",IF((AND(FIND('112'!$M$9,G2614,1)&gt;=1,$B2614&gt;='112'!$N$8,$B2614&lt;='112'!$O$8,OR($L2614='112'!$I$6,$M2614='112'!$I$6))),"x",""))</f>
        <v/>
      </c>
      <c r="S2614" s="525" t="str">
        <f>IF(ISERROR(FIND('112'!$M$9,G2614,1)),"",IF((AND(LEFT(G2614,2)=LEFT('112'!$M$9,2),B2614&lt;'112'!$N$8,$L2614='112'!$I$6)),"x",""))</f>
        <v/>
      </c>
      <c r="T2614" s="525" t="str">
        <f>IF(ISERROR(FIND('112'!$M$9,G2614,1)),"",IF((AND(RIGHT(G2614,2)=RIGHT('112'!$M$9,2),B2614&lt;'112'!$N$8,$M2614='112'!$I$6)),"x",""))</f>
        <v/>
      </c>
      <c r="U2614" s="525" t="str">
        <f>IF(AND(B2614&gt;='IN-NX'!$P$3,B2614&lt;='IN-NX'!$Q$3,'IN-NX'!$D$7=D2614,OR(LEFT(L2614,2)="15",AND(LEFT(M2614,2)&lt;&gt;"15",LEFT(M2614,2)&lt;&gt;"33"))),"x","")</f>
        <v/>
      </c>
      <c r="V2614" s="525" t="str">
        <f>IF(AND(OR(LEFT(TH!L2614,2)="15",LEFT(TH!M2614,2)="15"),'152-CT'!$J$8=TH!F2614),"x","")</f>
        <v/>
      </c>
      <c r="W2614" s="525" t="str">
        <f>IF(AND(OR(LEFT(TH!L2614,2)="15",LEFT(TH!M2614,2)="15"),TK!$E$7=TH!F2614),"x","")</f>
        <v/>
      </c>
      <c r="X2614" s="525" t="str">
        <f>IF(AND('341-CT'!$E$9=H2614,OR(LEFT(L2614,3)=$X$7,LEFT(M2614,3)=$X$7)),"x","")</f>
        <v/>
      </c>
      <c r="Y2614" s="525" t="str">
        <f>IF(OR(TH!L2614=TH!$Y$7,M2614=TH!$Y$7),"x","")</f>
        <v/>
      </c>
      <c r="Z2614" s="525" t="str">
        <f>IF(AND(B2614&lt;=NKC!$N$8,B2614&gt;=NKC!$M$8),"x","")</f>
        <v/>
      </c>
      <c r="AA2614" s="535"/>
      <c r="AB2614" s="536"/>
    </row>
    <row r="2615" spans="1:28" s="503" customFormat="1" ht="15.75" customHeight="1">
      <c r="A2615" s="517" t="str">
        <f>IF(B2615&lt;&gt;"",IF(AND(B2615&gt;=_TM1,B2615&lt;=_TM2,OR(TH!L2615="1111",TH!M2615="1111")),TH!D2615,""),"")</f>
        <v/>
      </c>
      <c r="B2615" s="531">
        <f t="shared" si="227"/>
        <v>5</v>
      </c>
      <c r="C2615" s="315">
        <f t="shared" si="228"/>
        <v>42886</v>
      </c>
      <c r="D2615" s="315" t="s">
        <v>934</v>
      </c>
      <c r="E2615" s="315">
        <v>42886</v>
      </c>
      <c r="F2615" s="250" t="s">
        <v>1170</v>
      </c>
      <c r="G2615" s="314" t="s">
        <v>1141</v>
      </c>
      <c r="H2615" s="473" t="s">
        <v>284</v>
      </c>
      <c r="I2615" s="307">
        <v>12</v>
      </c>
      <c r="J2615" s="307">
        <v>10499</v>
      </c>
      <c r="K2615" s="532">
        <f t="shared" si="230"/>
        <v>125988</v>
      </c>
      <c r="L2615" s="534" t="s">
        <v>223</v>
      </c>
      <c r="M2615" s="534" t="s">
        <v>162</v>
      </c>
      <c r="N2615" s="525" t="str">
        <f>IF(AND('331-CT'!$E$7=TH!H2615,OR(L2615="331",M2615="331")),"331",IF(AND(OR(L2615="131",M2615="131"),H2615='131-CT'!$E$7),"131",""))</f>
        <v/>
      </c>
      <c r="O2615" s="525" t="str">
        <f>IF(AND($B2615&gt;='111'!$N$11,$B2615&lt;='111'!$O$11,OR($L2615=$O$7,$M2615=$O$7)),"x","")</f>
        <v/>
      </c>
      <c r="P2615" s="525" t="str">
        <f>IF(AND($L2615=$O$7,$B2615&lt;'111'!$N$11),"x","")</f>
        <v/>
      </c>
      <c r="Q2615" s="525" t="str">
        <f>IF(AND($M2615=$O$7,$B2615&lt;'111'!$N$11),"x","")</f>
        <v/>
      </c>
      <c r="R2615" s="525" t="str">
        <f>IF(ISERROR(FIND('112'!$M$9,G2615,1)),"",IF((AND(FIND('112'!$M$9,G2615,1)&gt;=1,$B2615&gt;='112'!$N$8,$B2615&lt;='112'!$O$8,OR($L2615='112'!$I$6,$M2615='112'!$I$6))),"x",""))</f>
        <v/>
      </c>
      <c r="S2615" s="525" t="str">
        <f>IF(ISERROR(FIND('112'!$M$9,G2615,1)),"",IF((AND(LEFT(G2615,2)=LEFT('112'!$M$9,2),B2615&lt;'112'!$N$8,$L2615='112'!$I$6)),"x",""))</f>
        <v/>
      </c>
      <c r="T2615" s="525" t="str">
        <f>IF(ISERROR(FIND('112'!$M$9,G2615,1)),"",IF((AND(RIGHT(G2615,2)=RIGHT('112'!$M$9,2),B2615&lt;'112'!$N$8,$M2615='112'!$I$6)),"x",""))</f>
        <v/>
      </c>
      <c r="U2615" s="525" t="str">
        <f>IF(AND(B2615&gt;='IN-NX'!$P$3,B2615&lt;='IN-NX'!$Q$3,'IN-NX'!$D$7=D2615,OR(LEFT(L2615,2)="15",AND(LEFT(M2615,2)&lt;&gt;"15",LEFT(M2615,2)&lt;&gt;"33"))),"x","")</f>
        <v/>
      </c>
      <c r="V2615" s="525" t="str">
        <f>IF(AND(OR(LEFT(TH!L2615,2)="15",LEFT(TH!M2615,2)="15"),'152-CT'!$J$8=TH!F2615),"x","")</f>
        <v/>
      </c>
      <c r="W2615" s="525" t="str">
        <f>IF(AND(OR(LEFT(TH!L2615,2)="15",LEFT(TH!M2615,2)="15"),TK!$E$7=TH!F2615),"x","")</f>
        <v/>
      </c>
      <c r="X2615" s="525" t="str">
        <f>IF(AND('341-CT'!$E$9=H2615,OR(LEFT(L2615,3)=$X$7,LEFT(M2615,3)=$X$7)),"x","")</f>
        <v/>
      </c>
      <c r="Y2615" s="525" t="str">
        <f>IF(OR(TH!L2615=TH!$Y$7,M2615=TH!$Y$7),"x","")</f>
        <v/>
      </c>
      <c r="Z2615" s="525" t="str">
        <f>IF(AND(B2615&lt;=NKC!$N$8,B2615&gt;=NKC!$M$8),"x","")</f>
        <v/>
      </c>
      <c r="AA2615" s="535"/>
      <c r="AB2615" s="536"/>
    </row>
    <row r="2616" spans="1:28" s="503" customFormat="1" ht="15.75" customHeight="1">
      <c r="A2616" s="517" t="str">
        <f>IF(B2616&lt;&gt;"",IF(AND(B2616&gt;=_TM1,B2616&lt;=_TM2,OR(TH!L2616="1111",TH!M2616="1111")),TH!D2616,""),"")</f>
        <v/>
      </c>
      <c r="B2616" s="531">
        <f t="shared" si="227"/>
        <v>5</v>
      </c>
      <c r="C2616" s="315">
        <f t="shared" si="228"/>
        <v>42886</v>
      </c>
      <c r="D2616" s="315" t="s">
        <v>934</v>
      </c>
      <c r="E2616" s="315">
        <v>42886</v>
      </c>
      <c r="F2616" s="250" t="s">
        <v>1178</v>
      </c>
      <c r="G2616" s="314" t="s">
        <v>1141</v>
      </c>
      <c r="H2616" s="473" t="s">
        <v>284</v>
      </c>
      <c r="I2616" s="307">
        <v>6</v>
      </c>
      <c r="J2616" s="307">
        <v>11806</v>
      </c>
      <c r="K2616" s="532">
        <f t="shared" si="230"/>
        <v>70836</v>
      </c>
      <c r="L2616" s="534" t="s">
        <v>223</v>
      </c>
      <c r="M2616" s="534" t="s">
        <v>162</v>
      </c>
      <c r="N2616" s="525" t="str">
        <f>IF(AND('331-CT'!$E$7=TH!H2616,OR(L2616="331",M2616="331")),"331",IF(AND(OR(L2616="131",M2616="131"),H2616='131-CT'!$E$7),"131",""))</f>
        <v/>
      </c>
      <c r="O2616" s="525" t="str">
        <f>IF(AND($B2616&gt;='111'!$N$11,$B2616&lt;='111'!$O$11,OR($L2616=$O$7,$M2616=$O$7)),"x","")</f>
        <v/>
      </c>
      <c r="P2616" s="525" t="str">
        <f>IF(AND($L2616=$O$7,$B2616&lt;'111'!$N$11),"x","")</f>
        <v/>
      </c>
      <c r="Q2616" s="525" t="str">
        <f>IF(AND($M2616=$O$7,$B2616&lt;'111'!$N$11),"x","")</f>
        <v/>
      </c>
      <c r="R2616" s="525" t="str">
        <f>IF(ISERROR(FIND('112'!$M$9,G2616,1)),"",IF((AND(FIND('112'!$M$9,G2616,1)&gt;=1,$B2616&gt;='112'!$N$8,$B2616&lt;='112'!$O$8,OR($L2616='112'!$I$6,$M2616='112'!$I$6))),"x",""))</f>
        <v/>
      </c>
      <c r="S2616" s="525" t="str">
        <f>IF(ISERROR(FIND('112'!$M$9,G2616,1)),"",IF((AND(LEFT(G2616,2)=LEFT('112'!$M$9,2),B2616&lt;'112'!$N$8,$L2616='112'!$I$6)),"x",""))</f>
        <v/>
      </c>
      <c r="T2616" s="525" t="str">
        <f>IF(ISERROR(FIND('112'!$M$9,G2616,1)),"",IF((AND(RIGHT(G2616,2)=RIGHT('112'!$M$9,2),B2616&lt;'112'!$N$8,$M2616='112'!$I$6)),"x",""))</f>
        <v/>
      </c>
      <c r="U2616" s="525" t="str">
        <f>IF(AND(B2616&gt;='IN-NX'!$P$3,B2616&lt;='IN-NX'!$Q$3,'IN-NX'!$D$7=D2616,OR(LEFT(L2616,2)="15",AND(LEFT(M2616,2)&lt;&gt;"15",LEFT(M2616,2)&lt;&gt;"33"))),"x","")</f>
        <v/>
      </c>
      <c r="V2616" s="525" t="str">
        <f>IF(AND(OR(LEFT(TH!L2616,2)="15",LEFT(TH!M2616,2)="15"),'152-CT'!$J$8=TH!F2616),"x","")</f>
        <v/>
      </c>
      <c r="W2616" s="525" t="str">
        <f>IF(AND(OR(LEFT(TH!L2616,2)="15",LEFT(TH!M2616,2)="15"),TK!$E$7=TH!F2616),"x","")</f>
        <v/>
      </c>
      <c r="X2616" s="525" t="str">
        <f>IF(AND('341-CT'!$E$9=H2616,OR(LEFT(L2616,3)=$X$7,LEFT(M2616,3)=$X$7)),"x","")</f>
        <v/>
      </c>
      <c r="Y2616" s="525" t="str">
        <f>IF(OR(TH!L2616=TH!$Y$7,M2616=TH!$Y$7),"x","")</f>
        <v/>
      </c>
      <c r="Z2616" s="525" t="str">
        <f>IF(AND(B2616&lt;=NKC!$N$8,B2616&gt;=NKC!$M$8),"x","")</f>
        <v/>
      </c>
      <c r="AA2616" s="535"/>
      <c r="AB2616" s="536"/>
    </row>
    <row r="2617" spans="1:28" s="503" customFormat="1" ht="15.75" customHeight="1">
      <c r="A2617" s="517" t="str">
        <f>IF(B2617&lt;&gt;"",IF(AND(B2617&gt;=_TM1,B2617&lt;=_TM2,OR(TH!L2617="1111",TH!M2617="1111")),TH!D2617,""),"")</f>
        <v/>
      </c>
      <c r="B2617" s="531">
        <f t="shared" si="227"/>
        <v>5</v>
      </c>
      <c r="C2617" s="315">
        <f t="shared" si="228"/>
        <v>42886</v>
      </c>
      <c r="D2617" s="315" t="s">
        <v>934</v>
      </c>
      <c r="E2617" s="315">
        <v>42886</v>
      </c>
      <c r="F2617" s="555" t="s">
        <v>1179</v>
      </c>
      <c r="G2617" s="314" t="s">
        <v>1141</v>
      </c>
      <c r="H2617" s="473" t="s">
        <v>284</v>
      </c>
      <c r="I2617" s="307">
        <v>12</v>
      </c>
      <c r="J2617" s="307">
        <v>16332</v>
      </c>
      <c r="K2617" s="532">
        <f t="shared" si="230"/>
        <v>195984</v>
      </c>
      <c r="L2617" s="534" t="s">
        <v>223</v>
      </c>
      <c r="M2617" s="534" t="s">
        <v>162</v>
      </c>
      <c r="N2617" s="525" t="str">
        <f>IF(AND('331-CT'!$E$7=TH!H2617,OR(L2617="331",M2617="331")),"331",IF(AND(OR(L2617="131",M2617="131"),H2617='131-CT'!$E$7),"131",""))</f>
        <v/>
      </c>
      <c r="O2617" s="525" t="str">
        <f>IF(AND($B2617&gt;='111'!$N$11,$B2617&lt;='111'!$O$11,OR($L2617=$O$7,$M2617=$O$7)),"x","")</f>
        <v/>
      </c>
      <c r="P2617" s="525" t="str">
        <f>IF(AND($L2617=$O$7,$B2617&lt;'111'!$N$11),"x","")</f>
        <v/>
      </c>
      <c r="Q2617" s="525" t="str">
        <f>IF(AND($M2617=$O$7,$B2617&lt;'111'!$N$11),"x","")</f>
        <v/>
      </c>
      <c r="R2617" s="525" t="str">
        <f>IF(ISERROR(FIND('112'!$M$9,G2617,1)),"",IF((AND(FIND('112'!$M$9,G2617,1)&gt;=1,$B2617&gt;='112'!$N$8,$B2617&lt;='112'!$O$8,OR($L2617='112'!$I$6,$M2617='112'!$I$6))),"x",""))</f>
        <v/>
      </c>
      <c r="S2617" s="525" t="str">
        <f>IF(ISERROR(FIND('112'!$M$9,G2617,1)),"",IF((AND(LEFT(G2617,2)=LEFT('112'!$M$9,2),B2617&lt;'112'!$N$8,$L2617='112'!$I$6)),"x",""))</f>
        <v/>
      </c>
      <c r="T2617" s="525" t="str">
        <f>IF(ISERROR(FIND('112'!$M$9,G2617,1)),"",IF((AND(RIGHT(G2617,2)=RIGHT('112'!$M$9,2),B2617&lt;'112'!$N$8,$M2617='112'!$I$6)),"x",""))</f>
        <v/>
      </c>
      <c r="U2617" s="525" t="str">
        <f>IF(AND(B2617&gt;='IN-NX'!$P$3,B2617&lt;='IN-NX'!$Q$3,'IN-NX'!$D$7=D2617,OR(LEFT(L2617,2)="15",AND(LEFT(M2617,2)&lt;&gt;"15",LEFT(M2617,2)&lt;&gt;"33"))),"x","")</f>
        <v/>
      </c>
      <c r="V2617" s="525" t="str">
        <f>IF(AND(OR(LEFT(TH!L2617,2)="15",LEFT(TH!M2617,2)="15"),'152-CT'!$J$8=TH!F2617),"x","")</f>
        <v/>
      </c>
      <c r="W2617" s="525" t="str">
        <f>IF(AND(OR(LEFT(TH!L2617,2)="15",LEFT(TH!M2617,2)="15"),TK!$E$7=TH!F2617),"x","")</f>
        <v/>
      </c>
      <c r="X2617" s="525" t="str">
        <f>IF(AND('341-CT'!$E$9=H2617,OR(LEFT(L2617,3)=$X$7,LEFT(M2617,3)=$X$7)),"x","")</f>
        <v/>
      </c>
      <c r="Y2617" s="525" t="str">
        <f>IF(OR(TH!L2617=TH!$Y$7,M2617=TH!$Y$7),"x","")</f>
        <v/>
      </c>
      <c r="Z2617" s="525" t="str">
        <f>IF(AND(B2617&lt;=NKC!$N$8,B2617&gt;=NKC!$M$8),"x","")</f>
        <v/>
      </c>
      <c r="AA2617" s="535"/>
      <c r="AB2617" s="536"/>
    </row>
    <row r="2618" spans="1:28" s="503" customFormat="1" ht="15.75" customHeight="1">
      <c r="A2618" s="517" t="str">
        <f>IF(B2618&lt;&gt;"",IF(AND(B2618&gt;=_TM1,B2618&lt;=_TM2,OR(TH!L2618="1111",TH!M2618="1111")),TH!D2618,""),"")</f>
        <v/>
      </c>
      <c r="B2618" s="531">
        <f t="shared" si="227"/>
        <v>5</v>
      </c>
      <c r="C2618" s="315">
        <f t="shared" si="228"/>
        <v>42886</v>
      </c>
      <c r="D2618" s="315" t="s">
        <v>934</v>
      </c>
      <c r="E2618" s="315">
        <v>42886</v>
      </c>
      <c r="F2618" s="249" t="s">
        <v>713</v>
      </c>
      <c r="G2618" s="314" t="s">
        <v>1141</v>
      </c>
      <c r="H2618" s="473" t="s">
        <v>284</v>
      </c>
      <c r="I2618" s="307">
        <v>30</v>
      </c>
      <c r="J2618" s="307">
        <v>20895</v>
      </c>
      <c r="K2618" s="532">
        <f t="shared" si="230"/>
        <v>626850</v>
      </c>
      <c r="L2618" s="534" t="s">
        <v>223</v>
      </c>
      <c r="M2618" s="534" t="s">
        <v>162</v>
      </c>
      <c r="N2618" s="525" t="str">
        <f>IF(AND('331-CT'!$E$7=TH!H2618,OR(L2618="331",M2618="331")),"331",IF(AND(OR(L2618="131",M2618="131"),H2618='131-CT'!$E$7),"131",""))</f>
        <v/>
      </c>
      <c r="O2618" s="525" t="str">
        <f>IF(AND($B2618&gt;='111'!$N$11,$B2618&lt;='111'!$O$11,OR($L2618=$O$7,$M2618=$O$7)),"x","")</f>
        <v/>
      </c>
      <c r="P2618" s="525" t="str">
        <f>IF(AND($L2618=$O$7,$B2618&lt;'111'!$N$11),"x","")</f>
        <v/>
      </c>
      <c r="Q2618" s="525" t="str">
        <f>IF(AND($M2618=$O$7,$B2618&lt;'111'!$N$11),"x","")</f>
        <v/>
      </c>
      <c r="R2618" s="525" t="str">
        <f>IF(ISERROR(FIND('112'!$M$9,G2618,1)),"",IF((AND(FIND('112'!$M$9,G2618,1)&gt;=1,$B2618&gt;='112'!$N$8,$B2618&lt;='112'!$O$8,OR($L2618='112'!$I$6,$M2618='112'!$I$6))),"x",""))</f>
        <v/>
      </c>
      <c r="S2618" s="525" t="str">
        <f>IF(ISERROR(FIND('112'!$M$9,G2618,1)),"",IF((AND(LEFT(G2618,2)=LEFT('112'!$M$9,2),B2618&lt;'112'!$N$8,$L2618='112'!$I$6)),"x",""))</f>
        <v/>
      </c>
      <c r="T2618" s="525" t="str">
        <f>IF(ISERROR(FIND('112'!$M$9,G2618,1)),"",IF((AND(RIGHT(G2618,2)=RIGHT('112'!$M$9,2),B2618&lt;'112'!$N$8,$M2618='112'!$I$6)),"x",""))</f>
        <v/>
      </c>
      <c r="U2618" s="525" t="str">
        <f>IF(AND(B2618&gt;='IN-NX'!$P$3,B2618&lt;='IN-NX'!$Q$3,'IN-NX'!$D$7=D2618,OR(LEFT(L2618,2)="15",AND(LEFT(M2618,2)&lt;&gt;"15",LEFT(M2618,2)&lt;&gt;"33"))),"x","")</f>
        <v/>
      </c>
      <c r="V2618" s="525" t="str">
        <f>IF(AND(OR(LEFT(TH!L2618,2)="15",LEFT(TH!M2618,2)="15"),'152-CT'!$J$8=TH!F2618),"x","")</f>
        <v/>
      </c>
      <c r="W2618" s="525" t="str">
        <f>IF(AND(OR(LEFT(TH!L2618,2)="15",LEFT(TH!M2618,2)="15"),TK!$E$7=TH!F2618),"x","")</f>
        <v/>
      </c>
      <c r="X2618" s="525" t="str">
        <f>IF(AND('341-CT'!$E$9=H2618,OR(LEFT(L2618,3)=$X$7,LEFT(M2618,3)=$X$7)),"x","")</f>
        <v/>
      </c>
      <c r="Y2618" s="525" t="str">
        <f>IF(OR(TH!L2618=TH!$Y$7,M2618=TH!$Y$7),"x","")</f>
        <v/>
      </c>
      <c r="Z2618" s="525" t="str">
        <f>IF(AND(B2618&lt;=NKC!$N$8,B2618&gt;=NKC!$M$8),"x","")</f>
        <v/>
      </c>
      <c r="AA2618" s="535"/>
      <c r="AB2618" s="536"/>
    </row>
    <row r="2619" spans="1:28" s="503" customFormat="1" ht="15.75" customHeight="1">
      <c r="A2619" s="517" t="str">
        <f>IF(B2619&lt;&gt;"",IF(AND(B2619&gt;=_TM1,B2619&lt;=_TM2,OR(TH!L2619="1111",TH!M2619="1111")),TH!D2619,""),"")</f>
        <v/>
      </c>
      <c r="B2619" s="531">
        <f t="shared" si="227"/>
        <v>5</v>
      </c>
      <c r="C2619" s="315">
        <f t="shared" si="228"/>
        <v>42886</v>
      </c>
      <c r="D2619" s="315" t="s">
        <v>934</v>
      </c>
      <c r="E2619" s="315">
        <v>42886</v>
      </c>
      <c r="F2619" s="249" t="s">
        <v>494</v>
      </c>
      <c r="G2619" s="314" t="s">
        <v>1141</v>
      </c>
      <c r="H2619" s="473" t="s">
        <v>284</v>
      </c>
      <c r="I2619" s="307"/>
      <c r="J2619" s="307"/>
      <c r="K2619" s="532">
        <v>10240455</v>
      </c>
      <c r="L2619" s="534" t="s">
        <v>223</v>
      </c>
      <c r="M2619" s="534" t="s">
        <v>259</v>
      </c>
      <c r="N2619" s="525" t="str">
        <f>IF(AND('331-CT'!$E$7=TH!H2619,OR(L2619="331",M2619="331")),"331",IF(AND(OR(L2619="131",M2619="131"),H2619='131-CT'!$E$7),"131",""))</f>
        <v/>
      </c>
      <c r="O2619" s="525" t="str">
        <f>IF(AND($B2619&gt;='111'!$N$11,$B2619&lt;='111'!$O$11,OR($L2619=$O$7,$M2619=$O$7)),"x","")</f>
        <v/>
      </c>
      <c r="P2619" s="525" t="str">
        <f>IF(AND($L2619=$O$7,$B2619&lt;'111'!$N$11),"x","")</f>
        <v/>
      </c>
      <c r="Q2619" s="525" t="str">
        <f>IF(AND($M2619=$O$7,$B2619&lt;'111'!$N$11),"x","")</f>
        <v/>
      </c>
      <c r="R2619" s="525" t="str">
        <f>IF(ISERROR(FIND('112'!$M$9,G2619,1)),"",IF((AND(FIND('112'!$M$9,G2619,1)&gt;=1,$B2619&gt;='112'!$N$8,$B2619&lt;='112'!$O$8,OR($L2619='112'!$I$6,$M2619='112'!$I$6))),"x",""))</f>
        <v/>
      </c>
      <c r="S2619" s="525" t="str">
        <f>IF(ISERROR(FIND('112'!$M$9,G2619,1)),"",IF((AND(LEFT(G2619,2)=LEFT('112'!$M$9,2),B2619&lt;'112'!$N$8,$L2619='112'!$I$6)),"x",""))</f>
        <v/>
      </c>
      <c r="T2619" s="525" t="str">
        <f>IF(ISERROR(FIND('112'!$M$9,G2619,1)),"",IF((AND(RIGHT(G2619,2)=RIGHT('112'!$M$9,2),B2619&lt;'112'!$N$8,$M2619='112'!$I$6)),"x",""))</f>
        <v/>
      </c>
      <c r="U2619" s="525" t="str">
        <f>IF(AND(B2619&gt;='IN-NX'!$P$3,B2619&lt;='IN-NX'!$Q$3,'IN-NX'!$D$7=D2619,OR(LEFT(L2619,2)="15",AND(LEFT(M2619,2)&lt;&gt;"15",LEFT(M2619,2)&lt;&gt;"33"))),"x","")</f>
        <v/>
      </c>
      <c r="V2619" s="525" t="str">
        <f>IF(AND(OR(LEFT(TH!L2619,2)="15",LEFT(TH!M2619,2)="15"),'152-CT'!$J$8=TH!F2619),"x","")</f>
        <v/>
      </c>
      <c r="W2619" s="525" t="str">
        <f>IF(AND(OR(LEFT(TH!L2619,2)="15",LEFT(TH!M2619,2)="15"),TK!$E$7=TH!F2619),"x","")</f>
        <v/>
      </c>
      <c r="X2619" s="525" t="str">
        <f>IF(AND('341-CT'!$E$9=H2619,OR(LEFT(L2619,3)=$X$7,LEFT(M2619,3)=$X$7)),"x","")</f>
        <v/>
      </c>
      <c r="Y2619" s="525" t="str">
        <f>IF(OR(TH!L2619=TH!$Y$7,M2619=TH!$Y$7),"x","")</f>
        <v/>
      </c>
      <c r="Z2619" s="525" t="str">
        <f>IF(AND(B2619&lt;=NKC!$N$8,B2619&gt;=NKC!$M$8),"x","")</f>
        <v/>
      </c>
      <c r="AA2619" s="535"/>
      <c r="AB2619" s="536"/>
    </row>
    <row r="2620" spans="1:28" s="503" customFormat="1" ht="15.75" customHeight="1">
      <c r="A2620" s="517" t="str">
        <f>IF(B2620&lt;&gt;"",IF(AND(B2620&gt;=_TM1,B2620&lt;=_TM2,OR(TH!L2620="1111",TH!M2620="1111")),TH!D2620,""),"")</f>
        <v/>
      </c>
      <c r="B2620" s="531">
        <f t="shared" si="227"/>
        <v>5</v>
      </c>
      <c r="C2620" s="315">
        <f t="shared" si="228"/>
        <v>42886</v>
      </c>
      <c r="D2620" s="315" t="s">
        <v>935</v>
      </c>
      <c r="E2620" s="315">
        <v>42886</v>
      </c>
      <c r="F2620" s="250" t="s">
        <v>1217</v>
      </c>
      <c r="G2620" s="314" t="s">
        <v>1222</v>
      </c>
      <c r="H2620" s="473" t="s">
        <v>1218</v>
      </c>
      <c r="I2620" s="307">
        <v>2030</v>
      </c>
      <c r="J2620" s="307">
        <v>8800</v>
      </c>
      <c r="K2620" s="532">
        <f>ROUND(I2620*J2620,0)</f>
        <v>17864000</v>
      </c>
      <c r="L2620" s="534" t="s">
        <v>223</v>
      </c>
      <c r="M2620" s="534" t="s">
        <v>162</v>
      </c>
      <c r="N2620" s="525" t="str">
        <f>IF(AND('331-CT'!$E$7=TH!H2620,OR(L2620="331",M2620="331")),"331",IF(AND(OR(L2620="131",M2620="131"),H2620='131-CT'!$E$7),"131",""))</f>
        <v/>
      </c>
      <c r="O2620" s="525" t="str">
        <f>IF(AND($B2620&gt;='111'!$N$11,$B2620&lt;='111'!$O$11,OR($L2620=$O$7,$M2620=$O$7)),"x","")</f>
        <v/>
      </c>
      <c r="P2620" s="525" t="str">
        <f>IF(AND($L2620=$O$7,$B2620&lt;'111'!$N$11),"x","")</f>
        <v/>
      </c>
      <c r="Q2620" s="525" t="str">
        <f>IF(AND($M2620=$O$7,$B2620&lt;'111'!$N$11),"x","")</f>
        <v/>
      </c>
      <c r="R2620" s="525" t="str">
        <f>IF(ISERROR(FIND('112'!$M$9,G2620,1)),"",IF((AND(FIND('112'!$M$9,G2620,1)&gt;=1,$B2620&gt;='112'!$N$8,$B2620&lt;='112'!$O$8,OR($L2620='112'!$I$6,$M2620='112'!$I$6))),"x",""))</f>
        <v/>
      </c>
      <c r="S2620" s="525" t="str">
        <f>IF(ISERROR(FIND('112'!$M$9,G2620,1)),"",IF((AND(LEFT(G2620,2)=LEFT('112'!$M$9,2),B2620&lt;'112'!$N$8,$L2620='112'!$I$6)),"x",""))</f>
        <v/>
      </c>
      <c r="T2620" s="525" t="str">
        <f>IF(ISERROR(FIND('112'!$M$9,G2620,1)),"",IF((AND(RIGHT(G2620,2)=RIGHT('112'!$M$9,2),B2620&lt;'112'!$N$8,$M2620='112'!$I$6)),"x",""))</f>
        <v/>
      </c>
      <c r="U2620" s="525" t="str">
        <f>IF(AND(B2620&gt;='IN-NX'!$P$3,B2620&lt;='IN-NX'!$Q$3,'IN-NX'!$D$7=D2620,OR(LEFT(L2620,2)="15",AND(LEFT(M2620,2)&lt;&gt;"15",LEFT(M2620,2)&lt;&gt;"33"))),"x","")</f>
        <v/>
      </c>
      <c r="V2620" s="525" t="str">
        <f>IF(AND(OR(LEFT(TH!L2620,2)="15",LEFT(TH!M2620,2)="15"),'152-CT'!$J$8=TH!F2620),"x","")</f>
        <v/>
      </c>
      <c r="W2620" s="525" t="str">
        <f>IF(AND(OR(LEFT(TH!L2620,2)="15",LEFT(TH!M2620,2)="15"),TK!$E$7=TH!F2620),"x","")</f>
        <v/>
      </c>
      <c r="X2620" s="525" t="str">
        <f>IF(AND('341-CT'!$E$9=H2620,OR(LEFT(L2620,3)=$X$7,LEFT(M2620,3)=$X$7)),"x","")</f>
        <v/>
      </c>
      <c r="Y2620" s="525" t="str">
        <f>IF(OR(TH!L2620=TH!$Y$7,M2620=TH!$Y$7),"x","")</f>
        <v/>
      </c>
      <c r="Z2620" s="525" t="str">
        <f>IF(AND(B2620&lt;=NKC!$N$8,B2620&gt;=NKC!$M$8),"x","")</f>
        <v/>
      </c>
      <c r="AA2620" s="535"/>
      <c r="AB2620" s="536"/>
    </row>
    <row r="2621" spans="1:28" s="503" customFormat="1" ht="15.75" customHeight="1">
      <c r="A2621" s="517" t="str">
        <f>IF(B2621&lt;&gt;"",IF(AND(B2621&gt;=_TM1,B2621&lt;=_TM2,OR(TH!L2621="1111",TH!M2621="1111")),TH!D2621,""),"")</f>
        <v/>
      </c>
      <c r="B2621" s="531">
        <f t="shared" si="227"/>
        <v>5</v>
      </c>
      <c r="C2621" s="315">
        <f t="shared" si="228"/>
        <v>42886</v>
      </c>
      <c r="D2621" s="315" t="s">
        <v>935</v>
      </c>
      <c r="E2621" s="315">
        <v>42886</v>
      </c>
      <c r="F2621" s="249" t="s">
        <v>494</v>
      </c>
      <c r="G2621" s="314" t="s">
        <v>1222</v>
      </c>
      <c r="H2621" s="473" t="s">
        <v>1218</v>
      </c>
      <c r="I2621" s="307"/>
      <c r="J2621" s="307"/>
      <c r="K2621" s="532">
        <v>1786400</v>
      </c>
      <c r="L2621" s="534" t="s">
        <v>223</v>
      </c>
      <c r="M2621" s="534" t="s">
        <v>259</v>
      </c>
      <c r="N2621" s="525" t="str">
        <f>IF(AND('331-CT'!$E$7=TH!H2621,OR(L2621="331",M2621="331")),"331",IF(AND(OR(L2621="131",M2621="131"),H2621='131-CT'!$E$7),"131",""))</f>
        <v/>
      </c>
      <c r="O2621" s="525" t="str">
        <f>IF(AND($B2621&gt;='111'!$N$11,$B2621&lt;='111'!$O$11,OR($L2621=$O$7,$M2621=$O$7)),"x","")</f>
        <v/>
      </c>
      <c r="P2621" s="525" t="str">
        <f>IF(AND($L2621=$O$7,$B2621&lt;'111'!$N$11),"x","")</f>
        <v/>
      </c>
      <c r="Q2621" s="525" t="str">
        <f>IF(AND($M2621=$O$7,$B2621&lt;'111'!$N$11),"x","")</f>
        <v/>
      </c>
      <c r="R2621" s="525" t="str">
        <f>IF(ISERROR(FIND('112'!$M$9,G2621,1)),"",IF((AND(FIND('112'!$M$9,G2621,1)&gt;=1,$B2621&gt;='112'!$N$8,$B2621&lt;='112'!$O$8,OR($L2621='112'!$I$6,$M2621='112'!$I$6))),"x",""))</f>
        <v/>
      </c>
      <c r="S2621" s="525" t="str">
        <f>IF(ISERROR(FIND('112'!$M$9,G2621,1)),"",IF((AND(LEFT(G2621,2)=LEFT('112'!$M$9,2),B2621&lt;'112'!$N$8,$L2621='112'!$I$6)),"x",""))</f>
        <v/>
      </c>
      <c r="T2621" s="525" t="str">
        <f>IF(ISERROR(FIND('112'!$M$9,G2621,1)),"",IF((AND(RIGHT(G2621,2)=RIGHT('112'!$M$9,2),B2621&lt;'112'!$N$8,$M2621='112'!$I$6)),"x",""))</f>
        <v/>
      </c>
      <c r="U2621" s="525" t="str">
        <f>IF(AND(B2621&gt;='IN-NX'!$P$3,B2621&lt;='IN-NX'!$Q$3,'IN-NX'!$D$7=D2621,OR(LEFT(L2621,2)="15",AND(LEFT(M2621,2)&lt;&gt;"15",LEFT(M2621,2)&lt;&gt;"33"))),"x","")</f>
        <v/>
      </c>
      <c r="V2621" s="525" t="str">
        <f>IF(AND(OR(LEFT(TH!L2621,2)="15",LEFT(TH!M2621,2)="15"),'152-CT'!$J$8=TH!F2621),"x","")</f>
        <v/>
      </c>
      <c r="W2621" s="525" t="str">
        <f>IF(AND(OR(LEFT(TH!L2621,2)="15",LEFT(TH!M2621,2)="15"),TK!$E$7=TH!F2621),"x","")</f>
        <v/>
      </c>
      <c r="X2621" s="525" t="str">
        <f>IF(AND('341-CT'!$E$9=H2621,OR(LEFT(L2621,3)=$X$7,LEFT(M2621,3)=$X$7)),"x","")</f>
        <v/>
      </c>
      <c r="Y2621" s="525" t="str">
        <f>IF(OR(TH!L2621=TH!$Y$7,M2621=TH!$Y$7),"x","")</f>
        <v/>
      </c>
      <c r="Z2621" s="525" t="str">
        <f>IF(AND(B2621&lt;=NKC!$N$8,B2621&gt;=NKC!$M$8),"x","")</f>
        <v/>
      </c>
      <c r="AA2621" s="535"/>
      <c r="AB2621" s="536"/>
    </row>
    <row r="2622" spans="1:28" s="503" customFormat="1" ht="15.75" customHeight="1">
      <c r="A2622" s="517" t="str">
        <f>IF(B2622&lt;&gt;"",IF(AND(B2622&gt;=_TM1,B2622&lt;=_TM2,OR(TH!L2622="1111",TH!M2622="1111")),TH!D2622,""),"")</f>
        <v/>
      </c>
      <c r="B2622" s="531">
        <f t="shared" si="227"/>
        <v>6</v>
      </c>
      <c r="C2622" s="315">
        <f t="shared" si="228"/>
        <v>42888</v>
      </c>
      <c r="D2622" s="315" t="s">
        <v>936</v>
      </c>
      <c r="E2622" s="315">
        <v>42888</v>
      </c>
      <c r="F2622" s="250" t="s">
        <v>1114</v>
      </c>
      <c r="G2622" s="314" t="s">
        <v>1186</v>
      </c>
      <c r="H2622" s="474" t="s">
        <v>280</v>
      </c>
      <c r="I2622" s="307">
        <v>315</v>
      </c>
      <c r="J2622" s="307">
        <v>5885</v>
      </c>
      <c r="K2622" s="532">
        <f>ROUND(I2622*J2622,0)</f>
        <v>1853775</v>
      </c>
      <c r="L2622" s="534" t="s">
        <v>223</v>
      </c>
      <c r="M2622" s="534" t="s">
        <v>162</v>
      </c>
      <c r="N2622" s="525" t="str">
        <f>IF(AND('331-CT'!$E$7=TH!H2622,OR(L2622="331",M2622="331")),"331",IF(AND(OR(L2622="131",M2622="131"),H2622='131-CT'!$E$7),"131",""))</f>
        <v/>
      </c>
      <c r="O2622" s="525" t="str">
        <f>IF(AND($B2622&gt;='111'!$N$11,$B2622&lt;='111'!$O$11,OR($L2622=$O$7,$M2622=$O$7)),"x","")</f>
        <v/>
      </c>
      <c r="P2622" s="525" t="str">
        <f>IF(AND($L2622=$O$7,$B2622&lt;'111'!$N$11),"x","")</f>
        <v/>
      </c>
      <c r="Q2622" s="525" t="str">
        <f>IF(AND($M2622=$O$7,$B2622&lt;'111'!$N$11),"x","")</f>
        <v/>
      </c>
      <c r="R2622" s="525" t="str">
        <f>IF(ISERROR(FIND('112'!$M$9,G2622,1)),"",IF((AND(FIND('112'!$M$9,G2622,1)&gt;=1,$B2622&gt;='112'!$N$8,$B2622&lt;='112'!$O$8,OR($L2622='112'!$I$6,$M2622='112'!$I$6))),"x",""))</f>
        <v/>
      </c>
      <c r="S2622" s="525" t="str">
        <f>IF(ISERROR(FIND('112'!$M$9,G2622,1)),"",IF((AND(LEFT(G2622,2)=LEFT('112'!$M$9,2),B2622&lt;'112'!$N$8,$L2622='112'!$I$6)),"x",""))</f>
        <v/>
      </c>
      <c r="T2622" s="525" t="str">
        <f>IF(ISERROR(FIND('112'!$M$9,G2622,1)),"",IF((AND(RIGHT(G2622,2)=RIGHT('112'!$M$9,2),B2622&lt;'112'!$N$8,$M2622='112'!$I$6)),"x",""))</f>
        <v/>
      </c>
      <c r="U2622" s="525" t="str">
        <f>IF(AND(B2622&gt;='IN-NX'!$P$3,B2622&lt;='IN-NX'!$Q$3,'IN-NX'!$D$7=D2622,OR(LEFT(L2622,2)="15",AND(LEFT(M2622,2)&lt;&gt;"15",LEFT(M2622,2)&lt;&gt;"33"))),"x","")</f>
        <v/>
      </c>
      <c r="V2622" s="525" t="str">
        <f>IF(AND(OR(LEFT(TH!L2622,2)="15",LEFT(TH!M2622,2)="15"),'152-CT'!$J$8=TH!F2622),"x","")</f>
        <v/>
      </c>
      <c r="W2622" s="525" t="str">
        <f>IF(AND(OR(LEFT(TH!L2622,2)="15",LEFT(TH!M2622,2)="15"),TK!$E$7=TH!F2622),"x","")</f>
        <v/>
      </c>
      <c r="X2622" s="525" t="str">
        <f>IF(AND('341-CT'!$E$9=H2622,OR(LEFT(L2622,3)=$X$7,LEFT(M2622,3)=$X$7)),"x","")</f>
        <v/>
      </c>
      <c r="Y2622" s="525" t="str">
        <f>IF(OR(TH!L2622=TH!$Y$7,M2622=TH!$Y$7),"x","")</f>
        <v/>
      </c>
      <c r="Z2622" s="525" t="str">
        <f>IF(AND(B2622&lt;=NKC!$N$8,B2622&gt;=NKC!$M$8),"x","")</f>
        <v/>
      </c>
      <c r="AA2622" s="535"/>
      <c r="AB2622" s="536"/>
    </row>
    <row r="2623" spans="1:28" s="503" customFormat="1" ht="15.75" customHeight="1">
      <c r="A2623" s="517" t="str">
        <f>IF(B2623&lt;&gt;"",IF(AND(B2623&gt;=_TM1,B2623&lt;=_TM2,OR(TH!L2623="1111",TH!M2623="1111")),TH!D2623,""),"")</f>
        <v/>
      </c>
      <c r="B2623" s="531">
        <f t="shared" si="227"/>
        <v>6</v>
      </c>
      <c r="C2623" s="315">
        <f t="shared" si="228"/>
        <v>42888</v>
      </c>
      <c r="D2623" s="315" t="s">
        <v>936</v>
      </c>
      <c r="E2623" s="315">
        <v>42888</v>
      </c>
      <c r="F2623" s="249" t="s">
        <v>494</v>
      </c>
      <c r="G2623" s="314" t="s">
        <v>1186</v>
      </c>
      <c r="H2623" s="474" t="s">
        <v>280</v>
      </c>
      <c r="I2623" s="307"/>
      <c r="J2623" s="307"/>
      <c r="K2623" s="532">
        <v>185378</v>
      </c>
      <c r="L2623" s="534" t="s">
        <v>223</v>
      </c>
      <c r="M2623" s="534" t="s">
        <v>259</v>
      </c>
      <c r="N2623" s="525" t="str">
        <f>IF(AND('331-CT'!$E$7=TH!H2623,OR(L2623="331",M2623="331")),"331",IF(AND(OR(L2623="131",M2623="131"),H2623='131-CT'!$E$7),"131",""))</f>
        <v/>
      </c>
      <c r="O2623" s="525" t="str">
        <f>IF(AND($B2623&gt;='111'!$N$11,$B2623&lt;='111'!$O$11,OR($L2623=$O$7,$M2623=$O$7)),"x","")</f>
        <v/>
      </c>
      <c r="P2623" s="525" t="str">
        <f>IF(AND($L2623=$O$7,$B2623&lt;'111'!$N$11),"x","")</f>
        <v/>
      </c>
      <c r="Q2623" s="525" t="str">
        <f>IF(AND($M2623=$O$7,$B2623&lt;'111'!$N$11),"x","")</f>
        <v/>
      </c>
      <c r="R2623" s="525" t="str">
        <f>IF(ISERROR(FIND('112'!$M$9,G2623,1)),"",IF((AND(FIND('112'!$M$9,G2623,1)&gt;=1,$B2623&gt;='112'!$N$8,$B2623&lt;='112'!$O$8,OR($L2623='112'!$I$6,$M2623='112'!$I$6))),"x",""))</f>
        <v/>
      </c>
      <c r="S2623" s="525" t="str">
        <f>IF(ISERROR(FIND('112'!$M$9,G2623,1)),"",IF((AND(LEFT(G2623,2)=LEFT('112'!$M$9,2),B2623&lt;'112'!$N$8,$L2623='112'!$I$6)),"x",""))</f>
        <v/>
      </c>
      <c r="T2623" s="525" t="str">
        <f>IF(ISERROR(FIND('112'!$M$9,G2623,1)),"",IF((AND(RIGHT(G2623,2)=RIGHT('112'!$M$9,2),B2623&lt;'112'!$N$8,$M2623='112'!$I$6)),"x",""))</f>
        <v/>
      </c>
      <c r="U2623" s="525" t="str">
        <f>IF(AND(B2623&gt;='IN-NX'!$P$3,B2623&lt;='IN-NX'!$Q$3,'IN-NX'!$D$7=D2623,OR(LEFT(L2623,2)="15",AND(LEFT(M2623,2)&lt;&gt;"15",LEFT(M2623,2)&lt;&gt;"33"))),"x","")</f>
        <v/>
      </c>
      <c r="V2623" s="525" t="str">
        <f>IF(AND(OR(LEFT(TH!L2623,2)="15",LEFT(TH!M2623,2)="15"),'152-CT'!$J$8=TH!F2623),"x","")</f>
        <v/>
      </c>
      <c r="W2623" s="525" t="str">
        <f>IF(AND(OR(LEFT(TH!L2623,2)="15",LEFT(TH!M2623,2)="15"),TK!$E$7=TH!F2623),"x","")</f>
        <v/>
      </c>
      <c r="X2623" s="525" t="str">
        <f>IF(AND('341-CT'!$E$9=H2623,OR(LEFT(L2623,3)=$X$7,LEFT(M2623,3)=$X$7)),"x","")</f>
        <v/>
      </c>
      <c r="Y2623" s="525" t="str">
        <f>IF(OR(TH!L2623=TH!$Y$7,M2623=TH!$Y$7),"x","")</f>
        <v/>
      </c>
      <c r="Z2623" s="525" t="str">
        <f>IF(AND(B2623&lt;=NKC!$N$8,B2623&gt;=NKC!$M$8),"x","")</f>
        <v/>
      </c>
      <c r="AA2623" s="535"/>
      <c r="AB2623" s="536"/>
    </row>
    <row r="2624" spans="1:28" s="503" customFormat="1" ht="15.75" customHeight="1">
      <c r="A2624" s="517" t="str">
        <f>IF(B2624&lt;&gt;"",IF(AND(B2624&gt;=_TM1,B2624&lt;=_TM2,OR(TH!L2624="1111",TH!M2624="1111")),TH!D2624,""),"")</f>
        <v/>
      </c>
      <c r="B2624" s="531">
        <f t="shared" si="227"/>
        <v>6</v>
      </c>
      <c r="C2624" s="315">
        <f t="shared" si="228"/>
        <v>42889</v>
      </c>
      <c r="D2624" s="315" t="s">
        <v>937</v>
      </c>
      <c r="E2624" s="315">
        <v>42889</v>
      </c>
      <c r="F2624" s="250" t="s">
        <v>1032</v>
      </c>
      <c r="G2624" s="314" t="s">
        <v>1187</v>
      </c>
      <c r="H2624" s="472" t="s">
        <v>289</v>
      </c>
      <c r="I2624" s="307">
        <v>3400</v>
      </c>
      <c r="J2624" s="307">
        <v>12390</v>
      </c>
      <c r="K2624" s="532">
        <f>ROUND(I2624*J2624,0)</f>
        <v>42126000</v>
      </c>
      <c r="L2624" s="534" t="s">
        <v>223</v>
      </c>
      <c r="M2624" s="534" t="s">
        <v>162</v>
      </c>
      <c r="N2624" s="525" t="str">
        <f>IF(AND('331-CT'!$E$7=TH!H2624,OR(L2624="331",M2624="331")),"331",IF(AND(OR(L2624="131",M2624="131"),H2624='131-CT'!$E$7),"131",""))</f>
        <v/>
      </c>
      <c r="O2624" s="525" t="str">
        <f>IF(AND($B2624&gt;='111'!$N$11,$B2624&lt;='111'!$O$11,OR($L2624=$O$7,$M2624=$O$7)),"x","")</f>
        <v/>
      </c>
      <c r="P2624" s="525" t="str">
        <f>IF(AND($L2624=$O$7,$B2624&lt;'111'!$N$11),"x","")</f>
        <v/>
      </c>
      <c r="Q2624" s="525" t="str">
        <f>IF(AND($M2624=$O$7,$B2624&lt;'111'!$N$11),"x","")</f>
        <v/>
      </c>
      <c r="R2624" s="525" t="str">
        <f>IF(ISERROR(FIND('112'!$M$9,G2624,1)),"",IF((AND(FIND('112'!$M$9,G2624,1)&gt;=1,$B2624&gt;='112'!$N$8,$B2624&lt;='112'!$O$8,OR($L2624='112'!$I$6,$M2624='112'!$I$6))),"x",""))</f>
        <v/>
      </c>
      <c r="S2624" s="525" t="str">
        <f>IF(ISERROR(FIND('112'!$M$9,G2624,1)),"",IF((AND(LEFT(G2624,2)=LEFT('112'!$M$9,2),B2624&lt;'112'!$N$8,$L2624='112'!$I$6)),"x",""))</f>
        <v/>
      </c>
      <c r="T2624" s="525" t="str">
        <f>IF(ISERROR(FIND('112'!$M$9,G2624,1)),"",IF((AND(RIGHT(G2624,2)=RIGHT('112'!$M$9,2),B2624&lt;'112'!$N$8,$M2624='112'!$I$6)),"x",""))</f>
        <v/>
      </c>
      <c r="U2624" s="525" t="str">
        <f>IF(AND(B2624&gt;='IN-NX'!$P$3,B2624&lt;='IN-NX'!$Q$3,'IN-NX'!$D$7=D2624,OR(LEFT(L2624,2)="15",AND(LEFT(M2624,2)&lt;&gt;"15",LEFT(M2624,2)&lt;&gt;"33"))),"x","")</f>
        <v/>
      </c>
      <c r="V2624" s="525" t="str">
        <f>IF(AND(OR(LEFT(TH!L2624,2)="15",LEFT(TH!M2624,2)="15"),'152-CT'!$J$8=TH!F2624),"x","")</f>
        <v/>
      </c>
      <c r="W2624" s="525" t="str">
        <f>IF(AND(OR(LEFT(TH!L2624,2)="15",LEFT(TH!M2624,2)="15"),TK!$E$7=TH!F2624),"x","")</f>
        <v/>
      </c>
      <c r="X2624" s="525" t="str">
        <f>IF(AND('341-CT'!$E$9=H2624,OR(LEFT(L2624,3)=$X$7,LEFT(M2624,3)=$X$7)),"x","")</f>
        <v/>
      </c>
      <c r="Y2624" s="525" t="str">
        <f>IF(OR(TH!L2624=TH!$Y$7,M2624=TH!$Y$7),"x","")</f>
        <v/>
      </c>
      <c r="Z2624" s="525" t="str">
        <f>IF(AND(B2624&lt;=NKC!$N$8,B2624&gt;=NKC!$M$8),"x","")</f>
        <v/>
      </c>
      <c r="AA2624" s="535"/>
      <c r="AB2624" s="536"/>
    </row>
    <row r="2625" spans="1:28" s="503" customFormat="1" ht="15.75" customHeight="1">
      <c r="A2625" s="517" t="str">
        <f>IF(B2625&lt;&gt;"",IF(AND(B2625&gt;=_TM1,B2625&lt;=_TM2,OR(TH!L2625="1111",TH!M2625="1111")),TH!D2625,""),"")</f>
        <v/>
      </c>
      <c r="B2625" s="531">
        <f t="shared" si="227"/>
        <v>6</v>
      </c>
      <c r="C2625" s="315">
        <f t="shared" si="228"/>
        <v>42889</v>
      </c>
      <c r="D2625" s="315" t="s">
        <v>937</v>
      </c>
      <c r="E2625" s="315">
        <v>42889</v>
      </c>
      <c r="F2625" s="249" t="s">
        <v>494</v>
      </c>
      <c r="G2625" s="314" t="s">
        <v>1187</v>
      </c>
      <c r="H2625" s="472" t="s">
        <v>289</v>
      </c>
      <c r="I2625" s="307"/>
      <c r="J2625" s="307"/>
      <c r="K2625" s="532">
        <v>4212600</v>
      </c>
      <c r="L2625" s="534" t="s">
        <v>223</v>
      </c>
      <c r="M2625" s="534" t="s">
        <v>259</v>
      </c>
      <c r="N2625" s="525" t="str">
        <f>IF(AND('331-CT'!$E$7=TH!H2625,OR(L2625="331",M2625="331")),"331",IF(AND(OR(L2625="131",M2625="131"),H2625='131-CT'!$E$7),"131",""))</f>
        <v/>
      </c>
      <c r="O2625" s="525" t="str">
        <f>IF(AND($B2625&gt;='111'!$N$11,$B2625&lt;='111'!$O$11,OR($L2625=$O$7,$M2625=$O$7)),"x","")</f>
        <v/>
      </c>
      <c r="P2625" s="525" t="str">
        <f>IF(AND($L2625=$O$7,$B2625&lt;'111'!$N$11),"x","")</f>
        <v/>
      </c>
      <c r="Q2625" s="525" t="str">
        <f>IF(AND($M2625=$O$7,$B2625&lt;'111'!$N$11),"x","")</f>
        <v/>
      </c>
      <c r="R2625" s="525" t="str">
        <f>IF(ISERROR(FIND('112'!$M$9,G2625,1)),"",IF((AND(FIND('112'!$M$9,G2625,1)&gt;=1,$B2625&gt;='112'!$N$8,$B2625&lt;='112'!$O$8,OR($L2625='112'!$I$6,$M2625='112'!$I$6))),"x",""))</f>
        <v/>
      </c>
      <c r="S2625" s="525" t="str">
        <f>IF(ISERROR(FIND('112'!$M$9,G2625,1)),"",IF((AND(LEFT(G2625,2)=LEFT('112'!$M$9,2),B2625&lt;'112'!$N$8,$L2625='112'!$I$6)),"x",""))</f>
        <v/>
      </c>
      <c r="T2625" s="525" t="str">
        <f>IF(ISERROR(FIND('112'!$M$9,G2625,1)),"",IF((AND(RIGHT(G2625,2)=RIGHT('112'!$M$9,2),B2625&lt;'112'!$N$8,$M2625='112'!$I$6)),"x",""))</f>
        <v/>
      </c>
      <c r="U2625" s="525" t="str">
        <f>IF(AND(B2625&gt;='IN-NX'!$P$3,B2625&lt;='IN-NX'!$Q$3,'IN-NX'!$D$7=D2625,OR(LEFT(L2625,2)="15",AND(LEFT(M2625,2)&lt;&gt;"15",LEFT(M2625,2)&lt;&gt;"33"))),"x","")</f>
        <v/>
      </c>
      <c r="V2625" s="525" t="str">
        <f>IF(AND(OR(LEFT(TH!L2625,2)="15",LEFT(TH!M2625,2)="15"),'152-CT'!$J$8=TH!F2625),"x","")</f>
        <v/>
      </c>
      <c r="W2625" s="525" t="str">
        <f>IF(AND(OR(LEFT(TH!L2625,2)="15",LEFT(TH!M2625,2)="15"),TK!$E$7=TH!F2625),"x","")</f>
        <v/>
      </c>
      <c r="X2625" s="525" t="str">
        <f>IF(AND('341-CT'!$E$9=H2625,OR(LEFT(L2625,3)=$X$7,LEFT(M2625,3)=$X$7)),"x","")</f>
        <v/>
      </c>
      <c r="Y2625" s="525" t="str">
        <f>IF(OR(TH!L2625=TH!$Y$7,M2625=TH!$Y$7),"x","")</f>
        <v/>
      </c>
      <c r="Z2625" s="525" t="str">
        <f>IF(AND(B2625&lt;=NKC!$N$8,B2625&gt;=NKC!$M$8),"x","")</f>
        <v/>
      </c>
      <c r="AA2625" s="535"/>
      <c r="AB2625" s="536"/>
    </row>
    <row r="2626" spans="1:28" s="503" customFormat="1" ht="15.75" customHeight="1">
      <c r="A2626" s="517" t="str">
        <f>IF(B2626&lt;&gt;"",IF(AND(B2626&gt;=_TM1,B2626&lt;=_TM2,OR(TH!L2626="1111",TH!M2626="1111")),TH!D2626,""),"")</f>
        <v/>
      </c>
      <c r="B2626" s="531">
        <f t="shared" si="227"/>
        <v>6</v>
      </c>
      <c r="C2626" s="315">
        <f t="shared" si="228"/>
        <v>42895</v>
      </c>
      <c r="D2626" s="315" t="s">
        <v>1361</v>
      </c>
      <c r="E2626" s="315">
        <v>42895</v>
      </c>
      <c r="F2626" s="249" t="s">
        <v>274</v>
      </c>
      <c r="G2626" s="314" t="s">
        <v>1185</v>
      </c>
      <c r="H2626" s="473" t="s">
        <v>420</v>
      </c>
      <c r="I2626" s="307">
        <v>4165</v>
      </c>
      <c r="J2626" s="307">
        <v>18350</v>
      </c>
      <c r="K2626" s="532">
        <f>ROUND(I2626*J2626,0)</f>
        <v>76427750</v>
      </c>
      <c r="L2626" s="534" t="s">
        <v>292</v>
      </c>
      <c r="M2626" s="534" t="s">
        <v>8</v>
      </c>
      <c r="N2626" s="525" t="str">
        <f>IF(AND('331-CT'!$E$7=TH!H2626,OR(L2626="331",M2626="331")),"331",IF(AND(OR(L2626="131",M2626="131"),H2626='131-CT'!$E$7),"131",""))</f>
        <v/>
      </c>
      <c r="O2626" s="525" t="str">
        <f>IF(AND($B2626&gt;='111'!$N$11,$B2626&lt;='111'!$O$11,OR($L2626=$O$7,$M2626=$O$7)),"x","")</f>
        <v/>
      </c>
      <c r="P2626" s="525" t="str">
        <f>IF(AND($L2626=$O$7,$B2626&lt;'111'!$N$11),"x","")</f>
        <v/>
      </c>
      <c r="Q2626" s="525" t="str">
        <f>IF(AND($M2626=$O$7,$B2626&lt;'111'!$N$11),"x","")</f>
        <v/>
      </c>
      <c r="R2626" s="525" t="str">
        <f>IF(ISERROR(FIND('112'!$M$9,G2626,1)),"",IF((AND(FIND('112'!$M$9,G2626,1)&gt;=1,$B2626&gt;='112'!$N$8,$B2626&lt;='112'!$O$8,OR($L2626='112'!$I$6,$M2626='112'!$I$6))),"x",""))</f>
        <v/>
      </c>
      <c r="S2626" s="525" t="str">
        <f>IF(ISERROR(FIND('112'!$M$9,G2626,1)),"",IF((AND(LEFT(G2626,2)=LEFT('112'!$M$9,2),B2626&lt;'112'!$N$8,$L2626='112'!$I$6)),"x",""))</f>
        <v/>
      </c>
      <c r="T2626" s="525" t="str">
        <f>IF(ISERROR(FIND('112'!$M$9,G2626,1)),"",IF((AND(RIGHT(G2626,2)=RIGHT('112'!$M$9,2),B2626&lt;'112'!$N$8,$M2626='112'!$I$6)),"x",""))</f>
        <v/>
      </c>
      <c r="U2626" s="525" t="str">
        <f>IF(AND(B2626&gt;='IN-NX'!$P$3,B2626&lt;='IN-NX'!$Q$3,'IN-NX'!$D$7=D2626,OR(LEFT(L2626,2)="15",AND(LEFT(M2626,2)&lt;&gt;"15",LEFT(M2626,2)&lt;&gt;"33"))),"x","")</f>
        <v/>
      </c>
      <c r="V2626" s="525" t="str">
        <f>IF(AND(OR(LEFT(TH!L2626,2)="15",LEFT(TH!M2626,2)="15"),'152-CT'!$J$8=TH!F2626),"x","")</f>
        <v/>
      </c>
      <c r="W2626" s="525" t="str">
        <f>IF(AND(OR(LEFT(TH!L2626,2)="15",LEFT(TH!M2626,2)="15"),TK!$E$7=TH!F2626),"x","")</f>
        <v>x</v>
      </c>
      <c r="X2626" s="525" t="str">
        <f>IF(AND('341-CT'!$E$9=H2626,OR(LEFT(L2626,3)=$X$7,LEFT(M2626,3)=$X$7)),"x","")</f>
        <v/>
      </c>
      <c r="Y2626" s="525" t="str">
        <f>IF(OR(TH!L2626=TH!$Y$7,M2626=TH!$Y$7),"x","")</f>
        <v/>
      </c>
      <c r="Z2626" s="525" t="str">
        <f>IF(AND(B2626&lt;=NKC!$N$8,B2626&gt;=NKC!$M$8),"x","")</f>
        <v/>
      </c>
      <c r="AA2626" s="535">
        <v>2</v>
      </c>
      <c r="AB2626" s="536"/>
    </row>
    <row r="2627" spans="1:28" s="503" customFormat="1" ht="15.75" customHeight="1">
      <c r="A2627" s="517" t="str">
        <f>IF(B2627&lt;&gt;"",IF(AND(B2627&gt;=_TM1,B2627&lt;=_TM2,OR(TH!L2627="1111",TH!M2627="1111")),TH!D2627,""),"")</f>
        <v/>
      </c>
      <c r="B2627" s="531">
        <f t="shared" si="227"/>
        <v>6</v>
      </c>
      <c r="C2627" s="315">
        <f t="shared" si="228"/>
        <v>42895</v>
      </c>
      <c r="D2627" s="315" t="s">
        <v>1361</v>
      </c>
      <c r="E2627" s="315">
        <v>42895</v>
      </c>
      <c r="F2627" s="249" t="s">
        <v>501</v>
      </c>
      <c r="G2627" s="314" t="s">
        <v>1185</v>
      </c>
      <c r="H2627" s="473" t="s">
        <v>420</v>
      </c>
      <c r="I2627" s="307"/>
      <c r="J2627" s="307"/>
      <c r="K2627" s="532">
        <v>7642775</v>
      </c>
      <c r="L2627" s="713" t="s">
        <v>9</v>
      </c>
      <c r="M2627" s="534" t="s">
        <v>8</v>
      </c>
      <c r="N2627" s="525" t="str">
        <f>IF(AND('331-CT'!$E$7=TH!H2627,OR(L2627="331",M2627="331")),"331",IF(AND(OR(L2627="131",M2627="131"),H2627='131-CT'!$E$7),"131",""))</f>
        <v/>
      </c>
      <c r="O2627" s="525" t="str">
        <f>IF(AND($B2627&gt;='111'!$N$11,$B2627&lt;='111'!$O$11,OR($L2627=$O$7,$M2627=$O$7)),"x","")</f>
        <v/>
      </c>
      <c r="P2627" s="525" t="str">
        <f>IF(AND($L2627=$O$7,$B2627&lt;'111'!$N$11),"x","")</f>
        <v/>
      </c>
      <c r="Q2627" s="525" t="str">
        <f>IF(AND($M2627=$O$7,$B2627&lt;'111'!$N$11),"x","")</f>
        <v/>
      </c>
      <c r="R2627" s="525" t="str">
        <f>IF(ISERROR(FIND('112'!$M$9,G2627,1)),"",IF((AND(FIND('112'!$M$9,G2627,1)&gt;=1,$B2627&gt;='112'!$N$8,$B2627&lt;='112'!$O$8,OR($L2627='112'!$I$6,$M2627='112'!$I$6))),"x",""))</f>
        <v/>
      </c>
      <c r="S2627" s="525" t="str">
        <f>IF(ISERROR(FIND('112'!$M$9,G2627,1)),"",IF((AND(LEFT(G2627,2)=LEFT('112'!$M$9,2),B2627&lt;'112'!$N$8,$L2627='112'!$I$6)),"x",""))</f>
        <v/>
      </c>
      <c r="T2627" s="525" t="str">
        <f>IF(ISERROR(FIND('112'!$M$9,G2627,1)),"",IF((AND(RIGHT(G2627,2)=RIGHT('112'!$M$9,2),B2627&lt;'112'!$N$8,$M2627='112'!$I$6)),"x",""))</f>
        <v/>
      </c>
      <c r="U2627" s="525" t="str">
        <f>IF(AND(B2627&gt;='IN-NX'!$P$3,B2627&lt;='IN-NX'!$Q$3,'IN-NX'!$D$7=D2627,OR(LEFT(L2627,2)="15",AND(LEFT(M2627,2)&lt;&gt;"15",LEFT(M2627,2)&lt;&gt;"33"))),"x","")</f>
        <v/>
      </c>
      <c r="V2627" s="525" t="str">
        <f>IF(AND(OR(LEFT(TH!L2627,2)="15",LEFT(TH!M2627,2)="15"),'152-CT'!$J$8=TH!F2627),"x","")</f>
        <v/>
      </c>
      <c r="W2627" s="525" t="str">
        <f>IF(AND(OR(LEFT(TH!L2627,2)="15",LEFT(TH!M2627,2)="15"),TK!$E$7=TH!F2627),"x","")</f>
        <v/>
      </c>
      <c r="X2627" s="525" t="str">
        <f>IF(AND('341-CT'!$E$9=H2627,OR(LEFT(L2627,3)=$X$7,LEFT(M2627,3)=$X$7)),"x","")</f>
        <v/>
      </c>
      <c r="Y2627" s="525" t="str">
        <f>IF(OR(TH!L2627=TH!$Y$7,M2627=TH!$Y$7),"x","")</f>
        <v/>
      </c>
      <c r="Z2627" s="525" t="str">
        <f>IF(AND(B2627&lt;=NKC!$N$8,B2627&gt;=NKC!$M$8),"x","")</f>
        <v/>
      </c>
      <c r="AA2627" s="535">
        <v>2</v>
      </c>
      <c r="AB2627" s="536"/>
    </row>
    <row r="2628" spans="1:28" s="503" customFormat="1" ht="15.75" customHeight="1">
      <c r="A2628" s="517" t="str">
        <f>IF(B2628&lt;&gt;"",IF(AND(B2628&gt;=_TM1,B2628&lt;=_TM2,OR(TH!L2628="1111",TH!M2628="1111")),TH!D2628,""),"")</f>
        <v/>
      </c>
      <c r="B2628" s="531">
        <f t="shared" si="227"/>
        <v>6</v>
      </c>
      <c r="C2628" s="315">
        <f t="shared" si="228"/>
        <v>42895</v>
      </c>
      <c r="D2628" s="315" t="s">
        <v>1362</v>
      </c>
      <c r="E2628" s="315">
        <v>42895</v>
      </c>
      <c r="F2628" s="249" t="s">
        <v>273</v>
      </c>
      <c r="G2628" s="314" t="s">
        <v>1256</v>
      </c>
      <c r="H2628" s="473" t="s">
        <v>1142</v>
      </c>
      <c r="I2628" s="307">
        <v>2980</v>
      </c>
      <c r="J2628" s="307">
        <v>18130</v>
      </c>
      <c r="K2628" s="532">
        <f>ROUND(I2628*J2628,0)</f>
        <v>54027400</v>
      </c>
      <c r="L2628" s="534" t="s">
        <v>292</v>
      </c>
      <c r="M2628" s="534" t="s">
        <v>8</v>
      </c>
      <c r="N2628" s="525" t="str">
        <f>IF(AND('331-CT'!$E$7=TH!H2628,OR(L2628="331",M2628="331")),"331",IF(AND(OR(L2628="131",M2628="131"),H2628='131-CT'!$E$7),"131",""))</f>
        <v/>
      </c>
      <c r="O2628" s="525" t="str">
        <f>IF(AND($B2628&gt;='111'!$N$11,$B2628&lt;='111'!$O$11,OR($L2628=$O$7,$M2628=$O$7)),"x","")</f>
        <v/>
      </c>
      <c r="P2628" s="525" t="str">
        <f>IF(AND($L2628=$O$7,$B2628&lt;'111'!$N$11),"x","")</f>
        <v/>
      </c>
      <c r="Q2628" s="525" t="str">
        <f>IF(AND($M2628=$O$7,$B2628&lt;'111'!$N$11),"x","")</f>
        <v/>
      </c>
      <c r="R2628" s="525" t="str">
        <f>IF(ISERROR(FIND('112'!$M$9,G2628,1)),"",IF((AND(FIND('112'!$M$9,G2628,1)&gt;=1,$B2628&gt;='112'!$N$8,$B2628&lt;='112'!$O$8,OR($L2628='112'!$I$6,$M2628='112'!$I$6))),"x",""))</f>
        <v/>
      </c>
      <c r="S2628" s="525" t="str">
        <f>IF(ISERROR(FIND('112'!$M$9,G2628,1)),"",IF((AND(LEFT(G2628,2)=LEFT('112'!$M$9,2),B2628&lt;'112'!$N$8,$L2628='112'!$I$6)),"x",""))</f>
        <v/>
      </c>
      <c r="T2628" s="525" t="str">
        <f>IF(ISERROR(FIND('112'!$M$9,G2628,1)),"",IF((AND(RIGHT(G2628,2)=RIGHT('112'!$M$9,2),B2628&lt;'112'!$N$8,$M2628='112'!$I$6)),"x",""))</f>
        <v/>
      </c>
      <c r="U2628" s="525" t="str">
        <f>IF(AND(B2628&gt;='IN-NX'!$P$3,B2628&lt;='IN-NX'!$Q$3,'IN-NX'!$D$7=D2628,OR(LEFT(L2628,2)="15",AND(LEFT(M2628,2)&lt;&gt;"15",LEFT(M2628,2)&lt;&gt;"33"))),"x","")</f>
        <v/>
      </c>
      <c r="V2628" s="525" t="str">
        <f>IF(AND(OR(LEFT(TH!L2628,2)="15",LEFT(TH!M2628,2)="15"),'152-CT'!$J$8=TH!F2628),"x","")</f>
        <v>x</v>
      </c>
      <c r="W2628" s="525" t="str">
        <f>IF(AND(OR(LEFT(TH!L2628,2)="15",LEFT(TH!M2628,2)="15"),TK!$E$7=TH!F2628),"x","")</f>
        <v/>
      </c>
      <c r="X2628" s="525" t="str">
        <f>IF(AND('341-CT'!$E$9=H2628,OR(LEFT(L2628,3)=$X$7,LEFT(M2628,3)=$X$7)),"x","")</f>
        <v/>
      </c>
      <c r="Y2628" s="525" t="str">
        <f>IF(OR(TH!L2628=TH!$Y$7,M2628=TH!$Y$7),"x","")</f>
        <v/>
      </c>
      <c r="Z2628" s="525" t="str">
        <f>IF(AND(B2628&lt;=NKC!$N$8,B2628&gt;=NKC!$M$8),"x","")</f>
        <v/>
      </c>
      <c r="AA2628" s="535">
        <v>2</v>
      </c>
      <c r="AB2628" s="536"/>
    </row>
    <row r="2629" spans="1:28" s="503" customFormat="1" ht="15.75" customHeight="1">
      <c r="A2629" s="517" t="str">
        <f>IF(B2629&lt;&gt;"",IF(AND(B2629&gt;=_TM1,B2629&lt;=_TM2,OR(TH!L2629="1111",TH!M2629="1111")),TH!D2629,""),"")</f>
        <v/>
      </c>
      <c r="B2629" s="531">
        <f t="shared" si="227"/>
        <v>6</v>
      </c>
      <c r="C2629" s="315">
        <f t="shared" si="228"/>
        <v>42895</v>
      </c>
      <c r="D2629" s="315" t="s">
        <v>1362</v>
      </c>
      <c r="E2629" s="315">
        <v>42895</v>
      </c>
      <c r="F2629" s="249" t="s">
        <v>501</v>
      </c>
      <c r="G2629" s="314" t="s">
        <v>1256</v>
      </c>
      <c r="H2629" s="473" t="s">
        <v>1142</v>
      </c>
      <c r="I2629" s="307"/>
      <c r="J2629" s="307"/>
      <c r="K2629" s="532">
        <v>5402740</v>
      </c>
      <c r="L2629" s="713" t="s">
        <v>9</v>
      </c>
      <c r="M2629" s="534" t="s">
        <v>8</v>
      </c>
      <c r="N2629" s="525" t="str">
        <f>IF(AND('331-CT'!$E$7=TH!H2629,OR(L2629="331",M2629="331")),"331",IF(AND(OR(L2629="131",M2629="131"),H2629='131-CT'!$E$7),"131",""))</f>
        <v/>
      </c>
      <c r="O2629" s="525" t="str">
        <f>IF(AND($B2629&gt;='111'!$N$11,$B2629&lt;='111'!$O$11,OR($L2629=$O$7,$M2629=$O$7)),"x","")</f>
        <v/>
      </c>
      <c r="P2629" s="525" t="str">
        <f>IF(AND($L2629=$O$7,$B2629&lt;'111'!$N$11),"x","")</f>
        <v/>
      </c>
      <c r="Q2629" s="525" t="str">
        <f>IF(AND($M2629=$O$7,$B2629&lt;'111'!$N$11),"x","")</f>
        <v/>
      </c>
      <c r="R2629" s="525" t="str">
        <f>IF(ISERROR(FIND('112'!$M$9,G2629,1)),"",IF((AND(FIND('112'!$M$9,G2629,1)&gt;=1,$B2629&gt;='112'!$N$8,$B2629&lt;='112'!$O$8,OR($L2629='112'!$I$6,$M2629='112'!$I$6))),"x",""))</f>
        <v/>
      </c>
      <c r="S2629" s="525" t="str">
        <f>IF(ISERROR(FIND('112'!$M$9,G2629,1)),"",IF((AND(LEFT(G2629,2)=LEFT('112'!$M$9,2),B2629&lt;'112'!$N$8,$L2629='112'!$I$6)),"x",""))</f>
        <v/>
      </c>
      <c r="T2629" s="525" t="str">
        <f>IF(ISERROR(FIND('112'!$M$9,G2629,1)),"",IF((AND(RIGHT(G2629,2)=RIGHT('112'!$M$9,2),B2629&lt;'112'!$N$8,$M2629='112'!$I$6)),"x",""))</f>
        <v/>
      </c>
      <c r="U2629" s="525" t="str">
        <f>IF(AND(B2629&gt;='IN-NX'!$P$3,B2629&lt;='IN-NX'!$Q$3,'IN-NX'!$D$7=D2629,OR(LEFT(L2629,2)="15",AND(LEFT(M2629,2)&lt;&gt;"15",LEFT(M2629,2)&lt;&gt;"33"))),"x","")</f>
        <v/>
      </c>
      <c r="V2629" s="525" t="str">
        <f>IF(AND(OR(LEFT(TH!L2629,2)="15",LEFT(TH!M2629,2)="15"),'152-CT'!$J$8=TH!F2629),"x","")</f>
        <v/>
      </c>
      <c r="W2629" s="525" t="str">
        <f>IF(AND(OR(LEFT(TH!L2629,2)="15",LEFT(TH!M2629,2)="15"),TK!$E$7=TH!F2629),"x","")</f>
        <v/>
      </c>
      <c r="X2629" s="525" t="str">
        <f>IF(AND('341-CT'!$E$9=H2629,OR(LEFT(L2629,3)=$X$7,LEFT(M2629,3)=$X$7)),"x","")</f>
        <v/>
      </c>
      <c r="Y2629" s="525" t="str">
        <f>IF(OR(TH!L2629=TH!$Y$7,M2629=TH!$Y$7),"x","")</f>
        <v/>
      </c>
      <c r="Z2629" s="525" t="str">
        <f>IF(AND(B2629&lt;=NKC!$N$8,B2629&gt;=NKC!$M$8),"x","")</f>
        <v/>
      </c>
      <c r="AA2629" s="535">
        <v>2</v>
      </c>
      <c r="AB2629" s="536"/>
    </row>
    <row r="2630" spans="1:28" s="503" customFormat="1" ht="15.75" customHeight="1">
      <c r="A2630" s="517" t="str">
        <f>IF(B2630&lt;&gt;"",IF(AND(B2630&gt;=_TM1,B2630&lt;=_TM2,OR(TH!L2630="1111",TH!M2630="1111")),TH!D2630,""),"")</f>
        <v/>
      </c>
      <c r="B2630" s="531">
        <f t="shared" si="227"/>
        <v>6</v>
      </c>
      <c r="C2630" s="315">
        <f t="shared" si="228"/>
        <v>42896</v>
      </c>
      <c r="D2630" s="315" t="s">
        <v>938</v>
      </c>
      <c r="E2630" s="315">
        <v>42896</v>
      </c>
      <c r="F2630" s="249" t="s">
        <v>274</v>
      </c>
      <c r="G2630" s="314" t="s">
        <v>1188</v>
      </c>
      <c r="H2630" s="473" t="s">
        <v>283</v>
      </c>
      <c r="I2630" s="307">
        <v>2900</v>
      </c>
      <c r="J2630" s="307">
        <v>18500</v>
      </c>
      <c r="K2630" s="532">
        <f>ROUND(I2630*J2630,0)</f>
        <v>53650000</v>
      </c>
      <c r="L2630" s="534" t="s">
        <v>223</v>
      </c>
      <c r="M2630" s="534" t="s">
        <v>162</v>
      </c>
      <c r="N2630" s="525" t="str">
        <f>IF(AND('331-CT'!$E$7=TH!H2630,OR(L2630="331",M2630="331")),"331",IF(AND(OR(L2630="131",M2630="131"),H2630='131-CT'!$E$7),"131",""))</f>
        <v/>
      </c>
      <c r="O2630" s="525" t="str">
        <f>IF(AND($B2630&gt;='111'!$N$11,$B2630&lt;='111'!$O$11,OR($L2630=$O$7,$M2630=$O$7)),"x","")</f>
        <v/>
      </c>
      <c r="P2630" s="525" t="str">
        <f>IF(AND($L2630=$O$7,$B2630&lt;'111'!$N$11),"x","")</f>
        <v/>
      </c>
      <c r="Q2630" s="525" t="str">
        <f>IF(AND($M2630=$O$7,$B2630&lt;'111'!$N$11),"x","")</f>
        <v/>
      </c>
      <c r="R2630" s="525" t="str">
        <f>IF(ISERROR(FIND('112'!$M$9,G2630,1)),"",IF((AND(FIND('112'!$M$9,G2630,1)&gt;=1,$B2630&gt;='112'!$N$8,$B2630&lt;='112'!$O$8,OR($L2630='112'!$I$6,$M2630='112'!$I$6))),"x",""))</f>
        <v/>
      </c>
      <c r="S2630" s="525" t="str">
        <f>IF(ISERROR(FIND('112'!$M$9,G2630,1)),"",IF((AND(LEFT(G2630,2)=LEFT('112'!$M$9,2),B2630&lt;'112'!$N$8,$L2630='112'!$I$6)),"x",""))</f>
        <v/>
      </c>
      <c r="T2630" s="525" t="str">
        <f>IF(ISERROR(FIND('112'!$M$9,G2630,1)),"",IF((AND(RIGHT(G2630,2)=RIGHT('112'!$M$9,2),B2630&lt;'112'!$N$8,$M2630='112'!$I$6)),"x",""))</f>
        <v/>
      </c>
      <c r="U2630" s="525" t="str">
        <f>IF(AND(B2630&gt;='IN-NX'!$P$3,B2630&lt;='IN-NX'!$Q$3,'IN-NX'!$D$7=D2630,OR(LEFT(L2630,2)="15",AND(LEFT(M2630,2)&lt;&gt;"15",LEFT(M2630,2)&lt;&gt;"33"))),"x","")</f>
        <v/>
      </c>
      <c r="V2630" s="525" t="str">
        <f>IF(AND(OR(LEFT(TH!L2630,2)="15",LEFT(TH!M2630,2)="15"),'152-CT'!$J$8=TH!F2630),"x","")</f>
        <v/>
      </c>
      <c r="W2630" s="525" t="str">
        <f>IF(AND(OR(LEFT(TH!L2630,2)="15",LEFT(TH!M2630,2)="15"),TK!$E$7=TH!F2630),"x","")</f>
        <v/>
      </c>
      <c r="X2630" s="525" t="str">
        <f>IF(AND('341-CT'!$E$9=H2630,OR(LEFT(L2630,3)=$X$7,LEFT(M2630,3)=$X$7)),"x","")</f>
        <v/>
      </c>
      <c r="Y2630" s="525" t="str">
        <f>IF(OR(TH!L2630=TH!$Y$7,M2630=TH!$Y$7),"x","")</f>
        <v/>
      </c>
      <c r="Z2630" s="525" t="str">
        <f>IF(AND(B2630&lt;=NKC!$N$8,B2630&gt;=NKC!$M$8),"x","")</f>
        <v/>
      </c>
      <c r="AA2630" s="535"/>
      <c r="AB2630" s="536"/>
    </row>
    <row r="2631" spans="1:28" s="503" customFormat="1" ht="15.75" customHeight="1">
      <c r="A2631" s="517" t="str">
        <f>IF(B2631&lt;&gt;"",IF(AND(B2631&gt;=_TM1,B2631&lt;=_TM2,OR(TH!L2631="1111",TH!M2631="1111")),TH!D2631,""),"")</f>
        <v/>
      </c>
      <c r="B2631" s="531">
        <f t="shared" ref="B2631:B2694" si="231">IF(C2631&lt;&gt;"",MONTH(C2631),"")</f>
        <v>6</v>
      </c>
      <c r="C2631" s="315">
        <f t="shared" ref="C2631:C2694" si="232">E2631</f>
        <v>42896</v>
      </c>
      <c r="D2631" s="315" t="s">
        <v>938</v>
      </c>
      <c r="E2631" s="315">
        <v>42896</v>
      </c>
      <c r="F2631" s="249" t="s">
        <v>273</v>
      </c>
      <c r="G2631" s="314" t="s">
        <v>1188</v>
      </c>
      <c r="H2631" s="473" t="s">
        <v>283</v>
      </c>
      <c r="I2631" s="307">
        <v>3100</v>
      </c>
      <c r="J2631" s="307">
        <v>18500</v>
      </c>
      <c r="K2631" s="532">
        <f>ROUND(I2631*J2631,0)</f>
        <v>57350000</v>
      </c>
      <c r="L2631" s="534" t="s">
        <v>223</v>
      </c>
      <c r="M2631" s="534" t="s">
        <v>162</v>
      </c>
      <c r="N2631" s="525" t="str">
        <f>IF(AND('331-CT'!$E$7=TH!H2631,OR(L2631="331",M2631="331")),"331",IF(AND(OR(L2631="131",M2631="131"),H2631='131-CT'!$E$7),"131",""))</f>
        <v/>
      </c>
      <c r="O2631" s="525" t="str">
        <f>IF(AND($B2631&gt;='111'!$N$11,$B2631&lt;='111'!$O$11,OR($L2631=$O$7,$M2631=$O$7)),"x","")</f>
        <v/>
      </c>
      <c r="P2631" s="525" t="str">
        <f>IF(AND($L2631=$O$7,$B2631&lt;'111'!$N$11),"x","")</f>
        <v/>
      </c>
      <c r="Q2631" s="525" t="str">
        <f>IF(AND($M2631=$O$7,$B2631&lt;'111'!$N$11),"x","")</f>
        <v/>
      </c>
      <c r="R2631" s="525" t="str">
        <f>IF(ISERROR(FIND('112'!$M$9,G2631,1)),"",IF((AND(FIND('112'!$M$9,G2631,1)&gt;=1,$B2631&gt;='112'!$N$8,$B2631&lt;='112'!$O$8,OR($L2631='112'!$I$6,$M2631='112'!$I$6))),"x",""))</f>
        <v/>
      </c>
      <c r="S2631" s="525" t="str">
        <f>IF(ISERROR(FIND('112'!$M$9,G2631,1)),"",IF((AND(LEFT(G2631,2)=LEFT('112'!$M$9,2),B2631&lt;'112'!$N$8,$L2631='112'!$I$6)),"x",""))</f>
        <v/>
      </c>
      <c r="T2631" s="525" t="str">
        <f>IF(ISERROR(FIND('112'!$M$9,G2631,1)),"",IF((AND(RIGHT(G2631,2)=RIGHT('112'!$M$9,2),B2631&lt;'112'!$N$8,$M2631='112'!$I$6)),"x",""))</f>
        <v/>
      </c>
      <c r="U2631" s="525" t="str">
        <f>IF(AND(B2631&gt;='IN-NX'!$P$3,B2631&lt;='IN-NX'!$Q$3,'IN-NX'!$D$7=D2631,OR(LEFT(L2631,2)="15",AND(LEFT(M2631,2)&lt;&gt;"15",LEFT(M2631,2)&lt;&gt;"33"))),"x","")</f>
        <v/>
      </c>
      <c r="V2631" s="525" t="str">
        <f>IF(AND(OR(LEFT(TH!L2631,2)="15",LEFT(TH!M2631,2)="15"),'152-CT'!$J$8=TH!F2631),"x","")</f>
        <v/>
      </c>
      <c r="W2631" s="525" t="str">
        <f>IF(AND(OR(LEFT(TH!L2631,2)="15",LEFT(TH!M2631,2)="15"),TK!$E$7=TH!F2631),"x","")</f>
        <v/>
      </c>
      <c r="X2631" s="525" t="str">
        <f>IF(AND('341-CT'!$E$9=H2631,OR(LEFT(L2631,3)=$X$7,LEFT(M2631,3)=$X$7)),"x","")</f>
        <v/>
      </c>
      <c r="Y2631" s="525" t="str">
        <f>IF(OR(TH!L2631=TH!$Y$7,M2631=TH!$Y$7),"x","")</f>
        <v/>
      </c>
      <c r="Z2631" s="525" t="str">
        <f>IF(AND(B2631&lt;=NKC!$N$8,B2631&gt;=NKC!$M$8),"x","")</f>
        <v/>
      </c>
      <c r="AA2631" s="535"/>
      <c r="AB2631" s="536"/>
    </row>
    <row r="2632" spans="1:28" s="503" customFormat="1" ht="15.75" customHeight="1">
      <c r="A2632" s="517" t="str">
        <f>IF(B2632&lt;&gt;"",IF(AND(B2632&gt;=_TM1,B2632&lt;=_TM2,OR(TH!L2632="1111",TH!M2632="1111")),TH!D2632,""),"")</f>
        <v/>
      </c>
      <c r="B2632" s="531">
        <f t="shared" si="231"/>
        <v>6</v>
      </c>
      <c r="C2632" s="315">
        <f t="shared" si="232"/>
        <v>42896</v>
      </c>
      <c r="D2632" s="315" t="s">
        <v>938</v>
      </c>
      <c r="E2632" s="315">
        <v>42896</v>
      </c>
      <c r="F2632" s="249" t="s">
        <v>501</v>
      </c>
      <c r="G2632" s="314" t="s">
        <v>1188</v>
      </c>
      <c r="H2632" s="473" t="s">
        <v>283</v>
      </c>
      <c r="I2632" s="307"/>
      <c r="J2632" s="307"/>
      <c r="K2632" s="532">
        <v>11100000</v>
      </c>
      <c r="L2632" s="534" t="s">
        <v>223</v>
      </c>
      <c r="M2632" s="534" t="s">
        <v>259</v>
      </c>
      <c r="N2632" s="525" t="str">
        <f>IF(AND('331-CT'!$E$7=TH!H2632,OR(L2632="331",M2632="331")),"331",IF(AND(OR(L2632="131",M2632="131"),H2632='131-CT'!$E$7),"131",""))</f>
        <v/>
      </c>
      <c r="O2632" s="525" t="str">
        <f>IF(AND($B2632&gt;='111'!$N$11,$B2632&lt;='111'!$O$11,OR($L2632=$O$7,$M2632=$O$7)),"x","")</f>
        <v/>
      </c>
      <c r="P2632" s="525" t="str">
        <f>IF(AND($L2632=$O$7,$B2632&lt;'111'!$N$11),"x","")</f>
        <v/>
      </c>
      <c r="Q2632" s="525" t="str">
        <f>IF(AND($M2632=$O$7,$B2632&lt;'111'!$N$11),"x","")</f>
        <v/>
      </c>
      <c r="R2632" s="525" t="str">
        <f>IF(ISERROR(FIND('112'!$M$9,G2632,1)),"",IF((AND(FIND('112'!$M$9,G2632,1)&gt;=1,$B2632&gt;='112'!$N$8,$B2632&lt;='112'!$O$8,OR($L2632='112'!$I$6,$M2632='112'!$I$6))),"x",""))</f>
        <v/>
      </c>
      <c r="S2632" s="525" t="str">
        <f>IF(ISERROR(FIND('112'!$M$9,G2632,1)),"",IF((AND(LEFT(G2632,2)=LEFT('112'!$M$9,2),B2632&lt;'112'!$N$8,$L2632='112'!$I$6)),"x",""))</f>
        <v/>
      </c>
      <c r="T2632" s="525" t="str">
        <f>IF(ISERROR(FIND('112'!$M$9,G2632,1)),"",IF((AND(RIGHT(G2632,2)=RIGHT('112'!$M$9,2),B2632&lt;'112'!$N$8,$M2632='112'!$I$6)),"x",""))</f>
        <v/>
      </c>
      <c r="U2632" s="525" t="str">
        <f>IF(AND(B2632&gt;='IN-NX'!$P$3,B2632&lt;='IN-NX'!$Q$3,'IN-NX'!$D$7=D2632,OR(LEFT(L2632,2)="15",AND(LEFT(M2632,2)&lt;&gt;"15",LEFT(M2632,2)&lt;&gt;"33"))),"x","")</f>
        <v/>
      </c>
      <c r="V2632" s="525" t="str">
        <f>IF(AND(OR(LEFT(TH!L2632,2)="15",LEFT(TH!M2632,2)="15"),'152-CT'!$J$8=TH!F2632),"x","")</f>
        <v/>
      </c>
      <c r="W2632" s="525" t="str">
        <f>IF(AND(OR(LEFT(TH!L2632,2)="15",LEFT(TH!M2632,2)="15"),TK!$E$7=TH!F2632),"x","")</f>
        <v/>
      </c>
      <c r="X2632" s="525" t="str">
        <f>IF(AND('341-CT'!$E$9=H2632,OR(LEFT(L2632,3)=$X$7,LEFT(M2632,3)=$X$7)),"x","")</f>
        <v/>
      </c>
      <c r="Y2632" s="525" t="str">
        <f>IF(OR(TH!L2632=TH!$Y$7,M2632=TH!$Y$7),"x","")</f>
        <v/>
      </c>
      <c r="Z2632" s="525" t="str">
        <f>IF(AND(B2632&lt;=NKC!$N$8,B2632&gt;=NKC!$M$8),"x","")</f>
        <v/>
      </c>
      <c r="AA2632" s="535"/>
      <c r="AB2632" s="536"/>
    </row>
    <row r="2633" spans="1:28" s="503" customFormat="1" ht="15.75" customHeight="1">
      <c r="A2633" s="517" t="str">
        <f>IF(B2633&lt;&gt;"",IF(AND(B2633&gt;=_TM1,B2633&lt;=_TM2,OR(TH!L2633="1111",TH!M2633="1111")),TH!D2633,""),"")</f>
        <v/>
      </c>
      <c r="B2633" s="531">
        <f t="shared" si="231"/>
        <v>6</v>
      </c>
      <c r="C2633" s="315">
        <f t="shared" si="232"/>
        <v>42898</v>
      </c>
      <c r="D2633" s="315" t="s">
        <v>939</v>
      </c>
      <c r="E2633" s="315">
        <v>42898</v>
      </c>
      <c r="F2633" s="249" t="s">
        <v>1255</v>
      </c>
      <c r="G2633" s="314" t="s">
        <v>1254</v>
      </c>
      <c r="H2633" s="473" t="s">
        <v>375</v>
      </c>
      <c r="I2633" s="307">
        <v>185</v>
      </c>
      <c r="J2633" s="307">
        <v>11500</v>
      </c>
      <c r="K2633" s="532">
        <f>ROUND(I2633*J2633,0)</f>
        <v>2127500</v>
      </c>
      <c r="L2633" s="534" t="s">
        <v>223</v>
      </c>
      <c r="M2633" s="534" t="s">
        <v>162</v>
      </c>
      <c r="N2633" s="525" t="str">
        <f>IF(AND('331-CT'!$E$7=TH!H2633,OR(L2633="331",M2633="331")),"331",IF(AND(OR(L2633="131",M2633="131"),H2633='131-CT'!$E$7),"131",""))</f>
        <v/>
      </c>
      <c r="O2633" s="525" t="str">
        <f>IF(AND($B2633&gt;='111'!$N$11,$B2633&lt;='111'!$O$11,OR($L2633=$O$7,$M2633=$O$7)),"x","")</f>
        <v/>
      </c>
      <c r="P2633" s="525" t="str">
        <f>IF(AND($L2633=$O$7,$B2633&lt;'111'!$N$11),"x","")</f>
        <v/>
      </c>
      <c r="Q2633" s="525" t="str">
        <f>IF(AND($M2633=$O$7,$B2633&lt;'111'!$N$11),"x","")</f>
        <v/>
      </c>
      <c r="R2633" s="525" t="str">
        <f>IF(ISERROR(FIND('112'!$M$9,G2633,1)),"",IF((AND(FIND('112'!$M$9,G2633,1)&gt;=1,$B2633&gt;='112'!$N$8,$B2633&lt;='112'!$O$8,OR($L2633='112'!$I$6,$M2633='112'!$I$6))),"x",""))</f>
        <v/>
      </c>
      <c r="S2633" s="525" t="str">
        <f>IF(ISERROR(FIND('112'!$M$9,G2633,1)),"",IF((AND(LEFT(G2633,2)=LEFT('112'!$M$9,2),B2633&lt;'112'!$N$8,$L2633='112'!$I$6)),"x",""))</f>
        <v/>
      </c>
      <c r="T2633" s="525" t="str">
        <f>IF(ISERROR(FIND('112'!$M$9,G2633,1)),"",IF((AND(RIGHT(G2633,2)=RIGHT('112'!$M$9,2),B2633&lt;'112'!$N$8,$M2633='112'!$I$6)),"x",""))</f>
        <v/>
      </c>
      <c r="U2633" s="525" t="str">
        <f>IF(AND(B2633&gt;='IN-NX'!$P$3,B2633&lt;='IN-NX'!$Q$3,'IN-NX'!$D$7=D2633,OR(LEFT(L2633,2)="15",AND(LEFT(M2633,2)&lt;&gt;"15",LEFT(M2633,2)&lt;&gt;"33"))),"x","")</f>
        <v/>
      </c>
      <c r="V2633" s="525" t="str">
        <f>IF(AND(OR(LEFT(TH!L2633,2)="15",LEFT(TH!M2633,2)="15"),'152-CT'!$J$8=TH!F2633),"x","")</f>
        <v/>
      </c>
      <c r="W2633" s="525" t="str">
        <f>IF(AND(OR(LEFT(TH!L2633,2)="15",LEFT(TH!M2633,2)="15"),TK!$E$7=TH!F2633),"x","")</f>
        <v/>
      </c>
      <c r="X2633" s="525" t="str">
        <f>IF(AND('341-CT'!$E$9=H2633,OR(LEFT(L2633,3)=$X$7,LEFT(M2633,3)=$X$7)),"x","")</f>
        <v/>
      </c>
      <c r="Y2633" s="525" t="str">
        <f>IF(OR(TH!L2633=TH!$Y$7,M2633=TH!$Y$7),"x","")</f>
        <v/>
      </c>
      <c r="Z2633" s="525" t="str">
        <f>IF(AND(B2633&lt;=NKC!$N$8,B2633&gt;=NKC!$M$8),"x","")</f>
        <v/>
      </c>
      <c r="AA2633" s="535"/>
      <c r="AB2633" s="536"/>
    </row>
    <row r="2634" spans="1:28" s="503" customFormat="1" ht="15.75" customHeight="1">
      <c r="A2634" s="517" t="str">
        <f>IF(B2634&lt;&gt;"",IF(AND(B2634&gt;=_TM1,B2634&lt;=_TM2,OR(TH!L2634="1111",TH!M2634="1111")),TH!D2634,""),"")</f>
        <v/>
      </c>
      <c r="B2634" s="531">
        <f t="shared" si="231"/>
        <v>6</v>
      </c>
      <c r="C2634" s="315">
        <f t="shared" si="232"/>
        <v>42898</v>
      </c>
      <c r="D2634" s="315" t="s">
        <v>939</v>
      </c>
      <c r="E2634" s="315">
        <v>42898</v>
      </c>
      <c r="F2634" s="249" t="s">
        <v>503</v>
      </c>
      <c r="G2634" s="314" t="s">
        <v>1254</v>
      </c>
      <c r="H2634" s="473" t="s">
        <v>375</v>
      </c>
      <c r="I2634" s="307">
        <v>1550</v>
      </c>
      <c r="J2634" s="307">
        <v>8500</v>
      </c>
      <c r="K2634" s="532">
        <f>ROUND(I2634*J2634,0)</f>
        <v>13175000</v>
      </c>
      <c r="L2634" s="534" t="s">
        <v>223</v>
      </c>
      <c r="M2634" s="534" t="s">
        <v>162</v>
      </c>
      <c r="N2634" s="525" t="str">
        <f>IF(AND('331-CT'!$E$7=TH!H2634,OR(L2634="331",M2634="331")),"331",IF(AND(OR(L2634="131",M2634="131"),H2634='131-CT'!$E$7),"131",""))</f>
        <v/>
      </c>
      <c r="O2634" s="525" t="str">
        <f>IF(AND($B2634&gt;='111'!$N$11,$B2634&lt;='111'!$O$11,OR($L2634=$O$7,$M2634=$O$7)),"x","")</f>
        <v/>
      </c>
      <c r="P2634" s="525" t="str">
        <f>IF(AND($L2634=$O$7,$B2634&lt;'111'!$N$11),"x","")</f>
        <v/>
      </c>
      <c r="Q2634" s="525" t="str">
        <f>IF(AND($M2634=$O$7,$B2634&lt;'111'!$N$11),"x","")</f>
        <v/>
      </c>
      <c r="R2634" s="525" t="str">
        <f>IF(ISERROR(FIND('112'!$M$9,G2634,1)),"",IF((AND(FIND('112'!$M$9,G2634,1)&gt;=1,$B2634&gt;='112'!$N$8,$B2634&lt;='112'!$O$8,OR($L2634='112'!$I$6,$M2634='112'!$I$6))),"x",""))</f>
        <v/>
      </c>
      <c r="S2634" s="525" t="str">
        <f>IF(ISERROR(FIND('112'!$M$9,G2634,1)),"",IF((AND(LEFT(G2634,2)=LEFT('112'!$M$9,2),B2634&lt;'112'!$N$8,$L2634='112'!$I$6)),"x",""))</f>
        <v/>
      </c>
      <c r="T2634" s="525" t="str">
        <f>IF(ISERROR(FIND('112'!$M$9,G2634,1)),"",IF((AND(RIGHT(G2634,2)=RIGHT('112'!$M$9,2),B2634&lt;'112'!$N$8,$M2634='112'!$I$6)),"x",""))</f>
        <v/>
      </c>
      <c r="U2634" s="525" t="str">
        <f>IF(AND(B2634&gt;='IN-NX'!$P$3,B2634&lt;='IN-NX'!$Q$3,'IN-NX'!$D$7=D2634,OR(LEFT(L2634,2)="15",AND(LEFT(M2634,2)&lt;&gt;"15",LEFT(M2634,2)&lt;&gt;"33"))),"x","")</f>
        <v/>
      </c>
      <c r="V2634" s="525" t="str">
        <f>IF(AND(OR(LEFT(TH!L2634,2)="15",LEFT(TH!M2634,2)="15"),'152-CT'!$J$8=TH!F2634),"x","")</f>
        <v/>
      </c>
      <c r="W2634" s="525" t="str">
        <f>IF(AND(OR(LEFT(TH!L2634,2)="15",LEFT(TH!M2634,2)="15"),TK!$E$7=TH!F2634),"x","")</f>
        <v/>
      </c>
      <c r="X2634" s="525" t="str">
        <f>IF(AND('341-CT'!$E$9=H2634,OR(LEFT(L2634,3)=$X$7,LEFT(M2634,3)=$X$7)),"x","")</f>
        <v/>
      </c>
      <c r="Y2634" s="525" t="str">
        <f>IF(OR(TH!L2634=TH!$Y$7,M2634=TH!$Y$7),"x","")</f>
        <v/>
      </c>
      <c r="Z2634" s="525" t="str">
        <f>IF(AND(B2634&lt;=NKC!$N$8,B2634&gt;=NKC!$M$8),"x","")</f>
        <v/>
      </c>
      <c r="AA2634" s="535"/>
      <c r="AB2634" s="536"/>
    </row>
    <row r="2635" spans="1:28" s="503" customFormat="1" ht="15.75" customHeight="1">
      <c r="A2635" s="517" t="str">
        <f>IF(B2635&lt;&gt;"",IF(AND(B2635&gt;=_TM1,B2635&lt;=_TM2,OR(TH!L2635="1111",TH!M2635="1111")),TH!D2635,""),"")</f>
        <v/>
      </c>
      <c r="B2635" s="531">
        <f t="shared" si="231"/>
        <v>6</v>
      </c>
      <c r="C2635" s="315">
        <f t="shared" si="232"/>
        <v>42898</v>
      </c>
      <c r="D2635" s="315" t="s">
        <v>939</v>
      </c>
      <c r="E2635" s="315">
        <v>42898</v>
      </c>
      <c r="F2635" s="249" t="s">
        <v>501</v>
      </c>
      <c r="G2635" s="314" t="s">
        <v>1254</v>
      </c>
      <c r="H2635" s="473" t="s">
        <v>375</v>
      </c>
      <c r="I2635" s="307"/>
      <c r="J2635" s="307"/>
      <c r="K2635" s="532">
        <v>1530250</v>
      </c>
      <c r="L2635" s="534" t="s">
        <v>223</v>
      </c>
      <c r="M2635" s="534" t="s">
        <v>259</v>
      </c>
      <c r="N2635" s="525" t="str">
        <f>IF(AND('331-CT'!$E$7=TH!H2635,OR(L2635="331",M2635="331")),"331",IF(AND(OR(L2635="131",M2635="131"),H2635='131-CT'!$E$7),"131",""))</f>
        <v/>
      </c>
      <c r="O2635" s="525" t="str">
        <f>IF(AND($B2635&gt;='111'!$N$11,$B2635&lt;='111'!$O$11,OR($L2635=$O$7,$M2635=$O$7)),"x","")</f>
        <v/>
      </c>
      <c r="P2635" s="525" t="str">
        <f>IF(AND($L2635=$O$7,$B2635&lt;'111'!$N$11),"x","")</f>
        <v/>
      </c>
      <c r="Q2635" s="525" t="str">
        <f>IF(AND($M2635=$O$7,$B2635&lt;'111'!$N$11),"x","")</f>
        <v/>
      </c>
      <c r="R2635" s="525" t="str">
        <f>IF(ISERROR(FIND('112'!$M$9,G2635,1)),"",IF((AND(FIND('112'!$M$9,G2635,1)&gt;=1,$B2635&gt;='112'!$N$8,$B2635&lt;='112'!$O$8,OR($L2635='112'!$I$6,$M2635='112'!$I$6))),"x",""))</f>
        <v/>
      </c>
      <c r="S2635" s="525" t="str">
        <f>IF(ISERROR(FIND('112'!$M$9,G2635,1)),"",IF((AND(LEFT(G2635,2)=LEFT('112'!$M$9,2),B2635&lt;'112'!$N$8,$L2635='112'!$I$6)),"x",""))</f>
        <v/>
      </c>
      <c r="T2635" s="525" t="str">
        <f>IF(ISERROR(FIND('112'!$M$9,G2635,1)),"",IF((AND(RIGHT(G2635,2)=RIGHT('112'!$M$9,2),B2635&lt;'112'!$N$8,$M2635='112'!$I$6)),"x",""))</f>
        <v/>
      </c>
      <c r="U2635" s="525" t="str">
        <f>IF(AND(B2635&gt;='IN-NX'!$P$3,B2635&lt;='IN-NX'!$Q$3,'IN-NX'!$D$7=D2635,OR(LEFT(L2635,2)="15",AND(LEFT(M2635,2)&lt;&gt;"15",LEFT(M2635,2)&lt;&gt;"33"))),"x","")</f>
        <v/>
      </c>
      <c r="V2635" s="525" t="str">
        <f>IF(AND(OR(LEFT(TH!L2635,2)="15",LEFT(TH!M2635,2)="15"),'152-CT'!$J$8=TH!F2635),"x","")</f>
        <v/>
      </c>
      <c r="W2635" s="525" t="str">
        <f>IF(AND(OR(LEFT(TH!L2635,2)="15",LEFT(TH!M2635,2)="15"),TK!$E$7=TH!F2635),"x","")</f>
        <v/>
      </c>
      <c r="X2635" s="525" t="str">
        <f>IF(AND('341-CT'!$E$9=H2635,OR(LEFT(L2635,3)=$X$7,LEFT(M2635,3)=$X$7)),"x","")</f>
        <v/>
      </c>
      <c r="Y2635" s="525" t="str">
        <f>IF(OR(TH!L2635=TH!$Y$7,M2635=TH!$Y$7),"x","")</f>
        <v/>
      </c>
      <c r="Z2635" s="525" t="str">
        <f>IF(AND(B2635&lt;=NKC!$N$8,B2635&gt;=NKC!$M$8),"x","")</f>
        <v/>
      </c>
      <c r="AA2635" s="535"/>
      <c r="AB2635" s="536"/>
    </row>
    <row r="2636" spans="1:28" s="503" customFormat="1" ht="15.75" customHeight="1">
      <c r="A2636" s="517" t="str">
        <f>IF(B2636&lt;&gt;"",IF(AND(B2636&gt;=_TM1,B2636&lt;=_TM2,OR(TH!L2636="1111",TH!M2636="1111")),TH!D2636,""),"")</f>
        <v/>
      </c>
      <c r="B2636" s="531">
        <f t="shared" si="231"/>
        <v>6</v>
      </c>
      <c r="C2636" s="315">
        <f t="shared" si="232"/>
        <v>42899</v>
      </c>
      <c r="D2636" s="315" t="s">
        <v>940</v>
      </c>
      <c r="E2636" s="315">
        <v>42899</v>
      </c>
      <c r="F2636" s="250" t="s">
        <v>1189</v>
      </c>
      <c r="G2636" s="314" t="s">
        <v>1190</v>
      </c>
      <c r="H2636" s="473" t="s">
        <v>776</v>
      </c>
      <c r="I2636" s="307">
        <v>300</v>
      </c>
      <c r="J2636" s="307">
        <v>15500</v>
      </c>
      <c r="K2636" s="532">
        <f>ROUND(I2636*J2636,0)</f>
        <v>4650000</v>
      </c>
      <c r="L2636" s="534" t="s">
        <v>223</v>
      </c>
      <c r="M2636" s="534" t="s">
        <v>162</v>
      </c>
      <c r="N2636" s="525" t="str">
        <f>IF(AND('331-CT'!$E$7=TH!H2636,OR(L2636="331",M2636="331")),"331",IF(AND(OR(L2636="131",M2636="131"),H2636='131-CT'!$E$7),"131",""))</f>
        <v/>
      </c>
      <c r="O2636" s="525" t="str">
        <f>IF(AND($B2636&gt;='111'!$N$11,$B2636&lt;='111'!$O$11,OR($L2636=$O$7,$M2636=$O$7)),"x","")</f>
        <v/>
      </c>
      <c r="P2636" s="525" t="str">
        <f>IF(AND($L2636=$O$7,$B2636&lt;'111'!$N$11),"x","")</f>
        <v/>
      </c>
      <c r="Q2636" s="525" t="str">
        <f>IF(AND($M2636=$O$7,$B2636&lt;'111'!$N$11),"x","")</f>
        <v/>
      </c>
      <c r="R2636" s="525" t="str">
        <f>IF(ISERROR(FIND('112'!$M$9,G2636,1)),"",IF((AND(FIND('112'!$M$9,G2636,1)&gt;=1,$B2636&gt;='112'!$N$8,$B2636&lt;='112'!$O$8,OR($L2636='112'!$I$6,$M2636='112'!$I$6))),"x",""))</f>
        <v/>
      </c>
      <c r="S2636" s="525" t="str">
        <f>IF(ISERROR(FIND('112'!$M$9,G2636,1)),"",IF((AND(LEFT(G2636,2)=LEFT('112'!$M$9,2),B2636&lt;'112'!$N$8,$L2636='112'!$I$6)),"x",""))</f>
        <v/>
      </c>
      <c r="T2636" s="525" t="str">
        <f>IF(ISERROR(FIND('112'!$M$9,G2636,1)),"",IF((AND(RIGHT(G2636,2)=RIGHT('112'!$M$9,2),B2636&lt;'112'!$N$8,$M2636='112'!$I$6)),"x",""))</f>
        <v/>
      </c>
      <c r="U2636" s="525" t="str">
        <f>IF(AND(B2636&gt;='IN-NX'!$P$3,B2636&lt;='IN-NX'!$Q$3,'IN-NX'!$D$7=D2636,OR(LEFT(L2636,2)="15",AND(LEFT(M2636,2)&lt;&gt;"15",LEFT(M2636,2)&lt;&gt;"33"))),"x","")</f>
        <v/>
      </c>
      <c r="V2636" s="525" t="str">
        <f>IF(AND(OR(LEFT(TH!L2636,2)="15",LEFT(TH!M2636,2)="15"),'152-CT'!$J$8=TH!F2636),"x","")</f>
        <v/>
      </c>
      <c r="W2636" s="525" t="str">
        <f>IF(AND(OR(LEFT(TH!L2636,2)="15",LEFT(TH!M2636,2)="15"),TK!$E$7=TH!F2636),"x","")</f>
        <v/>
      </c>
      <c r="X2636" s="525" t="str">
        <f>IF(AND('341-CT'!$E$9=H2636,OR(LEFT(L2636,3)=$X$7,LEFT(M2636,3)=$X$7)),"x","")</f>
        <v/>
      </c>
      <c r="Y2636" s="525" t="str">
        <f>IF(OR(TH!L2636=TH!$Y$7,M2636=TH!$Y$7),"x","")</f>
        <v/>
      </c>
      <c r="Z2636" s="525" t="str">
        <f>IF(AND(B2636&lt;=NKC!$N$8,B2636&gt;=NKC!$M$8),"x","")</f>
        <v/>
      </c>
      <c r="AA2636" s="535"/>
      <c r="AB2636" s="536"/>
    </row>
    <row r="2637" spans="1:28" s="503" customFormat="1" ht="15.75" customHeight="1">
      <c r="A2637" s="517" t="str">
        <f>IF(B2637&lt;&gt;"",IF(AND(B2637&gt;=_TM1,B2637&lt;=_TM2,OR(TH!L2637="1111",TH!M2637="1111")),TH!D2637,""),"")</f>
        <v/>
      </c>
      <c r="B2637" s="531">
        <f t="shared" si="231"/>
        <v>6</v>
      </c>
      <c r="C2637" s="315">
        <f t="shared" si="232"/>
        <v>42899</v>
      </c>
      <c r="D2637" s="315" t="s">
        <v>940</v>
      </c>
      <c r="E2637" s="315">
        <v>42899</v>
      </c>
      <c r="F2637" s="249" t="s">
        <v>494</v>
      </c>
      <c r="G2637" s="314" t="s">
        <v>1190</v>
      </c>
      <c r="H2637" s="473" t="s">
        <v>776</v>
      </c>
      <c r="I2637" s="307"/>
      <c r="J2637" s="307"/>
      <c r="K2637" s="532">
        <v>465000</v>
      </c>
      <c r="L2637" s="534" t="s">
        <v>223</v>
      </c>
      <c r="M2637" s="534" t="s">
        <v>259</v>
      </c>
      <c r="N2637" s="525" t="str">
        <f>IF(AND('331-CT'!$E$7=TH!H2637,OR(L2637="331",M2637="331")),"331",IF(AND(OR(L2637="131",M2637="131"),H2637='131-CT'!$E$7),"131",""))</f>
        <v/>
      </c>
      <c r="O2637" s="525" t="str">
        <f>IF(AND($B2637&gt;='111'!$N$11,$B2637&lt;='111'!$O$11,OR($L2637=$O$7,$M2637=$O$7)),"x","")</f>
        <v/>
      </c>
      <c r="P2637" s="525" t="str">
        <f>IF(AND($L2637=$O$7,$B2637&lt;'111'!$N$11),"x","")</f>
        <v/>
      </c>
      <c r="Q2637" s="525" t="str">
        <f>IF(AND($M2637=$O$7,$B2637&lt;'111'!$N$11),"x","")</f>
        <v/>
      </c>
      <c r="R2637" s="525" t="str">
        <f>IF(ISERROR(FIND('112'!$M$9,G2637,1)),"",IF((AND(FIND('112'!$M$9,G2637,1)&gt;=1,$B2637&gt;='112'!$N$8,$B2637&lt;='112'!$O$8,OR($L2637='112'!$I$6,$M2637='112'!$I$6))),"x",""))</f>
        <v/>
      </c>
      <c r="S2637" s="525" t="str">
        <f>IF(ISERROR(FIND('112'!$M$9,G2637,1)),"",IF((AND(LEFT(G2637,2)=LEFT('112'!$M$9,2),B2637&lt;'112'!$N$8,$L2637='112'!$I$6)),"x",""))</f>
        <v/>
      </c>
      <c r="T2637" s="525" t="str">
        <f>IF(ISERROR(FIND('112'!$M$9,G2637,1)),"",IF((AND(RIGHT(G2637,2)=RIGHT('112'!$M$9,2),B2637&lt;'112'!$N$8,$M2637='112'!$I$6)),"x",""))</f>
        <v/>
      </c>
      <c r="U2637" s="525" t="str">
        <f>IF(AND(B2637&gt;='IN-NX'!$P$3,B2637&lt;='IN-NX'!$Q$3,'IN-NX'!$D$7=D2637,OR(LEFT(L2637,2)="15",AND(LEFT(M2637,2)&lt;&gt;"15",LEFT(M2637,2)&lt;&gt;"33"))),"x","")</f>
        <v/>
      </c>
      <c r="V2637" s="525" t="str">
        <f>IF(AND(OR(LEFT(TH!L2637,2)="15",LEFT(TH!M2637,2)="15"),'152-CT'!$J$8=TH!F2637),"x","")</f>
        <v/>
      </c>
      <c r="W2637" s="525" t="str">
        <f>IF(AND(OR(LEFT(TH!L2637,2)="15",LEFT(TH!M2637,2)="15"),TK!$E$7=TH!F2637),"x","")</f>
        <v/>
      </c>
      <c r="X2637" s="525" t="str">
        <f>IF(AND('341-CT'!$E$9=H2637,OR(LEFT(L2637,3)=$X$7,LEFT(M2637,3)=$X$7)),"x","")</f>
        <v/>
      </c>
      <c r="Y2637" s="525" t="str">
        <f>IF(OR(TH!L2637=TH!$Y$7,M2637=TH!$Y$7),"x","")</f>
        <v/>
      </c>
      <c r="Z2637" s="525" t="str">
        <f>IF(AND(B2637&lt;=NKC!$N$8,B2637&gt;=NKC!$M$8),"x","")</f>
        <v/>
      </c>
      <c r="AA2637" s="535"/>
      <c r="AB2637" s="536"/>
    </row>
    <row r="2638" spans="1:28" s="503" customFormat="1" ht="15.75" customHeight="1">
      <c r="A2638" s="517" t="str">
        <f>IF(B2638&lt;&gt;"",IF(AND(B2638&gt;=_TM1,B2638&lt;=_TM2,OR(TH!L2638="1111",TH!M2638="1111")),TH!D2638,""),"")</f>
        <v/>
      </c>
      <c r="B2638" s="531">
        <f t="shared" si="231"/>
        <v>6</v>
      </c>
      <c r="C2638" s="315">
        <f t="shared" si="232"/>
        <v>42902</v>
      </c>
      <c r="D2638" s="315" t="s">
        <v>1363</v>
      </c>
      <c r="E2638" s="315">
        <v>42902</v>
      </c>
      <c r="F2638" s="249" t="s">
        <v>649</v>
      </c>
      <c r="G2638" s="314" t="s">
        <v>1259</v>
      </c>
      <c r="H2638" s="473" t="s">
        <v>1142</v>
      </c>
      <c r="I2638" s="307">
        <v>8</v>
      </c>
      <c r="J2638" s="307">
        <v>69960</v>
      </c>
      <c r="K2638" s="532">
        <f t="shared" ref="K2638:K2657" si="233">ROUND(I2638*J2638,0)</f>
        <v>559680</v>
      </c>
      <c r="L2638" s="534" t="s">
        <v>292</v>
      </c>
      <c r="M2638" s="534" t="s">
        <v>8</v>
      </c>
      <c r="N2638" s="525" t="str">
        <f>IF(AND('331-CT'!$E$7=TH!H2638,OR(L2638="331",M2638="331")),"331",IF(AND(OR(L2638="131",M2638="131"),H2638='131-CT'!$E$7),"131",""))</f>
        <v/>
      </c>
      <c r="O2638" s="525" t="str">
        <f>IF(AND($B2638&gt;='111'!$N$11,$B2638&lt;='111'!$O$11,OR($L2638=$O$7,$M2638=$O$7)),"x","")</f>
        <v/>
      </c>
      <c r="P2638" s="525" t="str">
        <f>IF(AND($L2638=$O$7,$B2638&lt;'111'!$N$11),"x","")</f>
        <v/>
      </c>
      <c r="Q2638" s="525" t="str">
        <f>IF(AND($M2638=$O$7,$B2638&lt;'111'!$N$11),"x","")</f>
        <v/>
      </c>
      <c r="R2638" s="525" t="str">
        <f>IF(ISERROR(FIND('112'!$M$9,G2638,1)),"",IF((AND(FIND('112'!$M$9,G2638,1)&gt;=1,$B2638&gt;='112'!$N$8,$B2638&lt;='112'!$O$8,OR($L2638='112'!$I$6,$M2638='112'!$I$6))),"x",""))</f>
        <v/>
      </c>
      <c r="S2638" s="525" t="str">
        <f>IF(ISERROR(FIND('112'!$M$9,G2638,1)),"",IF((AND(LEFT(G2638,2)=LEFT('112'!$M$9,2),B2638&lt;'112'!$N$8,$L2638='112'!$I$6)),"x",""))</f>
        <v/>
      </c>
      <c r="T2638" s="525" t="str">
        <f>IF(ISERROR(FIND('112'!$M$9,G2638,1)),"",IF((AND(RIGHT(G2638,2)=RIGHT('112'!$M$9,2),B2638&lt;'112'!$N$8,$M2638='112'!$I$6)),"x",""))</f>
        <v/>
      </c>
      <c r="U2638" s="525" t="str">
        <f>IF(AND(B2638&gt;='IN-NX'!$P$3,B2638&lt;='IN-NX'!$Q$3,'IN-NX'!$D$7=D2638,OR(LEFT(L2638,2)="15",AND(LEFT(M2638,2)&lt;&gt;"15",LEFT(M2638,2)&lt;&gt;"33"))),"x","")</f>
        <v/>
      </c>
      <c r="V2638" s="525" t="str">
        <f>IF(AND(OR(LEFT(TH!L2638,2)="15",LEFT(TH!M2638,2)="15"),'152-CT'!$J$8=TH!F2638),"x","")</f>
        <v/>
      </c>
      <c r="W2638" s="525" t="str">
        <f>IF(AND(OR(LEFT(TH!L2638,2)="15",LEFT(TH!M2638,2)="15"),TK!$E$7=TH!F2638),"x","")</f>
        <v/>
      </c>
      <c r="X2638" s="525" t="str">
        <f>IF(AND('341-CT'!$E$9=H2638,OR(LEFT(L2638,3)=$X$7,LEFT(M2638,3)=$X$7)),"x","")</f>
        <v/>
      </c>
      <c r="Y2638" s="525" t="str">
        <f>IF(OR(TH!L2638=TH!$Y$7,M2638=TH!$Y$7),"x","")</f>
        <v/>
      </c>
      <c r="Z2638" s="525" t="str">
        <f>IF(AND(B2638&lt;=NKC!$N$8,B2638&gt;=NKC!$M$8),"x","")</f>
        <v/>
      </c>
      <c r="AA2638" s="535">
        <v>2</v>
      </c>
      <c r="AB2638" s="536"/>
    </row>
    <row r="2639" spans="1:28" s="503" customFormat="1" ht="15.75" customHeight="1">
      <c r="A2639" s="517" t="str">
        <f>IF(B2639&lt;&gt;"",IF(AND(B2639&gt;=_TM1,B2639&lt;=_TM2,OR(TH!L2639="1111",TH!M2639="1111")),TH!D2639,""),"")</f>
        <v/>
      </c>
      <c r="B2639" s="531">
        <f t="shared" si="231"/>
        <v>6</v>
      </c>
      <c r="C2639" s="315">
        <f t="shared" si="232"/>
        <v>42902</v>
      </c>
      <c r="D2639" s="315" t="s">
        <v>1363</v>
      </c>
      <c r="E2639" s="315">
        <v>42902</v>
      </c>
      <c r="F2639" s="249" t="s">
        <v>651</v>
      </c>
      <c r="G2639" s="314" t="s">
        <v>1259</v>
      </c>
      <c r="H2639" s="473" t="s">
        <v>1142</v>
      </c>
      <c r="I2639" s="307">
        <v>50</v>
      </c>
      <c r="J2639" s="307">
        <v>107750</v>
      </c>
      <c r="K2639" s="532">
        <f t="shared" si="233"/>
        <v>5387500</v>
      </c>
      <c r="L2639" s="534" t="s">
        <v>292</v>
      </c>
      <c r="M2639" s="534" t="s">
        <v>8</v>
      </c>
      <c r="N2639" s="525" t="str">
        <f>IF(AND('331-CT'!$E$7=TH!H2639,OR(L2639="331",M2639="331")),"331",IF(AND(OR(L2639="131",M2639="131"),H2639='131-CT'!$E$7),"131",""))</f>
        <v/>
      </c>
      <c r="O2639" s="525" t="str">
        <f>IF(AND($B2639&gt;='111'!$N$11,$B2639&lt;='111'!$O$11,OR($L2639=$O$7,$M2639=$O$7)),"x","")</f>
        <v/>
      </c>
      <c r="P2639" s="525" t="str">
        <f>IF(AND($L2639=$O$7,$B2639&lt;'111'!$N$11),"x","")</f>
        <v/>
      </c>
      <c r="Q2639" s="525" t="str">
        <f>IF(AND($M2639=$O$7,$B2639&lt;'111'!$N$11),"x","")</f>
        <v/>
      </c>
      <c r="R2639" s="525" t="str">
        <f>IF(ISERROR(FIND('112'!$M$9,G2639,1)),"",IF((AND(FIND('112'!$M$9,G2639,1)&gt;=1,$B2639&gt;='112'!$N$8,$B2639&lt;='112'!$O$8,OR($L2639='112'!$I$6,$M2639='112'!$I$6))),"x",""))</f>
        <v/>
      </c>
      <c r="S2639" s="525" t="str">
        <f>IF(ISERROR(FIND('112'!$M$9,G2639,1)),"",IF((AND(LEFT(G2639,2)=LEFT('112'!$M$9,2),B2639&lt;'112'!$N$8,$L2639='112'!$I$6)),"x",""))</f>
        <v/>
      </c>
      <c r="T2639" s="525" t="str">
        <f>IF(ISERROR(FIND('112'!$M$9,G2639,1)),"",IF((AND(RIGHT(G2639,2)=RIGHT('112'!$M$9,2),B2639&lt;'112'!$N$8,$M2639='112'!$I$6)),"x",""))</f>
        <v/>
      </c>
      <c r="U2639" s="525" t="str">
        <f>IF(AND(B2639&gt;='IN-NX'!$P$3,B2639&lt;='IN-NX'!$Q$3,'IN-NX'!$D$7=D2639,OR(LEFT(L2639,2)="15",AND(LEFT(M2639,2)&lt;&gt;"15",LEFT(M2639,2)&lt;&gt;"33"))),"x","")</f>
        <v/>
      </c>
      <c r="V2639" s="525" t="str">
        <f>IF(AND(OR(LEFT(TH!L2639,2)="15",LEFT(TH!M2639,2)="15"),'152-CT'!$J$8=TH!F2639),"x","")</f>
        <v/>
      </c>
      <c r="W2639" s="525" t="str">
        <f>IF(AND(OR(LEFT(TH!L2639,2)="15",LEFT(TH!M2639,2)="15"),TK!$E$7=TH!F2639),"x","")</f>
        <v/>
      </c>
      <c r="X2639" s="525" t="str">
        <f>IF(AND('341-CT'!$E$9=H2639,OR(LEFT(L2639,3)=$X$7,LEFT(M2639,3)=$X$7)),"x","")</f>
        <v/>
      </c>
      <c r="Y2639" s="525" t="str">
        <f>IF(OR(TH!L2639=TH!$Y$7,M2639=TH!$Y$7),"x","")</f>
        <v/>
      </c>
      <c r="Z2639" s="525" t="str">
        <f>IF(AND(B2639&lt;=NKC!$N$8,B2639&gt;=NKC!$M$8),"x","")</f>
        <v/>
      </c>
      <c r="AA2639" s="535">
        <v>2</v>
      </c>
      <c r="AB2639" s="536"/>
    </row>
    <row r="2640" spans="1:28" s="503" customFormat="1" ht="15.75" customHeight="1">
      <c r="A2640" s="517" t="str">
        <f>IF(B2640&lt;&gt;"",IF(AND(B2640&gt;=_TM1,B2640&lt;=_TM2,OR(TH!L2640="1111",TH!M2640="1111")),TH!D2640,""),"")</f>
        <v/>
      </c>
      <c r="B2640" s="531">
        <f t="shared" si="231"/>
        <v>6</v>
      </c>
      <c r="C2640" s="315">
        <f t="shared" si="232"/>
        <v>42902</v>
      </c>
      <c r="D2640" s="315" t="s">
        <v>1363</v>
      </c>
      <c r="E2640" s="315">
        <v>42902</v>
      </c>
      <c r="F2640" s="249" t="s">
        <v>655</v>
      </c>
      <c r="G2640" s="314" t="s">
        <v>1259</v>
      </c>
      <c r="H2640" s="473" t="s">
        <v>1142</v>
      </c>
      <c r="I2640" s="307">
        <v>60</v>
      </c>
      <c r="J2640" s="307">
        <v>51874</v>
      </c>
      <c r="K2640" s="532">
        <f t="shared" si="233"/>
        <v>3112440</v>
      </c>
      <c r="L2640" s="534" t="s">
        <v>292</v>
      </c>
      <c r="M2640" s="534" t="s">
        <v>8</v>
      </c>
      <c r="N2640" s="525" t="str">
        <f>IF(AND('331-CT'!$E$7=TH!H2640,OR(L2640="331",M2640="331")),"331",IF(AND(OR(L2640="131",M2640="131"),H2640='131-CT'!$E$7),"131",""))</f>
        <v/>
      </c>
      <c r="O2640" s="525" t="str">
        <f>IF(AND($B2640&gt;='111'!$N$11,$B2640&lt;='111'!$O$11,OR($L2640=$O$7,$M2640=$O$7)),"x","")</f>
        <v/>
      </c>
      <c r="P2640" s="525" t="str">
        <f>IF(AND($L2640=$O$7,$B2640&lt;'111'!$N$11),"x","")</f>
        <v/>
      </c>
      <c r="Q2640" s="525" t="str">
        <f>IF(AND($M2640=$O$7,$B2640&lt;'111'!$N$11),"x","")</f>
        <v/>
      </c>
      <c r="R2640" s="525" t="str">
        <f>IF(ISERROR(FIND('112'!$M$9,G2640,1)),"",IF((AND(FIND('112'!$M$9,G2640,1)&gt;=1,$B2640&gt;='112'!$N$8,$B2640&lt;='112'!$O$8,OR($L2640='112'!$I$6,$M2640='112'!$I$6))),"x",""))</f>
        <v/>
      </c>
      <c r="S2640" s="525" t="str">
        <f>IF(ISERROR(FIND('112'!$M$9,G2640,1)),"",IF((AND(LEFT(G2640,2)=LEFT('112'!$M$9,2),B2640&lt;'112'!$N$8,$L2640='112'!$I$6)),"x",""))</f>
        <v/>
      </c>
      <c r="T2640" s="525" t="str">
        <f>IF(ISERROR(FIND('112'!$M$9,G2640,1)),"",IF((AND(RIGHT(G2640,2)=RIGHT('112'!$M$9,2),B2640&lt;'112'!$N$8,$M2640='112'!$I$6)),"x",""))</f>
        <v/>
      </c>
      <c r="U2640" s="525" t="str">
        <f>IF(AND(B2640&gt;='IN-NX'!$P$3,B2640&lt;='IN-NX'!$Q$3,'IN-NX'!$D$7=D2640,OR(LEFT(L2640,2)="15",AND(LEFT(M2640,2)&lt;&gt;"15",LEFT(M2640,2)&lt;&gt;"33"))),"x","")</f>
        <v/>
      </c>
      <c r="V2640" s="525" t="str">
        <f>IF(AND(OR(LEFT(TH!L2640,2)="15",LEFT(TH!M2640,2)="15"),'152-CT'!$J$8=TH!F2640),"x","")</f>
        <v/>
      </c>
      <c r="W2640" s="525" t="str">
        <f>IF(AND(OR(LEFT(TH!L2640,2)="15",LEFT(TH!M2640,2)="15"),TK!$E$7=TH!F2640),"x","")</f>
        <v/>
      </c>
      <c r="X2640" s="525" t="str">
        <f>IF(AND('341-CT'!$E$9=H2640,OR(LEFT(L2640,3)=$X$7,LEFT(M2640,3)=$X$7)),"x","")</f>
        <v/>
      </c>
      <c r="Y2640" s="525" t="str">
        <f>IF(OR(TH!L2640=TH!$Y$7,M2640=TH!$Y$7),"x","")</f>
        <v/>
      </c>
      <c r="Z2640" s="525" t="str">
        <f>IF(AND(B2640&lt;=NKC!$N$8,B2640&gt;=NKC!$M$8),"x","")</f>
        <v/>
      </c>
      <c r="AA2640" s="535">
        <v>2</v>
      </c>
      <c r="AB2640" s="536"/>
    </row>
    <row r="2641" spans="1:28" s="503" customFormat="1" ht="15.75" customHeight="1">
      <c r="A2641" s="517" t="str">
        <f>IF(B2641&lt;&gt;"",IF(AND(B2641&gt;=_TM1,B2641&lt;=_TM2,OR(TH!L2641="1111",TH!M2641="1111")),TH!D2641,""),"")</f>
        <v/>
      </c>
      <c r="B2641" s="531">
        <f t="shared" si="231"/>
        <v>6</v>
      </c>
      <c r="C2641" s="315">
        <f t="shared" si="232"/>
        <v>42902</v>
      </c>
      <c r="D2641" s="315" t="s">
        <v>1363</v>
      </c>
      <c r="E2641" s="315">
        <v>42902</v>
      </c>
      <c r="F2641" s="249" t="s">
        <v>691</v>
      </c>
      <c r="G2641" s="314" t="s">
        <v>1259</v>
      </c>
      <c r="H2641" s="473" t="s">
        <v>1142</v>
      </c>
      <c r="I2641" s="307">
        <v>8</v>
      </c>
      <c r="J2641" s="307">
        <v>56402</v>
      </c>
      <c r="K2641" s="532">
        <f t="shared" si="233"/>
        <v>451216</v>
      </c>
      <c r="L2641" s="534" t="s">
        <v>292</v>
      </c>
      <c r="M2641" s="534" t="s">
        <v>8</v>
      </c>
      <c r="N2641" s="525" t="str">
        <f>IF(AND('331-CT'!$E$7=TH!H2641,OR(L2641="331",M2641="331")),"331",IF(AND(OR(L2641="131",M2641="131"),H2641='131-CT'!$E$7),"131",""))</f>
        <v/>
      </c>
      <c r="O2641" s="525" t="str">
        <f>IF(AND($B2641&gt;='111'!$N$11,$B2641&lt;='111'!$O$11,OR($L2641=$O$7,$M2641=$O$7)),"x","")</f>
        <v/>
      </c>
      <c r="P2641" s="525" t="str">
        <f>IF(AND($L2641=$O$7,$B2641&lt;'111'!$N$11),"x","")</f>
        <v/>
      </c>
      <c r="Q2641" s="525" t="str">
        <f>IF(AND($M2641=$O$7,$B2641&lt;'111'!$N$11),"x","")</f>
        <v/>
      </c>
      <c r="R2641" s="525" t="str">
        <f>IF(ISERROR(FIND('112'!$M$9,G2641,1)),"",IF((AND(FIND('112'!$M$9,G2641,1)&gt;=1,$B2641&gt;='112'!$N$8,$B2641&lt;='112'!$O$8,OR($L2641='112'!$I$6,$M2641='112'!$I$6))),"x",""))</f>
        <v/>
      </c>
      <c r="S2641" s="525" t="str">
        <f>IF(ISERROR(FIND('112'!$M$9,G2641,1)),"",IF((AND(LEFT(G2641,2)=LEFT('112'!$M$9,2),B2641&lt;'112'!$N$8,$L2641='112'!$I$6)),"x",""))</f>
        <v/>
      </c>
      <c r="T2641" s="525" t="str">
        <f>IF(ISERROR(FIND('112'!$M$9,G2641,1)),"",IF((AND(RIGHT(G2641,2)=RIGHT('112'!$M$9,2),B2641&lt;'112'!$N$8,$M2641='112'!$I$6)),"x",""))</f>
        <v/>
      </c>
      <c r="U2641" s="525" t="str">
        <f>IF(AND(B2641&gt;='IN-NX'!$P$3,B2641&lt;='IN-NX'!$Q$3,'IN-NX'!$D$7=D2641,OR(LEFT(L2641,2)="15",AND(LEFT(M2641,2)&lt;&gt;"15",LEFT(M2641,2)&lt;&gt;"33"))),"x","")</f>
        <v/>
      </c>
      <c r="V2641" s="525" t="str">
        <f>IF(AND(OR(LEFT(TH!L2641,2)="15",LEFT(TH!M2641,2)="15"),'152-CT'!$J$8=TH!F2641),"x","")</f>
        <v/>
      </c>
      <c r="W2641" s="525" t="str">
        <f>IF(AND(OR(LEFT(TH!L2641,2)="15",LEFT(TH!M2641,2)="15"),TK!$E$7=TH!F2641),"x","")</f>
        <v/>
      </c>
      <c r="X2641" s="525" t="str">
        <f>IF(AND('341-CT'!$E$9=H2641,OR(LEFT(L2641,3)=$X$7,LEFT(M2641,3)=$X$7)),"x","")</f>
        <v/>
      </c>
      <c r="Y2641" s="525" t="str">
        <f>IF(OR(TH!L2641=TH!$Y$7,M2641=TH!$Y$7),"x","")</f>
        <v/>
      </c>
      <c r="Z2641" s="525" t="str">
        <f>IF(AND(B2641&lt;=NKC!$N$8,B2641&gt;=NKC!$M$8),"x","")</f>
        <v/>
      </c>
      <c r="AA2641" s="535">
        <v>2</v>
      </c>
      <c r="AB2641" s="536"/>
    </row>
    <row r="2642" spans="1:28" s="503" customFormat="1" ht="15.75" customHeight="1">
      <c r="A2642" s="517" t="str">
        <f>IF(B2642&lt;&gt;"",IF(AND(B2642&gt;=_TM1,B2642&lt;=_TM2,OR(TH!L2642="1111",TH!M2642="1111")),TH!D2642,""),"")</f>
        <v/>
      </c>
      <c r="B2642" s="531">
        <f t="shared" si="231"/>
        <v>6</v>
      </c>
      <c r="C2642" s="315">
        <f t="shared" si="232"/>
        <v>42902</v>
      </c>
      <c r="D2642" s="315" t="s">
        <v>1363</v>
      </c>
      <c r="E2642" s="315">
        <v>42902</v>
      </c>
      <c r="F2642" s="249" t="s">
        <v>1233</v>
      </c>
      <c r="G2642" s="314" t="s">
        <v>1259</v>
      </c>
      <c r="H2642" s="473" t="s">
        <v>1142</v>
      </c>
      <c r="I2642" s="307">
        <v>12</v>
      </c>
      <c r="J2642" s="307">
        <v>52012</v>
      </c>
      <c r="K2642" s="532">
        <f t="shared" si="233"/>
        <v>624144</v>
      </c>
      <c r="L2642" s="534" t="s">
        <v>292</v>
      </c>
      <c r="M2642" s="534" t="s">
        <v>8</v>
      </c>
      <c r="N2642" s="525" t="str">
        <f>IF(AND('331-CT'!$E$7=TH!H2642,OR(L2642="331",M2642="331")),"331",IF(AND(OR(L2642="131",M2642="131"),H2642='131-CT'!$E$7),"131",""))</f>
        <v/>
      </c>
      <c r="O2642" s="525" t="str">
        <f>IF(AND($B2642&gt;='111'!$N$11,$B2642&lt;='111'!$O$11,OR($L2642=$O$7,$M2642=$O$7)),"x","")</f>
        <v/>
      </c>
      <c r="P2642" s="525" t="str">
        <f>IF(AND($L2642=$O$7,$B2642&lt;'111'!$N$11),"x","")</f>
        <v/>
      </c>
      <c r="Q2642" s="525" t="str">
        <f>IF(AND($M2642=$O$7,$B2642&lt;'111'!$N$11),"x","")</f>
        <v/>
      </c>
      <c r="R2642" s="525" t="str">
        <f>IF(ISERROR(FIND('112'!$M$9,G2642,1)),"",IF((AND(FIND('112'!$M$9,G2642,1)&gt;=1,$B2642&gt;='112'!$N$8,$B2642&lt;='112'!$O$8,OR($L2642='112'!$I$6,$M2642='112'!$I$6))),"x",""))</f>
        <v/>
      </c>
      <c r="S2642" s="525" t="str">
        <f>IF(ISERROR(FIND('112'!$M$9,G2642,1)),"",IF((AND(LEFT(G2642,2)=LEFT('112'!$M$9,2),B2642&lt;'112'!$N$8,$L2642='112'!$I$6)),"x",""))</f>
        <v/>
      </c>
      <c r="T2642" s="525" t="str">
        <f>IF(ISERROR(FIND('112'!$M$9,G2642,1)),"",IF((AND(RIGHT(G2642,2)=RIGHT('112'!$M$9,2),B2642&lt;'112'!$N$8,$M2642='112'!$I$6)),"x",""))</f>
        <v/>
      </c>
      <c r="U2642" s="525" t="str">
        <f>IF(AND(B2642&gt;='IN-NX'!$P$3,B2642&lt;='IN-NX'!$Q$3,'IN-NX'!$D$7=D2642,OR(LEFT(L2642,2)="15",AND(LEFT(M2642,2)&lt;&gt;"15",LEFT(M2642,2)&lt;&gt;"33"))),"x","")</f>
        <v/>
      </c>
      <c r="V2642" s="525" t="str">
        <f>IF(AND(OR(LEFT(TH!L2642,2)="15",LEFT(TH!M2642,2)="15"),'152-CT'!$J$8=TH!F2642),"x","")</f>
        <v/>
      </c>
      <c r="W2642" s="525" t="str">
        <f>IF(AND(OR(LEFT(TH!L2642,2)="15",LEFT(TH!M2642,2)="15"),TK!$E$7=TH!F2642),"x","")</f>
        <v/>
      </c>
      <c r="X2642" s="525" t="str">
        <f>IF(AND('341-CT'!$E$9=H2642,OR(LEFT(L2642,3)=$X$7,LEFT(M2642,3)=$X$7)),"x","")</f>
        <v/>
      </c>
      <c r="Y2642" s="525" t="str">
        <f>IF(OR(TH!L2642=TH!$Y$7,M2642=TH!$Y$7),"x","")</f>
        <v/>
      </c>
      <c r="Z2642" s="525" t="str">
        <f>IF(AND(B2642&lt;=NKC!$N$8,B2642&gt;=NKC!$M$8),"x","")</f>
        <v/>
      </c>
      <c r="AA2642" s="535">
        <v>2</v>
      </c>
      <c r="AB2642" s="536"/>
    </row>
    <row r="2643" spans="1:28" s="503" customFormat="1" ht="15.75" customHeight="1">
      <c r="A2643" s="517" t="str">
        <f>IF(B2643&lt;&gt;"",IF(AND(B2643&gt;=_TM1,B2643&lt;=_TM2,OR(TH!L2643="1111",TH!M2643="1111")),TH!D2643,""),"")</f>
        <v/>
      </c>
      <c r="B2643" s="531">
        <f t="shared" si="231"/>
        <v>6</v>
      </c>
      <c r="C2643" s="315">
        <f t="shared" si="232"/>
        <v>42902</v>
      </c>
      <c r="D2643" s="315" t="s">
        <v>1363</v>
      </c>
      <c r="E2643" s="315">
        <v>42902</v>
      </c>
      <c r="F2643" s="249" t="s">
        <v>662</v>
      </c>
      <c r="G2643" s="314" t="s">
        <v>1259</v>
      </c>
      <c r="H2643" s="473" t="s">
        <v>1142</v>
      </c>
      <c r="I2643" s="307">
        <v>4</v>
      </c>
      <c r="J2643" s="307">
        <v>108887</v>
      </c>
      <c r="K2643" s="532">
        <f t="shared" si="233"/>
        <v>435548</v>
      </c>
      <c r="L2643" s="534" t="s">
        <v>292</v>
      </c>
      <c r="M2643" s="534" t="s">
        <v>8</v>
      </c>
      <c r="N2643" s="525" t="str">
        <f>IF(AND('331-CT'!$E$7=TH!H2643,OR(L2643="331",M2643="331")),"331",IF(AND(OR(L2643="131",M2643="131"),H2643='131-CT'!$E$7),"131",""))</f>
        <v/>
      </c>
      <c r="O2643" s="525" t="str">
        <f>IF(AND($B2643&gt;='111'!$N$11,$B2643&lt;='111'!$O$11,OR($L2643=$O$7,$M2643=$O$7)),"x","")</f>
        <v/>
      </c>
      <c r="P2643" s="525" t="str">
        <f>IF(AND($L2643=$O$7,$B2643&lt;'111'!$N$11),"x","")</f>
        <v/>
      </c>
      <c r="Q2643" s="525" t="str">
        <f>IF(AND($M2643=$O$7,$B2643&lt;'111'!$N$11),"x","")</f>
        <v/>
      </c>
      <c r="R2643" s="525" t="str">
        <f>IF(ISERROR(FIND('112'!$M$9,G2643,1)),"",IF((AND(FIND('112'!$M$9,G2643,1)&gt;=1,$B2643&gt;='112'!$N$8,$B2643&lt;='112'!$O$8,OR($L2643='112'!$I$6,$M2643='112'!$I$6))),"x",""))</f>
        <v/>
      </c>
      <c r="S2643" s="525" t="str">
        <f>IF(ISERROR(FIND('112'!$M$9,G2643,1)),"",IF((AND(LEFT(G2643,2)=LEFT('112'!$M$9,2),B2643&lt;'112'!$N$8,$L2643='112'!$I$6)),"x",""))</f>
        <v/>
      </c>
      <c r="T2643" s="525" t="str">
        <f>IF(ISERROR(FIND('112'!$M$9,G2643,1)),"",IF((AND(RIGHT(G2643,2)=RIGHT('112'!$M$9,2),B2643&lt;'112'!$N$8,$M2643='112'!$I$6)),"x",""))</f>
        <v/>
      </c>
      <c r="U2643" s="525" t="str">
        <f>IF(AND(B2643&gt;='IN-NX'!$P$3,B2643&lt;='IN-NX'!$Q$3,'IN-NX'!$D$7=D2643,OR(LEFT(L2643,2)="15",AND(LEFT(M2643,2)&lt;&gt;"15",LEFT(M2643,2)&lt;&gt;"33"))),"x","")</f>
        <v/>
      </c>
      <c r="V2643" s="525" t="str">
        <f>IF(AND(OR(LEFT(TH!L2643,2)="15",LEFT(TH!M2643,2)="15"),'152-CT'!$J$8=TH!F2643),"x","")</f>
        <v/>
      </c>
      <c r="W2643" s="525" t="str">
        <f>IF(AND(OR(LEFT(TH!L2643,2)="15",LEFT(TH!M2643,2)="15"),TK!$E$7=TH!F2643),"x","")</f>
        <v/>
      </c>
      <c r="X2643" s="525" t="str">
        <f>IF(AND('341-CT'!$E$9=H2643,OR(LEFT(L2643,3)=$X$7,LEFT(M2643,3)=$X$7)),"x","")</f>
        <v/>
      </c>
      <c r="Y2643" s="525" t="str">
        <f>IF(OR(TH!L2643=TH!$Y$7,M2643=TH!$Y$7),"x","")</f>
        <v/>
      </c>
      <c r="Z2643" s="525" t="str">
        <f>IF(AND(B2643&lt;=NKC!$N$8,B2643&gt;=NKC!$M$8),"x","")</f>
        <v/>
      </c>
      <c r="AA2643" s="535">
        <v>2</v>
      </c>
      <c r="AB2643" s="536"/>
    </row>
    <row r="2644" spans="1:28" s="503" customFormat="1" ht="15.75" customHeight="1">
      <c r="A2644" s="517" t="str">
        <f>IF(B2644&lt;&gt;"",IF(AND(B2644&gt;=_TM1,B2644&lt;=_TM2,OR(TH!L2644="1111",TH!M2644="1111")),TH!D2644,""),"")</f>
        <v/>
      </c>
      <c r="B2644" s="531">
        <f t="shared" si="231"/>
        <v>6</v>
      </c>
      <c r="C2644" s="315">
        <f t="shared" si="232"/>
        <v>42902</v>
      </c>
      <c r="D2644" s="315" t="s">
        <v>1363</v>
      </c>
      <c r="E2644" s="315">
        <v>42902</v>
      </c>
      <c r="F2644" s="249" t="s">
        <v>699</v>
      </c>
      <c r="G2644" s="314" t="s">
        <v>1259</v>
      </c>
      <c r="H2644" s="473" t="s">
        <v>1142</v>
      </c>
      <c r="I2644" s="307">
        <v>16</v>
      </c>
      <c r="J2644" s="307">
        <v>47318</v>
      </c>
      <c r="K2644" s="532">
        <f t="shared" si="233"/>
        <v>757088</v>
      </c>
      <c r="L2644" s="534" t="s">
        <v>292</v>
      </c>
      <c r="M2644" s="534" t="s">
        <v>8</v>
      </c>
      <c r="N2644" s="525" t="str">
        <f>IF(AND('331-CT'!$E$7=TH!H2644,OR(L2644="331",M2644="331")),"331",IF(AND(OR(L2644="131",M2644="131"),H2644='131-CT'!$E$7),"131",""))</f>
        <v/>
      </c>
      <c r="O2644" s="525" t="str">
        <f>IF(AND($B2644&gt;='111'!$N$11,$B2644&lt;='111'!$O$11,OR($L2644=$O$7,$M2644=$O$7)),"x","")</f>
        <v/>
      </c>
      <c r="P2644" s="525" t="str">
        <f>IF(AND($L2644=$O$7,$B2644&lt;'111'!$N$11),"x","")</f>
        <v/>
      </c>
      <c r="Q2644" s="525" t="str">
        <f>IF(AND($M2644=$O$7,$B2644&lt;'111'!$N$11),"x","")</f>
        <v/>
      </c>
      <c r="R2644" s="525" t="str">
        <f>IF(ISERROR(FIND('112'!$M$9,G2644,1)),"",IF((AND(FIND('112'!$M$9,G2644,1)&gt;=1,$B2644&gt;='112'!$N$8,$B2644&lt;='112'!$O$8,OR($L2644='112'!$I$6,$M2644='112'!$I$6))),"x",""))</f>
        <v/>
      </c>
      <c r="S2644" s="525" t="str">
        <f>IF(ISERROR(FIND('112'!$M$9,G2644,1)),"",IF((AND(LEFT(G2644,2)=LEFT('112'!$M$9,2),B2644&lt;'112'!$N$8,$L2644='112'!$I$6)),"x",""))</f>
        <v/>
      </c>
      <c r="T2644" s="525" t="str">
        <f>IF(ISERROR(FIND('112'!$M$9,G2644,1)),"",IF((AND(RIGHT(G2644,2)=RIGHT('112'!$M$9,2),B2644&lt;'112'!$N$8,$M2644='112'!$I$6)),"x",""))</f>
        <v/>
      </c>
      <c r="U2644" s="525" t="str">
        <f>IF(AND(B2644&gt;='IN-NX'!$P$3,B2644&lt;='IN-NX'!$Q$3,'IN-NX'!$D$7=D2644,OR(LEFT(L2644,2)="15",AND(LEFT(M2644,2)&lt;&gt;"15",LEFT(M2644,2)&lt;&gt;"33"))),"x","")</f>
        <v/>
      </c>
      <c r="V2644" s="525" t="str">
        <f>IF(AND(OR(LEFT(TH!L2644,2)="15",LEFT(TH!M2644,2)="15"),'152-CT'!$J$8=TH!F2644),"x","")</f>
        <v/>
      </c>
      <c r="W2644" s="525" t="str">
        <f>IF(AND(OR(LEFT(TH!L2644,2)="15",LEFT(TH!M2644,2)="15"),TK!$E$7=TH!F2644),"x","")</f>
        <v/>
      </c>
      <c r="X2644" s="525" t="str">
        <f>IF(AND('341-CT'!$E$9=H2644,OR(LEFT(L2644,3)=$X$7,LEFT(M2644,3)=$X$7)),"x","")</f>
        <v/>
      </c>
      <c r="Y2644" s="525" t="str">
        <f>IF(OR(TH!L2644=TH!$Y$7,M2644=TH!$Y$7),"x","")</f>
        <v/>
      </c>
      <c r="Z2644" s="525" t="str">
        <f>IF(AND(B2644&lt;=NKC!$N$8,B2644&gt;=NKC!$M$8),"x","")</f>
        <v/>
      </c>
      <c r="AA2644" s="535">
        <v>2</v>
      </c>
      <c r="AB2644" s="536"/>
    </row>
    <row r="2645" spans="1:28" s="503" customFormat="1" ht="15.75" customHeight="1">
      <c r="A2645" s="517" t="str">
        <f>IF(B2645&lt;&gt;"",IF(AND(B2645&gt;=_TM1,B2645&lt;=_TM2,OR(TH!L2645="1111",TH!M2645="1111")),TH!D2645,""),"")</f>
        <v/>
      </c>
      <c r="B2645" s="531">
        <f t="shared" si="231"/>
        <v>6</v>
      </c>
      <c r="C2645" s="315">
        <f t="shared" si="232"/>
        <v>42902</v>
      </c>
      <c r="D2645" s="315" t="s">
        <v>1363</v>
      </c>
      <c r="E2645" s="315">
        <v>42902</v>
      </c>
      <c r="F2645" s="249" t="s">
        <v>660</v>
      </c>
      <c r="G2645" s="314" t="s">
        <v>1259</v>
      </c>
      <c r="H2645" s="473" t="s">
        <v>1142</v>
      </c>
      <c r="I2645" s="307">
        <v>6</v>
      </c>
      <c r="J2645" s="307">
        <v>100408</v>
      </c>
      <c r="K2645" s="532">
        <f t="shared" si="233"/>
        <v>602448</v>
      </c>
      <c r="L2645" s="534" t="s">
        <v>292</v>
      </c>
      <c r="M2645" s="534" t="s">
        <v>8</v>
      </c>
      <c r="N2645" s="525" t="str">
        <f>IF(AND('331-CT'!$E$7=TH!H2645,OR(L2645="331",M2645="331")),"331",IF(AND(OR(L2645="131",M2645="131"),H2645='131-CT'!$E$7),"131",""))</f>
        <v/>
      </c>
      <c r="O2645" s="525" t="str">
        <f>IF(AND($B2645&gt;='111'!$N$11,$B2645&lt;='111'!$O$11,OR($L2645=$O$7,$M2645=$O$7)),"x","")</f>
        <v/>
      </c>
      <c r="P2645" s="525" t="str">
        <f>IF(AND($L2645=$O$7,$B2645&lt;'111'!$N$11),"x","")</f>
        <v/>
      </c>
      <c r="Q2645" s="525" t="str">
        <f>IF(AND($M2645=$O$7,$B2645&lt;'111'!$N$11),"x","")</f>
        <v/>
      </c>
      <c r="R2645" s="525" t="str">
        <f>IF(ISERROR(FIND('112'!$M$9,G2645,1)),"",IF((AND(FIND('112'!$M$9,G2645,1)&gt;=1,$B2645&gt;='112'!$N$8,$B2645&lt;='112'!$O$8,OR($L2645='112'!$I$6,$M2645='112'!$I$6))),"x",""))</f>
        <v/>
      </c>
      <c r="S2645" s="525" t="str">
        <f>IF(ISERROR(FIND('112'!$M$9,G2645,1)),"",IF((AND(LEFT(G2645,2)=LEFT('112'!$M$9,2),B2645&lt;'112'!$N$8,$L2645='112'!$I$6)),"x",""))</f>
        <v/>
      </c>
      <c r="T2645" s="525" t="str">
        <f>IF(ISERROR(FIND('112'!$M$9,G2645,1)),"",IF((AND(RIGHT(G2645,2)=RIGHT('112'!$M$9,2),B2645&lt;'112'!$N$8,$M2645='112'!$I$6)),"x",""))</f>
        <v/>
      </c>
      <c r="U2645" s="525" t="str">
        <f>IF(AND(B2645&gt;='IN-NX'!$P$3,B2645&lt;='IN-NX'!$Q$3,'IN-NX'!$D$7=D2645,OR(LEFT(L2645,2)="15",AND(LEFT(M2645,2)&lt;&gt;"15",LEFT(M2645,2)&lt;&gt;"33"))),"x","")</f>
        <v/>
      </c>
      <c r="V2645" s="525" t="str">
        <f>IF(AND(OR(LEFT(TH!L2645,2)="15",LEFT(TH!M2645,2)="15"),'152-CT'!$J$8=TH!F2645),"x","")</f>
        <v/>
      </c>
      <c r="W2645" s="525" t="str">
        <f>IF(AND(OR(LEFT(TH!L2645,2)="15",LEFT(TH!M2645,2)="15"),TK!$E$7=TH!F2645),"x","")</f>
        <v/>
      </c>
      <c r="X2645" s="525" t="str">
        <f>IF(AND('341-CT'!$E$9=H2645,OR(LEFT(L2645,3)=$X$7,LEFT(M2645,3)=$X$7)),"x","")</f>
        <v/>
      </c>
      <c r="Y2645" s="525" t="str">
        <f>IF(OR(TH!L2645=TH!$Y$7,M2645=TH!$Y$7),"x","")</f>
        <v/>
      </c>
      <c r="Z2645" s="525" t="str">
        <f>IF(AND(B2645&lt;=NKC!$N$8,B2645&gt;=NKC!$M$8),"x","")</f>
        <v/>
      </c>
      <c r="AA2645" s="535">
        <v>2</v>
      </c>
      <c r="AB2645" s="536"/>
    </row>
    <row r="2646" spans="1:28" s="503" customFormat="1" ht="15.75" customHeight="1">
      <c r="A2646" s="517" t="str">
        <f>IF(B2646&lt;&gt;"",IF(AND(B2646&gt;=_TM1,B2646&lt;=_TM2,OR(TH!L2646="1111",TH!M2646="1111")),TH!D2646,""),"")</f>
        <v/>
      </c>
      <c r="B2646" s="531">
        <f t="shared" si="231"/>
        <v>6</v>
      </c>
      <c r="C2646" s="315">
        <f t="shared" si="232"/>
        <v>42902</v>
      </c>
      <c r="D2646" s="315" t="s">
        <v>1363</v>
      </c>
      <c r="E2646" s="315">
        <v>42902</v>
      </c>
      <c r="F2646" s="249" t="s">
        <v>1234</v>
      </c>
      <c r="G2646" s="314" t="s">
        <v>1259</v>
      </c>
      <c r="H2646" s="473" t="s">
        <v>1142</v>
      </c>
      <c r="I2646" s="307">
        <v>6</v>
      </c>
      <c r="J2646" s="307">
        <v>108775</v>
      </c>
      <c r="K2646" s="532">
        <f t="shared" si="233"/>
        <v>652650</v>
      </c>
      <c r="L2646" s="534" t="s">
        <v>292</v>
      </c>
      <c r="M2646" s="534" t="s">
        <v>8</v>
      </c>
      <c r="N2646" s="525" t="str">
        <f>IF(AND('331-CT'!$E$7=TH!H2646,OR(L2646="331",M2646="331")),"331",IF(AND(OR(L2646="131",M2646="131"),H2646='131-CT'!$E$7),"131",""))</f>
        <v/>
      </c>
      <c r="O2646" s="525" t="str">
        <f>IF(AND($B2646&gt;='111'!$N$11,$B2646&lt;='111'!$O$11,OR($L2646=$O$7,$M2646=$O$7)),"x","")</f>
        <v/>
      </c>
      <c r="P2646" s="525" t="str">
        <f>IF(AND($L2646=$O$7,$B2646&lt;'111'!$N$11),"x","")</f>
        <v/>
      </c>
      <c r="Q2646" s="525" t="str">
        <f>IF(AND($M2646=$O$7,$B2646&lt;'111'!$N$11),"x","")</f>
        <v/>
      </c>
      <c r="R2646" s="525" t="str">
        <f>IF(ISERROR(FIND('112'!$M$9,G2646,1)),"",IF((AND(FIND('112'!$M$9,G2646,1)&gt;=1,$B2646&gt;='112'!$N$8,$B2646&lt;='112'!$O$8,OR($L2646='112'!$I$6,$M2646='112'!$I$6))),"x",""))</f>
        <v/>
      </c>
      <c r="S2646" s="525" t="str">
        <f>IF(ISERROR(FIND('112'!$M$9,G2646,1)),"",IF((AND(LEFT(G2646,2)=LEFT('112'!$M$9,2),B2646&lt;'112'!$N$8,$L2646='112'!$I$6)),"x",""))</f>
        <v/>
      </c>
      <c r="T2646" s="525" t="str">
        <f>IF(ISERROR(FIND('112'!$M$9,G2646,1)),"",IF((AND(RIGHT(G2646,2)=RIGHT('112'!$M$9,2),B2646&lt;'112'!$N$8,$M2646='112'!$I$6)),"x",""))</f>
        <v/>
      </c>
      <c r="U2646" s="525" t="str">
        <f>IF(AND(B2646&gt;='IN-NX'!$P$3,B2646&lt;='IN-NX'!$Q$3,'IN-NX'!$D$7=D2646,OR(LEFT(L2646,2)="15",AND(LEFT(M2646,2)&lt;&gt;"15",LEFT(M2646,2)&lt;&gt;"33"))),"x","")</f>
        <v/>
      </c>
      <c r="V2646" s="525" t="str">
        <f>IF(AND(OR(LEFT(TH!L2646,2)="15",LEFT(TH!M2646,2)="15"),'152-CT'!$J$8=TH!F2646),"x","")</f>
        <v/>
      </c>
      <c r="W2646" s="525" t="str">
        <f>IF(AND(OR(LEFT(TH!L2646,2)="15",LEFT(TH!M2646,2)="15"),TK!$E$7=TH!F2646),"x","")</f>
        <v/>
      </c>
      <c r="X2646" s="525" t="str">
        <f>IF(AND('341-CT'!$E$9=H2646,OR(LEFT(L2646,3)=$X$7,LEFT(M2646,3)=$X$7)),"x","")</f>
        <v/>
      </c>
      <c r="Y2646" s="525" t="str">
        <f>IF(OR(TH!L2646=TH!$Y$7,M2646=TH!$Y$7),"x","")</f>
        <v/>
      </c>
      <c r="Z2646" s="525" t="str">
        <f>IF(AND(B2646&lt;=NKC!$N$8,B2646&gt;=NKC!$M$8),"x","")</f>
        <v/>
      </c>
      <c r="AA2646" s="535">
        <v>2</v>
      </c>
      <c r="AB2646" s="536"/>
    </row>
    <row r="2647" spans="1:28" s="503" customFormat="1" ht="15.75" customHeight="1">
      <c r="A2647" s="517" t="str">
        <f>IF(B2647&lt;&gt;"",IF(AND(B2647&gt;=_TM1,B2647&lt;=_TM2,OR(TH!L2647="1111",TH!M2647="1111")),TH!D2647,""),"")</f>
        <v/>
      </c>
      <c r="B2647" s="531">
        <f t="shared" si="231"/>
        <v>6</v>
      </c>
      <c r="C2647" s="315">
        <f t="shared" si="232"/>
        <v>42902</v>
      </c>
      <c r="D2647" s="315" t="s">
        <v>1363</v>
      </c>
      <c r="E2647" s="315">
        <v>42902</v>
      </c>
      <c r="F2647" s="249" t="s">
        <v>648</v>
      </c>
      <c r="G2647" s="314" t="s">
        <v>1259</v>
      </c>
      <c r="H2647" s="473" t="s">
        <v>1142</v>
      </c>
      <c r="I2647" s="307">
        <v>7</v>
      </c>
      <c r="J2647" s="307">
        <v>49683</v>
      </c>
      <c r="K2647" s="532">
        <f t="shared" si="233"/>
        <v>347781</v>
      </c>
      <c r="L2647" s="534" t="s">
        <v>292</v>
      </c>
      <c r="M2647" s="534" t="s">
        <v>8</v>
      </c>
      <c r="N2647" s="525" t="str">
        <f>IF(AND('331-CT'!$E$7=TH!H2647,OR(L2647="331",M2647="331")),"331",IF(AND(OR(L2647="131",M2647="131"),H2647='131-CT'!$E$7),"131",""))</f>
        <v/>
      </c>
      <c r="O2647" s="525" t="str">
        <f>IF(AND($B2647&gt;='111'!$N$11,$B2647&lt;='111'!$O$11,OR($L2647=$O$7,$M2647=$O$7)),"x","")</f>
        <v/>
      </c>
      <c r="P2647" s="525" t="str">
        <f>IF(AND($L2647=$O$7,$B2647&lt;'111'!$N$11),"x","")</f>
        <v/>
      </c>
      <c r="Q2647" s="525" t="str">
        <f>IF(AND($M2647=$O$7,$B2647&lt;'111'!$N$11),"x","")</f>
        <v/>
      </c>
      <c r="R2647" s="525" t="str">
        <f>IF(ISERROR(FIND('112'!$M$9,G2647,1)),"",IF((AND(FIND('112'!$M$9,G2647,1)&gt;=1,$B2647&gt;='112'!$N$8,$B2647&lt;='112'!$O$8,OR($L2647='112'!$I$6,$M2647='112'!$I$6))),"x",""))</f>
        <v/>
      </c>
      <c r="S2647" s="525" t="str">
        <f>IF(ISERROR(FIND('112'!$M$9,G2647,1)),"",IF((AND(LEFT(G2647,2)=LEFT('112'!$M$9,2),B2647&lt;'112'!$N$8,$L2647='112'!$I$6)),"x",""))</f>
        <v/>
      </c>
      <c r="T2647" s="525" t="str">
        <f>IF(ISERROR(FIND('112'!$M$9,G2647,1)),"",IF((AND(RIGHT(G2647,2)=RIGHT('112'!$M$9,2),B2647&lt;'112'!$N$8,$M2647='112'!$I$6)),"x",""))</f>
        <v/>
      </c>
      <c r="U2647" s="525" t="str">
        <f>IF(AND(B2647&gt;='IN-NX'!$P$3,B2647&lt;='IN-NX'!$Q$3,'IN-NX'!$D$7=D2647,OR(LEFT(L2647,2)="15",AND(LEFT(M2647,2)&lt;&gt;"15",LEFT(M2647,2)&lt;&gt;"33"))),"x","")</f>
        <v/>
      </c>
      <c r="V2647" s="525" t="str">
        <f>IF(AND(OR(LEFT(TH!L2647,2)="15",LEFT(TH!M2647,2)="15"),'152-CT'!$J$8=TH!F2647),"x","")</f>
        <v/>
      </c>
      <c r="W2647" s="525" t="str">
        <f>IF(AND(OR(LEFT(TH!L2647,2)="15",LEFT(TH!M2647,2)="15"),TK!$E$7=TH!F2647),"x","")</f>
        <v/>
      </c>
      <c r="X2647" s="525" t="str">
        <f>IF(AND('341-CT'!$E$9=H2647,OR(LEFT(L2647,3)=$X$7,LEFT(M2647,3)=$X$7)),"x","")</f>
        <v/>
      </c>
      <c r="Y2647" s="525" t="str">
        <f>IF(OR(TH!L2647=TH!$Y$7,M2647=TH!$Y$7),"x","")</f>
        <v/>
      </c>
      <c r="Z2647" s="525" t="str">
        <f>IF(AND(B2647&lt;=NKC!$N$8,B2647&gt;=NKC!$M$8),"x","")</f>
        <v/>
      </c>
      <c r="AA2647" s="535">
        <v>2</v>
      </c>
      <c r="AB2647" s="536"/>
    </row>
    <row r="2648" spans="1:28" s="503" customFormat="1" ht="15.75" customHeight="1">
      <c r="A2648" s="517" t="str">
        <f>IF(B2648&lt;&gt;"",IF(AND(B2648&gt;=_TM1,B2648&lt;=_TM2,OR(TH!L2648="1111",TH!M2648="1111")),TH!D2648,""),"")</f>
        <v/>
      </c>
      <c r="B2648" s="531">
        <f t="shared" si="231"/>
        <v>6</v>
      </c>
      <c r="C2648" s="315">
        <f t="shared" si="232"/>
        <v>42902</v>
      </c>
      <c r="D2648" s="315" t="s">
        <v>1363</v>
      </c>
      <c r="E2648" s="315">
        <v>42902</v>
      </c>
      <c r="F2648" s="249" t="s">
        <v>661</v>
      </c>
      <c r="G2648" s="314" t="s">
        <v>1259</v>
      </c>
      <c r="H2648" s="473" t="s">
        <v>1142</v>
      </c>
      <c r="I2648" s="307">
        <v>7</v>
      </c>
      <c r="J2648" s="307">
        <v>64962</v>
      </c>
      <c r="K2648" s="532">
        <f t="shared" si="233"/>
        <v>454734</v>
      </c>
      <c r="L2648" s="534" t="s">
        <v>292</v>
      </c>
      <c r="M2648" s="534" t="s">
        <v>8</v>
      </c>
      <c r="N2648" s="525" t="str">
        <f>IF(AND('331-CT'!$E$7=TH!H2648,OR(L2648="331",M2648="331")),"331",IF(AND(OR(L2648="131",M2648="131"),H2648='131-CT'!$E$7),"131",""))</f>
        <v/>
      </c>
      <c r="O2648" s="525" t="str">
        <f>IF(AND($B2648&gt;='111'!$N$11,$B2648&lt;='111'!$O$11,OR($L2648=$O$7,$M2648=$O$7)),"x","")</f>
        <v/>
      </c>
      <c r="P2648" s="525" t="str">
        <f>IF(AND($L2648=$O$7,$B2648&lt;'111'!$N$11),"x","")</f>
        <v/>
      </c>
      <c r="Q2648" s="525" t="str">
        <f>IF(AND($M2648=$O$7,$B2648&lt;'111'!$N$11),"x","")</f>
        <v/>
      </c>
      <c r="R2648" s="525" t="str">
        <f>IF(ISERROR(FIND('112'!$M$9,G2648,1)),"",IF((AND(FIND('112'!$M$9,G2648,1)&gt;=1,$B2648&gt;='112'!$N$8,$B2648&lt;='112'!$O$8,OR($L2648='112'!$I$6,$M2648='112'!$I$6))),"x",""))</f>
        <v/>
      </c>
      <c r="S2648" s="525" t="str">
        <f>IF(ISERROR(FIND('112'!$M$9,G2648,1)),"",IF((AND(LEFT(G2648,2)=LEFT('112'!$M$9,2),B2648&lt;'112'!$N$8,$L2648='112'!$I$6)),"x",""))</f>
        <v/>
      </c>
      <c r="T2648" s="525" t="str">
        <f>IF(ISERROR(FIND('112'!$M$9,G2648,1)),"",IF((AND(RIGHT(G2648,2)=RIGHT('112'!$M$9,2),B2648&lt;'112'!$N$8,$M2648='112'!$I$6)),"x",""))</f>
        <v/>
      </c>
      <c r="U2648" s="525" t="str">
        <f>IF(AND(B2648&gt;='IN-NX'!$P$3,B2648&lt;='IN-NX'!$Q$3,'IN-NX'!$D$7=D2648,OR(LEFT(L2648,2)="15",AND(LEFT(M2648,2)&lt;&gt;"15",LEFT(M2648,2)&lt;&gt;"33"))),"x","")</f>
        <v/>
      </c>
      <c r="V2648" s="525" t="str">
        <f>IF(AND(OR(LEFT(TH!L2648,2)="15",LEFT(TH!M2648,2)="15"),'152-CT'!$J$8=TH!F2648),"x","")</f>
        <v/>
      </c>
      <c r="W2648" s="525" t="str">
        <f>IF(AND(OR(LEFT(TH!L2648,2)="15",LEFT(TH!M2648,2)="15"),TK!$E$7=TH!F2648),"x","")</f>
        <v/>
      </c>
      <c r="X2648" s="525" t="str">
        <f>IF(AND('341-CT'!$E$9=H2648,OR(LEFT(L2648,3)=$X$7,LEFT(M2648,3)=$X$7)),"x","")</f>
        <v/>
      </c>
      <c r="Y2648" s="525" t="str">
        <f>IF(OR(TH!L2648=TH!$Y$7,M2648=TH!$Y$7),"x","")</f>
        <v/>
      </c>
      <c r="Z2648" s="525" t="str">
        <f>IF(AND(B2648&lt;=NKC!$N$8,B2648&gt;=NKC!$M$8),"x","")</f>
        <v/>
      </c>
      <c r="AA2648" s="535">
        <v>2</v>
      </c>
      <c r="AB2648" s="536"/>
    </row>
    <row r="2649" spans="1:28" s="503" customFormat="1" ht="15.75" customHeight="1">
      <c r="A2649" s="517" t="str">
        <f>IF(B2649&lt;&gt;"",IF(AND(B2649&gt;=_TM1,B2649&lt;=_TM2,OR(TH!L2649="1111",TH!M2649="1111")),TH!D2649,""),"")</f>
        <v/>
      </c>
      <c r="B2649" s="531">
        <f t="shared" si="231"/>
        <v>6</v>
      </c>
      <c r="C2649" s="315">
        <f t="shared" si="232"/>
        <v>42902</v>
      </c>
      <c r="D2649" s="315" t="s">
        <v>1363</v>
      </c>
      <c r="E2649" s="315">
        <v>42902</v>
      </c>
      <c r="F2649" s="249" t="s">
        <v>1235</v>
      </c>
      <c r="G2649" s="314" t="s">
        <v>1259</v>
      </c>
      <c r="H2649" s="473" t="s">
        <v>1142</v>
      </c>
      <c r="I2649" s="307">
        <v>38</v>
      </c>
      <c r="J2649" s="307">
        <v>59270</v>
      </c>
      <c r="K2649" s="532">
        <f t="shared" si="233"/>
        <v>2252260</v>
      </c>
      <c r="L2649" s="534" t="s">
        <v>292</v>
      </c>
      <c r="M2649" s="534" t="s">
        <v>8</v>
      </c>
      <c r="N2649" s="525" t="str">
        <f>IF(AND('331-CT'!$E$7=TH!H2649,OR(L2649="331",M2649="331")),"331",IF(AND(OR(L2649="131",M2649="131"),H2649='131-CT'!$E$7),"131",""))</f>
        <v/>
      </c>
      <c r="O2649" s="525" t="str">
        <f>IF(AND($B2649&gt;='111'!$N$11,$B2649&lt;='111'!$O$11,OR($L2649=$O$7,$M2649=$O$7)),"x","")</f>
        <v/>
      </c>
      <c r="P2649" s="525" t="str">
        <f>IF(AND($L2649=$O$7,$B2649&lt;'111'!$N$11),"x","")</f>
        <v/>
      </c>
      <c r="Q2649" s="525" t="str">
        <f>IF(AND($M2649=$O$7,$B2649&lt;'111'!$N$11),"x","")</f>
        <v/>
      </c>
      <c r="R2649" s="525" t="str">
        <f>IF(ISERROR(FIND('112'!$M$9,G2649,1)),"",IF((AND(FIND('112'!$M$9,G2649,1)&gt;=1,$B2649&gt;='112'!$N$8,$B2649&lt;='112'!$O$8,OR($L2649='112'!$I$6,$M2649='112'!$I$6))),"x",""))</f>
        <v/>
      </c>
      <c r="S2649" s="525" t="str">
        <f>IF(ISERROR(FIND('112'!$M$9,G2649,1)),"",IF((AND(LEFT(G2649,2)=LEFT('112'!$M$9,2),B2649&lt;'112'!$N$8,$L2649='112'!$I$6)),"x",""))</f>
        <v/>
      </c>
      <c r="T2649" s="525" t="str">
        <f>IF(ISERROR(FIND('112'!$M$9,G2649,1)),"",IF((AND(RIGHT(G2649,2)=RIGHT('112'!$M$9,2),B2649&lt;'112'!$N$8,$M2649='112'!$I$6)),"x",""))</f>
        <v/>
      </c>
      <c r="U2649" s="525" t="str">
        <f>IF(AND(B2649&gt;='IN-NX'!$P$3,B2649&lt;='IN-NX'!$Q$3,'IN-NX'!$D$7=D2649,OR(LEFT(L2649,2)="15",AND(LEFT(M2649,2)&lt;&gt;"15",LEFT(M2649,2)&lt;&gt;"33"))),"x","")</f>
        <v/>
      </c>
      <c r="V2649" s="525" t="str">
        <f>IF(AND(OR(LEFT(TH!L2649,2)="15",LEFT(TH!M2649,2)="15"),'152-CT'!$J$8=TH!F2649),"x","")</f>
        <v/>
      </c>
      <c r="W2649" s="525" t="str">
        <f>IF(AND(OR(LEFT(TH!L2649,2)="15",LEFT(TH!M2649,2)="15"),TK!$E$7=TH!F2649),"x","")</f>
        <v/>
      </c>
      <c r="X2649" s="525" t="str">
        <f>IF(AND('341-CT'!$E$9=H2649,OR(LEFT(L2649,3)=$X$7,LEFT(M2649,3)=$X$7)),"x","")</f>
        <v/>
      </c>
      <c r="Y2649" s="525" t="str">
        <f>IF(OR(TH!L2649=TH!$Y$7,M2649=TH!$Y$7),"x","")</f>
        <v/>
      </c>
      <c r="Z2649" s="525" t="str">
        <f>IF(AND(B2649&lt;=NKC!$N$8,B2649&gt;=NKC!$M$8),"x","")</f>
        <v/>
      </c>
      <c r="AA2649" s="535">
        <v>2</v>
      </c>
      <c r="AB2649" s="536"/>
    </row>
    <row r="2650" spans="1:28" s="503" customFormat="1" ht="15.75" customHeight="1">
      <c r="A2650" s="517" t="str">
        <f>IF(B2650&lt;&gt;"",IF(AND(B2650&gt;=_TM1,B2650&lt;=_TM2,OR(TH!L2650="1111",TH!M2650="1111")),TH!D2650,""),"")</f>
        <v/>
      </c>
      <c r="B2650" s="531">
        <f t="shared" si="231"/>
        <v>6</v>
      </c>
      <c r="C2650" s="315">
        <f t="shared" si="232"/>
        <v>42902</v>
      </c>
      <c r="D2650" s="315" t="s">
        <v>1364</v>
      </c>
      <c r="E2650" s="315">
        <v>42902</v>
      </c>
      <c r="F2650" s="249" t="s">
        <v>692</v>
      </c>
      <c r="G2650" s="314" t="s">
        <v>1259</v>
      </c>
      <c r="H2650" s="473" t="s">
        <v>1142</v>
      </c>
      <c r="I2650" s="307">
        <v>3</v>
      </c>
      <c r="J2650" s="307">
        <v>189000</v>
      </c>
      <c r="K2650" s="532">
        <f t="shared" si="233"/>
        <v>567000</v>
      </c>
      <c r="L2650" s="534" t="s">
        <v>292</v>
      </c>
      <c r="M2650" s="534" t="s">
        <v>8</v>
      </c>
      <c r="N2650" s="525" t="str">
        <f>IF(AND('331-CT'!$E$7=TH!H2650,OR(L2650="331",M2650="331")),"331",IF(AND(OR(L2650="131",M2650="131"),H2650='131-CT'!$E$7),"131",""))</f>
        <v/>
      </c>
      <c r="O2650" s="525" t="str">
        <f>IF(AND($B2650&gt;='111'!$N$11,$B2650&lt;='111'!$O$11,OR($L2650=$O$7,$M2650=$O$7)),"x","")</f>
        <v/>
      </c>
      <c r="P2650" s="525" t="str">
        <f>IF(AND($L2650=$O$7,$B2650&lt;'111'!$N$11),"x","")</f>
        <v/>
      </c>
      <c r="Q2650" s="525" t="str">
        <f>IF(AND($M2650=$O$7,$B2650&lt;'111'!$N$11),"x","")</f>
        <v/>
      </c>
      <c r="R2650" s="525" t="str">
        <f>IF(ISERROR(FIND('112'!$M$9,G2650,1)),"",IF((AND(FIND('112'!$M$9,G2650,1)&gt;=1,$B2650&gt;='112'!$N$8,$B2650&lt;='112'!$O$8,OR($L2650='112'!$I$6,$M2650='112'!$I$6))),"x",""))</f>
        <v/>
      </c>
      <c r="S2650" s="525" t="str">
        <f>IF(ISERROR(FIND('112'!$M$9,G2650,1)),"",IF((AND(LEFT(G2650,2)=LEFT('112'!$M$9,2),B2650&lt;'112'!$N$8,$L2650='112'!$I$6)),"x",""))</f>
        <v/>
      </c>
      <c r="T2650" s="525" t="str">
        <f>IF(ISERROR(FIND('112'!$M$9,G2650,1)),"",IF((AND(RIGHT(G2650,2)=RIGHT('112'!$M$9,2),B2650&lt;'112'!$N$8,$M2650='112'!$I$6)),"x",""))</f>
        <v/>
      </c>
      <c r="U2650" s="525" t="str">
        <f>IF(AND(B2650&gt;='IN-NX'!$P$3,B2650&lt;='IN-NX'!$Q$3,'IN-NX'!$D$7=D2650,OR(LEFT(L2650,2)="15",AND(LEFT(M2650,2)&lt;&gt;"15",LEFT(M2650,2)&lt;&gt;"33"))),"x","")</f>
        <v/>
      </c>
      <c r="V2650" s="525" t="str">
        <f>IF(AND(OR(LEFT(TH!L2650,2)="15",LEFT(TH!M2650,2)="15"),'152-CT'!$J$8=TH!F2650),"x","")</f>
        <v/>
      </c>
      <c r="W2650" s="525" t="str">
        <f>IF(AND(OR(LEFT(TH!L2650,2)="15",LEFT(TH!M2650,2)="15"),TK!$E$7=TH!F2650),"x","")</f>
        <v/>
      </c>
      <c r="X2650" s="525" t="str">
        <f>IF(AND('341-CT'!$E$9=H2650,OR(LEFT(L2650,3)=$X$7,LEFT(M2650,3)=$X$7)),"x","")</f>
        <v/>
      </c>
      <c r="Y2650" s="525" t="str">
        <f>IF(OR(TH!L2650=TH!$Y$7,M2650=TH!$Y$7),"x","")</f>
        <v/>
      </c>
      <c r="Z2650" s="525" t="str">
        <f>IF(AND(B2650&lt;=NKC!$N$8,B2650&gt;=NKC!$M$8),"x","")</f>
        <v/>
      </c>
      <c r="AA2650" s="535">
        <v>2</v>
      </c>
      <c r="AB2650" s="536"/>
    </row>
    <row r="2651" spans="1:28" s="503" customFormat="1" ht="15.75" customHeight="1">
      <c r="A2651" s="517" t="str">
        <f>IF(B2651&lt;&gt;"",IF(AND(B2651&gt;=_TM1,B2651&lt;=_TM2,OR(TH!L2651="1111",TH!M2651="1111")),TH!D2651,""),"")</f>
        <v/>
      </c>
      <c r="B2651" s="531">
        <f t="shared" si="231"/>
        <v>6</v>
      </c>
      <c r="C2651" s="315">
        <f t="shared" si="232"/>
        <v>42902</v>
      </c>
      <c r="D2651" s="315" t="s">
        <v>1364</v>
      </c>
      <c r="E2651" s="315">
        <v>42902</v>
      </c>
      <c r="F2651" s="249" t="s">
        <v>1162</v>
      </c>
      <c r="G2651" s="314" t="s">
        <v>1259</v>
      </c>
      <c r="H2651" s="473" t="s">
        <v>1142</v>
      </c>
      <c r="I2651" s="307">
        <v>20</v>
      </c>
      <c r="J2651" s="307">
        <v>191330</v>
      </c>
      <c r="K2651" s="532">
        <f t="shared" si="233"/>
        <v>3826600</v>
      </c>
      <c r="L2651" s="534" t="s">
        <v>292</v>
      </c>
      <c r="M2651" s="534" t="s">
        <v>8</v>
      </c>
      <c r="N2651" s="525" t="str">
        <f>IF(AND('331-CT'!$E$7=TH!H2651,OR(L2651="331",M2651="331")),"331",IF(AND(OR(L2651="131",M2651="131"),H2651='131-CT'!$E$7),"131",""))</f>
        <v/>
      </c>
      <c r="O2651" s="525" t="str">
        <f>IF(AND($B2651&gt;='111'!$N$11,$B2651&lt;='111'!$O$11,OR($L2651=$O$7,$M2651=$O$7)),"x","")</f>
        <v/>
      </c>
      <c r="P2651" s="525" t="str">
        <f>IF(AND($L2651=$O$7,$B2651&lt;'111'!$N$11),"x","")</f>
        <v/>
      </c>
      <c r="Q2651" s="525" t="str">
        <f>IF(AND($M2651=$O$7,$B2651&lt;'111'!$N$11),"x","")</f>
        <v/>
      </c>
      <c r="R2651" s="525" t="str">
        <f>IF(ISERROR(FIND('112'!$M$9,G2651,1)),"",IF((AND(FIND('112'!$M$9,G2651,1)&gt;=1,$B2651&gt;='112'!$N$8,$B2651&lt;='112'!$O$8,OR($L2651='112'!$I$6,$M2651='112'!$I$6))),"x",""))</f>
        <v/>
      </c>
      <c r="S2651" s="525" t="str">
        <f>IF(ISERROR(FIND('112'!$M$9,G2651,1)),"",IF((AND(LEFT(G2651,2)=LEFT('112'!$M$9,2),B2651&lt;'112'!$N$8,$L2651='112'!$I$6)),"x",""))</f>
        <v/>
      </c>
      <c r="T2651" s="525" t="str">
        <f>IF(ISERROR(FIND('112'!$M$9,G2651,1)),"",IF((AND(RIGHT(G2651,2)=RIGHT('112'!$M$9,2),B2651&lt;'112'!$N$8,$M2651='112'!$I$6)),"x",""))</f>
        <v/>
      </c>
      <c r="U2651" s="525" t="str">
        <f>IF(AND(B2651&gt;='IN-NX'!$P$3,B2651&lt;='IN-NX'!$Q$3,'IN-NX'!$D$7=D2651,OR(LEFT(L2651,2)="15",AND(LEFT(M2651,2)&lt;&gt;"15",LEFT(M2651,2)&lt;&gt;"33"))),"x","")</f>
        <v/>
      </c>
      <c r="V2651" s="525" t="str">
        <f>IF(AND(OR(LEFT(TH!L2651,2)="15",LEFT(TH!M2651,2)="15"),'152-CT'!$J$8=TH!F2651),"x","")</f>
        <v/>
      </c>
      <c r="W2651" s="525" t="str">
        <f>IF(AND(OR(LEFT(TH!L2651,2)="15",LEFT(TH!M2651,2)="15"),TK!$E$7=TH!F2651),"x","")</f>
        <v/>
      </c>
      <c r="X2651" s="525" t="str">
        <f>IF(AND('341-CT'!$E$9=H2651,OR(LEFT(L2651,3)=$X$7,LEFT(M2651,3)=$X$7)),"x","")</f>
        <v/>
      </c>
      <c r="Y2651" s="525" t="str">
        <f>IF(OR(TH!L2651=TH!$Y$7,M2651=TH!$Y$7),"x","")</f>
        <v/>
      </c>
      <c r="Z2651" s="525" t="str">
        <f>IF(AND(B2651&lt;=NKC!$N$8,B2651&gt;=NKC!$M$8),"x","")</f>
        <v/>
      </c>
      <c r="AA2651" s="535">
        <v>2</v>
      </c>
      <c r="AB2651" s="536"/>
    </row>
    <row r="2652" spans="1:28" s="503" customFormat="1" ht="15.75" customHeight="1">
      <c r="A2652" s="517" t="str">
        <f>IF(B2652&lt;&gt;"",IF(AND(B2652&gt;=_TM1,B2652&lt;=_TM2,OR(TH!L2652="1111",TH!M2652="1111")),TH!D2652,""),"")</f>
        <v/>
      </c>
      <c r="B2652" s="531">
        <f t="shared" si="231"/>
        <v>6</v>
      </c>
      <c r="C2652" s="315">
        <f t="shared" si="232"/>
        <v>42902</v>
      </c>
      <c r="D2652" s="315" t="s">
        <v>1364</v>
      </c>
      <c r="E2652" s="315">
        <v>42902</v>
      </c>
      <c r="F2652" s="249" t="s">
        <v>759</v>
      </c>
      <c r="G2652" s="314" t="s">
        <v>1259</v>
      </c>
      <c r="H2652" s="473" t="s">
        <v>1142</v>
      </c>
      <c r="I2652" s="307">
        <v>40</v>
      </c>
      <c r="J2652" s="307">
        <v>32851</v>
      </c>
      <c r="K2652" s="532">
        <f t="shared" si="233"/>
        <v>1314040</v>
      </c>
      <c r="L2652" s="534" t="s">
        <v>292</v>
      </c>
      <c r="M2652" s="534" t="s">
        <v>8</v>
      </c>
      <c r="N2652" s="525" t="str">
        <f>IF(AND('331-CT'!$E$7=TH!H2652,OR(L2652="331",M2652="331")),"331",IF(AND(OR(L2652="131",M2652="131"),H2652='131-CT'!$E$7),"131",""))</f>
        <v/>
      </c>
      <c r="O2652" s="525" t="str">
        <f>IF(AND($B2652&gt;='111'!$N$11,$B2652&lt;='111'!$O$11,OR($L2652=$O$7,$M2652=$O$7)),"x","")</f>
        <v/>
      </c>
      <c r="P2652" s="525" t="str">
        <f>IF(AND($L2652=$O$7,$B2652&lt;'111'!$N$11),"x","")</f>
        <v/>
      </c>
      <c r="Q2652" s="525" t="str">
        <f>IF(AND($M2652=$O$7,$B2652&lt;'111'!$N$11),"x","")</f>
        <v/>
      </c>
      <c r="R2652" s="525" t="str">
        <f>IF(ISERROR(FIND('112'!$M$9,G2652,1)),"",IF((AND(FIND('112'!$M$9,G2652,1)&gt;=1,$B2652&gt;='112'!$N$8,$B2652&lt;='112'!$O$8,OR($L2652='112'!$I$6,$M2652='112'!$I$6))),"x",""))</f>
        <v/>
      </c>
      <c r="S2652" s="525" t="str">
        <f>IF(ISERROR(FIND('112'!$M$9,G2652,1)),"",IF((AND(LEFT(G2652,2)=LEFT('112'!$M$9,2),B2652&lt;'112'!$N$8,$L2652='112'!$I$6)),"x",""))</f>
        <v/>
      </c>
      <c r="T2652" s="525" t="str">
        <f>IF(ISERROR(FIND('112'!$M$9,G2652,1)),"",IF((AND(RIGHT(G2652,2)=RIGHT('112'!$M$9,2),B2652&lt;'112'!$N$8,$M2652='112'!$I$6)),"x",""))</f>
        <v/>
      </c>
      <c r="U2652" s="525" t="str">
        <f>IF(AND(B2652&gt;='IN-NX'!$P$3,B2652&lt;='IN-NX'!$Q$3,'IN-NX'!$D$7=D2652,OR(LEFT(L2652,2)="15",AND(LEFT(M2652,2)&lt;&gt;"15",LEFT(M2652,2)&lt;&gt;"33"))),"x","")</f>
        <v/>
      </c>
      <c r="V2652" s="525" t="str">
        <f>IF(AND(OR(LEFT(TH!L2652,2)="15",LEFT(TH!M2652,2)="15"),'152-CT'!$J$8=TH!F2652),"x","")</f>
        <v/>
      </c>
      <c r="W2652" s="525" t="str">
        <f>IF(AND(OR(LEFT(TH!L2652,2)="15",LEFT(TH!M2652,2)="15"),TK!$E$7=TH!F2652),"x","")</f>
        <v/>
      </c>
      <c r="X2652" s="525" t="str">
        <f>IF(AND('341-CT'!$E$9=H2652,OR(LEFT(L2652,3)=$X$7,LEFT(M2652,3)=$X$7)),"x","")</f>
        <v/>
      </c>
      <c r="Y2652" s="525" t="str">
        <f>IF(OR(TH!L2652=TH!$Y$7,M2652=TH!$Y$7),"x","")</f>
        <v/>
      </c>
      <c r="Z2652" s="525" t="str">
        <f>IF(AND(B2652&lt;=NKC!$N$8,B2652&gt;=NKC!$M$8),"x","")</f>
        <v/>
      </c>
      <c r="AA2652" s="535">
        <v>2</v>
      </c>
      <c r="AB2652" s="536"/>
    </row>
    <row r="2653" spans="1:28" s="503" customFormat="1" ht="15.75" customHeight="1">
      <c r="A2653" s="517" t="str">
        <f>IF(B2653&lt;&gt;"",IF(AND(B2653&gt;=_TM1,B2653&lt;=_TM2,OR(TH!L2653="1111",TH!M2653="1111")),TH!D2653,""),"")</f>
        <v/>
      </c>
      <c r="B2653" s="531">
        <f t="shared" si="231"/>
        <v>6</v>
      </c>
      <c r="C2653" s="315">
        <f t="shared" si="232"/>
        <v>42902</v>
      </c>
      <c r="D2653" s="315" t="s">
        <v>1364</v>
      </c>
      <c r="E2653" s="315">
        <v>42902</v>
      </c>
      <c r="F2653" s="249" t="s">
        <v>1164</v>
      </c>
      <c r="G2653" s="314" t="s">
        <v>1259</v>
      </c>
      <c r="H2653" s="473" t="s">
        <v>1142</v>
      </c>
      <c r="I2653" s="307">
        <v>512</v>
      </c>
      <c r="J2653" s="307">
        <v>11221</v>
      </c>
      <c r="K2653" s="532">
        <f t="shared" si="233"/>
        <v>5745152</v>
      </c>
      <c r="L2653" s="534" t="s">
        <v>292</v>
      </c>
      <c r="M2653" s="534" t="s">
        <v>8</v>
      </c>
      <c r="N2653" s="525" t="str">
        <f>IF(AND('331-CT'!$E$7=TH!H2653,OR(L2653="331",M2653="331")),"331",IF(AND(OR(L2653="131",M2653="131"),H2653='131-CT'!$E$7),"131",""))</f>
        <v/>
      </c>
      <c r="O2653" s="525" t="str">
        <f>IF(AND($B2653&gt;='111'!$N$11,$B2653&lt;='111'!$O$11,OR($L2653=$O$7,$M2653=$O$7)),"x","")</f>
        <v/>
      </c>
      <c r="P2653" s="525" t="str">
        <f>IF(AND($L2653=$O$7,$B2653&lt;'111'!$N$11),"x","")</f>
        <v/>
      </c>
      <c r="Q2653" s="525" t="str">
        <f>IF(AND($M2653=$O$7,$B2653&lt;'111'!$N$11),"x","")</f>
        <v/>
      </c>
      <c r="R2653" s="525" t="str">
        <f>IF(ISERROR(FIND('112'!$M$9,G2653,1)),"",IF((AND(FIND('112'!$M$9,G2653,1)&gt;=1,$B2653&gt;='112'!$N$8,$B2653&lt;='112'!$O$8,OR($L2653='112'!$I$6,$M2653='112'!$I$6))),"x",""))</f>
        <v/>
      </c>
      <c r="S2653" s="525" t="str">
        <f>IF(ISERROR(FIND('112'!$M$9,G2653,1)),"",IF((AND(LEFT(G2653,2)=LEFT('112'!$M$9,2),B2653&lt;'112'!$N$8,$L2653='112'!$I$6)),"x",""))</f>
        <v/>
      </c>
      <c r="T2653" s="525" t="str">
        <f>IF(ISERROR(FIND('112'!$M$9,G2653,1)),"",IF((AND(RIGHT(G2653,2)=RIGHT('112'!$M$9,2),B2653&lt;'112'!$N$8,$M2653='112'!$I$6)),"x",""))</f>
        <v/>
      </c>
      <c r="U2653" s="525" t="str">
        <f>IF(AND(B2653&gt;='IN-NX'!$P$3,B2653&lt;='IN-NX'!$Q$3,'IN-NX'!$D$7=D2653,OR(LEFT(L2653,2)="15",AND(LEFT(M2653,2)&lt;&gt;"15",LEFT(M2653,2)&lt;&gt;"33"))),"x","")</f>
        <v/>
      </c>
      <c r="V2653" s="525" t="str">
        <f>IF(AND(OR(LEFT(TH!L2653,2)="15",LEFT(TH!M2653,2)="15"),'152-CT'!$J$8=TH!F2653),"x","")</f>
        <v/>
      </c>
      <c r="W2653" s="525" t="str">
        <f>IF(AND(OR(LEFT(TH!L2653,2)="15",LEFT(TH!M2653,2)="15"),TK!$E$7=TH!F2653),"x","")</f>
        <v>x</v>
      </c>
      <c r="X2653" s="525" t="str">
        <f>IF(AND('341-CT'!$E$9=H2653,OR(LEFT(L2653,3)=$X$7,LEFT(M2653,3)=$X$7)),"x","")</f>
        <v/>
      </c>
      <c r="Y2653" s="525" t="str">
        <f>IF(OR(TH!L2653=TH!$Y$7,M2653=TH!$Y$7),"x","")</f>
        <v/>
      </c>
      <c r="Z2653" s="525" t="str">
        <f>IF(AND(B2653&lt;=NKC!$N$8,B2653&gt;=NKC!$M$8),"x","")</f>
        <v/>
      </c>
      <c r="AA2653" s="535">
        <v>2</v>
      </c>
      <c r="AB2653" s="536"/>
    </row>
    <row r="2654" spans="1:28" s="503" customFormat="1" ht="15.75" customHeight="1">
      <c r="A2654" s="517" t="str">
        <f>IF(B2654&lt;&gt;"",IF(AND(B2654&gt;=_TM1,B2654&lt;=_TM2,OR(TH!L2654="1111",TH!M2654="1111")),TH!D2654,""),"")</f>
        <v/>
      </c>
      <c r="B2654" s="531">
        <f t="shared" si="231"/>
        <v>6</v>
      </c>
      <c r="C2654" s="315">
        <f t="shared" si="232"/>
        <v>42902</v>
      </c>
      <c r="D2654" s="315" t="s">
        <v>1364</v>
      </c>
      <c r="E2654" s="315">
        <v>42902</v>
      </c>
      <c r="F2654" s="249" t="s">
        <v>649</v>
      </c>
      <c r="G2654" s="314" t="s">
        <v>1259</v>
      </c>
      <c r="H2654" s="473" t="s">
        <v>1142</v>
      </c>
      <c r="I2654" s="307">
        <v>100</v>
      </c>
      <c r="J2654" s="307">
        <v>63206</v>
      </c>
      <c r="K2654" s="532">
        <f t="shared" si="233"/>
        <v>6320600</v>
      </c>
      <c r="L2654" s="534" t="s">
        <v>292</v>
      </c>
      <c r="M2654" s="534" t="s">
        <v>8</v>
      </c>
      <c r="N2654" s="525" t="str">
        <f>IF(AND('331-CT'!$E$7=TH!H2654,OR(L2654="331",M2654="331")),"331",IF(AND(OR(L2654="131",M2654="131"),H2654='131-CT'!$E$7),"131",""))</f>
        <v/>
      </c>
      <c r="O2654" s="525" t="str">
        <f>IF(AND($B2654&gt;='111'!$N$11,$B2654&lt;='111'!$O$11,OR($L2654=$O$7,$M2654=$O$7)),"x","")</f>
        <v/>
      </c>
      <c r="P2654" s="525" t="str">
        <f>IF(AND($L2654=$O$7,$B2654&lt;'111'!$N$11),"x","")</f>
        <v/>
      </c>
      <c r="Q2654" s="525" t="str">
        <f>IF(AND($M2654=$O$7,$B2654&lt;'111'!$N$11),"x","")</f>
        <v/>
      </c>
      <c r="R2654" s="525" t="str">
        <f>IF(ISERROR(FIND('112'!$M$9,G2654,1)),"",IF((AND(FIND('112'!$M$9,G2654,1)&gt;=1,$B2654&gt;='112'!$N$8,$B2654&lt;='112'!$O$8,OR($L2654='112'!$I$6,$M2654='112'!$I$6))),"x",""))</f>
        <v/>
      </c>
      <c r="S2654" s="525" t="str">
        <f>IF(ISERROR(FIND('112'!$M$9,G2654,1)),"",IF((AND(LEFT(G2654,2)=LEFT('112'!$M$9,2),B2654&lt;'112'!$N$8,$L2654='112'!$I$6)),"x",""))</f>
        <v/>
      </c>
      <c r="T2654" s="525" t="str">
        <f>IF(ISERROR(FIND('112'!$M$9,G2654,1)),"",IF((AND(RIGHT(G2654,2)=RIGHT('112'!$M$9,2),B2654&lt;'112'!$N$8,$M2654='112'!$I$6)),"x",""))</f>
        <v/>
      </c>
      <c r="U2654" s="525" t="str">
        <f>IF(AND(B2654&gt;='IN-NX'!$P$3,B2654&lt;='IN-NX'!$Q$3,'IN-NX'!$D$7=D2654,OR(LEFT(L2654,2)="15",AND(LEFT(M2654,2)&lt;&gt;"15",LEFT(M2654,2)&lt;&gt;"33"))),"x","")</f>
        <v/>
      </c>
      <c r="V2654" s="525" t="str">
        <f>IF(AND(OR(LEFT(TH!L2654,2)="15",LEFT(TH!M2654,2)="15"),'152-CT'!$J$8=TH!F2654),"x","")</f>
        <v/>
      </c>
      <c r="W2654" s="525" t="str">
        <f>IF(AND(OR(LEFT(TH!L2654,2)="15",LEFT(TH!M2654,2)="15"),TK!$E$7=TH!F2654),"x","")</f>
        <v/>
      </c>
      <c r="X2654" s="525" t="str">
        <f>IF(AND('341-CT'!$E$9=H2654,OR(LEFT(L2654,3)=$X$7,LEFT(M2654,3)=$X$7)),"x","")</f>
        <v/>
      </c>
      <c r="Y2654" s="525" t="str">
        <f>IF(OR(TH!L2654=TH!$Y$7,M2654=TH!$Y$7),"x","")</f>
        <v/>
      </c>
      <c r="Z2654" s="525" t="str">
        <f>IF(AND(B2654&lt;=NKC!$N$8,B2654&gt;=NKC!$M$8),"x","")</f>
        <v/>
      </c>
      <c r="AA2654" s="535">
        <v>2</v>
      </c>
      <c r="AB2654" s="536"/>
    </row>
    <row r="2655" spans="1:28" s="503" customFormat="1" ht="15.75" customHeight="1">
      <c r="A2655" s="517" t="str">
        <f>IF(B2655&lt;&gt;"",IF(AND(B2655&gt;=_TM1,B2655&lt;=_TM2,OR(TH!L2655="1111",TH!M2655="1111")),TH!D2655,""),"")</f>
        <v/>
      </c>
      <c r="B2655" s="531">
        <f t="shared" si="231"/>
        <v>6</v>
      </c>
      <c r="C2655" s="315">
        <f t="shared" si="232"/>
        <v>42902</v>
      </c>
      <c r="D2655" s="315" t="s">
        <v>1364</v>
      </c>
      <c r="E2655" s="315">
        <v>42902</v>
      </c>
      <c r="F2655" s="249" t="s">
        <v>1236</v>
      </c>
      <c r="G2655" s="314" t="s">
        <v>1259</v>
      </c>
      <c r="H2655" s="473" t="s">
        <v>1142</v>
      </c>
      <c r="I2655" s="307">
        <v>20</v>
      </c>
      <c r="J2655" s="307">
        <v>65175</v>
      </c>
      <c r="K2655" s="532">
        <f t="shared" si="233"/>
        <v>1303500</v>
      </c>
      <c r="L2655" s="534" t="s">
        <v>292</v>
      </c>
      <c r="M2655" s="534" t="s">
        <v>8</v>
      </c>
      <c r="N2655" s="525" t="str">
        <f>IF(AND('331-CT'!$E$7=TH!H2655,OR(L2655="331",M2655="331")),"331",IF(AND(OR(L2655="131",M2655="131"),H2655='131-CT'!$E$7),"131",""))</f>
        <v/>
      </c>
      <c r="O2655" s="525" t="str">
        <f>IF(AND($B2655&gt;='111'!$N$11,$B2655&lt;='111'!$O$11,OR($L2655=$O$7,$M2655=$O$7)),"x","")</f>
        <v/>
      </c>
      <c r="P2655" s="525" t="str">
        <f>IF(AND($L2655=$O$7,$B2655&lt;'111'!$N$11),"x","")</f>
        <v/>
      </c>
      <c r="Q2655" s="525" t="str">
        <f>IF(AND($M2655=$O$7,$B2655&lt;'111'!$N$11),"x","")</f>
        <v/>
      </c>
      <c r="R2655" s="525" t="str">
        <f>IF(ISERROR(FIND('112'!$M$9,G2655,1)),"",IF((AND(FIND('112'!$M$9,G2655,1)&gt;=1,$B2655&gt;='112'!$N$8,$B2655&lt;='112'!$O$8,OR($L2655='112'!$I$6,$M2655='112'!$I$6))),"x",""))</f>
        <v/>
      </c>
      <c r="S2655" s="525" t="str">
        <f>IF(ISERROR(FIND('112'!$M$9,G2655,1)),"",IF((AND(LEFT(G2655,2)=LEFT('112'!$M$9,2),B2655&lt;'112'!$N$8,$L2655='112'!$I$6)),"x",""))</f>
        <v/>
      </c>
      <c r="T2655" s="525" t="str">
        <f>IF(ISERROR(FIND('112'!$M$9,G2655,1)),"",IF((AND(RIGHT(G2655,2)=RIGHT('112'!$M$9,2),B2655&lt;'112'!$N$8,$M2655='112'!$I$6)),"x",""))</f>
        <v/>
      </c>
      <c r="U2655" s="525" t="str">
        <f>IF(AND(B2655&gt;='IN-NX'!$P$3,B2655&lt;='IN-NX'!$Q$3,'IN-NX'!$D$7=D2655,OR(LEFT(L2655,2)="15",AND(LEFT(M2655,2)&lt;&gt;"15",LEFT(M2655,2)&lt;&gt;"33"))),"x","")</f>
        <v/>
      </c>
      <c r="V2655" s="525" t="str">
        <f>IF(AND(OR(LEFT(TH!L2655,2)="15",LEFT(TH!M2655,2)="15"),'152-CT'!$J$8=TH!F2655),"x","")</f>
        <v/>
      </c>
      <c r="W2655" s="525" t="str">
        <f>IF(AND(OR(LEFT(TH!L2655,2)="15",LEFT(TH!M2655,2)="15"),TK!$E$7=TH!F2655),"x","")</f>
        <v/>
      </c>
      <c r="X2655" s="525" t="str">
        <f>IF(AND('341-CT'!$E$9=H2655,OR(LEFT(L2655,3)=$X$7,LEFT(M2655,3)=$X$7)),"x","")</f>
        <v/>
      </c>
      <c r="Y2655" s="525" t="str">
        <f>IF(OR(TH!L2655=TH!$Y$7,M2655=TH!$Y$7),"x","")</f>
        <v/>
      </c>
      <c r="Z2655" s="525" t="str">
        <f>IF(AND(B2655&lt;=NKC!$N$8,B2655&gt;=NKC!$M$8),"x","")</f>
        <v/>
      </c>
      <c r="AA2655" s="535">
        <v>2</v>
      </c>
      <c r="AB2655" s="536"/>
    </row>
    <row r="2656" spans="1:28" s="503" customFormat="1" ht="15.75" customHeight="1">
      <c r="A2656" s="517" t="str">
        <f>IF(B2656&lt;&gt;"",IF(AND(B2656&gt;=_TM1,B2656&lt;=_TM2,OR(TH!L2656="1111",TH!M2656="1111")),TH!D2656,""),"")</f>
        <v/>
      </c>
      <c r="B2656" s="531">
        <f t="shared" si="231"/>
        <v>6</v>
      </c>
      <c r="C2656" s="315">
        <f t="shared" si="232"/>
        <v>42902</v>
      </c>
      <c r="D2656" s="315" t="s">
        <v>1364</v>
      </c>
      <c r="E2656" s="315">
        <v>42902</v>
      </c>
      <c r="F2656" s="249" t="s">
        <v>1237</v>
      </c>
      <c r="G2656" s="314" t="s">
        <v>1259</v>
      </c>
      <c r="H2656" s="473" t="s">
        <v>1142</v>
      </c>
      <c r="I2656" s="307">
        <v>30</v>
      </c>
      <c r="J2656" s="307">
        <v>47472</v>
      </c>
      <c r="K2656" s="532">
        <f t="shared" si="233"/>
        <v>1424160</v>
      </c>
      <c r="L2656" s="534" t="s">
        <v>292</v>
      </c>
      <c r="M2656" s="534" t="s">
        <v>8</v>
      </c>
      <c r="N2656" s="525" t="str">
        <f>IF(AND('331-CT'!$E$7=TH!H2656,OR(L2656="331",M2656="331")),"331",IF(AND(OR(L2656="131",M2656="131"),H2656='131-CT'!$E$7),"131",""))</f>
        <v/>
      </c>
      <c r="O2656" s="525" t="str">
        <f>IF(AND($B2656&gt;='111'!$N$11,$B2656&lt;='111'!$O$11,OR($L2656=$O$7,$M2656=$O$7)),"x","")</f>
        <v/>
      </c>
      <c r="P2656" s="525" t="str">
        <f>IF(AND($L2656=$O$7,$B2656&lt;'111'!$N$11),"x","")</f>
        <v/>
      </c>
      <c r="Q2656" s="525" t="str">
        <f>IF(AND($M2656=$O$7,$B2656&lt;'111'!$N$11),"x","")</f>
        <v/>
      </c>
      <c r="R2656" s="525" t="str">
        <f>IF(ISERROR(FIND('112'!$M$9,G2656,1)),"",IF((AND(FIND('112'!$M$9,G2656,1)&gt;=1,$B2656&gt;='112'!$N$8,$B2656&lt;='112'!$O$8,OR($L2656='112'!$I$6,$M2656='112'!$I$6))),"x",""))</f>
        <v/>
      </c>
      <c r="S2656" s="525" t="str">
        <f>IF(ISERROR(FIND('112'!$M$9,G2656,1)),"",IF((AND(LEFT(G2656,2)=LEFT('112'!$M$9,2),B2656&lt;'112'!$N$8,$L2656='112'!$I$6)),"x",""))</f>
        <v/>
      </c>
      <c r="T2656" s="525" t="str">
        <f>IF(ISERROR(FIND('112'!$M$9,G2656,1)),"",IF((AND(RIGHT(G2656,2)=RIGHT('112'!$M$9,2),B2656&lt;'112'!$N$8,$M2656='112'!$I$6)),"x",""))</f>
        <v/>
      </c>
      <c r="U2656" s="525" t="str">
        <f>IF(AND(B2656&gt;='IN-NX'!$P$3,B2656&lt;='IN-NX'!$Q$3,'IN-NX'!$D$7=D2656,OR(LEFT(L2656,2)="15",AND(LEFT(M2656,2)&lt;&gt;"15",LEFT(M2656,2)&lt;&gt;"33"))),"x","")</f>
        <v/>
      </c>
      <c r="V2656" s="525" t="str">
        <f>IF(AND(OR(LEFT(TH!L2656,2)="15",LEFT(TH!M2656,2)="15"),'152-CT'!$J$8=TH!F2656),"x","")</f>
        <v/>
      </c>
      <c r="W2656" s="525" t="str">
        <f>IF(AND(OR(LEFT(TH!L2656,2)="15",LEFT(TH!M2656,2)="15"),TK!$E$7=TH!F2656),"x","")</f>
        <v/>
      </c>
      <c r="X2656" s="525" t="str">
        <f>IF(AND('341-CT'!$E$9=H2656,OR(LEFT(L2656,3)=$X$7,LEFT(M2656,3)=$X$7)),"x","")</f>
        <v/>
      </c>
      <c r="Y2656" s="525" t="str">
        <f>IF(OR(TH!L2656=TH!$Y$7,M2656=TH!$Y$7),"x","")</f>
        <v/>
      </c>
      <c r="Z2656" s="525" t="str">
        <f>IF(AND(B2656&lt;=NKC!$N$8,B2656&gt;=NKC!$M$8),"x","")</f>
        <v/>
      </c>
      <c r="AA2656" s="535">
        <v>2</v>
      </c>
      <c r="AB2656" s="536"/>
    </row>
    <row r="2657" spans="1:28" s="503" customFormat="1" ht="15.75" customHeight="1">
      <c r="A2657" s="517" t="str">
        <f>IF(B2657&lt;&gt;"",IF(AND(B2657&gt;=_TM1,B2657&lt;=_TM2,OR(TH!L2657="1111",TH!M2657="1111")),TH!D2657,""),"")</f>
        <v/>
      </c>
      <c r="B2657" s="531">
        <f t="shared" si="231"/>
        <v>6</v>
      </c>
      <c r="C2657" s="315">
        <f t="shared" si="232"/>
        <v>42902</v>
      </c>
      <c r="D2657" s="315" t="s">
        <v>1364</v>
      </c>
      <c r="E2657" s="315">
        <v>42902</v>
      </c>
      <c r="F2657" s="249" t="s">
        <v>657</v>
      </c>
      <c r="G2657" s="314" t="s">
        <v>1259</v>
      </c>
      <c r="H2657" s="473" t="s">
        <v>1142</v>
      </c>
      <c r="I2657" s="307">
        <v>20</v>
      </c>
      <c r="J2657" s="307">
        <v>54015</v>
      </c>
      <c r="K2657" s="532">
        <f t="shared" si="233"/>
        <v>1080300</v>
      </c>
      <c r="L2657" s="534" t="s">
        <v>292</v>
      </c>
      <c r="M2657" s="534" t="s">
        <v>8</v>
      </c>
      <c r="N2657" s="525" t="str">
        <f>IF(AND('331-CT'!$E$7=TH!H2657,OR(L2657="331",M2657="331")),"331",IF(AND(OR(L2657="131",M2657="131"),H2657='131-CT'!$E$7),"131",""))</f>
        <v/>
      </c>
      <c r="O2657" s="525" t="str">
        <f>IF(AND($B2657&gt;='111'!$N$11,$B2657&lt;='111'!$O$11,OR($L2657=$O$7,$M2657=$O$7)),"x","")</f>
        <v/>
      </c>
      <c r="P2657" s="525" t="str">
        <f>IF(AND($L2657=$O$7,$B2657&lt;'111'!$N$11),"x","")</f>
        <v/>
      </c>
      <c r="Q2657" s="525" t="str">
        <f>IF(AND($M2657=$O$7,$B2657&lt;'111'!$N$11),"x","")</f>
        <v/>
      </c>
      <c r="R2657" s="525" t="str">
        <f>IF(ISERROR(FIND('112'!$M$9,G2657,1)),"",IF((AND(FIND('112'!$M$9,G2657,1)&gt;=1,$B2657&gt;='112'!$N$8,$B2657&lt;='112'!$O$8,OR($L2657='112'!$I$6,$M2657='112'!$I$6))),"x",""))</f>
        <v/>
      </c>
      <c r="S2657" s="525" t="str">
        <f>IF(ISERROR(FIND('112'!$M$9,G2657,1)),"",IF((AND(LEFT(G2657,2)=LEFT('112'!$M$9,2),B2657&lt;'112'!$N$8,$L2657='112'!$I$6)),"x",""))</f>
        <v/>
      </c>
      <c r="T2657" s="525" t="str">
        <f>IF(ISERROR(FIND('112'!$M$9,G2657,1)),"",IF((AND(RIGHT(G2657,2)=RIGHT('112'!$M$9,2),B2657&lt;'112'!$N$8,$M2657='112'!$I$6)),"x",""))</f>
        <v/>
      </c>
      <c r="U2657" s="525" t="str">
        <f>IF(AND(B2657&gt;='IN-NX'!$P$3,B2657&lt;='IN-NX'!$Q$3,'IN-NX'!$D$7=D2657,OR(LEFT(L2657,2)="15",AND(LEFT(M2657,2)&lt;&gt;"15",LEFT(M2657,2)&lt;&gt;"33"))),"x","")</f>
        <v/>
      </c>
      <c r="V2657" s="525" t="str">
        <f>IF(AND(OR(LEFT(TH!L2657,2)="15",LEFT(TH!M2657,2)="15"),'152-CT'!$J$8=TH!F2657),"x","")</f>
        <v/>
      </c>
      <c r="W2657" s="525" t="str">
        <f>IF(AND(OR(LEFT(TH!L2657,2)="15",LEFT(TH!M2657,2)="15"),TK!$E$7=TH!F2657),"x","")</f>
        <v/>
      </c>
      <c r="X2657" s="525" t="str">
        <f>IF(AND('341-CT'!$E$9=H2657,OR(LEFT(L2657,3)=$X$7,LEFT(M2657,3)=$X$7)),"x","")</f>
        <v/>
      </c>
      <c r="Y2657" s="525" t="str">
        <f>IF(OR(TH!L2657=TH!$Y$7,M2657=TH!$Y$7),"x","")</f>
        <v/>
      </c>
      <c r="Z2657" s="525" t="str">
        <f>IF(AND(B2657&lt;=NKC!$N$8,B2657&gt;=NKC!$M$8),"x","")</f>
        <v/>
      </c>
      <c r="AA2657" s="535">
        <v>2</v>
      </c>
      <c r="AB2657" s="536"/>
    </row>
    <row r="2658" spans="1:28" s="503" customFormat="1" ht="15.75" customHeight="1">
      <c r="A2658" s="517" t="str">
        <f>IF(B2658&lt;&gt;"",IF(AND(B2658&gt;=_TM1,B2658&lt;=_TM2,OR(TH!L2658="1111",TH!M2658="1111")),TH!D2658,""),"")</f>
        <v/>
      </c>
      <c r="B2658" s="531">
        <f t="shared" si="231"/>
        <v>6</v>
      </c>
      <c r="C2658" s="315">
        <f t="shared" si="232"/>
        <v>42902</v>
      </c>
      <c r="D2658" s="315" t="s">
        <v>1364</v>
      </c>
      <c r="E2658" s="315">
        <v>42902</v>
      </c>
      <c r="F2658" s="249" t="s">
        <v>494</v>
      </c>
      <c r="G2658" s="314" t="s">
        <v>1259</v>
      </c>
      <c r="H2658" s="473" t="s">
        <v>1142</v>
      </c>
      <c r="I2658" s="307"/>
      <c r="J2658" s="307"/>
      <c r="K2658" s="532">
        <v>3721884</v>
      </c>
      <c r="L2658" s="534" t="s">
        <v>9</v>
      </c>
      <c r="M2658" s="534" t="s">
        <v>8</v>
      </c>
      <c r="N2658" s="525" t="str">
        <f>IF(AND('331-CT'!$E$7=TH!H2658,OR(L2658="331",M2658="331")),"331",IF(AND(OR(L2658="131",M2658="131"),H2658='131-CT'!$E$7),"131",""))</f>
        <v/>
      </c>
      <c r="O2658" s="525" t="str">
        <f>IF(AND($B2658&gt;='111'!$N$11,$B2658&lt;='111'!$O$11,OR($L2658=$O$7,$M2658=$O$7)),"x","")</f>
        <v/>
      </c>
      <c r="P2658" s="525" t="str">
        <f>IF(AND($L2658=$O$7,$B2658&lt;'111'!$N$11),"x","")</f>
        <v/>
      </c>
      <c r="Q2658" s="525" t="str">
        <f>IF(AND($M2658=$O$7,$B2658&lt;'111'!$N$11),"x","")</f>
        <v/>
      </c>
      <c r="R2658" s="525" t="str">
        <f>IF(ISERROR(FIND('112'!$M$9,G2658,1)),"",IF((AND(FIND('112'!$M$9,G2658,1)&gt;=1,$B2658&gt;='112'!$N$8,$B2658&lt;='112'!$O$8,OR($L2658='112'!$I$6,$M2658='112'!$I$6))),"x",""))</f>
        <v/>
      </c>
      <c r="S2658" s="525" t="str">
        <f>IF(ISERROR(FIND('112'!$M$9,G2658,1)),"",IF((AND(LEFT(G2658,2)=LEFT('112'!$M$9,2),B2658&lt;'112'!$N$8,$L2658='112'!$I$6)),"x",""))</f>
        <v/>
      </c>
      <c r="T2658" s="525" t="str">
        <f>IF(ISERROR(FIND('112'!$M$9,G2658,1)),"",IF((AND(RIGHT(G2658,2)=RIGHT('112'!$M$9,2),B2658&lt;'112'!$N$8,$M2658='112'!$I$6)),"x",""))</f>
        <v/>
      </c>
      <c r="U2658" s="525" t="str">
        <f>IF(AND(B2658&gt;='IN-NX'!$P$3,B2658&lt;='IN-NX'!$Q$3,'IN-NX'!$D$7=D2658,OR(LEFT(L2658,2)="15",AND(LEFT(M2658,2)&lt;&gt;"15",LEFT(M2658,2)&lt;&gt;"33"))),"x","")</f>
        <v/>
      </c>
      <c r="V2658" s="525" t="str">
        <f>IF(AND(OR(LEFT(TH!L2658,2)="15",LEFT(TH!M2658,2)="15"),'152-CT'!$J$8=TH!F2658),"x","")</f>
        <v/>
      </c>
      <c r="W2658" s="525" t="str">
        <f>IF(AND(OR(LEFT(TH!L2658,2)="15",LEFT(TH!M2658,2)="15"),TK!$E$7=TH!F2658),"x","")</f>
        <v/>
      </c>
      <c r="X2658" s="525" t="str">
        <f>IF(AND('341-CT'!$E$9=H2658,OR(LEFT(L2658,3)=$X$7,LEFT(M2658,3)=$X$7)),"x","")</f>
        <v/>
      </c>
      <c r="Y2658" s="525" t="str">
        <f>IF(OR(TH!L2658=TH!$Y$7,M2658=TH!$Y$7),"x","")</f>
        <v/>
      </c>
      <c r="Z2658" s="525" t="str">
        <f>IF(AND(B2658&lt;=NKC!$N$8,B2658&gt;=NKC!$M$8),"x","")</f>
        <v/>
      </c>
      <c r="AA2658" s="535">
        <v>2</v>
      </c>
      <c r="AB2658" s="536"/>
    </row>
    <row r="2659" spans="1:28" s="503" customFormat="1" ht="15.75" customHeight="1">
      <c r="A2659" s="517" t="str">
        <f>IF(B2659&lt;&gt;"",IF(AND(B2659&gt;=_TM1,B2659&lt;=_TM2,OR(TH!L2659="1111",TH!M2659="1111")),TH!D2659,""),"")</f>
        <v/>
      </c>
      <c r="B2659" s="531">
        <f t="shared" si="231"/>
        <v>6</v>
      </c>
      <c r="C2659" s="315">
        <f t="shared" si="232"/>
        <v>42903</v>
      </c>
      <c r="D2659" s="315" t="s">
        <v>1365</v>
      </c>
      <c r="E2659" s="315">
        <v>42903</v>
      </c>
      <c r="F2659" s="249" t="s">
        <v>1238</v>
      </c>
      <c r="G2659" s="314" t="s">
        <v>1260</v>
      </c>
      <c r="H2659" s="473" t="s">
        <v>1142</v>
      </c>
      <c r="I2659" s="307">
        <v>8</v>
      </c>
      <c r="J2659" s="307">
        <v>93469</v>
      </c>
      <c r="K2659" s="532">
        <f t="shared" ref="K2659:K2687" si="234">ROUND(I2659*J2659,0)</f>
        <v>747752</v>
      </c>
      <c r="L2659" s="534" t="s">
        <v>292</v>
      </c>
      <c r="M2659" s="534" t="s">
        <v>8</v>
      </c>
      <c r="N2659" s="525" t="str">
        <f>IF(AND('331-CT'!$E$7=TH!H2659,OR(L2659="331",M2659="331")),"331",IF(AND(OR(L2659="131",M2659="131"),H2659='131-CT'!$E$7),"131",""))</f>
        <v/>
      </c>
      <c r="O2659" s="525" t="str">
        <f>IF(AND($B2659&gt;='111'!$N$11,$B2659&lt;='111'!$O$11,OR($L2659=$O$7,$M2659=$O$7)),"x","")</f>
        <v/>
      </c>
      <c r="P2659" s="525" t="str">
        <f>IF(AND($L2659=$O$7,$B2659&lt;'111'!$N$11),"x","")</f>
        <v/>
      </c>
      <c r="Q2659" s="525" t="str">
        <f>IF(AND($M2659=$O$7,$B2659&lt;'111'!$N$11),"x","")</f>
        <v/>
      </c>
      <c r="R2659" s="525" t="str">
        <f>IF(ISERROR(FIND('112'!$M$9,G2659,1)),"",IF((AND(FIND('112'!$M$9,G2659,1)&gt;=1,$B2659&gt;='112'!$N$8,$B2659&lt;='112'!$O$8,OR($L2659='112'!$I$6,$M2659='112'!$I$6))),"x",""))</f>
        <v/>
      </c>
      <c r="S2659" s="525" t="str">
        <f>IF(ISERROR(FIND('112'!$M$9,G2659,1)),"",IF((AND(LEFT(G2659,2)=LEFT('112'!$M$9,2),B2659&lt;'112'!$N$8,$L2659='112'!$I$6)),"x",""))</f>
        <v/>
      </c>
      <c r="T2659" s="525" t="str">
        <f>IF(ISERROR(FIND('112'!$M$9,G2659,1)),"",IF((AND(RIGHT(G2659,2)=RIGHT('112'!$M$9,2),B2659&lt;'112'!$N$8,$M2659='112'!$I$6)),"x",""))</f>
        <v/>
      </c>
      <c r="U2659" s="525" t="str">
        <f>IF(AND(B2659&gt;='IN-NX'!$P$3,B2659&lt;='IN-NX'!$Q$3,'IN-NX'!$D$7=D2659,OR(LEFT(L2659,2)="15",AND(LEFT(M2659,2)&lt;&gt;"15",LEFT(M2659,2)&lt;&gt;"33"))),"x","")</f>
        <v/>
      </c>
      <c r="V2659" s="525" t="str">
        <f>IF(AND(OR(LEFT(TH!L2659,2)="15",LEFT(TH!M2659,2)="15"),'152-CT'!$J$8=TH!F2659),"x","")</f>
        <v/>
      </c>
      <c r="W2659" s="525" t="str">
        <f>IF(AND(OR(LEFT(TH!L2659,2)="15",LEFT(TH!M2659,2)="15"),TK!$E$7=TH!F2659),"x","")</f>
        <v/>
      </c>
      <c r="X2659" s="525" t="str">
        <f>IF(AND('341-CT'!$E$9=H2659,OR(LEFT(L2659,3)=$X$7,LEFT(M2659,3)=$X$7)),"x","")</f>
        <v/>
      </c>
      <c r="Y2659" s="525" t="str">
        <f>IF(OR(TH!L2659=TH!$Y$7,M2659=TH!$Y$7),"x","")</f>
        <v/>
      </c>
      <c r="Z2659" s="525" t="str">
        <f>IF(AND(B2659&lt;=NKC!$N$8,B2659&gt;=NKC!$M$8),"x","")</f>
        <v/>
      </c>
      <c r="AA2659" s="535">
        <v>2</v>
      </c>
      <c r="AB2659" s="536"/>
    </row>
    <row r="2660" spans="1:28" s="503" customFormat="1" ht="15.75" customHeight="1">
      <c r="A2660" s="517" t="str">
        <f>IF(B2660&lt;&gt;"",IF(AND(B2660&gt;=_TM1,B2660&lt;=_TM2,OR(TH!L2660="1111",TH!M2660="1111")),TH!D2660,""),"")</f>
        <v/>
      </c>
      <c r="B2660" s="531">
        <f t="shared" si="231"/>
        <v>6</v>
      </c>
      <c r="C2660" s="315">
        <f t="shared" si="232"/>
        <v>42903</v>
      </c>
      <c r="D2660" s="315" t="s">
        <v>1365</v>
      </c>
      <c r="E2660" s="315">
        <v>42903</v>
      </c>
      <c r="F2660" s="249" t="s">
        <v>1239</v>
      </c>
      <c r="G2660" s="314" t="s">
        <v>1260</v>
      </c>
      <c r="H2660" s="473" t="s">
        <v>1142</v>
      </c>
      <c r="I2660" s="307">
        <v>15</v>
      </c>
      <c r="J2660" s="307">
        <v>81901</v>
      </c>
      <c r="K2660" s="532">
        <f t="shared" si="234"/>
        <v>1228515</v>
      </c>
      <c r="L2660" s="534" t="s">
        <v>292</v>
      </c>
      <c r="M2660" s="534" t="s">
        <v>8</v>
      </c>
      <c r="N2660" s="525" t="str">
        <f>IF(AND('331-CT'!$E$7=TH!H2660,OR(L2660="331",M2660="331")),"331",IF(AND(OR(L2660="131",M2660="131"),H2660='131-CT'!$E$7),"131",""))</f>
        <v/>
      </c>
      <c r="O2660" s="525" t="str">
        <f>IF(AND($B2660&gt;='111'!$N$11,$B2660&lt;='111'!$O$11,OR($L2660=$O$7,$M2660=$O$7)),"x","")</f>
        <v/>
      </c>
      <c r="P2660" s="525" t="str">
        <f>IF(AND($L2660=$O$7,$B2660&lt;'111'!$N$11),"x","")</f>
        <v/>
      </c>
      <c r="Q2660" s="525" t="str">
        <f>IF(AND($M2660=$O$7,$B2660&lt;'111'!$N$11),"x","")</f>
        <v/>
      </c>
      <c r="R2660" s="525" t="str">
        <f>IF(ISERROR(FIND('112'!$M$9,G2660,1)),"",IF((AND(FIND('112'!$M$9,G2660,1)&gt;=1,$B2660&gt;='112'!$N$8,$B2660&lt;='112'!$O$8,OR($L2660='112'!$I$6,$M2660='112'!$I$6))),"x",""))</f>
        <v/>
      </c>
      <c r="S2660" s="525" t="str">
        <f>IF(ISERROR(FIND('112'!$M$9,G2660,1)),"",IF((AND(LEFT(G2660,2)=LEFT('112'!$M$9,2),B2660&lt;'112'!$N$8,$L2660='112'!$I$6)),"x",""))</f>
        <v/>
      </c>
      <c r="T2660" s="525" t="str">
        <f>IF(ISERROR(FIND('112'!$M$9,G2660,1)),"",IF((AND(RIGHT(G2660,2)=RIGHT('112'!$M$9,2),B2660&lt;'112'!$N$8,$M2660='112'!$I$6)),"x",""))</f>
        <v/>
      </c>
      <c r="U2660" s="525" t="str">
        <f>IF(AND(B2660&gt;='IN-NX'!$P$3,B2660&lt;='IN-NX'!$Q$3,'IN-NX'!$D$7=D2660,OR(LEFT(L2660,2)="15",AND(LEFT(M2660,2)&lt;&gt;"15",LEFT(M2660,2)&lt;&gt;"33"))),"x","")</f>
        <v/>
      </c>
      <c r="V2660" s="525" t="str">
        <f>IF(AND(OR(LEFT(TH!L2660,2)="15",LEFT(TH!M2660,2)="15"),'152-CT'!$J$8=TH!F2660),"x","")</f>
        <v/>
      </c>
      <c r="W2660" s="525" t="str">
        <f>IF(AND(OR(LEFT(TH!L2660,2)="15",LEFT(TH!M2660,2)="15"),TK!$E$7=TH!F2660),"x","")</f>
        <v/>
      </c>
      <c r="X2660" s="525" t="str">
        <f>IF(AND('341-CT'!$E$9=H2660,OR(LEFT(L2660,3)=$X$7,LEFT(M2660,3)=$X$7)),"x","")</f>
        <v/>
      </c>
      <c r="Y2660" s="525" t="str">
        <f>IF(OR(TH!L2660=TH!$Y$7,M2660=TH!$Y$7),"x","")</f>
        <v/>
      </c>
      <c r="Z2660" s="525" t="str">
        <f>IF(AND(B2660&lt;=NKC!$N$8,B2660&gt;=NKC!$M$8),"x","")</f>
        <v/>
      </c>
      <c r="AA2660" s="535">
        <v>2</v>
      </c>
      <c r="AB2660" s="536"/>
    </row>
    <row r="2661" spans="1:28" s="503" customFormat="1" ht="15.75" customHeight="1">
      <c r="A2661" s="517" t="str">
        <f>IF(B2661&lt;&gt;"",IF(AND(B2661&gt;=_TM1,B2661&lt;=_TM2,OR(TH!L2661="1111",TH!M2661="1111")),TH!D2661,""),"")</f>
        <v/>
      </c>
      <c r="B2661" s="531">
        <f t="shared" si="231"/>
        <v>6</v>
      </c>
      <c r="C2661" s="315">
        <f t="shared" si="232"/>
        <v>42903</v>
      </c>
      <c r="D2661" s="315" t="s">
        <v>1365</v>
      </c>
      <c r="E2661" s="315">
        <v>42903</v>
      </c>
      <c r="F2661" s="249" t="s">
        <v>1240</v>
      </c>
      <c r="G2661" s="314" t="s">
        <v>1260</v>
      </c>
      <c r="H2661" s="473" t="s">
        <v>1142</v>
      </c>
      <c r="I2661" s="307">
        <v>20</v>
      </c>
      <c r="J2661" s="307">
        <v>62935</v>
      </c>
      <c r="K2661" s="532">
        <f t="shared" si="234"/>
        <v>1258700</v>
      </c>
      <c r="L2661" s="534" t="s">
        <v>292</v>
      </c>
      <c r="M2661" s="534" t="s">
        <v>8</v>
      </c>
      <c r="N2661" s="525" t="str">
        <f>IF(AND('331-CT'!$E$7=TH!H2661,OR(L2661="331",M2661="331")),"331",IF(AND(OR(L2661="131",M2661="131"),H2661='131-CT'!$E$7),"131",""))</f>
        <v/>
      </c>
      <c r="O2661" s="525" t="str">
        <f>IF(AND($B2661&gt;='111'!$N$11,$B2661&lt;='111'!$O$11,OR($L2661=$O$7,$M2661=$O$7)),"x","")</f>
        <v/>
      </c>
      <c r="P2661" s="525" t="str">
        <f>IF(AND($L2661=$O$7,$B2661&lt;'111'!$N$11),"x","")</f>
        <v/>
      </c>
      <c r="Q2661" s="525" t="str">
        <f>IF(AND($M2661=$O$7,$B2661&lt;'111'!$N$11),"x","")</f>
        <v/>
      </c>
      <c r="R2661" s="525" t="str">
        <f>IF(ISERROR(FIND('112'!$M$9,G2661,1)),"",IF((AND(FIND('112'!$M$9,G2661,1)&gt;=1,$B2661&gt;='112'!$N$8,$B2661&lt;='112'!$O$8,OR($L2661='112'!$I$6,$M2661='112'!$I$6))),"x",""))</f>
        <v/>
      </c>
      <c r="S2661" s="525" t="str">
        <f>IF(ISERROR(FIND('112'!$M$9,G2661,1)),"",IF((AND(LEFT(G2661,2)=LEFT('112'!$M$9,2),B2661&lt;'112'!$N$8,$L2661='112'!$I$6)),"x",""))</f>
        <v/>
      </c>
      <c r="T2661" s="525" t="str">
        <f>IF(ISERROR(FIND('112'!$M$9,G2661,1)),"",IF((AND(RIGHT(G2661,2)=RIGHT('112'!$M$9,2),B2661&lt;'112'!$N$8,$M2661='112'!$I$6)),"x",""))</f>
        <v/>
      </c>
      <c r="U2661" s="525" t="str">
        <f>IF(AND(B2661&gt;='IN-NX'!$P$3,B2661&lt;='IN-NX'!$Q$3,'IN-NX'!$D$7=D2661,OR(LEFT(L2661,2)="15",AND(LEFT(M2661,2)&lt;&gt;"15",LEFT(M2661,2)&lt;&gt;"33"))),"x","")</f>
        <v/>
      </c>
      <c r="V2661" s="525" t="str">
        <f>IF(AND(OR(LEFT(TH!L2661,2)="15",LEFT(TH!M2661,2)="15"),'152-CT'!$J$8=TH!F2661),"x","")</f>
        <v/>
      </c>
      <c r="W2661" s="525" t="str">
        <f>IF(AND(OR(LEFT(TH!L2661,2)="15",LEFT(TH!M2661,2)="15"),TK!$E$7=TH!F2661),"x","")</f>
        <v/>
      </c>
      <c r="X2661" s="525" t="str">
        <f>IF(AND('341-CT'!$E$9=H2661,OR(LEFT(L2661,3)=$X$7,LEFT(M2661,3)=$X$7)),"x","")</f>
        <v/>
      </c>
      <c r="Y2661" s="525" t="str">
        <f>IF(OR(TH!L2661=TH!$Y$7,M2661=TH!$Y$7),"x","")</f>
        <v/>
      </c>
      <c r="Z2661" s="525" t="str">
        <f>IF(AND(B2661&lt;=NKC!$N$8,B2661&gt;=NKC!$M$8),"x","")</f>
        <v/>
      </c>
      <c r="AA2661" s="535">
        <v>2</v>
      </c>
      <c r="AB2661" s="536"/>
    </row>
    <row r="2662" spans="1:28" s="503" customFormat="1" ht="15.75" customHeight="1">
      <c r="A2662" s="517" t="str">
        <f>IF(B2662&lt;&gt;"",IF(AND(B2662&gt;=_TM1,B2662&lt;=_TM2,OR(TH!L2662="1111",TH!M2662="1111")),TH!D2662,""),"")</f>
        <v/>
      </c>
      <c r="B2662" s="531">
        <f t="shared" si="231"/>
        <v>6</v>
      </c>
      <c r="C2662" s="315">
        <f t="shared" si="232"/>
        <v>42903</v>
      </c>
      <c r="D2662" s="315" t="s">
        <v>1365</v>
      </c>
      <c r="E2662" s="315">
        <v>42903</v>
      </c>
      <c r="F2662" s="249" t="s">
        <v>1241</v>
      </c>
      <c r="G2662" s="314" t="s">
        <v>1260</v>
      </c>
      <c r="H2662" s="473" t="s">
        <v>1142</v>
      </c>
      <c r="I2662" s="307">
        <v>20</v>
      </c>
      <c r="J2662" s="307">
        <v>45606</v>
      </c>
      <c r="K2662" s="532">
        <f t="shared" si="234"/>
        <v>912120</v>
      </c>
      <c r="L2662" s="534" t="s">
        <v>292</v>
      </c>
      <c r="M2662" s="534" t="s">
        <v>8</v>
      </c>
      <c r="N2662" s="525" t="str">
        <f>IF(AND('331-CT'!$E$7=TH!H2662,OR(L2662="331",M2662="331")),"331",IF(AND(OR(L2662="131",M2662="131"),H2662='131-CT'!$E$7),"131",""))</f>
        <v/>
      </c>
      <c r="O2662" s="525" t="str">
        <f>IF(AND($B2662&gt;='111'!$N$11,$B2662&lt;='111'!$O$11,OR($L2662=$O$7,$M2662=$O$7)),"x","")</f>
        <v/>
      </c>
      <c r="P2662" s="525" t="str">
        <f>IF(AND($L2662=$O$7,$B2662&lt;'111'!$N$11),"x","")</f>
        <v/>
      </c>
      <c r="Q2662" s="525" t="str">
        <f>IF(AND($M2662=$O$7,$B2662&lt;'111'!$N$11),"x","")</f>
        <v/>
      </c>
      <c r="R2662" s="525" t="str">
        <f>IF(ISERROR(FIND('112'!$M$9,G2662,1)),"",IF((AND(FIND('112'!$M$9,G2662,1)&gt;=1,$B2662&gt;='112'!$N$8,$B2662&lt;='112'!$O$8,OR($L2662='112'!$I$6,$M2662='112'!$I$6))),"x",""))</f>
        <v/>
      </c>
      <c r="S2662" s="525" t="str">
        <f>IF(ISERROR(FIND('112'!$M$9,G2662,1)),"",IF((AND(LEFT(G2662,2)=LEFT('112'!$M$9,2),B2662&lt;'112'!$N$8,$L2662='112'!$I$6)),"x",""))</f>
        <v/>
      </c>
      <c r="T2662" s="525" t="str">
        <f>IF(ISERROR(FIND('112'!$M$9,G2662,1)),"",IF((AND(RIGHT(G2662,2)=RIGHT('112'!$M$9,2),B2662&lt;'112'!$N$8,$M2662='112'!$I$6)),"x",""))</f>
        <v/>
      </c>
      <c r="U2662" s="525" t="str">
        <f>IF(AND(B2662&gt;='IN-NX'!$P$3,B2662&lt;='IN-NX'!$Q$3,'IN-NX'!$D$7=D2662,OR(LEFT(L2662,2)="15",AND(LEFT(M2662,2)&lt;&gt;"15",LEFT(M2662,2)&lt;&gt;"33"))),"x","")</f>
        <v/>
      </c>
      <c r="V2662" s="525" t="str">
        <f>IF(AND(OR(LEFT(TH!L2662,2)="15",LEFT(TH!M2662,2)="15"),'152-CT'!$J$8=TH!F2662),"x","")</f>
        <v/>
      </c>
      <c r="W2662" s="525" t="str">
        <f>IF(AND(OR(LEFT(TH!L2662,2)="15",LEFT(TH!M2662,2)="15"),TK!$E$7=TH!F2662),"x","")</f>
        <v/>
      </c>
      <c r="X2662" s="525" t="str">
        <f>IF(AND('341-CT'!$E$9=H2662,OR(LEFT(L2662,3)=$X$7,LEFT(M2662,3)=$X$7)),"x","")</f>
        <v/>
      </c>
      <c r="Y2662" s="525" t="str">
        <f>IF(OR(TH!L2662=TH!$Y$7,M2662=TH!$Y$7),"x","")</f>
        <v/>
      </c>
      <c r="Z2662" s="525" t="str">
        <f>IF(AND(B2662&lt;=NKC!$N$8,B2662&gt;=NKC!$M$8),"x","")</f>
        <v/>
      </c>
      <c r="AA2662" s="535">
        <v>2</v>
      </c>
      <c r="AB2662" s="536"/>
    </row>
    <row r="2663" spans="1:28" s="503" customFormat="1" ht="15.75" customHeight="1">
      <c r="A2663" s="517" t="str">
        <f>IF(B2663&lt;&gt;"",IF(AND(B2663&gt;=_TM1,B2663&lt;=_TM2,OR(TH!L2663="1111",TH!M2663="1111")),TH!D2663,""),"")</f>
        <v/>
      </c>
      <c r="B2663" s="531">
        <f t="shared" si="231"/>
        <v>6</v>
      </c>
      <c r="C2663" s="315">
        <f t="shared" si="232"/>
        <v>42903</v>
      </c>
      <c r="D2663" s="315" t="s">
        <v>1365</v>
      </c>
      <c r="E2663" s="315">
        <v>42903</v>
      </c>
      <c r="F2663" s="249" t="s">
        <v>1242</v>
      </c>
      <c r="G2663" s="314" t="s">
        <v>1260</v>
      </c>
      <c r="H2663" s="473" t="s">
        <v>1142</v>
      </c>
      <c r="I2663" s="307">
        <v>15</v>
      </c>
      <c r="J2663" s="307">
        <v>51823</v>
      </c>
      <c r="K2663" s="532">
        <f t="shared" si="234"/>
        <v>777345</v>
      </c>
      <c r="L2663" s="534" t="s">
        <v>292</v>
      </c>
      <c r="M2663" s="534" t="s">
        <v>8</v>
      </c>
      <c r="N2663" s="525" t="str">
        <f>IF(AND('331-CT'!$E$7=TH!H2663,OR(L2663="331",M2663="331")),"331",IF(AND(OR(L2663="131",M2663="131"),H2663='131-CT'!$E$7),"131",""))</f>
        <v/>
      </c>
      <c r="O2663" s="525" t="str">
        <f>IF(AND($B2663&gt;='111'!$N$11,$B2663&lt;='111'!$O$11,OR($L2663=$O$7,$M2663=$O$7)),"x","")</f>
        <v/>
      </c>
      <c r="P2663" s="525" t="str">
        <f>IF(AND($L2663=$O$7,$B2663&lt;'111'!$N$11),"x","")</f>
        <v/>
      </c>
      <c r="Q2663" s="525" t="str">
        <f>IF(AND($M2663=$O$7,$B2663&lt;'111'!$N$11),"x","")</f>
        <v/>
      </c>
      <c r="R2663" s="525" t="str">
        <f>IF(ISERROR(FIND('112'!$M$9,G2663,1)),"",IF((AND(FIND('112'!$M$9,G2663,1)&gt;=1,$B2663&gt;='112'!$N$8,$B2663&lt;='112'!$O$8,OR($L2663='112'!$I$6,$M2663='112'!$I$6))),"x",""))</f>
        <v/>
      </c>
      <c r="S2663" s="525" t="str">
        <f>IF(ISERROR(FIND('112'!$M$9,G2663,1)),"",IF((AND(LEFT(G2663,2)=LEFT('112'!$M$9,2),B2663&lt;'112'!$N$8,$L2663='112'!$I$6)),"x",""))</f>
        <v/>
      </c>
      <c r="T2663" s="525" t="str">
        <f>IF(ISERROR(FIND('112'!$M$9,G2663,1)),"",IF((AND(RIGHT(G2663,2)=RIGHT('112'!$M$9,2),B2663&lt;'112'!$N$8,$M2663='112'!$I$6)),"x",""))</f>
        <v/>
      </c>
      <c r="U2663" s="525" t="str">
        <f>IF(AND(B2663&gt;='IN-NX'!$P$3,B2663&lt;='IN-NX'!$Q$3,'IN-NX'!$D$7=D2663,OR(LEFT(L2663,2)="15",AND(LEFT(M2663,2)&lt;&gt;"15",LEFT(M2663,2)&lt;&gt;"33"))),"x","")</f>
        <v/>
      </c>
      <c r="V2663" s="525" t="str">
        <f>IF(AND(OR(LEFT(TH!L2663,2)="15",LEFT(TH!M2663,2)="15"),'152-CT'!$J$8=TH!F2663),"x","")</f>
        <v/>
      </c>
      <c r="W2663" s="525" t="str">
        <f>IF(AND(OR(LEFT(TH!L2663,2)="15",LEFT(TH!M2663,2)="15"),TK!$E$7=TH!F2663),"x","")</f>
        <v/>
      </c>
      <c r="X2663" s="525" t="str">
        <f>IF(AND('341-CT'!$E$9=H2663,OR(LEFT(L2663,3)=$X$7,LEFT(M2663,3)=$X$7)),"x","")</f>
        <v/>
      </c>
      <c r="Y2663" s="525" t="str">
        <f>IF(OR(TH!L2663=TH!$Y$7,M2663=TH!$Y$7),"x","")</f>
        <v/>
      </c>
      <c r="Z2663" s="525" t="str">
        <f>IF(AND(B2663&lt;=NKC!$N$8,B2663&gt;=NKC!$M$8),"x","")</f>
        <v/>
      </c>
      <c r="AA2663" s="535">
        <v>2</v>
      </c>
      <c r="AB2663" s="536"/>
    </row>
    <row r="2664" spans="1:28" s="503" customFormat="1" ht="15.75" customHeight="1">
      <c r="A2664" s="517" t="str">
        <f>IF(B2664&lt;&gt;"",IF(AND(B2664&gt;=_TM1,B2664&lt;=_TM2,OR(TH!L2664="1111",TH!M2664="1111")),TH!D2664,""),"")</f>
        <v/>
      </c>
      <c r="B2664" s="531">
        <f t="shared" si="231"/>
        <v>6</v>
      </c>
      <c r="C2664" s="315">
        <f t="shared" si="232"/>
        <v>42903</v>
      </c>
      <c r="D2664" s="315" t="s">
        <v>1365</v>
      </c>
      <c r="E2664" s="315">
        <v>42903</v>
      </c>
      <c r="F2664" s="249" t="s">
        <v>1160</v>
      </c>
      <c r="G2664" s="314" t="s">
        <v>1260</v>
      </c>
      <c r="H2664" s="473" t="s">
        <v>1142</v>
      </c>
      <c r="I2664" s="307">
        <v>30</v>
      </c>
      <c r="J2664" s="307">
        <v>64878</v>
      </c>
      <c r="K2664" s="532">
        <f t="shared" si="234"/>
        <v>1946340</v>
      </c>
      <c r="L2664" s="534" t="s">
        <v>292</v>
      </c>
      <c r="M2664" s="534" t="s">
        <v>8</v>
      </c>
      <c r="N2664" s="525" t="str">
        <f>IF(AND('331-CT'!$E$7=TH!H2664,OR(L2664="331",M2664="331")),"331",IF(AND(OR(L2664="131",M2664="131"),H2664='131-CT'!$E$7),"131",""))</f>
        <v/>
      </c>
      <c r="O2664" s="525" t="str">
        <f>IF(AND($B2664&gt;='111'!$N$11,$B2664&lt;='111'!$O$11,OR($L2664=$O$7,$M2664=$O$7)),"x","")</f>
        <v/>
      </c>
      <c r="P2664" s="525" t="str">
        <f>IF(AND($L2664=$O$7,$B2664&lt;'111'!$N$11),"x","")</f>
        <v/>
      </c>
      <c r="Q2664" s="525" t="str">
        <f>IF(AND($M2664=$O$7,$B2664&lt;'111'!$N$11),"x","")</f>
        <v/>
      </c>
      <c r="R2664" s="525" t="str">
        <f>IF(ISERROR(FIND('112'!$M$9,G2664,1)),"",IF((AND(FIND('112'!$M$9,G2664,1)&gt;=1,$B2664&gt;='112'!$N$8,$B2664&lt;='112'!$O$8,OR($L2664='112'!$I$6,$M2664='112'!$I$6))),"x",""))</f>
        <v/>
      </c>
      <c r="S2664" s="525" t="str">
        <f>IF(ISERROR(FIND('112'!$M$9,G2664,1)),"",IF((AND(LEFT(G2664,2)=LEFT('112'!$M$9,2),B2664&lt;'112'!$N$8,$L2664='112'!$I$6)),"x",""))</f>
        <v/>
      </c>
      <c r="T2664" s="525" t="str">
        <f>IF(ISERROR(FIND('112'!$M$9,G2664,1)),"",IF((AND(RIGHT(G2664,2)=RIGHT('112'!$M$9,2),B2664&lt;'112'!$N$8,$M2664='112'!$I$6)),"x",""))</f>
        <v/>
      </c>
      <c r="U2664" s="525" t="str">
        <f>IF(AND(B2664&gt;='IN-NX'!$P$3,B2664&lt;='IN-NX'!$Q$3,'IN-NX'!$D$7=D2664,OR(LEFT(L2664,2)="15",AND(LEFT(M2664,2)&lt;&gt;"15",LEFT(M2664,2)&lt;&gt;"33"))),"x","")</f>
        <v/>
      </c>
      <c r="V2664" s="525" t="str">
        <f>IF(AND(OR(LEFT(TH!L2664,2)="15",LEFT(TH!M2664,2)="15"),'152-CT'!$J$8=TH!F2664),"x","")</f>
        <v/>
      </c>
      <c r="W2664" s="525" t="str">
        <f>IF(AND(OR(LEFT(TH!L2664,2)="15",LEFT(TH!M2664,2)="15"),TK!$E$7=TH!F2664),"x","")</f>
        <v/>
      </c>
      <c r="X2664" s="525" t="str">
        <f>IF(AND('341-CT'!$E$9=H2664,OR(LEFT(L2664,3)=$X$7,LEFT(M2664,3)=$X$7)),"x","")</f>
        <v/>
      </c>
      <c r="Y2664" s="525" t="str">
        <f>IF(OR(TH!L2664=TH!$Y$7,M2664=TH!$Y$7),"x","")</f>
        <v/>
      </c>
      <c r="Z2664" s="525" t="str">
        <f>IF(AND(B2664&lt;=NKC!$N$8,B2664&gt;=NKC!$M$8),"x","")</f>
        <v/>
      </c>
      <c r="AA2664" s="535">
        <v>2</v>
      </c>
      <c r="AB2664" s="536"/>
    </row>
    <row r="2665" spans="1:28" s="503" customFormat="1" ht="15.75" customHeight="1">
      <c r="A2665" s="517" t="str">
        <f>IF(B2665&lt;&gt;"",IF(AND(B2665&gt;=_TM1,B2665&lt;=_TM2,OR(TH!L2665="1111",TH!M2665="1111")),TH!D2665,""),"")</f>
        <v/>
      </c>
      <c r="B2665" s="531">
        <f t="shared" si="231"/>
        <v>6</v>
      </c>
      <c r="C2665" s="315">
        <f t="shared" si="232"/>
        <v>42903</v>
      </c>
      <c r="D2665" s="315" t="s">
        <v>1365</v>
      </c>
      <c r="E2665" s="315">
        <v>42903</v>
      </c>
      <c r="F2665" s="249" t="s">
        <v>654</v>
      </c>
      <c r="G2665" s="314" t="s">
        <v>1260</v>
      </c>
      <c r="H2665" s="473" t="s">
        <v>1142</v>
      </c>
      <c r="I2665" s="307">
        <v>12</v>
      </c>
      <c r="J2665" s="307">
        <v>74103</v>
      </c>
      <c r="K2665" s="532">
        <f t="shared" si="234"/>
        <v>889236</v>
      </c>
      <c r="L2665" s="534" t="s">
        <v>292</v>
      </c>
      <c r="M2665" s="534" t="s">
        <v>8</v>
      </c>
      <c r="N2665" s="525" t="str">
        <f>IF(AND('331-CT'!$E$7=TH!H2665,OR(L2665="331",M2665="331")),"331",IF(AND(OR(L2665="131",M2665="131"),H2665='131-CT'!$E$7),"131",""))</f>
        <v/>
      </c>
      <c r="O2665" s="525" t="str">
        <f>IF(AND($B2665&gt;='111'!$N$11,$B2665&lt;='111'!$O$11,OR($L2665=$O$7,$M2665=$O$7)),"x","")</f>
        <v/>
      </c>
      <c r="P2665" s="525" t="str">
        <f>IF(AND($L2665=$O$7,$B2665&lt;'111'!$N$11),"x","")</f>
        <v/>
      </c>
      <c r="Q2665" s="525" t="str">
        <f>IF(AND($M2665=$O$7,$B2665&lt;'111'!$N$11),"x","")</f>
        <v/>
      </c>
      <c r="R2665" s="525" t="str">
        <f>IF(ISERROR(FIND('112'!$M$9,G2665,1)),"",IF((AND(FIND('112'!$M$9,G2665,1)&gt;=1,$B2665&gt;='112'!$N$8,$B2665&lt;='112'!$O$8,OR($L2665='112'!$I$6,$M2665='112'!$I$6))),"x",""))</f>
        <v/>
      </c>
      <c r="S2665" s="525" t="str">
        <f>IF(ISERROR(FIND('112'!$M$9,G2665,1)),"",IF((AND(LEFT(G2665,2)=LEFT('112'!$M$9,2),B2665&lt;'112'!$N$8,$L2665='112'!$I$6)),"x",""))</f>
        <v/>
      </c>
      <c r="T2665" s="525" t="str">
        <f>IF(ISERROR(FIND('112'!$M$9,G2665,1)),"",IF((AND(RIGHT(G2665,2)=RIGHT('112'!$M$9,2),B2665&lt;'112'!$N$8,$M2665='112'!$I$6)),"x",""))</f>
        <v/>
      </c>
      <c r="U2665" s="525" t="str">
        <f>IF(AND(B2665&gt;='IN-NX'!$P$3,B2665&lt;='IN-NX'!$Q$3,'IN-NX'!$D$7=D2665,OR(LEFT(L2665,2)="15",AND(LEFT(M2665,2)&lt;&gt;"15",LEFT(M2665,2)&lt;&gt;"33"))),"x","")</f>
        <v/>
      </c>
      <c r="V2665" s="525" t="str">
        <f>IF(AND(OR(LEFT(TH!L2665,2)="15",LEFT(TH!M2665,2)="15"),'152-CT'!$J$8=TH!F2665),"x","")</f>
        <v/>
      </c>
      <c r="W2665" s="525" t="str">
        <f>IF(AND(OR(LEFT(TH!L2665,2)="15",LEFT(TH!M2665,2)="15"),TK!$E$7=TH!F2665),"x","")</f>
        <v/>
      </c>
      <c r="X2665" s="525" t="str">
        <f>IF(AND('341-CT'!$E$9=H2665,OR(LEFT(L2665,3)=$X$7,LEFT(M2665,3)=$X$7)),"x","")</f>
        <v/>
      </c>
      <c r="Y2665" s="525" t="str">
        <f>IF(OR(TH!L2665=TH!$Y$7,M2665=TH!$Y$7),"x","")</f>
        <v/>
      </c>
      <c r="Z2665" s="525" t="str">
        <f>IF(AND(B2665&lt;=NKC!$N$8,B2665&gt;=NKC!$M$8),"x","")</f>
        <v/>
      </c>
      <c r="AA2665" s="535">
        <v>2</v>
      </c>
      <c r="AB2665" s="536"/>
    </row>
    <row r="2666" spans="1:28" s="503" customFormat="1" ht="15.75" customHeight="1">
      <c r="A2666" s="517" t="str">
        <f>IF(B2666&lt;&gt;"",IF(AND(B2666&gt;=_TM1,B2666&lt;=_TM2,OR(TH!L2666="1111",TH!M2666="1111")),TH!D2666,""),"")</f>
        <v/>
      </c>
      <c r="B2666" s="531">
        <f t="shared" si="231"/>
        <v>6</v>
      </c>
      <c r="C2666" s="315">
        <f t="shared" si="232"/>
        <v>42903</v>
      </c>
      <c r="D2666" s="315" t="s">
        <v>1365</v>
      </c>
      <c r="E2666" s="315">
        <v>42903</v>
      </c>
      <c r="F2666" s="249" t="s">
        <v>1243</v>
      </c>
      <c r="G2666" s="314" t="s">
        <v>1260</v>
      </c>
      <c r="H2666" s="473" t="s">
        <v>1142</v>
      </c>
      <c r="I2666" s="307">
        <v>40</v>
      </c>
      <c r="J2666" s="307">
        <v>87459</v>
      </c>
      <c r="K2666" s="532">
        <f t="shared" si="234"/>
        <v>3498360</v>
      </c>
      <c r="L2666" s="534" t="s">
        <v>292</v>
      </c>
      <c r="M2666" s="534" t="s">
        <v>8</v>
      </c>
      <c r="N2666" s="525" t="str">
        <f>IF(AND('331-CT'!$E$7=TH!H2666,OR(L2666="331",M2666="331")),"331",IF(AND(OR(L2666="131",M2666="131"),H2666='131-CT'!$E$7),"131",""))</f>
        <v/>
      </c>
      <c r="O2666" s="525" t="str">
        <f>IF(AND($B2666&gt;='111'!$N$11,$B2666&lt;='111'!$O$11,OR($L2666=$O$7,$M2666=$O$7)),"x","")</f>
        <v/>
      </c>
      <c r="P2666" s="525" t="str">
        <f>IF(AND($L2666=$O$7,$B2666&lt;'111'!$N$11),"x","")</f>
        <v/>
      </c>
      <c r="Q2666" s="525" t="str">
        <f>IF(AND($M2666=$O$7,$B2666&lt;'111'!$N$11),"x","")</f>
        <v/>
      </c>
      <c r="R2666" s="525" t="str">
        <f>IF(ISERROR(FIND('112'!$M$9,G2666,1)),"",IF((AND(FIND('112'!$M$9,G2666,1)&gt;=1,$B2666&gt;='112'!$N$8,$B2666&lt;='112'!$O$8,OR($L2666='112'!$I$6,$M2666='112'!$I$6))),"x",""))</f>
        <v/>
      </c>
      <c r="S2666" s="525" t="str">
        <f>IF(ISERROR(FIND('112'!$M$9,G2666,1)),"",IF((AND(LEFT(G2666,2)=LEFT('112'!$M$9,2),B2666&lt;'112'!$N$8,$L2666='112'!$I$6)),"x",""))</f>
        <v/>
      </c>
      <c r="T2666" s="525" t="str">
        <f>IF(ISERROR(FIND('112'!$M$9,G2666,1)),"",IF((AND(RIGHT(G2666,2)=RIGHT('112'!$M$9,2),B2666&lt;'112'!$N$8,$M2666='112'!$I$6)),"x",""))</f>
        <v/>
      </c>
      <c r="U2666" s="525" t="str">
        <f>IF(AND(B2666&gt;='IN-NX'!$P$3,B2666&lt;='IN-NX'!$Q$3,'IN-NX'!$D$7=D2666,OR(LEFT(L2666,2)="15",AND(LEFT(M2666,2)&lt;&gt;"15",LEFT(M2666,2)&lt;&gt;"33"))),"x","")</f>
        <v/>
      </c>
      <c r="V2666" s="525" t="str">
        <f>IF(AND(OR(LEFT(TH!L2666,2)="15",LEFT(TH!M2666,2)="15"),'152-CT'!$J$8=TH!F2666),"x","")</f>
        <v/>
      </c>
      <c r="W2666" s="525" t="str">
        <f>IF(AND(OR(LEFT(TH!L2666,2)="15",LEFT(TH!M2666,2)="15"),TK!$E$7=TH!F2666),"x","")</f>
        <v/>
      </c>
      <c r="X2666" s="525" t="str">
        <f>IF(AND('341-CT'!$E$9=H2666,OR(LEFT(L2666,3)=$X$7,LEFT(M2666,3)=$X$7)),"x","")</f>
        <v/>
      </c>
      <c r="Y2666" s="525" t="str">
        <f>IF(OR(TH!L2666=TH!$Y$7,M2666=TH!$Y$7),"x","")</f>
        <v/>
      </c>
      <c r="Z2666" s="525" t="str">
        <f>IF(AND(B2666&lt;=NKC!$N$8,B2666&gt;=NKC!$M$8),"x","")</f>
        <v/>
      </c>
      <c r="AA2666" s="535">
        <v>2</v>
      </c>
      <c r="AB2666" s="536"/>
    </row>
    <row r="2667" spans="1:28" s="503" customFormat="1" ht="15.75" customHeight="1">
      <c r="A2667" s="517" t="str">
        <f>IF(B2667&lt;&gt;"",IF(AND(B2667&gt;=_TM1,B2667&lt;=_TM2,OR(TH!L2667="1111",TH!M2667="1111")),TH!D2667,""),"")</f>
        <v/>
      </c>
      <c r="B2667" s="531">
        <f t="shared" si="231"/>
        <v>6</v>
      </c>
      <c r="C2667" s="315">
        <f t="shared" si="232"/>
        <v>42903</v>
      </c>
      <c r="D2667" s="315" t="s">
        <v>1365</v>
      </c>
      <c r="E2667" s="315">
        <v>42903</v>
      </c>
      <c r="F2667" s="249" t="s">
        <v>705</v>
      </c>
      <c r="G2667" s="314" t="s">
        <v>1260</v>
      </c>
      <c r="H2667" s="473" t="s">
        <v>1142</v>
      </c>
      <c r="I2667" s="307">
        <v>8</v>
      </c>
      <c r="J2667" s="307">
        <v>48809</v>
      </c>
      <c r="K2667" s="532">
        <f t="shared" si="234"/>
        <v>390472</v>
      </c>
      <c r="L2667" s="534" t="s">
        <v>292</v>
      </c>
      <c r="M2667" s="534" t="s">
        <v>8</v>
      </c>
      <c r="N2667" s="525" t="str">
        <f>IF(AND('331-CT'!$E$7=TH!H2667,OR(L2667="331",M2667="331")),"331",IF(AND(OR(L2667="131",M2667="131"),H2667='131-CT'!$E$7),"131",""))</f>
        <v/>
      </c>
      <c r="O2667" s="525" t="str">
        <f>IF(AND($B2667&gt;='111'!$N$11,$B2667&lt;='111'!$O$11,OR($L2667=$O$7,$M2667=$O$7)),"x","")</f>
        <v/>
      </c>
      <c r="P2667" s="525" t="str">
        <f>IF(AND($L2667=$O$7,$B2667&lt;'111'!$N$11),"x","")</f>
        <v/>
      </c>
      <c r="Q2667" s="525" t="str">
        <f>IF(AND($M2667=$O$7,$B2667&lt;'111'!$N$11),"x","")</f>
        <v/>
      </c>
      <c r="R2667" s="525" t="str">
        <f>IF(ISERROR(FIND('112'!$M$9,G2667,1)),"",IF((AND(FIND('112'!$M$9,G2667,1)&gt;=1,$B2667&gt;='112'!$N$8,$B2667&lt;='112'!$O$8,OR($L2667='112'!$I$6,$M2667='112'!$I$6))),"x",""))</f>
        <v/>
      </c>
      <c r="S2667" s="525" t="str">
        <f>IF(ISERROR(FIND('112'!$M$9,G2667,1)),"",IF((AND(LEFT(G2667,2)=LEFT('112'!$M$9,2),B2667&lt;'112'!$N$8,$L2667='112'!$I$6)),"x",""))</f>
        <v/>
      </c>
      <c r="T2667" s="525" t="str">
        <f>IF(ISERROR(FIND('112'!$M$9,G2667,1)),"",IF((AND(RIGHT(G2667,2)=RIGHT('112'!$M$9,2),B2667&lt;'112'!$N$8,$M2667='112'!$I$6)),"x",""))</f>
        <v/>
      </c>
      <c r="U2667" s="525" t="str">
        <f>IF(AND(B2667&gt;='IN-NX'!$P$3,B2667&lt;='IN-NX'!$Q$3,'IN-NX'!$D$7=D2667,OR(LEFT(L2667,2)="15",AND(LEFT(M2667,2)&lt;&gt;"15",LEFT(M2667,2)&lt;&gt;"33"))),"x","")</f>
        <v/>
      </c>
      <c r="V2667" s="525" t="str">
        <f>IF(AND(OR(LEFT(TH!L2667,2)="15",LEFT(TH!M2667,2)="15"),'152-CT'!$J$8=TH!F2667),"x","")</f>
        <v/>
      </c>
      <c r="W2667" s="525" t="str">
        <f>IF(AND(OR(LEFT(TH!L2667,2)="15",LEFT(TH!M2667,2)="15"),TK!$E$7=TH!F2667),"x","")</f>
        <v/>
      </c>
      <c r="X2667" s="525" t="str">
        <f>IF(AND('341-CT'!$E$9=H2667,OR(LEFT(L2667,3)=$X$7,LEFT(M2667,3)=$X$7)),"x","")</f>
        <v/>
      </c>
      <c r="Y2667" s="525" t="str">
        <f>IF(OR(TH!L2667=TH!$Y$7,M2667=TH!$Y$7),"x","")</f>
        <v/>
      </c>
      <c r="Z2667" s="525" t="str">
        <f>IF(AND(B2667&lt;=NKC!$N$8,B2667&gt;=NKC!$M$8),"x","")</f>
        <v/>
      </c>
      <c r="AA2667" s="535">
        <v>2</v>
      </c>
      <c r="AB2667" s="536"/>
    </row>
    <row r="2668" spans="1:28" s="503" customFormat="1" ht="15.75" customHeight="1">
      <c r="A2668" s="517" t="str">
        <f>IF(B2668&lt;&gt;"",IF(AND(B2668&gt;=_TM1,B2668&lt;=_TM2,OR(TH!L2668="1111",TH!M2668="1111")),TH!D2668,""),"")</f>
        <v/>
      </c>
      <c r="B2668" s="531">
        <f t="shared" si="231"/>
        <v>6</v>
      </c>
      <c r="C2668" s="315">
        <f t="shared" si="232"/>
        <v>42903</v>
      </c>
      <c r="D2668" s="315" t="s">
        <v>1365</v>
      </c>
      <c r="E2668" s="315">
        <v>42903</v>
      </c>
      <c r="F2668" s="249" t="s">
        <v>708</v>
      </c>
      <c r="G2668" s="314" t="s">
        <v>1260</v>
      </c>
      <c r="H2668" s="473" t="s">
        <v>1142</v>
      </c>
      <c r="I2668" s="307">
        <v>42</v>
      </c>
      <c r="J2668" s="307">
        <v>37268</v>
      </c>
      <c r="K2668" s="532">
        <f t="shared" si="234"/>
        <v>1565256</v>
      </c>
      <c r="L2668" s="534" t="s">
        <v>292</v>
      </c>
      <c r="M2668" s="534" t="s">
        <v>8</v>
      </c>
      <c r="N2668" s="525" t="str">
        <f>IF(AND('331-CT'!$E$7=TH!H2668,OR(L2668="331",M2668="331")),"331",IF(AND(OR(L2668="131",M2668="131"),H2668='131-CT'!$E$7),"131",""))</f>
        <v/>
      </c>
      <c r="O2668" s="525" t="str">
        <f>IF(AND($B2668&gt;='111'!$N$11,$B2668&lt;='111'!$O$11,OR($L2668=$O$7,$M2668=$O$7)),"x","")</f>
        <v/>
      </c>
      <c r="P2668" s="525" t="str">
        <f>IF(AND($L2668=$O$7,$B2668&lt;'111'!$N$11),"x","")</f>
        <v/>
      </c>
      <c r="Q2668" s="525" t="str">
        <f>IF(AND($M2668=$O$7,$B2668&lt;'111'!$N$11),"x","")</f>
        <v/>
      </c>
      <c r="R2668" s="525" t="str">
        <f>IF(ISERROR(FIND('112'!$M$9,G2668,1)),"",IF((AND(FIND('112'!$M$9,G2668,1)&gt;=1,$B2668&gt;='112'!$N$8,$B2668&lt;='112'!$O$8,OR($L2668='112'!$I$6,$M2668='112'!$I$6))),"x",""))</f>
        <v/>
      </c>
      <c r="S2668" s="525" t="str">
        <f>IF(ISERROR(FIND('112'!$M$9,G2668,1)),"",IF((AND(LEFT(G2668,2)=LEFT('112'!$M$9,2),B2668&lt;'112'!$N$8,$L2668='112'!$I$6)),"x",""))</f>
        <v/>
      </c>
      <c r="T2668" s="525" t="str">
        <f>IF(ISERROR(FIND('112'!$M$9,G2668,1)),"",IF((AND(RIGHT(G2668,2)=RIGHT('112'!$M$9,2),B2668&lt;'112'!$N$8,$M2668='112'!$I$6)),"x",""))</f>
        <v/>
      </c>
      <c r="U2668" s="525" t="str">
        <f>IF(AND(B2668&gt;='IN-NX'!$P$3,B2668&lt;='IN-NX'!$Q$3,'IN-NX'!$D$7=D2668,OR(LEFT(L2668,2)="15",AND(LEFT(M2668,2)&lt;&gt;"15",LEFT(M2668,2)&lt;&gt;"33"))),"x","")</f>
        <v/>
      </c>
      <c r="V2668" s="525" t="str">
        <f>IF(AND(OR(LEFT(TH!L2668,2)="15",LEFT(TH!M2668,2)="15"),'152-CT'!$J$8=TH!F2668),"x","")</f>
        <v/>
      </c>
      <c r="W2668" s="525" t="str">
        <f>IF(AND(OR(LEFT(TH!L2668,2)="15",LEFT(TH!M2668,2)="15"),TK!$E$7=TH!F2668),"x","")</f>
        <v/>
      </c>
      <c r="X2668" s="525" t="str">
        <f>IF(AND('341-CT'!$E$9=H2668,OR(LEFT(L2668,3)=$X$7,LEFT(M2668,3)=$X$7)),"x","")</f>
        <v/>
      </c>
      <c r="Y2668" s="525" t="str">
        <f>IF(OR(TH!L2668=TH!$Y$7,M2668=TH!$Y$7),"x","")</f>
        <v/>
      </c>
      <c r="Z2668" s="525" t="str">
        <f>IF(AND(B2668&lt;=NKC!$N$8,B2668&gt;=NKC!$M$8),"x","")</f>
        <v/>
      </c>
      <c r="AA2668" s="535">
        <v>2</v>
      </c>
      <c r="AB2668" s="536"/>
    </row>
    <row r="2669" spans="1:28" s="503" customFormat="1" ht="15.75" customHeight="1">
      <c r="A2669" s="517" t="str">
        <f>IF(B2669&lt;&gt;"",IF(AND(B2669&gt;=_TM1,B2669&lt;=_TM2,OR(TH!L2669="1111",TH!M2669="1111")),TH!D2669,""),"")</f>
        <v/>
      </c>
      <c r="B2669" s="531">
        <f t="shared" si="231"/>
        <v>6</v>
      </c>
      <c r="C2669" s="315">
        <f t="shared" si="232"/>
        <v>42903</v>
      </c>
      <c r="D2669" s="315" t="s">
        <v>1365</v>
      </c>
      <c r="E2669" s="315">
        <v>42903</v>
      </c>
      <c r="F2669" s="249" t="s">
        <v>761</v>
      </c>
      <c r="G2669" s="314" t="s">
        <v>1260</v>
      </c>
      <c r="H2669" s="473" t="s">
        <v>1142</v>
      </c>
      <c r="I2669" s="307">
        <v>24</v>
      </c>
      <c r="J2669" s="307">
        <v>23863</v>
      </c>
      <c r="K2669" s="532">
        <f t="shared" si="234"/>
        <v>572712</v>
      </c>
      <c r="L2669" s="534" t="s">
        <v>292</v>
      </c>
      <c r="M2669" s="534" t="s">
        <v>8</v>
      </c>
      <c r="N2669" s="525" t="str">
        <f>IF(AND('331-CT'!$E$7=TH!H2669,OR(L2669="331",M2669="331")),"331",IF(AND(OR(L2669="131",M2669="131"),H2669='131-CT'!$E$7),"131",""))</f>
        <v/>
      </c>
      <c r="O2669" s="525" t="str">
        <f>IF(AND($B2669&gt;='111'!$N$11,$B2669&lt;='111'!$O$11,OR($L2669=$O$7,$M2669=$O$7)),"x","")</f>
        <v/>
      </c>
      <c r="P2669" s="525" t="str">
        <f>IF(AND($L2669=$O$7,$B2669&lt;'111'!$N$11),"x","")</f>
        <v/>
      </c>
      <c r="Q2669" s="525" t="str">
        <f>IF(AND($M2669=$O$7,$B2669&lt;'111'!$N$11),"x","")</f>
        <v/>
      </c>
      <c r="R2669" s="525" t="str">
        <f>IF(ISERROR(FIND('112'!$M$9,G2669,1)),"",IF((AND(FIND('112'!$M$9,G2669,1)&gt;=1,$B2669&gt;='112'!$N$8,$B2669&lt;='112'!$O$8,OR($L2669='112'!$I$6,$M2669='112'!$I$6))),"x",""))</f>
        <v/>
      </c>
      <c r="S2669" s="525" t="str">
        <f>IF(ISERROR(FIND('112'!$M$9,G2669,1)),"",IF((AND(LEFT(G2669,2)=LEFT('112'!$M$9,2),B2669&lt;'112'!$N$8,$L2669='112'!$I$6)),"x",""))</f>
        <v/>
      </c>
      <c r="T2669" s="525" t="str">
        <f>IF(ISERROR(FIND('112'!$M$9,G2669,1)),"",IF((AND(RIGHT(G2669,2)=RIGHT('112'!$M$9,2),B2669&lt;'112'!$N$8,$M2669='112'!$I$6)),"x",""))</f>
        <v/>
      </c>
      <c r="U2669" s="525" t="str">
        <f>IF(AND(B2669&gt;='IN-NX'!$P$3,B2669&lt;='IN-NX'!$Q$3,'IN-NX'!$D$7=D2669,OR(LEFT(L2669,2)="15",AND(LEFT(M2669,2)&lt;&gt;"15",LEFT(M2669,2)&lt;&gt;"33"))),"x","")</f>
        <v/>
      </c>
      <c r="V2669" s="525" t="str">
        <f>IF(AND(OR(LEFT(TH!L2669,2)="15",LEFT(TH!M2669,2)="15"),'152-CT'!$J$8=TH!F2669),"x","")</f>
        <v/>
      </c>
      <c r="W2669" s="525" t="str">
        <f>IF(AND(OR(LEFT(TH!L2669,2)="15",LEFT(TH!M2669,2)="15"),TK!$E$7=TH!F2669),"x","")</f>
        <v/>
      </c>
      <c r="X2669" s="525" t="str">
        <f>IF(AND('341-CT'!$E$9=H2669,OR(LEFT(L2669,3)=$X$7,LEFT(M2669,3)=$X$7)),"x","")</f>
        <v/>
      </c>
      <c r="Y2669" s="525" t="str">
        <f>IF(OR(TH!L2669=TH!$Y$7,M2669=TH!$Y$7),"x","")</f>
        <v/>
      </c>
      <c r="Z2669" s="525" t="str">
        <f>IF(AND(B2669&lt;=NKC!$N$8,B2669&gt;=NKC!$M$8),"x","")</f>
        <v/>
      </c>
      <c r="AA2669" s="535">
        <v>2</v>
      </c>
      <c r="AB2669" s="536"/>
    </row>
    <row r="2670" spans="1:28" s="503" customFormat="1" ht="15.75" customHeight="1">
      <c r="A2670" s="517" t="str">
        <f>IF(B2670&lt;&gt;"",IF(AND(B2670&gt;=_TM1,B2670&lt;=_TM2,OR(TH!L2670="1111",TH!M2670="1111")),TH!D2670,""),"")</f>
        <v/>
      </c>
      <c r="B2670" s="531">
        <f t="shared" si="231"/>
        <v>6</v>
      </c>
      <c r="C2670" s="315">
        <f t="shared" si="232"/>
        <v>42903</v>
      </c>
      <c r="D2670" s="315" t="s">
        <v>1365</v>
      </c>
      <c r="E2670" s="315">
        <v>42903</v>
      </c>
      <c r="F2670" s="249" t="s">
        <v>704</v>
      </c>
      <c r="G2670" s="314" t="s">
        <v>1260</v>
      </c>
      <c r="H2670" s="473" t="s">
        <v>1142</v>
      </c>
      <c r="I2670" s="307">
        <v>102</v>
      </c>
      <c r="J2670" s="307">
        <v>17606</v>
      </c>
      <c r="K2670" s="532">
        <f t="shared" si="234"/>
        <v>1795812</v>
      </c>
      <c r="L2670" s="534" t="s">
        <v>292</v>
      </c>
      <c r="M2670" s="534" t="s">
        <v>8</v>
      </c>
      <c r="N2670" s="525" t="str">
        <f>IF(AND('331-CT'!$E$7=TH!H2670,OR(L2670="331",M2670="331")),"331",IF(AND(OR(L2670="131",M2670="131"),H2670='131-CT'!$E$7),"131",""))</f>
        <v/>
      </c>
      <c r="O2670" s="525" t="str">
        <f>IF(AND($B2670&gt;='111'!$N$11,$B2670&lt;='111'!$O$11,OR($L2670=$O$7,$M2670=$O$7)),"x","")</f>
        <v/>
      </c>
      <c r="P2670" s="525" t="str">
        <f>IF(AND($L2670=$O$7,$B2670&lt;'111'!$N$11),"x","")</f>
        <v/>
      </c>
      <c r="Q2670" s="525" t="str">
        <f>IF(AND($M2670=$O$7,$B2670&lt;'111'!$N$11),"x","")</f>
        <v/>
      </c>
      <c r="R2670" s="525" t="str">
        <f>IF(ISERROR(FIND('112'!$M$9,G2670,1)),"",IF((AND(FIND('112'!$M$9,G2670,1)&gt;=1,$B2670&gt;='112'!$N$8,$B2670&lt;='112'!$O$8,OR($L2670='112'!$I$6,$M2670='112'!$I$6))),"x",""))</f>
        <v/>
      </c>
      <c r="S2670" s="525" t="str">
        <f>IF(ISERROR(FIND('112'!$M$9,G2670,1)),"",IF((AND(LEFT(G2670,2)=LEFT('112'!$M$9,2),B2670&lt;'112'!$N$8,$L2670='112'!$I$6)),"x",""))</f>
        <v/>
      </c>
      <c r="T2670" s="525" t="str">
        <f>IF(ISERROR(FIND('112'!$M$9,G2670,1)),"",IF((AND(RIGHT(G2670,2)=RIGHT('112'!$M$9,2),B2670&lt;'112'!$N$8,$M2670='112'!$I$6)),"x",""))</f>
        <v/>
      </c>
      <c r="U2670" s="525" t="str">
        <f>IF(AND(B2670&gt;='IN-NX'!$P$3,B2670&lt;='IN-NX'!$Q$3,'IN-NX'!$D$7=D2670,OR(LEFT(L2670,2)="15",AND(LEFT(M2670,2)&lt;&gt;"15",LEFT(M2670,2)&lt;&gt;"33"))),"x","")</f>
        <v/>
      </c>
      <c r="V2670" s="525" t="str">
        <f>IF(AND(OR(LEFT(TH!L2670,2)="15",LEFT(TH!M2670,2)="15"),'152-CT'!$J$8=TH!F2670),"x","")</f>
        <v/>
      </c>
      <c r="W2670" s="525" t="str">
        <f>IF(AND(OR(LEFT(TH!L2670,2)="15",LEFT(TH!M2670,2)="15"),TK!$E$7=TH!F2670),"x","")</f>
        <v/>
      </c>
      <c r="X2670" s="525" t="str">
        <f>IF(AND('341-CT'!$E$9=H2670,OR(LEFT(L2670,3)=$X$7,LEFT(M2670,3)=$X$7)),"x","")</f>
        <v/>
      </c>
      <c r="Y2670" s="525" t="str">
        <f>IF(OR(TH!L2670=TH!$Y$7,M2670=TH!$Y$7),"x","")</f>
        <v/>
      </c>
      <c r="Z2670" s="525" t="str">
        <f>IF(AND(B2670&lt;=NKC!$N$8,B2670&gt;=NKC!$M$8),"x","")</f>
        <v/>
      </c>
      <c r="AA2670" s="535">
        <v>2</v>
      </c>
      <c r="AB2670" s="536"/>
    </row>
    <row r="2671" spans="1:28" s="503" customFormat="1" ht="15.75" customHeight="1">
      <c r="A2671" s="517" t="str">
        <f>IF(B2671&lt;&gt;"",IF(AND(B2671&gt;=_TM1,B2671&lt;=_TM2,OR(TH!L2671="1111",TH!M2671="1111")),TH!D2671,""),"")</f>
        <v/>
      </c>
      <c r="B2671" s="531">
        <f t="shared" si="231"/>
        <v>6</v>
      </c>
      <c r="C2671" s="315">
        <f t="shared" si="232"/>
        <v>42903</v>
      </c>
      <c r="D2671" s="315" t="s">
        <v>1366</v>
      </c>
      <c r="E2671" s="315">
        <v>42903</v>
      </c>
      <c r="F2671" s="249" t="s">
        <v>1244</v>
      </c>
      <c r="G2671" s="314" t="s">
        <v>1260</v>
      </c>
      <c r="H2671" s="473" t="s">
        <v>1142</v>
      </c>
      <c r="I2671" s="307">
        <v>12</v>
      </c>
      <c r="J2671" s="307">
        <v>24336</v>
      </c>
      <c r="K2671" s="532">
        <f t="shared" si="234"/>
        <v>292032</v>
      </c>
      <c r="L2671" s="534" t="s">
        <v>292</v>
      </c>
      <c r="M2671" s="534" t="s">
        <v>8</v>
      </c>
      <c r="N2671" s="525" t="str">
        <f>IF(AND('331-CT'!$E$7=TH!H2671,OR(L2671="331",M2671="331")),"331",IF(AND(OR(L2671="131",M2671="131"),H2671='131-CT'!$E$7),"131",""))</f>
        <v/>
      </c>
      <c r="O2671" s="525" t="str">
        <f>IF(AND($B2671&gt;='111'!$N$11,$B2671&lt;='111'!$O$11,OR($L2671=$O$7,$M2671=$O$7)),"x","")</f>
        <v/>
      </c>
      <c r="P2671" s="525" t="str">
        <f>IF(AND($L2671=$O$7,$B2671&lt;'111'!$N$11),"x","")</f>
        <v/>
      </c>
      <c r="Q2671" s="525" t="str">
        <f>IF(AND($M2671=$O$7,$B2671&lt;'111'!$N$11),"x","")</f>
        <v/>
      </c>
      <c r="R2671" s="525" t="str">
        <f>IF(ISERROR(FIND('112'!$M$9,G2671,1)),"",IF((AND(FIND('112'!$M$9,G2671,1)&gt;=1,$B2671&gt;='112'!$N$8,$B2671&lt;='112'!$O$8,OR($L2671='112'!$I$6,$M2671='112'!$I$6))),"x",""))</f>
        <v/>
      </c>
      <c r="S2671" s="525" t="str">
        <f>IF(ISERROR(FIND('112'!$M$9,G2671,1)),"",IF((AND(LEFT(G2671,2)=LEFT('112'!$M$9,2),B2671&lt;'112'!$N$8,$L2671='112'!$I$6)),"x",""))</f>
        <v/>
      </c>
      <c r="T2671" s="525" t="str">
        <f>IF(ISERROR(FIND('112'!$M$9,G2671,1)),"",IF((AND(RIGHT(G2671,2)=RIGHT('112'!$M$9,2),B2671&lt;'112'!$N$8,$M2671='112'!$I$6)),"x",""))</f>
        <v/>
      </c>
      <c r="U2671" s="525" t="str">
        <f>IF(AND(B2671&gt;='IN-NX'!$P$3,B2671&lt;='IN-NX'!$Q$3,'IN-NX'!$D$7=D2671,OR(LEFT(L2671,2)="15",AND(LEFT(M2671,2)&lt;&gt;"15",LEFT(M2671,2)&lt;&gt;"33"))),"x","")</f>
        <v/>
      </c>
      <c r="V2671" s="525" t="str">
        <f>IF(AND(OR(LEFT(TH!L2671,2)="15",LEFT(TH!M2671,2)="15"),'152-CT'!$J$8=TH!F2671),"x","")</f>
        <v/>
      </c>
      <c r="W2671" s="525" t="str">
        <f>IF(AND(OR(LEFT(TH!L2671,2)="15",LEFT(TH!M2671,2)="15"),TK!$E$7=TH!F2671),"x","")</f>
        <v/>
      </c>
      <c r="X2671" s="525" t="str">
        <f>IF(AND('341-CT'!$E$9=H2671,OR(LEFT(L2671,3)=$X$7,LEFT(M2671,3)=$X$7)),"x","")</f>
        <v/>
      </c>
      <c r="Y2671" s="525" t="str">
        <f>IF(OR(TH!L2671=TH!$Y$7,M2671=TH!$Y$7),"x","")</f>
        <v/>
      </c>
      <c r="Z2671" s="525" t="str">
        <f>IF(AND(B2671&lt;=NKC!$N$8,B2671&gt;=NKC!$M$8),"x","")</f>
        <v/>
      </c>
      <c r="AA2671" s="535">
        <v>2</v>
      </c>
      <c r="AB2671" s="536"/>
    </row>
    <row r="2672" spans="1:28" s="503" customFormat="1" ht="15.75" customHeight="1">
      <c r="A2672" s="517" t="str">
        <f>IF(B2672&lt;&gt;"",IF(AND(B2672&gt;=_TM1,B2672&lt;=_TM2,OR(TH!L2672="1111",TH!M2672="1111")),TH!D2672,""),"")</f>
        <v/>
      </c>
      <c r="B2672" s="531">
        <f t="shared" si="231"/>
        <v>6</v>
      </c>
      <c r="C2672" s="315">
        <f t="shared" si="232"/>
        <v>42903</v>
      </c>
      <c r="D2672" s="315" t="s">
        <v>1366</v>
      </c>
      <c r="E2672" s="315">
        <v>42903</v>
      </c>
      <c r="F2672" s="249" t="s">
        <v>1245</v>
      </c>
      <c r="G2672" s="314" t="s">
        <v>1260</v>
      </c>
      <c r="H2672" s="473" t="s">
        <v>1142</v>
      </c>
      <c r="I2672" s="307">
        <v>12</v>
      </c>
      <c r="J2672" s="307">
        <v>15408</v>
      </c>
      <c r="K2672" s="532">
        <f t="shared" si="234"/>
        <v>184896</v>
      </c>
      <c r="L2672" s="534" t="s">
        <v>292</v>
      </c>
      <c r="M2672" s="534" t="s">
        <v>8</v>
      </c>
      <c r="N2672" s="525" t="str">
        <f>IF(AND('331-CT'!$E$7=TH!H2672,OR(L2672="331",M2672="331")),"331",IF(AND(OR(L2672="131",M2672="131"),H2672='131-CT'!$E$7),"131",""))</f>
        <v/>
      </c>
      <c r="O2672" s="525" t="str">
        <f>IF(AND($B2672&gt;='111'!$N$11,$B2672&lt;='111'!$O$11,OR($L2672=$O$7,$M2672=$O$7)),"x","")</f>
        <v/>
      </c>
      <c r="P2672" s="525" t="str">
        <f>IF(AND($L2672=$O$7,$B2672&lt;'111'!$N$11),"x","")</f>
        <v/>
      </c>
      <c r="Q2672" s="525" t="str">
        <f>IF(AND($M2672=$O$7,$B2672&lt;'111'!$N$11),"x","")</f>
        <v/>
      </c>
      <c r="R2672" s="525" t="str">
        <f>IF(ISERROR(FIND('112'!$M$9,G2672,1)),"",IF((AND(FIND('112'!$M$9,G2672,1)&gt;=1,$B2672&gt;='112'!$N$8,$B2672&lt;='112'!$O$8,OR($L2672='112'!$I$6,$M2672='112'!$I$6))),"x",""))</f>
        <v/>
      </c>
      <c r="S2672" s="525" t="str">
        <f>IF(ISERROR(FIND('112'!$M$9,G2672,1)),"",IF((AND(LEFT(G2672,2)=LEFT('112'!$M$9,2),B2672&lt;'112'!$N$8,$L2672='112'!$I$6)),"x",""))</f>
        <v/>
      </c>
      <c r="T2672" s="525" t="str">
        <f>IF(ISERROR(FIND('112'!$M$9,G2672,1)),"",IF((AND(RIGHT(G2672,2)=RIGHT('112'!$M$9,2),B2672&lt;'112'!$N$8,$M2672='112'!$I$6)),"x",""))</f>
        <v/>
      </c>
      <c r="U2672" s="525" t="str">
        <f>IF(AND(B2672&gt;='IN-NX'!$P$3,B2672&lt;='IN-NX'!$Q$3,'IN-NX'!$D$7=D2672,OR(LEFT(L2672,2)="15",AND(LEFT(M2672,2)&lt;&gt;"15",LEFT(M2672,2)&lt;&gt;"33"))),"x","")</f>
        <v/>
      </c>
      <c r="V2672" s="525" t="str">
        <f>IF(AND(OR(LEFT(TH!L2672,2)="15",LEFT(TH!M2672,2)="15"),'152-CT'!$J$8=TH!F2672),"x","")</f>
        <v/>
      </c>
      <c r="W2672" s="525" t="str">
        <f>IF(AND(OR(LEFT(TH!L2672,2)="15",LEFT(TH!M2672,2)="15"),TK!$E$7=TH!F2672),"x","")</f>
        <v/>
      </c>
      <c r="X2672" s="525" t="str">
        <f>IF(AND('341-CT'!$E$9=H2672,OR(LEFT(L2672,3)=$X$7,LEFT(M2672,3)=$X$7)),"x","")</f>
        <v/>
      </c>
      <c r="Y2672" s="525" t="str">
        <f>IF(OR(TH!L2672=TH!$Y$7,M2672=TH!$Y$7),"x","")</f>
        <v/>
      </c>
      <c r="Z2672" s="525" t="str">
        <f>IF(AND(B2672&lt;=NKC!$N$8,B2672&gt;=NKC!$M$8),"x","")</f>
        <v/>
      </c>
      <c r="AA2672" s="535">
        <v>2</v>
      </c>
      <c r="AB2672" s="536"/>
    </row>
    <row r="2673" spans="1:28" s="503" customFormat="1" ht="15.75" customHeight="1">
      <c r="A2673" s="517" t="str">
        <f>IF(B2673&lt;&gt;"",IF(AND(B2673&gt;=_TM1,B2673&lt;=_TM2,OR(TH!L2673="1111",TH!M2673="1111")),TH!D2673,""),"")</f>
        <v/>
      </c>
      <c r="B2673" s="531">
        <f t="shared" si="231"/>
        <v>6</v>
      </c>
      <c r="C2673" s="315">
        <f t="shared" si="232"/>
        <v>42903</v>
      </c>
      <c r="D2673" s="315" t="s">
        <v>1366</v>
      </c>
      <c r="E2673" s="315">
        <v>42903</v>
      </c>
      <c r="F2673" s="249" t="s">
        <v>709</v>
      </c>
      <c r="G2673" s="314" t="s">
        <v>1260</v>
      </c>
      <c r="H2673" s="473" t="s">
        <v>1142</v>
      </c>
      <c r="I2673" s="307">
        <v>12</v>
      </c>
      <c r="J2673" s="307">
        <v>42166</v>
      </c>
      <c r="K2673" s="532">
        <f t="shared" si="234"/>
        <v>505992</v>
      </c>
      <c r="L2673" s="534" t="s">
        <v>292</v>
      </c>
      <c r="M2673" s="534" t="s">
        <v>8</v>
      </c>
      <c r="N2673" s="525" t="str">
        <f>IF(AND('331-CT'!$E$7=TH!H2673,OR(L2673="331",M2673="331")),"331",IF(AND(OR(L2673="131",M2673="131"),H2673='131-CT'!$E$7),"131",""))</f>
        <v/>
      </c>
      <c r="O2673" s="525" t="str">
        <f>IF(AND($B2673&gt;='111'!$N$11,$B2673&lt;='111'!$O$11,OR($L2673=$O$7,$M2673=$O$7)),"x","")</f>
        <v/>
      </c>
      <c r="P2673" s="525" t="str">
        <f>IF(AND($L2673=$O$7,$B2673&lt;'111'!$N$11),"x","")</f>
        <v/>
      </c>
      <c r="Q2673" s="525" t="str">
        <f>IF(AND($M2673=$O$7,$B2673&lt;'111'!$N$11),"x","")</f>
        <v/>
      </c>
      <c r="R2673" s="525" t="str">
        <f>IF(ISERROR(FIND('112'!$M$9,G2673,1)),"",IF((AND(FIND('112'!$M$9,G2673,1)&gt;=1,$B2673&gt;='112'!$N$8,$B2673&lt;='112'!$O$8,OR($L2673='112'!$I$6,$M2673='112'!$I$6))),"x",""))</f>
        <v/>
      </c>
      <c r="S2673" s="525" t="str">
        <f>IF(ISERROR(FIND('112'!$M$9,G2673,1)),"",IF((AND(LEFT(G2673,2)=LEFT('112'!$M$9,2),B2673&lt;'112'!$N$8,$L2673='112'!$I$6)),"x",""))</f>
        <v/>
      </c>
      <c r="T2673" s="525" t="str">
        <f>IF(ISERROR(FIND('112'!$M$9,G2673,1)),"",IF((AND(RIGHT(G2673,2)=RIGHT('112'!$M$9,2),B2673&lt;'112'!$N$8,$M2673='112'!$I$6)),"x",""))</f>
        <v/>
      </c>
      <c r="U2673" s="525" t="str">
        <f>IF(AND(B2673&gt;='IN-NX'!$P$3,B2673&lt;='IN-NX'!$Q$3,'IN-NX'!$D$7=D2673,OR(LEFT(L2673,2)="15",AND(LEFT(M2673,2)&lt;&gt;"15",LEFT(M2673,2)&lt;&gt;"33"))),"x","")</f>
        <v/>
      </c>
      <c r="V2673" s="525" t="str">
        <f>IF(AND(OR(LEFT(TH!L2673,2)="15",LEFT(TH!M2673,2)="15"),'152-CT'!$J$8=TH!F2673),"x","")</f>
        <v/>
      </c>
      <c r="W2673" s="525" t="str">
        <f>IF(AND(OR(LEFT(TH!L2673,2)="15",LEFT(TH!M2673,2)="15"),TK!$E$7=TH!F2673),"x","")</f>
        <v/>
      </c>
      <c r="X2673" s="525" t="str">
        <f>IF(AND('341-CT'!$E$9=H2673,OR(LEFT(L2673,3)=$X$7,LEFT(M2673,3)=$X$7)),"x","")</f>
        <v/>
      </c>
      <c r="Y2673" s="525" t="str">
        <f>IF(OR(TH!L2673=TH!$Y$7,M2673=TH!$Y$7),"x","")</f>
        <v/>
      </c>
      <c r="Z2673" s="525" t="str">
        <f>IF(AND(B2673&lt;=NKC!$N$8,B2673&gt;=NKC!$M$8),"x","")</f>
        <v/>
      </c>
      <c r="AA2673" s="535">
        <v>2</v>
      </c>
      <c r="AB2673" s="536"/>
    </row>
    <row r="2674" spans="1:28" s="503" customFormat="1" ht="15.75" customHeight="1">
      <c r="A2674" s="517" t="str">
        <f>IF(B2674&lt;&gt;"",IF(AND(B2674&gt;=_TM1,B2674&lt;=_TM2,OR(TH!L2674="1111",TH!M2674="1111")),TH!D2674,""),"")</f>
        <v/>
      </c>
      <c r="B2674" s="531">
        <f t="shared" si="231"/>
        <v>6</v>
      </c>
      <c r="C2674" s="315">
        <f t="shared" si="232"/>
        <v>42903</v>
      </c>
      <c r="D2674" s="315" t="s">
        <v>1366</v>
      </c>
      <c r="E2674" s="315">
        <v>42903</v>
      </c>
      <c r="F2674" s="249" t="s">
        <v>1226</v>
      </c>
      <c r="G2674" s="314" t="s">
        <v>1260</v>
      </c>
      <c r="H2674" s="473" t="s">
        <v>1142</v>
      </c>
      <c r="I2674" s="307">
        <v>12</v>
      </c>
      <c r="J2674" s="307">
        <v>17281</v>
      </c>
      <c r="K2674" s="532">
        <f t="shared" si="234"/>
        <v>207372</v>
      </c>
      <c r="L2674" s="534" t="s">
        <v>292</v>
      </c>
      <c r="M2674" s="534" t="s">
        <v>8</v>
      </c>
      <c r="N2674" s="525" t="str">
        <f>IF(AND('331-CT'!$E$7=TH!H2674,OR(L2674="331",M2674="331")),"331",IF(AND(OR(L2674="131",M2674="131"),H2674='131-CT'!$E$7),"131",""))</f>
        <v/>
      </c>
      <c r="O2674" s="525" t="str">
        <f>IF(AND($B2674&gt;='111'!$N$11,$B2674&lt;='111'!$O$11,OR($L2674=$O$7,$M2674=$O$7)),"x","")</f>
        <v/>
      </c>
      <c r="P2674" s="525" t="str">
        <f>IF(AND($L2674=$O$7,$B2674&lt;'111'!$N$11),"x","")</f>
        <v/>
      </c>
      <c r="Q2674" s="525" t="str">
        <f>IF(AND($M2674=$O$7,$B2674&lt;'111'!$N$11),"x","")</f>
        <v/>
      </c>
      <c r="R2674" s="525" t="str">
        <f>IF(ISERROR(FIND('112'!$M$9,G2674,1)),"",IF((AND(FIND('112'!$M$9,G2674,1)&gt;=1,$B2674&gt;='112'!$N$8,$B2674&lt;='112'!$O$8,OR($L2674='112'!$I$6,$M2674='112'!$I$6))),"x",""))</f>
        <v/>
      </c>
      <c r="S2674" s="525" t="str">
        <f>IF(ISERROR(FIND('112'!$M$9,G2674,1)),"",IF((AND(LEFT(G2674,2)=LEFT('112'!$M$9,2),B2674&lt;'112'!$N$8,$L2674='112'!$I$6)),"x",""))</f>
        <v/>
      </c>
      <c r="T2674" s="525" t="str">
        <f>IF(ISERROR(FIND('112'!$M$9,G2674,1)),"",IF((AND(RIGHT(G2674,2)=RIGHT('112'!$M$9,2),B2674&lt;'112'!$N$8,$M2674='112'!$I$6)),"x",""))</f>
        <v/>
      </c>
      <c r="U2674" s="525" t="str">
        <f>IF(AND(B2674&gt;='IN-NX'!$P$3,B2674&lt;='IN-NX'!$Q$3,'IN-NX'!$D$7=D2674,OR(LEFT(L2674,2)="15",AND(LEFT(M2674,2)&lt;&gt;"15",LEFT(M2674,2)&lt;&gt;"33"))),"x","")</f>
        <v/>
      </c>
      <c r="V2674" s="525" t="str">
        <f>IF(AND(OR(LEFT(TH!L2674,2)="15",LEFT(TH!M2674,2)="15"),'152-CT'!$J$8=TH!F2674),"x","")</f>
        <v/>
      </c>
      <c r="W2674" s="525" t="str">
        <f>IF(AND(OR(LEFT(TH!L2674,2)="15",LEFT(TH!M2674,2)="15"),TK!$E$7=TH!F2674),"x","")</f>
        <v/>
      </c>
      <c r="X2674" s="525" t="str">
        <f>IF(AND('341-CT'!$E$9=H2674,OR(LEFT(L2674,3)=$X$7,LEFT(M2674,3)=$X$7)),"x","")</f>
        <v/>
      </c>
      <c r="Y2674" s="525" t="str">
        <f>IF(OR(TH!L2674=TH!$Y$7,M2674=TH!$Y$7),"x","")</f>
        <v/>
      </c>
      <c r="Z2674" s="525" t="str">
        <f>IF(AND(B2674&lt;=NKC!$N$8,B2674&gt;=NKC!$M$8),"x","")</f>
        <v/>
      </c>
      <c r="AA2674" s="535">
        <v>2</v>
      </c>
      <c r="AB2674" s="536"/>
    </row>
    <row r="2675" spans="1:28" s="503" customFormat="1" ht="15.75" customHeight="1">
      <c r="A2675" s="517" t="str">
        <f>IF(B2675&lt;&gt;"",IF(AND(B2675&gt;=_TM1,B2675&lt;=_TM2,OR(TH!L2675="1111",TH!M2675="1111")),TH!D2675,""),"")</f>
        <v/>
      </c>
      <c r="B2675" s="531">
        <f t="shared" si="231"/>
        <v>6</v>
      </c>
      <c r="C2675" s="315">
        <f t="shared" si="232"/>
        <v>42903</v>
      </c>
      <c r="D2675" s="315" t="s">
        <v>1366</v>
      </c>
      <c r="E2675" s="315">
        <v>42903</v>
      </c>
      <c r="F2675" s="249" t="s">
        <v>1246</v>
      </c>
      <c r="G2675" s="314" t="s">
        <v>1260</v>
      </c>
      <c r="H2675" s="473" t="s">
        <v>1142</v>
      </c>
      <c r="I2675" s="307">
        <v>24</v>
      </c>
      <c r="J2675" s="307">
        <v>36936</v>
      </c>
      <c r="K2675" s="532">
        <f t="shared" si="234"/>
        <v>886464</v>
      </c>
      <c r="L2675" s="534" t="s">
        <v>292</v>
      </c>
      <c r="M2675" s="534" t="s">
        <v>8</v>
      </c>
      <c r="N2675" s="525" t="str">
        <f>IF(AND('331-CT'!$E$7=TH!H2675,OR(L2675="331",M2675="331")),"331",IF(AND(OR(L2675="131",M2675="131"),H2675='131-CT'!$E$7),"131",""))</f>
        <v/>
      </c>
      <c r="O2675" s="525" t="str">
        <f>IF(AND($B2675&gt;='111'!$N$11,$B2675&lt;='111'!$O$11,OR($L2675=$O$7,$M2675=$O$7)),"x","")</f>
        <v/>
      </c>
      <c r="P2675" s="525" t="str">
        <f>IF(AND($L2675=$O$7,$B2675&lt;'111'!$N$11),"x","")</f>
        <v/>
      </c>
      <c r="Q2675" s="525" t="str">
        <f>IF(AND($M2675=$O$7,$B2675&lt;'111'!$N$11),"x","")</f>
        <v/>
      </c>
      <c r="R2675" s="525" t="str">
        <f>IF(ISERROR(FIND('112'!$M$9,G2675,1)),"",IF((AND(FIND('112'!$M$9,G2675,1)&gt;=1,$B2675&gt;='112'!$N$8,$B2675&lt;='112'!$O$8,OR($L2675='112'!$I$6,$M2675='112'!$I$6))),"x",""))</f>
        <v/>
      </c>
      <c r="S2675" s="525" t="str">
        <f>IF(ISERROR(FIND('112'!$M$9,G2675,1)),"",IF((AND(LEFT(G2675,2)=LEFT('112'!$M$9,2),B2675&lt;'112'!$N$8,$L2675='112'!$I$6)),"x",""))</f>
        <v/>
      </c>
      <c r="T2675" s="525" t="str">
        <f>IF(ISERROR(FIND('112'!$M$9,G2675,1)),"",IF((AND(RIGHT(G2675,2)=RIGHT('112'!$M$9,2),B2675&lt;'112'!$N$8,$M2675='112'!$I$6)),"x",""))</f>
        <v/>
      </c>
      <c r="U2675" s="525" t="str">
        <f>IF(AND(B2675&gt;='IN-NX'!$P$3,B2675&lt;='IN-NX'!$Q$3,'IN-NX'!$D$7=D2675,OR(LEFT(L2675,2)="15",AND(LEFT(M2675,2)&lt;&gt;"15",LEFT(M2675,2)&lt;&gt;"33"))),"x","")</f>
        <v/>
      </c>
      <c r="V2675" s="525" t="str">
        <f>IF(AND(OR(LEFT(TH!L2675,2)="15",LEFT(TH!M2675,2)="15"),'152-CT'!$J$8=TH!F2675),"x","")</f>
        <v/>
      </c>
      <c r="W2675" s="525" t="str">
        <f>IF(AND(OR(LEFT(TH!L2675,2)="15",LEFT(TH!M2675,2)="15"),TK!$E$7=TH!F2675),"x","")</f>
        <v/>
      </c>
      <c r="X2675" s="525" t="str">
        <f>IF(AND('341-CT'!$E$9=H2675,OR(LEFT(L2675,3)=$X$7,LEFT(M2675,3)=$X$7)),"x","")</f>
        <v/>
      </c>
      <c r="Y2675" s="525" t="str">
        <f>IF(OR(TH!L2675=TH!$Y$7,M2675=TH!$Y$7),"x","")</f>
        <v/>
      </c>
      <c r="Z2675" s="525" t="str">
        <f>IF(AND(B2675&lt;=NKC!$N$8,B2675&gt;=NKC!$M$8),"x","")</f>
        <v/>
      </c>
      <c r="AA2675" s="535">
        <v>2</v>
      </c>
      <c r="AB2675" s="536"/>
    </row>
    <row r="2676" spans="1:28" s="503" customFormat="1" ht="15.75" customHeight="1">
      <c r="A2676" s="517" t="str">
        <f>IF(B2676&lt;&gt;"",IF(AND(B2676&gt;=_TM1,B2676&lt;=_TM2,OR(TH!L2676="1111",TH!M2676="1111")),TH!D2676,""),"")</f>
        <v/>
      </c>
      <c r="B2676" s="531">
        <f t="shared" si="231"/>
        <v>6</v>
      </c>
      <c r="C2676" s="315">
        <f t="shared" si="232"/>
        <v>42903</v>
      </c>
      <c r="D2676" s="315" t="s">
        <v>1366</v>
      </c>
      <c r="E2676" s="315">
        <v>42903</v>
      </c>
      <c r="F2676" s="249" t="s">
        <v>714</v>
      </c>
      <c r="G2676" s="314" t="s">
        <v>1260</v>
      </c>
      <c r="H2676" s="473" t="s">
        <v>1142</v>
      </c>
      <c r="I2676" s="307">
        <v>24</v>
      </c>
      <c r="J2676" s="307">
        <v>50395</v>
      </c>
      <c r="K2676" s="532">
        <f t="shared" si="234"/>
        <v>1209480</v>
      </c>
      <c r="L2676" s="534" t="s">
        <v>292</v>
      </c>
      <c r="M2676" s="534" t="s">
        <v>8</v>
      </c>
      <c r="N2676" s="525" t="str">
        <f>IF(AND('331-CT'!$E$7=TH!H2676,OR(L2676="331",M2676="331")),"331",IF(AND(OR(L2676="131",M2676="131"),H2676='131-CT'!$E$7),"131",""))</f>
        <v/>
      </c>
      <c r="O2676" s="525" t="str">
        <f>IF(AND($B2676&gt;='111'!$N$11,$B2676&lt;='111'!$O$11,OR($L2676=$O$7,$M2676=$O$7)),"x","")</f>
        <v/>
      </c>
      <c r="P2676" s="525" t="str">
        <f>IF(AND($L2676=$O$7,$B2676&lt;'111'!$N$11),"x","")</f>
        <v/>
      </c>
      <c r="Q2676" s="525" t="str">
        <f>IF(AND($M2676=$O$7,$B2676&lt;'111'!$N$11),"x","")</f>
        <v/>
      </c>
      <c r="R2676" s="525" t="str">
        <f>IF(ISERROR(FIND('112'!$M$9,G2676,1)),"",IF((AND(FIND('112'!$M$9,G2676,1)&gt;=1,$B2676&gt;='112'!$N$8,$B2676&lt;='112'!$O$8,OR($L2676='112'!$I$6,$M2676='112'!$I$6))),"x",""))</f>
        <v/>
      </c>
      <c r="S2676" s="525" t="str">
        <f>IF(ISERROR(FIND('112'!$M$9,G2676,1)),"",IF((AND(LEFT(G2676,2)=LEFT('112'!$M$9,2),B2676&lt;'112'!$N$8,$L2676='112'!$I$6)),"x",""))</f>
        <v/>
      </c>
      <c r="T2676" s="525" t="str">
        <f>IF(ISERROR(FIND('112'!$M$9,G2676,1)),"",IF((AND(RIGHT(G2676,2)=RIGHT('112'!$M$9,2),B2676&lt;'112'!$N$8,$M2676='112'!$I$6)),"x",""))</f>
        <v/>
      </c>
      <c r="U2676" s="525" t="str">
        <f>IF(AND(B2676&gt;='IN-NX'!$P$3,B2676&lt;='IN-NX'!$Q$3,'IN-NX'!$D$7=D2676,OR(LEFT(L2676,2)="15",AND(LEFT(M2676,2)&lt;&gt;"15",LEFT(M2676,2)&lt;&gt;"33"))),"x","")</f>
        <v/>
      </c>
      <c r="V2676" s="525" t="str">
        <f>IF(AND(OR(LEFT(TH!L2676,2)="15",LEFT(TH!M2676,2)="15"),'152-CT'!$J$8=TH!F2676),"x","")</f>
        <v/>
      </c>
      <c r="W2676" s="525" t="str">
        <f>IF(AND(OR(LEFT(TH!L2676,2)="15",LEFT(TH!M2676,2)="15"),TK!$E$7=TH!F2676),"x","")</f>
        <v/>
      </c>
      <c r="X2676" s="525" t="str">
        <f>IF(AND('341-CT'!$E$9=H2676,OR(LEFT(L2676,3)=$X$7,LEFT(M2676,3)=$X$7)),"x","")</f>
        <v/>
      </c>
      <c r="Y2676" s="525" t="str">
        <f>IF(OR(TH!L2676=TH!$Y$7,M2676=TH!$Y$7),"x","")</f>
        <v/>
      </c>
      <c r="Z2676" s="525" t="str">
        <f>IF(AND(B2676&lt;=NKC!$N$8,B2676&gt;=NKC!$M$8),"x","")</f>
        <v/>
      </c>
      <c r="AA2676" s="535">
        <v>2</v>
      </c>
      <c r="AB2676" s="536"/>
    </row>
    <row r="2677" spans="1:28" s="503" customFormat="1" ht="15.75" customHeight="1">
      <c r="A2677" s="517" t="str">
        <f>IF(B2677&lt;&gt;"",IF(AND(B2677&gt;=_TM1,B2677&lt;=_TM2,OR(TH!L2677="1111",TH!M2677="1111")),TH!D2677,""),"")</f>
        <v/>
      </c>
      <c r="B2677" s="531">
        <f t="shared" si="231"/>
        <v>6</v>
      </c>
      <c r="C2677" s="315">
        <f t="shared" si="232"/>
        <v>42903</v>
      </c>
      <c r="D2677" s="315" t="s">
        <v>1366</v>
      </c>
      <c r="E2677" s="315">
        <v>42903</v>
      </c>
      <c r="F2677" s="249" t="s">
        <v>1247</v>
      </c>
      <c r="G2677" s="314" t="s">
        <v>1260</v>
      </c>
      <c r="H2677" s="473" t="s">
        <v>1142</v>
      </c>
      <c r="I2677" s="307">
        <v>36</v>
      </c>
      <c r="J2677" s="307">
        <v>4596</v>
      </c>
      <c r="K2677" s="532">
        <f t="shared" si="234"/>
        <v>165456</v>
      </c>
      <c r="L2677" s="534" t="s">
        <v>292</v>
      </c>
      <c r="M2677" s="534" t="s">
        <v>8</v>
      </c>
      <c r="N2677" s="525" t="str">
        <f>IF(AND('331-CT'!$E$7=TH!H2677,OR(L2677="331",M2677="331")),"331",IF(AND(OR(L2677="131",M2677="131"),H2677='131-CT'!$E$7),"131",""))</f>
        <v/>
      </c>
      <c r="O2677" s="525" t="str">
        <f>IF(AND($B2677&gt;='111'!$N$11,$B2677&lt;='111'!$O$11,OR($L2677=$O$7,$M2677=$O$7)),"x","")</f>
        <v/>
      </c>
      <c r="P2677" s="525" t="str">
        <f>IF(AND($L2677=$O$7,$B2677&lt;'111'!$N$11),"x","")</f>
        <v/>
      </c>
      <c r="Q2677" s="525" t="str">
        <f>IF(AND($M2677=$O$7,$B2677&lt;'111'!$N$11),"x","")</f>
        <v/>
      </c>
      <c r="R2677" s="525" t="str">
        <f>IF(ISERROR(FIND('112'!$M$9,G2677,1)),"",IF((AND(FIND('112'!$M$9,G2677,1)&gt;=1,$B2677&gt;='112'!$N$8,$B2677&lt;='112'!$O$8,OR($L2677='112'!$I$6,$M2677='112'!$I$6))),"x",""))</f>
        <v/>
      </c>
      <c r="S2677" s="525" t="str">
        <f>IF(ISERROR(FIND('112'!$M$9,G2677,1)),"",IF((AND(LEFT(G2677,2)=LEFT('112'!$M$9,2),B2677&lt;'112'!$N$8,$L2677='112'!$I$6)),"x",""))</f>
        <v/>
      </c>
      <c r="T2677" s="525" t="str">
        <f>IF(ISERROR(FIND('112'!$M$9,G2677,1)),"",IF((AND(RIGHT(G2677,2)=RIGHT('112'!$M$9,2),B2677&lt;'112'!$N$8,$M2677='112'!$I$6)),"x",""))</f>
        <v/>
      </c>
      <c r="U2677" s="525" t="str">
        <f>IF(AND(B2677&gt;='IN-NX'!$P$3,B2677&lt;='IN-NX'!$Q$3,'IN-NX'!$D$7=D2677,OR(LEFT(L2677,2)="15",AND(LEFT(M2677,2)&lt;&gt;"15",LEFT(M2677,2)&lt;&gt;"33"))),"x","")</f>
        <v/>
      </c>
      <c r="V2677" s="525" t="str">
        <f>IF(AND(OR(LEFT(TH!L2677,2)="15",LEFT(TH!M2677,2)="15"),'152-CT'!$J$8=TH!F2677),"x","")</f>
        <v/>
      </c>
      <c r="W2677" s="525" t="str">
        <f>IF(AND(OR(LEFT(TH!L2677,2)="15",LEFT(TH!M2677,2)="15"),TK!$E$7=TH!F2677),"x","")</f>
        <v/>
      </c>
      <c r="X2677" s="525" t="str">
        <f>IF(AND('341-CT'!$E$9=H2677,OR(LEFT(L2677,3)=$X$7,LEFT(M2677,3)=$X$7)),"x","")</f>
        <v/>
      </c>
      <c r="Y2677" s="525" t="str">
        <f>IF(OR(TH!L2677=TH!$Y$7,M2677=TH!$Y$7),"x","")</f>
        <v/>
      </c>
      <c r="Z2677" s="525" t="str">
        <f>IF(AND(B2677&lt;=NKC!$N$8,B2677&gt;=NKC!$M$8),"x","")</f>
        <v/>
      </c>
      <c r="AA2677" s="535">
        <v>2</v>
      </c>
      <c r="AB2677" s="536"/>
    </row>
    <row r="2678" spans="1:28" s="503" customFormat="1" ht="15.75" customHeight="1">
      <c r="A2678" s="517" t="str">
        <f>IF(B2678&lt;&gt;"",IF(AND(B2678&gt;=_TM1,B2678&lt;=_TM2,OR(TH!L2678="1111",TH!M2678="1111")),TH!D2678,""),"")</f>
        <v/>
      </c>
      <c r="B2678" s="531">
        <f t="shared" si="231"/>
        <v>6</v>
      </c>
      <c r="C2678" s="315">
        <f t="shared" si="232"/>
        <v>42903</v>
      </c>
      <c r="D2678" s="315" t="s">
        <v>1366</v>
      </c>
      <c r="E2678" s="315">
        <v>42903</v>
      </c>
      <c r="F2678" s="249" t="s">
        <v>1248</v>
      </c>
      <c r="G2678" s="314" t="s">
        <v>1260</v>
      </c>
      <c r="H2678" s="473" t="s">
        <v>1142</v>
      </c>
      <c r="I2678" s="307">
        <v>24</v>
      </c>
      <c r="J2678" s="307">
        <v>18496</v>
      </c>
      <c r="K2678" s="532">
        <f t="shared" si="234"/>
        <v>443904</v>
      </c>
      <c r="L2678" s="534" t="s">
        <v>292</v>
      </c>
      <c r="M2678" s="534" t="s">
        <v>8</v>
      </c>
      <c r="N2678" s="525" t="str">
        <f>IF(AND('331-CT'!$E$7=TH!H2678,OR(L2678="331",M2678="331")),"331",IF(AND(OR(L2678="131",M2678="131"),H2678='131-CT'!$E$7),"131",""))</f>
        <v/>
      </c>
      <c r="O2678" s="525" t="str">
        <f>IF(AND($B2678&gt;='111'!$N$11,$B2678&lt;='111'!$O$11,OR($L2678=$O$7,$M2678=$O$7)),"x","")</f>
        <v/>
      </c>
      <c r="P2678" s="525" t="str">
        <f>IF(AND($L2678=$O$7,$B2678&lt;'111'!$N$11),"x","")</f>
        <v/>
      </c>
      <c r="Q2678" s="525" t="str">
        <f>IF(AND($M2678=$O$7,$B2678&lt;'111'!$N$11),"x","")</f>
        <v/>
      </c>
      <c r="R2678" s="525" t="str">
        <f>IF(ISERROR(FIND('112'!$M$9,G2678,1)),"",IF((AND(FIND('112'!$M$9,G2678,1)&gt;=1,$B2678&gt;='112'!$N$8,$B2678&lt;='112'!$O$8,OR($L2678='112'!$I$6,$M2678='112'!$I$6))),"x",""))</f>
        <v/>
      </c>
      <c r="S2678" s="525" t="str">
        <f>IF(ISERROR(FIND('112'!$M$9,G2678,1)),"",IF((AND(LEFT(G2678,2)=LEFT('112'!$M$9,2),B2678&lt;'112'!$N$8,$L2678='112'!$I$6)),"x",""))</f>
        <v/>
      </c>
      <c r="T2678" s="525" t="str">
        <f>IF(ISERROR(FIND('112'!$M$9,G2678,1)),"",IF((AND(RIGHT(G2678,2)=RIGHT('112'!$M$9,2),B2678&lt;'112'!$N$8,$M2678='112'!$I$6)),"x",""))</f>
        <v/>
      </c>
      <c r="U2678" s="525" t="str">
        <f>IF(AND(B2678&gt;='IN-NX'!$P$3,B2678&lt;='IN-NX'!$Q$3,'IN-NX'!$D$7=D2678,OR(LEFT(L2678,2)="15",AND(LEFT(M2678,2)&lt;&gt;"15",LEFT(M2678,2)&lt;&gt;"33"))),"x","")</f>
        <v/>
      </c>
      <c r="V2678" s="525" t="str">
        <f>IF(AND(OR(LEFT(TH!L2678,2)="15",LEFT(TH!M2678,2)="15"),'152-CT'!$J$8=TH!F2678),"x","")</f>
        <v/>
      </c>
      <c r="W2678" s="525" t="str">
        <f>IF(AND(OR(LEFT(TH!L2678,2)="15",LEFT(TH!M2678,2)="15"),TK!$E$7=TH!F2678),"x","")</f>
        <v/>
      </c>
      <c r="X2678" s="525" t="str">
        <f>IF(AND('341-CT'!$E$9=H2678,OR(LEFT(L2678,3)=$X$7,LEFT(M2678,3)=$X$7)),"x","")</f>
        <v/>
      </c>
      <c r="Y2678" s="525" t="str">
        <f>IF(OR(TH!L2678=TH!$Y$7,M2678=TH!$Y$7),"x","")</f>
        <v/>
      </c>
      <c r="Z2678" s="525" t="str">
        <f>IF(AND(B2678&lt;=NKC!$N$8,B2678&gt;=NKC!$M$8),"x","")</f>
        <v/>
      </c>
      <c r="AA2678" s="535">
        <v>2</v>
      </c>
      <c r="AB2678" s="536"/>
    </row>
    <row r="2679" spans="1:28" s="503" customFormat="1" ht="15.75" customHeight="1">
      <c r="A2679" s="517" t="str">
        <f>IF(B2679&lt;&gt;"",IF(AND(B2679&gt;=_TM1,B2679&lt;=_TM2,OR(TH!L2679="1111",TH!M2679="1111")),TH!D2679,""),"")</f>
        <v/>
      </c>
      <c r="B2679" s="531">
        <f t="shared" si="231"/>
        <v>6</v>
      </c>
      <c r="C2679" s="315">
        <f t="shared" si="232"/>
        <v>42903</v>
      </c>
      <c r="D2679" s="315" t="s">
        <v>1366</v>
      </c>
      <c r="E2679" s="315">
        <v>42903</v>
      </c>
      <c r="F2679" s="249" t="s">
        <v>1249</v>
      </c>
      <c r="G2679" s="314" t="s">
        <v>1260</v>
      </c>
      <c r="H2679" s="473" t="s">
        <v>1142</v>
      </c>
      <c r="I2679" s="307">
        <v>36</v>
      </c>
      <c r="J2679" s="307">
        <v>14651</v>
      </c>
      <c r="K2679" s="532">
        <f t="shared" si="234"/>
        <v>527436</v>
      </c>
      <c r="L2679" s="534" t="s">
        <v>292</v>
      </c>
      <c r="M2679" s="534" t="s">
        <v>8</v>
      </c>
      <c r="N2679" s="525" t="str">
        <f>IF(AND('331-CT'!$E$7=TH!H2679,OR(L2679="331",M2679="331")),"331",IF(AND(OR(L2679="131",M2679="131"),H2679='131-CT'!$E$7),"131",""))</f>
        <v/>
      </c>
      <c r="O2679" s="525" t="str">
        <f>IF(AND($B2679&gt;='111'!$N$11,$B2679&lt;='111'!$O$11,OR($L2679=$O$7,$M2679=$O$7)),"x","")</f>
        <v/>
      </c>
      <c r="P2679" s="525" t="str">
        <f>IF(AND($L2679=$O$7,$B2679&lt;'111'!$N$11),"x","")</f>
        <v/>
      </c>
      <c r="Q2679" s="525" t="str">
        <f>IF(AND($M2679=$O$7,$B2679&lt;'111'!$N$11),"x","")</f>
        <v/>
      </c>
      <c r="R2679" s="525" t="str">
        <f>IF(ISERROR(FIND('112'!$M$9,G2679,1)),"",IF((AND(FIND('112'!$M$9,G2679,1)&gt;=1,$B2679&gt;='112'!$N$8,$B2679&lt;='112'!$O$8,OR($L2679='112'!$I$6,$M2679='112'!$I$6))),"x",""))</f>
        <v/>
      </c>
      <c r="S2679" s="525" t="str">
        <f>IF(ISERROR(FIND('112'!$M$9,G2679,1)),"",IF((AND(LEFT(G2679,2)=LEFT('112'!$M$9,2),B2679&lt;'112'!$N$8,$L2679='112'!$I$6)),"x",""))</f>
        <v/>
      </c>
      <c r="T2679" s="525" t="str">
        <f>IF(ISERROR(FIND('112'!$M$9,G2679,1)),"",IF((AND(RIGHT(G2679,2)=RIGHT('112'!$M$9,2),B2679&lt;'112'!$N$8,$M2679='112'!$I$6)),"x",""))</f>
        <v/>
      </c>
      <c r="U2679" s="525" t="str">
        <f>IF(AND(B2679&gt;='IN-NX'!$P$3,B2679&lt;='IN-NX'!$Q$3,'IN-NX'!$D$7=D2679,OR(LEFT(L2679,2)="15",AND(LEFT(M2679,2)&lt;&gt;"15",LEFT(M2679,2)&lt;&gt;"33"))),"x","")</f>
        <v/>
      </c>
      <c r="V2679" s="525" t="str">
        <f>IF(AND(OR(LEFT(TH!L2679,2)="15",LEFT(TH!M2679,2)="15"),'152-CT'!$J$8=TH!F2679),"x","")</f>
        <v/>
      </c>
      <c r="W2679" s="525" t="str">
        <f>IF(AND(OR(LEFT(TH!L2679,2)="15",LEFT(TH!M2679,2)="15"),TK!$E$7=TH!F2679),"x","")</f>
        <v/>
      </c>
      <c r="X2679" s="525" t="str">
        <f>IF(AND('341-CT'!$E$9=H2679,OR(LEFT(L2679,3)=$X$7,LEFT(M2679,3)=$X$7)),"x","")</f>
        <v/>
      </c>
      <c r="Y2679" s="525" t="str">
        <f>IF(OR(TH!L2679=TH!$Y$7,M2679=TH!$Y$7),"x","")</f>
        <v/>
      </c>
      <c r="Z2679" s="525" t="str">
        <f>IF(AND(B2679&lt;=NKC!$N$8,B2679&gt;=NKC!$M$8),"x","")</f>
        <v/>
      </c>
      <c r="AA2679" s="535">
        <v>2</v>
      </c>
      <c r="AB2679" s="536"/>
    </row>
    <row r="2680" spans="1:28" s="503" customFormat="1" ht="15.75" customHeight="1">
      <c r="A2680" s="517" t="str">
        <f>IF(B2680&lt;&gt;"",IF(AND(B2680&gt;=_TM1,B2680&lt;=_TM2,OR(TH!L2680="1111",TH!M2680="1111")),TH!D2680,""),"")</f>
        <v/>
      </c>
      <c r="B2680" s="531">
        <f t="shared" si="231"/>
        <v>6</v>
      </c>
      <c r="C2680" s="315">
        <f t="shared" si="232"/>
        <v>42903</v>
      </c>
      <c r="D2680" s="315" t="s">
        <v>1366</v>
      </c>
      <c r="E2680" s="315">
        <v>42903</v>
      </c>
      <c r="F2680" s="249" t="s">
        <v>1171</v>
      </c>
      <c r="G2680" s="314" t="s">
        <v>1260</v>
      </c>
      <c r="H2680" s="473" t="s">
        <v>1142</v>
      </c>
      <c r="I2680" s="307">
        <v>12</v>
      </c>
      <c r="J2680" s="307">
        <v>22842</v>
      </c>
      <c r="K2680" s="532">
        <f t="shared" si="234"/>
        <v>274104</v>
      </c>
      <c r="L2680" s="534" t="s">
        <v>292</v>
      </c>
      <c r="M2680" s="534" t="s">
        <v>8</v>
      </c>
      <c r="N2680" s="525" t="str">
        <f>IF(AND('331-CT'!$E$7=TH!H2680,OR(L2680="331",M2680="331")),"331",IF(AND(OR(L2680="131",M2680="131"),H2680='131-CT'!$E$7),"131",""))</f>
        <v/>
      </c>
      <c r="O2680" s="525" t="str">
        <f>IF(AND($B2680&gt;='111'!$N$11,$B2680&lt;='111'!$O$11,OR($L2680=$O$7,$M2680=$O$7)),"x","")</f>
        <v/>
      </c>
      <c r="P2680" s="525" t="str">
        <f>IF(AND($L2680=$O$7,$B2680&lt;'111'!$N$11),"x","")</f>
        <v/>
      </c>
      <c r="Q2680" s="525" t="str">
        <f>IF(AND($M2680=$O$7,$B2680&lt;'111'!$N$11),"x","")</f>
        <v/>
      </c>
      <c r="R2680" s="525" t="str">
        <f>IF(ISERROR(FIND('112'!$M$9,G2680,1)),"",IF((AND(FIND('112'!$M$9,G2680,1)&gt;=1,$B2680&gt;='112'!$N$8,$B2680&lt;='112'!$O$8,OR($L2680='112'!$I$6,$M2680='112'!$I$6))),"x",""))</f>
        <v/>
      </c>
      <c r="S2680" s="525" t="str">
        <f>IF(ISERROR(FIND('112'!$M$9,G2680,1)),"",IF((AND(LEFT(G2680,2)=LEFT('112'!$M$9,2),B2680&lt;'112'!$N$8,$L2680='112'!$I$6)),"x",""))</f>
        <v/>
      </c>
      <c r="T2680" s="525" t="str">
        <f>IF(ISERROR(FIND('112'!$M$9,G2680,1)),"",IF((AND(RIGHT(G2680,2)=RIGHT('112'!$M$9,2),B2680&lt;'112'!$N$8,$M2680='112'!$I$6)),"x",""))</f>
        <v/>
      </c>
      <c r="U2680" s="525" t="str">
        <f>IF(AND(B2680&gt;='IN-NX'!$P$3,B2680&lt;='IN-NX'!$Q$3,'IN-NX'!$D$7=D2680,OR(LEFT(L2680,2)="15",AND(LEFT(M2680,2)&lt;&gt;"15",LEFT(M2680,2)&lt;&gt;"33"))),"x","")</f>
        <v/>
      </c>
      <c r="V2680" s="525" t="str">
        <f>IF(AND(OR(LEFT(TH!L2680,2)="15",LEFT(TH!M2680,2)="15"),'152-CT'!$J$8=TH!F2680),"x","")</f>
        <v/>
      </c>
      <c r="W2680" s="525" t="str">
        <f>IF(AND(OR(LEFT(TH!L2680,2)="15",LEFT(TH!M2680,2)="15"),TK!$E$7=TH!F2680),"x","")</f>
        <v/>
      </c>
      <c r="X2680" s="525" t="str">
        <f>IF(AND('341-CT'!$E$9=H2680,OR(LEFT(L2680,3)=$X$7,LEFT(M2680,3)=$X$7)),"x","")</f>
        <v/>
      </c>
      <c r="Y2680" s="525" t="str">
        <f>IF(OR(TH!L2680=TH!$Y$7,M2680=TH!$Y$7),"x","")</f>
        <v/>
      </c>
      <c r="Z2680" s="525" t="str">
        <f>IF(AND(B2680&lt;=NKC!$N$8,B2680&gt;=NKC!$M$8),"x","")</f>
        <v/>
      </c>
      <c r="AA2680" s="535">
        <v>2</v>
      </c>
      <c r="AB2680" s="536"/>
    </row>
    <row r="2681" spans="1:28" s="503" customFormat="1" ht="15.75" customHeight="1">
      <c r="A2681" s="517" t="str">
        <f>IF(B2681&lt;&gt;"",IF(AND(B2681&gt;=_TM1,B2681&lt;=_TM2,OR(TH!L2681="1111",TH!M2681="1111")),TH!D2681,""),"")</f>
        <v/>
      </c>
      <c r="B2681" s="531">
        <f t="shared" si="231"/>
        <v>6</v>
      </c>
      <c r="C2681" s="315">
        <f t="shared" si="232"/>
        <v>42903</v>
      </c>
      <c r="D2681" s="315" t="s">
        <v>1366</v>
      </c>
      <c r="E2681" s="315">
        <v>42903</v>
      </c>
      <c r="F2681" s="249" t="s">
        <v>724</v>
      </c>
      <c r="G2681" s="314" t="s">
        <v>1260</v>
      </c>
      <c r="H2681" s="473" t="s">
        <v>1142</v>
      </c>
      <c r="I2681" s="307">
        <v>84</v>
      </c>
      <c r="J2681" s="307">
        <v>8399</v>
      </c>
      <c r="K2681" s="532">
        <f t="shared" si="234"/>
        <v>705516</v>
      </c>
      <c r="L2681" s="534" t="s">
        <v>292</v>
      </c>
      <c r="M2681" s="534" t="s">
        <v>8</v>
      </c>
      <c r="N2681" s="525" t="str">
        <f>IF(AND('331-CT'!$E$7=TH!H2681,OR(L2681="331",M2681="331")),"331",IF(AND(OR(L2681="131",M2681="131"),H2681='131-CT'!$E$7),"131",""))</f>
        <v/>
      </c>
      <c r="O2681" s="525" t="str">
        <f>IF(AND($B2681&gt;='111'!$N$11,$B2681&lt;='111'!$O$11,OR($L2681=$O$7,$M2681=$O$7)),"x","")</f>
        <v/>
      </c>
      <c r="P2681" s="525" t="str">
        <f>IF(AND($L2681=$O$7,$B2681&lt;'111'!$N$11),"x","")</f>
        <v/>
      </c>
      <c r="Q2681" s="525" t="str">
        <f>IF(AND($M2681=$O$7,$B2681&lt;'111'!$N$11),"x","")</f>
        <v/>
      </c>
      <c r="R2681" s="525" t="str">
        <f>IF(ISERROR(FIND('112'!$M$9,G2681,1)),"",IF((AND(FIND('112'!$M$9,G2681,1)&gt;=1,$B2681&gt;='112'!$N$8,$B2681&lt;='112'!$O$8,OR($L2681='112'!$I$6,$M2681='112'!$I$6))),"x",""))</f>
        <v/>
      </c>
      <c r="S2681" s="525" t="str">
        <f>IF(ISERROR(FIND('112'!$M$9,G2681,1)),"",IF((AND(LEFT(G2681,2)=LEFT('112'!$M$9,2),B2681&lt;'112'!$N$8,$L2681='112'!$I$6)),"x",""))</f>
        <v/>
      </c>
      <c r="T2681" s="525" t="str">
        <f>IF(ISERROR(FIND('112'!$M$9,G2681,1)),"",IF((AND(RIGHT(G2681,2)=RIGHT('112'!$M$9,2),B2681&lt;'112'!$N$8,$M2681='112'!$I$6)),"x",""))</f>
        <v/>
      </c>
      <c r="U2681" s="525" t="str">
        <f>IF(AND(B2681&gt;='IN-NX'!$P$3,B2681&lt;='IN-NX'!$Q$3,'IN-NX'!$D$7=D2681,OR(LEFT(L2681,2)="15",AND(LEFT(M2681,2)&lt;&gt;"15",LEFT(M2681,2)&lt;&gt;"33"))),"x","")</f>
        <v/>
      </c>
      <c r="V2681" s="525" t="str">
        <f>IF(AND(OR(LEFT(TH!L2681,2)="15",LEFT(TH!M2681,2)="15"),'152-CT'!$J$8=TH!F2681),"x","")</f>
        <v/>
      </c>
      <c r="W2681" s="525" t="str">
        <f>IF(AND(OR(LEFT(TH!L2681,2)="15",LEFT(TH!M2681,2)="15"),TK!$E$7=TH!F2681),"x","")</f>
        <v/>
      </c>
      <c r="X2681" s="525" t="str">
        <f>IF(AND('341-CT'!$E$9=H2681,OR(LEFT(L2681,3)=$X$7,LEFT(M2681,3)=$X$7)),"x","")</f>
        <v/>
      </c>
      <c r="Y2681" s="525" t="str">
        <f>IF(OR(TH!L2681=TH!$Y$7,M2681=TH!$Y$7),"x","")</f>
        <v/>
      </c>
      <c r="Z2681" s="525" t="str">
        <f>IF(AND(B2681&lt;=NKC!$N$8,B2681&gt;=NKC!$M$8),"x","")</f>
        <v/>
      </c>
      <c r="AA2681" s="535">
        <v>2</v>
      </c>
      <c r="AB2681" s="536"/>
    </row>
    <row r="2682" spans="1:28" s="503" customFormat="1" ht="15.75" customHeight="1">
      <c r="A2682" s="517" t="str">
        <f>IF(B2682&lt;&gt;"",IF(AND(B2682&gt;=_TM1,B2682&lt;=_TM2,OR(TH!L2682="1111",TH!M2682="1111")),TH!D2682,""),"")</f>
        <v/>
      </c>
      <c r="B2682" s="531">
        <f t="shared" si="231"/>
        <v>6</v>
      </c>
      <c r="C2682" s="315">
        <f t="shared" si="232"/>
        <v>42903</v>
      </c>
      <c r="D2682" s="315" t="s">
        <v>1366</v>
      </c>
      <c r="E2682" s="315">
        <v>42903</v>
      </c>
      <c r="F2682" s="249" t="s">
        <v>1170</v>
      </c>
      <c r="G2682" s="314" t="s">
        <v>1260</v>
      </c>
      <c r="H2682" s="473" t="s">
        <v>1142</v>
      </c>
      <c r="I2682" s="307">
        <v>12</v>
      </c>
      <c r="J2682" s="307">
        <v>10437</v>
      </c>
      <c r="K2682" s="532">
        <f t="shared" si="234"/>
        <v>125244</v>
      </c>
      <c r="L2682" s="534" t="s">
        <v>292</v>
      </c>
      <c r="M2682" s="534" t="s">
        <v>8</v>
      </c>
      <c r="N2682" s="525" t="str">
        <f>IF(AND('331-CT'!$E$7=TH!H2682,OR(L2682="331",M2682="331")),"331",IF(AND(OR(L2682="131",M2682="131"),H2682='131-CT'!$E$7),"131",""))</f>
        <v/>
      </c>
      <c r="O2682" s="525" t="str">
        <f>IF(AND($B2682&gt;='111'!$N$11,$B2682&lt;='111'!$O$11,OR($L2682=$O$7,$M2682=$O$7)),"x","")</f>
        <v/>
      </c>
      <c r="P2682" s="525" t="str">
        <f>IF(AND($L2682=$O$7,$B2682&lt;'111'!$N$11),"x","")</f>
        <v/>
      </c>
      <c r="Q2682" s="525" t="str">
        <f>IF(AND($M2682=$O$7,$B2682&lt;'111'!$N$11),"x","")</f>
        <v/>
      </c>
      <c r="R2682" s="525" t="str">
        <f>IF(ISERROR(FIND('112'!$M$9,G2682,1)),"",IF((AND(FIND('112'!$M$9,G2682,1)&gt;=1,$B2682&gt;='112'!$N$8,$B2682&lt;='112'!$O$8,OR($L2682='112'!$I$6,$M2682='112'!$I$6))),"x",""))</f>
        <v/>
      </c>
      <c r="S2682" s="525" t="str">
        <f>IF(ISERROR(FIND('112'!$M$9,G2682,1)),"",IF((AND(LEFT(G2682,2)=LEFT('112'!$M$9,2),B2682&lt;'112'!$N$8,$L2682='112'!$I$6)),"x",""))</f>
        <v/>
      </c>
      <c r="T2682" s="525" t="str">
        <f>IF(ISERROR(FIND('112'!$M$9,G2682,1)),"",IF((AND(RIGHT(G2682,2)=RIGHT('112'!$M$9,2),B2682&lt;'112'!$N$8,$M2682='112'!$I$6)),"x",""))</f>
        <v/>
      </c>
      <c r="U2682" s="525" t="str">
        <f>IF(AND(B2682&gt;='IN-NX'!$P$3,B2682&lt;='IN-NX'!$Q$3,'IN-NX'!$D$7=D2682,OR(LEFT(L2682,2)="15",AND(LEFT(M2682,2)&lt;&gt;"15",LEFT(M2682,2)&lt;&gt;"33"))),"x","")</f>
        <v/>
      </c>
      <c r="V2682" s="525" t="str">
        <f>IF(AND(OR(LEFT(TH!L2682,2)="15",LEFT(TH!M2682,2)="15"),'152-CT'!$J$8=TH!F2682),"x","")</f>
        <v/>
      </c>
      <c r="W2682" s="525" t="str">
        <f>IF(AND(OR(LEFT(TH!L2682,2)="15",LEFT(TH!M2682,2)="15"),TK!$E$7=TH!F2682),"x","")</f>
        <v/>
      </c>
      <c r="X2682" s="525" t="str">
        <f>IF(AND('341-CT'!$E$9=H2682,OR(LEFT(L2682,3)=$X$7,LEFT(M2682,3)=$X$7)),"x","")</f>
        <v/>
      </c>
      <c r="Y2682" s="525" t="str">
        <f>IF(OR(TH!L2682=TH!$Y$7,M2682=TH!$Y$7),"x","")</f>
        <v/>
      </c>
      <c r="Z2682" s="525" t="str">
        <f>IF(AND(B2682&lt;=NKC!$N$8,B2682&gt;=NKC!$M$8),"x","")</f>
        <v/>
      </c>
      <c r="AA2682" s="535">
        <v>2</v>
      </c>
      <c r="AB2682" s="536"/>
    </row>
    <row r="2683" spans="1:28" s="503" customFormat="1" ht="15.75" customHeight="1">
      <c r="A2683" s="517" t="str">
        <f>IF(B2683&lt;&gt;"",IF(AND(B2683&gt;=_TM1,B2683&lt;=_TM2,OR(TH!L2683="1111",TH!M2683="1111")),TH!D2683,""),"")</f>
        <v/>
      </c>
      <c r="B2683" s="531">
        <f t="shared" si="231"/>
        <v>6</v>
      </c>
      <c r="C2683" s="315">
        <f t="shared" si="232"/>
        <v>42903</v>
      </c>
      <c r="D2683" s="315" t="s">
        <v>1367</v>
      </c>
      <c r="E2683" s="315">
        <v>42903</v>
      </c>
      <c r="F2683" s="249" t="s">
        <v>726</v>
      </c>
      <c r="G2683" s="314" t="s">
        <v>1260</v>
      </c>
      <c r="H2683" s="473" t="s">
        <v>1142</v>
      </c>
      <c r="I2683" s="307">
        <v>18</v>
      </c>
      <c r="J2683" s="307">
        <v>8000</v>
      </c>
      <c r="K2683" s="532">
        <f t="shared" si="234"/>
        <v>144000</v>
      </c>
      <c r="L2683" s="534" t="s">
        <v>292</v>
      </c>
      <c r="M2683" s="534" t="s">
        <v>8</v>
      </c>
      <c r="N2683" s="525" t="str">
        <f>IF(AND('331-CT'!$E$7=TH!H2683,OR(L2683="331",M2683="331")),"331",IF(AND(OR(L2683="131",M2683="131"),H2683='131-CT'!$E$7),"131",""))</f>
        <v/>
      </c>
      <c r="O2683" s="525" t="str">
        <f>IF(AND($B2683&gt;='111'!$N$11,$B2683&lt;='111'!$O$11,OR($L2683=$O$7,$M2683=$O$7)),"x","")</f>
        <v/>
      </c>
      <c r="P2683" s="525" t="str">
        <f>IF(AND($L2683=$O$7,$B2683&lt;'111'!$N$11),"x","")</f>
        <v/>
      </c>
      <c r="Q2683" s="525" t="str">
        <f>IF(AND($M2683=$O$7,$B2683&lt;'111'!$N$11),"x","")</f>
        <v/>
      </c>
      <c r="R2683" s="525" t="str">
        <f>IF(ISERROR(FIND('112'!$M$9,G2683,1)),"",IF((AND(FIND('112'!$M$9,G2683,1)&gt;=1,$B2683&gt;='112'!$N$8,$B2683&lt;='112'!$O$8,OR($L2683='112'!$I$6,$M2683='112'!$I$6))),"x",""))</f>
        <v/>
      </c>
      <c r="S2683" s="525" t="str">
        <f>IF(ISERROR(FIND('112'!$M$9,G2683,1)),"",IF((AND(LEFT(G2683,2)=LEFT('112'!$M$9,2),B2683&lt;'112'!$N$8,$L2683='112'!$I$6)),"x",""))</f>
        <v/>
      </c>
      <c r="T2683" s="525" t="str">
        <f>IF(ISERROR(FIND('112'!$M$9,G2683,1)),"",IF((AND(RIGHT(G2683,2)=RIGHT('112'!$M$9,2),B2683&lt;'112'!$N$8,$M2683='112'!$I$6)),"x",""))</f>
        <v/>
      </c>
      <c r="U2683" s="525" t="str">
        <f>IF(AND(B2683&gt;='IN-NX'!$P$3,B2683&lt;='IN-NX'!$Q$3,'IN-NX'!$D$7=D2683,OR(LEFT(L2683,2)="15",AND(LEFT(M2683,2)&lt;&gt;"15",LEFT(M2683,2)&lt;&gt;"33"))),"x","")</f>
        <v/>
      </c>
      <c r="V2683" s="525" t="str">
        <f>IF(AND(OR(LEFT(TH!L2683,2)="15",LEFT(TH!M2683,2)="15"),'152-CT'!$J$8=TH!F2683),"x","")</f>
        <v/>
      </c>
      <c r="W2683" s="525" t="str">
        <f>IF(AND(OR(LEFT(TH!L2683,2)="15",LEFT(TH!M2683,2)="15"),TK!$E$7=TH!F2683),"x","")</f>
        <v/>
      </c>
      <c r="X2683" s="525" t="str">
        <f>IF(AND('341-CT'!$E$9=H2683,OR(LEFT(L2683,3)=$X$7,LEFT(M2683,3)=$X$7)),"x","")</f>
        <v/>
      </c>
      <c r="Y2683" s="525" t="str">
        <f>IF(OR(TH!L2683=TH!$Y$7,M2683=TH!$Y$7),"x","")</f>
        <v/>
      </c>
      <c r="Z2683" s="525" t="str">
        <f>IF(AND(B2683&lt;=NKC!$N$8,B2683&gt;=NKC!$M$8),"x","")</f>
        <v/>
      </c>
      <c r="AA2683" s="535">
        <v>2</v>
      </c>
      <c r="AB2683" s="536"/>
    </row>
    <row r="2684" spans="1:28" s="503" customFormat="1" ht="15.75" customHeight="1">
      <c r="A2684" s="517" t="str">
        <f>IF(B2684&lt;&gt;"",IF(AND(B2684&gt;=_TM1,B2684&lt;=_TM2,OR(TH!L2684="1111",TH!M2684="1111")),TH!D2684,""),"")</f>
        <v/>
      </c>
      <c r="B2684" s="531">
        <f t="shared" si="231"/>
        <v>6</v>
      </c>
      <c r="C2684" s="315">
        <f t="shared" si="232"/>
        <v>42903</v>
      </c>
      <c r="D2684" s="315" t="s">
        <v>1367</v>
      </c>
      <c r="E2684" s="315">
        <v>42903</v>
      </c>
      <c r="F2684" s="249" t="s">
        <v>723</v>
      </c>
      <c r="G2684" s="314" t="s">
        <v>1260</v>
      </c>
      <c r="H2684" s="473" t="s">
        <v>1142</v>
      </c>
      <c r="I2684" s="307">
        <v>18</v>
      </c>
      <c r="J2684" s="307">
        <v>10724</v>
      </c>
      <c r="K2684" s="532">
        <f t="shared" si="234"/>
        <v>193032</v>
      </c>
      <c r="L2684" s="534" t="s">
        <v>292</v>
      </c>
      <c r="M2684" s="534" t="s">
        <v>8</v>
      </c>
      <c r="N2684" s="525" t="str">
        <f>IF(AND('331-CT'!$E$7=TH!H2684,OR(L2684="331",M2684="331")),"331",IF(AND(OR(L2684="131",M2684="131"),H2684='131-CT'!$E$7),"131",""))</f>
        <v/>
      </c>
      <c r="O2684" s="525" t="str">
        <f>IF(AND($B2684&gt;='111'!$N$11,$B2684&lt;='111'!$O$11,OR($L2684=$O$7,$M2684=$O$7)),"x","")</f>
        <v/>
      </c>
      <c r="P2684" s="525" t="str">
        <f>IF(AND($L2684=$O$7,$B2684&lt;'111'!$N$11),"x","")</f>
        <v/>
      </c>
      <c r="Q2684" s="525" t="str">
        <f>IF(AND($M2684=$O$7,$B2684&lt;'111'!$N$11),"x","")</f>
        <v/>
      </c>
      <c r="R2684" s="525" t="str">
        <f>IF(ISERROR(FIND('112'!$M$9,G2684,1)),"",IF((AND(FIND('112'!$M$9,G2684,1)&gt;=1,$B2684&gt;='112'!$N$8,$B2684&lt;='112'!$O$8,OR($L2684='112'!$I$6,$M2684='112'!$I$6))),"x",""))</f>
        <v/>
      </c>
      <c r="S2684" s="525" t="str">
        <f>IF(ISERROR(FIND('112'!$M$9,G2684,1)),"",IF((AND(LEFT(G2684,2)=LEFT('112'!$M$9,2),B2684&lt;'112'!$N$8,$L2684='112'!$I$6)),"x",""))</f>
        <v/>
      </c>
      <c r="T2684" s="525" t="str">
        <f>IF(ISERROR(FIND('112'!$M$9,G2684,1)),"",IF((AND(RIGHT(G2684,2)=RIGHT('112'!$M$9,2),B2684&lt;'112'!$N$8,$M2684='112'!$I$6)),"x",""))</f>
        <v/>
      </c>
      <c r="U2684" s="525" t="str">
        <f>IF(AND(B2684&gt;='IN-NX'!$P$3,B2684&lt;='IN-NX'!$Q$3,'IN-NX'!$D$7=D2684,OR(LEFT(L2684,2)="15",AND(LEFT(M2684,2)&lt;&gt;"15",LEFT(M2684,2)&lt;&gt;"33"))),"x","")</f>
        <v/>
      </c>
      <c r="V2684" s="525" t="str">
        <f>IF(AND(OR(LEFT(TH!L2684,2)="15",LEFT(TH!M2684,2)="15"),'152-CT'!$J$8=TH!F2684),"x","")</f>
        <v/>
      </c>
      <c r="W2684" s="525" t="str">
        <f>IF(AND(OR(LEFT(TH!L2684,2)="15",LEFT(TH!M2684,2)="15"),TK!$E$7=TH!F2684),"x","")</f>
        <v/>
      </c>
      <c r="X2684" s="525" t="str">
        <f>IF(AND('341-CT'!$E$9=H2684,OR(LEFT(L2684,3)=$X$7,LEFT(M2684,3)=$X$7)),"x","")</f>
        <v/>
      </c>
      <c r="Y2684" s="525" t="str">
        <f>IF(OR(TH!L2684=TH!$Y$7,M2684=TH!$Y$7),"x","")</f>
        <v/>
      </c>
      <c r="Z2684" s="525" t="str">
        <f>IF(AND(B2684&lt;=NKC!$N$8,B2684&gt;=NKC!$M$8),"x","")</f>
        <v/>
      </c>
      <c r="AA2684" s="535">
        <v>2</v>
      </c>
      <c r="AB2684" s="536"/>
    </row>
    <row r="2685" spans="1:28" s="503" customFormat="1" ht="15.75" customHeight="1">
      <c r="A2685" s="517" t="str">
        <f>IF(B2685&lt;&gt;"",IF(AND(B2685&gt;=_TM1,B2685&lt;=_TM2,OR(TH!L2685="1111",TH!M2685="1111")),TH!D2685,""),"")</f>
        <v/>
      </c>
      <c r="B2685" s="531">
        <f t="shared" si="231"/>
        <v>6</v>
      </c>
      <c r="C2685" s="315">
        <f t="shared" si="232"/>
        <v>42903</v>
      </c>
      <c r="D2685" s="315" t="s">
        <v>1367</v>
      </c>
      <c r="E2685" s="315">
        <v>42903</v>
      </c>
      <c r="F2685" s="249" t="s">
        <v>1250</v>
      </c>
      <c r="G2685" s="314" t="s">
        <v>1260</v>
      </c>
      <c r="H2685" s="473" t="s">
        <v>1142</v>
      </c>
      <c r="I2685" s="307">
        <v>8</v>
      </c>
      <c r="J2685" s="307">
        <v>25765</v>
      </c>
      <c r="K2685" s="532">
        <f t="shared" si="234"/>
        <v>206120</v>
      </c>
      <c r="L2685" s="534" t="s">
        <v>292</v>
      </c>
      <c r="M2685" s="534" t="s">
        <v>8</v>
      </c>
      <c r="N2685" s="525" t="str">
        <f>IF(AND('331-CT'!$E$7=TH!H2685,OR(L2685="331",M2685="331")),"331",IF(AND(OR(L2685="131",M2685="131"),H2685='131-CT'!$E$7),"131",""))</f>
        <v/>
      </c>
      <c r="O2685" s="525" t="str">
        <f>IF(AND($B2685&gt;='111'!$N$11,$B2685&lt;='111'!$O$11,OR($L2685=$O$7,$M2685=$O$7)),"x","")</f>
        <v/>
      </c>
      <c r="P2685" s="525" t="str">
        <f>IF(AND($L2685=$O$7,$B2685&lt;'111'!$N$11),"x","")</f>
        <v/>
      </c>
      <c r="Q2685" s="525" t="str">
        <f>IF(AND($M2685=$O$7,$B2685&lt;'111'!$N$11),"x","")</f>
        <v/>
      </c>
      <c r="R2685" s="525" t="str">
        <f>IF(ISERROR(FIND('112'!$M$9,G2685,1)),"",IF((AND(FIND('112'!$M$9,G2685,1)&gt;=1,$B2685&gt;='112'!$N$8,$B2685&lt;='112'!$O$8,OR($L2685='112'!$I$6,$M2685='112'!$I$6))),"x",""))</f>
        <v/>
      </c>
      <c r="S2685" s="525" t="str">
        <f>IF(ISERROR(FIND('112'!$M$9,G2685,1)),"",IF((AND(LEFT(G2685,2)=LEFT('112'!$M$9,2),B2685&lt;'112'!$N$8,$L2685='112'!$I$6)),"x",""))</f>
        <v/>
      </c>
      <c r="T2685" s="525" t="str">
        <f>IF(ISERROR(FIND('112'!$M$9,G2685,1)),"",IF((AND(RIGHT(G2685,2)=RIGHT('112'!$M$9,2),B2685&lt;'112'!$N$8,$M2685='112'!$I$6)),"x",""))</f>
        <v/>
      </c>
      <c r="U2685" s="525" t="str">
        <f>IF(AND(B2685&gt;='IN-NX'!$P$3,B2685&lt;='IN-NX'!$Q$3,'IN-NX'!$D$7=D2685,OR(LEFT(L2685,2)="15",AND(LEFT(M2685,2)&lt;&gt;"15",LEFT(M2685,2)&lt;&gt;"33"))),"x","")</f>
        <v/>
      </c>
      <c r="V2685" s="525" t="str">
        <f>IF(AND(OR(LEFT(TH!L2685,2)="15",LEFT(TH!M2685,2)="15"),'152-CT'!$J$8=TH!F2685),"x","")</f>
        <v/>
      </c>
      <c r="W2685" s="525" t="str">
        <f>IF(AND(OR(LEFT(TH!L2685,2)="15",LEFT(TH!M2685,2)="15"),TK!$E$7=TH!F2685),"x","")</f>
        <v/>
      </c>
      <c r="X2685" s="525" t="str">
        <f>IF(AND('341-CT'!$E$9=H2685,OR(LEFT(L2685,3)=$X$7,LEFT(M2685,3)=$X$7)),"x","")</f>
        <v/>
      </c>
      <c r="Y2685" s="525" t="str">
        <f>IF(OR(TH!L2685=TH!$Y$7,M2685=TH!$Y$7),"x","")</f>
        <v/>
      </c>
      <c r="Z2685" s="525" t="str">
        <f>IF(AND(B2685&lt;=NKC!$N$8,B2685&gt;=NKC!$M$8),"x","")</f>
        <v/>
      </c>
      <c r="AA2685" s="535">
        <v>2</v>
      </c>
      <c r="AB2685" s="536"/>
    </row>
    <row r="2686" spans="1:28" s="503" customFormat="1" ht="15.75" customHeight="1">
      <c r="A2686" s="517" t="str">
        <f>IF(B2686&lt;&gt;"",IF(AND(B2686&gt;=_TM1,B2686&lt;=_TM2,OR(TH!L2686="1111",TH!M2686="1111")),TH!D2686,""),"")</f>
        <v/>
      </c>
      <c r="B2686" s="531">
        <f t="shared" si="231"/>
        <v>6</v>
      </c>
      <c r="C2686" s="315">
        <f t="shared" si="232"/>
        <v>42903</v>
      </c>
      <c r="D2686" s="315" t="s">
        <v>1367</v>
      </c>
      <c r="E2686" s="315">
        <v>42903</v>
      </c>
      <c r="F2686" s="249" t="s">
        <v>1167</v>
      </c>
      <c r="G2686" s="314" t="s">
        <v>1260</v>
      </c>
      <c r="H2686" s="473" t="s">
        <v>1142</v>
      </c>
      <c r="I2686" s="307">
        <v>18</v>
      </c>
      <c r="J2686" s="307">
        <v>8384</v>
      </c>
      <c r="K2686" s="532">
        <f t="shared" si="234"/>
        <v>150912</v>
      </c>
      <c r="L2686" s="534" t="s">
        <v>292</v>
      </c>
      <c r="M2686" s="534" t="s">
        <v>8</v>
      </c>
      <c r="N2686" s="525" t="str">
        <f>IF(AND('331-CT'!$E$7=TH!H2686,OR(L2686="331",M2686="331")),"331",IF(AND(OR(L2686="131",M2686="131"),H2686='131-CT'!$E$7),"131",""))</f>
        <v/>
      </c>
      <c r="O2686" s="525" t="str">
        <f>IF(AND($B2686&gt;='111'!$N$11,$B2686&lt;='111'!$O$11,OR($L2686=$O$7,$M2686=$O$7)),"x","")</f>
        <v/>
      </c>
      <c r="P2686" s="525" t="str">
        <f>IF(AND($L2686=$O$7,$B2686&lt;'111'!$N$11),"x","")</f>
        <v/>
      </c>
      <c r="Q2686" s="525" t="str">
        <f>IF(AND($M2686=$O$7,$B2686&lt;'111'!$N$11),"x","")</f>
        <v/>
      </c>
      <c r="R2686" s="525" t="str">
        <f>IF(ISERROR(FIND('112'!$M$9,G2686,1)),"",IF((AND(FIND('112'!$M$9,G2686,1)&gt;=1,$B2686&gt;='112'!$N$8,$B2686&lt;='112'!$O$8,OR($L2686='112'!$I$6,$M2686='112'!$I$6))),"x",""))</f>
        <v/>
      </c>
      <c r="S2686" s="525" t="str">
        <f>IF(ISERROR(FIND('112'!$M$9,G2686,1)),"",IF((AND(LEFT(G2686,2)=LEFT('112'!$M$9,2),B2686&lt;'112'!$N$8,$L2686='112'!$I$6)),"x",""))</f>
        <v/>
      </c>
      <c r="T2686" s="525" t="str">
        <f>IF(ISERROR(FIND('112'!$M$9,G2686,1)),"",IF((AND(RIGHT(G2686,2)=RIGHT('112'!$M$9,2),B2686&lt;'112'!$N$8,$M2686='112'!$I$6)),"x",""))</f>
        <v/>
      </c>
      <c r="U2686" s="525" t="str">
        <f>IF(AND(B2686&gt;='IN-NX'!$P$3,B2686&lt;='IN-NX'!$Q$3,'IN-NX'!$D$7=D2686,OR(LEFT(L2686,2)="15",AND(LEFT(M2686,2)&lt;&gt;"15",LEFT(M2686,2)&lt;&gt;"33"))),"x","")</f>
        <v/>
      </c>
      <c r="V2686" s="525" t="str">
        <f>IF(AND(OR(LEFT(TH!L2686,2)="15",LEFT(TH!M2686,2)="15"),'152-CT'!$J$8=TH!F2686),"x","")</f>
        <v/>
      </c>
      <c r="W2686" s="525" t="str">
        <f>IF(AND(OR(LEFT(TH!L2686,2)="15",LEFT(TH!M2686,2)="15"),TK!$E$7=TH!F2686),"x","")</f>
        <v/>
      </c>
      <c r="X2686" s="525" t="str">
        <f>IF(AND('341-CT'!$E$9=H2686,OR(LEFT(L2686,3)=$X$7,LEFT(M2686,3)=$X$7)),"x","")</f>
        <v/>
      </c>
      <c r="Y2686" s="525" t="str">
        <f>IF(OR(TH!L2686=TH!$Y$7,M2686=TH!$Y$7),"x","")</f>
        <v/>
      </c>
      <c r="Z2686" s="525" t="str">
        <f>IF(AND(B2686&lt;=NKC!$N$8,B2686&gt;=NKC!$M$8),"x","")</f>
        <v/>
      </c>
      <c r="AA2686" s="535">
        <v>2</v>
      </c>
      <c r="AB2686" s="536"/>
    </row>
    <row r="2687" spans="1:28" s="503" customFormat="1" ht="15.75" customHeight="1">
      <c r="A2687" s="517" t="str">
        <f>IF(B2687&lt;&gt;"",IF(AND(B2687&gt;=_TM1,B2687&lt;=_TM2,OR(TH!L2687="1111",TH!M2687="1111")),TH!D2687,""),"")</f>
        <v/>
      </c>
      <c r="B2687" s="531">
        <f t="shared" si="231"/>
        <v>6</v>
      </c>
      <c r="C2687" s="315">
        <f t="shared" si="232"/>
        <v>42903</v>
      </c>
      <c r="D2687" s="315" t="s">
        <v>1367</v>
      </c>
      <c r="E2687" s="315">
        <v>42903</v>
      </c>
      <c r="F2687" s="249" t="s">
        <v>1164</v>
      </c>
      <c r="G2687" s="314" t="s">
        <v>1260</v>
      </c>
      <c r="H2687" s="473" t="s">
        <v>1142</v>
      </c>
      <c r="I2687" s="307">
        <v>725</v>
      </c>
      <c r="J2687" s="307">
        <v>11221</v>
      </c>
      <c r="K2687" s="532">
        <f t="shared" si="234"/>
        <v>8135225</v>
      </c>
      <c r="L2687" s="534" t="s">
        <v>292</v>
      </c>
      <c r="M2687" s="534" t="s">
        <v>8</v>
      </c>
      <c r="N2687" s="525" t="str">
        <f>IF(AND('331-CT'!$E$7=TH!H2687,OR(L2687="331",M2687="331")),"331",IF(AND(OR(L2687="131",M2687="131"),H2687='131-CT'!$E$7),"131",""))</f>
        <v/>
      </c>
      <c r="O2687" s="525" t="str">
        <f>IF(AND($B2687&gt;='111'!$N$11,$B2687&lt;='111'!$O$11,OR($L2687=$O$7,$M2687=$O$7)),"x","")</f>
        <v/>
      </c>
      <c r="P2687" s="525" t="str">
        <f>IF(AND($L2687=$O$7,$B2687&lt;'111'!$N$11),"x","")</f>
        <v/>
      </c>
      <c r="Q2687" s="525" t="str">
        <f>IF(AND($M2687=$O$7,$B2687&lt;'111'!$N$11),"x","")</f>
        <v/>
      </c>
      <c r="R2687" s="525" t="str">
        <f>IF(ISERROR(FIND('112'!$M$9,G2687,1)),"",IF((AND(FIND('112'!$M$9,G2687,1)&gt;=1,$B2687&gt;='112'!$N$8,$B2687&lt;='112'!$O$8,OR($L2687='112'!$I$6,$M2687='112'!$I$6))),"x",""))</f>
        <v/>
      </c>
      <c r="S2687" s="525" t="str">
        <f>IF(ISERROR(FIND('112'!$M$9,G2687,1)),"",IF((AND(LEFT(G2687,2)=LEFT('112'!$M$9,2),B2687&lt;'112'!$N$8,$L2687='112'!$I$6)),"x",""))</f>
        <v/>
      </c>
      <c r="T2687" s="525" t="str">
        <f>IF(ISERROR(FIND('112'!$M$9,G2687,1)),"",IF((AND(RIGHT(G2687,2)=RIGHT('112'!$M$9,2),B2687&lt;'112'!$N$8,$M2687='112'!$I$6)),"x",""))</f>
        <v/>
      </c>
      <c r="U2687" s="525" t="str">
        <f>IF(AND(B2687&gt;='IN-NX'!$P$3,B2687&lt;='IN-NX'!$Q$3,'IN-NX'!$D$7=D2687,OR(LEFT(L2687,2)="15",AND(LEFT(M2687,2)&lt;&gt;"15",LEFT(M2687,2)&lt;&gt;"33"))),"x","")</f>
        <v/>
      </c>
      <c r="V2687" s="525" t="str">
        <f>IF(AND(OR(LEFT(TH!L2687,2)="15",LEFT(TH!M2687,2)="15"),'152-CT'!$J$8=TH!F2687),"x","")</f>
        <v/>
      </c>
      <c r="W2687" s="525" t="str">
        <f>IF(AND(OR(LEFT(TH!L2687,2)="15",LEFT(TH!M2687,2)="15"),TK!$E$7=TH!F2687),"x","")</f>
        <v>x</v>
      </c>
      <c r="X2687" s="525" t="str">
        <f>IF(AND('341-CT'!$E$9=H2687,OR(LEFT(L2687,3)=$X$7,LEFT(M2687,3)=$X$7)),"x","")</f>
        <v/>
      </c>
      <c r="Y2687" s="525" t="str">
        <f>IF(OR(TH!L2687=TH!$Y$7,M2687=TH!$Y$7),"x","")</f>
        <v/>
      </c>
      <c r="Z2687" s="525" t="str">
        <f>IF(AND(B2687&lt;=NKC!$N$8,B2687&gt;=NKC!$M$8),"x","")</f>
        <v/>
      </c>
      <c r="AA2687" s="535">
        <v>2</v>
      </c>
      <c r="AB2687" s="536"/>
    </row>
    <row r="2688" spans="1:28" s="503" customFormat="1" ht="15.75" customHeight="1">
      <c r="A2688" s="517" t="str">
        <f>IF(B2688&lt;&gt;"",IF(AND(B2688&gt;=_TM1,B2688&lt;=_TM2,OR(TH!L2688="1111",TH!M2688="1111")),TH!D2688,""),"")</f>
        <v/>
      </c>
      <c r="B2688" s="531">
        <f t="shared" si="231"/>
        <v>6</v>
      </c>
      <c r="C2688" s="315">
        <f t="shared" si="232"/>
        <v>42903</v>
      </c>
      <c r="D2688" s="315" t="s">
        <v>1367</v>
      </c>
      <c r="E2688" s="315">
        <v>42903</v>
      </c>
      <c r="F2688" s="249" t="s">
        <v>494</v>
      </c>
      <c r="G2688" s="314" t="s">
        <v>1260</v>
      </c>
      <c r="H2688" s="473" t="s">
        <v>1142</v>
      </c>
      <c r="I2688" s="307"/>
      <c r="J2688" s="307"/>
      <c r="K2688" s="532">
        <v>2993981</v>
      </c>
      <c r="L2688" s="534" t="s">
        <v>9</v>
      </c>
      <c r="M2688" s="534" t="s">
        <v>8</v>
      </c>
      <c r="N2688" s="525" t="str">
        <f>IF(AND('331-CT'!$E$7=TH!H2688,OR(L2688="331",M2688="331")),"331",IF(AND(OR(L2688="131",M2688="131"),H2688='131-CT'!$E$7),"131",""))</f>
        <v/>
      </c>
      <c r="O2688" s="525" t="str">
        <f>IF(AND($B2688&gt;='111'!$N$11,$B2688&lt;='111'!$O$11,OR($L2688=$O$7,$M2688=$O$7)),"x","")</f>
        <v/>
      </c>
      <c r="P2688" s="525" t="str">
        <f>IF(AND($L2688=$O$7,$B2688&lt;'111'!$N$11),"x","")</f>
        <v/>
      </c>
      <c r="Q2688" s="525" t="str">
        <f>IF(AND($M2688=$O$7,$B2688&lt;'111'!$N$11),"x","")</f>
        <v/>
      </c>
      <c r="R2688" s="525" t="str">
        <f>IF(ISERROR(FIND('112'!$M$9,G2688,1)),"",IF((AND(FIND('112'!$M$9,G2688,1)&gt;=1,$B2688&gt;='112'!$N$8,$B2688&lt;='112'!$O$8,OR($L2688='112'!$I$6,$M2688='112'!$I$6))),"x",""))</f>
        <v/>
      </c>
      <c r="S2688" s="525" t="str">
        <f>IF(ISERROR(FIND('112'!$M$9,G2688,1)),"",IF((AND(LEFT(G2688,2)=LEFT('112'!$M$9,2),B2688&lt;'112'!$N$8,$L2688='112'!$I$6)),"x",""))</f>
        <v/>
      </c>
      <c r="T2688" s="525" t="str">
        <f>IF(ISERROR(FIND('112'!$M$9,G2688,1)),"",IF((AND(RIGHT(G2688,2)=RIGHT('112'!$M$9,2),B2688&lt;'112'!$N$8,$M2688='112'!$I$6)),"x",""))</f>
        <v/>
      </c>
      <c r="U2688" s="525" t="str">
        <f>IF(AND(B2688&gt;='IN-NX'!$P$3,B2688&lt;='IN-NX'!$Q$3,'IN-NX'!$D$7=D2688,OR(LEFT(L2688,2)="15",AND(LEFT(M2688,2)&lt;&gt;"15",LEFT(M2688,2)&lt;&gt;"33"))),"x","")</f>
        <v/>
      </c>
      <c r="V2688" s="525" t="str">
        <f>IF(AND(OR(LEFT(TH!L2688,2)="15",LEFT(TH!M2688,2)="15"),'152-CT'!$J$8=TH!F2688),"x","")</f>
        <v/>
      </c>
      <c r="W2688" s="525" t="str">
        <f>IF(AND(OR(LEFT(TH!L2688,2)="15",LEFT(TH!M2688,2)="15"),TK!$E$7=TH!F2688),"x","")</f>
        <v/>
      </c>
      <c r="X2688" s="525" t="str">
        <f>IF(AND('341-CT'!$E$9=H2688,OR(LEFT(L2688,3)=$X$7,LEFT(M2688,3)=$X$7)),"x","")</f>
        <v/>
      </c>
      <c r="Y2688" s="525" t="str">
        <f>IF(OR(TH!L2688=TH!$Y$7,M2688=TH!$Y$7),"x","")</f>
        <v/>
      </c>
      <c r="Z2688" s="525" t="str">
        <f>IF(AND(B2688&lt;=NKC!$N$8,B2688&gt;=NKC!$M$8),"x","")</f>
        <v/>
      </c>
      <c r="AA2688" s="535">
        <v>2</v>
      </c>
      <c r="AB2688" s="536"/>
    </row>
    <row r="2689" spans="1:28" s="503" customFormat="1" ht="15.75" customHeight="1">
      <c r="A2689" s="517" t="str">
        <f>IF(B2689&lt;&gt;"",IF(AND(B2689&gt;=_TM1,B2689&lt;=_TM2,OR(TH!L2689="1111",TH!M2689="1111")),TH!D2689,""),"")</f>
        <v/>
      </c>
      <c r="B2689" s="531">
        <f t="shared" si="231"/>
        <v>6</v>
      </c>
      <c r="C2689" s="315">
        <f t="shared" si="232"/>
        <v>42906</v>
      </c>
      <c r="D2689" s="315" t="s">
        <v>1368</v>
      </c>
      <c r="E2689" s="315">
        <v>42906</v>
      </c>
      <c r="F2689" s="249" t="s">
        <v>273</v>
      </c>
      <c r="G2689" s="314" t="s">
        <v>1257</v>
      </c>
      <c r="H2689" s="473" t="s">
        <v>1142</v>
      </c>
      <c r="I2689" s="307">
        <v>4500</v>
      </c>
      <c r="J2689" s="307">
        <v>18130</v>
      </c>
      <c r="K2689" s="532">
        <f>ROUND(I2689*J2689,0)</f>
        <v>81585000</v>
      </c>
      <c r="L2689" s="534" t="s">
        <v>292</v>
      </c>
      <c r="M2689" s="534" t="s">
        <v>8</v>
      </c>
      <c r="N2689" s="525" t="str">
        <f>IF(AND('331-CT'!$E$7=TH!H2689,OR(L2689="331",M2689="331")),"331",IF(AND(OR(L2689="131",M2689="131"),H2689='131-CT'!$E$7),"131",""))</f>
        <v/>
      </c>
      <c r="O2689" s="525" t="str">
        <f>IF(AND($B2689&gt;='111'!$N$11,$B2689&lt;='111'!$O$11,OR($L2689=$O$7,$M2689=$O$7)),"x","")</f>
        <v/>
      </c>
      <c r="P2689" s="525" t="str">
        <f>IF(AND($L2689=$O$7,$B2689&lt;'111'!$N$11),"x","")</f>
        <v/>
      </c>
      <c r="Q2689" s="525" t="str">
        <f>IF(AND($M2689=$O$7,$B2689&lt;'111'!$N$11),"x","")</f>
        <v/>
      </c>
      <c r="R2689" s="525" t="str">
        <f>IF(ISERROR(FIND('112'!$M$9,G2689,1)),"",IF((AND(FIND('112'!$M$9,G2689,1)&gt;=1,$B2689&gt;='112'!$N$8,$B2689&lt;='112'!$O$8,OR($L2689='112'!$I$6,$M2689='112'!$I$6))),"x",""))</f>
        <v/>
      </c>
      <c r="S2689" s="525" t="str">
        <f>IF(ISERROR(FIND('112'!$M$9,G2689,1)),"",IF((AND(LEFT(G2689,2)=LEFT('112'!$M$9,2),B2689&lt;'112'!$N$8,$L2689='112'!$I$6)),"x",""))</f>
        <v/>
      </c>
      <c r="T2689" s="525" t="str">
        <f>IF(ISERROR(FIND('112'!$M$9,G2689,1)),"",IF((AND(RIGHT(G2689,2)=RIGHT('112'!$M$9,2),B2689&lt;'112'!$N$8,$M2689='112'!$I$6)),"x",""))</f>
        <v/>
      </c>
      <c r="U2689" s="525" t="str">
        <f>IF(AND(B2689&gt;='IN-NX'!$P$3,B2689&lt;='IN-NX'!$Q$3,'IN-NX'!$D$7=D2689,OR(LEFT(L2689,2)="15",AND(LEFT(M2689,2)&lt;&gt;"15",LEFT(M2689,2)&lt;&gt;"33"))),"x","")</f>
        <v/>
      </c>
      <c r="V2689" s="525" t="str">
        <f>IF(AND(OR(LEFT(TH!L2689,2)="15",LEFT(TH!M2689,2)="15"),'152-CT'!$J$8=TH!F2689),"x","")</f>
        <v>x</v>
      </c>
      <c r="W2689" s="525" t="str">
        <f>IF(AND(OR(LEFT(TH!L2689,2)="15",LEFT(TH!M2689,2)="15"),TK!$E$7=TH!F2689),"x","")</f>
        <v/>
      </c>
      <c r="X2689" s="525" t="str">
        <f>IF(AND('341-CT'!$E$9=H2689,OR(LEFT(L2689,3)=$X$7,LEFT(M2689,3)=$X$7)),"x","")</f>
        <v/>
      </c>
      <c r="Y2689" s="525" t="str">
        <f>IF(OR(TH!L2689=TH!$Y$7,M2689=TH!$Y$7),"x","")</f>
        <v/>
      </c>
      <c r="Z2689" s="525" t="str">
        <f>IF(AND(B2689&lt;=NKC!$N$8,B2689&gt;=NKC!$M$8),"x","")</f>
        <v/>
      </c>
      <c r="AA2689" s="535">
        <v>2</v>
      </c>
      <c r="AB2689" s="536"/>
    </row>
    <row r="2690" spans="1:28" s="503" customFormat="1" ht="15.75" customHeight="1">
      <c r="A2690" s="517" t="str">
        <f>IF(B2690&lt;&gt;"",IF(AND(B2690&gt;=_TM1,B2690&lt;=_TM2,OR(TH!L2690="1111",TH!M2690="1111")),TH!D2690,""),"")</f>
        <v/>
      </c>
      <c r="B2690" s="531">
        <f t="shared" si="231"/>
        <v>6</v>
      </c>
      <c r="C2690" s="315">
        <f t="shared" si="232"/>
        <v>42906</v>
      </c>
      <c r="D2690" s="315" t="s">
        <v>1368</v>
      </c>
      <c r="E2690" s="315">
        <v>42906</v>
      </c>
      <c r="F2690" s="249" t="s">
        <v>501</v>
      </c>
      <c r="G2690" s="314" t="s">
        <v>1257</v>
      </c>
      <c r="H2690" s="473" t="s">
        <v>1142</v>
      </c>
      <c r="I2690" s="307"/>
      <c r="J2690" s="307"/>
      <c r="K2690" s="532">
        <v>8158500</v>
      </c>
      <c r="L2690" s="713" t="s">
        <v>9</v>
      </c>
      <c r="M2690" s="534" t="s">
        <v>8</v>
      </c>
      <c r="N2690" s="525" t="str">
        <f>IF(AND('331-CT'!$E$7=TH!H2690,OR(L2690="331",M2690="331")),"331",IF(AND(OR(L2690="131",M2690="131"),H2690='131-CT'!$E$7),"131",""))</f>
        <v/>
      </c>
      <c r="O2690" s="525" t="str">
        <f>IF(AND($B2690&gt;='111'!$N$11,$B2690&lt;='111'!$O$11,OR($L2690=$O$7,$M2690=$O$7)),"x","")</f>
        <v/>
      </c>
      <c r="P2690" s="525" t="str">
        <f>IF(AND($L2690=$O$7,$B2690&lt;'111'!$N$11),"x","")</f>
        <v/>
      </c>
      <c r="Q2690" s="525" t="str">
        <f>IF(AND($M2690=$O$7,$B2690&lt;'111'!$N$11),"x","")</f>
        <v/>
      </c>
      <c r="R2690" s="525" t="str">
        <f>IF(ISERROR(FIND('112'!$M$9,G2690,1)),"",IF((AND(FIND('112'!$M$9,G2690,1)&gt;=1,$B2690&gt;='112'!$N$8,$B2690&lt;='112'!$O$8,OR($L2690='112'!$I$6,$M2690='112'!$I$6))),"x",""))</f>
        <v/>
      </c>
      <c r="S2690" s="525" t="str">
        <f>IF(ISERROR(FIND('112'!$M$9,G2690,1)),"",IF((AND(LEFT(G2690,2)=LEFT('112'!$M$9,2),B2690&lt;'112'!$N$8,$L2690='112'!$I$6)),"x",""))</f>
        <v/>
      </c>
      <c r="T2690" s="525" t="str">
        <f>IF(ISERROR(FIND('112'!$M$9,G2690,1)),"",IF((AND(RIGHT(G2690,2)=RIGHT('112'!$M$9,2),B2690&lt;'112'!$N$8,$M2690='112'!$I$6)),"x",""))</f>
        <v/>
      </c>
      <c r="U2690" s="525" t="str">
        <f>IF(AND(B2690&gt;='IN-NX'!$P$3,B2690&lt;='IN-NX'!$Q$3,'IN-NX'!$D$7=D2690,OR(LEFT(L2690,2)="15",AND(LEFT(M2690,2)&lt;&gt;"15",LEFT(M2690,2)&lt;&gt;"33"))),"x","")</f>
        <v/>
      </c>
      <c r="V2690" s="525" t="str">
        <f>IF(AND(OR(LEFT(TH!L2690,2)="15",LEFT(TH!M2690,2)="15"),'152-CT'!$J$8=TH!F2690),"x","")</f>
        <v/>
      </c>
      <c r="W2690" s="525" t="str">
        <f>IF(AND(OR(LEFT(TH!L2690,2)="15",LEFT(TH!M2690,2)="15"),TK!$E$7=TH!F2690),"x","")</f>
        <v/>
      </c>
      <c r="X2690" s="525" t="str">
        <f>IF(AND('341-CT'!$E$9=H2690,OR(LEFT(L2690,3)=$X$7,LEFT(M2690,3)=$X$7)),"x","")</f>
        <v/>
      </c>
      <c r="Y2690" s="525" t="str">
        <f>IF(OR(TH!L2690=TH!$Y$7,M2690=TH!$Y$7),"x","")</f>
        <v/>
      </c>
      <c r="Z2690" s="525" t="str">
        <f>IF(AND(B2690&lt;=NKC!$N$8,B2690&gt;=NKC!$M$8),"x","")</f>
        <v/>
      </c>
      <c r="AA2690" s="535">
        <v>2</v>
      </c>
      <c r="AB2690" s="536"/>
    </row>
    <row r="2691" spans="1:28" s="503" customFormat="1" ht="15.75" customHeight="1">
      <c r="A2691" s="517" t="str">
        <f>IF(B2691&lt;&gt;"",IF(AND(B2691&gt;=_TM1,B2691&lt;=_TM2,OR(TH!L2691="1111",TH!M2691="1111")),TH!D2691,""),"")</f>
        <v/>
      </c>
      <c r="B2691" s="531">
        <f t="shared" si="231"/>
        <v>6</v>
      </c>
      <c r="C2691" s="315">
        <f t="shared" si="232"/>
        <v>42909</v>
      </c>
      <c r="D2691" s="315" t="s">
        <v>1369</v>
      </c>
      <c r="E2691" s="315">
        <v>42909</v>
      </c>
      <c r="F2691" s="249" t="s">
        <v>1223</v>
      </c>
      <c r="G2691" s="314" t="s">
        <v>1258</v>
      </c>
      <c r="H2691" s="473" t="s">
        <v>1142</v>
      </c>
      <c r="I2691" s="307">
        <v>36</v>
      </c>
      <c r="J2691" s="307">
        <v>48794</v>
      </c>
      <c r="K2691" s="532">
        <f t="shared" ref="K2691:K2725" si="235">ROUND(I2691*J2691,0)</f>
        <v>1756584</v>
      </c>
      <c r="L2691" s="534" t="s">
        <v>292</v>
      </c>
      <c r="M2691" s="534" t="s">
        <v>8</v>
      </c>
      <c r="N2691" s="525" t="str">
        <f>IF(AND('331-CT'!$E$7=TH!H2691,OR(L2691="331",M2691="331")),"331",IF(AND(OR(L2691="131",M2691="131"),H2691='131-CT'!$E$7),"131",""))</f>
        <v/>
      </c>
      <c r="O2691" s="525" t="str">
        <f>IF(AND($B2691&gt;='111'!$N$11,$B2691&lt;='111'!$O$11,OR($L2691=$O$7,$M2691=$O$7)),"x","")</f>
        <v/>
      </c>
      <c r="P2691" s="525" t="str">
        <f>IF(AND($L2691=$O$7,$B2691&lt;'111'!$N$11),"x","")</f>
        <v/>
      </c>
      <c r="Q2691" s="525" t="str">
        <f>IF(AND($M2691=$O$7,$B2691&lt;'111'!$N$11),"x","")</f>
        <v/>
      </c>
      <c r="R2691" s="525" t="str">
        <f>IF(ISERROR(FIND('112'!$M$9,G2691,1)),"",IF((AND(FIND('112'!$M$9,G2691,1)&gt;=1,$B2691&gt;='112'!$N$8,$B2691&lt;='112'!$O$8,OR($L2691='112'!$I$6,$M2691='112'!$I$6))),"x",""))</f>
        <v/>
      </c>
      <c r="S2691" s="525" t="str">
        <f>IF(ISERROR(FIND('112'!$M$9,G2691,1)),"",IF((AND(LEFT(G2691,2)=LEFT('112'!$M$9,2),B2691&lt;'112'!$N$8,$L2691='112'!$I$6)),"x",""))</f>
        <v/>
      </c>
      <c r="T2691" s="525" t="str">
        <f>IF(ISERROR(FIND('112'!$M$9,G2691,1)),"",IF((AND(RIGHT(G2691,2)=RIGHT('112'!$M$9,2),B2691&lt;'112'!$N$8,$M2691='112'!$I$6)),"x",""))</f>
        <v/>
      </c>
      <c r="U2691" s="525" t="str">
        <f>IF(AND(B2691&gt;='IN-NX'!$P$3,B2691&lt;='IN-NX'!$Q$3,'IN-NX'!$D$7=D2691,OR(LEFT(L2691,2)="15",AND(LEFT(M2691,2)&lt;&gt;"15",LEFT(M2691,2)&lt;&gt;"33"))),"x","")</f>
        <v/>
      </c>
      <c r="V2691" s="525" t="str">
        <f>IF(AND(OR(LEFT(TH!L2691,2)="15",LEFT(TH!M2691,2)="15"),'152-CT'!$J$8=TH!F2691),"x","")</f>
        <v/>
      </c>
      <c r="W2691" s="525" t="str">
        <f>IF(AND(OR(LEFT(TH!L2691,2)="15",LEFT(TH!M2691,2)="15"),TK!$E$7=TH!F2691),"x","")</f>
        <v/>
      </c>
      <c r="X2691" s="525" t="str">
        <f>IF(AND('341-CT'!$E$9=H2691,OR(LEFT(L2691,3)=$X$7,LEFT(M2691,3)=$X$7)),"x","")</f>
        <v/>
      </c>
      <c r="Y2691" s="525" t="str">
        <f>IF(OR(TH!L2691=TH!$Y$7,M2691=TH!$Y$7),"x","")</f>
        <v/>
      </c>
      <c r="Z2691" s="525" t="str">
        <f>IF(AND(B2691&lt;=NKC!$N$8,B2691&gt;=NKC!$M$8),"x","")</f>
        <v/>
      </c>
      <c r="AA2691" s="535">
        <v>2</v>
      </c>
      <c r="AB2691" s="536"/>
    </row>
    <row r="2692" spans="1:28" s="503" customFormat="1" ht="15.75" customHeight="1">
      <c r="A2692" s="517" t="str">
        <f>IF(B2692&lt;&gt;"",IF(AND(B2692&gt;=_TM1,B2692&lt;=_TM2,OR(TH!L2692="1111",TH!M2692="1111")),TH!D2692,""),"")</f>
        <v/>
      </c>
      <c r="B2692" s="531">
        <f t="shared" si="231"/>
        <v>6</v>
      </c>
      <c r="C2692" s="315">
        <f t="shared" si="232"/>
        <v>42909</v>
      </c>
      <c r="D2692" s="315" t="s">
        <v>1369</v>
      </c>
      <c r="E2692" s="315">
        <v>42909</v>
      </c>
      <c r="F2692" s="249" t="s">
        <v>1224</v>
      </c>
      <c r="G2692" s="314" t="s">
        <v>1258</v>
      </c>
      <c r="H2692" s="473" t="s">
        <v>1142</v>
      </c>
      <c r="I2692" s="307">
        <v>76</v>
      </c>
      <c r="J2692" s="307">
        <v>72677</v>
      </c>
      <c r="K2692" s="532">
        <f t="shared" si="235"/>
        <v>5523452</v>
      </c>
      <c r="L2692" s="534" t="s">
        <v>292</v>
      </c>
      <c r="M2692" s="534" t="s">
        <v>8</v>
      </c>
      <c r="N2692" s="525" t="str">
        <f>IF(AND('331-CT'!$E$7=TH!H2692,OR(L2692="331",M2692="331")),"331",IF(AND(OR(L2692="131",M2692="131"),H2692='131-CT'!$E$7),"131",""))</f>
        <v/>
      </c>
      <c r="O2692" s="525" t="str">
        <f>IF(AND($B2692&gt;='111'!$N$11,$B2692&lt;='111'!$O$11,OR($L2692=$O$7,$M2692=$O$7)),"x","")</f>
        <v/>
      </c>
      <c r="P2692" s="525" t="str">
        <f>IF(AND($L2692=$O$7,$B2692&lt;'111'!$N$11),"x","")</f>
        <v/>
      </c>
      <c r="Q2692" s="525" t="str">
        <f>IF(AND($M2692=$O$7,$B2692&lt;'111'!$N$11),"x","")</f>
        <v/>
      </c>
      <c r="R2692" s="525" t="str">
        <f>IF(ISERROR(FIND('112'!$M$9,G2692,1)),"",IF((AND(FIND('112'!$M$9,G2692,1)&gt;=1,$B2692&gt;='112'!$N$8,$B2692&lt;='112'!$O$8,OR($L2692='112'!$I$6,$M2692='112'!$I$6))),"x",""))</f>
        <v/>
      </c>
      <c r="S2692" s="525" t="str">
        <f>IF(ISERROR(FIND('112'!$M$9,G2692,1)),"",IF((AND(LEFT(G2692,2)=LEFT('112'!$M$9,2),B2692&lt;'112'!$N$8,$L2692='112'!$I$6)),"x",""))</f>
        <v/>
      </c>
      <c r="T2692" s="525" t="str">
        <f>IF(ISERROR(FIND('112'!$M$9,G2692,1)),"",IF((AND(RIGHT(G2692,2)=RIGHT('112'!$M$9,2),B2692&lt;'112'!$N$8,$M2692='112'!$I$6)),"x",""))</f>
        <v/>
      </c>
      <c r="U2692" s="525" t="str">
        <f>IF(AND(B2692&gt;='IN-NX'!$P$3,B2692&lt;='IN-NX'!$Q$3,'IN-NX'!$D$7=D2692,OR(LEFT(L2692,2)="15",AND(LEFT(M2692,2)&lt;&gt;"15",LEFT(M2692,2)&lt;&gt;"33"))),"x","")</f>
        <v/>
      </c>
      <c r="V2692" s="525" t="str">
        <f>IF(AND(OR(LEFT(TH!L2692,2)="15",LEFT(TH!M2692,2)="15"),'152-CT'!$J$8=TH!F2692),"x","")</f>
        <v/>
      </c>
      <c r="W2692" s="525" t="str">
        <f>IF(AND(OR(LEFT(TH!L2692,2)="15",LEFT(TH!M2692,2)="15"),TK!$E$7=TH!F2692),"x","")</f>
        <v/>
      </c>
      <c r="X2692" s="525" t="str">
        <f>IF(AND('341-CT'!$E$9=H2692,OR(LEFT(L2692,3)=$X$7,LEFT(M2692,3)=$X$7)),"x","")</f>
        <v/>
      </c>
      <c r="Y2692" s="525" t="str">
        <f>IF(OR(TH!L2692=TH!$Y$7,M2692=TH!$Y$7),"x","")</f>
        <v/>
      </c>
      <c r="Z2692" s="525" t="str">
        <f>IF(AND(B2692&lt;=NKC!$N$8,B2692&gt;=NKC!$M$8),"x","")</f>
        <v/>
      </c>
      <c r="AA2692" s="535">
        <v>2</v>
      </c>
      <c r="AB2692" s="536"/>
    </row>
    <row r="2693" spans="1:28" s="503" customFormat="1" ht="15.75" customHeight="1">
      <c r="A2693" s="517" t="str">
        <f>IF(B2693&lt;&gt;"",IF(AND(B2693&gt;=_TM1,B2693&lt;=_TM2,OR(TH!L2693="1111",TH!M2693="1111")),TH!D2693,""),"")</f>
        <v/>
      </c>
      <c r="B2693" s="531">
        <f t="shared" si="231"/>
        <v>6</v>
      </c>
      <c r="C2693" s="315">
        <f t="shared" si="232"/>
        <v>42909</v>
      </c>
      <c r="D2693" s="315" t="s">
        <v>1369</v>
      </c>
      <c r="E2693" s="315">
        <v>42909</v>
      </c>
      <c r="F2693" s="249" t="s">
        <v>704</v>
      </c>
      <c r="G2693" s="314" t="s">
        <v>1258</v>
      </c>
      <c r="H2693" s="473" t="s">
        <v>1142</v>
      </c>
      <c r="I2693" s="307">
        <v>166</v>
      </c>
      <c r="J2693" s="307">
        <v>18344</v>
      </c>
      <c r="K2693" s="532">
        <f t="shared" si="235"/>
        <v>3045104</v>
      </c>
      <c r="L2693" s="534" t="s">
        <v>292</v>
      </c>
      <c r="M2693" s="534" t="s">
        <v>8</v>
      </c>
      <c r="N2693" s="525" t="str">
        <f>IF(AND('331-CT'!$E$7=TH!H2693,OR(L2693="331",M2693="331")),"331",IF(AND(OR(L2693="131",M2693="131"),H2693='131-CT'!$E$7),"131",""))</f>
        <v/>
      </c>
      <c r="O2693" s="525" t="str">
        <f>IF(AND($B2693&gt;='111'!$N$11,$B2693&lt;='111'!$O$11,OR($L2693=$O$7,$M2693=$O$7)),"x","")</f>
        <v/>
      </c>
      <c r="P2693" s="525" t="str">
        <f>IF(AND($L2693=$O$7,$B2693&lt;'111'!$N$11),"x","")</f>
        <v/>
      </c>
      <c r="Q2693" s="525" t="str">
        <f>IF(AND($M2693=$O$7,$B2693&lt;'111'!$N$11),"x","")</f>
        <v/>
      </c>
      <c r="R2693" s="525" t="str">
        <f>IF(ISERROR(FIND('112'!$M$9,G2693,1)),"",IF((AND(FIND('112'!$M$9,G2693,1)&gt;=1,$B2693&gt;='112'!$N$8,$B2693&lt;='112'!$O$8,OR($L2693='112'!$I$6,$M2693='112'!$I$6))),"x",""))</f>
        <v/>
      </c>
      <c r="S2693" s="525" t="str">
        <f>IF(ISERROR(FIND('112'!$M$9,G2693,1)),"",IF((AND(LEFT(G2693,2)=LEFT('112'!$M$9,2),B2693&lt;'112'!$N$8,$L2693='112'!$I$6)),"x",""))</f>
        <v/>
      </c>
      <c r="T2693" s="525" t="str">
        <f>IF(ISERROR(FIND('112'!$M$9,G2693,1)),"",IF((AND(RIGHT(G2693,2)=RIGHT('112'!$M$9,2),B2693&lt;'112'!$N$8,$M2693='112'!$I$6)),"x",""))</f>
        <v/>
      </c>
      <c r="U2693" s="525" t="str">
        <f>IF(AND(B2693&gt;='IN-NX'!$P$3,B2693&lt;='IN-NX'!$Q$3,'IN-NX'!$D$7=D2693,OR(LEFT(L2693,2)="15",AND(LEFT(M2693,2)&lt;&gt;"15",LEFT(M2693,2)&lt;&gt;"33"))),"x","")</f>
        <v/>
      </c>
      <c r="V2693" s="525" t="str">
        <f>IF(AND(OR(LEFT(TH!L2693,2)="15",LEFT(TH!M2693,2)="15"),'152-CT'!$J$8=TH!F2693),"x","")</f>
        <v/>
      </c>
      <c r="W2693" s="525" t="str">
        <f>IF(AND(OR(LEFT(TH!L2693,2)="15",LEFT(TH!M2693,2)="15"),TK!$E$7=TH!F2693),"x","")</f>
        <v/>
      </c>
      <c r="X2693" s="525" t="str">
        <f>IF(AND('341-CT'!$E$9=H2693,OR(LEFT(L2693,3)=$X$7,LEFT(M2693,3)=$X$7)),"x","")</f>
        <v/>
      </c>
      <c r="Y2693" s="525" t="str">
        <f>IF(OR(TH!L2693=TH!$Y$7,M2693=TH!$Y$7),"x","")</f>
        <v/>
      </c>
      <c r="Z2693" s="525" t="str">
        <f>IF(AND(B2693&lt;=NKC!$N$8,B2693&gt;=NKC!$M$8),"x","")</f>
        <v/>
      </c>
      <c r="AA2693" s="535">
        <v>2</v>
      </c>
      <c r="AB2693" s="536"/>
    </row>
    <row r="2694" spans="1:28" s="503" customFormat="1" ht="15.75" customHeight="1">
      <c r="A2694" s="517" t="str">
        <f>IF(B2694&lt;&gt;"",IF(AND(B2694&gt;=_TM1,B2694&lt;=_TM2,OR(TH!L2694="1111",TH!M2694="1111")),TH!D2694,""),"")</f>
        <v/>
      </c>
      <c r="B2694" s="531">
        <f t="shared" si="231"/>
        <v>6</v>
      </c>
      <c r="C2694" s="315">
        <f t="shared" si="232"/>
        <v>42909</v>
      </c>
      <c r="D2694" s="315" t="s">
        <v>1369</v>
      </c>
      <c r="E2694" s="315">
        <v>42909</v>
      </c>
      <c r="F2694" s="249" t="s">
        <v>710</v>
      </c>
      <c r="G2694" s="314" t="s">
        <v>1258</v>
      </c>
      <c r="H2694" s="473" t="s">
        <v>1142</v>
      </c>
      <c r="I2694" s="307">
        <v>36</v>
      </c>
      <c r="J2694" s="307">
        <v>21604</v>
      </c>
      <c r="K2694" s="532">
        <f t="shared" si="235"/>
        <v>777744</v>
      </c>
      <c r="L2694" s="534" t="s">
        <v>292</v>
      </c>
      <c r="M2694" s="534" t="s">
        <v>8</v>
      </c>
      <c r="N2694" s="525" t="str">
        <f>IF(AND('331-CT'!$E$7=TH!H2694,OR(L2694="331",M2694="331")),"331",IF(AND(OR(L2694="131",M2694="131"),H2694='131-CT'!$E$7),"131",""))</f>
        <v/>
      </c>
      <c r="O2694" s="525" t="str">
        <f>IF(AND($B2694&gt;='111'!$N$11,$B2694&lt;='111'!$O$11,OR($L2694=$O$7,$M2694=$O$7)),"x","")</f>
        <v/>
      </c>
      <c r="P2694" s="525" t="str">
        <f>IF(AND($L2694=$O$7,$B2694&lt;'111'!$N$11),"x","")</f>
        <v/>
      </c>
      <c r="Q2694" s="525" t="str">
        <f>IF(AND($M2694=$O$7,$B2694&lt;'111'!$N$11),"x","")</f>
        <v/>
      </c>
      <c r="R2694" s="525" t="str">
        <f>IF(ISERROR(FIND('112'!$M$9,G2694,1)),"",IF((AND(FIND('112'!$M$9,G2694,1)&gt;=1,$B2694&gt;='112'!$N$8,$B2694&lt;='112'!$O$8,OR($L2694='112'!$I$6,$M2694='112'!$I$6))),"x",""))</f>
        <v/>
      </c>
      <c r="S2694" s="525" t="str">
        <f>IF(ISERROR(FIND('112'!$M$9,G2694,1)),"",IF((AND(LEFT(G2694,2)=LEFT('112'!$M$9,2),B2694&lt;'112'!$N$8,$L2694='112'!$I$6)),"x",""))</f>
        <v/>
      </c>
      <c r="T2694" s="525" t="str">
        <f>IF(ISERROR(FIND('112'!$M$9,G2694,1)),"",IF((AND(RIGHT(G2694,2)=RIGHT('112'!$M$9,2),B2694&lt;'112'!$N$8,$M2694='112'!$I$6)),"x",""))</f>
        <v/>
      </c>
      <c r="U2694" s="525" t="str">
        <f>IF(AND(B2694&gt;='IN-NX'!$P$3,B2694&lt;='IN-NX'!$Q$3,'IN-NX'!$D$7=D2694,OR(LEFT(L2694,2)="15",AND(LEFT(M2694,2)&lt;&gt;"15",LEFT(M2694,2)&lt;&gt;"33"))),"x","")</f>
        <v/>
      </c>
      <c r="V2694" s="525" t="str">
        <f>IF(AND(OR(LEFT(TH!L2694,2)="15",LEFT(TH!M2694,2)="15"),'152-CT'!$J$8=TH!F2694),"x","")</f>
        <v/>
      </c>
      <c r="W2694" s="525" t="str">
        <f>IF(AND(OR(LEFT(TH!L2694,2)="15",LEFT(TH!M2694,2)="15"),TK!$E$7=TH!F2694),"x","")</f>
        <v/>
      </c>
      <c r="X2694" s="525" t="str">
        <f>IF(AND('341-CT'!$E$9=H2694,OR(LEFT(L2694,3)=$X$7,LEFT(M2694,3)=$X$7)),"x","")</f>
        <v/>
      </c>
      <c r="Y2694" s="525" t="str">
        <f>IF(OR(TH!L2694=TH!$Y$7,M2694=TH!$Y$7),"x","")</f>
        <v/>
      </c>
      <c r="Z2694" s="525" t="str">
        <f>IF(AND(B2694&lt;=NKC!$N$8,B2694&gt;=NKC!$M$8),"x","")</f>
        <v/>
      </c>
      <c r="AA2694" s="535">
        <v>2</v>
      </c>
      <c r="AB2694" s="536"/>
    </row>
    <row r="2695" spans="1:28" s="503" customFormat="1" ht="15.75" customHeight="1">
      <c r="A2695" s="517" t="str">
        <f>IF(B2695&lt;&gt;"",IF(AND(B2695&gt;=_TM1,B2695&lt;=_TM2,OR(TH!L2695="1111",TH!M2695="1111")),TH!D2695,""),"")</f>
        <v/>
      </c>
      <c r="B2695" s="531">
        <f t="shared" ref="B2695:B2758" si="236">IF(C2695&lt;&gt;"",MONTH(C2695),"")</f>
        <v>6</v>
      </c>
      <c r="C2695" s="315">
        <f t="shared" ref="C2695:C2758" si="237">E2695</f>
        <v>42909</v>
      </c>
      <c r="D2695" s="315" t="s">
        <v>1369</v>
      </c>
      <c r="E2695" s="315">
        <v>42909</v>
      </c>
      <c r="F2695" s="249" t="s">
        <v>1041</v>
      </c>
      <c r="G2695" s="314" t="s">
        <v>1258</v>
      </c>
      <c r="H2695" s="473" t="s">
        <v>1142</v>
      </c>
      <c r="I2695" s="307">
        <v>42</v>
      </c>
      <c r="J2695" s="307">
        <v>22076</v>
      </c>
      <c r="K2695" s="532">
        <f t="shared" si="235"/>
        <v>927192</v>
      </c>
      <c r="L2695" s="534" t="s">
        <v>292</v>
      </c>
      <c r="M2695" s="534" t="s">
        <v>8</v>
      </c>
      <c r="N2695" s="525" t="str">
        <f>IF(AND('331-CT'!$E$7=TH!H2695,OR(L2695="331",M2695="331")),"331",IF(AND(OR(L2695="131",M2695="131"),H2695='131-CT'!$E$7),"131",""))</f>
        <v/>
      </c>
      <c r="O2695" s="525" t="str">
        <f>IF(AND($B2695&gt;='111'!$N$11,$B2695&lt;='111'!$O$11,OR($L2695=$O$7,$M2695=$O$7)),"x","")</f>
        <v/>
      </c>
      <c r="P2695" s="525" t="str">
        <f>IF(AND($L2695=$O$7,$B2695&lt;'111'!$N$11),"x","")</f>
        <v/>
      </c>
      <c r="Q2695" s="525" t="str">
        <f>IF(AND($M2695=$O$7,$B2695&lt;'111'!$N$11),"x","")</f>
        <v/>
      </c>
      <c r="R2695" s="525" t="str">
        <f>IF(ISERROR(FIND('112'!$M$9,G2695,1)),"",IF((AND(FIND('112'!$M$9,G2695,1)&gt;=1,$B2695&gt;='112'!$N$8,$B2695&lt;='112'!$O$8,OR($L2695='112'!$I$6,$M2695='112'!$I$6))),"x",""))</f>
        <v/>
      </c>
      <c r="S2695" s="525" t="str">
        <f>IF(ISERROR(FIND('112'!$M$9,G2695,1)),"",IF((AND(LEFT(G2695,2)=LEFT('112'!$M$9,2),B2695&lt;'112'!$N$8,$L2695='112'!$I$6)),"x",""))</f>
        <v/>
      </c>
      <c r="T2695" s="525" t="str">
        <f>IF(ISERROR(FIND('112'!$M$9,G2695,1)),"",IF((AND(RIGHT(G2695,2)=RIGHT('112'!$M$9,2),B2695&lt;'112'!$N$8,$M2695='112'!$I$6)),"x",""))</f>
        <v/>
      </c>
      <c r="U2695" s="525" t="str">
        <f>IF(AND(B2695&gt;='IN-NX'!$P$3,B2695&lt;='IN-NX'!$Q$3,'IN-NX'!$D$7=D2695,OR(LEFT(L2695,2)="15",AND(LEFT(M2695,2)&lt;&gt;"15",LEFT(M2695,2)&lt;&gt;"33"))),"x","")</f>
        <v/>
      </c>
      <c r="V2695" s="525" t="str">
        <f>IF(AND(OR(LEFT(TH!L2695,2)="15",LEFT(TH!M2695,2)="15"),'152-CT'!$J$8=TH!F2695),"x","")</f>
        <v/>
      </c>
      <c r="W2695" s="525" t="str">
        <f>IF(AND(OR(LEFT(TH!L2695,2)="15",LEFT(TH!M2695,2)="15"),TK!$E$7=TH!F2695),"x","")</f>
        <v/>
      </c>
      <c r="X2695" s="525" t="str">
        <f>IF(AND('341-CT'!$E$9=H2695,OR(LEFT(L2695,3)=$X$7,LEFT(M2695,3)=$X$7)),"x","")</f>
        <v/>
      </c>
      <c r="Y2695" s="525" t="str">
        <f>IF(OR(TH!L2695=TH!$Y$7,M2695=TH!$Y$7),"x","")</f>
        <v/>
      </c>
      <c r="Z2695" s="525" t="str">
        <f>IF(AND(B2695&lt;=NKC!$N$8,B2695&gt;=NKC!$M$8),"x","")</f>
        <v/>
      </c>
      <c r="AA2695" s="535">
        <v>2</v>
      </c>
      <c r="AB2695" s="536"/>
    </row>
    <row r="2696" spans="1:28" s="503" customFormat="1" ht="15.75" customHeight="1">
      <c r="A2696" s="517" t="str">
        <f>IF(B2696&lt;&gt;"",IF(AND(B2696&gt;=_TM1,B2696&lt;=_TM2,OR(TH!L2696="1111",TH!M2696="1111")),TH!D2696,""),"")</f>
        <v/>
      </c>
      <c r="B2696" s="531">
        <f t="shared" si="236"/>
        <v>6</v>
      </c>
      <c r="C2696" s="315">
        <f t="shared" si="237"/>
        <v>42909</v>
      </c>
      <c r="D2696" s="315" t="s">
        <v>1369</v>
      </c>
      <c r="E2696" s="315">
        <v>42909</v>
      </c>
      <c r="F2696" s="249" t="s">
        <v>619</v>
      </c>
      <c r="G2696" s="314" t="s">
        <v>1258</v>
      </c>
      <c r="H2696" s="473" t="s">
        <v>1142</v>
      </c>
      <c r="I2696" s="307">
        <v>72</v>
      </c>
      <c r="J2696" s="307">
        <v>31042</v>
      </c>
      <c r="K2696" s="532">
        <f t="shared" si="235"/>
        <v>2235024</v>
      </c>
      <c r="L2696" s="534" t="s">
        <v>292</v>
      </c>
      <c r="M2696" s="534" t="s">
        <v>8</v>
      </c>
      <c r="N2696" s="525" t="str">
        <f>IF(AND('331-CT'!$E$7=TH!H2696,OR(L2696="331",M2696="331")),"331",IF(AND(OR(L2696="131",M2696="131"),H2696='131-CT'!$E$7),"131",""))</f>
        <v/>
      </c>
      <c r="O2696" s="525" t="str">
        <f>IF(AND($B2696&gt;='111'!$N$11,$B2696&lt;='111'!$O$11,OR($L2696=$O$7,$M2696=$O$7)),"x","")</f>
        <v/>
      </c>
      <c r="P2696" s="525" t="str">
        <f>IF(AND($L2696=$O$7,$B2696&lt;'111'!$N$11),"x","")</f>
        <v/>
      </c>
      <c r="Q2696" s="525" t="str">
        <f>IF(AND($M2696=$O$7,$B2696&lt;'111'!$N$11),"x","")</f>
        <v/>
      </c>
      <c r="R2696" s="525" t="str">
        <f>IF(ISERROR(FIND('112'!$M$9,G2696,1)),"",IF((AND(FIND('112'!$M$9,G2696,1)&gt;=1,$B2696&gt;='112'!$N$8,$B2696&lt;='112'!$O$8,OR($L2696='112'!$I$6,$M2696='112'!$I$6))),"x",""))</f>
        <v/>
      </c>
      <c r="S2696" s="525" t="str">
        <f>IF(ISERROR(FIND('112'!$M$9,G2696,1)),"",IF((AND(LEFT(G2696,2)=LEFT('112'!$M$9,2),B2696&lt;'112'!$N$8,$L2696='112'!$I$6)),"x",""))</f>
        <v/>
      </c>
      <c r="T2696" s="525" t="str">
        <f>IF(ISERROR(FIND('112'!$M$9,G2696,1)),"",IF((AND(RIGHT(G2696,2)=RIGHT('112'!$M$9,2),B2696&lt;'112'!$N$8,$M2696='112'!$I$6)),"x",""))</f>
        <v/>
      </c>
      <c r="U2696" s="525" t="str">
        <f>IF(AND(B2696&gt;='IN-NX'!$P$3,B2696&lt;='IN-NX'!$Q$3,'IN-NX'!$D$7=D2696,OR(LEFT(L2696,2)="15",AND(LEFT(M2696,2)&lt;&gt;"15",LEFT(M2696,2)&lt;&gt;"33"))),"x","")</f>
        <v/>
      </c>
      <c r="V2696" s="525" t="str">
        <f>IF(AND(OR(LEFT(TH!L2696,2)="15",LEFT(TH!M2696,2)="15"),'152-CT'!$J$8=TH!F2696),"x","")</f>
        <v/>
      </c>
      <c r="W2696" s="525" t="str">
        <f>IF(AND(OR(LEFT(TH!L2696,2)="15",LEFT(TH!M2696,2)="15"),TK!$E$7=TH!F2696),"x","")</f>
        <v/>
      </c>
      <c r="X2696" s="525" t="str">
        <f>IF(AND('341-CT'!$E$9=H2696,OR(LEFT(L2696,3)=$X$7,LEFT(M2696,3)=$X$7)),"x","")</f>
        <v/>
      </c>
      <c r="Y2696" s="525" t="str">
        <f>IF(OR(TH!L2696=TH!$Y$7,M2696=TH!$Y$7),"x","")</f>
        <v/>
      </c>
      <c r="Z2696" s="525" t="str">
        <f>IF(AND(B2696&lt;=NKC!$N$8,B2696&gt;=NKC!$M$8),"x","")</f>
        <v/>
      </c>
      <c r="AA2696" s="535">
        <v>2</v>
      </c>
      <c r="AB2696" s="536"/>
    </row>
    <row r="2697" spans="1:28" s="503" customFormat="1" ht="15.75" customHeight="1">
      <c r="A2697" s="517" t="str">
        <f>IF(B2697&lt;&gt;"",IF(AND(B2697&gt;=_TM1,B2697&lt;=_TM2,OR(TH!L2697="1111",TH!M2697="1111")),TH!D2697,""),"")</f>
        <v/>
      </c>
      <c r="B2697" s="531">
        <f t="shared" si="236"/>
        <v>6</v>
      </c>
      <c r="C2697" s="315">
        <f t="shared" si="237"/>
        <v>42909</v>
      </c>
      <c r="D2697" s="315" t="s">
        <v>1369</v>
      </c>
      <c r="E2697" s="315">
        <v>42909</v>
      </c>
      <c r="F2697" s="249" t="s">
        <v>665</v>
      </c>
      <c r="G2697" s="314" t="s">
        <v>1258</v>
      </c>
      <c r="H2697" s="473" t="s">
        <v>1142</v>
      </c>
      <c r="I2697" s="307">
        <v>48</v>
      </c>
      <c r="J2697" s="307">
        <v>15043</v>
      </c>
      <c r="K2697" s="532">
        <f t="shared" si="235"/>
        <v>722064</v>
      </c>
      <c r="L2697" s="534" t="s">
        <v>292</v>
      </c>
      <c r="M2697" s="534" t="s">
        <v>8</v>
      </c>
      <c r="N2697" s="525" t="str">
        <f>IF(AND('331-CT'!$E$7=TH!H2697,OR(L2697="331",M2697="331")),"331",IF(AND(OR(L2697="131",M2697="131"),H2697='131-CT'!$E$7),"131",""))</f>
        <v/>
      </c>
      <c r="O2697" s="525" t="str">
        <f>IF(AND($B2697&gt;='111'!$N$11,$B2697&lt;='111'!$O$11,OR($L2697=$O$7,$M2697=$O$7)),"x","")</f>
        <v/>
      </c>
      <c r="P2697" s="525" t="str">
        <f>IF(AND($L2697=$O$7,$B2697&lt;'111'!$N$11),"x","")</f>
        <v/>
      </c>
      <c r="Q2697" s="525" t="str">
        <f>IF(AND($M2697=$O$7,$B2697&lt;'111'!$N$11),"x","")</f>
        <v/>
      </c>
      <c r="R2697" s="525" t="str">
        <f>IF(ISERROR(FIND('112'!$M$9,G2697,1)),"",IF((AND(FIND('112'!$M$9,G2697,1)&gt;=1,$B2697&gt;='112'!$N$8,$B2697&lt;='112'!$O$8,OR($L2697='112'!$I$6,$M2697='112'!$I$6))),"x",""))</f>
        <v/>
      </c>
      <c r="S2697" s="525" t="str">
        <f>IF(ISERROR(FIND('112'!$M$9,G2697,1)),"",IF((AND(LEFT(G2697,2)=LEFT('112'!$M$9,2),B2697&lt;'112'!$N$8,$L2697='112'!$I$6)),"x",""))</f>
        <v/>
      </c>
      <c r="T2697" s="525" t="str">
        <f>IF(ISERROR(FIND('112'!$M$9,G2697,1)),"",IF((AND(RIGHT(G2697,2)=RIGHT('112'!$M$9,2),B2697&lt;'112'!$N$8,$M2697='112'!$I$6)),"x",""))</f>
        <v/>
      </c>
      <c r="U2697" s="525" t="str">
        <f>IF(AND(B2697&gt;='IN-NX'!$P$3,B2697&lt;='IN-NX'!$Q$3,'IN-NX'!$D$7=D2697,OR(LEFT(L2697,2)="15",AND(LEFT(M2697,2)&lt;&gt;"15",LEFT(M2697,2)&lt;&gt;"33"))),"x","")</f>
        <v/>
      </c>
      <c r="V2697" s="525" t="str">
        <f>IF(AND(OR(LEFT(TH!L2697,2)="15",LEFT(TH!M2697,2)="15"),'152-CT'!$J$8=TH!F2697),"x","")</f>
        <v/>
      </c>
      <c r="W2697" s="525" t="str">
        <f>IF(AND(OR(LEFT(TH!L2697,2)="15",LEFT(TH!M2697,2)="15"),TK!$E$7=TH!F2697),"x","")</f>
        <v/>
      </c>
      <c r="X2697" s="525" t="str">
        <f>IF(AND('341-CT'!$E$9=H2697,OR(LEFT(L2697,3)=$X$7,LEFT(M2697,3)=$X$7)),"x","")</f>
        <v/>
      </c>
      <c r="Y2697" s="525" t="str">
        <f>IF(OR(TH!L2697=TH!$Y$7,M2697=TH!$Y$7),"x","")</f>
        <v/>
      </c>
      <c r="Z2697" s="525" t="str">
        <f>IF(AND(B2697&lt;=NKC!$N$8,B2697&gt;=NKC!$M$8),"x","")</f>
        <v/>
      </c>
      <c r="AA2697" s="535">
        <v>2</v>
      </c>
      <c r="AB2697" s="536"/>
    </row>
    <row r="2698" spans="1:28" s="503" customFormat="1" ht="15.75" customHeight="1">
      <c r="A2698" s="517" t="str">
        <f>IF(B2698&lt;&gt;"",IF(AND(B2698&gt;=_TM1,B2698&lt;=_TM2,OR(TH!L2698="1111",TH!M2698="1111")),TH!D2698,""),"")</f>
        <v/>
      </c>
      <c r="B2698" s="531">
        <f t="shared" si="236"/>
        <v>6</v>
      </c>
      <c r="C2698" s="315">
        <f t="shared" si="237"/>
        <v>42909</v>
      </c>
      <c r="D2698" s="315" t="s">
        <v>1369</v>
      </c>
      <c r="E2698" s="315">
        <v>42909</v>
      </c>
      <c r="F2698" s="249" t="s">
        <v>708</v>
      </c>
      <c r="G2698" s="314" t="s">
        <v>1258</v>
      </c>
      <c r="H2698" s="473" t="s">
        <v>1142</v>
      </c>
      <c r="I2698" s="307">
        <v>30</v>
      </c>
      <c r="J2698" s="307">
        <v>35977</v>
      </c>
      <c r="K2698" s="532">
        <f t="shared" si="235"/>
        <v>1079310</v>
      </c>
      <c r="L2698" s="534" t="s">
        <v>292</v>
      </c>
      <c r="M2698" s="534" t="s">
        <v>8</v>
      </c>
      <c r="N2698" s="525" t="str">
        <f>IF(AND('331-CT'!$E$7=TH!H2698,OR(L2698="331",M2698="331")),"331",IF(AND(OR(L2698="131",M2698="131"),H2698='131-CT'!$E$7),"131",""))</f>
        <v/>
      </c>
      <c r="O2698" s="525" t="str">
        <f>IF(AND($B2698&gt;='111'!$N$11,$B2698&lt;='111'!$O$11,OR($L2698=$O$7,$M2698=$O$7)),"x","")</f>
        <v/>
      </c>
      <c r="P2698" s="525" t="str">
        <f>IF(AND($L2698=$O$7,$B2698&lt;'111'!$N$11),"x","")</f>
        <v/>
      </c>
      <c r="Q2698" s="525" t="str">
        <f>IF(AND($M2698=$O$7,$B2698&lt;'111'!$N$11),"x","")</f>
        <v/>
      </c>
      <c r="R2698" s="525" t="str">
        <f>IF(ISERROR(FIND('112'!$M$9,G2698,1)),"",IF((AND(FIND('112'!$M$9,G2698,1)&gt;=1,$B2698&gt;='112'!$N$8,$B2698&lt;='112'!$O$8,OR($L2698='112'!$I$6,$M2698='112'!$I$6))),"x",""))</f>
        <v/>
      </c>
      <c r="S2698" s="525" t="str">
        <f>IF(ISERROR(FIND('112'!$M$9,G2698,1)),"",IF((AND(LEFT(G2698,2)=LEFT('112'!$M$9,2),B2698&lt;'112'!$N$8,$L2698='112'!$I$6)),"x",""))</f>
        <v/>
      </c>
      <c r="T2698" s="525" t="str">
        <f>IF(ISERROR(FIND('112'!$M$9,G2698,1)),"",IF((AND(RIGHT(G2698,2)=RIGHT('112'!$M$9,2),B2698&lt;'112'!$N$8,$M2698='112'!$I$6)),"x",""))</f>
        <v/>
      </c>
      <c r="U2698" s="525" t="str">
        <f>IF(AND(B2698&gt;='IN-NX'!$P$3,B2698&lt;='IN-NX'!$Q$3,'IN-NX'!$D$7=D2698,OR(LEFT(L2698,2)="15",AND(LEFT(M2698,2)&lt;&gt;"15",LEFT(M2698,2)&lt;&gt;"33"))),"x","")</f>
        <v/>
      </c>
      <c r="V2698" s="525" t="str">
        <f>IF(AND(OR(LEFT(TH!L2698,2)="15",LEFT(TH!M2698,2)="15"),'152-CT'!$J$8=TH!F2698),"x","")</f>
        <v/>
      </c>
      <c r="W2698" s="525" t="str">
        <f>IF(AND(OR(LEFT(TH!L2698,2)="15",LEFT(TH!M2698,2)="15"),TK!$E$7=TH!F2698),"x","")</f>
        <v/>
      </c>
      <c r="X2698" s="525" t="str">
        <f>IF(AND('341-CT'!$E$9=H2698,OR(LEFT(L2698,3)=$X$7,LEFT(M2698,3)=$X$7)),"x","")</f>
        <v/>
      </c>
      <c r="Y2698" s="525" t="str">
        <f>IF(OR(TH!L2698=TH!$Y$7,M2698=TH!$Y$7),"x","")</f>
        <v/>
      </c>
      <c r="Z2698" s="525" t="str">
        <f>IF(AND(B2698&lt;=NKC!$N$8,B2698&gt;=NKC!$M$8),"x","")</f>
        <v/>
      </c>
      <c r="AA2698" s="535">
        <v>2</v>
      </c>
      <c r="AB2698" s="536"/>
    </row>
    <row r="2699" spans="1:28" s="503" customFormat="1" ht="15.75" customHeight="1">
      <c r="A2699" s="517" t="str">
        <f>IF(B2699&lt;&gt;"",IF(AND(B2699&gt;=_TM1,B2699&lt;=_TM2,OR(TH!L2699="1111",TH!M2699="1111")),TH!D2699,""),"")</f>
        <v/>
      </c>
      <c r="B2699" s="531">
        <f t="shared" si="236"/>
        <v>6</v>
      </c>
      <c r="C2699" s="315">
        <f t="shared" si="237"/>
        <v>42909</v>
      </c>
      <c r="D2699" s="315" t="s">
        <v>1369</v>
      </c>
      <c r="E2699" s="315">
        <v>42909</v>
      </c>
      <c r="F2699" s="249" t="s">
        <v>1225</v>
      </c>
      <c r="G2699" s="314" t="s">
        <v>1258</v>
      </c>
      <c r="H2699" s="473" t="s">
        <v>1142</v>
      </c>
      <c r="I2699" s="307">
        <v>72</v>
      </c>
      <c r="J2699" s="307">
        <v>21062</v>
      </c>
      <c r="K2699" s="532">
        <f t="shared" si="235"/>
        <v>1516464</v>
      </c>
      <c r="L2699" s="534" t="s">
        <v>292</v>
      </c>
      <c r="M2699" s="534" t="s">
        <v>8</v>
      </c>
      <c r="N2699" s="525" t="str">
        <f>IF(AND('331-CT'!$E$7=TH!H2699,OR(L2699="331",M2699="331")),"331",IF(AND(OR(L2699="131",M2699="131"),H2699='131-CT'!$E$7),"131",""))</f>
        <v/>
      </c>
      <c r="O2699" s="525" t="str">
        <f>IF(AND($B2699&gt;='111'!$N$11,$B2699&lt;='111'!$O$11,OR($L2699=$O$7,$M2699=$O$7)),"x","")</f>
        <v/>
      </c>
      <c r="P2699" s="525" t="str">
        <f>IF(AND($L2699=$O$7,$B2699&lt;'111'!$N$11),"x","")</f>
        <v/>
      </c>
      <c r="Q2699" s="525" t="str">
        <f>IF(AND($M2699=$O$7,$B2699&lt;'111'!$N$11),"x","")</f>
        <v/>
      </c>
      <c r="R2699" s="525" t="str">
        <f>IF(ISERROR(FIND('112'!$M$9,G2699,1)),"",IF((AND(FIND('112'!$M$9,G2699,1)&gt;=1,$B2699&gt;='112'!$N$8,$B2699&lt;='112'!$O$8,OR($L2699='112'!$I$6,$M2699='112'!$I$6))),"x",""))</f>
        <v/>
      </c>
      <c r="S2699" s="525" t="str">
        <f>IF(ISERROR(FIND('112'!$M$9,G2699,1)),"",IF((AND(LEFT(G2699,2)=LEFT('112'!$M$9,2),B2699&lt;'112'!$N$8,$L2699='112'!$I$6)),"x",""))</f>
        <v/>
      </c>
      <c r="T2699" s="525" t="str">
        <f>IF(ISERROR(FIND('112'!$M$9,G2699,1)),"",IF((AND(RIGHT(G2699,2)=RIGHT('112'!$M$9,2),B2699&lt;'112'!$N$8,$M2699='112'!$I$6)),"x",""))</f>
        <v/>
      </c>
      <c r="U2699" s="525" t="str">
        <f>IF(AND(B2699&gt;='IN-NX'!$P$3,B2699&lt;='IN-NX'!$Q$3,'IN-NX'!$D$7=D2699,OR(LEFT(L2699,2)="15",AND(LEFT(M2699,2)&lt;&gt;"15",LEFT(M2699,2)&lt;&gt;"33"))),"x","")</f>
        <v/>
      </c>
      <c r="V2699" s="525" t="str">
        <f>IF(AND(OR(LEFT(TH!L2699,2)="15",LEFT(TH!M2699,2)="15"),'152-CT'!$J$8=TH!F2699),"x","")</f>
        <v/>
      </c>
      <c r="W2699" s="525" t="str">
        <f>IF(AND(OR(LEFT(TH!L2699,2)="15",LEFT(TH!M2699,2)="15"),TK!$E$7=TH!F2699),"x","")</f>
        <v/>
      </c>
      <c r="X2699" s="525" t="str">
        <f>IF(AND('341-CT'!$E$9=H2699,OR(LEFT(L2699,3)=$X$7,LEFT(M2699,3)=$X$7)),"x","")</f>
        <v/>
      </c>
      <c r="Y2699" s="525" t="str">
        <f>IF(OR(TH!L2699=TH!$Y$7,M2699=TH!$Y$7),"x","")</f>
        <v/>
      </c>
      <c r="Z2699" s="525" t="str">
        <f>IF(AND(B2699&lt;=NKC!$N$8,B2699&gt;=NKC!$M$8),"x","")</f>
        <v/>
      </c>
      <c r="AA2699" s="535">
        <v>2</v>
      </c>
      <c r="AB2699" s="536"/>
    </row>
    <row r="2700" spans="1:28" s="503" customFormat="1" ht="15.75" customHeight="1">
      <c r="A2700" s="517" t="str">
        <f>IF(B2700&lt;&gt;"",IF(AND(B2700&gt;=_TM1,B2700&lt;=_TM2,OR(TH!L2700="1111",TH!M2700="1111")),TH!D2700,""),"")</f>
        <v/>
      </c>
      <c r="B2700" s="531">
        <f t="shared" si="236"/>
        <v>6</v>
      </c>
      <c r="C2700" s="315">
        <f t="shared" si="237"/>
        <v>42909</v>
      </c>
      <c r="D2700" s="315" t="s">
        <v>1369</v>
      </c>
      <c r="E2700" s="315">
        <v>42909</v>
      </c>
      <c r="F2700" s="249" t="s">
        <v>709</v>
      </c>
      <c r="G2700" s="314" t="s">
        <v>1258</v>
      </c>
      <c r="H2700" s="473" t="s">
        <v>1142</v>
      </c>
      <c r="I2700" s="307">
        <v>30</v>
      </c>
      <c r="J2700" s="307">
        <v>40666</v>
      </c>
      <c r="K2700" s="532">
        <f t="shared" si="235"/>
        <v>1219980</v>
      </c>
      <c r="L2700" s="534" t="s">
        <v>292</v>
      </c>
      <c r="M2700" s="534" t="s">
        <v>8</v>
      </c>
      <c r="N2700" s="525" t="str">
        <f>IF(AND('331-CT'!$E$7=TH!H2700,OR(L2700="331",M2700="331")),"331",IF(AND(OR(L2700="131",M2700="131"),H2700='131-CT'!$E$7),"131",""))</f>
        <v/>
      </c>
      <c r="O2700" s="525" t="str">
        <f>IF(AND($B2700&gt;='111'!$N$11,$B2700&lt;='111'!$O$11,OR($L2700=$O$7,$M2700=$O$7)),"x","")</f>
        <v/>
      </c>
      <c r="P2700" s="525" t="str">
        <f>IF(AND($L2700=$O$7,$B2700&lt;'111'!$N$11),"x","")</f>
        <v/>
      </c>
      <c r="Q2700" s="525" t="str">
        <f>IF(AND($M2700=$O$7,$B2700&lt;'111'!$N$11),"x","")</f>
        <v/>
      </c>
      <c r="R2700" s="525" t="str">
        <f>IF(ISERROR(FIND('112'!$M$9,G2700,1)),"",IF((AND(FIND('112'!$M$9,G2700,1)&gt;=1,$B2700&gt;='112'!$N$8,$B2700&lt;='112'!$O$8,OR($L2700='112'!$I$6,$M2700='112'!$I$6))),"x",""))</f>
        <v/>
      </c>
      <c r="S2700" s="525" t="str">
        <f>IF(ISERROR(FIND('112'!$M$9,G2700,1)),"",IF((AND(LEFT(G2700,2)=LEFT('112'!$M$9,2),B2700&lt;'112'!$N$8,$L2700='112'!$I$6)),"x",""))</f>
        <v/>
      </c>
      <c r="T2700" s="525" t="str">
        <f>IF(ISERROR(FIND('112'!$M$9,G2700,1)),"",IF((AND(RIGHT(G2700,2)=RIGHT('112'!$M$9,2),B2700&lt;'112'!$N$8,$M2700='112'!$I$6)),"x",""))</f>
        <v/>
      </c>
      <c r="U2700" s="525" t="str">
        <f>IF(AND(B2700&gt;='IN-NX'!$P$3,B2700&lt;='IN-NX'!$Q$3,'IN-NX'!$D$7=D2700,OR(LEFT(L2700,2)="15",AND(LEFT(M2700,2)&lt;&gt;"15",LEFT(M2700,2)&lt;&gt;"33"))),"x","")</f>
        <v/>
      </c>
      <c r="V2700" s="525" t="str">
        <f>IF(AND(OR(LEFT(TH!L2700,2)="15",LEFT(TH!M2700,2)="15"),'152-CT'!$J$8=TH!F2700),"x","")</f>
        <v/>
      </c>
      <c r="W2700" s="525" t="str">
        <f>IF(AND(OR(LEFT(TH!L2700,2)="15",LEFT(TH!M2700,2)="15"),TK!$E$7=TH!F2700),"x","")</f>
        <v/>
      </c>
      <c r="X2700" s="525" t="str">
        <f>IF(AND('341-CT'!$E$9=H2700,OR(LEFT(L2700,3)=$X$7,LEFT(M2700,3)=$X$7)),"x","")</f>
        <v/>
      </c>
      <c r="Y2700" s="525" t="str">
        <f>IF(OR(TH!L2700=TH!$Y$7,M2700=TH!$Y$7),"x","")</f>
        <v/>
      </c>
      <c r="Z2700" s="525" t="str">
        <f>IF(AND(B2700&lt;=NKC!$N$8,B2700&gt;=NKC!$M$8),"x","")</f>
        <v/>
      </c>
      <c r="AA2700" s="535">
        <v>2</v>
      </c>
      <c r="AB2700" s="536"/>
    </row>
    <row r="2701" spans="1:28" s="503" customFormat="1" ht="15.75" customHeight="1">
      <c r="A2701" s="517" t="str">
        <f>IF(B2701&lt;&gt;"",IF(AND(B2701&gt;=_TM1,B2701&lt;=_TM2,OR(TH!L2701="1111",TH!M2701="1111")),TH!D2701,""),"")</f>
        <v/>
      </c>
      <c r="B2701" s="531">
        <f t="shared" si="236"/>
        <v>6</v>
      </c>
      <c r="C2701" s="315">
        <f t="shared" si="237"/>
        <v>42909</v>
      </c>
      <c r="D2701" s="315" t="s">
        <v>1369</v>
      </c>
      <c r="E2701" s="315">
        <v>42909</v>
      </c>
      <c r="F2701" s="249" t="s">
        <v>1226</v>
      </c>
      <c r="G2701" s="314" t="s">
        <v>1258</v>
      </c>
      <c r="H2701" s="473" t="s">
        <v>1142</v>
      </c>
      <c r="I2701" s="307">
        <v>24</v>
      </c>
      <c r="J2701" s="307">
        <v>18008</v>
      </c>
      <c r="K2701" s="532">
        <f t="shared" si="235"/>
        <v>432192</v>
      </c>
      <c r="L2701" s="534" t="s">
        <v>292</v>
      </c>
      <c r="M2701" s="534" t="s">
        <v>8</v>
      </c>
      <c r="N2701" s="525" t="str">
        <f>IF(AND('331-CT'!$E$7=TH!H2701,OR(L2701="331",M2701="331")),"331",IF(AND(OR(L2701="131",M2701="131"),H2701='131-CT'!$E$7),"131",""))</f>
        <v/>
      </c>
      <c r="O2701" s="525" t="str">
        <f>IF(AND($B2701&gt;='111'!$N$11,$B2701&lt;='111'!$O$11,OR($L2701=$O$7,$M2701=$O$7)),"x","")</f>
        <v/>
      </c>
      <c r="P2701" s="525" t="str">
        <f>IF(AND($L2701=$O$7,$B2701&lt;'111'!$N$11),"x","")</f>
        <v/>
      </c>
      <c r="Q2701" s="525" t="str">
        <f>IF(AND($M2701=$O$7,$B2701&lt;'111'!$N$11),"x","")</f>
        <v/>
      </c>
      <c r="R2701" s="525" t="str">
        <f>IF(ISERROR(FIND('112'!$M$9,G2701,1)),"",IF((AND(FIND('112'!$M$9,G2701,1)&gt;=1,$B2701&gt;='112'!$N$8,$B2701&lt;='112'!$O$8,OR($L2701='112'!$I$6,$M2701='112'!$I$6))),"x",""))</f>
        <v/>
      </c>
      <c r="S2701" s="525" t="str">
        <f>IF(ISERROR(FIND('112'!$M$9,G2701,1)),"",IF((AND(LEFT(G2701,2)=LEFT('112'!$M$9,2),B2701&lt;'112'!$N$8,$L2701='112'!$I$6)),"x",""))</f>
        <v/>
      </c>
      <c r="T2701" s="525" t="str">
        <f>IF(ISERROR(FIND('112'!$M$9,G2701,1)),"",IF((AND(RIGHT(G2701,2)=RIGHT('112'!$M$9,2),B2701&lt;'112'!$N$8,$M2701='112'!$I$6)),"x",""))</f>
        <v/>
      </c>
      <c r="U2701" s="525" t="str">
        <f>IF(AND(B2701&gt;='IN-NX'!$P$3,B2701&lt;='IN-NX'!$Q$3,'IN-NX'!$D$7=D2701,OR(LEFT(L2701,2)="15",AND(LEFT(M2701,2)&lt;&gt;"15",LEFT(M2701,2)&lt;&gt;"33"))),"x","")</f>
        <v/>
      </c>
      <c r="V2701" s="525" t="str">
        <f>IF(AND(OR(LEFT(TH!L2701,2)="15",LEFT(TH!M2701,2)="15"),'152-CT'!$J$8=TH!F2701),"x","")</f>
        <v/>
      </c>
      <c r="W2701" s="525" t="str">
        <f>IF(AND(OR(LEFT(TH!L2701,2)="15",LEFT(TH!M2701,2)="15"),TK!$E$7=TH!F2701),"x","")</f>
        <v/>
      </c>
      <c r="X2701" s="525" t="str">
        <f>IF(AND('341-CT'!$E$9=H2701,OR(LEFT(L2701,3)=$X$7,LEFT(M2701,3)=$X$7)),"x","")</f>
        <v/>
      </c>
      <c r="Y2701" s="525" t="str">
        <f>IF(OR(TH!L2701=TH!$Y$7,M2701=TH!$Y$7),"x","")</f>
        <v/>
      </c>
      <c r="Z2701" s="525" t="str">
        <f>IF(AND(B2701&lt;=NKC!$N$8,B2701&gt;=NKC!$M$8),"x","")</f>
        <v/>
      </c>
      <c r="AA2701" s="535">
        <v>2</v>
      </c>
      <c r="AB2701" s="536"/>
    </row>
    <row r="2702" spans="1:28" s="503" customFormat="1" ht="15.75" customHeight="1">
      <c r="A2702" s="517" t="str">
        <f>IF(B2702&lt;&gt;"",IF(AND(B2702&gt;=_TM1,B2702&lt;=_TM2,OR(TH!L2702="1111",TH!M2702="1111")),TH!D2702,""),"")</f>
        <v/>
      </c>
      <c r="B2702" s="531">
        <f t="shared" si="236"/>
        <v>6</v>
      </c>
      <c r="C2702" s="315">
        <f t="shared" si="237"/>
        <v>42909</v>
      </c>
      <c r="D2702" s="315" t="s">
        <v>1369</v>
      </c>
      <c r="E2702" s="315">
        <v>42909</v>
      </c>
      <c r="F2702" s="249" t="s">
        <v>712</v>
      </c>
      <c r="G2702" s="314" t="s">
        <v>1258</v>
      </c>
      <c r="H2702" s="473" t="s">
        <v>1142</v>
      </c>
      <c r="I2702" s="307">
        <v>72</v>
      </c>
      <c r="J2702" s="307">
        <v>39511</v>
      </c>
      <c r="K2702" s="532">
        <f t="shared" si="235"/>
        <v>2844792</v>
      </c>
      <c r="L2702" s="534" t="s">
        <v>292</v>
      </c>
      <c r="M2702" s="534" t="s">
        <v>8</v>
      </c>
      <c r="N2702" s="525" t="str">
        <f>IF(AND('331-CT'!$E$7=TH!H2702,OR(L2702="331",M2702="331")),"331",IF(AND(OR(L2702="131",M2702="131"),H2702='131-CT'!$E$7),"131",""))</f>
        <v/>
      </c>
      <c r="O2702" s="525" t="str">
        <f>IF(AND($B2702&gt;='111'!$N$11,$B2702&lt;='111'!$O$11,OR($L2702=$O$7,$M2702=$O$7)),"x","")</f>
        <v/>
      </c>
      <c r="P2702" s="525" t="str">
        <f>IF(AND($L2702=$O$7,$B2702&lt;'111'!$N$11),"x","")</f>
        <v/>
      </c>
      <c r="Q2702" s="525" t="str">
        <f>IF(AND($M2702=$O$7,$B2702&lt;'111'!$N$11),"x","")</f>
        <v/>
      </c>
      <c r="R2702" s="525" t="str">
        <f>IF(ISERROR(FIND('112'!$M$9,G2702,1)),"",IF((AND(FIND('112'!$M$9,G2702,1)&gt;=1,$B2702&gt;='112'!$N$8,$B2702&lt;='112'!$O$8,OR($L2702='112'!$I$6,$M2702='112'!$I$6))),"x",""))</f>
        <v/>
      </c>
      <c r="S2702" s="525" t="str">
        <f>IF(ISERROR(FIND('112'!$M$9,G2702,1)),"",IF((AND(LEFT(G2702,2)=LEFT('112'!$M$9,2),B2702&lt;'112'!$N$8,$L2702='112'!$I$6)),"x",""))</f>
        <v/>
      </c>
      <c r="T2702" s="525" t="str">
        <f>IF(ISERROR(FIND('112'!$M$9,G2702,1)),"",IF((AND(RIGHT(G2702,2)=RIGHT('112'!$M$9,2),B2702&lt;'112'!$N$8,$M2702='112'!$I$6)),"x",""))</f>
        <v/>
      </c>
      <c r="U2702" s="525" t="str">
        <f>IF(AND(B2702&gt;='IN-NX'!$P$3,B2702&lt;='IN-NX'!$Q$3,'IN-NX'!$D$7=D2702,OR(LEFT(L2702,2)="15",AND(LEFT(M2702,2)&lt;&gt;"15",LEFT(M2702,2)&lt;&gt;"33"))),"x","")</f>
        <v/>
      </c>
      <c r="V2702" s="525" t="str">
        <f>IF(AND(OR(LEFT(TH!L2702,2)="15",LEFT(TH!M2702,2)="15"),'152-CT'!$J$8=TH!F2702),"x","")</f>
        <v/>
      </c>
      <c r="W2702" s="525" t="str">
        <f>IF(AND(OR(LEFT(TH!L2702,2)="15",LEFT(TH!M2702,2)="15"),TK!$E$7=TH!F2702),"x","")</f>
        <v/>
      </c>
      <c r="X2702" s="525" t="str">
        <f>IF(AND('341-CT'!$E$9=H2702,OR(LEFT(L2702,3)=$X$7,LEFT(M2702,3)=$X$7)),"x","")</f>
        <v/>
      </c>
      <c r="Y2702" s="525" t="str">
        <f>IF(OR(TH!L2702=TH!$Y$7,M2702=TH!$Y$7),"x","")</f>
        <v/>
      </c>
      <c r="Z2702" s="525" t="str">
        <f>IF(AND(B2702&lt;=NKC!$N$8,B2702&gt;=NKC!$M$8),"x","")</f>
        <v/>
      </c>
      <c r="AA2702" s="535">
        <v>2</v>
      </c>
      <c r="AB2702" s="536"/>
    </row>
    <row r="2703" spans="1:28" s="503" customFormat="1" ht="15.75" customHeight="1">
      <c r="A2703" s="517" t="str">
        <f>IF(B2703&lt;&gt;"",IF(AND(B2703&gt;=_TM1,B2703&lt;=_TM2,OR(TH!L2703="1111",TH!M2703="1111")),TH!D2703,""),"")</f>
        <v/>
      </c>
      <c r="B2703" s="531">
        <f t="shared" si="236"/>
        <v>6</v>
      </c>
      <c r="C2703" s="315">
        <f t="shared" si="237"/>
        <v>42909</v>
      </c>
      <c r="D2703" s="315" t="s">
        <v>1370</v>
      </c>
      <c r="E2703" s="315">
        <v>42909</v>
      </c>
      <c r="F2703" s="249" t="s">
        <v>1227</v>
      </c>
      <c r="G2703" s="314" t="s">
        <v>1258</v>
      </c>
      <c r="H2703" s="473" t="s">
        <v>1142</v>
      </c>
      <c r="I2703" s="307">
        <v>11</v>
      </c>
      <c r="J2703" s="307">
        <v>21969</v>
      </c>
      <c r="K2703" s="532">
        <f t="shared" si="235"/>
        <v>241659</v>
      </c>
      <c r="L2703" s="534" t="s">
        <v>292</v>
      </c>
      <c r="M2703" s="534" t="s">
        <v>8</v>
      </c>
      <c r="N2703" s="525" t="str">
        <f>IF(AND('331-CT'!$E$7=TH!H2703,OR(L2703="331",M2703="331")),"331",IF(AND(OR(L2703="131",M2703="131"),H2703='131-CT'!$E$7),"131",""))</f>
        <v/>
      </c>
      <c r="O2703" s="525" t="str">
        <f>IF(AND($B2703&gt;='111'!$N$11,$B2703&lt;='111'!$O$11,OR($L2703=$O$7,$M2703=$O$7)),"x","")</f>
        <v/>
      </c>
      <c r="P2703" s="525" t="str">
        <f>IF(AND($L2703=$O$7,$B2703&lt;'111'!$N$11),"x","")</f>
        <v/>
      </c>
      <c r="Q2703" s="525" t="str">
        <f>IF(AND($M2703=$O$7,$B2703&lt;'111'!$N$11),"x","")</f>
        <v/>
      </c>
      <c r="R2703" s="525" t="str">
        <f>IF(ISERROR(FIND('112'!$M$9,G2703,1)),"",IF((AND(FIND('112'!$M$9,G2703,1)&gt;=1,$B2703&gt;='112'!$N$8,$B2703&lt;='112'!$O$8,OR($L2703='112'!$I$6,$M2703='112'!$I$6))),"x",""))</f>
        <v/>
      </c>
      <c r="S2703" s="525" t="str">
        <f>IF(ISERROR(FIND('112'!$M$9,G2703,1)),"",IF((AND(LEFT(G2703,2)=LEFT('112'!$M$9,2),B2703&lt;'112'!$N$8,$L2703='112'!$I$6)),"x",""))</f>
        <v/>
      </c>
      <c r="T2703" s="525" t="str">
        <f>IF(ISERROR(FIND('112'!$M$9,G2703,1)),"",IF((AND(RIGHT(G2703,2)=RIGHT('112'!$M$9,2),B2703&lt;'112'!$N$8,$M2703='112'!$I$6)),"x",""))</f>
        <v/>
      </c>
      <c r="U2703" s="525" t="str">
        <f>IF(AND(B2703&gt;='IN-NX'!$P$3,B2703&lt;='IN-NX'!$Q$3,'IN-NX'!$D$7=D2703,OR(LEFT(L2703,2)="15",AND(LEFT(M2703,2)&lt;&gt;"15",LEFT(M2703,2)&lt;&gt;"33"))),"x","")</f>
        <v/>
      </c>
      <c r="V2703" s="525" t="str">
        <f>IF(AND(OR(LEFT(TH!L2703,2)="15",LEFT(TH!M2703,2)="15"),'152-CT'!$J$8=TH!F2703),"x","")</f>
        <v/>
      </c>
      <c r="W2703" s="525" t="str">
        <f>IF(AND(OR(LEFT(TH!L2703,2)="15",LEFT(TH!M2703,2)="15"),TK!$E$7=TH!F2703),"x","")</f>
        <v/>
      </c>
      <c r="X2703" s="525" t="str">
        <f>IF(AND('341-CT'!$E$9=H2703,OR(LEFT(L2703,3)=$X$7,LEFT(M2703,3)=$X$7)),"x","")</f>
        <v/>
      </c>
      <c r="Y2703" s="525" t="str">
        <f>IF(OR(TH!L2703=TH!$Y$7,M2703=TH!$Y$7),"x","")</f>
        <v/>
      </c>
      <c r="Z2703" s="525" t="str">
        <f>IF(AND(B2703&lt;=NKC!$N$8,B2703&gt;=NKC!$M$8),"x","")</f>
        <v/>
      </c>
      <c r="AA2703" s="535">
        <v>2</v>
      </c>
      <c r="AB2703" s="536"/>
    </row>
    <row r="2704" spans="1:28" s="503" customFormat="1" ht="15.75" customHeight="1">
      <c r="A2704" s="517" t="str">
        <f>IF(B2704&lt;&gt;"",IF(AND(B2704&gt;=_TM1,B2704&lt;=_TM2,OR(TH!L2704="1111",TH!M2704="1111")),TH!D2704,""),"")</f>
        <v/>
      </c>
      <c r="B2704" s="531">
        <f t="shared" si="236"/>
        <v>6</v>
      </c>
      <c r="C2704" s="315">
        <f t="shared" si="237"/>
        <v>42909</v>
      </c>
      <c r="D2704" s="315" t="s">
        <v>1370</v>
      </c>
      <c r="E2704" s="315">
        <v>42909</v>
      </c>
      <c r="F2704" s="249" t="s">
        <v>713</v>
      </c>
      <c r="G2704" s="314" t="s">
        <v>1258</v>
      </c>
      <c r="H2704" s="473" t="s">
        <v>1142</v>
      </c>
      <c r="I2704" s="307">
        <v>30</v>
      </c>
      <c r="J2704" s="307">
        <v>33376</v>
      </c>
      <c r="K2704" s="532">
        <f t="shared" si="235"/>
        <v>1001280</v>
      </c>
      <c r="L2704" s="534" t="s">
        <v>292</v>
      </c>
      <c r="M2704" s="534" t="s">
        <v>8</v>
      </c>
      <c r="N2704" s="525" t="str">
        <f>IF(AND('331-CT'!$E$7=TH!H2704,OR(L2704="331",M2704="331")),"331",IF(AND(OR(L2704="131",M2704="131"),H2704='131-CT'!$E$7),"131",""))</f>
        <v/>
      </c>
      <c r="O2704" s="525" t="str">
        <f>IF(AND($B2704&gt;='111'!$N$11,$B2704&lt;='111'!$O$11,OR($L2704=$O$7,$M2704=$O$7)),"x","")</f>
        <v/>
      </c>
      <c r="P2704" s="525" t="str">
        <f>IF(AND($L2704=$O$7,$B2704&lt;'111'!$N$11),"x","")</f>
        <v/>
      </c>
      <c r="Q2704" s="525" t="str">
        <f>IF(AND($M2704=$O$7,$B2704&lt;'111'!$N$11),"x","")</f>
        <v/>
      </c>
      <c r="R2704" s="525" t="str">
        <f>IF(ISERROR(FIND('112'!$M$9,G2704,1)),"",IF((AND(FIND('112'!$M$9,G2704,1)&gt;=1,$B2704&gt;='112'!$N$8,$B2704&lt;='112'!$O$8,OR($L2704='112'!$I$6,$M2704='112'!$I$6))),"x",""))</f>
        <v/>
      </c>
      <c r="S2704" s="525" t="str">
        <f>IF(ISERROR(FIND('112'!$M$9,G2704,1)),"",IF((AND(LEFT(G2704,2)=LEFT('112'!$M$9,2),B2704&lt;'112'!$N$8,$L2704='112'!$I$6)),"x",""))</f>
        <v/>
      </c>
      <c r="T2704" s="525" t="str">
        <f>IF(ISERROR(FIND('112'!$M$9,G2704,1)),"",IF((AND(RIGHT(G2704,2)=RIGHT('112'!$M$9,2),B2704&lt;'112'!$N$8,$M2704='112'!$I$6)),"x",""))</f>
        <v/>
      </c>
      <c r="U2704" s="525" t="str">
        <f>IF(AND(B2704&gt;='IN-NX'!$P$3,B2704&lt;='IN-NX'!$Q$3,'IN-NX'!$D$7=D2704,OR(LEFT(L2704,2)="15",AND(LEFT(M2704,2)&lt;&gt;"15",LEFT(M2704,2)&lt;&gt;"33"))),"x","")</f>
        <v/>
      </c>
      <c r="V2704" s="525" t="str">
        <f>IF(AND(OR(LEFT(TH!L2704,2)="15",LEFT(TH!M2704,2)="15"),'152-CT'!$J$8=TH!F2704),"x","")</f>
        <v/>
      </c>
      <c r="W2704" s="525" t="str">
        <f>IF(AND(OR(LEFT(TH!L2704,2)="15",LEFT(TH!M2704,2)="15"),TK!$E$7=TH!F2704),"x","")</f>
        <v/>
      </c>
      <c r="X2704" s="525" t="str">
        <f>IF(AND('341-CT'!$E$9=H2704,OR(LEFT(L2704,3)=$X$7,LEFT(M2704,3)=$X$7)),"x","")</f>
        <v/>
      </c>
      <c r="Y2704" s="525" t="str">
        <f>IF(OR(TH!L2704=TH!$Y$7,M2704=TH!$Y$7),"x","")</f>
        <v/>
      </c>
      <c r="Z2704" s="525" t="str">
        <f>IF(AND(B2704&lt;=NKC!$N$8,B2704&gt;=NKC!$M$8),"x","")</f>
        <v/>
      </c>
      <c r="AA2704" s="535">
        <v>2</v>
      </c>
      <c r="AB2704" s="536"/>
    </row>
    <row r="2705" spans="1:28" s="503" customFormat="1" ht="15.75" customHeight="1">
      <c r="A2705" s="517" t="str">
        <f>IF(B2705&lt;&gt;"",IF(AND(B2705&gt;=_TM1,B2705&lt;=_TM2,OR(TH!L2705="1111",TH!M2705="1111")),TH!D2705,""),"")</f>
        <v/>
      </c>
      <c r="B2705" s="531">
        <f t="shared" si="236"/>
        <v>6</v>
      </c>
      <c r="C2705" s="315">
        <f t="shared" si="237"/>
        <v>42909</v>
      </c>
      <c r="D2705" s="315" t="s">
        <v>1370</v>
      </c>
      <c r="E2705" s="315">
        <v>42909</v>
      </c>
      <c r="F2705" s="249" t="s">
        <v>761</v>
      </c>
      <c r="G2705" s="314" t="s">
        <v>1258</v>
      </c>
      <c r="H2705" s="473" t="s">
        <v>1142</v>
      </c>
      <c r="I2705" s="307">
        <v>18</v>
      </c>
      <c r="J2705" s="307">
        <v>39071</v>
      </c>
      <c r="K2705" s="532">
        <f t="shared" si="235"/>
        <v>703278</v>
      </c>
      <c r="L2705" s="534" t="s">
        <v>292</v>
      </c>
      <c r="M2705" s="534" t="s">
        <v>8</v>
      </c>
      <c r="N2705" s="525" t="str">
        <f>IF(AND('331-CT'!$E$7=TH!H2705,OR(L2705="331",M2705="331")),"331",IF(AND(OR(L2705="131",M2705="131"),H2705='131-CT'!$E$7),"131",""))</f>
        <v/>
      </c>
      <c r="O2705" s="525" t="str">
        <f>IF(AND($B2705&gt;='111'!$N$11,$B2705&lt;='111'!$O$11,OR($L2705=$O$7,$M2705=$O$7)),"x","")</f>
        <v/>
      </c>
      <c r="P2705" s="525" t="str">
        <f>IF(AND($L2705=$O$7,$B2705&lt;'111'!$N$11),"x","")</f>
        <v/>
      </c>
      <c r="Q2705" s="525" t="str">
        <f>IF(AND($M2705=$O$7,$B2705&lt;'111'!$N$11),"x","")</f>
        <v/>
      </c>
      <c r="R2705" s="525" t="str">
        <f>IF(ISERROR(FIND('112'!$M$9,G2705,1)),"",IF((AND(FIND('112'!$M$9,G2705,1)&gt;=1,$B2705&gt;='112'!$N$8,$B2705&lt;='112'!$O$8,OR($L2705='112'!$I$6,$M2705='112'!$I$6))),"x",""))</f>
        <v/>
      </c>
      <c r="S2705" s="525" t="str">
        <f>IF(ISERROR(FIND('112'!$M$9,G2705,1)),"",IF((AND(LEFT(G2705,2)=LEFT('112'!$M$9,2),B2705&lt;'112'!$N$8,$L2705='112'!$I$6)),"x",""))</f>
        <v/>
      </c>
      <c r="T2705" s="525" t="str">
        <f>IF(ISERROR(FIND('112'!$M$9,G2705,1)),"",IF((AND(RIGHT(G2705,2)=RIGHT('112'!$M$9,2),B2705&lt;'112'!$N$8,$M2705='112'!$I$6)),"x",""))</f>
        <v/>
      </c>
      <c r="U2705" s="525" t="str">
        <f>IF(AND(B2705&gt;='IN-NX'!$P$3,B2705&lt;='IN-NX'!$Q$3,'IN-NX'!$D$7=D2705,OR(LEFT(L2705,2)="15",AND(LEFT(M2705,2)&lt;&gt;"15",LEFT(M2705,2)&lt;&gt;"33"))),"x","")</f>
        <v/>
      </c>
      <c r="V2705" s="525" t="str">
        <f>IF(AND(OR(LEFT(TH!L2705,2)="15",LEFT(TH!M2705,2)="15"),'152-CT'!$J$8=TH!F2705),"x","")</f>
        <v/>
      </c>
      <c r="W2705" s="525" t="str">
        <f>IF(AND(OR(LEFT(TH!L2705,2)="15",LEFT(TH!M2705,2)="15"),TK!$E$7=TH!F2705),"x","")</f>
        <v/>
      </c>
      <c r="X2705" s="525" t="str">
        <f>IF(AND('341-CT'!$E$9=H2705,OR(LEFT(L2705,3)=$X$7,LEFT(M2705,3)=$X$7)),"x","")</f>
        <v/>
      </c>
      <c r="Y2705" s="525" t="str">
        <f>IF(OR(TH!L2705=TH!$Y$7,M2705=TH!$Y$7),"x","")</f>
        <v/>
      </c>
      <c r="Z2705" s="525" t="str">
        <f>IF(AND(B2705&lt;=NKC!$N$8,B2705&gt;=NKC!$M$8),"x","")</f>
        <v/>
      </c>
      <c r="AA2705" s="535">
        <v>2</v>
      </c>
      <c r="AB2705" s="536"/>
    </row>
    <row r="2706" spans="1:28" s="503" customFormat="1" ht="15.75" customHeight="1">
      <c r="A2706" s="517" t="str">
        <f>IF(B2706&lt;&gt;"",IF(AND(B2706&gt;=_TM1,B2706&lt;=_TM2,OR(TH!L2706="1111",TH!M2706="1111")),TH!D2706,""),"")</f>
        <v/>
      </c>
      <c r="B2706" s="531">
        <f t="shared" si="236"/>
        <v>6</v>
      </c>
      <c r="C2706" s="315">
        <f t="shared" si="237"/>
        <v>42909</v>
      </c>
      <c r="D2706" s="315" t="s">
        <v>1370</v>
      </c>
      <c r="E2706" s="315">
        <v>42909</v>
      </c>
      <c r="F2706" s="249" t="s">
        <v>1228</v>
      </c>
      <c r="G2706" s="314" t="s">
        <v>1258</v>
      </c>
      <c r="H2706" s="473" t="s">
        <v>1142</v>
      </c>
      <c r="I2706" s="307">
        <v>60</v>
      </c>
      <c r="J2706" s="307">
        <v>13253</v>
      </c>
      <c r="K2706" s="532">
        <f t="shared" si="235"/>
        <v>795180</v>
      </c>
      <c r="L2706" s="534" t="s">
        <v>292</v>
      </c>
      <c r="M2706" s="534" t="s">
        <v>8</v>
      </c>
      <c r="N2706" s="525" t="str">
        <f>IF(AND('331-CT'!$E$7=TH!H2706,OR(L2706="331",M2706="331")),"331",IF(AND(OR(L2706="131",M2706="131"),H2706='131-CT'!$E$7),"131",""))</f>
        <v/>
      </c>
      <c r="O2706" s="525" t="str">
        <f>IF(AND($B2706&gt;='111'!$N$11,$B2706&lt;='111'!$O$11,OR($L2706=$O$7,$M2706=$O$7)),"x","")</f>
        <v/>
      </c>
      <c r="P2706" s="525" t="str">
        <f>IF(AND($L2706=$O$7,$B2706&lt;'111'!$N$11),"x","")</f>
        <v/>
      </c>
      <c r="Q2706" s="525" t="str">
        <f>IF(AND($M2706=$O$7,$B2706&lt;'111'!$N$11),"x","")</f>
        <v/>
      </c>
      <c r="R2706" s="525" t="str">
        <f>IF(ISERROR(FIND('112'!$M$9,G2706,1)),"",IF((AND(FIND('112'!$M$9,G2706,1)&gt;=1,$B2706&gt;='112'!$N$8,$B2706&lt;='112'!$O$8,OR($L2706='112'!$I$6,$M2706='112'!$I$6))),"x",""))</f>
        <v/>
      </c>
      <c r="S2706" s="525" t="str">
        <f>IF(ISERROR(FIND('112'!$M$9,G2706,1)),"",IF((AND(LEFT(G2706,2)=LEFT('112'!$M$9,2),B2706&lt;'112'!$N$8,$L2706='112'!$I$6)),"x",""))</f>
        <v/>
      </c>
      <c r="T2706" s="525" t="str">
        <f>IF(ISERROR(FIND('112'!$M$9,G2706,1)),"",IF((AND(RIGHT(G2706,2)=RIGHT('112'!$M$9,2),B2706&lt;'112'!$N$8,$M2706='112'!$I$6)),"x",""))</f>
        <v/>
      </c>
      <c r="U2706" s="525" t="str">
        <f>IF(AND(B2706&gt;='IN-NX'!$P$3,B2706&lt;='IN-NX'!$Q$3,'IN-NX'!$D$7=D2706,OR(LEFT(L2706,2)="15",AND(LEFT(M2706,2)&lt;&gt;"15",LEFT(M2706,2)&lt;&gt;"33"))),"x","")</f>
        <v/>
      </c>
      <c r="V2706" s="525" t="str">
        <f>IF(AND(OR(LEFT(TH!L2706,2)="15",LEFT(TH!M2706,2)="15"),'152-CT'!$J$8=TH!F2706),"x","")</f>
        <v/>
      </c>
      <c r="W2706" s="525" t="str">
        <f>IF(AND(OR(LEFT(TH!L2706,2)="15",LEFT(TH!M2706,2)="15"),TK!$E$7=TH!F2706),"x","")</f>
        <v/>
      </c>
      <c r="X2706" s="525" t="str">
        <f>IF(AND('341-CT'!$E$9=H2706,OR(LEFT(L2706,3)=$X$7,LEFT(M2706,3)=$X$7)),"x","")</f>
        <v/>
      </c>
      <c r="Y2706" s="525" t="str">
        <f>IF(OR(TH!L2706=TH!$Y$7,M2706=TH!$Y$7),"x","")</f>
        <v/>
      </c>
      <c r="Z2706" s="525" t="str">
        <f>IF(AND(B2706&lt;=NKC!$N$8,B2706&gt;=NKC!$M$8),"x","")</f>
        <v/>
      </c>
      <c r="AA2706" s="535">
        <v>2</v>
      </c>
      <c r="AB2706" s="536"/>
    </row>
    <row r="2707" spans="1:28" s="503" customFormat="1" ht="15.75" customHeight="1">
      <c r="A2707" s="517" t="str">
        <f>IF(B2707&lt;&gt;"",IF(AND(B2707&gt;=_TM1,B2707&lt;=_TM2,OR(TH!L2707="1111",TH!M2707="1111")),TH!D2707,""),"")</f>
        <v/>
      </c>
      <c r="B2707" s="531">
        <f t="shared" si="236"/>
        <v>6</v>
      </c>
      <c r="C2707" s="315">
        <f t="shared" si="237"/>
        <v>42909</v>
      </c>
      <c r="D2707" s="315" t="s">
        <v>1370</v>
      </c>
      <c r="E2707" s="315">
        <v>42909</v>
      </c>
      <c r="F2707" s="249" t="s">
        <v>728</v>
      </c>
      <c r="G2707" s="314" t="s">
        <v>1258</v>
      </c>
      <c r="H2707" s="473" t="s">
        <v>1142</v>
      </c>
      <c r="I2707" s="307">
        <v>30</v>
      </c>
      <c r="J2707" s="307">
        <v>20736</v>
      </c>
      <c r="K2707" s="532">
        <f t="shared" si="235"/>
        <v>622080</v>
      </c>
      <c r="L2707" s="534" t="s">
        <v>292</v>
      </c>
      <c r="M2707" s="534" t="s">
        <v>8</v>
      </c>
      <c r="N2707" s="525" t="str">
        <f>IF(AND('331-CT'!$E$7=TH!H2707,OR(L2707="331",M2707="331")),"331",IF(AND(OR(L2707="131",M2707="131"),H2707='131-CT'!$E$7),"131",""))</f>
        <v/>
      </c>
      <c r="O2707" s="525" t="str">
        <f>IF(AND($B2707&gt;='111'!$N$11,$B2707&lt;='111'!$O$11,OR($L2707=$O$7,$M2707=$O$7)),"x","")</f>
        <v/>
      </c>
      <c r="P2707" s="525" t="str">
        <f>IF(AND($L2707=$O$7,$B2707&lt;'111'!$N$11),"x","")</f>
        <v/>
      </c>
      <c r="Q2707" s="525" t="str">
        <f>IF(AND($M2707=$O$7,$B2707&lt;'111'!$N$11),"x","")</f>
        <v/>
      </c>
      <c r="R2707" s="525" t="str">
        <f>IF(ISERROR(FIND('112'!$M$9,G2707,1)),"",IF((AND(FIND('112'!$M$9,G2707,1)&gt;=1,$B2707&gt;='112'!$N$8,$B2707&lt;='112'!$O$8,OR($L2707='112'!$I$6,$M2707='112'!$I$6))),"x",""))</f>
        <v/>
      </c>
      <c r="S2707" s="525" t="str">
        <f>IF(ISERROR(FIND('112'!$M$9,G2707,1)),"",IF((AND(LEFT(G2707,2)=LEFT('112'!$M$9,2),B2707&lt;'112'!$N$8,$L2707='112'!$I$6)),"x",""))</f>
        <v/>
      </c>
      <c r="T2707" s="525" t="str">
        <f>IF(ISERROR(FIND('112'!$M$9,G2707,1)),"",IF((AND(RIGHT(G2707,2)=RIGHT('112'!$M$9,2),B2707&lt;'112'!$N$8,$M2707='112'!$I$6)),"x",""))</f>
        <v/>
      </c>
      <c r="U2707" s="525" t="str">
        <f>IF(AND(B2707&gt;='IN-NX'!$P$3,B2707&lt;='IN-NX'!$Q$3,'IN-NX'!$D$7=D2707,OR(LEFT(L2707,2)="15",AND(LEFT(M2707,2)&lt;&gt;"15",LEFT(M2707,2)&lt;&gt;"33"))),"x","")</f>
        <v/>
      </c>
      <c r="V2707" s="525" t="str">
        <f>IF(AND(OR(LEFT(TH!L2707,2)="15",LEFT(TH!M2707,2)="15"),'152-CT'!$J$8=TH!F2707),"x","")</f>
        <v/>
      </c>
      <c r="W2707" s="525" t="str">
        <f>IF(AND(OR(LEFT(TH!L2707,2)="15",LEFT(TH!M2707,2)="15"),TK!$E$7=TH!F2707),"x","")</f>
        <v/>
      </c>
      <c r="X2707" s="525" t="str">
        <f>IF(AND('341-CT'!$E$9=H2707,OR(LEFT(L2707,3)=$X$7,LEFT(M2707,3)=$X$7)),"x","")</f>
        <v/>
      </c>
      <c r="Y2707" s="525" t="str">
        <f>IF(OR(TH!L2707=TH!$Y$7,M2707=TH!$Y$7),"x","")</f>
        <v/>
      </c>
      <c r="Z2707" s="525" t="str">
        <f>IF(AND(B2707&lt;=NKC!$N$8,B2707&gt;=NKC!$M$8),"x","")</f>
        <v/>
      </c>
      <c r="AA2707" s="535">
        <v>2</v>
      </c>
      <c r="AB2707" s="536"/>
    </row>
    <row r="2708" spans="1:28" s="503" customFormat="1" ht="15.75" customHeight="1">
      <c r="A2708" s="517" t="str">
        <f>IF(B2708&lt;&gt;"",IF(AND(B2708&gt;=_TM1,B2708&lt;=_TM2,OR(TH!L2708="1111",TH!M2708="1111")),TH!D2708,""),"")</f>
        <v/>
      </c>
      <c r="B2708" s="531">
        <f t="shared" si="236"/>
        <v>6</v>
      </c>
      <c r="C2708" s="315">
        <f t="shared" si="237"/>
        <v>42909</v>
      </c>
      <c r="D2708" s="315" t="s">
        <v>1370</v>
      </c>
      <c r="E2708" s="315">
        <v>42909</v>
      </c>
      <c r="F2708" s="249" t="s">
        <v>1166</v>
      </c>
      <c r="G2708" s="314" t="s">
        <v>1258</v>
      </c>
      <c r="H2708" s="473" t="s">
        <v>1142</v>
      </c>
      <c r="I2708" s="307">
        <v>6</v>
      </c>
      <c r="J2708" s="307">
        <v>13549</v>
      </c>
      <c r="K2708" s="532">
        <f t="shared" si="235"/>
        <v>81294</v>
      </c>
      <c r="L2708" s="534" t="s">
        <v>292</v>
      </c>
      <c r="M2708" s="534" t="s">
        <v>8</v>
      </c>
      <c r="N2708" s="525" t="str">
        <f>IF(AND('331-CT'!$E$7=TH!H2708,OR(L2708="331",M2708="331")),"331",IF(AND(OR(L2708="131",M2708="131"),H2708='131-CT'!$E$7),"131",""))</f>
        <v/>
      </c>
      <c r="O2708" s="525" t="str">
        <f>IF(AND($B2708&gt;='111'!$N$11,$B2708&lt;='111'!$O$11,OR($L2708=$O$7,$M2708=$O$7)),"x","")</f>
        <v/>
      </c>
      <c r="P2708" s="525" t="str">
        <f>IF(AND($L2708=$O$7,$B2708&lt;'111'!$N$11),"x","")</f>
        <v/>
      </c>
      <c r="Q2708" s="525" t="str">
        <f>IF(AND($M2708=$O$7,$B2708&lt;'111'!$N$11),"x","")</f>
        <v/>
      </c>
      <c r="R2708" s="525" t="str">
        <f>IF(ISERROR(FIND('112'!$M$9,G2708,1)),"",IF((AND(FIND('112'!$M$9,G2708,1)&gt;=1,$B2708&gt;='112'!$N$8,$B2708&lt;='112'!$O$8,OR($L2708='112'!$I$6,$M2708='112'!$I$6))),"x",""))</f>
        <v/>
      </c>
      <c r="S2708" s="525" t="str">
        <f>IF(ISERROR(FIND('112'!$M$9,G2708,1)),"",IF((AND(LEFT(G2708,2)=LEFT('112'!$M$9,2),B2708&lt;'112'!$N$8,$L2708='112'!$I$6)),"x",""))</f>
        <v/>
      </c>
      <c r="T2708" s="525" t="str">
        <f>IF(ISERROR(FIND('112'!$M$9,G2708,1)),"",IF((AND(RIGHT(G2708,2)=RIGHT('112'!$M$9,2),B2708&lt;'112'!$N$8,$M2708='112'!$I$6)),"x",""))</f>
        <v/>
      </c>
      <c r="U2708" s="525" t="str">
        <f>IF(AND(B2708&gt;='IN-NX'!$P$3,B2708&lt;='IN-NX'!$Q$3,'IN-NX'!$D$7=D2708,OR(LEFT(L2708,2)="15",AND(LEFT(M2708,2)&lt;&gt;"15",LEFT(M2708,2)&lt;&gt;"33"))),"x","")</f>
        <v/>
      </c>
      <c r="V2708" s="525" t="str">
        <f>IF(AND(OR(LEFT(TH!L2708,2)="15",LEFT(TH!M2708,2)="15"),'152-CT'!$J$8=TH!F2708),"x","")</f>
        <v/>
      </c>
      <c r="W2708" s="525" t="str">
        <f>IF(AND(OR(LEFT(TH!L2708,2)="15",LEFT(TH!M2708,2)="15"),TK!$E$7=TH!F2708),"x","")</f>
        <v/>
      </c>
      <c r="X2708" s="525" t="str">
        <f>IF(AND('341-CT'!$E$9=H2708,OR(LEFT(L2708,3)=$X$7,LEFT(M2708,3)=$X$7)),"x","")</f>
        <v/>
      </c>
      <c r="Y2708" s="525" t="str">
        <f>IF(OR(TH!L2708=TH!$Y$7,M2708=TH!$Y$7),"x","")</f>
        <v/>
      </c>
      <c r="Z2708" s="525" t="str">
        <f>IF(AND(B2708&lt;=NKC!$N$8,B2708&gt;=NKC!$M$8),"x","")</f>
        <v/>
      </c>
      <c r="AA2708" s="535">
        <v>2</v>
      </c>
      <c r="AB2708" s="536"/>
    </row>
    <row r="2709" spans="1:28" s="503" customFormat="1" ht="15.75" customHeight="1">
      <c r="A2709" s="517" t="str">
        <f>IF(B2709&lt;&gt;"",IF(AND(B2709&gt;=_TM1,B2709&lt;=_TM2,OR(TH!L2709="1111",TH!M2709="1111")),TH!D2709,""),"")</f>
        <v/>
      </c>
      <c r="B2709" s="531">
        <f t="shared" si="236"/>
        <v>6</v>
      </c>
      <c r="C2709" s="315">
        <f t="shared" si="237"/>
        <v>42909</v>
      </c>
      <c r="D2709" s="315" t="s">
        <v>1370</v>
      </c>
      <c r="E2709" s="315">
        <v>42909</v>
      </c>
      <c r="F2709" s="249" t="s">
        <v>1043</v>
      </c>
      <c r="G2709" s="314" t="s">
        <v>1258</v>
      </c>
      <c r="H2709" s="473" t="s">
        <v>1142</v>
      </c>
      <c r="I2709" s="307">
        <v>6</v>
      </c>
      <c r="J2709" s="307">
        <v>25597</v>
      </c>
      <c r="K2709" s="532">
        <f t="shared" si="235"/>
        <v>153582</v>
      </c>
      <c r="L2709" s="534" t="s">
        <v>292</v>
      </c>
      <c r="M2709" s="534" t="s">
        <v>8</v>
      </c>
      <c r="N2709" s="525" t="str">
        <f>IF(AND('331-CT'!$E$7=TH!H2709,OR(L2709="331",M2709="331")),"331",IF(AND(OR(L2709="131",M2709="131"),H2709='131-CT'!$E$7),"131",""))</f>
        <v/>
      </c>
      <c r="O2709" s="525" t="str">
        <f>IF(AND($B2709&gt;='111'!$N$11,$B2709&lt;='111'!$O$11,OR($L2709=$O$7,$M2709=$O$7)),"x","")</f>
        <v/>
      </c>
      <c r="P2709" s="525" t="str">
        <f>IF(AND($L2709=$O$7,$B2709&lt;'111'!$N$11),"x","")</f>
        <v/>
      </c>
      <c r="Q2709" s="525" t="str">
        <f>IF(AND($M2709=$O$7,$B2709&lt;'111'!$N$11),"x","")</f>
        <v/>
      </c>
      <c r="R2709" s="525" t="str">
        <f>IF(ISERROR(FIND('112'!$M$9,G2709,1)),"",IF((AND(FIND('112'!$M$9,G2709,1)&gt;=1,$B2709&gt;='112'!$N$8,$B2709&lt;='112'!$O$8,OR($L2709='112'!$I$6,$M2709='112'!$I$6))),"x",""))</f>
        <v/>
      </c>
      <c r="S2709" s="525" t="str">
        <f>IF(ISERROR(FIND('112'!$M$9,G2709,1)),"",IF((AND(LEFT(G2709,2)=LEFT('112'!$M$9,2),B2709&lt;'112'!$N$8,$L2709='112'!$I$6)),"x",""))</f>
        <v/>
      </c>
      <c r="T2709" s="525" t="str">
        <f>IF(ISERROR(FIND('112'!$M$9,G2709,1)),"",IF((AND(RIGHT(G2709,2)=RIGHT('112'!$M$9,2),B2709&lt;'112'!$N$8,$M2709='112'!$I$6)),"x",""))</f>
        <v/>
      </c>
      <c r="U2709" s="525" t="str">
        <f>IF(AND(B2709&gt;='IN-NX'!$P$3,B2709&lt;='IN-NX'!$Q$3,'IN-NX'!$D$7=D2709,OR(LEFT(L2709,2)="15",AND(LEFT(M2709,2)&lt;&gt;"15",LEFT(M2709,2)&lt;&gt;"33"))),"x","")</f>
        <v/>
      </c>
      <c r="V2709" s="525" t="str">
        <f>IF(AND(OR(LEFT(TH!L2709,2)="15",LEFT(TH!M2709,2)="15"),'152-CT'!$J$8=TH!F2709),"x","")</f>
        <v/>
      </c>
      <c r="W2709" s="525" t="str">
        <f>IF(AND(OR(LEFT(TH!L2709,2)="15",LEFT(TH!M2709,2)="15"),TK!$E$7=TH!F2709),"x","")</f>
        <v/>
      </c>
      <c r="X2709" s="525" t="str">
        <f>IF(AND('341-CT'!$E$9=H2709,OR(LEFT(L2709,3)=$X$7,LEFT(M2709,3)=$X$7)),"x","")</f>
        <v/>
      </c>
      <c r="Y2709" s="525" t="str">
        <f>IF(OR(TH!L2709=TH!$Y$7,M2709=TH!$Y$7),"x","")</f>
        <v/>
      </c>
      <c r="Z2709" s="525" t="str">
        <f>IF(AND(B2709&lt;=NKC!$N$8,B2709&gt;=NKC!$M$8),"x","")</f>
        <v/>
      </c>
      <c r="AA2709" s="535">
        <v>2</v>
      </c>
      <c r="AB2709" s="536"/>
    </row>
    <row r="2710" spans="1:28" s="503" customFormat="1" ht="15.75" customHeight="1">
      <c r="A2710" s="517" t="str">
        <f>IF(B2710&lt;&gt;"",IF(AND(B2710&gt;=_TM1,B2710&lt;=_TM2,OR(TH!L2710="1111",TH!M2710="1111")),TH!D2710,""),"")</f>
        <v/>
      </c>
      <c r="B2710" s="531">
        <f t="shared" si="236"/>
        <v>6</v>
      </c>
      <c r="C2710" s="315">
        <f t="shared" si="237"/>
        <v>42909</v>
      </c>
      <c r="D2710" s="315" t="s">
        <v>1370</v>
      </c>
      <c r="E2710" s="315">
        <v>42909</v>
      </c>
      <c r="F2710" s="249" t="s">
        <v>1171</v>
      </c>
      <c r="G2710" s="314" t="s">
        <v>1258</v>
      </c>
      <c r="H2710" s="473" t="s">
        <v>1142</v>
      </c>
      <c r="I2710" s="307">
        <v>5</v>
      </c>
      <c r="J2710" s="307">
        <v>23138</v>
      </c>
      <c r="K2710" s="532">
        <f t="shared" si="235"/>
        <v>115690</v>
      </c>
      <c r="L2710" s="534" t="s">
        <v>292</v>
      </c>
      <c r="M2710" s="534" t="s">
        <v>8</v>
      </c>
      <c r="N2710" s="525" t="str">
        <f>IF(AND('331-CT'!$E$7=TH!H2710,OR(L2710="331",M2710="331")),"331",IF(AND(OR(L2710="131",M2710="131"),H2710='131-CT'!$E$7),"131",""))</f>
        <v/>
      </c>
      <c r="O2710" s="525" t="str">
        <f>IF(AND($B2710&gt;='111'!$N$11,$B2710&lt;='111'!$O$11,OR($L2710=$O$7,$M2710=$O$7)),"x","")</f>
        <v/>
      </c>
      <c r="P2710" s="525" t="str">
        <f>IF(AND($L2710=$O$7,$B2710&lt;'111'!$N$11),"x","")</f>
        <v/>
      </c>
      <c r="Q2710" s="525" t="str">
        <f>IF(AND($M2710=$O$7,$B2710&lt;'111'!$N$11),"x","")</f>
        <v/>
      </c>
      <c r="R2710" s="525" t="str">
        <f>IF(ISERROR(FIND('112'!$M$9,G2710,1)),"",IF((AND(FIND('112'!$M$9,G2710,1)&gt;=1,$B2710&gt;='112'!$N$8,$B2710&lt;='112'!$O$8,OR($L2710='112'!$I$6,$M2710='112'!$I$6))),"x",""))</f>
        <v/>
      </c>
      <c r="S2710" s="525" t="str">
        <f>IF(ISERROR(FIND('112'!$M$9,G2710,1)),"",IF((AND(LEFT(G2710,2)=LEFT('112'!$M$9,2),B2710&lt;'112'!$N$8,$L2710='112'!$I$6)),"x",""))</f>
        <v/>
      </c>
      <c r="T2710" s="525" t="str">
        <f>IF(ISERROR(FIND('112'!$M$9,G2710,1)),"",IF((AND(RIGHT(G2710,2)=RIGHT('112'!$M$9,2),B2710&lt;'112'!$N$8,$M2710='112'!$I$6)),"x",""))</f>
        <v/>
      </c>
      <c r="U2710" s="525" t="str">
        <f>IF(AND(B2710&gt;='IN-NX'!$P$3,B2710&lt;='IN-NX'!$Q$3,'IN-NX'!$D$7=D2710,OR(LEFT(L2710,2)="15",AND(LEFT(M2710,2)&lt;&gt;"15",LEFT(M2710,2)&lt;&gt;"33"))),"x","")</f>
        <v/>
      </c>
      <c r="V2710" s="525" t="str">
        <f>IF(AND(OR(LEFT(TH!L2710,2)="15",LEFT(TH!M2710,2)="15"),'152-CT'!$J$8=TH!F2710),"x","")</f>
        <v/>
      </c>
      <c r="W2710" s="525" t="str">
        <f>IF(AND(OR(LEFT(TH!L2710,2)="15",LEFT(TH!M2710,2)="15"),TK!$E$7=TH!F2710),"x","")</f>
        <v/>
      </c>
      <c r="X2710" s="525" t="str">
        <f>IF(AND('341-CT'!$E$9=H2710,OR(LEFT(L2710,3)=$X$7,LEFT(M2710,3)=$X$7)),"x","")</f>
        <v/>
      </c>
      <c r="Y2710" s="525" t="str">
        <f>IF(OR(TH!L2710=TH!$Y$7,M2710=TH!$Y$7),"x","")</f>
        <v/>
      </c>
      <c r="Z2710" s="525" t="str">
        <f>IF(AND(B2710&lt;=NKC!$N$8,B2710&gt;=NKC!$M$8),"x","")</f>
        <v/>
      </c>
      <c r="AA2710" s="535">
        <v>2</v>
      </c>
      <c r="AB2710" s="536"/>
    </row>
    <row r="2711" spans="1:28" s="503" customFormat="1" ht="15.75" customHeight="1">
      <c r="A2711" s="517" t="str">
        <f>IF(B2711&lt;&gt;"",IF(AND(B2711&gt;=_TM1,B2711&lt;=_TM2,OR(TH!L2711="1111",TH!M2711="1111")),TH!D2711,""),"")</f>
        <v/>
      </c>
      <c r="B2711" s="531">
        <f t="shared" si="236"/>
        <v>6</v>
      </c>
      <c r="C2711" s="315">
        <f t="shared" si="237"/>
        <v>42909</v>
      </c>
      <c r="D2711" s="315" t="s">
        <v>1370</v>
      </c>
      <c r="E2711" s="315">
        <v>42909</v>
      </c>
      <c r="F2711" s="245" t="s">
        <v>1229</v>
      </c>
      <c r="G2711" s="314" t="s">
        <v>1258</v>
      </c>
      <c r="H2711" s="473" t="s">
        <v>1142</v>
      </c>
      <c r="I2711" s="307">
        <v>18</v>
      </c>
      <c r="J2711" s="307">
        <v>24016</v>
      </c>
      <c r="K2711" s="532">
        <f t="shared" si="235"/>
        <v>432288</v>
      </c>
      <c r="L2711" s="534" t="s">
        <v>292</v>
      </c>
      <c r="M2711" s="534" t="s">
        <v>8</v>
      </c>
      <c r="N2711" s="525" t="str">
        <f>IF(AND('331-CT'!$E$7=TH!H2711,OR(L2711="331",M2711="331")),"331",IF(AND(OR(L2711="131",M2711="131"),H2711='131-CT'!$E$7),"131",""))</f>
        <v/>
      </c>
      <c r="O2711" s="525" t="str">
        <f>IF(AND($B2711&gt;='111'!$N$11,$B2711&lt;='111'!$O$11,OR($L2711=$O$7,$M2711=$O$7)),"x","")</f>
        <v/>
      </c>
      <c r="P2711" s="525" t="str">
        <f>IF(AND($L2711=$O$7,$B2711&lt;'111'!$N$11),"x","")</f>
        <v/>
      </c>
      <c r="Q2711" s="525" t="str">
        <f>IF(AND($M2711=$O$7,$B2711&lt;'111'!$N$11),"x","")</f>
        <v/>
      </c>
      <c r="R2711" s="525" t="str">
        <f>IF(ISERROR(FIND('112'!$M$9,G2711,1)),"",IF((AND(FIND('112'!$M$9,G2711,1)&gt;=1,$B2711&gt;='112'!$N$8,$B2711&lt;='112'!$O$8,OR($L2711='112'!$I$6,$M2711='112'!$I$6))),"x",""))</f>
        <v/>
      </c>
      <c r="S2711" s="525" t="str">
        <f>IF(ISERROR(FIND('112'!$M$9,G2711,1)),"",IF((AND(LEFT(G2711,2)=LEFT('112'!$M$9,2),B2711&lt;'112'!$N$8,$L2711='112'!$I$6)),"x",""))</f>
        <v/>
      </c>
      <c r="T2711" s="525" t="str">
        <f>IF(ISERROR(FIND('112'!$M$9,G2711,1)),"",IF((AND(RIGHT(G2711,2)=RIGHT('112'!$M$9,2),B2711&lt;'112'!$N$8,$M2711='112'!$I$6)),"x",""))</f>
        <v/>
      </c>
      <c r="U2711" s="525" t="str">
        <f>IF(AND(B2711&gt;='IN-NX'!$P$3,B2711&lt;='IN-NX'!$Q$3,'IN-NX'!$D$7=D2711,OR(LEFT(L2711,2)="15",AND(LEFT(M2711,2)&lt;&gt;"15",LEFT(M2711,2)&lt;&gt;"33"))),"x","")</f>
        <v/>
      </c>
      <c r="V2711" s="525" t="str">
        <f>IF(AND(OR(LEFT(TH!L2711,2)="15",LEFT(TH!M2711,2)="15"),'152-CT'!$J$8=TH!F2711),"x","")</f>
        <v/>
      </c>
      <c r="W2711" s="525" t="str">
        <f>IF(AND(OR(LEFT(TH!L2711,2)="15",LEFT(TH!M2711,2)="15"),TK!$E$7=TH!F2711),"x","")</f>
        <v/>
      </c>
      <c r="X2711" s="525" t="str">
        <f>IF(AND('341-CT'!$E$9=H2711,OR(LEFT(L2711,3)=$X$7,LEFT(M2711,3)=$X$7)),"x","")</f>
        <v/>
      </c>
      <c r="Y2711" s="525" t="str">
        <f>IF(OR(TH!L2711=TH!$Y$7,M2711=TH!$Y$7),"x","")</f>
        <v/>
      </c>
      <c r="Z2711" s="525" t="str">
        <f>IF(AND(B2711&lt;=NKC!$N$8,B2711&gt;=NKC!$M$8),"x","")</f>
        <v/>
      </c>
      <c r="AA2711" s="535">
        <v>2</v>
      </c>
      <c r="AB2711" s="536"/>
    </row>
    <row r="2712" spans="1:28" s="503" customFormat="1" ht="15.75" customHeight="1">
      <c r="A2712" s="517" t="str">
        <f>IF(B2712&lt;&gt;"",IF(AND(B2712&gt;=_TM1,B2712&lt;=_TM2,OR(TH!L2712="1111",TH!M2712="1111")),TH!D2712,""),"")</f>
        <v/>
      </c>
      <c r="B2712" s="531">
        <f t="shared" si="236"/>
        <v>6</v>
      </c>
      <c r="C2712" s="315">
        <f t="shared" si="237"/>
        <v>42909</v>
      </c>
      <c r="D2712" s="315" t="s">
        <v>1370</v>
      </c>
      <c r="E2712" s="315">
        <v>42909</v>
      </c>
      <c r="F2712" s="245" t="s">
        <v>727</v>
      </c>
      <c r="G2712" s="314" t="s">
        <v>1258</v>
      </c>
      <c r="H2712" s="473" t="s">
        <v>1142</v>
      </c>
      <c r="I2712" s="307">
        <v>36</v>
      </c>
      <c r="J2712" s="307">
        <v>23109</v>
      </c>
      <c r="K2712" s="532">
        <f t="shared" si="235"/>
        <v>831924</v>
      </c>
      <c r="L2712" s="534" t="s">
        <v>292</v>
      </c>
      <c r="M2712" s="534" t="s">
        <v>8</v>
      </c>
      <c r="N2712" s="525" t="str">
        <f>IF(AND('331-CT'!$E$7=TH!H2712,OR(L2712="331",M2712="331")),"331",IF(AND(OR(L2712="131",M2712="131"),H2712='131-CT'!$E$7),"131",""))</f>
        <v/>
      </c>
      <c r="O2712" s="525" t="str">
        <f>IF(AND($B2712&gt;='111'!$N$11,$B2712&lt;='111'!$O$11,OR($L2712=$O$7,$M2712=$O$7)),"x","")</f>
        <v/>
      </c>
      <c r="P2712" s="525" t="str">
        <f>IF(AND($L2712=$O$7,$B2712&lt;'111'!$N$11),"x","")</f>
        <v/>
      </c>
      <c r="Q2712" s="525" t="str">
        <f>IF(AND($M2712=$O$7,$B2712&lt;'111'!$N$11),"x","")</f>
        <v/>
      </c>
      <c r="R2712" s="525" t="str">
        <f>IF(ISERROR(FIND('112'!$M$9,G2712,1)),"",IF((AND(FIND('112'!$M$9,G2712,1)&gt;=1,$B2712&gt;='112'!$N$8,$B2712&lt;='112'!$O$8,OR($L2712='112'!$I$6,$M2712='112'!$I$6))),"x",""))</f>
        <v/>
      </c>
      <c r="S2712" s="525" t="str">
        <f>IF(ISERROR(FIND('112'!$M$9,G2712,1)),"",IF((AND(LEFT(G2712,2)=LEFT('112'!$M$9,2),B2712&lt;'112'!$N$8,$L2712='112'!$I$6)),"x",""))</f>
        <v/>
      </c>
      <c r="T2712" s="525" t="str">
        <f>IF(ISERROR(FIND('112'!$M$9,G2712,1)),"",IF((AND(RIGHT(G2712,2)=RIGHT('112'!$M$9,2),B2712&lt;'112'!$N$8,$M2712='112'!$I$6)),"x",""))</f>
        <v/>
      </c>
      <c r="U2712" s="525" t="str">
        <f>IF(AND(B2712&gt;='IN-NX'!$P$3,B2712&lt;='IN-NX'!$Q$3,'IN-NX'!$D$7=D2712,OR(LEFT(L2712,2)="15",AND(LEFT(M2712,2)&lt;&gt;"15",LEFT(M2712,2)&lt;&gt;"33"))),"x","")</f>
        <v/>
      </c>
      <c r="V2712" s="525" t="str">
        <f>IF(AND(OR(LEFT(TH!L2712,2)="15",LEFT(TH!M2712,2)="15"),'152-CT'!$J$8=TH!F2712),"x","")</f>
        <v/>
      </c>
      <c r="W2712" s="525" t="str">
        <f>IF(AND(OR(LEFT(TH!L2712,2)="15",LEFT(TH!M2712,2)="15"),TK!$E$7=TH!F2712),"x","")</f>
        <v/>
      </c>
      <c r="X2712" s="525" t="str">
        <f>IF(AND('341-CT'!$E$9=H2712,OR(LEFT(L2712,3)=$X$7,LEFT(M2712,3)=$X$7)),"x","")</f>
        <v/>
      </c>
      <c r="Y2712" s="525" t="str">
        <f>IF(OR(TH!L2712=TH!$Y$7,M2712=TH!$Y$7),"x","")</f>
        <v/>
      </c>
      <c r="Z2712" s="525" t="str">
        <f>IF(AND(B2712&lt;=NKC!$N$8,B2712&gt;=NKC!$M$8),"x","")</f>
        <v/>
      </c>
      <c r="AA2712" s="535">
        <v>2</v>
      </c>
      <c r="AB2712" s="536"/>
    </row>
    <row r="2713" spans="1:28" s="503" customFormat="1" ht="15.75" customHeight="1">
      <c r="A2713" s="517" t="str">
        <f>IF(B2713&lt;&gt;"",IF(AND(B2713&gt;=_TM1,B2713&lt;=_TM2,OR(TH!L2713="1111",TH!M2713="1111")),TH!D2713,""),"")</f>
        <v/>
      </c>
      <c r="B2713" s="531">
        <f t="shared" si="236"/>
        <v>6</v>
      </c>
      <c r="C2713" s="315">
        <f t="shared" si="237"/>
        <v>42909</v>
      </c>
      <c r="D2713" s="315" t="s">
        <v>1370</v>
      </c>
      <c r="E2713" s="315">
        <v>42909</v>
      </c>
      <c r="F2713" s="249" t="s">
        <v>730</v>
      </c>
      <c r="G2713" s="314" t="s">
        <v>1258</v>
      </c>
      <c r="H2713" s="473" t="s">
        <v>1142</v>
      </c>
      <c r="I2713" s="307">
        <v>8</v>
      </c>
      <c r="J2713" s="307">
        <v>37789</v>
      </c>
      <c r="K2713" s="532">
        <f t="shared" si="235"/>
        <v>302312</v>
      </c>
      <c r="L2713" s="534" t="s">
        <v>292</v>
      </c>
      <c r="M2713" s="534" t="s">
        <v>8</v>
      </c>
      <c r="N2713" s="525" t="str">
        <f>IF(AND('331-CT'!$E$7=TH!H2713,OR(L2713="331",M2713="331")),"331",IF(AND(OR(L2713="131",M2713="131"),H2713='131-CT'!$E$7),"131",""))</f>
        <v/>
      </c>
      <c r="O2713" s="525" t="str">
        <f>IF(AND($B2713&gt;='111'!$N$11,$B2713&lt;='111'!$O$11,OR($L2713=$O$7,$M2713=$O$7)),"x","")</f>
        <v/>
      </c>
      <c r="P2713" s="525" t="str">
        <f>IF(AND($L2713=$O$7,$B2713&lt;'111'!$N$11),"x","")</f>
        <v/>
      </c>
      <c r="Q2713" s="525" t="str">
        <f>IF(AND($M2713=$O$7,$B2713&lt;'111'!$N$11),"x","")</f>
        <v/>
      </c>
      <c r="R2713" s="525" t="str">
        <f>IF(ISERROR(FIND('112'!$M$9,G2713,1)),"",IF((AND(FIND('112'!$M$9,G2713,1)&gt;=1,$B2713&gt;='112'!$N$8,$B2713&lt;='112'!$O$8,OR($L2713='112'!$I$6,$M2713='112'!$I$6))),"x",""))</f>
        <v/>
      </c>
      <c r="S2713" s="525" t="str">
        <f>IF(ISERROR(FIND('112'!$M$9,G2713,1)),"",IF((AND(LEFT(G2713,2)=LEFT('112'!$M$9,2),B2713&lt;'112'!$N$8,$L2713='112'!$I$6)),"x",""))</f>
        <v/>
      </c>
      <c r="T2713" s="525" t="str">
        <f>IF(ISERROR(FIND('112'!$M$9,G2713,1)),"",IF((AND(RIGHT(G2713,2)=RIGHT('112'!$M$9,2),B2713&lt;'112'!$N$8,$M2713='112'!$I$6)),"x",""))</f>
        <v/>
      </c>
      <c r="U2713" s="525" t="str">
        <f>IF(AND(B2713&gt;='IN-NX'!$P$3,B2713&lt;='IN-NX'!$Q$3,'IN-NX'!$D$7=D2713,OR(LEFT(L2713,2)="15",AND(LEFT(M2713,2)&lt;&gt;"15",LEFT(M2713,2)&lt;&gt;"33"))),"x","")</f>
        <v/>
      </c>
      <c r="V2713" s="525" t="str">
        <f>IF(AND(OR(LEFT(TH!L2713,2)="15",LEFT(TH!M2713,2)="15"),'152-CT'!$J$8=TH!F2713),"x","")</f>
        <v/>
      </c>
      <c r="W2713" s="525" t="str">
        <f>IF(AND(OR(LEFT(TH!L2713,2)="15",LEFT(TH!M2713,2)="15"),TK!$E$7=TH!F2713),"x","")</f>
        <v/>
      </c>
      <c r="X2713" s="525" t="str">
        <f>IF(AND('341-CT'!$E$9=H2713,OR(LEFT(L2713,3)=$X$7,LEFT(M2713,3)=$X$7)),"x","")</f>
        <v/>
      </c>
      <c r="Y2713" s="525" t="str">
        <f>IF(OR(TH!L2713=TH!$Y$7,M2713=TH!$Y$7),"x","")</f>
        <v/>
      </c>
      <c r="Z2713" s="525" t="str">
        <f>IF(AND(B2713&lt;=NKC!$N$8,B2713&gt;=NKC!$M$8),"x","")</f>
        <v/>
      </c>
      <c r="AA2713" s="535">
        <v>2</v>
      </c>
      <c r="AB2713" s="536"/>
    </row>
    <row r="2714" spans="1:28" s="503" customFormat="1" ht="15.75" customHeight="1">
      <c r="A2714" s="517" t="str">
        <f>IF(B2714&lt;&gt;"",IF(AND(B2714&gt;=_TM1,B2714&lt;=_TM2,OR(TH!L2714="1111",TH!M2714="1111")),TH!D2714,""),"")</f>
        <v/>
      </c>
      <c r="B2714" s="531">
        <f t="shared" si="236"/>
        <v>6</v>
      </c>
      <c r="C2714" s="315">
        <f t="shared" si="237"/>
        <v>42909</v>
      </c>
      <c r="D2714" s="315" t="s">
        <v>1370</v>
      </c>
      <c r="E2714" s="315">
        <v>42909</v>
      </c>
      <c r="F2714" s="249" t="s">
        <v>740</v>
      </c>
      <c r="G2714" s="314" t="s">
        <v>1258</v>
      </c>
      <c r="H2714" s="473" t="s">
        <v>1142</v>
      </c>
      <c r="I2714" s="307">
        <v>8</v>
      </c>
      <c r="J2714" s="307">
        <v>165590</v>
      </c>
      <c r="K2714" s="532">
        <f t="shared" si="235"/>
        <v>1324720</v>
      </c>
      <c r="L2714" s="534" t="s">
        <v>292</v>
      </c>
      <c r="M2714" s="534" t="s">
        <v>8</v>
      </c>
      <c r="N2714" s="525" t="str">
        <f>IF(AND('331-CT'!$E$7=TH!H2714,OR(L2714="331",M2714="331")),"331",IF(AND(OR(L2714="131",M2714="131"),H2714='131-CT'!$E$7),"131",""))</f>
        <v/>
      </c>
      <c r="O2714" s="525" t="str">
        <f>IF(AND($B2714&gt;='111'!$N$11,$B2714&lt;='111'!$O$11,OR($L2714=$O$7,$M2714=$O$7)),"x","")</f>
        <v/>
      </c>
      <c r="P2714" s="525" t="str">
        <f>IF(AND($L2714=$O$7,$B2714&lt;'111'!$N$11),"x","")</f>
        <v/>
      </c>
      <c r="Q2714" s="525" t="str">
        <f>IF(AND($M2714=$O$7,$B2714&lt;'111'!$N$11),"x","")</f>
        <v/>
      </c>
      <c r="R2714" s="525" t="str">
        <f>IF(ISERROR(FIND('112'!$M$9,G2714,1)),"",IF((AND(FIND('112'!$M$9,G2714,1)&gt;=1,$B2714&gt;='112'!$N$8,$B2714&lt;='112'!$O$8,OR($L2714='112'!$I$6,$M2714='112'!$I$6))),"x",""))</f>
        <v/>
      </c>
      <c r="S2714" s="525" t="str">
        <f>IF(ISERROR(FIND('112'!$M$9,G2714,1)),"",IF((AND(LEFT(G2714,2)=LEFT('112'!$M$9,2),B2714&lt;'112'!$N$8,$L2714='112'!$I$6)),"x",""))</f>
        <v/>
      </c>
      <c r="T2714" s="525" t="str">
        <f>IF(ISERROR(FIND('112'!$M$9,G2714,1)),"",IF((AND(RIGHT(G2714,2)=RIGHT('112'!$M$9,2),B2714&lt;'112'!$N$8,$M2714='112'!$I$6)),"x",""))</f>
        <v/>
      </c>
      <c r="U2714" s="525" t="str">
        <f>IF(AND(B2714&gt;='IN-NX'!$P$3,B2714&lt;='IN-NX'!$Q$3,'IN-NX'!$D$7=D2714,OR(LEFT(L2714,2)="15",AND(LEFT(M2714,2)&lt;&gt;"15",LEFT(M2714,2)&lt;&gt;"33"))),"x","")</f>
        <v/>
      </c>
      <c r="V2714" s="525" t="str">
        <f>IF(AND(OR(LEFT(TH!L2714,2)="15",LEFT(TH!M2714,2)="15"),'152-CT'!$J$8=TH!F2714),"x","")</f>
        <v/>
      </c>
      <c r="W2714" s="525" t="str">
        <f>IF(AND(OR(LEFT(TH!L2714,2)="15",LEFT(TH!M2714,2)="15"),TK!$E$7=TH!F2714),"x","")</f>
        <v/>
      </c>
      <c r="X2714" s="525" t="str">
        <f>IF(AND('341-CT'!$E$9=H2714,OR(LEFT(L2714,3)=$X$7,LEFT(M2714,3)=$X$7)),"x","")</f>
        <v/>
      </c>
      <c r="Y2714" s="525" t="str">
        <f>IF(OR(TH!L2714=TH!$Y$7,M2714=TH!$Y$7),"x","")</f>
        <v/>
      </c>
      <c r="Z2714" s="525" t="str">
        <f>IF(AND(B2714&lt;=NKC!$N$8,B2714&gt;=NKC!$M$8),"x","")</f>
        <v/>
      </c>
      <c r="AA2714" s="535">
        <v>2</v>
      </c>
      <c r="AB2714" s="536"/>
    </row>
    <row r="2715" spans="1:28" s="503" customFormat="1" ht="15.75" customHeight="1">
      <c r="A2715" s="517" t="str">
        <f>IF(B2715&lt;&gt;"",IF(AND(B2715&gt;=_TM1,B2715&lt;=_TM2,OR(TH!L2715="1111",TH!M2715="1111")),TH!D2715,""),"")</f>
        <v/>
      </c>
      <c r="B2715" s="531">
        <f t="shared" si="236"/>
        <v>6</v>
      </c>
      <c r="C2715" s="315">
        <f t="shared" si="237"/>
        <v>42909</v>
      </c>
      <c r="D2715" s="315" t="s">
        <v>1371</v>
      </c>
      <c r="E2715" s="315">
        <v>42909</v>
      </c>
      <c r="F2715" s="249" t="s">
        <v>741</v>
      </c>
      <c r="G2715" s="314" t="s">
        <v>1258</v>
      </c>
      <c r="H2715" s="473" t="s">
        <v>1142</v>
      </c>
      <c r="I2715" s="307">
        <v>4</v>
      </c>
      <c r="J2715" s="307">
        <v>217670</v>
      </c>
      <c r="K2715" s="532">
        <f t="shared" si="235"/>
        <v>870680</v>
      </c>
      <c r="L2715" s="534" t="s">
        <v>292</v>
      </c>
      <c r="M2715" s="534" t="s">
        <v>8</v>
      </c>
      <c r="N2715" s="525" t="str">
        <f>IF(AND('331-CT'!$E$7=TH!H2715,OR(L2715="331",M2715="331")),"331",IF(AND(OR(L2715="131",M2715="131"),H2715='131-CT'!$E$7),"131",""))</f>
        <v/>
      </c>
      <c r="O2715" s="525" t="str">
        <f>IF(AND($B2715&gt;='111'!$N$11,$B2715&lt;='111'!$O$11,OR($L2715=$O$7,$M2715=$O$7)),"x","")</f>
        <v/>
      </c>
      <c r="P2715" s="525" t="str">
        <f>IF(AND($L2715=$O$7,$B2715&lt;'111'!$N$11),"x","")</f>
        <v/>
      </c>
      <c r="Q2715" s="525" t="str">
        <f>IF(AND($M2715=$O$7,$B2715&lt;'111'!$N$11),"x","")</f>
        <v/>
      </c>
      <c r="R2715" s="525" t="str">
        <f>IF(ISERROR(FIND('112'!$M$9,G2715,1)),"",IF((AND(FIND('112'!$M$9,G2715,1)&gt;=1,$B2715&gt;='112'!$N$8,$B2715&lt;='112'!$O$8,OR($L2715='112'!$I$6,$M2715='112'!$I$6))),"x",""))</f>
        <v/>
      </c>
      <c r="S2715" s="525" t="str">
        <f>IF(ISERROR(FIND('112'!$M$9,G2715,1)),"",IF((AND(LEFT(G2715,2)=LEFT('112'!$M$9,2),B2715&lt;'112'!$N$8,$L2715='112'!$I$6)),"x",""))</f>
        <v/>
      </c>
      <c r="T2715" s="525" t="str">
        <f>IF(ISERROR(FIND('112'!$M$9,G2715,1)),"",IF((AND(RIGHT(G2715,2)=RIGHT('112'!$M$9,2),B2715&lt;'112'!$N$8,$M2715='112'!$I$6)),"x",""))</f>
        <v/>
      </c>
      <c r="U2715" s="525" t="str">
        <f>IF(AND(B2715&gt;='IN-NX'!$P$3,B2715&lt;='IN-NX'!$Q$3,'IN-NX'!$D$7=D2715,OR(LEFT(L2715,2)="15",AND(LEFT(M2715,2)&lt;&gt;"15",LEFT(M2715,2)&lt;&gt;"33"))),"x","")</f>
        <v/>
      </c>
      <c r="V2715" s="525" t="str">
        <f>IF(AND(OR(LEFT(TH!L2715,2)="15",LEFT(TH!M2715,2)="15"),'152-CT'!$J$8=TH!F2715),"x","")</f>
        <v/>
      </c>
      <c r="W2715" s="525" t="str">
        <f>IF(AND(OR(LEFT(TH!L2715,2)="15",LEFT(TH!M2715,2)="15"),TK!$E$7=TH!F2715),"x","")</f>
        <v/>
      </c>
      <c r="X2715" s="525" t="str">
        <f>IF(AND('341-CT'!$E$9=H2715,OR(LEFT(L2715,3)=$X$7,LEFT(M2715,3)=$X$7)),"x","")</f>
        <v/>
      </c>
      <c r="Y2715" s="525" t="str">
        <f>IF(OR(TH!L2715=TH!$Y$7,M2715=TH!$Y$7),"x","")</f>
        <v/>
      </c>
      <c r="Z2715" s="525" t="str">
        <f>IF(AND(B2715&lt;=NKC!$N$8,B2715&gt;=NKC!$M$8),"x","")</f>
        <v/>
      </c>
      <c r="AA2715" s="535">
        <v>2</v>
      </c>
      <c r="AB2715" s="536"/>
    </row>
    <row r="2716" spans="1:28" s="503" customFormat="1" ht="15.75" customHeight="1">
      <c r="A2716" s="517" t="str">
        <f>IF(B2716&lt;&gt;"",IF(AND(B2716&gt;=_TM1,B2716&lt;=_TM2,OR(TH!L2716="1111",TH!M2716="1111")),TH!D2716,""),"")</f>
        <v/>
      </c>
      <c r="B2716" s="531">
        <f t="shared" si="236"/>
        <v>6</v>
      </c>
      <c r="C2716" s="315">
        <f t="shared" si="237"/>
        <v>42909</v>
      </c>
      <c r="D2716" s="315" t="s">
        <v>1371</v>
      </c>
      <c r="E2716" s="315">
        <v>42909</v>
      </c>
      <c r="F2716" s="249" t="s">
        <v>1230</v>
      </c>
      <c r="G2716" s="314" t="s">
        <v>1258</v>
      </c>
      <c r="H2716" s="473" t="s">
        <v>1142</v>
      </c>
      <c r="I2716" s="307">
        <v>5</v>
      </c>
      <c r="J2716" s="307">
        <v>106411</v>
      </c>
      <c r="K2716" s="532">
        <f t="shared" si="235"/>
        <v>532055</v>
      </c>
      <c r="L2716" s="534" t="s">
        <v>292</v>
      </c>
      <c r="M2716" s="534" t="s">
        <v>8</v>
      </c>
      <c r="N2716" s="525" t="str">
        <f>IF(AND('331-CT'!$E$7=TH!H2716,OR(L2716="331",M2716="331")),"331",IF(AND(OR(L2716="131",M2716="131"),H2716='131-CT'!$E$7),"131",""))</f>
        <v/>
      </c>
      <c r="O2716" s="525" t="str">
        <f>IF(AND($B2716&gt;='111'!$N$11,$B2716&lt;='111'!$O$11,OR($L2716=$O$7,$M2716=$O$7)),"x","")</f>
        <v/>
      </c>
      <c r="P2716" s="525" t="str">
        <f>IF(AND($L2716=$O$7,$B2716&lt;'111'!$N$11),"x","")</f>
        <v/>
      </c>
      <c r="Q2716" s="525" t="str">
        <f>IF(AND($M2716=$O$7,$B2716&lt;'111'!$N$11),"x","")</f>
        <v/>
      </c>
      <c r="R2716" s="525" t="str">
        <f>IF(ISERROR(FIND('112'!$M$9,G2716,1)),"",IF((AND(FIND('112'!$M$9,G2716,1)&gt;=1,$B2716&gt;='112'!$N$8,$B2716&lt;='112'!$O$8,OR($L2716='112'!$I$6,$M2716='112'!$I$6))),"x",""))</f>
        <v/>
      </c>
      <c r="S2716" s="525" t="str">
        <f>IF(ISERROR(FIND('112'!$M$9,G2716,1)),"",IF((AND(LEFT(G2716,2)=LEFT('112'!$M$9,2),B2716&lt;'112'!$N$8,$L2716='112'!$I$6)),"x",""))</f>
        <v/>
      </c>
      <c r="T2716" s="525" t="str">
        <f>IF(ISERROR(FIND('112'!$M$9,G2716,1)),"",IF((AND(RIGHT(G2716,2)=RIGHT('112'!$M$9,2),B2716&lt;'112'!$N$8,$M2716='112'!$I$6)),"x",""))</f>
        <v/>
      </c>
      <c r="U2716" s="525" t="str">
        <f>IF(AND(B2716&gt;='IN-NX'!$P$3,B2716&lt;='IN-NX'!$Q$3,'IN-NX'!$D$7=D2716,OR(LEFT(L2716,2)="15",AND(LEFT(M2716,2)&lt;&gt;"15",LEFT(M2716,2)&lt;&gt;"33"))),"x","")</f>
        <v/>
      </c>
      <c r="V2716" s="525" t="str">
        <f>IF(AND(OR(LEFT(TH!L2716,2)="15",LEFT(TH!M2716,2)="15"),'152-CT'!$J$8=TH!F2716),"x","")</f>
        <v/>
      </c>
      <c r="W2716" s="525" t="str">
        <f>IF(AND(OR(LEFT(TH!L2716,2)="15",LEFT(TH!M2716,2)="15"),TK!$E$7=TH!F2716),"x","")</f>
        <v/>
      </c>
      <c r="X2716" s="525" t="str">
        <f>IF(AND('341-CT'!$E$9=H2716,OR(LEFT(L2716,3)=$X$7,LEFT(M2716,3)=$X$7)),"x","")</f>
        <v/>
      </c>
      <c r="Y2716" s="525" t="str">
        <f>IF(OR(TH!L2716=TH!$Y$7,M2716=TH!$Y$7),"x","")</f>
        <v/>
      </c>
      <c r="Z2716" s="525" t="str">
        <f>IF(AND(B2716&lt;=NKC!$N$8,B2716&gt;=NKC!$M$8),"x","")</f>
        <v/>
      </c>
      <c r="AA2716" s="535">
        <v>2</v>
      </c>
      <c r="AB2716" s="536"/>
    </row>
    <row r="2717" spans="1:28" s="503" customFormat="1" ht="15.75" customHeight="1">
      <c r="A2717" s="517" t="str">
        <f>IF(B2717&lt;&gt;"",IF(AND(B2717&gt;=_TM1,B2717&lt;=_TM2,OR(TH!L2717="1111",TH!M2717="1111")),TH!D2717,""),"")</f>
        <v/>
      </c>
      <c r="B2717" s="531">
        <f t="shared" si="236"/>
        <v>6</v>
      </c>
      <c r="C2717" s="315">
        <f t="shared" si="237"/>
        <v>42909</v>
      </c>
      <c r="D2717" s="315" t="s">
        <v>1371</v>
      </c>
      <c r="E2717" s="315">
        <v>42909</v>
      </c>
      <c r="F2717" s="249" t="s">
        <v>690</v>
      </c>
      <c r="G2717" s="314" t="s">
        <v>1258</v>
      </c>
      <c r="H2717" s="473" t="s">
        <v>1142</v>
      </c>
      <c r="I2717" s="307">
        <v>4</v>
      </c>
      <c r="J2717" s="307">
        <v>124386</v>
      </c>
      <c r="K2717" s="532">
        <f t="shared" si="235"/>
        <v>497544</v>
      </c>
      <c r="L2717" s="534" t="s">
        <v>292</v>
      </c>
      <c r="M2717" s="534" t="s">
        <v>8</v>
      </c>
      <c r="N2717" s="525" t="str">
        <f>IF(AND('331-CT'!$E$7=TH!H2717,OR(L2717="331",M2717="331")),"331",IF(AND(OR(L2717="131",M2717="131"),H2717='131-CT'!$E$7),"131",""))</f>
        <v/>
      </c>
      <c r="O2717" s="525" t="str">
        <f>IF(AND($B2717&gt;='111'!$N$11,$B2717&lt;='111'!$O$11,OR($L2717=$O$7,$M2717=$O$7)),"x","")</f>
        <v/>
      </c>
      <c r="P2717" s="525" t="str">
        <f>IF(AND($L2717=$O$7,$B2717&lt;'111'!$N$11),"x","")</f>
        <v/>
      </c>
      <c r="Q2717" s="525" t="str">
        <f>IF(AND($M2717=$O$7,$B2717&lt;'111'!$N$11),"x","")</f>
        <v/>
      </c>
      <c r="R2717" s="525" t="str">
        <f>IF(ISERROR(FIND('112'!$M$9,G2717,1)),"",IF((AND(FIND('112'!$M$9,G2717,1)&gt;=1,$B2717&gt;='112'!$N$8,$B2717&lt;='112'!$O$8,OR($L2717='112'!$I$6,$M2717='112'!$I$6))),"x",""))</f>
        <v/>
      </c>
      <c r="S2717" s="525" t="str">
        <f>IF(ISERROR(FIND('112'!$M$9,G2717,1)),"",IF((AND(LEFT(G2717,2)=LEFT('112'!$M$9,2),B2717&lt;'112'!$N$8,$L2717='112'!$I$6)),"x",""))</f>
        <v/>
      </c>
      <c r="T2717" s="525" t="str">
        <f>IF(ISERROR(FIND('112'!$M$9,G2717,1)),"",IF((AND(RIGHT(G2717,2)=RIGHT('112'!$M$9,2),B2717&lt;'112'!$N$8,$M2717='112'!$I$6)),"x",""))</f>
        <v/>
      </c>
      <c r="U2717" s="525" t="str">
        <f>IF(AND(B2717&gt;='IN-NX'!$P$3,B2717&lt;='IN-NX'!$Q$3,'IN-NX'!$D$7=D2717,OR(LEFT(L2717,2)="15",AND(LEFT(M2717,2)&lt;&gt;"15",LEFT(M2717,2)&lt;&gt;"33"))),"x","")</f>
        <v/>
      </c>
      <c r="V2717" s="525" t="str">
        <f>IF(AND(OR(LEFT(TH!L2717,2)="15",LEFT(TH!M2717,2)="15"),'152-CT'!$J$8=TH!F2717),"x","")</f>
        <v/>
      </c>
      <c r="W2717" s="525" t="str">
        <f>IF(AND(OR(LEFT(TH!L2717,2)="15",LEFT(TH!M2717,2)="15"),TK!$E$7=TH!F2717),"x","")</f>
        <v/>
      </c>
      <c r="X2717" s="525" t="str">
        <f>IF(AND('341-CT'!$E$9=H2717,OR(LEFT(L2717,3)=$X$7,LEFT(M2717,3)=$X$7)),"x","")</f>
        <v/>
      </c>
      <c r="Y2717" s="525" t="str">
        <f>IF(OR(TH!L2717=TH!$Y$7,M2717=TH!$Y$7),"x","")</f>
        <v/>
      </c>
      <c r="Z2717" s="525" t="str">
        <f>IF(AND(B2717&lt;=NKC!$N$8,B2717&gt;=NKC!$M$8),"x","")</f>
        <v/>
      </c>
      <c r="AA2717" s="535">
        <v>2</v>
      </c>
      <c r="AB2717" s="536"/>
    </row>
    <row r="2718" spans="1:28" s="503" customFormat="1" ht="15.75" customHeight="1">
      <c r="A2718" s="517" t="str">
        <f>IF(B2718&lt;&gt;"",IF(AND(B2718&gt;=_TM1,B2718&lt;=_TM2,OR(TH!L2718="1111",TH!M2718="1111")),TH!D2718,""),"")</f>
        <v/>
      </c>
      <c r="B2718" s="531">
        <f t="shared" si="236"/>
        <v>6</v>
      </c>
      <c r="C2718" s="315">
        <f t="shared" si="237"/>
        <v>42909</v>
      </c>
      <c r="D2718" s="315" t="s">
        <v>1371</v>
      </c>
      <c r="E2718" s="315">
        <v>42909</v>
      </c>
      <c r="F2718" s="249" t="s">
        <v>659</v>
      </c>
      <c r="G2718" s="314" t="s">
        <v>1258</v>
      </c>
      <c r="H2718" s="473" t="s">
        <v>1142</v>
      </c>
      <c r="I2718" s="307">
        <v>12</v>
      </c>
      <c r="J2718" s="307">
        <v>83841</v>
      </c>
      <c r="K2718" s="532">
        <f t="shared" si="235"/>
        <v>1006092</v>
      </c>
      <c r="L2718" s="534" t="s">
        <v>292</v>
      </c>
      <c r="M2718" s="534" t="s">
        <v>8</v>
      </c>
      <c r="N2718" s="525" t="str">
        <f>IF(AND('331-CT'!$E$7=TH!H2718,OR(L2718="331",M2718="331")),"331",IF(AND(OR(L2718="131",M2718="131"),H2718='131-CT'!$E$7),"131",""))</f>
        <v/>
      </c>
      <c r="O2718" s="525" t="str">
        <f>IF(AND($B2718&gt;='111'!$N$11,$B2718&lt;='111'!$O$11,OR($L2718=$O$7,$M2718=$O$7)),"x","")</f>
        <v/>
      </c>
      <c r="P2718" s="525" t="str">
        <f>IF(AND($L2718=$O$7,$B2718&lt;'111'!$N$11),"x","")</f>
        <v/>
      </c>
      <c r="Q2718" s="525" t="str">
        <f>IF(AND($M2718=$O$7,$B2718&lt;'111'!$N$11),"x","")</f>
        <v/>
      </c>
      <c r="R2718" s="525" t="str">
        <f>IF(ISERROR(FIND('112'!$M$9,G2718,1)),"",IF((AND(FIND('112'!$M$9,G2718,1)&gt;=1,$B2718&gt;='112'!$N$8,$B2718&lt;='112'!$O$8,OR($L2718='112'!$I$6,$M2718='112'!$I$6))),"x",""))</f>
        <v/>
      </c>
      <c r="S2718" s="525" t="str">
        <f>IF(ISERROR(FIND('112'!$M$9,G2718,1)),"",IF((AND(LEFT(G2718,2)=LEFT('112'!$M$9,2),B2718&lt;'112'!$N$8,$L2718='112'!$I$6)),"x",""))</f>
        <v/>
      </c>
      <c r="T2718" s="525" t="str">
        <f>IF(ISERROR(FIND('112'!$M$9,G2718,1)),"",IF((AND(RIGHT(G2718,2)=RIGHT('112'!$M$9,2),B2718&lt;'112'!$N$8,$M2718='112'!$I$6)),"x",""))</f>
        <v/>
      </c>
      <c r="U2718" s="525" t="str">
        <f>IF(AND(B2718&gt;='IN-NX'!$P$3,B2718&lt;='IN-NX'!$Q$3,'IN-NX'!$D$7=D2718,OR(LEFT(L2718,2)="15",AND(LEFT(M2718,2)&lt;&gt;"15",LEFT(M2718,2)&lt;&gt;"33"))),"x","")</f>
        <v/>
      </c>
      <c r="V2718" s="525" t="str">
        <f>IF(AND(OR(LEFT(TH!L2718,2)="15",LEFT(TH!M2718,2)="15"),'152-CT'!$J$8=TH!F2718),"x","")</f>
        <v/>
      </c>
      <c r="W2718" s="525" t="str">
        <f>IF(AND(OR(LEFT(TH!L2718,2)="15",LEFT(TH!M2718,2)="15"),TK!$E$7=TH!F2718),"x","")</f>
        <v/>
      </c>
      <c r="X2718" s="525" t="str">
        <f>IF(AND('341-CT'!$E$9=H2718,OR(LEFT(L2718,3)=$X$7,LEFT(M2718,3)=$X$7)),"x","")</f>
        <v/>
      </c>
      <c r="Y2718" s="525" t="str">
        <f>IF(OR(TH!L2718=TH!$Y$7,M2718=TH!$Y$7),"x","")</f>
        <v/>
      </c>
      <c r="Z2718" s="525" t="str">
        <f>IF(AND(B2718&lt;=NKC!$N$8,B2718&gt;=NKC!$M$8),"x","")</f>
        <v/>
      </c>
      <c r="AA2718" s="535">
        <v>2</v>
      </c>
      <c r="AB2718" s="536"/>
    </row>
    <row r="2719" spans="1:28" s="503" customFormat="1" ht="15.75" customHeight="1">
      <c r="A2719" s="517" t="str">
        <f>IF(B2719&lt;&gt;"",IF(AND(B2719&gt;=_TM1,B2719&lt;=_TM2,OR(TH!L2719="1111",TH!M2719="1111")),TH!D2719,""),"")</f>
        <v/>
      </c>
      <c r="B2719" s="531">
        <f t="shared" si="236"/>
        <v>6</v>
      </c>
      <c r="C2719" s="315">
        <f t="shared" si="237"/>
        <v>42909</v>
      </c>
      <c r="D2719" s="315" t="s">
        <v>1371</v>
      </c>
      <c r="E2719" s="315">
        <v>42909</v>
      </c>
      <c r="F2719" s="249" t="s">
        <v>611</v>
      </c>
      <c r="G2719" s="314" t="s">
        <v>1258</v>
      </c>
      <c r="H2719" s="473" t="s">
        <v>1142</v>
      </c>
      <c r="I2719" s="307">
        <v>252</v>
      </c>
      <c r="J2719" s="307">
        <v>41946</v>
      </c>
      <c r="K2719" s="532">
        <f t="shared" si="235"/>
        <v>10570392</v>
      </c>
      <c r="L2719" s="534" t="s">
        <v>292</v>
      </c>
      <c r="M2719" s="534" t="s">
        <v>8</v>
      </c>
      <c r="N2719" s="525" t="str">
        <f>IF(AND('331-CT'!$E$7=TH!H2719,OR(L2719="331",M2719="331")),"331",IF(AND(OR(L2719="131",M2719="131"),H2719='131-CT'!$E$7),"131",""))</f>
        <v/>
      </c>
      <c r="O2719" s="525" t="str">
        <f>IF(AND($B2719&gt;='111'!$N$11,$B2719&lt;='111'!$O$11,OR($L2719=$O$7,$M2719=$O$7)),"x","")</f>
        <v/>
      </c>
      <c r="P2719" s="525" t="str">
        <f>IF(AND($L2719=$O$7,$B2719&lt;'111'!$N$11),"x","")</f>
        <v/>
      </c>
      <c r="Q2719" s="525" t="str">
        <f>IF(AND($M2719=$O$7,$B2719&lt;'111'!$N$11),"x","")</f>
        <v/>
      </c>
      <c r="R2719" s="525" t="str">
        <f>IF(ISERROR(FIND('112'!$M$9,G2719,1)),"",IF((AND(FIND('112'!$M$9,G2719,1)&gt;=1,$B2719&gt;='112'!$N$8,$B2719&lt;='112'!$O$8,OR($L2719='112'!$I$6,$M2719='112'!$I$6))),"x",""))</f>
        <v/>
      </c>
      <c r="S2719" s="525" t="str">
        <f>IF(ISERROR(FIND('112'!$M$9,G2719,1)),"",IF((AND(LEFT(G2719,2)=LEFT('112'!$M$9,2),B2719&lt;'112'!$N$8,$L2719='112'!$I$6)),"x",""))</f>
        <v/>
      </c>
      <c r="T2719" s="525" t="str">
        <f>IF(ISERROR(FIND('112'!$M$9,G2719,1)),"",IF((AND(RIGHT(G2719,2)=RIGHT('112'!$M$9,2),B2719&lt;'112'!$N$8,$M2719='112'!$I$6)),"x",""))</f>
        <v/>
      </c>
      <c r="U2719" s="525" t="str">
        <f>IF(AND(B2719&gt;='IN-NX'!$P$3,B2719&lt;='IN-NX'!$Q$3,'IN-NX'!$D$7=D2719,OR(LEFT(L2719,2)="15",AND(LEFT(M2719,2)&lt;&gt;"15",LEFT(M2719,2)&lt;&gt;"33"))),"x","")</f>
        <v/>
      </c>
      <c r="V2719" s="525" t="str">
        <f>IF(AND(OR(LEFT(TH!L2719,2)="15",LEFT(TH!M2719,2)="15"),'152-CT'!$J$8=TH!F2719),"x","")</f>
        <v/>
      </c>
      <c r="W2719" s="525" t="str">
        <f>IF(AND(OR(LEFT(TH!L2719,2)="15",LEFT(TH!M2719,2)="15"),TK!$E$7=TH!F2719),"x","")</f>
        <v/>
      </c>
      <c r="X2719" s="525" t="str">
        <f>IF(AND('341-CT'!$E$9=H2719,OR(LEFT(L2719,3)=$X$7,LEFT(M2719,3)=$X$7)),"x","")</f>
        <v/>
      </c>
      <c r="Y2719" s="525" t="str">
        <f>IF(OR(TH!L2719=TH!$Y$7,M2719=TH!$Y$7),"x","")</f>
        <v/>
      </c>
      <c r="Z2719" s="525" t="str">
        <f>IF(AND(B2719&lt;=NKC!$N$8,B2719&gt;=NKC!$M$8),"x","")</f>
        <v/>
      </c>
      <c r="AA2719" s="535">
        <v>2</v>
      </c>
      <c r="AB2719" s="536"/>
    </row>
    <row r="2720" spans="1:28" s="503" customFormat="1" ht="15.75" customHeight="1">
      <c r="A2720" s="517" t="str">
        <f>IF(B2720&lt;&gt;"",IF(AND(B2720&gt;=_TM1,B2720&lt;=_TM2,OR(TH!L2720="1111",TH!M2720="1111")),TH!D2720,""),"")</f>
        <v/>
      </c>
      <c r="B2720" s="531">
        <f t="shared" si="236"/>
        <v>6</v>
      </c>
      <c r="C2720" s="315">
        <f t="shared" si="237"/>
        <v>42909</v>
      </c>
      <c r="D2720" s="315" t="s">
        <v>1371</v>
      </c>
      <c r="E2720" s="315">
        <v>42909</v>
      </c>
      <c r="F2720" s="249" t="s">
        <v>691</v>
      </c>
      <c r="G2720" s="314" t="s">
        <v>1258</v>
      </c>
      <c r="H2720" s="473" t="s">
        <v>1142</v>
      </c>
      <c r="I2720" s="307">
        <v>14</v>
      </c>
      <c r="J2720" s="307">
        <v>53667</v>
      </c>
      <c r="K2720" s="532">
        <f t="shared" si="235"/>
        <v>751338</v>
      </c>
      <c r="L2720" s="534" t="s">
        <v>292</v>
      </c>
      <c r="M2720" s="534" t="s">
        <v>8</v>
      </c>
      <c r="N2720" s="525" t="str">
        <f>IF(AND('331-CT'!$E$7=TH!H2720,OR(L2720="331",M2720="331")),"331",IF(AND(OR(L2720="131",M2720="131"),H2720='131-CT'!$E$7),"131",""))</f>
        <v/>
      </c>
      <c r="O2720" s="525" t="str">
        <f>IF(AND($B2720&gt;='111'!$N$11,$B2720&lt;='111'!$O$11,OR($L2720=$O$7,$M2720=$O$7)),"x","")</f>
        <v/>
      </c>
      <c r="P2720" s="525" t="str">
        <f>IF(AND($L2720=$O$7,$B2720&lt;'111'!$N$11),"x","")</f>
        <v/>
      </c>
      <c r="Q2720" s="525" t="str">
        <f>IF(AND($M2720=$O$7,$B2720&lt;'111'!$N$11),"x","")</f>
        <v/>
      </c>
      <c r="R2720" s="525" t="str">
        <f>IF(ISERROR(FIND('112'!$M$9,G2720,1)),"",IF((AND(FIND('112'!$M$9,G2720,1)&gt;=1,$B2720&gt;='112'!$N$8,$B2720&lt;='112'!$O$8,OR($L2720='112'!$I$6,$M2720='112'!$I$6))),"x",""))</f>
        <v/>
      </c>
      <c r="S2720" s="525" t="str">
        <f>IF(ISERROR(FIND('112'!$M$9,G2720,1)),"",IF((AND(LEFT(G2720,2)=LEFT('112'!$M$9,2),B2720&lt;'112'!$N$8,$L2720='112'!$I$6)),"x",""))</f>
        <v/>
      </c>
      <c r="T2720" s="525" t="str">
        <f>IF(ISERROR(FIND('112'!$M$9,G2720,1)),"",IF((AND(RIGHT(G2720,2)=RIGHT('112'!$M$9,2),B2720&lt;'112'!$N$8,$M2720='112'!$I$6)),"x",""))</f>
        <v/>
      </c>
      <c r="U2720" s="525" t="str">
        <f>IF(AND(B2720&gt;='IN-NX'!$P$3,B2720&lt;='IN-NX'!$Q$3,'IN-NX'!$D$7=D2720,OR(LEFT(L2720,2)="15",AND(LEFT(M2720,2)&lt;&gt;"15",LEFT(M2720,2)&lt;&gt;"33"))),"x","")</f>
        <v/>
      </c>
      <c r="V2720" s="525" t="str">
        <f>IF(AND(OR(LEFT(TH!L2720,2)="15",LEFT(TH!M2720,2)="15"),'152-CT'!$J$8=TH!F2720),"x","")</f>
        <v/>
      </c>
      <c r="W2720" s="525" t="str">
        <f>IF(AND(OR(LEFT(TH!L2720,2)="15",LEFT(TH!M2720,2)="15"),TK!$E$7=TH!F2720),"x","")</f>
        <v/>
      </c>
      <c r="X2720" s="525" t="str">
        <f>IF(AND('341-CT'!$E$9=H2720,OR(LEFT(L2720,3)=$X$7,LEFT(M2720,3)=$X$7)),"x","")</f>
        <v/>
      </c>
      <c r="Y2720" s="525" t="str">
        <f>IF(OR(TH!L2720=TH!$Y$7,M2720=TH!$Y$7),"x","")</f>
        <v/>
      </c>
      <c r="Z2720" s="525" t="str">
        <f>IF(AND(B2720&lt;=NKC!$N$8,B2720&gt;=NKC!$M$8),"x","")</f>
        <v/>
      </c>
      <c r="AA2720" s="535">
        <v>2</v>
      </c>
      <c r="AB2720" s="536"/>
    </row>
    <row r="2721" spans="1:28" s="503" customFormat="1" ht="15.75" customHeight="1">
      <c r="A2721" s="517" t="str">
        <f>IF(B2721&lt;&gt;"",IF(AND(B2721&gt;=_TM1,B2721&lt;=_TM2,OR(TH!L2721="1111",TH!M2721="1111")),TH!D2721,""),"")</f>
        <v/>
      </c>
      <c r="B2721" s="531">
        <f t="shared" si="236"/>
        <v>6</v>
      </c>
      <c r="C2721" s="315">
        <f t="shared" si="237"/>
        <v>42909</v>
      </c>
      <c r="D2721" s="315" t="s">
        <v>1371</v>
      </c>
      <c r="E2721" s="315">
        <v>42909</v>
      </c>
      <c r="F2721" s="249" t="s">
        <v>1231</v>
      </c>
      <c r="G2721" s="314" t="s">
        <v>1258</v>
      </c>
      <c r="H2721" s="473" t="s">
        <v>1142</v>
      </c>
      <c r="I2721" s="307">
        <v>10</v>
      </c>
      <c r="J2721" s="307">
        <v>48162</v>
      </c>
      <c r="K2721" s="532">
        <f t="shared" si="235"/>
        <v>481620</v>
      </c>
      <c r="L2721" s="534" t="s">
        <v>292</v>
      </c>
      <c r="M2721" s="534" t="s">
        <v>8</v>
      </c>
      <c r="N2721" s="525" t="str">
        <f>IF(AND('331-CT'!$E$7=TH!H2721,OR(L2721="331",M2721="331")),"331",IF(AND(OR(L2721="131",M2721="131"),H2721='131-CT'!$E$7),"131",""))</f>
        <v/>
      </c>
      <c r="O2721" s="525" t="str">
        <f>IF(AND($B2721&gt;='111'!$N$11,$B2721&lt;='111'!$O$11,OR($L2721=$O$7,$M2721=$O$7)),"x","")</f>
        <v/>
      </c>
      <c r="P2721" s="525" t="str">
        <f>IF(AND($L2721=$O$7,$B2721&lt;'111'!$N$11),"x","")</f>
        <v/>
      </c>
      <c r="Q2721" s="525" t="str">
        <f>IF(AND($M2721=$O$7,$B2721&lt;'111'!$N$11),"x","")</f>
        <v/>
      </c>
      <c r="R2721" s="525" t="str">
        <f>IF(ISERROR(FIND('112'!$M$9,G2721,1)),"",IF((AND(FIND('112'!$M$9,G2721,1)&gt;=1,$B2721&gt;='112'!$N$8,$B2721&lt;='112'!$O$8,OR($L2721='112'!$I$6,$M2721='112'!$I$6))),"x",""))</f>
        <v/>
      </c>
      <c r="S2721" s="525" t="str">
        <f>IF(ISERROR(FIND('112'!$M$9,G2721,1)),"",IF((AND(LEFT(G2721,2)=LEFT('112'!$M$9,2),B2721&lt;'112'!$N$8,$L2721='112'!$I$6)),"x",""))</f>
        <v/>
      </c>
      <c r="T2721" s="525" t="str">
        <f>IF(ISERROR(FIND('112'!$M$9,G2721,1)),"",IF((AND(RIGHT(G2721,2)=RIGHT('112'!$M$9,2),B2721&lt;'112'!$N$8,$M2721='112'!$I$6)),"x",""))</f>
        <v/>
      </c>
      <c r="U2721" s="525" t="str">
        <f>IF(AND(B2721&gt;='IN-NX'!$P$3,B2721&lt;='IN-NX'!$Q$3,'IN-NX'!$D$7=D2721,OR(LEFT(L2721,2)="15",AND(LEFT(M2721,2)&lt;&gt;"15",LEFT(M2721,2)&lt;&gt;"33"))),"x","")</f>
        <v/>
      </c>
      <c r="V2721" s="525" t="str">
        <f>IF(AND(OR(LEFT(TH!L2721,2)="15",LEFT(TH!M2721,2)="15"),'152-CT'!$J$8=TH!F2721),"x","")</f>
        <v/>
      </c>
      <c r="W2721" s="525" t="str">
        <f>IF(AND(OR(LEFT(TH!L2721,2)="15",LEFT(TH!M2721,2)="15"),TK!$E$7=TH!F2721),"x","")</f>
        <v/>
      </c>
      <c r="X2721" s="525" t="str">
        <f>IF(AND('341-CT'!$E$9=H2721,OR(LEFT(L2721,3)=$X$7,LEFT(M2721,3)=$X$7)),"x","")</f>
        <v/>
      </c>
      <c r="Y2721" s="525" t="str">
        <f>IF(OR(TH!L2721=TH!$Y$7,M2721=TH!$Y$7),"x","")</f>
        <v/>
      </c>
      <c r="Z2721" s="525" t="str">
        <f>IF(AND(B2721&lt;=NKC!$N$8,B2721&gt;=NKC!$M$8),"x","")</f>
        <v/>
      </c>
      <c r="AA2721" s="535">
        <v>2</v>
      </c>
      <c r="AB2721" s="536"/>
    </row>
    <row r="2722" spans="1:28" s="503" customFormat="1" ht="15.75" customHeight="1">
      <c r="A2722" s="517" t="str">
        <f>IF(B2722&lt;&gt;"",IF(AND(B2722&gt;=_TM1,B2722&lt;=_TM2,OR(TH!L2722="1111",TH!M2722="1111")),TH!D2722,""),"")</f>
        <v/>
      </c>
      <c r="B2722" s="531">
        <f t="shared" si="236"/>
        <v>6</v>
      </c>
      <c r="C2722" s="315">
        <f t="shared" si="237"/>
        <v>42909</v>
      </c>
      <c r="D2722" s="315" t="s">
        <v>1371</v>
      </c>
      <c r="E2722" s="315">
        <v>42909</v>
      </c>
      <c r="F2722" s="249" t="s">
        <v>698</v>
      </c>
      <c r="G2722" s="314" t="s">
        <v>1258</v>
      </c>
      <c r="H2722" s="473" t="s">
        <v>1142</v>
      </c>
      <c r="I2722" s="307">
        <v>4</v>
      </c>
      <c r="J2722" s="307">
        <v>144792</v>
      </c>
      <c r="K2722" s="532">
        <f t="shared" si="235"/>
        <v>579168</v>
      </c>
      <c r="L2722" s="534" t="s">
        <v>292</v>
      </c>
      <c r="M2722" s="534" t="s">
        <v>8</v>
      </c>
      <c r="N2722" s="525" t="str">
        <f>IF(AND('331-CT'!$E$7=TH!H2722,OR(L2722="331",M2722="331")),"331",IF(AND(OR(L2722="131",M2722="131"),H2722='131-CT'!$E$7),"131",""))</f>
        <v/>
      </c>
      <c r="O2722" s="525" t="str">
        <f>IF(AND($B2722&gt;='111'!$N$11,$B2722&lt;='111'!$O$11,OR($L2722=$O$7,$M2722=$O$7)),"x","")</f>
        <v/>
      </c>
      <c r="P2722" s="525" t="str">
        <f>IF(AND($L2722=$O$7,$B2722&lt;'111'!$N$11),"x","")</f>
        <v/>
      </c>
      <c r="Q2722" s="525" t="str">
        <f>IF(AND($M2722=$O$7,$B2722&lt;'111'!$N$11),"x","")</f>
        <v/>
      </c>
      <c r="R2722" s="525" t="str">
        <f>IF(ISERROR(FIND('112'!$M$9,G2722,1)),"",IF((AND(FIND('112'!$M$9,G2722,1)&gt;=1,$B2722&gt;='112'!$N$8,$B2722&lt;='112'!$O$8,OR($L2722='112'!$I$6,$M2722='112'!$I$6))),"x",""))</f>
        <v/>
      </c>
      <c r="S2722" s="525" t="str">
        <f>IF(ISERROR(FIND('112'!$M$9,G2722,1)),"",IF((AND(LEFT(G2722,2)=LEFT('112'!$M$9,2),B2722&lt;'112'!$N$8,$L2722='112'!$I$6)),"x",""))</f>
        <v/>
      </c>
      <c r="T2722" s="525" t="str">
        <f>IF(ISERROR(FIND('112'!$M$9,G2722,1)),"",IF((AND(RIGHT(G2722,2)=RIGHT('112'!$M$9,2),B2722&lt;'112'!$N$8,$M2722='112'!$I$6)),"x",""))</f>
        <v/>
      </c>
      <c r="U2722" s="525" t="str">
        <f>IF(AND(B2722&gt;='IN-NX'!$P$3,B2722&lt;='IN-NX'!$Q$3,'IN-NX'!$D$7=D2722,OR(LEFT(L2722,2)="15",AND(LEFT(M2722,2)&lt;&gt;"15",LEFT(M2722,2)&lt;&gt;"33"))),"x","")</f>
        <v/>
      </c>
      <c r="V2722" s="525" t="str">
        <f>IF(AND(OR(LEFT(TH!L2722,2)="15",LEFT(TH!M2722,2)="15"),'152-CT'!$J$8=TH!F2722),"x","")</f>
        <v/>
      </c>
      <c r="W2722" s="525" t="str">
        <f>IF(AND(OR(LEFT(TH!L2722,2)="15",LEFT(TH!M2722,2)="15"),TK!$E$7=TH!F2722),"x","")</f>
        <v/>
      </c>
      <c r="X2722" s="525" t="str">
        <f>IF(AND('341-CT'!$E$9=H2722,OR(LEFT(L2722,3)=$X$7,LEFT(M2722,3)=$X$7)),"x","")</f>
        <v/>
      </c>
      <c r="Y2722" s="525" t="str">
        <f>IF(OR(TH!L2722=TH!$Y$7,M2722=TH!$Y$7),"x","")</f>
        <v/>
      </c>
      <c r="Z2722" s="525" t="str">
        <f>IF(AND(B2722&lt;=NKC!$N$8,B2722&gt;=NKC!$M$8),"x","")</f>
        <v/>
      </c>
      <c r="AA2722" s="535">
        <v>2</v>
      </c>
      <c r="AB2722" s="536"/>
    </row>
    <row r="2723" spans="1:28" s="503" customFormat="1" ht="15.75" customHeight="1">
      <c r="A2723" s="517" t="str">
        <f>IF(B2723&lt;&gt;"",IF(AND(B2723&gt;=_TM1,B2723&lt;=_TM2,OR(TH!L2723="1111",TH!M2723="1111")),TH!D2723,""),"")</f>
        <v/>
      </c>
      <c r="B2723" s="531">
        <f t="shared" si="236"/>
        <v>6</v>
      </c>
      <c r="C2723" s="315">
        <f t="shared" si="237"/>
        <v>42909</v>
      </c>
      <c r="D2723" s="315" t="s">
        <v>1371</v>
      </c>
      <c r="E2723" s="315">
        <v>42909</v>
      </c>
      <c r="F2723" s="249" t="s">
        <v>647</v>
      </c>
      <c r="G2723" s="314" t="s">
        <v>1258</v>
      </c>
      <c r="H2723" s="473" t="s">
        <v>1142</v>
      </c>
      <c r="I2723" s="307">
        <v>8</v>
      </c>
      <c r="J2723" s="307">
        <v>113423</v>
      </c>
      <c r="K2723" s="532">
        <f t="shared" si="235"/>
        <v>907384</v>
      </c>
      <c r="L2723" s="534" t="s">
        <v>292</v>
      </c>
      <c r="M2723" s="534" t="s">
        <v>8</v>
      </c>
      <c r="N2723" s="525" t="str">
        <f>IF(AND('331-CT'!$E$7=TH!H2723,OR(L2723="331",M2723="331")),"331",IF(AND(OR(L2723="131",M2723="131"),H2723='131-CT'!$E$7),"131",""))</f>
        <v/>
      </c>
      <c r="O2723" s="525" t="str">
        <f>IF(AND($B2723&gt;='111'!$N$11,$B2723&lt;='111'!$O$11,OR($L2723=$O$7,$M2723=$O$7)),"x","")</f>
        <v/>
      </c>
      <c r="P2723" s="525" t="str">
        <f>IF(AND($L2723=$O$7,$B2723&lt;'111'!$N$11),"x","")</f>
        <v/>
      </c>
      <c r="Q2723" s="525" t="str">
        <f>IF(AND($M2723=$O$7,$B2723&lt;'111'!$N$11),"x","")</f>
        <v/>
      </c>
      <c r="R2723" s="525" t="str">
        <f>IF(ISERROR(FIND('112'!$M$9,G2723,1)),"",IF((AND(FIND('112'!$M$9,G2723,1)&gt;=1,$B2723&gt;='112'!$N$8,$B2723&lt;='112'!$O$8,OR($L2723='112'!$I$6,$M2723='112'!$I$6))),"x",""))</f>
        <v/>
      </c>
      <c r="S2723" s="525" t="str">
        <f>IF(ISERROR(FIND('112'!$M$9,G2723,1)),"",IF((AND(LEFT(G2723,2)=LEFT('112'!$M$9,2),B2723&lt;'112'!$N$8,$L2723='112'!$I$6)),"x",""))</f>
        <v/>
      </c>
      <c r="T2723" s="525" t="str">
        <f>IF(ISERROR(FIND('112'!$M$9,G2723,1)),"",IF((AND(RIGHT(G2723,2)=RIGHT('112'!$M$9,2),B2723&lt;'112'!$N$8,$M2723='112'!$I$6)),"x",""))</f>
        <v/>
      </c>
      <c r="U2723" s="525" t="str">
        <f>IF(AND(B2723&gt;='IN-NX'!$P$3,B2723&lt;='IN-NX'!$Q$3,'IN-NX'!$D$7=D2723,OR(LEFT(L2723,2)="15",AND(LEFT(M2723,2)&lt;&gt;"15",LEFT(M2723,2)&lt;&gt;"33"))),"x","")</f>
        <v/>
      </c>
      <c r="V2723" s="525" t="str">
        <f>IF(AND(OR(LEFT(TH!L2723,2)="15",LEFT(TH!M2723,2)="15"),'152-CT'!$J$8=TH!F2723),"x","")</f>
        <v/>
      </c>
      <c r="W2723" s="525" t="str">
        <f>IF(AND(OR(LEFT(TH!L2723,2)="15",LEFT(TH!M2723,2)="15"),TK!$E$7=TH!F2723),"x","")</f>
        <v/>
      </c>
      <c r="X2723" s="525" t="str">
        <f>IF(AND('341-CT'!$E$9=H2723,OR(LEFT(L2723,3)=$X$7,LEFT(M2723,3)=$X$7)),"x","")</f>
        <v/>
      </c>
      <c r="Y2723" s="525" t="str">
        <f>IF(OR(TH!L2723=TH!$Y$7,M2723=TH!$Y$7),"x","")</f>
        <v/>
      </c>
      <c r="Z2723" s="525" t="str">
        <f>IF(AND(B2723&lt;=NKC!$N$8,B2723&gt;=NKC!$M$8),"x","")</f>
        <v/>
      </c>
      <c r="AA2723" s="535">
        <v>2</v>
      </c>
      <c r="AB2723" s="536"/>
    </row>
    <row r="2724" spans="1:28" s="503" customFormat="1" ht="15.75" customHeight="1">
      <c r="A2724" s="517" t="str">
        <f>IF(B2724&lt;&gt;"",IF(AND(B2724&gt;=_TM1,B2724&lt;=_TM2,OR(TH!L2724="1111",TH!M2724="1111")),TH!D2724,""),"")</f>
        <v/>
      </c>
      <c r="B2724" s="531">
        <f t="shared" si="236"/>
        <v>6</v>
      </c>
      <c r="C2724" s="315">
        <f t="shared" si="237"/>
        <v>42909</v>
      </c>
      <c r="D2724" s="315" t="s">
        <v>1371</v>
      </c>
      <c r="E2724" s="315">
        <v>42909</v>
      </c>
      <c r="F2724" s="249" t="s">
        <v>1232</v>
      </c>
      <c r="G2724" s="314" t="s">
        <v>1258</v>
      </c>
      <c r="H2724" s="473" t="s">
        <v>1142</v>
      </c>
      <c r="I2724" s="307">
        <v>32</v>
      </c>
      <c r="J2724" s="307">
        <v>63457</v>
      </c>
      <c r="K2724" s="532">
        <f t="shared" si="235"/>
        <v>2030624</v>
      </c>
      <c r="L2724" s="534" t="s">
        <v>292</v>
      </c>
      <c r="M2724" s="534" t="s">
        <v>8</v>
      </c>
      <c r="N2724" s="525" t="str">
        <f>IF(AND('331-CT'!$E$7=TH!H2724,OR(L2724="331",M2724="331")),"331",IF(AND(OR(L2724="131",M2724="131"),H2724='131-CT'!$E$7),"131",""))</f>
        <v/>
      </c>
      <c r="O2724" s="525" t="str">
        <f>IF(AND($B2724&gt;='111'!$N$11,$B2724&lt;='111'!$O$11,OR($L2724=$O$7,$M2724=$O$7)),"x","")</f>
        <v/>
      </c>
      <c r="P2724" s="525" t="str">
        <f>IF(AND($L2724=$O$7,$B2724&lt;'111'!$N$11),"x","")</f>
        <v/>
      </c>
      <c r="Q2724" s="525" t="str">
        <f>IF(AND($M2724=$O$7,$B2724&lt;'111'!$N$11),"x","")</f>
        <v/>
      </c>
      <c r="R2724" s="525" t="str">
        <f>IF(ISERROR(FIND('112'!$M$9,G2724,1)),"",IF((AND(FIND('112'!$M$9,G2724,1)&gt;=1,$B2724&gt;='112'!$N$8,$B2724&lt;='112'!$O$8,OR($L2724='112'!$I$6,$M2724='112'!$I$6))),"x",""))</f>
        <v/>
      </c>
      <c r="S2724" s="525" t="str">
        <f>IF(ISERROR(FIND('112'!$M$9,G2724,1)),"",IF((AND(LEFT(G2724,2)=LEFT('112'!$M$9,2),B2724&lt;'112'!$N$8,$L2724='112'!$I$6)),"x",""))</f>
        <v/>
      </c>
      <c r="T2724" s="525" t="str">
        <f>IF(ISERROR(FIND('112'!$M$9,G2724,1)),"",IF((AND(RIGHT(G2724,2)=RIGHT('112'!$M$9,2),B2724&lt;'112'!$N$8,$M2724='112'!$I$6)),"x",""))</f>
        <v/>
      </c>
      <c r="U2724" s="525" t="str">
        <f>IF(AND(B2724&gt;='IN-NX'!$P$3,B2724&lt;='IN-NX'!$Q$3,'IN-NX'!$D$7=D2724,OR(LEFT(L2724,2)="15",AND(LEFT(M2724,2)&lt;&gt;"15",LEFT(M2724,2)&lt;&gt;"33"))),"x","")</f>
        <v/>
      </c>
      <c r="V2724" s="525" t="str">
        <f>IF(AND(OR(LEFT(TH!L2724,2)="15",LEFT(TH!M2724,2)="15"),'152-CT'!$J$8=TH!F2724),"x","")</f>
        <v/>
      </c>
      <c r="W2724" s="525" t="str">
        <f>IF(AND(OR(LEFT(TH!L2724,2)="15",LEFT(TH!M2724,2)="15"),TK!$E$7=TH!F2724),"x","")</f>
        <v/>
      </c>
      <c r="X2724" s="525" t="str">
        <f>IF(AND('341-CT'!$E$9=H2724,OR(LEFT(L2724,3)=$X$7,LEFT(M2724,3)=$X$7)),"x","")</f>
        <v/>
      </c>
      <c r="Y2724" s="525" t="str">
        <f>IF(OR(TH!L2724=TH!$Y$7,M2724=TH!$Y$7),"x","")</f>
        <v/>
      </c>
      <c r="Z2724" s="525" t="str">
        <f>IF(AND(B2724&lt;=NKC!$N$8,B2724&gt;=NKC!$M$8),"x","")</f>
        <v/>
      </c>
      <c r="AA2724" s="535">
        <v>2</v>
      </c>
      <c r="AB2724" s="536"/>
    </row>
    <row r="2725" spans="1:28" s="503" customFormat="1" ht="15.75" customHeight="1">
      <c r="A2725" s="517" t="str">
        <f>IF(B2725&lt;&gt;"",IF(AND(B2725&gt;=_TM1,B2725&lt;=_TM2,OR(TH!L2725="1111",TH!M2725="1111")),TH!D2725,""),"")</f>
        <v/>
      </c>
      <c r="B2725" s="531">
        <f t="shared" si="236"/>
        <v>6</v>
      </c>
      <c r="C2725" s="315">
        <f t="shared" si="237"/>
        <v>42909</v>
      </c>
      <c r="D2725" s="315" t="s">
        <v>1371</v>
      </c>
      <c r="E2725" s="315">
        <v>42909</v>
      </c>
      <c r="F2725" s="249" t="s">
        <v>1042</v>
      </c>
      <c r="G2725" s="314" t="s">
        <v>1258</v>
      </c>
      <c r="H2725" s="473" t="s">
        <v>1142</v>
      </c>
      <c r="I2725" s="307">
        <v>48</v>
      </c>
      <c r="J2725" s="307">
        <v>18911</v>
      </c>
      <c r="K2725" s="532">
        <f t="shared" si="235"/>
        <v>907728</v>
      </c>
      <c r="L2725" s="534" t="s">
        <v>292</v>
      </c>
      <c r="M2725" s="534" t="s">
        <v>8</v>
      </c>
      <c r="N2725" s="525" t="str">
        <f>IF(AND('331-CT'!$E$7=TH!H2725,OR(L2725="331",M2725="331")),"331",IF(AND(OR(L2725="131",M2725="131"),H2725='131-CT'!$E$7),"131",""))</f>
        <v/>
      </c>
      <c r="O2725" s="525" t="str">
        <f>IF(AND($B2725&gt;='111'!$N$11,$B2725&lt;='111'!$O$11,OR($L2725=$O$7,$M2725=$O$7)),"x","")</f>
        <v/>
      </c>
      <c r="P2725" s="525" t="str">
        <f>IF(AND($L2725=$O$7,$B2725&lt;'111'!$N$11),"x","")</f>
        <v/>
      </c>
      <c r="Q2725" s="525" t="str">
        <f>IF(AND($M2725=$O$7,$B2725&lt;'111'!$N$11),"x","")</f>
        <v/>
      </c>
      <c r="R2725" s="525" t="str">
        <f>IF(ISERROR(FIND('112'!$M$9,G2725,1)),"",IF((AND(FIND('112'!$M$9,G2725,1)&gt;=1,$B2725&gt;='112'!$N$8,$B2725&lt;='112'!$O$8,OR($L2725='112'!$I$6,$M2725='112'!$I$6))),"x",""))</f>
        <v/>
      </c>
      <c r="S2725" s="525" t="str">
        <f>IF(ISERROR(FIND('112'!$M$9,G2725,1)),"",IF((AND(LEFT(G2725,2)=LEFT('112'!$M$9,2),B2725&lt;'112'!$N$8,$L2725='112'!$I$6)),"x",""))</f>
        <v/>
      </c>
      <c r="T2725" s="525" t="str">
        <f>IF(ISERROR(FIND('112'!$M$9,G2725,1)),"",IF((AND(RIGHT(G2725,2)=RIGHT('112'!$M$9,2),B2725&lt;'112'!$N$8,$M2725='112'!$I$6)),"x",""))</f>
        <v/>
      </c>
      <c r="U2725" s="525" t="str">
        <f>IF(AND(B2725&gt;='IN-NX'!$P$3,B2725&lt;='IN-NX'!$Q$3,'IN-NX'!$D$7=D2725,OR(LEFT(L2725,2)="15",AND(LEFT(M2725,2)&lt;&gt;"15",LEFT(M2725,2)&lt;&gt;"33"))),"x","")</f>
        <v/>
      </c>
      <c r="V2725" s="525" t="str">
        <f>IF(AND(OR(LEFT(TH!L2725,2)="15",LEFT(TH!M2725,2)="15"),'152-CT'!$J$8=TH!F2725),"x","")</f>
        <v/>
      </c>
      <c r="W2725" s="525" t="str">
        <f>IF(AND(OR(LEFT(TH!L2725,2)="15",LEFT(TH!M2725,2)="15"),TK!$E$7=TH!F2725),"x","")</f>
        <v/>
      </c>
      <c r="X2725" s="525" t="str">
        <f>IF(AND('341-CT'!$E$9=H2725,OR(LEFT(L2725,3)=$X$7,LEFT(M2725,3)=$X$7)),"x","")</f>
        <v/>
      </c>
      <c r="Y2725" s="525" t="str">
        <f>IF(OR(TH!L2725=TH!$Y$7,M2725=TH!$Y$7),"x","")</f>
        <v/>
      </c>
      <c r="Z2725" s="525" t="str">
        <f>IF(AND(B2725&lt;=NKC!$N$8,B2725&gt;=NKC!$M$8),"x","")</f>
        <v/>
      </c>
      <c r="AA2725" s="535">
        <v>2</v>
      </c>
      <c r="AB2725" s="536"/>
    </row>
    <row r="2726" spans="1:28" s="503" customFormat="1" ht="15.75" customHeight="1">
      <c r="A2726" s="517" t="str">
        <f>IF(B2726&lt;&gt;"",IF(AND(B2726&gt;=_TM1,B2726&lt;=_TM2,OR(TH!L2726="1111",TH!M2726="1111")),TH!D2726,""),"")</f>
        <v/>
      </c>
      <c r="B2726" s="531">
        <f t="shared" si="236"/>
        <v>6</v>
      </c>
      <c r="C2726" s="315">
        <f t="shared" si="237"/>
        <v>42909</v>
      </c>
      <c r="D2726" s="315" t="s">
        <v>1371</v>
      </c>
      <c r="E2726" s="315">
        <v>42909</v>
      </c>
      <c r="F2726" s="249" t="s">
        <v>494</v>
      </c>
      <c r="G2726" s="314" t="s">
        <v>1258</v>
      </c>
      <c r="H2726" s="473" t="s">
        <v>1142</v>
      </c>
      <c r="I2726" s="307"/>
      <c r="J2726" s="307"/>
      <c r="K2726" s="532">
        <v>4781981</v>
      </c>
      <c r="L2726" s="534" t="s">
        <v>9</v>
      </c>
      <c r="M2726" s="534" t="s">
        <v>8</v>
      </c>
      <c r="N2726" s="525" t="str">
        <f>IF(AND('331-CT'!$E$7=TH!H2726,OR(L2726="331",M2726="331")),"331",IF(AND(OR(L2726="131",M2726="131"),H2726='131-CT'!$E$7),"131",""))</f>
        <v/>
      </c>
      <c r="O2726" s="525" t="str">
        <f>IF(AND($B2726&gt;='111'!$N$11,$B2726&lt;='111'!$O$11,OR($L2726=$O$7,$M2726=$O$7)),"x","")</f>
        <v/>
      </c>
      <c r="P2726" s="525" t="str">
        <f>IF(AND($L2726=$O$7,$B2726&lt;'111'!$N$11),"x","")</f>
        <v/>
      </c>
      <c r="Q2726" s="525" t="str">
        <f>IF(AND($M2726=$O$7,$B2726&lt;'111'!$N$11),"x","")</f>
        <v/>
      </c>
      <c r="R2726" s="525" t="str">
        <f>IF(ISERROR(FIND('112'!$M$9,G2726,1)),"",IF((AND(FIND('112'!$M$9,G2726,1)&gt;=1,$B2726&gt;='112'!$N$8,$B2726&lt;='112'!$O$8,OR($L2726='112'!$I$6,$M2726='112'!$I$6))),"x",""))</f>
        <v/>
      </c>
      <c r="S2726" s="525" t="str">
        <f>IF(ISERROR(FIND('112'!$M$9,G2726,1)),"",IF((AND(LEFT(G2726,2)=LEFT('112'!$M$9,2),B2726&lt;'112'!$N$8,$L2726='112'!$I$6)),"x",""))</f>
        <v/>
      </c>
      <c r="T2726" s="525" t="str">
        <f>IF(ISERROR(FIND('112'!$M$9,G2726,1)),"",IF((AND(RIGHT(G2726,2)=RIGHT('112'!$M$9,2),B2726&lt;'112'!$N$8,$M2726='112'!$I$6)),"x",""))</f>
        <v/>
      </c>
      <c r="U2726" s="525" t="str">
        <f>IF(AND(B2726&gt;='IN-NX'!$P$3,B2726&lt;='IN-NX'!$Q$3,'IN-NX'!$D$7=D2726,OR(LEFT(L2726,2)="15",AND(LEFT(M2726,2)&lt;&gt;"15",LEFT(M2726,2)&lt;&gt;"33"))),"x","")</f>
        <v/>
      </c>
      <c r="V2726" s="525" t="str">
        <f>IF(AND(OR(LEFT(TH!L2726,2)="15",LEFT(TH!M2726,2)="15"),'152-CT'!$J$8=TH!F2726),"x","")</f>
        <v/>
      </c>
      <c r="W2726" s="525" t="str">
        <f>IF(AND(OR(LEFT(TH!L2726,2)="15",LEFT(TH!M2726,2)="15"),TK!$E$7=TH!F2726),"x","")</f>
        <v/>
      </c>
      <c r="X2726" s="525" t="str">
        <f>IF(AND('341-CT'!$E$9=H2726,OR(LEFT(L2726,3)=$X$7,LEFT(M2726,3)=$X$7)),"x","")</f>
        <v/>
      </c>
      <c r="Y2726" s="525" t="str">
        <f>IF(OR(TH!L2726=TH!$Y$7,M2726=TH!$Y$7),"x","")</f>
        <v/>
      </c>
      <c r="Z2726" s="525" t="str">
        <f>IF(AND(B2726&lt;=NKC!$N$8,B2726&gt;=NKC!$M$8),"x","")</f>
        <v/>
      </c>
      <c r="AA2726" s="535">
        <v>2</v>
      </c>
      <c r="AB2726" s="536"/>
    </row>
    <row r="2727" spans="1:28" s="503" customFormat="1" ht="15.75" customHeight="1">
      <c r="A2727" s="517" t="str">
        <f>IF(B2727&lt;&gt;"",IF(AND(B2727&gt;=_TM1,B2727&lt;=_TM2,OR(TH!L2727="1111",TH!M2727="1111")),TH!D2727,""),"")</f>
        <v/>
      </c>
      <c r="B2727" s="531">
        <f t="shared" si="236"/>
        <v>6</v>
      </c>
      <c r="C2727" s="315">
        <f t="shared" si="237"/>
        <v>42914</v>
      </c>
      <c r="D2727" s="315" t="s">
        <v>941</v>
      </c>
      <c r="E2727" s="315">
        <v>42914</v>
      </c>
      <c r="F2727" s="250" t="s">
        <v>1191</v>
      </c>
      <c r="G2727" s="314" t="s">
        <v>1192</v>
      </c>
      <c r="H2727" s="473" t="s">
        <v>1193</v>
      </c>
      <c r="I2727" s="307">
        <v>50</v>
      </c>
      <c r="J2727" s="307">
        <v>17240</v>
      </c>
      <c r="K2727" s="532">
        <f>ROUND(I2727*J2727,0)</f>
        <v>862000</v>
      </c>
      <c r="L2727" s="534" t="s">
        <v>223</v>
      </c>
      <c r="M2727" s="534" t="s">
        <v>162</v>
      </c>
      <c r="N2727" s="525" t="str">
        <f>IF(AND('331-CT'!$E$7=TH!H2727,OR(L2727="331",M2727="331")),"331",IF(AND(OR(L2727="131",M2727="131"),H2727='131-CT'!$E$7),"131",""))</f>
        <v/>
      </c>
      <c r="O2727" s="525" t="str">
        <f>IF(AND($B2727&gt;='111'!$N$11,$B2727&lt;='111'!$O$11,OR($L2727=$O$7,$M2727=$O$7)),"x","")</f>
        <v/>
      </c>
      <c r="P2727" s="525" t="str">
        <f>IF(AND($L2727=$O$7,$B2727&lt;'111'!$N$11),"x","")</f>
        <v/>
      </c>
      <c r="Q2727" s="525" t="str">
        <f>IF(AND($M2727=$O$7,$B2727&lt;'111'!$N$11),"x","")</f>
        <v/>
      </c>
      <c r="R2727" s="525" t="str">
        <f>IF(ISERROR(FIND('112'!$M$9,G2727,1)),"",IF((AND(FIND('112'!$M$9,G2727,1)&gt;=1,$B2727&gt;='112'!$N$8,$B2727&lt;='112'!$O$8,OR($L2727='112'!$I$6,$M2727='112'!$I$6))),"x",""))</f>
        <v/>
      </c>
      <c r="S2727" s="525" t="str">
        <f>IF(ISERROR(FIND('112'!$M$9,G2727,1)),"",IF((AND(LEFT(G2727,2)=LEFT('112'!$M$9,2),B2727&lt;'112'!$N$8,$L2727='112'!$I$6)),"x",""))</f>
        <v/>
      </c>
      <c r="T2727" s="525" t="str">
        <f>IF(ISERROR(FIND('112'!$M$9,G2727,1)),"",IF((AND(RIGHT(G2727,2)=RIGHT('112'!$M$9,2),B2727&lt;'112'!$N$8,$M2727='112'!$I$6)),"x",""))</f>
        <v/>
      </c>
      <c r="U2727" s="525" t="str">
        <f>IF(AND(B2727&gt;='IN-NX'!$P$3,B2727&lt;='IN-NX'!$Q$3,'IN-NX'!$D$7=D2727,OR(LEFT(L2727,2)="15",AND(LEFT(M2727,2)&lt;&gt;"15",LEFT(M2727,2)&lt;&gt;"33"))),"x","")</f>
        <v/>
      </c>
      <c r="V2727" s="525" t="str">
        <f>IF(AND(OR(LEFT(TH!L2727,2)="15",LEFT(TH!M2727,2)="15"),'152-CT'!$J$8=TH!F2727),"x","")</f>
        <v/>
      </c>
      <c r="W2727" s="525" t="str">
        <f>IF(AND(OR(LEFT(TH!L2727,2)="15",LEFT(TH!M2727,2)="15"),TK!$E$7=TH!F2727),"x","")</f>
        <v/>
      </c>
      <c r="X2727" s="525" t="str">
        <f>IF(AND('341-CT'!$E$9=H2727,OR(LEFT(L2727,3)=$X$7,LEFT(M2727,3)=$X$7)),"x","")</f>
        <v/>
      </c>
      <c r="Y2727" s="525" t="str">
        <f>IF(OR(TH!L2727=TH!$Y$7,M2727=TH!$Y$7),"x","")</f>
        <v/>
      </c>
      <c r="Z2727" s="525" t="str">
        <f>IF(AND(B2727&lt;=NKC!$N$8,B2727&gt;=NKC!$M$8),"x","")</f>
        <v/>
      </c>
      <c r="AA2727" s="535"/>
      <c r="AB2727" s="536"/>
    </row>
    <row r="2728" spans="1:28" s="503" customFormat="1" ht="15.75" customHeight="1">
      <c r="A2728" s="517" t="str">
        <f>IF(B2728&lt;&gt;"",IF(AND(B2728&gt;=_TM1,B2728&lt;=_TM2,OR(TH!L2728="1111",TH!M2728="1111")),TH!D2728,""),"")</f>
        <v/>
      </c>
      <c r="B2728" s="531">
        <f t="shared" si="236"/>
        <v>6</v>
      </c>
      <c r="C2728" s="315">
        <f t="shared" si="237"/>
        <v>42914</v>
      </c>
      <c r="D2728" s="315" t="s">
        <v>941</v>
      </c>
      <c r="E2728" s="315">
        <v>42914</v>
      </c>
      <c r="F2728" s="249" t="s">
        <v>494</v>
      </c>
      <c r="G2728" s="314" t="s">
        <v>1192</v>
      </c>
      <c r="H2728" s="473" t="s">
        <v>1193</v>
      </c>
      <c r="I2728" s="307"/>
      <c r="J2728" s="307"/>
      <c r="K2728" s="532">
        <v>86200</v>
      </c>
      <c r="L2728" s="534" t="s">
        <v>223</v>
      </c>
      <c r="M2728" s="534" t="s">
        <v>259</v>
      </c>
      <c r="N2728" s="525" t="str">
        <f>IF(AND('331-CT'!$E$7=TH!H2728,OR(L2728="331",M2728="331")),"331",IF(AND(OR(L2728="131",M2728="131"),H2728='131-CT'!$E$7),"131",""))</f>
        <v/>
      </c>
      <c r="O2728" s="525" t="str">
        <f>IF(AND($B2728&gt;='111'!$N$11,$B2728&lt;='111'!$O$11,OR($L2728=$O$7,$M2728=$O$7)),"x","")</f>
        <v/>
      </c>
      <c r="P2728" s="525" t="str">
        <f>IF(AND($L2728=$O$7,$B2728&lt;'111'!$N$11),"x","")</f>
        <v/>
      </c>
      <c r="Q2728" s="525" t="str">
        <f>IF(AND($M2728=$O$7,$B2728&lt;'111'!$N$11),"x","")</f>
        <v/>
      </c>
      <c r="R2728" s="525" t="str">
        <f>IF(ISERROR(FIND('112'!$M$9,G2728,1)),"",IF((AND(FIND('112'!$M$9,G2728,1)&gt;=1,$B2728&gt;='112'!$N$8,$B2728&lt;='112'!$O$8,OR($L2728='112'!$I$6,$M2728='112'!$I$6))),"x",""))</f>
        <v/>
      </c>
      <c r="S2728" s="525" t="str">
        <f>IF(ISERROR(FIND('112'!$M$9,G2728,1)),"",IF((AND(LEFT(G2728,2)=LEFT('112'!$M$9,2),B2728&lt;'112'!$N$8,$L2728='112'!$I$6)),"x",""))</f>
        <v/>
      </c>
      <c r="T2728" s="525" t="str">
        <f>IF(ISERROR(FIND('112'!$M$9,G2728,1)),"",IF((AND(RIGHT(G2728,2)=RIGHT('112'!$M$9,2),B2728&lt;'112'!$N$8,$M2728='112'!$I$6)),"x",""))</f>
        <v/>
      </c>
      <c r="U2728" s="525" t="str">
        <f>IF(AND(B2728&gt;='IN-NX'!$P$3,B2728&lt;='IN-NX'!$Q$3,'IN-NX'!$D$7=D2728,OR(LEFT(L2728,2)="15",AND(LEFT(M2728,2)&lt;&gt;"15",LEFT(M2728,2)&lt;&gt;"33"))),"x","")</f>
        <v/>
      </c>
      <c r="V2728" s="525" t="str">
        <f>IF(AND(OR(LEFT(TH!L2728,2)="15",LEFT(TH!M2728,2)="15"),'152-CT'!$J$8=TH!F2728),"x","")</f>
        <v/>
      </c>
      <c r="W2728" s="525" t="str">
        <f>IF(AND(OR(LEFT(TH!L2728,2)="15",LEFT(TH!M2728,2)="15"),TK!$E$7=TH!F2728),"x","")</f>
        <v/>
      </c>
      <c r="X2728" s="525" t="str">
        <f>IF(AND('341-CT'!$E$9=H2728,OR(LEFT(L2728,3)=$X$7,LEFT(M2728,3)=$X$7)),"x","")</f>
        <v/>
      </c>
      <c r="Y2728" s="525" t="str">
        <f>IF(OR(TH!L2728=TH!$Y$7,M2728=TH!$Y$7),"x","")</f>
        <v/>
      </c>
      <c r="Z2728" s="525" t="str">
        <f>IF(AND(B2728&lt;=NKC!$N$8,B2728&gt;=NKC!$M$8),"x","")</f>
        <v/>
      </c>
      <c r="AA2728" s="535"/>
      <c r="AB2728" s="536"/>
    </row>
    <row r="2729" spans="1:28" s="503" customFormat="1" ht="15.75" customHeight="1">
      <c r="A2729" s="517" t="str">
        <f>IF(B2729&lt;&gt;"",IF(AND(B2729&gt;=_TM1,B2729&lt;=_TM2,OR(TH!L2729="1111",TH!M2729="1111")),TH!D2729,""),"")</f>
        <v/>
      </c>
      <c r="B2729" s="531">
        <f t="shared" si="236"/>
        <v>6</v>
      </c>
      <c r="C2729" s="315">
        <f t="shared" si="237"/>
        <v>42914</v>
      </c>
      <c r="D2729" s="315" t="s">
        <v>942</v>
      </c>
      <c r="E2729" s="315">
        <v>42914</v>
      </c>
      <c r="F2729" s="250" t="s">
        <v>1223</v>
      </c>
      <c r="G2729" s="314" t="s">
        <v>1251</v>
      </c>
      <c r="H2729" s="473" t="s">
        <v>284</v>
      </c>
      <c r="I2729" s="307">
        <v>36</v>
      </c>
      <c r="J2729" s="307">
        <v>49790</v>
      </c>
      <c r="K2729" s="532">
        <f t="shared" ref="K2729:K2760" si="238">ROUND(I2729*J2729,0)</f>
        <v>1792440</v>
      </c>
      <c r="L2729" s="534" t="s">
        <v>223</v>
      </c>
      <c r="M2729" s="534" t="s">
        <v>162</v>
      </c>
      <c r="N2729" s="525" t="str">
        <f>IF(AND('331-CT'!$E$7=TH!H2729,OR(L2729="331",M2729="331")),"331",IF(AND(OR(L2729="131",M2729="131"),H2729='131-CT'!$E$7),"131",""))</f>
        <v/>
      </c>
      <c r="O2729" s="525" t="str">
        <f>IF(AND($B2729&gt;='111'!$N$11,$B2729&lt;='111'!$O$11,OR($L2729=$O$7,$M2729=$O$7)),"x","")</f>
        <v/>
      </c>
      <c r="P2729" s="525" t="str">
        <f>IF(AND($L2729=$O$7,$B2729&lt;'111'!$N$11),"x","")</f>
        <v/>
      </c>
      <c r="Q2729" s="525" t="str">
        <f>IF(AND($M2729=$O$7,$B2729&lt;'111'!$N$11),"x","")</f>
        <v/>
      </c>
      <c r="R2729" s="525" t="str">
        <f>IF(ISERROR(FIND('112'!$M$9,G2729,1)),"",IF((AND(FIND('112'!$M$9,G2729,1)&gt;=1,$B2729&gt;='112'!$N$8,$B2729&lt;='112'!$O$8,OR($L2729='112'!$I$6,$M2729='112'!$I$6))),"x",""))</f>
        <v/>
      </c>
      <c r="S2729" s="525" t="str">
        <f>IF(ISERROR(FIND('112'!$M$9,G2729,1)),"",IF((AND(LEFT(G2729,2)=LEFT('112'!$M$9,2),B2729&lt;'112'!$N$8,$L2729='112'!$I$6)),"x",""))</f>
        <v/>
      </c>
      <c r="T2729" s="525" t="str">
        <f>IF(ISERROR(FIND('112'!$M$9,G2729,1)),"",IF((AND(RIGHT(G2729,2)=RIGHT('112'!$M$9,2),B2729&lt;'112'!$N$8,$M2729='112'!$I$6)),"x",""))</f>
        <v/>
      </c>
      <c r="U2729" s="525" t="str">
        <f>IF(AND(B2729&gt;='IN-NX'!$P$3,B2729&lt;='IN-NX'!$Q$3,'IN-NX'!$D$7=D2729,OR(LEFT(L2729,2)="15",AND(LEFT(M2729,2)&lt;&gt;"15",LEFT(M2729,2)&lt;&gt;"33"))),"x","")</f>
        <v/>
      </c>
      <c r="V2729" s="525" t="str">
        <f>IF(AND(OR(LEFT(TH!L2729,2)="15",LEFT(TH!M2729,2)="15"),'152-CT'!$J$8=TH!F2729),"x","")</f>
        <v/>
      </c>
      <c r="W2729" s="525" t="str">
        <f>IF(AND(OR(LEFT(TH!L2729,2)="15",LEFT(TH!M2729,2)="15"),TK!$E$7=TH!F2729),"x","")</f>
        <v/>
      </c>
      <c r="X2729" s="525" t="str">
        <f>IF(AND('341-CT'!$E$9=H2729,OR(LEFT(L2729,3)=$X$7,LEFT(M2729,3)=$X$7)),"x","")</f>
        <v/>
      </c>
      <c r="Y2729" s="525" t="str">
        <f>IF(OR(TH!L2729=TH!$Y$7,M2729=TH!$Y$7),"x","")</f>
        <v/>
      </c>
      <c r="Z2729" s="525" t="str">
        <f>IF(AND(B2729&lt;=NKC!$N$8,B2729&gt;=NKC!$M$8),"x","")</f>
        <v/>
      </c>
      <c r="AA2729" s="535"/>
      <c r="AB2729" s="536"/>
    </row>
    <row r="2730" spans="1:28" s="503" customFormat="1" ht="15.75" customHeight="1">
      <c r="A2730" s="517" t="str">
        <f>IF(B2730&lt;&gt;"",IF(AND(B2730&gt;=_TM1,B2730&lt;=_TM2,OR(TH!L2730="1111",TH!M2730="1111")),TH!D2730,""),"")</f>
        <v/>
      </c>
      <c r="B2730" s="531">
        <f t="shared" si="236"/>
        <v>6</v>
      </c>
      <c r="C2730" s="315">
        <f t="shared" si="237"/>
        <v>42914</v>
      </c>
      <c r="D2730" s="315" t="s">
        <v>942</v>
      </c>
      <c r="E2730" s="315">
        <v>42914</v>
      </c>
      <c r="F2730" s="250" t="s">
        <v>1224</v>
      </c>
      <c r="G2730" s="314" t="s">
        <v>1251</v>
      </c>
      <c r="H2730" s="473" t="s">
        <v>284</v>
      </c>
      <c r="I2730" s="307">
        <v>76</v>
      </c>
      <c r="J2730" s="307">
        <v>74160</v>
      </c>
      <c r="K2730" s="532">
        <f t="shared" si="238"/>
        <v>5636160</v>
      </c>
      <c r="L2730" s="534" t="s">
        <v>223</v>
      </c>
      <c r="M2730" s="534" t="s">
        <v>162</v>
      </c>
      <c r="N2730" s="525" t="str">
        <f>IF(AND('331-CT'!$E$7=TH!H2730,OR(L2730="331",M2730="331")),"331",IF(AND(OR(L2730="131",M2730="131"),H2730='131-CT'!$E$7),"131",""))</f>
        <v/>
      </c>
      <c r="O2730" s="525" t="str">
        <f>IF(AND($B2730&gt;='111'!$N$11,$B2730&lt;='111'!$O$11,OR($L2730=$O$7,$M2730=$O$7)),"x","")</f>
        <v/>
      </c>
      <c r="P2730" s="525" t="str">
        <f>IF(AND($L2730=$O$7,$B2730&lt;'111'!$N$11),"x","")</f>
        <v/>
      </c>
      <c r="Q2730" s="525" t="str">
        <f>IF(AND($M2730=$O$7,$B2730&lt;'111'!$N$11),"x","")</f>
        <v/>
      </c>
      <c r="R2730" s="525" t="str">
        <f>IF(ISERROR(FIND('112'!$M$9,G2730,1)),"",IF((AND(FIND('112'!$M$9,G2730,1)&gt;=1,$B2730&gt;='112'!$N$8,$B2730&lt;='112'!$O$8,OR($L2730='112'!$I$6,$M2730='112'!$I$6))),"x",""))</f>
        <v/>
      </c>
      <c r="S2730" s="525" t="str">
        <f>IF(ISERROR(FIND('112'!$M$9,G2730,1)),"",IF((AND(LEFT(G2730,2)=LEFT('112'!$M$9,2),B2730&lt;'112'!$N$8,$L2730='112'!$I$6)),"x",""))</f>
        <v/>
      </c>
      <c r="T2730" s="525" t="str">
        <f>IF(ISERROR(FIND('112'!$M$9,G2730,1)),"",IF((AND(RIGHT(G2730,2)=RIGHT('112'!$M$9,2),B2730&lt;'112'!$N$8,$M2730='112'!$I$6)),"x",""))</f>
        <v/>
      </c>
      <c r="U2730" s="525" t="str">
        <f>IF(AND(B2730&gt;='IN-NX'!$P$3,B2730&lt;='IN-NX'!$Q$3,'IN-NX'!$D$7=D2730,OR(LEFT(L2730,2)="15",AND(LEFT(M2730,2)&lt;&gt;"15",LEFT(M2730,2)&lt;&gt;"33"))),"x","")</f>
        <v/>
      </c>
      <c r="V2730" s="525" t="str">
        <f>IF(AND(OR(LEFT(TH!L2730,2)="15",LEFT(TH!M2730,2)="15"),'152-CT'!$J$8=TH!F2730),"x","")</f>
        <v/>
      </c>
      <c r="W2730" s="525" t="str">
        <f>IF(AND(OR(LEFT(TH!L2730,2)="15",LEFT(TH!M2730,2)="15"),TK!$E$7=TH!F2730),"x","")</f>
        <v/>
      </c>
      <c r="X2730" s="525" t="str">
        <f>IF(AND('341-CT'!$E$9=H2730,OR(LEFT(L2730,3)=$X$7,LEFT(M2730,3)=$X$7)),"x","")</f>
        <v/>
      </c>
      <c r="Y2730" s="525" t="str">
        <f>IF(OR(TH!L2730=TH!$Y$7,M2730=TH!$Y$7),"x","")</f>
        <v/>
      </c>
      <c r="Z2730" s="525" t="str">
        <f>IF(AND(B2730&lt;=NKC!$N$8,B2730&gt;=NKC!$M$8),"x","")</f>
        <v/>
      </c>
      <c r="AA2730" s="535"/>
      <c r="AB2730" s="536"/>
    </row>
    <row r="2731" spans="1:28" s="503" customFormat="1" ht="15.75" customHeight="1">
      <c r="A2731" s="517" t="str">
        <f>IF(B2731&lt;&gt;"",IF(AND(B2731&gt;=_TM1,B2731&lt;=_TM2,OR(TH!L2731="1111",TH!M2731="1111")),TH!D2731,""),"")</f>
        <v/>
      </c>
      <c r="B2731" s="531">
        <f t="shared" si="236"/>
        <v>6</v>
      </c>
      <c r="C2731" s="315">
        <f t="shared" si="237"/>
        <v>42914</v>
      </c>
      <c r="D2731" s="315" t="s">
        <v>942</v>
      </c>
      <c r="E2731" s="315">
        <v>42914</v>
      </c>
      <c r="F2731" s="250" t="s">
        <v>704</v>
      </c>
      <c r="G2731" s="314" t="s">
        <v>1251</v>
      </c>
      <c r="H2731" s="473" t="s">
        <v>284</v>
      </c>
      <c r="I2731" s="307">
        <v>166</v>
      </c>
      <c r="J2731" s="307">
        <v>18718</v>
      </c>
      <c r="K2731" s="532">
        <f t="shared" si="238"/>
        <v>3107188</v>
      </c>
      <c r="L2731" s="534" t="s">
        <v>223</v>
      </c>
      <c r="M2731" s="534" t="s">
        <v>162</v>
      </c>
      <c r="N2731" s="525" t="str">
        <f>IF(AND('331-CT'!$E$7=TH!H2731,OR(L2731="331",M2731="331")),"331",IF(AND(OR(L2731="131",M2731="131"),H2731='131-CT'!$E$7),"131",""))</f>
        <v/>
      </c>
      <c r="O2731" s="525" t="str">
        <f>IF(AND($B2731&gt;='111'!$N$11,$B2731&lt;='111'!$O$11,OR($L2731=$O$7,$M2731=$O$7)),"x","")</f>
        <v/>
      </c>
      <c r="P2731" s="525" t="str">
        <f>IF(AND($L2731=$O$7,$B2731&lt;'111'!$N$11),"x","")</f>
        <v/>
      </c>
      <c r="Q2731" s="525" t="str">
        <f>IF(AND($M2731=$O$7,$B2731&lt;'111'!$N$11),"x","")</f>
        <v/>
      </c>
      <c r="R2731" s="525" t="str">
        <f>IF(ISERROR(FIND('112'!$M$9,G2731,1)),"",IF((AND(FIND('112'!$M$9,G2731,1)&gt;=1,$B2731&gt;='112'!$N$8,$B2731&lt;='112'!$O$8,OR($L2731='112'!$I$6,$M2731='112'!$I$6))),"x",""))</f>
        <v/>
      </c>
      <c r="S2731" s="525" t="str">
        <f>IF(ISERROR(FIND('112'!$M$9,G2731,1)),"",IF((AND(LEFT(G2731,2)=LEFT('112'!$M$9,2),B2731&lt;'112'!$N$8,$L2731='112'!$I$6)),"x",""))</f>
        <v/>
      </c>
      <c r="T2731" s="525" t="str">
        <f>IF(ISERROR(FIND('112'!$M$9,G2731,1)),"",IF((AND(RIGHT(G2731,2)=RIGHT('112'!$M$9,2),B2731&lt;'112'!$N$8,$M2731='112'!$I$6)),"x",""))</f>
        <v/>
      </c>
      <c r="U2731" s="525" t="str">
        <f>IF(AND(B2731&gt;='IN-NX'!$P$3,B2731&lt;='IN-NX'!$Q$3,'IN-NX'!$D$7=D2731,OR(LEFT(L2731,2)="15",AND(LEFT(M2731,2)&lt;&gt;"15",LEFT(M2731,2)&lt;&gt;"33"))),"x","")</f>
        <v/>
      </c>
      <c r="V2731" s="525" t="str">
        <f>IF(AND(OR(LEFT(TH!L2731,2)="15",LEFT(TH!M2731,2)="15"),'152-CT'!$J$8=TH!F2731),"x","")</f>
        <v/>
      </c>
      <c r="W2731" s="525" t="str">
        <f>IF(AND(OR(LEFT(TH!L2731,2)="15",LEFT(TH!M2731,2)="15"),TK!$E$7=TH!F2731),"x","")</f>
        <v/>
      </c>
      <c r="X2731" s="525" t="str">
        <f>IF(AND('341-CT'!$E$9=H2731,OR(LEFT(L2731,3)=$X$7,LEFT(M2731,3)=$X$7)),"x","")</f>
        <v/>
      </c>
      <c r="Y2731" s="525" t="str">
        <f>IF(OR(TH!L2731=TH!$Y$7,M2731=TH!$Y$7),"x","")</f>
        <v/>
      </c>
      <c r="Z2731" s="525" t="str">
        <f>IF(AND(B2731&lt;=NKC!$N$8,B2731&gt;=NKC!$M$8),"x","")</f>
        <v/>
      </c>
      <c r="AA2731" s="535"/>
      <c r="AB2731" s="536"/>
    </row>
    <row r="2732" spans="1:28" s="503" customFormat="1" ht="15.75" customHeight="1">
      <c r="A2732" s="517" t="str">
        <f>IF(B2732&lt;&gt;"",IF(AND(B2732&gt;=_TM1,B2732&lt;=_TM2,OR(TH!L2732="1111",TH!M2732="1111")),TH!D2732,""),"")</f>
        <v/>
      </c>
      <c r="B2732" s="531">
        <f t="shared" si="236"/>
        <v>6</v>
      </c>
      <c r="C2732" s="315">
        <f t="shared" si="237"/>
        <v>42914</v>
      </c>
      <c r="D2732" s="315" t="s">
        <v>942</v>
      </c>
      <c r="E2732" s="315">
        <v>42914</v>
      </c>
      <c r="F2732" s="250" t="s">
        <v>710</v>
      </c>
      <c r="G2732" s="314" t="s">
        <v>1251</v>
      </c>
      <c r="H2732" s="473" t="s">
        <v>284</v>
      </c>
      <c r="I2732" s="307">
        <v>36</v>
      </c>
      <c r="J2732" s="307">
        <v>22045</v>
      </c>
      <c r="K2732" s="532">
        <f t="shared" si="238"/>
        <v>793620</v>
      </c>
      <c r="L2732" s="534" t="s">
        <v>223</v>
      </c>
      <c r="M2732" s="534" t="s">
        <v>162</v>
      </c>
      <c r="N2732" s="525" t="str">
        <f>IF(AND('331-CT'!$E$7=TH!H2732,OR(L2732="331",M2732="331")),"331",IF(AND(OR(L2732="131",M2732="131"),H2732='131-CT'!$E$7),"131",""))</f>
        <v/>
      </c>
      <c r="O2732" s="525" t="str">
        <f>IF(AND($B2732&gt;='111'!$N$11,$B2732&lt;='111'!$O$11,OR($L2732=$O$7,$M2732=$O$7)),"x","")</f>
        <v/>
      </c>
      <c r="P2732" s="525" t="str">
        <f>IF(AND($L2732=$O$7,$B2732&lt;'111'!$N$11),"x","")</f>
        <v/>
      </c>
      <c r="Q2732" s="525" t="str">
        <f>IF(AND($M2732=$O$7,$B2732&lt;'111'!$N$11),"x","")</f>
        <v/>
      </c>
      <c r="R2732" s="525" t="str">
        <f>IF(ISERROR(FIND('112'!$M$9,G2732,1)),"",IF((AND(FIND('112'!$M$9,G2732,1)&gt;=1,$B2732&gt;='112'!$N$8,$B2732&lt;='112'!$O$8,OR($L2732='112'!$I$6,$M2732='112'!$I$6))),"x",""))</f>
        <v/>
      </c>
      <c r="S2732" s="525" t="str">
        <f>IF(ISERROR(FIND('112'!$M$9,G2732,1)),"",IF((AND(LEFT(G2732,2)=LEFT('112'!$M$9,2),B2732&lt;'112'!$N$8,$L2732='112'!$I$6)),"x",""))</f>
        <v/>
      </c>
      <c r="T2732" s="525" t="str">
        <f>IF(ISERROR(FIND('112'!$M$9,G2732,1)),"",IF((AND(RIGHT(G2732,2)=RIGHT('112'!$M$9,2),B2732&lt;'112'!$N$8,$M2732='112'!$I$6)),"x",""))</f>
        <v/>
      </c>
      <c r="U2732" s="525" t="str">
        <f>IF(AND(B2732&gt;='IN-NX'!$P$3,B2732&lt;='IN-NX'!$Q$3,'IN-NX'!$D$7=D2732,OR(LEFT(L2732,2)="15",AND(LEFT(M2732,2)&lt;&gt;"15",LEFT(M2732,2)&lt;&gt;"33"))),"x","")</f>
        <v/>
      </c>
      <c r="V2732" s="525" t="str">
        <f>IF(AND(OR(LEFT(TH!L2732,2)="15",LEFT(TH!M2732,2)="15"),'152-CT'!$J$8=TH!F2732),"x","")</f>
        <v/>
      </c>
      <c r="W2732" s="525" t="str">
        <f>IF(AND(OR(LEFT(TH!L2732,2)="15",LEFT(TH!M2732,2)="15"),TK!$E$7=TH!F2732),"x","")</f>
        <v/>
      </c>
      <c r="X2732" s="525" t="str">
        <f>IF(AND('341-CT'!$E$9=H2732,OR(LEFT(L2732,3)=$X$7,LEFT(M2732,3)=$X$7)),"x","")</f>
        <v/>
      </c>
      <c r="Y2732" s="525" t="str">
        <f>IF(OR(TH!L2732=TH!$Y$7,M2732=TH!$Y$7),"x","")</f>
        <v/>
      </c>
      <c r="Z2732" s="525" t="str">
        <f>IF(AND(B2732&lt;=NKC!$N$8,B2732&gt;=NKC!$M$8),"x","")</f>
        <v/>
      </c>
      <c r="AA2732" s="535"/>
      <c r="AB2732" s="536"/>
    </row>
    <row r="2733" spans="1:28" s="503" customFormat="1" ht="15.75" customHeight="1">
      <c r="A2733" s="517" t="str">
        <f>IF(B2733&lt;&gt;"",IF(AND(B2733&gt;=_TM1,B2733&lt;=_TM2,OR(TH!L2733="1111",TH!M2733="1111")),TH!D2733,""),"")</f>
        <v/>
      </c>
      <c r="B2733" s="531">
        <f t="shared" si="236"/>
        <v>6</v>
      </c>
      <c r="C2733" s="315">
        <f t="shared" si="237"/>
        <v>42914</v>
      </c>
      <c r="D2733" s="315" t="s">
        <v>942</v>
      </c>
      <c r="E2733" s="315">
        <v>42914</v>
      </c>
      <c r="F2733" s="250" t="s">
        <v>1041</v>
      </c>
      <c r="G2733" s="314" t="s">
        <v>1251</v>
      </c>
      <c r="H2733" s="473" t="s">
        <v>284</v>
      </c>
      <c r="I2733" s="307">
        <v>42</v>
      </c>
      <c r="J2733" s="307">
        <v>22527</v>
      </c>
      <c r="K2733" s="532">
        <f t="shared" si="238"/>
        <v>946134</v>
      </c>
      <c r="L2733" s="534" t="s">
        <v>223</v>
      </c>
      <c r="M2733" s="534" t="s">
        <v>162</v>
      </c>
      <c r="N2733" s="525" t="str">
        <f>IF(AND('331-CT'!$E$7=TH!H2733,OR(L2733="331",M2733="331")),"331",IF(AND(OR(L2733="131",M2733="131"),H2733='131-CT'!$E$7),"131",""))</f>
        <v/>
      </c>
      <c r="O2733" s="525" t="str">
        <f>IF(AND($B2733&gt;='111'!$N$11,$B2733&lt;='111'!$O$11,OR($L2733=$O$7,$M2733=$O$7)),"x","")</f>
        <v/>
      </c>
      <c r="P2733" s="525" t="str">
        <f>IF(AND($L2733=$O$7,$B2733&lt;'111'!$N$11),"x","")</f>
        <v/>
      </c>
      <c r="Q2733" s="525" t="str">
        <f>IF(AND($M2733=$O$7,$B2733&lt;'111'!$N$11),"x","")</f>
        <v/>
      </c>
      <c r="R2733" s="525" t="str">
        <f>IF(ISERROR(FIND('112'!$M$9,G2733,1)),"",IF((AND(FIND('112'!$M$9,G2733,1)&gt;=1,$B2733&gt;='112'!$N$8,$B2733&lt;='112'!$O$8,OR($L2733='112'!$I$6,$M2733='112'!$I$6))),"x",""))</f>
        <v/>
      </c>
      <c r="S2733" s="525" t="str">
        <f>IF(ISERROR(FIND('112'!$M$9,G2733,1)),"",IF((AND(LEFT(G2733,2)=LEFT('112'!$M$9,2),B2733&lt;'112'!$N$8,$L2733='112'!$I$6)),"x",""))</f>
        <v/>
      </c>
      <c r="T2733" s="525" t="str">
        <f>IF(ISERROR(FIND('112'!$M$9,G2733,1)),"",IF((AND(RIGHT(G2733,2)=RIGHT('112'!$M$9,2),B2733&lt;'112'!$N$8,$M2733='112'!$I$6)),"x",""))</f>
        <v/>
      </c>
      <c r="U2733" s="525" t="str">
        <f>IF(AND(B2733&gt;='IN-NX'!$P$3,B2733&lt;='IN-NX'!$Q$3,'IN-NX'!$D$7=D2733,OR(LEFT(L2733,2)="15",AND(LEFT(M2733,2)&lt;&gt;"15",LEFT(M2733,2)&lt;&gt;"33"))),"x","")</f>
        <v/>
      </c>
      <c r="V2733" s="525" t="str">
        <f>IF(AND(OR(LEFT(TH!L2733,2)="15",LEFT(TH!M2733,2)="15"),'152-CT'!$J$8=TH!F2733),"x","")</f>
        <v/>
      </c>
      <c r="W2733" s="525" t="str">
        <f>IF(AND(OR(LEFT(TH!L2733,2)="15",LEFT(TH!M2733,2)="15"),TK!$E$7=TH!F2733),"x","")</f>
        <v/>
      </c>
      <c r="X2733" s="525" t="str">
        <f>IF(AND('341-CT'!$E$9=H2733,OR(LEFT(L2733,3)=$X$7,LEFT(M2733,3)=$X$7)),"x","")</f>
        <v/>
      </c>
      <c r="Y2733" s="525" t="str">
        <f>IF(OR(TH!L2733=TH!$Y$7,M2733=TH!$Y$7),"x","")</f>
        <v/>
      </c>
      <c r="Z2733" s="525" t="str">
        <f>IF(AND(B2733&lt;=NKC!$N$8,B2733&gt;=NKC!$M$8),"x","")</f>
        <v/>
      </c>
      <c r="AA2733" s="535"/>
      <c r="AB2733" s="536"/>
    </row>
    <row r="2734" spans="1:28" s="503" customFormat="1" ht="15.75" customHeight="1">
      <c r="A2734" s="517" t="str">
        <f>IF(B2734&lt;&gt;"",IF(AND(B2734&gt;=_TM1,B2734&lt;=_TM2,OR(TH!L2734="1111",TH!M2734="1111")),TH!D2734,""),"")</f>
        <v/>
      </c>
      <c r="B2734" s="531">
        <f t="shared" si="236"/>
        <v>6</v>
      </c>
      <c r="C2734" s="315">
        <f t="shared" si="237"/>
        <v>42914</v>
      </c>
      <c r="D2734" s="315" t="s">
        <v>942</v>
      </c>
      <c r="E2734" s="315">
        <v>42914</v>
      </c>
      <c r="F2734" s="250" t="s">
        <v>619</v>
      </c>
      <c r="G2734" s="314" t="s">
        <v>1251</v>
      </c>
      <c r="H2734" s="473" t="s">
        <v>284</v>
      </c>
      <c r="I2734" s="307">
        <v>72</v>
      </c>
      <c r="J2734" s="307">
        <v>31675.5</v>
      </c>
      <c r="K2734" s="532">
        <f t="shared" si="238"/>
        <v>2280636</v>
      </c>
      <c r="L2734" s="534" t="s">
        <v>223</v>
      </c>
      <c r="M2734" s="534" t="s">
        <v>162</v>
      </c>
      <c r="N2734" s="525" t="str">
        <f>IF(AND('331-CT'!$E$7=TH!H2734,OR(L2734="331",M2734="331")),"331",IF(AND(OR(L2734="131",M2734="131"),H2734='131-CT'!$E$7),"131",""))</f>
        <v/>
      </c>
      <c r="O2734" s="525" t="str">
        <f>IF(AND($B2734&gt;='111'!$N$11,$B2734&lt;='111'!$O$11,OR($L2734=$O$7,$M2734=$O$7)),"x","")</f>
        <v/>
      </c>
      <c r="P2734" s="525" t="str">
        <f>IF(AND($L2734=$O$7,$B2734&lt;'111'!$N$11),"x","")</f>
        <v/>
      </c>
      <c r="Q2734" s="525" t="str">
        <f>IF(AND($M2734=$O$7,$B2734&lt;'111'!$N$11),"x","")</f>
        <v/>
      </c>
      <c r="R2734" s="525" t="str">
        <f>IF(ISERROR(FIND('112'!$M$9,G2734,1)),"",IF((AND(FIND('112'!$M$9,G2734,1)&gt;=1,$B2734&gt;='112'!$N$8,$B2734&lt;='112'!$O$8,OR($L2734='112'!$I$6,$M2734='112'!$I$6))),"x",""))</f>
        <v/>
      </c>
      <c r="S2734" s="525" t="str">
        <f>IF(ISERROR(FIND('112'!$M$9,G2734,1)),"",IF((AND(LEFT(G2734,2)=LEFT('112'!$M$9,2),B2734&lt;'112'!$N$8,$L2734='112'!$I$6)),"x",""))</f>
        <v/>
      </c>
      <c r="T2734" s="525" t="str">
        <f>IF(ISERROR(FIND('112'!$M$9,G2734,1)),"",IF((AND(RIGHT(G2734,2)=RIGHT('112'!$M$9,2),B2734&lt;'112'!$N$8,$M2734='112'!$I$6)),"x",""))</f>
        <v/>
      </c>
      <c r="U2734" s="525" t="str">
        <f>IF(AND(B2734&gt;='IN-NX'!$P$3,B2734&lt;='IN-NX'!$Q$3,'IN-NX'!$D$7=D2734,OR(LEFT(L2734,2)="15",AND(LEFT(M2734,2)&lt;&gt;"15",LEFT(M2734,2)&lt;&gt;"33"))),"x","")</f>
        <v/>
      </c>
      <c r="V2734" s="525" t="str">
        <f>IF(AND(OR(LEFT(TH!L2734,2)="15",LEFT(TH!M2734,2)="15"),'152-CT'!$J$8=TH!F2734),"x","")</f>
        <v/>
      </c>
      <c r="W2734" s="525" t="str">
        <f>IF(AND(OR(LEFT(TH!L2734,2)="15",LEFT(TH!M2734,2)="15"),TK!$E$7=TH!F2734),"x","")</f>
        <v/>
      </c>
      <c r="X2734" s="525" t="str">
        <f>IF(AND('341-CT'!$E$9=H2734,OR(LEFT(L2734,3)=$X$7,LEFT(M2734,3)=$X$7)),"x","")</f>
        <v/>
      </c>
      <c r="Y2734" s="525" t="str">
        <f>IF(OR(TH!L2734=TH!$Y$7,M2734=TH!$Y$7),"x","")</f>
        <v/>
      </c>
      <c r="Z2734" s="525" t="str">
        <f>IF(AND(B2734&lt;=NKC!$N$8,B2734&gt;=NKC!$M$8),"x","")</f>
        <v/>
      </c>
      <c r="AA2734" s="535"/>
      <c r="AB2734" s="536"/>
    </row>
    <row r="2735" spans="1:28" s="503" customFormat="1" ht="15.75" customHeight="1">
      <c r="A2735" s="517" t="str">
        <f>IF(B2735&lt;&gt;"",IF(AND(B2735&gt;=_TM1,B2735&lt;=_TM2,OR(TH!L2735="1111",TH!M2735="1111")),TH!D2735,""),"")</f>
        <v/>
      </c>
      <c r="B2735" s="531">
        <f t="shared" si="236"/>
        <v>6</v>
      </c>
      <c r="C2735" s="315">
        <f t="shared" si="237"/>
        <v>42914</v>
      </c>
      <c r="D2735" s="315" t="s">
        <v>942</v>
      </c>
      <c r="E2735" s="315">
        <v>42914</v>
      </c>
      <c r="F2735" s="250" t="s">
        <v>665</v>
      </c>
      <c r="G2735" s="314" t="s">
        <v>1251</v>
      </c>
      <c r="H2735" s="473" t="s">
        <v>284</v>
      </c>
      <c r="I2735" s="307">
        <v>48</v>
      </c>
      <c r="J2735" s="307">
        <v>15350.5</v>
      </c>
      <c r="K2735" s="532">
        <f t="shared" si="238"/>
        <v>736824</v>
      </c>
      <c r="L2735" s="534" t="s">
        <v>223</v>
      </c>
      <c r="M2735" s="534" t="s">
        <v>162</v>
      </c>
      <c r="N2735" s="525" t="str">
        <f>IF(AND('331-CT'!$E$7=TH!H2735,OR(L2735="331",M2735="331")),"331",IF(AND(OR(L2735="131",M2735="131"),H2735='131-CT'!$E$7),"131",""))</f>
        <v/>
      </c>
      <c r="O2735" s="525" t="str">
        <f>IF(AND($B2735&gt;='111'!$N$11,$B2735&lt;='111'!$O$11,OR($L2735=$O$7,$M2735=$O$7)),"x","")</f>
        <v/>
      </c>
      <c r="P2735" s="525" t="str">
        <f>IF(AND($L2735=$O$7,$B2735&lt;'111'!$N$11),"x","")</f>
        <v/>
      </c>
      <c r="Q2735" s="525" t="str">
        <f>IF(AND($M2735=$O$7,$B2735&lt;'111'!$N$11),"x","")</f>
        <v/>
      </c>
      <c r="R2735" s="525" t="str">
        <f>IF(ISERROR(FIND('112'!$M$9,G2735,1)),"",IF((AND(FIND('112'!$M$9,G2735,1)&gt;=1,$B2735&gt;='112'!$N$8,$B2735&lt;='112'!$O$8,OR($L2735='112'!$I$6,$M2735='112'!$I$6))),"x",""))</f>
        <v/>
      </c>
      <c r="S2735" s="525" t="str">
        <f>IF(ISERROR(FIND('112'!$M$9,G2735,1)),"",IF((AND(LEFT(G2735,2)=LEFT('112'!$M$9,2),B2735&lt;'112'!$N$8,$L2735='112'!$I$6)),"x",""))</f>
        <v/>
      </c>
      <c r="T2735" s="525" t="str">
        <f>IF(ISERROR(FIND('112'!$M$9,G2735,1)),"",IF((AND(RIGHT(G2735,2)=RIGHT('112'!$M$9,2),B2735&lt;'112'!$N$8,$M2735='112'!$I$6)),"x",""))</f>
        <v/>
      </c>
      <c r="U2735" s="525" t="str">
        <f>IF(AND(B2735&gt;='IN-NX'!$P$3,B2735&lt;='IN-NX'!$Q$3,'IN-NX'!$D$7=D2735,OR(LEFT(L2735,2)="15",AND(LEFT(M2735,2)&lt;&gt;"15",LEFT(M2735,2)&lt;&gt;"33"))),"x","")</f>
        <v/>
      </c>
      <c r="V2735" s="525" t="str">
        <f>IF(AND(OR(LEFT(TH!L2735,2)="15",LEFT(TH!M2735,2)="15"),'152-CT'!$J$8=TH!F2735),"x","")</f>
        <v/>
      </c>
      <c r="W2735" s="525" t="str">
        <f>IF(AND(OR(LEFT(TH!L2735,2)="15",LEFT(TH!M2735,2)="15"),TK!$E$7=TH!F2735),"x","")</f>
        <v/>
      </c>
      <c r="X2735" s="525" t="str">
        <f>IF(AND('341-CT'!$E$9=H2735,OR(LEFT(L2735,3)=$X$7,LEFT(M2735,3)=$X$7)),"x","")</f>
        <v/>
      </c>
      <c r="Y2735" s="525" t="str">
        <f>IF(OR(TH!L2735=TH!$Y$7,M2735=TH!$Y$7),"x","")</f>
        <v/>
      </c>
      <c r="Z2735" s="525" t="str">
        <f>IF(AND(B2735&lt;=NKC!$N$8,B2735&gt;=NKC!$M$8),"x","")</f>
        <v/>
      </c>
      <c r="AA2735" s="535"/>
      <c r="AB2735" s="536"/>
    </row>
    <row r="2736" spans="1:28" s="503" customFormat="1" ht="15.75" customHeight="1">
      <c r="A2736" s="517" t="str">
        <f>IF(B2736&lt;&gt;"",IF(AND(B2736&gt;=_TM1,B2736&lt;=_TM2,OR(TH!L2736="1111",TH!M2736="1111")),TH!D2736,""),"")</f>
        <v/>
      </c>
      <c r="B2736" s="531">
        <f t="shared" si="236"/>
        <v>6</v>
      </c>
      <c r="C2736" s="315">
        <f t="shared" si="237"/>
        <v>42914</v>
      </c>
      <c r="D2736" s="315" t="s">
        <v>942</v>
      </c>
      <c r="E2736" s="315">
        <v>42914</v>
      </c>
      <c r="F2736" s="250" t="s">
        <v>708</v>
      </c>
      <c r="G2736" s="314" t="s">
        <v>1251</v>
      </c>
      <c r="H2736" s="473" t="s">
        <v>284</v>
      </c>
      <c r="I2736" s="307">
        <v>30</v>
      </c>
      <c r="J2736" s="307">
        <v>36711</v>
      </c>
      <c r="K2736" s="532">
        <f t="shared" si="238"/>
        <v>1101330</v>
      </c>
      <c r="L2736" s="534" t="s">
        <v>223</v>
      </c>
      <c r="M2736" s="534" t="s">
        <v>162</v>
      </c>
      <c r="N2736" s="525" t="str">
        <f>IF(AND('331-CT'!$E$7=TH!H2736,OR(L2736="331",M2736="331")),"331",IF(AND(OR(L2736="131",M2736="131"),H2736='131-CT'!$E$7),"131",""))</f>
        <v/>
      </c>
      <c r="O2736" s="525" t="str">
        <f>IF(AND($B2736&gt;='111'!$N$11,$B2736&lt;='111'!$O$11,OR($L2736=$O$7,$M2736=$O$7)),"x","")</f>
        <v/>
      </c>
      <c r="P2736" s="525" t="str">
        <f>IF(AND($L2736=$O$7,$B2736&lt;'111'!$N$11),"x","")</f>
        <v/>
      </c>
      <c r="Q2736" s="525" t="str">
        <f>IF(AND($M2736=$O$7,$B2736&lt;'111'!$N$11),"x","")</f>
        <v/>
      </c>
      <c r="R2736" s="525" t="str">
        <f>IF(ISERROR(FIND('112'!$M$9,G2736,1)),"",IF((AND(FIND('112'!$M$9,G2736,1)&gt;=1,$B2736&gt;='112'!$N$8,$B2736&lt;='112'!$O$8,OR($L2736='112'!$I$6,$M2736='112'!$I$6))),"x",""))</f>
        <v/>
      </c>
      <c r="S2736" s="525" t="str">
        <f>IF(ISERROR(FIND('112'!$M$9,G2736,1)),"",IF((AND(LEFT(G2736,2)=LEFT('112'!$M$9,2),B2736&lt;'112'!$N$8,$L2736='112'!$I$6)),"x",""))</f>
        <v/>
      </c>
      <c r="T2736" s="525" t="str">
        <f>IF(ISERROR(FIND('112'!$M$9,G2736,1)),"",IF((AND(RIGHT(G2736,2)=RIGHT('112'!$M$9,2),B2736&lt;'112'!$N$8,$M2736='112'!$I$6)),"x",""))</f>
        <v/>
      </c>
      <c r="U2736" s="525" t="str">
        <f>IF(AND(B2736&gt;='IN-NX'!$P$3,B2736&lt;='IN-NX'!$Q$3,'IN-NX'!$D$7=D2736,OR(LEFT(L2736,2)="15",AND(LEFT(M2736,2)&lt;&gt;"15",LEFT(M2736,2)&lt;&gt;"33"))),"x","")</f>
        <v/>
      </c>
      <c r="V2736" s="525" t="str">
        <f>IF(AND(OR(LEFT(TH!L2736,2)="15",LEFT(TH!M2736,2)="15"),'152-CT'!$J$8=TH!F2736),"x","")</f>
        <v/>
      </c>
      <c r="W2736" s="525" t="str">
        <f>IF(AND(OR(LEFT(TH!L2736,2)="15",LEFT(TH!M2736,2)="15"),TK!$E$7=TH!F2736),"x","")</f>
        <v/>
      </c>
      <c r="X2736" s="525" t="str">
        <f>IF(AND('341-CT'!$E$9=H2736,OR(LEFT(L2736,3)=$X$7,LEFT(M2736,3)=$X$7)),"x","")</f>
        <v/>
      </c>
      <c r="Y2736" s="525" t="str">
        <f>IF(OR(TH!L2736=TH!$Y$7,M2736=TH!$Y$7),"x","")</f>
        <v/>
      </c>
      <c r="Z2736" s="525" t="str">
        <f>IF(AND(B2736&lt;=NKC!$N$8,B2736&gt;=NKC!$M$8),"x","")</f>
        <v/>
      </c>
      <c r="AA2736" s="535"/>
      <c r="AB2736" s="536"/>
    </row>
    <row r="2737" spans="1:28" s="503" customFormat="1" ht="15.75" customHeight="1">
      <c r="A2737" s="517" t="str">
        <f>IF(B2737&lt;&gt;"",IF(AND(B2737&gt;=_TM1,B2737&lt;=_TM2,OR(TH!L2737="1111",TH!M2737="1111")),TH!D2737,""),"")</f>
        <v/>
      </c>
      <c r="B2737" s="531">
        <f t="shared" si="236"/>
        <v>6</v>
      </c>
      <c r="C2737" s="315">
        <f t="shared" si="237"/>
        <v>42914</v>
      </c>
      <c r="D2737" s="315" t="s">
        <v>942</v>
      </c>
      <c r="E2737" s="315">
        <v>42914</v>
      </c>
      <c r="F2737" s="250" t="s">
        <v>1225</v>
      </c>
      <c r="G2737" s="314" t="s">
        <v>1251</v>
      </c>
      <c r="H2737" s="473" t="s">
        <v>284</v>
      </c>
      <c r="I2737" s="307">
        <v>72</v>
      </c>
      <c r="J2737" s="307">
        <v>21492</v>
      </c>
      <c r="K2737" s="532">
        <f t="shared" si="238"/>
        <v>1547424</v>
      </c>
      <c r="L2737" s="534" t="s">
        <v>223</v>
      </c>
      <c r="M2737" s="534" t="s">
        <v>162</v>
      </c>
      <c r="N2737" s="525" t="str">
        <f>IF(AND('331-CT'!$E$7=TH!H2737,OR(L2737="331",M2737="331")),"331",IF(AND(OR(L2737="131",M2737="131"),H2737='131-CT'!$E$7),"131",""))</f>
        <v/>
      </c>
      <c r="O2737" s="525" t="str">
        <f>IF(AND($B2737&gt;='111'!$N$11,$B2737&lt;='111'!$O$11,OR($L2737=$O$7,$M2737=$O$7)),"x","")</f>
        <v/>
      </c>
      <c r="P2737" s="525" t="str">
        <f>IF(AND($L2737=$O$7,$B2737&lt;'111'!$N$11),"x","")</f>
        <v/>
      </c>
      <c r="Q2737" s="525" t="str">
        <f>IF(AND($M2737=$O$7,$B2737&lt;'111'!$N$11),"x","")</f>
        <v/>
      </c>
      <c r="R2737" s="525" t="str">
        <f>IF(ISERROR(FIND('112'!$M$9,G2737,1)),"",IF((AND(FIND('112'!$M$9,G2737,1)&gt;=1,$B2737&gt;='112'!$N$8,$B2737&lt;='112'!$O$8,OR($L2737='112'!$I$6,$M2737='112'!$I$6))),"x",""))</f>
        <v/>
      </c>
      <c r="S2737" s="525" t="str">
        <f>IF(ISERROR(FIND('112'!$M$9,G2737,1)),"",IF((AND(LEFT(G2737,2)=LEFT('112'!$M$9,2),B2737&lt;'112'!$N$8,$L2737='112'!$I$6)),"x",""))</f>
        <v/>
      </c>
      <c r="T2737" s="525" t="str">
        <f>IF(ISERROR(FIND('112'!$M$9,G2737,1)),"",IF((AND(RIGHT(G2737,2)=RIGHT('112'!$M$9,2),B2737&lt;'112'!$N$8,$M2737='112'!$I$6)),"x",""))</f>
        <v/>
      </c>
      <c r="U2737" s="525" t="str">
        <f>IF(AND(B2737&gt;='IN-NX'!$P$3,B2737&lt;='IN-NX'!$Q$3,'IN-NX'!$D$7=D2737,OR(LEFT(L2737,2)="15",AND(LEFT(M2737,2)&lt;&gt;"15",LEFT(M2737,2)&lt;&gt;"33"))),"x","")</f>
        <v/>
      </c>
      <c r="V2737" s="525" t="str">
        <f>IF(AND(OR(LEFT(TH!L2737,2)="15",LEFT(TH!M2737,2)="15"),'152-CT'!$J$8=TH!F2737),"x","")</f>
        <v/>
      </c>
      <c r="W2737" s="525" t="str">
        <f>IF(AND(OR(LEFT(TH!L2737,2)="15",LEFT(TH!M2737,2)="15"),TK!$E$7=TH!F2737),"x","")</f>
        <v/>
      </c>
      <c r="X2737" s="525" t="str">
        <f>IF(AND('341-CT'!$E$9=H2737,OR(LEFT(L2737,3)=$X$7,LEFT(M2737,3)=$X$7)),"x","")</f>
        <v/>
      </c>
      <c r="Y2737" s="525" t="str">
        <f>IF(OR(TH!L2737=TH!$Y$7,M2737=TH!$Y$7),"x","")</f>
        <v/>
      </c>
      <c r="Z2737" s="525" t="str">
        <f>IF(AND(B2737&lt;=NKC!$N$8,B2737&gt;=NKC!$M$8),"x","")</f>
        <v/>
      </c>
      <c r="AA2737" s="535"/>
      <c r="AB2737" s="536"/>
    </row>
    <row r="2738" spans="1:28" s="503" customFormat="1" ht="15.75" customHeight="1">
      <c r="A2738" s="517" t="str">
        <f>IF(B2738&lt;&gt;"",IF(AND(B2738&gt;=_TM1,B2738&lt;=_TM2,OR(TH!L2738="1111",TH!M2738="1111")),TH!D2738,""),"")</f>
        <v/>
      </c>
      <c r="B2738" s="531">
        <f t="shared" si="236"/>
        <v>6</v>
      </c>
      <c r="C2738" s="315">
        <f t="shared" si="237"/>
        <v>42914</v>
      </c>
      <c r="D2738" s="315" t="s">
        <v>942</v>
      </c>
      <c r="E2738" s="315">
        <v>42914</v>
      </c>
      <c r="F2738" s="250" t="s">
        <v>709</v>
      </c>
      <c r="G2738" s="314" t="s">
        <v>1251</v>
      </c>
      <c r="H2738" s="473" t="s">
        <v>284</v>
      </c>
      <c r="I2738" s="307">
        <v>30</v>
      </c>
      <c r="J2738" s="307">
        <v>41496</v>
      </c>
      <c r="K2738" s="532">
        <f t="shared" si="238"/>
        <v>1244880</v>
      </c>
      <c r="L2738" s="534" t="s">
        <v>223</v>
      </c>
      <c r="M2738" s="534" t="s">
        <v>162</v>
      </c>
      <c r="N2738" s="525" t="str">
        <f>IF(AND('331-CT'!$E$7=TH!H2738,OR(L2738="331",M2738="331")),"331",IF(AND(OR(L2738="131",M2738="131"),H2738='131-CT'!$E$7),"131",""))</f>
        <v/>
      </c>
      <c r="O2738" s="525" t="str">
        <f>IF(AND($B2738&gt;='111'!$N$11,$B2738&lt;='111'!$O$11,OR($L2738=$O$7,$M2738=$O$7)),"x","")</f>
        <v/>
      </c>
      <c r="P2738" s="525" t="str">
        <f>IF(AND($L2738=$O$7,$B2738&lt;'111'!$N$11),"x","")</f>
        <v/>
      </c>
      <c r="Q2738" s="525" t="str">
        <f>IF(AND($M2738=$O$7,$B2738&lt;'111'!$N$11),"x","")</f>
        <v/>
      </c>
      <c r="R2738" s="525" t="str">
        <f>IF(ISERROR(FIND('112'!$M$9,G2738,1)),"",IF((AND(FIND('112'!$M$9,G2738,1)&gt;=1,$B2738&gt;='112'!$N$8,$B2738&lt;='112'!$O$8,OR($L2738='112'!$I$6,$M2738='112'!$I$6))),"x",""))</f>
        <v/>
      </c>
      <c r="S2738" s="525" t="str">
        <f>IF(ISERROR(FIND('112'!$M$9,G2738,1)),"",IF((AND(LEFT(G2738,2)=LEFT('112'!$M$9,2),B2738&lt;'112'!$N$8,$L2738='112'!$I$6)),"x",""))</f>
        <v/>
      </c>
      <c r="T2738" s="525" t="str">
        <f>IF(ISERROR(FIND('112'!$M$9,G2738,1)),"",IF((AND(RIGHT(G2738,2)=RIGHT('112'!$M$9,2),B2738&lt;'112'!$N$8,$M2738='112'!$I$6)),"x",""))</f>
        <v/>
      </c>
      <c r="U2738" s="525" t="str">
        <f>IF(AND(B2738&gt;='IN-NX'!$P$3,B2738&lt;='IN-NX'!$Q$3,'IN-NX'!$D$7=D2738,OR(LEFT(L2738,2)="15",AND(LEFT(M2738,2)&lt;&gt;"15",LEFT(M2738,2)&lt;&gt;"33"))),"x","")</f>
        <v/>
      </c>
      <c r="V2738" s="525" t="str">
        <f>IF(AND(OR(LEFT(TH!L2738,2)="15",LEFT(TH!M2738,2)="15"),'152-CT'!$J$8=TH!F2738),"x","")</f>
        <v/>
      </c>
      <c r="W2738" s="525" t="str">
        <f>IF(AND(OR(LEFT(TH!L2738,2)="15",LEFT(TH!M2738,2)="15"),TK!$E$7=TH!F2738),"x","")</f>
        <v/>
      </c>
      <c r="X2738" s="525" t="str">
        <f>IF(AND('341-CT'!$E$9=H2738,OR(LEFT(L2738,3)=$X$7,LEFT(M2738,3)=$X$7)),"x","")</f>
        <v/>
      </c>
      <c r="Y2738" s="525" t="str">
        <f>IF(OR(TH!L2738=TH!$Y$7,M2738=TH!$Y$7),"x","")</f>
        <v/>
      </c>
      <c r="Z2738" s="525" t="str">
        <f>IF(AND(B2738&lt;=NKC!$N$8,B2738&gt;=NKC!$M$8),"x","")</f>
        <v/>
      </c>
      <c r="AA2738" s="535"/>
      <c r="AB2738" s="536"/>
    </row>
    <row r="2739" spans="1:28" s="503" customFormat="1" ht="15.75" customHeight="1">
      <c r="A2739" s="517" t="str">
        <f>IF(B2739&lt;&gt;"",IF(AND(B2739&gt;=_TM1,B2739&lt;=_TM2,OR(TH!L2739="1111",TH!M2739="1111")),TH!D2739,""),"")</f>
        <v/>
      </c>
      <c r="B2739" s="531">
        <f t="shared" si="236"/>
        <v>6</v>
      </c>
      <c r="C2739" s="315">
        <f t="shared" si="237"/>
        <v>42914</v>
      </c>
      <c r="D2739" s="315" t="s">
        <v>942</v>
      </c>
      <c r="E2739" s="315">
        <v>42914</v>
      </c>
      <c r="F2739" s="250" t="s">
        <v>1226</v>
      </c>
      <c r="G2739" s="314" t="s">
        <v>1251</v>
      </c>
      <c r="H2739" s="473" t="s">
        <v>284</v>
      </c>
      <c r="I2739" s="307">
        <v>24</v>
      </c>
      <c r="J2739" s="307">
        <v>18376</v>
      </c>
      <c r="K2739" s="532">
        <f t="shared" si="238"/>
        <v>441024</v>
      </c>
      <c r="L2739" s="534" t="s">
        <v>223</v>
      </c>
      <c r="M2739" s="534" t="s">
        <v>162</v>
      </c>
      <c r="N2739" s="525" t="str">
        <f>IF(AND('331-CT'!$E$7=TH!H2739,OR(L2739="331",M2739="331")),"331",IF(AND(OR(L2739="131",M2739="131"),H2739='131-CT'!$E$7),"131",""))</f>
        <v/>
      </c>
      <c r="O2739" s="525" t="str">
        <f>IF(AND($B2739&gt;='111'!$N$11,$B2739&lt;='111'!$O$11,OR($L2739=$O$7,$M2739=$O$7)),"x","")</f>
        <v/>
      </c>
      <c r="P2739" s="525" t="str">
        <f>IF(AND($L2739=$O$7,$B2739&lt;'111'!$N$11),"x","")</f>
        <v/>
      </c>
      <c r="Q2739" s="525" t="str">
        <f>IF(AND($M2739=$O$7,$B2739&lt;'111'!$N$11),"x","")</f>
        <v/>
      </c>
      <c r="R2739" s="525" t="str">
        <f>IF(ISERROR(FIND('112'!$M$9,G2739,1)),"",IF((AND(FIND('112'!$M$9,G2739,1)&gt;=1,$B2739&gt;='112'!$N$8,$B2739&lt;='112'!$O$8,OR($L2739='112'!$I$6,$M2739='112'!$I$6))),"x",""))</f>
        <v/>
      </c>
      <c r="S2739" s="525" t="str">
        <f>IF(ISERROR(FIND('112'!$M$9,G2739,1)),"",IF((AND(LEFT(G2739,2)=LEFT('112'!$M$9,2),B2739&lt;'112'!$N$8,$L2739='112'!$I$6)),"x",""))</f>
        <v/>
      </c>
      <c r="T2739" s="525" t="str">
        <f>IF(ISERROR(FIND('112'!$M$9,G2739,1)),"",IF((AND(RIGHT(G2739,2)=RIGHT('112'!$M$9,2),B2739&lt;'112'!$N$8,$M2739='112'!$I$6)),"x",""))</f>
        <v/>
      </c>
      <c r="U2739" s="525" t="str">
        <f>IF(AND(B2739&gt;='IN-NX'!$P$3,B2739&lt;='IN-NX'!$Q$3,'IN-NX'!$D$7=D2739,OR(LEFT(L2739,2)="15",AND(LEFT(M2739,2)&lt;&gt;"15",LEFT(M2739,2)&lt;&gt;"33"))),"x","")</f>
        <v/>
      </c>
      <c r="V2739" s="525" t="str">
        <f>IF(AND(OR(LEFT(TH!L2739,2)="15",LEFT(TH!M2739,2)="15"),'152-CT'!$J$8=TH!F2739),"x","")</f>
        <v/>
      </c>
      <c r="W2739" s="525" t="str">
        <f>IF(AND(OR(LEFT(TH!L2739,2)="15",LEFT(TH!M2739,2)="15"),TK!$E$7=TH!F2739),"x","")</f>
        <v/>
      </c>
      <c r="X2739" s="525" t="str">
        <f>IF(AND('341-CT'!$E$9=H2739,OR(LEFT(L2739,3)=$X$7,LEFT(M2739,3)=$X$7)),"x","")</f>
        <v/>
      </c>
      <c r="Y2739" s="525" t="str">
        <f>IF(OR(TH!L2739=TH!$Y$7,M2739=TH!$Y$7),"x","")</f>
        <v/>
      </c>
      <c r="Z2739" s="525" t="str">
        <f>IF(AND(B2739&lt;=NKC!$N$8,B2739&gt;=NKC!$M$8),"x","")</f>
        <v/>
      </c>
      <c r="AA2739" s="535"/>
      <c r="AB2739" s="536"/>
    </row>
    <row r="2740" spans="1:28" s="503" customFormat="1" ht="15.75" customHeight="1">
      <c r="A2740" s="517" t="str">
        <f>IF(B2740&lt;&gt;"",IF(AND(B2740&gt;=_TM1,B2740&lt;=_TM2,OR(TH!L2740="1111",TH!M2740="1111")),TH!D2740,""),"")</f>
        <v/>
      </c>
      <c r="B2740" s="531">
        <f t="shared" si="236"/>
        <v>6</v>
      </c>
      <c r="C2740" s="315">
        <f t="shared" si="237"/>
        <v>42914</v>
      </c>
      <c r="D2740" s="315" t="s">
        <v>942</v>
      </c>
      <c r="E2740" s="315">
        <v>42914</v>
      </c>
      <c r="F2740" s="250" t="s">
        <v>712</v>
      </c>
      <c r="G2740" s="314" t="s">
        <v>1251</v>
      </c>
      <c r="H2740" s="473" t="s">
        <v>284</v>
      </c>
      <c r="I2740" s="307">
        <v>72</v>
      </c>
      <c r="J2740" s="307">
        <v>40317</v>
      </c>
      <c r="K2740" s="532">
        <f t="shared" si="238"/>
        <v>2902824</v>
      </c>
      <c r="L2740" s="534" t="s">
        <v>223</v>
      </c>
      <c r="M2740" s="534" t="s">
        <v>162</v>
      </c>
      <c r="N2740" s="525" t="str">
        <f>IF(AND('331-CT'!$E$7=TH!H2740,OR(L2740="331",M2740="331")),"331",IF(AND(OR(L2740="131",M2740="131"),H2740='131-CT'!$E$7),"131",""))</f>
        <v/>
      </c>
      <c r="O2740" s="525" t="str">
        <f>IF(AND($B2740&gt;='111'!$N$11,$B2740&lt;='111'!$O$11,OR($L2740=$O$7,$M2740=$O$7)),"x","")</f>
        <v/>
      </c>
      <c r="P2740" s="525" t="str">
        <f>IF(AND($L2740=$O$7,$B2740&lt;'111'!$N$11),"x","")</f>
        <v/>
      </c>
      <c r="Q2740" s="525" t="str">
        <f>IF(AND($M2740=$O$7,$B2740&lt;'111'!$N$11),"x","")</f>
        <v/>
      </c>
      <c r="R2740" s="525" t="str">
        <f>IF(ISERROR(FIND('112'!$M$9,G2740,1)),"",IF((AND(FIND('112'!$M$9,G2740,1)&gt;=1,$B2740&gt;='112'!$N$8,$B2740&lt;='112'!$O$8,OR($L2740='112'!$I$6,$M2740='112'!$I$6))),"x",""))</f>
        <v/>
      </c>
      <c r="S2740" s="525" t="str">
        <f>IF(ISERROR(FIND('112'!$M$9,G2740,1)),"",IF((AND(LEFT(G2740,2)=LEFT('112'!$M$9,2),B2740&lt;'112'!$N$8,$L2740='112'!$I$6)),"x",""))</f>
        <v/>
      </c>
      <c r="T2740" s="525" t="str">
        <f>IF(ISERROR(FIND('112'!$M$9,G2740,1)),"",IF((AND(RIGHT(G2740,2)=RIGHT('112'!$M$9,2),B2740&lt;'112'!$N$8,$M2740='112'!$I$6)),"x",""))</f>
        <v/>
      </c>
      <c r="U2740" s="525" t="str">
        <f>IF(AND(B2740&gt;='IN-NX'!$P$3,B2740&lt;='IN-NX'!$Q$3,'IN-NX'!$D$7=D2740,OR(LEFT(L2740,2)="15",AND(LEFT(M2740,2)&lt;&gt;"15",LEFT(M2740,2)&lt;&gt;"33"))),"x","")</f>
        <v/>
      </c>
      <c r="V2740" s="525" t="str">
        <f>IF(AND(OR(LEFT(TH!L2740,2)="15",LEFT(TH!M2740,2)="15"),'152-CT'!$J$8=TH!F2740),"x","")</f>
        <v/>
      </c>
      <c r="W2740" s="525" t="str">
        <f>IF(AND(OR(LEFT(TH!L2740,2)="15",LEFT(TH!M2740,2)="15"),TK!$E$7=TH!F2740),"x","")</f>
        <v/>
      </c>
      <c r="X2740" s="525" t="str">
        <f>IF(AND('341-CT'!$E$9=H2740,OR(LEFT(L2740,3)=$X$7,LEFT(M2740,3)=$X$7)),"x","")</f>
        <v/>
      </c>
      <c r="Y2740" s="525" t="str">
        <f>IF(OR(TH!L2740=TH!$Y$7,M2740=TH!$Y$7),"x","")</f>
        <v/>
      </c>
      <c r="Z2740" s="525" t="str">
        <f>IF(AND(B2740&lt;=NKC!$N$8,B2740&gt;=NKC!$M$8),"x","")</f>
        <v/>
      </c>
      <c r="AA2740" s="535"/>
      <c r="AB2740" s="536"/>
    </row>
    <row r="2741" spans="1:28" s="503" customFormat="1" ht="15.75" customHeight="1">
      <c r="A2741" s="517" t="str">
        <f>IF(B2741&lt;&gt;"",IF(AND(B2741&gt;=_TM1,B2741&lt;=_TM2,OR(TH!L2741="1111",TH!M2741="1111")),TH!D2741,""),"")</f>
        <v/>
      </c>
      <c r="B2741" s="531">
        <f t="shared" si="236"/>
        <v>6</v>
      </c>
      <c r="C2741" s="315">
        <f t="shared" si="237"/>
        <v>42914</v>
      </c>
      <c r="D2741" s="315" t="s">
        <v>943</v>
      </c>
      <c r="E2741" s="315">
        <v>42914</v>
      </c>
      <c r="F2741" s="250" t="s">
        <v>1227</v>
      </c>
      <c r="G2741" s="314" t="s">
        <v>1251</v>
      </c>
      <c r="H2741" s="473" t="s">
        <v>284</v>
      </c>
      <c r="I2741" s="307">
        <v>11</v>
      </c>
      <c r="J2741" s="307">
        <v>22417</v>
      </c>
      <c r="K2741" s="532">
        <f t="shared" si="238"/>
        <v>246587</v>
      </c>
      <c r="L2741" s="534" t="s">
        <v>223</v>
      </c>
      <c r="M2741" s="534" t="s">
        <v>162</v>
      </c>
      <c r="N2741" s="525" t="str">
        <f>IF(AND('331-CT'!$E$7=TH!H2741,OR(L2741="331",M2741="331")),"331",IF(AND(OR(L2741="131",M2741="131"),H2741='131-CT'!$E$7),"131",""))</f>
        <v/>
      </c>
      <c r="O2741" s="525" t="str">
        <f>IF(AND($B2741&gt;='111'!$N$11,$B2741&lt;='111'!$O$11,OR($L2741=$O$7,$M2741=$O$7)),"x","")</f>
        <v/>
      </c>
      <c r="P2741" s="525" t="str">
        <f>IF(AND($L2741=$O$7,$B2741&lt;'111'!$N$11),"x","")</f>
        <v/>
      </c>
      <c r="Q2741" s="525" t="str">
        <f>IF(AND($M2741=$O$7,$B2741&lt;'111'!$N$11),"x","")</f>
        <v/>
      </c>
      <c r="R2741" s="525" t="str">
        <f>IF(ISERROR(FIND('112'!$M$9,G2741,1)),"",IF((AND(FIND('112'!$M$9,G2741,1)&gt;=1,$B2741&gt;='112'!$N$8,$B2741&lt;='112'!$O$8,OR($L2741='112'!$I$6,$M2741='112'!$I$6))),"x",""))</f>
        <v/>
      </c>
      <c r="S2741" s="525" t="str">
        <f>IF(ISERROR(FIND('112'!$M$9,G2741,1)),"",IF((AND(LEFT(G2741,2)=LEFT('112'!$M$9,2),B2741&lt;'112'!$N$8,$L2741='112'!$I$6)),"x",""))</f>
        <v/>
      </c>
      <c r="T2741" s="525" t="str">
        <f>IF(ISERROR(FIND('112'!$M$9,G2741,1)),"",IF((AND(RIGHT(G2741,2)=RIGHT('112'!$M$9,2),B2741&lt;'112'!$N$8,$M2741='112'!$I$6)),"x",""))</f>
        <v/>
      </c>
      <c r="U2741" s="525" t="str">
        <f>IF(AND(B2741&gt;='IN-NX'!$P$3,B2741&lt;='IN-NX'!$Q$3,'IN-NX'!$D$7=D2741,OR(LEFT(L2741,2)="15",AND(LEFT(M2741,2)&lt;&gt;"15",LEFT(M2741,2)&lt;&gt;"33"))),"x","")</f>
        <v/>
      </c>
      <c r="V2741" s="525" t="str">
        <f>IF(AND(OR(LEFT(TH!L2741,2)="15",LEFT(TH!M2741,2)="15"),'152-CT'!$J$8=TH!F2741),"x","")</f>
        <v/>
      </c>
      <c r="W2741" s="525" t="str">
        <f>IF(AND(OR(LEFT(TH!L2741,2)="15",LEFT(TH!M2741,2)="15"),TK!$E$7=TH!F2741),"x","")</f>
        <v/>
      </c>
      <c r="X2741" s="525" t="str">
        <f>IF(AND('341-CT'!$E$9=H2741,OR(LEFT(L2741,3)=$X$7,LEFT(M2741,3)=$X$7)),"x","")</f>
        <v/>
      </c>
      <c r="Y2741" s="525" t="str">
        <f>IF(OR(TH!L2741=TH!$Y$7,M2741=TH!$Y$7),"x","")</f>
        <v/>
      </c>
      <c r="Z2741" s="525" t="str">
        <f>IF(AND(B2741&lt;=NKC!$N$8,B2741&gt;=NKC!$M$8),"x","")</f>
        <v/>
      </c>
      <c r="AA2741" s="535"/>
      <c r="AB2741" s="536"/>
    </row>
    <row r="2742" spans="1:28" s="503" customFormat="1" ht="15.75" customHeight="1">
      <c r="A2742" s="517" t="str">
        <f>IF(B2742&lt;&gt;"",IF(AND(B2742&gt;=_TM1,B2742&lt;=_TM2,OR(TH!L2742="1111",TH!M2742="1111")),TH!D2742,""),"")</f>
        <v/>
      </c>
      <c r="B2742" s="531">
        <f t="shared" si="236"/>
        <v>6</v>
      </c>
      <c r="C2742" s="315">
        <f t="shared" si="237"/>
        <v>42914</v>
      </c>
      <c r="D2742" s="315" t="s">
        <v>943</v>
      </c>
      <c r="E2742" s="315">
        <v>42914</v>
      </c>
      <c r="F2742" s="250" t="s">
        <v>713</v>
      </c>
      <c r="G2742" s="314" t="s">
        <v>1251</v>
      </c>
      <c r="H2742" s="473" t="s">
        <v>284</v>
      </c>
      <c r="I2742" s="307">
        <v>30</v>
      </c>
      <c r="J2742" s="307">
        <v>34057</v>
      </c>
      <c r="K2742" s="532">
        <f t="shared" si="238"/>
        <v>1021710</v>
      </c>
      <c r="L2742" s="534" t="s">
        <v>223</v>
      </c>
      <c r="M2742" s="534" t="s">
        <v>162</v>
      </c>
      <c r="N2742" s="525" t="str">
        <f>IF(AND('331-CT'!$E$7=TH!H2742,OR(L2742="331",M2742="331")),"331",IF(AND(OR(L2742="131",M2742="131"),H2742='131-CT'!$E$7),"131",""))</f>
        <v/>
      </c>
      <c r="O2742" s="525" t="str">
        <f>IF(AND($B2742&gt;='111'!$N$11,$B2742&lt;='111'!$O$11,OR($L2742=$O$7,$M2742=$O$7)),"x","")</f>
        <v/>
      </c>
      <c r="P2742" s="525" t="str">
        <f>IF(AND($L2742=$O$7,$B2742&lt;'111'!$N$11),"x","")</f>
        <v/>
      </c>
      <c r="Q2742" s="525" t="str">
        <f>IF(AND($M2742=$O$7,$B2742&lt;'111'!$N$11),"x","")</f>
        <v/>
      </c>
      <c r="R2742" s="525" t="str">
        <f>IF(ISERROR(FIND('112'!$M$9,G2742,1)),"",IF((AND(FIND('112'!$M$9,G2742,1)&gt;=1,$B2742&gt;='112'!$N$8,$B2742&lt;='112'!$O$8,OR($L2742='112'!$I$6,$M2742='112'!$I$6))),"x",""))</f>
        <v/>
      </c>
      <c r="S2742" s="525" t="str">
        <f>IF(ISERROR(FIND('112'!$M$9,G2742,1)),"",IF((AND(LEFT(G2742,2)=LEFT('112'!$M$9,2),B2742&lt;'112'!$N$8,$L2742='112'!$I$6)),"x",""))</f>
        <v/>
      </c>
      <c r="T2742" s="525" t="str">
        <f>IF(ISERROR(FIND('112'!$M$9,G2742,1)),"",IF((AND(RIGHT(G2742,2)=RIGHT('112'!$M$9,2),B2742&lt;'112'!$N$8,$M2742='112'!$I$6)),"x",""))</f>
        <v/>
      </c>
      <c r="U2742" s="525" t="str">
        <f>IF(AND(B2742&gt;='IN-NX'!$P$3,B2742&lt;='IN-NX'!$Q$3,'IN-NX'!$D$7=D2742,OR(LEFT(L2742,2)="15",AND(LEFT(M2742,2)&lt;&gt;"15",LEFT(M2742,2)&lt;&gt;"33"))),"x","")</f>
        <v/>
      </c>
      <c r="V2742" s="525" t="str">
        <f>IF(AND(OR(LEFT(TH!L2742,2)="15",LEFT(TH!M2742,2)="15"),'152-CT'!$J$8=TH!F2742),"x","")</f>
        <v/>
      </c>
      <c r="W2742" s="525" t="str">
        <f>IF(AND(OR(LEFT(TH!L2742,2)="15",LEFT(TH!M2742,2)="15"),TK!$E$7=TH!F2742),"x","")</f>
        <v/>
      </c>
      <c r="X2742" s="525" t="str">
        <f>IF(AND('341-CT'!$E$9=H2742,OR(LEFT(L2742,3)=$X$7,LEFT(M2742,3)=$X$7)),"x","")</f>
        <v/>
      </c>
      <c r="Y2742" s="525" t="str">
        <f>IF(OR(TH!L2742=TH!$Y$7,M2742=TH!$Y$7),"x","")</f>
        <v/>
      </c>
      <c r="Z2742" s="525" t="str">
        <f>IF(AND(B2742&lt;=NKC!$N$8,B2742&gt;=NKC!$M$8),"x","")</f>
        <v/>
      </c>
      <c r="AA2742" s="535"/>
      <c r="AB2742" s="536"/>
    </row>
    <row r="2743" spans="1:28" s="503" customFormat="1" ht="15.75" customHeight="1">
      <c r="A2743" s="517" t="str">
        <f>IF(B2743&lt;&gt;"",IF(AND(B2743&gt;=_TM1,B2743&lt;=_TM2,OR(TH!L2743="1111",TH!M2743="1111")),TH!D2743,""),"")</f>
        <v/>
      </c>
      <c r="B2743" s="531">
        <f t="shared" si="236"/>
        <v>6</v>
      </c>
      <c r="C2743" s="315">
        <f t="shared" si="237"/>
        <v>42914</v>
      </c>
      <c r="D2743" s="315" t="s">
        <v>943</v>
      </c>
      <c r="E2743" s="315">
        <v>42914</v>
      </c>
      <c r="F2743" s="250" t="s">
        <v>761</v>
      </c>
      <c r="G2743" s="314" t="s">
        <v>1251</v>
      </c>
      <c r="H2743" s="473" t="s">
        <v>284</v>
      </c>
      <c r="I2743" s="307">
        <v>18</v>
      </c>
      <c r="J2743" s="307">
        <v>39868</v>
      </c>
      <c r="K2743" s="532">
        <f t="shared" si="238"/>
        <v>717624</v>
      </c>
      <c r="L2743" s="534" t="s">
        <v>223</v>
      </c>
      <c r="M2743" s="534" t="s">
        <v>162</v>
      </c>
      <c r="N2743" s="525" t="str">
        <f>IF(AND('331-CT'!$E$7=TH!H2743,OR(L2743="331",M2743="331")),"331",IF(AND(OR(L2743="131",M2743="131"),H2743='131-CT'!$E$7),"131",""))</f>
        <v/>
      </c>
      <c r="O2743" s="525" t="str">
        <f>IF(AND($B2743&gt;='111'!$N$11,$B2743&lt;='111'!$O$11,OR($L2743=$O$7,$M2743=$O$7)),"x","")</f>
        <v/>
      </c>
      <c r="P2743" s="525" t="str">
        <f>IF(AND($L2743=$O$7,$B2743&lt;'111'!$N$11),"x","")</f>
        <v/>
      </c>
      <c r="Q2743" s="525" t="str">
        <f>IF(AND($M2743=$O$7,$B2743&lt;'111'!$N$11),"x","")</f>
        <v/>
      </c>
      <c r="R2743" s="525" t="str">
        <f>IF(ISERROR(FIND('112'!$M$9,G2743,1)),"",IF((AND(FIND('112'!$M$9,G2743,1)&gt;=1,$B2743&gt;='112'!$N$8,$B2743&lt;='112'!$O$8,OR($L2743='112'!$I$6,$M2743='112'!$I$6))),"x",""))</f>
        <v/>
      </c>
      <c r="S2743" s="525" t="str">
        <f>IF(ISERROR(FIND('112'!$M$9,G2743,1)),"",IF((AND(LEFT(G2743,2)=LEFT('112'!$M$9,2),B2743&lt;'112'!$N$8,$L2743='112'!$I$6)),"x",""))</f>
        <v/>
      </c>
      <c r="T2743" s="525" t="str">
        <f>IF(ISERROR(FIND('112'!$M$9,G2743,1)),"",IF((AND(RIGHT(G2743,2)=RIGHT('112'!$M$9,2),B2743&lt;'112'!$N$8,$M2743='112'!$I$6)),"x",""))</f>
        <v/>
      </c>
      <c r="U2743" s="525" t="str">
        <f>IF(AND(B2743&gt;='IN-NX'!$P$3,B2743&lt;='IN-NX'!$Q$3,'IN-NX'!$D$7=D2743,OR(LEFT(L2743,2)="15",AND(LEFT(M2743,2)&lt;&gt;"15",LEFT(M2743,2)&lt;&gt;"33"))),"x","")</f>
        <v/>
      </c>
      <c r="V2743" s="525" t="str">
        <f>IF(AND(OR(LEFT(TH!L2743,2)="15",LEFT(TH!M2743,2)="15"),'152-CT'!$J$8=TH!F2743),"x","")</f>
        <v/>
      </c>
      <c r="W2743" s="525" t="str">
        <f>IF(AND(OR(LEFT(TH!L2743,2)="15",LEFT(TH!M2743,2)="15"),TK!$E$7=TH!F2743),"x","")</f>
        <v/>
      </c>
      <c r="X2743" s="525" t="str">
        <f>IF(AND('341-CT'!$E$9=H2743,OR(LEFT(L2743,3)=$X$7,LEFT(M2743,3)=$X$7)),"x","")</f>
        <v/>
      </c>
      <c r="Y2743" s="525" t="str">
        <f>IF(OR(TH!L2743=TH!$Y$7,M2743=TH!$Y$7),"x","")</f>
        <v/>
      </c>
      <c r="Z2743" s="525" t="str">
        <f>IF(AND(B2743&lt;=NKC!$N$8,B2743&gt;=NKC!$M$8),"x","")</f>
        <v/>
      </c>
      <c r="AA2743" s="535"/>
      <c r="AB2743" s="536"/>
    </row>
    <row r="2744" spans="1:28" s="503" customFormat="1" ht="15.75" customHeight="1">
      <c r="A2744" s="517" t="str">
        <f>IF(B2744&lt;&gt;"",IF(AND(B2744&gt;=_TM1,B2744&lt;=_TM2,OR(TH!L2744="1111",TH!M2744="1111")),TH!D2744,""),"")</f>
        <v/>
      </c>
      <c r="B2744" s="531">
        <f t="shared" si="236"/>
        <v>6</v>
      </c>
      <c r="C2744" s="315">
        <f t="shared" si="237"/>
        <v>42914</v>
      </c>
      <c r="D2744" s="315" t="s">
        <v>943</v>
      </c>
      <c r="E2744" s="315">
        <v>42914</v>
      </c>
      <c r="F2744" s="250" t="s">
        <v>1228</v>
      </c>
      <c r="G2744" s="314" t="s">
        <v>1251</v>
      </c>
      <c r="H2744" s="473" t="s">
        <v>284</v>
      </c>
      <c r="I2744" s="307">
        <v>60</v>
      </c>
      <c r="J2744" s="307">
        <v>13523</v>
      </c>
      <c r="K2744" s="532">
        <f t="shared" si="238"/>
        <v>811380</v>
      </c>
      <c r="L2744" s="534" t="s">
        <v>223</v>
      </c>
      <c r="M2744" s="534" t="s">
        <v>162</v>
      </c>
      <c r="N2744" s="525" t="str">
        <f>IF(AND('331-CT'!$E$7=TH!H2744,OR(L2744="331",M2744="331")),"331",IF(AND(OR(L2744="131",M2744="131"),H2744='131-CT'!$E$7),"131",""))</f>
        <v/>
      </c>
      <c r="O2744" s="525" t="str">
        <f>IF(AND($B2744&gt;='111'!$N$11,$B2744&lt;='111'!$O$11,OR($L2744=$O$7,$M2744=$O$7)),"x","")</f>
        <v/>
      </c>
      <c r="P2744" s="525" t="str">
        <f>IF(AND($L2744=$O$7,$B2744&lt;'111'!$N$11),"x","")</f>
        <v/>
      </c>
      <c r="Q2744" s="525" t="str">
        <f>IF(AND($M2744=$O$7,$B2744&lt;'111'!$N$11),"x","")</f>
        <v/>
      </c>
      <c r="R2744" s="525" t="str">
        <f>IF(ISERROR(FIND('112'!$M$9,G2744,1)),"",IF((AND(FIND('112'!$M$9,G2744,1)&gt;=1,$B2744&gt;='112'!$N$8,$B2744&lt;='112'!$O$8,OR($L2744='112'!$I$6,$M2744='112'!$I$6))),"x",""))</f>
        <v/>
      </c>
      <c r="S2744" s="525" t="str">
        <f>IF(ISERROR(FIND('112'!$M$9,G2744,1)),"",IF((AND(LEFT(G2744,2)=LEFT('112'!$M$9,2),B2744&lt;'112'!$N$8,$L2744='112'!$I$6)),"x",""))</f>
        <v/>
      </c>
      <c r="T2744" s="525" t="str">
        <f>IF(ISERROR(FIND('112'!$M$9,G2744,1)),"",IF((AND(RIGHT(G2744,2)=RIGHT('112'!$M$9,2),B2744&lt;'112'!$N$8,$M2744='112'!$I$6)),"x",""))</f>
        <v/>
      </c>
      <c r="U2744" s="525" t="str">
        <f>IF(AND(B2744&gt;='IN-NX'!$P$3,B2744&lt;='IN-NX'!$Q$3,'IN-NX'!$D$7=D2744,OR(LEFT(L2744,2)="15",AND(LEFT(M2744,2)&lt;&gt;"15",LEFT(M2744,2)&lt;&gt;"33"))),"x","")</f>
        <v/>
      </c>
      <c r="V2744" s="525" t="str">
        <f>IF(AND(OR(LEFT(TH!L2744,2)="15",LEFT(TH!M2744,2)="15"),'152-CT'!$J$8=TH!F2744),"x","")</f>
        <v/>
      </c>
      <c r="W2744" s="525" t="str">
        <f>IF(AND(OR(LEFT(TH!L2744,2)="15",LEFT(TH!M2744,2)="15"),TK!$E$7=TH!F2744),"x","")</f>
        <v/>
      </c>
      <c r="X2744" s="525" t="str">
        <f>IF(AND('341-CT'!$E$9=H2744,OR(LEFT(L2744,3)=$X$7,LEFT(M2744,3)=$X$7)),"x","")</f>
        <v/>
      </c>
      <c r="Y2744" s="525" t="str">
        <f>IF(OR(TH!L2744=TH!$Y$7,M2744=TH!$Y$7),"x","")</f>
        <v/>
      </c>
      <c r="Z2744" s="525" t="str">
        <f>IF(AND(B2744&lt;=NKC!$N$8,B2744&gt;=NKC!$M$8),"x","")</f>
        <v/>
      </c>
      <c r="AA2744" s="535"/>
      <c r="AB2744" s="536"/>
    </row>
    <row r="2745" spans="1:28" s="503" customFormat="1" ht="15.75" customHeight="1">
      <c r="A2745" s="517" t="str">
        <f>IF(B2745&lt;&gt;"",IF(AND(B2745&gt;=_TM1,B2745&lt;=_TM2,OR(TH!L2745="1111",TH!M2745="1111")),TH!D2745,""),"")</f>
        <v/>
      </c>
      <c r="B2745" s="531">
        <f t="shared" si="236"/>
        <v>6</v>
      </c>
      <c r="C2745" s="315">
        <f t="shared" si="237"/>
        <v>42914</v>
      </c>
      <c r="D2745" s="315" t="s">
        <v>943</v>
      </c>
      <c r="E2745" s="315">
        <v>42914</v>
      </c>
      <c r="F2745" s="250" t="s">
        <v>728</v>
      </c>
      <c r="G2745" s="314" t="s">
        <v>1251</v>
      </c>
      <c r="H2745" s="473" t="s">
        <v>284</v>
      </c>
      <c r="I2745" s="307">
        <v>30</v>
      </c>
      <c r="J2745" s="307">
        <v>21159</v>
      </c>
      <c r="K2745" s="532">
        <f t="shared" si="238"/>
        <v>634770</v>
      </c>
      <c r="L2745" s="534" t="s">
        <v>223</v>
      </c>
      <c r="M2745" s="534" t="s">
        <v>162</v>
      </c>
      <c r="N2745" s="525" t="str">
        <f>IF(AND('331-CT'!$E$7=TH!H2745,OR(L2745="331",M2745="331")),"331",IF(AND(OR(L2745="131",M2745="131"),H2745='131-CT'!$E$7),"131",""))</f>
        <v/>
      </c>
      <c r="O2745" s="525" t="str">
        <f>IF(AND($B2745&gt;='111'!$N$11,$B2745&lt;='111'!$O$11,OR($L2745=$O$7,$M2745=$O$7)),"x","")</f>
        <v/>
      </c>
      <c r="P2745" s="525" t="str">
        <f>IF(AND($L2745=$O$7,$B2745&lt;'111'!$N$11),"x","")</f>
        <v/>
      </c>
      <c r="Q2745" s="525" t="str">
        <f>IF(AND($M2745=$O$7,$B2745&lt;'111'!$N$11),"x","")</f>
        <v/>
      </c>
      <c r="R2745" s="525" t="str">
        <f>IF(ISERROR(FIND('112'!$M$9,G2745,1)),"",IF((AND(FIND('112'!$M$9,G2745,1)&gt;=1,$B2745&gt;='112'!$N$8,$B2745&lt;='112'!$O$8,OR($L2745='112'!$I$6,$M2745='112'!$I$6))),"x",""))</f>
        <v/>
      </c>
      <c r="S2745" s="525" t="str">
        <f>IF(ISERROR(FIND('112'!$M$9,G2745,1)),"",IF((AND(LEFT(G2745,2)=LEFT('112'!$M$9,2),B2745&lt;'112'!$N$8,$L2745='112'!$I$6)),"x",""))</f>
        <v/>
      </c>
      <c r="T2745" s="525" t="str">
        <f>IF(ISERROR(FIND('112'!$M$9,G2745,1)),"",IF((AND(RIGHT(G2745,2)=RIGHT('112'!$M$9,2),B2745&lt;'112'!$N$8,$M2745='112'!$I$6)),"x",""))</f>
        <v/>
      </c>
      <c r="U2745" s="525" t="str">
        <f>IF(AND(B2745&gt;='IN-NX'!$P$3,B2745&lt;='IN-NX'!$Q$3,'IN-NX'!$D$7=D2745,OR(LEFT(L2745,2)="15",AND(LEFT(M2745,2)&lt;&gt;"15",LEFT(M2745,2)&lt;&gt;"33"))),"x","")</f>
        <v/>
      </c>
      <c r="V2745" s="525" t="str">
        <f>IF(AND(OR(LEFT(TH!L2745,2)="15",LEFT(TH!M2745,2)="15"),'152-CT'!$J$8=TH!F2745),"x","")</f>
        <v/>
      </c>
      <c r="W2745" s="525" t="str">
        <f>IF(AND(OR(LEFT(TH!L2745,2)="15",LEFT(TH!M2745,2)="15"),TK!$E$7=TH!F2745),"x","")</f>
        <v/>
      </c>
      <c r="X2745" s="525" t="str">
        <f>IF(AND('341-CT'!$E$9=H2745,OR(LEFT(L2745,3)=$X$7,LEFT(M2745,3)=$X$7)),"x","")</f>
        <v/>
      </c>
      <c r="Y2745" s="525" t="str">
        <f>IF(OR(TH!L2745=TH!$Y$7,M2745=TH!$Y$7),"x","")</f>
        <v/>
      </c>
      <c r="Z2745" s="525" t="str">
        <f>IF(AND(B2745&lt;=NKC!$N$8,B2745&gt;=NKC!$M$8),"x","")</f>
        <v/>
      </c>
      <c r="AA2745" s="535"/>
      <c r="AB2745" s="536"/>
    </row>
    <row r="2746" spans="1:28" s="503" customFormat="1" ht="15.75" customHeight="1">
      <c r="A2746" s="517" t="str">
        <f>IF(B2746&lt;&gt;"",IF(AND(B2746&gt;=_TM1,B2746&lt;=_TM2,OR(TH!L2746="1111",TH!M2746="1111")),TH!D2746,""),"")</f>
        <v/>
      </c>
      <c r="B2746" s="531">
        <f t="shared" si="236"/>
        <v>6</v>
      </c>
      <c r="C2746" s="315">
        <f t="shared" si="237"/>
        <v>42914</v>
      </c>
      <c r="D2746" s="315" t="s">
        <v>943</v>
      </c>
      <c r="E2746" s="315">
        <v>42914</v>
      </c>
      <c r="F2746" s="250" t="s">
        <v>1166</v>
      </c>
      <c r="G2746" s="314" t="s">
        <v>1251</v>
      </c>
      <c r="H2746" s="473" t="s">
        <v>284</v>
      </c>
      <c r="I2746" s="307">
        <v>6</v>
      </c>
      <c r="J2746" s="307">
        <v>13825</v>
      </c>
      <c r="K2746" s="532">
        <f t="shared" si="238"/>
        <v>82950</v>
      </c>
      <c r="L2746" s="534" t="s">
        <v>223</v>
      </c>
      <c r="M2746" s="534" t="s">
        <v>162</v>
      </c>
      <c r="N2746" s="525" t="str">
        <f>IF(AND('331-CT'!$E$7=TH!H2746,OR(L2746="331",M2746="331")),"331",IF(AND(OR(L2746="131",M2746="131"),H2746='131-CT'!$E$7),"131",""))</f>
        <v/>
      </c>
      <c r="O2746" s="525" t="str">
        <f>IF(AND($B2746&gt;='111'!$N$11,$B2746&lt;='111'!$O$11,OR($L2746=$O$7,$M2746=$O$7)),"x","")</f>
        <v/>
      </c>
      <c r="P2746" s="525" t="str">
        <f>IF(AND($L2746=$O$7,$B2746&lt;'111'!$N$11),"x","")</f>
        <v/>
      </c>
      <c r="Q2746" s="525" t="str">
        <f>IF(AND($M2746=$O$7,$B2746&lt;'111'!$N$11),"x","")</f>
        <v/>
      </c>
      <c r="R2746" s="525" t="str">
        <f>IF(ISERROR(FIND('112'!$M$9,G2746,1)),"",IF((AND(FIND('112'!$M$9,G2746,1)&gt;=1,$B2746&gt;='112'!$N$8,$B2746&lt;='112'!$O$8,OR($L2746='112'!$I$6,$M2746='112'!$I$6))),"x",""))</f>
        <v/>
      </c>
      <c r="S2746" s="525" t="str">
        <f>IF(ISERROR(FIND('112'!$M$9,G2746,1)),"",IF((AND(LEFT(G2746,2)=LEFT('112'!$M$9,2),B2746&lt;'112'!$N$8,$L2746='112'!$I$6)),"x",""))</f>
        <v/>
      </c>
      <c r="T2746" s="525" t="str">
        <f>IF(ISERROR(FIND('112'!$M$9,G2746,1)),"",IF((AND(RIGHT(G2746,2)=RIGHT('112'!$M$9,2),B2746&lt;'112'!$N$8,$M2746='112'!$I$6)),"x",""))</f>
        <v/>
      </c>
      <c r="U2746" s="525" t="str">
        <f>IF(AND(B2746&gt;='IN-NX'!$P$3,B2746&lt;='IN-NX'!$Q$3,'IN-NX'!$D$7=D2746,OR(LEFT(L2746,2)="15",AND(LEFT(M2746,2)&lt;&gt;"15",LEFT(M2746,2)&lt;&gt;"33"))),"x","")</f>
        <v/>
      </c>
      <c r="V2746" s="525" t="str">
        <f>IF(AND(OR(LEFT(TH!L2746,2)="15",LEFT(TH!M2746,2)="15"),'152-CT'!$J$8=TH!F2746),"x","")</f>
        <v/>
      </c>
      <c r="W2746" s="525" t="str">
        <f>IF(AND(OR(LEFT(TH!L2746,2)="15",LEFT(TH!M2746,2)="15"),TK!$E$7=TH!F2746),"x","")</f>
        <v/>
      </c>
      <c r="X2746" s="525" t="str">
        <f>IF(AND('341-CT'!$E$9=H2746,OR(LEFT(L2746,3)=$X$7,LEFT(M2746,3)=$X$7)),"x","")</f>
        <v/>
      </c>
      <c r="Y2746" s="525" t="str">
        <f>IF(OR(TH!L2746=TH!$Y$7,M2746=TH!$Y$7),"x","")</f>
        <v/>
      </c>
      <c r="Z2746" s="525" t="str">
        <f>IF(AND(B2746&lt;=NKC!$N$8,B2746&gt;=NKC!$M$8),"x","")</f>
        <v/>
      </c>
      <c r="AA2746" s="535"/>
      <c r="AB2746" s="536"/>
    </row>
    <row r="2747" spans="1:28" s="503" customFormat="1" ht="15.75" customHeight="1">
      <c r="A2747" s="517" t="str">
        <f>IF(B2747&lt;&gt;"",IF(AND(B2747&gt;=_TM1,B2747&lt;=_TM2,OR(TH!L2747="1111",TH!M2747="1111")),TH!D2747,""),"")</f>
        <v/>
      </c>
      <c r="B2747" s="531">
        <f t="shared" si="236"/>
        <v>6</v>
      </c>
      <c r="C2747" s="315">
        <f t="shared" si="237"/>
        <v>42914</v>
      </c>
      <c r="D2747" s="315" t="s">
        <v>943</v>
      </c>
      <c r="E2747" s="315">
        <v>42914</v>
      </c>
      <c r="F2747" s="250" t="s">
        <v>1043</v>
      </c>
      <c r="G2747" s="314" t="s">
        <v>1251</v>
      </c>
      <c r="H2747" s="473" t="s">
        <v>284</v>
      </c>
      <c r="I2747" s="307">
        <v>6</v>
      </c>
      <c r="J2747" s="307">
        <v>26119</v>
      </c>
      <c r="K2747" s="532">
        <f t="shared" si="238"/>
        <v>156714</v>
      </c>
      <c r="L2747" s="534" t="s">
        <v>223</v>
      </c>
      <c r="M2747" s="534" t="s">
        <v>162</v>
      </c>
      <c r="N2747" s="525" t="str">
        <f>IF(AND('331-CT'!$E$7=TH!H2747,OR(L2747="331",M2747="331")),"331",IF(AND(OR(L2747="131",M2747="131"),H2747='131-CT'!$E$7),"131",""))</f>
        <v/>
      </c>
      <c r="O2747" s="525" t="str">
        <f>IF(AND($B2747&gt;='111'!$N$11,$B2747&lt;='111'!$O$11,OR($L2747=$O$7,$M2747=$O$7)),"x","")</f>
        <v/>
      </c>
      <c r="P2747" s="525" t="str">
        <f>IF(AND($L2747=$O$7,$B2747&lt;'111'!$N$11),"x","")</f>
        <v/>
      </c>
      <c r="Q2747" s="525" t="str">
        <f>IF(AND($M2747=$O$7,$B2747&lt;'111'!$N$11),"x","")</f>
        <v/>
      </c>
      <c r="R2747" s="525" t="str">
        <f>IF(ISERROR(FIND('112'!$M$9,G2747,1)),"",IF((AND(FIND('112'!$M$9,G2747,1)&gt;=1,$B2747&gt;='112'!$N$8,$B2747&lt;='112'!$O$8,OR($L2747='112'!$I$6,$M2747='112'!$I$6))),"x",""))</f>
        <v/>
      </c>
      <c r="S2747" s="525" t="str">
        <f>IF(ISERROR(FIND('112'!$M$9,G2747,1)),"",IF((AND(LEFT(G2747,2)=LEFT('112'!$M$9,2),B2747&lt;'112'!$N$8,$L2747='112'!$I$6)),"x",""))</f>
        <v/>
      </c>
      <c r="T2747" s="525" t="str">
        <f>IF(ISERROR(FIND('112'!$M$9,G2747,1)),"",IF((AND(RIGHT(G2747,2)=RIGHT('112'!$M$9,2),B2747&lt;'112'!$N$8,$M2747='112'!$I$6)),"x",""))</f>
        <v/>
      </c>
      <c r="U2747" s="525" t="str">
        <f>IF(AND(B2747&gt;='IN-NX'!$P$3,B2747&lt;='IN-NX'!$Q$3,'IN-NX'!$D$7=D2747,OR(LEFT(L2747,2)="15",AND(LEFT(M2747,2)&lt;&gt;"15",LEFT(M2747,2)&lt;&gt;"33"))),"x","")</f>
        <v/>
      </c>
      <c r="V2747" s="525" t="str">
        <f>IF(AND(OR(LEFT(TH!L2747,2)="15",LEFT(TH!M2747,2)="15"),'152-CT'!$J$8=TH!F2747),"x","")</f>
        <v/>
      </c>
      <c r="W2747" s="525" t="str">
        <f>IF(AND(OR(LEFT(TH!L2747,2)="15",LEFT(TH!M2747,2)="15"),TK!$E$7=TH!F2747),"x","")</f>
        <v/>
      </c>
      <c r="X2747" s="525" t="str">
        <f>IF(AND('341-CT'!$E$9=H2747,OR(LEFT(L2747,3)=$X$7,LEFT(M2747,3)=$X$7)),"x","")</f>
        <v/>
      </c>
      <c r="Y2747" s="525" t="str">
        <f>IF(OR(TH!L2747=TH!$Y$7,M2747=TH!$Y$7),"x","")</f>
        <v/>
      </c>
      <c r="Z2747" s="525" t="str">
        <f>IF(AND(B2747&lt;=NKC!$N$8,B2747&gt;=NKC!$M$8),"x","")</f>
        <v/>
      </c>
      <c r="AA2747" s="535"/>
      <c r="AB2747" s="536"/>
    </row>
    <row r="2748" spans="1:28" s="503" customFormat="1" ht="15.75" customHeight="1">
      <c r="A2748" s="517" t="str">
        <f>IF(B2748&lt;&gt;"",IF(AND(B2748&gt;=_TM1,B2748&lt;=_TM2,OR(TH!L2748="1111",TH!M2748="1111")),TH!D2748,""),"")</f>
        <v/>
      </c>
      <c r="B2748" s="531">
        <f t="shared" si="236"/>
        <v>6</v>
      </c>
      <c r="C2748" s="315">
        <f t="shared" si="237"/>
        <v>42914</v>
      </c>
      <c r="D2748" s="315" t="s">
        <v>943</v>
      </c>
      <c r="E2748" s="315">
        <v>42914</v>
      </c>
      <c r="F2748" s="250" t="s">
        <v>1171</v>
      </c>
      <c r="G2748" s="314" t="s">
        <v>1251</v>
      </c>
      <c r="H2748" s="473" t="s">
        <v>284</v>
      </c>
      <c r="I2748" s="307">
        <v>5</v>
      </c>
      <c r="J2748" s="307">
        <v>23610</v>
      </c>
      <c r="K2748" s="532">
        <f t="shared" si="238"/>
        <v>118050</v>
      </c>
      <c r="L2748" s="534" t="s">
        <v>223</v>
      </c>
      <c r="M2748" s="534" t="s">
        <v>162</v>
      </c>
      <c r="N2748" s="525" t="str">
        <f>IF(AND('331-CT'!$E$7=TH!H2748,OR(L2748="331",M2748="331")),"331",IF(AND(OR(L2748="131",M2748="131"),H2748='131-CT'!$E$7),"131",""))</f>
        <v/>
      </c>
      <c r="O2748" s="525" t="str">
        <f>IF(AND($B2748&gt;='111'!$N$11,$B2748&lt;='111'!$O$11,OR($L2748=$O$7,$M2748=$O$7)),"x","")</f>
        <v/>
      </c>
      <c r="P2748" s="525" t="str">
        <f>IF(AND($L2748=$O$7,$B2748&lt;'111'!$N$11),"x","")</f>
        <v/>
      </c>
      <c r="Q2748" s="525" t="str">
        <f>IF(AND($M2748=$O$7,$B2748&lt;'111'!$N$11),"x","")</f>
        <v/>
      </c>
      <c r="R2748" s="525" t="str">
        <f>IF(ISERROR(FIND('112'!$M$9,G2748,1)),"",IF((AND(FIND('112'!$M$9,G2748,1)&gt;=1,$B2748&gt;='112'!$N$8,$B2748&lt;='112'!$O$8,OR($L2748='112'!$I$6,$M2748='112'!$I$6))),"x",""))</f>
        <v/>
      </c>
      <c r="S2748" s="525" t="str">
        <f>IF(ISERROR(FIND('112'!$M$9,G2748,1)),"",IF((AND(LEFT(G2748,2)=LEFT('112'!$M$9,2),B2748&lt;'112'!$N$8,$L2748='112'!$I$6)),"x",""))</f>
        <v/>
      </c>
      <c r="T2748" s="525" t="str">
        <f>IF(ISERROR(FIND('112'!$M$9,G2748,1)),"",IF((AND(RIGHT(G2748,2)=RIGHT('112'!$M$9,2),B2748&lt;'112'!$N$8,$M2748='112'!$I$6)),"x",""))</f>
        <v/>
      </c>
      <c r="U2748" s="525" t="str">
        <f>IF(AND(B2748&gt;='IN-NX'!$P$3,B2748&lt;='IN-NX'!$Q$3,'IN-NX'!$D$7=D2748,OR(LEFT(L2748,2)="15",AND(LEFT(M2748,2)&lt;&gt;"15",LEFT(M2748,2)&lt;&gt;"33"))),"x","")</f>
        <v/>
      </c>
      <c r="V2748" s="525" t="str">
        <f>IF(AND(OR(LEFT(TH!L2748,2)="15",LEFT(TH!M2748,2)="15"),'152-CT'!$J$8=TH!F2748),"x","")</f>
        <v/>
      </c>
      <c r="W2748" s="525" t="str">
        <f>IF(AND(OR(LEFT(TH!L2748,2)="15",LEFT(TH!M2748,2)="15"),TK!$E$7=TH!F2748),"x","")</f>
        <v/>
      </c>
      <c r="X2748" s="525" t="str">
        <f>IF(AND('341-CT'!$E$9=H2748,OR(LEFT(L2748,3)=$X$7,LEFT(M2748,3)=$X$7)),"x","")</f>
        <v/>
      </c>
      <c r="Y2748" s="525" t="str">
        <f>IF(OR(TH!L2748=TH!$Y$7,M2748=TH!$Y$7),"x","")</f>
        <v/>
      </c>
      <c r="Z2748" s="525" t="str">
        <f>IF(AND(B2748&lt;=NKC!$N$8,B2748&gt;=NKC!$M$8),"x","")</f>
        <v/>
      </c>
      <c r="AA2748" s="535"/>
      <c r="AB2748" s="536"/>
    </row>
    <row r="2749" spans="1:28" s="503" customFormat="1" ht="15.75" customHeight="1">
      <c r="A2749" s="517" t="str">
        <f>IF(B2749&lt;&gt;"",IF(AND(B2749&gt;=_TM1,B2749&lt;=_TM2,OR(TH!L2749="1111",TH!M2749="1111")),TH!D2749,""),"")</f>
        <v/>
      </c>
      <c r="B2749" s="531">
        <f t="shared" si="236"/>
        <v>6</v>
      </c>
      <c r="C2749" s="315">
        <f t="shared" si="237"/>
        <v>42914</v>
      </c>
      <c r="D2749" s="315" t="s">
        <v>943</v>
      </c>
      <c r="E2749" s="315">
        <v>42914</v>
      </c>
      <c r="F2749" s="250" t="s">
        <v>1229</v>
      </c>
      <c r="G2749" s="314" t="s">
        <v>1251</v>
      </c>
      <c r="H2749" s="473" t="s">
        <v>284</v>
      </c>
      <c r="I2749" s="307">
        <v>18</v>
      </c>
      <c r="J2749" s="307">
        <v>24506</v>
      </c>
      <c r="K2749" s="532">
        <f t="shared" si="238"/>
        <v>441108</v>
      </c>
      <c r="L2749" s="534" t="s">
        <v>223</v>
      </c>
      <c r="M2749" s="534" t="s">
        <v>162</v>
      </c>
      <c r="N2749" s="525" t="str">
        <f>IF(AND('331-CT'!$E$7=TH!H2749,OR(L2749="331",M2749="331")),"331",IF(AND(OR(L2749="131",M2749="131"),H2749='131-CT'!$E$7),"131",""))</f>
        <v/>
      </c>
      <c r="O2749" s="525" t="str">
        <f>IF(AND($B2749&gt;='111'!$N$11,$B2749&lt;='111'!$O$11,OR($L2749=$O$7,$M2749=$O$7)),"x","")</f>
        <v/>
      </c>
      <c r="P2749" s="525" t="str">
        <f>IF(AND($L2749=$O$7,$B2749&lt;'111'!$N$11),"x","")</f>
        <v/>
      </c>
      <c r="Q2749" s="525" t="str">
        <f>IF(AND($M2749=$O$7,$B2749&lt;'111'!$N$11),"x","")</f>
        <v/>
      </c>
      <c r="R2749" s="525" t="str">
        <f>IF(ISERROR(FIND('112'!$M$9,G2749,1)),"",IF((AND(FIND('112'!$M$9,G2749,1)&gt;=1,$B2749&gt;='112'!$N$8,$B2749&lt;='112'!$O$8,OR($L2749='112'!$I$6,$M2749='112'!$I$6))),"x",""))</f>
        <v/>
      </c>
      <c r="S2749" s="525" t="str">
        <f>IF(ISERROR(FIND('112'!$M$9,G2749,1)),"",IF((AND(LEFT(G2749,2)=LEFT('112'!$M$9,2),B2749&lt;'112'!$N$8,$L2749='112'!$I$6)),"x",""))</f>
        <v/>
      </c>
      <c r="T2749" s="525" t="str">
        <f>IF(ISERROR(FIND('112'!$M$9,G2749,1)),"",IF((AND(RIGHT(G2749,2)=RIGHT('112'!$M$9,2),B2749&lt;'112'!$N$8,$M2749='112'!$I$6)),"x",""))</f>
        <v/>
      </c>
      <c r="U2749" s="525" t="str">
        <f>IF(AND(B2749&gt;='IN-NX'!$P$3,B2749&lt;='IN-NX'!$Q$3,'IN-NX'!$D$7=D2749,OR(LEFT(L2749,2)="15",AND(LEFT(M2749,2)&lt;&gt;"15",LEFT(M2749,2)&lt;&gt;"33"))),"x","")</f>
        <v/>
      </c>
      <c r="V2749" s="525" t="str">
        <f>IF(AND(OR(LEFT(TH!L2749,2)="15",LEFT(TH!M2749,2)="15"),'152-CT'!$J$8=TH!F2749),"x","")</f>
        <v/>
      </c>
      <c r="W2749" s="525" t="str">
        <f>IF(AND(OR(LEFT(TH!L2749,2)="15",LEFT(TH!M2749,2)="15"),TK!$E$7=TH!F2749),"x","")</f>
        <v/>
      </c>
      <c r="X2749" s="525" t="str">
        <f>IF(AND('341-CT'!$E$9=H2749,OR(LEFT(L2749,3)=$X$7,LEFT(M2749,3)=$X$7)),"x","")</f>
        <v/>
      </c>
      <c r="Y2749" s="525" t="str">
        <f>IF(OR(TH!L2749=TH!$Y$7,M2749=TH!$Y$7),"x","")</f>
        <v/>
      </c>
      <c r="Z2749" s="525" t="str">
        <f>IF(AND(B2749&lt;=NKC!$N$8,B2749&gt;=NKC!$M$8),"x","")</f>
        <v/>
      </c>
      <c r="AA2749" s="535"/>
      <c r="AB2749" s="536"/>
    </row>
    <row r="2750" spans="1:28" s="503" customFormat="1" ht="15.75" customHeight="1">
      <c r="A2750" s="517" t="str">
        <f>IF(B2750&lt;&gt;"",IF(AND(B2750&gt;=_TM1,B2750&lt;=_TM2,OR(TH!L2750="1111",TH!M2750="1111")),TH!D2750,""),"")</f>
        <v/>
      </c>
      <c r="B2750" s="531">
        <f t="shared" si="236"/>
        <v>6</v>
      </c>
      <c r="C2750" s="315">
        <f t="shared" si="237"/>
        <v>42914</v>
      </c>
      <c r="D2750" s="315" t="s">
        <v>943</v>
      </c>
      <c r="E2750" s="315">
        <v>42914</v>
      </c>
      <c r="F2750" s="250" t="s">
        <v>727</v>
      </c>
      <c r="G2750" s="314" t="s">
        <v>1251</v>
      </c>
      <c r="H2750" s="473" t="s">
        <v>284</v>
      </c>
      <c r="I2750" s="307">
        <v>36</v>
      </c>
      <c r="J2750" s="307">
        <v>23580.5</v>
      </c>
      <c r="K2750" s="532">
        <f t="shared" si="238"/>
        <v>848898</v>
      </c>
      <c r="L2750" s="534" t="s">
        <v>223</v>
      </c>
      <c r="M2750" s="534" t="s">
        <v>162</v>
      </c>
      <c r="N2750" s="525" t="str">
        <f>IF(AND('331-CT'!$E$7=TH!H2750,OR(L2750="331",M2750="331")),"331",IF(AND(OR(L2750="131",M2750="131"),H2750='131-CT'!$E$7),"131",""))</f>
        <v/>
      </c>
      <c r="O2750" s="525" t="str">
        <f>IF(AND($B2750&gt;='111'!$N$11,$B2750&lt;='111'!$O$11,OR($L2750=$O$7,$M2750=$O$7)),"x","")</f>
        <v/>
      </c>
      <c r="P2750" s="525" t="str">
        <f>IF(AND($L2750=$O$7,$B2750&lt;'111'!$N$11),"x","")</f>
        <v/>
      </c>
      <c r="Q2750" s="525" t="str">
        <f>IF(AND($M2750=$O$7,$B2750&lt;'111'!$N$11),"x","")</f>
        <v/>
      </c>
      <c r="R2750" s="525" t="str">
        <f>IF(ISERROR(FIND('112'!$M$9,G2750,1)),"",IF((AND(FIND('112'!$M$9,G2750,1)&gt;=1,$B2750&gt;='112'!$N$8,$B2750&lt;='112'!$O$8,OR($L2750='112'!$I$6,$M2750='112'!$I$6))),"x",""))</f>
        <v/>
      </c>
      <c r="S2750" s="525" t="str">
        <f>IF(ISERROR(FIND('112'!$M$9,G2750,1)),"",IF((AND(LEFT(G2750,2)=LEFT('112'!$M$9,2),B2750&lt;'112'!$N$8,$L2750='112'!$I$6)),"x",""))</f>
        <v/>
      </c>
      <c r="T2750" s="525" t="str">
        <f>IF(ISERROR(FIND('112'!$M$9,G2750,1)),"",IF((AND(RIGHT(G2750,2)=RIGHT('112'!$M$9,2),B2750&lt;'112'!$N$8,$M2750='112'!$I$6)),"x",""))</f>
        <v/>
      </c>
      <c r="U2750" s="525" t="str">
        <f>IF(AND(B2750&gt;='IN-NX'!$P$3,B2750&lt;='IN-NX'!$Q$3,'IN-NX'!$D$7=D2750,OR(LEFT(L2750,2)="15",AND(LEFT(M2750,2)&lt;&gt;"15",LEFT(M2750,2)&lt;&gt;"33"))),"x","")</f>
        <v/>
      </c>
      <c r="V2750" s="525" t="str">
        <f>IF(AND(OR(LEFT(TH!L2750,2)="15",LEFT(TH!M2750,2)="15"),'152-CT'!$J$8=TH!F2750),"x","")</f>
        <v/>
      </c>
      <c r="W2750" s="525" t="str">
        <f>IF(AND(OR(LEFT(TH!L2750,2)="15",LEFT(TH!M2750,2)="15"),TK!$E$7=TH!F2750),"x","")</f>
        <v/>
      </c>
      <c r="X2750" s="525" t="str">
        <f>IF(AND('341-CT'!$E$9=H2750,OR(LEFT(L2750,3)=$X$7,LEFT(M2750,3)=$X$7)),"x","")</f>
        <v/>
      </c>
      <c r="Y2750" s="525" t="str">
        <f>IF(OR(TH!L2750=TH!$Y$7,M2750=TH!$Y$7),"x","")</f>
        <v/>
      </c>
      <c r="Z2750" s="525" t="str">
        <f>IF(AND(B2750&lt;=NKC!$N$8,B2750&gt;=NKC!$M$8),"x","")</f>
        <v/>
      </c>
      <c r="AA2750" s="535"/>
      <c r="AB2750" s="536"/>
    </row>
    <row r="2751" spans="1:28" s="503" customFormat="1" ht="15.75" customHeight="1">
      <c r="A2751" s="517" t="str">
        <f>IF(B2751&lt;&gt;"",IF(AND(B2751&gt;=_TM1,B2751&lt;=_TM2,OR(TH!L2751="1111",TH!M2751="1111")),TH!D2751,""),"")</f>
        <v/>
      </c>
      <c r="B2751" s="531">
        <f t="shared" si="236"/>
        <v>6</v>
      </c>
      <c r="C2751" s="315">
        <f t="shared" si="237"/>
        <v>42914</v>
      </c>
      <c r="D2751" s="315" t="s">
        <v>943</v>
      </c>
      <c r="E2751" s="315">
        <v>42914</v>
      </c>
      <c r="F2751" s="250" t="s">
        <v>730</v>
      </c>
      <c r="G2751" s="314" t="s">
        <v>1251</v>
      </c>
      <c r="H2751" s="473" t="s">
        <v>284</v>
      </c>
      <c r="I2751" s="307">
        <v>8</v>
      </c>
      <c r="J2751" s="307">
        <v>38560.5</v>
      </c>
      <c r="K2751" s="532">
        <f t="shared" si="238"/>
        <v>308484</v>
      </c>
      <c r="L2751" s="534" t="s">
        <v>223</v>
      </c>
      <c r="M2751" s="534" t="s">
        <v>162</v>
      </c>
      <c r="N2751" s="525" t="str">
        <f>IF(AND('331-CT'!$E$7=TH!H2751,OR(L2751="331",M2751="331")),"331",IF(AND(OR(L2751="131",M2751="131"),H2751='131-CT'!$E$7),"131",""))</f>
        <v/>
      </c>
      <c r="O2751" s="525" t="str">
        <f>IF(AND($B2751&gt;='111'!$N$11,$B2751&lt;='111'!$O$11,OR($L2751=$O$7,$M2751=$O$7)),"x","")</f>
        <v/>
      </c>
      <c r="P2751" s="525" t="str">
        <f>IF(AND($L2751=$O$7,$B2751&lt;'111'!$N$11),"x","")</f>
        <v/>
      </c>
      <c r="Q2751" s="525" t="str">
        <f>IF(AND($M2751=$O$7,$B2751&lt;'111'!$N$11),"x","")</f>
        <v/>
      </c>
      <c r="R2751" s="525" t="str">
        <f>IF(ISERROR(FIND('112'!$M$9,G2751,1)),"",IF((AND(FIND('112'!$M$9,G2751,1)&gt;=1,$B2751&gt;='112'!$N$8,$B2751&lt;='112'!$O$8,OR($L2751='112'!$I$6,$M2751='112'!$I$6))),"x",""))</f>
        <v/>
      </c>
      <c r="S2751" s="525" t="str">
        <f>IF(ISERROR(FIND('112'!$M$9,G2751,1)),"",IF((AND(LEFT(G2751,2)=LEFT('112'!$M$9,2),B2751&lt;'112'!$N$8,$L2751='112'!$I$6)),"x",""))</f>
        <v/>
      </c>
      <c r="T2751" s="525" t="str">
        <f>IF(ISERROR(FIND('112'!$M$9,G2751,1)),"",IF((AND(RIGHT(G2751,2)=RIGHT('112'!$M$9,2),B2751&lt;'112'!$N$8,$M2751='112'!$I$6)),"x",""))</f>
        <v/>
      </c>
      <c r="U2751" s="525" t="str">
        <f>IF(AND(B2751&gt;='IN-NX'!$P$3,B2751&lt;='IN-NX'!$Q$3,'IN-NX'!$D$7=D2751,OR(LEFT(L2751,2)="15",AND(LEFT(M2751,2)&lt;&gt;"15",LEFT(M2751,2)&lt;&gt;"33"))),"x","")</f>
        <v/>
      </c>
      <c r="V2751" s="525" t="str">
        <f>IF(AND(OR(LEFT(TH!L2751,2)="15",LEFT(TH!M2751,2)="15"),'152-CT'!$J$8=TH!F2751),"x","")</f>
        <v/>
      </c>
      <c r="W2751" s="525" t="str">
        <f>IF(AND(OR(LEFT(TH!L2751,2)="15",LEFT(TH!M2751,2)="15"),TK!$E$7=TH!F2751),"x","")</f>
        <v/>
      </c>
      <c r="X2751" s="525" t="str">
        <f>IF(AND('341-CT'!$E$9=H2751,OR(LEFT(L2751,3)=$X$7,LEFT(M2751,3)=$X$7)),"x","")</f>
        <v/>
      </c>
      <c r="Y2751" s="525" t="str">
        <f>IF(OR(TH!L2751=TH!$Y$7,M2751=TH!$Y$7),"x","")</f>
        <v/>
      </c>
      <c r="Z2751" s="525" t="str">
        <f>IF(AND(B2751&lt;=NKC!$N$8,B2751&gt;=NKC!$M$8),"x","")</f>
        <v/>
      </c>
      <c r="AA2751" s="535"/>
      <c r="AB2751" s="536"/>
    </row>
    <row r="2752" spans="1:28" s="503" customFormat="1" ht="15.75" customHeight="1">
      <c r="A2752" s="517" t="str">
        <f>IF(B2752&lt;&gt;"",IF(AND(B2752&gt;=_TM1,B2752&lt;=_TM2,OR(TH!L2752="1111",TH!M2752="1111")),TH!D2752,""),"")</f>
        <v/>
      </c>
      <c r="B2752" s="531">
        <f t="shared" si="236"/>
        <v>6</v>
      </c>
      <c r="C2752" s="315">
        <f t="shared" si="237"/>
        <v>42914</v>
      </c>
      <c r="D2752" s="315" t="s">
        <v>943</v>
      </c>
      <c r="E2752" s="315">
        <v>42914</v>
      </c>
      <c r="F2752" s="250" t="s">
        <v>740</v>
      </c>
      <c r="G2752" s="314" t="s">
        <v>1251</v>
      </c>
      <c r="H2752" s="473" t="s">
        <v>284</v>
      </c>
      <c r="I2752" s="307">
        <v>8</v>
      </c>
      <c r="J2752" s="307">
        <v>168969</v>
      </c>
      <c r="K2752" s="532">
        <f t="shared" si="238"/>
        <v>1351752</v>
      </c>
      <c r="L2752" s="534" t="s">
        <v>223</v>
      </c>
      <c r="M2752" s="534" t="s">
        <v>162</v>
      </c>
      <c r="N2752" s="525" t="str">
        <f>IF(AND('331-CT'!$E$7=TH!H2752,OR(L2752="331",M2752="331")),"331",IF(AND(OR(L2752="131",M2752="131"),H2752='131-CT'!$E$7),"131",""))</f>
        <v/>
      </c>
      <c r="O2752" s="525" t="str">
        <f>IF(AND($B2752&gt;='111'!$N$11,$B2752&lt;='111'!$O$11,OR($L2752=$O$7,$M2752=$O$7)),"x","")</f>
        <v/>
      </c>
      <c r="P2752" s="525" t="str">
        <f>IF(AND($L2752=$O$7,$B2752&lt;'111'!$N$11),"x","")</f>
        <v/>
      </c>
      <c r="Q2752" s="525" t="str">
        <f>IF(AND($M2752=$O$7,$B2752&lt;'111'!$N$11),"x","")</f>
        <v/>
      </c>
      <c r="R2752" s="525" t="str">
        <f>IF(ISERROR(FIND('112'!$M$9,G2752,1)),"",IF((AND(FIND('112'!$M$9,G2752,1)&gt;=1,$B2752&gt;='112'!$N$8,$B2752&lt;='112'!$O$8,OR($L2752='112'!$I$6,$M2752='112'!$I$6))),"x",""))</f>
        <v/>
      </c>
      <c r="S2752" s="525" t="str">
        <f>IF(ISERROR(FIND('112'!$M$9,G2752,1)),"",IF((AND(LEFT(G2752,2)=LEFT('112'!$M$9,2),B2752&lt;'112'!$N$8,$L2752='112'!$I$6)),"x",""))</f>
        <v/>
      </c>
      <c r="T2752" s="525" t="str">
        <f>IF(ISERROR(FIND('112'!$M$9,G2752,1)),"",IF((AND(RIGHT(G2752,2)=RIGHT('112'!$M$9,2),B2752&lt;'112'!$N$8,$M2752='112'!$I$6)),"x",""))</f>
        <v/>
      </c>
      <c r="U2752" s="525" t="str">
        <f>IF(AND(B2752&gt;='IN-NX'!$P$3,B2752&lt;='IN-NX'!$Q$3,'IN-NX'!$D$7=D2752,OR(LEFT(L2752,2)="15",AND(LEFT(M2752,2)&lt;&gt;"15",LEFT(M2752,2)&lt;&gt;"33"))),"x","")</f>
        <v/>
      </c>
      <c r="V2752" s="525" t="str">
        <f>IF(AND(OR(LEFT(TH!L2752,2)="15",LEFT(TH!M2752,2)="15"),'152-CT'!$J$8=TH!F2752),"x","")</f>
        <v/>
      </c>
      <c r="W2752" s="525" t="str">
        <f>IF(AND(OR(LEFT(TH!L2752,2)="15",LEFT(TH!M2752,2)="15"),TK!$E$7=TH!F2752),"x","")</f>
        <v/>
      </c>
      <c r="X2752" s="525" t="str">
        <f>IF(AND('341-CT'!$E$9=H2752,OR(LEFT(L2752,3)=$X$7,LEFT(M2752,3)=$X$7)),"x","")</f>
        <v/>
      </c>
      <c r="Y2752" s="525" t="str">
        <f>IF(OR(TH!L2752=TH!$Y$7,M2752=TH!$Y$7),"x","")</f>
        <v/>
      </c>
      <c r="Z2752" s="525" t="str">
        <f>IF(AND(B2752&lt;=NKC!$N$8,B2752&gt;=NKC!$M$8),"x","")</f>
        <v/>
      </c>
      <c r="AA2752" s="535"/>
      <c r="AB2752" s="536"/>
    </row>
    <row r="2753" spans="1:28" s="503" customFormat="1" ht="15.75" customHeight="1">
      <c r="A2753" s="517" t="str">
        <f>IF(B2753&lt;&gt;"",IF(AND(B2753&gt;=_TM1,B2753&lt;=_TM2,OR(TH!L2753="1111",TH!M2753="1111")),TH!D2753,""),"")</f>
        <v/>
      </c>
      <c r="B2753" s="531">
        <f t="shared" si="236"/>
        <v>6</v>
      </c>
      <c r="C2753" s="315">
        <f t="shared" si="237"/>
        <v>42914</v>
      </c>
      <c r="D2753" s="315" t="s">
        <v>944</v>
      </c>
      <c r="E2753" s="315">
        <v>42914</v>
      </c>
      <c r="F2753" s="250" t="s">
        <v>741</v>
      </c>
      <c r="G2753" s="314" t="s">
        <v>1251</v>
      </c>
      <c r="H2753" s="473" t="s">
        <v>284</v>
      </c>
      <c r="I2753" s="307">
        <v>4</v>
      </c>
      <c r="J2753" s="307">
        <v>222112</v>
      </c>
      <c r="K2753" s="532">
        <f t="shared" si="238"/>
        <v>888448</v>
      </c>
      <c r="L2753" s="534" t="s">
        <v>223</v>
      </c>
      <c r="M2753" s="534" t="s">
        <v>162</v>
      </c>
      <c r="N2753" s="525" t="str">
        <f>IF(AND('331-CT'!$E$7=TH!H2753,OR(L2753="331",M2753="331")),"331",IF(AND(OR(L2753="131",M2753="131"),H2753='131-CT'!$E$7),"131",""))</f>
        <v/>
      </c>
      <c r="O2753" s="525" t="str">
        <f>IF(AND($B2753&gt;='111'!$N$11,$B2753&lt;='111'!$O$11,OR($L2753=$O$7,$M2753=$O$7)),"x","")</f>
        <v/>
      </c>
      <c r="P2753" s="525" t="str">
        <f>IF(AND($L2753=$O$7,$B2753&lt;'111'!$N$11),"x","")</f>
        <v/>
      </c>
      <c r="Q2753" s="525" t="str">
        <f>IF(AND($M2753=$O$7,$B2753&lt;'111'!$N$11),"x","")</f>
        <v/>
      </c>
      <c r="R2753" s="525" t="str">
        <f>IF(ISERROR(FIND('112'!$M$9,G2753,1)),"",IF((AND(FIND('112'!$M$9,G2753,1)&gt;=1,$B2753&gt;='112'!$N$8,$B2753&lt;='112'!$O$8,OR($L2753='112'!$I$6,$M2753='112'!$I$6))),"x",""))</f>
        <v/>
      </c>
      <c r="S2753" s="525" t="str">
        <f>IF(ISERROR(FIND('112'!$M$9,G2753,1)),"",IF((AND(LEFT(G2753,2)=LEFT('112'!$M$9,2),B2753&lt;'112'!$N$8,$L2753='112'!$I$6)),"x",""))</f>
        <v/>
      </c>
      <c r="T2753" s="525" t="str">
        <f>IF(ISERROR(FIND('112'!$M$9,G2753,1)),"",IF((AND(RIGHT(G2753,2)=RIGHT('112'!$M$9,2),B2753&lt;'112'!$N$8,$M2753='112'!$I$6)),"x",""))</f>
        <v/>
      </c>
      <c r="U2753" s="525" t="str">
        <f>IF(AND(B2753&gt;='IN-NX'!$P$3,B2753&lt;='IN-NX'!$Q$3,'IN-NX'!$D$7=D2753,OR(LEFT(L2753,2)="15",AND(LEFT(M2753,2)&lt;&gt;"15",LEFT(M2753,2)&lt;&gt;"33"))),"x","")</f>
        <v/>
      </c>
      <c r="V2753" s="525" t="str">
        <f>IF(AND(OR(LEFT(TH!L2753,2)="15",LEFT(TH!M2753,2)="15"),'152-CT'!$J$8=TH!F2753),"x","")</f>
        <v/>
      </c>
      <c r="W2753" s="525" t="str">
        <f>IF(AND(OR(LEFT(TH!L2753,2)="15",LEFT(TH!M2753,2)="15"),TK!$E$7=TH!F2753),"x","")</f>
        <v/>
      </c>
      <c r="X2753" s="525" t="str">
        <f>IF(AND('341-CT'!$E$9=H2753,OR(LEFT(L2753,3)=$X$7,LEFT(M2753,3)=$X$7)),"x","")</f>
        <v/>
      </c>
      <c r="Y2753" s="525" t="str">
        <f>IF(OR(TH!L2753=TH!$Y$7,M2753=TH!$Y$7),"x","")</f>
        <v/>
      </c>
      <c r="Z2753" s="525" t="str">
        <f>IF(AND(B2753&lt;=NKC!$N$8,B2753&gt;=NKC!$M$8),"x","")</f>
        <v/>
      </c>
      <c r="AA2753" s="535"/>
      <c r="AB2753" s="536"/>
    </row>
    <row r="2754" spans="1:28" s="503" customFormat="1" ht="15.75" customHeight="1">
      <c r="A2754" s="517" t="str">
        <f>IF(B2754&lt;&gt;"",IF(AND(B2754&gt;=_TM1,B2754&lt;=_TM2,OR(TH!L2754="1111",TH!M2754="1111")),TH!D2754,""),"")</f>
        <v/>
      </c>
      <c r="B2754" s="531">
        <f t="shared" si="236"/>
        <v>6</v>
      </c>
      <c r="C2754" s="315">
        <f t="shared" si="237"/>
        <v>42914</v>
      </c>
      <c r="D2754" s="315" t="s">
        <v>944</v>
      </c>
      <c r="E2754" s="315">
        <v>42914</v>
      </c>
      <c r="F2754" s="250" t="s">
        <v>1230</v>
      </c>
      <c r="G2754" s="314" t="s">
        <v>1251</v>
      </c>
      <c r="H2754" s="473" t="s">
        <v>284</v>
      </c>
      <c r="I2754" s="307">
        <v>5</v>
      </c>
      <c r="J2754" s="307">
        <v>108583</v>
      </c>
      <c r="K2754" s="532">
        <f t="shared" si="238"/>
        <v>542915</v>
      </c>
      <c r="L2754" s="534" t="s">
        <v>223</v>
      </c>
      <c r="M2754" s="534" t="s">
        <v>162</v>
      </c>
      <c r="N2754" s="525" t="str">
        <f>IF(AND('331-CT'!$E$7=TH!H2754,OR(L2754="331",M2754="331")),"331",IF(AND(OR(L2754="131",M2754="131"),H2754='131-CT'!$E$7),"131",""))</f>
        <v/>
      </c>
      <c r="O2754" s="525" t="str">
        <f>IF(AND($B2754&gt;='111'!$N$11,$B2754&lt;='111'!$O$11,OR($L2754=$O$7,$M2754=$O$7)),"x","")</f>
        <v/>
      </c>
      <c r="P2754" s="525" t="str">
        <f>IF(AND($L2754=$O$7,$B2754&lt;'111'!$N$11),"x","")</f>
        <v/>
      </c>
      <c r="Q2754" s="525" t="str">
        <f>IF(AND($M2754=$O$7,$B2754&lt;'111'!$N$11),"x","")</f>
        <v/>
      </c>
      <c r="R2754" s="525" t="str">
        <f>IF(ISERROR(FIND('112'!$M$9,G2754,1)),"",IF((AND(FIND('112'!$M$9,G2754,1)&gt;=1,$B2754&gt;='112'!$N$8,$B2754&lt;='112'!$O$8,OR($L2754='112'!$I$6,$M2754='112'!$I$6))),"x",""))</f>
        <v/>
      </c>
      <c r="S2754" s="525" t="str">
        <f>IF(ISERROR(FIND('112'!$M$9,G2754,1)),"",IF((AND(LEFT(G2754,2)=LEFT('112'!$M$9,2),B2754&lt;'112'!$N$8,$L2754='112'!$I$6)),"x",""))</f>
        <v/>
      </c>
      <c r="T2754" s="525" t="str">
        <f>IF(ISERROR(FIND('112'!$M$9,G2754,1)),"",IF((AND(RIGHT(G2754,2)=RIGHT('112'!$M$9,2),B2754&lt;'112'!$N$8,$M2754='112'!$I$6)),"x",""))</f>
        <v/>
      </c>
      <c r="U2754" s="525" t="str">
        <f>IF(AND(B2754&gt;='IN-NX'!$P$3,B2754&lt;='IN-NX'!$Q$3,'IN-NX'!$D$7=D2754,OR(LEFT(L2754,2)="15",AND(LEFT(M2754,2)&lt;&gt;"15",LEFT(M2754,2)&lt;&gt;"33"))),"x","")</f>
        <v/>
      </c>
      <c r="V2754" s="525" t="str">
        <f>IF(AND(OR(LEFT(TH!L2754,2)="15",LEFT(TH!M2754,2)="15"),'152-CT'!$J$8=TH!F2754),"x","")</f>
        <v/>
      </c>
      <c r="W2754" s="525" t="str">
        <f>IF(AND(OR(LEFT(TH!L2754,2)="15",LEFT(TH!M2754,2)="15"),TK!$E$7=TH!F2754),"x","")</f>
        <v/>
      </c>
      <c r="X2754" s="525" t="str">
        <f>IF(AND('341-CT'!$E$9=H2754,OR(LEFT(L2754,3)=$X$7,LEFT(M2754,3)=$X$7)),"x","")</f>
        <v/>
      </c>
      <c r="Y2754" s="525" t="str">
        <f>IF(OR(TH!L2754=TH!$Y$7,M2754=TH!$Y$7),"x","")</f>
        <v/>
      </c>
      <c r="Z2754" s="525" t="str">
        <f>IF(AND(B2754&lt;=NKC!$N$8,B2754&gt;=NKC!$M$8),"x","")</f>
        <v/>
      </c>
      <c r="AA2754" s="535"/>
      <c r="AB2754" s="536"/>
    </row>
    <row r="2755" spans="1:28" s="503" customFormat="1" ht="15.75" customHeight="1">
      <c r="A2755" s="517" t="str">
        <f>IF(B2755&lt;&gt;"",IF(AND(B2755&gt;=_TM1,B2755&lt;=_TM2,OR(TH!L2755="1111",TH!M2755="1111")),TH!D2755,""),"")</f>
        <v/>
      </c>
      <c r="B2755" s="531">
        <f t="shared" si="236"/>
        <v>6</v>
      </c>
      <c r="C2755" s="315">
        <f t="shared" si="237"/>
        <v>42914</v>
      </c>
      <c r="D2755" s="315" t="s">
        <v>944</v>
      </c>
      <c r="E2755" s="315">
        <v>42914</v>
      </c>
      <c r="F2755" s="250" t="s">
        <v>690</v>
      </c>
      <c r="G2755" s="314" t="s">
        <v>1251</v>
      </c>
      <c r="H2755" s="473" t="s">
        <v>284</v>
      </c>
      <c r="I2755" s="307">
        <v>4</v>
      </c>
      <c r="J2755" s="307">
        <v>126924</v>
      </c>
      <c r="K2755" s="532">
        <f t="shared" si="238"/>
        <v>507696</v>
      </c>
      <c r="L2755" s="534" t="s">
        <v>223</v>
      </c>
      <c r="M2755" s="534" t="s">
        <v>162</v>
      </c>
      <c r="N2755" s="525" t="str">
        <f>IF(AND('331-CT'!$E$7=TH!H2755,OR(L2755="331",M2755="331")),"331",IF(AND(OR(L2755="131",M2755="131"),H2755='131-CT'!$E$7),"131",""))</f>
        <v/>
      </c>
      <c r="O2755" s="525" t="str">
        <f>IF(AND($B2755&gt;='111'!$N$11,$B2755&lt;='111'!$O$11,OR($L2755=$O$7,$M2755=$O$7)),"x","")</f>
        <v/>
      </c>
      <c r="P2755" s="525" t="str">
        <f>IF(AND($L2755=$O$7,$B2755&lt;'111'!$N$11),"x","")</f>
        <v/>
      </c>
      <c r="Q2755" s="525" t="str">
        <f>IF(AND($M2755=$O$7,$B2755&lt;'111'!$N$11),"x","")</f>
        <v/>
      </c>
      <c r="R2755" s="525" t="str">
        <f>IF(ISERROR(FIND('112'!$M$9,G2755,1)),"",IF((AND(FIND('112'!$M$9,G2755,1)&gt;=1,$B2755&gt;='112'!$N$8,$B2755&lt;='112'!$O$8,OR($L2755='112'!$I$6,$M2755='112'!$I$6))),"x",""))</f>
        <v/>
      </c>
      <c r="S2755" s="525" t="str">
        <f>IF(ISERROR(FIND('112'!$M$9,G2755,1)),"",IF((AND(LEFT(G2755,2)=LEFT('112'!$M$9,2),B2755&lt;'112'!$N$8,$L2755='112'!$I$6)),"x",""))</f>
        <v/>
      </c>
      <c r="T2755" s="525" t="str">
        <f>IF(ISERROR(FIND('112'!$M$9,G2755,1)),"",IF((AND(RIGHT(G2755,2)=RIGHT('112'!$M$9,2),B2755&lt;'112'!$N$8,$M2755='112'!$I$6)),"x",""))</f>
        <v/>
      </c>
      <c r="U2755" s="525" t="str">
        <f>IF(AND(B2755&gt;='IN-NX'!$P$3,B2755&lt;='IN-NX'!$Q$3,'IN-NX'!$D$7=D2755,OR(LEFT(L2755,2)="15",AND(LEFT(M2755,2)&lt;&gt;"15",LEFT(M2755,2)&lt;&gt;"33"))),"x","")</f>
        <v/>
      </c>
      <c r="V2755" s="525" t="str">
        <f>IF(AND(OR(LEFT(TH!L2755,2)="15",LEFT(TH!M2755,2)="15"),'152-CT'!$J$8=TH!F2755),"x","")</f>
        <v/>
      </c>
      <c r="W2755" s="525" t="str">
        <f>IF(AND(OR(LEFT(TH!L2755,2)="15",LEFT(TH!M2755,2)="15"),TK!$E$7=TH!F2755),"x","")</f>
        <v/>
      </c>
      <c r="X2755" s="525" t="str">
        <f>IF(AND('341-CT'!$E$9=H2755,OR(LEFT(L2755,3)=$X$7,LEFT(M2755,3)=$X$7)),"x","")</f>
        <v/>
      </c>
      <c r="Y2755" s="525" t="str">
        <f>IF(OR(TH!L2755=TH!$Y$7,M2755=TH!$Y$7),"x","")</f>
        <v/>
      </c>
      <c r="Z2755" s="525" t="str">
        <f>IF(AND(B2755&lt;=NKC!$N$8,B2755&gt;=NKC!$M$8),"x","")</f>
        <v/>
      </c>
      <c r="AA2755" s="535"/>
      <c r="AB2755" s="536"/>
    </row>
    <row r="2756" spans="1:28" s="503" customFormat="1" ht="15.75" customHeight="1">
      <c r="A2756" s="517" t="str">
        <f>IF(B2756&lt;&gt;"",IF(AND(B2756&gt;=_TM1,B2756&lt;=_TM2,OR(TH!L2756="1111",TH!M2756="1111")),TH!D2756,""),"")</f>
        <v/>
      </c>
      <c r="B2756" s="531">
        <f t="shared" si="236"/>
        <v>6</v>
      </c>
      <c r="C2756" s="315">
        <f t="shared" si="237"/>
        <v>42914</v>
      </c>
      <c r="D2756" s="315" t="s">
        <v>944</v>
      </c>
      <c r="E2756" s="315">
        <v>42914</v>
      </c>
      <c r="F2756" s="250" t="s">
        <v>659</v>
      </c>
      <c r="G2756" s="314" t="s">
        <v>1251</v>
      </c>
      <c r="H2756" s="473" t="s">
        <v>284</v>
      </c>
      <c r="I2756" s="307">
        <v>12</v>
      </c>
      <c r="J2756" s="307">
        <v>85552</v>
      </c>
      <c r="K2756" s="532">
        <f t="shared" si="238"/>
        <v>1026624</v>
      </c>
      <c r="L2756" s="534" t="s">
        <v>223</v>
      </c>
      <c r="M2756" s="534" t="s">
        <v>162</v>
      </c>
      <c r="N2756" s="525" t="str">
        <f>IF(AND('331-CT'!$E$7=TH!H2756,OR(L2756="331",M2756="331")),"331",IF(AND(OR(L2756="131",M2756="131"),H2756='131-CT'!$E$7),"131",""))</f>
        <v/>
      </c>
      <c r="O2756" s="525" t="str">
        <f>IF(AND($B2756&gt;='111'!$N$11,$B2756&lt;='111'!$O$11,OR($L2756=$O$7,$M2756=$O$7)),"x","")</f>
        <v/>
      </c>
      <c r="P2756" s="525" t="str">
        <f>IF(AND($L2756=$O$7,$B2756&lt;'111'!$N$11),"x","")</f>
        <v/>
      </c>
      <c r="Q2756" s="525" t="str">
        <f>IF(AND($M2756=$O$7,$B2756&lt;'111'!$N$11),"x","")</f>
        <v/>
      </c>
      <c r="R2756" s="525" t="str">
        <f>IF(ISERROR(FIND('112'!$M$9,G2756,1)),"",IF((AND(FIND('112'!$M$9,G2756,1)&gt;=1,$B2756&gt;='112'!$N$8,$B2756&lt;='112'!$O$8,OR($L2756='112'!$I$6,$M2756='112'!$I$6))),"x",""))</f>
        <v/>
      </c>
      <c r="S2756" s="525" t="str">
        <f>IF(ISERROR(FIND('112'!$M$9,G2756,1)),"",IF((AND(LEFT(G2756,2)=LEFT('112'!$M$9,2),B2756&lt;'112'!$N$8,$L2756='112'!$I$6)),"x",""))</f>
        <v/>
      </c>
      <c r="T2756" s="525" t="str">
        <f>IF(ISERROR(FIND('112'!$M$9,G2756,1)),"",IF((AND(RIGHT(G2756,2)=RIGHT('112'!$M$9,2),B2756&lt;'112'!$N$8,$M2756='112'!$I$6)),"x",""))</f>
        <v/>
      </c>
      <c r="U2756" s="525" t="str">
        <f>IF(AND(B2756&gt;='IN-NX'!$P$3,B2756&lt;='IN-NX'!$Q$3,'IN-NX'!$D$7=D2756,OR(LEFT(L2756,2)="15",AND(LEFT(M2756,2)&lt;&gt;"15",LEFT(M2756,2)&lt;&gt;"33"))),"x","")</f>
        <v/>
      </c>
      <c r="V2756" s="525" t="str">
        <f>IF(AND(OR(LEFT(TH!L2756,2)="15",LEFT(TH!M2756,2)="15"),'152-CT'!$J$8=TH!F2756),"x","")</f>
        <v/>
      </c>
      <c r="W2756" s="525" t="str">
        <f>IF(AND(OR(LEFT(TH!L2756,2)="15",LEFT(TH!M2756,2)="15"),TK!$E$7=TH!F2756),"x","")</f>
        <v/>
      </c>
      <c r="X2756" s="525" t="str">
        <f>IF(AND('341-CT'!$E$9=H2756,OR(LEFT(L2756,3)=$X$7,LEFT(M2756,3)=$X$7)),"x","")</f>
        <v/>
      </c>
      <c r="Y2756" s="525" t="str">
        <f>IF(OR(TH!L2756=TH!$Y$7,M2756=TH!$Y$7),"x","")</f>
        <v/>
      </c>
      <c r="Z2756" s="525" t="str">
        <f>IF(AND(B2756&lt;=NKC!$N$8,B2756&gt;=NKC!$M$8),"x","")</f>
        <v/>
      </c>
      <c r="AA2756" s="535"/>
      <c r="AB2756" s="536"/>
    </row>
    <row r="2757" spans="1:28" s="503" customFormat="1" ht="15.75" customHeight="1">
      <c r="A2757" s="517" t="str">
        <f>IF(B2757&lt;&gt;"",IF(AND(B2757&gt;=_TM1,B2757&lt;=_TM2,OR(TH!L2757="1111",TH!M2757="1111")),TH!D2757,""),"")</f>
        <v/>
      </c>
      <c r="B2757" s="531">
        <f t="shared" si="236"/>
        <v>6</v>
      </c>
      <c r="C2757" s="315">
        <f t="shared" si="237"/>
        <v>42914</v>
      </c>
      <c r="D2757" s="315" t="s">
        <v>944</v>
      </c>
      <c r="E2757" s="315">
        <v>42914</v>
      </c>
      <c r="F2757" s="250" t="s">
        <v>611</v>
      </c>
      <c r="G2757" s="314" t="s">
        <v>1251</v>
      </c>
      <c r="H2757" s="473" t="s">
        <v>284</v>
      </c>
      <c r="I2757" s="307">
        <v>252</v>
      </c>
      <c r="J2757" s="307">
        <v>42802</v>
      </c>
      <c r="K2757" s="532">
        <f t="shared" si="238"/>
        <v>10786104</v>
      </c>
      <c r="L2757" s="534" t="s">
        <v>223</v>
      </c>
      <c r="M2757" s="534" t="s">
        <v>162</v>
      </c>
      <c r="N2757" s="525" t="str">
        <f>IF(AND('331-CT'!$E$7=TH!H2757,OR(L2757="331",M2757="331")),"331",IF(AND(OR(L2757="131",M2757="131"),H2757='131-CT'!$E$7),"131",""))</f>
        <v/>
      </c>
      <c r="O2757" s="525" t="str">
        <f>IF(AND($B2757&gt;='111'!$N$11,$B2757&lt;='111'!$O$11,OR($L2757=$O$7,$M2757=$O$7)),"x","")</f>
        <v/>
      </c>
      <c r="P2757" s="525" t="str">
        <f>IF(AND($L2757=$O$7,$B2757&lt;'111'!$N$11),"x","")</f>
        <v/>
      </c>
      <c r="Q2757" s="525" t="str">
        <f>IF(AND($M2757=$O$7,$B2757&lt;'111'!$N$11),"x","")</f>
        <v/>
      </c>
      <c r="R2757" s="525" t="str">
        <f>IF(ISERROR(FIND('112'!$M$9,G2757,1)),"",IF((AND(FIND('112'!$M$9,G2757,1)&gt;=1,$B2757&gt;='112'!$N$8,$B2757&lt;='112'!$O$8,OR($L2757='112'!$I$6,$M2757='112'!$I$6))),"x",""))</f>
        <v/>
      </c>
      <c r="S2757" s="525" t="str">
        <f>IF(ISERROR(FIND('112'!$M$9,G2757,1)),"",IF((AND(LEFT(G2757,2)=LEFT('112'!$M$9,2),B2757&lt;'112'!$N$8,$L2757='112'!$I$6)),"x",""))</f>
        <v/>
      </c>
      <c r="T2757" s="525" t="str">
        <f>IF(ISERROR(FIND('112'!$M$9,G2757,1)),"",IF((AND(RIGHT(G2757,2)=RIGHT('112'!$M$9,2),B2757&lt;'112'!$N$8,$M2757='112'!$I$6)),"x",""))</f>
        <v/>
      </c>
      <c r="U2757" s="525" t="str">
        <f>IF(AND(B2757&gt;='IN-NX'!$P$3,B2757&lt;='IN-NX'!$Q$3,'IN-NX'!$D$7=D2757,OR(LEFT(L2757,2)="15",AND(LEFT(M2757,2)&lt;&gt;"15",LEFT(M2757,2)&lt;&gt;"33"))),"x","")</f>
        <v/>
      </c>
      <c r="V2757" s="525" t="str">
        <f>IF(AND(OR(LEFT(TH!L2757,2)="15",LEFT(TH!M2757,2)="15"),'152-CT'!$J$8=TH!F2757),"x","")</f>
        <v/>
      </c>
      <c r="W2757" s="525" t="str">
        <f>IF(AND(OR(LEFT(TH!L2757,2)="15",LEFT(TH!M2757,2)="15"),TK!$E$7=TH!F2757),"x","")</f>
        <v/>
      </c>
      <c r="X2757" s="525" t="str">
        <f>IF(AND('341-CT'!$E$9=H2757,OR(LEFT(L2757,3)=$X$7,LEFT(M2757,3)=$X$7)),"x","")</f>
        <v/>
      </c>
      <c r="Y2757" s="525" t="str">
        <f>IF(OR(TH!L2757=TH!$Y$7,M2757=TH!$Y$7),"x","")</f>
        <v/>
      </c>
      <c r="Z2757" s="525" t="str">
        <f>IF(AND(B2757&lt;=NKC!$N$8,B2757&gt;=NKC!$M$8),"x","")</f>
        <v/>
      </c>
      <c r="AA2757" s="535"/>
      <c r="AB2757" s="536"/>
    </row>
    <row r="2758" spans="1:28" s="503" customFormat="1" ht="15.75" customHeight="1">
      <c r="A2758" s="517" t="str">
        <f>IF(B2758&lt;&gt;"",IF(AND(B2758&gt;=_TM1,B2758&lt;=_TM2,OR(TH!L2758="1111",TH!M2758="1111")),TH!D2758,""),"")</f>
        <v/>
      </c>
      <c r="B2758" s="531">
        <f t="shared" si="236"/>
        <v>6</v>
      </c>
      <c r="C2758" s="315">
        <f t="shared" si="237"/>
        <v>42914</v>
      </c>
      <c r="D2758" s="315" t="s">
        <v>944</v>
      </c>
      <c r="E2758" s="315">
        <v>42914</v>
      </c>
      <c r="F2758" s="250" t="s">
        <v>691</v>
      </c>
      <c r="G2758" s="314" t="s">
        <v>1251</v>
      </c>
      <c r="H2758" s="473" t="s">
        <v>284</v>
      </c>
      <c r="I2758" s="307">
        <v>14</v>
      </c>
      <c r="J2758" s="307">
        <v>54762</v>
      </c>
      <c r="K2758" s="532">
        <f t="shared" si="238"/>
        <v>766668</v>
      </c>
      <c r="L2758" s="534" t="s">
        <v>223</v>
      </c>
      <c r="M2758" s="534" t="s">
        <v>162</v>
      </c>
      <c r="N2758" s="525" t="str">
        <f>IF(AND('331-CT'!$E$7=TH!H2758,OR(L2758="331",M2758="331")),"331",IF(AND(OR(L2758="131",M2758="131"),H2758='131-CT'!$E$7),"131",""))</f>
        <v/>
      </c>
      <c r="O2758" s="525" t="str">
        <f>IF(AND($B2758&gt;='111'!$N$11,$B2758&lt;='111'!$O$11,OR($L2758=$O$7,$M2758=$O$7)),"x","")</f>
        <v/>
      </c>
      <c r="P2758" s="525" t="str">
        <f>IF(AND($L2758=$O$7,$B2758&lt;'111'!$N$11),"x","")</f>
        <v/>
      </c>
      <c r="Q2758" s="525" t="str">
        <f>IF(AND($M2758=$O$7,$B2758&lt;'111'!$N$11),"x","")</f>
        <v/>
      </c>
      <c r="R2758" s="525" t="str">
        <f>IF(ISERROR(FIND('112'!$M$9,G2758,1)),"",IF((AND(FIND('112'!$M$9,G2758,1)&gt;=1,$B2758&gt;='112'!$N$8,$B2758&lt;='112'!$O$8,OR($L2758='112'!$I$6,$M2758='112'!$I$6))),"x",""))</f>
        <v/>
      </c>
      <c r="S2758" s="525" t="str">
        <f>IF(ISERROR(FIND('112'!$M$9,G2758,1)),"",IF((AND(LEFT(G2758,2)=LEFT('112'!$M$9,2),B2758&lt;'112'!$N$8,$L2758='112'!$I$6)),"x",""))</f>
        <v/>
      </c>
      <c r="T2758" s="525" t="str">
        <f>IF(ISERROR(FIND('112'!$M$9,G2758,1)),"",IF((AND(RIGHT(G2758,2)=RIGHT('112'!$M$9,2),B2758&lt;'112'!$N$8,$M2758='112'!$I$6)),"x",""))</f>
        <v/>
      </c>
      <c r="U2758" s="525" t="str">
        <f>IF(AND(B2758&gt;='IN-NX'!$P$3,B2758&lt;='IN-NX'!$Q$3,'IN-NX'!$D$7=D2758,OR(LEFT(L2758,2)="15",AND(LEFT(M2758,2)&lt;&gt;"15",LEFT(M2758,2)&lt;&gt;"33"))),"x","")</f>
        <v/>
      </c>
      <c r="V2758" s="525" t="str">
        <f>IF(AND(OR(LEFT(TH!L2758,2)="15",LEFT(TH!M2758,2)="15"),'152-CT'!$J$8=TH!F2758),"x","")</f>
        <v/>
      </c>
      <c r="W2758" s="525" t="str">
        <f>IF(AND(OR(LEFT(TH!L2758,2)="15",LEFT(TH!M2758,2)="15"),TK!$E$7=TH!F2758),"x","")</f>
        <v/>
      </c>
      <c r="X2758" s="525" t="str">
        <f>IF(AND('341-CT'!$E$9=H2758,OR(LEFT(L2758,3)=$X$7,LEFT(M2758,3)=$X$7)),"x","")</f>
        <v/>
      </c>
      <c r="Y2758" s="525" t="str">
        <f>IF(OR(TH!L2758=TH!$Y$7,M2758=TH!$Y$7),"x","")</f>
        <v/>
      </c>
      <c r="Z2758" s="525" t="str">
        <f>IF(AND(B2758&lt;=NKC!$N$8,B2758&gt;=NKC!$M$8),"x","")</f>
        <v/>
      </c>
      <c r="AA2758" s="535"/>
      <c r="AB2758" s="536"/>
    </row>
    <row r="2759" spans="1:28" s="503" customFormat="1" ht="15.75" customHeight="1">
      <c r="A2759" s="517" t="str">
        <f>IF(B2759&lt;&gt;"",IF(AND(B2759&gt;=_TM1,B2759&lt;=_TM2,OR(TH!L2759="1111",TH!M2759="1111")),TH!D2759,""),"")</f>
        <v/>
      </c>
      <c r="B2759" s="531">
        <f t="shared" ref="B2759:B2813" si="239">IF(C2759&lt;&gt;"",MONTH(C2759),"")</f>
        <v>6</v>
      </c>
      <c r="C2759" s="315">
        <f t="shared" ref="C2759:C2813" si="240">E2759</f>
        <v>42914</v>
      </c>
      <c r="D2759" s="315" t="s">
        <v>944</v>
      </c>
      <c r="E2759" s="315">
        <v>42914</v>
      </c>
      <c r="F2759" s="250" t="s">
        <v>1231</v>
      </c>
      <c r="G2759" s="314" t="s">
        <v>1251</v>
      </c>
      <c r="H2759" s="473" t="s">
        <v>284</v>
      </c>
      <c r="I2759" s="307">
        <v>10</v>
      </c>
      <c r="J2759" s="307">
        <v>49145</v>
      </c>
      <c r="K2759" s="532">
        <f t="shared" si="238"/>
        <v>491450</v>
      </c>
      <c r="L2759" s="534" t="s">
        <v>223</v>
      </c>
      <c r="M2759" s="534" t="s">
        <v>162</v>
      </c>
      <c r="N2759" s="525" t="str">
        <f>IF(AND('331-CT'!$E$7=TH!H2759,OR(L2759="331",M2759="331")),"331",IF(AND(OR(L2759="131",M2759="131"),H2759='131-CT'!$E$7),"131",""))</f>
        <v/>
      </c>
      <c r="O2759" s="525" t="str">
        <f>IF(AND($B2759&gt;='111'!$N$11,$B2759&lt;='111'!$O$11,OR($L2759=$O$7,$M2759=$O$7)),"x","")</f>
        <v/>
      </c>
      <c r="P2759" s="525" t="str">
        <f>IF(AND($L2759=$O$7,$B2759&lt;'111'!$N$11),"x","")</f>
        <v/>
      </c>
      <c r="Q2759" s="525" t="str">
        <f>IF(AND($M2759=$O$7,$B2759&lt;'111'!$N$11),"x","")</f>
        <v/>
      </c>
      <c r="R2759" s="525" t="str">
        <f>IF(ISERROR(FIND('112'!$M$9,G2759,1)),"",IF((AND(FIND('112'!$M$9,G2759,1)&gt;=1,$B2759&gt;='112'!$N$8,$B2759&lt;='112'!$O$8,OR($L2759='112'!$I$6,$M2759='112'!$I$6))),"x",""))</f>
        <v/>
      </c>
      <c r="S2759" s="525" t="str">
        <f>IF(ISERROR(FIND('112'!$M$9,G2759,1)),"",IF((AND(LEFT(G2759,2)=LEFT('112'!$M$9,2),B2759&lt;'112'!$N$8,$L2759='112'!$I$6)),"x",""))</f>
        <v/>
      </c>
      <c r="T2759" s="525" t="str">
        <f>IF(ISERROR(FIND('112'!$M$9,G2759,1)),"",IF((AND(RIGHT(G2759,2)=RIGHT('112'!$M$9,2),B2759&lt;'112'!$N$8,$M2759='112'!$I$6)),"x",""))</f>
        <v/>
      </c>
      <c r="U2759" s="525" t="str">
        <f>IF(AND(B2759&gt;='IN-NX'!$P$3,B2759&lt;='IN-NX'!$Q$3,'IN-NX'!$D$7=D2759,OR(LEFT(L2759,2)="15",AND(LEFT(M2759,2)&lt;&gt;"15",LEFT(M2759,2)&lt;&gt;"33"))),"x","")</f>
        <v/>
      </c>
      <c r="V2759" s="525" t="str">
        <f>IF(AND(OR(LEFT(TH!L2759,2)="15",LEFT(TH!M2759,2)="15"),'152-CT'!$J$8=TH!F2759),"x","")</f>
        <v/>
      </c>
      <c r="W2759" s="525" t="str">
        <f>IF(AND(OR(LEFT(TH!L2759,2)="15",LEFT(TH!M2759,2)="15"),TK!$E$7=TH!F2759),"x","")</f>
        <v/>
      </c>
      <c r="X2759" s="525" t="str">
        <f>IF(AND('341-CT'!$E$9=H2759,OR(LEFT(L2759,3)=$X$7,LEFT(M2759,3)=$X$7)),"x","")</f>
        <v/>
      </c>
      <c r="Y2759" s="525" t="str">
        <f>IF(OR(TH!L2759=TH!$Y$7,M2759=TH!$Y$7),"x","")</f>
        <v/>
      </c>
      <c r="Z2759" s="525" t="str">
        <f>IF(AND(B2759&lt;=NKC!$N$8,B2759&gt;=NKC!$M$8),"x","")</f>
        <v/>
      </c>
      <c r="AA2759" s="535"/>
      <c r="AB2759" s="536"/>
    </row>
    <row r="2760" spans="1:28" s="503" customFormat="1" ht="15.75" customHeight="1">
      <c r="A2760" s="517" t="str">
        <f>IF(B2760&lt;&gt;"",IF(AND(B2760&gt;=_TM1,B2760&lt;=_TM2,OR(TH!L2760="1111",TH!M2760="1111")),TH!D2760,""),"")</f>
        <v/>
      </c>
      <c r="B2760" s="531">
        <f t="shared" si="239"/>
        <v>6</v>
      </c>
      <c r="C2760" s="315">
        <f t="shared" si="240"/>
        <v>42914</v>
      </c>
      <c r="D2760" s="315" t="s">
        <v>944</v>
      </c>
      <c r="E2760" s="315">
        <v>42914</v>
      </c>
      <c r="F2760" s="250" t="s">
        <v>698</v>
      </c>
      <c r="G2760" s="314" t="s">
        <v>1251</v>
      </c>
      <c r="H2760" s="473" t="s">
        <v>284</v>
      </c>
      <c r="I2760" s="307">
        <v>4</v>
      </c>
      <c r="J2760" s="307">
        <v>147747</v>
      </c>
      <c r="K2760" s="532">
        <f t="shared" si="238"/>
        <v>590988</v>
      </c>
      <c r="L2760" s="534" t="s">
        <v>223</v>
      </c>
      <c r="M2760" s="534" t="s">
        <v>162</v>
      </c>
      <c r="N2760" s="525" t="str">
        <f>IF(AND('331-CT'!$E$7=TH!H2760,OR(L2760="331",M2760="331")),"331",IF(AND(OR(L2760="131",M2760="131"),H2760='131-CT'!$E$7),"131",""))</f>
        <v/>
      </c>
      <c r="O2760" s="525" t="str">
        <f>IF(AND($B2760&gt;='111'!$N$11,$B2760&lt;='111'!$O$11,OR($L2760=$O$7,$M2760=$O$7)),"x","")</f>
        <v/>
      </c>
      <c r="P2760" s="525" t="str">
        <f>IF(AND($L2760=$O$7,$B2760&lt;'111'!$N$11),"x","")</f>
        <v/>
      </c>
      <c r="Q2760" s="525" t="str">
        <f>IF(AND($M2760=$O$7,$B2760&lt;'111'!$N$11),"x","")</f>
        <v/>
      </c>
      <c r="R2760" s="525" t="str">
        <f>IF(ISERROR(FIND('112'!$M$9,G2760,1)),"",IF((AND(FIND('112'!$M$9,G2760,1)&gt;=1,$B2760&gt;='112'!$N$8,$B2760&lt;='112'!$O$8,OR($L2760='112'!$I$6,$M2760='112'!$I$6))),"x",""))</f>
        <v/>
      </c>
      <c r="S2760" s="525" t="str">
        <f>IF(ISERROR(FIND('112'!$M$9,G2760,1)),"",IF((AND(LEFT(G2760,2)=LEFT('112'!$M$9,2),B2760&lt;'112'!$N$8,$L2760='112'!$I$6)),"x",""))</f>
        <v/>
      </c>
      <c r="T2760" s="525" t="str">
        <f>IF(ISERROR(FIND('112'!$M$9,G2760,1)),"",IF((AND(RIGHT(G2760,2)=RIGHT('112'!$M$9,2),B2760&lt;'112'!$N$8,$M2760='112'!$I$6)),"x",""))</f>
        <v/>
      </c>
      <c r="U2760" s="525" t="str">
        <f>IF(AND(B2760&gt;='IN-NX'!$P$3,B2760&lt;='IN-NX'!$Q$3,'IN-NX'!$D$7=D2760,OR(LEFT(L2760,2)="15",AND(LEFT(M2760,2)&lt;&gt;"15",LEFT(M2760,2)&lt;&gt;"33"))),"x","")</f>
        <v/>
      </c>
      <c r="V2760" s="525" t="str">
        <f>IF(AND(OR(LEFT(TH!L2760,2)="15",LEFT(TH!M2760,2)="15"),'152-CT'!$J$8=TH!F2760),"x","")</f>
        <v/>
      </c>
      <c r="W2760" s="525" t="str">
        <f>IF(AND(OR(LEFT(TH!L2760,2)="15",LEFT(TH!M2760,2)="15"),TK!$E$7=TH!F2760),"x","")</f>
        <v/>
      </c>
      <c r="X2760" s="525" t="str">
        <f>IF(AND('341-CT'!$E$9=H2760,OR(LEFT(L2760,3)=$X$7,LEFT(M2760,3)=$X$7)),"x","")</f>
        <v/>
      </c>
      <c r="Y2760" s="525" t="str">
        <f>IF(OR(TH!L2760=TH!$Y$7,M2760=TH!$Y$7),"x","")</f>
        <v/>
      </c>
      <c r="Z2760" s="525" t="str">
        <f>IF(AND(B2760&lt;=NKC!$N$8,B2760&gt;=NKC!$M$8),"x","")</f>
        <v/>
      </c>
      <c r="AA2760" s="535"/>
      <c r="AB2760" s="536"/>
    </row>
    <row r="2761" spans="1:28" s="503" customFormat="1" ht="15.75" customHeight="1">
      <c r="A2761" s="517" t="str">
        <f>IF(B2761&lt;&gt;"",IF(AND(B2761&gt;=_TM1,B2761&lt;=_TM2,OR(TH!L2761="1111",TH!M2761="1111")),TH!D2761,""),"")</f>
        <v/>
      </c>
      <c r="B2761" s="531">
        <f t="shared" si="239"/>
        <v>6</v>
      </c>
      <c r="C2761" s="315">
        <f t="shared" si="240"/>
        <v>42914</v>
      </c>
      <c r="D2761" s="315" t="s">
        <v>944</v>
      </c>
      <c r="E2761" s="315">
        <v>42914</v>
      </c>
      <c r="F2761" s="250" t="s">
        <v>647</v>
      </c>
      <c r="G2761" s="314" t="s">
        <v>1251</v>
      </c>
      <c r="H2761" s="473" t="s">
        <v>284</v>
      </c>
      <c r="I2761" s="307">
        <v>8</v>
      </c>
      <c r="J2761" s="307">
        <v>115738</v>
      </c>
      <c r="K2761" s="532">
        <f t="shared" ref="K2761:K2792" si="241">ROUND(I2761*J2761,0)</f>
        <v>925904</v>
      </c>
      <c r="L2761" s="534" t="s">
        <v>223</v>
      </c>
      <c r="M2761" s="534" t="s">
        <v>162</v>
      </c>
      <c r="N2761" s="525" t="str">
        <f>IF(AND('331-CT'!$E$7=TH!H2761,OR(L2761="331",M2761="331")),"331",IF(AND(OR(L2761="131",M2761="131"),H2761='131-CT'!$E$7),"131",""))</f>
        <v/>
      </c>
      <c r="O2761" s="525" t="str">
        <f>IF(AND($B2761&gt;='111'!$N$11,$B2761&lt;='111'!$O$11,OR($L2761=$O$7,$M2761=$O$7)),"x","")</f>
        <v/>
      </c>
      <c r="P2761" s="525" t="str">
        <f>IF(AND($L2761=$O$7,$B2761&lt;'111'!$N$11),"x","")</f>
        <v/>
      </c>
      <c r="Q2761" s="525" t="str">
        <f>IF(AND($M2761=$O$7,$B2761&lt;'111'!$N$11),"x","")</f>
        <v/>
      </c>
      <c r="R2761" s="525" t="str">
        <f>IF(ISERROR(FIND('112'!$M$9,G2761,1)),"",IF((AND(FIND('112'!$M$9,G2761,1)&gt;=1,$B2761&gt;='112'!$N$8,$B2761&lt;='112'!$O$8,OR($L2761='112'!$I$6,$M2761='112'!$I$6))),"x",""))</f>
        <v/>
      </c>
      <c r="S2761" s="525" t="str">
        <f>IF(ISERROR(FIND('112'!$M$9,G2761,1)),"",IF((AND(LEFT(G2761,2)=LEFT('112'!$M$9,2),B2761&lt;'112'!$N$8,$L2761='112'!$I$6)),"x",""))</f>
        <v/>
      </c>
      <c r="T2761" s="525" t="str">
        <f>IF(ISERROR(FIND('112'!$M$9,G2761,1)),"",IF((AND(RIGHT(G2761,2)=RIGHT('112'!$M$9,2),B2761&lt;'112'!$N$8,$M2761='112'!$I$6)),"x",""))</f>
        <v/>
      </c>
      <c r="U2761" s="525" t="str">
        <f>IF(AND(B2761&gt;='IN-NX'!$P$3,B2761&lt;='IN-NX'!$Q$3,'IN-NX'!$D$7=D2761,OR(LEFT(L2761,2)="15",AND(LEFT(M2761,2)&lt;&gt;"15",LEFT(M2761,2)&lt;&gt;"33"))),"x","")</f>
        <v/>
      </c>
      <c r="V2761" s="525" t="str">
        <f>IF(AND(OR(LEFT(TH!L2761,2)="15",LEFT(TH!M2761,2)="15"),'152-CT'!$J$8=TH!F2761),"x","")</f>
        <v/>
      </c>
      <c r="W2761" s="525" t="str">
        <f>IF(AND(OR(LEFT(TH!L2761,2)="15",LEFT(TH!M2761,2)="15"),TK!$E$7=TH!F2761),"x","")</f>
        <v/>
      </c>
      <c r="X2761" s="525" t="str">
        <f>IF(AND('341-CT'!$E$9=H2761,OR(LEFT(L2761,3)=$X$7,LEFT(M2761,3)=$X$7)),"x","")</f>
        <v/>
      </c>
      <c r="Y2761" s="525" t="str">
        <f>IF(OR(TH!L2761=TH!$Y$7,M2761=TH!$Y$7),"x","")</f>
        <v/>
      </c>
      <c r="Z2761" s="525" t="str">
        <f>IF(AND(B2761&lt;=NKC!$N$8,B2761&gt;=NKC!$M$8),"x","")</f>
        <v/>
      </c>
      <c r="AA2761" s="535"/>
      <c r="AB2761" s="536"/>
    </row>
    <row r="2762" spans="1:28" s="503" customFormat="1" ht="15.75" customHeight="1">
      <c r="A2762" s="517" t="str">
        <f>IF(B2762&lt;&gt;"",IF(AND(B2762&gt;=_TM1,B2762&lt;=_TM2,OR(TH!L2762="1111",TH!M2762="1111")),TH!D2762,""),"")</f>
        <v/>
      </c>
      <c r="B2762" s="531">
        <f t="shared" si="239"/>
        <v>6</v>
      </c>
      <c r="C2762" s="315">
        <f t="shared" si="240"/>
        <v>42914</v>
      </c>
      <c r="D2762" s="315" t="s">
        <v>944</v>
      </c>
      <c r="E2762" s="315">
        <v>42914</v>
      </c>
      <c r="F2762" s="250" t="s">
        <v>1232</v>
      </c>
      <c r="G2762" s="314" t="s">
        <v>1251</v>
      </c>
      <c r="H2762" s="473" t="s">
        <v>284</v>
      </c>
      <c r="I2762" s="307">
        <v>32</v>
      </c>
      <c r="J2762" s="307">
        <v>64752</v>
      </c>
      <c r="K2762" s="532">
        <f t="shared" si="241"/>
        <v>2072064</v>
      </c>
      <c r="L2762" s="534" t="s">
        <v>223</v>
      </c>
      <c r="M2762" s="534" t="s">
        <v>162</v>
      </c>
      <c r="N2762" s="525" t="str">
        <f>IF(AND('331-CT'!$E$7=TH!H2762,OR(L2762="331",M2762="331")),"331",IF(AND(OR(L2762="131",M2762="131"),H2762='131-CT'!$E$7),"131",""))</f>
        <v/>
      </c>
      <c r="O2762" s="525" t="str">
        <f>IF(AND($B2762&gt;='111'!$N$11,$B2762&lt;='111'!$O$11,OR($L2762=$O$7,$M2762=$O$7)),"x","")</f>
        <v/>
      </c>
      <c r="P2762" s="525" t="str">
        <f>IF(AND($L2762=$O$7,$B2762&lt;'111'!$N$11),"x","")</f>
        <v/>
      </c>
      <c r="Q2762" s="525" t="str">
        <f>IF(AND($M2762=$O$7,$B2762&lt;'111'!$N$11),"x","")</f>
        <v/>
      </c>
      <c r="R2762" s="525" t="str">
        <f>IF(ISERROR(FIND('112'!$M$9,G2762,1)),"",IF((AND(FIND('112'!$M$9,G2762,1)&gt;=1,$B2762&gt;='112'!$N$8,$B2762&lt;='112'!$O$8,OR($L2762='112'!$I$6,$M2762='112'!$I$6))),"x",""))</f>
        <v/>
      </c>
      <c r="S2762" s="525" t="str">
        <f>IF(ISERROR(FIND('112'!$M$9,G2762,1)),"",IF((AND(LEFT(G2762,2)=LEFT('112'!$M$9,2),B2762&lt;'112'!$N$8,$L2762='112'!$I$6)),"x",""))</f>
        <v/>
      </c>
      <c r="T2762" s="525" t="str">
        <f>IF(ISERROR(FIND('112'!$M$9,G2762,1)),"",IF((AND(RIGHT(G2762,2)=RIGHT('112'!$M$9,2),B2762&lt;'112'!$N$8,$M2762='112'!$I$6)),"x",""))</f>
        <v/>
      </c>
      <c r="U2762" s="525" t="str">
        <f>IF(AND(B2762&gt;='IN-NX'!$P$3,B2762&lt;='IN-NX'!$Q$3,'IN-NX'!$D$7=D2762,OR(LEFT(L2762,2)="15",AND(LEFT(M2762,2)&lt;&gt;"15",LEFT(M2762,2)&lt;&gt;"33"))),"x","")</f>
        <v/>
      </c>
      <c r="V2762" s="525" t="str">
        <f>IF(AND(OR(LEFT(TH!L2762,2)="15",LEFT(TH!M2762,2)="15"),'152-CT'!$J$8=TH!F2762),"x","")</f>
        <v/>
      </c>
      <c r="W2762" s="525" t="str">
        <f>IF(AND(OR(LEFT(TH!L2762,2)="15",LEFT(TH!M2762,2)="15"),TK!$E$7=TH!F2762),"x","")</f>
        <v/>
      </c>
      <c r="X2762" s="525" t="str">
        <f>IF(AND('341-CT'!$E$9=H2762,OR(LEFT(L2762,3)=$X$7,LEFT(M2762,3)=$X$7)),"x","")</f>
        <v/>
      </c>
      <c r="Y2762" s="525" t="str">
        <f>IF(OR(TH!L2762=TH!$Y$7,M2762=TH!$Y$7),"x","")</f>
        <v/>
      </c>
      <c r="Z2762" s="525" t="str">
        <f>IF(AND(B2762&lt;=NKC!$N$8,B2762&gt;=NKC!$M$8),"x","")</f>
        <v/>
      </c>
      <c r="AA2762" s="535"/>
      <c r="AB2762" s="536"/>
    </row>
    <row r="2763" spans="1:28" s="503" customFormat="1" ht="15.75" customHeight="1">
      <c r="A2763" s="517" t="str">
        <f>IF(B2763&lt;&gt;"",IF(AND(B2763&gt;=_TM1,B2763&lt;=_TM2,OR(TH!L2763="1111",TH!M2763="1111")),TH!D2763,""),"")</f>
        <v/>
      </c>
      <c r="B2763" s="531">
        <f t="shared" si="239"/>
        <v>6</v>
      </c>
      <c r="C2763" s="315">
        <f t="shared" si="240"/>
        <v>42914</v>
      </c>
      <c r="D2763" s="315" t="s">
        <v>944</v>
      </c>
      <c r="E2763" s="315">
        <v>42914</v>
      </c>
      <c r="F2763" s="250" t="s">
        <v>1042</v>
      </c>
      <c r="G2763" s="314" t="s">
        <v>1251</v>
      </c>
      <c r="H2763" s="473" t="s">
        <v>284</v>
      </c>
      <c r="I2763" s="307">
        <v>48</v>
      </c>
      <c r="J2763" s="307">
        <v>19297</v>
      </c>
      <c r="K2763" s="532">
        <f t="shared" si="241"/>
        <v>926256</v>
      </c>
      <c r="L2763" s="534" t="s">
        <v>223</v>
      </c>
      <c r="M2763" s="534" t="s">
        <v>162</v>
      </c>
      <c r="N2763" s="525" t="str">
        <f>IF(AND('331-CT'!$E$7=TH!H2763,OR(L2763="331",M2763="331")),"331",IF(AND(OR(L2763="131",M2763="131"),H2763='131-CT'!$E$7),"131",""))</f>
        <v/>
      </c>
      <c r="O2763" s="525" t="str">
        <f>IF(AND($B2763&gt;='111'!$N$11,$B2763&lt;='111'!$O$11,OR($L2763=$O$7,$M2763=$O$7)),"x","")</f>
        <v/>
      </c>
      <c r="P2763" s="525" t="str">
        <f>IF(AND($L2763=$O$7,$B2763&lt;'111'!$N$11),"x","")</f>
        <v/>
      </c>
      <c r="Q2763" s="525" t="str">
        <f>IF(AND($M2763=$O$7,$B2763&lt;'111'!$N$11),"x","")</f>
        <v/>
      </c>
      <c r="R2763" s="525" t="str">
        <f>IF(ISERROR(FIND('112'!$M$9,G2763,1)),"",IF((AND(FIND('112'!$M$9,G2763,1)&gt;=1,$B2763&gt;='112'!$N$8,$B2763&lt;='112'!$O$8,OR($L2763='112'!$I$6,$M2763='112'!$I$6))),"x",""))</f>
        <v/>
      </c>
      <c r="S2763" s="525" t="str">
        <f>IF(ISERROR(FIND('112'!$M$9,G2763,1)),"",IF((AND(LEFT(G2763,2)=LEFT('112'!$M$9,2),B2763&lt;'112'!$N$8,$L2763='112'!$I$6)),"x",""))</f>
        <v/>
      </c>
      <c r="T2763" s="525" t="str">
        <f>IF(ISERROR(FIND('112'!$M$9,G2763,1)),"",IF((AND(RIGHT(G2763,2)=RIGHT('112'!$M$9,2),B2763&lt;'112'!$N$8,$M2763='112'!$I$6)),"x",""))</f>
        <v/>
      </c>
      <c r="U2763" s="525" t="str">
        <f>IF(AND(B2763&gt;='IN-NX'!$P$3,B2763&lt;='IN-NX'!$Q$3,'IN-NX'!$D$7=D2763,OR(LEFT(L2763,2)="15",AND(LEFT(M2763,2)&lt;&gt;"15",LEFT(M2763,2)&lt;&gt;"33"))),"x","")</f>
        <v/>
      </c>
      <c r="V2763" s="525" t="str">
        <f>IF(AND(OR(LEFT(TH!L2763,2)="15",LEFT(TH!M2763,2)="15"),'152-CT'!$J$8=TH!F2763),"x","")</f>
        <v/>
      </c>
      <c r="W2763" s="525" t="str">
        <f>IF(AND(OR(LEFT(TH!L2763,2)="15",LEFT(TH!M2763,2)="15"),TK!$E$7=TH!F2763),"x","")</f>
        <v/>
      </c>
      <c r="X2763" s="525" t="str">
        <f>IF(AND('341-CT'!$E$9=H2763,OR(LEFT(L2763,3)=$X$7,LEFT(M2763,3)=$X$7)),"x","")</f>
        <v/>
      </c>
      <c r="Y2763" s="525" t="str">
        <f>IF(OR(TH!L2763=TH!$Y$7,M2763=TH!$Y$7),"x","")</f>
        <v/>
      </c>
      <c r="Z2763" s="525" t="str">
        <f>IF(AND(B2763&lt;=NKC!$N$8,B2763&gt;=NKC!$M$8),"x","")</f>
        <v/>
      </c>
      <c r="AA2763" s="535"/>
      <c r="AB2763" s="536"/>
    </row>
    <row r="2764" spans="1:28" s="503" customFormat="1" ht="15.75" customHeight="1">
      <c r="A2764" s="517" t="str">
        <f>IF(B2764&lt;&gt;"",IF(AND(B2764&gt;=_TM1,B2764&lt;=_TM2,OR(TH!L2764="1111",TH!M2764="1111")),TH!D2764,""),"")</f>
        <v/>
      </c>
      <c r="B2764" s="531">
        <f t="shared" si="239"/>
        <v>6</v>
      </c>
      <c r="C2764" s="315">
        <f t="shared" si="240"/>
        <v>42914</v>
      </c>
      <c r="D2764" s="315" t="s">
        <v>944</v>
      </c>
      <c r="E2764" s="315">
        <v>42914</v>
      </c>
      <c r="F2764" s="250" t="s">
        <v>649</v>
      </c>
      <c r="G2764" s="314" t="s">
        <v>1251</v>
      </c>
      <c r="H2764" s="473" t="s">
        <v>284</v>
      </c>
      <c r="I2764" s="307">
        <v>8</v>
      </c>
      <c r="J2764" s="307">
        <v>71388</v>
      </c>
      <c r="K2764" s="532">
        <f t="shared" si="241"/>
        <v>571104</v>
      </c>
      <c r="L2764" s="534" t="s">
        <v>223</v>
      </c>
      <c r="M2764" s="534" t="s">
        <v>162</v>
      </c>
      <c r="N2764" s="525" t="str">
        <f>IF(AND('331-CT'!$E$7=TH!H2764,OR(L2764="331",M2764="331")),"331",IF(AND(OR(L2764="131",M2764="131"),H2764='131-CT'!$E$7),"131",""))</f>
        <v/>
      </c>
      <c r="O2764" s="525" t="str">
        <f>IF(AND($B2764&gt;='111'!$N$11,$B2764&lt;='111'!$O$11,OR($L2764=$O$7,$M2764=$O$7)),"x","")</f>
        <v/>
      </c>
      <c r="P2764" s="525" t="str">
        <f>IF(AND($L2764=$O$7,$B2764&lt;'111'!$N$11),"x","")</f>
        <v/>
      </c>
      <c r="Q2764" s="525" t="str">
        <f>IF(AND($M2764=$O$7,$B2764&lt;'111'!$N$11),"x","")</f>
        <v/>
      </c>
      <c r="R2764" s="525" t="str">
        <f>IF(ISERROR(FIND('112'!$M$9,G2764,1)),"",IF((AND(FIND('112'!$M$9,G2764,1)&gt;=1,$B2764&gt;='112'!$N$8,$B2764&lt;='112'!$O$8,OR($L2764='112'!$I$6,$M2764='112'!$I$6))),"x",""))</f>
        <v/>
      </c>
      <c r="S2764" s="525" t="str">
        <f>IF(ISERROR(FIND('112'!$M$9,G2764,1)),"",IF((AND(LEFT(G2764,2)=LEFT('112'!$M$9,2),B2764&lt;'112'!$N$8,$L2764='112'!$I$6)),"x",""))</f>
        <v/>
      </c>
      <c r="T2764" s="525" t="str">
        <f>IF(ISERROR(FIND('112'!$M$9,G2764,1)),"",IF((AND(RIGHT(G2764,2)=RIGHT('112'!$M$9,2),B2764&lt;'112'!$N$8,$M2764='112'!$I$6)),"x",""))</f>
        <v/>
      </c>
      <c r="U2764" s="525" t="str">
        <f>IF(AND(B2764&gt;='IN-NX'!$P$3,B2764&lt;='IN-NX'!$Q$3,'IN-NX'!$D$7=D2764,OR(LEFT(L2764,2)="15",AND(LEFT(M2764,2)&lt;&gt;"15",LEFT(M2764,2)&lt;&gt;"33"))),"x","")</f>
        <v/>
      </c>
      <c r="V2764" s="525" t="str">
        <f>IF(AND(OR(LEFT(TH!L2764,2)="15",LEFT(TH!M2764,2)="15"),'152-CT'!$J$8=TH!F2764),"x","")</f>
        <v/>
      </c>
      <c r="W2764" s="525" t="str">
        <f>IF(AND(OR(LEFT(TH!L2764,2)="15",LEFT(TH!M2764,2)="15"),TK!$E$7=TH!F2764),"x","")</f>
        <v/>
      </c>
      <c r="X2764" s="525" t="str">
        <f>IF(AND('341-CT'!$E$9=H2764,OR(LEFT(L2764,3)=$X$7,LEFT(M2764,3)=$X$7)),"x","")</f>
        <v/>
      </c>
      <c r="Y2764" s="525" t="str">
        <f>IF(OR(TH!L2764=TH!$Y$7,M2764=TH!$Y$7),"x","")</f>
        <v/>
      </c>
      <c r="Z2764" s="525" t="str">
        <f>IF(AND(B2764&lt;=NKC!$N$8,B2764&gt;=NKC!$M$8),"x","")</f>
        <v/>
      </c>
      <c r="AA2764" s="535"/>
      <c r="AB2764" s="536"/>
    </row>
    <row r="2765" spans="1:28" s="503" customFormat="1" ht="15.75" customHeight="1">
      <c r="A2765" s="517" t="str">
        <f>IF(B2765&lt;&gt;"",IF(AND(B2765&gt;=_TM1,B2765&lt;=_TM2,OR(TH!L2765="1111",TH!M2765="1111")),TH!D2765,""),"")</f>
        <v/>
      </c>
      <c r="B2765" s="531">
        <f t="shared" si="239"/>
        <v>6</v>
      </c>
      <c r="C2765" s="315">
        <f t="shared" si="240"/>
        <v>42914</v>
      </c>
      <c r="D2765" s="315" t="s">
        <v>945</v>
      </c>
      <c r="E2765" s="315">
        <v>42914</v>
      </c>
      <c r="F2765" s="250" t="s">
        <v>651</v>
      </c>
      <c r="G2765" s="314" t="s">
        <v>1251</v>
      </c>
      <c r="H2765" s="473" t="s">
        <v>284</v>
      </c>
      <c r="I2765" s="307">
        <v>50</v>
      </c>
      <c r="J2765" s="307">
        <v>109949</v>
      </c>
      <c r="K2765" s="532">
        <f t="shared" si="241"/>
        <v>5497450</v>
      </c>
      <c r="L2765" s="534" t="s">
        <v>223</v>
      </c>
      <c r="M2765" s="534" t="s">
        <v>162</v>
      </c>
      <c r="N2765" s="525" t="str">
        <f>IF(AND('331-CT'!$E$7=TH!H2765,OR(L2765="331",M2765="331")),"331",IF(AND(OR(L2765="131",M2765="131"),H2765='131-CT'!$E$7),"131",""))</f>
        <v/>
      </c>
      <c r="O2765" s="525" t="str">
        <f>IF(AND($B2765&gt;='111'!$N$11,$B2765&lt;='111'!$O$11,OR($L2765=$O$7,$M2765=$O$7)),"x","")</f>
        <v/>
      </c>
      <c r="P2765" s="525" t="str">
        <f>IF(AND($L2765=$O$7,$B2765&lt;'111'!$N$11),"x","")</f>
        <v/>
      </c>
      <c r="Q2765" s="525" t="str">
        <f>IF(AND($M2765=$O$7,$B2765&lt;'111'!$N$11),"x","")</f>
        <v/>
      </c>
      <c r="R2765" s="525" t="str">
        <f>IF(ISERROR(FIND('112'!$M$9,G2765,1)),"",IF((AND(FIND('112'!$M$9,G2765,1)&gt;=1,$B2765&gt;='112'!$N$8,$B2765&lt;='112'!$O$8,OR($L2765='112'!$I$6,$M2765='112'!$I$6))),"x",""))</f>
        <v/>
      </c>
      <c r="S2765" s="525" t="str">
        <f>IF(ISERROR(FIND('112'!$M$9,G2765,1)),"",IF((AND(LEFT(G2765,2)=LEFT('112'!$M$9,2),B2765&lt;'112'!$N$8,$L2765='112'!$I$6)),"x",""))</f>
        <v/>
      </c>
      <c r="T2765" s="525" t="str">
        <f>IF(ISERROR(FIND('112'!$M$9,G2765,1)),"",IF((AND(RIGHT(G2765,2)=RIGHT('112'!$M$9,2),B2765&lt;'112'!$N$8,$M2765='112'!$I$6)),"x",""))</f>
        <v/>
      </c>
      <c r="U2765" s="525" t="str">
        <f>IF(AND(B2765&gt;='IN-NX'!$P$3,B2765&lt;='IN-NX'!$Q$3,'IN-NX'!$D$7=D2765,OR(LEFT(L2765,2)="15",AND(LEFT(M2765,2)&lt;&gt;"15",LEFT(M2765,2)&lt;&gt;"33"))),"x","")</f>
        <v/>
      </c>
      <c r="V2765" s="525" t="str">
        <f>IF(AND(OR(LEFT(TH!L2765,2)="15",LEFT(TH!M2765,2)="15"),'152-CT'!$J$8=TH!F2765),"x","")</f>
        <v/>
      </c>
      <c r="W2765" s="525" t="str">
        <f>IF(AND(OR(LEFT(TH!L2765,2)="15",LEFT(TH!M2765,2)="15"),TK!$E$7=TH!F2765),"x","")</f>
        <v/>
      </c>
      <c r="X2765" s="525" t="str">
        <f>IF(AND('341-CT'!$E$9=H2765,OR(LEFT(L2765,3)=$X$7,LEFT(M2765,3)=$X$7)),"x","")</f>
        <v/>
      </c>
      <c r="Y2765" s="525" t="str">
        <f>IF(OR(TH!L2765=TH!$Y$7,M2765=TH!$Y$7),"x","")</f>
        <v/>
      </c>
      <c r="Z2765" s="525" t="str">
        <f>IF(AND(B2765&lt;=NKC!$N$8,B2765&gt;=NKC!$M$8),"x","")</f>
        <v/>
      </c>
      <c r="AA2765" s="535"/>
      <c r="AB2765" s="536"/>
    </row>
    <row r="2766" spans="1:28" s="503" customFormat="1" ht="15.75" customHeight="1">
      <c r="A2766" s="517" t="str">
        <f>IF(B2766&lt;&gt;"",IF(AND(B2766&gt;=_TM1,B2766&lt;=_TM2,OR(TH!L2766="1111",TH!M2766="1111")),TH!D2766,""),"")</f>
        <v/>
      </c>
      <c r="B2766" s="531">
        <f t="shared" si="239"/>
        <v>6</v>
      </c>
      <c r="C2766" s="315">
        <f t="shared" si="240"/>
        <v>42914</v>
      </c>
      <c r="D2766" s="315" t="s">
        <v>945</v>
      </c>
      <c r="E2766" s="315">
        <v>42914</v>
      </c>
      <c r="F2766" s="250" t="s">
        <v>655</v>
      </c>
      <c r="G2766" s="314" t="s">
        <v>1251</v>
      </c>
      <c r="H2766" s="473" t="s">
        <v>284</v>
      </c>
      <c r="I2766" s="307">
        <v>60</v>
      </c>
      <c r="J2766" s="307">
        <v>52933</v>
      </c>
      <c r="K2766" s="532">
        <f t="shared" si="241"/>
        <v>3175980</v>
      </c>
      <c r="L2766" s="534" t="s">
        <v>223</v>
      </c>
      <c r="M2766" s="534" t="s">
        <v>162</v>
      </c>
      <c r="N2766" s="525" t="str">
        <f>IF(AND('331-CT'!$E$7=TH!H2766,OR(L2766="331",M2766="331")),"331",IF(AND(OR(L2766="131",M2766="131"),H2766='131-CT'!$E$7),"131",""))</f>
        <v/>
      </c>
      <c r="O2766" s="525" t="str">
        <f>IF(AND($B2766&gt;='111'!$N$11,$B2766&lt;='111'!$O$11,OR($L2766=$O$7,$M2766=$O$7)),"x","")</f>
        <v/>
      </c>
      <c r="P2766" s="525" t="str">
        <f>IF(AND($L2766=$O$7,$B2766&lt;'111'!$N$11),"x","")</f>
        <v/>
      </c>
      <c r="Q2766" s="525" t="str">
        <f>IF(AND($M2766=$O$7,$B2766&lt;'111'!$N$11),"x","")</f>
        <v/>
      </c>
      <c r="R2766" s="525" t="str">
        <f>IF(ISERROR(FIND('112'!$M$9,G2766,1)),"",IF((AND(FIND('112'!$M$9,G2766,1)&gt;=1,$B2766&gt;='112'!$N$8,$B2766&lt;='112'!$O$8,OR($L2766='112'!$I$6,$M2766='112'!$I$6))),"x",""))</f>
        <v/>
      </c>
      <c r="S2766" s="525" t="str">
        <f>IF(ISERROR(FIND('112'!$M$9,G2766,1)),"",IF((AND(LEFT(G2766,2)=LEFT('112'!$M$9,2),B2766&lt;'112'!$N$8,$L2766='112'!$I$6)),"x",""))</f>
        <v/>
      </c>
      <c r="T2766" s="525" t="str">
        <f>IF(ISERROR(FIND('112'!$M$9,G2766,1)),"",IF((AND(RIGHT(G2766,2)=RIGHT('112'!$M$9,2),B2766&lt;'112'!$N$8,$M2766='112'!$I$6)),"x",""))</f>
        <v/>
      </c>
      <c r="U2766" s="525" t="str">
        <f>IF(AND(B2766&gt;='IN-NX'!$P$3,B2766&lt;='IN-NX'!$Q$3,'IN-NX'!$D$7=D2766,OR(LEFT(L2766,2)="15",AND(LEFT(M2766,2)&lt;&gt;"15",LEFT(M2766,2)&lt;&gt;"33"))),"x","")</f>
        <v/>
      </c>
      <c r="V2766" s="525" t="str">
        <f>IF(AND(OR(LEFT(TH!L2766,2)="15",LEFT(TH!M2766,2)="15"),'152-CT'!$J$8=TH!F2766),"x","")</f>
        <v/>
      </c>
      <c r="W2766" s="525" t="str">
        <f>IF(AND(OR(LEFT(TH!L2766,2)="15",LEFT(TH!M2766,2)="15"),TK!$E$7=TH!F2766),"x","")</f>
        <v/>
      </c>
      <c r="X2766" s="525" t="str">
        <f>IF(AND('341-CT'!$E$9=H2766,OR(LEFT(L2766,3)=$X$7,LEFT(M2766,3)=$X$7)),"x","")</f>
        <v/>
      </c>
      <c r="Y2766" s="525" t="str">
        <f>IF(OR(TH!L2766=TH!$Y$7,M2766=TH!$Y$7),"x","")</f>
        <v/>
      </c>
      <c r="Z2766" s="525" t="str">
        <f>IF(AND(B2766&lt;=NKC!$N$8,B2766&gt;=NKC!$M$8),"x","")</f>
        <v/>
      </c>
      <c r="AA2766" s="535"/>
      <c r="AB2766" s="536"/>
    </row>
    <row r="2767" spans="1:28" s="503" customFormat="1" ht="15.75" customHeight="1">
      <c r="A2767" s="517" t="str">
        <f>IF(B2767&lt;&gt;"",IF(AND(B2767&gt;=_TM1,B2767&lt;=_TM2,OR(TH!L2767="1111",TH!M2767="1111")),TH!D2767,""),"")</f>
        <v/>
      </c>
      <c r="B2767" s="531">
        <f t="shared" si="239"/>
        <v>6</v>
      </c>
      <c r="C2767" s="315">
        <f t="shared" si="240"/>
        <v>42914</v>
      </c>
      <c r="D2767" s="315" t="s">
        <v>945</v>
      </c>
      <c r="E2767" s="315">
        <v>42914</v>
      </c>
      <c r="F2767" s="250" t="s">
        <v>691</v>
      </c>
      <c r="G2767" s="314" t="s">
        <v>1251</v>
      </c>
      <c r="H2767" s="473" t="s">
        <v>284</v>
      </c>
      <c r="I2767" s="307">
        <v>8</v>
      </c>
      <c r="J2767" s="307">
        <v>57553</v>
      </c>
      <c r="K2767" s="532">
        <f t="shared" si="241"/>
        <v>460424</v>
      </c>
      <c r="L2767" s="534" t="s">
        <v>223</v>
      </c>
      <c r="M2767" s="534" t="s">
        <v>162</v>
      </c>
      <c r="N2767" s="525" t="str">
        <f>IF(AND('331-CT'!$E$7=TH!H2767,OR(L2767="331",M2767="331")),"331",IF(AND(OR(L2767="131",M2767="131"),H2767='131-CT'!$E$7),"131",""))</f>
        <v/>
      </c>
      <c r="O2767" s="525" t="str">
        <f>IF(AND($B2767&gt;='111'!$N$11,$B2767&lt;='111'!$O$11,OR($L2767=$O$7,$M2767=$O$7)),"x","")</f>
        <v/>
      </c>
      <c r="P2767" s="525" t="str">
        <f>IF(AND($L2767=$O$7,$B2767&lt;'111'!$N$11),"x","")</f>
        <v/>
      </c>
      <c r="Q2767" s="525" t="str">
        <f>IF(AND($M2767=$O$7,$B2767&lt;'111'!$N$11),"x","")</f>
        <v/>
      </c>
      <c r="R2767" s="525" t="str">
        <f>IF(ISERROR(FIND('112'!$M$9,G2767,1)),"",IF((AND(FIND('112'!$M$9,G2767,1)&gt;=1,$B2767&gt;='112'!$N$8,$B2767&lt;='112'!$O$8,OR($L2767='112'!$I$6,$M2767='112'!$I$6))),"x",""))</f>
        <v/>
      </c>
      <c r="S2767" s="525" t="str">
        <f>IF(ISERROR(FIND('112'!$M$9,G2767,1)),"",IF((AND(LEFT(G2767,2)=LEFT('112'!$M$9,2),B2767&lt;'112'!$N$8,$L2767='112'!$I$6)),"x",""))</f>
        <v/>
      </c>
      <c r="T2767" s="525" t="str">
        <f>IF(ISERROR(FIND('112'!$M$9,G2767,1)),"",IF((AND(RIGHT(G2767,2)=RIGHT('112'!$M$9,2),B2767&lt;'112'!$N$8,$M2767='112'!$I$6)),"x",""))</f>
        <v/>
      </c>
      <c r="U2767" s="525" t="str">
        <f>IF(AND(B2767&gt;='IN-NX'!$P$3,B2767&lt;='IN-NX'!$Q$3,'IN-NX'!$D$7=D2767,OR(LEFT(L2767,2)="15",AND(LEFT(M2767,2)&lt;&gt;"15",LEFT(M2767,2)&lt;&gt;"33"))),"x","")</f>
        <v/>
      </c>
      <c r="V2767" s="525" t="str">
        <f>IF(AND(OR(LEFT(TH!L2767,2)="15",LEFT(TH!M2767,2)="15"),'152-CT'!$J$8=TH!F2767),"x","")</f>
        <v/>
      </c>
      <c r="W2767" s="525" t="str">
        <f>IF(AND(OR(LEFT(TH!L2767,2)="15",LEFT(TH!M2767,2)="15"),TK!$E$7=TH!F2767),"x","")</f>
        <v/>
      </c>
      <c r="X2767" s="525" t="str">
        <f>IF(AND('341-CT'!$E$9=H2767,OR(LEFT(L2767,3)=$X$7,LEFT(M2767,3)=$X$7)),"x","")</f>
        <v/>
      </c>
      <c r="Y2767" s="525" t="str">
        <f>IF(OR(TH!L2767=TH!$Y$7,M2767=TH!$Y$7),"x","")</f>
        <v/>
      </c>
      <c r="Z2767" s="525" t="str">
        <f>IF(AND(B2767&lt;=NKC!$N$8,B2767&gt;=NKC!$M$8),"x","")</f>
        <v/>
      </c>
      <c r="AA2767" s="535"/>
      <c r="AB2767" s="536"/>
    </row>
    <row r="2768" spans="1:28" s="503" customFormat="1" ht="15.75" customHeight="1">
      <c r="A2768" s="517" t="str">
        <f>IF(B2768&lt;&gt;"",IF(AND(B2768&gt;=_TM1,B2768&lt;=_TM2,OR(TH!L2768="1111",TH!M2768="1111")),TH!D2768,""),"")</f>
        <v/>
      </c>
      <c r="B2768" s="531">
        <f t="shared" si="239"/>
        <v>6</v>
      </c>
      <c r="C2768" s="315">
        <f t="shared" si="240"/>
        <v>42914</v>
      </c>
      <c r="D2768" s="315" t="s">
        <v>945</v>
      </c>
      <c r="E2768" s="315">
        <v>42914</v>
      </c>
      <c r="F2768" s="250" t="s">
        <v>1233</v>
      </c>
      <c r="G2768" s="314" t="s">
        <v>1251</v>
      </c>
      <c r="H2768" s="473" t="s">
        <v>284</v>
      </c>
      <c r="I2768" s="307">
        <v>12</v>
      </c>
      <c r="J2768" s="307">
        <v>53073</v>
      </c>
      <c r="K2768" s="532">
        <f t="shared" si="241"/>
        <v>636876</v>
      </c>
      <c r="L2768" s="534" t="s">
        <v>223</v>
      </c>
      <c r="M2768" s="534" t="s">
        <v>162</v>
      </c>
      <c r="N2768" s="525" t="str">
        <f>IF(AND('331-CT'!$E$7=TH!H2768,OR(L2768="331",M2768="331")),"331",IF(AND(OR(L2768="131",M2768="131"),H2768='131-CT'!$E$7),"131",""))</f>
        <v/>
      </c>
      <c r="O2768" s="525" t="str">
        <f>IF(AND($B2768&gt;='111'!$N$11,$B2768&lt;='111'!$O$11,OR($L2768=$O$7,$M2768=$O$7)),"x","")</f>
        <v/>
      </c>
      <c r="P2768" s="525" t="str">
        <f>IF(AND($L2768=$O$7,$B2768&lt;'111'!$N$11),"x","")</f>
        <v/>
      </c>
      <c r="Q2768" s="525" t="str">
        <f>IF(AND($M2768=$O$7,$B2768&lt;'111'!$N$11),"x","")</f>
        <v/>
      </c>
      <c r="R2768" s="525" t="str">
        <f>IF(ISERROR(FIND('112'!$M$9,G2768,1)),"",IF((AND(FIND('112'!$M$9,G2768,1)&gt;=1,$B2768&gt;='112'!$N$8,$B2768&lt;='112'!$O$8,OR($L2768='112'!$I$6,$M2768='112'!$I$6))),"x",""))</f>
        <v/>
      </c>
      <c r="S2768" s="525" t="str">
        <f>IF(ISERROR(FIND('112'!$M$9,G2768,1)),"",IF((AND(LEFT(G2768,2)=LEFT('112'!$M$9,2),B2768&lt;'112'!$N$8,$L2768='112'!$I$6)),"x",""))</f>
        <v/>
      </c>
      <c r="T2768" s="525" t="str">
        <f>IF(ISERROR(FIND('112'!$M$9,G2768,1)),"",IF((AND(RIGHT(G2768,2)=RIGHT('112'!$M$9,2),B2768&lt;'112'!$N$8,$M2768='112'!$I$6)),"x",""))</f>
        <v/>
      </c>
      <c r="U2768" s="525" t="str">
        <f>IF(AND(B2768&gt;='IN-NX'!$P$3,B2768&lt;='IN-NX'!$Q$3,'IN-NX'!$D$7=D2768,OR(LEFT(L2768,2)="15",AND(LEFT(M2768,2)&lt;&gt;"15",LEFT(M2768,2)&lt;&gt;"33"))),"x","")</f>
        <v/>
      </c>
      <c r="V2768" s="525" t="str">
        <f>IF(AND(OR(LEFT(TH!L2768,2)="15",LEFT(TH!M2768,2)="15"),'152-CT'!$J$8=TH!F2768),"x","")</f>
        <v/>
      </c>
      <c r="W2768" s="525" t="str">
        <f>IF(AND(OR(LEFT(TH!L2768,2)="15",LEFT(TH!M2768,2)="15"),TK!$E$7=TH!F2768),"x","")</f>
        <v/>
      </c>
      <c r="X2768" s="525" t="str">
        <f>IF(AND('341-CT'!$E$9=H2768,OR(LEFT(L2768,3)=$X$7,LEFT(M2768,3)=$X$7)),"x","")</f>
        <v/>
      </c>
      <c r="Y2768" s="525" t="str">
        <f>IF(OR(TH!L2768=TH!$Y$7,M2768=TH!$Y$7),"x","")</f>
        <v/>
      </c>
      <c r="Z2768" s="525" t="str">
        <f>IF(AND(B2768&lt;=NKC!$N$8,B2768&gt;=NKC!$M$8),"x","")</f>
        <v/>
      </c>
      <c r="AA2768" s="535"/>
      <c r="AB2768" s="536"/>
    </row>
    <row r="2769" spans="1:28" s="503" customFormat="1" ht="15.75" customHeight="1">
      <c r="A2769" s="517" t="str">
        <f>IF(B2769&lt;&gt;"",IF(AND(B2769&gt;=_TM1,B2769&lt;=_TM2,OR(TH!L2769="1111",TH!M2769="1111")),TH!D2769,""),"")</f>
        <v/>
      </c>
      <c r="B2769" s="531">
        <f t="shared" si="239"/>
        <v>6</v>
      </c>
      <c r="C2769" s="315">
        <f t="shared" si="240"/>
        <v>42914</v>
      </c>
      <c r="D2769" s="315" t="s">
        <v>945</v>
      </c>
      <c r="E2769" s="315">
        <v>42914</v>
      </c>
      <c r="F2769" s="250" t="s">
        <v>662</v>
      </c>
      <c r="G2769" s="314" t="s">
        <v>1251</v>
      </c>
      <c r="H2769" s="473" t="s">
        <v>284</v>
      </c>
      <c r="I2769" s="307">
        <v>4</v>
      </c>
      <c r="J2769" s="307">
        <v>111109</v>
      </c>
      <c r="K2769" s="532">
        <f t="shared" si="241"/>
        <v>444436</v>
      </c>
      <c r="L2769" s="534" t="s">
        <v>223</v>
      </c>
      <c r="M2769" s="534" t="s">
        <v>162</v>
      </c>
      <c r="N2769" s="525" t="str">
        <f>IF(AND('331-CT'!$E$7=TH!H2769,OR(L2769="331",M2769="331")),"331",IF(AND(OR(L2769="131",M2769="131"),H2769='131-CT'!$E$7),"131",""))</f>
        <v/>
      </c>
      <c r="O2769" s="525" t="str">
        <f>IF(AND($B2769&gt;='111'!$N$11,$B2769&lt;='111'!$O$11,OR($L2769=$O$7,$M2769=$O$7)),"x","")</f>
        <v/>
      </c>
      <c r="P2769" s="525" t="str">
        <f>IF(AND($L2769=$O$7,$B2769&lt;'111'!$N$11),"x","")</f>
        <v/>
      </c>
      <c r="Q2769" s="525" t="str">
        <f>IF(AND($M2769=$O$7,$B2769&lt;'111'!$N$11),"x","")</f>
        <v/>
      </c>
      <c r="R2769" s="525" t="str">
        <f>IF(ISERROR(FIND('112'!$M$9,G2769,1)),"",IF((AND(FIND('112'!$M$9,G2769,1)&gt;=1,$B2769&gt;='112'!$N$8,$B2769&lt;='112'!$O$8,OR($L2769='112'!$I$6,$M2769='112'!$I$6))),"x",""))</f>
        <v/>
      </c>
      <c r="S2769" s="525" t="str">
        <f>IF(ISERROR(FIND('112'!$M$9,G2769,1)),"",IF((AND(LEFT(G2769,2)=LEFT('112'!$M$9,2),B2769&lt;'112'!$N$8,$L2769='112'!$I$6)),"x",""))</f>
        <v/>
      </c>
      <c r="T2769" s="525" t="str">
        <f>IF(ISERROR(FIND('112'!$M$9,G2769,1)),"",IF((AND(RIGHT(G2769,2)=RIGHT('112'!$M$9,2),B2769&lt;'112'!$N$8,$M2769='112'!$I$6)),"x",""))</f>
        <v/>
      </c>
      <c r="U2769" s="525" t="str">
        <f>IF(AND(B2769&gt;='IN-NX'!$P$3,B2769&lt;='IN-NX'!$Q$3,'IN-NX'!$D$7=D2769,OR(LEFT(L2769,2)="15",AND(LEFT(M2769,2)&lt;&gt;"15",LEFT(M2769,2)&lt;&gt;"33"))),"x","")</f>
        <v/>
      </c>
      <c r="V2769" s="525" t="str">
        <f>IF(AND(OR(LEFT(TH!L2769,2)="15",LEFT(TH!M2769,2)="15"),'152-CT'!$J$8=TH!F2769),"x","")</f>
        <v/>
      </c>
      <c r="W2769" s="525" t="str">
        <f>IF(AND(OR(LEFT(TH!L2769,2)="15",LEFT(TH!M2769,2)="15"),TK!$E$7=TH!F2769),"x","")</f>
        <v/>
      </c>
      <c r="X2769" s="525" t="str">
        <f>IF(AND('341-CT'!$E$9=H2769,OR(LEFT(L2769,3)=$X$7,LEFT(M2769,3)=$X$7)),"x","")</f>
        <v/>
      </c>
      <c r="Y2769" s="525" t="str">
        <f>IF(OR(TH!L2769=TH!$Y$7,M2769=TH!$Y$7),"x","")</f>
        <v/>
      </c>
      <c r="Z2769" s="525" t="str">
        <f>IF(AND(B2769&lt;=NKC!$N$8,B2769&gt;=NKC!$M$8),"x","")</f>
        <v/>
      </c>
      <c r="AA2769" s="535"/>
      <c r="AB2769" s="536"/>
    </row>
    <row r="2770" spans="1:28" s="503" customFormat="1" ht="15.75" customHeight="1">
      <c r="A2770" s="517" t="str">
        <f>IF(B2770&lt;&gt;"",IF(AND(B2770&gt;=_TM1,B2770&lt;=_TM2,OR(TH!L2770="1111",TH!M2770="1111")),TH!D2770,""),"")</f>
        <v/>
      </c>
      <c r="B2770" s="531">
        <f t="shared" si="239"/>
        <v>6</v>
      </c>
      <c r="C2770" s="315">
        <f t="shared" si="240"/>
        <v>42914</v>
      </c>
      <c r="D2770" s="315" t="s">
        <v>945</v>
      </c>
      <c r="E2770" s="315">
        <v>42914</v>
      </c>
      <c r="F2770" s="250" t="s">
        <v>699</v>
      </c>
      <c r="G2770" s="314" t="s">
        <v>1251</v>
      </c>
      <c r="H2770" s="473" t="s">
        <v>284</v>
      </c>
      <c r="I2770" s="307">
        <v>16</v>
      </c>
      <c r="J2770" s="307">
        <v>48284</v>
      </c>
      <c r="K2770" s="532">
        <f t="shared" si="241"/>
        <v>772544</v>
      </c>
      <c r="L2770" s="534" t="s">
        <v>223</v>
      </c>
      <c r="M2770" s="534" t="s">
        <v>162</v>
      </c>
      <c r="N2770" s="525" t="str">
        <f>IF(AND('331-CT'!$E$7=TH!H2770,OR(L2770="331",M2770="331")),"331",IF(AND(OR(L2770="131",M2770="131"),H2770='131-CT'!$E$7),"131",""))</f>
        <v/>
      </c>
      <c r="O2770" s="525" t="str">
        <f>IF(AND($B2770&gt;='111'!$N$11,$B2770&lt;='111'!$O$11,OR($L2770=$O$7,$M2770=$O$7)),"x","")</f>
        <v/>
      </c>
      <c r="P2770" s="525" t="str">
        <f>IF(AND($L2770=$O$7,$B2770&lt;'111'!$N$11),"x","")</f>
        <v/>
      </c>
      <c r="Q2770" s="525" t="str">
        <f>IF(AND($M2770=$O$7,$B2770&lt;'111'!$N$11),"x","")</f>
        <v/>
      </c>
      <c r="R2770" s="525" t="str">
        <f>IF(ISERROR(FIND('112'!$M$9,G2770,1)),"",IF((AND(FIND('112'!$M$9,G2770,1)&gt;=1,$B2770&gt;='112'!$N$8,$B2770&lt;='112'!$O$8,OR($L2770='112'!$I$6,$M2770='112'!$I$6))),"x",""))</f>
        <v/>
      </c>
      <c r="S2770" s="525" t="str">
        <f>IF(ISERROR(FIND('112'!$M$9,G2770,1)),"",IF((AND(LEFT(G2770,2)=LEFT('112'!$M$9,2),B2770&lt;'112'!$N$8,$L2770='112'!$I$6)),"x",""))</f>
        <v/>
      </c>
      <c r="T2770" s="525" t="str">
        <f>IF(ISERROR(FIND('112'!$M$9,G2770,1)),"",IF((AND(RIGHT(G2770,2)=RIGHT('112'!$M$9,2),B2770&lt;'112'!$N$8,$M2770='112'!$I$6)),"x",""))</f>
        <v/>
      </c>
      <c r="U2770" s="525" t="str">
        <f>IF(AND(B2770&gt;='IN-NX'!$P$3,B2770&lt;='IN-NX'!$Q$3,'IN-NX'!$D$7=D2770,OR(LEFT(L2770,2)="15",AND(LEFT(M2770,2)&lt;&gt;"15",LEFT(M2770,2)&lt;&gt;"33"))),"x","")</f>
        <v/>
      </c>
      <c r="V2770" s="525" t="str">
        <f>IF(AND(OR(LEFT(TH!L2770,2)="15",LEFT(TH!M2770,2)="15"),'152-CT'!$J$8=TH!F2770),"x","")</f>
        <v/>
      </c>
      <c r="W2770" s="525" t="str">
        <f>IF(AND(OR(LEFT(TH!L2770,2)="15",LEFT(TH!M2770,2)="15"),TK!$E$7=TH!F2770),"x","")</f>
        <v/>
      </c>
      <c r="X2770" s="525" t="str">
        <f>IF(AND('341-CT'!$E$9=H2770,OR(LEFT(L2770,3)=$X$7,LEFT(M2770,3)=$X$7)),"x","")</f>
        <v/>
      </c>
      <c r="Y2770" s="525" t="str">
        <f>IF(OR(TH!L2770=TH!$Y$7,M2770=TH!$Y$7),"x","")</f>
        <v/>
      </c>
      <c r="Z2770" s="525" t="str">
        <f>IF(AND(B2770&lt;=NKC!$N$8,B2770&gt;=NKC!$M$8),"x","")</f>
        <v/>
      </c>
      <c r="AA2770" s="535"/>
      <c r="AB2770" s="536"/>
    </row>
    <row r="2771" spans="1:28" s="503" customFormat="1" ht="15.75" customHeight="1">
      <c r="A2771" s="517" t="str">
        <f>IF(B2771&lt;&gt;"",IF(AND(B2771&gt;=_TM1,B2771&lt;=_TM2,OR(TH!L2771="1111",TH!M2771="1111")),TH!D2771,""),"")</f>
        <v/>
      </c>
      <c r="B2771" s="531">
        <f t="shared" si="239"/>
        <v>6</v>
      </c>
      <c r="C2771" s="315">
        <f t="shared" si="240"/>
        <v>42914</v>
      </c>
      <c r="D2771" s="315" t="s">
        <v>945</v>
      </c>
      <c r="E2771" s="315">
        <v>42914</v>
      </c>
      <c r="F2771" s="250" t="s">
        <v>660</v>
      </c>
      <c r="G2771" s="314" t="s">
        <v>1251</v>
      </c>
      <c r="H2771" s="473" t="s">
        <v>284</v>
      </c>
      <c r="I2771" s="307">
        <v>6</v>
      </c>
      <c r="J2771" s="307">
        <v>102457</v>
      </c>
      <c r="K2771" s="532">
        <f t="shared" si="241"/>
        <v>614742</v>
      </c>
      <c r="L2771" s="534" t="s">
        <v>223</v>
      </c>
      <c r="M2771" s="534" t="s">
        <v>162</v>
      </c>
      <c r="N2771" s="525" t="str">
        <f>IF(AND('331-CT'!$E$7=TH!H2771,OR(L2771="331",M2771="331")),"331",IF(AND(OR(L2771="131",M2771="131"),H2771='131-CT'!$E$7),"131",""))</f>
        <v/>
      </c>
      <c r="O2771" s="525" t="str">
        <f>IF(AND($B2771&gt;='111'!$N$11,$B2771&lt;='111'!$O$11,OR($L2771=$O$7,$M2771=$O$7)),"x","")</f>
        <v/>
      </c>
      <c r="P2771" s="525" t="str">
        <f>IF(AND($L2771=$O$7,$B2771&lt;'111'!$N$11),"x","")</f>
        <v/>
      </c>
      <c r="Q2771" s="525" t="str">
        <f>IF(AND($M2771=$O$7,$B2771&lt;'111'!$N$11),"x","")</f>
        <v/>
      </c>
      <c r="R2771" s="525" t="str">
        <f>IF(ISERROR(FIND('112'!$M$9,G2771,1)),"",IF((AND(FIND('112'!$M$9,G2771,1)&gt;=1,$B2771&gt;='112'!$N$8,$B2771&lt;='112'!$O$8,OR($L2771='112'!$I$6,$M2771='112'!$I$6))),"x",""))</f>
        <v/>
      </c>
      <c r="S2771" s="525" t="str">
        <f>IF(ISERROR(FIND('112'!$M$9,G2771,1)),"",IF((AND(LEFT(G2771,2)=LEFT('112'!$M$9,2),B2771&lt;'112'!$N$8,$L2771='112'!$I$6)),"x",""))</f>
        <v/>
      </c>
      <c r="T2771" s="525" t="str">
        <f>IF(ISERROR(FIND('112'!$M$9,G2771,1)),"",IF((AND(RIGHT(G2771,2)=RIGHT('112'!$M$9,2),B2771&lt;'112'!$N$8,$M2771='112'!$I$6)),"x",""))</f>
        <v/>
      </c>
      <c r="U2771" s="525" t="str">
        <f>IF(AND(B2771&gt;='IN-NX'!$P$3,B2771&lt;='IN-NX'!$Q$3,'IN-NX'!$D$7=D2771,OR(LEFT(L2771,2)="15",AND(LEFT(M2771,2)&lt;&gt;"15",LEFT(M2771,2)&lt;&gt;"33"))),"x","")</f>
        <v/>
      </c>
      <c r="V2771" s="525" t="str">
        <f>IF(AND(OR(LEFT(TH!L2771,2)="15",LEFT(TH!M2771,2)="15"),'152-CT'!$J$8=TH!F2771),"x","")</f>
        <v/>
      </c>
      <c r="W2771" s="525" t="str">
        <f>IF(AND(OR(LEFT(TH!L2771,2)="15",LEFT(TH!M2771,2)="15"),TK!$E$7=TH!F2771),"x","")</f>
        <v/>
      </c>
      <c r="X2771" s="525" t="str">
        <f>IF(AND('341-CT'!$E$9=H2771,OR(LEFT(L2771,3)=$X$7,LEFT(M2771,3)=$X$7)),"x","")</f>
        <v/>
      </c>
      <c r="Y2771" s="525" t="str">
        <f>IF(OR(TH!L2771=TH!$Y$7,M2771=TH!$Y$7),"x","")</f>
        <v/>
      </c>
      <c r="Z2771" s="525" t="str">
        <f>IF(AND(B2771&lt;=NKC!$N$8,B2771&gt;=NKC!$M$8),"x","")</f>
        <v/>
      </c>
      <c r="AA2771" s="535"/>
      <c r="AB2771" s="536"/>
    </row>
    <row r="2772" spans="1:28" s="503" customFormat="1" ht="15.75" customHeight="1">
      <c r="A2772" s="517" t="str">
        <f>IF(B2772&lt;&gt;"",IF(AND(B2772&gt;=_TM1,B2772&lt;=_TM2,OR(TH!L2772="1111",TH!M2772="1111")),TH!D2772,""),"")</f>
        <v/>
      </c>
      <c r="B2772" s="531">
        <f t="shared" si="239"/>
        <v>6</v>
      </c>
      <c r="C2772" s="315">
        <f t="shared" si="240"/>
        <v>42914</v>
      </c>
      <c r="D2772" s="315" t="s">
        <v>945</v>
      </c>
      <c r="E2772" s="315">
        <v>42914</v>
      </c>
      <c r="F2772" s="250" t="s">
        <v>1234</v>
      </c>
      <c r="G2772" s="314" t="s">
        <v>1251</v>
      </c>
      <c r="H2772" s="473" t="s">
        <v>284</v>
      </c>
      <c r="I2772" s="307">
        <v>6</v>
      </c>
      <c r="J2772" s="307">
        <v>110995</v>
      </c>
      <c r="K2772" s="532">
        <f t="shared" si="241"/>
        <v>665970</v>
      </c>
      <c r="L2772" s="534" t="s">
        <v>223</v>
      </c>
      <c r="M2772" s="534" t="s">
        <v>162</v>
      </c>
      <c r="N2772" s="525" t="str">
        <f>IF(AND('331-CT'!$E$7=TH!H2772,OR(L2772="331",M2772="331")),"331",IF(AND(OR(L2772="131",M2772="131"),H2772='131-CT'!$E$7),"131",""))</f>
        <v/>
      </c>
      <c r="O2772" s="525" t="str">
        <f>IF(AND($B2772&gt;='111'!$N$11,$B2772&lt;='111'!$O$11,OR($L2772=$O$7,$M2772=$O$7)),"x","")</f>
        <v/>
      </c>
      <c r="P2772" s="525" t="str">
        <f>IF(AND($L2772=$O$7,$B2772&lt;'111'!$N$11),"x","")</f>
        <v/>
      </c>
      <c r="Q2772" s="525" t="str">
        <f>IF(AND($M2772=$O$7,$B2772&lt;'111'!$N$11),"x","")</f>
        <v/>
      </c>
      <c r="R2772" s="525" t="str">
        <f>IF(ISERROR(FIND('112'!$M$9,G2772,1)),"",IF((AND(FIND('112'!$M$9,G2772,1)&gt;=1,$B2772&gt;='112'!$N$8,$B2772&lt;='112'!$O$8,OR($L2772='112'!$I$6,$M2772='112'!$I$6))),"x",""))</f>
        <v/>
      </c>
      <c r="S2772" s="525" t="str">
        <f>IF(ISERROR(FIND('112'!$M$9,G2772,1)),"",IF((AND(LEFT(G2772,2)=LEFT('112'!$M$9,2),B2772&lt;'112'!$N$8,$L2772='112'!$I$6)),"x",""))</f>
        <v/>
      </c>
      <c r="T2772" s="525" t="str">
        <f>IF(ISERROR(FIND('112'!$M$9,G2772,1)),"",IF((AND(RIGHT(G2772,2)=RIGHT('112'!$M$9,2),B2772&lt;'112'!$N$8,$M2772='112'!$I$6)),"x",""))</f>
        <v/>
      </c>
      <c r="U2772" s="525" t="str">
        <f>IF(AND(B2772&gt;='IN-NX'!$P$3,B2772&lt;='IN-NX'!$Q$3,'IN-NX'!$D$7=D2772,OR(LEFT(L2772,2)="15",AND(LEFT(M2772,2)&lt;&gt;"15",LEFT(M2772,2)&lt;&gt;"33"))),"x","")</f>
        <v/>
      </c>
      <c r="V2772" s="525" t="str">
        <f>IF(AND(OR(LEFT(TH!L2772,2)="15",LEFT(TH!M2772,2)="15"),'152-CT'!$J$8=TH!F2772),"x","")</f>
        <v/>
      </c>
      <c r="W2772" s="525" t="str">
        <f>IF(AND(OR(LEFT(TH!L2772,2)="15",LEFT(TH!M2772,2)="15"),TK!$E$7=TH!F2772),"x","")</f>
        <v/>
      </c>
      <c r="X2772" s="525" t="str">
        <f>IF(AND('341-CT'!$E$9=H2772,OR(LEFT(L2772,3)=$X$7,LEFT(M2772,3)=$X$7)),"x","")</f>
        <v/>
      </c>
      <c r="Y2772" s="525" t="str">
        <f>IF(OR(TH!L2772=TH!$Y$7,M2772=TH!$Y$7),"x","")</f>
        <v/>
      </c>
      <c r="Z2772" s="525" t="str">
        <f>IF(AND(B2772&lt;=NKC!$N$8,B2772&gt;=NKC!$M$8),"x","")</f>
        <v/>
      </c>
      <c r="AA2772" s="535"/>
      <c r="AB2772" s="536"/>
    </row>
    <row r="2773" spans="1:28" s="503" customFormat="1" ht="15.75" customHeight="1">
      <c r="A2773" s="517" t="str">
        <f>IF(B2773&lt;&gt;"",IF(AND(B2773&gt;=_TM1,B2773&lt;=_TM2,OR(TH!L2773="1111",TH!M2773="1111")),TH!D2773,""),"")</f>
        <v/>
      </c>
      <c r="B2773" s="531">
        <f t="shared" si="239"/>
        <v>6</v>
      </c>
      <c r="C2773" s="315">
        <f t="shared" si="240"/>
        <v>42914</v>
      </c>
      <c r="D2773" s="315" t="s">
        <v>945</v>
      </c>
      <c r="E2773" s="315">
        <v>42914</v>
      </c>
      <c r="F2773" s="250" t="s">
        <v>648</v>
      </c>
      <c r="G2773" s="314" t="s">
        <v>1251</v>
      </c>
      <c r="H2773" s="473" t="s">
        <v>284</v>
      </c>
      <c r="I2773" s="307">
        <v>7</v>
      </c>
      <c r="J2773" s="307">
        <v>50697</v>
      </c>
      <c r="K2773" s="532">
        <f t="shared" si="241"/>
        <v>354879</v>
      </c>
      <c r="L2773" s="534" t="s">
        <v>223</v>
      </c>
      <c r="M2773" s="534" t="s">
        <v>162</v>
      </c>
      <c r="N2773" s="525" t="str">
        <f>IF(AND('331-CT'!$E$7=TH!H2773,OR(L2773="331",M2773="331")),"331",IF(AND(OR(L2773="131",M2773="131"),H2773='131-CT'!$E$7),"131",""))</f>
        <v/>
      </c>
      <c r="O2773" s="525" t="str">
        <f>IF(AND($B2773&gt;='111'!$N$11,$B2773&lt;='111'!$O$11,OR($L2773=$O$7,$M2773=$O$7)),"x","")</f>
        <v/>
      </c>
      <c r="P2773" s="525" t="str">
        <f>IF(AND($L2773=$O$7,$B2773&lt;'111'!$N$11),"x","")</f>
        <v/>
      </c>
      <c r="Q2773" s="525" t="str">
        <f>IF(AND($M2773=$O$7,$B2773&lt;'111'!$N$11),"x","")</f>
        <v/>
      </c>
      <c r="R2773" s="525" t="str">
        <f>IF(ISERROR(FIND('112'!$M$9,G2773,1)),"",IF((AND(FIND('112'!$M$9,G2773,1)&gt;=1,$B2773&gt;='112'!$N$8,$B2773&lt;='112'!$O$8,OR($L2773='112'!$I$6,$M2773='112'!$I$6))),"x",""))</f>
        <v/>
      </c>
      <c r="S2773" s="525" t="str">
        <f>IF(ISERROR(FIND('112'!$M$9,G2773,1)),"",IF((AND(LEFT(G2773,2)=LEFT('112'!$M$9,2),B2773&lt;'112'!$N$8,$L2773='112'!$I$6)),"x",""))</f>
        <v/>
      </c>
      <c r="T2773" s="525" t="str">
        <f>IF(ISERROR(FIND('112'!$M$9,G2773,1)),"",IF((AND(RIGHT(G2773,2)=RIGHT('112'!$M$9,2),B2773&lt;'112'!$N$8,$M2773='112'!$I$6)),"x",""))</f>
        <v/>
      </c>
      <c r="U2773" s="525" t="str">
        <f>IF(AND(B2773&gt;='IN-NX'!$P$3,B2773&lt;='IN-NX'!$Q$3,'IN-NX'!$D$7=D2773,OR(LEFT(L2773,2)="15",AND(LEFT(M2773,2)&lt;&gt;"15",LEFT(M2773,2)&lt;&gt;"33"))),"x","")</f>
        <v/>
      </c>
      <c r="V2773" s="525" t="str">
        <f>IF(AND(OR(LEFT(TH!L2773,2)="15",LEFT(TH!M2773,2)="15"),'152-CT'!$J$8=TH!F2773),"x","")</f>
        <v/>
      </c>
      <c r="W2773" s="525" t="str">
        <f>IF(AND(OR(LEFT(TH!L2773,2)="15",LEFT(TH!M2773,2)="15"),TK!$E$7=TH!F2773),"x","")</f>
        <v/>
      </c>
      <c r="X2773" s="525" t="str">
        <f>IF(AND('341-CT'!$E$9=H2773,OR(LEFT(L2773,3)=$X$7,LEFT(M2773,3)=$X$7)),"x","")</f>
        <v/>
      </c>
      <c r="Y2773" s="525" t="str">
        <f>IF(OR(TH!L2773=TH!$Y$7,M2773=TH!$Y$7),"x","")</f>
        <v/>
      </c>
      <c r="Z2773" s="525" t="str">
        <f>IF(AND(B2773&lt;=NKC!$N$8,B2773&gt;=NKC!$M$8),"x","")</f>
        <v/>
      </c>
      <c r="AA2773" s="535"/>
      <c r="AB2773" s="536"/>
    </row>
    <row r="2774" spans="1:28" s="503" customFormat="1" ht="15.75" customHeight="1">
      <c r="A2774" s="517" t="str">
        <f>IF(B2774&lt;&gt;"",IF(AND(B2774&gt;=_TM1,B2774&lt;=_TM2,OR(TH!L2774="1111",TH!M2774="1111")),TH!D2774,""),"")</f>
        <v/>
      </c>
      <c r="B2774" s="531">
        <f t="shared" si="239"/>
        <v>6</v>
      </c>
      <c r="C2774" s="315">
        <f t="shared" si="240"/>
        <v>42914</v>
      </c>
      <c r="D2774" s="315" t="s">
        <v>945</v>
      </c>
      <c r="E2774" s="315">
        <v>42914</v>
      </c>
      <c r="F2774" s="250" t="s">
        <v>661</v>
      </c>
      <c r="G2774" s="314" t="s">
        <v>1251</v>
      </c>
      <c r="H2774" s="473" t="s">
        <v>284</v>
      </c>
      <c r="I2774" s="307">
        <v>7</v>
      </c>
      <c r="J2774" s="307">
        <v>66288</v>
      </c>
      <c r="K2774" s="532">
        <f t="shared" si="241"/>
        <v>464016</v>
      </c>
      <c r="L2774" s="534" t="s">
        <v>223</v>
      </c>
      <c r="M2774" s="534" t="s">
        <v>162</v>
      </c>
      <c r="N2774" s="525" t="str">
        <f>IF(AND('331-CT'!$E$7=TH!H2774,OR(L2774="331",M2774="331")),"331",IF(AND(OR(L2774="131",M2774="131"),H2774='131-CT'!$E$7),"131",""))</f>
        <v/>
      </c>
      <c r="O2774" s="525" t="str">
        <f>IF(AND($B2774&gt;='111'!$N$11,$B2774&lt;='111'!$O$11,OR($L2774=$O$7,$M2774=$O$7)),"x","")</f>
        <v/>
      </c>
      <c r="P2774" s="525" t="str">
        <f>IF(AND($L2774=$O$7,$B2774&lt;'111'!$N$11),"x","")</f>
        <v/>
      </c>
      <c r="Q2774" s="525" t="str">
        <f>IF(AND($M2774=$O$7,$B2774&lt;'111'!$N$11),"x","")</f>
        <v/>
      </c>
      <c r="R2774" s="525" t="str">
        <f>IF(ISERROR(FIND('112'!$M$9,G2774,1)),"",IF((AND(FIND('112'!$M$9,G2774,1)&gt;=1,$B2774&gt;='112'!$N$8,$B2774&lt;='112'!$O$8,OR($L2774='112'!$I$6,$M2774='112'!$I$6))),"x",""))</f>
        <v/>
      </c>
      <c r="S2774" s="525" t="str">
        <f>IF(ISERROR(FIND('112'!$M$9,G2774,1)),"",IF((AND(LEFT(G2774,2)=LEFT('112'!$M$9,2),B2774&lt;'112'!$N$8,$L2774='112'!$I$6)),"x",""))</f>
        <v/>
      </c>
      <c r="T2774" s="525" t="str">
        <f>IF(ISERROR(FIND('112'!$M$9,G2774,1)),"",IF((AND(RIGHT(G2774,2)=RIGHT('112'!$M$9,2),B2774&lt;'112'!$N$8,$M2774='112'!$I$6)),"x",""))</f>
        <v/>
      </c>
      <c r="U2774" s="525" t="str">
        <f>IF(AND(B2774&gt;='IN-NX'!$P$3,B2774&lt;='IN-NX'!$Q$3,'IN-NX'!$D$7=D2774,OR(LEFT(L2774,2)="15",AND(LEFT(M2774,2)&lt;&gt;"15",LEFT(M2774,2)&lt;&gt;"33"))),"x","")</f>
        <v/>
      </c>
      <c r="V2774" s="525" t="str">
        <f>IF(AND(OR(LEFT(TH!L2774,2)="15",LEFT(TH!M2774,2)="15"),'152-CT'!$J$8=TH!F2774),"x","")</f>
        <v/>
      </c>
      <c r="W2774" s="525" t="str">
        <f>IF(AND(OR(LEFT(TH!L2774,2)="15",LEFT(TH!M2774,2)="15"),TK!$E$7=TH!F2774),"x","")</f>
        <v/>
      </c>
      <c r="X2774" s="525" t="str">
        <f>IF(AND('341-CT'!$E$9=H2774,OR(LEFT(L2774,3)=$X$7,LEFT(M2774,3)=$X$7)),"x","")</f>
        <v/>
      </c>
      <c r="Y2774" s="525" t="str">
        <f>IF(OR(TH!L2774=TH!$Y$7,M2774=TH!$Y$7),"x","")</f>
        <v/>
      </c>
      <c r="Z2774" s="525" t="str">
        <f>IF(AND(B2774&lt;=NKC!$N$8,B2774&gt;=NKC!$M$8),"x","")</f>
        <v/>
      </c>
      <c r="AA2774" s="535"/>
      <c r="AB2774" s="536"/>
    </row>
    <row r="2775" spans="1:28" s="503" customFormat="1" ht="15.75" customHeight="1">
      <c r="A2775" s="517" t="str">
        <f>IF(B2775&lt;&gt;"",IF(AND(B2775&gt;=_TM1,B2775&lt;=_TM2,OR(TH!L2775="1111",TH!M2775="1111")),TH!D2775,""),"")</f>
        <v/>
      </c>
      <c r="B2775" s="531">
        <f t="shared" si="239"/>
        <v>6</v>
      </c>
      <c r="C2775" s="315">
        <f t="shared" si="240"/>
        <v>42914</v>
      </c>
      <c r="D2775" s="315" t="s">
        <v>945</v>
      </c>
      <c r="E2775" s="315">
        <v>42914</v>
      </c>
      <c r="F2775" s="250" t="s">
        <v>1235</v>
      </c>
      <c r="G2775" s="314" t="s">
        <v>1251</v>
      </c>
      <c r="H2775" s="473" t="s">
        <v>284</v>
      </c>
      <c r="I2775" s="307">
        <v>38</v>
      </c>
      <c r="J2775" s="307">
        <v>60480</v>
      </c>
      <c r="K2775" s="532">
        <f t="shared" si="241"/>
        <v>2298240</v>
      </c>
      <c r="L2775" s="534" t="s">
        <v>223</v>
      </c>
      <c r="M2775" s="534" t="s">
        <v>162</v>
      </c>
      <c r="N2775" s="525" t="str">
        <f>IF(AND('331-CT'!$E$7=TH!H2775,OR(L2775="331",M2775="331")),"331",IF(AND(OR(L2775="131",M2775="131"),H2775='131-CT'!$E$7),"131",""))</f>
        <v/>
      </c>
      <c r="O2775" s="525" t="str">
        <f>IF(AND($B2775&gt;='111'!$N$11,$B2775&lt;='111'!$O$11,OR($L2775=$O$7,$M2775=$O$7)),"x","")</f>
        <v/>
      </c>
      <c r="P2775" s="525" t="str">
        <f>IF(AND($L2775=$O$7,$B2775&lt;'111'!$N$11),"x","")</f>
        <v/>
      </c>
      <c r="Q2775" s="525" t="str">
        <f>IF(AND($M2775=$O$7,$B2775&lt;'111'!$N$11),"x","")</f>
        <v/>
      </c>
      <c r="R2775" s="525" t="str">
        <f>IF(ISERROR(FIND('112'!$M$9,G2775,1)),"",IF((AND(FIND('112'!$M$9,G2775,1)&gt;=1,$B2775&gt;='112'!$N$8,$B2775&lt;='112'!$O$8,OR($L2775='112'!$I$6,$M2775='112'!$I$6))),"x",""))</f>
        <v/>
      </c>
      <c r="S2775" s="525" t="str">
        <f>IF(ISERROR(FIND('112'!$M$9,G2775,1)),"",IF((AND(LEFT(G2775,2)=LEFT('112'!$M$9,2),B2775&lt;'112'!$N$8,$L2775='112'!$I$6)),"x",""))</f>
        <v/>
      </c>
      <c r="T2775" s="525" t="str">
        <f>IF(ISERROR(FIND('112'!$M$9,G2775,1)),"",IF((AND(RIGHT(G2775,2)=RIGHT('112'!$M$9,2),B2775&lt;'112'!$N$8,$M2775='112'!$I$6)),"x",""))</f>
        <v/>
      </c>
      <c r="U2775" s="525" t="str">
        <f>IF(AND(B2775&gt;='IN-NX'!$P$3,B2775&lt;='IN-NX'!$Q$3,'IN-NX'!$D$7=D2775,OR(LEFT(L2775,2)="15",AND(LEFT(M2775,2)&lt;&gt;"15",LEFT(M2775,2)&lt;&gt;"33"))),"x","")</f>
        <v/>
      </c>
      <c r="V2775" s="525" t="str">
        <f>IF(AND(OR(LEFT(TH!L2775,2)="15",LEFT(TH!M2775,2)="15"),'152-CT'!$J$8=TH!F2775),"x","")</f>
        <v/>
      </c>
      <c r="W2775" s="525" t="str">
        <f>IF(AND(OR(LEFT(TH!L2775,2)="15",LEFT(TH!M2775,2)="15"),TK!$E$7=TH!F2775),"x","")</f>
        <v/>
      </c>
      <c r="X2775" s="525" t="str">
        <f>IF(AND('341-CT'!$E$9=H2775,OR(LEFT(L2775,3)=$X$7,LEFT(M2775,3)=$X$7)),"x","")</f>
        <v/>
      </c>
      <c r="Y2775" s="525" t="str">
        <f>IF(OR(TH!L2775=TH!$Y$7,M2775=TH!$Y$7),"x","")</f>
        <v/>
      </c>
      <c r="Z2775" s="525" t="str">
        <f>IF(AND(B2775&lt;=NKC!$N$8,B2775&gt;=NKC!$M$8),"x","")</f>
        <v/>
      </c>
      <c r="AA2775" s="535"/>
      <c r="AB2775" s="536"/>
    </row>
    <row r="2776" spans="1:28" s="503" customFormat="1" ht="15.75" customHeight="1">
      <c r="A2776" s="517" t="str">
        <f>IF(B2776&lt;&gt;"",IF(AND(B2776&gt;=_TM1,B2776&lt;=_TM2,OR(TH!L2776="1111",TH!M2776="1111")),TH!D2776,""),"")</f>
        <v/>
      </c>
      <c r="B2776" s="531">
        <f t="shared" si="239"/>
        <v>6</v>
      </c>
      <c r="C2776" s="315">
        <f t="shared" si="240"/>
        <v>42914</v>
      </c>
      <c r="D2776" s="315" t="s">
        <v>945</v>
      </c>
      <c r="E2776" s="315">
        <v>42914</v>
      </c>
      <c r="F2776" s="250" t="s">
        <v>692</v>
      </c>
      <c r="G2776" s="314" t="s">
        <v>1251</v>
      </c>
      <c r="H2776" s="473" t="s">
        <v>284</v>
      </c>
      <c r="I2776" s="307">
        <v>3</v>
      </c>
      <c r="J2776" s="307">
        <v>192857</v>
      </c>
      <c r="K2776" s="532">
        <f t="shared" si="241"/>
        <v>578571</v>
      </c>
      <c r="L2776" s="534" t="s">
        <v>223</v>
      </c>
      <c r="M2776" s="534" t="s">
        <v>162</v>
      </c>
      <c r="N2776" s="525" t="str">
        <f>IF(AND('331-CT'!$E$7=TH!H2776,OR(L2776="331",M2776="331")),"331",IF(AND(OR(L2776="131",M2776="131"),H2776='131-CT'!$E$7),"131",""))</f>
        <v/>
      </c>
      <c r="O2776" s="525" t="str">
        <f>IF(AND($B2776&gt;='111'!$N$11,$B2776&lt;='111'!$O$11,OR($L2776=$O$7,$M2776=$O$7)),"x","")</f>
        <v/>
      </c>
      <c r="P2776" s="525" t="str">
        <f>IF(AND($L2776=$O$7,$B2776&lt;'111'!$N$11),"x","")</f>
        <v/>
      </c>
      <c r="Q2776" s="525" t="str">
        <f>IF(AND($M2776=$O$7,$B2776&lt;'111'!$N$11),"x","")</f>
        <v/>
      </c>
      <c r="R2776" s="525" t="str">
        <f>IF(ISERROR(FIND('112'!$M$9,G2776,1)),"",IF((AND(FIND('112'!$M$9,G2776,1)&gt;=1,$B2776&gt;='112'!$N$8,$B2776&lt;='112'!$O$8,OR($L2776='112'!$I$6,$M2776='112'!$I$6))),"x",""))</f>
        <v/>
      </c>
      <c r="S2776" s="525" t="str">
        <f>IF(ISERROR(FIND('112'!$M$9,G2776,1)),"",IF((AND(LEFT(G2776,2)=LEFT('112'!$M$9,2),B2776&lt;'112'!$N$8,$L2776='112'!$I$6)),"x",""))</f>
        <v/>
      </c>
      <c r="T2776" s="525" t="str">
        <f>IF(ISERROR(FIND('112'!$M$9,G2776,1)),"",IF((AND(RIGHT(G2776,2)=RIGHT('112'!$M$9,2),B2776&lt;'112'!$N$8,$M2776='112'!$I$6)),"x",""))</f>
        <v/>
      </c>
      <c r="U2776" s="525" t="str">
        <f>IF(AND(B2776&gt;='IN-NX'!$P$3,B2776&lt;='IN-NX'!$Q$3,'IN-NX'!$D$7=D2776,OR(LEFT(L2776,2)="15",AND(LEFT(M2776,2)&lt;&gt;"15",LEFT(M2776,2)&lt;&gt;"33"))),"x","")</f>
        <v/>
      </c>
      <c r="V2776" s="525" t="str">
        <f>IF(AND(OR(LEFT(TH!L2776,2)="15",LEFT(TH!M2776,2)="15"),'152-CT'!$J$8=TH!F2776),"x","")</f>
        <v/>
      </c>
      <c r="W2776" s="525" t="str">
        <f>IF(AND(OR(LEFT(TH!L2776,2)="15",LEFT(TH!M2776,2)="15"),TK!$E$7=TH!F2776),"x","")</f>
        <v/>
      </c>
      <c r="X2776" s="525" t="str">
        <f>IF(AND('341-CT'!$E$9=H2776,OR(LEFT(L2776,3)=$X$7,LEFT(M2776,3)=$X$7)),"x","")</f>
        <v/>
      </c>
      <c r="Y2776" s="525" t="str">
        <f>IF(OR(TH!L2776=TH!$Y$7,M2776=TH!$Y$7),"x","")</f>
        <v/>
      </c>
      <c r="Z2776" s="525" t="str">
        <f>IF(AND(B2776&lt;=NKC!$N$8,B2776&gt;=NKC!$M$8),"x","")</f>
        <v/>
      </c>
      <c r="AA2776" s="535"/>
      <c r="AB2776" s="536"/>
    </row>
    <row r="2777" spans="1:28" s="503" customFormat="1" ht="15.75" customHeight="1">
      <c r="A2777" s="517" t="str">
        <f>IF(B2777&lt;&gt;"",IF(AND(B2777&gt;=_TM1,B2777&lt;=_TM2,OR(TH!L2777="1111",TH!M2777="1111")),TH!D2777,""),"")</f>
        <v/>
      </c>
      <c r="B2777" s="531">
        <f t="shared" si="239"/>
        <v>6</v>
      </c>
      <c r="C2777" s="315">
        <f t="shared" si="240"/>
        <v>42914</v>
      </c>
      <c r="D2777" s="315" t="s">
        <v>946</v>
      </c>
      <c r="E2777" s="315">
        <v>42914</v>
      </c>
      <c r="F2777" s="250" t="s">
        <v>1162</v>
      </c>
      <c r="G2777" s="314" t="s">
        <v>1251</v>
      </c>
      <c r="H2777" s="473" t="s">
        <v>284</v>
      </c>
      <c r="I2777" s="307">
        <v>20</v>
      </c>
      <c r="J2777" s="307">
        <v>195235</v>
      </c>
      <c r="K2777" s="532">
        <f t="shared" si="241"/>
        <v>3904700</v>
      </c>
      <c r="L2777" s="534" t="s">
        <v>223</v>
      </c>
      <c r="M2777" s="534" t="s">
        <v>162</v>
      </c>
      <c r="N2777" s="525" t="str">
        <f>IF(AND('331-CT'!$E$7=TH!H2777,OR(L2777="331",M2777="331")),"331",IF(AND(OR(L2777="131",M2777="131"),H2777='131-CT'!$E$7),"131",""))</f>
        <v/>
      </c>
      <c r="O2777" s="525" t="str">
        <f>IF(AND($B2777&gt;='111'!$N$11,$B2777&lt;='111'!$O$11,OR($L2777=$O$7,$M2777=$O$7)),"x","")</f>
        <v/>
      </c>
      <c r="P2777" s="525" t="str">
        <f>IF(AND($L2777=$O$7,$B2777&lt;'111'!$N$11),"x","")</f>
        <v/>
      </c>
      <c r="Q2777" s="525" t="str">
        <f>IF(AND($M2777=$O$7,$B2777&lt;'111'!$N$11),"x","")</f>
        <v/>
      </c>
      <c r="R2777" s="525" t="str">
        <f>IF(ISERROR(FIND('112'!$M$9,G2777,1)),"",IF((AND(FIND('112'!$M$9,G2777,1)&gt;=1,$B2777&gt;='112'!$N$8,$B2777&lt;='112'!$O$8,OR($L2777='112'!$I$6,$M2777='112'!$I$6))),"x",""))</f>
        <v/>
      </c>
      <c r="S2777" s="525" t="str">
        <f>IF(ISERROR(FIND('112'!$M$9,G2777,1)),"",IF((AND(LEFT(G2777,2)=LEFT('112'!$M$9,2),B2777&lt;'112'!$N$8,$L2777='112'!$I$6)),"x",""))</f>
        <v/>
      </c>
      <c r="T2777" s="525" t="str">
        <f>IF(ISERROR(FIND('112'!$M$9,G2777,1)),"",IF((AND(RIGHT(G2777,2)=RIGHT('112'!$M$9,2),B2777&lt;'112'!$N$8,$M2777='112'!$I$6)),"x",""))</f>
        <v/>
      </c>
      <c r="U2777" s="525" t="str">
        <f>IF(AND(B2777&gt;='IN-NX'!$P$3,B2777&lt;='IN-NX'!$Q$3,'IN-NX'!$D$7=D2777,OR(LEFT(L2777,2)="15",AND(LEFT(M2777,2)&lt;&gt;"15",LEFT(M2777,2)&lt;&gt;"33"))),"x","")</f>
        <v/>
      </c>
      <c r="V2777" s="525" t="str">
        <f>IF(AND(OR(LEFT(TH!L2777,2)="15",LEFT(TH!M2777,2)="15"),'152-CT'!$J$8=TH!F2777),"x","")</f>
        <v/>
      </c>
      <c r="W2777" s="525" t="str">
        <f>IF(AND(OR(LEFT(TH!L2777,2)="15",LEFT(TH!M2777,2)="15"),TK!$E$7=TH!F2777),"x","")</f>
        <v/>
      </c>
      <c r="X2777" s="525" t="str">
        <f>IF(AND('341-CT'!$E$9=H2777,OR(LEFT(L2777,3)=$X$7,LEFT(M2777,3)=$X$7)),"x","")</f>
        <v/>
      </c>
      <c r="Y2777" s="525" t="str">
        <f>IF(OR(TH!L2777=TH!$Y$7,M2777=TH!$Y$7),"x","")</f>
        <v/>
      </c>
      <c r="Z2777" s="525" t="str">
        <f>IF(AND(B2777&lt;=NKC!$N$8,B2777&gt;=NKC!$M$8),"x","")</f>
        <v/>
      </c>
      <c r="AA2777" s="535"/>
      <c r="AB2777" s="536"/>
    </row>
    <row r="2778" spans="1:28" s="503" customFormat="1" ht="15.75" customHeight="1">
      <c r="A2778" s="517" t="str">
        <f>IF(B2778&lt;&gt;"",IF(AND(B2778&gt;=_TM1,B2778&lt;=_TM2,OR(TH!L2778="1111",TH!M2778="1111")),TH!D2778,""),"")</f>
        <v/>
      </c>
      <c r="B2778" s="531">
        <f t="shared" si="239"/>
        <v>6</v>
      </c>
      <c r="C2778" s="315">
        <f t="shared" si="240"/>
        <v>42914</v>
      </c>
      <c r="D2778" s="315" t="s">
        <v>946</v>
      </c>
      <c r="E2778" s="315">
        <v>42914</v>
      </c>
      <c r="F2778" s="250" t="s">
        <v>759</v>
      </c>
      <c r="G2778" s="314" t="s">
        <v>1251</v>
      </c>
      <c r="H2778" s="473" t="s">
        <v>284</v>
      </c>
      <c r="I2778" s="307">
        <v>40</v>
      </c>
      <c r="J2778" s="307">
        <v>33521</v>
      </c>
      <c r="K2778" s="532">
        <f t="shared" si="241"/>
        <v>1340840</v>
      </c>
      <c r="L2778" s="534" t="s">
        <v>223</v>
      </c>
      <c r="M2778" s="534" t="s">
        <v>162</v>
      </c>
      <c r="N2778" s="525" t="str">
        <f>IF(AND('331-CT'!$E$7=TH!H2778,OR(L2778="331",M2778="331")),"331",IF(AND(OR(L2778="131",M2778="131"),H2778='131-CT'!$E$7),"131",""))</f>
        <v/>
      </c>
      <c r="O2778" s="525" t="str">
        <f>IF(AND($B2778&gt;='111'!$N$11,$B2778&lt;='111'!$O$11,OR($L2778=$O$7,$M2778=$O$7)),"x","")</f>
        <v/>
      </c>
      <c r="P2778" s="525" t="str">
        <f>IF(AND($L2778=$O$7,$B2778&lt;'111'!$N$11),"x","")</f>
        <v/>
      </c>
      <c r="Q2778" s="525" t="str">
        <f>IF(AND($M2778=$O$7,$B2778&lt;'111'!$N$11),"x","")</f>
        <v/>
      </c>
      <c r="R2778" s="525" t="str">
        <f>IF(ISERROR(FIND('112'!$M$9,G2778,1)),"",IF((AND(FIND('112'!$M$9,G2778,1)&gt;=1,$B2778&gt;='112'!$N$8,$B2778&lt;='112'!$O$8,OR($L2778='112'!$I$6,$M2778='112'!$I$6))),"x",""))</f>
        <v/>
      </c>
      <c r="S2778" s="525" t="str">
        <f>IF(ISERROR(FIND('112'!$M$9,G2778,1)),"",IF((AND(LEFT(G2778,2)=LEFT('112'!$M$9,2),B2778&lt;'112'!$N$8,$L2778='112'!$I$6)),"x",""))</f>
        <v/>
      </c>
      <c r="T2778" s="525" t="str">
        <f>IF(ISERROR(FIND('112'!$M$9,G2778,1)),"",IF((AND(RIGHT(G2778,2)=RIGHT('112'!$M$9,2),B2778&lt;'112'!$N$8,$M2778='112'!$I$6)),"x",""))</f>
        <v/>
      </c>
      <c r="U2778" s="525" t="str">
        <f>IF(AND(B2778&gt;='IN-NX'!$P$3,B2778&lt;='IN-NX'!$Q$3,'IN-NX'!$D$7=D2778,OR(LEFT(L2778,2)="15",AND(LEFT(M2778,2)&lt;&gt;"15",LEFT(M2778,2)&lt;&gt;"33"))),"x","")</f>
        <v/>
      </c>
      <c r="V2778" s="525" t="str">
        <f>IF(AND(OR(LEFT(TH!L2778,2)="15",LEFT(TH!M2778,2)="15"),'152-CT'!$J$8=TH!F2778),"x","")</f>
        <v/>
      </c>
      <c r="W2778" s="525" t="str">
        <f>IF(AND(OR(LEFT(TH!L2778,2)="15",LEFT(TH!M2778,2)="15"),TK!$E$7=TH!F2778),"x","")</f>
        <v/>
      </c>
      <c r="X2778" s="525" t="str">
        <f>IF(AND('341-CT'!$E$9=H2778,OR(LEFT(L2778,3)=$X$7,LEFT(M2778,3)=$X$7)),"x","")</f>
        <v/>
      </c>
      <c r="Y2778" s="525" t="str">
        <f>IF(OR(TH!L2778=TH!$Y$7,M2778=TH!$Y$7),"x","")</f>
        <v/>
      </c>
      <c r="Z2778" s="525" t="str">
        <f>IF(AND(B2778&lt;=NKC!$N$8,B2778&gt;=NKC!$M$8),"x","")</f>
        <v/>
      </c>
      <c r="AA2778" s="535"/>
      <c r="AB2778" s="536"/>
    </row>
    <row r="2779" spans="1:28" s="503" customFormat="1" ht="15.75" customHeight="1">
      <c r="A2779" s="517" t="str">
        <f>IF(B2779&lt;&gt;"",IF(AND(B2779&gt;=_TM1,B2779&lt;=_TM2,OR(TH!L2779="1111",TH!M2779="1111")),TH!D2779,""),"")</f>
        <v/>
      </c>
      <c r="B2779" s="531">
        <f t="shared" si="239"/>
        <v>6</v>
      </c>
      <c r="C2779" s="315">
        <f t="shared" si="240"/>
        <v>42914</v>
      </c>
      <c r="D2779" s="315" t="s">
        <v>946</v>
      </c>
      <c r="E2779" s="315">
        <v>42914</v>
      </c>
      <c r="F2779" s="250" t="s">
        <v>1164</v>
      </c>
      <c r="G2779" s="314" t="s">
        <v>1251</v>
      </c>
      <c r="H2779" s="473" t="s">
        <v>284</v>
      </c>
      <c r="I2779" s="307">
        <v>512</v>
      </c>
      <c r="J2779" s="307">
        <v>11450</v>
      </c>
      <c r="K2779" s="532">
        <f t="shared" si="241"/>
        <v>5862400</v>
      </c>
      <c r="L2779" s="534" t="s">
        <v>223</v>
      </c>
      <c r="M2779" s="534" t="s">
        <v>162</v>
      </c>
      <c r="N2779" s="525" t="str">
        <f>IF(AND('331-CT'!$E$7=TH!H2779,OR(L2779="331",M2779="331")),"331",IF(AND(OR(L2779="131",M2779="131"),H2779='131-CT'!$E$7),"131",""))</f>
        <v/>
      </c>
      <c r="O2779" s="525" t="str">
        <f>IF(AND($B2779&gt;='111'!$N$11,$B2779&lt;='111'!$O$11,OR($L2779=$O$7,$M2779=$O$7)),"x","")</f>
        <v/>
      </c>
      <c r="P2779" s="525" t="str">
        <f>IF(AND($L2779=$O$7,$B2779&lt;'111'!$N$11),"x","")</f>
        <v/>
      </c>
      <c r="Q2779" s="525" t="str">
        <f>IF(AND($M2779=$O$7,$B2779&lt;'111'!$N$11),"x","")</f>
        <v/>
      </c>
      <c r="R2779" s="525" t="str">
        <f>IF(ISERROR(FIND('112'!$M$9,G2779,1)),"",IF((AND(FIND('112'!$M$9,G2779,1)&gt;=1,$B2779&gt;='112'!$N$8,$B2779&lt;='112'!$O$8,OR($L2779='112'!$I$6,$M2779='112'!$I$6))),"x",""))</f>
        <v/>
      </c>
      <c r="S2779" s="525" t="str">
        <f>IF(ISERROR(FIND('112'!$M$9,G2779,1)),"",IF((AND(LEFT(G2779,2)=LEFT('112'!$M$9,2),B2779&lt;'112'!$N$8,$L2779='112'!$I$6)),"x",""))</f>
        <v/>
      </c>
      <c r="T2779" s="525" t="str">
        <f>IF(ISERROR(FIND('112'!$M$9,G2779,1)),"",IF((AND(RIGHT(G2779,2)=RIGHT('112'!$M$9,2),B2779&lt;'112'!$N$8,$M2779='112'!$I$6)),"x",""))</f>
        <v/>
      </c>
      <c r="U2779" s="525" t="str">
        <f>IF(AND(B2779&gt;='IN-NX'!$P$3,B2779&lt;='IN-NX'!$Q$3,'IN-NX'!$D$7=D2779,OR(LEFT(L2779,2)="15",AND(LEFT(M2779,2)&lt;&gt;"15",LEFT(M2779,2)&lt;&gt;"33"))),"x","")</f>
        <v/>
      </c>
      <c r="V2779" s="525" t="str">
        <f>IF(AND(OR(LEFT(TH!L2779,2)="15",LEFT(TH!M2779,2)="15"),'152-CT'!$J$8=TH!F2779),"x","")</f>
        <v/>
      </c>
      <c r="W2779" s="525" t="str">
        <f>IF(AND(OR(LEFT(TH!L2779,2)="15",LEFT(TH!M2779,2)="15"),TK!$E$7=TH!F2779),"x","")</f>
        <v/>
      </c>
      <c r="X2779" s="525" t="str">
        <f>IF(AND('341-CT'!$E$9=H2779,OR(LEFT(L2779,3)=$X$7,LEFT(M2779,3)=$X$7)),"x","")</f>
        <v/>
      </c>
      <c r="Y2779" s="525" t="str">
        <f>IF(OR(TH!L2779=TH!$Y$7,M2779=TH!$Y$7),"x","")</f>
        <v/>
      </c>
      <c r="Z2779" s="525" t="str">
        <f>IF(AND(B2779&lt;=NKC!$N$8,B2779&gt;=NKC!$M$8),"x","")</f>
        <v/>
      </c>
      <c r="AA2779" s="535"/>
      <c r="AB2779" s="536"/>
    </row>
    <row r="2780" spans="1:28" s="503" customFormat="1" ht="15.75" customHeight="1">
      <c r="A2780" s="517" t="str">
        <f>IF(B2780&lt;&gt;"",IF(AND(B2780&gt;=_TM1,B2780&lt;=_TM2,OR(TH!L2780="1111",TH!M2780="1111")),TH!D2780,""),"")</f>
        <v/>
      </c>
      <c r="B2780" s="531">
        <f t="shared" si="239"/>
        <v>6</v>
      </c>
      <c r="C2780" s="315">
        <f t="shared" si="240"/>
        <v>42914</v>
      </c>
      <c r="D2780" s="315" t="s">
        <v>946</v>
      </c>
      <c r="E2780" s="315">
        <v>42914</v>
      </c>
      <c r="F2780" s="250" t="s">
        <v>649</v>
      </c>
      <c r="G2780" s="314" t="s">
        <v>1251</v>
      </c>
      <c r="H2780" s="473" t="s">
        <v>284</v>
      </c>
      <c r="I2780" s="307">
        <v>100</v>
      </c>
      <c r="J2780" s="307">
        <v>64496</v>
      </c>
      <c r="K2780" s="532">
        <f t="shared" si="241"/>
        <v>6449600</v>
      </c>
      <c r="L2780" s="534" t="s">
        <v>223</v>
      </c>
      <c r="M2780" s="534" t="s">
        <v>162</v>
      </c>
      <c r="N2780" s="525" t="str">
        <f>IF(AND('331-CT'!$E$7=TH!H2780,OR(L2780="331",M2780="331")),"331",IF(AND(OR(L2780="131",M2780="131"),H2780='131-CT'!$E$7),"131",""))</f>
        <v/>
      </c>
      <c r="O2780" s="525" t="str">
        <f>IF(AND($B2780&gt;='111'!$N$11,$B2780&lt;='111'!$O$11,OR($L2780=$O$7,$M2780=$O$7)),"x","")</f>
        <v/>
      </c>
      <c r="P2780" s="525" t="str">
        <f>IF(AND($L2780=$O$7,$B2780&lt;'111'!$N$11),"x","")</f>
        <v/>
      </c>
      <c r="Q2780" s="525" t="str">
        <f>IF(AND($M2780=$O$7,$B2780&lt;'111'!$N$11),"x","")</f>
        <v/>
      </c>
      <c r="R2780" s="525" t="str">
        <f>IF(ISERROR(FIND('112'!$M$9,G2780,1)),"",IF((AND(FIND('112'!$M$9,G2780,1)&gt;=1,$B2780&gt;='112'!$N$8,$B2780&lt;='112'!$O$8,OR($L2780='112'!$I$6,$M2780='112'!$I$6))),"x",""))</f>
        <v/>
      </c>
      <c r="S2780" s="525" t="str">
        <f>IF(ISERROR(FIND('112'!$M$9,G2780,1)),"",IF((AND(LEFT(G2780,2)=LEFT('112'!$M$9,2),B2780&lt;'112'!$N$8,$L2780='112'!$I$6)),"x",""))</f>
        <v/>
      </c>
      <c r="T2780" s="525" t="str">
        <f>IF(ISERROR(FIND('112'!$M$9,G2780,1)),"",IF((AND(RIGHT(G2780,2)=RIGHT('112'!$M$9,2),B2780&lt;'112'!$N$8,$M2780='112'!$I$6)),"x",""))</f>
        <v/>
      </c>
      <c r="U2780" s="525" t="str">
        <f>IF(AND(B2780&gt;='IN-NX'!$P$3,B2780&lt;='IN-NX'!$Q$3,'IN-NX'!$D$7=D2780,OR(LEFT(L2780,2)="15",AND(LEFT(M2780,2)&lt;&gt;"15",LEFT(M2780,2)&lt;&gt;"33"))),"x","")</f>
        <v/>
      </c>
      <c r="V2780" s="525" t="str">
        <f>IF(AND(OR(LEFT(TH!L2780,2)="15",LEFT(TH!M2780,2)="15"),'152-CT'!$J$8=TH!F2780),"x","")</f>
        <v/>
      </c>
      <c r="W2780" s="525" t="str">
        <f>IF(AND(OR(LEFT(TH!L2780,2)="15",LEFT(TH!M2780,2)="15"),TK!$E$7=TH!F2780),"x","")</f>
        <v/>
      </c>
      <c r="X2780" s="525" t="str">
        <f>IF(AND('341-CT'!$E$9=H2780,OR(LEFT(L2780,3)=$X$7,LEFT(M2780,3)=$X$7)),"x","")</f>
        <v/>
      </c>
      <c r="Y2780" s="525" t="str">
        <f>IF(OR(TH!L2780=TH!$Y$7,M2780=TH!$Y$7),"x","")</f>
        <v/>
      </c>
      <c r="Z2780" s="525" t="str">
        <f>IF(AND(B2780&lt;=NKC!$N$8,B2780&gt;=NKC!$M$8),"x","")</f>
        <v/>
      </c>
      <c r="AA2780" s="535"/>
      <c r="AB2780" s="536"/>
    </row>
    <row r="2781" spans="1:28" s="503" customFormat="1" ht="15.75" customHeight="1">
      <c r="A2781" s="517" t="str">
        <f>IF(B2781&lt;&gt;"",IF(AND(B2781&gt;=_TM1,B2781&lt;=_TM2,OR(TH!L2781="1111",TH!M2781="1111")),TH!D2781,""),"")</f>
        <v/>
      </c>
      <c r="B2781" s="531">
        <f t="shared" si="239"/>
        <v>6</v>
      </c>
      <c r="C2781" s="315">
        <f t="shared" si="240"/>
        <v>42914</v>
      </c>
      <c r="D2781" s="315" t="s">
        <v>946</v>
      </c>
      <c r="E2781" s="315">
        <v>42914</v>
      </c>
      <c r="F2781" s="250" t="s">
        <v>1236</v>
      </c>
      <c r="G2781" s="314" t="s">
        <v>1251</v>
      </c>
      <c r="H2781" s="473" t="s">
        <v>284</v>
      </c>
      <c r="I2781" s="307">
        <v>20</v>
      </c>
      <c r="J2781" s="307">
        <v>66505</v>
      </c>
      <c r="K2781" s="532">
        <f t="shared" si="241"/>
        <v>1330100</v>
      </c>
      <c r="L2781" s="534" t="s">
        <v>223</v>
      </c>
      <c r="M2781" s="534" t="s">
        <v>162</v>
      </c>
      <c r="N2781" s="525" t="str">
        <f>IF(AND('331-CT'!$E$7=TH!H2781,OR(L2781="331",M2781="331")),"331",IF(AND(OR(L2781="131",M2781="131"),H2781='131-CT'!$E$7),"131",""))</f>
        <v/>
      </c>
      <c r="O2781" s="525" t="str">
        <f>IF(AND($B2781&gt;='111'!$N$11,$B2781&lt;='111'!$O$11,OR($L2781=$O$7,$M2781=$O$7)),"x","")</f>
        <v/>
      </c>
      <c r="P2781" s="525" t="str">
        <f>IF(AND($L2781=$O$7,$B2781&lt;'111'!$N$11),"x","")</f>
        <v/>
      </c>
      <c r="Q2781" s="525" t="str">
        <f>IF(AND($M2781=$O$7,$B2781&lt;'111'!$N$11),"x","")</f>
        <v/>
      </c>
      <c r="R2781" s="525" t="str">
        <f>IF(ISERROR(FIND('112'!$M$9,G2781,1)),"",IF((AND(FIND('112'!$M$9,G2781,1)&gt;=1,$B2781&gt;='112'!$N$8,$B2781&lt;='112'!$O$8,OR($L2781='112'!$I$6,$M2781='112'!$I$6))),"x",""))</f>
        <v/>
      </c>
      <c r="S2781" s="525" t="str">
        <f>IF(ISERROR(FIND('112'!$M$9,G2781,1)),"",IF((AND(LEFT(G2781,2)=LEFT('112'!$M$9,2),B2781&lt;'112'!$N$8,$L2781='112'!$I$6)),"x",""))</f>
        <v/>
      </c>
      <c r="T2781" s="525" t="str">
        <f>IF(ISERROR(FIND('112'!$M$9,G2781,1)),"",IF((AND(RIGHT(G2781,2)=RIGHT('112'!$M$9,2),B2781&lt;'112'!$N$8,$M2781='112'!$I$6)),"x",""))</f>
        <v/>
      </c>
      <c r="U2781" s="525" t="str">
        <f>IF(AND(B2781&gt;='IN-NX'!$P$3,B2781&lt;='IN-NX'!$Q$3,'IN-NX'!$D$7=D2781,OR(LEFT(L2781,2)="15",AND(LEFT(M2781,2)&lt;&gt;"15",LEFT(M2781,2)&lt;&gt;"33"))),"x","")</f>
        <v/>
      </c>
      <c r="V2781" s="525" t="str">
        <f>IF(AND(OR(LEFT(TH!L2781,2)="15",LEFT(TH!M2781,2)="15"),'152-CT'!$J$8=TH!F2781),"x","")</f>
        <v/>
      </c>
      <c r="W2781" s="525" t="str">
        <f>IF(AND(OR(LEFT(TH!L2781,2)="15",LEFT(TH!M2781,2)="15"),TK!$E$7=TH!F2781),"x","")</f>
        <v/>
      </c>
      <c r="X2781" s="525" t="str">
        <f>IF(AND('341-CT'!$E$9=H2781,OR(LEFT(L2781,3)=$X$7,LEFT(M2781,3)=$X$7)),"x","")</f>
        <v/>
      </c>
      <c r="Y2781" s="525" t="str">
        <f>IF(OR(TH!L2781=TH!$Y$7,M2781=TH!$Y$7),"x","")</f>
        <v/>
      </c>
      <c r="Z2781" s="525" t="str">
        <f>IF(AND(B2781&lt;=NKC!$N$8,B2781&gt;=NKC!$M$8),"x","")</f>
        <v/>
      </c>
      <c r="AA2781" s="535"/>
      <c r="AB2781" s="536"/>
    </row>
    <row r="2782" spans="1:28" s="503" customFormat="1" ht="15.75" customHeight="1">
      <c r="A2782" s="517" t="str">
        <f>IF(B2782&lt;&gt;"",IF(AND(B2782&gt;=_TM1,B2782&lt;=_TM2,OR(TH!L2782="1111",TH!M2782="1111")),TH!D2782,""),"")</f>
        <v/>
      </c>
      <c r="B2782" s="531">
        <f t="shared" si="239"/>
        <v>6</v>
      </c>
      <c r="C2782" s="315">
        <f t="shared" si="240"/>
        <v>42914</v>
      </c>
      <c r="D2782" s="315" t="s">
        <v>946</v>
      </c>
      <c r="E2782" s="315">
        <v>42914</v>
      </c>
      <c r="F2782" s="250" t="s">
        <v>1237</v>
      </c>
      <c r="G2782" s="314" t="s">
        <v>1251</v>
      </c>
      <c r="H2782" s="473" t="s">
        <v>284</v>
      </c>
      <c r="I2782" s="307">
        <v>30</v>
      </c>
      <c r="J2782" s="307">
        <v>48441</v>
      </c>
      <c r="K2782" s="532">
        <f t="shared" si="241"/>
        <v>1453230</v>
      </c>
      <c r="L2782" s="534" t="s">
        <v>223</v>
      </c>
      <c r="M2782" s="534" t="s">
        <v>162</v>
      </c>
      <c r="N2782" s="525" t="str">
        <f>IF(AND('331-CT'!$E$7=TH!H2782,OR(L2782="331",M2782="331")),"331",IF(AND(OR(L2782="131",M2782="131"),H2782='131-CT'!$E$7),"131",""))</f>
        <v/>
      </c>
      <c r="O2782" s="525" t="str">
        <f>IF(AND($B2782&gt;='111'!$N$11,$B2782&lt;='111'!$O$11,OR($L2782=$O$7,$M2782=$O$7)),"x","")</f>
        <v/>
      </c>
      <c r="P2782" s="525" t="str">
        <f>IF(AND($L2782=$O$7,$B2782&lt;'111'!$N$11),"x","")</f>
        <v/>
      </c>
      <c r="Q2782" s="525" t="str">
        <f>IF(AND($M2782=$O$7,$B2782&lt;'111'!$N$11),"x","")</f>
        <v/>
      </c>
      <c r="R2782" s="525" t="str">
        <f>IF(ISERROR(FIND('112'!$M$9,G2782,1)),"",IF((AND(FIND('112'!$M$9,G2782,1)&gt;=1,$B2782&gt;='112'!$N$8,$B2782&lt;='112'!$O$8,OR($L2782='112'!$I$6,$M2782='112'!$I$6))),"x",""))</f>
        <v/>
      </c>
      <c r="S2782" s="525" t="str">
        <f>IF(ISERROR(FIND('112'!$M$9,G2782,1)),"",IF((AND(LEFT(G2782,2)=LEFT('112'!$M$9,2),B2782&lt;'112'!$N$8,$L2782='112'!$I$6)),"x",""))</f>
        <v/>
      </c>
      <c r="T2782" s="525" t="str">
        <f>IF(ISERROR(FIND('112'!$M$9,G2782,1)),"",IF((AND(RIGHT(G2782,2)=RIGHT('112'!$M$9,2),B2782&lt;'112'!$N$8,$M2782='112'!$I$6)),"x",""))</f>
        <v/>
      </c>
      <c r="U2782" s="525" t="str">
        <f>IF(AND(B2782&gt;='IN-NX'!$P$3,B2782&lt;='IN-NX'!$Q$3,'IN-NX'!$D$7=D2782,OR(LEFT(L2782,2)="15",AND(LEFT(M2782,2)&lt;&gt;"15",LEFT(M2782,2)&lt;&gt;"33"))),"x","")</f>
        <v/>
      </c>
      <c r="V2782" s="525" t="str">
        <f>IF(AND(OR(LEFT(TH!L2782,2)="15",LEFT(TH!M2782,2)="15"),'152-CT'!$J$8=TH!F2782),"x","")</f>
        <v/>
      </c>
      <c r="W2782" s="525" t="str">
        <f>IF(AND(OR(LEFT(TH!L2782,2)="15",LEFT(TH!M2782,2)="15"),TK!$E$7=TH!F2782),"x","")</f>
        <v/>
      </c>
      <c r="X2782" s="525" t="str">
        <f>IF(AND('341-CT'!$E$9=H2782,OR(LEFT(L2782,3)=$X$7,LEFT(M2782,3)=$X$7)),"x","")</f>
        <v/>
      </c>
      <c r="Y2782" s="525" t="str">
        <f>IF(OR(TH!L2782=TH!$Y$7,M2782=TH!$Y$7),"x","")</f>
        <v/>
      </c>
      <c r="Z2782" s="525" t="str">
        <f>IF(AND(B2782&lt;=NKC!$N$8,B2782&gt;=NKC!$M$8),"x","")</f>
        <v/>
      </c>
      <c r="AA2782" s="535"/>
      <c r="AB2782" s="536"/>
    </row>
    <row r="2783" spans="1:28" s="503" customFormat="1" ht="15.75" customHeight="1">
      <c r="A2783" s="517" t="str">
        <f>IF(B2783&lt;&gt;"",IF(AND(B2783&gt;=_TM1,B2783&lt;=_TM2,OR(TH!L2783="1111",TH!M2783="1111")),TH!D2783,""),"")</f>
        <v/>
      </c>
      <c r="B2783" s="531">
        <f t="shared" si="239"/>
        <v>6</v>
      </c>
      <c r="C2783" s="315">
        <f t="shared" si="240"/>
        <v>42914</v>
      </c>
      <c r="D2783" s="315" t="s">
        <v>946</v>
      </c>
      <c r="E2783" s="315">
        <v>42914</v>
      </c>
      <c r="F2783" s="250" t="s">
        <v>657</v>
      </c>
      <c r="G2783" s="314" t="s">
        <v>1251</v>
      </c>
      <c r="H2783" s="473" t="s">
        <v>284</v>
      </c>
      <c r="I2783" s="307">
        <v>20</v>
      </c>
      <c r="J2783" s="307">
        <v>55117</v>
      </c>
      <c r="K2783" s="532">
        <f t="shared" si="241"/>
        <v>1102340</v>
      </c>
      <c r="L2783" s="534" t="s">
        <v>223</v>
      </c>
      <c r="M2783" s="534" t="s">
        <v>162</v>
      </c>
      <c r="N2783" s="525" t="str">
        <f>IF(AND('331-CT'!$E$7=TH!H2783,OR(L2783="331",M2783="331")),"331",IF(AND(OR(L2783="131",M2783="131"),H2783='131-CT'!$E$7),"131",""))</f>
        <v/>
      </c>
      <c r="O2783" s="525" t="str">
        <f>IF(AND($B2783&gt;='111'!$N$11,$B2783&lt;='111'!$O$11,OR($L2783=$O$7,$M2783=$O$7)),"x","")</f>
        <v/>
      </c>
      <c r="P2783" s="525" t="str">
        <f>IF(AND($L2783=$O$7,$B2783&lt;'111'!$N$11),"x","")</f>
        <v/>
      </c>
      <c r="Q2783" s="525" t="str">
        <f>IF(AND($M2783=$O$7,$B2783&lt;'111'!$N$11),"x","")</f>
        <v/>
      </c>
      <c r="R2783" s="525" t="str">
        <f>IF(ISERROR(FIND('112'!$M$9,G2783,1)),"",IF((AND(FIND('112'!$M$9,G2783,1)&gt;=1,$B2783&gt;='112'!$N$8,$B2783&lt;='112'!$O$8,OR($L2783='112'!$I$6,$M2783='112'!$I$6))),"x",""))</f>
        <v/>
      </c>
      <c r="S2783" s="525" t="str">
        <f>IF(ISERROR(FIND('112'!$M$9,G2783,1)),"",IF((AND(LEFT(G2783,2)=LEFT('112'!$M$9,2),B2783&lt;'112'!$N$8,$L2783='112'!$I$6)),"x",""))</f>
        <v/>
      </c>
      <c r="T2783" s="525" t="str">
        <f>IF(ISERROR(FIND('112'!$M$9,G2783,1)),"",IF((AND(RIGHT(G2783,2)=RIGHT('112'!$M$9,2),B2783&lt;'112'!$N$8,$M2783='112'!$I$6)),"x",""))</f>
        <v/>
      </c>
      <c r="U2783" s="525" t="str">
        <f>IF(AND(B2783&gt;='IN-NX'!$P$3,B2783&lt;='IN-NX'!$Q$3,'IN-NX'!$D$7=D2783,OR(LEFT(L2783,2)="15",AND(LEFT(M2783,2)&lt;&gt;"15",LEFT(M2783,2)&lt;&gt;"33"))),"x","")</f>
        <v/>
      </c>
      <c r="V2783" s="525" t="str">
        <f>IF(AND(OR(LEFT(TH!L2783,2)="15",LEFT(TH!M2783,2)="15"),'152-CT'!$J$8=TH!F2783),"x","")</f>
        <v/>
      </c>
      <c r="W2783" s="525" t="str">
        <f>IF(AND(OR(LEFT(TH!L2783,2)="15",LEFT(TH!M2783,2)="15"),TK!$E$7=TH!F2783),"x","")</f>
        <v/>
      </c>
      <c r="X2783" s="525" t="str">
        <f>IF(AND('341-CT'!$E$9=H2783,OR(LEFT(L2783,3)=$X$7,LEFT(M2783,3)=$X$7)),"x","")</f>
        <v/>
      </c>
      <c r="Y2783" s="525" t="str">
        <f>IF(OR(TH!L2783=TH!$Y$7,M2783=TH!$Y$7),"x","")</f>
        <v/>
      </c>
      <c r="Z2783" s="525" t="str">
        <f>IF(AND(B2783&lt;=NKC!$N$8,B2783&gt;=NKC!$M$8),"x","")</f>
        <v/>
      </c>
      <c r="AA2783" s="535"/>
      <c r="AB2783" s="536"/>
    </row>
    <row r="2784" spans="1:28" s="503" customFormat="1" ht="15.75" customHeight="1">
      <c r="A2784" s="517" t="str">
        <f>IF(B2784&lt;&gt;"",IF(AND(B2784&gt;=_TM1,B2784&lt;=_TM2,OR(TH!L2784="1111",TH!M2784="1111")),TH!D2784,""),"")</f>
        <v/>
      </c>
      <c r="B2784" s="531">
        <f t="shared" si="239"/>
        <v>6</v>
      </c>
      <c r="C2784" s="315">
        <f t="shared" si="240"/>
        <v>42914</v>
      </c>
      <c r="D2784" s="315" t="s">
        <v>946</v>
      </c>
      <c r="E2784" s="315">
        <v>42914</v>
      </c>
      <c r="F2784" s="250" t="s">
        <v>1238</v>
      </c>
      <c r="G2784" s="314" t="s">
        <v>1251</v>
      </c>
      <c r="H2784" s="473" t="s">
        <v>284</v>
      </c>
      <c r="I2784" s="307">
        <v>8</v>
      </c>
      <c r="J2784" s="307">
        <v>95377</v>
      </c>
      <c r="K2784" s="532">
        <f t="shared" si="241"/>
        <v>763016</v>
      </c>
      <c r="L2784" s="534" t="s">
        <v>223</v>
      </c>
      <c r="M2784" s="534" t="s">
        <v>162</v>
      </c>
      <c r="N2784" s="525" t="str">
        <f>IF(AND('331-CT'!$E$7=TH!H2784,OR(L2784="331",M2784="331")),"331",IF(AND(OR(L2784="131",M2784="131"),H2784='131-CT'!$E$7),"131",""))</f>
        <v/>
      </c>
      <c r="O2784" s="525" t="str">
        <f>IF(AND($B2784&gt;='111'!$N$11,$B2784&lt;='111'!$O$11,OR($L2784=$O$7,$M2784=$O$7)),"x","")</f>
        <v/>
      </c>
      <c r="P2784" s="525" t="str">
        <f>IF(AND($L2784=$O$7,$B2784&lt;'111'!$N$11),"x","")</f>
        <v/>
      </c>
      <c r="Q2784" s="525" t="str">
        <f>IF(AND($M2784=$O$7,$B2784&lt;'111'!$N$11),"x","")</f>
        <v/>
      </c>
      <c r="R2784" s="525" t="str">
        <f>IF(ISERROR(FIND('112'!$M$9,G2784,1)),"",IF((AND(FIND('112'!$M$9,G2784,1)&gt;=1,$B2784&gt;='112'!$N$8,$B2784&lt;='112'!$O$8,OR($L2784='112'!$I$6,$M2784='112'!$I$6))),"x",""))</f>
        <v/>
      </c>
      <c r="S2784" s="525" t="str">
        <f>IF(ISERROR(FIND('112'!$M$9,G2784,1)),"",IF((AND(LEFT(G2784,2)=LEFT('112'!$M$9,2),B2784&lt;'112'!$N$8,$L2784='112'!$I$6)),"x",""))</f>
        <v/>
      </c>
      <c r="T2784" s="525" t="str">
        <f>IF(ISERROR(FIND('112'!$M$9,G2784,1)),"",IF((AND(RIGHT(G2784,2)=RIGHT('112'!$M$9,2),B2784&lt;'112'!$N$8,$M2784='112'!$I$6)),"x",""))</f>
        <v/>
      </c>
      <c r="U2784" s="525" t="str">
        <f>IF(AND(B2784&gt;='IN-NX'!$P$3,B2784&lt;='IN-NX'!$Q$3,'IN-NX'!$D$7=D2784,OR(LEFT(L2784,2)="15",AND(LEFT(M2784,2)&lt;&gt;"15",LEFT(M2784,2)&lt;&gt;"33"))),"x","")</f>
        <v/>
      </c>
      <c r="V2784" s="525" t="str">
        <f>IF(AND(OR(LEFT(TH!L2784,2)="15",LEFT(TH!M2784,2)="15"),'152-CT'!$J$8=TH!F2784),"x","")</f>
        <v/>
      </c>
      <c r="W2784" s="525" t="str">
        <f>IF(AND(OR(LEFT(TH!L2784,2)="15",LEFT(TH!M2784,2)="15"),TK!$E$7=TH!F2784),"x","")</f>
        <v/>
      </c>
      <c r="X2784" s="525" t="str">
        <f>IF(AND('341-CT'!$E$9=H2784,OR(LEFT(L2784,3)=$X$7,LEFT(M2784,3)=$X$7)),"x","")</f>
        <v/>
      </c>
      <c r="Y2784" s="525" t="str">
        <f>IF(OR(TH!L2784=TH!$Y$7,M2784=TH!$Y$7),"x","")</f>
        <v/>
      </c>
      <c r="Z2784" s="525" t="str">
        <f>IF(AND(B2784&lt;=NKC!$N$8,B2784&gt;=NKC!$M$8),"x","")</f>
        <v/>
      </c>
      <c r="AA2784" s="535"/>
      <c r="AB2784" s="536"/>
    </row>
    <row r="2785" spans="1:28" s="503" customFormat="1" ht="15.75" customHeight="1">
      <c r="A2785" s="517" t="str">
        <f>IF(B2785&lt;&gt;"",IF(AND(B2785&gt;=_TM1,B2785&lt;=_TM2,OR(TH!L2785="1111",TH!M2785="1111")),TH!D2785,""),"")</f>
        <v/>
      </c>
      <c r="B2785" s="531">
        <f t="shared" si="239"/>
        <v>6</v>
      </c>
      <c r="C2785" s="315">
        <f t="shared" si="240"/>
        <v>42914</v>
      </c>
      <c r="D2785" s="315" t="s">
        <v>946</v>
      </c>
      <c r="E2785" s="315">
        <v>42914</v>
      </c>
      <c r="F2785" s="250" t="s">
        <v>1239</v>
      </c>
      <c r="G2785" s="314" t="s">
        <v>1251</v>
      </c>
      <c r="H2785" s="473" t="s">
        <v>284</v>
      </c>
      <c r="I2785" s="307">
        <v>15</v>
      </c>
      <c r="J2785" s="307">
        <v>83572</v>
      </c>
      <c r="K2785" s="532">
        <f t="shared" si="241"/>
        <v>1253580</v>
      </c>
      <c r="L2785" s="534" t="s">
        <v>223</v>
      </c>
      <c r="M2785" s="534" t="s">
        <v>162</v>
      </c>
      <c r="N2785" s="525" t="str">
        <f>IF(AND('331-CT'!$E$7=TH!H2785,OR(L2785="331",M2785="331")),"331",IF(AND(OR(L2785="131",M2785="131"),H2785='131-CT'!$E$7),"131",""))</f>
        <v/>
      </c>
      <c r="O2785" s="525" t="str">
        <f>IF(AND($B2785&gt;='111'!$N$11,$B2785&lt;='111'!$O$11,OR($L2785=$O$7,$M2785=$O$7)),"x","")</f>
        <v/>
      </c>
      <c r="P2785" s="525" t="str">
        <f>IF(AND($L2785=$O$7,$B2785&lt;'111'!$N$11),"x","")</f>
        <v/>
      </c>
      <c r="Q2785" s="525" t="str">
        <f>IF(AND($M2785=$O$7,$B2785&lt;'111'!$N$11),"x","")</f>
        <v/>
      </c>
      <c r="R2785" s="525" t="str">
        <f>IF(ISERROR(FIND('112'!$M$9,G2785,1)),"",IF((AND(FIND('112'!$M$9,G2785,1)&gt;=1,$B2785&gt;='112'!$N$8,$B2785&lt;='112'!$O$8,OR($L2785='112'!$I$6,$M2785='112'!$I$6))),"x",""))</f>
        <v/>
      </c>
      <c r="S2785" s="525" t="str">
        <f>IF(ISERROR(FIND('112'!$M$9,G2785,1)),"",IF((AND(LEFT(G2785,2)=LEFT('112'!$M$9,2),B2785&lt;'112'!$N$8,$L2785='112'!$I$6)),"x",""))</f>
        <v/>
      </c>
      <c r="T2785" s="525" t="str">
        <f>IF(ISERROR(FIND('112'!$M$9,G2785,1)),"",IF((AND(RIGHT(G2785,2)=RIGHT('112'!$M$9,2),B2785&lt;'112'!$N$8,$M2785='112'!$I$6)),"x",""))</f>
        <v/>
      </c>
      <c r="U2785" s="525" t="str">
        <f>IF(AND(B2785&gt;='IN-NX'!$P$3,B2785&lt;='IN-NX'!$Q$3,'IN-NX'!$D$7=D2785,OR(LEFT(L2785,2)="15",AND(LEFT(M2785,2)&lt;&gt;"15",LEFT(M2785,2)&lt;&gt;"33"))),"x","")</f>
        <v/>
      </c>
      <c r="V2785" s="525" t="str">
        <f>IF(AND(OR(LEFT(TH!L2785,2)="15",LEFT(TH!M2785,2)="15"),'152-CT'!$J$8=TH!F2785),"x","")</f>
        <v/>
      </c>
      <c r="W2785" s="525" t="str">
        <f>IF(AND(OR(LEFT(TH!L2785,2)="15",LEFT(TH!M2785,2)="15"),TK!$E$7=TH!F2785),"x","")</f>
        <v/>
      </c>
      <c r="X2785" s="525" t="str">
        <f>IF(AND('341-CT'!$E$9=H2785,OR(LEFT(L2785,3)=$X$7,LEFT(M2785,3)=$X$7)),"x","")</f>
        <v/>
      </c>
      <c r="Y2785" s="525" t="str">
        <f>IF(OR(TH!L2785=TH!$Y$7,M2785=TH!$Y$7),"x","")</f>
        <v/>
      </c>
      <c r="Z2785" s="525" t="str">
        <f>IF(AND(B2785&lt;=NKC!$N$8,B2785&gt;=NKC!$M$8),"x","")</f>
        <v/>
      </c>
      <c r="AA2785" s="535"/>
      <c r="AB2785" s="536"/>
    </row>
    <row r="2786" spans="1:28" s="503" customFormat="1" ht="15.75" customHeight="1">
      <c r="A2786" s="517" t="str">
        <f>IF(B2786&lt;&gt;"",IF(AND(B2786&gt;=_TM1,B2786&lt;=_TM2,OR(TH!L2786="1111",TH!M2786="1111")),TH!D2786,""),"")</f>
        <v/>
      </c>
      <c r="B2786" s="531">
        <f t="shared" si="239"/>
        <v>6</v>
      </c>
      <c r="C2786" s="315">
        <f t="shared" si="240"/>
        <v>42914</v>
      </c>
      <c r="D2786" s="315" t="s">
        <v>946</v>
      </c>
      <c r="E2786" s="315">
        <v>42914</v>
      </c>
      <c r="F2786" s="250" t="s">
        <v>1240</v>
      </c>
      <c r="G2786" s="314" t="s">
        <v>1251</v>
      </c>
      <c r="H2786" s="473" t="s">
        <v>284</v>
      </c>
      <c r="I2786" s="307">
        <v>20</v>
      </c>
      <c r="J2786" s="307">
        <v>64219</v>
      </c>
      <c r="K2786" s="532">
        <f t="shared" si="241"/>
        <v>1284380</v>
      </c>
      <c r="L2786" s="534" t="s">
        <v>223</v>
      </c>
      <c r="M2786" s="534" t="s">
        <v>162</v>
      </c>
      <c r="N2786" s="525" t="str">
        <f>IF(AND('331-CT'!$E$7=TH!H2786,OR(L2786="331",M2786="331")),"331",IF(AND(OR(L2786="131",M2786="131"),H2786='131-CT'!$E$7),"131",""))</f>
        <v/>
      </c>
      <c r="O2786" s="525" t="str">
        <f>IF(AND($B2786&gt;='111'!$N$11,$B2786&lt;='111'!$O$11,OR($L2786=$O$7,$M2786=$O$7)),"x","")</f>
        <v/>
      </c>
      <c r="P2786" s="525" t="str">
        <f>IF(AND($L2786=$O$7,$B2786&lt;'111'!$N$11),"x","")</f>
        <v/>
      </c>
      <c r="Q2786" s="525" t="str">
        <f>IF(AND($M2786=$O$7,$B2786&lt;'111'!$N$11),"x","")</f>
        <v/>
      </c>
      <c r="R2786" s="525" t="str">
        <f>IF(ISERROR(FIND('112'!$M$9,G2786,1)),"",IF((AND(FIND('112'!$M$9,G2786,1)&gt;=1,$B2786&gt;='112'!$N$8,$B2786&lt;='112'!$O$8,OR($L2786='112'!$I$6,$M2786='112'!$I$6))),"x",""))</f>
        <v/>
      </c>
      <c r="S2786" s="525" t="str">
        <f>IF(ISERROR(FIND('112'!$M$9,G2786,1)),"",IF((AND(LEFT(G2786,2)=LEFT('112'!$M$9,2),B2786&lt;'112'!$N$8,$L2786='112'!$I$6)),"x",""))</f>
        <v/>
      </c>
      <c r="T2786" s="525" t="str">
        <f>IF(ISERROR(FIND('112'!$M$9,G2786,1)),"",IF((AND(RIGHT(G2786,2)=RIGHT('112'!$M$9,2),B2786&lt;'112'!$N$8,$M2786='112'!$I$6)),"x",""))</f>
        <v/>
      </c>
      <c r="U2786" s="525" t="str">
        <f>IF(AND(B2786&gt;='IN-NX'!$P$3,B2786&lt;='IN-NX'!$Q$3,'IN-NX'!$D$7=D2786,OR(LEFT(L2786,2)="15",AND(LEFT(M2786,2)&lt;&gt;"15",LEFT(M2786,2)&lt;&gt;"33"))),"x","")</f>
        <v/>
      </c>
      <c r="V2786" s="525" t="str">
        <f>IF(AND(OR(LEFT(TH!L2786,2)="15",LEFT(TH!M2786,2)="15"),'152-CT'!$J$8=TH!F2786),"x","")</f>
        <v/>
      </c>
      <c r="W2786" s="525" t="str">
        <f>IF(AND(OR(LEFT(TH!L2786,2)="15",LEFT(TH!M2786,2)="15"),TK!$E$7=TH!F2786),"x","")</f>
        <v/>
      </c>
      <c r="X2786" s="525" t="str">
        <f>IF(AND('341-CT'!$E$9=H2786,OR(LEFT(L2786,3)=$X$7,LEFT(M2786,3)=$X$7)),"x","")</f>
        <v/>
      </c>
      <c r="Y2786" s="525" t="str">
        <f>IF(OR(TH!L2786=TH!$Y$7,M2786=TH!$Y$7),"x","")</f>
        <v/>
      </c>
      <c r="Z2786" s="525" t="str">
        <f>IF(AND(B2786&lt;=NKC!$N$8,B2786&gt;=NKC!$M$8),"x","")</f>
        <v/>
      </c>
      <c r="AA2786" s="535"/>
      <c r="AB2786" s="536"/>
    </row>
    <row r="2787" spans="1:28" s="503" customFormat="1" ht="15.75" customHeight="1">
      <c r="A2787" s="517" t="str">
        <f>IF(B2787&lt;&gt;"",IF(AND(B2787&gt;=_TM1,B2787&lt;=_TM2,OR(TH!L2787="1111",TH!M2787="1111")),TH!D2787,""),"")</f>
        <v/>
      </c>
      <c r="B2787" s="531">
        <f t="shared" si="239"/>
        <v>6</v>
      </c>
      <c r="C2787" s="315">
        <f t="shared" si="240"/>
        <v>42914</v>
      </c>
      <c r="D2787" s="315" t="s">
        <v>946</v>
      </c>
      <c r="E2787" s="315">
        <v>42914</v>
      </c>
      <c r="F2787" s="250" t="s">
        <v>1241</v>
      </c>
      <c r="G2787" s="314" t="s">
        <v>1251</v>
      </c>
      <c r="H2787" s="473" t="s">
        <v>284</v>
      </c>
      <c r="I2787" s="307">
        <v>20</v>
      </c>
      <c r="J2787" s="307">
        <v>46537</v>
      </c>
      <c r="K2787" s="532">
        <f t="shared" si="241"/>
        <v>930740</v>
      </c>
      <c r="L2787" s="534" t="s">
        <v>223</v>
      </c>
      <c r="M2787" s="534" t="s">
        <v>162</v>
      </c>
      <c r="N2787" s="525" t="str">
        <f>IF(AND('331-CT'!$E$7=TH!H2787,OR(L2787="331",M2787="331")),"331",IF(AND(OR(L2787="131",M2787="131"),H2787='131-CT'!$E$7),"131",""))</f>
        <v/>
      </c>
      <c r="O2787" s="525" t="str">
        <f>IF(AND($B2787&gt;='111'!$N$11,$B2787&lt;='111'!$O$11,OR($L2787=$O$7,$M2787=$O$7)),"x","")</f>
        <v/>
      </c>
      <c r="P2787" s="525" t="str">
        <f>IF(AND($L2787=$O$7,$B2787&lt;'111'!$N$11),"x","")</f>
        <v/>
      </c>
      <c r="Q2787" s="525" t="str">
        <f>IF(AND($M2787=$O$7,$B2787&lt;'111'!$N$11),"x","")</f>
        <v/>
      </c>
      <c r="R2787" s="525" t="str">
        <f>IF(ISERROR(FIND('112'!$M$9,G2787,1)),"",IF((AND(FIND('112'!$M$9,G2787,1)&gt;=1,$B2787&gt;='112'!$N$8,$B2787&lt;='112'!$O$8,OR($L2787='112'!$I$6,$M2787='112'!$I$6))),"x",""))</f>
        <v/>
      </c>
      <c r="S2787" s="525" t="str">
        <f>IF(ISERROR(FIND('112'!$M$9,G2787,1)),"",IF((AND(LEFT(G2787,2)=LEFT('112'!$M$9,2),B2787&lt;'112'!$N$8,$L2787='112'!$I$6)),"x",""))</f>
        <v/>
      </c>
      <c r="T2787" s="525" t="str">
        <f>IF(ISERROR(FIND('112'!$M$9,G2787,1)),"",IF((AND(RIGHT(G2787,2)=RIGHT('112'!$M$9,2),B2787&lt;'112'!$N$8,$M2787='112'!$I$6)),"x",""))</f>
        <v/>
      </c>
      <c r="U2787" s="525" t="str">
        <f>IF(AND(B2787&gt;='IN-NX'!$P$3,B2787&lt;='IN-NX'!$Q$3,'IN-NX'!$D$7=D2787,OR(LEFT(L2787,2)="15",AND(LEFT(M2787,2)&lt;&gt;"15",LEFT(M2787,2)&lt;&gt;"33"))),"x","")</f>
        <v/>
      </c>
      <c r="V2787" s="525" t="str">
        <f>IF(AND(OR(LEFT(TH!L2787,2)="15",LEFT(TH!M2787,2)="15"),'152-CT'!$J$8=TH!F2787),"x","")</f>
        <v/>
      </c>
      <c r="W2787" s="525" t="str">
        <f>IF(AND(OR(LEFT(TH!L2787,2)="15",LEFT(TH!M2787,2)="15"),TK!$E$7=TH!F2787),"x","")</f>
        <v/>
      </c>
      <c r="X2787" s="525" t="str">
        <f>IF(AND('341-CT'!$E$9=H2787,OR(LEFT(L2787,3)=$X$7,LEFT(M2787,3)=$X$7)),"x","")</f>
        <v/>
      </c>
      <c r="Y2787" s="525" t="str">
        <f>IF(OR(TH!L2787=TH!$Y$7,M2787=TH!$Y$7),"x","")</f>
        <v/>
      </c>
      <c r="Z2787" s="525" t="str">
        <f>IF(AND(B2787&lt;=NKC!$N$8,B2787&gt;=NKC!$M$8),"x","")</f>
        <v/>
      </c>
      <c r="AA2787" s="535"/>
      <c r="AB2787" s="536"/>
    </row>
    <row r="2788" spans="1:28" s="503" customFormat="1" ht="15.75" customHeight="1">
      <c r="A2788" s="517" t="str">
        <f>IF(B2788&lt;&gt;"",IF(AND(B2788&gt;=_TM1,B2788&lt;=_TM2,OR(TH!L2788="1111",TH!M2788="1111")),TH!D2788,""),"")</f>
        <v/>
      </c>
      <c r="B2788" s="531">
        <f t="shared" si="239"/>
        <v>6</v>
      </c>
      <c r="C2788" s="315">
        <f t="shared" si="240"/>
        <v>42914</v>
      </c>
      <c r="D2788" s="315" t="s">
        <v>946</v>
      </c>
      <c r="E2788" s="315">
        <v>42914</v>
      </c>
      <c r="F2788" s="250" t="s">
        <v>1242</v>
      </c>
      <c r="G2788" s="314" t="s">
        <v>1251</v>
      </c>
      <c r="H2788" s="473" t="s">
        <v>284</v>
      </c>
      <c r="I2788" s="307">
        <v>15</v>
      </c>
      <c r="J2788" s="307">
        <v>52881</v>
      </c>
      <c r="K2788" s="532">
        <f t="shared" si="241"/>
        <v>793215</v>
      </c>
      <c r="L2788" s="534" t="s">
        <v>223</v>
      </c>
      <c r="M2788" s="534" t="s">
        <v>162</v>
      </c>
      <c r="N2788" s="525" t="str">
        <f>IF(AND('331-CT'!$E$7=TH!H2788,OR(L2788="331",M2788="331")),"331",IF(AND(OR(L2788="131",M2788="131"),H2788='131-CT'!$E$7),"131",""))</f>
        <v/>
      </c>
      <c r="O2788" s="525" t="str">
        <f>IF(AND($B2788&gt;='111'!$N$11,$B2788&lt;='111'!$O$11,OR($L2788=$O$7,$M2788=$O$7)),"x","")</f>
        <v/>
      </c>
      <c r="P2788" s="525" t="str">
        <f>IF(AND($L2788=$O$7,$B2788&lt;'111'!$N$11),"x","")</f>
        <v/>
      </c>
      <c r="Q2788" s="525" t="str">
        <f>IF(AND($M2788=$O$7,$B2788&lt;'111'!$N$11),"x","")</f>
        <v/>
      </c>
      <c r="R2788" s="525" t="str">
        <f>IF(ISERROR(FIND('112'!$M$9,G2788,1)),"",IF((AND(FIND('112'!$M$9,G2788,1)&gt;=1,$B2788&gt;='112'!$N$8,$B2788&lt;='112'!$O$8,OR($L2788='112'!$I$6,$M2788='112'!$I$6))),"x",""))</f>
        <v/>
      </c>
      <c r="S2788" s="525" t="str">
        <f>IF(ISERROR(FIND('112'!$M$9,G2788,1)),"",IF((AND(LEFT(G2788,2)=LEFT('112'!$M$9,2),B2788&lt;'112'!$N$8,$L2788='112'!$I$6)),"x",""))</f>
        <v/>
      </c>
      <c r="T2788" s="525" t="str">
        <f>IF(ISERROR(FIND('112'!$M$9,G2788,1)),"",IF((AND(RIGHT(G2788,2)=RIGHT('112'!$M$9,2),B2788&lt;'112'!$N$8,$M2788='112'!$I$6)),"x",""))</f>
        <v/>
      </c>
      <c r="U2788" s="525" t="str">
        <f>IF(AND(B2788&gt;='IN-NX'!$P$3,B2788&lt;='IN-NX'!$Q$3,'IN-NX'!$D$7=D2788,OR(LEFT(L2788,2)="15",AND(LEFT(M2788,2)&lt;&gt;"15",LEFT(M2788,2)&lt;&gt;"33"))),"x","")</f>
        <v/>
      </c>
      <c r="V2788" s="525" t="str">
        <f>IF(AND(OR(LEFT(TH!L2788,2)="15",LEFT(TH!M2788,2)="15"),'152-CT'!$J$8=TH!F2788),"x","")</f>
        <v/>
      </c>
      <c r="W2788" s="525" t="str">
        <f>IF(AND(OR(LEFT(TH!L2788,2)="15",LEFT(TH!M2788,2)="15"),TK!$E$7=TH!F2788),"x","")</f>
        <v/>
      </c>
      <c r="X2788" s="525" t="str">
        <f>IF(AND('341-CT'!$E$9=H2788,OR(LEFT(L2788,3)=$X$7,LEFT(M2788,3)=$X$7)),"x","")</f>
        <v/>
      </c>
      <c r="Y2788" s="525" t="str">
        <f>IF(OR(TH!L2788=TH!$Y$7,M2788=TH!$Y$7),"x","")</f>
        <v/>
      </c>
      <c r="Z2788" s="525" t="str">
        <f>IF(AND(B2788&lt;=NKC!$N$8,B2788&gt;=NKC!$M$8),"x","")</f>
        <v/>
      </c>
      <c r="AA2788" s="535"/>
      <c r="AB2788" s="536"/>
    </row>
    <row r="2789" spans="1:28" s="503" customFormat="1" ht="15.75" customHeight="1">
      <c r="A2789" s="517" t="str">
        <f>IF(B2789&lt;&gt;"",IF(AND(B2789&gt;=_TM1,B2789&lt;=_TM2,OR(TH!L2789="1111",TH!M2789="1111")),TH!D2789,""),"")</f>
        <v/>
      </c>
      <c r="B2789" s="531">
        <f t="shared" si="239"/>
        <v>6</v>
      </c>
      <c r="C2789" s="315">
        <f t="shared" si="240"/>
        <v>42914</v>
      </c>
      <c r="D2789" s="315" t="s">
        <v>947</v>
      </c>
      <c r="E2789" s="315">
        <v>42914</v>
      </c>
      <c r="F2789" s="250" t="s">
        <v>1160</v>
      </c>
      <c r="G2789" s="314" t="s">
        <v>1251</v>
      </c>
      <c r="H2789" s="473" t="s">
        <v>284</v>
      </c>
      <c r="I2789" s="307">
        <v>30</v>
      </c>
      <c r="J2789" s="307">
        <v>66202</v>
      </c>
      <c r="K2789" s="532">
        <f t="shared" si="241"/>
        <v>1986060</v>
      </c>
      <c r="L2789" s="534" t="s">
        <v>223</v>
      </c>
      <c r="M2789" s="534" t="s">
        <v>162</v>
      </c>
      <c r="N2789" s="525" t="str">
        <f>IF(AND('331-CT'!$E$7=TH!H2789,OR(L2789="331",M2789="331")),"331",IF(AND(OR(L2789="131",M2789="131"),H2789='131-CT'!$E$7),"131",""))</f>
        <v/>
      </c>
      <c r="O2789" s="525" t="str">
        <f>IF(AND($B2789&gt;='111'!$N$11,$B2789&lt;='111'!$O$11,OR($L2789=$O$7,$M2789=$O$7)),"x","")</f>
        <v/>
      </c>
      <c r="P2789" s="525" t="str">
        <f>IF(AND($L2789=$O$7,$B2789&lt;'111'!$N$11),"x","")</f>
        <v/>
      </c>
      <c r="Q2789" s="525" t="str">
        <f>IF(AND($M2789=$O$7,$B2789&lt;'111'!$N$11),"x","")</f>
        <v/>
      </c>
      <c r="R2789" s="525" t="str">
        <f>IF(ISERROR(FIND('112'!$M$9,G2789,1)),"",IF((AND(FIND('112'!$M$9,G2789,1)&gt;=1,$B2789&gt;='112'!$N$8,$B2789&lt;='112'!$O$8,OR($L2789='112'!$I$6,$M2789='112'!$I$6))),"x",""))</f>
        <v/>
      </c>
      <c r="S2789" s="525" t="str">
        <f>IF(ISERROR(FIND('112'!$M$9,G2789,1)),"",IF((AND(LEFT(G2789,2)=LEFT('112'!$M$9,2),B2789&lt;'112'!$N$8,$L2789='112'!$I$6)),"x",""))</f>
        <v/>
      </c>
      <c r="T2789" s="525" t="str">
        <f>IF(ISERROR(FIND('112'!$M$9,G2789,1)),"",IF((AND(RIGHT(G2789,2)=RIGHT('112'!$M$9,2),B2789&lt;'112'!$N$8,$M2789='112'!$I$6)),"x",""))</f>
        <v/>
      </c>
      <c r="U2789" s="525" t="str">
        <f>IF(AND(B2789&gt;='IN-NX'!$P$3,B2789&lt;='IN-NX'!$Q$3,'IN-NX'!$D$7=D2789,OR(LEFT(L2789,2)="15",AND(LEFT(M2789,2)&lt;&gt;"15",LEFT(M2789,2)&lt;&gt;"33"))),"x","")</f>
        <v/>
      </c>
      <c r="V2789" s="525" t="str">
        <f>IF(AND(OR(LEFT(TH!L2789,2)="15",LEFT(TH!M2789,2)="15"),'152-CT'!$J$8=TH!F2789),"x","")</f>
        <v/>
      </c>
      <c r="W2789" s="525" t="str">
        <f>IF(AND(OR(LEFT(TH!L2789,2)="15",LEFT(TH!M2789,2)="15"),TK!$E$7=TH!F2789),"x","")</f>
        <v/>
      </c>
      <c r="X2789" s="525" t="str">
        <f>IF(AND('341-CT'!$E$9=H2789,OR(LEFT(L2789,3)=$X$7,LEFT(M2789,3)=$X$7)),"x","")</f>
        <v/>
      </c>
      <c r="Y2789" s="525" t="str">
        <f>IF(OR(TH!L2789=TH!$Y$7,M2789=TH!$Y$7),"x","")</f>
        <v/>
      </c>
      <c r="Z2789" s="525" t="str">
        <f>IF(AND(B2789&lt;=NKC!$N$8,B2789&gt;=NKC!$M$8),"x","")</f>
        <v/>
      </c>
      <c r="AA2789" s="535"/>
      <c r="AB2789" s="536"/>
    </row>
    <row r="2790" spans="1:28" s="503" customFormat="1" ht="15.75" customHeight="1">
      <c r="A2790" s="517" t="str">
        <f>IF(B2790&lt;&gt;"",IF(AND(B2790&gt;=_TM1,B2790&lt;=_TM2,OR(TH!L2790="1111",TH!M2790="1111")),TH!D2790,""),"")</f>
        <v/>
      </c>
      <c r="B2790" s="531">
        <f t="shared" si="239"/>
        <v>6</v>
      </c>
      <c r="C2790" s="315">
        <f t="shared" si="240"/>
        <v>42914</v>
      </c>
      <c r="D2790" s="315" t="s">
        <v>947</v>
      </c>
      <c r="E2790" s="315">
        <v>42914</v>
      </c>
      <c r="F2790" s="250" t="s">
        <v>654</v>
      </c>
      <c r="G2790" s="314" t="s">
        <v>1251</v>
      </c>
      <c r="H2790" s="473" t="s">
        <v>284</v>
      </c>
      <c r="I2790" s="307">
        <v>12</v>
      </c>
      <c r="J2790" s="307">
        <v>75615</v>
      </c>
      <c r="K2790" s="532">
        <f t="shared" si="241"/>
        <v>907380</v>
      </c>
      <c r="L2790" s="534" t="s">
        <v>223</v>
      </c>
      <c r="M2790" s="534" t="s">
        <v>162</v>
      </c>
      <c r="N2790" s="525" t="str">
        <f>IF(AND('331-CT'!$E$7=TH!H2790,OR(L2790="331",M2790="331")),"331",IF(AND(OR(L2790="131",M2790="131"),H2790='131-CT'!$E$7),"131",""))</f>
        <v/>
      </c>
      <c r="O2790" s="525" t="str">
        <f>IF(AND($B2790&gt;='111'!$N$11,$B2790&lt;='111'!$O$11,OR($L2790=$O$7,$M2790=$O$7)),"x","")</f>
        <v/>
      </c>
      <c r="P2790" s="525" t="str">
        <f>IF(AND($L2790=$O$7,$B2790&lt;'111'!$N$11),"x","")</f>
        <v/>
      </c>
      <c r="Q2790" s="525" t="str">
        <f>IF(AND($M2790=$O$7,$B2790&lt;'111'!$N$11),"x","")</f>
        <v/>
      </c>
      <c r="R2790" s="525" t="str">
        <f>IF(ISERROR(FIND('112'!$M$9,G2790,1)),"",IF((AND(FIND('112'!$M$9,G2790,1)&gt;=1,$B2790&gt;='112'!$N$8,$B2790&lt;='112'!$O$8,OR($L2790='112'!$I$6,$M2790='112'!$I$6))),"x",""))</f>
        <v/>
      </c>
      <c r="S2790" s="525" t="str">
        <f>IF(ISERROR(FIND('112'!$M$9,G2790,1)),"",IF((AND(LEFT(G2790,2)=LEFT('112'!$M$9,2),B2790&lt;'112'!$N$8,$L2790='112'!$I$6)),"x",""))</f>
        <v/>
      </c>
      <c r="T2790" s="525" t="str">
        <f>IF(ISERROR(FIND('112'!$M$9,G2790,1)),"",IF((AND(RIGHT(G2790,2)=RIGHT('112'!$M$9,2),B2790&lt;'112'!$N$8,$M2790='112'!$I$6)),"x",""))</f>
        <v/>
      </c>
      <c r="U2790" s="525" t="str">
        <f>IF(AND(B2790&gt;='IN-NX'!$P$3,B2790&lt;='IN-NX'!$Q$3,'IN-NX'!$D$7=D2790,OR(LEFT(L2790,2)="15",AND(LEFT(M2790,2)&lt;&gt;"15",LEFT(M2790,2)&lt;&gt;"33"))),"x","")</f>
        <v/>
      </c>
      <c r="V2790" s="525" t="str">
        <f>IF(AND(OR(LEFT(TH!L2790,2)="15",LEFT(TH!M2790,2)="15"),'152-CT'!$J$8=TH!F2790),"x","")</f>
        <v/>
      </c>
      <c r="W2790" s="525" t="str">
        <f>IF(AND(OR(LEFT(TH!L2790,2)="15",LEFT(TH!M2790,2)="15"),TK!$E$7=TH!F2790),"x","")</f>
        <v/>
      </c>
      <c r="X2790" s="525" t="str">
        <f>IF(AND('341-CT'!$E$9=H2790,OR(LEFT(L2790,3)=$X$7,LEFT(M2790,3)=$X$7)),"x","")</f>
        <v/>
      </c>
      <c r="Y2790" s="525" t="str">
        <f>IF(OR(TH!L2790=TH!$Y$7,M2790=TH!$Y$7),"x","")</f>
        <v/>
      </c>
      <c r="Z2790" s="525" t="str">
        <f>IF(AND(B2790&lt;=NKC!$N$8,B2790&gt;=NKC!$M$8),"x","")</f>
        <v/>
      </c>
      <c r="AA2790" s="535"/>
      <c r="AB2790" s="536"/>
    </row>
    <row r="2791" spans="1:28" s="503" customFormat="1" ht="15.75" customHeight="1">
      <c r="A2791" s="517" t="str">
        <f>IF(B2791&lt;&gt;"",IF(AND(B2791&gt;=_TM1,B2791&lt;=_TM2,OR(TH!L2791="1111",TH!M2791="1111")),TH!D2791,""),"")</f>
        <v/>
      </c>
      <c r="B2791" s="531">
        <f t="shared" si="239"/>
        <v>6</v>
      </c>
      <c r="C2791" s="315">
        <f t="shared" si="240"/>
        <v>42914</v>
      </c>
      <c r="D2791" s="315" t="s">
        <v>947</v>
      </c>
      <c r="E2791" s="315">
        <v>42914</v>
      </c>
      <c r="F2791" s="250" t="s">
        <v>1243</v>
      </c>
      <c r="G2791" s="314" t="s">
        <v>1251</v>
      </c>
      <c r="H2791" s="473" t="s">
        <v>284</v>
      </c>
      <c r="I2791" s="307">
        <v>40</v>
      </c>
      <c r="J2791" s="307">
        <v>89244</v>
      </c>
      <c r="K2791" s="532">
        <f t="shared" si="241"/>
        <v>3569760</v>
      </c>
      <c r="L2791" s="534" t="s">
        <v>223</v>
      </c>
      <c r="M2791" s="534" t="s">
        <v>162</v>
      </c>
      <c r="N2791" s="525" t="str">
        <f>IF(AND('331-CT'!$E$7=TH!H2791,OR(L2791="331",M2791="331")),"331",IF(AND(OR(L2791="131",M2791="131"),H2791='131-CT'!$E$7),"131",""))</f>
        <v/>
      </c>
      <c r="O2791" s="525" t="str">
        <f>IF(AND($B2791&gt;='111'!$N$11,$B2791&lt;='111'!$O$11,OR($L2791=$O$7,$M2791=$O$7)),"x","")</f>
        <v/>
      </c>
      <c r="P2791" s="525" t="str">
        <f>IF(AND($L2791=$O$7,$B2791&lt;'111'!$N$11),"x","")</f>
        <v/>
      </c>
      <c r="Q2791" s="525" t="str">
        <f>IF(AND($M2791=$O$7,$B2791&lt;'111'!$N$11),"x","")</f>
        <v/>
      </c>
      <c r="R2791" s="525" t="str">
        <f>IF(ISERROR(FIND('112'!$M$9,G2791,1)),"",IF((AND(FIND('112'!$M$9,G2791,1)&gt;=1,$B2791&gt;='112'!$N$8,$B2791&lt;='112'!$O$8,OR($L2791='112'!$I$6,$M2791='112'!$I$6))),"x",""))</f>
        <v/>
      </c>
      <c r="S2791" s="525" t="str">
        <f>IF(ISERROR(FIND('112'!$M$9,G2791,1)),"",IF((AND(LEFT(G2791,2)=LEFT('112'!$M$9,2),B2791&lt;'112'!$N$8,$L2791='112'!$I$6)),"x",""))</f>
        <v/>
      </c>
      <c r="T2791" s="525" t="str">
        <f>IF(ISERROR(FIND('112'!$M$9,G2791,1)),"",IF((AND(RIGHT(G2791,2)=RIGHT('112'!$M$9,2),B2791&lt;'112'!$N$8,$M2791='112'!$I$6)),"x",""))</f>
        <v/>
      </c>
      <c r="U2791" s="525" t="str">
        <f>IF(AND(B2791&gt;='IN-NX'!$P$3,B2791&lt;='IN-NX'!$Q$3,'IN-NX'!$D$7=D2791,OR(LEFT(L2791,2)="15",AND(LEFT(M2791,2)&lt;&gt;"15",LEFT(M2791,2)&lt;&gt;"33"))),"x","")</f>
        <v/>
      </c>
      <c r="V2791" s="525" t="str">
        <f>IF(AND(OR(LEFT(TH!L2791,2)="15",LEFT(TH!M2791,2)="15"),'152-CT'!$J$8=TH!F2791),"x","")</f>
        <v/>
      </c>
      <c r="W2791" s="525" t="str">
        <f>IF(AND(OR(LEFT(TH!L2791,2)="15",LEFT(TH!M2791,2)="15"),TK!$E$7=TH!F2791),"x","")</f>
        <v/>
      </c>
      <c r="X2791" s="525" t="str">
        <f>IF(AND('341-CT'!$E$9=H2791,OR(LEFT(L2791,3)=$X$7,LEFT(M2791,3)=$X$7)),"x","")</f>
        <v/>
      </c>
      <c r="Y2791" s="525" t="str">
        <f>IF(OR(TH!L2791=TH!$Y$7,M2791=TH!$Y$7),"x","")</f>
        <v/>
      </c>
      <c r="Z2791" s="525" t="str">
        <f>IF(AND(B2791&lt;=NKC!$N$8,B2791&gt;=NKC!$M$8),"x","")</f>
        <v/>
      </c>
      <c r="AA2791" s="535"/>
      <c r="AB2791" s="536"/>
    </row>
    <row r="2792" spans="1:28" s="503" customFormat="1" ht="15.75" customHeight="1">
      <c r="A2792" s="517" t="str">
        <f>IF(B2792&lt;&gt;"",IF(AND(B2792&gt;=_TM1,B2792&lt;=_TM2,OR(TH!L2792="1111",TH!M2792="1111")),TH!D2792,""),"")</f>
        <v/>
      </c>
      <c r="B2792" s="531">
        <f t="shared" si="239"/>
        <v>6</v>
      </c>
      <c r="C2792" s="315">
        <f t="shared" si="240"/>
        <v>42914</v>
      </c>
      <c r="D2792" s="315" t="s">
        <v>947</v>
      </c>
      <c r="E2792" s="315">
        <v>42914</v>
      </c>
      <c r="F2792" s="250" t="s">
        <v>705</v>
      </c>
      <c r="G2792" s="314" t="s">
        <v>1251</v>
      </c>
      <c r="H2792" s="473" t="s">
        <v>284</v>
      </c>
      <c r="I2792" s="307">
        <v>8</v>
      </c>
      <c r="J2792" s="307">
        <v>49805</v>
      </c>
      <c r="K2792" s="532">
        <f t="shared" si="241"/>
        <v>398440</v>
      </c>
      <c r="L2792" s="534" t="s">
        <v>223</v>
      </c>
      <c r="M2792" s="534" t="s">
        <v>162</v>
      </c>
      <c r="N2792" s="525" t="str">
        <f>IF(AND('331-CT'!$E$7=TH!H2792,OR(L2792="331",M2792="331")),"331",IF(AND(OR(L2792="131",M2792="131"),H2792='131-CT'!$E$7),"131",""))</f>
        <v/>
      </c>
      <c r="O2792" s="525" t="str">
        <f>IF(AND($B2792&gt;='111'!$N$11,$B2792&lt;='111'!$O$11,OR($L2792=$O$7,$M2792=$O$7)),"x","")</f>
        <v/>
      </c>
      <c r="P2792" s="525" t="str">
        <f>IF(AND($L2792=$O$7,$B2792&lt;'111'!$N$11),"x","")</f>
        <v/>
      </c>
      <c r="Q2792" s="525" t="str">
        <f>IF(AND($M2792=$O$7,$B2792&lt;'111'!$N$11),"x","")</f>
        <v/>
      </c>
      <c r="R2792" s="525" t="str">
        <f>IF(ISERROR(FIND('112'!$M$9,G2792,1)),"",IF((AND(FIND('112'!$M$9,G2792,1)&gt;=1,$B2792&gt;='112'!$N$8,$B2792&lt;='112'!$O$8,OR($L2792='112'!$I$6,$M2792='112'!$I$6))),"x",""))</f>
        <v/>
      </c>
      <c r="S2792" s="525" t="str">
        <f>IF(ISERROR(FIND('112'!$M$9,G2792,1)),"",IF((AND(LEFT(G2792,2)=LEFT('112'!$M$9,2),B2792&lt;'112'!$N$8,$L2792='112'!$I$6)),"x",""))</f>
        <v/>
      </c>
      <c r="T2792" s="525" t="str">
        <f>IF(ISERROR(FIND('112'!$M$9,G2792,1)),"",IF((AND(RIGHT(G2792,2)=RIGHT('112'!$M$9,2),B2792&lt;'112'!$N$8,$M2792='112'!$I$6)),"x",""))</f>
        <v/>
      </c>
      <c r="U2792" s="525" t="str">
        <f>IF(AND(B2792&gt;='IN-NX'!$P$3,B2792&lt;='IN-NX'!$Q$3,'IN-NX'!$D$7=D2792,OR(LEFT(L2792,2)="15",AND(LEFT(M2792,2)&lt;&gt;"15",LEFT(M2792,2)&lt;&gt;"33"))),"x","")</f>
        <v/>
      </c>
      <c r="V2792" s="525" t="str">
        <f>IF(AND(OR(LEFT(TH!L2792,2)="15",LEFT(TH!M2792,2)="15"),'152-CT'!$J$8=TH!F2792),"x","")</f>
        <v/>
      </c>
      <c r="W2792" s="525" t="str">
        <f>IF(AND(OR(LEFT(TH!L2792,2)="15",LEFT(TH!M2792,2)="15"),TK!$E$7=TH!F2792),"x","")</f>
        <v/>
      </c>
      <c r="X2792" s="525" t="str">
        <f>IF(AND('341-CT'!$E$9=H2792,OR(LEFT(L2792,3)=$X$7,LEFT(M2792,3)=$X$7)),"x","")</f>
        <v/>
      </c>
      <c r="Y2792" s="525" t="str">
        <f>IF(OR(TH!L2792=TH!$Y$7,M2792=TH!$Y$7),"x","")</f>
        <v/>
      </c>
      <c r="Z2792" s="525" t="str">
        <f>IF(AND(B2792&lt;=NKC!$N$8,B2792&gt;=NKC!$M$8),"x","")</f>
        <v/>
      </c>
      <c r="AA2792" s="535"/>
      <c r="AB2792" s="536"/>
    </row>
    <row r="2793" spans="1:28" s="503" customFormat="1" ht="15.75" customHeight="1">
      <c r="A2793" s="517" t="str">
        <f>IF(B2793&lt;&gt;"",IF(AND(B2793&gt;=_TM1,B2793&lt;=_TM2,OR(TH!L2793="1111",TH!M2793="1111")),TH!D2793,""),"")</f>
        <v/>
      </c>
      <c r="B2793" s="531">
        <f t="shared" si="239"/>
        <v>6</v>
      </c>
      <c r="C2793" s="315">
        <f t="shared" si="240"/>
        <v>42914</v>
      </c>
      <c r="D2793" s="315" t="s">
        <v>947</v>
      </c>
      <c r="E2793" s="315">
        <v>42914</v>
      </c>
      <c r="F2793" s="250" t="s">
        <v>708</v>
      </c>
      <c r="G2793" s="314" t="s">
        <v>1251</v>
      </c>
      <c r="H2793" s="473" t="s">
        <v>284</v>
      </c>
      <c r="I2793" s="307">
        <v>42</v>
      </c>
      <c r="J2793" s="307">
        <v>38029</v>
      </c>
      <c r="K2793" s="532">
        <f t="shared" ref="K2793:K2812" si="242">ROUND(I2793*J2793,0)</f>
        <v>1597218</v>
      </c>
      <c r="L2793" s="534" t="s">
        <v>223</v>
      </c>
      <c r="M2793" s="534" t="s">
        <v>162</v>
      </c>
      <c r="N2793" s="525" t="str">
        <f>IF(AND('331-CT'!$E$7=TH!H2793,OR(L2793="331",M2793="331")),"331",IF(AND(OR(L2793="131",M2793="131"),H2793='131-CT'!$E$7),"131",""))</f>
        <v/>
      </c>
      <c r="O2793" s="525" t="str">
        <f>IF(AND($B2793&gt;='111'!$N$11,$B2793&lt;='111'!$O$11,OR($L2793=$O$7,$M2793=$O$7)),"x","")</f>
        <v/>
      </c>
      <c r="P2793" s="525" t="str">
        <f>IF(AND($L2793=$O$7,$B2793&lt;'111'!$N$11),"x","")</f>
        <v/>
      </c>
      <c r="Q2793" s="525" t="str">
        <f>IF(AND($M2793=$O$7,$B2793&lt;'111'!$N$11),"x","")</f>
        <v/>
      </c>
      <c r="R2793" s="525" t="str">
        <f>IF(ISERROR(FIND('112'!$M$9,G2793,1)),"",IF((AND(FIND('112'!$M$9,G2793,1)&gt;=1,$B2793&gt;='112'!$N$8,$B2793&lt;='112'!$O$8,OR($L2793='112'!$I$6,$M2793='112'!$I$6))),"x",""))</f>
        <v/>
      </c>
      <c r="S2793" s="525" t="str">
        <f>IF(ISERROR(FIND('112'!$M$9,G2793,1)),"",IF((AND(LEFT(G2793,2)=LEFT('112'!$M$9,2),B2793&lt;'112'!$N$8,$L2793='112'!$I$6)),"x",""))</f>
        <v/>
      </c>
      <c r="T2793" s="525" t="str">
        <f>IF(ISERROR(FIND('112'!$M$9,G2793,1)),"",IF((AND(RIGHT(G2793,2)=RIGHT('112'!$M$9,2),B2793&lt;'112'!$N$8,$M2793='112'!$I$6)),"x",""))</f>
        <v/>
      </c>
      <c r="U2793" s="525" t="str">
        <f>IF(AND(B2793&gt;='IN-NX'!$P$3,B2793&lt;='IN-NX'!$Q$3,'IN-NX'!$D$7=D2793,OR(LEFT(L2793,2)="15",AND(LEFT(M2793,2)&lt;&gt;"15",LEFT(M2793,2)&lt;&gt;"33"))),"x","")</f>
        <v/>
      </c>
      <c r="V2793" s="525" t="str">
        <f>IF(AND(OR(LEFT(TH!L2793,2)="15",LEFT(TH!M2793,2)="15"),'152-CT'!$J$8=TH!F2793),"x","")</f>
        <v/>
      </c>
      <c r="W2793" s="525" t="str">
        <f>IF(AND(OR(LEFT(TH!L2793,2)="15",LEFT(TH!M2793,2)="15"),TK!$E$7=TH!F2793),"x","")</f>
        <v/>
      </c>
      <c r="X2793" s="525" t="str">
        <f>IF(AND('341-CT'!$E$9=H2793,OR(LEFT(L2793,3)=$X$7,LEFT(M2793,3)=$X$7)),"x","")</f>
        <v/>
      </c>
      <c r="Y2793" s="525" t="str">
        <f>IF(OR(TH!L2793=TH!$Y$7,M2793=TH!$Y$7),"x","")</f>
        <v/>
      </c>
      <c r="Z2793" s="525" t="str">
        <f>IF(AND(B2793&lt;=NKC!$N$8,B2793&gt;=NKC!$M$8),"x","")</f>
        <v/>
      </c>
      <c r="AA2793" s="535"/>
      <c r="AB2793" s="536"/>
    </row>
    <row r="2794" spans="1:28" s="503" customFormat="1" ht="15.75" customHeight="1">
      <c r="A2794" s="517" t="str">
        <f>IF(B2794&lt;&gt;"",IF(AND(B2794&gt;=_TM1,B2794&lt;=_TM2,OR(TH!L2794="1111",TH!M2794="1111")),TH!D2794,""),"")</f>
        <v/>
      </c>
      <c r="B2794" s="531">
        <f t="shared" si="239"/>
        <v>6</v>
      </c>
      <c r="C2794" s="315">
        <f t="shared" si="240"/>
        <v>42914</v>
      </c>
      <c r="D2794" s="315" t="s">
        <v>947</v>
      </c>
      <c r="E2794" s="315">
        <v>42914</v>
      </c>
      <c r="F2794" s="250" t="s">
        <v>761</v>
      </c>
      <c r="G2794" s="314" t="s">
        <v>1251</v>
      </c>
      <c r="H2794" s="473" t="s">
        <v>284</v>
      </c>
      <c r="I2794" s="307">
        <v>24</v>
      </c>
      <c r="J2794" s="307">
        <v>24350</v>
      </c>
      <c r="K2794" s="532">
        <f t="shared" si="242"/>
        <v>584400</v>
      </c>
      <c r="L2794" s="534" t="s">
        <v>223</v>
      </c>
      <c r="M2794" s="534" t="s">
        <v>162</v>
      </c>
      <c r="N2794" s="525" t="str">
        <f>IF(AND('331-CT'!$E$7=TH!H2794,OR(L2794="331",M2794="331")),"331",IF(AND(OR(L2794="131",M2794="131"),H2794='131-CT'!$E$7),"131",""))</f>
        <v/>
      </c>
      <c r="O2794" s="525" t="str">
        <f>IF(AND($B2794&gt;='111'!$N$11,$B2794&lt;='111'!$O$11,OR($L2794=$O$7,$M2794=$O$7)),"x","")</f>
        <v/>
      </c>
      <c r="P2794" s="525" t="str">
        <f>IF(AND($L2794=$O$7,$B2794&lt;'111'!$N$11),"x","")</f>
        <v/>
      </c>
      <c r="Q2794" s="525" t="str">
        <f>IF(AND($M2794=$O$7,$B2794&lt;'111'!$N$11),"x","")</f>
        <v/>
      </c>
      <c r="R2794" s="525" t="str">
        <f>IF(ISERROR(FIND('112'!$M$9,G2794,1)),"",IF((AND(FIND('112'!$M$9,G2794,1)&gt;=1,$B2794&gt;='112'!$N$8,$B2794&lt;='112'!$O$8,OR($L2794='112'!$I$6,$M2794='112'!$I$6))),"x",""))</f>
        <v/>
      </c>
      <c r="S2794" s="525" t="str">
        <f>IF(ISERROR(FIND('112'!$M$9,G2794,1)),"",IF((AND(LEFT(G2794,2)=LEFT('112'!$M$9,2),B2794&lt;'112'!$N$8,$L2794='112'!$I$6)),"x",""))</f>
        <v/>
      </c>
      <c r="T2794" s="525" t="str">
        <f>IF(ISERROR(FIND('112'!$M$9,G2794,1)),"",IF((AND(RIGHT(G2794,2)=RIGHT('112'!$M$9,2),B2794&lt;'112'!$N$8,$M2794='112'!$I$6)),"x",""))</f>
        <v/>
      </c>
      <c r="U2794" s="525" t="str">
        <f>IF(AND(B2794&gt;='IN-NX'!$P$3,B2794&lt;='IN-NX'!$Q$3,'IN-NX'!$D$7=D2794,OR(LEFT(L2794,2)="15",AND(LEFT(M2794,2)&lt;&gt;"15",LEFT(M2794,2)&lt;&gt;"33"))),"x","")</f>
        <v/>
      </c>
      <c r="V2794" s="525" t="str">
        <f>IF(AND(OR(LEFT(TH!L2794,2)="15",LEFT(TH!M2794,2)="15"),'152-CT'!$J$8=TH!F2794),"x","")</f>
        <v/>
      </c>
      <c r="W2794" s="525" t="str">
        <f>IF(AND(OR(LEFT(TH!L2794,2)="15",LEFT(TH!M2794,2)="15"),TK!$E$7=TH!F2794),"x","")</f>
        <v/>
      </c>
      <c r="X2794" s="525" t="str">
        <f>IF(AND('341-CT'!$E$9=H2794,OR(LEFT(L2794,3)=$X$7,LEFT(M2794,3)=$X$7)),"x","")</f>
        <v/>
      </c>
      <c r="Y2794" s="525" t="str">
        <f>IF(OR(TH!L2794=TH!$Y$7,M2794=TH!$Y$7),"x","")</f>
        <v/>
      </c>
      <c r="Z2794" s="525" t="str">
        <f>IF(AND(B2794&lt;=NKC!$N$8,B2794&gt;=NKC!$M$8),"x","")</f>
        <v/>
      </c>
      <c r="AA2794" s="535"/>
      <c r="AB2794" s="536"/>
    </row>
    <row r="2795" spans="1:28" s="503" customFormat="1" ht="15.75" customHeight="1">
      <c r="A2795" s="517" t="str">
        <f>IF(B2795&lt;&gt;"",IF(AND(B2795&gt;=_TM1,B2795&lt;=_TM2,OR(TH!L2795="1111",TH!M2795="1111")),TH!D2795,""),"")</f>
        <v/>
      </c>
      <c r="B2795" s="531">
        <f t="shared" si="239"/>
        <v>6</v>
      </c>
      <c r="C2795" s="315">
        <f t="shared" si="240"/>
        <v>42914</v>
      </c>
      <c r="D2795" s="315" t="s">
        <v>947</v>
      </c>
      <c r="E2795" s="315">
        <v>42914</v>
      </c>
      <c r="F2795" s="250" t="s">
        <v>704</v>
      </c>
      <c r="G2795" s="314" t="s">
        <v>1251</v>
      </c>
      <c r="H2795" s="473" t="s">
        <v>284</v>
      </c>
      <c r="I2795" s="307">
        <v>102</v>
      </c>
      <c r="J2795" s="307">
        <v>17965</v>
      </c>
      <c r="K2795" s="532">
        <f t="shared" si="242"/>
        <v>1832430</v>
      </c>
      <c r="L2795" s="534" t="s">
        <v>223</v>
      </c>
      <c r="M2795" s="534" t="s">
        <v>162</v>
      </c>
      <c r="N2795" s="525" t="str">
        <f>IF(AND('331-CT'!$E$7=TH!H2795,OR(L2795="331",M2795="331")),"331",IF(AND(OR(L2795="131",M2795="131"),H2795='131-CT'!$E$7),"131",""))</f>
        <v/>
      </c>
      <c r="O2795" s="525" t="str">
        <f>IF(AND($B2795&gt;='111'!$N$11,$B2795&lt;='111'!$O$11,OR($L2795=$O$7,$M2795=$O$7)),"x","")</f>
        <v/>
      </c>
      <c r="P2795" s="525" t="str">
        <f>IF(AND($L2795=$O$7,$B2795&lt;'111'!$N$11),"x","")</f>
        <v/>
      </c>
      <c r="Q2795" s="525" t="str">
        <f>IF(AND($M2795=$O$7,$B2795&lt;'111'!$N$11),"x","")</f>
        <v/>
      </c>
      <c r="R2795" s="525" t="str">
        <f>IF(ISERROR(FIND('112'!$M$9,G2795,1)),"",IF((AND(FIND('112'!$M$9,G2795,1)&gt;=1,$B2795&gt;='112'!$N$8,$B2795&lt;='112'!$O$8,OR($L2795='112'!$I$6,$M2795='112'!$I$6))),"x",""))</f>
        <v/>
      </c>
      <c r="S2795" s="525" t="str">
        <f>IF(ISERROR(FIND('112'!$M$9,G2795,1)),"",IF((AND(LEFT(G2795,2)=LEFT('112'!$M$9,2),B2795&lt;'112'!$N$8,$L2795='112'!$I$6)),"x",""))</f>
        <v/>
      </c>
      <c r="T2795" s="525" t="str">
        <f>IF(ISERROR(FIND('112'!$M$9,G2795,1)),"",IF((AND(RIGHT(G2795,2)=RIGHT('112'!$M$9,2),B2795&lt;'112'!$N$8,$M2795='112'!$I$6)),"x",""))</f>
        <v/>
      </c>
      <c r="U2795" s="525" t="str">
        <f>IF(AND(B2795&gt;='IN-NX'!$P$3,B2795&lt;='IN-NX'!$Q$3,'IN-NX'!$D$7=D2795,OR(LEFT(L2795,2)="15",AND(LEFT(M2795,2)&lt;&gt;"15",LEFT(M2795,2)&lt;&gt;"33"))),"x","")</f>
        <v/>
      </c>
      <c r="V2795" s="525" t="str">
        <f>IF(AND(OR(LEFT(TH!L2795,2)="15",LEFT(TH!M2795,2)="15"),'152-CT'!$J$8=TH!F2795),"x","")</f>
        <v/>
      </c>
      <c r="W2795" s="525" t="str">
        <f>IF(AND(OR(LEFT(TH!L2795,2)="15",LEFT(TH!M2795,2)="15"),TK!$E$7=TH!F2795),"x","")</f>
        <v/>
      </c>
      <c r="X2795" s="525" t="str">
        <f>IF(AND('341-CT'!$E$9=H2795,OR(LEFT(L2795,3)=$X$7,LEFT(M2795,3)=$X$7)),"x","")</f>
        <v/>
      </c>
      <c r="Y2795" s="525" t="str">
        <f>IF(OR(TH!L2795=TH!$Y$7,M2795=TH!$Y$7),"x","")</f>
        <v/>
      </c>
      <c r="Z2795" s="525" t="str">
        <f>IF(AND(B2795&lt;=NKC!$N$8,B2795&gt;=NKC!$M$8),"x","")</f>
        <v/>
      </c>
      <c r="AA2795" s="535"/>
      <c r="AB2795" s="536"/>
    </row>
    <row r="2796" spans="1:28" s="503" customFormat="1" ht="15.75" customHeight="1">
      <c r="A2796" s="517" t="str">
        <f>IF(B2796&lt;&gt;"",IF(AND(B2796&gt;=_TM1,B2796&lt;=_TM2,OR(TH!L2796="1111",TH!M2796="1111")),TH!D2796,""),"")</f>
        <v/>
      </c>
      <c r="B2796" s="531">
        <f t="shared" si="239"/>
        <v>6</v>
      </c>
      <c r="C2796" s="315">
        <f t="shared" si="240"/>
        <v>42914</v>
      </c>
      <c r="D2796" s="315" t="s">
        <v>947</v>
      </c>
      <c r="E2796" s="315">
        <v>42914</v>
      </c>
      <c r="F2796" s="250" t="s">
        <v>1244</v>
      </c>
      <c r="G2796" s="314" t="s">
        <v>1251</v>
      </c>
      <c r="H2796" s="473" t="s">
        <v>284</v>
      </c>
      <c r="I2796" s="307">
        <v>12</v>
      </c>
      <c r="J2796" s="307">
        <v>24833</v>
      </c>
      <c r="K2796" s="532">
        <f t="shared" si="242"/>
        <v>297996</v>
      </c>
      <c r="L2796" s="534" t="s">
        <v>223</v>
      </c>
      <c r="M2796" s="534" t="s">
        <v>162</v>
      </c>
      <c r="N2796" s="525" t="str">
        <f>IF(AND('331-CT'!$E$7=TH!H2796,OR(L2796="331",M2796="331")),"331",IF(AND(OR(L2796="131",M2796="131"),H2796='131-CT'!$E$7),"131",""))</f>
        <v/>
      </c>
      <c r="O2796" s="525" t="str">
        <f>IF(AND($B2796&gt;='111'!$N$11,$B2796&lt;='111'!$O$11,OR($L2796=$O$7,$M2796=$O$7)),"x","")</f>
        <v/>
      </c>
      <c r="P2796" s="525" t="str">
        <f>IF(AND($L2796=$O$7,$B2796&lt;'111'!$N$11),"x","")</f>
        <v/>
      </c>
      <c r="Q2796" s="525" t="str">
        <f>IF(AND($M2796=$O$7,$B2796&lt;'111'!$N$11),"x","")</f>
        <v/>
      </c>
      <c r="R2796" s="525" t="str">
        <f>IF(ISERROR(FIND('112'!$M$9,G2796,1)),"",IF((AND(FIND('112'!$M$9,G2796,1)&gt;=1,$B2796&gt;='112'!$N$8,$B2796&lt;='112'!$O$8,OR($L2796='112'!$I$6,$M2796='112'!$I$6))),"x",""))</f>
        <v/>
      </c>
      <c r="S2796" s="525" t="str">
        <f>IF(ISERROR(FIND('112'!$M$9,G2796,1)),"",IF((AND(LEFT(G2796,2)=LEFT('112'!$M$9,2),B2796&lt;'112'!$N$8,$L2796='112'!$I$6)),"x",""))</f>
        <v/>
      </c>
      <c r="T2796" s="525" t="str">
        <f>IF(ISERROR(FIND('112'!$M$9,G2796,1)),"",IF((AND(RIGHT(G2796,2)=RIGHT('112'!$M$9,2),B2796&lt;'112'!$N$8,$M2796='112'!$I$6)),"x",""))</f>
        <v/>
      </c>
      <c r="U2796" s="525" t="str">
        <f>IF(AND(B2796&gt;='IN-NX'!$P$3,B2796&lt;='IN-NX'!$Q$3,'IN-NX'!$D$7=D2796,OR(LEFT(L2796,2)="15",AND(LEFT(M2796,2)&lt;&gt;"15",LEFT(M2796,2)&lt;&gt;"33"))),"x","")</f>
        <v/>
      </c>
      <c r="V2796" s="525" t="str">
        <f>IF(AND(OR(LEFT(TH!L2796,2)="15",LEFT(TH!M2796,2)="15"),'152-CT'!$J$8=TH!F2796),"x","")</f>
        <v/>
      </c>
      <c r="W2796" s="525" t="str">
        <f>IF(AND(OR(LEFT(TH!L2796,2)="15",LEFT(TH!M2796,2)="15"),TK!$E$7=TH!F2796),"x","")</f>
        <v/>
      </c>
      <c r="X2796" s="525" t="str">
        <f>IF(AND('341-CT'!$E$9=H2796,OR(LEFT(L2796,3)=$X$7,LEFT(M2796,3)=$X$7)),"x","")</f>
        <v/>
      </c>
      <c r="Y2796" s="525" t="str">
        <f>IF(OR(TH!L2796=TH!$Y$7,M2796=TH!$Y$7),"x","")</f>
        <v/>
      </c>
      <c r="Z2796" s="525" t="str">
        <f>IF(AND(B2796&lt;=NKC!$N$8,B2796&gt;=NKC!$M$8),"x","")</f>
        <v/>
      </c>
      <c r="AA2796" s="535"/>
      <c r="AB2796" s="536"/>
    </row>
    <row r="2797" spans="1:28" s="503" customFormat="1" ht="15.75" customHeight="1">
      <c r="A2797" s="517" t="str">
        <f>IF(B2797&lt;&gt;"",IF(AND(B2797&gt;=_TM1,B2797&lt;=_TM2,OR(TH!L2797="1111",TH!M2797="1111")),TH!D2797,""),"")</f>
        <v/>
      </c>
      <c r="B2797" s="531">
        <f t="shared" si="239"/>
        <v>6</v>
      </c>
      <c r="C2797" s="315">
        <f t="shared" si="240"/>
        <v>42914</v>
      </c>
      <c r="D2797" s="315" t="s">
        <v>947</v>
      </c>
      <c r="E2797" s="315">
        <v>42914</v>
      </c>
      <c r="F2797" s="250" t="s">
        <v>1245</v>
      </c>
      <c r="G2797" s="314" t="s">
        <v>1251</v>
      </c>
      <c r="H2797" s="473" t="s">
        <v>284</v>
      </c>
      <c r="I2797" s="307">
        <v>12</v>
      </c>
      <c r="J2797" s="307">
        <v>15722</v>
      </c>
      <c r="K2797" s="532">
        <f t="shared" si="242"/>
        <v>188664</v>
      </c>
      <c r="L2797" s="534" t="s">
        <v>223</v>
      </c>
      <c r="M2797" s="534" t="s">
        <v>162</v>
      </c>
      <c r="N2797" s="525" t="str">
        <f>IF(AND('331-CT'!$E$7=TH!H2797,OR(L2797="331",M2797="331")),"331",IF(AND(OR(L2797="131",M2797="131"),H2797='131-CT'!$E$7),"131",""))</f>
        <v/>
      </c>
      <c r="O2797" s="525" t="str">
        <f>IF(AND($B2797&gt;='111'!$N$11,$B2797&lt;='111'!$O$11,OR($L2797=$O$7,$M2797=$O$7)),"x","")</f>
        <v/>
      </c>
      <c r="P2797" s="525" t="str">
        <f>IF(AND($L2797=$O$7,$B2797&lt;'111'!$N$11),"x","")</f>
        <v/>
      </c>
      <c r="Q2797" s="525" t="str">
        <f>IF(AND($M2797=$O$7,$B2797&lt;'111'!$N$11),"x","")</f>
        <v/>
      </c>
      <c r="R2797" s="525" t="str">
        <f>IF(ISERROR(FIND('112'!$M$9,G2797,1)),"",IF((AND(FIND('112'!$M$9,G2797,1)&gt;=1,$B2797&gt;='112'!$N$8,$B2797&lt;='112'!$O$8,OR($L2797='112'!$I$6,$M2797='112'!$I$6))),"x",""))</f>
        <v/>
      </c>
      <c r="S2797" s="525" t="str">
        <f>IF(ISERROR(FIND('112'!$M$9,G2797,1)),"",IF((AND(LEFT(G2797,2)=LEFT('112'!$M$9,2),B2797&lt;'112'!$N$8,$L2797='112'!$I$6)),"x",""))</f>
        <v/>
      </c>
      <c r="T2797" s="525" t="str">
        <f>IF(ISERROR(FIND('112'!$M$9,G2797,1)),"",IF((AND(RIGHT(G2797,2)=RIGHT('112'!$M$9,2),B2797&lt;'112'!$N$8,$M2797='112'!$I$6)),"x",""))</f>
        <v/>
      </c>
      <c r="U2797" s="525" t="str">
        <f>IF(AND(B2797&gt;='IN-NX'!$P$3,B2797&lt;='IN-NX'!$Q$3,'IN-NX'!$D$7=D2797,OR(LEFT(L2797,2)="15",AND(LEFT(M2797,2)&lt;&gt;"15",LEFT(M2797,2)&lt;&gt;"33"))),"x","")</f>
        <v/>
      </c>
      <c r="V2797" s="525" t="str">
        <f>IF(AND(OR(LEFT(TH!L2797,2)="15",LEFT(TH!M2797,2)="15"),'152-CT'!$J$8=TH!F2797),"x","")</f>
        <v/>
      </c>
      <c r="W2797" s="525" t="str">
        <f>IF(AND(OR(LEFT(TH!L2797,2)="15",LEFT(TH!M2797,2)="15"),TK!$E$7=TH!F2797),"x","")</f>
        <v/>
      </c>
      <c r="X2797" s="525" t="str">
        <f>IF(AND('341-CT'!$E$9=H2797,OR(LEFT(L2797,3)=$X$7,LEFT(M2797,3)=$X$7)),"x","")</f>
        <v/>
      </c>
      <c r="Y2797" s="525" t="str">
        <f>IF(OR(TH!L2797=TH!$Y$7,M2797=TH!$Y$7),"x","")</f>
        <v/>
      </c>
      <c r="Z2797" s="525" t="str">
        <f>IF(AND(B2797&lt;=NKC!$N$8,B2797&gt;=NKC!$M$8),"x","")</f>
        <v/>
      </c>
      <c r="AA2797" s="535"/>
      <c r="AB2797" s="536"/>
    </row>
    <row r="2798" spans="1:28" s="503" customFormat="1" ht="15.75" customHeight="1">
      <c r="A2798" s="517" t="str">
        <f>IF(B2798&lt;&gt;"",IF(AND(B2798&gt;=_TM1,B2798&lt;=_TM2,OR(TH!L2798="1111",TH!M2798="1111")),TH!D2798,""),"")</f>
        <v/>
      </c>
      <c r="B2798" s="531">
        <f t="shared" si="239"/>
        <v>6</v>
      </c>
      <c r="C2798" s="315">
        <f t="shared" si="240"/>
        <v>42914</v>
      </c>
      <c r="D2798" s="315" t="s">
        <v>947</v>
      </c>
      <c r="E2798" s="315">
        <v>42914</v>
      </c>
      <c r="F2798" s="250" t="s">
        <v>709</v>
      </c>
      <c r="G2798" s="314" t="s">
        <v>1251</v>
      </c>
      <c r="H2798" s="473" t="s">
        <v>284</v>
      </c>
      <c r="I2798" s="307">
        <v>12</v>
      </c>
      <c r="J2798" s="307">
        <v>43027</v>
      </c>
      <c r="K2798" s="532">
        <f t="shared" si="242"/>
        <v>516324</v>
      </c>
      <c r="L2798" s="534" t="s">
        <v>223</v>
      </c>
      <c r="M2798" s="534" t="s">
        <v>162</v>
      </c>
      <c r="N2798" s="525" t="str">
        <f>IF(AND('331-CT'!$E$7=TH!H2798,OR(L2798="331",M2798="331")),"331",IF(AND(OR(L2798="131",M2798="131"),H2798='131-CT'!$E$7),"131",""))</f>
        <v/>
      </c>
      <c r="O2798" s="525" t="str">
        <f>IF(AND($B2798&gt;='111'!$N$11,$B2798&lt;='111'!$O$11,OR($L2798=$O$7,$M2798=$O$7)),"x","")</f>
        <v/>
      </c>
      <c r="P2798" s="525" t="str">
        <f>IF(AND($L2798=$O$7,$B2798&lt;'111'!$N$11),"x","")</f>
        <v/>
      </c>
      <c r="Q2798" s="525" t="str">
        <f>IF(AND($M2798=$O$7,$B2798&lt;'111'!$N$11),"x","")</f>
        <v/>
      </c>
      <c r="R2798" s="525" t="str">
        <f>IF(ISERROR(FIND('112'!$M$9,G2798,1)),"",IF((AND(FIND('112'!$M$9,G2798,1)&gt;=1,$B2798&gt;='112'!$N$8,$B2798&lt;='112'!$O$8,OR($L2798='112'!$I$6,$M2798='112'!$I$6))),"x",""))</f>
        <v/>
      </c>
      <c r="S2798" s="525" t="str">
        <f>IF(ISERROR(FIND('112'!$M$9,G2798,1)),"",IF((AND(LEFT(G2798,2)=LEFT('112'!$M$9,2),B2798&lt;'112'!$N$8,$L2798='112'!$I$6)),"x",""))</f>
        <v/>
      </c>
      <c r="T2798" s="525" t="str">
        <f>IF(ISERROR(FIND('112'!$M$9,G2798,1)),"",IF((AND(RIGHT(G2798,2)=RIGHT('112'!$M$9,2),B2798&lt;'112'!$N$8,$M2798='112'!$I$6)),"x",""))</f>
        <v/>
      </c>
      <c r="U2798" s="525" t="str">
        <f>IF(AND(B2798&gt;='IN-NX'!$P$3,B2798&lt;='IN-NX'!$Q$3,'IN-NX'!$D$7=D2798,OR(LEFT(L2798,2)="15",AND(LEFT(M2798,2)&lt;&gt;"15",LEFT(M2798,2)&lt;&gt;"33"))),"x","")</f>
        <v/>
      </c>
      <c r="V2798" s="525" t="str">
        <f>IF(AND(OR(LEFT(TH!L2798,2)="15",LEFT(TH!M2798,2)="15"),'152-CT'!$J$8=TH!F2798),"x","")</f>
        <v/>
      </c>
      <c r="W2798" s="525" t="str">
        <f>IF(AND(OR(LEFT(TH!L2798,2)="15",LEFT(TH!M2798,2)="15"),TK!$E$7=TH!F2798),"x","")</f>
        <v/>
      </c>
      <c r="X2798" s="525" t="str">
        <f>IF(AND('341-CT'!$E$9=H2798,OR(LEFT(L2798,3)=$X$7,LEFT(M2798,3)=$X$7)),"x","")</f>
        <v/>
      </c>
      <c r="Y2798" s="525" t="str">
        <f>IF(OR(TH!L2798=TH!$Y$7,M2798=TH!$Y$7),"x","")</f>
        <v/>
      </c>
      <c r="Z2798" s="525" t="str">
        <f>IF(AND(B2798&lt;=NKC!$N$8,B2798&gt;=NKC!$M$8),"x","")</f>
        <v/>
      </c>
      <c r="AA2798" s="535"/>
      <c r="AB2798" s="536"/>
    </row>
    <row r="2799" spans="1:28" s="503" customFormat="1" ht="15.75" customHeight="1">
      <c r="A2799" s="517" t="str">
        <f>IF(B2799&lt;&gt;"",IF(AND(B2799&gt;=_TM1,B2799&lt;=_TM2,OR(TH!L2799="1111",TH!M2799="1111")),TH!D2799,""),"")</f>
        <v/>
      </c>
      <c r="B2799" s="531">
        <f t="shared" si="239"/>
        <v>6</v>
      </c>
      <c r="C2799" s="315">
        <f t="shared" si="240"/>
        <v>42914</v>
      </c>
      <c r="D2799" s="315" t="s">
        <v>947</v>
      </c>
      <c r="E2799" s="315">
        <v>42914</v>
      </c>
      <c r="F2799" s="250" t="s">
        <v>1226</v>
      </c>
      <c r="G2799" s="314" t="s">
        <v>1251</v>
      </c>
      <c r="H2799" s="473" t="s">
        <v>284</v>
      </c>
      <c r="I2799" s="307">
        <v>12</v>
      </c>
      <c r="J2799" s="307">
        <v>17634</v>
      </c>
      <c r="K2799" s="532">
        <f t="shared" si="242"/>
        <v>211608</v>
      </c>
      <c r="L2799" s="534" t="s">
        <v>223</v>
      </c>
      <c r="M2799" s="534" t="s">
        <v>162</v>
      </c>
      <c r="N2799" s="525" t="str">
        <f>IF(AND('331-CT'!$E$7=TH!H2799,OR(L2799="331",M2799="331")),"331",IF(AND(OR(L2799="131",M2799="131"),H2799='131-CT'!$E$7),"131",""))</f>
        <v/>
      </c>
      <c r="O2799" s="525" t="str">
        <f>IF(AND($B2799&gt;='111'!$N$11,$B2799&lt;='111'!$O$11,OR($L2799=$O$7,$M2799=$O$7)),"x","")</f>
        <v/>
      </c>
      <c r="P2799" s="525" t="str">
        <f>IF(AND($L2799=$O$7,$B2799&lt;'111'!$N$11),"x","")</f>
        <v/>
      </c>
      <c r="Q2799" s="525" t="str">
        <f>IF(AND($M2799=$O$7,$B2799&lt;'111'!$N$11),"x","")</f>
        <v/>
      </c>
      <c r="R2799" s="525" t="str">
        <f>IF(ISERROR(FIND('112'!$M$9,G2799,1)),"",IF((AND(FIND('112'!$M$9,G2799,1)&gt;=1,$B2799&gt;='112'!$N$8,$B2799&lt;='112'!$O$8,OR($L2799='112'!$I$6,$M2799='112'!$I$6))),"x",""))</f>
        <v/>
      </c>
      <c r="S2799" s="525" t="str">
        <f>IF(ISERROR(FIND('112'!$M$9,G2799,1)),"",IF((AND(LEFT(G2799,2)=LEFT('112'!$M$9,2),B2799&lt;'112'!$N$8,$L2799='112'!$I$6)),"x",""))</f>
        <v/>
      </c>
      <c r="T2799" s="525" t="str">
        <f>IF(ISERROR(FIND('112'!$M$9,G2799,1)),"",IF((AND(RIGHT(G2799,2)=RIGHT('112'!$M$9,2),B2799&lt;'112'!$N$8,$M2799='112'!$I$6)),"x",""))</f>
        <v/>
      </c>
      <c r="U2799" s="525" t="str">
        <f>IF(AND(B2799&gt;='IN-NX'!$P$3,B2799&lt;='IN-NX'!$Q$3,'IN-NX'!$D$7=D2799,OR(LEFT(L2799,2)="15",AND(LEFT(M2799,2)&lt;&gt;"15",LEFT(M2799,2)&lt;&gt;"33"))),"x","")</f>
        <v/>
      </c>
      <c r="V2799" s="525" t="str">
        <f>IF(AND(OR(LEFT(TH!L2799,2)="15",LEFT(TH!M2799,2)="15"),'152-CT'!$J$8=TH!F2799),"x","")</f>
        <v/>
      </c>
      <c r="W2799" s="525" t="str">
        <f>IF(AND(OR(LEFT(TH!L2799,2)="15",LEFT(TH!M2799,2)="15"),TK!$E$7=TH!F2799),"x","")</f>
        <v/>
      </c>
      <c r="X2799" s="525" t="str">
        <f>IF(AND('341-CT'!$E$9=H2799,OR(LEFT(L2799,3)=$X$7,LEFT(M2799,3)=$X$7)),"x","")</f>
        <v/>
      </c>
      <c r="Y2799" s="525" t="str">
        <f>IF(OR(TH!L2799=TH!$Y$7,M2799=TH!$Y$7),"x","")</f>
        <v/>
      </c>
      <c r="Z2799" s="525" t="str">
        <f>IF(AND(B2799&lt;=NKC!$N$8,B2799&gt;=NKC!$M$8),"x","")</f>
        <v/>
      </c>
      <c r="AA2799" s="535"/>
      <c r="AB2799" s="536"/>
    </row>
    <row r="2800" spans="1:28" s="503" customFormat="1" ht="15.75" customHeight="1">
      <c r="A2800" s="517" t="str">
        <f>IF(B2800&lt;&gt;"",IF(AND(B2800&gt;=_TM1,B2800&lt;=_TM2,OR(TH!L2800="1111",TH!M2800="1111")),TH!D2800,""),"")</f>
        <v/>
      </c>
      <c r="B2800" s="531">
        <f t="shared" si="239"/>
        <v>6</v>
      </c>
      <c r="C2800" s="315">
        <f t="shared" si="240"/>
        <v>42914</v>
      </c>
      <c r="D2800" s="315" t="s">
        <v>947</v>
      </c>
      <c r="E2800" s="315">
        <v>42914</v>
      </c>
      <c r="F2800" s="250" t="s">
        <v>1246</v>
      </c>
      <c r="G2800" s="314" t="s">
        <v>1251</v>
      </c>
      <c r="H2800" s="473" t="s">
        <v>284</v>
      </c>
      <c r="I2800" s="307">
        <v>24</v>
      </c>
      <c r="J2800" s="307">
        <v>37690</v>
      </c>
      <c r="K2800" s="532">
        <f t="shared" si="242"/>
        <v>904560</v>
      </c>
      <c r="L2800" s="534" t="s">
        <v>223</v>
      </c>
      <c r="M2800" s="534" t="s">
        <v>162</v>
      </c>
      <c r="N2800" s="525" t="str">
        <f>IF(AND('331-CT'!$E$7=TH!H2800,OR(L2800="331",M2800="331")),"331",IF(AND(OR(L2800="131",M2800="131"),H2800='131-CT'!$E$7),"131",""))</f>
        <v/>
      </c>
      <c r="O2800" s="525" t="str">
        <f>IF(AND($B2800&gt;='111'!$N$11,$B2800&lt;='111'!$O$11,OR($L2800=$O$7,$M2800=$O$7)),"x","")</f>
        <v/>
      </c>
      <c r="P2800" s="525" t="str">
        <f>IF(AND($L2800=$O$7,$B2800&lt;'111'!$N$11),"x","")</f>
        <v/>
      </c>
      <c r="Q2800" s="525" t="str">
        <f>IF(AND($M2800=$O$7,$B2800&lt;'111'!$N$11),"x","")</f>
        <v/>
      </c>
      <c r="R2800" s="525" t="str">
        <f>IF(ISERROR(FIND('112'!$M$9,G2800,1)),"",IF((AND(FIND('112'!$M$9,G2800,1)&gt;=1,$B2800&gt;='112'!$N$8,$B2800&lt;='112'!$O$8,OR($L2800='112'!$I$6,$M2800='112'!$I$6))),"x",""))</f>
        <v/>
      </c>
      <c r="S2800" s="525" t="str">
        <f>IF(ISERROR(FIND('112'!$M$9,G2800,1)),"",IF((AND(LEFT(G2800,2)=LEFT('112'!$M$9,2),B2800&lt;'112'!$N$8,$L2800='112'!$I$6)),"x",""))</f>
        <v/>
      </c>
      <c r="T2800" s="525" t="str">
        <f>IF(ISERROR(FIND('112'!$M$9,G2800,1)),"",IF((AND(RIGHT(G2800,2)=RIGHT('112'!$M$9,2),B2800&lt;'112'!$N$8,$M2800='112'!$I$6)),"x",""))</f>
        <v/>
      </c>
      <c r="U2800" s="525" t="str">
        <f>IF(AND(B2800&gt;='IN-NX'!$P$3,B2800&lt;='IN-NX'!$Q$3,'IN-NX'!$D$7=D2800,OR(LEFT(L2800,2)="15",AND(LEFT(M2800,2)&lt;&gt;"15",LEFT(M2800,2)&lt;&gt;"33"))),"x","")</f>
        <v/>
      </c>
      <c r="V2800" s="525" t="str">
        <f>IF(AND(OR(LEFT(TH!L2800,2)="15",LEFT(TH!M2800,2)="15"),'152-CT'!$J$8=TH!F2800),"x","")</f>
        <v/>
      </c>
      <c r="W2800" s="525" t="str">
        <f>IF(AND(OR(LEFT(TH!L2800,2)="15",LEFT(TH!M2800,2)="15"),TK!$E$7=TH!F2800),"x","")</f>
        <v/>
      </c>
      <c r="X2800" s="525" t="str">
        <f>IF(AND('341-CT'!$E$9=H2800,OR(LEFT(L2800,3)=$X$7,LEFT(M2800,3)=$X$7)),"x","")</f>
        <v/>
      </c>
      <c r="Y2800" s="525" t="str">
        <f>IF(OR(TH!L2800=TH!$Y$7,M2800=TH!$Y$7),"x","")</f>
        <v/>
      </c>
      <c r="Z2800" s="525" t="str">
        <f>IF(AND(B2800&lt;=NKC!$N$8,B2800&gt;=NKC!$M$8),"x","")</f>
        <v/>
      </c>
      <c r="AA2800" s="535"/>
      <c r="AB2800" s="536"/>
    </row>
    <row r="2801" spans="1:28" s="503" customFormat="1" ht="15.75" customHeight="1">
      <c r="A2801" s="517" t="str">
        <f>IF(B2801&lt;&gt;"",IF(AND(B2801&gt;=_TM1,B2801&lt;=_TM2,OR(TH!L2801="1111",TH!M2801="1111")),TH!D2801,""),"")</f>
        <v/>
      </c>
      <c r="B2801" s="531">
        <f t="shared" si="239"/>
        <v>6</v>
      </c>
      <c r="C2801" s="315">
        <f t="shared" si="240"/>
        <v>42914</v>
      </c>
      <c r="D2801" s="315" t="s">
        <v>948</v>
      </c>
      <c r="E2801" s="315">
        <v>42914</v>
      </c>
      <c r="F2801" s="250" t="s">
        <v>714</v>
      </c>
      <c r="G2801" s="314" t="s">
        <v>1251</v>
      </c>
      <c r="H2801" s="473" t="s">
        <v>284</v>
      </c>
      <c r="I2801" s="307">
        <v>24</v>
      </c>
      <c r="J2801" s="307">
        <v>51423</v>
      </c>
      <c r="K2801" s="532">
        <f t="shared" si="242"/>
        <v>1234152</v>
      </c>
      <c r="L2801" s="534" t="s">
        <v>223</v>
      </c>
      <c r="M2801" s="534" t="s">
        <v>162</v>
      </c>
      <c r="N2801" s="525" t="str">
        <f>IF(AND('331-CT'!$E$7=TH!H2801,OR(L2801="331",M2801="331")),"331",IF(AND(OR(L2801="131",M2801="131"),H2801='131-CT'!$E$7),"131",""))</f>
        <v/>
      </c>
      <c r="O2801" s="525" t="str">
        <f>IF(AND($B2801&gt;='111'!$N$11,$B2801&lt;='111'!$O$11,OR($L2801=$O$7,$M2801=$O$7)),"x","")</f>
        <v/>
      </c>
      <c r="P2801" s="525" t="str">
        <f>IF(AND($L2801=$O$7,$B2801&lt;'111'!$N$11),"x","")</f>
        <v/>
      </c>
      <c r="Q2801" s="525" t="str">
        <f>IF(AND($M2801=$O$7,$B2801&lt;'111'!$N$11),"x","")</f>
        <v/>
      </c>
      <c r="R2801" s="525" t="str">
        <f>IF(ISERROR(FIND('112'!$M$9,G2801,1)),"",IF((AND(FIND('112'!$M$9,G2801,1)&gt;=1,$B2801&gt;='112'!$N$8,$B2801&lt;='112'!$O$8,OR($L2801='112'!$I$6,$M2801='112'!$I$6))),"x",""))</f>
        <v/>
      </c>
      <c r="S2801" s="525" t="str">
        <f>IF(ISERROR(FIND('112'!$M$9,G2801,1)),"",IF((AND(LEFT(G2801,2)=LEFT('112'!$M$9,2),B2801&lt;'112'!$N$8,$L2801='112'!$I$6)),"x",""))</f>
        <v/>
      </c>
      <c r="T2801" s="525" t="str">
        <f>IF(ISERROR(FIND('112'!$M$9,G2801,1)),"",IF((AND(RIGHT(G2801,2)=RIGHT('112'!$M$9,2),B2801&lt;'112'!$N$8,$M2801='112'!$I$6)),"x",""))</f>
        <v/>
      </c>
      <c r="U2801" s="525" t="str">
        <f>IF(AND(B2801&gt;='IN-NX'!$P$3,B2801&lt;='IN-NX'!$Q$3,'IN-NX'!$D$7=D2801,OR(LEFT(L2801,2)="15",AND(LEFT(M2801,2)&lt;&gt;"15",LEFT(M2801,2)&lt;&gt;"33"))),"x","")</f>
        <v/>
      </c>
      <c r="V2801" s="525" t="str">
        <f>IF(AND(OR(LEFT(TH!L2801,2)="15",LEFT(TH!M2801,2)="15"),'152-CT'!$J$8=TH!F2801),"x","")</f>
        <v/>
      </c>
      <c r="W2801" s="525" t="str">
        <f>IF(AND(OR(LEFT(TH!L2801,2)="15",LEFT(TH!M2801,2)="15"),TK!$E$7=TH!F2801),"x","")</f>
        <v/>
      </c>
      <c r="X2801" s="525" t="str">
        <f>IF(AND('341-CT'!$E$9=H2801,OR(LEFT(L2801,3)=$X$7,LEFT(M2801,3)=$X$7)),"x","")</f>
        <v/>
      </c>
      <c r="Y2801" s="525" t="str">
        <f>IF(OR(TH!L2801=TH!$Y$7,M2801=TH!$Y$7),"x","")</f>
        <v/>
      </c>
      <c r="Z2801" s="525" t="str">
        <f>IF(AND(B2801&lt;=NKC!$N$8,B2801&gt;=NKC!$M$8),"x","")</f>
        <v/>
      </c>
      <c r="AA2801" s="535"/>
      <c r="AB2801" s="536"/>
    </row>
    <row r="2802" spans="1:28" s="503" customFormat="1" ht="15.75" customHeight="1">
      <c r="A2802" s="517" t="str">
        <f>IF(B2802&lt;&gt;"",IF(AND(B2802&gt;=_TM1,B2802&lt;=_TM2,OR(TH!L2802="1111",TH!M2802="1111")),TH!D2802,""),"")</f>
        <v/>
      </c>
      <c r="B2802" s="531">
        <f t="shared" si="239"/>
        <v>6</v>
      </c>
      <c r="C2802" s="315">
        <f t="shared" si="240"/>
        <v>42914</v>
      </c>
      <c r="D2802" s="315" t="s">
        <v>948</v>
      </c>
      <c r="E2802" s="315">
        <v>42914</v>
      </c>
      <c r="F2802" s="250" t="s">
        <v>1247</v>
      </c>
      <c r="G2802" s="314" t="s">
        <v>1251</v>
      </c>
      <c r="H2802" s="473" t="s">
        <v>284</v>
      </c>
      <c r="I2802" s="307">
        <v>36</v>
      </c>
      <c r="J2802" s="307">
        <v>4690</v>
      </c>
      <c r="K2802" s="532">
        <f t="shared" si="242"/>
        <v>168840</v>
      </c>
      <c r="L2802" s="534" t="s">
        <v>223</v>
      </c>
      <c r="M2802" s="534" t="s">
        <v>162</v>
      </c>
      <c r="N2802" s="525" t="str">
        <f>IF(AND('331-CT'!$E$7=TH!H2802,OR(L2802="331",M2802="331")),"331",IF(AND(OR(L2802="131",M2802="131"),H2802='131-CT'!$E$7),"131",""))</f>
        <v/>
      </c>
      <c r="O2802" s="525" t="str">
        <f>IF(AND($B2802&gt;='111'!$N$11,$B2802&lt;='111'!$O$11,OR($L2802=$O$7,$M2802=$O$7)),"x","")</f>
        <v/>
      </c>
      <c r="P2802" s="525" t="str">
        <f>IF(AND($L2802=$O$7,$B2802&lt;'111'!$N$11),"x","")</f>
        <v/>
      </c>
      <c r="Q2802" s="525" t="str">
        <f>IF(AND($M2802=$O$7,$B2802&lt;'111'!$N$11),"x","")</f>
        <v/>
      </c>
      <c r="R2802" s="525" t="str">
        <f>IF(ISERROR(FIND('112'!$M$9,G2802,1)),"",IF((AND(FIND('112'!$M$9,G2802,1)&gt;=1,$B2802&gt;='112'!$N$8,$B2802&lt;='112'!$O$8,OR($L2802='112'!$I$6,$M2802='112'!$I$6))),"x",""))</f>
        <v/>
      </c>
      <c r="S2802" s="525" t="str">
        <f>IF(ISERROR(FIND('112'!$M$9,G2802,1)),"",IF((AND(LEFT(G2802,2)=LEFT('112'!$M$9,2),B2802&lt;'112'!$N$8,$L2802='112'!$I$6)),"x",""))</f>
        <v/>
      </c>
      <c r="T2802" s="525" t="str">
        <f>IF(ISERROR(FIND('112'!$M$9,G2802,1)),"",IF((AND(RIGHT(G2802,2)=RIGHT('112'!$M$9,2),B2802&lt;'112'!$N$8,$M2802='112'!$I$6)),"x",""))</f>
        <v/>
      </c>
      <c r="U2802" s="525" t="str">
        <f>IF(AND(B2802&gt;='IN-NX'!$P$3,B2802&lt;='IN-NX'!$Q$3,'IN-NX'!$D$7=D2802,OR(LEFT(L2802,2)="15",AND(LEFT(M2802,2)&lt;&gt;"15",LEFT(M2802,2)&lt;&gt;"33"))),"x","")</f>
        <v/>
      </c>
      <c r="V2802" s="525" t="str">
        <f>IF(AND(OR(LEFT(TH!L2802,2)="15",LEFT(TH!M2802,2)="15"),'152-CT'!$J$8=TH!F2802),"x","")</f>
        <v/>
      </c>
      <c r="W2802" s="525" t="str">
        <f>IF(AND(OR(LEFT(TH!L2802,2)="15",LEFT(TH!M2802,2)="15"),TK!$E$7=TH!F2802),"x","")</f>
        <v/>
      </c>
      <c r="X2802" s="525" t="str">
        <f>IF(AND('341-CT'!$E$9=H2802,OR(LEFT(L2802,3)=$X$7,LEFT(M2802,3)=$X$7)),"x","")</f>
        <v/>
      </c>
      <c r="Y2802" s="525" t="str">
        <f>IF(OR(TH!L2802=TH!$Y$7,M2802=TH!$Y$7),"x","")</f>
        <v/>
      </c>
      <c r="Z2802" s="525" t="str">
        <f>IF(AND(B2802&lt;=NKC!$N$8,B2802&gt;=NKC!$M$8),"x","")</f>
        <v/>
      </c>
      <c r="AA2802" s="535"/>
      <c r="AB2802" s="536"/>
    </row>
    <row r="2803" spans="1:28" s="503" customFormat="1" ht="15.75" customHeight="1">
      <c r="A2803" s="517" t="str">
        <f>IF(B2803&lt;&gt;"",IF(AND(B2803&gt;=_TM1,B2803&lt;=_TM2,OR(TH!L2803="1111",TH!M2803="1111")),TH!D2803,""),"")</f>
        <v/>
      </c>
      <c r="B2803" s="531">
        <f t="shared" si="239"/>
        <v>6</v>
      </c>
      <c r="C2803" s="315">
        <f t="shared" si="240"/>
        <v>42914</v>
      </c>
      <c r="D2803" s="315" t="s">
        <v>948</v>
      </c>
      <c r="E2803" s="315">
        <v>42914</v>
      </c>
      <c r="F2803" s="250" t="s">
        <v>1248</v>
      </c>
      <c r="G2803" s="314" t="s">
        <v>1251</v>
      </c>
      <c r="H2803" s="473" t="s">
        <v>284</v>
      </c>
      <c r="I2803" s="307">
        <v>24</v>
      </c>
      <c r="J2803" s="307">
        <v>18873</v>
      </c>
      <c r="K2803" s="532">
        <f t="shared" si="242"/>
        <v>452952</v>
      </c>
      <c r="L2803" s="534" t="s">
        <v>223</v>
      </c>
      <c r="M2803" s="534" t="s">
        <v>162</v>
      </c>
      <c r="N2803" s="525" t="str">
        <f>IF(AND('331-CT'!$E$7=TH!H2803,OR(L2803="331",M2803="331")),"331",IF(AND(OR(L2803="131",M2803="131"),H2803='131-CT'!$E$7),"131",""))</f>
        <v/>
      </c>
      <c r="O2803" s="525" t="str">
        <f>IF(AND($B2803&gt;='111'!$N$11,$B2803&lt;='111'!$O$11,OR($L2803=$O$7,$M2803=$O$7)),"x","")</f>
        <v/>
      </c>
      <c r="P2803" s="525" t="str">
        <f>IF(AND($L2803=$O$7,$B2803&lt;'111'!$N$11),"x","")</f>
        <v/>
      </c>
      <c r="Q2803" s="525" t="str">
        <f>IF(AND($M2803=$O$7,$B2803&lt;'111'!$N$11),"x","")</f>
        <v/>
      </c>
      <c r="R2803" s="525" t="str">
        <f>IF(ISERROR(FIND('112'!$M$9,G2803,1)),"",IF((AND(FIND('112'!$M$9,G2803,1)&gt;=1,$B2803&gt;='112'!$N$8,$B2803&lt;='112'!$O$8,OR($L2803='112'!$I$6,$M2803='112'!$I$6))),"x",""))</f>
        <v/>
      </c>
      <c r="S2803" s="525" t="str">
        <f>IF(ISERROR(FIND('112'!$M$9,G2803,1)),"",IF((AND(LEFT(G2803,2)=LEFT('112'!$M$9,2),B2803&lt;'112'!$N$8,$L2803='112'!$I$6)),"x",""))</f>
        <v/>
      </c>
      <c r="T2803" s="525" t="str">
        <f>IF(ISERROR(FIND('112'!$M$9,G2803,1)),"",IF((AND(RIGHT(G2803,2)=RIGHT('112'!$M$9,2),B2803&lt;'112'!$N$8,$M2803='112'!$I$6)),"x",""))</f>
        <v/>
      </c>
      <c r="U2803" s="525" t="str">
        <f>IF(AND(B2803&gt;='IN-NX'!$P$3,B2803&lt;='IN-NX'!$Q$3,'IN-NX'!$D$7=D2803,OR(LEFT(L2803,2)="15",AND(LEFT(M2803,2)&lt;&gt;"15",LEFT(M2803,2)&lt;&gt;"33"))),"x","")</f>
        <v/>
      </c>
      <c r="V2803" s="525" t="str">
        <f>IF(AND(OR(LEFT(TH!L2803,2)="15",LEFT(TH!M2803,2)="15"),'152-CT'!$J$8=TH!F2803),"x","")</f>
        <v/>
      </c>
      <c r="W2803" s="525" t="str">
        <f>IF(AND(OR(LEFT(TH!L2803,2)="15",LEFT(TH!M2803,2)="15"),TK!$E$7=TH!F2803),"x","")</f>
        <v/>
      </c>
      <c r="X2803" s="525" t="str">
        <f>IF(AND('341-CT'!$E$9=H2803,OR(LEFT(L2803,3)=$X$7,LEFT(M2803,3)=$X$7)),"x","")</f>
        <v/>
      </c>
      <c r="Y2803" s="525" t="str">
        <f>IF(OR(TH!L2803=TH!$Y$7,M2803=TH!$Y$7),"x","")</f>
        <v/>
      </c>
      <c r="Z2803" s="525" t="str">
        <f>IF(AND(B2803&lt;=NKC!$N$8,B2803&gt;=NKC!$M$8),"x","")</f>
        <v/>
      </c>
      <c r="AA2803" s="535"/>
      <c r="AB2803" s="536"/>
    </row>
    <row r="2804" spans="1:28" s="503" customFormat="1" ht="15.75" customHeight="1">
      <c r="A2804" s="517" t="str">
        <f>IF(B2804&lt;&gt;"",IF(AND(B2804&gt;=_TM1,B2804&lt;=_TM2,OR(TH!L2804="1111",TH!M2804="1111")),TH!D2804,""),"")</f>
        <v/>
      </c>
      <c r="B2804" s="531">
        <f t="shared" si="239"/>
        <v>6</v>
      </c>
      <c r="C2804" s="315">
        <f t="shared" si="240"/>
        <v>42914</v>
      </c>
      <c r="D2804" s="315" t="s">
        <v>948</v>
      </c>
      <c r="E2804" s="315">
        <v>42914</v>
      </c>
      <c r="F2804" s="250" t="s">
        <v>1249</v>
      </c>
      <c r="G2804" s="314" t="s">
        <v>1251</v>
      </c>
      <c r="H2804" s="473" t="s">
        <v>284</v>
      </c>
      <c r="I2804" s="307">
        <v>36</v>
      </c>
      <c r="J2804" s="307">
        <v>14950</v>
      </c>
      <c r="K2804" s="532">
        <f t="shared" si="242"/>
        <v>538200</v>
      </c>
      <c r="L2804" s="534" t="s">
        <v>223</v>
      </c>
      <c r="M2804" s="534" t="s">
        <v>162</v>
      </c>
      <c r="N2804" s="525" t="str">
        <f>IF(AND('331-CT'!$E$7=TH!H2804,OR(L2804="331",M2804="331")),"331",IF(AND(OR(L2804="131",M2804="131"),H2804='131-CT'!$E$7),"131",""))</f>
        <v/>
      </c>
      <c r="O2804" s="525" t="str">
        <f>IF(AND($B2804&gt;='111'!$N$11,$B2804&lt;='111'!$O$11,OR($L2804=$O$7,$M2804=$O$7)),"x","")</f>
        <v/>
      </c>
      <c r="P2804" s="525" t="str">
        <f>IF(AND($L2804=$O$7,$B2804&lt;'111'!$N$11),"x","")</f>
        <v/>
      </c>
      <c r="Q2804" s="525" t="str">
        <f>IF(AND($M2804=$O$7,$B2804&lt;'111'!$N$11),"x","")</f>
        <v/>
      </c>
      <c r="R2804" s="525" t="str">
        <f>IF(ISERROR(FIND('112'!$M$9,G2804,1)),"",IF((AND(FIND('112'!$M$9,G2804,1)&gt;=1,$B2804&gt;='112'!$N$8,$B2804&lt;='112'!$O$8,OR($L2804='112'!$I$6,$M2804='112'!$I$6))),"x",""))</f>
        <v/>
      </c>
      <c r="S2804" s="525" t="str">
        <f>IF(ISERROR(FIND('112'!$M$9,G2804,1)),"",IF((AND(LEFT(G2804,2)=LEFT('112'!$M$9,2),B2804&lt;'112'!$N$8,$L2804='112'!$I$6)),"x",""))</f>
        <v/>
      </c>
      <c r="T2804" s="525" t="str">
        <f>IF(ISERROR(FIND('112'!$M$9,G2804,1)),"",IF((AND(RIGHT(G2804,2)=RIGHT('112'!$M$9,2),B2804&lt;'112'!$N$8,$M2804='112'!$I$6)),"x",""))</f>
        <v/>
      </c>
      <c r="U2804" s="525" t="str">
        <f>IF(AND(B2804&gt;='IN-NX'!$P$3,B2804&lt;='IN-NX'!$Q$3,'IN-NX'!$D$7=D2804,OR(LEFT(L2804,2)="15",AND(LEFT(M2804,2)&lt;&gt;"15",LEFT(M2804,2)&lt;&gt;"33"))),"x","")</f>
        <v/>
      </c>
      <c r="V2804" s="525" t="str">
        <f>IF(AND(OR(LEFT(TH!L2804,2)="15",LEFT(TH!M2804,2)="15"),'152-CT'!$J$8=TH!F2804),"x","")</f>
        <v/>
      </c>
      <c r="W2804" s="525" t="str">
        <f>IF(AND(OR(LEFT(TH!L2804,2)="15",LEFT(TH!M2804,2)="15"),TK!$E$7=TH!F2804),"x","")</f>
        <v/>
      </c>
      <c r="X2804" s="525" t="str">
        <f>IF(AND('341-CT'!$E$9=H2804,OR(LEFT(L2804,3)=$X$7,LEFT(M2804,3)=$X$7)),"x","")</f>
        <v/>
      </c>
      <c r="Y2804" s="525" t="str">
        <f>IF(OR(TH!L2804=TH!$Y$7,M2804=TH!$Y$7),"x","")</f>
        <v/>
      </c>
      <c r="Z2804" s="525" t="str">
        <f>IF(AND(B2804&lt;=NKC!$N$8,B2804&gt;=NKC!$M$8),"x","")</f>
        <v/>
      </c>
      <c r="AA2804" s="535"/>
      <c r="AB2804" s="536"/>
    </row>
    <row r="2805" spans="1:28" s="503" customFormat="1" ht="15.75" customHeight="1">
      <c r="A2805" s="517" t="str">
        <f>IF(B2805&lt;&gt;"",IF(AND(B2805&gt;=_TM1,B2805&lt;=_TM2,OR(TH!L2805="1111",TH!M2805="1111")),TH!D2805,""),"")</f>
        <v/>
      </c>
      <c r="B2805" s="531">
        <f t="shared" si="239"/>
        <v>6</v>
      </c>
      <c r="C2805" s="315">
        <f t="shared" si="240"/>
        <v>42914</v>
      </c>
      <c r="D2805" s="315" t="s">
        <v>948</v>
      </c>
      <c r="E2805" s="315">
        <v>42914</v>
      </c>
      <c r="F2805" s="250" t="s">
        <v>1171</v>
      </c>
      <c r="G2805" s="314" t="s">
        <v>1251</v>
      </c>
      <c r="H2805" s="473" t="s">
        <v>284</v>
      </c>
      <c r="I2805" s="307">
        <v>12</v>
      </c>
      <c r="J2805" s="307">
        <v>23308</v>
      </c>
      <c r="K2805" s="532">
        <f t="shared" si="242"/>
        <v>279696</v>
      </c>
      <c r="L2805" s="534" t="s">
        <v>223</v>
      </c>
      <c r="M2805" s="534" t="s">
        <v>162</v>
      </c>
      <c r="N2805" s="525" t="str">
        <f>IF(AND('331-CT'!$E$7=TH!H2805,OR(L2805="331",M2805="331")),"331",IF(AND(OR(L2805="131",M2805="131"),H2805='131-CT'!$E$7),"131",""))</f>
        <v/>
      </c>
      <c r="O2805" s="525" t="str">
        <f>IF(AND($B2805&gt;='111'!$N$11,$B2805&lt;='111'!$O$11,OR($L2805=$O$7,$M2805=$O$7)),"x","")</f>
        <v/>
      </c>
      <c r="P2805" s="525" t="str">
        <f>IF(AND($L2805=$O$7,$B2805&lt;'111'!$N$11),"x","")</f>
        <v/>
      </c>
      <c r="Q2805" s="525" t="str">
        <f>IF(AND($M2805=$O$7,$B2805&lt;'111'!$N$11),"x","")</f>
        <v/>
      </c>
      <c r="R2805" s="525" t="str">
        <f>IF(ISERROR(FIND('112'!$M$9,G2805,1)),"",IF((AND(FIND('112'!$M$9,G2805,1)&gt;=1,$B2805&gt;='112'!$N$8,$B2805&lt;='112'!$O$8,OR($L2805='112'!$I$6,$M2805='112'!$I$6))),"x",""))</f>
        <v/>
      </c>
      <c r="S2805" s="525" t="str">
        <f>IF(ISERROR(FIND('112'!$M$9,G2805,1)),"",IF((AND(LEFT(G2805,2)=LEFT('112'!$M$9,2),B2805&lt;'112'!$N$8,$L2805='112'!$I$6)),"x",""))</f>
        <v/>
      </c>
      <c r="T2805" s="525" t="str">
        <f>IF(ISERROR(FIND('112'!$M$9,G2805,1)),"",IF((AND(RIGHT(G2805,2)=RIGHT('112'!$M$9,2),B2805&lt;'112'!$N$8,$M2805='112'!$I$6)),"x",""))</f>
        <v/>
      </c>
      <c r="U2805" s="525" t="str">
        <f>IF(AND(B2805&gt;='IN-NX'!$P$3,B2805&lt;='IN-NX'!$Q$3,'IN-NX'!$D$7=D2805,OR(LEFT(L2805,2)="15",AND(LEFT(M2805,2)&lt;&gt;"15",LEFT(M2805,2)&lt;&gt;"33"))),"x","")</f>
        <v/>
      </c>
      <c r="V2805" s="525" t="str">
        <f>IF(AND(OR(LEFT(TH!L2805,2)="15",LEFT(TH!M2805,2)="15"),'152-CT'!$J$8=TH!F2805),"x","")</f>
        <v/>
      </c>
      <c r="W2805" s="525" t="str">
        <f>IF(AND(OR(LEFT(TH!L2805,2)="15",LEFT(TH!M2805,2)="15"),TK!$E$7=TH!F2805),"x","")</f>
        <v/>
      </c>
      <c r="X2805" s="525" t="str">
        <f>IF(AND('341-CT'!$E$9=H2805,OR(LEFT(L2805,3)=$X$7,LEFT(M2805,3)=$X$7)),"x","")</f>
        <v/>
      </c>
      <c r="Y2805" s="525" t="str">
        <f>IF(OR(TH!L2805=TH!$Y$7,M2805=TH!$Y$7),"x","")</f>
        <v/>
      </c>
      <c r="Z2805" s="525" t="str">
        <f>IF(AND(B2805&lt;=NKC!$N$8,B2805&gt;=NKC!$M$8),"x","")</f>
        <v/>
      </c>
      <c r="AA2805" s="535"/>
      <c r="AB2805" s="536"/>
    </row>
    <row r="2806" spans="1:28" s="503" customFormat="1" ht="15.75" customHeight="1">
      <c r="A2806" s="517" t="str">
        <f>IF(B2806&lt;&gt;"",IF(AND(B2806&gt;=_TM1,B2806&lt;=_TM2,OR(TH!L2806="1111",TH!M2806="1111")),TH!D2806,""),"")</f>
        <v/>
      </c>
      <c r="B2806" s="531">
        <f t="shared" si="239"/>
        <v>6</v>
      </c>
      <c r="C2806" s="315">
        <f t="shared" si="240"/>
        <v>42914</v>
      </c>
      <c r="D2806" s="315" t="s">
        <v>948</v>
      </c>
      <c r="E2806" s="315">
        <v>42914</v>
      </c>
      <c r="F2806" s="250" t="s">
        <v>724</v>
      </c>
      <c r="G2806" s="314" t="s">
        <v>1251</v>
      </c>
      <c r="H2806" s="473" t="s">
        <v>284</v>
      </c>
      <c r="I2806" s="307">
        <v>84</v>
      </c>
      <c r="J2806" s="307">
        <v>8570</v>
      </c>
      <c r="K2806" s="532">
        <f t="shared" si="242"/>
        <v>719880</v>
      </c>
      <c r="L2806" s="534" t="s">
        <v>223</v>
      </c>
      <c r="M2806" s="534" t="s">
        <v>162</v>
      </c>
      <c r="N2806" s="525" t="str">
        <f>IF(AND('331-CT'!$E$7=TH!H2806,OR(L2806="331",M2806="331")),"331",IF(AND(OR(L2806="131",M2806="131"),H2806='131-CT'!$E$7),"131",""))</f>
        <v/>
      </c>
      <c r="O2806" s="525" t="str">
        <f>IF(AND($B2806&gt;='111'!$N$11,$B2806&lt;='111'!$O$11,OR($L2806=$O$7,$M2806=$O$7)),"x","")</f>
        <v/>
      </c>
      <c r="P2806" s="525" t="str">
        <f>IF(AND($L2806=$O$7,$B2806&lt;'111'!$N$11),"x","")</f>
        <v/>
      </c>
      <c r="Q2806" s="525" t="str">
        <f>IF(AND($M2806=$O$7,$B2806&lt;'111'!$N$11),"x","")</f>
        <v/>
      </c>
      <c r="R2806" s="525" t="str">
        <f>IF(ISERROR(FIND('112'!$M$9,G2806,1)),"",IF((AND(FIND('112'!$M$9,G2806,1)&gt;=1,$B2806&gt;='112'!$N$8,$B2806&lt;='112'!$O$8,OR($L2806='112'!$I$6,$M2806='112'!$I$6))),"x",""))</f>
        <v/>
      </c>
      <c r="S2806" s="525" t="str">
        <f>IF(ISERROR(FIND('112'!$M$9,G2806,1)),"",IF((AND(LEFT(G2806,2)=LEFT('112'!$M$9,2),B2806&lt;'112'!$N$8,$L2806='112'!$I$6)),"x",""))</f>
        <v/>
      </c>
      <c r="T2806" s="525" t="str">
        <f>IF(ISERROR(FIND('112'!$M$9,G2806,1)),"",IF((AND(RIGHT(G2806,2)=RIGHT('112'!$M$9,2),B2806&lt;'112'!$N$8,$M2806='112'!$I$6)),"x",""))</f>
        <v/>
      </c>
      <c r="U2806" s="525" t="str">
        <f>IF(AND(B2806&gt;='IN-NX'!$P$3,B2806&lt;='IN-NX'!$Q$3,'IN-NX'!$D$7=D2806,OR(LEFT(L2806,2)="15",AND(LEFT(M2806,2)&lt;&gt;"15",LEFT(M2806,2)&lt;&gt;"33"))),"x","")</f>
        <v/>
      </c>
      <c r="V2806" s="525" t="str">
        <f>IF(AND(OR(LEFT(TH!L2806,2)="15",LEFT(TH!M2806,2)="15"),'152-CT'!$J$8=TH!F2806),"x","")</f>
        <v/>
      </c>
      <c r="W2806" s="525" t="str">
        <f>IF(AND(OR(LEFT(TH!L2806,2)="15",LEFT(TH!M2806,2)="15"),TK!$E$7=TH!F2806),"x","")</f>
        <v/>
      </c>
      <c r="X2806" s="525" t="str">
        <f>IF(AND('341-CT'!$E$9=H2806,OR(LEFT(L2806,3)=$X$7,LEFT(M2806,3)=$X$7)),"x","")</f>
        <v/>
      </c>
      <c r="Y2806" s="525" t="str">
        <f>IF(OR(TH!L2806=TH!$Y$7,M2806=TH!$Y$7),"x","")</f>
        <v/>
      </c>
      <c r="Z2806" s="525" t="str">
        <f>IF(AND(B2806&lt;=NKC!$N$8,B2806&gt;=NKC!$M$8),"x","")</f>
        <v/>
      </c>
      <c r="AA2806" s="535"/>
      <c r="AB2806" s="536"/>
    </row>
    <row r="2807" spans="1:28" s="503" customFormat="1" ht="15.75" customHeight="1">
      <c r="A2807" s="517" t="str">
        <f>IF(B2807&lt;&gt;"",IF(AND(B2807&gt;=_TM1,B2807&lt;=_TM2,OR(TH!L2807="1111",TH!M2807="1111")),TH!D2807,""),"")</f>
        <v/>
      </c>
      <c r="B2807" s="531">
        <f t="shared" si="239"/>
        <v>6</v>
      </c>
      <c r="C2807" s="315">
        <f t="shared" si="240"/>
        <v>42914</v>
      </c>
      <c r="D2807" s="315" t="s">
        <v>948</v>
      </c>
      <c r="E2807" s="315">
        <v>42914</v>
      </c>
      <c r="F2807" s="250" t="s">
        <v>1170</v>
      </c>
      <c r="G2807" s="314" t="s">
        <v>1251</v>
      </c>
      <c r="H2807" s="473" t="s">
        <v>284</v>
      </c>
      <c r="I2807" s="307">
        <v>12</v>
      </c>
      <c r="J2807" s="307">
        <v>10650</v>
      </c>
      <c r="K2807" s="532">
        <f t="shared" si="242"/>
        <v>127800</v>
      </c>
      <c r="L2807" s="534" t="s">
        <v>223</v>
      </c>
      <c r="M2807" s="534" t="s">
        <v>162</v>
      </c>
      <c r="N2807" s="525" t="str">
        <f>IF(AND('331-CT'!$E$7=TH!H2807,OR(L2807="331",M2807="331")),"331",IF(AND(OR(L2807="131",M2807="131"),H2807='131-CT'!$E$7),"131",""))</f>
        <v/>
      </c>
      <c r="O2807" s="525" t="str">
        <f>IF(AND($B2807&gt;='111'!$N$11,$B2807&lt;='111'!$O$11,OR($L2807=$O$7,$M2807=$O$7)),"x","")</f>
        <v/>
      </c>
      <c r="P2807" s="525" t="str">
        <f>IF(AND($L2807=$O$7,$B2807&lt;'111'!$N$11),"x","")</f>
        <v/>
      </c>
      <c r="Q2807" s="525" t="str">
        <f>IF(AND($M2807=$O$7,$B2807&lt;'111'!$N$11),"x","")</f>
        <v/>
      </c>
      <c r="R2807" s="525" t="str">
        <f>IF(ISERROR(FIND('112'!$M$9,G2807,1)),"",IF((AND(FIND('112'!$M$9,G2807,1)&gt;=1,$B2807&gt;='112'!$N$8,$B2807&lt;='112'!$O$8,OR($L2807='112'!$I$6,$M2807='112'!$I$6))),"x",""))</f>
        <v/>
      </c>
      <c r="S2807" s="525" t="str">
        <f>IF(ISERROR(FIND('112'!$M$9,G2807,1)),"",IF((AND(LEFT(G2807,2)=LEFT('112'!$M$9,2),B2807&lt;'112'!$N$8,$L2807='112'!$I$6)),"x",""))</f>
        <v/>
      </c>
      <c r="T2807" s="525" t="str">
        <f>IF(ISERROR(FIND('112'!$M$9,G2807,1)),"",IF((AND(RIGHT(G2807,2)=RIGHT('112'!$M$9,2),B2807&lt;'112'!$N$8,$M2807='112'!$I$6)),"x",""))</f>
        <v/>
      </c>
      <c r="U2807" s="525" t="str">
        <f>IF(AND(B2807&gt;='IN-NX'!$P$3,B2807&lt;='IN-NX'!$Q$3,'IN-NX'!$D$7=D2807,OR(LEFT(L2807,2)="15",AND(LEFT(M2807,2)&lt;&gt;"15",LEFT(M2807,2)&lt;&gt;"33"))),"x","")</f>
        <v/>
      </c>
      <c r="V2807" s="525" t="str">
        <f>IF(AND(OR(LEFT(TH!L2807,2)="15",LEFT(TH!M2807,2)="15"),'152-CT'!$J$8=TH!F2807),"x","")</f>
        <v/>
      </c>
      <c r="W2807" s="525" t="str">
        <f>IF(AND(OR(LEFT(TH!L2807,2)="15",LEFT(TH!M2807,2)="15"),TK!$E$7=TH!F2807),"x","")</f>
        <v/>
      </c>
      <c r="X2807" s="525" t="str">
        <f>IF(AND('341-CT'!$E$9=H2807,OR(LEFT(L2807,3)=$X$7,LEFT(M2807,3)=$X$7)),"x","")</f>
        <v/>
      </c>
      <c r="Y2807" s="525" t="str">
        <f>IF(OR(TH!L2807=TH!$Y$7,M2807=TH!$Y$7),"x","")</f>
        <v/>
      </c>
      <c r="Z2807" s="525" t="str">
        <f>IF(AND(B2807&lt;=NKC!$N$8,B2807&gt;=NKC!$M$8),"x","")</f>
        <v/>
      </c>
      <c r="AA2807" s="535"/>
      <c r="AB2807" s="536"/>
    </row>
    <row r="2808" spans="1:28" s="503" customFormat="1" ht="15.75" customHeight="1">
      <c r="A2808" s="517" t="str">
        <f>IF(B2808&lt;&gt;"",IF(AND(B2808&gt;=_TM1,B2808&lt;=_TM2,OR(TH!L2808="1111",TH!M2808="1111")),TH!D2808,""),"")</f>
        <v/>
      </c>
      <c r="B2808" s="531">
        <f t="shared" si="239"/>
        <v>6</v>
      </c>
      <c r="C2808" s="315">
        <f t="shared" si="240"/>
        <v>42914</v>
      </c>
      <c r="D2808" s="315" t="s">
        <v>948</v>
      </c>
      <c r="E2808" s="315">
        <v>42914</v>
      </c>
      <c r="F2808" s="250" t="s">
        <v>726</v>
      </c>
      <c r="G2808" s="314" t="s">
        <v>1251</v>
      </c>
      <c r="H2808" s="473" t="s">
        <v>284</v>
      </c>
      <c r="I2808" s="307">
        <v>18</v>
      </c>
      <c r="J2808" s="307">
        <v>8163</v>
      </c>
      <c r="K2808" s="532">
        <f t="shared" si="242"/>
        <v>146934</v>
      </c>
      <c r="L2808" s="534" t="s">
        <v>223</v>
      </c>
      <c r="M2808" s="534" t="s">
        <v>162</v>
      </c>
      <c r="N2808" s="525" t="str">
        <f>IF(AND('331-CT'!$E$7=TH!H2808,OR(L2808="331",M2808="331")),"331",IF(AND(OR(L2808="131",M2808="131"),H2808='131-CT'!$E$7),"131",""))</f>
        <v/>
      </c>
      <c r="O2808" s="525" t="str">
        <f>IF(AND($B2808&gt;='111'!$N$11,$B2808&lt;='111'!$O$11,OR($L2808=$O$7,$M2808=$O$7)),"x","")</f>
        <v/>
      </c>
      <c r="P2808" s="525" t="str">
        <f>IF(AND($L2808=$O$7,$B2808&lt;'111'!$N$11),"x","")</f>
        <v/>
      </c>
      <c r="Q2808" s="525" t="str">
        <f>IF(AND($M2808=$O$7,$B2808&lt;'111'!$N$11),"x","")</f>
        <v/>
      </c>
      <c r="R2808" s="525" t="str">
        <f>IF(ISERROR(FIND('112'!$M$9,G2808,1)),"",IF((AND(FIND('112'!$M$9,G2808,1)&gt;=1,$B2808&gt;='112'!$N$8,$B2808&lt;='112'!$O$8,OR($L2808='112'!$I$6,$M2808='112'!$I$6))),"x",""))</f>
        <v/>
      </c>
      <c r="S2808" s="525" t="str">
        <f>IF(ISERROR(FIND('112'!$M$9,G2808,1)),"",IF((AND(LEFT(G2808,2)=LEFT('112'!$M$9,2),B2808&lt;'112'!$N$8,$L2808='112'!$I$6)),"x",""))</f>
        <v/>
      </c>
      <c r="T2808" s="525" t="str">
        <f>IF(ISERROR(FIND('112'!$M$9,G2808,1)),"",IF((AND(RIGHT(G2808,2)=RIGHT('112'!$M$9,2),B2808&lt;'112'!$N$8,$M2808='112'!$I$6)),"x",""))</f>
        <v/>
      </c>
      <c r="U2808" s="525" t="str">
        <f>IF(AND(B2808&gt;='IN-NX'!$P$3,B2808&lt;='IN-NX'!$Q$3,'IN-NX'!$D$7=D2808,OR(LEFT(L2808,2)="15",AND(LEFT(M2808,2)&lt;&gt;"15",LEFT(M2808,2)&lt;&gt;"33"))),"x","")</f>
        <v/>
      </c>
      <c r="V2808" s="525" t="str">
        <f>IF(AND(OR(LEFT(TH!L2808,2)="15",LEFT(TH!M2808,2)="15"),'152-CT'!$J$8=TH!F2808),"x","")</f>
        <v/>
      </c>
      <c r="W2808" s="525" t="str">
        <f>IF(AND(OR(LEFT(TH!L2808,2)="15",LEFT(TH!M2808,2)="15"),TK!$E$7=TH!F2808),"x","")</f>
        <v/>
      </c>
      <c r="X2808" s="525" t="str">
        <f>IF(AND('341-CT'!$E$9=H2808,OR(LEFT(L2808,3)=$X$7,LEFT(M2808,3)=$X$7)),"x","")</f>
        <v/>
      </c>
      <c r="Y2808" s="525" t="str">
        <f>IF(OR(TH!L2808=TH!$Y$7,M2808=TH!$Y$7),"x","")</f>
        <v/>
      </c>
      <c r="Z2808" s="525" t="str">
        <f>IF(AND(B2808&lt;=NKC!$N$8,B2808&gt;=NKC!$M$8),"x","")</f>
        <v/>
      </c>
      <c r="AA2808" s="535"/>
      <c r="AB2808" s="536"/>
    </row>
    <row r="2809" spans="1:28" s="503" customFormat="1" ht="15.75" customHeight="1">
      <c r="A2809" s="517" t="str">
        <f>IF(B2809&lt;&gt;"",IF(AND(B2809&gt;=_TM1,B2809&lt;=_TM2,OR(TH!L2809="1111",TH!M2809="1111")),TH!D2809,""),"")</f>
        <v/>
      </c>
      <c r="B2809" s="531">
        <f t="shared" si="239"/>
        <v>6</v>
      </c>
      <c r="C2809" s="315">
        <f t="shared" si="240"/>
        <v>42914</v>
      </c>
      <c r="D2809" s="315" t="s">
        <v>948</v>
      </c>
      <c r="E2809" s="315">
        <v>42914</v>
      </c>
      <c r="F2809" s="250" t="s">
        <v>723</v>
      </c>
      <c r="G2809" s="314" t="s">
        <v>1251</v>
      </c>
      <c r="H2809" s="473" t="s">
        <v>284</v>
      </c>
      <c r="I2809" s="307">
        <v>18</v>
      </c>
      <c r="J2809" s="307">
        <v>10943</v>
      </c>
      <c r="K2809" s="532">
        <f t="shared" si="242"/>
        <v>196974</v>
      </c>
      <c r="L2809" s="534" t="s">
        <v>223</v>
      </c>
      <c r="M2809" s="534" t="s">
        <v>162</v>
      </c>
      <c r="N2809" s="525" t="str">
        <f>IF(AND('331-CT'!$E$7=TH!H2809,OR(L2809="331",M2809="331")),"331",IF(AND(OR(L2809="131",M2809="131"),H2809='131-CT'!$E$7),"131",""))</f>
        <v/>
      </c>
      <c r="O2809" s="525" t="str">
        <f>IF(AND($B2809&gt;='111'!$N$11,$B2809&lt;='111'!$O$11,OR($L2809=$O$7,$M2809=$O$7)),"x","")</f>
        <v/>
      </c>
      <c r="P2809" s="525" t="str">
        <f>IF(AND($L2809=$O$7,$B2809&lt;'111'!$N$11),"x","")</f>
        <v/>
      </c>
      <c r="Q2809" s="525" t="str">
        <f>IF(AND($M2809=$O$7,$B2809&lt;'111'!$N$11),"x","")</f>
        <v/>
      </c>
      <c r="R2809" s="525" t="str">
        <f>IF(ISERROR(FIND('112'!$M$9,G2809,1)),"",IF((AND(FIND('112'!$M$9,G2809,1)&gt;=1,$B2809&gt;='112'!$N$8,$B2809&lt;='112'!$O$8,OR($L2809='112'!$I$6,$M2809='112'!$I$6))),"x",""))</f>
        <v/>
      </c>
      <c r="S2809" s="525" t="str">
        <f>IF(ISERROR(FIND('112'!$M$9,G2809,1)),"",IF((AND(LEFT(G2809,2)=LEFT('112'!$M$9,2),B2809&lt;'112'!$N$8,$L2809='112'!$I$6)),"x",""))</f>
        <v/>
      </c>
      <c r="T2809" s="525" t="str">
        <f>IF(ISERROR(FIND('112'!$M$9,G2809,1)),"",IF((AND(RIGHT(G2809,2)=RIGHT('112'!$M$9,2),B2809&lt;'112'!$N$8,$M2809='112'!$I$6)),"x",""))</f>
        <v/>
      </c>
      <c r="U2809" s="525" t="str">
        <f>IF(AND(B2809&gt;='IN-NX'!$P$3,B2809&lt;='IN-NX'!$Q$3,'IN-NX'!$D$7=D2809,OR(LEFT(L2809,2)="15",AND(LEFT(M2809,2)&lt;&gt;"15",LEFT(M2809,2)&lt;&gt;"33"))),"x","")</f>
        <v/>
      </c>
      <c r="V2809" s="525" t="str">
        <f>IF(AND(OR(LEFT(TH!L2809,2)="15",LEFT(TH!M2809,2)="15"),'152-CT'!$J$8=TH!F2809),"x","")</f>
        <v/>
      </c>
      <c r="W2809" s="525" t="str">
        <f>IF(AND(OR(LEFT(TH!L2809,2)="15",LEFT(TH!M2809,2)="15"),TK!$E$7=TH!F2809),"x","")</f>
        <v/>
      </c>
      <c r="X2809" s="525" t="str">
        <f>IF(AND('341-CT'!$E$9=H2809,OR(LEFT(L2809,3)=$X$7,LEFT(M2809,3)=$X$7)),"x","")</f>
        <v/>
      </c>
      <c r="Y2809" s="525" t="str">
        <f>IF(OR(TH!L2809=TH!$Y$7,M2809=TH!$Y$7),"x","")</f>
        <v/>
      </c>
      <c r="Z2809" s="525" t="str">
        <f>IF(AND(B2809&lt;=NKC!$N$8,B2809&gt;=NKC!$M$8),"x","")</f>
        <v/>
      </c>
      <c r="AA2809" s="535"/>
      <c r="AB2809" s="536"/>
    </row>
    <row r="2810" spans="1:28" s="503" customFormat="1" ht="15.75" customHeight="1">
      <c r="A2810" s="517" t="str">
        <f>IF(B2810&lt;&gt;"",IF(AND(B2810&gt;=_TM1,B2810&lt;=_TM2,OR(TH!L2810="1111",TH!M2810="1111")),TH!D2810,""),"")</f>
        <v/>
      </c>
      <c r="B2810" s="531">
        <f t="shared" si="239"/>
        <v>6</v>
      </c>
      <c r="C2810" s="315">
        <f t="shared" si="240"/>
        <v>42914</v>
      </c>
      <c r="D2810" s="315" t="s">
        <v>948</v>
      </c>
      <c r="E2810" s="315">
        <v>42914</v>
      </c>
      <c r="F2810" s="250" t="s">
        <v>1250</v>
      </c>
      <c r="G2810" s="314" t="s">
        <v>1251</v>
      </c>
      <c r="H2810" s="473" t="s">
        <v>284</v>
      </c>
      <c r="I2810" s="307">
        <v>8</v>
      </c>
      <c r="J2810" s="307">
        <v>26291</v>
      </c>
      <c r="K2810" s="532">
        <f t="shared" si="242"/>
        <v>210328</v>
      </c>
      <c r="L2810" s="534" t="s">
        <v>223</v>
      </c>
      <c r="M2810" s="534" t="s">
        <v>162</v>
      </c>
      <c r="N2810" s="525" t="str">
        <f>IF(AND('331-CT'!$E$7=TH!H2810,OR(L2810="331",M2810="331")),"331",IF(AND(OR(L2810="131",M2810="131"),H2810='131-CT'!$E$7),"131",""))</f>
        <v/>
      </c>
      <c r="O2810" s="525" t="str">
        <f>IF(AND($B2810&gt;='111'!$N$11,$B2810&lt;='111'!$O$11,OR($L2810=$O$7,$M2810=$O$7)),"x","")</f>
        <v/>
      </c>
      <c r="P2810" s="525" t="str">
        <f>IF(AND($L2810=$O$7,$B2810&lt;'111'!$N$11),"x","")</f>
        <v/>
      </c>
      <c r="Q2810" s="525" t="str">
        <f>IF(AND($M2810=$O$7,$B2810&lt;'111'!$N$11),"x","")</f>
        <v/>
      </c>
      <c r="R2810" s="525" t="str">
        <f>IF(ISERROR(FIND('112'!$M$9,G2810,1)),"",IF((AND(FIND('112'!$M$9,G2810,1)&gt;=1,$B2810&gt;='112'!$N$8,$B2810&lt;='112'!$O$8,OR($L2810='112'!$I$6,$M2810='112'!$I$6))),"x",""))</f>
        <v/>
      </c>
      <c r="S2810" s="525" t="str">
        <f>IF(ISERROR(FIND('112'!$M$9,G2810,1)),"",IF((AND(LEFT(G2810,2)=LEFT('112'!$M$9,2),B2810&lt;'112'!$N$8,$L2810='112'!$I$6)),"x",""))</f>
        <v/>
      </c>
      <c r="T2810" s="525" t="str">
        <f>IF(ISERROR(FIND('112'!$M$9,G2810,1)),"",IF((AND(RIGHT(G2810,2)=RIGHT('112'!$M$9,2),B2810&lt;'112'!$N$8,$M2810='112'!$I$6)),"x",""))</f>
        <v/>
      </c>
      <c r="U2810" s="525" t="str">
        <f>IF(AND(B2810&gt;='IN-NX'!$P$3,B2810&lt;='IN-NX'!$Q$3,'IN-NX'!$D$7=D2810,OR(LEFT(L2810,2)="15",AND(LEFT(M2810,2)&lt;&gt;"15",LEFT(M2810,2)&lt;&gt;"33"))),"x","")</f>
        <v/>
      </c>
      <c r="V2810" s="525" t="str">
        <f>IF(AND(OR(LEFT(TH!L2810,2)="15",LEFT(TH!M2810,2)="15"),'152-CT'!$J$8=TH!F2810),"x","")</f>
        <v/>
      </c>
      <c r="W2810" s="525" t="str">
        <f>IF(AND(OR(LEFT(TH!L2810,2)="15",LEFT(TH!M2810,2)="15"),TK!$E$7=TH!F2810),"x","")</f>
        <v/>
      </c>
      <c r="X2810" s="525" t="str">
        <f>IF(AND('341-CT'!$E$9=H2810,OR(LEFT(L2810,3)=$X$7,LEFT(M2810,3)=$X$7)),"x","")</f>
        <v/>
      </c>
      <c r="Y2810" s="525" t="str">
        <f>IF(OR(TH!L2810=TH!$Y$7,M2810=TH!$Y$7),"x","")</f>
        <v/>
      </c>
      <c r="Z2810" s="525" t="str">
        <f>IF(AND(B2810&lt;=NKC!$N$8,B2810&gt;=NKC!$M$8),"x","")</f>
        <v/>
      </c>
      <c r="AA2810" s="535"/>
      <c r="AB2810" s="536"/>
    </row>
    <row r="2811" spans="1:28" s="503" customFormat="1" ht="15.75" customHeight="1">
      <c r="A2811" s="517" t="str">
        <f>IF(B2811&lt;&gt;"",IF(AND(B2811&gt;=_TM1,B2811&lt;=_TM2,OR(TH!L2811="1111",TH!M2811="1111")),TH!D2811,""),"")</f>
        <v/>
      </c>
      <c r="B2811" s="531">
        <f t="shared" si="239"/>
        <v>6</v>
      </c>
      <c r="C2811" s="315">
        <f t="shared" si="240"/>
        <v>42914</v>
      </c>
      <c r="D2811" s="315" t="s">
        <v>948</v>
      </c>
      <c r="E2811" s="315">
        <v>42914</v>
      </c>
      <c r="F2811" s="250" t="s">
        <v>1167</v>
      </c>
      <c r="G2811" s="314" t="s">
        <v>1251</v>
      </c>
      <c r="H2811" s="473" t="s">
        <v>284</v>
      </c>
      <c r="I2811" s="307">
        <v>18</v>
      </c>
      <c r="J2811" s="307">
        <v>8555</v>
      </c>
      <c r="K2811" s="532">
        <f t="shared" si="242"/>
        <v>153990</v>
      </c>
      <c r="L2811" s="534" t="s">
        <v>223</v>
      </c>
      <c r="M2811" s="534" t="s">
        <v>162</v>
      </c>
      <c r="N2811" s="525" t="str">
        <f>IF(AND('331-CT'!$E$7=TH!H2811,OR(L2811="331",M2811="331")),"331",IF(AND(OR(L2811="131",M2811="131"),H2811='131-CT'!$E$7),"131",""))</f>
        <v/>
      </c>
      <c r="O2811" s="525" t="str">
        <f>IF(AND($B2811&gt;='111'!$N$11,$B2811&lt;='111'!$O$11,OR($L2811=$O$7,$M2811=$O$7)),"x","")</f>
        <v/>
      </c>
      <c r="P2811" s="525" t="str">
        <f>IF(AND($L2811=$O$7,$B2811&lt;'111'!$N$11),"x","")</f>
        <v/>
      </c>
      <c r="Q2811" s="525" t="str">
        <f>IF(AND($M2811=$O$7,$B2811&lt;'111'!$N$11),"x","")</f>
        <v/>
      </c>
      <c r="R2811" s="525" t="str">
        <f>IF(ISERROR(FIND('112'!$M$9,G2811,1)),"",IF((AND(FIND('112'!$M$9,G2811,1)&gt;=1,$B2811&gt;='112'!$N$8,$B2811&lt;='112'!$O$8,OR($L2811='112'!$I$6,$M2811='112'!$I$6))),"x",""))</f>
        <v/>
      </c>
      <c r="S2811" s="525" t="str">
        <f>IF(ISERROR(FIND('112'!$M$9,G2811,1)),"",IF((AND(LEFT(G2811,2)=LEFT('112'!$M$9,2),B2811&lt;'112'!$N$8,$L2811='112'!$I$6)),"x",""))</f>
        <v/>
      </c>
      <c r="T2811" s="525" t="str">
        <f>IF(ISERROR(FIND('112'!$M$9,G2811,1)),"",IF((AND(RIGHT(G2811,2)=RIGHT('112'!$M$9,2),B2811&lt;'112'!$N$8,$M2811='112'!$I$6)),"x",""))</f>
        <v/>
      </c>
      <c r="U2811" s="525" t="str">
        <f>IF(AND(B2811&gt;='IN-NX'!$P$3,B2811&lt;='IN-NX'!$Q$3,'IN-NX'!$D$7=D2811,OR(LEFT(L2811,2)="15",AND(LEFT(M2811,2)&lt;&gt;"15",LEFT(M2811,2)&lt;&gt;"33"))),"x","")</f>
        <v/>
      </c>
      <c r="V2811" s="525" t="str">
        <f>IF(AND(OR(LEFT(TH!L2811,2)="15",LEFT(TH!M2811,2)="15"),'152-CT'!$J$8=TH!F2811),"x","")</f>
        <v/>
      </c>
      <c r="W2811" s="525" t="str">
        <f>IF(AND(OR(LEFT(TH!L2811,2)="15",LEFT(TH!M2811,2)="15"),TK!$E$7=TH!F2811),"x","")</f>
        <v/>
      </c>
      <c r="X2811" s="525" t="str">
        <f>IF(AND('341-CT'!$E$9=H2811,OR(LEFT(L2811,3)=$X$7,LEFT(M2811,3)=$X$7)),"x","")</f>
        <v/>
      </c>
      <c r="Y2811" s="525" t="str">
        <f>IF(OR(TH!L2811=TH!$Y$7,M2811=TH!$Y$7),"x","")</f>
        <v/>
      </c>
      <c r="Z2811" s="525" t="str">
        <f>IF(AND(B2811&lt;=NKC!$N$8,B2811&gt;=NKC!$M$8),"x","")</f>
        <v/>
      </c>
      <c r="AA2811" s="535"/>
      <c r="AB2811" s="536"/>
    </row>
    <row r="2812" spans="1:28" s="503" customFormat="1" ht="15.75" customHeight="1">
      <c r="A2812" s="517" t="str">
        <f>IF(B2812&lt;&gt;"",IF(AND(B2812&gt;=_TM1,B2812&lt;=_TM2,OR(TH!L2812="1111",TH!M2812="1111")),TH!D2812,""),"")</f>
        <v/>
      </c>
      <c r="B2812" s="531">
        <f t="shared" si="239"/>
        <v>6</v>
      </c>
      <c r="C2812" s="315">
        <f t="shared" si="240"/>
        <v>42914</v>
      </c>
      <c r="D2812" s="315" t="s">
        <v>948</v>
      </c>
      <c r="E2812" s="315">
        <v>42914</v>
      </c>
      <c r="F2812" s="250" t="s">
        <v>1164</v>
      </c>
      <c r="G2812" s="314" t="s">
        <v>1251</v>
      </c>
      <c r="H2812" s="473" t="s">
        <v>284</v>
      </c>
      <c r="I2812" s="307">
        <v>725</v>
      </c>
      <c r="J2812" s="307">
        <v>11450</v>
      </c>
      <c r="K2812" s="532">
        <f t="shared" si="242"/>
        <v>8301250</v>
      </c>
      <c r="L2812" s="534" t="s">
        <v>223</v>
      </c>
      <c r="M2812" s="534" t="s">
        <v>162</v>
      </c>
      <c r="N2812" s="525" t="str">
        <f>IF(AND('331-CT'!$E$7=TH!H2812,OR(L2812="331",M2812="331")),"331",IF(AND(OR(L2812="131",M2812="131"),H2812='131-CT'!$E$7),"131",""))</f>
        <v/>
      </c>
      <c r="O2812" s="525" t="str">
        <f>IF(AND($B2812&gt;='111'!$N$11,$B2812&lt;='111'!$O$11,OR($L2812=$O$7,$M2812=$O$7)),"x","")</f>
        <v/>
      </c>
      <c r="P2812" s="525" t="str">
        <f>IF(AND($L2812=$O$7,$B2812&lt;'111'!$N$11),"x","")</f>
        <v/>
      </c>
      <c r="Q2812" s="525" t="str">
        <f>IF(AND($M2812=$O$7,$B2812&lt;'111'!$N$11),"x","")</f>
        <v/>
      </c>
      <c r="R2812" s="525" t="str">
        <f>IF(ISERROR(FIND('112'!$M$9,G2812,1)),"",IF((AND(FIND('112'!$M$9,G2812,1)&gt;=1,$B2812&gt;='112'!$N$8,$B2812&lt;='112'!$O$8,OR($L2812='112'!$I$6,$M2812='112'!$I$6))),"x",""))</f>
        <v/>
      </c>
      <c r="S2812" s="525" t="str">
        <f>IF(ISERROR(FIND('112'!$M$9,G2812,1)),"",IF((AND(LEFT(G2812,2)=LEFT('112'!$M$9,2),B2812&lt;'112'!$N$8,$L2812='112'!$I$6)),"x",""))</f>
        <v/>
      </c>
      <c r="T2812" s="525" t="str">
        <f>IF(ISERROR(FIND('112'!$M$9,G2812,1)),"",IF((AND(RIGHT(G2812,2)=RIGHT('112'!$M$9,2),B2812&lt;'112'!$N$8,$M2812='112'!$I$6)),"x",""))</f>
        <v/>
      </c>
      <c r="U2812" s="525" t="str">
        <f>IF(AND(B2812&gt;='IN-NX'!$P$3,B2812&lt;='IN-NX'!$Q$3,'IN-NX'!$D$7=D2812,OR(LEFT(L2812,2)="15",AND(LEFT(M2812,2)&lt;&gt;"15",LEFT(M2812,2)&lt;&gt;"33"))),"x","")</f>
        <v/>
      </c>
      <c r="V2812" s="525" t="str">
        <f>IF(AND(OR(LEFT(TH!L2812,2)="15",LEFT(TH!M2812,2)="15"),'152-CT'!$J$8=TH!F2812),"x","")</f>
        <v/>
      </c>
      <c r="W2812" s="525" t="str">
        <f>IF(AND(OR(LEFT(TH!L2812,2)="15",LEFT(TH!M2812,2)="15"),TK!$E$7=TH!F2812),"x","")</f>
        <v/>
      </c>
      <c r="X2812" s="525" t="str">
        <f>IF(AND('341-CT'!$E$9=H2812,OR(LEFT(L2812,3)=$X$7,LEFT(M2812,3)=$X$7)),"x","")</f>
        <v/>
      </c>
      <c r="Y2812" s="525" t="str">
        <f>IF(OR(TH!L2812=TH!$Y$7,M2812=TH!$Y$7),"x","")</f>
        <v/>
      </c>
      <c r="Z2812" s="525" t="str">
        <f>IF(AND(B2812&lt;=NKC!$N$8,B2812&gt;=NKC!$M$8),"x","")</f>
        <v/>
      </c>
      <c r="AA2812" s="535"/>
      <c r="AB2812" s="536"/>
    </row>
    <row r="2813" spans="1:28" s="503" customFormat="1" ht="15.75" customHeight="1">
      <c r="A2813" s="517" t="str">
        <f>IF(B2813&lt;&gt;"",IF(AND(B2813&gt;=_TM1,B2813&lt;=_TM2,OR(TH!L2813="1111",TH!M2813="1111")),TH!D2813,""),"")</f>
        <v/>
      </c>
      <c r="B2813" s="531">
        <f t="shared" si="239"/>
        <v>6</v>
      </c>
      <c r="C2813" s="315">
        <f t="shared" si="240"/>
        <v>42914</v>
      </c>
      <c r="D2813" s="315" t="s">
        <v>948</v>
      </c>
      <c r="E2813" s="315">
        <v>42914</v>
      </c>
      <c r="F2813" s="249" t="s">
        <v>494</v>
      </c>
      <c r="G2813" s="314" t="s">
        <v>1251</v>
      </c>
      <c r="H2813" s="473" t="s">
        <v>284</v>
      </c>
      <c r="I2813" s="307"/>
      <c r="J2813" s="307"/>
      <c r="K2813" s="532">
        <v>11732484</v>
      </c>
      <c r="L2813" s="534" t="s">
        <v>223</v>
      </c>
      <c r="M2813" s="534" t="s">
        <v>259</v>
      </c>
      <c r="N2813" s="525" t="str">
        <f>IF(AND('331-CT'!$E$7=TH!H2813,OR(L2813="331",M2813="331")),"331",IF(AND(OR(L2813="131",M2813="131"),H2813='131-CT'!$E$7),"131",""))</f>
        <v/>
      </c>
      <c r="O2813" s="525" t="str">
        <f>IF(AND($B2813&gt;='111'!$N$11,$B2813&lt;='111'!$O$11,OR($L2813=$O$7,$M2813=$O$7)),"x","")</f>
        <v/>
      </c>
      <c r="P2813" s="525" t="str">
        <f>IF(AND($L2813=$O$7,$B2813&lt;'111'!$N$11),"x","")</f>
        <v/>
      </c>
      <c r="Q2813" s="525" t="str">
        <f>IF(AND($M2813=$O$7,$B2813&lt;'111'!$N$11),"x","")</f>
        <v/>
      </c>
      <c r="R2813" s="525" t="str">
        <f>IF(ISERROR(FIND('112'!$M$9,G2813,1)),"",IF((AND(FIND('112'!$M$9,G2813,1)&gt;=1,$B2813&gt;='112'!$N$8,$B2813&lt;='112'!$O$8,OR($L2813='112'!$I$6,$M2813='112'!$I$6))),"x",""))</f>
        <v/>
      </c>
      <c r="S2813" s="525" t="str">
        <f>IF(ISERROR(FIND('112'!$M$9,G2813,1)),"",IF((AND(LEFT(G2813,2)=LEFT('112'!$M$9,2),B2813&lt;'112'!$N$8,$L2813='112'!$I$6)),"x",""))</f>
        <v/>
      </c>
      <c r="T2813" s="525" t="str">
        <f>IF(ISERROR(FIND('112'!$M$9,G2813,1)),"",IF((AND(RIGHT(G2813,2)=RIGHT('112'!$M$9,2),B2813&lt;'112'!$N$8,$M2813='112'!$I$6)),"x",""))</f>
        <v/>
      </c>
      <c r="U2813" s="525" t="str">
        <f>IF(AND(B2813&gt;='IN-NX'!$P$3,B2813&lt;='IN-NX'!$Q$3,'IN-NX'!$D$7=D2813,OR(LEFT(L2813,2)="15",AND(LEFT(M2813,2)&lt;&gt;"15",LEFT(M2813,2)&lt;&gt;"33"))),"x","")</f>
        <v/>
      </c>
      <c r="V2813" s="525" t="str">
        <f>IF(AND(OR(LEFT(TH!L2813,2)="15",LEFT(TH!M2813,2)="15"),'152-CT'!$J$8=TH!F2813),"x","")</f>
        <v/>
      </c>
      <c r="W2813" s="525" t="str">
        <f>IF(AND(OR(LEFT(TH!L2813,2)="15",LEFT(TH!M2813,2)="15"),TK!$E$7=TH!F2813),"x","")</f>
        <v/>
      </c>
      <c r="X2813" s="525" t="str">
        <f>IF(AND('341-CT'!$E$9=H2813,OR(LEFT(L2813,3)=$X$7,LEFT(M2813,3)=$X$7)),"x","")</f>
        <v/>
      </c>
      <c r="Y2813" s="525" t="str">
        <f>IF(OR(TH!L2813=TH!$Y$7,M2813=TH!$Y$7),"x","")</f>
        <v/>
      </c>
      <c r="Z2813" s="525" t="str">
        <f>IF(AND(B2813&lt;=NKC!$N$8,B2813&gt;=NKC!$M$8),"x","")</f>
        <v/>
      </c>
      <c r="AA2813" s="535"/>
      <c r="AB2813" s="536"/>
    </row>
    <row r="2814" spans="1:28" s="576" customFormat="1" ht="15.75" customHeight="1">
      <c r="A2814" s="517" t="str">
        <f>IF(B2814&lt;&gt;"",IF(AND(B2814&gt;=_TM1,B2814&lt;=_TM2,OR(TH!L2814="1111",TH!M2814="1111")),TH!D2814,""),"")</f>
        <v/>
      </c>
      <c r="B2814" s="518">
        <f t="shared" ref="B2814:B2826" si="243">IF(C2814&lt;&gt;"",MONTH(C2814),"")</f>
        <v>4</v>
      </c>
      <c r="C2814" s="571">
        <f t="shared" ref="C2814:C2833" si="244">E2814</f>
        <v>42829</v>
      </c>
      <c r="D2814" s="519" t="s">
        <v>996</v>
      </c>
      <c r="E2814" s="571">
        <v>42829</v>
      </c>
      <c r="F2814" s="520" t="s">
        <v>1004</v>
      </c>
      <c r="G2814" s="579" t="s">
        <v>1094</v>
      </c>
      <c r="H2814" s="574" t="s">
        <v>800</v>
      </c>
      <c r="I2814" s="523">
        <v>126</v>
      </c>
      <c r="J2814" s="523">
        <v>13651</v>
      </c>
      <c r="K2814" s="575">
        <f>ROUND(I2814*J2814,0)</f>
        <v>1720026</v>
      </c>
      <c r="L2814" s="591" t="s">
        <v>160</v>
      </c>
      <c r="M2814" s="591" t="s">
        <v>292</v>
      </c>
      <c r="N2814" s="525" t="str">
        <f>IF(AND('331-CT'!$E$7=TH!H2814,OR(L2814="331",M2814="331")),"331",IF(AND(OR(L2814="131",M2814="131"),H2814='131-CT'!$E$7),"131",""))</f>
        <v/>
      </c>
      <c r="O2814" s="525" t="str">
        <f>IF(AND($B2814&gt;='111'!$N$11,$B2814&lt;='111'!$O$11,OR($L2814=$O$7,$M2814=$O$7)),"x","")</f>
        <v/>
      </c>
      <c r="P2814" s="525" t="str">
        <f>IF(AND($L2814=$O$7,$B2814&lt;'111'!$N$11),"x","")</f>
        <v/>
      </c>
      <c r="Q2814" s="525" t="str">
        <f>IF(AND($M2814=$O$7,$B2814&lt;'111'!$N$11),"x","")</f>
        <v/>
      </c>
      <c r="R2814" s="525" t="str">
        <f>IF(ISERROR(FIND('112'!$M$9,G2814,1)),"",IF((AND(FIND('112'!$M$9,G2814,1)&gt;=1,$B2814&gt;='112'!$N$8,$B2814&lt;='112'!$O$8,OR($L2814='112'!$I$6,$M2814='112'!$I$6))),"x",""))</f>
        <v/>
      </c>
      <c r="S2814" s="525" t="str">
        <f>IF(ISERROR(FIND('112'!$M$9,G2814,1)),"",IF((AND(LEFT(G2814,2)=LEFT('112'!$M$9,2),B2814&lt;'112'!$N$8,$L2814='112'!$I$6)),"x",""))</f>
        <v/>
      </c>
      <c r="T2814" s="525" t="str">
        <f>IF(ISERROR(FIND('112'!$M$9,G2814,1)),"",IF((AND(RIGHT(G2814,2)=RIGHT('112'!$M$9,2),B2814&lt;'112'!$N$8,$M2814='112'!$I$6)),"x",""))</f>
        <v/>
      </c>
      <c r="U2814" s="525" t="str">
        <f>IF(AND(B2814&gt;='IN-NX'!$P$3,B2814&lt;='IN-NX'!$Q$3,'IN-NX'!$D$7=D2814,OR(LEFT(L2814,2)="15",AND(LEFT(M2814,2)&lt;&gt;"15",LEFT(M2814,2)&lt;&gt;"33"))),"x","")</f>
        <v/>
      </c>
      <c r="V2814" s="525" t="str">
        <f>IF(AND(OR(LEFT(TH!L2814,2)="15",LEFT(TH!M2814,2)="15"),'152-CT'!$J$8=TH!F2814),"x","")</f>
        <v/>
      </c>
      <c r="W2814" s="525" t="str">
        <f>IF(AND(OR(LEFT(TH!L2814,2)="15",LEFT(TH!M2814,2)="15"),TK!$E$7=TH!F2814),"x","")</f>
        <v/>
      </c>
      <c r="X2814" s="525" t="str">
        <f>IF(AND('341-CT'!$E$9=H2814,OR(LEFT(L2814,3)=$X$7,LEFT(M2814,3)=$X$7)),"x","")</f>
        <v/>
      </c>
      <c r="Y2814" s="525" t="str">
        <f>IF(OR(TH!L2814=TH!$Y$7,M2814=TH!$Y$7),"x","")</f>
        <v/>
      </c>
      <c r="Z2814" s="525" t="str">
        <f>IF(AND(B2814&lt;=NKC!$N$8,B2814&gt;=NKC!$M$8),"x","")</f>
        <v/>
      </c>
      <c r="AA2814" s="526"/>
      <c r="AB2814" s="527"/>
    </row>
    <row r="2815" spans="1:28" s="576" customFormat="1" ht="15.75" customHeight="1">
      <c r="A2815" s="517" t="str">
        <f>IF(B2815&lt;&gt;"",IF(AND(B2815&gt;=_TM1,B2815&lt;=_TM2,OR(TH!L2815="1111",TH!M2815="1111")),TH!D2815,""),"")</f>
        <v/>
      </c>
      <c r="B2815" s="518">
        <f t="shared" si="243"/>
        <v>4</v>
      </c>
      <c r="C2815" s="571">
        <f t="shared" si="244"/>
        <v>42830</v>
      </c>
      <c r="D2815" s="519" t="s">
        <v>996</v>
      </c>
      <c r="E2815" s="571">
        <v>42830</v>
      </c>
      <c r="F2815" s="572" t="s">
        <v>274</v>
      </c>
      <c r="G2815" s="579" t="s">
        <v>1095</v>
      </c>
      <c r="H2815" s="574" t="s">
        <v>800</v>
      </c>
      <c r="I2815" s="523">
        <v>541</v>
      </c>
      <c r="J2815" s="523">
        <v>12000</v>
      </c>
      <c r="K2815" s="575">
        <f>ROUND(I2815*J2815,0)</f>
        <v>6492000</v>
      </c>
      <c r="L2815" s="591" t="s">
        <v>160</v>
      </c>
      <c r="M2815" s="591" t="s">
        <v>292</v>
      </c>
      <c r="N2815" s="525" t="str">
        <f>IF(AND('331-CT'!$E$7=TH!H2815,OR(L2815="331",M2815="331")),"331",IF(AND(OR(L2815="131",M2815="131"),H2815='131-CT'!$E$7),"131",""))</f>
        <v/>
      </c>
      <c r="O2815" s="525" t="str">
        <f>IF(AND($B2815&gt;='111'!$N$11,$B2815&lt;='111'!$O$11,OR($L2815=$O$7,$M2815=$O$7)),"x","")</f>
        <v/>
      </c>
      <c r="P2815" s="525" t="str">
        <f>IF(AND($L2815=$O$7,$B2815&lt;'111'!$N$11),"x","")</f>
        <v/>
      </c>
      <c r="Q2815" s="525" t="str">
        <f>IF(AND($M2815=$O$7,$B2815&lt;'111'!$N$11),"x","")</f>
        <v/>
      </c>
      <c r="R2815" s="525" t="str">
        <f>IF(ISERROR(FIND('112'!$M$9,G2815,1)),"",IF((AND(FIND('112'!$M$9,G2815,1)&gt;=1,$B2815&gt;='112'!$N$8,$B2815&lt;='112'!$O$8,OR($L2815='112'!$I$6,$M2815='112'!$I$6))),"x",""))</f>
        <v/>
      </c>
      <c r="S2815" s="525" t="str">
        <f>IF(ISERROR(FIND('112'!$M$9,G2815,1)),"",IF((AND(LEFT(G2815,2)=LEFT('112'!$M$9,2),B2815&lt;'112'!$N$8,$L2815='112'!$I$6)),"x",""))</f>
        <v/>
      </c>
      <c r="T2815" s="525" t="str">
        <f>IF(ISERROR(FIND('112'!$M$9,G2815,1)),"",IF((AND(RIGHT(G2815,2)=RIGHT('112'!$M$9,2),B2815&lt;'112'!$N$8,$M2815='112'!$I$6)),"x",""))</f>
        <v/>
      </c>
      <c r="U2815" s="525" t="str">
        <f>IF(AND(B2815&gt;='IN-NX'!$P$3,B2815&lt;='IN-NX'!$Q$3,'IN-NX'!$D$7=D2815,OR(LEFT(L2815,2)="15",AND(LEFT(M2815,2)&lt;&gt;"15",LEFT(M2815,2)&lt;&gt;"33"))),"x","")</f>
        <v/>
      </c>
      <c r="V2815" s="525" t="str">
        <f>IF(AND(OR(LEFT(TH!L2815,2)="15",LEFT(TH!M2815,2)="15"),'152-CT'!$J$8=TH!F2815),"x","")</f>
        <v/>
      </c>
      <c r="W2815" s="525" t="str">
        <f>IF(AND(OR(LEFT(TH!L2815,2)="15",LEFT(TH!M2815,2)="15"),TK!$E$7=TH!F2815),"x","")</f>
        <v>x</v>
      </c>
      <c r="X2815" s="525" t="str">
        <f>IF(AND('341-CT'!$E$9=H2815,OR(LEFT(L2815,3)=$X$7,LEFT(M2815,3)=$X$7)),"x","")</f>
        <v/>
      </c>
      <c r="Y2815" s="525" t="str">
        <f>IF(OR(TH!L2815=TH!$Y$7,M2815=TH!$Y$7),"x","")</f>
        <v/>
      </c>
      <c r="Z2815" s="525" t="str">
        <f>IF(AND(B2815&lt;=NKC!$N$8,B2815&gt;=NKC!$M$8),"x","")</f>
        <v/>
      </c>
      <c r="AA2815" s="526"/>
      <c r="AB2815" s="527"/>
    </row>
    <row r="2816" spans="1:28" s="576" customFormat="1" ht="15.75" customHeight="1">
      <c r="A2816" s="517" t="str">
        <f>IF(B2816&lt;&gt;"",IF(AND(B2816&gt;=_TM1,B2816&lt;=_TM2,OR(TH!L2816="1111",TH!M2816="1111")),TH!D2816,""),"")</f>
        <v/>
      </c>
      <c r="B2816" s="518">
        <f t="shared" si="243"/>
        <v>4</v>
      </c>
      <c r="C2816" s="571">
        <f t="shared" si="244"/>
        <v>42833</v>
      </c>
      <c r="D2816" s="519" t="s">
        <v>996</v>
      </c>
      <c r="E2816" s="571">
        <v>42833</v>
      </c>
      <c r="F2816" s="572" t="s">
        <v>1009</v>
      </c>
      <c r="G2816" s="579" t="s">
        <v>1098</v>
      </c>
      <c r="H2816" s="574" t="s">
        <v>800</v>
      </c>
      <c r="I2816" s="523">
        <v>130</v>
      </c>
      <c r="J2816" s="523">
        <v>13651</v>
      </c>
      <c r="K2816" s="575">
        <f t="shared" ref="K2816:K2879" si="245">ROUND(I2816*J2816,0)</f>
        <v>1774630</v>
      </c>
      <c r="L2816" s="591" t="s">
        <v>160</v>
      </c>
      <c r="M2816" s="591" t="s">
        <v>292</v>
      </c>
      <c r="N2816" s="525" t="str">
        <f>IF(AND('331-CT'!$E$7=TH!H2816,OR(L2816="331",M2816="331")),"331",IF(AND(OR(L2816="131",M2816="131"),H2816='131-CT'!$E$7),"131",""))</f>
        <v/>
      </c>
      <c r="O2816" s="525" t="str">
        <f>IF(AND($B2816&gt;='111'!$N$11,$B2816&lt;='111'!$O$11,OR($L2816=$O$7,$M2816=$O$7)),"x","")</f>
        <v/>
      </c>
      <c r="P2816" s="525" t="str">
        <f>IF(AND($L2816=$O$7,$B2816&lt;'111'!$N$11),"x","")</f>
        <v/>
      </c>
      <c r="Q2816" s="525" t="str">
        <f>IF(AND($M2816=$O$7,$B2816&lt;'111'!$N$11),"x","")</f>
        <v/>
      </c>
      <c r="R2816" s="525" t="str">
        <f>IF(ISERROR(FIND('112'!$M$9,G2816,1)),"",IF((AND(FIND('112'!$M$9,G2816,1)&gt;=1,$B2816&gt;='112'!$N$8,$B2816&lt;='112'!$O$8,OR($L2816='112'!$I$6,$M2816='112'!$I$6))),"x",""))</f>
        <v/>
      </c>
      <c r="S2816" s="525" t="str">
        <f>IF(ISERROR(FIND('112'!$M$9,G2816,1)),"",IF((AND(LEFT(G2816,2)=LEFT('112'!$M$9,2),B2816&lt;'112'!$N$8,$L2816='112'!$I$6)),"x",""))</f>
        <v/>
      </c>
      <c r="T2816" s="525" t="str">
        <f>IF(ISERROR(FIND('112'!$M$9,G2816,1)),"",IF((AND(RIGHT(G2816,2)=RIGHT('112'!$M$9,2),B2816&lt;'112'!$N$8,$M2816='112'!$I$6)),"x",""))</f>
        <v/>
      </c>
      <c r="U2816" s="525" t="str">
        <f>IF(AND(B2816&gt;='IN-NX'!$P$3,B2816&lt;='IN-NX'!$Q$3,'IN-NX'!$D$7=D2816,OR(LEFT(L2816,2)="15",AND(LEFT(M2816,2)&lt;&gt;"15",LEFT(M2816,2)&lt;&gt;"33"))),"x","")</f>
        <v/>
      </c>
      <c r="V2816" s="525" t="str">
        <f>IF(AND(OR(LEFT(TH!L2816,2)="15",LEFT(TH!M2816,2)="15"),'152-CT'!$J$8=TH!F2816),"x","")</f>
        <v/>
      </c>
      <c r="W2816" s="525" t="str">
        <f>IF(AND(OR(LEFT(TH!L2816,2)="15",LEFT(TH!M2816,2)="15"),TK!$E$7=TH!F2816),"x","")</f>
        <v/>
      </c>
      <c r="X2816" s="525" t="str">
        <f>IF(AND('341-CT'!$E$9=H2816,OR(LEFT(L2816,3)=$X$7,LEFT(M2816,3)=$X$7)),"x","")</f>
        <v/>
      </c>
      <c r="Y2816" s="525" t="str">
        <f>IF(OR(TH!L2816=TH!$Y$7,M2816=TH!$Y$7),"x","")</f>
        <v/>
      </c>
      <c r="Z2816" s="525" t="str">
        <f>IF(AND(B2816&lt;=NKC!$N$8,B2816&gt;=NKC!$M$8),"x","")</f>
        <v/>
      </c>
      <c r="AA2816" s="526"/>
      <c r="AB2816" s="527"/>
    </row>
    <row r="2817" spans="1:28" s="576" customFormat="1" ht="15.75" customHeight="1">
      <c r="A2817" s="517" t="str">
        <f>IF(B2817&lt;&gt;"",IF(AND(B2817&gt;=_TM1,B2817&lt;=_TM2,OR(TH!L2817="1111",TH!M2817="1111")),TH!D2817,""),"")</f>
        <v/>
      </c>
      <c r="B2817" s="518">
        <f t="shared" si="243"/>
        <v>4</v>
      </c>
      <c r="C2817" s="571">
        <f t="shared" si="244"/>
        <v>42838</v>
      </c>
      <c r="D2817" s="519" t="s">
        <v>996</v>
      </c>
      <c r="E2817" s="571">
        <v>42838</v>
      </c>
      <c r="F2817" s="572" t="s">
        <v>503</v>
      </c>
      <c r="G2817" s="579" t="s">
        <v>1103</v>
      </c>
      <c r="H2817" s="574" t="s">
        <v>800</v>
      </c>
      <c r="I2817" s="523">
        <v>1700</v>
      </c>
      <c r="J2817" s="523">
        <v>8000</v>
      </c>
      <c r="K2817" s="575">
        <f t="shared" si="245"/>
        <v>13600000</v>
      </c>
      <c r="L2817" s="591" t="s">
        <v>160</v>
      </c>
      <c r="M2817" s="591" t="s">
        <v>292</v>
      </c>
      <c r="N2817" s="525" t="str">
        <f>IF(AND('331-CT'!$E$7=TH!H2817,OR(L2817="331",M2817="331")),"331",IF(AND(OR(L2817="131",M2817="131"),H2817='131-CT'!$E$7),"131",""))</f>
        <v/>
      </c>
      <c r="O2817" s="525" t="str">
        <f>IF(AND($B2817&gt;='111'!$N$11,$B2817&lt;='111'!$O$11,OR($L2817=$O$7,$M2817=$O$7)),"x","")</f>
        <v/>
      </c>
      <c r="P2817" s="525" t="str">
        <f>IF(AND($L2817=$O$7,$B2817&lt;'111'!$N$11),"x","")</f>
        <v/>
      </c>
      <c r="Q2817" s="525" t="str">
        <f>IF(AND($M2817=$O$7,$B2817&lt;'111'!$N$11),"x","")</f>
        <v/>
      </c>
      <c r="R2817" s="525" t="str">
        <f>IF(ISERROR(FIND('112'!$M$9,G2817,1)),"",IF((AND(FIND('112'!$M$9,G2817,1)&gt;=1,$B2817&gt;='112'!$N$8,$B2817&lt;='112'!$O$8,OR($L2817='112'!$I$6,$M2817='112'!$I$6))),"x",""))</f>
        <v/>
      </c>
      <c r="S2817" s="525" t="str">
        <f>IF(ISERROR(FIND('112'!$M$9,G2817,1)),"",IF((AND(LEFT(G2817,2)=LEFT('112'!$M$9,2),B2817&lt;'112'!$N$8,$L2817='112'!$I$6)),"x",""))</f>
        <v/>
      </c>
      <c r="T2817" s="525" t="str">
        <f>IF(ISERROR(FIND('112'!$M$9,G2817,1)),"",IF((AND(RIGHT(G2817,2)=RIGHT('112'!$M$9,2),B2817&lt;'112'!$N$8,$M2817='112'!$I$6)),"x",""))</f>
        <v/>
      </c>
      <c r="U2817" s="525" t="str">
        <f>IF(AND(B2817&gt;='IN-NX'!$P$3,B2817&lt;='IN-NX'!$Q$3,'IN-NX'!$D$7=D2817,OR(LEFT(L2817,2)="15",AND(LEFT(M2817,2)&lt;&gt;"15",LEFT(M2817,2)&lt;&gt;"33"))),"x","")</f>
        <v/>
      </c>
      <c r="V2817" s="525" t="str">
        <f>IF(AND(OR(LEFT(TH!L2817,2)="15",LEFT(TH!M2817,2)="15"),'152-CT'!$J$8=TH!F2817),"x","")</f>
        <v/>
      </c>
      <c r="W2817" s="525" t="str">
        <f>IF(AND(OR(LEFT(TH!L2817,2)="15",LEFT(TH!M2817,2)="15"),TK!$E$7=TH!F2817),"x","")</f>
        <v/>
      </c>
      <c r="X2817" s="525" t="str">
        <f>IF(AND('341-CT'!$E$9=H2817,OR(LEFT(L2817,3)=$X$7,LEFT(M2817,3)=$X$7)),"x","")</f>
        <v/>
      </c>
      <c r="Y2817" s="525" t="str">
        <f>IF(OR(TH!L2817=TH!$Y$7,M2817=TH!$Y$7),"x","")</f>
        <v/>
      </c>
      <c r="Z2817" s="525" t="str">
        <f>IF(AND(B2817&lt;=NKC!$N$8,B2817&gt;=NKC!$M$8),"x","")</f>
        <v/>
      </c>
      <c r="AA2817" s="526"/>
      <c r="AB2817" s="527"/>
    </row>
    <row r="2818" spans="1:28" s="576" customFormat="1" ht="15.75" customHeight="1">
      <c r="A2818" s="517" t="str">
        <f>IF(B2818&lt;&gt;"",IF(AND(B2818&gt;=_TM1,B2818&lt;=_TM2,OR(TH!L2818="1111",TH!M2818="1111")),TH!D2818,""),"")</f>
        <v/>
      </c>
      <c r="B2818" s="518">
        <f t="shared" si="243"/>
        <v>4</v>
      </c>
      <c r="C2818" s="571">
        <f t="shared" si="244"/>
        <v>42842</v>
      </c>
      <c r="D2818" s="519" t="s">
        <v>996</v>
      </c>
      <c r="E2818" s="571">
        <v>42842</v>
      </c>
      <c r="F2818" s="572" t="s">
        <v>503</v>
      </c>
      <c r="G2818" s="579" t="s">
        <v>1104</v>
      </c>
      <c r="H2818" s="574" t="s">
        <v>800</v>
      </c>
      <c r="I2818" s="523">
        <v>1800</v>
      </c>
      <c r="J2818" s="523">
        <v>8000</v>
      </c>
      <c r="K2818" s="575">
        <f t="shared" si="245"/>
        <v>14400000</v>
      </c>
      <c r="L2818" s="591" t="s">
        <v>160</v>
      </c>
      <c r="M2818" s="591" t="s">
        <v>292</v>
      </c>
      <c r="N2818" s="525" t="str">
        <f>IF(AND('331-CT'!$E$7=TH!H2818,OR(L2818="331",M2818="331")),"331",IF(AND(OR(L2818="131",M2818="131"),H2818='131-CT'!$E$7),"131",""))</f>
        <v/>
      </c>
      <c r="O2818" s="525" t="str">
        <f>IF(AND($B2818&gt;='111'!$N$11,$B2818&lt;='111'!$O$11,OR($L2818=$O$7,$M2818=$O$7)),"x","")</f>
        <v/>
      </c>
      <c r="P2818" s="525" t="str">
        <f>IF(AND($L2818=$O$7,$B2818&lt;'111'!$N$11),"x","")</f>
        <v/>
      </c>
      <c r="Q2818" s="525" t="str">
        <f>IF(AND($M2818=$O$7,$B2818&lt;'111'!$N$11),"x","")</f>
        <v/>
      </c>
      <c r="R2818" s="525" t="str">
        <f>IF(ISERROR(FIND('112'!$M$9,G2818,1)),"",IF((AND(FIND('112'!$M$9,G2818,1)&gt;=1,$B2818&gt;='112'!$N$8,$B2818&lt;='112'!$O$8,OR($L2818='112'!$I$6,$M2818='112'!$I$6))),"x",""))</f>
        <v/>
      </c>
      <c r="S2818" s="525" t="str">
        <f>IF(ISERROR(FIND('112'!$M$9,G2818,1)),"",IF((AND(LEFT(G2818,2)=LEFT('112'!$M$9,2),B2818&lt;'112'!$N$8,$L2818='112'!$I$6)),"x",""))</f>
        <v/>
      </c>
      <c r="T2818" s="525" t="str">
        <f>IF(ISERROR(FIND('112'!$M$9,G2818,1)),"",IF((AND(RIGHT(G2818,2)=RIGHT('112'!$M$9,2),B2818&lt;'112'!$N$8,$M2818='112'!$I$6)),"x",""))</f>
        <v/>
      </c>
      <c r="U2818" s="525" t="str">
        <f>IF(AND(B2818&gt;='IN-NX'!$P$3,B2818&lt;='IN-NX'!$Q$3,'IN-NX'!$D$7=D2818,OR(LEFT(L2818,2)="15",AND(LEFT(M2818,2)&lt;&gt;"15",LEFT(M2818,2)&lt;&gt;"33"))),"x","")</f>
        <v/>
      </c>
      <c r="V2818" s="525" t="str">
        <f>IF(AND(OR(LEFT(TH!L2818,2)="15",LEFT(TH!M2818,2)="15"),'152-CT'!$J$8=TH!F2818),"x","")</f>
        <v/>
      </c>
      <c r="W2818" s="525" t="str">
        <f>IF(AND(OR(LEFT(TH!L2818,2)="15",LEFT(TH!M2818,2)="15"),TK!$E$7=TH!F2818),"x","")</f>
        <v/>
      </c>
      <c r="X2818" s="525" t="str">
        <f>IF(AND('341-CT'!$E$9=H2818,OR(LEFT(L2818,3)=$X$7,LEFT(M2818,3)=$X$7)),"x","")</f>
        <v/>
      </c>
      <c r="Y2818" s="525" t="str">
        <f>IF(OR(TH!L2818=TH!$Y$7,M2818=TH!$Y$7),"x","")</f>
        <v/>
      </c>
      <c r="Z2818" s="525" t="str">
        <f>IF(AND(B2818&lt;=NKC!$N$8,B2818&gt;=NKC!$M$8),"x","")</f>
        <v/>
      </c>
      <c r="AA2818" s="526"/>
      <c r="AB2818" s="527"/>
    </row>
    <row r="2819" spans="1:28" s="576" customFormat="1" ht="15.75" customHeight="1">
      <c r="A2819" s="517" t="str">
        <f>IF(B2819&lt;&gt;"",IF(AND(B2819&gt;=_TM1,B2819&lt;=_TM2,OR(TH!L2819="1111",TH!M2819="1111")),TH!D2819,""),"")</f>
        <v/>
      </c>
      <c r="B2819" s="518">
        <f t="shared" si="243"/>
        <v>4</v>
      </c>
      <c r="C2819" s="571">
        <f t="shared" si="244"/>
        <v>42843</v>
      </c>
      <c r="D2819" s="519" t="s">
        <v>996</v>
      </c>
      <c r="E2819" s="571">
        <v>42843</v>
      </c>
      <c r="F2819" s="572" t="s">
        <v>497</v>
      </c>
      <c r="G2819" s="579" t="s">
        <v>1105</v>
      </c>
      <c r="H2819" s="574" t="s">
        <v>800</v>
      </c>
      <c r="I2819" s="523">
        <v>50</v>
      </c>
      <c r="J2819" s="523">
        <v>37524</v>
      </c>
      <c r="K2819" s="575">
        <f t="shared" si="245"/>
        <v>1876200</v>
      </c>
      <c r="L2819" s="591" t="s">
        <v>160</v>
      </c>
      <c r="M2819" s="591" t="s">
        <v>292</v>
      </c>
      <c r="N2819" s="525" t="str">
        <f>IF(AND('331-CT'!$E$7=TH!H2819,OR(L2819="331",M2819="331")),"331",IF(AND(OR(L2819="131",M2819="131"),H2819='131-CT'!$E$7),"131",""))</f>
        <v/>
      </c>
      <c r="O2819" s="525" t="str">
        <f>IF(AND($B2819&gt;='111'!$N$11,$B2819&lt;='111'!$O$11,OR($L2819=$O$7,$M2819=$O$7)),"x","")</f>
        <v/>
      </c>
      <c r="P2819" s="525" t="str">
        <f>IF(AND($L2819=$O$7,$B2819&lt;'111'!$N$11),"x","")</f>
        <v/>
      </c>
      <c r="Q2819" s="525" t="str">
        <f>IF(AND($M2819=$O$7,$B2819&lt;'111'!$N$11),"x","")</f>
        <v/>
      </c>
      <c r="R2819" s="525" t="str">
        <f>IF(ISERROR(FIND('112'!$M$9,G2819,1)),"",IF((AND(FIND('112'!$M$9,G2819,1)&gt;=1,$B2819&gt;='112'!$N$8,$B2819&lt;='112'!$O$8,OR($L2819='112'!$I$6,$M2819='112'!$I$6))),"x",""))</f>
        <v/>
      </c>
      <c r="S2819" s="525" t="str">
        <f>IF(ISERROR(FIND('112'!$M$9,G2819,1)),"",IF((AND(LEFT(G2819,2)=LEFT('112'!$M$9,2),B2819&lt;'112'!$N$8,$L2819='112'!$I$6)),"x",""))</f>
        <v/>
      </c>
      <c r="T2819" s="525" t="str">
        <f>IF(ISERROR(FIND('112'!$M$9,G2819,1)),"",IF((AND(RIGHT(G2819,2)=RIGHT('112'!$M$9,2),B2819&lt;'112'!$N$8,$M2819='112'!$I$6)),"x",""))</f>
        <v/>
      </c>
      <c r="U2819" s="525" t="str">
        <f>IF(AND(B2819&gt;='IN-NX'!$P$3,B2819&lt;='IN-NX'!$Q$3,'IN-NX'!$D$7=D2819,OR(LEFT(L2819,2)="15",AND(LEFT(M2819,2)&lt;&gt;"15",LEFT(M2819,2)&lt;&gt;"33"))),"x","")</f>
        <v/>
      </c>
      <c r="V2819" s="525" t="str">
        <f>IF(AND(OR(LEFT(TH!L2819,2)="15",LEFT(TH!M2819,2)="15"),'152-CT'!$J$8=TH!F2819),"x","")</f>
        <v/>
      </c>
      <c r="W2819" s="525" t="str">
        <f>IF(AND(OR(LEFT(TH!L2819,2)="15",LEFT(TH!M2819,2)="15"),TK!$E$7=TH!F2819),"x","")</f>
        <v/>
      </c>
      <c r="X2819" s="525" t="str">
        <f>IF(AND('341-CT'!$E$9=H2819,OR(LEFT(L2819,3)=$X$7,LEFT(M2819,3)=$X$7)),"x","")</f>
        <v/>
      </c>
      <c r="Y2819" s="525" t="str">
        <f>IF(OR(TH!L2819=TH!$Y$7,M2819=TH!$Y$7),"x","")</f>
        <v/>
      </c>
      <c r="Z2819" s="525" t="str">
        <f>IF(AND(B2819&lt;=NKC!$N$8,B2819&gt;=NKC!$M$8),"x","")</f>
        <v/>
      </c>
      <c r="AA2819" s="526"/>
      <c r="AB2819" s="527"/>
    </row>
    <row r="2820" spans="1:28" s="576" customFormat="1" ht="15.75" customHeight="1">
      <c r="A2820" s="517" t="str">
        <f>IF(B2820&lt;&gt;"",IF(AND(B2820&gt;=_TM1,B2820&lt;=_TM2,OR(TH!L2820="1111",TH!M2820="1111")),TH!D2820,""),"")</f>
        <v/>
      </c>
      <c r="B2820" s="518">
        <f t="shared" si="243"/>
        <v>4</v>
      </c>
      <c r="C2820" s="571">
        <f t="shared" si="244"/>
        <v>42843</v>
      </c>
      <c r="D2820" s="519" t="s">
        <v>996</v>
      </c>
      <c r="E2820" s="571">
        <v>42843</v>
      </c>
      <c r="F2820" s="520" t="s">
        <v>495</v>
      </c>
      <c r="G2820" s="579" t="s">
        <v>1105</v>
      </c>
      <c r="H2820" s="574" t="s">
        <v>800</v>
      </c>
      <c r="I2820" s="523">
        <v>50</v>
      </c>
      <c r="J2820" s="523">
        <v>24784</v>
      </c>
      <c r="K2820" s="575">
        <f t="shared" si="245"/>
        <v>1239200</v>
      </c>
      <c r="L2820" s="591" t="s">
        <v>160</v>
      </c>
      <c r="M2820" s="591" t="s">
        <v>292</v>
      </c>
      <c r="N2820" s="525" t="str">
        <f>IF(AND('331-CT'!$E$7=TH!H2820,OR(L2820="331",M2820="331")),"331",IF(AND(OR(L2820="131",M2820="131"),H2820='131-CT'!$E$7),"131",""))</f>
        <v/>
      </c>
      <c r="O2820" s="525" t="str">
        <f>IF(AND($B2820&gt;='111'!$N$11,$B2820&lt;='111'!$O$11,OR($L2820=$O$7,$M2820=$O$7)),"x","")</f>
        <v/>
      </c>
      <c r="P2820" s="525" t="str">
        <f>IF(AND($L2820=$O$7,$B2820&lt;'111'!$N$11),"x","")</f>
        <v/>
      </c>
      <c r="Q2820" s="525" t="str">
        <f>IF(AND($M2820=$O$7,$B2820&lt;'111'!$N$11),"x","")</f>
        <v/>
      </c>
      <c r="R2820" s="525" t="str">
        <f>IF(ISERROR(FIND('112'!$M$9,G2820,1)),"",IF((AND(FIND('112'!$M$9,G2820,1)&gt;=1,$B2820&gt;='112'!$N$8,$B2820&lt;='112'!$O$8,OR($L2820='112'!$I$6,$M2820='112'!$I$6))),"x",""))</f>
        <v/>
      </c>
      <c r="S2820" s="525" t="str">
        <f>IF(ISERROR(FIND('112'!$M$9,G2820,1)),"",IF((AND(LEFT(G2820,2)=LEFT('112'!$M$9,2),B2820&lt;'112'!$N$8,$L2820='112'!$I$6)),"x",""))</f>
        <v/>
      </c>
      <c r="T2820" s="525" t="str">
        <f>IF(ISERROR(FIND('112'!$M$9,G2820,1)),"",IF((AND(RIGHT(G2820,2)=RIGHT('112'!$M$9,2),B2820&lt;'112'!$N$8,$M2820='112'!$I$6)),"x",""))</f>
        <v/>
      </c>
      <c r="U2820" s="525" t="str">
        <f>IF(AND(B2820&gt;='IN-NX'!$P$3,B2820&lt;='IN-NX'!$Q$3,'IN-NX'!$D$7=D2820,OR(LEFT(L2820,2)="15",AND(LEFT(M2820,2)&lt;&gt;"15",LEFT(M2820,2)&lt;&gt;"33"))),"x","")</f>
        <v/>
      </c>
      <c r="V2820" s="525" t="str">
        <f>IF(AND(OR(LEFT(TH!L2820,2)="15",LEFT(TH!M2820,2)="15"),'152-CT'!$J$8=TH!F2820),"x","")</f>
        <v/>
      </c>
      <c r="W2820" s="525" t="str">
        <f>IF(AND(OR(LEFT(TH!L2820,2)="15",LEFT(TH!M2820,2)="15"),TK!$E$7=TH!F2820),"x","")</f>
        <v/>
      </c>
      <c r="X2820" s="525" t="str">
        <f>IF(AND('341-CT'!$E$9=H2820,OR(LEFT(L2820,3)=$X$7,LEFT(M2820,3)=$X$7)),"x","")</f>
        <v/>
      </c>
      <c r="Y2820" s="525" t="str">
        <f>IF(OR(TH!L2820=TH!$Y$7,M2820=TH!$Y$7),"x","")</f>
        <v/>
      </c>
      <c r="Z2820" s="525" t="str">
        <f>IF(AND(B2820&lt;=NKC!$N$8,B2820&gt;=NKC!$M$8),"x","")</f>
        <v/>
      </c>
      <c r="AA2820" s="526"/>
      <c r="AB2820" s="527"/>
    </row>
    <row r="2821" spans="1:28" s="576" customFormat="1" ht="15.75" customHeight="1">
      <c r="A2821" s="517" t="str">
        <f>IF(B2821&lt;&gt;"",IF(AND(B2821&gt;=_TM1,B2821&lt;=_TM2,OR(TH!L2821="1111",TH!M2821="1111")),TH!D2821,""),"")</f>
        <v/>
      </c>
      <c r="B2821" s="518">
        <f t="shared" si="243"/>
        <v>4</v>
      </c>
      <c r="C2821" s="571">
        <f t="shared" si="244"/>
        <v>42843</v>
      </c>
      <c r="D2821" s="519" t="s">
        <v>996</v>
      </c>
      <c r="E2821" s="571">
        <v>42843</v>
      </c>
      <c r="F2821" s="577" t="s">
        <v>502</v>
      </c>
      <c r="G2821" s="579" t="s">
        <v>1105</v>
      </c>
      <c r="H2821" s="574" t="s">
        <v>800</v>
      </c>
      <c r="I2821" s="523">
        <v>100</v>
      </c>
      <c r="J2821" s="523">
        <v>13720</v>
      </c>
      <c r="K2821" s="575">
        <f t="shared" si="245"/>
        <v>1372000</v>
      </c>
      <c r="L2821" s="591" t="s">
        <v>160</v>
      </c>
      <c r="M2821" s="591" t="s">
        <v>292</v>
      </c>
      <c r="N2821" s="525" t="str">
        <f>IF(AND('331-CT'!$E$7=TH!H2821,OR(L2821="331",M2821="331")),"331",IF(AND(OR(L2821="131",M2821="131"),H2821='131-CT'!$E$7),"131",""))</f>
        <v/>
      </c>
      <c r="O2821" s="525" t="str">
        <f>IF(AND($B2821&gt;='111'!$N$11,$B2821&lt;='111'!$O$11,OR($L2821=$O$7,$M2821=$O$7)),"x","")</f>
        <v/>
      </c>
      <c r="P2821" s="525" t="str">
        <f>IF(AND($L2821=$O$7,$B2821&lt;'111'!$N$11),"x","")</f>
        <v/>
      </c>
      <c r="Q2821" s="525" t="str">
        <f>IF(AND($M2821=$O$7,$B2821&lt;'111'!$N$11),"x","")</f>
        <v/>
      </c>
      <c r="R2821" s="525" t="str">
        <f>IF(ISERROR(FIND('112'!$M$9,G2821,1)),"",IF((AND(FIND('112'!$M$9,G2821,1)&gt;=1,$B2821&gt;='112'!$N$8,$B2821&lt;='112'!$O$8,OR($L2821='112'!$I$6,$M2821='112'!$I$6))),"x",""))</f>
        <v/>
      </c>
      <c r="S2821" s="525" t="str">
        <f>IF(ISERROR(FIND('112'!$M$9,G2821,1)),"",IF((AND(LEFT(G2821,2)=LEFT('112'!$M$9,2),B2821&lt;'112'!$N$8,$L2821='112'!$I$6)),"x",""))</f>
        <v/>
      </c>
      <c r="T2821" s="525" t="str">
        <f>IF(ISERROR(FIND('112'!$M$9,G2821,1)),"",IF((AND(RIGHT(G2821,2)=RIGHT('112'!$M$9,2),B2821&lt;'112'!$N$8,$M2821='112'!$I$6)),"x",""))</f>
        <v/>
      </c>
      <c r="U2821" s="525" t="str">
        <f>IF(AND(B2821&gt;='IN-NX'!$P$3,B2821&lt;='IN-NX'!$Q$3,'IN-NX'!$D$7=D2821,OR(LEFT(L2821,2)="15",AND(LEFT(M2821,2)&lt;&gt;"15",LEFT(M2821,2)&lt;&gt;"33"))),"x","")</f>
        <v/>
      </c>
      <c r="V2821" s="525" t="str">
        <f>IF(AND(OR(LEFT(TH!L2821,2)="15",LEFT(TH!M2821,2)="15"),'152-CT'!$J$8=TH!F2821),"x","")</f>
        <v/>
      </c>
      <c r="W2821" s="525" t="str">
        <f>IF(AND(OR(LEFT(TH!L2821,2)="15",LEFT(TH!M2821,2)="15"),TK!$E$7=TH!F2821),"x","")</f>
        <v/>
      </c>
      <c r="X2821" s="525" t="str">
        <f>IF(AND('341-CT'!$E$9=H2821,OR(LEFT(L2821,3)=$X$7,LEFT(M2821,3)=$X$7)),"x","")</f>
        <v/>
      </c>
      <c r="Y2821" s="525" t="str">
        <f>IF(OR(TH!L2821=TH!$Y$7,M2821=TH!$Y$7),"x","")</f>
        <v/>
      </c>
      <c r="Z2821" s="525" t="str">
        <f>IF(AND(B2821&lt;=NKC!$N$8,B2821&gt;=NKC!$M$8),"x","")</f>
        <v/>
      </c>
      <c r="AA2821" s="526"/>
      <c r="AB2821" s="527"/>
    </row>
    <row r="2822" spans="1:28" s="576" customFormat="1" ht="15.75" customHeight="1">
      <c r="A2822" s="517" t="str">
        <f>IF(B2822&lt;&gt;"",IF(AND(B2822&gt;=_TM1,B2822&lt;=_TM2,OR(TH!L2822="1111",TH!M2822="1111")),TH!D2822,""),"")</f>
        <v/>
      </c>
      <c r="B2822" s="518">
        <f t="shared" si="243"/>
        <v>4</v>
      </c>
      <c r="C2822" s="571">
        <f t="shared" si="244"/>
        <v>42843</v>
      </c>
      <c r="D2822" s="519" t="s">
        <v>996</v>
      </c>
      <c r="E2822" s="571">
        <v>42843</v>
      </c>
      <c r="F2822" s="577" t="s">
        <v>1030</v>
      </c>
      <c r="G2822" s="579" t="s">
        <v>1105</v>
      </c>
      <c r="H2822" s="574" t="s">
        <v>800</v>
      </c>
      <c r="I2822" s="523">
        <v>50</v>
      </c>
      <c r="J2822" s="523">
        <v>23285</v>
      </c>
      <c r="K2822" s="575">
        <f t="shared" si="245"/>
        <v>1164250</v>
      </c>
      <c r="L2822" s="591" t="s">
        <v>160</v>
      </c>
      <c r="M2822" s="591" t="s">
        <v>292</v>
      </c>
      <c r="N2822" s="525" t="str">
        <f>IF(AND('331-CT'!$E$7=TH!H2822,OR(L2822="331",M2822="331")),"331",IF(AND(OR(L2822="131",M2822="131"),H2822='131-CT'!$E$7),"131",""))</f>
        <v/>
      </c>
      <c r="O2822" s="525" t="str">
        <f>IF(AND($B2822&gt;='111'!$N$11,$B2822&lt;='111'!$O$11,OR($L2822=$O$7,$M2822=$O$7)),"x","")</f>
        <v/>
      </c>
      <c r="P2822" s="525" t="str">
        <f>IF(AND($L2822=$O$7,$B2822&lt;'111'!$N$11),"x","")</f>
        <v/>
      </c>
      <c r="Q2822" s="525" t="str">
        <f>IF(AND($M2822=$O$7,$B2822&lt;'111'!$N$11),"x","")</f>
        <v/>
      </c>
      <c r="R2822" s="525" t="str">
        <f>IF(ISERROR(FIND('112'!$M$9,G2822,1)),"",IF((AND(FIND('112'!$M$9,G2822,1)&gt;=1,$B2822&gt;='112'!$N$8,$B2822&lt;='112'!$O$8,OR($L2822='112'!$I$6,$M2822='112'!$I$6))),"x",""))</f>
        <v/>
      </c>
      <c r="S2822" s="525" t="str">
        <f>IF(ISERROR(FIND('112'!$M$9,G2822,1)),"",IF((AND(LEFT(G2822,2)=LEFT('112'!$M$9,2),B2822&lt;'112'!$N$8,$L2822='112'!$I$6)),"x",""))</f>
        <v/>
      </c>
      <c r="T2822" s="525" t="str">
        <f>IF(ISERROR(FIND('112'!$M$9,G2822,1)),"",IF((AND(RIGHT(G2822,2)=RIGHT('112'!$M$9,2),B2822&lt;'112'!$N$8,$M2822='112'!$I$6)),"x",""))</f>
        <v/>
      </c>
      <c r="U2822" s="525" t="str">
        <f>IF(AND(B2822&gt;='IN-NX'!$P$3,B2822&lt;='IN-NX'!$Q$3,'IN-NX'!$D$7=D2822,OR(LEFT(L2822,2)="15",AND(LEFT(M2822,2)&lt;&gt;"15",LEFT(M2822,2)&lt;&gt;"33"))),"x","")</f>
        <v/>
      </c>
      <c r="V2822" s="525" t="str">
        <f>IF(AND(OR(LEFT(TH!L2822,2)="15",LEFT(TH!M2822,2)="15"),'152-CT'!$J$8=TH!F2822),"x","")</f>
        <v/>
      </c>
      <c r="W2822" s="525" t="str">
        <f>IF(AND(OR(LEFT(TH!L2822,2)="15",LEFT(TH!M2822,2)="15"),TK!$E$7=TH!F2822),"x","")</f>
        <v/>
      </c>
      <c r="X2822" s="525" t="str">
        <f>IF(AND('341-CT'!$E$9=H2822,OR(LEFT(L2822,3)=$X$7,LEFT(M2822,3)=$X$7)),"x","")</f>
        <v/>
      </c>
      <c r="Y2822" s="525" t="str">
        <f>IF(OR(TH!L2822=TH!$Y$7,M2822=TH!$Y$7),"x","")</f>
        <v/>
      </c>
      <c r="Z2822" s="525" t="str">
        <f>IF(AND(B2822&lt;=NKC!$N$8,B2822&gt;=NKC!$M$8),"x","")</f>
        <v/>
      </c>
      <c r="AA2822" s="526"/>
      <c r="AB2822" s="527"/>
    </row>
    <row r="2823" spans="1:28" s="576" customFormat="1" ht="15.75" customHeight="1">
      <c r="A2823" s="517" t="str">
        <f>IF(B2823&lt;&gt;"",IF(AND(B2823&gt;=_TM1,B2823&lt;=_TM2,OR(TH!L2823="1111",TH!M2823="1111")),TH!D2823,""),"")</f>
        <v/>
      </c>
      <c r="B2823" s="518">
        <f t="shared" si="243"/>
        <v>4</v>
      </c>
      <c r="C2823" s="571">
        <f t="shared" si="244"/>
        <v>42844</v>
      </c>
      <c r="D2823" s="519" t="s">
        <v>996</v>
      </c>
      <c r="E2823" s="571">
        <v>42844</v>
      </c>
      <c r="F2823" s="577" t="s">
        <v>1035</v>
      </c>
      <c r="G2823" s="579" t="s">
        <v>1108</v>
      </c>
      <c r="H2823" s="574" t="s">
        <v>800</v>
      </c>
      <c r="I2823" s="523">
        <v>325</v>
      </c>
      <c r="J2823" s="523">
        <v>1372</v>
      </c>
      <c r="K2823" s="575">
        <f t="shared" si="245"/>
        <v>445900</v>
      </c>
      <c r="L2823" s="591" t="s">
        <v>160</v>
      </c>
      <c r="M2823" s="591" t="s">
        <v>292</v>
      </c>
      <c r="N2823" s="525" t="str">
        <f>IF(AND('331-CT'!$E$7=TH!H2823,OR(L2823="331",M2823="331")),"331",IF(AND(OR(L2823="131",M2823="131"),H2823='131-CT'!$E$7),"131",""))</f>
        <v/>
      </c>
      <c r="O2823" s="525" t="str">
        <f>IF(AND($B2823&gt;='111'!$N$11,$B2823&lt;='111'!$O$11,OR($L2823=$O$7,$M2823=$O$7)),"x","")</f>
        <v/>
      </c>
      <c r="P2823" s="525" t="str">
        <f>IF(AND($L2823=$O$7,$B2823&lt;'111'!$N$11),"x","")</f>
        <v/>
      </c>
      <c r="Q2823" s="525" t="str">
        <f>IF(AND($M2823=$O$7,$B2823&lt;'111'!$N$11),"x","")</f>
        <v/>
      </c>
      <c r="R2823" s="525" t="str">
        <f>IF(ISERROR(FIND('112'!$M$9,G2823,1)),"",IF((AND(FIND('112'!$M$9,G2823,1)&gt;=1,$B2823&gt;='112'!$N$8,$B2823&lt;='112'!$O$8,OR($L2823='112'!$I$6,$M2823='112'!$I$6))),"x",""))</f>
        <v/>
      </c>
      <c r="S2823" s="525" t="str">
        <f>IF(ISERROR(FIND('112'!$M$9,G2823,1)),"",IF((AND(LEFT(G2823,2)=LEFT('112'!$M$9,2),B2823&lt;'112'!$N$8,$L2823='112'!$I$6)),"x",""))</f>
        <v/>
      </c>
      <c r="T2823" s="525" t="str">
        <f>IF(ISERROR(FIND('112'!$M$9,G2823,1)),"",IF((AND(RIGHT(G2823,2)=RIGHT('112'!$M$9,2),B2823&lt;'112'!$N$8,$M2823='112'!$I$6)),"x",""))</f>
        <v/>
      </c>
      <c r="U2823" s="525" t="str">
        <f>IF(AND(B2823&gt;='IN-NX'!$P$3,B2823&lt;='IN-NX'!$Q$3,'IN-NX'!$D$7=D2823,OR(LEFT(L2823,2)="15",AND(LEFT(M2823,2)&lt;&gt;"15",LEFT(M2823,2)&lt;&gt;"33"))),"x","")</f>
        <v/>
      </c>
      <c r="V2823" s="525" t="str">
        <f>IF(AND(OR(LEFT(TH!L2823,2)="15",LEFT(TH!M2823,2)="15"),'152-CT'!$J$8=TH!F2823),"x","")</f>
        <v/>
      </c>
      <c r="W2823" s="525" t="str">
        <f>IF(AND(OR(LEFT(TH!L2823,2)="15",LEFT(TH!M2823,2)="15"),TK!$E$7=TH!F2823),"x","")</f>
        <v/>
      </c>
      <c r="X2823" s="525" t="str">
        <f>IF(AND('341-CT'!$E$9=H2823,OR(LEFT(L2823,3)=$X$7,LEFT(M2823,3)=$X$7)),"x","")</f>
        <v/>
      </c>
      <c r="Y2823" s="525" t="str">
        <f>IF(OR(TH!L2823=TH!$Y$7,M2823=TH!$Y$7),"x","")</f>
        <v/>
      </c>
      <c r="Z2823" s="525" t="str">
        <f>IF(AND(B2823&lt;=NKC!$N$8,B2823&gt;=NKC!$M$8),"x","")</f>
        <v/>
      </c>
      <c r="AA2823" s="526"/>
      <c r="AB2823" s="527"/>
    </row>
    <row r="2824" spans="1:28" s="576" customFormat="1" ht="15.75" customHeight="1">
      <c r="A2824" s="517" t="str">
        <f>IF(B2824&lt;&gt;"",IF(AND(B2824&gt;=_TM1,B2824&lt;=_TM2,OR(TH!L2824="1111",TH!M2824="1111")),TH!D2824,""),"")</f>
        <v/>
      </c>
      <c r="B2824" s="518">
        <f t="shared" si="243"/>
        <v>4</v>
      </c>
      <c r="C2824" s="571">
        <f t="shared" si="244"/>
        <v>42844</v>
      </c>
      <c r="D2824" s="519" t="s">
        <v>996</v>
      </c>
      <c r="E2824" s="571">
        <v>42844</v>
      </c>
      <c r="F2824" s="577" t="s">
        <v>1036</v>
      </c>
      <c r="G2824" s="579" t="s">
        <v>1108</v>
      </c>
      <c r="H2824" s="574" t="s">
        <v>800</v>
      </c>
      <c r="I2824" s="523">
        <v>325</v>
      </c>
      <c r="J2824" s="523">
        <v>1049</v>
      </c>
      <c r="K2824" s="575">
        <f t="shared" si="245"/>
        <v>340925</v>
      </c>
      <c r="L2824" s="591" t="s">
        <v>160</v>
      </c>
      <c r="M2824" s="591" t="s">
        <v>292</v>
      </c>
      <c r="N2824" s="525" t="str">
        <f>IF(AND('331-CT'!$E$7=TH!H2824,OR(L2824="331",M2824="331")),"331",IF(AND(OR(L2824="131",M2824="131"),H2824='131-CT'!$E$7),"131",""))</f>
        <v/>
      </c>
      <c r="O2824" s="525" t="str">
        <f>IF(AND($B2824&gt;='111'!$N$11,$B2824&lt;='111'!$O$11,OR($L2824=$O$7,$M2824=$O$7)),"x","")</f>
        <v/>
      </c>
      <c r="P2824" s="525" t="str">
        <f>IF(AND($L2824=$O$7,$B2824&lt;'111'!$N$11),"x","")</f>
        <v/>
      </c>
      <c r="Q2824" s="525" t="str">
        <f>IF(AND($M2824=$O$7,$B2824&lt;'111'!$N$11),"x","")</f>
        <v/>
      </c>
      <c r="R2824" s="525" t="str">
        <f>IF(ISERROR(FIND('112'!$M$9,G2824,1)),"",IF((AND(FIND('112'!$M$9,G2824,1)&gt;=1,$B2824&gt;='112'!$N$8,$B2824&lt;='112'!$O$8,OR($L2824='112'!$I$6,$M2824='112'!$I$6))),"x",""))</f>
        <v/>
      </c>
      <c r="S2824" s="525" t="str">
        <f>IF(ISERROR(FIND('112'!$M$9,G2824,1)),"",IF((AND(LEFT(G2824,2)=LEFT('112'!$M$9,2),B2824&lt;'112'!$N$8,$L2824='112'!$I$6)),"x",""))</f>
        <v/>
      </c>
      <c r="T2824" s="525" t="str">
        <f>IF(ISERROR(FIND('112'!$M$9,G2824,1)),"",IF((AND(RIGHT(G2824,2)=RIGHT('112'!$M$9,2),B2824&lt;'112'!$N$8,$M2824='112'!$I$6)),"x",""))</f>
        <v/>
      </c>
      <c r="U2824" s="525" t="str">
        <f>IF(AND(B2824&gt;='IN-NX'!$P$3,B2824&lt;='IN-NX'!$Q$3,'IN-NX'!$D$7=D2824,OR(LEFT(L2824,2)="15",AND(LEFT(M2824,2)&lt;&gt;"15",LEFT(M2824,2)&lt;&gt;"33"))),"x","")</f>
        <v/>
      </c>
      <c r="V2824" s="525" t="str">
        <f>IF(AND(OR(LEFT(TH!L2824,2)="15",LEFT(TH!M2824,2)="15"),'152-CT'!$J$8=TH!F2824),"x","")</f>
        <v/>
      </c>
      <c r="W2824" s="525" t="str">
        <f>IF(AND(OR(LEFT(TH!L2824,2)="15",LEFT(TH!M2824,2)="15"),TK!$E$7=TH!F2824),"x","")</f>
        <v/>
      </c>
      <c r="X2824" s="525" t="str">
        <f>IF(AND('341-CT'!$E$9=H2824,OR(LEFT(L2824,3)=$X$7,LEFT(M2824,3)=$X$7)),"x","")</f>
        <v/>
      </c>
      <c r="Y2824" s="525" t="str">
        <f>IF(OR(TH!L2824=TH!$Y$7,M2824=TH!$Y$7),"x","")</f>
        <v/>
      </c>
      <c r="Z2824" s="525" t="str">
        <f>IF(AND(B2824&lt;=NKC!$N$8,B2824&gt;=NKC!$M$8),"x","")</f>
        <v/>
      </c>
      <c r="AA2824" s="526"/>
      <c r="AB2824" s="527"/>
    </row>
    <row r="2825" spans="1:28" s="576" customFormat="1" ht="15.75" customHeight="1">
      <c r="A2825" s="517" t="str">
        <f>IF(B2825&lt;&gt;"",IF(AND(B2825&gt;=_TM1,B2825&lt;=_TM2,OR(TH!L2825="1111",TH!M2825="1111")),TH!D2825,""),"")</f>
        <v/>
      </c>
      <c r="B2825" s="518">
        <f t="shared" si="243"/>
        <v>4</v>
      </c>
      <c r="C2825" s="571">
        <f t="shared" si="244"/>
        <v>42844</v>
      </c>
      <c r="D2825" s="519" t="s">
        <v>996</v>
      </c>
      <c r="E2825" s="571">
        <v>42844</v>
      </c>
      <c r="F2825" s="580" t="s">
        <v>274</v>
      </c>
      <c r="G2825" s="579" t="s">
        <v>1109</v>
      </c>
      <c r="H2825" s="574" t="s">
        <v>800</v>
      </c>
      <c r="I2825" s="523">
        <v>4800</v>
      </c>
      <c r="J2825" s="523">
        <v>12866.918333333333</v>
      </c>
      <c r="K2825" s="575">
        <f>ROUND(I2825*J2825,0)</f>
        <v>61761208</v>
      </c>
      <c r="L2825" s="591" t="s">
        <v>160</v>
      </c>
      <c r="M2825" s="591" t="s">
        <v>292</v>
      </c>
      <c r="N2825" s="525" t="str">
        <f>IF(AND('331-CT'!$E$7=TH!H2825,OR(L2825="331",M2825="331")),"331",IF(AND(OR(L2825="131",M2825="131"),H2825='131-CT'!$E$7),"131",""))</f>
        <v/>
      </c>
      <c r="O2825" s="525" t="str">
        <f>IF(AND($B2825&gt;='111'!$N$11,$B2825&lt;='111'!$O$11,OR($L2825=$O$7,$M2825=$O$7)),"x","")</f>
        <v/>
      </c>
      <c r="P2825" s="525" t="str">
        <f>IF(AND($L2825=$O$7,$B2825&lt;'111'!$N$11),"x","")</f>
        <v/>
      </c>
      <c r="Q2825" s="525" t="str">
        <f>IF(AND($M2825=$O$7,$B2825&lt;'111'!$N$11),"x","")</f>
        <v/>
      </c>
      <c r="R2825" s="525" t="str">
        <f>IF(ISERROR(FIND('112'!$M$9,G2825,1)),"",IF((AND(FIND('112'!$M$9,G2825,1)&gt;=1,$B2825&gt;='112'!$N$8,$B2825&lt;='112'!$O$8,OR($L2825='112'!$I$6,$M2825='112'!$I$6))),"x",""))</f>
        <v/>
      </c>
      <c r="S2825" s="525" t="str">
        <f>IF(ISERROR(FIND('112'!$M$9,G2825,1)),"",IF((AND(LEFT(G2825,2)=LEFT('112'!$M$9,2),B2825&lt;'112'!$N$8,$L2825='112'!$I$6)),"x",""))</f>
        <v/>
      </c>
      <c r="T2825" s="525" t="str">
        <f>IF(ISERROR(FIND('112'!$M$9,G2825,1)),"",IF((AND(RIGHT(G2825,2)=RIGHT('112'!$M$9,2),B2825&lt;'112'!$N$8,$M2825='112'!$I$6)),"x",""))</f>
        <v/>
      </c>
      <c r="U2825" s="525" t="str">
        <f>IF(AND(B2825&gt;='IN-NX'!$P$3,B2825&lt;='IN-NX'!$Q$3,'IN-NX'!$D$7=D2825,OR(LEFT(L2825,2)="15",AND(LEFT(M2825,2)&lt;&gt;"15",LEFT(M2825,2)&lt;&gt;"33"))),"x","")</f>
        <v/>
      </c>
      <c r="V2825" s="525" t="str">
        <f>IF(AND(OR(LEFT(TH!L2825,2)="15",LEFT(TH!M2825,2)="15"),'152-CT'!$J$8=TH!F2825),"x","")</f>
        <v/>
      </c>
      <c r="W2825" s="525" t="str">
        <f>IF(AND(OR(LEFT(TH!L2825,2)="15",LEFT(TH!M2825,2)="15"),TK!$E$7=TH!F2825),"x","")</f>
        <v>x</v>
      </c>
      <c r="X2825" s="525" t="str">
        <f>IF(AND('341-CT'!$E$9=H2825,OR(LEFT(L2825,3)=$X$7,LEFT(M2825,3)=$X$7)),"x","")</f>
        <v/>
      </c>
      <c r="Y2825" s="525" t="str">
        <f>IF(OR(TH!L2825=TH!$Y$7,M2825=TH!$Y$7),"x","")</f>
        <v/>
      </c>
      <c r="Z2825" s="525" t="str">
        <f>IF(AND(B2825&lt;=NKC!$N$8,B2825&gt;=NKC!$M$8),"x","")</f>
        <v/>
      </c>
      <c r="AA2825" s="526"/>
      <c r="AB2825" s="527"/>
    </row>
    <row r="2826" spans="1:28" s="576" customFormat="1" ht="15.75" customHeight="1">
      <c r="A2826" s="517" t="str">
        <f>IF(B2826&lt;&gt;"",IF(AND(B2826&gt;=_TM1,B2826&lt;=_TM2,OR(TH!L2826="1111",TH!M2826="1111")),TH!D2826,""),"")</f>
        <v/>
      </c>
      <c r="B2826" s="518">
        <f t="shared" si="243"/>
        <v>4</v>
      </c>
      <c r="C2826" s="571">
        <f t="shared" si="244"/>
        <v>42844</v>
      </c>
      <c r="D2826" s="519" t="s">
        <v>996</v>
      </c>
      <c r="E2826" s="571">
        <v>42844</v>
      </c>
      <c r="F2826" s="580" t="s">
        <v>273</v>
      </c>
      <c r="G2826" s="579" t="s">
        <v>1109</v>
      </c>
      <c r="H2826" s="574" t="s">
        <v>800</v>
      </c>
      <c r="I2826" s="523">
        <v>4700</v>
      </c>
      <c r="J2826" s="523">
        <v>20421.097872340426</v>
      </c>
      <c r="K2826" s="575">
        <f t="shared" si="245"/>
        <v>95979160</v>
      </c>
      <c r="L2826" s="591" t="s">
        <v>160</v>
      </c>
      <c r="M2826" s="591" t="s">
        <v>292</v>
      </c>
      <c r="N2826" s="525" t="str">
        <f>IF(AND('331-CT'!$E$7=TH!H2826,OR(L2826="331",M2826="331")),"331",IF(AND(OR(L2826="131",M2826="131"),H2826='131-CT'!$E$7),"131",""))</f>
        <v/>
      </c>
      <c r="O2826" s="525" t="str">
        <f>IF(AND($B2826&gt;='111'!$N$11,$B2826&lt;='111'!$O$11,OR($L2826=$O$7,$M2826=$O$7)),"x","")</f>
        <v/>
      </c>
      <c r="P2826" s="525" t="str">
        <f>IF(AND($L2826=$O$7,$B2826&lt;'111'!$N$11),"x","")</f>
        <v/>
      </c>
      <c r="Q2826" s="525" t="str">
        <f>IF(AND($M2826=$O$7,$B2826&lt;'111'!$N$11),"x","")</f>
        <v/>
      </c>
      <c r="R2826" s="525" t="str">
        <f>IF(ISERROR(FIND('112'!$M$9,G2826,1)),"",IF((AND(FIND('112'!$M$9,G2826,1)&gt;=1,$B2826&gt;='112'!$N$8,$B2826&lt;='112'!$O$8,OR($L2826='112'!$I$6,$M2826='112'!$I$6))),"x",""))</f>
        <v/>
      </c>
      <c r="S2826" s="525" t="str">
        <f>IF(ISERROR(FIND('112'!$M$9,G2826,1)),"",IF((AND(LEFT(G2826,2)=LEFT('112'!$M$9,2),B2826&lt;'112'!$N$8,$L2826='112'!$I$6)),"x",""))</f>
        <v/>
      </c>
      <c r="T2826" s="525" t="str">
        <f>IF(ISERROR(FIND('112'!$M$9,G2826,1)),"",IF((AND(RIGHT(G2826,2)=RIGHT('112'!$M$9,2),B2826&lt;'112'!$N$8,$M2826='112'!$I$6)),"x",""))</f>
        <v/>
      </c>
      <c r="U2826" s="525" t="str">
        <f>IF(AND(B2826&gt;='IN-NX'!$P$3,B2826&lt;='IN-NX'!$Q$3,'IN-NX'!$D$7=D2826,OR(LEFT(L2826,2)="15",AND(LEFT(M2826,2)&lt;&gt;"15",LEFT(M2826,2)&lt;&gt;"33"))),"x","")</f>
        <v/>
      </c>
      <c r="V2826" s="525" t="str">
        <f>IF(AND(OR(LEFT(TH!L2826,2)="15",LEFT(TH!M2826,2)="15"),'152-CT'!$J$8=TH!F2826),"x","")</f>
        <v>x</v>
      </c>
      <c r="W2826" s="525" t="str">
        <f>IF(AND(OR(LEFT(TH!L2826,2)="15",LEFT(TH!M2826,2)="15"),TK!$E$7=TH!F2826),"x","")</f>
        <v/>
      </c>
      <c r="X2826" s="525" t="str">
        <f>IF(AND('341-CT'!$E$9=H2826,OR(LEFT(L2826,3)=$X$7,LEFT(M2826,3)=$X$7)),"x","")</f>
        <v/>
      </c>
      <c r="Y2826" s="525" t="str">
        <f>IF(OR(TH!L2826=TH!$Y$7,M2826=TH!$Y$7),"x","")</f>
        <v/>
      </c>
      <c r="Z2826" s="525" t="str">
        <f>IF(AND(B2826&lt;=NKC!$N$8,B2826&gt;=NKC!$M$8),"x","")</f>
        <v/>
      </c>
      <c r="AA2826" s="526"/>
      <c r="AB2826" s="527"/>
    </row>
    <row r="2827" spans="1:28" s="576" customFormat="1" ht="15.75" customHeight="1">
      <c r="A2827" s="517" t="str">
        <f>IF(B2827&lt;&gt;"",IF(AND(B2827&gt;=_TM1,B2827&lt;=_TM2,OR(TH!L2827="1111",TH!M2827="1111")),TH!D2827,""),"")</f>
        <v/>
      </c>
      <c r="B2827" s="518">
        <f t="shared" ref="B2827:B2890" si="246">IF(C2827&lt;&gt;"",MONTH(C2827),"")</f>
        <v>4</v>
      </c>
      <c r="C2827" s="571">
        <f t="shared" si="244"/>
        <v>42846</v>
      </c>
      <c r="D2827" s="519" t="s">
        <v>996</v>
      </c>
      <c r="E2827" s="571">
        <v>42846</v>
      </c>
      <c r="F2827" s="577" t="s">
        <v>1038</v>
      </c>
      <c r="G2827" s="579" t="s">
        <v>1110</v>
      </c>
      <c r="H2827" s="574" t="s">
        <v>800</v>
      </c>
      <c r="I2827" s="523">
        <v>100</v>
      </c>
      <c r="J2827" s="523">
        <v>18228</v>
      </c>
      <c r="K2827" s="575">
        <f t="shared" si="245"/>
        <v>1822800</v>
      </c>
      <c r="L2827" s="591" t="s">
        <v>160</v>
      </c>
      <c r="M2827" s="591" t="s">
        <v>292</v>
      </c>
      <c r="N2827" s="525" t="str">
        <f>IF(AND('331-CT'!$E$7=TH!H2827,OR(L2827="331",M2827="331")),"331",IF(AND(OR(L2827="131",M2827="131"),H2827='131-CT'!$E$7),"131",""))</f>
        <v/>
      </c>
      <c r="O2827" s="525" t="str">
        <f>IF(AND($B2827&gt;='111'!$N$11,$B2827&lt;='111'!$O$11,OR($L2827=$O$7,$M2827=$O$7)),"x","")</f>
        <v/>
      </c>
      <c r="P2827" s="525" t="str">
        <f>IF(AND($L2827=$O$7,$B2827&lt;'111'!$N$11),"x","")</f>
        <v/>
      </c>
      <c r="Q2827" s="525" t="str">
        <f>IF(AND($M2827=$O$7,$B2827&lt;'111'!$N$11),"x","")</f>
        <v/>
      </c>
      <c r="R2827" s="525" t="str">
        <f>IF(ISERROR(FIND('112'!$M$9,G2827,1)),"",IF((AND(FIND('112'!$M$9,G2827,1)&gt;=1,$B2827&gt;='112'!$N$8,$B2827&lt;='112'!$O$8,OR($L2827='112'!$I$6,$M2827='112'!$I$6))),"x",""))</f>
        <v/>
      </c>
      <c r="S2827" s="525" t="str">
        <f>IF(ISERROR(FIND('112'!$M$9,G2827,1)),"",IF((AND(LEFT(G2827,2)=LEFT('112'!$M$9,2),B2827&lt;'112'!$N$8,$L2827='112'!$I$6)),"x",""))</f>
        <v/>
      </c>
      <c r="T2827" s="525" t="str">
        <f>IF(ISERROR(FIND('112'!$M$9,G2827,1)),"",IF((AND(RIGHT(G2827,2)=RIGHT('112'!$M$9,2),B2827&lt;'112'!$N$8,$M2827='112'!$I$6)),"x",""))</f>
        <v/>
      </c>
      <c r="U2827" s="525" t="str">
        <f>IF(AND(B2827&gt;='IN-NX'!$P$3,B2827&lt;='IN-NX'!$Q$3,'IN-NX'!$D$7=D2827,OR(LEFT(L2827,2)="15",AND(LEFT(M2827,2)&lt;&gt;"15",LEFT(M2827,2)&lt;&gt;"33"))),"x","")</f>
        <v/>
      </c>
      <c r="V2827" s="525" t="str">
        <f>IF(AND(OR(LEFT(TH!L2827,2)="15",LEFT(TH!M2827,2)="15"),'152-CT'!$J$8=TH!F2827),"x","")</f>
        <v/>
      </c>
      <c r="W2827" s="525" t="str">
        <f>IF(AND(OR(LEFT(TH!L2827,2)="15",LEFT(TH!M2827,2)="15"),TK!$E$7=TH!F2827),"x","")</f>
        <v/>
      </c>
      <c r="X2827" s="525" t="str">
        <f>IF(AND('341-CT'!$E$9=H2827,OR(LEFT(L2827,3)=$X$7,LEFT(M2827,3)=$X$7)),"x","")</f>
        <v/>
      </c>
      <c r="Y2827" s="525" t="str">
        <f>IF(OR(TH!L2827=TH!$Y$7,M2827=TH!$Y$7),"x","")</f>
        <v/>
      </c>
      <c r="Z2827" s="525" t="str">
        <f>IF(AND(B2827&lt;=NKC!$N$8,B2827&gt;=NKC!$M$8),"x","")</f>
        <v/>
      </c>
      <c r="AA2827" s="526"/>
      <c r="AB2827" s="527"/>
    </row>
    <row r="2828" spans="1:28" s="576" customFormat="1" ht="15.75" customHeight="1">
      <c r="A2828" s="517" t="str">
        <f>IF(B2828&lt;&gt;"",IF(AND(B2828&gt;=_TM1,B2828&lt;=_TM2,OR(TH!L2828="1111",TH!M2828="1111")),TH!D2828,""),"")</f>
        <v/>
      </c>
      <c r="B2828" s="518">
        <f t="shared" si="246"/>
        <v>4</v>
      </c>
      <c r="C2828" s="571">
        <f t="shared" si="244"/>
        <v>42846</v>
      </c>
      <c r="D2828" s="519" t="s">
        <v>996</v>
      </c>
      <c r="E2828" s="571">
        <v>42846</v>
      </c>
      <c r="F2828" s="572" t="s">
        <v>503</v>
      </c>
      <c r="G2828" s="579" t="s">
        <v>1112</v>
      </c>
      <c r="H2828" s="574" t="s">
        <v>800</v>
      </c>
      <c r="I2828" s="523">
        <v>1500</v>
      </c>
      <c r="J2828" s="523">
        <v>8000</v>
      </c>
      <c r="K2828" s="575">
        <f t="shared" si="245"/>
        <v>12000000</v>
      </c>
      <c r="L2828" s="591" t="s">
        <v>160</v>
      </c>
      <c r="M2828" s="591" t="s">
        <v>292</v>
      </c>
      <c r="N2828" s="525" t="str">
        <f>IF(AND('331-CT'!$E$7=TH!H2828,OR(L2828="331",M2828="331")),"331",IF(AND(OR(L2828="131",M2828="131"),H2828='131-CT'!$E$7),"131",""))</f>
        <v/>
      </c>
      <c r="O2828" s="525" t="str">
        <f>IF(AND($B2828&gt;='111'!$N$11,$B2828&lt;='111'!$O$11,OR($L2828=$O$7,$M2828=$O$7)),"x","")</f>
        <v/>
      </c>
      <c r="P2828" s="525" t="str">
        <f>IF(AND($L2828=$O$7,$B2828&lt;'111'!$N$11),"x","")</f>
        <v/>
      </c>
      <c r="Q2828" s="525" t="str">
        <f>IF(AND($M2828=$O$7,$B2828&lt;'111'!$N$11),"x","")</f>
        <v/>
      </c>
      <c r="R2828" s="525" t="str">
        <f>IF(ISERROR(FIND('112'!$M$9,G2828,1)),"",IF((AND(FIND('112'!$M$9,G2828,1)&gt;=1,$B2828&gt;='112'!$N$8,$B2828&lt;='112'!$O$8,OR($L2828='112'!$I$6,$M2828='112'!$I$6))),"x",""))</f>
        <v/>
      </c>
      <c r="S2828" s="525" t="str">
        <f>IF(ISERROR(FIND('112'!$M$9,G2828,1)),"",IF((AND(LEFT(G2828,2)=LEFT('112'!$M$9,2),B2828&lt;'112'!$N$8,$L2828='112'!$I$6)),"x",""))</f>
        <v/>
      </c>
      <c r="T2828" s="525" t="str">
        <f>IF(ISERROR(FIND('112'!$M$9,G2828,1)),"",IF((AND(RIGHT(G2828,2)=RIGHT('112'!$M$9,2),B2828&lt;'112'!$N$8,$M2828='112'!$I$6)),"x",""))</f>
        <v/>
      </c>
      <c r="U2828" s="525" t="str">
        <f>IF(AND(B2828&gt;='IN-NX'!$P$3,B2828&lt;='IN-NX'!$Q$3,'IN-NX'!$D$7=D2828,OR(LEFT(L2828,2)="15",AND(LEFT(M2828,2)&lt;&gt;"15",LEFT(M2828,2)&lt;&gt;"33"))),"x","")</f>
        <v/>
      </c>
      <c r="V2828" s="525" t="str">
        <f>IF(AND(OR(LEFT(TH!L2828,2)="15",LEFT(TH!M2828,2)="15"),'152-CT'!$J$8=TH!F2828),"x","")</f>
        <v/>
      </c>
      <c r="W2828" s="525" t="str">
        <f>IF(AND(OR(LEFT(TH!L2828,2)="15",LEFT(TH!M2828,2)="15"),TK!$E$7=TH!F2828),"x","")</f>
        <v/>
      </c>
      <c r="X2828" s="525" t="str">
        <f>IF(AND('341-CT'!$E$9=H2828,OR(LEFT(L2828,3)=$X$7,LEFT(M2828,3)=$X$7)),"x","")</f>
        <v/>
      </c>
      <c r="Y2828" s="525" t="str">
        <f>IF(OR(TH!L2828=TH!$Y$7,M2828=TH!$Y$7),"x","")</f>
        <v/>
      </c>
      <c r="Z2828" s="525" t="str">
        <f>IF(AND(B2828&lt;=NKC!$N$8,B2828&gt;=NKC!$M$8),"x","")</f>
        <v/>
      </c>
      <c r="AA2828" s="526"/>
      <c r="AB2828" s="527"/>
    </row>
    <row r="2829" spans="1:28" s="576" customFormat="1" ht="15.75" customHeight="1">
      <c r="A2829" s="517" t="str">
        <f>IF(B2829&lt;&gt;"",IF(AND(B2829&gt;=_TM1,B2829&lt;=_TM2,OR(TH!L2829="1111",TH!M2829="1111")),TH!D2829,""),"")</f>
        <v/>
      </c>
      <c r="B2829" s="518">
        <f t="shared" si="246"/>
        <v>4</v>
      </c>
      <c r="C2829" s="571">
        <f t="shared" si="244"/>
        <v>42853</v>
      </c>
      <c r="D2829" s="519" t="s">
        <v>996</v>
      </c>
      <c r="E2829" s="571">
        <v>42853</v>
      </c>
      <c r="F2829" s="609" t="s">
        <v>689</v>
      </c>
      <c r="G2829" s="579" t="s">
        <v>1116</v>
      </c>
      <c r="H2829" s="574" t="s">
        <v>800</v>
      </c>
      <c r="I2829" s="523">
        <v>10</v>
      </c>
      <c r="J2829" s="523">
        <v>78953</v>
      </c>
      <c r="K2829" s="575">
        <f t="shared" si="245"/>
        <v>789530</v>
      </c>
      <c r="L2829" s="591" t="s">
        <v>160</v>
      </c>
      <c r="M2829" s="591" t="s">
        <v>292</v>
      </c>
      <c r="N2829" s="525" t="str">
        <f>IF(AND('331-CT'!$E$7=TH!H2829,OR(L2829="331",M2829="331")),"331",IF(AND(OR(L2829="131",M2829="131"),H2829='131-CT'!$E$7),"131",""))</f>
        <v/>
      </c>
      <c r="O2829" s="525" t="str">
        <f>IF(AND($B2829&gt;='111'!$N$11,$B2829&lt;='111'!$O$11,OR($L2829=$O$7,$M2829=$O$7)),"x","")</f>
        <v/>
      </c>
      <c r="P2829" s="525" t="str">
        <f>IF(AND($L2829=$O$7,$B2829&lt;'111'!$N$11),"x","")</f>
        <v/>
      </c>
      <c r="Q2829" s="525" t="str">
        <f>IF(AND($M2829=$O$7,$B2829&lt;'111'!$N$11),"x","")</f>
        <v/>
      </c>
      <c r="R2829" s="525" t="str">
        <f>IF(ISERROR(FIND('112'!$M$9,G2829,1)),"",IF((AND(FIND('112'!$M$9,G2829,1)&gt;=1,$B2829&gt;='112'!$N$8,$B2829&lt;='112'!$O$8,OR($L2829='112'!$I$6,$M2829='112'!$I$6))),"x",""))</f>
        <v/>
      </c>
      <c r="S2829" s="525" t="str">
        <f>IF(ISERROR(FIND('112'!$M$9,G2829,1)),"",IF((AND(LEFT(G2829,2)=LEFT('112'!$M$9,2),B2829&lt;'112'!$N$8,$L2829='112'!$I$6)),"x",""))</f>
        <v/>
      </c>
      <c r="T2829" s="525" t="str">
        <f>IF(ISERROR(FIND('112'!$M$9,G2829,1)),"",IF((AND(RIGHT(G2829,2)=RIGHT('112'!$M$9,2),B2829&lt;'112'!$N$8,$M2829='112'!$I$6)),"x",""))</f>
        <v/>
      </c>
      <c r="U2829" s="525" t="str">
        <f>IF(AND(B2829&gt;='IN-NX'!$P$3,B2829&lt;='IN-NX'!$Q$3,'IN-NX'!$D$7=D2829,OR(LEFT(L2829,2)="15",AND(LEFT(M2829,2)&lt;&gt;"15",LEFT(M2829,2)&lt;&gt;"33"))),"x","")</f>
        <v/>
      </c>
      <c r="V2829" s="525" t="str">
        <f>IF(AND(OR(LEFT(TH!L2829,2)="15",LEFT(TH!M2829,2)="15"),'152-CT'!$J$8=TH!F2829),"x","")</f>
        <v/>
      </c>
      <c r="W2829" s="525" t="str">
        <f>IF(AND(OR(LEFT(TH!L2829,2)="15",LEFT(TH!M2829,2)="15"),TK!$E$7=TH!F2829),"x","")</f>
        <v/>
      </c>
      <c r="X2829" s="525" t="str">
        <f>IF(AND('341-CT'!$E$9=H2829,OR(LEFT(L2829,3)=$X$7,LEFT(M2829,3)=$X$7)),"x","")</f>
        <v/>
      </c>
      <c r="Y2829" s="525" t="str">
        <f>IF(OR(TH!L2829=TH!$Y$7,M2829=TH!$Y$7),"x","")</f>
        <v/>
      </c>
      <c r="Z2829" s="525" t="str">
        <f>IF(AND(B2829&lt;=NKC!$N$8,B2829&gt;=NKC!$M$8),"x","")</f>
        <v/>
      </c>
      <c r="AA2829" s="526"/>
      <c r="AB2829" s="527"/>
    </row>
    <row r="2830" spans="1:28" s="576" customFormat="1" ht="15.75" customHeight="1">
      <c r="A2830" s="517" t="str">
        <f>IF(B2830&lt;&gt;"",IF(AND(B2830&gt;=_TM1,B2830&lt;=_TM2,OR(TH!L2830="1111",TH!M2830="1111")),TH!D2830,""),"")</f>
        <v/>
      </c>
      <c r="B2830" s="518">
        <f t="shared" si="246"/>
        <v>4</v>
      </c>
      <c r="C2830" s="571">
        <f t="shared" si="244"/>
        <v>42853</v>
      </c>
      <c r="D2830" s="519" t="s">
        <v>996</v>
      </c>
      <c r="E2830" s="571">
        <v>42853</v>
      </c>
      <c r="F2830" s="609" t="s">
        <v>691</v>
      </c>
      <c r="G2830" s="579" t="s">
        <v>1116</v>
      </c>
      <c r="H2830" s="574" t="s">
        <v>800</v>
      </c>
      <c r="I2830" s="523">
        <v>32</v>
      </c>
      <c r="J2830" s="523">
        <v>49574</v>
      </c>
      <c r="K2830" s="575">
        <f t="shared" si="245"/>
        <v>1586368</v>
      </c>
      <c r="L2830" s="591" t="s">
        <v>160</v>
      </c>
      <c r="M2830" s="591" t="s">
        <v>292</v>
      </c>
      <c r="N2830" s="525" t="str">
        <f>IF(AND('331-CT'!$E$7=TH!H2830,OR(L2830="331",M2830="331")),"331",IF(AND(OR(L2830="131",M2830="131"),H2830='131-CT'!$E$7),"131",""))</f>
        <v/>
      </c>
      <c r="O2830" s="525" t="str">
        <f>IF(AND($B2830&gt;='111'!$N$11,$B2830&lt;='111'!$O$11,OR($L2830=$O$7,$M2830=$O$7)),"x","")</f>
        <v/>
      </c>
      <c r="P2830" s="525" t="str">
        <f>IF(AND($L2830=$O$7,$B2830&lt;'111'!$N$11),"x","")</f>
        <v/>
      </c>
      <c r="Q2830" s="525" t="str">
        <f>IF(AND($M2830=$O$7,$B2830&lt;'111'!$N$11),"x","")</f>
        <v/>
      </c>
      <c r="R2830" s="525" t="str">
        <f>IF(ISERROR(FIND('112'!$M$9,G2830,1)),"",IF((AND(FIND('112'!$M$9,G2830,1)&gt;=1,$B2830&gt;='112'!$N$8,$B2830&lt;='112'!$O$8,OR($L2830='112'!$I$6,$M2830='112'!$I$6))),"x",""))</f>
        <v/>
      </c>
      <c r="S2830" s="525" t="str">
        <f>IF(ISERROR(FIND('112'!$M$9,G2830,1)),"",IF((AND(LEFT(G2830,2)=LEFT('112'!$M$9,2),B2830&lt;'112'!$N$8,$L2830='112'!$I$6)),"x",""))</f>
        <v/>
      </c>
      <c r="T2830" s="525" t="str">
        <f>IF(ISERROR(FIND('112'!$M$9,G2830,1)),"",IF((AND(RIGHT(G2830,2)=RIGHT('112'!$M$9,2),B2830&lt;'112'!$N$8,$M2830='112'!$I$6)),"x",""))</f>
        <v/>
      </c>
      <c r="U2830" s="525" t="str">
        <f>IF(AND(B2830&gt;='IN-NX'!$P$3,B2830&lt;='IN-NX'!$Q$3,'IN-NX'!$D$7=D2830,OR(LEFT(L2830,2)="15",AND(LEFT(M2830,2)&lt;&gt;"15",LEFT(M2830,2)&lt;&gt;"33"))),"x","")</f>
        <v/>
      </c>
      <c r="V2830" s="525" t="str">
        <f>IF(AND(OR(LEFT(TH!L2830,2)="15",LEFT(TH!M2830,2)="15"),'152-CT'!$J$8=TH!F2830),"x","")</f>
        <v/>
      </c>
      <c r="W2830" s="525" t="str">
        <f>IF(AND(OR(LEFT(TH!L2830,2)="15",LEFT(TH!M2830,2)="15"),TK!$E$7=TH!F2830),"x","")</f>
        <v/>
      </c>
      <c r="X2830" s="525" t="str">
        <f>IF(AND('341-CT'!$E$9=H2830,OR(LEFT(L2830,3)=$X$7,LEFT(M2830,3)=$X$7)),"x","")</f>
        <v/>
      </c>
      <c r="Y2830" s="525" t="str">
        <f>IF(OR(TH!L2830=TH!$Y$7,M2830=TH!$Y$7),"x","")</f>
        <v/>
      </c>
      <c r="Z2830" s="525" t="str">
        <f>IF(AND(B2830&lt;=NKC!$N$8,B2830&gt;=NKC!$M$8),"x","")</f>
        <v/>
      </c>
      <c r="AA2830" s="526"/>
      <c r="AB2830" s="527"/>
    </row>
    <row r="2831" spans="1:28" s="576" customFormat="1" ht="15.75" customHeight="1">
      <c r="A2831" s="517" t="str">
        <f>IF(B2831&lt;&gt;"",IF(AND(B2831&gt;=_TM1,B2831&lt;=_TM2,OR(TH!L2831="1111",TH!M2831="1111")),TH!D2831,""),"")</f>
        <v/>
      </c>
      <c r="B2831" s="518">
        <f t="shared" si="246"/>
        <v>4</v>
      </c>
      <c r="C2831" s="571">
        <f t="shared" si="244"/>
        <v>42853</v>
      </c>
      <c r="D2831" s="519" t="s">
        <v>996</v>
      </c>
      <c r="E2831" s="571">
        <v>42853</v>
      </c>
      <c r="F2831" s="520" t="s">
        <v>611</v>
      </c>
      <c r="G2831" s="579" t="s">
        <v>1116</v>
      </c>
      <c r="H2831" s="574" t="s">
        <v>800</v>
      </c>
      <c r="I2831" s="523">
        <v>50</v>
      </c>
      <c r="J2831" s="523">
        <v>43918</v>
      </c>
      <c r="K2831" s="575">
        <f t="shared" si="245"/>
        <v>2195900</v>
      </c>
      <c r="L2831" s="591" t="s">
        <v>160</v>
      </c>
      <c r="M2831" s="591" t="s">
        <v>292</v>
      </c>
      <c r="N2831" s="525" t="str">
        <f>IF(AND('331-CT'!$E$7=TH!H2831,OR(L2831="331",M2831="331")),"331",IF(AND(OR(L2831="131",M2831="131"),H2831='131-CT'!$E$7),"131",""))</f>
        <v/>
      </c>
      <c r="O2831" s="525" t="str">
        <f>IF(AND($B2831&gt;='111'!$N$11,$B2831&lt;='111'!$O$11,OR($L2831=$O$7,$M2831=$O$7)),"x","")</f>
        <v/>
      </c>
      <c r="P2831" s="525" t="str">
        <f>IF(AND($L2831=$O$7,$B2831&lt;'111'!$N$11),"x","")</f>
        <v/>
      </c>
      <c r="Q2831" s="525" t="str">
        <f>IF(AND($M2831=$O$7,$B2831&lt;'111'!$N$11),"x","")</f>
        <v/>
      </c>
      <c r="R2831" s="525" t="str">
        <f>IF(ISERROR(FIND('112'!$M$9,G2831,1)),"",IF((AND(FIND('112'!$M$9,G2831,1)&gt;=1,$B2831&gt;='112'!$N$8,$B2831&lt;='112'!$O$8,OR($L2831='112'!$I$6,$M2831='112'!$I$6))),"x",""))</f>
        <v/>
      </c>
      <c r="S2831" s="525" t="str">
        <f>IF(ISERROR(FIND('112'!$M$9,G2831,1)),"",IF((AND(LEFT(G2831,2)=LEFT('112'!$M$9,2),B2831&lt;'112'!$N$8,$L2831='112'!$I$6)),"x",""))</f>
        <v/>
      </c>
      <c r="T2831" s="525" t="str">
        <f>IF(ISERROR(FIND('112'!$M$9,G2831,1)),"",IF((AND(RIGHT(G2831,2)=RIGHT('112'!$M$9,2),B2831&lt;'112'!$N$8,$M2831='112'!$I$6)),"x",""))</f>
        <v/>
      </c>
      <c r="U2831" s="525" t="str">
        <f>IF(AND(B2831&gt;='IN-NX'!$P$3,B2831&lt;='IN-NX'!$Q$3,'IN-NX'!$D$7=D2831,OR(LEFT(L2831,2)="15",AND(LEFT(M2831,2)&lt;&gt;"15",LEFT(M2831,2)&lt;&gt;"33"))),"x","")</f>
        <v/>
      </c>
      <c r="V2831" s="525" t="str">
        <f>IF(AND(OR(LEFT(TH!L2831,2)="15",LEFT(TH!M2831,2)="15"),'152-CT'!$J$8=TH!F2831),"x","")</f>
        <v/>
      </c>
      <c r="W2831" s="525" t="str">
        <f>IF(AND(OR(LEFT(TH!L2831,2)="15",LEFT(TH!M2831,2)="15"),TK!$E$7=TH!F2831),"x","")</f>
        <v/>
      </c>
      <c r="X2831" s="525" t="str">
        <f>IF(AND('341-CT'!$E$9=H2831,OR(LEFT(L2831,3)=$X$7,LEFT(M2831,3)=$X$7)),"x","")</f>
        <v/>
      </c>
      <c r="Y2831" s="525" t="str">
        <f>IF(OR(TH!L2831=TH!$Y$7,M2831=TH!$Y$7),"x","")</f>
        <v/>
      </c>
      <c r="Z2831" s="525" t="str">
        <f>IF(AND(B2831&lt;=NKC!$N$8,B2831&gt;=NKC!$M$8),"x","")</f>
        <v/>
      </c>
      <c r="AA2831" s="526"/>
      <c r="AB2831" s="527"/>
    </row>
    <row r="2832" spans="1:28" s="576" customFormat="1" ht="15.75" customHeight="1">
      <c r="A2832" s="517" t="str">
        <f>IF(B2832&lt;&gt;"",IF(AND(B2832&gt;=_TM1,B2832&lt;=_TM2,OR(TH!L2832="1111",TH!M2832="1111")),TH!D2832,""),"")</f>
        <v/>
      </c>
      <c r="B2832" s="518">
        <f t="shared" si="246"/>
        <v>4</v>
      </c>
      <c r="C2832" s="571">
        <f t="shared" si="244"/>
        <v>42853</v>
      </c>
      <c r="D2832" s="519" t="s">
        <v>996</v>
      </c>
      <c r="E2832" s="571">
        <v>42853</v>
      </c>
      <c r="F2832" s="520" t="s">
        <v>660</v>
      </c>
      <c r="G2832" s="579" t="s">
        <v>1116</v>
      </c>
      <c r="H2832" s="574" t="s">
        <v>800</v>
      </c>
      <c r="I2832" s="523">
        <v>14</v>
      </c>
      <c r="J2832" s="523">
        <v>97796</v>
      </c>
      <c r="K2832" s="575">
        <f t="shared" si="245"/>
        <v>1369144</v>
      </c>
      <c r="L2832" s="591" t="s">
        <v>160</v>
      </c>
      <c r="M2832" s="591" t="s">
        <v>292</v>
      </c>
      <c r="N2832" s="525" t="str">
        <f>IF(AND('331-CT'!$E$7=TH!H2832,OR(L2832="331",M2832="331")),"331",IF(AND(OR(L2832="131",M2832="131"),H2832='131-CT'!$E$7),"131",""))</f>
        <v/>
      </c>
      <c r="O2832" s="525" t="str">
        <f>IF(AND($B2832&gt;='111'!$N$11,$B2832&lt;='111'!$O$11,OR($L2832=$O$7,$M2832=$O$7)),"x","")</f>
        <v/>
      </c>
      <c r="P2832" s="525" t="str">
        <f>IF(AND($L2832=$O$7,$B2832&lt;'111'!$N$11),"x","")</f>
        <v/>
      </c>
      <c r="Q2832" s="525" t="str">
        <f>IF(AND($M2832=$O$7,$B2832&lt;'111'!$N$11),"x","")</f>
        <v/>
      </c>
      <c r="R2832" s="525" t="str">
        <f>IF(ISERROR(FIND('112'!$M$9,G2832,1)),"",IF((AND(FIND('112'!$M$9,G2832,1)&gt;=1,$B2832&gt;='112'!$N$8,$B2832&lt;='112'!$O$8,OR($L2832='112'!$I$6,$M2832='112'!$I$6))),"x",""))</f>
        <v/>
      </c>
      <c r="S2832" s="525" t="str">
        <f>IF(ISERROR(FIND('112'!$M$9,G2832,1)),"",IF((AND(LEFT(G2832,2)=LEFT('112'!$M$9,2),B2832&lt;'112'!$N$8,$L2832='112'!$I$6)),"x",""))</f>
        <v/>
      </c>
      <c r="T2832" s="525" t="str">
        <f>IF(ISERROR(FIND('112'!$M$9,G2832,1)),"",IF((AND(RIGHT(G2832,2)=RIGHT('112'!$M$9,2),B2832&lt;'112'!$N$8,$M2832='112'!$I$6)),"x",""))</f>
        <v/>
      </c>
      <c r="U2832" s="525" t="str">
        <f>IF(AND(B2832&gt;='IN-NX'!$P$3,B2832&lt;='IN-NX'!$Q$3,'IN-NX'!$D$7=D2832,OR(LEFT(L2832,2)="15",AND(LEFT(M2832,2)&lt;&gt;"15",LEFT(M2832,2)&lt;&gt;"33"))),"x","")</f>
        <v/>
      </c>
      <c r="V2832" s="525" t="str">
        <f>IF(AND(OR(LEFT(TH!L2832,2)="15",LEFT(TH!M2832,2)="15"),'152-CT'!$J$8=TH!F2832),"x","")</f>
        <v/>
      </c>
      <c r="W2832" s="525" t="str">
        <f>IF(AND(OR(LEFT(TH!L2832,2)="15",LEFT(TH!M2832,2)="15"),TK!$E$7=TH!F2832),"x","")</f>
        <v/>
      </c>
      <c r="X2832" s="525" t="str">
        <f>IF(AND('341-CT'!$E$9=H2832,OR(LEFT(L2832,3)=$X$7,LEFT(M2832,3)=$X$7)),"x","")</f>
        <v/>
      </c>
      <c r="Y2832" s="525" t="str">
        <f>IF(OR(TH!L2832=TH!$Y$7,M2832=TH!$Y$7),"x","")</f>
        <v/>
      </c>
      <c r="Z2832" s="525" t="str">
        <f>IF(AND(B2832&lt;=NKC!$N$8,B2832&gt;=NKC!$M$8),"x","")</f>
        <v/>
      </c>
      <c r="AA2832" s="526"/>
      <c r="AB2832" s="527"/>
    </row>
    <row r="2833" spans="1:28" s="576" customFormat="1" ht="15.75" customHeight="1">
      <c r="A2833" s="517" t="str">
        <f>IF(B2833&lt;&gt;"",IF(AND(B2833&gt;=_TM1,B2833&lt;=_TM2,OR(TH!L2833="1111",TH!M2833="1111")),TH!D2833,""),"")</f>
        <v/>
      </c>
      <c r="B2833" s="518">
        <f t="shared" si="246"/>
        <v>4</v>
      </c>
      <c r="C2833" s="571">
        <f t="shared" si="244"/>
        <v>42853</v>
      </c>
      <c r="D2833" s="519" t="s">
        <v>996</v>
      </c>
      <c r="E2833" s="571">
        <v>42853</v>
      </c>
      <c r="F2833" s="572" t="s">
        <v>741</v>
      </c>
      <c r="G2833" s="579" t="s">
        <v>1116</v>
      </c>
      <c r="H2833" s="574" t="s">
        <v>800</v>
      </c>
      <c r="I2833" s="523">
        <v>4</v>
      </c>
      <c r="J2833" s="523">
        <v>210369</v>
      </c>
      <c r="K2833" s="575">
        <f t="shared" si="245"/>
        <v>841476</v>
      </c>
      <c r="L2833" s="591" t="s">
        <v>160</v>
      </c>
      <c r="M2833" s="591" t="s">
        <v>292</v>
      </c>
      <c r="N2833" s="525" t="str">
        <f>IF(AND('331-CT'!$E$7=TH!H2833,OR(L2833="331",M2833="331")),"331",IF(AND(OR(L2833="131",M2833="131"),H2833='131-CT'!$E$7),"131",""))</f>
        <v/>
      </c>
      <c r="O2833" s="525" t="str">
        <f>IF(AND($B2833&gt;='111'!$N$11,$B2833&lt;='111'!$O$11,OR($L2833=$O$7,$M2833=$O$7)),"x","")</f>
        <v/>
      </c>
      <c r="P2833" s="525" t="str">
        <f>IF(AND($L2833=$O$7,$B2833&lt;'111'!$N$11),"x","")</f>
        <v/>
      </c>
      <c r="Q2833" s="525" t="str">
        <f>IF(AND($M2833=$O$7,$B2833&lt;'111'!$N$11),"x","")</f>
        <v/>
      </c>
      <c r="R2833" s="525" t="str">
        <f>IF(ISERROR(FIND('112'!$M$9,G2833,1)),"",IF((AND(FIND('112'!$M$9,G2833,1)&gt;=1,$B2833&gt;='112'!$N$8,$B2833&lt;='112'!$O$8,OR($L2833='112'!$I$6,$M2833='112'!$I$6))),"x",""))</f>
        <v/>
      </c>
      <c r="S2833" s="525" t="str">
        <f>IF(ISERROR(FIND('112'!$M$9,G2833,1)),"",IF((AND(LEFT(G2833,2)=LEFT('112'!$M$9,2),B2833&lt;'112'!$N$8,$L2833='112'!$I$6)),"x",""))</f>
        <v/>
      </c>
      <c r="T2833" s="525" t="str">
        <f>IF(ISERROR(FIND('112'!$M$9,G2833,1)),"",IF((AND(RIGHT(G2833,2)=RIGHT('112'!$M$9,2),B2833&lt;'112'!$N$8,$M2833='112'!$I$6)),"x",""))</f>
        <v/>
      </c>
      <c r="U2833" s="525" t="str">
        <f>IF(AND(B2833&gt;='IN-NX'!$P$3,B2833&lt;='IN-NX'!$Q$3,'IN-NX'!$D$7=D2833,OR(LEFT(L2833,2)="15",AND(LEFT(M2833,2)&lt;&gt;"15",LEFT(M2833,2)&lt;&gt;"33"))),"x","")</f>
        <v/>
      </c>
      <c r="V2833" s="525" t="str">
        <f>IF(AND(OR(LEFT(TH!L2833,2)="15",LEFT(TH!M2833,2)="15"),'152-CT'!$J$8=TH!F2833),"x","")</f>
        <v/>
      </c>
      <c r="W2833" s="525" t="str">
        <f>IF(AND(OR(LEFT(TH!L2833,2)="15",LEFT(TH!M2833,2)="15"),TK!$E$7=TH!F2833),"x","")</f>
        <v/>
      </c>
      <c r="X2833" s="525" t="str">
        <f>IF(AND('341-CT'!$E$9=H2833,OR(LEFT(L2833,3)=$X$7,LEFT(M2833,3)=$X$7)),"x","")</f>
        <v/>
      </c>
      <c r="Y2833" s="525" t="str">
        <f>IF(OR(TH!L2833=TH!$Y$7,M2833=TH!$Y$7),"x","")</f>
        <v/>
      </c>
      <c r="Z2833" s="525" t="str">
        <f>IF(AND(B2833&lt;=NKC!$N$8,B2833&gt;=NKC!$M$8),"x","")</f>
        <v/>
      </c>
      <c r="AA2833" s="526"/>
      <c r="AB2833" s="527"/>
    </row>
    <row r="2834" spans="1:28" s="576" customFormat="1" ht="15.75" customHeight="1">
      <c r="A2834" s="517" t="str">
        <f>IF(B2834&lt;&gt;"",IF(AND(B2834&gt;=_TM1,B2834&lt;=_TM2,OR(TH!L2834="1111",TH!M2834="1111")),TH!D2834,""),"")</f>
        <v/>
      </c>
      <c r="B2834" s="518">
        <f t="shared" si="246"/>
        <v>4</v>
      </c>
      <c r="C2834" s="571">
        <f t="shared" ref="C2834:C2897" si="247">E2834</f>
        <v>42853</v>
      </c>
      <c r="D2834" s="519" t="s">
        <v>996</v>
      </c>
      <c r="E2834" s="571">
        <v>42853</v>
      </c>
      <c r="F2834" s="572" t="s">
        <v>691</v>
      </c>
      <c r="G2834" s="579" t="s">
        <v>1116</v>
      </c>
      <c r="H2834" s="574" t="s">
        <v>800</v>
      </c>
      <c r="I2834" s="523">
        <v>12</v>
      </c>
      <c r="J2834" s="523">
        <v>54792</v>
      </c>
      <c r="K2834" s="575">
        <f t="shared" si="245"/>
        <v>657504</v>
      </c>
      <c r="L2834" s="591" t="s">
        <v>160</v>
      </c>
      <c r="M2834" s="591" t="s">
        <v>292</v>
      </c>
      <c r="N2834" s="525" t="str">
        <f>IF(AND('331-CT'!$E$7=TH!H2834,OR(L2834="331",M2834="331")),"331",IF(AND(OR(L2834="131",M2834="131"),H2834='131-CT'!$E$7),"131",""))</f>
        <v/>
      </c>
      <c r="O2834" s="525" t="str">
        <f>IF(AND($B2834&gt;='111'!$N$11,$B2834&lt;='111'!$O$11,OR($L2834=$O$7,$M2834=$O$7)),"x","")</f>
        <v/>
      </c>
      <c r="P2834" s="525" t="str">
        <f>IF(AND($L2834=$O$7,$B2834&lt;'111'!$N$11),"x","")</f>
        <v/>
      </c>
      <c r="Q2834" s="525" t="str">
        <f>IF(AND($M2834=$O$7,$B2834&lt;'111'!$N$11),"x","")</f>
        <v/>
      </c>
      <c r="R2834" s="525" t="str">
        <f>IF(ISERROR(FIND('112'!$M$9,G2834,1)),"",IF((AND(FIND('112'!$M$9,G2834,1)&gt;=1,$B2834&gt;='112'!$N$8,$B2834&lt;='112'!$O$8,OR($L2834='112'!$I$6,$M2834='112'!$I$6))),"x",""))</f>
        <v/>
      </c>
      <c r="S2834" s="525" t="str">
        <f>IF(ISERROR(FIND('112'!$M$9,G2834,1)),"",IF((AND(LEFT(G2834,2)=LEFT('112'!$M$9,2),B2834&lt;'112'!$N$8,$L2834='112'!$I$6)),"x",""))</f>
        <v/>
      </c>
      <c r="T2834" s="525" t="str">
        <f>IF(ISERROR(FIND('112'!$M$9,G2834,1)),"",IF((AND(RIGHT(G2834,2)=RIGHT('112'!$M$9,2),B2834&lt;'112'!$N$8,$M2834='112'!$I$6)),"x",""))</f>
        <v/>
      </c>
      <c r="U2834" s="525" t="str">
        <f>IF(AND(B2834&gt;='IN-NX'!$P$3,B2834&lt;='IN-NX'!$Q$3,'IN-NX'!$D$7=D2834,OR(LEFT(L2834,2)="15",AND(LEFT(M2834,2)&lt;&gt;"15",LEFT(M2834,2)&lt;&gt;"33"))),"x","")</f>
        <v/>
      </c>
      <c r="V2834" s="525" t="str">
        <f>IF(AND(OR(LEFT(TH!L2834,2)="15",LEFT(TH!M2834,2)="15"),'152-CT'!$J$8=TH!F2834),"x","")</f>
        <v/>
      </c>
      <c r="W2834" s="525" t="str">
        <f>IF(AND(OR(LEFT(TH!L2834,2)="15",LEFT(TH!M2834,2)="15"),TK!$E$7=TH!F2834),"x","")</f>
        <v/>
      </c>
      <c r="X2834" s="525" t="str">
        <f>IF(AND('341-CT'!$E$9=H2834,OR(LEFT(L2834,3)=$X$7,LEFT(M2834,3)=$X$7)),"x","")</f>
        <v/>
      </c>
      <c r="Y2834" s="525" t="str">
        <f>IF(OR(TH!L2834=TH!$Y$7,M2834=TH!$Y$7),"x","")</f>
        <v/>
      </c>
      <c r="Z2834" s="525" t="str">
        <f>IF(AND(B2834&lt;=NKC!$N$8,B2834&gt;=NKC!$M$8),"x","")</f>
        <v/>
      </c>
      <c r="AA2834" s="526"/>
      <c r="AB2834" s="527"/>
    </row>
    <row r="2835" spans="1:28" s="576" customFormat="1" ht="15.75" customHeight="1">
      <c r="A2835" s="517" t="str">
        <f>IF(B2835&lt;&gt;"",IF(AND(B2835&gt;=_TM1,B2835&lt;=_TM2,OR(TH!L2835="1111",TH!M2835="1111")),TH!D2835,""),"")</f>
        <v/>
      </c>
      <c r="B2835" s="518">
        <f t="shared" si="246"/>
        <v>4</v>
      </c>
      <c r="C2835" s="571">
        <f t="shared" si="247"/>
        <v>42853</v>
      </c>
      <c r="D2835" s="519" t="s">
        <v>996</v>
      </c>
      <c r="E2835" s="571">
        <v>42853</v>
      </c>
      <c r="F2835" s="572" t="s">
        <v>647</v>
      </c>
      <c r="G2835" s="579" t="s">
        <v>1116</v>
      </c>
      <c r="H2835" s="574" t="s">
        <v>800</v>
      </c>
      <c r="I2835" s="523">
        <v>14</v>
      </c>
      <c r="J2835" s="523">
        <v>110473</v>
      </c>
      <c r="K2835" s="575">
        <f t="shared" si="245"/>
        <v>1546622</v>
      </c>
      <c r="L2835" s="591" t="s">
        <v>160</v>
      </c>
      <c r="M2835" s="591" t="s">
        <v>292</v>
      </c>
      <c r="N2835" s="525" t="str">
        <f>IF(AND('331-CT'!$E$7=TH!H2835,OR(L2835="331",M2835="331")),"331",IF(AND(OR(L2835="131",M2835="131"),H2835='131-CT'!$E$7),"131",""))</f>
        <v/>
      </c>
      <c r="O2835" s="525" t="str">
        <f>IF(AND($B2835&gt;='111'!$N$11,$B2835&lt;='111'!$O$11,OR($L2835=$O$7,$M2835=$O$7)),"x","")</f>
        <v/>
      </c>
      <c r="P2835" s="525" t="str">
        <f>IF(AND($L2835=$O$7,$B2835&lt;'111'!$N$11),"x","")</f>
        <v/>
      </c>
      <c r="Q2835" s="525" t="str">
        <f>IF(AND($M2835=$O$7,$B2835&lt;'111'!$N$11),"x","")</f>
        <v/>
      </c>
      <c r="R2835" s="525" t="str">
        <f>IF(ISERROR(FIND('112'!$M$9,G2835,1)),"",IF((AND(FIND('112'!$M$9,G2835,1)&gt;=1,$B2835&gt;='112'!$N$8,$B2835&lt;='112'!$O$8,OR($L2835='112'!$I$6,$M2835='112'!$I$6))),"x",""))</f>
        <v/>
      </c>
      <c r="S2835" s="525" t="str">
        <f>IF(ISERROR(FIND('112'!$M$9,G2835,1)),"",IF((AND(LEFT(G2835,2)=LEFT('112'!$M$9,2),B2835&lt;'112'!$N$8,$L2835='112'!$I$6)),"x",""))</f>
        <v/>
      </c>
      <c r="T2835" s="525" t="str">
        <f>IF(ISERROR(FIND('112'!$M$9,G2835,1)),"",IF((AND(RIGHT(G2835,2)=RIGHT('112'!$M$9,2),B2835&lt;'112'!$N$8,$M2835='112'!$I$6)),"x",""))</f>
        <v/>
      </c>
      <c r="U2835" s="525" t="str">
        <f>IF(AND(B2835&gt;='IN-NX'!$P$3,B2835&lt;='IN-NX'!$Q$3,'IN-NX'!$D$7=D2835,OR(LEFT(L2835,2)="15",AND(LEFT(M2835,2)&lt;&gt;"15",LEFT(M2835,2)&lt;&gt;"33"))),"x","")</f>
        <v/>
      </c>
      <c r="V2835" s="525" t="str">
        <f>IF(AND(OR(LEFT(TH!L2835,2)="15",LEFT(TH!M2835,2)="15"),'152-CT'!$J$8=TH!F2835),"x","")</f>
        <v/>
      </c>
      <c r="W2835" s="525" t="str">
        <f>IF(AND(OR(LEFT(TH!L2835,2)="15",LEFT(TH!M2835,2)="15"),TK!$E$7=TH!F2835),"x","")</f>
        <v/>
      </c>
      <c r="X2835" s="525" t="str">
        <f>IF(AND('341-CT'!$E$9=H2835,OR(LEFT(L2835,3)=$X$7,LEFT(M2835,3)=$X$7)),"x","")</f>
        <v/>
      </c>
      <c r="Y2835" s="525" t="str">
        <f>IF(OR(TH!L2835=TH!$Y$7,M2835=TH!$Y$7),"x","")</f>
        <v/>
      </c>
      <c r="Z2835" s="525" t="str">
        <f>IF(AND(B2835&lt;=NKC!$N$8,B2835&gt;=NKC!$M$8),"x","")</f>
        <v/>
      </c>
      <c r="AA2835" s="526"/>
      <c r="AB2835" s="527"/>
    </row>
    <row r="2836" spans="1:28" s="576" customFormat="1" ht="15.75" customHeight="1">
      <c r="A2836" s="517" t="str">
        <f>IF(B2836&lt;&gt;"",IF(AND(B2836&gt;=_TM1,B2836&lt;=_TM2,OR(TH!L2836="1111",TH!M2836="1111")),TH!D2836,""),"")</f>
        <v/>
      </c>
      <c r="B2836" s="518">
        <f t="shared" si="246"/>
        <v>4</v>
      </c>
      <c r="C2836" s="571">
        <f t="shared" si="247"/>
        <v>42853</v>
      </c>
      <c r="D2836" s="519" t="s">
        <v>996</v>
      </c>
      <c r="E2836" s="571">
        <v>42853</v>
      </c>
      <c r="F2836" s="572" t="s">
        <v>649</v>
      </c>
      <c r="G2836" s="579" t="s">
        <v>1116</v>
      </c>
      <c r="H2836" s="574" t="s">
        <v>800</v>
      </c>
      <c r="I2836" s="523">
        <v>28</v>
      </c>
      <c r="J2836" s="523">
        <v>67963</v>
      </c>
      <c r="K2836" s="575">
        <f t="shared" si="245"/>
        <v>1902964</v>
      </c>
      <c r="L2836" s="591" t="s">
        <v>160</v>
      </c>
      <c r="M2836" s="591" t="s">
        <v>292</v>
      </c>
      <c r="N2836" s="525" t="str">
        <f>IF(AND('331-CT'!$E$7=TH!H2836,OR(L2836="331",M2836="331")),"331",IF(AND(OR(L2836="131",M2836="131"),H2836='131-CT'!$E$7),"131",""))</f>
        <v/>
      </c>
      <c r="O2836" s="525" t="str">
        <f>IF(AND($B2836&gt;='111'!$N$11,$B2836&lt;='111'!$O$11,OR($L2836=$O$7,$M2836=$O$7)),"x","")</f>
        <v/>
      </c>
      <c r="P2836" s="525" t="str">
        <f>IF(AND($L2836=$O$7,$B2836&lt;'111'!$N$11),"x","")</f>
        <v/>
      </c>
      <c r="Q2836" s="525" t="str">
        <f>IF(AND($M2836=$O$7,$B2836&lt;'111'!$N$11),"x","")</f>
        <v/>
      </c>
      <c r="R2836" s="525" t="str">
        <f>IF(ISERROR(FIND('112'!$M$9,G2836,1)),"",IF((AND(FIND('112'!$M$9,G2836,1)&gt;=1,$B2836&gt;='112'!$N$8,$B2836&lt;='112'!$O$8,OR($L2836='112'!$I$6,$M2836='112'!$I$6))),"x",""))</f>
        <v/>
      </c>
      <c r="S2836" s="525" t="str">
        <f>IF(ISERROR(FIND('112'!$M$9,G2836,1)),"",IF((AND(LEFT(G2836,2)=LEFT('112'!$M$9,2),B2836&lt;'112'!$N$8,$L2836='112'!$I$6)),"x",""))</f>
        <v/>
      </c>
      <c r="T2836" s="525" t="str">
        <f>IF(ISERROR(FIND('112'!$M$9,G2836,1)),"",IF((AND(RIGHT(G2836,2)=RIGHT('112'!$M$9,2),B2836&lt;'112'!$N$8,$M2836='112'!$I$6)),"x",""))</f>
        <v/>
      </c>
      <c r="U2836" s="525" t="str">
        <f>IF(AND(B2836&gt;='IN-NX'!$P$3,B2836&lt;='IN-NX'!$Q$3,'IN-NX'!$D$7=D2836,OR(LEFT(L2836,2)="15",AND(LEFT(M2836,2)&lt;&gt;"15",LEFT(M2836,2)&lt;&gt;"33"))),"x","")</f>
        <v/>
      </c>
      <c r="V2836" s="525" t="str">
        <f>IF(AND(OR(LEFT(TH!L2836,2)="15",LEFT(TH!M2836,2)="15"),'152-CT'!$J$8=TH!F2836),"x","")</f>
        <v/>
      </c>
      <c r="W2836" s="525" t="str">
        <f>IF(AND(OR(LEFT(TH!L2836,2)="15",LEFT(TH!M2836,2)="15"),TK!$E$7=TH!F2836),"x","")</f>
        <v/>
      </c>
      <c r="X2836" s="525" t="str">
        <f>IF(AND('341-CT'!$E$9=H2836,OR(LEFT(L2836,3)=$X$7,LEFT(M2836,3)=$X$7)),"x","")</f>
        <v/>
      </c>
      <c r="Y2836" s="525" t="str">
        <f>IF(OR(TH!L2836=TH!$Y$7,M2836=TH!$Y$7),"x","")</f>
        <v/>
      </c>
      <c r="Z2836" s="525" t="str">
        <f>IF(AND(B2836&lt;=NKC!$N$8,B2836&gt;=NKC!$M$8),"x","")</f>
        <v/>
      </c>
      <c r="AA2836" s="526"/>
      <c r="AB2836" s="527"/>
    </row>
    <row r="2837" spans="1:28" s="576" customFormat="1" ht="15.75" customHeight="1">
      <c r="A2837" s="517" t="str">
        <f>IF(B2837&lt;&gt;"",IF(AND(B2837&gt;=_TM1,B2837&lt;=_TM2,OR(TH!L2837="1111",TH!M2837="1111")),TH!D2837,""),"")</f>
        <v/>
      </c>
      <c r="B2837" s="518">
        <f t="shared" si="246"/>
        <v>4</v>
      </c>
      <c r="C2837" s="571">
        <f t="shared" si="247"/>
        <v>42853</v>
      </c>
      <c r="D2837" s="519" t="s">
        <v>996</v>
      </c>
      <c r="E2837" s="571">
        <v>42853</v>
      </c>
      <c r="F2837" s="572" t="s">
        <v>738</v>
      </c>
      <c r="G2837" s="579" t="s">
        <v>1116</v>
      </c>
      <c r="H2837" s="574" t="s">
        <v>800</v>
      </c>
      <c r="I2837" s="523">
        <v>4</v>
      </c>
      <c r="J2837" s="523">
        <v>147559</v>
      </c>
      <c r="K2837" s="575">
        <f t="shared" si="245"/>
        <v>590236</v>
      </c>
      <c r="L2837" s="591" t="s">
        <v>160</v>
      </c>
      <c r="M2837" s="591" t="s">
        <v>292</v>
      </c>
      <c r="N2837" s="525" t="str">
        <f>IF(AND('331-CT'!$E$7=TH!H2837,OR(L2837="331",M2837="331")),"331",IF(AND(OR(L2837="131",M2837="131"),H2837='131-CT'!$E$7),"131",""))</f>
        <v/>
      </c>
      <c r="O2837" s="525" t="str">
        <f>IF(AND($B2837&gt;='111'!$N$11,$B2837&lt;='111'!$O$11,OR($L2837=$O$7,$M2837=$O$7)),"x","")</f>
        <v/>
      </c>
      <c r="P2837" s="525" t="str">
        <f>IF(AND($L2837=$O$7,$B2837&lt;'111'!$N$11),"x","")</f>
        <v/>
      </c>
      <c r="Q2837" s="525" t="str">
        <f>IF(AND($M2837=$O$7,$B2837&lt;'111'!$N$11),"x","")</f>
        <v/>
      </c>
      <c r="R2837" s="525" t="str">
        <f>IF(ISERROR(FIND('112'!$M$9,G2837,1)),"",IF((AND(FIND('112'!$M$9,G2837,1)&gt;=1,$B2837&gt;='112'!$N$8,$B2837&lt;='112'!$O$8,OR($L2837='112'!$I$6,$M2837='112'!$I$6))),"x",""))</f>
        <v/>
      </c>
      <c r="S2837" s="525" t="str">
        <f>IF(ISERROR(FIND('112'!$M$9,G2837,1)),"",IF((AND(LEFT(G2837,2)=LEFT('112'!$M$9,2),B2837&lt;'112'!$N$8,$L2837='112'!$I$6)),"x",""))</f>
        <v/>
      </c>
      <c r="T2837" s="525" t="str">
        <f>IF(ISERROR(FIND('112'!$M$9,G2837,1)),"",IF((AND(RIGHT(G2837,2)=RIGHT('112'!$M$9,2),B2837&lt;'112'!$N$8,$M2837='112'!$I$6)),"x",""))</f>
        <v/>
      </c>
      <c r="U2837" s="525" t="str">
        <f>IF(AND(B2837&gt;='IN-NX'!$P$3,B2837&lt;='IN-NX'!$Q$3,'IN-NX'!$D$7=D2837,OR(LEFT(L2837,2)="15",AND(LEFT(M2837,2)&lt;&gt;"15",LEFT(M2837,2)&lt;&gt;"33"))),"x","")</f>
        <v/>
      </c>
      <c r="V2837" s="525" t="str">
        <f>IF(AND(OR(LEFT(TH!L2837,2)="15",LEFT(TH!M2837,2)="15"),'152-CT'!$J$8=TH!F2837),"x","")</f>
        <v/>
      </c>
      <c r="W2837" s="525" t="str">
        <f>IF(AND(OR(LEFT(TH!L2837,2)="15",LEFT(TH!M2837,2)="15"),TK!$E$7=TH!F2837),"x","")</f>
        <v/>
      </c>
      <c r="X2837" s="525" t="str">
        <f>IF(AND('341-CT'!$E$9=H2837,OR(LEFT(L2837,3)=$X$7,LEFT(M2837,3)=$X$7)),"x","")</f>
        <v/>
      </c>
      <c r="Y2837" s="525" t="str">
        <f>IF(OR(TH!L2837=TH!$Y$7,M2837=TH!$Y$7),"x","")</f>
        <v/>
      </c>
      <c r="Z2837" s="525" t="str">
        <f>IF(AND(B2837&lt;=NKC!$N$8,B2837&gt;=NKC!$M$8),"x","")</f>
        <v/>
      </c>
      <c r="AA2837" s="526"/>
      <c r="AB2837" s="527"/>
    </row>
    <row r="2838" spans="1:28" s="576" customFormat="1" ht="15.75" customHeight="1">
      <c r="A2838" s="517" t="str">
        <f>IF(B2838&lt;&gt;"",IF(AND(B2838&gt;=_TM1,B2838&lt;=_TM2,OR(TH!L2838="1111",TH!M2838="1111")),TH!D2838,""),"")</f>
        <v/>
      </c>
      <c r="B2838" s="518">
        <f t="shared" si="246"/>
        <v>4</v>
      </c>
      <c r="C2838" s="571">
        <f t="shared" si="247"/>
        <v>42853</v>
      </c>
      <c r="D2838" s="519" t="s">
        <v>996</v>
      </c>
      <c r="E2838" s="571">
        <v>42853</v>
      </c>
      <c r="F2838" s="572" t="s">
        <v>742</v>
      </c>
      <c r="G2838" s="579" t="s">
        <v>1116</v>
      </c>
      <c r="H2838" s="574" t="s">
        <v>800</v>
      </c>
      <c r="I2838" s="523">
        <v>4</v>
      </c>
      <c r="J2838" s="523">
        <v>80707</v>
      </c>
      <c r="K2838" s="575">
        <f t="shared" si="245"/>
        <v>322828</v>
      </c>
      <c r="L2838" s="591" t="s">
        <v>160</v>
      </c>
      <c r="M2838" s="591" t="s">
        <v>292</v>
      </c>
      <c r="N2838" s="525" t="str">
        <f>IF(AND('331-CT'!$E$7=TH!H2838,OR(L2838="331",M2838="331")),"331",IF(AND(OR(L2838="131",M2838="131"),H2838='131-CT'!$E$7),"131",""))</f>
        <v/>
      </c>
      <c r="O2838" s="525" t="str">
        <f>IF(AND($B2838&gt;='111'!$N$11,$B2838&lt;='111'!$O$11,OR($L2838=$O$7,$M2838=$O$7)),"x","")</f>
        <v/>
      </c>
      <c r="P2838" s="525" t="str">
        <f>IF(AND($L2838=$O$7,$B2838&lt;'111'!$N$11),"x","")</f>
        <v/>
      </c>
      <c r="Q2838" s="525" t="str">
        <f>IF(AND($M2838=$O$7,$B2838&lt;'111'!$N$11),"x","")</f>
        <v/>
      </c>
      <c r="R2838" s="525" t="str">
        <f>IF(ISERROR(FIND('112'!$M$9,G2838,1)),"",IF((AND(FIND('112'!$M$9,G2838,1)&gt;=1,$B2838&gt;='112'!$N$8,$B2838&lt;='112'!$O$8,OR($L2838='112'!$I$6,$M2838='112'!$I$6))),"x",""))</f>
        <v/>
      </c>
      <c r="S2838" s="525" t="str">
        <f>IF(ISERROR(FIND('112'!$M$9,G2838,1)),"",IF((AND(LEFT(G2838,2)=LEFT('112'!$M$9,2),B2838&lt;'112'!$N$8,$L2838='112'!$I$6)),"x",""))</f>
        <v/>
      </c>
      <c r="T2838" s="525" t="str">
        <f>IF(ISERROR(FIND('112'!$M$9,G2838,1)),"",IF((AND(RIGHT(G2838,2)=RIGHT('112'!$M$9,2),B2838&lt;'112'!$N$8,$M2838='112'!$I$6)),"x",""))</f>
        <v/>
      </c>
      <c r="U2838" s="525" t="str">
        <f>IF(AND(B2838&gt;='IN-NX'!$P$3,B2838&lt;='IN-NX'!$Q$3,'IN-NX'!$D$7=D2838,OR(LEFT(L2838,2)="15",AND(LEFT(M2838,2)&lt;&gt;"15",LEFT(M2838,2)&lt;&gt;"33"))),"x","")</f>
        <v/>
      </c>
      <c r="V2838" s="525" t="str">
        <f>IF(AND(OR(LEFT(TH!L2838,2)="15",LEFT(TH!M2838,2)="15"),'152-CT'!$J$8=TH!F2838),"x","")</f>
        <v/>
      </c>
      <c r="W2838" s="525" t="str">
        <f>IF(AND(OR(LEFT(TH!L2838,2)="15",LEFT(TH!M2838,2)="15"),TK!$E$7=TH!F2838),"x","")</f>
        <v/>
      </c>
      <c r="X2838" s="525" t="str">
        <f>IF(AND('341-CT'!$E$9=H2838,OR(LEFT(L2838,3)=$X$7,LEFT(M2838,3)=$X$7)),"x","")</f>
        <v/>
      </c>
      <c r="Y2838" s="525" t="str">
        <f>IF(OR(TH!L2838=TH!$Y$7,M2838=TH!$Y$7),"x","")</f>
        <v/>
      </c>
      <c r="Z2838" s="525" t="str">
        <f>IF(AND(B2838&lt;=NKC!$N$8,B2838&gt;=NKC!$M$8),"x","")</f>
        <v/>
      </c>
      <c r="AA2838" s="526"/>
      <c r="AB2838" s="527"/>
    </row>
    <row r="2839" spans="1:28" s="576" customFormat="1" ht="15.75" customHeight="1">
      <c r="A2839" s="517" t="str">
        <f>IF(B2839&lt;&gt;"",IF(AND(B2839&gt;=_TM1,B2839&lt;=_TM2,OR(TH!L2839="1111",TH!M2839="1111")),TH!D2839,""),"")</f>
        <v/>
      </c>
      <c r="B2839" s="518">
        <f t="shared" si="246"/>
        <v>4</v>
      </c>
      <c r="C2839" s="571">
        <f t="shared" si="247"/>
        <v>42853</v>
      </c>
      <c r="D2839" s="519" t="s">
        <v>996</v>
      </c>
      <c r="E2839" s="571">
        <v>42853</v>
      </c>
      <c r="F2839" s="572" t="s">
        <v>694</v>
      </c>
      <c r="G2839" s="579" t="s">
        <v>1116</v>
      </c>
      <c r="H2839" s="574" t="s">
        <v>800</v>
      </c>
      <c r="I2839" s="523">
        <v>6</v>
      </c>
      <c r="J2839" s="523">
        <v>50207</v>
      </c>
      <c r="K2839" s="575">
        <f t="shared" si="245"/>
        <v>301242</v>
      </c>
      <c r="L2839" s="591" t="s">
        <v>160</v>
      </c>
      <c r="M2839" s="591" t="s">
        <v>292</v>
      </c>
      <c r="N2839" s="525" t="str">
        <f>IF(AND('331-CT'!$E$7=TH!H2839,OR(L2839="331",M2839="331")),"331",IF(AND(OR(L2839="131",M2839="131"),H2839='131-CT'!$E$7),"131",""))</f>
        <v/>
      </c>
      <c r="O2839" s="525" t="str">
        <f>IF(AND($B2839&gt;='111'!$N$11,$B2839&lt;='111'!$O$11,OR($L2839=$O$7,$M2839=$O$7)),"x","")</f>
        <v/>
      </c>
      <c r="P2839" s="525" t="str">
        <f>IF(AND($L2839=$O$7,$B2839&lt;'111'!$N$11),"x","")</f>
        <v/>
      </c>
      <c r="Q2839" s="525" t="str">
        <f>IF(AND($M2839=$O$7,$B2839&lt;'111'!$N$11),"x","")</f>
        <v/>
      </c>
      <c r="R2839" s="525" t="str">
        <f>IF(ISERROR(FIND('112'!$M$9,G2839,1)),"",IF((AND(FIND('112'!$M$9,G2839,1)&gt;=1,$B2839&gt;='112'!$N$8,$B2839&lt;='112'!$O$8,OR($L2839='112'!$I$6,$M2839='112'!$I$6))),"x",""))</f>
        <v/>
      </c>
      <c r="S2839" s="525" t="str">
        <f>IF(ISERROR(FIND('112'!$M$9,G2839,1)),"",IF((AND(LEFT(G2839,2)=LEFT('112'!$M$9,2),B2839&lt;'112'!$N$8,$L2839='112'!$I$6)),"x",""))</f>
        <v/>
      </c>
      <c r="T2839" s="525" t="str">
        <f>IF(ISERROR(FIND('112'!$M$9,G2839,1)),"",IF((AND(RIGHT(G2839,2)=RIGHT('112'!$M$9,2),B2839&lt;'112'!$N$8,$M2839='112'!$I$6)),"x",""))</f>
        <v/>
      </c>
      <c r="U2839" s="525" t="str">
        <f>IF(AND(B2839&gt;='IN-NX'!$P$3,B2839&lt;='IN-NX'!$Q$3,'IN-NX'!$D$7=D2839,OR(LEFT(L2839,2)="15",AND(LEFT(M2839,2)&lt;&gt;"15",LEFT(M2839,2)&lt;&gt;"33"))),"x","")</f>
        <v/>
      </c>
      <c r="V2839" s="525" t="str">
        <f>IF(AND(OR(LEFT(TH!L2839,2)="15",LEFT(TH!M2839,2)="15"),'152-CT'!$J$8=TH!F2839),"x","")</f>
        <v/>
      </c>
      <c r="W2839" s="525" t="str">
        <f>IF(AND(OR(LEFT(TH!L2839,2)="15",LEFT(TH!M2839,2)="15"),TK!$E$7=TH!F2839),"x","")</f>
        <v/>
      </c>
      <c r="X2839" s="525" t="str">
        <f>IF(AND('341-CT'!$E$9=H2839,OR(LEFT(L2839,3)=$X$7,LEFT(M2839,3)=$X$7)),"x","")</f>
        <v/>
      </c>
      <c r="Y2839" s="525" t="str">
        <f>IF(OR(TH!L2839=TH!$Y$7,M2839=TH!$Y$7),"x","")</f>
        <v/>
      </c>
      <c r="Z2839" s="525" t="str">
        <f>IF(AND(B2839&lt;=NKC!$N$8,B2839&gt;=NKC!$M$8),"x","")</f>
        <v/>
      </c>
      <c r="AA2839" s="526"/>
      <c r="AB2839" s="527"/>
    </row>
    <row r="2840" spans="1:28" s="576" customFormat="1" ht="15.75" customHeight="1">
      <c r="A2840" s="517" t="str">
        <f>IF(B2840&lt;&gt;"",IF(AND(B2840&gt;=_TM1,B2840&lt;=_TM2,OR(TH!L2840="1111",TH!M2840="1111")),TH!D2840,""),"")</f>
        <v/>
      </c>
      <c r="B2840" s="518">
        <f t="shared" si="246"/>
        <v>4</v>
      </c>
      <c r="C2840" s="571">
        <f t="shared" si="247"/>
        <v>42853</v>
      </c>
      <c r="D2840" s="519" t="s">
        <v>996</v>
      </c>
      <c r="E2840" s="571">
        <v>42853</v>
      </c>
      <c r="F2840" s="572" t="s">
        <v>663</v>
      </c>
      <c r="G2840" s="579" t="s">
        <v>1116</v>
      </c>
      <c r="H2840" s="574" t="s">
        <v>800</v>
      </c>
      <c r="I2840" s="523">
        <v>14</v>
      </c>
      <c r="J2840" s="523">
        <v>42796</v>
      </c>
      <c r="K2840" s="575">
        <f t="shared" si="245"/>
        <v>599144</v>
      </c>
      <c r="L2840" s="591" t="s">
        <v>160</v>
      </c>
      <c r="M2840" s="591" t="s">
        <v>292</v>
      </c>
      <c r="N2840" s="525" t="str">
        <f>IF(AND('331-CT'!$E$7=TH!H2840,OR(L2840="331",M2840="331")),"331",IF(AND(OR(L2840="131",M2840="131"),H2840='131-CT'!$E$7),"131",""))</f>
        <v/>
      </c>
      <c r="O2840" s="525" t="str">
        <f>IF(AND($B2840&gt;='111'!$N$11,$B2840&lt;='111'!$O$11,OR($L2840=$O$7,$M2840=$O$7)),"x","")</f>
        <v/>
      </c>
      <c r="P2840" s="525" t="str">
        <f>IF(AND($L2840=$O$7,$B2840&lt;'111'!$N$11),"x","")</f>
        <v/>
      </c>
      <c r="Q2840" s="525" t="str">
        <f>IF(AND($M2840=$O$7,$B2840&lt;'111'!$N$11),"x","")</f>
        <v/>
      </c>
      <c r="R2840" s="525" t="str">
        <f>IF(ISERROR(FIND('112'!$M$9,G2840,1)),"",IF((AND(FIND('112'!$M$9,G2840,1)&gt;=1,$B2840&gt;='112'!$N$8,$B2840&lt;='112'!$O$8,OR($L2840='112'!$I$6,$M2840='112'!$I$6))),"x",""))</f>
        <v/>
      </c>
      <c r="S2840" s="525" t="str">
        <f>IF(ISERROR(FIND('112'!$M$9,G2840,1)),"",IF((AND(LEFT(G2840,2)=LEFT('112'!$M$9,2),B2840&lt;'112'!$N$8,$L2840='112'!$I$6)),"x",""))</f>
        <v/>
      </c>
      <c r="T2840" s="525" t="str">
        <f>IF(ISERROR(FIND('112'!$M$9,G2840,1)),"",IF((AND(RIGHT(G2840,2)=RIGHT('112'!$M$9,2),B2840&lt;'112'!$N$8,$M2840='112'!$I$6)),"x",""))</f>
        <v/>
      </c>
      <c r="U2840" s="525" t="str">
        <f>IF(AND(B2840&gt;='IN-NX'!$P$3,B2840&lt;='IN-NX'!$Q$3,'IN-NX'!$D$7=D2840,OR(LEFT(L2840,2)="15",AND(LEFT(M2840,2)&lt;&gt;"15",LEFT(M2840,2)&lt;&gt;"33"))),"x","")</f>
        <v/>
      </c>
      <c r="V2840" s="525" t="str">
        <f>IF(AND(OR(LEFT(TH!L2840,2)="15",LEFT(TH!M2840,2)="15"),'152-CT'!$J$8=TH!F2840),"x","")</f>
        <v/>
      </c>
      <c r="W2840" s="525" t="str">
        <f>IF(AND(OR(LEFT(TH!L2840,2)="15",LEFT(TH!M2840,2)="15"),TK!$E$7=TH!F2840),"x","")</f>
        <v/>
      </c>
      <c r="X2840" s="525" t="str">
        <f>IF(AND('341-CT'!$E$9=H2840,OR(LEFT(L2840,3)=$X$7,LEFT(M2840,3)=$X$7)),"x","")</f>
        <v/>
      </c>
      <c r="Y2840" s="525" t="str">
        <f>IF(OR(TH!L2840=TH!$Y$7,M2840=TH!$Y$7),"x","")</f>
        <v/>
      </c>
      <c r="Z2840" s="525" t="str">
        <f>IF(AND(B2840&lt;=NKC!$N$8,B2840&gt;=NKC!$M$8),"x","")</f>
        <v/>
      </c>
      <c r="AA2840" s="526"/>
      <c r="AB2840" s="527"/>
    </row>
    <row r="2841" spans="1:28" s="576" customFormat="1" ht="15.75" customHeight="1">
      <c r="A2841" s="517" t="str">
        <f>IF(B2841&lt;&gt;"",IF(AND(B2841&gt;=_TM1,B2841&lt;=_TM2,OR(TH!L2841="1111",TH!M2841="1111")),TH!D2841,""),"")</f>
        <v/>
      </c>
      <c r="B2841" s="518">
        <f t="shared" si="246"/>
        <v>4</v>
      </c>
      <c r="C2841" s="571">
        <f t="shared" si="247"/>
        <v>42853</v>
      </c>
      <c r="D2841" s="519" t="s">
        <v>996</v>
      </c>
      <c r="E2841" s="571">
        <v>42853</v>
      </c>
      <c r="F2841" s="572" t="s">
        <v>744</v>
      </c>
      <c r="G2841" s="579" t="s">
        <v>1116</v>
      </c>
      <c r="H2841" s="574" t="s">
        <v>800</v>
      </c>
      <c r="I2841" s="523">
        <v>12</v>
      </c>
      <c r="J2841" s="523">
        <v>32199</v>
      </c>
      <c r="K2841" s="575">
        <f t="shared" si="245"/>
        <v>386388</v>
      </c>
      <c r="L2841" s="591" t="s">
        <v>160</v>
      </c>
      <c r="M2841" s="591" t="s">
        <v>292</v>
      </c>
      <c r="N2841" s="525" t="str">
        <f>IF(AND('331-CT'!$E$7=TH!H2841,OR(L2841="331",M2841="331")),"331",IF(AND(OR(L2841="131",M2841="131"),H2841='131-CT'!$E$7),"131",""))</f>
        <v/>
      </c>
      <c r="O2841" s="525" t="str">
        <f>IF(AND($B2841&gt;='111'!$N$11,$B2841&lt;='111'!$O$11,OR($L2841=$O$7,$M2841=$O$7)),"x","")</f>
        <v/>
      </c>
      <c r="P2841" s="525" t="str">
        <f>IF(AND($L2841=$O$7,$B2841&lt;'111'!$N$11),"x","")</f>
        <v/>
      </c>
      <c r="Q2841" s="525" t="str">
        <f>IF(AND($M2841=$O$7,$B2841&lt;'111'!$N$11),"x","")</f>
        <v/>
      </c>
      <c r="R2841" s="525" t="str">
        <f>IF(ISERROR(FIND('112'!$M$9,G2841,1)),"",IF((AND(FIND('112'!$M$9,G2841,1)&gt;=1,$B2841&gt;='112'!$N$8,$B2841&lt;='112'!$O$8,OR($L2841='112'!$I$6,$M2841='112'!$I$6))),"x",""))</f>
        <v/>
      </c>
      <c r="S2841" s="525" t="str">
        <f>IF(ISERROR(FIND('112'!$M$9,G2841,1)),"",IF((AND(LEFT(G2841,2)=LEFT('112'!$M$9,2),B2841&lt;'112'!$N$8,$L2841='112'!$I$6)),"x",""))</f>
        <v/>
      </c>
      <c r="T2841" s="525" t="str">
        <f>IF(ISERROR(FIND('112'!$M$9,G2841,1)),"",IF((AND(RIGHT(G2841,2)=RIGHT('112'!$M$9,2),B2841&lt;'112'!$N$8,$M2841='112'!$I$6)),"x",""))</f>
        <v/>
      </c>
      <c r="U2841" s="525" t="str">
        <f>IF(AND(B2841&gt;='IN-NX'!$P$3,B2841&lt;='IN-NX'!$Q$3,'IN-NX'!$D$7=D2841,OR(LEFT(L2841,2)="15",AND(LEFT(M2841,2)&lt;&gt;"15",LEFT(M2841,2)&lt;&gt;"33"))),"x","")</f>
        <v/>
      </c>
      <c r="V2841" s="525" t="str">
        <f>IF(AND(OR(LEFT(TH!L2841,2)="15",LEFT(TH!M2841,2)="15"),'152-CT'!$J$8=TH!F2841),"x","")</f>
        <v/>
      </c>
      <c r="W2841" s="525" t="str">
        <f>IF(AND(OR(LEFT(TH!L2841,2)="15",LEFT(TH!M2841,2)="15"),TK!$E$7=TH!F2841),"x","")</f>
        <v/>
      </c>
      <c r="X2841" s="525" t="str">
        <f>IF(AND('341-CT'!$E$9=H2841,OR(LEFT(L2841,3)=$X$7,LEFT(M2841,3)=$X$7)),"x","")</f>
        <v/>
      </c>
      <c r="Y2841" s="525" t="str">
        <f>IF(OR(TH!L2841=TH!$Y$7,M2841=TH!$Y$7),"x","")</f>
        <v/>
      </c>
      <c r="Z2841" s="525" t="str">
        <f>IF(AND(B2841&lt;=NKC!$N$8,B2841&gt;=NKC!$M$8),"x","")</f>
        <v/>
      </c>
      <c r="AA2841" s="526"/>
      <c r="AB2841" s="527"/>
    </row>
    <row r="2842" spans="1:28" s="576" customFormat="1" ht="15.75" customHeight="1">
      <c r="A2842" s="517" t="str">
        <f>IF(B2842&lt;&gt;"",IF(AND(B2842&gt;=_TM1,B2842&lt;=_TM2,OR(TH!L2842="1111",TH!M2842="1111")),TH!D2842,""),"")</f>
        <v/>
      </c>
      <c r="B2842" s="518">
        <f t="shared" si="246"/>
        <v>4</v>
      </c>
      <c r="C2842" s="571">
        <f t="shared" si="247"/>
        <v>42853</v>
      </c>
      <c r="D2842" s="519" t="s">
        <v>996</v>
      </c>
      <c r="E2842" s="571">
        <v>42853</v>
      </c>
      <c r="F2842" s="572" t="s">
        <v>745</v>
      </c>
      <c r="G2842" s="579" t="s">
        <v>1116</v>
      </c>
      <c r="H2842" s="574" t="s">
        <v>800</v>
      </c>
      <c r="I2842" s="523">
        <v>12</v>
      </c>
      <c r="J2842" s="523">
        <v>62653</v>
      </c>
      <c r="K2842" s="575">
        <f t="shared" si="245"/>
        <v>751836</v>
      </c>
      <c r="L2842" s="591" t="s">
        <v>160</v>
      </c>
      <c r="M2842" s="591" t="s">
        <v>292</v>
      </c>
      <c r="N2842" s="525" t="str">
        <f>IF(AND('331-CT'!$E$7=TH!H2842,OR(L2842="331",M2842="331")),"331",IF(AND(OR(L2842="131",M2842="131"),H2842='131-CT'!$E$7),"131",""))</f>
        <v/>
      </c>
      <c r="O2842" s="525" t="str">
        <f>IF(AND($B2842&gt;='111'!$N$11,$B2842&lt;='111'!$O$11,OR($L2842=$O$7,$M2842=$O$7)),"x","")</f>
        <v/>
      </c>
      <c r="P2842" s="525" t="str">
        <f>IF(AND($L2842=$O$7,$B2842&lt;'111'!$N$11),"x","")</f>
        <v/>
      </c>
      <c r="Q2842" s="525" t="str">
        <f>IF(AND($M2842=$O$7,$B2842&lt;'111'!$N$11),"x","")</f>
        <v/>
      </c>
      <c r="R2842" s="525" t="str">
        <f>IF(ISERROR(FIND('112'!$M$9,G2842,1)),"",IF((AND(FIND('112'!$M$9,G2842,1)&gt;=1,$B2842&gt;='112'!$N$8,$B2842&lt;='112'!$O$8,OR($L2842='112'!$I$6,$M2842='112'!$I$6))),"x",""))</f>
        <v/>
      </c>
      <c r="S2842" s="525" t="str">
        <f>IF(ISERROR(FIND('112'!$M$9,G2842,1)),"",IF((AND(LEFT(G2842,2)=LEFT('112'!$M$9,2),B2842&lt;'112'!$N$8,$L2842='112'!$I$6)),"x",""))</f>
        <v/>
      </c>
      <c r="T2842" s="525" t="str">
        <f>IF(ISERROR(FIND('112'!$M$9,G2842,1)),"",IF((AND(RIGHT(G2842,2)=RIGHT('112'!$M$9,2),B2842&lt;'112'!$N$8,$M2842='112'!$I$6)),"x",""))</f>
        <v/>
      </c>
      <c r="U2842" s="525" t="str">
        <f>IF(AND(B2842&gt;='IN-NX'!$P$3,B2842&lt;='IN-NX'!$Q$3,'IN-NX'!$D$7=D2842,OR(LEFT(L2842,2)="15",AND(LEFT(M2842,2)&lt;&gt;"15",LEFT(M2842,2)&lt;&gt;"33"))),"x","")</f>
        <v/>
      </c>
      <c r="V2842" s="525" t="str">
        <f>IF(AND(OR(LEFT(TH!L2842,2)="15",LEFT(TH!M2842,2)="15"),'152-CT'!$J$8=TH!F2842),"x","")</f>
        <v/>
      </c>
      <c r="W2842" s="525" t="str">
        <f>IF(AND(OR(LEFT(TH!L2842,2)="15",LEFT(TH!M2842,2)="15"),TK!$E$7=TH!F2842),"x","")</f>
        <v/>
      </c>
      <c r="X2842" s="525" t="str">
        <f>IF(AND('341-CT'!$E$9=H2842,OR(LEFT(L2842,3)=$X$7,LEFT(M2842,3)=$X$7)),"x","")</f>
        <v/>
      </c>
      <c r="Y2842" s="525" t="str">
        <f>IF(OR(TH!L2842=TH!$Y$7,M2842=TH!$Y$7),"x","")</f>
        <v/>
      </c>
      <c r="Z2842" s="525" t="str">
        <f>IF(AND(B2842&lt;=NKC!$N$8,B2842&gt;=NKC!$M$8),"x","")</f>
        <v/>
      </c>
      <c r="AA2842" s="526"/>
      <c r="AB2842" s="527"/>
    </row>
    <row r="2843" spans="1:28" s="576" customFormat="1" ht="15.75" customHeight="1">
      <c r="A2843" s="517" t="str">
        <f>IF(B2843&lt;&gt;"",IF(AND(B2843&gt;=_TM1,B2843&lt;=_TM2,OR(TH!L2843="1111",TH!M2843="1111")),TH!D2843,""),"")</f>
        <v/>
      </c>
      <c r="B2843" s="518">
        <f t="shared" si="246"/>
        <v>4</v>
      </c>
      <c r="C2843" s="571">
        <f t="shared" si="247"/>
        <v>42853</v>
      </c>
      <c r="D2843" s="519" t="s">
        <v>996</v>
      </c>
      <c r="E2843" s="571">
        <v>42853</v>
      </c>
      <c r="F2843" s="572" t="s">
        <v>662</v>
      </c>
      <c r="G2843" s="579" t="s">
        <v>1116</v>
      </c>
      <c r="H2843" s="574" t="s">
        <v>800</v>
      </c>
      <c r="I2843" s="523">
        <v>4</v>
      </c>
      <c r="J2843" s="523">
        <v>105271</v>
      </c>
      <c r="K2843" s="575">
        <f t="shared" si="245"/>
        <v>421084</v>
      </c>
      <c r="L2843" s="591" t="s">
        <v>160</v>
      </c>
      <c r="M2843" s="591" t="s">
        <v>292</v>
      </c>
      <c r="N2843" s="525" t="str">
        <f>IF(AND('331-CT'!$E$7=TH!H2843,OR(L2843="331",M2843="331")),"331",IF(AND(OR(L2843="131",M2843="131"),H2843='131-CT'!$E$7),"131",""))</f>
        <v/>
      </c>
      <c r="O2843" s="525" t="str">
        <f>IF(AND($B2843&gt;='111'!$N$11,$B2843&lt;='111'!$O$11,OR($L2843=$O$7,$M2843=$O$7)),"x","")</f>
        <v/>
      </c>
      <c r="P2843" s="525" t="str">
        <f>IF(AND($L2843=$O$7,$B2843&lt;'111'!$N$11),"x","")</f>
        <v/>
      </c>
      <c r="Q2843" s="525" t="str">
        <f>IF(AND($M2843=$O$7,$B2843&lt;'111'!$N$11),"x","")</f>
        <v/>
      </c>
      <c r="R2843" s="525" t="str">
        <f>IF(ISERROR(FIND('112'!$M$9,G2843,1)),"",IF((AND(FIND('112'!$M$9,G2843,1)&gt;=1,$B2843&gt;='112'!$N$8,$B2843&lt;='112'!$O$8,OR($L2843='112'!$I$6,$M2843='112'!$I$6))),"x",""))</f>
        <v/>
      </c>
      <c r="S2843" s="525" t="str">
        <f>IF(ISERROR(FIND('112'!$M$9,G2843,1)),"",IF((AND(LEFT(G2843,2)=LEFT('112'!$M$9,2),B2843&lt;'112'!$N$8,$L2843='112'!$I$6)),"x",""))</f>
        <v/>
      </c>
      <c r="T2843" s="525" t="str">
        <f>IF(ISERROR(FIND('112'!$M$9,G2843,1)),"",IF((AND(RIGHT(G2843,2)=RIGHT('112'!$M$9,2),B2843&lt;'112'!$N$8,$M2843='112'!$I$6)),"x",""))</f>
        <v/>
      </c>
      <c r="U2843" s="525" t="str">
        <f>IF(AND(B2843&gt;='IN-NX'!$P$3,B2843&lt;='IN-NX'!$Q$3,'IN-NX'!$D$7=D2843,OR(LEFT(L2843,2)="15",AND(LEFT(M2843,2)&lt;&gt;"15",LEFT(M2843,2)&lt;&gt;"33"))),"x","")</f>
        <v/>
      </c>
      <c r="V2843" s="525" t="str">
        <f>IF(AND(OR(LEFT(TH!L2843,2)="15",LEFT(TH!M2843,2)="15"),'152-CT'!$J$8=TH!F2843),"x","")</f>
        <v/>
      </c>
      <c r="W2843" s="525" t="str">
        <f>IF(AND(OR(LEFT(TH!L2843,2)="15",LEFT(TH!M2843,2)="15"),TK!$E$7=TH!F2843),"x","")</f>
        <v/>
      </c>
      <c r="X2843" s="525" t="str">
        <f>IF(AND('341-CT'!$E$9=H2843,OR(LEFT(L2843,3)=$X$7,LEFT(M2843,3)=$X$7)),"x","")</f>
        <v/>
      </c>
      <c r="Y2843" s="525" t="str">
        <f>IF(OR(TH!L2843=TH!$Y$7,M2843=TH!$Y$7),"x","")</f>
        <v/>
      </c>
      <c r="Z2843" s="525" t="str">
        <f>IF(AND(B2843&lt;=NKC!$N$8,B2843&gt;=NKC!$M$8),"x","")</f>
        <v/>
      </c>
      <c r="AA2843" s="526"/>
      <c r="AB2843" s="527"/>
    </row>
    <row r="2844" spans="1:28" s="576" customFormat="1" ht="15.75" customHeight="1">
      <c r="A2844" s="517" t="str">
        <f>IF(B2844&lt;&gt;"",IF(AND(B2844&gt;=_TM1,B2844&lt;=_TM2,OR(TH!L2844="1111",TH!M2844="1111")),TH!D2844,""),"")</f>
        <v/>
      </c>
      <c r="B2844" s="518">
        <f t="shared" si="246"/>
        <v>4</v>
      </c>
      <c r="C2844" s="571">
        <f t="shared" si="247"/>
        <v>42853</v>
      </c>
      <c r="D2844" s="519" t="s">
        <v>996</v>
      </c>
      <c r="E2844" s="571">
        <v>42853</v>
      </c>
      <c r="F2844" s="572" t="s">
        <v>743</v>
      </c>
      <c r="G2844" s="579" t="s">
        <v>1116</v>
      </c>
      <c r="H2844" s="574" t="s">
        <v>800</v>
      </c>
      <c r="I2844" s="523">
        <v>16</v>
      </c>
      <c r="J2844" s="523">
        <v>42678</v>
      </c>
      <c r="K2844" s="575">
        <f t="shared" si="245"/>
        <v>682848</v>
      </c>
      <c r="L2844" s="591" t="s">
        <v>160</v>
      </c>
      <c r="M2844" s="591" t="s">
        <v>292</v>
      </c>
      <c r="N2844" s="525" t="str">
        <f>IF(AND('331-CT'!$E$7=TH!H2844,OR(L2844="331",M2844="331")),"331",IF(AND(OR(L2844="131",M2844="131"),H2844='131-CT'!$E$7),"131",""))</f>
        <v/>
      </c>
      <c r="O2844" s="525" t="str">
        <f>IF(AND($B2844&gt;='111'!$N$11,$B2844&lt;='111'!$O$11,OR($L2844=$O$7,$M2844=$O$7)),"x","")</f>
        <v/>
      </c>
      <c r="P2844" s="525" t="str">
        <f>IF(AND($L2844=$O$7,$B2844&lt;'111'!$N$11),"x","")</f>
        <v/>
      </c>
      <c r="Q2844" s="525" t="str">
        <f>IF(AND($M2844=$O$7,$B2844&lt;'111'!$N$11),"x","")</f>
        <v/>
      </c>
      <c r="R2844" s="525" t="str">
        <f>IF(ISERROR(FIND('112'!$M$9,G2844,1)),"",IF((AND(FIND('112'!$M$9,G2844,1)&gt;=1,$B2844&gt;='112'!$N$8,$B2844&lt;='112'!$O$8,OR($L2844='112'!$I$6,$M2844='112'!$I$6))),"x",""))</f>
        <v/>
      </c>
      <c r="S2844" s="525" t="str">
        <f>IF(ISERROR(FIND('112'!$M$9,G2844,1)),"",IF((AND(LEFT(G2844,2)=LEFT('112'!$M$9,2),B2844&lt;'112'!$N$8,$L2844='112'!$I$6)),"x",""))</f>
        <v/>
      </c>
      <c r="T2844" s="525" t="str">
        <f>IF(ISERROR(FIND('112'!$M$9,G2844,1)),"",IF((AND(RIGHT(G2844,2)=RIGHT('112'!$M$9,2),B2844&lt;'112'!$N$8,$M2844='112'!$I$6)),"x",""))</f>
        <v/>
      </c>
      <c r="U2844" s="525" t="str">
        <f>IF(AND(B2844&gt;='IN-NX'!$P$3,B2844&lt;='IN-NX'!$Q$3,'IN-NX'!$D$7=D2844,OR(LEFT(L2844,2)="15",AND(LEFT(M2844,2)&lt;&gt;"15",LEFT(M2844,2)&lt;&gt;"33"))),"x","")</f>
        <v/>
      </c>
      <c r="V2844" s="525" t="str">
        <f>IF(AND(OR(LEFT(TH!L2844,2)="15",LEFT(TH!M2844,2)="15"),'152-CT'!$J$8=TH!F2844),"x","")</f>
        <v/>
      </c>
      <c r="W2844" s="525" t="str">
        <f>IF(AND(OR(LEFT(TH!L2844,2)="15",LEFT(TH!M2844,2)="15"),TK!$E$7=TH!F2844),"x","")</f>
        <v/>
      </c>
      <c r="X2844" s="525" t="str">
        <f>IF(AND('341-CT'!$E$9=H2844,OR(LEFT(L2844,3)=$X$7,LEFT(M2844,3)=$X$7)),"x","")</f>
        <v/>
      </c>
      <c r="Y2844" s="525" t="str">
        <f>IF(OR(TH!L2844=TH!$Y$7,M2844=TH!$Y$7),"x","")</f>
        <v/>
      </c>
      <c r="Z2844" s="525" t="str">
        <f>IF(AND(B2844&lt;=NKC!$N$8,B2844&gt;=NKC!$M$8),"x","")</f>
        <v/>
      </c>
      <c r="AA2844" s="526"/>
      <c r="AB2844" s="527"/>
    </row>
    <row r="2845" spans="1:28" s="576" customFormat="1" ht="15.75" customHeight="1">
      <c r="A2845" s="517" t="str">
        <f>IF(B2845&lt;&gt;"",IF(AND(B2845&gt;=_TM1,B2845&lt;=_TM2,OR(TH!L2845="1111",TH!M2845="1111")),TH!D2845,""),"")</f>
        <v/>
      </c>
      <c r="B2845" s="518">
        <f t="shared" si="246"/>
        <v>4</v>
      </c>
      <c r="C2845" s="571">
        <f t="shared" si="247"/>
        <v>42853</v>
      </c>
      <c r="D2845" s="519" t="s">
        <v>996</v>
      </c>
      <c r="E2845" s="571">
        <v>42853</v>
      </c>
      <c r="F2845" s="572" t="s">
        <v>714</v>
      </c>
      <c r="G2845" s="579" t="s">
        <v>1116</v>
      </c>
      <c r="H2845" s="574" t="s">
        <v>800</v>
      </c>
      <c r="I2845" s="523">
        <v>42</v>
      </c>
      <c r="J2845" s="523">
        <v>48224</v>
      </c>
      <c r="K2845" s="575">
        <f t="shared" si="245"/>
        <v>2025408</v>
      </c>
      <c r="L2845" s="591" t="s">
        <v>160</v>
      </c>
      <c r="M2845" s="591" t="s">
        <v>292</v>
      </c>
      <c r="N2845" s="525" t="str">
        <f>IF(AND('331-CT'!$E$7=TH!H2845,OR(L2845="331",M2845="331")),"331",IF(AND(OR(L2845="131",M2845="131"),H2845='131-CT'!$E$7),"131",""))</f>
        <v/>
      </c>
      <c r="O2845" s="525" t="str">
        <f>IF(AND($B2845&gt;='111'!$N$11,$B2845&lt;='111'!$O$11,OR($L2845=$O$7,$M2845=$O$7)),"x","")</f>
        <v/>
      </c>
      <c r="P2845" s="525" t="str">
        <f>IF(AND($L2845=$O$7,$B2845&lt;'111'!$N$11),"x","")</f>
        <v/>
      </c>
      <c r="Q2845" s="525" t="str">
        <f>IF(AND($M2845=$O$7,$B2845&lt;'111'!$N$11),"x","")</f>
        <v/>
      </c>
      <c r="R2845" s="525" t="str">
        <f>IF(ISERROR(FIND('112'!$M$9,G2845,1)),"",IF((AND(FIND('112'!$M$9,G2845,1)&gt;=1,$B2845&gt;='112'!$N$8,$B2845&lt;='112'!$O$8,OR($L2845='112'!$I$6,$M2845='112'!$I$6))),"x",""))</f>
        <v/>
      </c>
      <c r="S2845" s="525" t="str">
        <f>IF(ISERROR(FIND('112'!$M$9,G2845,1)),"",IF((AND(LEFT(G2845,2)=LEFT('112'!$M$9,2),B2845&lt;'112'!$N$8,$L2845='112'!$I$6)),"x",""))</f>
        <v/>
      </c>
      <c r="T2845" s="525" t="str">
        <f>IF(ISERROR(FIND('112'!$M$9,G2845,1)),"",IF((AND(RIGHT(G2845,2)=RIGHT('112'!$M$9,2),B2845&lt;'112'!$N$8,$M2845='112'!$I$6)),"x",""))</f>
        <v/>
      </c>
      <c r="U2845" s="525" t="str">
        <f>IF(AND(B2845&gt;='IN-NX'!$P$3,B2845&lt;='IN-NX'!$Q$3,'IN-NX'!$D$7=D2845,OR(LEFT(L2845,2)="15",AND(LEFT(M2845,2)&lt;&gt;"15",LEFT(M2845,2)&lt;&gt;"33"))),"x","")</f>
        <v/>
      </c>
      <c r="V2845" s="525" t="str">
        <f>IF(AND(OR(LEFT(TH!L2845,2)="15",LEFT(TH!M2845,2)="15"),'152-CT'!$J$8=TH!F2845),"x","")</f>
        <v/>
      </c>
      <c r="W2845" s="525" t="str">
        <f>IF(AND(OR(LEFT(TH!L2845,2)="15",LEFT(TH!M2845,2)="15"),TK!$E$7=TH!F2845),"x","")</f>
        <v/>
      </c>
      <c r="X2845" s="525" t="str">
        <f>IF(AND('341-CT'!$E$9=H2845,OR(LEFT(L2845,3)=$X$7,LEFT(M2845,3)=$X$7)),"x","")</f>
        <v/>
      </c>
      <c r="Y2845" s="525" t="str">
        <f>IF(OR(TH!L2845=TH!$Y$7,M2845=TH!$Y$7),"x","")</f>
        <v/>
      </c>
      <c r="Z2845" s="525" t="str">
        <f>IF(AND(B2845&lt;=NKC!$N$8,B2845&gt;=NKC!$M$8),"x","")</f>
        <v/>
      </c>
      <c r="AA2845" s="526"/>
      <c r="AB2845" s="527"/>
    </row>
    <row r="2846" spans="1:28" s="576" customFormat="1" ht="15.75" customHeight="1">
      <c r="A2846" s="517" t="str">
        <f>IF(B2846&lt;&gt;"",IF(AND(B2846&gt;=_TM1,B2846&lt;=_TM2,OR(TH!L2846="1111",TH!M2846="1111")),TH!D2846,""),"")</f>
        <v/>
      </c>
      <c r="B2846" s="518">
        <f t="shared" si="246"/>
        <v>4</v>
      </c>
      <c r="C2846" s="571">
        <f t="shared" si="247"/>
        <v>42853</v>
      </c>
      <c r="D2846" s="519" t="s">
        <v>996</v>
      </c>
      <c r="E2846" s="571">
        <v>42853</v>
      </c>
      <c r="F2846" s="572" t="s">
        <v>728</v>
      </c>
      <c r="G2846" s="579" t="s">
        <v>1116</v>
      </c>
      <c r="H2846" s="574" t="s">
        <v>800</v>
      </c>
      <c r="I2846" s="523">
        <v>30</v>
      </c>
      <c r="J2846" s="523">
        <v>20041</v>
      </c>
      <c r="K2846" s="575">
        <f t="shared" si="245"/>
        <v>601230</v>
      </c>
      <c r="L2846" s="591" t="s">
        <v>160</v>
      </c>
      <c r="M2846" s="591" t="s">
        <v>292</v>
      </c>
      <c r="N2846" s="525" t="str">
        <f>IF(AND('331-CT'!$E$7=TH!H2846,OR(L2846="331",M2846="331")),"331",IF(AND(OR(L2846="131",M2846="131"),H2846='131-CT'!$E$7),"131",""))</f>
        <v/>
      </c>
      <c r="O2846" s="525" t="str">
        <f>IF(AND($B2846&gt;='111'!$N$11,$B2846&lt;='111'!$O$11,OR($L2846=$O$7,$M2846=$O$7)),"x","")</f>
        <v/>
      </c>
      <c r="P2846" s="525" t="str">
        <f>IF(AND($L2846=$O$7,$B2846&lt;'111'!$N$11),"x","")</f>
        <v/>
      </c>
      <c r="Q2846" s="525" t="str">
        <f>IF(AND($M2846=$O$7,$B2846&lt;'111'!$N$11),"x","")</f>
        <v/>
      </c>
      <c r="R2846" s="525" t="str">
        <f>IF(ISERROR(FIND('112'!$M$9,G2846,1)),"",IF((AND(FIND('112'!$M$9,G2846,1)&gt;=1,$B2846&gt;='112'!$N$8,$B2846&lt;='112'!$O$8,OR($L2846='112'!$I$6,$M2846='112'!$I$6))),"x",""))</f>
        <v/>
      </c>
      <c r="S2846" s="525" t="str">
        <f>IF(ISERROR(FIND('112'!$M$9,G2846,1)),"",IF((AND(LEFT(G2846,2)=LEFT('112'!$M$9,2),B2846&lt;'112'!$N$8,$L2846='112'!$I$6)),"x",""))</f>
        <v/>
      </c>
      <c r="T2846" s="525" t="str">
        <f>IF(ISERROR(FIND('112'!$M$9,G2846,1)),"",IF((AND(RIGHT(G2846,2)=RIGHT('112'!$M$9,2),B2846&lt;'112'!$N$8,$M2846='112'!$I$6)),"x",""))</f>
        <v/>
      </c>
      <c r="U2846" s="525" t="str">
        <f>IF(AND(B2846&gt;='IN-NX'!$P$3,B2846&lt;='IN-NX'!$Q$3,'IN-NX'!$D$7=D2846,OR(LEFT(L2846,2)="15",AND(LEFT(M2846,2)&lt;&gt;"15",LEFT(M2846,2)&lt;&gt;"33"))),"x","")</f>
        <v/>
      </c>
      <c r="V2846" s="525" t="str">
        <f>IF(AND(OR(LEFT(TH!L2846,2)="15",LEFT(TH!M2846,2)="15"),'152-CT'!$J$8=TH!F2846),"x","")</f>
        <v/>
      </c>
      <c r="W2846" s="525" t="str">
        <f>IF(AND(OR(LEFT(TH!L2846,2)="15",LEFT(TH!M2846,2)="15"),TK!$E$7=TH!F2846),"x","")</f>
        <v/>
      </c>
      <c r="X2846" s="525" t="str">
        <f>IF(AND('341-CT'!$E$9=H2846,OR(LEFT(L2846,3)=$X$7,LEFT(M2846,3)=$X$7)),"x","")</f>
        <v/>
      </c>
      <c r="Y2846" s="525" t="str">
        <f>IF(OR(TH!L2846=TH!$Y$7,M2846=TH!$Y$7),"x","")</f>
        <v/>
      </c>
      <c r="Z2846" s="525" t="str">
        <f>IF(AND(B2846&lt;=NKC!$N$8,B2846&gt;=NKC!$M$8),"x","")</f>
        <v/>
      </c>
      <c r="AA2846" s="526"/>
      <c r="AB2846" s="527"/>
    </row>
    <row r="2847" spans="1:28" s="576" customFormat="1" ht="15.75" customHeight="1">
      <c r="A2847" s="517" t="str">
        <f>IF(B2847&lt;&gt;"",IF(AND(B2847&gt;=_TM1,B2847&lt;=_TM2,OR(TH!L2847="1111",TH!M2847="1111")),TH!D2847,""),"")</f>
        <v/>
      </c>
      <c r="B2847" s="518">
        <f t="shared" si="246"/>
        <v>4</v>
      </c>
      <c r="C2847" s="571">
        <f t="shared" si="247"/>
        <v>42853</v>
      </c>
      <c r="D2847" s="519" t="s">
        <v>996</v>
      </c>
      <c r="E2847" s="571">
        <v>42853</v>
      </c>
      <c r="F2847" s="572" t="s">
        <v>747</v>
      </c>
      <c r="G2847" s="579" t="s">
        <v>1116</v>
      </c>
      <c r="H2847" s="574" t="s">
        <v>800</v>
      </c>
      <c r="I2847" s="523">
        <v>15</v>
      </c>
      <c r="J2847" s="523">
        <v>58741</v>
      </c>
      <c r="K2847" s="575">
        <f t="shared" si="245"/>
        <v>881115</v>
      </c>
      <c r="L2847" s="591" t="s">
        <v>160</v>
      </c>
      <c r="M2847" s="591" t="s">
        <v>292</v>
      </c>
      <c r="N2847" s="525" t="str">
        <f>IF(AND('331-CT'!$E$7=TH!H2847,OR(L2847="331",M2847="331")),"331",IF(AND(OR(L2847="131",M2847="131"),H2847='131-CT'!$E$7),"131",""))</f>
        <v/>
      </c>
      <c r="O2847" s="525" t="str">
        <f>IF(AND($B2847&gt;='111'!$N$11,$B2847&lt;='111'!$O$11,OR($L2847=$O$7,$M2847=$O$7)),"x","")</f>
        <v/>
      </c>
      <c r="P2847" s="525" t="str">
        <f>IF(AND($L2847=$O$7,$B2847&lt;'111'!$N$11),"x","")</f>
        <v/>
      </c>
      <c r="Q2847" s="525" t="str">
        <f>IF(AND($M2847=$O$7,$B2847&lt;'111'!$N$11),"x","")</f>
        <v/>
      </c>
      <c r="R2847" s="525" t="str">
        <f>IF(ISERROR(FIND('112'!$M$9,G2847,1)),"",IF((AND(FIND('112'!$M$9,G2847,1)&gt;=1,$B2847&gt;='112'!$N$8,$B2847&lt;='112'!$O$8,OR($L2847='112'!$I$6,$M2847='112'!$I$6))),"x",""))</f>
        <v/>
      </c>
      <c r="S2847" s="525" t="str">
        <f>IF(ISERROR(FIND('112'!$M$9,G2847,1)),"",IF((AND(LEFT(G2847,2)=LEFT('112'!$M$9,2),B2847&lt;'112'!$N$8,$L2847='112'!$I$6)),"x",""))</f>
        <v/>
      </c>
      <c r="T2847" s="525" t="str">
        <f>IF(ISERROR(FIND('112'!$M$9,G2847,1)),"",IF((AND(RIGHT(G2847,2)=RIGHT('112'!$M$9,2),B2847&lt;'112'!$N$8,$M2847='112'!$I$6)),"x",""))</f>
        <v/>
      </c>
      <c r="U2847" s="525" t="str">
        <f>IF(AND(B2847&gt;='IN-NX'!$P$3,B2847&lt;='IN-NX'!$Q$3,'IN-NX'!$D$7=D2847,OR(LEFT(L2847,2)="15",AND(LEFT(M2847,2)&lt;&gt;"15",LEFT(M2847,2)&lt;&gt;"33"))),"x","")</f>
        <v/>
      </c>
      <c r="V2847" s="525" t="str">
        <f>IF(AND(OR(LEFT(TH!L2847,2)="15",LEFT(TH!M2847,2)="15"),'152-CT'!$J$8=TH!F2847),"x","")</f>
        <v/>
      </c>
      <c r="W2847" s="525" t="str">
        <f>IF(AND(OR(LEFT(TH!L2847,2)="15",LEFT(TH!M2847,2)="15"),TK!$E$7=TH!F2847),"x","")</f>
        <v/>
      </c>
      <c r="X2847" s="525" t="str">
        <f>IF(AND('341-CT'!$E$9=H2847,OR(LEFT(L2847,3)=$X$7,LEFT(M2847,3)=$X$7)),"x","")</f>
        <v/>
      </c>
      <c r="Y2847" s="525" t="str">
        <f>IF(OR(TH!L2847=TH!$Y$7,M2847=TH!$Y$7),"x","")</f>
        <v/>
      </c>
      <c r="Z2847" s="525" t="str">
        <f>IF(AND(B2847&lt;=NKC!$N$8,B2847&gt;=NKC!$M$8),"x","")</f>
        <v/>
      </c>
      <c r="AA2847" s="526"/>
      <c r="AB2847" s="527"/>
    </row>
    <row r="2848" spans="1:28" s="576" customFormat="1" ht="15.75" customHeight="1">
      <c r="A2848" s="517" t="str">
        <f>IF(B2848&lt;&gt;"",IF(AND(B2848&gt;=_TM1,B2848&lt;=_TM2,OR(TH!L2848="1111",TH!M2848="1111")),TH!D2848,""),"")</f>
        <v/>
      </c>
      <c r="B2848" s="518">
        <f t="shared" si="246"/>
        <v>4</v>
      </c>
      <c r="C2848" s="571">
        <f t="shared" si="247"/>
        <v>42853</v>
      </c>
      <c r="D2848" s="519" t="s">
        <v>996</v>
      </c>
      <c r="E2848" s="571">
        <v>42853</v>
      </c>
      <c r="F2848" s="572" t="s">
        <v>998</v>
      </c>
      <c r="G2848" s="579" t="s">
        <v>1116</v>
      </c>
      <c r="H2848" s="574" t="s">
        <v>800</v>
      </c>
      <c r="I2848" s="523">
        <v>20</v>
      </c>
      <c r="J2848" s="523">
        <v>69249</v>
      </c>
      <c r="K2848" s="575">
        <f t="shared" si="245"/>
        <v>1384980</v>
      </c>
      <c r="L2848" s="591" t="s">
        <v>160</v>
      </c>
      <c r="M2848" s="591" t="s">
        <v>292</v>
      </c>
      <c r="N2848" s="525" t="str">
        <f>IF(AND('331-CT'!$E$7=TH!H2848,OR(L2848="331",M2848="331")),"331",IF(AND(OR(L2848="131",M2848="131"),H2848='131-CT'!$E$7),"131",""))</f>
        <v/>
      </c>
      <c r="O2848" s="525" t="str">
        <f>IF(AND($B2848&gt;='111'!$N$11,$B2848&lt;='111'!$O$11,OR($L2848=$O$7,$M2848=$O$7)),"x","")</f>
        <v/>
      </c>
      <c r="P2848" s="525" t="str">
        <f>IF(AND($L2848=$O$7,$B2848&lt;'111'!$N$11),"x","")</f>
        <v/>
      </c>
      <c r="Q2848" s="525" t="str">
        <f>IF(AND($M2848=$O$7,$B2848&lt;'111'!$N$11),"x","")</f>
        <v/>
      </c>
      <c r="R2848" s="525" t="str">
        <f>IF(ISERROR(FIND('112'!$M$9,G2848,1)),"",IF((AND(FIND('112'!$M$9,G2848,1)&gt;=1,$B2848&gt;='112'!$N$8,$B2848&lt;='112'!$O$8,OR($L2848='112'!$I$6,$M2848='112'!$I$6))),"x",""))</f>
        <v/>
      </c>
      <c r="S2848" s="525" t="str">
        <f>IF(ISERROR(FIND('112'!$M$9,G2848,1)),"",IF((AND(LEFT(G2848,2)=LEFT('112'!$M$9,2),B2848&lt;'112'!$N$8,$L2848='112'!$I$6)),"x",""))</f>
        <v/>
      </c>
      <c r="T2848" s="525" t="str">
        <f>IF(ISERROR(FIND('112'!$M$9,G2848,1)),"",IF((AND(RIGHT(G2848,2)=RIGHT('112'!$M$9,2),B2848&lt;'112'!$N$8,$M2848='112'!$I$6)),"x",""))</f>
        <v/>
      </c>
      <c r="U2848" s="525" t="str">
        <f>IF(AND(B2848&gt;='IN-NX'!$P$3,B2848&lt;='IN-NX'!$Q$3,'IN-NX'!$D$7=D2848,OR(LEFT(L2848,2)="15",AND(LEFT(M2848,2)&lt;&gt;"15",LEFT(M2848,2)&lt;&gt;"33"))),"x","")</f>
        <v/>
      </c>
      <c r="V2848" s="525" t="str">
        <f>IF(AND(OR(LEFT(TH!L2848,2)="15",LEFT(TH!M2848,2)="15"),'152-CT'!$J$8=TH!F2848),"x","")</f>
        <v/>
      </c>
      <c r="W2848" s="525" t="str">
        <f>IF(AND(OR(LEFT(TH!L2848,2)="15",LEFT(TH!M2848,2)="15"),TK!$E$7=TH!F2848),"x","")</f>
        <v/>
      </c>
      <c r="X2848" s="525" t="str">
        <f>IF(AND('341-CT'!$E$9=H2848,OR(LEFT(L2848,3)=$X$7,LEFT(M2848,3)=$X$7)),"x","")</f>
        <v/>
      </c>
      <c r="Y2848" s="525" t="str">
        <f>IF(OR(TH!L2848=TH!$Y$7,M2848=TH!$Y$7),"x","")</f>
        <v/>
      </c>
      <c r="Z2848" s="525" t="str">
        <f>IF(AND(B2848&lt;=NKC!$N$8,B2848&gt;=NKC!$M$8),"x","")</f>
        <v/>
      </c>
      <c r="AA2848" s="526"/>
      <c r="AB2848" s="527"/>
    </row>
    <row r="2849" spans="1:31" s="576" customFormat="1" ht="15.75" customHeight="1">
      <c r="A2849" s="517" t="str">
        <f>IF(B2849&lt;&gt;"",IF(AND(B2849&gt;=_TM1,B2849&lt;=_TM2,OR(TH!L2849="1111",TH!M2849="1111")),TH!D2849,""),"")</f>
        <v/>
      </c>
      <c r="B2849" s="518">
        <f t="shared" si="246"/>
        <v>4</v>
      </c>
      <c r="C2849" s="571">
        <f t="shared" si="247"/>
        <v>42853</v>
      </c>
      <c r="D2849" s="519" t="s">
        <v>996</v>
      </c>
      <c r="E2849" s="571">
        <v>42853</v>
      </c>
      <c r="F2849" s="572" t="s">
        <v>999</v>
      </c>
      <c r="G2849" s="579" t="s">
        <v>1116</v>
      </c>
      <c r="H2849" s="574" t="s">
        <v>800</v>
      </c>
      <c r="I2849" s="523">
        <v>30</v>
      </c>
      <c r="J2849" s="523">
        <v>75076</v>
      </c>
      <c r="K2849" s="575">
        <f t="shared" si="245"/>
        <v>2252280</v>
      </c>
      <c r="L2849" s="591" t="s">
        <v>160</v>
      </c>
      <c r="M2849" s="591" t="s">
        <v>292</v>
      </c>
      <c r="N2849" s="525" t="str">
        <f>IF(AND('331-CT'!$E$7=TH!H2849,OR(L2849="331",M2849="331")),"331",IF(AND(OR(L2849="131",M2849="131"),H2849='131-CT'!$E$7),"131",""))</f>
        <v/>
      </c>
      <c r="O2849" s="525" t="str">
        <f>IF(AND($B2849&gt;='111'!$N$11,$B2849&lt;='111'!$O$11,OR($L2849=$O$7,$M2849=$O$7)),"x","")</f>
        <v/>
      </c>
      <c r="P2849" s="525" t="str">
        <f>IF(AND($L2849=$O$7,$B2849&lt;'111'!$N$11),"x","")</f>
        <v/>
      </c>
      <c r="Q2849" s="525" t="str">
        <f>IF(AND($M2849=$O$7,$B2849&lt;'111'!$N$11),"x","")</f>
        <v/>
      </c>
      <c r="R2849" s="525" t="str">
        <f>IF(ISERROR(FIND('112'!$M$9,G2849,1)),"",IF((AND(FIND('112'!$M$9,G2849,1)&gt;=1,$B2849&gt;='112'!$N$8,$B2849&lt;='112'!$O$8,OR($L2849='112'!$I$6,$M2849='112'!$I$6))),"x",""))</f>
        <v/>
      </c>
      <c r="S2849" s="525" t="str">
        <f>IF(ISERROR(FIND('112'!$M$9,G2849,1)),"",IF((AND(LEFT(G2849,2)=LEFT('112'!$M$9,2),B2849&lt;'112'!$N$8,$L2849='112'!$I$6)),"x",""))</f>
        <v/>
      </c>
      <c r="T2849" s="525" t="str">
        <f>IF(ISERROR(FIND('112'!$M$9,G2849,1)),"",IF((AND(RIGHT(G2849,2)=RIGHT('112'!$M$9,2),B2849&lt;'112'!$N$8,$M2849='112'!$I$6)),"x",""))</f>
        <v/>
      </c>
      <c r="U2849" s="525" t="str">
        <f>IF(AND(B2849&gt;='IN-NX'!$P$3,B2849&lt;='IN-NX'!$Q$3,'IN-NX'!$D$7=D2849,OR(LEFT(L2849,2)="15",AND(LEFT(M2849,2)&lt;&gt;"15",LEFT(M2849,2)&lt;&gt;"33"))),"x","")</f>
        <v/>
      </c>
      <c r="V2849" s="525" t="str">
        <f>IF(AND(OR(LEFT(TH!L2849,2)="15",LEFT(TH!M2849,2)="15"),'152-CT'!$J$8=TH!F2849),"x","")</f>
        <v/>
      </c>
      <c r="W2849" s="525" t="str">
        <f>IF(AND(OR(LEFT(TH!L2849,2)="15",LEFT(TH!M2849,2)="15"),TK!$E$7=TH!F2849),"x","")</f>
        <v/>
      </c>
      <c r="X2849" s="525" t="str">
        <f>IF(AND('341-CT'!$E$9=H2849,OR(LEFT(L2849,3)=$X$7,LEFT(M2849,3)=$X$7)),"x","")</f>
        <v/>
      </c>
      <c r="Y2849" s="525" t="str">
        <f>IF(OR(TH!L2849=TH!$Y$7,M2849=TH!$Y$7),"x","")</f>
        <v/>
      </c>
      <c r="Z2849" s="525" t="str">
        <f>IF(AND(B2849&lt;=NKC!$N$8,B2849&gt;=NKC!$M$8),"x","")</f>
        <v/>
      </c>
      <c r="AA2849" s="526"/>
      <c r="AB2849" s="527"/>
    </row>
    <row r="2850" spans="1:31" s="576" customFormat="1" ht="15.75" customHeight="1">
      <c r="A2850" s="517" t="str">
        <f>IF(B2850&lt;&gt;"",IF(AND(B2850&gt;=_TM1,B2850&lt;=_TM2,OR(TH!L2850="1111",TH!M2850="1111")),TH!D2850,""),"")</f>
        <v/>
      </c>
      <c r="B2850" s="518">
        <f t="shared" si="246"/>
        <v>4</v>
      </c>
      <c r="C2850" s="571">
        <f t="shared" si="247"/>
        <v>42853</v>
      </c>
      <c r="D2850" s="519" t="s">
        <v>996</v>
      </c>
      <c r="E2850" s="571">
        <v>42853</v>
      </c>
      <c r="F2850" s="572" t="s">
        <v>1000</v>
      </c>
      <c r="G2850" s="579" t="s">
        <v>1116</v>
      </c>
      <c r="H2850" s="574" t="s">
        <v>800</v>
      </c>
      <c r="I2850" s="523">
        <v>20</v>
      </c>
      <c r="J2850" s="523">
        <v>29631</v>
      </c>
      <c r="K2850" s="575">
        <f t="shared" si="245"/>
        <v>592620</v>
      </c>
      <c r="L2850" s="591" t="s">
        <v>160</v>
      </c>
      <c r="M2850" s="591" t="s">
        <v>292</v>
      </c>
      <c r="N2850" s="525" t="str">
        <f>IF(AND('331-CT'!$E$7=TH!H2850,OR(L2850="331",M2850="331")),"331",IF(AND(OR(L2850="131",M2850="131"),H2850='131-CT'!$E$7),"131",""))</f>
        <v/>
      </c>
      <c r="O2850" s="525" t="str">
        <f>IF(AND($B2850&gt;='111'!$N$11,$B2850&lt;='111'!$O$11,OR($L2850=$O$7,$M2850=$O$7)),"x","")</f>
        <v/>
      </c>
      <c r="P2850" s="525" t="str">
        <f>IF(AND($L2850=$O$7,$B2850&lt;'111'!$N$11),"x","")</f>
        <v/>
      </c>
      <c r="Q2850" s="525" t="str">
        <f>IF(AND($M2850=$O$7,$B2850&lt;'111'!$N$11),"x","")</f>
        <v/>
      </c>
      <c r="R2850" s="525" t="str">
        <f>IF(ISERROR(FIND('112'!$M$9,G2850,1)),"",IF((AND(FIND('112'!$M$9,G2850,1)&gt;=1,$B2850&gt;='112'!$N$8,$B2850&lt;='112'!$O$8,OR($L2850='112'!$I$6,$M2850='112'!$I$6))),"x",""))</f>
        <v/>
      </c>
      <c r="S2850" s="525" t="str">
        <f>IF(ISERROR(FIND('112'!$M$9,G2850,1)),"",IF((AND(LEFT(G2850,2)=LEFT('112'!$M$9,2),B2850&lt;'112'!$N$8,$L2850='112'!$I$6)),"x",""))</f>
        <v/>
      </c>
      <c r="T2850" s="525" t="str">
        <f>IF(ISERROR(FIND('112'!$M$9,G2850,1)),"",IF((AND(RIGHT(G2850,2)=RIGHT('112'!$M$9,2),B2850&lt;'112'!$N$8,$M2850='112'!$I$6)),"x",""))</f>
        <v/>
      </c>
      <c r="U2850" s="525" t="str">
        <f>IF(AND(B2850&gt;='IN-NX'!$P$3,B2850&lt;='IN-NX'!$Q$3,'IN-NX'!$D$7=D2850,OR(LEFT(L2850,2)="15",AND(LEFT(M2850,2)&lt;&gt;"15",LEFT(M2850,2)&lt;&gt;"33"))),"x","")</f>
        <v/>
      </c>
      <c r="V2850" s="525" t="str">
        <f>IF(AND(OR(LEFT(TH!L2850,2)="15",LEFT(TH!M2850,2)="15"),'152-CT'!$J$8=TH!F2850),"x","")</f>
        <v/>
      </c>
      <c r="W2850" s="525" t="str">
        <f>IF(AND(OR(LEFT(TH!L2850,2)="15",LEFT(TH!M2850,2)="15"),TK!$E$7=TH!F2850),"x","")</f>
        <v/>
      </c>
      <c r="X2850" s="525" t="str">
        <f>IF(AND('341-CT'!$E$9=H2850,OR(LEFT(L2850,3)=$X$7,LEFT(M2850,3)=$X$7)),"x","")</f>
        <v/>
      </c>
      <c r="Y2850" s="525" t="str">
        <f>IF(OR(TH!L2850=TH!$Y$7,M2850=TH!$Y$7),"x","")</f>
        <v/>
      </c>
      <c r="Z2850" s="525" t="str">
        <f>IF(AND(B2850&lt;=NKC!$N$8,B2850&gt;=NKC!$M$8),"x","")</f>
        <v/>
      </c>
      <c r="AA2850" s="526"/>
      <c r="AB2850" s="527"/>
    </row>
    <row r="2851" spans="1:31" s="576" customFormat="1" ht="15.75" customHeight="1">
      <c r="A2851" s="517" t="str">
        <f>IF(B2851&lt;&gt;"",IF(AND(B2851&gt;=_TM1,B2851&lt;=_TM2,OR(TH!L2851="1111",TH!M2851="1111")),TH!D2851,""),"")</f>
        <v/>
      </c>
      <c r="B2851" s="518">
        <f t="shared" si="246"/>
        <v>4</v>
      </c>
      <c r="C2851" s="571">
        <f t="shared" si="247"/>
        <v>42853</v>
      </c>
      <c r="D2851" s="519" t="s">
        <v>996</v>
      </c>
      <c r="E2851" s="571">
        <v>42853</v>
      </c>
      <c r="F2851" s="520" t="s">
        <v>695</v>
      </c>
      <c r="G2851" s="579" t="s">
        <v>1116</v>
      </c>
      <c r="H2851" s="574" t="s">
        <v>800</v>
      </c>
      <c r="I2851" s="523">
        <v>10</v>
      </c>
      <c r="J2851" s="523">
        <v>103608</v>
      </c>
      <c r="K2851" s="575">
        <f t="shared" si="245"/>
        <v>1036080</v>
      </c>
      <c r="L2851" s="591" t="s">
        <v>160</v>
      </c>
      <c r="M2851" s="591" t="s">
        <v>292</v>
      </c>
      <c r="N2851" s="525" t="str">
        <f>IF(AND('331-CT'!$E$7=TH!H2851,OR(L2851="331",M2851="331")),"331",IF(AND(OR(L2851="131",M2851="131"),H2851='131-CT'!$E$7),"131",""))</f>
        <v/>
      </c>
      <c r="O2851" s="525" t="str">
        <f>IF(AND($B2851&gt;='111'!$N$11,$B2851&lt;='111'!$O$11,OR($L2851=$O$7,$M2851=$O$7)),"x","")</f>
        <v/>
      </c>
      <c r="P2851" s="525" t="str">
        <f>IF(AND($L2851=$O$7,$B2851&lt;'111'!$N$11),"x","")</f>
        <v/>
      </c>
      <c r="Q2851" s="525" t="str">
        <f>IF(AND($M2851=$O$7,$B2851&lt;'111'!$N$11),"x","")</f>
        <v/>
      </c>
      <c r="R2851" s="525" t="str">
        <f>IF(ISERROR(FIND('112'!$M$9,G2851,1)),"",IF((AND(FIND('112'!$M$9,G2851,1)&gt;=1,$B2851&gt;='112'!$N$8,$B2851&lt;='112'!$O$8,OR($L2851='112'!$I$6,$M2851='112'!$I$6))),"x",""))</f>
        <v/>
      </c>
      <c r="S2851" s="525" t="str">
        <f>IF(ISERROR(FIND('112'!$M$9,G2851,1)),"",IF((AND(LEFT(G2851,2)=LEFT('112'!$M$9,2),B2851&lt;'112'!$N$8,$L2851='112'!$I$6)),"x",""))</f>
        <v/>
      </c>
      <c r="T2851" s="525" t="str">
        <f>IF(ISERROR(FIND('112'!$M$9,G2851,1)),"",IF((AND(RIGHT(G2851,2)=RIGHT('112'!$M$9,2),B2851&lt;'112'!$N$8,$M2851='112'!$I$6)),"x",""))</f>
        <v/>
      </c>
      <c r="U2851" s="525" t="str">
        <f>IF(AND(B2851&gt;='IN-NX'!$P$3,B2851&lt;='IN-NX'!$Q$3,'IN-NX'!$D$7=D2851,OR(LEFT(L2851,2)="15",AND(LEFT(M2851,2)&lt;&gt;"15",LEFT(M2851,2)&lt;&gt;"33"))),"x","")</f>
        <v/>
      </c>
      <c r="V2851" s="525" t="str">
        <f>IF(AND(OR(LEFT(TH!L2851,2)="15",LEFT(TH!M2851,2)="15"),'152-CT'!$J$8=TH!F2851),"x","")</f>
        <v/>
      </c>
      <c r="W2851" s="525" t="str">
        <f>IF(AND(OR(LEFT(TH!L2851,2)="15",LEFT(TH!M2851,2)="15"),TK!$E$7=TH!F2851),"x","")</f>
        <v/>
      </c>
      <c r="X2851" s="525" t="str">
        <f>IF(AND('341-CT'!$E$9=H2851,OR(LEFT(L2851,3)=$X$7,LEFT(M2851,3)=$X$7)),"x","")</f>
        <v/>
      </c>
      <c r="Y2851" s="525" t="str">
        <f>IF(OR(TH!L2851=TH!$Y$7,M2851=TH!$Y$7),"x","")</f>
        <v/>
      </c>
      <c r="Z2851" s="525" t="str">
        <f>IF(AND(B2851&lt;=NKC!$N$8,B2851&gt;=NKC!$M$8),"x","")</f>
        <v/>
      </c>
      <c r="AA2851" s="526"/>
      <c r="AB2851" s="527"/>
    </row>
    <row r="2852" spans="1:31" s="576" customFormat="1" ht="15.75" customHeight="1">
      <c r="A2852" s="517" t="str">
        <f>IF(B2852&lt;&gt;"",IF(AND(B2852&gt;=_TM1,B2852&lt;=_TM2,OR(TH!L2852="1111",TH!M2852="1111")),TH!D2852,""),"")</f>
        <v/>
      </c>
      <c r="B2852" s="518">
        <f t="shared" si="246"/>
        <v>4</v>
      </c>
      <c r="C2852" s="571">
        <f t="shared" si="247"/>
        <v>42853</v>
      </c>
      <c r="D2852" s="519" t="s">
        <v>996</v>
      </c>
      <c r="E2852" s="571">
        <v>42853</v>
      </c>
      <c r="F2852" s="520" t="s">
        <v>706</v>
      </c>
      <c r="G2852" s="579" t="s">
        <v>1116</v>
      </c>
      <c r="H2852" s="574" t="s">
        <v>800</v>
      </c>
      <c r="I2852" s="523">
        <v>8</v>
      </c>
      <c r="J2852" s="523">
        <v>24338</v>
      </c>
      <c r="K2852" s="575">
        <f t="shared" si="245"/>
        <v>194704</v>
      </c>
      <c r="L2852" s="591" t="s">
        <v>160</v>
      </c>
      <c r="M2852" s="591" t="s">
        <v>292</v>
      </c>
      <c r="N2852" s="525" t="str">
        <f>IF(AND('331-CT'!$E$7=TH!H2852,OR(L2852="331",M2852="331")),"331",IF(AND(OR(L2852="131",M2852="131"),H2852='131-CT'!$E$7),"131",""))</f>
        <v/>
      </c>
      <c r="O2852" s="525" t="str">
        <f>IF(AND($B2852&gt;='111'!$N$11,$B2852&lt;='111'!$O$11,OR($L2852=$O$7,$M2852=$O$7)),"x","")</f>
        <v/>
      </c>
      <c r="P2852" s="525" t="str">
        <f>IF(AND($L2852=$O$7,$B2852&lt;'111'!$N$11),"x","")</f>
        <v/>
      </c>
      <c r="Q2852" s="525" t="str">
        <f>IF(AND($M2852=$O$7,$B2852&lt;'111'!$N$11),"x","")</f>
        <v/>
      </c>
      <c r="R2852" s="525" t="str">
        <f>IF(ISERROR(FIND('112'!$M$9,G2852,1)),"",IF((AND(FIND('112'!$M$9,G2852,1)&gt;=1,$B2852&gt;='112'!$N$8,$B2852&lt;='112'!$O$8,OR($L2852='112'!$I$6,$M2852='112'!$I$6))),"x",""))</f>
        <v/>
      </c>
      <c r="S2852" s="525" t="str">
        <f>IF(ISERROR(FIND('112'!$M$9,G2852,1)),"",IF((AND(LEFT(G2852,2)=LEFT('112'!$M$9,2),B2852&lt;'112'!$N$8,$L2852='112'!$I$6)),"x",""))</f>
        <v/>
      </c>
      <c r="T2852" s="525" t="str">
        <f>IF(ISERROR(FIND('112'!$M$9,G2852,1)),"",IF((AND(RIGHT(G2852,2)=RIGHT('112'!$M$9,2),B2852&lt;'112'!$N$8,$M2852='112'!$I$6)),"x",""))</f>
        <v/>
      </c>
      <c r="U2852" s="525" t="str">
        <f>IF(AND(B2852&gt;='IN-NX'!$P$3,B2852&lt;='IN-NX'!$Q$3,'IN-NX'!$D$7=D2852,OR(LEFT(L2852,2)="15",AND(LEFT(M2852,2)&lt;&gt;"15",LEFT(M2852,2)&lt;&gt;"33"))),"x","")</f>
        <v/>
      </c>
      <c r="V2852" s="525" t="str">
        <f>IF(AND(OR(LEFT(TH!L2852,2)="15",LEFT(TH!M2852,2)="15"),'152-CT'!$J$8=TH!F2852),"x","")</f>
        <v/>
      </c>
      <c r="W2852" s="525" t="str">
        <f>IF(AND(OR(LEFT(TH!L2852,2)="15",LEFT(TH!M2852,2)="15"),TK!$E$7=TH!F2852),"x","")</f>
        <v/>
      </c>
      <c r="X2852" s="525" t="str">
        <f>IF(AND('341-CT'!$E$9=H2852,OR(LEFT(L2852,3)=$X$7,LEFT(M2852,3)=$X$7)),"x","")</f>
        <v/>
      </c>
      <c r="Y2852" s="525" t="str">
        <f>IF(OR(TH!L2852=TH!$Y$7,M2852=TH!$Y$7),"x","")</f>
        <v/>
      </c>
      <c r="Z2852" s="525" t="str">
        <f>IF(AND(B2852&lt;=NKC!$N$8,B2852&gt;=NKC!$M$8),"x","")</f>
        <v/>
      </c>
      <c r="AA2852" s="526"/>
      <c r="AB2852" s="527"/>
    </row>
    <row r="2853" spans="1:31" s="576" customFormat="1" ht="15.75" customHeight="1">
      <c r="A2853" s="517" t="str">
        <f>IF(B2853&lt;&gt;"",IF(AND(B2853&gt;=_TM1,B2853&lt;=_TM2,OR(TH!L2853="1111",TH!M2853="1111")),TH!D2853,""),"")</f>
        <v/>
      </c>
      <c r="B2853" s="518">
        <f t="shared" si="246"/>
        <v>4</v>
      </c>
      <c r="C2853" s="571">
        <f t="shared" si="247"/>
        <v>42853</v>
      </c>
      <c r="D2853" s="519" t="s">
        <v>996</v>
      </c>
      <c r="E2853" s="571">
        <v>42853</v>
      </c>
      <c r="F2853" s="520" t="s">
        <v>622</v>
      </c>
      <c r="G2853" s="579" t="s">
        <v>1116</v>
      </c>
      <c r="H2853" s="574" t="s">
        <v>800</v>
      </c>
      <c r="I2853" s="523">
        <v>20</v>
      </c>
      <c r="J2853" s="523">
        <v>8077</v>
      </c>
      <c r="K2853" s="575">
        <f t="shared" si="245"/>
        <v>161540</v>
      </c>
      <c r="L2853" s="591" t="s">
        <v>160</v>
      </c>
      <c r="M2853" s="591" t="s">
        <v>292</v>
      </c>
      <c r="N2853" s="525" t="str">
        <f>IF(AND('331-CT'!$E$7=TH!H2853,OR(L2853="331",M2853="331")),"331",IF(AND(OR(L2853="131",M2853="131"),H2853='131-CT'!$E$7),"131",""))</f>
        <v/>
      </c>
      <c r="O2853" s="525" t="str">
        <f>IF(AND($B2853&gt;='111'!$N$11,$B2853&lt;='111'!$O$11,OR($L2853=$O$7,$M2853=$O$7)),"x","")</f>
        <v/>
      </c>
      <c r="P2853" s="525" t="str">
        <f>IF(AND($L2853=$O$7,$B2853&lt;'111'!$N$11),"x","")</f>
        <v/>
      </c>
      <c r="Q2853" s="525" t="str">
        <f>IF(AND($M2853=$O$7,$B2853&lt;'111'!$N$11),"x","")</f>
        <v/>
      </c>
      <c r="R2853" s="525" t="str">
        <f>IF(ISERROR(FIND('112'!$M$9,G2853,1)),"",IF((AND(FIND('112'!$M$9,G2853,1)&gt;=1,$B2853&gt;='112'!$N$8,$B2853&lt;='112'!$O$8,OR($L2853='112'!$I$6,$M2853='112'!$I$6))),"x",""))</f>
        <v/>
      </c>
      <c r="S2853" s="525" t="str">
        <f>IF(ISERROR(FIND('112'!$M$9,G2853,1)),"",IF((AND(LEFT(G2853,2)=LEFT('112'!$M$9,2),B2853&lt;'112'!$N$8,$L2853='112'!$I$6)),"x",""))</f>
        <v/>
      </c>
      <c r="T2853" s="525" t="str">
        <f>IF(ISERROR(FIND('112'!$M$9,G2853,1)),"",IF((AND(RIGHT(G2853,2)=RIGHT('112'!$M$9,2),B2853&lt;'112'!$N$8,$M2853='112'!$I$6)),"x",""))</f>
        <v/>
      </c>
      <c r="U2853" s="525" t="str">
        <f>IF(AND(B2853&gt;='IN-NX'!$P$3,B2853&lt;='IN-NX'!$Q$3,'IN-NX'!$D$7=D2853,OR(LEFT(L2853,2)="15",AND(LEFT(M2853,2)&lt;&gt;"15",LEFT(M2853,2)&lt;&gt;"33"))),"x","")</f>
        <v/>
      </c>
      <c r="V2853" s="525" t="str">
        <f>IF(AND(OR(LEFT(TH!L2853,2)="15",LEFT(TH!M2853,2)="15"),'152-CT'!$J$8=TH!F2853),"x","")</f>
        <v/>
      </c>
      <c r="W2853" s="525" t="str">
        <f>IF(AND(OR(LEFT(TH!L2853,2)="15",LEFT(TH!M2853,2)="15"),TK!$E$7=TH!F2853),"x","")</f>
        <v/>
      </c>
      <c r="X2853" s="525" t="str">
        <f>IF(AND('341-CT'!$E$9=H2853,OR(LEFT(L2853,3)=$X$7,LEFT(M2853,3)=$X$7)),"x","")</f>
        <v/>
      </c>
      <c r="Y2853" s="525" t="str">
        <f>IF(OR(TH!L2853=TH!$Y$7,M2853=TH!$Y$7),"x","")</f>
        <v/>
      </c>
      <c r="Z2853" s="525" t="str">
        <f>IF(AND(B2853&lt;=NKC!$N$8,B2853&gt;=NKC!$M$8),"x","")</f>
        <v/>
      </c>
      <c r="AA2853" s="526"/>
      <c r="AB2853" s="527"/>
    </row>
    <row r="2854" spans="1:31" s="576" customFormat="1" ht="15.75" customHeight="1">
      <c r="A2854" s="517" t="str">
        <f>IF(B2854&lt;&gt;"",IF(AND(B2854&gt;=_TM1,B2854&lt;=_TM2,OR(TH!L2854="1111",TH!M2854="1111")),TH!D2854,""),"")</f>
        <v/>
      </c>
      <c r="B2854" s="518">
        <f t="shared" si="246"/>
        <v>4</v>
      </c>
      <c r="C2854" s="571">
        <f t="shared" si="247"/>
        <v>42853</v>
      </c>
      <c r="D2854" s="519" t="s">
        <v>996</v>
      </c>
      <c r="E2854" s="571">
        <v>42853</v>
      </c>
      <c r="F2854" s="520" t="s">
        <v>614</v>
      </c>
      <c r="G2854" s="579" t="s">
        <v>1116</v>
      </c>
      <c r="H2854" s="574" t="s">
        <v>800</v>
      </c>
      <c r="I2854" s="523">
        <v>20</v>
      </c>
      <c r="J2854" s="523">
        <v>17324</v>
      </c>
      <c r="K2854" s="575">
        <f t="shared" si="245"/>
        <v>346480</v>
      </c>
      <c r="L2854" s="591" t="s">
        <v>160</v>
      </c>
      <c r="M2854" s="591" t="s">
        <v>292</v>
      </c>
      <c r="N2854" s="525" t="str">
        <f>IF(AND('331-CT'!$E$7=TH!H2854,OR(L2854="331",M2854="331")),"331",IF(AND(OR(L2854="131",M2854="131"),H2854='131-CT'!$E$7),"131",""))</f>
        <v/>
      </c>
      <c r="O2854" s="525" t="str">
        <f>IF(AND($B2854&gt;='111'!$N$11,$B2854&lt;='111'!$O$11,OR($L2854=$O$7,$M2854=$O$7)),"x","")</f>
        <v/>
      </c>
      <c r="P2854" s="525" t="str">
        <f>IF(AND($L2854=$O$7,$B2854&lt;'111'!$N$11),"x","")</f>
        <v/>
      </c>
      <c r="Q2854" s="525" t="str">
        <f>IF(AND($M2854=$O$7,$B2854&lt;'111'!$N$11),"x","")</f>
        <v/>
      </c>
      <c r="R2854" s="525" t="str">
        <f>IF(ISERROR(FIND('112'!$M$9,G2854,1)),"",IF((AND(FIND('112'!$M$9,G2854,1)&gt;=1,$B2854&gt;='112'!$N$8,$B2854&lt;='112'!$O$8,OR($L2854='112'!$I$6,$M2854='112'!$I$6))),"x",""))</f>
        <v/>
      </c>
      <c r="S2854" s="525" t="str">
        <f>IF(ISERROR(FIND('112'!$M$9,G2854,1)),"",IF((AND(LEFT(G2854,2)=LEFT('112'!$M$9,2),B2854&lt;'112'!$N$8,$L2854='112'!$I$6)),"x",""))</f>
        <v/>
      </c>
      <c r="T2854" s="525" t="str">
        <f>IF(ISERROR(FIND('112'!$M$9,G2854,1)),"",IF((AND(RIGHT(G2854,2)=RIGHT('112'!$M$9,2),B2854&lt;'112'!$N$8,$M2854='112'!$I$6)),"x",""))</f>
        <v/>
      </c>
      <c r="U2854" s="525" t="str">
        <f>IF(AND(B2854&gt;='IN-NX'!$P$3,B2854&lt;='IN-NX'!$Q$3,'IN-NX'!$D$7=D2854,OR(LEFT(L2854,2)="15",AND(LEFT(M2854,2)&lt;&gt;"15",LEFT(M2854,2)&lt;&gt;"33"))),"x","")</f>
        <v/>
      </c>
      <c r="V2854" s="525" t="str">
        <f>IF(AND(OR(LEFT(TH!L2854,2)="15",LEFT(TH!M2854,2)="15"),'152-CT'!$J$8=TH!F2854),"x","")</f>
        <v/>
      </c>
      <c r="W2854" s="525" t="str">
        <f>IF(AND(OR(LEFT(TH!L2854,2)="15",LEFT(TH!M2854,2)="15"),TK!$E$7=TH!F2854),"x","")</f>
        <v/>
      </c>
      <c r="X2854" s="525" t="str">
        <f>IF(AND('341-CT'!$E$9=H2854,OR(LEFT(L2854,3)=$X$7,LEFT(M2854,3)=$X$7)),"x","")</f>
        <v/>
      </c>
      <c r="Y2854" s="525" t="str">
        <f>IF(OR(TH!L2854=TH!$Y$7,M2854=TH!$Y$7),"x","")</f>
        <v/>
      </c>
      <c r="Z2854" s="525" t="str">
        <f>IF(AND(B2854&lt;=NKC!$N$8,B2854&gt;=NKC!$M$8),"x","")</f>
        <v/>
      </c>
      <c r="AA2854" s="526"/>
      <c r="AB2854" s="527"/>
    </row>
    <row r="2855" spans="1:31" s="576" customFormat="1" ht="15.75" customHeight="1">
      <c r="A2855" s="517" t="str">
        <f>IF(B2855&lt;&gt;"",IF(AND(B2855&gt;=_TM1,B2855&lt;=_TM2,OR(TH!L2855="1111",TH!M2855="1111")),TH!D2855,""),"")</f>
        <v/>
      </c>
      <c r="B2855" s="518">
        <f t="shared" si="246"/>
        <v>4</v>
      </c>
      <c r="C2855" s="571">
        <f t="shared" si="247"/>
        <v>42853</v>
      </c>
      <c r="D2855" s="519" t="s">
        <v>996</v>
      </c>
      <c r="E2855" s="571">
        <v>42853</v>
      </c>
      <c r="F2855" s="520" t="s">
        <v>615</v>
      </c>
      <c r="G2855" s="579" t="s">
        <v>1116</v>
      </c>
      <c r="H2855" s="574" t="s">
        <v>800</v>
      </c>
      <c r="I2855" s="523">
        <v>20</v>
      </c>
      <c r="J2855" s="523">
        <v>35090</v>
      </c>
      <c r="K2855" s="575">
        <f t="shared" si="245"/>
        <v>701800</v>
      </c>
      <c r="L2855" s="591" t="s">
        <v>160</v>
      </c>
      <c r="M2855" s="591" t="s">
        <v>292</v>
      </c>
      <c r="N2855" s="525" t="str">
        <f>IF(AND('331-CT'!$E$7=TH!H2855,OR(L2855="331",M2855="331")),"331",IF(AND(OR(L2855="131",M2855="131"),H2855='131-CT'!$E$7),"131",""))</f>
        <v/>
      </c>
      <c r="O2855" s="525" t="str">
        <f>IF(AND($B2855&gt;='111'!$N$11,$B2855&lt;='111'!$O$11,OR($L2855=$O$7,$M2855=$O$7)),"x","")</f>
        <v/>
      </c>
      <c r="P2855" s="525" t="str">
        <f>IF(AND($L2855=$O$7,$B2855&lt;'111'!$N$11),"x","")</f>
        <v/>
      </c>
      <c r="Q2855" s="525" t="str">
        <f>IF(AND($M2855=$O$7,$B2855&lt;'111'!$N$11),"x","")</f>
        <v/>
      </c>
      <c r="R2855" s="525" t="str">
        <f>IF(ISERROR(FIND('112'!$M$9,G2855,1)),"",IF((AND(FIND('112'!$M$9,G2855,1)&gt;=1,$B2855&gt;='112'!$N$8,$B2855&lt;='112'!$O$8,OR($L2855='112'!$I$6,$M2855='112'!$I$6))),"x",""))</f>
        <v/>
      </c>
      <c r="S2855" s="525" t="str">
        <f>IF(ISERROR(FIND('112'!$M$9,G2855,1)),"",IF((AND(LEFT(G2855,2)=LEFT('112'!$M$9,2),B2855&lt;'112'!$N$8,$L2855='112'!$I$6)),"x",""))</f>
        <v/>
      </c>
      <c r="T2855" s="525" t="str">
        <f>IF(ISERROR(FIND('112'!$M$9,G2855,1)),"",IF((AND(RIGHT(G2855,2)=RIGHT('112'!$M$9,2),B2855&lt;'112'!$N$8,$M2855='112'!$I$6)),"x",""))</f>
        <v/>
      </c>
      <c r="U2855" s="525" t="str">
        <f>IF(AND(B2855&gt;='IN-NX'!$P$3,B2855&lt;='IN-NX'!$Q$3,'IN-NX'!$D$7=D2855,OR(LEFT(L2855,2)="15",AND(LEFT(M2855,2)&lt;&gt;"15",LEFT(M2855,2)&lt;&gt;"33"))),"x","")</f>
        <v/>
      </c>
      <c r="V2855" s="525" t="str">
        <f>IF(AND(OR(LEFT(TH!L2855,2)="15",LEFT(TH!M2855,2)="15"),'152-CT'!$J$8=TH!F2855),"x","")</f>
        <v/>
      </c>
      <c r="W2855" s="525" t="str">
        <f>IF(AND(OR(LEFT(TH!L2855,2)="15",LEFT(TH!M2855,2)="15"),TK!$E$7=TH!F2855),"x","")</f>
        <v/>
      </c>
      <c r="X2855" s="525" t="str">
        <f>IF(AND('341-CT'!$E$9=H2855,OR(LEFT(L2855,3)=$X$7,LEFT(M2855,3)=$X$7)),"x","")</f>
        <v/>
      </c>
      <c r="Y2855" s="525" t="str">
        <f>IF(OR(TH!L2855=TH!$Y$7,M2855=TH!$Y$7),"x","")</f>
        <v/>
      </c>
      <c r="Z2855" s="525" t="str">
        <f>IF(AND(B2855&lt;=NKC!$N$8,B2855&gt;=NKC!$M$8),"x","")</f>
        <v/>
      </c>
      <c r="AA2855" s="526"/>
      <c r="AB2855" s="527"/>
    </row>
    <row r="2856" spans="1:31" s="576" customFormat="1" ht="15.75" customHeight="1">
      <c r="A2856" s="517" t="str">
        <f>IF(B2856&lt;&gt;"",IF(AND(B2856&gt;=_TM1,B2856&lt;=_TM2,OR(TH!L2856="1111",TH!M2856="1111")),TH!D2856,""),"")</f>
        <v/>
      </c>
      <c r="B2856" s="518">
        <f t="shared" si="246"/>
        <v>4</v>
      </c>
      <c r="C2856" s="571">
        <f t="shared" si="247"/>
        <v>42853</v>
      </c>
      <c r="D2856" s="519" t="s">
        <v>996</v>
      </c>
      <c r="E2856" s="571">
        <v>42853</v>
      </c>
      <c r="F2856" s="520" t="s">
        <v>1013</v>
      </c>
      <c r="G2856" s="579" t="s">
        <v>1116</v>
      </c>
      <c r="H2856" s="574" t="s">
        <v>800</v>
      </c>
      <c r="I2856" s="523">
        <v>20</v>
      </c>
      <c r="J2856" s="523">
        <v>22089</v>
      </c>
      <c r="K2856" s="575">
        <f t="shared" si="245"/>
        <v>441780</v>
      </c>
      <c r="L2856" s="591" t="s">
        <v>160</v>
      </c>
      <c r="M2856" s="591" t="s">
        <v>292</v>
      </c>
      <c r="N2856" s="525" t="str">
        <f>IF(AND('331-CT'!$E$7=TH!H2856,OR(L2856="331",M2856="331")),"331",IF(AND(OR(L2856="131",M2856="131"),H2856='131-CT'!$E$7),"131",""))</f>
        <v/>
      </c>
      <c r="O2856" s="525" t="str">
        <f>IF(AND($B2856&gt;='111'!$N$11,$B2856&lt;='111'!$O$11,OR($L2856=$O$7,$M2856=$O$7)),"x","")</f>
        <v/>
      </c>
      <c r="P2856" s="525" t="str">
        <f>IF(AND($L2856=$O$7,$B2856&lt;'111'!$N$11),"x","")</f>
        <v/>
      </c>
      <c r="Q2856" s="525" t="str">
        <f>IF(AND($M2856=$O$7,$B2856&lt;'111'!$N$11),"x","")</f>
        <v/>
      </c>
      <c r="R2856" s="525" t="str">
        <f>IF(ISERROR(FIND('112'!$M$9,G2856,1)),"",IF((AND(FIND('112'!$M$9,G2856,1)&gt;=1,$B2856&gt;='112'!$N$8,$B2856&lt;='112'!$O$8,OR($L2856='112'!$I$6,$M2856='112'!$I$6))),"x",""))</f>
        <v/>
      </c>
      <c r="S2856" s="525" t="str">
        <f>IF(ISERROR(FIND('112'!$M$9,G2856,1)),"",IF((AND(LEFT(G2856,2)=LEFT('112'!$M$9,2),B2856&lt;'112'!$N$8,$L2856='112'!$I$6)),"x",""))</f>
        <v/>
      </c>
      <c r="T2856" s="525" t="str">
        <f>IF(ISERROR(FIND('112'!$M$9,G2856,1)),"",IF((AND(RIGHT(G2856,2)=RIGHT('112'!$M$9,2),B2856&lt;'112'!$N$8,$M2856='112'!$I$6)),"x",""))</f>
        <v/>
      </c>
      <c r="U2856" s="525" t="str">
        <f>IF(AND(B2856&gt;='IN-NX'!$P$3,B2856&lt;='IN-NX'!$Q$3,'IN-NX'!$D$7=D2856,OR(LEFT(L2856,2)="15",AND(LEFT(M2856,2)&lt;&gt;"15",LEFT(M2856,2)&lt;&gt;"33"))),"x","")</f>
        <v/>
      </c>
      <c r="V2856" s="525" t="str">
        <f>IF(AND(OR(LEFT(TH!L2856,2)="15",LEFT(TH!M2856,2)="15"),'152-CT'!$J$8=TH!F2856),"x","")</f>
        <v/>
      </c>
      <c r="W2856" s="525" t="str">
        <f>IF(AND(OR(LEFT(TH!L2856,2)="15",LEFT(TH!M2856,2)="15"),TK!$E$7=TH!F2856),"x","")</f>
        <v/>
      </c>
      <c r="X2856" s="525" t="str">
        <f>IF(AND('341-CT'!$E$9=H2856,OR(LEFT(L2856,3)=$X$7,LEFT(M2856,3)=$X$7)),"x","")</f>
        <v/>
      </c>
      <c r="Y2856" s="525" t="str">
        <f>IF(OR(TH!L2856=TH!$Y$7,M2856=TH!$Y$7),"x","")</f>
        <v/>
      </c>
      <c r="Z2856" s="525" t="str">
        <f>IF(AND(B2856&lt;=NKC!$N$8,B2856&gt;=NKC!$M$8),"x","")</f>
        <v/>
      </c>
      <c r="AA2856" s="526"/>
      <c r="AB2856" s="527"/>
    </row>
    <row r="2857" spans="1:31" s="576" customFormat="1" ht="15.75" customHeight="1">
      <c r="A2857" s="517" t="str">
        <f>IF(B2857&lt;&gt;"",IF(AND(B2857&gt;=_TM1,B2857&lt;=_TM2,OR(TH!L2857="1111",TH!M2857="1111")),TH!D2857,""),"")</f>
        <v/>
      </c>
      <c r="B2857" s="518">
        <f t="shared" si="246"/>
        <v>4</v>
      </c>
      <c r="C2857" s="571">
        <f t="shared" si="247"/>
        <v>42853</v>
      </c>
      <c r="D2857" s="519" t="s">
        <v>996</v>
      </c>
      <c r="E2857" s="571">
        <v>42853</v>
      </c>
      <c r="F2857" s="520" t="s">
        <v>1014</v>
      </c>
      <c r="G2857" s="579" t="s">
        <v>1116</v>
      </c>
      <c r="H2857" s="574" t="s">
        <v>800</v>
      </c>
      <c r="I2857" s="523">
        <v>20</v>
      </c>
      <c r="J2857" s="523">
        <v>43309</v>
      </c>
      <c r="K2857" s="575">
        <f t="shared" si="245"/>
        <v>866180</v>
      </c>
      <c r="L2857" s="591" t="s">
        <v>160</v>
      </c>
      <c r="M2857" s="591" t="s">
        <v>292</v>
      </c>
      <c r="N2857" s="525" t="str">
        <f>IF(AND('331-CT'!$E$7=TH!H2857,OR(L2857="331",M2857="331")),"331",IF(AND(OR(L2857="131",M2857="131"),H2857='131-CT'!$E$7),"131",""))</f>
        <v/>
      </c>
      <c r="O2857" s="525" t="str">
        <f>IF(AND($B2857&gt;='111'!$N$11,$B2857&lt;='111'!$O$11,OR($L2857=$O$7,$M2857=$O$7)),"x","")</f>
        <v/>
      </c>
      <c r="P2857" s="525" t="str">
        <f>IF(AND($L2857=$O$7,$B2857&lt;'111'!$N$11),"x","")</f>
        <v/>
      </c>
      <c r="Q2857" s="525" t="str">
        <f>IF(AND($M2857=$O$7,$B2857&lt;'111'!$N$11),"x","")</f>
        <v/>
      </c>
      <c r="R2857" s="525" t="str">
        <f>IF(ISERROR(FIND('112'!$M$9,G2857,1)),"",IF((AND(FIND('112'!$M$9,G2857,1)&gt;=1,$B2857&gt;='112'!$N$8,$B2857&lt;='112'!$O$8,OR($L2857='112'!$I$6,$M2857='112'!$I$6))),"x",""))</f>
        <v/>
      </c>
      <c r="S2857" s="525" t="str">
        <f>IF(ISERROR(FIND('112'!$M$9,G2857,1)),"",IF((AND(LEFT(G2857,2)=LEFT('112'!$M$9,2),B2857&lt;'112'!$N$8,$L2857='112'!$I$6)),"x",""))</f>
        <v/>
      </c>
      <c r="T2857" s="525" t="str">
        <f>IF(ISERROR(FIND('112'!$M$9,G2857,1)),"",IF((AND(RIGHT(G2857,2)=RIGHT('112'!$M$9,2),B2857&lt;'112'!$N$8,$M2857='112'!$I$6)),"x",""))</f>
        <v/>
      </c>
      <c r="U2857" s="525" t="str">
        <f>IF(AND(B2857&gt;='IN-NX'!$P$3,B2857&lt;='IN-NX'!$Q$3,'IN-NX'!$D$7=D2857,OR(LEFT(L2857,2)="15",AND(LEFT(M2857,2)&lt;&gt;"15",LEFT(M2857,2)&lt;&gt;"33"))),"x","")</f>
        <v/>
      </c>
      <c r="V2857" s="525" t="str">
        <f>IF(AND(OR(LEFT(TH!L2857,2)="15",LEFT(TH!M2857,2)="15"),'152-CT'!$J$8=TH!F2857),"x","")</f>
        <v/>
      </c>
      <c r="W2857" s="525" t="str">
        <f>IF(AND(OR(LEFT(TH!L2857,2)="15",LEFT(TH!M2857,2)="15"),TK!$E$7=TH!F2857),"x","")</f>
        <v/>
      </c>
      <c r="X2857" s="525" t="str">
        <f>IF(AND('341-CT'!$E$9=H2857,OR(LEFT(L2857,3)=$X$7,LEFT(M2857,3)=$X$7)),"x","")</f>
        <v/>
      </c>
      <c r="Y2857" s="525" t="str">
        <f>IF(OR(TH!L2857=TH!$Y$7,M2857=TH!$Y$7),"x","")</f>
        <v/>
      </c>
      <c r="Z2857" s="525" t="str">
        <f>IF(AND(B2857&lt;=NKC!$N$8,B2857&gt;=NKC!$M$8),"x","")</f>
        <v/>
      </c>
      <c r="AA2857" s="526"/>
      <c r="AB2857" s="527"/>
    </row>
    <row r="2858" spans="1:31" s="576" customFormat="1" ht="15.75" customHeight="1">
      <c r="A2858" s="517" t="str">
        <f>IF(B2858&lt;&gt;"",IF(AND(B2858&gt;=_TM1,B2858&lt;=_TM2,OR(TH!L2858="1111",TH!M2858="1111")),TH!D2858,""),"")</f>
        <v/>
      </c>
      <c r="B2858" s="518">
        <f t="shared" si="246"/>
        <v>4</v>
      </c>
      <c r="C2858" s="571">
        <f t="shared" si="247"/>
        <v>42853</v>
      </c>
      <c r="D2858" s="519" t="s">
        <v>996</v>
      </c>
      <c r="E2858" s="571">
        <v>42853</v>
      </c>
      <c r="F2858" s="520" t="s">
        <v>624</v>
      </c>
      <c r="G2858" s="579" t="s">
        <v>1116</v>
      </c>
      <c r="H2858" s="574" t="s">
        <v>800</v>
      </c>
      <c r="I2858" s="523">
        <v>12</v>
      </c>
      <c r="J2858" s="523">
        <v>34679</v>
      </c>
      <c r="K2858" s="575">
        <f t="shared" si="245"/>
        <v>416148</v>
      </c>
      <c r="L2858" s="591" t="s">
        <v>160</v>
      </c>
      <c r="M2858" s="591" t="s">
        <v>292</v>
      </c>
      <c r="N2858" s="525" t="str">
        <f>IF(AND('331-CT'!$E$7=TH!H2858,OR(L2858="331",M2858="331")),"331",IF(AND(OR(L2858="131",M2858="131"),H2858='131-CT'!$E$7),"131",""))</f>
        <v/>
      </c>
      <c r="O2858" s="525" t="str">
        <f>IF(AND($B2858&gt;='111'!$N$11,$B2858&lt;='111'!$O$11,OR($L2858=$O$7,$M2858=$O$7)),"x","")</f>
        <v/>
      </c>
      <c r="P2858" s="525" t="str">
        <f>IF(AND($L2858=$O$7,$B2858&lt;'111'!$N$11),"x","")</f>
        <v/>
      </c>
      <c r="Q2858" s="525" t="str">
        <f>IF(AND($M2858=$O$7,$B2858&lt;'111'!$N$11),"x","")</f>
        <v/>
      </c>
      <c r="R2858" s="525" t="str">
        <f>IF(ISERROR(FIND('112'!$M$9,G2858,1)),"",IF((AND(FIND('112'!$M$9,G2858,1)&gt;=1,$B2858&gt;='112'!$N$8,$B2858&lt;='112'!$O$8,OR($L2858='112'!$I$6,$M2858='112'!$I$6))),"x",""))</f>
        <v/>
      </c>
      <c r="S2858" s="525" t="str">
        <f>IF(ISERROR(FIND('112'!$M$9,G2858,1)),"",IF((AND(LEFT(G2858,2)=LEFT('112'!$M$9,2),B2858&lt;'112'!$N$8,$L2858='112'!$I$6)),"x",""))</f>
        <v/>
      </c>
      <c r="T2858" s="525" t="str">
        <f>IF(ISERROR(FIND('112'!$M$9,G2858,1)),"",IF((AND(RIGHT(G2858,2)=RIGHT('112'!$M$9,2),B2858&lt;'112'!$N$8,$M2858='112'!$I$6)),"x",""))</f>
        <v/>
      </c>
      <c r="U2858" s="525" t="str">
        <f>IF(AND(B2858&gt;='IN-NX'!$P$3,B2858&lt;='IN-NX'!$Q$3,'IN-NX'!$D$7=D2858,OR(LEFT(L2858,2)="15",AND(LEFT(M2858,2)&lt;&gt;"15",LEFT(M2858,2)&lt;&gt;"33"))),"x","")</f>
        <v/>
      </c>
      <c r="V2858" s="525" t="str">
        <f>IF(AND(OR(LEFT(TH!L2858,2)="15",LEFT(TH!M2858,2)="15"),'152-CT'!$J$8=TH!F2858),"x","")</f>
        <v/>
      </c>
      <c r="W2858" s="525" t="str">
        <f>IF(AND(OR(LEFT(TH!L2858,2)="15",LEFT(TH!M2858,2)="15"),TK!$E$7=TH!F2858),"x","")</f>
        <v/>
      </c>
      <c r="X2858" s="525" t="str">
        <f>IF(AND('341-CT'!$E$9=H2858,OR(LEFT(L2858,3)=$X$7,LEFT(M2858,3)=$X$7)),"x","")</f>
        <v/>
      </c>
      <c r="Y2858" s="525" t="str">
        <f>IF(OR(TH!L2858=TH!$Y$7,M2858=TH!$Y$7),"x","")</f>
        <v/>
      </c>
      <c r="Z2858" s="525" t="str">
        <f>IF(AND(B2858&lt;=NKC!$N$8,B2858&gt;=NKC!$M$8),"x","")</f>
        <v/>
      </c>
      <c r="AA2858" s="526"/>
      <c r="AB2858" s="527"/>
    </row>
    <row r="2859" spans="1:31" s="576" customFormat="1" ht="15.75" customHeight="1">
      <c r="A2859" s="517" t="str">
        <f>IF(B2859&lt;&gt;"",IF(AND(B2859&gt;=_TM1,B2859&lt;=_TM2,OR(TH!L2859="1111",TH!M2859="1111")),TH!D2859,""),"")</f>
        <v/>
      </c>
      <c r="B2859" s="518">
        <f t="shared" si="246"/>
        <v>4</v>
      </c>
      <c r="C2859" s="571">
        <f t="shared" si="247"/>
        <v>42853</v>
      </c>
      <c r="D2859" s="519" t="s">
        <v>996</v>
      </c>
      <c r="E2859" s="571">
        <v>42853</v>
      </c>
      <c r="F2859" s="520" t="s">
        <v>625</v>
      </c>
      <c r="G2859" s="579" t="s">
        <v>1116</v>
      </c>
      <c r="H2859" s="574" t="s">
        <v>800</v>
      </c>
      <c r="I2859" s="523">
        <v>42</v>
      </c>
      <c r="J2859" s="523">
        <v>37367</v>
      </c>
      <c r="K2859" s="575">
        <f t="shared" si="245"/>
        <v>1569414</v>
      </c>
      <c r="L2859" s="591" t="s">
        <v>160</v>
      </c>
      <c r="M2859" s="591" t="s">
        <v>292</v>
      </c>
      <c r="N2859" s="525" t="str">
        <f>IF(AND('331-CT'!$E$7=TH!H2859,OR(L2859="331",M2859="331")),"331",IF(AND(OR(L2859="131",M2859="131"),H2859='131-CT'!$E$7),"131",""))</f>
        <v/>
      </c>
      <c r="O2859" s="525" t="str">
        <f>IF(AND($B2859&gt;='111'!$N$11,$B2859&lt;='111'!$O$11,OR($L2859=$O$7,$M2859=$O$7)),"x","")</f>
        <v/>
      </c>
      <c r="P2859" s="525" t="str">
        <f>IF(AND($L2859=$O$7,$B2859&lt;'111'!$N$11),"x","")</f>
        <v/>
      </c>
      <c r="Q2859" s="525" t="str">
        <f>IF(AND($M2859=$O$7,$B2859&lt;'111'!$N$11),"x","")</f>
        <v/>
      </c>
      <c r="R2859" s="525" t="str">
        <f>IF(ISERROR(FIND('112'!$M$9,G2859,1)),"",IF((AND(FIND('112'!$M$9,G2859,1)&gt;=1,$B2859&gt;='112'!$N$8,$B2859&lt;='112'!$O$8,OR($L2859='112'!$I$6,$M2859='112'!$I$6))),"x",""))</f>
        <v/>
      </c>
      <c r="S2859" s="525" t="str">
        <f>IF(ISERROR(FIND('112'!$M$9,G2859,1)),"",IF((AND(LEFT(G2859,2)=LEFT('112'!$M$9,2),B2859&lt;'112'!$N$8,$L2859='112'!$I$6)),"x",""))</f>
        <v/>
      </c>
      <c r="T2859" s="525" t="str">
        <f>IF(ISERROR(FIND('112'!$M$9,G2859,1)),"",IF((AND(RIGHT(G2859,2)=RIGHT('112'!$M$9,2),B2859&lt;'112'!$N$8,$M2859='112'!$I$6)),"x",""))</f>
        <v/>
      </c>
      <c r="U2859" s="525" t="str">
        <f>IF(AND(B2859&gt;='IN-NX'!$P$3,B2859&lt;='IN-NX'!$Q$3,'IN-NX'!$D$7=D2859,OR(LEFT(L2859,2)="15",AND(LEFT(M2859,2)&lt;&gt;"15",LEFT(M2859,2)&lt;&gt;"33"))),"x","")</f>
        <v/>
      </c>
      <c r="V2859" s="525" t="str">
        <f>IF(AND(OR(LEFT(TH!L2859,2)="15",LEFT(TH!M2859,2)="15"),'152-CT'!$J$8=TH!F2859),"x","")</f>
        <v/>
      </c>
      <c r="W2859" s="525" t="str">
        <f>IF(AND(OR(LEFT(TH!L2859,2)="15",LEFT(TH!M2859,2)="15"),TK!$E$7=TH!F2859),"x","")</f>
        <v/>
      </c>
      <c r="X2859" s="525" t="str">
        <f>IF(AND('341-CT'!$E$9=H2859,OR(LEFT(L2859,3)=$X$7,LEFT(M2859,3)=$X$7)),"x","")</f>
        <v/>
      </c>
      <c r="Y2859" s="525" t="str">
        <f>IF(OR(TH!L2859=TH!$Y$7,M2859=TH!$Y$7),"x","")</f>
        <v/>
      </c>
      <c r="Z2859" s="525" t="str">
        <f>IF(AND(B2859&lt;=NKC!$N$8,B2859&gt;=NKC!$M$8),"x","")</f>
        <v/>
      </c>
      <c r="AA2859" s="526"/>
      <c r="AB2859" s="527"/>
    </row>
    <row r="2860" spans="1:31" s="576" customFormat="1" ht="15.75" customHeight="1">
      <c r="A2860" s="517" t="str">
        <f>IF(B2860&lt;&gt;"",IF(AND(B2860&gt;=_TM1,B2860&lt;=_TM2,OR(TH!L2860="1111",TH!M2860="1111")),TH!D2860,""),"")</f>
        <v/>
      </c>
      <c r="B2860" s="518">
        <f t="shared" si="246"/>
        <v>4</v>
      </c>
      <c r="C2860" s="571">
        <f t="shared" si="247"/>
        <v>42853</v>
      </c>
      <c r="D2860" s="519" t="s">
        <v>996</v>
      </c>
      <c r="E2860" s="571">
        <v>42853</v>
      </c>
      <c r="F2860" s="520" t="s">
        <v>627</v>
      </c>
      <c r="G2860" s="579" t="s">
        <v>1116</v>
      </c>
      <c r="H2860" s="574" t="s">
        <v>800</v>
      </c>
      <c r="I2860" s="523">
        <v>4</v>
      </c>
      <c r="J2860" s="523">
        <v>32633</v>
      </c>
      <c r="K2860" s="575">
        <f t="shared" si="245"/>
        <v>130532</v>
      </c>
      <c r="L2860" s="591" t="s">
        <v>160</v>
      </c>
      <c r="M2860" s="591" t="s">
        <v>292</v>
      </c>
      <c r="N2860" s="525" t="str">
        <f>IF(AND('331-CT'!$E$7=TH!H2860,OR(L2860="331",M2860="331")),"331",IF(AND(OR(L2860="131",M2860="131"),H2860='131-CT'!$E$7),"131",""))</f>
        <v/>
      </c>
      <c r="O2860" s="525" t="str">
        <f>IF(AND($B2860&gt;='111'!$N$11,$B2860&lt;='111'!$O$11,OR($L2860=$O$7,$M2860=$O$7)),"x","")</f>
        <v/>
      </c>
      <c r="P2860" s="525" t="str">
        <f>IF(AND($L2860=$O$7,$B2860&lt;'111'!$N$11),"x","")</f>
        <v/>
      </c>
      <c r="Q2860" s="525" t="str">
        <f>IF(AND($M2860=$O$7,$B2860&lt;'111'!$N$11),"x","")</f>
        <v/>
      </c>
      <c r="R2860" s="525" t="str">
        <f>IF(ISERROR(FIND('112'!$M$9,G2860,1)),"",IF((AND(FIND('112'!$M$9,G2860,1)&gt;=1,$B2860&gt;='112'!$N$8,$B2860&lt;='112'!$O$8,OR($L2860='112'!$I$6,$M2860='112'!$I$6))),"x",""))</f>
        <v/>
      </c>
      <c r="S2860" s="525" t="str">
        <f>IF(ISERROR(FIND('112'!$M$9,G2860,1)),"",IF((AND(LEFT(G2860,2)=LEFT('112'!$M$9,2),B2860&lt;'112'!$N$8,$L2860='112'!$I$6)),"x",""))</f>
        <v/>
      </c>
      <c r="T2860" s="525" t="str">
        <f>IF(ISERROR(FIND('112'!$M$9,G2860,1)),"",IF((AND(RIGHT(G2860,2)=RIGHT('112'!$M$9,2),B2860&lt;'112'!$N$8,$M2860='112'!$I$6)),"x",""))</f>
        <v/>
      </c>
      <c r="U2860" s="525" t="str">
        <f>IF(AND(B2860&gt;='IN-NX'!$P$3,B2860&lt;='IN-NX'!$Q$3,'IN-NX'!$D$7=D2860,OR(LEFT(L2860,2)="15",AND(LEFT(M2860,2)&lt;&gt;"15",LEFT(M2860,2)&lt;&gt;"33"))),"x","")</f>
        <v/>
      </c>
      <c r="V2860" s="525" t="str">
        <f>IF(AND(OR(LEFT(TH!L2860,2)="15",LEFT(TH!M2860,2)="15"),'152-CT'!$J$8=TH!F2860),"x","")</f>
        <v/>
      </c>
      <c r="W2860" s="525" t="str">
        <f>IF(AND(OR(LEFT(TH!L2860,2)="15",LEFT(TH!M2860,2)="15"),TK!$E$7=TH!F2860),"x","")</f>
        <v/>
      </c>
      <c r="X2860" s="525" t="str">
        <f>IF(AND('341-CT'!$E$9=H2860,OR(LEFT(L2860,3)=$X$7,LEFT(M2860,3)=$X$7)),"x","")</f>
        <v/>
      </c>
      <c r="Y2860" s="525" t="str">
        <f>IF(OR(TH!L2860=TH!$Y$7,M2860=TH!$Y$7),"x","")</f>
        <v/>
      </c>
      <c r="Z2860" s="525" t="str">
        <f>IF(AND(B2860&lt;=NKC!$N$8,B2860&gt;=NKC!$M$8),"x","")</f>
        <v/>
      </c>
      <c r="AA2860" s="526"/>
      <c r="AB2860" s="527"/>
    </row>
    <row r="2861" spans="1:31" s="576" customFormat="1" ht="15.75" customHeight="1">
      <c r="A2861" s="517" t="str">
        <f>IF(B2861&lt;&gt;"",IF(AND(B2861&gt;=_TM1,B2861&lt;=_TM2,OR(TH!L2861="1111",TH!M2861="1111")),TH!D2861,""),"")</f>
        <v/>
      </c>
      <c r="B2861" s="518">
        <f t="shared" si="246"/>
        <v>4</v>
      </c>
      <c r="C2861" s="571">
        <f t="shared" si="247"/>
        <v>42853</v>
      </c>
      <c r="D2861" s="519" t="s">
        <v>996</v>
      </c>
      <c r="E2861" s="571">
        <v>42853</v>
      </c>
      <c r="F2861" s="520" t="s">
        <v>628</v>
      </c>
      <c r="G2861" s="579" t="s">
        <v>1116</v>
      </c>
      <c r="H2861" s="574" t="s">
        <v>800</v>
      </c>
      <c r="I2861" s="523">
        <v>5</v>
      </c>
      <c r="J2861" s="523">
        <v>97228</v>
      </c>
      <c r="K2861" s="575">
        <f t="shared" si="245"/>
        <v>486140</v>
      </c>
      <c r="L2861" s="591" t="s">
        <v>160</v>
      </c>
      <c r="M2861" s="591" t="s">
        <v>292</v>
      </c>
      <c r="N2861" s="525" t="str">
        <f>IF(AND('331-CT'!$E$7=TH!H2861,OR(L2861="331",M2861="331")),"331",IF(AND(OR(L2861="131",M2861="131"),H2861='131-CT'!$E$7),"131",""))</f>
        <v/>
      </c>
      <c r="O2861" s="525" t="str">
        <f>IF(AND($B2861&gt;='111'!$N$11,$B2861&lt;='111'!$O$11,OR($L2861=$O$7,$M2861=$O$7)),"x","")</f>
        <v/>
      </c>
      <c r="P2861" s="525" t="str">
        <f>IF(AND($L2861=$O$7,$B2861&lt;'111'!$N$11),"x","")</f>
        <v/>
      </c>
      <c r="Q2861" s="525" t="str">
        <f>IF(AND($M2861=$O$7,$B2861&lt;'111'!$N$11),"x","")</f>
        <v/>
      </c>
      <c r="R2861" s="525" t="str">
        <f>IF(ISERROR(FIND('112'!$M$9,G2861,1)),"",IF((AND(FIND('112'!$M$9,G2861,1)&gt;=1,$B2861&gt;='112'!$N$8,$B2861&lt;='112'!$O$8,OR($L2861='112'!$I$6,$M2861='112'!$I$6))),"x",""))</f>
        <v/>
      </c>
      <c r="S2861" s="525" t="str">
        <f>IF(ISERROR(FIND('112'!$M$9,G2861,1)),"",IF((AND(LEFT(G2861,2)=LEFT('112'!$M$9,2),B2861&lt;'112'!$N$8,$L2861='112'!$I$6)),"x",""))</f>
        <v/>
      </c>
      <c r="T2861" s="525" t="str">
        <f>IF(ISERROR(FIND('112'!$M$9,G2861,1)),"",IF((AND(RIGHT(G2861,2)=RIGHT('112'!$M$9,2),B2861&lt;'112'!$N$8,$M2861='112'!$I$6)),"x",""))</f>
        <v/>
      </c>
      <c r="U2861" s="525" t="str">
        <f>IF(AND(B2861&gt;='IN-NX'!$P$3,B2861&lt;='IN-NX'!$Q$3,'IN-NX'!$D$7=D2861,OR(LEFT(L2861,2)="15",AND(LEFT(M2861,2)&lt;&gt;"15",LEFT(M2861,2)&lt;&gt;"33"))),"x","")</f>
        <v/>
      </c>
      <c r="V2861" s="525" t="str">
        <f>IF(AND(OR(LEFT(TH!L2861,2)="15",LEFT(TH!M2861,2)="15"),'152-CT'!$J$8=TH!F2861),"x","")</f>
        <v/>
      </c>
      <c r="W2861" s="525" t="str">
        <f>IF(AND(OR(LEFT(TH!L2861,2)="15",LEFT(TH!M2861,2)="15"),TK!$E$7=TH!F2861),"x","")</f>
        <v/>
      </c>
      <c r="X2861" s="525" t="str">
        <f>IF(AND('341-CT'!$E$9=H2861,OR(LEFT(L2861,3)=$X$7,LEFT(M2861,3)=$X$7)),"x","")</f>
        <v/>
      </c>
      <c r="Y2861" s="525" t="str">
        <f>IF(OR(TH!L2861=TH!$Y$7,M2861=TH!$Y$7),"x","")</f>
        <v/>
      </c>
      <c r="Z2861" s="525" t="str">
        <f>IF(AND(B2861&lt;=NKC!$N$8,B2861&gt;=NKC!$M$8),"x","")</f>
        <v/>
      </c>
      <c r="AA2861" s="526"/>
      <c r="AB2861" s="527"/>
    </row>
    <row r="2862" spans="1:31" s="527" customFormat="1" ht="15.75" customHeight="1">
      <c r="A2862" s="517" t="str">
        <f>IF(B2862&lt;&gt;"",IF(AND(B2862&gt;=_TM1,B2862&lt;=_TM2,OR(TH!L2862="1111",TH!M2862="1111")),TH!D2862,""),"")</f>
        <v/>
      </c>
      <c r="B2862" s="518">
        <f t="shared" si="246"/>
        <v>4</v>
      </c>
      <c r="C2862" s="571">
        <f t="shared" si="247"/>
        <v>42853</v>
      </c>
      <c r="D2862" s="519" t="s">
        <v>996</v>
      </c>
      <c r="E2862" s="571">
        <v>42853</v>
      </c>
      <c r="F2862" s="520" t="s">
        <v>1015</v>
      </c>
      <c r="G2862" s="579" t="s">
        <v>1116</v>
      </c>
      <c r="H2862" s="574" t="s">
        <v>800</v>
      </c>
      <c r="I2862" s="523">
        <v>4</v>
      </c>
      <c r="J2862" s="523">
        <v>16616</v>
      </c>
      <c r="K2862" s="575">
        <f t="shared" si="245"/>
        <v>66464</v>
      </c>
      <c r="L2862" s="591" t="s">
        <v>160</v>
      </c>
      <c r="M2862" s="591" t="s">
        <v>292</v>
      </c>
      <c r="N2862" s="525" t="str">
        <f>IF(AND('331-CT'!$E$7=TH!H2862,OR(L2862="331",M2862="331")),"331",IF(AND(OR(L2862="131",M2862="131"),H2862='131-CT'!$E$7),"131",""))</f>
        <v/>
      </c>
      <c r="O2862" s="525" t="str">
        <f>IF(AND($B2862&gt;='111'!$N$11,$B2862&lt;='111'!$O$11,OR($L2862=$O$7,$M2862=$O$7)),"x","")</f>
        <v/>
      </c>
      <c r="P2862" s="525" t="str">
        <f>IF(AND($L2862=$O$7,$B2862&lt;'111'!$N$11),"x","")</f>
        <v/>
      </c>
      <c r="Q2862" s="525" t="str">
        <f>IF(AND($M2862=$O$7,$B2862&lt;'111'!$N$11),"x","")</f>
        <v/>
      </c>
      <c r="R2862" s="525" t="str">
        <f>IF(ISERROR(FIND('112'!$M$9,G2862,1)),"",IF((AND(FIND('112'!$M$9,G2862,1)&gt;=1,$B2862&gt;='112'!$N$8,$B2862&lt;='112'!$O$8,OR($L2862='112'!$I$6,$M2862='112'!$I$6))),"x",""))</f>
        <v/>
      </c>
      <c r="S2862" s="525" t="str">
        <f>IF(ISERROR(FIND('112'!$M$9,G2862,1)),"",IF((AND(LEFT(G2862,2)=LEFT('112'!$M$9,2),B2862&lt;'112'!$N$8,$L2862='112'!$I$6)),"x",""))</f>
        <v/>
      </c>
      <c r="T2862" s="525" t="str">
        <f>IF(ISERROR(FIND('112'!$M$9,G2862,1)),"",IF((AND(RIGHT(G2862,2)=RIGHT('112'!$M$9,2),B2862&lt;'112'!$N$8,$M2862='112'!$I$6)),"x",""))</f>
        <v/>
      </c>
      <c r="U2862" s="525" t="str">
        <f>IF(AND(B2862&gt;='IN-NX'!$P$3,B2862&lt;='IN-NX'!$Q$3,'IN-NX'!$D$7=D2862,OR(LEFT(L2862,2)="15",AND(LEFT(M2862,2)&lt;&gt;"15",LEFT(M2862,2)&lt;&gt;"33"))),"x","")</f>
        <v/>
      </c>
      <c r="V2862" s="525" t="str">
        <f>IF(AND(OR(LEFT(TH!L2862,2)="15",LEFT(TH!M2862,2)="15"),'152-CT'!$J$8=TH!F2862),"x","")</f>
        <v/>
      </c>
      <c r="W2862" s="525" t="str">
        <f>IF(AND(OR(LEFT(TH!L2862,2)="15",LEFT(TH!M2862,2)="15"),TK!$E$7=TH!F2862),"x","")</f>
        <v/>
      </c>
      <c r="X2862" s="525" t="str">
        <f>IF(AND('341-CT'!$E$9=H2862,OR(LEFT(L2862,3)=$X$7,LEFT(M2862,3)=$X$7)),"x","")</f>
        <v/>
      </c>
      <c r="Y2862" s="525" t="str">
        <f>IF(OR(TH!L2862=TH!$Y$7,M2862=TH!$Y$7),"x","")</f>
        <v/>
      </c>
      <c r="Z2862" s="525" t="str">
        <f>IF(AND(B2862&lt;=NKC!$N$8,B2862&gt;=NKC!$M$8),"x","")</f>
        <v/>
      </c>
      <c r="AA2862" s="526"/>
      <c r="AC2862" s="576"/>
      <c r="AD2862" s="576"/>
      <c r="AE2862" s="576"/>
    </row>
    <row r="2863" spans="1:31" s="527" customFormat="1" ht="15.75" customHeight="1">
      <c r="A2863" s="517" t="str">
        <f>IF(B2863&lt;&gt;"",IF(AND(B2863&gt;=_TM1,B2863&lt;=_TM2,OR(TH!L2863="1111",TH!M2863="1111")),TH!D2863,""),"")</f>
        <v/>
      </c>
      <c r="B2863" s="518">
        <f t="shared" si="246"/>
        <v>4</v>
      </c>
      <c r="C2863" s="571">
        <f t="shared" si="247"/>
        <v>42853</v>
      </c>
      <c r="D2863" s="519" t="s">
        <v>996</v>
      </c>
      <c r="E2863" s="571">
        <v>42853</v>
      </c>
      <c r="F2863" s="520" t="s">
        <v>631</v>
      </c>
      <c r="G2863" s="579" t="s">
        <v>1116</v>
      </c>
      <c r="H2863" s="574" t="s">
        <v>800</v>
      </c>
      <c r="I2863" s="523">
        <v>8</v>
      </c>
      <c r="J2863" s="523">
        <v>28011</v>
      </c>
      <c r="K2863" s="575">
        <f t="shared" si="245"/>
        <v>224088</v>
      </c>
      <c r="L2863" s="591" t="s">
        <v>160</v>
      </c>
      <c r="M2863" s="591" t="s">
        <v>292</v>
      </c>
      <c r="N2863" s="525" t="str">
        <f>IF(AND('331-CT'!$E$7=TH!H2863,OR(L2863="331",M2863="331")),"331",IF(AND(OR(L2863="131",M2863="131"),H2863='131-CT'!$E$7),"131",""))</f>
        <v/>
      </c>
      <c r="O2863" s="525" t="str">
        <f>IF(AND($B2863&gt;='111'!$N$11,$B2863&lt;='111'!$O$11,OR($L2863=$O$7,$M2863=$O$7)),"x","")</f>
        <v/>
      </c>
      <c r="P2863" s="525" t="str">
        <f>IF(AND($L2863=$O$7,$B2863&lt;'111'!$N$11),"x","")</f>
        <v/>
      </c>
      <c r="Q2863" s="525" t="str">
        <f>IF(AND($M2863=$O$7,$B2863&lt;'111'!$N$11),"x","")</f>
        <v/>
      </c>
      <c r="R2863" s="525" t="str">
        <f>IF(ISERROR(FIND('112'!$M$9,G2863,1)),"",IF((AND(FIND('112'!$M$9,G2863,1)&gt;=1,$B2863&gt;='112'!$N$8,$B2863&lt;='112'!$O$8,OR($L2863='112'!$I$6,$M2863='112'!$I$6))),"x",""))</f>
        <v/>
      </c>
      <c r="S2863" s="525" t="str">
        <f>IF(ISERROR(FIND('112'!$M$9,G2863,1)),"",IF((AND(LEFT(G2863,2)=LEFT('112'!$M$9,2),B2863&lt;'112'!$N$8,$L2863='112'!$I$6)),"x",""))</f>
        <v/>
      </c>
      <c r="T2863" s="525" t="str">
        <f>IF(ISERROR(FIND('112'!$M$9,G2863,1)),"",IF((AND(RIGHT(G2863,2)=RIGHT('112'!$M$9,2),B2863&lt;'112'!$N$8,$M2863='112'!$I$6)),"x",""))</f>
        <v/>
      </c>
      <c r="U2863" s="525" t="str">
        <f>IF(AND(B2863&gt;='IN-NX'!$P$3,B2863&lt;='IN-NX'!$Q$3,'IN-NX'!$D$7=D2863,OR(LEFT(L2863,2)="15",AND(LEFT(M2863,2)&lt;&gt;"15",LEFT(M2863,2)&lt;&gt;"33"))),"x","")</f>
        <v/>
      </c>
      <c r="V2863" s="525" t="str">
        <f>IF(AND(OR(LEFT(TH!L2863,2)="15",LEFT(TH!M2863,2)="15"),'152-CT'!$J$8=TH!F2863),"x","")</f>
        <v/>
      </c>
      <c r="W2863" s="525" t="str">
        <f>IF(AND(OR(LEFT(TH!L2863,2)="15",LEFT(TH!M2863,2)="15"),TK!$E$7=TH!F2863),"x","")</f>
        <v/>
      </c>
      <c r="X2863" s="525" t="str">
        <f>IF(AND('341-CT'!$E$9=H2863,OR(LEFT(L2863,3)=$X$7,LEFT(M2863,3)=$X$7)),"x","")</f>
        <v/>
      </c>
      <c r="Y2863" s="525" t="str">
        <f>IF(OR(TH!L2863=TH!$Y$7,M2863=TH!$Y$7),"x","")</f>
        <v/>
      </c>
      <c r="Z2863" s="525" t="str">
        <f>IF(AND(B2863&lt;=NKC!$N$8,B2863&gt;=NKC!$M$8),"x","")</f>
        <v/>
      </c>
      <c r="AA2863" s="526"/>
      <c r="AC2863" s="576"/>
      <c r="AD2863" s="576"/>
      <c r="AE2863" s="576"/>
    </row>
    <row r="2864" spans="1:31" s="527" customFormat="1" ht="15.75" customHeight="1">
      <c r="A2864" s="517" t="str">
        <f>IF(B2864&lt;&gt;"",IF(AND(B2864&gt;=_TM1,B2864&lt;=_TM2,OR(TH!L2864="1111",TH!M2864="1111")),TH!D2864,""),"")</f>
        <v/>
      </c>
      <c r="B2864" s="518">
        <f t="shared" si="246"/>
        <v>4</v>
      </c>
      <c r="C2864" s="571">
        <f t="shared" si="247"/>
        <v>42853</v>
      </c>
      <c r="D2864" s="519" t="s">
        <v>996</v>
      </c>
      <c r="E2864" s="571">
        <v>42853</v>
      </c>
      <c r="F2864" s="520" t="s">
        <v>1016</v>
      </c>
      <c r="G2864" s="579" t="s">
        <v>1116</v>
      </c>
      <c r="H2864" s="574" t="s">
        <v>800</v>
      </c>
      <c r="I2864" s="523">
        <v>8</v>
      </c>
      <c r="J2864" s="523">
        <v>34262</v>
      </c>
      <c r="K2864" s="575">
        <f t="shared" si="245"/>
        <v>274096</v>
      </c>
      <c r="L2864" s="591" t="s">
        <v>160</v>
      </c>
      <c r="M2864" s="591" t="s">
        <v>292</v>
      </c>
      <c r="N2864" s="525" t="str">
        <f>IF(AND('331-CT'!$E$7=TH!H2864,OR(L2864="331",M2864="331")),"331",IF(AND(OR(L2864="131",M2864="131"),H2864='131-CT'!$E$7),"131",""))</f>
        <v/>
      </c>
      <c r="O2864" s="525" t="str">
        <f>IF(AND($B2864&gt;='111'!$N$11,$B2864&lt;='111'!$O$11,OR($L2864=$O$7,$M2864=$O$7)),"x","")</f>
        <v/>
      </c>
      <c r="P2864" s="525" t="str">
        <f>IF(AND($L2864=$O$7,$B2864&lt;'111'!$N$11),"x","")</f>
        <v/>
      </c>
      <c r="Q2864" s="525" t="str">
        <f>IF(AND($M2864=$O$7,$B2864&lt;'111'!$N$11),"x","")</f>
        <v/>
      </c>
      <c r="R2864" s="525" t="str">
        <f>IF(ISERROR(FIND('112'!$M$9,G2864,1)),"",IF((AND(FIND('112'!$M$9,G2864,1)&gt;=1,$B2864&gt;='112'!$N$8,$B2864&lt;='112'!$O$8,OR($L2864='112'!$I$6,$M2864='112'!$I$6))),"x",""))</f>
        <v/>
      </c>
      <c r="S2864" s="525" t="str">
        <f>IF(ISERROR(FIND('112'!$M$9,G2864,1)),"",IF((AND(LEFT(G2864,2)=LEFT('112'!$M$9,2),B2864&lt;'112'!$N$8,$L2864='112'!$I$6)),"x",""))</f>
        <v/>
      </c>
      <c r="T2864" s="525" t="str">
        <f>IF(ISERROR(FIND('112'!$M$9,G2864,1)),"",IF((AND(RIGHT(G2864,2)=RIGHT('112'!$M$9,2),B2864&lt;'112'!$N$8,$M2864='112'!$I$6)),"x",""))</f>
        <v/>
      </c>
      <c r="U2864" s="525" t="str">
        <f>IF(AND(B2864&gt;='IN-NX'!$P$3,B2864&lt;='IN-NX'!$Q$3,'IN-NX'!$D$7=D2864,OR(LEFT(L2864,2)="15",AND(LEFT(M2864,2)&lt;&gt;"15",LEFT(M2864,2)&lt;&gt;"33"))),"x","")</f>
        <v/>
      </c>
      <c r="V2864" s="525" t="str">
        <f>IF(AND(OR(LEFT(TH!L2864,2)="15",LEFT(TH!M2864,2)="15"),'152-CT'!$J$8=TH!F2864),"x","")</f>
        <v/>
      </c>
      <c r="W2864" s="525" t="str">
        <f>IF(AND(OR(LEFT(TH!L2864,2)="15",LEFT(TH!M2864,2)="15"),TK!$E$7=TH!F2864),"x","")</f>
        <v/>
      </c>
      <c r="X2864" s="525" t="str">
        <f>IF(AND('341-CT'!$E$9=H2864,OR(LEFT(L2864,3)=$X$7,LEFT(M2864,3)=$X$7)),"x","")</f>
        <v/>
      </c>
      <c r="Y2864" s="525" t="str">
        <f>IF(OR(TH!L2864=TH!$Y$7,M2864=TH!$Y$7),"x","")</f>
        <v/>
      </c>
      <c r="Z2864" s="525" t="str">
        <f>IF(AND(B2864&lt;=NKC!$N$8,B2864&gt;=NKC!$M$8),"x","")</f>
        <v/>
      </c>
      <c r="AA2864" s="526"/>
      <c r="AC2864" s="576"/>
      <c r="AD2864" s="576"/>
      <c r="AE2864" s="576"/>
    </row>
    <row r="2865" spans="1:31" s="527" customFormat="1" ht="15.75" customHeight="1">
      <c r="A2865" s="517" t="str">
        <f>IF(B2865&lt;&gt;"",IF(AND(B2865&gt;=_TM1,B2865&lt;=_TM2,OR(TH!L2865="1111",TH!M2865="1111")),TH!D2865,""),"")</f>
        <v/>
      </c>
      <c r="B2865" s="518">
        <f t="shared" si="246"/>
        <v>4</v>
      </c>
      <c r="C2865" s="571">
        <f t="shared" si="247"/>
        <v>42853</v>
      </c>
      <c r="D2865" s="519" t="s">
        <v>996</v>
      </c>
      <c r="E2865" s="571">
        <v>42853</v>
      </c>
      <c r="F2865" s="520" t="s">
        <v>999</v>
      </c>
      <c r="G2865" s="579" t="s">
        <v>1116</v>
      </c>
      <c r="H2865" s="574" t="s">
        <v>800</v>
      </c>
      <c r="I2865" s="523">
        <v>4</v>
      </c>
      <c r="J2865" s="523">
        <v>50182</v>
      </c>
      <c r="K2865" s="575">
        <f t="shared" si="245"/>
        <v>200728</v>
      </c>
      <c r="L2865" s="591" t="s">
        <v>160</v>
      </c>
      <c r="M2865" s="591" t="s">
        <v>292</v>
      </c>
      <c r="N2865" s="525" t="str">
        <f>IF(AND('331-CT'!$E$7=TH!H2865,OR(L2865="331",M2865="331")),"331",IF(AND(OR(L2865="131",M2865="131"),H2865='131-CT'!$E$7),"131",""))</f>
        <v/>
      </c>
      <c r="O2865" s="525" t="str">
        <f>IF(AND($B2865&gt;='111'!$N$11,$B2865&lt;='111'!$O$11,OR($L2865=$O$7,$M2865=$O$7)),"x","")</f>
        <v/>
      </c>
      <c r="P2865" s="525" t="str">
        <f>IF(AND($L2865=$O$7,$B2865&lt;'111'!$N$11),"x","")</f>
        <v/>
      </c>
      <c r="Q2865" s="525" t="str">
        <f>IF(AND($M2865=$O$7,$B2865&lt;'111'!$N$11),"x","")</f>
        <v/>
      </c>
      <c r="R2865" s="525" t="str">
        <f>IF(ISERROR(FIND('112'!$M$9,G2865,1)),"",IF((AND(FIND('112'!$M$9,G2865,1)&gt;=1,$B2865&gt;='112'!$N$8,$B2865&lt;='112'!$O$8,OR($L2865='112'!$I$6,$M2865='112'!$I$6))),"x",""))</f>
        <v/>
      </c>
      <c r="S2865" s="525" t="str">
        <f>IF(ISERROR(FIND('112'!$M$9,G2865,1)),"",IF((AND(LEFT(G2865,2)=LEFT('112'!$M$9,2),B2865&lt;'112'!$N$8,$L2865='112'!$I$6)),"x",""))</f>
        <v/>
      </c>
      <c r="T2865" s="525" t="str">
        <f>IF(ISERROR(FIND('112'!$M$9,G2865,1)),"",IF((AND(RIGHT(G2865,2)=RIGHT('112'!$M$9,2),B2865&lt;'112'!$N$8,$M2865='112'!$I$6)),"x",""))</f>
        <v/>
      </c>
      <c r="U2865" s="525" t="str">
        <f>IF(AND(B2865&gt;='IN-NX'!$P$3,B2865&lt;='IN-NX'!$Q$3,'IN-NX'!$D$7=D2865,OR(LEFT(L2865,2)="15",AND(LEFT(M2865,2)&lt;&gt;"15",LEFT(M2865,2)&lt;&gt;"33"))),"x","")</f>
        <v/>
      </c>
      <c r="V2865" s="525" t="str">
        <f>IF(AND(OR(LEFT(TH!L2865,2)="15",LEFT(TH!M2865,2)="15"),'152-CT'!$J$8=TH!F2865),"x","")</f>
        <v/>
      </c>
      <c r="W2865" s="525" t="str">
        <f>IF(AND(OR(LEFT(TH!L2865,2)="15",LEFT(TH!M2865,2)="15"),TK!$E$7=TH!F2865),"x","")</f>
        <v/>
      </c>
      <c r="X2865" s="525" t="str">
        <f>IF(AND('341-CT'!$E$9=H2865,OR(LEFT(L2865,3)=$X$7,LEFT(M2865,3)=$X$7)),"x","")</f>
        <v/>
      </c>
      <c r="Y2865" s="525" t="str">
        <f>IF(OR(TH!L2865=TH!$Y$7,M2865=TH!$Y$7),"x","")</f>
        <v/>
      </c>
      <c r="Z2865" s="525" t="str">
        <f>IF(AND(B2865&lt;=NKC!$N$8,B2865&gt;=NKC!$M$8),"x","")</f>
        <v/>
      </c>
      <c r="AA2865" s="526"/>
      <c r="AC2865" s="576"/>
      <c r="AD2865" s="576"/>
      <c r="AE2865" s="576"/>
    </row>
    <row r="2866" spans="1:31" s="527" customFormat="1" ht="15.75" customHeight="1">
      <c r="A2866" s="517" t="str">
        <f>IF(B2866&lt;&gt;"",IF(AND(B2866&gt;=_TM1,B2866&lt;=_TM2,OR(TH!L2866="1111",TH!M2866="1111")),TH!D2866,""),"")</f>
        <v/>
      </c>
      <c r="B2866" s="518">
        <f t="shared" si="246"/>
        <v>4</v>
      </c>
      <c r="C2866" s="571">
        <f t="shared" si="247"/>
        <v>42853</v>
      </c>
      <c r="D2866" s="519" t="s">
        <v>996</v>
      </c>
      <c r="E2866" s="571">
        <v>42853</v>
      </c>
      <c r="F2866" s="520" t="s">
        <v>755</v>
      </c>
      <c r="G2866" s="579" t="s">
        <v>1116</v>
      </c>
      <c r="H2866" s="574" t="s">
        <v>800</v>
      </c>
      <c r="I2866" s="523">
        <v>26</v>
      </c>
      <c r="J2866" s="523">
        <v>69249</v>
      </c>
      <c r="K2866" s="575">
        <f t="shared" si="245"/>
        <v>1800474</v>
      </c>
      <c r="L2866" s="591" t="s">
        <v>160</v>
      </c>
      <c r="M2866" s="591" t="s">
        <v>292</v>
      </c>
      <c r="N2866" s="525" t="str">
        <f>IF(AND('331-CT'!$E$7=TH!H2866,OR(L2866="331",M2866="331")),"331",IF(AND(OR(L2866="131",M2866="131"),H2866='131-CT'!$E$7),"131",""))</f>
        <v/>
      </c>
      <c r="O2866" s="525" t="str">
        <f>IF(AND($B2866&gt;='111'!$N$11,$B2866&lt;='111'!$O$11,OR($L2866=$O$7,$M2866=$O$7)),"x","")</f>
        <v/>
      </c>
      <c r="P2866" s="525" t="str">
        <f>IF(AND($L2866=$O$7,$B2866&lt;'111'!$N$11),"x","")</f>
        <v/>
      </c>
      <c r="Q2866" s="525" t="str">
        <f>IF(AND($M2866=$O$7,$B2866&lt;'111'!$N$11),"x","")</f>
        <v/>
      </c>
      <c r="R2866" s="525" t="str">
        <f>IF(ISERROR(FIND('112'!$M$9,G2866,1)),"",IF((AND(FIND('112'!$M$9,G2866,1)&gt;=1,$B2866&gt;='112'!$N$8,$B2866&lt;='112'!$O$8,OR($L2866='112'!$I$6,$M2866='112'!$I$6))),"x",""))</f>
        <v/>
      </c>
      <c r="S2866" s="525" t="str">
        <f>IF(ISERROR(FIND('112'!$M$9,G2866,1)),"",IF((AND(LEFT(G2866,2)=LEFT('112'!$M$9,2),B2866&lt;'112'!$N$8,$L2866='112'!$I$6)),"x",""))</f>
        <v/>
      </c>
      <c r="T2866" s="525" t="str">
        <f>IF(ISERROR(FIND('112'!$M$9,G2866,1)),"",IF((AND(RIGHT(G2866,2)=RIGHT('112'!$M$9,2),B2866&lt;'112'!$N$8,$M2866='112'!$I$6)),"x",""))</f>
        <v/>
      </c>
      <c r="U2866" s="525" t="str">
        <f>IF(AND(B2866&gt;='IN-NX'!$P$3,B2866&lt;='IN-NX'!$Q$3,'IN-NX'!$D$7=D2866,OR(LEFT(L2866,2)="15",AND(LEFT(M2866,2)&lt;&gt;"15",LEFT(M2866,2)&lt;&gt;"33"))),"x","")</f>
        <v/>
      </c>
      <c r="V2866" s="525" t="str">
        <f>IF(AND(OR(LEFT(TH!L2866,2)="15",LEFT(TH!M2866,2)="15"),'152-CT'!$J$8=TH!F2866),"x","")</f>
        <v/>
      </c>
      <c r="W2866" s="525" t="str">
        <f>IF(AND(OR(LEFT(TH!L2866,2)="15",LEFT(TH!M2866,2)="15"),TK!$E$7=TH!F2866),"x","")</f>
        <v/>
      </c>
      <c r="X2866" s="525" t="str">
        <f>IF(AND('341-CT'!$E$9=H2866,OR(LEFT(L2866,3)=$X$7,LEFT(M2866,3)=$X$7)),"x","")</f>
        <v/>
      </c>
      <c r="Y2866" s="525" t="str">
        <f>IF(OR(TH!L2866=TH!$Y$7,M2866=TH!$Y$7),"x","")</f>
        <v/>
      </c>
      <c r="Z2866" s="525" t="str">
        <f>IF(AND(B2866&lt;=NKC!$N$8,B2866&gt;=NKC!$M$8),"x","")</f>
        <v/>
      </c>
      <c r="AA2866" s="526"/>
      <c r="AC2866" s="576"/>
      <c r="AD2866" s="576"/>
      <c r="AE2866" s="576"/>
    </row>
    <row r="2867" spans="1:31" s="527" customFormat="1" ht="15.75" customHeight="1">
      <c r="A2867" s="517" t="str">
        <f>IF(B2867&lt;&gt;"",IF(AND(B2867&gt;=_TM1,B2867&lt;=_TM2,OR(TH!L2867="1111",TH!M2867="1111")),TH!D2867,""),"")</f>
        <v/>
      </c>
      <c r="B2867" s="518">
        <f t="shared" si="246"/>
        <v>4</v>
      </c>
      <c r="C2867" s="571">
        <f t="shared" si="247"/>
        <v>42853</v>
      </c>
      <c r="D2867" s="519" t="s">
        <v>996</v>
      </c>
      <c r="E2867" s="571">
        <v>42853</v>
      </c>
      <c r="F2867" s="520" t="s">
        <v>756</v>
      </c>
      <c r="G2867" s="579" t="s">
        <v>1116</v>
      </c>
      <c r="H2867" s="574" t="s">
        <v>800</v>
      </c>
      <c r="I2867" s="523">
        <v>50</v>
      </c>
      <c r="J2867" s="523">
        <v>37751</v>
      </c>
      <c r="K2867" s="575">
        <f t="shared" si="245"/>
        <v>1887550</v>
      </c>
      <c r="L2867" s="591" t="s">
        <v>160</v>
      </c>
      <c r="M2867" s="591" t="s">
        <v>292</v>
      </c>
      <c r="N2867" s="525" t="str">
        <f>IF(AND('331-CT'!$E$7=TH!H2867,OR(L2867="331",M2867="331")),"331",IF(AND(OR(L2867="131",M2867="131"),H2867='131-CT'!$E$7),"131",""))</f>
        <v/>
      </c>
      <c r="O2867" s="525" t="str">
        <f>IF(AND($B2867&gt;='111'!$N$11,$B2867&lt;='111'!$O$11,OR($L2867=$O$7,$M2867=$O$7)),"x","")</f>
        <v/>
      </c>
      <c r="P2867" s="525" t="str">
        <f>IF(AND($L2867=$O$7,$B2867&lt;'111'!$N$11),"x","")</f>
        <v/>
      </c>
      <c r="Q2867" s="525" t="str">
        <f>IF(AND($M2867=$O$7,$B2867&lt;'111'!$N$11),"x","")</f>
        <v/>
      </c>
      <c r="R2867" s="525" t="str">
        <f>IF(ISERROR(FIND('112'!$M$9,G2867,1)),"",IF((AND(FIND('112'!$M$9,G2867,1)&gt;=1,$B2867&gt;='112'!$N$8,$B2867&lt;='112'!$O$8,OR($L2867='112'!$I$6,$M2867='112'!$I$6))),"x",""))</f>
        <v/>
      </c>
      <c r="S2867" s="525" t="str">
        <f>IF(ISERROR(FIND('112'!$M$9,G2867,1)),"",IF((AND(LEFT(G2867,2)=LEFT('112'!$M$9,2),B2867&lt;'112'!$N$8,$L2867='112'!$I$6)),"x",""))</f>
        <v/>
      </c>
      <c r="T2867" s="525" t="str">
        <f>IF(ISERROR(FIND('112'!$M$9,G2867,1)),"",IF((AND(RIGHT(G2867,2)=RIGHT('112'!$M$9,2),B2867&lt;'112'!$N$8,$M2867='112'!$I$6)),"x",""))</f>
        <v/>
      </c>
      <c r="U2867" s="525" t="str">
        <f>IF(AND(B2867&gt;='IN-NX'!$P$3,B2867&lt;='IN-NX'!$Q$3,'IN-NX'!$D$7=D2867,OR(LEFT(L2867,2)="15",AND(LEFT(M2867,2)&lt;&gt;"15",LEFT(M2867,2)&lt;&gt;"33"))),"x","")</f>
        <v/>
      </c>
      <c r="V2867" s="525" t="str">
        <f>IF(AND(OR(LEFT(TH!L2867,2)="15",LEFT(TH!M2867,2)="15"),'152-CT'!$J$8=TH!F2867),"x","")</f>
        <v/>
      </c>
      <c r="W2867" s="525" t="str">
        <f>IF(AND(OR(LEFT(TH!L2867,2)="15",LEFT(TH!M2867,2)="15"),TK!$E$7=TH!F2867),"x","")</f>
        <v/>
      </c>
      <c r="X2867" s="525" t="str">
        <f>IF(AND('341-CT'!$E$9=H2867,OR(LEFT(L2867,3)=$X$7,LEFT(M2867,3)=$X$7)),"x","")</f>
        <v/>
      </c>
      <c r="Y2867" s="525" t="str">
        <f>IF(OR(TH!L2867=TH!$Y$7,M2867=TH!$Y$7),"x","")</f>
        <v/>
      </c>
      <c r="Z2867" s="525" t="str">
        <f>IF(AND(B2867&lt;=NKC!$N$8,B2867&gt;=NKC!$M$8),"x","")</f>
        <v/>
      </c>
      <c r="AA2867" s="526"/>
      <c r="AC2867" s="576"/>
      <c r="AD2867" s="576"/>
      <c r="AE2867" s="576"/>
    </row>
    <row r="2868" spans="1:31" s="527" customFormat="1" ht="15.75" customHeight="1">
      <c r="A2868" s="517" t="str">
        <f>IF(B2868&lt;&gt;"",IF(AND(B2868&gt;=_TM1,B2868&lt;=_TM2,OR(TH!L2868="1111",TH!M2868="1111")),TH!D2868,""),"")</f>
        <v/>
      </c>
      <c r="B2868" s="518">
        <f t="shared" si="246"/>
        <v>4</v>
      </c>
      <c r="C2868" s="571">
        <f t="shared" si="247"/>
        <v>42853</v>
      </c>
      <c r="D2868" s="519" t="s">
        <v>996</v>
      </c>
      <c r="E2868" s="571">
        <v>42853</v>
      </c>
      <c r="F2868" s="572" t="s">
        <v>1017</v>
      </c>
      <c r="G2868" s="579" t="s">
        <v>1116</v>
      </c>
      <c r="H2868" s="574" t="s">
        <v>800</v>
      </c>
      <c r="I2868" s="523">
        <v>12</v>
      </c>
      <c r="J2868" s="523">
        <v>121340</v>
      </c>
      <c r="K2868" s="575">
        <f t="shared" si="245"/>
        <v>1456080</v>
      </c>
      <c r="L2868" s="591" t="s">
        <v>160</v>
      </c>
      <c r="M2868" s="591" t="s">
        <v>292</v>
      </c>
      <c r="N2868" s="525" t="str">
        <f>IF(AND('331-CT'!$E$7=TH!H2868,OR(L2868="331",M2868="331")),"331",IF(AND(OR(L2868="131",M2868="131"),H2868='131-CT'!$E$7),"131",""))</f>
        <v/>
      </c>
      <c r="O2868" s="525" t="str">
        <f>IF(AND($B2868&gt;='111'!$N$11,$B2868&lt;='111'!$O$11,OR($L2868=$O$7,$M2868=$O$7)),"x","")</f>
        <v/>
      </c>
      <c r="P2868" s="525" t="str">
        <f>IF(AND($L2868=$O$7,$B2868&lt;'111'!$N$11),"x","")</f>
        <v/>
      </c>
      <c r="Q2868" s="525" t="str">
        <f>IF(AND($M2868=$O$7,$B2868&lt;'111'!$N$11),"x","")</f>
        <v/>
      </c>
      <c r="R2868" s="525" t="str">
        <f>IF(ISERROR(FIND('112'!$M$9,G2868,1)),"",IF((AND(FIND('112'!$M$9,G2868,1)&gt;=1,$B2868&gt;='112'!$N$8,$B2868&lt;='112'!$O$8,OR($L2868='112'!$I$6,$M2868='112'!$I$6))),"x",""))</f>
        <v/>
      </c>
      <c r="S2868" s="525" t="str">
        <f>IF(ISERROR(FIND('112'!$M$9,G2868,1)),"",IF((AND(LEFT(G2868,2)=LEFT('112'!$M$9,2),B2868&lt;'112'!$N$8,$L2868='112'!$I$6)),"x",""))</f>
        <v/>
      </c>
      <c r="T2868" s="525" t="str">
        <f>IF(ISERROR(FIND('112'!$M$9,G2868,1)),"",IF((AND(RIGHT(G2868,2)=RIGHT('112'!$M$9,2),B2868&lt;'112'!$N$8,$M2868='112'!$I$6)),"x",""))</f>
        <v/>
      </c>
      <c r="U2868" s="525" t="str">
        <f>IF(AND(B2868&gt;='IN-NX'!$P$3,B2868&lt;='IN-NX'!$Q$3,'IN-NX'!$D$7=D2868,OR(LEFT(L2868,2)="15",AND(LEFT(M2868,2)&lt;&gt;"15",LEFT(M2868,2)&lt;&gt;"33"))),"x","")</f>
        <v/>
      </c>
      <c r="V2868" s="525" t="str">
        <f>IF(AND(OR(LEFT(TH!L2868,2)="15",LEFT(TH!M2868,2)="15"),'152-CT'!$J$8=TH!F2868),"x","")</f>
        <v/>
      </c>
      <c r="W2868" s="525" t="str">
        <f>IF(AND(OR(LEFT(TH!L2868,2)="15",LEFT(TH!M2868,2)="15"),TK!$E$7=TH!F2868),"x","")</f>
        <v/>
      </c>
      <c r="X2868" s="525" t="str">
        <f>IF(AND('341-CT'!$E$9=H2868,OR(LEFT(L2868,3)=$X$7,LEFT(M2868,3)=$X$7)),"x","")</f>
        <v/>
      </c>
      <c r="Y2868" s="525" t="str">
        <f>IF(OR(TH!L2868=TH!$Y$7,M2868=TH!$Y$7),"x","")</f>
        <v/>
      </c>
      <c r="Z2868" s="525" t="str">
        <f>IF(AND(B2868&lt;=NKC!$N$8,B2868&gt;=NKC!$M$8),"x","")</f>
        <v/>
      </c>
      <c r="AA2868" s="526"/>
      <c r="AC2868" s="576"/>
      <c r="AE2868" s="576"/>
    </row>
    <row r="2869" spans="1:31" s="527" customFormat="1" ht="15.75" customHeight="1">
      <c r="A2869" s="517" t="str">
        <f>IF(B2869&lt;&gt;"",IF(AND(B2869&gt;=_TM1,B2869&lt;=_TM2,OR(TH!L2869="1111",TH!M2869="1111")),TH!D2869,""),"")</f>
        <v/>
      </c>
      <c r="B2869" s="518">
        <f t="shared" si="246"/>
        <v>4</v>
      </c>
      <c r="C2869" s="571">
        <f t="shared" si="247"/>
        <v>42853</v>
      </c>
      <c r="D2869" s="519" t="s">
        <v>996</v>
      </c>
      <c r="E2869" s="692">
        <v>42853</v>
      </c>
      <c r="F2869" s="572" t="s">
        <v>1018</v>
      </c>
      <c r="G2869" s="573" t="s">
        <v>1116</v>
      </c>
      <c r="H2869" s="574" t="s">
        <v>800</v>
      </c>
      <c r="I2869" s="523">
        <v>24</v>
      </c>
      <c r="J2869" s="523">
        <v>53631</v>
      </c>
      <c r="K2869" s="575">
        <f t="shared" si="245"/>
        <v>1287144</v>
      </c>
      <c r="L2869" s="591" t="s">
        <v>160</v>
      </c>
      <c r="M2869" s="591" t="s">
        <v>292</v>
      </c>
      <c r="N2869" s="525" t="str">
        <f>IF(AND('331-CT'!$E$7=TH!H2869,OR(L2869="331",M2869="331")),"331",IF(AND(OR(L2869="131",M2869="131"),H2869='131-CT'!$E$7),"131",""))</f>
        <v/>
      </c>
      <c r="O2869" s="525" t="str">
        <f>IF(AND($B2869&gt;='111'!$N$11,$B2869&lt;='111'!$O$11,OR($L2869=$O$7,$M2869=$O$7)),"x","")</f>
        <v/>
      </c>
      <c r="P2869" s="525" t="str">
        <f>IF(AND($L2869=$O$7,$B2869&lt;'111'!$N$11),"x","")</f>
        <v/>
      </c>
      <c r="Q2869" s="525" t="str">
        <f>IF(AND($M2869=$O$7,$B2869&lt;'111'!$N$11),"x","")</f>
        <v/>
      </c>
      <c r="R2869" s="525" t="str">
        <f>IF(ISERROR(FIND('112'!$M$9,G2869,1)),"",IF((AND(FIND('112'!$M$9,G2869,1)&gt;=1,$B2869&gt;='112'!$N$8,$B2869&lt;='112'!$O$8,OR($L2869='112'!$I$6,$M2869='112'!$I$6))),"x",""))</f>
        <v/>
      </c>
      <c r="S2869" s="525" t="str">
        <f>IF(ISERROR(FIND('112'!$M$9,G2869,1)),"",IF((AND(LEFT(G2869,2)=LEFT('112'!$M$9,2),B2869&lt;'112'!$N$8,$L2869='112'!$I$6)),"x",""))</f>
        <v/>
      </c>
      <c r="T2869" s="525" t="str">
        <f>IF(ISERROR(FIND('112'!$M$9,G2869,1)),"",IF((AND(RIGHT(G2869,2)=RIGHT('112'!$M$9,2),B2869&lt;'112'!$N$8,$M2869='112'!$I$6)),"x",""))</f>
        <v/>
      </c>
      <c r="U2869" s="525" t="str">
        <f>IF(AND(B2869&gt;='IN-NX'!$P$3,B2869&lt;='IN-NX'!$Q$3,'IN-NX'!$D$7=D2869,OR(LEFT(L2869,2)="15",AND(LEFT(M2869,2)&lt;&gt;"15",LEFT(M2869,2)&lt;&gt;"33"))),"x","")</f>
        <v/>
      </c>
      <c r="V2869" s="525" t="str">
        <f>IF(AND(OR(LEFT(TH!L2869,2)="15",LEFT(TH!M2869,2)="15"),'152-CT'!$J$8=TH!F2869),"x","")</f>
        <v/>
      </c>
      <c r="W2869" s="525" t="str">
        <f>IF(AND(OR(LEFT(TH!L2869,2)="15",LEFT(TH!M2869,2)="15"),TK!$E$7=TH!F2869),"x","")</f>
        <v/>
      </c>
      <c r="X2869" s="525" t="str">
        <f>IF(AND('341-CT'!$E$9=H2869,OR(LEFT(L2869,3)=$X$7,LEFT(M2869,3)=$X$7)),"x","")</f>
        <v/>
      </c>
      <c r="Y2869" s="525" t="str">
        <f>IF(OR(TH!L2869=TH!$Y$7,M2869=TH!$Y$7),"x","")</f>
        <v/>
      </c>
      <c r="Z2869" s="525" t="str">
        <f>IF(AND(B2869&lt;=NKC!$N$8,B2869&gt;=NKC!$M$8),"x","")</f>
        <v/>
      </c>
      <c r="AA2869" s="526"/>
      <c r="AC2869" s="576"/>
      <c r="AD2869" s="576"/>
      <c r="AE2869" s="576"/>
    </row>
    <row r="2870" spans="1:31" s="527" customFormat="1" ht="15.75" customHeight="1">
      <c r="A2870" s="517" t="str">
        <f>IF(B2870&lt;&gt;"",IF(AND(B2870&gt;=_TM1,B2870&lt;=_TM2,OR(TH!L2870="1111",TH!M2870="1111")),TH!D2870,""),"")</f>
        <v/>
      </c>
      <c r="B2870" s="518">
        <f t="shared" si="246"/>
        <v>4</v>
      </c>
      <c r="C2870" s="571">
        <f t="shared" si="247"/>
        <v>42853</v>
      </c>
      <c r="D2870" s="519" t="s">
        <v>996</v>
      </c>
      <c r="E2870" s="692">
        <v>42853</v>
      </c>
      <c r="F2870" s="572" t="s">
        <v>1019</v>
      </c>
      <c r="G2870" s="573" t="s">
        <v>1116</v>
      </c>
      <c r="H2870" s="574" t="s">
        <v>800</v>
      </c>
      <c r="I2870" s="523">
        <v>12</v>
      </c>
      <c r="J2870" s="523">
        <v>21058</v>
      </c>
      <c r="K2870" s="575">
        <f t="shared" si="245"/>
        <v>252696</v>
      </c>
      <c r="L2870" s="591" t="s">
        <v>160</v>
      </c>
      <c r="M2870" s="591" t="s">
        <v>292</v>
      </c>
      <c r="N2870" s="525" t="str">
        <f>IF(AND('331-CT'!$E$7=TH!H2870,OR(L2870="331",M2870="331")),"331",IF(AND(OR(L2870="131",M2870="131"),H2870='131-CT'!$E$7),"131",""))</f>
        <v/>
      </c>
      <c r="O2870" s="525" t="str">
        <f>IF(AND($B2870&gt;='111'!$N$11,$B2870&lt;='111'!$O$11,OR($L2870=$O$7,$M2870=$O$7)),"x","")</f>
        <v/>
      </c>
      <c r="P2870" s="525" t="str">
        <f>IF(AND($L2870=$O$7,$B2870&lt;'111'!$N$11),"x","")</f>
        <v/>
      </c>
      <c r="Q2870" s="525" t="str">
        <f>IF(AND($M2870=$O$7,$B2870&lt;'111'!$N$11),"x","")</f>
        <v/>
      </c>
      <c r="R2870" s="525" t="str">
        <f>IF(ISERROR(FIND('112'!$M$9,G2870,1)),"",IF((AND(FIND('112'!$M$9,G2870,1)&gt;=1,$B2870&gt;='112'!$N$8,$B2870&lt;='112'!$O$8,OR($L2870='112'!$I$6,$M2870='112'!$I$6))),"x",""))</f>
        <v/>
      </c>
      <c r="S2870" s="525" t="str">
        <f>IF(ISERROR(FIND('112'!$M$9,G2870,1)),"",IF((AND(LEFT(G2870,2)=LEFT('112'!$M$9,2),B2870&lt;'112'!$N$8,$L2870='112'!$I$6)),"x",""))</f>
        <v/>
      </c>
      <c r="T2870" s="525" t="str">
        <f>IF(ISERROR(FIND('112'!$M$9,G2870,1)),"",IF((AND(RIGHT(G2870,2)=RIGHT('112'!$M$9,2),B2870&lt;'112'!$N$8,$M2870='112'!$I$6)),"x",""))</f>
        <v/>
      </c>
      <c r="U2870" s="525" t="str">
        <f>IF(AND(B2870&gt;='IN-NX'!$P$3,B2870&lt;='IN-NX'!$Q$3,'IN-NX'!$D$7=D2870,OR(LEFT(L2870,2)="15",AND(LEFT(M2870,2)&lt;&gt;"15",LEFT(M2870,2)&lt;&gt;"33"))),"x","")</f>
        <v/>
      </c>
      <c r="V2870" s="525" t="str">
        <f>IF(AND(OR(LEFT(TH!L2870,2)="15",LEFT(TH!M2870,2)="15"),'152-CT'!$J$8=TH!F2870),"x","")</f>
        <v/>
      </c>
      <c r="W2870" s="525" t="str">
        <f>IF(AND(OR(LEFT(TH!L2870,2)="15",LEFT(TH!M2870,2)="15"),TK!$E$7=TH!F2870),"x","")</f>
        <v/>
      </c>
      <c r="X2870" s="525" t="str">
        <f>IF(AND('341-CT'!$E$9=H2870,OR(LEFT(L2870,3)=$X$7,LEFT(M2870,3)=$X$7)),"x","")</f>
        <v/>
      </c>
      <c r="Y2870" s="525" t="str">
        <f>IF(OR(TH!L2870=TH!$Y$7,M2870=TH!$Y$7),"x","")</f>
        <v/>
      </c>
      <c r="Z2870" s="525" t="str">
        <f>IF(AND(B2870&lt;=NKC!$N$8,B2870&gt;=NKC!$M$8),"x","")</f>
        <v/>
      </c>
      <c r="AA2870" s="526"/>
      <c r="AC2870" s="576"/>
      <c r="AD2870" s="576"/>
      <c r="AE2870" s="576"/>
    </row>
    <row r="2871" spans="1:31" s="527" customFormat="1" ht="15.75" customHeight="1">
      <c r="A2871" s="517" t="str">
        <f>IF(B2871&lt;&gt;"",IF(AND(B2871&gt;=_TM1,B2871&lt;=_TM2,OR(TH!L2871="1111",TH!M2871="1111")),TH!D2871,""),"")</f>
        <v/>
      </c>
      <c r="B2871" s="518">
        <f t="shared" si="246"/>
        <v>4</v>
      </c>
      <c r="C2871" s="571">
        <f t="shared" si="247"/>
        <v>42853</v>
      </c>
      <c r="D2871" s="519" t="s">
        <v>996</v>
      </c>
      <c r="E2871" s="692">
        <v>42853</v>
      </c>
      <c r="F2871" s="572" t="s">
        <v>1020</v>
      </c>
      <c r="G2871" s="573" t="s">
        <v>1116</v>
      </c>
      <c r="H2871" s="574" t="s">
        <v>800</v>
      </c>
      <c r="I2871" s="523">
        <v>12</v>
      </c>
      <c r="J2871" s="523">
        <v>21745</v>
      </c>
      <c r="K2871" s="575">
        <f t="shared" si="245"/>
        <v>260940</v>
      </c>
      <c r="L2871" s="591" t="s">
        <v>160</v>
      </c>
      <c r="M2871" s="591" t="s">
        <v>292</v>
      </c>
      <c r="N2871" s="525" t="str">
        <f>IF(AND('331-CT'!$E$7=TH!H2871,OR(L2871="331",M2871="331")),"331",IF(AND(OR(L2871="131",M2871="131"),H2871='131-CT'!$E$7),"131",""))</f>
        <v/>
      </c>
      <c r="O2871" s="525" t="str">
        <f>IF(AND($B2871&gt;='111'!$N$11,$B2871&lt;='111'!$O$11,OR($L2871=$O$7,$M2871=$O$7)),"x","")</f>
        <v/>
      </c>
      <c r="P2871" s="525" t="str">
        <f>IF(AND($L2871=$O$7,$B2871&lt;'111'!$N$11),"x","")</f>
        <v/>
      </c>
      <c r="Q2871" s="525" t="str">
        <f>IF(AND($M2871=$O$7,$B2871&lt;'111'!$N$11),"x","")</f>
        <v/>
      </c>
      <c r="R2871" s="525" t="str">
        <f>IF(ISERROR(FIND('112'!$M$9,G2871,1)),"",IF((AND(FIND('112'!$M$9,G2871,1)&gt;=1,$B2871&gt;='112'!$N$8,$B2871&lt;='112'!$O$8,OR($L2871='112'!$I$6,$M2871='112'!$I$6))),"x",""))</f>
        <v/>
      </c>
      <c r="S2871" s="525" t="str">
        <f>IF(ISERROR(FIND('112'!$M$9,G2871,1)),"",IF((AND(LEFT(G2871,2)=LEFT('112'!$M$9,2),B2871&lt;'112'!$N$8,$L2871='112'!$I$6)),"x",""))</f>
        <v/>
      </c>
      <c r="T2871" s="525" t="str">
        <f>IF(ISERROR(FIND('112'!$M$9,G2871,1)),"",IF((AND(RIGHT(G2871,2)=RIGHT('112'!$M$9,2),B2871&lt;'112'!$N$8,$M2871='112'!$I$6)),"x",""))</f>
        <v/>
      </c>
      <c r="U2871" s="525" t="str">
        <f>IF(AND(B2871&gt;='IN-NX'!$P$3,B2871&lt;='IN-NX'!$Q$3,'IN-NX'!$D$7=D2871,OR(LEFT(L2871,2)="15",AND(LEFT(M2871,2)&lt;&gt;"15",LEFT(M2871,2)&lt;&gt;"33"))),"x","")</f>
        <v/>
      </c>
      <c r="V2871" s="525" t="str">
        <f>IF(AND(OR(LEFT(TH!L2871,2)="15",LEFT(TH!M2871,2)="15"),'152-CT'!$J$8=TH!F2871),"x","")</f>
        <v/>
      </c>
      <c r="W2871" s="525" t="str">
        <f>IF(AND(OR(LEFT(TH!L2871,2)="15",LEFT(TH!M2871,2)="15"),TK!$E$7=TH!F2871),"x","")</f>
        <v/>
      </c>
      <c r="X2871" s="525" t="str">
        <f>IF(AND('341-CT'!$E$9=H2871,OR(LEFT(L2871,3)=$X$7,LEFT(M2871,3)=$X$7)),"x","")</f>
        <v/>
      </c>
      <c r="Y2871" s="525" t="str">
        <f>IF(OR(TH!L2871=TH!$Y$7,M2871=TH!$Y$7),"x","")</f>
        <v/>
      </c>
      <c r="Z2871" s="525" t="str">
        <f>IF(AND(B2871&lt;=NKC!$N$8,B2871&gt;=NKC!$M$8),"x","")</f>
        <v/>
      </c>
      <c r="AA2871" s="526"/>
      <c r="AC2871" s="576"/>
      <c r="AD2871" s="576"/>
      <c r="AE2871" s="576"/>
    </row>
    <row r="2872" spans="1:31" s="527" customFormat="1" ht="15.75" customHeight="1">
      <c r="A2872" s="517" t="str">
        <f>IF(B2872&lt;&gt;"",IF(AND(B2872&gt;=_TM1,B2872&lt;=_TM2,OR(TH!L2872="1111",TH!M2872="1111")),TH!D2872,""),"")</f>
        <v/>
      </c>
      <c r="B2872" s="518">
        <f t="shared" si="246"/>
        <v>4</v>
      </c>
      <c r="C2872" s="571">
        <f t="shared" si="247"/>
        <v>42853</v>
      </c>
      <c r="D2872" s="519" t="s">
        <v>996</v>
      </c>
      <c r="E2872" s="571">
        <v>42853</v>
      </c>
      <c r="F2872" s="572" t="s">
        <v>1021</v>
      </c>
      <c r="G2872" s="573" t="s">
        <v>1116</v>
      </c>
      <c r="H2872" s="574" t="s">
        <v>800</v>
      </c>
      <c r="I2872" s="523">
        <v>11</v>
      </c>
      <c r="J2872" s="523">
        <v>14662</v>
      </c>
      <c r="K2872" s="575">
        <f t="shared" si="245"/>
        <v>161282</v>
      </c>
      <c r="L2872" s="591" t="s">
        <v>160</v>
      </c>
      <c r="M2872" s="591" t="s">
        <v>292</v>
      </c>
      <c r="N2872" s="525" t="str">
        <f>IF(AND('331-CT'!$E$7=TH!H2872,OR(L2872="331",M2872="331")),"331",IF(AND(OR(L2872="131",M2872="131"),H2872='131-CT'!$E$7),"131",""))</f>
        <v/>
      </c>
      <c r="O2872" s="525" t="str">
        <f>IF(AND($B2872&gt;='111'!$N$11,$B2872&lt;='111'!$O$11,OR($L2872=$O$7,$M2872=$O$7)),"x","")</f>
        <v/>
      </c>
      <c r="P2872" s="525" t="str">
        <f>IF(AND($L2872=$O$7,$B2872&lt;'111'!$N$11),"x","")</f>
        <v/>
      </c>
      <c r="Q2872" s="525" t="str">
        <f>IF(AND($M2872=$O$7,$B2872&lt;'111'!$N$11),"x","")</f>
        <v/>
      </c>
      <c r="R2872" s="525" t="str">
        <f>IF(ISERROR(FIND('112'!$M$9,G2872,1)),"",IF((AND(FIND('112'!$M$9,G2872,1)&gt;=1,$B2872&gt;='112'!$N$8,$B2872&lt;='112'!$O$8,OR($L2872='112'!$I$6,$M2872='112'!$I$6))),"x",""))</f>
        <v/>
      </c>
      <c r="S2872" s="525" t="str">
        <f>IF(ISERROR(FIND('112'!$M$9,G2872,1)),"",IF((AND(LEFT(G2872,2)=LEFT('112'!$M$9,2),B2872&lt;'112'!$N$8,$L2872='112'!$I$6)),"x",""))</f>
        <v/>
      </c>
      <c r="T2872" s="525" t="str">
        <f>IF(ISERROR(FIND('112'!$M$9,G2872,1)),"",IF((AND(RIGHT(G2872,2)=RIGHT('112'!$M$9,2),B2872&lt;'112'!$N$8,$M2872='112'!$I$6)),"x",""))</f>
        <v/>
      </c>
      <c r="U2872" s="525" t="str">
        <f>IF(AND(B2872&gt;='IN-NX'!$P$3,B2872&lt;='IN-NX'!$Q$3,'IN-NX'!$D$7=D2872,OR(LEFT(L2872,2)="15",AND(LEFT(M2872,2)&lt;&gt;"15",LEFT(M2872,2)&lt;&gt;"33"))),"x","")</f>
        <v/>
      </c>
      <c r="V2872" s="525" t="str">
        <f>IF(AND(OR(LEFT(TH!L2872,2)="15",LEFT(TH!M2872,2)="15"),'152-CT'!$J$8=TH!F2872),"x","")</f>
        <v/>
      </c>
      <c r="W2872" s="525" t="str">
        <f>IF(AND(OR(LEFT(TH!L2872,2)="15",LEFT(TH!M2872,2)="15"),TK!$E$7=TH!F2872),"x","")</f>
        <v/>
      </c>
      <c r="X2872" s="525" t="str">
        <f>IF(AND('341-CT'!$E$9=H2872,OR(LEFT(L2872,3)=$X$7,LEFT(M2872,3)=$X$7)),"x","")</f>
        <v/>
      </c>
      <c r="Y2872" s="525" t="str">
        <f>IF(OR(TH!L2872=TH!$Y$7,M2872=TH!$Y$7),"x","")</f>
        <v/>
      </c>
      <c r="Z2872" s="525" t="str">
        <f>IF(AND(B2872&lt;=NKC!$N$8,B2872&gt;=NKC!$M$8),"x","")</f>
        <v/>
      </c>
      <c r="AA2872" s="526"/>
      <c r="AE2872" s="576"/>
    </row>
    <row r="2873" spans="1:31" s="527" customFormat="1" ht="15.75" customHeight="1">
      <c r="A2873" s="517" t="str">
        <f>IF(B2873&lt;&gt;"",IF(AND(B2873&gt;=_TM1,B2873&lt;=_TM2,OR(TH!L2873="1111",TH!M2873="1111")),TH!D2873,""),"")</f>
        <v/>
      </c>
      <c r="B2873" s="518">
        <f t="shared" si="246"/>
        <v>4</v>
      </c>
      <c r="C2873" s="571">
        <f t="shared" si="247"/>
        <v>42853</v>
      </c>
      <c r="D2873" s="519" t="s">
        <v>996</v>
      </c>
      <c r="E2873" s="571">
        <v>42853</v>
      </c>
      <c r="F2873" s="572" t="s">
        <v>1022</v>
      </c>
      <c r="G2873" s="573" t="s">
        <v>1116</v>
      </c>
      <c r="H2873" s="574" t="s">
        <v>800</v>
      </c>
      <c r="I2873" s="523">
        <v>34</v>
      </c>
      <c r="J2873" s="523">
        <v>20573</v>
      </c>
      <c r="K2873" s="575">
        <f t="shared" si="245"/>
        <v>699482</v>
      </c>
      <c r="L2873" s="591" t="s">
        <v>160</v>
      </c>
      <c r="M2873" s="591" t="s">
        <v>292</v>
      </c>
      <c r="N2873" s="525" t="str">
        <f>IF(AND('331-CT'!$E$7=TH!H2873,OR(L2873="331",M2873="331")),"331",IF(AND(OR(L2873="131",M2873="131"),H2873='131-CT'!$E$7),"131",""))</f>
        <v/>
      </c>
      <c r="O2873" s="525" t="str">
        <f>IF(AND($B2873&gt;='111'!$N$11,$B2873&lt;='111'!$O$11,OR($L2873=$O$7,$M2873=$O$7)),"x","")</f>
        <v/>
      </c>
      <c r="P2873" s="525" t="str">
        <f>IF(AND($L2873=$O$7,$B2873&lt;'111'!$N$11),"x","")</f>
        <v/>
      </c>
      <c r="Q2873" s="525" t="str">
        <f>IF(AND($M2873=$O$7,$B2873&lt;'111'!$N$11),"x","")</f>
        <v/>
      </c>
      <c r="R2873" s="525" t="str">
        <f>IF(ISERROR(FIND('112'!$M$9,G2873,1)),"",IF((AND(FIND('112'!$M$9,G2873,1)&gt;=1,$B2873&gt;='112'!$N$8,$B2873&lt;='112'!$O$8,OR($L2873='112'!$I$6,$M2873='112'!$I$6))),"x",""))</f>
        <v/>
      </c>
      <c r="S2873" s="525" t="str">
        <f>IF(ISERROR(FIND('112'!$M$9,G2873,1)),"",IF((AND(LEFT(G2873,2)=LEFT('112'!$M$9,2),B2873&lt;'112'!$N$8,$L2873='112'!$I$6)),"x",""))</f>
        <v/>
      </c>
      <c r="T2873" s="525" t="str">
        <f>IF(ISERROR(FIND('112'!$M$9,G2873,1)),"",IF((AND(RIGHT(G2873,2)=RIGHT('112'!$M$9,2),B2873&lt;'112'!$N$8,$M2873='112'!$I$6)),"x",""))</f>
        <v/>
      </c>
      <c r="U2873" s="525" t="str">
        <f>IF(AND(B2873&gt;='IN-NX'!$P$3,B2873&lt;='IN-NX'!$Q$3,'IN-NX'!$D$7=D2873,OR(LEFT(L2873,2)="15",AND(LEFT(M2873,2)&lt;&gt;"15",LEFT(M2873,2)&lt;&gt;"33"))),"x","")</f>
        <v/>
      </c>
      <c r="V2873" s="525" t="str">
        <f>IF(AND(OR(LEFT(TH!L2873,2)="15",LEFT(TH!M2873,2)="15"),'152-CT'!$J$8=TH!F2873),"x","")</f>
        <v/>
      </c>
      <c r="W2873" s="525" t="str">
        <f>IF(AND(OR(LEFT(TH!L2873,2)="15",LEFT(TH!M2873,2)="15"),TK!$E$7=TH!F2873),"x","")</f>
        <v/>
      </c>
      <c r="X2873" s="525" t="str">
        <f>IF(AND('341-CT'!$E$9=H2873,OR(LEFT(L2873,3)=$X$7,LEFT(M2873,3)=$X$7)),"x","")</f>
        <v/>
      </c>
      <c r="Y2873" s="525" t="str">
        <f>IF(OR(TH!L2873=TH!$Y$7,M2873=TH!$Y$7),"x","")</f>
        <v/>
      </c>
      <c r="Z2873" s="525" t="str">
        <f>IF(AND(B2873&lt;=NKC!$N$8,B2873&gt;=NKC!$M$8),"x","")</f>
        <v/>
      </c>
      <c r="AA2873" s="526"/>
      <c r="AE2873" s="576"/>
    </row>
    <row r="2874" spans="1:31" s="527" customFormat="1" ht="15.75" customHeight="1">
      <c r="A2874" s="517" t="str">
        <f>IF(B2874&lt;&gt;"",IF(AND(B2874&gt;=_TM1,B2874&lt;=_TM2,OR(TH!L2874="1111",TH!M2874="1111")),TH!D2874,""),"")</f>
        <v/>
      </c>
      <c r="B2874" s="518">
        <f t="shared" si="246"/>
        <v>4</v>
      </c>
      <c r="C2874" s="571">
        <f t="shared" si="247"/>
        <v>42853</v>
      </c>
      <c r="D2874" s="519" t="s">
        <v>996</v>
      </c>
      <c r="E2874" s="571">
        <v>42853</v>
      </c>
      <c r="F2874" s="572" t="s">
        <v>722</v>
      </c>
      <c r="G2874" s="573" t="s">
        <v>1116</v>
      </c>
      <c r="H2874" s="574" t="s">
        <v>800</v>
      </c>
      <c r="I2874" s="523">
        <v>12</v>
      </c>
      <c r="J2874" s="523">
        <v>11341</v>
      </c>
      <c r="K2874" s="575">
        <f t="shared" si="245"/>
        <v>136092</v>
      </c>
      <c r="L2874" s="591" t="s">
        <v>160</v>
      </c>
      <c r="M2874" s="591" t="s">
        <v>292</v>
      </c>
      <c r="N2874" s="525" t="str">
        <f>IF(AND('331-CT'!$E$7=TH!H2874,OR(L2874="331",M2874="331")),"331",IF(AND(OR(L2874="131",M2874="131"),H2874='131-CT'!$E$7),"131",""))</f>
        <v/>
      </c>
      <c r="O2874" s="525" t="str">
        <f>IF(AND($B2874&gt;='111'!$N$11,$B2874&lt;='111'!$O$11,OR($L2874=$O$7,$M2874=$O$7)),"x","")</f>
        <v/>
      </c>
      <c r="P2874" s="525" t="str">
        <f>IF(AND($L2874=$O$7,$B2874&lt;'111'!$N$11),"x","")</f>
        <v/>
      </c>
      <c r="Q2874" s="525" t="str">
        <f>IF(AND($M2874=$O$7,$B2874&lt;'111'!$N$11),"x","")</f>
        <v/>
      </c>
      <c r="R2874" s="525" t="str">
        <f>IF(ISERROR(FIND('112'!$M$9,G2874,1)),"",IF((AND(FIND('112'!$M$9,G2874,1)&gt;=1,$B2874&gt;='112'!$N$8,$B2874&lt;='112'!$O$8,OR($L2874='112'!$I$6,$M2874='112'!$I$6))),"x",""))</f>
        <v/>
      </c>
      <c r="S2874" s="525" t="str">
        <f>IF(ISERROR(FIND('112'!$M$9,G2874,1)),"",IF((AND(LEFT(G2874,2)=LEFT('112'!$M$9,2),B2874&lt;'112'!$N$8,$L2874='112'!$I$6)),"x",""))</f>
        <v/>
      </c>
      <c r="T2874" s="525" t="str">
        <f>IF(ISERROR(FIND('112'!$M$9,G2874,1)),"",IF((AND(RIGHT(G2874,2)=RIGHT('112'!$M$9,2),B2874&lt;'112'!$N$8,$M2874='112'!$I$6)),"x",""))</f>
        <v/>
      </c>
      <c r="U2874" s="525" t="str">
        <f>IF(AND(B2874&gt;='IN-NX'!$P$3,B2874&lt;='IN-NX'!$Q$3,'IN-NX'!$D$7=D2874,OR(LEFT(L2874,2)="15",AND(LEFT(M2874,2)&lt;&gt;"15",LEFT(M2874,2)&lt;&gt;"33"))),"x","")</f>
        <v/>
      </c>
      <c r="V2874" s="525" t="str">
        <f>IF(AND(OR(LEFT(TH!L2874,2)="15",LEFT(TH!M2874,2)="15"),'152-CT'!$J$8=TH!F2874),"x","")</f>
        <v/>
      </c>
      <c r="W2874" s="525" t="str">
        <f>IF(AND(OR(LEFT(TH!L2874,2)="15",LEFT(TH!M2874,2)="15"),TK!$E$7=TH!F2874),"x","")</f>
        <v/>
      </c>
      <c r="X2874" s="525" t="str">
        <f>IF(AND('341-CT'!$E$9=H2874,OR(LEFT(L2874,3)=$X$7,LEFT(M2874,3)=$X$7)),"x","")</f>
        <v/>
      </c>
      <c r="Y2874" s="525" t="str">
        <f>IF(OR(TH!L2874=TH!$Y$7,M2874=TH!$Y$7),"x","")</f>
        <v/>
      </c>
      <c r="Z2874" s="525" t="str">
        <f>IF(AND(B2874&lt;=NKC!$N$8,B2874&gt;=NKC!$M$8),"x","")</f>
        <v/>
      </c>
      <c r="AA2874" s="526"/>
      <c r="AC2874" s="576"/>
      <c r="AD2874" s="576"/>
      <c r="AE2874" s="576"/>
    </row>
    <row r="2875" spans="1:31" s="527" customFormat="1" ht="15.75" customHeight="1">
      <c r="A2875" s="517" t="str">
        <f>IF(B2875&lt;&gt;"",IF(AND(B2875&gt;=_TM1,B2875&lt;=_TM2,OR(TH!L2875="1111",TH!M2875="1111")),TH!D2875,""),"")</f>
        <v/>
      </c>
      <c r="B2875" s="518">
        <f t="shared" si="246"/>
        <v>4</v>
      </c>
      <c r="C2875" s="571">
        <f t="shared" si="247"/>
        <v>42853</v>
      </c>
      <c r="D2875" s="519" t="s">
        <v>996</v>
      </c>
      <c r="E2875" s="571">
        <v>42853</v>
      </c>
      <c r="F2875" s="572" t="s">
        <v>723</v>
      </c>
      <c r="G2875" s="573" t="s">
        <v>1116</v>
      </c>
      <c r="H2875" s="574" t="s">
        <v>800</v>
      </c>
      <c r="I2875" s="523">
        <v>12</v>
      </c>
      <c r="J2875" s="523">
        <v>10507</v>
      </c>
      <c r="K2875" s="575">
        <f t="shared" si="245"/>
        <v>126084</v>
      </c>
      <c r="L2875" s="591" t="s">
        <v>160</v>
      </c>
      <c r="M2875" s="591" t="s">
        <v>292</v>
      </c>
      <c r="N2875" s="525" t="str">
        <f>IF(AND('331-CT'!$E$7=TH!H2875,OR(L2875="331",M2875="331")),"331",IF(AND(OR(L2875="131",M2875="131"),H2875='131-CT'!$E$7),"131",""))</f>
        <v/>
      </c>
      <c r="O2875" s="525" t="str">
        <f>IF(AND($B2875&gt;='111'!$N$11,$B2875&lt;='111'!$O$11,OR($L2875=$O$7,$M2875=$O$7)),"x","")</f>
        <v/>
      </c>
      <c r="P2875" s="525" t="str">
        <f>IF(AND($L2875=$O$7,$B2875&lt;'111'!$N$11),"x","")</f>
        <v/>
      </c>
      <c r="Q2875" s="525" t="str">
        <f>IF(AND($M2875=$O$7,$B2875&lt;'111'!$N$11),"x","")</f>
        <v/>
      </c>
      <c r="R2875" s="525" t="str">
        <f>IF(ISERROR(FIND('112'!$M$9,G2875,1)),"",IF((AND(FIND('112'!$M$9,G2875,1)&gt;=1,$B2875&gt;='112'!$N$8,$B2875&lt;='112'!$O$8,OR($L2875='112'!$I$6,$M2875='112'!$I$6))),"x",""))</f>
        <v/>
      </c>
      <c r="S2875" s="525" t="str">
        <f>IF(ISERROR(FIND('112'!$M$9,G2875,1)),"",IF((AND(LEFT(G2875,2)=LEFT('112'!$M$9,2),B2875&lt;'112'!$N$8,$L2875='112'!$I$6)),"x",""))</f>
        <v/>
      </c>
      <c r="T2875" s="525" t="str">
        <f>IF(ISERROR(FIND('112'!$M$9,G2875,1)),"",IF((AND(RIGHT(G2875,2)=RIGHT('112'!$M$9,2),B2875&lt;'112'!$N$8,$M2875='112'!$I$6)),"x",""))</f>
        <v/>
      </c>
      <c r="U2875" s="525" t="str">
        <f>IF(AND(B2875&gt;='IN-NX'!$P$3,B2875&lt;='IN-NX'!$Q$3,'IN-NX'!$D$7=D2875,OR(LEFT(L2875,2)="15",AND(LEFT(M2875,2)&lt;&gt;"15",LEFT(M2875,2)&lt;&gt;"33"))),"x","")</f>
        <v/>
      </c>
      <c r="V2875" s="525" t="str">
        <f>IF(AND(OR(LEFT(TH!L2875,2)="15",LEFT(TH!M2875,2)="15"),'152-CT'!$J$8=TH!F2875),"x","")</f>
        <v/>
      </c>
      <c r="W2875" s="525" t="str">
        <f>IF(AND(OR(LEFT(TH!L2875,2)="15",LEFT(TH!M2875,2)="15"),TK!$E$7=TH!F2875),"x","")</f>
        <v/>
      </c>
      <c r="X2875" s="525" t="str">
        <f>IF(AND('341-CT'!$E$9=H2875,OR(LEFT(L2875,3)=$X$7,LEFT(M2875,3)=$X$7)),"x","")</f>
        <v/>
      </c>
      <c r="Y2875" s="525" t="str">
        <f>IF(OR(TH!L2875=TH!$Y$7,M2875=TH!$Y$7),"x","")</f>
        <v/>
      </c>
      <c r="Z2875" s="525" t="str">
        <f>IF(AND(B2875&lt;=NKC!$N$8,B2875&gt;=NKC!$M$8),"x","")</f>
        <v/>
      </c>
      <c r="AA2875" s="526"/>
      <c r="AC2875" s="576"/>
      <c r="AD2875" s="576"/>
      <c r="AE2875" s="576"/>
    </row>
    <row r="2876" spans="1:31" s="527" customFormat="1" ht="15.75" customHeight="1">
      <c r="A2876" s="517" t="str">
        <f>IF(B2876&lt;&gt;"",IF(AND(B2876&gt;=_TM1,B2876&lt;=_TM2,OR(TH!L2876="1111",TH!M2876="1111")),TH!D2876,""),"")</f>
        <v/>
      </c>
      <c r="B2876" s="518">
        <f t="shared" si="246"/>
        <v>4</v>
      </c>
      <c r="C2876" s="571">
        <f t="shared" si="247"/>
        <v>42853</v>
      </c>
      <c r="D2876" s="519" t="s">
        <v>996</v>
      </c>
      <c r="E2876" s="692">
        <v>42853</v>
      </c>
      <c r="F2876" s="572" t="s">
        <v>731</v>
      </c>
      <c r="G2876" s="573" t="s">
        <v>1116</v>
      </c>
      <c r="H2876" s="574" t="s">
        <v>800</v>
      </c>
      <c r="I2876" s="523">
        <v>10</v>
      </c>
      <c r="J2876" s="523">
        <v>54883</v>
      </c>
      <c r="K2876" s="575">
        <f t="shared" si="245"/>
        <v>548830</v>
      </c>
      <c r="L2876" s="591" t="s">
        <v>160</v>
      </c>
      <c r="M2876" s="591" t="s">
        <v>292</v>
      </c>
      <c r="N2876" s="525" t="str">
        <f>IF(AND('331-CT'!$E$7=TH!H2876,OR(L2876="331",M2876="331")),"331",IF(AND(OR(L2876="131",M2876="131"),H2876='131-CT'!$E$7),"131",""))</f>
        <v/>
      </c>
      <c r="O2876" s="525" t="str">
        <f>IF(AND($B2876&gt;='111'!$N$11,$B2876&lt;='111'!$O$11,OR($L2876=$O$7,$M2876=$O$7)),"x","")</f>
        <v/>
      </c>
      <c r="P2876" s="525" t="str">
        <f>IF(AND($L2876=$O$7,$B2876&lt;'111'!$N$11),"x","")</f>
        <v/>
      </c>
      <c r="Q2876" s="525" t="str">
        <f>IF(AND($M2876=$O$7,$B2876&lt;'111'!$N$11),"x","")</f>
        <v/>
      </c>
      <c r="R2876" s="525" t="str">
        <f>IF(ISERROR(FIND('112'!$M$9,G2876,1)),"",IF((AND(FIND('112'!$M$9,G2876,1)&gt;=1,$B2876&gt;='112'!$N$8,$B2876&lt;='112'!$O$8,OR($L2876='112'!$I$6,$M2876='112'!$I$6))),"x",""))</f>
        <v/>
      </c>
      <c r="S2876" s="525" t="str">
        <f>IF(ISERROR(FIND('112'!$M$9,G2876,1)),"",IF((AND(LEFT(G2876,2)=LEFT('112'!$M$9,2),B2876&lt;'112'!$N$8,$L2876='112'!$I$6)),"x",""))</f>
        <v/>
      </c>
      <c r="T2876" s="525" t="str">
        <f>IF(ISERROR(FIND('112'!$M$9,G2876,1)),"",IF((AND(RIGHT(G2876,2)=RIGHT('112'!$M$9,2),B2876&lt;'112'!$N$8,$M2876='112'!$I$6)),"x",""))</f>
        <v/>
      </c>
      <c r="U2876" s="525" t="str">
        <f>IF(AND(B2876&gt;='IN-NX'!$P$3,B2876&lt;='IN-NX'!$Q$3,'IN-NX'!$D$7=D2876,OR(LEFT(L2876,2)="15",AND(LEFT(M2876,2)&lt;&gt;"15",LEFT(M2876,2)&lt;&gt;"33"))),"x","")</f>
        <v/>
      </c>
      <c r="V2876" s="525" t="str">
        <f>IF(AND(OR(LEFT(TH!L2876,2)="15",LEFT(TH!M2876,2)="15"),'152-CT'!$J$8=TH!F2876),"x","")</f>
        <v/>
      </c>
      <c r="W2876" s="525" t="str">
        <f>IF(AND(OR(LEFT(TH!L2876,2)="15",LEFT(TH!M2876,2)="15"),TK!$E$7=TH!F2876),"x","")</f>
        <v/>
      </c>
      <c r="X2876" s="525" t="str">
        <f>IF(AND('341-CT'!$E$9=H2876,OR(LEFT(L2876,3)=$X$7,LEFT(M2876,3)=$X$7)),"x","")</f>
        <v/>
      </c>
      <c r="Y2876" s="525" t="str">
        <f>IF(OR(TH!L2876=TH!$Y$7,M2876=TH!$Y$7),"x","")</f>
        <v/>
      </c>
      <c r="Z2876" s="525" t="str">
        <f>IF(AND(B2876&lt;=NKC!$N$8,B2876&gt;=NKC!$M$8),"x","")</f>
        <v/>
      </c>
      <c r="AA2876" s="526"/>
      <c r="AC2876" s="576"/>
      <c r="AD2876" s="576"/>
      <c r="AE2876" s="576"/>
    </row>
    <row r="2877" spans="1:31" s="527" customFormat="1" ht="15.75" customHeight="1">
      <c r="A2877" s="517" t="str">
        <f>IF(B2877&lt;&gt;"",IF(AND(B2877&gt;=_TM1,B2877&lt;=_TM2,OR(TH!L2877="1111",TH!M2877="1111")),TH!D2877,""),"")</f>
        <v/>
      </c>
      <c r="B2877" s="518">
        <f t="shared" si="246"/>
        <v>4</v>
      </c>
      <c r="C2877" s="571">
        <f t="shared" si="247"/>
        <v>42853</v>
      </c>
      <c r="D2877" s="519" t="s">
        <v>996</v>
      </c>
      <c r="E2877" s="692">
        <v>42853</v>
      </c>
      <c r="F2877" s="577" t="s">
        <v>1023</v>
      </c>
      <c r="G2877" s="573" t="s">
        <v>1116</v>
      </c>
      <c r="H2877" s="574" t="s">
        <v>800</v>
      </c>
      <c r="I2877" s="523">
        <v>12</v>
      </c>
      <c r="J2877" s="523">
        <v>81250</v>
      </c>
      <c r="K2877" s="575">
        <f t="shared" si="245"/>
        <v>975000</v>
      </c>
      <c r="L2877" s="591" t="s">
        <v>160</v>
      </c>
      <c r="M2877" s="591" t="s">
        <v>292</v>
      </c>
      <c r="N2877" s="525" t="str">
        <f>IF(AND('331-CT'!$E$7=TH!H2877,OR(L2877="331",M2877="331")),"331",IF(AND(OR(L2877="131",M2877="131"),H2877='131-CT'!$E$7),"131",""))</f>
        <v/>
      </c>
      <c r="O2877" s="525" t="str">
        <f>IF(AND($B2877&gt;='111'!$N$11,$B2877&lt;='111'!$O$11,OR($L2877=$O$7,$M2877=$O$7)),"x","")</f>
        <v/>
      </c>
      <c r="P2877" s="525" t="str">
        <f>IF(AND($L2877=$O$7,$B2877&lt;'111'!$N$11),"x","")</f>
        <v/>
      </c>
      <c r="Q2877" s="525" t="str">
        <f>IF(AND($M2877=$O$7,$B2877&lt;'111'!$N$11),"x","")</f>
        <v/>
      </c>
      <c r="R2877" s="525" t="str">
        <f>IF(ISERROR(FIND('112'!$M$9,G2877,1)),"",IF((AND(FIND('112'!$M$9,G2877,1)&gt;=1,$B2877&gt;='112'!$N$8,$B2877&lt;='112'!$O$8,OR($L2877='112'!$I$6,$M2877='112'!$I$6))),"x",""))</f>
        <v/>
      </c>
      <c r="S2877" s="525" t="str">
        <f>IF(ISERROR(FIND('112'!$M$9,G2877,1)),"",IF((AND(LEFT(G2877,2)=LEFT('112'!$M$9,2),B2877&lt;'112'!$N$8,$L2877='112'!$I$6)),"x",""))</f>
        <v/>
      </c>
      <c r="T2877" s="525" t="str">
        <f>IF(ISERROR(FIND('112'!$M$9,G2877,1)),"",IF((AND(RIGHT(G2877,2)=RIGHT('112'!$M$9,2),B2877&lt;'112'!$N$8,$M2877='112'!$I$6)),"x",""))</f>
        <v/>
      </c>
      <c r="U2877" s="525" t="str">
        <f>IF(AND(B2877&gt;='IN-NX'!$P$3,B2877&lt;='IN-NX'!$Q$3,'IN-NX'!$D$7=D2877,OR(LEFT(L2877,2)="15",AND(LEFT(M2877,2)&lt;&gt;"15",LEFT(M2877,2)&lt;&gt;"33"))),"x","")</f>
        <v/>
      </c>
      <c r="V2877" s="525" t="str">
        <f>IF(AND(OR(LEFT(TH!L2877,2)="15",LEFT(TH!M2877,2)="15"),'152-CT'!$J$8=TH!F2877),"x","")</f>
        <v/>
      </c>
      <c r="W2877" s="525" t="str">
        <f>IF(AND(OR(LEFT(TH!L2877,2)="15",LEFT(TH!M2877,2)="15"),TK!$E$7=TH!F2877),"x","")</f>
        <v/>
      </c>
      <c r="X2877" s="525" t="str">
        <f>IF(AND('341-CT'!$E$9=H2877,OR(LEFT(L2877,3)=$X$7,LEFT(M2877,3)=$X$7)),"x","")</f>
        <v/>
      </c>
      <c r="Y2877" s="525" t="str">
        <f>IF(OR(TH!L2877=TH!$Y$7,M2877=TH!$Y$7),"x","")</f>
        <v/>
      </c>
      <c r="Z2877" s="525" t="str">
        <f>IF(AND(B2877&lt;=NKC!$N$8,B2877&gt;=NKC!$M$8),"x","")</f>
        <v/>
      </c>
      <c r="AA2877" s="526"/>
      <c r="AC2877" s="576"/>
      <c r="AD2877" s="576"/>
      <c r="AE2877" s="576"/>
    </row>
    <row r="2878" spans="1:31" s="527" customFormat="1" ht="15.75" customHeight="1">
      <c r="A2878" s="517" t="str">
        <f>IF(B2878&lt;&gt;"",IF(AND(B2878&gt;=_TM1,B2878&lt;=_TM2,OR(TH!L2878="1111",TH!M2878="1111")),TH!D2878,""),"")</f>
        <v/>
      </c>
      <c r="B2878" s="518">
        <f t="shared" si="246"/>
        <v>4</v>
      </c>
      <c r="C2878" s="571">
        <f t="shared" si="247"/>
        <v>42853</v>
      </c>
      <c r="D2878" s="519" t="s">
        <v>996</v>
      </c>
      <c r="E2878" s="692">
        <v>42853</v>
      </c>
      <c r="F2878" s="577" t="s">
        <v>1024</v>
      </c>
      <c r="G2878" s="573" t="s">
        <v>1116</v>
      </c>
      <c r="H2878" s="574" t="s">
        <v>800</v>
      </c>
      <c r="I2878" s="523">
        <v>20</v>
      </c>
      <c r="J2878" s="523">
        <v>67239</v>
      </c>
      <c r="K2878" s="575">
        <f t="shared" si="245"/>
        <v>1344780</v>
      </c>
      <c r="L2878" s="591" t="s">
        <v>160</v>
      </c>
      <c r="M2878" s="591" t="s">
        <v>292</v>
      </c>
      <c r="N2878" s="525" t="str">
        <f>IF(AND('331-CT'!$E$7=TH!H2878,OR(L2878="331",M2878="331")),"331",IF(AND(OR(L2878="131",M2878="131"),H2878='131-CT'!$E$7),"131",""))</f>
        <v/>
      </c>
      <c r="O2878" s="525" t="str">
        <f>IF(AND($B2878&gt;='111'!$N$11,$B2878&lt;='111'!$O$11,OR($L2878=$O$7,$M2878=$O$7)),"x","")</f>
        <v/>
      </c>
      <c r="P2878" s="525" t="str">
        <f>IF(AND($L2878=$O$7,$B2878&lt;'111'!$N$11),"x","")</f>
        <v/>
      </c>
      <c r="Q2878" s="525" t="str">
        <f>IF(AND($M2878=$O$7,$B2878&lt;'111'!$N$11),"x","")</f>
        <v/>
      </c>
      <c r="R2878" s="525" t="str">
        <f>IF(ISERROR(FIND('112'!$M$9,G2878,1)),"",IF((AND(FIND('112'!$M$9,G2878,1)&gt;=1,$B2878&gt;='112'!$N$8,$B2878&lt;='112'!$O$8,OR($L2878='112'!$I$6,$M2878='112'!$I$6))),"x",""))</f>
        <v/>
      </c>
      <c r="S2878" s="525" t="str">
        <f>IF(ISERROR(FIND('112'!$M$9,G2878,1)),"",IF((AND(LEFT(G2878,2)=LEFT('112'!$M$9,2),B2878&lt;'112'!$N$8,$L2878='112'!$I$6)),"x",""))</f>
        <v/>
      </c>
      <c r="T2878" s="525" t="str">
        <f>IF(ISERROR(FIND('112'!$M$9,G2878,1)),"",IF((AND(RIGHT(G2878,2)=RIGHT('112'!$M$9,2),B2878&lt;'112'!$N$8,$M2878='112'!$I$6)),"x",""))</f>
        <v/>
      </c>
      <c r="U2878" s="525" t="str">
        <f>IF(AND(B2878&gt;='IN-NX'!$P$3,B2878&lt;='IN-NX'!$Q$3,'IN-NX'!$D$7=D2878,OR(LEFT(L2878,2)="15",AND(LEFT(M2878,2)&lt;&gt;"15",LEFT(M2878,2)&lt;&gt;"33"))),"x","")</f>
        <v/>
      </c>
      <c r="V2878" s="525" t="str">
        <f>IF(AND(OR(LEFT(TH!L2878,2)="15",LEFT(TH!M2878,2)="15"),'152-CT'!$J$8=TH!F2878),"x","")</f>
        <v/>
      </c>
      <c r="W2878" s="525" t="str">
        <f>IF(AND(OR(LEFT(TH!L2878,2)="15",LEFT(TH!M2878,2)="15"),TK!$E$7=TH!F2878),"x","")</f>
        <v/>
      </c>
      <c r="X2878" s="525" t="str">
        <f>IF(AND('341-CT'!$E$9=H2878,OR(LEFT(L2878,3)=$X$7,LEFT(M2878,3)=$X$7)),"x","")</f>
        <v/>
      </c>
      <c r="Y2878" s="525" t="str">
        <f>IF(OR(TH!L2878=TH!$Y$7,M2878=TH!$Y$7),"x","")</f>
        <v/>
      </c>
      <c r="Z2878" s="525" t="str">
        <f>IF(AND(B2878&lt;=NKC!$N$8,B2878&gt;=NKC!$M$8),"x","")</f>
        <v/>
      </c>
      <c r="AA2878" s="526"/>
      <c r="AC2878" s="576"/>
      <c r="AD2878" s="576"/>
      <c r="AE2878" s="576"/>
    </row>
    <row r="2879" spans="1:31" s="527" customFormat="1" ht="15.75" customHeight="1">
      <c r="A2879" s="517" t="str">
        <f>IF(B2879&lt;&gt;"",IF(AND(B2879&gt;=_TM1,B2879&lt;=_TM2,OR(TH!L2879="1111",TH!M2879="1111")),TH!D2879,""),"")</f>
        <v/>
      </c>
      <c r="B2879" s="518">
        <f t="shared" si="246"/>
        <v>4</v>
      </c>
      <c r="C2879" s="571">
        <f t="shared" si="247"/>
        <v>42853</v>
      </c>
      <c r="D2879" s="519" t="s">
        <v>996</v>
      </c>
      <c r="E2879" s="571">
        <v>42853</v>
      </c>
      <c r="F2879" s="572" t="s">
        <v>1025</v>
      </c>
      <c r="G2879" s="573" t="s">
        <v>1116</v>
      </c>
      <c r="H2879" s="574" t="s">
        <v>800</v>
      </c>
      <c r="I2879" s="523">
        <v>24</v>
      </c>
      <c r="J2879" s="523">
        <v>45241</v>
      </c>
      <c r="K2879" s="575">
        <f t="shared" si="245"/>
        <v>1085784</v>
      </c>
      <c r="L2879" s="591" t="s">
        <v>160</v>
      </c>
      <c r="M2879" s="591" t="s">
        <v>292</v>
      </c>
      <c r="N2879" s="525" t="str">
        <f>IF(AND('331-CT'!$E$7=TH!H2879,OR(L2879="331",M2879="331")),"331",IF(AND(OR(L2879="131",M2879="131"),H2879='131-CT'!$E$7),"131",""))</f>
        <v/>
      </c>
      <c r="O2879" s="525" t="str">
        <f>IF(AND($B2879&gt;='111'!$N$11,$B2879&lt;='111'!$O$11,OR($L2879=$O$7,$M2879=$O$7)),"x","")</f>
        <v/>
      </c>
      <c r="P2879" s="525" t="str">
        <f>IF(AND($L2879=$O$7,$B2879&lt;'111'!$N$11),"x","")</f>
        <v/>
      </c>
      <c r="Q2879" s="525" t="str">
        <f>IF(AND($M2879=$O$7,$B2879&lt;'111'!$N$11),"x","")</f>
        <v/>
      </c>
      <c r="R2879" s="525" t="str">
        <f>IF(ISERROR(FIND('112'!$M$9,G2879,1)),"",IF((AND(FIND('112'!$M$9,G2879,1)&gt;=1,$B2879&gt;='112'!$N$8,$B2879&lt;='112'!$O$8,OR($L2879='112'!$I$6,$M2879='112'!$I$6))),"x",""))</f>
        <v/>
      </c>
      <c r="S2879" s="525" t="str">
        <f>IF(ISERROR(FIND('112'!$M$9,G2879,1)),"",IF((AND(LEFT(G2879,2)=LEFT('112'!$M$9,2),B2879&lt;'112'!$N$8,$L2879='112'!$I$6)),"x",""))</f>
        <v/>
      </c>
      <c r="T2879" s="525" t="str">
        <f>IF(ISERROR(FIND('112'!$M$9,G2879,1)),"",IF((AND(RIGHT(G2879,2)=RIGHT('112'!$M$9,2),B2879&lt;'112'!$N$8,$M2879='112'!$I$6)),"x",""))</f>
        <v/>
      </c>
      <c r="U2879" s="525" t="str">
        <f>IF(AND(B2879&gt;='IN-NX'!$P$3,B2879&lt;='IN-NX'!$Q$3,'IN-NX'!$D$7=D2879,OR(LEFT(L2879,2)="15",AND(LEFT(M2879,2)&lt;&gt;"15",LEFT(M2879,2)&lt;&gt;"33"))),"x","")</f>
        <v/>
      </c>
      <c r="V2879" s="525" t="str">
        <f>IF(AND(OR(LEFT(TH!L2879,2)="15",LEFT(TH!M2879,2)="15"),'152-CT'!$J$8=TH!F2879),"x","")</f>
        <v/>
      </c>
      <c r="W2879" s="525" t="str">
        <f>IF(AND(OR(LEFT(TH!L2879,2)="15",LEFT(TH!M2879,2)="15"),TK!$E$7=TH!F2879),"x","")</f>
        <v/>
      </c>
      <c r="X2879" s="525" t="str">
        <f>IF(AND('341-CT'!$E$9=H2879,OR(LEFT(L2879,3)=$X$7,LEFT(M2879,3)=$X$7)),"x","")</f>
        <v/>
      </c>
      <c r="Y2879" s="525" t="str">
        <f>IF(OR(TH!L2879=TH!$Y$7,M2879=TH!$Y$7),"x","")</f>
        <v/>
      </c>
      <c r="Z2879" s="525" t="str">
        <f>IF(AND(B2879&lt;=NKC!$N$8,B2879&gt;=NKC!$M$8),"x","")</f>
        <v/>
      </c>
      <c r="AA2879" s="526"/>
      <c r="AC2879" s="576"/>
      <c r="AD2879" s="576"/>
      <c r="AE2879" s="576"/>
    </row>
    <row r="2880" spans="1:31" s="527" customFormat="1" ht="15.75" customHeight="1">
      <c r="A2880" s="517" t="str">
        <f>IF(B2880&lt;&gt;"",IF(AND(B2880&gt;=_TM1,B2880&lt;=_TM2,OR(TH!L2880="1111",TH!M2880="1111")),TH!D2880,""),"")</f>
        <v/>
      </c>
      <c r="B2880" s="518">
        <f t="shared" si="246"/>
        <v>4</v>
      </c>
      <c r="C2880" s="571">
        <f t="shared" si="247"/>
        <v>42853</v>
      </c>
      <c r="D2880" s="519" t="s">
        <v>996</v>
      </c>
      <c r="E2880" s="571">
        <v>42853</v>
      </c>
      <c r="F2880" s="572" t="s">
        <v>1026</v>
      </c>
      <c r="G2880" s="573" t="s">
        <v>1116</v>
      </c>
      <c r="H2880" s="574" t="s">
        <v>800</v>
      </c>
      <c r="I2880" s="523">
        <v>2</v>
      </c>
      <c r="J2880" s="523">
        <v>84794</v>
      </c>
      <c r="K2880" s="575">
        <f t="shared" ref="K2880:K2943" si="248">ROUND(I2880*J2880,0)</f>
        <v>169588</v>
      </c>
      <c r="L2880" s="591" t="s">
        <v>160</v>
      </c>
      <c r="M2880" s="591" t="s">
        <v>292</v>
      </c>
      <c r="N2880" s="525" t="str">
        <f>IF(AND('331-CT'!$E$7=TH!H2880,OR(L2880="331",M2880="331")),"331",IF(AND(OR(L2880="131",M2880="131"),H2880='131-CT'!$E$7),"131",""))</f>
        <v/>
      </c>
      <c r="O2880" s="525" t="str">
        <f>IF(AND($B2880&gt;='111'!$N$11,$B2880&lt;='111'!$O$11,OR($L2880=$O$7,$M2880=$O$7)),"x","")</f>
        <v/>
      </c>
      <c r="P2880" s="525" t="str">
        <f>IF(AND($L2880=$O$7,$B2880&lt;'111'!$N$11),"x","")</f>
        <v/>
      </c>
      <c r="Q2880" s="525" t="str">
        <f>IF(AND($M2880=$O$7,$B2880&lt;'111'!$N$11),"x","")</f>
        <v/>
      </c>
      <c r="R2880" s="525" t="str">
        <f>IF(ISERROR(FIND('112'!$M$9,G2880,1)),"",IF((AND(FIND('112'!$M$9,G2880,1)&gt;=1,$B2880&gt;='112'!$N$8,$B2880&lt;='112'!$O$8,OR($L2880='112'!$I$6,$M2880='112'!$I$6))),"x",""))</f>
        <v/>
      </c>
      <c r="S2880" s="525" t="str">
        <f>IF(ISERROR(FIND('112'!$M$9,G2880,1)),"",IF((AND(LEFT(G2880,2)=LEFT('112'!$M$9,2),B2880&lt;'112'!$N$8,$L2880='112'!$I$6)),"x",""))</f>
        <v/>
      </c>
      <c r="T2880" s="525" t="str">
        <f>IF(ISERROR(FIND('112'!$M$9,G2880,1)),"",IF((AND(RIGHT(G2880,2)=RIGHT('112'!$M$9,2),B2880&lt;'112'!$N$8,$M2880='112'!$I$6)),"x",""))</f>
        <v/>
      </c>
      <c r="U2880" s="525" t="str">
        <f>IF(AND(B2880&gt;='IN-NX'!$P$3,B2880&lt;='IN-NX'!$Q$3,'IN-NX'!$D$7=D2880,OR(LEFT(L2880,2)="15",AND(LEFT(M2880,2)&lt;&gt;"15",LEFT(M2880,2)&lt;&gt;"33"))),"x","")</f>
        <v/>
      </c>
      <c r="V2880" s="525" t="str">
        <f>IF(AND(OR(LEFT(TH!L2880,2)="15",LEFT(TH!M2880,2)="15"),'152-CT'!$J$8=TH!F2880),"x","")</f>
        <v/>
      </c>
      <c r="W2880" s="525" t="str">
        <f>IF(AND(OR(LEFT(TH!L2880,2)="15",LEFT(TH!M2880,2)="15"),TK!$E$7=TH!F2880),"x","")</f>
        <v/>
      </c>
      <c r="X2880" s="525" t="str">
        <f>IF(AND('341-CT'!$E$9=H2880,OR(LEFT(L2880,3)=$X$7,LEFT(M2880,3)=$X$7)),"x","")</f>
        <v/>
      </c>
      <c r="Y2880" s="525" t="str">
        <f>IF(OR(TH!L2880=TH!$Y$7,M2880=TH!$Y$7),"x","")</f>
        <v/>
      </c>
      <c r="Z2880" s="525" t="str">
        <f>IF(AND(B2880&lt;=NKC!$N$8,B2880&gt;=NKC!$M$8),"x","")</f>
        <v/>
      </c>
      <c r="AA2880" s="526"/>
      <c r="AC2880" s="576"/>
      <c r="AD2880" s="576"/>
      <c r="AE2880" s="576"/>
    </row>
    <row r="2881" spans="1:31" s="527" customFormat="1" ht="15.75" customHeight="1">
      <c r="A2881" s="517" t="str">
        <f>IF(B2881&lt;&gt;"",IF(AND(B2881&gt;=_TM1,B2881&lt;=_TM2,OR(TH!L2881="1111",TH!M2881="1111")),TH!D2881,""),"")</f>
        <v/>
      </c>
      <c r="B2881" s="518">
        <f t="shared" si="246"/>
        <v>4</v>
      </c>
      <c r="C2881" s="571">
        <f t="shared" si="247"/>
        <v>42853</v>
      </c>
      <c r="D2881" s="519" t="s">
        <v>996</v>
      </c>
      <c r="E2881" s="571">
        <v>42853</v>
      </c>
      <c r="F2881" s="572" t="s">
        <v>1027</v>
      </c>
      <c r="G2881" s="573" t="s">
        <v>1116</v>
      </c>
      <c r="H2881" s="574" t="s">
        <v>800</v>
      </c>
      <c r="I2881" s="523">
        <v>4</v>
      </c>
      <c r="J2881" s="523">
        <v>72681</v>
      </c>
      <c r="K2881" s="575">
        <f t="shared" si="248"/>
        <v>290724</v>
      </c>
      <c r="L2881" s="591" t="s">
        <v>160</v>
      </c>
      <c r="M2881" s="591" t="s">
        <v>292</v>
      </c>
      <c r="N2881" s="525" t="str">
        <f>IF(AND('331-CT'!$E$7=TH!H2881,OR(L2881="331",M2881="331")),"331",IF(AND(OR(L2881="131",M2881="131"),H2881='131-CT'!$E$7),"131",""))</f>
        <v/>
      </c>
      <c r="O2881" s="525" t="str">
        <f>IF(AND($B2881&gt;='111'!$N$11,$B2881&lt;='111'!$O$11,OR($L2881=$O$7,$M2881=$O$7)),"x","")</f>
        <v/>
      </c>
      <c r="P2881" s="525" t="str">
        <f>IF(AND($L2881=$O$7,$B2881&lt;'111'!$N$11),"x","")</f>
        <v/>
      </c>
      <c r="Q2881" s="525" t="str">
        <f>IF(AND($M2881=$O$7,$B2881&lt;'111'!$N$11),"x","")</f>
        <v/>
      </c>
      <c r="R2881" s="525" t="str">
        <f>IF(ISERROR(FIND('112'!$M$9,G2881,1)),"",IF((AND(FIND('112'!$M$9,G2881,1)&gt;=1,$B2881&gt;='112'!$N$8,$B2881&lt;='112'!$O$8,OR($L2881='112'!$I$6,$M2881='112'!$I$6))),"x",""))</f>
        <v/>
      </c>
      <c r="S2881" s="525" t="str">
        <f>IF(ISERROR(FIND('112'!$M$9,G2881,1)),"",IF((AND(LEFT(G2881,2)=LEFT('112'!$M$9,2),B2881&lt;'112'!$N$8,$L2881='112'!$I$6)),"x",""))</f>
        <v/>
      </c>
      <c r="T2881" s="525" t="str">
        <f>IF(ISERROR(FIND('112'!$M$9,G2881,1)),"",IF((AND(RIGHT(G2881,2)=RIGHT('112'!$M$9,2),B2881&lt;'112'!$N$8,$M2881='112'!$I$6)),"x",""))</f>
        <v/>
      </c>
      <c r="U2881" s="525" t="str">
        <f>IF(AND(B2881&gt;='IN-NX'!$P$3,B2881&lt;='IN-NX'!$Q$3,'IN-NX'!$D$7=D2881,OR(LEFT(L2881,2)="15",AND(LEFT(M2881,2)&lt;&gt;"15",LEFT(M2881,2)&lt;&gt;"33"))),"x","")</f>
        <v/>
      </c>
      <c r="V2881" s="525" t="str">
        <f>IF(AND(OR(LEFT(TH!L2881,2)="15",LEFT(TH!M2881,2)="15"),'152-CT'!$J$8=TH!F2881),"x","")</f>
        <v/>
      </c>
      <c r="W2881" s="525" t="str">
        <f>IF(AND(OR(LEFT(TH!L2881,2)="15",LEFT(TH!M2881,2)="15"),TK!$E$7=TH!F2881),"x","")</f>
        <v/>
      </c>
      <c r="X2881" s="525" t="str">
        <f>IF(AND('341-CT'!$E$9=H2881,OR(LEFT(L2881,3)=$X$7,LEFT(M2881,3)=$X$7)),"x","")</f>
        <v/>
      </c>
      <c r="Y2881" s="525" t="str">
        <f>IF(OR(TH!L2881=TH!$Y$7,M2881=TH!$Y$7),"x","")</f>
        <v/>
      </c>
      <c r="Z2881" s="525" t="str">
        <f>IF(AND(B2881&lt;=NKC!$N$8,B2881&gt;=NKC!$M$8),"x","")</f>
        <v/>
      </c>
      <c r="AA2881" s="526"/>
      <c r="AC2881" s="576"/>
      <c r="AD2881" s="576"/>
      <c r="AE2881" s="576"/>
    </row>
    <row r="2882" spans="1:31" s="527" customFormat="1" ht="15.75" customHeight="1">
      <c r="A2882" s="517" t="str">
        <f>IF(B2882&lt;&gt;"",IF(AND(B2882&gt;=_TM1,B2882&lt;=_TM2,OR(TH!L2882="1111",TH!M2882="1111")),TH!D2882,""),"")</f>
        <v/>
      </c>
      <c r="B2882" s="518">
        <f t="shared" si="246"/>
        <v>4</v>
      </c>
      <c r="C2882" s="571">
        <f t="shared" si="247"/>
        <v>42853</v>
      </c>
      <c r="D2882" s="519" t="s">
        <v>996</v>
      </c>
      <c r="E2882" s="571">
        <v>42853</v>
      </c>
      <c r="F2882" s="572" t="s">
        <v>1028</v>
      </c>
      <c r="G2882" s="573" t="s">
        <v>1116</v>
      </c>
      <c r="H2882" s="574" t="s">
        <v>800</v>
      </c>
      <c r="I2882" s="523">
        <v>15</v>
      </c>
      <c r="J2882" s="523">
        <v>89202</v>
      </c>
      <c r="K2882" s="575">
        <f t="shared" si="248"/>
        <v>1338030</v>
      </c>
      <c r="L2882" s="591" t="s">
        <v>160</v>
      </c>
      <c r="M2882" s="591" t="s">
        <v>292</v>
      </c>
      <c r="N2882" s="525" t="str">
        <f>IF(AND('331-CT'!$E$7=TH!H2882,OR(L2882="331",M2882="331")),"331",IF(AND(OR(L2882="131",M2882="131"),H2882='131-CT'!$E$7),"131",""))</f>
        <v/>
      </c>
      <c r="O2882" s="525" t="str">
        <f>IF(AND($B2882&gt;='111'!$N$11,$B2882&lt;='111'!$O$11,OR($L2882=$O$7,$M2882=$O$7)),"x","")</f>
        <v/>
      </c>
      <c r="P2882" s="525" t="str">
        <f>IF(AND($L2882=$O$7,$B2882&lt;'111'!$N$11),"x","")</f>
        <v/>
      </c>
      <c r="Q2882" s="525" t="str">
        <f>IF(AND($M2882=$O$7,$B2882&lt;'111'!$N$11),"x","")</f>
        <v/>
      </c>
      <c r="R2882" s="525" t="str">
        <f>IF(ISERROR(FIND('112'!$M$9,G2882,1)),"",IF((AND(FIND('112'!$M$9,G2882,1)&gt;=1,$B2882&gt;='112'!$N$8,$B2882&lt;='112'!$O$8,OR($L2882='112'!$I$6,$M2882='112'!$I$6))),"x",""))</f>
        <v/>
      </c>
      <c r="S2882" s="525" t="str">
        <f>IF(ISERROR(FIND('112'!$M$9,G2882,1)),"",IF((AND(LEFT(G2882,2)=LEFT('112'!$M$9,2),B2882&lt;'112'!$N$8,$L2882='112'!$I$6)),"x",""))</f>
        <v/>
      </c>
      <c r="T2882" s="525" t="str">
        <f>IF(ISERROR(FIND('112'!$M$9,G2882,1)),"",IF((AND(RIGHT(G2882,2)=RIGHT('112'!$M$9,2),B2882&lt;'112'!$N$8,$M2882='112'!$I$6)),"x",""))</f>
        <v/>
      </c>
      <c r="U2882" s="525" t="str">
        <f>IF(AND(B2882&gt;='IN-NX'!$P$3,B2882&lt;='IN-NX'!$Q$3,'IN-NX'!$D$7=D2882,OR(LEFT(L2882,2)="15",AND(LEFT(M2882,2)&lt;&gt;"15",LEFT(M2882,2)&lt;&gt;"33"))),"x","")</f>
        <v/>
      </c>
      <c r="V2882" s="525" t="str">
        <f>IF(AND(OR(LEFT(TH!L2882,2)="15",LEFT(TH!M2882,2)="15"),'152-CT'!$J$8=TH!F2882),"x","")</f>
        <v/>
      </c>
      <c r="W2882" s="525" t="str">
        <f>IF(AND(OR(LEFT(TH!L2882,2)="15",LEFT(TH!M2882,2)="15"),TK!$E$7=TH!F2882),"x","")</f>
        <v/>
      </c>
      <c r="X2882" s="525" t="str">
        <f>IF(AND('341-CT'!$E$9=H2882,OR(LEFT(L2882,3)=$X$7,LEFT(M2882,3)=$X$7)),"x","")</f>
        <v/>
      </c>
      <c r="Y2882" s="525" t="str">
        <f>IF(OR(TH!L2882=TH!$Y$7,M2882=TH!$Y$7),"x","")</f>
        <v/>
      </c>
      <c r="Z2882" s="525" t="str">
        <f>IF(AND(B2882&lt;=NKC!$N$8,B2882&gt;=NKC!$M$8),"x","")</f>
        <v/>
      </c>
      <c r="AA2882" s="526"/>
      <c r="AC2882" s="576"/>
      <c r="AD2882" s="576"/>
      <c r="AE2882" s="576"/>
    </row>
    <row r="2883" spans="1:31" s="527" customFormat="1" ht="15.75" customHeight="1">
      <c r="A2883" s="517" t="str">
        <f>IF(B2883&lt;&gt;"",IF(AND(B2883&gt;=_TM1,B2883&lt;=_TM2,OR(TH!L2883="1111",TH!M2883="1111")),TH!D2883,""),"")</f>
        <v/>
      </c>
      <c r="B2883" s="518">
        <f t="shared" si="246"/>
        <v>4</v>
      </c>
      <c r="C2883" s="571">
        <f t="shared" si="247"/>
        <v>42853</v>
      </c>
      <c r="D2883" s="519" t="s">
        <v>996</v>
      </c>
      <c r="E2883" s="571">
        <v>42853</v>
      </c>
      <c r="F2883" s="572" t="s">
        <v>735</v>
      </c>
      <c r="G2883" s="573" t="s">
        <v>1116</v>
      </c>
      <c r="H2883" s="574" t="s">
        <v>800</v>
      </c>
      <c r="I2883" s="523">
        <v>12</v>
      </c>
      <c r="J2883" s="523">
        <v>49660</v>
      </c>
      <c r="K2883" s="575">
        <f t="shared" si="248"/>
        <v>595920</v>
      </c>
      <c r="L2883" s="591" t="s">
        <v>160</v>
      </c>
      <c r="M2883" s="591" t="s">
        <v>292</v>
      </c>
      <c r="N2883" s="525" t="str">
        <f>IF(AND('331-CT'!$E$7=TH!H2883,OR(L2883="331",M2883="331")),"331",IF(AND(OR(L2883="131",M2883="131"),H2883='131-CT'!$E$7),"131",""))</f>
        <v/>
      </c>
      <c r="O2883" s="525" t="str">
        <f>IF(AND($B2883&gt;='111'!$N$11,$B2883&lt;='111'!$O$11,OR($L2883=$O$7,$M2883=$O$7)),"x","")</f>
        <v/>
      </c>
      <c r="P2883" s="525" t="str">
        <f>IF(AND($L2883=$O$7,$B2883&lt;'111'!$N$11),"x","")</f>
        <v/>
      </c>
      <c r="Q2883" s="525" t="str">
        <f>IF(AND($M2883=$O$7,$B2883&lt;'111'!$N$11),"x","")</f>
        <v/>
      </c>
      <c r="R2883" s="525" t="str">
        <f>IF(ISERROR(FIND('112'!$M$9,G2883,1)),"",IF((AND(FIND('112'!$M$9,G2883,1)&gt;=1,$B2883&gt;='112'!$N$8,$B2883&lt;='112'!$O$8,OR($L2883='112'!$I$6,$M2883='112'!$I$6))),"x",""))</f>
        <v/>
      </c>
      <c r="S2883" s="525" t="str">
        <f>IF(ISERROR(FIND('112'!$M$9,G2883,1)),"",IF((AND(LEFT(G2883,2)=LEFT('112'!$M$9,2),B2883&lt;'112'!$N$8,$L2883='112'!$I$6)),"x",""))</f>
        <v/>
      </c>
      <c r="T2883" s="525" t="str">
        <f>IF(ISERROR(FIND('112'!$M$9,G2883,1)),"",IF((AND(RIGHT(G2883,2)=RIGHT('112'!$M$9,2),B2883&lt;'112'!$N$8,$M2883='112'!$I$6)),"x",""))</f>
        <v/>
      </c>
      <c r="U2883" s="525" t="str">
        <f>IF(AND(B2883&gt;='IN-NX'!$P$3,B2883&lt;='IN-NX'!$Q$3,'IN-NX'!$D$7=D2883,OR(LEFT(L2883,2)="15",AND(LEFT(M2883,2)&lt;&gt;"15",LEFT(M2883,2)&lt;&gt;"33"))),"x","")</f>
        <v/>
      </c>
      <c r="V2883" s="525" t="str">
        <f>IF(AND(OR(LEFT(TH!L2883,2)="15",LEFT(TH!M2883,2)="15"),'152-CT'!$J$8=TH!F2883),"x","")</f>
        <v/>
      </c>
      <c r="W2883" s="525" t="str">
        <f>IF(AND(OR(LEFT(TH!L2883,2)="15",LEFT(TH!M2883,2)="15"),TK!$E$7=TH!F2883),"x","")</f>
        <v/>
      </c>
      <c r="X2883" s="525" t="str">
        <f>IF(AND('341-CT'!$E$9=H2883,OR(LEFT(L2883,3)=$X$7,LEFT(M2883,3)=$X$7)),"x","")</f>
        <v/>
      </c>
      <c r="Y2883" s="525" t="str">
        <f>IF(OR(TH!L2883=TH!$Y$7,M2883=TH!$Y$7),"x","")</f>
        <v/>
      </c>
      <c r="Z2883" s="525" t="str">
        <f>IF(AND(B2883&lt;=NKC!$N$8,B2883&gt;=NKC!$M$8),"x","")</f>
        <v/>
      </c>
      <c r="AA2883" s="526"/>
      <c r="AC2883" s="576"/>
      <c r="AD2883" s="576"/>
      <c r="AE2883" s="576"/>
    </row>
    <row r="2884" spans="1:31" s="527" customFormat="1" ht="15.75" customHeight="1">
      <c r="A2884" s="517" t="str">
        <f>IF(B2884&lt;&gt;"",IF(AND(B2884&gt;=_TM1,B2884&lt;=_TM2,OR(TH!L2884="1111",TH!M2884="1111")),TH!D2884,""),"")</f>
        <v/>
      </c>
      <c r="B2884" s="518">
        <f t="shared" si="246"/>
        <v>4</v>
      </c>
      <c r="C2884" s="571">
        <f t="shared" si="247"/>
        <v>42853</v>
      </c>
      <c r="D2884" s="519" t="s">
        <v>996</v>
      </c>
      <c r="E2884" s="571">
        <v>42853</v>
      </c>
      <c r="F2884" s="572" t="s">
        <v>736</v>
      </c>
      <c r="G2884" s="573" t="s">
        <v>1116</v>
      </c>
      <c r="H2884" s="574" t="s">
        <v>800</v>
      </c>
      <c r="I2884" s="523">
        <v>12</v>
      </c>
      <c r="J2884" s="523">
        <v>78500</v>
      </c>
      <c r="K2884" s="575">
        <f t="shared" si="248"/>
        <v>942000</v>
      </c>
      <c r="L2884" s="591" t="s">
        <v>160</v>
      </c>
      <c r="M2884" s="591" t="s">
        <v>292</v>
      </c>
      <c r="N2884" s="525" t="str">
        <f>IF(AND('331-CT'!$E$7=TH!H2884,OR(L2884="331",M2884="331")),"331",IF(AND(OR(L2884="131",M2884="131"),H2884='131-CT'!$E$7),"131",""))</f>
        <v/>
      </c>
      <c r="O2884" s="525" t="str">
        <f>IF(AND($B2884&gt;='111'!$N$11,$B2884&lt;='111'!$O$11,OR($L2884=$O$7,$M2884=$O$7)),"x","")</f>
        <v/>
      </c>
      <c r="P2884" s="525" t="str">
        <f>IF(AND($L2884=$O$7,$B2884&lt;'111'!$N$11),"x","")</f>
        <v/>
      </c>
      <c r="Q2884" s="525" t="str">
        <f>IF(AND($M2884=$O$7,$B2884&lt;'111'!$N$11),"x","")</f>
        <v/>
      </c>
      <c r="R2884" s="525" t="str">
        <f>IF(ISERROR(FIND('112'!$M$9,G2884,1)),"",IF((AND(FIND('112'!$M$9,G2884,1)&gt;=1,$B2884&gt;='112'!$N$8,$B2884&lt;='112'!$O$8,OR($L2884='112'!$I$6,$M2884='112'!$I$6))),"x",""))</f>
        <v/>
      </c>
      <c r="S2884" s="525" t="str">
        <f>IF(ISERROR(FIND('112'!$M$9,G2884,1)),"",IF((AND(LEFT(G2884,2)=LEFT('112'!$M$9,2),B2884&lt;'112'!$N$8,$L2884='112'!$I$6)),"x",""))</f>
        <v/>
      </c>
      <c r="T2884" s="525" t="str">
        <f>IF(ISERROR(FIND('112'!$M$9,G2884,1)),"",IF((AND(RIGHT(G2884,2)=RIGHT('112'!$M$9,2),B2884&lt;'112'!$N$8,$M2884='112'!$I$6)),"x",""))</f>
        <v/>
      </c>
      <c r="U2884" s="525" t="str">
        <f>IF(AND(B2884&gt;='IN-NX'!$P$3,B2884&lt;='IN-NX'!$Q$3,'IN-NX'!$D$7=D2884,OR(LEFT(L2884,2)="15",AND(LEFT(M2884,2)&lt;&gt;"15",LEFT(M2884,2)&lt;&gt;"33"))),"x","")</f>
        <v/>
      </c>
      <c r="V2884" s="525" t="str">
        <f>IF(AND(OR(LEFT(TH!L2884,2)="15",LEFT(TH!M2884,2)="15"),'152-CT'!$J$8=TH!F2884),"x","")</f>
        <v/>
      </c>
      <c r="W2884" s="525" t="str">
        <f>IF(AND(OR(LEFT(TH!L2884,2)="15",LEFT(TH!M2884,2)="15"),TK!$E$7=TH!F2884),"x","")</f>
        <v/>
      </c>
      <c r="X2884" s="525" t="str">
        <f>IF(AND('341-CT'!$E$9=H2884,OR(LEFT(L2884,3)=$X$7,LEFT(M2884,3)=$X$7)),"x","")</f>
        <v/>
      </c>
      <c r="Y2884" s="525" t="str">
        <f>IF(OR(TH!L2884=TH!$Y$7,M2884=TH!$Y$7),"x","")</f>
        <v/>
      </c>
      <c r="Z2884" s="525" t="str">
        <f>IF(AND(B2884&lt;=NKC!$N$8,B2884&gt;=NKC!$M$8),"x","")</f>
        <v/>
      </c>
      <c r="AA2884" s="526"/>
      <c r="AC2884" s="576"/>
      <c r="AD2884" s="576"/>
      <c r="AE2884" s="576"/>
    </row>
    <row r="2885" spans="1:31" s="527" customFormat="1" ht="15.75" customHeight="1">
      <c r="A2885" s="517" t="str">
        <f>IF(B2885&lt;&gt;"",IF(AND(B2885&gt;=_TM1,B2885&lt;=_TM2,OR(TH!L2885="1111",TH!M2885="1111")),TH!D2885,""),"")</f>
        <v/>
      </c>
      <c r="B2885" s="518">
        <f t="shared" si="246"/>
        <v>4</v>
      </c>
      <c r="C2885" s="571">
        <f t="shared" si="247"/>
        <v>42853</v>
      </c>
      <c r="D2885" s="519" t="s">
        <v>996</v>
      </c>
      <c r="E2885" s="571">
        <v>42853</v>
      </c>
      <c r="F2885" s="572" t="s">
        <v>1041</v>
      </c>
      <c r="G2885" s="573" t="s">
        <v>1116</v>
      </c>
      <c r="H2885" s="574" t="s">
        <v>800</v>
      </c>
      <c r="I2885" s="523">
        <v>12</v>
      </c>
      <c r="J2885" s="523">
        <v>21268</v>
      </c>
      <c r="K2885" s="575">
        <f t="shared" si="248"/>
        <v>255216</v>
      </c>
      <c r="L2885" s="591" t="s">
        <v>160</v>
      </c>
      <c r="M2885" s="591" t="s">
        <v>292</v>
      </c>
      <c r="N2885" s="525" t="str">
        <f>IF(AND('331-CT'!$E$7=TH!H2885,OR(L2885="331",M2885="331")),"331",IF(AND(OR(L2885="131",M2885="131"),H2885='131-CT'!$E$7),"131",""))</f>
        <v/>
      </c>
      <c r="O2885" s="525" t="str">
        <f>IF(AND($B2885&gt;='111'!$N$11,$B2885&lt;='111'!$O$11,OR($L2885=$O$7,$M2885=$O$7)),"x","")</f>
        <v/>
      </c>
      <c r="P2885" s="525" t="str">
        <f>IF(AND($L2885=$O$7,$B2885&lt;'111'!$N$11),"x","")</f>
        <v/>
      </c>
      <c r="Q2885" s="525" t="str">
        <f>IF(AND($M2885=$O$7,$B2885&lt;'111'!$N$11),"x","")</f>
        <v/>
      </c>
      <c r="R2885" s="525" t="str">
        <f>IF(ISERROR(FIND('112'!$M$9,G2885,1)),"",IF((AND(FIND('112'!$M$9,G2885,1)&gt;=1,$B2885&gt;='112'!$N$8,$B2885&lt;='112'!$O$8,OR($L2885='112'!$I$6,$M2885='112'!$I$6))),"x",""))</f>
        <v/>
      </c>
      <c r="S2885" s="525" t="str">
        <f>IF(ISERROR(FIND('112'!$M$9,G2885,1)),"",IF((AND(LEFT(G2885,2)=LEFT('112'!$M$9,2),B2885&lt;'112'!$N$8,$L2885='112'!$I$6)),"x",""))</f>
        <v/>
      </c>
      <c r="T2885" s="525" t="str">
        <f>IF(ISERROR(FIND('112'!$M$9,G2885,1)),"",IF((AND(RIGHT(G2885,2)=RIGHT('112'!$M$9,2),B2885&lt;'112'!$N$8,$M2885='112'!$I$6)),"x",""))</f>
        <v/>
      </c>
      <c r="U2885" s="525" t="str">
        <f>IF(AND(B2885&gt;='IN-NX'!$P$3,B2885&lt;='IN-NX'!$Q$3,'IN-NX'!$D$7=D2885,OR(LEFT(L2885,2)="15",AND(LEFT(M2885,2)&lt;&gt;"15",LEFT(M2885,2)&lt;&gt;"33"))),"x","")</f>
        <v/>
      </c>
      <c r="V2885" s="525" t="str">
        <f>IF(AND(OR(LEFT(TH!L2885,2)="15",LEFT(TH!M2885,2)="15"),'152-CT'!$J$8=TH!F2885),"x","")</f>
        <v/>
      </c>
      <c r="W2885" s="525" t="str">
        <f>IF(AND(OR(LEFT(TH!L2885,2)="15",LEFT(TH!M2885,2)="15"),TK!$E$7=TH!F2885),"x","")</f>
        <v/>
      </c>
      <c r="X2885" s="525" t="str">
        <f>IF(AND('341-CT'!$E$9=H2885,OR(LEFT(L2885,3)=$X$7,LEFT(M2885,3)=$X$7)),"x","")</f>
        <v/>
      </c>
      <c r="Y2885" s="525" t="str">
        <f>IF(OR(TH!L2885=TH!$Y$7,M2885=TH!$Y$7),"x","")</f>
        <v/>
      </c>
      <c r="Z2885" s="525" t="str">
        <f>IF(AND(B2885&lt;=NKC!$N$8,B2885&gt;=NKC!$M$8),"x","")</f>
        <v/>
      </c>
      <c r="AA2885" s="526"/>
      <c r="AC2885" s="576"/>
      <c r="AD2885" s="576"/>
      <c r="AE2885" s="576"/>
    </row>
    <row r="2886" spans="1:31" s="527" customFormat="1" ht="15.75" customHeight="1">
      <c r="A2886" s="517" t="str">
        <f>IF(B2886&lt;&gt;"",IF(AND(B2886&gt;=_TM1,B2886&lt;=_TM2,OR(TH!L2886="1111",TH!M2886="1111")),TH!D2886,""),"")</f>
        <v/>
      </c>
      <c r="B2886" s="518">
        <f t="shared" si="246"/>
        <v>4</v>
      </c>
      <c r="C2886" s="571">
        <f t="shared" si="247"/>
        <v>42853</v>
      </c>
      <c r="D2886" s="519" t="s">
        <v>996</v>
      </c>
      <c r="E2886" s="571">
        <v>42853</v>
      </c>
      <c r="F2886" s="572" t="s">
        <v>665</v>
      </c>
      <c r="G2886" s="573" t="s">
        <v>1116</v>
      </c>
      <c r="H2886" s="574" t="s">
        <v>800</v>
      </c>
      <c r="I2886" s="523">
        <v>12</v>
      </c>
      <c r="J2886" s="523">
        <v>14428</v>
      </c>
      <c r="K2886" s="575">
        <f t="shared" si="248"/>
        <v>173136</v>
      </c>
      <c r="L2886" s="591" t="s">
        <v>160</v>
      </c>
      <c r="M2886" s="591" t="s">
        <v>292</v>
      </c>
      <c r="N2886" s="525" t="str">
        <f>IF(AND('331-CT'!$E$7=TH!H2886,OR(L2886="331",M2886="331")),"331",IF(AND(OR(L2886="131",M2886="131"),H2886='131-CT'!$E$7),"131",""))</f>
        <v/>
      </c>
      <c r="O2886" s="525" t="str">
        <f>IF(AND($B2886&gt;='111'!$N$11,$B2886&lt;='111'!$O$11,OR($L2886=$O$7,$M2886=$O$7)),"x","")</f>
        <v/>
      </c>
      <c r="P2886" s="525" t="str">
        <f>IF(AND($L2886=$O$7,$B2886&lt;'111'!$N$11),"x","")</f>
        <v/>
      </c>
      <c r="Q2886" s="525" t="str">
        <f>IF(AND($M2886=$O$7,$B2886&lt;'111'!$N$11),"x","")</f>
        <v/>
      </c>
      <c r="R2886" s="525" t="str">
        <f>IF(ISERROR(FIND('112'!$M$9,G2886,1)),"",IF((AND(FIND('112'!$M$9,G2886,1)&gt;=1,$B2886&gt;='112'!$N$8,$B2886&lt;='112'!$O$8,OR($L2886='112'!$I$6,$M2886='112'!$I$6))),"x",""))</f>
        <v/>
      </c>
      <c r="S2886" s="525" t="str">
        <f>IF(ISERROR(FIND('112'!$M$9,G2886,1)),"",IF((AND(LEFT(G2886,2)=LEFT('112'!$M$9,2),B2886&lt;'112'!$N$8,$L2886='112'!$I$6)),"x",""))</f>
        <v/>
      </c>
      <c r="T2886" s="525" t="str">
        <f>IF(ISERROR(FIND('112'!$M$9,G2886,1)),"",IF((AND(RIGHT(G2886,2)=RIGHT('112'!$M$9,2),B2886&lt;'112'!$N$8,$M2886='112'!$I$6)),"x",""))</f>
        <v/>
      </c>
      <c r="U2886" s="525" t="str">
        <f>IF(AND(B2886&gt;='IN-NX'!$P$3,B2886&lt;='IN-NX'!$Q$3,'IN-NX'!$D$7=D2886,OR(LEFT(L2886,2)="15",AND(LEFT(M2886,2)&lt;&gt;"15",LEFT(M2886,2)&lt;&gt;"33"))),"x","")</f>
        <v/>
      </c>
      <c r="V2886" s="525" t="str">
        <f>IF(AND(OR(LEFT(TH!L2886,2)="15",LEFT(TH!M2886,2)="15"),'152-CT'!$J$8=TH!F2886),"x","")</f>
        <v/>
      </c>
      <c r="W2886" s="525" t="str">
        <f>IF(AND(OR(LEFT(TH!L2886,2)="15",LEFT(TH!M2886,2)="15"),TK!$E$7=TH!F2886),"x","")</f>
        <v/>
      </c>
      <c r="X2886" s="525" t="str">
        <f>IF(AND('341-CT'!$E$9=H2886,OR(LEFT(L2886,3)=$X$7,LEFT(M2886,3)=$X$7)),"x","")</f>
        <v/>
      </c>
      <c r="Y2886" s="525" t="str">
        <f>IF(OR(TH!L2886=TH!$Y$7,M2886=TH!$Y$7),"x","")</f>
        <v/>
      </c>
      <c r="Z2886" s="525" t="str">
        <f>IF(AND(B2886&lt;=NKC!$N$8,B2886&gt;=NKC!$M$8),"x","")</f>
        <v/>
      </c>
      <c r="AA2886" s="526"/>
      <c r="AC2886" s="576"/>
      <c r="AD2886" s="576"/>
      <c r="AE2886" s="576"/>
    </row>
    <row r="2887" spans="1:31" s="527" customFormat="1" ht="15.75" customHeight="1">
      <c r="A2887" s="517" t="str">
        <f>IF(B2887&lt;&gt;"",IF(AND(B2887&gt;=_TM1,B2887&lt;=_TM2,OR(TH!L2887="1111",TH!M2887="1111")),TH!D2887,""),"")</f>
        <v/>
      </c>
      <c r="B2887" s="518">
        <f t="shared" si="246"/>
        <v>4</v>
      </c>
      <c r="C2887" s="571">
        <f t="shared" si="247"/>
        <v>42853</v>
      </c>
      <c r="D2887" s="519" t="s">
        <v>996</v>
      </c>
      <c r="E2887" s="571">
        <v>42853</v>
      </c>
      <c r="F2887" s="572" t="s">
        <v>1042</v>
      </c>
      <c r="G2887" s="573" t="s">
        <v>1116</v>
      </c>
      <c r="H2887" s="574" t="s">
        <v>800</v>
      </c>
      <c r="I2887" s="523">
        <v>24</v>
      </c>
      <c r="J2887" s="523">
        <v>18191</v>
      </c>
      <c r="K2887" s="575">
        <f t="shared" si="248"/>
        <v>436584</v>
      </c>
      <c r="L2887" s="591" t="s">
        <v>160</v>
      </c>
      <c r="M2887" s="591" t="s">
        <v>292</v>
      </c>
      <c r="N2887" s="525" t="str">
        <f>IF(AND('331-CT'!$E$7=TH!H2887,OR(L2887="331",M2887="331")),"331",IF(AND(OR(L2887="131",M2887="131"),H2887='131-CT'!$E$7),"131",""))</f>
        <v/>
      </c>
      <c r="O2887" s="525" t="str">
        <f>IF(AND($B2887&gt;='111'!$N$11,$B2887&lt;='111'!$O$11,OR($L2887=$O$7,$M2887=$O$7)),"x","")</f>
        <v/>
      </c>
      <c r="P2887" s="525" t="str">
        <f>IF(AND($L2887=$O$7,$B2887&lt;'111'!$N$11),"x","")</f>
        <v/>
      </c>
      <c r="Q2887" s="525" t="str">
        <f>IF(AND($M2887=$O$7,$B2887&lt;'111'!$N$11),"x","")</f>
        <v/>
      </c>
      <c r="R2887" s="525" t="str">
        <f>IF(ISERROR(FIND('112'!$M$9,G2887,1)),"",IF((AND(FIND('112'!$M$9,G2887,1)&gt;=1,$B2887&gt;='112'!$N$8,$B2887&lt;='112'!$O$8,OR($L2887='112'!$I$6,$M2887='112'!$I$6))),"x",""))</f>
        <v/>
      </c>
      <c r="S2887" s="525" t="str">
        <f>IF(ISERROR(FIND('112'!$M$9,G2887,1)),"",IF((AND(LEFT(G2887,2)=LEFT('112'!$M$9,2),B2887&lt;'112'!$N$8,$L2887='112'!$I$6)),"x",""))</f>
        <v/>
      </c>
      <c r="T2887" s="525" t="str">
        <f>IF(ISERROR(FIND('112'!$M$9,G2887,1)),"",IF((AND(RIGHT(G2887,2)=RIGHT('112'!$M$9,2),B2887&lt;'112'!$N$8,$M2887='112'!$I$6)),"x",""))</f>
        <v/>
      </c>
      <c r="U2887" s="525" t="str">
        <f>IF(AND(B2887&gt;='IN-NX'!$P$3,B2887&lt;='IN-NX'!$Q$3,'IN-NX'!$D$7=D2887,OR(LEFT(L2887,2)="15",AND(LEFT(M2887,2)&lt;&gt;"15",LEFT(M2887,2)&lt;&gt;"33"))),"x","")</f>
        <v/>
      </c>
      <c r="V2887" s="525" t="str">
        <f>IF(AND(OR(LEFT(TH!L2887,2)="15",LEFT(TH!M2887,2)="15"),'152-CT'!$J$8=TH!F2887),"x","")</f>
        <v/>
      </c>
      <c r="W2887" s="525" t="str">
        <f>IF(AND(OR(LEFT(TH!L2887,2)="15",LEFT(TH!M2887,2)="15"),TK!$E$7=TH!F2887),"x","")</f>
        <v/>
      </c>
      <c r="X2887" s="525" t="str">
        <f>IF(AND('341-CT'!$E$9=H2887,OR(LEFT(L2887,3)=$X$7,LEFT(M2887,3)=$X$7)),"x","")</f>
        <v/>
      </c>
      <c r="Y2887" s="525" t="str">
        <f>IF(OR(TH!L2887=TH!$Y$7,M2887=TH!$Y$7),"x","")</f>
        <v/>
      </c>
      <c r="Z2887" s="525" t="str">
        <f>IF(AND(B2887&lt;=NKC!$N$8,B2887&gt;=NKC!$M$8),"x","")</f>
        <v/>
      </c>
      <c r="AA2887" s="526"/>
      <c r="AC2887" s="576"/>
      <c r="AD2887" s="576"/>
      <c r="AE2887" s="576"/>
    </row>
    <row r="2888" spans="1:31" s="527" customFormat="1" ht="15.75" customHeight="1">
      <c r="A2888" s="517" t="str">
        <f>IF(B2888&lt;&gt;"",IF(AND(B2888&gt;=_TM1,B2888&lt;=_TM2,OR(TH!L2888="1111",TH!M2888="1111")),TH!D2888,""),"")</f>
        <v/>
      </c>
      <c r="B2888" s="518">
        <f t="shared" si="246"/>
        <v>4</v>
      </c>
      <c r="C2888" s="571">
        <f t="shared" si="247"/>
        <v>42853</v>
      </c>
      <c r="D2888" s="519" t="s">
        <v>996</v>
      </c>
      <c r="E2888" s="571">
        <v>42853</v>
      </c>
      <c r="F2888" s="572" t="s">
        <v>652</v>
      </c>
      <c r="G2888" s="573" t="s">
        <v>1116</v>
      </c>
      <c r="H2888" s="574" t="s">
        <v>800</v>
      </c>
      <c r="I2888" s="523">
        <v>6</v>
      </c>
      <c r="J2888" s="523">
        <v>19057</v>
      </c>
      <c r="K2888" s="575">
        <f t="shared" si="248"/>
        <v>114342</v>
      </c>
      <c r="L2888" s="591" t="s">
        <v>160</v>
      </c>
      <c r="M2888" s="591" t="s">
        <v>292</v>
      </c>
      <c r="N2888" s="525" t="str">
        <f>IF(AND('331-CT'!$E$7=TH!H2888,OR(L2888="331",M2888="331")),"331",IF(AND(OR(L2888="131",M2888="131"),H2888='131-CT'!$E$7),"131",""))</f>
        <v/>
      </c>
      <c r="O2888" s="525" t="str">
        <f>IF(AND($B2888&gt;='111'!$N$11,$B2888&lt;='111'!$O$11,OR($L2888=$O$7,$M2888=$O$7)),"x","")</f>
        <v/>
      </c>
      <c r="P2888" s="525" t="str">
        <f>IF(AND($L2888=$O$7,$B2888&lt;'111'!$N$11),"x","")</f>
        <v/>
      </c>
      <c r="Q2888" s="525" t="str">
        <f>IF(AND($M2888=$O$7,$B2888&lt;'111'!$N$11),"x","")</f>
        <v/>
      </c>
      <c r="R2888" s="525" t="str">
        <f>IF(ISERROR(FIND('112'!$M$9,G2888,1)),"",IF((AND(FIND('112'!$M$9,G2888,1)&gt;=1,$B2888&gt;='112'!$N$8,$B2888&lt;='112'!$O$8,OR($L2888='112'!$I$6,$M2888='112'!$I$6))),"x",""))</f>
        <v/>
      </c>
      <c r="S2888" s="525" t="str">
        <f>IF(ISERROR(FIND('112'!$M$9,G2888,1)),"",IF((AND(LEFT(G2888,2)=LEFT('112'!$M$9,2),B2888&lt;'112'!$N$8,$L2888='112'!$I$6)),"x",""))</f>
        <v/>
      </c>
      <c r="T2888" s="525" t="str">
        <f>IF(ISERROR(FIND('112'!$M$9,G2888,1)),"",IF((AND(RIGHT(G2888,2)=RIGHT('112'!$M$9,2),B2888&lt;'112'!$N$8,$M2888='112'!$I$6)),"x",""))</f>
        <v/>
      </c>
      <c r="U2888" s="525" t="str">
        <f>IF(AND(B2888&gt;='IN-NX'!$P$3,B2888&lt;='IN-NX'!$Q$3,'IN-NX'!$D$7=D2888,OR(LEFT(L2888,2)="15",AND(LEFT(M2888,2)&lt;&gt;"15",LEFT(M2888,2)&lt;&gt;"33"))),"x","")</f>
        <v/>
      </c>
      <c r="V2888" s="525" t="str">
        <f>IF(AND(OR(LEFT(TH!L2888,2)="15",LEFT(TH!M2888,2)="15"),'152-CT'!$J$8=TH!F2888),"x","")</f>
        <v/>
      </c>
      <c r="W2888" s="525" t="str">
        <f>IF(AND(OR(LEFT(TH!L2888,2)="15",LEFT(TH!M2888,2)="15"),TK!$E$7=TH!F2888),"x","")</f>
        <v/>
      </c>
      <c r="X2888" s="525" t="str">
        <f>IF(AND('341-CT'!$E$9=H2888,OR(LEFT(L2888,3)=$X$7,LEFT(M2888,3)=$X$7)),"x","")</f>
        <v/>
      </c>
      <c r="Y2888" s="525" t="str">
        <f>IF(OR(TH!L2888=TH!$Y$7,M2888=TH!$Y$7),"x","")</f>
        <v/>
      </c>
      <c r="Z2888" s="525" t="str">
        <f>IF(AND(B2888&lt;=NKC!$N$8,B2888&gt;=NKC!$M$8),"x","")</f>
        <v/>
      </c>
      <c r="AA2888" s="526"/>
      <c r="AC2888" s="576"/>
      <c r="AD2888" s="576"/>
      <c r="AE2888" s="576"/>
    </row>
    <row r="2889" spans="1:31" s="527" customFormat="1" ht="15.75" customHeight="1">
      <c r="A2889" s="517" t="str">
        <f>IF(B2889&lt;&gt;"",IF(AND(B2889&gt;=_TM1,B2889&lt;=_TM2,OR(TH!L2889="1111",TH!M2889="1111")),TH!D2889,""),"")</f>
        <v/>
      </c>
      <c r="B2889" s="518">
        <f t="shared" si="246"/>
        <v>4</v>
      </c>
      <c r="C2889" s="571">
        <f t="shared" si="247"/>
        <v>42853</v>
      </c>
      <c r="D2889" s="519" t="s">
        <v>996</v>
      </c>
      <c r="E2889" s="571">
        <v>42853</v>
      </c>
      <c r="F2889" s="572" t="s">
        <v>1043</v>
      </c>
      <c r="G2889" s="573" t="s">
        <v>1116</v>
      </c>
      <c r="H2889" s="574" t="s">
        <v>800</v>
      </c>
      <c r="I2889" s="523">
        <v>6</v>
      </c>
      <c r="J2889" s="523">
        <v>24690</v>
      </c>
      <c r="K2889" s="575">
        <f t="shared" si="248"/>
        <v>148140</v>
      </c>
      <c r="L2889" s="591" t="s">
        <v>160</v>
      </c>
      <c r="M2889" s="591" t="s">
        <v>292</v>
      </c>
      <c r="N2889" s="525" t="str">
        <f>IF(AND('331-CT'!$E$7=TH!H2889,OR(L2889="331",M2889="331")),"331",IF(AND(OR(L2889="131",M2889="131"),H2889='131-CT'!$E$7),"131",""))</f>
        <v/>
      </c>
      <c r="O2889" s="525" t="str">
        <f>IF(AND($B2889&gt;='111'!$N$11,$B2889&lt;='111'!$O$11,OR($L2889=$O$7,$M2889=$O$7)),"x","")</f>
        <v/>
      </c>
      <c r="P2889" s="525" t="str">
        <f>IF(AND($L2889=$O$7,$B2889&lt;'111'!$N$11),"x","")</f>
        <v/>
      </c>
      <c r="Q2889" s="525" t="str">
        <f>IF(AND($M2889=$O$7,$B2889&lt;'111'!$N$11),"x","")</f>
        <v/>
      </c>
      <c r="R2889" s="525" t="str">
        <f>IF(ISERROR(FIND('112'!$M$9,G2889,1)),"",IF((AND(FIND('112'!$M$9,G2889,1)&gt;=1,$B2889&gt;='112'!$N$8,$B2889&lt;='112'!$O$8,OR($L2889='112'!$I$6,$M2889='112'!$I$6))),"x",""))</f>
        <v/>
      </c>
      <c r="S2889" s="525" t="str">
        <f>IF(ISERROR(FIND('112'!$M$9,G2889,1)),"",IF((AND(LEFT(G2889,2)=LEFT('112'!$M$9,2),B2889&lt;'112'!$N$8,$L2889='112'!$I$6)),"x",""))</f>
        <v/>
      </c>
      <c r="T2889" s="525" t="str">
        <f>IF(ISERROR(FIND('112'!$M$9,G2889,1)),"",IF((AND(RIGHT(G2889,2)=RIGHT('112'!$M$9,2),B2889&lt;'112'!$N$8,$M2889='112'!$I$6)),"x",""))</f>
        <v/>
      </c>
      <c r="U2889" s="525" t="str">
        <f>IF(AND(B2889&gt;='IN-NX'!$P$3,B2889&lt;='IN-NX'!$Q$3,'IN-NX'!$D$7=D2889,OR(LEFT(L2889,2)="15",AND(LEFT(M2889,2)&lt;&gt;"15",LEFT(M2889,2)&lt;&gt;"33"))),"x","")</f>
        <v/>
      </c>
      <c r="V2889" s="525" t="str">
        <f>IF(AND(OR(LEFT(TH!L2889,2)="15",LEFT(TH!M2889,2)="15"),'152-CT'!$J$8=TH!F2889),"x","")</f>
        <v/>
      </c>
      <c r="W2889" s="525" t="str">
        <f>IF(AND(OR(LEFT(TH!L2889,2)="15",LEFT(TH!M2889,2)="15"),TK!$E$7=TH!F2889),"x","")</f>
        <v/>
      </c>
      <c r="X2889" s="525" t="str">
        <f>IF(AND('341-CT'!$E$9=H2889,OR(LEFT(L2889,3)=$X$7,LEFT(M2889,3)=$X$7)),"x","")</f>
        <v/>
      </c>
      <c r="Y2889" s="525" t="str">
        <f>IF(OR(TH!L2889=TH!$Y$7,M2889=TH!$Y$7),"x","")</f>
        <v/>
      </c>
      <c r="Z2889" s="525" t="str">
        <f>IF(AND(B2889&lt;=NKC!$N$8,B2889&gt;=NKC!$M$8),"x","")</f>
        <v/>
      </c>
      <c r="AA2889" s="526"/>
      <c r="AC2889" s="576"/>
      <c r="AD2889" s="576"/>
      <c r="AE2889" s="576"/>
    </row>
    <row r="2890" spans="1:31" s="527" customFormat="1" ht="15.75" customHeight="1">
      <c r="A2890" s="517" t="str">
        <f>IF(B2890&lt;&gt;"",IF(AND(B2890&gt;=_TM1,B2890&lt;=_TM2,OR(TH!L2890="1111",TH!M2890="1111")),TH!D2890,""),"")</f>
        <v/>
      </c>
      <c r="B2890" s="518">
        <f t="shared" si="246"/>
        <v>4</v>
      </c>
      <c r="C2890" s="571">
        <f t="shared" si="247"/>
        <v>42853</v>
      </c>
      <c r="D2890" s="519" t="s">
        <v>996</v>
      </c>
      <c r="E2890" s="571">
        <v>42853</v>
      </c>
      <c r="F2890" s="577" t="s">
        <v>1044</v>
      </c>
      <c r="G2890" s="573" t="s">
        <v>1116</v>
      </c>
      <c r="H2890" s="574" t="s">
        <v>800</v>
      </c>
      <c r="I2890" s="523">
        <v>24</v>
      </c>
      <c r="J2890" s="523">
        <v>17895</v>
      </c>
      <c r="K2890" s="575">
        <f t="shared" si="248"/>
        <v>429480</v>
      </c>
      <c r="L2890" s="591" t="s">
        <v>160</v>
      </c>
      <c r="M2890" s="591" t="s">
        <v>292</v>
      </c>
      <c r="N2890" s="525" t="str">
        <f>IF(AND('331-CT'!$E$7=TH!H2890,OR(L2890="331",M2890="331")),"331",IF(AND(OR(L2890="131",M2890="131"),H2890='131-CT'!$E$7),"131",""))</f>
        <v/>
      </c>
      <c r="O2890" s="525" t="str">
        <f>IF(AND($B2890&gt;='111'!$N$11,$B2890&lt;='111'!$O$11,OR($L2890=$O$7,$M2890=$O$7)),"x","")</f>
        <v/>
      </c>
      <c r="P2890" s="525" t="str">
        <f>IF(AND($L2890=$O$7,$B2890&lt;'111'!$N$11),"x","")</f>
        <v/>
      </c>
      <c r="Q2890" s="525" t="str">
        <f>IF(AND($M2890=$O$7,$B2890&lt;'111'!$N$11),"x","")</f>
        <v/>
      </c>
      <c r="R2890" s="525" t="str">
        <f>IF(ISERROR(FIND('112'!$M$9,G2890,1)),"",IF((AND(FIND('112'!$M$9,G2890,1)&gt;=1,$B2890&gt;='112'!$N$8,$B2890&lt;='112'!$O$8,OR($L2890='112'!$I$6,$M2890='112'!$I$6))),"x",""))</f>
        <v/>
      </c>
      <c r="S2890" s="525" t="str">
        <f>IF(ISERROR(FIND('112'!$M$9,G2890,1)),"",IF((AND(LEFT(G2890,2)=LEFT('112'!$M$9,2),B2890&lt;'112'!$N$8,$L2890='112'!$I$6)),"x",""))</f>
        <v/>
      </c>
      <c r="T2890" s="525" t="str">
        <f>IF(ISERROR(FIND('112'!$M$9,G2890,1)),"",IF((AND(RIGHT(G2890,2)=RIGHT('112'!$M$9,2),B2890&lt;'112'!$N$8,$M2890='112'!$I$6)),"x",""))</f>
        <v/>
      </c>
      <c r="U2890" s="525" t="str">
        <f>IF(AND(B2890&gt;='IN-NX'!$P$3,B2890&lt;='IN-NX'!$Q$3,'IN-NX'!$D$7=D2890,OR(LEFT(L2890,2)="15",AND(LEFT(M2890,2)&lt;&gt;"15",LEFT(M2890,2)&lt;&gt;"33"))),"x","")</f>
        <v/>
      </c>
      <c r="V2890" s="525" t="str">
        <f>IF(AND(OR(LEFT(TH!L2890,2)="15",LEFT(TH!M2890,2)="15"),'152-CT'!$J$8=TH!F2890),"x","")</f>
        <v/>
      </c>
      <c r="W2890" s="525" t="str">
        <f>IF(AND(OR(LEFT(TH!L2890,2)="15",LEFT(TH!M2890,2)="15"),TK!$E$7=TH!F2890),"x","")</f>
        <v/>
      </c>
      <c r="X2890" s="525" t="str">
        <f>IF(AND('341-CT'!$E$9=H2890,OR(LEFT(L2890,3)=$X$7,LEFT(M2890,3)=$X$7)),"x","")</f>
        <v/>
      </c>
      <c r="Y2890" s="525" t="str">
        <f>IF(OR(TH!L2890=TH!$Y$7,M2890=TH!$Y$7),"x","")</f>
        <v/>
      </c>
      <c r="Z2890" s="525" t="str">
        <f>IF(AND(B2890&lt;=NKC!$N$8,B2890&gt;=NKC!$M$8),"x","")</f>
        <v/>
      </c>
      <c r="AA2890" s="526"/>
      <c r="AC2890" s="576"/>
      <c r="AD2890" s="576"/>
      <c r="AE2890" s="576"/>
    </row>
    <row r="2891" spans="1:31" s="527" customFormat="1" ht="15.75" customHeight="1">
      <c r="A2891" s="517" t="str">
        <f>IF(B2891&lt;&gt;"",IF(AND(B2891&gt;=_TM1,B2891&lt;=_TM2,OR(TH!L2891="1111",TH!M2891="1111")),TH!D2891,""),"")</f>
        <v/>
      </c>
      <c r="B2891" s="518">
        <f t="shared" ref="B2891:B2922" si="249">IF(C2891&lt;&gt;"",MONTH(C2891),"")</f>
        <v>4</v>
      </c>
      <c r="C2891" s="571">
        <f t="shared" si="247"/>
        <v>42853</v>
      </c>
      <c r="D2891" s="519" t="s">
        <v>996</v>
      </c>
      <c r="E2891" s="571">
        <v>42853</v>
      </c>
      <c r="F2891" s="577" t="s">
        <v>761</v>
      </c>
      <c r="G2891" s="573" t="s">
        <v>1116</v>
      </c>
      <c r="H2891" s="574" t="s">
        <v>800</v>
      </c>
      <c r="I2891" s="523">
        <v>12</v>
      </c>
      <c r="J2891" s="523">
        <v>36812</v>
      </c>
      <c r="K2891" s="575">
        <f t="shared" si="248"/>
        <v>441744</v>
      </c>
      <c r="L2891" s="591" t="s">
        <v>160</v>
      </c>
      <c r="M2891" s="591" t="s">
        <v>292</v>
      </c>
      <c r="N2891" s="525" t="str">
        <f>IF(AND('331-CT'!$E$7=TH!H2891,OR(L2891="331",M2891="331")),"331",IF(AND(OR(L2891="131",M2891="131"),H2891='131-CT'!$E$7),"131",""))</f>
        <v/>
      </c>
      <c r="O2891" s="525" t="str">
        <f>IF(AND($B2891&gt;='111'!$N$11,$B2891&lt;='111'!$O$11,OR($L2891=$O$7,$M2891=$O$7)),"x","")</f>
        <v/>
      </c>
      <c r="P2891" s="525" t="str">
        <f>IF(AND($L2891=$O$7,$B2891&lt;'111'!$N$11),"x","")</f>
        <v/>
      </c>
      <c r="Q2891" s="525" t="str">
        <f>IF(AND($M2891=$O$7,$B2891&lt;'111'!$N$11),"x","")</f>
        <v/>
      </c>
      <c r="R2891" s="525" t="str">
        <f>IF(ISERROR(FIND('112'!$M$9,G2891,1)),"",IF((AND(FIND('112'!$M$9,G2891,1)&gt;=1,$B2891&gt;='112'!$N$8,$B2891&lt;='112'!$O$8,OR($L2891='112'!$I$6,$M2891='112'!$I$6))),"x",""))</f>
        <v/>
      </c>
      <c r="S2891" s="525" t="str">
        <f>IF(ISERROR(FIND('112'!$M$9,G2891,1)),"",IF((AND(LEFT(G2891,2)=LEFT('112'!$M$9,2),B2891&lt;'112'!$N$8,$L2891='112'!$I$6)),"x",""))</f>
        <v/>
      </c>
      <c r="T2891" s="525" t="str">
        <f>IF(ISERROR(FIND('112'!$M$9,G2891,1)),"",IF((AND(RIGHT(G2891,2)=RIGHT('112'!$M$9,2),B2891&lt;'112'!$N$8,$M2891='112'!$I$6)),"x",""))</f>
        <v/>
      </c>
      <c r="U2891" s="525" t="str">
        <f>IF(AND(B2891&gt;='IN-NX'!$P$3,B2891&lt;='IN-NX'!$Q$3,'IN-NX'!$D$7=D2891,OR(LEFT(L2891,2)="15",AND(LEFT(M2891,2)&lt;&gt;"15",LEFT(M2891,2)&lt;&gt;"33"))),"x","")</f>
        <v/>
      </c>
      <c r="V2891" s="525" t="str">
        <f>IF(AND(OR(LEFT(TH!L2891,2)="15",LEFT(TH!M2891,2)="15"),'152-CT'!$J$8=TH!F2891),"x","")</f>
        <v/>
      </c>
      <c r="W2891" s="525" t="str">
        <f>IF(AND(OR(LEFT(TH!L2891,2)="15",LEFT(TH!M2891,2)="15"),TK!$E$7=TH!F2891),"x","")</f>
        <v/>
      </c>
      <c r="X2891" s="525" t="str">
        <f>IF(AND('341-CT'!$E$9=H2891,OR(LEFT(L2891,3)=$X$7,LEFT(M2891,3)=$X$7)),"x","")</f>
        <v/>
      </c>
      <c r="Y2891" s="525" t="str">
        <f>IF(OR(TH!L2891=TH!$Y$7,M2891=TH!$Y$7),"x","")</f>
        <v/>
      </c>
      <c r="Z2891" s="525" t="str">
        <f>IF(AND(B2891&lt;=NKC!$N$8,B2891&gt;=NKC!$M$8),"x","")</f>
        <v/>
      </c>
      <c r="AA2891" s="526"/>
      <c r="AC2891" s="576"/>
      <c r="AD2891" s="576"/>
      <c r="AE2891" s="576"/>
    </row>
    <row r="2892" spans="1:31" s="527" customFormat="1" ht="15.75" customHeight="1">
      <c r="A2892" s="517" t="str">
        <f>IF(B2892&lt;&gt;"",IF(AND(B2892&gt;=_TM1,B2892&lt;=_TM2,OR(TH!L2892="1111",TH!M2892="1111")),TH!D2892,""),"")</f>
        <v/>
      </c>
      <c r="B2892" s="518">
        <f t="shared" si="249"/>
        <v>4</v>
      </c>
      <c r="C2892" s="571">
        <f t="shared" si="247"/>
        <v>42853</v>
      </c>
      <c r="D2892" s="519" t="s">
        <v>996</v>
      </c>
      <c r="E2892" s="571">
        <v>42853</v>
      </c>
      <c r="F2892" s="572" t="s">
        <v>1045</v>
      </c>
      <c r="G2892" s="573" t="s">
        <v>1116</v>
      </c>
      <c r="H2892" s="574" t="s">
        <v>800</v>
      </c>
      <c r="I2892" s="523">
        <v>144</v>
      </c>
      <c r="J2892" s="523">
        <v>41098</v>
      </c>
      <c r="K2892" s="575">
        <f t="shared" si="248"/>
        <v>5918112</v>
      </c>
      <c r="L2892" s="591" t="s">
        <v>160</v>
      </c>
      <c r="M2892" s="591" t="s">
        <v>292</v>
      </c>
      <c r="N2892" s="525" t="str">
        <f>IF(AND('331-CT'!$E$7=TH!H2892,OR(L2892="331",M2892="331")),"331",IF(AND(OR(L2892="131",M2892="131"),H2892='131-CT'!$E$7),"131",""))</f>
        <v/>
      </c>
      <c r="O2892" s="525" t="str">
        <f>IF(AND($B2892&gt;='111'!$N$11,$B2892&lt;='111'!$O$11,OR($L2892=$O$7,$M2892=$O$7)),"x","")</f>
        <v/>
      </c>
      <c r="P2892" s="525" t="str">
        <f>IF(AND($L2892=$O$7,$B2892&lt;'111'!$N$11),"x","")</f>
        <v/>
      </c>
      <c r="Q2892" s="525" t="str">
        <f>IF(AND($M2892=$O$7,$B2892&lt;'111'!$N$11),"x","")</f>
        <v/>
      </c>
      <c r="R2892" s="525" t="str">
        <f>IF(ISERROR(FIND('112'!$M$9,G2892,1)),"",IF((AND(FIND('112'!$M$9,G2892,1)&gt;=1,$B2892&gt;='112'!$N$8,$B2892&lt;='112'!$O$8,OR($L2892='112'!$I$6,$M2892='112'!$I$6))),"x",""))</f>
        <v/>
      </c>
      <c r="S2892" s="525" t="str">
        <f>IF(ISERROR(FIND('112'!$M$9,G2892,1)),"",IF((AND(LEFT(G2892,2)=LEFT('112'!$M$9,2),B2892&lt;'112'!$N$8,$L2892='112'!$I$6)),"x",""))</f>
        <v/>
      </c>
      <c r="T2892" s="525" t="str">
        <f>IF(ISERROR(FIND('112'!$M$9,G2892,1)),"",IF((AND(RIGHT(G2892,2)=RIGHT('112'!$M$9,2),B2892&lt;'112'!$N$8,$M2892='112'!$I$6)),"x",""))</f>
        <v/>
      </c>
      <c r="U2892" s="525" t="str">
        <f>IF(AND(B2892&gt;='IN-NX'!$P$3,B2892&lt;='IN-NX'!$Q$3,'IN-NX'!$D$7=D2892,OR(LEFT(L2892,2)="15",AND(LEFT(M2892,2)&lt;&gt;"15",LEFT(M2892,2)&lt;&gt;"33"))),"x","")</f>
        <v/>
      </c>
      <c r="V2892" s="525" t="str">
        <f>IF(AND(OR(LEFT(TH!L2892,2)="15",LEFT(TH!M2892,2)="15"),'152-CT'!$J$8=TH!F2892),"x","")</f>
        <v/>
      </c>
      <c r="W2892" s="525" t="str">
        <f>IF(AND(OR(LEFT(TH!L2892,2)="15",LEFT(TH!M2892,2)="15"),TK!$E$7=TH!F2892),"x","")</f>
        <v/>
      </c>
      <c r="X2892" s="525" t="str">
        <f>IF(AND('341-CT'!$E$9=H2892,OR(LEFT(L2892,3)=$X$7,LEFT(M2892,3)=$X$7)),"x","")</f>
        <v/>
      </c>
      <c r="Y2892" s="525" t="str">
        <f>IF(OR(TH!L2892=TH!$Y$7,M2892=TH!$Y$7),"x","")</f>
        <v/>
      </c>
      <c r="Z2892" s="525" t="str">
        <f>IF(AND(B2892&lt;=NKC!$N$8,B2892&gt;=NKC!$M$8),"x","")</f>
        <v/>
      </c>
      <c r="AA2892" s="526"/>
      <c r="AC2892" s="576"/>
      <c r="AD2892" s="576"/>
      <c r="AE2892" s="576"/>
    </row>
    <row r="2893" spans="1:31" s="527" customFormat="1" ht="15.75" customHeight="1">
      <c r="A2893" s="517" t="str">
        <f>IF(B2893&lt;&gt;"",IF(AND(B2893&gt;=_TM1,B2893&lt;=_TM2,OR(TH!L2893="1111",TH!M2893="1111")),TH!D2893,""),"")</f>
        <v/>
      </c>
      <c r="B2893" s="518">
        <f t="shared" si="249"/>
        <v>4</v>
      </c>
      <c r="C2893" s="571">
        <f t="shared" si="247"/>
        <v>42853</v>
      </c>
      <c r="D2893" s="519" t="s">
        <v>996</v>
      </c>
      <c r="E2893" s="571">
        <v>42853</v>
      </c>
      <c r="F2893" s="572" t="s">
        <v>274</v>
      </c>
      <c r="G2893" s="573" t="s">
        <v>1116</v>
      </c>
      <c r="H2893" s="574" t="s">
        <v>800</v>
      </c>
      <c r="I2893" s="523">
        <v>1125</v>
      </c>
      <c r="J2893" s="523">
        <v>11010</v>
      </c>
      <c r="K2893" s="575">
        <f t="shared" si="248"/>
        <v>12386250</v>
      </c>
      <c r="L2893" s="591" t="s">
        <v>160</v>
      </c>
      <c r="M2893" s="591" t="s">
        <v>292</v>
      </c>
      <c r="N2893" s="525" t="str">
        <f>IF(AND('331-CT'!$E$7=TH!H2893,OR(L2893="331",M2893="331")),"331",IF(AND(OR(L2893="131",M2893="131"),H2893='131-CT'!$E$7),"131",""))</f>
        <v/>
      </c>
      <c r="O2893" s="525" t="str">
        <f>IF(AND($B2893&gt;='111'!$N$11,$B2893&lt;='111'!$O$11,OR($L2893=$O$7,$M2893=$O$7)),"x","")</f>
        <v/>
      </c>
      <c r="P2893" s="525" t="str">
        <f>IF(AND($L2893=$O$7,$B2893&lt;'111'!$N$11),"x","")</f>
        <v/>
      </c>
      <c r="Q2893" s="525" t="str">
        <f>IF(AND($M2893=$O$7,$B2893&lt;'111'!$N$11),"x","")</f>
        <v/>
      </c>
      <c r="R2893" s="525" t="str">
        <f>IF(ISERROR(FIND('112'!$M$9,G2893,1)),"",IF((AND(FIND('112'!$M$9,G2893,1)&gt;=1,$B2893&gt;='112'!$N$8,$B2893&lt;='112'!$O$8,OR($L2893='112'!$I$6,$M2893='112'!$I$6))),"x",""))</f>
        <v/>
      </c>
      <c r="S2893" s="525" t="str">
        <f>IF(ISERROR(FIND('112'!$M$9,G2893,1)),"",IF((AND(LEFT(G2893,2)=LEFT('112'!$M$9,2),B2893&lt;'112'!$N$8,$L2893='112'!$I$6)),"x",""))</f>
        <v/>
      </c>
      <c r="T2893" s="525" t="str">
        <f>IF(ISERROR(FIND('112'!$M$9,G2893,1)),"",IF((AND(RIGHT(G2893,2)=RIGHT('112'!$M$9,2),B2893&lt;'112'!$N$8,$M2893='112'!$I$6)),"x",""))</f>
        <v/>
      </c>
      <c r="U2893" s="525" t="str">
        <f>IF(AND(B2893&gt;='IN-NX'!$P$3,B2893&lt;='IN-NX'!$Q$3,'IN-NX'!$D$7=D2893,OR(LEFT(L2893,2)="15",AND(LEFT(M2893,2)&lt;&gt;"15",LEFT(M2893,2)&lt;&gt;"33"))),"x","")</f>
        <v/>
      </c>
      <c r="V2893" s="525" t="str">
        <f>IF(AND(OR(LEFT(TH!L2893,2)="15",LEFT(TH!M2893,2)="15"),'152-CT'!$J$8=TH!F2893),"x","")</f>
        <v/>
      </c>
      <c r="W2893" s="525" t="str">
        <f>IF(AND(OR(LEFT(TH!L2893,2)="15",LEFT(TH!M2893,2)="15"),TK!$E$7=TH!F2893),"x","")</f>
        <v>x</v>
      </c>
      <c r="X2893" s="525" t="str">
        <f>IF(AND('341-CT'!$E$9=H2893,OR(LEFT(L2893,3)=$X$7,LEFT(M2893,3)=$X$7)),"x","")</f>
        <v/>
      </c>
      <c r="Y2893" s="525" t="str">
        <f>IF(OR(TH!L2893=TH!$Y$7,M2893=TH!$Y$7),"x","")</f>
        <v/>
      </c>
      <c r="Z2893" s="525" t="str">
        <f>IF(AND(B2893&lt;=NKC!$N$8,B2893&gt;=NKC!$M$8),"x","")</f>
        <v/>
      </c>
      <c r="AA2893" s="526"/>
      <c r="AC2893" s="576"/>
      <c r="AD2893" s="576"/>
      <c r="AE2893" s="576"/>
    </row>
    <row r="2894" spans="1:31" s="527" customFormat="1" ht="15.75" customHeight="1">
      <c r="A2894" s="517" t="str">
        <f>IF(B2894&lt;&gt;"",IF(AND(B2894&gt;=_TM1,B2894&lt;=_TM2,OR(TH!L2894="1111",TH!M2894="1111")),TH!D2894,""),"")</f>
        <v/>
      </c>
      <c r="B2894" s="518">
        <f t="shared" si="249"/>
        <v>4</v>
      </c>
      <c r="C2894" s="571">
        <f t="shared" si="247"/>
        <v>42853</v>
      </c>
      <c r="D2894" s="519" t="s">
        <v>996</v>
      </c>
      <c r="E2894" s="571">
        <v>42853</v>
      </c>
      <c r="F2894" s="572" t="s">
        <v>734</v>
      </c>
      <c r="G2894" s="573" t="s">
        <v>1116</v>
      </c>
      <c r="H2894" s="574" t="s">
        <v>800</v>
      </c>
      <c r="I2894" s="523">
        <v>15</v>
      </c>
      <c r="J2894" s="523">
        <v>99421</v>
      </c>
      <c r="K2894" s="575">
        <f t="shared" si="248"/>
        <v>1491315</v>
      </c>
      <c r="L2894" s="591" t="s">
        <v>160</v>
      </c>
      <c r="M2894" s="591" t="s">
        <v>292</v>
      </c>
      <c r="N2894" s="525" t="str">
        <f>IF(AND('331-CT'!$E$7=TH!H2894,OR(L2894="331",M2894="331")),"331",IF(AND(OR(L2894="131",M2894="131"),H2894='131-CT'!$E$7),"131",""))</f>
        <v/>
      </c>
      <c r="O2894" s="525" t="str">
        <f>IF(AND($B2894&gt;='111'!$N$11,$B2894&lt;='111'!$O$11,OR($L2894=$O$7,$M2894=$O$7)),"x","")</f>
        <v/>
      </c>
      <c r="P2894" s="525" t="str">
        <f>IF(AND($L2894=$O$7,$B2894&lt;'111'!$N$11),"x","")</f>
        <v/>
      </c>
      <c r="Q2894" s="525" t="str">
        <f>IF(AND($M2894=$O$7,$B2894&lt;'111'!$N$11),"x","")</f>
        <v/>
      </c>
      <c r="R2894" s="525" t="str">
        <f>IF(ISERROR(FIND('112'!$M$9,G2894,1)),"",IF((AND(FIND('112'!$M$9,G2894,1)&gt;=1,$B2894&gt;='112'!$N$8,$B2894&lt;='112'!$O$8,OR($L2894='112'!$I$6,$M2894='112'!$I$6))),"x",""))</f>
        <v/>
      </c>
      <c r="S2894" s="525" t="str">
        <f>IF(ISERROR(FIND('112'!$M$9,G2894,1)),"",IF((AND(LEFT(G2894,2)=LEFT('112'!$M$9,2),B2894&lt;'112'!$N$8,$L2894='112'!$I$6)),"x",""))</f>
        <v/>
      </c>
      <c r="T2894" s="525" t="str">
        <f>IF(ISERROR(FIND('112'!$M$9,G2894,1)),"",IF((AND(RIGHT(G2894,2)=RIGHT('112'!$M$9,2),B2894&lt;'112'!$N$8,$M2894='112'!$I$6)),"x",""))</f>
        <v/>
      </c>
      <c r="U2894" s="525" t="str">
        <f>IF(AND(B2894&gt;='IN-NX'!$P$3,B2894&lt;='IN-NX'!$Q$3,'IN-NX'!$D$7=D2894,OR(LEFT(L2894,2)="15",AND(LEFT(M2894,2)&lt;&gt;"15",LEFT(M2894,2)&lt;&gt;"33"))),"x","")</f>
        <v/>
      </c>
      <c r="V2894" s="525" t="str">
        <f>IF(AND(OR(LEFT(TH!L2894,2)="15",LEFT(TH!M2894,2)="15"),'152-CT'!$J$8=TH!F2894),"x","")</f>
        <v/>
      </c>
      <c r="W2894" s="525" t="str">
        <f>IF(AND(OR(LEFT(TH!L2894,2)="15",LEFT(TH!M2894,2)="15"),TK!$E$7=TH!F2894),"x","")</f>
        <v/>
      </c>
      <c r="X2894" s="525" t="str">
        <f>IF(AND('341-CT'!$E$9=H2894,OR(LEFT(L2894,3)=$X$7,LEFT(M2894,3)=$X$7)),"x","")</f>
        <v/>
      </c>
      <c r="Y2894" s="525" t="str">
        <f>IF(OR(TH!L2894=TH!$Y$7,M2894=TH!$Y$7),"x","")</f>
        <v/>
      </c>
      <c r="Z2894" s="525" t="str">
        <f>IF(AND(B2894&lt;=NKC!$N$8,B2894&gt;=NKC!$M$8),"x","")</f>
        <v/>
      </c>
      <c r="AA2894" s="526"/>
      <c r="AC2894" s="576"/>
      <c r="AD2894" s="576"/>
      <c r="AE2894" s="576"/>
    </row>
    <row r="2895" spans="1:31" s="527" customFormat="1" ht="15.75" customHeight="1">
      <c r="A2895" s="517" t="str">
        <f>IF(B2895&lt;&gt;"",IF(AND(B2895&gt;=_TM1,B2895&lt;=_TM2,OR(TH!L2895="1111",TH!M2895="1111")),TH!D2895,""),"")</f>
        <v/>
      </c>
      <c r="B2895" s="518">
        <f t="shared" si="249"/>
        <v>4</v>
      </c>
      <c r="C2895" s="571">
        <f t="shared" si="247"/>
        <v>42853</v>
      </c>
      <c r="D2895" s="519" t="s">
        <v>996</v>
      </c>
      <c r="E2895" s="571">
        <v>42853</v>
      </c>
      <c r="F2895" s="572" t="s">
        <v>705</v>
      </c>
      <c r="G2895" s="573" t="s">
        <v>1116</v>
      </c>
      <c r="H2895" s="574" t="s">
        <v>800</v>
      </c>
      <c r="I2895" s="523">
        <v>8</v>
      </c>
      <c r="J2895" s="523">
        <v>46675</v>
      </c>
      <c r="K2895" s="575">
        <f t="shared" si="248"/>
        <v>373400</v>
      </c>
      <c r="L2895" s="591" t="s">
        <v>160</v>
      </c>
      <c r="M2895" s="591" t="s">
        <v>292</v>
      </c>
      <c r="N2895" s="525" t="str">
        <f>IF(AND('331-CT'!$E$7=TH!H2895,OR(L2895="331",M2895="331")),"331",IF(AND(OR(L2895="131",M2895="131"),H2895='131-CT'!$E$7),"131",""))</f>
        <v/>
      </c>
      <c r="O2895" s="525" t="str">
        <f>IF(AND($B2895&gt;='111'!$N$11,$B2895&lt;='111'!$O$11,OR($L2895=$O$7,$M2895=$O$7)),"x","")</f>
        <v/>
      </c>
      <c r="P2895" s="525" t="str">
        <f>IF(AND($L2895=$O$7,$B2895&lt;'111'!$N$11),"x","")</f>
        <v/>
      </c>
      <c r="Q2895" s="525" t="str">
        <f>IF(AND($M2895=$O$7,$B2895&lt;'111'!$N$11),"x","")</f>
        <v/>
      </c>
      <c r="R2895" s="525" t="str">
        <f>IF(ISERROR(FIND('112'!$M$9,G2895,1)),"",IF((AND(FIND('112'!$M$9,G2895,1)&gt;=1,$B2895&gt;='112'!$N$8,$B2895&lt;='112'!$O$8,OR($L2895='112'!$I$6,$M2895='112'!$I$6))),"x",""))</f>
        <v/>
      </c>
      <c r="S2895" s="525" t="str">
        <f>IF(ISERROR(FIND('112'!$M$9,G2895,1)),"",IF((AND(LEFT(G2895,2)=LEFT('112'!$M$9,2),B2895&lt;'112'!$N$8,$L2895='112'!$I$6)),"x",""))</f>
        <v/>
      </c>
      <c r="T2895" s="525" t="str">
        <f>IF(ISERROR(FIND('112'!$M$9,G2895,1)),"",IF((AND(RIGHT(G2895,2)=RIGHT('112'!$M$9,2),B2895&lt;'112'!$N$8,$M2895='112'!$I$6)),"x",""))</f>
        <v/>
      </c>
      <c r="U2895" s="525" t="str">
        <f>IF(AND(B2895&gt;='IN-NX'!$P$3,B2895&lt;='IN-NX'!$Q$3,'IN-NX'!$D$7=D2895,OR(LEFT(L2895,2)="15",AND(LEFT(M2895,2)&lt;&gt;"15",LEFT(M2895,2)&lt;&gt;"33"))),"x","")</f>
        <v/>
      </c>
      <c r="V2895" s="525" t="str">
        <f>IF(AND(OR(LEFT(TH!L2895,2)="15",LEFT(TH!M2895,2)="15"),'152-CT'!$J$8=TH!F2895),"x","")</f>
        <v/>
      </c>
      <c r="W2895" s="525" t="str">
        <f>IF(AND(OR(LEFT(TH!L2895,2)="15",LEFT(TH!M2895,2)="15"),TK!$E$7=TH!F2895),"x","")</f>
        <v/>
      </c>
      <c r="X2895" s="525" t="str">
        <f>IF(AND('341-CT'!$E$9=H2895,OR(LEFT(L2895,3)=$X$7,LEFT(M2895,3)=$X$7)),"x","")</f>
        <v/>
      </c>
      <c r="Y2895" s="525" t="str">
        <f>IF(OR(TH!L2895=TH!$Y$7,M2895=TH!$Y$7),"x","")</f>
        <v/>
      </c>
      <c r="Z2895" s="525" t="str">
        <f>IF(AND(B2895&lt;=NKC!$N$8,B2895&gt;=NKC!$M$8),"x","")</f>
        <v/>
      </c>
      <c r="AA2895" s="526"/>
      <c r="AC2895" s="576"/>
      <c r="AD2895" s="576"/>
      <c r="AE2895" s="576"/>
    </row>
    <row r="2896" spans="1:31" s="527" customFormat="1" ht="15.75" customHeight="1">
      <c r="A2896" s="517" t="str">
        <f>IF(B2896&lt;&gt;"",IF(AND(B2896&gt;=_TM1,B2896&lt;=_TM2,OR(TH!L2896="1111",TH!M2896="1111")),TH!D2896,""),"")</f>
        <v/>
      </c>
      <c r="B2896" s="518">
        <f t="shared" si="249"/>
        <v>4</v>
      </c>
      <c r="C2896" s="571">
        <f t="shared" si="247"/>
        <v>42853</v>
      </c>
      <c r="D2896" s="519" t="s">
        <v>996</v>
      </c>
      <c r="E2896" s="571">
        <v>42853</v>
      </c>
      <c r="F2896" s="572" t="s">
        <v>707</v>
      </c>
      <c r="G2896" s="573" t="s">
        <v>1116</v>
      </c>
      <c r="H2896" s="574" t="s">
        <v>800</v>
      </c>
      <c r="I2896" s="523">
        <v>8</v>
      </c>
      <c r="J2896" s="523">
        <v>29746</v>
      </c>
      <c r="K2896" s="575">
        <f t="shared" si="248"/>
        <v>237968</v>
      </c>
      <c r="L2896" s="591" t="s">
        <v>160</v>
      </c>
      <c r="M2896" s="591" t="s">
        <v>292</v>
      </c>
      <c r="N2896" s="525" t="str">
        <f>IF(AND('331-CT'!$E$7=TH!H2896,OR(L2896="331",M2896="331")),"331",IF(AND(OR(L2896="131",M2896="131"),H2896='131-CT'!$E$7),"131",""))</f>
        <v/>
      </c>
      <c r="O2896" s="525" t="str">
        <f>IF(AND($B2896&gt;='111'!$N$11,$B2896&lt;='111'!$O$11,OR($L2896=$O$7,$M2896=$O$7)),"x","")</f>
        <v/>
      </c>
      <c r="P2896" s="525" t="str">
        <f>IF(AND($L2896=$O$7,$B2896&lt;'111'!$N$11),"x","")</f>
        <v/>
      </c>
      <c r="Q2896" s="525" t="str">
        <f>IF(AND($M2896=$O$7,$B2896&lt;'111'!$N$11),"x","")</f>
        <v/>
      </c>
      <c r="R2896" s="525" t="str">
        <f>IF(ISERROR(FIND('112'!$M$9,G2896,1)),"",IF((AND(FIND('112'!$M$9,G2896,1)&gt;=1,$B2896&gt;='112'!$N$8,$B2896&lt;='112'!$O$8,OR($L2896='112'!$I$6,$M2896='112'!$I$6))),"x",""))</f>
        <v/>
      </c>
      <c r="S2896" s="525" t="str">
        <f>IF(ISERROR(FIND('112'!$M$9,G2896,1)),"",IF((AND(LEFT(G2896,2)=LEFT('112'!$M$9,2),B2896&lt;'112'!$N$8,$L2896='112'!$I$6)),"x",""))</f>
        <v/>
      </c>
      <c r="T2896" s="525" t="str">
        <f>IF(ISERROR(FIND('112'!$M$9,G2896,1)),"",IF((AND(RIGHT(G2896,2)=RIGHT('112'!$M$9,2),B2896&lt;'112'!$N$8,$M2896='112'!$I$6)),"x",""))</f>
        <v/>
      </c>
      <c r="U2896" s="525" t="str">
        <f>IF(AND(B2896&gt;='IN-NX'!$P$3,B2896&lt;='IN-NX'!$Q$3,'IN-NX'!$D$7=D2896,OR(LEFT(L2896,2)="15",AND(LEFT(M2896,2)&lt;&gt;"15",LEFT(M2896,2)&lt;&gt;"33"))),"x","")</f>
        <v/>
      </c>
      <c r="V2896" s="525" t="str">
        <f>IF(AND(OR(LEFT(TH!L2896,2)="15",LEFT(TH!M2896,2)="15"),'152-CT'!$J$8=TH!F2896),"x","")</f>
        <v/>
      </c>
      <c r="W2896" s="525" t="str">
        <f>IF(AND(OR(LEFT(TH!L2896,2)="15",LEFT(TH!M2896,2)="15"),TK!$E$7=TH!F2896),"x","")</f>
        <v/>
      </c>
      <c r="X2896" s="525" t="str">
        <f>IF(AND('341-CT'!$E$9=H2896,OR(LEFT(L2896,3)=$X$7,LEFT(M2896,3)=$X$7)),"x","")</f>
        <v/>
      </c>
      <c r="Y2896" s="525" t="str">
        <f>IF(OR(TH!L2896=TH!$Y$7,M2896=TH!$Y$7),"x","")</f>
        <v/>
      </c>
      <c r="Z2896" s="525" t="str">
        <f>IF(AND(B2896&lt;=NKC!$N$8,B2896&gt;=NKC!$M$8),"x","")</f>
        <v/>
      </c>
      <c r="AA2896" s="526"/>
      <c r="AC2896" s="576"/>
      <c r="AD2896" s="576"/>
      <c r="AE2896" s="576"/>
    </row>
    <row r="2897" spans="1:31" s="527" customFormat="1" ht="15.75" customHeight="1">
      <c r="A2897" s="517" t="str">
        <f>IF(B2897&lt;&gt;"",IF(AND(B2897&gt;=_TM1,B2897&lt;=_TM2,OR(TH!L2897="1111",TH!M2897="1111")),TH!D2897,""),"")</f>
        <v/>
      </c>
      <c r="B2897" s="518">
        <f t="shared" si="249"/>
        <v>4</v>
      </c>
      <c r="C2897" s="571">
        <f t="shared" si="247"/>
        <v>42853</v>
      </c>
      <c r="D2897" s="519" t="s">
        <v>996</v>
      </c>
      <c r="E2897" s="692">
        <v>42853</v>
      </c>
      <c r="F2897" s="577" t="s">
        <v>708</v>
      </c>
      <c r="G2897" s="573" t="s">
        <v>1116</v>
      </c>
      <c r="H2897" s="574" t="s">
        <v>800</v>
      </c>
      <c r="I2897" s="523">
        <v>24</v>
      </c>
      <c r="J2897" s="523">
        <v>35663</v>
      </c>
      <c r="K2897" s="575">
        <f t="shared" si="248"/>
        <v>855912</v>
      </c>
      <c r="L2897" s="591" t="s">
        <v>160</v>
      </c>
      <c r="M2897" s="591" t="s">
        <v>292</v>
      </c>
      <c r="N2897" s="525" t="str">
        <f>IF(AND('331-CT'!$E$7=TH!H2897,OR(L2897="331",M2897="331")),"331",IF(AND(OR(L2897="131",M2897="131"),H2897='131-CT'!$E$7),"131",""))</f>
        <v/>
      </c>
      <c r="O2897" s="525" t="str">
        <f>IF(AND($B2897&gt;='111'!$N$11,$B2897&lt;='111'!$O$11,OR($L2897=$O$7,$M2897=$O$7)),"x","")</f>
        <v/>
      </c>
      <c r="P2897" s="525" t="str">
        <f>IF(AND($L2897=$O$7,$B2897&lt;'111'!$N$11),"x","")</f>
        <v/>
      </c>
      <c r="Q2897" s="525" t="str">
        <f>IF(AND($M2897=$O$7,$B2897&lt;'111'!$N$11),"x","")</f>
        <v/>
      </c>
      <c r="R2897" s="525" t="str">
        <f>IF(ISERROR(FIND('112'!$M$9,G2897,1)),"",IF((AND(FIND('112'!$M$9,G2897,1)&gt;=1,$B2897&gt;='112'!$N$8,$B2897&lt;='112'!$O$8,OR($L2897='112'!$I$6,$M2897='112'!$I$6))),"x",""))</f>
        <v/>
      </c>
      <c r="S2897" s="525" t="str">
        <f>IF(ISERROR(FIND('112'!$M$9,G2897,1)),"",IF((AND(LEFT(G2897,2)=LEFT('112'!$M$9,2),B2897&lt;'112'!$N$8,$L2897='112'!$I$6)),"x",""))</f>
        <v/>
      </c>
      <c r="T2897" s="525" t="str">
        <f>IF(ISERROR(FIND('112'!$M$9,G2897,1)),"",IF((AND(RIGHT(G2897,2)=RIGHT('112'!$M$9,2),B2897&lt;'112'!$N$8,$M2897='112'!$I$6)),"x",""))</f>
        <v/>
      </c>
      <c r="U2897" s="525" t="str">
        <f>IF(AND(B2897&gt;='IN-NX'!$P$3,B2897&lt;='IN-NX'!$Q$3,'IN-NX'!$D$7=D2897,OR(LEFT(L2897,2)="15",AND(LEFT(M2897,2)&lt;&gt;"15",LEFT(M2897,2)&lt;&gt;"33"))),"x","")</f>
        <v/>
      </c>
      <c r="V2897" s="525" t="str">
        <f>IF(AND(OR(LEFT(TH!L2897,2)="15",LEFT(TH!M2897,2)="15"),'152-CT'!$J$8=TH!F2897),"x","")</f>
        <v/>
      </c>
      <c r="W2897" s="525" t="str">
        <f>IF(AND(OR(LEFT(TH!L2897,2)="15",LEFT(TH!M2897,2)="15"),TK!$E$7=TH!F2897),"x","")</f>
        <v/>
      </c>
      <c r="X2897" s="525" t="str">
        <f>IF(AND('341-CT'!$E$9=H2897,OR(LEFT(L2897,3)=$X$7,LEFT(M2897,3)=$X$7)),"x","")</f>
        <v/>
      </c>
      <c r="Y2897" s="525" t="str">
        <f>IF(OR(TH!L2897=TH!$Y$7,M2897=TH!$Y$7),"x","")</f>
        <v/>
      </c>
      <c r="Z2897" s="525" t="str">
        <f>IF(AND(B2897&lt;=NKC!$N$8,B2897&gt;=NKC!$M$8),"x","")</f>
        <v/>
      </c>
      <c r="AA2897" s="526"/>
      <c r="AC2897" s="576"/>
      <c r="AD2897" s="576"/>
      <c r="AE2897" s="576"/>
    </row>
    <row r="2898" spans="1:31" s="527" customFormat="1" ht="15.75" customHeight="1">
      <c r="A2898" s="517" t="str">
        <f>IF(B2898&lt;&gt;"",IF(AND(B2898&gt;=_TM1,B2898&lt;=_TM2,OR(TH!L2898="1111",TH!M2898="1111")),TH!D2898,""),"")</f>
        <v/>
      </c>
      <c r="B2898" s="518">
        <f t="shared" si="249"/>
        <v>4</v>
      </c>
      <c r="C2898" s="571">
        <f t="shared" ref="C2898:C2929" si="250">E2898</f>
        <v>42853</v>
      </c>
      <c r="D2898" s="519" t="s">
        <v>996</v>
      </c>
      <c r="E2898" s="692">
        <v>42853</v>
      </c>
      <c r="F2898" s="572" t="s">
        <v>709</v>
      </c>
      <c r="G2898" s="573" t="s">
        <v>1116</v>
      </c>
      <c r="H2898" s="574" t="s">
        <v>800</v>
      </c>
      <c r="I2898" s="523">
        <v>24</v>
      </c>
      <c r="J2898" s="523">
        <v>40351</v>
      </c>
      <c r="K2898" s="575">
        <f t="shared" si="248"/>
        <v>968424</v>
      </c>
      <c r="L2898" s="591" t="s">
        <v>160</v>
      </c>
      <c r="M2898" s="591" t="s">
        <v>292</v>
      </c>
      <c r="N2898" s="525" t="str">
        <f>IF(AND('331-CT'!$E$7=TH!H2898,OR(L2898="331",M2898="331")),"331",IF(AND(OR(L2898="131",M2898="131"),H2898='131-CT'!$E$7),"131",""))</f>
        <v/>
      </c>
      <c r="O2898" s="525" t="str">
        <f>IF(AND($B2898&gt;='111'!$N$11,$B2898&lt;='111'!$O$11,OR($L2898=$O$7,$M2898=$O$7)),"x","")</f>
        <v/>
      </c>
      <c r="P2898" s="525" t="str">
        <f>IF(AND($L2898=$O$7,$B2898&lt;'111'!$N$11),"x","")</f>
        <v/>
      </c>
      <c r="Q2898" s="525" t="str">
        <f>IF(AND($M2898=$O$7,$B2898&lt;'111'!$N$11),"x","")</f>
        <v/>
      </c>
      <c r="R2898" s="525" t="str">
        <f>IF(ISERROR(FIND('112'!$M$9,G2898,1)),"",IF((AND(FIND('112'!$M$9,G2898,1)&gt;=1,$B2898&gt;='112'!$N$8,$B2898&lt;='112'!$O$8,OR($L2898='112'!$I$6,$M2898='112'!$I$6))),"x",""))</f>
        <v/>
      </c>
      <c r="S2898" s="525" t="str">
        <f>IF(ISERROR(FIND('112'!$M$9,G2898,1)),"",IF((AND(LEFT(G2898,2)=LEFT('112'!$M$9,2),B2898&lt;'112'!$N$8,$L2898='112'!$I$6)),"x",""))</f>
        <v/>
      </c>
      <c r="T2898" s="525" t="str">
        <f>IF(ISERROR(FIND('112'!$M$9,G2898,1)),"",IF((AND(RIGHT(G2898,2)=RIGHT('112'!$M$9,2),B2898&lt;'112'!$N$8,$M2898='112'!$I$6)),"x",""))</f>
        <v/>
      </c>
      <c r="U2898" s="525" t="str">
        <f>IF(AND(B2898&gt;='IN-NX'!$P$3,B2898&lt;='IN-NX'!$Q$3,'IN-NX'!$D$7=D2898,OR(LEFT(L2898,2)="15",AND(LEFT(M2898,2)&lt;&gt;"15",LEFT(M2898,2)&lt;&gt;"33"))),"x","")</f>
        <v/>
      </c>
      <c r="V2898" s="525" t="str">
        <f>IF(AND(OR(LEFT(TH!L2898,2)="15",LEFT(TH!M2898,2)="15"),'152-CT'!$J$8=TH!F2898),"x","")</f>
        <v/>
      </c>
      <c r="W2898" s="525" t="str">
        <f>IF(AND(OR(LEFT(TH!L2898,2)="15",LEFT(TH!M2898,2)="15"),TK!$E$7=TH!F2898),"x","")</f>
        <v/>
      </c>
      <c r="X2898" s="525" t="str">
        <f>IF(AND('341-CT'!$E$9=H2898,OR(LEFT(L2898,3)=$X$7,LEFT(M2898,3)=$X$7)),"x","")</f>
        <v/>
      </c>
      <c r="Y2898" s="525" t="str">
        <f>IF(OR(TH!L2898=TH!$Y$7,M2898=TH!$Y$7),"x","")</f>
        <v/>
      </c>
      <c r="Z2898" s="525" t="str">
        <f>IF(AND(B2898&lt;=NKC!$N$8,B2898&gt;=NKC!$M$8),"x","")</f>
        <v/>
      </c>
      <c r="AA2898" s="526"/>
      <c r="AC2898" s="576"/>
      <c r="AD2898" s="576"/>
      <c r="AE2898" s="576"/>
    </row>
    <row r="2899" spans="1:31" s="527" customFormat="1" ht="15.75" customHeight="1">
      <c r="A2899" s="517" t="str">
        <f>IF(B2899&lt;&gt;"",IF(AND(B2899&gt;=_TM1,B2899&lt;=_TM2,OR(TH!L2899="1111",TH!M2899="1111")),TH!D2899,""),"")</f>
        <v/>
      </c>
      <c r="B2899" s="518">
        <f t="shared" si="249"/>
        <v>4</v>
      </c>
      <c r="C2899" s="571">
        <f t="shared" si="250"/>
        <v>42853</v>
      </c>
      <c r="D2899" s="519" t="s">
        <v>996</v>
      </c>
      <c r="E2899" s="692">
        <v>42853</v>
      </c>
      <c r="F2899" s="572" t="s">
        <v>1046</v>
      </c>
      <c r="G2899" s="573" t="s">
        <v>1116</v>
      </c>
      <c r="H2899" s="574" t="s">
        <v>800</v>
      </c>
      <c r="I2899" s="523">
        <v>45</v>
      </c>
      <c r="J2899" s="523">
        <v>14921</v>
      </c>
      <c r="K2899" s="575">
        <f t="shared" si="248"/>
        <v>671445</v>
      </c>
      <c r="L2899" s="591" t="s">
        <v>160</v>
      </c>
      <c r="M2899" s="591" t="s">
        <v>292</v>
      </c>
      <c r="N2899" s="525" t="str">
        <f>IF(AND('331-CT'!$E$7=TH!H2899,OR(L2899="331",M2899="331")),"331",IF(AND(OR(L2899="131",M2899="131"),H2899='131-CT'!$E$7),"131",""))</f>
        <v/>
      </c>
      <c r="O2899" s="525" t="str">
        <f>IF(AND($B2899&gt;='111'!$N$11,$B2899&lt;='111'!$O$11,OR($L2899=$O$7,$M2899=$O$7)),"x","")</f>
        <v/>
      </c>
      <c r="P2899" s="525" t="str">
        <f>IF(AND($L2899=$O$7,$B2899&lt;'111'!$N$11),"x","")</f>
        <v/>
      </c>
      <c r="Q2899" s="525" t="str">
        <f>IF(AND($M2899=$O$7,$B2899&lt;'111'!$N$11),"x","")</f>
        <v/>
      </c>
      <c r="R2899" s="525" t="str">
        <f>IF(ISERROR(FIND('112'!$M$9,G2899,1)),"",IF((AND(FIND('112'!$M$9,G2899,1)&gt;=1,$B2899&gt;='112'!$N$8,$B2899&lt;='112'!$O$8,OR($L2899='112'!$I$6,$M2899='112'!$I$6))),"x",""))</f>
        <v/>
      </c>
      <c r="S2899" s="525" t="str">
        <f>IF(ISERROR(FIND('112'!$M$9,G2899,1)),"",IF((AND(LEFT(G2899,2)=LEFT('112'!$M$9,2),B2899&lt;'112'!$N$8,$L2899='112'!$I$6)),"x",""))</f>
        <v/>
      </c>
      <c r="T2899" s="525" t="str">
        <f>IF(ISERROR(FIND('112'!$M$9,G2899,1)),"",IF((AND(RIGHT(G2899,2)=RIGHT('112'!$M$9,2),B2899&lt;'112'!$N$8,$M2899='112'!$I$6)),"x",""))</f>
        <v/>
      </c>
      <c r="U2899" s="525" t="str">
        <f>IF(AND(B2899&gt;='IN-NX'!$P$3,B2899&lt;='IN-NX'!$Q$3,'IN-NX'!$D$7=D2899,OR(LEFT(L2899,2)="15",AND(LEFT(M2899,2)&lt;&gt;"15",LEFT(M2899,2)&lt;&gt;"33"))),"x","")</f>
        <v/>
      </c>
      <c r="V2899" s="525" t="str">
        <f>IF(AND(OR(LEFT(TH!L2899,2)="15",LEFT(TH!M2899,2)="15"),'152-CT'!$J$8=TH!F2899),"x","")</f>
        <v/>
      </c>
      <c r="W2899" s="525" t="str">
        <f>IF(AND(OR(LEFT(TH!L2899,2)="15",LEFT(TH!M2899,2)="15"),TK!$E$7=TH!F2899),"x","")</f>
        <v/>
      </c>
      <c r="X2899" s="525" t="str">
        <f>IF(AND('341-CT'!$E$9=H2899,OR(LEFT(L2899,3)=$X$7,LEFT(M2899,3)=$X$7)),"x","")</f>
        <v/>
      </c>
      <c r="Y2899" s="525" t="str">
        <f>IF(OR(TH!L2899=TH!$Y$7,M2899=TH!$Y$7),"x","")</f>
        <v/>
      </c>
      <c r="Z2899" s="525" t="str">
        <f>IF(AND(B2899&lt;=NKC!$N$8,B2899&gt;=NKC!$M$8),"x","")</f>
        <v/>
      </c>
      <c r="AA2899" s="526"/>
      <c r="AC2899" s="576"/>
      <c r="AD2899" s="576"/>
      <c r="AE2899" s="576"/>
    </row>
    <row r="2900" spans="1:31" s="527" customFormat="1" ht="15.75" customHeight="1">
      <c r="A2900" s="517" t="str">
        <f>IF(B2900&lt;&gt;"",IF(AND(B2900&gt;=_TM1,B2900&lt;=_TM2,OR(TH!L2900="1111",TH!M2900="1111")),TH!D2900,""),"")</f>
        <v/>
      </c>
      <c r="B2900" s="518">
        <f t="shared" si="249"/>
        <v>4</v>
      </c>
      <c r="C2900" s="571">
        <f t="shared" si="250"/>
        <v>42853</v>
      </c>
      <c r="D2900" s="519" t="s">
        <v>996</v>
      </c>
      <c r="E2900" s="615">
        <v>42853</v>
      </c>
      <c r="F2900" s="577" t="s">
        <v>721</v>
      </c>
      <c r="G2900" s="573" t="s">
        <v>1116</v>
      </c>
      <c r="H2900" s="574" t="s">
        <v>800</v>
      </c>
      <c r="I2900" s="523">
        <v>12</v>
      </c>
      <c r="J2900" s="523">
        <v>7804</v>
      </c>
      <c r="K2900" s="575">
        <f t="shared" si="248"/>
        <v>93648</v>
      </c>
      <c r="L2900" s="591" t="s">
        <v>160</v>
      </c>
      <c r="M2900" s="591" t="s">
        <v>292</v>
      </c>
      <c r="N2900" s="525" t="str">
        <f>IF(AND('331-CT'!$E$7=TH!H2900,OR(L2900="331",M2900="331")),"331",IF(AND(OR(L2900="131",M2900="131"),H2900='131-CT'!$E$7),"131",""))</f>
        <v/>
      </c>
      <c r="O2900" s="525" t="str">
        <f>IF(AND($B2900&gt;='111'!$N$11,$B2900&lt;='111'!$O$11,OR($L2900=$O$7,$M2900=$O$7)),"x","")</f>
        <v/>
      </c>
      <c r="P2900" s="525" t="str">
        <f>IF(AND($L2900=$O$7,$B2900&lt;'111'!$N$11),"x","")</f>
        <v/>
      </c>
      <c r="Q2900" s="525" t="str">
        <f>IF(AND($M2900=$O$7,$B2900&lt;'111'!$N$11),"x","")</f>
        <v/>
      </c>
      <c r="R2900" s="525" t="str">
        <f>IF(ISERROR(FIND('112'!$M$9,G2900,1)),"",IF((AND(FIND('112'!$M$9,G2900,1)&gt;=1,$B2900&gt;='112'!$N$8,$B2900&lt;='112'!$O$8,OR($L2900='112'!$I$6,$M2900='112'!$I$6))),"x",""))</f>
        <v/>
      </c>
      <c r="S2900" s="525" t="str">
        <f>IF(ISERROR(FIND('112'!$M$9,G2900,1)),"",IF((AND(LEFT(G2900,2)=LEFT('112'!$M$9,2),B2900&lt;'112'!$N$8,$L2900='112'!$I$6)),"x",""))</f>
        <v/>
      </c>
      <c r="T2900" s="525" t="str">
        <f>IF(ISERROR(FIND('112'!$M$9,G2900,1)),"",IF((AND(RIGHT(G2900,2)=RIGHT('112'!$M$9,2),B2900&lt;'112'!$N$8,$M2900='112'!$I$6)),"x",""))</f>
        <v/>
      </c>
      <c r="U2900" s="525" t="str">
        <f>IF(AND(B2900&gt;='IN-NX'!$P$3,B2900&lt;='IN-NX'!$Q$3,'IN-NX'!$D$7=D2900,OR(LEFT(L2900,2)="15",AND(LEFT(M2900,2)&lt;&gt;"15",LEFT(M2900,2)&lt;&gt;"33"))),"x","")</f>
        <v/>
      </c>
      <c r="V2900" s="525" t="str">
        <f>IF(AND(OR(LEFT(TH!L2900,2)="15",LEFT(TH!M2900,2)="15"),'152-CT'!$J$8=TH!F2900),"x","")</f>
        <v/>
      </c>
      <c r="W2900" s="525" t="str">
        <f>IF(AND(OR(LEFT(TH!L2900,2)="15",LEFT(TH!M2900,2)="15"),TK!$E$7=TH!F2900),"x","")</f>
        <v/>
      </c>
      <c r="X2900" s="525" t="str">
        <f>IF(AND('341-CT'!$E$9=H2900,OR(LEFT(L2900,3)=$X$7,LEFT(M2900,3)=$X$7)),"x","")</f>
        <v/>
      </c>
      <c r="Y2900" s="525" t="str">
        <f>IF(OR(TH!L2900=TH!$Y$7,M2900=TH!$Y$7),"x","")</f>
        <v/>
      </c>
      <c r="Z2900" s="525" t="str">
        <f>IF(AND(B2900&lt;=NKC!$N$8,B2900&gt;=NKC!$M$8),"x","")</f>
        <v/>
      </c>
      <c r="AA2900" s="526"/>
      <c r="AB2900" s="576"/>
      <c r="AC2900" s="576"/>
      <c r="AD2900" s="576"/>
      <c r="AE2900" s="576"/>
    </row>
    <row r="2901" spans="1:31" s="527" customFormat="1" ht="15.75" customHeight="1">
      <c r="A2901" s="517" t="str">
        <f>IF(B2901&lt;&gt;"",IF(AND(B2901&gt;=_TM1,B2901&lt;=_TM2,OR(TH!L2901="1111",TH!M2901="1111")),TH!D2901,""),"")</f>
        <v/>
      </c>
      <c r="B2901" s="518">
        <f t="shared" si="249"/>
        <v>4</v>
      </c>
      <c r="C2901" s="571">
        <f t="shared" si="250"/>
        <v>42853</v>
      </c>
      <c r="D2901" s="519" t="s">
        <v>996</v>
      </c>
      <c r="E2901" s="571">
        <v>42853</v>
      </c>
      <c r="F2901" s="572" t="s">
        <v>727</v>
      </c>
      <c r="G2901" s="579" t="s">
        <v>1116</v>
      </c>
      <c r="H2901" s="574" t="s">
        <v>800</v>
      </c>
      <c r="I2901" s="523">
        <v>12</v>
      </c>
      <c r="J2901" s="523">
        <v>22519</v>
      </c>
      <c r="K2901" s="575">
        <f t="shared" si="248"/>
        <v>270228</v>
      </c>
      <c r="L2901" s="591" t="s">
        <v>160</v>
      </c>
      <c r="M2901" s="591" t="s">
        <v>292</v>
      </c>
      <c r="N2901" s="525" t="str">
        <f>IF(AND('331-CT'!$E$7=TH!H2901,OR(L2901="331",M2901="331")),"331",IF(AND(OR(L2901="131",M2901="131"),H2901='131-CT'!$E$7),"131",""))</f>
        <v/>
      </c>
      <c r="O2901" s="525" t="str">
        <f>IF(AND($B2901&gt;='111'!$N$11,$B2901&lt;='111'!$O$11,OR($L2901=$O$7,$M2901=$O$7)),"x","")</f>
        <v/>
      </c>
      <c r="P2901" s="525" t="str">
        <f>IF(AND($L2901=$O$7,$B2901&lt;'111'!$N$11),"x","")</f>
        <v/>
      </c>
      <c r="Q2901" s="525" t="str">
        <f>IF(AND($M2901=$O$7,$B2901&lt;'111'!$N$11),"x","")</f>
        <v/>
      </c>
      <c r="R2901" s="525" t="str">
        <f>IF(ISERROR(FIND('112'!$M$9,G2901,1)),"",IF((AND(FIND('112'!$M$9,G2901,1)&gt;=1,$B2901&gt;='112'!$N$8,$B2901&lt;='112'!$O$8,OR($L2901='112'!$I$6,$M2901='112'!$I$6))),"x",""))</f>
        <v/>
      </c>
      <c r="S2901" s="525" t="str">
        <f>IF(ISERROR(FIND('112'!$M$9,G2901,1)),"",IF((AND(LEFT(G2901,2)=LEFT('112'!$M$9,2),B2901&lt;'112'!$N$8,$L2901='112'!$I$6)),"x",""))</f>
        <v/>
      </c>
      <c r="T2901" s="525" t="str">
        <f>IF(ISERROR(FIND('112'!$M$9,G2901,1)),"",IF((AND(RIGHT(G2901,2)=RIGHT('112'!$M$9,2),B2901&lt;'112'!$N$8,$M2901='112'!$I$6)),"x",""))</f>
        <v/>
      </c>
      <c r="U2901" s="525" t="str">
        <f>IF(AND(B2901&gt;='IN-NX'!$P$3,B2901&lt;='IN-NX'!$Q$3,'IN-NX'!$D$7=D2901,OR(LEFT(L2901,2)="15",AND(LEFT(M2901,2)&lt;&gt;"15",LEFT(M2901,2)&lt;&gt;"33"))),"x","")</f>
        <v/>
      </c>
      <c r="V2901" s="525" t="str">
        <f>IF(AND(OR(LEFT(TH!L2901,2)="15",LEFT(TH!M2901,2)="15"),'152-CT'!$J$8=TH!F2901),"x","")</f>
        <v/>
      </c>
      <c r="W2901" s="525" t="str">
        <f>IF(AND(OR(LEFT(TH!L2901,2)="15",LEFT(TH!M2901,2)="15"),TK!$E$7=TH!F2901),"x","")</f>
        <v/>
      </c>
      <c r="X2901" s="525" t="str">
        <f>IF(AND('341-CT'!$E$9=H2901,OR(LEFT(L2901,3)=$X$7,LEFT(M2901,3)=$X$7)),"x","")</f>
        <v/>
      </c>
      <c r="Y2901" s="525" t="str">
        <f>IF(OR(TH!L2901=TH!$Y$7,M2901=TH!$Y$7),"x","")</f>
        <v/>
      </c>
      <c r="Z2901" s="525" t="str">
        <f>IF(AND(B2901&lt;=NKC!$N$8,B2901&gt;=NKC!$M$8),"x","")</f>
        <v/>
      </c>
      <c r="AA2901" s="693"/>
      <c r="AC2901" s="576"/>
      <c r="AD2901" s="576"/>
    </row>
    <row r="2902" spans="1:31" s="527" customFormat="1" ht="15.75" customHeight="1">
      <c r="A2902" s="517" t="str">
        <f>IF(B2902&lt;&gt;"",IF(AND(B2902&gt;=_TM1,B2902&lt;=_TM2,OR(TH!L2902="1111",TH!M2902="1111")),TH!D2902,""),"")</f>
        <v/>
      </c>
      <c r="B2902" s="518">
        <f t="shared" si="249"/>
        <v>4</v>
      </c>
      <c r="C2902" s="571">
        <f t="shared" si="250"/>
        <v>42853</v>
      </c>
      <c r="D2902" s="519" t="s">
        <v>996</v>
      </c>
      <c r="E2902" s="571">
        <v>42853</v>
      </c>
      <c r="F2902" s="572" t="s">
        <v>1047</v>
      </c>
      <c r="G2902" s="579" t="s">
        <v>1116</v>
      </c>
      <c r="H2902" s="574" t="s">
        <v>800</v>
      </c>
      <c r="I2902" s="523">
        <v>4</v>
      </c>
      <c r="J2902" s="523">
        <v>39964</v>
      </c>
      <c r="K2902" s="575">
        <f t="shared" si="248"/>
        <v>159856</v>
      </c>
      <c r="L2902" s="591" t="s">
        <v>160</v>
      </c>
      <c r="M2902" s="591" t="s">
        <v>292</v>
      </c>
      <c r="N2902" s="525" t="str">
        <f>IF(AND('331-CT'!$E$7=TH!H2902,OR(L2902="331",M2902="331")),"331",IF(AND(OR(L2902="131",M2902="131"),H2902='131-CT'!$E$7),"131",""))</f>
        <v/>
      </c>
      <c r="O2902" s="525" t="str">
        <f>IF(AND($B2902&gt;='111'!$N$11,$B2902&lt;='111'!$O$11,OR($L2902=$O$7,$M2902=$O$7)),"x","")</f>
        <v/>
      </c>
      <c r="P2902" s="525" t="str">
        <f>IF(AND($L2902=$O$7,$B2902&lt;'111'!$N$11),"x","")</f>
        <v/>
      </c>
      <c r="Q2902" s="525" t="str">
        <f>IF(AND($M2902=$O$7,$B2902&lt;'111'!$N$11),"x","")</f>
        <v/>
      </c>
      <c r="R2902" s="525" t="str">
        <f>IF(ISERROR(FIND('112'!$M$9,G2902,1)),"",IF((AND(FIND('112'!$M$9,G2902,1)&gt;=1,$B2902&gt;='112'!$N$8,$B2902&lt;='112'!$O$8,OR($L2902='112'!$I$6,$M2902='112'!$I$6))),"x",""))</f>
        <v/>
      </c>
      <c r="S2902" s="525" t="str">
        <f>IF(ISERROR(FIND('112'!$M$9,G2902,1)),"",IF((AND(LEFT(G2902,2)=LEFT('112'!$M$9,2),B2902&lt;'112'!$N$8,$L2902='112'!$I$6)),"x",""))</f>
        <v/>
      </c>
      <c r="T2902" s="525" t="str">
        <f>IF(ISERROR(FIND('112'!$M$9,G2902,1)),"",IF((AND(RIGHT(G2902,2)=RIGHT('112'!$M$9,2),B2902&lt;'112'!$N$8,$M2902='112'!$I$6)),"x",""))</f>
        <v/>
      </c>
      <c r="U2902" s="525" t="str">
        <f>IF(AND(B2902&gt;='IN-NX'!$P$3,B2902&lt;='IN-NX'!$Q$3,'IN-NX'!$D$7=D2902,OR(LEFT(L2902,2)="15",AND(LEFT(M2902,2)&lt;&gt;"15",LEFT(M2902,2)&lt;&gt;"33"))),"x","")</f>
        <v/>
      </c>
      <c r="V2902" s="525" t="str">
        <f>IF(AND(OR(LEFT(TH!L2902,2)="15",LEFT(TH!M2902,2)="15"),'152-CT'!$J$8=TH!F2902),"x","")</f>
        <v/>
      </c>
      <c r="W2902" s="525" t="str">
        <f>IF(AND(OR(LEFT(TH!L2902,2)="15",LEFT(TH!M2902,2)="15"),TK!$E$7=TH!F2902),"x","")</f>
        <v/>
      </c>
      <c r="X2902" s="525" t="str">
        <f>IF(AND('341-CT'!$E$9=H2902,OR(LEFT(L2902,3)=$X$7,LEFT(M2902,3)=$X$7)),"x","")</f>
        <v/>
      </c>
      <c r="Y2902" s="525" t="str">
        <f>IF(OR(TH!L2902=TH!$Y$7,M2902=TH!$Y$7),"x","")</f>
        <v/>
      </c>
      <c r="Z2902" s="525" t="str">
        <f>IF(AND(B2902&lt;=NKC!$N$8,B2902&gt;=NKC!$M$8),"x","")</f>
        <v/>
      </c>
      <c r="AA2902" s="693"/>
      <c r="AC2902" s="576"/>
      <c r="AD2902" s="576"/>
    </row>
    <row r="2903" spans="1:31" s="527" customFormat="1" ht="15.75" customHeight="1">
      <c r="A2903" s="517" t="str">
        <f>IF(B2903&lt;&gt;"",IF(AND(B2903&gt;=_TM1,B2903&lt;=_TM2,OR(TH!L2903="1111",TH!M2903="1111")),TH!D2903,""),"")</f>
        <v/>
      </c>
      <c r="B2903" s="518">
        <f t="shared" si="249"/>
        <v>4</v>
      </c>
      <c r="C2903" s="571">
        <f t="shared" si="250"/>
        <v>42853</v>
      </c>
      <c r="D2903" s="519" t="s">
        <v>996</v>
      </c>
      <c r="E2903" s="571">
        <v>42853</v>
      </c>
      <c r="F2903" s="572" t="s">
        <v>1048</v>
      </c>
      <c r="G2903" s="579" t="s">
        <v>1116</v>
      </c>
      <c r="H2903" s="574" t="s">
        <v>800</v>
      </c>
      <c r="I2903" s="523">
        <v>4</v>
      </c>
      <c r="J2903" s="523">
        <v>41226</v>
      </c>
      <c r="K2903" s="575">
        <f t="shared" si="248"/>
        <v>164904</v>
      </c>
      <c r="L2903" s="591" t="s">
        <v>160</v>
      </c>
      <c r="M2903" s="591" t="s">
        <v>292</v>
      </c>
      <c r="N2903" s="525" t="str">
        <f>IF(AND('331-CT'!$E$7=TH!H2903,OR(L2903="331",M2903="331")),"331",IF(AND(OR(L2903="131",M2903="131"),H2903='131-CT'!$E$7),"131",""))</f>
        <v/>
      </c>
      <c r="O2903" s="525" t="str">
        <f>IF(AND($B2903&gt;='111'!$N$11,$B2903&lt;='111'!$O$11,OR($L2903=$O$7,$M2903=$O$7)),"x","")</f>
        <v/>
      </c>
      <c r="P2903" s="525" t="str">
        <f>IF(AND($L2903=$O$7,$B2903&lt;'111'!$N$11),"x","")</f>
        <v/>
      </c>
      <c r="Q2903" s="525" t="str">
        <f>IF(AND($M2903=$O$7,$B2903&lt;'111'!$N$11),"x","")</f>
        <v/>
      </c>
      <c r="R2903" s="525" t="str">
        <f>IF(ISERROR(FIND('112'!$M$9,G2903,1)),"",IF((AND(FIND('112'!$M$9,G2903,1)&gt;=1,$B2903&gt;='112'!$N$8,$B2903&lt;='112'!$O$8,OR($L2903='112'!$I$6,$M2903='112'!$I$6))),"x",""))</f>
        <v/>
      </c>
      <c r="S2903" s="525" t="str">
        <f>IF(ISERROR(FIND('112'!$M$9,G2903,1)),"",IF((AND(LEFT(G2903,2)=LEFT('112'!$M$9,2),B2903&lt;'112'!$N$8,$L2903='112'!$I$6)),"x",""))</f>
        <v/>
      </c>
      <c r="T2903" s="525" t="str">
        <f>IF(ISERROR(FIND('112'!$M$9,G2903,1)),"",IF((AND(RIGHT(G2903,2)=RIGHT('112'!$M$9,2),B2903&lt;'112'!$N$8,$M2903='112'!$I$6)),"x",""))</f>
        <v/>
      </c>
      <c r="U2903" s="525" t="str">
        <f>IF(AND(B2903&gt;='IN-NX'!$P$3,B2903&lt;='IN-NX'!$Q$3,'IN-NX'!$D$7=D2903,OR(LEFT(L2903,2)="15",AND(LEFT(M2903,2)&lt;&gt;"15",LEFT(M2903,2)&lt;&gt;"33"))),"x","")</f>
        <v/>
      </c>
      <c r="V2903" s="525" t="str">
        <f>IF(AND(OR(LEFT(TH!L2903,2)="15",LEFT(TH!M2903,2)="15"),'152-CT'!$J$8=TH!F2903),"x","")</f>
        <v/>
      </c>
      <c r="W2903" s="525" t="str">
        <f>IF(AND(OR(LEFT(TH!L2903,2)="15",LEFT(TH!M2903,2)="15"),TK!$E$7=TH!F2903),"x","")</f>
        <v/>
      </c>
      <c r="X2903" s="525" t="str">
        <f>IF(AND('341-CT'!$E$9=H2903,OR(LEFT(L2903,3)=$X$7,LEFT(M2903,3)=$X$7)),"x","")</f>
        <v/>
      </c>
      <c r="Y2903" s="525" t="str">
        <f>IF(OR(TH!L2903=TH!$Y$7,M2903=TH!$Y$7),"x","")</f>
        <v/>
      </c>
      <c r="Z2903" s="525" t="str">
        <f>IF(AND(B2903&lt;=NKC!$N$8,B2903&gt;=NKC!$M$8),"x","")</f>
        <v/>
      </c>
      <c r="AA2903" s="693"/>
      <c r="AC2903" s="576"/>
      <c r="AD2903" s="576"/>
    </row>
    <row r="2904" spans="1:31" s="527" customFormat="1" ht="15.75" customHeight="1">
      <c r="A2904" s="517" t="str">
        <f>IF(B2904&lt;&gt;"",IF(AND(B2904&gt;=_TM1,B2904&lt;=_TM2,OR(TH!L2904="1111",TH!M2904="1111")),TH!D2904,""),"")</f>
        <v/>
      </c>
      <c r="B2904" s="518">
        <f t="shared" si="249"/>
        <v>4</v>
      </c>
      <c r="C2904" s="571">
        <f t="shared" si="250"/>
        <v>42853</v>
      </c>
      <c r="D2904" s="519" t="s">
        <v>996</v>
      </c>
      <c r="E2904" s="571">
        <v>42853</v>
      </c>
      <c r="F2904" s="572" t="s">
        <v>746</v>
      </c>
      <c r="G2904" s="579" t="s">
        <v>1116</v>
      </c>
      <c r="H2904" s="574" t="s">
        <v>800</v>
      </c>
      <c r="I2904" s="523">
        <v>6</v>
      </c>
      <c r="J2904" s="523">
        <v>20831</v>
      </c>
      <c r="K2904" s="575">
        <f t="shared" si="248"/>
        <v>124986</v>
      </c>
      <c r="L2904" s="591" t="s">
        <v>160</v>
      </c>
      <c r="M2904" s="591" t="s">
        <v>292</v>
      </c>
      <c r="N2904" s="525" t="str">
        <f>IF(AND('331-CT'!$E$7=TH!H2904,OR(L2904="331",M2904="331")),"331",IF(AND(OR(L2904="131",M2904="131"),H2904='131-CT'!$E$7),"131",""))</f>
        <v/>
      </c>
      <c r="O2904" s="525" t="str">
        <f>IF(AND($B2904&gt;='111'!$N$11,$B2904&lt;='111'!$O$11,OR($L2904=$O$7,$M2904=$O$7)),"x","")</f>
        <v/>
      </c>
      <c r="P2904" s="525" t="str">
        <f>IF(AND($L2904=$O$7,$B2904&lt;'111'!$N$11),"x","")</f>
        <v/>
      </c>
      <c r="Q2904" s="525" t="str">
        <f>IF(AND($M2904=$O$7,$B2904&lt;'111'!$N$11),"x","")</f>
        <v/>
      </c>
      <c r="R2904" s="525" t="str">
        <f>IF(ISERROR(FIND('112'!$M$9,G2904,1)),"",IF((AND(FIND('112'!$M$9,G2904,1)&gt;=1,$B2904&gt;='112'!$N$8,$B2904&lt;='112'!$O$8,OR($L2904='112'!$I$6,$M2904='112'!$I$6))),"x",""))</f>
        <v/>
      </c>
      <c r="S2904" s="525" t="str">
        <f>IF(ISERROR(FIND('112'!$M$9,G2904,1)),"",IF((AND(LEFT(G2904,2)=LEFT('112'!$M$9,2),B2904&lt;'112'!$N$8,$L2904='112'!$I$6)),"x",""))</f>
        <v/>
      </c>
      <c r="T2904" s="525" t="str">
        <f>IF(ISERROR(FIND('112'!$M$9,G2904,1)),"",IF((AND(RIGHT(G2904,2)=RIGHT('112'!$M$9,2),B2904&lt;'112'!$N$8,$M2904='112'!$I$6)),"x",""))</f>
        <v/>
      </c>
      <c r="U2904" s="525" t="str">
        <f>IF(AND(B2904&gt;='IN-NX'!$P$3,B2904&lt;='IN-NX'!$Q$3,'IN-NX'!$D$7=D2904,OR(LEFT(L2904,2)="15",AND(LEFT(M2904,2)&lt;&gt;"15",LEFT(M2904,2)&lt;&gt;"33"))),"x","")</f>
        <v/>
      </c>
      <c r="V2904" s="525" t="str">
        <f>IF(AND(OR(LEFT(TH!L2904,2)="15",LEFT(TH!M2904,2)="15"),'152-CT'!$J$8=TH!F2904),"x","")</f>
        <v/>
      </c>
      <c r="W2904" s="525" t="str">
        <f>IF(AND(OR(LEFT(TH!L2904,2)="15",LEFT(TH!M2904,2)="15"),TK!$E$7=TH!F2904),"x","")</f>
        <v/>
      </c>
      <c r="X2904" s="525" t="str">
        <f>IF(AND('341-CT'!$E$9=H2904,OR(LEFT(L2904,3)=$X$7,LEFT(M2904,3)=$X$7)),"x","")</f>
        <v/>
      </c>
      <c r="Y2904" s="525" t="str">
        <f>IF(OR(TH!L2904=TH!$Y$7,M2904=TH!$Y$7),"x","")</f>
        <v/>
      </c>
      <c r="Z2904" s="525" t="str">
        <f>IF(AND(B2904&lt;=NKC!$N$8,B2904&gt;=NKC!$M$8),"x","")</f>
        <v/>
      </c>
      <c r="AA2904" s="693"/>
      <c r="AC2904" s="576"/>
      <c r="AD2904" s="576"/>
    </row>
    <row r="2905" spans="1:31" s="527" customFormat="1" ht="15.75" customHeight="1">
      <c r="A2905" s="517" t="str">
        <f>IF(B2905&lt;&gt;"",IF(AND(B2905&gt;=_TM1,B2905&lt;=_TM2,OR(TH!L2905="1111",TH!M2905="1111")),TH!D2905,""),"")</f>
        <v/>
      </c>
      <c r="B2905" s="518">
        <f t="shared" si="249"/>
        <v>4</v>
      </c>
      <c r="C2905" s="571">
        <f t="shared" si="250"/>
        <v>42853</v>
      </c>
      <c r="D2905" s="519" t="s">
        <v>996</v>
      </c>
      <c r="E2905" s="571">
        <v>42853</v>
      </c>
      <c r="F2905" s="572" t="s">
        <v>712</v>
      </c>
      <c r="G2905" s="579" t="s">
        <v>1116</v>
      </c>
      <c r="H2905" s="574" t="s">
        <v>800</v>
      </c>
      <c r="I2905" s="523">
        <v>36</v>
      </c>
      <c r="J2905" s="523">
        <v>45869</v>
      </c>
      <c r="K2905" s="575">
        <f t="shared" si="248"/>
        <v>1651284</v>
      </c>
      <c r="L2905" s="591" t="s">
        <v>160</v>
      </c>
      <c r="M2905" s="591" t="s">
        <v>292</v>
      </c>
      <c r="N2905" s="525" t="str">
        <f>IF(AND('331-CT'!$E$7=TH!H2905,OR(L2905="331",M2905="331")),"331",IF(AND(OR(L2905="131",M2905="131"),H2905='131-CT'!$E$7),"131",""))</f>
        <v/>
      </c>
      <c r="O2905" s="525" t="str">
        <f>IF(AND($B2905&gt;='111'!$N$11,$B2905&lt;='111'!$O$11,OR($L2905=$O$7,$M2905=$O$7)),"x","")</f>
        <v/>
      </c>
      <c r="P2905" s="525" t="str">
        <f>IF(AND($L2905=$O$7,$B2905&lt;'111'!$N$11),"x","")</f>
        <v/>
      </c>
      <c r="Q2905" s="525" t="str">
        <f>IF(AND($M2905=$O$7,$B2905&lt;'111'!$N$11),"x","")</f>
        <v/>
      </c>
      <c r="R2905" s="525" t="str">
        <f>IF(ISERROR(FIND('112'!$M$9,G2905,1)),"",IF((AND(FIND('112'!$M$9,G2905,1)&gt;=1,$B2905&gt;='112'!$N$8,$B2905&lt;='112'!$O$8,OR($L2905='112'!$I$6,$M2905='112'!$I$6))),"x",""))</f>
        <v/>
      </c>
      <c r="S2905" s="525" t="str">
        <f>IF(ISERROR(FIND('112'!$M$9,G2905,1)),"",IF((AND(LEFT(G2905,2)=LEFT('112'!$M$9,2),B2905&lt;'112'!$N$8,$L2905='112'!$I$6)),"x",""))</f>
        <v/>
      </c>
      <c r="T2905" s="525" t="str">
        <f>IF(ISERROR(FIND('112'!$M$9,G2905,1)),"",IF((AND(RIGHT(G2905,2)=RIGHT('112'!$M$9,2),B2905&lt;'112'!$N$8,$M2905='112'!$I$6)),"x",""))</f>
        <v/>
      </c>
      <c r="U2905" s="525" t="str">
        <f>IF(AND(B2905&gt;='IN-NX'!$P$3,B2905&lt;='IN-NX'!$Q$3,'IN-NX'!$D$7=D2905,OR(LEFT(L2905,2)="15",AND(LEFT(M2905,2)&lt;&gt;"15",LEFT(M2905,2)&lt;&gt;"33"))),"x","")</f>
        <v/>
      </c>
      <c r="V2905" s="525" t="str">
        <f>IF(AND(OR(LEFT(TH!L2905,2)="15",LEFT(TH!M2905,2)="15"),'152-CT'!$J$8=TH!F2905),"x","")</f>
        <v/>
      </c>
      <c r="W2905" s="525" t="str">
        <f>IF(AND(OR(LEFT(TH!L2905,2)="15",LEFT(TH!M2905,2)="15"),TK!$E$7=TH!F2905),"x","")</f>
        <v/>
      </c>
      <c r="X2905" s="525" t="str">
        <f>IF(AND('341-CT'!$E$9=H2905,OR(LEFT(L2905,3)=$X$7,LEFT(M2905,3)=$X$7)),"x","")</f>
        <v/>
      </c>
      <c r="Y2905" s="525" t="str">
        <f>IF(OR(TH!L2905=TH!$Y$7,M2905=TH!$Y$7),"x","")</f>
        <v/>
      </c>
      <c r="Z2905" s="525" t="str">
        <f>IF(AND(B2905&lt;=NKC!$N$8,B2905&gt;=NKC!$M$8),"x","")</f>
        <v/>
      </c>
      <c r="AA2905" s="693"/>
      <c r="AC2905" s="576"/>
      <c r="AD2905" s="576"/>
    </row>
    <row r="2906" spans="1:31" s="527" customFormat="1" ht="15.75" customHeight="1">
      <c r="A2906" s="517" t="str">
        <f>IF(B2906&lt;&gt;"",IF(AND(B2906&gt;=_TM1,B2906&lt;=_TM2,OR(TH!L2906="1111",TH!M2906="1111")),TH!D2906,""),"")</f>
        <v/>
      </c>
      <c r="B2906" s="518">
        <f t="shared" si="249"/>
        <v>4</v>
      </c>
      <c r="C2906" s="571">
        <f t="shared" si="250"/>
        <v>42853</v>
      </c>
      <c r="D2906" s="519" t="s">
        <v>996</v>
      </c>
      <c r="E2906" s="571">
        <v>42853</v>
      </c>
      <c r="F2906" s="572" t="s">
        <v>713</v>
      </c>
      <c r="G2906" s="579" t="s">
        <v>1116</v>
      </c>
      <c r="H2906" s="574" t="s">
        <v>800</v>
      </c>
      <c r="I2906" s="523">
        <v>18</v>
      </c>
      <c r="J2906" s="523">
        <v>33167</v>
      </c>
      <c r="K2906" s="575">
        <f t="shared" si="248"/>
        <v>597006</v>
      </c>
      <c r="L2906" s="591" t="s">
        <v>160</v>
      </c>
      <c r="M2906" s="591" t="s">
        <v>292</v>
      </c>
      <c r="N2906" s="525" t="str">
        <f>IF(AND('331-CT'!$E$7=TH!H2906,OR(L2906="331",M2906="331")),"331",IF(AND(OR(L2906="131",M2906="131"),H2906='131-CT'!$E$7),"131",""))</f>
        <v/>
      </c>
      <c r="O2906" s="525" t="str">
        <f>IF(AND($B2906&gt;='111'!$N$11,$B2906&lt;='111'!$O$11,OR($L2906=$O$7,$M2906=$O$7)),"x","")</f>
        <v/>
      </c>
      <c r="P2906" s="525" t="str">
        <f>IF(AND($L2906=$O$7,$B2906&lt;'111'!$N$11),"x","")</f>
        <v/>
      </c>
      <c r="Q2906" s="525" t="str">
        <f>IF(AND($M2906=$O$7,$B2906&lt;'111'!$N$11),"x","")</f>
        <v/>
      </c>
      <c r="R2906" s="525" t="str">
        <f>IF(ISERROR(FIND('112'!$M$9,G2906,1)),"",IF((AND(FIND('112'!$M$9,G2906,1)&gt;=1,$B2906&gt;='112'!$N$8,$B2906&lt;='112'!$O$8,OR($L2906='112'!$I$6,$M2906='112'!$I$6))),"x",""))</f>
        <v/>
      </c>
      <c r="S2906" s="525" t="str">
        <f>IF(ISERROR(FIND('112'!$M$9,G2906,1)),"",IF((AND(LEFT(G2906,2)=LEFT('112'!$M$9,2),B2906&lt;'112'!$N$8,$L2906='112'!$I$6)),"x",""))</f>
        <v/>
      </c>
      <c r="T2906" s="525" t="str">
        <f>IF(ISERROR(FIND('112'!$M$9,G2906,1)),"",IF((AND(RIGHT(G2906,2)=RIGHT('112'!$M$9,2),B2906&lt;'112'!$N$8,$M2906='112'!$I$6)),"x",""))</f>
        <v/>
      </c>
      <c r="U2906" s="525" t="str">
        <f>IF(AND(B2906&gt;='IN-NX'!$P$3,B2906&lt;='IN-NX'!$Q$3,'IN-NX'!$D$7=D2906,OR(LEFT(L2906,2)="15",AND(LEFT(M2906,2)&lt;&gt;"15",LEFT(M2906,2)&lt;&gt;"33"))),"x","")</f>
        <v/>
      </c>
      <c r="V2906" s="525" t="str">
        <f>IF(AND(OR(LEFT(TH!L2906,2)="15",LEFT(TH!M2906,2)="15"),'152-CT'!$J$8=TH!F2906),"x","")</f>
        <v/>
      </c>
      <c r="W2906" s="525" t="str">
        <f>IF(AND(OR(LEFT(TH!L2906,2)="15",LEFT(TH!M2906,2)="15"),TK!$E$7=TH!F2906),"x","")</f>
        <v/>
      </c>
      <c r="X2906" s="525" t="str">
        <f>IF(AND('341-CT'!$E$9=H2906,OR(LEFT(L2906,3)=$X$7,LEFT(M2906,3)=$X$7)),"x","")</f>
        <v/>
      </c>
      <c r="Y2906" s="525" t="str">
        <f>IF(OR(TH!L2906=TH!$Y$7,M2906=TH!$Y$7),"x","")</f>
        <v/>
      </c>
      <c r="Z2906" s="525" t="str">
        <f>IF(AND(B2906&lt;=NKC!$N$8,B2906&gt;=NKC!$M$8),"x","")</f>
        <v/>
      </c>
      <c r="AA2906" s="693"/>
      <c r="AC2906" s="576"/>
      <c r="AD2906" s="576"/>
    </row>
    <row r="2907" spans="1:31" s="527" customFormat="1" ht="15.75" customHeight="1">
      <c r="A2907" s="517" t="str">
        <f>IF(B2907&lt;&gt;"",IF(AND(B2907&gt;=_TM1,B2907&lt;=_TM2,OR(TH!L2907="1111",TH!M2907="1111")),TH!D2907,""),"")</f>
        <v/>
      </c>
      <c r="B2907" s="518">
        <f t="shared" si="249"/>
        <v>4</v>
      </c>
      <c r="C2907" s="571">
        <f t="shared" si="250"/>
        <v>42853</v>
      </c>
      <c r="D2907" s="519" t="s">
        <v>996</v>
      </c>
      <c r="E2907" s="571">
        <v>42853</v>
      </c>
      <c r="F2907" s="572" t="s">
        <v>715</v>
      </c>
      <c r="G2907" s="579" t="s">
        <v>1116</v>
      </c>
      <c r="H2907" s="574" t="s">
        <v>800</v>
      </c>
      <c r="I2907" s="523">
        <v>12</v>
      </c>
      <c r="J2907" s="523">
        <v>36447</v>
      </c>
      <c r="K2907" s="575">
        <f t="shared" si="248"/>
        <v>437364</v>
      </c>
      <c r="L2907" s="591" t="s">
        <v>160</v>
      </c>
      <c r="M2907" s="591" t="s">
        <v>292</v>
      </c>
      <c r="N2907" s="525" t="str">
        <f>IF(AND('331-CT'!$E$7=TH!H2907,OR(L2907="331",M2907="331")),"331",IF(AND(OR(L2907="131",M2907="131"),H2907='131-CT'!$E$7),"131",""))</f>
        <v/>
      </c>
      <c r="O2907" s="525" t="str">
        <f>IF(AND($B2907&gt;='111'!$N$11,$B2907&lt;='111'!$O$11,OR($L2907=$O$7,$M2907=$O$7)),"x","")</f>
        <v/>
      </c>
      <c r="P2907" s="525" t="str">
        <f>IF(AND($L2907=$O$7,$B2907&lt;'111'!$N$11),"x","")</f>
        <v/>
      </c>
      <c r="Q2907" s="525" t="str">
        <f>IF(AND($M2907=$O$7,$B2907&lt;'111'!$N$11),"x","")</f>
        <v/>
      </c>
      <c r="R2907" s="525" t="str">
        <f>IF(ISERROR(FIND('112'!$M$9,G2907,1)),"",IF((AND(FIND('112'!$M$9,G2907,1)&gt;=1,$B2907&gt;='112'!$N$8,$B2907&lt;='112'!$O$8,OR($L2907='112'!$I$6,$M2907='112'!$I$6))),"x",""))</f>
        <v/>
      </c>
      <c r="S2907" s="525" t="str">
        <f>IF(ISERROR(FIND('112'!$M$9,G2907,1)),"",IF((AND(LEFT(G2907,2)=LEFT('112'!$M$9,2),B2907&lt;'112'!$N$8,$L2907='112'!$I$6)),"x",""))</f>
        <v/>
      </c>
      <c r="T2907" s="525" t="str">
        <f>IF(ISERROR(FIND('112'!$M$9,G2907,1)),"",IF((AND(RIGHT(G2907,2)=RIGHT('112'!$M$9,2),B2907&lt;'112'!$N$8,$M2907='112'!$I$6)),"x",""))</f>
        <v/>
      </c>
      <c r="U2907" s="525" t="str">
        <f>IF(AND(B2907&gt;='IN-NX'!$P$3,B2907&lt;='IN-NX'!$Q$3,'IN-NX'!$D$7=D2907,OR(LEFT(L2907,2)="15",AND(LEFT(M2907,2)&lt;&gt;"15",LEFT(M2907,2)&lt;&gt;"33"))),"x","")</f>
        <v/>
      </c>
      <c r="V2907" s="525" t="str">
        <f>IF(AND(OR(LEFT(TH!L2907,2)="15",LEFT(TH!M2907,2)="15"),'152-CT'!$J$8=TH!F2907),"x","")</f>
        <v/>
      </c>
      <c r="W2907" s="525" t="str">
        <f>IF(AND(OR(LEFT(TH!L2907,2)="15",LEFT(TH!M2907,2)="15"),TK!$E$7=TH!F2907),"x","")</f>
        <v/>
      </c>
      <c r="X2907" s="525" t="str">
        <f>IF(AND('341-CT'!$E$9=H2907,OR(LEFT(L2907,3)=$X$7,LEFT(M2907,3)=$X$7)),"x","")</f>
        <v/>
      </c>
      <c r="Y2907" s="525" t="str">
        <f>IF(OR(TH!L2907=TH!$Y$7,M2907=TH!$Y$7),"x","")</f>
        <v/>
      </c>
      <c r="Z2907" s="525" t="str">
        <f>IF(AND(B2907&lt;=NKC!$N$8,B2907&gt;=NKC!$M$8),"x","")</f>
        <v/>
      </c>
      <c r="AA2907" s="693"/>
      <c r="AC2907" s="576"/>
      <c r="AD2907" s="576"/>
    </row>
    <row r="2908" spans="1:31" s="527" customFormat="1" ht="15.75" customHeight="1">
      <c r="A2908" s="517" t="str">
        <f>IF(B2908&lt;&gt;"",IF(AND(B2908&gt;=_TM1,B2908&lt;=_TM2,OR(TH!L2908="1111",TH!M2908="1111")),TH!D2908,""),"")</f>
        <v/>
      </c>
      <c r="B2908" s="518">
        <f t="shared" si="249"/>
        <v>4</v>
      </c>
      <c r="C2908" s="571">
        <f t="shared" si="250"/>
        <v>42853</v>
      </c>
      <c r="D2908" s="519" t="s">
        <v>996</v>
      </c>
      <c r="E2908" s="571">
        <v>42853</v>
      </c>
      <c r="F2908" s="572" t="s">
        <v>1049</v>
      </c>
      <c r="G2908" s="579" t="s">
        <v>1116</v>
      </c>
      <c r="H2908" s="574" t="s">
        <v>800</v>
      </c>
      <c r="I2908" s="523">
        <v>12</v>
      </c>
      <c r="J2908" s="523">
        <v>24145</v>
      </c>
      <c r="K2908" s="575">
        <f t="shared" si="248"/>
        <v>289740</v>
      </c>
      <c r="L2908" s="591" t="s">
        <v>160</v>
      </c>
      <c r="M2908" s="591" t="s">
        <v>292</v>
      </c>
      <c r="N2908" s="525" t="str">
        <f>IF(AND('331-CT'!$E$7=TH!H2908,OR(L2908="331",M2908="331")),"331",IF(AND(OR(L2908="131",M2908="131"),H2908='131-CT'!$E$7),"131",""))</f>
        <v/>
      </c>
      <c r="O2908" s="525" t="str">
        <f>IF(AND($B2908&gt;='111'!$N$11,$B2908&lt;='111'!$O$11,OR($L2908=$O$7,$M2908=$O$7)),"x","")</f>
        <v/>
      </c>
      <c r="P2908" s="525" t="str">
        <f>IF(AND($L2908=$O$7,$B2908&lt;'111'!$N$11),"x","")</f>
        <v/>
      </c>
      <c r="Q2908" s="525" t="str">
        <f>IF(AND($M2908=$O$7,$B2908&lt;'111'!$N$11),"x","")</f>
        <v/>
      </c>
      <c r="R2908" s="525" t="str">
        <f>IF(ISERROR(FIND('112'!$M$9,G2908,1)),"",IF((AND(FIND('112'!$M$9,G2908,1)&gt;=1,$B2908&gt;='112'!$N$8,$B2908&lt;='112'!$O$8,OR($L2908='112'!$I$6,$M2908='112'!$I$6))),"x",""))</f>
        <v/>
      </c>
      <c r="S2908" s="525" t="str">
        <f>IF(ISERROR(FIND('112'!$M$9,G2908,1)),"",IF((AND(LEFT(G2908,2)=LEFT('112'!$M$9,2),B2908&lt;'112'!$N$8,$L2908='112'!$I$6)),"x",""))</f>
        <v/>
      </c>
      <c r="T2908" s="525" t="str">
        <f>IF(ISERROR(FIND('112'!$M$9,G2908,1)),"",IF((AND(RIGHT(G2908,2)=RIGHT('112'!$M$9,2),B2908&lt;'112'!$N$8,$M2908='112'!$I$6)),"x",""))</f>
        <v/>
      </c>
      <c r="U2908" s="525" t="str">
        <f>IF(AND(B2908&gt;='IN-NX'!$P$3,B2908&lt;='IN-NX'!$Q$3,'IN-NX'!$D$7=D2908,OR(LEFT(L2908,2)="15",AND(LEFT(M2908,2)&lt;&gt;"15",LEFT(M2908,2)&lt;&gt;"33"))),"x","")</f>
        <v/>
      </c>
      <c r="V2908" s="525" t="str">
        <f>IF(AND(OR(LEFT(TH!L2908,2)="15",LEFT(TH!M2908,2)="15"),'152-CT'!$J$8=TH!F2908),"x","")</f>
        <v/>
      </c>
      <c r="W2908" s="525" t="str">
        <f>IF(AND(OR(LEFT(TH!L2908,2)="15",LEFT(TH!M2908,2)="15"),TK!$E$7=TH!F2908),"x","")</f>
        <v/>
      </c>
      <c r="X2908" s="525" t="str">
        <f>IF(AND('341-CT'!$E$9=H2908,OR(LEFT(L2908,3)=$X$7,LEFT(M2908,3)=$X$7)),"x","")</f>
        <v/>
      </c>
      <c r="Y2908" s="525" t="str">
        <f>IF(OR(TH!L2908=TH!$Y$7,M2908=TH!$Y$7),"x","")</f>
        <v/>
      </c>
      <c r="Z2908" s="525" t="str">
        <f>IF(AND(B2908&lt;=NKC!$N$8,B2908&gt;=NKC!$M$8),"x","")</f>
        <v/>
      </c>
      <c r="AA2908" s="693"/>
      <c r="AC2908" s="576"/>
      <c r="AD2908" s="576"/>
    </row>
    <row r="2909" spans="1:31" s="527" customFormat="1" ht="15.75" customHeight="1">
      <c r="A2909" s="517" t="str">
        <f>IF(B2909&lt;&gt;"",IF(AND(B2909&gt;=_TM1,B2909&lt;=_TM2,OR(TH!L2909="1111",TH!M2909="1111")),TH!D2909,""),"")</f>
        <v/>
      </c>
      <c r="B2909" s="518">
        <f t="shared" si="249"/>
        <v>4</v>
      </c>
      <c r="C2909" s="571">
        <f t="shared" si="250"/>
        <v>42853</v>
      </c>
      <c r="D2909" s="519" t="s">
        <v>996</v>
      </c>
      <c r="E2909" s="571">
        <v>42853</v>
      </c>
      <c r="F2909" s="572" t="s">
        <v>1050</v>
      </c>
      <c r="G2909" s="579" t="s">
        <v>1116</v>
      </c>
      <c r="H2909" s="574" t="s">
        <v>800</v>
      </c>
      <c r="I2909" s="523">
        <v>36</v>
      </c>
      <c r="J2909" s="523">
        <v>12849</v>
      </c>
      <c r="K2909" s="575">
        <f t="shared" si="248"/>
        <v>462564</v>
      </c>
      <c r="L2909" s="591" t="s">
        <v>160</v>
      </c>
      <c r="M2909" s="591" t="s">
        <v>292</v>
      </c>
      <c r="N2909" s="525" t="str">
        <f>IF(AND('331-CT'!$E$7=TH!H2909,OR(L2909="331",M2909="331")),"331",IF(AND(OR(L2909="131",M2909="131"),H2909='131-CT'!$E$7),"131",""))</f>
        <v/>
      </c>
      <c r="O2909" s="525" t="str">
        <f>IF(AND($B2909&gt;='111'!$N$11,$B2909&lt;='111'!$O$11,OR($L2909=$O$7,$M2909=$O$7)),"x","")</f>
        <v/>
      </c>
      <c r="P2909" s="525" t="str">
        <f>IF(AND($L2909=$O$7,$B2909&lt;'111'!$N$11),"x","")</f>
        <v/>
      </c>
      <c r="Q2909" s="525" t="str">
        <f>IF(AND($M2909=$O$7,$B2909&lt;'111'!$N$11),"x","")</f>
        <v/>
      </c>
      <c r="R2909" s="525" t="str">
        <f>IF(ISERROR(FIND('112'!$M$9,G2909,1)),"",IF((AND(FIND('112'!$M$9,G2909,1)&gt;=1,$B2909&gt;='112'!$N$8,$B2909&lt;='112'!$O$8,OR($L2909='112'!$I$6,$M2909='112'!$I$6))),"x",""))</f>
        <v/>
      </c>
      <c r="S2909" s="525" t="str">
        <f>IF(ISERROR(FIND('112'!$M$9,G2909,1)),"",IF((AND(LEFT(G2909,2)=LEFT('112'!$M$9,2),B2909&lt;'112'!$N$8,$L2909='112'!$I$6)),"x",""))</f>
        <v/>
      </c>
      <c r="T2909" s="525" t="str">
        <f>IF(ISERROR(FIND('112'!$M$9,G2909,1)),"",IF((AND(RIGHT(G2909,2)=RIGHT('112'!$M$9,2),B2909&lt;'112'!$N$8,$M2909='112'!$I$6)),"x",""))</f>
        <v/>
      </c>
      <c r="U2909" s="525" t="str">
        <f>IF(AND(B2909&gt;='IN-NX'!$P$3,B2909&lt;='IN-NX'!$Q$3,'IN-NX'!$D$7=D2909,OR(LEFT(L2909,2)="15",AND(LEFT(M2909,2)&lt;&gt;"15",LEFT(M2909,2)&lt;&gt;"33"))),"x","")</f>
        <v/>
      </c>
      <c r="V2909" s="525" t="str">
        <f>IF(AND(OR(LEFT(TH!L2909,2)="15",LEFT(TH!M2909,2)="15"),'152-CT'!$J$8=TH!F2909),"x","")</f>
        <v/>
      </c>
      <c r="W2909" s="525" t="str">
        <f>IF(AND(OR(LEFT(TH!L2909,2)="15",LEFT(TH!M2909,2)="15"),TK!$E$7=TH!F2909),"x","")</f>
        <v/>
      </c>
      <c r="X2909" s="525" t="str">
        <f>IF(AND('341-CT'!$E$9=H2909,OR(LEFT(L2909,3)=$X$7,LEFT(M2909,3)=$X$7)),"x","")</f>
        <v/>
      </c>
      <c r="Y2909" s="525" t="str">
        <f>IF(OR(TH!L2909=TH!$Y$7,M2909=TH!$Y$7),"x","")</f>
        <v/>
      </c>
      <c r="Z2909" s="525" t="str">
        <f>IF(AND(B2909&lt;=NKC!$N$8,B2909&gt;=NKC!$M$8),"x","")</f>
        <v/>
      </c>
      <c r="AA2909" s="693"/>
      <c r="AC2909" s="576"/>
      <c r="AD2909" s="576"/>
    </row>
    <row r="2910" spans="1:31" s="527" customFormat="1" ht="15.75" customHeight="1">
      <c r="A2910" s="517" t="str">
        <f>IF(B2910&lt;&gt;"",IF(AND(B2910&gt;=_TM1,B2910&lt;=_TM2,OR(TH!L2910="1111",TH!M2910="1111")),TH!D2910,""),"")</f>
        <v/>
      </c>
      <c r="B2910" s="518">
        <f t="shared" si="249"/>
        <v>4</v>
      </c>
      <c r="C2910" s="571">
        <f t="shared" si="250"/>
        <v>42853</v>
      </c>
      <c r="D2910" s="519" t="s">
        <v>996</v>
      </c>
      <c r="E2910" s="571">
        <v>42853</v>
      </c>
      <c r="F2910" s="572" t="s">
        <v>724</v>
      </c>
      <c r="G2910" s="579" t="s">
        <v>1116</v>
      </c>
      <c r="H2910" s="574" t="s">
        <v>800</v>
      </c>
      <c r="I2910" s="523">
        <v>32</v>
      </c>
      <c r="J2910" s="523">
        <v>8229</v>
      </c>
      <c r="K2910" s="575">
        <f t="shared" si="248"/>
        <v>263328</v>
      </c>
      <c r="L2910" s="591" t="s">
        <v>160</v>
      </c>
      <c r="M2910" s="591" t="s">
        <v>292</v>
      </c>
      <c r="N2910" s="525" t="str">
        <f>IF(AND('331-CT'!$E$7=TH!H2910,OR(L2910="331",M2910="331")),"331",IF(AND(OR(L2910="131",M2910="131"),H2910='131-CT'!$E$7),"131",""))</f>
        <v/>
      </c>
      <c r="O2910" s="525" t="str">
        <f>IF(AND($B2910&gt;='111'!$N$11,$B2910&lt;='111'!$O$11,OR($L2910=$O$7,$M2910=$O$7)),"x","")</f>
        <v/>
      </c>
      <c r="P2910" s="525" t="str">
        <f>IF(AND($L2910=$O$7,$B2910&lt;'111'!$N$11),"x","")</f>
        <v/>
      </c>
      <c r="Q2910" s="525" t="str">
        <f>IF(AND($M2910=$O$7,$B2910&lt;'111'!$N$11),"x","")</f>
        <v/>
      </c>
      <c r="R2910" s="525" t="str">
        <f>IF(ISERROR(FIND('112'!$M$9,G2910,1)),"",IF((AND(FIND('112'!$M$9,G2910,1)&gt;=1,$B2910&gt;='112'!$N$8,$B2910&lt;='112'!$O$8,OR($L2910='112'!$I$6,$M2910='112'!$I$6))),"x",""))</f>
        <v/>
      </c>
      <c r="S2910" s="525" t="str">
        <f>IF(ISERROR(FIND('112'!$M$9,G2910,1)),"",IF((AND(LEFT(G2910,2)=LEFT('112'!$M$9,2),B2910&lt;'112'!$N$8,$L2910='112'!$I$6)),"x",""))</f>
        <v/>
      </c>
      <c r="T2910" s="525" t="str">
        <f>IF(ISERROR(FIND('112'!$M$9,G2910,1)),"",IF((AND(RIGHT(G2910,2)=RIGHT('112'!$M$9,2),B2910&lt;'112'!$N$8,$M2910='112'!$I$6)),"x",""))</f>
        <v/>
      </c>
      <c r="U2910" s="525" t="str">
        <f>IF(AND(B2910&gt;='IN-NX'!$P$3,B2910&lt;='IN-NX'!$Q$3,'IN-NX'!$D$7=D2910,OR(LEFT(L2910,2)="15",AND(LEFT(M2910,2)&lt;&gt;"15",LEFT(M2910,2)&lt;&gt;"33"))),"x","")</f>
        <v/>
      </c>
      <c r="V2910" s="525" t="str">
        <f>IF(AND(OR(LEFT(TH!L2910,2)="15",LEFT(TH!M2910,2)="15"),'152-CT'!$J$8=TH!F2910),"x","")</f>
        <v/>
      </c>
      <c r="W2910" s="525" t="str">
        <f>IF(AND(OR(LEFT(TH!L2910,2)="15",LEFT(TH!M2910,2)="15"),TK!$E$7=TH!F2910),"x","")</f>
        <v/>
      </c>
      <c r="X2910" s="525" t="str">
        <f>IF(AND('341-CT'!$E$9=H2910,OR(LEFT(L2910,3)=$X$7,LEFT(M2910,3)=$X$7)),"x","")</f>
        <v/>
      </c>
      <c r="Y2910" s="525" t="str">
        <f>IF(OR(TH!L2910=TH!$Y$7,M2910=TH!$Y$7),"x","")</f>
        <v/>
      </c>
      <c r="Z2910" s="525" t="str">
        <f>IF(AND(B2910&lt;=NKC!$N$8,B2910&gt;=NKC!$M$8),"x","")</f>
        <v/>
      </c>
      <c r="AA2910" s="693"/>
      <c r="AC2910" s="576"/>
      <c r="AD2910" s="576"/>
    </row>
    <row r="2911" spans="1:31" s="527" customFormat="1" ht="15.75" customHeight="1">
      <c r="A2911" s="517" t="str">
        <f>IF(B2911&lt;&gt;"",IF(AND(B2911&gt;=_TM1,B2911&lt;=_TM2,OR(TH!L2911="1111",TH!M2911="1111")),TH!D2911,""),"")</f>
        <v/>
      </c>
      <c r="B2911" s="518">
        <f t="shared" si="249"/>
        <v>4</v>
      </c>
      <c r="C2911" s="571">
        <f t="shared" si="250"/>
        <v>42853</v>
      </c>
      <c r="D2911" s="519" t="s">
        <v>996</v>
      </c>
      <c r="E2911" s="571">
        <v>42853</v>
      </c>
      <c r="F2911" s="572" t="s">
        <v>740</v>
      </c>
      <c r="G2911" s="579" t="s">
        <v>1116</v>
      </c>
      <c r="H2911" s="574" t="s">
        <v>800</v>
      </c>
      <c r="I2911" s="523">
        <v>4</v>
      </c>
      <c r="J2911" s="523">
        <v>176257.2</v>
      </c>
      <c r="K2911" s="575">
        <f t="shared" si="248"/>
        <v>705029</v>
      </c>
      <c r="L2911" s="591" t="s">
        <v>160</v>
      </c>
      <c r="M2911" s="591" t="s">
        <v>292</v>
      </c>
      <c r="N2911" s="525" t="str">
        <f>IF(AND('331-CT'!$E$7=TH!H2911,OR(L2911="331",M2911="331")),"331",IF(AND(OR(L2911="131",M2911="131"),H2911='131-CT'!$E$7),"131",""))</f>
        <v/>
      </c>
      <c r="O2911" s="525" t="str">
        <f>IF(AND($B2911&gt;='111'!$N$11,$B2911&lt;='111'!$O$11,OR($L2911=$O$7,$M2911=$O$7)),"x","")</f>
        <v/>
      </c>
      <c r="P2911" s="525" t="str">
        <f>IF(AND($L2911=$O$7,$B2911&lt;'111'!$N$11),"x","")</f>
        <v/>
      </c>
      <c r="Q2911" s="525" t="str">
        <f>IF(AND($M2911=$O$7,$B2911&lt;'111'!$N$11),"x","")</f>
        <v/>
      </c>
      <c r="R2911" s="525" t="str">
        <f>IF(ISERROR(FIND('112'!$M$9,G2911,1)),"",IF((AND(FIND('112'!$M$9,G2911,1)&gt;=1,$B2911&gt;='112'!$N$8,$B2911&lt;='112'!$O$8,OR($L2911='112'!$I$6,$M2911='112'!$I$6))),"x",""))</f>
        <v/>
      </c>
      <c r="S2911" s="525" t="str">
        <f>IF(ISERROR(FIND('112'!$M$9,G2911,1)),"",IF((AND(LEFT(G2911,2)=LEFT('112'!$M$9,2),B2911&lt;'112'!$N$8,$L2911='112'!$I$6)),"x",""))</f>
        <v/>
      </c>
      <c r="T2911" s="525" t="str">
        <f>IF(ISERROR(FIND('112'!$M$9,G2911,1)),"",IF((AND(RIGHT(G2911,2)=RIGHT('112'!$M$9,2),B2911&lt;'112'!$N$8,$M2911='112'!$I$6)),"x",""))</f>
        <v/>
      </c>
      <c r="U2911" s="525" t="str">
        <f>IF(AND(B2911&gt;='IN-NX'!$P$3,B2911&lt;='IN-NX'!$Q$3,'IN-NX'!$D$7=D2911,OR(LEFT(L2911,2)="15",AND(LEFT(M2911,2)&lt;&gt;"15",LEFT(M2911,2)&lt;&gt;"33"))),"x","")</f>
        <v/>
      </c>
      <c r="V2911" s="525" t="str">
        <f>IF(AND(OR(LEFT(TH!L2911,2)="15",LEFT(TH!M2911,2)="15"),'152-CT'!$J$8=TH!F2911),"x","")</f>
        <v/>
      </c>
      <c r="W2911" s="525" t="str">
        <f>IF(AND(OR(LEFT(TH!L2911,2)="15",LEFT(TH!M2911,2)="15"),TK!$E$7=TH!F2911),"x","")</f>
        <v/>
      </c>
      <c r="X2911" s="525" t="str">
        <f>IF(AND('341-CT'!$E$9=H2911,OR(LEFT(L2911,3)=$X$7,LEFT(M2911,3)=$X$7)),"x","")</f>
        <v/>
      </c>
      <c r="Y2911" s="525" t="str">
        <f>IF(OR(TH!L2911=TH!$Y$7,M2911=TH!$Y$7),"x","")</f>
        <v/>
      </c>
      <c r="Z2911" s="525" t="str">
        <f>IF(AND(B2911&lt;=NKC!$N$8,B2911&gt;=NKC!$M$8),"x","")</f>
        <v/>
      </c>
      <c r="AA2911" s="693"/>
      <c r="AC2911" s="576"/>
      <c r="AD2911" s="576"/>
    </row>
    <row r="2912" spans="1:31" s="527" customFormat="1" ht="15.75" customHeight="1">
      <c r="A2912" s="517" t="str">
        <f>IF(B2912&lt;&gt;"",IF(AND(B2912&gt;=_TM1,B2912&lt;=_TM2,OR(TH!L2912="1111",TH!M2912="1111")),TH!D2912,""),"")</f>
        <v/>
      </c>
      <c r="B2912" s="518">
        <f t="shared" si="249"/>
        <v>4</v>
      </c>
      <c r="C2912" s="571">
        <f t="shared" si="250"/>
        <v>42853</v>
      </c>
      <c r="D2912" s="519" t="s">
        <v>996</v>
      </c>
      <c r="E2912" s="571">
        <v>42853</v>
      </c>
      <c r="F2912" s="572" t="s">
        <v>1052</v>
      </c>
      <c r="G2912" s="579" t="s">
        <v>1116</v>
      </c>
      <c r="H2912" s="574" t="s">
        <v>800</v>
      </c>
      <c r="I2912" s="523">
        <v>4</v>
      </c>
      <c r="J2912" s="523">
        <v>76990</v>
      </c>
      <c r="K2912" s="575">
        <f t="shared" si="248"/>
        <v>307960</v>
      </c>
      <c r="L2912" s="591" t="s">
        <v>160</v>
      </c>
      <c r="M2912" s="591" t="s">
        <v>292</v>
      </c>
      <c r="N2912" s="525" t="str">
        <f>IF(AND('331-CT'!$E$7=TH!H2912,OR(L2912="331",M2912="331")),"331",IF(AND(OR(L2912="131",M2912="131"),H2912='131-CT'!$E$7),"131",""))</f>
        <v/>
      </c>
      <c r="O2912" s="525" t="str">
        <f>IF(AND($B2912&gt;='111'!$N$11,$B2912&lt;='111'!$O$11,OR($L2912=$O$7,$M2912=$O$7)),"x","")</f>
        <v/>
      </c>
      <c r="P2912" s="525" t="str">
        <f>IF(AND($L2912=$O$7,$B2912&lt;'111'!$N$11),"x","")</f>
        <v/>
      </c>
      <c r="Q2912" s="525" t="str">
        <f>IF(AND($M2912=$O$7,$B2912&lt;'111'!$N$11),"x","")</f>
        <v/>
      </c>
      <c r="R2912" s="525" t="str">
        <f>IF(ISERROR(FIND('112'!$M$9,G2912,1)),"",IF((AND(FIND('112'!$M$9,G2912,1)&gt;=1,$B2912&gt;='112'!$N$8,$B2912&lt;='112'!$O$8,OR($L2912='112'!$I$6,$M2912='112'!$I$6))),"x",""))</f>
        <v/>
      </c>
      <c r="S2912" s="525" t="str">
        <f>IF(ISERROR(FIND('112'!$M$9,G2912,1)),"",IF((AND(LEFT(G2912,2)=LEFT('112'!$M$9,2),B2912&lt;'112'!$N$8,$L2912='112'!$I$6)),"x",""))</f>
        <v/>
      </c>
      <c r="T2912" s="525" t="str">
        <f>IF(ISERROR(FIND('112'!$M$9,G2912,1)),"",IF((AND(RIGHT(G2912,2)=RIGHT('112'!$M$9,2),B2912&lt;'112'!$N$8,$M2912='112'!$I$6)),"x",""))</f>
        <v/>
      </c>
      <c r="U2912" s="525" t="str">
        <f>IF(AND(B2912&gt;='IN-NX'!$P$3,B2912&lt;='IN-NX'!$Q$3,'IN-NX'!$D$7=D2912,OR(LEFT(L2912,2)="15",AND(LEFT(M2912,2)&lt;&gt;"15",LEFT(M2912,2)&lt;&gt;"33"))),"x","")</f>
        <v/>
      </c>
      <c r="V2912" s="525" t="str">
        <f>IF(AND(OR(LEFT(TH!L2912,2)="15",LEFT(TH!M2912,2)="15"),'152-CT'!$J$8=TH!F2912),"x","")</f>
        <v/>
      </c>
      <c r="W2912" s="525" t="str">
        <f>IF(AND(OR(LEFT(TH!L2912,2)="15",LEFT(TH!M2912,2)="15"),TK!$E$7=TH!F2912),"x","")</f>
        <v/>
      </c>
      <c r="X2912" s="525" t="str">
        <f>IF(AND('341-CT'!$E$9=H2912,OR(LEFT(L2912,3)=$X$7,LEFT(M2912,3)=$X$7)),"x","")</f>
        <v/>
      </c>
      <c r="Y2912" s="525" t="str">
        <f>IF(OR(TH!L2912=TH!$Y$7,M2912=TH!$Y$7),"x","")</f>
        <v/>
      </c>
      <c r="Z2912" s="525" t="str">
        <f>IF(AND(B2912&lt;=NKC!$N$8,B2912&gt;=NKC!$M$8),"x","")</f>
        <v/>
      </c>
      <c r="AA2912" s="693"/>
      <c r="AC2912" s="576"/>
      <c r="AD2912" s="576"/>
    </row>
    <row r="2913" spans="1:31" s="527" customFormat="1" ht="15.75" customHeight="1">
      <c r="A2913" s="517" t="str">
        <f>IF(B2913&lt;&gt;"",IF(AND(B2913&gt;=_TM1,B2913&lt;=_TM2,OR(TH!L2913="1111",TH!M2913="1111")),TH!D2913,""),"")</f>
        <v/>
      </c>
      <c r="B2913" s="518">
        <f t="shared" si="249"/>
        <v>4</v>
      </c>
      <c r="C2913" s="571">
        <f t="shared" si="250"/>
        <v>42853</v>
      </c>
      <c r="D2913" s="519" t="s">
        <v>996</v>
      </c>
      <c r="E2913" s="571">
        <v>42853</v>
      </c>
      <c r="F2913" s="572" t="s">
        <v>1053</v>
      </c>
      <c r="G2913" s="579" t="s">
        <v>1116</v>
      </c>
      <c r="H2913" s="574" t="s">
        <v>800</v>
      </c>
      <c r="I2913" s="523">
        <v>24</v>
      </c>
      <c r="J2913" s="523">
        <v>48910</v>
      </c>
      <c r="K2913" s="575">
        <f t="shared" si="248"/>
        <v>1173840</v>
      </c>
      <c r="L2913" s="591" t="s">
        <v>160</v>
      </c>
      <c r="M2913" s="591" t="s">
        <v>292</v>
      </c>
      <c r="N2913" s="525" t="str">
        <f>IF(AND('331-CT'!$E$7=TH!H2913,OR(L2913="331",M2913="331")),"331",IF(AND(OR(L2913="131",M2913="131"),H2913='131-CT'!$E$7),"131",""))</f>
        <v/>
      </c>
      <c r="O2913" s="525" t="str">
        <f>IF(AND($B2913&gt;='111'!$N$11,$B2913&lt;='111'!$O$11,OR($L2913=$O$7,$M2913=$O$7)),"x","")</f>
        <v/>
      </c>
      <c r="P2913" s="525" t="str">
        <f>IF(AND($L2913=$O$7,$B2913&lt;'111'!$N$11),"x","")</f>
        <v/>
      </c>
      <c r="Q2913" s="525" t="str">
        <f>IF(AND($M2913=$O$7,$B2913&lt;'111'!$N$11),"x","")</f>
        <v/>
      </c>
      <c r="R2913" s="525" t="str">
        <f>IF(ISERROR(FIND('112'!$M$9,G2913,1)),"",IF((AND(FIND('112'!$M$9,G2913,1)&gt;=1,$B2913&gt;='112'!$N$8,$B2913&lt;='112'!$O$8,OR($L2913='112'!$I$6,$M2913='112'!$I$6))),"x",""))</f>
        <v/>
      </c>
      <c r="S2913" s="525" t="str">
        <f>IF(ISERROR(FIND('112'!$M$9,G2913,1)),"",IF((AND(LEFT(G2913,2)=LEFT('112'!$M$9,2),B2913&lt;'112'!$N$8,$L2913='112'!$I$6)),"x",""))</f>
        <v/>
      </c>
      <c r="T2913" s="525" t="str">
        <f>IF(ISERROR(FIND('112'!$M$9,G2913,1)),"",IF((AND(RIGHT(G2913,2)=RIGHT('112'!$M$9,2),B2913&lt;'112'!$N$8,$M2913='112'!$I$6)),"x",""))</f>
        <v/>
      </c>
      <c r="U2913" s="525" t="str">
        <f>IF(AND(B2913&gt;='IN-NX'!$P$3,B2913&lt;='IN-NX'!$Q$3,'IN-NX'!$D$7=D2913,OR(LEFT(L2913,2)="15",AND(LEFT(M2913,2)&lt;&gt;"15",LEFT(M2913,2)&lt;&gt;"33"))),"x","")</f>
        <v/>
      </c>
      <c r="V2913" s="525" t="str">
        <f>IF(AND(OR(LEFT(TH!L2913,2)="15",LEFT(TH!M2913,2)="15"),'152-CT'!$J$8=TH!F2913),"x","")</f>
        <v/>
      </c>
      <c r="W2913" s="525" t="str">
        <f>IF(AND(OR(LEFT(TH!L2913,2)="15",LEFT(TH!M2913,2)="15"),TK!$E$7=TH!F2913),"x","")</f>
        <v/>
      </c>
      <c r="X2913" s="525" t="str">
        <f>IF(AND('341-CT'!$E$9=H2913,OR(LEFT(L2913,3)=$X$7,LEFT(M2913,3)=$X$7)),"x","")</f>
        <v/>
      </c>
      <c r="Y2913" s="525" t="str">
        <f>IF(OR(TH!L2913=TH!$Y$7,M2913=TH!$Y$7),"x","")</f>
        <v/>
      </c>
      <c r="Z2913" s="525" t="str">
        <f>IF(AND(B2913&lt;=NKC!$N$8,B2913&gt;=NKC!$M$8),"x","")</f>
        <v/>
      </c>
      <c r="AA2913" s="693"/>
      <c r="AC2913" s="576"/>
      <c r="AD2913" s="576"/>
    </row>
    <row r="2914" spans="1:31" s="527" customFormat="1" ht="15.75" customHeight="1">
      <c r="A2914" s="517" t="str">
        <f>IF(B2914&lt;&gt;"",IF(AND(B2914&gt;=_TM1,B2914&lt;=_TM2,OR(TH!L2914="1111",TH!M2914="1111")),TH!D2914,""),"")</f>
        <v/>
      </c>
      <c r="B2914" s="518">
        <f t="shared" si="249"/>
        <v>4</v>
      </c>
      <c r="C2914" s="571">
        <f t="shared" si="250"/>
        <v>42853</v>
      </c>
      <c r="D2914" s="519" t="s">
        <v>996</v>
      </c>
      <c r="E2914" s="571">
        <v>42853</v>
      </c>
      <c r="F2914" s="572" t="s">
        <v>692</v>
      </c>
      <c r="G2914" s="579" t="s">
        <v>1116</v>
      </c>
      <c r="H2914" s="574" t="s">
        <v>800</v>
      </c>
      <c r="I2914" s="523">
        <v>3</v>
      </c>
      <c r="J2914" s="523">
        <v>201411</v>
      </c>
      <c r="K2914" s="575">
        <f t="shared" si="248"/>
        <v>604233</v>
      </c>
      <c r="L2914" s="591" t="s">
        <v>160</v>
      </c>
      <c r="M2914" s="591" t="s">
        <v>292</v>
      </c>
      <c r="N2914" s="525" t="str">
        <f>IF(AND('331-CT'!$E$7=TH!H2914,OR(L2914="331",M2914="331")),"331",IF(AND(OR(L2914="131",M2914="131"),H2914='131-CT'!$E$7),"131",""))</f>
        <v/>
      </c>
      <c r="O2914" s="525" t="str">
        <f>IF(AND($B2914&gt;='111'!$N$11,$B2914&lt;='111'!$O$11,OR($L2914=$O$7,$M2914=$O$7)),"x","")</f>
        <v/>
      </c>
      <c r="P2914" s="525" t="str">
        <f>IF(AND($L2914=$O$7,$B2914&lt;'111'!$N$11),"x","")</f>
        <v/>
      </c>
      <c r="Q2914" s="525" t="str">
        <f>IF(AND($M2914=$O$7,$B2914&lt;'111'!$N$11),"x","")</f>
        <v/>
      </c>
      <c r="R2914" s="525" t="str">
        <f>IF(ISERROR(FIND('112'!$M$9,G2914,1)),"",IF((AND(FIND('112'!$M$9,G2914,1)&gt;=1,$B2914&gt;='112'!$N$8,$B2914&lt;='112'!$O$8,OR($L2914='112'!$I$6,$M2914='112'!$I$6))),"x",""))</f>
        <v/>
      </c>
      <c r="S2914" s="525" t="str">
        <f>IF(ISERROR(FIND('112'!$M$9,G2914,1)),"",IF((AND(LEFT(G2914,2)=LEFT('112'!$M$9,2),B2914&lt;'112'!$N$8,$L2914='112'!$I$6)),"x",""))</f>
        <v/>
      </c>
      <c r="T2914" s="525" t="str">
        <f>IF(ISERROR(FIND('112'!$M$9,G2914,1)),"",IF((AND(RIGHT(G2914,2)=RIGHT('112'!$M$9,2),B2914&lt;'112'!$N$8,$M2914='112'!$I$6)),"x",""))</f>
        <v/>
      </c>
      <c r="U2914" s="525" t="str">
        <f>IF(AND(B2914&gt;='IN-NX'!$P$3,B2914&lt;='IN-NX'!$Q$3,'IN-NX'!$D$7=D2914,OR(LEFT(L2914,2)="15",AND(LEFT(M2914,2)&lt;&gt;"15",LEFT(M2914,2)&lt;&gt;"33"))),"x","")</f>
        <v/>
      </c>
      <c r="V2914" s="525" t="str">
        <f>IF(AND(OR(LEFT(TH!L2914,2)="15",LEFT(TH!M2914,2)="15"),'152-CT'!$J$8=TH!F2914),"x","")</f>
        <v/>
      </c>
      <c r="W2914" s="525" t="str">
        <f>IF(AND(OR(LEFT(TH!L2914,2)="15",LEFT(TH!M2914,2)="15"),TK!$E$7=TH!F2914),"x","")</f>
        <v/>
      </c>
      <c r="X2914" s="525" t="str">
        <f>IF(AND('341-CT'!$E$9=H2914,OR(LEFT(L2914,3)=$X$7,LEFT(M2914,3)=$X$7)),"x","")</f>
        <v/>
      </c>
      <c r="Y2914" s="525" t="str">
        <f>IF(OR(TH!L2914=TH!$Y$7,M2914=TH!$Y$7),"x","")</f>
        <v/>
      </c>
      <c r="Z2914" s="525" t="str">
        <f>IF(AND(B2914&lt;=NKC!$N$8,B2914&gt;=NKC!$M$8),"x","")</f>
        <v/>
      </c>
      <c r="AA2914" s="693"/>
      <c r="AC2914" s="576"/>
      <c r="AD2914" s="576"/>
    </row>
    <row r="2915" spans="1:31" s="527" customFormat="1" ht="15.75" customHeight="1">
      <c r="A2915" s="517" t="str">
        <f>IF(B2915&lt;&gt;"",IF(AND(B2915&gt;=_TM1,B2915&lt;=_TM2,OR(TH!L2915="1111",TH!M2915="1111")),TH!D2915,""),"")</f>
        <v/>
      </c>
      <c r="B2915" s="518">
        <f t="shared" si="249"/>
        <v>4</v>
      </c>
      <c r="C2915" s="571">
        <f t="shared" si="250"/>
        <v>42853</v>
      </c>
      <c r="D2915" s="519" t="s">
        <v>996</v>
      </c>
      <c r="E2915" s="571">
        <v>42853</v>
      </c>
      <c r="F2915" s="572" t="s">
        <v>693</v>
      </c>
      <c r="G2915" s="579" t="s">
        <v>1116</v>
      </c>
      <c r="H2915" s="574" t="s">
        <v>800</v>
      </c>
      <c r="I2915" s="523">
        <v>6</v>
      </c>
      <c r="J2915" s="523">
        <v>101418</v>
      </c>
      <c r="K2915" s="575">
        <f t="shared" si="248"/>
        <v>608508</v>
      </c>
      <c r="L2915" s="591" t="s">
        <v>160</v>
      </c>
      <c r="M2915" s="591" t="s">
        <v>292</v>
      </c>
      <c r="N2915" s="525" t="str">
        <f>IF(AND('331-CT'!$E$7=TH!H2915,OR(L2915="331",M2915="331")),"331",IF(AND(OR(L2915="131",M2915="131"),H2915='131-CT'!$E$7),"131",""))</f>
        <v/>
      </c>
      <c r="O2915" s="525" t="str">
        <f>IF(AND($B2915&gt;='111'!$N$11,$B2915&lt;='111'!$O$11,OR($L2915=$O$7,$M2915=$O$7)),"x","")</f>
        <v/>
      </c>
      <c r="P2915" s="525" t="str">
        <f>IF(AND($L2915=$O$7,$B2915&lt;'111'!$N$11),"x","")</f>
        <v/>
      </c>
      <c r="Q2915" s="525" t="str">
        <f>IF(AND($M2915=$O$7,$B2915&lt;'111'!$N$11),"x","")</f>
        <v/>
      </c>
      <c r="R2915" s="525" t="str">
        <f>IF(ISERROR(FIND('112'!$M$9,G2915,1)),"",IF((AND(FIND('112'!$M$9,G2915,1)&gt;=1,$B2915&gt;='112'!$N$8,$B2915&lt;='112'!$O$8,OR($L2915='112'!$I$6,$M2915='112'!$I$6))),"x",""))</f>
        <v/>
      </c>
      <c r="S2915" s="525" t="str">
        <f>IF(ISERROR(FIND('112'!$M$9,G2915,1)),"",IF((AND(LEFT(G2915,2)=LEFT('112'!$M$9,2),B2915&lt;'112'!$N$8,$L2915='112'!$I$6)),"x",""))</f>
        <v/>
      </c>
      <c r="T2915" s="525" t="str">
        <f>IF(ISERROR(FIND('112'!$M$9,G2915,1)),"",IF((AND(RIGHT(G2915,2)=RIGHT('112'!$M$9,2),B2915&lt;'112'!$N$8,$M2915='112'!$I$6)),"x",""))</f>
        <v/>
      </c>
      <c r="U2915" s="525" t="str">
        <f>IF(AND(B2915&gt;='IN-NX'!$P$3,B2915&lt;='IN-NX'!$Q$3,'IN-NX'!$D$7=D2915,OR(LEFT(L2915,2)="15",AND(LEFT(M2915,2)&lt;&gt;"15",LEFT(M2915,2)&lt;&gt;"33"))),"x","")</f>
        <v/>
      </c>
      <c r="V2915" s="525" t="str">
        <f>IF(AND(OR(LEFT(TH!L2915,2)="15",LEFT(TH!M2915,2)="15"),'152-CT'!$J$8=TH!F2915),"x","")</f>
        <v/>
      </c>
      <c r="W2915" s="525" t="str">
        <f>IF(AND(OR(LEFT(TH!L2915,2)="15",LEFT(TH!M2915,2)="15"),TK!$E$7=TH!F2915),"x","")</f>
        <v/>
      </c>
      <c r="X2915" s="525" t="str">
        <f>IF(AND('341-CT'!$E$9=H2915,OR(LEFT(L2915,3)=$X$7,LEFT(M2915,3)=$X$7)),"x","")</f>
        <v/>
      </c>
      <c r="Y2915" s="525" t="str">
        <f>IF(OR(TH!L2915=TH!$Y$7,M2915=TH!$Y$7),"x","")</f>
        <v/>
      </c>
      <c r="Z2915" s="525" t="str">
        <f>IF(AND(B2915&lt;=NKC!$N$8,B2915&gt;=NKC!$M$8),"x","")</f>
        <v/>
      </c>
      <c r="AA2915" s="693"/>
      <c r="AC2915" s="576"/>
      <c r="AD2915" s="576"/>
    </row>
    <row r="2916" spans="1:31" s="527" customFormat="1" ht="15.75" customHeight="1">
      <c r="A2916" s="517" t="str">
        <f>IF(B2916&lt;&gt;"",IF(AND(B2916&gt;=_TM1,B2916&lt;=_TM2,OR(TH!L2916="1111",TH!M2916="1111")),TH!D2916,""),"")</f>
        <v/>
      </c>
      <c r="B2916" s="518">
        <f t="shared" si="249"/>
        <v>4</v>
      </c>
      <c r="C2916" s="571">
        <f t="shared" si="250"/>
        <v>42853</v>
      </c>
      <c r="D2916" s="519" t="s">
        <v>996</v>
      </c>
      <c r="E2916" s="571">
        <v>42853</v>
      </c>
      <c r="F2916" s="572" t="s">
        <v>698</v>
      </c>
      <c r="G2916" s="573" t="s">
        <v>1116</v>
      </c>
      <c r="H2916" s="574" t="s">
        <v>800</v>
      </c>
      <c r="I2916" s="523">
        <v>5</v>
      </c>
      <c r="J2916" s="523">
        <v>140372</v>
      </c>
      <c r="K2916" s="575">
        <f t="shared" si="248"/>
        <v>701860</v>
      </c>
      <c r="L2916" s="591" t="s">
        <v>160</v>
      </c>
      <c r="M2916" s="591" t="s">
        <v>292</v>
      </c>
      <c r="N2916" s="525" t="str">
        <f>IF(AND('331-CT'!$E$7=TH!H2916,OR(L2916="331",M2916="331")),"331",IF(AND(OR(L2916="131",M2916="131"),H2916='131-CT'!$E$7),"131",""))</f>
        <v/>
      </c>
      <c r="O2916" s="525" t="str">
        <f>IF(AND($B2916&gt;='111'!$N$11,$B2916&lt;='111'!$O$11,OR($L2916=$O$7,$M2916=$O$7)),"x","")</f>
        <v/>
      </c>
      <c r="P2916" s="525" t="str">
        <f>IF(AND($L2916=$O$7,$B2916&lt;'111'!$N$11),"x","")</f>
        <v/>
      </c>
      <c r="Q2916" s="525" t="str">
        <f>IF(AND($M2916=$O$7,$B2916&lt;'111'!$N$11),"x","")</f>
        <v/>
      </c>
      <c r="R2916" s="525" t="str">
        <f>IF(ISERROR(FIND('112'!$M$9,G2916,1)),"",IF((AND(FIND('112'!$M$9,G2916,1)&gt;=1,$B2916&gt;='112'!$N$8,$B2916&lt;='112'!$O$8,OR($L2916='112'!$I$6,$M2916='112'!$I$6))),"x",""))</f>
        <v/>
      </c>
      <c r="S2916" s="525" t="str">
        <f>IF(ISERROR(FIND('112'!$M$9,G2916,1)),"",IF((AND(LEFT(G2916,2)=LEFT('112'!$M$9,2),B2916&lt;'112'!$N$8,$L2916='112'!$I$6)),"x",""))</f>
        <v/>
      </c>
      <c r="T2916" s="525" t="str">
        <f>IF(ISERROR(FIND('112'!$M$9,G2916,1)),"",IF((AND(RIGHT(G2916,2)=RIGHT('112'!$M$9,2),B2916&lt;'112'!$N$8,$M2916='112'!$I$6)),"x",""))</f>
        <v/>
      </c>
      <c r="U2916" s="525" t="str">
        <f>IF(AND(B2916&gt;='IN-NX'!$P$3,B2916&lt;='IN-NX'!$Q$3,'IN-NX'!$D$7=D2916,OR(LEFT(L2916,2)="15",AND(LEFT(M2916,2)&lt;&gt;"15",LEFT(M2916,2)&lt;&gt;"33"))),"x","")</f>
        <v/>
      </c>
      <c r="V2916" s="525" t="str">
        <f>IF(AND(OR(LEFT(TH!L2916,2)="15",LEFT(TH!M2916,2)="15"),'152-CT'!$J$8=TH!F2916),"x","")</f>
        <v/>
      </c>
      <c r="W2916" s="525" t="str">
        <f>IF(AND(OR(LEFT(TH!L2916,2)="15",LEFT(TH!M2916,2)="15"),TK!$E$7=TH!F2916),"x","")</f>
        <v/>
      </c>
      <c r="X2916" s="525" t="str">
        <f>IF(AND('341-CT'!$E$9=H2916,OR(LEFT(L2916,3)=$X$7,LEFT(M2916,3)=$X$7)),"x","")</f>
        <v/>
      </c>
      <c r="Y2916" s="525" t="str">
        <f>IF(OR(TH!L2916=TH!$Y$7,M2916=TH!$Y$7),"x","")</f>
        <v/>
      </c>
      <c r="Z2916" s="525" t="str">
        <f>IF(AND(B2916&lt;=NKC!$N$8,B2916&gt;=NKC!$M$8),"x","")</f>
        <v/>
      </c>
      <c r="AA2916" s="526"/>
      <c r="AC2916" s="576"/>
      <c r="AD2916" s="576"/>
      <c r="AE2916" s="576"/>
    </row>
    <row r="2917" spans="1:31" s="527" customFormat="1" ht="15.75" customHeight="1">
      <c r="A2917" s="517" t="str">
        <f>IF(B2917&lt;&gt;"",IF(AND(B2917&gt;=_TM1,B2917&lt;=_TM2,OR(TH!L2917="1111",TH!M2917="1111")),TH!D2917,""),"")</f>
        <v/>
      </c>
      <c r="B2917" s="518">
        <f t="shared" si="249"/>
        <v>4</v>
      </c>
      <c r="C2917" s="571">
        <f t="shared" si="250"/>
        <v>42853</v>
      </c>
      <c r="D2917" s="519" t="s">
        <v>996</v>
      </c>
      <c r="E2917" s="571">
        <v>42853</v>
      </c>
      <c r="F2917" s="572" t="s">
        <v>740</v>
      </c>
      <c r="G2917" s="573" t="s">
        <v>1116</v>
      </c>
      <c r="H2917" s="574" t="s">
        <v>800</v>
      </c>
      <c r="I2917" s="523">
        <v>6</v>
      </c>
      <c r="J2917" s="523">
        <v>176257.2</v>
      </c>
      <c r="K2917" s="575">
        <f t="shared" si="248"/>
        <v>1057543</v>
      </c>
      <c r="L2917" s="591" t="s">
        <v>160</v>
      </c>
      <c r="M2917" s="591" t="s">
        <v>292</v>
      </c>
      <c r="N2917" s="525" t="str">
        <f>IF(AND('331-CT'!$E$7=TH!H2917,OR(L2917="331",M2917="331")),"331",IF(AND(OR(L2917="131",M2917="131"),H2917='131-CT'!$E$7),"131",""))</f>
        <v/>
      </c>
      <c r="O2917" s="525" t="str">
        <f>IF(AND($B2917&gt;='111'!$N$11,$B2917&lt;='111'!$O$11,OR($L2917=$O$7,$M2917=$O$7)),"x","")</f>
        <v/>
      </c>
      <c r="P2917" s="525" t="str">
        <f>IF(AND($L2917=$O$7,$B2917&lt;'111'!$N$11),"x","")</f>
        <v/>
      </c>
      <c r="Q2917" s="525" t="str">
        <f>IF(AND($M2917=$O$7,$B2917&lt;'111'!$N$11),"x","")</f>
        <v/>
      </c>
      <c r="R2917" s="525" t="str">
        <f>IF(ISERROR(FIND('112'!$M$9,G2917,1)),"",IF((AND(FIND('112'!$M$9,G2917,1)&gt;=1,$B2917&gt;='112'!$N$8,$B2917&lt;='112'!$O$8,OR($L2917='112'!$I$6,$M2917='112'!$I$6))),"x",""))</f>
        <v/>
      </c>
      <c r="S2917" s="525" t="str">
        <f>IF(ISERROR(FIND('112'!$M$9,G2917,1)),"",IF((AND(LEFT(G2917,2)=LEFT('112'!$M$9,2),B2917&lt;'112'!$N$8,$L2917='112'!$I$6)),"x",""))</f>
        <v/>
      </c>
      <c r="T2917" s="525" t="str">
        <f>IF(ISERROR(FIND('112'!$M$9,G2917,1)),"",IF((AND(RIGHT(G2917,2)=RIGHT('112'!$M$9,2),B2917&lt;'112'!$N$8,$M2917='112'!$I$6)),"x",""))</f>
        <v/>
      </c>
      <c r="U2917" s="525" t="str">
        <f>IF(AND(B2917&gt;='IN-NX'!$P$3,B2917&lt;='IN-NX'!$Q$3,'IN-NX'!$D$7=D2917,OR(LEFT(L2917,2)="15",AND(LEFT(M2917,2)&lt;&gt;"15",LEFT(M2917,2)&lt;&gt;"33"))),"x","")</f>
        <v/>
      </c>
      <c r="V2917" s="525" t="str">
        <f>IF(AND(OR(LEFT(TH!L2917,2)="15",LEFT(TH!M2917,2)="15"),'152-CT'!$J$8=TH!F2917),"x","")</f>
        <v/>
      </c>
      <c r="W2917" s="525" t="str">
        <f>IF(AND(OR(LEFT(TH!L2917,2)="15",LEFT(TH!M2917,2)="15"),TK!$E$7=TH!F2917),"x","")</f>
        <v/>
      </c>
      <c r="X2917" s="525" t="str">
        <f>IF(AND('341-CT'!$E$9=H2917,OR(LEFT(L2917,3)=$X$7,LEFT(M2917,3)=$X$7)),"x","")</f>
        <v/>
      </c>
      <c r="Y2917" s="525" t="str">
        <f>IF(OR(TH!L2917=TH!$Y$7,M2917=TH!$Y$7),"x","")</f>
        <v/>
      </c>
      <c r="Z2917" s="525" t="str">
        <f>IF(AND(B2917&lt;=NKC!$N$8,B2917&gt;=NKC!$M$8),"x","")</f>
        <v/>
      </c>
      <c r="AA2917" s="526"/>
      <c r="AC2917" s="576"/>
      <c r="AD2917" s="576"/>
      <c r="AE2917" s="576"/>
    </row>
    <row r="2918" spans="1:31" s="527" customFormat="1" ht="15.75" customHeight="1">
      <c r="A2918" s="517" t="str">
        <f>IF(B2918&lt;&gt;"",IF(AND(B2918&gt;=_TM1,B2918&lt;=_TM2,OR(TH!L2918="1111",TH!M2918="1111")),TH!D2918,""),"")</f>
        <v/>
      </c>
      <c r="B2918" s="518">
        <f t="shared" si="249"/>
        <v>4</v>
      </c>
      <c r="C2918" s="571">
        <f t="shared" si="250"/>
        <v>42853</v>
      </c>
      <c r="D2918" s="519" t="s">
        <v>996</v>
      </c>
      <c r="E2918" s="571">
        <v>42853</v>
      </c>
      <c r="F2918" s="577" t="s">
        <v>690</v>
      </c>
      <c r="G2918" s="573" t="s">
        <v>1116</v>
      </c>
      <c r="H2918" s="574" t="s">
        <v>800</v>
      </c>
      <c r="I2918" s="523">
        <v>6</v>
      </c>
      <c r="J2918" s="523">
        <v>132374</v>
      </c>
      <c r="K2918" s="575">
        <f t="shared" si="248"/>
        <v>794244</v>
      </c>
      <c r="L2918" s="591" t="s">
        <v>160</v>
      </c>
      <c r="M2918" s="591" t="s">
        <v>292</v>
      </c>
      <c r="N2918" s="525" t="str">
        <f>IF(AND('331-CT'!$E$7=TH!H2918,OR(L2918="331",M2918="331")),"331",IF(AND(OR(L2918="131",M2918="131"),H2918='131-CT'!$E$7),"131",""))</f>
        <v/>
      </c>
      <c r="O2918" s="525" t="str">
        <f>IF(AND($B2918&gt;='111'!$N$11,$B2918&lt;='111'!$O$11,OR($L2918=$O$7,$M2918=$O$7)),"x","")</f>
        <v/>
      </c>
      <c r="P2918" s="525" t="str">
        <f>IF(AND($L2918=$O$7,$B2918&lt;'111'!$N$11),"x","")</f>
        <v/>
      </c>
      <c r="Q2918" s="525" t="str">
        <f>IF(AND($M2918=$O$7,$B2918&lt;'111'!$N$11),"x","")</f>
        <v/>
      </c>
      <c r="R2918" s="525" t="str">
        <f>IF(ISERROR(FIND('112'!$M$9,G2918,1)),"",IF((AND(FIND('112'!$M$9,G2918,1)&gt;=1,$B2918&gt;='112'!$N$8,$B2918&lt;='112'!$O$8,OR($L2918='112'!$I$6,$M2918='112'!$I$6))),"x",""))</f>
        <v/>
      </c>
      <c r="S2918" s="525" t="str">
        <f>IF(ISERROR(FIND('112'!$M$9,G2918,1)),"",IF((AND(LEFT(G2918,2)=LEFT('112'!$M$9,2),B2918&lt;'112'!$N$8,$L2918='112'!$I$6)),"x",""))</f>
        <v/>
      </c>
      <c r="T2918" s="525" t="str">
        <f>IF(ISERROR(FIND('112'!$M$9,G2918,1)),"",IF((AND(RIGHT(G2918,2)=RIGHT('112'!$M$9,2),B2918&lt;'112'!$N$8,$M2918='112'!$I$6)),"x",""))</f>
        <v/>
      </c>
      <c r="U2918" s="525" t="str">
        <f>IF(AND(B2918&gt;='IN-NX'!$P$3,B2918&lt;='IN-NX'!$Q$3,'IN-NX'!$D$7=D2918,OR(LEFT(L2918,2)="15",AND(LEFT(M2918,2)&lt;&gt;"15",LEFT(M2918,2)&lt;&gt;"33"))),"x","")</f>
        <v/>
      </c>
      <c r="V2918" s="525" t="str">
        <f>IF(AND(OR(LEFT(TH!L2918,2)="15",LEFT(TH!M2918,2)="15"),'152-CT'!$J$8=TH!F2918),"x","")</f>
        <v/>
      </c>
      <c r="W2918" s="525" t="str">
        <f>IF(AND(OR(LEFT(TH!L2918,2)="15",LEFT(TH!M2918,2)="15"),TK!$E$7=TH!F2918),"x","")</f>
        <v/>
      </c>
      <c r="X2918" s="525" t="str">
        <f>IF(AND('341-CT'!$E$9=H2918,OR(LEFT(L2918,3)=$X$7,LEFT(M2918,3)=$X$7)),"x","")</f>
        <v/>
      </c>
      <c r="Y2918" s="525" t="str">
        <f>IF(OR(TH!L2918=TH!$Y$7,M2918=TH!$Y$7),"x","")</f>
        <v/>
      </c>
      <c r="Z2918" s="525" t="str">
        <f>IF(AND(B2918&lt;=NKC!$N$8,B2918&gt;=NKC!$M$8),"x","")</f>
        <v/>
      </c>
      <c r="AA2918" s="526"/>
      <c r="AC2918" s="576"/>
      <c r="AD2918" s="576"/>
      <c r="AE2918" s="576"/>
    </row>
    <row r="2919" spans="1:31" s="527" customFormat="1" ht="15.75" customHeight="1">
      <c r="A2919" s="517" t="str">
        <f>IF(B2919&lt;&gt;"",IF(AND(B2919&gt;=_TM1,B2919&lt;=_TM2,OR(TH!L2919="1111",TH!M2919="1111")),TH!D2919,""),"")</f>
        <v/>
      </c>
      <c r="B2919" s="518">
        <f t="shared" si="249"/>
        <v>4</v>
      </c>
      <c r="C2919" s="571">
        <f t="shared" si="250"/>
        <v>42853</v>
      </c>
      <c r="D2919" s="519" t="s">
        <v>996</v>
      </c>
      <c r="E2919" s="571">
        <v>42853</v>
      </c>
      <c r="F2919" s="572" t="s">
        <v>691</v>
      </c>
      <c r="G2919" s="573" t="s">
        <v>1116</v>
      </c>
      <c r="H2919" s="574" t="s">
        <v>800</v>
      </c>
      <c r="I2919" s="523">
        <v>20</v>
      </c>
      <c r="J2919" s="523">
        <v>52170</v>
      </c>
      <c r="K2919" s="575">
        <f t="shared" si="248"/>
        <v>1043400</v>
      </c>
      <c r="L2919" s="591" t="s">
        <v>160</v>
      </c>
      <c r="M2919" s="591" t="s">
        <v>292</v>
      </c>
      <c r="N2919" s="525" t="str">
        <f>IF(AND('331-CT'!$E$7=TH!H2919,OR(L2919="331",M2919="331")),"331",IF(AND(OR(L2919="131",M2919="131"),H2919='131-CT'!$E$7),"131",""))</f>
        <v/>
      </c>
      <c r="O2919" s="525" t="str">
        <f>IF(AND($B2919&gt;='111'!$N$11,$B2919&lt;='111'!$O$11,OR($L2919=$O$7,$M2919=$O$7)),"x","")</f>
        <v/>
      </c>
      <c r="P2919" s="525" t="str">
        <f>IF(AND($L2919=$O$7,$B2919&lt;'111'!$N$11),"x","")</f>
        <v/>
      </c>
      <c r="Q2919" s="525" t="str">
        <f>IF(AND($M2919=$O$7,$B2919&lt;'111'!$N$11),"x","")</f>
        <v/>
      </c>
      <c r="R2919" s="525" t="str">
        <f>IF(ISERROR(FIND('112'!$M$9,G2919,1)),"",IF((AND(FIND('112'!$M$9,G2919,1)&gt;=1,$B2919&gt;='112'!$N$8,$B2919&lt;='112'!$O$8,OR($L2919='112'!$I$6,$M2919='112'!$I$6))),"x",""))</f>
        <v/>
      </c>
      <c r="S2919" s="525" t="str">
        <f>IF(ISERROR(FIND('112'!$M$9,G2919,1)),"",IF((AND(LEFT(G2919,2)=LEFT('112'!$M$9,2),B2919&lt;'112'!$N$8,$L2919='112'!$I$6)),"x",""))</f>
        <v/>
      </c>
      <c r="T2919" s="525" t="str">
        <f>IF(ISERROR(FIND('112'!$M$9,G2919,1)),"",IF((AND(RIGHT(G2919,2)=RIGHT('112'!$M$9,2),B2919&lt;'112'!$N$8,$M2919='112'!$I$6)),"x",""))</f>
        <v/>
      </c>
      <c r="U2919" s="525" t="str">
        <f>IF(AND(B2919&gt;='IN-NX'!$P$3,B2919&lt;='IN-NX'!$Q$3,'IN-NX'!$D$7=D2919,OR(LEFT(L2919,2)="15",AND(LEFT(M2919,2)&lt;&gt;"15",LEFT(M2919,2)&lt;&gt;"33"))),"x","")</f>
        <v/>
      </c>
      <c r="V2919" s="525" t="str">
        <f>IF(AND(OR(LEFT(TH!L2919,2)="15",LEFT(TH!M2919,2)="15"),'152-CT'!$J$8=TH!F2919),"x","")</f>
        <v/>
      </c>
      <c r="W2919" s="525" t="str">
        <f>IF(AND(OR(LEFT(TH!L2919,2)="15",LEFT(TH!M2919,2)="15"),TK!$E$7=TH!F2919),"x","")</f>
        <v/>
      </c>
      <c r="X2919" s="525" t="str">
        <f>IF(AND('341-CT'!$E$9=H2919,OR(LEFT(L2919,3)=$X$7,LEFT(M2919,3)=$X$7)),"x","")</f>
        <v/>
      </c>
      <c r="Y2919" s="525" t="str">
        <f>IF(OR(TH!L2919=TH!$Y$7,M2919=TH!$Y$7),"x","")</f>
        <v/>
      </c>
      <c r="Z2919" s="525" t="str">
        <f>IF(AND(B2919&lt;=NKC!$N$8,B2919&gt;=NKC!$M$8),"x","")</f>
        <v/>
      </c>
      <c r="AA2919" s="526"/>
      <c r="AC2919" s="576"/>
      <c r="AD2919" s="576"/>
      <c r="AE2919" s="576"/>
    </row>
    <row r="2920" spans="1:31" s="527" customFormat="1" ht="15.75" customHeight="1">
      <c r="A2920" s="517" t="str">
        <f>IF(B2920&lt;&gt;"",IF(AND(B2920&gt;=_TM1,B2920&lt;=_TM2,OR(TH!L2920="1111",TH!M2920="1111")),TH!D2920,""),"")</f>
        <v/>
      </c>
      <c r="B2920" s="518">
        <f t="shared" si="249"/>
        <v>4</v>
      </c>
      <c r="C2920" s="571">
        <f t="shared" si="250"/>
        <v>42853</v>
      </c>
      <c r="D2920" s="519" t="s">
        <v>996</v>
      </c>
      <c r="E2920" s="571">
        <v>42853</v>
      </c>
      <c r="F2920" s="572" t="s">
        <v>699</v>
      </c>
      <c r="G2920" s="573" t="s">
        <v>1116</v>
      </c>
      <c r="H2920" s="574" t="s">
        <v>800</v>
      </c>
      <c r="I2920" s="523">
        <v>8</v>
      </c>
      <c r="J2920" s="523">
        <v>48453</v>
      </c>
      <c r="K2920" s="575">
        <f t="shared" si="248"/>
        <v>387624</v>
      </c>
      <c r="L2920" s="591" t="s">
        <v>160</v>
      </c>
      <c r="M2920" s="591" t="s">
        <v>292</v>
      </c>
      <c r="N2920" s="525" t="str">
        <f>IF(AND('331-CT'!$E$7=TH!H2920,OR(L2920="331",M2920="331")),"331",IF(AND(OR(L2920="131",M2920="131"),H2920='131-CT'!$E$7),"131",""))</f>
        <v/>
      </c>
      <c r="O2920" s="525" t="str">
        <f>IF(AND($B2920&gt;='111'!$N$11,$B2920&lt;='111'!$O$11,OR($L2920=$O$7,$M2920=$O$7)),"x","")</f>
        <v/>
      </c>
      <c r="P2920" s="525" t="str">
        <f>IF(AND($L2920=$O$7,$B2920&lt;'111'!$N$11),"x","")</f>
        <v/>
      </c>
      <c r="Q2920" s="525" t="str">
        <f>IF(AND($M2920=$O$7,$B2920&lt;'111'!$N$11),"x","")</f>
        <v/>
      </c>
      <c r="R2920" s="525" t="str">
        <f>IF(ISERROR(FIND('112'!$M$9,G2920,1)),"",IF((AND(FIND('112'!$M$9,G2920,1)&gt;=1,$B2920&gt;='112'!$N$8,$B2920&lt;='112'!$O$8,OR($L2920='112'!$I$6,$M2920='112'!$I$6))),"x",""))</f>
        <v/>
      </c>
      <c r="S2920" s="525" t="str">
        <f>IF(ISERROR(FIND('112'!$M$9,G2920,1)),"",IF((AND(LEFT(G2920,2)=LEFT('112'!$M$9,2),B2920&lt;'112'!$N$8,$L2920='112'!$I$6)),"x",""))</f>
        <v/>
      </c>
      <c r="T2920" s="525" t="str">
        <f>IF(ISERROR(FIND('112'!$M$9,G2920,1)),"",IF((AND(RIGHT(G2920,2)=RIGHT('112'!$M$9,2),B2920&lt;'112'!$N$8,$M2920='112'!$I$6)),"x",""))</f>
        <v/>
      </c>
      <c r="U2920" s="525" t="str">
        <f>IF(AND(B2920&gt;='IN-NX'!$P$3,B2920&lt;='IN-NX'!$Q$3,'IN-NX'!$D$7=D2920,OR(LEFT(L2920,2)="15",AND(LEFT(M2920,2)&lt;&gt;"15",LEFT(M2920,2)&lt;&gt;"33"))),"x","")</f>
        <v/>
      </c>
      <c r="V2920" s="525" t="str">
        <f>IF(AND(OR(LEFT(TH!L2920,2)="15",LEFT(TH!M2920,2)="15"),'152-CT'!$J$8=TH!F2920),"x","")</f>
        <v/>
      </c>
      <c r="W2920" s="525" t="str">
        <f>IF(AND(OR(LEFT(TH!L2920,2)="15",LEFT(TH!M2920,2)="15"),TK!$E$7=TH!F2920),"x","")</f>
        <v/>
      </c>
      <c r="X2920" s="525" t="str">
        <f>IF(AND('341-CT'!$E$9=H2920,OR(LEFT(L2920,3)=$X$7,LEFT(M2920,3)=$X$7)),"x","")</f>
        <v/>
      </c>
      <c r="Y2920" s="525" t="str">
        <f>IF(OR(TH!L2920=TH!$Y$7,M2920=TH!$Y$7),"x","")</f>
        <v/>
      </c>
      <c r="Z2920" s="525" t="str">
        <f>IF(AND(B2920&lt;=NKC!$N$8,B2920&gt;=NKC!$M$8),"x","")</f>
        <v/>
      </c>
      <c r="AA2920" s="526"/>
      <c r="AC2920" s="576"/>
      <c r="AD2920" s="576"/>
      <c r="AE2920" s="576"/>
    </row>
    <row r="2921" spans="1:31" s="527" customFormat="1" ht="15.75" customHeight="1">
      <c r="A2921" s="517" t="str">
        <f>IF(B2921&lt;&gt;"",IF(AND(B2921&gt;=_TM1,B2921&lt;=_TM2,OR(TH!L2921="1111",TH!M2921="1111")),TH!D2921,""),"")</f>
        <v/>
      </c>
      <c r="B2921" s="518">
        <f t="shared" si="249"/>
        <v>4</v>
      </c>
      <c r="C2921" s="571">
        <f t="shared" si="250"/>
        <v>42853</v>
      </c>
      <c r="D2921" s="519" t="s">
        <v>996</v>
      </c>
      <c r="E2921" s="571">
        <v>42853</v>
      </c>
      <c r="F2921" s="572" t="s">
        <v>648</v>
      </c>
      <c r="G2921" s="573" t="s">
        <v>1116</v>
      </c>
      <c r="H2921" s="574" t="s">
        <v>800</v>
      </c>
      <c r="I2921" s="523">
        <v>7</v>
      </c>
      <c r="J2921" s="523">
        <v>48490</v>
      </c>
      <c r="K2921" s="575">
        <f t="shared" si="248"/>
        <v>339430</v>
      </c>
      <c r="L2921" s="591" t="s">
        <v>160</v>
      </c>
      <c r="M2921" s="591" t="s">
        <v>292</v>
      </c>
      <c r="N2921" s="525" t="str">
        <f>IF(AND('331-CT'!$E$7=TH!H2921,OR(L2921="331",M2921="331")),"331",IF(AND(OR(L2921="131",M2921="131"),H2921='131-CT'!$E$7),"131",""))</f>
        <v/>
      </c>
      <c r="O2921" s="525" t="str">
        <f>IF(AND($B2921&gt;='111'!$N$11,$B2921&lt;='111'!$O$11,OR($L2921=$O$7,$M2921=$O$7)),"x","")</f>
        <v/>
      </c>
      <c r="P2921" s="525" t="str">
        <f>IF(AND($L2921=$O$7,$B2921&lt;'111'!$N$11),"x","")</f>
        <v/>
      </c>
      <c r="Q2921" s="525" t="str">
        <f>IF(AND($M2921=$O$7,$B2921&lt;'111'!$N$11),"x","")</f>
        <v/>
      </c>
      <c r="R2921" s="525" t="str">
        <f>IF(ISERROR(FIND('112'!$M$9,G2921,1)),"",IF((AND(FIND('112'!$M$9,G2921,1)&gt;=1,$B2921&gt;='112'!$N$8,$B2921&lt;='112'!$O$8,OR($L2921='112'!$I$6,$M2921='112'!$I$6))),"x",""))</f>
        <v/>
      </c>
      <c r="S2921" s="525" t="str">
        <f>IF(ISERROR(FIND('112'!$M$9,G2921,1)),"",IF((AND(LEFT(G2921,2)=LEFT('112'!$M$9,2),B2921&lt;'112'!$N$8,$L2921='112'!$I$6)),"x",""))</f>
        <v/>
      </c>
      <c r="T2921" s="525" t="str">
        <f>IF(ISERROR(FIND('112'!$M$9,G2921,1)),"",IF((AND(RIGHT(G2921,2)=RIGHT('112'!$M$9,2),B2921&lt;'112'!$N$8,$M2921='112'!$I$6)),"x",""))</f>
        <v/>
      </c>
      <c r="U2921" s="525" t="str">
        <f>IF(AND(B2921&gt;='IN-NX'!$P$3,B2921&lt;='IN-NX'!$Q$3,'IN-NX'!$D$7=D2921,OR(LEFT(L2921,2)="15",AND(LEFT(M2921,2)&lt;&gt;"15",LEFT(M2921,2)&lt;&gt;"33"))),"x","")</f>
        <v/>
      </c>
      <c r="V2921" s="525" t="str">
        <f>IF(AND(OR(LEFT(TH!L2921,2)="15",LEFT(TH!M2921,2)="15"),'152-CT'!$J$8=TH!F2921),"x","")</f>
        <v/>
      </c>
      <c r="W2921" s="525" t="str">
        <f>IF(AND(OR(LEFT(TH!L2921,2)="15",LEFT(TH!M2921,2)="15"),TK!$E$7=TH!F2921),"x","")</f>
        <v/>
      </c>
      <c r="X2921" s="525" t="str">
        <f>IF(AND('341-CT'!$E$9=H2921,OR(LEFT(L2921,3)=$X$7,LEFT(M2921,3)=$X$7)),"x","")</f>
        <v/>
      </c>
      <c r="Y2921" s="525" t="str">
        <f>IF(OR(TH!L2921=TH!$Y$7,M2921=TH!$Y$7),"x","")</f>
        <v/>
      </c>
      <c r="Z2921" s="525" t="str">
        <f>IF(AND(B2921&lt;=NKC!$N$8,B2921&gt;=NKC!$M$8),"x","")</f>
        <v/>
      </c>
      <c r="AA2921" s="526"/>
      <c r="AC2921" s="576"/>
      <c r="AD2921" s="576"/>
      <c r="AE2921" s="576"/>
    </row>
    <row r="2922" spans="1:31" s="527" customFormat="1" ht="15.75" customHeight="1">
      <c r="A2922" s="517" t="str">
        <f>IF(B2922&lt;&gt;"",IF(AND(B2922&gt;=_TM1,B2922&lt;=_TM2,OR(TH!L2922="1111",TH!M2922="1111")),TH!D2922,""),"")</f>
        <v/>
      </c>
      <c r="B2922" s="518">
        <f t="shared" si="249"/>
        <v>4</v>
      </c>
      <c r="C2922" s="571">
        <f t="shared" si="250"/>
        <v>42853</v>
      </c>
      <c r="D2922" s="519" t="s">
        <v>996</v>
      </c>
      <c r="E2922" s="571">
        <v>42853</v>
      </c>
      <c r="F2922" s="572" t="s">
        <v>661</v>
      </c>
      <c r="G2922" s="573" t="s">
        <v>1116</v>
      </c>
      <c r="H2922" s="574" t="s">
        <v>800</v>
      </c>
      <c r="I2922" s="523">
        <v>14</v>
      </c>
      <c r="J2922" s="523">
        <v>60161</v>
      </c>
      <c r="K2922" s="575">
        <f t="shared" si="248"/>
        <v>842254</v>
      </c>
      <c r="L2922" s="591" t="s">
        <v>160</v>
      </c>
      <c r="M2922" s="591" t="s">
        <v>292</v>
      </c>
      <c r="N2922" s="525" t="str">
        <f>IF(AND('331-CT'!$E$7=TH!H2922,OR(L2922="331",M2922="331")),"331",IF(AND(OR(L2922="131",M2922="131"),H2922='131-CT'!$E$7),"131",""))</f>
        <v/>
      </c>
      <c r="O2922" s="525" t="str">
        <f>IF(AND($B2922&gt;='111'!$N$11,$B2922&lt;='111'!$O$11,OR($L2922=$O$7,$M2922=$O$7)),"x","")</f>
        <v/>
      </c>
      <c r="P2922" s="525" t="str">
        <f>IF(AND($L2922=$O$7,$B2922&lt;'111'!$N$11),"x","")</f>
        <v/>
      </c>
      <c r="Q2922" s="525" t="str">
        <f>IF(AND($M2922=$O$7,$B2922&lt;'111'!$N$11),"x","")</f>
        <v/>
      </c>
      <c r="R2922" s="525" t="str">
        <f>IF(ISERROR(FIND('112'!$M$9,G2922,1)),"",IF((AND(FIND('112'!$M$9,G2922,1)&gt;=1,$B2922&gt;='112'!$N$8,$B2922&lt;='112'!$O$8,OR($L2922='112'!$I$6,$M2922='112'!$I$6))),"x",""))</f>
        <v/>
      </c>
      <c r="S2922" s="525" t="str">
        <f>IF(ISERROR(FIND('112'!$M$9,G2922,1)),"",IF((AND(LEFT(G2922,2)=LEFT('112'!$M$9,2),B2922&lt;'112'!$N$8,$L2922='112'!$I$6)),"x",""))</f>
        <v/>
      </c>
      <c r="T2922" s="525" t="str">
        <f>IF(ISERROR(FIND('112'!$M$9,G2922,1)),"",IF((AND(RIGHT(G2922,2)=RIGHT('112'!$M$9,2),B2922&lt;'112'!$N$8,$M2922='112'!$I$6)),"x",""))</f>
        <v/>
      </c>
      <c r="U2922" s="525" t="str">
        <f>IF(AND(B2922&gt;='IN-NX'!$P$3,B2922&lt;='IN-NX'!$Q$3,'IN-NX'!$D$7=D2922,OR(LEFT(L2922,2)="15",AND(LEFT(M2922,2)&lt;&gt;"15",LEFT(M2922,2)&lt;&gt;"33"))),"x","")</f>
        <v/>
      </c>
      <c r="V2922" s="525" t="str">
        <f>IF(AND(OR(LEFT(TH!L2922,2)="15",LEFT(TH!M2922,2)="15"),'152-CT'!$J$8=TH!F2922),"x","")</f>
        <v/>
      </c>
      <c r="W2922" s="525" t="str">
        <f>IF(AND(OR(LEFT(TH!L2922,2)="15",LEFT(TH!M2922,2)="15"),TK!$E$7=TH!F2922),"x","")</f>
        <v/>
      </c>
      <c r="X2922" s="525" t="str">
        <f>IF(AND('341-CT'!$E$9=H2922,OR(LEFT(L2922,3)=$X$7,LEFT(M2922,3)=$X$7)),"x","")</f>
        <v/>
      </c>
      <c r="Y2922" s="525" t="str">
        <f>IF(OR(TH!L2922=TH!$Y$7,M2922=TH!$Y$7),"x","")</f>
        <v/>
      </c>
      <c r="Z2922" s="525" t="str">
        <f>IF(AND(B2922&lt;=NKC!$N$8,B2922&gt;=NKC!$M$8),"x","")</f>
        <v/>
      </c>
      <c r="AA2922" s="526"/>
      <c r="AC2922" s="576"/>
      <c r="AD2922" s="576"/>
      <c r="AE2922" s="576"/>
    </row>
    <row r="2923" spans="1:31" s="527" customFormat="1" ht="15.75" customHeight="1">
      <c r="A2923" s="517" t="str">
        <f>IF(B2923&lt;&gt;"",IF(AND(B2923&gt;=_TM1,B2923&lt;=_TM2,OR(TH!L2923="1111",TH!M2923="1111")),TH!D2923,""),"")</f>
        <v/>
      </c>
      <c r="B2923" s="518">
        <f t="shared" ref="B2923:B2946" si="251">IF(C2923&lt;&gt;"",MONTH(C2923),"")</f>
        <v>4</v>
      </c>
      <c r="C2923" s="571">
        <f t="shared" si="250"/>
        <v>42853</v>
      </c>
      <c r="D2923" s="519" t="s">
        <v>996</v>
      </c>
      <c r="E2923" s="571">
        <v>42853</v>
      </c>
      <c r="F2923" s="520" t="s">
        <v>274</v>
      </c>
      <c r="G2923" s="573" t="s">
        <v>1116</v>
      </c>
      <c r="H2923" s="574" t="s">
        <v>800</v>
      </c>
      <c r="I2923" s="523">
        <v>787</v>
      </c>
      <c r="J2923" s="523">
        <v>11221</v>
      </c>
      <c r="K2923" s="575">
        <f t="shared" si="248"/>
        <v>8830927</v>
      </c>
      <c r="L2923" s="591" t="s">
        <v>160</v>
      </c>
      <c r="M2923" s="591" t="s">
        <v>292</v>
      </c>
      <c r="N2923" s="525" t="str">
        <f>IF(AND('331-CT'!$E$7=TH!H2923,OR(L2923="331",M2923="331")),"331",IF(AND(OR(L2923="131",M2923="131"),H2923='131-CT'!$E$7),"131",""))</f>
        <v/>
      </c>
      <c r="O2923" s="525" t="str">
        <f>IF(AND($B2923&gt;='111'!$N$11,$B2923&lt;='111'!$O$11,OR($L2923=$O$7,$M2923=$O$7)),"x","")</f>
        <v/>
      </c>
      <c r="P2923" s="525" t="str">
        <f>IF(AND($L2923=$O$7,$B2923&lt;'111'!$N$11),"x","")</f>
        <v/>
      </c>
      <c r="Q2923" s="525" t="str">
        <f>IF(AND($M2923=$O$7,$B2923&lt;'111'!$N$11),"x","")</f>
        <v/>
      </c>
      <c r="R2923" s="525" t="str">
        <f>IF(ISERROR(FIND('112'!$M$9,G2923,1)),"",IF((AND(FIND('112'!$M$9,G2923,1)&gt;=1,$B2923&gt;='112'!$N$8,$B2923&lt;='112'!$O$8,OR($L2923='112'!$I$6,$M2923='112'!$I$6))),"x",""))</f>
        <v/>
      </c>
      <c r="S2923" s="525" t="str">
        <f>IF(ISERROR(FIND('112'!$M$9,G2923,1)),"",IF((AND(LEFT(G2923,2)=LEFT('112'!$M$9,2),B2923&lt;'112'!$N$8,$L2923='112'!$I$6)),"x",""))</f>
        <v/>
      </c>
      <c r="T2923" s="525" t="str">
        <f>IF(ISERROR(FIND('112'!$M$9,G2923,1)),"",IF((AND(RIGHT(G2923,2)=RIGHT('112'!$M$9,2),B2923&lt;'112'!$N$8,$M2923='112'!$I$6)),"x",""))</f>
        <v/>
      </c>
      <c r="U2923" s="525" t="str">
        <f>IF(AND(B2923&gt;='IN-NX'!$P$3,B2923&lt;='IN-NX'!$Q$3,'IN-NX'!$D$7=D2923,OR(LEFT(L2923,2)="15",AND(LEFT(M2923,2)&lt;&gt;"15",LEFT(M2923,2)&lt;&gt;"33"))),"x","")</f>
        <v/>
      </c>
      <c r="V2923" s="525" t="str">
        <f>IF(AND(OR(LEFT(TH!L2923,2)="15",LEFT(TH!M2923,2)="15"),'152-CT'!$J$8=TH!F2923),"x","")</f>
        <v/>
      </c>
      <c r="W2923" s="525" t="str">
        <f>IF(AND(OR(LEFT(TH!L2923,2)="15",LEFT(TH!M2923,2)="15"),TK!$E$7=TH!F2923),"x","")</f>
        <v>x</v>
      </c>
      <c r="X2923" s="525" t="str">
        <f>IF(AND('341-CT'!$E$9=H2923,OR(LEFT(L2923,3)=$X$7,LEFT(M2923,3)=$X$7)),"x","")</f>
        <v/>
      </c>
      <c r="Y2923" s="525" t="str">
        <f>IF(OR(TH!L2923=TH!$Y$7,M2923=TH!$Y$7),"x","")</f>
        <v/>
      </c>
      <c r="Z2923" s="525" t="str">
        <f>IF(AND(B2923&lt;=NKC!$N$8,B2923&gt;=NKC!$M$8),"x","")</f>
        <v/>
      </c>
      <c r="AA2923" s="526"/>
      <c r="AC2923" s="576"/>
      <c r="AD2923" s="576"/>
      <c r="AE2923" s="576"/>
    </row>
    <row r="2924" spans="1:31" s="576" customFormat="1" ht="15.75" customHeight="1">
      <c r="A2924" s="517" t="str">
        <f>IF(B2924&lt;&gt;"",IF(AND(B2924&gt;=_TM1,B2924&lt;=_TM2,OR(TH!L2924="1111",TH!M2924="1111")),TH!D2924,""),"")</f>
        <v/>
      </c>
      <c r="B2924" s="518">
        <f t="shared" si="251"/>
        <v>4</v>
      </c>
      <c r="C2924" s="571">
        <f t="shared" si="250"/>
        <v>42853</v>
      </c>
      <c r="D2924" s="519" t="s">
        <v>996</v>
      </c>
      <c r="E2924" s="571">
        <v>42853</v>
      </c>
      <c r="F2924" s="572" t="s">
        <v>738</v>
      </c>
      <c r="G2924" s="573" t="s">
        <v>1116</v>
      </c>
      <c r="H2924" s="574" t="s">
        <v>800</v>
      </c>
      <c r="I2924" s="523">
        <v>6</v>
      </c>
      <c r="J2924" s="523">
        <v>162314</v>
      </c>
      <c r="K2924" s="575">
        <f t="shared" si="248"/>
        <v>973884</v>
      </c>
      <c r="L2924" s="591" t="s">
        <v>160</v>
      </c>
      <c r="M2924" s="591" t="s">
        <v>292</v>
      </c>
      <c r="N2924" s="525" t="str">
        <f>IF(AND('331-CT'!$E$7=TH!H2924,OR(L2924="331",M2924="331")),"331",IF(AND(OR(L2924="131",M2924="131"),H2924='131-CT'!$E$7),"131",""))</f>
        <v/>
      </c>
      <c r="O2924" s="525" t="str">
        <f>IF(AND($B2924&gt;='111'!$N$11,$B2924&lt;='111'!$O$11,OR($L2924=$O$7,$M2924=$O$7)),"x","")</f>
        <v/>
      </c>
      <c r="P2924" s="525" t="str">
        <f>IF(AND($L2924=$O$7,$B2924&lt;'111'!$N$11),"x","")</f>
        <v/>
      </c>
      <c r="Q2924" s="525" t="str">
        <f>IF(AND($M2924=$O$7,$B2924&lt;'111'!$N$11),"x","")</f>
        <v/>
      </c>
      <c r="R2924" s="525" t="str">
        <f>IF(ISERROR(FIND('112'!$M$9,G2924,1)),"",IF((AND(FIND('112'!$M$9,G2924,1)&gt;=1,$B2924&gt;='112'!$N$8,$B2924&lt;='112'!$O$8,OR($L2924='112'!$I$6,$M2924='112'!$I$6))),"x",""))</f>
        <v/>
      </c>
      <c r="S2924" s="525" t="str">
        <f>IF(ISERROR(FIND('112'!$M$9,G2924,1)),"",IF((AND(LEFT(G2924,2)=LEFT('112'!$M$9,2),B2924&lt;'112'!$N$8,$L2924='112'!$I$6)),"x",""))</f>
        <v/>
      </c>
      <c r="T2924" s="525" t="str">
        <f>IF(ISERROR(FIND('112'!$M$9,G2924,1)),"",IF((AND(RIGHT(G2924,2)=RIGHT('112'!$M$9,2),B2924&lt;'112'!$N$8,$M2924='112'!$I$6)),"x",""))</f>
        <v/>
      </c>
      <c r="U2924" s="525" t="str">
        <f>IF(AND(B2924&gt;='IN-NX'!$P$3,B2924&lt;='IN-NX'!$Q$3,'IN-NX'!$D$7=D2924,OR(LEFT(L2924,2)="15",AND(LEFT(M2924,2)&lt;&gt;"15",LEFT(M2924,2)&lt;&gt;"33"))),"x","")</f>
        <v/>
      </c>
      <c r="V2924" s="525" t="str">
        <f>IF(AND(OR(LEFT(TH!L2924,2)="15",LEFT(TH!M2924,2)="15"),'152-CT'!$J$8=TH!F2924),"x","")</f>
        <v/>
      </c>
      <c r="W2924" s="525" t="str">
        <f>IF(AND(OR(LEFT(TH!L2924,2)="15",LEFT(TH!M2924,2)="15"),TK!$E$7=TH!F2924),"x","")</f>
        <v/>
      </c>
      <c r="X2924" s="525" t="str">
        <f>IF(AND('341-CT'!$E$9=H2924,OR(LEFT(L2924,3)=$X$7,LEFT(M2924,3)=$X$7)),"x","")</f>
        <v/>
      </c>
      <c r="Y2924" s="525" t="str">
        <f>IF(OR(TH!L2924=TH!$Y$7,M2924=TH!$Y$7),"x","")</f>
        <v/>
      </c>
      <c r="Z2924" s="525" t="str">
        <f>IF(AND(B2924&lt;=NKC!$N$8,B2924&gt;=NKC!$M$8),"x","")</f>
        <v/>
      </c>
      <c r="AA2924" s="526"/>
      <c r="AB2924" s="527"/>
    </row>
    <row r="2925" spans="1:31" s="576" customFormat="1" ht="15.75" customHeight="1">
      <c r="A2925" s="517" t="str">
        <f>IF(B2925&lt;&gt;"",IF(AND(B2925&gt;=_TM1,B2925&lt;=_TM2,OR(TH!L2925="1111",TH!M2925="1111")),TH!D2925,""),"")</f>
        <v/>
      </c>
      <c r="B2925" s="518">
        <f t="shared" si="251"/>
        <v>4</v>
      </c>
      <c r="C2925" s="571">
        <f t="shared" si="250"/>
        <v>42853</v>
      </c>
      <c r="D2925" s="519" t="s">
        <v>996</v>
      </c>
      <c r="E2925" s="571">
        <v>42853</v>
      </c>
      <c r="F2925" s="577" t="s">
        <v>1055</v>
      </c>
      <c r="G2925" s="573" t="s">
        <v>1116</v>
      </c>
      <c r="H2925" s="574" t="s">
        <v>800</v>
      </c>
      <c r="I2925" s="523">
        <v>8</v>
      </c>
      <c r="J2925" s="523">
        <v>99278</v>
      </c>
      <c r="K2925" s="575">
        <f t="shared" si="248"/>
        <v>794224</v>
      </c>
      <c r="L2925" s="591" t="s">
        <v>160</v>
      </c>
      <c r="M2925" s="591" t="s">
        <v>292</v>
      </c>
      <c r="N2925" s="525" t="str">
        <f>IF(AND('331-CT'!$E$7=TH!H2925,OR(L2925="331",M2925="331")),"331",IF(AND(OR(L2925="131",M2925="131"),H2925='131-CT'!$E$7),"131",""))</f>
        <v/>
      </c>
      <c r="O2925" s="525" t="str">
        <f>IF(AND($B2925&gt;='111'!$N$11,$B2925&lt;='111'!$O$11,OR($L2925=$O$7,$M2925=$O$7)),"x","")</f>
        <v/>
      </c>
      <c r="P2925" s="525" t="str">
        <f>IF(AND($L2925=$O$7,$B2925&lt;'111'!$N$11),"x","")</f>
        <v/>
      </c>
      <c r="Q2925" s="525" t="str">
        <f>IF(AND($M2925=$O$7,$B2925&lt;'111'!$N$11),"x","")</f>
        <v/>
      </c>
      <c r="R2925" s="525" t="str">
        <f>IF(ISERROR(FIND('112'!$M$9,G2925,1)),"",IF((AND(FIND('112'!$M$9,G2925,1)&gt;=1,$B2925&gt;='112'!$N$8,$B2925&lt;='112'!$O$8,OR($L2925='112'!$I$6,$M2925='112'!$I$6))),"x",""))</f>
        <v/>
      </c>
      <c r="S2925" s="525" t="str">
        <f>IF(ISERROR(FIND('112'!$M$9,G2925,1)),"",IF((AND(LEFT(G2925,2)=LEFT('112'!$M$9,2),B2925&lt;'112'!$N$8,$L2925='112'!$I$6)),"x",""))</f>
        <v/>
      </c>
      <c r="T2925" s="525" t="str">
        <f>IF(ISERROR(FIND('112'!$M$9,G2925,1)),"",IF((AND(RIGHT(G2925,2)=RIGHT('112'!$M$9,2),B2925&lt;'112'!$N$8,$M2925='112'!$I$6)),"x",""))</f>
        <v/>
      </c>
      <c r="U2925" s="525" t="str">
        <f>IF(AND(B2925&gt;='IN-NX'!$P$3,B2925&lt;='IN-NX'!$Q$3,'IN-NX'!$D$7=D2925,OR(LEFT(L2925,2)="15",AND(LEFT(M2925,2)&lt;&gt;"15",LEFT(M2925,2)&lt;&gt;"33"))),"x","")</f>
        <v/>
      </c>
      <c r="V2925" s="525" t="str">
        <f>IF(AND(OR(LEFT(TH!L2925,2)="15",LEFT(TH!M2925,2)="15"),'152-CT'!$J$8=TH!F2925),"x","")</f>
        <v/>
      </c>
      <c r="W2925" s="525" t="str">
        <f>IF(AND(OR(LEFT(TH!L2925,2)="15",LEFT(TH!M2925,2)="15"),TK!$E$7=TH!F2925),"x","")</f>
        <v/>
      </c>
      <c r="X2925" s="525" t="str">
        <f>IF(AND('341-CT'!$E$9=H2925,OR(LEFT(L2925,3)=$X$7,LEFT(M2925,3)=$X$7)),"x","")</f>
        <v/>
      </c>
      <c r="Y2925" s="525" t="str">
        <f>IF(OR(TH!L2925=TH!$Y$7,M2925=TH!$Y$7),"x","")</f>
        <v/>
      </c>
      <c r="Z2925" s="525" t="str">
        <f>IF(AND(B2925&lt;=NKC!$N$8,B2925&gt;=NKC!$M$8),"x","")</f>
        <v/>
      </c>
      <c r="AA2925" s="526"/>
      <c r="AB2925" s="527"/>
    </row>
    <row r="2926" spans="1:31" s="576" customFormat="1" ht="15.75" customHeight="1">
      <c r="A2926" s="517" t="str">
        <f>IF(B2926&lt;&gt;"",IF(AND(B2926&gt;=_TM1,B2926&lt;=_TM2,OR(TH!L2926="1111",TH!M2926="1111")),TH!D2926,""),"")</f>
        <v/>
      </c>
      <c r="B2926" s="518">
        <f t="shared" si="251"/>
        <v>4</v>
      </c>
      <c r="C2926" s="571">
        <f t="shared" si="250"/>
        <v>42853</v>
      </c>
      <c r="D2926" s="519" t="s">
        <v>996</v>
      </c>
      <c r="E2926" s="571">
        <v>42853</v>
      </c>
      <c r="F2926" s="572" t="s">
        <v>1056</v>
      </c>
      <c r="G2926" s="573" t="s">
        <v>1116</v>
      </c>
      <c r="H2926" s="574" t="s">
        <v>800</v>
      </c>
      <c r="I2926" s="523">
        <v>35</v>
      </c>
      <c r="J2926" s="523">
        <v>46680</v>
      </c>
      <c r="K2926" s="575">
        <f t="shared" si="248"/>
        <v>1633800</v>
      </c>
      <c r="L2926" s="591" t="s">
        <v>160</v>
      </c>
      <c r="M2926" s="591" t="s">
        <v>292</v>
      </c>
      <c r="N2926" s="525" t="str">
        <f>IF(AND('331-CT'!$E$7=TH!H2926,OR(L2926="331",M2926="331")),"331",IF(AND(OR(L2926="131",M2926="131"),H2926='131-CT'!$E$7),"131",""))</f>
        <v/>
      </c>
      <c r="O2926" s="525" t="str">
        <f>IF(AND($B2926&gt;='111'!$N$11,$B2926&lt;='111'!$O$11,OR($L2926=$O$7,$M2926=$O$7)),"x","")</f>
        <v/>
      </c>
      <c r="P2926" s="525" t="str">
        <f>IF(AND($L2926=$O$7,$B2926&lt;'111'!$N$11),"x","")</f>
        <v/>
      </c>
      <c r="Q2926" s="525" t="str">
        <f>IF(AND($M2926=$O$7,$B2926&lt;'111'!$N$11),"x","")</f>
        <v/>
      </c>
      <c r="R2926" s="525" t="str">
        <f>IF(ISERROR(FIND('112'!$M$9,G2926,1)),"",IF((AND(FIND('112'!$M$9,G2926,1)&gt;=1,$B2926&gt;='112'!$N$8,$B2926&lt;='112'!$O$8,OR($L2926='112'!$I$6,$M2926='112'!$I$6))),"x",""))</f>
        <v/>
      </c>
      <c r="S2926" s="525" t="str">
        <f>IF(ISERROR(FIND('112'!$M$9,G2926,1)),"",IF((AND(LEFT(G2926,2)=LEFT('112'!$M$9,2),B2926&lt;'112'!$N$8,$L2926='112'!$I$6)),"x",""))</f>
        <v/>
      </c>
      <c r="T2926" s="525" t="str">
        <f>IF(ISERROR(FIND('112'!$M$9,G2926,1)),"",IF((AND(RIGHT(G2926,2)=RIGHT('112'!$M$9,2),B2926&lt;'112'!$N$8,$M2926='112'!$I$6)),"x",""))</f>
        <v/>
      </c>
      <c r="U2926" s="525" t="str">
        <f>IF(AND(B2926&gt;='IN-NX'!$P$3,B2926&lt;='IN-NX'!$Q$3,'IN-NX'!$D$7=D2926,OR(LEFT(L2926,2)="15",AND(LEFT(M2926,2)&lt;&gt;"15",LEFT(M2926,2)&lt;&gt;"33"))),"x","")</f>
        <v/>
      </c>
      <c r="V2926" s="525" t="str">
        <f>IF(AND(OR(LEFT(TH!L2926,2)="15",LEFT(TH!M2926,2)="15"),'152-CT'!$J$8=TH!F2926),"x","")</f>
        <v/>
      </c>
      <c r="W2926" s="525" t="str">
        <f>IF(AND(OR(LEFT(TH!L2926,2)="15",LEFT(TH!M2926,2)="15"),TK!$E$7=TH!F2926),"x","")</f>
        <v/>
      </c>
      <c r="X2926" s="525" t="str">
        <f>IF(AND('341-CT'!$E$9=H2926,OR(LEFT(L2926,3)=$X$7,LEFT(M2926,3)=$X$7)),"x","")</f>
        <v/>
      </c>
      <c r="Y2926" s="525" t="str">
        <f>IF(OR(TH!L2926=TH!$Y$7,M2926=TH!$Y$7),"x","")</f>
        <v/>
      </c>
      <c r="Z2926" s="525" t="str">
        <f>IF(AND(B2926&lt;=NKC!$N$8,B2926&gt;=NKC!$M$8),"x","")</f>
        <v/>
      </c>
      <c r="AA2926" s="526"/>
      <c r="AB2926" s="527"/>
    </row>
    <row r="2927" spans="1:31" s="576" customFormat="1" ht="15.75" customHeight="1">
      <c r="A2927" s="517" t="str">
        <f>IF(B2927&lt;&gt;"",IF(AND(B2927&gt;=_TM1,B2927&lt;=_TM2,OR(TH!L2927="1111",TH!M2927="1111")),TH!D2927,""),"")</f>
        <v/>
      </c>
      <c r="B2927" s="518">
        <f t="shared" si="251"/>
        <v>4</v>
      </c>
      <c r="C2927" s="571">
        <f t="shared" si="250"/>
        <v>42853</v>
      </c>
      <c r="D2927" s="519" t="s">
        <v>996</v>
      </c>
      <c r="E2927" s="571">
        <v>42853</v>
      </c>
      <c r="F2927" s="572" t="s">
        <v>655</v>
      </c>
      <c r="G2927" s="573" t="s">
        <v>1116</v>
      </c>
      <c r="H2927" s="574" t="s">
        <v>800</v>
      </c>
      <c r="I2927" s="523">
        <v>30</v>
      </c>
      <c r="J2927" s="523">
        <v>50535</v>
      </c>
      <c r="K2927" s="575">
        <f t="shared" si="248"/>
        <v>1516050</v>
      </c>
      <c r="L2927" s="591" t="s">
        <v>160</v>
      </c>
      <c r="M2927" s="591" t="s">
        <v>292</v>
      </c>
      <c r="N2927" s="525" t="str">
        <f>IF(AND('331-CT'!$E$7=TH!H2927,OR(L2927="331",M2927="331")),"331",IF(AND(OR(L2927="131",M2927="131"),H2927='131-CT'!$E$7),"131",""))</f>
        <v/>
      </c>
      <c r="O2927" s="525" t="str">
        <f>IF(AND($B2927&gt;='111'!$N$11,$B2927&lt;='111'!$O$11,OR($L2927=$O$7,$M2927=$O$7)),"x","")</f>
        <v/>
      </c>
      <c r="P2927" s="525" t="str">
        <f>IF(AND($L2927=$O$7,$B2927&lt;'111'!$N$11),"x","")</f>
        <v/>
      </c>
      <c r="Q2927" s="525" t="str">
        <f>IF(AND($M2927=$O$7,$B2927&lt;'111'!$N$11),"x","")</f>
        <v/>
      </c>
      <c r="R2927" s="525" t="str">
        <f>IF(ISERROR(FIND('112'!$M$9,G2927,1)),"",IF((AND(FIND('112'!$M$9,G2927,1)&gt;=1,$B2927&gt;='112'!$N$8,$B2927&lt;='112'!$O$8,OR($L2927='112'!$I$6,$M2927='112'!$I$6))),"x",""))</f>
        <v/>
      </c>
      <c r="S2927" s="525" t="str">
        <f>IF(ISERROR(FIND('112'!$M$9,G2927,1)),"",IF((AND(LEFT(G2927,2)=LEFT('112'!$M$9,2),B2927&lt;'112'!$N$8,$L2927='112'!$I$6)),"x",""))</f>
        <v/>
      </c>
      <c r="T2927" s="525" t="str">
        <f>IF(ISERROR(FIND('112'!$M$9,G2927,1)),"",IF((AND(RIGHT(G2927,2)=RIGHT('112'!$M$9,2),B2927&lt;'112'!$N$8,$M2927='112'!$I$6)),"x",""))</f>
        <v/>
      </c>
      <c r="U2927" s="525" t="str">
        <f>IF(AND(B2927&gt;='IN-NX'!$P$3,B2927&lt;='IN-NX'!$Q$3,'IN-NX'!$D$7=D2927,OR(LEFT(L2927,2)="15",AND(LEFT(M2927,2)&lt;&gt;"15",LEFT(M2927,2)&lt;&gt;"33"))),"x","")</f>
        <v/>
      </c>
      <c r="V2927" s="525" t="str">
        <f>IF(AND(OR(LEFT(TH!L2927,2)="15",LEFT(TH!M2927,2)="15"),'152-CT'!$J$8=TH!F2927),"x","")</f>
        <v/>
      </c>
      <c r="W2927" s="525" t="str">
        <f>IF(AND(OR(LEFT(TH!L2927,2)="15",LEFT(TH!M2927,2)="15"),TK!$E$7=TH!F2927),"x","")</f>
        <v/>
      </c>
      <c r="X2927" s="525" t="str">
        <f>IF(AND('341-CT'!$E$9=H2927,OR(LEFT(L2927,3)=$X$7,LEFT(M2927,3)=$X$7)),"x","")</f>
        <v/>
      </c>
      <c r="Y2927" s="525" t="str">
        <f>IF(OR(TH!L2927=TH!$Y$7,M2927=TH!$Y$7),"x","")</f>
        <v/>
      </c>
      <c r="Z2927" s="525" t="str">
        <f>IF(AND(B2927&lt;=NKC!$N$8,B2927&gt;=NKC!$M$8),"x","")</f>
        <v/>
      </c>
      <c r="AA2927" s="526"/>
      <c r="AB2927" s="527"/>
    </row>
    <row r="2928" spans="1:31" s="576" customFormat="1" ht="15.75" customHeight="1">
      <c r="A2928" s="517" t="str">
        <f>IF(B2928&lt;&gt;"",IF(AND(B2928&gt;=_TM1,B2928&lt;=_TM2,OR(TH!L2928="1111",TH!M2928="1111")),TH!D2928,""),"")</f>
        <v/>
      </c>
      <c r="B2928" s="518">
        <f t="shared" si="251"/>
        <v>4</v>
      </c>
      <c r="C2928" s="571">
        <f t="shared" si="250"/>
        <v>42853</v>
      </c>
      <c r="D2928" s="519" t="s">
        <v>996</v>
      </c>
      <c r="E2928" s="571">
        <v>42853</v>
      </c>
      <c r="F2928" s="577" t="s">
        <v>1057</v>
      </c>
      <c r="G2928" s="573" t="s">
        <v>1116</v>
      </c>
      <c r="H2928" s="574" t="s">
        <v>800</v>
      </c>
      <c r="I2928" s="523">
        <v>30</v>
      </c>
      <c r="J2928" s="523">
        <v>71107</v>
      </c>
      <c r="K2928" s="575">
        <f t="shared" si="248"/>
        <v>2133210</v>
      </c>
      <c r="L2928" s="591" t="s">
        <v>160</v>
      </c>
      <c r="M2928" s="591" t="s">
        <v>292</v>
      </c>
      <c r="N2928" s="525" t="str">
        <f>IF(AND('331-CT'!$E$7=TH!H2928,OR(L2928="331",M2928="331")),"331",IF(AND(OR(L2928="131",M2928="131"),H2928='131-CT'!$E$7),"131",""))</f>
        <v/>
      </c>
      <c r="O2928" s="525" t="str">
        <f>IF(AND($B2928&gt;='111'!$N$11,$B2928&lt;='111'!$O$11,OR($L2928=$O$7,$M2928=$O$7)),"x","")</f>
        <v/>
      </c>
      <c r="P2928" s="525" t="str">
        <f>IF(AND($L2928=$O$7,$B2928&lt;'111'!$N$11),"x","")</f>
        <v/>
      </c>
      <c r="Q2928" s="525" t="str">
        <f>IF(AND($M2928=$O$7,$B2928&lt;'111'!$N$11),"x","")</f>
        <v/>
      </c>
      <c r="R2928" s="525" t="str">
        <f>IF(ISERROR(FIND('112'!$M$9,G2928,1)),"",IF((AND(FIND('112'!$M$9,G2928,1)&gt;=1,$B2928&gt;='112'!$N$8,$B2928&lt;='112'!$O$8,OR($L2928='112'!$I$6,$M2928='112'!$I$6))),"x",""))</f>
        <v/>
      </c>
      <c r="S2928" s="525" t="str">
        <f>IF(ISERROR(FIND('112'!$M$9,G2928,1)),"",IF((AND(LEFT(G2928,2)=LEFT('112'!$M$9,2),B2928&lt;'112'!$N$8,$L2928='112'!$I$6)),"x",""))</f>
        <v/>
      </c>
      <c r="T2928" s="525" t="str">
        <f>IF(ISERROR(FIND('112'!$M$9,G2928,1)),"",IF((AND(RIGHT(G2928,2)=RIGHT('112'!$M$9,2),B2928&lt;'112'!$N$8,$M2928='112'!$I$6)),"x",""))</f>
        <v/>
      </c>
      <c r="U2928" s="525" t="str">
        <f>IF(AND(B2928&gt;='IN-NX'!$P$3,B2928&lt;='IN-NX'!$Q$3,'IN-NX'!$D$7=D2928,OR(LEFT(L2928,2)="15",AND(LEFT(M2928,2)&lt;&gt;"15",LEFT(M2928,2)&lt;&gt;"33"))),"x","")</f>
        <v/>
      </c>
      <c r="V2928" s="525" t="str">
        <f>IF(AND(OR(LEFT(TH!L2928,2)="15",LEFT(TH!M2928,2)="15"),'152-CT'!$J$8=TH!F2928),"x","")</f>
        <v/>
      </c>
      <c r="W2928" s="525" t="str">
        <f>IF(AND(OR(LEFT(TH!L2928,2)="15",LEFT(TH!M2928,2)="15"),TK!$E$7=TH!F2928),"x","")</f>
        <v/>
      </c>
      <c r="X2928" s="525" t="str">
        <f>IF(AND('341-CT'!$E$9=H2928,OR(LEFT(L2928,3)=$X$7,LEFT(M2928,3)=$X$7)),"x","")</f>
        <v/>
      </c>
      <c r="Y2928" s="525" t="str">
        <f>IF(OR(TH!L2928=TH!$Y$7,M2928=TH!$Y$7),"x","")</f>
        <v/>
      </c>
      <c r="Z2928" s="525" t="str">
        <f>IF(AND(B2928&lt;=NKC!$N$8,B2928&gt;=NKC!$M$8),"x","")</f>
        <v/>
      </c>
      <c r="AA2928" s="526"/>
      <c r="AB2928" s="527"/>
      <c r="AC2928" s="527"/>
      <c r="AD2928" s="527"/>
    </row>
    <row r="2929" spans="1:31" s="527" customFormat="1" ht="15.75" customHeight="1">
      <c r="A2929" s="517" t="str">
        <f>IF(B2929&lt;&gt;"",IF(AND(B2929&gt;=_TM1,B2929&lt;=_TM2,OR(TH!L2929="1111",TH!M2929="1111")),TH!D2929,""),"")</f>
        <v/>
      </c>
      <c r="B2929" s="518">
        <f t="shared" si="251"/>
        <v>4</v>
      </c>
      <c r="C2929" s="571">
        <f t="shared" si="250"/>
        <v>42853</v>
      </c>
      <c r="D2929" s="519" t="s">
        <v>996</v>
      </c>
      <c r="E2929" s="571">
        <v>42853</v>
      </c>
      <c r="F2929" s="572" t="s">
        <v>1058</v>
      </c>
      <c r="G2929" s="573" t="s">
        <v>1116</v>
      </c>
      <c r="H2929" s="574" t="s">
        <v>800</v>
      </c>
      <c r="I2929" s="523">
        <v>20</v>
      </c>
      <c r="J2929" s="523">
        <v>43572</v>
      </c>
      <c r="K2929" s="575">
        <f t="shared" si="248"/>
        <v>871440</v>
      </c>
      <c r="L2929" s="591" t="s">
        <v>160</v>
      </c>
      <c r="M2929" s="591" t="s">
        <v>292</v>
      </c>
      <c r="N2929" s="525" t="str">
        <f>IF(AND('331-CT'!$E$7=TH!H2929,OR(L2929="331",M2929="331")),"331",IF(AND(OR(L2929="131",M2929="131"),H2929='131-CT'!$E$7),"131",""))</f>
        <v/>
      </c>
      <c r="O2929" s="525" t="str">
        <f>IF(AND($B2929&gt;='111'!$N$11,$B2929&lt;='111'!$O$11,OR($L2929=$O$7,$M2929=$O$7)),"x","")</f>
        <v/>
      </c>
      <c r="P2929" s="525" t="str">
        <f>IF(AND($L2929=$O$7,$B2929&lt;'111'!$N$11),"x","")</f>
        <v/>
      </c>
      <c r="Q2929" s="525" t="str">
        <f>IF(AND($M2929=$O$7,$B2929&lt;'111'!$N$11),"x","")</f>
        <v/>
      </c>
      <c r="R2929" s="525" t="str">
        <f>IF(ISERROR(FIND('112'!$M$9,G2929,1)),"",IF((AND(FIND('112'!$M$9,G2929,1)&gt;=1,$B2929&gt;='112'!$N$8,$B2929&lt;='112'!$O$8,OR($L2929='112'!$I$6,$M2929='112'!$I$6))),"x",""))</f>
        <v/>
      </c>
      <c r="S2929" s="525" t="str">
        <f>IF(ISERROR(FIND('112'!$M$9,G2929,1)),"",IF((AND(LEFT(G2929,2)=LEFT('112'!$M$9,2),B2929&lt;'112'!$N$8,$L2929='112'!$I$6)),"x",""))</f>
        <v/>
      </c>
      <c r="T2929" s="525" t="str">
        <f>IF(ISERROR(FIND('112'!$M$9,G2929,1)),"",IF((AND(RIGHT(G2929,2)=RIGHT('112'!$M$9,2),B2929&lt;'112'!$N$8,$M2929='112'!$I$6)),"x",""))</f>
        <v/>
      </c>
      <c r="U2929" s="525" t="str">
        <f>IF(AND(B2929&gt;='IN-NX'!$P$3,B2929&lt;='IN-NX'!$Q$3,'IN-NX'!$D$7=D2929,OR(LEFT(L2929,2)="15",AND(LEFT(M2929,2)&lt;&gt;"15",LEFT(M2929,2)&lt;&gt;"33"))),"x","")</f>
        <v/>
      </c>
      <c r="V2929" s="525" t="str">
        <f>IF(AND(OR(LEFT(TH!L2929,2)="15",LEFT(TH!M2929,2)="15"),'152-CT'!$J$8=TH!F2929),"x","")</f>
        <v/>
      </c>
      <c r="W2929" s="525" t="str">
        <f>IF(AND(OR(LEFT(TH!L2929,2)="15",LEFT(TH!M2929,2)="15"),TK!$E$7=TH!F2929),"x","")</f>
        <v/>
      </c>
      <c r="X2929" s="525" t="str">
        <f>IF(AND('341-CT'!$E$9=H2929,OR(LEFT(L2929,3)=$X$7,LEFT(M2929,3)=$X$7)),"x","")</f>
        <v/>
      </c>
      <c r="Y2929" s="525" t="str">
        <f>IF(OR(TH!L2929=TH!$Y$7,M2929=TH!$Y$7),"x","")</f>
        <v/>
      </c>
      <c r="Z2929" s="525" t="str">
        <f>IF(AND(B2929&lt;=NKC!$N$8,B2929&gt;=NKC!$M$8),"x","")</f>
        <v/>
      </c>
      <c r="AA2929" s="526"/>
      <c r="AC2929" s="576"/>
      <c r="AD2929" s="576"/>
      <c r="AE2929" s="576"/>
    </row>
    <row r="2930" spans="1:31" s="527" customFormat="1" ht="15.75" customHeight="1">
      <c r="A2930" s="517" t="str">
        <f>IF(B2930&lt;&gt;"",IF(AND(B2930&gt;=_TM1,B2930&lt;=_TM2,OR(TH!L2930="1111",TH!M2930="1111")),TH!D2930,""),"")</f>
        <v/>
      </c>
      <c r="B2930" s="518">
        <f t="shared" si="251"/>
        <v>4</v>
      </c>
      <c r="C2930" s="571">
        <f t="shared" ref="C2930:C2946" si="252">E2930</f>
        <v>42853</v>
      </c>
      <c r="D2930" s="519" t="s">
        <v>996</v>
      </c>
      <c r="E2930" s="571">
        <v>42853</v>
      </c>
      <c r="F2930" s="572" t="s">
        <v>657</v>
      </c>
      <c r="G2930" s="573" t="s">
        <v>1116</v>
      </c>
      <c r="H2930" s="574" t="s">
        <v>800</v>
      </c>
      <c r="I2930" s="523">
        <v>20</v>
      </c>
      <c r="J2930" s="523">
        <v>52543</v>
      </c>
      <c r="K2930" s="575">
        <f t="shared" si="248"/>
        <v>1050860</v>
      </c>
      <c r="L2930" s="591" t="s">
        <v>160</v>
      </c>
      <c r="M2930" s="591" t="s">
        <v>292</v>
      </c>
      <c r="N2930" s="525" t="str">
        <f>IF(AND('331-CT'!$E$7=TH!H2930,OR(L2930="331",M2930="331")),"331",IF(AND(OR(L2930="131",M2930="131"),H2930='131-CT'!$E$7),"131",""))</f>
        <v/>
      </c>
      <c r="O2930" s="525" t="str">
        <f>IF(AND($B2930&gt;='111'!$N$11,$B2930&lt;='111'!$O$11,OR($L2930=$O$7,$M2930=$O$7)),"x","")</f>
        <v/>
      </c>
      <c r="P2930" s="525" t="str">
        <f>IF(AND($L2930=$O$7,$B2930&lt;'111'!$N$11),"x","")</f>
        <v/>
      </c>
      <c r="Q2930" s="525" t="str">
        <f>IF(AND($M2930=$O$7,$B2930&lt;'111'!$N$11),"x","")</f>
        <v/>
      </c>
      <c r="R2930" s="525" t="str">
        <f>IF(ISERROR(FIND('112'!$M$9,G2930,1)),"",IF((AND(FIND('112'!$M$9,G2930,1)&gt;=1,$B2930&gt;='112'!$N$8,$B2930&lt;='112'!$O$8,OR($L2930='112'!$I$6,$M2930='112'!$I$6))),"x",""))</f>
        <v/>
      </c>
      <c r="S2930" s="525" t="str">
        <f>IF(ISERROR(FIND('112'!$M$9,G2930,1)),"",IF((AND(LEFT(G2930,2)=LEFT('112'!$M$9,2),B2930&lt;'112'!$N$8,$L2930='112'!$I$6)),"x",""))</f>
        <v/>
      </c>
      <c r="T2930" s="525" t="str">
        <f>IF(ISERROR(FIND('112'!$M$9,G2930,1)),"",IF((AND(RIGHT(G2930,2)=RIGHT('112'!$M$9,2),B2930&lt;'112'!$N$8,$M2930='112'!$I$6)),"x",""))</f>
        <v/>
      </c>
      <c r="U2930" s="525" t="str">
        <f>IF(AND(B2930&gt;='IN-NX'!$P$3,B2930&lt;='IN-NX'!$Q$3,'IN-NX'!$D$7=D2930,OR(LEFT(L2930,2)="15",AND(LEFT(M2930,2)&lt;&gt;"15",LEFT(M2930,2)&lt;&gt;"33"))),"x","")</f>
        <v/>
      </c>
      <c r="V2930" s="525" t="str">
        <f>IF(AND(OR(LEFT(TH!L2930,2)="15",LEFT(TH!M2930,2)="15"),'152-CT'!$J$8=TH!F2930),"x","")</f>
        <v/>
      </c>
      <c r="W2930" s="525" t="str">
        <f>IF(AND(OR(LEFT(TH!L2930,2)="15",LEFT(TH!M2930,2)="15"),TK!$E$7=TH!F2930),"x","")</f>
        <v/>
      </c>
      <c r="X2930" s="525" t="str">
        <f>IF(AND('341-CT'!$E$9=H2930,OR(LEFT(L2930,3)=$X$7,LEFT(M2930,3)=$X$7)),"x","")</f>
        <v/>
      </c>
      <c r="Y2930" s="525" t="str">
        <f>IF(OR(TH!L2930=TH!$Y$7,M2930=TH!$Y$7),"x","")</f>
        <v/>
      </c>
      <c r="Z2930" s="525" t="str">
        <f>IF(AND(B2930&lt;=NKC!$N$8,B2930&gt;=NKC!$M$8),"x","")</f>
        <v/>
      </c>
      <c r="AA2930" s="526"/>
      <c r="AC2930" s="576"/>
      <c r="AE2930" s="576"/>
    </row>
    <row r="2931" spans="1:31" s="527" customFormat="1" ht="15.75" customHeight="1">
      <c r="A2931" s="517" t="str">
        <f>IF(B2931&lt;&gt;"",IF(AND(B2931&gt;=_TM1,B2931&lt;=_TM2,OR(TH!L2931="1111",TH!M2931="1111")),TH!D2931,""),"")</f>
        <v/>
      </c>
      <c r="B2931" s="518">
        <f t="shared" si="251"/>
        <v>4</v>
      </c>
      <c r="C2931" s="571">
        <f t="shared" si="252"/>
        <v>42853</v>
      </c>
      <c r="D2931" s="519" t="s">
        <v>996</v>
      </c>
      <c r="E2931" s="571">
        <v>42853</v>
      </c>
      <c r="F2931" s="572" t="s">
        <v>761</v>
      </c>
      <c r="G2931" s="573" t="s">
        <v>1116</v>
      </c>
      <c r="H2931" s="574" t="s">
        <v>800</v>
      </c>
      <c r="I2931" s="523">
        <v>20</v>
      </c>
      <c r="J2931" s="523">
        <v>39020</v>
      </c>
      <c r="K2931" s="575">
        <f t="shared" si="248"/>
        <v>780400</v>
      </c>
      <c r="L2931" s="591" t="s">
        <v>160</v>
      </c>
      <c r="M2931" s="591" t="s">
        <v>292</v>
      </c>
      <c r="N2931" s="525" t="str">
        <f>IF(AND('331-CT'!$E$7=TH!H2931,OR(L2931="331",M2931="331")),"331",IF(AND(OR(L2931="131",M2931="131"),H2931='131-CT'!$E$7),"131",""))</f>
        <v/>
      </c>
      <c r="O2931" s="525" t="str">
        <f>IF(AND($B2931&gt;='111'!$N$11,$B2931&lt;='111'!$O$11,OR($L2931=$O$7,$M2931=$O$7)),"x","")</f>
        <v/>
      </c>
      <c r="P2931" s="525" t="str">
        <f>IF(AND($L2931=$O$7,$B2931&lt;'111'!$N$11),"x","")</f>
        <v/>
      </c>
      <c r="Q2931" s="525" t="str">
        <f>IF(AND($M2931=$O$7,$B2931&lt;'111'!$N$11),"x","")</f>
        <v/>
      </c>
      <c r="R2931" s="525" t="str">
        <f>IF(ISERROR(FIND('112'!$M$9,G2931,1)),"",IF((AND(FIND('112'!$M$9,G2931,1)&gt;=1,$B2931&gt;='112'!$N$8,$B2931&lt;='112'!$O$8,OR($L2931='112'!$I$6,$M2931='112'!$I$6))),"x",""))</f>
        <v/>
      </c>
      <c r="S2931" s="525" t="str">
        <f>IF(ISERROR(FIND('112'!$M$9,G2931,1)),"",IF((AND(LEFT(G2931,2)=LEFT('112'!$M$9,2),B2931&lt;'112'!$N$8,$L2931='112'!$I$6)),"x",""))</f>
        <v/>
      </c>
      <c r="T2931" s="525" t="str">
        <f>IF(ISERROR(FIND('112'!$M$9,G2931,1)),"",IF((AND(RIGHT(G2931,2)=RIGHT('112'!$M$9,2),B2931&lt;'112'!$N$8,$M2931='112'!$I$6)),"x",""))</f>
        <v/>
      </c>
      <c r="U2931" s="525" t="str">
        <f>IF(AND(B2931&gt;='IN-NX'!$P$3,B2931&lt;='IN-NX'!$Q$3,'IN-NX'!$D$7=D2931,OR(LEFT(L2931,2)="15",AND(LEFT(M2931,2)&lt;&gt;"15",LEFT(M2931,2)&lt;&gt;"33"))),"x","")</f>
        <v/>
      </c>
      <c r="V2931" s="525" t="str">
        <f>IF(AND(OR(LEFT(TH!L2931,2)="15",LEFT(TH!M2931,2)="15"),'152-CT'!$J$8=TH!F2931),"x","")</f>
        <v/>
      </c>
      <c r="W2931" s="525" t="str">
        <f>IF(AND(OR(LEFT(TH!L2931,2)="15",LEFT(TH!M2931,2)="15"),TK!$E$7=TH!F2931),"x","")</f>
        <v/>
      </c>
      <c r="X2931" s="525" t="str">
        <f>IF(AND('341-CT'!$E$9=H2931,OR(LEFT(L2931,3)=$X$7,LEFT(M2931,3)=$X$7)),"x","")</f>
        <v/>
      </c>
      <c r="Y2931" s="525" t="str">
        <f>IF(OR(TH!L2931=TH!$Y$7,M2931=TH!$Y$7),"x","")</f>
        <v/>
      </c>
      <c r="Z2931" s="525" t="str">
        <f>IF(AND(B2931&lt;=NKC!$N$8,B2931&gt;=NKC!$M$8),"x","")</f>
        <v/>
      </c>
      <c r="AA2931" s="526"/>
      <c r="AC2931" s="576"/>
      <c r="AD2931" s="576"/>
      <c r="AE2931" s="576"/>
    </row>
    <row r="2932" spans="1:31" s="527" customFormat="1" ht="15.75" customHeight="1">
      <c r="A2932" s="517" t="str">
        <f>IF(B2932&lt;&gt;"",IF(AND(B2932&gt;=_TM1,B2932&lt;=_TM2,OR(TH!L2932="1111",TH!M2932="1111")),TH!D2932,""),"")</f>
        <v/>
      </c>
      <c r="B2932" s="518">
        <f t="shared" si="251"/>
        <v>4</v>
      </c>
      <c r="C2932" s="571">
        <f t="shared" si="252"/>
        <v>42853</v>
      </c>
      <c r="D2932" s="519" t="s">
        <v>996</v>
      </c>
      <c r="E2932" s="571">
        <v>42853</v>
      </c>
      <c r="F2932" s="572" t="s">
        <v>755</v>
      </c>
      <c r="G2932" s="573" t="s">
        <v>1116</v>
      </c>
      <c r="H2932" s="574" t="s">
        <v>800</v>
      </c>
      <c r="I2932" s="523">
        <v>20</v>
      </c>
      <c r="J2932" s="523">
        <v>73425</v>
      </c>
      <c r="K2932" s="575">
        <f t="shared" si="248"/>
        <v>1468500</v>
      </c>
      <c r="L2932" s="591" t="s">
        <v>160</v>
      </c>
      <c r="M2932" s="591" t="s">
        <v>292</v>
      </c>
      <c r="N2932" s="525" t="str">
        <f>IF(AND('331-CT'!$E$7=TH!H2932,OR(L2932="331",M2932="331")),"331",IF(AND(OR(L2932="131",M2932="131"),H2932='131-CT'!$E$7),"131",""))</f>
        <v/>
      </c>
      <c r="O2932" s="525" t="str">
        <f>IF(AND($B2932&gt;='111'!$N$11,$B2932&lt;='111'!$O$11,OR($L2932=$O$7,$M2932=$O$7)),"x","")</f>
        <v/>
      </c>
      <c r="P2932" s="525" t="str">
        <f>IF(AND($L2932=$O$7,$B2932&lt;'111'!$N$11),"x","")</f>
        <v/>
      </c>
      <c r="Q2932" s="525" t="str">
        <f>IF(AND($M2932=$O$7,$B2932&lt;'111'!$N$11),"x","")</f>
        <v/>
      </c>
      <c r="R2932" s="525" t="str">
        <f>IF(ISERROR(FIND('112'!$M$9,G2932,1)),"",IF((AND(FIND('112'!$M$9,G2932,1)&gt;=1,$B2932&gt;='112'!$N$8,$B2932&lt;='112'!$O$8,OR($L2932='112'!$I$6,$M2932='112'!$I$6))),"x",""))</f>
        <v/>
      </c>
      <c r="S2932" s="525" t="str">
        <f>IF(ISERROR(FIND('112'!$M$9,G2932,1)),"",IF((AND(LEFT(G2932,2)=LEFT('112'!$M$9,2),B2932&lt;'112'!$N$8,$L2932='112'!$I$6)),"x",""))</f>
        <v/>
      </c>
      <c r="T2932" s="525" t="str">
        <f>IF(ISERROR(FIND('112'!$M$9,G2932,1)),"",IF((AND(RIGHT(G2932,2)=RIGHT('112'!$M$9,2),B2932&lt;'112'!$N$8,$M2932='112'!$I$6)),"x",""))</f>
        <v/>
      </c>
      <c r="U2932" s="525" t="str">
        <f>IF(AND(B2932&gt;='IN-NX'!$P$3,B2932&lt;='IN-NX'!$Q$3,'IN-NX'!$D$7=D2932,OR(LEFT(L2932,2)="15",AND(LEFT(M2932,2)&lt;&gt;"15",LEFT(M2932,2)&lt;&gt;"33"))),"x","")</f>
        <v/>
      </c>
      <c r="V2932" s="525" t="str">
        <f>IF(AND(OR(LEFT(TH!L2932,2)="15",LEFT(TH!M2932,2)="15"),'152-CT'!$J$8=TH!F2932),"x","")</f>
        <v/>
      </c>
      <c r="W2932" s="525" t="str">
        <f>IF(AND(OR(LEFT(TH!L2932,2)="15",LEFT(TH!M2932,2)="15"),TK!$E$7=TH!F2932),"x","")</f>
        <v/>
      </c>
      <c r="X2932" s="525" t="str">
        <f>IF(AND('341-CT'!$E$9=H2932,OR(LEFT(L2932,3)=$X$7,LEFT(M2932,3)=$X$7)),"x","")</f>
        <v/>
      </c>
      <c r="Y2932" s="525" t="str">
        <f>IF(OR(TH!L2932=TH!$Y$7,M2932=TH!$Y$7),"x","")</f>
        <v/>
      </c>
      <c r="Z2932" s="525" t="str">
        <f>IF(AND(B2932&lt;=NKC!$N$8,B2932&gt;=NKC!$M$8),"x","")</f>
        <v/>
      </c>
      <c r="AA2932" s="526"/>
      <c r="AC2932" s="576"/>
      <c r="AD2932" s="576"/>
      <c r="AE2932" s="576"/>
    </row>
    <row r="2933" spans="1:31" s="527" customFormat="1" ht="15.75" customHeight="1">
      <c r="A2933" s="517" t="str">
        <f>IF(B2933&lt;&gt;"",IF(AND(B2933&gt;=_TM1,B2933&lt;=_TM2,OR(TH!L2933="1111",TH!M2933="1111")),TH!D2933,""),"")</f>
        <v/>
      </c>
      <c r="B2933" s="518">
        <f t="shared" si="251"/>
        <v>4</v>
      </c>
      <c r="C2933" s="571">
        <f t="shared" si="252"/>
        <v>42853</v>
      </c>
      <c r="D2933" s="519" t="s">
        <v>996</v>
      </c>
      <c r="E2933" s="571">
        <v>42853</v>
      </c>
      <c r="F2933" s="572" t="s">
        <v>1059</v>
      </c>
      <c r="G2933" s="573" t="s">
        <v>1116</v>
      </c>
      <c r="H2933" s="574" t="s">
        <v>800</v>
      </c>
      <c r="I2933" s="523">
        <v>2</v>
      </c>
      <c r="J2933" s="523">
        <v>36740</v>
      </c>
      <c r="K2933" s="575">
        <f t="shared" si="248"/>
        <v>73480</v>
      </c>
      <c r="L2933" s="591" t="s">
        <v>160</v>
      </c>
      <c r="M2933" s="591" t="s">
        <v>292</v>
      </c>
      <c r="N2933" s="525" t="str">
        <f>IF(AND('331-CT'!$E$7=TH!H2933,OR(L2933="331",M2933="331")),"331",IF(AND(OR(L2933="131",M2933="131"),H2933='131-CT'!$E$7),"131",""))</f>
        <v/>
      </c>
      <c r="O2933" s="525" t="str">
        <f>IF(AND($B2933&gt;='111'!$N$11,$B2933&lt;='111'!$O$11,OR($L2933=$O$7,$M2933=$O$7)),"x","")</f>
        <v/>
      </c>
      <c r="P2933" s="525" t="str">
        <f>IF(AND($L2933=$O$7,$B2933&lt;'111'!$N$11),"x","")</f>
        <v/>
      </c>
      <c r="Q2933" s="525" t="str">
        <f>IF(AND($M2933=$O$7,$B2933&lt;'111'!$N$11),"x","")</f>
        <v/>
      </c>
      <c r="R2933" s="525" t="str">
        <f>IF(ISERROR(FIND('112'!$M$9,G2933,1)),"",IF((AND(FIND('112'!$M$9,G2933,1)&gt;=1,$B2933&gt;='112'!$N$8,$B2933&lt;='112'!$O$8,OR($L2933='112'!$I$6,$M2933='112'!$I$6))),"x",""))</f>
        <v/>
      </c>
      <c r="S2933" s="525" t="str">
        <f>IF(ISERROR(FIND('112'!$M$9,G2933,1)),"",IF((AND(LEFT(G2933,2)=LEFT('112'!$M$9,2),B2933&lt;'112'!$N$8,$L2933='112'!$I$6)),"x",""))</f>
        <v/>
      </c>
      <c r="T2933" s="525" t="str">
        <f>IF(ISERROR(FIND('112'!$M$9,G2933,1)),"",IF((AND(RIGHT(G2933,2)=RIGHT('112'!$M$9,2),B2933&lt;'112'!$N$8,$M2933='112'!$I$6)),"x",""))</f>
        <v/>
      </c>
      <c r="U2933" s="525" t="str">
        <f>IF(AND(B2933&gt;='IN-NX'!$P$3,B2933&lt;='IN-NX'!$Q$3,'IN-NX'!$D$7=D2933,OR(LEFT(L2933,2)="15",AND(LEFT(M2933,2)&lt;&gt;"15",LEFT(M2933,2)&lt;&gt;"33"))),"x","")</f>
        <v/>
      </c>
      <c r="V2933" s="525" t="str">
        <f>IF(AND(OR(LEFT(TH!L2933,2)="15",LEFT(TH!M2933,2)="15"),'152-CT'!$J$8=TH!F2933),"x","")</f>
        <v/>
      </c>
      <c r="W2933" s="525" t="str">
        <f>IF(AND(OR(LEFT(TH!L2933,2)="15",LEFT(TH!M2933,2)="15"),TK!$E$7=TH!F2933),"x","")</f>
        <v/>
      </c>
      <c r="X2933" s="525" t="str">
        <f>IF(AND('341-CT'!$E$9=H2933,OR(LEFT(L2933,3)=$X$7,LEFT(M2933,3)=$X$7)),"x","")</f>
        <v/>
      </c>
      <c r="Y2933" s="525" t="str">
        <f>IF(OR(TH!L2933=TH!$Y$7,M2933=TH!$Y$7),"x","")</f>
        <v/>
      </c>
      <c r="Z2933" s="525" t="str">
        <f>IF(AND(B2933&lt;=NKC!$N$8,B2933&gt;=NKC!$M$8),"x","")</f>
        <v/>
      </c>
      <c r="AA2933" s="526"/>
      <c r="AC2933" s="576"/>
      <c r="AD2933" s="576"/>
      <c r="AE2933" s="576"/>
    </row>
    <row r="2934" spans="1:31" s="527" customFormat="1" ht="15.75" customHeight="1">
      <c r="A2934" s="517" t="str">
        <f>IF(B2934&lt;&gt;"",IF(AND(B2934&gt;=_TM1,B2934&lt;=_TM2,OR(TH!L2934="1111",TH!M2934="1111")),TH!D2934,""),"")</f>
        <v/>
      </c>
      <c r="B2934" s="518">
        <f t="shared" si="251"/>
        <v>4</v>
      </c>
      <c r="C2934" s="571">
        <f t="shared" si="252"/>
        <v>42853</v>
      </c>
      <c r="D2934" s="519" t="s">
        <v>996</v>
      </c>
      <c r="E2934" s="571">
        <v>42853</v>
      </c>
      <c r="F2934" s="572" t="s">
        <v>1060</v>
      </c>
      <c r="G2934" s="573" t="s">
        <v>1116</v>
      </c>
      <c r="H2934" s="574" t="s">
        <v>800</v>
      </c>
      <c r="I2934" s="523">
        <v>2</v>
      </c>
      <c r="J2934" s="523">
        <v>41221</v>
      </c>
      <c r="K2934" s="575">
        <f t="shared" si="248"/>
        <v>82442</v>
      </c>
      <c r="L2934" s="591" t="s">
        <v>160</v>
      </c>
      <c r="M2934" s="591" t="s">
        <v>292</v>
      </c>
      <c r="N2934" s="525" t="str">
        <f>IF(AND('331-CT'!$E$7=TH!H2934,OR(L2934="331",M2934="331")),"331",IF(AND(OR(L2934="131",M2934="131"),H2934='131-CT'!$E$7),"131",""))</f>
        <v/>
      </c>
      <c r="O2934" s="525" t="str">
        <f>IF(AND($B2934&gt;='111'!$N$11,$B2934&lt;='111'!$O$11,OR($L2934=$O$7,$M2934=$O$7)),"x","")</f>
        <v/>
      </c>
      <c r="P2934" s="525" t="str">
        <f>IF(AND($L2934=$O$7,$B2934&lt;'111'!$N$11),"x","")</f>
        <v/>
      </c>
      <c r="Q2934" s="525" t="str">
        <f>IF(AND($M2934=$O$7,$B2934&lt;'111'!$N$11),"x","")</f>
        <v/>
      </c>
      <c r="R2934" s="525" t="str">
        <f>IF(ISERROR(FIND('112'!$M$9,G2934,1)),"",IF((AND(FIND('112'!$M$9,G2934,1)&gt;=1,$B2934&gt;='112'!$N$8,$B2934&lt;='112'!$O$8,OR($L2934='112'!$I$6,$M2934='112'!$I$6))),"x",""))</f>
        <v/>
      </c>
      <c r="S2934" s="525" t="str">
        <f>IF(ISERROR(FIND('112'!$M$9,G2934,1)),"",IF((AND(LEFT(G2934,2)=LEFT('112'!$M$9,2),B2934&lt;'112'!$N$8,$L2934='112'!$I$6)),"x",""))</f>
        <v/>
      </c>
      <c r="T2934" s="525" t="str">
        <f>IF(ISERROR(FIND('112'!$M$9,G2934,1)),"",IF((AND(RIGHT(G2934,2)=RIGHT('112'!$M$9,2),B2934&lt;'112'!$N$8,$M2934='112'!$I$6)),"x",""))</f>
        <v/>
      </c>
      <c r="U2934" s="525" t="str">
        <f>IF(AND(B2934&gt;='IN-NX'!$P$3,B2934&lt;='IN-NX'!$Q$3,'IN-NX'!$D$7=D2934,OR(LEFT(L2934,2)="15",AND(LEFT(M2934,2)&lt;&gt;"15",LEFT(M2934,2)&lt;&gt;"33"))),"x","")</f>
        <v/>
      </c>
      <c r="V2934" s="525" t="str">
        <f>IF(AND(OR(LEFT(TH!L2934,2)="15",LEFT(TH!M2934,2)="15"),'152-CT'!$J$8=TH!F2934),"x","")</f>
        <v/>
      </c>
      <c r="W2934" s="525" t="str">
        <f>IF(AND(OR(LEFT(TH!L2934,2)="15",LEFT(TH!M2934,2)="15"),TK!$E$7=TH!F2934),"x","")</f>
        <v/>
      </c>
      <c r="X2934" s="525" t="str">
        <f>IF(AND('341-CT'!$E$9=H2934,OR(LEFT(L2934,3)=$X$7,LEFT(M2934,3)=$X$7)),"x","")</f>
        <v/>
      </c>
      <c r="Y2934" s="525" t="str">
        <f>IF(OR(TH!L2934=TH!$Y$7,M2934=TH!$Y$7),"x","")</f>
        <v/>
      </c>
      <c r="Z2934" s="525" t="str">
        <f>IF(AND(B2934&lt;=NKC!$N$8,B2934&gt;=NKC!$M$8),"x","")</f>
        <v/>
      </c>
      <c r="AA2934" s="526"/>
      <c r="AC2934" s="576"/>
      <c r="AD2934" s="576"/>
      <c r="AE2934" s="576"/>
    </row>
    <row r="2935" spans="1:31" s="527" customFormat="1" ht="15.75" customHeight="1">
      <c r="A2935" s="517" t="str">
        <f>IF(B2935&lt;&gt;"",IF(AND(B2935&gt;=_TM1,B2935&lt;=_TM2,OR(TH!L2935="1111",TH!M2935="1111")),TH!D2935,""),"")</f>
        <v/>
      </c>
      <c r="B2935" s="518">
        <f t="shared" si="251"/>
        <v>4</v>
      </c>
      <c r="C2935" s="571">
        <f t="shared" si="252"/>
        <v>42853</v>
      </c>
      <c r="D2935" s="519" t="s">
        <v>996</v>
      </c>
      <c r="E2935" s="571">
        <v>42853</v>
      </c>
      <c r="F2935" s="572" t="s">
        <v>1061</v>
      </c>
      <c r="G2935" s="573" t="s">
        <v>1116</v>
      </c>
      <c r="H2935" s="574" t="s">
        <v>800</v>
      </c>
      <c r="I2935" s="523">
        <v>12</v>
      </c>
      <c r="J2935" s="523">
        <v>32016</v>
      </c>
      <c r="K2935" s="575">
        <f t="shared" si="248"/>
        <v>384192</v>
      </c>
      <c r="L2935" s="591" t="s">
        <v>160</v>
      </c>
      <c r="M2935" s="591" t="s">
        <v>292</v>
      </c>
      <c r="N2935" s="525" t="str">
        <f>IF(AND('331-CT'!$E$7=TH!H2935,OR(L2935="331",M2935="331")),"331",IF(AND(OR(L2935="131",M2935="131"),H2935='131-CT'!$E$7),"131",""))</f>
        <v/>
      </c>
      <c r="O2935" s="525" t="str">
        <f>IF(AND($B2935&gt;='111'!$N$11,$B2935&lt;='111'!$O$11,OR($L2935=$O$7,$M2935=$O$7)),"x","")</f>
        <v/>
      </c>
      <c r="P2935" s="525" t="str">
        <f>IF(AND($L2935=$O$7,$B2935&lt;'111'!$N$11),"x","")</f>
        <v/>
      </c>
      <c r="Q2935" s="525" t="str">
        <f>IF(AND($M2935=$O$7,$B2935&lt;'111'!$N$11),"x","")</f>
        <v/>
      </c>
      <c r="R2935" s="525" t="str">
        <f>IF(ISERROR(FIND('112'!$M$9,G2935,1)),"",IF((AND(FIND('112'!$M$9,G2935,1)&gt;=1,$B2935&gt;='112'!$N$8,$B2935&lt;='112'!$O$8,OR($L2935='112'!$I$6,$M2935='112'!$I$6))),"x",""))</f>
        <v/>
      </c>
      <c r="S2935" s="525" t="str">
        <f>IF(ISERROR(FIND('112'!$M$9,G2935,1)),"",IF((AND(LEFT(G2935,2)=LEFT('112'!$M$9,2),B2935&lt;'112'!$N$8,$L2935='112'!$I$6)),"x",""))</f>
        <v/>
      </c>
      <c r="T2935" s="525" t="str">
        <f>IF(ISERROR(FIND('112'!$M$9,G2935,1)),"",IF((AND(RIGHT(G2935,2)=RIGHT('112'!$M$9,2),B2935&lt;'112'!$N$8,$M2935='112'!$I$6)),"x",""))</f>
        <v/>
      </c>
      <c r="U2935" s="525" t="str">
        <f>IF(AND(B2935&gt;='IN-NX'!$P$3,B2935&lt;='IN-NX'!$Q$3,'IN-NX'!$D$7=D2935,OR(LEFT(L2935,2)="15",AND(LEFT(M2935,2)&lt;&gt;"15",LEFT(M2935,2)&lt;&gt;"33"))),"x","")</f>
        <v/>
      </c>
      <c r="V2935" s="525" t="str">
        <f>IF(AND(OR(LEFT(TH!L2935,2)="15",LEFT(TH!M2935,2)="15"),'152-CT'!$J$8=TH!F2935),"x","")</f>
        <v/>
      </c>
      <c r="W2935" s="525" t="str">
        <f>IF(AND(OR(LEFT(TH!L2935,2)="15",LEFT(TH!M2935,2)="15"),TK!$E$7=TH!F2935),"x","")</f>
        <v/>
      </c>
      <c r="X2935" s="525" t="str">
        <f>IF(AND('341-CT'!$E$9=H2935,OR(LEFT(L2935,3)=$X$7,LEFT(M2935,3)=$X$7)),"x","")</f>
        <v/>
      </c>
      <c r="Y2935" s="525" t="str">
        <f>IF(OR(TH!L2935=TH!$Y$7,M2935=TH!$Y$7),"x","")</f>
        <v/>
      </c>
      <c r="Z2935" s="525" t="str">
        <f>IF(AND(B2935&lt;=NKC!$N$8,B2935&gt;=NKC!$M$8),"x","")</f>
        <v/>
      </c>
      <c r="AA2935" s="526"/>
      <c r="AC2935" s="576"/>
      <c r="AD2935" s="576"/>
      <c r="AE2935" s="576"/>
    </row>
    <row r="2936" spans="1:31" s="527" customFormat="1" ht="15.75" customHeight="1">
      <c r="A2936" s="517" t="str">
        <f>IF(B2936&lt;&gt;"",IF(AND(B2936&gt;=_TM1,B2936&lt;=_TM2,OR(TH!L2936="1111",TH!M2936="1111")),TH!D2936,""),"")</f>
        <v/>
      </c>
      <c r="B2936" s="518">
        <f t="shared" si="251"/>
        <v>4</v>
      </c>
      <c r="C2936" s="571">
        <f t="shared" si="252"/>
        <v>42853</v>
      </c>
      <c r="D2936" s="519" t="s">
        <v>996</v>
      </c>
      <c r="E2936" s="571">
        <v>42853</v>
      </c>
      <c r="F2936" s="577" t="s">
        <v>1062</v>
      </c>
      <c r="G2936" s="573" t="s">
        <v>1116</v>
      </c>
      <c r="H2936" s="574" t="s">
        <v>800</v>
      </c>
      <c r="I2936" s="523">
        <v>7</v>
      </c>
      <c r="J2936" s="523">
        <v>77626</v>
      </c>
      <c r="K2936" s="575">
        <f t="shared" si="248"/>
        <v>543382</v>
      </c>
      <c r="L2936" s="591" t="s">
        <v>160</v>
      </c>
      <c r="M2936" s="591" t="s">
        <v>292</v>
      </c>
      <c r="N2936" s="525" t="str">
        <f>IF(AND('331-CT'!$E$7=TH!H2936,OR(L2936="331",M2936="331")),"331",IF(AND(OR(L2936="131",M2936="131"),H2936='131-CT'!$E$7),"131",""))</f>
        <v/>
      </c>
      <c r="O2936" s="525" t="str">
        <f>IF(AND($B2936&gt;='111'!$N$11,$B2936&lt;='111'!$O$11,OR($L2936=$O$7,$M2936=$O$7)),"x","")</f>
        <v/>
      </c>
      <c r="P2936" s="525" t="str">
        <f>IF(AND($L2936=$O$7,$B2936&lt;'111'!$N$11),"x","")</f>
        <v/>
      </c>
      <c r="Q2936" s="525" t="str">
        <f>IF(AND($M2936=$O$7,$B2936&lt;'111'!$N$11),"x","")</f>
        <v/>
      </c>
      <c r="R2936" s="525" t="str">
        <f>IF(ISERROR(FIND('112'!$M$9,G2936,1)),"",IF((AND(FIND('112'!$M$9,G2936,1)&gt;=1,$B2936&gt;='112'!$N$8,$B2936&lt;='112'!$O$8,OR($L2936='112'!$I$6,$M2936='112'!$I$6))),"x",""))</f>
        <v/>
      </c>
      <c r="S2936" s="525" t="str">
        <f>IF(ISERROR(FIND('112'!$M$9,G2936,1)),"",IF((AND(LEFT(G2936,2)=LEFT('112'!$M$9,2),B2936&lt;'112'!$N$8,$L2936='112'!$I$6)),"x",""))</f>
        <v/>
      </c>
      <c r="T2936" s="525" t="str">
        <f>IF(ISERROR(FIND('112'!$M$9,G2936,1)),"",IF((AND(RIGHT(G2936,2)=RIGHT('112'!$M$9,2),B2936&lt;'112'!$N$8,$M2936='112'!$I$6)),"x",""))</f>
        <v/>
      </c>
      <c r="U2936" s="525" t="str">
        <f>IF(AND(B2936&gt;='IN-NX'!$P$3,B2936&lt;='IN-NX'!$Q$3,'IN-NX'!$D$7=D2936,OR(LEFT(L2936,2)="15",AND(LEFT(M2936,2)&lt;&gt;"15",LEFT(M2936,2)&lt;&gt;"33"))),"x","")</f>
        <v/>
      </c>
      <c r="V2936" s="525" t="str">
        <f>IF(AND(OR(LEFT(TH!L2936,2)="15",LEFT(TH!M2936,2)="15"),'152-CT'!$J$8=TH!F2936),"x","")</f>
        <v/>
      </c>
      <c r="W2936" s="525" t="str">
        <f>IF(AND(OR(LEFT(TH!L2936,2)="15",LEFT(TH!M2936,2)="15"),TK!$E$7=TH!F2936),"x","")</f>
        <v/>
      </c>
      <c r="X2936" s="525" t="str">
        <f>IF(AND('341-CT'!$E$9=H2936,OR(LEFT(L2936,3)=$X$7,LEFT(M2936,3)=$X$7)),"x","")</f>
        <v/>
      </c>
      <c r="Y2936" s="525" t="str">
        <f>IF(OR(TH!L2936=TH!$Y$7,M2936=TH!$Y$7),"x","")</f>
        <v/>
      </c>
      <c r="Z2936" s="525" t="str">
        <f>IF(AND(B2936&lt;=NKC!$N$8,B2936&gt;=NKC!$M$8),"x","")</f>
        <v/>
      </c>
      <c r="AA2936" s="526"/>
      <c r="AC2936" s="576"/>
      <c r="AD2936" s="576"/>
      <c r="AE2936" s="576"/>
    </row>
    <row r="2937" spans="1:31" s="527" customFormat="1" ht="15.75" customHeight="1">
      <c r="A2937" s="517" t="str">
        <f>IF(B2937&lt;&gt;"",IF(AND(B2937&gt;=_TM1,B2937&lt;=_TM2,OR(TH!L2937="1111",TH!M2937="1111")),TH!D2937,""),"")</f>
        <v/>
      </c>
      <c r="B2937" s="518">
        <f t="shared" si="251"/>
        <v>4</v>
      </c>
      <c r="C2937" s="571">
        <f t="shared" si="252"/>
        <v>42853</v>
      </c>
      <c r="D2937" s="519" t="s">
        <v>996</v>
      </c>
      <c r="E2937" s="571">
        <v>42853</v>
      </c>
      <c r="F2937" s="572" t="s">
        <v>1063</v>
      </c>
      <c r="G2937" s="573" t="s">
        <v>1116</v>
      </c>
      <c r="H2937" s="574" t="s">
        <v>800</v>
      </c>
      <c r="I2937" s="523">
        <v>7</v>
      </c>
      <c r="J2937" s="523">
        <v>79803</v>
      </c>
      <c r="K2937" s="575">
        <f t="shared" si="248"/>
        <v>558621</v>
      </c>
      <c r="L2937" s="591" t="s">
        <v>160</v>
      </c>
      <c r="M2937" s="591" t="s">
        <v>292</v>
      </c>
      <c r="N2937" s="525" t="str">
        <f>IF(AND('331-CT'!$E$7=TH!H2937,OR(L2937="331",M2937="331")),"331",IF(AND(OR(L2937="131",M2937="131"),H2937='131-CT'!$E$7),"131",""))</f>
        <v/>
      </c>
      <c r="O2937" s="525" t="str">
        <f>IF(AND($B2937&gt;='111'!$N$11,$B2937&lt;='111'!$O$11,OR($L2937=$O$7,$M2937=$O$7)),"x","")</f>
        <v/>
      </c>
      <c r="P2937" s="525" t="str">
        <f>IF(AND($L2937=$O$7,$B2937&lt;'111'!$N$11),"x","")</f>
        <v/>
      </c>
      <c r="Q2937" s="525" t="str">
        <f>IF(AND($M2937=$O$7,$B2937&lt;'111'!$N$11),"x","")</f>
        <v/>
      </c>
      <c r="R2937" s="525" t="str">
        <f>IF(ISERROR(FIND('112'!$M$9,G2937,1)),"",IF((AND(FIND('112'!$M$9,G2937,1)&gt;=1,$B2937&gt;='112'!$N$8,$B2937&lt;='112'!$O$8,OR($L2937='112'!$I$6,$M2937='112'!$I$6))),"x",""))</f>
        <v/>
      </c>
      <c r="S2937" s="525" t="str">
        <f>IF(ISERROR(FIND('112'!$M$9,G2937,1)),"",IF((AND(LEFT(G2937,2)=LEFT('112'!$M$9,2),B2937&lt;'112'!$N$8,$L2937='112'!$I$6)),"x",""))</f>
        <v/>
      </c>
      <c r="T2937" s="525" t="str">
        <f>IF(ISERROR(FIND('112'!$M$9,G2937,1)),"",IF((AND(RIGHT(G2937,2)=RIGHT('112'!$M$9,2),B2937&lt;'112'!$N$8,$M2937='112'!$I$6)),"x",""))</f>
        <v/>
      </c>
      <c r="U2937" s="525" t="str">
        <f>IF(AND(B2937&gt;='IN-NX'!$P$3,B2937&lt;='IN-NX'!$Q$3,'IN-NX'!$D$7=D2937,OR(LEFT(L2937,2)="15",AND(LEFT(M2937,2)&lt;&gt;"15",LEFT(M2937,2)&lt;&gt;"33"))),"x","")</f>
        <v/>
      </c>
      <c r="V2937" s="525" t="str">
        <f>IF(AND(OR(LEFT(TH!L2937,2)="15",LEFT(TH!M2937,2)="15"),'152-CT'!$J$8=TH!F2937),"x","")</f>
        <v/>
      </c>
      <c r="W2937" s="525" t="str">
        <f>IF(AND(OR(LEFT(TH!L2937,2)="15",LEFT(TH!M2937,2)="15"),TK!$E$7=TH!F2937),"x","")</f>
        <v/>
      </c>
      <c r="X2937" s="525" t="str">
        <f>IF(AND('341-CT'!$E$9=H2937,OR(LEFT(L2937,3)=$X$7,LEFT(M2937,3)=$X$7)),"x","")</f>
        <v/>
      </c>
      <c r="Y2937" s="525" t="str">
        <f>IF(OR(TH!L2937=TH!$Y$7,M2937=TH!$Y$7),"x","")</f>
        <v/>
      </c>
      <c r="Z2937" s="525" t="str">
        <f>IF(AND(B2937&lt;=NKC!$N$8,B2937&gt;=NKC!$M$8),"x","")</f>
        <v/>
      </c>
      <c r="AA2937" s="526"/>
      <c r="AE2937" s="576"/>
    </row>
    <row r="2938" spans="1:31" s="527" customFormat="1" ht="15.75" customHeight="1">
      <c r="A2938" s="517" t="str">
        <f>IF(B2938&lt;&gt;"",IF(AND(B2938&gt;=_TM1,B2938&lt;=_TM2,OR(TH!L2938="1111",TH!M2938="1111")),TH!D2938,""),"")</f>
        <v/>
      </c>
      <c r="B2938" s="518">
        <f t="shared" si="251"/>
        <v>4</v>
      </c>
      <c r="C2938" s="571">
        <f t="shared" si="252"/>
        <v>42853</v>
      </c>
      <c r="D2938" s="519" t="s">
        <v>996</v>
      </c>
      <c r="E2938" s="571">
        <v>42853</v>
      </c>
      <c r="F2938" s="577" t="s">
        <v>1064</v>
      </c>
      <c r="G2938" s="573" t="s">
        <v>1116</v>
      </c>
      <c r="H2938" s="574" t="s">
        <v>800</v>
      </c>
      <c r="I2938" s="523">
        <v>10</v>
      </c>
      <c r="J2938" s="523">
        <v>15844</v>
      </c>
      <c r="K2938" s="575">
        <f t="shared" si="248"/>
        <v>158440</v>
      </c>
      <c r="L2938" s="591" t="s">
        <v>160</v>
      </c>
      <c r="M2938" s="591" t="s">
        <v>292</v>
      </c>
      <c r="N2938" s="525" t="str">
        <f>IF(AND('331-CT'!$E$7=TH!H2938,OR(L2938="331",M2938="331")),"331",IF(AND(OR(L2938="131",M2938="131"),H2938='131-CT'!$E$7),"131",""))</f>
        <v/>
      </c>
      <c r="O2938" s="525" t="str">
        <f>IF(AND($B2938&gt;='111'!$N$11,$B2938&lt;='111'!$O$11,OR($L2938=$O$7,$M2938=$O$7)),"x","")</f>
        <v/>
      </c>
      <c r="P2938" s="525" t="str">
        <f>IF(AND($L2938=$O$7,$B2938&lt;'111'!$N$11),"x","")</f>
        <v/>
      </c>
      <c r="Q2938" s="525" t="str">
        <f>IF(AND($M2938=$O$7,$B2938&lt;'111'!$N$11),"x","")</f>
        <v/>
      </c>
      <c r="R2938" s="525" t="str">
        <f>IF(ISERROR(FIND('112'!$M$9,G2938,1)),"",IF((AND(FIND('112'!$M$9,G2938,1)&gt;=1,$B2938&gt;='112'!$N$8,$B2938&lt;='112'!$O$8,OR($L2938='112'!$I$6,$M2938='112'!$I$6))),"x",""))</f>
        <v/>
      </c>
      <c r="S2938" s="525" t="str">
        <f>IF(ISERROR(FIND('112'!$M$9,G2938,1)),"",IF((AND(LEFT(G2938,2)=LEFT('112'!$M$9,2),B2938&lt;'112'!$N$8,$L2938='112'!$I$6)),"x",""))</f>
        <v/>
      </c>
      <c r="T2938" s="525" t="str">
        <f>IF(ISERROR(FIND('112'!$M$9,G2938,1)),"",IF((AND(RIGHT(G2938,2)=RIGHT('112'!$M$9,2),B2938&lt;'112'!$N$8,$M2938='112'!$I$6)),"x",""))</f>
        <v/>
      </c>
      <c r="U2938" s="525" t="str">
        <f>IF(AND(B2938&gt;='IN-NX'!$P$3,B2938&lt;='IN-NX'!$Q$3,'IN-NX'!$D$7=D2938,OR(LEFT(L2938,2)="15",AND(LEFT(M2938,2)&lt;&gt;"15",LEFT(M2938,2)&lt;&gt;"33"))),"x","")</f>
        <v/>
      </c>
      <c r="V2938" s="525" t="str">
        <f>IF(AND(OR(LEFT(TH!L2938,2)="15",LEFT(TH!M2938,2)="15"),'152-CT'!$J$8=TH!F2938),"x","")</f>
        <v/>
      </c>
      <c r="W2938" s="525" t="str">
        <f>IF(AND(OR(LEFT(TH!L2938,2)="15",LEFT(TH!M2938,2)="15"),TK!$E$7=TH!F2938),"x","")</f>
        <v/>
      </c>
      <c r="X2938" s="525" t="str">
        <f>IF(AND('341-CT'!$E$9=H2938,OR(LEFT(L2938,3)=$X$7,LEFT(M2938,3)=$X$7)),"x","")</f>
        <v/>
      </c>
      <c r="Y2938" s="525" t="str">
        <f>IF(OR(TH!L2938=TH!$Y$7,M2938=TH!$Y$7),"x","")</f>
        <v/>
      </c>
      <c r="Z2938" s="525" t="str">
        <f>IF(AND(B2938&lt;=NKC!$N$8,B2938&gt;=NKC!$M$8),"x","")</f>
        <v/>
      </c>
      <c r="AA2938" s="526"/>
      <c r="AE2938" s="576"/>
    </row>
    <row r="2939" spans="1:31" s="527" customFormat="1" ht="15.75" customHeight="1">
      <c r="A2939" s="517" t="str">
        <f>IF(B2939&lt;&gt;"",IF(AND(B2939&gt;=_TM1,B2939&lt;=_TM2,OR(TH!L2939="1111",TH!M2939="1111")),TH!D2939,""),"")</f>
        <v/>
      </c>
      <c r="B2939" s="518">
        <f t="shared" si="251"/>
        <v>4</v>
      </c>
      <c r="C2939" s="571">
        <f t="shared" si="252"/>
        <v>42853</v>
      </c>
      <c r="D2939" s="519" t="s">
        <v>996</v>
      </c>
      <c r="E2939" s="571">
        <v>42853</v>
      </c>
      <c r="F2939" s="572" t="s">
        <v>1065</v>
      </c>
      <c r="G2939" s="573" t="s">
        <v>1116</v>
      </c>
      <c r="H2939" s="574" t="s">
        <v>800</v>
      </c>
      <c r="I2939" s="523">
        <v>8</v>
      </c>
      <c r="J2939" s="523">
        <v>44247</v>
      </c>
      <c r="K2939" s="575">
        <f t="shared" si="248"/>
        <v>353976</v>
      </c>
      <c r="L2939" s="591" t="s">
        <v>160</v>
      </c>
      <c r="M2939" s="591" t="s">
        <v>292</v>
      </c>
      <c r="N2939" s="525" t="str">
        <f>IF(AND('331-CT'!$E$7=TH!H2939,OR(L2939="331",M2939="331")),"331",IF(AND(OR(L2939="131",M2939="131"),H2939='131-CT'!$E$7),"131",""))</f>
        <v/>
      </c>
      <c r="O2939" s="525" t="str">
        <f>IF(AND($B2939&gt;='111'!$N$11,$B2939&lt;='111'!$O$11,OR($L2939=$O$7,$M2939=$O$7)),"x","")</f>
        <v/>
      </c>
      <c r="P2939" s="525" t="str">
        <f>IF(AND($L2939=$O$7,$B2939&lt;'111'!$N$11),"x","")</f>
        <v/>
      </c>
      <c r="Q2939" s="525" t="str">
        <f>IF(AND($M2939=$O$7,$B2939&lt;'111'!$N$11),"x","")</f>
        <v/>
      </c>
      <c r="R2939" s="525" t="str">
        <f>IF(ISERROR(FIND('112'!$M$9,G2939,1)),"",IF((AND(FIND('112'!$M$9,G2939,1)&gt;=1,$B2939&gt;='112'!$N$8,$B2939&lt;='112'!$O$8,OR($L2939='112'!$I$6,$M2939='112'!$I$6))),"x",""))</f>
        <v/>
      </c>
      <c r="S2939" s="525" t="str">
        <f>IF(ISERROR(FIND('112'!$M$9,G2939,1)),"",IF((AND(LEFT(G2939,2)=LEFT('112'!$M$9,2),B2939&lt;'112'!$N$8,$L2939='112'!$I$6)),"x",""))</f>
        <v/>
      </c>
      <c r="T2939" s="525" t="str">
        <f>IF(ISERROR(FIND('112'!$M$9,G2939,1)),"",IF((AND(RIGHT(G2939,2)=RIGHT('112'!$M$9,2),B2939&lt;'112'!$N$8,$M2939='112'!$I$6)),"x",""))</f>
        <v/>
      </c>
      <c r="U2939" s="525" t="str">
        <f>IF(AND(B2939&gt;='IN-NX'!$P$3,B2939&lt;='IN-NX'!$Q$3,'IN-NX'!$D$7=D2939,OR(LEFT(L2939,2)="15",AND(LEFT(M2939,2)&lt;&gt;"15",LEFT(M2939,2)&lt;&gt;"33"))),"x","")</f>
        <v/>
      </c>
      <c r="V2939" s="525" t="str">
        <f>IF(AND(OR(LEFT(TH!L2939,2)="15",LEFT(TH!M2939,2)="15"),'152-CT'!$J$8=TH!F2939),"x","")</f>
        <v/>
      </c>
      <c r="W2939" s="525" t="str">
        <f>IF(AND(OR(LEFT(TH!L2939,2)="15",LEFT(TH!M2939,2)="15"),TK!$E$7=TH!F2939),"x","")</f>
        <v/>
      </c>
      <c r="X2939" s="525" t="str">
        <f>IF(AND('341-CT'!$E$9=H2939,OR(LEFT(L2939,3)=$X$7,LEFT(M2939,3)=$X$7)),"x","")</f>
        <v/>
      </c>
      <c r="Y2939" s="525" t="str">
        <f>IF(OR(TH!L2939=TH!$Y$7,M2939=TH!$Y$7),"x","")</f>
        <v/>
      </c>
      <c r="Z2939" s="525" t="str">
        <f>IF(AND(B2939&lt;=NKC!$N$8,B2939&gt;=NKC!$M$8),"x","")</f>
        <v/>
      </c>
      <c r="AA2939" s="526"/>
      <c r="AC2939" s="576"/>
      <c r="AD2939" s="576"/>
      <c r="AE2939" s="576"/>
    </row>
    <row r="2940" spans="1:31" s="527" customFormat="1" ht="15.75" customHeight="1">
      <c r="A2940" s="517" t="str">
        <f>IF(B2940&lt;&gt;"",IF(AND(B2940&gt;=_TM1,B2940&lt;=_TM2,OR(TH!L2940="1111",TH!M2940="1111")),TH!D2940,""),"")</f>
        <v/>
      </c>
      <c r="B2940" s="518">
        <f t="shared" si="251"/>
        <v>4</v>
      </c>
      <c r="C2940" s="571">
        <f t="shared" si="252"/>
        <v>42853</v>
      </c>
      <c r="D2940" s="519" t="s">
        <v>996</v>
      </c>
      <c r="E2940" s="571">
        <v>42853</v>
      </c>
      <c r="F2940" s="572" t="s">
        <v>1066</v>
      </c>
      <c r="G2940" s="573" t="s">
        <v>1116</v>
      </c>
      <c r="H2940" s="574" t="s">
        <v>800</v>
      </c>
      <c r="I2940" s="523">
        <v>8</v>
      </c>
      <c r="J2940" s="523">
        <v>76516</v>
      </c>
      <c r="K2940" s="575">
        <f t="shared" si="248"/>
        <v>612128</v>
      </c>
      <c r="L2940" s="591" t="s">
        <v>160</v>
      </c>
      <c r="M2940" s="591" t="s">
        <v>292</v>
      </c>
      <c r="N2940" s="525" t="str">
        <f>IF(AND('331-CT'!$E$7=TH!H2940,OR(L2940="331",M2940="331")),"331",IF(AND(OR(L2940="131",M2940="131"),H2940='131-CT'!$E$7),"131",""))</f>
        <v/>
      </c>
      <c r="O2940" s="525" t="str">
        <f>IF(AND($B2940&gt;='111'!$N$11,$B2940&lt;='111'!$O$11,OR($L2940=$O$7,$M2940=$O$7)),"x","")</f>
        <v/>
      </c>
      <c r="P2940" s="525" t="str">
        <f>IF(AND($L2940=$O$7,$B2940&lt;'111'!$N$11),"x","")</f>
        <v/>
      </c>
      <c r="Q2940" s="525" t="str">
        <f>IF(AND($M2940=$O$7,$B2940&lt;'111'!$N$11),"x","")</f>
        <v/>
      </c>
      <c r="R2940" s="525" t="str">
        <f>IF(ISERROR(FIND('112'!$M$9,G2940,1)),"",IF((AND(FIND('112'!$M$9,G2940,1)&gt;=1,$B2940&gt;='112'!$N$8,$B2940&lt;='112'!$O$8,OR($L2940='112'!$I$6,$M2940='112'!$I$6))),"x",""))</f>
        <v/>
      </c>
      <c r="S2940" s="525" t="str">
        <f>IF(ISERROR(FIND('112'!$M$9,G2940,1)),"",IF((AND(LEFT(G2940,2)=LEFT('112'!$M$9,2),B2940&lt;'112'!$N$8,$L2940='112'!$I$6)),"x",""))</f>
        <v/>
      </c>
      <c r="T2940" s="525" t="str">
        <f>IF(ISERROR(FIND('112'!$M$9,G2940,1)),"",IF((AND(RIGHT(G2940,2)=RIGHT('112'!$M$9,2),B2940&lt;'112'!$N$8,$M2940='112'!$I$6)),"x",""))</f>
        <v/>
      </c>
      <c r="U2940" s="525" t="str">
        <f>IF(AND(B2940&gt;='IN-NX'!$P$3,B2940&lt;='IN-NX'!$Q$3,'IN-NX'!$D$7=D2940,OR(LEFT(L2940,2)="15",AND(LEFT(M2940,2)&lt;&gt;"15",LEFT(M2940,2)&lt;&gt;"33"))),"x","")</f>
        <v/>
      </c>
      <c r="V2940" s="525" t="str">
        <f>IF(AND(OR(LEFT(TH!L2940,2)="15",LEFT(TH!M2940,2)="15"),'152-CT'!$J$8=TH!F2940),"x","")</f>
        <v/>
      </c>
      <c r="W2940" s="525" t="str">
        <f>IF(AND(OR(LEFT(TH!L2940,2)="15",LEFT(TH!M2940,2)="15"),TK!$E$7=TH!F2940),"x","")</f>
        <v/>
      </c>
      <c r="X2940" s="525" t="str">
        <f>IF(AND('341-CT'!$E$9=H2940,OR(LEFT(L2940,3)=$X$7,LEFT(M2940,3)=$X$7)),"x","")</f>
        <v/>
      </c>
      <c r="Y2940" s="525" t="str">
        <f>IF(OR(TH!L2940=TH!$Y$7,M2940=TH!$Y$7),"x","")</f>
        <v/>
      </c>
      <c r="Z2940" s="525" t="str">
        <f>IF(AND(B2940&lt;=NKC!$N$8,B2940&gt;=NKC!$M$8),"x","")</f>
        <v/>
      </c>
      <c r="AA2940" s="526"/>
      <c r="AC2940" s="576"/>
      <c r="AD2940" s="576"/>
      <c r="AE2940" s="576"/>
    </row>
    <row r="2941" spans="1:31" s="527" customFormat="1" ht="15.75" customHeight="1">
      <c r="A2941" s="517" t="str">
        <f>IF(B2941&lt;&gt;"",IF(AND(B2941&gt;=_TM1,B2941&lt;=_TM2,OR(TH!L2941="1111",TH!M2941="1111")),TH!D2941,""),"")</f>
        <v/>
      </c>
      <c r="B2941" s="518">
        <f t="shared" si="251"/>
        <v>4</v>
      </c>
      <c r="C2941" s="571">
        <f t="shared" si="252"/>
        <v>42853</v>
      </c>
      <c r="D2941" s="519" t="s">
        <v>996</v>
      </c>
      <c r="E2941" s="571">
        <v>42853</v>
      </c>
      <c r="F2941" s="572" t="s">
        <v>1067</v>
      </c>
      <c r="G2941" s="573" t="s">
        <v>1116</v>
      </c>
      <c r="H2941" s="574" t="s">
        <v>800</v>
      </c>
      <c r="I2941" s="523">
        <v>6</v>
      </c>
      <c r="J2941" s="523">
        <v>41337</v>
      </c>
      <c r="K2941" s="575">
        <f t="shared" si="248"/>
        <v>248022</v>
      </c>
      <c r="L2941" s="591" t="s">
        <v>160</v>
      </c>
      <c r="M2941" s="591" t="s">
        <v>292</v>
      </c>
      <c r="N2941" s="525" t="str">
        <f>IF(AND('331-CT'!$E$7=TH!H2941,OR(L2941="331",M2941="331")),"331",IF(AND(OR(L2941="131",M2941="131"),H2941='131-CT'!$E$7),"131",""))</f>
        <v/>
      </c>
      <c r="O2941" s="525" t="str">
        <f>IF(AND($B2941&gt;='111'!$N$11,$B2941&lt;='111'!$O$11,OR($L2941=$O$7,$M2941=$O$7)),"x","")</f>
        <v/>
      </c>
      <c r="P2941" s="525" t="str">
        <f>IF(AND($L2941=$O$7,$B2941&lt;'111'!$N$11),"x","")</f>
        <v/>
      </c>
      <c r="Q2941" s="525" t="str">
        <f>IF(AND($M2941=$O$7,$B2941&lt;'111'!$N$11),"x","")</f>
        <v/>
      </c>
      <c r="R2941" s="525" t="str">
        <f>IF(ISERROR(FIND('112'!$M$9,G2941,1)),"",IF((AND(FIND('112'!$M$9,G2941,1)&gt;=1,$B2941&gt;='112'!$N$8,$B2941&lt;='112'!$O$8,OR($L2941='112'!$I$6,$M2941='112'!$I$6))),"x",""))</f>
        <v/>
      </c>
      <c r="S2941" s="525" t="str">
        <f>IF(ISERROR(FIND('112'!$M$9,G2941,1)),"",IF((AND(LEFT(G2941,2)=LEFT('112'!$M$9,2),B2941&lt;'112'!$N$8,$L2941='112'!$I$6)),"x",""))</f>
        <v/>
      </c>
      <c r="T2941" s="525" t="str">
        <f>IF(ISERROR(FIND('112'!$M$9,G2941,1)),"",IF((AND(RIGHT(G2941,2)=RIGHT('112'!$M$9,2),B2941&lt;'112'!$N$8,$M2941='112'!$I$6)),"x",""))</f>
        <v/>
      </c>
      <c r="U2941" s="525" t="str">
        <f>IF(AND(B2941&gt;='IN-NX'!$P$3,B2941&lt;='IN-NX'!$Q$3,'IN-NX'!$D$7=D2941,OR(LEFT(L2941,2)="15",AND(LEFT(M2941,2)&lt;&gt;"15",LEFT(M2941,2)&lt;&gt;"33"))),"x","")</f>
        <v/>
      </c>
      <c r="V2941" s="525" t="str">
        <f>IF(AND(OR(LEFT(TH!L2941,2)="15",LEFT(TH!M2941,2)="15"),'152-CT'!$J$8=TH!F2941),"x","")</f>
        <v/>
      </c>
      <c r="W2941" s="525" t="str">
        <f>IF(AND(OR(LEFT(TH!L2941,2)="15",LEFT(TH!M2941,2)="15"),TK!$E$7=TH!F2941),"x","")</f>
        <v/>
      </c>
      <c r="X2941" s="525" t="str">
        <f>IF(AND('341-CT'!$E$9=H2941,OR(LEFT(L2941,3)=$X$7,LEFT(M2941,3)=$X$7)),"x","")</f>
        <v/>
      </c>
      <c r="Y2941" s="525" t="str">
        <f>IF(OR(TH!L2941=TH!$Y$7,M2941=TH!$Y$7),"x","")</f>
        <v/>
      </c>
      <c r="Z2941" s="525" t="str">
        <f>IF(AND(B2941&lt;=NKC!$N$8,B2941&gt;=NKC!$M$8),"x","")</f>
        <v/>
      </c>
      <c r="AA2941" s="526"/>
      <c r="AC2941" s="576"/>
      <c r="AD2941" s="576"/>
      <c r="AE2941" s="576"/>
    </row>
    <row r="2942" spans="1:31" s="527" customFormat="1" ht="15.75" customHeight="1">
      <c r="A2942" s="517" t="str">
        <f>IF(B2942&lt;&gt;"",IF(AND(B2942&gt;=_TM1,B2942&lt;=_TM2,OR(TH!L2942="1111",TH!M2942="1111")),TH!D2942,""),"")</f>
        <v/>
      </c>
      <c r="B2942" s="518">
        <f t="shared" si="251"/>
        <v>4</v>
      </c>
      <c r="C2942" s="571">
        <f t="shared" si="252"/>
        <v>42853</v>
      </c>
      <c r="D2942" s="519" t="s">
        <v>996</v>
      </c>
      <c r="E2942" s="571">
        <v>42853</v>
      </c>
      <c r="F2942" s="572" t="s">
        <v>730</v>
      </c>
      <c r="G2942" s="573" t="s">
        <v>1116</v>
      </c>
      <c r="H2942" s="574" t="s">
        <v>800</v>
      </c>
      <c r="I2942" s="523">
        <v>16</v>
      </c>
      <c r="J2942" s="523">
        <v>36740</v>
      </c>
      <c r="K2942" s="575">
        <f t="shared" si="248"/>
        <v>587840</v>
      </c>
      <c r="L2942" s="591" t="s">
        <v>160</v>
      </c>
      <c r="M2942" s="591" t="s">
        <v>292</v>
      </c>
      <c r="N2942" s="525" t="str">
        <f>IF(AND('331-CT'!$E$7=TH!H2942,OR(L2942="331",M2942="331")),"331",IF(AND(OR(L2942="131",M2942="131"),H2942='131-CT'!$E$7),"131",""))</f>
        <v/>
      </c>
      <c r="O2942" s="525" t="str">
        <f>IF(AND($B2942&gt;='111'!$N$11,$B2942&lt;='111'!$O$11,OR($L2942=$O$7,$M2942=$O$7)),"x","")</f>
        <v/>
      </c>
      <c r="P2942" s="525" t="str">
        <f>IF(AND($L2942=$O$7,$B2942&lt;'111'!$N$11),"x","")</f>
        <v/>
      </c>
      <c r="Q2942" s="525" t="str">
        <f>IF(AND($M2942=$O$7,$B2942&lt;'111'!$N$11),"x","")</f>
        <v/>
      </c>
      <c r="R2942" s="525" t="str">
        <f>IF(ISERROR(FIND('112'!$M$9,G2942,1)),"",IF((AND(FIND('112'!$M$9,G2942,1)&gt;=1,$B2942&gt;='112'!$N$8,$B2942&lt;='112'!$O$8,OR($L2942='112'!$I$6,$M2942='112'!$I$6))),"x",""))</f>
        <v/>
      </c>
      <c r="S2942" s="525" t="str">
        <f>IF(ISERROR(FIND('112'!$M$9,G2942,1)),"",IF((AND(LEFT(G2942,2)=LEFT('112'!$M$9,2),B2942&lt;'112'!$N$8,$L2942='112'!$I$6)),"x",""))</f>
        <v/>
      </c>
      <c r="T2942" s="525" t="str">
        <f>IF(ISERROR(FIND('112'!$M$9,G2942,1)),"",IF((AND(RIGHT(G2942,2)=RIGHT('112'!$M$9,2),B2942&lt;'112'!$N$8,$M2942='112'!$I$6)),"x",""))</f>
        <v/>
      </c>
      <c r="U2942" s="525" t="str">
        <f>IF(AND(B2942&gt;='IN-NX'!$P$3,B2942&lt;='IN-NX'!$Q$3,'IN-NX'!$D$7=D2942,OR(LEFT(L2942,2)="15",AND(LEFT(M2942,2)&lt;&gt;"15",LEFT(M2942,2)&lt;&gt;"33"))),"x","")</f>
        <v/>
      </c>
      <c r="V2942" s="525" t="str">
        <f>IF(AND(OR(LEFT(TH!L2942,2)="15",LEFT(TH!M2942,2)="15"),'152-CT'!$J$8=TH!F2942),"x","")</f>
        <v/>
      </c>
      <c r="W2942" s="525" t="str">
        <f>IF(AND(OR(LEFT(TH!L2942,2)="15",LEFT(TH!M2942,2)="15"),TK!$E$7=TH!F2942),"x","")</f>
        <v/>
      </c>
      <c r="X2942" s="525" t="str">
        <f>IF(AND('341-CT'!$E$9=H2942,OR(LEFT(L2942,3)=$X$7,LEFT(M2942,3)=$X$7)),"x","")</f>
        <v/>
      </c>
      <c r="Y2942" s="525" t="str">
        <f>IF(OR(TH!L2942=TH!$Y$7,M2942=TH!$Y$7),"x","")</f>
        <v/>
      </c>
      <c r="Z2942" s="525" t="str">
        <f>IF(AND(B2942&lt;=NKC!$N$8,B2942&gt;=NKC!$M$8),"x","")</f>
        <v/>
      </c>
      <c r="AA2942" s="526"/>
      <c r="AC2942" s="576"/>
      <c r="AD2942" s="576"/>
      <c r="AE2942" s="576"/>
    </row>
    <row r="2943" spans="1:31" s="527" customFormat="1" ht="15.75" customHeight="1">
      <c r="A2943" s="517" t="str">
        <f>IF(B2943&lt;&gt;"",IF(AND(B2943&gt;=_TM1,B2943&lt;=_TM2,OR(TH!L2943="1111",TH!M2943="1111")),TH!D2943,""),"")</f>
        <v/>
      </c>
      <c r="B2943" s="518">
        <f t="shared" si="251"/>
        <v>4</v>
      </c>
      <c r="C2943" s="571">
        <f t="shared" si="252"/>
        <v>42853</v>
      </c>
      <c r="D2943" s="519" t="s">
        <v>996</v>
      </c>
      <c r="E2943" s="571">
        <v>42853</v>
      </c>
      <c r="F2943" s="572" t="s">
        <v>679</v>
      </c>
      <c r="G2943" s="573" t="s">
        <v>1116</v>
      </c>
      <c r="H2943" s="574" t="s">
        <v>800</v>
      </c>
      <c r="I2943" s="523">
        <v>12</v>
      </c>
      <c r="J2943" s="523">
        <v>45701</v>
      </c>
      <c r="K2943" s="575">
        <f t="shared" si="248"/>
        <v>548412</v>
      </c>
      <c r="L2943" s="591" t="s">
        <v>160</v>
      </c>
      <c r="M2943" s="591" t="s">
        <v>292</v>
      </c>
      <c r="N2943" s="525" t="str">
        <f>IF(AND('331-CT'!$E$7=TH!H2943,OR(L2943="331",M2943="331")),"331",IF(AND(OR(L2943="131",M2943="131"),H2943='131-CT'!$E$7),"131",""))</f>
        <v/>
      </c>
      <c r="O2943" s="525" t="str">
        <f>IF(AND($B2943&gt;='111'!$N$11,$B2943&lt;='111'!$O$11,OR($L2943=$O$7,$M2943=$O$7)),"x","")</f>
        <v/>
      </c>
      <c r="P2943" s="525" t="str">
        <f>IF(AND($L2943=$O$7,$B2943&lt;'111'!$N$11),"x","")</f>
        <v/>
      </c>
      <c r="Q2943" s="525" t="str">
        <f>IF(AND($M2943=$O$7,$B2943&lt;'111'!$N$11),"x","")</f>
        <v/>
      </c>
      <c r="R2943" s="525" t="str">
        <f>IF(ISERROR(FIND('112'!$M$9,G2943,1)),"",IF((AND(FIND('112'!$M$9,G2943,1)&gt;=1,$B2943&gt;='112'!$N$8,$B2943&lt;='112'!$O$8,OR($L2943='112'!$I$6,$M2943='112'!$I$6))),"x",""))</f>
        <v/>
      </c>
      <c r="S2943" s="525" t="str">
        <f>IF(ISERROR(FIND('112'!$M$9,G2943,1)),"",IF((AND(LEFT(G2943,2)=LEFT('112'!$M$9,2),B2943&lt;'112'!$N$8,$L2943='112'!$I$6)),"x",""))</f>
        <v/>
      </c>
      <c r="T2943" s="525" t="str">
        <f>IF(ISERROR(FIND('112'!$M$9,G2943,1)),"",IF((AND(RIGHT(G2943,2)=RIGHT('112'!$M$9,2),B2943&lt;'112'!$N$8,$M2943='112'!$I$6)),"x",""))</f>
        <v/>
      </c>
      <c r="U2943" s="525" t="str">
        <f>IF(AND(B2943&gt;='IN-NX'!$P$3,B2943&lt;='IN-NX'!$Q$3,'IN-NX'!$D$7=D2943,OR(LEFT(L2943,2)="15",AND(LEFT(M2943,2)&lt;&gt;"15",LEFT(M2943,2)&lt;&gt;"33"))),"x","")</f>
        <v/>
      </c>
      <c r="V2943" s="525" t="str">
        <f>IF(AND(OR(LEFT(TH!L2943,2)="15",LEFT(TH!M2943,2)="15"),'152-CT'!$J$8=TH!F2943),"x","")</f>
        <v/>
      </c>
      <c r="W2943" s="525" t="str">
        <f>IF(AND(OR(LEFT(TH!L2943,2)="15",LEFT(TH!M2943,2)="15"),TK!$E$7=TH!F2943),"x","")</f>
        <v/>
      </c>
      <c r="X2943" s="525" t="str">
        <f>IF(AND('341-CT'!$E$9=H2943,OR(LEFT(L2943,3)=$X$7,LEFT(M2943,3)=$X$7)),"x","")</f>
        <v/>
      </c>
      <c r="Y2943" s="525" t="str">
        <f>IF(OR(TH!L2943=TH!$Y$7,M2943=TH!$Y$7),"x","")</f>
        <v/>
      </c>
      <c r="Z2943" s="525" t="str">
        <f>IF(AND(B2943&lt;=NKC!$N$8,B2943&gt;=NKC!$M$8),"x","")</f>
        <v/>
      </c>
      <c r="AA2943" s="526"/>
      <c r="AC2943" s="576"/>
      <c r="AD2943" s="576"/>
      <c r="AE2943" s="576"/>
    </row>
    <row r="2944" spans="1:31" s="527" customFormat="1" ht="15.75" customHeight="1">
      <c r="A2944" s="517" t="str">
        <f>IF(B2944&lt;&gt;"",IF(AND(B2944&gt;=_TM1,B2944&lt;=_TM2,OR(TH!L2944="1111",TH!M2944="1111")),TH!D2944,""),"")</f>
        <v/>
      </c>
      <c r="B2944" s="518">
        <f t="shared" si="251"/>
        <v>4</v>
      </c>
      <c r="C2944" s="571">
        <f t="shared" si="252"/>
        <v>42853</v>
      </c>
      <c r="D2944" s="519" t="s">
        <v>996</v>
      </c>
      <c r="E2944" s="571">
        <v>42853</v>
      </c>
      <c r="F2944" s="572" t="s">
        <v>1068</v>
      </c>
      <c r="G2944" s="573" t="s">
        <v>1116</v>
      </c>
      <c r="H2944" s="574" t="s">
        <v>800</v>
      </c>
      <c r="I2944" s="523">
        <v>12</v>
      </c>
      <c r="J2944" s="523">
        <v>52422</v>
      </c>
      <c r="K2944" s="575">
        <f t="shared" ref="K2944:K2946" si="253">ROUND(I2944*J2944,0)</f>
        <v>629064</v>
      </c>
      <c r="L2944" s="591" t="s">
        <v>160</v>
      </c>
      <c r="M2944" s="591" t="s">
        <v>292</v>
      </c>
      <c r="N2944" s="525" t="str">
        <f>IF(AND('331-CT'!$E$7=TH!H2944,OR(L2944="331",M2944="331")),"331",IF(AND(OR(L2944="131",M2944="131"),H2944='131-CT'!$E$7),"131",""))</f>
        <v/>
      </c>
      <c r="O2944" s="525" t="str">
        <f>IF(AND($B2944&gt;='111'!$N$11,$B2944&lt;='111'!$O$11,OR($L2944=$O$7,$M2944=$O$7)),"x","")</f>
        <v/>
      </c>
      <c r="P2944" s="525" t="str">
        <f>IF(AND($L2944=$O$7,$B2944&lt;'111'!$N$11),"x","")</f>
        <v/>
      </c>
      <c r="Q2944" s="525" t="str">
        <f>IF(AND($M2944=$O$7,$B2944&lt;'111'!$N$11),"x","")</f>
        <v/>
      </c>
      <c r="R2944" s="525" t="str">
        <f>IF(ISERROR(FIND('112'!$M$9,G2944,1)),"",IF((AND(FIND('112'!$M$9,G2944,1)&gt;=1,$B2944&gt;='112'!$N$8,$B2944&lt;='112'!$O$8,OR($L2944='112'!$I$6,$M2944='112'!$I$6))),"x",""))</f>
        <v/>
      </c>
      <c r="S2944" s="525" t="str">
        <f>IF(ISERROR(FIND('112'!$M$9,G2944,1)),"",IF((AND(LEFT(G2944,2)=LEFT('112'!$M$9,2),B2944&lt;'112'!$N$8,$L2944='112'!$I$6)),"x",""))</f>
        <v/>
      </c>
      <c r="T2944" s="525" t="str">
        <f>IF(ISERROR(FIND('112'!$M$9,G2944,1)),"",IF((AND(RIGHT(G2944,2)=RIGHT('112'!$M$9,2),B2944&lt;'112'!$N$8,$M2944='112'!$I$6)),"x",""))</f>
        <v/>
      </c>
      <c r="U2944" s="525" t="str">
        <f>IF(AND(B2944&gt;='IN-NX'!$P$3,B2944&lt;='IN-NX'!$Q$3,'IN-NX'!$D$7=D2944,OR(LEFT(L2944,2)="15",AND(LEFT(M2944,2)&lt;&gt;"15",LEFT(M2944,2)&lt;&gt;"33"))),"x","")</f>
        <v/>
      </c>
      <c r="V2944" s="525" t="str">
        <f>IF(AND(OR(LEFT(TH!L2944,2)="15",LEFT(TH!M2944,2)="15"),'152-CT'!$J$8=TH!F2944),"x","")</f>
        <v/>
      </c>
      <c r="W2944" s="525" t="str">
        <f>IF(AND(OR(LEFT(TH!L2944,2)="15",LEFT(TH!M2944,2)="15"),TK!$E$7=TH!F2944),"x","")</f>
        <v/>
      </c>
      <c r="X2944" s="525" t="str">
        <f>IF(AND('341-CT'!$E$9=H2944,OR(LEFT(L2944,3)=$X$7,LEFT(M2944,3)=$X$7)),"x","")</f>
        <v/>
      </c>
      <c r="Y2944" s="525" t="str">
        <f>IF(OR(TH!L2944=TH!$Y$7,M2944=TH!$Y$7),"x","")</f>
        <v/>
      </c>
      <c r="Z2944" s="525" t="str">
        <f>IF(AND(B2944&lt;=NKC!$N$8,B2944&gt;=NKC!$M$8),"x","")</f>
        <v/>
      </c>
      <c r="AA2944" s="526"/>
      <c r="AC2944" s="576"/>
      <c r="AD2944" s="576"/>
      <c r="AE2944" s="576"/>
    </row>
    <row r="2945" spans="1:31" s="527" customFormat="1" ht="15.75" customHeight="1">
      <c r="A2945" s="517" t="str">
        <f>IF(B2945&lt;&gt;"",IF(AND(B2945&gt;=_TM1,B2945&lt;=_TM2,OR(TH!L2945="1111",TH!M2945="1111")),TH!D2945,""),"")</f>
        <v/>
      </c>
      <c r="B2945" s="518">
        <f t="shared" si="251"/>
        <v>4</v>
      </c>
      <c r="C2945" s="571">
        <f t="shared" si="252"/>
        <v>42853</v>
      </c>
      <c r="D2945" s="519" t="s">
        <v>996</v>
      </c>
      <c r="E2945" s="571">
        <v>42853</v>
      </c>
      <c r="F2945" s="572" t="s">
        <v>796</v>
      </c>
      <c r="G2945" s="573" t="s">
        <v>1116</v>
      </c>
      <c r="H2945" s="574" t="s">
        <v>800</v>
      </c>
      <c r="I2945" s="523">
        <v>18</v>
      </c>
      <c r="J2945" s="523">
        <v>77165</v>
      </c>
      <c r="K2945" s="575">
        <f t="shared" si="253"/>
        <v>1388970</v>
      </c>
      <c r="L2945" s="591" t="s">
        <v>160</v>
      </c>
      <c r="M2945" s="591" t="s">
        <v>292</v>
      </c>
      <c r="N2945" s="525" t="str">
        <f>IF(AND('331-CT'!$E$7=TH!H2945,OR(L2945="331",M2945="331")),"331",IF(AND(OR(L2945="131",M2945="131"),H2945='131-CT'!$E$7),"131",""))</f>
        <v/>
      </c>
      <c r="O2945" s="525" t="str">
        <f>IF(AND($B2945&gt;='111'!$N$11,$B2945&lt;='111'!$O$11,OR($L2945=$O$7,$M2945=$O$7)),"x","")</f>
        <v/>
      </c>
      <c r="P2945" s="525" t="str">
        <f>IF(AND($L2945=$O$7,$B2945&lt;'111'!$N$11),"x","")</f>
        <v/>
      </c>
      <c r="Q2945" s="525" t="str">
        <f>IF(AND($M2945=$O$7,$B2945&lt;'111'!$N$11),"x","")</f>
        <v/>
      </c>
      <c r="R2945" s="525" t="str">
        <f>IF(ISERROR(FIND('112'!$M$9,G2945,1)),"",IF((AND(FIND('112'!$M$9,G2945,1)&gt;=1,$B2945&gt;='112'!$N$8,$B2945&lt;='112'!$O$8,OR($L2945='112'!$I$6,$M2945='112'!$I$6))),"x",""))</f>
        <v/>
      </c>
      <c r="S2945" s="525" t="str">
        <f>IF(ISERROR(FIND('112'!$M$9,G2945,1)),"",IF((AND(LEFT(G2945,2)=LEFT('112'!$M$9,2),B2945&lt;'112'!$N$8,$L2945='112'!$I$6)),"x",""))</f>
        <v/>
      </c>
      <c r="T2945" s="525" t="str">
        <f>IF(ISERROR(FIND('112'!$M$9,G2945,1)),"",IF((AND(RIGHT(G2945,2)=RIGHT('112'!$M$9,2),B2945&lt;'112'!$N$8,$M2945='112'!$I$6)),"x",""))</f>
        <v/>
      </c>
      <c r="U2945" s="525" t="str">
        <f>IF(AND(B2945&gt;='IN-NX'!$P$3,B2945&lt;='IN-NX'!$Q$3,'IN-NX'!$D$7=D2945,OR(LEFT(L2945,2)="15",AND(LEFT(M2945,2)&lt;&gt;"15",LEFT(M2945,2)&lt;&gt;"33"))),"x","")</f>
        <v/>
      </c>
      <c r="V2945" s="525" t="str">
        <f>IF(AND(OR(LEFT(TH!L2945,2)="15",LEFT(TH!M2945,2)="15"),'152-CT'!$J$8=TH!F2945),"x","")</f>
        <v/>
      </c>
      <c r="W2945" s="525" t="str">
        <f>IF(AND(OR(LEFT(TH!L2945,2)="15",LEFT(TH!M2945,2)="15"),TK!$E$7=TH!F2945),"x","")</f>
        <v/>
      </c>
      <c r="X2945" s="525" t="str">
        <f>IF(AND('341-CT'!$E$9=H2945,OR(LEFT(L2945,3)=$X$7,LEFT(M2945,3)=$X$7)),"x","")</f>
        <v/>
      </c>
      <c r="Y2945" s="525" t="str">
        <f>IF(OR(TH!L2945=TH!$Y$7,M2945=TH!$Y$7),"x","")</f>
        <v/>
      </c>
      <c r="Z2945" s="525" t="str">
        <f>IF(AND(B2945&lt;=NKC!$N$8,B2945&gt;=NKC!$M$8),"x","")</f>
        <v/>
      </c>
      <c r="AA2945" s="526"/>
      <c r="AC2945" s="576"/>
      <c r="AD2945" s="576"/>
      <c r="AE2945" s="576"/>
    </row>
    <row r="2946" spans="1:31" s="527" customFormat="1" ht="15.75" customHeight="1">
      <c r="A2946" s="517" t="str">
        <f>IF(B2946&lt;&gt;"",IF(AND(B2946&gt;=_TM1,B2946&lt;=_TM2,OR(TH!L2946="1111",TH!M2946="1111")),TH!D2946,""),"")</f>
        <v/>
      </c>
      <c r="B2946" s="518">
        <f t="shared" si="251"/>
        <v>4</v>
      </c>
      <c r="C2946" s="571">
        <f t="shared" si="252"/>
        <v>42853</v>
      </c>
      <c r="D2946" s="519" t="s">
        <v>996</v>
      </c>
      <c r="E2946" s="571">
        <v>42853</v>
      </c>
      <c r="F2946" s="572" t="s">
        <v>1069</v>
      </c>
      <c r="G2946" s="573" t="s">
        <v>1116</v>
      </c>
      <c r="H2946" s="574" t="s">
        <v>800</v>
      </c>
      <c r="I2946" s="523">
        <v>8</v>
      </c>
      <c r="J2946" s="523">
        <v>49622</v>
      </c>
      <c r="K2946" s="575">
        <f t="shared" si="253"/>
        <v>396976</v>
      </c>
      <c r="L2946" s="591" t="s">
        <v>160</v>
      </c>
      <c r="M2946" s="591" t="s">
        <v>292</v>
      </c>
      <c r="N2946" s="525" t="str">
        <f>IF(AND('331-CT'!$E$7=TH!H2946,OR(L2946="331",M2946="331")),"331",IF(AND(OR(L2946="131",M2946="131"),H2946='131-CT'!$E$7),"131",""))</f>
        <v/>
      </c>
      <c r="O2946" s="525" t="str">
        <f>IF(AND($B2946&gt;='111'!$N$11,$B2946&lt;='111'!$O$11,OR($L2946=$O$7,$M2946=$O$7)),"x","")</f>
        <v/>
      </c>
      <c r="P2946" s="525" t="str">
        <f>IF(AND($L2946=$O$7,$B2946&lt;'111'!$N$11),"x","")</f>
        <v/>
      </c>
      <c r="Q2946" s="525" t="str">
        <f>IF(AND($M2946=$O$7,$B2946&lt;'111'!$N$11),"x","")</f>
        <v/>
      </c>
      <c r="R2946" s="525" t="str">
        <f>IF(ISERROR(FIND('112'!$M$9,G2946,1)),"",IF((AND(FIND('112'!$M$9,G2946,1)&gt;=1,$B2946&gt;='112'!$N$8,$B2946&lt;='112'!$O$8,OR($L2946='112'!$I$6,$M2946='112'!$I$6))),"x",""))</f>
        <v/>
      </c>
      <c r="S2946" s="525" t="str">
        <f>IF(ISERROR(FIND('112'!$M$9,G2946,1)),"",IF((AND(LEFT(G2946,2)=LEFT('112'!$M$9,2),B2946&lt;'112'!$N$8,$L2946='112'!$I$6)),"x",""))</f>
        <v/>
      </c>
      <c r="T2946" s="525" t="str">
        <f>IF(ISERROR(FIND('112'!$M$9,G2946,1)),"",IF((AND(RIGHT(G2946,2)=RIGHT('112'!$M$9,2),B2946&lt;'112'!$N$8,$M2946='112'!$I$6)),"x",""))</f>
        <v/>
      </c>
      <c r="U2946" s="525" t="str">
        <f>IF(AND(B2946&gt;='IN-NX'!$P$3,B2946&lt;='IN-NX'!$Q$3,'IN-NX'!$D$7=D2946,OR(LEFT(L2946,2)="15",AND(LEFT(M2946,2)&lt;&gt;"15",LEFT(M2946,2)&lt;&gt;"33"))),"x","")</f>
        <v/>
      </c>
      <c r="V2946" s="525" t="str">
        <f>IF(AND(OR(LEFT(TH!L2946,2)="15",LEFT(TH!M2946,2)="15"),'152-CT'!$J$8=TH!F2946),"x","")</f>
        <v/>
      </c>
      <c r="W2946" s="525" t="str">
        <f>IF(AND(OR(LEFT(TH!L2946,2)="15",LEFT(TH!M2946,2)="15"),TK!$E$7=TH!F2946),"x","")</f>
        <v/>
      </c>
      <c r="X2946" s="525" t="str">
        <f>IF(AND('341-CT'!$E$9=H2946,OR(LEFT(L2946,3)=$X$7,LEFT(M2946,3)=$X$7)),"x","")</f>
        <v/>
      </c>
      <c r="Y2946" s="525" t="str">
        <f>IF(OR(TH!L2946=TH!$Y$7,M2946=TH!$Y$7),"x","")</f>
        <v/>
      </c>
      <c r="Z2946" s="525" t="str">
        <f>IF(AND(B2946&lt;=NKC!$N$8,B2946&gt;=NKC!$M$8),"x","")</f>
        <v/>
      </c>
      <c r="AA2946" s="526"/>
      <c r="AC2946" s="576"/>
      <c r="AD2946" s="576"/>
      <c r="AE2946" s="576"/>
    </row>
    <row r="2947" spans="1:31" s="703" customFormat="1" ht="15.75" customHeight="1">
      <c r="A2947" s="517" t="str">
        <f>IF(B2947&lt;&gt;"",IF(AND(B2947&gt;=_TM1,B2947&lt;=_TM2,OR(TH!L2947="1111",TH!M2947="1111")),TH!D2947,""),"")</f>
        <v/>
      </c>
      <c r="B2947" s="698">
        <f t="shared" ref="B2947:B2952" si="254">IF(C2947&lt;&gt;"",MONTH(C2947),"")</f>
        <v>4</v>
      </c>
      <c r="C2947" s="699">
        <f t="shared" ref="C2947:C2984" si="255">E2947</f>
        <v>42827</v>
      </c>
      <c r="D2947" s="699" t="s">
        <v>997</v>
      </c>
      <c r="E2947" s="699">
        <v>42827</v>
      </c>
      <c r="F2947" s="700" t="s">
        <v>1005</v>
      </c>
      <c r="G2947" s="701" t="s">
        <v>1094</v>
      </c>
      <c r="H2947" s="694" t="s">
        <v>801</v>
      </c>
      <c r="I2947" s="695">
        <v>520</v>
      </c>
      <c r="J2947" s="695">
        <v>6873</v>
      </c>
      <c r="K2947" s="696">
        <f t="shared" ref="K2947:K2948" si="256">ROUND(I2947*J2947,0)</f>
        <v>3573960</v>
      </c>
      <c r="L2947" s="697" t="s">
        <v>158</v>
      </c>
      <c r="M2947" s="697" t="s">
        <v>292</v>
      </c>
      <c r="N2947" s="525" t="str">
        <f>IF(AND('331-CT'!$E$7=TH!H2947,OR(L2947="331",M2947="331")),"331",IF(AND(OR(L2947="131",M2947="131"),H2947='131-CT'!$E$7),"131",""))</f>
        <v/>
      </c>
      <c r="O2947" s="525" t="str">
        <f>IF(AND($B2947&gt;='111'!$N$11,$B2947&lt;='111'!$O$11,OR($L2947=$O$7,$M2947=$O$7)),"x","")</f>
        <v/>
      </c>
      <c r="P2947" s="525" t="str">
        <f>IF(AND($L2947=$O$7,$B2947&lt;'111'!$N$11),"x","")</f>
        <v/>
      </c>
      <c r="Q2947" s="525" t="str">
        <f>IF(AND($M2947=$O$7,$B2947&lt;'111'!$N$11),"x","")</f>
        <v/>
      </c>
      <c r="R2947" s="525" t="str">
        <f>IF(ISERROR(FIND('112'!$M$9,G2947,1)),"",IF((AND(FIND('112'!$M$9,G2947,1)&gt;=1,$B2947&gt;='112'!$N$8,$B2947&lt;='112'!$O$8,OR($L2947='112'!$I$6,$M2947='112'!$I$6))),"x",""))</f>
        <v/>
      </c>
      <c r="S2947" s="525" t="str">
        <f>IF(ISERROR(FIND('112'!$M$9,G2947,1)),"",IF((AND(LEFT(G2947,2)=LEFT('112'!$M$9,2),B2947&lt;'112'!$N$8,$L2947='112'!$I$6)),"x",""))</f>
        <v/>
      </c>
      <c r="T2947" s="525" t="str">
        <f>IF(ISERROR(FIND('112'!$M$9,G2947,1)),"",IF((AND(RIGHT(G2947,2)=RIGHT('112'!$M$9,2),B2947&lt;'112'!$N$8,$M2947='112'!$I$6)),"x",""))</f>
        <v/>
      </c>
      <c r="U2947" s="525" t="str">
        <f>IF(AND(B2947&gt;='IN-NX'!$P$3,B2947&lt;='IN-NX'!$Q$3,'IN-NX'!$D$7=D2947,OR(LEFT(L2947,2)="15",AND(LEFT(M2947,2)&lt;&gt;"15",LEFT(M2947,2)&lt;&gt;"33"))),"x","")</f>
        <v/>
      </c>
      <c r="V2947" s="525" t="str">
        <f>IF(AND(OR(LEFT(TH!L2947,2)="15",LEFT(TH!M2947,2)="15"),'152-CT'!$J$8=TH!F2947),"x","")</f>
        <v/>
      </c>
      <c r="W2947" s="525" t="str">
        <f>IF(AND(OR(LEFT(TH!L2947,2)="15",LEFT(TH!M2947,2)="15"),TK!$E$7=TH!F2947),"x","")</f>
        <v/>
      </c>
      <c r="X2947" s="525" t="str">
        <f>IF(AND('341-CT'!$E$9=H2947,OR(LEFT(L2947,3)=$X$7,LEFT(M2947,3)=$X$7)),"x","")</f>
        <v/>
      </c>
      <c r="Y2947" s="525" t="str">
        <f>IF(OR(TH!L2947=TH!$Y$7,M2947=TH!$Y$7),"x","")</f>
        <v/>
      </c>
      <c r="Z2947" s="525" t="str">
        <f>IF(AND(B2947&lt;=NKC!$N$8,B2947&gt;=NKC!$M$8),"x","")</f>
        <v/>
      </c>
      <c r="AA2947" s="702"/>
      <c r="AC2947" s="704"/>
      <c r="AD2947" s="704"/>
      <c r="AE2947" s="704"/>
    </row>
    <row r="2948" spans="1:31" s="704" customFormat="1" ht="15.75" customHeight="1">
      <c r="A2948" s="517" t="str">
        <f>IF(B2948&lt;&gt;"",IF(AND(B2948&gt;=_TM1,B2948&lt;=_TM2,OR(TH!L2948="1111",TH!M2948="1111")),TH!D2948,""),"")</f>
        <v/>
      </c>
      <c r="B2948" s="698">
        <f t="shared" si="254"/>
        <v>4</v>
      </c>
      <c r="C2948" s="699">
        <f t="shared" si="255"/>
        <v>42827</v>
      </c>
      <c r="D2948" s="699" t="s">
        <v>997</v>
      </c>
      <c r="E2948" s="699">
        <v>42827</v>
      </c>
      <c r="F2948" s="700" t="s">
        <v>1006</v>
      </c>
      <c r="G2948" s="701" t="s">
        <v>1094</v>
      </c>
      <c r="H2948" s="694" t="s">
        <v>801</v>
      </c>
      <c r="I2948" s="695">
        <v>255</v>
      </c>
      <c r="J2948" s="695">
        <v>16905</v>
      </c>
      <c r="K2948" s="696">
        <f t="shared" si="256"/>
        <v>4310775</v>
      </c>
      <c r="L2948" s="697" t="s">
        <v>158</v>
      </c>
      <c r="M2948" s="697" t="s">
        <v>292</v>
      </c>
      <c r="N2948" s="525" t="str">
        <f>IF(AND('331-CT'!$E$7=TH!H2948,OR(L2948="331",M2948="331")),"331",IF(AND(OR(L2948="131",M2948="131"),H2948='131-CT'!$E$7),"131",""))</f>
        <v/>
      </c>
      <c r="O2948" s="525" t="str">
        <f>IF(AND($B2948&gt;='111'!$N$11,$B2948&lt;='111'!$O$11,OR($L2948=$O$7,$M2948=$O$7)),"x","")</f>
        <v/>
      </c>
      <c r="P2948" s="525" t="str">
        <f>IF(AND($L2948=$O$7,$B2948&lt;'111'!$N$11),"x","")</f>
        <v/>
      </c>
      <c r="Q2948" s="525" t="str">
        <f>IF(AND($M2948=$O$7,$B2948&lt;'111'!$N$11),"x","")</f>
        <v/>
      </c>
      <c r="R2948" s="525" t="str">
        <f>IF(ISERROR(FIND('112'!$M$9,G2948,1)),"",IF((AND(FIND('112'!$M$9,G2948,1)&gt;=1,$B2948&gt;='112'!$N$8,$B2948&lt;='112'!$O$8,OR($L2948='112'!$I$6,$M2948='112'!$I$6))),"x",""))</f>
        <v/>
      </c>
      <c r="S2948" s="525" t="str">
        <f>IF(ISERROR(FIND('112'!$M$9,G2948,1)),"",IF((AND(LEFT(G2948,2)=LEFT('112'!$M$9,2),B2948&lt;'112'!$N$8,$L2948='112'!$I$6)),"x",""))</f>
        <v/>
      </c>
      <c r="T2948" s="525" t="str">
        <f>IF(ISERROR(FIND('112'!$M$9,G2948,1)),"",IF((AND(RIGHT(G2948,2)=RIGHT('112'!$M$9,2),B2948&lt;'112'!$N$8,$M2948='112'!$I$6)),"x",""))</f>
        <v/>
      </c>
      <c r="U2948" s="525" t="str">
        <f>IF(AND(B2948&gt;='IN-NX'!$P$3,B2948&lt;='IN-NX'!$Q$3,'IN-NX'!$D$7=D2948,OR(LEFT(L2948,2)="15",AND(LEFT(M2948,2)&lt;&gt;"15",LEFT(M2948,2)&lt;&gt;"33"))),"x","")</f>
        <v/>
      </c>
      <c r="V2948" s="525" t="str">
        <f>IF(AND(OR(LEFT(TH!L2948,2)="15",LEFT(TH!M2948,2)="15"),'152-CT'!$J$8=TH!F2948),"x","")</f>
        <v/>
      </c>
      <c r="W2948" s="525" t="str">
        <f>IF(AND(OR(LEFT(TH!L2948,2)="15",LEFT(TH!M2948,2)="15"),TK!$E$7=TH!F2948),"x","")</f>
        <v/>
      </c>
      <c r="X2948" s="525" t="str">
        <f>IF(AND('341-CT'!$E$9=H2948,OR(LEFT(L2948,3)=$X$7,LEFT(M2948,3)=$X$7)),"x","")</f>
        <v/>
      </c>
      <c r="Y2948" s="525" t="str">
        <f>IF(OR(TH!L2948=TH!$Y$7,M2948=TH!$Y$7),"x","")</f>
        <v/>
      </c>
      <c r="Z2948" s="525" t="str">
        <f>IF(AND(B2948&lt;=NKC!$N$8,B2948&gt;=NKC!$M$8),"x","")</f>
        <v/>
      </c>
      <c r="AA2948" s="702"/>
      <c r="AB2948" s="703"/>
    </row>
    <row r="2949" spans="1:31" s="704" customFormat="1" ht="15.75" customHeight="1">
      <c r="A2949" s="517" t="str">
        <f>IF(B2949&lt;&gt;"",IF(AND(B2949&gt;=_TM1,B2949&lt;=_TM2,OR(TH!L2949="1111",TH!M2949="1111")),TH!D2949,""),"")</f>
        <v/>
      </c>
      <c r="B2949" s="698">
        <f t="shared" si="254"/>
        <v>4</v>
      </c>
      <c r="C2949" s="699">
        <f t="shared" si="255"/>
        <v>42827</v>
      </c>
      <c r="D2949" s="699" t="s">
        <v>997</v>
      </c>
      <c r="E2949" s="699">
        <v>42827</v>
      </c>
      <c r="F2949" s="700" t="s">
        <v>1007</v>
      </c>
      <c r="G2949" s="701" t="s">
        <v>1094</v>
      </c>
      <c r="H2949" s="694" t="s">
        <v>801</v>
      </c>
      <c r="I2949" s="695">
        <v>600</v>
      </c>
      <c r="J2949" s="695">
        <v>7853</v>
      </c>
      <c r="K2949" s="696">
        <f t="shared" ref="K2949:K2979" si="257">ROUND(I2949*J2949,0)</f>
        <v>4711800</v>
      </c>
      <c r="L2949" s="697" t="s">
        <v>158</v>
      </c>
      <c r="M2949" s="697" t="s">
        <v>292</v>
      </c>
      <c r="N2949" s="525" t="str">
        <f>IF(AND('331-CT'!$E$7=TH!H2949,OR(L2949="331",M2949="331")),"331",IF(AND(OR(L2949="131",M2949="131"),H2949='131-CT'!$E$7),"131",""))</f>
        <v/>
      </c>
      <c r="O2949" s="525" t="str">
        <f>IF(AND($B2949&gt;='111'!$N$11,$B2949&lt;='111'!$O$11,OR($L2949=$O$7,$M2949=$O$7)),"x","")</f>
        <v/>
      </c>
      <c r="P2949" s="525" t="str">
        <f>IF(AND($L2949=$O$7,$B2949&lt;'111'!$N$11),"x","")</f>
        <v/>
      </c>
      <c r="Q2949" s="525" t="str">
        <f>IF(AND($M2949=$O$7,$B2949&lt;'111'!$N$11),"x","")</f>
        <v/>
      </c>
      <c r="R2949" s="525" t="str">
        <f>IF(ISERROR(FIND('112'!$M$9,G2949,1)),"",IF((AND(FIND('112'!$M$9,G2949,1)&gt;=1,$B2949&gt;='112'!$N$8,$B2949&lt;='112'!$O$8,OR($L2949='112'!$I$6,$M2949='112'!$I$6))),"x",""))</f>
        <v/>
      </c>
      <c r="S2949" s="525" t="str">
        <f>IF(ISERROR(FIND('112'!$M$9,G2949,1)),"",IF((AND(LEFT(G2949,2)=LEFT('112'!$M$9,2),B2949&lt;'112'!$N$8,$L2949='112'!$I$6)),"x",""))</f>
        <v/>
      </c>
      <c r="T2949" s="525" t="str">
        <f>IF(ISERROR(FIND('112'!$M$9,G2949,1)),"",IF((AND(RIGHT(G2949,2)=RIGHT('112'!$M$9,2),B2949&lt;'112'!$N$8,$M2949='112'!$I$6)),"x",""))</f>
        <v/>
      </c>
      <c r="U2949" s="525" t="str">
        <f>IF(AND(B2949&gt;='IN-NX'!$P$3,B2949&lt;='IN-NX'!$Q$3,'IN-NX'!$D$7=D2949,OR(LEFT(L2949,2)="15",AND(LEFT(M2949,2)&lt;&gt;"15",LEFT(M2949,2)&lt;&gt;"33"))),"x","")</f>
        <v/>
      </c>
      <c r="V2949" s="525" t="str">
        <f>IF(AND(OR(LEFT(TH!L2949,2)="15",LEFT(TH!M2949,2)="15"),'152-CT'!$J$8=TH!F2949),"x","")</f>
        <v/>
      </c>
      <c r="W2949" s="525" t="str">
        <f>IF(AND(OR(LEFT(TH!L2949,2)="15",LEFT(TH!M2949,2)="15"),TK!$E$7=TH!F2949),"x","")</f>
        <v/>
      </c>
      <c r="X2949" s="525" t="str">
        <f>IF(AND('341-CT'!$E$9=H2949,OR(LEFT(L2949,3)=$X$7,LEFT(M2949,3)=$X$7)),"x","")</f>
        <v/>
      </c>
      <c r="Y2949" s="525" t="str">
        <f>IF(OR(TH!L2949=TH!$Y$7,M2949=TH!$Y$7),"x","")</f>
        <v/>
      </c>
      <c r="Z2949" s="525" t="str">
        <f>IF(AND(B2949&lt;=NKC!$N$8,B2949&gt;=NKC!$M$8),"x","")</f>
        <v/>
      </c>
      <c r="AA2949" s="702"/>
      <c r="AB2949" s="703"/>
    </row>
    <row r="2950" spans="1:31" s="704" customFormat="1" ht="15.75" customHeight="1">
      <c r="A2950" s="517" t="str">
        <f>IF(B2950&lt;&gt;"",IF(AND(B2950&gt;=_TM1,B2950&lt;=_TM2,OR(TH!L2950="1111",TH!M2950="1111")),TH!D2950,""),"")</f>
        <v/>
      </c>
      <c r="B2950" s="698">
        <f t="shared" si="254"/>
        <v>4</v>
      </c>
      <c r="C2950" s="699">
        <f t="shared" si="255"/>
        <v>42830</v>
      </c>
      <c r="D2950" s="699" t="s">
        <v>997</v>
      </c>
      <c r="E2950" s="699">
        <v>42830</v>
      </c>
      <c r="F2950" s="700" t="s">
        <v>1008</v>
      </c>
      <c r="G2950" s="701" t="s">
        <v>1096</v>
      </c>
      <c r="H2950" s="694" t="s">
        <v>801</v>
      </c>
      <c r="I2950" s="695">
        <v>4800</v>
      </c>
      <c r="J2950" s="695">
        <v>8918</v>
      </c>
      <c r="K2950" s="696">
        <f t="shared" si="257"/>
        <v>42806400</v>
      </c>
      <c r="L2950" s="697" t="s">
        <v>158</v>
      </c>
      <c r="M2950" s="697" t="s">
        <v>292</v>
      </c>
      <c r="N2950" s="525" t="str">
        <f>IF(AND('331-CT'!$E$7=TH!H2950,OR(L2950="331",M2950="331")),"331",IF(AND(OR(L2950="131",M2950="131"),H2950='131-CT'!$E$7),"131",""))</f>
        <v/>
      </c>
      <c r="O2950" s="525" t="str">
        <f>IF(AND($B2950&gt;='111'!$N$11,$B2950&lt;='111'!$O$11,OR($L2950=$O$7,$M2950=$O$7)),"x","")</f>
        <v/>
      </c>
      <c r="P2950" s="525" t="str">
        <f>IF(AND($L2950=$O$7,$B2950&lt;'111'!$N$11),"x","")</f>
        <v/>
      </c>
      <c r="Q2950" s="525" t="str">
        <f>IF(AND($M2950=$O$7,$B2950&lt;'111'!$N$11),"x","")</f>
        <v/>
      </c>
      <c r="R2950" s="525" t="str">
        <f>IF(ISERROR(FIND('112'!$M$9,G2950,1)),"",IF((AND(FIND('112'!$M$9,G2950,1)&gt;=1,$B2950&gt;='112'!$N$8,$B2950&lt;='112'!$O$8,OR($L2950='112'!$I$6,$M2950='112'!$I$6))),"x",""))</f>
        <v/>
      </c>
      <c r="S2950" s="525" t="str">
        <f>IF(ISERROR(FIND('112'!$M$9,G2950,1)),"",IF((AND(LEFT(G2950,2)=LEFT('112'!$M$9,2),B2950&lt;'112'!$N$8,$L2950='112'!$I$6)),"x",""))</f>
        <v/>
      </c>
      <c r="T2950" s="525" t="str">
        <f>IF(ISERROR(FIND('112'!$M$9,G2950,1)),"",IF((AND(RIGHT(G2950,2)=RIGHT('112'!$M$9,2),B2950&lt;'112'!$N$8,$M2950='112'!$I$6)),"x",""))</f>
        <v/>
      </c>
      <c r="U2950" s="525" t="str">
        <f>IF(AND(B2950&gt;='IN-NX'!$P$3,B2950&lt;='IN-NX'!$Q$3,'IN-NX'!$D$7=D2950,OR(LEFT(L2950,2)="15",AND(LEFT(M2950,2)&lt;&gt;"15",LEFT(M2950,2)&lt;&gt;"33"))),"x","")</f>
        <v/>
      </c>
      <c r="V2950" s="525" t="str">
        <f>IF(AND(OR(LEFT(TH!L2950,2)="15",LEFT(TH!M2950,2)="15"),'152-CT'!$J$8=TH!F2950),"x","")</f>
        <v/>
      </c>
      <c r="W2950" s="525" t="str">
        <f>IF(AND(OR(LEFT(TH!L2950,2)="15",LEFT(TH!M2950,2)="15"),TK!$E$7=TH!F2950),"x","")</f>
        <v/>
      </c>
      <c r="X2950" s="525" t="str">
        <f>IF(AND('341-CT'!$E$9=H2950,OR(LEFT(L2950,3)=$X$7,LEFT(M2950,3)=$X$7)),"x","")</f>
        <v/>
      </c>
      <c r="Y2950" s="525" t="str">
        <f>IF(OR(TH!L2950=TH!$Y$7,M2950=TH!$Y$7),"x","")</f>
        <v/>
      </c>
      <c r="Z2950" s="525" t="str">
        <f>IF(AND(B2950&lt;=NKC!$N$8,B2950&gt;=NKC!$M$8),"x","")</f>
        <v/>
      </c>
      <c r="AA2950" s="702"/>
      <c r="AB2950" s="703"/>
    </row>
    <row r="2951" spans="1:31" s="704" customFormat="1" ht="15.75" customHeight="1">
      <c r="A2951" s="517" t="str">
        <f>IF(B2951&lt;&gt;"",IF(AND(B2951&gt;=_TM1,B2951&lt;=_TM2,OR(TH!L2951="1111",TH!M2951="1111")),TH!D2951,""),"")</f>
        <v/>
      </c>
      <c r="B2951" s="698">
        <f t="shared" si="254"/>
        <v>4</v>
      </c>
      <c r="C2951" s="699">
        <f t="shared" si="255"/>
        <v>42830</v>
      </c>
      <c r="D2951" s="699" t="s">
        <v>997</v>
      </c>
      <c r="E2951" s="699">
        <v>42830</v>
      </c>
      <c r="F2951" s="700" t="s">
        <v>500</v>
      </c>
      <c r="G2951" s="701" t="s">
        <v>1097</v>
      </c>
      <c r="H2951" s="694" t="s">
        <v>801</v>
      </c>
      <c r="I2951" s="695">
        <v>300</v>
      </c>
      <c r="J2951" s="695">
        <v>7712</v>
      </c>
      <c r="K2951" s="696">
        <f t="shared" si="257"/>
        <v>2313600</v>
      </c>
      <c r="L2951" s="697" t="s">
        <v>158</v>
      </c>
      <c r="M2951" s="697" t="s">
        <v>292</v>
      </c>
      <c r="N2951" s="525" t="str">
        <f>IF(AND('331-CT'!$E$7=TH!H2951,OR(L2951="331",M2951="331")),"331",IF(AND(OR(L2951="131",M2951="131"),H2951='131-CT'!$E$7),"131",""))</f>
        <v/>
      </c>
      <c r="O2951" s="525" t="str">
        <f>IF(AND($B2951&gt;='111'!$N$11,$B2951&lt;='111'!$O$11,OR($L2951=$O$7,$M2951=$O$7)),"x","")</f>
        <v/>
      </c>
      <c r="P2951" s="525" t="str">
        <f>IF(AND($L2951=$O$7,$B2951&lt;'111'!$N$11),"x","")</f>
        <v/>
      </c>
      <c r="Q2951" s="525" t="str">
        <f>IF(AND($M2951=$O$7,$B2951&lt;'111'!$N$11),"x","")</f>
        <v/>
      </c>
      <c r="R2951" s="525" t="str">
        <f>IF(ISERROR(FIND('112'!$M$9,G2951,1)),"",IF((AND(FIND('112'!$M$9,G2951,1)&gt;=1,$B2951&gt;='112'!$N$8,$B2951&lt;='112'!$O$8,OR($L2951='112'!$I$6,$M2951='112'!$I$6))),"x",""))</f>
        <v/>
      </c>
      <c r="S2951" s="525" t="str">
        <f>IF(ISERROR(FIND('112'!$M$9,G2951,1)),"",IF((AND(LEFT(G2951,2)=LEFT('112'!$M$9,2),B2951&lt;'112'!$N$8,$L2951='112'!$I$6)),"x",""))</f>
        <v/>
      </c>
      <c r="T2951" s="525" t="str">
        <f>IF(ISERROR(FIND('112'!$M$9,G2951,1)),"",IF((AND(RIGHT(G2951,2)=RIGHT('112'!$M$9,2),B2951&lt;'112'!$N$8,$M2951='112'!$I$6)),"x",""))</f>
        <v/>
      </c>
      <c r="U2951" s="525" t="str">
        <f>IF(AND(B2951&gt;='IN-NX'!$P$3,B2951&lt;='IN-NX'!$Q$3,'IN-NX'!$D$7=D2951,OR(LEFT(L2951,2)="15",AND(LEFT(M2951,2)&lt;&gt;"15",LEFT(M2951,2)&lt;&gt;"33"))),"x","")</f>
        <v/>
      </c>
      <c r="V2951" s="525" t="str">
        <f>IF(AND(OR(LEFT(TH!L2951,2)="15",LEFT(TH!M2951,2)="15"),'152-CT'!$J$8=TH!F2951),"x","")</f>
        <v/>
      </c>
      <c r="W2951" s="525" t="str">
        <f>IF(AND(OR(LEFT(TH!L2951,2)="15",LEFT(TH!M2951,2)="15"),TK!$E$7=TH!F2951),"x","")</f>
        <v/>
      </c>
      <c r="X2951" s="525" t="str">
        <f>IF(AND('341-CT'!$E$9=H2951,OR(LEFT(L2951,3)=$X$7,LEFT(M2951,3)=$X$7)),"x","")</f>
        <v/>
      </c>
      <c r="Y2951" s="525" t="str">
        <f>IF(OR(TH!L2951=TH!$Y$7,M2951=TH!$Y$7),"x","")</f>
        <v/>
      </c>
      <c r="Z2951" s="525" t="str">
        <f>IF(AND(B2951&lt;=NKC!$N$8,B2951&gt;=NKC!$M$8),"x","")</f>
        <v/>
      </c>
      <c r="AA2951" s="702"/>
      <c r="AB2951" s="703"/>
    </row>
    <row r="2952" spans="1:31" s="704" customFormat="1" ht="15.75" customHeight="1">
      <c r="A2952" s="517" t="str">
        <f>IF(B2952&lt;&gt;"",IF(AND(B2952&gt;=_TM1,B2952&lt;=_TM2,OR(TH!L2952="1111",TH!M2952="1111")),TH!D2952,""),"")</f>
        <v/>
      </c>
      <c r="B2952" s="698">
        <f t="shared" si="254"/>
        <v>4</v>
      </c>
      <c r="C2952" s="699">
        <f t="shared" si="255"/>
        <v>42831</v>
      </c>
      <c r="D2952" s="699" t="s">
        <v>997</v>
      </c>
      <c r="E2952" s="699">
        <v>42831</v>
      </c>
      <c r="F2952" s="700" t="s">
        <v>1005</v>
      </c>
      <c r="G2952" s="701" t="s">
        <v>1098</v>
      </c>
      <c r="H2952" s="694" t="s">
        <v>801</v>
      </c>
      <c r="I2952" s="695">
        <v>620</v>
      </c>
      <c r="J2952" s="695">
        <v>6873</v>
      </c>
      <c r="K2952" s="696">
        <f t="shared" si="257"/>
        <v>4261260</v>
      </c>
      <c r="L2952" s="697" t="s">
        <v>158</v>
      </c>
      <c r="M2952" s="697" t="s">
        <v>292</v>
      </c>
      <c r="N2952" s="525" t="str">
        <f>IF(AND('331-CT'!$E$7=TH!H2952,OR(L2952="331",M2952="331")),"331",IF(AND(OR(L2952="131",M2952="131"),H2952='131-CT'!$E$7),"131",""))</f>
        <v/>
      </c>
      <c r="O2952" s="525" t="str">
        <f>IF(AND($B2952&gt;='111'!$N$11,$B2952&lt;='111'!$O$11,OR($L2952=$O$7,$M2952=$O$7)),"x","")</f>
        <v/>
      </c>
      <c r="P2952" s="525" t="str">
        <f>IF(AND($L2952=$O$7,$B2952&lt;'111'!$N$11),"x","")</f>
        <v/>
      </c>
      <c r="Q2952" s="525" t="str">
        <f>IF(AND($M2952=$O$7,$B2952&lt;'111'!$N$11),"x","")</f>
        <v/>
      </c>
      <c r="R2952" s="525" t="str">
        <f>IF(ISERROR(FIND('112'!$M$9,G2952,1)),"",IF((AND(FIND('112'!$M$9,G2952,1)&gt;=1,$B2952&gt;='112'!$N$8,$B2952&lt;='112'!$O$8,OR($L2952='112'!$I$6,$M2952='112'!$I$6))),"x",""))</f>
        <v/>
      </c>
      <c r="S2952" s="525" t="str">
        <f>IF(ISERROR(FIND('112'!$M$9,G2952,1)),"",IF((AND(LEFT(G2952,2)=LEFT('112'!$M$9,2),B2952&lt;'112'!$N$8,$L2952='112'!$I$6)),"x",""))</f>
        <v/>
      </c>
      <c r="T2952" s="525" t="str">
        <f>IF(ISERROR(FIND('112'!$M$9,G2952,1)),"",IF((AND(RIGHT(G2952,2)=RIGHT('112'!$M$9,2),B2952&lt;'112'!$N$8,$M2952='112'!$I$6)),"x",""))</f>
        <v/>
      </c>
      <c r="U2952" s="525" t="str">
        <f>IF(AND(B2952&gt;='IN-NX'!$P$3,B2952&lt;='IN-NX'!$Q$3,'IN-NX'!$D$7=D2952,OR(LEFT(L2952,2)="15",AND(LEFT(M2952,2)&lt;&gt;"15",LEFT(M2952,2)&lt;&gt;"33"))),"x","")</f>
        <v/>
      </c>
      <c r="V2952" s="525" t="str">
        <f>IF(AND(OR(LEFT(TH!L2952,2)="15",LEFT(TH!M2952,2)="15"),'152-CT'!$J$8=TH!F2952),"x","")</f>
        <v/>
      </c>
      <c r="W2952" s="525" t="str">
        <f>IF(AND(OR(LEFT(TH!L2952,2)="15",LEFT(TH!M2952,2)="15"),TK!$E$7=TH!F2952),"x","")</f>
        <v/>
      </c>
      <c r="X2952" s="525" t="str">
        <f>IF(AND('341-CT'!$E$9=H2952,OR(LEFT(L2952,3)=$X$7,LEFT(M2952,3)=$X$7)),"x","")</f>
        <v/>
      </c>
      <c r="Y2952" s="525" t="str">
        <f>IF(OR(TH!L2952=TH!$Y$7,M2952=TH!$Y$7),"x","")</f>
        <v/>
      </c>
      <c r="Z2952" s="525" t="str">
        <f>IF(AND(B2952&lt;=NKC!$N$8,B2952&gt;=NKC!$M$8),"x","")</f>
        <v/>
      </c>
      <c r="AA2952" s="702"/>
      <c r="AB2952" s="703"/>
    </row>
    <row r="2953" spans="1:31" s="704" customFormat="1" ht="15.75" customHeight="1">
      <c r="A2953" s="517" t="str">
        <f>IF(B2953&lt;&gt;"",IF(AND(B2953&gt;=_TM1,B2953&lt;=_TM2,OR(TH!L2953="1111",TH!M2953="1111")),TH!D2953,""),"")</f>
        <v/>
      </c>
      <c r="B2953" s="698">
        <f t="shared" ref="B2953:B2955" si="258">IF(C2953&lt;&gt;"",MONTH(C2953),"")</f>
        <v>4</v>
      </c>
      <c r="C2953" s="699">
        <f t="shared" si="255"/>
        <v>42831</v>
      </c>
      <c r="D2953" s="699" t="s">
        <v>997</v>
      </c>
      <c r="E2953" s="699">
        <v>42831</v>
      </c>
      <c r="F2953" s="700" t="s">
        <v>1010</v>
      </c>
      <c r="G2953" s="701" t="s">
        <v>1098</v>
      </c>
      <c r="H2953" s="694" t="s">
        <v>801</v>
      </c>
      <c r="I2953" s="705">
        <v>480</v>
      </c>
      <c r="J2953" s="705">
        <v>13651</v>
      </c>
      <c r="K2953" s="696">
        <f t="shared" si="257"/>
        <v>6552480</v>
      </c>
      <c r="L2953" s="697" t="s">
        <v>158</v>
      </c>
      <c r="M2953" s="697" t="s">
        <v>292</v>
      </c>
      <c r="N2953" s="525" t="str">
        <f>IF(AND('331-CT'!$E$7=TH!H2953,OR(L2953="331",M2953="331")),"331",IF(AND(OR(L2953="131",M2953="131"),H2953='131-CT'!$E$7),"131",""))</f>
        <v/>
      </c>
      <c r="O2953" s="525" t="str">
        <f>IF(AND($B2953&gt;='111'!$N$11,$B2953&lt;='111'!$O$11,OR($L2953=$O$7,$M2953=$O$7)),"x","")</f>
        <v/>
      </c>
      <c r="P2953" s="525" t="str">
        <f>IF(AND($L2953=$O$7,$B2953&lt;'111'!$N$11),"x","")</f>
        <v/>
      </c>
      <c r="Q2953" s="525" t="str">
        <f>IF(AND($M2953=$O$7,$B2953&lt;'111'!$N$11),"x","")</f>
        <v/>
      </c>
      <c r="R2953" s="525" t="str">
        <f>IF(ISERROR(FIND('112'!$M$9,G2953,1)),"",IF((AND(FIND('112'!$M$9,G2953,1)&gt;=1,$B2953&gt;='112'!$N$8,$B2953&lt;='112'!$O$8,OR($L2953='112'!$I$6,$M2953='112'!$I$6))),"x",""))</f>
        <v/>
      </c>
      <c r="S2953" s="525" t="str">
        <f>IF(ISERROR(FIND('112'!$M$9,G2953,1)),"",IF((AND(LEFT(G2953,2)=LEFT('112'!$M$9,2),B2953&lt;'112'!$N$8,$L2953='112'!$I$6)),"x",""))</f>
        <v/>
      </c>
      <c r="T2953" s="525" t="str">
        <f>IF(ISERROR(FIND('112'!$M$9,G2953,1)),"",IF((AND(RIGHT(G2953,2)=RIGHT('112'!$M$9,2),B2953&lt;'112'!$N$8,$M2953='112'!$I$6)),"x",""))</f>
        <v/>
      </c>
      <c r="U2953" s="525" t="str">
        <f>IF(AND(B2953&gt;='IN-NX'!$P$3,B2953&lt;='IN-NX'!$Q$3,'IN-NX'!$D$7=D2953,OR(LEFT(L2953,2)="15",AND(LEFT(M2953,2)&lt;&gt;"15",LEFT(M2953,2)&lt;&gt;"33"))),"x","")</f>
        <v/>
      </c>
      <c r="V2953" s="525" t="str">
        <f>IF(AND(OR(LEFT(TH!L2953,2)="15",LEFT(TH!M2953,2)="15"),'152-CT'!$J$8=TH!F2953),"x","")</f>
        <v/>
      </c>
      <c r="W2953" s="525" t="str">
        <f>IF(AND(OR(LEFT(TH!L2953,2)="15",LEFT(TH!M2953,2)="15"),TK!$E$7=TH!F2953),"x","")</f>
        <v/>
      </c>
      <c r="X2953" s="525" t="str">
        <f>IF(AND('341-CT'!$E$9=H2953,OR(LEFT(L2953,3)=$X$7,LEFT(M2953,3)=$X$7)),"x","")</f>
        <v/>
      </c>
      <c r="Y2953" s="525" t="str">
        <f>IF(OR(TH!L2953=TH!$Y$7,M2953=TH!$Y$7),"x","")</f>
        <v/>
      </c>
      <c r="Z2953" s="525" t="str">
        <f>IF(AND(B2953&lt;=NKC!$N$8,B2953&gt;=NKC!$M$8),"x","")</f>
        <v/>
      </c>
      <c r="AA2953" s="702"/>
      <c r="AB2953" s="703"/>
    </row>
    <row r="2954" spans="1:31" s="704" customFormat="1" ht="15.75" customHeight="1">
      <c r="A2954" s="517" t="str">
        <f>IF(B2954&lt;&gt;"",IF(AND(B2954&gt;=_TM1,B2954&lt;=_TM2,OR(TH!L2954="1111",TH!M2954="1111")),TH!D2954,""),"")</f>
        <v/>
      </c>
      <c r="B2954" s="698">
        <f t="shared" si="258"/>
        <v>4</v>
      </c>
      <c r="C2954" s="699">
        <f t="shared" si="255"/>
        <v>42831</v>
      </c>
      <c r="D2954" s="699" t="s">
        <v>997</v>
      </c>
      <c r="E2954" s="699">
        <v>42831</v>
      </c>
      <c r="F2954" s="700" t="s">
        <v>1007</v>
      </c>
      <c r="G2954" s="701" t="s">
        <v>1098</v>
      </c>
      <c r="H2954" s="694" t="s">
        <v>801</v>
      </c>
      <c r="I2954" s="695">
        <v>1920</v>
      </c>
      <c r="J2954" s="695">
        <v>6873</v>
      </c>
      <c r="K2954" s="696">
        <f t="shared" si="257"/>
        <v>13196160</v>
      </c>
      <c r="L2954" s="697" t="s">
        <v>158</v>
      </c>
      <c r="M2954" s="697" t="s">
        <v>292</v>
      </c>
      <c r="N2954" s="525" t="str">
        <f>IF(AND('331-CT'!$E$7=TH!H2954,OR(L2954="331",M2954="331")),"331",IF(AND(OR(L2954="131",M2954="131"),H2954='131-CT'!$E$7),"131",""))</f>
        <v/>
      </c>
      <c r="O2954" s="525" t="str">
        <f>IF(AND($B2954&gt;='111'!$N$11,$B2954&lt;='111'!$O$11,OR($L2954=$O$7,$M2954=$O$7)),"x","")</f>
        <v/>
      </c>
      <c r="P2954" s="525" t="str">
        <f>IF(AND($L2954=$O$7,$B2954&lt;'111'!$N$11),"x","")</f>
        <v/>
      </c>
      <c r="Q2954" s="525" t="str">
        <f>IF(AND($M2954=$O$7,$B2954&lt;'111'!$N$11),"x","")</f>
        <v/>
      </c>
      <c r="R2954" s="525" t="str">
        <f>IF(ISERROR(FIND('112'!$M$9,G2954,1)),"",IF((AND(FIND('112'!$M$9,G2954,1)&gt;=1,$B2954&gt;='112'!$N$8,$B2954&lt;='112'!$O$8,OR($L2954='112'!$I$6,$M2954='112'!$I$6))),"x",""))</f>
        <v/>
      </c>
      <c r="S2954" s="525" t="str">
        <f>IF(ISERROR(FIND('112'!$M$9,G2954,1)),"",IF((AND(LEFT(G2954,2)=LEFT('112'!$M$9,2),B2954&lt;'112'!$N$8,$L2954='112'!$I$6)),"x",""))</f>
        <v/>
      </c>
      <c r="T2954" s="525" t="str">
        <f>IF(ISERROR(FIND('112'!$M$9,G2954,1)),"",IF((AND(RIGHT(G2954,2)=RIGHT('112'!$M$9,2),B2954&lt;'112'!$N$8,$M2954='112'!$I$6)),"x",""))</f>
        <v/>
      </c>
      <c r="U2954" s="525" t="str">
        <f>IF(AND(B2954&gt;='IN-NX'!$P$3,B2954&lt;='IN-NX'!$Q$3,'IN-NX'!$D$7=D2954,OR(LEFT(L2954,2)="15",AND(LEFT(M2954,2)&lt;&gt;"15",LEFT(M2954,2)&lt;&gt;"33"))),"x","")</f>
        <v/>
      </c>
      <c r="V2954" s="525" t="str">
        <f>IF(AND(OR(LEFT(TH!L2954,2)="15",LEFT(TH!M2954,2)="15"),'152-CT'!$J$8=TH!F2954),"x","")</f>
        <v/>
      </c>
      <c r="W2954" s="525" t="str">
        <f>IF(AND(OR(LEFT(TH!L2954,2)="15",LEFT(TH!M2954,2)="15"),TK!$E$7=TH!F2954),"x","")</f>
        <v/>
      </c>
      <c r="X2954" s="525" t="str">
        <f>IF(AND('341-CT'!$E$9=H2954,OR(LEFT(L2954,3)=$X$7,LEFT(M2954,3)=$X$7)),"x","")</f>
        <v/>
      </c>
      <c r="Y2954" s="525" t="str">
        <f>IF(OR(TH!L2954=TH!$Y$7,M2954=TH!$Y$7),"x","")</f>
        <v/>
      </c>
      <c r="Z2954" s="525" t="str">
        <f>IF(AND(B2954&lt;=NKC!$N$8,B2954&gt;=NKC!$M$8),"x","")</f>
        <v/>
      </c>
      <c r="AA2954" s="702"/>
      <c r="AB2954" s="703"/>
    </row>
    <row r="2955" spans="1:31" s="704" customFormat="1" ht="15.75" customHeight="1">
      <c r="A2955" s="517" t="str">
        <f>IF(B2955&lt;&gt;"",IF(AND(B2955&gt;=_TM1,B2955&lt;=_TM2,OR(TH!L2955="1111",TH!M2955="1111")),TH!D2955,""),"")</f>
        <v/>
      </c>
      <c r="B2955" s="698">
        <f t="shared" si="258"/>
        <v>4</v>
      </c>
      <c r="C2955" s="699">
        <f t="shared" si="255"/>
        <v>42831</v>
      </c>
      <c r="D2955" s="699" t="s">
        <v>997</v>
      </c>
      <c r="E2955" s="699">
        <v>42831</v>
      </c>
      <c r="F2955" s="700" t="s">
        <v>1011</v>
      </c>
      <c r="G2955" s="701" t="s">
        <v>1098</v>
      </c>
      <c r="H2955" s="694" t="s">
        <v>801</v>
      </c>
      <c r="I2955" s="695">
        <v>1010</v>
      </c>
      <c r="J2955" s="695">
        <v>3479</v>
      </c>
      <c r="K2955" s="696">
        <f t="shared" si="257"/>
        <v>3513790</v>
      </c>
      <c r="L2955" s="697" t="s">
        <v>158</v>
      </c>
      <c r="M2955" s="697" t="s">
        <v>292</v>
      </c>
      <c r="N2955" s="525" t="str">
        <f>IF(AND('331-CT'!$E$7=TH!H2955,OR(L2955="331",M2955="331")),"331",IF(AND(OR(L2955="131",M2955="131"),H2955='131-CT'!$E$7),"131",""))</f>
        <v/>
      </c>
      <c r="O2955" s="525" t="str">
        <f>IF(AND($B2955&gt;='111'!$N$11,$B2955&lt;='111'!$O$11,OR($L2955=$O$7,$M2955=$O$7)),"x","")</f>
        <v/>
      </c>
      <c r="P2955" s="525" t="str">
        <f>IF(AND($L2955=$O$7,$B2955&lt;'111'!$N$11),"x","")</f>
        <v/>
      </c>
      <c r="Q2955" s="525" t="str">
        <f>IF(AND($M2955=$O$7,$B2955&lt;'111'!$N$11),"x","")</f>
        <v/>
      </c>
      <c r="R2955" s="525" t="str">
        <f>IF(ISERROR(FIND('112'!$M$9,G2955,1)),"",IF((AND(FIND('112'!$M$9,G2955,1)&gt;=1,$B2955&gt;='112'!$N$8,$B2955&lt;='112'!$O$8,OR($L2955='112'!$I$6,$M2955='112'!$I$6))),"x",""))</f>
        <v/>
      </c>
      <c r="S2955" s="525" t="str">
        <f>IF(ISERROR(FIND('112'!$M$9,G2955,1)),"",IF((AND(LEFT(G2955,2)=LEFT('112'!$M$9,2),B2955&lt;'112'!$N$8,$L2955='112'!$I$6)),"x",""))</f>
        <v/>
      </c>
      <c r="T2955" s="525" t="str">
        <f>IF(ISERROR(FIND('112'!$M$9,G2955,1)),"",IF((AND(RIGHT(G2955,2)=RIGHT('112'!$M$9,2),B2955&lt;'112'!$N$8,$M2955='112'!$I$6)),"x",""))</f>
        <v/>
      </c>
      <c r="U2955" s="525" t="str">
        <f>IF(AND(B2955&gt;='IN-NX'!$P$3,B2955&lt;='IN-NX'!$Q$3,'IN-NX'!$D$7=D2955,OR(LEFT(L2955,2)="15",AND(LEFT(M2955,2)&lt;&gt;"15",LEFT(M2955,2)&lt;&gt;"33"))),"x","")</f>
        <v/>
      </c>
      <c r="V2955" s="525" t="str">
        <f>IF(AND(OR(LEFT(TH!L2955,2)="15",LEFT(TH!M2955,2)="15"),'152-CT'!$J$8=TH!F2955),"x","")</f>
        <v/>
      </c>
      <c r="W2955" s="525" t="str">
        <f>IF(AND(OR(LEFT(TH!L2955,2)="15",LEFT(TH!M2955,2)="15"),TK!$E$7=TH!F2955),"x","")</f>
        <v/>
      </c>
      <c r="X2955" s="525" t="str">
        <f>IF(AND('341-CT'!$E$9=H2955,OR(LEFT(L2955,3)=$X$7,LEFT(M2955,3)=$X$7)),"x","")</f>
        <v/>
      </c>
      <c r="Y2955" s="525" t="str">
        <f>IF(OR(TH!L2955=TH!$Y$7,M2955=TH!$Y$7),"x","")</f>
        <v/>
      </c>
      <c r="Z2955" s="525" t="str">
        <f>IF(AND(B2955&lt;=NKC!$N$8,B2955&gt;=NKC!$M$8),"x","")</f>
        <v/>
      </c>
      <c r="AA2955" s="702"/>
      <c r="AB2955" s="703"/>
    </row>
    <row r="2956" spans="1:31" s="704" customFormat="1" ht="15.75" customHeight="1">
      <c r="A2956" s="517" t="str">
        <f>IF(B2956&lt;&gt;"",IF(AND(B2956&gt;=_TM1,B2956&lt;=_TM2,OR(TH!L2956="1111",TH!M2956="1111")),TH!D2956,""),"")</f>
        <v/>
      </c>
      <c r="B2956" s="698">
        <f t="shared" ref="B2956:B3000" si="259">IF(C2956&lt;&gt;"",MONTH(C2956),"")</f>
        <v>4</v>
      </c>
      <c r="C2956" s="699">
        <f t="shared" si="255"/>
        <v>42842</v>
      </c>
      <c r="D2956" s="699" t="s">
        <v>997</v>
      </c>
      <c r="E2956" s="699">
        <v>42842</v>
      </c>
      <c r="F2956" s="700" t="s">
        <v>1031</v>
      </c>
      <c r="G2956" s="701" t="s">
        <v>1108</v>
      </c>
      <c r="H2956" s="694" t="s">
        <v>801</v>
      </c>
      <c r="I2956" s="695">
        <v>265</v>
      </c>
      <c r="J2956" s="695">
        <v>18522</v>
      </c>
      <c r="K2956" s="696">
        <f t="shared" si="257"/>
        <v>4908330</v>
      </c>
      <c r="L2956" s="697" t="s">
        <v>158</v>
      </c>
      <c r="M2956" s="697" t="s">
        <v>292</v>
      </c>
      <c r="N2956" s="525" t="str">
        <f>IF(AND('331-CT'!$E$7=TH!H2956,OR(L2956="331",M2956="331")),"331",IF(AND(OR(L2956="131",M2956="131"),H2956='131-CT'!$E$7),"131",""))</f>
        <v/>
      </c>
      <c r="O2956" s="525" t="str">
        <f>IF(AND($B2956&gt;='111'!$N$11,$B2956&lt;='111'!$O$11,OR($L2956=$O$7,$M2956=$O$7)),"x","")</f>
        <v/>
      </c>
      <c r="P2956" s="525" t="str">
        <f>IF(AND($L2956=$O$7,$B2956&lt;'111'!$N$11),"x","")</f>
        <v/>
      </c>
      <c r="Q2956" s="525" t="str">
        <f>IF(AND($M2956=$O$7,$B2956&lt;'111'!$N$11),"x","")</f>
        <v/>
      </c>
      <c r="R2956" s="525" t="str">
        <f>IF(ISERROR(FIND('112'!$M$9,G2956,1)),"",IF((AND(FIND('112'!$M$9,G2956,1)&gt;=1,$B2956&gt;='112'!$N$8,$B2956&lt;='112'!$O$8,OR($L2956='112'!$I$6,$M2956='112'!$I$6))),"x",""))</f>
        <v/>
      </c>
      <c r="S2956" s="525" t="str">
        <f>IF(ISERROR(FIND('112'!$M$9,G2956,1)),"",IF((AND(LEFT(G2956,2)=LEFT('112'!$M$9,2),B2956&lt;'112'!$N$8,$L2956='112'!$I$6)),"x",""))</f>
        <v/>
      </c>
      <c r="T2956" s="525" t="str">
        <f>IF(ISERROR(FIND('112'!$M$9,G2956,1)),"",IF((AND(RIGHT(G2956,2)=RIGHT('112'!$M$9,2),B2956&lt;'112'!$N$8,$M2956='112'!$I$6)),"x",""))</f>
        <v/>
      </c>
      <c r="U2956" s="525" t="str">
        <f>IF(AND(B2956&gt;='IN-NX'!$P$3,B2956&lt;='IN-NX'!$Q$3,'IN-NX'!$D$7=D2956,OR(LEFT(L2956,2)="15",AND(LEFT(M2956,2)&lt;&gt;"15",LEFT(M2956,2)&lt;&gt;"33"))),"x","")</f>
        <v/>
      </c>
      <c r="V2956" s="525" t="str">
        <f>IF(AND(OR(LEFT(TH!L2956,2)="15",LEFT(TH!M2956,2)="15"),'152-CT'!$J$8=TH!F2956),"x","")</f>
        <v/>
      </c>
      <c r="W2956" s="525" t="str">
        <f>IF(AND(OR(LEFT(TH!L2956,2)="15",LEFT(TH!M2956,2)="15"),TK!$E$7=TH!F2956),"x","")</f>
        <v/>
      </c>
      <c r="X2956" s="525" t="str">
        <f>IF(AND('341-CT'!$E$9=H2956,OR(LEFT(L2956,3)=$X$7,LEFT(M2956,3)=$X$7)),"x","")</f>
        <v/>
      </c>
      <c r="Y2956" s="525" t="str">
        <f>IF(OR(TH!L2956=TH!$Y$7,M2956=TH!$Y$7),"x","")</f>
        <v/>
      </c>
      <c r="Z2956" s="525" t="str">
        <f>IF(AND(B2956&lt;=NKC!$N$8,B2956&gt;=NKC!$M$8),"x","")</f>
        <v/>
      </c>
      <c r="AA2956" s="702"/>
      <c r="AB2956" s="703"/>
    </row>
    <row r="2957" spans="1:31" s="704" customFormat="1" ht="15.75" customHeight="1">
      <c r="A2957" s="517" t="str">
        <f>IF(B2957&lt;&gt;"",IF(AND(B2957&gt;=_TM1,B2957&lt;=_TM2,OR(TH!L2957="1111",TH!M2957="1111")),TH!D2957,""),"")</f>
        <v/>
      </c>
      <c r="B2957" s="698">
        <f t="shared" si="259"/>
        <v>4</v>
      </c>
      <c r="C2957" s="699">
        <f t="shared" si="255"/>
        <v>42842</v>
      </c>
      <c r="D2957" s="699" t="s">
        <v>997</v>
      </c>
      <c r="E2957" s="699">
        <v>42842</v>
      </c>
      <c r="F2957" s="700" t="s">
        <v>1032</v>
      </c>
      <c r="G2957" s="701" t="s">
        <v>1108</v>
      </c>
      <c r="H2957" s="694" t="s">
        <v>801</v>
      </c>
      <c r="I2957" s="695">
        <v>265</v>
      </c>
      <c r="J2957" s="695">
        <v>12397</v>
      </c>
      <c r="K2957" s="696">
        <f t="shared" si="257"/>
        <v>3285205</v>
      </c>
      <c r="L2957" s="697" t="s">
        <v>158</v>
      </c>
      <c r="M2957" s="697" t="s">
        <v>292</v>
      </c>
      <c r="N2957" s="525" t="str">
        <f>IF(AND('331-CT'!$E$7=TH!H2957,OR(L2957="331",M2957="331")),"331",IF(AND(OR(L2957="131",M2957="131"),H2957='131-CT'!$E$7),"131",""))</f>
        <v/>
      </c>
      <c r="O2957" s="525" t="str">
        <f>IF(AND($B2957&gt;='111'!$N$11,$B2957&lt;='111'!$O$11,OR($L2957=$O$7,$M2957=$O$7)),"x","")</f>
        <v/>
      </c>
      <c r="P2957" s="525" t="str">
        <f>IF(AND($L2957=$O$7,$B2957&lt;'111'!$N$11),"x","")</f>
        <v/>
      </c>
      <c r="Q2957" s="525" t="str">
        <f>IF(AND($M2957=$O$7,$B2957&lt;'111'!$N$11),"x","")</f>
        <v/>
      </c>
      <c r="R2957" s="525" t="str">
        <f>IF(ISERROR(FIND('112'!$M$9,G2957,1)),"",IF((AND(FIND('112'!$M$9,G2957,1)&gt;=1,$B2957&gt;='112'!$N$8,$B2957&lt;='112'!$O$8,OR($L2957='112'!$I$6,$M2957='112'!$I$6))),"x",""))</f>
        <v/>
      </c>
      <c r="S2957" s="525" t="str">
        <f>IF(ISERROR(FIND('112'!$M$9,G2957,1)),"",IF((AND(LEFT(G2957,2)=LEFT('112'!$M$9,2),B2957&lt;'112'!$N$8,$L2957='112'!$I$6)),"x",""))</f>
        <v/>
      </c>
      <c r="T2957" s="525" t="str">
        <f>IF(ISERROR(FIND('112'!$M$9,G2957,1)),"",IF((AND(RIGHT(G2957,2)=RIGHT('112'!$M$9,2),B2957&lt;'112'!$N$8,$M2957='112'!$I$6)),"x",""))</f>
        <v/>
      </c>
      <c r="U2957" s="525" t="str">
        <f>IF(AND(B2957&gt;='IN-NX'!$P$3,B2957&lt;='IN-NX'!$Q$3,'IN-NX'!$D$7=D2957,OR(LEFT(L2957,2)="15",AND(LEFT(M2957,2)&lt;&gt;"15",LEFT(M2957,2)&lt;&gt;"33"))),"x","")</f>
        <v/>
      </c>
      <c r="V2957" s="525" t="str">
        <f>IF(AND(OR(LEFT(TH!L2957,2)="15",LEFT(TH!M2957,2)="15"),'152-CT'!$J$8=TH!F2957),"x","")</f>
        <v/>
      </c>
      <c r="W2957" s="525" t="str">
        <f>IF(AND(OR(LEFT(TH!L2957,2)="15",LEFT(TH!M2957,2)="15"),TK!$E$7=TH!F2957),"x","")</f>
        <v/>
      </c>
      <c r="X2957" s="525" t="str">
        <f>IF(AND('341-CT'!$E$9=H2957,OR(LEFT(L2957,3)=$X$7,LEFT(M2957,3)=$X$7)),"x","")</f>
        <v/>
      </c>
      <c r="Y2957" s="525" t="str">
        <f>IF(OR(TH!L2957=TH!$Y$7,M2957=TH!$Y$7),"x","")</f>
        <v/>
      </c>
      <c r="Z2957" s="525" t="str">
        <f>IF(AND(B2957&lt;=NKC!$N$8,B2957&gt;=NKC!$M$8),"x","")</f>
        <v/>
      </c>
      <c r="AA2957" s="702"/>
      <c r="AB2957" s="703"/>
    </row>
    <row r="2958" spans="1:31" s="704" customFormat="1" ht="15.75" customHeight="1">
      <c r="A2958" s="517" t="str">
        <f>IF(B2958&lt;&gt;"",IF(AND(B2958&gt;=_TM1,B2958&lt;=_TM2,OR(TH!L2958="1111",TH!M2958="1111")),TH!D2958,""),"")</f>
        <v/>
      </c>
      <c r="B2958" s="698">
        <f t="shared" si="259"/>
        <v>4</v>
      </c>
      <c r="C2958" s="699">
        <f t="shared" si="255"/>
        <v>42842</v>
      </c>
      <c r="D2958" s="699" t="s">
        <v>997</v>
      </c>
      <c r="E2958" s="699">
        <v>42842</v>
      </c>
      <c r="F2958" s="700" t="s">
        <v>1033</v>
      </c>
      <c r="G2958" s="701" t="s">
        <v>1108</v>
      </c>
      <c r="H2958" s="694" t="s">
        <v>801</v>
      </c>
      <c r="I2958" s="695">
        <v>325</v>
      </c>
      <c r="J2958" s="695">
        <v>24794</v>
      </c>
      <c r="K2958" s="696">
        <f t="shared" si="257"/>
        <v>8058050</v>
      </c>
      <c r="L2958" s="697" t="s">
        <v>158</v>
      </c>
      <c r="M2958" s="697" t="s">
        <v>292</v>
      </c>
      <c r="N2958" s="525" t="str">
        <f>IF(AND('331-CT'!$E$7=TH!H2958,OR(L2958="331",M2958="331")),"331",IF(AND(OR(L2958="131",M2958="131"),H2958='131-CT'!$E$7),"131",""))</f>
        <v/>
      </c>
      <c r="O2958" s="525" t="str">
        <f>IF(AND($B2958&gt;='111'!$N$11,$B2958&lt;='111'!$O$11,OR($L2958=$O$7,$M2958=$O$7)),"x","")</f>
        <v/>
      </c>
      <c r="P2958" s="525" t="str">
        <f>IF(AND($L2958=$O$7,$B2958&lt;'111'!$N$11),"x","")</f>
        <v/>
      </c>
      <c r="Q2958" s="525" t="str">
        <f>IF(AND($M2958=$O$7,$B2958&lt;'111'!$N$11),"x","")</f>
        <v/>
      </c>
      <c r="R2958" s="525" t="str">
        <f>IF(ISERROR(FIND('112'!$M$9,G2958,1)),"",IF((AND(FIND('112'!$M$9,G2958,1)&gt;=1,$B2958&gt;='112'!$N$8,$B2958&lt;='112'!$O$8,OR($L2958='112'!$I$6,$M2958='112'!$I$6))),"x",""))</f>
        <v/>
      </c>
      <c r="S2958" s="525" t="str">
        <f>IF(ISERROR(FIND('112'!$M$9,G2958,1)),"",IF((AND(LEFT(G2958,2)=LEFT('112'!$M$9,2),B2958&lt;'112'!$N$8,$L2958='112'!$I$6)),"x",""))</f>
        <v/>
      </c>
      <c r="T2958" s="525" t="str">
        <f>IF(ISERROR(FIND('112'!$M$9,G2958,1)),"",IF((AND(RIGHT(G2958,2)=RIGHT('112'!$M$9,2),B2958&lt;'112'!$N$8,$M2958='112'!$I$6)),"x",""))</f>
        <v/>
      </c>
      <c r="U2958" s="525" t="str">
        <f>IF(AND(B2958&gt;='IN-NX'!$P$3,B2958&lt;='IN-NX'!$Q$3,'IN-NX'!$D$7=D2958,OR(LEFT(L2958,2)="15",AND(LEFT(M2958,2)&lt;&gt;"15",LEFT(M2958,2)&lt;&gt;"33"))),"x","")</f>
        <v/>
      </c>
      <c r="V2958" s="525" t="str">
        <f>IF(AND(OR(LEFT(TH!L2958,2)="15",LEFT(TH!M2958,2)="15"),'152-CT'!$J$8=TH!F2958),"x","")</f>
        <v/>
      </c>
      <c r="W2958" s="525" t="str">
        <f>IF(AND(OR(LEFT(TH!L2958,2)="15",LEFT(TH!M2958,2)="15"),TK!$E$7=TH!F2958),"x","")</f>
        <v/>
      </c>
      <c r="X2958" s="525" t="str">
        <f>IF(AND('341-CT'!$E$9=H2958,OR(LEFT(L2958,3)=$X$7,LEFT(M2958,3)=$X$7)),"x","")</f>
        <v/>
      </c>
      <c r="Y2958" s="525" t="str">
        <f>IF(OR(TH!L2958=TH!$Y$7,M2958=TH!$Y$7),"x","")</f>
        <v/>
      </c>
      <c r="Z2958" s="525" t="str">
        <f>IF(AND(B2958&lt;=NKC!$N$8,B2958&gt;=NKC!$M$8),"x","")</f>
        <v/>
      </c>
      <c r="AA2958" s="702"/>
      <c r="AB2958" s="703"/>
    </row>
    <row r="2959" spans="1:31" s="704" customFormat="1" ht="15.75" customHeight="1">
      <c r="A2959" s="517" t="str">
        <f>IF(B2959&lt;&gt;"",IF(AND(B2959&gt;=_TM1,B2959&lt;=_TM2,OR(TH!L2959="1111",TH!M2959="1111")),TH!D2959,""),"")</f>
        <v/>
      </c>
      <c r="B2959" s="698">
        <f t="shared" si="259"/>
        <v>4</v>
      </c>
      <c r="C2959" s="699">
        <f t="shared" si="255"/>
        <v>42842</v>
      </c>
      <c r="D2959" s="699" t="s">
        <v>997</v>
      </c>
      <c r="E2959" s="699">
        <v>42842</v>
      </c>
      <c r="F2959" s="706" t="s">
        <v>1034</v>
      </c>
      <c r="G2959" s="701" t="s">
        <v>1108</v>
      </c>
      <c r="H2959" s="694" t="s">
        <v>801</v>
      </c>
      <c r="I2959" s="705">
        <v>325</v>
      </c>
      <c r="J2959" s="705">
        <v>21364</v>
      </c>
      <c r="K2959" s="696">
        <f t="shared" si="257"/>
        <v>6943300</v>
      </c>
      <c r="L2959" s="697" t="s">
        <v>158</v>
      </c>
      <c r="M2959" s="697" t="s">
        <v>292</v>
      </c>
      <c r="N2959" s="525" t="str">
        <f>IF(AND('331-CT'!$E$7=TH!H2959,OR(L2959="331",M2959="331")),"331",IF(AND(OR(L2959="131",M2959="131"),H2959='131-CT'!$E$7),"131",""))</f>
        <v/>
      </c>
      <c r="O2959" s="525" t="str">
        <f>IF(AND($B2959&gt;='111'!$N$11,$B2959&lt;='111'!$O$11,OR($L2959=$O$7,$M2959=$O$7)),"x","")</f>
        <v/>
      </c>
      <c r="P2959" s="525" t="str">
        <f>IF(AND($L2959=$O$7,$B2959&lt;'111'!$N$11),"x","")</f>
        <v/>
      </c>
      <c r="Q2959" s="525" t="str">
        <f>IF(AND($M2959=$O$7,$B2959&lt;'111'!$N$11),"x","")</f>
        <v/>
      </c>
      <c r="R2959" s="525" t="str">
        <f>IF(ISERROR(FIND('112'!$M$9,G2959,1)),"",IF((AND(FIND('112'!$M$9,G2959,1)&gt;=1,$B2959&gt;='112'!$N$8,$B2959&lt;='112'!$O$8,OR($L2959='112'!$I$6,$M2959='112'!$I$6))),"x",""))</f>
        <v/>
      </c>
      <c r="S2959" s="525" t="str">
        <f>IF(ISERROR(FIND('112'!$M$9,G2959,1)),"",IF((AND(LEFT(G2959,2)=LEFT('112'!$M$9,2),B2959&lt;'112'!$N$8,$L2959='112'!$I$6)),"x",""))</f>
        <v/>
      </c>
      <c r="T2959" s="525" t="str">
        <f>IF(ISERROR(FIND('112'!$M$9,G2959,1)),"",IF((AND(RIGHT(G2959,2)=RIGHT('112'!$M$9,2),B2959&lt;'112'!$N$8,$M2959='112'!$I$6)),"x",""))</f>
        <v/>
      </c>
      <c r="U2959" s="525" t="str">
        <f>IF(AND(B2959&gt;='IN-NX'!$P$3,B2959&lt;='IN-NX'!$Q$3,'IN-NX'!$D$7=D2959,OR(LEFT(L2959,2)="15",AND(LEFT(M2959,2)&lt;&gt;"15",LEFT(M2959,2)&lt;&gt;"33"))),"x","")</f>
        <v/>
      </c>
      <c r="V2959" s="525" t="str">
        <f>IF(AND(OR(LEFT(TH!L2959,2)="15",LEFT(TH!M2959,2)="15"),'152-CT'!$J$8=TH!F2959),"x","")</f>
        <v/>
      </c>
      <c r="W2959" s="525" t="str">
        <f>IF(AND(OR(LEFT(TH!L2959,2)="15",LEFT(TH!M2959,2)="15"),TK!$E$7=TH!F2959),"x","")</f>
        <v/>
      </c>
      <c r="X2959" s="525" t="str">
        <f>IF(AND('341-CT'!$E$9=H2959,OR(LEFT(L2959,3)=$X$7,LEFT(M2959,3)=$X$7)),"x","")</f>
        <v/>
      </c>
      <c r="Y2959" s="525" t="str">
        <f>IF(OR(TH!L2959=TH!$Y$7,M2959=TH!$Y$7),"x","")</f>
        <v/>
      </c>
      <c r="Z2959" s="525" t="str">
        <f>IF(AND(B2959&lt;=NKC!$N$8,B2959&gt;=NKC!$M$8),"x","")</f>
        <v/>
      </c>
      <c r="AA2959" s="702"/>
      <c r="AB2959" s="703"/>
      <c r="AC2959" s="703"/>
      <c r="AD2959" s="703"/>
    </row>
    <row r="2960" spans="1:31" s="704" customFormat="1" ht="15.75" customHeight="1">
      <c r="A2960" s="517" t="str">
        <f>IF(B2960&lt;&gt;"",IF(AND(B2960&gt;=_TM1,B2960&lt;=_TM2,OR(TH!L2960="1111",TH!M2960="1111")),TH!D2960,""),"")</f>
        <v/>
      </c>
      <c r="B2960" s="698">
        <f t="shared" si="259"/>
        <v>4</v>
      </c>
      <c r="C2960" s="699">
        <f t="shared" si="255"/>
        <v>42842</v>
      </c>
      <c r="D2960" s="699" t="s">
        <v>997</v>
      </c>
      <c r="E2960" s="699">
        <v>42842</v>
      </c>
      <c r="F2960" s="700" t="s">
        <v>504</v>
      </c>
      <c r="G2960" s="701" t="s">
        <v>1109</v>
      </c>
      <c r="H2960" s="694" t="s">
        <v>801</v>
      </c>
      <c r="I2960" s="695">
        <v>1700</v>
      </c>
      <c r="J2960" s="695">
        <v>34750</v>
      </c>
      <c r="K2960" s="696">
        <f t="shared" si="257"/>
        <v>59075000</v>
      </c>
      <c r="L2960" s="697" t="s">
        <v>158</v>
      </c>
      <c r="M2960" s="697" t="s">
        <v>292</v>
      </c>
      <c r="N2960" s="525" t="str">
        <f>IF(AND('331-CT'!$E$7=TH!H2960,OR(L2960="331",M2960="331")),"331",IF(AND(OR(L2960="131",M2960="131"),H2960='131-CT'!$E$7),"131",""))</f>
        <v/>
      </c>
      <c r="O2960" s="525" t="str">
        <f>IF(AND($B2960&gt;='111'!$N$11,$B2960&lt;='111'!$O$11,OR($L2960=$O$7,$M2960=$O$7)),"x","")</f>
        <v/>
      </c>
      <c r="P2960" s="525" t="str">
        <f>IF(AND($L2960=$O$7,$B2960&lt;'111'!$N$11),"x","")</f>
        <v/>
      </c>
      <c r="Q2960" s="525" t="str">
        <f>IF(AND($M2960=$O$7,$B2960&lt;'111'!$N$11),"x","")</f>
        <v/>
      </c>
      <c r="R2960" s="525" t="str">
        <f>IF(ISERROR(FIND('112'!$M$9,G2960,1)),"",IF((AND(FIND('112'!$M$9,G2960,1)&gt;=1,$B2960&gt;='112'!$N$8,$B2960&lt;='112'!$O$8,OR($L2960='112'!$I$6,$M2960='112'!$I$6))),"x",""))</f>
        <v/>
      </c>
      <c r="S2960" s="525" t="str">
        <f>IF(ISERROR(FIND('112'!$M$9,G2960,1)),"",IF((AND(LEFT(G2960,2)=LEFT('112'!$M$9,2),B2960&lt;'112'!$N$8,$L2960='112'!$I$6)),"x",""))</f>
        <v/>
      </c>
      <c r="T2960" s="525" t="str">
        <f>IF(ISERROR(FIND('112'!$M$9,G2960,1)),"",IF((AND(RIGHT(G2960,2)=RIGHT('112'!$M$9,2),B2960&lt;'112'!$N$8,$M2960='112'!$I$6)),"x",""))</f>
        <v/>
      </c>
      <c r="U2960" s="525" t="str">
        <f>IF(AND(B2960&gt;='IN-NX'!$P$3,B2960&lt;='IN-NX'!$Q$3,'IN-NX'!$D$7=D2960,OR(LEFT(L2960,2)="15",AND(LEFT(M2960,2)&lt;&gt;"15",LEFT(M2960,2)&lt;&gt;"33"))),"x","")</f>
        <v/>
      </c>
      <c r="V2960" s="525" t="str">
        <f>IF(AND(OR(LEFT(TH!L2960,2)="15",LEFT(TH!M2960,2)="15"),'152-CT'!$J$8=TH!F2960),"x","")</f>
        <v/>
      </c>
      <c r="W2960" s="525" t="str">
        <f>IF(AND(OR(LEFT(TH!L2960,2)="15",LEFT(TH!M2960,2)="15"),TK!$E$7=TH!F2960),"x","")</f>
        <v/>
      </c>
      <c r="X2960" s="525" t="str">
        <f>IF(AND('341-CT'!$E$9=H2960,OR(LEFT(L2960,3)=$X$7,LEFT(M2960,3)=$X$7)),"x","")</f>
        <v/>
      </c>
      <c r="Y2960" s="525" t="str">
        <f>IF(OR(TH!L2960=TH!$Y$7,M2960=TH!$Y$7),"x","")</f>
        <v/>
      </c>
      <c r="Z2960" s="525" t="str">
        <f>IF(AND(B2960&lt;=NKC!$N$8,B2960&gt;=NKC!$M$8),"x","")</f>
        <v/>
      </c>
      <c r="AA2960" s="702"/>
      <c r="AB2960" s="703"/>
    </row>
    <row r="2961" spans="1:30" s="704" customFormat="1" ht="15.75" customHeight="1">
      <c r="A2961" s="517" t="str">
        <f>IF(B2961&lt;&gt;"",IF(AND(B2961&gt;=_TM1,B2961&lt;=_TM2,OR(TH!L2961="1111",TH!M2961="1111")),TH!D2961,""),"")</f>
        <v/>
      </c>
      <c r="B2961" s="698">
        <f t="shared" si="259"/>
        <v>4</v>
      </c>
      <c r="C2961" s="699">
        <f t="shared" si="255"/>
        <v>42842</v>
      </c>
      <c r="D2961" s="699" t="s">
        <v>997</v>
      </c>
      <c r="E2961" s="699">
        <v>42842</v>
      </c>
      <c r="F2961" s="700" t="s">
        <v>504</v>
      </c>
      <c r="G2961" s="701" t="s">
        <v>1109</v>
      </c>
      <c r="H2961" s="694" t="s">
        <v>801</v>
      </c>
      <c r="I2961" s="695">
        <v>200</v>
      </c>
      <c r="J2961" s="695">
        <v>32350</v>
      </c>
      <c r="K2961" s="696">
        <f t="shared" si="257"/>
        <v>6470000</v>
      </c>
      <c r="L2961" s="697" t="s">
        <v>158</v>
      </c>
      <c r="M2961" s="697" t="s">
        <v>292</v>
      </c>
      <c r="N2961" s="525" t="str">
        <f>IF(AND('331-CT'!$E$7=TH!H2961,OR(L2961="331",M2961="331")),"331",IF(AND(OR(L2961="131",M2961="131"),H2961='131-CT'!$E$7),"131",""))</f>
        <v/>
      </c>
      <c r="O2961" s="525" t="str">
        <f>IF(AND($B2961&gt;='111'!$N$11,$B2961&lt;='111'!$O$11,OR($L2961=$O$7,$M2961=$O$7)),"x","")</f>
        <v/>
      </c>
      <c r="P2961" s="525" t="str">
        <f>IF(AND($L2961=$O$7,$B2961&lt;'111'!$N$11),"x","")</f>
        <v/>
      </c>
      <c r="Q2961" s="525" t="str">
        <f>IF(AND($M2961=$O$7,$B2961&lt;'111'!$N$11),"x","")</f>
        <v/>
      </c>
      <c r="R2961" s="525" t="str">
        <f>IF(ISERROR(FIND('112'!$M$9,G2961,1)),"",IF((AND(FIND('112'!$M$9,G2961,1)&gt;=1,$B2961&gt;='112'!$N$8,$B2961&lt;='112'!$O$8,OR($L2961='112'!$I$6,$M2961='112'!$I$6))),"x",""))</f>
        <v/>
      </c>
      <c r="S2961" s="525" t="str">
        <f>IF(ISERROR(FIND('112'!$M$9,G2961,1)),"",IF((AND(LEFT(G2961,2)=LEFT('112'!$M$9,2),B2961&lt;'112'!$N$8,$L2961='112'!$I$6)),"x",""))</f>
        <v/>
      </c>
      <c r="T2961" s="525" t="str">
        <f>IF(ISERROR(FIND('112'!$M$9,G2961,1)),"",IF((AND(RIGHT(G2961,2)=RIGHT('112'!$M$9,2),B2961&lt;'112'!$N$8,$M2961='112'!$I$6)),"x",""))</f>
        <v/>
      </c>
      <c r="U2961" s="525" t="str">
        <f>IF(AND(B2961&gt;='IN-NX'!$P$3,B2961&lt;='IN-NX'!$Q$3,'IN-NX'!$D$7=D2961,OR(LEFT(L2961,2)="15",AND(LEFT(M2961,2)&lt;&gt;"15",LEFT(M2961,2)&lt;&gt;"33"))),"x","")</f>
        <v/>
      </c>
      <c r="V2961" s="525" t="str">
        <f>IF(AND(OR(LEFT(TH!L2961,2)="15",LEFT(TH!M2961,2)="15"),'152-CT'!$J$8=TH!F2961),"x","")</f>
        <v/>
      </c>
      <c r="W2961" s="525" t="str">
        <f>IF(AND(OR(LEFT(TH!L2961,2)="15",LEFT(TH!M2961,2)="15"),TK!$E$7=TH!F2961),"x","")</f>
        <v/>
      </c>
      <c r="X2961" s="525" t="str">
        <f>IF(AND('341-CT'!$E$9=H2961,OR(LEFT(L2961,3)=$X$7,LEFT(M2961,3)=$X$7)),"x","")</f>
        <v/>
      </c>
      <c r="Y2961" s="525" t="str">
        <f>IF(OR(TH!L2961=TH!$Y$7,M2961=TH!$Y$7),"x","")</f>
        <v/>
      </c>
      <c r="Z2961" s="525" t="str">
        <f>IF(AND(B2961&lt;=NKC!$N$8,B2961&gt;=NKC!$M$8),"x","")</f>
        <v/>
      </c>
      <c r="AA2961" s="702"/>
      <c r="AB2961" s="703"/>
    </row>
    <row r="2962" spans="1:30" s="704" customFormat="1" ht="15.75" customHeight="1">
      <c r="A2962" s="517" t="str">
        <f>IF(B2962&lt;&gt;"",IF(AND(B2962&gt;=_TM1,B2962&lt;=_TM2,OR(TH!L2962="1111",TH!M2962="1111")),TH!D2962,""),"")</f>
        <v/>
      </c>
      <c r="B2962" s="698">
        <f t="shared" si="259"/>
        <v>4</v>
      </c>
      <c r="C2962" s="699">
        <f t="shared" si="255"/>
        <v>42842</v>
      </c>
      <c r="D2962" s="699" t="s">
        <v>997</v>
      </c>
      <c r="E2962" s="699">
        <v>42842</v>
      </c>
      <c r="F2962" s="706" t="s">
        <v>505</v>
      </c>
      <c r="G2962" s="701" t="s">
        <v>1109</v>
      </c>
      <c r="H2962" s="694" t="s">
        <v>801</v>
      </c>
      <c r="I2962" s="705">
        <v>825</v>
      </c>
      <c r="J2962" s="705">
        <v>32350</v>
      </c>
      <c r="K2962" s="696">
        <f t="shared" si="257"/>
        <v>26688750</v>
      </c>
      <c r="L2962" s="697" t="s">
        <v>158</v>
      </c>
      <c r="M2962" s="697" t="s">
        <v>292</v>
      </c>
      <c r="N2962" s="525" t="str">
        <f>IF(AND('331-CT'!$E$7=TH!H2962,OR(L2962="331",M2962="331")),"331",IF(AND(OR(L2962="131",M2962="131"),H2962='131-CT'!$E$7),"131",""))</f>
        <v/>
      </c>
      <c r="O2962" s="525" t="str">
        <f>IF(AND($B2962&gt;='111'!$N$11,$B2962&lt;='111'!$O$11,OR($L2962=$O$7,$M2962=$O$7)),"x","")</f>
        <v/>
      </c>
      <c r="P2962" s="525" t="str">
        <f>IF(AND($L2962=$O$7,$B2962&lt;'111'!$N$11),"x","")</f>
        <v/>
      </c>
      <c r="Q2962" s="525" t="str">
        <f>IF(AND($M2962=$O$7,$B2962&lt;'111'!$N$11),"x","")</f>
        <v/>
      </c>
      <c r="R2962" s="525" t="str">
        <f>IF(ISERROR(FIND('112'!$M$9,G2962,1)),"",IF((AND(FIND('112'!$M$9,G2962,1)&gt;=1,$B2962&gt;='112'!$N$8,$B2962&lt;='112'!$O$8,OR($L2962='112'!$I$6,$M2962='112'!$I$6))),"x",""))</f>
        <v/>
      </c>
      <c r="S2962" s="525" t="str">
        <f>IF(ISERROR(FIND('112'!$M$9,G2962,1)),"",IF((AND(LEFT(G2962,2)=LEFT('112'!$M$9,2),B2962&lt;'112'!$N$8,$L2962='112'!$I$6)),"x",""))</f>
        <v/>
      </c>
      <c r="T2962" s="525" t="str">
        <f>IF(ISERROR(FIND('112'!$M$9,G2962,1)),"",IF((AND(RIGHT(G2962,2)=RIGHT('112'!$M$9,2),B2962&lt;'112'!$N$8,$M2962='112'!$I$6)),"x",""))</f>
        <v/>
      </c>
      <c r="U2962" s="525" t="str">
        <f>IF(AND(B2962&gt;='IN-NX'!$P$3,B2962&lt;='IN-NX'!$Q$3,'IN-NX'!$D$7=D2962,OR(LEFT(L2962,2)="15",AND(LEFT(M2962,2)&lt;&gt;"15",LEFT(M2962,2)&lt;&gt;"33"))),"x","")</f>
        <v/>
      </c>
      <c r="V2962" s="525" t="str">
        <f>IF(AND(OR(LEFT(TH!L2962,2)="15",LEFT(TH!M2962,2)="15"),'152-CT'!$J$8=TH!F2962),"x","")</f>
        <v/>
      </c>
      <c r="W2962" s="525" t="str">
        <f>IF(AND(OR(LEFT(TH!L2962,2)="15",LEFT(TH!M2962,2)="15"),TK!$E$7=TH!F2962),"x","")</f>
        <v/>
      </c>
      <c r="X2962" s="525" t="str">
        <f>IF(AND('341-CT'!$E$9=H2962,OR(LEFT(L2962,3)=$X$7,LEFT(M2962,3)=$X$7)),"x","")</f>
        <v/>
      </c>
      <c r="Y2962" s="525" t="str">
        <f>IF(OR(TH!L2962=TH!$Y$7,M2962=TH!$Y$7),"x","")</f>
        <v/>
      </c>
      <c r="Z2962" s="525" t="str">
        <f>IF(AND(B2962&lt;=NKC!$N$8,B2962&gt;=NKC!$M$8),"x","")</f>
        <v/>
      </c>
      <c r="AA2962" s="702"/>
      <c r="AB2962" s="703"/>
      <c r="AC2962" s="703"/>
      <c r="AD2962" s="703"/>
    </row>
    <row r="2963" spans="1:30" s="704" customFormat="1" ht="15.75" customHeight="1">
      <c r="A2963" s="517" t="str">
        <f>IF(B2963&lt;&gt;"",IF(AND(B2963&gt;=_TM1,B2963&lt;=_TM2,OR(TH!L2963="1111",TH!M2963="1111")),TH!D2963,""),"")</f>
        <v/>
      </c>
      <c r="B2963" s="698">
        <f t="shared" si="259"/>
        <v>4</v>
      </c>
      <c r="C2963" s="699">
        <f t="shared" si="255"/>
        <v>42844</v>
      </c>
      <c r="D2963" s="699" t="s">
        <v>997</v>
      </c>
      <c r="E2963" s="699">
        <v>42844</v>
      </c>
      <c r="F2963" s="700" t="s">
        <v>1037</v>
      </c>
      <c r="G2963" s="701" t="s">
        <v>1110</v>
      </c>
      <c r="H2963" s="694" t="s">
        <v>801</v>
      </c>
      <c r="I2963" s="695">
        <v>300</v>
      </c>
      <c r="J2963" s="695">
        <v>10388</v>
      </c>
      <c r="K2963" s="696">
        <f t="shared" si="257"/>
        <v>3116400</v>
      </c>
      <c r="L2963" s="697" t="s">
        <v>158</v>
      </c>
      <c r="M2963" s="697" t="s">
        <v>292</v>
      </c>
      <c r="N2963" s="525" t="str">
        <f>IF(AND('331-CT'!$E$7=TH!H2963,OR(L2963="331",M2963="331")),"331",IF(AND(OR(L2963="131",M2963="131"),H2963='131-CT'!$E$7),"131",""))</f>
        <v/>
      </c>
      <c r="O2963" s="525" t="str">
        <f>IF(AND($B2963&gt;='111'!$N$11,$B2963&lt;='111'!$O$11,OR($L2963=$O$7,$M2963=$O$7)),"x","")</f>
        <v/>
      </c>
      <c r="P2963" s="525" t="str">
        <f>IF(AND($L2963=$O$7,$B2963&lt;'111'!$N$11),"x","")</f>
        <v/>
      </c>
      <c r="Q2963" s="525" t="str">
        <f>IF(AND($M2963=$O$7,$B2963&lt;'111'!$N$11),"x","")</f>
        <v/>
      </c>
      <c r="R2963" s="525" t="str">
        <f>IF(ISERROR(FIND('112'!$M$9,G2963,1)),"",IF((AND(FIND('112'!$M$9,G2963,1)&gt;=1,$B2963&gt;='112'!$N$8,$B2963&lt;='112'!$O$8,OR($L2963='112'!$I$6,$M2963='112'!$I$6))),"x",""))</f>
        <v/>
      </c>
      <c r="S2963" s="525" t="str">
        <f>IF(ISERROR(FIND('112'!$M$9,G2963,1)),"",IF((AND(LEFT(G2963,2)=LEFT('112'!$M$9,2),B2963&lt;'112'!$N$8,$L2963='112'!$I$6)),"x",""))</f>
        <v/>
      </c>
      <c r="T2963" s="525" t="str">
        <f>IF(ISERROR(FIND('112'!$M$9,G2963,1)),"",IF((AND(RIGHT(G2963,2)=RIGHT('112'!$M$9,2),B2963&lt;'112'!$N$8,$M2963='112'!$I$6)),"x",""))</f>
        <v/>
      </c>
      <c r="U2963" s="525" t="str">
        <f>IF(AND(B2963&gt;='IN-NX'!$P$3,B2963&lt;='IN-NX'!$Q$3,'IN-NX'!$D$7=D2963,OR(LEFT(L2963,2)="15",AND(LEFT(M2963,2)&lt;&gt;"15",LEFT(M2963,2)&lt;&gt;"33"))),"x","")</f>
        <v/>
      </c>
      <c r="V2963" s="525" t="str">
        <f>IF(AND(OR(LEFT(TH!L2963,2)="15",LEFT(TH!M2963,2)="15"),'152-CT'!$J$8=TH!F2963),"x","")</f>
        <v/>
      </c>
      <c r="W2963" s="525" t="str">
        <f>IF(AND(OR(LEFT(TH!L2963,2)="15",LEFT(TH!M2963,2)="15"),TK!$E$7=TH!F2963),"x","")</f>
        <v/>
      </c>
      <c r="X2963" s="525" t="str">
        <f>IF(AND('341-CT'!$E$9=H2963,OR(LEFT(L2963,3)=$X$7,LEFT(M2963,3)=$X$7)),"x","")</f>
        <v/>
      </c>
      <c r="Y2963" s="525" t="str">
        <f>IF(OR(TH!L2963=TH!$Y$7,M2963=TH!$Y$7),"x","")</f>
        <v/>
      </c>
      <c r="Z2963" s="525" t="str">
        <f>IF(AND(B2963&lt;=NKC!$N$8,B2963&gt;=NKC!$M$8),"x","")</f>
        <v/>
      </c>
      <c r="AA2963" s="702"/>
      <c r="AB2963" s="703"/>
    </row>
    <row r="2964" spans="1:30" s="704" customFormat="1" ht="15.75" customHeight="1">
      <c r="A2964" s="517" t="str">
        <f>IF(B2964&lt;&gt;"",IF(AND(B2964&gt;=_TM1,B2964&lt;=_TM2,OR(TH!L2964="1111",TH!M2964="1111")),TH!D2964,""),"")</f>
        <v/>
      </c>
      <c r="B2964" s="698">
        <f t="shared" si="259"/>
        <v>4</v>
      </c>
      <c r="C2964" s="699">
        <f t="shared" si="255"/>
        <v>42844</v>
      </c>
      <c r="D2964" s="699" t="s">
        <v>997</v>
      </c>
      <c r="E2964" s="699">
        <v>42844</v>
      </c>
      <c r="F2964" s="700" t="s">
        <v>1039</v>
      </c>
      <c r="G2964" s="701" t="s">
        <v>1110</v>
      </c>
      <c r="H2964" s="694" t="s">
        <v>801</v>
      </c>
      <c r="I2964" s="695">
        <v>200</v>
      </c>
      <c r="J2964" s="695">
        <v>18718</v>
      </c>
      <c r="K2964" s="696">
        <f t="shared" si="257"/>
        <v>3743600</v>
      </c>
      <c r="L2964" s="697" t="s">
        <v>158</v>
      </c>
      <c r="M2964" s="697" t="s">
        <v>292</v>
      </c>
      <c r="N2964" s="525" t="str">
        <f>IF(AND('331-CT'!$E$7=TH!H2964,OR(L2964="331",M2964="331")),"331",IF(AND(OR(L2964="131",M2964="131"),H2964='131-CT'!$E$7),"131",""))</f>
        <v/>
      </c>
      <c r="O2964" s="525" t="str">
        <f>IF(AND($B2964&gt;='111'!$N$11,$B2964&lt;='111'!$O$11,OR($L2964=$O$7,$M2964=$O$7)),"x","")</f>
        <v/>
      </c>
      <c r="P2964" s="525" t="str">
        <f>IF(AND($L2964=$O$7,$B2964&lt;'111'!$N$11),"x","")</f>
        <v/>
      </c>
      <c r="Q2964" s="525" t="str">
        <f>IF(AND($M2964=$O$7,$B2964&lt;'111'!$N$11),"x","")</f>
        <v/>
      </c>
      <c r="R2964" s="525" t="str">
        <f>IF(ISERROR(FIND('112'!$M$9,G2964,1)),"",IF((AND(FIND('112'!$M$9,G2964,1)&gt;=1,$B2964&gt;='112'!$N$8,$B2964&lt;='112'!$O$8,OR($L2964='112'!$I$6,$M2964='112'!$I$6))),"x",""))</f>
        <v/>
      </c>
      <c r="S2964" s="525" t="str">
        <f>IF(ISERROR(FIND('112'!$M$9,G2964,1)),"",IF((AND(LEFT(G2964,2)=LEFT('112'!$M$9,2),B2964&lt;'112'!$N$8,$L2964='112'!$I$6)),"x",""))</f>
        <v/>
      </c>
      <c r="T2964" s="525" t="str">
        <f>IF(ISERROR(FIND('112'!$M$9,G2964,1)),"",IF((AND(RIGHT(G2964,2)=RIGHT('112'!$M$9,2),B2964&lt;'112'!$N$8,$M2964='112'!$I$6)),"x",""))</f>
        <v/>
      </c>
      <c r="U2964" s="525" t="str">
        <f>IF(AND(B2964&gt;='IN-NX'!$P$3,B2964&lt;='IN-NX'!$Q$3,'IN-NX'!$D$7=D2964,OR(LEFT(L2964,2)="15",AND(LEFT(M2964,2)&lt;&gt;"15",LEFT(M2964,2)&lt;&gt;"33"))),"x","")</f>
        <v/>
      </c>
      <c r="V2964" s="525" t="str">
        <f>IF(AND(OR(LEFT(TH!L2964,2)="15",LEFT(TH!M2964,2)="15"),'152-CT'!$J$8=TH!F2964),"x","")</f>
        <v/>
      </c>
      <c r="W2964" s="525" t="str">
        <f>IF(AND(OR(LEFT(TH!L2964,2)="15",LEFT(TH!M2964,2)="15"),TK!$E$7=TH!F2964),"x","")</f>
        <v/>
      </c>
      <c r="X2964" s="525" t="str">
        <f>IF(AND('341-CT'!$E$9=H2964,OR(LEFT(L2964,3)=$X$7,LEFT(M2964,3)=$X$7)),"x","")</f>
        <v/>
      </c>
      <c r="Y2964" s="525" t="str">
        <f>IF(OR(TH!L2964=TH!$Y$7,M2964=TH!$Y$7),"x","")</f>
        <v/>
      </c>
      <c r="Z2964" s="525" t="str">
        <f>IF(AND(B2964&lt;=NKC!$N$8,B2964&gt;=NKC!$M$8),"x","")</f>
        <v/>
      </c>
      <c r="AA2964" s="702"/>
      <c r="AB2964" s="703"/>
    </row>
    <row r="2965" spans="1:30" s="704" customFormat="1" ht="15.75" customHeight="1">
      <c r="A2965" s="517" t="str">
        <f>IF(B2965&lt;&gt;"",IF(AND(B2965&gt;=_TM1,B2965&lt;=_TM2,OR(TH!L2965="1111",TH!M2965="1111")),TH!D2965,""),"")</f>
        <v/>
      </c>
      <c r="B2965" s="698">
        <f t="shared" si="259"/>
        <v>4</v>
      </c>
      <c r="C2965" s="699">
        <f t="shared" si="255"/>
        <v>42851</v>
      </c>
      <c r="D2965" s="699" t="s">
        <v>997</v>
      </c>
      <c r="E2965" s="699">
        <v>42851</v>
      </c>
      <c r="F2965" s="700" t="s">
        <v>692</v>
      </c>
      <c r="G2965" s="701" t="s">
        <v>1116</v>
      </c>
      <c r="H2965" s="694" t="s">
        <v>801</v>
      </c>
      <c r="I2965" s="695">
        <v>18</v>
      </c>
      <c r="J2965" s="695">
        <v>183100</v>
      </c>
      <c r="K2965" s="696">
        <f t="shared" si="257"/>
        <v>3295800</v>
      </c>
      <c r="L2965" s="697" t="s">
        <v>158</v>
      </c>
      <c r="M2965" s="697" t="s">
        <v>292</v>
      </c>
      <c r="N2965" s="525" t="str">
        <f>IF(AND('331-CT'!$E$7=TH!H2965,OR(L2965="331",M2965="331")),"331",IF(AND(OR(L2965="131",M2965="131"),H2965='131-CT'!$E$7),"131",""))</f>
        <v/>
      </c>
      <c r="O2965" s="525" t="str">
        <f>IF(AND($B2965&gt;='111'!$N$11,$B2965&lt;='111'!$O$11,OR($L2965=$O$7,$M2965=$O$7)),"x","")</f>
        <v/>
      </c>
      <c r="P2965" s="525" t="str">
        <f>IF(AND($L2965=$O$7,$B2965&lt;'111'!$N$11),"x","")</f>
        <v/>
      </c>
      <c r="Q2965" s="525" t="str">
        <f>IF(AND($M2965=$O$7,$B2965&lt;'111'!$N$11),"x","")</f>
        <v/>
      </c>
      <c r="R2965" s="525" t="str">
        <f>IF(ISERROR(FIND('112'!$M$9,G2965,1)),"",IF((AND(FIND('112'!$M$9,G2965,1)&gt;=1,$B2965&gt;='112'!$N$8,$B2965&lt;='112'!$O$8,OR($L2965='112'!$I$6,$M2965='112'!$I$6))),"x",""))</f>
        <v/>
      </c>
      <c r="S2965" s="525" t="str">
        <f>IF(ISERROR(FIND('112'!$M$9,G2965,1)),"",IF((AND(LEFT(G2965,2)=LEFT('112'!$M$9,2),B2965&lt;'112'!$N$8,$L2965='112'!$I$6)),"x",""))</f>
        <v/>
      </c>
      <c r="T2965" s="525" t="str">
        <f>IF(ISERROR(FIND('112'!$M$9,G2965,1)),"",IF((AND(RIGHT(G2965,2)=RIGHT('112'!$M$9,2),B2965&lt;'112'!$N$8,$M2965='112'!$I$6)),"x",""))</f>
        <v/>
      </c>
      <c r="U2965" s="525" t="str">
        <f>IF(AND(B2965&gt;='IN-NX'!$P$3,B2965&lt;='IN-NX'!$Q$3,'IN-NX'!$D$7=D2965,OR(LEFT(L2965,2)="15",AND(LEFT(M2965,2)&lt;&gt;"15",LEFT(M2965,2)&lt;&gt;"33"))),"x","")</f>
        <v/>
      </c>
      <c r="V2965" s="525" t="str">
        <f>IF(AND(OR(LEFT(TH!L2965,2)="15",LEFT(TH!M2965,2)="15"),'152-CT'!$J$8=TH!F2965),"x","")</f>
        <v/>
      </c>
      <c r="W2965" s="525" t="str">
        <f>IF(AND(OR(LEFT(TH!L2965,2)="15",LEFT(TH!M2965,2)="15"),TK!$E$7=TH!F2965),"x","")</f>
        <v/>
      </c>
      <c r="X2965" s="525" t="str">
        <f>IF(AND('341-CT'!$E$9=H2965,OR(LEFT(L2965,3)=$X$7,LEFT(M2965,3)=$X$7)),"x","")</f>
        <v/>
      </c>
      <c r="Y2965" s="525" t="str">
        <f>IF(OR(TH!L2965=TH!$Y$7,M2965=TH!$Y$7),"x","")</f>
        <v/>
      </c>
      <c r="Z2965" s="525" t="str">
        <f>IF(AND(B2965&lt;=NKC!$N$8,B2965&gt;=NKC!$M$8),"x","")</f>
        <v/>
      </c>
      <c r="AA2965" s="702"/>
      <c r="AB2965" s="703"/>
      <c r="AC2965" s="703"/>
      <c r="AD2965" s="703"/>
    </row>
    <row r="2966" spans="1:30" s="704" customFormat="1" ht="15.75" customHeight="1">
      <c r="A2966" s="517" t="str">
        <f>IF(B2966&lt;&gt;"",IF(AND(B2966&gt;=_TM1,B2966&lt;=_TM2,OR(TH!L2966="1111",TH!M2966="1111")),TH!D2966,""),"")</f>
        <v/>
      </c>
      <c r="B2966" s="698">
        <f t="shared" si="259"/>
        <v>4</v>
      </c>
      <c r="C2966" s="699">
        <f t="shared" si="255"/>
        <v>42851</v>
      </c>
      <c r="D2966" s="699" t="s">
        <v>997</v>
      </c>
      <c r="E2966" s="699">
        <v>42851</v>
      </c>
      <c r="F2966" s="700" t="s">
        <v>740</v>
      </c>
      <c r="G2966" s="701" t="s">
        <v>1116</v>
      </c>
      <c r="H2966" s="694" t="s">
        <v>801</v>
      </c>
      <c r="I2966" s="695">
        <v>20</v>
      </c>
      <c r="J2966" s="695">
        <v>160236</v>
      </c>
      <c r="K2966" s="696">
        <f t="shared" si="257"/>
        <v>3204720</v>
      </c>
      <c r="L2966" s="697" t="s">
        <v>158</v>
      </c>
      <c r="M2966" s="697" t="s">
        <v>292</v>
      </c>
      <c r="N2966" s="525" t="str">
        <f>IF(AND('331-CT'!$E$7=TH!H2966,OR(L2966="331",M2966="331")),"331",IF(AND(OR(L2966="131",M2966="131"),H2966='131-CT'!$E$7),"131",""))</f>
        <v/>
      </c>
      <c r="O2966" s="525" t="str">
        <f>IF(AND($B2966&gt;='111'!$N$11,$B2966&lt;='111'!$O$11,OR($L2966=$O$7,$M2966=$O$7)),"x","")</f>
        <v/>
      </c>
      <c r="P2966" s="525" t="str">
        <f>IF(AND($L2966=$O$7,$B2966&lt;'111'!$N$11),"x","")</f>
        <v/>
      </c>
      <c r="Q2966" s="525" t="str">
        <f>IF(AND($M2966=$O$7,$B2966&lt;'111'!$N$11),"x","")</f>
        <v/>
      </c>
      <c r="R2966" s="525" t="str">
        <f>IF(ISERROR(FIND('112'!$M$9,G2966,1)),"",IF((AND(FIND('112'!$M$9,G2966,1)&gt;=1,$B2966&gt;='112'!$N$8,$B2966&lt;='112'!$O$8,OR($L2966='112'!$I$6,$M2966='112'!$I$6))),"x",""))</f>
        <v/>
      </c>
      <c r="S2966" s="525" t="str">
        <f>IF(ISERROR(FIND('112'!$M$9,G2966,1)),"",IF((AND(LEFT(G2966,2)=LEFT('112'!$M$9,2),B2966&lt;'112'!$N$8,$L2966='112'!$I$6)),"x",""))</f>
        <v/>
      </c>
      <c r="T2966" s="525" t="str">
        <f>IF(ISERROR(FIND('112'!$M$9,G2966,1)),"",IF((AND(RIGHT(G2966,2)=RIGHT('112'!$M$9,2),B2966&lt;'112'!$N$8,$M2966='112'!$I$6)),"x",""))</f>
        <v/>
      </c>
      <c r="U2966" s="525" t="str">
        <f>IF(AND(B2966&gt;='IN-NX'!$P$3,B2966&lt;='IN-NX'!$Q$3,'IN-NX'!$D$7=D2966,OR(LEFT(L2966,2)="15",AND(LEFT(M2966,2)&lt;&gt;"15",LEFT(M2966,2)&lt;&gt;"33"))),"x","")</f>
        <v/>
      </c>
      <c r="V2966" s="525" t="str">
        <f>IF(AND(OR(LEFT(TH!L2966,2)="15",LEFT(TH!M2966,2)="15"),'152-CT'!$J$8=TH!F2966),"x","")</f>
        <v/>
      </c>
      <c r="W2966" s="525" t="str">
        <f>IF(AND(OR(LEFT(TH!L2966,2)="15",LEFT(TH!M2966,2)="15"),TK!$E$7=TH!F2966),"x","")</f>
        <v/>
      </c>
      <c r="X2966" s="525" t="str">
        <f>IF(AND('341-CT'!$E$9=H2966,OR(LEFT(L2966,3)=$X$7,LEFT(M2966,3)=$X$7)),"x","")</f>
        <v/>
      </c>
      <c r="Y2966" s="525" t="str">
        <f>IF(OR(TH!L2966=TH!$Y$7,M2966=TH!$Y$7),"x","")</f>
        <v/>
      </c>
      <c r="Z2966" s="525" t="str">
        <f>IF(AND(B2966&lt;=NKC!$N$8,B2966&gt;=NKC!$M$8),"x","")</f>
        <v/>
      </c>
      <c r="AA2966" s="702"/>
      <c r="AB2966" s="703"/>
    </row>
    <row r="2967" spans="1:30" s="704" customFormat="1" ht="15.75" customHeight="1">
      <c r="A2967" s="517" t="str">
        <f>IF(B2967&lt;&gt;"",IF(AND(B2967&gt;=_TM1,B2967&lt;=_TM2,OR(TH!L2967="1111",TH!M2967="1111")),TH!D2967,""),"")</f>
        <v/>
      </c>
      <c r="B2967" s="698">
        <f t="shared" si="259"/>
        <v>4</v>
      </c>
      <c r="C2967" s="699">
        <f t="shared" si="255"/>
        <v>42851</v>
      </c>
      <c r="D2967" s="699" t="s">
        <v>997</v>
      </c>
      <c r="E2967" s="699">
        <v>42851</v>
      </c>
      <c r="F2967" s="700" t="s">
        <v>629</v>
      </c>
      <c r="G2967" s="701" t="s">
        <v>1116</v>
      </c>
      <c r="H2967" s="694" t="s">
        <v>801</v>
      </c>
      <c r="I2967" s="695">
        <v>40</v>
      </c>
      <c r="J2967" s="695">
        <v>24753</v>
      </c>
      <c r="K2967" s="696">
        <f t="shared" si="257"/>
        <v>990120</v>
      </c>
      <c r="L2967" s="697" t="s">
        <v>158</v>
      </c>
      <c r="M2967" s="697" t="s">
        <v>292</v>
      </c>
      <c r="N2967" s="525" t="str">
        <f>IF(AND('331-CT'!$E$7=TH!H2967,OR(L2967="331",M2967="331")),"331",IF(AND(OR(L2967="131",M2967="131"),H2967='131-CT'!$E$7),"131",""))</f>
        <v/>
      </c>
      <c r="O2967" s="525" t="str">
        <f>IF(AND($B2967&gt;='111'!$N$11,$B2967&lt;='111'!$O$11,OR($L2967=$O$7,$M2967=$O$7)),"x","")</f>
        <v/>
      </c>
      <c r="P2967" s="525" t="str">
        <f>IF(AND($L2967=$O$7,$B2967&lt;'111'!$N$11),"x","")</f>
        <v/>
      </c>
      <c r="Q2967" s="525" t="str">
        <f>IF(AND($M2967=$O$7,$B2967&lt;'111'!$N$11),"x","")</f>
        <v/>
      </c>
      <c r="R2967" s="525" t="str">
        <f>IF(ISERROR(FIND('112'!$M$9,G2967,1)),"",IF((AND(FIND('112'!$M$9,G2967,1)&gt;=1,$B2967&gt;='112'!$N$8,$B2967&lt;='112'!$O$8,OR($L2967='112'!$I$6,$M2967='112'!$I$6))),"x",""))</f>
        <v/>
      </c>
      <c r="S2967" s="525" t="str">
        <f>IF(ISERROR(FIND('112'!$M$9,G2967,1)),"",IF((AND(LEFT(G2967,2)=LEFT('112'!$M$9,2),B2967&lt;'112'!$N$8,$L2967='112'!$I$6)),"x",""))</f>
        <v/>
      </c>
      <c r="T2967" s="525" t="str">
        <f>IF(ISERROR(FIND('112'!$M$9,G2967,1)),"",IF((AND(RIGHT(G2967,2)=RIGHT('112'!$M$9,2),B2967&lt;'112'!$N$8,$M2967='112'!$I$6)),"x",""))</f>
        <v/>
      </c>
      <c r="U2967" s="525" t="str">
        <f>IF(AND(B2967&gt;='IN-NX'!$P$3,B2967&lt;='IN-NX'!$Q$3,'IN-NX'!$D$7=D2967,OR(LEFT(L2967,2)="15",AND(LEFT(M2967,2)&lt;&gt;"15",LEFT(M2967,2)&lt;&gt;"33"))),"x","")</f>
        <v/>
      </c>
      <c r="V2967" s="525" t="str">
        <f>IF(AND(OR(LEFT(TH!L2967,2)="15",LEFT(TH!M2967,2)="15"),'152-CT'!$J$8=TH!F2967),"x","")</f>
        <v/>
      </c>
      <c r="W2967" s="525" t="str">
        <f>IF(AND(OR(LEFT(TH!L2967,2)="15",LEFT(TH!M2967,2)="15"),TK!$E$7=TH!F2967),"x","")</f>
        <v/>
      </c>
      <c r="X2967" s="525" t="str">
        <f>IF(AND('341-CT'!$E$9=H2967,OR(LEFT(L2967,3)=$X$7,LEFT(M2967,3)=$X$7)),"x","")</f>
        <v/>
      </c>
      <c r="Y2967" s="525" t="str">
        <f>IF(OR(TH!L2967=TH!$Y$7,M2967=TH!$Y$7),"x","")</f>
        <v/>
      </c>
      <c r="Z2967" s="525" t="str">
        <f>IF(AND(B2967&lt;=NKC!$N$8,B2967&gt;=NKC!$M$8),"x","")</f>
        <v/>
      </c>
      <c r="AA2967" s="702"/>
      <c r="AB2967" s="703"/>
    </row>
    <row r="2968" spans="1:30" s="704" customFormat="1" ht="15.75" customHeight="1">
      <c r="A2968" s="517" t="str">
        <f>IF(B2968&lt;&gt;"",IF(AND(B2968&gt;=_TM1,B2968&lt;=_TM2,OR(TH!L2968="1111",TH!M2968="1111")),TH!D2968,""),"")</f>
        <v/>
      </c>
      <c r="B2968" s="698">
        <f t="shared" si="259"/>
        <v>4</v>
      </c>
      <c r="C2968" s="699">
        <f t="shared" si="255"/>
        <v>42851</v>
      </c>
      <c r="D2968" s="699" t="s">
        <v>997</v>
      </c>
      <c r="E2968" s="699">
        <v>42851</v>
      </c>
      <c r="F2968" s="707" t="s">
        <v>619</v>
      </c>
      <c r="G2968" s="701" t="s">
        <v>1116</v>
      </c>
      <c r="H2968" s="694" t="s">
        <v>801</v>
      </c>
      <c r="I2968" s="695">
        <v>292</v>
      </c>
      <c r="J2968" s="695">
        <v>19834</v>
      </c>
      <c r="K2968" s="696">
        <f t="shared" si="257"/>
        <v>5791528</v>
      </c>
      <c r="L2968" s="697" t="s">
        <v>158</v>
      </c>
      <c r="M2968" s="697" t="s">
        <v>292</v>
      </c>
      <c r="N2968" s="525" t="str">
        <f>IF(AND('331-CT'!$E$7=TH!H2968,OR(L2968="331",M2968="331")),"331",IF(AND(OR(L2968="131",M2968="131"),H2968='131-CT'!$E$7),"131",""))</f>
        <v/>
      </c>
      <c r="O2968" s="525" t="str">
        <f>IF(AND($B2968&gt;='111'!$N$11,$B2968&lt;='111'!$O$11,OR($L2968=$O$7,$M2968=$O$7)),"x","")</f>
        <v/>
      </c>
      <c r="P2968" s="525" t="str">
        <f>IF(AND($L2968=$O$7,$B2968&lt;'111'!$N$11),"x","")</f>
        <v/>
      </c>
      <c r="Q2968" s="525" t="str">
        <f>IF(AND($M2968=$O$7,$B2968&lt;'111'!$N$11),"x","")</f>
        <v/>
      </c>
      <c r="R2968" s="525" t="str">
        <f>IF(ISERROR(FIND('112'!$M$9,G2968,1)),"",IF((AND(FIND('112'!$M$9,G2968,1)&gt;=1,$B2968&gt;='112'!$N$8,$B2968&lt;='112'!$O$8,OR($L2968='112'!$I$6,$M2968='112'!$I$6))),"x",""))</f>
        <v/>
      </c>
      <c r="S2968" s="525" t="str">
        <f>IF(ISERROR(FIND('112'!$M$9,G2968,1)),"",IF((AND(LEFT(G2968,2)=LEFT('112'!$M$9,2),B2968&lt;'112'!$N$8,$L2968='112'!$I$6)),"x",""))</f>
        <v/>
      </c>
      <c r="T2968" s="525" t="str">
        <f>IF(ISERROR(FIND('112'!$M$9,G2968,1)),"",IF((AND(RIGHT(G2968,2)=RIGHT('112'!$M$9,2),B2968&lt;'112'!$N$8,$M2968='112'!$I$6)),"x",""))</f>
        <v/>
      </c>
      <c r="U2968" s="525" t="str">
        <f>IF(AND(B2968&gt;='IN-NX'!$P$3,B2968&lt;='IN-NX'!$Q$3,'IN-NX'!$D$7=D2968,OR(LEFT(L2968,2)="15",AND(LEFT(M2968,2)&lt;&gt;"15",LEFT(M2968,2)&lt;&gt;"33"))),"x","")</f>
        <v/>
      </c>
      <c r="V2968" s="525" t="str">
        <f>IF(AND(OR(LEFT(TH!L2968,2)="15",LEFT(TH!M2968,2)="15"),'152-CT'!$J$8=TH!F2968),"x","")</f>
        <v/>
      </c>
      <c r="W2968" s="525" t="str">
        <f>IF(AND(OR(LEFT(TH!L2968,2)="15",LEFT(TH!M2968,2)="15"),TK!$E$7=TH!F2968),"x","")</f>
        <v/>
      </c>
      <c r="X2968" s="525" t="str">
        <f>IF(AND('341-CT'!$E$9=H2968,OR(LEFT(L2968,3)=$X$7,LEFT(M2968,3)=$X$7)),"x","")</f>
        <v/>
      </c>
      <c r="Y2968" s="525" t="str">
        <f>IF(OR(TH!L2968=TH!$Y$7,M2968=TH!$Y$7),"x","")</f>
        <v/>
      </c>
      <c r="Z2968" s="525" t="str">
        <f>IF(AND(B2968&lt;=NKC!$N$8,B2968&gt;=NKC!$M$8),"x","")</f>
        <v/>
      </c>
      <c r="AA2968" s="702"/>
      <c r="AB2968" s="703"/>
    </row>
    <row r="2969" spans="1:30" s="704" customFormat="1" ht="15.75" customHeight="1">
      <c r="A2969" s="517" t="str">
        <f>IF(B2969&lt;&gt;"",IF(AND(B2969&gt;=_TM1,B2969&lt;=_TM2,OR(TH!L2969="1111",TH!M2969="1111")),TH!D2969,""),"")</f>
        <v/>
      </c>
      <c r="B2969" s="698">
        <f t="shared" si="259"/>
        <v>4</v>
      </c>
      <c r="C2969" s="699">
        <f t="shared" si="255"/>
        <v>42851</v>
      </c>
      <c r="D2969" s="699" t="s">
        <v>997</v>
      </c>
      <c r="E2969" s="699">
        <v>42851</v>
      </c>
      <c r="F2969" s="700" t="s">
        <v>1001</v>
      </c>
      <c r="G2969" s="701" t="s">
        <v>1116</v>
      </c>
      <c r="H2969" s="694" t="s">
        <v>801</v>
      </c>
      <c r="I2969" s="695">
        <v>16</v>
      </c>
      <c r="J2969" s="695">
        <v>161179</v>
      </c>
      <c r="K2969" s="696">
        <f t="shared" si="257"/>
        <v>2578864</v>
      </c>
      <c r="L2969" s="697" t="s">
        <v>158</v>
      </c>
      <c r="M2969" s="697" t="s">
        <v>292</v>
      </c>
      <c r="N2969" s="525" t="str">
        <f>IF(AND('331-CT'!$E$7=TH!H2969,OR(L2969="331",M2969="331")),"331",IF(AND(OR(L2969="131",M2969="131"),H2969='131-CT'!$E$7),"131",""))</f>
        <v/>
      </c>
      <c r="O2969" s="525" t="str">
        <f>IF(AND($B2969&gt;='111'!$N$11,$B2969&lt;='111'!$O$11,OR($L2969=$O$7,$M2969=$O$7)),"x","")</f>
        <v/>
      </c>
      <c r="P2969" s="525" t="str">
        <f>IF(AND($L2969=$O$7,$B2969&lt;'111'!$N$11),"x","")</f>
        <v/>
      </c>
      <c r="Q2969" s="525" t="str">
        <f>IF(AND($M2969=$O$7,$B2969&lt;'111'!$N$11),"x","")</f>
        <v/>
      </c>
      <c r="R2969" s="525" t="str">
        <f>IF(ISERROR(FIND('112'!$M$9,G2969,1)),"",IF((AND(FIND('112'!$M$9,G2969,1)&gt;=1,$B2969&gt;='112'!$N$8,$B2969&lt;='112'!$O$8,OR($L2969='112'!$I$6,$M2969='112'!$I$6))),"x",""))</f>
        <v/>
      </c>
      <c r="S2969" s="525" t="str">
        <f>IF(ISERROR(FIND('112'!$M$9,G2969,1)),"",IF((AND(LEFT(G2969,2)=LEFT('112'!$M$9,2),B2969&lt;'112'!$N$8,$L2969='112'!$I$6)),"x",""))</f>
        <v/>
      </c>
      <c r="T2969" s="525" t="str">
        <f>IF(ISERROR(FIND('112'!$M$9,G2969,1)),"",IF((AND(RIGHT(G2969,2)=RIGHT('112'!$M$9,2),B2969&lt;'112'!$N$8,$M2969='112'!$I$6)),"x",""))</f>
        <v/>
      </c>
      <c r="U2969" s="525" t="str">
        <f>IF(AND(B2969&gt;='IN-NX'!$P$3,B2969&lt;='IN-NX'!$Q$3,'IN-NX'!$D$7=D2969,OR(LEFT(L2969,2)="15",AND(LEFT(M2969,2)&lt;&gt;"15",LEFT(M2969,2)&lt;&gt;"33"))),"x","")</f>
        <v/>
      </c>
      <c r="V2969" s="525" t="str">
        <f>IF(AND(OR(LEFT(TH!L2969,2)="15",LEFT(TH!M2969,2)="15"),'152-CT'!$J$8=TH!F2969),"x","")</f>
        <v/>
      </c>
      <c r="W2969" s="525" t="str">
        <f>IF(AND(OR(LEFT(TH!L2969,2)="15",LEFT(TH!M2969,2)="15"),TK!$E$7=TH!F2969),"x","")</f>
        <v/>
      </c>
      <c r="X2969" s="525" t="str">
        <f>IF(AND('341-CT'!$E$9=H2969,OR(LEFT(L2969,3)=$X$7,LEFT(M2969,3)=$X$7)),"x","")</f>
        <v/>
      </c>
      <c r="Y2969" s="525" t="str">
        <f>IF(OR(TH!L2969=TH!$Y$7,M2969=TH!$Y$7),"x","")</f>
        <v/>
      </c>
      <c r="Z2969" s="525" t="str">
        <f>IF(AND(B2969&lt;=NKC!$N$8,B2969&gt;=NKC!$M$8),"x","")</f>
        <v/>
      </c>
      <c r="AA2969" s="702"/>
      <c r="AB2969" s="703"/>
    </row>
    <row r="2970" spans="1:30" s="704" customFormat="1" ht="15.75" customHeight="1">
      <c r="A2970" s="517" t="str">
        <f>IF(B2970&lt;&gt;"",IF(AND(B2970&gt;=_TM1,B2970&lt;=_TM2,OR(TH!L2970="1111",TH!M2970="1111")),TH!D2970,""),"")</f>
        <v/>
      </c>
      <c r="B2970" s="698">
        <f t="shared" si="259"/>
        <v>4</v>
      </c>
      <c r="C2970" s="699">
        <f t="shared" si="255"/>
        <v>42851</v>
      </c>
      <c r="D2970" s="699" t="s">
        <v>997</v>
      </c>
      <c r="E2970" s="699">
        <v>42851</v>
      </c>
      <c r="F2970" s="707" t="s">
        <v>627</v>
      </c>
      <c r="G2970" s="701" t="s">
        <v>1116</v>
      </c>
      <c r="H2970" s="694" t="s">
        <v>801</v>
      </c>
      <c r="I2970" s="695">
        <v>100</v>
      </c>
      <c r="J2970" s="695">
        <v>48822</v>
      </c>
      <c r="K2970" s="696">
        <f t="shared" si="257"/>
        <v>4882200</v>
      </c>
      <c r="L2970" s="697" t="s">
        <v>158</v>
      </c>
      <c r="M2970" s="697" t="s">
        <v>292</v>
      </c>
      <c r="N2970" s="525" t="str">
        <f>IF(AND('331-CT'!$E$7=TH!H2970,OR(L2970="331",M2970="331")),"331",IF(AND(OR(L2970="131",M2970="131"),H2970='131-CT'!$E$7),"131",""))</f>
        <v/>
      </c>
      <c r="O2970" s="525" t="str">
        <f>IF(AND($B2970&gt;='111'!$N$11,$B2970&lt;='111'!$O$11,OR($L2970=$O$7,$M2970=$O$7)),"x","")</f>
        <v/>
      </c>
      <c r="P2970" s="525" t="str">
        <f>IF(AND($L2970=$O$7,$B2970&lt;'111'!$N$11),"x","")</f>
        <v/>
      </c>
      <c r="Q2970" s="525" t="str">
        <f>IF(AND($M2970=$O$7,$B2970&lt;'111'!$N$11),"x","")</f>
        <v/>
      </c>
      <c r="R2970" s="525" t="str">
        <f>IF(ISERROR(FIND('112'!$M$9,G2970,1)),"",IF((AND(FIND('112'!$M$9,G2970,1)&gt;=1,$B2970&gt;='112'!$N$8,$B2970&lt;='112'!$O$8,OR($L2970='112'!$I$6,$M2970='112'!$I$6))),"x",""))</f>
        <v/>
      </c>
      <c r="S2970" s="525" t="str">
        <f>IF(ISERROR(FIND('112'!$M$9,G2970,1)),"",IF((AND(LEFT(G2970,2)=LEFT('112'!$M$9,2),B2970&lt;'112'!$N$8,$L2970='112'!$I$6)),"x",""))</f>
        <v/>
      </c>
      <c r="T2970" s="525" t="str">
        <f>IF(ISERROR(FIND('112'!$M$9,G2970,1)),"",IF((AND(RIGHT(G2970,2)=RIGHT('112'!$M$9,2),B2970&lt;'112'!$N$8,$M2970='112'!$I$6)),"x",""))</f>
        <v/>
      </c>
      <c r="U2970" s="525" t="str">
        <f>IF(AND(B2970&gt;='IN-NX'!$P$3,B2970&lt;='IN-NX'!$Q$3,'IN-NX'!$D$7=D2970,OR(LEFT(L2970,2)="15",AND(LEFT(M2970,2)&lt;&gt;"15",LEFT(M2970,2)&lt;&gt;"33"))),"x","")</f>
        <v/>
      </c>
      <c r="V2970" s="525" t="str">
        <f>IF(AND(OR(LEFT(TH!L2970,2)="15",LEFT(TH!M2970,2)="15"),'152-CT'!$J$8=TH!F2970),"x","")</f>
        <v/>
      </c>
      <c r="W2970" s="525" t="str">
        <f>IF(AND(OR(LEFT(TH!L2970,2)="15",LEFT(TH!M2970,2)="15"),TK!$E$7=TH!F2970),"x","")</f>
        <v/>
      </c>
      <c r="X2970" s="525" t="str">
        <f>IF(AND('341-CT'!$E$9=H2970,OR(LEFT(L2970,3)=$X$7,LEFT(M2970,3)=$X$7)),"x","")</f>
        <v/>
      </c>
      <c r="Y2970" s="525" t="str">
        <f>IF(OR(TH!L2970=TH!$Y$7,M2970=TH!$Y$7),"x","")</f>
        <v/>
      </c>
      <c r="Z2970" s="525" t="str">
        <f>IF(AND(B2970&lt;=NKC!$N$8,B2970&gt;=NKC!$M$8),"x","")</f>
        <v/>
      </c>
      <c r="AA2970" s="702"/>
      <c r="AB2970" s="703"/>
    </row>
    <row r="2971" spans="1:30" s="704" customFormat="1" ht="15.75" customHeight="1">
      <c r="A2971" s="517" t="str">
        <f>IF(B2971&lt;&gt;"",IF(AND(B2971&gt;=_TM1,B2971&lt;=_TM2,OR(TH!L2971="1111",TH!M2971="1111")),TH!D2971,""),"")</f>
        <v/>
      </c>
      <c r="B2971" s="698">
        <f t="shared" si="259"/>
        <v>4</v>
      </c>
      <c r="C2971" s="699">
        <f t="shared" si="255"/>
        <v>42851</v>
      </c>
      <c r="D2971" s="699" t="s">
        <v>997</v>
      </c>
      <c r="E2971" s="699">
        <v>42851</v>
      </c>
      <c r="F2971" s="700" t="s">
        <v>704</v>
      </c>
      <c r="G2971" s="701" t="s">
        <v>1116</v>
      </c>
      <c r="H2971" s="694" t="s">
        <v>801</v>
      </c>
      <c r="I2971" s="695">
        <v>186</v>
      </c>
      <c r="J2971" s="695">
        <v>17250</v>
      </c>
      <c r="K2971" s="696">
        <f t="shared" si="257"/>
        <v>3208500</v>
      </c>
      <c r="L2971" s="697" t="s">
        <v>158</v>
      </c>
      <c r="M2971" s="697" t="s">
        <v>292</v>
      </c>
      <c r="N2971" s="525" t="str">
        <f>IF(AND('331-CT'!$E$7=TH!H2971,OR(L2971="331",M2971="331")),"331",IF(AND(OR(L2971="131",M2971="131"),H2971='131-CT'!$E$7),"131",""))</f>
        <v/>
      </c>
      <c r="O2971" s="525" t="str">
        <f>IF(AND($B2971&gt;='111'!$N$11,$B2971&lt;='111'!$O$11,OR($L2971=$O$7,$M2971=$O$7)),"x","")</f>
        <v/>
      </c>
      <c r="P2971" s="525" t="str">
        <f>IF(AND($L2971=$O$7,$B2971&lt;'111'!$N$11),"x","")</f>
        <v/>
      </c>
      <c r="Q2971" s="525" t="str">
        <f>IF(AND($M2971=$O$7,$B2971&lt;'111'!$N$11),"x","")</f>
        <v/>
      </c>
      <c r="R2971" s="525" t="str">
        <f>IF(ISERROR(FIND('112'!$M$9,G2971,1)),"",IF((AND(FIND('112'!$M$9,G2971,1)&gt;=1,$B2971&gt;='112'!$N$8,$B2971&lt;='112'!$O$8,OR($L2971='112'!$I$6,$M2971='112'!$I$6))),"x",""))</f>
        <v/>
      </c>
      <c r="S2971" s="525" t="str">
        <f>IF(ISERROR(FIND('112'!$M$9,G2971,1)),"",IF((AND(LEFT(G2971,2)=LEFT('112'!$M$9,2),B2971&lt;'112'!$N$8,$L2971='112'!$I$6)),"x",""))</f>
        <v/>
      </c>
      <c r="T2971" s="525" t="str">
        <f>IF(ISERROR(FIND('112'!$M$9,G2971,1)),"",IF((AND(RIGHT(G2971,2)=RIGHT('112'!$M$9,2),B2971&lt;'112'!$N$8,$M2971='112'!$I$6)),"x",""))</f>
        <v/>
      </c>
      <c r="U2971" s="525" t="str">
        <f>IF(AND(B2971&gt;='IN-NX'!$P$3,B2971&lt;='IN-NX'!$Q$3,'IN-NX'!$D$7=D2971,OR(LEFT(L2971,2)="15",AND(LEFT(M2971,2)&lt;&gt;"15",LEFT(M2971,2)&lt;&gt;"33"))),"x","")</f>
        <v/>
      </c>
      <c r="V2971" s="525" t="str">
        <f>IF(AND(OR(LEFT(TH!L2971,2)="15",LEFT(TH!M2971,2)="15"),'152-CT'!$J$8=TH!F2971),"x","")</f>
        <v/>
      </c>
      <c r="W2971" s="525" t="str">
        <f>IF(AND(OR(LEFT(TH!L2971,2)="15",LEFT(TH!M2971,2)="15"),TK!$E$7=TH!F2971),"x","")</f>
        <v/>
      </c>
      <c r="X2971" s="525" t="str">
        <f>IF(AND('341-CT'!$E$9=H2971,OR(LEFT(L2971,3)=$X$7,LEFT(M2971,3)=$X$7)),"x","")</f>
        <v/>
      </c>
      <c r="Y2971" s="525" t="str">
        <f>IF(OR(TH!L2971=TH!$Y$7,M2971=TH!$Y$7),"x","")</f>
        <v/>
      </c>
      <c r="Z2971" s="525" t="str">
        <f>IF(AND(B2971&lt;=NKC!$N$8,B2971&gt;=NKC!$M$8),"x","")</f>
        <v/>
      </c>
      <c r="AA2971" s="702"/>
      <c r="AB2971" s="703"/>
    </row>
    <row r="2972" spans="1:30" s="704" customFormat="1" ht="15.75" customHeight="1">
      <c r="A2972" s="517" t="str">
        <f>IF(B2972&lt;&gt;"",IF(AND(B2972&gt;=_TM1,B2972&lt;=_TM2,OR(TH!L2972="1111",TH!M2972="1111")),TH!D2972,""),"")</f>
        <v/>
      </c>
      <c r="B2972" s="698">
        <f t="shared" si="259"/>
        <v>4</v>
      </c>
      <c r="C2972" s="699">
        <f t="shared" si="255"/>
        <v>42851</v>
      </c>
      <c r="D2972" s="699" t="s">
        <v>997</v>
      </c>
      <c r="E2972" s="699">
        <v>42851</v>
      </c>
      <c r="F2972" s="700" t="s">
        <v>611</v>
      </c>
      <c r="G2972" s="701" t="s">
        <v>1116</v>
      </c>
      <c r="H2972" s="694" t="s">
        <v>801</v>
      </c>
      <c r="I2972" s="695">
        <v>182</v>
      </c>
      <c r="J2972" s="695">
        <v>39735</v>
      </c>
      <c r="K2972" s="696">
        <f t="shared" si="257"/>
        <v>7231770</v>
      </c>
      <c r="L2972" s="697" t="s">
        <v>158</v>
      </c>
      <c r="M2972" s="697" t="s">
        <v>292</v>
      </c>
      <c r="N2972" s="525" t="str">
        <f>IF(AND('331-CT'!$E$7=TH!H2972,OR(L2972="331",M2972="331")),"331",IF(AND(OR(L2972="131",M2972="131"),H2972='131-CT'!$E$7),"131",""))</f>
        <v/>
      </c>
      <c r="O2972" s="525" t="str">
        <f>IF(AND($B2972&gt;='111'!$N$11,$B2972&lt;='111'!$O$11,OR($L2972=$O$7,$M2972=$O$7)),"x","")</f>
        <v/>
      </c>
      <c r="P2972" s="525" t="str">
        <f>IF(AND($L2972=$O$7,$B2972&lt;'111'!$N$11),"x","")</f>
        <v/>
      </c>
      <c r="Q2972" s="525" t="str">
        <f>IF(AND($M2972=$O$7,$B2972&lt;'111'!$N$11),"x","")</f>
        <v/>
      </c>
      <c r="R2972" s="525" t="str">
        <f>IF(ISERROR(FIND('112'!$M$9,G2972,1)),"",IF((AND(FIND('112'!$M$9,G2972,1)&gt;=1,$B2972&gt;='112'!$N$8,$B2972&lt;='112'!$O$8,OR($L2972='112'!$I$6,$M2972='112'!$I$6))),"x",""))</f>
        <v/>
      </c>
      <c r="S2972" s="525" t="str">
        <f>IF(ISERROR(FIND('112'!$M$9,G2972,1)),"",IF((AND(LEFT(G2972,2)=LEFT('112'!$M$9,2),B2972&lt;'112'!$N$8,$L2972='112'!$I$6)),"x",""))</f>
        <v/>
      </c>
      <c r="T2972" s="525" t="str">
        <f>IF(ISERROR(FIND('112'!$M$9,G2972,1)),"",IF((AND(RIGHT(G2972,2)=RIGHT('112'!$M$9,2),B2972&lt;'112'!$N$8,$M2972='112'!$I$6)),"x",""))</f>
        <v/>
      </c>
      <c r="U2972" s="525" t="str">
        <f>IF(AND(B2972&gt;='IN-NX'!$P$3,B2972&lt;='IN-NX'!$Q$3,'IN-NX'!$D$7=D2972,OR(LEFT(L2972,2)="15",AND(LEFT(M2972,2)&lt;&gt;"15",LEFT(M2972,2)&lt;&gt;"33"))),"x","")</f>
        <v/>
      </c>
      <c r="V2972" s="525" t="str">
        <f>IF(AND(OR(LEFT(TH!L2972,2)="15",LEFT(TH!M2972,2)="15"),'152-CT'!$J$8=TH!F2972),"x","")</f>
        <v/>
      </c>
      <c r="W2972" s="525" t="str">
        <f>IF(AND(OR(LEFT(TH!L2972,2)="15",LEFT(TH!M2972,2)="15"),TK!$E$7=TH!F2972),"x","")</f>
        <v/>
      </c>
      <c r="X2972" s="525" t="str">
        <f>IF(AND('341-CT'!$E$9=H2972,OR(LEFT(L2972,3)=$X$7,LEFT(M2972,3)=$X$7)),"x","")</f>
        <v/>
      </c>
      <c r="Y2972" s="525" t="str">
        <f>IF(OR(TH!L2972=TH!$Y$7,M2972=TH!$Y$7),"x","")</f>
        <v/>
      </c>
      <c r="Z2972" s="525" t="str">
        <f>IF(AND(B2972&lt;=NKC!$N$8,B2972&gt;=NKC!$M$8),"x","")</f>
        <v/>
      </c>
      <c r="AA2972" s="702"/>
      <c r="AB2972" s="703"/>
    </row>
    <row r="2973" spans="1:30" s="704" customFormat="1" ht="15.75" customHeight="1">
      <c r="A2973" s="517" t="str">
        <f>IF(B2973&lt;&gt;"",IF(AND(B2973&gt;=_TM1,B2973&lt;=_TM2,OR(TH!L2973="1111",TH!M2973="1111")),TH!D2973,""),"")</f>
        <v/>
      </c>
      <c r="B2973" s="698">
        <f t="shared" si="259"/>
        <v>4</v>
      </c>
      <c r="C2973" s="699">
        <f t="shared" si="255"/>
        <v>42851</v>
      </c>
      <c r="D2973" s="699" t="s">
        <v>997</v>
      </c>
      <c r="E2973" s="699">
        <v>42851</v>
      </c>
      <c r="F2973" s="700" t="s">
        <v>741</v>
      </c>
      <c r="G2973" s="701" t="s">
        <v>1116</v>
      </c>
      <c r="H2973" s="694" t="s">
        <v>801</v>
      </c>
      <c r="I2973" s="695">
        <v>16</v>
      </c>
      <c r="J2973" s="695">
        <v>231405</v>
      </c>
      <c r="K2973" s="696">
        <f t="shared" si="257"/>
        <v>3702480</v>
      </c>
      <c r="L2973" s="697" t="s">
        <v>158</v>
      </c>
      <c r="M2973" s="697" t="s">
        <v>292</v>
      </c>
      <c r="N2973" s="525" t="str">
        <f>IF(AND('331-CT'!$E$7=TH!H2973,OR(L2973="331",M2973="331")),"331",IF(AND(OR(L2973="131",M2973="131"),H2973='131-CT'!$E$7),"131",""))</f>
        <v/>
      </c>
      <c r="O2973" s="525" t="str">
        <f>IF(AND($B2973&gt;='111'!$N$11,$B2973&lt;='111'!$O$11,OR($L2973=$O$7,$M2973=$O$7)),"x","")</f>
        <v/>
      </c>
      <c r="P2973" s="525" t="str">
        <f>IF(AND($L2973=$O$7,$B2973&lt;'111'!$N$11),"x","")</f>
        <v/>
      </c>
      <c r="Q2973" s="525" t="str">
        <f>IF(AND($M2973=$O$7,$B2973&lt;'111'!$N$11),"x","")</f>
        <v/>
      </c>
      <c r="R2973" s="525" t="str">
        <f>IF(ISERROR(FIND('112'!$M$9,G2973,1)),"",IF((AND(FIND('112'!$M$9,G2973,1)&gt;=1,$B2973&gt;='112'!$N$8,$B2973&lt;='112'!$O$8,OR($L2973='112'!$I$6,$M2973='112'!$I$6))),"x",""))</f>
        <v/>
      </c>
      <c r="S2973" s="525" t="str">
        <f>IF(ISERROR(FIND('112'!$M$9,G2973,1)),"",IF((AND(LEFT(G2973,2)=LEFT('112'!$M$9,2),B2973&lt;'112'!$N$8,$L2973='112'!$I$6)),"x",""))</f>
        <v/>
      </c>
      <c r="T2973" s="525" t="str">
        <f>IF(ISERROR(FIND('112'!$M$9,G2973,1)),"",IF((AND(RIGHT(G2973,2)=RIGHT('112'!$M$9,2),B2973&lt;'112'!$N$8,$M2973='112'!$I$6)),"x",""))</f>
        <v/>
      </c>
      <c r="U2973" s="525" t="str">
        <f>IF(AND(B2973&gt;='IN-NX'!$P$3,B2973&lt;='IN-NX'!$Q$3,'IN-NX'!$D$7=D2973,OR(LEFT(L2973,2)="15",AND(LEFT(M2973,2)&lt;&gt;"15",LEFT(M2973,2)&lt;&gt;"33"))),"x","")</f>
        <v/>
      </c>
      <c r="V2973" s="525" t="str">
        <f>IF(AND(OR(LEFT(TH!L2973,2)="15",LEFT(TH!M2973,2)="15"),'152-CT'!$J$8=TH!F2973),"x","")</f>
        <v/>
      </c>
      <c r="W2973" s="525" t="str">
        <f>IF(AND(OR(LEFT(TH!L2973,2)="15",LEFT(TH!M2973,2)="15"),TK!$E$7=TH!F2973),"x","")</f>
        <v/>
      </c>
      <c r="X2973" s="525" t="str">
        <f>IF(AND('341-CT'!$E$9=H2973,OR(LEFT(L2973,3)=$X$7,LEFT(M2973,3)=$X$7)),"x","")</f>
        <v/>
      </c>
      <c r="Y2973" s="525" t="str">
        <f>IF(OR(TH!L2973=TH!$Y$7,M2973=TH!$Y$7),"x","")</f>
        <v/>
      </c>
      <c r="Z2973" s="525" t="str">
        <f>IF(AND(B2973&lt;=NKC!$N$8,B2973&gt;=NKC!$M$8),"x","")</f>
        <v/>
      </c>
      <c r="AA2973" s="702"/>
      <c r="AB2973" s="703"/>
    </row>
    <row r="2974" spans="1:30" s="704" customFormat="1" ht="15.75" customHeight="1">
      <c r="A2974" s="517" t="str">
        <f>IF(B2974&lt;&gt;"",IF(AND(B2974&gt;=_TM1,B2974&lt;=_TM2,OR(TH!L2974="1111",TH!M2974="1111")),TH!D2974,""),"")</f>
        <v/>
      </c>
      <c r="B2974" s="698">
        <f t="shared" si="259"/>
        <v>4</v>
      </c>
      <c r="C2974" s="699">
        <f t="shared" si="255"/>
        <v>42851</v>
      </c>
      <c r="D2974" s="699" t="s">
        <v>997</v>
      </c>
      <c r="E2974" s="699">
        <v>42851</v>
      </c>
      <c r="F2974" s="700" t="s">
        <v>795</v>
      </c>
      <c r="G2974" s="701" t="s">
        <v>1116</v>
      </c>
      <c r="H2974" s="694" t="s">
        <v>801</v>
      </c>
      <c r="I2974" s="695">
        <v>60</v>
      </c>
      <c r="J2974" s="695">
        <v>75459</v>
      </c>
      <c r="K2974" s="696">
        <f t="shared" si="257"/>
        <v>4527540</v>
      </c>
      <c r="L2974" s="697" t="s">
        <v>158</v>
      </c>
      <c r="M2974" s="697" t="s">
        <v>292</v>
      </c>
      <c r="N2974" s="525" t="str">
        <f>IF(AND('331-CT'!$E$7=TH!H2974,OR(L2974="331",M2974="331")),"331",IF(AND(OR(L2974="131",M2974="131"),H2974='131-CT'!$E$7),"131",""))</f>
        <v/>
      </c>
      <c r="O2974" s="525" t="str">
        <f>IF(AND($B2974&gt;='111'!$N$11,$B2974&lt;='111'!$O$11,OR($L2974=$O$7,$M2974=$O$7)),"x","")</f>
        <v/>
      </c>
      <c r="P2974" s="525" t="str">
        <f>IF(AND($L2974=$O$7,$B2974&lt;'111'!$N$11),"x","")</f>
        <v/>
      </c>
      <c r="Q2974" s="525" t="str">
        <f>IF(AND($M2974=$O$7,$B2974&lt;'111'!$N$11),"x","")</f>
        <v/>
      </c>
      <c r="R2974" s="525" t="str">
        <f>IF(ISERROR(FIND('112'!$M$9,G2974,1)),"",IF((AND(FIND('112'!$M$9,G2974,1)&gt;=1,$B2974&gt;='112'!$N$8,$B2974&lt;='112'!$O$8,OR($L2974='112'!$I$6,$M2974='112'!$I$6))),"x",""))</f>
        <v/>
      </c>
      <c r="S2974" s="525" t="str">
        <f>IF(ISERROR(FIND('112'!$M$9,G2974,1)),"",IF((AND(LEFT(G2974,2)=LEFT('112'!$M$9,2),B2974&lt;'112'!$N$8,$L2974='112'!$I$6)),"x",""))</f>
        <v/>
      </c>
      <c r="T2974" s="525" t="str">
        <f>IF(ISERROR(FIND('112'!$M$9,G2974,1)),"",IF((AND(RIGHT(G2974,2)=RIGHT('112'!$M$9,2),B2974&lt;'112'!$N$8,$M2974='112'!$I$6)),"x",""))</f>
        <v/>
      </c>
      <c r="U2974" s="525" t="str">
        <f>IF(AND(B2974&gt;='IN-NX'!$P$3,B2974&lt;='IN-NX'!$Q$3,'IN-NX'!$D$7=D2974,OR(LEFT(L2974,2)="15",AND(LEFT(M2974,2)&lt;&gt;"15",LEFT(M2974,2)&lt;&gt;"33"))),"x","")</f>
        <v/>
      </c>
      <c r="V2974" s="525" t="str">
        <f>IF(AND(OR(LEFT(TH!L2974,2)="15",LEFT(TH!M2974,2)="15"),'152-CT'!$J$8=TH!F2974),"x","")</f>
        <v/>
      </c>
      <c r="W2974" s="525" t="str">
        <f>IF(AND(OR(LEFT(TH!L2974,2)="15",LEFT(TH!M2974,2)="15"),TK!$E$7=TH!F2974),"x","")</f>
        <v/>
      </c>
      <c r="X2974" s="525" t="str">
        <f>IF(AND('341-CT'!$E$9=H2974,OR(LEFT(L2974,3)=$X$7,LEFT(M2974,3)=$X$7)),"x","")</f>
        <v/>
      </c>
      <c r="Y2974" s="525" t="str">
        <f>IF(OR(TH!L2974=TH!$Y$7,M2974=TH!$Y$7),"x","")</f>
        <v/>
      </c>
      <c r="Z2974" s="525" t="str">
        <f>IF(AND(B2974&lt;=NKC!$N$8,B2974&gt;=NKC!$M$8),"x","")</f>
        <v/>
      </c>
      <c r="AA2974" s="702"/>
      <c r="AB2974" s="703"/>
    </row>
    <row r="2975" spans="1:30" s="704" customFormat="1" ht="15.75" customHeight="1">
      <c r="A2975" s="517" t="str">
        <f>IF(B2975&lt;&gt;"",IF(AND(B2975&gt;=_TM1,B2975&lt;=_TM2,OR(TH!L2975="1111",TH!M2975="1111")),TH!D2975,""),"")</f>
        <v/>
      </c>
      <c r="B2975" s="698">
        <f t="shared" si="259"/>
        <v>4</v>
      </c>
      <c r="C2975" s="699">
        <f t="shared" si="255"/>
        <v>42851</v>
      </c>
      <c r="D2975" s="699" t="s">
        <v>997</v>
      </c>
      <c r="E2975" s="699">
        <v>42851</v>
      </c>
      <c r="F2975" s="700" t="s">
        <v>791</v>
      </c>
      <c r="G2975" s="701" t="s">
        <v>1116</v>
      </c>
      <c r="H2975" s="694" t="s">
        <v>801</v>
      </c>
      <c r="I2975" s="695">
        <v>20</v>
      </c>
      <c r="J2975" s="695">
        <v>142010</v>
      </c>
      <c r="K2975" s="696">
        <f t="shared" si="257"/>
        <v>2840200</v>
      </c>
      <c r="L2975" s="697" t="s">
        <v>158</v>
      </c>
      <c r="M2975" s="697" t="s">
        <v>292</v>
      </c>
      <c r="N2975" s="525" t="str">
        <f>IF(AND('331-CT'!$E$7=TH!H2975,OR(L2975="331",M2975="331")),"331",IF(AND(OR(L2975="131",M2975="131"),H2975='131-CT'!$E$7),"131",""))</f>
        <v/>
      </c>
      <c r="O2975" s="525" t="str">
        <f>IF(AND($B2975&gt;='111'!$N$11,$B2975&lt;='111'!$O$11,OR($L2975=$O$7,$M2975=$O$7)),"x","")</f>
        <v/>
      </c>
      <c r="P2975" s="525" t="str">
        <f>IF(AND($L2975=$O$7,$B2975&lt;'111'!$N$11),"x","")</f>
        <v/>
      </c>
      <c r="Q2975" s="525" t="str">
        <f>IF(AND($M2975=$O$7,$B2975&lt;'111'!$N$11),"x","")</f>
        <v/>
      </c>
      <c r="R2975" s="525" t="str">
        <f>IF(ISERROR(FIND('112'!$M$9,G2975,1)),"",IF((AND(FIND('112'!$M$9,G2975,1)&gt;=1,$B2975&gt;='112'!$N$8,$B2975&lt;='112'!$O$8,OR($L2975='112'!$I$6,$M2975='112'!$I$6))),"x",""))</f>
        <v/>
      </c>
      <c r="S2975" s="525" t="str">
        <f>IF(ISERROR(FIND('112'!$M$9,G2975,1)),"",IF((AND(LEFT(G2975,2)=LEFT('112'!$M$9,2),B2975&lt;'112'!$N$8,$L2975='112'!$I$6)),"x",""))</f>
        <v/>
      </c>
      <c r="T2975" s="525" t="str">
        <f>IF(ISERROR(FIND('112'!$M$9,G2975,1)),"",IF((AND(RIGHT(G2975,2)=RIGHT('112'!$M$9,2),B2975&lt;'112'!$N$8,$M2975='112'!$I$6)),"x",""))</f>
        <v/>
      </c>
      <c r="U2975" s="525" t="str">
        <f>IF(AND(B2975&gt;='IN-NX'!$P$3,B2975&lt;='IN-NX'!$Q$3,'IN-NX'!$D$7=D2975,OR(LEFT(L2975,2)="15",AND(LEFT(M2975,2)&lt;&gt;"15",LEFT(M2975,2)&lt;&gt;"33"))),"x","")</f>
        <v/>
      </c>
      <c r="V2975" s="525" t="str">
        <f>IF(AND(OR(LEFT(TH!L2975,2)="15",LEFT(TH!M2975,2)="15"),'152-CT'!$J$8=TH!F2975),"x","")</f>
        <v/>
      </c>
      <c r="W2975" s="525" t="str">
        <f>IF(AND(OR(LEFT(TH!L2975,2)="15",LEFT(TH!M2975,2)="15"),TK!$E$7=TH!F2975),"x","")</f>
        <v/>
      </c>
      <c r="X2975" s="525" t="str">
        <f>IF(AND('341-CT'!$E$9=H2975,OR(LEFT(L2975,3)=$X$7,LEFT(M2975,3)=$X$7)),"x","")</f>
        <v/>
      </c>
      <c r="Y2975" s="525" t="str">
        <f>IF(OR(TH!L2975=TH!$Y$7,M2975=TH!$Y$7),"x","")</f>
        <v/>
      </c>
      <c r="Z2975" s="525" t="str">
        <f>IF(AND(B2975&lt;=NKC!$N$8,B2975&gt;=NKC!$M$8),"x","")</f>
        <v/>
      </c>
      <c r="AA2975" s="702"/>
      <c r="AB2975" s="703"/>
    </row>
    <row r="2976" spans="1:30" s="704" customFormat="1" ht="15.75" customHeight="1">
      <c r="A2976" s="517" t="str">
        <f>IF(B2976&lt;&gt;"",IF(AND(B2976&gt;=_TM1,B2976&lt;=_TM2,OR(TH!L2976="1111",TH!M2976="1111")),TH!D2976,""),"")</f>
        <v/>
      </c>
      <c r="B2976" s="698">
        <f t="shared" si="259"/>
        <v>4</v>
      </c>
      <c r="C2976" s="699">
        <f t="shared" si="255"/>
        <v>42851</v>
      </c>
      <c r="D2976" s="699" t="s">
        <v>997</v>
      </c>
      <c r="E2976" s="699">
        <v>42851</v>
      </c>
      <c r="F2976" s="700" t="s">
        <v>652</v>
      </c>
      <c r="G2976" s="701" t="s">
        <v>1116</v>
      </c>
      <c r="H2976" s="694" t="s">
        <v>801</v>
      </c>
      <c r="I2976" s="695">
        <v>100</v>
      </c>
      <c r="J2976" s="695">
        <v>28511</v>
      </c>
      <c r="K2976" s="696">
        <f t="shared" si="257"/>
        <v>2851100</v>
      </c>
      <c r="L2976" s="697" t="s">
        <v>158</v>
      </c>
      <c r="M2976" s="697" t="s">
        <v>292</v>
      </c>
      <c r="N2976" s="525" t="str">
        <f>IF(AND('331-CT'!$E$7=TH!H2976,OR(L2976="331",M2976="331")),"331",IF(AND(OR(L2976="131",M2976="131"),H2976='131-CT'!$E$7),"131",""))</f>
        <v/>
      </c>
      <c r="O2976" s="525" t="str">
        <f>IF(AND($B2976&gt;='111'!$N$11,$B2976&lt;='111'!$O$11,OR($L2976=$O$7,$M2976=$O$7)),"x","")</f>
        <v/>
      </c>
      <c r="P2976" s="525" t="str">
        <f>IF(AND($L2976=$O$7,$B2976&lt;'111'!$N$11),"x","")</f>
        <v/>
      </c>
      <c r="Q2976" s="525" t="str">
        <f>IF(AND($M2976=$O$7,$B2976&lt;'111'!$N$11),"x","")</f>
        <v/>
      </c>
      <c r="R2976" s="525" t="str">
        <f>IF(ISERROR(FIND('112'!$M$9,G2976,1)),"",IF((AND(FIND('112'!$M$9,G2976,1)&gt;=1,$B2976&gt;='112'!$N$8,$B2976&lt;='112'!$O$8,OR($L2976='112'!$I$6,$M2976='112'!$I$6))),"x",""))</f>
        <v/>
      </c>
      <c r="S2976" s="525" t="str">
        <f>IF(ISERROR(FIND('112'!$M$9,G2976,1)),"",IF((AND(LEFT(G2976,2)=LEFT('112'!$M$9,2),B2976&lt;'112'!$N$8,$L2976='112'!$I$6)),"x",""))</f>
        <v/>
      </c>
      <c r="T2976" s="525" t="str">
        <f>IF(ISERROR(FIND('112'!$M$9,G2976,1)),"",IF((AND(RIGHT(G2976,2)=RIGHT('112'!$M$9,2),B2976&lt;'112'!$N$8,$M2976='112'!$I$6)),"x",""))</f>
        <v/>
      </c>
      <c r="U2976" s="525" t="str">
        <f>IF(AND(B2976&gt;='IN-NX'!$P$3,B2976&lt;='IN-NX'!$Q$3,'IN-NX'!$D$7=D2976,OR(LEFT(L2976,2)="15",AND(LEFT(M2976,2)&lt;&gt;"15",LEFT(M2976,2)&lt;&gt;"33"))),"x","")</f>
        <v/>
      </c>
      <c r="V2976" s="525" t="str">
        <f>IF(AND(OR(LEFT(TH!L2976,2)="15",LEFT(TH!M2976,2)="15"),'152-CT'!$J$8=TH!F2976),"x","")</f>
        <v/>
      </c>
      <c r="W2976" s="525" t="str">
        <f>IF(AND(OR(LEFT(TH!L2976,2)="15",LEFT(TH!M2976,2)="15"),TK!$E$7=TH!F2976),"x","")</f>
        <v/>
      </c>
      <c r="X2976" s="525" t="str">
        <f>IF(AND('341-CT'!$E$9=H2976,OR(LEFT(L2976,3)=$X$7,LEFT(M2976,3)=$X$7)),"x","")</f>
        <v/>
      </c>
      <c r="Y2976" s="525" t="str">
        <f>IF(OR(TH!L2976=TH!$Y$7,M2976=TH!$Y$7),"x","")</f>
        <v/>
      </c>
      <c r="Z2976" s="525" t="str">
        <f>IF(AND(B2976&lt;=NKC!$N$8,B2976&gt;=NKC!$M$8),"x","")</f>
        <v/>
      </c>
      <c r="AA2976" s="702"/>
      <c r="AB2976" s="703"/>
    </row>
    <row r="2977" spans="1:31" s="704" customFormat="1" ht="15.75" customHeight="1">
      <c r="A2977" s="517" t="str">
        <f>IF(B2977&lt;&gt;"",IF(AND(B2977&gt;=_TM1,B2977&lt;=_TM2,OR(TH!L2977="1111",TH!M2977="1111")),TH!D2977,""),"")</f>
        <v/>
      </c>
      <c r="B2977" s="698">
        <f t="shared" si="259"/>
        <v>4</v>
      </c>
      <c r="C2977" s="699">
        <f t="shared" si="255"/>
        <v>42851</v>
      </c>
      <c r="D2977" s="699" t="s">
        <v>997</v>
      </c>
      <c r="E2977" s="699">
        <v>42851</v>
      </c>
      <c r="F2977" s="700" t="s">
        <v>627</v>
      </c>
      <c r="G2977" s="701" t="s">
        <v>1116</v>
      </c>
      <c r="H2977" s="694" t="s">
        <v>801</v>
      </c>
      <c r="I2977" s="695">
        <v>50</v>
      </c>
      <c r="J2977" s="695">
        <v>51751</v>
      </c>
      <c r="K2977" s="696">
        <f t="shared" si="257"/>
        <v>2587550</v>
      </c>
      <c r="L2977" s="697" t="s">
        <v>158</v>
      </c>
      <c r="M2977" s="697" t="s">
        <v>292</v>
      </c>
      <c r="N2977" s="525" t="str">
        <f>IF(AND('331-CT'!$E$7=TH!H2977,OR(L2977="331",M2977="331")),"331",IF(AND(OR(L2977="131",M2977="131"),H2977='131-CT'!$E$7),"131",""))</f>
        <v/>
      </c>
      <c r="O2977" s="525" t="str">
        <f>IF(AND($B2977&gt;='111'!$N$11,$B2977&lt;='111'!$O$11,OR($L2977=$O$7,$M2977=$O$7)),"x","")</f>
        <v/>
      </c>
      <c r="P2977" s="525" t="str">
        <f>IF(AND($L2977=$O$7,$B2977&lt;'111'!$N$11),"x","")</f>
        <v/>
      </c>
      <c r="Q2977" s="525" t="str">
        <f>IF(AND($M2977=$O$7,$B2977&lt;'111'!$N$11),"x","")</f>
        <v/>
      </c>
      <c r="R2977" s="525" t="str">
        <f>IF(ISERROR(FIND('112'!$M$9,G2977,1)),"",IF((AND(FIND('112'!$M$9,G2977,1)&gt;=1,$B2977&gt;='112'!$N$8,$B2977&lt;='112'!$O$8,OR($L2977='112'!$I$6,$M2977='112'!$I$6))),"x",""))</f>
        <v/>
      </c>
      <c r="S2977" s="525" t="str">
        <f>IF(ISERROR(FIND('112'!$M$9,G2977,1)),"",IF((AND(LEFT(G2977,2)=LEFT('112'!$M$9,2),B2977&lt;'112'!$N$8,$L2977='112'!$I$6)),"x",""))</f>
        <v/>
      </c>
      <c r="T2977" s="525" t="str">
        <f>IF(ISERROR(FIND('112'!$M$9,G2977,1)),"",IF((AND(RIGHT(G2977,2)=RIGHT('112'!$M$9,2),B2977&lt;'112'!$N$8,$M2977='112'!$I$6)),"x",""))</f>
        <v/>
      </c>
      <c r="U2977" s="525" t="str">
        <f>IF(AND(B2977&gt;='IN-NX'!$P$3,B2977&lt;='IN-NX'!$Q$3,'IN-NX'!$D$7=D2977,OR(LEFT(L2977,2)="15",AND(LEFT(M2977,2)&lt;&gt;"15",LEFT(M2977,2)&lt;&gt;"33"))),"x","")</f>
        <v/>
      </c>
      <c r="V2977" s="525" t="str">
        <f>IF(AND(OR(LEFT(TH!L2977,2)="15",LEFT(TH!M2977,2)="15"),'152-CT'!$J$8=TH!F2977),"x","")</f>
        <v/>
      </c>
      <c r="W2977" s="525" t="str">
        <f>IF(AND(OR(LEFT(TH!L2977,2)="15",LEFT(TH!M2977,2)="15"),TK!$E$7=TH!F2977),"x","")</f>
        <v/>
      </c>
      <c r="X2977" s="525" t="str">
        <f>IF(AND('341-CT'!$E$9=H2977,OR(LEFT(L2977,3)=$X$7,LEFT(M2977,3)=$X$7)),"x","")</f>
        <v/>
      </c>
      <c r="Y2977" s="525" t="str">
        <f>IF(OR(TH!L2977=TH!$Y$7,M2977=TH!$Y$7),"x","")</f>
        <v/>
      </c>
      <c r="Z2977" s="525" t="str">
        <f>IF(AND(B2977&lt;=NKC!$N$8,B2977&gt;=NKC!$M$8),"x","")</f>
        <v/>
      </c>
      <c r="AA2977" s="702"/>
      <c r="AB2977" s="703"/>
    </row>
    <row r="2978" spans="1:31" s="704" customFormat="1" ht="15.75" customHeight="1">
      <c r="A2978" s="517" t="str">
        <f>IF(B2978&lt;&gt;"",IF(AND(B2978&gt;=_TM1,B2978&lt;=_TM2,OR(TH!L2978="1111",TH!M2978="1111")),TH!D2978,""),"")</f>
        <v/>
      </c>
      <c r="B2978" s="698">
        <f t="shared" si="259"/>
        <v>4</v>
      </c>
      <c r="C2978" s="699">
        <f t="shared" si="255"/>
        <v>42827</v>
      </c>
      <c r="D2978" s="699" t="s">
        <v>997</v>
      </c>
      <c r="E2978" s="699">
        <v>42827</v>
      </c>
      <c r="F2978" s="700" t="s">
        <v>354</v>
      </c>
      <c r="G2978" s="701" t="s">
        <v>1094</v>
      </c>
      <c r="H2978" s="694" t="s">
        <v>801</v>
      </c>
      <c r="I2978" s="695">
        <v>12</v>
      </c>
      <c r="J2978" s="695">
        <v>13860</v>
      </c>
      <c r="K2978" s="696">
        <f t="shared" si="257"/>
        <v>166320</v>
      </c>
      <c r="L2978" s="697" t="s">
        <v>158</v>
      </c>
      <c r="M2978" s="697" t="s">
        <v>292</v>
      </c>
      <c r="N2978" s="525" t="str">
        <f>IF(AND('331-CT'!$E$7=TH!H2978,OR(L2978="331",M2978="331")),"331",IF(AND(OR(L2978="131",M2978="131"),H2978='131-CT'!$E$7),"131",""))</f>
        <v/>
      </c>
      <c r="O2978" s="525" t="str">
        <f>IF(AND($B2978&gt;='111'!$N$11,$B2978&lt;='111'!$O$11,OR($L2978=$O$7,$M2978=$O$7)),"x","")</f>
        <v/>
      </c>
      <c r="P2978" s="525" t="str">
        <f>IF(AND($L2978=$O$7,$B2978&lt;'111'!$N$11),"x","")</f>
        <v/>
      </c>
      <c r="Q2978" s="525" t="str">
        <f>IF(AND($M2978=$O$7,$B2978&lt;'111'!$N$11),"x","")</f>
        <v/>
      </c>
      <c r="R2978" s="525" t="str">
        <f>IF(ISERROR(FIND('112'!$M$9,G2978,1)),"",IF((AND(FIND('112'!$M$9,G2978,1)&gt;=1,$B2978&gt;='112'!$N$8,$B2978&lt;='112'!$O$8,OR($L2978='112'!$I$6,$M2978='112'!$I$6))),"x",""))</f>
        <v/>
      </c>
      <c r="S2978" s="525" t="str">
        <f>IF(ISERROR(FIND('112'!$M$9,G2978,1)),"",IF((AND(LEFT(G2978,2)=LEFT('112'!$M$9,2),B2978&lt;'112'!$N$8,$L2978='112'!$I$6)),"x",""))</f>
        <v/>
      </c>
      <c r="T2978" s="525" t="str">
        <f>IF(ISERROR(FIND('112'!$M$9,G2978,1)),"",IF((AND(RIGHT(G2978,2)=RIGHT('112'!$M$9,2),B2978&lt;'112'!$N$8,$M2978='112'!$I$6)),"x",""))</f>
        <v/>
      </c>
      <c r="U2978" s="525" t="str">
        <f>IF(AND(B2978&gt;='IN-NX'!$P$3,B2978&lt;='IN-NX'!$Q$3,'IN-NX'!$D$7=D2978,OR(LEFT(L2978,2)="15",AND(LEFT(M2978,2)&lt;&gt;"15",LEFT(M2978,2)&lt;&gt;"33"))),"x","")</f>
        <v/>
      </c>
      <c r="V2978" s="525" t="str">
        <f>IF(AND(OR(LEFT(TH!L2978,2)="15",LEFT(TH!M2978,2)="15"),'152-CT'!$J$8=TH!F2978),"x","")</f>
        <v/>
      </c>
      <c r="W2978" s="525" t="str">
        <f>IF(AND(OR(LEFT(TH!L2978,2)="15",LEFT(TH!M2978,2)="15"),TK!$E$7=TH!F2978),"x","")</f>
        <v/>
      </c>
      <c r="X2978" s="525" t="str">
        <f>IF(AND('341-CT'!$E$9=H2978,OR(LEFT(L2978,3)=$X$7,LEFT(M2978,3)=$X$7)),"x","")</f>
        <v/>
      </c>
      <c r="Y2978" s="525" t="str">
        <f>IF(OR(TH!L2978=TH!$Y$7,M2978=TH!$Y$7),"x","")</f>
        <v/>
      </c>
      <c r="Z2978" s="525" t="str">
        <f>IF(AND(B2978&lt;=NKC!$N$8,B2978&gt;=NKC!$M$8),"x","")</f>
        <v/>
      </c>
      <c r="AA2978" s="702"/>
      <c r="AB2978" s="703"/>
    </row>
    <row r="2979" spans="1:31" s="704" customFormat="1" ht="15.75" customHeight="1">
      <c r="A2979" s="517" t="str">
        <f>IF(B2979&lt;&gt;"",IF(AND(B2979&gt;=_TM1,B2979&lt;=_TM2,OR(TH!L2979="1111",TH!M2979="1111")),TH!D2979,""),"")</f>
        <v/>
      </c>
      <c r="B2979" s="698">
        <f t="shared" si="259"/>
        <v>4</v>
      </c>
      <c r="C2979" s="699">
        <f t="shared" si="255"/>
        <v>42830</v>
      </c>
      <c r="D2979" s="699" t="s">
        <v>997</v>
      </c>
      <c r="E2979" s="699">
        <v>42830</v>
      </c>
      <c r="F2979" s="707" t="s">
        <v>354</v>
      </c>
      <c r="G2979" s="701" t="s">
        <v>1096</v>
      </c>
      <c r="H2979" s="694" t="s">
        <v>801</v>
      </c>
      <c r="I2979" s="695">
        <v>60</v>
      </c>
      <c r="J2979" s="695">
        <v>13860</v>
      </c>
      <c r="K2979" s="696">
        <f t="shared" si="257"/>
        <v>831600</v>
      </c>
      <c r="L2979" s="697" t="s">
        <v>158</v>
      </c>
      <c r="M2979" s="697" t="s">
        <v>292</v>
      </c>
      <c r="N2979" s="525" t="str">
        <f>IF(AND('331-CT'!$E$7=TH!H2979,OR(L2979="331",M2979="331")),"331",IF(AND(OR(L2979="131",M2979="131"),H2979='131-CT'!$E$7),"131",""))</f>
        <v/>
      </c>
      <c r="O2979" s="525" t="str">
        <f>IF(AND($B2979&gt;='111'!$N$11,$B2979&lt;='111'!$O$11,OR($L2979=$O$7,$M2979=$O$7)),"x","")</f>
        <v/>
      </c>
      <c r="P2979" s="525" t="str">
        <f>IF(AND($L2979=$O$7,$B2979&lt;'111'!$N$11),"x","")</f>
        <v/>
      </c>
      <c r="Q2979" s="525" t="str">
        <f>IF(AND($M2979=$O$7,$B2979&lt;'111'!$N$11),"x","")</f>
        <v/>
      </c>
      <c r="R2979" s="525" t="str">
        <f>IF(ISERROR(FIND('112'!$M$9,G2979,1)),"",IF((AND(FIND('112'!$M$9,G2979,1)&gt;=1,$B2979&gt;='112'!$N$8,$B2979&lt;='112'!$O$8,OR($L2979='112'!$I$6,$M2979='112'!$I$6))),"x",""))</f>
        <v/>
      </c>
      <c r="S2979" s="525" t="str">
        <f>IF(ISERROR(FIND('112'!$M$9,G2979,1)),"",IF((AND(LEFT(G2979,2)=LEFT('112'!$M$9,2),B2979&lt;'112'!$N$8,$L2979='112'!$I$6)),"x",""))</f>
        <v/>
      </c>
      <c r="T2979" s="525" t="str">
        <f>IF(ISERROR(FIND('112'!$M$9,G2979,1)),"",IF((AND(RIGHT(G2979,2)=RIGHT('112'!$M$9,2),B2979&lt;'112'!$N$8,$M2979='112'!$I$6)),"x",""))</f>
        <v/>
      </c>
      <c r="U2979" s="525" t="str">
        <f>IF(AND(B2979&gt;='IN-NX'!$P$3,B2979&lt;='IN-NX'!$Q$3,'IN-NX'!$D$7=D2979,OR(LEFT(L2979,2)="15",AND(LEFT(M2979,2)&lt;&gt;"15",LEFT(M2979,2)&lt;&gt;"33"))),"x","")</f>
        <v/>
      </c>
      <c r="V2979" s="525" t="str">
        <f>IF(AND(OR(LEFT(TH!L2979,2)="15",LEFT(TH!M2979,2)="15"),'152-CT'!$J$8=TH!F2979),"x","")</f>
        <v/>
      </c>
      <c r="W2979" s="525" t="str">
        <f>IF(AND(OR(LEFT(TH!L2979,2)="15",LEFT(TH!M2979,2)="15"),TK!$E$7=TH!F2979),"x","")</f>
        <v/>
      </c>
      <c r="X2979" s="525" t="str">
        <f>IF(AND('341-CT'!$E$9=H2979,OR(LEFT(L2979,3)=$X$7,LEFT(M2979,3)=$X$7)),"x","")</f>
        <v/>
      </c>
      <c r="Y2979" s="525" t="str">
        <f>IF(OR(TH!L2979=TH!$Y$7,M2979=TH!$Y$7),"x","")</f>
        <v/>
      </c>
      <c r="Z2979" s="525" t="str">
        <f>IF(AND(B2979&lt;=NKC!$N$8,B2979&gt;=NKC!$M$8),"x","")</f>
        <v/>
      </c>
      <c r="AA2979" s="702"/>
      <c r="AB2979" s="703"/>
    </row>
    <row r="2980" spans="1:31" s="704" customFormat="1" ht="15.75" customHeight="1">
      <c r="A2980" s="517" t="str">
        <f>IF(B2980&lt;&gt;"",IF(AND(B2980&gt;=_TM1,B2980&lt;=_TM2,OR(TH!L2980="1111",TH!M2980="1111")),TH!D2980,""),"")</f>
        <v/>
      </c>
      <c r="B2980" s="698">
        <f t="shared" si="259"/>
        <v>4</v>
      </c>
      <c r="C2980" s="699">
        <f t="shared" si="255"/>
        <v>42830</v>
      </c>
      <c r="D2980" s="699" t="s">
        <v>997</v>
      </c>
      <c r="E2980" s="699">
        <v>42830</v>
      </c>
      <c r="F2980" s="706" t="s">
        <v>354</v>
      </c>
      <c r="G2980" s="701" t="s">
        <v>1097</v>
      </c>
      <c r="H2980" s="694" t="s">
        <v>801</v>
      </c>
      <c r="I2980" s="695">
        <v>5</v>
      </c>
      <c r="J2980" s="695">
        <v>13860</v>
      </c>
      <c r="K2980" s="696">
        <f t="shared" ref="K2980:K2986" si="260">ROUND(I2980*J2980,0)</f>
        <v>69300</v>
      </c>
      <c r="L2980" s="697" t="s">
        <v>158</v>
      </c>
      <c r="M2980" s="697" t="s">
        <v>292</v>
      </c>
      <c r="N2980" s="525" t="str">
        <f>IF(AND('331-CT'!$E$7=TH!H2980,OR(L2980="331",M2980="331")),"331",IF(AND(OR(L2980="131",M2980="131"),H2980='131-CT'!$E$7),"131",""))</f>
        <v/>
      </c>
      <c r="O2980" s="525" t="str">
        <f>IF(AND($B2980&gt;='111'!$N$11,$B2980&lt;='111'!$O$11,OR($L2980=$O$7,$M2980=$O$7)),"x","")</f>
        <v/>
      </c>
      <c r="P2980" s="525" t="str">
        <f>IF(AND($L2980=$O$7,$B2980&lt;'111'!$N$11),"x","")</f>
        <v/>
      </c>
      <c r="Q2980" s="525" t="str">
        <f>IF(AND($M2980=$O$7,$B2980&lt;'111'!$N$11),"x","")</f>
        <v/>
      </c>
      <c r="R2980" s="525" t="str">
        <f>IF(ISERROR(FIND('112'!$M$9,G2980,1)),"",IF((AND(FIND('112'!$M$9,G2980,1)&gt;=1,$B2980&gt;='112'!$N$8,$B2980&lt;='112'!$O$8,OR($L2980='112'!$I$6,$M2980='112'!$I$6))),"x",""))</f>
        <v/>
      </c>
      <c r="S2980" s="525" t="str">
        <f>IF(ISERROR(FIND('112'!$M$9,G2980,1)),"",IF((AND(LEFT(G2980,2)=LEFT('112'!$M$9,2),B2980&lt;'112'!$N$8,$L2980='112'!$I$6)),"x",""))</f>
        <v/>
      </c>
      <c r="T2980" s="525" t="str">
        <f>IF(ISERROR(FIND('112'!$M$9,G2980,1)),"",IF((AND(RIGHT(G2980,2)=RIGHT('112'!$M$9,2),B2980&lt;'112'!$N$8,$M2980='112'!$I$6)),"x",""))</f>
        <v/>
      </c>
      <c r="U2980" s="525" t="str">
        <f>IF(AND(B2980&gt;='IN-NX'!$P$3,B2980&lt;='IN-NX'!$Q$3,'IN-NX'!$D$7=D2980,OR(LEFT(L2980,2)="15",AND(LEFT(M2980,2)&lt;&gt;"15",LEFT(M2980,2)&lt;&gt;"33"))),"x","")</f>
        <v/>
      </c>
      <c r="V2980" s="525" t="str">
        <f>IF(AND(OR(LEFT(TH!L2980,2)="15",LEFT(TH!M2980,2)="15"),'152-CT'!$J$8=TH!F2980),"x","")</f>
        <v/>
      </c>
      <c r="W2980" s="525" t="str">
        <f>IF(AND(OR(LEFT(TH!L2980,2)="15",LEFT(TH!M2980,2)="15"),TK!$E$7=TH!F2980),"x","")</f>
        <v/>
      </c>
      <c r="X2980" s="525" t="str">
        <f>IF(AND('341-CT'!$E$9=H2980,OR(LEFT(L2980,3)=$X$7,LEFT(M2980,3)=$X$7)),"x","")</f>
        <v/>
      </c>
      <c r="Y2980" s="525" t="str">
        <f>IF(OR(TH!L2980=TH!$Y$7,M2980=TH!$Y$7),"x","")</f>
        <v/>
      </c>
      <c r="Z2980" s="525" t="str">
        <f>IF(AND(B2980&lt;=NKC!$N$8,B2980&gt;=NKC!$M$8),"x","")</f>
        <v/>
      </c>
      <c r="AA2980" s="702"/>
      <c r="AB2980" s="703"/>
      <c r="AC2980" s="703"/>
      <c r="AD2980" s="703"/>
    </row>
    <row r="2981" spans="1:31" s="704" customFormat="1" ht="15.75" customHeight="1">
      <c r="A2981" s="517" t="str">
        <f>IF(B2981&lt;&gt;"",IF(AND(B2981&gt;=_TM1,B2981&lt;=_TM2,OR(TH!L2981="1111",TH!M2981="1111")),TH!D2981,""),"")</f>
        <v/>
      </c>
      <c r="B2981" s="698">
        <f t="shared" si="259"/>
        <v>4</v>
      </c>
      <c r="C2981" s="699">
        <f t="shared" si="255"/>
        <v>42831</v>
      </c>
      <c r="D2981" s="699" t="s">
        <v>997</v>
      </c>
      <c r="E2981" s="699">
        <v>42831</v>
      </c>
      <c r="F2981" s="707" t="s">
        <v>354</v>
      </c>
      <c r="G2981" s="701" t="s">
        <v>1098</v>
      </c>
      <c r="H2981" s="694" t="s">
        <v>801</v>
      </c>
      <c r="I2981" s="695">
        <v>29</v>
      </c>
      <c r="J2981" s="695">
        <v>13860</v>
      </c>
      <c r="K2981" s="696">
        <f t="shared" si="260"/>
        <v>401940</v>
      </c>
      <c r="L2981" s="697" t="s">
        <v>158</v>
      </c>
      <c r="M2981" s="697" t="s">
        <v>292</v>
      </c>
      <c r="N2981" s="525" t="str">
        <f>IF(AND('331-CT'!$E$7=TH!H2981,OR(L2981="331",M2981="331")),"331",IF(AND(OR(L2981="131",M2981="131"),H2981='131-CT'!$E$7),"131",""))</f>
        <v/>
      </c>
      <c r="O2981" s="525" t="str">
        <f>IF(AND($B2981&gt;='111'!$N$11,$B2981&lt;='111'!$O$11,OR($L2981=$O$7,$M2981=$O$7)),"x","")</f>
        <v/>
      </c>
      <c r="P2981" s="525" t="str">
        <f>IF(AND($L2981=$O$7,$B2981&lt;'111'!$N$11),"x","")</f>
        <v/>
      </c>
      <c r="Q2981" s="525" t="str">
        <f>IF(AND($M2981=$O$7,$B2981&lt;'111'!$N$11),"x","")</f>
        <v/>
      </c>
      <c r="R2981" s="525" t="str">
        <f>IF(ISERROR(FIND('112'!$M$9,G2981,1)),"",IF((AND(FIND('112'!$M$9,G2981,1)&gt;=1,$B2981&gt;='112'!$N$8,$B2981&lt;='112'!$O$8,OR($L2981='112'!$I$6,$M2981='112'!$I$6))),"x",""))</f>
        <v/>
      </c>
      <c r="S2981" s="525" t="str">
        <f>IF(ISERROR(FIND('112'!$M$9,G2981,1)),"",IF((AND(LEFT(G2981,2)=LEFT('112'!$M$9,2),B2981&lt;'112'!$N$8,$L2981='112'!$I$6)),"x",""))</f>
        <v/>
      </c>
      <c r="T2981" s="525" t="str">
        <f>IF(ISERROR(FIND('112'!$M$9,G2981,1)),"",IF((AND(RIGHT(G2981,2)=RIGHT('112'!$M$9,2),B2981&lt;'112'!$N$8,$M2981='112'!$I$6)),"x",""))</f>
        <v/>
      </c>
      <c r="U2981" s="525" t="str">
        <f>IF(AND(B2981&gt;='IN-NX'!$P$3,B2981&lt;='IN-NX'!$Q$3,'IN-NX'!$D$7=D2981,OR(LEFT(L2981,2)="15",AND(LEFT(M2981,2)&lt;&gt;"15",LEFT(M2981,2)&lt;&gt;"33"))),"x","")</f>
        <v/>
      </c>
      <c r="V2981" s="525" t="str">
        <f>IF(AND(OR(LEFT(TH!L2981,2)="15",LEFT(TH!M2981,2)="15"),'152-CT'!$J$8=TH!F2981),"x","")</f>
        <v/>
      </c>
      <c r="W2981" s="525" t="str">
        <f>IF(AND(OR(LEFT(TH!L2981,2)="15",LEFT(TH!M2981,2)="15"),TK!$E$7=TH!F2981),"x","")</f>
        <v/>
      </c>
      <c r="X2981" s="525" t="str">
        <f>IF(AND('341-CT'!$E$9=H2981,OR(LEFT(L2981,3)=$X$7,LEFT(M2981,3)=$X$7)),"x","")</f>
        <v/>
      </c>
      <c r="Y2981" s="525" t="str">
        <f>IF(OR(TH!L2981=TH!$Y$7,M2981=TH!$Y$7),"x","")</f>
        <v/>
      </c>
      <c r="Z2981" s="525" t="str">
        <f>IF(AND(B2981&lt;=NKC!$N$8,B2981&gt;=NKC!$M$8),"x","")</f>
        <v/>
      </c>
      <c r="AA2981" s="702"/>
      <c r="AB2981" s="703"/>
    </row>
    <row r="2982" spans="1:31" s="704" customFormat="1" ht="15.75" customHeight="1">
      <c r="A2982" s="517" t="str">
        <f>IF(B2982&lt;&gt;"",IF(AND(B2982&gt;=_TM1,B2982&lt;=_TM2,OR(TH!L2982="1111",TH!M2982="1111")),TH!D2982,""),"")</f>
        <v/>
      </c>
      <c r="B2982" s="698">
        <f t="shared" si="259"/>
        <v>4</v>
      </c>
      <c r="C2982" s="699">
        <f t="shared" si="255"/>
        <v>42842</v>
      </c>
      <c r="D2982" s="699" t="s">
        <v>997</v>
      </c>
      <c r="E2982" s="699">
        <v>42842</v>
      </c>
      <c r="F2982" s="706" t="s">
        <v>354</v>
      </c>
      <c r="G2982" s="701" t="s">
        <v>1108</v>
      </c>
      <c r="H2982" s="694" t="s">
        <v>801</v>
      </c>
      <c r="I2982" s="705">
        <v>12</v>
      </c>
      <c r="J2982" s="705">
        <v>13860</v>
      </c>
      <c r="K2982" s="696">
        <f t="shared" si="260"/>
        <v>166320</v>
      </c>
      <c r="L2982" s="697" t="s">
        <v>158</v>
      </c>
      <c r="M2982" s="697" t="s">
        <v>292</v>
      </c>
      <c r="N2982" s="525" t="str">
        <f>IF(AND('331-CT'!$E$7=TH!H2982,OR(L2982="331",M2982="331")),"331",IF(AND(OR(L2982="131",M2982="131"),H2982='131-CT'!$E$7),"131",""))</f>
        <v/>
      </c>
      <c r="O2982" s="525" t="str">
        <f>IF(AND($B2982&gt;='111'!$N$11,$B2982&lt;='111'!$O$11,OR($L2982=$O$7,$M2982=$O$7)),"x","")</f>
        <v/>
      </c>
      <c r="P2982" s="525" t="str">
        <f>IF(AND($L2982=$O$7,$B2982&lt;'111'!$N$11),"x","")</f>
        <v/>
      </c>
      <c r="Q2982" s="525" t="str">
        <f>IF(AND($M2982=$O$7,$B2982&lt;'111'!$N$11),"x","")</f>
        <v/>
      </c>
      <c r="R2982" s="525" t="str">
        <f>IF(ISERROR(FIND('112'!$M$9,G2982,1)),"",IF((AND(FIND('112'!$M$9,G2982,1)&gt;=1,$B2982&gt;='112'!$N$8,$B2982&lt;='112'!$O$8,OR($L2982='112'!$I$6,$M2982='112'!$I$6))),"x",""))</f>
        <v/>
      </c>
      <c r="S2982" s="525" t="str">
        <f>IF(ISERROR(FIND('112'!$M$9,G2982,1)),"",IF((AND(LEFT(G2982,2)=LEFT('112'!$M$9,2),B2982&lt;'112'!$N$8,$L2982='112'!$I$6)),"x",""))</f>
        <v/>
      </c>
      <c r="T2982" s="525" t="str">
        <f>IF(ISERROR(FIND('112'!$M$9,G2982,1)),"",IF((AND(RIGHT(G2982,2)=RIGHT('112'!$M$9,2),B2982&lt;'112'!$N$8,$M2982='112'!$I$6)),"x",""))</f>
        <v/>
      </c>
      <c r="U2982" s="525" t="str">
        <f>IF(AND(B2982&gt;='IN-NX'!$P$3,B2982&lt;='IN-NX'!$Q$3,'IN-NX'!$D$7=D2982,OR(LEFT(L2982,2)="15",AND(LEFT(M2982,2)&lt;&gt;"15",LEFT(M2982,2)&lt;&gt;"33"))),"x","")</f>
        <v/>
      </c>
      <c r="V2982" s="525" t="str">
        <f>IF(AND(OR(LEFT(TH!L2982,2)="15",LEFT(TH!M2982,2)="15"),'152-CT'!$J$8=TH!F2982),"x","")</f>
        <v/>
      </c>
      <c r="W2982" s="525" t="str">
        <f>IF(AND(OR(LEFT(TH!L2982,2)="15",LEFT(TH!M2982,2)="15"),TK!$E$7=TH!F2982),"x","")</f>
        <v/>
      </c>
      <c r="X2982" s="525" t="str">
        <f>IF(AND('341-CT'!$E$9=H2982,OR(LEFT(L2982,3)=$X$7,LEFT(M2982,3)=$X$7)),"x","")</f>
        <v/>
      </c>
      <c r="Y2982" s="525" t="str">
        <f>IF(OR(TH!L2982=TH!$Y$7,M2982=TH!$Y$7),"x","")</f>
        <v/>
      </c>
      <c r="Z2982" s="525" t="str">
        <f>IF(AND(B2982&lt;=NKC!$N$8,B2982&gt;=NKC!$M$8),"x","")</f>
        <v/>
      </c>
      <c r="AA2982" s="702"/>
      <c r="AB2982" s="703"/>
      <c r="AC2982" s="703"/>
      <c r="AD2982" s="703"/>
    </row>
    <row r="2983" spans="1:31" s="704" customFormat="1" ht="15.75" customHeight="1">
      <c r="A2983" s="517" t="str">
        <f>IF(B2983&lt;&gt;"",IF(AND(B2983&gt;=_TM1,B2983&lt;=_TM2,OR(TH!L2983="1111",TH!M2983="1111")),TH!D2983,""),"")</f>
        <v/>
      </c>
      <c r="B2983" s="698">
        <f>IF(C2983&lt;&gt;"",MONTH(C2983),"")</f>
        <v>4</v>
      </c>
      <c r="C2983" s="699">
        <f t="shared" si="255"/>
        <v>42842</v>
      </c>
      <c r="D2983" s="699" t="s">
        <v>997</v>
      </c>
      <c r="E2983" s="699">
        <v>42842</v>
      </c>
      <c r="F2983" s="700" t="s">
        <v>362</v>
      </c>
      <c r="G2983" s="701" t="s">
        <v>1108</v>
      </c>
      <c r="H2983" s="694" t="s">
        <v>801</v>
      </c>
      <c r="I2983" s="695">
        <v>5</v>
      </c>
      <c r="J2983" s="695">
        <v>18612</v>
      </c>
      <c r="K2983" s="696">
        <f>ROUND(I2983*J2983,0)</f>
        <v>93060</v>
      </c>
      <c r="L2983" s="697" t="s">
        <v>158</v>
      </c>
      <c r="M2983" s="697" t="s">
        <v>292</v>
      </c>
      <c r="N2983" s="525" t="str">
        <f>IF(AND('331-CT'!$E$7=TH!H2983,OR(L2983="331",M2983="331")),"331",IF(AND(OR(L2983="131",M2983="131"),H2983='131-CT'!$E$7),"131",""))</f>
        <v/>
      </c>
      <c r="O2983" s="525" t="str">
        <f>IF(AND($B2983&gt;='111'!$N$11,$B2983&lt;='111'!$O$11,OR($L2983=$O$7,$M2983=$O$7)),"x","")</f>
        <v/>
      </c>
      <c r="P2983" s="525" t="str">
        <f>IF(AND($L2983=$O$7,$B2983&lt;'111'!$N$11),"x","")</f>
        <v/>
      </c>
      <c r="Q2983" s="525" t="str">
        <f>IF(AND($M2983=$O$7,$B2983&lt;'111'!$N$11),"x","")</f>
        <v/>
      </c>
      <c r="R2983" s="525" t="str">
        <f>IF(ISERROR(FIND('112'!$M$9,G2983,1)),"",IF((AND(FIND('112'!$M$9,G2983,1)&gt;=1,$B2983&gt;='112'!$N$8,$B2983&lt;='112'!$O$8,OR($L2983='112'!$I$6,$M2983='112'!$I$6))),"x",""))</f>
        <v/>
      </c>
      <c r="S2983" s="525" t="str">
        <f>IF(ISERROR(FIND('112'!$M$9,G2983,1)),"",IF((AND(LEFT(G2983,2)=LEFT('112'!$M$9,2),B2983&lt;'112'!$N$8,$L2983='112'!$I$6)),"x",""))</f>
        <v/>
      </c>
      <c r="T2983" s="525" t="str">
        <f>IF(ISERROR(FIND('112'!$M$9,G2983,1)),"",IF((AND(RIGHT(G2983,2)=RIGHT('112'!$M$9,2),B2983&lt;'112'!$N$8,$M2983='112'!$I$6)),"x",""))</f>
        <v/>
      </c>
      <c r="U2983" s="525" t="str">
        <f>IF(AND(B2983&gt;='IN-NX'!$P$3,B2983&lt;='IN-NX'!$Q$3,'IN-NX'!$D$7=D2983,OR(LEFT(L2983,2)="15",AND(LEFT(M2983,2)&lt;&gt;"15",LEFT(M2983,2)&lt;&gt;"33"))),"x","")</f>
        <v/>
      </c>
      <c r="V2983" s="525" t="str">
        <f>IF(AND(OR(LEFT(TH!L2983,2)="15",LEFT(TH!M2983,2)="15"),'152-CT'!$J$8=TH!F2983),"x","")</f>
        <v/>
      </c>
      <c r="W2983" s="525" t="str">
        <f>IF(AND(OR(LEFT(TH!L2983,2)="15",LEFT(TH!M2983,2)="15"),TK!$E$7=TH!F2983),"x","")</f>
        <v/>
      </c>
      <c r="X2983" s="525" t="str">
        <f>IF(AND('341-CT'!$E$9=H2983,OR(LEFT(L2983,3)=$X$7,LEFT(M2983,3)=$X$7)),"x","")</f>
        <v/>
      </c>
      <c r="Y2983" s="525" t="str">
        <f>IF(OR(TH!L2983=TH!$Y$7,M2983=TH!$Y$7),"x","")</f>
        <v/>
      </c>
      <c r="Z2983" s="525" t="str">
        <f>IF(AND(B2983&lt;=NKC!$N$8,B2983&gt;=NKC!$M$8),"x","")</f>
        <v/>
      </c>
      <c r="AA2983" s="702"/>
      <c r="AB2983" s="703"/>
    </row>
    <row r="2984" spans="1:31" s="704" customFormat="1" ht="15.75" customHeight="1">
      <c r="A2984" s="517" t="str">
        <f>IF(B2984&lt;&gt;"",IF(AND(B2984&gt;=_TM1,B2984&lt;=_TM2,OR(TH!L2984="1111",TH!M2984="1111")),TH!D2984,""),"")</f>
        <v/>
      </c>
      <c r="B2984" s="698">
        <f t="shared" si="259"/>
        <v>4</v>
      </c>
      <c r="C2984" s="699">
        <f t="shared" si="255"/>
        <v>42842</v>
      </c>
      <c r="D2984" s="699" t="s">
        <v>997</v>
      </c>
      <c r="E2984" s="699">
        <v>42842</v>
      </c>
      <c r="F2984" s="700" t="s">
        <v>362</v>
      </c>
      <c r="G2984" s="701" t="s">
        <v>1109</v>
      </c>
      <c r="H2984" s="694" t="s">
        <v>801</v>
      </c>
      <c r="I2984" s="695">
        <v>49</v>
      </c>
      <c r="J2984" s="695">
        <v>18612</v>
      </c>
      <c r="K2984" s="696">
        <f t="shared" si="260"/>
        <v>911988</v>
      </c>
      <c r="L2984" s="697" t="s">
        <v>158</v>
      </c>
      <c r="M2984" s="697" t="s">
        <v>292</v>
      </c>
      <c r="N2984" s="525" t="str">
        <f>IF(AND('331-CT'!$E$7=TH!H2984,OR(L2984="331",M2984="331")),"331",IF(AND(OR(L2984="131",M2984="131"),H2984='131-CT'!$E$7),"131",""))</f>
        <v/>
      </c>
      <c r="O2984" s="525" t="str">
        <f>IF(AND($B2984&gt;='111'!$N$11,$B2984&lt;='111'!$O$11,OR($L2984=$O$7,$M2984=$O$7)),"x","")</f>
        <v/>
      </c>
      <c r="P2984" s="525" t="str">
        <f>IF(AND($L2984=$O$7,$B2984&lt;'111'!$N$11),"x","")</f>
        <v/>
      </c>
      <c r="Q2984" s="525" t="str">
        <f>IF(AND($M2984=$O$7,$B2984&lt;'111'!$N$11),"x","")</f>
        <v/>
      </c>
      <c r="R2984" s="525" t="str">
        <f>IF(ISERROR(FIND('112'!$M$9,G2984,1)),"",IF((AND(FIND('112'!$M$9,G2984,1)&gt;=1,$B2984&gt;='112'!$N$8,$B2984&lt;='112'!$O$8,OR($L2984='112'!$I$6,$M2984='112'!$I$6))),"x",""))</f>
        <v/>
      </c>
      <c r="S2984" s="525" t="str">
        <f>IF(ISERROR(FIND('112'!$M$9,G2984,1)),"",IF((AND(LEFT(G2984,2)=LEFT('112'!$M$9,2),B2984&lt;'112'!$N$8,$L2984='112'!$I$6)),"x",""))</f>
        <v/>
      </c>
      <c r="T2984" s="525" t="str">
        <f>IF(ISERROR(FIND('112'!$M$9,G2984,1)),"",IF((AND(RIGHT(G2984,2)=RIGHT('112'!$M$9,2),B2984&lt;'112'!$N$8,$M2984='112'!$I$6)),"x",""))</f>
        <v/>
      </c>
      <c r="U2984" s="525" t="str">
        <f>IF(AND(B2984&gt;='IN-NX'!$P$3,B2984&lt;='IN-NX'!$Q$3,'IN-NX'!$D$7=D2984,OR(LEFT(L2984,2)="15",AND(LEFT(M2984,2)&lt;&gt;"15",LEFT(M2984,2)&lt;&gt;"33"))),"x","")</f>
        <v/>
      </c>
      <c r="V2984" s="525" t="str">
        <f>IF(AND(OR(LEFT(TH!L2984,2)="15",LEFT(TH!M2984,2)="15"),'152-CT'!$J$8=TH!F2984),"x","")</f>
        <v/>
      </c>
      <c r="W2984" s="525" t="str">
        <f>IF(AND(OR(LEFT(TH!L2984,2)="15",LEFT(TH!M2984,2)="15"),TK!$E$7=TH!F2984),"x","")</f>
        <v/>
      </c>
      <c r="X2984" s="525" t="str">
        <f>IF(AND('341-CT'!$E$9=H2984,OR(LEFT(L2984,3)=$X$7,LEFT(M2984,3)=$X$7)),"x","")</f>
        <v/>
      </c>
      <c r="Y2984" s="525" t="str">
        <f>IF(OR(TH!L2984=TH!$Y$7,M2984=TH!$Y$7),"x","")</f>
        <v/>
      </c>
      <c r="Z2984" s="525" t="str">
        <f>IF(AND(B2984&lt;=NKC!$N$8,B2984&gt;=NKC!$M$8),"x","")</f>
        <v/>
      </c>
      <c r="AA2984" s="702"/>
      <c r="AB2984" s="703"/>
    </row>
    <row r="2985" spans="1:31" s="704" customFormat="1" ht="15.75" customHeight="1">
      <c r="A2985" s="517" t="str">
        <f>IF(B2985&lt;&gt;"",IF(AND(B2985&gt;=_TM1,B2985&lt;=_TM2,OR(TH!L2985="1111",TH!M2985="1111")),TH!D2985,""),"")</f>
        <v/>
      </c>
      <c r="B2985" s="698">
        <f t="shared" si="259"/>
        <v>4</v>
      </c>
      <c r="C2985" s="699">
        <f t="shared" ref="C2985:C3019" si="261">E2985</f>
        <v>42844</v>
      </c>
      <c r="D2985" s="699" t="s">
        <v>997</v>
      </c>
      <c r="E2985" s="699">
        <v>42844</v>
      </c>
      <c r="F2985" s="700" t="s">
        <v>362</v>
      </c>
      <c r="G2985" s="701" t="s">
        <v>1110</v>
      </c>
      <c r="H2985" s="694" t="s">
        <v>801</v>
      </c>
      <c r="I2985" s="695">
        <v>4</v>
      </c>
      <c r="J2985" s="695">
        <v>18612</v>
      </c>
      <c r="K2985" s="696">
        <f t="shared" si="260"/>
        <v>74448</v>
      </c>
      <c r="L2985" s="697" t="s">
        <v>158</v>
      </c>
      <c r="M2985" s="697" t="s">
        <v>292</v>
      </c>
      <c r="N2985" s="525" t="str">
        <f>IF(AND('331-CT'!$E$7=TH!H2985,OR(L2985="331",M2985="331")),"331",IF(AND(OR(L2985="131",M2985="131"),H2985='131-CT'!$E$7),"131",""))</f>
        <v/>
      </c>
      <c r="O2985" s="525" t="str">
        <f>IF(AND($B2985&gt;='111'!$N$11,$B2985&lt;='111'!$O$11,OR($L2985=$O$7,$M2985=$O$7)),"x","")</f>
        <v/>
      </c>
      <c r="P2985" s="525" t="str">
        <f>IF(AND($L2985=$O$7,$B2985&lt;'111'!$N$11),"x","")</f>
        <v/>
      </c>
      <c r="Q2985" s="525" t="str">
        <f>IF(AND($M2985=$O$7,$B2985&lt;'111'!$N$11),"x","")</f>
        <v/>
      </c>
      <c r="R2985" s="525" t="str">
        <f>IF(ISERROR(FIND('112'!$M$9,G2985,1)),"",IF((AND(FIND('112'!$M$9,G2985,1)&gt;=1,$B2985&gt;='112'!$N$8,$B2985&lt;='112'!$O$8,OR($L2985='112'!$I$6,$M2985='112'!$I$6))),"x",""))</f>
        <v/>
      </c>
      <c r="S2985" s="525" t="str">
        <f>IF(ISERROR(FIND('112'!$M$9,G2985,1)),"",IF((AND(LEFT(G2985,2)=LEFT('112'!$M$9,2),B2985&lt;'112'!$N$8,$L2985='112'!$I$6)),"x",""))</f>
        <v/>
      </c>
      <c r="T2985" s="525" t="str">
        <f>IF(ISERROR(FIND('112'!$M$9,G2985,1)),"",IF((AND(RIGHT(G2985,2)=RIGHT('112'!$M$9,2),B2985&lt;'112'!$N$8,$M2985='112'!$I$6)),"x",""))</f>
        <v/>
      </c>
      <c r="U2985" s="525" t="str">
        <f>IF(AND(B2985&gt;='IN-NX'!$P$3,B2985&lt;='IN-NX'!$Q$3,'IN-NX'!$D$7=D2985,OR(LEFT(L2985,2)="15",AND(LEFT(M2985,2)&lt;&gt;"15",LEFT(M2985,2)&lt;&gt;"33"))),"x","")</f>
        <v/>
      </c>
      <c r="V2985" s="525" t="str">
        <f>IF(AND(OR(LEFT(TH!L2985,2)="15",LEFT(TH!M2985,2)="15"),'152-CT'!$J$8=TH!F2985),"x","")</f>
        <v/>
      </c>
      <c r="W2985" s="525" t="str">
        <f>IF(AND(OR(LEFT(TH!L2985,2)="15",LEFT(TH!M2985,2)="15"),TK!$E$7=TH!F2985),"x","")</f>
        <v/>
      </c>
      <c r="X2985" s="525" t="str">
        <f>IF(AND('341-CT'!$E$9=H2985,OR(LEFT(L2985,3)=$X$7,LEFT(M2985,3)=$X$7)),"x","")</f>
        <v/>
      </c>
      <c r="Y2985" s="525" t="str">
        <f>IF(OR(TH!L2985=TH!$Y$7,M2985=TH!$Y$7),"x","")</f>
        <v/>
      </c>
      <c r="Z2985" s="525" t="str">
        <f>IF(AND(B2985&lt;=NKC!$N$8,B2985&gt;=NKC!$M$8),"x","")</f>
        <v/>
      </c>
      <c r="AA2985" s="702"/>
      <c r="AB2985" s="703"/>
    </row>
    <row r="2986" spans="1:31" s="704" customFormat="1" ht="15.75" customHeight="1">
      <c r="A2986" s="517" t="str">
        <f>IF(B2986&lt;&gt;"",IF(AND(B2986&gt;=_TM1,B2986&lt;=_TM2,OR(TH!L2986="1111",TH!M2986="1111")),TH!D2986,""),"")</f>
        <v/>
      </c>
      <c r="B2986" s="698">
        <f t="shared" si="259"/>
        <v>4</v>
      </c>
      <c r="C2986" s="699">
        <f t="shared" si="261"/>
        <v>42851</v>
      </c>
      <c r="D2986" s="699" t="s">
        <v>997</v>
      </c>
      <c r="E2986" s="699">
        <v>42851</v>
      </c>
      <c r="F2986" s="706" t="s">
        <v>362</v>
      </c>
      <c r="G2986" s="701" t="s">
        <v>1116</v>
      </c>
      <c r="H2986" s="694" t="s">
        <v>801</v>
      </c>
      <c r="I2986" s="708">
        <v>42</v>
      </c>
      <c r="J2986" s="708">
        <v>18612</v>
      </c>
      <c r="K2986" s="696">
        <f t="shared" si="260"/>
        <v>781704</v>
      </c>
      <c r="L2986" s="697" t="s">
        <v>158</v>
      </c>
      <c r="M2986" s="697" t="s">
        <v>292</v>
      </c>
      <c r="N2986" s="525" t="str">
        <f>IF(AND('331-CT'!$E$7=TH!H2986,OR(L2986="331",M2986="331")),"331",IF(AND(OR(L2986="131",M2986="131"),H2986='131-CT'!$E$7),"131",""))</f>
        <v/>
      </c>
      <c r="O2986" s="525" t="str">
        <f>IF(AND($B2986&gt;='111'!$N$11,$B2986&lt;='111'!$O$11,OR($L2986=$O$7,$M2986=$O$7)),"x","")</f>
        <v/>
      </c>
      <c r="P2986" s="525" t="str">
        <f>IF(AND($L2986=$O$7,$B2986&lt;'111'!$N$11),"x","")</f>
        <v/>
      </c>
      <c r="Q2986" s="525" t="str">
        <f>IF(AND($M2986=$O$7,$B2986&lt;'111'!$N$11),"x","")</f>
        <v/>
      </c>
      <c r="R2986" s="525" t="str">
        <f>IF(ISERROR(FIND('112'!$M$9,G2986,1)),"",IF((AND(FIND('112'!$M$9,G2986,1)&gt;=1,$B2986&gt;='112'!$N$8,$B2986&lt;='112'!$O$8,OR($L2986='112'!$I$6,$M2986='112'!$I$6))),"x",""))</f>
        <v/>
      </c>
      <c r="S2986" s="525" t="str">
        <f>IF(ISERROR(FIND('112'!$M$9,G2986,1)),"",IF((AND(LEFT(G2986,2)=LEFT('112'!$M$9,2),B2986&lt;'112'!$N$8,$L2986='112'!$I$6)),"x",""))</f>
        <v/>
      </c>
      <c r="T2986" s="525" t="str">
        <f>IF(ISERROR(FIND('112'!$M$9,G2986,1)),"",IF((AND(RIGHT(G2986,2)=RIGHT('112'!$M$9,2),B2986&lt;'112'!$N$8,$M2986='112'!$I$6)),"x",""))</f>
        <v/>
      </c>
      <c r="U2986" s="525" t="str">
        <f>IF(AND(B2986&gt;='IN-NX'!$P$3,B2986&lt;='IN-NX'!$Q$3,'IN-NX'!$D$7=D2986,OR(LEFT(L2986,2)="15",AND(LEFT(M2986,2)&lt;&gt;"15",LEFT(M2986,2)&lt;&gt;"33"))),"x","")</f>
        <v/>
      </c>
      <c r="V2986" s="525" t="str">
        <f>IF(AND(OR(LEFT(TH!L2986,2)="15",LEFT(TH!M2986,2)="15"),'152-CT'!$J$8=TH!F2986),"x","")</f>
        <v/>
      </c>
      <c r="W2986" s="525" t="str">
        <f>IF(AND(OR(LEFT(TH!L2986,2)="15",LEFT(TH!M2986,2)="15"),TK!$E$7=TH!F2986),"x","")</f>
        <v/>
      </c>
      <c r="X2986" s="525" t="str">
        <f>IF(AND('341-CT'!$E$9=H2986,OR(LEFT(L2986,3)=$X$7,LEFT(M2986,3)=$X$7)),"x","")</f>
        <v/>
      </c>
      <c r="Y2986" s="525" t="str">
        <f>IF(OR(TH!L2986=TH!$Y$7,M2986=TH!$Y$7),"x","")</f>
        <v/>
      </c>
      <c r="Z2986" s="525" t="str">
        <f>IF(AND(B2986&lt;=NKC!$N$8,B2986&gt;=NKC!$M$8),"x","")</f>
        <v/>
      </c>
      <c r="AA2986" s="702"/>
      <c r="AB2986" s="703"/>
    </row>
    <row r="2987" spans="1:31" s="703" customFormat="1" ht="15.75" customHeight="1">
      <c r="A2987" s="517" t="str">
        <f>IF(B2987&lt;&gt;"",IF(AND(B2987&gt;=_TM1,B2987&lt;=_TM2,OR(TH!L2987="1111",TH!M2987="1111")),TH!D2987,""),"")</f>
        <v/>
      </c>
      <c r="B2987" s="698">
        <f>IF(C2987&lt;&gt;"",MONTH(C2987),"")</f>
        <v>3</v>
      </c>
      <c r="C2987" s="699">
        <f>E2987</f>
        <v>42825</v>
      </c>
      <c r="D2987" s="699" t="s">
        <v>997</v>
      </c>
      <c r="E2987" s="699">
        <v>42825</v>
      </c>
      <c r="F2987" s="700" t="s">
        <v>297</v>
      </c>
      <c r="G2987" s="701" t="s">
        <v>1219</v>
      </c>
      <c r="H2987" s="694" t="s">
        <v>801</v>
      </c>
      <c r="I2987" s="695">
        <v>1000</v>
      </c>
      <c r="J2987" s="695">
        <v>8265</v>
      </c>
      <c r="K2987" s="696">
        <f>ROUND(I2987*J2987,0)</f>
        <v>8265000</v>
      </c>
      <c r="L2987" s="697" t="s">
        <v>158</v>
      </c>
      <c r="M2987" s="697" t="s">
        <v>292</v>
      </c>
      <c r="N2987" s="525" t="str">
        <f>IF(AND('331-CT'!$E$7=TH!H2987,OR(L2987="331",M2987="331")),"331",IF(AND(OR(L2987="131",M2987="131"),H2987='131-CT'!$E$7),"131",""))</f>
        <v/>
      </c>
      <c r="O2987" s="525" t="str">
        <f>IF(AND($B2987&gt;='111'!$N$11,$B2987&lt;='111'!$O$11,OR($L2987=$O$7,$M2987=$O$7)),"x","")</f>
        <v/>
      </c>
      <c r="P2987" s="525" t="str">
        <f>IF(AND($L2987=$O$7,$B2987&lt;'111'!$N$11),"x","")</f>
        <v/>
      </c>
      <c r="Q2987" s="525" t="str">
        <f>IF(AND($M2987=$O$7,$B2987&lt;'111'!$N$11),"x","")</f>
        <v/>
      </c>
      <c r="R2987" s="525" t="str">
        <f>IF(ISERROR(FIND('112'!$M$9,G2987,1)),"",IF((AND(FIND('112'!$M$9,G2987,1)&gt;=1,$B2987&gt;='112'!$N$8,$B2987&lt;='112'!$O$8,OR($L2987='112'!$I$6,$M2987='112'!$I$6))),"x",""))</f>
        <v/>
      </c>
      <c r="S2987" s="525" t="str">
        <f>IF(ISERROR(FIND('112'!$M$9,G2987,1)),"",IF((AND(LEFT(G2987,2)=LEFT('112'!$M$9,2),B2987&lt;'112'!$N$8,$L2987='112'!$I$6)),"x",""))</f>
        <v/>
      </c>
      <c r="T2987" s="525" t="str">
        <f>IF(ISERROR(FIND('112'!$M$9,G2987,1)),"",IF((AND(RIGHT(G2987,2)=RIGHT('112'!$M$9,2),B2987&lt;'112'!$N$8,$M2987='112'!$I$6)),"x",""))</f>
        <v/>
      </c>
      <c r="U2987" s="525" t="str">
        <f>IF(AND(B2987&gt;='IN-NX'!$P$3,B2987&lt;='IN-NX'!$Q$3,'IN-NX'!$D$7=D2987,OR(LEFT(L2987,2)="15",AND(LEFT(M2987,2)&lt;&gt;"15",LEFT(M2987,2)&lt;&gt;"33"))),"x","")</f>
        <v/>
      </c>
      <c r="V2987" s="525" t="str">
        <f>IF(AND(OR(LEFT(TH!L2987,2)="15",LEFT(TH!M2987,2)="15"),'152-CT'!$J$8=TH!F2987),"x","")</f>
        <v/>
      </c>
      <c r="W2987" s="525" t="str">
        <f>IF(AND(OR(LEFT(TH!L2987,2)="15",LEFT(TH!M2987,2)="15"),TK!$E$7=TH!F2987),"x","")</f>
        <v/>
      </c>
      <c r="X2987" s="525" t="str">
        <f>IF(AND('341-CT'!$E$9=H2987,OR(LEFT(L2987,3)=$X$7,LEFT(M2987,3)=$X$7)),"x","")</f>
        <v/>
      </c>
      <c r="Y2987" s="525" t="str">
        <f>IF(OR(TH!L2987=TH!$Y$7,M2987=TH!$Y$7),"x","")</f>
        <v/>
      </c>
      <c r="Z2987" s="525" t="str">
        <f>IF(AND(B2987&lt;=NKC!$N$8,B2987&gt;=NKC!$M$8),"x","")</f>
        <v>x</v>
      </c>
      <c r="AA2987" s="702"/>
      <c r="AC2987" s="704"/>
      <c r="AD2987" s="704"/>
      <c r="AE2987" s="704"/>
    </row>
    <row r="2988" spans="1:31" s="704" customFormat="1" ht="15.75" customHeight="1">
      <c r="A2988" s="517" t="str">
        <f>IF(B2988&lt;&gt;"",IF(AND(B2988&gt;=_TM1,B2988&lt;=_TM2,OR(TH!L2988="1111",TH!M2988="1111")),TH!D2988,""),"")</f>
        <v/>
      </c>
      <c r="B2988" s="698">
        <f>IF(C2988&lt;&gt;"",MONTH(C2988),"")</f>
        <v>3</v>
      </c>
      <c r="C2988" s="699">
        <f>E2988</f>
        <v>42825</v>
      </c>
      <c r="D2988" s="699" t="s">
        <v>997</v>
      </c>
      <c r="E2988" s="699">
        <v>42825</v>
      </c>
      <c r="F2988" s="700" t="s">
        <v>1083</v>
      </c>
      <c r="G2988" s="701" t="s">
        <v>1219</v>
      </c>
      <c r="H2988" s="694" t="s">
        <v>801</v>
      </c>
      <c r="I2988" s="695">
        <v>335</v>
      </c>
      <c r="J2988" s="695">
        <v>15045</v>
      </c>
      <c r="K2988" s="696">
        <f>ROUND(I2988*J2988,0)</f>
        <v>5040075</v>
      </c>
      <c r="L2988" s="697" t="s">
        <v>158</v>
      </c>
      <c r="M2988" s="697" t="s">
        <v>292</v>
      </c>
      <c r="N2988" s="525" t="str">
        <f>IF(AND('331-CT'!$E$7=TH!H2988,OR(L2988="331",M2988="331")),"331",IF(AND(OR(L2988="131",M2988="131"),H2988='131-CT'!$E$7),"131",""))</f>
        <v/>
      </c>
      <c r="O2988" s="525" t="str">
        <f>IF(AND($B2988&gt;='111'!$N$11,$B2988&lt;='111'!$O$11,OR($L2988=$O$7,$M2988=$O$7)),"x","")</f>
        <v/>
      </c>
      <c r="P2988" s="525" t="str">
        <f>IF(AND($L2988=$O$7,$B2988&lt;'111'!$N$11),"x","")</f>
        <v/>
      </c>
      <c r="Q2988" s="525" t="str">
        <f>IF(AND($M2988=$O$7,$B2988&lt;'111'!$N$11),"x","")</f>
        <v/>
      </c>
      <c r="R2988" s="525" t="str">
        <f>IF(ISERROR(FIND('112'!$M$9,G2988,1)),"",IF((AND(FIND('112'!$M$9,G2988,1)&gt;=1,$B2988&gt;='112'!$N$8,$B2988&lt;='112'!$O$8,OR($L2988='112'!$I$6,$M2988='112'!$I$6))),"x",""))</f>
        <v/>
      </c>
      <c r="S2988" s="525" t="str">
        <f>IF(ISERROR(FIND('112'!$M$9,G2988,1)),"",IF((AND(LEFT(G2988,2)=LEFT('112'!$M$9,2),B2988&lt;'112'!$N$8,$L2988='112'!$I$6)),"x",""))</f>
        <v/>
      </c>
      <c r="T2988" s="525" t="str">
        <f>IF(ISERROR(FIND('112'!$M$9,G2988,1)),"",IF((AND(RIGHT(G2988,2)=RIGHT('112'!$M$9,2),B2988&lt;'112'!$N$8,$M2988='112'!$I$6)),"x",""))</f>
        <v/>
      </c>
      <c r="U2988" s="525" t="str">
        <f>IF(AND(B2988&gt;='IN-NX'!$P$3,B2988&lt;='IN-NX'!$Q$3,'IN-NX'!$D$7=D2988,OR(LEFT(L2988,2)="15",AND(LEFT(M2988,2)&lt;&gt;"15",LEFT(M2988,2)&lt;&gt;"33"))),"x","")</f>
        <v/>
      </c>
      <c r="V2988" s="525" t="str">
        <f>IF(AND(OR(LEFT(TH!L2988,2)="15",LEFT(TH!M2988,2)="15"),'152-CT'!$J$8=TH!F2988),"x","")</f>
        <v/>
      </c>
      <c r="W2988" s="525" t="str">
        <f>IF(AND(OR(LEFT(TH!L2988,2)="15",LEFT(TH!M2988,2)="15"),TK!$E$7=TH!F2988),"x","")</f>
        <v/>
      </c>
      <c r="X2988" s="525" t="str">
        <f>IF(AND('341-CT'!$E$9=H2988,OR(LEFT(L2988,3)=$X$7,LEFT(M2988,3)=$X$7)),"x","")</f>
        <v/>
      </c>
      <c r="Y2988" s="525" t="str">
        <f>IF(OR(TH!L2988=TH!$Y$7,M2988=TH!$Y$7),"x","")</f>
        <v/>
      </c>
      <c r="Z2988" s="525" t="str">
        <f>IF(AND(B2988&lt;=NKC!$N$8,B2988&gt;=NKC!$M$8),"x","")</f>
        <v>x</v>
      </c>
      <c r="AA2988" s="702"/>
      <c r="AB2988" s="703"/>
    </row>
    <row r="2989" spans="1:31" s="704" customFormat="1" ht="15.75" customHeight="1">
      <c r="A2989" s="517" t="str">
        <f>IF(B2989&lt;&gt;"",IF(AND(B2989&gt;=_TM1,B2989&lt;=_TM2,OR(TH!L2989="1111",TH!M2989="1111")),TH!D2989,""),"")</f>
        <v/>
      </c>
      <c r="B2989" s="698">
        <f>IF(C2989&lt;&gt;"",MONTH(C2989),"")</f>
        <v>3</v>
      </c>
      <c r="C2989" s="699">
        <f>E2989</f>
        <v>42825</v>
      </c>
      <c r="D2989" s="699" t="s">
        <v>997</v>
      </c>
      <c r="E2989" s="699">
        <v>42825</v>
      </c>
      <c r="F2989" s="700" t="s">
        <v>295</v>
      </c>
      <c r="G2989" s="701" t="s">
        <v>1219</v>
      </c>
      <c r="H2989" s="694" t="s">
        <v>801</v>
      </c>
      <c r="I2989" s="695">
        <v>200</v>
      </c>
      <c r="J2989" s="695">
        <v>17397</v>
      </c>
      <c r="K2989" s="696">
        <f>ROUND(I2989*J2989,0)</f>
        <v>3479400</v>
      </c>
      <c r="L2989" s="697" t="s">
        <v>158</v>
      </c>
      <c r="M2989" s="697" t="s">
        <v>292</v>
      </c>
      <c r="N2989" s="525" t="str">
        <f>IF(AND('331-CT'!$E$7=TH!H2989,OR(L2989="331",M2989="331")),"331",IF(AND(OR(L2989="131",M2989="131"),H2989='131-CT'!$E$7),"131",""))</f>
        <v/>
      </c>
      <c r="O2989" s="525" t="str">
        <f>IF(AND($B2989&gt;='111'!$N$11,$B2989&lt;='111'!$O$11,OR($L2989=$O$7,$M2989=$O$7)),"x","")</f>
        <v/>
      </c>
      <c r="P2989" s="525" t="str">
        <f>IF(AND($L2989=$O$7,$B2989&lt;'111'!$N$11),"x","")</f>
        <v/>
      </c>
      <c r="Q2989" s="525" t="str">
        <f>IF(AND($M2989=$O$7,$B2989&lt;'111'!$N$11),"x","")</f>
        <v/>
      </c>
      <c r="R2989" s="525" t="str">
        <f>IF(ISERROR(FIND('112'!$M$9,G2989,1)),"",IF((AND(FIND('112'!$M$9,G2989,1)&gt;=1,$B2989&gt;='112'!$N$8,$B2989&lt;='112'!$O$8,OR($L2989='112'!$I$6,$M2989='112'!$I$6))),"x",""))</f>
        <v/>
      </c>
      <c r="S2989" s="525" t="str">
        <f>IF(ISERROR(FIND('112'!$M$9,G2989,1)),"",IF((AND(LEFT(G2989,2)=LEFT('112'!$M$9,2),B2989&lt;'112'!$N$8,$L2989='112'!$I$6)),"x",""))</f>
        <v/>
      </c>
      <c r="T2989" s="525" t="str">
        <f>IF(ISERROR(FIND('112'!$M$9,G2989,1)),"",IF((AND(RIGHT(G2989,2)=RIGHT('112'!$M$9,2),B2989&lt;'112'!$N$8,$M2989='112'!$I$6)),"x",""))</f>
        <v/>
      </c>
      <c r="U2989" s="525" t="str">
        <f>IF(AND(B2989&gt;='IN-NX'!$P$3,B2989&lt;='IN-NX'!$Q$3,'IN-NX'!$D$7=D2989,OR(LEFT(L2989,2)="15",AND(LEFT(M2989,2)&lt;&gt;"15",LEFT(M2989,2)&lt;&gt;"33"))),"x","")</f>
        <v/>
      </c>
      <c r="V2989" s="525" t="str">
        <f>IF(AND(OR(LEFT(TH!L2989,2)="15",LEFT(TH!M2989,2)="15"),'152-CT'!$J$8=TH!F2989),"x","")</f>
        <v/>
      </c>
      <c r="W2989" s="525" t="str">
        <f>IF(AND(OR(LEFT(TH!L2989,2)="15",LEFT(TH!M2989,2)="15"),TK!$E$7=TH!F2989),"x","")</f>
        <v/>
      </c>
      <c r="X2989" s="525" t="str">
        <f>IF(AND('341-CT'!$E$9=H2989,OR(LEFT(L2989,3)=$X$7,LEFT(M2989,3)=$X$7)),"x","")</f>
        <v/>
      </c>
      <c r="Y2989" s="525" t="str">
        <f>IF(OR(TH!L2989=TH!$Y$7,M2989=TH!$Y$7),"x","")</f>
        <v/>
      </c>
      <c r="Z2989" s="525" t="str">
        <f>IF(AND(B2989&lt;=NKC!$N$8,B2989&gt;=NKC!$M$8),"x","")</f>
        <v>x</v>
      </c>
      <c r="AA2989" s="702"/>
      <c r="AB2989" s="703"/>
    </row>
    <row r="2990" spans="1:31" s="704" customFormat="1" ht="15.75" customHeight="1">
      <c r="A2990" s="517" t="str">
        <f>IF(B2990&lt;&gt;"",IF(AND(B2990&gt;=_TM1,B2990&lt;=_TM2,OR(TH!L2990="1111",TH!M2990="1111")),TH!D2990,""),"")</f>
        <v/>
      </c>
      <c r="B2990" s="698">
        <f t="shared" si="259"/>
        <v>4</v>
      </c>
      <c r="C2990" s="699">
        <f t="shared" si="261"/>
        <v>42840</v>
      </c>
      <c r="D2990" s="699" t="s">
        <v>997</v>
      </c>
      <c r="E2990" s="699">
        <v>42840</v>
      </c>
      <c r="F2990" s="706" t="s">
        <v>330</v>
      </c>
      <c r="G2990" s="701" t="s">
        <v>1109</v>
      </c>
      <c r="H2990" s="694" t="s">
        <v>801</v>
      </c>
      <c r="I2990" s="695">
        <v>34</v>
      </c>
      <c r="J2990" s="695">
        <v>30780</v>
      </c>
      <c r="K2990" s="696">
        <f t="shared" ref="K2990:K3008" si="262">ROUND(I2990*J2990,0)</f>
        <v>1046520</v>
      </c>
      <c r="L2990" s="697" t="s">
        <v>158</v>
      </c>
      <c r="M2990" s="697" t="s">
        <v>292</v>
      </c>
      <c r="N2990" s="525" t="str">
        <f>IF(AND('331-CT'!$E$7=TH!H2990,OR(L2990="331",M2990="331")),"331",IF(AND(OR(L2990="131",M2990="131"),H2990='131-CT'!$E$7),"131",""))</f>
        <v/>
      </c>
      <c r="O2990" s="525" t="str">
        <f>IF(AND($B2990&gt;='111'!$N$11,$B2990&lt;='111'!$O$11,OR($L2990=$O$7,$M2990=$O$7)),"x","")</f>
        <v/>
      </c>
      <c r="P2990" s="525" t="str">
        <f>IF(AND($L2990=$O$7,$B2990&lt;'111'!$N$11),"x","")</f>
        <v/>
      </c>
      <c r="Q2990" s="525" t="str">
        <f>IF(AND($M2990=$O$7,$B2990&lt;'111'!$N$11),"x","")</f>
        <v/>
      </c>
      <c r="R2990" s="525" t="str">
        <f>IF(ISERROR(FIND('112'!$M$9,G2990,1)),"",IF((AND(FIND('112'!$M$9,G2990,1)&gt;=1,$B2990&gt;='112'!$N$8,$B2990&lt;='112'!$O$8,OR($L2990='112'!$I$6,$M2990='112'!$I$6))),"x",""))</f>
        <v/>
      </c>
      <c r="S2990" s="525" t="str">
        <f>IF(ISERROR(FIND('112'!$M$9,G2990,1)),"",IF((AND(LEFT(G2990,2)=LEFT('112'!$M$9,2),B2990&lt;'112'!$N$8,$L2990='112'!$I$6)),"x",""))</f>
        <v/>
      </c>
      <c r="T2990" s="525" t="str">
        <f>IF(ISERROR(FIND('112'!$M$9,G2990,1)),"",IF((AND(RIGHT(G2990,2)=RIGHT('112'!$M$9,2),B2990&lt;'112'!$N$8,$M2990='112'!$I$6)),"x",""))</f>
        <v/>
      </c>
      <c r="U2990" s="525" t="str">
        <f>IF(AND(B2990&gt;='IN-NX'!$P$3,B2990&lt;='IN-NX'!$Q$3,'IN-NX'!$D$7=D2990,OR(LEFT(L2990,2)="15",AND(LEFT(M2990,2)&lt;&gt;"15",LEFT(M2990,2)&lt;&gt;"33"))),"x","")</f>
        <v/>
      </c>
      <c r="V2990" s="525" t="str">
        <f>IF(AND(OR(LEFT(TH!L2990,2)="15",LEFT(TH!M2990,2)="15"),'152-CT'!$J$8=TH!F2990),"x","")</f>
        <v/>
      </c>
      <c r="W2990" s="525" t="str">
        <f>IF(AND(OR(LEFT(TH!L2990,2)="15",LEFT(TH!M2990,2)="15"),TK!$E$7=TH!F2990),"x","")</f>
        <v/>
      </c>
      <c r="X2990" s="525" t="str">
        <f>IF(AND('341-CT'!$E$9=H2990,OR(LEFT(L2990,3)=$X$7,LEFT(M2990,3)=$X$7)),"x","")</f>
        <v/>
      </c>
      <c r="Y2990" s="525" t="str">
        <f>IF(OR(TH!L2990=TH!$Y$7,M2990=TH!$Y$7),"x","")</f>
        <v/>
      </c>
      <c r="Z2990" s="525" t="str">
        <f>IF(AND(B2990&lt;=NKC!$N$8,B2990&gt;=NKC!$M$8),"x","")</f>
        <v/>
      </c>
      <c r="AA2990" s="702"/>
      <c r="AB2990" s="703"/>
    </row>
    <row r="2991" spans="1:31" s="704" customFormat="1" ht="15.75" customHeight="1">
      <c r="A2991" s="517" t="str">
        <f>IF(B2991&lt;&gt;"",IF(AND(B2991&gt;=_TM1,B2991&lt;=_TM2,OR(TH!L2991="1111",TH!M2991="1111")),TH!D2991,""),"")</f>
        <v/>
      </c>
      <c r="B2991" s="698">
        <f t="shared" si="259"/>
        <v>4</v>
      </c>
      <c r="C2991" s="699">
        <f t="shared" si="261"/>
        <v>42840</v>
      </c>
      <c r="D2991" s="699" t="s">
        <v>997</v>
      </c>
      <c r="E2991" s="699">
        <v>42840</v>
      </c>
      <c r="F2991" s="700" t="s">
        <v>416</v>
      </c>
      <c r="G2991" s="701" t="s">
        <v>1109</v>
      </c>
      <c r="H2991" s="694" t="s">
        <v>801</v>
      </c>
      <c r="I2991" s="695">
        <v>57</v>
      </c>
      <c r="J2991" s="695">
        <v>30659</v>
      </c>
      <c r="K2991" s="696">
        <f t="shared" si="262"/>
        <v>1747563</v>
      </c>
      <c r="L2991" s="697" t="s">
        <v>158</v>
      </c>
      <c r="M2991" s="697" t="s">
        <v>292</v>
      </c>
      <c r="N2991" s="525" t="str">
        <f>IF(AND('331-CT'!$E$7=TH!H2991,OR(L2991="331",M2991="331")),"331",IF(AND(OR(L2991="131",M2991="131"),H2991='131-CT'!$E$7),"131",""))</f>
        <v/>
      </c>
      <c r="O2991" s="525" t="str">
        <f>IF(AND($B2991&gt;='111'!$N$11,$B2991&lt;='111'!$O$11,OR($L2991=$O$7,$M2991=$O$7)),"x","")</f>
        <v/>
      </c>
      <c r="P2991" s="525" t="str">
        <f>IF(AND($L2991=$O$7,$B2991&lt;'111'!$N$11),"x","")</f>
        <v/>
      </c>
      <c r="Q2991" s="525" t="str">
        <f>IF(AND($M2991=$O$7,$B2991&lt;'111'!$N$11),"x","")</f>
        <v/>
      </c>
      <c r="R2991" s="525" t="str">
        <f>IF(ISERROR(FIND('112'!$M$9,G2991,1)),"",IF((AND(FIND('112'!$M$9,G2991,1)&gt;=1,$B2991&gt;='112'!$N$8,$B2991&lt;='112'!$O$8,OR($L2991='112'!$I$6,$M2991='112'!$I$6))),"x",""))</f>
        <v/>
      </c>
      <c r="S2991" s="525" t="str">
        <f>IF(ISERROR(FIND('112'!$M$9,G2991,1)),"",IF((AND(LEFT(G2991,2)=LEFT('112'!$M$9,2),B2991&lt;'112'!$N$8,$L2991='112'!$I$6)),"x",""))</f>
        <v/>
      </c>
      <c r="T2991" s="525" t="str">
        <f>IF(ISERROR(FIND('112'!$M$9,G2991,1)),"",IF((AND(RIGHT(G2991,2)=RIGHT('112'!$M$9,2),B2991&lt;'112'!$N$8,$M2991='112'!$I$6)),"x",""))</f>
        <v/>
      </c>
      <c r="U2991" s="525" t="str">
        <f>IF(AND(B2991&gt;='IN-NX'!$P$3,B2991&lt;='IN-NX'!$Q$3,'IN-NX'!$D$7=D2991,OR(LEFT(L2991,2)="15",AND(LEFT(M2991,2)&lt;&gt;"15",LEFT(M2991,2)&lt;&gt;"33"))),"x","")</f>
        <v/>
      </c>
      <c r="V2991" s="525" t="str">
        <f>IF(AND(OR(LEFT(TH!L2991,2)="15",LEFT(TH!M2991,2)="15"),'152-CT'!$J$8=TH!F2991),"x","")</f>
        <v/>
      </c>
      <c r="W2991" s="525" t="str">
        <f>IF(AND(OR(LEFT(TH!L2991,2)="15",LEFT(TH!M2991,2)="15"),TK!$E$7=TH!F2991),"x","")</f>
        <v/>
      </c>
      <c r="X2991" s="525" t="str">
        <f>IF(AND('341-CT'!$E$9=H2991,OR(LEFT(L2991,3)=$X$7,LEFT(M2991,3)=$X$7)),"x","")</f>
        <v/>
      </c>
      <c r="Y2991" s="525" t="str">
        <f>IF(OR(TH!L2991=TH!$Y$7,M2991=TH!$Y$7),"x","")</f>
        <v/>
      </c>
      <c r="Z2991" s="525" t="str">
        <f>IF(AND(B2991&lt;=NKC!$N$8,B2991&gt;=NKC!$M$8),"x","")</f>
        <v/>
      </c>
      <c r="AA2991" s="702"/>
      <c r="AB2991" s="703"/>
    </row>
    <row r="2992" spans="1:31" s="704" customFormat="1" ht="15.75" customHeight="1">
      <c r="A2992" s="517" t="str">
        <f>IF(B2992&lt;&gt;"",IF(AND(B2992&gt;=_TM1,B2992&lt;=_TM2,OR(TH!L2992="1111",TH!M2992="1111")),TH!D2992,""),"")</f>
        <v/>
      </c>
      <c r="B2992" s="698">
        <f t="shared" si="259"/>
        <v>4</v>
      </c>
      <c r="C2992" s="699">
        <f t="shared" si="261"/>
        <v>42840</v>
      </c>
      <c r="D2992" s="699" t="s">
        <v>997</v>
      </c>
      <c r="E2992" s="699">
        <v>42840</v>
      </c>
      <c r="F2992" s="700" t="s">
        <v>343</v>
      </c>
      <c r="G2992" s="701" t="s">
        <v>1109</v>
      </c>
      <c r="H2992" s="694" t="s">
        <v>801</v>
      </c>
      <c r="I2992" s="695">
        <v>35</v>
      </c>
      <c r="J2992" s="695">
        <v>31063</v>
      </c>
      <c r="K2992" s="696">
        <f t="shared" si="262"/>
        <v>1087205</v>
      </c>
      <c r="L2992" s="697" t="s">
        <v>158</v>
      </c>
      <c r="M2992" s="697" t="s">
        <v>292</v>
      </c>
      <c r="N2992" s="525" t="str">
        <f>IF(AND('331-CT'!$E$7=TH!H2992,OR(L2992="331",M2992="331")),"331",IF(AND(OR(L2992="131",M2992="131"),H2992='131-CT'!$E$7),"131",""))</f>
        <v/>
      </c>
      <c r="O2992" s="525" t="str">
        <f>IF(AND($B2992&gt;='111'!$N$11,$B2992&lt;='111'!$O$11,OR($L2992=$O$7,$M2992=$O$7)),"x","")</f>
        <v/>
      </c>
      <c r="P2992" s="525" t="str">
        <f>IF(AND($L2992=$O$7,$B2992&lt;'111'!$N$11),"x","")</f>
        <v/>
      </c>
      <c r="Q2992" s="525" t="str">
        <f>IF(AND($M2992=$O$7,$B2992&lt;'111'!$N$11),"x","")</f>
        <v/>
      </c>
      <c r="R2992" s="525" t="str">
        <f>IF(ISERROR(FIND('112'!$M$9,G2992,1)),"",IF((AND(FIND('112'!$M$9,G2992,1)&gt;=1,$B2992&gt;='112'!$N$8,$B2992&lt;='112'!$O$8,OR($L2992='112'!$I$6,$M2992='112'!$I$6))),"x",""))</f>
        <v/>
      </c>
      <c r="S2992" s="525" t="str">
        <f>IF(ISERROR(FIND('112'!$M$9,G2992,1)),"",IF((AND(LEFT(G2992,2)=LEFT('112'!$M$9,2),B2992&lt;'112'!$N$8,$L2992='112'!$I$6)),"x",""))</f>
        <v/>
      </c>
      <c r="T2992" s="525" t="str">
        <f>IF(ISERROR(FIND('112'!$M$9,G2992,1)),"",IF((AND(RIGHT(G2992,2)=RIGHT('112'!$M$9,2),B2992&lt;'112'!$N$8,$M2992='112'!$I$6)),"x",""))</f>
        <v/>
      </c>
      <c r="U2992" s="525" t="str">
        <f>IF(AND(B2992&gt;='IN-NX'!$P$3,B2992&lt;='IN-NX'!$Q$3,'IN-NX'!$D$7=D2992,OR(LEFT(L2992,2)="15",AND(LEFT(M2992,2)&lt;&gt;"15",LEFT(M2992,2)&lt;&gt;"33"))),"x","")</f>
        <v/>
      </c>
      <c r="V2992" s="525" t="str">
        <f>IF(AND(OR(LEFT(TH!L2992,2)="15",LEFT(TH!M2992,2)="15"),'152-CT'!$J$8=TH!F2992),"x","")</f>
        <v/>
      </c>
      <c r="W2992" s="525" t="str">
        <f>IF(AND(OR(LEFT(TH!L2992,2)="15",LEFT(TH!M2992,2)="15"),TK!$E$7=TH!F2992),"x","")</f>
        <v/>
      </c>
      <c r="X2992" s="525" t="str">
        <f>IF(AND('341-CT'!$E$9=H2992,OR(LEFT(L2992,3)=$X$7,LEFT(M2992,3)=$X$7)),"x","")</f>
        <v/>
      </c>
      <c r="Y2992" s="525" t="str">
        <f>IF(OR(TH!L2992=TH!$Y$7,M2992=TH!$Y$7),"x","")</f>
        <v/>
      </c>
      <c r="Z2992" s="525" t="str">
        <f>IF(AND(B2992&lt;=NKC!$N$8,B2992&gt;=NKC!$M$8),"x","")</f>
        <v/>
      </c>
      <c r="AA2992" s="702"/>
      <c r="AB2992" s="703"/>
    </row>
    <row r="2993" spans="1:30" s="704" customFormat="1" ht="15.75" customHeight="1">
      <c r="A2993" s="517" t="str">
        <f>IF(B2993&lt;&gt;"",IF(AND(B2993&gt;=_TM1,B2993&lt;=_TM2,OR(TH!L2993="1111",TH!M2993="1111")),TH!D2993,""),"")</f>
        <v/>
      </c>
      <c r="B2993" s="698">
        <f t="shared" si="259"/>
        <v>4</v>
      </c>
      <c r="C2993" s="699">
        <f t="shared" si="261"/>
        <v>42840</v>
      </c>
      <c r="D2993" s="699" t="s">
        <v>997</v>
      </c>
      <c r="E2993" s="699">
        <v>42840</v>
      </c>
      <c r="F2993" s="706" t="s">
        <v>429</v>
      </c>
      <c r="G2993" s="701" t="s">
        <v>1109</v>
      </c>
      <c r="H2993" s="694" t="s">
        <v>801</v>
      </c>
      <c r="I2993" s="695">
        <v>130</v>
      </c>
      <c r="J2993" s="695">
        <v>30544.346153846152</v>
      </c>
      <c r="K2993" s="696">
        <f t="shared" si="262"/>
        <v>3970765</v>
      </c>
      <c r="L2993" s="697" t="s">
        <v>158</v>
      </c>
      <c r="M2993" s="697" t="s">
        <v>292</v>
      </c>
      <c r="N2993" s="525" t="str">
        <f>IF(AND('331-CT'!$E$7=TH!H2993,OR(L2993="331",M2993="331")),"331",IF(AND(OR(L2993="131",M2993="131"),H2993='131-CT'!$E$7),"131",""))</f>
        <v/>
      </c>
      <c r="O2993" s="525" t="str">
        <f>IF(AND($B2993&gt;='111'!$N$11,$B2993&lt;='111'!$O$11,OR($L2993=$O$7,$M2993=$O$7)),"x","")</f>
        <v/>
      </c>
      <c r="P2993" s="525" t="str">
        <f>IF(AND($L2993=$O$7,$B2993&lt;'111'!$N$11),"x","")</f>
        <v/>
      </c>
      <c r="Q2993" s="525" t="str">
        <f>IF(AND($M2993=$O$7,$B2993&lt;'111'!$N$11),"x","")</f>
        <v/>
      </c>
      <c r="R2993" s="525" t="str">
        <f>IF(ISERROR(FIND('112'!$M$9,G2993,1)),"",IF((AND(FIND('112'!$M$9,G2993,1)&gt;=1,$B2993&gt;='112'!$N$8,$B2993&lt;='112'!$O$8,OR($L2993='112'!$I$6,$M2993='112'!$I$6))),"x",""))</f>
        <v/>
      </c>
      <c r="S2993" s="525" t="str">
        <f>IF(ISERROR(FIND('112'!$M$9,G2993,1)),"",IF((AND(LEFT(G2993,2)=LEFT('112'!$M$9,2),B2993&lt;'112'!$N$8,$L2993='112'!$I$6)),"x",""))</f>
        <v/>
      </c>
      <c r="T2993" s="525" t="str">
        <f>IF(ISERROR(FIND('112'!$M$9,G2993,1)),"",IF((AND(RIGHT(G2993,2)=RIGHT('112'!$M$9,2),B2993&lt;'112'!$N$8,$M2993='112'!$I$6)),"x",""))</f>
        <v/>
      </c>
      <c r="U2993" s="525" t="str">
        <f>IF(AND(B2993&gt;='IN-NX'!$P$3,B2993&lt;='IN-NX'!$Q$3,'IN-NX'!$D$7=D2993,OR(LEFT(L2993,2)="15",AND(LEFT(M2993,2)&lt;&gt;"15",LEFT(M2993,2)&lt;&gt;"33"))),"x","")</f>
        <v/>
      </c>
      <c r="V2993" s="525" t="str">
        <f>IF(AND(OR(LEFT(TH!L2993,2)="15",LEFT(TH!M2993,2)="15"),'152-CT'!$J$8=TH!F2993),"x","")</f>
        <v/>
      </c>
      <c r="W2993" s="525" t="str">
        <f>IF(AND(OR(LEFT(TH!L2993,2)="15",LEFT(TH!M2993,2)="15"),TK!$E$7=TH!F2993),"x","")</f>
        <v/>
      </c>
      <c r="X2993" s="525" t="str">
        <f>IF(AND('341-CT'!$E$9=H2993,OR(LEFT(L2993,3)=$X$7,LEFT(M2993,3)=$X$7)),"x","")</f>
        <v/>
      </c>
      <c r="Y2993" s="525" t="str">
        <f>IF(OR(TH!L2993=TH!$Y$7,M2993=TH!$Y$7),"x","")</f>
        <v/>
      </c>
      <c r="Z2993" s="525" t="str">
        <f>IF(AND(B2993&lt;=NKC!$N$8,B2993&gt;=NKC!$M$8),"x","")</f>
        <v/>
      </c>
      <c r="AA2993" s="702"/>
      <c r="AB2993" s="703"/>
    </row>
    <row r="2994" spans="1:30" s="704" customFormat="1" ht="15.75" customHeight="1">
      <c r="A2994" s="517" t="str">
        <f>IF(B2994&lt;&gt;"",IF(AND(B2994&gt;=_TM1,B2994&lt;=_TM2,OR(TH!L2994="1111",TH!M2994="1111")),TH!D2994,""),"")</f>
        <v/>
      </c>
      <c r="B2994" s="698">
        <f t="shared" si="259"/>
        <v>4</v>
      </c>
      <c r="C2994" s="699">
        <f t="shared" si="261"/>
        <v>42840</v>
      </c>
      <c r="D2994" s="699" t="s">
        <v>997</v>
      </c>
      <c r="E2994" s="699">
        <v>42840</v>
      </c>
      <c r="F2994" s="700" t="s">
        <v>582</v>
      </c>
      <c r="G2994" s="701" t="s">
        <v>1109</v>
      </c>
      <c r="H2994" s="694" t="s">
        <v>801</v>
      </c>
      <c r="I2994" s="695">
        <v>52</v>
      </c>
      <c r="J2994" s="695">
        <v>31881.5</v>
      </c>
      <c r="K2994" s="696">
        <f t="shared" si="262"/>
        <v>1657838</v>
      </c>
      <c r="L2994" s="697" t="s">
        <v>158</v>
      </c>
      <c r="M2994" s="697" t="s">
        <v>292</v>
      </c>
      <c r="N2994" s="525" t="str">
        <f>IF(AND('331-CT'!$E$7=TH!H2994,OR(L2994="331",M2994="331")),"331",IF(AND(OR(L2994="131",M2994="131"),H2994='131-CT'!$E$7),"131",""))</f>
        <v/>
      </c>
      <c r="O2994" s="525" t="str">
        <f>IF(AND($B2994&gt;='111'!$N$11,$B2994&lt;='111'!$O$11,OR($L2994=$O$7,$M2994=$O$7)),"x","")</f>
        <v/>
      </c>
      <c r="P2994" s="525" t="str">
        <f>IF(AND($L2994=$O$7,$B2994&lt;'111'!$N$11),"x","")</f>
        <v/>
      </c>
      <c r="Q2994" s="525" t="str">
        <f>IF(AND($M2994=$O$7,$B2994&lt;'111'!$N$11),"x","")</f>
        <v/>
      </c>
      <c r="R2994" s="525" t="str">
        <f>IF(ISERROR(FIND('112'!$M$9,G2994,1)),"",IF((AND(FIND('112'!$M$9,G2994,1)&gt;=1,$B2994&gt;='112'!$N$8,$B2994&lt;='112'!$O$8,OR($L2994='112'!$I$6,$M2994='112'!$I$6))),"x",""))</f>
        <v/>
      </c>
      <c r="S2994" s="525" t="str">
        <f>IF(ISERROR(FIND('112'!$M$9,G2994,1)),"",IF((AND(LEFT(G2994,2)=LEFT('112'!$M$9,2),B2994&lt;'112'!$N$8,$L2994='112'!$I$6)),"x",""))</f>
        <v/>
      </c>
      <c r="T2994" s="525" t="str">
        <f>IF(ISERROR(FIND('112'!$M$9,G2994,1)),"",IF((AND(RIGHT(G2994,2)=RIGHT('112'!$M$9,2),B2994&lt;'112'!$N$8,$M2994='112'!$I$6)),"x",""))</f>
        <v/>
      </c>
      <c r="U2994" s="525" t="str">
        <f>IF(AND(B2994&gt;='IN-NX'!$P$3,B2994&lt;='IN-NX'!$Q$3,'IN-NX'!$D$7=D2994,OR(LEFT(L2994,2)="15",AND(LEFT(M2994,2)&lt;&gt;"15",LEFT(M2994,2)&lt;&gt;"33"))),"x","")</f>
        <v/>
      </c>
      <c r="V2994" s="525" t="str">
        <f>IF(AND(OR(LEFT(TH!L2994,2)="15",LEFT(TH!M2994,2)="15"),'152-CT'!$J$8=TH!F2994),"x","")</f>
        <v/>
      </c>
      <c r="W2994" s="525" t="str">
        <f>IF(AND(OR(LEFT(TH!L2994,2)="15",LEFT(TH!M2994,2)="15"),TK!$E$7=TH!F2994),"x","")</f>
        <v/>
      </c>
      <c r="X2994" s="525" t="str">
        <f>IF(AND('341-CT'!$E$9=H2994,OR(LEFT(L2994,3)=$X$7,LEFT(M2994,3)=$X$7)),"x","")</f>
        <v/>
      </c>
      <c r="Y2994" s="525" t="str">
        <f>IF(OR(TH!L2994=TH!$Y$7,M2994=TH!$Y$7),"x","")</f>
        <v/>
      </c>
      <c r="Z2994" s="525" t="str">
        <f>IF(AND(B2994&lt;=NKC!$N$8,B2994&gt;=NKC!$M$8),"x","")</f>
        <v/>
      </c>
      <c r="AA2994" s="702"/>
      <c r="AB2994" s="703"/>
    </row>
    <row r="2995" spans="1:30" s="704" customFormat="1" ht="15.75" customHeight="1">
      <c r="A2995" s="517" t="str">
        <f>IF(B2995&lt;&gt;"",IF(AND(B2995&gt;=_TM1,B2995&lt;=_TM2,OR(TH!L2995="1111",TH!M2995="1111")),TH!D2995,""),"")</f>
        <v/>
      </c>
      <c r="B2995" s="698">
        <f t="shared" si="259"/>
        <v>4</v>
      </c>
      <c r="C2995" s="699">
        <f t="shared" si="261"/>
        <v>42840</v>
      </c>
      <c r="D2995" s="699" t="s">
        <v>997</v>
      </c>
      <c r="E2995" s="699">
        <v>42840</v>
      </c>
      <c r="F2995" s="700" t="s">
        <v>1082</v>
      </c>
      <c r="G2995" s="701" t="s">
        <v>1109</v>
      </c>
      <c r="H2995" s="694" t="s">
        <v>801</v>
      </c>
      <c r="I2995" s="695">
        <v>48</v>
      </c>
      <c r="J2995" s="695">
        <v>30453.5</v>
      </c>
      <c r="K2995" s="696">
        <f t="shared" si="262"/>
        <v>1461768</v>
      </c>
      <c r="L2995" s="697" t="s">
        <v>158</v>
      </c>
      <c r="M2995" s="697" t="s">
        <v>292</v>
      </c>
      <c r="N2995" s="525" t="str">
        <f>IF(AND('331-CT'!$E$7=TH!H2995,OR(L2995="331",M2995="331")),"331",IF(AND(OR(L2995="131",M2995="131"),H2995='131-CT'!$E$7),"131",""))</f>
        <v/>
      </c>
      <c r="O2995" s="525" t="str">
        <f>IF(AND($B2995&gt;='111'!$N$11,$B2995&lt;='111'!$O$11,OR($L2995=$O$7,$M2995=$O$7)),"x","")</f>
        <v/>
      </c>
      <c r="P2995" s="525" t="str">
        <f>IF(AND($L2995=$O$7,$B2995&lt;'111'!$N$11),"x","")</f>
        <v/>
      </c>
      <c r="Q2995" s="525" t="str">
        <f>IF(AND($M2995=$O$7,$B2995&lt;'111'!$N$11),"x","")</f>
        <v/>
      </c>
      <c r="R2995" s="525" t="str">
        <f>IF(ISERROR(FIND('112'!$M$9,G2995,1)),"",IF((AND(FIND('112'!$M$9,G2995,1)&gt;=1,$B2995&gt;='112'!$N$8,$B2995&lt;='112'!$O$8,OR($L2995='112'!$I$6,$M2995='112'!$I$6))),"x",""))</f>
        <v/>
      </c>
      <c r="S2995" s="525" t="str">
        <f>IF(ISERROR(FIND('112'!$M$9,G2995,1)),"",IF((AND(LEFT(G2995,2)=LEFT('112'!$M$9,2),B2995&lt;'112'!$N$8,$L2995='112'!$I$6)),"x",""))</f>
        <v/>
      </c>
      <c r="T2995" s="525" t="str">
        <f>IF(ISERROR(FIND('112'!$M$9,G2995,1)),"",IF((AND(RIGHT(G2995,2)=RIGHT('112'!$M$9,2),B2995&lt;'112'!$N$8,$M2995='112'!$I$6)),"x",""))</f>
        <v/>
      </c>
      <c r="U2995" s="525" t="str">
        <f>IF(AND(B2995&gt;='IN-NX'!$P$3,B2995&lt;='IN-NX'!$Q$3,'IN-NX'!$D$7=D2995,OR(LEFT(L2995,2)="15",AND(LEFT(M2995,2)&lt;&gt;"15",LEFT(M2995,2)&lt;&gt;"33"))),"x","")</f>
        <v/>
      </c>
      <c r="V2995" s="525" t="str">
        <f>IF(AND(OR(LEFT(TH!L2995,2)="15",LEFT(TH!M2995,2)="15"),'152-CT'!$J$8=TH!F2995),"x","")</f>
        <v/>
      </c>
      <c r="W2995" s="525" t="str">
        <f>IF(AND(OR(LEFT(TH!L2995,2)="15",LEFT(TH!M2995,2)="15"),TK!$E$7=TH!F2995),"x","")</f>
        <v/>
      </c>
      <c r="X2995" s="525" t="str">
        <f>IF(AND('341-CT'!$E$9=H2995,OR(LEFT(L2995,3)=$X$7,LEFT(M2995,3)=$X$7)),"x","")</f>
        <v/>
      </c>
      <c r="Y2995" s="525" t="str">
        <f>IF(OR(TH!L2995=TH!$Y$7,M2995=TH!$Y$7),"x","")</f>
        <v/>
      </c>
      <c r="Z2995" s="525" t="str">
        <f>IF(AND(B2995&lt;=NKC!$N$8,B2995&gt;=NKC!$M$8),"x","")</f>
        <v/>
      </c>
      <c r="AA2995" s="702"/>
      <c r="AB2995" s="703"/>
    </row>
    <row r="2996" spans="1:30" s="704" customFormat="1" ht="15.75" customHeight="1">
      <c r="A2996" s="517" t="str">
        <f>IF(B2996&lt;&gt;"",IF(AND(B2996&gt;=_TM1,B2996&lt;=_TM2,OR(TH!L2996="1111",TH!M2996="1111")),TH!D2996,""),"")</f>
        <v/>
      </c>
      <c r="B2996" s="698">
        <f t="shared" si="259"/>
        <v>4</v>
      </c>
      <c r="C2996" s="699">
        <f t="shared" si="261"/>
        <v>42840</v>
      </c>
      <c r="D2996" s="699" t="s">
        <v>997</v>
      </c>
      <c r="E2996" s="699">
        <v>42840</v>
      </c>
      <c r="F2996" s="700" t="s">
        <v>363</v>
      </c>
      <c r="G2996" s="701" t="s">
        <v>1109</v>
      </c>
      <c r="H2996" s="694" t="s">
        <v>801</v>
      </c>
      <c r="I2996" s="695">
        <v>76</v>
      </c>
      <c r="J2996" s="695">
        <v>28985</v>
      </c>
      <c r="K2996" s="696">
        <f t="shared" si="262"/>
        <v>2202860</v>
      </c>
      <c r="L2996" s="697" t="s">
        <v>158</v>
      </c>
      <c r="M2996" s="697" t="s">
        <v>292</v>
      </c>
      <c r="N2996" s="525" t="str">
        <f>IF(AND('331-CT'!$E$7=TH!H2996,OR(L2996="331",M2996="331")),"331",IF(AND(OR(L2996="131",M2996="131"),H2996='131-CT'!$E$7),"131",""))</f>
        <v/>
      </c>
      <c r="O2996" s="525" t="str">
        <f>IF(AND($B2996&gt;='111'!$N$11,$B2996&lt;='111'!$O$11,OR($L2996=$O$7,$M2996=$O$7)),"x","")</f>
        <v/>
      </c>
      <c r="P2996" s="525" t="str">
        <f>IF(AND($L2996=$O$7,$B2996&lt;'111'!$N$11),"x","")</f>
        <v/>
      </c>
      <c r="Q2996" s="525" t="str">
        <f>IF(AND($M2996=$O$7,$B2996&lt;'111'!$N$11),"x","")</f>
        <v/>
      </c>
      <c r="R2996" s="525" t="str">
        <f>IF(ISERROR(FIND('112'!$M$9,G2996,1)),"",IF((AND(FIND('112'!$M$9,G2996,1)&gt;=1,$B2996&gt;='112'!$N$8,$B2996&lt;='112'!$O$8,OR($L2996='112'!$I$6,$M2996='112'!$I$6))),"x",""))</f>
        <v/>
      </c>
      <c r="S2996" s="525" t="str">
        <f>IF(ISERROR(FIND('112'!$M$9,G2996,1)),"",IF((AND(LEFT(G2996,2)=LEFT('112'!$M$9,2),B2996&lt;'112'!$N$8,$L2996='112'!$I$6)),"x",""))</f>
        <v/>
      </c>
      <c r="T2996" s="525" t="str">
        <f>IF(ISERROR(FIND('112'!$M$9,G2996,1)),"",IF((AND(RIGHT(G2996,2)=RIGHT('112'!$M$9,2),B2996&lt;'112'!$N$8,$M2996='112'!$I$6)),"x",""))</f>
        <v/>
      </c>
      <c r="U2996" s="525" t="str">
        <f>IF(AND(B2996&gt;='IN-NX'!$P$3,B2996&lt;='IN-NX'!$Q$3,'IN-NX'!$D$7=D2996,OR(LEFT(L2996,2)="15",AND(LEFT(M2996,2)&lt;&gt;"15",LEFT(M2996,2)&lt;&gt;"33"))),"x","")</f>
        <v/>
      </c>
      <c r="V2996" s="525" t="str">
        <f>IF(AND(OR(LEFT(TH!L2996,2)="15",LEFT(TH!M2996,2)="15"),'152-CT'!$J$8=TH!F2996),"x","")</f>
        <v/>
      </c>
      <c r="W2996" s="525" t="str">
        <f>IF(AND(OR(LEFT(TH!L2996,2)="15",LEFT(TH!M2996,2)="15"),TK!$E$7=TH!F2996),"x","")</f>
        <v/>
      </c>
      <c r="X2996" s="525" t="str">
        <f>IF(AND('341-CT'!$E$9=H2996,OR(LEFT(L2996,3)=$X$7,LEFT(M2996,3)=$X$7)),"x","")</f>
        <v/>
      </c>
      <c r="Y2996" s="525" t="str">
        <f>IF(OR(TH!L2996=TH!$Y$7,M2996=TH!$Y$7),"x","")</f>
        <v/>
      </c>
      <c r="Z2996" s="525" t="str">
        <f>IF(AND(B2996&lt;=NKC!$N$8,B2996&gt;=NKC!$M$8),"x","")</f>
        <v/>
      </c>
      <c r="AA2996" s="702"/>
      <c r="AB2996" s="703"/>
    </row>
    <row r="2997" spans="1:30" s="704" customFormat="1" ht="15.75" customHeight="1">
      <c r="A2997" s="517" t="str">
        <f>IF(B2997&lt;&gt;"",IF(AND(B2997&gt;=_TM1,B2997&lt;=_TM2,OR(TH!L2997="1111",TH!M2997="1111")),TH!D2997,""),"")</f>
        <v/>
      </c>
      <c r="B2997" s="698">
        <f t="shared" si="259"/>
        <v>4</v>
      </c>
      <c r="C2997" s="699">
        <f t="shared" si="261"/>
        <v>42840</v>
      </c>
      <c r="D2997" s="699" t="s">
        <v>997</v>
      </c>
      <c r="E2997" s="699">
        <v>42840</v>
      </c>
      <c r="F2997" s="700" t="s">
        <v>837</v>
      </c>
      <c r="G2997" s="701" t="s">
        <v>1109</v>
      </c>
      <c r="H2997" s="694" t="s">
        <v>801</v>
      </c>
      <c r="I2997" s="695">
        <v>250</v>
      </c>
      <c r="J2997" s="695">
        <v>27342</v>
      </c>
      <c r="K2997" s="696">
        <f t="shared" si="262"/>
        <v>6835500</v>
      </c>
      <c r="L2997" s="697" t="s">
        <v>158</v>
      </c>
      <c r="M2997" s="697" t="s">
        <v>292</v>
      </c>
      <c r="N2997" s="525" t="str">
        <f>IF(AND('331-CT'!$E$7=TH!H2997,OR(L2997="331",M2997="331")),"331",IF(AND(OR(L2997="131",M2997="131"),H2997='131-CT'!$E$7),"131",""))</f>
        <v/>
      </c>
      <c r="O2997" s="525" t="str">
        <f>IF(AND($B2997&gt;='111'!$N$11,$B2997&lt;='111'!$O$11,OR($L2997=$O$7,$M2997=$O$7)),"x","")</f>
        <v/>
      </c>
      <c r="P2997" s="525" t="str">
        <f>IF(AND($L2997=$O$7,$B2997&lt;'111'!$N$11),"x","")</f>
        <v/>
      </c>
      <c r="Q2997" s="525" t="str">
        <f>IF(AND($M2997=$O$7,$B2997&lt;'111'!$N$11),"x","")</f>
        <v/>
      </c>
      <c r="R2997" s="525" t="str">
        <f>IF(ISERROR(FIND('112'!$M$9,G2997,1)),"",IF((AND(FIND('112'!$M$9,G2997,1)&gt;=1,$B2997&gt;='112'!$N$8,$B2997&lt;='112'!$O$8,OR($L2997='112'!$I$6,$M2997='112'!$I$6))),"x",""))</f>
        <v/>
      </c>
      <c r="S2997" s="525" t="str">
        <f>IF(ISERROR(FIND('112'!$M$9,G2997,1)),"",IF((AND(LEFT(G2997,2)=LEFT('112'!$M$9,2),B2997&lt;'112'!$N$8,$L2997='112'!$I$6)),"x",""))</f>
        <v/>
      </c>
      <c r="T2997" s="525" t="str">
        <f>IF(ISERROR(FIND('112'!$M$9,G2997,1)),"",IF((AND(RIGHT(G2997,2)=RIGHT('112'!$M$9,2),B2997&lt;'112'!$N$8,$M2997='112'!$I$6)),"x",""))</f>
        <v/>
      </c>
      <c r="U2997" s="525" t="str">
        <f>IF(AND(B2997&gt;='IN-NX'!$P$3,B2997&lt;='IN-NX'!$Q$3,'IN-NX'!$D$7=D2997,OR(LEFT(L2997,2)="15",AND(LEFT(M2997,2)&lt;&gt;"15",LEFT(M2997,2)&lt;&gt;"33"))),"x","")</f>
        <v/>
      </c>
      <c r="V2997" s="525" t="str">
        <f>IF(AND(OR(LEFT(TH!L2997,2)="15",LEFT(TH!M2997,2)="15"),'152-CT'!$J$8=TH!F2997),"x","")</f>
        <v/>
      </c>
      <c r="W2997" s="525" t="str">
        <f>IF(AND(OR(LEFT(TH!L2997,2)="15",LEFT(TH!M2997,2)="15"),TK!$E$7=TH!F2997),"x","")</f>
        <v/>
      </c>
      <c r="X2997" s="525" t="str">
        <f>IF(AND('341-CT'!$E$9=H2997,OR(LEFT(L2997,3)=$X$7,LEFT(M2997,3)=$X$7)),"x","")</f>
        <v/>
      </c>
      <c r="Y2997" s="525" t="str">
        <f>IF(OR(TH!L2997=TH!$Y$7,M2997=TH!$Y$7),"x","")</f>
        <v/>
      </c>
      <c r="Z2997" s="525" t="str">
        <f>IF(AND(B2997&lt;=NKC!$N$8,B2997&gt;=NKC!$M$8),"x","")</f>
        <v/>
      </c>
      <c r="AA2997" s="702"/>
      <c r="AB2997" s="703"/>
    </row>
    <row r="2998" spans="1:30" s="704" customFormat="1" ht="15.75" customHeight="1">
      <c r="A2998" s="517" t="str">
        <f>IF(B2998&lt;&gt;"",IF(AND(B2998&gt;=_TM1,B2998&lt;=_TM2,OR(TH!L2998="1111",TH!M2998="1111")),TH!D2998,""),"")</f>
        <v/>
      </c>
      <c r="B2998" s="698">
        <f t="shared" si="259"/>
        <v>4</v>
      </c>
      <c r="C2998" s="699">
        <f t="shared" si="261"/>
        <v>42840</v>
      </c>
      <c r="D2998" s="699" t="s">
        <v>997</v>
      </c>
      <c r="E2998" s="699">
        <v>42840</v>
      </c>
      <c r="F2998" s="700" t="s">
        <v>367</v>
      </c>
      <c r="G2998" s="701" t="s">
        <v>1109</v>
      </c>
      <c r="H2998" s="694" t="s">
        <v>801</v>
      </c>
      <c r="I2998" s="695">
        <v>125</v>
      </c>
      <c r="J2998" s="695">
        <v>28476</v>
      </c>
      <c r="K2998" s="696">
        <f t="shared" si="262"/>
        <v>3559500</v>
      </c>
      <c r="L2998" s="697" t="s">
        <v>158</v>
      </c>
      <c r="M2998" s="697" t="s">
        <v>292</v>
      </c>
      <c r="N2998" s="525" t="str">
        <f>IF(AND('331-CT'!$E$7=TH!H2998,OR(L2998="331",M2998="331")),"331",IF(AND(OR(L2998="131",M2998="131"),H2998='131-CT'!$E$7),"131",""))</f>
        <v/>
      </c>
      <c r="O2998" s="525" t="str">
        <f>IF(AND($B2998&gt;='111'!$N$11,$B2998&lt;='111'!$O$11,OR($L2998=$O$7,$M2998=$O$7)),"x","")</f>
        <v/>
      </c>
      <c r="P2998" s="525" t="str">
        <f>IF(AND($L2998=$O$7,$B2998&lt;'111'!$N$11),"x","")</f>
        <v/>
      </c>
      <c r="Q2998" s="525" t="str">
        <f>IF(AND($M2998=$O$7,$B2998&lt;'111'!$N$11),"x","")</f>
        <v/>
      </c>
      <c r="R2998" s="525" t="str">
        <f>IF(ISERROR(FIND('112'!$M$9,G2998,1)),"",IF((AND(FIND('112'!$M$9,G2998,1)&gt;=1,$B2998&gt;='112'!$N$8,$B2998&lt;='112'!$O$8,OR($L2998='112'!$I$6,$M2998='112'!$I$6))),"x",""))</f>
        <v/>
      </c>
      <c r="S2998" s="525" t="str">
        <f>IF(ISERROR(FIND('112'!$M$9,G2998,1)),"",IF((AND(LEFT(G2998,2)=LEFT('112'!$M$9,2),B2998&lt;'112'!$N$8,$L2998='112'!$I$6)),"x",""))</f>
        <v/>
      </c>
      <c r="T2998" s="525" t="str">
        <f>IF(ISERROR(FIND('112'!$M$9,G2998,1)),"",IF((AND(RIGHT(G2998,2)=RIGHT('112'!$M$9,2),B2998&lt;'112'!$N$8,$M2998='112'!$I$6)),"x",""))</f>
        <v/>
      </c>
      <c r="U2998" s="525" t="str">
        <f>IF(AND(B2998&gt;='IN-NX'!$P$3,B2998&lt;='IN-NX'!$Q$3,'IN-NX'!$D$7=D2998,OR(LEFT(L2998,2)="15",AND(LEFT(M2998,2)&lt;&gt;"15",LEFT(M2998,2)&lt;&gt;"33"))),"x","")</f>
        <v/>
      </c>
      <c r="V2998" s="525" t="str">
        <f>IF(AND(OR(LEFT(TH!L2998,2)="15",LEFT(TH!M2998,2)="15"),'152-CT'!$J$8=TH!F2998),"x","")</f>
        <v/>
      </c>
      <c r="W2998" s="525" t="str">
        <f>IF(AND(OR(LEFT(TH!L2998,2)="15",LEFT(TH!M2998,2)="15"),TK!$E$7=TH!F2998),"x","")</f>
        <v/>
      </c>
      <c r="X2998" s="525" t="str">
        <f>IF(AND('341-CT'!$E$9=H2998,OR(LEFT(L2998,3)=$X$7,LEFT(M2998,3)=$X$7)),"x","")</f>
        <v/>
      </c>
      <c r="Y2998" s="525" t="str">
        <f>IF(OR(TH!L2998=TH!$Y$7,M2998=TH!$Y$7),"x","")</f>
        <v/>
      </c>
      <c r="Z2998" s="525" t="str">
        <f>IF(AND(B2998&lt;=NKC!$N$8,B2998&gt;=NKC!$M$8),"x","")</f>
        <v/>
      </c>
      <c r="AA2998" s="702"/>
      <c r="AB2998" s="703"/>
    </row>
    <row r="2999" spans="1:30" s="704" customFormat="1" ht="15.75" customHeight="1">
      <c r="A2999" s="517" t="str">
        <f>IF(B2999&lt;&gt;"",IF(AND(B2999&gt;=_TM1,B2999&lt;=_TM2,OR(TH!L2999="1111",TH!M2999="1111")),TH!D2999,""),"")</f>
        <v/>
      </c>
      <c r="B2999" s="698">
        <f t="shared" si="259"/>
        <v>4</v>
      </c>
      <c r="C2999" s="699">
        <f t="shared" si="261"/>
        <v>42840</v>
      </c>
      <c r="D2999" s="699" t="s">
        <v>997</v>
      </c>
      <c r="E2999" s="699">
        <v>42840</v>
      </c>
      <c r="F2999" s="700" t="s">
        <v>583</v>
      </c>
      <c r="G2999" s="701" t="s">
        <v>1109</v>
      </c>
      <c r="H2999" s="694" t="s">
        <v>801</v>
      </c>
      <c r="I2999" s="695">
        <v>42</v>
      </c>
      <c r="J2999" s="695">
        <v>26352</v>
      </c>
      <c r="K2999" s="696">
        <f t="shared" si="262"/>
        <v>1106784</v>
      </c>
      <c r="L2999" s="697" t="s">
        <v>158</v>
      </c>
      <c r="M2999" s="697" t="s">
        <v>292</v>
      </c>
      <c r="N2999" s="525" t="str">
        <f>IF(AND('331-CT'!$E$7=TH!H2999,OR(L2999="331",M2999="331")),"331",IF(AND(OR(L2999="131",M2999="131"),H2999='131-CT'!$E$7),"131",""))</f>
        <v/>
      </c>
      <c r="O2999" s="525" t="str">
        <f>IF(AND($B2999&gt;='111'!$N$11,$B2999&lt;='111'!$O$11,OR($L2999=$O$7,$M2999=$O$7)),"x","")</f>
        <v/>
      </c>
      <c r="P2999" s="525" t="str">
        <f>IF(AND($L2999=$O$7,$B2999&lt;'111'!$N$11),"x","")</f>
        <v/>
      </c>
      <c r="Q2999" s="525" t="str">
        <f>IF(AND($M2999=$O$7,$B2999&lt;'111'!$N$11),"x","")</f>
        <v/>
      </c>
      <c r="R2999" s="525" t="str">
        <f>IF(ISERROR(FIND('112'!$M$9,G2999,1)),"",IF((AND(FIND('112'!$M$9,G2999,1)&gt;=1,$B2999&gt;='112'!$N$8,$B2999&lt;='112'!$O$8,OR($L2999='112'!$I$6,$M2999='112'!$I$6))),"x",""))</f>
        <v/>
      </c>
      <c r="S2999" s="525" t="str">
        <f>IF(ISERROR(FIND('112'!$M$9,G2999,1)),"",IF((AND(LEFT(G2999,2)=LEFT('112'!$M$9,2),B2999&lt;'112'!$N$8,$L2999='112'!$I$6)),"x",""))</f>
        <v/>
      </c>
      <c r="T2999" s="525" t="str">
        <f>IF(ISERROR(FIND('112'!$M$9,G2999,1)),"",IF((AND(RIGHT(G2999,2)=RIGHT('112'!$M$9,2),B2999&lt;'112'!$N$8,$M2999='112'!$I$6)),"x",""))</f>
        <v/>
      </c>
      <c r="U2999" s="525" t="str">
        <f>IF(AND(B2999&gt;='IN-NX'!$P$3,B2999&lt;='IN-NX'!$Q$3,'IN-NX'!$D$7=D2999,OR(LEFT(L2999,2)="15",AND(LEFT(M2999,2)&lt;&gt;"15",LEFT(M2999,2)&lt;&gt;"33"))),"x","")</f>
        <v/>
      </c>
      <c r="V2999" s="525" t="str">
        <f>IF(AND(OR(LEFT(TH!L2999,2)="15",LEFT(TH!M2999,2)="15"),'152-CT'!$J$8=TH!F2999),"x","")</f>
        <v/>
      </c>
      <c r="W2999" s="525" t="str">
        <f>IF(AND(OR(LEFT(TH!L2999,2)="15",LEFT(TH!M2999,2)="15"),TK!$E$7=TH!F2999),"x","")</f>
        <v/>
      </c>
      <c r="X2999" s="525" t="str">
        <f>IF(AND('341-CT'!$E$9=H2999,OR(LEFT(L2999,3)=$X$7,LEFT(M2999,3)=$X$7)),"x","")</f>
        <v/>
      </c>
      <c r="Y2999" s="525" t="str">
        <f>IF(OR(TH!L2999=TH!$Y$7,M2999=TH!$Y$7),"x","")</f>
        <v/>
      </c>
      <c r="Z2999" s="525" t="str">
        <f>IF(AND(B2999&lt;=NKC!$N$8,B2999&gt;=NKC!$M$8),"x","")</f>
        <v/>
      </c>
      <c r="AA2999" s="702"/>
      <c r="AB2999" s="703"/>
    </row>
    <row r="3000" spans="1:30" s="704" customFormat="1" ht="15.75" customHeight="1">
      <c r="A3000" s="517" t="str">
        <f>IF(B3000&lt;&gt;"",IF(AND(B3000&gt;=_TM1,B3000&lt;=_TM2,OR(TH!L3000="1111",TH!M3000="1111")),TH!D3000,""),"")</f>
        <v/>
      </c>
      <c r="B3000" s="698">
        <f t="shared" si="259"/>
        <v>4</v>
      </c>
      <c r="C3000" s="699">
        <f t="shared" si="261"/>
        <v>42840</v>
      </c>
      <c r="D3000" s="699" t="s">
        <v>997</v>
      </c>
      <c r="E3000" s="699">
        <v>42840</v>
      </c>
      <c r="F3000" s="700" t="s">
        <v>341</v>
      </c>
      <c r="G3000" s="701" t="s">
        <v>1109</v>
      </c>
      <c r="H3000" s="694" t="s">
        <v>801</v>
      </c>
      <c r="I3000" s="695">
        <v>32</v>
      </c>
      <c r="J3000" s="695">
        <v>28355</v>
      </c>
      <c r="K3000" s="696">
        <f t="shared" si="262"/>
        <v>907360</v>
      </c>
      <c r="L3000" s="697" t="s">
        <v>158</v>
      </c>
      <c r="M3000" s="697" t="s">
        <v>292</v>
      </c>
      <c r="N3000" s="525" t="str">
        <f>IF(AND('331-CT'!$E$7=TH!H3000,OR(L3000="331",M3000="331")),"331",IF(AND(OR(L3000="131",M3000="131"),H3000='131-CT'!$E$7),"131",""))</f>
        <v/>
      </c>
      <c r="O3000" s="525" t="str">
        <f>IF(AND($B3000&gt;='111'!$N$11,$B3000&lt;='111'!$O$11,OR($L3000=$O$7,$M3000=$O$7)),"x","")</f>
        <v/>
      </c>
      <c r="P3000" s="525" t="str">
        <f>IF(AND($L3000=$O$7,$B3000&lt;'111'!$N$11),"x","")</f>
        <v/>
      </c>
      <c r="Q3000" s="525" t="str">
        <f>IF(AND($M3000=$O$7,$B3000&lt;'111'!$N$11),"x","")</f>
        <v/>
      </c>
      <c r="R3000" s="525" t="str">
        <f>IF(ISERROR(FIND('112'!$M$9,G3000,1)),"",IF((AND(FIND('112'!$M$9,G3000,1)&gt;=1,$B3000&gt;='112'!$N$8,$B3000&lt;='112'!$O$8,OR($L3000='112'!$I$6,$M3000='112'!$I$6))),"x",""))</f>
        <v/>
      </c>
      <c r="S3000" s="525" t="str">
        <f>IF(ISERROR(FIND('112'!$M$9,G3000,1)),"",IF((AND(LEFT(G3000,2)=LEFT('112'!$M$9,2),B3000&lt;'112'!$N$8,$L3000='112'!$I$6)),"x",""))</f>
        <v/>
      </c>
      <c r="T3000" s="525" t="str">
        <f>IF(ISERROR(FIND('112'!$M$9,G3000,1)),"",IF((AND(RIGHT(G3000,2)=RIGHT('112'!$M$9,2),B3000&lt;'112'!$N$8,$M3000='112'!$I$6)),"x",""))</f>
        <v/>
      </c>
      <c r="U3000" s="525" t="str">
        <f>IF(AND(B3000&gt;='IN-NX'!$P$3,B3000&lt;='IN-NX'!$Q$3,'IN-NX'!$D$7=D3000,OR(LEFT(L3000,2)="15",AND(LEFT(M3000,2)&lt;&gt;"15",LEFT(M3000,2)&lt;&gt;"33"))),"x","")</f>
        <v/>
      </c>
      <c r="V3000" s="525" t="str">
        <f>IF(AND(OR(LEFT(TH!L3000,2)="15",LEFT(TH!M3000,2)="15"),'152-CT'!$J$8=TH!F3000),"x","")</f>
        <v/>
      </c>
      <c r="W3000" s="525" t="str">
        <f>IF(AND(OR(LEFT(TH!L3000,2)="15",LEFT(TH!M3000,2)="15"),TK!$E$7=TH!F3000),"x","")</f>
        <v/>
      </c>
      <c r="X3000" s="525" t="str">
        <f>IF(AND('341-CT'!$E$9=H3000,OR(LEFT(L3000,3)=$X$7,LEFT(M3000,3)=$X$7)),"x","")</f>
        <v/>
      </c>
      <c r="Y3000" s="525" t="str">
        <f>IF(OR(TH!L3000=TH!$Y$7,M3000=TH!$Y$7),"x","")</f>
        <v/>
      </c>
      <c r="Z3000" s="525" t="str">
        <f>IF(AND(B3000&lt;=NKC!$N$8,B3000&gt;=NKC!$M$8),"x","")</f>
        <v/>
      </c>
      <c r="AA3000" s="702"/>
      <c r="AB3000" s="703"/>
    </row>
    <row r="3001" spans="1:30" s="704" customFormat="1" ht="15.75" customHeight="1">
      <c r="A3001" s="517" t="str">
        <f>IF(B3001&lt;&gt;"",IF(AND(B3001&gt;=_TM1,B3001&lt;=_TM2,OR(TH!L3001="1111",TH!M3001="1111")),TH!D3001,""),"")</f>
        <v/>
      </c>
      <c r="B3001" s="698">
        <f t="shared" ref="B3001:B3032" si="263">IF(C3001&lt;&gt;"",MONTH(C3001),"")</f>
        <v>4</v>
      </c>
      <c r="C3001" s="699">
        <f t="shared" si="261"/>
        <v>42840</v>
      </c>
      <c r="D3001" s="699" t="s">
        <v>997</v>
      </c>
      <c r="E3001" s="699">
        <v>42840</v>
      </c>
      <c r="F3001" s="700" t="s">
        <v>585</v>
      </c>
      <c r="G3001" s="701" t="s">
        <v>1109</v>
      </c>
      <c r="H3001" s="694" t="s">
        <v>801</v>
      </c>
      <c r="I3001" s="695">
        <v>40</v>
      </c>
      <c r="J3001" s="695">
        <v>28336.5</v>
      </c>
      <c r="K3001" s="696">
        <f t="shared" si="262"/>
        <v>1133460</v>
      </c>
      <c r="L3001" s="697" t="s">
        <v>158</v>
      </c>
      <c r="M3001" s="697" t="s">
        <v>292</v>
      </c>
      <c r="N3001" s="525" t="str">
        <f>IF(AND('331-CT'!$E$7=TH!H3001,OR(L3001="331",M3001="331")),"331",IF(AND(OR(L3001="131",M3001="131"),H3001='131-CT'!$E$7),"131",""))</f>
        <v/>
      </c>
      <c r="O3001" s="525" t="str">
        <f>IF(AND($B3001&gt;='111'!$N$11,$B3001&lt;='111'!$O$11,OR($L3001=$O$7,$M3001=$O$7)),"x","")</f>
        <v/>
      </c>
      <c r="P3001" s="525" t="str">
        <f>IF(AND($L3001=$O$7,$B3001&lt;'111'!$N$11),"x","")</f>
        <v/>
      </c>
      <c r="Q3001" s="525" t="str">
        <f>IF(AND($M3001=$O$7,$B3001&lt;'111'!$N$11),"x","")</f>
        <v/>
      </c>
      <c r="R3001" s="525" t="str">
        <f>IF(ISERROR(FIND('112'!$M$9,G3001,1)),"",IF((AND(FIND('112'!$M$9,G3001,1)&gt;=1,$B3001&gt;='112'!$N$8,$B3001&lt;='112'!$O$8,OR($L3001='112'!$I$6,$M3001='112'!$I$6))),"x",""))</f>
        <v/>
      </c>
      <c r="S3001" s="525" t="str">
        <f>IF(ISERROR(FIND('112'!$M$9,G3001,1)),"",IF((AND(LEFT(G3001,2)=LEFT('112'!$M$9,2),B3001&lt;'112'!$N$8,$L3001='112'!$I$6)),"x",""))</f>
        <v/>
      </c>
      <c r="T3001" s="525" t="str">
        <f>IF(ISERROR(FIND('112'!$M$9,G3001,1)),"",IF((AND(RIGHT(G3001,2)=RIGHT('112'!$M$9,2),B3001&lt;'112'!$N$8,$M3001='112'!$I$6)),"x",""))</f>
        <v/>
      </c>
      <c r="U3001" s="525" t="str">
        <f>IF(AND(B3001&gt;='IN-NX'!$P$3,B3001&lt;='IN-NX'!$Q$3,'IN-NX'!$D$7=D3001,OR(LEFT(L3001,2)="15",AND(LEFT(M3001,2)&lt;&gt;"15",LEFT(M3001,2)&lt;&gt;"33"))),"x","")</f>
        <v/>
      </c>
      <c r="V3001" s="525" t="str">
        <f>IF(AND(OR(LEFT(TH!L3001,2)="15",LEFT(TH!M3001,2)="15"),'152-CT'!$J$8=TH!F3001),"x","")</f>
        <v/>
      </c>
      <c r="W3001" s="525" t="str">
        <f>IF(AND(OR(LEFT(TH!L3001,2)="15",LEFT(TH!M3001,2)="15"),TK!$E$7=TH!F3001),"x","")</f>
        <v/>
      </c>
      <c r="X3001" s="525" t="str">
        <f>IF(AND('341-CT'!$E$9=H3001,OR(LEFT(L3001,3)=$X$7,LEFT(M3001,3)=$X$7)),"x","")</f>
        <v/>
      </c>
      <c r="Y3001" s="525" t="str">
        <f>IF(OR(TH!L3001=TH!$Y$7,M3001=TH!$Y$7),"x","")</f>
        <v/>
      </c>
      <c r="Z3001" s="525" t="str">
        <f>IF(AND(B3001&lt;=NKC!$N$8,B3001&gt;=NKC!$M$8),"x","")</f>
        <v/>
      </c>
      <c r="AA3001" s="702"/>
      <c r="AB3001" s="703"/>
    </row>
    <row r="3002" spans="1:30" s="704" customFormat="1" ht="15.75" customHeight="1">
      <c r="A3002" s="517" t="str">
        <f>IF(B3002&lt;&gt;"",IF(AND(B3002&gt;=_TM1,B3002&lt;=_TM2,OR(TH!L3002="1111",TH!M3002="1111")),TH!D3002,""),"")</f>
        <v/>
      </c>
      <c r="B3002" s="698">
        <f t="shared" si="263"/>
        <v>4</v>
      </c>
      <c r="C3002" s="699">
        <f t="shared" si="261"/>
        <v>42840</v>
      </c>
      <c r="D3002" s="699" t="s">
        <v>997</v>
      </c>
      <c r="E3002" s="699">
        <v>42840</v>
      </c>
      <c r="F3002" s="700" t="s">
        <v>434</v>
      </c>
      <c r="G3002" s="701" t="s">
        <v>1109</v>
      </c>
      <c r="H3002" s="694" t="s">
        <v>801</v>
      </c>
      <c r="I3002" s="695">
        <v>70</v>
      </c>
      <c r="J3002" s="695">
        <v>28684.5</v>
      </c>
      <c r="K3002" s="696">
        <f t="shared" si="262"/>
        <v>2007915</v>
      </c>
      <c r="L3002" s="697" t="s">
        <v>158</v>
      </c>
      <c r="M3002" s="697" t="s">
        <v>292</v>
      </c>
      <c r="N3002" s="525" t="str">
        <f>IF(AND('331-CT'!$E$7=TH!H3002,OR(L3002="331",M3002="331")),"331",IF(AND(OR(L3002="131",M3002="131"),H3002='131-CT'!$E$7),"131",""))</f>
        <v/>
      </c>
      <c r="O3002" s="525" t="str">
        <f>IF(AND($B3002&gt;='111'!$N$11,$B3002&lt;='111'!$O$11,OR($L3002=$O$7,$M3002=$O$7)),"x","")</f>
        <v/>
      </c>
      <c r="P3002" s="525" t="str">
        <f>IF(AND($L3002=$O$7,$B3002&lt;'111'!$N$11),"x","")</f>
        <v/>
      </c>
      <c r="Q3002" s="525" t="str">
        <f>IF(AND($M3002=$O$7,$B3002&lt;'111'!$N$11),"x","")</f>
        <v/>
      </c>
      <c r="R3002" s="525" t="str">
        <f>IF(ISERROR(FIND('112'!$M$9,G3002,1)),"",IF((AND(FIND('112'!$M$9,G3002,1)&gt;=1,$B3002&gt;='112'!$N$8,$B3002&lt;='112'!$O$8,OR($L3002='112'!$I$6,$M3002='112'!$I$6))),"x",""))</f>
        <v/>
      </c>
      <c r="S3002" s="525" t="str">
        <f>IF(ISERROR(FIND('112'!$M$9,G3002,1)),"",IF((AND(LEFT(G3002,2)=LEFT('112'!$M$9,2),B3002&lt;'112'!$N$8,$L3002='112'!$I$6)),"x",""))</f>
        <v/>
      </c>
      <c r="T3002" s="525" t="str">
        <f>IF(ISERROR(FIND('112'!$M$9,G3002,1)),"",IF((AND(RIGHT(G3002,2)=RIGHT('112'!$M$9,2),B3002&lt;'112'!$N$8,$M3002='112'!$I$6)),"x",""))</f>
        <v/>
      </c>
      <c r="U3002" s="525" t="str">
        <f>IF(AND(B3002&gt;='IN-NX'!$P$3,B3002&lt;='IN-NX'!$Q$3,'IN-NX'!$D$7=D3002,OR(LEFT(L3002,2)="15",AND(LEFT(M3002,2)&lt;&gt;"15",LEFT(M3002,2)&lt;&gt;"33"))),"x","")</f>
        <v/>
      </c>
      <c r="V3002" s="525" t="str">
        <f>IF(AND(OR(LEFT(TH!L3002,2)="15",LEFT(TH!M3002,2)="15"),'152-CT'!$J$8=TH!F3002),"x","")</f>
        <v/>
      </c>
      <c r="W3002" s="525" t="str">
        <f>IF(AND(OR(LEFT(TH!L3002,2)="15",LEFT(TH!M3002,2)="15"),TK!$E$7=TH!F3002),"x","")</f>
        <v/>
      </c>
      <c r="X3002" s="525" t="str">
        <f>IF(AND('341-CT'!$E$9=H3002,OR(LEFT(L3002,3)=$X$7,LEFT(M3002,3)=$X$7)),"x","")</f>
        <v/>
      </c>
      <c r="Y3002" s="525" t="str">
        <f>IF(OR(TH!L3002=TH!$Y$7,M3002=TH!$Y$7),"x","")</f>
        <v/>
      </c>
      <c r="Z3002" s="525" t="str">
        <f>IF(AND(B3002&lt;=NKC!$N$8,B3002&gt;=NKC!$M$8),"x","")</f>
        <v/>
      </c>
      <c r="AA3002" s="702"/>
      <c r="AB3002" s="703"/>
    </row>
    <row r="3003" spans="1:30" s="704" customFormat="1" ht="15.75" customHeight="1">
      <c r="A3003" s="517" t="str">
        <f>IF(B3003&lt;&gt;"",IF(AND(B3003&gt;=_TM1,B3003&lt;=_TM2,OR(TH!L3003="1111",TH!M3003="1111")),TH!D3003,""),"")</f>
        <v/>
      </c>
      <c r="B3003" s="698">
        <f t="shared" si="263"/>
        <v>4</v>
      </c>
      <c r="C3003" s="699">
        <f t="shared" si="261"/>
        <v>42840</v>
      </c>
      <c r="D3003" s="699" t="s">
        <v>997</v>
      </c>
      <c r="E3003" s="699">
        <v>42840</v>
      </c>
      <c r="F3003" s="700" t="s">
        <v>838</v>
      </c>
      <c r="G3003" s="701" t="s">
        <v>1109</v>
      </c>
      <c r="H3003" s="694" t="s">
        <v>801</v>
      </c>
      <c r="I3003" s="695">
        <v>200</v>
      </c>
      <c r="J3003" s="695">
        <v>27621</v>
      </c>
      <c r="K3003" s="696">
        <f t="shared" si="262"/>
        <v>5524200</v>
      </c>
      <c r="L3003" s="697" t="s">
        <v>158</v>
      </c>
      <c r="M3003" s="697" t="s">
        <v>292</v>
      </c>
      <c r="N3003" s="525" t="str">
        <f>IF(AND('331-CT'!$E$7=TH!H3003,OR(L3003="331",M3003="331")),"331",IF(AND(OR(L3003="131",M3003="131"),H3003='131-CT'!$E$7),"131",""))</f>
        <v/>
      </c>
      <c r="O3003" s="525" t="str">
        <f>IF(AND($B3003&gt;='111'!$N$11,$B3003&lt;='111'!$O$11,OR($L3003=$O$7,$M3003=$O$7)),"x","")</f>
        <v/>
      </c>
      <c r="P3003" s="525" t="str">
        <f>IF(AND($L3003=$O$7,$B3003&lt;'111'!$N$11),"x","")</f>
        <v/>
      </c>
      <c r="Q3003" s="525" t="str">
        <f>IF(AND($M3003=$O$7,$B3003&lt;'111'!$N$11),"x","")</f>
        <v/>
      </c>
      <c r="R3003" s="525" t="str">
        <f>IF(ISERROR(FIND('112'!$M$9,G3003,1)),"",IF((AND(FIND('112'!$M$9,G3003,1)&gt;=1,$B3003&gt;='112'!$N$8,$B3003&lt;='112'!$O$8,OR($L3003='112'!$I$6,$M3003='112'!$I$6))),"x",""))</f>
        <v/>
      </c>
      <c r="S3003" s="525" t="str">
        <f>IF(ISERROR(FIND('112'!$M$9,G3003,1)),"",IF((AND(LEFT(G3003,2)=LEFT('112'!$M$9,2),B3003&lt;'112'!$N$8,$L3003='112'!$I$6)),"x",""))</f>
        <v/>
      </c>
      <c r="T3003" s="525" t="str">
        <f>IF(ISERROR(FIND('112'!$M$9,G3003,1)),"",IF((AND(RIGHT(G3003,2)=RIGHT('112'!$M$9,2),B3003&lt;'112'!$N$8,$M3003='112'!$I$6)),"x",""))</f>
        <v/>
      </c>
      <c r="U3003" s="525" t="str">
        <f>IF(AND(B3003&gt;='IN-NX'!$P$3,B3003&lt;='IN-NX'!$Q$3,'IN-NX'!$D$7=D3003,OR(LEFT(L3003,2)="15",AND(LEFT(M3003,2)&lt;&gt;"15",LEFT(M3003,2)&lt;&gt;"33"))),"x","")</f>
        <v/>
      </c>
      <c r="V3003" s="525" t="str">
        <f>IF(AND(OR(LEFT(TH!L3003,2)="15",LEFT(TH!M3003,2)="15"),'152-CT'!$J$8=TH!F3003),"x","")</f>
        <v/>
      </c>
      <c r="W3003" s="525" t="str">
        <f>IF(AND(OR(LEFT(TH!L3003,2)="15",LEFT(TH!M3003,2)="15"),TK!$E$7=TH!F3003),"x","")</f>
        <v/>
      </c>
      <c r="X3003" s="525" t="str">
        <f>IF(AND('341-CT'!$E$9=H3003,OR(LEFT(L3003,3)=$X$7,LEFT(M3003,3)=$X$7)),"x","")</f>
        <v/>
      </c>
      <c r="Y3003" s="525" t="str">
        <f>IF(OR(TH!L3003=TH!$Y$7,M3003=TH!$Y$7),"x","")</f>
        <v/>
      </c>
      <c r="Z3003" s="525" t="str">
        <f>IF(AND(B3003&lt;=NKC!$N$8,B3003&gt;=NKC!$M$8),"x","")</f>
        <v/>
      </c>
      <c r="AA3003" s="702"/>
      <c r="AB3003" s="703"/>
    </row>
    <row r="3004" spans="1:30" s="704" customFormat="1" ht="15.75" customHeight="1">
      <c r="A3004" s="517" t="str">
        <f>IF(B3004&lt;&gt;"",IF(AND(B3004&gt;=_TM1,B3004&lt;=_TM2,OR(TH!L3004="1111",TH!M3004="1111")),TH!D3004,""),"")</f>
        <v/>
      </c>
      <c r="B3004" s="698">
        <f t="shared" si="263"/>
        <v>4</v>
      </c>
      <c r="C3004" s="699">
        <f t="shared" si="261"/>
        <v>42840</v>
      </c>
      <c r="D3004" s="699" t="s">
        <v>997</v>
      </c>
      <c r="E3004" s="699">
        <v>42840</v>
      </c>
      <c r="F3004" s="700" t="s">
        <v>383</v>
      </c>
      <c r="G3004" s="701" t="s">
        <v>1109</v>
      </c>
      <c r="H3004" s="694" t="s">
        <v>801</v>
      </c>
      <c r="I3004" s="695">
        <v>50</v>
      </c>
      <c r="J3004" s="695">
        <v>29344</v>
      </c>
      <c r="K3004" s="696">
        <f t="shared" si="262"/>
        <v>1467200</v>
      </c>
      <c r="L3004" s="697" t="s">
        <v>158</v>
      </c>
      <c r="M3004" s="697" t="s">
        <v>292</v>
      </c>
      <c r="N3004" s="525" t="str">
        <f>IF(AND('331-CT'!$E$7=TH!H3004,OR(L3004="331",M3004="331")),"331",IF(AND(OR(L3004="131",M3004="131"),H3004='131-CT'!$E$7),"131",""))</f>
        <v/>
      </c>
      <c r="O3004" s="525" t="str">
        <f>IF(AND($B3004&gt;='111'!$N$11,$B3004&lt;='111'!$O$11,OR($L3004=$O$7,$M3004=$O$7)),"x","")</f>
        <v/>
      </c>
      <c r="P3004" s="525" t="str">
        <f>IF(AND($L3004=$O$7,$B3004&lt;'111'!$N$11),"x","")</f>
        <v/>
      </c>
      <c r="Q3004" s="525" t="str">
        <f>IF(AND($M3004=$O$7,$B3004&lt;'111'!$N$11),"x","")</f>
        <v/>
      </c>
      <c r="R3004" s="525" t="str">
        <f>IF(ISERROR(FIND('112'!$M$9,G3004,1)),"",IF((AND(FIND('112'!$M$9,G3004,1)&gt;=1,$B3004&gt;='112'!$N$8,$B3004&lt;='112'!$O$8,OR($L3004='112'!$I$6,$M3004='112'!$I$6))),"x",""))</f>
        <v/>
      </c>
      <c r="S3004" s="525" t="str">
        <f>IF(ISERROR(FIND('112'!$M$9,G3004,1)),"",IF((AND(LEFT(G3004,2)=LEFT('112'!$M$9,2),B3004&lt;'112'!$N$8,$L3004='112'!$I$6)),"x",""))</f>
        <v/>
      </c>
      <c r="T3004" s="525" t="str">
        <f>IF(ISERROR(FIND('112'!$M$9,G3004,1)),"",IF((AND(RIGHT(G3004,2)=RIGHT('112'!$M$9,2),B3004&lt;'112'!$N$8,$M3004='112'!$I$6)),"x",""))</f>
        <v/>
      </c>
      <c r="U3004" s="525" t="str">
        <f>IF(AND(B3004&gt;='IN-NX'!$P$3,B3004&lt;='IN-NX'!$Q$3,'IN-NX'!$D$7=D3004,OR(LEFT(L3004,2)="15",AND(LEFT(M3004,2)&lt;&gt;"15",LEFT(M3004,2)&lt;&gt;"33"))),"x","")</f>
        <v/>
      </c>
      <c r="V3004" s="525" t="str">
        <f>IF(AND(OR(LEFT(TH!L3004,2)="15",LEFT(TH!M3004,2)="15"),'152-CT'!$J$8=TH!F3004),"x","")</f>
        <v/>
      </c>
      <c r="W3004" s="525" t="str">
        <f>IF(AND(OR(LEFT(TH!L3004,2)="15",LEFT(TH!M3004,2)="15"),TK!$E$7=TH!F3004),"x","")</f>
        <v/>
      </c>
      <c r="X3004" s="525" t="str">
        <f>IF(AND('341-CT'!$E$9=H3004,OR(LEFT(L3004,3)=$X$7,LEFT(M3004,3)=$X$7)),"x","")</f>
        <v/>
      </c>
      <c r="Y3004" s="525" t="str">
        <f>IF(OR(TH!L3004=TH!$Y$7,M3004=TH!$Y$7),"x","")</f>
        <v/>
      </c>
      <c r="Z3004" s="525" t="str">
        <f>IF(AND(B3004&lt;=NKC!$N$8,B3004&gt;=NKC!$M$8),"x","")</f>
        <v/>
      </c>
      <c r="AA3004" s="702"/>
      <c r="AB3004" s="703"/>
    </row>
    <row r="3005" spans="1:30" s="704" customFormat="1" ht="15.75" customHeight="1">
      <c r="A3005" s="517" t="str">
        <f>IF(B3005&lt;&gt;"",IF(AND(B3005&gt;=_TM1,B3005&lt;=_TM2,OR(TH!L3005="1111",TH!M3005="1111")),TH!D3005,""),"")</f>
        <v/>
      </c>
      <c r="B3005" s="698">
        <f t="shared" si="263"/>
        <v>4</v>
      </c>
      <c r="C3005" s="699">
        <f t="shared" si="261"/>
        <v>42840</v>
      </c>
      <c r="D3005" s="699" t="s">
        <v>997</v>
      </c>
      <c r="E3005" s="699">
        <v>42840</v>
      </c>
      <c r="F3005" s="709" t="s">
        <v>344</v>
      </c>
      <c r="G3005" s="701" t="s">
        <v>1109</v>
      </c>
      <c r="H3005" s="694" t="s">
        <v>801</v>
      </c>
      <c r="I3005" s="711">
        <v>30</v>
      </c>
      <c r="J3005" s="695">
        <v>26024</v>
      </c>
      <c r="K3005" s="696">
        <f t="shared" si="262"/>
        <v>780720</v>
      </c>
      <c r="L3005" s="697" t="s">
        <v>158</v>
      </c>
      <c r="M3005" s="697" t="s">
        <v>292</v>
      </c>
      <c r="N3005" s="525" t="str">
        <f>IF(AND('331-CT'!$E$7=TH!H3005,OR(L3005="331",M3005="331")),"331",IF(AND(OR(L3005="131",M3005="131"),H3005='131-CT'!$E$7),"131",""))</f>
        <v/>
      </c>
      <c r="O3005" s="525" t="str">
        <f>IF(AND($B3005&gt;='111'!$N$11,$B3005&lt;='111'!$O$11,OR($L3005=$O$7,$M3005=$O$7)),"x","")</f>
        <v/>
      </c>
      <c r="P3005" s="525" t="str">
        <f>IF(AND($L3005=$O$7,$B3005&lt;'111'!$N$11),"x","")</f>
        <v/>
      </c>
      <c r="Q3005" s="525" t="str">
        <f>IF(AND($M3005=$O$7,$B3005&lt;'111'!$N$11),"x","")</f>
        <v/>
      </c>
      <c r="R3005" s="525" t="str">
        <f>IF(ISERROR(FIND('112'!$M$9,G3005,1)),"",IF((AND(FIND('112'!$M$9,G3005,1)&gt;=1,$B3005&gt;='112'!$N$8,$B3005&lt;='112'!$O$8,OR($L3005='112'!$I$6,$M3005='112'!$I$6))),"x",""))</f>
        <v/>
      </c>
      <c r="S3005" s="525" t="str">
        <f>IF(ISERROR(FIND('112'!$M$9,G3005,1)),"",IF((AND(LEFT(G3005,2)=LEFT('112'!$M$9,2),B3005&lt;'112'!$N$8,$L3005='112'!$I$6)),"x",""))</f>
        <v/>
      </c>
      <c r="T3005" s="525" t="str">
        <f>IF(ISERROR(FIND('112'!$M$9,G3005,1)),"",IF((AND(RIGHT(G3005,2)=RIGHT('112'!$M$9,2),B3005&lt;'112'!$N$8,$M3005='112'!$I$6)),"x",""))</f>
        <v/>
      </c>
      <c r="U3005" s="525" t="str">
        <f>IF(AND(B3005&gt;='IN-NX'!$P$3,B3005&lt;='IN-NX'!$Q$3,'IN-NX'!$D$7=D3005,OR(LEFT(L3005,2)="15",AND(LEFT(M3005,2)&lt;&gt;"15",LEFT(M3005,2)&lt;&gt;"33"))),"x","")</f>
        <v/>
      </c>
      <c r="V3005" s="525" t="str">
        <f>IF(AND(OR(LEFT(TH!L3005,2)="15",LEFT(TH!M3005,2)="15"),'152-CT'!$J$8=TH!F3005),"x","")</f>
        <v/>
      </c>
      <c r="W3005" s="525" t="str">
        <f>IF(AND(OR(LEFT(TH!L3005,2)="15",LEFT(TH!M3005,2)="15"),TK!$E$7=TH!F3005),"x","")</f>
        <v/>
      </c>
      <c r="X3005" s="525" t="str">
        <f>IF(AND('341-CT'!$E$9=H3005,OR(LEFT(L3005,3)=$X$7,LEFT(M3005,3)=$X$7)),"x","")</f>
        <v/>
      </c>
      <c r="Y3005" s="525" t="str">
        <f>IF(OR(TH!L3005=TH!$Y$7,M3005=TH!$Y$7),"x","")</f>
        <v/>
      </c>
      <c r="Z3005" s="525" t="str">
        <f>IF(AND(B3005&lt;=NKC!$N$8,B3005&gt;=NKC!$M$8),"x","")</f>
        <v/>
      </c>
      <c r="AA3005" s="702"/>
      <c r="AB3005" s="703"/>
    </row>
    <row r="3006" spans="1:30" s="704" customFormat="1" ht="15.75" customHeight="1">
      <c r="A3006" s="517" t="str">
        <f>IF(B3006&lt;&gt;"",IF(AND(B3006&gt;=_TM1,B3006&lt;=_TM2,OR(TH!L3006="1111",TH!M3006="1111")),TH!D3006,""),"")</f>
        <v/>
      </c>
      <c r="B3006" s="698">
        <f t="shared" si="263"/>
        <v>4</v>
      </c>
      <c r="C3006" s="699">
        <f t="shared" si="261"/>
        <v>42840</v>
      </c>
      <c r="D3006" s="699" t="s">
        <v>997</v>
      </c>
      <c r="E3006" s="699">
        <v>42840</v>
      </c>
      <c r="F3006" s="700" t="s">
        <v>413</v>
      </c>
      <c r="G3006" s="701" t="s">
        <v>1109</v>
      </c>
      <c r="H3006" s="694" t="s">
        <v>801</v>
      </c>
      <c r="I3006" s="695">
        <v>27</v>
      </c>
      <c r="J3006" s="695">
        <v>30031</v>
      </c>
      <c r="K3006" s="696">
        <f t="shared" si="262"/>
        <v>810837</v>
      </c>
      <c r="L3006" s="697" t="s">
        <v>158</v>
      </c>
      <c r="M3006" s="697" t="s">
        <v>292</v>
      </c>
      <c r="N3006" s="525" t="str">
        <f>IF(AND('331-CT'!$E$7=TH!H3006,OR(L3006="331",M3006="331")),"331",IF(AND(OR(L3006="131",M3006="131"),H3006='131-CT'!$E$7),"131",""))</f>
        <v/>
      </c>
      <c r="O3006" s="525" t="str">
        <f>IF(AND($B3006&gt;='111'!$N$11,$B3006&lt;='111'!$O$11,OR($L3006=$O$7,$M3006=$O$7)),"x","")</f>
        <v/>
      </c>
      <c r="P3006" s="525" t="str">
        <f>IF(AND($L3006=$O$7,$B3006&lt;'111'!$N$11),"x","")</f>
        <v/>
      </c>
      <c r="Q3006" s="525" t="str">
        <f>IF(AND($M3006=$O$7,$B3006&lt;'111'!$N$11),"x","")</f>
        <v/>
      </c>
      <c r="R3006" s="525" t="str">
        <f>IF(ISERROR(FIND('112'!$M$9,G3006,1)),"",IF((AND(FIND('112'!$M$9,G3006,1)&gt;=1,$B3006&gt;='112'!$N$8,$B3006&lt;='112'!$O$8,OR($L3006='112'!$I$6,$M3006='112'!$I$6))),"x",""))</f>
        <v/>
      </c>
      <c r="S3006" s="525" t="str">
        <f>IF(ISERROR(FIND('112'!$M$9,G3006,1)),"",IF((AND(LEFT(G3006,2)=LEFT('112'!$M$9,2),B3006&lt;'112'!$N$8,$L3006='112'!$I$6)),"x",""))</f>
        <v/>
      </c>
      <c r="T3006" s="525" t="str">
        <f>IF(ISERROR(FIND('112'!$M$9,G3006,1)),"",IF((AND(RIGHT(G3006,2)=RIGHT('112'!$M$9,2),B3006&lt;'112'!$N$8,$M3006='112'!$I$6)),"x",""))</f>
        <v/>
      </c>
      <c r="U3006" s="525" t="str">
        <f>IF(AND(B3006&gt;='IN-NX'!$P$3,B3006&lt;='IN-NX'!$Q$3,'IN-NX'!$D$7=D3006,OR(LEFT(L3006,2)="15",AND(LEFT(M3006,2)&lt;&gt;"15",LEFT(M3006,2)&lt;&gt;"33"))),"x","")</f>
        <v/>
      </c>
      <c r="V3006" s="525" t="str">
        <f>IF(AND(OR(LEFT(TH!L3006,2)="15",LEFT(TH!M3006,2)="15"),'152-CT'!$J$8=TH!F3006),"x","")</f>
        <v/>
      </c>
      <c r="W3006" s="525" t="str">
        <f>IF(AND(OR(LEFT(TH!L3006,2)="15",LEFT(TH!M3006,2)="15"),TK!$E$7=TH!F3006),"x","")</f>
        <v/>
      </c>
      <c r="X3006" s="525" t="str">
        <f>IF(AND('341-CT'!$E$9=H3006,OR(LEFT(L3006,3)=$X$7,LEFT(M3006,3)=$X$7)),"x","")</f>
        <v/>
      </c>
      <c r="Y3006" s="525" t="str">
        <f>IF(OR(TH!L3006=TH!$Y$7,M3006=TH!$Y$7),"x","")</f>
        <v/>
      </c>
      <c r="Z3006" s="525" t="str">
        <f>IF(AND(B3006&lt;=NKC!$N$8,B3006&gt;=NKC!$M$8),"x","")</f>
        <v/>
      </c>
      <c r="AA3006" s="702"/>
      <c r="AB3006" s="703"/>
    </row>
    <row r="3007" spans="1:30" s="704" customFormat="1" ht="15.75" customHeight="1">
      <c r="A3007" s="517" t="str">
        <f>IF(B3007&lt;&gt;"",IF(AND(B3007&gt;=_TM1,B3007&lt;=_TM2,OR(TH!L3007="1111",TH!M3007="1111")),TH!D3007,""),"")</f>
        <v/>
      </c>
      <c r="B3007" s="698">
        <f t="shared" si="263"/>
        <v>4</v>
      </c>
      <c r="C3007" s="699">
        <f t="shared" si="261"/>
        <v>42849</v>
      </c>
      <c r="D3007" s="699" t="s">
        <v>997</v>
      </c>
      <c r="E3007" s="699">
        <v>42849</v>
      </c>
      <c r="F3007" s="706" t="s">
        <v>381</v>
      </c>
      <c r="G3007" s="701" t="s">
        <v>1113</v>
      </c>
      <c r="H3007" s="694" t="s">
        <v>801</v>
      </c>
      <c r="I3007" s="695">
        <v>167</v>
      </c>
      <c r="J3007" s="695">
        <v>12632</v>
      </c>
      <c r="K3007" s="696">
        <f t="shared" si="262"/>
        <v>2109544</v>
      </c>
      <c r="L3007" s="697" t="s">
        <v>158</v>
      </c>
      <c r="M3007" s="697" t="s">
        <v>292</v>
      </c>
      <c r="N3007" s="525" t="str">
        <f>IF(AND('331-CT'!$E$7=TH!H3007,OR(L3007="331",M3007="331")),"331",IF(AND(OR(L3007="131",M3007="131"),H3007='131-CT'!$E$7),"131",""))</f>
        <v/>
      </c>
      <c r="O3007" s="525" t="str">
        <f>IF(AND($B3007&gt;='111'!$N$11,$B3007&lt;='111'!$O$11,OR($L3007=$O$7,$M3007=$O$7)),"x","")</f>
        <v/>
      </c>
      <c r="P3007" s="525" t="str">
        <f>IF(AND($L3007=$O$7,$B3007&lt;'111'!$N$11),"x","")</f>
        <v/>
      </c>
      <c r="Q3007" s="525" t="str">
        <f>IF(AND($M3007=$O$7,$B3007&lt;'111'!$N$11),"x","")</f>
        <v/>
      </c>
      <c r="R3007" s="525" t="str">
        <f>IF(ISERROR(FIND('112'!$M$9,G3007,1)),"",IF((AND(FIND('112'!$M$9,G3007,1)&gt;=1,$B3007&gt;='112'!$N$8,$B3007&lt;='112'!$O$8,OR($L3007='112'!$I$6,$M3007='112'!$I$6))),"x",""))</f>
        <v/>
      </c>
      <c r="S3007" s="525" t="str">
        <f>IF(ISERROR(FIND('112'!$M$9,G3007,1)),"",IF((AND(LEFT(G3007,2)=LEFT('112'!$M$9,2),B3007&lt;'112'!$N$8,$L3007='112'!$I$6)),"x",""))</f>
        <v/>
      </c>
      <c r="T3007" s="525" t="str">
        <f>IF(ISERROR(FIND('112'!$M$9,G3007,1)),"",IF((AND(RIGHT(G3007,2)=RIGHT('112'!$M$9,2),B3007&lt;'112'!$N$8,$M3007='112'!$I$6)),"x",""))</f>
        <v/>
      </c>
      <c r="U3007" s="525" t="str">
        <f>IF(AND(B3007&gt;='IN-NX'!$P$3,B3007&lt;='IN-NX'!$Q$3,'IN-NX'!$D$7=D3007,OR(LEFT(L3007,2)="15",AND(LEFT(M3007,2)&lt;&gt;"15",LEFT(M3007,2)&lt;&gt;"33"))),"x","")</f>
        <v/>
      </c>
      <c r="V3007" s="525" t="str">
        <f>IF(AND(OR(LEFT(TH!L3007,2)="15",LEFT(TH!M3007,2)="15"),'152-CT'!$J$8=TH!F3007),"x","")</f>
        <v/>
      </c>
      <c r="W3007" s="525" t="str">
        <f>IF(AND(OR(LEFT(TH!L3007,2)="15",LEFT(TH!M3007,2)="15"),TK!$E$7=TH!F3007),"x","")</f>
        <v/>
      </c>
      <c r="X3007" s="525" t="str">
        <f>IF(AND('341-CT'!$E$9=H3007,OR(LEFT(L3007,3)=$X$7,LEFT(M3007,3)=$X$7)),"x","")</f>
        <v/>
      </c>
      <c r="Y3007" s="525" t="str">
        <f>IF(OR(TH!L3007=TH!$Y$7,M3007=TH!$Y$7),"x","")</f>
        <v/>
      </c>
      <c r="Z3007" s="525" t="str">
        <f>IF(AND(B3007&lt;=NKC!$N$8,B3007&gt;=NKC!$M$8),"x","")</f>
        <v/>
      </c>
      <c r="AA3007" s="702"/>
      <c r="AB3007" s="703"/>
      <c r="AC3007" s="703"/>
      <c r="AD3007" s="703"/>
    </row>
    <row r="3008" spans="1:30" s="704" customFormat="1" ht="15.75" customHeight="1">
      <c r="A3008" s="517" t="str">
        <f>IF(B3008&lt;&gt;"",IF(AND(B3008&gt;=_TM1,B3008&lt;=_TM2,OR(TH!L3008="1111",TH!M3008="1111")),TH!D3008,""),"")</f>
        <v/>
      </c>
      <c r="B3008" s="698">
        <f t="shared" si="263"/>
        <v>4</v>
      </c>
      <c r="C3008" s="699">
        <f t="shared" si="261"/>
        <v>42849</v>
      </c>
      <c r="D3008" s="699" t="s">
        <v>997</v>
      </c>
      <c r="E3008" s="699">
        <v>42849</v>
      </c>
      <c r="F3008" s="700" t="s">
        <v>351</v>
      </c>
      <c r="G3008" s="701" t="s">
        <v>1113</v>
      </c>
      <c r="H3008" s="694" t="s">
        <v>801</v>
      </c>
      <c r="I3008" s="695">
        <v>40</v>
      </c>
      <c r="J3008" s="695">
        <v>21375</v>
      </c>
      <c r="K3008" s="696">
        <f t="shared" si="262"/>
        <v>855000</v>
      </c>
      <c r="L3008" s="697" t="s">
        <v>158</v>
      </c>
      <c r="M3008" s="697" t="s">
        <v>292</v>
      </c>
      <c r="N3008" s="525" t="str">
        <f>IF(AND('331-CT'!$E$7=TH!H3008,OR(L3008="331",M3008="331")),"331",IF(AND(OR(L3008="131",M3008="131"),H3008='131-CT'!$E$7),"131",""))</f>
        <v/>
      </c>
      <c r="O3008" s="525" t="str">
        <f>IF(AND($B3008&gt;='111'!$N$11,$B3008&lt;='111'!$O$11,OR($L3008=$O$7,$M3008=$O$7)),"x","")</f>
        <v/>
      </c>
      <c r="P3008" s="525" t="str">
        <f>IF(AND($L3008=$O$7,$B3008&lt;'111'!$N$11),"x","")</f>
        <v/>
      </c>
      <c r="Q3008" s="525" t="str">
        <f>IF(AND($M3008=$O$7,$B3008&lt;'111'!$N$11),"x","")</f>
        <v/>
      </c>
      <c r="R3008" s="525" t="str">
        <f>IF(ISERROR(FIND('112'!$M$9,G3008,1)),"",IF((AND(FIND('112'!$M$9,G3008,1)&gt;=1,$B3008&gt;='112'!$N$8,$B3008&lt;='112'!$O$8,OR($L3008='112'!$I$6,$M3008='112'!$I$6))),"x",""))</f>
        <v/>
      </c>
      <c r="S3008" s="525" t="str">
        <f>IF(ISERROR(FIND('112'!$M$9,G3008,1)),"",IF((AND(LEFT(G3008,2)=LEFT('112'!$M$9,2),B3008&lt;'112'!$N$8,$L3008='112'!$I$6)),"x",""))</f>
        <v/>
      </c>
      <c r="T3008" s="525" t="str">
        <f>IF(ISERROR(FIND('112'!$M$9,G3008,1)),"",IF((AND(RIGHT(G3008,2)=RIGHT('112'!$M$9,2),B3008&lt;'112'!$N$8,$M3008='112'!$I$6)),"x",""))</f>
        <v/>
      </c>
      <c r="U3008" s="525" t="str">
        <f>IF(AND(B3008&gt;='IN-NX'!$P$3,B3008&lt;='IN-NX'!$Q$3,'IN-NX'!$D$7=D3008,OR(LEFT(L3008,2)="15",AND(LEFT(M3008,2)&lt;&gt;"15",LEFT(M3008,2)&lt;&gt;"33"))),"x","")</f>
        <v/>
      </c>
      <c r="V3008" s="525" t="str">
        <f>IF(AND(OR(LEFT(TH!L3008,2)="15",LEFT(TH!M3008,2)="15"),'152-CT'!$J$8=TH!F3008),"x","")</f>
        <v/>
      </c>
      <c r="W3008" s="525" t="str">
        <f>IF(AND(OR(LEFT(TH!L3008,2)="15",LEFT(TH!M3008,2)="15"),TK!$E$7=TH!F3008),"x","")</f>
        <v/>
      </c>
      <c r="X3008" s="525" t="str">
        <f>IF(AND('341-CT'!$E$9=H3008,OR(LEFT(L3008,3)=$X$7,LEFT(M3008,3)=$X$7)),"x","")</f>
        <v/>
      </c>
      <c r="Y3008" s="525" t="str">
        <f>IF(OR(TH!L3008=TH!$Y$7,M3008=TH!$Y$7),"x","")</f>
        <v/>
      </c>
      <c r="Z3008" s="525" t="str">
        <f>IF(AND(B3008&lt;=NKC!$N$8,B3008&gt;=NKC!$M$8),"x","")</f>
        <v/>
      </c>
      <c r="AA3008" s="702"/>
      <c r="AB3008" s="703"/>
    </row>
    <row r="3009" spans="1:31" s="689" customFormat="1" ht="15.75" customHeight="1">
      <c r="A3009" s="517" t="str">
        <f>IF(B3009&lt;&gt;"",IF(AND(B3009&gt;=_TM1,B3009&lt;=_TM2,OR(TH!L3009="1111",TH!M3009="1111")),TH!D3009,""),"")</f>
        <v/>
      </c>
      <c r="B3009" s="685">
        <f t="shared" si="263"/>
        <v>4</v>
      </c>
      <c r="C3009" s="671">
        <f t="shared" si="261"/>
        <v>42829</v>
      </c>
      <c r="D3009" s="718" t="s">
        <v>376</v>
      </c>
      <c r="E3009" s="671">
        <v>42829</v>
      </c>
      <c r="F3009" s="719" t="s">
        <v>1005</v>
      </c>
      <c r="G3009" s="686" t="s">
        <v>1094</v>
      </c>
      <c r="H3009" s="675" t="s">
        <v>1184</v>
      </c>
      <c r="I3009" s="676">
        <v>520</v>
      </c>
      <c r="J3009" s="676">
        <v>7320.8865384615383</v>
      </c>
      <c r="K3009" s="677">
        <f t="shared" ref="K3009:K3059" si="264">ROUND(I3009*J3009,0)</f>
        <v>3806861</v>
      </c>
      <c r="L3009" s="678" t="s">
        <v>292</v>
      </c>
      <c r="M3009" s="678" t="s">
        <v>158</v>
      </c>
      <c r="N3009" s="525" t="str">
        <f>IF(AND('331-CT'!$E$7=TH!H3009,OR(L3009="331",M3009="331")),"331",IF(AND(OR(L3009="131",M3009="131"),H3009='131-CT'!$E$7),"131",""))</f>
        <v/>
      </c>
      <c r="O3009" s="525" t="str">
        <f>IF(AND($B3009&gt;='111'!$N$11,$B3009&lt;='111'!$O$11,OR($L3009=$O$7,$M3009=$O$7)),"x","")</f>
        <v/>
      </c>
      <c r="P3009" s="525" t="str">
        <f>IF(AND($L3009=$O$7,$B3009&lt;'111'!$N$11),"x","")</f>
        <v/>
      </c>
      <c r="Q3009" s="525" t="str">
        <f>IF(AND($M3009=$O$7,$B3009&lt;'111'!$N$11),"x","")</f>
        <v/>
      </c>
      <c r="R3009" s="525" t="str">
        <f>IF(ISERROR(FIND('112'!$M$9,G3009,1)),"",IF((AND(FIND('112'!$M$9,G3009,1)&gt;=1,$B3009&gt;='112'!$N$8,$B3009&lt;='112'!$O$8,OR($L3009='112'!$I$6,$M3009='112'!$I$6))),"x",""))</f>
        <v/>
      </c>
      <c r="S3009" s="525" t="str">
        <f>IF(ISERROR(FIND('112'!$M$9,G3009,1)),"",IF((AND(LEFT(G3009,2)=LEFT('112'!$M$9,2),B3009&lt;'112'!$N$8,$L3009='112'!$I$6)),"x",""))</f>
        <v/>
      </c>
      <c r="T3009" s="525" t="str">
        <f>IF(ISERROR(FIND('112'!$M$9,G3009,1)),"",IF((AND(RIGHT(G3009,2)=RIGHT('112'!$M$9,2),B3009&lt;'112'!$N$8,$M3009='112'!$I$6)),"x",""))</f>
        <v/>
      </c>
      <c r="U3009" s="525" t="str">
        <f>IF(AND(B3009&gt;='IN-NX'!$P$3,B3009&lt;='IN-NX'!$Q$3,'IN-NX'!$D$7=D3009,OR(LEFT(L3009,2)="15",AND(LEFT(M3009,2)&lt;&gt;"15",LEFT(M3009,2)&lt;&gt;"33"))),"x","")</f>
        <v/>
      </c>
      <c r="V3009" s="525" t="str">
        <f>IF(AND(OR(LEFT(TH!L3009,2)="15",LEFT(TH!M3009,2)="15"),'152-CT'!$J$8=TH!F3009),"x","")</f>
        <v/>
      </c>
      <c r="W3009" s="525" t="str">
        <f>IF(AND(OR(LEFT(TH!L3009,2)="15",LEFT(TH!M3009,2)="15"),TK!$E$7=TH!F3009),"x","")</f>
        <v/>
      </c>
      <c r="X3009" s="525" t="str">
        <f>IF(AND('341-CT'!$E$9=H3009,OR(LEFT(L3009,3)=$X$7,LEFT(M3009,3)=$X$7)),"x","")</f>
        <v/>
      </c>
      <c r="Y3009" s="525" t="str">
        <f>IF(OR(TH!L3009=TH!$Y$7,M3009=TH!$Y$7),"x","")</f>
        <v/>
      </c>
      <c r="Z3009" s="525" t="str">
        <f>IF(AND(B3009&lt;=NKC!$N$8,B3009&gt;=NKC!$M$8),"x","")</f>
        <v/>
      </c>
      <c r="AA3009" s="687"/>
      <c r="AB3009" s="688"/>
      <c r="AC3009" s="503"/>
      <c r="AD3009" s="688"/>
    </row>
    <row r="3010" spans="1:31" s="688" customFormat="1" ht="15.75" customHeight="1">
      <c r="A3010" s="517" t="str">
        <f>IF(B3010&lt;&gt;"",IF(AND(B3010&gt;=_TM1,B3010&lt;=_TM2,OR(TH!L3010="1111",TH!M3010="1111")),TH!D3010,""),"")</f>
        <v/>
      </c>
      <c r="B3010" s="685">
        <f t="shared" si="263"/>
        <v>4</v>
      </c>
      <c r="C3010" s="671">
        <f t="shared" si="261"/>
        <v>42829</v>
      </c>
      <c r="D3010" s="718" t="s">
        <v>376</v>
      </c>
      <c r="E3010" s="671">
        <v>42829</v>
      </c>
      <c r="F3010" s="673" t="s">
        <v>1006</v>
      </c>
      <c r="G3010" s="686" t="s">
        <v>1094</v>
      </c>
      <c r="H3010" s="675" t="s">
        <v>1184</v>
      </c>
      <c r="I3010" s="676">
        <v>255</v>
      </c>
      <c r="J3010" s="676">
        <v>17490.337254901962</v>
      </c>
      <c r="K3010" s="677">
        <f t="shared" si="264"/>
        <v>4460036</v>
      </c>
      <c r="L3010" s="678" t="s">
        <v>292</v>
      </c>
      <c r="M3010" s="678" t="s">
        <v>158</v>
      </c>
      <c r="N3010" s="525" t="str">
        <f>IF(AND('331-CT'!$E$7=TH!H3010,OR(L3010="331",M3010="331")),"331",IF(AND(OR(L3010="131",M3010="131"),H3010='131-CT'!$E$7),"131",""))</f>
        <v/>
      </c>
      <c r="O3010" s="525" t="str">
        <f>IF(AND($B3010&gt;='111'!$N$11,$B3010&lt;='111'!$O$11,OR($L3010=$O$7,$M3010=$O$7)),"x","")</f>
        <v/>
      </c>
      <c r="P3010" s="525" t="str">
        <f>IF(AND($L3010=$O$7,$B3010&lt;'111'!$N$11),"x","")</f>
        <v/>
      </c>
      <c r="Q3010" s="525" t="str">
        <f>IF(AND($M3010=$O$7,$B3010&lt;'111'!$N$11),"x","")</f>
        <v/>
      </c>
      <c r="R3010" s="525" t="str">
        <f>IF(ISERROR(FIND('112'!$M$9,G3010,1)),"",IF((AND(FIND('112'!$M$9,G3010,1)&gt;=1,$B3010&gt;='112'!$N$8,$B3010&lt;='112'!$O$8,OR($L3010='112'!$I$6,$M3010='112'!$I$6))),"x",""))</f>
        <v/>
      </c>
      <c r="S3010" s="525" t="str">
        <f>IF(ISERROR(FIND('112'!$M$9,G3010,1)),"",IF((AND(LEFT(G3010,2)=LEFT('112'!$M$9,2),B3010&lt;'112'!$N$8,$L3010='112'!$I$6)),"x",""))</f>
        <v/>
      </c>
      <c r="T3010" s="525" t="str">
        <f>IF(ISERROR(FIND('112'!$M$9,G3010,1)),"",IF((AND(RIGHT(G3010,2)=RIGHT('112'!$M$9,2),B3010&lt;'112'!$N$8,$M3010='112'!$I$6)),"x",""))</f>
        <v/>
      </c>
      <c r="U3010" s="525" t="str">
        <f>IF(AND(B3010&gt;='IN-NX'!$P$3,B3010&lt;='IN-NX'!$Q$3,'IN-NX'!$D$7=D3010,OR(LEFT(L3010,2)="15",AND(LEFT(M3010,2)&lt;&gt;"15",LEFT(M3010,2)&lt;&gt;"33"))),"x","")</f>
        <v/>
      </c>
      <c r="V3010" s="525" t="str">
        <f>IF(AND(OR(LEFT(TH!L3010,2)="15",LEFT(TH!M3010,2)="15"),'152-CT'!$J$8=TH!F3010),"x","")</f>
        <v/>
      </c>
      <c r="W3010" s="525" t="str">
        <f>IF(AND(OR(LEFT(TH!L3010,2)="15",LEFT(TH!M3010,2)="15"),TK!$E$7=TH!F3010),"x","")</f>
        <v/>
      </c>
      <c r="X3010" s="525" t="str">
        <f>IF(AND('341-CT'!$E$9=H3010,OR(LEFT(L3010,3)=$X$7,LEFT(M3010,3)=$X$7)),"x","")</f>
        <v/>
      </c>
      <c r="Y3010" s="525" t="str">
        <f>IF(OR(TH!L3010=TH!$Y$7,M3010=TH!$Y$7),"x","")</f>
        <v/>
      </c>
      <c r="Z3010" s="525" t="str">
        <f>IF(AND(B3010&lt;=NKC!$N$8,B3010&gt;=NKC!$M$8),"x","")</f>
        <v/>
      </c>
      <c r="AA3010" s="687"/>
      <c r="AC3010" s="503"/>
      <c r="AD3010" s="689"/>
      <c r="AE3010" s="689"/>
    </row>
    <row r="3011" spans="1:31" s="688" customFormat="1" ht="15.75" customHeight="1">
      <c r="A3011" s="517" t="str">
        <f>IF(B3011&lt;&gt;"",IF(AND(B3011&gt;=_TM1,B3011&lt;=_TM2,OR(TH!L3011="1111",TH!M3011="1111")),TH!D3011,""),"")</f>
        <v/>
      </c>
      <c r="B3011" s="685">
        <f t="shared" si="263"/>
        <v>4</v>
      </c>
      <c r="C3011" s="671">
        <f t="shared" si="261"/>
        <v>42829</v>
      </c>
      <c r="D3011" s="718" t="s">
        <v>376</v>
      </c>
      <c r="E3011" s="671">
        <v>42829</v>
      </c>
      <c r="F3011" s="673" t="s">
        <v>1007</v>
      </c>
      <c r="G3011" s="686" t="s">
        <v>1094</v>
      </c>
      <c r="H3011" s="675" t="s">
        <v>1184</v>
      </c>
      <c r="I3011" s="676">
        <v>600</v>
      </c>
      <c r="J3011" s="676">
        <v>8336.4249999999993</v>
      </c>
      <c r="K3011" s="677">
        <f t="shared" si="264"/>
        <v>5001855</v>
      </c>
      <c r="L3011" s="678" t="s">
        <v>292</v>
      </c>
      <c r="M3011" s="678" t="s">
        <v>158</v>
      </c>
      <c r="N3011" s="525" t="str">
        <f>IF(AND('331-CT'!$E$7=TH!H3011,OR(L3011="331",M3011="331")),"331",IF(AND(OR(L3011="131",M3011="131"),H3011='131-CT'!$E$7),"131",""))</f>
        <v/>
      </c>
      <c r="O3011" s="525" t="str">
        <f>IF(AND($B3011&gt;='111'!$N$11,$B3011&lt;='111'!$O$11,OR($L3011=$O$7,$M3011=$O$7)),"x","")</f>
        <v/>
      </c>
      <c r="P3011" s="525" t="str">
        <f>IF(AND($L3011=$O$7,$B3011&lt;'111'!$N$11),"x","")</f>
        <v/>
      </c>
      <c r="Q3011" s="525" t="str">
        <f>IF(AND($M3011=$O$7,$B3011&lt;'111'!$N$11),"x","")</f>
        <v/>
      </c>
      <c r="R3011" s="525" t="str">
        <f>IF(ISERROR(FIND('112'!$M$9,G3011,1)),"",IF((AND(FIND('112'!$M$9,G3011,1)&gt;=1,$B3011&gt;='112'!$N$8,$B3011&lt;='112'!$O$8,OR($L3011='112'!$I$6,$M3011='112'!$I$6))),"x",""))</f>
        <v/>
      </c>
      <c r="S3011" s="525" t="str">
        <f>IF(ISERROR(FIND('112'!$M$9,G3011,1)),"",IF((AND(LEFT(G3011,2)=LEFT('112'!$M$9,2),B3011&lt;'112'!$N$8,$L3011='112'!$I$6)),"x",""))</f>
        <v/>
      </c>
      <c r="T3011" s="525" t="str">
        <f>IF(ISERROR(FIND('112'!$M$9,G3011,1)),"",IF((AND(RIGHT(G3011,2)=RIGHT('112'!$M$9,2),B3011&lt;'112'!$N$8,$M3011='112'!$I$6)),"x",""))</f>
        <v/>
      </c>
      <c r="U3011" s="525" t="str">
        <f>IF(AND(B3011&gt;='IN-NX'!$P$3,B3011&lt;='IN-NX'!$Q$3,'IN-NX'!$D$7=D3011,OR(LEFT(L3011,2)="15",AND(LEFT(M3011,2)&lt;&gt;"15",LEFT(M3011,2)&lt;&gt;"33"))),"x","")</f>
        <v/>
      </c>
      <c r="V3011" s="525" t="str">
        <f>IF(AND(OR(LEFT(TH!L3011,2)="15",LEFT(TH!M3011,2)="15"),'152-CT'!$J$8=TH!F3011),"x","")</f>
        <v/>
      </c>
      <c r="W3011" s="525" t="str">
        <f>IF(AND(OR(LEFT(TH!L3011,2)="15",LEFT(TH!M3011,2)="15"),TK!$E$7=TH!F3011),"x","")</f>
        <v/>
      </c>
      <c r="X3011" s="525" t="str">
        <f>IF(AND('341-CT'!$E$9=H3011,OR(LEFT(L3011,3)=$X$7,LEFT(M3011,3)=$X$7)),"x","")</f>
        <v/>
      </c>
      <c r="Y3011" s="525" t="str">
        <f>IF(OR(TH!L3011=TH!$Y$7,M3011=TH!$Y$7),"x","")</f>
        <v/>
      </c>
      <c r="Z3011" s="525" t="str">
        <f>IF(AND(B3011&lt;=NKC!$N$8,B3011&gt;=NKC!$M$8),"x","")</f>
        <v/>
      </c>
      <c r="AA3011" s="687"/>
      <c r="AC3011" s="503"/>
      <c r="AE3011" s="689"/>
    </row>
    <row r="3012" spans="1:31" s="688" customFormat="1" ht="15.75" customHeight="1">
      <c r="A3012" s="517" t="str">
        <f>IF(B3012&lt;&gt;"",IF(AND(B3012&gt;=_TM1,B3012&lt;=_TM2,OR(TH!L3012="1111",TH!M3012="1111")),TH!D3012,""),"")</f>
        <v/>
      </c>
      <c r="B3012" s="685">
        <f t="shared" si="263"/>
        <v>4</v>
      </c>
      <c r="C3012" s="671">
        <f t="shared" si="261"/>
        <v>42832</v>
      </c>
      <c r="D3012" s="718" t="s">
        <v>376</v>
      </c>
      <c r="E3012" s="671">
        <v>42832</v>
      </c>
      <c r="F3012" s="673" t="s">
        <v>1008</v>
      </c>
      <c r="G3012" s="686" t="s">
        <v>1096</v>
      </c>
      <c r="H3012" s="675" t="s">
        <v>1184</v>
      </c>
      <c r="I3012" s="676">
        <v>4800</v>
      </c>
      <c r="J3012" s="676">
        <v>9459.175208333334</v>
      </c>
      <c r="K3012" s="677">
        <f t="shared" si="264"/>
        <v>45404041</v>
      </c>
      <c r="L3012" s="678" t="s">
        <v>292</v>
      </c>
      <c r="M3012" s="678" t="s">
        <v>158</v>
      </c>
      <c r="N3012" s="525" t="str">
        <f>IF(AND('331-CT'!$E$7=TH!H3012,OR(L3012="331",M3012="331")),"331",IF(AND(OR(L3012="131",M3012="131"),H3012='131-CT'!$E$7),"131",""))</f>
        <v/>
      </c>
      <c r="O3012" s="525" t="str">
        <f>IF(AND($B3012&gt;='111'!$N$11,$B3012&lt;='111'!$O$11,OR($L3012=$O$7,$M3012=$O$7)),"x","")</f>
        <v/>
      </c>
      <c r="P3012" s="525" t="str">
        <f>IF(AND($L3012=$O$7,$B3012&lt;'111'!$N$11),"x","")</f>
        <v/>
      </c>
      <c r="Q3012" s="525" t="str">
        <f>IF(AND($M3012=$O$7,$B3012&lt;'111'!$N$11),"x","")</f>
        <v/>
      </c>
      <c r="R3012" s="525" t="str">
        <f>IF(ISERROR(FIND('112'!$M$9,G3012,1)),"",IF((AND(FIND('112'!$M$9,G3012,1)&gt;=1,$B3012&gt;='112'!$N$8,$B3012&lt;='112'!$O$8,OR($L3012='112'!$I$6,$M3012='112'!$I$6))),"x",""))</f>
        <v/>
      </c>
      <c r="S3012" s="525" t="str">
        <f>IF(ISERROR(FIND('112'!$M$9,G3012,1)),"",IF((AND(LEFT(G3012,2)=LEFT('112'!$M$9,2),B3012&lt;'112'!$N$8,$L3012='112'!$I$6)),"x",""))</f>
        <v/>
      </c>
      <c r="T3012" s="525" t="str">
        <f>IF(ISERROR(FIND('112'!$M$9,G3012,1)),"",IF((AND(RIGHT(G3012,2)=RIGHT('112'!$M$9,2),B3012&lt;'112'!$N$8,$M3012='112'!$I$6)),"x",""))</f>
        <v/>
      </c>
      <c r="U3012" s="525" t="str">
        <f>IF(AND(B3012&gt;='IN-NX'!$P$3,B3012&lt;='IN-NX'!$Q$3,'IN-NX'!$D$7=D3012,OR(LEFT(L3012,2)="15",AND(LEFT(M3012,2)&lt;&gt;"15",LEFT(M3012,2)&lt;&gt;"33"))),"x","")</f>
        <v/>
      </c>
      <c r="V3012" s="525" t="str">
        <f>IF(AND(OR(LEFT(TH!L3012,2)="15",LEFT(TH!M3012,2)="15"),'152-CT'!$J$8=TH!F3012),"x","")</f>
        <v/>
      </c>
      <c r="W3012" s="525" t="str">
        <f>IF(AND(OR(LEFT(TH!L3012,2)="15",LEFT(TH!M3012,2)="15"),TK!$E$7=TH!F3012),"x","")</f>
        <v/>
      </c>
      <c r="X3012" s="525" t="str">
        <f>IF(AND('341-CT'!$E$9=H3012,OR(LEFT(L3012,3)=$X$7,LEFT(M3012,3)=$X$7)),"x","")</f>
        <v/>
      </c>
      <c r="Y3012" s="525" t="str">
        <f>IF(OR(TH!L3012=TH!$Y$7,M3012=TH!$Y$7),"x","")</f>
        <v/>
      </c>
      <c r="Z3012" s="525" t="str">
        <f>IF(AND(B3012&lt;=NKC!$N$8,B3012&gt;=NKC!$M$8),"x","")</f>
        <v/>
      </c>
      <c r="AA3012" s="687"/>
      <c r="AC3012" s="503"/>
      <c r="AD3012" s="689"/>
      <c r="AE3012" s="689"/>
    </row>
    <row r="3013" spans="1:31" s="688" customFormat="1" ht="15.75" customHeight="1">
      <c r="A3013" s="517" t="str">
        <f>IF(B3013&lt;&gt;"",IF(AND(B3013&gt;=_TM1,B3013&lt;=_TM2,OR(TH!L3013="1111",TH!M3013="1111")),TH!D3013,""),"")</f>
        <v/>
      </c>
      <c r="B3013" s="685">
        <f t="shared" si="263"/>
        <v>4</v>
      </c>
      <c r="C3013" s="671">
        <f t="shared" si="261"/>
        <v>42832</v>
      </c>
      <c r="D3013" s="718" t="s">
        <v>376</v>
      </c>
      <c r="E3013" s="671">
        <v>42832</v>
      </c>
      <c r="F3013" s="673" t="s">
        <v>500</v>
      </c>
      <c r="G3013" s="686" t="s">
        <v>1097</v>
      </c>
      <c r="H3013" s="675" t="s">
        <v>1184</v>
      </c>
      <c r="I3013" s="676">
        <v>300</v>
      </c>
      <c r="J3013" s="676">
        <v>8310.9266666666663</v>
      </c>
      <c r="K3013" s="677">
        <f t="shared" si="264"/>
        <v>2493278</v>
      </c>
      <c r="L3013" s="678" t="s">
        <v>292</v>
      </c>
      <c r="M3013" s="678" t="s">
        <v>158</v>
      </c>
      <c r="N3013" s="525" t="str">
        <f>IF(AND('331-CT'!$E$7=TH!H3013,OR(L3013="331",M3013="331")),"331",IF(AND(OR(L3013="131",M3013="131"),H3013='131-CT'!$E$7),"131",""))</f>
        <v/>
      </c>
      <c r="O3013" s="525" t="str">
        <f>IF(AND($B3013&gt;='111'!$N$11,$B3013&lt;='111'!$O$11,OR($L3013=$O$7,$M3013=$O$7)),"x","")</f>
        <v/>
      </c>
      <c r="P3013" s="525" t="str">
        <f>IF(AND($L3013=$O$7,$B3013&lt;'111'!$N$11),"x","")</f>
        <v/>
      </c>
      <c r="Q3013" s="525" t="str">
        <f>IF(AND($M3013=$O$7,$B3013&lt;'111'!$N$11),"x","")</f>
        <v/>
      </c>
      <c r="R3013" s="525" t="str">
        <f>IF(ISERROR(FIND('112'!$M$9,G3013,1)),"",IF((AND(FIND('112'!$M$9,G3013,1)&gt;=1,$B3013&gt;='112'!$N$8,$B3013&lt;='112'!$O$8,OR($L3013='112'!$I$6,$M3013='112'!$I$6))),"x",""))</f>
        <v/>
      </c>
      <c r="S3013" s="525" t="str">
        <f>IF(ISERROR(FIND('112'!$M$9,G3013,1)),"",IF((AND(LEFT(G3013,2)=LEFT('112'!$M$9,2),B3013&lt;'112'!$N$8,$L3013='112'!$I$6)),"x",""))</f>
        <v/>
      </c>
      <c r="T3013" s="525" t="str">
        <f>IF(ISERROR(FIND('112'!$M$9,G3013,1)),"",IF((AND(RIGHT(G3013,2)=RIGHT('112'!$M$9,2),B3013&lt;'112'!$N$8,$M3013='112'!$I$6)),"x",""))</f>
        <v/>
      </c>
      <c r="U3013" s="525" t="str">
        <f>IF(AND(B3013&gt;='IN-NX'!$P$3,B3013&lt;='IN-NX'!$Q$3,'IN-NX'!$D$7=D3013,OR(LEFT(L3013,2)="15",AND(LEFT(M3013,2)&lt;&gt;"15",LEFT(M3013,2)&lt;&gt;"33"))),"x","")</f>
        <v/>
      </c>
      <c r="V3013" s="525" t="str">
        <f>IF(AND(OR(LEFT(TH!L3013,2)="15",LEFT(TH!M3013,2)="15"),'152-CT'!$J$8=TH!F3013),"x","")</f>
        <v/>
      </c>
      <c r="W3013" s="525" t="str">
        <f>IF(AND(OR(LEFT(TH!L3013,2)="15",LEFT(TH!M3013,2)="15"),TK!$E$7=TH!F3013),"x","")</f>
        <v/>
      </c>
      <c r="X3013" s="525" t="str">
        <f>IF(AND('341-CT'!$E$9=H3013,OR(LEFT(L3013,3)=$X$7,LEFT(M3013,3)=$X$7)),"x","")</f>
        <v/>
      </c>
      <c r="Y3013" s="525" t="str">
        <f>IF(OR(TH!L3013=TH!$Y$7,M3013=TH!$Y$7),"x","")</f>
        <v/>
      </c>
      <c r="Z3013" s="525" t="str">
        <f>IF(AND(B3013&lt;=NKC!$N$8,B3013&gt;=NKC!$M$8),"x","")</f>
        <v/>
      </c>
      <c r="AA3013" s="687"/>
      <c r="AC3013" s="503"/>
      <c r="AD3013" s="689"/>
      <c r="AE3013" s="689"/>
    </row>
    <row r="3014" spans="1:31" s="688" customFormat="1" ht="15.75" customHeight="1">
      <c r="A3014" s="517" t="str">
        <f>IF(B3014&lt;&gt;"",IF(AND(B3014&gt;=_TM1,B3014&lt;=_TM2,OR(TH!L3014="1111",TH!M3014="1111")),TH!D3014,""),"")</f>
        <v/>
      </c>
      <c r="B3014" s="685">
        <f t="shared" si="263"/>
        <v>4</v>
      </c>
      <c r="C3014" s="671">
        <f t="shared" si="261"/>
        <v>42833</v>
      </c>
      <c r="D3014" s="718" t="s">
        <v>376</v>
      </c>
      <c r="E3014" s="671">
        <v>42833</v>
      </c>
      <c r="F3014" s="673" t="s">
        <v>1005</v>
      </c>
      <c r="G3014" s="686" t="s">
        <v>1098</v>
      </c>
      <c r="H3014" s="675" t="s">
        <v>1184</v>
      </c>
      <c r="I3014" s="676">
        <v>620</v>
      </c>
      <c r="J3014" s="676">
        <v>7330.3451612903227</v>
      </c>
      <c r="K3014" s="677">
        <f t="shared" si="264"/>
        <v>4544814</v>
      </c>
      <c r="L3014" s="678" t="s">
        <v>292</v>
      </c>
      <c r="M3014" s="678" t="s">
        <v>158</v>
      </c>
      <c r="N3014" s="525" t="str">
        <f>IF(AND('331-CT'!$E$7=TH!H3014,OR(L3014="331",M3014="331")),"331",IF(AND(OR(L3014="131",M3014="131"),H3014='131-CT'!$E$7),"131",""))</f>
        <v/>
      </c>
      <c r="O3014" s="525" t="str">
        <f>IF(AND($B3014&gt;='111'!$N$11,$B3014&lt;='111'!$O$11,OR($L3014=$O$7,$M3014=$O$7)),"x","")</f>
        <v/>
      </c>
      <c r="P3014" s="525" t="str">
        <f>IF(AND($L3014=$O$7,$B3014&lt;'111'!$N$11),"x","")</f>
        <v/>
      </c>
      <c r="Q3014" s="525" t="str">
        <f>IF(AND($M3014=$O$7,$B3014&lt;'111'!$N$11),"x","")</f>
        <v/>
      </c>
      <c r="R3014" s="525" t="str">
        <f>IF(ISERROR(FIND('112'!$M$9,G3014,1)),"",IF((AND(FIND('112'!$M$9,G3014,1)&gt;=1,$B3014&gt;='112'!$N$8,$B3014&lt;='112'!$O$8,OR($L3014='112'!$I$6,$M3014='112'!$I$6))),"x",""))</f>
        <v/>
      </c>
      <c r="S3014" s="525" t="str">
        <f>IF(ISERROR(FIND('112'!$M$9,G3014,1)),"",IF((AND(LEFT(G3014,2)=LEFT('112'!$M$9,2),B3014&lt;'112'!$N$8,$L3014='112'!$I$6)),"x",""))</f>
        <v/>
      </c>
      <c r="T3014" s="525" t="str">
        <f>IF(ISERROR(FIND('112'!$M$9,G3014,1)),"",IF((AND(RIGHT(G3014,2)=RIGHT('112'!$M$9,2),B3014&lt;'112'!$N$8,$M3014='112'!$I$6)),"x",""))</f>
        <v/>
      </c>
      <c r="U3014" s="525" t="str">
        <f>IF(AND(B3014&gt;='IN-NX'!$P$3,B3014&lt;='IN-NX'!$Q$3,'IN-NX'!$D$7=D3014,OR(LEFT(L3014,2)="15",AND(LEFT(M3014,2)&lt;&gt;"15",LEFT(M3014,2)&lt;&gt;"33"))),"x","")</f>
        <v/>
      </c>
      <c r="V3014" s="525" t="str">
        <f>IF(AND(OR(LEFT(TH!L3014,2)="15",LEFT(TH!M3014,2)="15"),'152-CT'!$J$8=TH!F3014),"x","")</f>
        <v/>
      </c>
      <c r="W3014" s="525" t="str">
        <f>IF(AND(OR(LEFT(TH!L3014,2)="15",LEFT(TH!M3014,2)="15"),TK!$E$7=TH!F3014),"x","")</f>
        <v/>
      </c>
      <c r="X3014" s="525" t="str">
        <f>IF(AND('341-CT'!$E$9=H3014,OR(LEFT(L3014,3)=$X$7,LEFT(M3014,3)=$X$7)),"x","")</f>
        <v/>
      </c>
      <c r="Y3014" s="525" t="str">
        <f>IF(OR(TH!L3014=TH!$Y$7,M3014=TH!$Y$7),"x","")</f>
        <v/>
      </c>
      <c r="Z3014" s="525" t="str">
        <f>IF(AND(B3014&lt;=NKC!$N$8,B3014&gt;=NKC!$M$8),"x","")</f>
        <v/>
      </c>
      <c r="AA3014" s="687"/>
      <c r="AC3014" s="503"/>
      <c r="AD3014" s="689"/>
      <c r="AE3014" s="689"/>
    </row>
    <row r="3015" spans="1:31" s="688" customFormat="1" ht="15.75" customHeight="1">
      <c r="A3015" s="517" t="str">
        <f>IF(B3015&lt;&gt;"",IF(AND(B3015&gt;=_TM1,B3015&lt;=_TM2,OR(TH!L3015="1111",TH!M3015="1111")),TH!D3015,""),"")</f>
        <v/>
      </c>
      <c r="B3015" s="685">
        <f t="shared" si="263"/>
        <v>4</v>
      </c>
      <c r="C3015" s="671">
        <f t="shared" si="261"/>
        <v>42833</v>
      </c>
      <c r="D3015" s="718" t="s">
        <v>376</v>
      </c>
      <c r="E3015" s="671">
        <v>42833</v>
      </c>
      <c r="F3015" s="673" t="s">
        <v>1010</v>
      </c>
      <c r="G3015" s="686" t="s">
        <v>1098</v>
      </c>
      <c r="H3015" s="675" t="s">
        <v>1184</v>
      </c>
      <c r="I3015" s="676">
        <v>480</v>
      </c>
      <c r="J3015" s="676">
        <v>14221.05</v>
      </c>
      <c r="K3015" s="677">
        <f t="shared" si="264"/>
        <v>6826104</v>
      </c>
      <c r="L3015" s="678" t="s">
        <v>292</v>
      </c>
      <c r="M3015" s="678" t="s">
        <v>158</v>
      </c>
      <c r="N3015" s="525" t="str">
        <f>IF(AND('331-CT'!$E$7=TH!H3015,OR(L3015="331",M3015="331")),"331",IF(AND(OR(L3015="131",M3015="131"),H3015='131-CT'!$E$7),"131",""))</f>
        <v/>
      </c>
      <c r="O3015" s="525" t="str">
        <f>IF(AND($B3015&gt;='111'!$N$11,$B3015&lt;='111'!$O$11,OR($L3015=$O$7,$M3015=$O$7)),"x","")</f>
        <v/>
      </c>
      <c r="P3015" s="525" t="str">
        <f>IF(AND($L3015=$O$7,$B3015&lt;'111'!$N$11),"x","")</f>
        <v/>
      </c>
      <c r="Q3015" s="525" t="str">
        <f>IF(AND($M3015=$O$7,$B3015&lt;'111'!$N$11),"x","")</f>
        <v/>
      </c>
      <c r="R3015" s="525" t="str">
        <f>IF(ISERROR(FIND('112'!$M$9,G3015,1)),"",IF((AND(FIND('112'!$M$9,G3015,1)&gt;=1,$B3015&gt;='112'!$N$8,$B3015&lt;='112'!$O$8,OR($L3015='112'!$I$6,$M3015='112'!$I$6))),"x",""))</f>
        <v/>
      </c>
      <c r="S3015" s="525" t="str">
        <f>IF(ISERROR(FIND('112'!$M$9,G3015,1)),"",IF((AND(LEFT(G3015,2)=LEFT('112'!$M$9,2),B3015&lt;'112'!$N$8,$L3015='112'!$I$6)),"x",""))</f>
        <v/>
      </c>
      <c r="T3015" s="525" t="str">
        <f>IF(ISERROR(FIND('112'!$M$9,G3015,1)),"",IF((AND(RIGHT(G3015,2)=RIGHT('112'!$M$9,2),B3015&lt;'112'!$N$8,$M3015='112'!$I$6)),"x",""))</f>
        <v/>
      </c>
      <c r="U3015" s="525" t="str">
        <f>IF(AND(B3015&gt;='IN-NX'!$P$3,B3015&lt;='IN-NX'!$Q$3,'IN-NX'!$D$7=D3015,OR(LEFT(L3015,2)="15",AND(LEFT(M3015,2)&lt;&gt;"15",LEFT(M3015,2)&lt;&gt;"33"))),"x","")</f>
        <v/>
      </c>
      <c r="V3015" s="525" t="str">
        <f>IF(AND(OR(LEFT(TH!L3015,2)="15",LEFT(TH!M3015,2)="15"),'152-CT'!$J$8=TH!F3015),"x","")</f>
        <v/>
      </c>
      <c r="W3015" s="525" t="str">
        <f>IF(AND(OR(LEFT(TH!L3015,2)="15",LEFT(TH!M3015,2)="15"),TK!$E$7=TH!F3015),"x","")</f>
        <v/>
      </c>
      <c r="X3015" s="525" t="str">
        <f>IF(AND('341-CT'!$E$9=H3015,OR(LEFT(L3015,3)=$X$7,LEFT(M3015,3)=$X$7)),"x","")</f>
        <v/>
      </c>
      <c r="Y3015" s="525" t="str">
        <f>IF(OR(TH!L3015=TH!$Y$7,M3015=TH!$Y$7),"x","")</f>
        <v/>
      </c>
      <c r="Z3015" s="525" t="str">
        <f>IF(AND(B3015&lt;=NKC!$N$8,B3015&gt;=NKC!$M$8),"x","")</f>
        <v/>
      </c>
      <c r="AA3015" s="687"/>
      <c r="AC3015" s="503"/>
      <c r="AD3015" s="689"/>
      <c r="AE3015" s="689"/>
    </row>
    <row r="3016" spans="1:31" s="688" customFormat="1" ht="15.75" customHeight="1">
      <c r="A3016" s="517" t="str">
        <f>IF(B3016&lt;&gt;"",IF(AND(B3016&gt;=_TM1,B3016&lt;=_TM2,OR(TH!L3016="1111",TH!M3016="1111")),TH!D3016,""),"")</f>
        <v/>
      </c>
      <c r="B3016" s="685">
        <f t="shared" si="263"/>
        <v>4</v>
      </c>
      <c r="C3016" s="671">
        <f t="shared" si="261"/>
        <v>42833</v>
      </c>
      <c r="D3016" s="718" t="s">
        <v>376</v>
      </c>
      <c r="E3016" s="671">
        <v>42833</v>
      </c>
      <c r="F3016" s="673" t="s">
        <v>1007</v>
      </c>
      <c r="G3016" s="686" t="s">
        <v>1098</v>
      </c>
      <c r="H3016" s="675" t="s">
        <v>1184</v>
      </c>
      <c r="I3016" s="676">
        <v>1920</v>
      </c>
      <c r="J3016" s="676">
        <v>7349.2062500000002</v>
      </c>
      <c r="K3016" s="677">
        <f t="shared" si="264"/>
        <v>14110476</v>
      </c>
      <c r="L3016" s="678" t="s">
        <v>292</v>
      </c>
      <c r="M3016" s="678" t="s">
        <v>158</v>
      </c>
      <c r="N3016" s="525" t="str">
        <f>IF(AND('331-CT'!$E$7=TH!H3016,OR(L3016="331",M3016="331")),"331",IF(AND(OR(L3016="131",M3016="131"),H3016='131-CT'!$E$7),"131",""))</f>
        <v/>
      </c>
      <c r="O3016" s="525" t="str">
        <f>IF(AND($B3016&gt;='111'!$N$11,$B3016&lt;='111'!$O$11,OR($L3016=$O$7,$M3016=$O$7)),"x","")</f>
        <v/>
      </c>
      <c r="P3016" s="525" t="str">
        <f>IF(AND($L3016=$O$7,$B3016&lt;'111'!$N$11),"x","")</f>
        <v/>
      </c>
      <c r="Q3016" s="525" t="str">
        <f>IF(AND($M3016=$O$7,$B3016&lt;'111'!$N$11),"x","")</f>
        <v/>
      </c>
      <c r="R3016" s="525" t="str">
        <f>IF(ISERROR(FIND('112'!$M$9,G3016,1)),"",IF((AND(FIND('112'!$M$9,G3016,1)&gt;=1,$B3016&gt;='112'!$N$8,$B3016&lt;='112'!$O$8,OR($L3016='112'!$I$6,$M3016='112'!$I$6))),"x",""))</f>
        <v/>
      </c>
      <c r="S3016" s="525" t="str">
        <f>IF(ISERROR(FIND('112'!$M$9,G3016,1)),"",IF((AND(LEFT(G3016,2)=LEFT('112'!$M$9,2),B3016&lt;'112'!$N$8,$L3016='112'!$I$6)),"x",""))</f>
        <v/>
      </c>
      <c r="T3016" s="525" t="str">
        <f>IF(ISERROR(FIND('112'!$M$9,G3016,1)),"",IF((AND(RIGHT(G3016,2)=RIGHT('112'!$M$9,2),B3016&lt;'112'!$N$8,$M3016='112'!$I$6)),"x",""))</f>
        <v/>
      </c>
      <c r="U3016" s="525" t="str">
        <f>IF(AND(B3016&gt;='IN-NX'!$P$3,B3016&lt;='IN-NX'!$Q$3,'IN-NX'!$D$7=D3016,OR(LEFT(L3016,2)="15",AND(LEFT(M3016,2)&lt;&gt;"15",LEFT(M3016,2)&lt;&gt;"33"))),"x","")</f>
        <v/>
      </c>
      <c r="V3016" s="525" t="str">
        <f>IF(AND(OR(LEFT(TH!L3016,2)="15",LEFT(TH!M3016,2)="15"),'152-CT'!$J$8=TH!F3016),"x","")</f>
        <v/>
      </c>
      <c r="W3016" s="525" t="str">
        <f>IF(AND(OR(LEFT(TH!L3016,2)="15",LEFT(TH!M3016,2)="15"),TK!$E$7=TH!F3016),"x","")</f>
        <v/>
      </c>
      <c r="X3016" s="525" t="str">
        <f>IF(AND('341-CT'!$E$9=H3016,OR(LEFT(L3016,3)=$X$7,LEFT(M3016,3)=$X$7)),"x","")</f>
        <v/>
      </c>
      <c r="Y3016" s="525" t="str">
        <f>IF(OR(TH!L3016=TH!$Y$7,M3016=TH!$Y$7),"x","")</f>
        <v/>
      </c>
      <c r="Z3016" s="525" t="str">
        <f>IF(AND(B3016&lt;=NKC!$N$8,B3016&gt;=NKC!$M$8),"x","")</f>
        <v/>
      </c>
      <c r="AA3016" s="687"/>
      <c r="AC3016" s="503"/>
      <c r="AD3016" s="689"/>
      <c r="AE3016" s="689"/>
    </row>
    <row r="3017" spans="1:31" s="688" customFormat="1" ht="15.75" customHeight="1">
      <c r="A3017" s="517" t="str">
        <f>IF(B3017&lt;&gt;"",IF(AND(B3017&gt;=_TM1,B3017&lt;=_TM2,OR(TH!L3017="1111",TH!M3017="1111")),TH!D3017,""),"")</f>
        <v/>
      </c>
      <c r="B3017" s="685">
        <f t="shared" si="263"/>
        <v>4</v>
      </c>
      <c r="C3017" s="671">
        <f t="shared" si="261"/>
        <v>42833</v>
      </c>
      <c r="D3017" s="718" t="s">
        <v>376</v>
      </c>
      <c r="E3017" s="671">
        <v>42833</v>
      </c>
      <c r="F3017" s="719" t="s">
        <v>1011</v>
      </c>
      <c r="G3017" s="686" t="s">
        <v>1098</v>
      </c>
      <c r="H3017" s="675" t="s">
        <v>1184</v>
      </c>
      <c r="I3017" s="676">
        <v>1010</v>
      </c>
      <c r="J3017" s="676">
        <v>3888.0930693069308</v>
      </c>
      <c r="K3017" s="677">
        <f t="shared" si="264"/>
        <v>3926974</v>
      </c>
      <c r="L3017" s="678" t="s">
        <v>292</v>
      </c>
      <c r="M3017" s="678" t="s">
        <v>158</v>
      </c>
      <c r="N3017" s="525" t="str">
        <f>IF(AND('331-CT'!$E$7=TH!H3017,OR(L3017="331",M3017="331")),"331",IF(AND(OR(L3017="131",M3017="131"),H3017='131-CT'!$E$7),"131",""))</f>
        <v/>
      </c>
      <c r="O3017" s="525" t="str">
        <f>IF(AND($B3017&gt;='111'!$N$11,$B3017&lt;='111'!$O$11,OR($L3017=$O$7,$M3017=$O$7)),"x","")</f>
        <v/>
      </c>
      <c r="P3017" s="525" t="str">
        <f>IF(AND($L3017=$O$7,$B3017&lt;'111'!$N$11),"x","")</f>
        <v/>
      </c>
      <c r="Q3017" s="525" t="str">
        <f>IF(AND($M3017=$O$7,$B3017&lt;'111'!$N$11),"x","")</f>
        <v/>
      </c>
      <c r="R3017" s="525" t="str">
        <f>IF(ISERROR(FIND('112'!$M$9,G3017,1)),"",IF((AND(FIND('112'!$M$9,G3017,1)&gt;=1,$B3017&gt;='112'!$N$8,$B3017&lt;='112'!$O$8,OR($L3017='112'!$I$6,$M3017='112'!$I$6))),"x",""))</f>
        <v/>
      </c>
      <c r="S3017" s="525" t="str">
        <f>IF(ISERROR(FIND('112'!$M$9,G3017,1)),"",IF((AND(LEFT(G3017,2)=LEFT('112'!$M$9,2),B3017&lt;'112'!$N$8,$L3017='112'!$I$6)),"x",""))</f>
        <v/>
      </c>
      <c r="T3017" s="525" t="str">
        <f>IF(ISERROR(FIND('112'!$M$9,G3017,1)),"",IF((AND(RIGHT(G3017,2)=RIGHT('112'!$M$9,2),B3017&lt;'112'!$N$8,$M3017='112'!$I$6)),"x",""))</f>
        <v/>
      </c>
      <c r="U3017" s="525" t="str">
        <f>IF(AND(B3017&gt;='IN-NX'!$P$3,B3017&lt;='IN-NX'!$Q$3,'IN-NX'!$D$7=D3017,OR(LEFT(L3017,2)="15",AND(LEFT(M3017,2)&lt;&gt;"15",LEFT(M3017,2)&lt;&gt;"33"))),"x","")</f>
        <v/>
      </c>
      <c r="V3017" s="525" t="str">
        <f>IF(AND(OR(LEFT(TH!L3017,2)="15",LEFT(TH!M3017,2)="15"),'152-CT'!$J$8=TH!F3017),"x","")</f>
        <v/>
      </c>
      <c r="W3017" s="525" t="str">
        <f>IF(AND(OR(LEFT(TH!L3017,2)="15",LEFT(TH!M3017,2)="15"),TK!$E$7=TH!F3017),"x","")</f>
        <v/>
      </c>
      <c r="X3017" s="525" t="str">
        <f>IF(AND('341-CT'!$E$9=H3017,OR(LEFT(L3017,3)=$X$7,LEFT(M3017,3)=$X$7)),"x","")</f>
        <v/>
      </c>
      <c r="Y3017" s="525" t="str">
        <f>IF(OR(TH!L3017=TH!$Y$7,M3017=TH!$Y$7),"x","")</f>
        <v/>
      </c>
      <c r="Z3017" s="525" t="str">
        <f>IF(AND(B3017&lt;=NKC!$N$8,B3017&gt;=NKC!$M$8),"x","")</f>
        <v/>
      </c>
      <c r="AA3017" s="687"/>
      <c r="AC3017" s="503"/>
      <c r="AD3017" s="689"/>
      <c r="AE3017" s="689"/>
    </row>
    <row r="3018" spans="1:31" s="688" customFormat="1" ht="15.75" customHeight="1">
      <c r="A3018" s="517" t="str">
        <f>IF(B3018&lt;&gt;"",IF(AND(B3018&gt;=_TM1,B3018&lt;=_TM2,OR(TH!L3018="1111",TH!M3018="1111")),TH!D3018,""),"")</f>
        <v/>
      </c>
      <c r="B3018" s="685">
        <f t="shared" si="263"/>
        <v>4</v>
      </c>
      <c r="C3018" s="671">
        <f t="shared" si="261"/>
        <v>42844</v>
      </c>
      <c r="D3018" s="718" t="s">
        <v>376</v>
      </c>
      <c r="E3018" s="671">
        <v>42844</v>
      </c>
      <c r="F3018" s="673" t="s">
        <v>1031</v>
      </c>
      <c r="G3018" s="686" t="s">
        <v>1108</v>
      </c>
      <c r="H3018" s="675" t="s">
        <v>1184</v>
      </c>
      <c r="I3018" s="676">
        <v>265</v>
      </c>
      <c r="J3018" s="676">
        <v>19151.433962264149</v>
      </c>
      <c r="K3018" s="677">
        <f t="shared" si="264"/>
        <v>5075130</v>
      </c>
      <c r="L3018" s="678" t="s">
        <v>292</v>
      </c>
      <c r="M3018" s="678" t="s">
        <v>158</v>
      </c>
      <c r="N3018" s="525" t="str">
        <f>IF(AND('331-CT'!$E$7=TH!H3018,OR(L3018="331",M3018="331")),"331",IF(AND(OR(L3018="131",M3018="131"),H3018='131-CT'!$E$7),"131",""))</f>
        <v/>
      </c>
      <c r="O3018" s="525" t="str">
        <f>IF(AND($B3018&gt;='111'!$N$11,$B3018&lt;='111'!$O$11,OR($L3018=$O$7,$M3018=$O$7)),"x","")</f>
        <v/>
      </c>
      <c r="P3018" s="525" t="str">
        <f>IF(AND($L3018=$O$7,$B3018&lt;'111'!$N$11),"x","")</f>
        <v/>
      </c>
      <c r="Q3018" s="525" t="str">
        <f>IF(AND($M3018=$O$7,$B3018&lt;'111'!$N$11),"x","")</f>
        <v/>
      </c>
      <c r="R3018" s="525" t="str">
        <f>IF(ISERROR(FIND('112'!$M$9,G3018,1)),"",IF((AND(FIND('112'!$M$9,G3018,1)&gt;=1,$B3018&gt;='112'!$N$8,$B3018&lt;='112'!$O$8,OR($L3018='112'!$I$6,$M3018='112'!$I$6))),"x",""))</f>
        <v/>
      </c>
      <c r="S3018" s="525" t="str">
        <f>IF(ISERROR(FIND('112'!$M$9,G3018,1)),"",IF((AND(LEFT(G3018,2)=LEFT('112'!$M$9,2),B3018&lt;'112'!$N$8,$L3018='112'!$I$6)),"x",""))</f>
        <v/>
      </c>
      <c r="T3018" s="525" t="str">
        <f>IF(ISERROR(FIND('112'!$M$9,G3018,1)),"",IF((AND(RIGHT(G3018,2)=RIGHT('112'!$M$9,2),B3018&lt;'112'!$N$8,$M3018='112'!$I$6)),"x",""))</f>
        <v/>
      </c>
      <c r="U3018" s="525" t="str">
        <f>IF(AND(B3018&gt;='IN-NX'!$P$3,B3018&lt;='IN-NX'!$Q$3,'IN-NX'!$D$7=D3018,OR(LEFT(L3018,2)="15",AND(LEFT(M3018,2)&lt;&gt;"15",LEFT(M3018,2)&lt;&gt;"33"))),"x","")</f>
        <v/>
      </c>
      <c r="V3018" s="525" t="str">
        <f>IF(AND(OR(LEFT(TH!L3018,2)="15",LEFT(TH!M3018,2)="15"),'152-CT'!$J$8=TH!F3018),"x","")</f>
        <v/>
      </c>
      <c r="W3018" s="525" t="str">
        <f>IF(AND(OR(LEFT(TH!L3018,2)="15",LEFT(TH!M3018,2)="15"),TK!$E$7=TH!F3018),"x","")</f>
        <v/>
      </c>
      <c r="X3018" s="525" t="str">
        <f>IF(AND('341-CT'!$E$9=H3018,OR(LEFT(L3018,3)=$X$7,LEFT(M3018,3)=$X$7)),"x","")</f>
        <v/>
      </c>
      <c r="Y3018" s="525" t="str">
        <f>IF(OR(TH!L3018=TH!$Y$7,M3018=TH!$Y$7),"x","")</f>
        <v/>
      </c>
      <c r="Z3018" s="525" t="str">
        <f>IF(AND(B3018&lt;=NKC!$N$8,B3018&gt;=NKC!$M$8),"x","")</f>
        <v/>
      </c>
      <c r="AA3018" s="687"/>
      <c r="AC3018" s="503"/>
      <c r="AE3018" s="689"/>
    </row>
    <row r="3019" spans="1:31" s="689" customFormat="1" ht="15.75" customHeight="1">
      <c r="A3019" s="517" t="str">
        <f>IF(B3019&lt;&gt;"",IF(AND(B3019&gt;=_TM1,B3019&lt;=_TM2,OR(TH!L3019="1111",TH!M3019="1111")),TH!D3019,""),"")</f>
        <v/>
      </c>
      <c r="B3019" s="685">
        <f t="shared" si="263"/>
        <v>4</v>
      </c>
      <c r="C3019" s="671">
        <f t="shared" si="261"/>
        <v>42844</v>
      </c>
      <c r="D3019" s="718" t="s">
        <v>376</v>
      </c>
      <c r="E3019" s="671">
        <v>42844</v>
      </c>
      <c r="F3019" s="719" t="s">
        <v>1032</v>
      </c>
      <c r="G3019" s="686" t="s">
        <v>1108</v>
      </c>
      <c r="H3019" s="675" t="s">
        <v>1184</v>
      </c>
      <c r="I3019" s="676">
        <v>265</v>
      </c>
      <c r="J3019" s="676">
        <v>12869.528301886792</v>
      </c>
      <c r="K3019" s="677">
        <f t="shared" si="264"/>
        <v>3410425</v>
      </c>
      <c r="L3019" s="678" t="s">
        <v>292</v>
      </c>
      <c r="M3019" s="678" t="s">
        <v>158</v>
      </c>
      <c r="N3019" s="525" t="str">
        <f>IF(AND('331-CT'!$E$7=TH!H3019,OR(L3019="331",M3019="331")),"331",IF(AND(OR(L3019="131",M3019="131"),H3019='131-CT'!$E$7),"131",""))</f>
        <v/>
      </c>
      <c r="O3019" s="525" t="str">
        <f>IF(AND($B3019&gt;='111'!$N$11,$B3019&lt;='111'!$O$11,OR($L3019=$O$7,$M3019=$O$7)),"x","")</f>
        <v/>
      </c>
      <c r="P3019" s="525" t="str">
        <f>IF(AND($L3019=$O$7,$B3019&lt;'111'!$N$11),"x","")</f>
        <v/>
      </c>
      <c r="Q3019" s="525" t="str">
        <f>IF(AND($M3019=$O$7,$B3019&lt;'111'!$N$11),"x","")</f>
        <v/>
      </c>
      <c r="R3019" s="525" t="str">
        <f>IF(ISERROR(FIND('112'!$M$9,G3019,1)),"",IF((AND(FIND('112'!$M$9,G3019,1)&gt;=1,$B3019&gt;='112'!$N$8,$B3019&lt;='112'!$O$8,OR($L3019='112'!$I$6,$M3019='112'!$I$6))),"x",""))</f>
        <v/>
      </c>
      <c r="S3019" s="525" t="str">
        <f>IF(ISERROR(FIND('112'!$M$9,G3019,1)),"",IF((AND(LEFT(G3019,2)=LEFT('112'!$M$9,2),B3019&lt;'112'!$N$8,$L3019='112'!$I$6)),"x",""))</f>
        <v/>
      </c>
      <c r="T3019" s="525" t="str">
        <f>IF(ISERROR(FIND('112'!$M$9,G3019,1)),"",IF((AND(RIGHT(G3019,2)=RIGHT('112'!$M$9,2),B3019&lt;'112'!$N$8,$M3019='112'!$I$6)),"x",""))</f>
        <v/>
      </c>
      <c r="U3019" s="525" t="str">
        <f>IF(AND(B3019&gt;='IN-NX'!$P$3,B3019&lt;='IN-NX'!$Q$3,'IN-NX'!$D$7=D3019,OR(LEFT(L3019,2)="15",AND(LEFT(M3019,2)&lt;&gt;"15",LEFT(M3019,2)&lt;&gt;"33"))),"x","")</f>
        <v/>
      </c>
      <c r="V3019" s="525" t="str">
        <f>IF(AND(OR(LEFT(TH!L3019,2)="15",LEFT(TH!M3019,2)="15"),'152-CT'!$J$8=TH!F3019),"x","")</f>
        <v/>
      </c>
      <c r="W3019" s="525" t="str">
        <f>IF(AND(OR(LEFT(TH!L3019,2)="15",LEFT(TH!M3019,2)="15"),TK!$E$7=TH!F3019),"x","")</f>
        <v/>
      </c>
      <c r="X3019" s="525" t="str">
        <f>IF(AND('341-CT'!$E$9=H3019,OR(LEFT(L3019,3)=$X$7,LEFT(M3019,3)=$X$7)),"x","")</f>
        <v/>
      </c>
      <c r="Y3019" s="525" t="str">
        <f>IF(OR(TH!L3019=TH!$Y$7,M3019=TH!$Y$7),"x","")</f>
        <v/>
      </c>
      <c r="Z3019" s="525" t="str">
        <f>IF(AND(B3019&lt;=NKC!$N$8,B3019&gt;=NKC!$M$8),"x","")</f>
        <v/>
      </c>
      <c r="AA3019" s="687"/>
      <c r="AB3019" s="688"/>
      <c r="AC3019" s="503"/>
      <c r="AD3019" s="688"/>
    </row>
    <row r="3020" spans="1:31" s="688" customFormat="1" ht="15.75" customHeight="1">
      <c r="A3020" s="517" t="str">
        <f>IF(B3020&lt;&gt;"",IF(AND(B3020&gt;=_TM1,B3020&lt;=_TM2,OR(TH!L3020="1111",TH!M3020="1111")),TH!D3020,""),"")</f>
        <v/>
      </c>
      <c r="B3020" s="685">
        <f t="shared" si="263"/>
        <v>4</v>
      </c>
      <c r="C3020" s="671">
        <f t="shared" ref="C3020:C3054" si="265">E3020</f>
        <v>42844</v>
      </c>
      <c r="D3020" s="718" t="s">
        <v>376</v>
      </c>
      <c r="E3020" s="671">
        <v>42844</v>
      </c>
      <c r="F3020" s="673" t="s">
        <v>1033</v>
      </c>
      <c r="G3020" s="686" t="s">
        <v>1108</v>
      </c>
      <c r="H3020" s="675" t="s">
        <v>1184</v>
      </c>
      <c r="I3020" s="676">
        <v>325</v>
      </c>
      <c r="J3020" s="676">
        <v>25375.156923076924</v>
      </c>
      <c r="K3020" s="677">
        <f t="shared" si="264"/>
        <v>8246926</v>
      </c>
      <c r="L3020" s="678" t="s">
        <v>292</v>
      </c>
      <c r="M3020" s="678" t="s">
        <v>158</v>
      </c>
      <c r="N3020" s="525" t="str">
        <f>IF(AND('331-CT'!$E$7=TH!H3020,OR(L3020="331",M3020="331")),"331",IF(AND(OR(L3020="131",M3020="131"),H3020='131-CT'!$E$7),"131",""))</f>
        <v/>
      </c>
      <c r="O3020" s="525" t="str">
        <f>IF(AND($B3020&gt;='111'!$N$11,$B3020&lt;='111'!$O$11,OR($L3020=$O$7,$M3020=$O$7)),"x","")</f>
        <v/>
      </c>
      <c r="P3020" s="525" t="str">
        <f>IF(AND($L3020=$O$7,$B3020&lt;'111'!$N$11),"x","")</f>
        <v/>
      </c>
      <c r="Q3020" s="525" t="str">
        <f>IF(AND($M3020=$O$7,$B3020&lt;'111'!$N$11),"x","")</f>
        <v/>
      </c>
      <c r="R3020" s="525" t="str">
        <f>IF(ISERROR(FIND('112'!$M$9,G3020,1)),"",IF((AND(FIND('112'!$M$9,G3020,1)&gt;=1,$B3020&gt;='112'!$N$8,$B3020&lt;='112'!$O$8,OR($L3020='112'!$I$6,$M3020='112'!$I$6))),"x",""))</f>
        <v/>
      </c>
      <c r="S3020" s="525" t="str">
        <f>IF(ISERROR(FIND('112'!$M$9,G3020,1)),"",IF((AND(LEFT(G3020,2)=LEFT('112'!$M$9,2),B3020&lt;'112'!$N$8,$L3020='112'!$I$6)),"x",""))</f>
        <v/>
      </c>
      <c r="T3020" s="525" t="str">
        <f>IF(ISERROR(FIND('112'!$M$9,G3020,1)),"",IF((AND(RIGHT(G3020,2)=RIGHT('112'!$M$9,2),B3020&lt;'112'!$N$8,$M3020='112'!$I$6)),"x",""))</f>
        <v/>
      </c>
      <c r="U3020" s="525" t="str">
        <f>IF(AND(B3020&gt;='IN-NX'!$P$3,B3020&lt;='IN-NX'!$Q$3,'IN-NX'!$D$7=D3020,OR(LEFT(L3020,2)="15",AND(LEFT(M3020,2)&lt;&gt;"15",LEFT(M3020,2)&lt;&gt;"33"))),"x","")</f>
        <v/>
      </c>
      <c r="V3020" s="525" t="str">
        <f>IF(AND(OR(LEFT(TH!L3020,2)="15",LEFT(TH!M3020,2)="15"),'152-CT'!$J$8=TH!F3020),"x","")</f>
        <v/>
      </c>
      <c r="W3020" s="525" t="str">
        <f>IF(AND(OR(LEFT(TH!L3020,2)="15",LEFT(TH!M3020,2)="15"),TK!$E$7=TH!F3020),"x","")</f>
        <v/>
      </c>
      <c r="X3020" s="525" t="str">
        <f>IF(AND('341-CT'!$E$9=H3020,OR(LEFT(L3020,3)=$X$7,LEFT(M3020,3)=$X$7)),"x","")</f>
        <v/>
      </c>
      <c r="Y3020" s="525" t="str">
        <f>IF(OR(TH!L3020=TH!$Y$7,M3020=TH!$Y$7),"x","")</f>
        <v/>
      </c>
      <c r="Z3020" s="525" t="str">
        <f>IF(AND(B3020&lt;=NKC!$N$8,B3020&gt;=NKC!$M$8),"x","")</f>
        <v/>
      </c>
      <c r="AA3020" s="687"/>
      <c r="AC3020" s="503"/>
      <c r="AD3020" s="689"/>
      <c r="AE3020" s="689"/>
    </row>
    <row r="3021" spans="1:31" s="688" customFormat="1" ht="15.75" customHeight="1">
      <c r="A3021" s="517" t="str">
        <f>IF(B3021&lt;&gt;"",IF(AND(B3021&gt;=_TM1,B3021&lt;=_TM2,OR(TH!L3021="1111",TH!M3021="1111")),TH!D3021,""),"")</f>
        <v/>
      </c>
      <c r="B3021" s="685">
        <f t="shared" si="263"/>
        <v>4</v>
      </c>
      <c r="C3021" s="671">
        <f t="shared" si="265"/>
        <v>42844</v>
      </c>
      <c r="D3021" s="718" t="s">
        <v>376</v>
      </c>
      <c r="E3021" s="671">
        <v>42844</v>
      </c>
      <c r="F3021" s="673" t="s">
        <v>1034</v>
      </c>
      <c r="G3021" s="686" t="s">
        <v>1108</v>
      </c>
      <c r="H3021" s="675" t="s">
        <v>1184</v>
      </c>
      <c r="I3021" s="676">
        <v>325</v>
      </c>
      <c r="J3021" s="676">
        <v>22018.264615384614</v>
      </c>
      <c r="K3021" s="677">
        <f t="shared" si="264"/>
        <v>7155936</v>
      </c>
      <c r="L3021" s="678" t="s">
        <v>292</v>
      </c>
      <c r="M3021" s="678" t="s">
        <v>158</v>
      </c>
      <c r="N3021" s="525" t="str">
        <f>IF(AND('331-CT'!$E$7=TH!H3021,OR(L3021="331",M3021="331")),"331",IF(AND(OR(L3021="131",M3021="131"),H3021='131-CT'!$E$7),"131",""))</f>
        <v/>
      </c>
      <c r="O3021" s="525" t="str">
        <f>IF(AND($B3021&gt;='111'!$N$11,$B3021&lt;='111'!$O$11,OR($L3021=$O$7,$M3021=$O$7)),"x","")</f>
        <v/>
      </c>
      <c r="P3021" s="525" t="str">
        <f>IF(AND($L3021=$O$7,$B3021&lt;'111'!$N$11),"x","")</f>
        <v/>
      </c>
      <c r="Q3021" s="525" t="str">
        <f>IF(AND($M3021=$O$7,$B3021&lt;'111'!$N$11),"x","")</f>
        <v/>
      </c>
      <c r="R3021" s="525" t="str">
        <f>IF(ISERROR(FIND('112'!$M$9,G3021,1)),"",IF((AND(FIND('112'!$M$9,G3021,1)&gt;=1,$B3021&gt;='112'!$N$8,$B3021&lt;='112'!$O$8,OR($L3021='112'!$I$6,$M3021='112'!$I$6))),"x",""))</f>
        <v/>
      </c>
      <c r="S3021" s="525" t="str">
        <f>IF(ISERROR(FIND('112'!$M$9,G3021,1)),"",IF((AND(LEFT(G3021,2)=LEFT('112'!$M$9,2),B3021&lt;'112'!$N$8,$L3021='112'!$I$6)),"x",""))</f>
        <v/>
      </c>
      <c r="T3021" s="525" t="str">
        <f>IF(ISERROR(FIND('112'!$M$9,G3021,1)),"",IF((AND(RIGHT(G3021,2)=RIGHT('112'!$M$9,2),B3021&lt;'112'!$N$8,$M3021='112'!$I$6)),"x",""))</f>
        <v/>
      </c>
      <c r="U3021" s="525" t="str">
        <f>IF(AND(B3021&gt;='IN-NX'!$P$3,B3021&lt;='IN-NX'!$Q$3,'IN-NX'!$D$7=D3021,OR(LEFT(L3021,2)="15",AND(LEFT(M3021,2)&lt;&gt;"15",LEFT(M3021,2)&lt;&gt;"33"))),"x","")</f>
        <v/>
      </c>
      <c r="V3021" s="525" t="str">
        <f>IF(AND(OR(LEFT(TH!L3021,2)="15",LEFT(TH!M3021,2)="15"),'152-CT'!$J$8=TH!F3021),"x","")</f>
        <v/>
      </c>
      <c r="W3021" s="525" t="str">
        <f>IF(AND(OR(LEFT(TH!L3021,2)="15",LEFT(TH!M3021,2)="15"),TK!$E$7=TH!F3021),"x","")</f>
        <v/>
      </c>
      <c r="X3021" s="525" t="str">
        <f>IF(AND('341-CT'!$E$9=H3021,OR(LEFT(L3021,3)=$X$7,LEFT(M3021,3)=$X$7)),"x","")</f>
        <v/>
      </c>
      <c r="Y3021" s="525" t="str">
        <f>IF(OR(TH!L3021=TH!$Y$7,M3021=TH!$Y$7),"x","")</f>
        <v/>
      </c>
      <c r="Z3021" s="525" t="str">
        <f>IF(AND(B3021&lt;=NKC!$N$8,B3021&gt;=NKC!$M$8),"x","")</f>
        <v/>
      </c>
      <c r="AA3021" s="687"/>
      <c r="AC3021" s="503"/>
      <c r="AE3021" s="689"/>
    </row>
    <row r="3022" spans="1:31" s="688" customFormat="1" ht="15.75" customHeight="1">
      <c r="A3022" s="517" t="str">
        <f>IF(B3022&lt;&gt;"",IF(AND(B3022&gt;=_TM1,B3022&lt;=_TM2,OR(TH!L3022="1111",TH!M3022="1111")),TH!D3022,""),"")</f>
        <v/>
      </c>
      <c r="B3022" s="685">
        <f t="shared" si="263"/>
        <v>4</v>
      </c>
      <c r="C3022" s="671">
        <f t="shared" si="265"/>
        <v>42844</v>
      </c>
      <c r="D3022" s="718" t="s">
        <v>376</v>
      </c>
      <c r="E3022" s="671">
        <v>42844</v>
      </c>
      <c r="F3022" s="673" t="s">
        <v>504</v>
      </c>
      <c r="G3022" s="686" t="s">
        <v>1109</v>
      </c>
      <c r="H3022" s="675" t="s">
        <v>1184</v>
      </c>
      <c r="I3022" s="676">
        <v>1700</v>
      </c>
      <c r="J3022" s="676">
        <v>35336.89</v>
      </c>
      <c r="K3022" s="677">
        <f t="shared" si="264"/>
        <v>60072713</v>
      </c>
      <c r="L3022" s="678" t="s">
        <v>292</v>
      </c>
      <c r="M3022" s="678" t="s">
        <v>158</v>
      </c>
      <c r="N3022" s="525" t="str">
        <f>IF(AND('331-CT'!$E$7=TH!H3022,OR(L3022="331",M3022="331")),"331",IF(AND(OR(L3022="131",M3022="131"),H3022='131-CT'!$E$7),"131",""))</f>
        <v/>
      </c>
      <c r="O3022" s="525" t="str">
        <f>IF(AND($B3022&gt;='111'!$N$11,$B3022&lt;='111'!$O$11,OR($L3022=$O$7,$M3022=$O$7)),"x","")</f>
        <v/>
      </c>
      <c r="P3022" s="525" t="str">
        <f>IF(AND($L3022=$O$7,$B3022&lt;'111'!$N$11),"x","")</f>
        <v/>
      </c>
      <c r="Q3022" s="525" t="str">
        <f>IF(AND($M3022=$O$7,$B3022&lt;'111'!$N$11),"x","")</f>
        <v/>
      </c>
      <c r="R3022" s="525" t="str">
        <f>IF(ISERROR(FIND('112'!$M$9,G3022,1)),"",IF((AND(FIND('112'!$M$9,G3022,1)&gt;=1,$B3022&gt;='112'!$N$8,$B3022&lt;='112'!$O$8,OR($L3022='112'!$I$6,$M3022='112'!$I$6))),"x",""))</f>
        <v/>
      </c>
      <c r="S3022" s="525" t="str">
        <f>IF(ISERROR(FIND('112'!$M$9,G3022,1)),"",IF((AND(LEFT(G3022,2)=LEFT('112'!$M$9,2),B3022&lt;'112'!$N$8,$L3022='112'!$I$6)),"x",""))</f>
        <v/>
      </c>
      <c r="T3022" s="525" t="str">
        <f>IF(ISERROR(FIND('112'!$M$9,G3022,1)),"",IF((AND(RIGHT(G3022,2)=RIGHT('112'!$M$9,2),B3022&lt;'112'!$N$8,$M3022='112'!$I$6)),"x",""))</f>
        <v/>
      </c>
      <c r="U3022" s="525" t="str">
        <f>IF(AND(B3022&gt;='IN-NX'!$P$3,B3022&lt;='IN-NX'!$Q$3,'IN-NX'!$D$7=D3022,OR(LEFT(L3022,2)="15",AND(LEFT(M3022,2)&lt;&gt;"15",LEFT(M3022,2)&lt;&gt;"33"))),"x","")</f>
        <v/>
      </c>
      <c r="V3022" s="525" t="str">
        <f>IF(AND(OR(LEFT(TH!L3022,2)="15",LEFT(TH!M3022,2)="15"),'152-CT'!$J$8=TH!F3022),"x","")</f>
        <v/>
      </c>
      <c r="W3022" s="525" t="str">
        <f>IF(AND(OR(LEFT(TH!L3022,2)="15",LEFT(TH!M3022,2)="15"),TK!$E$7=TH!F3022),"x","")</f>
        <v/>
      </c>
      <c r="X3022" s="525" t="str">
        <f>IF(AND('341-CT'!$E$9=H3022,OR(LEFT(L3022,3)=$X$7,LEFT(M3022,3)=$X$7)),"x","")</f>
        <v/>
      </c>
      <c r="Y3022" s="525" t="str">
        <f>IF(OR(TH!L3022=TH!$Y$7,M3022=TH!$Y$7),"x","")</f>
        <v/>
      </c>
      <c r="Z3022" s="525" t="str">
        <f>IF(AND(B3022&lt;=NKC!$N$8,B3022&gt;=NKC!$M$8),"x","")</f>
        <v/>
      </c>
      <c r="AA3022" s="687"/>
      <c r="AC3022" s="503"/>
      <c r="AD3022" s="689"/>
      <c r="AE3022" s="689"/>
    </row>
    <row r="3023" spans="1:31" s="688" customFormat="1" ht="15.75" customHeight="1">
      <c r="A3023" s="517" t="str">
        <f>IF(B3023&lt;&gt;"",IF(AND(B3023&gt;=_TM1,B3023&lt;=_TM2,OR(TH!L3023="1111",TH!M3023="1111")),TH!D3023,""),"")</f>
        <v/>
      </c>
      <c r="B3023" s="685">
        <f t="shared" si="263"/>
        <v>4</v>
      </c>
      <c r="C3023" s="671">
        <f t="shared" si="265"/>
        <v>42844</v>
      </c>
      <c r="D3023" s="718" t="s">
        <v>376</v>
      </c>
      <c r="E3023" s="671">
        <v>42844</v>
      </c>
      <c r="F3023" s="673" t="s">
        <v>504</v>
      </c>
      <c r="G3023" s="686" t="s">
        <v>1109</v>
      </c>
      <c r="H3023" s="675" t="s">
        <v>1184</v>
      </c>
      <c r="I3023" s="676">
        <v>200</v>
      </c>
      <c r="J3023" s="676">
        <v>35044.425000000003</v>
      </c>
      <c r="K3023" s="677">
        <f t="shared" si="264"/>
        <v>7008885</v>
      </c>
      <c r="L3023" s="678" t="s">
        <v>292</v>
      </c>
      <c r="M3023" s="678" t="s">
        <v>158</v>
      </c>
      <c r="N3023" s="525" t="str">
        <f>IF(AND('331-CT'!$E$7=TH!H3023,OR(L3023="331",M3023="331")),"331",IF(AND(OR(L3023="131",M3023="131"),H3023='131-CT'!$E$7),"131",""))</f>
        <v/>
      </c>
      <c r="O3023" s="525" t="str">
        <f>IF(AND($B3023&gt;='111'!$N$11,$B3023&lt;='111'!$O$11,OR($L3023=$O$7,$M3023=$O$7)),"x","")</f>
        <v/>
      </c>
      <c r="P3023" s="525" t="str">
        <f>IF(AND($L3023=$O$7,$B3023&lt;'111'!$N$11),"x","")</f>
        <v/>
      </c>
      <c r="Q3023" s="525" t="str">
        <f>IF(AND($M3023=$O$7,$B3023&lt;'111'!$N$11),"x","")</f>
        <v/>
      </c>
      <c r="R3023" s="525" t="str">
        <f>IF(ISERROR(FIND('112'!$M$9,G3023,1)),"",IF((AND(FIND('112'!$M$9,G3023,1)&gt;=1,$B3023&gt;='112'!$N$8,$B3023&lt;='112'!$O$8,OR($L3023='112'!$I$6,$M3023='112'!$I$6))),"x",""))</f>
        <v/>
      </c>
      <c r="S3023" s="525" t="str">
        <f>IF(ISERROR(FIND('112'!$M$9,G3023,1)),"",IF((AND(LEFT(G3023,2)=LEFT('112'!$M$9,2),B3023&lt;'112'!$N$8,$L3023='112'!$I$6)),"x",""))</f>
        <v/>
      </c>
      <c r="T3023" s="525" t="str">
        <f>IF(ISERROR(FIND('112'!$M$9,G3023,1)),"",IF((AND(RIGHT(G3023,2)=RIGHT('112'!$M$9,2),B3023&lt;'112'!$N$8,$M3023='112'!$I$6)),"x",""))</f>
        <v/>
      </c>
      <c r="U3023" s="525" t="str">
        <f>IF(AND(B3023&gt;='IN-NX'!$P$3,B3023&lt;='IN-NX'!$Q$3,'IN-NX'!$D$7=D3023,OR(LEFT(L3023,2)="15",AND(LEFT(M3023,2)&lt;&gt;"15",LEFT(M3023,2)&lt;&gt;"33"))),"x","")</f>
        <v/>
      </c>
      <c r="V3023" s="525" t="str">
        <f>IF(AND(OR(LEFT(TH!L3023,2)="15",LEFT(TH!M3023,2)="15"),'152-CT'!$J$8=TH!F3023),"x","")</f>
        <v/>
      </c>
      <c r="W3023" s="525" t="str">
        <f>IF(AND(OR(LEFT(TH!L3023,2)="15",LEFT(TH!M3023,2)="15"),TK!$E$7=TH!F3023),"x","")</f>
        <v/>
      </c>
      <c r="X3023" s="525" t="str">
        <f>IF(AND('341-CT'!$E$9=H3023,OR(LEFT(L3023,3)=$X$7,LEFT(M3023,3)=$X$7)),"x","")</f>
        <v/>
      </c>
      <c r="Y3023" s="525" t="str">
        <f>IF(OR(TH!L3023=TH!$Y$7,M3023=TH!$Y$7),"x","")</f>
        <v/>
      </c>
      <c r="Z3023" s="525" t="str">
        <f>IF(AND(B3023&lt;=NKC!$N$8,B3023&gt;=NKC!$M$8),"x","")</f>
        <v/>
      </c>
      <c r="AA3023" s="687"/>
      <c r="AC3023" s="503"/>
      <c r="AD3023" s="689"/>
      <c r="AE3023" s="689"/>
    </row>
    <row r="3024" spans="1:31" s="688" customFormat="1" ht="15.75" customHeight="1">
      <c r="A3024" s="517" t="str">
        <f>IF(B3024&lt;&gt;"",IF(AND(B3024&gt;=_TM1,B3024&lt;=_TM2,OR(TH!L3024="1111",TH!M3024="1111")),TH!D3024,""),"")</f>
        <v/>
      </c>
      <c r="B3024" s="685">
        <f t="shared" si="263"/>
        <v>4</v>
      </c>
      <c r="C3024" s="671">
        <f t="shared" si="265"/>
        <v>42844</v>
      </c>
      <c r="D3024" s="718" t="s">
        <v>376</v>
      </c>
      <c r="E3024" s="671">
        <v>42844</v>
      </c>
      <c r="F3024" s="673" t="s">
        <v>505</v>
      </c>
      <c r="G3024" s="686" t="s">
        <v>1109</v>
      </c>
      <c r="H3024" s="675" t="s">
        <v>1184</v>
      </c>
      <c r="I3024" s="676">
        <v>825</v>
      </c>
      <c r="J3024" s="676">
        <v>32808.164848484848</v>
      </c>
      <c r="K3024" s="677">
        <f t="shared" si="264"/>
        <v>27066736</v>
      </c>
      <c r="L3024" s="678" t="s">
        <v>292</v>
      </c>
      <c r="M3024" s="678" t="s">
        <v>158</v>
      </c>
      <c r="N3024" s="525" t="str">
        <f>IF(AND('331-CT'!$E$7=TH!H3024,OR(L3024="331",M3024="331")),"331",IF(AND(OR(L3024="131",M3024="131"),H3024='131-CT'!$E$7),"131",""))</f>
        <v/>
      </c>
      <c r="O3024" s="525" t="str">
        <f>IF(AND($B3024&gt;='111'!$N$11,$B3024&lt;='111'!$O$11,OR($L3024=$O$7,$M3024=$O$7)),"x","")</f>
        <v/>
      </c>
      <c r="P3024" s="525" t="str">
        <f>IF(AND($L3024=$O$7,$B3024&lt;'111'!$N$11),"x","")</f>
        <v/>
      </c>
      <c r="Q3024" s="525" t="str">
        <f>IF(AND($M3024=$O$7,$B3024&lt;'111'!$N$11),"x","")</f>
        <v/>
      </c>
      <c r="R3024" s="525" t="str">
        <f>IF(ISERROR(FIND('112'!$M$9,G3024,1)),"",IF((AND(FIND('112'!$M$9,G3024,1)&gt;=1,$B3024&gt;='112'!$N$8,$B3024&lt;='112'!$O$8,OR($L3024='112'!$I$6,$M3024='112'!$I$6))),"x",""))</f>
        <v/>
      </c>
      <c r="S3024" s="525" t="str">
        <f>IF(ISERROR(FIND('112'!$M$9,G3024,1)),"",IF((AND(LEFT(G3024,2)=LEFT('112'!$M$9,2),B3024&lt;'112'!$N$8,$L3024='112'!$I$6)),"x",""))</f>
        <v/>
      </c>
      <c r="T3024" s="525" t="str">
        <f>IF(ISERROR(FIND('112'!$M$9,G3024,1)),"",IF((AND(RIGHT(G3024,2)=RIGHT('112'!$M$9,2),B3024&lt;'112'!$N$8,$M3024='112'!$I$6)),"x",""))</f>
        <v/>
      </c>
      <c r="U3024" s="525" t="str">
        <f>IF(AND(B3024&gt;='IN-NX'!$P$3,B3024&lt;='IN-NX'!$Q$3,'IN-NX'!$D$7=D3024,OR(LEFT(L3024,2)="15",AND(LEFT(M3024,2)&lt;&gt;"15",LEFT(M3024,2)&lt;&gt;"33"))),"x","")</f>
        <v/>
      </c>
      <c r="V3024" s="525" t="str">
        <f>IF(AND(OR(LEFT(TH!L3024,2)="15",LEFT(TH!M3024,2)="15"),'152-CT'!$J$8=TH!F3024),"x","")</f>
        <v/>
      </c>
      <c r="W3024" s="525" t="str">
        <f>IF(AND(OR(LEFT(TH!L3024,2)="15",LEFT(TH!M3024,2)="15"),TK!$E$7=TH!F3024),"x","")</f>
        <v/>
      </c>
      <c r="X3024" s="525" t="str">
        <f>IF(AND('341-CT'!$E$9=H3024,OR(LEFT(L3024,3)=$X$7,LEFT(M3024,3)=$X$7)),"x","")</f>
        <v/>
      </c>
      <c r="Y3024" s="525" t="str">
        <f>IF(OR(TH!L3024=TH!$Y$7,M3024=TH!$Y$7),"x","")</f>
        <v/>
      </c>
      <c r="Z3024" s="525" t="str">
        <f>IF(AND(B3024&lt;=NKC!$N$8,B3024&gt;=NKC!$M$8),"x","")</f>
        <v/>
      </c>
      <c r="AA3024" s="687"/>
      <c r="AC3024" s="503"/>
      <c r="AD3024" s="689"/>
      <c r="AE3024" s="689"/>
    </row>
    <row r="3025" spans="1:31" s="688" customFormat="1" ht="15.75" customHeight="1">
      <c r="A3025" s="517" t="str">
        <f>IF(B3025&lt;&gt;"",IF(AND(B3025&gt;=_TM1,B3025&lt;=_TM2,OR(TH!L3025="1111",TH!M3025="1111")),TH!D3025,""),"")</f>
        <v/>
      </c>
      <c r="B3025" s="685">
        <f t="shared" si="263"/>
        <v>4</v>
      </c>
      <c r="C3025" s="671">
        <f t="shared" si="265"/>
        <v>42846</v>
      </c>
      <c r="D3025" s="718" t="s">
        <v>376</v>
      </c>
      <c r="E3025" s="671">
        <v>42846</v>
      </c>
      <c r="F3025" s="673" t="s">
        <v>1037</v>
      </c>
      <c r="G3025" s="686" t="s">
        <v>1110</v>
      </c>
      <c r="H3025" s="675" t="s">
        <v>1184</v>
      </c>
      <c r="I3025" s="676">
        <v>300</v>
      </c>
      <c r="J3025" s="676">
        <v>10880.006666666666</v>
      </c>
      <c r="K3025" s="677">
        <f t="shared" si="264"/>
        <v>3264002</v>
      </c>
      <c r="L3025" s="678" t="s">
        <v>292</v>
      </c>
      <c r="M3025" s="678" t="s">
        <v>158</v>
      </c>
      <c r="N3025" s="525" t="str">
        <f>IF(AND('331-CT'!$E$7=TH!H3025,OR(L3025="331",M3025="331")),"331",IF(AND(OR(L3025="131",M3025="131"),H3025='131-CT'!$E$7),"131",""))</f>
        <v/>
      </c>
      <c r="O3025" s="525" t="str">
        <f>IF(AND($B3025&gt;='111'!$N$11,$B3025&lt;='111'!$O$11,OR($L3025=$O$7,$M3025=$O$7)),"x","")</f>
        <v/>
      </c>
      <c r="P3025" s="525" t="str">
        <f>IF(AND($L3025=$O$7,$B3025&lt;'111'!$N$11),"x","")</f>
        <v/>
      </c>
      <c r="Q3025" s="525" t="str">
        <f>IF(AND($M3025=$O$7,$B3025&lt;'111'!$N$11),"x","")</f>
        <v/>
      </c>
      <c r="R3025" s="525" t="str">
        <f>IF(ISERROR(FIND('112'!$M$9,G3025,1)),"",IF((AND(FIND('112'!$M$9,G3025,1)&gt;=1,$B3025&gt;='112'!$N$8,$B3025&lt;='112'!$O$8,OR($L3025='112'!$I$6,$M3025='112'!$I$6))),"x",""))</f>
        <v/>
      </c>
      <c r="S3025" s="525" t="str">
        <f>IF(ISERROR(FIND('112'!$M$9,G3025,1)),"",IF((AND(LEFT(G3025,2)=LEFT('112'!$M$9,2),B3025&lt;'112'!$N$8,$L3025='112'!$I$6)),"x",""))</f>
        <v/>
      </c>
      <c r="T3025" s="525" t="str">
        <f>IF(ISERROR(FIND('112'!$M$9,G3025,1)),"",IF((AND(RIGHT(G3025,2)=RIGHT('112'!$M$9,2),B3025&lt;'112'!$N$8,$M3025='112'!$I$6)),"x",""))</f>
        <v/>
      </c>
      <c r="U3025" s="525" t="str">
        <f>IF(AND(B3025&gt;='IN-NX'!$P$3,B3025&lt;='IN-NX'!$Q$3,'IN-NX'!$D$7=D3025,OR(LEFT(L3025,2)="15",AND(LEFT(M3025,2)&lt;&gt;"15",LEFT(M3025,2)&lt;&gt;"33"))),"x","")</f>
        <v/>
      </c>
      <c r="V3025" s="525" t="str">
        <f>IF(AND(OR(LEFT(TH!L3025,2)="15",LEFT(TH!M3025,2)="15"),'152-CT'!$J$8=TH!F3025),"x","")</f>
        <v/>
      </c>
      <c r="W3025" s="525" t="str">
        <f>IF(AND(OR(LEFT(TH!L3025,2)="15",LEFT(TH!M3025,2)="15"),TK!$E$7=TH!F3025),"x","")</f>
        <v/>
      </c>
      <c r="X3025" s="525" t="str">
        <f>IF(AND('341-CT'!$E$9=H3025,OR(LEFT(L3025,3)=$X$7,LEFT(M3025,3)=$X$7)),"x","")</f>
        <v/>
      </c>
      <c r="Y3025" s="525" t="str">
        <f>IF(OR(TH!L3025=TH!$Y$7,M3025=TH!$Y$7),"x","")</f>
        <v/>
      </c>
      <c r="Z3025" s="525" t="str">
        <f>IF(AND(B3025&lt;=NKC!$N$8,B3025&gt;=NKC!$M$8),"x","")</f>
        <v/>
      </c>
      <c r="AA3025" s="687"/>
      <c r="AC3025" s="503"/>
      <c r="AD3025" s="689"/>
      <c r="AE3025" s="689"/>
    </row>
    <row r="3026" spans="1:31" s="688" customFormat="1" ht="15.75" customHeight="1">
      <c r="A3026" s="517" t="str">
        <f>IF(B3026&lt;&gt;"",IF(AND(B3026&gt;=_TM1,B3026&lt;=_TM2,OR(TH!L3026="1111",TH!M3026="1111")),TH!D3026,""),"")</f>
        <v/>
      </c>
      <c r="B3026" s="685">
        <f t="shared" si="263"/>
        <v>4</v>
      </c>
      <c r="C3026" s="671">
        <f t="shared" si="265"/>
        <v>42846</v>
      </c>
      <c r="D3026" s="718" t="s">
        <v>376</v>
      </c>
      <c r="E3026" s="671">
        <v>42846</v>
      </c>
      <c r="F3026" s="673" t="s">
        <v>1039</v>
      </c>
      <c r="G3026" s="686" t="s">
        <v>1110</v>
      </c>
      <c r="H3026" s="675" t="s">
        <v>1184</v>
      </c>
      <c r="I3026" s="676">
        <v>200</v>
      </c>
      <c r="J3026" s="676">
        <v>19272.044999999998</v>
      </c>
      <c r="K3026" s="677">
        <f t="shared" si="264"/>
        <v>3854409</v>
      </c>
      <c r="L3026" s="678" t="s">
        <v>292</v>
      </c>
      <c r="M3026" s="678" t="s">
        <v>158</v>
      </c>
      <c r="N3026" s="525" t="str">
        <f>IF(AND('331-CT'!$E$7=TH!H3026,OR(L3026="331",M3026="331")),"331",IF(AND(OR(L3026="131",M3026="131"),H3026='131-CT'!$E$7),"131",""))</f>
        <v/>
      </c>
      <c r="O3026" s="525" t="str">
        <f>IF(AND($B3026&gt;='111'!$N$11,$B3026&lt;='111'!$O$11,OR($L3026=$O$7,$M3026=$O$7)),"x","")</f>
        <v/>
      </c>
      <c r="P3026" s="525" t="str">
        <f>IF(AND($L3026=$O$7,$B3026&lt;'111'!$N$11),"x","")</f>
        <v/>
      </c>
      <c r="Q3026" s="525" t="str">
        <f>IF(AND($M3026=$O$7,$B3026&lt;'111'!$N$11),"x","")</f>
        <v/>
      </c>
      <c r="R3026" s="525" t="str">
        <f>IF(ISERROR(FIND('112'!$M$9,G3026,1)),"",IF((AND(FIND('112'!$M$9,G3026,1)&gt;=1,$B3026&gt;='112'!$N$8,$B3026&lt;='112'!$O$8,OR($L3026='112'!$I$6,$M3026='112'!$I$6))),"x",""))</f>
        <v/>
      </c>
      <c r="S3026" s="525" t="str">
        <f>IF(ISERROR(FIND('112'!$M$9,G3026,1)),"",IF((AND(LEFT(G3026,2)=LEFT('112'!$M$9,2),B3026&lt;'112'!$N$8,$L3026='112'!$I$6)),"x",""))</f>
        <v/>
      </c>
      <c r="T3026" s="525" t="str">
        <f>IF(ISERROR(FIND('112'!$M$9,G3026,1)),"",IF((AND(RIGHT(G3026,2)=RIGHT('112'!$M$9,2),B3026&lt;'112'!$N$8,$M3026='112'!$I$6)),"x",""))</f>
        <v/>
      </c>
      <c r="U3026" s="525" t="str">
        <f>IF(AND(B3026&gt;='IN-NX'!$P$3,B3026&lt;='IN-NX'!$Q$3,'IN-NX'!$D$7=D3026,OR(LEFT(L3026,2)="15",AND(LEFT(M3026,2)&lt;&gt;"15",LEFT(M3026,2)&lt;&gt;"33"))),"x","")</f>
        <v/>
      </c>
      <c r="V3026" s="525" t="str">
        <f>IF(AND(OR(LEFT(TH!L3026,2)="15",LEFT(TH!M3026,2)="15"),'152-CT'!$J$8=TH!F3026),"x","")</f>
        <v/>
      </c>
      <c r="W3026" s="525" t="str">
        <f>IF(AND(OR(LEFT(TH!L3026,2)="15",LEFT(TH!M3026,2)="15"),TK!$E$7=TH!F3026),"x","")</f>
        <v/>
      </c>
      <c r="X3026" s="525" t="str">
        <f>IF(AND('341-CT'!$E$9=H3026,OR(LEFT(L3026,3)=$X$7,LEFT(M3026,3)=$X$7)),"x","")</f>
        <v/>
      </c>
      <c r="Y3026" s="525" t="str">
        <f>IF(OR(TH!L3026=TH!$Y$7,M3026=TH!$Y$7),"x","")</f>
        <v/>
      </c>
      <c r="Z3026" s="525" t="str">
        <f>IF(AND(B3026&lt;=NKC!$N$8,B3026&gt;=NKC!$M$8),"x","")</f>
        <v/>
      </c>
      <c r="AA3026" s="687"/>
      <c r="AC3026" s="503"/>
      <c r="AD3026" s="689"/>
      <c r="AE3026" s="689"/>
    </row>
    <row r="3027" spans="1:31" s="688" customFormat="1" ht="15.75" customHeight="1">
      <c r="A3027" s="517" t="str">
        <f>IF(B3027&lt;&gt;"",IF(AND(B3027&gt;=_TM1,B3027&lt;=_TM2,OR(TH!L3027="1111",TH!M3027="1111")),TH!D3027,""),"")</f>
        <v/>
      </c>
      <c r="B3027" s="685">
        <f t="shared" si="263"/>
        <v>4</v>
      </c>
      <c r="C3027" s="671">
        <f t="shared" si="265"/>
        <v>42853</v>
      </c>
      <c r="D3027" s="718" t="s">
        <v>376</v>
      </c>
      <c r="E3027" s="671">
        <v>42853</v>
      </c>
      <c r="F3027" s="719" t="s">
        <v>692</v>
      </c>
      <c r="G3027" s="686" t="s">
        <v>1116</v>
      </c>
      <c r="H3027" s="675" t="s">
        <v>1184</v>
      </c>
      <c r="I3027" s="676">
        <v>18</v>
      </c>
      <c r="J3027" s="676">
        <v>185535.94444444444</v>
      </c>
      <c r="K3027" s="677">
        <f t="shared" si="264"/>
        <v>3339647</v>
      </c>
      <c r="L3027" s="678" t="s">
        <v>292</v>
      </c>
      <c r="M3027" s="678" t="s">
        <v>158</v>
      </c>
      <c r="N3027" s="525" t="str">
        <f>IF(AND('331-CT'!$E$7=TH!H3027,OR(L3027="331",M3027="331")),"331",IF(AND(OR(L3027="131",M3027="131"),H3027='131-CT'!$E$7),"131",""))</f>
        <v/>
      </c>
      <c r="O3027" s="525" t="str">
        <f>IF(AND($B3027&gt;='111'!$N$11,$B3027&lt;='111'!$O$11,OR($L3027=$O$7,$M3027=$O$7)),"x","")</f>
        <v/>
      </c>
      <c r="P3027" s="525" t="str">
        <f>IF(AND($L3027=$O$7,$B3027&lt;'111'!$N$11),"x","")</f>
        <v/>
      </c>
      <c r="Q3027" s="525" t="str">
        <f>IF(AND($M3027=$O$7,$B3027&lt;'111'!$N$11),"x","")</f>
        <v/>
      </c>
      <c r="R3027" s="525" t="str">
        <f>IF(ISERROR(FIND('112'!$M$9,G3027,1)),"",IF((AND(FIND('112'!$M$9,G3027,1)&gt;=1,$B3027&gt;='112'!$N$8,$B3027&lt;='112'!$O$8,OR($L3027='112'!$I$6,$M3027='112'!$I$6))),"x",""))</f>
        <v/>
      </c>
      <c r="S3027" s="525" t="str">
        <f>IF(ISERROR(FIND('112'!$M$9,G3027,1)),"",IF((AND(LEFT(G3027,2)=LEFT('112'!$M$9,2),B3027&lt;'112'!$N$8,$L3027='112'!$I$6)),"x",""))</f>
        <v/>
      </c>
      <c r="T3027" s="525" t="str">
        <f>IF(ISERROR(FIND('112'!$M$9,G3027,1)),"",IF((AND(RIGHT(G3027,2)=RIGHT('112'!$M$9,2),B3027&lt;'112'!$N$8,$M3027='112'!$I$6)),"x",""))</f>
        <v/>
      </c>
      <c r="U3027" s="525" t="str">
        <f>IF(AND(B3027&gt;='IN-NX'!$P$3,B3027&lt;='IN-NX'!$Q$3,'IN-NX'!$D$7=D3027,OR(LEFT(L3027,2)="15",AND(LEFT(M3027,2)&lt;&gt;"15",LEFT(M3027,2)&lt;&gt;"33"))),"x","")</f>
        <v/>
      </c>
      <c r="V3027" s="525" t="str">
        <f>IF(AND(OR(LEFT(TH!L3027,2)="15",LEFT(TH!M3027,2)="15"),'152-CT'!$J$8=TH!F3027),"x","")</f>
        <v/>
      </c>
      <c r="W3027" s="525" t="str">
        <f>IF(AND(OR(LEFT(TH!L3027,2)="15",LEFT(TH!M3027,2)="15"),TK!$E$7=TH!F3027),"x","")</f>
        <v/>
      </c>
      <c r="X3027" s="525" t="str">
        <f>IF(AND('341-CT'!$E$9=H3027,OR(LEFT(L3027,3)=$X$7,LEFT(M3027,3)=$X$7)),"x","")</f>
        <v/>
      </c>
      <c r="Y3027" s="525" t="str">
        <f>IF(OR(TH!L3027=TH!$Y$7,M3027=TH!$Y$7),"x","")</f>
        <v/>
      </c>
      <c r="Z3027" s="525" t="str">
        <f>IF(AND(B3027&lt;=NKC!$N$8,B3027&gt;=NKC!$M$8),"x","")</f>
        <v/>
      </c>
      <c r="AA3027" s="687"/>
      <c r="AC3027" s="503"/>
      <c r="AD3027" s="689"/>
      <c r="AE3027" s="689"/>
    </row>
    <row r="3028" spans="1:31" s="688" customFormat="1" ht="15.75" customHeight="1">
      <c r="A3028" s="517" t="str">
        <f>IF(B3028&lt;&gt;"",IF(AND(B3028&gt;=_TM1,B3028&lt;=_TM2,OR(TH!L3028="1111",TH!M3028="1111")),TH!D3028,""),"")</f>
        <v/>
      </c>
      <c r="B3028" s="685">
        <f t="shared" si="263"/>
        <v>4</v>
      </c>
      <c r="C3028" s="671">
        <f t="shared" si="265"/>
        <v>42853</v>
      </c>
      <c r="D3028" s="718" t="s">
        <v>376</v>
      </c>
      <c r="E3028" s="671">
        <v>42853</v>
      </c>
      <c r="F3028" s="673" t="s">
        <v>740</v>
      </c>
      <c r="G3028" s="686" t="s">
        <v>1116</v>
      </c>
      <c r="H3028" s="675" t="s">
        <v>1184</v>
      </c>
      <c r="I3028" s="676">
        <v>20</v>
      </c>
      <c r="J3028" s="676">
        <v>162465.15</v>
      </c>
      <c r="K3028" s="677">
        <f t="shared" si="264"/>
        <v>3249303</v>
      </c>
      <c r="L3028" s="678" t="s">
        <v>292</v>
      </c>
      <c r="M3028" s="678" t="s">
        <v>158</v>
      </c>
      <c r="N3028" s="525" t="str">
        <f>IF(AND('331-CT'!$E$7=TH!H3028,OR(L3028="331",M3028="331")),"331",IF(AND(OR(L3028="131",M3028="131"),H3028='131-CT'!$E$7),"131",""))</f>
        <v/>
      </c>
      <c r="O3028" s="525" t="str">
        <f>IF(AND($B3028&gt;='111'!$N$11,$B3028&lt;='111'!$O$11,OR($L3028=$O$7,$M3028=$O$7)),"x","")</f>
        <v/>
      </c>
      <c r="P3028" s="525" t="str">
        <f>IF(AND($L3028=$O$7,$B3028&lt;'111'!$N$11),"x","")</f>
        <v/>
      </c>
      <c r="Q3028" s="525" t="str">
        <f>IF(AND($M3028=$O$7,$B3028&lt;'111'!$N$11),"x","")</f>
        <v/>
      </c>
      <c r="R3028" s="525" t="str">
        <f>IF(ISERROR(FIND('112'!$M$9,G3028,1)),"",IF((AND(FIND('112'!$M$9,G3028,1)&gt;=1,$B3028&gt;='112'!$N$8,$B3028&lt;='112'!$O$8,OR($L3028='112'!$I$6,$M3028='112'!$I$6))),"x",""))</f>
        <v/>
      </c>
      <c r="S3028" s="525" t="str">
        <f>IF(ISERROR(FIND('112'!$M$9,G3028,1)),"",IF((AND(LEFT(G3028,2)=LEFT('112'!$M$9,2),B3028&lt;'112'!$N$8,$L3028='112'!$I$6)),"x",""))</f>
        <v/>
      </c>
      <c r="T3028" s="525" t="str">
        <f>IF(ISERROR(FIND('112'!$M$9,G3028,1)),"",IF((AND(RIGHT(G3028,2)=RIGHT('112'!$M$9,2),B3028&lt;'112'!$N$8,$M3028='112'!$I$6)),"x",""))</f>
        <v/>
      </c>
      <c r="U3028" s="525" t="str">
        <f>IF(AND(B3028&gt;='IN-NX'!$P$3,B3028&lt;='IN-NX'!$Q$3,'IN-NX'!$D$7=D3028,OR(LEFT(L3028,2)="15",AND(LEFT(M3028,2)&lt;&gt;"15",LEFT(M3028,2)&lt;&gt;"33"))),"x","")</f>
        <v/>
      </c>
      <c r="V3028" s="525" t="str">
        <f>IF(AND(OR(LEFT(TH!L3028,2)="15",LEFT(TH!M3028,2)="15"),'152-CT'!$J$8=TH!F3028),"x","")</f>
        <v/>
      </c>
      <c r="W3028" s="525" t="str">
        <f>IF(AND(OR(LEFT(TH!L3028,2)="15",LEFT(TH!M3028,2)="15"),TK!$E$7=TH!F3028),"x","")</f>
        <v/>
      </c>
      <c r="X3028" s="525" t="str">
        <f>IF(AND('341-CT'!$E$9=H3028,OR(LEFT(L3028,3)=$X$7,LEFT(M3028,3)=$X$7)),"x","")</f>
        <v/>
      </c>
      <c r="Y3028" s="525" t="str">
        <f>IF(OR(TH!L3028=TH!$Y$7,M3028=TH!$Y$7),"x","")</f>
        <v/>
      </c>
      <c r="Z3028" s="525" t="str">
        <f>IF(AND(B3028&lt;=NKC!$N$8,B3028&gt;=NKC!$M$8),"x","")</f>
        <v/>
      </c>
      <c r="AA3028" s="687"/>
      <c r="AC3028" s="503"/>
      <c r="AE3028" s="689"/>
    </row>
    <row r="3029" spans="1:31" s="688" customFormat="1" ht="15.75" customHeight="1">
      <c r="A3029" s="517" t="str">
        <f>IF(B3029&lt;&gt;"",IF(AND(B3029&gt;=_TM1,B3029&lt;=_TM2,OR(TH!L3029="1111",TH!M3029="1111")),TH!D3029,""),"")</f>
        <v/>
      </c>
      <c r="B3029" s="685">
        <f t="shared" si="263"/>
        <v>4</v>
      </c>
      <c r="C3029" s="671">
        <f t="shared" si="265"/>
        <v>42853</v>
      </c>
      <c r="D3029" s="718" t="s">
        <v>376</v>
      </c>
      <c r="E3029" s="671">
        <v>42853</v>
      </c>
      <c r="F3029" s="719" t="s">
        <v>629</v>
      </c>
      <c r="G3029" s="686" t="s">
        <v>1116</v>
      </c>
      <c r="H3029" s="675" t="s">
        <v>1184</v>
      </c>
      <c r="I3029" s="676">
        <v>50</v>
      </c>
      <c r="J3029" s="676">
        <v>24637.200000000001</v>
      </c>
      <c r="K3029" s="677">
        <f t="shared" si="264"/>
        <v>1231860</v>
      </c>
      <c r="L3029" s="678" t="s">
        <v>292</v>
      </c>
      <c r="M3029" s="678" t="s">
        <v>158</v>
      </c>
      <c r="N3029" s="525" t="str">
        <f>IF(AND('331-CT'!$E$7=TH!H3029,OR(L3029="331",M3029="331")),"331",IF(AND(OR(L3029="131",M3029="131"),H3029='131-CT'!$E$7),"131",""))</f>
        <v/>
      </c>
      <c r="O3029" s="525" t="str">
        <f>IF(AND($B3029&gt;='111'!$N$11,$B3029&lt;='111'!$O$11,OR($L3029=$O$7,$M3029=$O$7)),"x","")</f>
        <v/>
      </c>
      <c r="P3029" s="525" t="str">
        <f>IF(AND($L3029=$O$7,$B3029&lt;'111'!$N$11),"x","")</f>
        <v/>
      </c>
      <c r="Q3029" s="525" t="str">
        <f>IF(AND($M3029=$O$7,$B3029&lt;'111'!$N$11),"x","")</f>
        <v/>
      </c>
      <c r="R3029" s="525" t="str">
        <f>IF(ISERROR(FIND('112'!$M$9,G3029,1)),"",IF((AND(FIND('112'!$M$9,G3029,1)&gt;=1,$B3029&gt;='112'!$N$8,$B3029&lt;='112'!$O$8,OR($L3029='112'!$I$6,$M3029='112'!$I$6))),"x",""))</f>
        <v/>
      </c>
      <c r="S3029" s="525" t="str">
        <f>IF(ISERROR(FIND('112'!$M$9,G3029,1)),"",IF((AND(LEFT(G3029,2)=LEFT('112'!$M$9,2),B3029&lt;'112'!$N$8,$L3029='112'!$I$6)),"x",""))</f>
        <v/>
      </c>
      <c r="T3029" s="525" t="str">
        <f>IF(ISERROR(FIND('112'!$M$9,G3029,1)),"",IF((AND(RIGHT(G3029,2)=RIGHT('112'!$M$9,2),B3029&lt;'112'!$N$8,$M3029='112'!$I$6)),"x",""))</f>
        <v/>
      </c>
      <c r="U3029" s="525" t="str">
        <f>IF(AND(B3029&gt;='IN-NX'!$P$3,B3029&lt;='IN-NX'!$Q$3,'IN-NX'!$D$7=D3029,OR(LEFT(L3029,2)="15",AND(LEFT(M3029,2)&lt;&gt;"15",LEFT(M3029,2)&lt;&gt;"33"))),"x","")</f>
        <v/>
      </c>
      <c r="V3029" s="525" t="str">
        <f>IF(AND(OR(LEFT(TH!L3029,2)="15",LEFT(TH!M3029,2)="15"),'152-CT'!$J$8=TH!F3029),"x","")</f>
        <v/>
      </c>
      <c r="W3029" s="525" t="str">
        <f>IF(AND(OR(LEFT(TH!L3029,2)="15",LEFT(TH!M3029,2)="15"),TK!$E$7=TH!F3029),"x","")</f>
        <v/>
      </c>
      <c r="X3029" s="525" t="str">
        <f>IF(AND('341-CT'!$E$9=H3029,OR(LEFT(L3029,3)=$X$7,LEFT(M3029,3)=$X$7)),"x","")</f>
        <v/>
      </c>
      <c r="Y3029" s="525" t="str">
        <f>IF(OR(TH!L3029=TH!$Y$7,M3029=TH!$Y$7),"x","")</f>
        <v/>
      </c>
      <c r="Z3029" s="525" t="str">
        <f>IF(AND(B3029&lt;=NKC!$N$8,B3029&gt;=NKC!$M$8),"x","")</f>
        <v/>
      </c>
      <c r="AA3029" s="687"/>
      <c r="AC3029" s="503"/>
      <c r="AE3029" s="689"/>
    </row>
    <row r="3030" spans="1:31" s="688" customFormat="1" ht="15.75" customHeight="1">
      <c r="A3030" s="517" t="str">
        <f>IF(B3030&lt;&gt;"",IF(AND(B3030&gt;=_TM1,B3030&lt;=_TM2,OR(TH!L3030="1111",TH!M3030="1111")),TH!D3030,""),"")</f>
        <v/>
      </c>
      <c r="B3030" s="685">
        <f t="shared" si="263"/>
        <v>4</v>
      </c>
      <c r="C3030" s="671">
        <f t="shared" si="265"/>
        <v>42853</v>
      </c>
      <c r="D3030" s="718" t="s">
        <v>376</v>
      </c>
      <c r="E3030" s="671">
        <v>42853</v>
      </c>
      <c r="F3030" s="673" t="s">
        <v>619</v>
      </c>
      <c r="G3030" s="686" t="s">
        <v>1116</v>
      </c>
      <c r="H3030" s="675" t="s">
        <v>1184</v>
      </c>
      <c r="I3030" s="676">
        <v>292</v>
      </c>
      <c r="J3030" s="676">
        <v>20456.883561643837</v>
      </c>
      <c r="K3030" s="677">
        <f t="shared" si="264"/>
        <v>5973410</v>
      </c>
      <c r="L3030" s="678" t="s">
        <v>292</v>
      </c>
      <c r="M3030" s="678" t="s">
        <v>158</v>
      </c>
      <c r="N3030" s="525" t="str">
        <f>IF(AND('331-CT'!$E$7=TH!H3030,OR(L3030="331",M3030="331")),"331",IF(AND(OR(L3030="131",M3030="131"),H3030='131-CT'!$E$7),"131",""))</f>
        <v/>
      </c>
      <c r="O3030" s="525" t="str">
        <f>IF(AND($B3030&gt;='111'!$N$11,$B3030&lt;='111'!$O$11,OR($L3030=$O$7,$M3030=$O$7)),"x","")</f>
        <v/>
      </c>
      <c r="P3030" s="525" t="str">
        <f>IF(AND($L3030=$O$7,$B3030&lt;'111'!$N$11),"x","")</f>
        <v/>
      </c>
      <c r="Q3030" s="525" t="str">
        <f>IF(AND($M3030=$O$7,$B3030&lt;'111'!$N$11),"x","")</f>
        <v/>
      </c>
      <c r="R3030" s="525" t="str">
        <f>IF(ISERROR(FIND('112'!$M$9,G3030,1)),"",IF((AND(FIND('112'!$M$9,G3030,1)&gt;=1,$B3030&gt;='112'!$N$8,$B3030&lt;='112'!$O$8,OR($L3030='112'!$I$6,$M3030='112'!$I$6))),"x",""))</f>
        <v/>
      </c>
      <c r="S3030" s="525" t="str">
        <f>IF(ISERROR(FIND('112'!$M$9,G3030,1)),"",IF((AND(LEFT(G3030,2)=LEFT('112'!$M$9,2),B3030&lt;'112'!$N$8,$L3030='112'!$I$6)),"x",""))</f>
        <v/>
      </c>
      <c r="T3030" s="525" t="str">
        <f>IF(ISERROR(FIND('112'!$M$9,G3030,1)),"",IF((AND(RIGHT(G3030,2)=RIGHT('112'!$M$9,2),B3030&lt;'112'!$N$8,$M3030='112'!$I$6)),"x",""))</f>
        <v/>
      </c>
      <c r="U3030" s="525" t="str">
        <f>IF(AND(B3030&gt;='IN-NX'!$P$3,B3030&lt;='IN-NX'!$Q$3,'IN-NX'!$D$7=D3030,OR(LEFT(L3030,2)="15",AND(LEFT(M3030,2)&lt;&gt;"15",LEFT(M3030,2)&lt;&gt;"33"))),"x","")</f>
        <v/>
      </c>
      <c r="V3030" s="525" t="str">
        <f>IF(AND(OR(LEFT(TH!L3030,2)="15",LEFT(TH!M3030,2)="15"),'152-CT'!$J$8=TH!F3030),"x","")</f>
        <v/>
      </c>
      <c r="W3030" s="525" t="str">
        <f>IF(AND(OR(LEFT(TH!L3030,2)="15",LEFT(TH!M3030,2)="15"),TK!$E$7=TH!F3030),"x","")</f>
        <v/>
      </c>
      <c r="X3030" s="525" t="str">
        <f>IF(AND('341-CT'!$E$9=H3030,OR(LEFT(L3030,3)=$X$7,LEFT(M3030,3)=$X$7)),"x","")</f>
        <v/>
      </c>
      <c r="Y3030" s="525" t="str">
        <f>IF(OR(TH!L3030=TH!$Y$7,M3030=TH!$Y$7),"x","")</f>
        <v/>
      </c>
      <c r="Z3030" s="525" t="str">
        <f>IF(AND(B3030&lt;=NKC!$N$8,B3030&gt;=NKC!$M$8),"x","")</f>
        <v/>
      </c>
      <c r="AA3030" s="687"/>
      <c r="AC3030" s="503"/>
      <c r="AD3030" s="689"/>
      <c r="AE3030" s="689"/>
    </row>
    <row r="3031" spans="1:31" s="688" customFormat="1" ht="15.75" customHeight="1">
      <c r="A3031" s="517" t="str">
        <f>IF(B3031&lt;&gt;"",IF(AND(B3031&gt;=_TM1,B3031&lt;=_TM2,OR(TH!L3031="1111",TH!M3031="1111")),TH!D3031,""),"")</f>
        <v/>
      </c>
      <c r="B3031" s="685">
        <f t="shared" si="263"/>
        <v>4</v>
      </c>
      <c r="C3031" s="671">
        <f t="shared" si="265"/>
        <v>42853</v>
      </c>
      <c r="D3031" s="718" t="s">
        <v>376</v>
      </c>
      <c r="E3031" s="671">
        <v>42853</v>
      </c>
      <c r="F3031" s="673" t="s">
        <v>1001</v>
      </c>
      <c r="G3031" s="686" t="s">
        <v>1116</v>
      </c>
      <c r="H3031" s="675" t="s">
        <v>1184</v>
      </c>
      <c r="I3031" s="676">
        <v>16</v>
      </c>
      <c r="J3031" s="676">
        <v>163873.4375</v>
      </c>
      <c r="K3031" s="677">
        <f t="shared" si="264"/>
        <v>2621975</v>
      </c>
      <c r="L3031" s="678" t="s">
        <v>292</v>
      </c>
      <c r="M3031" s="678" t="s">
        <v>158</v>
      </c>
      <c r="N3031" s="525" t="str">
        <f>IF(AND('331-CT'!$E$7=TH!H3031,OR(L3031="331",M3031="331")),"331",IF(AND(OR(L3031="131",M3031="131"),H3031='131-CT'!$E$7),"131",""))</f>
        <v/>
      </c>
      <c r="O3031" s="525" t="str">
        <f>IF(AND($B3031&gt;='111'!$N$11,$B3031&lt;='111'!$O$11,OR($L3031=$O$7,$M3031=$O$7)),"x","")</f>
        <v/>
      </c>
      <c r="P3031" s="525" t="str">
        <f>IF(AND($L3031=$O$7,$B3031&lt;'111'!$N$11),"x","")</f>
        <v/>
      </c>
      <c r="Q3031" s="525" t="str">
        <f>IF(AND($M3031=$O$7,$B3031&lt;'111'!$N$11),"x","")</f>
        <v/>
      </c>
      <c r="R3031" s="525" t="str">
        <f>IF(ISERROR(FIND('112'!$M$9,G3031,1)),"",IF((AND(FIND('112'!$M$9,G3031,1)&gt;=1,$B3031&gt;='112'!$N$8,$B3031&lt;='112'!$O$8,OR($L3031='112'!$I$6,$M3031='112'!$I$6))),"x",""))</f>
        <v/>
      </c>
      <c r="S3031" s="525" t="str">
        <f>IF(ISERROR(FIND('112'!$M$9,G3031,1)),"",IF((AND(LEFT(G3031,2)=LEFT('112'!$M$9,2),B3031&lt;'112'!$N$8,$L3031='112'!$I$6)),"x",""))</f>
        <v/>
      </c>
      <c r="T3031" s="525" t="str">
        <f>IF(ISERROR(FIND('112'!$M$9,G3031,1)),"",IF((AND(RIGHT(G3031,2)=RIGHT('112'!$M$9,2),B3031&lt;'112'!$N$8,$M3031='112'!$I$6)),"x",""))</f>
        <v/>
      </c>
      <c r="U3031" s="525" t="str">
        <f>IF(AND(B3031&gt;='IN-NX'!$P$3,B3031&lt;='IN-NX'!$Q$3,'IN-NX'!$D$7=D3031,OR(LEFT(L3031,2)="15",AND(LEFT(M3031,2)&lt;&gt;"15",LEFT(M3031,2)&lt;&gt;"33"))),"x","")</f>
        <v/>
      </c>
      <c r="V3031" s="525" t="str">
        <f>IF(AND(OR(LEFT(TH!L3031,2)="15",LEFT(TH!M3031,2)="15"),'152-CT'!$J$8=TH!F3031),"x","")</f>
        <v/>
      </c>
      <c r="W3031" s="525" t="str">
        <f>IF(AND(OR(LEFT(TH!L3031,2)="15",LEFT(TH!M3031,2)="15"),TK!$E$7=TH!F3031),"x","")</f>
        <v/>
      </c>
      <c r="X3031" s="525" t="str">
        <f>IF(AND('341-CT'!$E$9=H3031,OR(LEFT(L3031,3)=$X$7,LEFT(M3031,3)=$X$7)),"x","")</f>
        <v/>
      </c>
      <c r="Y3031" s="525" t="str">
        <f>IF(OR(TH!L3031=TH!$Y$7,M3031=TH!$Y$7),"x","")</f>
        <v/>
      </c>
      <c r="Z3031" s="525" t="str">
        <f>IF(AND(B3031&lt;=NKC!$N$8,B3031&gt;=NKC!$M$8),"x","")</f>
        <v/>
      </c>
      <c r="AA3031" s="687"/>
      <c r="AC3031" s="503"/>
      <c r="AD3031" s="689"/>
      <c r="AE3031" s="689"/>
    </row>
    <row r="3032" spans="1:31" s="688" customFormat="1" ht="15.75" customHeight="1">
      <c r="A3032" s="517" t="str">
        <f>IF(B3032&lt;&gt;"",IF(AND(B3032&gt;=_TM1,B3032&lt;=_TM2,OR(TH!L3032="1111",TH!M3032="1111")),TH!D3032,""),"")</f>
        <v/>
      </c>
      <c r="B3032" s="685">
        <f t="shared" si="263"/>
        <v>4</v>
      </c>
      <c r="C3032" s="671">
        <f t="shared" si="265"/>
        <v>42853</v>
      </c>
      <c r="D3032" s="718" t="s">
        <v>376</v>
      </c>
      <c r="E3032" s="671">
        <v>42853</v>
      </c>
      <c r="F3032" s="673" t="s">
        <v>627</v>
      </c>
      <c r="G3032" s="686" t="s">
        <v>1116</v>
      </c>
      <c r="H3032" s="675" t="s">
        <v>1184</v>
      </c>
      <c r="I3032" s="676">
        <v>100</v>
      </c>
      <c r="J3032" s="676">
        <v>49748.29</v>
      </c>
      <c r="K3032" s="677">
        <f t="shared" si="264"/>
        <v>4974829</v>
      </c>
      <c r="L3032" s="678" t="s">
        <v>292</v>
      </c>
      <c r="M3032" s="678" t="s">
        <v>158</v>
      </c>
      <c r="N3032" s="525" t="str">
        <f>IF(AND('331-CT'!$E$7=TH!H3032,OR(L3032="331",M3032="331")),"331",IF(AND(OR(L3032="131",M3032="131"),H3032='131-CT'!$E$7),"131",""))</f>
        <v/>
      </c>
      <c r="O3032" s="525" t="str">
        <f>IF(AND($B3032&gt;='111'!$N$11,$B3032&lt;='111'!$O$11,OR($L3032=$O$7,$M3032=$O$7)),"x","")</f>
        <v/>
      </c>
      <c r="P3032" s="525" t="str">
        <f>IF(AND($L3032=$O$7,$B3032&lt;'111'!$N$11),"x","")</f>
        <v/>
      </c>
      <c r="Q3032" s="525" t="str">
        <f>IF(AND($M3032=$O$7,$B3032&lt;'111'!$N$11),"x","")</f>
        <v/>
      </c>
      <c r="R3032" s="525" t="str">
        <f>IF(ISERROR(FIND('112'!$M$9,G3032,1)),"",IF((AND(FIND('112'!$M$9,G3032,1)&gt;=1,$B3032&gt;='112'!$N$8,$B3032&lt;='112'!$O$8,OR($L3032='112'!$I$6,$M3032='112'!$I$6))),"x",""))</f>
        <v/>
      </c>
      <c r="S3032" s="525" t="str">
        <f>IF(ISERROR(FIND('112'!$M$9,G3032,1)),"",IF((AND(LEFT(G3032,2)=LEFT('112'!$M$9,2),B3032&lt;'112'!$N$8,$L3032='112'!$I$6)),"x",""))</f>
        <v/>
      </c>
      <c r="T3032" s="525" t="str">
        <f>IF(ISERROR(FIND('112'!$M$9,G3032,1)),"",IF((AND(RIGHT(G3032,2)=RIGHT('112'!$M$9,2),B3032&lt;'112'!$N$8,$M3032='112'!$I$6)),"x",""))</f>
        <v/>
      </c>
      <c r="U3032" s="525" t="str">
        <f>IF(AND(B3032&gt;='IN-NX'!$P$3,B3032&lt;='IN-NX'!$Q$3,'IN-NX'!$D$7=D3032,OR(LEFT(L3032,2)="15",AND(LEFT(M3032,2)&lt;&gt;"15",LEFT(M3032,2)&lt;&gt;"33"))),"x","")</f>
        <v/>
      </c>
      <c r="V3032" s="525" t="str">
        <f>IF(AND(OR(LEFT(TH!L3032,2)="15",LEFT(TH!M3032,2)="15"),'152-CT'!$J$8=TH!F3032),"x","")</f>
        <v/>
      </c>
      <c r="W3032" s="525" t="str">
        <f>IF(AND(OR(LEFT(TH!L3032,2)="15",LEFT(TH!M3032,2)="15"),TK!$E$7=TH!F3032),"x","")</f>
        <v/>
      </c>
      <c r="X3032" s="525" t="str">
        <f>IF(AND('341-CT'!$E$9=H3032,OR(LEFT(L3032,3)=$X$7,LEFT(M3032,3)=$X$7)),"x","")</f>
        <v/>
      </c>
      <c r="Y3032" s="525" t="str">
        <f>IF(OR(TH!L3032=TH!$Y$7,M3032=TH!$Y$7),"x","")</f>
        <v/>
      </c>
      <c r="Z3032" s="525" t="str">
        <f>IF(AND(B3032&lt;=NKC!$N$8,B3032&gt;=NKC!$M$8),"x","")</f>
        <v/>
      </c>
      <c r="AA3032" s="687"/>
      <c r="AC3032" s="503"/>
      <c r="AD3032" s="689"/>
      <c r="AE3032" s="689"/>
    </row>
    <row r="3033" spans="1:31" s="688" customFormat="1" ht="15.75" customHeight="1">
      <c r="A3033" s="517" t="str">
        <f>IF(B3033&lt;&gt;"",IF(AND(B3033&gt;=_TM1,B3033&lt;=_TM2,OR(TH!L3033="1111",TH!M3033="1111")),TH!D3033,""),"")</f>
        <v/>
      </c>
      <c r="B3033" s="685">
        <f t="shared" ref="B3033:B3061" si="266">IF(C3033&lt;&gt;"",MONTH(C3033),"")</f>
        <v>4</v>
      </c>
      <c r="C3033" s="671">
        <f t="shared" si="265"/>
        <v>42853</v>
      </c>
      <c r="D3033" s="718" t="s">
        <v>376</v>
      </c>
      <c r="E3033" s="671">
        <v>42853</v>
      </c>
      <c r="F3033" s="673" t="s">
        <v>704</v>
      </c>
      <c r="G3033" s="686" t="s">
        <v>1116</v>
      </c>
      <c r="H3033" s="675" t="s">
        <v>1184</v>
      </c>
      <c r="I3033" s="676">
        <v>186</v>
      </c>
      <c r="J3033" s="676">
        <v>17818.053763440861</v>
      </c>
      <c r="K3033" s="677">
        <f t="shared" si="264"/>
        <v>3314158</v>
      </c>
      <c r="L3033" s="678" t="s">
        <v>292</v>
      </c>
      <c r="M3033" s="678" t="s">
        <v>158</v>
      </c>
      <c r="N3033" s="525" t="str">
        <f>IF(AND('331-CT'!$E$7=TH!H3033,OR(L3033="331",M3033="331")),"331",IF(AND(OR(L3033="131",M3033="131"),H3033='131-CT'!$E$7),"131",""))</f>
        <v/>
      </c>
      <c r="O3033" s="525" t="str">
        <f>IF(AND($B3033&gt;='111'!$N$11,$B3033&lt;='111'!$O$11,OR($L3033=$O$7,$M3033=$O$7)),"x","")</f>
        <v/>
      </c>
      <c r="P3033" s="525" t="str">
        <f>IF(AND($L3033=$O$7,$B3033&lt;'111'!$N$11),"x","")</f>
        <v/>
      </c>
      <c r="Q3033" s="525" t="str">
        <f>IF(AND($M3033=$O$7,$B3033&lt;'111'!$N$11),"x","")</f>
        <v/>
      </c>
      <c r="R3033" s="525" t="str">
        <f>IF(ISERROR(FIND('112'!$M$9,G3033,1)),"",IF((AND(FIND('112'!$M$9,G3033,1)&gt;=1,$B3033&gt;='112'!$N$8,$B3033&lt;='112'!$O$8,OR($L3033='112'!$I$6,$M3033='112'!$I$6))),"x",""))</f>
        <v/>
      </c>
      <c r="S3033" s="525" t="str">
        <f>IF(ISERROR(FIND('112'!$M$9,G3033,1)),"",IF((AND(LEFT(G3033,2)=LEFT('112'!$M$9,2),B3033&lt;'112'!$N$8,$L3033='112'!$I$6)),"x",""))</f>
        <v/>
      </c>
      <c r="T3033" s="525" t="str">
        <f>IF(ISERROR(FIND('112'!$M$9,G3033,1)),"",IF((AND(RIGHT(G3033,2)=RIGHT('112'!$M$9,2),B3033&lt;'112'!$N$8,$M3033='112'!$I$6)),"x",""))</f>
        <v/>
      </c>
      <c r="U3033" s="525" t="str">
        <f>IF(AND(B3033&gt;='IN-NX'!$P$3,B3033&lt;='IN-NX'!$Q$3,'IN-NX'!$D$7=D3033,OR(LEFT(L3033,2)="15",AND(LEFT(M3033,2)&lt;&gt;"15",LEFT(M3033,2)&lt;&gt;"33"))),"x","")</f>
        <v/>
      </c>
      <c r="V3033" s="525" t="str">
        <f>IF(AND(OR(LEFT(TH!L3033,2)="15",LEFT(TH!M3033,2)="15"),'152-CT'!$J$8=TH!F3033),"x","")</f>
        <v/>
      </c>
      <c r="W3033" s="525" t="str">
        <f>IF(AND(OR(LEFT(TH!L3033,2)="15",LEFT(TH!M3033,2)="15"),TK!$E$7=TH!F3033),"x","")</f>
        <v/>
      </c>
      <c r="X3033" s="525" t="str">
        <f>IF(AND('341-CT'!$E$9=H3033,OR(LEFT(L3033,3)=$X$7,LEFT(M3033,3)=$X$7)),"x","")</f>
        <v/>
      </c>
      <c r="Y3033" s="525" t="str">
        <f>IF(OR(TH!L3033=TH!$Y$7,M3033=TH!$Y$7),"x","")</f>
        <v/>
      </c>
      <c r="Z3033" s="525" t="str">
        <f>IF(AND(B3033&lt;=NKC!$N$8,B3033&gt;=NKC!$M$8),"x","")</f>
        <v/>
      </c>
      <c r="AA3033" s="687"/>
      <c r="AC3033" s="503"/>
      <c r="AD3033" s="689"/>
      <c r="AE3033" s="689"/>
    </row>
    <row r="3034" spans="1:31" s="688" customFormat="1" ht="15.75" customHeight="1">
      <c r="A3034" s="517" t="str">
        <f>IF(B3034&lt;&gt;"",IF(AND(B3034&gt;=_TM1,B3034&lt;=_TM2,OR(TH!L3034="1111",TH!M3034="1111")),TH!D3034,""),"")</f>
        <v/>
      </c>
      <c r="B3034" s="685">
        <f t="shared" si="266"/>
        <v>4</v>
      </c>
      <c r="C3034" s="671">
        <f t="shared" si="265"/>
        <v>42853</v>
      </c>
      <c r="D3034" s="718" t="s">
        <v>376</v>
      </c>
      <c r="E3034" s="671">
        <v>42853</v>
      </c>
      <c r="F3034" s="673" t="s">
        <v>611</v>
      </c>
      <c r="G3034" s="686" t="s">
        <v>1116</v>
      </c>
      <c r="H3034" s="675" t="s">
        <v>1184</v>
      </c>
      <c r="I3034" s="676">
        <v>182</v>
      </c>
      <c r="J3034" s="676">
        <v>40614.241758241755</v>
      </c>
      <c r="K3034" s="677">
        <f t="shared" si="264"/>
        <v>7391792</v>
      </c>
      <c r="L3034" s="678" t="s">
        <v>292</v>
      </c>
      <c r="M3034" s="678" t="s">
        <v>158</v>
      </c>
      <c r="N3034" s="525" t="str">
        <f>IF(AND('331-CT'!$E$7=TH!H3034,OR(L3034="331",M3034="331")),"331",IF(AND(OR(L3034="131",M3034="131"),H3034='131-CT'!$E$7),"131",""))</f>
        <v/>
      </c>
      <c r="O3034" s="525" t="str">
        <f>IF(AND($B3034&gt;='111'!$N$11,$B3034&lt;='111'!$O$11,OR($L3034=$O$7,$M3034=$O$7)),"x","")</f>
        <v/>
      </c>
      <c r="P3034" s="525" t="str">
        <f>IF(AND($L3034=$O$7,$B3034&lt;'111'!$N$11),"x","")</f>
        <v/>
      </c>
      <c r="Q3034" s="525" t="str">
        <f>IF(AND($M3034=$O$7,$B3034&lt;'111'!$N$11),"x","")</f>
        <v/>
      </c>
      <c r="R3034" s="525" t="str">
        <f>IF(ISERROR(FIND('112'!$M$9,G3034,1)),"",IF((AND(FIND('112'!$M$9,G3034,1)&gt;=1,$B3034&gt;='112'!$N$8,$B3034&lt;='112'!$O$8,OR($L3034='112'!$I$6,$M3034='112'!$I$6))),"x",""))</f>
        <v/>
      </c>
      <c r="S3034" s="525" t="str">
        <f>IF(ISERROR(FIND('112'!$M$9,G3034,1)),"",IF((AND(LEFT(G3034,2)=LEFT('112'!$M$9,2),B3034&lt;'112'!$N$8,$L3034='112'!$I$6)),"x",""))</f>
        <v/>
      </c>
      <c r="T3034" s="525" t="str">
        <f>IF(ISERROR(FIND('112'!$M$9,G3034,1)),"",IF((AND(RIGHT(G3034,2)=RIGHT('112'!$M$9,2),B3034&lt;'112'!$N$8,$M3034='112'!$I$6)),"x",""))</f>
        <v/>
      </c>
      <c r="U3034" s="525" t="str">
        <f>IF(AND(B3034&gt;='IN-NX'!$P$3,B3034&lt;='IN-NX'!$Q$3,'IN-NX'!$D$7=D3034,OR(LEFT(L3034,2)="15",AND(LEFT(M3034,2)&lt;&gt;"15",LEFT(M3034,2)&lt;&gt;"33"))),"x","")</f>
        <v/>
      </c>
      <c r="V3034" s="525" t="str">
        <f>IF(AND(OR(LEFT(TH!L3034,2)="15",LEFT(TH!M3034,2)="15"),'152-CT'!$J$8=TH!F3034),"x","")</f>
        <v/>
      </c>
      <c r="W3034" s="525" t="str">
        <f>IF(AND(OR(LEFT(TH!L3034,2)="15",LEFT(TH!M3034,2)="15"),TK!$E$7=TH!F3034),"x","")</f>
        <v/>
      </c>
      <c r="X3034" s="525" t="str">
        <f>IF(AND('341-CT'!$E$9=H3034,OR(LEFT(L3034,3)=$X$7,LEFT(M3034,3)=$X$7)),"x","")</f>
        <v/>
      </c>
      <c r="Y3034" s="525" t="str">
        <f>IF(OR(TH!L3034=TH!$Y$7,M3034=TH!$Y$7),"x","")</f>
        <v/>
      </c>
      <c r="Z3034" s="525" t="str">
        <f>IF(AND(B3034&lt;=NKC!$N$8,B3034&gt;=NKC!$M$8),"x","")</f>
        <v/>
      </c>
      <c r="AA3034" s="687"/>
      <c r="AC3034" s="503"/>
      <c r="AD3034" s="689"/>
      <c r="AE3034" s="689"/>
    </row>
    <row r="3035" spans="1:31" s="688" customFormat="1" ht="15.75" customHeight="1">
      <c r="A3035" s="517" t="str">
        <f>IF(B3035&lt;&gt;"",IF(AND(B3035&gt;=_TM1,B3035&lt;=_TM2,OR(TH!L3035="1111",TH!M3035="1111")),TH!D3035,""),"")</f>
        <v/>
      </c>
      <c r="B3035" s="685">
        <f t="shared" si="266"/>
        <v>4</v>
      </c>
      <c r="C3035" s="671">
        <f t="shared" si="265"/>
        <v>42853</v>
      </c>
      <c r="D3035" s="718" t="s">
        <v>376</v>
      </c>
      <c r="E3035" s="671">
        <v>42853</v>
      </c>
      <c r="F3035" s="673" t="s">
        <v>741</v>
      </c>
      <c r="G3035" s="686" t="s">
        <v>1116</v>
      </c>
      <c r="H3035" s="675" t="s">
        <v>1184</v>
      </c>
      <c r="I3035" s="676">
        <v>16</v>
      </c>
      <c r="J3035" s="676">
        <v>234099.4375</v>
      </c>
      <c r="K3035" s="677">
        <f t="shared" si="264"/>
        <v>3745591</v>
      </c>
      <c r="L3035" s="678" t="s">
        <v>292</v>
      </c>
      <c r="M3035" s="678" t="s">
        <v>158</v>
      </c>
      <c r="N3035" s="525" t="str">
        <f>IF(AND('331-CT'!$E$7=TH!H3035,OR(L3035="331",M3035="331")),"331",IF(AND(OR(L3035="131",M3035="131"),H3035='131-CT'!$E$7),"131",""))</f>
        <v/>
      </c>
      <c r="O3035" s="525" t="str">
        <f>IF(AND($B3035&gt;='111'!$N$11,$B3035&lt;='111'!$O$11,OR($L3035=$O$7,$M3035=$O$7)),"x","")</f>
        <v/>
      </c>
      <c r="P3035" s="525" t="str">
        <f>IF(AND($L3035=$O$7,$B3035&lt;'111'!$N$11),"x","")</f>
        <v/>
      </c>
      <c r="Q3035" s="525" t="str">
        <f>IF(AND($M3035=$O$7,$B3035&lt;'111'!$N$11),"x","")</f>
        <v/>
      </c>
      <c r="R3035" s="525" t="str">
        <f>IF(ISERROR(FIND('112'!$M$9,G3035,1)),"",IF((AND(FIND('112'!$M$9,G3035,1)&gt;=1,$B3035&gt;='112'!$N$8,$B3035&lt;='112'!$O$8,OR($L3035='112'!$I$6,$M3035='112'!$I$6))),"x",""))</f>
        <v/>
      </c>
      <c r="S3035" s="525" t="str">
        <f>IF(ISERROR(FIND('112'!$M$9,G3035,1)),"",IF((AND(LEFT(G3035,2)=LEFT('112'!$M$9,2),B3035&lt;'112'!$N$8,$L3035='112'!$I$6)),"x",""))</f>
        <v/>
      </c>
      <c r="T3035" s="525" t="str">
        <f>IF(ISERROR(FIND('112'!$M$9,G3035,1)),"",IF((AND(RIGHT(G3035,2)=RIGHT('112'!$M$9,2),B3035&lt;'112'!$N$8,$M3035='112'!$I$6)),"x",""))</f>
        <v/>
      </c>
      <c r="U3035" s="525" t="str">
        <f>IF(AND(B3035&gt;='IN-NX'!$P$3,B3035&lt;='IN-NX'!$Q$3,'IN-NX'!$D$7=D3035,OR(LEFT(L3035,2)="15",AND(LEFT(M3035,2)&lt;&gt;"15",LEFT(M3035,2)&lt;&gt;"33"))),"x","")</f>
        <v/>
      </c>
      <c r="V3035" s="525" t="str">
        <f>IF(AND(OR(LEFT(TH!L3035,2)="15",LEFT(TH!M3035,2)="15"),'152-CT'!$J$8=TH!F3035),"x","")</f>
        <v/>
      </c>
      <c r="W3035" s="525" t="str">
        <f>IF(AND(OR(LEFT(TH!L3035,2)="15",LEFT(TH!M3035,2)="15"),TK!$E$7=TH!F3035),"x","")</f>
        <v/>
      </c>
      <c r="X3035" s="525" t="str">
        <f>IF(AND('341-CT'!$E$9=H3035,OR(LEFT(L3035,3)=$X$7,LEFT(M3035,3)=$X$7)),"x","")</f>
        <v/>
      </c>
      <c r="Y3035" s="525" t="str">
        <f>IF(OR(TH!L3035=TH!$Y$7,M3035=TH!$Y$7),"x","")</f>
        <v/>
      </c>
      <c r="Z3035" s="525" t="str">
        <f>IF(AND(B3035&lt;=NKC!$N$8,B3035&gt;=NKC!$M$8),"x","")</f>
        <v/>
      </c>
      <c r="AA3035" s="687"/>
      <c r="AC3035" s="503"/>
      <c r="AD3035" s="689"/>
      <c r="AE3035" s="689"/>
    </row>
    <row r="3036" spans="1:31" s="688" customFormat="1" ht="15.75" customHeight="1">
      <c r="A3036" s="517" t="str">
        <f>IF(B3036&lt;&gt;"",IF(AND(B3036&gt;=_TM1,B3036&lt;=_TM2,OR(TH!L3036="1111",TH!M3036="1111")),TH!D3036,""),"")</f>
        <v/>
      </c>
      <c r="B3036" s="685">
        <f t="shared" si="266"/>
        <v>4</v>
      </c>
      <c r="C3036" s="671">
        <f t="shared" si="265"/>
        <v>42853</v>
      </c>
      <c r="D3036" s="718" t="s">
        <v>376</v>
      </c>
      <c r="E3036" s="671">
        <v>42853</v>
      </c>
      <c r="F3036" s="673" t="s">
        <v>795</v>
      </c>
      <c r="G3036" s="686" t="s">
        <v>1116</v>
      </c>
      <c r="H3036" s="675" t="s">
        <v>1184</v>
      </c>
      <c r="I3036" s="676">
        <v>60</v>
      </c>
      <c r="J3036" s="676">
        <v>76447.333333333328</v>
      </c>
      <c r="K3036" s="677">
        <f t="shared" si="264"/>
        <v>4586840</v>
      </c>
      <c r="L3036" s="678" t="s">
        <v>292</v>
      </c>
      <c r="M3036" s="678" t="s">
        <v>158</v>
      </c>
      <c r="N3036" s="525" t="str">
        <f>IF(AND('331-CT'!$E$7=TH!H3036,OR(L3036="331",M3036="331")),"331",IF(AND(OR(L3036="131",M3036="131"),H3036='131-CT'!$E$7),"131",""))</f>
        <v/>
      </c>
      <c r="O3036" s="525" t="str">
        <f>IF(AND($B3036&gt;='111'!$N$11,$B3036&lt;='111'!$O$11,OR($L3036=$O$7,$M3036=$O$7)),"x","")</f>
        <v/>
      </c>
      <c r="P3036" s="525" t="str">
        <f>IF(AND($L3036=$O$7,$B3036&lt;'111'!$N$11),"x","")</f>
        <v/>
      </c>
      <c r="Q3036" s="525" t="str">
        <f>IF(AND($M3036=$O$7,$B3036&lt;'111'!$N$11),"x","")</f>
        <v/>
      </c>
      <c r="R3036" s="525" t="str">
        <f>IF(ISERROR(FIND('112'!$M$9,G3036,1)),"",IF((AND(FIND('112'!$M$9,G3036,1)&gt;=1,$B3036&gt;='112'!$N$8,$B3036&lt;='112'!$O$8,OR($L3036='112'!$I$6,$M3036='112'!$I$6))),"x",""))</f>
        <v/>
      </c>
      <c r="S3036" s="525" t="str">
        <f>IF(ISERROR(FIND('112'!$M$9,G3036,1)),"",IF((AND(LEFT(G3036,2)=LEFT('112'!$M$9,2),B3036&lt;'112'!$N$8,$L3036='112'!$I$6)),"x",""))</f>
        <v/>
      </c>
      <c r="T3036" s="525" t="str">
        <f>IF(ISERROR(FIND('112'!$M$9,G3036,1)),"",IF((AND(RIGHT(G3036,2)=RIGHT('112'!$M$9,2),B3036&lt;'112'!$N$8,$M3036='112'!$I$6)),"x",""))</f>
        <v/>
      </c>
      <c r="U3036" s="525" t="str">
        <f>IF(AND(B3036&gt;='IN-NX'!$P$3,B3036&lt;='IN-NX'!$Q$3,'IN-NX'!$D$7=D3036,OR(LEFT(L3036,2)="15",AND(LEFT(M3036,2)&lt;&gt;"15",LEFT(M3036,2)&lt;&gt;"33"))),"x","")</f>
        <v/>
      </c>
      <c r="V3036" s="525" t="str">
        <f>IF(AND(OR(LEFT(TH!L3036,2)="15",LEFT(TH!M3036,2)="15"),'152-CT'!$J$8=TH!F3036),"x","")</f>
        <v/>
      </c>
      <c r="W3036" s="525" t="str">
        <f>IF(AND(OR(LEFT(TH!L3036,2)="15",LEFT(TH!M3036,2)="15"),TK!$E$7=TH!F3036),"x","")</f>
        <v/>
      </c>
      <c r="X3036" s="525" t="str">
        <f>IF(AND('341-CT'!$E$9=H3036,OR(LEFT(L3036,3)=$X$7,LEFT(M3036,3)=$X$7)),"x","")</f>
        <v/>
      </c>
      <c r="Y3036" s="525" t="str">
        <f>IF(OR(TH!L3036=TH!$Y$7,M3036=TH!$Y$7),"x","")</f>
        <v/>
      </c>
      <c r="Z3036" s="525" t="str">
        <f>IF(AND(B3036&lt;=NKC!$N$8,B3036&gt;=NKC!$M$8),"x","")</f>
        <v/>
      </c>
      <c r="AA3036" s="687"/>
      <c r="AC3036" s="503"/>
      <c r="AD3036" s="689"/>
      <c r="AE3036" s="689"/>
    </row>
    <row r="3037" spans="1:31" s="688" customFormat="1" ht="15.75" customHeight="1">
      <c r="A3037" s="517" t="str">
        <f>IF(B3037&lt;&gt;"",IF(AND(B3037&gt;=_TM1,B3037&lt;=_TM2,OR(TH!L3037="1111",TH!M3037="1111")),TH!D3037,""),"")</f>
        <v/>
      </c>
      <c r="B3037" s="685">
        <f t="shared" si="266"/>
        <v>4</v>
      </c>
      <c r="C3037" s="671">
        <f t="shared" si="265"/>
        <v>42853</v>
      </c>
      <c r="D3037" s="718" t="s">
        <v>376</v>
      </c>
      <c r="E3037" s="671">
        <v>42853</v>
      </c>
      <c r="F3037" s="673" t="s">
        <v>791</v>
      </c>
      <c r="G3037" s="686" t="s">
        <v>1116</v>
      </c>
      <c r="H3037" s="675" t="s">
        <v>1184</v>
      </c>
      <c r="I3037" s="676">
        <v>20</v>
      </c>
      <c r="J3037" s="676">
        <v>144239.15</v>
      </c>
      <c r="K3037" s="677">
        <f t="shared" si="264"/>
        <v>2884783</v>
      </c>
      <c r="L3037" s="678" t="s">
        <v>292</v>
      </c>
      <c r="M3037" s="678" t="s">
        <v>158</v>
      </c>
      <c r="N3037" s="525" t="str">
        <f>IF(AND('331-CT'!$E$7=TH!H3037,OR(L3037="331",M3037="331")),"331",IF(AND(OR(L3037="131",M3037="131"),H3037='131-CT'!$E$7),"131",""))</f>
        <v/>
      </c>
      <c r="O3037" s="525" t="str">
        <f>IF(AND($B3037&gt;='111'!$N$11,$B3037&lt;='111'!$O$11,OR($L3037=$O$7,$M3037=$O$7)),"x","")</f>
        <v/>
      </c>
      <c r="P3037" s="525" t="str">
        <f>IF(AND($L3037=$O$7,$B3037&lt;'111'!$N$11),"x","")</f>
        <v/>
      </c>
      <c r="Q3037" s="525" t="str">
        <f>IF(AND($M3037=$O$7,$B3037&lt;'111'!$N$11),"x","")</f>
        <v/>
      </c>
      <c r="R3037" s="525" t="str">
        <f>IF(ISERROR(FIND('112'!$M$9,G3037,1)),"",IF((AND(FIND('112'!$M$9,G3037,1)&gt;=1,$B3037&gt;='112'!$N$8,$B3037&lt;='112'!$O$8,OR($L3037='112'!$I$6,$M3037='112'!$I$6))),"x",""))</f>
        <v/>
      </c>
      <c r="S3037" s="525" t="str">
        <f>IF(ISERROR(FIND('112'!$M$9,G3037,1)),"",IF((AND(LEFT(G3037,2)=LEFT('112'!$M$9,2),B3037&lt;'112'!$N$8,$L3037='112'!$I$6)),"x",""))</f>
        <v/>
      </c>
      <c r="T3037" s="525" t="str">
        <f>IF(ISERROR(FIND('112'!$M$9,G3037,1)),"",IF((AND(RIGHT(G3037,2)=RIGHT('112'!$M$9,2),B3037&lt;'112'!$N$8,$M3037='112'!$I$6)),"x",""))</f>
        <v/>
      </c>
      <c r="U3037" s="525" t="str">
        <f>IF(AND(B3037&gt;='IN-NX'!$P$3,B3037&lt;='IN-NX'!$Q$3,'IN-NX'!$D$7=D3037,OR(LEFT(L3037,2)="15",AND(LEFT(M3037,2)&lt;&gt;"15",LEFT(M3037,2)&lt;&gt;"33"))),"x","")</f>
        <v/>
      </c>
      <c r="V3037" s="525" t="str">
        <f>IF(AND(OR(LEFT(TH!L3037,2)="15",LEFT(TH!M3037,2)="15"),'152-CT'!$J$8=TH!F3037),"x","")</f>
        <v/>
      </c>
      <c r="W3037" s="525" t="str">
        <f>IF(AND(OR(LEFT(TH!L3037,2)="15",LEFT(TH!M3037,2)="15"),TK!$E$7=TH!F3037),"x","")</f>
        <v/>
      </c>
      <c r="X3037" s="525" t="str">
        <f>IF(AND('341-CT'!$E$9=H3037,OR(LEFT(L3037,3)=$X$7,LEFT(M3037,3)=$X$7)),"x","")</f>
        <v/>
      </c>
      <c r="Y3037" s="525" t="str">
        <f>IF(OR(TH!L3037=TH!$Y$7,M3037=TH!$Y$7),"x","")</f>
        <v/>
      </c>
      <c r="Z3037" s="525" t="str">
        <f>IF(AND(B3037&lt;=NKC!$N$8,B3037&gt;=NKC!$M$8),"x","")</f>
        <v/>
      </c>
      <c r="AA3037" s="687"/>
      <c r="AC3037" s="503"/>
      <c r="AD3037" s="689"/>
      <c r="AE3037" s="689"/>
    </row>
    <row r="3038" spans="1:31" s="688" customFormat="1" ht="15.75" customHeight="1">
      <c r="A3038" s="517" t="str">
        <f>IF(B3038&lt;&gt;"",IF(AND(B3038&gt;=_TM1,B3038&lt;=_TM2,OR(TH!L3038="1111",TH!M3038="1111")),TH!D3038,""),"")</f>
        <v/>
      </c>
      <c r="B3038" s="685">
        <f t="shared" si="266"/>
        <v>4</v>
      </c>
      <c r="C3038" s="671">
        <f t="shared" si="265"/>
        <v>42853</v>
      </c>
      <c r="D3038" s="718" t="s">
        <v>376</v>
      </c>
      <c r="E3038" s="671">
        <v>42853</v>
      </c>
      <c r="F3038" s="673" t="s">
        <v>652</v>
      </c>
      <c r="G3038" s="686" t="s">
        <v>1116</v>
      </c>
      <c r="H3038" s="675" t="s">
        <v>1184</v>
      </c>
      <c r="I3038" s="676">
        <v>100</v>
      </c>
      <c r="J3038" s="676">
        <v>29251.17</v>
      </c>
      <c r="K3038" s="677">
        <f t="shared" si="264"/>
        <v>2925117</v>
      </c>
      <c r="L3038" s="678" t="s">
        <v>292</v>
      </c>
      <c r="M3038" s="678" t="s">
        <v>158</v>
      </c>
      <c r="N3038" s="525" t="str">
        <f>IF(AND('331-CT'!$E$7=TH!H3038,OR(L3038="331",M3038="331")),"331",IF(AND(OR(L3038="131",M3038="131"),H3038='131-CT'!$E$7),"131",""))</f>
        <v/>
      </c>
      <c r="O3038" s="525" t="str">
        <f>IF(AND($B3038&gt;='111'!$N$11,$B3038&lt;='111'!$O$11,OR($L3038=$O$7,$M3038=$O$7)),"x","")</f>
        <v/>
      </c>
      <c r="P3038" s="525" t="str">
        <f>IF(AND($L3038=$O$7,$B3038&lt;'111'!$N$11),"x","")</f>
        <v/>
      </c>
      <c r="Q3038" s="525" t="str">
        <f>IF(AND($M3038=$O$7,$B3038&lt;'111'!$N$11),"x","")</f>
        <v/>
      </c>
      <c r="R3038" s="525" t="str">
        <f>IF(ISERROR(FIND('112'!$M$9,G3038,1)),"",IF((AND(FIND('112'!$M$9,G3038,1)&gt;=1,$B3038&gt;='112'!$N$8,$B3038&lt;='112'!$O$8,OR($L3038='112'!$I$6,$M3038='112'!$I$6))),"x",""))</f>
        <v/>
      </c>
      <c r="S3038" s="525" t="str">
        <f>IF(ISERROR(FIND('112'!$M$9,G3038,1)),"",IF((AND(LEFT(G3038,2)=LEFT('112'!$M$9,2),B3038&lt;'112'!$N$8,$L3038='112'!$I$6)),"x",""))</f>
        <v/>
      </c>
      <c r="T3038" s="525" t="str">
        <f>IF(ISERROR(FIND('112'!$M$9,G3038,1)),"",IF((AND(RIGHT(G3038,2)=RIGHT('112'!$M$9,2),B3038&lt;'112'!$N$8,$M3038='112'!$I$6)),"x",""))</f>
        <v/>
      </c>
      <c r="U3038" s="525" t="str">
        <f>IF(AND(B3038&gt;='IN-NX'!$P$3,B3038&lt;='IN-NX'!$Q$3,'IN-NX'!$D$7=D3038,OR(LEFT(L3038,2)="15",AND(LEFT(M3038,2)&lt;&gt;"15",LEFT(M3038,2)&lt;&gt;"33"))),"x","")</f>
        <v/>
      </c>
      <c r="V3038" s="525" t="str">
        <f>IF(AND(OR(LEFT(TH!L3038,2)="15",LEFT(TH!M3038,2)="15"),'152-CT'!$J$8=TH!F3038),"x","")</f>
        <v/>
      </c>
      <c r="W3038" s="525" t="str">
        <f>IF(AND(OR(LEFT(TH!L3038,2)="15",LEFT(TH!M3038,2)="15"),TK!$E$7=TH!F3038),"x","")</f>
        <v/>
      </c>
      <c r="X3038" s="525" t="str">
        <f>IF(AND('341-CT'!$E$9=H3038,OR(LEFT(L3038,3)=$X$7,LEFT(M3038,3)=$X$7)),"x","")</f>
        <v/>
      </c>
      <c r="Y3038" s="525" t="str">
        <f>IF(OR(TH!L3038=TH!$Y$7,M3038=TH!$Y$7),"x","")</f>
        <v/>
      </c>
      <c r="Z3038" s="525" t="str">
        <f>IF(AND(B3038&lt;=NKC!$N$8,B3038&gt;=NKC!$M$8),"x","")</f>
        <v/>
      </c>
      <c r="AA3038" s="687"/>
      <c r="AC3038" s="503"/>
      <c r="AD3038" s="689"/>
      <c r="AE3038" s="689"/>
    </row>
    <row r="3039" spans="1:31" s="689" customFormat="1" ht="15.75" customHeight="1">
      <c r="A3039" s="517" t="str">
        <f>IF(B3039&lt;&gt;"",IF(AND(B3039&gt;=_TM1,B3039&lt;=_TM2,OR(TH!L3039="1111",TH!M3039="1111")),TH!D3039,""),"")</f>
        <v/>
      </c>
      <c r="B3039" s="685">
        <f t="shared" si="266"/>
        <v>4</v>
      </c>
      <c r="C3039" s="671">
        <f t="shared" si="265"/>
        <v>42853</v>
      </c>
      <c r="D3039" s="718" t="s">
        <v>376</v>
      </c>
      <c r="E3039" s="671">
        <v>42853</v>
      </c>
      <c r="F3039" s="719" t="s">
        <v>627</v>
      </c>
      <c r="G3039" s="686" t="s">
        <v>1116</v>
      </c>
      <c r="H3039" s="675" t="s">
        <v>1184</v>
      </c>
      <c r="I3039" s="676">
        <v>50</v>
      </c>
      <c r="J3039" s="676">
        <v>52863.4</v>
      </c>
      <c r="K3039" s="677">
        <f t="shared" si="264"/>
        <v>2643170</v>
      </c>
      <c r="L3039" s="678" t="s">
        <v>292</v>
      </c>
      <c r="M3039" s="678" t="s">
        <v>158</v>
      </c>
      <c r="N3039" s="525" t="str">
        <f>IF(AND('331-CT'!$E$7=TH!H3039,OR(L3039="331",M3039="331")),"331",IF(AND(OR(L3039="131",M3039="131"),H3039='131-CT'!$E$7),"131",""))</f>
        <v/>
      </c>
      <c r="O3039" s="525" t="str">
        <f>IF(AND($B3039&gt;='111'!$N$11,$B3039&lt;='111'!$O$11,OR($L3039=$O$7,$M3039=$O$7)),"x","")</f>
        <v/>
      </c>
      <c r="P3039" s="525" t="str">
        <f>IF(AND($L3039=$O$7,$B3039&lt;'111'!$N$11),"x","")</f>
        <v/>
      </c>
      <c r="Q3039" s="525" t="str">
        <f>IF(AND($M3039=$O$7,$B3039&lt;'111'!$N$11),"x","")</f>
        <v/>
      </c>
      <c r="R3039" s="525" t="str">
        <f>IF(ISERROR(FIND('112'!$M$9,G3039,1)),"",IF((AND(FIND('112'!$M$9,G3039,1)&gt;=1,$B3039&gt;='112'!$N$8,$B3039&lt;='112'!$O$8,OR($L3039='112'!$I$6,$M3039='112'!$I$6))),"x",""))</f>
        <v/>
      </c>
      <c r="S3039" s="525" t="str">
        <f>IF(ISERROR(FIND('112'!$M$9,G3039,1)),"",IF((AND(LEFT(G3039,2)=LEFT('112'!$M$9,2),B3039&lt;'112'!$N$8,$L3039='112'!$I$6)),"x",""))</f>
        <v/>
      </c>
      <c r="T3039" s="525" t="str">
        <f>IF(ISERROR(FIND('112'!$M$9,G3039,1)),"",IF((AND(RIGHT(G3039,2)=RIGHT('112'!$M$9,2),B3039&lt;'112'!$N$8,$M3039='112'!$I$6)),"x",""))</f>
        <v/>
      </c>
      <c r="U3039" s="525" t="str">
        <f>IF(AND(B3039&gt;='IN-NX'!$P$3,B3039&lt;='IN-NX'!$Q$3,'IN-NX'!$D$7=D3039,OR(LEFT(L3039,2)="15",AND(LEFT(M3039,2)&lt;&gt;"15",LEFT(M3039,2)&lt;&gt;"33"))),"x","")</f>
        <v/>
      </c>
      <c r="V3039" s="525" t="str">
        <f>IF(AND(OR(LEFT(TH!L3039,2)="15",LEFT(TH!M3039,2)="15"),'152-CT'!$J$8=TH!F3039),"x","")</f>
        <v/>
      </c>
      <c r="W3039" s="525" t="str">
        <f>IF(AND(OR(LEFT(TH!L3039,2)="15",LEFT(TH!M3039,2)="15"),TK!$E$7=TH!F3039),"x","")</f>
        <v/>
      </c>
      <c r="X3039" s="525" t="str">
        <f>IF(AND('341-CT'!$E$9=H3039,OR(LEFT(L3039,3)=$X$7,LEFT(M3039,3)=$X$7)),"x","")</f>
        <v/>
      </c>
      <c r="Y3039" s="525" t="str">
        <f>IF(OR(TH!L3039=TH!$Y$7,M3039=TH!$Y$7),"x","")</f>
        <v/>
      </c>
      <c r="Z3039" s="525" t="str">
        <f>IF(AND(B3039&lt;=NKC!$N$8,B3039&gt;=NKC!$M$8),"x","")</f>
        <v/>
      </c>
      <c r="AA3039" s="687"/>
      <c r="AB3039" s="688"/>
      <c r="AC3039" s="503"/>
      <c r="AD3039" s="688"/>
    </row>
    <row r="3040" spans="1:31" s="688" customFormat="1" ht="15.75" customHeight="1">
      <c r="A3040" s="517" t="str">
        <f>IF(B3040&lt;&gt;"",IF(AND(B3040&gt;=_TM1,B3040&lt;=_TM2,OR(TH!L3040="1111",TH!M3040="1111")),TH!D3040,""),"")</f>
        <v/>
      </c>
      <c r="B3040" s="685">
        <f>IF(C3040&lt;&gt;"",MONTH(C3040),"")</f>
        <v>4</v>
      </c>
      <c r="C3040" s="671">
        <f t="shared" ref="C3040:C3042" si="267">E3040</f>
        <v>42829</v>
      </c>
      <c r="D3040" s="718" t="s">
        <v>376</v>
      </c>
      <c r="E3040" s="671">
        <v>42829</v>
      </c>
      <c r="F3040" s="673" t="s">
        <v>1217</v>
      </c>
      <c r="G3040" s="686" t="s">
        <v>1219</v>
      </c>
      <c r="H3040" s="675" t="s">
        <v>1184</v>
      </c>
      <c r="I3040" s="676">
        <v>1000</v>
      </c>
      <c r="J3040" s="676">
        <v>8632.9249999999993</v>
      </c>
      <c r="K3040" s="677">
        <f t="shared" ref="K3040:K3042" si="268">ROUND(I3040*J3040,0)</f>
        <v>8632925</v>
      </c>
      <c r="L3040" s="678" t="s">
        <v>292</v>
      </c>
      <c r="M3040" s="678" t="s">
        <v>158</v>
      </c>
      <c r="N3040" s="525" t="str">
        <f>IF(AND('331-CT'!$E$7=TH!H3040,OR(L3040="331",M3040="331")),"331",IF(AND(OR(L3040="131",M3040="131"),H3040='131-CT'!$E$7),"131",""))</f>
        <v/>
      </c>
      <c r="O3040" s="525" t="str">
        <f>IF(AND($B3040&gt;='111'!$N$11,$B3040&lt;='111'!$O$11,OR($L3040=$O$7,$M3040=$O$7)),"x","")</f>
        <v/>
      </c>
      <c r="P3040" s="525" t="str">
        <f>IF(AND($L3040=$O$7,$B3040&lt;'111'!$N$11),"x","")</f>
        <v/>
      </c>
      <c r="Q3040" s="525" t="str">
        <f>IF(AND($M3040=$O$7,$B3040&lt;'111'!$N$11),"x","")</f>
        <v/>
      </c>
      <c r="R3040" s="525" t="str">
        <f>IF(ISERROR(FIND('112'!$M$9,G3040,1)),"",IF((AND(FIND('112'!$M$9,G3040,1)&gt;=1,$B3040&gt;='112'!$N$8,$B3040&lt;='112'!$O$8,OR($L3040='112'!$I$6,$M3040='112'!$I$6))),"x",""))</f>
        <v/>
      </c>
      <c r="S3040" s="525" t="str">
        <f>IF(ISERROR(FIND('112'!$M$9,G3040,1)),"",IF((AND(LEFT(G3040,2)=LEFT('112'!$M$9,2),B3040&lt;'112'!$N$8,$L3040='112'!$I$6)),"x",""))</f>
        <v/>
      </c>
      <c r="T3040" s="525" t="str">
        <f>IF(ISERROR(FIND('112'!$M$9,G3040,1)),"",IF((AND(RIGHT(G3040,2)=RIGHT('112'!$M$9,2),B3040&lt;'112'!$N$8,$M3040='112'!$I$6)),"x",""))</f>
        <v/>
      </c>
      <c r="U3040" s="525" t="str">
        <f>IF(AND(B3040&gt;='IN-NX'!$P$3,B3040&lt;='IN-NX'!$Q$3,'IN-NX'!$D$7=D3040,OR(LEFT(L3040,2)="15",AND(LEFT(M3040,2)&lt;&gt;"15",LEFT(M3040,2)&lt;&gt;"33"))),"x","")</f>
        <v/>
      </c>
      <c r="V3040" s="525" t="str">
        <f>IF(AND(OR(LEFT(TH!L3040,2)="15",LEFT(TH!M3040,2)="15"),'152-CT'!$J$8=TH!F3040),"x","")</f>
        <v/>
      </c>
      <c r="W3040" s="525" t="str">
        <f>IF(AND(OR(LEFT(TH!L3040,2)="15",LEFT(TH!M3040,2)="15"),TK!$E$7=TH!F3040),"x","")</f>
        <v/>
      </c>
      <c r="X3040" s="525" t="str">
        <f>IF(AND('341-CT'!$E$9=H3040,OR(LEFT(L3040,3)=$X$7,LEFT(M3040,3)=$X$7)),"x","")</f>
        <v/>
      </c>
      <c r="Y3040" s="525" t="str">
        <f>IF(OR(TH!L3040=TH!$Y$7,M3040=TH!$Y$7),"x","")</f>
        <v/>
      </c>
      <c r="Z3040" s="525" t="str">
        <f>IF(AND(B3040&lt;=NKC!$N$8,B3040&gt;=NKC!$M$8),"x","")</f>
        <v/>
      </c>
      <c r="AA3040" s="687"/>
      <c r="AC3040" s="503"/>
      <c r="AD3040" s="689"/>
      <c r="AE3040" s="689"/>
    </row>
    <row r="3041" spans="1:31" s="688" customFormat="1" ht="15.75" customHeight="1">
      <c r="A3041" s="517" t="str">
        <f>IF(B3041&lt;&gt;"",IF(AND(B3041&gt;=_TM1,B3041&lt;=_TM2,OR(TH!L3041="1111",TH!M3041="1111")),TH!D3041,""),"")</f>
        <v/>
      </c>
      <c r="B3041" s="685">
        <f>IF(C3041&lt;&gt;"",MONTH(C3041),"")</f>
        <v>4</v>
      </c>
      <c r="C3041" s="671">
        <f t="shared" si="267"/>
        <v>42829</v>
      </c>
      <c r="D3041" s="718" t="s">
        <v>376</v>
      </c>
      <c r="E3041" s="671">
        <v>42829</v>
      </c>
      <c r="F3041" s="673" t="s">
        <v>1217</v>
      </c>
      <c r="G3041" s="686" t="s">
        <v>1219</v>
      </c>
      <c r="H3041" s="675" t="s">
        <v>1184</v>
      </c>
      <c r="I3041" s="676">
        <v>610</v>
      </c>
      <c r="J3041" s="676">
        <v>8630.3426229508204</v>
      </c>
      <c r="K3041" s="677">
        <f t="shared" si="268"/>
        <v>5264509</v>
      </c>
      <c r="L3041" s="678" t="s">
        <v>292</v>
      </c>
      <c r="M3041" s="678" t="s">
        <v>158</v>
      </c>
      <c r="N3041" s="525" t="str">
        <f>IF(AND('331-CT'!$E$7=TH!H3041,OR(L3041="331",M3041="331")),"331",IF(AND(OR(L3041="131",M3041="131"),H3041='131-CT'!$E$7),"131",""))</f>
        <v/>
      </c>
      <c r="O3041" s="525" t="str">
        <f>IF(AND($B3041&gt;='111'!$N$11,$B3041&lt;='111'!$O$11,OR($L3041=$O$7,$M3041=$O$7)),"x","")</f>
        <v/>
      </c>
      <c r="P3041" s="525" t="str">
        <f>IF(AND($L3041=$O$7,$B3041&lt;'111'!$N$11),"x","")</f>
        <v/>
      </c>
      <c r="Q3041" s="525" t="str">
        <f>IF(AND($M3041=$O$7,$B3041&lt;'111'!$N$11),"x","")</f>
        <v/>
      </c>
      <c r="R3041" s="525" t="str">
        <f>IF(ISERROR(FIND('112'!$M$9,G3041,1)),"",IF((AND(FIND('112'!$M$9,G3041,1)&gt;=1,$B3041&gt;='112'!$N$8,$B3041&lt;='112'!$O$8,OR($L3041='112'!$I$6,$M3041='112'!$I$6))),"x",""))</f>
        <v/>
      </c>
      <c r="S3041" s="525" t="str">
        <f>IF(ISERROR(FIND('112'!$M$9,G3041,1)),"",IF((AND(LEFT(G3041,2)=LEFT('112'!$M$9,2),B3041&lt;'112'!$N$8,$L3041='112'!$I$6)),"x",""))</f>
        <v/>
      </c>
      <c r="T3041" s="525" t="str">
        <f>IF(ISERROR(FIND('112'!$M$9,G3041,1)),"",IF((AND(RIGHT(G3041,2)=RIGHT('112'!$M$9,2),B3041&lt;'112'!$N$8,$M3041='112'!$I$6)),"x",""))</f>
        <v/>
      </c>
      <c r="U3041" s="525" t="str">
        <f>IF(AND(B3041&gt;='IN-NX'!$P$3,B3041&lt;='IN-NX'!$Q$3,'IN-NX'!$D$7=D3041,OR(LEFT(L3041,2)="15",AND(LEFT(M3041,2)&lt;&gt;"15",LEFT(M3041,2)&lt;&gt;"33"))),"x","")</f>
        <v/>
      </c>
      <c r="V3041" s="525" t="str">
        <f>IF(AND(OR(LEFT(TH!L3041,2)="15",LEFT(TH!M3041,2)="15"),'152-CT'!$J$8=TH!F3041),"x","")</f>
        <v/>
      </c>
      <c r="W3041" s="525" t="str">
        <f>IF(AND(OR(LEFT(TH!L3041,2)="15",LEFT(TH!M3041,2)="15"),TK!$E$7=TH!F3041),"x","")</f>
        <v/>
      </c>
      <c r="X3041" s="525" t="str">
        <f>IF(AND('341-CT'!$E$9=H3041,OR(LEFT(L3041,3)=$X$7,LEFT(M3041,3)=$X$7)),"x","")</f>
        <v/>
      </c>
      <c r="Y3041" s="525" t="str">
        <f>IF(OR(TH!L3041=TH!$Y$7,M3041=TH!$Y$7),"x","")</f>
        <v/>
      </c>
      <c r="Z3041" s="525" t="str">
        <f>IF(AND(B3041&lt;=NKC!$N$8,B3041&gt;=NKC!$M$8),"x","")</f>
        <v/>
      </c>
      <c r="AA3041" s="687"/>
      <c r="AC3041" s="503"/>
      <c r="AD3041" s="689"/>
      <c r="AE3041" s="689"/>
    </row>
    <row r="3042" spans="1:31" s="688" customFormat="1" ht="15.75" customHeight="1">
      <c r="A3042" s="517" t="str">
        <f>IF(B3042&lt;&gt;"",IF(AND(B3042&gt;=_TM1,B3042&lt;=_TM2,OR(TH!L3042="1111",TH!M3042="1111")),TH!D3042,""),"")</f>
        <v/>
      </c>
      <c r="B3042" s="685">
        <f>IF(C3042&lt;&gt;"",MONTH(C3042),"")</f>
        <v>4</v>
      </c>
      <c r="C3042" s="671">
        <f t="shared" si="267"/>
        <v>42829</v>
      </c>
      <c r="D3042" s="718" t="s">
        <v>376</v>
      </c>
      <c r="E3042" s="671">
        <v>42829</v>
      </c>
      <c r="F3042" s="673" t="s">
        <v>1217</v>
      </c>
      <c r="G3042" s="686" t="s">
        <v>1219</v>
      </c>
      <c r="H3042" s="675" t="s">
        <v>1184</v>
      </c>
      <c r="I3042" s="676">
        <v>420</v>
      </c>
      <c r="J3042" s="676">
        <v>8652.2119047619053</v>
      </c>
      <c r="K3042" s="677">
        <f t="shared" si="268"/>
        <v>3633929</v>
      </c>
      <c r="L3042" s="678" t="s">
        <v>292</v>
      </c>
      <c r="M3042" s="678" t="s">
        <v>158</v>
      </c>
      <c r="N3042" s="525" t="str">
        <f>IF(AND('331-CT'!$E$7=TH!H3042,OR(L3042="331",M3042="331")),"331",IF(AND(OR(L3042="131",M3042="131"),H3042='131-CT'!$E$7),"131",""))</f>
        <v/>
      </c>
      <c r="O3042" s="525" t="str">
        <f>IF(AND($B3042&gt;='111'!$N$11,$B3042&lt;='111'!$O$11,OR($L3042=$O$7,$M3042=$O$7)),"x","")</f>
        <v/>
      </c>
      <c r="P3042" s="525" t="str">
        <f>IF(AND($L3042=$O$7,$B3042&lt;'111'!$N$11),"x","")</f>
        <v/>
      </c>
      <c r="Q3042" s="525" t="str">
        <f>IF(AND($M3042=$O$7,$B3042&lt;'111'!$N$11),"x","")</f>
        <v/>
      </c>
      <c r="R3042" s="525" t="str">
        <f>IF(ISERROR(FIND('112'!$M$9,G3042,1)),"",IF((AND(FIND('112'!$M$9,G3042,1)&gt;=1,$B3042&gt;='112'!$N$8,$B3042&lt;='112'!$O$8,OR($L3042='112'!$I$6,$M3042='112'!$I$6))),"x",""))</f>
        <v/>
      </c>
      <c r="S3042" s="525" t="str">
        <f>IF(ISERROR(FIND('112'!$M$9,G3042,1)),"",IF((AND(LEFT(G3042,2)=LEFT('112'!$M$9,2),B3042&lt;'112'!$N$8,$L3042='112'!$I$6)),"x",""))</f>
        <v/>
      </c>
      <c r="T3042" s="525" t="str">
        <f>IF(ISERROR(FIND('112'!$M$9,G3042,1)),"",IF((AND(RIGHT(G3042,2)=RIGHT('112'!$M$9,2),B3042&lt;'112'!$N$8,$M3042='112'!$I$6)),"x",""))</f>
        <v/>
      </c>
      <c r="U3042" s="525" t="str">
        <f>IF(AND(B3042&gt;='IN-NX'!$P$3,B3042&lt;='IN-NX'!$Q$3,'IN-NX'!$D$7=D3042,OR(LEFT(L3042,2)="15",AND(LEFT(M3042,2)&lt;&gt;"15",LEFT(M3042,2)&lt;&gt;"33"))),"x","")</f>
        <v/>
      </c>
      <c r="V3042" s="525" t="str">
        <f>IF(AND(OR(LEFT(TH!L3042,2)="15",LEFT(TH!M3042,2)="15"),'152-CT'!$J$8=TH!F3042),"x","")</f>
        <v/>
      </c>
      <c r="W3042" s="525" t="str">
        <f>IF(AND(OR(LEFT(TH!L3042,2)="15",LEFT(TH!M3042,2)="15"),TK!$E$7=TH!F3042),"x","")</f>
        <v/>
      </c>
      <c r="X3042" s="525" t="str">
        <f>IF(AND('341-CT'!$E$9=H3042,OR(LEFT(L3042,3)=$X$7,LEFT(M3042,3)=$X$7)),"x","")</f>
        <v/>
      </c>
      <c r="Y3042" s="525" t="str">
        <f>IF(OR(TH!L3042=TH!$Y$7,M3042=TH!$Y$7),"x","")</f>
        <v/>
      </c>
      <c r="Z3042" s="525" t="str">
        <f>IF(AND(B3042&lt;=NKC!$N$8,B3042&gt;=NKC!$M$8),"x","")</f>
        <v/>
      </c>
      <c r="AA3042" s="687"/>
      <c r="AC3042" s="503"/>
      <c r="AD3042" s="689"/>
      <c r="AE3042" s="689"/>
    </row>
    <row r="3043" spans="1:31" s="688" customFormat="1" ht="15.75" customHeight="1">
      <c r="A3043" s="517" t="str">
        <f>IF(B3043&lt;&gt;"",IF(AND(B3043&gt;=_TM1,B3043&lt;=_TM2,OR(TH!L3043="1111",TH!M3043="1111")),TH!D3043,""),"")</f>
        <v/>
      </c>
      <c r="B3043" s="685">
        <f t="shared" si="266"/>
        <v>4</v>
      </c>
      <c r="C3043" s="671">
        <f t="shared" si="265"/>
        <v>42844</v>
      </c>
      <c r="D3043" s="718" t="s">
        <v>376</v>
      </c>
      <c r="E3043" s="671">
        <v>42844</v>
      </c>
      <c r="F3043" s="673" t="s">
        <v>505</v>
      </c>
      <c r="G3043" s="686" t="s">
        <v>1109</v>
      </c>
      <c r="H3043" s="675" t="s">
        <v>1184</v>
      </c>
      <c r="I3043" s="676">
        <v>33</v>
      </c>
      <c r="J3043" s="676">
        <v>32080.666666666668</v>
      </c>
      <c r="K3043" s="677">
        <f t="shared" si="264"/>
        <v>1058662</v>
      </c>
      <c r="L3043" s="678" t="s">
        <v>292</v>
      </c>
      <c r="M3043" s="678" t="s">
        <v>158</v>
      </c>
      <c r="N3043" s="525" t="str">
        <f>IF(AND('331-CT'!$E$7=TH!H3043,OR(L3043="331",M3043="331")),"331",IF(AND(OR(L3043="131",M3043="131"),H3043='131-CT'!$E$7),"131",""))</f>
        <v/>
      </c>
      <c r="O3043" s="525" t="str">
        <f>IF(AND($B3043&gt;='111'!$N$11,$B3043&lt;='111'!$O$11,OR($L3043=$O$7,$M3043=$O$7)),"x","")</f>
        <v/>
      </c>
      <c r="P3043" s="525" t="str">
        <f>IF(AND($L3043=$O$7,$B3043&lt;'111'!$N$11),"x","")</f>
        <v/>
      </c>
      <c r="Q3043" s="525" t="str">
        <f>IF(AND($M3043=$O$7,$B3043&lt;'111'!$N$11),"x","")</f>
        <v/>
      </c>
      <c r="R3043" s="525" t="str">
        <f>IF(ISERROR(FIND('112'!$M$9,G3043,1)),"",IF((AND(FIND('112'!$M$9,G3043,1)&gt;=1,$B3043&gt;='112'!$N$8,$B3043&lt;='112'!$O$8,OR($L3043='112'!$I$6,$M3043='112'!$I$6))),"x",""))</f>
        <v/>
      </c>
      <c r="S3043" s="525" t="str">
        <f>IF(ISERROR(FIND('112'!$M$9,G3043,1)),"",IF((AND(LEFT(G3043,2)=LEFT('112'!$M$9,2),B3043&lt;'112'!$N$8,$L3043='112'!$I$6)),"x",""))</f>
        <v/>
      </c>
      <c r="T3043" s="525" t="str">
        <f>IF(ISERROR(FIND('112'!$M$9,G3043,1)),"",IF((AND(RIGHT(G3043,2)=RIGHT('112'!$M$9,2),B3043&lt;'112'!$N$8,$M3043='112'!$I$6)),"x",""))</f>
        <v/>
      </c>
      <c r="U3043" s="525" t="str">
        <f>IF(AND(B3043&gt;='IN-NX'!$P$3,B3043&lt;='IN-NX'!$Q$3,'IN-NX'!$D$7=D3043,OR(LEFT(L3043,2)="15",AND(LEFT(M3043,2)&lt;&gt;"15",LEFT(M3043,2)&lt;&gt;"33"))),"x","")</f>
        <v/>
      </c>
      <c r="V3043" s="525" t="str">
        <f>IF(AND(OR(LEFT(TH!L3043,2)="15",LEFT(TH!M3043,2)="15"),'152-CT'!$J$8=TH!F3043),"x","")</f>
        <v/>
      </c>
      <c r="W3043" s="525" t="str">
        <f>IF(AND(OR(LEFT(TH!L3043,2)="15",LEFT(TH!M3043,2)="15"),TK!$E$7=TH!F3043),"x","")</f>
        <v/>
      </c>
      <c r="X3043" s="525" t="str">
        <f>IF(AND('341-CT'!$E$9=H3043,OR(LEFT(L3043,3)=$X$7,LEFT(M3043,3)=$X$7)),"x","")</f>
        <v/>
      </c>
      <c r="Y3043" s="525" t="str">
        <f>IF(OR(TH!L3043=TH!$Y$7,M3043=TH!$Y$7),"x","")</f>
        <v/>
      </c>
      <c r="Z3043" s="525" t="str">
        <f>IF(AND(B3043&lt;=NKC!$N$8,B3043&gt;=NKC!$M$8),"x","")</f>
        <v/>
      </c>
      <c r="AA3043" s="687"/>
      <c r="AC3043" s="503"/>
      <c r="AD3043" s="689"/>
      <c r="AE3043" s="689"/>
    </row>
    <row r="3044" spans="1:31" s="688" customFormat="1" ht="15.75" customHeight="1">
      <c r="A3044" s="517" t="str">
        <f>IF(B3044&lt;&gt;"",IF(AND(B3044&gt;=_TM1,B3044&lt;=_TM2,OR(TH!L3044="1111",TH!M3044="1111")),TH!D3044,""),"")</f>
        <v/>
      </c>
      <c r="B3044" s="685">
        <f t="shared" si="266"/>
        <v>4</v>
      </c>
      <c r="C3044" s="671">
        <f t="shared" si="265"/>
        <v>42844</v>
      </c>
      <c r="D3044" s="718" t="s">
        <v>376</v>
      </c>
      <c r="E3044" s="671">
        <v>42844</v>
      </c>
      <c r="F3044" s="673" t="s">
        <v>505</v>
      </c>
      <c r="G3044" s="686" t="s">
        <v>1109</v>
      </c>
      <c r="H3044" s="675" t="s">
        <v>1184</v>
      </c>
      <c r="I3044" s="676">
        <v>55</v>
      </c>
      <c r="J3044" s="676">
        <v>32141.8</v>
      </c>
      <c r="K3044" s="677">
        <f t="shared" si="264"/>
        <v>1767799</v>
      </c>
      <c r="L3044" s="678" t="s">
        <v>292</v>
      </c>
      <c r="M3044" s="678" t="s">
        <v>158</v>
      </c>
      <c r="N3044" s="525" t="str">
        <f>IF(AND('331-CT'!$E$7=TH!H3044,OR(L3044="331",M3044="331")),"331",IF(AND(OR(L3044="131",M3044="131"),H3044='131-CT'!$E$7),"131",""))</f>
        <v/>
      </c>
      <c r="O3044" s="525" t="str">
        <f>IF(AND($B3044&gt;='111'!$N$11,$B3044&lt;='111'!$O$11,OR($L3044=$O$7,$M3044=$O$7)),"x","")</f>
        <v/>
      </c>
      <c r="P3044" s="525" t="str">
        <f>IF(AND($L3044=$O$7,$B3044&lt;'111'!$N$11),"x","")</f>
        <v/>
      </c>
      <c r="Q3044" s="525" t="str">
        <f>IF(AND($M3044=$O$7,$B3044&lt;'111'!$N$11),"x","")</f>
        <v/>
      </c>
      <c r="R3044" s="525" t="str">
        <f>IF(ISERROR(FIND('112'!$M$9,G3044,1)),"",IF((AND(FIND('112'!$M$9,G3044,1)&gt;=1,$B3044&gt;='112'!$N$8,$B3044&lt;='112'!$O$8,OR($L3044='112'!$I$6,$M3044='112'!$I$6))),"x",""))</f>
        <v/>
      </c>
      <c r="S3044" s="525" t="str">
        <f>IF(ISERROR(FIND('112'!$M$9,G3044,1)),"",IF((AND(LEFT(G3044,2)=LEFT('112'!$M$9,2),B3044&lt;'112'!$N$8,$L3044='112'!$I$6)),"x",""))</f>
        <v/>
      </c>
      <c r="T3044" s="525" t="str">
        <f>IF(ISERROR(FIND('112'!$M$9,G3044,1)),"",IF((AND(RIGHT(G3044,2)=RIGHT('112'!$M$9,2),B3044&lt;'112'!$N$8,$M3044='112'!$I$6)),"x",""))</f>
        <v/>
      </c>
      <c r="U3044" s="525" t="str">
        <f>IF(AND(B3044&gt;='IN-NX'!$P$3,B3044&lt;='IN-NX'!$Q$3,'IN-NX'!$D$7=D3044,OR(LEFT(L3044,2)="15",AND(LEFT(M3044,2)&lt;&gt;"15",LEFT(M3044,2)&lt;&gt;"33"))),"x","")</f>
        <v/>
      </c>
      <c r="V3044" s="525" t="str">
        <f>IF(AND(OR(LEFT(TH!L3044,2)="15",LEFT(TH!M3044,2)="15"),'152-CT'!$J$8=TH!F3044),"x","")</f>
        <v/>
      </c>
      <c r="W3044" s="525" t="str">
        <f>IF(AND(OR(LEFT(TH!L3044,2)="15",LEFT(TH!M3044,2)="15"),TK!$E$7=TH!F3044),"x","")</f>
        <v/>
      </c>
      <c r="X3044" s="525" t="str">
        <f>IF(AND('341-CT'!$E$9=H3044,OR(LEFT(L3044,3)=$X$7,LEFT(M3044,3)=$X$7)),"x","")</f>
        <v/>
      </c>
      <c r="Y3044" s="525" t="str">
        <f>IF(OR(TH!L3044=TH!$Y$7,M3044=TH!$Y$7),"x","")</f>
        <v/>
      </c>
      <c r="Z3044" s="525" t="str">
        <f>IF(AND(B3044&lt;=NKC!$N$8,B3044&gt;=NKC!$M$8),"x","")</f>
        <v/>
      </c>
      <c r="AA3044" s="687"/>
      <c r="AC3044" s="503"/>
      <c r="AE3044" s="689"/>
    </row>
    <row r="3045" spans="1:31" s="688" customFormat="1" ht="15.75" customHeight="1">
      <c r="A3045" s="517" t="str">
        <f>IF(B3045&lt;&gt;"",IF(AND(B3045&gt;=_TM1,B3045&lt;=_TM2,OR(TH!L3045="1111",TH!M3045="1111")),TH!D3045,""),"")</f>
        <v/>
      </c>
      <c r="B3045" s="685">
        <f t="shared" si="266"/>
        <v>4</v>
      </c>
      <c r="C3045" s="671">
        <f t="shared" si="265"/>
        <v>42844</v>
      </c>
      <c r="D3045" s="718" t="s">
        <v>376</v>
      </c>
      <c r="E3045" s="671">
        <v>42844</v>
      </c>
      <c r="F3045" s="673" t="s">
        <v>505</v>
      </c>
      <c r="G3045" s="686" t="s">
        <v>1109</v>
      </c>
      <c r="H3045" s="675" t="s">
        <v>1184</v>
      </c>
      <c r="I3045" s="676">
        <v>34</v>
      </c>
      <c r="J3045" s="676">
        <v>32344.529411764706</v>
      </c>
      <c r="K3045" s="677">
        <f t="shared" si="264"/>
        <v>1099714</v>
      </c>
      <c r="L3045" s="678" t="s">
        <v>292</v>
      </c>
      <c r="M3045" s="678" t="s">
        <v>158</v>
      </c>
      <c r="N3045" s="525" t="str">
        <f>IF(AND('331-CT'!$E$7=TH!H3045,OR(L3045="331",M3045="331")),"331",IF(AND(OR(L3045="131",M3045="131"),H3045='131-CT'!$E$7),"131",""))</f>
        <v/>
      </c>
      <c r="O3045" s="525" t="str">
        <f>IF(AND($B3045&gt;='111'!$N$11,$B3045&lt;='111'!$O$11,OR($L3045=$O$7,$M3045=$O$7)),"x","")</f>
        <v/>
      </c>
      <c r="P3045" s="525" t="str">
        <f>IF(AND($L3045=$O$7,$B3045&lt;'111'!$N$11),"x","")</f>
        <v/>
      </c>
      <c r="Q3045" s="525" t="str">
        <f>IF(AND($M3045=$O$7,$B3045&lt;'111'!$N$11),"x","")</f>
        <v/>
      </c>
      <c r="R3045" s="525" t="str">
        <f>IF(ISERROR(FIND('112'!$M$9,G3045,1)),"",IF((AND(FIND('112'!$M$9,G3045,1)&gt;=1,$B3045&gt;='112'!$N$8,$B3045&lt;='112'!$O$8,OR($L3045='112'!$I$6,$M3045='112'!$I$6))),"x",""))</f>
        <v/>
      </c>
      <c r="S3045" s="525" t="str">
        <f>IF(ISERROR(FIND('112'!$M$9,G3045,1)),"",IF((AND(LEFT(G3045,2)=LEFT('112'!$M$9,2),B3045&lt;'112'!$N$8,$L3045='112'!$I$6)),"x",""))</f>
        <v/>
      </c>
      <c r="T3045" s="525" t="str">
        <f>IF(ISERROR(FIND('112'!$M$9,G3045,1)),"",IF((AND(RIGHT(G3045,2)=RIGHT('112'!$M$9,2),B3045&lt;'112'!$N$8,$M3045='112'!$I$6)),"x",""))</f>
        <v/>
      </c>
      <c r="U3045" s="525" t="str">
        <f>IF(AND(B3045&gt;='IN-NX'!$P$3,B3045&lt;='IN-NX'!$Q$3,'IN-NX'!$D$7=D3045,OR(LEFT(L3045,2)="15",AND(LEFT(M3045,2)&lt;&gt;"15",LEFT(M3045,2)&lt;&gt;"33"))),"x","")</f>
        <v/>
      </c>
      <c r="V3045" s="525" t="str">
        <f>IF(AND(OR(LEFT(TH!L3045,2)="15",LEFT(TH!M3045,2)="15"),'152-CT'!$J$8=TH!F3045),"x","")</f>
        <v/>
      </c>
      <c r="W3045" s="525" t="str">
        <f>IF(AND(OR(LEFT(TH!L3045,2)="15",LEFT(TH!M3045,2)="15"),TK!$E$7=TH!F3045),"x","")</f>
        <v/>
      </c>
      <c r="X3045" s="525" t="str">
        <f>IF(AND('341-CT'!$E$9=H3045,OR(LEFT(L3045,3)=$X$7,LEFT(M3045,3)=$X$7)),"x","")</f>
        <v/>
      </c>
      <c r="Y3045" s="525" t="str">
        <f>IF(OR(TH!L3045=TH!$Y$7,M3045=TH!$Y$7),"x","")</f>
        <v/>
      </c>
      <c r="Z3045" s="525" t="str">
        <f>IF(AND(B3045&lt;=NKC!$N$8,B3045&gt;=NKC!$M$8),"x","")</f>
        <v/>
      </c>
      <c r="AA3045" s="687"/>
      <c r="AC3045" s="503"/>
      <c r="AD3045" s="689"/>
      <c r="AE3045" s="689"/>
    </row>
    <row r="3046" spans="1:31" s="688" customFormat="1" ht="15.75" customHeight="1">
      <c r="A3046" s="517" t="str">
        <f>IF(B3046&lt;&gt;"",IF(AND(B3046&gt;=_TM1,B3046&lt;=_TM2,OR(TH!L3046="1111",TH!M3046="1111")),TH!D3046,""),"")</f>
        <v/>
      </c>
      <c r="B3046" s="685">
        <f t="shared" si="266"/>
        <v>4</v>
      </c>
      <c r="C3046" s="671">
        <f t="shared" si="265"/>
        <v>42844</v>
      </c>
      <c r="D3046" s="718" t="s">
        <v>376</v>
      </c>
      <c r="E3046" s="671">
        <v>42844</v>
      </c>
      <c r="F3046" s="673" t="s">
        <v>505</v>
      </c>
      <c r="G3046" s="686" t="s">
        <v>1109</v>
      </c>
      <c r="H3046" s="675" t="s">
        <v>1184</v>
      </c>
      <c r="I3046" s="676">
        <v>125</v>
      </c>
      <c r="J3046" s="676">
        <v>32134.047999999999</v>
      </c>
      <c r="K3046" s="677">
        <f t="shared" si="264"/>
        <v>4016756</v>
      </c>
      <c r="L3046" s="678" t="s">
        <v>292</v>
      </c>
      <c r="M3046" s="678" t="s">
        <v>158</v>
      </c>
      <c r="N3046" s="525" t="str">
        <f>IF(AND('331-CT'!$E$7=TH!H3046,OR(L3046="331",M3046="331")),"331",IF(AND(OR(L3046="131",M3046="131"),H3046='131-CT'!$E$7),"131",""))</f>
        <v/>
      </c>
      <c r="O3046" s="525" t="str">
        <f>IF(AND($B3046&gt;='111'!$N$11,$B3046&lt;='111'!$O$11,OR($L3046=$O$7,$M3046=$O$7)),"x","")</f>
        <v/>
      </c>
      <c r="P3046" s="525" t="str">
        <f>IF(AND($L3046=$O$7,$B3046&lt;'111'!$N$11),"x","")</f>
        <v/>
      </c>
      <c r="Q3046" s="525" t="str">
        <f>IF(AND($M3046=$O$7,$B3046&lt;'111'!$N$11),"x","")</f>
        <v/>
      </c>
      <c r="R3046" s="525" t="str">
        <f>IF(ISERROR(FIND('112'!$M$9,G3046,1)),"",IF((AND(FIND('112'!$M$9,G3046,1)&gt;=1,$B3046&gt;='112'!$N$8,$B3046&lt;='112'!$O$8,OR($L3046='112'!$I$6,$M3046='112'!$I$6))),"x",""))</f>
        <v/>
      </c>
      <c r="S3046" s="525" t="str">
        <f>IF(ISERROR(FIND('112'!$M$9,G3046,1)),"",IF((AND(LEFT(G3046,2)=LEFT('112'!$M$9,2),B3046&lt;'112'!$N$8,$L3046='112'!$I$6)),"x",""))</f>
        <v/>
      </c>
      <c r="T3046" s="525" t="str">
        <f>IF(ISERROR(FIND('112'!$M$9,G3046,1)),"",IF((AND(RIGHT(G3046,2)=RIGHT('112'!$M$9,2),B3046&lt;'112'!$N$8,$M3046='112'!$I$6)),"x",""))</f>
        <v/>
      </c>
      <c r="U3046" s="525" t="str">
        <f>IF(AND(B3046&gt;='IN-NX'!$P$3,B3046&lt;='IN-NX'!$Q$3,'IN-NX'!$D$7=D3046,OR(LEFT(L3046,2)="15",AND(LEFT(M3046,2)&lt;&gt;"15",LEFT(M3046,2)&lt;&gt;"33"))),"x","")</f>
        <v/>
      </c>
      <c r="V3046" s="525" t="str">
        <f>IF(AND(OR(LEFT(TH!L3046,2)="15",LEFT(TH!M3046,2)="15"),'152-CT'!$J$8=TH!F3046),"x","")</f>
        <v/>
      </c>
      <c r="W3046" s="525" t="str">
        <f>IF(AND(OR(LEFT(TH!L3046,2)="15",LEFT(TH!M3046,2)="15"),TK!$E$7=TH!F3046),"x","")</f>
        <v/>
      </c>
      <c r="X3046" s="525" t="str">
        <f>IF(AND('341-CT'!$E$9=H3046,OR(LEFT(L3046,3)=$X$7,LEFT(M3046,3)=$X$7)),"x","")</f>
        <v/>
      </c>
      <c r="Y3046" s="525" t="str">
        <f>IF(OR(TH!L3046=TH!$Y$7,M3046=TH!$Y$7),"x","")</f>
        <v/>
      </c>
      <c r="Z3046" s="525" t="str">
        <f>IF(AND(B3046&lt;=NKC!$N$8,B3046&gt;=NKC!$M$8),"x","")</f>
        <v/>
      </c>
      <c r="AA3046" s="687"/>
      <c r="AC3046" s="503"/>
      <c r="AD3046" s="689"/>
      <c r="AE3046" s="689"/>
    </row>
    <row r="3047" spans="1:31" s="688" customFormat="1" ht="15.75" customHeight="1">
      <c r="A3047" s="517" t="str">
        <f>IF(B3047&lt;&gt;"",IF(AND(B3047&gt;=_TM1,B3047&lt;=_TM2,OR(TH!L3047="1111",TH!M3047="1111")),TH!D3047,""),"")</f>
        <v/>
      </c>
      <c r="B3047" s="685">
        <f t="shared" si="266"/>
        <v>4</v>
      </c>
      <c r="C3047" s="671">
        <f t="shared" si="265"/>
        <v>42844</v>
      </c>
      <c r="D3047" s="718" t="s">
        <v>376</v>
      </c>
      <c r="E3047" s="671">
        <v>42844</v>
      </c>
      <c r="F3047" s="673" t="s">
        <v>505</v>
      </c>
      <c r="G3047" s="686" t="s">
        <v>1109</v>
      </c>
      <c r="H3047" s="675" t="s">
        <v>1184</v>
      </c>
      <c r="I3047" s="676">
        <v>52</v>
      </c>
      <c r="J3047" s="676">
        <v>32249.423076923078</v>
      </c>
      <c r="K3047" s="677">
        <f t="shared" si="264"/>
        <v>1676970</v>
      </c>
      <c r="L3047" s="678" t="s">
        <v>292</v>
      </c>
      <c r="M3047" s="678" t="s">
        <v>158</v>
      </c>
      <c r="N3047" s="525" t="str">
        <f>IF(AND('331-CT'!$E$7=TH!H3047,OR(L3047="331",M3047="331")),"331",IF(AND(OR(L3047="131",M3047="131"),H3047='131-CT'!$E$7),"131",""))</f>
        <v/>
      </c>
      <c r="O3047" s="525" t="str">
        <f>IF(AND($B3047&gt;='111'!$N$11,$B3047&lt;='111'!$O$11,OR($L3047=$O$7,$M3047=$O$7)),"x","")</f>
        <v/>
      </c>
      <c r="P3047" s="525" t="str">
        <f>IF(AND($L3047=$O$7,$B3047&lt;'111'!$N$11),"x","")</f>
        <v/>
      </c>
      <c r="Q3047" s="525" t="str">
        <f>IF(AND($M3047=$O$7,$B3047&lt;'111'!$N$11),"x","")</f>
        <v/>
      </c>
      <c r="R3047" s="525" t="str">
        <f>IF(ISERROR(FIND('112'!$M$9,G3047,1)),"",IF((AND(FIND('112'!$M$9,G3047,1)&gt;=1,$B3047&gt;='112'!$N$8,$B3047&lt;='112'!$O$8,OR($L3047='112'!$I$6,$M3047='112'!$I$6))),"x",""))</f>
        <v/>
      </c>
      <c r="S3047" s="525" t="str">
        <f>IF(ISERROR(FIND('112'!$M$9,G3047,1)),"",IF((AND(LEFT(G3047,2)=LEFT('112'!$M$9,2),B3047&lt;'112'!$N$8,$L3047='112'!$I$6)),"x",""))</f>
        <v/>
      </c>
      <c r="T3047" s="525" t="str">
        <f>IF(ISERROR(FIND('112'!$M$9,G3047,1)),"",IF((AND(RIGHT(G3047,2)=RIGHT('112'!$M$9,2),B3047&lt;'112'!$N$8,$M3047='112'!$I$6)),"x",""))</f>
        <v/>
      </c>
      <c r="U3047" s="525" t="str">
        <f>IF(AND(B3047&gt;='IN-NX'!$P$3,B3047&lt;='IN-NX'!$Q$3,'IN-NX'!$D$7=D3047,OR(LEFT(L3047,2)="15",AND(LEFT(M3047,2)&lt;&gt;"15",LEFT(M3047,2)&lt;&gt;"33"))),"x","")</f>
        <v/>
      </c>
      <c r="V3047" s="525" t="str">
        <f>IF(AND(OR(LEFT(TH!L3047,2)="15",LEFT(TH!M3047,2)="15"),'152-CT'!$J$8=TH!F3047),"x","")</f>
        <v/>
      </c>
      <c r="W3047" s="525" t="str">
        <f>IF(AND(OR(LEFT(TH!L3047,2)="15",LEFT(TH!M3047,2)="15"),TK!$E$7=TH!F3047),"x","")</f>
        <v/>
      </c>
      <c r="X3047" s="525" t="str">
        <f>IF(AND('341-CT'!$E$9=H3047,OR(LEFT(L3047,3)=$X$7,LEFT(M3047,3)=$X$7)),"x","")</f>
        <v/>
      </c>
      <c r="Y3047" s="525" t="str">
        <f>IF(OR(TH!L3047=TH!$Y$7,M3047=TH!$Y$7),"x","")</f>
        <v/>
      </c>
      <c r="Z3047" s="525" t="str">
        <f>IF(AND(B3047&lt;=NKC!$N$8,B3047&gt;=NKC!$M$8),"x","")</f>
        <v/>
      </c>
      <c r="AA3047" s="687"/>
      <c r="AC3047" s="503"/>
      <c r="AD3047" s="689"/>
      <c r="AE3047" s="689"/>
    </row>
    <row r="3048" spans="1:31" s="688" customFormat="1" ht="15.75" customHeight="1">
      <c r="A3048" s="517" t="str">
        <f>IF(B3048&lt;&gt;"",IF(AND(B3048&gt;=_TM1,B3048&lt;=_TM2,OR(TH!L3048="1111",TH!M3048="1111")),TH!D3048,""),"")</f>
        <v/>
      </c>
      <c r="B3048" s="685">
        <f t="shared" si="266"/>
        <v>4</v>
      </c>
      <c r="C3048" s="671">
        <f t="shared" si="265"/>
        <v>42844</v>
      </c>
      <c r="D3048" s="718" t="s">
        <v>376</v>
      </c>
      <c r="E3048" s="671">
        <v>42844</v>
      </c>
      <c r="F3048" s="673" t="s">
        <v>505</v>
      </c>
      <c r="G3048" s="686" t="s">
        <v>1109</v>
      </c>
      <c r="H3048" s="675" t="s">
        <v>1184</v>
      </c>
      <c r="I3048" s="676">
        <v>45</v>
      </c>
      <c r="J3048" s="676">
        <v>32851.666666666664</v>
      </c>
      <c r="K3048" s="677">
        <f t="shared" si="264"/>
        <v>1478325</v>
      </c>
      <c r="L3048" s="678" t="s">
        <v>292</v>
      </c>
      <c r="M3048" s="678" t="s">
        <v>158</v>
      </c>
      <c r="N3048" s="525" t="str">
        <f>IF(AND('331-CT'!$E$7=TH!H3048,OR(L3048="331",M3048="331")),"331",IF(AND(OR(L3048="131",M3048="131"),H3048='131-CT'!$E$7),"131",""))</f>
        <v/>
      </c>
      <c r="O3048" s="525" t="str">
        <f>IF(AND($B3048&gt;='111'!$N$11,$B3048&lt;='111'!$O$11,OR($L3048=$O$7,$M3048=$O$7)),"x","")</f>
        <v/>
      </c>
      <c r="P3048" s="525" t="str">
        <f>IF(AND($L3048=$O$7,$B3048&lt;'111'!$N$11),"x","")</f>
        <v/>
      </c>
      <c r="Q3048" s="525" t="str">
        <f>IF(AND($M3048=$O$7,$B3048&lt;'111'!$N$11),"x","")</f>
        <v/>
      </c>
      <c r="R3048" s="525" t="str">
        <f>IF(ISERROR(FIND('112'!$M$9,G3048,1)),"",IF((AND(FIND('112'!$M$9,G3048,1)&gt;=1,$B3048&gt;='112'!$N$8,$B3048&lt;='112'!$O$8,OR($L3048='112'!$I$6,$M3048='112'!$I$6))),"x",""))</f>
        <v/>
      </c>
      <c r="S3048" s="525" t="str">
        <f>IF(ISERROR(FIND('112'!$M$9,G3048,1)),"",IF((AND(LEFT(G3048,2)=LEFT('112'!$M$9,2),B3048&lt;'112'!$N$8,$L3048='112'!$I$6)),"x",""))</f>
        <v/>
      </c>
      <c r="T3048" s="525" t="str">
        <f>IF(ISERROR(FIND('112'!$M$9,G3048,1)),"",IF((AND(RIGHT(G3048,2)=RIGHT('112'!$M$9,2),B3048&lt;'112'!$N$8,$M3048='112'!$I$6)),"x",""))</f>
        <v/>
      </c>
      <c r="U3048" s="525" t="str">
        <f>IF(AND(B3048&gt;='IN-NX'!$P$3,B3048&lt;='IN-NX'!$Q$3,'IN-NX'!$D$7=D3048,OR(LEFT(L3048,2)="15",AND(LEFT(M3048,2)&lt;&gt;"15",LEFT(M3048,2)&lt;&gt;"33"))),"x","")</f>
        <v/>
      </c>
      <c r="V3048" s="525" t="str">
        <f>IF(AND(OR(LEFT(TH!L3048,2)="15",LEFT(TH!M3048,2)="15"),'152-CT'!$J$8=TH!F3048),"x","")</f>
        <v/>
      </c>
      <c r="W3048" s="525" t="str">
        <f>IF(AND(OR(LEFT(TH!L3048,2)="15",LEFT(TH!M3048,2)="15"),TK!$E$7=TH!F3048),"x","")</f>
        <v/>
      </c>
      <c r="X3048" s="525" t="str">
        <f>IF(AND('341-CT'!$E$9=H3048,OR(LEFT(L3048,3)=$X$7,LEFT(M3048,3)=$X$7)),"x","")</f>
        <v/>
      </c>
      <c r="Y3048" s="525" t="str">
        <f>IF(OR(TH!L3048=TH!$Y$7,M3048=TH!$Y$7),"x","")</f>
        <v/>
      </c>
      <c r="Z3048" s="525" t="str">
        <f>IF(AND(B3048&lt;=NKC!$N$8,B3048&gt;=NKC!$M$8),"x","")</f>
        <v/>
      </c>
      <c r="AA3048" s="687"/>
      <c r="AC3048" s="503"/>
      <c r="AD3048" s="689"/>
      <c r="AE3048" s="689"/>
    </row>
    <row r="3049" spans="1:31" s="688" customFormat="1" ht="15.75" customHeight="1">
      <c r="A3049" s="517" t="str">
        <f>IF(B3049&lt;&gt;"",IF(AND(B3049&gt;=_TM1,B3049&lt;=_TM2,OR(TH!L3049="1111",TH!M3049="1111")),TH!D3049,""),"")</f>
        <v/>
      </c>
      <c r="B3049" s="685">
        <f t="shared" si="266"/>
        <v>4</v>
      </c>
      <c r="C3049" s="671">
        <f t="shared" si="265"/>
        <v>42844</v>
      </c>
      <c r="D3049" s="718" t="s">
        <v>376</v>
      </c>
      <c r="E3049" s="671">
        <v>42844</v>
      </c>
      <c r="F3049" s="673" t="s">
        <v>505</v>
      </c>
      <c r="G3049" s="686" t="s">
        <v>1109</v>
      </c>
      <c r="H3049" s="675" t="s">
        <v>1184</v>
      </c>
      <c r="I3049" s="676">
        <v>69</v>
      </c>
      <c r="J3049" s="676">
        <v>32293.434782608696</v>
      </c>
      <c r="K3049" s="677">
        <f t="shared" si="264"/>
        <v>2228247</v>
      </c>
      <c r="L3049" s="678" t="s">
        <v>292</v>
      </c>
      <c r="M3049" s="678" t="s">
        <v>158</v>
      </c>
      <c r="N3049" s="525" t="str">
        <f>IF(AND('331-CT'!$E$7=TH!H3049,OR(L3049="331",M3049="331")),"331",IF(AND(OR(L3049="131",M3049="131"),H3049='131-CT'!$E$7),"131",""))</f>
        <v/>
      </c>
      <c r="O3049" s="525" t="str">
        <f>IF(AND($B3049&gt;='111'!$N$11,$B3049&lt;='111'!$O$11,OR($L3049=$O$7,$M3049=$O$7)),"x","")</f>
        <v/>
      </c>
      <c r="P3049" s="525" t="str">
        <f>IF(AND($L3049=$O$7,$B3049&lt;'111'!$N$11),"x","")</f>
        <v/>
      </c>
      <c r="Q3049" s="525" t="str">
        <f>IF(AND($M3049=$O$7,$B3049&lt;'111'!$N$11),"x","")</f>
        <v/>
      </c>
      <c r="R3049" s="525" t="str">
        <f>IF(ISERROR(FIND('112'!$M$9,G3049,1)),"",IF((AND(FIND('112'!$M$9,G3049,1)&gt;=1,$B3049&gt;='112'!$N$8,$B3049&lt;='112'!$O$8,OR($L3049='112'!$I$6,$M3049='112'!$I$6))),"x",""))</f>
        <v/>
      </c>
      <c r="S3049" s="525" t="str">
        <f>IF(ISERROR(FIND('112'!$M$9,G3049,1)),"",IF((AND(LEFT(G3049,2)=LEFT('112'!$M$9,2),B3049&lt;'112'!$N$8,$L3049='112'!$I$6)),"x",""))</f>
        <v/>
      </c>
      <c r="T3049" s="525" t="str">
        <f>IF(ISERROR(FIND('112'!$M$9,G3049,1)),"",IF((AND(RIGHT(G3049,2)=RIGHT('112'!$M$9,2),B3049&lt;'112'!$N$8,$M3049='112'!$I$6)),"x",""))</f>
        <v/>
      </c>
      <c r="U3049" s="525" t="str">
        <f>IF(AND(B3049&gt;='IN-NX'!$P$3,B3049&lt;='IN-NX'!$Q$3,'IN-NX'!$D$7=D3049,OR(LEFT(L3049,2)="15",AND(LEFT(M3049,2)&lt;&gt;"15",LEFT(M3049,2)&lt;&gt;"33"))),"x","")</f>
        <v/>
      </c>
      <c r="V3049" s="525" t="str">
        <f>IF(AND(OR(LEFT(TH!L3049,2)="15",LEFT(TH!M3049,2)="15"),'152-CT'!$J$8=TH!F3049),"x","")</f>
        <v/>
      </c>
      <c r="W3049" s="525" t="str">
        <f>IF(AND(OR(LEFT(TH!L3049,2)="15",LEFT(TH!M3049,2)="15"),TK!$E$7=TH!F3049),"x","")</f>
        <v/>
      </c>
      <c r="X3049" s="525" t="str">
        <f>IF(AND('341-CT'!$E$9=H3049,OR(LEFT(L3049,3)=$X$7,LEFT(M3049,3)=$X$7)),"x","")</f>
        <v/>
      </c>
      <c r="Y3049" s="525" t="str">
        <f>IF(OR(TH!L3049=TH!$Y$7,M3049=TH!$Y$7),"x","")</f>
        <v/>
      </c>
      <c r="Z3049" s="525" t="str">
        <f>IF(AND(B3049&lt;=NKC!$N$8,B3049&gt;=NKC!$M$8),"x","")</f>
        <v/>
      </c>
      <c r="AA3049" s="687"/>
      <c r="AC3049" s="503"/>
      <c r="AD3049" s="689"/>
      <c r="AE3049" s="689"/>
    </row>
    <row r="3050" spans="1:31" s="688" customFormat="1" ht="15.75" customHeight="1">
      <c r="A3050" s="517" t="str">
        <f>IF(B3050&lt;&gt;"",IF(AND(B3050&gt;=_TM1,B3050&lt;=_TM2,OR(TH!L3050="1111",TH!M3050="1111")),TH!D3050,""),"")</f>
        <v/>
      </c>
      <c r="B3050" s="685">
        <f t="shared" si="266"/>
        <v>4</v>
      </c>
      <c r="C3050" s="671">
        <f t="shared" si="265"/>
        <v>42844</v>
      </c>
      <c r="D3050" s="718" t="s">
        <v>376</v>
      </c>
      <c r="E3050" s="671">
        <v>42844</v>
      </c>
      <c r="F3050" s="719" t="s">
        <v>505</v>
      </c>
      <c r="G3050" s="686" t="s">
        <v>1109</v>
      </c>
      <c r="H3050" s="675" t="s">
        <v>1184</v>
      </c>
      <c r="I3050" s="676">
        <v>215</v>
      </c>
      <c r="J3050" s="676">
        <v>32160.948837209304</v>
      </c>
      <c r="K3050" s="677">
        <f t="shared" si="264"/>
        <v>6914604</v>
      </c>
      <c r="L3050" s="678" t="s">
        <v>292</v>
      </c>
      <c r="M3050" s="678" t="s">
        <v>158</v>
      </c>
      <c r="N3050" s="525" t="str">
        <f>IF(AND('331-CT'!$E$7=TH!H3050,OR(L3050="331",M3050="331")),"331",IF(AND(OR(L3050="131",M3050="131"),H3050='131-CT'!$E$7),"131",""))</f>
        <v/>
      </c>
      <c r="O3050" s="525" t="str">
        <f>IF(AND($B3050&gt;='111'!$N$11,$B3050&lt;='111'!$O$11,OR($L3050=$O$7,$M3050=$O$7)),"x","")</f>
        <v/>
      </c>
      <c r="P3050" s="525" t="str">
        <f>IF(AND($L3050=$O$7,$B3050&lt;'111'!$N$11),"x","")</f>
        <v/>
      </c>
      <c r="Q3050" s="525" t="str">
        <f>IF(AND($M3050=$O$7,$B3050&lt;'111'!$N$11),"x","")</f>
        <v/>
      </c>
      <c r="R3050" s="525" t="str">
        <f>IF(ISERROR(FIND('112'!$M$9,G3050,1)),"",IF((AND(FIND('112'!$M$9,G3050,1)&gt;=1,$B3050&gt;='112'!$N$8,$B3050&lt;='112'!$O$8,OR($L3050='112'!$I$6,$M3050='112'!$I$6))),"x",""))</f>
        <v/>
      </c>
      <c r="S3050" s="525" t="str">
        <f>IF(ISERROR(FIND('112'!$M$9,G3050,1)),"",IF((AND(LEFT(G3050,2)=LEFT('112'!$M$9,2),B3050&lt;'112'!$N$8,$L3050='112'!$I$6)),"x",""))</f>
        <v/>
      </c>
      <c r="T3050" s="525" t="str">
        <f>IF(ISERROR(FIND('112'!$M$9,G3050,1)),"",IF((AND(RIGHT(G3050,2)=RIGHT('112'!$M$9,2),B3050&lt;'112'!$N$8,$M3050='112'!$I$6)),"x",""))</f>
        <v/>
      </c>
      <c r="U3050" s="525" t="str">
        <f>IF(AND(B3050&gt;='IN-NX'!$P$3,B3050&lt;='IN-NX'!$Q$3,'IN-NX'!$D$7=D3050,OR(LEFT(L3050,2)="15",AND(LEFT(M3050,2)&lt;&gt;"15",LEFT(M3050,2)&lt;&gt;"33"))),"x","")</f>
        <v/>
      </c>
      <c r="V3050" s="525" t="str">
        <f>IF(AND(OR(LEFT(TH!L3050,2)="15",LEFT(TH!M3050,2)="15"),'152-CT'!$J$8=TH!F3050),"x","")</f>
        <v/>
      </c>
      <c r="W3050" s="525" t="str">
        <f>IF(AND(OR(LEFT(TH!L3050,2)="15",LEFT(TH!M3050,2)="15"),TK!$E$7=TH!F3050),"x","")</f>
        <v/>
      </c>
      <c r="X3050" s="525" t="str">
        <f>IF(AND('341-CT'!$E$9=H3050,OR(LEFT(L3050,3)=$X$7,LEFT(M3050,3)=$X$7)),"x","")</f>
        <v/>
      </c>
      <c r="Y3050" s="525" t="str">
        <f>IF(OR(TH!L3050=TH!$Y$7,M3050=TH!$Y$7),"x","")</f>
        <v/>
      </c>
      <c r="Z3050" s="525" t="str">
        <f>IF(AND(B3050&lt;=NKC!$N$8,B3050&gt;=NKC!$M$8),"x","")</f>
        <v/>
      </c>
      <c r="AA3050" s="687"/>
      <c r="AC3050" s="503"/>
      <c r="AD3050" s="689"/>
      <c r="AE3050" s="689"/>
    </row>
    <row r="3051" spans="1:31" s="688" customFormat="1" ht="15.75" customHeight="1">
      <c r="A3051" s="517" t="str">
        <f>IF(B3051&lt;&gt;"",IF(AND(B3051&gt;=_TM1,B3051&lt;=_TM2,OR(TH!L3051="1111",TH!M3051="1111")),TH!D3051,""),"")</f>
        <v/>
      </c>
      <c r="B3051" s="685">
        <f t="shared" si="266"/>
        <v>4</v>
      </c>
      <c r="C3051" s="671">
        <f t="shared" si="265"/>
        <v>42844</v>
      </c>
      <c r="D3051" s="718" t="s">
        <v>376</v>
      </c>
      <c r="E3051" s="671">
        <v>42844</v>
      </c>
      <c r="F3051" s="673" t="s">
        <v>505</v>
      </c>
      <c r="G3051" s="686" t="s">
        <v>1109</v>
      </c>
      <c r="H3051" s="675" t="s">
        <v>1184</v>
      </c>
      <c r="I3051" s="676">
        <v>112</v>
      </c>
      <c r="J3051" s="676">
        <v>32149.178571428572</v>
      </c>
      <c r="K3051" s="677">
        <f t="shared" si="264"/>
        <v>3600708</v>
      </c>
      <c r="L3051" s="678" t="s">
        <v>292</v>
      </c>
      <c r="M3051" s="678" t="s">
        <v>158</v>
      </c>
      <c r="N3051" s="525" t="str">
        <f>IF(AND('331-CT'!$E$7=TH!H3051,OR(L3051="331",M3051="331")),"331",IF(AND(OR(L3051="131",M3051="131"),H3051='131-CT'!$E$7),"131",""))</f>
        <v/>
      </c>
      <c r="O3051" s="525" t="str">
        <f>IF(AND($B3051&gt;='111'!$N$11,$B3051&lt;='111'!$O$11,OR($L3051=$O$7,$M3051=$O$7)),"x","")</f>
        <v/>
      </c>
      <c r="P3051" s="525" t="str">
        <f>IF(AND($L3051=$O$7,$B3051&lt;'111'!$N$11),"x","")</f>
        <v/>
      </c>
      <c r="Q3051" s="525" t="str">
        <f>IF(AND($M3051=$O$7,$B3051&lt;'111'!$N$11),"x","")</f>
        <v/>
      </c>
      <c r="R3051" s="525" t="str">
        <f>IF(ISERROR(FIND('112'!$M$9,G3051,1)),"",IF((AND(FIND('112'!$M$9,G3051,1)&gt;=1,$B3051&gt;='112'!$N$8,$B3051&lt;='112'!$O$8,OR($L3051='112'!$I$6,$M3051='112'!$I$6))),"x",""))</f>
        <v/>
      </c>
      <c r="S3051" s="525" t="str">
        <f>IF(ISERROR(FIND('112'!$M$9,G3051,1)),"",IF((AND(LEFT(G3051,2)=LEFT('112'!$M$9,2),B3051&lt;'112'!$N$8,$L3051='112'!$I$6)),"x",""))</f>
        <v/>
      </c>
      <c r="T3051" s="525" t="str">
        <f>IF(ISERROR(FIND('112'!$M$9,G3051,1)),"",IF((AND(RIGHT(G3051,2)=RIGHT('112'!$M$9,2),B3051&lt;'112'!$N$8,$M3051='112'!$I$6)),"x",""))</f>
        <v/>
      </c>
      <c r="U3051" s="525" t="str">
        <f>IF(AND(B3051&gt;='IN-NX'!$P$3,B3051&lt;='IN-NX'!$Q$3,'IN-NX'!$D$7=D3051,OR(LEFT(L3051,2)="15",AND(LEFT(M3051,2)&lt;&gt;"15",LEFT(M3051,2)&lt;&gt;"33"))),"x","")</f>
        <v/>
      </c>
      <c r="V3051" s="525" t="str">
        <f>IF(AND(OR(LEFT(TH!L3051,2)="15",LEFT(TH!M3051,2)="15"),'152-CT'!$J$8=TH!F3051),"x","")</f>
        <v/>
      </c>
      <c r="W3051" s="525" t="str">
        <f>IF(AND(OR(LEFT(TH!L3051,2)="15",LEFT(TH!M3051,2)="15"),TK!$E$7=TH!F3051),"x","")</f>
        <v/>
      </c>
      <c r="X3051" s="525" t="str">
        <f>IF(AND('341-CT'!$E$9=H3051,OR(LEFT(L3051,3)=$X$7,LEFT(M3051,3)=$X$7)),"x","")</f>
        <v/>
      </c>
      <c r="Y3051" s="525" t="str">
        <f>IF(OR(TH!L3051=TH!$Y$7,M3051=TH!$Y$7),"x","")</f>
        <v/>
      </c>
      <c r="Z3051" s="525" t="str">
        <f>IF(AND(B3051&lt;=NKC!$N$8,B3051&gt;=NKC!$M$8),"x","")</f>
        <v/>
      </c>
      <c r="AA3051" s="687"/>
      <c r="AC3051" s="503"/>
      <c r="AE3051" s="689"/>
    </row>
    <row r="3052" spans="1:31" s="688" customFormat="1" ht="15.75" customHeight="1">
      <c r="A3052" s="517" t="str">
        <f>IF(B3052&lt;&gt;"",IF(AND(B3052&gt;=_TM1,B3052&lt;=_TM2,OR(TH!L3052="1111",TH!M3052="1111")),TH!D3052,""),"")</f>
        <v/>
      </c>
      <c r="B3052" s="685">
        <f t="shared" si="266"/>
        <v>4</v>
      </c>
      <c r="C3052" s="671">
        <f t="shared" si="265"/>
        <v>42844</v>
      </c>
      <c r="D3052" s="718" t="s">
        <v>376</v>
      </c>
      <c r="E3052" s="671">
        <v>42844</v>
      </c>
      <c r="F3052" s="719" t="s">
        <v>505</v>
      </c>
      <c r="G3052" s="686" t="s">
        <v>1109</v>
      </c>
      <c r="H3052" s="675" t="s">
        <v>1184</v>
      </c>
      <c r="I3052" s="676">
        <v>36</v>
      </c>
      <c r="J3052" s="676">
        <v>31111.916666666668</v>
      </c>
      <c r="K3052" s="677">
        <f t="shared" si="264"/>
        <v>1120029</v>
      </c>
      <c r="L3052" s="678" t="s">
        <v>292</v>
      </c>
      <c r="M3052" s="678" t="s">
        <v>158</v>
      </c>
      <c r="N3052" s="525" t="str">
        <f>IF(AND('331-CT'!$E$7=TH!H3052,OR(L3052="331",M3052="331")),"331",IF(AND(OR(L3052="131",M3052="131"),H3052='131-CT'!$E$7),"131",""))</f>
        <v/>
      </c>
      <c r="O3052" s="525" t="str">
        <f>IF(AND($B3052&gt;='111'!$N$11,$B3052&lt;='111'!$O$11,OR($L3052=$O$7,$M3052=$O$7)),"x","")</f>
        <v/>
      </c>
      <c r="P3052" s="525" t="str">
        <f>IF(AND($L3052=$O$7,$B3052&lt;'111'!$N$11),"x","")</f>
        <v/>
      </c>
      <c r="Q3052" s="525" t="str">
        <f>IF(AND($M3052=$O$7,$B3052&lt;'111'!$N$11),"x","")</f>
        <v/>
      </c>
      <c r="R3052" s="525" t="str">
        <f>IF(ISERROR(FIND('112'!$M$9,G3052,1)),"",IF((AND(FIND('112'!$M$9,G3052,1)&gt;=1,$B3052&gt;='112'!$N$8,$B3052&lt;='112'!$O$8,OR($L3052='112'!$I$6,$M3052='112'!$I$6))),"x",""))</f>
        <v/>
      </c>
      <c r="S3052" s="525" t="str">
        <f>IF(ISERROR(FIND('112'!$M$9,G3052,1)),"",IF((AND(LEFT(G3052,2)=LEFT('112'!$M$9,2),B3052&lt;'112'!$N$8,$L3052='112'!$I$6)),"x",""))</f>
        <v/>
      </c>
      <c r="T3052" s="525" t="str">
        <f>IF(ISERROR(FIND('112'!$M$9,G3052,1)),"",IF((AND(RIGHT(G3052,2)=RIGHT('112'!$M$9,2),B3052&lt;'112'!$N$8,$M3052='112'!$I$6)),"x",""))</f>
        <v/>
      </c>
      <c r="U3052" s="525" t="str">
        <f>IF(AND(B3052&gt;='IN-NX'!$P$3,B3052&lt;='IN-NX'!$Q$3,'IN-NX'!$D$7=D3052,OR(LEFT(L3052,2)="15",AND(LEFT(M3052,2)&lt;&gt;"15",LEFT(M3052,2)&lt;&gt;"33"))),"x","")</f>
        <v/>
      </c>
      <c r="V3052" s="525" t="str">
        <f>IF(AND(OR(LEFT(TH!L3052,2)="15",LEFT(TH!M3052,2)="15"),'152-CT'!$J$8=TH!F3052),"x","")</f>
        <v/>
      </c>
      <c r="W3052" s="525" t="str">
        <f>IF(AND(OR(LEFT(TH!L3052,2)="15",LEFT(TH!M3052,2)="15"),TK!$E$7=TH!F3052),"x","")</f>
        <v/>
      </c>
      <c r="X3052" s="525" t="str">
        <f>IF(AND('341-CT'!$E$9=H3052,OR(LEFT(L3052,3)=$X$7,LEFT(M3052,3)=$X$7)),"x","")</f>
        <v/>
      </c>
      <c r="Y3052" s="525" t="str">
        <f>IF(OR(TH!L3052=TH!$Y$7,M3052=TH!$Y$7),"x","")</f>
        <v/>
      </c>
      <c r="Z3052" s="525" t="str">
        <f>IF(AND(B3052&lt;=NKC!$N$8,B3052&gt;=NKC!$M$8),"x","")</f>
        <v/>
      </c>
      <c r="AA3052" s="687"/>
      <c r="AC3052" s="503"/>
      <c r="AE3052" s="689"/>
    </row>
    <row r="3053" spans="1:31" s="688" customFormat="1" ht="15.75" customHeight="1">
      <c r="A3053" s="517" t="str">
        <f>IF(B3053&lt;&gt;"",IF(AND(B3053&gt;=_TM1,B3053&lt;=_TM2,OR(TH!L3053="1111",TH!M3053="1111")),TH!D3053,""),"")</f>
        <v/>
      </c>
      <c r="B3053" s="685">
        <f t="shared" si="266"/>
        <v>4</v>
      </c>
      <c r="C3053" s="671">
        <f t="shared" si="265"/>
        <v>42844</v>
      </c>
      <c r="D3053" s="718" t="s">
        <v>376</v>
      </c>
      <c r="E3053" s="671">
        <v>42844</v>
      </c>
      <c r="F3053" s="673" t="s">
        <v>505</v>
      </c>
      <c r="G3053" s="686" t="s">
        <v>1109</v>
      </c>
      <c r="H3053" s="675" t="s">
        <v>1184</v>
      </c>
      <c r="I3053" s="676">
        <v>29</v>
      </c>
      <c r="J3053" s="676">
        <v>31656.206896551725</v>
      </c>
      <c r="K3053" s="677">
        <f t="shared" si="264"/>
        <v>918030</v>
      </c>
      <c r="L3053" s="678" t="s">
        <v>292</v>
      </c>
      <c r="M3053" s="678" t="s">
        <v>158</v>
      </c>
      <c r="N3053" s="525" t="str">
        <f>IF(AND('331-CT'!$E$7=TH!H3053,OR(L3053="331",M3053="331")),"331",IF(AND(OR(L3053="131",M3053="131"),H3053='131-CT'!$E$7),"131",""))</f>
        <v/>
      </c>
      <c r="O3053" s="525" t="str">
        <f>IF(AND($B3053&gt;='111'!$N$11,$B3053&lt;='111'!$O$11,OR($L3053=$O$7,$M3053=$O$7)),"x","")</f>
        <v/>
      </c>
      <c r="P3053" s="525" t="str">
        <f>IF(AND($L3053=$O$7,$B3053&lt;'111'!$N$11),"x","")</f>
        <v/>
      </c>
      <c r="Q3053" s="525" t="str">
        <f>IF(AND($M3053=$O$7,$B3053&lt;'111'!$N$11),"x","")</f>
        <v/>
      </c>
      <c r="R3053" s="525" t="str">
        <f>IF(ISERROR(FIND('112'!$M$9,G3053,1)),"",IF((AND(FIND('112'!$M$9,G3053,1)&gt;=1,$B3053&gt;='112'!$N$8,$B3053&lt;='112'!$O$8,OR($L3053='112'!$I$6,$M3053='112'!$I$6))),"x",""))</f>
        <v/>
      </c>
      <c r="S3053" s="525" t="str">
        <f>IF(ISERROR(FIND('112'!$M$9,G3053,1)),"",IF((AND(LEFT(G3053,2)=LEFT('112'!$M$9,2),B3053&lt;'112'!$N$8,$L3053='112'!$I$6)),"x",""))</f>
        <v/>
      </c>
      <c r="T3053" s="525" t="str">
        <f>IF(ISERROR(FIND('112'!$M$9,G3053,1)),"",IF((AND(RIGHT(G3053,2)=RIGHT('112'!$M$9,2),B3053&lt;'112'!$N$8,$M3053='112'!$I$6)),"x",""))</f>
        <v/>
      </c>
      <c r="U3053" s="525" t="str">
        <f>IF(AND(B3053&gt;='IN-NX'!$P$3,B3053&lt;='IN-NX'!$Q$3,'IN-NX'!$D$7=D3053,OR(LEFT(L3053,2)="15",AND(LEFT(M3053,2)&lt;&gt;"15",LEFT(M3053,2)&lt;&gt;"33"))),"x","")</f>
        <v/>
      </c>
      <c r="V3053" s="525" t="str">
        <f>IF(AND(OR(LEFT(TH!L3053,2)="15",LEFT(TH!M3053,2)="15"),'152-CT'!$J$8=TH!F3053),"x","")</f>
        <v/>
      </c>
      <c r="W3053" s="525" t="str">
        <f>IF(AND(OR(LEFT(TH!L3053,2)="15",LEFT(TH!M3053,2)="15"),TK!$E$7=TH!F3053),"x","")</f>
        <v/>
      </c>
      <c r="X3053" s="525" t="str">
        <f>IF(AND('341-CT'!$E$9=H3053,OR(LEFT(L3053,3)=$X$7,LEFT(M3053,3)=$X$7)),"x","")</f>
        <v/>
      </c>
      <c r="Y3053" s="525" t="str">
        <f>IF(OR(TH!L3053=TH!$Y$7,M3053=TH!$Y$7),"x","")</f>
        <v/>
      </c>
      <c r="Z3053" s="525" t="str">
        <f>IF(AND(B3053&lt;=NKC!$N$8,B3053&gt;=NKC!$M$8),"x","")</f>
        <v/>
      </c>
      <c r="AA3053" s="687"/>
      <c r="AC3053" s="503"/>
      <c r="AD3053" s="689"/>
      <c r="AE3053" s="689"/>
    </row>
    <row r="3054" spans="1:31" s="688" customFormat="1" ht="15.75" customHeight="1">
      <c r="A3054" s="517" t="str">
        <f>IF(B3054&lt;&gt;"",IF(AND(B3054&gt;=_TM1,B3054&lt;=_TM2,OR(TH!L3054="1111",TH!M3054="1111")),TH!D3054,""),"")</f>
        <v/>
      </c>
      <c r="B3054" s="685">
        <f t="shared" si="266"/>
        <v>4</v>
      </c>
      <c r="C3054" s="671">
        <f t="shared" si="265"/>
        <v>42844</v>
      </c>
      <c r="D3054" s="718" t="s">
        <v>376</v>
      </c>
      <c r="E3054" s="671">
        <v>42844</v>
      </c>
      <c r="F3054" s="673" t="s">
        <v>505</v>
      </c>
      <c r="G3054" s="686" t="s">
        <v>1109</v>
      </c>
      <c r="H3054" s="675" t="s">
        <v>1184</v>
      </c>
      <c r="I3054" s="676">
        <v>36</v>
      </c>
      <c r="J3054" s="676">
        <v>31852.916666666668</v>
      </c>
      <c r="K3054" s="677">
        <f t="shared" si="264"/>
        <v>1146705</v>
      </c>
      <c r="L3054" s="678" t="s">
        <v>292</v>
      </c>
      <c r="M3054" s="678" t="s">
        <v>158</v>
      </c>
      <c r="N3054" s="525" t="str">
        <f>IF(AND('331-CT'!$E$7=TH!H3054,OR(L3054="331",M3054="331")),"331",IF(AND(OR(L3054="131",M3054="131"),H3054='131-CT'!$E$7),"131",""))</f>
        <v/>
      </c>
      <c r="O3054" s="525" t="str">
        <f>IF(AND($B3054&gt;='111'!$N$11,$B3054&lt;='111'!$O$11,OR($L3054=$O$7,$M3054=$O$7)),"x","")</f>
        <v/>
      </c>
      <c r="P3054" s="525" t="str">
        <f>IF(AND($L3054=$O$7,$B3054&lt;'111'!$N$11),"x","")</f>
        <v/>
      </c>
      <c r="Q3054" s="525" t="str">
        <f>IF(AND($M3054=$O$7,$B3054&lt;'111'!$N$11),"x","")</f>
        <v/>
      </c>
      <c r="R3054" s="525" t="str">
        <f>IF(ISERROR(FIND('112'!$M$9,G3054,1)),"",IF((AND(FIND('112'!$M$9,G3054,1)&gt;=1,$B3054&gt;='112'!$N$8,$B3054&lt;='112'!$O$8,OR($L3054='112'!$I$6,$M3054='112'!$I$6))),"x",""))</f>
        <v/>
      </c>
      <c r="S3054" s="525" t="str">
        <f>IF(ISERROR(FIND('112'!$M$9,G3054,1)),"",IF((AND(LEFT(G3054,2)=LEFT('112'!$M$9,2),B3054&lt;'112'!$N$8,$L3054='112'!$I$6)),"x",""))</f>
        <v/>
      </c>
      <c r="T3054" s="525" t="str">
        <f>IF(ISERROR(FIND('112'!$M$9,G3054,1)),"",IF((AND(RIGHT(G3054,2)=RIGHT('112'!$M$9,2),B3054&lt;'112'!$N$8,$M3054='112'!$I$6)),"x",""))</f>
        <v/>
      </c>
      <c r="U3054" s="525" t="str">
        <f>IF(AND(B3054&gt;='IN-NX'!$P$3,B3054&lt;='IN-NX'!$Q$3,'IN-NX'!$D$7=D3054,OR(LEFT(L3054,2)="15",AND(LEFT(M3054,2)&lt;&gt;"15",LEFT(M3054,2)&lt;&gt;"33"))),"x","")</f>
        <v/>
      </c>
      <c r="V3054" s="525" t="str">
        <f>IF(AND(OR(LEFT(TH!L3054,2)="15",LEFT(TH!M3054,2)="15"),'152-CT'!$J$8=TH!F3054),"x","")</f>
        <v/>
      </c>
      <c r="W3054" s="525" t="str">
        <f>IF(AND(OR(LEFT(TH!L3054,2)="15",LEFT(TH!M3054,2)="15"),TK!$E$7=TH!F3054),"x","")</f>
        <v/>
      </c>
      <c r="X3054" s="525" t="str">
        <f>IF(AND('341-CT'!$E$9=H3054,OR(LEFT(L3054,3)=$X$7,LEFT(M3054,3)=$X$7)),"x","")</f>
        <v/>
      </c>
      <c r="Y3054" s="525" t="str">
        <f>IF(OR(TH!L3054=TH!$Y$7,M3054=TH!$Y$7),"x","")</f>
        <v/>
      </c>
      <c r="Z3054" s="525" t="str">
        <f>IF(AND(B3054&lt;=NKC!$N$8,B3054&gt;=NKC!$M$8),"x","")</f>
        <v/>
      </c>
      <c r="AA3054" s="687"/>
      <c r="AC3054" s="503"/>
      <c r="AD3054" s="689"/>
      <c r="AE3054" s="689"/>
    </row>
    <row r="3055" spans="1:31" s="688" customFormat="1" ht="15.75" customHeight="1">
      <c r="A3055" s="517" t="str">
        <f>IF(B3055&lt;&gt;"",IF(AND(B3055&gt;=_TM1,B3055&lt;=_TM2,OR(TH!L3055="1111",TH!M3055="1111")),TH!D3055,""),"")</f>
        <v/>
      </c>
      <c r="B3055" s="685">
        <f t="shared" si="266"/>
        <v>4</v>
      </c>
      <c r="C3055" s="671">
        <f t="shared" ref="C3055:C3061" si="269">E3055</f>
        <v>42844</v>
      </c>
      <c r="D3055" s="718" t="s">
        <v>376</v>
      </c>
      <c r="E3055" s="671">
        <v>42844</v>
      </c>
      <c r="F3055" s="673" t="s">
        <v>505</v>
      </c>
      <c r="G3055" s="686" t="s">
        <v>1109</v>
      </c>
      <c r="H3055" s="675" t="s">
        <v>1184</v>
      </c>
      <c r="I3055" s="676">
        <v>63</v>
      </c>
      <c r="J3055" s="676">
        <v>32239.5873015873</v>
      </c>
      <c r="K3055" s="677">
        <f t="shared" si="264"/>
        <v>2031094</v>
      </c>
      <c r="L3055" s="678" t="s">
        <v>292</v>
      </c>
      <c r="M3055" s="678" t="s">
        <v>158</v>
      </c>
      <c r="N3055" s="525" t="str">
        <f>IF(AND('331-CT'!$E$7=TH!H3055,OR(L3055="331",M3055="331")),"331",IF(AND(OR(L3055="131",M3055="131"),H3055='131-CT'!$E$7),"131",""))</f>
        <v/>
      </c>
      <c r="O3055" s="525" t="str">
        <f>IF(AND($B3055&gt;='111'!$N$11,$B3055&lt;='111'!$O$11,OR($L3055=$O$7,$M3055=$O$7)),"x","")</f>
        <v/>
      </c>
      <c r="P3055" s="525" t="str">
        <f>IF(AND($L3055=$O$7,$B3055&lt;'111'!$N$11),"x","")</f>
        <v/>
      </c>
      <c r="Q3055" s="525" t="str">
        <f>IF(AND($M3055=$O$7,$B3055&lt;'111'!$N$11),"x","")</f>
        <v/>
      </c>
      <c r="R3055" s="525" t="str">
        <f>IF(ISERROR(FIND('112'!$M$9,G3055,1)),"",IF((AND(FIND('112'!$M$9,G3055,1)&gt;=1,$B3055&gt;='112'!$N$8,$B3055&lt;='112'!$O$8,OR($L3055='112'!$I$6,$M3055='112'!$I$6))),"x",""))</f>
        <v/>
      </c>
      <c r="S3055" s="525" t="str">
        <f>IF(ISERROR(FIND('112'!$M$9,G3055,1)),"",IF((AND(LEFT(G3055,2)=LEFT('112'!$M$9,2),B3055&lt;'112'!$N$8,$L3055='112'!$I$6)),"x",""))</f>
        <v/>
      </c>
      <c r="T3055" s="525" t="str">
        <f>IF(ISERROR(FIND('112'!$M$9,G3055,1)),"",IF((AND(RIGHT(G3055,2)=RIGHT('112'!$M$9,2),B3055&lt;'112'!$N$8,$M3055='112'!$I$6)),"x",""))</f>
        <v/>
      </c>
      <c r="U3055" s="525" t="str">
        <f>IF(AND(B3055&gt;='IN-NX'!$P$3,B3055&lt;='IN-NX'!$Q$3,'IN-NX'!$D$7=D3055,OR(LEFT(L3055,2)="15",AND(LEFT(M3055,2)&lt;&gt;"15",LEFT(M3055,2)&lt;&gt;"33"))),"x","")</f>
        <v/>
      </c>
      <c r="V3055" s="525" t="str">
        <f>IF(AND(OR(LEFT(TH!L3055,2)="15",LEFT(TH!M3055,2)="15"),'152-CT'!$J$8=TH!F3055),"x","")</f>
        <v/>
      </c>
      <c r="W3055" s="525" t="str">
        <f>IF(AND(OR(LEFT(TH!L3055,2)="15",LEFT(TH!M3055,2)="15"),TK!$E$7=TH!F3055),"x","")</f>
        <v/>
      </c>
      <c r="X3055" s="525" t="str">
        <f>IF(AND('341-CT'!$E$9=H3055,OR(LEFT(L3055,3)=$X$7,LEFT(M3055,3)=$X$7)),"x","")</f>
        <v/>
      </c>
      <c r="Y3055" s="525" t="str">
        <f>IF(OR(TH!L3055=TH!$Y$7,M3055=TH!$Y$7),"x","")</f>
        <v/>
      </c>
      <c r="Z3055" s="525" t="str">
        <f>IF(AND(B3055&lt;=NKC!$N$8,B3055&gt;=NKC!$M$8),"x","")</f>
        <v/>
      </c>
      <c r="AA3055" s="687"/>
      <c r="AC3055" s="503"/>
      <c r="AD3055" s="689"/>
      <c r="AE3055" s="689"/>
    </row>
    <row r="3056" spans="1:31" s="688" customFormat="1" ht="15.75" customHeight="1">
      <c r="A3056" s="517" t="str">
        <f>IF(B3056&lt;&gt;"",IF(AND(B3056&gt;=_TM1,B3056&lt;=_TM2,OR(TH!L3056="1111",TH!M3056="1111")),TH!D3056,""),"")</f>
        <v/>
      </c>
      <c r="B3056" s="685">
        <f t="shared" si="266"/>
        <v>4</v>
      </c>
      <c r="C3056" s="671">
        <f t="shared" si="269"/>
        <v>42844</v>
      </c>
      <c r="D3056" s="718" t="s">
        <v>376</v>
      </c>
      <c r="E3056" s="671">
        <v>42844</v>
      </c>
      <c r="F3056" s="673" t="s">
        <v>505</v>
      </c>
      <c r="G3056" s="686" t="s">
        <v>1109</v>
      </c>
      <c r="H3056" s="675" t="s">
        <v>1184</v>
      </c>
      <c r="I3056" s="676">
        <v>175</v>
      </c>
      <c r="J3056" s="676">
        <v>31934.782857142858</v>
      </c>
      <c r="K3056" s="677">
        <f t="shared" si="264"/>
        <v>5588587</v>
      </c>
      <c r="L3056" s="678" t="s">
        <v>292</v>
      </c>
      <c r="M3056" s="678" t="s">
        <v>158</v>
      </c>
      <c r="N3056" s="525" t="str">
        <f>IF(AND('331-CT'!$E$7=TH!H3056,OR(L3056="331",M3056="331")),"331",IF(AND(OR(L3056="131",M3056="131"),H3056='131-CT'!$E$7),"131",""))</f>
        <v/>
      </c>
      <c r="O3056" s="525" t="str">
        <f>IF(AND($B3056&gt;='111'!$N$11,$B3056&lt;='111'!$O$11,OR($L3056=$O$7,$M3056=$O$7)),"x","")</f>
        <v/>
      </c>
      <c r="P3056" s="525" t="str">
        <f>IF(AND($L3056=$O$7,$B3056&lt;'111'!$N$11),"x","")</f>
        <v/>
      </c>
      <c r="Q3056" s="525" t="str">
        <f>IF(AND($M3056=$O$7,$B3056&lt;'111'!$N$11),"x","")</f>
        <v/>
      </c>
      <c r="R3056" s="525" t="str">
        <f>IF(ISERROR(FIND('112'!$M$9,G3056,1)),"",IF((AND(FIND('112'!$M$9,G3056,1)&gt;=1,$B3056&gt;='112'!$N$8,$B3056&lt;='112'!$O$8,OR($L3056='112'!$I$6,$M3056='112'!$I$6))),"x",""))</f>
        <v/>
      </c>
      <c r="S3056" s="525" t="str">
        <f>IF(ISERROR(FIND('112'!$M$9,G3056,1)),"",IF((AND(LEFT(G3056,2)=LEFT('112'!$M$9,2),B3056&lt;'112'!$N$8,$L3056='112'!$I$6)),"x",""))</f>
        <v/>
      </c>
      <c r="T3056" s="525" t="str">
        <f>IF(ISERROR(FIND('112'!$M$9,G3056,1)),"",IF((AND(RIGHT(G3056,2)=RIGHT('112'!$M$9,2),B3056&lt;'112'!$N$8,$M3056='112'!$I$6)),"x",""))</f>
        <v/>
      </c>
      <c r="U3056" s="525" t="str">
        <f>IF(AND(B3056&gt;='IN-NX'!$P$3,B3056&lt;='IN-NX'!$Q$3,'IN-NX'!$D$7=D3056,OR(LEFT(L3056,2)="15",AND(LEFT(M3056,2)&lt;&gt;"15",LEFT(M3056,2)&lt;&gt;"33"))),"x","")</f>
        <v/>
      </c>
      <c r="V3056" s="525" t="str">
        <f>IF(AND(OR(LEFT(TH!L3056,2)="15",LEFT(TH!M3056,2)="15"),'152-CT'!$J$8=TH!F3056),"x","")</f>
        <v/>
      </c>
      <c r="W3056" s="525" t="str">
        <f>IF(AND(OR(LEFT(TH!L3056,2)="15",LEFT(TH!M3056,2)="15"),TK!$E$7=TH!F3056),"x","")</f>
        <v/>
      </c>
      <c r="X3056" s="525" t="str">
        <f>IF(AND('341-CT'!$E$9=H3056,OR(LEFT(L3056,3)=$X$7,LEFT(M3056,3)=$X$7)),"x","")</f>
        <v/>
      </c>
      <c r="Y3056" s="525" t="str">
        <f>IF(OR(TH!L3056=TH!$Y$7,M3056=TH!$Y$7),"x","")</f>
        <v/>
      </c>
      <c r="Z3056" s="525" t="str">
        <f>IF(AND(B3056&lt;=NKC!$N$8,B3056&gt;=NKC!$M$8),"x","")</f>
        <v/>
      </c>
      <c r="AA3056" s="687"/>
      <c r="AC3056" s="503"/>
      <c r="AD3056" s="689"/>
      <c r="AE3056" s="689"/>
    </row>
    <row r="3057" spans="1:31" s="688" customFormat="1" ht="15.75" customHeight="1">
      <c r="A3057" s="517" t="str">
        <f>IF(B3057&lt;&gt;"",IF(AND(B3057&gt;=_TM1,B3057&lt;=_TM2,OR(TH!L3057="1111",TH!M3057="1111")),TH!D3057,""),"")</f>
        <v/>
      </c>
      <c r="B3057" s="685">
        <f t="shared" si="266"/>
        <v>4</v>
      </c>
      <c r="C3057" s="671">
        <f t="shared" si="269"/>
        <v>42844</v>
      </c>
      <c r="D3057" s="718" t="s">
        <v>376</v>
      </c>
      <c r="E3057" s="671">
        <v>42844</v>
      </c>
      <c r="F3057" s="673" t="s">
        <v>505</v>
      </c>
      <c r="G3057" s="686" t="s">
        <v>1109</v>
      </c>
      <c r="H3057" s="675" t="s">
        <v>1184</v>
      </c>
      <c r="I3057" s="676">
        <v>46</v>
      </c>
      <c r="J3057" s="676">
        <v>32263.58695652174</v>
      </c>
      <c r="K3057" s="677">
        <f t="shared" si="264"/>
        <v>1484125</v>
      </c>
      <c r="L3057" s="678" t="s">
        <v>292</v>
      </c>
      <c r="M3057" s="678" t="s">
        <v>158</v>
      </c>
      <c r="N3057" s="525" t="str">
        <f>IF(AND('331-CT'!$E$7=TH!H3057,OR(L3057="331",M3057="331")),"331",IF(AND(OR(L3057="131",M3057="131"),H3057='131-CT'!$E$7),"131",""))</f>
        <v/>
      </c>
      <c r="O3057" s="525" t="str">
        <f>IF(AND($B3057&gt;='111'!$N$11,$B3057&lt;='111'!$O$11,OR($L3057=$O$7,$M3057=$O$7)),"x","")</f>
        <v/>
      </c>
      <c r="P3057" s="525" t="str">
        <f>IF(AND($L3057=$O$7,$B3057&lt;'111'!$N$11),"x","")</f>
        <v/>
      </c>
      <c r="Q3057" s="525" t="str">
        <f>IF(AND($M3057=$O$7,$B3057&lt;'111'!$N$11),"x","")</f>
        <v/>
      </c>
      <c r="R3057" s="525" t="str">
        <f>IF(ISERROR(FIND('112'!$M$9,G3057,1)),"",IF((AND(FIND('112'!$M$9,G3057,1)&gt;=1,$B3057&gt;='112'!$N$8,$B3057&lt;='112'!$O$8,OR($L3057='112'!$I$6,$M3057='112'!$I$6))),"x",""))</f>
        <v/>
      </c>
      <c r="S3057" s="525" t="str">
        <f>IF(ISERROR(FIND('112'!$M$9,G3057,1)),"",IF((AND(LEFT(G3057,2)=LEFT('112'!$M$9,2),B3057&lt;'112'!$N$8,$L3057='112'!$I$6)),"x",""))</f>
        <v/>
      </c>
      <c r="T3057" s="525" t="str">
        <f>IF(ISERROR(FIND('112'!$M$9,G3057,1)),"",IF((AND(RIGHT(G3057,2)=RIGHT('112'!$M$9,2),B3057&lt;'112'!$N$8,$M3057='112'!$I$6)),"x",""))</f>
        <v/>
      </c>
      <c r="U3057" s="525" t="str">
        <f>IF(AND(B3057&gt;='IN-NX'!$P$3,B3057&lt;='IN-NX'!$Q$3,'IN-NX'!$D$7=D3057,OR(LEFT(L3057,2)="15",AND(LEFT(M3057,2)&lt;&gt;"15",LEFT(M3057,2)&lt;&gt;"33"))),"x","")</f>
        <v/>
      </c>
      <c r="V3057" s="525" t="str">
        <f>IF(AND(OR(LEFT(TH!L3057,2)="15",LEFT(TH!M3057,2)="15"),'152-CT'!$J$8=TH!F3057),"x","")</f>
        <v/>
      </c>
      <c r="W3057" s="525" t="str">
        <f>IF(AND(OR(LEFT(TH!L3057,2)="15",LEFT(TH!M3057,2)="15"),TK!$E$7=TH!F3057),"x","")</f>
        <v/>
      </c>
      <c r="X3057" s="525" t="str">
        <f>IF(AND('341-CT'!$E$9=H3057,OR(LEFT(L3057,3)=$X$7,LEFT(M3057,3)=$X$7)),"x","")</f>
        <v/>
      </c>
      <c r="Y3057" s="525" t="str">
        <f>IF(OR(TH!L3057=TH!$Y$7,M3057=TH!$Y$7),"x","")</f>
        <v/>
      </c>
      <c r="Z3057" s="525" t="str">
        <f>IF(AND(B3057&lt;=NKC!$N$8,B3057&gt;=NKC!$M$8),"x","")</f>
        <v/>
      </c>
      <c r="AA3057" s="687"/>
      <c r="AC3057" s="503"/>
      <c r="AD3057" s="689"/>
      <c r="AE3057" s="689"/>
    </row>
    <row r="3058" spans="1:31" s="688" customFormat="1" ht="15.75" customHeight="1">
      <c r="A3058" s="517" t="str">
        <f>IF(B3058&lt;&gt;"",IF(AND(B3058&gt;=_TM1,B3058&lt;=_TM2,OR(TH!L3058="1111",TH!M3058="1111")),TH!D3058,""),"")</f>
        <v/>
      </c>
      <c r="B3058" s="685">
        <f t="shared" si="266"/>
        <v>4</v>
      </c>
      <c r="C3058" s="671">
        <f t="shared" si="269"/>
        <v>42844</v>
      </c>
      <c r="D3058" s="718" t="s">
        <v>376</v>
      </c>
      <c r="E3058" s="671">
        <v>42844</v>
      </c>
      <c r="F3058" s="673" t="s">
        <v>505</v>
      </c>
      <c r="G3058" s="686" t="s">
        <v>1109</v>
      </c>
      <c r="H3058" s="675" t="s">
        <v>1184</v>
      </c>
      <c r="I3058" s="676">
        <v>25</v>
      </c>
      <c r="J3058" s="676">
        <v>31596.720000000001</v>
      </c>
      <c r="K3058" s="677">
        <f t="shared" si="264"/>
        <v>789918</v>
      </c>
      <c r="L3058" s="678" t="s">
        <v>292</v>
      </c>
      <c r="M3058" s="678" t="s">
        <v>158</v>
      </c>
      <c r="N3058" s="525" t="str">
        <f>IF(AND('331-CT'!$E$7=TH!H3058,OR(L3058="331",M3058="331")),"331",IF(AND(OR(L3058="131",M3058="131"),H3058='131-CT'!$E$7),"131",""))</f>
        <v/>
      </c>
      <c r="O3058" s="525" t="str">
        <f>IF(AND($B3058&gt;='111'!$N$11,$B3058&lt;='111'!$O$11,OR($L3058=$O$7,$M3058=$O$7)),"x","")</f>
        <v/>
      </c>
      <c r="P3058" s="525" t="str">
        <f>IF(AND($L3058=$O$7,$B3058&lt;'111'!$N$11),"x","")</f>
        <v/>
      </c>
      <c r="Q3058" s="525" t="str">
        <f>IF(AND($M3058=$O$7,$B3058&lt;'111'!$N$11),"x","")</f>
        <v/>
      </c>
      <c r="R3058" s="525" t="str">
        <f>IF(ISERROR(FIND('112'!$M$9,G3058,1)),"",IF((AND(FIND('112'!$M$9,G3058,1)&gt;=1,$B3058&gt;='112'!$N$8,$B3058&lt;='112'!$O$8,OR($L3058='112'!$I$6,$M3058='112'!$I$6))),"x",""))</f>
        <v/>
      </c>
      <c r="S3058" s="525" t="str">
        <f>IF(ISERROR(FIND('112'!$M$9,G3058,1)),"",IF((AND(LEFT(G3058,2)=LEFT('112'!$M$9,2),B3058&lt;'112'!$N$8,$L3058='112'!$I$6)),"x",""))</f>
        <v/>
      </c>
      <c r="T3058" s="525" t="str">
        <f>IF(ISERROR(FIND('112'!$M$9,G3058,1)),"",IF((AND(RIGHT(G3058,2)=RIGHT('112'!$M$9,2),B3058&lt;'112'!$N$8,$M3058='112'!$I$6)),"x",""))</f>
        <v/>
      </c>
      <c r="U3058" s="525" t="str">
        <f>IF(AND(B3058&gt;='IN-NX'!$P$3,B3058&lt;='IN-NX'!$Q$3,'IN-NX'!$D$7=D3058,OR(LEFT(L3058,2)="15",AND(LEFT(M3058,2)&lt;&gt;"15",LEFT(M3058,2)&lt;&gt;"33"))),"x","")</f>
        <v/>
      </c>
      <c r="V3058" s="525" t="str">
        <f>IF(AND(OR(LEFT(TH!L3058,2)="15",LEFT(TH!M3058,2)="15"),'152-CT'!$J$8=TH!F3058),"x","")</f>
        <v/>
      </c>
      <c r="W3058" s="525" t="str">
        <f>IF(AND(OR(LEFT(TH!L3058,2)="15",LEFT(TH!M3058,2)="15"),TK!$E$7=TH!F3058),"x","")</f>
        <v/>
      </c>
      <c r="X3058" s="525" t="str">
        <f>IF(AND('341-CT'!$E$9=H3058,OR(LEFT(L3058,3)=$X$7,LEFT(M3058,3)=$X$7)),"x","")</f>
        <v/>
      </c>
      <c r="Y3058" s="525" t="str">
        <f>IF(OR(TH!L3058=TH!$Y$7,M3058=TH!$Y$7),"x","")</f>
        <v/>
      </c>
      <c r="Z3058" s="525" t="str">
        <f>IF(AND(B3058&lt;=NKC!$N$8,B3058&gt;=NKC!$M$8),"x","")</f>
        <v/>
      </c>
      <c r="AA3058" s="687"/>
      <c r="AC3058" s="503"/>
      <c r="AD3058" s="689"/>
      <c r="AE3058" s="689"/>
    </row>
    <row r="3059" spans="1:31" s="688" customFormat="1" ht="15.75" customHeight="1">
      <c r="A3059" s="517" t="str">
        <f>IF(B3059&lt;&gt;"",IF(AND(B3059&gt;=_TM1,B3059&lt;=_TM2,OR(TH!L3059="1111",TH!M3059="1111")),TH!D3059,""),"")</f>
        <v/>
      </c>
      <c r="B3059" s="685">
        <f t="shared" si="266"/>
        <v>4</v>
      </c>
      <c r="C3059" s="671">
        <f t="shared" si="269"/>
        <v>42844</v>
      </c>
      <c r="D3059" s="718" t="s">
        <v>376</v>
      </c>
      <c r="E3059" s="671">
        <v>42844</v>
      </c>
      <c r="F3059" s="673" t="s">
        <v>505</v>
      </c>
      <c r="G3059" s="686" t="s">
        <v>1109</v>
      </c>
      <c r="H3059" s="675" t="s">
        <v>1184</v>
      </c>
      <c r="I3059" s="676">
        <v>25</v>
      </c>
      <c r="J3059" s="676">
        <v>32801.4</v>
      </c>
      <c r="K3059" s="677">
        <f t="shared" si="264"/>
        <v>820035</v>
      </c>
      <c r="L3059" s="678" t="s">
        <v>292</v>
      </c>
      <c r="M3059" s="678" t="s">
        <v>158</v>
      </c>
      <c r="N3059" s="525" t="str">
        <f>IF(AND('331-CT'!$E$7=TH!H3059,OR(L3059="331",M3059="331")),"331",IF(AND(OR(L3059="131",M3059="131"),H3059='131-CT'!$E$7),"131",""))</f>
        <v/>
      </c>
      <c r="O3059" s="525" t="str">
        <f>IF(AND($B3059&gt;='111'!$N$11,$B3059&lt;='111'!$O$11,OR($L3059=$O$7,$M3059=$O$7)),"x","")</f>
        <v/>
      </c>
      <c r="P3059" s="525" t="str">
        <f>IF(AND($L3059=$O$7,$B3059&lt;'111'!$N$11),"x","")</f>
        <v/>
      </c>
      <c r="Q3059" s="525" t="str">
        <f>IF(AND($M3059=$O$7,$B3059&lt;'111'!$N$11),"x","")</f>
        <v/>
      </c>
      <c r="R3059" s="525" t="str">
        <f>IF(ISERROR(FIND('112'!$M$9,G3059,1)),"",IF((AND(FIND('112'!$M$9,G3059,1)&gt;=1,$B3059&gt;='112'!$N$8,$B3059&lt;='112'!$O$8,OR($L3059='112'!$I$6,$M3059='112'!$I$6))),"x",""))</f>
        <v/>
      </c>
      <c r="S3059" s="525" t="str">
        <f>IF(ISERROR(FIND('112'!$M$9,G3059,1)),"",IF((AND(LEFT(G3059,2)=LEFT('112'!$M$9,2),B3059&lt;'112'!$N$8,$L3059='112'!$I$6)),"x",""))</f>
        <v/>
      </c>
      <c r="T3059" s="525" t="str">
        <f>IF(ISERROR(FIND('112'!$M$9,G3059,1)),"",IF((AND(RIGHT(G3059,2)=RIGHT('112'!$M$9,2),B3059&lt;'112'!$N$8,$M3059='112'!$I$6)),"x",""))</f>
        <v/>
      </c>
      <c r="U3059" s="525" t="str">
        <f>IF(AND(B3059&gt;='IN-NX'!$P$3,B3059&lt;='IN-NX'!$Q$3,'IN-NX'!$D$7=D3059,OR(LEFT(L3059,2)="15",AND(LEFT(M3059,2)&lt;&gt;"15",LEFT(M3059,2)&lt;&gt;"33"))),"x","")</f>
        <v/>
      </c>
      <c r="V3059" s="525" t="str">
        <f>IF(AND(OR(LEFT(TH!L3059,2)="15",LEFT(TH!M3059,2)="15"),'152-CT'!$J$8=TH!F3059),"x","")</f>
        <v/>
      </c>
      <c r="W3059" s="525" t="str">
        <f>IF(AND(OR(LEFT(TH!L3059,2)="15",LEFT(TH!M3059,2)="15"),TK!$E$7=TH!F3059),"x","")</f>
        <v/>
      </c>
      <c r="X3059" s="525" t="str">
        <f>IF(AND('341-CT'!$E$9=H3059,OR(LEFT(L3059,3)=$X$7,LEFT(M3059,3)=$X$7)),"x","")</f>
        <v/>
      </c>
      <c r="Y3059" s="525" t="str">
        <f>IF(OR(TH!L3059=TH!$Y$7,M3059=TH!$Y$7),"x","")</f>
        <v/>
      </c>
      <c r="Z3059" s="525" t="str">
        <f>IF(AND(B3059&lt;=NKC!$N$8,B3059&gt;=NKC!$M$8),"x","")</f>
        <v/>
      </c>
      <c r="AA3059" s="687"/>
      <c r="AC3059" s="503"/>
      <c r="AD3059" s="689"/>
      <c r="AE3059" s="689"/>
    </row>
    <row r="3060" spans="1:31" s="688" customFormat="1" ht="15.75" customHeight="1">
      <c r="A3060" s="517" t="str">
        <f>IF(B3060&lt;&gt;"",IF(AND(B3060&gt;=_TM1,B3060&lt;=_TM2,OR(TH!L3060="1111",TH!M3060="1111")),TH!D3060,""),"")</f>
        <v/>
      </c>
      <c r="B3060" s="685">
        <f t="shared" si="266"/>
        <v>4</v>
      </c>
      <c r="C3060" s="671">
        <f t="shared" si="269"/>
        <v>42851</v>
      </c>
      <c r="D3060" s="718" t="s">
        <v>376</v>
      </c>
      <c r="E3060" s="671">
        <v>42851</v>
      </c>
      <c r="F3060" s="673" t="s">
        <v>500</v>
      </c>
      <c r="G3060" s="686" t="s">
        <v>1113</v>
      </c>
      <c r="H3060" s="675" t="s">
        <v>1184</v>
      </c>
      <c r="I3060" s="676">
        <v>300</v>
      </c>
      <c r="J3060" s="676">
        <v>7399.74</v>
      </c>
      <c r="K3060" s="677">
        <f>ROUND(I3060*J3060,0)</f>
        <v>2219922</v>
      </c>
      <c r="L3060" s="678" t="s">
        <v>292</v>
      </c>
      <c r="M3060" s="678" t="s">
        <v>158</v>
      </c>
      <c r="N3060" s="525" t="str">
        <f>IF(AND('331-CT'!$E$7=TH!H3060,OR(L3060="331",M3060="331")),"331",IF(AND(OR(L3060="131",M3060="131"),H3060='131-CT'!$E$7),"131",""))</f>
        <v/>
      </c>
      <c r="O3060" s="525" t="str">
        <f>IF(AND($B3060&gt;='111'!$N$11,$B3060&lt;='111'!$O$11,OR($L3060=$O$7,$M3060=$O$7)),"x","")</f>
        <v/>
      </c>
      <c r="P3060" s="525" t="str">
        <f>IF(AND($L3060=$O$7,$B3060&lt;'111'!$N$11),"x","")</f>
        <v/>
      </c>
      <c r="Q3060" s="525" t="str">
        <f>IF(AND($M3060=$O$7,$B3060&lt;'111'!$N$11),"x","")</f>
        <v/>
      </c>
      <c r="R3060" s="525" t="str">
        <f>IF(ISERROR(FIND('112'!$M$9,G3060,1)),"",IF((AND(FIND('112'!$M$9,G3060,1)&gt;=1,$B3060&gt;='112'!$N$8,$B3060&lt;='112'!$O$8,OR($L3060='112'!$I$6,$M3060='112'!$I$6))),"x",""))</f>
        <v/>
      </c>
      <c r="S3060" s="525" t="str">
        <f>IF(ISERROR(FIND('112'!$M$9,G3060,1)),"",IF((AND(LEFT(G3060,2)=LEFT('112'!$M$9,2),B3060&lt;'112'!$N$8,$L3060='112'!$I$6)),"x",""))</f>
        <v/>
      </c>
      <c r="T3060" s="525" t="str">
        <f>IF(ISERROR(FIND('112'!$M$9,G3060,1)),"",IF((AND(RIGHT(G3060,2)=RIGHT('112'!$M$9,2),B3060&lt;'112'!$N$8,$M3060='112'!$I$6)),"x",""))</f>
        <v/>
      </c>
      <c r="U3060" s="525" t="str">
        <f>IF(AND(B3060&gt;='IN-NX'!$P$3,B3060&lt;='IN-NX'!$Q$3,'IN-NX'!$D$7=D3060,OR(LEFT(L3060,2)="15",AND(LEFT(M3060,2)&lt;&gt;"15",LEFT(M3060,2)&lt;&gt;"33"))),"x","")</f>
        <v/>
      </c>
      <c r="V3060" s="525" t="str">
        <f>IF(AND(OR(LEFT(TH!L3060,2)="15",LEFT(TH!M3060,2)="15"),'152-CT'!$J$8=TH!F3060),"x","")</f>
        <v/>
      </c>
      <c r="W3060" s="525" t="str">
        <f>IF(AND(OR(LEFT(TH!L3060,2)="15",LEFT(TH!M3060,2)="15"),TK!$E$7=TH!F3060),"x","")</f>
        <v/>
      </c>
      <c r="X3060" s="525" t="str">
        <f>IF(AND('341-CT'!$E$9=H3060,OR(LEFT(L3060,3)=$X$7,LEFT(M3060,3)=$X$7)),"x","")</f>
        <v/>
      </c>
      <c r="Y3060" s="525" t="str">
        <f>IF(OR(TH!L3060=TH!$Y$7,M3060=TH!$Y$7),"x","")</f>
        <v/>
      </c>
      <c r="Z3060" s="525" t="str">
        <f>IF(AND(B3060&lt;=NKC!$N$8,B3060&gt;=NKC!$M$8),"x","")</f>
        <v/>
      </c>
      <c r="AA3060" s="687"/>
      <c r="AC3060" s="503"/>
      <c r="AD3060" s="689"/>
      <c r="AE3060" s="689"/>
    </row>
    <row r="3061" spans="1:31" s="688" customFormat="1" ht="15.75" customHeight="1">
      <c r="A3061" s="517" t="str">
        <f>IF(B3061&lt;&gt;"",IF(AND(B3061&gt;=_TM1,B3061&lt;=_TM2,OR(TH!L3061="1111",TH!M3061="1111")),TH!D3061,""),"")</f>
        <v/>
      </c>
      <c r="B3061" s="685">
        <f t="shared" si="266"/>
        <v>4</v>
      </c>
      <c r="C3061" s="671">
        <f t="shared" si="269"/>
        <v>42851</v>
      </c>
      <c r="D3061" s="718" t="s">
        <v>376</v>
      </c>
      <c r="E3061" s="671">
        <v>42851</v>
      </c>
      <c r="F3061" s="673" t="s">
        <v>1114</v>
      </c>
      <c r="G3061" s="686" t="s">
        <v>1113</v>
      </c>
      <c r="H3061" s="675" t="s">
        <v>1184</v>
      </c>
      <c r="I3061" s="676">
        <v>177</v>
      </c>
      <c r="J3061" s="676">
        <v>5198.4350282485875</v>
      </c>
      <c r="K3061" s="677">
        <f>ROUND(I3061*J3061,0)</f>
        <v>920123</v>
      </c>
      <c r="L3061" s="678" t="s">
        <v>292</v>
      </c>
      <c r="M3061" s="678" t="s">
        <v>158</v>
      </c>
      <c r="N3061" s="525" t="str">
        <f>IF(AND('331-CT'!$E$7=TH!H3061,OR(L3061="331",M3061="331")),"331",IF(AND(OR(L3061="131",M3061="131"),H3061='131-CT'!$E$7),"131",""))</f>
        <v/>
      </c>
      <c r="O3061" s="525" t="str">
        <f>IF(AND($B3061&gt;='111'!$N$11,$B3061&lt;='111'!$O$11,OR($L3061=$O$7,$M3061=$O$7)),"x","")</f>
        <v/>
      </c>
      <c r="P3061" s="525" t="str">
        <f>IF(AND($L3061=$O$7,$B3061&lt;'111'!$N$11),"x","")</f>
        <v/>
      </c>
      <c r="Q3061" s="525" t="str">
        <f>IF(AND($M3061=$O$7,$B3061&lt;'111'!$N$11),"x","")</f>
        <v/>
      </c>
      <c r="R3061" s="525" t="str">
        <f>IF(ISERROR(FIND('112'!$M$9,G3061,1)),"",IF((AND(FIND('112'!$M$9,G3061,1)&gt;=1,$B3061&gt;='112'!$N$8,$B3061&lt;='112'!$O$8,OR($L3061='112'!$I$6,$M3061='112'!$I$6))),"x",""))</f>
        <v/>
      </c>
      <c r="S3061" s="525" t="str">
        <f>IF(ISERROR(FIND('112'!$M$9,G3061,1)),"",IF((AND(LEFT(G3061,2)=LEFT('112'!$M$9,2),B3061&lt;'112'!$N$8,$L3061='112'!$I$6)),"x",""))</f>
        <v/>
      </c>
      <c r="T3061" s="525" t="str">
        <f>IF(ISERROR(FIND('112'!$M$9,G3061,1)),"",IF((AND(RIGHT(G3061,2)=RIGHT('112'!$M$9,2),B3061&lt;'112'!$N$8,$M3061='112'!$I$6)),"x",""))</f>
        <v/>
      </c>
      <c r="U3061" s="525" t="str">
        <f>IF(AND(B3061&gt;='IN-NX'!$P$3,B3061&lt;='IN-NX'!$Q$3,'IN-NX'!$D$7=D3061,OR(LEFT(L3061,2)="15",AND(LEFT(M3061,2)&lt;&gt;"15",LEFT(M3061,2)&lt;&gt;"33"))),"x","")</f>
        <v/>
      </c>
      <c r="V3061" s="525" t="str">
        <f>IF(AND(OR(LEFT(TH!L3061,2)="15",LEFT(TH!M3061,2)="15"),'152-CT'!$J$8=TH!F3061),"x","")</f>
        <v/>
      </c>
      <c r="W3061" s="525" t="str">
        <f>IF(AND(OR(LEFT(TH!L3061,2)="15",LEFT(TH!M3061,2)="15"),TK!$E$7=TH!F3061),"x","")</f>
        <v/>
      </c>
      <c r="X3061" s="525" t="str">
        <f>IF(AND('341-CT'!$E$9=H3061,OR(LEFT(L3061,3)=$X$7,LEFT(M3061,3)=$X$7)),"x","")</f>
        <v/>
      </c>
      <c r="Y3061" s="525" t="str">
        <f>IF(OR(TH!L3061=TH!$Y$7,M3061=TH!$Y$7),"x","")</f>
        <v/>
      </c>
      <c r="Z3061" s="525" t="str">
        <f>IF(AND(B3061&lt;=NKC!$N$8,B3061&gt;=NKC!$M$8),"x","")</f>
        <v/>
      </c>
      <c r="AA3061" s="687"/>
      <c r="AC3061" s="503"/>
      <c r="AD3061" s="689"/>
      <c r="AE3061" s="689"/>
    </row>
    <row r="3062" spans="1:31" s="576" customFormat="1" ht="15.75" customHeight="1">
      <c r="A3062" s="517" t="str">
        <f>IF(B3062&lt;&gt;"",IF(AND(B3062&gt;=_TM1,B3062&lt;=_TM2,OR(TH!L3062="1111",TH!M3062="1111")),TH!D3062,""),"")</f>
        <v/>
      </c>
      <c r="B3062" s="518">
        <f t="shared" ref="B3062:B3071" si="270">IF(C3062&lt;&gt;"",MONTH(C3062),"")</f>
        <v>4</v>
      </c>
      <c r="C3062" s="571">
        <f t="shared" ref="C3062:C3071" si="271">E3062</f>
        <v>42829</v>
      </c>
      <c r="D3062" s="519" t="s">
        <v>996</v>
      </c>
      <c r="E3062" s="571">
        <v>42829</v>
      </c>
      <c r="F3062" s="577" t="s">
        <v>1005</v>
      </c>
      <c r="G3062" s="573" t="s">
        <v>1094</v>
      </c>
      <c r="H3062" s="574" t="s">
        <v>800</v>
      </c>
      <c r="I3062" s="523">
        <v>520</v>
      </c>
      <c r="J3062" s="523">
        <v>7320.8865384615383</v>
      </c>
      <c r="K3062" s="575">
        <f t="shared" ref="K3062:K3074" si="272">ROUND(I3062*J3062,0)</f>
        <v>3806861</v>
      </c>
      <c r="L3062" s="591" t="s">
        <v>160</v>
      </c>
      <c r="M3062" s="591" t="s">
        <v>292</v>
      </c>
      <c r="N3062" s="525" t="str">
        <f>IF(AND('331-CT'!$E$7=TH!H3062,OR(L3062="331",M3062="331")),"331",IF(AND(OR(L3062="131",M3062="131"),H3062='131-CT'!$E$7),"131",""))</f>
        <v/>
      </c>
      <c r="O3062" s="525" t="str">
        <f>IF(AND($B3062&gt;='111'!$N$11,$B3062&lt;='111'!$O$11,OR($L3062=$O$7,$M3062=$O$7)),"x","")</f>
        <v/>
      </c>
      <c r="P3062" s="525" t="str">
        <f>IF(AND($L3062=$O$7,$B3062&lt;'111'!$N$11),"x","")</f>
        <v/>
      </c>
      <c r="Q3062" s="525" t="str">
        <f>IF(AND($M3062=$O$7,$B3062&lt;'111'!$N$11),"x","")</f>
        <v/>
      </c>
      <c r="R3062" s="525" t="str">
        <f>IF(ISERROR(FIND('112'!$M$9,G3062,1)),"",IF((AND(FIND('112'!$M$9,G3062,1)&gt;=1,$B3062&gt;='112'!$N$8,$B3062&lt;='112'!$O$8,OR($L3062='112'!$I$6,$M3062='112'!$I$6))),"x",""))</f>
        <v/>
      </c>
      <c r="S3062" s="525" t="str">
        <f>IF(ISERROR(FIND('112'!$M$9,G3062,1)),"",IF((AND(LEFT(G3062,2)=LEFT('112'!$M$9,2),B3062&lt;'112'!$N$8,$L3062='112'!$I$6)),"x",""))</f>
        <v/>
      </c>
      <c r="T3062" s="525" t="str">
        <f>IF(ISERROR(FIND('112'!$M$9,G3062,1)),"",IF((AND(RIGHT(G3062,2)=RIGHT('112'!$M$9,2),B3062&lt;'112'!$N$8,$M3062='112'!$I$6)),"x",""))</f>
        <v/>
      </c>
      <c r="U3062" s="525" t="str">
        <f>IF(AND(B3062&gt;='IN-NX'!$P$3,B3062&lt;='IN-NX'!$Q$3,'IN-NX'!$D$7=D3062,OR(LEFT(L3062,2)="15",AND(LEFT(M3062,2)&lt;&gt;"15",LEFT(M3062,2)&lt;&gt;"33"))),"x","")</f>
        <v/>
      </c>
      <c r="V3062" s="525" t="str">
        <f>IF(AND(OR(LEFT(TH!L3062,2)="15",LEFT(TH!M3062,2)="15"),'152-CT'!$J$8=TH!F3062),"x","")</f>
        <v/>
      </c>
      <c r="W3062" s="525" t="str">
        <f>IF(AND(OR(LEFT(TH!L3062,2)="15",LEFT(TH!M3062,2)="15"),TK!$E$7=TH!F3062),"x","")</f>
        <v/>
      </c>
      <c r="X3062" s="525" t="str">
        <f>IF(AND('341-CT'!$E$9=H3062,OR(LEFT(L3062,3)=$X$7,LEFT(M3062,3)=$X$7)),"x","")</f>
        <v/>
      </c>
      <c r="Y3062" s="525" t="str">
        <f>IF(OR(TH!L3062=TH!$Y$7,M3062=TH!$Y$7),"x","")</f>
        <v/>
      </c>
      <c r="Z3062" s="525" t="str">
        <f>IF(AND(B3062&lt;=NKC!$N$8,B3062&gt;=NKC!$M$8),"x","")</f>
        <v/>
      </c>
      <c r="AA3062" s="526"/>
      <c r="AB3062" s="527"/>
      <c r="AC3062" s="527"/>
      <c r="AD3062" s="527"/>
    </row>
    <row r="3063" spans="1:31" s="527" customFormat="1" ht="15.75" customHeight="1">
      <c r="A3063" s="517" t="str">
        <f>IF(B3063&lt;&gt;"",IF(AND(B3063&gt;=_TM1,B3063&lt;=_TM2,OR(TH!L3063="1111",TH!M3063="1111")),TH!D3063,""),"")</f>
        <v/>
      </c>
      <c r="B3063" s="518">
        <f t="shared" si="270"/>
        <v>4</v>
      </c>
      <c r="C3063" s="571">
        <f t="shared" si="271"/>
        <v>42829</v>
      </c>
      <c r="D3063" s="519" t="s">
        <v>996</v>
      </c>
      <c r="E3063" s="571">
        <v>42829</v>
      </c>
      <c r="F3063" s="572" t="s">
        <v>1006</v>
      </c>
      <c r="G3063" s="573" t="s">
        <v>1094</v>
      </c>
      <c r="H3063" s="574" t="s">
        <v>800</v>
      </c>
      <c r="I3063" s="523">
        <v>255</v>
      </c>
      <c r="J3063" s="523">
        <v>17490.337254901962</v>
      </c>
      <c r="K3063" s="575">
        <f t="shared" si="272"/>
        <v>4460036</v>
      </c>
      <c r="L3063" s="591" t="s">
        <v>160</v>
      </c>
      <c r="M3063" s="591" t="s">
        <v>292</v>
      </c>
      <c r="N3063" s="525" t="str">
        <f>IF(AND('331-CT'!$E$7=TH!H3063,OR(L3063="331",M3063="331")),"331",IF(AND(OR(L3063="131",M3063="131"),H3063='131-CT'!$E$7),"131",""))</f>
        <v/>
      </c>
      <c r="O3063" s="525" t="str">
        <f>IF(AND($B3063&gt;='111'!$N$11,$B3063&lt;='111'!$O$11,OR($L3063=$O$7,$M3063=$O$7)),"x","")</f>
        <v/>
      </c>
      <c r="P3063" s="525" t="str">
        <f>IF(AND($L3063=$O$7,$B3063&lt;'111'!$N$11),"x","")</f>
        <v/>
      </c>
      <c r="Q3063" s="525" t="str">
        <f>IF(AND($M3063=$O$7,$B3063&lt;'111'!$N$11),"x","")</f>
        <v/>
      </c>
      <c r="R3063" s="525" t="str">
        <f>IF(ISERROR(FIND('112'!$M$9,G3063,1)),"",IF((AND(FIND('112'!$M$9,G3063,1)&gt;=1,$B3063&gt;='112'!$N$8,$B3063&lt;='112'!$O$8,OR($L3063='112'!$I$6,$M3063='112'!$I$6))),"x",""))</f>
        <v/>
      </c>
      <c r="S3063" s="525" t="str">
        <f>IF(ISERROR(FIND('112'!$M$9,G3063,1)),"",IF((AND(LEFT(G3063,2)=LEFT('112'!$M$9,2),B3063&lt;'112'!$N$8,$L3063='112'!$I$6)),"x",""))</f>
        <v/>
      </c>
      <c r="T3063" s="525" t="str">
        <f>IF(ISERROR(FIND('112'!$M$9,G3063,1)),"",IF((AND(RIGHT(G3063,2)=RIGHT('112'!$M$9,2),B3063&lt;'112'!$N$8,$M3063='112'!$I$6)),"x",""))</f>
        <v/>
      </c>
      <c r="U3063" s="525" t="str">
        <f>IF(AND(B3063&gt;='IN-NX'!$P$3,B3063&lt;='IN-NX'!$Q$3,'IN-NX'!$D$7=D3063,OR(LEFT(L3063,2)="15",AND(LEFT(M3063,2)&lt;&gt;"15",LEFT(M3063,2)&lt;&gt;"33"))),"x","")</f>
        <v/>
      </c>
      <c r="V3063" s="525" t="str">
        <f>IF(AND(OR(LEFT(TH!L3063,2)="15",LEFT(TH!M3063,2)="15"),'152-CT'!$J$8=TH!F3063),"x","")</f>
        <v/>
      </c>
      <c r="W3063" s="525" t="str">
        <f>IF(AND(OR(LEFT(TH!L3063,2)="15",LEFT(TH!M3063,2)="15"),TK!$E$7=TH!F3063),"x","")</f>
        <v/>
      </c>
      <c r="X3063" s="525" t="str">
        <f>IF(AND('341-CT'!$E$9=H3063,OR(LEFT(L3063,3)=$X$7,LEFT(M3063,3)=$X$7)),"x","")</f>
        <v/>
      </c>
      <c r="Y3063" s="525" t="str">
        <f>IF(OR(TH!L3063=TH!$Y$7,M3063=TH!$Y$7),"x","")</f>
        <v/>
      </c>
      <c r="Z3063" s="525" t="str">
        <f>IF(AND(B3063&lt;=NKC!$N$8,B3063&gt;=NKC!$M$8),"x","")</f>
        <v/>
      </c>
      <c r="AA3063" s="526"/>
      <c r="AC3063" s="576"/>
      <c r="AD3063" s="576"/>
      <c r="AE3063" s="576"/>
    </row>
    <row r="3064" spans="1:31" s="527" customFormat="1" ht="15.75" customHeight="1">
      <c r="A3064" s="517" t="str">
        <f>IF(B3064&lt;&gt;"",IF(AND(B3064&gt;=_TM1,B3064&lt;=_TM2,OR(TH!L3064="1111",TH!M3064="1111")),TH!D3064,""),"")</f>
        <v/>
      </c>
      <c r="B3064" s="518">
        <f t="shared" si="270"/>
        <v>4</v>
      </c>
      <c r="C3064" s="571">
        <f t="shared" si="271"/>
        <v>42829</v>
      </c>
      <c r="D3064" s="519" t="s">
        <v>996</v>
      </c>
      <c r="E3064" s="571">
        <v>42829</v>
      </c>
      <c r="F3064" s="572" t="s">
        <v>1007</v>
      </c>
      <c r="G3064" s="573" t="s">
        <v>1094</v>
      </c>
      <c r="H3064" s="574" t="s">
        <v>800</v>
      </c>
      <c r="I3064" s="523">
        <v>600</v>
      </c>
      <c r="J3064" s="523">
        <v>8336.4249999999993</v>
      </c>
      <c r="K3064" s="575">
        <f t="shared" si="272"/>
        <v>5001855</v>
      </c>
      <c r="L3064" s="591" t="s">
        <v>160</v>
      </c>
      <c r="M3064" s="591" t="s">
        <v>292</v>
      </c>
      <c r="N3064" s="525" t="str">
        <f>IF(AND('331-CT'!$E$7=TH!H3064,OR(L3064="331",M3064="331")),"331",IF(AND(OR(L3064="131",M3064="131"),H3064='131-CT'!$E$7),"131",""))</f>
        <v/>
      </c>
      <c r="O3064" s="525" t="str">
        <f>IF(AND($B3064&gt;='111'!$N$11,$B3064&lt;='111'!$O$11,OR($L3064=$O$7,$M3064=$O$7)),"x","")</f>
        <v/>
      </c>
      <c r="P3064" s="525" t="str">
        <f>IF(AND($L3064=$O$7,$B3064&lt;'111'!$N$11),"x","")</f>
        <v/>
      </c>
      <c r="Q3064" s="525" t="str">
        <f>IF(AND($M3064=$O$7,$B3064&lt;'111'!$N$11),"x","")</f>
        <v/>
      </c>
      <c r="R3064" s="525" t="str">
        <f>IF(ISERROR(FIND('112'!$M$9,G3064,1)),"",IF((AND(FIND('112'!$M$9,G3064,1)&gt;=1,$B3064&gt;='112'!$N$8,$B3064&lt;='112'!$O$8,OR($L3064='112'!$I$6,$M3064='112'!$I$6))),"x",""))</f>
        <v/>
      </c>
      <c r="S3064" s="525" t="str">
        <f>IF(ISERROR(FIND('112'!$M$9,G3064,1)),"",IF((AND(LEFT(G3064,2)=LEFT('112'!$M$9,2),B3064&lt;'112'!$N$8,$L3064='112'!$I$6)),"x",""))</f>
        <v/>
      </c>
      <c r="T3064" s="525" t="str">
        <f>IF(ISERROR(FIND('112'!$M$9,G3064,1)),"",IF((AND(RIGHT(G3064,2)=RIGHT('112'!$M$9,2),B3064&lt;'112'!$N$8,$M3064='112'!$I$6)),"x",""))</f>
        <v/>
      </c>
      <c r="U3064" s="525" t="str">
        <f>IF(AND(B3064&gt;='IN-NX'!$P$3,B3064&lt;='IN-NX'!$Q$3,'IN-NX'!$D$7=D3064,OR(LEFT(L3064,2)="15",AND(LEFT(M3064,2)&lt;&gt;"15",LEFT(M3064,2)&lt;&gt;"33"))),"x","")</f>
        <v/>
      </c>
      <c r="V3064" s="525" t="str">
        <f>IF(AND(OR(LEFT(TH!L3064,2)="15",LEFT(TH!M3064,2)="15"),'152-CT'!$J$8=TH!F3064),"x","")</f>
        <v/>
      </c>
      <c r="W3064" s="525" t="str">
        <f>IF(AND(OR(LEFT(TH!L3064,2)="15",LEFT(TH!M3064,2)="15"),TK!$E$7=TH!F3064),"x","")</f>
        <v/>
      </c>
      <c r="X3064" s="525" t="str">
        <f>IF(AND('341-CT'!$E$9=H3064,OR(LEFT(L3064,3)=$X$7,LEFT(M3064,3)=$X$7)),"x","")</f>
        <v/>
      </c>
      <c r="Y3064" s="525" t="str">
        <f>IF(OR(TH!L3064=TH!$Y$7,M3064=TH!$Y$7),"x","")</f>
        <v/>
      </c>
      <c r="Z3064" s="525" t="str">
        <f>IF(AND(B3064&lt;=NKC!$N$8,B3064&gt;=NKC!$M$8),"x","")</f>
        <v/>
      </c>
      <c r="AA3064" s="526"/>
      <c r="AC3064" s="576"/>
      <c r="AE3064" s="576"/>
    </row>
    <row r="3065" spans="1:31" s="527" customFormat="1" ht="15.75" customHeight="1">
      <c r="A3065" s="517" t="str">
        <f>IF(B3065&lt;&gt;"",IF(AND(B3065&gt;=_TM1,B3065&lt;=_TM2,OR(TH!L3065="1111",TH!M3065="1111")),TH!D3065,""),"")</f>
        <v/>
      </c>
      <c r="B3065" s="518">
        <f t="shared" si="270"/>
        <v>4</v>
      </c>
      <c r="C3065" s="571">
        <f t="shared" si="271"/>
        <v>42832</v>
      </c>
      <c r="D3065" s="519" t="s">
        <v>996</v>
      </c>
      <c r="E3065" s="571">
        <v>42832</v>
      </c>
      <c r="F3065" s="572" t="s">
        <v>1008</v>
      </c>
      <c r="G3065" s="573" t="s">
        <v>1096</v>
      </c>
      <c r="H3065" s="574" t="s">
        <v>800</v>
      </c>
      <c r="I3065" s="523">
        <v>4800</v>
      </c>
      <c r="J3065" s="523">
        <v>9459.175208333334</v>
      </c>
      <c r="K3065" s="575">
        <f t="shared" si="272"/>
        <v>45404041</v>
      </c>
      <c r="L3065" s="591" t="s">
        <v>160</v>
      </c>
      <c r="M3065" s="591" t="s">
        <v>292</v>
      </c>
      <c r="N3065" s="525" t="str">
        <f>IF(AND('331-CT'!$E$7=TH!H3065,OR(L3065="331",M3065="331")),"331",IF(AND(OR(L3065="131",M3065="131"),H3065='131-CT'!$E$7),"131",""))</f>
        <v/>
      </c>
      <c r="O3065" s="525" t="str">
        <f>IF(AND($B3065&gt;='111'!$N$11,$B3065&lt;='111'!$O$11,OR($L3065=$O$7,$M3065=$O$7)),"x","")</f>
        <v/>
      </c>
      <c r="P3065" s="525" t="str">
        <f>IF(AND($L3065=$O$7,$B3065&lt;'111'!$N$11),"x","")</f>
        <v/>
      </c>
      <c r="Q3065" s="525" t="str">
        <f>IF(AND($M3065=$O$7,$B3065&lt;'111'!$N$11),"x","")</f>
        <v/>
      </c>
      <c r="R3065" s="525" t="str">
        <f>IF(ISERROR(FIND('112'!$M$9,G3065,1)),"",IF((AND(FIND('112'!$M$9,G3065,1)&gt;=1,$B3065&gt;='112'!$N$8,$B3065&lt;='112'!$O$8,OR($L3065='112'!$I$6,$M3065='112'!$I$6))),"x",""))</f>
        <v/>
      </c>
      <c r="S3065" s="525" t="str">
        <f>IF(ISERROR(FIND('112'!$M$9,G3065,1)),"",IF((AND(LEFT(G3065,2)=LEFT('112'!$M$9,2),B3065&lt;'112'!$N$8,$L3065='112'!$I$6)),"x",""))</f>
        <v/>
      </c>
      <c r="T3065" s="525" t="str">
        <f>IF(ISERROR(FIND('112'!$M$9,G3065,1)),"",IF((AND(RIGHT(G3065,2)=RIGHT('112'!$M$9,2),B3065&lt;'112'!$N$8,$M3065='112'!$I$6)),"x",""))</f>
        <v/>
      </c>
      <c r="U3065" s="525" t="str">
        <f>IF(AND(B3065&gt;='IN-NX'!$P$3,B3065&lt;='IN-NX'!$Q$3,'IN-NX'!$D$7=D3065,OR(LEFT(L3065,2)="15",AND(LEFT(M3065,2)&lt;&gt;"15",LEFT(M3065,2)&lt;&gt;"33"))),"x","")</f>
        <v/>
      </c>
      <c r="V3065" s="525" t="str">
        <f>IF(AND(OR(LEFT(TH!L3065,2)="15",LEFT(TH!M3065,2)="15"),'152-CT'!$J$8=TH!F3065),"x","")</f>
        <v/>
      </c>
      <c r="W3065" s="525" t="str">
        <f>IF(AND(OR(LEFT(TH!L3065,2)="15",LEFT(TH!M3065,2)="15"),TK!$E$7=TH!F3065),"x","")</f>
        <v/>
      </c>
      <c r="X3065" s="525" t="str">
        <f>IF(AND('341-CT'!$E$9=H3065,OR(LEFT(L3065,3)=$X$7,LEFT(M3065,3)=$X$7)),"x","")</f>
        <v/>
      </c>
      <c r="Y3065" s="525" t="str">
        <f>IF(OR(TH!L3065=TH!$Y$7,M3065=TH!$Y$7),"x","")</f>
        <v/>
      </c>
      <c r="Z3065" s="525" t="str">
        <f>IF(AND(B3065&lt;=NKC!$N$8,B3065&gt;=NKC!$M$8),"x","")</f>
        <v/>
      </c>
      <c r="AA3065" s="526"/>
      <c r="AC3065" s="576"/>
      <c r="AD3065" s="576"/>
      <c r="AE3065" s="576"/>
    </row>
    <row r="3066" spans="1:31" s="527" customFormat="1" ht="15.75" customHeight="1">
      <c r="A3066" s="517" t="str">
        <f>IF(B3066&lt;&gt;"",IF(AND(B3066&gt;=_TM1,B3066&lt;=_TM2,OR(TH!L3066="1111",TH!M3066="1111")),TH!D3066,""),"")</f>
        <v/>
      </c>
      <c r="B3066" s="518">
        <f t="shared" si="270"/>
        <v>4</v>
      </c>
      <c r="C3066" s="571">
        <f t="shared" si="271"/>
        <v>42832</v>
      </c>
      <c r="D3066" s="519" t="s">
        <v>996</v>
      </c>
      <c r="E3066" s="571">
        <v>42832</v>
      </c>
      <c r="F3066" s="572" t="s">
        <v>500</v>
      </c>
      <c r="G3066" s="573" t="s">
        <v>1097</v>
      </c>
      <c r="H3066" s="574" t="s">
        <v>800</v>
      </c>
      <c r="I3066" s="523">
        <v>300</v>
      </c>
      <c r="J3066" s="523">
        <v>8310.9266666666663</v>
      </c>
      <c r="K3066" s="575">
        <f t="shared" si="272"/>
        <v>2493278</v>
      </c>
      <c r="L3066" s="591" t="s">
        <v>160</v>
      </c>
      <c r="M3066" s="591" t="s">
        <v>292</v>
      </c>
      <c r="N3066" s="525" t="str">
        <f>IF(AND('331-CT'!$E$7=TH!H3066,OR(L3066="331",M3066="331")),"331",IF(AND(OR(L3066="131",M3066="131"),H3066='131-CT'!$E$7),"131",""))</f>
        <v/>
      </c>
      <c r="O3066" s="525" t="str">
        <f>IF(AND($B3066&gt;='111'!$N$11,$B3066&lt;='111'!$O$11,OR($L3066=$O$7,$M3066=$O$7)),"x","")</f>
        <v/>
      </c>
      <c r="P3066" s="525" t="str">
        <f>IF(AND($L3066=$O$7,$B3066&lt;'111'!$N$11),"x","")</f>
        <v/>
      </c>
      <c r="Q3066" s="525" t="str">
        <f>IF(AND($M3066=$O$7,$B3066&lt;'111'!$N$11),"x","")</f>
        <v/>
      </c>
      <c r="R3066" s="525" t="str">
        <f>IF(ISERROR(FIND('112'!$M$9,G3066,1)),"",IF((AND(FIND('112'!$M$9,G3066,1)&gt;=1,$B3066&gt;='112'!$N$8,$B3066&lt;='112'!$O$8,OR($L3066='112'!$I$6,$M3066='112'!$I$6))),"x",""))</f>
        <v/>
      </c>
      <c r="S3066" s="525" t="str">
        <f>IF(ISERROR(FIND('112'!$M$9,G3066,1)),"",IF((AND(LEFT(G3066,2)=LEFT('112'!$M$9,2),B3066&lt;'112'!$N$8,$L3066='112'!$I$6)),"x",""))</f>
        <v/>
      </c>
      <c r="T3066" s="525" t="str">
        <f>IF(ISERROR(FIND('112'!$M$9,G3066,1)),"",IF((AND(RIGHT(G3066,2)=RIGHT('112'!$M$9,2),B3066&lt;'112'!$N$8,$M3066='112'!$I$6)),"x",""))</f>
        <v/>
      </c>
      <c r="U3066" s="525" t="str">
        <f>IF(AND(B3066&gt;='IN-NX'!$P$3,B3066&lt;='IN-NX'!$Q$3,'IN-NX'!$D$7=D3066,OR(LEFT(L3066,2)="15",AND(LEFT(M3066,2)&lt;&gt;"15",LEFT(M3066,2)&lt;&gt;"33"))),"x","")</f>
        <v/>
      </c>
      <c r="V3066" s="525" t="str">
        <f>IF(AND(OR(LEFT(TH!L3066,2)="15",LEFT(TH!M3066,2)="15"),'152-CT'!$J$8=TH!F3066),"x","")</f>
        <v/>
      </c>
      <c r="W3066" s="525" t="str">
        <f>IF(AND(OR(LEFT(TH!L3066,2)="15",LEFT(TH!M3066,2)="15"),TK!$E$7=TH!F3066),"x","")</f>
        <v/>
      </c>
      <c r="X3066" s="525" t="str">
        <f>IF(AND('341-CT'!$E$9=H3066,OR(LEFT(L3066,3)=$X$7,LEFT(M3066,3)=$X$7)),"x","")</f>
        <v/>
      </c>
      <c r="Y3066" s="525" t="str">
        <f>IF(OR(TH!L3066=TH!$Y$7,M3066=TH!$Y$7),"x","")</f>
        <v/>
      </c>
      <c r="Z3066" s="525" t="str">
        <f>IF(AND(B3066&lt;=NKC!$N$8,B3066&gt;=NKC!$M$8),"x","")</f>
        <v/>
      </c>
      <c r="AA3066" s="526"/>
      <c r="AC3066" s="576"/>
      <c r="AD3066" s="576"/>
      <c r="AE3066" s="576"/>
    </row>
    <row r="3067" spans="1:31" s="527" customFormat="1" ht="15.75" customHeight="1">
      <c r="A3067" s="517" t="str">
        <f>IF(B3067&lt;&gt;"",IF(AND(B3067&gt;=_TM1,B3067&lt;=_TM2,OR(TH!L3067="1111",TH!M3067="1111")),TH!D3067,""),"")</f>
        <v/>
      </c>
      <c r="B3067" s="518">
        <f t="shared" si="270"/>
        <v>4</v>
      </c>
      <c r="C3067" s="571">
        <f t="shared" si="271"/>
        <v>42833</v>
      </c>
      <c r="D3067" s="519" t="s">
        <v>996</v>
      </c>
      <c r="E3067" s="571">
        <v>42833</v>
      </c>
      <c r="F3067" s="572" t="s">
        <v>1005</v>
      </c>
      <c r="G3067" s="573" t="s">
        <v>1098</v>
      </c>
      <c r="H3067" s="574" t="s">
        <v>800</v>
      </c>
      <c r="I3067" s="523">
        <v>620</v>
      </c>
      <c r="J3067" s="523">
        <v>7330.3451612903227</v>
      </c>
      <c r="K3067" s="575">
        <f t="shared" si="272"/>
        <v>4544814</v>
      </c>
      <c r="L3067" s="591" t="s">
        <v>160</v>
      </c>
      <c r="M3067" s="591" t="s">
        <v>292</v>
      </c>
      <c r="N3067" s="525" t="str">
        <f>IF(AND('331-CT'!$E$7=TH!H3067,OR(L3067="331",M3067="331")),"331",IF(AND(OR(L3067="131",M3067="131"),H3067='131-CT'!$E$7),"131",""))</f>
        <v/>
      </c>
      <c r="O3067" s="525" t="str">
        <f>IF(AND($B3067&gt;='111'!$N$11,$B3067&lt;='111'!$O$11,OR($L3067=$O$7,$M3067=$O$7)),"x","")</f>
        <v/>
      </c>
      <c r="P3067" s="525" t="str">
        <f>IF(AND($L3067=$O$7,$B3067&lt;'111'!$N$11),"x","")</f>
        <v/>
      </c>
      <c r="Q3067" s="525" t="str">
        <f>IF(AND($M3067=$O$7,$B3067&lt;'111'!$N$11),"x","")</f>
        <v/>
      </c>
      <c r="R3067" s="525" t="str">
        <f>IF(ISERROR(FIND('112'!$M$9,G3067,1)),"",IF((AND(FIND('112'!$M$9,G3067,1)&gt;=1,$B3067&gt;='112'!$N$8,$B3067&lt;='112'!$O$8,OR($L3067='112'!$I$6,$M3067='112'!$I$6))),"x",""))</f>
        <v/>
      </c>
      <c r="S3067" s="525" t="str">
        <f>IF(ISERROR(FIND('112'!$M$9,G3067,1)),"",IF((AND(LEFT(G3067,2)=LEFT('112'!$M$9,2),B3067&lt;'112'!$N$8,$L3067='112'!$I$6)),"x",""))</f>
        <v/>
      </c>
      <c r="T3067" s="525" t="str">
        <f>IF(ISERROR(FIND('112'!$M$9,G3067,1)),"",IF((AND(RIGHT(G3067,2)=RIGHT('112'!$M$9,2),B3067&lt;'112'!$N$8,$M3067='112'!$I$6)),"x",""))</f>
        <v/>
      </c>
      <c r="U3067" s="525" t="str">
        <f>IF(AND(B3067&gt;='IN-NX'!$P$3,B3067&lt;='IN-NX'!$Q$3,'IN-NX'!$D$7=D3067,OR(LEFT(L3067,2)="15",AND(LEFT(M3067,2)&lt;&gt;"15",LEFT(M3067,2)&lt;&gt;"33"))),"x","")</f>
        <v/>
      </c>
      <c r="V3067" s="525" t="str">
        <f>IF(AND(OR(LEFT(TH!L3067,2)="15",LEFT(TH!M3067,2)="15"),'152-CT'!$J$8=TH!F3067),"x","")</f>
        <v/>
      </c>
      <c r="W3067" s="525" t="str">
        <f>IF(AND(OR(LEFT(TH!L3067,2)="15",LEFT(TH!M3067,2)="15"),TK!$E$7=TH!F3067),"x","")</f>
        <v/>
      </c>
      <c r="X3067" s="525" t="str">
        <f>IF(AND('341-CT'!$E$9=H3067,OR(LEFT(L3067,3)=$X$7,LEFT(M3067,3)=$X$7)),"x","")</f>
        <v/>
      </c>
      <c r="Y3067" s="525" t="str">
        <f>IF(OR(TH!L3067=TH!$Y$7,M3067=TH!$Y$7),"x","")</f>
        <v/>
      </c>
      <c r="Z3067" s="525" t="str">
        <f>IF(AND(B3067&lt;=NKC!$N$8,B3067&gt;=NKC!$M$8),"x","")</f>
        <v/>
      </c>
      <c r="AA3067" s="526"/>
      <c r="AC3067" s="576"/>
      <c r="AD3067" s="576"/>
      <c r="AE3067" s="576"/>
    </row>
    <row r="3068" spans="1:31" s="527" customFormat="1" ht="15.75" customHeight="1">
      <c r="A3068" s="517" t="str">
        <f>IF(B3068&lt;&gt;"",IF(AND(B3068&gt;=_TM1,B3068&lt;=_TM2,OR(TH!L3068="1111",TH!M3068="1111")),TH!D3068,""),"")</f>
        <v/>
      </c>
      <c r="B3068" s="518">
        <f t="shared" si="270"/>
        <v>4</v>
      </c>
      <c r="C3068" s="571">
        <f t="shared" si="271"/>
        <v>42833</v>
      </c>
      <c r="D3068" s="519" t="s">
        <v>996</v>
      </c>
      <c r="E3068" s="571">
        <v>42833</v>
      </c>
      <c r="F3068" s="572" t="s">
        <v>1010</v>
      </c>
      <c r="G3068" s="573" t="s">
        <v>1098</v>
      </c>
      <c r="H3068" s="574" t="s">
        <v>800</v>
      </c>
      <c r="I3068" s="523">
        <v>480</v>
      </c>
      <c r="J3068" s="523">
        <v>14221.05</v>
      </c>
      <c r="K3068" s="575">
        <f t="shared" si="272"/>
        <v>6826104</v>
      </c>
      <c r="L3068" s="591" t="s">
        <v>160</v>
      </c>
      <c r="M3068" s="591" t="s">
        <v>292</v>
      </c>
      <c r="N3068" s="525" t="str">
        <f>IF(AND('331-CT'!$E$7=TH!H3068,OR(L3068="331",M3068="331")),"331",IF(AND(OR(L3068="131",M3068="131"),H3068='131-CT'!$E$7),"131",""))</f>
        <v/>
      </c>
      <c r="O3068" s="525" t="str">
        <f>IF(AND($B3068&gt;='111'!$N$11,$B3068&lt;='111'!$O$11,OR($L3068=$O$7,$M3068=$O$7)),"x","")</f>
        <v/>
      </c>
      <c r="P3068" s="525" t="str">
        <f>IF(AND($L3068=$O$7,$B3068&lt;'111'!$N$11),"x","")</f>
        <v/>
      </c>
      <c r="Q3068" s="525" t="str">
        <f>IF(AND($M3068=$O$7,$B3068&lt;'111'!$N$11),"x","")</f>
        <v/>
      </c>
      <c r="R3068" s="525" t="str">
        <f>IF(ISERROR(FIND('112'!$M$9,G3068,1)),"",IF((AND(FIND('112'!$M$9,G3068,1)&gt;=1,$B3068&gt;='112'!$N$8,$B3068&lt;='112'!$O$8,OR($L3068='112'!$I$6,$M3068='112'!$I$6))),"x",""))</f>
        <v/>
      </c>
      <c r="S3068" s="525" t="str">
        <f>IF(ISERROR(FIND('112'!$M$9,G3068,1)),"",IF((AND(LEFT(G3068,2)=LEFT('112'!$M$9,2),B3068&lt;'112'!$N$8,$L3068='112'!$I$6)),"x",""))</f>
        <v/>
      </c>
      <c r="T3068" s="525" t="str">
        <f>IF(ISERROR(FIND('112'!$M$9,G3068,1)),"",IF((AND(RIGHT(G3068,2)=RIGHT('112'!$M$9,2),B3068&lt;'112'!$N$8,$M3068='112'!$I$6)),"x",""))</f>
        <v/>
      </c>
      <c r="U3068" s="525" t="str">
        <f>IF(AND(B3068&gt;='IN-NX'!$P$3,B3068&lt;='IN-NX'!$Q$3,'IN-NX'!$D$7=D3068,OR(LEFT(L3068,2)="15",AND(LEFT(M3068,2)&lt;&gt;"15",LEFT(M3068,2)&lt;&gt;"33"))),"x","")</f>
        <v/>
      </c>
      <c r="V3068" s="525" t="str">
        <f>IF(AND(OR(LEFT(TH!L3068,2)="15",LEFT(TH!M3068,2)="15"),'152-CT'!$J$8=TH!F3068),"x","")</f>
        <v/>
      </c>
      <c r="W3068" s="525" t="str">
        <f>IF(AND(OR(LEFT(TH!L3068,2)="15",LEFT(TH!M3068,2)="15"),TK!$E$7=TH!F3068),"x","")</f>
        <v/>
      </c>
      <c r="X3068" s="525" t="str">
        <f>IF(AND('341-CT'!$E$9=H3068,OR(LEFT(L3068,3)=$X$7,LEFT(M3068,3)=$X$7)),"x","")</f>
        <v/>
      </c>
      <c r="Y3068" s="525" t="str">
        <f>IF(OR(TH!L3068=TH!$Y$7,M3068=TH!$Y$7),"x","")</f>
        <v/>
      </c>
      <c r="Z3068" s="525" t="str">
        <f>IF(AND(B3068&lt;=NKC!$N$8,B3068&gt;=NKC!$M$8),"x","")</f>
        <v/>
      </c>
      <c r="AA3068" s="526"/>
      <c r="AC3068" s="576"/>
      <c r="AD3068" s="576"/>
      <c r="AE3068" s="576"/>
    </row>
    <row r="3069" spans="1:31" s="527" customFormat="1" ht="15.75" customHeight="1">
      <c r="A3069" s="517" t="str">
        <f>IF(B3069&lt;&gt;"",IF(AND(B3069&gt;=_TM1,B3069&lt;=_TM2,OR(TH!L3069="1111",TH!M3069="1111")),TH!D3069,""),"")</f>
        <v/>
      </c>
      <c r="B3069" s="518">
        <f t="shared" si="270"/>
        <v>4</v>
      </c>
      <c r="C3069" s="571">
        <f t="shared" si="271"/>
        <v>42833</v>
      </c>
      <c r="D3069" s="519" t="s">
        <v>996</v>
      </c>
      <c r="E3069" s="571">
        <v>42833</v>
      </c>
      <c r="F3069" s="572" t="s">
        <v>1007</v>
      </c>
      <c r="G3069" s="573" t="s">
        <v>1098</v>
      </c>
      <c r="H3069" s="574" t="s">
        <v>800</v>
      </c>
      <c r="I3069" s="523">
        <v>1920</v>
      </c>
      <c r="J3069" s="523">
        <v>7349.2062500000002</v>
      </c>
      <c r="K3069" s="575">
        <f t="shared" si="272"/>
        <v>14110476</v>
      </c>
      <c r="L3069" s="591" t="s">
        <v>160</v>
      </c>
      <c r="M3069" s="591" t="s">
        <v>292</v>
      </c>
      <c r="N3069" s="525" t="str">
        <f>IF(AND('331-CT'!$E$7=TH!H3069,OR(L3069="331",M3069="331")),"331",IF(AND(OR(L3069="131",M3069="131"),H3069='131-CT'!$E$7),"131",""))</f>
        <v/>
      </c>
      <c r="O3069" s="525" t="str">
        <f>IF(AND($B3069&gt;='111'!$N$11,$B3069&lt;='111'!$O$11,OR($L3069=$O$7,$M3069=$O$7)),"x","")</f>
        <v/>
      </c>
      <c r="P3069" s="525" t="str">
        <f>IF(AND($L3069=$O$7,$B3069&lt;'111'!$N$11),"x","")</f>
        <v/>
      </c>
      <c r="Q3069" s="525" t="str">
        <f>IF(AND($M3069=$O$7,$B3069&lt;'111'!$N$11),"x","")</f>
        <v/>
      </c>
      <c r="R3069" s="525" t="str">
        <f>IF(ISERROR(FIND('112'!$M$9,G3069,1)),"",IF((AND(FIND('112'!$M$9,G3069,1)&gt;=1,$B3069&gt;='112'!$N$8,$B3069&lt;='112'!$O$8,OR($L3069='112'!$I$6,$M3069='112'!$I$6))),"x",""))</f>
        <v/>
      </c>
      <c r="S3069" s="525" t="str">
        <f>IF(ISERROR(FIND('112'!$M$9,G3069,1)),"",IF((AND(LEFT(G3069,2)=LEFT('112'!$M$9,2),B3069&lt;'112'!$N$8,$L3069='112'!$I$6)),"x",""))</f>
        <v/>
      </c>
      <c r="T3069" s="525" t="str">
        <f>IF(ISERROR(FIND('112'!$M$9,G3069,1)),"",IF((AND(RIGHT(G3069,2)=RIGHT('112'!$M$9,2),B3069&lt;'112'!$N$8,$M3069='112'!$I$6)),"x",""))</f>
        <v/>
      </c>
      <c r="U3069" s="525" t="str">
        <f>IF(AND(B3069&gt;='IN-NX'!$P$3,B3069&lt;='IN-NX'!$Q$3,'IN-NX'!$D$7=D3069,OR(LEFT(L3069,2)="15",AND(LEFT(M3069,2)&lt;&gt;"15",LEFT(M3069,2)&lt;&gt;"33"))),"x","")</f>
        <v/>
      </c>
      <c r="V3069" s="525" t="str">
        <f>IF(AND(OR(LEFT(TH!L3069,2)="15",LEFT(TH!M3069,2)="15"),'152-CT'!$J$8=TH!F3069),"x","")</f>
        <v/>
      </c>
      <c r="W3069" s="525" t="str">
        <f>IF(AND(OR(LEFT(TH!L3069,2)="15",LEFT(TH!M3069,2)="15"),TK!$E$7=TH!F3069),"x","")</f>
        <v/>
      </c>
      <c r="X3069" s="525" t="str">
        <f>IF(AND('341-CT'!$E$9=H3069,OR(LEFT(L3069,3)=$X$7,LEFT(M3069,3)=$X$7)),"x","")</f>
        <v/>
      </c>
      <c r="Y3069" s="525" t="str">
        <f>IF(OR(TH!L3069=TH!$Y$7,M3069=TH!$Y$7),"x","")</f>
        <v/>
      </c>
      <c r="Z3069" s="525" t="str">
        <f>IF(AND(B3069&lt;=NKC!$N$8,B3069&gt;=NKC!$M$8),"x","")</f>
        <v/>
      </c>
      <c r="AA3069" s="526"/>
      <c r="AC3069" s="576"/>
      <c r="AD3069" s="576"/>
      <c r="AE3069" s="576"/>
    </row>
    <row r="3070" spans="1:31" s="527" customFormat="1" ht="15.75" customHeight="1">
      <c r="A3070" s="517" t="str">
        <f>IF(B3070&lt;&gt;"",IF(AND(B3070&gt;=_TM1,B3070&lt;=_TM2,OR(TH!L3070="1111",TH!M3070="1111")),TH!D3070,""),"")</f>
        <v/>
      </c>
      <c r="B3070" s="518">
        <f t="shared" si="270"/>
        <v>4</v>
      </c>
      <c r="C3070" s="571">
        <f t="shared" si="271"/>
        <v>42833</v>
      </c>
      <c r="D3070" s="519" t="s">
        <v>996</v>
      </c>
      <c r="E3070" s="571">
        <v>42833</v>
      </c>
      <c r="F3070" s="577" t="s">
        <v>1011</v>
      </c>
      <c r="G3070" s="573" t="s">
        <v>1098</v>
      </c>
      <c r="H3070" s="574" t="s">
        <v>800</v>
      </c>
      <c r="I3070" s="523">
        <v>1010</v>
      </c>
      <c r="J3070" s="523">
        <v>3888.0930693069308</v>
      </c>
      <c r="K3070" s="575">
        <f t="shared" si="272"/>
        <v>3926974</v>
      </c>
      <c r="L3070" s="591" t="s">
        <v>160</v>
      </c>
      <c r="M3070" s="591" t="s">
        <v>292</v>
      </c>
      <c r="N3070" s="525" t="str">
        <f>IF(AND('331-CT'!$E$7=TH!H3070,OR(L3070="331",M3070="331")),"331",IF(AND(OR(L3070="131",M3070="131"),H3070='131-CT'!$E$7),"131",""))</f>
        <v/>
      </c>
      <c r="O3070" s="525" t="str">
        <f>IF(AND($B3070&gt;='111'!$N$11,$B3070&lt;='111'!$O$11,OR($L3070=$O$7,$M3070=$O$7)),"x","")</f>
        <v/>
      </c>
      <c r="P3070" s="525" t="str">
        <f>IF(AND($L3070=$O$7,$B3070&lt;'111'!$N$11),"x","")</f>
        <v/>
      </c>
      <c r="Q3070" s="525" t="str">
        <f>IF(AND($M3070=$O$7,$B3070&lt;'111'!$N$11),"x","")</f>
        <v/>
      </c>
      <c r="R3070" s="525" t="str">
        <f>IF(ISERROR(FIND('112'!$M$9,G3070,1)),"",IF((AND(FIND('112'!$M$9,G3070,1)&gt;=1,$B3070&gt;='112'!$N$8,$B3070&lt;='112'!$O$8,OR($L3070='112'!$I$6,$M3070='112'!$I$6))),"x",""))</f>
        <v/>
      </c>
      <c r="S3070" s="525" t="str">
        <f>IF(ISERROR(FIND('112'!$M$9,G3070,1)),"",IF((AND(LEFT(G3070,2)=LEFT('112'!$M$9,2),B3070&lt;'112'!$N$8,$L3070='112'!$I$6)),"x",""))</f>
        <v/>
      </c>
      <c r="T3070" s="525" t="str">
        <f>IF(ISERROR(FIND('112'!$M$9,G3070,1)),"",IF((AND(RIGHT(G3070,2)=RIGHT('112'!$M$9,2),B3070&lt;'112'!$N$8,$M3070='112'!$I$6)),"x",""))</f>
        <v/>
      </c>
      <c r="U3070" s="525" t="str">
        <f>IF(AND(B3070&gt;='IN-NX'!$P$3,B3070&lt;='IN-NX'!$Q$3,'IN-NX'!$D$7=D3070,OR(LEFT(L3070,2)="15",AND(LEFT(M3070,2)&lt;&gt;"15",LEFT(M3070,2)&lt;&gt;"33"))),"x","")</f>
        <v/>
      </c>
      <c r="V3070" s="525" t="str">
        <f>IF(AND(OR(LEFT(TH!L3070,2)="15",LEFT(TH!M3070,2)="15"),'152-CT'!$J$8=TH!F3070),"x","")</f>
        <v/>
      </c>
      <c r="W3070" s="525" t="str">
        <f>IF(AND(OR(LEFT(TH!L3070,2)="15",LEFT(TH!M3070,2)="15"),TK!$E$7=TH!F3070),"x","")</f>
        <v/>
      </c>
      <c r="X3070" s="525" t="str">
        <f>IF(AND('341-CT'!$E$9=H3070,OR(LEFT(L3070,3)=$X$7,LEFT(M3070,3)=$X$7)),"x","")</f>
        <v/>
      </c>
      <c r="Y3070" s="525" t="str">
        <f>IF(OR(TH!L3070=TH!$Y$7,M3070=TH!$Y$7),"x","")</f>
        <v/>
      </c>
      <c r="Z3070" s="525" t="str">
        <f>IF(AND(B3070&lt;=NKC!$N$8,B3070&gt;=NKC!$M$8),"x","")</f>
        <v/>
      </c>
      <c r="AA3070" s="526"/>
      <c r="AC3070" s="576"/>
      <c r="AD3070" s="576"/>
      <c r="AE3070" s="576"/>
    </row>
    <row r="3071" spans="1:31" s="527" customFormat="1" ht="15.75" customHeight="1">
      <c r="A3071" s="517" t="str">
        <f>IF(B3071&lt;&gt;"",IF(AND(B3071&gt;=_TM1,B3071&lt;=_TM2,OR(TH!L3071="1111",TH!M3071="1111")),TH!D3071,""),"")</f>
        <v/>
      </c>
      <c r="B3071" s="518">
        <f t="shared" si="270"/>
        <v>4</v>
      </c>
      <c r="C3071" s="571">
        <f t="shared" si="271"/>
        <v>42844</v>
      </c>
      <c r="D3071" s="519" t="s">
        <v>996</v>
      </c>
      <c r="E3071" s="571">
        <v>42844</v>
      </c>
      <c r="F3071" s="572" t="s">
        <v>1031</v>
      </c>
      <c r="G3071" s="573" t="s">
        <v>1108</v>
      </c>
      <c r="H3071" s="574" t="s">
        <v>800</v>
      </c>
      <c r="I3071" s="523">
        <v>265</v>
      </c>
      <c r="J3071" s="523">
        <v>19151.433962264149</v>
      </c>
      <c r="K3071" s="575">
        <f t="shared" si="272"/>
        <v>5075130</v>
      </c>
      <c r="L3071" s="591" t="s">
        <v>160</v>
      </c>
      <c r="M3071" s="591" t="s">
        <v>292</v>
      </c>
      <c r="N3071" s="525" t="str">
        <f>IF(AND('331-CT'!$E$7=TH!H3071,OR(L3071="331",M3071="331")),"331",IF(AND(OR(L3071="131",M3071="131"),H3071='131-CT'!$E$7),"131",""))</f>
        <v/>
      </c>
      <c r="O3071" s="525" t="str">
        <f>IF(AND($B3071&gt;='111'!$N$11,$B3071&lt;='111'!$O$11,OR($L3071=$O$7,$M3071=$O$7)),"x","")</f>
        <v/>
      </c>
      <c r="P3071" s="525" t="str">
        <f>IF(AND($L3071=$O$7,$B3071&lt;'111'!$N$11),"x","")</f>
        <v/>
      </c>
      <c r="Q3071" s="525" t="str">
        <f>IF(AND($M3071=$O$7,$B3071&lt;'111'!$N$11),"x","")</f>
        <v/>
      </c>
      <c r="R3071" s="525" t="str">
        <f>IF(ISERROR(FIND('112'!$M$9,G3071,1)),"",IF((AND(FIND('112'!$M$9,G3071,1)&gt;=1,$B3071&gt;='112'!$N$8,$B3071&lt;='112'!$O$8,OR($L3071='112'!$I$6,$M3071='112'!$I$6))),"x",""))</f>
        <v/>
      </c>
      <c r="S3071" s="525" t="str">
        <f>IF(ISERROR(FIND('112'!$M$9,G3071,1)),"",IF((AND(LEFT(G3071,2)=LEFT('112'!$M$9,2),B3071&lt;'112'!$N$8,$L3071='112'!$I$6)),"x",""))</f>
        <v/>
      </c>
      <c r="T3071" s="525" t="str">
        <f>IF(ISERROR(FIND('112'!$M$9,G3071,1)),"",IF((AND(RIGHT(G3071,2)=RIGHT('112'!$M$9,2),B3071&lt;'112'!$N$8,$M3071='112'!$I$6)),"x",""))</f>
        <v/>
      </c>
      <c r="U3071" s="525" t="str">
        <f>IF(AND(B3071&gt;='IN-NX'!$P$3,B3071&lt;='IN-NX'!$Q$3,'IN-NX'!$D$7=D3071,OR(LEFT(L3071,2)="15",AND(LEFT(M3071,2)&lt;&gt;"15",LEFT(M3071,2)&lt;&gt;"33"))),"x","")</f>
        <v/>
      </c>
      <c r="V3071" s="525" t="str">
        <f>IF(AND(OR(LEFT(TH!L3071,2)="15",LEFT(TH!M3071,2)="15"),'152-CT'!$J$8=TH!F3071),"x","")</f>
        <v/>
      </c>
      <c r="W3071" s="525" t="str">
        <f>IF(AND(OR(LEFT(TH!L3071,2)="15",LEFT(TH!M3071,2)="15"),TK!$E$7=TH!F3071),"x","")</f>
        <v/>
      </c>
      <c r="X3071" s="525" t="str">
        <f>IF(AND('341-CT'!$E$9=H3071,OR(LEFT(L3071,3)=$X$7,LEFT(M3071,3)=$X$7)),"x","")</f>
        <v/>
      </c>
      <c r="Y3071" s="525" t="str">
        <f>IF(OR(TH!L3071=TH!$Y$7,M3071=TH!$Y$7),"x","")</f>
        <v/>
      </c>
      <c r="Z3071" s="525" t="str">
        <f>IF(AND(B3071&lt;=NKC!$N$8,B3071&gt;=NKC!$M$8),"x","")</f>
        <v/>
      </c>
      <c r="AA3071" s="526"/>
      <c r="AE3071" s="576"/>
    </row>
    <row r="3072" spans="1:31" s="576" customFormat="1" ht="15.75" customHeight="1">
      <c r="A3072" s="517" t="str">
        <f>IF(B3072&lt;&gt;"",IF(AND(B3072&gt;=_TM1,B3072&lt;=_TM2,OR(TH!L3072="1111",TH!M3072="1111")),TH!D3072,""),"")</f>
        <v/>
      </c>
      <c r="B3072" s="518">
        <f t="shared" ref="B3072:B3106" si="273">IF(C3072&lt;&gt;"",MONTH(C3072),"")</f>
        <v>4</v>
      </c>
      <c r="C3072" s="571">
        <f t="shared" ref="C3072:C3114" si="274">E3072</f>
        <v>42844</v>
      </c>
      <c r="D3072" s="519" t="s">
        <v>996</v>
      </c>
      <c r="E3072" s="571">
        <v>42844</v>
      </c>
      <c r="F3072" s="577" t="s">
        <v>1032</v>
      </c>
      <c r="G3072" s="573" t="s">
        <v>1108</v>
      </c>
      <c r="H3072" s="574" t="s">
        <v>800</v>
      </c>
      <c r="I3072" s="523">
        <v>265</v>
      </c>
      <c r="J3072" s="523">
        <v>12869.528301886792</v>
      </c>
      <c r="K3072" s="575">
        <f t="shared" si="272"/>
        <v>3410425</v>
      </c>
      <c r="L3072" s="591" t="s">
        <v>160</v>
      </c>
      <c r="M3072" s="591" t="s">
        <v>292</v>
      </c>
      <c r="N3072" s="525" t="str">
        <f>IF(AND('331-CT'!$E$7=TH!H3072,OR(L3072="331",M3072="331")),"331",IF(AND(OR(L3072="131",M3072="131"),H3072='131-CT'!$E$7),"131",""))</f>
        <v/>
      </c>
      <c r="O3072" s="525" t="str">
        <f>IF(AND($B3072&gt;='111'!$N$11,$B3072&lt;='111'!$O$11,OR($L3072=$O$7,$M3072=$O$7)),"x","")</f>
        <v/>
      </c>
      <c r="P3072" s="525" t="str">
        <f>IF(AND($L3072=$O$7,$B3072&lt;'111'!$N$11),"x","")</f>
        <v/>
      </c>
      <c r="Q3072" s="525" t="str">
        <f>IF(AND($M3072=$O$7,$B3072&lt;'111'!$N$11),"x","")</f>
        <v/>
      </c>
      <c r="R3072" s="525" t="str">
        <f>IF(ISERROR(FIND('112'!$M$9,G3072,1)),"",IF((AND(FIND('112'!$M$9,G3072,1)&gt;=1,$B3072&gt;='112'!$N$8,$B3072&lt;='112'!$O$8,OR($L3072='112'!$I$6,$M3072='112'!$I$6))),"x",""))</f>
        <v/>
      </c>
      <c r="S3072" s="525" t="str">
        <f>IF(ISERROR(FIND('112'!$M$9,G3072,1)),"",IF((AND(LEFT(G3072,2)=LEFT('112'!$M$9,2),B3072&lt;'112'!$N$8,$L3072='112'!$I$6)),"x",""))</f>
        <v/>
      </c>
      <c r="T3072" s="525" t="str">
        <f>IF(ISERROR(FIND('112'!$M$9,G3072,1)),"",IF((AND(RIGHT(G3072,2)=RIGHT('112'!$M$9,2),B3072&lt;'112'!$N$8,$M3072='112'!$I$6)),"x",""))</f>
        <v/>
      </c>
      <c r="U3072" s="525" t="str">
        <f>IF(AND(B3072&gt;='IN-NX'!$P$3,B3072&lt;='IN-NX'!$Q$3,'IN-NX'!$D$7=D3072,OR(LEFT(L3072,2)="15",AND(LEFT(M3072,2)&lt;&gt;"15",LEFT(M3072,2)&lt;&gt;"33"))),"x","")</f>
        <v/>
      </c>
      <c r="V3072" s="525" t="str">
        <f>IF(AND(OR(LEFT(TH!L3072,2)="15",LEFT(TH!M3072,2)="15"),'152-CT'!$J$8=TH!F3072),"x","")</f>
        <v/>
      </c>
      <c r="W3072" s="525" t="str">
        <f>IF(AND(OR(LEFT(TH!L3072,2)="15",LEFT(TH!M3072,2)="15"),TK!$E$7=TH!F3072),"x","")</f>
        <v/>
      </c>
      <c r="X3072" s="525" t="str">
        <f>IF(AND('341-CT'!$E$9=H3072,OR(LEFT(L3072,3)=$X$7,LEFT(M3072,3)=$X$7)),"x","")</f>
        <v/>
      </c>
      <c r="Y3072" s="525" t="str">
        <f>IF(OR(TH!L3072=TH!$Y$7,M3072=TH!$Y$7),"x","")</f>
        <v/>
      </c>
      <c r="Z3072" s="525" t="str">
        <f>IF(AND(B3072&lt;=NKC!$N$8,B3072&gt;=NKC!$M$8),"x","")</f>
        <v/>
      </c>
      <c r="AA3072" s="526"/>
      <c r="AB3072" s="527"/>
      <c r="AC3072" s="527"/>
      <c r="AD3072" s="527"/>
    </row>
    <row r="3073" spans="1:31" s="527" customFormat="1" ht="15.75" customHeight="1">
      <c r="A3073" s="517" t="str">
        <f>IF(B3073&lt;&gt;"",IF(AND(B3073&gt;=_TM1,B3073&lt;=_TM2,OR(TH!L3073="1111",TH!M3073="1111")),TH!D3073,""),"")</f>
        <v/>
      </c>
      <c r="B3073" s="518">
        <f t="shared" si="273"/>
        <v>4</v>
      </c>
      <c r="C3073" s="571">
        <f t="shared" si="274"/>
        <v>42844</v>
      </c>
      <c r="D3073" s="519" t="s">
        <v>996</v>
      </c>
      <c r="E3073" s="571">
        <v>42844</v>
      </c>
      <c r="F3073" s="572" t="s">
        <v>1033</v>
      </c>
      <c r="G3073" s="573" t="s">
        <v>1108</v>
      </c>
      <c r="H3073" s="574" t="s">
        <v>800</v>
      </c>
      <c r="I3073" s="523">
        <v>325</v>
      </c>
      <c r="J3073" s="523">
        <v>25375.156923076924</v>
      </c>
      <c r="K3073" s="575">
        <f t="shared" si="272"/>
        <v>8246926</v>
      </c>
      <c r="L3073" s="591" t="s">
        <v>160</v>
      </c>
      <c r="M3073" s="591" t="s">
        <v>292</v>
      </c>
      <c r="N3073" s="525" t="str">
        <f>IF(AND('331-CT'!$E$7=TH!H3073,OR(L3073="331",M3073="331")),"331",IF(AND(OR(L3073="131",M3073="131"),H3073='131-CT'!$E$7),"131",""))</f>
        <v/>
      </c>
      <c r="O3073" s="525" t="str">
        <f>IF(AND($B3073&gt;='111'!$N$11,$B3073&lt;='111'!$O$11,OR($L3073=$O$7,$M3073=$O$7)),"x","")</f>
        <v/>
      </c>
      <c r="P3073" s="525" t="str">
        <f>IF(AND($L3073=$O$7,$B3073&lt;'111'!$N$11),"x","")</f>
        <v/>
      </c>
      <c r="Q3073" s="525" t="str">
        <f>IF(AND($M3073=$O$7,$B3073&lt;'111'!$N$11),"x","")</f>
        <v/>
      </c>
      <c r="R3073" s="525" t="str">
        <f>IF(ISERROR(FIND('112'!$M$9,G3073,1)),"",IF((AND(FIND('112'!$M$9,G3073,1)&gt;=1,$B3073&gt;='112'!$N$8,$B3073&lt;='112'!$O$8,OR($L3073='112'!$I$6,$M3073='112'!$I$6))),"x",""))</f>
        <v/>
      </c>
      <c r="S3073" s="525" t="str">
        <f>IF(ISERROR(FIND('112'!$M$9,G3073,1)),"",IF((AND(LEFT(G3073,2)=LEFT('112'!$M$9,2),B3073&lt;'112'!$N$8,$L3073='112'!$I$6)),"x",""))</f>
        <v/>
      </c>
      <c r="T3073" s="525" t="str">
        <f>IF(ISERROR(FIND('112'!$M$9,G3073,1)),"",IF((AND(RIGHT(G3073,2)=RIGHT('112'!$M$9,2),B3073&lt;'112'!$N$8,$M3073='112'!$I$6)),"x",""))</f>
        <v/>
      </c>
      <c r="U3073" s="525" t="str">
        <f>IF(AND(B3073&gt;='IN-NX'!$P$3,B3073&lt;='IN-NX'!$Q$3,'IN-NX'!$D$7=D3073,OR(LEFT(L3073,2)="15",AND(LEFT(M3073,2)&lt;&gt;"15",LEFT(M3073,2)&lt;&gt;"33"))),"x","")</f>
        <v/>
      </c>
      <c r="V3073" s="525" t="str">
        <f>IF(AND(OR(LEFT(TH!L3073,2)="15",LEFT(TH!M3073,2)="15"),'152-CT'!$J$8=TH!F3073),"x","")</f>
        <v/>
      </c>
      <c r="W3073" s="525" t="str">
        <f>IF(AND(OR(LEFT(TH!L3073,2)="15",LEFT(TH!M3073,2)="15"),TK!$E$7=TH!F3073),"x","")</f>
        <v/>
      </c>
      <c r="X3073" s="525" t="str">
        <f>IF(AND('341-CT'!$E$9=H3073,OR(LEFT(L3073,3)=$X$7,LEFT(M3073,3)=$X$7)),"x","")</f>
        <v/>
      </c>
      <c r="Y3073" s="525" t="str">
        <f>IF(OR(TH!L3073=TH!$Y$7,M3073=TH!$Y$7),"x","")</f>
        <v/>
      </c>
      <c r="Z3073" s="525" t="str">
        <f>IF(AND(B3073&lt;=NKC!$N$8,B3073&gt;=NKC!$M$8),"x","")</f>
        <v/>
      </c>
      <c r="AA3073" s="526"/>
      <c r="AC3073" s="576"/>
      <c r="AD3073" s="576"/>
      <c r="AE3073" s="576"/>
    </row>
    <row r="3074" spans="1:31" s="527" customFormat="1" ht="15.75" customHeight="1">
      <c r="A3074" s="517" t="str">
        <f>IF(B3074&lt;&gt;"",IF(AND(B3074&gt;=_TM1,B3074&lt;=_TM2,OR(TH!L3074="1111",TH!M3074="1111")),TH!D3074,""),"")</f>
        <v/>
      </c>
      <c r="B3074" s="518">
        <f t="shared" si="273"/>
        <v>4</v>
      </c>
      <c r="C3074" s="571">
        <f t="shared" si="274"/>
        <v>42844</v>
      </c>
      <c r="D3074" s="519" t="s">
        <v>996</v>
      </c>
      <c r="E3074" s="571">
        <v>42844</v>
      </c>
      <c r="F3074" s="572" t="s">
        <v>1034</v>
      </c>
      <c r="G3074" s="573" t="s">
        <v>1108</v>
      </c>
      <c r="H3074" s="574" t="s">
        <v>800</v>
      </c>
      <c r="I3074" s="523">
        <v>325</v>
      </c>
      <c r="J3074" s="523">
        <v>22018.264615384614</v>
      </c>
      <c r="K3074" s="575">
        <f t="shared" si="272"/>
        <v>7155936</v>
      </c>
      <c r="L3074" s="591" t="s">
        <v>160</v>
      </c>
      <c r="M3074" s="591" t="s">
        <v>292</v>
      </c>
      <c r="N3074" s="525" t="str">
        <f>IF(AND('331-CT'!$E$7=TH!H3074,OR(L3074="331",M3074="331")),"331",IF(AND(OR(L3074="131",M3074="131"),H3074='131-CT'!$E$7),"131",""))</f>
        <v/>
      </c>
      <c r="O3074" s="525" t="str">
        <f>IF(AND($B3074&gt;='111'!$N$11,$B3074&lt;='111'!$O$11,OR($L3074=$O$7,$M3074=$O$7)),"x","")</f>
        <v/>
      </c>
      <c r="P3074" s="525" t="str">
        <f>IF(AND($L3074=$O$7,$B3074&lt;'111'!$N$11),"x","")</f>
        <v/>
      </c>
      <c r="Q3074" s="525" t="str">
        <f>IF(AND($M3074=$O$7,$B3074&lt;'111'!$N$11),"x","")</f>
        <v/>
      </c>
      <c r="R3074" s="525" t="str">
        <f>IF(ISERROR(FIND('112'!$M$9,G3074,1)),"",IF((AND(FIND('112'!$M$9,G3074,1)&gt;=1,$B3074&gt;='112'!$N$8,$B3074&lt;='112'!$O$8,OR($L3074='112'!$I$6,$M3074='112'!$I$6))),"x",""))</f>
        <v/>
      </c>
      <c r="S3074" s="525" t="str">
        <f>IF(ISERROR(FIND('112'!$M$9,G3074,1)),"",IF((AND(LEFT(G3074,2)=LEFT('112'!$M$9,2),B3074&lt;'112'!$N$8,$L3074='112'!$I$6)),"x",""))</f>
        <v/>
      </c>
      <c r="T3074" s="525" t="str">
        <f>IF(ISERROR(FIND('112'!$M$9,G3074,1)),"",IF((AND(RIGHT(G3074,2)=RIGHT('112'!$M$9,2),B3074&lt;'112'!$N$8,$M3074='112'!$I$6)),"x",""))</f>
        <v/>
      </c>
      <c r="U3074" s="525" t="str">
        <f>IF(AND(B3074&gt;='IN-NX'!$P$3,B3074&lt;='IN-NX'!$Q$3,'IN-NX'!$D$7=D3074,OR(LEFT(L3074,2)="15",AND(LEFT(M3074,2)&lt;&gt;"15",LEFT(M3074,2)&lt;&gt;"33"))),"x","")</f>
        <v/>
      </c>
      <c r="V3074" s="525" t="str">
        <f>IF(AND(OR(LEFT(TH!L3074,2)="15",LEFT(TH!M3074,2)="15"),'152-CT'!$J$8=TH!F3074),"x","")</f>
        <v/>
      </c>
      <c r="W3074" s="525" t="str">
        <f>IF(AND(OR(LEFT(TH!L3074,2)="15",LEFT(TH!M3074,2)="15"),TK!$E$7=TH!F3074),"x","")</f>
        <v/>
      </c>
      <c r="X3074" s="525" t="str">
        <f>IF(AND('341-CT'!$E$9=H3074,OR(LEFT(L3074,3)=$X$7,LEFT(M3074,3)=$X$7)),"x","")</f>
        <v/>
      </c>
      <c r="Y3074" s="525" t="str">
        <f>IF(OR(TH!L3074=TH!$Y$7,M3074=TH!$Y$7),"x","")</f>
        <v/>
      </c>
      <c r="Z3074" s="525" t="str">
        <f>IF(AND(B3074&lt;=NKC!$N$8,B3074&gt;=NKC!$M$8),"x","")</f>
        <v/>
      </c>
      <c r="AA3074" s="526"/>
      <c r="AC3074" s="576"/>
      <c r="AE3074" s="576"/>
    </row>
    <row r="3075" spans="1:31" s="527" customFormat="1" ht="15.75" customHeight="1">
      <c r="A3075" s="517" t="str">
        <f>IF(B3075&lt;&gt;"",IF(AND(B3075&gt;=_TM1,B3075&lt;=_TM2,OR(TH!L3075="1111",TH!M3075="1111")),TH!D3075,""),"")</f>
        <v/>
      </c>
      <c r="B3075" s="518">
        <f t="shared" si="273"/>
        <v>4</v>
      </c>
      <c r="C3075" s="571">
        <f t="shared" si="274"/>
        <v>42844</v>
      </c>
      <c r="D3075" s="519" t="s">
        <v>996</v>
      </c>
      <c r="E3075" s="571">
        <v>42844</v>
      </c>
      <c r="F3075" s="572" t="s">
        <v>504</v>
      </c>
      <c r="G3075" s="573" t="s">
        <v>1109</v>
      </c>
      <c r="H3075" s="574" t="s">
        <v>800</v>
      </c>
      <c r="I3075" s="523">
        <v>1700</v>
      </c>
      <c r="J3075" s="523">
        <v>35336.89</v>
      </c>
      <c r="K3075" s="575">
        <f t="shared" ref="K3075:K3091" si="275">ROUND(I3075*J3075,0)</f>
        <v>60072713</v>
      </c>
      <c r="L3075" s="591" t="s">
        <v>160</v>
      </c>
      <c r="M3075" s="591" t="s">
        <v>292</v>
      </c>
      <c r="N3075" s="525" t="str">
        <f>IF(AND('331-CT'!$E$7=TH!H3075,OR(L3075="331",M3075="331")),"331",IF(AND(OR(L3075="131",M3075="131"),H3075='131-CT'!$E$7),"131",""))</f>
        <v/>
      </c>
      <c r="O3075" s="525" t="str">
        <f>IF(AND($B3075&gt;='111'!$N$11,$B3075&lt;='111'!$O$11,OR($L3075=$O$7,$M3075=$O$7)),"x","")</f>
        <v/>
      </c>
      <c r="P3075" s="525" t="str">
        <f>IF(AND($L3075=$O$7,$B3075&lt;'111'!$N$11),"x","")</f>
        <v/>
      </c>
      <c r="Q3075" s="525" t="str">
        <f>IF(AND($M3075=$O$7,$B3075&lt;'111'!$N$11),"x","")</f>
        <v/>
      </c>
      <c r="R3075" s="525" t="str">
        <f>IF(ISERROR(FIND('112'!$M$9,G3075,1)),"",IF((AND(FIND('112'!$M$9,G3075,1)&gt;=1,$B3075&gt;='112'!$N$8,$B3075&lt;='112'!$O$8,OR($L3075='112'!$I$6,$M3075='112'!$I$6))),"x",""))</f>
        <v/>
      </c>
      <c r="S3075" s="525" t="str">
        <f>IF(ISERROR(FIND('112'!$M$9,G3075,1)),"",IF((AND(LEFT(G3075,2)=LEFT('112'!$M$9,2),B3075&lt;'112'!$N$8,$L3075='112'!$I$6)),"x",""))</f>
        <v/>
      </c>
      <c r="T3075" s="525" t="str">
        <f>IF(ISERROR(FIND('112'!$M$9,G3075,1)),"",IF((AND(RIGHT(G3075,2)=RIGHT('112'!$M$9,2),B3075&lt;'112'!$N$8,$M3075='112'!$I$6)),"x",""))</f>
        <v/>
      </c>
      <c r="U3075" s="525" t="str">
        <f>IF(AND(B3075&gt;='IN-NX'!$P$3,B3075&lt;='IN-NX'!$Q$3,'IN-NX'!$D$7=D3075,OR(LEFT(L3075,2)="15",AND(LEFT(M3075,2)&lt;&gt;"15",LEFT(M3075,2)&lt;&gt;"33"))),"x","")</f>
        <v/>
      </c>
      <c r="V3075" s="525" t="str">
        <f>IF(AND(OR(LEFT(TH!L3075,2)="15",LEFT(TH!M3075,2)="15"),'152-CT'!$J$8=TH!F3075),"x","")</f>
        <v/>
      </c>
      <c r="W3075" s="525" t="str">
        <f>IF(AND(OR(LEFT(TH!L3075,2)="15",LEFT(TH!M3075,2)="15"),TK!$E$7=TH!F3075),"x","")</f>
        <v/>
      </c>
      <c r="X3075" s="525" t="str">
        <f>IF(AND('341-CT'!$E$9=H3075,OR(LEFT(L3075,3)=$X$7,LEFT(M3075,3)=$X$7)),"x","")</f>
        <v/>
      </c>
      <c r="Y3075" s="525" t="str">
        <f>IF(OR(TH!L3075=TH!$Y$7,M3075=TH!$Y$7),"x","")</f>
        <v/>
      </c>
      <c r="Z3075" s="525" t="str">
        <f>IF(AND(B3075&lt;=NKC!$N$8,B3075&gt;=NKC!$M$8),"x","")</f>
        <v/>
      </c>
      <c r="AA3075" s="526"/>
      <c r="AC3075" s="576"/>
      <c r="AD3075" s="576"/>
      <c r="AE3075" s="576"/>
    </row>
    <row r="3076" spans="1:31" s="527" customFormat="1" ht="15.75" customHeight="1">
      <c r="A3076" s="517" t="str">
        <f>IF(B3076&lt;&gt;"",IF(AND(B3076&gt;=_TM1,B3076&lt;=_TM2,OR(TH!L3076="1111",TH!M3076="1111")),TH!D3076,""),"")</f>
        <v/>
      </c>
      <c r="B3076" s="518">
        <f t="shared" si="273"/>
        <v>4</v>
      </c>
      <c r="C3076" s="571">
        <f t="shared" si="274"/>
        <v>42844</v>
      </c>
      <c r="D3076" s="519" t="s">
        <v>996</v>
      </c>
      <c r="E3076" s="571">
        <v>42844</v>
      </c>
      <c r="F3076" s="572" t="s">
        <v>504</v>
      </c>
      <c r="G3076" s="573" t="s">
        <v>1109</v>
      </c>
      <c r="H3076" s="574" t="s">
        <v>800</v>
      </c>
      <c r="I3076" s="523">
        <v>200</v>
      </c>
      <c r="J3076" s="523">
        <v>35044.425000000003</v>
      </c>
      <c r="K3076" s="575">
        <f t="shared" si="275"/>
        <v>7008885</v>
      </c>
      <c r="L3076" s="591" t="s">
        <v>160</v>
      </c>
      <c r="M3076" s="591" t="s">
        <v>292</v>
      </c>
      <c r="N3076" s="525" t="str">
        <f>IF(AND('331-CT'!$E$7=TH!H3076,OR(L3076="331",M3076="331")),"331",IF(AND(OR(L3076="131",M3076="131"),H3076='131-CT'!$E$7),"131",""))</f>
        <v/>
      </c>
      <c r="O3076" s="525" t="str">
        <f>IF(AND($B3076&gt;='111'!$N$11,$B3076&lt;='111'!$O$11,OR($L3076=$O$7,$M3076=$O$7)),"x","")</f>
        <v/>
      </c>
      <c r="P3076" s="525" t="str">
        <f>IF(AND($L3076=$O$7,$B3076&lt;'111'!$N$11),"x","")</f>
        <v/>
      </c>
      <c r="Q3076" s="525" t="str">
        <f>IF(AND($M3076=$O$7,$B3076&lt;'111'!$N$11),"x","")</f>
        <v/>
      </c>
      <c r="R3076" s="525" t="str">
        <f>IF(ISERROR(FIND('112'!$M$9,G3076,1)),"",IF((AND(FIND('112'!$M$9,G3076,1)&gt;=1,$B3076&gt;='112'!$N$8,$B3076&lt;='112'!$O$8,OR($L3076='112'!$I$6,$M3076='112'!$I$6))),"x",""))</f>
        <v/>
      </c>
      <c r="S3076" s="525" t="str">
        <f>IF(ISERROR(FIND('112'!$M$9,G3076,1)),"",IF((AND(LEFT(G3076,2)=LEFT('112'!$M$9,2),B3076&lt;'112'!$N$8,$L3076='112'!$I$6)),"x",""))</f>
        <v/>
      </c>
      <c r="T3076" s="525" t="str">
        <f>IF(ISERROR(FIND('112'!$M$9,G3076,1)),"",IF((AND(RIGHT(G3076,2)=RIGHT('112'!$M$9,2),B3076&lt;'112'!$N$8,$M3076='112'!$I$6)),"x",""))</f>
        <v/>
      </c>
      <c r="U3076" s="525" t="str">
        <f>IF(AND(B3076&gt;='IN-NX'!$P$3,B3076&lt;='IN-NX'!$Q$3,'IN-NX'!$D$7=D3076,OR(LEFT(L3076,2)="15",AND(LEFT(M3076,2)&lt;&gt;"15",LEFT(M3076,2)&lt;&gt;"33"))),"x","")</f>
        <v/>
      </c>
      <c r="V3076" s="525" t="str">
        <f>IF(AND(OR(LEFT(TH!L3076,2)="15",LEFT(TH!M3076,2)="15"),'152-CT'!$J$8=TH!F3076),"x","")</f>
        <v/>
      </c>
      <c r="W3076" s="525" t="str">
        <f>IF(AND(OR(LEFT(TH!L3076,2)="15",LEFT(TH!M3076,2)="15"),TK!$E$7=TH!F3076),"x","")</f>
        <v/>
      </c>
      <c r="X3076" s="525" t="str">
        <f>IF(AND('341-CT'!$E$9=H3076,OR(LEFT(L3076,3)=$X$7,LEFT(M3076,3)=$X$7)),"x","")</f>
        <v/>
      </c>
      <c r="Y3076" s="525" t="str">
        <f>IF(OR(TH!L3076=TH!$Y$7,M3076=TH!$Y$7),"x","")</f>
        <v/>
      </c>
      <c r="Z3076" s="525" t="str">
        <f>IF(AND(B3076&lt;=NKC!$N$8,B3076&gt;=NKC!$M$8),"x","")</f>
        <v/>
      </c>
      <c r="AA3076" s="526"/>
      <c r="AC3076" s="576"/>
      <c r="AD3076" s="576"/>
      <c r="AE3076" s="576"/>
    </row>
    <row r="3077" spans="1:31" s="527" customFormat="1" ht="15.75" customHeight="1">
      <c r="A3077" s="517" t="str">
        <f>IF(B3077&lt;&gt;"",IF(AND(B3077&gt;=_TM1,B3077&lt;=_TM2,OR(TH!L3077="1111",TH!M3077="1111")),TH!D3077,""),"")</f>
        <v/>
      </c>
      <c r="B3077" s="518">
        <f t="shared" si="273"/>
        <v>4</v>
      </c>
      <c r="C3077" s="571">
        <f t="shared" si="274"/>
        <v>42844</v>
      </c>
      <c r="D3077" s="519" t="s">
        <v>996</v>
      </c>
      <c r="E3077" s="571">
        <v>42844</v>
      </c>
      <c r="F3077" s="572" t="s">
        <v>505</v>
      </c>
      <c r="G3077" s="573" t="s">
        <v>1109</v>
      </c>
      <c r="H3077" s="574" t="s">
        <v>800</v>
      </c>
      <c r="I3077" s="523">
        <v>825</v>
      </c>
      <c r="J3077" s="523">
        <v>32808.164848484848</v>
      </c>
      <c r="K3077" s="575">
        <f t="shared" si="275"/>
        <v>27066736</v>
      </c>
      <c r="L3077" s="591" t="s">
        <v>160</v>
      </c>
      <c r="M3077" s="591" t="s">
        <v>292</v>
      </c>
      <c r="N3077" s="525" t="str">
        <f>IF(AND('331-CT'!$E$7=TH!H3077,OR(L3077="331",M3077="331")),"331",IF(AND(OR(L3077="131",M3077="131"),H3077='131-CT'!$E$7),"131",""))</f>
        <v/>
      </c>
      <c r="O3077" s="525" t="str">
        <f>IF(AND($B3077&gt;='111'!$N$11,$B3077&lt;='111'!$O$11,OR($L3077=$O$7,$M3077=$O$7)),"x","")</f>
        <v/>
      </c>
      <c r="P3077" s="525" t="str">
        <f>IF(AND($L3077=$O$7,$B3077&lt;'111'!$N$11),"x","")</f>
        <v/>
      </c>
      <c r="Q3077" s="525" t="str">
        <f>IF(AND($M3077=$O$7,$B3077&lt;'111'!$N$11),"x","")</f>
        <v/>
      </c>
      <c r="R3077" s="525" t="str">
        <f>IF(ISERROR(FIND('112'!$M$9,G3077,1)),"",IF((AND(FIND('112'!$M$9,G3077,1)&gt;=1,$B3077&gt;='112'!$N$8,$B3077&lt;='112'!$O$8,OR($L3077='112'!$I$6,$M3077='112'!$I$6))),"x",""))</f>
        <v/>
      </c>
      <c r="S3077" s="525" t="str">
        <f>IF(ISERROR(FIND('112'!$M$9,G3077,1)),"",IF((AND(LEFT(G3077,2)=LEFT('112'!$M$9,2),B3077&lt;'112'!$N$8,$L3077='112'!$I$6)),"x",""))</f>
        <v/>
      </c>
      <c r="T3077" s="525" t="str">
        <f>IF(ISERROR(FIND('112'!$M$9,G3077,1)),"",IF((AND(RIGHT(G3077,2)=RIGHT('112'!$M$9,2),B3077&lt;'112'!$N$8,$M3077='112'!$I$6)),"x",""))</f>
        <v/>
      </c>
      <c r="U3077" s="525" t="str">
        <f>IF(AND(B3077&gt;='IN-NX'!$P$3,B3077&lt;='IN-NX'!$Q$3,'IN-NX'!$D$7=D3077,OR(LEFT(L3077,2)="15",AND(LEFT(M3077,2)&lt;&gt;"15",LEFT(M3077,2)&lt;&gt;"33"))),"x","")</f>
        <v/>
      </c>
      <c r="V3077" s="525" t="str">
        <f>IF(AND(OR(LEFT(TH!L3077,2)="15",LEFT(TH!M3077,2)="15"),'152-CT'!$J$8=TH!F3077),"x","")</f>
        <v/>
      </c>
      <c r="W3077" s="525" t="str">
        <f>IF(AND(OR(LEFT(TH!L3077,2)="15",LEFT(TH!M3077,2)="15"),TK!$E$7=TH!F3077),"x","")</f>
        <v/>
      </c>
      <c r="X3077" s="525" t="str">
        <f>IF(AND('341-CT'!$E$9=H3077,OR(LEFT(L3077,3)=$X$7,LEFT(M3077,3)=$X$7)),"x","")</f>
        <v/>
      </c>
      <c r="Y3077" s="525" t="str">
        <f>IF(OR(TH!L3077=TH!$Y$7,M3077=TH!$Y$7),"x","")</f>
        <v/>
      </c>
      <c r="Z3077" s="525" t="str">
        <f>IF(AND(B3077&lt;=NKC!$N$8,B3077&gt;=NKC!$M$8),"x","")</f>
        <v/>
      </c>
      <c r="AA3077" s="526"/>
      <c r="AC3077" s="576"/>
      <c r="AD3077" s="576"/>
      <c r="AE3077" s="576"/>
    </row>
    <row r="3078" spans="1:31" s="527" customFormat="1" ht="15.75" customHeight="1">
      <c r="A3078" s="517" t="str">
        <f>IF(B3078&lt;&gt;"",IF(AND(B3078&gt;=_TM1,B3078&lt;=_TM2,OR(TH!L3078="1111",TH!M3078="1111")),TH!D3078,""),"")</f>
        <v/>
      </c>
      <c r="B3078" s="518">
        <f t="shared" si="273"/>
        <v>4</v>
      </c>
      <c r="C3078" s="571">
        <f t="shared" si="274"/>
        <v>42846</v>
      </c>
      <c r="D3078" s="519" t="s">
        <v>996</v>
      </c>
      <c r="E3078" s="571">
        <v>42846</v>
      </c>
      <c r="F3078" s="572" t="s">
        <v>1037</v>
      </c>
      <c r="G3078" s="573" t="s">
        <v>1110</v>
      </c>
      <c r="H3078" s="574" t="s">
        <v>800</v>
      </c>
      <c r="I3078" s="523">
        <v>300</v>
      </c>
      <c r="J3078" s="523">
        <v>10880.006666666666</v>
      </c>
      <c r="K3078" s="575">
        <f t="shared" si="275"/>
        <v>3264002</v>
      </c>
      <c r="L3078" s="591" t="s">
        <v>160</v>
      </c>
      <c r="M3078" s="591" t="s">
        <v>292</v>
      </c>
      <c r="N3078" s="525" t="str">
        <f>IF(AND('331-CT'!$E$7=TH!H3078,OR(L3078="331",M3078="331")),"331",IF(AND(OR(L3078="131",M3078="131"),H3078='131-CT'!$E$7),"131",""))</f>
        <v/>
      </c>
      <c r="O3078" s="525" t="str">
        <f>IF(AND($B3078&gt;='111'!$N$11,$B3078&lt;='111'!$O$11,OR($L3078=$O$7,$M3078=$O$7)),"x","")</f>
        <v/>
      </c>
      <c r="P3078" s="525" t="str">
        <f>IF(AND($L3078=$O$7,$B3078&lt;'111'!$N$11),"x","")</f>
        <v/>
      </c>
      <c r="Q3078" s="525" t="str">
        <f>IF(AND($M3078=$O$7,$B3078&lt;'111'!$N$11),"x","")</f>
        <v/>
      </c>
      <c r="R3078" s="525" t="str">
        <f>IF(ISERROR(FIND('112'!$M$9,G3078,1)),"",IF((AND(FIND('112'!$M$9,G3078,1)&gt;=1,$B3078&gt;='112'!$N$8,$B3078&lt;='112'!$O$8,OR($L3078='112'!$I$6,$M3078='112'!$I$6))),"x",""))</f>
        <v/>
      </c>
      <c r="S3078" s="525" t="str">
        <f>IF(ISERROR(FIND('112'!$M$9,G3078,1)),"",IF((AND(LEFT(G3078,2)=LEFT('112'!$M$9,2),B3078&lt;'112'!$N$8,$L3078='112'!$I$6)),"x",""))</f>
        <v/>
      </c>
      <c r="T3078" s="525" t="str">
        <f>IF(ISERROR(FIND('112'!$M$9,G3078,1)),"",IF((AND(RIGHT(G3078,2)=RIGHT('112'!$M$9,2),B3078&lt;'112'!$N$8,$M3078='112'!$I$6)),"x",""))</f>
        <v/>
      </c>
      <c r="U3078" s="525" t="str">
        <f>IF(AND(B3078&gt;='IN-NX'!$P$3,B3078&lt;='IN-NX'!$Q$3,'IN-NX'!$D$7=D3078,OR(LEFT(L3078,2)="15",AND(LEFT(M3078,2)&lt;&gt;"15",LEFT(M3078,2)&lt;&gt;"33"))),"x","")</f>
        <v/>
      </c>
      <c r="V3078" s="525" t="str">
        <f>IF(AND(OR(LEFT(TH!L3078,2)="15",LEFT(TH!M3078,2)="15"),'152-CT'!$J$8=TH!F3078),"x","")</f>
        <v/>
      </c>
      <c r="W3078" s="525" t="str">
        <f>IF(AND(OR(LEFT(TH!L3078,2)="15",LEFT(TH!M3078,2)="15"),TK!$E$7=TH!F3078),"x","")</f>
        <v/>
      </c>
      <c r="X3078" s="525" t="str">
        <f>IF(AND('341-CT'!$E$9=H3078,OR(LEFT(L3078,3)=$X$7,LEFT(M3078,3)=$X$7)),"x","")</f>
        <v/>
      </c>
      <c r="Y3078" s="525" t="str">
        <f>IF(OR(TH!L3078=TH!$Y$7,M3078=TH!$Y$7),"x","")</f>
        <v/>
      </c>
      <c r="Z3078" s="525" t="str">
        <f>IF(AND(B3078&lt;=NKC!$N$8,B3078&gt;=NKC!$M$8),"x","")</f>
        <v/>
      </c>
      <c r="AA3078" s="526"/>
      <c r="AC3078" s="576"/>
      <c r="AD3078" s="576"/>
      <c r="AE3078" s="576"/>
    </row>
    <row r="3079" spans="1:31" s="527" customFormat="1" ht="15.75" customHeight="1">
      <c r="A3079" s="517" t="str">
        <f>IF(B3079&lt;&gt;"",IF(AND(B3079&gt;=_TM1,B3079&lt;=_TM2,OR(TH!L3079="1111",TH!M3079="1111")),TH!D3079,""),"")</f>
        <v/>
      </c>
      <c r="B3079" s="518">
        <f t="shared" si="273"/>
        <v>4</v>
      </c>
      <c r="C3079" s="571">
        <f t="shared" si="274"/>
        <v>42846</v>
      </c>
      <c r="D3079" s="519" t="s">
        <v>996</v>
      </c>
      <c r="E3079" s="571">
        <v>42846</v>
      </c>
      <c r="F3079" s="572" t="s">
        <v>1039</v>
      </c>
      <c r="G3079" s="573" t="s">
        <v>1110</v>
      </c>
      <c r="H3079" s="574" t="s">
        <v>800</v>
      </c>
      <c r="I3079" s="523">
        <v>200</v>
      </c>
      <c r="J3079" s="523">
        <v>19272.044999999998</v>
      </c>
      <c r="K3079" s="575">
        <f t="shared" si="275"/>
        <v>3854409</v>
      </c>
      <c r="L3079" s="591" t="s">
        <v>160</v>
      </c>
      <c r="M3079" s="591" t="s">
        <v>292</v>
      </c>
      <c r="N3079" s="525" t="str">
        <f>IF(AND('331-CT'!$E$7=TH!H3079,OR(L3079="331",M3079="331")),"331",IF(AND(OR(L3079="131",M3079="131"),H3079='131-CT'!$E$7),"131",""))</f>
        <v/>
      </c>
      <c r="O3079" s="525" t="str">
        <f>IF(AND($B3079&gt;='111'!$N$11,$B3079&lt;='111'!$O$11,OR($L3079=$O$7,$M3079=$O$7)),"x","")</f>
        <v/>
      </c>
      <c r="P3079" s="525" t="str">
        <f>IF(AND($L3079=$O$7,$B3079&lt;'111'!$N$11),"x","")</f>
        <v/>
      </c>
      <c r="Q3079" s="525" t="str">
        <f>IF(AND($M3079=$O$7,$B3079&lt;'111'!$N$11),"x","")</f>
        <v/>
      </c>
      <c r="R3079" s="525" t="str">
        <f>IF(ISERROR(FIND('112'!$M$9,G3079,1)),"",IF((AND(FIND('112'!$M$9,G3079,1)&gt;=1,$B3079&gt;='112'!$N$8,$B3079&lt;='112'!$O$8,OR($L3079='112'!$I$6,$M3079='112'!$I$6))),"x",""))</f>
        <v/>
      </c>
      <c r="S3079" s="525" t="str">
        <f>IF(ISERROR(FIND('112'!$M$9,G3079,1)),"",IF((AND(LEFT(G3079,2)=LEFT('112'!$M$9,2),B3079&lt;'112'!$N$8,$L3079='112'!$I$6)),"x",""))</f>
        <v/>
      </c>
      <c r="T3079" s="525" t="str">
        <f>IF(ISERROR(FIND('112'!$M$9,G3079,1)),"",IF((AND(RIGHT(G3079,2)=RIGHT('112'!$M$9,2),B3079&lt;'112'!$N$8,$M3079='112'!$I$6)),"x",""))</f>
        <v/>
      </c>
      <c r="U3079" s="525" t="str">
        <f>IF(AND(B3079&gt;='IN-NX'!$P$3,B3079&lt;='IN-NX'!$Q$3,'IN-NX'!$D$7=D3079,OR(LEFT(L3079,2)="15",AND(LEFT(M3079,2)&lt;&gt;"15",LEFT(M3079,2)&lt;&gt;"33"))),"x","")</f>
        <v/>
      </c>
      <c r="V3079" s="525" t="str">
        <f>IF(AND(OR(LEFT(TH!L3079,2)="15",LEFT(TH!M3079,2)="15"),'152-CT'!$J$8=TH!F3079),"x","")</f>
        <v/>
      </c>
      <c r="W3079" s="525" t="str">
        <f>IF(AND(OR(LEFT(TH!L3079,2)="15",LEFT(TH!M3079,2)="15"),TK!$E$7=TH!F3079),"x","")</f>
        <v/>
      </c>
      <c r="X3079" s="525" t="str">
        <f>IF(AND('341-CT'!$E$9=H3079,OR(LEFT(L3079,3)=$X$7,LEFT(M3079,3)=$X$7)),"x","")</f>
        <v/>
      </c>
      <c r="Y3079" s="525" t="str">
        <f>IF(OR(TH!L3079=TH!$Y$7,M3079=TH!$Y$7),"x","")</f>
        <v/>
      </c>
      <c r="Z3079" s="525" t="str">
        <f>IF(AND(B3079&lt;=NKC!$N$8,B3079&gt;=NKC!$M$8),"x","")</f>
        <v/>
      </c>
      <c r="AA3079" s="526"/>
      <c r="AC3079" s="576"/>
      <c r="AD3079" s="576"/>
      <c r="AE3079" s="576"/>
    </row>
    <row r="3080" spans="1:31" s="527" customFormat="1" ht="15.75" customHeight="1">
      <c r="A3080" s="517" t="str">
        <f>IF(B3080&lt;&gt;"",IF(AND(B3080&gt;=_TM1,B3080&lt;=_TM2,OR(TH!L3080="1111",TH!M3080="1111")),TH!D3080,""),"")</f>
        <v/>
      </c>
      <c r="B3080" s="518">
        <f t="shared" si="273"/>
        <v>4</v>
      </c>
      <c r="C3080" s="571">
        <f t="shared" si="274"/>
        <v>42853</v>
      </c>
      <c r="D3080" s="519" t="s">
        <v>996</v>
      </c>
      <c r="E3080" s="571">
        <v>42853</v>
      </c>
      <c r="F3080" s="577" t="s">
        <v>692</v>
      </c>
      <c r="G3080" s="573" t="s">
        <v>1116</v>
      </c>
      <c r="H3080" s="574" t="s">
        <v>800</v>
      </c>
      <c r="I3080" s="523">
        <v>18</v>
      </c>
      <c r="J3080" s="523">
        <v>185535.94444444444</v>
      </c>
      <c r="K3080" s="575">
        <f t="shared" si="275"/>
        <v>3339647</v>
      </c>
      <c r="L3080" s="591" t="s">
        <v>160</v>
      </c>
      <c r="M3080" s="591" t="s">
        <v>292</v>
      </c>
      <c r="N3080" s="525" t="str">
        <f>IF(AND('331-CT'!$E$7=TH!H3080,OR(L3080="331",M3080="331")),"331",IF(AND(OR(L3080="131",M3080="131"),H3080='131-CT'!$E$7),"131",""))</f>
        <v/>
      </c>
      <c r="O3080" s="525" t="str">
        <f>IF(AND($B3080&gt;='111'!$N$11,$B3080&lt;='111'!$O$11,OR($L3080=$O$7,$M3080=$O$7)),"x","")</f>
        <v/>
      </c>
      <c r="P3080" s="525" t="str">
        <f>IF(AND($L3080=$O$7,$B3080&lt;'111'!$N$11),"x","")</f>
        <v/>
      </c>
      <c r="Q3080" s="525" t="str">
        <f>IF(AND($M3080=$O$7,$B3080&lt;'111'!$N$11),"x","")</f>
        <v/>
      </c>
      <c r="R3080" s="525" t="str">
        <f>IF(ISERROR(FIND('112'!$M$9,G3080,1)),"",IF((AND(FIND('112'!$M$9,G3080,1)&gt;=1,$B3080&gt;='112'!$N$8,$B3080&lt;='112'!$O$8,OR($L3080='112'!$I$6,$M3080='112'!$I$6))),"x",""))</f>
        <v/>
      </c>
      <c r="S3080" s="525" t="str">
        <f>IF(ISERROR(FIND('112'!$M$9,G3080,1)),"",IF((AND(LEFT(G3080,2)=LEFT('112'!$M$9,2),B3080&lt;'112'!$N$8,$L3080='112'!$I$6)),"x",""))</f>
        <v/>
      </c>
      <c r="T3080" s="525" t="str">
        <f>IF(ISERROR(FIND('112'!$M$9,G3080,1)),"",IF((AND(RIGHT(G3080,2)=RIGHT('112'!$M$9,2),B3080&lt;'112'!$N$8,$M3080='112'!$I$6)),"x",""))</f>
        <v/>
      </c>
      <c r="U3080" s="525" t="str">
        <f>IF(AND(B3080&gt;='IN-NX'!$P$3,B3080&lt;='IN-NX'!$Q$3,'IN-NX'!$D$7=D3080,OR(LEFT(L3080,2)="15",AND(LEFT(M3080,2)&lt;&gt;"15",LEFT(M3080,2)&lt;&gt;"33"))),"x","")</f>
        <v/>
      </c>
      <c r="V3080" s="525" t="str">
        <f>IF(AND(OR(LEFT(TH!L3080,2)="15",LEFT(TH!M3080,2)="15"),'152-CT'!$J$8=TH!F3080),"x","")</f>
        <v/>
      </c>
      <c r="W3080" s="525" t="str">
        <f>IF(AND(OR(LEFT(TH!L3080,2)="15",LEFT(TH!M3080,2)="15"),TK!$E$7=TH!F3080),"x","")</f>
        <v/>
      </c>
      <c r="X3080" s="525" t="str">
        <f>IF(AND('341-CT'!$E$9=H3080,OR(LEFT(L3080,3)=$X$7,LEFT(M3080,3)=$X$7)),"x","")</f>
        <v/>
      </c>
      <c r="Y3080" s="525" t="str">
        <f>IF(OR(TH!L3080=TH!$Y$7,M3080=TH!$Y$7),"x","")</f>
        <v/>
      </c>
      <c r="Z3080" s="525" t="str">
        <f>IF(AND(B3080&lt;=NKC!$N$8,B3080&gt;=NKC!$M$8),"x","")</f>
        <v/>
      </c>
      <c r="AA3080" s="526"/>
      <c r="AC3080" s="576"/>
      <c r="AD3080" s="576"/>
      <c r="AE3080" s="576"/>
    </row>
    <row r="3081" spans="1:31" s="527" customFormat="1" ht="15.75" customHeight="1">
      <c r="A3081" s="517" t="str">
        <f>IF(B3081&lt;&gt;"",IF(AND(B3081&gt;=_TM1,B3081&lt;=_TM2,OR(TH!L3081="1111",TH!M3081="1111")),TH!D3081,""),"")</f>
        <v/>
      </c>
      <c r="B3081" s="518">
        <f t="shared" si="273"/>
        <v>4</v>
      </c>
      <c r="C3081" s="571">
        <f t="shared" si="274"/>
        <v>42853</v>
      </c>
      <c r="D3081" s="519" t="s">
        <v>996</v>
      </c>
      <c r="E3081" s="571">
        <v>42853</v>
      </c>
      <c r="F3081" s="572" t="s">
        <v>740</v>
      </c>
      <c r="G3081" s="573" t="s">
        <v>1116</v>
      </c>
      <c r="H3081" s="574" t="s">
        <v>800</v>
      </c>
      <c r="I3081" s="523">
        <v>20</v>
      </c>
      <c r="J3081" s="523">
        <v>162465.15</v>
      </c>
      <c r="K3081" s="575">
        <f t="shared" si="275"/>
        <v>3249303</v>
      </c>
      <c r="L3081" s="591" t="s">
        <v>160</v>
      </c>
      <c r="M3081" s="591" t="s">
        <v>292</v>
      </c>
      <c r="N3081" s="525" t="str">
        <f>IF(AND('331-CT'!$E$7=TH!H3081,OR(L3081="331",M3081="331")),"331",IF(AND(OR(L3081="131",M3081="131"),H3081='131-CT'!$E$7),"131",""))</f>
        <v/>
      </c>
      <c r="O3081" s="525" t="str">
        <f>IF(AND($B3081&gt;='111'!$N$11,$B3081&lt;='111'!$O$11,OR($L3081=$O$7,$M3081=$O$7)),"x","")</f>
        <v/>
      </c>
      <c r="P3081" s="525" t="str">
        <f>IF(AND($L3081=$O$7,$B3081&lt;'111'!$N$11),"x","")</f>
        <v/>
      </c>
      <c r="Q3081" s="525" t="str">
        <f>IF(AND($M3081=$O$7,$B3081&lt;'111'!$N$11),"x","")</f>
        <v/>
      </c>
      <c r="R3081" s="525" t="str">
        <f>IF(ISERROR(FIND('112'!$M$9,G3081,1)),"",IF((AND(FIND('112'!$M$9,G3081,1)&gt;=1,$B3081&gt;='112'!$N$8,$B3081&lt;='112'!$O$8,OR($L3081='112'!$I$6,$M3081='112'!$I$6))),"x",""))</f>
        <v/>
      </c>
      <c r="S3081" s="525" t="str">
        <f>IF(ISERROR(FIND('112'!$M$9,G3081,1)),"",IF((AND(LEFT(G3081,2)=LEFT('112'!$M$9,2),B3081&lt;'112'!$N$8,$L3081='112'!$I$6)),"x",""))</f>
        <v/>
      </c>
      <c r="T3081" s="525" t="str">
        <f>IF(ISERROR(FIND('112'!$M$9,G3081,1)),"",IF((AND(RIGHT(G3081,2)=RIGHT('112'!$M$9,2),B3081&lt;'112'!$N$8,$M3081='112'!$I$6)),"x",""))</f>
        <v/>
      </c>
      <c r="U3081" s="525" t="str">
        <f>IF(AND(B3081&gt;='IN-NX'!$P$3,B3081&lt;='IN-NX'!$Q$3,'IN-NX'!$D$7=D3081,OR(LEFT(L3081,2)="15",AND(LEFT(M3081,2)&lt;&gt;"15",LEFT(M3081,2)&lt;&gt;"33"))),"x","")</f>
        <v/>
      </c>
      <c r="V3081" s="525" t="str">
        <f>IF(AND(OR(LEFT(TH!L3081,2)="15",LEFT(TH!M3081,2)="15"),'152-CT'!$J$8=TH!F3081),"x","")</f>
        <v/>
      </c>
      <c r="W3081" s="525" t="str">
        <f>IF(AND(OR(LEFT(TH!L3081,2)="15",LEFT(TH!M3081,2)="15"),TK!$E$7=TH!F3081),"x","")</f>
        <v/>
      </c>
      <c r="X3081" s="525" t="str">
        <f>IF(AND('341-CT'!$E$9=H3081,OR(LEFT(L3081,3)=$X$7,LEFT(M3081,3)=$X$7)),"x","")</f>
        <v/>
      </c>
      <c r="Y3081" s="525" t="str">
        <f>IF(OR(TH!L3081=TH!$Y$7,M3081=TH!$Y$7),"x","")</f>
        <v/>
      </c>
      <c r="Z3081" s="525" t="str">
        <f>IF(AND(B3081&lt;=NKC!$N$8,B3081&gt;=NKC!$M$8),"x","")</f>
        <v/>
      </c>
      <c r="AA3081" s="526"/>
      <c r="AE3081" s="576"/>
    </row>
    <row r="3082" spans="1:31" s="527" customFormat="1" ht="15.75" customHeight="1">
      <c r="A3082" s="517" t="str">
        <f>IF(B3082&lt;&gt;"",IF(AND(B3082&gt;=_TM1,B3082&lt;=_TM2,OR(TH!L3082="1111",TH!M3082="1111")),TH!D3082,""),"")</f>
        <v/>
      </c>
      <c r="B3082" s="518">
        <f t="shared" si="273"/>
        <v>4</v>
      </c>
      <c r="C3082" s="571">
        <f t="shared" si="274"/>
        <v>42853</v>
      </c>
      <c r="D3082" s="519" t="s">
        <v>996</v>
      </c>
      <c r="E3082" s="571">
        <v>42853</v>
      </c>
      <c r="F3082" s="577" t="s">
        <v>629</v>
      </c>
      <c r="G3082" s="573" t="s">
        <v>1116</v>
      </c>
      <c r="H3082" s="574" t="s">
        <v>800</v>
      </c>
      <c r="I3082" s="523">
        <v>50</v>
      </c>
      <c r="J3082" s="523">
        <v>24637.200000000001</v>
      </c>
      <c r="K3082" s="575">
        <f t="shared" si="275"/>
        <v>1231860</v>
      </c>
      <c r="L3082" s="591" t="s">
        <v>160</v>
      </c>
      <c r="M3082" s="591" t="s">
        <v>292</v>
      </c>
      <c r="N3082" s="525" t="str">
        <f>IF(AND('331-CT'!$E$7=TH!H3082,OR(L3082="331",M3082="331")),"331",IF(AND(OR(L3082="131",M3082="131"),H3082='131-CT'!$E$7),"131",""))</f>
        <v/>
      </c>
      <c r="O3082" s="525" t="str">
        <f>IF(AND($B3082&gt;='111'!$N$11,$B3082&lt;='111'!$O$11,OR($L3082=$O$7,$M3082=$O$7)),"x","")</f>
        <v/>
      </c>
      <c r="P3082" s="525" t="str">
        <f>IF(AND($L3082=$O$7,$B3082&lt;'111'!$N$11),"x","")</f>
        <v/>
      </c>
      <c r="Q3082" s="525" t="str">
        <f>IF(AND($M3082=$O$7,$B3082&lt;'111'!$N$11),"x","")</f>
        <v/>
      </c>
      <c r="R3082" s="525" t="str">
        <f>IF(ISERROR(FIND('112'!$M$9,G3082,1)),"",IF((AND(FIND('112'!$M$9,G3082,1)&gt;=1,$B3082&gt;='112'!$N$8,$B3082&lt;='112'!$O$8,OR($L3082='112'!$I$6,$M3082='112'!$I$6))),"x",""))</f>
        <v/>
      </c>
      <c r="S3082" s="525" t="str">
        <f>IF(ISERROR(FIND('112'!$M$9,G3082,1)),"",IF((AND(LEFT(G3082,2)=LEFT('112'!$M$9,2),B3082&lt;'112'!$N$8,$L3082='112'!$I$6)),"x",""))</f>
        <v/>
      </c>
      <c r="T3082" s="525" t="str">
        <f>IF(ISERROR(FIND('112'!$M$9,G3082,1)),"",IF((AND(RIGHT(G3082,2)=RIGHT('112'!$M$9,2),B3082&lt;'112'!$N$8,$M3082='112'!$I$6)),"x",""))</f>
        <v/>
      </c>
      <c r="U3082" s="525" t="str">
        <f>IF(AND(B3082&gt;='IN-NX'!$P$3,B3082&lt;='IN-NX'!$Q$3,'IN-NX'!$D$7=D3082,OR(LEFT(L3082,2)="15",AND(LEFT(M3082,2)&lt;&gt;"15",LEFT(M3082,2)&lt;&gt;"33"))),"x","")</f>
        <v/>
      </c>
      <c r="V3082" s="525" t="str">
        <f>IF(AND(OR(LEFT(TH!L3082,2)="15",LEFT(TH!M3082,2)="15"),'152-CT'!$J$8=TH!F3082),"x","")</f>
        <v/>
      </c>
      <c r="W3082" s="525" t="str">
        <f>IF(AND(OR(LEFT(TH!L3082,2)="15",LEFT(TH!M3082,2)="15"),TK!$E$7=TH!F3082),"x","")</f>
        <v/>
      </c>
      <c r="X3082" s="525" t="str">
        <f>IF(AND('341-CT'!$E$9=H3082,OR(LEFT(L3082,3)=$X$7,LEFT(M3082,3)=$X$7)),"x","")</f>
        <v/>
      </c>
      <c r="Y3082" s="525" t="str">
        <f>IF(OR(TH!L3082=TH!$Y$7,M3082=TH!$Y$7),"x","")</f>
        <v/>
      </c>
      <c r="Z3082" s="525" t="str">
        <f>IF(AND(B3082&lt;=NKC!$N$8,B3082&gt;=NKC!$M$8),"x","")</f>
        <v/>
      </c>
      <c r="AA3082" s="526"/>
      <c r="AE3082" s="576"/>
    </row>
    <row r="3083" spans="1:31" s="527" customFormat="1" ht="15.75" customHeight="1">
      <c r="A3083" s="517" t="str">
        <f>IF(B3083&lt;&gt;"",IF(AND(B3083&gt;=_TM1,B3083&lt;=_TM2,OR(TH!L3083="1111",TH!M3083="1111")),TH!D3083,""),"")</f>
        <v/>
      </c>
      <c r="B3083" s="518">
        <f t="shared" si="273"/>
        <v>4</v>
      </c>
      <c r="C3083" s="571">
        <f t="shared" si="274"/>
        <v>42853</v>
      </c>
      <c r="D3083" s="519" t="s">
        <v>996</v>
      </c>
      <c r="E3083" s="571">
        <v>42853</v>
      </c>
      <c r="F3083" s="572" t="s">
        <v>619</v>
      </c>
      <c r="G3083" s="573" t="s">
        <v>1116</v>
      </c>
      <c r="H3083" s="574" t="s">
        <v>800</v>
      </c>
      <c r="I3083" s="523">
        <v>292</v>
      </c>
      <c r="J3083" s="523">
        <v>20456.883561643837</v>
      </c>
      <c r="K3083" s="575">
        <f t="shared" si="275"/>
        <v>5973410</v>
      </c>
      <c r="L3083" s="591" t="s">
        <v>160</v>
      </c>
      <c r="M3083" s="591" t="s">
        <v>292</v>
      </c>
      <c r="N3083" s="525" t="str">
        <f>IF(AND('331-CT'!$E$7=TH!H3083,OR(L3083="331",M3083="331")),"331",IF(AND(OR(L3083="131",M3083="131"),H3083='131-CT'!$E$7),"131",""))</f>
        <v/>
      </c>
      <c r="O3083" s="525" t="str">
        <f>IF(AND($B3083&gt;='111'!$N$11,$B3083&lt;='111'!$O$11,OR($L3083=$O$7,$M3083=$O$7)),"x","")</f>
        <v/>
      </c>
      <c r="P3083" s="525" t="str">
        <f>IF(AND($L3083=$O$7,$B3083&lt;'111'!$N$11),"x","")</f>
        <v/>
      </c>
      <c r="Q3083" s="525" t="str">
        <f>IF(AND($M3083=$O$7,$B3083&lt;'111'!$N$11),"x","")</f>
        <v/>
      </c>
      <c r="R3083" s="525" t="str">
        <f>IF(ISERROR(FIND('112'!$M$9,G3083,1)),"",IF((AND(FIND('112'!$M$9,G3083,1)&gt;=1,$B3083&gt;='112'!$N$8,$B3083&lt;='112'!$O$8,OR($L3083='112'!$I$6,$M3083='112'!$I$6))),"x",""))</f>
        <v/>
      </c>
      <c r="S3083" s="525" t="str">
        <f>IF(ISERROR(FIND('112'!$M$9,G3083,1)),"",IF((AND(LEFT(G3083,2)=LEFT('112'!$M$9,2),B3083&lt;'112'!$N$8,$L3083='112'!$I$6)),"x",""))</f>
        <v/>
      </c>
      <c r="T3083" s="525" t="str">
        <f>IF(ISERROR(FIND('112'!$M$9,G3083,1)),"",IF((AND(RIGHT(G3083,2)=RIGHT('112'!$M$9,2),B3083&lt;'112'!$N$8,$M3083='112'!$I$6)),"x",""))</f>
        <v/>
      </c>
      <c r="U3083" s="525" t="str">
        <f>IF(AND(B3083&gt;='IN-NX'!$P$3,B3083&lt;='IN-NX'!$Q$3,'IN-NX'!$D$7=D3083,OR(LEFT(L3083,2)="15",AND(LEFT(M3083,2)&lt;&gt;"15",LEFT(M3083,2)&lt;&gt;"33"))),"x","")</f>
        <v/>
      </c>
      <c r="V3083" s="525" t="str">
        <f>IF(AND(OR(LEFT(TH!L3083,2)="15",LEFT(TH!M3083,2)="15"),'152-CT'!$J$8=TH!F3083),"x","")</f>
        <v/>
      </c>
      <c r="W3083" s="525" t="str">
        <f>IF(AND(OR(LEFT(TH!L3083,2)="15",LEFT(TH!M3083,2)="15"),TK!$E$7=TH!F3083),"x","")</f>
        <v/>
      </c>
      <c r="X3083" s="525" t="str">
        <f>IF(AND('341-CT'!$E$9=H3083,OR(LEFT(L3083,3)=$X$7,LEFT(M3083,3)=$X$7)),"x","")</f>
        <v/>
      </c>
      <c r="Y3083" s="525" t="str">
        <f>IF(OR(TH!L3083=TH!$Y$7,M3083=TH!$Y$7),"x","")</f>
        <v/>
      </c>
      <c r="Z3083" s="525" t="str">
        <f>IF(AND(B3083&lt;=NKC!$N$8,B3083&gt;=NKC!$M$8),"x","")</f>
        <v/>
      </c>
      <c r="AA3083" s="526"/>
      <c r="AC3083" s="576"/>
      <c r="AD3083" s="576"/>
      <c r="AE3083" s="576"/>
    </row>
    <row r="3084" spans="1:31" s="527" customFormat="1" ht="15.75" customHeight="1">
      <c r="A3084" s="517" t="str">
        <f>IF(B3084&lt;&gt;"",IF(AND(B3084&gt;=_TM1,B3084&lt;=_TM2,OR(TH!L3084="1111",TH!M3084="1111")),TH!D3084,""),"")</f>
        <v/>
      </c>
      <c r="B3084" s="518">
        <f t="shared" si="273"/>
        <v>4</v>
      </c>
      <c r="C3084" s="571">
        <f t="shared" si="274"/>
        <v>42853</v>
      </c>
      <c r="D3084" s="519" t="s">
        <v>996</v>
      </c>
      <c r="E3084" s="571">
        <v>42853</v>
      </c>
      <c r="F3084" s="572" t="s">
        <v>1001</v>
      </c>
      <c r="G3084" s="573" t="s">
        <v>1116</v>
      </c>
      <c r="H3084" s="574" t="s">
        <v>800</v>
      </c>
      <c r="I3084" s="523">
        <v>16</v>
      </c>
      <c r="J3084" s="523">
        <v>163873.4375</v>
      </c>
      <c r="K3084" s="575">
        <f t="shared" si="275"/>
        <v>2621975</v>
      </c>
      <c r="L3084" s="591" t="s">
        <v>160</v>
      </c>
      <c r="M3084" s="591" t="s">
        <v>292</v>
      </c>
      <c r="N3084" s="525" t="str">
        <f>IF(AND('331-CT'!$E$7=TH!H3084,OR(L3084="331",M3084="331")),"331",IF(AND(OR(L3084="131",M3084="131"),H3084='131-CT'!$E$7),"131",""))</f>
        <v/>
      </c>
      <c r="O3084" s="525" t="str">
        <f>IF(AND($B3084&gt;='111'!$N$11,$B3084&lt;='111'!$O$11,OR($L3084=$O$7,$M3084=$O$7)),"x","")</f>
        <v/>
      </c>
      <c r="P3084" s="525" t="str">
        <f>IF(AND($L3084=$O$7,$B3084&lt;'111'!$N$11),"x","")</f>
        <v/>
      </c>
      <c r="Q3084" s="525" t="str">
        <f>IF(AND($M3084=$O$7,$B3084&lt;'111'!$N$11),"x","")</f>
        <v/>
      </c>
      <c r="R3084" s="525" t="str">
        <f>IF(ISERROR(FIND('112'!$M$9,G3084,1)),"",IF((AND(FIND('112'!$M$9,G3084,1)&gt;=1,$B3084&gt;='112'!$N$8,$B3084&lt;='112'!$O$8,OR($L3084='112'!$I$6,$M3084='112'!$I$6))),"x",""))</f>
        <v/>
      </c>
      <c r="S3084" s="525" t="str">
        <f>IF(ISERROR(FIND('112'!$M$9,G3084,1)),"",IF((AND(LEFT(G3084,2)=LEFT('112'!$M$9,2),B3084&lt;'112'!$N$8,$L3084='112'!$I$6)),"x",""))</f>
        <v/>
      </c>
      <c r="T3084" s="525" t="str">
        <f>IF(ISERROR(FIND('112'!$M$9,G3084,1)),"",IF((AND(RIGHT(G3084,2)=RIGHT('112'!$M$9,2),B3084&lt;'112'!$N$8,$M3084='112'!$I$6)),"x",""))</f>
        <v/>
      </c>
      <c r="U3084" s="525" t="str">
        <f>IF(AND(B3084&gt;='IN-NX'!$P$3,B3084&lt;='IN-NX'!$Q$3,'IN-NX'!$D$7=D3084,OR(LEFT(L3084,2)="15",AND(LEFT(M3084,2)&lt;&gt;"15",LEFT(M3084,2)&lt;&gt;"33"))),"x","")</f>
        <v/>
      </c>
      <c r="V3084" s="525" t="str">
        <f>IF(AND(OR(LEFT(TH!L3084,2)="15",LEFT(TH!M3084,2)="15"),'152-CT'!$J$8=TH!F3084),"x","")</f>
        <v/>
      </c>
      <c r="W3084" s="525" t="str">
        <f>IF(AND(OR(LEFT(TH!L3084,2)="15",LEFT(TH!M3084,2)="15"),TK!$E$7=TH!F3084),"x","")</f>
        <v/>
      </c>
      <c r="X3084" s="525" t="str">
        <f>IF(AND('341-CT'!$E$9=H3084,OR(LEFT(L3084,3)=$X$7,LEFT(M3084,3)=$X$7)),"x","")</f>
        <v/>
      </c>
      <c r="Y3084" s="525" t="str">
        <f>IF(OR(TH!L3084=TH!$Y$7,M3084=TH!$Y$7),"x","")</f>
        <v/>
      </c>
      <c r="Z3084" s="525" t="str">
        <f>IF(AND(B3084&lt;=NKC!$N$8,B3084&gt;=NKC!$M$8),"x","")</f>
        <v/>
      </c>
      <c r="AA3084" s="526"/>
      <c r="AC3084" s="576"/>
      <c r="AD3084" s="576"/>
      <c r="AE3084" s="576"/>
    </row>
    <row r="3085" spans="1:31" s="527" customFormat="1" ht="15.75" customHeight="1">
      <c r="A3085" s="517" t="str">
        <f>IF(B3085&lt;&gt;"",IF(AND(B3085&gt;=_TM1,B3085&lt;=_TM2,OR(TH!L3085="1111",TH!M3085="1111")),TH!D3085,""),"")</f>
        <v/>
      </c>
      <c r="B3085" s="518">
        <f t="shared" si="273"/>
        <v>4</v>
      </c>
      <c r="C3085" s="571">
        <f t="shared" si="274"/>
        <v>42853</v>
      </c>
      <c r="D3085" s="519" t="s">
        <v>996</v>
      </c>
      <c r="E3085" s="571">
        <v>42853</v>
      </c>
      <c r="F3085" s="572" t="s">
        <v>627</v>
      </c>
      <c r="G3085" s="573" t="s">
        <v>1116</v>
      </c>
      <c r="H3085" s="574" t="s">
        <v>800</v>
      </c>
      <c r="I3085" s="523">
        <v>100</v>
      </c>
      <c r="J3085" s="523">
        <v>49748.29</v>
      </c>
      <c r="K3085" s="575">
        <f t="shared" si="275"/>
        <v>4974829</v>
      </c>
      <c r="L3085" s="591" t="s">
        <v>160</v>
      </c>
      <c r="M3085" s="591" t="s">
        <v>292</v>
      </c>
      <c r="N3085" s="525" t="str">
        <f>IF(AND('331-CT'!$E$7=TH!H3085,OR(L3085="331",M3085="331")),"331",IF(AND(OR(L3085="131",M3085="131"),H3085='131-CT'!$E$7),"131",""))</f>
        <v/>
      </c>
      <c r="O3085" s="525" t="str">
        <f>IF(AND($B3085&gt;='111'!$N$11,$B3085&lt;='111'!$O$11,OR($L3085=$O$7,$M3085=$O$7)),"x","")</f>
        <v/>
      </c>
      <c r="P3085" s="525" t="str">
        <f>IF(AND($L3085=$O$7,$B3085&lt;'111'!$N$11),"x","")</f>
        <v/>
      </c>
      <c r="Q3085" s="525" t="str">
        <f>IF(AND($M3085=$O$7,$B3085&lt;'111'!$N$11),"x","")</f>
        <v/>
      </c>
      <c r="R3085" s="525" t="str">
        <f>IF(ISERROR(FIND('112'!$M$9,G3085,1)),"",IF((AND(FIND('112'!$M$9,G3085,1)&gt;=1,$B3085&gt;='112'!$N$8,$B3085&lt;='112'!$O$8,OR($L3085='112'!$I$6,$M3085='112'!$I$6))),"x",""))</f>
        <v/>
      </c>
      <c r="S3085" s="525" t="str">
        <f>IF(ISERROR(FIND('112'!$M$9,G3085,1)),"",IF((AND(LEFT(G3085,2)=LEFT('112'!$M$9,2),B3085&lt;'112'!$N$8,$L3085='112'!$I$6)),"x",""))</f>
        <v/>
      </c>
      <c r="T3085" s="525" t="str">
        <f>IF(ISERROR(FIND('112'!$M$9,G3085,1)),"",IF((AND(RIGHT(G3085,2)=RIGHT('112'!$M$9,2),B3085&lt;'112'!$N$8,$M3085='112'!$I$6)),"x",""))</f>
        <v/>
      </c>
      <c r="U3085" s="525" t="str">
        <f>IF(AND(B3085&gt;='IN-NX'!$P$3,B3085&lt;='IN-NX'!$Q$3,'IN-NX'!$D$7=D3085,OR(LEFT(L3085,2)="15",AND(LEFT(M3085,2)&lt;&gt;"15",LEFT(M3085,2)&lt;&gt;"33"))),"x","")</f>
        <v/>
      </c>
      <c r="V3085" s="525" t="str">
        <f>IF(AND(OR(LEFT(TH!L3085,2)="15",LEFT(TH!M3085,2)="15"),'152-CT'!$J$8=TH!F3085),"x","")</f>
        <v/>
      </c>
      <c r="W3085" s="525" t="str">
        <f>IF(AND(OR(LEFT(TH!L3085,2)="15",LEFT(TH!M3085,2)="15"),TK!$E$7=TH!F3085),"x","")</f>
        <v/>
      </c>
      <c r="X3085" s="525" t="str">
        <f>IF(AND('341-CT'!$E$9=H3085,OR(LEFT(L3085,3)=$X$7,LEFT(M3085,3)=$X$7)),"x","")</f>
        <v/>
      </c>
      <c r="Y3085" s="525" t="str">
        <f>IF(OR(TH!L3085=TH!$Y$7,M3085=TH!$Y$7),"x","")</f>
        <v/>
      </c>
      <c r="Z3085" s="525" t="str">
        <f>IF(AND(B3085&lt;=NKC!$N$8,B3085&gt;=NKC!$M$8),"x","")</f>
        <v/>
      </c>
      <c r="AA3085" s="526"/>
      <c r="AC3085" s="576"/>
      <c r="AD3085" s="576"/>
      <c r="AE3085" s="576"/>
    </row>
    <row r="3086" spans="1:31" s="527" customFormat="1" ht="15.75" customHeight="1">
      <c r="A3086" s="517" t="str">
        <f>IF(B3086&lt;&gt;"",IF(AND(B3086&gt;=_TM1,B3086&lt;=_TM2,OR(TH!L3086="1111",TH!M3086="1111")),TH!D3086,""),"")</f>
        <v/>
      </c>
      <c r="B3086" s="518">
        <f t="shared" si="273"/>
        <v>4</v>
      </c>
      <c r="C3086" s="571">
        <f t="shared" si="274"/>
        <v>42853</v>
      </c>
      <c r="D3086" s="519" t="s">
        <v>996</v>
      </c>
      <c r="E3086" s="571">
        <v>42853</v>
      </c>
      <c r="F3086" s="572" t="s">
        <v>704</v>
      </c>
      <c r="G3086" s="573" t="s">
        <v>1116</v>
      </c>
      <c r="H3086" s="574" t="s">
        <v>800</v>
      </c>
      <c r="I3086" s="523">
        <v>186</v>
      </c>
      <c r="J3086" s="523">
        <v>17818.053763440861</v>
      </c>
      <c r="K3086" s="575">
        <f t="shared" si="275"/>
        <v>3314158</v>
      </c>
      <c r="L3086" s="591" t="s">
        <v>160</v>
      </c>
      <c r="M3086" s="591" t="s">
        <v>292</v>
      </c>
      <c r="N3086" s="525" t="str">
        <f>IF(AND('331-CT'!$E$7=TH!H3086,OR(L3086="331",M3086="331")),"331",IF(AND(OR(L3086="131",M3086="131"),H3086='131-CT'!$E$7),"131",""))</f>
        <v/>
      </c>
      <c r="O3086" s="525" t="str">
        <f>IF(AND($B3086&gt;='111'!$N$11,$B3086&lt;='111'!$O$11,OR($L3086=$O$7,$M3086=$O$7)),"x","")</f>
        <v/>
      </c>
      <c r="P3086" s="525" t="str">
        <f>IF(AND($L3086=$O$7,$B3086&lt;'111'!$N$11),"x","")</f>
        <v/>
      </c>
      <c r="Q3086" s="525" t="str">
        <f>IF(AND($M3086=$O$7,$B3086&lt;'111'!$N$11),"x","")</f>
        <v/>
      </c>
      <c r="R3086" s="525" t="str">
        <f>IF(ISERROR(FIND('112'!$M$9,G3086,1)),"",IF((AND(FIND('112'!$M$9,G3086,1)&gt;=1,$B3086&gt;='112'!$N$8,$B3086&lt;='112'!$O$8,OR($L3086='112'!$I$6,$M3086='112'!$I$6))),"x",""))</f>
        <v/>
      </c>
      <c r="S3086" s="525" t="str">
        <f>IF(ISERROR(FIND('112'!$M$9,G3086,1)),"",IF((AND(LEFT(G3086,2)=LEFT('112'!$M$9,2),B3086&lt;'112'!$N$8,$L3086='112'!$I$6)),"x",""))</f>
        <v/>
      </c>
      <c r="T3086" s="525" t="str">
        <f>IF(ISERROR(FIND('112'!$M$9,G3086,1)),"",IF((AND(RIGHT(G3086,2)=RIGHT('112'!$M$9,2),B3086&lt;'112'!$N$8,$M3086='112'!$I$6)),"x",""))</f>
        <v/>
      </c>
      <c r="U3086" s="525" t="str">
        <f>IF(AND(B3086&gt;='IN-NX'!$P$3,B3086&lt;='IN-NX'!$Q$3,'IN-NX'!$D$7=D3086,OR(LEFT(L3086,2)="15",AND(LEFT(M3086,2)&lt;&gt;"15",LEFT(M3086,2)&lt;&gt;"33"))),"x","")</f>
        <v/>
      </c>
      <c r="V3086" s="525" t="str">
        <f>IF(AND(OR(LEFT(TH!L3086,2)="15",LEFT(TH!M3086,2)="15"),'152-CT'!$J$8=TH!F3086),"x","")</f>
        <v/>
      </c>
      <c r="W3086" s="525" t="str">
        <f>IF(AND(OR(LEFT(TH!L3086,2)="15",LEFT(TH!M3086,2)="15"),TK!$E$7=TH!F3086),"x","")</f>
        <v/>
      </c>
      <c r="X3086" s="525" t="str">
        <f>IF(AND('341-CT'!$E$9=H3086,OR(LEFT(L3086,3)=$X$7,LEFT(M3086,3)=$X$7)),"x","")</f>
        <v/>
      </c>
      <c r="Y3086" s="525" t="str">
        <f>IF(OR(TH!L3086=TH!$Y$7,M3086=TH!$Y$7),"x","")</f>
        <v/>
      </c>
      <c r="Z3086" s="525" t="str">
        <f>IF(AND(B3086&lt;=NKC!$N$8,B3086&gt;=NKC!$M$8),"x","")</f>
        <v/>
      </c>
      <c r="AA3086" s="526"/>
      <c r="AC3086" s="576"/>
      <c r="AD3086" s="576"/>
      <c r="AE3086" s="576"/>
    </row>
    <row r="3087" spans="1:31" s="527" customFormat="1" ht="15.75" customHeight="1">
      <c r="A3087" s="517" t="str">
        <f>IF(B3087&lt;&gt;"",IF(AND(B3087&gt;=_TM1,B3087&lt;=_TM2,OR(TH!L3087="1111",TH!M3087="1111")),TH!D3087,""),"")</f>
        <v/>
      </c>
      <c r="B3087" s="518">
        <f t="shared" si="273"/>
        <v>4</v>
      </c>
      <c r="C3087" s="571">
        <f t="shared" si="274"/>
        <v>42853</v>
      </c>
      <c r="D3087" s="519" t="s">
        <v>996</v>
      </c>
      <c r="E3087" s="571">
        <v>42853</v>
      </c>
      <c r="F3087" s="572" t="s">
        <v>611</v>
      </c>
      <c r="G3087" s="573" t="s">
        <v>1116</v>
      </c>
      <c r="H3087" s="574" t="s">
        <v>800</v>
      </c>
      <c r="I3087" s="523">
        <v>182</v>
      </c>
      <c r="J3087" s="523">
        <v>40614.241758241755</v>
      </c>
      <c r="K3087" s="575">
        <f t="shared" si="275"/>
        <v>7391792</v>
      </c>
      <c r="L3087" s="591" t="s">
        <v>160</v>
      </c>
      <c r="M3087" s="591" t="s">
        <v>292</v>
      </c>
      <c r="N3087" s="525" t="str">
        <f>IF(AND('331-CT'!$E$7=TH!H3087,OR(L3087="331",M3087="331")),"331",IF(AND(OR(L3087="131",M3087="131"),H3087='131-CT'!$E$7),"131",""))</f>
        <v/>
      </c>
      <c r="O3087" s="525" t="str">
        <f>IF(AND($B3087&gt;='111'!$N$11,$B3087&lt;='111'!$O$11,OR($L3087=$O$7,$M3087=$O$7)),"x","")</f>
        <v/>
      </c>
      <c r="P3087" s="525" t="str">
        <f>IF(AND($L3087=$O$7,$B3087&lt;'111'!$N$11),"x","")</f>
        <v/>
      </c>
      <c r="Q3087" s="525" t="str">
        <f>IF(AND($M3087=$O$7,$B3087&lt;'111'!$N$11),"x","")</f>
        <v/>
      </c>
      <c r="R3087" s="525" t="str">
        <f>IF(ISERROR(FIND('112'!$M$9,G3087,1)),"",IF((AND(FIND('112'!$M$9,G3087,1)&gt;=1,$B3087&gt;='112'!$N$8,$B3087&lt;='112'!$O$8,OR($L3087='112'!$I$6,$M3087='112'!$I$6))),"x",""))</f>
        <v/>
      </c>
      <c r="S3087" s="525" t="str">
        <f>IF(ISERROR(FIND('112'!$M$9,G3087,1)),"",IF((AND(LEFT(G3087,2)=LEFT('112'!$M$9,2),B3087&lt;'112'!$N$8,$L3087='112'!$I$6)),"x",""))</f>
        <v/>
      </c>
      <c r="T3087" s="525" t="str">
        <f>IF(ISERROR(FIND('112'!$M$9,G3087,1)),"",IF((AND(RIGHT(G3087,2)=RIGHT('112'!$M$9,2),B3087&lt;'112'!$N$8,$M3087='112'!$I$6)),"x",""))</f>
        <v/>
      </c>
      <c r="U3087" s="525" t="str">
        <f>IF(AND(B3087&gt;='IN-NX'!$P$3,B3087&lt;='IN-NX'!$Q$3,'IN-NX'!$D$7=D3087,OR(LEFT(L3087,2)="15",AND(LEFT(M3087,2)&lt;&gt;"15",LEFT(M3087,2)&lt;&gt;"33"))),"x","")</f>
        <v/>
      </c>
      <c r="V3087" s="525" t="str">
        <f>IF(AND(OR(LEFT(TH!L3087,2)="15",LEFT(TH!M3087,2)="15"),'152-CT'!$J$8=TH!F3087),"x","")</f>
        <v/>
      </c>
      <c r="W3087" s="525" t="str">
        <f>IF(AND(OR(LEFT(TH!L3087,2)="15",LEFT(TH!M3087,2)="15"),TK!$E$7=TH!F3087),"x","")</f>
        <v/>
      </c>
      <c r="X3087" s="525" t="str">
        <f>IF(AND('341-CT'!$E$9=H3087,OR(LEFT(L3087,3)=$X$7,LEFT(M3087,3)=$X$7)),"x","")</f>
        <v/>
      </c>
      <c r="Y3087" s="525" t="str">
        <f>IF(OR(TH!L3087=TH!$Y$7,M3087=TH!$Y$7),"x","")</f>
        <v/>
      </c>
      <c r="Z3087" s="525" t="str">
        <f>IF(AND(B3087&lt;=NKC!$N$8,B3087&gt;=NKC!$M$8),"x","")</f>
        <v/>
      </c>
      <c r="AA3087" s="526"/>
      <c r="AC3087" s="576"/>
      <c r="AD3087" s="576"/>
      <c r="AE3087" s="576"/>
    </row>
    <row r="3088" spans="1:31" s="527" customFormat="1" ht="15.75" customHeight="1">
      <c r="A3088" s="517" t="str">
        <f>IF(B3088&lt;&gt;"",IF(AND(B3088&gt;=_TM1,B3088&lt;=_TM2,OR(TH!L3088="1111",TH!M3088="1111")),TH!D3088,""),"")</f>
        <v/>
      </c>
      <c r="B3088" s="518">
        <f t="shared" si="273"/>
        <v>4</v>
      </c>
      <c r="C3088" s="571">
        <f t="shared" si="274"/>
        <v>42853</v>
      </c>
      <c r="D3088" s="519" t="s">
        <v>996</v>
      </c>
      <c r="E3088" s="571">
        <v>42853</v>
      </c>
      <c r="F3088" s="572" t="s">
        <v>741</v>
      </c>
      <c r="G3088" s="573" t="s">
        <v>1116</v>
      </c>
      <c r="H3088" s="574" t="s">
        <v>800</v>
      </c>
      <c r="I3088" s="523">
        <v>16</v>
      </c>
      <c r="J3088" s="523">
        <v>234099.4375</v>
      </c>
      <c r="K3088" s="575">
        <f t="shared" si="275"/>
        <v>3745591</v>
      </c>
      <c r="L3088" s="591" t="s">
        <v>160</v>
      </c>
      <c r="M3088" s="591" t="s">
        <v>292</v>
      </c>
      <c r="N3088" s="525" t="str">
        <f>IF(AND('331-CT'!$E$7=TH!H3088,OR(L3088="331",M3088="331")),"331",IF(AND(OR(L3088="131",M3088="131"),H3088='131-CT'!$E$7),"131",""))</f>
        <v/>
      </c>
      <c r="O3088" s="525" t="str">
        <f>IF(AND($B3088&gt;='111'!$N$11,$B3088&lt;='111'!$O$11,OR($L3088=$O$7,$M3088=$O$7)),"x","")</f>
        <v/>
      </c>
      <c r="P3088" s="525" t="str">
        <f>IF(AND($L3088=$O$7,$B3088&lt;'111'!$N$11),"x","")</f>
        <v/>
      </c>
      <c r="Q3088" s="525" t="str">
        <f>IF(AND($M3088=$O$7,$B3088&lt;'111'!$N$11),"x","")</f>
        <v/>
      </c>
      <c r="R3088" s="525" t="str">
        <f>IF(ISERROR(FIND('112'!$M$9,G3088,1)),"",IF((AND(FIND('112'!$M$9,G3088,1)&gt;=1,$B3088&gt;='112'!$N$8,$B3088&lt;='112'!$O$8,OR($L3088='112'!$I$6,$M3088='112'!$I$6))),"x",""))</f>
        <v/>
      </c>
      <c r="S3088" s="525" t="str">
        <f>IF(ISERROR(FIND('112'!$M$9,G3088,1)),"",IF((AND(LEFT(G3088,2)=LEFT('112'!$M$9,2),B3088&lt;'112'!$N$8,$L3088='112'!$I$6)),"x",""))</f>
        <v/>
      </c>
      <c r="T3088" s="525" t="str">
        <f>IF(ISERROR(FIND('112'!$M$9,G3088,1)),"",IF((AND(RIGHT(G3088,2)=RIGHT('112'!$M$9,2),B3088&lt;'112'!$N$8,$M3088='112'!$I$6)),"x",""))</f>
        <v/>
      </c>
      <c r="U3088" s="525" t="str">
        <f>IF(AND(B3088&gt;='IN-NX'!$P$3,B3088&lt;='IN-NX'!$Q$3,'IN-NX'!$D$7=D3088,OR(LEFT(L3088,2)="15",AND(LEFT(M3088,2)&lt;&gt;"15",LEFT(M3088,2)&lt;&gt;"33"))),"x","")</f>
        <v/>
      </c>
      <c r="V3088" s="525" t="str">
        <f>IF(AND(OR(LEFT(TH!L3088,2)="15",LEFT(TH!M3088,2)="15"),'152-CT'!$J$8=TH!F3088),"x","")</f>
        <v/>
      </c>
      <c r="W3088" s="525" t="str">
        <f>IF(AND(OR(LEFT(TH!L3088,2)="15",LEFT(TH!M3088,2)="15"),TK!$E$7=TH!F3088),"x","")</f>
        <v/>
      </c>
      <c r="X3088" s="525" t="str">
        <f>IF(AND('341-CT'!$E$9=H3088,OR(LEFT(L3088,3)=$X$7,LEFT(M3088,3)=$X$7)),"x","")</f>
        <v/>
      </c>
      <c r="Y3088" s="525" t="str">
        <f>IF(OR(TH!L3088=TH!$Y$7,M3088=TH!$Y$7),"x","")</f>
        <v/>
      </c>
      <c r="Z3088" s="525" t="str">
        <f>IF(AND(B3088&lt;=NKC!$N$8,B3088&gt;=NKC!$M$8),"x","")</f>
        <v/>
      </c>
      <c r="AA3088" s="526"/>
      <c r="AC3088" s="576"/>
      <c r="AD3088" s="576"/>
      <c r="AE3088" s="576"/>
    </row>
    <row r="3089" spans="1:31" s="527" customFormat="1" ht="15.75" customHeight="1">
      <c r="A3089" s="517" t="str">
        <f>IF(B3089&lt;&gt;"",IF(AND(B3089&gt;=_TM1,B3089&lt;=_TM2,OR(TH!L3089="1111",TH!M3089="1111")),TH!D3089,""),"")</f>
        <v/>
      </c>
      <c r="B3089" s="518">
        <f t="shared" si="273"/>
        <v>4</v>
      </c>
      <c r="C3089" s="571">
        <f t="shared" si="274"/>
        <v>42853</v>
      </c>
      <c r="D3089" s="519" t="s">
        <v>996</v>
      </c>
      <c r="E3089" s="571">
        <v>42853</v>
      </c>
      <c r="F3089" s="572" t="s">
        <v>795</v>
      </c>
      <c r="G3089" s="573" t="s">
        <v>1116</v>
      </c>
      <c r="H3089" s="574" t="s">
        <v>800</v>
      </c>
      <c r="I3089" s="523">
        <v>60</v>
      </c>
      <c r="J3089" s="523">
        <v>76447.333333333328</v>
      </c>
      <c r="K3089" s="575">
        <f t="shared" si="275"/>
        <v>4586840</v>
      </c>
      <c r="L3089" s="591" t="s">
        <v>160</v>
      </c>
      <c r="M3089" s="591" t="s">
        <v>292</v>
      </c>
      <c r="N3089" s="525" t="str">
        <f>IF(AND('331-CT'!$E$7=TH!H3089,OR(L3089="331",M3089="331")),"331",IF(AND(OR(L3089="131",M3089="131"),H3089='131-CT'!$E$7),"131",""))</f>
        <v/>
      </c>
      <c r="O3089" s="525" t="str">
        <f>IF(AND($B3089&gt;='111'!$N$11,$B3089&lt;='111'!$O$11,OR($L3089=$O$7,$M3089=$O$7)),"x","")</f>
        <v/>
      </c>
      <c r="P3089" s="525" t="str">
        <f>IF(AND($L3089=$O$7,$B3089&lt;'111'!$N$11),"x","")</f>
        <v/>
      </c>
      <c r="Q3089" s="525" t="str">
        <f>IF(AND($M3089=$O$7,$B3089&lt;'111'!$N$11),"x","")</f>
        <v/>
      </c>
      <c r="R3089" s="525" t="str">
        <f>IF(ISERROR(FIND('112'!$M$9,G3089,1)),"",IF((AND(FIND('112'!$M$9,G3089,1)&gt;=1,$B3089&gt;='112'!$N$8,$B3089&lt;='112'!$O$8,OR($L3089='112'!$I$6,$M3089='112'!$I$6))),"x",""))</f>
        <v/>
      </c>
      <c r="S3089" s="525" t="str">
        <f>IF(ISERROR(FIND('112'!$M$9,G3089,1)),"",IF((AND(LEFT(G3089,2)=LEFT('112'!$M$9,2),B3089&lt;'112'!$N$8,$L3089='112'!$I$6)),"x",""))</f>
        <v/>
      </c>
      <c r="T3089" s="525" t="str">
        <f>IF(ISERROR(FIND('112'!$M$9,G3089,1)),"",IF((AND(RIGHT(G3089,2)=RIGHT('112'!$M$9,2),B3089&lt;'112'!$N$8,$M3089='112'!$I$6)),"x",""))</f>
        <v/>
      </c>
      <c r="U3089" s="525" t="str">
        <f>IF(AND(B3089&gt;='IN-NX'!$P$3,B3089&lt;='IN-NX'!$Q$3,'IN-NX'!$D$7=D3089,OR(LEFT(L3089,2)="15",AND(LEFT(M3089,2)&lt;&gt;"15",LEFT(M3089,2)&lt;&gt;"33"))),"x","")</f>
        <v/>
      </c>
      <c r="V3089" s="525" t="str">
        <f>IF(AND(OR(LEFT(TH!L3089,2)="15",LEFT(TH!M3089,2)="15"),'152-CT'!$J$8=TH!F3089),"x","")</f>
        <v/>
      </c>
      <c r="W3089" s="525" t="str">
        <f>IF(AND(OR(LEFT(TH!L3089,2)="15",LEFT(TH!M3089,2)="15"),TK!$E$7=TH!F3089),"x","")</f>
        <v/>
      </c>
      <c r="X3089" s="525" t="str">
        <f>IF(AND('341-CT'!$E$9=H3089,OR(LEFT(L3089,3)=$X$7,LEFT(M3089,3)=$X$7)),"x","")</f>
        <v/>
      </c>
      <c r="Y3089" s="525" t="str">
        <f>IF(OR(TH!L3089=TH!$Y$7,M3089=TH!$Y$7),"x","")</f>
        <v/>
      </c>
      <c r="Z3089" s="525" t="str">
        <f>IF(AND(B3089&lt;=NKC!$N$8,B3089&gt;=NKC!$M$8),"x","")</f>
        <v/>
      </c>
      <c r="AA3089" s="526"/>
      <c r="AC3089" s="576"/>
      <c r="AD3089" s="576"/>
      <c r="AE3089" s="576"/>
    </row>
    <row r="3090" spans="1:31" s="527" customFormat="1" ht="15.75" customHeight="1">
      <c r="A3090" s="517" t="str">
        <f>IF(B3090&lt;&gt;"",IF(AND(B3090&gt;=_TM1,B3090&lt;=_TM2,OR(TH!L3090="1111",TH!M3090="1111")),TH!D3090,""),"")</f>
        <v/>
      </c>
      <c r="B3090" s="518">
        <f t="shared" si="273"/>
        <v>4</v>
      </c>
      <c r="C3090" s="571">
        <f t="shared" si="274"/>
        <v>42853</v>
      </c>
      <c r="D3090" s="519" t="s">
        <v>996</v>
      </c>
      <c r="E3090" s="571">
        <v>42853</v>
      </c>
      <c r="F3090" s="572" t="s">
        <v>791</v>
      </c>
      <c r="G3090" s="573" t="s">
        <v>1116</v>
      </c>
      <c r="H3090" s="574" t="s">
        <v>800</v>
      </c>
      <c r="I3090" s="523">
        <v>20</v>
      </c>
      <c r="J3090" s="523">
        <v>144239.15</v>
      </c>
      <c r="K3090" s="575">
        <f t="shared" si="275"/>
        <v>2884783</v>
      </c>
      <c r="L3090" s="591" t="s">
        <v>160</v>
      </c>
      <c r="M3090" s="591" t="s">
        <v>292</v>
      </c>
      <c r="N3090" s="525" t="str">
        <f>IF(AND('331-CT'!$E$7=TH!H3090,OR(L3090="331",M3090="331")),"331",IF(AND(OR(L3090="131",M3090="131"),H3090='131-CT'!$E$7),"131",""))</f>
        <v/>
      </c>
      <c r="O3090" s="525" t="str">
        <f>IF(AND($B3090&gt;='111'!$N$11,$B3090&lt;='111'!$O$11,OR($L3090=$O$7,$M3090=$O$7)),"x","")</f>
        <v/>
      </c>
      <c r="P3090" s="525" t="str">
        <f>IF(AND($L3090=$O$7,$B3090&lt;'111'!$N$11),"x","")</f>
        <v/>
      </c>
      <c r="Q3090" s="525" t="str">
        <f>IF(AND($M3090=$O$7,$B3090&lt;'111'!$N$11),"x","")</f>
        <v/>
      </c>
      <c r="R3090" s="525" t="str">
        <f>IF(ISERROR(FIND('112'!$M$9,G3090,1)),"",IF((AND(FIND('112'!$M$9,G3090,1)&gt;=1,$B3090&gt;='112'!$N$8,$B3090&lt;='112'!$O$8,OR($L3090='112'!$I$6,$M3090='112'!$I$6))),"x",""))</f>
        <v/>
      </c>
      <c r="S3090" s="525" t="str">
        <f>IF(ISERROR(FIND('112'!$M$9,G3090,1)),"",IF((AND(LEFT(G3090,2)=LEFT('112'!$M$9,2),B3090&lt;'112'!$N$8,$L3090='112'!$I$6)),"x",""))</f>
        <v/>
      </c>
      <c r="T3090" s="525" t="str">
        <f>IF(ISERROR(FIND('112'!$M$9,G3090,1)),"",IF((AND(RIGHT(G3090,2)=RIGHT('112'!$M$9,2),B3090&lt;'112'!$N$8,$M3090='112'!$I$6)),"x",""))</f>
        <v/>
      </c>
      <c r="U3090" s="525" t="str">
        <f>IF(AND(B3090&gt;='IN-NX'!$P$3,B3090&lt;='IN-NX'!$Q$3,'IN-NX'!$D$7=D3090,OR(LEFT(L3090,2)="15",AND(LEFT(M3090,2)&lt;&gt;"15",LEFT(M3090,2)&lt;&gt;"33"))),"x","")</f>
        <v/>
      </c>
      <c r="V3090" s="525" t="str">
        <f>IF(AND(OR(LEFT(TH!L3090,2)="15",LEFT(TH!M3090,2)="15"),'152-CT'!$J$8=TH!F3090),"x","")</f>
        <v/>
      </c>
      <c r="W3090" s="525" t="str">
        <f>IF(AND(OR(LEFT(TH!L3090,2)="15",LEFT(TH!M3090,2)="15"),TK!$E$7=TH!F3090),"x","")</f>
        <v/>
      </c>
      <c r="X3090" s="525" t="str">
        <f>IF(AND('341-CT'!$E$9=H3090,OR(LEFT(L3090,3)=$X$7,LEFT(M3090,3)=$X$7)),"x","")</f>
        <v/>
      </c>
      <c r="Y3090" s="525" t="str">
        <f>IF(OR(TH!L3090=TH!$Y$7,M3090=TH!$Y$7),"x","")</f>
        <v/>
      </c>
      <c r="Z3090" s="525" t="str">
        <f>IF(AND(B3090&lt;=NKC!$N$8,B3090&gt;=NKC!$M$8),"x","")</f>
        <v/>
      </c>
      <c r="AA3090" s="526"/>
      <c r="AC3090" s="576"/>
      <c r="AD3090" s="576"/>
      <c r="AE3090" s="576"/>
    </row>
    <row r="3091" spans="1:31" s="527" customFormat="1" ht="15.75" customHeight="1">
      <c r="A3091" s="517" t="str">
        <f>IF(B3091&lt;&gt;"",IF(AND(B3091&gt;=_TM1,B3091&lt;=_TM2,OR(TH!L3091="1111",TH!M3091="1111")),TH!D3091,""),"")</f>
        <v/>
      </c>
      <c r="B3091" s="518">
        <f t="shared" si="273"/>
        <v>4</v>
      </c>
      <c r="C3091" s="571">
        <f t="shared" si="274"/>
        <v>42853</v>
      </c>
      <c r="D3091" s="519" t="s">
        <v>996</v>
      </c>
      <c r="E3091" s="571">
        <v>42853</v>
      </c>
      <c r="F3091" s="572" t="s">
        <v>652</v>
      </c>
      <c r="G3091" s="573" t="s">
        <v>1116</v>
      </c>
      <c r="H3091" s="574" t="s">
        <v>800</v>
      </c>
      <c r="I3091" s="523">
        <v>100</v>
      </c>
      <c r="J3091" s="523">
        <v>29251.17</v>
      </c>
      <c r="K3091" s="575">
        <f t="shared" si="275"/>
        <v>2925117</v>
      </c>
      <c r="L3091" s="591" t="s">
        <v>160</v>
      </c>
      <c r="M3091" s="591" t="s">
        <v>292</v>
      </c>
      <c r="N3091" s="525" t="str">
        <f>IF(AND('331-CT'!$E$7=TH!H3091,OR(L3091="331",M3091="331")),"331",IF(AND(OR(L3091="131",M3091="131"),H3091='131-CT'!$E$7),"131",""))</f>
        <v/>
      </c>
      <c r="O3091" s="525" t="str">
        <f>IF(AND($B3091&gt;='111'!$N$11,$B3091&lt;='111'!$O$11,OR($L3091=$O$7,$M3091=$O$7)),"x","")</f>
        <v/>
      </c>
      <c r="P3091" s="525" t="str">
        <f>IF(AND($L3091=$O$7,$B3091&lt;'111'!$N$11),"x","")</f>
        <v/>
      </c>
      <c r="Q3091" s="525" t="str">
        <f>IF(AND($M3091=$O$7,$B3091&lt;'111'!$N$11),"x","")</f>
        <v/>
      </c>
      <c r="R3091" s="525" t="str">
        <f>IF(ISERROR(FIND('112'!$M$9,G3091,1)),"",IF((AND(FIND('112'!$M$9,G3091,1)&gt;=1,$B3091&gt;='112'!$N$8,$B3091&lt;='112'!$O$8,OR($L3091='112'!$I$6,$M3091='112'!$I$6))),"x",""))</f>
        <v/>
      </c>
      <c r="S3091" s="525" t="str">
        <f>IF(ISERROR(FIND('112'!$M$9,G3091,1)),"",IF((AND(LEFT(G3091,2)=LEFT('112'!$M$9,2),B3091&lt;'112'!$N$8,$L3091='112'!$I$6)),"x",""))</f>
        <v/>
      </c>
      <c r="T3091" s="525" t="str">
        <f>IF(ISERROR(FIND('112'!$M$9,G3091,1)),"",IF((AND(RIGHT(G3091,2)=RIGHT('112'!$M$9,2),B3091&lt;'112'!$N$8,$M3091='112'!$I$6)),"x",""))</f>
        <v/>
      </c>
      <c r="U3091" s="525" t="str">
        <f>IF(AND(B3091&gt;='IN-NX'!$P$3,B3091&lt;='IN-NX'!$Q$3,'IN-NX'!$D$7=D3091,OR(LEFT(L3091,2)="15",AND(LEFT(M3091,2)&lt;&gt;"15",LEFT(M3091,2)&lt;&gt;"33"))),"x","")</f>
        <v/>
      </c>
      <c r="V3091" s="525" t="str">
        <f>IF(AND(OR(LEFT(TH!L3091,2)="15",LEFT(TH!M3091,2)="15"),'152-CT'!$J$8=TH!F3091),"x","")</f>
        <v/>
      </c>
      <c r="W3091" s="525" t="str">
        <f>IF(AND(OR(LEFT(TH!L3091,2)="15",LEFT(TH!M3091,2)="15"),TK!$E$7=TH!F3091),"x","")</f>
        <v/>
      </c>
      <c r="X3091" s="525" t="str">
        <f>IF(AND('341-CT'!$E$9=H3091,OR(LEFT(L3091,3)=$X$7,LEFT(M3091,3)=$X$7)),"x","")</f>
        <v/>
      </c>
      <c r="Y3091" s="525" t="str">
        <f>IF(OR(TH!L3091=TH!$Y$7,M3091=TH!$Y$7),"x","")</f>
        <v/>
      </c>
      <c r="Z3091" s="525" t="str">
        <f>IF(AND(B3091&lt;=NKC!$N$8,B3091&gt;=NKC!$M$8),"x","")</f>
        <v/>
      </c>
      <c r="AA3091" s="526"/>
      <c r="AC3091" s="576"/>
      <c r="AD3091" s="576"/>
      <c r="AE3091" s="576"/>
    </row>
    <row r="3092" spans="1:31" s="576" customFormat="1" ht="15.75" customHeight="1">
      <c r="A3092" s="517" t="str">
        <f>IF(B3092&lt;&gt;"",IF(AND(B3092&gt;=_TM1,B3092&lt;=_TM2,OR(TH!L3092="1111",TH!M3092="1111")),TH!D3092,""),"")</f>
        <v/>
      </c>
      <c r="B3092" s="518">
        <f t="shared" si="273"/>
        <v>4</v>
      </c>
      <c r="C3092" s="571">
        <f t="shared" si="274"/>
        <v>42853</v>
      </c>
      <c r="D3092" s="519" t="s">
        <v>996</v>
      </c>
      <c r="E3092" s="571">
        <v>42853</v>
      </c>
      <c r="F3092" s="577" t="s">
        <v>627</v>
      </c>
      <c r="G3092" s="573" t="s">
        <v>1116</v>
      </c>
      <c r="H3092" s="574" t="s">
        <v>800</v>
      </c>
      <c r="I3092" s="523">
        <v>50</v>
      </c>
      <c r="J3092" s="523">
        <v>52863.4</v>
      </c>
      <c r="K3092" s="575">
        <f t="shared" ref="K3092:K3114" si="276">ROUND(I3092*J3092,0)</f>
        <v>2643170</v>
      </c>
      <c r="L3092" s="591" t="s">
        <v>160</v>
      </c>
      <c r="M3092" s="591" t="s">
        <v>292</v>
      </c>
      <c r="N3092" s="525" t="str">
        <f>IF(AND('331-CT'!$E$7=TH!H3092,OR(L3092="331",M3092="331")),"331",IF(AND(OR(L3092="131",M3092="131"),H3092='131-CT'!$E$7),"131",""))</f>
        <v/>
      </c>
      <c r="O3092" s="525" t="str">
        <f>IF(AND($B3092&gt;='111'!$N$11,$B3092&lt;='111'!$O$11,OR($L3092=$O$7,$M3092=$O$7)),"x","")</f>
        <v/>
      </c>
      <c r="P3092" s="525" t="str">
        <f>IF(AND($L3092=$O$7,$B3092&lt;'111'!$N$11),"x","")</f>
        <v/>
      </c>
      <c r="Q3092" s="525" t="str">
        <f>IF(AND($M3092=$O$7,$B3092&lt;'111'!$N$11),"x","")</f>
        <v/>
      </c>
      <c r="R3092" s="525" t="str">
        <f>IF(ISERROR(FIND('112'!$M$9,G3092,1)),"",IF((AND(FIND('112'!$M$9,G3092,1)&gt;=1,$B3092&gt;='112'!$N$8,$B3092&lt;='112'!$O$8,OR($L3092='112'!$I$6,$M3092='112'!$I$6))),"x",""))</f>
        <v/>
      </c>
      <c r="S3092" s="525" t="str">
        <f>IF(ISERROR(FIND('112'!$M$9,G3092,1)),"",IF((AND(LEFT(G3092,2)=LEFT('112'!$M$9,2),B3092&lt;'112'!$N$8,$L3092='112'!$I$6)),"x",""))</f>
        <v/>
      </c>
      <c r="T3092" s="525" t="str">
        <f>IF(ISERROR(FIND('112'!$M$9,G3092,1)),"",IF((AND(RIGHT(G3092,2)=RIGHT('112'!$M$9,2),B3092&lt;'112'!$N$8,$M3092='112'!$I$6)),"x",""))</f>
        <v/>
      </c>
      <c r="U3092" s="525" t="str">
        <f>IF(AND(B3092&gt;='IN-NX'!$P$3,B3092&lt;='IN-NX'!$Q$3,'IN-NX'!$D$7=D3092,OR(LEFT(L3092,2)="15",AND(LEFT(M3092,2)&lt;&gt;"15",LEFT(M3092,2)&lt;&gt;"33"))),"x","")</f>
        <v/>
      </c>
      <c r="V3092" s="525" t="str">
        <f>IF(AND(OR(LEFT(TH!L3092,2)="15",LEFT(TH!M3092,2)="15"),'152-CT'!$J$8=TH!F3092),"x","")</f>
        <v/>
      </c>
      <c r="W3092" s="525" t="str">
        <f>IF(AND(OR(LEFT(TH!L3092,2)="15",LEFT(TH!M3092,2)="15"),TK!$E$7=TH!F3092),"x","")</f>
        <v/>
      </c>
      <c r="X3092" s="525" t="str">
        <f>IF(AND('341-CT'!$E$9=H3092,OR(LEFT(L3092,3)=$X$7,LEFT(M3092,3)=$X$7)),"x","")</f>
        <v/>
      </c>
      <c r="Y3092" s="525" t="str">
        <f>IF(OR(TH!L3092=TH!$Y$7,M3092=TH!$Y$7),"x","")</f>
        <v/>
      </c>
      <c r="Z3092" s="525" t="str">
        <f>IF(AND(B3092&lt;=NKC!$N$8,B3092&gt;=NKC!$M$8),"x","")</f>
        <v/>
      </c>
      <c r="AA3092" s="526"/>
      <c r="AB3092" s="527"/>
      <c r="AC3092" s="527"/>
      <c r="AD3092" s="527"/>
    </row>
    <row r="3093" spans="1:31" s="527" customFormat="1" ht="15.75" customHeight="1">
      <c r="A3093" s="517" t="str">
        <f>IF(B3093&lt;&gt;"",IF(AND(B3093&gt;=_TM1,B3093&lt;=_TM2,OR(TH!L3093="1111",TH!M3093="1111")),TH!D3093,""),"")</f>
        <v/>
      </c>
      <c r="B3093" s="518">
        <f t="shared" ref="B3093:B3095" si="277">IF(C3093&lt;&gt;"",MONTH(C3093),"")</f>
        <v>4</v>
      </c>
      <c r="C3093" s="571">
        <f t="shared" ref="C3093:C3095" si="278">E3093</f>
        <v>42829</v>
      </c>
      <c r="D3093" s="519" t="s">
        <v>996</v>
      </c>
      <c r="E3093" s="571">
        <v>42829</v>
      </c>
      <c r="F3093" s="572" t="s">
        <v>1217</v>
      </c>
      <c r="G3093" s="573" t="s">
        <v>1219</v>
      </c>
      <c r="H3093" s="574" t="s">
        <v>800</v>
      </c>
      <c r="I3093" s="523">
        <v>1000</v>
      </c>
      <c r="J3093" s="523">
        <v>8632.9249999999993</v>
      </c>
      <c r="K3093" s="575">
        <f t="shared" ref="K3093:K3095" si="279">ROUND(I3093*J3093,0)</f>
        <v>8632925</v>
      </c>
      <c r="L3093" s="591" t="s">
        <v>160</v>
      </c>
      <c r="M3093" s="591" t="s">
        <v>292</v>
      </c>
      <c r="N3093" s="525" t="str">
        <f>IF(AND('331-CT'!$E$7=TH!H3093,OR(L3093="331",M3093="331")),"331",IF(AND(OR(L3093="131",M3093="131"),H3093='131-CT'!$E$7),"131",""))</f>
        <v/>
      </c>
      <c r="O3093" s="525" t="str">
        <f>IF(AND($B3093&gt;='111'!$N$11,$B3093&lt;='111'!$O$11,OR($L3093=$O$7,$M3093=$O$7)),"x","")</f>
        <v/>
      </c>
      <c r="P3093" s="525" t="str">
        <f>IF(AND($L3093=$O$7,$B3093&lt;'111'!$N$11),"x","")</f>
        <v/>
      </c>
      <c r="Q3093" s="525" t="str">
        <f>IF(AND($M3093=$O$7,$B3093&lt;'111'!$N$11),"x","")</f>
        <v/>
      </c>
      <c r="R3093" s="525" t="str">
        <f>IF(ISERROR(FIND('112'!$M$9,G3093,1)),"",IF((AND(FIND('112'!$M$9,G3093,1)&gt;=1,$B3093&gt;='112'!$N$8,$B3093&lt;='112'!$O$8,OR($L3093='112'!$I$6,$M3093='112'!$I$6))),"x",""))</f>
        <v/>
      </c>
      <c r="S3093" s="525" t="str">
        <f>IF(ISERROR(FIND('112'!$M$9,G3093,1)),"",IF((AND(LEFT(G3093,2)=LEFT('112'!$M$9,2),B3093&lt;'112'!$N$8,$L3093='112'!$I$6)),"x",""))</f>
        <v/>
      </c>
      <c r="T3093" s="525" t="str">
        <f>IF(ISERROR(FIND('112'!$M$9,G3093,1)),"",IF((AND(RIGHT(G3093,2)=RIGHT('112'!$M$9,2),B3093&lt;'112'!$N$8,$M3093='112'!$I$6)),"x",""))</f>
        <v/>
      </c>
      <c r="U3093" s="525" t="str">
        <f>IF(AND(B3093&gt;='IN-NX'!$P$3,B3093&lt;='IN-NX'!$Q$3,'IN-NX'!$D$7=D3093,OR(LEFT(L3093,2)="15",AND(LEFT(M3093,2)&lt;&gt;"15",LEFT(M3093,2)&lt;&gt;"33"))),"x","")</f>
        <v/>
      </c>
      <c r="V3093" s="525" t="str">
        <f>IF(AND(OR(LEFT(TH!L3093,2)="15",LEFT(TH!M3093,2)="15"),'152-CT'!$J$8=TH!F3093),"x","")</f>
        <v/>
      </c>
      <c r="W3093" s="525" t="str">
        <f>IF(AND(OR(LEFT(TH!L3093,2)="15",LEFT(TH!M3093,2)="15"),TK!$E$7=TH!F3093),"x","")</f>
        <v/>
      </c>
      <c r="X3093" s="525" t="str">
        <f>IF(AND('341-CT'!$E$9=H3093,OR(LEFT(L3093,3)=$X$7,LEFT(M3093,3)=$X$7)),"x","")</f>
        <v/>
      </c>
      <c r="Y3093" s="525" t="str">
        <f>IF(OR(TH!L3093=TH!$Y$7,M3093=TH!$Y$7),"x","")</f>
        <v/>
      </c>
      <c r="Z3093" s="525" t="str">
        <f>IF(AND(B3093&lt;=NKC!$N$8,B3093&gt;=NKC!$M$8),"x","")</f>
        <v/>
      </c>
      <c r="AA3093" s="526"/>
      <c r="AC3093" s="576"/>
      <c r="AD3093" s="576"/>
      <c r="AE3093" s="576"/>
    </row>
    <row r="3094" spans="1:31" s="527" customFormat="1" ht="15.75" customHeight="1">
      <c r="A3094" s="517" t="str">
        <f>IF(B3094&lt;&gt;"",IF(AND(B3094&gt;=_TM1,B3094&lt;=_TM2,OR(TH!L3094="1111",TH!M3094="1111")),TH!D3094,""),"")</f>
        <v/>
      </c>
      <c r="B3094" s="518">
        <f t="shared" si="277"/>
        <v>4</v>
      </c>
      <c r="C3094" s="571">
        <f t="shared" si="278"/>
        <v>42829</v>
      </c>
      <c r="D3094" s="519" t="s">
        <v>996</v>
      </c>
      <c r="E3094" s="571">
        <v>42829</v>
      </c>
      <c r="F3094" s="572" t="s">
        <v>1217</v>
      </c>
      <c r="G3094" s="573" t="s">
        <v>1219</v>
      </c>
      <c r="H3094" s="574" t="s">
        <v>800</v>
      </c>
      <c r="I3094" s="523">
        <v>610</v>
      </c>
      <c r="J3094" s="523">
        <v>8630.3426229508204</v>
      </c>
      <c r="K3094" s="575">
        <f t="shared" si="279"/>
        <v>5264509</v>
      </c>
      <c r="L3094" s="591" t="s">
        <v>160</v>
      </c>
      <c r="M3094" s="591" t="s">
        <v>292</v>
      </c>
      <c r="N3094" s="525" t="str">
        <f>IF(AND('331-CT'!$E$7=TH!H3094,OR(L3094="331",M3094="331")),"331",IF(AND(OR(L3094="131",M3094="131"),H3094='131-CT'!$E$7),"131",""))</f>
        <v/>
      </c>
      <c r="O3094" s="525" t="str">
        <f>IF(AND($B3094&gt;='111'!$N$11,$B3094&lt;='111'!$O$11,OR($L3094=$O$7,$M3094=$O$7)),"x","")</f>
        <v/>
      </c>
      <c r="P3094" s="525" t="str">
        <f>IF(AND($L3094=$O$7,$B3094&lt;'111'!$N$11),"x","")</f>
        <v/>
      </c>
      <c r="Q3094" s="525" t="str">
        <f>IF(AND($M3094=$O$7,$B3094&lt;'111'!$N$11),"x","")</f>
        <v/>
      </c>
      <c r="R3094" s="525" t="str">
        <f>IF(ISERROR(FIND('112'!$M$9,G3094,1)),"",IF((AND(FIND('112'!$M$9,G3094,1)&gt;=1,$B3094&gt;='112'!$N$8,$B3094&lt;='112'!$O$8,OR($L3094='112'!$I$6,$M3094='112'!$I$6))),"x",""))</f>
        <v/>
      </c>
      <c r="S3094" s="525" t="str">
        <f>IF(ISERROR(FIND('112'!$M$9,G3094,1)),"",IF((AND(LEFT(G3094,2)=LEFT('112'!$M$9,2),B3094&lt;'112'!$N$8,$L3094='112'!$I$6)),"x",""))</f>
        <v/>
      </c>
      <c r="T3094" s="525" t="str">
        <f>IF(ISERROR(FIND('112'!$M$9,G3094,1)),"",IF((AND(RIGHT(G3094,2)=RIGHT('112'!$M$9,2),B3094&lt;'112'!$N$8,$M3094='112'!$I$6)),"x",""))</f>
        <v/>
      </c>
      <c r="U3094" s="525" t="str">
        <f>IF(AND(B3094&gt;='IN-NX'!$P$3,B3094&lt;='IN-NX'!$Q$3,'IN-NX'!$D$7=D3094,OR(LEFT(L3094,2)="15",AND(LEFT(M3094,2)&lt;&gt;"15",LEFT(M3094,2)&lt;&gt;"33"))),"x","")</f>
        <v/>
      </c>
      <c r="V3094" s="525" t="str">
        <f>IF(AND(OR(LEFT(TH!L3094,2)="15",LEFT(TH!M3094,2)="15"),'152-CT'!$J$8=TH!F3094),"x","")</f>
        <v/>
      </c>
      <c r="W3094" s="525" t="str">
        <f>IF(AND(OR(LEFT(TH!L3094,2)="15",LEFT(TH!M3094,2)="15"),TK!$E$7=TH!F3094),"x","")</f>
        <v/>
      </c>
      <c r="X3094" s="525" t="str">
        <f>IF(AND('341-CT'!$E$9=H3094,OR(LEFT(L3094,3)=$X$7,LEFT(M3094,3)=$X$7)),"x","")</f>
        <v/>
      </c>
      <c r="Y3094" s="525" t="str">
        <f>IF(OR(TH!L3094=TH!$Y$7,M3094=TH!$Y$7),"x","")</f>
        <v/>
      </c>
      <c r="Z3094" s="525" t="str">
        <f>IF(AND(B3094&lt;=NKC!$N$8,B3094&gt;=NKC!$M$8),"x","")</f>
        <v/>
      </c>
      <c r="AA3094" s="526"/>
      <c r="AC3094" s="576"/>
      <c r="AE3094" s="576"/>
    </row>
    <row r="3095" spans="1:31" s="527" customFormat="1" ht="15.75" customHeight="1">
      <c r="A3095" s="517" t="str">
        <f>IF(B3095&lt;&gt;"",IF(AND(B3095&gt;=_TM1,B3095&lt;=_TM2,OR(TH!L3095="1111",TH!M3095="1111")),TH!D3095,""),"")</f>
        <v/>
      </c>
      <c r="B3095" s="518">
        <f t="shared" si="277"/>
        <v>4</v>
      </c>
      <c r="C3095" s="571">
        <f t="shared" si="278"/>
        <v>42829</v>
      </c>
      <c r="D3095" s="519" t="s">
        <v>996</v>
      </c>
      <c r="E3095" s="571">
        <v>42829</v>
      </c>
      <c r="F3095" s="572" t="s">
        <v>1217</v>
      </c>
      <c r="G3095" s="573" t="s">
        <v>1219</v>
      </c>
      <c r="H3095" s="574" t="s">
        <v>800</v>
      </c>
      <c r="I3095" s="523">
        <v>420</v>
      </c>
      <c r="J3095" s="523">
        <v>8652.2119047619053</v>
      </c>
      <c r="K3095" s="575">
        <f t="shared" si="279"/>
        <v>3633929</v>
      </c>
      <c r="L3095" s="591" t="s">
        <v>160</v>
      </c>
      <c r="M3095" s="591" t="s">
        <v>292</v>
      </c>
      <c r="N3095" s="525" t="str">
        <f>IF(AND('331-CT'!$E$7=TH!H3095,OR(L3095="331",M3095="331")),"331",IF(AND(OR(L3095="131",M3095="131"),H3095='131-CT'!$E$7),"131",""))</f>
        <v/>
      </c>
      <c r="O3095" s="525" t="str">
        <f>IF(AND($B3095&gt;='111'!$N$11,$B3095&lt;='111'!$O$11,OR($L3095=$O$7,$M3095=$O$7)),"x","")</f>
        <v/>
      </c>
      <c r="P3095" s="525" t="str">
        <f>IF(AND($L3095=$O$7,$B3095&lt;'111'!$N$11),"x","")</f>
        <v/>
      </c>
      <c r="Q3095" s="525" t="str">
        <f>IF(AND($M3095=$O$7,$B3095&lt;'111'!$N$11),"x","")</f>
        <v/>
      </c>
      <c r="R3095" s="525" t="str">
        <f>IF(ISERROR(FIND('112'!$M$9,G3095,1)),"",IF((AND(FIND('112'!$M$9,G3095,1)&gt;=1,$B3095&gt;='112'!$N$8,$B3095&lt;='112'!$O$8,OR($L3095='112'!$I$6,$M3095='112'!$I$6))),"x",""))</f>
        <v/>
      </c>
      <c r="S3095" s="525" t="str">
        <f>IF(ISERROR(FIND('112'!$M$9,G3095,1)),"",IF((AND(LEFT(G3095,2)=LEFT('112'!$M$9,2),B3095&lt;'112'!$N$8,$L3095='112'!$I$6)),"x",""))</f>
        <v/>
      </c>
      <c r="T3095" s="525" t="str">
        <f>IF(ISERROR(FIND('112'!$M$9,G3095,1)),"",IF((AND(RIGHT(G3095,2)=RIGHT('112'!$M$9,2),B3095&lt;'112'!$N$8,$M3095='112'!$I$6)),"x",""))</f>
        <v/>
      </c>
      <c r="U3095" s="525" t="str">
        <f>IF(AND(B3095&gt;='IN-NX'!$P$3,B3095&lt;='IN-NX'!$Q$3,'IN-NX'!$D$7=D3095,OR(LEFT(L3095,2)="15",AND(LEFT(M3095,2)&lt;&gt;"15",LEFT(M3095,2)&lt;&gt;"33"))),"x","")</f>
        <v/>
      </c>
      <c r="V3095" s="525" t="str">
        <f>IF(AND(OR(LEFT(TH!L3095,2)="15",LEFT(TH!M3095,2)="15"),'152-CT'!$J$8=TH!F3095),"x","")</f>
        <v/>
      </c>
      <c r="W3095" s="525" t="str">
        <f>IF(AND(OR(LEFT(TH!L3095,2)="15",LEFT(TH!M3095,2)="15"),TK!$E$7=TH!F3095),"x","")</f>
        <v/>
      </c>
      <c r="X3095" s="525" t="str">
        <f>IF(AND('341-CT'!$E$9=H3095,OR(LEFT(L3095,3)=$X$7,LEFT(M3095,3)=$X$7)),"x","")</f>
        <v/>
      </c>
      <c r="Y3095" s="525" t="str">
        <f>IF(OR(TH!L3095=TH!$Y$7,M3095=TH!$Y$7),"x","")</f>
        <v/>
      </c>
      <c r="Z3095" s="525" t="str">
        <f>IF(AND(B3095&lt;=NKC!$N$8,B3095&gt;=NKC!$M$8),"x","")</f>
        <v/>
      </c>
      <c r="AA3095" s="526"/>
      <c r="AC3095" s="576"/>
      <c r="AD3095" s="576"/>
      <c r="AE3095" s="576"/>
    </row>
    <row r="3096" spans="1:31" s="527" customFormat="1" ht="15.75" customHeight="1">
      <c r="A3096" s="517" t="str">
        <f>IF(B3096&lt;&gt;"",IF(AND(B3096&gt;=_TM1,B3096&lt;=_TM2,OR(TH!L3096="1111",TH!M3096="1111")),TH!D3096,""),"")</f>
        <v/>
      </c>
      <c r="B3096" s="518">
        <f t="shared" si="273"/>
        <v>4</v>
      </c>
      <c r="C3096" s="571">
        <f t="shared" si="274"/>
        <v>42844</v>
      </c>
      <c r="D3096" s="519" t="s">
        <v>996</v>
      </c>
      <c r="E3096" s="571">
        <v>42844</v>
      </c>
      <c r="F3096" s="572" t="s">
        <v>505</v>
      </c>
      <c r="G3096" s="573" t="s">
        <v>1109</v>
      </c>
      <c r="H3096" s="574" t="s">
        <v>800</v>
      </c>
      <c r="I3096" s="523">
        <v>33</v>
      </c>
      <c r="J3096" s="523">
        <v>32080.666666666668</v>
      </c>
      <c r="K3096" s="575">
        <f t="shared" si="276"/>
        <v>1058662</v>
      </c>
      <c r="L3096" s="591" t="s">
        <v>160</v>
      </c>
      <c r="M3096" s="591" t="s">
        <v>292</v>
      </c>
      <c r="N3096" s="525" t="str">
        <f>IF(AND('331-CT'!$E$7=TH!H3096,OR(L3096="331",M3096="331")),"331",IF(AND(OR(L3096="131",M3096="131"),H3096='131-CT'!$E$7),"131",""))</f>
        <v/>
      </c>
      <c r="O3096" s="525" t="str">
        <f>IF(AND($B3096&gt;='111'!$N$11,$B3096&lt;='111'!$O$11,OR($L3096=$O$7,$M3096=$O$7)),"x","")</f>
        <v/>
      </c>
      <c r="P3096" s="525" t="str">
        <f>IF(AND($L3096=$O$7,$B3096&lt;'111'!$N$11),"x","")</f>
        <v/>
      </c>
      <c r="Q3096" s="525" t="str">
        <f>IF(AND($M3096=$O$7,$B3096&lt;'111'!$N$11),"x","")</f>
        <v/>
      </c>
      <c r="R3096" s="525" t="str">
        <f>IF(ISERROR(FIND('112'!$M$9,G3096,1)),"",IF((AND(FIND('112'!$M$9,G3096,1)&gt;=1,$B3096&gt;='112'!$N$8,$B3096&lt;='112'!$O$8,OR($L3096='112'!$I$6,$M3096='112'!$I$6))),"x",""))</f>
        <v/>
      </c>
      <c r="S3096" s="525" t="str">
        <f>IF(ISERROR(FIND('112'!$M$9,G3096,1)),"",IF((AND(LEFT(G3096,2)=LEFT('112'!$M$9,2),B3096&lt;'112'!$N$8,$L3096='112'!$I$6)),"x",""))</f>
        <v/>
      </c>
      <c r="T3096" s="525" t="str">
        <f>IF(ISERROR(FIND('112'!$M$9,G3096,1)),"",IF((AND(RIGHT(G3096,2)=RIGHT('112'!$M$9,2),B3096&lt;'112'!$N$8,$M3096='112'!$I$6)),"x",""))</f>
        <v/>
      </c>
      <c r="U3096" s="525" t="str">
        <f>IF(AND(B3096&gt;='IN-NX'!$P$3,B3096&lt;='IN-NX'!$Q$3,'IN-NX'!$D$7=D3096,OR(LEFT(L3096,2)="15",AND(LEFT(M3096,2)&lt;&gt;"15",LEFT(M3096,2)&lt;&gt;"33"))),"x","")</f>
        <v/>
      </c>
      <c r="V3096" s="525" t="str">
        <f>IF(AND(OR(LEFT(TH!L3096,2)="15",LEFT(TH!M3096,2)="15"),'152-CT'!$J$8=TH!F3096),"x","")</f>
        <v/>
      </c>
      <c r="W3096" s="525" t="str">
        <f>IF(AND(OR(LEFT(TH!L3096,2)="15",LEFT(TH!M3096,2)="15"),TK!$E$7=TH!F3096),"x","")</f>
        <v/>
      </c>
      <c r="X3096" s="525" t="str">
        <f>IF(AND('341-CT'!$E$9=H3096,OR(LEFT(L3096,3)=$X$7,LEFT(M3096,3)=$X$7)),"x","")</f>
        <v/>
      </c>
      <c r="Y3096" s="525" t="str">
        <f>IF(OR(TH!L3096=TH!$Y$7,M3096=TH!$Y$7),"x","")</f>
        <v/>
      </c>
      <c r="Z3096" s="525" t="str">
        <f>IF(AND(B3096&lt;=NKC!$N$8,B3096&gt;=NKC!$M$8),"x","")</f>
        <v/>
      </c>
      <c r="AA3096" s="526"/>
      <c r="AC3096" s="576"/>
      <c r="AD3096" s="576"/>
      <c r="AE3096" s="576"/>
    </row>
    <row r="3097" spans="1:31" s="527" customFormat="1" ht="15.75" customHeight="1">
      <c r="A3097" s="517" t="str">
        <f>IF(B3097&lt;&gt;"",IF(AND(B3097&gt;=_TM1,B3097&lt;=_TM2,OR(TH!L3097="1111",TH!M3097="1111")),TH!D3097,""),"")</f>
        <v/>
      </c>
      <c r="B3097" s="518">
        <f t="shared" si="273"/>
        <v>4</v>
      </c>
      <c r="C3097" s="571">
        <f t="shared" si="274"/>
        <v>42844</v>
      </c>
      <c r="D3097" s="519" t="s">
        <v>996</v>
      </c>
      <c r="E3097" s="571">
        <v>42844</v>
      </c>
      <c r="F3097" s="572" t="s">
        <v>505</v>
      </c>
      <c r="G3097" s="573" t="s">
        <v>1109</v>
      </c>
      <c r="H3097" s="574" t="s">
        <v>800</v>
      </c>
      <c r="I3097" s="523">
        <v>55</v>
      </c>
      <c r="J3097" s="523">
        <v>32141.8</v>
      </c>
      <c r="K3097" s="575">
        <f t="shared" si="276"/>
        <v>1767799</v>
      </c>
      <c r="L3097" s="591" t="s">
        <v>160</v>
      </c>
      <c r="M3097" s="591" t="s">
        <v>292</v>
      </c>
      <c r="N3097" s="525" t="str">
        <f>IF(AND('331-CT'!$E$7=TH!H3097,OR(L3097="331",M3097="331")),"331",IF(AND(OR(L3097="131",M3097="131"),H3097='131-CT'!$E$7),"131",""))</f>
        <v/>
      </c>
      <c r="O3097" s="525" t="str">
        <f>IF(AND($B3097&gt;='111'!$N$11,$B3097&lt;='111'!$O$11,OR($L3097=$O$7,$M3097=$O$7)),"x","")</f>
        <v/>
      </c>
      <c r="P3097" s="525" t="str">
        <f>IF(AND($L3097=$O$7,$B3097&lt;'111'!$N$11),"x","")</f>
        <v/>
      </c>
      <c r="Q3097" s="525" t="str">
        <f>IF(AND($M3097=$O$7,$B3097&lt;'111'!$N$11),"x","")</f>
        <v/>
      </c>
      <c r="R3097" s="525" t="str">
        <f>IF(ISERROR(FIND('112'!$M$9,G3097,1)),"",IF((AND(FIND('112'!$M$9,G3097,1)&gt;=1,$B3097&gt;='112'!$N$8,$B3097&lt;='112'!$O$8,OR($L3097='112'!$I$6,$M3097='112'!$I$6))),"x",""))</f>
        <v/>
      </c>
      <c r="S3097" s="525" t="str">
        <f>IF(ISERROR(FIND('112'!$M$9,G3097,1)),"",IF((AND(LEFT(G3097,2)=LEFT('112'!$M$9,2),B3097&lt;'112'!$N$8,$L3097='112'!$I$6)),"x",""))</f>
        <v/>
      </c>
      <c r="T3097" s="525" t="str">
        <f>IF(ISERROR(FIND('112'!$M$9,G3097,1)),"",IF((AND(RIGHT(G3097,2)=RIGHT('112'!$M$9,2),B3097&lt;'112'!$N$8,$M3097='112'!$I$6)),"x",""))</f>
        <v/>
      </c>
      <c r="U3097" s="525" t="str">
        <f>IF(AND(B3097&gt;='IN-NX'!$P$3,B3097&lt;='IN-NX'!$Q$3,'IN-NX'!$D$7=D3097,OR(LEFT(L3097,2)="15",AND(LEFT(M3097,2)&lt;&gt;"15",LEFT(M3097,2)&lt;&gt;"33"))),"x","")</f>
        <v/>
      </c>
      <c r="V3097" s="525" t="str">
        <f>IF(AND(OR(LEFT(TH!L3097,2)="15",LEFT(TH!M3097,2)="15"),'152-CT'!$J$8=TH!F3097),"x","")</f>
        <v/>
      </c>
      <c r="W3097" s="525" t="str">
        <f>IF(AND(OR(LEFT(TH!L3097,2)="15",LEFT(TH!M3097,2)="15"),TK!$E$7=TH!F3097),"x","")</f>
        <v/>
      </c>
      <c r="X3097" s="525" t="str">
        <f>IF(AND('341-CT'!$E$9=H3097,OR(LEFT(L3097,3)=$X$7,LEFT(M3097,3)=$X$7)),"x","")</f>
        <v/>
      </c>
      <c r="Y3097" s="525" t="str">
        <f>IF(OR(TH!L3097=TH!$Y$7,M3097=TH!$Y$7),"x","")</f>
        <v/>
      </c>
      <c r="Z3097" s="525" t="str">
        <f>IF(AND(B3097&lt;=NKC!$N$8,B3097&gt;=NKC!$M$8),"x","")</f>
        <v/>
      </c>
      <c r="AA3097" s="526"/>
      <c r="AC3097" s="576"/>
      <c r="AE3097" s="576"/>
    </row>
    <row r="3098" spans="1:31" s="527" customFormat="1" ht="15.75" customHeight="1">
      <c r="A3098" s="517" t="str">
        <f>IF(B3098&lt;&gt;"",IF(AND(B3098&gt;=_TM1,B3098&lt;=_TM2,OR(TH!L3098="1111",TH!M3098="1111")),TH!D3098,""),"")</f>
        <v/>
      </c>
      <c r="B3098" s="518">
        <f t="shared" si="273"/>
        <v>4</v>
      </c>
      <c r="C3098" s="571">
        <f t="shared" si="274"/>
        <v>42844</v>
      </c>
      <c r="D3098" s="519" t="s">
        <v>996</v>
      </c>
      <c r="E3098" s="571">
        <v>42844</v>
      </c>
      <c r="F3098" s="572" t="s">
        <v>505</v>
      </c>
      <c r="G3098" s="573" t="s">
        <v>1109</v>
      </c>
      <c r="H3098" s="574" t="s">
        <v>800</v>
      </c>
      <c r="I3098" s="523">
        <v>34</v>
      </c>
      <c r="J3098" s="523">
        <v>32344.529411764706</v>
      </c>
      <c r="K3098" s="575">
        <f t="shared" si="276"/>
        <v>1099714</v>
      </c>
      <c r="L3098" s="591" t="s">
        <v>160</v>
      </c>
      <c r="M3098" s="591" t="s">
        <v>292</v>
      </c>
      <c r="N3098" s="525" t="str">
        <f>IF(AND('331-CT'!$E$7=TH!H3098,OR(L3098="331",M3098="331")),"331",IF(AND(OR(L3098="131",M3098="131"),H3098='131-CT'!$E$7),"131",""))</f>
        <v/>
      </c>
      <c r="O3098" s="525" t="str">
        <f>IF(AND($B3098&gt;='111'!$N$11,$B3098&lt;='111'!$O$11,OR($L3098=$O$7,$M3098=$O$7)),"x","")</f>
        <v/>
      </c>
      <c r="P3098" s="525" t="str">
        <f>IF(AND($L3098=$O$7,$B3098&lt;'111'!$N$11),"x","")</f>
        <v/>
      </c>
      <c r="Q3098" s="525" t="str">
        <f>IF(AND($M3098=$O$7,$B3098&lt;'111'!$N$11),"x","")</f>
        <v/>
      </c>
      <c r="R3098" s="525" t="str">
        <f>IF(ISERROR(FIND('112'!$M$9,G3098,1)),"",IF((AND(FIND('112'!$M$9,G3098,1)&gt;=1,$B3098&gt;='112'!$N$8,$B3098&lt;='112'!$O$8,OR($L3098='112'!$I$6,$M3098='112'!$I$6))),"x",""))</f>
        <v/>
      </c>
      <c r="S3098" s="525" t="str">
        <f>IF(ISERROR(FIND('112'!$M$9,G3098,1)),"",IF((AND(LEFT(G3098,2)=LEFT('112'!$M$9,2),B3098&lt;'112'!$N$8,$L3098='112'!$I$6)),"x",""))</f>
        <v/>
      </c>
      <c r="T3098" s="525" t="str">
        <f>IF(ISERROR(FIND('112'!$M$9,G3098,1)),"",IF((AND(RIGHT(G3098,2)=RIGHT('112'!$M$9,2),B3098&lt;'112'!$N$8,$M3098='112'!$I$6)),"x",""))</f>
        <v/>
      </c>
      <c r="U3098" s="525" t="str">
        <f>IF(AND(B3098&gt;='IN-NX'!$P$3,B3098&lt;='IN-NX'!$Q$3,'IN-NX'!$D$7=D3098,OR(LEFT(L3098,2)="15",AND(LEFT(M3098,2)&lt;&gt;"15",LEFT(M3098,2)&lt;&gt;"33"))),"x","")</f>
        <v/>
      </c>
      <c r="V3098" s="525" t="str">
        <f>IF(AND(OR(LEFT(TH!L3098,2)="15",LEFT(TH!M3098,2)="15"),'152-CT'!$J$8=TH!F3098),"x","")</f>
        <v/>
      </c>
      <c r="W3098" s="525" t="str">
        <f>IF(AND(OR(LEFT(TH!L3098,2)="15",LEFT(TH!M3098,2)="15"),TK!$E$7=TH!F3098),"x","")</f>
        <v/>
      </c>
      <c r="X3098" s="525" t="str">
        <f>IF(AND('341-CT'!$E$9=H3098,OR(LEFT(L3098,3)=$X$7,LEFT(M3098,3)=$X$7)),"x","")</f>
        <v/>
      </c>
      <c r="Y3098" s="525" t="str">
        <f>IF(OR(TH!L3098=TH!$Y$7,M3098=TH!$Y$7),"x","")</f>
        <v/>
      </c>
      <c r="Z3098" s="525" t="str">
        <f>IF(AND(B3098&lt;=NKC!$N$8,B3098&gt;=NKC!$M$8),"x","")</f>
        <v/>
      </c>
      <c r="AA3098" s="526"/>
      <c r="AC3098" s="576"/>
      <c r="AD3098" s="576"/>
      <c r="AE3098" s="576"/>
    </row>
    <row r="3099" spans="1:31" s="527" customFormat="1" ht="15.75" customHeight="1">
      <c r="A3099" s="517" t="str">
        <f>IF(B3099&lt;&gt;"",IF(AND(B3099&gt;=_TM1,B3099&lt;=_TM2,OR(TH!L3099="1111",TH!M3099="1111")),TH!D3099,""),"")</f>
        <v/>
      </c>
      <c r="B3099" s="518">
        <f t="shared" si="273"/>
        <v>4</v>
      </c>
      <c r="C3099" s="571">
        <f t="shared" si="274"/>
        <v>42844</v>
      </c>
      <c r="D3099" s="519" t="s">
        <v>996</v>
      </c>
      <c r="E3099" s="571">
        <v>42844</v>
      </c>
      <c r="F3099" s="572" t="s">
        <v>505</v>
      </c>
      <c r="G3099" s="573" t="s">
        <v>1109</v>
      </c>
      <c r="H3099" s="574" t="s">
        <v>800</v>
      </c>
      <c r="I3099" s="523">
        <v>125</v>
      </c>
      <c r="J3099" s="523">
        <v>32134.047999999999</v>
      </c>
      <c r="K3099" s="575">
        <f t="shared" si="276"/>
        <v>4016756</v>
      </c>
      <c r="L3099" s="591" t="s">
        <v>160</v>
      </c>
      <c r="M3099" s="591" t="s">
        <v>292</v>
      </c>
      <c r="N3099" s="525" t="str">
        <f>IF(AND('331-CT'!$E$7=TH!H3099,OR(L3099="331",M3099="331")),"331",IF(AND(OR(L3099="131",M3099="131"),H3099='131-CT'!$E$7),"131",""))</f>
        <v/>
      </c>
      <c r="O3099" s="525" t="str">
        <f>IF(AND($B3099&gt;='111'!$N$11,$B3099&lt;='111'!$O$11,OR($L3099=$O$7,$M3099=$O$7)),"x","")</f>
        <v/>
      </c>
      <c r="P3099" s="525" t="str">
        <f>IF(AND($L3099=$O$7,$B3099&lt;'111'!$N$11),"x","")</f>
        <v/>
      </c>
      <c r="Q3099" s="525" t="str">
        <f>IF(AND($M3099=$O$7,$B3099&lt;'111'!$N$11),"x","")</f>
        <v/>
      </c>
      <c r="R3099" s="525" t="str">
        <f>IF(ISERROR(FIND('112'!$M$9,G3099,1)),"",IF((AND(FIND('112'!$M$9,G3099,1)&gt;=1,$B3099&gt;='112'!$N$8,$B3099&lt;='112'!$O$8,OR($L3099='112'!$I$6,$M3099='112'!$I$6))),"x",""))</f>
        <v/>
      </c>
      <c r="S3099" s="525" t="str">
        <f>IF(ISERROR(FIND('112'!$M$9,G3099,1)),"",IF((AND(LEFT(G3099,2)=LEFT('112'!$M$9,2),B3099&lt;'112'!$N$8,$L3099='112'!$I$6)),"x",""))</f>
        <v/>
      </c>
      <c r="T3099" s="525" t="str">
        <f>IF(ISERROR(FIND('112'!$M$9,G3099,1)),"",IF((AND(RIGHT(G3099,2)=RIGHT('112'!$M$9,2),B3099&lt;'112'!$N$8,$M3099='112'!$I$6)),"x",""))</f>
        <v/>
      </c>
      <c r="U3099" s="525" t="str">
        <f>IF(AND(B3099&gt;='IN-NX'!$P$3,B3099&lt;='IN-NX'!$Q$3,'IN-NX'!$D$7=D3099,OR(LEFT(L3099,2)="15",AND(LEFT(M3099,2)&lt;&gt;"15",LEFT(M3099,2)&lt;&gt;"33"))),"x","")</f>
        <v/>
      </c>
      <c r="V3099" s="525" t="str">
        <f>IF(AND(OR(LEFT(TH!L3099,2)="15",LEFT(TH!M3099,2)="15"),'152-CT'!$J$8=TH!F3099),"x","")</f>
        <v/>
      </c>
      <c r="W3099" s="525" t="str">
        <f>IF(AND(OR(LEFT(TH!L3099,2)="15",LEFT(TH!M3099,2)="15"),TK!$E$7=TH!F3099),"x","")</f>
        <v/>
      </c>
      <c r="X3099" s="525" t="str">
        <f>IF(AND('341-CT'!$E$9=H3099,OR(LEFT(L3099,3)=$X$7,LEFT(M3099,3)=$X$7)),"x","")</f>
        <v/>
      </c>
      <c r="Y3099" s="525" t="str">
        <f>IF(OR(TH!L3099=TH!$Y$7,M3099=TH!$Y$7),"x","")</f>
        <v/>
      </c>
      <c r="Z3099" s="525" t="str">
        <f>IF(AND(B3099&lt;=NKC!$N$8,B3099&gt;=NKC!$M$8),"x","")</f>
        <v/>
      </c>
      <c r="AA3099" s="526"/>
      <c r="AC3099" s="576"/>
      <c r="AD3099" s="576"/>
      <c r="AE3099" s="576"/>
    </row>
    <row r="3100" spans="1:31" s="527" customFormat="1" ht="15.75" customHeight="1">
      <c r="A3100" s="517" t="str">
        <f>IF(B3100&lt;&gt;"",IF(AND(B3100&gt;=_TM1,B3100&lt;=_TM2,OR(TH!L3100="1111",TH!M3100="1111")),TH!D3100,""),"")</f>
        <v/>
      </c>
      <c r="B3100" s="518">
        <f t="shared" si="273"/>
        <v>4</v>
      </c>
      <c r="C3100" s="571">
        <f t="shared" si="274"/>
        <v>42844</v>
      </c>
      <c r="D3100" s="519" t="s">
        <v>996</v>
      </c>
      <c r="E3100" s="571">
        <v>42844</v>
      </c>
      <c r="F3100" s="572" t="s">
        <v>505</v>
      </c>
      <c r="G3100" s="573" t="s">
        <v>1109</v>
      </c>
      <c r="H3100" s="574" t="s">
        <v>800</v>
      </c>
      <c r="I3100" s="523">
        <v>52</v>
      </c>
      <c r="J3100" s="523">
        <v>32249.423076923078</v>
      </c>
      <c r="K3100" s="575">
        <f t="shared" si="276"/>
        <v>1676970</v>
      </c>
      <c r="L3100" s="591" t="s">
        <v>160</v>
      </c>
      <c r="M3100" s="591" t="s">
        <v>292</v>
      </c>
      <c r="N3100" s="525" t="str">
        <f>IF(AND('331-CT'!$E$7=TH!H3100,OR(L3100="331",M3100="331")),"331",IF(AND(OR(L3100="131",M3100="131"),H3100='131-CT'!$E$7),"131",""))</f>
        <v/>
      </c>
      <c r="O3100" s="525" t="str">
        <f>IF(AND($B3100&gt;='111'!$N$11,$B3100&lt;='111'!$O$11,OR($L3100=$O$7,$M3100=$O$7)),"x","")</f>
        <v/>
      </c>
      <c r="P3100" s="525" t="str">
        <f>IF(AND($L3100=$O$7,$B3100&lt;'111'!$N$11),"x","")</f>
        <v/>
      </c>
      <c r="Q3100" s="525" t="str">
        <f>IF(AND($M3100=$O$7,$B3100&lt;'111'!$N$11),"x","")</f>
        <v/>
      </c>
      <c r="R3100" s="525" t="str">
        <f>IF(ISERROR(FIND('112'!$M$9,G3100,1)),"",IF((AND(FIND('112'!$M$9,G3100,1)&gt;=1,$B3100&gt;='112'!$N$8,$B3100&lt;='112'!$O$8,OR($L3100='112'!$I$6,$M3100='112'!$I$6))),"x",""))</f>
        <v/>
      </c>
      <c r="S3100" s="525" t="str">
        <f>IF(ISERROR(FIND('112'!$M$9,G3100,1)),"",IF((AND(LEFT(G3100,2)=LEFT('112'!$M$9,2),B3100&lt;'112'!$N$8,$L3100='112'!$I$6)),"x",""))</f>
        <v/>
      </c>
      <c r="T3100" s="525" t="str">
        <f>IF(ISERROR(FIND('112'!$M$9,G3100,1)),"",IF((AND(RIGHT(G3100,2)=RIGHT('112'!$M$9,2),B3100&lt;'112'!$N$8,$M3100='112'!$I$6)),"x",""))</f>
        <v/>
      </c>
      <c r="U3100" s="525" t="str">
        <f>IF(AND(B3100&gt;='IN-NX'!$P$3,B3100&lt;='IN-NX'!$Q$3,'IN-NX'!$D$7=D3100,OR(LEFT(L3100,2)="15",AND(LEFT(M3100,2)&lt;&gt;"15",LEFT(M3100,2)&lt;&gt;"33"))),"x","")</f>
        <v/>
      </c>
      <c r="V3100" s="525" t="str">
        <f>IF(AND(OR(LEFT(TH!L3100,2)="15",LEFT(TH!M3100,2)="15"),'152-CT'!$J$8=TH!F3100),"x","")</f>
        <v/>
      </c>
      <c r="W3100" s="525" t="str">
        <f>IF(AND(OR(LEFT(TH!L3100,2)="15",LEFT(TH!M3100,2)="15"),TK!$E$7=TH!F3100),"x","")</f>
        <v/>
      </c>
      <c r="X3100" s="525" t="str">
        <f>IF(AND('341-CT'!$E$9=H3100,OR(LEFT(L3100,3)=$X$7,LEFT(M3100,3)=$X$7)),"x","")</f>
        <v/>
      </c>
      <c r="Y3100" s="525" t="str">
        <f>IF(OR(TH!L3100=TH!$Y$7,M3100=TH!$Y$7),"x","")</f>
        <v/>
      </c>
      <c r="Z3100" s="525" t="str">
        <f>IF(AND(B3100&lt;=NKC!$N$8,B3100&gt;=NKC!$M$8),"x","")</f>
        <v/>
      </c>
      <c r="AA3100" s="526"/>
      <c r="AC3100" s="576"/>
      <c r="AD3100" s="576"/>
      <c r="AE3100" s="576"/>
    </row>
    <row r="3101" spans="1:31" s="527" customFormat="1" ht="15.75" customHeight="1">
      <c r="A3101" s="517" t="str">
        <f>IF(B3101&lt;&gt;"",IF(AND(B3101&gt;=_TM1,B3101&lt;=_TM2,OR(TH!L3101="1111",TH!M3101="1111")),TH!D3101,""),"")</f>
        <v/>
      </c>
      <c r="B3101" s="518">
        <f t="shared" si="273"/>
        <v>4</v>
      </c>
      <c r="C3101" s="571">
        <f t="shared" si="274"/>
        <v>42844</v>
      </c>
      <c r="D3101" s="519" t="s">
        <v>996</v>
      </c>
      <c r="E3101" s="571">
        <v>42844</v>
      </c>
      <c r="F3101" s="572" t="s">
        <v>505</v>
      </c>
      <c r="G3101" s="573" t="s">
        <v>1109</v>
      </c>
      <c r="H3101" s="574" t="s">
        <v>800</v>
      </c>
      <c r="I3101" s="523">
        <v>45</v>
      </c>
      <c r="J3101" s="523">
        <v>32851.666666666664</v>
      </c>
      <c r="K3101" s="575">
        <f t="shared" si="276"/>
        <v>1478325</v>
      </c>
      <c r="L3101" s="591" t="s">
        <v>160</v>
      </c>
      <c r="M3101" s="591" t="s">
        <v>292</v>
      </c>
      <c r="N3101" s="525" t="str">
        <f>IF(AND('331-CT'!$E$7=TH!H3101,OR(L3101="331",M3101="331")),"331",IF(AND(OR(L3101="131",M3101="131"),H3101='131-CT'!$E$7),"131",""))</f>
        <v/>
      </c>
      <c r="O3101" s="525" t="str">
        <f>IF(AND($B3101&gt;='111'!$N$11,$B3101&lt;='111'!$O$11,OR($L3101=$O$7,$M3101=$O$7)),"x","")</f>
        <v/>
      </c>
      <c r="P3101" s="525" t="str">
        <f>IF(AND($L3101=$O$7,$B3101&lt;'111'!$N$11),"x","")</f>
        <v/>
      </c>
      <c r="Q3101" s="525" t="str">
        <f>IF(AND($M3101=$O$7,$B3101&lt;'111'!$N$11),"x","")</f>
        <v/>
      </c>
      <c r="R3101" s="525" t="str">
        <f>IF(ISERROR(FIND('112'!$M$9,G3101,1)),"",IF((AND(FIND('112'!$M$9,G3101,1)&gt;=1,$B3101&gt;='112'!$N$8,$B3101&lt;='112'!$O$8,OR($L3101='112'!$I$6,$M3101='112'!$I$6))),"x",""))</f>
        <v/>
      </c>
      <c r="S3101" s="525" t="str">
        <f>IF(ISERROR(FIND('112'!$M$9,G3101,1)),"",IF((AND(LEFT(G3101,2)=LEFT('112'!$M$9,2),B3101&lt;'112'!$N$8,$L3101='112'!$I$6)),"x",""))</f>
        <v/>
      </c>
      <c r="T3101" s="525" t="str">
        <f>IF(ISERROR(FIND('112'!$M$9,G3101,1)),"",IF((AND(RIGHT(G3101,2)=RIGHT('112'!$M$9,2),B3101&lt;'112'!$N$8,$M3101='112'!$I$6)),"x",""))</f>
        <v/>
      </c>
      <c r="U3101" s="525" t="str">
        <f>IF(AND(B3101&gt;='IN-NX'!$P$3,B3101&lt;='IN-NX'!$Q$3,'IN-NX'!$D$7=D3101,OR(LEFT(L3101,2)="15",AND(LEFT(M3101,2)&lt;&gt;"15",LEFT(M3101,2)&lt;&gt;"33"))),"x","")</f>
        <v/>
      </c>
      <c r="V3101" s="525" t="str">
        <f>IF(AND(OR(LEFT(TH!L3101,2)="15",LEFT(TH!M3101,2)="15"),'152-CT'!$J$8=TH!F3101),"x","")</f>
        <v/>
      </c>
      <c r="W3101" s="525" t="str">
        <f>IF(AND(OR(LEFT(TH!L3101,2)="15",LEFT(TH!M3101,2)="15"),TK!$E$7=TH!F3101),"x","")</f>
        <v/>
      </c>
      <c r="X3101" s="525" t="str">
        <f>IF(AND('341-CT'!$E$9=H3101,OR(LEFT(L3101,3)=$X$7,LEFT(M3101,3)=$X$7)),"x","")</f>
        <v/>
      </c>
      <c r="Y3101" s="525" t="str">
        <f>IF(OR(TH!L3101=TH!$Y$7,M3101=TH!$Y$7),"x","")</f>
        <v/>
      </c>
      <c r="Z3101" s="525" t="str">
        <f>IF(AND(B3101&lt;=NKC!$N$8,B3101&gt;=NKC!$M$8),"x","")</f>
        <v/>
      </c>
      <c r="AA3101" s="526"/>
      <c r="AC3101" s="576"/>
      <c r="AD3101" s="576"/>
      <c r="AE3101" s="576"/>
    </row>
    <row r="3102" spans="1:31" s="527" customFormat="1" ht="15.75" customHeight="1">
      <c r="A3102" s="517" t="str">
        <f>IF(B3102&lt;&gt;"",IF(AND(B3102&gt;=_TM1,B3102&lt;=_TM2,OR(TH!L3102="1111",TH!M3102="1111")),TH!D3102,""),"")</f>
        <v/>
      </c>
      <c r="B3102" s="518">
        <f t="shared" si="273"/>
        <v>4</v>
      </c>
      <c r="C3102" s="571">
        <f t="shared" si="274"/>
        <v>42844</v>
      </c>
      <c r="D3102" s="519" t="s">
        <v>996</v>
      </c>
      <c r="E3102" s="571">
        <v>42844</v>
      </c>
      <c r="F3102" s="572" t="s">
        <v>505</v>
      </c>
      <c r="G3102" s="573" t="s">
        <v>1109</v>
      </c>
      <c r="H3102" s="574" t="s">
        <v>800</v>
      </c>
      <c r="I3102" s="523">
        <v>69</v>
      </c>
      <c r="J3102" s="523">
        <v>32293.434782608696</v>
      </c>
      <c r="K3102" s="575">
        <f t="shared" si="276"/>
        <v>2228247</v>
      </c>
      <c r="L3102" s="591" t="s">
        <v>160</v>
      </c>
      <c r="M3102" s="591" t="s">
        <v>292</v>
      </c>
      <c r="N3102" s="525" t="str">
        <f>IF(AND('331-CT'!$E$7=TH!H3102,OR(L3102="331",M3102="331")),"331",IF(AND(OR(L3102="131",M3102="131"),H3102='131-CT'!$E$7),"131",""))</f>
        <v/>
      </c>
      <c r="O3102" s="525" t="str">
        <f>IF(AND($B3102&gt;='111'!$N$11,$B3102&lt;='111'!$O$11,OR($L3102=$O$7,$M3102=$O$7)),"x","")</f>
        <v/>
      </c>
      <c r="P3102" s="525" t="str">
        <f>IF(AND($L3102=$O$7,$B3102&lt;'111'!$N$11),"x","")</f>
        <v/>
      </c>
      <c r="Q3102" s="525" t="str">
        <f>IF(AND($M3102=$O$7,$B3102&lt;'111'!$N$11),"x","")</f>
        <v/>
      </c>
      <c r="R3102" s="525" t="str">
        <f>IF(ISERROR(FIND('112'!$M$9,G3102,1)),"",IF((AND(FIND('112'!$M$9,G3102,1)&gt;=1,$B3102&gt;='112'!$N$8,$B3102&lt;='112'!$O$8,OR($L3102='112'!$I$6,$M3102='112'!$I$6))),"x",""))</f>
        <v/>
      </c>
      <c r="S3102" s="525" t="str">
        <f>IF(ISERROR(FIND('112'!$M$9,G3102,1)),"",IF((AND(LEFT(G3102,2)=LEFT('112'!$M$9,2),B3102&lt;'112'!$N$8,$L3102='112'!$I$6)),"x",""))</f>
        <v/>
      </c>
      <c r="T3102" s="525" t="str">
        <f>IF(ISERROR(FIND('112'!$M$9,G3102,1)),"",IF((AND(RIGHT(G3102,2)=RIGHT('112'!$M$9,2),B3102&lt;'112'!$N$8,$M3102='112'!$I$6)),"x",""))</f>
        <v/>
      </c>
      <c r="U3102" s="525" t="str">
        <f>IF(AND(B3102&gt;='IN-NX'!$P$3,B3102&lt;='IN-NX'!$Q$3,'IN-NX'!$D$7=D3102,OR(LEFT(L3102,2)="15",AND(LEFT(M3102,2)&lt;&gt;"15",LEFT(M3102,2)&lt;&gt;"33"))),"x","")</f>
        <v/>
      </c>
      <c r="V3102" s="525" t="str">
        <f>IF(AND(OR(LEFT(TH!L3102,2)="15",LEFT(TH!M3102,2)="15"),'152-CT'!$J$8=TH!F3102),"x","")</f>
        <v/>
      </c>
      <c r="W3102" s="525" t="str">
        <f>IF(AND(OR(LEFT(TH!L3102,2)="15",LEFT(TH!M3102,2)="15"),TK!$E$7=TH!F3102),"x","")</f>
        <v/>
      </c>
      <c r="X3102" s="525" t="str">
        <f>IF(AND('341-CT'!$E$9=H3102,OR(LEFT(L3102,3)=$X$7,LEFT(M3102,3)=$X$7)),"x","")</f>
        <v/>
      </c>
      <c r="Y3102" s="525" t="str">
        <f>IF(OR(TH!L3102=TH!$Y$7,M3102=TH!$Y$7),"x","")</f>
        <v/>
      </c>
      <c r="Z3102" s="525" t="str">
        <f>IF(AND(B3102&lt;=NKC!$N$8,B3102&gt;=NKC!$M$8),"x","")</f>
        <v/>
      </c>
      <c r="AA3102" s="526"/>
      <c r="AC3102" s="576"/>
      <c r="AD3102" s="576"/>
      <c r="AE3102" s="576"/>
    </row>
    <row r="3103" spans="1:31" s="527" customFormat="1" ht="15.75" customHeight="1">
      <c r="A3103" s="517" t="str">
        <f>IF(B3103&lt;&gt;"",IF(AND(B3103&gt;=_TM1,B3103&lt;=_TM2,OR(TH!L3103="1111",TH!M3103="1111")),TH!D3103,""),"")</f>
        <v/>
      </c>
      <c r="B3103" s="518">
        <f t="shared" si="273"/>
        <v>4</v>
      </c>
      <c r="C3103" s="571">
        <f t="shared" si="274"/>
        <v>42844</v>
      </c>
      <c r="D3103" s="519" t="s">
        <v>996</v>
      </c>
      <c r="E3103" s="571">
        <v>42844</v>
      </c>
      <c r="F3103" s="577" t="s">
        <v>505</v>
      </c>
      <c r="G3103" s="573" t="s">
        <v>1109</v>
      </c>
      <c r="H3103" s="574" t="s">
        <v>800</v>
      </c>
      <c r="I3103" s="523">
        <v>215</v>
      </c>
      <c r="J3103" s="523">
        <v>32160.948837209304</v>
      </c>
      <c r="K3103" s="575">
        <f t="shared" si="276"/>
        <v>6914604</v>
      </c>
      <c r="L3103" s="591" t="s">
        <v>160</v>
      </c>
      <c r="M3103" s="591" t="s">
        <v>292</v>
      </c>
      <c r="N3103" s="525" t="str">
        <f>IF(AND('331-CT'!$E$7=TH!H3103,OR(L3103="331",M3103="331")),"331",IF(AND(OR(L3103="131",M3103="131"),H3103='131-CT'!$E$7),"131",""))</f>
        <v/>
      </c>
      <c r="O3103" s="525" t="str">
        <f>IF(AND($B3103&gt;='111'!$N$11,$B3103&lt;='111'!$O$11,OR($L3103=$O$7,$M3103=$O$7)),"x","")</f>
        <v/>
      </c>
      <c r="P3103" s="525" t="str">
        <f>IF(AND($L3103=$O$7,$B3103&lt;'111'!$N$11),"x","")</f>
        <v/>
      </c>
      <c r="Q3103" s="525" t="str">
        <f>IF(AND($M3103=$O$7,$B3103&lt;'111'!$N$11),"x","")</f>
        <v/>
      </c>
      <c r="R3103" s="525" t="str">
        <f>IF(ISERROR(FIND('112'!$M$9,G3103,1)),"",IF((AND(FIND('112'!$M$9,G3103,1)&gt;=1,$B3103&gt;='112'!$N$8,$B3103&lt;='112'!$O$8,OR($L3103='112'!$I$6,$M3103='112'!$I$6))),"x",""))</f>
        <v/>
      </c>
      <c r="S3103" s="525" t="str">
        <f>IF(ISERROR(FIND('112'!$M$9,G3103,1)),"",IF((AND(LEFT(G3103,2)=LEFT('112'!$M$9,2),B3103&lt;'112'!$N$8,$L3103='112'!$I$6)),"x",""))</f>
        <v/>
      </c>
      <c r="T3103" s="525" t="str">
        <f>IF(ISERROR(FIND('112'!$M$9,G3103,1)),"",IF((AND(RIGHT(G3103,2)=RIGHT('112'!$M$9,2),B3103&lt;'112'!$N$8,$M3103='112'!$I$6)),"x",""))</f>
        <v/>
      </c>
      <c r="U3103" s="525" t="str">
        <f>IF(AND(B3103&gt;='IN-NX'!$P$3,B3103&lt;='IN-NX'!$Q$3,'IN-NX'!$D$7=D3103,OR(LEFT(L3103,2)="15",AND(LEFT(M3103,2)&lt;&gt;"15",LEFT(M3103,2)&lt;&gt;"33"))),"x","")</f>
        <v/>
      </c>
      <c r="V3103" s="525" t="str">
        <f>IF(AND(OR(LEFT(TH!L3103,2)="15",LEFT(TH!M3103,2)="15"),'152-CT'!$J$8=TH!F3103),"x","")</f>
        <v/>
      </c>
      <c r="W3103" s="525" t="str">
        <f>IF(AND(OR(LEFT(TH!L3103,2)="15",LEFT(TH!M3103,2)="15"),TK!$E$7=TH!F3103),"x","")</f>
        <v/>
      </c>
      <c r="X3103" s="525" t="str">
        <f>IF(AND('341-CT'!$E$9=H3103,OR(LEFT(L3103,3)=$X$7,LEFT(M3103,3)=$X$7)),"x","")</f>
        <v/>
      </c>
      <c r="Y3103" s="525" t="str">
        <f>IF(OR(TH!L3103=TH!$Y$7,M3103=TH!$Y$7),"x","")</f>
        <v/>
      </c>
      <c r="Z3103" s="525" t="str">
        <f>IF(AND(B3103&lt;=NKC!$N$8,B3103&gt;=NKC!$M$8),"x","")</f>
        <v/>
      </c>
      <c r="AA3103" s="526"/>
      <c r="AC3103" s="576"/>
      <c r="AD3103" s="576"/>
      <c r="AE3103" s="576"/>
    </row>
    <row r="3104" spans="1:31" s="527" customFormat="1" ht="15.75" customHeight="1">
      <c r="A3104" s="517" t="str">
        <f>IF(B3104&lt;&gt;"",IF(AND(B3104&gt;=_TM1,B3104&lt;=_TM2,OR(TH!L3104="1111",TH!M3104="1111")),TH!D3104,""),"")</f>
        <v/>
      </c>
      <c r="B3104" s="518">
        <f t="shared" si="273"/>
        <v>4</v>
      </c>
      <c r="C3104" s="571">
        <f t="shared" si="274"/>
        <v>42844</v>
      </c>
      <c r="D3104" s="519" t="s">
        <v>996</v>
      </c>
      <c r="E3104" s="571">
        <v>42844</v>
      </c>
      <c r="F3104" s="572" t="s">
        <v>505</v>
      </c>
      <c r="G3104" s="573" t="s">
        <v>1109</v>
      </c>
      <c r="H3104" s="574" t="s">
        <v>800</v>
      </c>
      <c r="I3104" s="523">
        <v>112</v>
      </c>
      <c r="J3104" s="523">
        <v>32149.178571428572</v>
      </c>
      <c r="K3104" s="575">
        <f t="shared" si="276"/>
        <v>3600708</v>
      </c>
      <c r="L3104" s="591" t="s">
        <v>160</v>
      </c>
      <c r="M3104" s="591" t="s">
        <v>292</v>
      </c>
      <c r="N3104" s="525" t="str">
        <f>IF(AND('331-CT'!$E$7=TH!H3104,OR(L3104="331",M3104="331")),"331",IF(AND(OR(L3104="131",M3104="131"),H3104='131-CT'!$E$7),"131",""))</f>
        <v/>
      </c>
      <c r="O3104" s="525" t="str">
        <f>IF(AND($B3104&gt;='111'!$N$11,$B3104&lt;='111'!$O$11,OR($L3104=$O$7,$M3104=$O$7)),"x","")</f>
        <v/>
      </c>
      <c r="P3104" s="525" t="str">
        <f>IF(AND($L3104=$O$7,$B3104&lt;'111'!$N$11),"x","")</f>
        <v/>
      </c>
      <c r="Q3104" s="525" t="str">
        <f>IF(AND($M3104=$O$7,$B3104&lt;'111'!$N$11),"x","")</f>
        <v/>
      </c>
      <c r="R3104" s="525" t="str">
        <f>IF(ISERROR(FIND('112'!$M$9,G3104,1)),"",IF((AND(FIND('112'!$M$9,G3104,1)&gt;=1,$B3104&gt;='112'!$N$8,$B3104&lt;='112'!$O$8,OR($L3104='112'!$I$6,$M3104='112'!$I$6))),"x",""))</f>
        <v/>
      </c>
      <c r="S3104" s="525" t="str">
        <f>IF(ISERROR(FIND('112'!$M$9,G3104,1)),"",IF((AND(LEFT(G3104,2)=LEFT('112'!$M$9,2),B3104&lt;'112'!$N$8,$L3104='112'!$I$6)),"x",""))</f>
        <v/>
      </c>
      <c r="T3104" s="525" t="str">
        <f>IF(ISERROR(FIND('112'!$M$9,G3104,1)),"",IF((AND(RIGHT(G3104,2)=RIGHT('112'!$M$9,2),B3104&lt;'112'!$N$8,$M3104='112'!$I$6)),"x",""))</f>
        <v/>
      </c>
      <c r="U3104" s="525" t="str">
        <f>IF(AND(B3104&gt;='IN-NX'!$P$3,B3104&lt;='IN-NX'!$Q$3,'IN-NX'!$D$7=D3104,OR(LEFT(L3104,2)="15",AND(LEFT(M3104,2)&lt;&gt;"15",LEFT(M3104,2)&lt;&gt;"33"))),"x","")</f>
        <v/>
      </c>
      <c r="V3104" s="525" t="str">
        <f>IF(AND(OR(LEFT(TH!L3104,2)="15",LEFT(TH!M3104,2)="15"),'152-CT'!$J$8=TH!F3104),"x","")</f>
        <v/>
      </c>
      <c r="W3104" s="525" t="str">
        <f>IF(AND(OR(LEFT(TH!L3104,2)="15",LEFT(TH!M3104,2)="15"),TK!$E$7=TH!F3104),"x","")</f>
        <v/>
      </c>
      <c r="X3104" s="525" t="str">
        <f>IF(AND('341-CT'!$E$9=H3104,OR(LEFT(L3104,3)=$X$7,LEFT(M3104,3)=$X$7)),"x","")</f>
        <v/>
      </c>
      <c r="Y3104" s="525" t="str">
        <f>IF(OR(TH!L3104=TH!$Y$7,M3104=TH!$Y$7),"x","")</f>
        <v/>
      </c>
      <c r="Z3104" s="525" t="str">
        <f>IF(AND(B3104&lt;=NKC!$N$8,B3104&gt;=NKC!$M$8),"x","")</f>
        <v/>
      </c>
      <c r="AA3104" s="526"/>
      <c r="AE3104" s="576"/>
    </row>
    <row r="3105" spans="1:31" s="527" customFormat="1" ht="15.75" customHeight="1">
      <c r="A3105" s="517" t="str">
        <f>IF(B3105&lt;&gt;"",IF(AND(B3105&gt;=_TM1,B3105&lt;=_TM2,OR(TH!L3105="1111",TH!M3105="1111")),TH!D3105,""),"")</f>
        <v/>
      </c>
      <c r="B3105" s="518">
        <f t="shared" si="273"/>
        <v>4</v>
      </c>
      <c r="C3105" s="571">
        <f t="shared" si="274"/>
        <v>42844</v>
      </c>
      <c r="D3105" s="519" t="s">
        <v>996</v>
      </c>
      <c r="E3105" s="571">
        <v>42844</v>
      </c>
      <c r="F3105" s="577" t="s">
        <v>505</v>
      </c>
      <c r="G3105" s="573" t="s">
        <v>1109</v>
      </c>
      <c r="H3105" s="574" t="s">
        <v>800</v>
      </c>
      <c r="I3105" s="523">
        <v>36</v>
      </c>
      <c r="J3105" s="523">
        <v>31111.916666666668</v>
      </c>
      <c r="K3105" s="575">
        <f t="shared" si="276"/>
        <v>1120029</v>
      </c>
      <c r="L3105" s="591" t="s">
        <v>160</v>
      </c>
      <c r="M3105" s="591" t="s">
        <v>292</v>
      </c>
      <c r="N3105" s="525" t="str">
        <f>IF(AND('331-CT'!$E$7=TH!H3105,OR(L3105="331",M3105="331")),"331",IF(AND(OR(L3105="131",M3105="131"),H3105='131-CT'!$E$7),"131",""))</f>
        <v/>
      </c>
      <c r="O3105" s="525" t="str">
        <f>IF(AND($B3105&gt;='111'!$N$11,$B3105&lt;='111'!$O$11,OR($L3105=$O$7,$M3105=$O$7)),"x","")</f>
        <v/>
      </c>
      <c r="P3105" s="525" t="str">
        <f>IF(AND($L3105=$O$7,$B3105&lt;'111'!$N$11),"x","")</f>
        <v/>
      </c>
      <c r="Q3105" s="525" t="str">
        <f>IF(AND($M3105=$O$7,$B3105&lt;'111'!$N$11),"x","")</f>
        <v/>
      </c>
      <c r="R3105" s="525" t="str">
        <f>IF(ISERROR(FIND('112'!$M$9,G3105,1)),"",IF((AND(FIND('112'!$M$9,G3105,1)&gt;=1,$B3105&gt;='112'!$N$8,$B3105&lt;='112'!$O$8,OR($L3105='112'!$I$6,$M3105='112'!$I$6))),"x",""))</f>
        <v/>
      </c>
      <c r="S3105" s="525" t="str">
        <f>IF(ISERROR(FIND('112'!$M$9,G3105,1)),"",IF((AND(LEFT(G3105,2)=LEFT('112'!$M$9,2),B3105&lt;'112'!$N$8,$L3105='112'!$I$6)),"x",""))</f>
        <v/>
      </c>
      <c r="T3105" s="525" t="str">
        <f>IF(ISERROR(FIND('112'!$M$9,G3105,1)),"",IF((AND(RIGHT(G3105,2)=RIGHT('112'!$M$9,2),B3105&lt;'112'!$N$8,$M3105='112'!$I$6)),"x",""))</f>
        <v/>
      </c>
      <c r="U3105" s="525" t="str">
        <f>IF(AND(B3105&gt;='IN-NX'!$P$3,B3105&lt;='IN-NX'!$Q$3,'IN-NX'!$D$7=D3105,OR(LEFT(L3105,2)="15",AND(LEFT(M3105,2)&lt;&gt;"15",LEFT(M3105,2)&lt;&gt;"33"))),"x","")</f>
        <v/>
      </c>
      <c r="V3105" s="525" t="str">
        <f>IF(AND(OR(LEFT(TH!L3105,2)="15",LEFT(TH!M3105,2)="15"),'152-CT'!$J$8=TH!F3105),"x","")</f>
        <v/>
      </c>
      <c r="W3105" s="525" t="str">
        <f>IF(AND(OR(LEFT(TH!L3105,2)="15",LEFT(TH!M3105,2)="15"),TK!$E$7=TH!F3105),"x","")</f>
        <v/>
      </c>
      <c r="X3105" s="525" t="str">
        <f>IF(AND('341-CT'!$E$9=H3105,OR(LEFT(L3105,3)=$X$7,LEFT(M3105,3)=$X$7)),"x","")</f>
        <v/>
      </c>
      <c r="Y3105" s="525" t="str">
        <f>IF(OR(TH!L3105=TH!$Y$7,M3105=TH!$Y$7),"x","")</f>
        <v/>
      </c>
      <c r="Z3105" s="525" t="str">
        <f>IF(AND(B3105&lt;=NKC!$N$8,B3105&gt;=NKC!$M$8),"x","")</f>
        <v/>
      </c>
      <c r="AA3105" s="526"/>
      <c r="AE3105" s="576"/>
    </row>
    <row r="3106" spans="1:31" s="527" customFormat="1" ht="15.75" customHeight="1">
      <c r="A3106" s="517" t="str">
        <f>IF(B3106&lt;&gt;"",IF(AND(B3106&gt;=_TM1,B3106&lt;=_TM2,OR(TH!L3106="1111",TH!M3106="1111")),TH!D3106,""),"")</f>
        <v/>
      </c>
      <c r="B3106" s="518">
        <f t="shared" si="273"/>
        <v>4</v>
      </c>
      <c r="C3106" s="571">
        <f t="shared" si="274"/>
        <v>42844</v>
      </c>
      <c r="D3106" s="519" t="s">
        <v>996</v>
      </c>
      <c r="E3106" s="571">
        <v>42844</v>
      </c>
      <c r="F3106" s="572" t="s">
        <v>505</v>
      </c>
      <c r="G3106" s="573" t="s">
        <v>1109</v>
      </c>
      <c r="H3106" s="574" t="s">
        <v>800</v>
      </c>
      <c r="I3106" s="523">
        <v>29</v>
      </c>
      <c r="J3106" s="523">
        <v>31656.206896551725</v>
      </c>
      <c r="K3106" s="575">
        <f t="shared" si="276"/>
        <v>918030</v>
      </c>
      <c r="L3106" s="591" t="s">
        <v>160</v>
      </c>
      <c r="M3106" s="591" t="s">
        <v>292</v>
      </c>
      <c r="N3106" s="525" t="str">
        <f>IF(AND('331-CT'!$E$7=TH!H3106,OR(L3106="331",M3106="331")),"331",IF(AND(OR(L3106="131",M3106="131"),H3106='131-CT'!$E$7),"131",""))</f>
        <v/>
      </c>
      <c r="O3106" s="525" t="str">
        <f>IF(AND($B3106&gt;='111'!$N$11,$B3106&lt;='111'!$O$11,OR($L3106=$O$7,$M3106=$O$7)),"x","")</f>
        <v/>
      </c>
      <c r="P3106" s="525" t="str">
        <f>IF(AND($L3106=$O$7,$B3106&lt;'111'!$N$11),"x","")</f>
        <v/>
      </c>
      <c r="Q3106" s="525" t="str">
        <f>IF(AND($M3106=$O$7,$B3106&lt;'111'!$N$11),"x","")</f>
        <v/>
      </c>
      <c r="R3106" s="525" t="str">
        <f>IF(ISERROR(FIND('112'!$M$9,G3106,1)),"",IF((AND(FIND('112'!$M$9,G3106,1)&gt;=1,$B3106&gt;='112'!$N$8,$B3106&lt;='112'!$O$8,OR($L3106='112'!$I$6,$M3106='112'!$I$6))),"x",""))</f>
        <v/>
      </c>
      <c r="S3106" s="525" t="str">
        <f>IF(ISERROR(FIND('112'!$M$9,G3106,1)),"",IF((AND(LEFT(G3106,2)=LEFT('112'!$M$9,2),B3106&lt;'112'!$N$8,$L3106='112'!$I$6)),"x",""))</f>
        <v/>
      </c>
      <c r="T3106" s="525" t="str">
        <f>IF(ISERROR(FIND('112'!$M$9,G3106,1)),"",IF((AND(RIGHT(G3106,2)=RIGHT('112'!$M$9,2),B3106&lt;'112'!$N$8,$M3106='112'!$I$6)),"x",""))</f>
        <v/>
      </c>
      <c r="U3106" s="525" t="str">
        <f>IF(AND(B3106&gt;='IN-NX'!$P$3,B3106&lt;='IN-NX'!$Q$3,'IN-NX'!$D$7=D3106,OR(LEFT(L3106,2)="15",AND(LEFT(M3106,2)&lt;&gt;"15",LEFT(M3106,2)&lt;&gt;"33"))),"x","")</f>
        <v/>
      </c>
      <c r="V3106" s="525" t="str">
        <f>IF(AND(OR(LEFT(TH!L3106,2)="15",LEFT(TH!M3106,2)="15"),'152-CT'!$J$8=TH!F3106),"x","")</f>
        <v/>
      </c>
      <c r="W3106" s="525" t="str">
        <f>IF(AND(OR(LEFT(TH!L3106,2)="15",LEFT(TH!M3106,2)="15"),TK!$E$7=TH!F3106),"x","")</f>
        <v/>
      </c>
      <c r="X3106" s="525" t="str">
        <f>IF(AND('341-CT'!$E$9=H3106,OR(LEFT(L3106,3)=$X$7,LEFT(M3106,3)=$X$7)),"x","")</f>
        <v/>
      </c>
      <c r="Y3106" s="525" t="str">
        <f>IF(OR(TH!L3106=TH!$Y$7,M3106=TH!$Y$7),"x","")</f>
        <v/>
      </c>
      <c r="Z3106" s="525" t="str">
        <f>IF(AND(B3106&lt;=NKC!$N$8,B3106&gt;=NKC!$M$8),"x","")</f>
        <v/>
      </c>
      <c r="AA3106" s="526"/>
      <c r="AC3106" s="576"/>
      <c r="AD3106" s="576"/>
      <c r="AE3106" s="576"/>
    </row>
    <row r="3107" spans="1:31" s="527" customFormat="1" ht="15.75" customHeight="1">
      <c r="A3107" s="517" t="str">
        <f>IF(B3107&lt;&gt;"",IF(AND(B3107&gt;=_TM1,B3107&lt;=_TM2,OR(TH!L3107="1111",TH!M3107="1111")),TH!D3107,""),"")</f>
        <v/>
      </c>
      <c r="B3107" s="518">
        <f t="shared" ref="B3107:B3114" si="280">IF(C3107&lt;&gt;"",MONTH(C3107),"")</f>
        <v>4</v>
      </c>
      <c r="C3107" s="571">
        <f t="shared" si="274"/>
        <v>42844</v>
      </c>
      <c r="D3107" s="519" t="s">
        <v>996</v>
      </c>
      <c r="E3107" s="571">
        <v>42844</v>
      </c>
      <c r="F3107" s="572" t="s">
        <v>505</v>
      </c>
      <c r="G3107" s="573" t="s">
        <v>1109</v>
      </c>
      <c r="H3107" s="574" t="s">
        <v>800</v>
      </c>
      <c r="I3107" s="523">
        <v>36</v>
      </c>
      <c r="J3107" s="523">
        <v>31852.916666666668</v>
      </c>
      <c r="K3107" s="575">
        <f t="shared" si="276"/>
        <v>1146705</v>
      </c>
      <c r="L3107" s="591" t="s">
        <v>160</v>
      </c>
      <c r="M3107" s="591" t="s">
        <v>292</v>
      </c>
      <c r="N3107" s="525" t="str">
        <f>IF(AND('331-CT'!$E$7=TH!H3107,OR(L3107="331",M3107="331")),"331",IF(AND(OR(L3107="131",M3107="131"),H3107='131-CT'!$E$7),"131",""))</f>
        <v/>
      </c>
      <c r="O3107" s="525" t="str">
        <f>IF(AND($B3107&gt;='111'!$N$11,$B3107&lt;='111'!$O$11,OR($L3107=$O$7,$M3107=$O$7)),"x","")</f>
        <v/>
      </c>
      <c r="P3107" s="525" t="str">
        <f>IF(AND($L3107=$O$7,$B3107&lt;'111'!$N$11),"x","")</f>
        <v/>
      </c>
      <c r="Q3107" s="525" t="str">
        <f>IF(AND($M3107=$O$7,$B3107&lt;'111'!$N$11),"x","")</f>
        <v/>
      </c>
      <c r="R3107" s="525" t="str">
        <f>IF(ISERROR(FIND('112'!$M$9,G3107,1)),"",IF((AND(FIND('112'!$M$9,G3107,1)&gt;=1,$B3107&gt;='112'!$N$8,$B3107&lt;='112'!$O$8,OR($L3107='112'!$I$6,$M3107='112'!$I$6))),"x",""))</f>
        <v/>
      </c>
      <c r="S3107" s="525" t="str">
        <f>IF(ISERROR(FIND('112'!$M$9,G3107,1)),"",IF((AND(LEFT(G3107,2)=LEFT('112'!$M$9,2),B3107&lt;'112'!$N$8,$L3107='112'!$I$6)),"x",""))</f>
        <v/>
      </c>
      <c r="T3107" s="525" t="str">
        <f>IF(ISERROR(FIND('112'!$M$9,G3107,1)),"",IF((AND(RIGHT(G3107,2)=RIGHT('112'!$M$9,2),B3107&lt;'112'!$N$8,$M3107='112'!$I$6)),"x",""))</f>
        <v/>
      </c>
      <c r="U3107" s="525" t="str">
        <f>IF(AND(B3107&gt;='IN-NX'!$P$3,B3107&lt;='IN-NX'!$Q$3,'IN-NX'!$D$7=D3107,OR(LEFT(L3107,2)="15",AND(LEFT(M3107,2)&lt;&gt;"15",LEFT(M3107,2)&lt;&gt;"33"))),"x","")</f>
        <v/>
      </c>
      <c r="V3107" s="525" t="str">
        <f>IF(AND(OR(LEFT(TH!L3107,2)="15",LEFT(TH!M3107,2)="15"),'152-CT'!$J$8=TH!F3107),"x","")</f>
        <v/>
      </c>
      <c r="W3107" s="525" t="str">
        <f>IF(AND(OR(LEFT(TH!L3107,2)="15",LEFT(TH!M3107,2)="15"),TK!$E$7=TH!F3107),"x","")</f>
        <v/>
      </c>
      <c r="X3107" s="525" t="str">
        <f>IF(AND('341-CT'!$E$9=H3107,OR(LEFT(L3107,3)=$X$7,LEFT(M3107,3)=$X$7)),"x","")</f>
        <v/>
      </c>
      <c r="Y3107" s="525" t="str">
        <f>IF(OR(TH!L3107=TH!$Y$7,M3107=TH!$Y$7),"x","")</f>
        <v/>
      </c>
      <c r="Z3107" s="525" t="str">
        <f>IF(AND(B3107&lt;=NKC!$N$8,B3107&gt;=NKC!$M$8),"x","")</f>
        <v/>
      </c>
      <c r="AA3107" s="526"/>
      <c r="AC3107" s="576"/>
      <c r="AD3107" s="576"/>
      <c r="AE3107" s="576"/>
    </row>
    <row r="3108" spans="1:31" s="527" customFormat="1" ht="15.75" customHeight="1">
      <c r="A3108" s="517" t="str">
        <f>IF(B3108&lt;&gt;"",IF(AND(B3108&gt;=_TM1,B3108&lt;=_TM2,OR(TH!L3108="1111",TH!M3108="1111")),TH!D3108,""),"")</f>
        <v/>
      </c>
      <c r="B3108" s="518">
        <f t="shared" si="280"/>
        <v>4</v>
      </c>
      <c r="C3108" s="571">
        <f t="shared" si="274"/>
        <v>42844</v>
      </c>
      <c r="D3108" s="519" t="s">
        <v>996</v>
      </c>
      <c r="E3108" s="571">
        <v>42844</v>
      </c>
      <c r="F3108" s="572" t="s">
        <v>505</v>
      </c>
      <c r="G3108" s="573" t="s">
        <v>1109</v>
      </c>
      <c r="H3108" s="574" t="s">
        <v>800</v>
      </c>
      <c r="I3108" s="523">
        <v>63</v>
      </c>
      <c r="J3108" s="523">
        <v>32239.5873015873</v>
      </c>
      <c r="K3108" s="575">
        <f t="shared" si="276"/>
        <v>2031094</v>
      </c>
      <c r="L3108" s="591" t="s">
        <v>160</v>
      </c>
      <c r="M3108" s="591" t="s">
        <v>292</v>
      </c>
      <c r="N3108" s="525" t="str">
        <f>IF(AND('331-CT'!$E$7=TH!H3108,OR(L3108="331",M3108="331")),"331",IF(AND(OR(L3108="131",M3108="131"),H3108='131-CT'!$E$7),"131",""))</f>
        <v/>
      </c>
      <c r="O3108" s="525" t="str">
        <f>IF(AND($B3108&gt;='111'!$N$11,$B3108&lt;='111'!$O$11,OR($L3108=$O$7,$M3108=$O$7)),"x","")</f>
        <v/>
      </c>
      <c r="P3108" s="525" t="str">
        <f>IF(AND($L3108=$O$7,$B3108&lt;'111'!$N$11),"x","")</f>
        <v/>
      </c>
      <c r="Q3108" s="525" t="str">
        <f>IF(AND($M3108=$O$7,$B3108&lt;'111'!$N$11),"x","")</f>
        <v/>
      </c>
      <c r="R3108" s="525" t="str">
        <f>IF(ISERROR(FIND('112'!$M$9,G3108,1)),"",IF((AND(FIND('112'!$M$9,G3108,1)&gt;=1,$B3108&gt;='112'!$N$8,$B3108&lt;='112'!$O$8,OR($L3108='112'!$I$6,$M3108='112'!$I$6))),"x",""))</f>
        <v/>
      </c>
      <c r="S3108" s="525" t="str">
        <f>IF(ISERROR(FIND('112'!$M$9,G3108,1)),"",IF((AND(LEFT(G3108,2)=LEFT('112'!$M$9,2),B3108&lt;'112'!$N$8,$L3108='112'!$I$6)),"x",""))</f>
        <v/>
      </c>
      <c r="T3108" s="525" t="str">
        <f>IF(ISERROR(FIND('112'!$M$9,G3108,1)),"",IF((AND(RIGHT(G3108,2)=RIGHT('112'!$M$9,2),B3108&lt;'112'!$N$8,$M3108='112'!$I$6)),"x",""))</f>
        <v/>
      </c>
      <c r="U3108" s="525" t="str">
        <f>IF(AND(B3108&gt;='IN-NX'!$P$3,B3108&lt;='IN-NX'!$Q$3,'IN-NX'!$D$7=D3108,OR(LEFT(L3108,2)="15",AND(LEFT(M3108,2)&lt;&gt;"15",LEFT(M3108,2)&lt;&gt;"33"))),"x","")</f>
        <v/>
      </c>
      <c r="V3108" s="525" t="str">
        <f>IF(AND(OR(LEFT(TH!L3108,2)="15",LEFT(TH!M3108,2)="15"),'152-CT'!$J$8=TH!F3108),"x","")</f>
        <v/>
      </c>
      <c r="W3108" s="525" t="str">
        <f>IF(AND(OR(LEFT(TH!L3108,2)="15",LEFT(TH!M3108,2)="15"),TK!$E$7=TH!F3108),"x","")</f>
        <v/>
      </c>
      <c r="X3108" s="525" t="str">
        <f>IF(AND('341-CT'!$E$9=H3108,OR(LEFT(L3108,3)=$X$7,LEFT(M3108,3)=$X$7)),"x","")</f>
        <v/>
      </c>
      <c r="Y3108" s="525" t="str">
        <f>IF(OR(TH!L3108=TH!$Y$7,M3108=TH!$Y$7),"x","")</f>
        <v/>
      </c>
      <c r="Z3108" s="525" t="str">
        <f>IF(AND(B3108&lt;=NKC!$N$8,B3108&gt;=NKC!$M$8),"x","")</f>
        <v/>
      </c>
      <c r="AA3108" s="526"/>
      <c r="AC3108" s="576"/>
      <c r="AD3108" s="576"/>
      <c r="AE3108" s="576"/>
    </row>
    <row r="3109" spans="1:31" s="527" customFormat="1" ht="15.75" customHeight="1">
      <c r="A3109" s="517" t="str">
        <f>IF(B3109&lt;&gt;"",IF(AND(B3109&gt;=_TM1,B3109&lt;=_TM2,OR(TH!L3109="1111",TH!M3109="1111")),TH!D3109,""),"")</f>
        <v/>
      </c>
      <c r="B3109" s="518">
        <f t="shared" si="280"/>
        <v>4</v>
      </c>
      <c r="C3109" s="571">
        <f t="shared" si="274"/>
        <v>42844</v>
      </c>
      <c r="D3109" s="519" t="s">
        <v>996</v>
      </c>
      <c r="E3109" s="571">
        <v>42844</v>
      </c>
      <c r="F3109" s="572" t="s">
        <v>505</v>
      </c>
      <c r="G3109" s="573" t="s">
        <v>1109</v>
      </c>
      <c r="H3109" s="574" t="s">
        <v>800</v>
      </c>
      <c r="I3109" s="523">
        <v>175</v>
      </c>
      <c r="J3109" s="523">
        <v>31934.782857142858</v>
      </c>
      <c r="K3109" s="575">
        <f t="shared" si="276"/>
        <v>5588587</v>
      </c>
      <c r="L3109" s="591" t="s">
        <v>160</v>
      </c>
      <c r="M3109" s="591" t="s">
        <v>292</v>
      </c>
      <c r="N3109" s="525" t="str">
        <f>IF(AND('331-CT'!$E$7=TH!H3109,OR(L3109="331",M3109="331")),"331",IF(AND(OR(L3109="131",M3109="131"),H3109='131-CT'!$E$7),"131",""))</f>
        <v/>
      </c>
      <c r="O3109" s="525" t="str">
        <f>IF(AND($B3109&gt;='111'!$N$11,$B3109&lt;='111'!$O$11,OR($L3109=$O$7,$M3109=$O$7)),"x","")</f>
        <v/>
      </c>
      <c r="P3109" s="525" t="str">
        <f>IF(AND($L3109=$O$7,$B3109&lt;'111'!$N$11),"x","")</f>
        <v/>
      </c>
      <c r="Q3109" s="525" t="str">
        <f>IF(AND($M3109=$O$7,$B3109&lt;'111'!$N$11),"x","")</f>
        <v/>
      </c>
      <c r="R3109" s="525" t="str">
        <f>IF(ISERROR(FIND('112'!$M$9,G3109,1)),"",IF((AND(FIND('112'!$M$9,G3109,1)&gt;=1,$B3109&gt;='112'!$N$8,$B3109&lt;='112'!$O$8,OR($L3109='112'!$I$6,$M3109='112'!$I$6))),"x",""))</f>
        <v/>
      </c>
      <c r="S3109" s="525" t="str">
        <f>IF(ISERROR(FIND('112'!$M$9,G3109,1)),"",IF((AND(LEFT(G3109,2)=LEFT('112'!$M$9,2),B3109&lt;'112'!$N$8,$L3109='112'!$I$6)),"x",""))</f>
        <v/>
      </c>
      <c r="T3109" s="525" t="str">
        <f>IF(ISERROR(FIND('112'!$M$9,G3109,1)),"",IF((AND(RIGHT(G3109,2)=RIGHT('112'!$M$9,2),B3109&lt;'112'!$N$8,$M3109='112'!$I$6)),"x",""))</f>
        <v/>
      </c>
      <c r="U3109" s="525" t="str">
        <f>IF(AND(B3109&gt;='IN-NX'!$P$3,B3109&lt;='IN-NX'!$Q$3,'IN-NX'!$D$7=D3109,OR(LEFT(L3109,2)="15",AND(LEFT(M3109,2)&lt;&gt;"15",LEFT(M3109,2)&lt;&gt;"33"))),"x","")</f>
        <v/>
      </c>
      <c r="V3109" s="525" t="str">
        <f>IF(AND(OR(LEFT(TH!L3109,2)="15",LEFT(TH!M3109,2)="15"),'152-CT'!$J$8=TH!F3109),"x","")</f>
        <v/>
      </c>
      <c r="W3109" s="525" t="str">
        <f>IF(AND(OR(LEFT(TH!L3109,2)="15",LEFT(TH!M3109,2)="15"),TK!$E$7=TH!F3109),"x","")</f>
        <v/>
      </c>
      <c r="X3109" s="525" t="str">
        <f>IF(AND('341-CT'!$E$9=H3109,OR(LEFT(L3109,3)=$X$7,LEFT(M3109,3)=$X$7)),"x","")</f>
        <v/>
      </c>
      <c r="Y3109" s="525" t="str">
        <f>IF(OR(TH!L3109=TH!$Y$7,M3109=TH!$Y$7),"x","")</f>
        <v/>
      </c>
      <c r="Z3109" s="525" t="str">
        <f>IF(AND(B3109&lt;=NKC!$N$8,B3109&gt;=NKC!$M$8),"x","")</f>
        <v/>
      </c>
      <c r="AA3109" s="526"/>
      <c r="AC3109" s="576"/>
      <c r="AD3109" s="576"/>
      <c r="AE3109" s="576"/>
    </row>
    <row r="3110" spans="1:31" s="527" customFormat="1" ht="15.75" customHeight="1">
      <c r="A3110" s="517" t="str">
        <f>IF(B3110&lt;&gt;"",IF(AND(B3110&gt;=_TM1,B3110&lt;=_TM2,OR(TH!L3110="1111",TH!M3110="1111")),TH!D3110,""),"")</f>
        <v/>
      </c>
      <c r="B3110" s="518">
        <f t="shared" si="280"/>
        <v>4</v>
      </c>
      <c r="C3110" s="571">
        <f t="shared" si="274"/>
        <v>42844</v>
      </c>
      <c r="D3110" s="519" t="s">
        <v>996</v>
      </c>
      <c r="E3110" s="571">
        <v>42844</v>
      </c>
      <c r="F3110" s="572" t="s">
        <v>505</v>
      </c>
      <c r="G3110" s="573" t="s">
        <v>1109</v>
      </c>
      <c r="H3110" s="574" t="s">
        <v>800</v>
      </c>
      <c r="I3110" s="523">
        <v>46</v>
      </c>
      <c r="J3110" s="523">
        <v>32263.58695652174</v>
      </c>
      <c r="K3110" s="575">
        <f t="shared" si="276"/>
        <v>1484125</v>
      </c>
      <c r="L3110" s="591" t="s">
        <v>160</v>
      </c>
      <c r="M3110" s="591" t="s">
        <v>292</v>
      </c>
      <c r="N3110" s="525" t="str">
        <f>IF(AND('331-CT'!$E$7=TH!H3110,OR(L3110="331",M3110="331")),"331",IF(AND(OR(L3110="131",M3110="131"),H3110='131-CT'!$E$7),"131",""))</f>
        <v/>
      </c>
      <c r="O3110" s="525" t="str">
        <f>IF(AND($B3110&gt;='111'!$N$11,$B3110&lt;='111'!$O$11,OR($L3110=$O$7,$M3110=$O$7)),"x","")</f>
        <v/>
      </c>
      <c r="P3110" s="525" t="str">
        <f>IF(AND($L3110=$O$7,$B3110&lt;'111'!$N$11),"x","")</f>
        <v/>
      </c>
      <c r="Q3110" s="525" t="str">
        <f>IF(AND($M3110=$O$7,$B3110&lt;'111'!$N$11),"x","")</f>
        <v/>
      </c>
      <c r="R3110" s="525" t="str">
        <f>IF(ISERROR(FIND('112'!$M$9,G3110,1)),"",IF((AND(FIND('112'!$M$9,G3110,1)&gt;=1,$B3110&gt;='112'!$N$8,$B3110&lt;='112'!$O$8,OR($L3110='112'!$I$6,$M3110='112'!$I$6))),"x",""))</f>
        <v/>
      </c>
      <c r="S3110" s="525" t="str">
        <f>IF(ISERROR(FIND('112'!$M$9,G3110,1)),"",IF((AND(LEFT(G3110,2)=LEFT('112'!$M$9,2),B3110&lt;'112'!$N$8,$L3110='112'!$I$6)),"x",""))</f>
        <v/>
      </c>
      <c r="T3110" s="525" t="str">
        <f>IF(ISERROR(FIND('112'!$M$9,G3110,1)),"",IF((AND(RIGHT(G3110,2)=RIGHT('112'!$M$9,2),B3110&lt;'112'!$N$8,$M3110='112'!$I$6)),"x",""))</f>
        <v/>
      </c>
      <c r="U3110" s="525" t="str">
        <f>IF(AND(B3110&gt;='IN-NX'!$P$3,B3110&lt;='IN-NX'!$Q$3,'IN-NX'!$D$7=D3110,OR(LEFT(L3110,2)="15",AND(LEFT(M3110,2)&lt;&gt;"15",LEFT(M3110,2)&lt;&gt;"33"))),"x","")</f>
        <v/>
      </c>
      <c r="V3110" s="525" t="str">
        <f>IF(AND(OR(LEFT(TH!L3110,2)="15",LEFT(TH!M3110,2)="15"),'152-CT'!$J$8=TH!F3110),"x","")</f>
        <v/>
      </c>
      <c r="W3110" s="525" t="str">
        <f>IF(AND(OR(LEFT(TH!L3110,2)="15",LEFT(TH!M3110,2)="15"),TK!$E$7=TH!F3110),"x","")</f>
        <v/>
      </c>
      <c r="X3110" s="525" t="str">
        <f>IF(AND('341-CT'!$E$9=H3110,OR(LEFT(L3110,3)=$X$7,LEFT(M3110,3)=$X$7)),"x","")</f>
        <v/>
      </c>
      <c r="Y3110" s="525" t="str">
        <f>IF(OR(TH!L3110=TH!$Y$7,M3110=TH!$Y$7),"x","")</f>
        <v/>
      </c>
      <c r="Z3110" s="525" t="str">
        <f>IF(AND(B3110&lt;=NKC!$N$8,B3110&gt;=NKC!$M$8),"x","")</f>
        <v/>
      </c>
      <c r="AA3110" s="526"/>
      <c r="AC3110" s="576"/>
      <c r="AD3110" s="576"/>
      <c r="AE3110" s="576"/>
    </row>
    <row r="3111" spans="1:31" s="527" customFormat="1" ht="15.75" customHeight="1">
      <c r="A3111" s="517" t="str">
        <f>IF(B3111&lt;&gt;"",IF(AND(B3111&gt;=_TM1,B3111&lt;=_TM2,OR(TH!L3111="1111",TH!M3111="1111")),TH!D3111,""),"")</f>
        <v/>
      </c>
      <c r="B3111" s="518">
        <f t="shared" si="280"/>
        <v>4</v>
      </c>
      <c r="C3111" s="571">
        <f t="shared" si="274"/>
        <v>42844</v>
      </c>
      <c r="D3111" s="519" t="s">
        <v>996</v>
      </c>
      <c r="E3111" s="571">
        <v>42844</v>
      </c>
      <c r="F3111" s="572" t="s">
        <v>505</v>
      </c>
      <c r="G3111" s="573" t="s">
        <v>1109</v>
      </c>
      <c r="H3111" s="574" t="s">
        <v>800</v>
      </c>
      <c r="I3111" s="523">
        <v>25</v>
      </c>
      <c r="J3111" s="523">
        <v>31596.720000000001</v>
      </c>
      <c r="K3111" s="575">
        <f t="shared" si="276"/>
        <v>789918</v>
      </c>
      <c r="L3111" s="591" t="s">
        <v>160</v>
      </c>
      <c r="M3111" s="591" t="s">
        <v>292</v>
      </c>
      <c r="N3111" s="525" t="str">
        <f>IF(AND('331-CT'!$E$7=TH!H3111,OR(L3111="331",M3111="331")),"331",IF(AND(OR(L3111="131",M3111="131"),H3111='131-CT'!$E$7),"131",""))</f>
        <v/>
      </c>
      <c r="O3111" s="525" t="str">
        <f>IF(AND($B3111&gt;='111'!$N$11,$B3111&lt;='111'!$O$11,OR($L3111=$O$7,$M3111=$O$7)),"x","")</f>
        <v/>
      </c>
      <c r="P3111" s="525" t="str">
        <f>IF(AND($L3111=$O$7,$B3111&lt;'111'!$N$11),"x","")</f>
        <v/>
      </c>
      <c r="Q3111" s="525" t="str">
        <f>IF(AND($M3111=$O$7,$B3111&lt;'111'!$N$11),"x","")</f>
        <v/>
      </c>
      <c r="R3111" s="525" t="str">
        <f>IF(ISERROR(FIND('112'!$M$9,G3111,1)),"",IF((AND(FIND('112'!$M$9,G3111,1)&gt;=1,$B3111&gt;='112'!$N$8,$B3111&lt;='112'!$O$8,OR($L3111='112'!$I$6,$M3111='112'!$I$6))),"x",""))</f>
        <v/>
      </c>
      <c r="S3111" s="525" t="str">
        <f>IF(ISERROR(FIND('112'!$M$9,G3111,1)),"",IF((AND(LEFT(G3111,2)=LEFT('112'!$M$9,2),B3111&lt;'112'!$N$8,$L3111='112'!$I$6)),"x",""))</f>
        <v/>
      </c>
      <c r="T3111" s="525" t="str">
        <f>IF(ISERROR(FIND('112'!$M$9,G3111,1)),"",IF((AND(RIGHT(G3111,2)=RIGHT('112'!$M$9,2),B3111&lt;'112'!$N$8,$M3111='112'!$I$6)),"x",""))</f>
        <v/>
      </c>
      <c r="U3111" s="525" t="str">
        <f>IF(AND(B3111&gt;='IN-NX'!$P$3,B3111&lt;='IN-NX'!$Q$3,'IN-NX'!$D$7=D3111,OR(LEFT(L3111,2)="15",AND(LEFT(M3111,2)&lt;&gt;"15",LEFT(M3111,2)&lt;&gt;"33"))),"x","")</f>
        <v/>
      </c>
      <c r="V3111" s="525" t="str">
        <f>IF(AND(OR(LEFT(TH!L3111,2)="15",LEFT(TH!M3111,2)="15"),'152-CT'!$J$8=TH!F3111),"x","")</f>
        <v/>
      </c>
      <c r="W3111" s="525" t="str">
        <f>IF(AND(OR(LEFT(TH!L3111,2)="15",LEFT(TH!M3111,2)="15"),TK!$E$7=TH!F3111),"x","")</f>
        <v/>
      </c>
      <c r="X3111" s="525" t="str">
        <f>IF(AND('341-CT'!$E$9=H3111,OR(LEFT(L3111,3)=$X$7,LEFT(M3111,3)=$X$7)),"x","")</f>
        <v/>
      </c>
      <c r="Y3111" s="525" t="str">
        <f>IF(OR(TH!L3111=TH!$Y$7,M3111=TH!$Y$7),"x","")</f>
        <v/>
      </c>
      <c r="Z3111" s="525" t="str">
        <f>IF(AND(B3111&lt;=NKC!$N$8,B3111&gt;=NKC!$M$8),"x","")</f>
        <v/>
      </c>
      <c r="AA3111" s="526"/>
      <c r="AC3111" s="576"/>
      <c r="AD3111" s="576"/>
      <c r="AE3111" s="576"/>
    </row>
    <row r="3112" spans="1:31" s="527" customFormat="1" ht="15.75" customHeight="1">
      <c r="A3112" s="517" t="str">
        <f>IF(B3112&lt;&gt;"",IF(AND(B3112&gt;=_TM1,B3112&lt;=_TM2,OR(TH!L3112="1111",TH!M3112="1111")),TH!D3112,""),"")</f>
        <v/>
      </c>
      <c r="B3112" s="518">
        <f t="shared" si="280"/>
        <v>4</v>
      </c>
      <c r="C3112" s="571">
        <f t="shared" si="274"/>
        <v>42844</v>
      </c>
      <c r="D3112" s="519" t="s">
        <v>996</v>
      </c>
      <c r="E3112" s="571">
        <v>42844</v>
      </c>
      <c r="F3112" s="572" t="s">
        <v>505</v>
      </c>
      <c r="G3112" s="573" t="s">
        <v>1109</v>
      </c>
      <c r="H3112" s="574" t="s">
        <v>800</v>
      </c>
      <c r="I3112" s="523">
        <v>25</v>
      </c>
      <c r="J3112" s="523">
        <v>32801.4</v>
      </c>
      <c r="K3112" s="575">
        <f t="shared" si="276"/>
        <v>820035</v>
      </c>
      <c r="L3112" s="591" t="s">
        <v>160</v>
      </c>
      <c r="M3112" s="591" t="s">
        <v>292</v>
      </c>
      <c r="N3112" s="525" t="str">
        <f>IF(AND('331-CT'!$E$7=TH!H3112,OR(L3112="331",M3112="331")),"331",IF(AND(OR(L3112="131",M3112="131"),H3112='131-CT'!$E$7),"131",""))</f>
        <v/>
      </c>
      <c r="O3112" s="525" t="str">
        <f>IF(AND($B3112&gt;='111'!$N$11,$B3112&lt;='111'!$O$11,OR($L3112=$O$7,$M3112=$O$7)),"x","")</f>
        <v/>
      </c>
      <c r="P3112" s="525" t="str">
        <f>IF(AND($L3112=$O$7,$B3112&lt;'111'!$N$11),"x","")</f>
        <v/>
      </c>
      <c r="Q3112" s="525" t="str">
        <f>IF(AND($M3112=$O$7,$B3112&lt;'111'!$N$11),"x","")</f>
        <v/>
      </c>
      <c r="R3112" s="525" t="str">
        <f>IF(ISERROR(FIND('112'!$M$9,G3112,1)),"",IF((AND(FIND('112'!$M$9,G3112,1)&gt;=1,$B3112&gt;='112'!$N$8,$B3112&lt;='112'!$O$8,OR($L3112='112'!$I$6,$M3112='112'!$I$6))),"x",""))</f>
        <v/>
      </c>
      <c r="S3112" s="525" t="str">
        <f>IF(ISERROR(FIND('112'!$M$9,G3112,1)),"",IF((AND(LEFT(G3112,2)=LEFT('112'!$M$9,2),B3112&lt;'112'!$N$8,$L3112='112'!$I$6)),"x",""))</f>
        <v/>
      </c>
      <c r="T3112" s="525" t="str">
        <f>IF(ISERROR(FIND('112'!$M$9,G3112,1)),"",IF((AND(RIGHT(G3112,2)=RIGHT('112'!$M$9,2),B3112&lt;'112'!$N$8,$M3112='112'!$I$6)),"x",""))</f>
        <v/>
      </c>
      <c r="U3112" s="525" t="str">
        <f>IF(AND(B3112&gt;='IN-NX'!$P$3,B3112&lt;='IN-NX'!$Q$3,'IN-NX'!$D$7=D3112,OR(LEFT(L3112,2)="15",AND(LEFT(M3112,2)&lt;&gt;"15",LEFT(M3112,2)&lt;&gt;"33"))),"x","")</f>
        <v/>
      </c>
      <c r="V3112" s="525" t="str">
        <f>IF(AND(OR(LEFT(TH!L3112,2)="15",LEFT(TH!M3112,2)="15"),'152-CT'!$J$8=TH!F3112),"x","")</f>
        <v/>
      </c>
      <c r="W3112" s="525" t="str">
        <f>IF(AND(OR(LEFT(TH!L3112,2)="15",LEFT(TH!M3112,2)="15"),TK!$E$7=TH!F3112),"x","")</f>
        <v/>
      </c>
      <c r="X3112" s="525" t="str">
        <f>IF(AND('341-CT'!$E$9=H3112,OR(LEFT(L3112,3)=$X$7,LEFT(M3112,3)=$X$7)),"x","")</f>
        <v/>
      </c>
      <c r="Y3112" s="525" t="str">
        <f>IF(OR(TH!L3112=TH!$Y$7,M3112=TH!$Y$7),"x","")</f>
        <v/>
      </c>
      <c r="Z3112" s="525" t="str">
        <f>IF(AND(B3112&lt;=NKC!$N$8,B3112&gt;=NKC!$M$8),"x","")</f>
        <v/>
      </c>
      <c r="AA3112" s="526"/>
      <c r="AC3112" s="576"/>
      <c r="AD3112" s="576"/>
      <c r="AE3112" s="576"/>
    </row>
    <row r="3113" spans="1:31" s="527" customFormat="1" ht="15.75" customHeight="1">
      <c r="A3113" s="517" t="str">
        <f>IF(B3113&lt;&gt;"",IF(AND(B3113&gt;=_TM1,B3113&lt;=_TM2,OR(TH!L3113="1111",TH!M3113="1111")),TH!D3113,""),"")</f>
        <v/>
      </c>
      <c r="B3113" s="518">
        <f t="shared" si="280"/>
        <v>4</v>
      </c>
      <c r="C3113" s="571">
        <f t="shared" si="274"/>
        <v>42851</v>
      </c>
      <c r="D3113" s="519" t="s">
        <v>996</v>
      </c>
      <c r="E3113" s="571">
        <v>42851</v>
      </c>
      <c r="F3113" s="572" t="s">
        <v>500</v>
      </c>
      <c r="G3113" s="573" t="s">
        <v>1113</v>
      </c>
      <c r="H3113" s="574" t="s">
        <v>800</v>
      </c>
      <c r="I3113" s="523">
        <v>300</v>
      </c>
      <c r="J3113" s="523">
        <v>7399.74</v>
      </c>
      <c r="K3113" s="575">
        <f t="shared" si="276"/>
        <v>2219922</v>
      </c>
      <c r="L3113" s="591" t="s">
        <v>160</v>
      </c>
      <c r="M3113" s="591" t="s">
        <v>292</v>
      </c>
      <c r="N3113" s="525" t="str">
        <f>IF(AND('331-CT'!$E$7=TH!H3113,OR(L3113="331",M3113="331")),"331",IF(AND(OR(L3113="131",M3113="131"),H3113='131-CT'!$E$7),"131",""))</f>
        <v/>
      </c>
      <c r="O3113" s="525" t="str">
        <f>IF(AND($B3113&gt;='111'!$N$11,$B3113&lt;='111'!$O$11,OR($L3113=$O$7,$M3113=$O$7)),"x","")</f>
        <v/>
      </c>
      <c r="P3113" s="525" t="str">
        <f>IF(AND($L3113=$O$7,$B3113&lt;'111'!$N$11),"x","")</f>
        <v/>
      </c>
      <c r="Q3113" s="525" t="str">
        <f>IF(AND($M3113=$O$7,$B3113&lt;'111'!$N$11),"x","")</f>
        <v/>
      </c>
      <c r="R3113" s="525" t="str">
        <f>IF(ISERROR(FIND('112'!$M$9,G3113,1)),"",IF((AND(FIND('112'!$M$9,G3113,1)&gt;=1,$B3113&gt;='112'!$N$8,$B3113&lt;='112'!$O$8,OR($L3113='112'!$I$6,$M3113='112'!$I$6))),"x",""))</f>
        <v/>
      </c>
      <c r="S3113" s="525" t="str">
        <f>IF(ISERROR(FIND('112'!$M$9,G3113,1)),"",IF((AND(LEFT(G3113,2)=LEFT('112'!$M$9,2),B3113&lt;'112'!$N$8,$L3113='112'!$I$6)),"x",""))</f>
        <v/>
      </c>
      <c r="T3113" s="525" t="str">
        <f>IF(ISERROR(FIND('112'!$M$9,G3113,1)),"",IF((AND(RIGHT(G3113,2)=RIGHT('112'!$M$9,2),B3113&lt;'112'!$N$8,$M3113='112'!$I$6)),"x",""))</f>
        <v/>
      </c>
      <c r="U3113" s="525" t="str">
        <f>IF(AND(B3113&gt;='IN-NX'!$P$3,B3113&lt;='IN-NX'!$Q$3,'IN-NX'!$D$7=D3113,OR(LEFT(L3113,2)="15",AND(LEFT(M3113,2)&lt;&gt;"15",LEFT(M3113,2)&lt;&gt;"33"))),"x","")</f>
        <v/>
      </c>
      <c r="V3113" s="525" t="str">
        <f>IF(AND(OR(LEFT(TH!L3113,2)="15",LEFT(TH!M3113,2)="15"),'152-CT'!$J$8=TH!F3113),"x","")</f>
        <v/>
      </c>
      <c r="W3113" s="525" t="str">
        <f>IF(AND(OR(LEFT(TH!L3113,2)="15",LEFT(TH!M3113,2)="15"),TK!$E$7=TH!F3113),"x","")</f>
        <v/>
      </c>
      <c r="X3113" s="525" t="str">
        <f>IF(AND('341-CT'!$E$9=H3113,OR(LEFT(L3113,3)=$X$7,LEFT(M3113,3)=$X$7)),"x","")</f>
        <v/>
      </c>
      <c r="Y3113" s="525" t="str">
        <f>IF(OR(TH!L3113=TH!$Y$7,M3113=TH!$Y$7),"x","")</f>
        <v/>
      </c>
      <c r="Z3113" s="525" t="str">
        <f>IF(AND(B3113&lt;=NKC!$N$8,B3113&gt;=NKC!$M$8),"x","")</f>
        <v/>
      </c>
      <c r="AA3113" s="526"/>
      <c r="AC3113" s="576"/>
      <c r="AD3113" s="576"/>
      <c r="AE3113" s="576"/>
    </row>
    <row r="3114" spans="1:31" s="527" customFormat="1" ht="15.75" customHeight="1">
      <c r="A3114" s="517" t="str">
        <f>IF(B3114&lt;&gt;"",IF(AND(B3114&gt;=_TM1,B3114&lt;=_TM2,OR(TH!L3114="1111",TH!M3114="1111")),TH!D3114,""),"")</f>
        <v/>
      </c>
      <c r="B3114" s="518">
        <f t="shared" si="280"/>
        <v>4</v>
      </c>
      <c r="C3114" s="571">
        <f t="shared" si="274"/>
        <v>42851</v>
      </c>
      <c r="D3114" s="519" t="s">
        <v>996</v>
      </c>
      <c r="E3114" s="571">
        <v>42851</v>
      </c>
      <c r="F3114" s="572" t="s">
        <v>1114</v>
      </c>
      <c r="G3114" s="573" t="s">
        <v>1113</v>
      </c>
      <c r="H3114" s="574" t="s">
        <v>800</v>
      </c>
      <c r="I3114" s="523">
        <v>177</v>
      </c>
      <c r="J3114" s="523">
        <v>5198.4350282485875</v>
      </c>
      <c r="K3114" s="575">
        <f t="shared" si="276"/>
        <v>920123</v>
      </c>
      <c r="L3114" s="591" t="s">
        <v>160</v>
      </c>
      <c r="M3114" s="591" t="s">
        <v>292</v>
      </c>
      <c r="N3114" s="525" t="str">
        <f>IF(AND('331-CT'!$E$7=TH!H3114,OR(L3114="331",M3114="331")),"331",IF(AND(OR(L3114="131",M3114="131"),H3114='131-CT'!$E$7),"131",""))</f>
        <v/>
      </c>
      <c r="O3114" s="525" t="str">
        <f>IF(AND($B3114&gt;='111'!$N$11,$B3114&lt;='111'!$O$11,OR($L3114=$O$7,$M3114=$O$7)),"x","")</f>
        <v/>
      </c>
      <c r="P3114" s="525" t="str">
        <f>IF(AND($L3114=$O$7,$B3114&lt;'111'!$N$11),"x","")</f>
        <v/>
      </c>
      <c r="Q3114" s="525" t="str">
        <f>IF(AND($M3114=$O$7,$B3114&lt;'111'!$N$11),"x","")</f>
        <v/>
      </c>
      <c r="R3114" s="525" t="str">
        <f>IF(ISERROR(FIND('112'!$M$9,G3114,1)),"",IF((AND(FIND('112'!$M$9,G3114,1)&gt;=1,$B3114&gt;='112'!$N$8,$B3114&lt;='112'!$O$8,OR($L3114='112'!$I$6,$M3114='112'!$I$6))),"x",""))</f>
        <v/>
      </c>
      <c r="S3114" s="525" t="str">
        <f>IF(ISERROR(FIND('112'!$M$9,G3114,1)),"",IF((AND(LEFT(G3114,2)=LEFT('112'!$M$9,2),B3114&lt;'112'!$N$8,$L3114='112'!$I$6)),"x",""))</f>
        <v/>
      </c>
      <c r="T3114" s="525" t="str">
        <f>IF(ISERROR(FIND('112'!$M$9,G3114,1)),"",IF((AND(RIGHT(G3114,2)=RIGHT('112'!$M$9,2),B3114&lt;'112'!$N$8,$M3114='112'!$I$6)),"x",""))</f>
        <v/>
      </c>
      <c r="U3114" s="525" t="str">
        <f>IF(AND(B3114&gt;='IN-NX'!$P$3,B3114&lt;='IN-NX'!$Q$3,'IN-NX'!$D$7=D3114,OR(LEFT(L3114,2)="15",AND(LEFT(M3114,2)&lt;&gt;"15",LEFT(M3114,2)&lt;&gt;"33"))),"x","")</f>
        <v/>
      </c>
      <c r="V3114" s="525" t="str">
        <f>IF(AND(OR(LEFT(TH!L3114,2)="15",LEFT(TH!M3114,2)="15"),'152-CT'!$J$8=TH!F3114),"x","")</f>
        <v/>
      </c>
      <c r="W3114" s="525" t="str">
        <f>IF(AND(OR(LEFT(TH!L3114,2)="15",LEFT(TH!M3114,2)="15"),TK!$E$7=TH!F3114),"x","")</f>
        <v/>
      </c>
      <c r="X3114" s="525" t="str">
        <f>IF(AND('341-CT'!$E$9=H3114,OR(LEFT(L3114,3)=$X$7,LEFT(M3114,3)=$X$7)),"x","")</f>
        <v/>
      </c>
      <c r="Y3114" s="525" t="str">
        <f>IF(OR(TH!L3114=TH!$Y$7,M3114=TH!$Y$7),"x","")</f>
        <v/>
      </c>
      <c r="Z3114" s="525" t="str">
        <f>IF(AND(B3114&lt;=NKC!$N$8,B3114&gt;=NKC!$M$8),"x","")</f>
        <v/>
      </c>
      <c r="AA3114" s="526"/>
      <c r="AC3114" s="576"/>
      <c r="AD3114" s="576"/>
      <c r="AE3114" s="576"/>
    </row>
    <row r="3115" spans="1:31" s="570" customFormat="1" ht="15.75" customHeight="1">
      <c r="A3115" s="517" t="str">
        <f>IF(B3115&lt;&gt;"",IF(AND(B3115&gt;=_TM1,B3115&lt;=_TM2,OR(TH!L3115="1111",TH!M3115="1111")),TH!D3115,""),"")</f>
        <v/>
      </c>
      <c r="B3115" s="562">
        <f t="shared" ref="B3115:B3138" si="281">IF(C3115&lt;&gt;"",MONTH(C3115),"")</f>
        <v>5</v>
      </c>
      <c r="C3115" s="563">
        <f t="shared" ref="C3115:C3157" si="282">E3115</f>
        <v>42873</v>
      </c>
      <c r="D3115" s="563" t="s">
        <v>996</v>
      </c>
      <c r="E3115" s="563">
        <v>42873</v>
      </c>
      <c r="F3115" s="712" t="s">
        <v>274</v>
      </c>
      <c r="G3115" s="565" t="s">
        <v>1128</v>
      </c>
      <c r="H3115" s="566" t="s">
        <v>800</v>
      </c>
      <c r="I3115" s="567">
        <v>2190</v>
      </c>
      <c r="J3115" s="567">
        <v>18350</v>
      </c>
      <c r="K3115" s="568">
        <f t="shared" ref="K3115:K3146" si="283">ROUND(I3115*J3115,0)</f>
        <v>40186500</v>
      </c>
      <c r="L3115" s="713" t="s">
        <v>160</v>
      </c>
      <c r="M3115" s="713" t="s">
        <v>292</v>
      </c>
      <c r="N3115" s="525" t="str">
        <f>IF(AND('331-CT'!$E$7=TH!H3115,OR(L3115="331",M3115="331")),"331",IF(AND(OR(L3115="131",M3115="131"),H3115='131-CT'!$E$7),"131",""))</f>
        <v/>
      </c>
      <c r="O3115" s="525" t="str">
        <f>IF(AND($B3115&gt;='111'!$N$11,$B3115&lt;='111'!$O$11,OR($L3115=$O$7,$M3115=$O$7)),"x","")</f>
        <v/>
      </c>
      <c r="P3115" s="525" t="str">
        <f>IF(AND($L3115=$O$7,$B3115&lt;'111'!$N$11),"x","")</f>
        <v/>
      </c>
      <c r="Q3115" s="525" t="str">
        <f>IF(AND($M3115=$O$7,$B3115&lt;'111'!$N$11),"x","")</f>
        <v/>
      </c>
      <c r="R3115" s="525" t="str">
        <f>IF(ISERROR(FIND('112'!$M$9,G3115,1)),"",IF((AND(FIND('112'!$M$9,G3115,1)&gt;=1,$B3115&gt;='112'!$N$8,$B3115&lt;='112'!$O$8,OR($L3115='112'!$I$6,$M3115='112'!$I$6))),"x",""))</f>
        <v/>
      </c>
      <c r="S3115" s="525" t="str">
        <f>IF(ISERROR(FIND('112'!$M$9,G3115,1)),"",IF((AND(LEFT(G3115,2)=LEFT('112'!$M$9,2),B3115&lt;'112'!$N$8,$L3115='112'!$I$6)),"x",""))</f>
        <v/>
      </c>
      <c r="T3115" s="525" t="str">
        <f>IF(ISERROR(FIND('112'!$M$9,G3115,1)),"",IF((AND(RIGHT(G3115,2)=RIGHT('112'!$M$9,2),B3115&lt;'112'!$N$8,$M3115='112'!$I$6)),"x",""))</f>
        <v/>
      </c>
      <c r="U3115" s="525" t="str">
        <f>IF(AND(B3115&gt;='IN-NX'!$P$3,B3115&lt;='IN-NX'!$Q$3,'IN-NX'!$D$7=D3115,OR(LEFT(L3115,2)="15",AND(LEFT(M3115,2)&lt;&gt;"15",LEFT(M3115,2)&lt;&gt;"33"))),"x","")</f>
        <v/>
      </c>
      <c r="V3115" s="525" t="str">
        <f>IF(AND(OR(LEFT(TH!L3115,2)="15",LEFT(TH!M3115,2)="15"),'152-CT'!$J$8=TH!F3115),"x","")</f>
        <v/>
      </c>
      <c r="W3115" s="525" t="str">
        <f>IF(AND(OR(LEFT(TH!L3115,2)="15",LEFT(TH!M3115,2)="15"),TK!$E$7=TH!F3115),"x","")</f>
        <v>x</v>
      </c>
      <c r="X3115" s="525" t="str">
        <f>IF(AND('341-CT'!$E$9=H3115,OR(LEFT(L3115,3)=$X$7,LEFT(M3115,3)=$X$7)),"x","")</f>
        <v/>
      </c>
      <c r="Y3115" s="525" t="str">
        <f>IF(OR(TH!L3115=TH!$Y$7,M3115=TH!$Y$7),"x","")</f>
        <v/>
      </c>
      <c r="Z3115" s="525" t="str">
        <f>IF(AND(B3115&lt;=NKC!$N$8,B3115&gt;=NKC!$M$8),"x","")</f>
        <v/>
      </c>
      <c r="AA3115" s="569"/>
      <c r="AB3115" s="589"/>
    </row>
    <row r="3116" spans="1:31" s="576" customFormat="1" ht="15.75" customHeight="1">
      <c r="A3116" s="517" t="str">
        <f>IF(B3116&lt;&gt;"",IF(AND(B3116&gt;=_TM1,B3116&lt;=_TM2,OR(TH!L3116="1111",TH!M3116="1111")),TH!D3116,""),"")</f>
        <v/>
      </c>
      <c r="B3116" s="518">
        <f t="shared" si="281"/>
        <v>5</v>
      </c>
      <c r="C3116" s="571">
        <f t="shared" si="282"/>
        <v>42873</v>
      </c>
      <c r="D3116" s="571" t="s">
        <v>996</v>
      </c>
      <c r="E3116" s="571">
        <v>42873</v>
      </c>
      <c r="F3116" s="520" t="s">
        <v>274</v>
      </c>
      <c r="G3116" s="573" t="s">
        <v>1128</v>
      </c>
      <c r="H3116" s="574" t="s">
        <v>800</v>
      </c>
      <c r="I3116" s="523">
        <v>810</v>
      </c>
      <c r="J3116" s="523">
        <v>18496.3</v>
      </c>
      <c r="K3116" s="575">
        <f t="shared" si="283"/>
        <v>14982003</v>
      </c>
      <c r="L3116" s="525" t="s">
        <v>160</v>
      </c>
      <c r="M3116" s="525" t="s">
        <v>292</v>
      </c>
      <c r="N3116" s="525" t="str">
        <f>IF(AND('331-CT'!$E$7=TH!H3116,OR(L3116="331",M3116="331")),"331",IF(AND(OR(L3116="131",M3116="131"),H3116='131-CT'!$E$7),"131",""))</f>
        <v/>
      </c>
      <c r="O3116" s="525" t="str">
        <f>IF(AND($B3116&gt;='111'!$N$11,$B3116&lt;='111'!$O$11,OR($L3116=$O$7,$M3116=$O$7)),"x","")</f>
        <v/>
      </c>
      <c r="P3116" s="525" t="str">
        <f>IF(AND($L3116=$O$7,$B3116&lt;'111'!$N$11),"x","")</f>
        <v/>
      </c>
      <c r="Q3116" s="525" t="str">
        <f>IF(AND($M3116=$O$7,$B3116&lt;'111'!$N$11),"x","")</f>
        <v/>
      </c>
      <c r="R3116" s="525" t="str">
        <f>IF(ISERROR(FIND('112'!$M$9,G3116,1)),"",IF((AND(FIND('112'!$M$9,G3116,1)&gt;=1,$B3116&gt;='112'!$N$8,$B3116&lt;='112'!$O$8,OR($L3116='112'!$I$6,$M3116='112'!$I$6))),"x",""))</f>
        <v/>
      </c>
      <c r="S3116" s="525" t="str">
        <f>IF(ISERROR(FIND('112'!$M$9,G3116,1)),"",IF((AND(LEFT(G3116,2)=LEFT('112'!$M$9,2),B3116&lt;'112'!$N$8,$L3116='112'!$I$6)),"x",""))</f>
        <v/>
      </c>
      <c r="T3116" s="525" t="str">
        <f>IF(ISERROR(FIND('112'!$M$9,G3116,1)),"",IF((AND(RIGHT(G3116,2)=RIGHT('112'!$M$9,2),B3116&lt;'112'!$N$8,$M3116='112'!$I$6)),"x",""))</f>
        <v/>
      </c>
      <c r="U3116" s="525" t="str">
        <f>IF(AND(B3116&gt;='IN-NX'!$P$3,B3116&lt;='IN-NX'!$Q$3,'IN-NX'!$D$7=D3116,OR(LEFT(L3116,2)="15",AND(LEFT(M3116,2)&lt;&gt;"15",LEFT(M3116,2)&lt;&gt;"33"))),"x","")</f>
        <v/>
      </c>
      <c r="V3116" s="525" t="str">
        <f>IF(AND(OR(LEFT(TH!L3116,2)="15",LEFT(TH!M3116,2)="15"),'152-CT'!$J$8=TH!F3116),"x","")</f>
        <v/>
      </c>
      <c r="W3116" s="525" t="str">
        <f>IF(AND(OR(LEFT(TH!L3116,2)="15",LEFT(TH!M3116,2)="15"),TK!$E$7=TH!F3116),"x","")</f>
        <v>x</v>
      </c>
      <c r="X3116" s="525" t="str">
        <f>IF(AND('341-CT'!$E$9=H3116,OR(LEFT(L3116,3)=$X$7,LEFT(M3116,3)=$X$7)),"x","")</f>
        <v/>
      </c>
      <c r="Y3116" s="525" t="str">
        <f>IF(OR(TH!L3116=TH!$Y$7,M3116=TH!$Y$7),"x","")</f>
        <v/>
      </c>
      <c r="Z3116" s="525" t="str">
        <f>IF(AND(B3116&lt;=NKC!$N$8,B3116&gt;=NKC!$M$8),"x","")</f>
        <v/>
      </c>
      <c r="AA3116" s="526"/>
      <c r="AB3116" s="527"/>
    </row>
    <row r="3117" spans="1:31" s="576" customFormat="1" ht="15.75" customHeight="1">
      <c r="A3117" s="517" t="str">
        <f>IF(B3117&lt;&gt;"",IF(AND(B3117&gt;=_TM1,B3117&lt;=_TM2,OR(TH!L3117="1111",TH!M3117="1111")),TH!D3117,""),"")</f>
        <v/>
      </c>
      <c r="B3117" s="518">
        <f t="shared" si="281"/>
        <v>5</v>
      </c>
      <c r="C3117" s="571">
        <f t="shared" si="282"/>
        <v>42873</v>
      </c>
      <c r="D3117" s="571" t="s">
        <v>996</v>
      </c>
      <c r="E3117" s="571">
        <v>42873</v>
      </c>
      <c r="F3117" s="572" t="s">
        <v>273</v>
      </c>
      <c r="G3117" s="573" t="s">
        <v>1128</v>
      </c>
      <c r="H3117" s="574" t="s">
        <v>800</v>
      </c>
      <c r="I3117" s="523">
        <v>2170</v>
      </c>
      <c r="J3117" s="523">
        <v>18350</v>
      </c>
      <c r="K3117" s="575">
        <f t="shared" si="283"/>
        <v>39819500</v>
      </c>
      <c r="L3117" s="591" t="s">
        <v>160</v>
      </c>
      <c r="M3117" s="591" t="s">
        <v>292</v>
      </c>
      <c r="N3117" s="525" t="str">
        <f>IF(AND('331-CT'!$E$7=TH!H3117,OR(L3117="331",M3117="331")),"331",IF(AND(OR(L3117="131",M3117="131"),H3117='131-CT'!$E$7),"131",""))</f>
        <v/>
      </c>
      <c r="O3117" s="525" t="str">
        <f>IF(AND($B3117&gt;='111'!$N$11,$B3117&lt;='111'!$O$11,OR($L3117=$O$7,$M3117=$O$7)),"x","")</f>
        <v/>
      </c>
      <c r="P3117" s="525" t="str">
        <f>IF(AND($L3117=$O$7,$B3117&lt;'111'!$N$11),"x","")</f>
        <v/>
      </c>
      <c r="Q3117" s="525" t="str">
        <f>IF(AND($M3117=$O$7,$B3117&lt;'111'!$N$11),"x","")</f>
        <v/>
      </c>
      <c r="R3117" s="525" t="str">
        <f>IF(ISERROR(FIND('112'!$M$9,G3117,1)),"",IF((AND(FIND('112'!$M$9,G3117,1)&gt;=1,$B3117&gt;='112'!$N$8,$B3117&lt;='112'!$O$8,OR($L3117='112'!$I$6,$M3117='112'!$I$6))),"x",""))</f>
        <v/>
      </c>
      <c r="S3117" s="525" t="str">
        <f>IF(ISERROR(FIND('112'!$M$9,G3117,1)),"",IF((AND(LEFT(G3117,2)=LEFT('112'!$M$9,2),B3117&lt;'112'!$N$8,$L3117='112'!$I$6)),"x",""))</f>
        <v/>
      </c>
      <c r="T3117" s="525" t="str">
        <f>IF(ISERROR(FIND('112'!$M$9,G3117,1)),"",IF((AND(RIGHT(G3117,2)=RIGHT('112'!$M$9,2),B3117&lt;'112'!$N$8,$M3117='112'!$I$6)),"x",""))</f>
        <v/>
      </c>
      <c r="U3117" s="525" t="str">
        <f>IF(AND(B3117&gt;='IN-NX'!$P$3,B3117&lt;='IN-NX'!$Q$3,'IN-NX'!$D$7=D3117,OR(LEFT(L3117,2)="15",AND(LEFT(M3117,2)&lt;&gt;"15",LEFT(M3117,2)&lt;&gt;"33"))),"x","")</f>
        <v/>
      </c>
      <c r="V3117" s="525" t="str">
        <f>IF(AND(OR(LEFT(TH!L3117,2)="15",LEFT(TH!M3117,2)="15"),'152-CT'!$J$8=TH!F3117),"x","")</f>
        <v>x</v>
      </c>
      <c r="W3117" s="525" t="str">
        <f>IF(AND(OR(LEFT(TH!L3117,2)="15",LEFT(TH!M3117,2)="15"),TK!$E$7=TH!F3117),"x","")</f>
        <v/>
      </c>
      <c r="X3117" s="525" t="str">
        <f>IF(AND('341-CT'!$E$9=H3117,OR(LEFT(L3117,3)=$X$7,LEFT(M3117,3)=$X$7)),"x","")</f>
        <v/>
      </c>
      <c r="Y3117" s="525" t="str">
        <f>IF(OR(TH!L3117=TH!$Y$7,M3117=TH!$Y$7),"x","")</f>
        <v/>
      </c>
      <c r="Z3117" s="525" t="str">
        <f>IF(AND(B3117&lt;=NKC!$N$8,B3117&gt;=NKC!$M$8),"x","")</f>
        <v/>
      </c>
      <c r="AA3117" s="526"/>
      <c r="AB3117" s="527"/>
    </row>
    <row r="3118" spans="1:31" s="576" customFormat="1" ht="15.75" customHeight="1">
      <c r="A3118" s="517" t="str">
        <f>IF(B3118&lt;&gt;"",IF(AND(B3118&gt;=_TM1,B3118&lt;=_TM2,OR(TH!L3118="1111",TH!M3118="1111")),TH!D3118,""),"")</f>
        <v/>
      </c>
      <c r="B3118" s="518">
        <f t="shared" si="281"/>
        <v>5</v>
      </c>
      <c r="C3118" s="571">
        <f t="shared" si="282"/>
        <v>42873</v>
      </c>
      <c r="D3118" s="571" t="s">
        <v>996</v>
      </c>
      <c r="E3118" s="571">
        <v>42873</v>
      </c>
      <c r="F3118" s="520" t="s">
        <v>273</v>
      </c>
      <c r="G3118" s="573" t="s">
        <v>1128</v>
      </c>
      <c r="H3118" s="574" t="s">
        <v>800</v>
      </c>
      <c r="I3118" s="523">
        <v>830</v>
      </c>
      <c r="J3118" s="523">
        <v>18496.3</v>
      </c>
      <c r="K3118" s="575">
        <f t="shared" si="283"/>
        <v>15351929</v>
      </c>
      <c r="L3118" s="591" t="s">
        <v>160</v>
      </c>
      <c r="M3118" s="591" t="s">
        <v>292</v>
      </c>
      <c r="N3118" s="525" t="str">
        <f>IF(AND('331-CT'!$E$7=TH!H3118,OR(L3118="331",M3118="331")),"331",IF(AND(OR(L3118="131",M3118="131"),H3118='131-CT'!$E$7),"131",""))</f>
        <v/>
      </c>
      <c r="O3118" s="525" t="str">
        <f>IF(AND($B3118&gt;='111'!$N$11,$B3118&lt;='111'!$O$11,OR($L3118=$O$7,$M3118=$O$7)),"x","")</f>
        <v/>
      </c>
      <c r="P3118" s="525" t="str">
        <f>IF(AND($L3118=$O$7,$B3118&lt;'111'!$N$11),"x","")</f>
        <v/>
      </c>
      <c r="Q3118" s="525" t="str">
        <f>IF(AND($M3118=$O$7,$B3118&lt;'111'!$N$11),"x","")</f>
        <v/>
      </c>
      <c r="R3118" s="525" t="str">
        <f>IF(ISERROR(FIND('112'!$M$9,G3118,1)),"",IF((AND(FIND('112'!$M$9,G3118,1)&gt;=1,$B3118&gt;='112'!$N$8,$B3118&lt;='112'!$O$8,OR($L3118='112'!$I$6,$M3118='112'!$I$6))),"x",""))</f>
        <v/>
      </c>
      <c r="S3118" s="525" t="str">
        <f>IF(ISERROR(FIND('112'!$M$9,G3118,1)),"",IF((AND(LEFT(G3118,2)=LEFT('112'!$M$9,2),B3118&lt;'112'!$N$8,$L3118='112'!$I$6)),"x",""))</f>
        <v/>
      </c>
      <c r="T3118" s="525" t="str">
        <f>IF(ISERROR(FIND('112'!$M$9,G3118,1)),"",IF((AND(RIGHT(G3118,2)=RIGHT('112'!$M$9,2),B3118&lt;'112'!$N$8,$M3118='112'!$I$6)),"x",""))</f>
        <v/>
      </c>
      <c r="U3118" s="525" t="str">
        <f>IF(AND(B3118&gt;='IN-NX'!$P$3,B3118&lt;='IN-NX'!$Q$3,'IN-NX'!$D$7=D3118,OR(LEFT(L3118,2)="15",AND(LEFT(M3118,2)&lt;&gt;"15",LEFT(M3118,2)&lt;&gt;"33"))),"x","")</f>
        <v/>
      </c>
      <c r="V3118" s="525" t="str">
        <f>IF(AND(OR(LEFT(TH!L3118,2)="15",LEFT(TH!M3118,2)="15"),'152-CT'!$J$8=TH!F3118),"x","")</f>
        <v>x</v>
      </c>
      <c r="W3118" s="525" t="str">
        <f>IF(AND(OR(LEFT(TH!L3118,2)="15",LEFT(TH!M3118,2)="15"),TK!$E$7=TH!F3118),"x","")</f>
        <v/>
      </c>
      <c r="X3118" s="525" t="str">
        <f>IF(AND('341-CT'!$E$9=H3118,OR(LEFT(L3118,3)=$X$7,LEFT(M3118,3)=$X$7)),"x","")</f>
        <v/>
      </c>
      <c r="Y3118" s="525" t="str">
        <f>IF(OR(TH!L3118=TH!$Y$7,M3118=TH!$Y$7),"x","")</f>
        <v/>
      </c>
      <c r="Z3118" s="525" t="str">
        <f>IF(AND(B3118&lt;=NKC!$N$8,B3118&gt;=NKC!$M$8),"x","")</f>
        <v/>
      </c>
      <c r="AA3118" s="526"/>
      <c r="AB3118" s="527"/>
    </row>
    <row r="3119" spans="1:31" s="576" customFormat="1" ht="15.75" customHeight="1">
      <c r="A3119" s="517" t="str">
        <f>IF(B3119&lt;&gt;"",IF(AND(B3119&gt;=_TM1,B3119&lt;=_TM2,OR(TH!L3119="1111",TH!M3119="1111")),TH!D3119,""),"")</f>
        <v/>
      </c>
      <c r="B3119" s="518">
        <f t="shared" si="281"/>
        <v>5</v>
      </c>
      <c r="C3119" s="571">
        <f t="shared" si="282"/>
        <v>42873</v>
      </c>
      <c r="D3119" s="571" t="s">
        <v>996</v>
      </c>
      <c r="E3119" s="571">
        <v>42873</v>
      </c>
      <c r="F3119" s="520" t="s">
        <v>377</v>
      </c>
      <c r="G3119" s="573" t="s">
        <v>1129</v>
      </c>
      <c r="H3119" s="574" t="s">
        <v>800</v>
      </c>
      <c r="I3119" s="523">
        <v>500</v>
      </c>
      <c r="J3119" s="523">
        <v>11750</v>
      </c>
      <c r="K3119" s="575">
        <f t="shared" si="283"/>
        <v>5875000</v>
      </c>
      <c r="L3119" s="591" t="s">
        <v>160</v>
      </c>
      <c r="M3119" s="591" t="s">
        <v>292</v>
      </c>
      <c r="N3119" s="525" t="str">
        <f>IF(AND('331-CT'!$E$7=TH!H3119,OR(L3119="331",M3119="331")),"331",IF(AND(OR(L3119="131",M3119="131"),H3119='131-CT'!$E$7),"131",""))</f>
        <v/>
      </c>
      <c r="O3119" s="525" t="str">
        <f>IF(AND($B3119&gt;='111'!$N$11,$B3119&lt;='111'!$O$11,OR($L3119=$O$7,$M3119=$O$7)),"x","")</f>
        <v/>
      </c>
      <c r="P3119" s="525" t="str">
        <f>IF(AND($L3119=$O$7,$B3119&lt;'111'!$N$11),"x","")</f>
        <v/>
      </c>
      <c r="Q3119" s="525" t="str">
        <f>IF(AND($M3119=$O$7,$B3119&lt;'111'!$N$11),"x","")</f>
        <v/>
      </c>
      <c r="R3119" s="525" t="str">
        <f>IF(ISERROR(FIND('112'!$M$9,G3119,1)),"",IF((AND(FIND('112'!$M$9,G3119,1)&gt;=1,$B3119&gt;='112'!$N$8,$B3119&lt;='112'!$O$8,OR($L3119='112'!$I$6,$M3119='112'!$I$6))),"x",""))</f>
        <v/>
      </c>
      <c r="S3119" s="525" t="str">
        <f>IF(ISERROR(FIND('112'!$M$9,G3119,1)),"",IF((AND(LEFT(G3119,2)=LEFT('112'!$M$9,2),B3119&lt;'112'!$N$8,$L3119='112'!$I$6)),"x",""))</f>
        <v/>
      </c>
      <c r="T3119" s="525" t="str">
        <f>IF(ISERROR(FIND('112'!$M$9,G3119,1)),"",IF((AND(RIGHT(G3119,2)=RIGHT('112'!$M$9,2),B3119&lt;'112'!$N$8,$M3119='112'!$I$6)),"x",""))</f>
        <v/>
      </c>
      <c r="U3119" s="525" t="str">
        <f>IF(AND(B3119&gt;='IN-NX'!$P$3,B3119&lt;='IN-NX'!$Q$3,'IN-NX'!$D$7=D3119,OR(LEFT(L3119,2)="15",AND(LEFT(M3119,2)&lt;&gt;"15",LEFT(M3119,2)&lt;&gt;"33"))),"x","")</f>
        <v/>
      </c>
      <c r="V3119" s="525" t="str">
        <f>IF(AND(OR(LEFT(TH!L3119,2)="15",LEFT(TH!M3119,2)="15"),'152-CT'!$J$8=TH!F3119),"x","")</f>
        <v/>
      </c>
      <c r="W3119" s="525" t="str">
        <f>IF(AND(OR(LEFT(TH!L3119,2)="15",LEFT(TH!M3119,2)="15"),TK!$E$7=TH!F3119),"x","")</f>
        <v/>
      </c>
      <c r="X3119" s="525" t="str">
        <f>IF(AND('341-CT'!$E$9=H3119,OR(LEFT(L3119,3)=$X$7,LEFT(M3119,3)=$X$7)),"x","")</f>
        <v/>
      </c>
      <c r="Y3119" s="525" t="str">
        <f>IF(OR(TH!L3119=TH!$Y$7,M3119=TH!$Y$7),"x","")</f>
        <v/>
      </c>
      <c r="Z3119" s="525" t="str">
        <f>IF(AND(B3119&lt;=NKC!$N$8,B3119&gt;=NKC!$M$8),"x","")</f>
        <v/>
      </c>
      <c r="AA3119" s="526"/>
      <c r="AB3119" s="527"/>
    </row>
    <row r="3120" spans="1:31" s="576" customFormat="1" ht="15.75" customHeight="1">
      <c r="A3120" s="517" t="str">
        <f>IF(B3120&lt;&gt;"",IF(AND(B3120&gt;=_TM1,B3120&lt;=_TM2,OR(TH!L3120="1111",TH!M3120="1111")),TH!D3120,""),"")</f>
        <v/>
      </c>
      <c r="B3120" s="518">
        <f t="shared" si="281"/>
        <v>5</v>
      </c>
      <c r="C3120" s="571">
        <f t="shared" si="282"/>
        <v>42873</v>
      </c>
      <c r="D3120" s="571" t="s">
        <v>996</v>
      </c>
      <c r="E3120" s="571">
        <v>42873</v>
      </c>
      <c r="F3120" s="520" t="s">
        <v>1130</v>
      </c>
      <c r="G3120" s="573" t="s">
        <v>1129</v>
      </c>
      <c r="H3120" s="574" t="s">
        <v>800</v>
      </c>
      <c r="I3120" s="523">
        <v>500</v>
      </c>
      <c r="J3120" s="523">
        <v>6850</v>
      </c>
      <c r="K3120" s="575">
        <f t="shared" si="283"/>
        <v>3425000</v>
      </c>
      <c r="L3120" s="591" t="s">
        <v>160</v>
      </c>
      <c r="M3120" s="591" t="s">
        <v>292</v>
      </c>
      <c r="N3120" s="525" t="str">
        <f>IF(AND('331-CT'!$E$7=TH!H3120,OR(L3120="331",M3120="331")),"331",IF(AND(OR(L3120="131",M3120="131"),H3120='131-CT'!$E$7),"131",""))</f>
        <v/>
      </c>
      <c r="O3120" s="525" t="str">
        <f>IF(AND($B3120&gt;='111'!$N$11,$B3120&lt;='111'!$O$11,OR($L3120=$O$7,$M3120=$O$7)),"x","")</f>
        <v/>
      </c>
      <c r="P3120" s="525" t="str">
        <f>IF(AND($L3120=$O$7,$B3120&lt;'111'!$N$11),"x","")</f>
        <v/>
      </c>
      <c r="Q3120" s="525" t="str">
        <f>IF(AND($M3120=$O$7,$B3120&lt;'111'!$N$11),"x","")</f>
        <v/>
      </c>
      <c r="R3120" s="525" t="str">
        <f>IF(ISERROR(FIND('112'!$M$9,G3120,1)),"",IF((AND(FIND('112'!$M$9,G3120,1)&gt;=1,$B3120&gt;='112'!$N$8,$B3120&lt;='112'!$O$8,OR($L3120='112'!$I$6,$M3120='112'!$I$6))),"x",""))</f>
        <v/>
      </c>
      <c r="S3120" s="525" t="str">
        <f>IF(ISERROR(FIND('112'!$M$9,G3120,1)),"",IF((AND(LEFT(G3120,2)=LEFT('112'!$M$9,2),B3120&lt;'112'!$N$8,$L3120='112'!$I$6)),"x",""))</f>
        <v/>
      </c>
      <c r="T3120" s="525" t="str">
        <f>IF(ISERROR(FIND('112'!$M$9,G3120,1)),"",IF((AND(RIGHT(G3120,2)=RIGHT('112'!$M$9,2),B3120&lt;'112'!$N$8,$M3120='112'!$I$6)),"x",""))</f>
        <v/>
      </c>
      <c r="U3120" s="525" t="str">
        <f>IF(AND(B3120&gt;='IN-NX'!$P$3,B3120&lt;='IN-NX'!$Q$3,'IN-NX'!$D$7=D3120,OR(LEFT(L3120,2)="15",AND(LEFT(M3120,2)&lt;&gt;"15",LEFT(M3120,2)&lt;&gt;"33"))),"x","")</f>
        <v/>
      </c>
      <c r="V3120" s="525" t="str">
        <f>IF(AND(OR(LEFT(TH!L3120,2)="15",LEFT(TH!M3120,2)="15"),'152-CT'!$J$8=TH!F3120),"x","")</f>
        <v/>
      </c>
      <c r="W3120" s="525" t="str">
        <f>IF(AND(OR(LEFT(TH!L3120,2)="15",LEFT(TH!M3120,2)="15"),TK!$E$7=TH!F3120),"x","")</f>
        <v/>
      </c>
      <c r="X3120" s="525" t="str">
        <f>IF(AND('341-CT'!$E$9=H3120,OR(LEFT(L3120,3)=$X$7,LEFT(M3120,3)=$X$7)),"x","")</f>
        <v/>
      </c>
      <c r="Y3120" s="525" t="str">
        <f>IF(OR(TH!L3120=TH!$Y$7,M3120=TH!$Y$7),"x","")</f>
        <v/>
      </c>
      <c r="Z3120" s="525" t="str">
        <f>IF(AND(B3120&lt;=NKC!$N$8,B3120&gt;=NKC!$M$8),"x","")</f>
        <v/>
      </c>
      <c r="AA3120" s="526"/>
      <c r="AB3120" s="527"/>
    </row>
    <row r="3121" spans="1:28" s="576" customFormat="1" ht="15.75" customHeight="1">
      <c r="A3121" s="517" t="str">
        <f>IF(B3121&lt;&gt;"",IF(AND(B3121&gt;=_TM1,B3121&lt;=_TM2,OR(TH!L3121="1111",TH!M3121="1111")),TH!D3121,""),"")</f>
        <v/>
      </c>
      <c r="B3121" s="518">
        <f t="shared" si="281"/>
        <v>5</v>
      </c>
      <c r="C3121" s="571">
        <f t="shared" si="282"/>
        <v>42878</v>
      </c>
      <c r="D3121" s="571" t="s">
        <v>996</v>
      </c>
      <c r="E3121" s="571">
        <v>42878</v>
      </c>
      <c r="F3121" s="520" t="s">
        <v>1132</v>
      </c>
      <c r="G3121" s="573" t="s">
        <v>1131</v>
      </c>
      <c r="H3121" s="574" t="s">
        <v>800</v>
      </c>
      <c r="I3121" s="523">
        <v>200</v>
      </c>
      <c r="J3121" s="523">
        <v>36390</v>
      </c>
      <c r="K3121" s="575">
        <f t="shared" si="283"/>
        <v>7278000</v>
      </c>
      <c r="L3121" s="591" t="s">
        <v>160</v>
      </c>
      <c r="M3121" s="591" t="s">
        <v>292</v>
      </c>
      <c r="N3121" s="525" t="str">
        <f>IF(AND('331-CT'!$E$7=TH!H3121,OR(L3121="331",M3121="331")),"331",IF(AND(OR(L3121="131",M3121="131"),H3121='131-CT'!$E$7),"131",""))</f>
        <v/>
      </c>
      <c r="O3121" s="525" t="str">
        <f>IF(AND($B3121&gt;='111'!$N$11,$B3121&lt;='111'!$O$11,OR($L3121=$O$7,$M3121=$O$7)),"x","")</f>
        <v/>
      </c>
      <c r="P3121" s="525" t="str">
        <f>IF(AND($L3121=$O$7,$B3121&lt;'111'!$N$11),"x","")</f>
        <v/>
      </c>
      <c r="Q3121" s="525" t="str">
        <f>IF(AND($M3121=$O$7,$B3121&lt;'111'!$N$11),"x","")</f>
        <v/>
      </c>
      <c r="R3121" s="525" t="str">
        <f>IF(ISERROR(FIND('112'!$M$9,G3121,1)),"",IF((AND(FIND('112'!$M$9,G3121,1)&gt;=1,$B3121&gt;='112'!$N$8,$B3121&lt;='112'!$O$8,OR($L3121='112'!$I$6,$M3121='112'!$I$6))),"x",""))</f>
        <v/>
      </c>
      <c r="S3121" s="525" t="str">
        <f>IF(ISERROR(FIND('112'!$M$9,G3121,1)),"",IF((AND(LEFT(G3121,2)=LEFT('112'!$M$9,2),B3121&lt;'112'!$N$8,$L3121='112'!$I$6)),"x",""))</f>
        <v/>
      </c>
      <c r="T3121" s="525" t="str">
        <f>IF(ISERROR(FIND('112'!$M$9,G3121,1)),"",IF((AND(RIGHT(G3121,2)=RIGHT('112'!$M$9,2),B3121&lt;'112'!$N$8,$M3121='112'!$I$6)),"x",""))</f>
        <v/>
      </c>
      <c r="U3121" s="525" t="str">
        <f>IF(AND(B3121&gt;='IN-NX'!$P$3,B3121&lt;='IN-NX'!$Q$3,'IN-NX'!$D$7=D3121,OR(LEFT(L3121,2)="15",AND(LEFT(M3121,2)&lt;&gt;"15",LEFT(M3121,2)&lt;&gt;"33"))),"x","")</f>
        <v/>
      </c>
      <c r="V3121" s="525" t="str">
        <f>IF(AND(OR(LEFT(TH!L3121,2)="15",LEFT(TH!M3121,2)="15"),'152-CT'!$J$8=TH!F3121),"x","")</f>
        <v/>
      </c>
      <c r="W3121" s="525" t="str">
        <f>IF(AND(OR(LEFT(TH!L3121,2)="15",LEFT(TH!M3121,2)="15"),TK!$E$7=TH!F3121),"x","")</f>
        <v/>
      </c>
      <c r="X3121" s="525" t="str">
        <f>IF(AND('341-CT'!$E$9=H3121,OR(LEFT(L3121,3)=$X$7,LEFT(M3121,3)=$X$7)),"x","")</f>
        <v/>
      </c>
      <c r="Y3121" s="525" t="str">
        <f>IF(OR(TH!L3121=TH!$Y$7,M3121=TH!$Y$7),"x","")</f>
        <v/>
      </c>
      <c r="Z3121" s="525" t="str">
        <f>IF(AND(B3121&lt;=NKC!$N$8,B3121&gt;=NKC!$M$8),"x","")</f>
        <v/>
      </c>
      <c r="AA3121" s="526"/>
      <c r="AB3121" s="527"/>
    </row>
    <row r="3122" spans="1:28" s="576" customFormat="1" ht="15.75" customHeight="1">
      <c r="A3122" s="517" t="str">
        <f>IF(B3122&lt;&gt;"",IF(AND(B3122&gt;=_TM1,B3122&lt;=_TM2,OR(TH!L3122="1111",TH!M3122="1111")),TH!D3122,""),"")</f>
        <v/>
      </c>
      <c r="B3122" s="518">
        <f t="shared" si="281"/>
        <v>5</v>
      </c>
      <c r="C3122" s="571">
        <f t="shared" si="282"/>
        <v>42879</v>
      </c>
      <c r="D3122" s="571" t="s">
        <v>996</v>
      </c>
      <c r="E3122" s="571">
        <v>42879</v>
      </c>
      <c r="F3122" s="520" t="s">
        <v>1149</v>
      </c>
      <c r="G3122" s="573" t="s">
        <v>1133</v>
      </c>
      <c r="H3122" s="574" t="s">
        <v>800</v>
      </c>
      <c r="I3122" s="523">
        <v>500</v>
      </c>
      <c r="J3122" s="523">
        <v>8680</v>
      </c>
      <c r="K3122" s="575">
        <f t="shared" si="283"/>
        <v>4340000</v>
      </c>
      <c r="L3122" s="591" t="s">
        <v>160</v>
      </c>
      <c r="M3122" s="591" t="s">
        <v>292</v>
      </c>
      <c r="N3122" s="525" t="str">
        <f>IF(AND('331-CT'!$E$7=TH!H3122,OR(L3122="331",M3122="331")),"331",IF(AND(OR(L3122="131",M3122="131"),H3122='131-CT'!$E$7),"131",""))</f>
        <v/>
      </c>
      <c r="O3122" s="525" t="str">
        <f>IF(AND($B3122&gt;='111'!$N$11,$B3122&lt;='111'!$O$11,OR($L3122=$O$7,$M3122=$O$7)),"x","")</f>
        <v/>
      </c>
      <c r="P3122" s="525" t="str">
        <f>IF(AND($L3122=$O$7,$B3122&lt;'111'!$N$11),"x","")</f>
        <v/>
      </c>
      <c r="Q3122" s="525" t="str">
        <f>IF(AND($M3122=$O$7,$B3122&lt;'111'!$N$11),"x","")</f>
        <v/>
      </c>
      <c r="R3122" s="525" t="str">
        <f>IF(ISERROR(FIND('112'!$M$9,G3122,1)),"",IF((AND(FIND('112'!$M$9,G3122,1)&gt;=1,$B3122&gt;='112'!$N$8,$B3122&lt;='112'!$O$8,OR($L3122='112'!$I$6,$M3122='112'!$I$6))),"x",""))</f>
        <v/>
      </c>
      <c r="S3122" s="525" t="str">
        <f>IF(ISERROR(FIND('112'!$M$9,G3122,1)),"",IF((AND(LEFT(G3122,2)=LEFT('112'!$M$9,2),B3122&lt;'112'!$N$8,$L3122='112'!$I$6)),"x",""))</f>
        <v/>
      </c>
      <c r="T3122" s="525" t="str">
        <f>IF(ISERROR(FIND('112'!$M$9,G3122,1)),"",IF((AND(RIGHT(G3122,2)=RIGHT('112'!$M$9,2),B3122&lt;'112'!$N$8,$M3122='112'!$I$6)),"x",""))</f>
        <v/>
      </c>
      <c r="U3122" s="525" t="str">
        <f>IF(AND(B3122&gt;='IN-NX'!$P$3,B3122&lt;='IN-NX'!$Q$3,'IN-NX'!$D$7=D3122,OR(LEFT(L3122,2)="15",AND(LEFT(M3122,2)&lt;&gt;"15",LEFT(M3122,2)&lt;&gt;"33"))),"x","")</f>
        <v/>
      </c>
      <c r="V3122" s="525" t="str">
        <f>IF(AND(OR(LEFT(TH!L3122,2)="15",LEFT(TH!M3122,2)="15"),'152-CT'!$J$8=TH!F3122),"x","")</f>
        <v/>
      </c>
      <c r="W3122" s="525" t="str">
        <f>IF(AND(OR(LEFT(TH!L3122,2)="15",LEFT(TH!M3122,2)="15"),TK!$E$7=TH!F3122),"x","")</f>
        <v/>
      </c>
      <c r="X3122" s="525" t="str">
        <f>IF(AND('341-CT'!$E$9=H3122,OR(LEFT(L3122,3)=$X$7,LEFT(M3122,3)=$X$7)),"x","")</f>
        <v/>
      </c>
      <c r="Y3122" s="525" t="str">
        <f>IF(OR(TH!L3122=TH!$Y$7,M3122=TH!$Y$7),"x","")</f>
        <v/>
      </c>
      <c r="Z3122" s="525" t="str">
        <f>IF(AND(B3122&lt;=NKC!$N$8,B3122&gt;=NKC!$M$8),"x","")</f>
        <v/>
      </c>
      <c r="AA3122" s="526"/>
      <c r="AB3122" s="527"/>
    </row>
    <row r="3123" spans="1:28" s="576" customFormat="1" ht="15.75" customHeight="1">
      <c r="A3123" s="517" t="str">
        <f>IF(B3123&lt;&gt;"",IF(AND(B3123&gt;=_TM1,B3123&lt;=_TM2,OR(TH!L3123="1111",TH!M3123="1111")),TH!D3123,""),"")</f>
        <v/>
      </c>
      <c r="B3123" s="518">
        <f t="shared" si="281"/>
        <v>5</v>
      </c>
      <c r="C3123" s="571">
        <f t="shared" si="282"/>
        <v>42879</v>
      </c>
      <c r="D3123" s="571" t="s">
        <v>996</v>
      </c>
      <c r="E3123" s="571">
        <v>42879</v>
      </c>
      <c r="F3123" s="520" t="s">
        <v>1150</v>
      </c>
      <c r="G3123" s="573" t="s">
        <v>1133</v>
      </c>
      <c r="H3123" s="574" t="s">
        <v>800</v>
      </c>
      <c r="I3123" s="523">
        <v>500</v>
      </c>
      <c r="J3123" s="523">
        <v>6680</v>
      </c>
      <c r="K3123" s="575">
        <f t="shared" si="283"/>
        <v>3340000</v>
      </c>
      <c r="L3123" s="591" t="s">
        <v>160</v>
      </c>
      <c r="M3123" s="591" t="s">
        <v>292</v>
      </c>
      <c r="N3123" s="525" t="str">
        <f>IF(AND('331-CT'!$E$7=TH!H3123,OR(L3123="331",M3123="331")),"331",IF(AND(OR(L3123="131",M3123="131"),H3123='131-CT'!$E$7),"131",""))</f>
        <v/>
      </c>
      <c r="O3123" s="525" t="str">
        <f>IF(AND($B3123&gt;='111'!$N$11,$B3123&lt;='111'!$O$11,OR($L3123=$O$7,$M3123=$O$7)),"x","")</f>
        <v/>
      </c>
      <c r="P3123" s="525" t="str">
        <f>IF(AND($L3123=$O$7,$B3123&lt;'111'!$N$11),"x","")</f>
        <v/>
      </c>
      <c r="Q3123" s="525" t="str">
        <f>IF(AND($M3123=$O$7,$B3123&lt;'111'!$N$11),"x","")</f>
        <v/>
      </c>
      <c r="R3123" s="525" t="str">
        <f>IF(ISERROR(FIND('112'!$M$9,G3123,1)),"",IF((AND(FIND('112'!$M$9,G3123,1)&gt;=1,$B3123&gt;='112'!$N$8,$B3123&lt;='112'!$O$8,OR($L3123='112'!$I$6,$M3123='112'!$I$6))),"x",""))</f>
        <v/>
      </c>
      <c r="S3123" s="525" t="str">
        <f>IF(ISERROR(FIND('112'!$M$9,G3123,1)),"",IF((AND(LEFT(G3123,2)=LEFT('112'!$M$9,2),B3123&lt;'112'!$N$8,$L3123='112'!$I$6)),"x",""))</f>
        <v/>
      </c>
      <c r="T3123" s="525" t="str">
        <f>IF(ISERROR(FIND('112'!$M$9,G3123,1)),"",IF((AND(RIGHT(G3123,2)=RIGHT('112'!$M$9,2),B3123&lt;'112'!$N$8,$M3123='112'!$I$6)),"x",""))</f>
        <v/>
      </c>
      <c r="U3123" s="525" t="str">
        <f>IF(AND(B3123&gt;='IN-NX'!$P$3,B3123&lt;='IN-NX'!$Q$3,'IN-NX'!$D$7=D3123,OR(LEFT(L3123,2)="15",AND(LEFT(M3123,2)&lt;&gt;"15",LEFT(M3123,2)&lt;&gt;"33"))),"x","")</f>
        <v/>
      </c>
      <c r="V3123" s="525" t="str">
        <f>IF(AND(OR(LEFT(TH!L3123,2)="15",LEFT(TH!M3123,2)="15"),'152-CT'!$J$8=TH!F3123),"x","")</f>
        <v/>
      </c>
      <c r="W3123" s="525" t="str">
        <f>IF(AND(OR(LEFT(TH!L3123,2)="15",LEFT(TH!M3123,2)="15"),TK!$E$7=TH!F3123),"x","")</f>
        <v/>
      </c>
      <c r="X3123" s="525" t="str">
        <f>IF(AND('341-CT'!$E$9=H3123,OR(LEFT(L3123,3)=$X$7,LEFT(M3123,3)=$X$7)),"x","")</f>
        <v/>
      </c>
      <c r="Y3123" s="525" t="str">
        <f>IF(OR(TH!L3123=TH!$Y$7,M3123=TH!$Y$7),"x","")</f>
        <v/>
      </c>
      <c r="Z3123" s="525" t="str">
        <f>IF(AND(B3123&lt;=NKC!$N$8,B3123&gt;=NKC!$M$8),"x","")</f>
        <v/>
      </c>
      <c r="AA3123" s="526"/>
      <c r="AB3123" s="527"/>
    </row>
    <row r="3124" spans="1:28" s="576" customFormat="1" ht="15.75" customHeight="1">
      <c r="A3124" s="517" t="str">
        <f>IF(B3124&lt;&gt;"",IF(AND(B3124&gt;=_TM1,B3124&lt;=_TM2,OR(TH!L3124="1111",TH!M3124="1111")),TH!D3124,""),"")</f>
        <v/>
      </c>
      <c r="B3124" s="518">
        <f t="shared" si="281"/>
        <v>5</v>
      </c>
      <c r="C3124" s="571">
        <f t="shared" si="282"/>
        <v>42879</v>
      </c>
      <c r="D3124" s="571" t="s">
        <v>996</v>
      </c>
      <c r="E3124" s="571">
        <v>42879</v>
      </c>
      <c r="F3124" s="520" t="s">
        <v>1151</v>
      </c>
      <c r="G3124" s="573" t="s">
        <v>1133</v>
      </c>
      <c r="H3124" s="574" t="s">
        <v>800</v>
      </c>
      <c r="I3124" s="523">
        <v>500</v>
      </c>
      <c r="J3124" s="523">
        <v>6270</v>
      </c>
      <c r="K3124" s="575">
        <f t="shared" si="283"/>
        <v>3135000</v>
      </c>
      <c r="L3124" s="591" t="s">
        <v>160</v>
      </c>
      <c r="M3124" s="591" t="s">
        <v>292</v>
      </c>
      <c r="N3124" s="525" t="str">
        <f>IF(AND('331-CT'!$E$7=TH!H3124,OR(L3124="331",M3124="331")),"331",IF(AND(OR(L3124="131",M3124="131"),H3124='131-CT'!$E$7),"131",""))</f>
        <v/>
      </c>
      <c r="O3124" s="525" t="str">
        <f>IF(AND($B3124&gt;='111'!$N$11,$B3124&lt;='111'!$O$11,OR($L3124=$O$7,$M3124=$O$7)),"x","")</f>
        <v/>
      </c>
      <c r="P3124" s="525" t="str">
        <f>IF(AND($L3124=$O$7,$B3124&lt;'111'!$N$11),"x","")</f>
        <v/>
      </c>
      <c r="Q3124" s="525" t="str">
        <f>IF(AND($M3124=$O$7,$B3124&lt;'111'!$N$11),"x","")</f>
        <v/>
      </c>
      <c r="R3124" s="525" t="str">
        <f>IF(ISERROR(FIND('112'!$M$9,G3124,1)),"",IF((AND(FIND('112'!$M$9,G3124,1)&gt;=1,$B3124&gt;='112'!$N$8,$B3124&lt;='112'!$O$8,OR($L3124='112'!$I$6,$M3124='112'!$I$6))),"x",""))</f>
        <v/>
      </c>
      <c r="S3124" s="525" t="str">
        <f>IF(ISERROR(FIND('112'!$M$9,G3124,1)),"",IF((AND(LEFT(G3124,2)=LEFT('112'!$M$9,2),B3124&lt;'112'!$N$8,$L3124='112'!$I$6)),"x",""))</f>
        <v/>
      </c>
      <c r="T3124" s="525" t="str">
        <f>IF(ISERROR(FIND('112'!$M$9,G3124,1)),"",IF((AND(RIGHT(G3124,2)=RIGHT('112'!$M$9,2),B3124&lt;'112'!$N$8,$M3124='112'!$I$6)),"x",""))</f>
        <v/>
      </c>
      <c r="U3124" s="525" t="str">
        <f>IF(AND(B3124&gt;='IN-NX'!$P$3,B3124&lt;='IN-NX'!$Q$3,'IN-NX'!$D$7=D3124,OR(LEFT(L3124,2)="15",AND(LEFT(M3124,2)&lt;&gt;"15",LEFT(M3124,2)&lt;&gt;"33"))),"x","")</f>
        <v/>
      </c>
      <c r="V3124" s="525" t="str">
        <f>IF(AND(OR(LEFT(TH!L3124,2)="15",LEFT(TH!M3124,2)="15"),'152-CT'!$J$8=TH!F3124),"x","")</f>
        <v/>
      </c>
      <c r="W3124" s="525" t="str">
        <f>IF(AND(OR(LEFT(TH!L3124,2)="15",LEFT(TH!M3124,2)="15"),TK!$E$7=TH!F3124),"x","")</f>
        <v/>
      </c>
      <c r="X3124" s="525" t="str">
        <f>IF(AND('341-CT'!$E$9=H3124,OR(LEFT(L3124,3)=$X$7,LEFT(M3124,3)=$X$7)),"x","")</f>
        <v/>
      </c>
      <c r="Y3124" s="525" t="str">
        <f>IF(OR(TH!L3124=TH!$Y$7,M3124=TH!$Y$7),"x","")</f>
        <v/>
      </c>
      <c r="Z3124" s="525" t="str">
        <f>IF(AND(B3124&lt;=NKC!$N$8,B3124&gt;=NKC!$M$8),"x","")</f>
        <v/>
      </c>
      <c r="AA3124" s="526"/>
      <c r="AB3124" s="527"/>
    </row>
    <row r="3125" spans="1:28" s="576" customFormat="1" ht="15.75" customHeight="1">
      <c r="A3125" s="517" t="str">
        <f>IF(B3125&lt;&gt;"",IF(AND(B3125&gt;=_TM1,B3125&lt;=_TM2,OR(TH!L3125="1111",TH!M3125="1111")),TH!D3125,""),"")</f>
        <v/>
      </c>
      <c r="B3125" s="518">
        <f t="shared" si="281"/>
        <v>5</v>
      </c>
      <c r="C3125" s="571">
        <f t="shared" si="282"/>
        <v>42882</v>
      </c>
      <c r="D3125" s="571" t="s">
        <v>996</v>
      </c>
      <c r="E3125" s="571">
        <v>42882</v>
      </c>
      <c r="F3125" s="572" t="s">
        <v>560</v>
      </c>
      <c r="G3125" s="573" t="s">
        <v>1135</v>
      </c>
      <c r="H3125" s="574" t="s">
        <v>800</v>
      </c>
      <c r="I3125" s="523">
        <v>1000</v>
      </c>
      <c r="J3125" s="523">
        <v>17650</v>
      </c>
      <c r="K3125" s="575">
        <f t="shared" si="283"/>
        <v>17650000</v>
      </c>
      <c r="L3125" s="591" t="s">
        <v>160</v>
      </c>
      <c r="M3125" s="591" t="s">
        <v>292</v>
      </c>
      <c r="N3125" s="525" t="str">
        <f>IF(AND('331-CT'!$E$7=TH!H3125,OR(L3125="331",M3125="331")),"331",IF(AND(OR(L3125="131",M3125="131"),H3125='131-CT'!$E$7),"131",""))</f>
        <v/>
      </c>
      <c r="O3125" s="525" t="str">
        <f>IF(AND($B3125&gt;='111'!$N$11,$B3125&lt;='111'!$O$11,OR($L3125=$O$7,$M3125=$O$7)),"x","")</f>
        <v/>
      </c>
      <c r="P3125" s="525" t="str">
        <f>IF(AND($L3125=$O$7,$B3125&lt;'111'!$N$11),"x","")</f>
        <v/>
      </c>
      <c r="Q3125" s="525" t="str">
        <f>IF(AND($M3125=$O$7,$B3125&lt;'111'!$N$11),"x","")</f>
        <v/>
      </c>
      <c r="R3125" s="525" t="str">
        <f>IF(ISERROR(FIND('112'!$M$9,G3125,1)),"",IF((AND(FIND('112'!$M$9,G3125,1)&gt;=1,$B3125&gt;='112'!$N$8,$B3125&lt;='112'!$O$8,OR($L3125='112'!$I$6,$M3125='112'!$I$6))),"x",""))</f>
        <v/>
      </c>
      <c r="S3125" s="525" t="str">
        <f>IF(ISERROR(FIND('112'!$M$9,G3125,1)),"",IF((AND(LEFT(G3125,2)=LEFT('112'!$M$9,2),B3125&lt;'112'!$N$8,$L3125='112'!$I$6)),"x",""))</f>
        <v/>
      </c>
      <c r="T3125" s="525" t="str">
        <f>IF(ISERROR(FIND('112'!$M$9,G3125,1)),"",IF((AND(RIGHT(G3125,2)=RIGHT('112'!$M$9,2),B3125&lt;'112'!$N$8,$M3125='112'!$I$6)),"x",""))</f>
        <v/>
      </c>
      <c r="U3125" s="525" t="str">
        <f>IF(AND(B3125&gt;='IN-NX'!$P$3,B3125&lt;='IN-NX'!$Q$3,'IN-NX'!$D$7=D3125,OR(LEFT(L3125,2)="15",AND(LEFT(M3125,2)&lt;&gt;"15",LEFT(M3125,2)&lt;&gt;"33"))),"x","")</f>
        <v/>
      </c>
      <c r="V3125" s="525" t="str">
        <f>IF(AND(OR(LEFT(TH!L3125,2)="15",LEFT(TH!M3125,2)="15"),'152-CT'!$J$8=TH!F3125),"x","")</f>
        <v/>
      </c>
      <c r="W3125" s="525" t="str">
        <f>IF(AND(OR(LEFT(TH!L3125,2)="15",LEFT(TH!M3125,2)="15"),TK!$E$7=TH!F3125),"x","")</f>
        <v/>
      </c>
      <c r="X3125" s="525" t="str">
        <f>IF(AND('341-CT'!$E$9=H3125,OR(LEFT(L3125,3)=$X$7,LEFT(M3125,3)=$X$7)),"x","")</f>
        <v/>
      </c>
      <c r="Y3125" s="525" t="str">
        <f>IF(OR(TH!L3125=TH!$Y$7,M3125=TH!$Y$7),"x","")</f>
        <v/>
      </c>
      <c r="Z3125" s="525" t="str">
        <f>IF(AND(B3125&lt;=NKC!$N$8,B3125&gt;=NKC!$M$8),"x","")</f>
        <v/>
      </c>
      <c r="AA3125" s="526"/>
      <c r="AB3125" s="527"/>
    </row>
    <row r="3126" spans="1:28" s="576" customFormat="1" ht="15.75" customHeight="1">
      <c r="A3126" s="517" t="str">
        <f>IF(B3126&lt;&gt;"",IF(AND(B3126&gt;=_TM1,B3126&lt;=_TM2,OR(TH!L3126="1111",TH!M3126="1111")),TH!D3126,""),"")</f>
        <v/>
      </c>
      <c r="B3126" s="518">
        <f t="shared" si="281"/>
        <v>5</v>
      </c>
      <c r="C3126" s="571">
        <f t="shared" si="282"/>
        <v>42886</v>
      </c>
      <c r="D3126" s="571" t="s">
        <v>996</v>
      </c>
      <c r="E3126" s="571">
        <v>42886</v>
      </c>
      <c r="F3126" s="520" t="s">
        <v>1160</v>
      </c>
      <c r="G3126" s="573" t="s">
        <v>1141</v>
      </c>
      <c r="H3126" s="574" t="s">
        <v>800</v>
      </c>
      <c r="I3126" s="523">
        <v>30</v>
      </c>
      <c r="J3126" s="523">
        <v>63900</v>
      </c>
      <c r="K3126" s="575">
        <f t="shared" si="283"/>
        <v>1917000</v>
      </c>
      <c r="L3126" s="525" t="s">
        <v>160</v>
      </c>
      <c r="M3126" s="525" t="s">
        <v>292</v>
      </c>
      <c r="N3126" s="525" t="str">
        <f>IF(AND('331-CT'!$E$7=TH!H3126,OR(L3126="331",M3126="331")),"331",IF(AND(OR(L3126="131",M3126="131"),H3126='131-CT'!$E$7),"131",""))</f>
        <v/>
      </c>
      <c r="O3126" s="525" t="str">
        <f>IF(AND($B3126&gt;='111'!$N$11,$B3126&lt;='111'!$O$11,OR($L3126=$O$7,$M3126=$O$7)),"x","")</f>
        <v/>
      </c>
      <c r="P3126" s="525" t="str">
        <f>IF(AND($L3126=$O$7,$B3126&lt;'111'!$N$11),"x","")</f>
        <v/>
      </c>
      <c r="Q3126" s="525" t="str">
        <f>IF(AND($M3126=$O$7,$B3126&lt;'111'!$N$11),"x","")</f>
        <v/>
      </c>
      <c r="R3126" s="525" t="str">
        <f>IF(ISERROR(FIND('112'!$M$9,G3126,1)),"",IF((AND(FIND('112'!$M$9,G3126,1)&gt;=1,$B3126&gt;='112'!$N$8,$B3126&lt;='112'!$O$8,OR($L3126='112'!$I$6,$M3126='112'!$I$6))),"x",""))</f>
        <v/>
      </c>
      <c r="S3126" s="525" t="str">
        <f>IF(ISERROR(FIND('112'!$M$9,G3126,1)),"",IF((AND(LEFT(G3126,2)=LEFT('112'!$M$9,2),B3126&lt;'112'!$N$8,$L3126='112'!$I$6)),"x",""))</f>
        <v/>
      </c>
      <c r="T3126" s="525" t="str">
        <f>IF(ISERROR(FIND('112'!$M$9,G3126,1)),"",IF((AND(RIGHT(G3126,2)=RIGHT('112'!$M$9,2),B3126&lt;'112'!$N$8,$M3126='112'!$I$6)),"x",""))</f>
        <v/>
      </c>
      <c r="U3126" s="525" t="str">
        <f>IF(AND(B3126&gt;='IN-NX'!$P$3,B3126&lt;='IN-NX'!$Q$3,'IN-NX'!$D$7=D3126,OR(LEFT(L3126,2)="15",AND(LEFT(M3126,2)&lt;&gt;"15",LEFT(M3126,2)&lt;&gt;"33"))),"x","")</f>
        <v/>
      </c>
      <c r="V3126" s="525" t="str">
        <f>IF(AND(OR(LEFT(TH!L3126,2)="15",LEFT(TH!M3126,2)="15"),'152-CT'!$J$8=TH!F3126),"x","")</f>
        <v/>
      </c>
      <c r="W3126" s="525" t="str">
        <f>IF(AND(OR(LEFT(TH!L3126,2)="15",LEFT(TH!M3126,2)="15"),TK!$E$7=TH!F3126),"x","")</f>
        <v/>
      </c>
      <c r="X3126" s="525" t="str">
        <f>IF(AND('341-CT'!$E$9=H3126,OR(LEFT(L3126,3)=$X$7,LEFT(M3126,3)=$X$7)),"x","")</f>
        <v/>
      </c>
      <c r="Y3126" s="525" t="str">
        <f>IF(OR(TH!L3126=TH!$Y$7,M3126=TH!$Y$7),"x","")</f>
        <v/>
      </c>
      <c r="Z3126" s="525" t="str">
        <f>IF(AND(B3126&lt;=NKC!$N$8,B3126&gt;=NKC!$M$8),"x","")</f>
        <v/>
      </c>
      <c r="AA3126" s="526"/>
      <c r="AB3126" s="527"/>
    </row>
    <row r="3127" spans="1:28" s="576" customFormat="1" ht="15.75" customHeight="1">
      <c r="A3127" s="517" t="str">
        <f>IF(B3127&lt;&gt;"",IF(AND(B3127&gt;=_TM1,B3127&lt;=_TM2,OR(TH!L3127="1111",TH!M3127="1111")),TH!D3127,""),"")</f>
        <v/>
      </c>
      <c r="B3127" s="518">
        <f t="shared" si="281"/>
        <v>5</v>
      </c>
      <c r="C3127" s="571">
        <f t="shared" si="282"/>
        <v>42886</v>
      </c>
      <c r="D3127" s="571" t="s">
        <v>996</v>
      </c>
      <c r="E3127" s="571">
        <v>42886</v>
      </c>
      <c r="F3127" s="572" t="s">
        <v>1161</v>
      </c>
      <c r="G3127" s="573" t="s">
        <v>1141</v>
      </c>
      <c r="H3127" s="574" t="s">
        <v>800</v>
      </c>
      <c r="I3127" s="523">
        <v>30</v>
      </c>
      <c r="J3127" s="523">
        <v>48550</v>
      </c>
      <c r="K3127" s="575">
        <f t="shared" si="283"/>
        <v>1456500</v>
      </c>
      <c r="L3127" s="591" t="s">
        <v>160</v>
      </c>
      <c r="M3127" s="591" t="s">
        <v>292</v>
      </c>
      <c r="N3127" s="525" t="str">
        <f>IF(AND('331-CT'!$E$7=TH!H3127,OR(L3127="331",M3127="331")),"331",IF(AND(OR(L3127="131",M3127="131"),H3127='131-CT'!$E$7),"131",""))</f>
        <v/>
      </c>
      <c r="O3127" s="525" t="str">
        <f>IF(AND($B3127&gt;='111'!$N$11,$B3127&lt;='111'!$O$11,OR($L3127=$O$7,$M3127=$O$7)),"x","")</f>
        <v/>
      </c>
      <c r="P3127" s="525" t="str">
        <f>IF(AND($L3127=$O$7,$B3127&lt;'111'!$N$11),"x","")</f>
        <v/>
      </c>
      <c r="Q3127" s="525" t="str">
        <f>IF(AND($M3127=$O$7,$B3127&lt;'111'!$N$11),"x","")</f>
        <v/>
      </c>
      <c r="R3127" s="525" t="str">
        <f>IF(ISERROR(FIND('112'!$M$9,G3127,1)),"",IF((AND(FIND('112'!$M$9,G3127,1)&gt;=1,$B3127&gt;='112'!$N$8,$B3127&lt;='112'!$O$8,OR($L3127='112'!$I$6,$M3127='112'!$I$6))),"x",""))</f>
        <v/>
      </c>
      <c r="S3127" s="525" t="str">
        <f>IF(ISERROR(FIND('112'!$M$9,G3127,1)),"",IF((AND(LEFT(G3127,2)=LEFT('112'!$M$9,2),B3127&lt;'112'!$N$8,$L3127='112'!$I$6)),"x",""))</f>
        <v/>
      </c>
      <c r="T3127" s="525" t="str">
        <f>IF(ISERROR(FIND('112'!$M$9,G3127,1)),"",IF((AND(RIGHT(G3127,2)=RIGHT('112'!$M$9,2),B3127&lt;'112'!$N$8,$M3127='112'!$I$6)),"x",""))</f>
        <v/>
      </c>
      <c r="U3127" s="525" t="str">
        <f>IF(AND(B3127&gt;='IN-NX'!$P$3,B3127&lt;='IN-NX'!$Q$3,'IN-NX'!$D$7=D3127,OR(LEFT(L3127,2)="15",AND(LEFT(M3127,2)&lt;&gt;"15",LEFT(M3127,2)&lt;&gt;"33"))),"x","")</f>
        <v/>
      </c>
      <c r="V3127" s="525" t="str">
        <f>IF(AND(OR(LEFT(TH!L3127,2)="15",LEFT(TH!M3127,2)="15"),'152-CT'!$J$8=TH!F3127),"x","")</f>
        <v/>
      </c>
      <c r="W3127" s="525" t="str">
        <f>IF(AND(OR(LEFT(TH!L3127,2)="15",LEFT(TH!M3127,2)="15"),TK!$E$7=TH!F3127),"x","")</f>
        <v/>
      </c>
      <c r="X3127" s="525" t="str">
        <f>IF(AND('341-CT'!$E$9=H3127,OR(LEFT(L3127,3)=$X$7,LEFT(M3127,3)=$X$7)),"x","")</f>
        <v/>
      </c>
      <c r="Y3127" s="525" t="str">
        <f>IF(OR(TH!L3127=TH!$Y$7,M3127=TH!$Y$7),"x","")</f>
        <v/>
      </c>
      <c r="Z3127" s="525" t="str">
        <f>IF(AND(B3127&lt;=NKC!$N$8,B3127&gt;=NKC!$M$8),"x","")</f>
        <v/>
      </c>
      <c r="AA3127" s="526"/>
      <c r="AB3127" s="527"/>
    </row>
    <row r="3128" spans="1:28" s="576" customFormat="1" ht="15.75" customHeight="1">
      <c r="A3128" s="517" t="str">
        <f>IF(B3128&lt;&gt;"",IF(AND(B3128&gt;=_TM1,B3128&lt;=_TM2,OR(TH!L3128="1111",TH!M3128="1111")),TH!D3128,""),"")</f>
        <v/>
      </c>
      <c r="B3128" s="518">
        <f t="shared" si="281"/>
        <v>5</v>
      </c>
      <c r="C3128" s="571">
        <f t="shared" si="282"/>
        <v>42886</v>
      </c>
      <c r="D3128" s="571" t="s">
        <v>996</v>
      </c>
      <c r="E3128" s="571">
        <v>42886</v>
      </c>
      <c r="F3128" s="520" t="s">
        <v>655</v>
      </c>
      <c r="G3128" s="573" t="s">
        <v>1141</v>
      </c>
      <c r="H3128" s="574" t="s">
        <v>800</v>
      </c>
      <c r="I3128" s="523">
        <v>40</v>
      </c>
      <c r="J3128" s="523">
        <v>50790</v>
      </c>
      <c r="K3128" s="575">
        <f t="shared" si="283"/>
        <v>2031600</v>
      </c>
      <c r="L3128" s="591" t="s">
        <v>160</v>
      </c>
      <c r="M3128" s="591" t="s">
        <v>292</v>
      </c>
      <c r="N3128" s="525" t="str">
        <f>IF(AND('331-CT'!$E$7=TH!H3128,OR(L3128="331",M3128="331")),"331",IF(AND(OR(L3128="131",M3128="131"),H3128='131-CT'!$E$7),"131",""))</f>
        <v/>
      </c>
      <c r="O3128" s="525" t="str">
        <f>IF(AND($B3128&gt;='111'!$N$11,$B3128&lt;='111'!$O$11,OR($L3128=$O$7,$M3128=$O$7)),"x","")</f>
        <v/>
      </c>
      <c r="P3128" s="525" t="str">
        <f>IF(AND($L3128=$O$7,$B3128&lt;'111'!$N$11),"x","")</f>
        <v/>
      </c>
      <c r="Q3128" s="525" t="str">
        <f>IF(AND($M3128=$O$7,$B3128&lt;'111'!$N$11),"x","")</f>
        <v/>
      </c>
      <c r="R3128" s="525" t="str">
        <f>IF(ISERROR(FIND('112'!$M$9,G3128,1)),"",IF((AND(FIND('112'!$M$9,G3128,1)&gt;=1,$B3128&gt;='112'!$N$8,$B3128&lt;='112'!$O$8,OR($L3128='112'!$I$6,$M3128='112'!$I$6))),"x",""))</f>
        <v/>
      </c>
      <c r="S3128" s="525" t="str">
        <f>IF(ISERROR(FIND('112'!$M$9,G3128,1)),"",IF((AND(LEFT(G3128,2)=LEFT('112'!$M$9,2),B3128&lt;'112'!$N$8,$L3128='112'!$I$6)),"x",""))</f>
        <v/>
      </c>
      <c r="T3128" s="525" t="str">
        <f>IF(ISERROR(FIND('112'!$M$9,G3128,1)),"",IF((AND(RIGHT(G3128,2)=RIGHT('112'!$M$9,2),B3128&lt;'112'!$N$8,$M3128='112'!$I$6)),"x",""))</f>
        <v/>
      </c>
      <c r="U3128" s="525" t="str">
        <f>IF(AND(B3128&gt;='IN-NX'!$P$3,B3128&lt;='IN-NX'!$Q$3,'IN-NX'!$D$7=D3128,OR(LEFT(L3128,2)="15",AND(LEFT(M3128,2)&lt;&gt;"15",LEFT(M3128,2)&lt;&gt;"33"))),"x","")</f>
        <v/>
      </c>
      <c r="V3128" s="525" t="str">
        <f>IF(AND(OR(LEFT(TH!L3128,2)="15",LEFT(TH!M3128,2)="15"),'152-CT'!$J$8=TH!F3128),"x","")</f>
        <v/>
      </c>
      <c r="W3128" s="525" t="str">
        <f>IF(AND(OR(LEFT(TH!L3128,2)="15",LEFT(TH!M3128,2)="15"),TK!$E$7=TH!F3128),"x","")</f>
        <v/>
      </c>
      <c r="X3128" s="525" t="str">
        <f>IF(AND('341-CT'!$E$9=H3128,OR(LEFT(L3128,3)=$X$7,LEFT(M3128,3)=$X$7)),"x","")</f>
        <v/>
      </c>
      <c r="Y3128" s="525" t="str">
        <f>IF(OR(TH!L3128=TH!$Y$7,M3128=TH!$Y$7),"x","")</f>
        <v/>
      </c>
      <c r="Z3128" s="525" t="str">
        <f>IF(AND(B3128&lt;=NKC!$N$8,B3128&gt;=NKC!$M$8),"x","")</f>
        <v/>
      </c>
      <c r="AA3128" s="526"/>
      <c r="AB3128" s="527"/>
    </row>
    <row r="3129" spans="1:28" s="576" customFormat="1" ht="15.75" customHeight="1">
      <c r="A3129" s="517" t="str">
        <f>IF(B3129&lt;&gt;"",IF(AND(B3129&gt;=_TM1,B3129&lt;=_TM2,OR(TH!L3129="1111",TH!M3129="1111")),TH!D3129,""),"")</f>
        <v/>
      </c>
      <c r="B3129" s="518">
        <f t="shared" si="281"/>
        <v>5</v>
      </c>
      <c r="C3129" s="571">
        <f t="shared" si="282"/>
        <v>42886</v>
      </c>
      <c r="D3129" s="571" t="s">
        <v>996</v>
      </c>
      <c r="E3129" s="571">
        <v>42886</v>
      </c>
      <c r="F3129" s="520" t="s">
        <v>1162</v>
      </c>
      <c r="G3129" s="573" t="s">
        <v>1141</v>
      </c>
      <c r="H3129" s="574" t="s">
        <v>800</v>
      </c>
      <c r="I3129" s="523">
        <v>20</v>
      </c>
      <c r="J3129" s="523">
        <v>188620</v>
      </c>
      <c r="K3129" s="575">
        <f t="shared" si="283"/>
        <v>3772400</v>
      </c>
      <c r="L3129" s="591" t="s">
        <v>160</v>
      </c>
      <c r="M3129" s="591" t="s">
        <v>292</v>
      </c>
      <c r="N3129" s="525" t="str">
        <f>IF(AND('331-CT'!$E$7=TH!H3129,OR(L3129="331",M3129="331")),"331",IF(AND(OR(L3129="131",M3129="131"),H3129='131-CT'!$E$7),"131",""))</f>
        <v/>
      </c>
      <c r="O3129" s="525" t="str">
        <f>IF(AND($B3129&gt;='111'!$N$11,$B3129&lt;='111'!$O$11,OR($L3129=$O$7,$M3129=$O$7)),"x","")</f>
        <v/>
      </c>
      <c r="P3129" s="525" t="str">
        <f>IF(AND($L3129=$O$7,$B3129&lt;'111'!$N$11),"x","")</f>
        <v/>
      </c>
      <c r="Q3129" s="525" t="str">
        <f>IF(AND($M3129=$O$7,$B3129&lt;'111'!$N$11),"x","")</f>
        <v/>
      </c>
      <c r="R3129" s="525" t="str">
        <f>IF(ISERROR(FIND('112'!$M$9,G3129,1)),"",IF((AND(FIND('112'!$M$9,G3129,1)&gt;=1,$B3129&gt;='112'!$N$8,$B3129&lt;='112'!$O$8,OR($L3129='112'!$I$6,$M3129='112'!$I$6))),"x",""))</f>
        <v/>
      </c>
      <c r="S3129" s="525" t="str">
        <f>IF(ISERROR(FIND('112'!$M$9,G3129,1)),"",IF((AND(LEFT(G3129,2)=LEFT('112'!$M$9,2),B3129&lt;'112'!$N$8,$L3129='112'!$I$6)),"x",""))</f>
        <v/>
      </c>
      <c r="T3129" s="525" t="str">
        <f>IF(ISERROR(FIND('112'!$M$9,G3129,1)),"",IF((AND(RIGHT(G3129,2)=RIGHT('112'!$M$9,2),B3129&lt;'112'!$N$8,$M3129='112'!$I$6)),"x",""))</f>
        <v/>
      </c>
      <c r="U3129" s="525" t="str">
        <f>IF(AND(B3129&gt;='IN-NX'!$P$3,B3129&lt;='IN-NX'!$Q$3,'IN-NX'!$D$7=D3129,OR(LEFT(L3129,2)="15",AND(LEFT(M3129,2)&lt;&gt;"15",LEFT(M3129,2)&lt;&gt;"33"))),"x","")</f>
        <v/>
      </c>
      <c r="V3129" s="525" t="str">
        <f>IF(AND(OR(LEFT(TH!L3129,2)="15",LEFT(TH!M3129,2)="15"),'152-CT'!$J$8=TH!F3129),"x","")</f>
        <v/>
      </c>
      <c r="W3129" s="525" t="str">
        <f>IF(AND(OR(LEFT(TH!L3129,2)="15",LEFT(TH!M3129,2)="15"),TK!$E$7=TH!F3129),"x","")</f>
        <v/>
      </c>
      <c r="X3129" s="525" t="str">
        <f>IF(AND('341-CT'!$E$9=H3129,OR(LEFT(L3129,3)=$X$7,LEFT(M3129,3)=$X$7)),"x","")</f>
        <v/>
      </c>
      <c r="Y3129" s="525" t="str">
        <f>IF(OR(TH!L3129=TH!$Y$7,M3129=TH!$Y$7),"x","")</f>
        <v/>
      </c>
      <c r="Z3129" s="525" t="str">
        <f>IF(AND(B3129&lt;=NKC!$N$8,B3129&gt;=NKC!$M$8),"x","")</f>
        <v/>
      </c>
      <c r="AA3129" s="526"/>
      <c r="AB3129" s="527"/>
    </row>
    <row r="3130" spans="1:28" s="576" customFormat="1" ht="15.75" customHeight="1">
      <c r="A3130" s="517" t="str">
        <f>IF(B3130&lt;&gt;"",IF(AND(B3130&gt;=_TM1,B3130&lt;=_TM2,OR(TH!L3130="1111",TH!M3130="1111")),TH!D3130,""),"")</f>
        <v/>
      </c>
      <c r="B3130" s="518">
        <f t="shared" si="281"/>
        <v>5</v>
      </c>
      <c r="C3130" s="571">
        <f t="shared" si="282"/>
        <v>42886</v>
      </c>
      <c r="D3130" s="571" t="s">
        <v>996</v>
      </c>
      <c r="E3130" s="571">
        <v>42886</v>
      </c>
      <c r="F3130" s="520" t="s">
        <v>1163</v>
      </c>
      <c r="G3130" s="573" t="s">
        <v>1141</v>
      </c>
      <c r="H3130" s="574" t="s">
        <v>800</v>
      </c>
      <c r="I3130" s="523">
        <v>20</v>
      </c>
      <c r="J3130" s="523">
        <v>44160</v>
      </c>
      <c r="K3130" s="575">
        <f t="shared" si="283"/>
        <v>883200</v>
      </c>
      <c r="L3130" s="591" t="s">
        <v>160</v>
      </c>
      <c r="M3130" s="591" t="s">
        <v>292</v>
      </c>
      <c r="N3130" s="525" t="str">
        <f>IF(AND('331-CT'!$E$7=TH!H3130,OR(L3130="331",M3130="331")),"331",IF(AND(OR(L3130="131",M3130="131"),H3130='131-CT'!$E$7),"131",""))</f>
        <v/>
      </c>
      <c r="O3130" s="525" t="str">
        <f>IF(AND($B3130&gt;='111'!$N$11,$B3130&lt;='111'!$O$11,OR($L3130=$O$7,$M3130=$O$7)),"x","")</f>
        <v/>
      </c>
      <c r="P3130" s="525" t="str">
        <f>IF(AND($L3130=$O$7,$B3130&lt;'111'!$N$11),"x","")</f>
        <v/>
      </c>
      <c r="Q3130" s="525" t="str">
        <f>IF(AND($M3130=$O$7,$B3130&lt;'111'!$N$11),"x","")</f>
        <v/>
      </c>
      <c r="R3130" s="525" t="str">
        <f>IF(ISERROR(FIND('112'!$M$9,G3130,1)),"",IF((AND(FIND('112'!$M$9,G3130,1)&gt;=1,$B3130&gt;='112'!$N$8,$B3130&lt;='112'!$O$8,OR($L3130='112'!$I$6,$M3130='112'!$I$6))),"x",""))</f>
        <v/>
      </c>
      <c r="S3130" s="525" t="str">
        <f>IF(ISERROR(FIND('112'!$M$9,G3130,1)),"",IF((AND(LEFT(G3130,2)=LEFT('112'!$M$9,2),B3130&lt;'112'!$N$8,$L3130='112'!$I$6)),"x",""))</f>
        <v/>
      </c>
      <c r="T3130" s="525" t="str">
        <f>IF(ISERROR(FIND('112'!$M$9,G3130,1)),"",IF((AND(RIGHT(G3130,2)=RIGHT('112'!$M$9,2),B3130&lt;'112'!$N$8,$M3130='112'!$I$6)),"x",""))</f>
        <v/>
      </c>
      <c r="U3130" s="525" t="str">
        <f>IF(AND(B3130&gt;='IN-NX'!$P$3,B3130&lt;='IN-NX'!$Q$3,'IN-NX'!$D$7=D3130,OR(LEFT(L3130,2)="15",AND(LEFT(M3130,2)&lt;&gt;"15",LEFT(M3130,2)&lt;&gt;"33"))),"x","")</f>
        <v/>
      </c>
      <c r="V3130" s="525" t="str">
        <f>IF(AND(OR(LEFT(TH!L3130,2)="15",LEFT(TH!M3130,2)="15"),'152-CT'!$J$8=TH!F3130),"x","")</f>
        <v/>
      </c>
      <c r="W3130" s="525" t="str">
        <f>IF(AND(OR(LEFT(TH!L3130,2)="15",LEFT(TH!M3130,2)="15"),TK!$E$7=TH!F3130),"x","")</f>
        <v/>
      </c>
      <c r="X3130" s="525" t="str">
        <f>IF(AND('341-CT'!$E$9=H3130,OR(LEFT(L3130,3)=$X$7,LEFT(M3130,3)=$X$7)),"x","")</f>
        <v/>
      </c>
      <c r="Y3130" s="525" t="str">
        <f>IF(OR(TH!L3130=TH!$Y$7,M3130=TH!$Y$7),"x","")</f>
        <v/>
      </c>
      <c r="Z3130" s="525" t="str">
        <f>IF(AND(B3130&lt;=NKC!$N$8,B3130&gt;=NKC!$M$8),"x","")</f>
        <v/>
      </c>
      <c r="AA3130" s="526"/>
      <c r="AB3130" s="527"/>
    </row>
    <row r="3131" spans="1:28" s="576" customFormat="1" ht="15.75" customHeight="1">
      <c r="A3131" s="517" t="str">
        <f>IF(B3131&lt;&gt;"",IF(AND(B3131&gt;=_TM1,B3131&lt;=_TM2,OR(TH!L3131="1111",TH!M3131="1111")),TH!D3131,""),"")</f>
        <v/>
      </c>
      <c r="B3131" s="518">
        <f t="shared" si="281"/>
        <v>5</v>
      </c>
      <c r="C3131" s="571">
        <f t="shared" si="282"/>
        <v>42886</v>
      </c>
      <c r="D3131" s="571" t="s">
        <v>996</v>
      </c>
      <c r="E3131" s="571">
        <v>42886</v>
      </c>
      <c r="F3131" s="520" t="s">
        <v>731</v>
      </c>
      <c r="G3131" s="573" t="s">
        <v>1141</v>
      </c>
      <c r="H3131" s="574" t="s">
        <v>800</v>
      </c>
      <c r="I3131" s="523">
        <v>14</v>
      </c>
      <c r="J3131" s="523">
        <v>55670</v>
      </c>
      <c r="K3131" s="575">
        <f t="shared" si="283"/>
        <v>779380</v>
      </c>
      <c r="L3131" s="591" t="s">
        <v>160</v>
      </c>
      <c r="M3131" s="591" t="s">
        <v>292</v>
      </c>
      <c r="N3131" s="525" t="str">
        <f>IF(AND('331-CT'!$E$7=TH!H3131,OR(L3131="331",M3131="331")),"331",IF(AND(OR(L3131="131",M3131="131"),H3131='131-CT'!$E$7),"131",""))</f>
        <v/>
      </c>
      <c r="O3131" s="525" t="str">
        <f>IF(AND($B3131&gt;='111'!$N$11,$B3131&lt;='111'!$O$11,OR($L3131=$O$7,$M3131=$O$7)),"x","")</f>
        <v/>
      </c>
      <c r="P3131" s="525" t="str">
        <f>IF(AND($L3131=$O$7,$B3131&lt;'111'!$N$11),"x","")</f>
        <v/>
      </c>
      <c r="Q3131" s="525" t="str">
        <f>IF(AND($M3131=$O$7,$B3131&lt;'111'!$N$11),"x","")</f>
        <v/>
      </c>
      <c r="R3131" s="525" t="str">
        <f>IF(ISERROR(FIND('112'!$M$9,G3131,1)),"",IF((AND(FIND('112'!$M$9,G3131,1)&gt;=1,$B3131&gt;='112'!$N$8,$B3131&lt;='112'!$O$8,OR($L3131='112'!$I$6,$M3131='112'!$I$6))),"x",""))</f>
        <v/>
      </c>
      <c r="S3131" s="525" t="str">
        <f>IF(ISERROR(FIND('112'!$M$9,G3131,1)),"",IF((AND(LEFT(G3131,2)=LEFT('112'!$M$9,2),B3131&lt;'112'!$N$8,$L3131='112'!$I$6)),"x",""))</f>
        <v/>
      </c>
      <c r="T3131" s="525" t="str">
        <f>IF(ISERROR(FIND('112'!$M$9,G3131,1)),"",IF((AND(RIGHT(G3131,2)=RIGHT('112'!$M$9,2),B3131&lt;'112'!$N$8,$M3131='112'!$I$6)),"x",""))</f>
        <v/>
      </c>
      <c r="U3131" s="525" t="str">
        <f>IF(AND(B3131&gt;='IN-NX'!$P$3,B3131&lt;='IN-NX'!$Q$3,'IN-NX'!$D$7=D3131,OR(LEFT(L3131,2)="15",AND(LEFT(M3131,2)&lt;&gt;"15",LEFT(M3131,2)&lt;&gt;"33"))),"x","")</f>
        <v/>
      </c>
      <c r="V3131" s="525" t="str">
        <f>IF(AND(OR(LEFT(TH!L3131,2)="15",LEFT(TH!M3131,2)="15"),'152-CT'!$J$8=TH!F3131),"x","")</f>
        <v/>
      </c>
      <c r="W3131" s="525" t="str">
        <f>IF(AND(OR(LEFT(TH!L3131,2)="15",LEFT(TH!M3131,2)="15"),TK!$E$7=TH!F3131),"x","")</f>
        <v/>
      </c>
      <c r="X3131" s="525" t="str">
        <f>IF(AND('341-CT'!$E$9=H3131,OR(LEFT(L3131,3)=$X$7,LEFT(M3131,3)=$X$7)),"x","")</f>
        <v/>
      </c>
      <c r="Y3131" s="525" t="str">
        <f>IF(OR(TH!L3131=TH!$Y$7,M3131=TH!$Y$7),"x","")</f>
        <v/>
      </c>
      <c r="Z3131" s="525" t="str">
        <f>IF(AND(B3131&lt;=NKC!$N$8,B3131&gt;=NKC!$M$8),"x","")</f>
        <v/>
      </c>
      <c r="AA3131" s="526"/>
      <c r="AB3131" s="527"/>
    </row>
    <row r="3132" spans="1:28" s="576" customFormat="1" ht="15.75" customHeight="1">
      <c r="A3132" s="517" t="str">
        <f>IF(B3132&lt;&gt;"",IF(AND(B3132&gt;=_TM1,B3132&lt;=_TM2,OR(TH!L3132="1111",TH!M3132="1111")),TH!D3132,""),"")</f>
        <v/>
      </c>
      <c r="B3132" s="518">
        <f t="shared" si="281"/>
        <v>5</v>
      </c>
      <c r="C3132" s="571">
        <f t="shared" si="282"/>
        <v>42886</v>
      </c>
      <c r="D3132" s="571" t="s">
        <v>996</v>
      </c>
      <c r="E3132" s="571">
        <v>42886</v>
      </c>
      <c r="F3132" s="520" t="s">
        <v>733</v>
      </c>
      <c r="G3132" s="573" t="s">
        <v>1141</v>
      </c>
      <c r="H3132" s="574" t="s">
        <v>800</v>
      </c>
      <c r="I3132" s="523">
        <v>54</v>
      </c>
      <c r="J3132" s="523">
        <v>45390</v>
      </c>
      <c r="K3132" s="575">
        <f t="shared" si="283"/>
        <v>2451060</v>
      </c>
      <c r="L3132" s="591" t="s">
        <v>160</v>
      </c>
      <c r="M3132" s="591" t="s">
        <v>292</v>
      </c>
      <c r="N3132" s="525" t="str">
        <f>IF(AND('331-CT'!$E$7=TH!H3132,OR(L3132="331",M3132="331")),"331",IF(AND(OR(L3132="131",M3132="131"),H3132='131-CT'!$E$7),"131",""))</f>
        <v/>
      </c>
      <c r="O3132" s="525" t="str">
        <f>IF(AND($B3132&gt;='111'!$N$11,$B3132&lt;='111'!$O$11,OR($L3132=$O$7,$M3132=$O$7)),"x","")</f>
        <v/>
      </c>
      <c r="P3132" s="525" t="str">
        <f>IF(AND($L3132=$O$7,$B3132&lt;'111'!$N$11),"x","")</f>
        <v/>
      </c>
      <c r="Q3132" s="525" t="str">
        <f>IF(AND($M3132=$O$7,$B3132&lt;'111'!$N$11),"x","")</f>
        <v/>
      </c>
      <c r="R3132" s="525" t="str">
        <f>IF(ISERROR(FIND('112'!$M$9,G3132,1)),"",IF((AND(FIND('112'!$M$9,G3132,1)&gt;=1,$B3132&gt;='112'!$N$8,$B3132&lt;='112'!$O$8,OR($L3132='112'!$I$6,$M3132='112'!$I$6))),"x",""))</f>
        <v/>
      </c>
      <c r="S3132" s="525" t="str">
        <f>IF(ISERROR(FIND('112'!$M$9,G3132,1)),"",IF((AND(LEFT(G3132,2)=LEFT('112'!$M$9,2),B3132&lt;'112'!$N$8,$L3132='112'!$I$6)),"x",""))</f>
        <v/>
      </c>
      <c r="T3132" s="525" t="str">
        <f>IF(ISERROR(FIND('112'!$M$9,G3132,1)),"",IF((AND(RIGHT(G3132,2)=RIGHT('112'!$M$9,2),B3132&lt;'112'!$N$8,$M3132='112'!$I$6)),"x",""))</f>
        <v/>
      </c>
      <c r="U3132" s="525" t="str">
        <f>IF(AND(B3132&gt;='IN-NX'!$P$3,B3132&lt;='IN-NX'!$Q$3,'IN-NX'!$D$7=D3132,OR(LEFT(L3132,2)="15",AND(LEFT(M3132,2)&lt;&gt;"15",LEFT(M3132,2)&lt;&gt;"33"))),"x","")</f>
        <v/>
      </c>
      <c r="V3132" s="525" t="str">
        <f>IF(AND(OR(LEFT(TH!L3132,2)="15",LEFT(TH!M3132,2)="15"),'152-CT'!$J$8=TH!F3132),"x","")</f>
        <v/>
      </c>
      <c r="W3132" s="525" t="str">
        <f>IF(AND(OR(LEFT(TH!L3132,2)="15",LEFT(TH!M3132,2)="15"),TK!$E$7=TH!F3132),"x","")</f>
        <v/>
      </c>
      <c r="X3132" s="525" t="str">
        <f>IF(AND('341-CT'!$E$9=H3132,OR(LEFT(L3132,3)=$X$7,LEFT(M3132,3)=$X$7)),"x","")</f>
        <v/>
      </c>
      <c r="Y3132" s="525" t="str">
        <f>IF(OR(TH!L3132=TH!$Y$7,M3132=TH!$Y$7),"x","")</f>
        <v/>
      </c>
      <c r="Z3132" s="525" t="str">
        <f>IF(AND(B3132&lt;=NKC!$N$8,B3132&gt;=NKC!$M$8),"x","")</f>
        <v/>
      </c>
      <c r="AA3132" s="526"/>
      <c r="AB3132" s="527"/>
    </row>
    <row r="3133" spans="1:28" s="576" customFormat="1" ht="15.75" customHeight="1">
      <c r="A3133" s="517" t="str">
        <f>IF(B3133&lt;&gt;"",IF(AND(B3133&gt;=_TM1,B3133&lt;=_TM2,OR(TH!L3133="1111",TH!M3133="1111")),TH!D3133,""),"")</f>
        <v/>
      </c>
      <c r="B3133" s="518">
        <f t="shared" si="281"/>
        <v>5</v>
      </c>
      <c r="C3133" s="571">
        <f t="shared" si="282"/>
        <v>42886</v>
      </c>
      <c r="D3133" s="571" t="s">
        <v>996</v>
      </c>
      <c r="E3133" s="571">
        <v>42886</v>
      </c>
      <c r="F3133" s="520" t="s">
        <v>1026</v>
      </c>
      <c r="G3133" s="573" t="s">
        <v>1141</v>
      </c>
      <c r="H3133" s="574" t="s">
        <v>800</v>
      </c>
      <c r="I3133" s="523">
        <v>12</v>
      </c>
      <c r="J3133" s="523">
        <v>90340</v>
      </c>
      <c r="K3133" s="575">
        <f t="shared" si="283"/>
        <v>1084080</v>
      </c>
      <c r="L3133" s="591" t="s">
        <v>160</v>
      </c>
      <c r="M3133" s="591" t="s">
        <v>292</v>
      </c>
      <c r="N3133" s="525" t="str">
        <f>IF(AND('331-CT'!$E$7=TH!H3133,OR(L3133="331",M3133="331")),"331",IF(AND(OR(L3133="131",M3133="131"),H3133='131-CT'!$E$7),"131",""))</f>
        <v/>
      </c>
      <c r="O3133" s="525" t="str">
        <f>IF(AND($B3133&gt;='111'!$N$11,$B3133&lt;='111'!$O$11,OR($L3133=$O$7,$M3133=$O$7)),"x","")</f>
        <v/>
      </c>
      <c r="P3133" s="525" t="str">
        <f>IF(AND($L3133=$O$7,$B3133&lt;'111'!$N$11),"x","")</f>
        <v/>
      </c>
      <c r="Q3133" s="525" t="str">
        <f>IF(AND($M3133=$O$7,$B3133&lt;'111'!$N$11),"x","")</f>
        <v/>
      </c>
      <c r="R3133" s="525" t="str">
        <f>IF(ISERROR(FIND('112'!$M$9,G3133,1)),"",IF((AND(FIND('112'!$M$9,G3133,1)&gt;=1,$B3133&gt;='112'!$N$8,$B3133&lt;='112'!$O$8,OR($L3133='112'!$I$6,$M3133='112'!$I$6))),"x",""))</f>
        <v/>
      </c>
      <c r="S3133" s="525" t="str">
        <f>IF(ISERROR(FIND('112'!$M$9,G3133,1)),"",IF((AND(LEFT(G3133,2)=LEFT('112'!$M$9,2),B3133&lt;'112'!$N$8,$L3133='112'!$I$6)),"x",""))</f>
        <v/>
      </c>
      <c r="T3133" s="525" t="str">
        <f>IF(ISERROR(FIND('112'!$M$9,G3133,1)),"",IF((AND(RIGHT(G3133,2)=RIGHT('112'!$M$9,2),B3133&lt;'112'!$N$8,$M3133='112'!$I$6)),"x",""))</f>
        <v/>
      </c>
      <c r="U3133" s="525" t="str">
        <f>IF(AND(B3133&gt;='IN-NX'!$P$3,B3133&lt;='IN-NX'!$Q$3,'IN-NX'!$D$7=D3133,OR(LEFT(L3133,2)="15",AND(LEFT(M3133,2)&lt;&gt;"15",LEFT(M3133,2)&lt;&gt;"33"))),"x","")</f>
        <v/>
      </c>
      <c r="V3133" s="525" t="str">
        <f>IF(AND(OR(LEFT(TH!L3133,2)="15",LEFT(TH!M3133,2)="15"),'152-CT'!$J$8=TH!F3133),"x","")</f>
        <v/>
      </c>
      <c r="W3133" s="525" t="str">
        <f>IF(AND(OR(LEFT(TH!L3133,2)="15",LEFT(TH!M3133,2)="15"),TK!$E$7=TH!F3133),"x","")</f>
        <v/>
      </c>
      <c r="X3133" s="525" t="str">
        <f>IF(AND('341-CT'!$E$9=H3133,OR(LEFT(L3133,3)=$X$7,LEFT(M3133,3)=$X$7)),"x","")</f>
        <v/>
      </c>
      <c r="Y3133" s="525" t="str">
        <f>IF(OR(TH!L3133=TH!$Y$7,M3133=TH!$Y$7),"x","")</f>
        <v/>
      </c>
      <c r="Z3133" s="525" t="str">
        <f>IF(AND(B3133&lt;=NKC!$N$8,B3133&gt;=NKC!$M$8),"x","")</f>
        <v/>
      </c>
      <c r="AA3133" s="526"/>
      <c r="AB3133" s="527"/>
    </row>
    <row r="3134" spans="1:28" s="576" customFormat="1" ht="15.75" customHeight="1">
      <c r="A3134" s="517" t="str">
        <f>IF(B3134&lt;&gt;"",IF(AND(B3134&gt;=_TM1,B3134&lt;=_TM2,OR(TH!L3134="1111",TH!M3134="1111")),TH!D3134,""),"")</f>
        <v/>
      </c>
      <c r="B3134" s="518">
        <f t="shared" si="281"/>
        <v>5</v>
      </c>
      <c r="C3134" s="571">
        <f t="shared" si="282"/>
        <v>42886</v>
      </c>
      <c r="D3134" s="571" t="s">
        <v>996</v>
      </c>
      <c r="E3134" s="571">
        <v>42886</v>
      </c>
      <c r="F3134" s="520" t="s">
        <v>1027</v>
      </c>
      <c r="G3134" s="573" t="s">
        <v>1141</v>
      </c>
      <c r="H3134" s="574" t="s">
        <v>800</v>
      </c>
      <c r="I3134" s="523">
        <v>6</v>
      </c>
      <c r="J3134" s="523">
        <v>77431</v>
      </c>
      <c r="K3134" s="575">
        <f t="shared" si="283"/>
        <v>464586</v>
      </c>
      <c r="L3134" s="591" t="s">
        <v>160</v>
      </c>
      <c r="M3134" s="591" t="s">
        <v>292</v>
      </c>
      <c r="N3134" s="525" t="str">
        <f>IF(AND('331-CT'!$E$7=TH!H3134,OR(L3134="331",M3134="331")),"331",IF(AND(OR(L3134="131",M3134="131"),H3134='131-CT'!$E$7),"131",""))</f>
        <v/>
      </c>
      <c r="O3134" s="525" t="str">
        <f>IF(AND($B3134&gt;='111'!$N$11,$B3134&lt;='111'!$O$11,OR($L3134=$O$7,$M3134=$O$7)),"x","")</f>
        <v/>
      </c>
      <c r="P3134" s="525" t="str">
        <f>IF(AND($L3134=$O$7,$B3134&lt;'111'!$N$11),"x","")</f>
        <v/>
      </c>
      <c r="Q3134" s="525" t="str">
        <f>IF(AND($M3134=$O$7,$B3134&lt;'111'!$N$11),"x","")</f>
        <v/>
      </c>
      <c r="R3134" s="525" t="str">
        <f>IF(ISERROR(FIND('112'!$M$9,G3134,1)),"",IF((AND(FIND('112'!$M$9,G3134,1)&gt;=1,$B3134&gt;='112'!$N$8,$B3134&lt;='112'!$O$8,OR($L3134='112'!$I$6,$M3134='112'!$I$6))),"x",""))</f>
        <v/>
      </c>
      <c r="S3134" s="525" t="str">
        <f>IF(ISERROR(FIND('112'!$M$9,G3134,1)),"",IF((AND(LEFT(G3134,2)=LEFT('112'!$M$9,2),B3134&lt;'112'!$N$8,$L3134='112'!$I$6)),"x",""))</f>
        <v/>
      </c>
      <c r="T3134" s="525" t="str">
        <f>IF(ISERROR(FIND('112'!$M$9,G3134,1)),"",IF((AND(RIGHT(G3134,2)=RIGHT('112'!$M$9,2),B3134&lt;'112'!$N$8,$M3134='112'!$I$6)),"x",""))</f>
        <v/>
      </c>
      <c r="U3134" s="525" t="str">
        <f>IF(AND(B3134&gt;='IN-NX'!$P$3,B3134&lt;='IN-NX'!$Q$3,'IN-NX'!$D$7=D3134,OR(LEFT(L3134,2)="15",AND(LEFT(M3134,2)&lt;&gt;"15",LEFT(M3134,2)&lt;&gt;"33"))),"x","")</f>
        <v/>
      </c>
      <c r="V3134" s="525" t="str">
        <f>IF(AND(OR(LEFT(TH!L3134,2)="15",LEFT(TH!M3134,2)="15"),'152-CT'!$J$8=TH!F3134),"x","")</f>
        <v/>
      </c>
      <c r="W3134" s="525" t="str">
        <f>IF(AND(OR(LEFT(TH!L3134,2)="15",LEFT(TH!M3134,2)="15"),TK!$E$7=TH!F3134),"x","")</f>
        <v/>
      </c>
      <c r="X3134" s="525" t="str">
        <f>IF(AND('341-CT'!$E$9=H3134,OR(LEFT(L3134,3)=$X$7,LEFT(M3134,3)=$X$7)),"x","")</f>
        <v/>
      </c>
      <c r="Y3134" s="525" t="str">
        <f>IF(OR(TH!L3134=TH!$Y$7,M3134=TH!$Y$7),"x","")</f>
        <v/>
      </c>
      <c r="Z3134" s="525" t="str">
        <f>IF(AND(B3134&lt;=NKC!$N$8,B3134&gt;=NKC!$M$8),"x","")</f>
        <v/>
      </c>
      <c r="AA3134" s="526"/>
      <c r="AB3134" s="527"/>
    </row>
    <row r="3135" spans="1:28" s="576" customFormat="1" ht="15.75" customHeight="1">
      <c r="A3135" s="517" t="str">
        <f>IF(B3135&lt;&gt;"",IF(AND(B3135&gt;=_TM1,B3135&lt;=_TM2,OR(TH!L3135="1111",TH!M3135="1111")),TH!D3135,""),"")</f>
        <v/>
      </c>
      <c r="B3135" s="518">
        <f t="shared" si="281"/>
        <v>5</v>
      </c>
      <c r="C3135" s="571">
        <f t="shared" si="282"/>
        <v>42886</v>
      </c>
      <c r="D3135" s="571" t="s">
        <v>996</v>
      </c>
      <c r="E3135" s="571">
        <v>42886</v>
      </c>
      <c r="F3135" s="572" t="s">
        <v>734</v>
      </c>
      <c r="G3135" s="573" t="s">
        <v>1141</v>
      </c>
      <c r="H3135" s="574" t="s">
        <v>800</v>
      </c>
      <c r="I3135" s="523">
        <v>8</v>
      </c>
      <c r="J3135" s="523">
        <v>99002</v>
      </c>
      <c r="K3135" s="575">
        <f t="shared" si="283"/>
        <v>792016</v>
      </c>
      <c r="L3135" s="591" t="s">
        <v>160</v>
      </c>
      <c r="M3135" s="591" t="s">
        <v>292</v>
      </c>
      <c r="N3135" s="525" t="str">
        <f>IF(AND('331-CT'!$E$7=TH!H3135,OR(L3135="331",M3135="331")),"331",IF(AND(OR(L3135="131",M3135="131"),H3135='131-CT'!$E$7),"131",""))</f>
        <v/>
      </c>
      <c r="O3135" s="525" t="str">
        <f>IF(AND($B3135&gt;='111'!$N$11,$B3135&lt;='111'!$O$11,OR($L3135=$O$7,$M3135=$O$7)),"x","")</f>
        <v/>
      </c>
      <c r="P3135" s="525" t="str">
        <f>IF(AND($L3135=$O$7,$B3135&lt;'111'!$N$11),"x","")</f>
        <v/>
      </c>
      <c r="Q3135" s="525" t="str">
        <f>IF(AND($M3135=$O$7,$B3135&lt;'111'!$N$11),"x","")</f>
        <v/>
      </c>
      <c r="R3135" s="525" t="str">
        <f>IF(ISERROR(FIND('112'!$M$9,G3135,1)),"",IF((AND(FIND('112'!$M$9,G3135,1)&gt;=1,$B3135&gt;='112'!$N$8,$B3135&lt;='112'!$O$8,OR($L3135='112'!$I$6,$M3135='112'!$I$6))),"x",""))</f>
        <v/>
      </c>
      <c r="S3135" s="525" t="str">
        <f>IF(ISERROR(FIND('112'!$M$9,G3135,1)),"",IF((AND(LEFT(G3135,2)=LEFT('112'!$M$9,2),B3135&lt;'112'!$N$8,$L3135='112'!$I$6)),"x",""))</f>
        <v/>
      </c>
      <c r="T3135" s="525" t="str">
        <f>IF(ISERROR(FIND('112'!$M$9,G3135,1)),"",IF((AND(RIGHT(G3135,2)=RIGHT('112'!$M$9,2),B3135&lt;'112'!$N$8,$M3135='112'!$I$6)),"x",""))</f>
        <v/>
      </c>
      <c r="U3135" s="525" t="str">
        <f>IF(AND(B3135&gt;='IN-NX'!$P$3,B3135&lt;='IN-NX'!$Q$3,'IN-NX'!$D$7=D3135,OR(LEFT(L3135,2)="15",AND(LEFT(M3135,2)&lt;&gt;"15",LEFT(M3135,2)&lt;&gt;"33"))),"x","")</f>
        <v/>
      </c>
      <c r="V3135" s="525" t="str">
        <f>IF(AND(OR(LEFT(TH!L3135,2)="15",LEFT(TH!M3135,2)="15"),'152-CT'!$J$8=TH!F3135),"x","")</f>
        <v/>
      </c>
      <c r="W3135" s="525" t="str">
        <f>IF(AND(OR(LEFT(TH!L3135,2)="15",LEFT(TH!M3135,2)="15"),TK!$E$7=TH!F3135),"x","")</f>
        <v/>
      </c>
      <c r="X3135" s="525" t="str">
        <f>IF(AND('341-CT'!$E$9=H3135,OR(LEFT(L3135,3)=$X$7,LEFT(M3135,3)=$X$7)),"x","")</f>
        <v/>
      </c>
      <c r="Y3135" s="525" t="str">
        <f>IF(OR(TH!L3135=TH!$Y$7,M3135=TH!$Y$7),"x","")</f>
        <v/>
      </c>
      <c r="Z3135" s="525" t="str">
        <f>IF(AND(B3135&lt;=NKC!$N$8,B3135&gt;=NKC!$M$8),"x","")</f>
        <v/>
      </c>
      <c r="AA3135" s="526"/>
      <c r="AB3135" s="527"/>
    </row>
    <row r="3136" spans="1:28" s="576" customFormat="1" ht="15.75" customHeight="1">
      <c r="A3136" s="517" t="str">
        <f>IF(B3136&lt;&gt;"",IF(AND(B3136&gt;=_TM1,B3136&lt;=_TM2,OR(TH!L3136="1111",TH!M3136="1111")),TH!D3136,""),"")</f>
        <v/>
      </c>
      <c r="B3136" s="518">
        <f t="shared" si="281"/>
        <v>5</v>
      </c>
      <c r="C3136" s="571">
        <f t="shared" si="282"/>
        <v>42886</v>
      </c>
      <c r="D3136" s="571" t="s">
        <v>996</v>
      </c>
      <c r="E3136" s="571">
        <v>42886</v>
      </c>
      <c r="F3136" s="520" t="s">
        <v>1164</v>
      </c>
      <c r="G3136" s="573" t="s">
        <v>1141</v>
      </c>
      <c r="H3136" s="574" t="s">
        <v>800</v>
      </c>
      <c r="I3136" s="523">
        <v>753</v>
      </c>
      <c r="J3136" s="523">
        <v>11280</v>
      </c>
      <c r="K3136" s="575">
        <f t="shared" si="283"/>
        <v>8493840</v>
      </c>
      <c r="L3136" s="591" t="s">
        <v>160</v>
      </c>
      <c r="M3136" s="591" t="s">
        <v>292</v>
      </c>
      <c r="N3136" s="525" t="str">
        <f>IF(AND('331-CT'!$E$7=TH!H3136,OR(L3136="331",M3136="331")),"331",IF(AND(OR(L3136="131",M3136="131"),H3136='131-CT'!$E$7),"131",""))</f>
        <v/>
      </c>
      <c r="O3136" s="525" t="str">
        <f>IF(AND($B3136&gt;='111'!$N$11,$B3136&lt;='111'!$O$11,OR($L3136=$O$7,$M3136=$O$7)),"x","")</f>
        <v/>
      </c>
      <c r="P3136" s="525" t="str">
        <f>IF(AND($L3136=$O$7,$B3136&lt;'111'!$N$11),"x","")</f>
        <v/>
      </c>
      <c r="Q3136" s="525" t="str">
        <f>IF(AND($M3136=$O$7,$B3136&lt;'111'!$N$11),"x","")</f>
        <v/>
      </c>
      <c r="R3136" s="525" t="str">
        <f>IF(ISERROR(FIND('112'!$M$9,G3136,1)),"",IF((AND(FIND('112'!$M$9,G3136,1)&gt;=1,$B3136&gt;='112'!$N$8,$B3136&lt;='112'!$O$8,OR($L3136='112'!$I$6,$M3136='112'!$I$6))),"x",""))</f>
        <v/>
      </c>
      <c r="S3136" s="525" t="str">
        <f>IF(ISERROR(FIND('112'!$M$9,G3136,1)),"",IF((AND(LEFT(G3136,2)=LEFT('112'!$M$9,2),B3136&lt;'112'!$N$8,$L3136='112'!$I$6)),"x",""))</f>
        <v/>
      </c>
      <c r="T3136" s="525" t="str">
        <f>IF(ISERROR(FIND('112'!$M$9,G3136,1)),"",IF((AND(RIGHT(G3136,2)=RIGHT('112'!$M$9,2),B3136&lt;'112'!$N$8,$M3136='112'!$I$6)),"x",""))</f>
        <v/>
      </c>
      <c r="U3136" s="525" t="str">
        <f>IF(AND(B3136&gt;='IN-NX'!$P$3,B3136&lt;='IN-NX'!$Q$3,'IN-NX'!$D$7=D3136,OR(LEFT(L3136,2)="15",AND(LEFT(M3136,2)&lt;&gt;"15",LEFT(M3136,2)&lt;&gt;"33"))),"x","")</f>
        <v/>
      </c>
      <c r="V3136" s="525" t="str">
        <f>IF(AND(OR(LEFT(TH!L3136,2)="15",LEFT(TH!M3136,2)="15"),'152-CT'!$J$8=TH!F3136),"x","")</f>
        <v/>
      </c>
      <c r="W3136" s="525" t="str">
        <f>IF(AND(OR(LEFT(TH!L3136,2)="15",LEFT(TH!M3136,2)="15"),TK!$E$7=TH!F3136),"x","")</f>
        <v>x</v>
      </c>
      <c r="X3136" s="525" t="str">
        <f>IF(AND('341-CT'!$E$9=H3136,OR(LEFT(L3136,3)=$X$7,LEFT(M3136,3)=$X$7)),"x","")</f>
        <v/>
      </c>
      <c r="Y3136" s="525" t="str">
        <f>IF(OR(TH!L3136=TH!$Y$7,M3136=TH!$Y$7),"x","")</f>
        <v/>
      </c>
      <c r="Z3136" s="525" t="str">
        <f>IF(AND(B3136&lt;=NKC!$N$8,B3136&gt;=NKC!$M$8),"x","")</f>
        <v/>
      </c>
      <c r="AA3136" s="526"/>
      <c r="AB3136" s="527"/>
    </row>
    <row r="3137" spans="1:28" s="576" customFormat="1" ht="15.75" customHeight="1">
      <c r="A3137" s="517" t="str">
        <f>IF(B3137&lt;&gt;"",IF(AND(B3137&gt;=_TM1,B3137&lt;=_TM2,OR(TH!L3137="1111",TH!M3137="1111")),TH!D3137,""),"")</f>
        <v/>
      </c>
      <c r="B3137" s="518">
        <f t="shared" si="281"/>
        <v>5</v>
      </c>
      <c r="C3137" s="571">
        <f t="shared" si="282"/>
        <v>42886</v>
      </c>
      <c r="D3137" s="571" t="s">
        <v>996</v>
      </c>
      <c r="E3137" s="571">
        <v>42886</v>
      </c>
      <c r="F3137" s="520" t="s">
        <v>651</v>
      </c>
      <c r="G3137" s="573" t="s">
        <v>1141</v>
      </c>
      <c r="H3137" s="574" t="s">
        <v>800</v>
      </c>
      <c r="I3137" s="523">
        <v>20</v>
      </c>
      <c r="J3137" s="523">
        <v>111846</v>
      </c>
      <c r="K3137" s="575">
        <f t="shared" si="283"/>
        <v>2236920</v>
      </c>
      <c r="L3137" s="591" t="s">
        <v>160</v>
      </c>
      <c r="M3137" s="591" t="s">
        <v>292</v>
      </c>
      <c r="N3137" s="525" t="str">
        <f>IF(AND('331-CT'!$E$7=TH!H3137,OR(L3137="331",M3137="331")),"331",IF(AND(OR(L3137="131",M3137="131"),H3137='131-CT'!$E$7),"131",""))</f>
        <v/>
      </c>
      <c r="O3137" s="525" t="str">
        <f>IF(AND($B3137&gt;='111'!$N$11,$B3137&lt;='111'!$O$11,OR($L3137=$O$7,$M3137=$O$7)),"x","")</f>
        <v/>
      </c>
      <c r="P3137" s="525" t="str">
        <f>IF(AND($L3137=$O$7,$B3137&lt;'111'!$N$11),"x","")</f>
        <v/>
      </c>
      <c r="Q3137" s="525" t="str">
        <f>IF(AND($M3137=$O$7,$B3137&lt;'111'!$N$11),"x","")</f>
        <v/>
      </c>
      <c r="R3137" s="525" t="str">
        <f>IF(ISERROR(FIND('112'!$M$9,G3137,1)),"",IF((AND(FIND('112'!$M$9,G3137,1)&gt;=1,$B3137&gt;='112'!$N$8,$B3137&lt;='112'!$O$8,OR($L3137='112'!$I$6,$M3137='112'!$I$6))),"x",""))</f>
        <v/>
      </c>
      <c r="S3137" s="525" t="str">
        <f>IF(ISERROR(FIND('112'!$M$9,G3137,1)),"",IF((AND(LEFT(G3137,2)=LEFT('112'!$M$9,2),B3137&lt;'112'!$N$8,$L3137='112'!$I$6)),"x",""))</f>
        <v/>
      </c>
      <c r="T3137" s="525" t="str">
        <f>IF(ISERROR(FIND('112'!$M$9,G3137,1)),"",IF((AND(RIGHT(G3137,2)=RIGHT('112'!$M$9,2),B3137&lt;'112'!$N$8,$M3137='112'!$I$6)),"x",""))</f>
        <v/>
      </c>
      <c r="U3137" s="525" t="str">
        <f>IF(AND(B3137&gt;='IN-NX'!$P$3,B3137&lt;='IN-NX'!$Q$3,'IN-NX'!$D$7=D3137,OR(LEFT(L3137,2)="15",AND(LEFT(M3137,2)&lt;&gt;"15",LEFT(M3137,2)&lt;&gt;"33"))),"x","")</f>
        <v/>
      </c>
      <c r="V3137" s="525" t="str">
        <f>IF(AND(OR(LEFT(TH!L3137,2)="15",LEFT(TH!M3137,2)="15"),'152-CT'!$J$8=TH!F3137),"x","")</f>
        <v/>
      </c>
      <c r="W3137" s="525" t="str">
        <f>IF(AND(OR(LEFT(TH!L3137,2)="15",LEFT(TH!M3137,2)="15"),TK!$E$7=TH!F3137),"x","")</f>
        <v/>
      </c>
      <c r="X3137" s="525" t="str">
        <f>IF(AND('341-CT'!$E$9=H3137,OR(LEFT(L3137,3)=$X$7,LEFT(M3137,3)=$X$7)),"x","")</f>
        <v/>
      </c>
      <c r="Y3137" s="525" t="str">
        <f>IF(OR(TH!L3137=TH!$Y$7,M3137=TH!$Y$7),"x","")</f>
        <v/>
      </c>
      <c r="Z3137" s="525" t="str">
        <f>IF(AND(B3137&lt;=NKC!$N$8,B3137&gt;=NKC!$M$8),"x","")</f>
        <v/>
      </c>
      <c r="AA3137" s="526"/>
      <c r="AB3137" s="527"/>
    </row>
    <row r="3138" spans="1:28" s="576" customFormat="1" ht="15.75" customHeight="1">
      <c r="A3138" s="517" t="str">
        <f>IF(B3138&lt;&gt;"",IF(AND(B3138&gt;=_TM1,B3138&lt;=_TM2,OR(TH!L3138="1111",TH!M3138="1111")),TH!D3138,""),"")</f>
        <v/>
      </c>
      <c r="B3138" s="518">
        <f t="shared" si="281"/>
        <v>5</v>
      </c>
      <c r="C3138" s="571">
        <f t="shared" si="282"/>
        <v>42886</v>
      </c>
      <c r="D3138" s="571" t="s">
        <v>996</v>
      </c>
      <c r="E3138" s="571">
        <v>42886</v>
      </c>
      <c r="F3138" s="520" t="s">
        <v>656</v>
      </c>
      <c r="G3138" s="573" t="s">
        <v>1141</v>
      </c>
      <c r="H3138" s="574" t="s">
        <v>800</v>
      </c>
      <c r="I3138" s="523">
        <v>15</v>
      </c>
      <c r="J3138" s="523">
        <v>74350</v>
      </c>
      <c r="K3138" s="575">
        <f t="shared" si="283"/>
        <v>1115250</v>
      </c>
      <c r="L3138" s="591" t="s">
        <v>160</v>
      </c>
      <c r="M3138" s="591" t="s">
        <v>292</v>
      </c>
      <c r="N3138" s="525" t="str">
        <f>IF(AND('331-CT'!$E$7=TH!H3138,OR(L3138="331",M3138="331")),"331",IF(AND(OR(L3138="131",M3138="131"),H3138='131-CT'!$E$7),"131",""))</f>
        <v/>
      </c>
      <c r="O3138" s="525" t="str">
        <f>IF(AND($B3138&gt;='111'!$N$11,$B3138&lt;='111'!$O$11,OR($L3138=$O$7,$M3138=$O$7)),"x","")</f>
        <v/>
      </c>
      <c r="P3138" s="525" t="str">
        <f>IF(AND($L3138=$O$7,$B3138&lt;'111'!$N$11),"x","")</f>
        <v/>
      </c>
      <c r="Q3138" s="525" t="str">
        <f>IF(AND($M3138=$O$7,$B3138&lt;'111'!$N$11),"x","")</f>
        <v/>
      </c>
      <c r="R3138" s="525" t="str">
        <f>IF(ISERROR(FIND('112'!$M$9,G3138,1)),"",IF((AND(FIND('112'!$M$9,G3138,1)&gt;=1,$B3138&gt;='112'!$N$8,$B3138&lt;='112'!$O$8,OR($L3138='112'!$I$6,$M3138='112'!$I$6))),"x",""))</f>
        <v/>
      </c>
      <c r="S3138" s="525" t="str">
        <f>IF(ISERROR(FIND('112'!$M$9,G3138,1)),"",IF((AND(LEFT(G3138,2)=LEFT('112'!$M$9,2),B3138&lt;'112'!$N$8,$L3138='112'!$I$6)),"x",""))</f>
        <v/>
      </c>
      <c r="T3138" s="525" t="str">
        <f>IF(ISERROR(FIND('112'!$M$9,G3138,1)),"",IF((AND(RIGHT(G3138,2)=RIGHT('112'!$M$9,2),B3138&lt;'112'!$N$8,$M3138='112'!$I$6)),"x",""))</f>
        <v/>
      </c>
      <c r="U3138" s="525" t="str">
        <f>IF(AND(B3138&gt;='IN-NX'!$P$3,B3138&lt;='IN-NX'!$Q$3,'IN-NX'!$D$7=D3138,OR(LEFT(L3138,2)="15",AND(LEFT(M3138,2)&lt;&gt;"15",LEFT(M3138,2)&lt;&gt;"33"))),"x","")</f>
        <v/>
      </c>
      <c r="V3138" s="525" t="str">
        <f>IF(AND(OR(LEFT(TH!L3138,2)="15",LEFT(TH!M3138,2)="15"),'152-CT'!$J$8=TH!F3138),"x","")</f>
        <v/>
      </c>
      <c r="W3138" s="525" t="str">
        <f>IF(AND(OR(LEFT(TH!L3138,2)="15",LEFT(TH!M3138,2)="15"),TK!$E$7=TH!F3138),"x","")</f>
        <v/>
      </c>
      <c r="X3138" s="525" t="str">
        <f>IF(AND('341-CT'!$E$9=H3138,OR(LEFT(L3138,3)=$X$7,LEFT(M3138,3)=$X$7)),"x","")</f>
        <v/>
      </c>
      <c r="Y3138" s="525" t="str">
        <f>IF(OR(TH!L3138=TH!$Y$7,M3138=TH!$Y$7),"x","")</f>
        <v/>
      </c>
      <c r="Z3138" s="525" t="str">
        <f>IF(AND(B3138&lt;=NKC!$N$8,B3138&gt;=NKC!$M$8),"x","")</f>
        <v/>
      </c>
      <c r="AA3138" s="526"/>
      <c r="AB3138" s="527"/>
    </row>
    <row r="3139" spans="1:28" s="576" customFormat="1" ht="15.75" customHeight="1">
      <c r="A3139" s="517" t="str">
        <f>IF(B3139&lt;&gt;"",IF(AND(B3139&gt;=_TM1,B3139&lt;=_TM2,OR(TH!L3139="1111",TH!M3139="1111")),TH!D3139,""),"")</f>
        <v/>
      </c>
      <c r="B3139" s="518">
        <f t="shared" ref="B3139:B3170" si="284">IF(C3139&lt;&gt;"",MONTH(C3139),"")</f>
        <v>5</v>
      </c>
      <c r="C3139" s="571">
        <f t="shared" si="282"/>
        <v>42886</v>
      </c>
      <c r="D3139" s="571" t="s">
        <v>996</v>
      </c>
      <c r="E3139" s="571">
        <v>42886</v>
      </c>
      <c r="F3139" s="520" t="s">
        <v>704</v>
      </c>
      <c r="G3139" s="573" t="s">
        <v>1141</v>
      </c>
      <c r="H3139" s="574" t="s">
        <v>800</v>
      </c>
      <c r="I3139" s="523">
        <v>276</v>
      </c>
      <c r="J3139" s="523">
        <v>17540</v>
      </c>
      <c r="K3139" s="575">
        <f t="shared" si="283"/>
        <v>4841040</v>
      </c>
      <c r="L3139" s="591" t="s">
        <v>160</v>
      </c>
      <c r="M3139" s="591" t="s">
        <v>292</v>
      </c>
      <c r="N3139" s="525" t="str">
        <f>IF(AND('331-CT'!$E$7=TH!H3139,OR(L3139="331",M3139="331")),"331",IF(AND(OR(L3139="131",M3139="131"),H3139='131-CT'!$E$7),"131",""))</f>
        <v/>
      </c>
      <c r="O3139" s="525" t="str">
        <f>IF(AND($B3139&gt;='111'!$N$11,$B3139&lt;='111'!$O$11,OR($L3139=$O$7,$M3139=$O$7)),"x","")</f>
        <v/>
      </c>
      <c r="P3139" s="525" t="str">
        <f>IF(AND($L3139=$O$7,$B3139&lt;'111'!$N$11),"x","")</f>
        <v/>
      </c>
      <c r="Q3139" s="525" t="str">
        <f>IF(AND($M3139=$O$7,$B3139&lt;'111'!$N$11),"x","")</f>
        <v/>
      </c>
      <c r="R3139" s="525" t="str">
        <f>IF(ISERROR(FIND('112'!$M$9,G3139,1)),"",IF((AND(FIND('112'!$M$9,G3139,1)&gt;=1,$B3139&gt;='112'!$N$8,$B3139&lt;='112'!$O$8,OR($L3139='112'!$I$6,$M3139='112'!$I$6))),"x",""))</f>
        <v/>
      </c>
      <c r="S3139" s="525" t="str">
        <f>IF(ISERROR(FIND('112'!$M$9,G3139,1)),"",IF((AND(LEFT(G3139,2)=LEFT('112'!$M$9,2),B3139&lt;'112'!$N$8,$L3139='112'!$I$6)),"x",""))</f>
        <v/>
      </c>
      <c r="T3139" s="525" t="str">
        <f>IF(ISERROR(FIND('112'!$M$9,G3139,1)),"",IF((AND(RIGHT(G3139,2)=RIGHT('112'!$M$9,2),B3139&lt;'112'!$N$8,$M3139='112'!$I$6)),"x",""))</f>
        <v/>
      </c>
      <c r="U3139" s="525" t="str">
        <f>IF(AND(B3139&gt;='IN-NX'!$P$3,B3139&lt;='IN-NX'!$Q$3,'IN-NX'!$D$7=D3139,OR(LEFT(L3139,2)="15",AND(LEFT(M3139,2)&lt;&gt;"15",LEFT(M3139,2)&lt;&gt;"33"))),"x","")</f>
        <v/>
      </c>
      <c r="V3139" s="525" t="str">
        <f>IF(AND(OR(LEFT(TH!L3139,2)="15",LEFT(TH!M3139,2)="15"),'152-CT'!$J$8=TH!F3139),"x","")</f>
        <v/>
      </c>
      <c r="W3139" s="525" t="str">
        <f>IF(AND(OR(LEFT(TH!L3139,2)="15",LEFT(TH!M3139,2)="15"),TK!$E$7=TH!F3139),"x","")</f>
        <v/>
      </c>
      <c r="X3139" s="525" t="str">
        <f>IF(AND('341-CT'!$E$9=H3139,OR(LEFT(L3139,3)=$X$7,LEFT(M3139,3)=$X$7)),"x","")</f>
        <v/>
      </c>
      <c r="Y3139" s="525" t="str">
        <f>IF(OR(TH!L3139=TH!$Y$7,M3139=TH!$Y$7),"x","")</f>
        <v/>
      </c>
      <c r="Z3139" s="525" t="str">
        <f>IF(AND(B3139&lt;=NKC!$N$8,B3139&gt;=NKC!$M$8),"x","")</f>
        <v/>
      </c>
      <c r="AA3139" s="526"/>
      <c r="AB3139" s="527"/>
    </row>
    <row r="3140" spans="1:28" s="576" customFormat="1" ht="15.75" customHeight="1">
      <c r="A3140" s="517" t="str">
        <f>IF(B3140&lt;&gt;"",IF(AND(B3140&gt;=_TM1,B3140&lt;=_TM2,OR(TH!L3140="1111",TH!M3140="1111")),TH!D3140,""),"")</f>
        <v/>
      </c>
      <c r="B3140" s="518">
        <f t="shared" si="284"/>
        <v>5</v>
      </c>
      <c r="C3140" s="571">
        <f t="shared" si="282"/>
        <v>42886</v>
      </c>
      <c r="D3140" s="571" t="s">
        <v>996</v>
      </c>
      <c r="E3140" s="571">
        <v>42886</v>
      </c>
      <c r="F3140" s="520" t="s">
        <v>1041</v>
      </c>
      <c r="G3140" s="573" t="s">
        <v>1141</v>
      </c>
      <c r="H3140" s="574" t="s">
        <v>800</v>
      </c>
      <c r="I3140" s="523">
        <v>28</v>
      </c>
      <c r="J3140" s="523">
        <v>21580</v>
      </c>
      <c r="K3140" s="575">
        <f t="shared" si="283"/>
        <v>604240</v>
      </c>
      <c r="L3140" s="591" t="s">
        <v>160</v>
      </c>
      <c r="M3140" s="591" t="s">
        <v>292</v>
      </c>
      <c r="N3140" s="525" t="str">
        <f>IF(AND('331-CT'!$E$7=TH!H3140,OR(L3140="331",M3140="331")),"331",IF(AND(OR(L3140="131",M3140="131"),H3140='131-CT'!$E$7),"131",""))</f>
        <v/>
      </c>
      <c r="O3140" s="525" t="str">
        <f>IF(AND($B3140&gt;='111'!$N$11,$B3140&lt;='111'!$O$11,OR($L3140=$O$7,$M3140=$O$7)),"x","")</f>
        <v/>
      </c>
      <c r="P3140" s="525" t="str">
        <f>IF(AND($L3140=$O$7,$B3140&lt;'111'!$N$11),"x","")</f>
        <v/>
      </c>
      <c r="Q3140" s="525" t="str">
        <f>IF(AND($M3140=$O$7,$B3140&lt;'111'!$N$11),"x","")</f>
        <v/>
      </c>
      <c r="R3140" s="525" t="str">
        <f>IF(ISERROR(FIND('112'!$M$9,G3140,1)),"",IF((AND(FIND('112'!$M$9,G3140,1)&gt;=1,$B3140&gt;='112'!$N$8,$B3140&lt;='112'!$O$8,OR($L3140='112'!$I$6,$M3140='112'!$I$6))),"x",""))</f>
        <v/>
      </c>
      <c r="S3140" s="525" t="str">
        <f>IF(ISERROR(FIND('112'!$M$9,G3140,1)),"",IF((AND(LEFT(G3140,2)=LEFT('112'!$M$9,2),B3140&lt;'112'!$N$8,$L3140='112'!$I$6)),"x",""))</f>
        <v/>
      </c>
      <c r="T3140" s="525" t="str">
        <f>IF(ISERROR(FIND('112'!$M$9,G3140,1)),"",IF((AND(RIGHT(G3140,2)=RIGHT('112'!$M$9,2),B3140&lt;'112'!$N$8,$M3140='112'!$I$6)),"x",""))</f>
        <v/>
      </c>
      <c r="U3140" s="525" t="str">
        <f>IF(AND(B3140&gt;='IN-NX'!$P$3,B3140&lt;='IN-NX'!$Q$3,'IN-NX'!$D$7=D3140,OR(LEFT(L3140,2)="15",AND(LEFT(M3140,2)&lt;&gt;"15",LEFT(M3140,2)&lt;&gt;"33"))),"x","")</f>
        <v/>
      </c>
      <c r="V3140" s="525" t="str">
        <f>IF(AND(OR(LEFT(TH!L3140,2)="15",LEFT(TH!M3140,2)="15"),'152-CT'!$J$8=TH!F3140),"x","")</f>
        <v/>
      </c>
      <c r="W3140" s="525" t="str">
        <f>IF(AND(OR(LEFT(TH!L3140,2)="15",LEFT(TH!M3140,2)="15"),TK!$E$7=TH!F3140),"x","")</f>
        <v/>
      </c>
      <c r="X3140" s="525" t="str">
        <f>IF(AND('341-CT'!$E$9=H3140,OR(LEFT(L3140,3)=$X$7,LEFT(M3140,3)=$X$7)),"x","")</f>
        <v/>
      </c>
      <c r="Y3140" s="525" t="str">
        <f>IF(OR(TH!L3140=TH!$Y$7,M3140=TH!$Y$7),"x","")</f>
        <v/>
      </c>
      <c r="Z3140" s="525" t="str">
        <f>IF(AND(B3140&lt;=NKC!$N$8,B3140&gt;=NKC!$M$8),"x","")</f>
        <v/>
      </c>
      <c r="AA3140" s="526"/>
      <c r="AB3140" s="527"/>
    </row>
    <row r="3141" spans="1:28" s="576" customFormat="1" ht="15.75" customHeight="1">
      <c r="A3141" s="517" t="str">
        <f>IF(B3141&lt;&gt;"",IF(AND(B3141&gt;=_TM1,B3141&lt;=_TM2,OR(TH!L3141="1111",TH!M3141="1111")),TH!D3141,""),"")</f>
        <v/>
      </c>
      <c r="B3141" s="518">
        <f t="shared" si="284"/>
        <v>5</v>
      </c>
      <c r="C3141" s="571">
        <f t="shared" si="282"/>
        <v>42886</v>
      </c>
      <c r="D3141" s="571" t="s">
        <v>996</v>
      </c>
      <c r="E3141" s="571">
        <v>42886</v>
      </c>
      <c r="F3141" s="520" t="s">
        <v>1165</v>
      </c>
      <c r="G3141" s="573" t="s">
        <v>1141</v>
      </c>
      <c r="H3141" s="574" t="s">
        <v>800</v>
      </c>
      <c r="I3141" s="523">
        <v>8</v>
      </c>
      <c r="J3141" s="523">
        <v>30200</v>
      </c>
      <c r="K3141" s="575">
        <f t="shared" si="283"/>
        <v>241600</v>
      </c>
      <c r="L3141" s="591" t="s">
        <v>160</v>
      </c>
      <c r="M3141" s="591" t="s">
        <v>292</v>
      </c>
      <c r="N3141" s="525" t="str">
        <f>IF(AND('331-CT'!$E$7=TH!H3141,OR(L3141="331",M3141="331")),"331",IF(AND(OR(L3141="131",M3141="131"),H3141='131-CT'!$E$7),"131",""))</f>
        <v/>
      </c>
      <c r="O3141" s="525" t="str">
        <f>IF(AND($B3141&gt;='111'!$N$11,$B3141&lt;='111'!$O$11,OR($L3141=$O$7,$M3141=$O$7)),"x","")</f>
        <v/>
      </c>
      <c r="P3141" s="525" t="str">
        <f>IF(AND($L3141=$O$7,$B3141&lt;'111'!$N$11),"x","")</f>
        <v/>
      </c>
      <c r="Q3141" s="525" t="str">
        <f>IF(AND($M3141=$O$7,$B3141&lt;'111'!$N$11),"x","")</f>
        <v/>
      </c>
      <c r="R3141" s="525" t="str">
        <f>IF(ISERROR(FIND('112'!$M$9,G3141,1)),"",IF((AND(FIND('112'!$M$9,G3141,1)&gt;=1,$B3141&gt;='112'!$N$8,$B3141&lt;='112'!$O$8,OR($L3141='112'!$I$6,$M3141='112'!$I$6))),"x",""))</f>
        <v/>
      </c>
      <c r="S3141" s="525" t="str">
        <f>IF(ISERROR(FIND('112'!$M$9,G3141,1)),"",IF((AND(LEFT(G3141,2)=LEFT('112'!$M$9,2),B3141&lt;'112'!$N$8,$L3141='112'!$I$6)),"x",""))</f>
        <v/>
      </c>
      <c r="T3141" s="525" t="str">
        <f>IF(ISERROR(FIND('112'!$M$9,G3141,1)),"",IF((AND(RIGHT(G3141,2)=RIGHT('112'!$M$9,2),B3141&lt;'112'!$N$8,$M3141='112'!$I$6)),"x",""))</f>
        <v/>
      </c>
      <c r="U3141" s="525" t="str">
        <f>IF(AND(B3141&gt;='IN-NX'!$P$3,B3141&lt;='IN-NX'!$Q$3,'IN-NX'!$D$7=D3141,OR(LEFT(L3141,2)="15",AND(LEFT(M3141,2)&lt;&gt;"15",LEFT(M3141,2)&lt;&gt;"33"))),"x","")</f>
        <v/>
      </c>
      <c r="V3141" s="525" t="str">
        <f>IF(AND(OR(LEFT(TH!L3141,2)="15",LEFT(TH!M3141,2)="15"),'152-CT'!$J$8=TH!F3141),"x","")</f>
        <v/>
      </c>
      <c r="W3141" s="525" t="str">
        <f>IF(AND(OR(LEFT(TH!L3141,2)="15",LEFT(TH!M3141,2)="15"),TK!$E$7=TH!F3141),"x","")</f>
        <v/>
      </c>
      <c r="X3141" s="525" t="str">
        <f>IF(AND('341-CT'!$E$9=H3141,OR(LEFT(L3141,3)=$X$7,LEFT(M3141,3)=$X$7)),"x","")</f>
        <v/>
      </c>
      <c r="Y3141" s="525" t="str">
        <f>IF(OR(TH!L3141=TH!$Y$7,M3141=TH!$Y$7),"x","")</f>
        <v/>
      </c>
      <c r="Z3141" s="525" t="str">
        <f>IF(AND(B3141&lt;=NKC!$N$8,B3141&gt;=NKC!$M$8),"x","")</f>
        <v/>
      </c>
      <c r="AA3141" s="526"/>
      <c r="AB3141" s="527"/>
    </row>
    <row r="3142" spans="1:28" s="576" customFormat="1" ht="15.75" customHeight="1">
      <c r="A3142" s="517" t="str">
        <f>IF(B3142&lt;&gt;"",IF(AND(B3142&gt;=_TM1,B3142&lt;=_TM2,OR(TH!L3142="1111",TH!M3142="1111")),TH!D3142,""),"")</f>
        <v/>
      </c>
      <c r="B3142" s="518">
        <f t="shared" si="284"/>
        <v>5</v>
      </c>
      <c r="C3142" s="571">
        <f t="shared" si="282"/>
        <v>42886</v>
      </c>
      <c r="D3142" s="571" t="s">
        <v>996</v>
      </c>
      <c r="E3142" s="571">
        <v>42886</v>
      </c>
      <c r="F3142" s="520" t="s">
        <v>619</v>
      </c>
      <c r="G3142" s="573" t="s">
        <v>1141</v>
      </c>
      <c r="H3142" s="574" t="s">
        <v>800</v>
      </c>
      <c r="I3142" s="523">
        <v>54</v>
      </c>
      <c r="J3142" s="523">
        <v>32220</v>
      </c>
      <c r="K3142" s="575">
        <f t="shared" si="283"/>
        <v>1739880</v>
      </c>
      <c r="L3142" s="591" t="s">
        <v>160</v>
      </c>
      <c r="M3142" s="591" t="s">
        <v>292</v>
      </c>
      <c r="N3142" s="525" t="str">
        <f>IF(AND('331-CT'!$E$7=TH!H3142,OR(L3142="331",M3142="331")),"331",IF(AND(OR(L3142="131",M3142="131"),H3142='131-CT'!$E$7),"131",""))</f>
        <v/>
      </c>
      <c r="O3142" s="525" t="str">
        <f>IF(AND($B3142&gt;='111'!$N$11,$B3142&lt;='111'!$O$11,OR($L3142=$O$7,$M3142=$O$7)),"x","")</f>
        <v/>
      </c>
      <c r="P3142" s="525" t="str">
        <f>IF(AND($L3142=$O$7,$B3142&lt;'111'!$N$11),"x","")</f>
        <v/>
      </c>
      <c r="Q3142" s="525" t="str">
        <f>IF(AND($M3142=$O$7,$B3142&lt;'111'!$N$11),"x","")</f>
        <v/>
      </c>
      <c r="R3142" s="525" t="str">
        <f>IF(ISERROR(FIND('112'!$M$9,G3142,1)),"",IF((AND(FIND('112'!$M$9,G3142,1)&gt;=1,$B3142&gt;='112'!$N$8,$B3142&lt;='112'!$O$8,OR($L3142='112'!$I$6,$M3142='112'!$I$6))),"x",""))</f>
        <v/>
      </c>
      <c r="S3142" s="525" t="str">
        <f>IF(ISERROR(FIND('112'!$M$9,G3142,1)),"",IF((AND(LEFT(G3142,2)=LEFT('112'!$M$9,2),B3142&lt;'112'!$N$8,$L3142='112'!$I$6)),"x",""))</f>
        <v/>
      </c>
      <c r="T3142" s="525" t="str">
        <f>IF(ISERROR(FIND('112'!$M$9,G3142,1)),"",IF((AND(RIGHT(G3142,2)=RIGHT('112'!$M$9,2),B3142&lt;'112'!$N$8,$M3142='112'!$I$6)),"x",""))</f>
        <v/>
      </c>
      <c r="U3142" s="525" t="str">
        <f>IF(AND(B3142&gt;='IN-NX'!$P$3,B3142&lt;='IN-NX'!$Q$3,'IN-NX'!$D$7=D3142,OR(LEFT(L3142,2)="15",AND(LEFT(M3142,2)&lt;&gt;"15",LEFT(M3142,2)&lt;&gt;"33"))),"x","")</f>
        <v/>
      </c>
      <c r="V3142" s="525" t="str">
        <f>IF(AND(OR(LEFT(TH!L3142,2)="15",LEFT(TH!M3142,2)="15"),'152-CT'!$J$8=TH!F3142),"x","")</f>
        <v/>
      </c>
      <c r="W3142" s="525" t="str">
        <f>IF(AND(OR(LEFT(TH!L3142,2)="15",LEFT(TH!M3142,2)="15"),TK!$E$7=TH!F3142),"x","")</f>
        <v/>
      </c>
      <c r="X3142" s="525" t="str">
        <f>IF(AND('341-CT'!$E$9=H3142,OR(LEFT(L3142,3)=$X$7,LEFT(M3142,3)=$X$7)),"x","")</f>
        <v/>
      </c>
      <c r="Y3142" s="525" t="str">
        <f>IF(OR(TH!L3142=TH!$Y$7,M3142=TH!$Y$7),"x","")</f>
        <v/>
      </c>
      <c r="Z3142" s="525" t="str">
        <f>IF(AND(B3142&lt;=NKC!$N$8,B3142&gt;=NKC!$M$8),"x","")</f>
        <v/>
      </c>
      <c r="AA3142" s="526"/>
      <c r="AB3142" s="527"/>
    </row>
    <row r="3143" spans="1:28" s="576" customFormat="1" ht="15.75" customHeight="1">
      <c r="A3143" s="517" t="str">
        <f>IF(B3143&lt;&gt;"",IF(AND(B3143&gt;=_TM1,B3143&lt;=_TM2,OR(TH!L3143="1111",TH!M3143="1111")),TH!D3143,""),"")</f>
        <v/>
      </c>
      <c r="B3143" s="518">
        <f t="shared" si="284"/>
        <v>5</v>
      </c>
      <c r="C3143" s="571">
        <f t="shared" si="282"/>
        <v>42886</v>
      </c>
      <c r="D3143" s="571" t="s">
        <v>996</v>
      </c>
      <c r="E3143" s="571">
        <v>42886</v>
      </c>
      <c r="F3143" s="572" t="s">
        <v>665</v>
      </c>
      <c r="G3143" s="573" t="s">
        <v>1141</v>
      </c>
      <c r="H3143" s="574" t="s">
        <v>800</v>
      </c>
      <c r="I3143" s="523">
        <v>36</v>
      </c>
      <c r="J3143" s="523">
        <v>14740</v>
      </c>
      <c r="K3143" s="575">
        <f t="shared" si="283"/>
        <v>530640</v>
      </c>
      <c r="L3143" s="591" t="s">
        <v>160</v>
      </c>
      <c r="M3143" s="591" t="s">
        <v>292</v>
      </c>
      <c r="N3143" s="525" t="str">
        <f>IF(AND('331-CT'!$E$7=TH!H3143,OR(L3143="331",M3143="331")),"331",IF(AND(OR(L3143="131",M3143="131"),H3143='131-CT'!$E$7),"131",""))</f>
        <v/>
      </c>
      <c r="O3143" s="525" t="str">
        <f>IF(AND($B3143&gt;='111'!$N$11,$B3143&lt;='111'!$O$11,OR($L3143=$O$7,$M3143=$O$7)),"x","")</f>
        <v/>
      </c>
      <c r="P3143" s="525" t="str">
        <f>IF(AND($L3143=$O$7,$B3143&lt;'111'!$N$11),"x","")</f>
        <v/>
      </c>
      <c r="Q3143" s="525" t="str">
        <f>IF(AND($M3143=$O$7,$B3143&lt;'111'!$N$11),"x","")</f>
        <v/>
      </c>
      <c r="R3143" s="525" t="str">
        <f>IF(ISERROR(FIND('112'!$M$9,G3143,1)),"",IF((AND(FIND('112'!$M$9,G3143,1)&gt;=1,$B3143&gt;='112'!$N$8,$B3143&lt;='112'!$O$8,OR($L3143='112'!$I$6,$M3143='112'!$I$6))),"x",""))</f>
        <v/>
      </c>
      <c r="S3143" s="525" t="str">
        <f>IF(ISERROR(FIND('112'!$M$9,G3143,1)),"",IF((AND(LEFT(G3143,2)=LEFT('112'!$M$9,2),B3143&lt;'112'!$N$8,$L3143='112'!$I$6)),"x",""))</f>
        <v/>
      </c>
      <c r="T3143" s="525" t="str">
        <f>IF(ISERROR(FIND('112'!$M$9,G3143,1)),"",IF((AND(RIGHT(G3143,2)=RIGHT('112'!$M$9,2),B3143&lt;'112'!$N$8,$M3143='112'!$I$6)),"x",""))</f>
        <v/>
      </c>
      <c r="U3143" s="525" t="str">
        <f>IF(AND(B3143&gt;='IN-NX'!$P$3,B3143&lt;='IN-NX'!$Q$3,'IN-NX'!$D$7=D3143,OR(LEFT(L3143,2)="15",AND(LEFT(M3143,2)&lt;&gt;"15",LEFT(M3143,2)&lt;&gt;"33"))),"x","")</f>
        <v/>
      </c>
      <c r="V3143" s="525" t="str">
        <f>IF(AND(OR(LEFT(TH!L3143,2)="15",LEFT(TH!M3143,2)="15"),'152-CT'!$J$8=TH!F3143),"x","")</f>
        <v/>
      </c>
      <c r="W3143" s="525" t="str">
        <f>IF(AND(OR(LEFT(TH!L3143,2)="15",LEFT(TH!M3143,2)="15"),TK!$E$7=TH!F3143),"x","")</f>
        <v/>
      </c>
      <c r="X3143" s="525" t="str">
        <f>IF(AND('341-CT'!$E$9=H3143,OR(LEFT(L3143,3)=$X$7,LEFT(M3143,3)=$X$7)),"x","")</f>
        <v/>
      </c>
      <c r="Y3143" s="525" t="str">
        <f>IF(OR(TH!L3143=TH!$Y$7,M3143=TH!$Y$7),"x","")</f>
        <v/>
      </c>
      <c r="Z3143" s="525" t="str">
        <f>IF(AND(B3143&lt;=NKC!$N$8,B3143&gt;=NKC!$M$8),"x","")</f>
        <v/>
      </c>
      <c r="AA3143" s="526"/>
      <c r="AB3143" s="527"/>
    </row>
    <row r="3144" spans="1:28" s="576" customFormat="1" ht="15.75" customHeight="1">
      <c r="A3144" s="517" t="str">
        <f>IF(B3144&lt;&gt;"",IF(AND(B3144&gt;=_TM1,B3144&lt;=_TM2,OR(TH!L3144="1111",TH!M3144="1111")),TH!D3144,""),"")</f>
        <v/>
      </c>
      <c r="B3144" s="518">
        <f t="shared" si="284"/>
        <v>5</v>
      </c>
      <c r="C3144" s="571">
        <f t="shared" si="282"/>
        <v>42886</v>
      </c>
      <c r="D3144" s="571" t="s">
        <v>996</v>
      </c>
      <c r="E3144" s="571">
        <v>42886</v>
      </c>
      <c r="F3144" s="520" t="s">
        <v>708</v>
      </c>
      <c r="G3144" s="573" t="s">
        <v>1141</v>
      </c>
      <c r="H3144" s="574" t="s">
        <v>800</v>
      </c>
      <c r="I3144" s="523">
        <v>60</v>
      </c>
      <c r="J3144" s="523">
        <v>36840</v>
      </c>
      <c r="K3144" s="575">
        <f t="shared" si="283"/>
        <v>2210400</v>
      </c>
      <c r="L3144" s="591" t="s">
        <v>160</v>
      </c>
      <c r="M3144" s="591" t="s">
        <v>292</v>
      </c>
      <c r="N3144" s="525" t="str">
        <f>IF(AND('331-CT'!$E$7=TH!H3144,OR(L3144="331",M3144="331")),"331",IF(AND(OR(L3144="131",M3144="131"),H3144='131-CT'!$E$7),"131",""))</f>
        <v/>
      </c>
      <c r="O3144" s="525" t="str">
        <f>IF(AND($B3144&gt;='111'!$N$11,$B3144&lt;='111'!$O$11,OR($L3144=$O$7,$M3144=$O$7)),"x","")</f>
        <v/>
      </c>
      <c r="P3144" s="525" t="str">
        <f>IF(AND($L3144=$O$7,$B3144&lt;'111'!$N$11),"x","")</f>
        <v/>
      </c>
      <c r="Q3144" s="525" t="str">
        <f>IF(AND($M3144=$O$7,$B3144&lt;'111'!$N$11),"x","")</f>
        <v/>
      </c>
      <c r="R3144" s="525" t="str">
        <f>IF(ISERROR(FIND('112'!$M$9,G3144,1)),"",IF((AND(FIND('112'!$M$9,G3144,1)&gt;=1,$B3144&gt;='112'!$N$8,$B3144&lt;='112'!$O$8,OR($L3144='112'!$I$6,$M3144='112'!$I$6))),"x",""))</f>
        <v/>
      </c>
      <c r="S3144" s="525" t="str">
        <f>IF(ISERROR(FIND('112'!$M$9,G3144,1)),"",IF((AND(LEFT(G3144,2)=LEFT('112'!$M$9,2),B3144&lt;'112'!$N$8,$L3144='112'!$I$6)),"x",""))</f>
        <v/>
      </c>
      <c r="T3144" s="525" t="str">
        <f>IF(ISERROR(FIND('112'!$M$9,G3144,1)),"",IF((AND(RIGHT(G3144,2)=RIGHT('112'!$M$9,2),B3144&lt;'112'!$N$8,$M3144='112'!$I$6)),"x",""))</f>
        <v/>
      </c>
      <c r="U3144" s="525" t="str">
        <f>IF(AND(B3144&gt;='IN-NX'!$P$3,B3144&lt;='IN-NX'!$Q$3,'IN-NX'!$D$7=D3144,OR(LEFT(L3144,2)="15",AND(LEFT(M3144,2)&lt;&gt;"15",LEFT(M3144,2)&lt;&gt;"33"))),"x","")</f>
        <v/>
      </c>
      <c r="V3144" s="525" t="str">
        <f>IF(AND(OR(LEFT(TH!L3144,2)="15",LEFT(TH!M3144,2)="15"),'152-CT'!$J$8=TH!F3144),"x","")</f>
        <v/>
      </c>
      <c r="W3144" s="525" t="str">
        <f>IF(AND(OR(LEFT(TH!L3144,2)="15",LEFT(TH!M3144,2)="15"),TK!$E$7=TH!F3144),"x","")</f>
        <v/>
      </c>
      <c r="X3144" s="525" t="str">
        <f>IF(AND('341-CT'!$E$9=H3144,OR(LEFT(L3144,3)=$X$7,LEFT(M3144,3)=$X$7)),"x","")</f>
        <v/>
      </c>
      <c r="Y3144" s="525" t="str">
        <f>IF(OR(TH!L3144=TH!$Y$7,M3144=TH!$Y$7),"x","")</f>
        <v/>
      </c>
      <c r="Z3144" s="525" t="str">
        <f>IF(AND(B3144&lt;=NKC!$N$8,B3144&gt;=NKC!$M$8),"x","")</f>
        <v/>
      </c>
      <c r="AA3144" s="526"/>
      <c r="AB3144" s="527"/>
    </row>
    <row r="3145" spans="1:28" s="576" customFormat="1" ht="15.75" customHeight="1">
      <c r="A3145" s="517" t="str">
        <f>IF(B3145&lt;&gt;"",IF(AND(B3145&gt;=_TM1,B3145&lt;=_TM2,OR(TH!L3145="1111",TH!M3145="1111")),TH!D3145,""),"")</f>
        <v/>
      </c>
      <c r="B3145" s="518">
        <f t="shared" si="284"/>
        <v>5</v>
      </c>
      <c r="C3145" s="571">
        <f t="shared" si="282"/>
        <v>42886</v>
      </c>
      <c r="D3145" s="571" t="s">
        <v>996</v>
      </c>
      <c r="E3145" s="571">
        <v>42886</v>
      </c>
      <c r="F3145" s="520" t="s">
        <v>1022</v>
      </c>
      <c r="G3145" s="573" t="s">
        <v>1141</v>
      </c>
      <c r="H3145" s="574" t="s">
        <v>800</v>
      </c>
      <c r="I3145" s="523">
        <v>48</v>
      </c>
      <c r="J3145" s="523">
        <v>20910</v>
      </c>
      <c r="K3145" s="575">
        <f t="shared" si="283"/>
        <v>1003680</v>
      </c>
      <c r="L3145" s="591" t="s">
        <v>160</v>
      </c>
      <c r="M3145" s="591" t="s">
        <v>292</v>
      </c>
      <c r="N3145" s="525" t="str">
        <f>IF(AND('331-CT'!$E$7=TH!H3145,OR(L3145="331",M3145="331")),"331",IF(AND(OR(L3145="131",M3145="131"),H3145='131-CT'!$E$7),"131",""))</f>
        <v/>
      </c>
      <c r="O3145" s="525" t="str">
        <f>IF(AND($B3145&gt;='111'!$N$11,$B3145&lt;='111'!$O$11,OR($L3145=$O$7,$M3145=$O$7)),"x","")</f>
        <v/>
      </c>
      <c r="P3145" s="525" t="str">
        <f>IF(AND($L3145=$O$7,$B3145&lt;'111'!$N$11),"x","")</f>
        <v/>
      </c>
      <c r="Q3145" s="525" t="str">
        <f>IF(AND($M3145=$O$7,$B3145&lt;'111'!$N$11),"x","")</f>
        <v/>
      </c>
      <c r="R3145" s="525" t="str">
        <f>IF(ISERROR(FIND('112'!$M$9,G3145,1)),"",IF((AND(FIND('112'!$M$9,G3145,1)&gt;=1,$B3145&gt;='112'!$N$8,$B3145&lt;='112'!$O$8,OR($L3145='112'!$I$6,$M3145='112'!$I$6))),"x",""))</f>
        <v/>
      </c>
      <c r="S3145" s="525" t="str">
        <f>IF(ISERROR(FIND('112'!$M$9,G3145,1)),"",IF((AND(LEFT(G3145,2)=LEFT('112'!$M$9,2),B3145&lt;'112'!$N$8,$L3145='112'!$I$6)),"x",""))</f>
        <v/>
      </c>
      <c r="T3145" s="525" t="str">
        <f>IF(ISERROR(FIND('112'!$M$9,G3145,1)),"",IF((AND(RIGHT(G3145,2)=RIGHT('112'!$M$9,2),B3145&lt;'112'!$N$8,$M3145='112'!$I$6)),"x",""))</f>
        <v/>
      </c>
      <c r="U3145" s="525" t="str">
        <f>IF(AND(B3145&gt;='IN-NX'!$P$3,B3145&lt;='IN-NX'!$Q$3,'IN-NX'!$D$7=D3145,OR(LEFT(L3145,2)="15",AND(LEFT(M3145,2)&lt;&gt;"15",LEFT(M3145,2)&lt;&gt;"33"))),"x","")</f>
        <v/>
      </c>
      <c r="V3145" s="525" t="str">
        <f>IF(AND(OR(LEFT(TH!L3145,2)="15",LEFT(TH!M3145,2)="15"),'152-CT'!$J$8=TH!F3145),"x","")</f>
        <v/>
      </c>
      <c r="W3145" s="525" t="str">
        <f>IF(AND(OR(LEFT(TH!L3145,2)="15",LEFT(TH!M3145,2)="15"),TK!$E$7=TH!F3145),"x","")</f>
        <v/>
      </c>
      <c r="X3145" s="525" t="str">
        <f>IF(AND('341-CT'!$E$9=H3145,OR(LEFT(L3145,3)=$X$7,LEFT(M3145,3)=$X$7)),"x","")</f>
        <v/>
      </c>
      <c r="Y3145" s="525" t="str">
        <f>IF(OR(TH!L3145=TH!$Y$7,M3145=TH!$Y$7),"x","")</f>
        <v/>
      </c>
      <c r="Z3145" s="525" t="str">
        <f>IF(AND(B3145&lt;=NKC!$N$8,B3145&gt;=NKC!$M$8),"x","")</f>
        <v/>
      </c>
      <c r="AA3145" s="526"/>
      <c r="AB3145" s="527"/>
    </row>
    <row r="3146" spans="1:28" s="576" customFormat="1" ht="15.75" customHeight="1">
      <c r="A3146" s="517" t="str">
        <f>IF(B3146&lt;&gt;"",IF(AND(B3146&gt;=_TM1,B3146&lt;=_TM2,OR(TH!L3146="1111",TH!M3146="1111")),TH!D3146,""),"")</f>
        <v/>
      </c>
      <c r="B3146" s="518">
        <f t="shared" si="284"/>
        <v>5</v>
      </c>
      <c r="C3146" s="571">
        <f t="shared" si="282"/>
        <v>42886</v>
      </c>
      <c r="D3146" s="571" t="s">
        <v>996</v>
      </c>
      <c r="E3146" s="571">
        <v>42886</v>
      </c>
      <c r="F3146" s="520" t="s">
        <v>710</v>
      </c>
      <c r="G3146" s="573" t="s">
        <v>1141</v>
      </c>
      <c r="H3146" s="574" t="s">
        <v>800</v>
      </c>
      <c r="I3146" s="523">
        <v>68</v>
      </c>
      <c r="J3146" s="523">
        <v>20700</v>
      </c>
      <c r="K3146" s="575">
        <f t="shared" si="283"/>
        <v>1407600</v>
      </c>
      <c r="L3146" s="591" t="s">
        <v>160</v>
      </c>
      <c r="M3146" s="591" t="s">
        <v>292</v>
      </c>
      <c r="N3146" s="525" t="str">
        <f>IF(AND('331-CT'!$E$7=TH!H3146,OR(L3146="331",M3146="331")),"331",IF(AND(OR(L3146="131",M3146="131"),H3146='131-CT'!$E$7),"131",""))</f>
        <v/>
      </c>
      <c r="O3146" s="525" t="str">
        <f>IF(AND($B3146&gt;='111'!$N$11,$B3146&lt;='111'!$O$11,OR($L3146=$O$7,$M3146=$O$7)),"x","")</f>
        <v/>
      </c>
      <c r="P3146" s="525" t="str">
        <f>IF(AND($L3146=$O$7,$B3146&lt;'111'!$N$11),"x","")</f>
        <v/>
      </c>
      <c r="Q3146" s="525" t="str">
        <f>IF(AND($M3146=$O$7,$B3146&lt;'111'!$N$11),"x","")</f>
        <v/>
      </c>
      <c r="R3146" s="525" t="str">
        <f>IF(ISERROR(FIND('112'!$M$9,G3146,1)),"",IF((AND(FIND('112'!$M$9,G3146,1)&gt;=1,$B3146&gt;='112'!$N$8,$B3146&lt;='112'!$O$8,OR($L3146='112'!$I$6,$M3146='112'!$I$6))),"x",""))</f>
        <v/>
      </c>
      <c r="S3146" s="525" t="str">
        <f>IF(ISERROR(FIND('112'!$M$9,G3146,1)),"",IF((AND(LEFT(G3146,2)=LEFT('112'!$M$9,2),B3146&lt;'112'!$N$8,$L3146='112'!$I$6)),"x",""))</f>
        <v/>
      </c>
      <c r="T3146" s="525" t="str">
        <f>IF(ISERROR(FIND('112'!$M$9,G3146,1)),"",IF((AND(RIGHT(G3146,2)=RIGHT('112'!$M$9,2),B3146&lt;'112'!$N$8,$M3146='112'!$I$6)),"x",""))</f>
        <v/>
      </c>
      <c r="U3146" s="525" t="str">
        <f>IF(AND(B3146&gt;='IN-NX'!$P$3,B3146&lt;='IN-NX'!$Q$3,'IN-NX'!$D$7=D3146,OR(LEFT(L3146,2)="15",AND(LEFT(M3146,2)&lt;&gt;"15",LEFT(M3146,2)&lt;&gt;"33"))),"x","")</f>
        <v/>
      </c>
      <c r="V3146" s="525" t="str">
        <f>IF(AND(OR(LEFT(TH!L3146,2)="15",LEFT(TH!M3146,2)="15"),'152-CT'!$J$8=TH!F3146),"x","")</f>
        <v/>
      </c>
      <c r="W3146" s="525" t="str">
        <f>IF(AND(OR(LEFT(TH!L3146,2)="15",LEFT(TH!M3146,2)="15"),TK!$E$7=TH!F3146),"x","")</f>
        <v/>
      </c>
      <c r="X3146" s="525" t="str">
        <f>IF(AND('341-CT'!$E$9=H3146,OR(LEFT(L3146,3)=$X$7,LEFT(M3146,3)=$X$7)),"x","")</f>
        <v/>
      </c>
      <c r="Y3146" s="525" t="str">
        <f>IF(OR(TH!L3146=TH!$Y$7,M3146=TH!$Y$7),"x","")</f>
        <v/>
      </c>
      <c r="Z3146" s="525" t="str">
        <f>IF(AND(B3146&lt;=NKC!$N$8,B3146&gt;=NKC!$M$8),"x","")</f>
        <v/>
      </c>
      <c r="AA3146" s="526"/>
      <c r="AB3146" s="527"/>
    </row>
    <row r="3147" spans="1:28" s="576" customFormat="1" ht="15.75" customHeight="1">
      <c r="A3147" s="517" t="str">
        <f>IF(B3147&lt;&gt;"",IF(AND(B3147&gt;=_TM1,B3147&lt;=_TM2,OR(TH!L3147="1111",TH!M3147="1111")),TH!D3147,""),"")</f>
        <v/>
      </c>
      <c r="B3147" s="518">
        <f t="shared" si="284"/>
        <v>5</v>
      </c>
      <c r="C3147" s="571">
        <f t="shared" si="282"/>
        <v>42886</v>
      </c>
      <c r="D3147" s="571" t="s">
        <v>996</v>
      </c>
      <c r="E3147" s="571">
        <v>42886</v>
      </c>
      <c r="F3147" s="520" t="s">
        <v>1042</v>
      </c>
      <c r="G3147" s="573" t="s">
        <v>1141</v>
      </c>
      <c r="H3147" s="574" t="s">
        <v>800</v>
      </c>
      <c r="I3147" s="523">
        <v>48</v>
      </c>
      <c r="J3147" s="523">
        <v>18460</v>
      </c>
      <c r="K3147" s="575">
        <f t="shared" ref="K3147:K3178" si="285">ROUND(I3147*J3147,0)</f>
        <v>886080</v>
      </c>
      <c r="L3147" s="591" t="s">
        <v>160</v>
      </c>
      <c r="M3147" s="591" t="s">
        <v>292</v>
      </c>
      <c r="N3147" s="525" t="str">
        <f>IF(AND('331-CT'!$E$7=TH!H3147,OR(L3147="331",M3147="331")),"331",IF(AND(OR(L3147="131",M3147="131"),H3147='131-CT'!$E$7),"131",""))</f>
        <v/>
      </c>
      <c r="O3147" s="525" t="str">
        <f>IF(AND($B3147&gt;='111'!$N$11,$B3147&lt;='111'!$O$11,OR($L3147=$O$7,$M3147=$O$7)),"x","")</f>
        <v/>
      </c>
      <c r="P3147" s="525" t="str">
        <f>IF(AND($L3147=$O$7,$B3147&lt;'111'!$N$11),"x","")</f>
        <v/>
      </c>
      <c r="Q3147" s="525" t="str">
        <f>IF(AND($M3147=$O$7,$B3147&lt;'111'!$N$11),"x","")</f>
        <v/>
      </c>
      <c r="R3147" s="525" t="str">
        <f>IF(ISERROR(FIND('112'!$M$9,G3147,1)),"",IF((AND(FIND('112'!$M$9,G3147,1)&gt;=1,$B3147&gt;='112'!$N$8,$B3147&lt;='112'!$O$8,OR($L3147='112'!$I$6,$M3147='112'!$I$6))),"x",""))</f>
        <v/>
      </c>
      <c r="S3147" s="525" t="str">
        <f>IF(ISERROR(FIND('112'!$M$9,G3147,1)),"",IF((AND(LEFT(G3147,2)=LEFT('112'!$M$9,2),B3147&lt;'112'!$N$8,$L3147='112'!$I$6)),"x",""))</f>
        <v/>
      </c>
      <c r="T3147" s="525" t="str">
        <f>IF(ISERROR(FIND('112'!$M$9,G3147,1)),"",IF((AND(RIGHT(G3147,2)=RIGHT('112'!$M$9,2),B3147&lt;'112'!$N$8,$M3147='112'!$I$6)),"x",""))</f>
        <v/>
      </c>
      <c r="U3147" s="525" t="str">
        <f>IF(AND(B3147&gt;='IN-NX'!$P$3,B3147&lt;='IN-NX'!$Q$3,'IN-NX'!$D$7=D3147,OR(LEFT(L3147,2)="15",AND(LEFT(M3147,2)&lt;&gt;"15",LEFT(M3147,2)&lt;&gt;"33"))),"x","")</f>
        <v/>
      </c>
      <c r="V3147" s="525" t="str">
        <f>IF(AND(OR(LEFT(TH!L3147,2)="15",LEFT(TH!M3147,2)="15"),'152-CT'!$J$8=TH!F3147),"x","")</f>
        <v/>
      </c>
      <c r="W3147" s="525" t="str">
        <f>IF(AND(OR(LEFT(TH!L3147,2)="15",LEFT(TH!M3147,2)="15"),TK!$E$7=TH!F3147),"x","")</f>
        <v/>
      </c>
      <c r="X3147" s="525" t="str">
        <f>IF(AND('341-CT'!$E$9=H3147,OR(LEFT(L3147,3)=$X$7,LEFT(M3147,3)=$X$7)),"x","")</f>
        <v/>
      </c>
      <c r="Y3147" s="525" t="str">
        <f>IF(OR(TH!L3147=TH!$Y$7,M3147=TH!$Y$7),"x","")</f>
        <v/>
      </c>
      <c r="Z3147" s="525" t="str">
        <f>IF(AND(B3147&lt;=NKC!$N$8,B3147&gt;=NKC!$M$8),"x","")</f>
        <v/>
      </c>
      <c r="AA3147" s="526"/>
      <c r="AB3147" s="527"/>
    </row>
    <row r="3148" spans="1:28" s="576" customFormat="1" ht="15.75" customHeight="1">
      <c r="A3148" s="517" t="str">
        <f>IF(B3148&lt;&gt;"",IF(AND(B3148&gt;=_TM1,B3148&lt;=_TM2,OR(TH!L3148="1111",TH!M3148="1111")),TH!D3148,""),"")</f>
        <v/>
      </c>
      <c r="B3148" s="518">
        <f t="shared" si="284"/>
        <v>5</v>
      </c>
      <c r="C3148" s="571">
        <f t="shared" si="282"/>
        <v>42886</v>
      </c>
      <c r="D3148" s="571" t="s">
        <v>996</v>
      </c>
      <c r="E3148" s="571">
        <v>42886</v>
      </c>
      <c r="F3148" s="520" t="s">
        <v>1049</v>
      </c>
      <c r="G3148" s="573" t="s">
        <v>1141</v>
      </c>
      <c r="H3148" s="574" t="s">
        <v>800</v>
      </c>
      <c r="I3148" s="523">
        <v>12</v>
      </c>
      <c r="J3148" s="523">
        <v>24270</v>
      </c>
      <c r="K3148" s="575">
        <f t="shared" si="285"/>
        <v>291240</v>
      </c>
      <c r="L3148" s="591" t="s">
        <v>160</v>
      </c>
      <c r="M3148" s="591" t="s">
        <v>292</v>
      </c>
      <c r="N3148" s="525" t="str">
        <f>IF(AND('331-CT'!$E$7=TH!H3148,OR(L3148="331",M3148="331")),"331",IF(AND(OR(L3148="131",M3148="131"),H3148='131-CT'!$E$7),"131",""))</f>
        <v/>
      </c>
      <c r="O3148" s="525" t="str">
        <f>IF(AND($B3148&gt;='111'!$N$11,$B3148&lt;='111'!$O$11,OR($L3148=$O$7,$M3148=$O$7)),"x","")</f>
        <v/>
      </c>
      <c r="P3148" s="525" t="str">
        <f>IF(AND($L3148=$O$7,$B3148&lt;'111'!$N$11),"x","")</f>
        <v/>
      </c>
      <c r="Q3148" s="525" t="str">
        <f>IF(AND($M3148=$O$7,$B3148&lt;'111'!$N$11),"x","")</f>
        <v/>
      </c>
      <c r="R3148" s="525" t="str">
        <f>IF(ISERROR(FIND('112'!$M$9,G3148,1)),"",IF((AND(FIND('112'!$M$9,G3148,1)&gt;=1,$B3148&gt;='112'!$N$8,$B3148&lt;='112'!$O$8,OR($L3148='112'!$I$6,$M3148='112'!$I$6))),"x",""))</f>
        <v/>
      </c>
      <c r="S3148" s="525" t="str">
        <f>IF(ISERROR(FIND('112'!$M$9,G3148,1)),"",IF((AND(LEFT(G3148,2)=LEFT('112'!$M$9,2),B3148&lt;'112'!$N$8,$L3148='112'!$I$6)),"x",""))</f>
        <v/>
      </c>
      <c r="T3148" s="525" t="str">
        <f>IF(ISERROR(FIND('112'!$M$9,G3148,1)),"",IF((AND(RIGHT(G3148,2)=RIGHT('112'!$M$9,2),B3148&lt;'112'!$N$8,$M3148='112'!$I$6)),"x",""))</f>
        <v/>
      </c>
      <c r="U3148" s="525" t="str">
        <f>IF(AND(B3148&gt;='IN-NX'!$P$3,B3148&lt;='IN-NX'!$Q$3,'IN-NX'!$D$7=D3148,OR(LEFT(L3148,2)="15",AND(LEFT(M3148,2)&lt;&gt;"15",LEFT(M3148,2)&lt;&gt;"33"))),"x","")</f>
        <v/>
      </c>
      <c r="V3148" s="525" t="str">
        <f>IF(AND(OR(LEFT(TH!L3148,2)="15",LEFT(TH!M3148,2)="15"),'152-CT'!$J$8=TH!F3148),"x","")</f>
        <v/>
      </c>
      <c r="W3148" s="525" t="str">
        <f>IF(AND(OR(LEFT(TH!L3148,2)="15",LEFT(TH!M3148,2)="15"),TK!$E$7=TH!F3148),"x","")</f>
        <v/>
      </c>
      <c r="X3148" s="525" t="str">
        <f>IF(AND('341-CT'!$E$9=H3148,OR(LEFT(L3148,3)=$X$7,LEFT(M3148,3)=$X$7)),"x","")</f>
        <v/>
      </c>
      <c r="Y3148" s="525" t="str">
        <f>IF(OR(TH!L3148=TH!$Y$7,M3148=TH!$Y$7),"x","")</f>
        <v/>
      </c>
      <c r="Z3148" s="525" t="str">
        <f>IF(AND(B3148&lt;=NKC!$N$8,B3148&gt;=NKC!$M$8),"x","")</f>
        <v/>
      </c>
      <c r="AA3148" s="526"/>
      <c r="AB3148" s="527"/>
    </row>
    <row r="3149" spans="1:28" s="576" customFormat="1" ht="15.75" customHeight="1">
      <c r="A3149" s="517" t="str">
        <f>IF(B3149&lt;&gt;"",IF(AND(B3149&gt;=_TM1,B3149&lt;=_TM2,OR(TH!L3149="1111",TH!M3149="1111")),TH!D3149,""),"")</f>
        <v/>
      </c>
      <c r="B3149" s="518">
        <f t="shared" si="284"/>
        <v>5</v>
      </c>
      <c r="C3149" s="571">
        <f t="shared" si="282"/>
        <v>42886</v>
      </c>
      <c r="D3149" s="571" t="s">
        <v>996</v>
      </c>
      <c r="E3149" s="571">
        <v>42886</v>
      </c>
      <c r="F3149" s="520" t="s">
        <v>728</v>
      </c>
      <c r="G3149" s="573" t="s">
        <v>1141</v>
      </c>
      <c r="H3149" s="574" t="s">
        <v>800</v>
      </c>
      <c r="I3149" s="523">
        <v>60</v>
      </c>
      <c r="J3149" s="523">
        <v>20310</v>
      </c>
      <c r="K3149" s="575">
        <f t="shared" si="285"/>
        <v>1218600</v>
      </c>
      <c r="L3149" s="591" t="s">
        <v>160</v>
      </c>
      <c r="M3149" s="591" t="s">
        <v>292</v>
      </c>
      <c r="N3149" s="525" t="str">
        <f>IF(AND('331-CT'!$E$7=TH!H3149,OR(L3149="331",M3149="331")),"331",IF(AND(OR(L3149="131",M3149="131"),H3149='131-CT'!$E$7),"131",""))</f>
        <v/>
      </c>
      <c r="O3149" s="525" t="str">
        <f>IF(AND($B3149&gt;='111'!$N$11,$B3149&lt;='111'!$O$11,OR($L3149=$O$7,$M3149=$O$7)),"x","")</f>
        <v/>
      </c>
      <c r="P3149" s="525" t="str">
        <f>IF(AND($L3149=$O$7,$B3149&lt;'111'!$N$11),"x","")</f>
        <v/>
      </c>
      <c r="Q3149" s="525" t="str">
        <f>IF(AND($M3149=$O$7,$B3149&lt;'111'!$N$11),"x","")</f>
        <v/>
      </c>
      <c r="R3149" s="525" t="str">
        <f>IF(ISERROR(FIND('112'!$M$9,G3149,1)),"",IF((AND(FIND('112'!$M$9,G3149,1)&gt;=1,$B3149&gt;='112'!$N$8,$B3149&lt;='112'!$O$8,OR($L3149='112'!$I$6,$M3149='112'!$I$6))),"x",""))</f>
        <v/>
      </c>
      <c r="S3149" s="525" t="str">
        <f>IF(ISERROR(FIND('112'!$M$9,G3149,1)),"",IF((AND(LEFT(G3149,2)=LEFT('112'!$M$9,2),B3149&lt;'112'!$N$8,$L3149='112'!$I$6)),"x",""))</f>
        <v/>
      </c>
      <c r="T3149" s="525" t="str">
        <f>IF(ISERROR(FIND('112'!$M$9,G3149,1)),"",IF((AND(RIGHT(G3149,2)=RIGHT('112'!$M$9,2),B3149&lt;'112'!$N$8,$M3149='112'!$I$6)),"x",""))</f>
        <v/>
      </c>
      <c r="U3149" s="525" t="str">
        <f>IF(AND(B3149&gt;='IN-NX'!$P$3,B3149&lt;='IN-NX'!$Q$3,'IN-NX'!$D$7=D3149,OR(LEFT(L3149,2)="15",AND(LEFT(M3149,2)&lt;&gt;"15",LEFT(M3149,2)&lt;&gt;"33"))),"x","")</f>
        <v/>
      </c>
      <c r="V3149" s="525" t="str">
        <f>IF(AND(OR(LEFT(TH!L3149,2)="15",LEFT(TH!M3149,2)="15"),'152-CT'!$J$8=TH!F3149),"x","")</f>
        <v/>
      </c>
      <c r="W3149" s="525" t="str">
        <f>IF(AND(OR(LEFT(TH!L3149,2)="15",LEFT(TH!M3149,2)="15"),TK!$E$7=TH!F3149),"x","")</f>
        <v/>
      </c>
      <c r="X3149" s="525" t="str">
        <f>IF(AND('341-CT'!$E$9=H3149,OR(LEFT(L3149,3)=$X$7,LEFT(M3149,3)=$X$7)),"x","")</f>
        <v/>
      </c>
      <c r="Y3149" s="525" t="str">
        <f>IF(OR(TH!L3149=TH!$Y$7,M3149=TH!$Y$7),"x","")</f>
        <v/>
      </c>
      <c r="Z3149" s="525" t="str">
        <f>IF(AND(B3149&lt;=NKC!$N$8,B3149&gt;=NKC!$M$8),"x","")</f>
        <v/>
      </c>
      <c r="AA3149" s="526"/>
      <c r="AB3149" s="527"/>
    </row>
    <row r="3150" spans="1:28" s="576" customFormat="1" ht="15.75" customHeight="1">
      <c r="A3150" s="517" t="str">
        <f>IF(B3150&lt;&gt;"",IF(AND(B3150&gt;=_TM1,B3150&lt;=_TM2,OR(TH!L3150="1111",TH!M3150="1111")),TH!D3150,""),"")</f>
        <v/>
      </c>
      <c r="B3150" s="518">
        <f t="shared" si="284"/>
        <v>5</v>
      </c>
      <c r="C3150" s="571">
        <f t="shared" si="282"/>
        <v>42886</v>
      </c>
      <c r="D3150" s="571" t="s">
        <v>996</v>
      </c>
      <c r="E3150" s="571">
        <v>42886</v>
      </c>
      <c r="F3150" s="520" t="s">
        <v>1166</v>
      </c>
      <c r="G3150" s="573" t="s">
        <v>1141</v>
      </c>
      <c r="H3150" s="574" t="s">
        <v>800</v>
      </c>
      <c r="I3150" s="523">
        <v>12</v>
      </c>
      <c r="J3150" s="523">
        <v>13010</v>
      </c>
      <c r="K3150" s="575">
        <f t="shared" si="285"/>
        <v>156120</v>
      </c>
      <c r="L3150" s="591" t="s">
        <v>160</v>
      </c>
      <c r="M3150" s="591" t="s">
        <v>292</v>
      </c>
      <c r="N3150" s="525" t="str">
        <f>IF(AND('331-CT'!$E$7=TH!H3150,OR(L3150="331",M3150="331")),"331",IF(AND(OR(L3150="131",M3150="131"),H3150='131-CT'!$E$7),"131",""))</f>
        <v/>
      </c>
      <c r="O3150" s="525" t="str">
        <f>IF(AND($B3150&gt;='111'!$N$11,$B3150&lt;='111'!$O$11,OR($L3150=$O$7,$M3150=$O$7)),"x","")</f>
        <v/>
      </c>
      <c r="P3150" s="525" t="str">
        <f>IF(AND($L3150=$O$7,$B3150&lt;'111'!$N$11),"x","")</f>
        <v/>
      </c>
      <c r="Q3150" s="525" t="str">
        <f>IF(AND($M3150=$O$7,$B3150&lt;'111'!$N$11),"x","")</f>
        <v/>
      </c>
      <c r="R3150" s="525" t="str">
        <f>IF(ISERROR(FIND('112'!$M$9,G3150,1)),"",IF((AND(FIND('112'!$M$9,G3150,1)&gt;=1,$B3150&gt;='112'!$N$8,$B3150&lt;='112'!$O$8,OR($L3150='112'!$I$6,$M3150='112'!$I$6))),"x",""))</f>
        <v/>
      </c>
      <c r="S3150" s="525" t="str">
        <f>IF(ISERROR(FIND('112'!$M$9,G3150,1)),"",IF((AND(LEFT(G3150,2)=LEFT('112'!$M$9,2),B3150&lt;'112'!$N$8,$L3150='112'!$I$6)),"x",""))</f>
        <v/>
      </c>
      <c r="T3150" s="525" t="str">
        <f>IF(ISERROR(FIND('112'!$M$9,G3150,1)),"",IF((AND(RIGHT(G3150,2)=RIGHT('112'!$M$9,2),B3150&lt;'112'!$N$8,$M3150='112'!$I$6)),"x",""))</f>
        <v/>
      </c>
      <c r="U3150" s="525" t="str">
        <f>IF(AND(B3150&gt;='IN-NX'!$P$3,B3150&lt;='IN-NX'!$Q$3,'IN-NX'!$D$7=D3150,OR(LEFT(L3150,2)="15",AND(LEFT(M3150,2)&lt;&gt;"15",LEFT(M3150,2)&lt;&gt;"33"))),"x","")</f>
        <v/>
      </c>
      <c r="V3150" s="525" t="str">
        <f>IF(AND(OR(LEFT(TH!L3150,2)="15",LEFT(TH!M3150,2)="15"),'152-CT'!$J$8=TH!F3150),"x","")</f>
        <v/>
      </c>
      <c r="W3150" s="525" t="str">
        <f>IF(AND(OR(LEFT(TH!L3150,2)="15",LEFT(TH!M3150,2)="15"),TK!$E$7=TH!F3150),"x","")</f>
        <v/>
      </c>
      <c r="X3150" s="525" t="str">
        <f>IF(AND('341-CT'!$E$9=H3150,OR(LEFT(L3150,3)=$X$7,LEFT(M3150,3)=$X$7)),"x","")</f>
        <v/>
      </c>
      <c r="Y3150" s="525" t="str">
        <f>IF(OR(TH!L3150=TH!$Y$7,M3150=TH!$Y$7),"x","")</f>
        <v/>
      </c>
      <c r="Z3150" s="525" t="str">
        <f>IF(AND(B3150&lt;=NKC!$N$8,B3150&gt;=NKC!$M$8),"x","")</f>
        <v/>
      </c>
      <c r="AA3150" s="526"/>
      <c r="AB3150" s="527"/>
    </row>
    <row r="3151" spans="1:28" s="576" customFormat="1" ht="15.75" customHeight="1">
      <c r="A3151" s="517" t="str">
        <f>IF(B3151&lt;&gt;"",IF(AND(B3151&gt;=_TM1,B3151&lt;=_TM2,OR(TH!L3151="1111",TH!M3151="1111")),TH!D3151,""),"")</f>
        <v/>
      </c>
      <c r="B3151" s="518">
        <f t="shared" si="284"/>
        <v>5</v>
      </c>
      <c r="C3151" s="571">
        <f t="shared" si="282"/>
        <v>42886</v>
      </c>
      <c r="D3151" s="571" t="s">
        <v>996</v>
      </c>
      <c r="E3151" s="571">
        <v>42886</v>
      </c>
      <c r="F3151" s="572" t="s">
        <v>673</v>
      </c>
      <c r="G3151" s="573" t="s">
        <v>1141</v>
      </c>
      <c r="H3151" s="574" t="s">
        <v>800</v>
      </c>
      <c r="I3151" s="523">
        <v>12</v>
      </c>
      <c r="J3151" s="523">
        <v>18840</v>
      </c>
      <c r="K3151" s="575">
        <f t="shared" si="285"/>
        <v>226080</v>
      </c>
      <c r="L3151" s="591" t="s">
        <v>160</v>
      </c>
      <c r="M3151" s="591" t="s">
        <v>292</v>
      </c>
      <c r="N3151" s="525" t="str">
        <f>IF(AND('331-CT'!$E$7=TH!H3151,OR(L3151="331",M3151="331")),"331",IF(AND(OR(L3151="131",M3151="131"),H3151='131-CT'!$E$7),"131",""))</f>
        <v/>
      </c>
      <c r="O3151" s="525" t="str">
        <f>IF(AND($B3151&gt;='111'!$N$11,$B3151&lt;='111'!$O$11,OR($L3151=$O$7,$M3151=$O$7)),"x","")</f>
        <v/>
      </c>
      <c r="P3151" s="525" t="str">
        <f>IF(AND($L3151=$O$7,$B3151&lt;'111'!$N$11),"x","")</f>
        <v/>
      </c>
      <c r="Q3151" s="525" t="str">
        <f>IF(AND($M3151=$O$7,$B3151&lt;'111'!$N$11),"x","")</f>
        <v/>
      </c>
      <c r="R3151" s="525" t="str">
        <f>IF(ISERROR(FIND('112'!$M$9,G3151,1)),"",IF((AND(FIND('112'!$M$9,G3151,1)&gt;=1,$B3151&gt;='112'!$N$8,$B3151&lt;='112'!$O$8,OR($L3151='112'!$I$6,$M3151='112'!$I$6))),"x",""))</f>
        <v/>
      </c>
      <c r="S3151" s="525" t="str">
        <f>IF(ISERROR(FIND('112'!$M$9,G3151,1)),"",IF((AND(LEFT(G3151,2)=LEFT('112'!$M$9,2),B3151&lt;'112'!$N$8,$L3151='112'!$I$6)),"x",""))</f>
        <v/>
      </c>
      <c r="T3151" s="525" t="str">
        <f>IF(ISERROR(FIND('112'!$M$9,G3151,1)),"",IF((AND(RIGHT(G3151,2)=RIGHT('112'!$M$9,2),B3151&lt;'112'!$N$8,$M3151='112'!$I$6)),"x",""))</f>
        <v/>
      </c>
      <c r="U3151" s="525" t="str">
        <f>IF(AND(B3151&gt;='IN-NX'!$P$3,B3151&lt;='IN-NX'!$Q$3,'IN-NX'!$D$7=D3151,OR(LEFT(L3151,2)="15",AND(LEFT(M3151,2)&lt;&gt;"15",LEFT(M3151,2)&lt;&gt;"33"))),"x","")</f>
        <v/>
      </c>
      <c r="V3151" s="525" t="str">
        <f>IF(AND(OR(LEFT(TH!L3151,2)="15",LEFT(TH!M3151,2)="15"),'152-CT'!$J$8=TH!F3151),"x","")</f>
        <v/>
      </c>
      <c r="W3151" s="525" t="str">
        <f>IF(AND(OR(LEFT(TH!L3151,2)="15",LEFT(TH!M3151,2)="15"),TK!$E$7=TH!F3151),"x","")</f>
        <v/>
      </c>
      <c r="X3151" s="525" t="str">
        <f>IF(AND('341-CT'!$E$9=H3151,OR(LEFT(L3151,3)=$X$7,LEFT(M3151,3)=$X$7)),"x","")</f>
        <v/>
      </c>
      <c r="Y3151" s="525" t="str">
        <f>IF(OR(TH!L3151=TH!$Y$7,M3151=TH!$Y$7),"x","")</f>
        <v/>
      </c>
      <c r="Z3151" s="525" t="str">
        <f>IF(AND(B3151&lt;=NKC!$N$8,B3151&gt;=NKC!$M$8),"x","")</f>
        <v/>
      </c>
      <c r="AA3151" s="526"/>
      <c r="AB3151" s="527"/>
    </row>
    <row r="3152" spans="1:28" s="576" customFormat="1" ht="15.75" customHeight="1">
      <c r="A3152" s="517" t="str">
        <f>IF(B3152&lt;&gt;"",IF(AND(B3152&gt;=_TM1,B3152&lt;=_TM2,OR(TH!L3152="1111",TH!M3152="1111")),TH!D3152,""),"")</f>
        <v/>
      </c>
      <c r="B3152" s="518">
        <f t="shared" si="284"/>
        <v>5</v>
      </c>
      <c r="C3152" s="571">
        <f t="shared" si="282"/>
        <v>42886</v>
      </c>
      <c r="D3152" s="571" t="s">
        <v>996</v>
      </c>
      <c r="E3152" s="571">
        <v>42886</v>
      </c>
      <c r="F3152" s="520" t="s">
        <v>723</v>
      </c>
      <c r="G3152" s="573" t="s">
        <v>1141</v>
      </c>
      <c r="H3152" s="574" t="s">
        <v>800</v>
      </c>
      <c r="I3152" s="523">
        <v>60</v>
      </c>
      <c r="J3152" s="523">
        <v>10670</v>
      </c>
      <c r="K3152" s="575">
        <f t="shared" si="285"/>
        <v>640200</v>
      </c>
      <c r="L3152" s="591" t="s">
        <v>160</v>
      </c>
      <c r="M3152" s="591" t="s">
        <v>292</v>
      </c>
      <c r="N3152" s="525" t="str">
        <f>IF(AND('331-CT'!$E$7=TH!H3152,OR(L3152="331",M3152="331")),"331",IF(AND(OR(L3152="131",M3152="131"),H3152='131-CT'!$E$7),"131",""))</f>
        <v/>
      </c>
      <c r="O3152" s="525" t="str">
        <f>IF(AND($B3152&gt;='111'!$N$11,$B3152&lt;='111'!$O$11,OR($L3152=$O$7,$M3152=$O$7)),"x","")</f>
        <v/>
      </c>
      <c r="P3152" s="525" t="str">
        <f>IF(AND($L3152=$O$7,$B3152&lt;'111'!$N$11),"x","")</f>
        <v/>
      </c>
      <c r="Q3152" s="525" t="str">
        <f>IF(AND($M3152=$O$7,$B3152&lt;'111'!$N$11),"x","")</f>
        <v/>
      </c>
      <c r="R3152" s="525" t="str">
        <f>IF(ISERROR(FIND('112'!$M$9,G3152,1)),"",IF((AND(FIND('112'!$M$9,G3152,1)&gt;=1,$B3152&gt;='112'!$N$8,$B3152&lt;='112'!$O$8,OR($L3152='112'!$I$6,$M3152='112'!$I$6))),"x",""))</f>
        <v/>
      </c>
      <c r="S3152" s="525" t="str">
        <f>IF(ISERROR(FIND('112'!$M$9,G3152,1)),"",IF((AND(LEFT(G3152,2)=LEFT('112'!$M$9,2),B3152&lt;'112'!$N$8,$L3152='112'!$I$6)),"x",""))</f>
        <v/>
      </c>
      <c r="T3152" s="525" t="str">
        <f>IF(ISERROR(FIND('112'!$M$9,G3152,1)),"",IF((AND(RIGHT(G3152,2)=RIGHT('112'!$M$9,2),B3152&lt;'112'!$N$8,$M3152='112'!$I$6)),"x",""))</f>
        <v/>
      </c>
      <c r="U3152" s="525" t="str">
        <f>IF(AND(B3152&gt;='IN-NX'!$P$3,B3152&lt;='IN-NX'!$Q$3,'IN-NX'!$D$7=D3152,OR(LEFT(L3152,2)="15",AND(LEFT(M3152,2)&lt;&gt;"15",LEFT(M3152,2)&lt;&gt;"33"))),"x","")</f>
        <v/>
      </c>
      <c r="V3152" s="525" t="str">
        <f>IF(AND(OR(LEFT(TH!L3152,2)="15",LEFT(TH!M3152,2)="15"),'152-CT'!$J$8=TH!F3152),"x","")</f>
        <v/>
      </c>
      <c r="W3152" s="525" t="str">
        <f>IF(AND(OR(LEFT(TH!L3152,2)="15",LEFT(TH!M3152,2)="15"),TK!$E$7=TH!F3152),"x","")</f>
        <v/>
      </c>
      <c r="X3152" s="525" t="str">
        <f>IF(AND('341-CT'!$E$9=H3152,OR(LEFT(L3152,3)=$X$7,LEFT(M3152,3)=$X$7)),"x","")</f>
        <v/>
      </c>
      <c r="Y3152" s="525" t="str">
        <f>IF(OR(TH!L3152=TH!$Y$7,M3152=TH!$Y$7),"x","")</f>
        <v/>
      </c>
      <c r="Z3152" s="525" t="str">
        <f>IF(AND(B3152&lt;=NKC!$N$8,B3152&gt;=NKC!$M$8),"x","")</f>
        <v/>
      </c>
      <c r="AA3152" s="526"/>
      <c r="AB3152" s="527"/>
    </row>
    <row r="3153" spans="1:28" s="576" customFormat="1" ht="15.75" customHeight="1">
      <c r="A3153" s="517" t="str">
        <f>IF(B3153&lt;&gt;"",IF(AND(B3153&gt;=_TM1,B3153&lt;=_TM2,OR(TH!L3153="1111",TH!M3153="1111")),TH!D3153,""),"")</f>
        <v/>
      </c>
      <c r="B3153" s="518">
        <f t="shared" si="284"/>
        <v>5</v>
      </c>
      <c r="C3153" s="571">
        <f t="shared" si="282"/>
        <v>42886</v>
      </c>
      <c r="D3153" s="571" t="s">
        <v>996</v>
      </c>
      <c r="E3153" s="571">
        <v>42886</v>
      </c>
      <c r="F3153" s="520" t="s">
        <v>1167</v>
      </c>
      <c r="G3153" s="573" t="s">
        <v>1141</v>
      </c>
      <c r="H3153" s="574" t="s">
        <v>800</v>
      </c>
      <c r="I3153" s="523">
        <v>36</v>
      </c>
      <c r="J3153" s="523">
        <v>8380</v>
      </c>
      <c r="K3153" s="575">
        <f t="shared" si="285"/>
        <v>301680</v>
      </c>
      <c r="L3153" s="591" t="s">
        <v>160</v>
      </c>
      <c r="M3153" s="591" t="s">
        <v>292</v>
      </c>
      <c r="N3153" s="525" t="str">
        <f>IF(AND('331-CT'!$E$7=TH!H3153,OR(L3153="331",M3153="331")),"331",IF(AND(OR(L3153="131",M3153="131"),H3153='131-CT'!$E$7),"131",""))</f>
        <v/>
      </c>
      <c r="O3153" s="525" t="str">
        <f>IF(AND($B3153&gt;='111'!$N$11,$B3153&lt;='111'!$O$11,OR($L3153=$O$7,$M3153=$O$7)),"x","")</f>
        <v/>
      </c>
      <c r="P3153" s="525" t="str">
        <f>IF(AND($L3153=$O$7,$B3153&lt;'111'!$N$11),"x","")</f>
        <v/>
      </c>
      <c r="Q3153" s="525" t="str">
        <f>IF(AND($M3153=$O$7,$B3153&lt;'111'!$N$11),"x","")</f>
        <v/>
      </c>
      <c r="R3153" s="525" t="str">
        <f>IF(ISERROR(FIND('112'!$M$9,G3153,1)),"",IF((AND(FIND('112'!$M$9,G3153,1)&gt;=1,$B3153&gt;='112'!$N$8,$B3153&lt;='112'!$O$8,OR($L3153='112'!$I$6,$M3153='112'!$I$6))),"x",""))</f>
        <v/>
      </c>
      <c r="S3153" s="525" t="str">
        <f>IF(ISERROR(FIND('112'!$M$9,G3153,1)),"",IF((AND(LEFT(G3153,2)=LEFT('112'!$M$9,2),B3153&lt;'112'!$N$8,$L3153='112'!$I$6)),"x",""))</f>
        <v/>
      </c>
      <c r="T3153" s="525" t="str">
        <f>IF(ISERROR(FIND('112'!$M$9,G3153,1)),"",IF((AND(RIGHT(G3153,2)=RIGHT('112'!$M$9,2),B3153&lt;'112'!$N$8,$M3153='112'!$I$6)),"x",""))</f>
        <v/>
      </c>
      <c r="U3153" s="525" t="str">
        <f>IF(AND(B3153&gt;='IN-NX'!$P$3,B3153&lt;='IN-NX'!$Q$3,'IN-NX'!$D$7=D3153,OR(LEFT(L3153,2)="15",AND(LEFT(M3153,2)&lt;&gt;"15",LEFT(M3153,2)&lt;&gt;"33"))),"x","")</f>
        <v/>
      </c>
      <c r="V3153" s="525" t="str">
        <f>IF(AND(OR(LEFT(TH!L3153,2)="15",LEFT(TH!M3153,2)="15"),'152-CT'!$J$8=TH!F3153),"x","")</f>
        <v/>
      </c>
      <c r="W3153" s="525" t="str">
        <f>IF(AND(OR(LEFT(TH!L3153,2)="15",LEFT(TH!M3153,2)="15"),TK!$E$7=TH!F3153),"x","")</f>
        <v/>
      </c>
      <c r="X3153" s="525" t="str">
        <f>IF(AND('341-CT'!$E$9=H3153,OR(LEFT(L3153,3)=$X$7,LEFT(M3153,3)=$X$7)),"x","")</f>
        <v/>
      </c>
      <c r="Y3153" s="525" t="str">
        <f>IF(OR(TH!L3153=TH!$Y$7,M3153=TH!$Y$7),"x","")</f>
        <v/>
      </c>
      <c r="Z3153" s="525" t="str">
        <f>IF(AND(B3153&lt;=NKC!$N$8,B3153&gt;=NKC!$M$8),"x","")</f>
        <v/>
      </c>
      <c r="AA3153" s="526"/>
      <c r="AB3153" s="527"/>
    </row>
    <row r="3154" spans="1:28" s="576" customFormat="1" ht="15.75" customHeight="1">
      <c r="A3154" s="517" t="str">
        <f>IF(B3154&lt;&gt;"",IF(AND(B3154&gt;=_TM1,B3154&lt;=_TM2,OR(TH!L3154="1111",TH!M3154="1111")),TH!D3154,""),"")</f>
        <v/>
      </c>
      <c r="B3154" s="518">
        <f t="shared" si="284"/>
        <v>5</v>
      </c>
      <c r="C3154" s="571">
        <f t="shared" si="282"/>
        <v>42886</v>
      </c>
      <c r="D3154" s="571" t="s">
        <v>996</v>
      </c>
      <c r="E3154" s="571">
        <v>42886</v>
      </c>
      <c r="F3154" s="520" t="s">
        <v>1047</v>
      </c>
      <c r="G3154" s="573" t="s">
        <v>1141</v>
      </c>
      <c r="H3154" s="574" t="s">
        <v>800</v>
      </c>
      <c r="I3154" s="523">
        <v>4</v>
      </c>
      <c r="J3154" s="523">
        <v>40170</v>
      </c>
      <c r="K3154" s="575">
        <f t="shared" si="285"/>
        <v>160680</v>
      </c>
      <c r="L3154" s="591" t="s">
        <v>160</v>
      </c>
      <c r="M3154" s="591" t="s">
        <v>292</v>
      </c>
      <c r="N3154" s="525" t="str">
        <f>IF(AND('331-CT'!$E$7=TH!H3154,OR(L3154="331",M3154="331")),"331",IF(AND(OR(L3154="131",M3154="131"),H3154='131-CT'!$E$7),"131",""))</f>
        <v/>
      </c>
      <c r="O3154" s="525" t="str">
        <f>IF(AND($B3154&gt;='111'!$N$11,$B3154&lt;='111'!$O$11,OR($L3154=$O$7,$M3154=$O$7)),"x","")</f>
        <v/>
      </c>
      <c r="P3154" s="525" t="str">
        <f>IF(AND($L3154=$O$7,$B3154&lt;'111'!$N$11),"x","")</f>
        <v/>
      </c>
      <c r="Q3154" s="525" t="str">
        <f>IF(AND($M3154=$O$7,$B3154&lt;'111'!$N$11),"x","")</f>
        <v/>
      </c>
      <c r="R3154" s="525" t="str">
        <f>IF(ISERROR(FIND('112'!$M$9,G3154,1)),"",IF((AND(FIND('112'!$M$9,G3154,1)&gt;=1,$B3154&gt;='112'!$N$8,$B3154&lt;='112'!$O$8,OR($L3154='112'!$I$6,$M3154='112'!$I$6))),"x",""))</f>
        <v/>
      </c>
      <c r="S3154" s="525" t="str">
        <f>IF(ISERROR(FIND('112'!$M$9,G3154,1)),"",IF((AND(LEFT(G3154,2)=LEFT('112'!$M$9,2),B3154&lt;'112'!$N$8,$L3154='112'!$I$6)),"x",""))</f>
        <v/>
      </c>
      <c r="T3154" s="525" t="str">
        <f>IF(ISERROR(FIND('112'!$M$9,G3154,1)),"",IF((AND(RIGHT(G3154,2)=RIGHT('112'!$M$9,2),B3154&lt;'112'!$N$8,$M3154='112'!$I$6)),"x",""))</f>
        <v/>
      </c>
      <c r="U3154" s="525" t="str">
        <f>IF(AND(B3154&gt;='IN-NX'!$P$3,B3154&lt;='IN-NX'!$Q$3,'IN-NX'!$D$7=D3154,OR(LEFT(L3154,2)="15",AND(LEFT(M3154,2)&lt;&gt;"15",LEFT(M3154,2)&lt;&gt;"33"))),"x","")</f>
        <v/>
      </c>
      <c r="V3154" s="525" t="str">
        <f>IF(AND(OR(LEFT(TH!L3154,2)="15",LEFT(TH!M3154,2)="15"),'152-CT'!$J$8=TH!F3154),"x","")</f>
        <v/>
      </c>
      <c r="W3154" s="525" t="str">
        <f>IF(AND(OR(LEFT(TH!L3154,2)="15",LEFT(TH!M3154,2)="15"),TK!$E$7=TH!F3154),"x","")</f>
        <v/>
      </c>
      <c r="X3154" s="525" t="str">
        <f>IF(AND('341-CT'!$E$9=H3154,OR(LEFT(L3154,3)=$X$7,LEFT(M3154,3)=$X$7)),"x","")</f>
        <v/>
      </c>
      <c r="Y3154" s="525" t="str">
        <f>IF(OR(TH!L3154=TH!$Y$7,M3154=TH!$Y$7),"x","")</f>
        <v/>
      </c>
      <c r="Z3154" s="525" t="str">
        <f>IF(AND(B3154&lt;=NKC!$N$8,B3154&gt;=NKC!$M$8),"x","")</f>
        <v/>
      </c>
      <c r="AA3154" s="526"/>
      <c r="AB3154" s="527"/>
    </row>
    <row r="3155" spans="1:28" s="576" customFormat="1" ht="15.75" customHeight="1">
      <c r="A3155" s="517" t="str">
        <f>IF(B3155&lt;&gt;"",IF(AND(B3155&gt;=_TM1,B3155&lt;=_TM2,OR(TH!L3155="1111",TH!M3155="1111")),TH!D3155,""),"")</f>
        <v/>
      </c>
      <c r="B3155" s="518">
        <f t="shared" si="284"/>
        <v>5</v>
      </c>
      <c r="C3155" s="571">
        <f t="shared" si="282"/>
        <v>42886</v>
      </c>
      <c r="D3155" s="571" t="s">
        <v>996</v>
      </c>
      <c r="E3155" s="571">
        <v>42886</v>
      </c>
      <c r="F3155" s="520" t="s">
        <v>759</v>
      </c>
      <c r="G3155" s="573" t="s">
        <v>1141</v>
      </c>
      <c r="H3155" s="574" t="s">
        <v>800</v>
      </c>
      <c r="I3155" s="523">
        <v>30</v>
      </c>
      <c r="J3155" s="523">
        <v>33920</v>
      </c>
      <c r="K3155" s="575">
        <f t="shared" si="285"/>
        <v>1017600</v>
      </c>
      <c r="L3155" s="591" t="s">
        <v>160</v>
      </c>
      <c r="M3155" s="591" t="s">
        <v>292</v>
      </c>
      <c r="N3155" s="525" t="str">
        <f>IF(AND('331-CT'!$E$7=TH!H3155,OR(L3155="331",M3155="331")),"331",IF(AND(OR(L3155="131",M3155="131"),H3155='131-CT'!$E$7),"131",""))</f>
        <v/>
      </c>
      <c r="O3155" s="525" t="str">
        <f>IF(AND($B3155&gt;='111'!$N$11,$B3155&lt;='111'!$O$11,OR($L3155=$O$7,$M3155=$O$7)),"x","")</f>
        <v/>
      </c>
      <c r="P3155" s="525" t="str">
        <f>IF(AND($L3155=$O$7,$B3155&lt;'111'!$N$11),"x","")</f>
        <v/>
      </c>
      <c r="Q3155" s="525" t="str">
        <f>IF(AND($M3155=$O$7,$B3155&lt;'111'!$N$11),"x","")</f>
        <v/>
      </c>
      <c r="R3155" s="525" t="str">
        <f>IF(ISERROR(FIND('112'!$M$9,G3155,1)),"",IF((AND(FIND('112'!$M$9,G3155,1)&gt;=1,$B3155&gt;='112'!$N$8,$B3155&lt;='112'!$O$8,OR($L3155='112'!$I$6,$M3155='112'!$I$6))),"x",""))</f>
        <v/>
      </c>
      <c r="S3155" s="525" t="str">
        <f>IF(ISERROR(FIND('112'!$M$9,G3155,1)),"",IF((AND(LEFT(G3155,2)=LEFT('112'!$M$9,2),B3155&lt;'112'!$N$8,$L3155='112'!$I$6)),"x",""))</f>
        <v/>
      </c>
      <c r="T3155" s="525" t="str">
        <f>IF(ISERROR(FIND('112'!$M$9,G3155,1)),"",IF((AND(RIGHT(G3155,2)=RIGHT('112'!$M$9,2),B3155&lt;'112'!$N$8,$M3155='112'!$I$6)),"x",""))</f>
        <v/>
      </c>
      <c r="U3155" s="525" t="str">
        <f>IF(AND(B3155&gt;='IN-NX'!$P$3,B3155&lt;='IN-NX'!$Q$3,'IN-NX'!$D$7=D3155,OR(LEFT(L3155,2)="15",AND(LEFT(M3155,2)&lt;&gt;"15",LEFT(M3155,2)&lt;&gt;"33"))),"x","")</f>
        <v/>
      </c>
      <c r="V3155" s="525" t="str">
        <f>IF(AND(OR(LEFT(TH!L3155,2)="15",LEFT(TH!M3155,2)="15"),'152-CT'!$J$8=TH!F3155),"x","")</f>
        <v/>
      </c>
      <c r="W3155" s="525" t="str">
        <f>IF(AND(OR(LEFT(TH!L3155,2)="15",LEFT(TH!M3155,2)="15"),TK!$E$7=TH!F3155),"x","")</f>
        <v/>
      </c>
      <c r="X3155" s="525" t="str">
        <f>IF(AND('341-CT'!$E$9=H3155,OR(LEFT(L3155,3)=$X$7,LEFT(M3155,3)=$X$7)),"x","")</f>
        <v/>
      </c>
      <c r="Y3155" s="525" t="str">
        <f>IF(OR(TH!L3155=TH!$Y$7,M3155=TH!$Y$7),"x","")</f>
        <v/>
      </c>
      <c r="Z3155" s="525" t="str">
        <f>IF(AND(B3155&lt;=NKC!$N$8,B3155&gt;=NKC!$M$8),"x","")</f>
        <v/>
      </c>
      <c r="AA3155" s="526"/>
      <c r="AB3155" s="527"/>
    </row>
    <row r="3156" spans="1:28" s="576" customFormat="1" ht="15.75" customHeight="1">
      <c r="A3156" s="517" t="str">
        <f>IF(B3156&lt;&gt;"",IF(AND(B3156&gt;=_TM1,B3156&lt;=_TM2,OR(TH!L3156="1111",TH!M3156="1111")),TH!D3156,""),"")</f>
        <v/>
      </c>
      <c r="B3156" s="518">
        <f t="shared" si="284"/>
        <v>5</v>
      </c>
      <c r="C3156" s="571">
        <f t="shared" si="282"/>
        <v>42886</v>
      </c>
      <c r="D3156" s="571" t="s">
        <v>996</v>
      </c>
      <c r="E3156" s="571">
        <v>42886</v>
      </c>
      <c r="F3156" s="520" t="s">
        <v>667</v>
      </c>
      <c r="G3156" s="573" t="s">
        <v>1141</v>
      </c>
      <c r="H3156" s="574" t="s">
        <v>800</v>
      </c>
      <c r="I3156" s="523">
        <v>40</v>
      </c>
      <c r="J3156" s="523">
        <v>65300</v>
      </c>
      <c r="K3156" s="575">
        <f t="shared" si="285"/>
        <v>2612000</v>
      </c>
      <c r="L3156" s="591" t="s">
        <v>160</v>
      </c>
      <c r="M3156" s="591" t="s">
        <v>292</v>
      </c>
      <c r="N3156" s="525" t="str">
        <f>IF(AND('331-CT'!$E$7=TH!H3156,OR(L3156="331",M3156="331")),"331",IF(AND(OR(L3156="131",M3156="131"),H3156='131-CT'!$E$7),"131",""))</f>
        <v/>
      </c>
      <c r="O3156" s="525" t="str">
        <f>IF(AND($B3156&gt;='111'!$N$11,$B3156&lt;='111'!$O$11,OR($L3156=$O$7,$M3156=$O$7)),"x","")</f>
        <v/>
      </c>
      <c r="P3156" s="525" t="str">
        <f>IF(AND($L3156=$O$7,$B3156&lt;'111'!$N$11),"x","")</f>
        <v/>
      </c>
      <c r="Q3156" s="525" t="str">
        <f>IF(AND($M3156=$O$7,$B3156&lt;'111'!$N$11),"x","")</f>
        <v/>
      </c>
      <c r="R3156" s="525" t="str">
        <f>IF(ISERROR(FIND('112'!$M$9,G3156,1)),"",IF((AND(FIND('112'!$M$9,G3156,1)&gt;=1,$B3156&gt;='112'!$N$8,$B3156&lt;='112'!$O$8,OR($L3156='112'!$I$6,$M3156='112'!$I$6))),"x",""))</f>
        <v/>
      </c>
      <c r="S3156" s="525" t="str">
        <f>IF(ISERROR(FIND('112'!$M$9,G3156,1)),"",IF((AND(LEFT(G3156,2)=LEFT('112'!$M$9,2),B3156&lt;'112'!$N$8,$L3156='112'!$I$6)),"x",""))</f>
        <v/>
      </c>
      <c r="T3156" s="525" t="str">
        <f>IF(ISERROR(FIND('112'!$M$9,G3156,1)),"",IF((AND(RIGHT(G3156,2)=RIGHT('112'!$M$9,2),B3156&lt;'112'!$N$8,$M3156='112'!$I$6)),"x",""))</f>
        <v/>
      </c>
      <c r="U3156" s="525" t="str">
        <f>IF(AND(B3156&gt;='IN-NX'!$P$3,B3156&lt;='IN-NX'!$Q$3,'IN-NX'!$D$7=D3156,OR(LEFT(L3156,2)="15",AND(LEFT(M3156,2)&lt;&gt;"15",LEFT(M3156,2)&lt;&gt;"33"))),"x","")</f>
        <v/>
      </c>
      <c r="V3156" s="525" t="str">
        <f>IF(AND(OR(LEFT(TH!L3156,2)="15",LEFT(TH!M3156,2)="15"),'152-CT'!$J$8=TH!F3156),"x","")</f>
        <v/>
      </c>
      <c r="W3156" s="525" t="str">
        <f>IF(AND(OR(LEFT(TH!L3156,2)="15",LEFT(TH!M3156,2)="15"),TK!$E$7=TH!F3156),"x","")</f>
        <v/>
      </c>
      <c r="X3156" s="525" t="str">
        <f>IF(AND('341-CT'!$E$9=H3156,OR(LEFT(L3156,3)=$X$7,LEFT(M3156,3)=$X$7)),"x","")</f>
        <v/>
      </c>
      <c r="Y3156" s="525" t="str">
        <f>IF(OR(TH!L3156=TH!$Y$7,M3156=TH!$Y$7),"x","")</f>
        <v/>
      </c>
      <c r="Z3156" s="525" t="str">
        <f>IF(AND(B3156&lt;=NKC!$N$8,B3156&gt;=NKC!$M$8),"x","")</f>
        <v/>
      </c>
      <c r="AA3156" s="526"/>
      <c r="AB3156" s="527"/>
    </row>
    <row r="3157" spans="1:28" s="576" customFormat="1" ht="15.75" customHeight="1">
      <c r="A3157" s="517" t="str">
        <f>IF(B3157&lt;&gt;"",IF(AND(B3157&gt;=_TM1,B3157&lt;=_TM2,OR(TH!L3157="1111",TH!M3157="1111")),TH!D3157,""),"")</f>
        <v/>
      </c>
      <c r="B3157" s="518">
        <f t="shared" si="284"/>
        <v>5</v>
      </c>
      <c r="C3157" s="571">
        <f t="shared" si="282"/>
        <v>42886</v>
      </c>
      <c r="D3157" s="571" t="s">
        <v>996</v>
      </c>
      <c r="E3157" s="571">
        <v>42886</v>
      </c>
      <c r="F3157" s="520" t="s">
        <v>1023</v>
      </c>
      <c r="G3157" s="573" t="s">
        <v>1141</v>
      </c>
      <c r="H3157" s="574" t="s">
        <v>800</v>
      </c>
      <c r="I3157" s="523">
        <v>20</v>
      </c>
      <c r="J3157" s="523">
        <v>82420</v>
      </c>
      <c r="K3157" s="575">
        <f t="shared" si="285"/>
        <v>1648400</v>
      </c>
      <c r="L3157" s="591" t="s">
        <v>160</v>
      </c>
      <c r="M3157" s="591" t="s">
        <v>292</v>
      </c>
      <c r="N3157" s="525" t="str">
        <f>IF(AND('331-CT'!$E$7=TH!H3157,OR(L3157="331",M3157="331")),"331",IF(AND(OR(L3157="131",M3157="131"),H3157='131-CT'!$E$7),"131",""))</f>
        <v/>
      </c>
      <c r="O3157" s="525" t="str">
        <f>IF(AND($B3157&gt;='111'!$N$11,$B3157&lt;='111'!$O$11,OR($L3157=$O$7,$M3157=$O$7)),"x","")</f>
        <v/>
      </c>
      <c r="P3157" s="525" t="str">
        <f>IF(AND($L3157=$O$7,$B3157&lt;'111'!$N$11),"x","")</f>
        <v/>
      </c>
      <c r="Q3157" s="525" t="str">
        <f>IF(AND($M3157=$O$7,$B3157&lt;'111'!$N$11),"x","")</f>
        <v/>
      </c>
      <c r="R3157" s="525" t="str">
        <f>IF(ISERROR(FIND('112'!$M$9,G3157,1)),"",IF((AND(FIND('112'!$M$9,G3157,1)&gt;=1,$B3157&gt;='112'!$N$8,$B3157&lt;='112'!$O$8,OR($L3157='112'!$I$6,$M3157='112'!$I$6))),"x",""))</f>
        <v/>
      </c>
      <c r="S3157" s="525" t="str">
        <f>IF(ISERROR(FIND('112'!$M$9,G3157,1)),"",IF((AND(LEFT(G3157,2)=LEFT('112'!$M$9,2),B3157&lt;'112'!$N$8,$L3157='112'!$I$6)),"x",""))</f>
        <v/>
      </c>
      <c r="T3157" s="525" t="str">
        <f>IF(ISERROR(FIND('112'!$M$9,G3157,1)),"",IF((AND(RIGHT(G3157,2)=RIGHT('112'!$M$9,2),B3157&lt;'112'!$N$8,$M3157='112'!$I$6)),"x",""))</f>
        <v/>
      </c>
      <c r="U3157" s="525" t="str">
        <f>IF(AND(B3157&gt;='IN-NX'!$P$3,B3157&lt;='IN-NX'!$Q$3,'IN-NX'!$D$7=D3157,OR(LEFT(L3157,2)="15",AND(LEFT(M3157,2)&lt;&gt;"15",LEFT(M3157,2)&lt;&gt;"33"))),"x","")</f>
        <v/>
      </c>
      <c r="V3157" s="525" t="str">
        <f>IF(AND(OR(LEFT(TH!L3157,2)="15",LEFT(TH!M3157,2)="15"),'152-CT'!$J$8=TH!F3157),"x","")</f>
        <v/>
      </c>
      <c r="W3157" s="525" t="str">
        <f>IF(AND(OR(LEFT(TH!L3157,2)="15",LEFT(TH!M3157,2)="15"),TK!$E$7=TH!F3157),"x","")</f>
        <v/>
      </c>
      <c r="X3157" s="525" t="str">
        <f>IF(AND('341-CT'!$E$9=H3157,OR(LEFT(L3157,3)=$X$7,LEFT(M3157,3)=$X$7)),"x","")</f>
        <v/>
      </c>
      <c r="Y3157" s="525" t="str">
        <f>IF(OR(TH!L3157=TH!$Y$7,M3157=TH!$Y$7),"x","")</f>
        <v/>
      </c>
      <c r="Z3157" s="525" t="str">
        <f>IF(AND(B3157&lt;=NKC!$N$8,B3157&gt;=NKC!$M$8),"x","")</f>
        <v/>
      </c>
      <c r="AA3157" s="526"/>
      <c r="AB3157" s="527"/>
    </row>
    <row r="3158" spans="1:28" s="576" customFormat="1" ht="15.75" customHeight="1">
      <c r="A3158" s="517" t="str">
        <f>IF(B3158&lt;&gt;"",IF(AND(B3158&gt;=_TM1,B3158&lt;=_TM2,OR(TH!L3158="1111",TH!M3158="1111")),TH!D3158,""),"")</f>
        <v/>
      </c>
      <c r="B3158" s="518">
        <f t="shared" si="284"/>
        <v>5</v>
      </c>
      <c r="C3158" s="571">
        <f t="shared" ref="C3158:C3272" si="286">E3158</f>
        <v>42886</v>
      </c>
      <c r="D3158" s="571" t="s">
        <v>996</v>
      </c>
      <c r="E3158" s="571">
        <v>42886</v>
      </c>
      <c r="F3158" s="520" t="s">
        <v>1168</v>
      </c>
      <c r="G3158" s="573" t="s">
        <v>1141</v>
      </c>
      <c r="H3158" s="574" t="s">
        <v>800</v>
      </c>
      <c r="I3158" s="523">
        <v>24</v>
      </c>
      <c r="J3158" s="523">
        <v>21200</v>
      </c>
      <c r="K3158" s="575">
        <f t="shared" si="285"/>
        <v>508800</v>
      </c>
      <c r="L3158" s="591" t="s">
        <v>160</v>
      </c>
      <c r="M3158" s="591" t="s">
        <v>292</v>
      </c>
      <c r="N3158" s="525" t="str">
        <f>IF(AND('331-CT'!$E$7=TH!H3158,OR(L3158="331",M3158="331")),"331",IF(AND(OR(L3158="131",M3158="131"),H3158='131-CT'!$E$7),"131",""))</f>
        <v/>
      </c>
      <c r="O3158" s="525" t="str">
        <f>IF(AND($B3158&gt;='111'!$N$11,$B3158&lt;='111'!$O$11,OR($L3158=$O$7,$M3158=$O$7)),"x","")</f>
        <v/>
      </c>
      <c r="P3158" s="525" t="str">
        <f>IF(AND($L3158=$O$7,$B3158&lt;'111'!$N$11),"x","")</f>
        <v/>
      </c>
      <c r="Q3158" s="525" t="str">
        <f>IF(AND($M3158=$O$7,$B3158&lt;'111'!$N$11),"x","")</f>
        <v/>
      </c>
      <c r="R3158" s="525" t="str">
        <f>IF(ISERROR(FIND('112'!$M$9,G3158,1)),"",IF((AND(FIND('112'!$M$9,G3158,1)&gt;=1,$B3158&gt;='112'!$N$8,$B3158&lt;='112'!$O$8,OR($L3158='112'!$I$6,$M3158='112'!$I$6))),"x",""))</f>
        <v/>
      </c>
      <c r="S3158" s="525" t="str">
        <f>IF(ISERROR(FIND('112'!$M$9,G3158,1)),"",IF((AND(LEFT(G3158,2)=LEFT('112'!$M$9,2),B3158&lt;'112'!$N$8,$L3158='112'!$I$6)),"x",""))</f>
        <v/>
      </c>
      <c r="T3158" s="525" t="str">
        <f>IF(ISERROR(FIND('112'!$M$9,G3158,1)),"",IF((AND(RIGHT(G3158,2)=RIGHT('112'!$M$9,2),B3158&lt;'112'!$N$8,$M3158='112'!$I$6)),"x",""))</f>
        <v/>
      </c>
      <c r="U3158" s="525" t="str">
        <f>IF(AND(B3158&gt;='IN-NX'!$P$3,B3158&lt;='IN-NX'!$Q$3,'IN-NX'!$D$7=D3158,OR(LEFT(L3158,2)="15",AND(LEFT(M3158,2)&lt;&gt;"15",LEFT(M3158,2)&lt;&gt;"33"))),"x","")</f>
        <v/>
      </c>
      <c r="V3158" s="525" t="str">
        <f>IF(AND(OR(LEFT(TH!L3158,2)="15",LEFT(TH!M3158,2)="15"),'152-CT'!$J$8=TH!F3158),"x","")</f>
        <v/>
      </c>
      <c r="W3158" s="525" t="str">
        <f>IF(AND(OR(LEFT(TH!L3158,2)="15",LEFT(TH!M3158,2)="15"),TK!$E$7=TH!F3158),"x","")</f>
        <v/>
      </c>
      <c r="X3158" s="525" t="str">
        <f>IF(AND('341-CT'!$E$9=H3158,OR(LEFT(L3158,3)=$X$7,LEFT(M3158,3)=$X$7)),"x","")</f>
        <v/>
      </c>
      <c r="Y3158" s="525" t="str">
        <f>IF(OR(TH!L3158=TH!$Y$7,M3158=TH!$Y$7),"x","")</f>
        <v/>
      </c>
      <c r="Z3158" s="525" t="str">
        <f>IF(AND(B3158&lt;=NKC!$N$8,B3158&gt;=NKC!$M$8),"x","")</f>
        <v/>
      </c>
      <c r="AA3158" s="526"/>
      <c r="AB3158" s="527"/>
    </row>
    <row r="3159" spans="1:28" s="576" customFormat="1" ht="15.75" customHeight="1">
      <c r="A3159" s="517" t="str">
        <f>IF(B3159&lt;&gt;"",IF(AND(B3159&gt;=_TM1,B3159&lt;=_TM2,OR(TH!L3159="1111",TH!M3159="1111")),TH!D3159,""),"")</f>
        <v/>
      </c>
      <c r="B3159" s="518">
        <f t="shared" si="284"/>
        <v>5</v>
      </c>
      <c r="C3159" s="571">
        <f t="shared" si="286"/>
        <v>42886</v>
      </c>
      <c r="D3159" s="571" t="s">
        <v>996</v>
      </c>
      <c r="E3159" s="571">
        <v>42886</v>
      </c>
      <c r="F3159" s="572" t="s">
        <v>611</v>
      </c>
      <c r="G3159" s="573" t="s">
        <v>1141</v>
      </c>
      <c r="H3159" s="574" t="s">
        <v>800</v>
      </c>
      <c r="I3159" s="523">
        <v>18</v>
      </c>
      <c r="J3159" s="523">
        <v>44320</v>
      </c>
      <c r="K3159" s="575">
        <f t="shared" si="285"/>
        <v>797760</v>
      </c>
      <c r="L3159" s="591" t="s">
        <v>160</v>
      </c>
      <c r="M3159" s="591" t="s">
        <v>292</v>
      </c>
      <c r="N3159" s="525" t="str">
        <f>IF(AND('331-CT'!$E$7=TH!H3159,OR(L3159="331",M3159="331")),"331",IF(AND(OR(L3159="131",M3159="131"),H3159='131-CT'!$E$7),"131",""))</f>
        <v/>
      </c>
      <c r="O3159" s="525" t="str">
        <f>IF(AND($B3159&gt;='111'!$N$11,$B3159&lt;='111'!$O$11,OR($L3159=$O$7,$M3159=$O$7)),"x","")</f>
        <v/>
      </c>
      <c r="P3159" s="525" t="str">
        <f>IF(AND($L3159=$O$7,$B3159&lt;'111'!$N$11),"x","")</f>
        <v/>
      </c>
      <c r="Q3159" s="525" t="str">
        <f>IF(AND($M3159=$O$7,$B3159&lt;'111'!$N$11),"x","")</f>
        <v/>
      </c>
      <c r="R3159" s="525" t="str">
        <f>IF(ISERROR(FIND('112'!$M$9,G3159,1)),"",IF((AND(FIND('112'!$M$9,G3159,1)&gt;=1,$B3159&gt;='112'!$N$8,$B3159&lt;='112'!$O$8,OR($L3159='112'!$I$6,$M3159='112'!$I$6))),"x",""))</f>
        <v/>
      </c>
      <c r="S3159" s="525" t="str">
        <f>IF(ISERROR(FIND('112'!$M$9,G3159,1)),"",IF((AND(LEFT(G3159,2)=LEFT('112'!$M$9,2),B3159&lt;'112'!$N$8,$L3159='112'!$I$6)),"x",""))</f>
        <v/>
      </c>
      <c r="T3159" s="525" t="str">
        <f>IF(ISERROR(FIND('112'!$M$9,G3159,1)),"",IF((AND(RIGHT(G3159,2)=RIGHT('112'!$M$9,2),B3159&lt;'112'!$N$8,$M3159='112'!$I$6)),"x",""))</f>
        <v/>
      </c>
      <c r="U3159" s="525" t="str">
        <f>IF(AND(B3159&gt;='IN-NX'!$P$3,B3159&lt;='IN-NX'!$Q$3,'IN-NX'!$D$7=D3159,OR(LEFT(L3159,2)="15",AND(LEFT(M3159,2)&lt;&gt;"15",LEFT(M3159,2)&lt;&gt;"33"))),"x","")</f>
        <v/>
      </c>
      <c r="V3159" s="525" t="str">
        <f>IF(AND(OR(LEFT(TH!L3159,2)="15",LEFT(TH!M3159,2)="15"),'152-CT'!$J$8=TH!F3159),"x","")</f>
        <v/>
      </c>
      <c r="W3159" s="525" t="str">
        <f>IF(AND(OR(LEFT(TH!L3159,2)="15",LEFT(TH!M3159,2)="15"),TK!$E$7=TH!F3159),"x","")</f>
        <v/>
      </c>
      <c r="X3159" s="525" t="str">
        <f>IF(AND('341-CT'!$E$9=H3159,OR(LEFT(L3159,3)=$X$7,LEFT(M3159,3)=$X$7)),"x","")</f>
        <v/>
      </c>
      <c r="Y3159" s="525" t="str">
        <f>IF(OR(TH!L3159=TH!$Y$7,M3159=TH!$Y$7),"x","")</f>
        <v/>
      </c>
      <c r="Z3159" s="525" t="str">
        <f>IF(AND(B3159&lt;=NKC!$N$8,B3159&gt;=NKC!$M$8),"x","")</f>
        <v/>
      </c>
      <c r="AA3159" s="526"/>
      <c r="AB3159" s="527"/>
    </row>
    <row r="3160" spans="1:28" s="576" customFormat="1" ht="15.75" customHeight="1">
      <c r="A3160" s="517" t="str">
        <f>IF(B3160&lt;&gt;"",IF(AND(B3160&gt;=_TM1,B3160&lt;=_TM2,OR(TH!L3160="1111",TH!M3160="1111")),TH!D3160,""),"")</f>
        <v/>
      </c>
      <c r="B3160" s="518">
        <f t="shared" si="284"/>
        <v>5</v>
      </c>
      <c r="C3160" s="571">
        <f t="shared" si="286"/>
        <v>42886</v>
      </c>
      <c r="D3160" s="571" t="s">
        <v>996</v>
      </c>
      <c r="E3160" s="571">
        <v>42886</v>
      </c>
      <c r="F3160" s="520" t="s">
        <v>735</v>
      </c>
      <c r="G3160" s="573" t="s">
        <v>1141</v>
      </c>
      <c r="H3160" s="574" t="s">
        <v>800</v>
      </c>
      <c r="I3160" s="523">
        <v>12</v>
      </c>
      <c r="J3160" s="523">
        <v>50120</v>
      </c>
      <c r="K3160" s="575">
        <f t="shared" si="285"/>
        <v>601440</v>
      </c>
      <c r="L3160" s="591" t="s">
        <v>160</v>
      </c>
      <c r="M3160" s="591" t="s">
        <v>292</v>
      </c>
      <c r="N3160" s="525" t="str">
        <f>IF(AND('331-CT'!$E$7=TH!H3160,OR(L3160="331",M3160="331")),"331",IF(AND(OR(L3160="131",M3160="131"),H3160='131-CT'!$E$7),"131",""))</f>
        <v/>
      </c>
      <c r="O3160" s="525" t="str">
        <f>IF(AND($B3160&gt;='111'!$N$11,$B3160&lt;='111'!$O$11,OR($L3160=$O$7,$M3160=$O$7)),"x","")</f>
        <v/>
      </c>
      <c r="P3160" s="525" t="str">
        <f>IF(AND($L3160=$O$7,$B3160&lt;'111'!$N$11),"x","")</f>
        <v/>
      </c>
      <c r="Q3160" s="525" t="str">
        <f>IF(AND($M3160=$O$7,$B3160&lt;'111'!$N$11),"x","")</f>
        <v/>
      </c>
      <c r="R3160" s="525" t="str">
        <f>IF(ISERROR(FIND('112'!$M$9,G3160,1)),"",IF((AND(FIND('112'!$M$9,G3160,1)&gt;=1,$B3160&gt;='112'!$N$8,$B3160&lt;='112'!$O$8,OR($L3160='112'!$I$6,$M3160='112'!$I$6))),"x",""))</f>
        <v/>
      </c>
      <c r="S3160" s="525" t="str">
        <f>IF(ISERROR(FIND('112'!$M$9,G3160,1)),"",IF((AND(LEFT(G3160,2)=LEFT('112'!$M$9,2),B3160&lt;'112'!$N$8,$L3160='112'!$I$6)),"x",""))</f>
        <v/>
      </c>
      <c r="T3160" s="525" t="str">
        <f>IF(ISERROR(FIND('112'!$M$9,G3160,1)),"",IF((AND(RIGHT(G3160,2)=RIGHT('112'!$M$9,2),B3160&lt;'112'!$N$8,$M3160='112'!$I$6)),"x",""))</f>
        <v/>
      </c>
      <c r="U3160" s="525" t="str">
        <f>IF(AND(B3160&gt;='IN-NX'!$P$3,B3160&lt;='IN-NX'!$Q$3,'IN-NX'!$D$7=D3160,OR(LEFT(L3160,2)="15",AND(LEFT(M3160,2)&lt;&gt;"15",LEFT(M3160,2)&lt;&gt;"33"))),"x","")</f>
        <v/>
      </c>
      <c r="V3160" s="525" t="str">
        <f>IF(AND(OR(LEFT(TH!L3160,2)="15",LEFT(TH!M3160,2)="15"),'152-CT'!$J$8=TH!F3160),"x","")</f>
        <v/>
      </c>
      <c r="W3160" s="525" t="str">
        <f>IF(AND(OR(LEFT(TH!L3160,2)="15",LEFT(TH!M3160,2)="15"),TK!$E$7=TH!F3160),"x","")</f>
        <v/>
      </c>
      <c r="X3160" s="525" t="str">
        <f>IF(AND('341-CT'!$E$9=H3160,OR(LEFT(L3160,3)=$X$7,LEFT(M3160,3)=$X$7)),"x","")</f>
        <v/>
      </c>
      <c r="Y3160" s="525" t="str">
        <f>IF(OR(TH!L3160=TH!$Y$7,M3160=TH!$Y$7),"x","")</f>
        <v/>
      </c>
      <c r="Z3160" s="525" t="str">
        <f>IF(AND(B3160&lt;=NKC!$N$8,B3160&gt;=NKC!$M$8),"x","")</f>
        <v/>
      </c>
      <c r="AA3160" s="526"/>
      <c r="AB3160" s="527"/>
    </row>
    <row r="3161" spans="1:28" s="576" customFormat="1" ht="15.75" customHeight="1">
      <c r="A3161" s="517" t="str">
        <f>IF(B3161&lt;&gt;"",IF(AND(B3161&gt;=_TM1,B3161&lt;=_TM2,OR(TH!L3161="1111",TH!M3161="1111")),TH!D3161,""),"")</f>
        <v/>
      </c>
      <c r="B3161" s="518">
        <f t="shared" si="284"/>
        <v>5</v>
      </c>
      <c r="C3161" s="571">
        <f t="shared" si="286"/>
        <v>42886</v>
      </c>
      <c r="D3161" s="571" t="s">
        <v>996</v>
      </c>
      <c r="E3161" s="571">
        <v>42886</v>
      </c>
      <c r="F3161" s="520" t="s">
        <v>1169</v>
      </c>
      <c r="G3161" s="573" t="s">
        <v>1141</v>
      </c>
      <c r="H3161" s="574" t="s">
        <v>800</v>
      </c>
      <c r="I3161" s="523">
        <v>8</v>
      </c>
      <c r="J3161" s="523">
        <v>75420</v>
      </c>
      <c r="K3161" s="575">
        <f t="shared" si="285"/>
        <v>603360</v>
      </c>
      <c r="L3161" s="591" t="s">
        <v>160</v>
      </c>
      <c r="M3161" s="591" t="s">
        <v>292</v>
      </c>
      <c r="N3161" s="525" t="str">
        <f>IF(AND('331-CT'!$E$7=TH!H3161,OR(L3161="331",M3161="331")),"331",IF(AND(OR(L3161="131",M3161="131"),H3161='131-CT'!$E$7),"131",""))</f>
        <v/>
      </c>
      <c r="O3161" s="525" t="str">
        <f>IF(AND($B3161&gt;='111'!$N$11,$B3161&lt;='111'!$O$11,OR($L3161=$O$7,$M3161=$O$7)),"x","")</f>
        <v/>
      </c>
      <c r="P3161" s="525" t="str">
        <f>IF(AND($L3161=$O$7,$B3161&lt;'111'!$N$11),"x","")</f>
        <v/>
      </c>
      <c r="Q3161" s="525" t="str">
        <f>IF(AND($M3161=$O$7,$B3161&lt;'111'!$N$11),"x","")</f>
        <v/>
      </c>
      <c r="R3161" s="525" t="str">
        <f>IF(ISERROR(FIND('112'!$M$9,G3161,1)),"",IF((AND(FIND('112'!$M$9,G3161,1)&gt;=1,$B3161&gt;='112'!$N$8,$B3161&lt;='112'!$O$8,OR($L3161='112'!$I$6,$M3161='112'!$I$6))),"x",""))</f>
        <v/>
      </c>
      <c r="S3161" s="525" t="str">
        <f>IF(ISERROR(FIND('112'!$M$9,G3161,1)),"",IF((AND(LEFT(G3161,2)=LEFT('112'!$M$9,2),B3161&lt;'112'!$N$8,$L3161='112'!$I$6)),"x",""))</f>
        <v/>
      </c>
      <c r="T3161" s="525" t="str">
        <f>IF(ISERROR(FIND('112'!$M$9,G3161,1)),"",IF((AND(RIGHT(G3161,2)=RIGHT('112'!$M$9,2),B3161&lt;'112'!$N$8,$M3161='112'!$I$6)),"x",""))</f>
        <v/>
      </c>
      <c r="U3161" s="525" t="str">
        <f>IF(AND(B3161&gt;='IN-NX'!$P$3,B3161&lt;='IN-NX'!$Q$3,'IN-NX'!$D$7=D3161,OR(LEFT(L3161,2)="15",AND(LEFT(M3161,2)&lt;&gt;"15",LEFT(M3161,2)&lt;&gt;"33"))),"x","")</f>
        <v/>
      </c>
      <c r="V3161" s="525" t="str">
        <f>IF(AND(OR(LEFT(TH!L3161,2)="15",LEFT(TH!M3161,2)="15"),'152-CT'!$J$8=TH!F3161),"x","")</f>
        <v/>
      </c>
      <c r="W3161" s="525" t="str">
        <f>IF(AND(OR(LEFT(TH!L3161,2)="15",LEFT(TH!M3161,2)="15"),TK!$E$7=TH!F3161),"x","")</f>
        <v/>
      </c>
      <c r="X3161" s="525" t="str">
        <f>IF(AND('341-CT'!$E$9=H3161,OR(LEFT(L3161,3)=$X$7,LEFT(M3161,3)=$X$7)),"x","")</f>
        <v/>
      </c>
      <c r="Y3161" s="525" t="str">
        <f>IF(OR(TH!L3161=TH!$Y$7,M3161=TH!$Y$7),"x","")</f>
        <v/>
      </c>
      <c r="Z3161" s="525" t="str">
        <f>IF(AND(B3161&lt;=NKC!$N$8,B3161&gt;=NKC!$M$8),"x","")</f>
        <v/>
      </c>
      <c r="AA3161" s="526"/>
      <c r="AB3161" s="527"/>
    </row>
    <row r="3162" spans="1:28" s="576" customFormat="1" ht="15.75" customHeight="1">
      <c r="A3162" s="517" t="str">
        <f>IF(B3162&lt;&gt;"",IF(AND(B3162&gt;=_TM1,B3162&lt;=_TM2,OR(TH!L3162="1111",TH!M3162="1111")),TH!D3162,""),"")</f>
        <v/>
      </c>
      <c r="B3162" s="518">
        <f t="shared" si="284"/>
        <v>5</v>
      </c>
      <c r="C3162" s="571">
        <f t="shared" si="286"/>
        <v>42886</v>
      </c>
      <c r="D3162" s="571" t="s">
        <v>996</v>
      </c>
      <c r="E3162" s="571">
        <v>42886</v>
      </c>
      <c r="F3162" s="520" t="s">
        <v>705</v>
      </c>
      <c r="G3162" s="573" t="s">
        <v>1141</v>
      </c>
      <c r="H3162" s="574" t="s">
        <v>800</v>
      </c>
      <c r="I3162" s="523">
        <v>8</v>
      </c>
      <c r="J3162" s="523">
        <v>46680</v>
      </c>
      <c r="K3162" s="575">
        <f t="shared" si="285"/>
        <v>373440</v>
      </c>
      <c r="L3162" s="591" t="s">
        <v>160</v>
      </c>
      <c r="M3162" s="591" t="s">
        <v>292</v>
      </c>
      <c r="N3162" s="525" t="str">
        <f>IF(AND('331-CT'!$E$7=TH!H3162,OR(L3162="331",M3162="331")),"331",IF(AND(OR(L3162="131",M3162="131"),H3162='131-CT'!$E$7),"131",""))</f>
        <v/>
      </c>
      <c r="O3162" s="525" t="str">
        <f>IF(AND($B3162&gt;='111'!$N$11,$B3162&lt;='111'!$O$11,OR($L3162=$O$7,$M3162=$O$7)),"x","")</f>
        <v/>
      </c>
      <c r="P3162" s="525" t="str">
        <f>IF(AND($L3162=$O$7,$B3162&lt;'111'!$N$11),"x","")</f>
        <v/>
      </c>
      <c r="Q3162" s="525" t="str">
        <f>IF(AND($M3162=$O$7,$B3162&lt;'111'!$N$11),"x","")</f>
        <v/>
      </c>
      <c r="R3162" s="525" t="str">
        <f>IF(ISERROR(FIND('112'!$M$9,G3162,1)),"",IF((AND(FIND('112'!$M$9,G3162,1)&gt;=1,$B3162&gt;='112'!$N$8,$B3162&lt;='112'!$O$8,OR($L3162='112'!$I$6,$M3162='112'!$I$6))),"x",""))</f>
        <v/>
      </c>
      <c r="S3162" s="525" t="str">
        <f>IF(ISERROR(FIND('112'!$M$9,G3162,1)),"",IF((AND(LEFT(G3162,2)=LEFT('112'!$M$9,2),B3162&lt;'112'!$N$8,$L3162='112'!$I$6)),"x",""))</f>
        <v/>
      </c>
      <c r="T3162" s="525" t="str">
        <f>IF(ISERROR(FIND('112'!$M$9,G3162,1)),"",IF((AND(RIGHT(G3162,2)=RIGHT('112'!$M$9,2),B3162&lt;'112'!$N$8,$M3162='112'!$I$6)),"x",""))</f>
        <v/>
      </c>
      <c r="U3162" s="525" t="str">
        <f>IF(AND(B3162&gt;='IN-NX'!$P$3,B3162&lt;='IN-NX'!$Q$3,'IN-NX'!$D$7=D3162,OR(LEFT(L3162,2)="15",AND(LEFT(M3162,2)&lt;&gt;"15",LEFT(M3162,2)&lt;&gt;"33"))),"x","")</f>
        <v/>
      </c>
      <c r="V3162" s="525" t="str">
        <f>IF(AND(OR(LEFT(TH!L3162,2)="15",LEFT(TH!M3162,2)="15"),'152-CT'!$J$8=TH!F3162),"x","")</f>
        <v/>
      </c>
      <c r="W3162" s="525" t="str">
        <f>IF(AND(OR(LEFT(TH!L3162,2)="15",LEFT(TH!M3162,2)="15"),TK!$E$7=TH!F3162),"x","")</f>
        <v/>
      </c>
      <c r="X3162" s="525" t="str">
        <f>IF(AND('341-CT'!$E$9=H3162,OR(LEFT(L3162,3)=$X$7,LEFT(M3162,3)=$X$7)),"x","")</f>
        <v/>
      </c>
      <c r="Y3162" s="525" t="str">
        <f>IF(OR(TH!L3162=TH!$Y$7,M3162=TH!$Y$7),"x","")</f>
        <v/>
      </c>
      <c r="Z3162" s="525" t="str">
        <f>IF(AND(B3162&lt;=NKC!$N$8,B3162&gt;=NKC!$M$8),"x","")</f>
        <v/>
      </c>
      <c r="AA3162" s="526"/>
      <c r="AB3162" s="527"/>
    </row>
    <row r="3163" spans="1:28" s="576" customFormat="1" ht="15.75" customHeight="1">
      <c r="A3163" s="517" t="str">
        <f>IF(B3163&lt;&gt;"",IF(AND(B3163&gt;=_TM1,B3163&lt;=_TM2,OR(TH!L3163="1111",TH!M3163="1111")),TH!D3163,""),"")</f>
        <v/>
      </c>
      <c r="B3163" s="518">
        <f t="shared" si="284"/>
        <v>5</v>
      </c>
      <c r="C3163" s="571">
        <f t="shared" si="286"/>
        <v>42886</v>
      </c>
      <c r="D3163" s="571" t="s">
        <v>996</v>
      </c>
      <c r="E3163" s="571">
        <v>42886</v>
      </c>
      <c r="F3163" s="520" t="s">
        <v>709</v>
      </c>
      <c r="G3163" s="573" t="s">
        <v>1141</v>
      </c>
      <c r="H3163" s="574" t="s">
        <v>800</v>
      </c>
      <c r="I3163" s="523">
        <v>68</v>
      </c>
      <c r="J3163" s="523">
        <v>40380</v>
      </c>
      <c r="K3163" s="575">
        <f t="shared" si="285"/>
        <v>2745840</v>
      </c>
      <c r="L3163" s="591" t="s">
        <v>160</v>
      </c>
      <c r="M3163" s="591" t="s">
        <v>292</v>
      </c>
      <c r="N3163" s="525" t="str">
        <f>IF(AND('331-CT'!$E$7=TH!H3163,OR(L3163="331",M3163="331")),"331",IF(AND(OR(L3163="131",M3163="131"),H3163='131-CT'!$E$7),"131",""))</f>
        <v/>
      </c>
      <c r="O3163" s="525" t="str">
        <f>IF(AND($B3163&gt;='111'!$N$11,$B3163&lt;='111'!$O$11,OR($L3163=$O$7,$M3163=$O$7)),"x","")</f>
        <v/>
      </c>
      <c r="P3163" s="525" t="str">
        <f>IF(AND($L3163=$O$7,$B3163&lt;'111'!$N$11),"x","")</f>
        <v/>
      </c>
      <c r="Q3163" s="525" t="str">
        <f>IF(AND($M3163=$O$7,$B3163&lt;'111'!$N$11),"x","")</f>
        <v/>
      </c>
      <c r="R3163" s="525" t="str">
        <f>IF(ISERROR(FIND('112'!$M$9,G3163,1)),"",IF((AND(FIND('112'!$M$9,G3163,1)&gt;=1,$B3163&gt;='112'!$N$8,$B3163&lt;='112'!$O$8,OR($L3163='112'!$I$6,$M3163='112'!$I$6))),"x",""))</f>
        <v/>
      </c>
      <c r="S3163" s="525" t="str">
        <f>IF(ISERROR(FIND('112'!$M$9,G3163,1)),"",IF((AND(LEFT(G3163,2)=LEFT('112'!$M$9,2),B3163&lt;'112'!$N$8,$L3163='112'!$I$6)),"x",""))</f>
        <v/>
      </c>
      <c r="T3163" s="525" t="str">
        <f>IF(ISERROR(FIND('112'!$M$9,G3163,1)),"",IF((AND(RIGHT(G3163,2)=RIGHT('112'!$M$9,2),B3163&lt;'112'!$N$8,$M3163='112'!$I$6)),"x",""))</f>
        <v/>
      </c>
      <c r="U3163" s="525" t="str">
        <f>IF(AND(B3163&gt;='IN-NX'!$P$3,B3163&lt;='IN-NX'!$Q$3,'IN-NX'!$D$7=D3163,OR(LEFT(L3163,2)="15",AND(LEFT(M3163,2)&lt;&gt;"15",LEFT(M3163,2)&lt;&gt;"33"))),"x","")</f>
        <v/>
      </c>
      <c r="V3163" s="525" t="str">
        <f>IF(AND(OR(LEFT(TH!L3163,2)="15",LEFT(TH!M3163,2)="15"),'152-CT'!$J$8=TH!F3163),"x","")</f>
        <v/>
      </c>
      <c r="W3163" s="525" t="str">
        <f>IF(AND(OR(LEFT(TH!L3163,2)="15",LEFT(TH!M3163,2)="15"),TK!$E$7=TH!F3163),"x","")</f>
        <v/>
      </c>
      <c r="X3163" s="525" t="str">
        <f>IF(AND('341-CT'!$E$9=H3163,OR(LEFT(L3163,3)=$X$7,LEFT(M3163,3)=$X$7)),"x","")</f>
        <v/>
      </c>
      <c r="Y3163" s="525" t="str">
        <f>IF(OR(TH!L3163=TH!$Y$7,M3163=TH!$Y$7),"x","")</f>
        <v/>
      </c>
      <c r="Z3163" s="525" t="str">
        <f>IF(AND(B3163&lt;=NKC!$N$8,B3163&gt;=NKC!$M$8),"x","")</f>
        <v/>
      </c>
      <c r="AA3163" s="526"/>
      <c r="AB3163" s="527"/>
    </row>
    <row r="3164" spans="1:28" s="576" customFormat="1" ht="15.75" customHeight="1">
      <c r="A3164" s="517" t="str">
        <f>IF(B3164&lt;&gt;"",IF(AND(B3164&gt;=_TM1,B3164&lt;=_TM2,OR(TH!L3164="1111",TH!M3164="1111")),TH!D3164,""),"")</f>
        <v/>
      </c>
      <c r="B3164" s="518">
        <f t="shared" si="284"/>
        <v>5</v>
      </c>
      <c r="C3164" s="571">
        <f t="shared" si="286"/>
        <v>42886</v>
      </c>
      <c r="D3164" s="571" t="s">
        <v>996</v>
      </c>
      <c r="E3164" s="571">
        <v>42886</v>
      </c>
      <c r="F3164" s="520" t="s">
        <v>713</v>
      </c>
      <c r="G3164" s="573" t="s">
        <v>1141</v>
      </c>
      <c r="H3164" s="574" t="s">
        <v>800</v>
      </c>
      <c r="I3164" s="523">
        <v>44</v>
      </c>
      <c r="J3164" s="523">
        <v>31520</v>
      </c>
      <c r="K3164" s="575">
        <f t="shared" si="285"/>
        <v>1386880</v>
      </c>
      <c r="L3164" s="591" t="s">
        <v>160</v>
      </c>
      <c r="M3164" s="591" t="s">
        <v>292</v>
      </c>
      <c r="N3164" s="525" t="str">
        <f>IF(AND('331-CT'!$E$7=TH!H3164,OR(L3164="331",M3164="331")),"331",IF(AND(OR(L3164="131",M3164="131"),H3164='131-CT'!$E$7),"131",""))</f>
        <v/>
      </c>
      <c r="O3164" s="525" t="str">
        <f>IF(AND($B3164&gt;='111'!$N$11,$B3164&lt;='111'!$O$11,OR($L3164=$O$7,$M3164=$O$7)),"x","")</f>
        <v/>
      </c>
      <c r="P3164" s="525" t="str">
        <f>IF(AND($L3164=$O$7,$B3164&lt;'111'!$N$11),"x","")</f>
        <v/>
      </c>
      <c r="Q3164" s="525" t="str">
        <f>IF(AND($M3164=$O$7,$B3164&lt;'111'!$N$11),"x","")</f>
        <v/>
      </c>
      <c r="R3164" s="525" t="str">
        <f>IF(ISERROR(FIND('112'!$M$9,G3164,1)),"",IF((AND(FIND('112'!$M$9,G3164,1)&gt;=1,$B3164&gt;='112'!$N$8,$B3164&lt;='112'!$O$8,OR($L3164='112'!$I$6,$M3164='112'!$I$6))),"x",""))</f>
        <v/>
      </c>
      <c r="S3164" s="525" t="str">
        <f>IF(ISERROR(FIND('112'!$M$9,G3164,1)),"",IF((AND(LEFT(G3164,2)=LEFT('112'!$M$9,2),B3164&lt;'112'!$N$8,$L3164='112'!$I$6)),"x",""))</f>
        <v/>
      </c>
      <c r="T3164" s="525" t="str">
        <f>IF(ISERROR(FIND('112'!$M$9,G3164,1)),"",IF((AND(RIGHT(G3164,2)=RIGHT('112'!$M$9,2),B3164&lt;'112'!$N$8,$M3164='112'!$I$6)),"x",""))</f>
        <v/>
      </c>
      <c r="U3164" s="525" t="str">
        <f>IF(AND(B3164&gt;='IN-NX'!$P$3,B3164&lt;='IN-NX'!$Q$3,'IN-NX'!$D$7=D3164,OR(LEFT(L3164,2)="15",AND(LEFT(M3164,2)&lt;&gt;"15",LEFT(M3164,2)&lt;&gt;"33"))),"x","")</f>
        <v/>
      </c>
      <c r="V3164" s="525" t="str">
        <f>IF(AND(OR(LEFT(TH!L3164,2)="15",LEFT(TH!M3164,2)="15"),'152-CT'!$J$8=TH!F3164),"x","")</f>
        <v/>
      </c>
      <c r="W3164" s="525" t="str">
        <f>IF(AND(OR(LEFT(TH!L3164,2)="15",LEFT(TH!M3164,2)="15"),TK!$E$7=TH!F3164),"x","")</f>
        <v/>
      </c>
      <c r="X3164" s="525" t="str">
        <f>IF(AND('341-CT'!$E$9=H3164,OR(LEFT(L3164,3)=$X$7,LEFT(M3164,3)=$X$7)),"x","")</f>
        <v/>
      </c>
      <c r="Y3164" s="525" t="str">
        <f>IF(OR(TH!L3164=TH!$Y$7,M3164=TH!$Y$7),"x","")</f>
        <v/>
      </c>
      <c r="Z3164" s="525" t="str">
        <f>IF(AND(B3164&lt;=NKC!$N$8,B3164&gt;=NKC!$M$8),"x","")</f>
        <v/>
      </c>
      <c r="AA3164" s="526"/>
      <c r="AB3164" s="527"/>
    </row>
    <row r="3165" spans="1:28" s="576" customFormat="1" ht="15.75" customHeight="1">
      <c r="A3165" s="517" t="str">
        <f>IF(B3165&lt;&gt;"",IF(AND(B3165&gt;=_TM1,B3165&lt;=_TM2,OR(TH!L3165="1111",TH!M3165="1111")),TH!D3165,""),"")</f>
        <v/>
      </c>
      <c r="B3165" s="518">
        <f t="shared" si="284"/>
        <v>5</v>
      </c>
      <c r="C3165" s="571">
        <f t="shared" si="286"/>
        <v>42886</v>
      </c>
      <c r="D3165" s="571" t="s">
        <v>996</v>
      </c>
      <c r="E3165" s="571">
        <v>42886</v>
      </c>
      <c r="F3165" s="572" t="s">
        <v>761</v>
      </c>
      <c r="G3165" s="573" t="s">
        <v>1141</v>
      </c>
      <c r="H3165" s="574" t="s">
        <v>800</v>
      </c>
      <c r="I3165" s="523">
        <v>26</v>
      </c>
      <c r="J3165" s="523">
        <v>34980</v>
      </c>
      <c r="K3165" s="575">
        <f t="shared" si="285"/>
        <v>909480</v>
      </c>
      <c r="L3165" s="591" t="s">
        <v>160</v>
      </c>
      <c r="M3165" s="591" t="s">
        <v>292</v>
      </c>
      <c r="N3165" s="525" t="str">
        <f>IF(AND('331-CT'!$E$7=TH!H3165,OR(L3165="331",M3165="331")),"331",IF(AND(OR(L3165="131",M3165="131"),H3165='131-CT'!$E$7),"131",""))</f>
        <v/>
      </c>
      <c r="O3165" s="525" t="str">
        <f>IF(AND($B3165&gt;='111'!$N$11,$B3165&lt;='111'!$O$11,OR($L3165=$O$7,$M3165=$O$7)),"x","")</f>
        <v/>
      </c>
      <c r="P3165" s="525" t="str">
        <f>IF(AND($L3165=$O$7,$B3165&lt;'111'!$N$11),"x","")</f>
        <v/>
      </c>
      <c r="Q3165" s="525" t="str">
        <f>IF(AND($M3165=$O$7,$B3165&lt;'111'!$N$11),"x","")</f>
        <v/>
      </c>
      <c r="R3165" s="525" t="str">
        <f>IF(ISERROR(FIND('112'!$M$9,G3165,1)),"",IF((AND(FIND('112'!$M$9,G3165,1)&gt;=1,$B3165&gt;='112'!$N$8,$B3165&lt;='112'!$O$8,OR($L3165='112'!$I$6,$M3165='112'!$I$6))),"x",""))</f>
        <v/>
      </c>
      <c r="S3165" s="525" t="str">
        <f>IF(ISERROR(FIND('112'!$M$9,G3165,1)),"",IF((AND(LEFT(G3165,2)=LEFT('112'!$M$9,2),B3165&lt;'112'!$N$8,$L3165='112'!$I$6)),"x",""))</f>
        <v/>
      </c>
      <c r="T3165" s="525" t="str">
        <f>IF(ISERROR(FIND('112'!$M$9,G3165,1)),"",IF((AND(RIGHT(G3165,2)=RIGHT('112'!$M$9,2),B3165&lt;'112'!$N$8,$M3165='112'!$I$6)),"x",""))</f>
        <v/>
      </c>
      <c r="U3165" s="525" t="str">
        <f>IF(AND(B3165&gt;='IN-NX'!$P$3,B3165&lt;='IN-NX'!$Q$3,'IN-NX'!$D$7=D3165,OR(LEFT(L3165,2)="15",AND(LEFT(M3165,2)&lt;&gt;"15",LEFT(M3165,2)&lt;&gt;"33"))),"x","")</f>
        <v/>
      </c>
      <c r="V3165" s="525" t="str">
        <f>IF(AND(OR(LEFT(TH!L3165,2)="15",LEFT(TH!M3165,2)="15"),'152-CT'!$J$8=TH!F3165),"x","")</f>
        <v/>
      </c>
      <c r="W3165" s="525" t="str">
        <f>IF(AND(OR(LEFT(TH!L3165,2)="15",LEFT(TH!M3165,2)="15"),TK!$E$7=TH!F3165),"x","")</f>
        <v/>
      </c>
      <c r="X3165" s="525" t="str">
        <f>IF(AND('341-CT'!$E$9=H3165,OR(LEFT(L3165,3)=$X$7,LEFT(M3165,3)=$X$7)),"x","")</f>
        <v/>
      </c>
      <c r="Y3165" s="525" t="str">
        <f>IF(OR(TH!L3165=TH!$Y$7,M3165=TH!$Y$7),"x","")</f>
        <v/>
      </c>
      <c r="Z3165" s="525" t="str">
        <f>IF(AND(B3165&lt;=NKC!$N$8,B3165&gt;=NKC!$M$8),"x","")</f>
        <v/>
      </c>
      <c r="AA3165" s="526"/>
      <c r="AB3165" s="527"/>
    </row>
    <row r="3166" spans="1:28" s="576" customFormat="1" ht="15.75" customHeight="1">
      <c r="A3166" s="517" t="str">
        <f>IF(B3166&lt;&gt;"",IF(AND(B3166&gt;=_TM1,B3166&lt;=_TM2,OR(TH!L3166="1111",TH!M3166="1111")),TH!D3166,""),"")</f>
        <v/>
      </c>
      <c r="B3166" s="518">
        <f t="shared" si="284"/>
        <v>5</v>
      </c>
      <c r="C3166" s="571">
        <f t="shared" si="286"/>
        <v>42886</v>
      </c>
      <c r="D3166" s="571" t="s">
        <v>996</v>
      </c>
      <c r="E3166" s="571">
        <v>42886</v>
      </c>
      <c r="F3166" s="520" t="s">
        <v>1019</v>
      </c>
      <c r="G3166" s="573" t="s">
        <v>1141</v>
      </c>
      <c r="H3166" s="574" t="s">
        <v>800</v>
      </c>
      <c r="I3166" s="523">
        <v>12</v>
      </c>
      <c r="J3166" s="523">
        <v>21060</v>
      </c>
      <c r="K3166" s="575">
        <f t="shared" si="285"/>
        <v>252720</v>
      </c>
      <c r="L3166" s="591" t="s">
        <v>160</v>
      </c>
      <c r="M3166" s="591" t="s">
        <v>292</v>
      </c>
      <c r="N3166" s="525" t="str">
        <f>IF(AND('331-CT'!$E$7=TH!H3166,OR(L3166="331",M3166="331")),"331",IF(AND(OR(L3166="131",M3166="131"),H3166='131-CT'!$E$7),"131",""))</f>
        <v/>
      </c>
      <c r="O3166" s="525" t="str">
        <f>IF(AND($B3166&gt;='111'!$N$11,$B3166&lt;='111'!$O$11,OR($L3166=$O$7,$M3166=$O$7)),"x","")</f>
        <v/>
      </c>
      <c r="P3166" s="525" t="str">
        <f>IF(AND($L3166=$O$7,$B3166&lt;'111'!$N$11),"x","")</f>
        <v/>
      </c>
      <c r="Q3166" s="525" t="str">
        <f>IF(AND($M3166=$O$7,$B3166&lt;'111'!$N$11),"x","")</f>
        <v/>
      </c>
      <c r="R3166" s="525" t="str">
        <f>IF(ISERROR(FIND('112'!$M$9,G3166,1)),"",IF((AND(FIND('112'!$M$9,G3166,1)&gt;=1,$B3166&gt;='112'!$N$8,$B3166&lt;='112'!$O$8,OR($L3166='112'!$I$6,$M3166='112'!$I$6))),"x",""))</f>
        <v/>
      </c>
      <c r="S3166" s="525" t="str">
        <f>IF(ISERROR(FIND('112'!$M$9,G3166,1)),"",IF((AND(LEFT(G3166,2)=LEFT('112'!$M$9,2),B3166&lt;'112'!$N$8,$L3166='112'!$I$6)),"x",""))</f>
        <v/>
      </c>
      <c r="T3166" s="525" t="str">
        <f>IF(ISERROR(FIND('112'!$M$9,G3166,1)),"",IF((AND(RIGHT(G3166,2)=RIGHT('112'!$M$9,2),B3166&lt;'112'!$N$8,$M3166='112'!$I$6)),"x",""))</f>
        <v/>
      </c>
      <c r="U3166" s="525" t="str">
        <f>IF(AND(B3166&gt;='IN-NX'!$P$3,B3166&lt;='IN-NX'!$Q$3,'IN-NX'!$D$7=D3166,OR(LEFT(L3166,2)="15",AND(LEFT(M3166,2)&lt;&gt;"15",LEFT(M3166,2)&lt;&gt;"33"))),"x","")</f>
        <v/>
      </c>
      <c r="V3166" s="525" t="str">
        <f>IF(AND(OR(LEFT(TH!L3166,2)="15",LEFT(TH!M3166,2)="15"),'152-CT'!$J$8=TH!F3166),"x","")</f>
        <v/>
      </c>
      <c r="W3166" s="525" t="str">
        <f>IF(AND(OR(LEFT(TH!L3166,2)="15",LEFT(TH!M3166,2)="15"),TK!$E$7=TH!F3166),"x","")</f>
        <v/>
      </c>
      <c r="X3166" s="525" t="str">
        <f>IF(AND('341-CT'!$E$9=H3166,OR(LEFT(L3166,3)=$X$7,LEFT(M3166,3)=$X$7)),"x","")</f>
        <v/>
      </c>
      <c r="Y3166" s="525" t="str">
        <f>IF(OR(TH!L3166=TH!$Y$7,M3166=TH!$Y$7),"x","")</f>
        <v/>
      </c>
      <c r="Z3166" s="525" t="str">
        <f>IF(AND(B3166&lt;=NKC!$N$8,B3166&gt;=NKC!$M$8),"x","")</f>
        <v/>
      </c>
      <c r="AA3166" s="526"/>
      <c r="AB3166" s="527"/>
    </row>
    <row r="3167" spans="1:28" s="576" customFormat="1" ht="15.75" customHeight="1">
      <c r="A3167" s="517" t="str">
        <f>IF(B3167&lt;&gt;"",IF(AND(B3167&gt;=_TM1,B3167&lt;=_TM2,OR(TH!L3167="1111",TH!M3167="1111")),TH!D3167,""),"")</f>
        <v/>
      </c>
      <c r="B3167" s="518">
        <f t="shared" si="284"/>
        <v>5</v>
      </c>
      <c r="C3167" s="571">
        <f t="shared" si="286"/>
        <v>42886</v>
      </c>
      <c r="D3167" s="571" t="s">
        <v>996</v>
      </c>
      <c r="E3167" s="571">
        <v>42886</v>
      </c>
      <c r="F3167" s="520" t="s">
        <v>1050</v>
      </c>
      <c r="G3167" s="573" t="s">
        <v>1141</v>
      </c>
      <c r="H3167" s="574" t="s">
        <v>800</v>
      </c>
      <c r="I3167" s="523">
        <v>144</v>
      </c>
      <c r="J3167" s="523">
        <v>13170</v>
      </c>
      <c r="K3167" s="575">
        <f t="shared" si="285"/>
        <v>1896480</v>
      </c>
      <c r="L3167" s="591" t="s">
        <v>160</v>
      </c>
      <c r="M3167" s="591" t="s">
        <v>292</v>
      </c>
      <c r="N3167" s="525" t="str">
        <f>IF(AND('331-CT'!$E$7=TH!H3167,OR(L3167="331",M3167="331")),"331",IF(AND(OR(L3167="131",M3167="131"),H3167='131-CT'!$E$7),"131",""))</f>
        <v/>
      </c>
      <c r="O3167" s="525" t="str">
        <f>IF(AND($B3167&gt;='111'!$N$11,$B3167&lt;='111'!$O$11,OR($L3167=$O$7,$M3167=$O$7)),"x","")</f>
        <v/>
      </c>
      <c r="P3167" s="525" t="str">
        <f>IF(AND($L3167=$O$7,$B3167&lt;'111'!$N$11),"x","")</f>
        <v/>
      </c>
      <c r="Q3167" s="525" t="str">
        <f>IF(AND($M3167=$O$7,$B3167&lt;'111'!$N$11),"x","")</f>
        <v/>
      </c>
      <c r="R3167" s="525" t="str">
        <f>IF(ISERROR(FIND('112'!$M$9,G3167,1)),"",IF((AND(FIND('112'!$M$9,G3167,1)&gt;=1,$B3167&gt;='112'!$N$8,$B3167&lt;='112'!$O$8,OR($L3167='112'!$I$6,$M3167='112'!$I$6))),"x",""))</f>
        <v/>
      </c>
      <c r="S3167" s="525" t="str">
        <f>IF(ISERROR(FIND('112'!$M$9,G3167,1)),"",IF((AND(LEFT(G3167,2)=LEFT('112'!$M$9,2),B3167&lt;'112'!$N$8,$L3167='112'!$I$6)),"x",""))</f>
        <v/>
      </c>
      <c r="T3167" s="525" t="str">
        <f>IF(ISERROR(FIND('112'!$M$9,G3167,1)),"",IF((AND(RIGHT(G3167,2)=RIGHT('112'!$M$9,2),B3167&lt;'112'!$N$8,$M3167='112'!$I$6)),"x",""))</f>
        <v/>
      </c>
      <c r="U3167" s="525" t="str">
        <f>IF(AND(B3167&gt;='IN-NX'!$P$3,B3167&lt;='IN-NX'!$Q$3,'IN-NX'!$D$7=D3167,OR(LEFT(L3167,2)="15",AND(LEFT(M3167,2)&lt;&gt;"15",LEFT(M3167,2)&lt;&gt;"33"))),"x","")</f>
        <v/>
      </c>
      <c r="V3167" s="525" t="str">
        <f>IF(AND(OR(LEFT(TH!L3167,2)="15",LEFT(TH!M3167,2)="15"),'152-CT'!$J$8=TH!F3167),"x","")</f>
        <v/>
      </c>
      <c r="W3167" s="525" t="str">
        <f>IF(AND(OR(LEFT(TH!L3167,2)="15",LEFT(TH!M3167,2)="15"),TK!$E$7=TH!F3167),"x","")</f>
        <v/>
      </c>
      <c r="X3167" s="525" t="str">
        <f>IF(AND('341-CT'!$E$9=H3167,OR(LEFT(L3167,3)=$X$7,LEFT(M3167,3)=$X$7)),"x","")</f>
        <v/>
      </c>
      <c r="Y3167" s="525" t="str">
        <f>IF(OR(TH!L3167=TH!$Y$7,M3167=TH!$Y$7),"x","")</f>
        <v/>
      </c>
      <c r="Z3167" s="525" t="str">
        <f>IF(AND(B3167&lt;=NKC!$N$8,B3167&gt;=NKC!$M$8),"x","")</f>
        <v/>
      </c>
      <c r="AA3167" s="526"/>
      <c r="AB3167" s="527"/>
    </row>
    <row r="3168" spans="1:28" s="576" customFormat="1" ht="15.75" customHeight="1">
      <c r="A3168" s="517" t="str">
        <f>IF(B3168&lt;&gt;"",IF(AND(B3168&gt;=_TM1,B3168&lt;=_TM2,OR(TH!L3168="1111",TH!M3168="1111")),TH!D3168,""),"")</f>
        <v/>
      </c>
      <c r="B3168" s="518">
        <f t="shared" si="284"/>
        <v>5</v>
      </c>
      <c r="C3168" s="571">
        <f t="shared" si="286"/>
        <v>42886</v>
      </c>
      <c r="D3168" s="571" t="s">
        <v>996</v>
      </c>
      <c r="E3168" s="571">
        <v>42886</v>
      </c>
      <c r="F3168" s="520" t="s">
        <v>1043</v>
      </c>
      <c r="G3168" s="573" t="s">
        <v>1141</v>
      </c>
      <c r="H3168" s="574" t="s">
        <v>800</v>
      </c>
      <c r="I3168" s="523">
        <v>12</v>
      </c>
      <c r="J3168" s="523">
        <v>24670</v>
      </c>
      <c r="K3168" s="575">
        <f t="shared" si="285"/>
        <v>296040</v>
      </c>
      <c r="L3168" s="591" t="s">
        <v>160</v>
      </c>
      <c r="M3168" s="591" t="s">
        <v>292</v>
      </c>
      <c r="N3168" s="525" t="str">
        <f>IF(AND('331-CT'!$E$7=TH!H3168,OR(L3168="331",M3168="331")),"331",IF(AND(OR(L3168="131",M3168="131"),H3168='131-CT'!$E$7),"131",""))</f>
        <v/>
      </c>
      <c r="O3168" s="525" t="str">
        <f>IF(AND($B3168&gt;='111'!$N$11,$B3168&lt;='111'!$O$11,OR($L3168=$O$7,$M3168=$O$7)),"x","")</f>
        <v/>
      </c>
      <c r="P3168" s="525" t="str">
        <f>IF(AND($L3168=$O$7,$B3168&lt;'111'!$N$11),"x","")</f>
        <v/>
      </c>
      <c r="Q3168" s="525" t="str">
        <f>IF(AND($M3168=$O$7,$B3168&lt;'111'!$N$11),"x","")</f>
        <v/>
      </c>
      <c r="R3168" s="525" t="str">
        <f>IF(ISERROR(FIND('112'!$M$9,G3168,1)),"",IF((AND(FIND('112'!$M$9,G3168,1)&gt;=1,$B3168&gt;='112'!$N$8,$B3168&lt;='112'!$O$8,OR($L3168='112'!$I$6,$M3168='112'!$I$6))),"x",""))</f>
        <v/>
      </c>
      <c r="S3168" s="525" t="str">
        <f>IF(ISERROR(FIND('112'!$M$9,G3168,1)),"",IF((AND(LEFT(G3168,2)=LEFT('112'!$M$9,2),B3168&lt;'112'!$N$8,$L3168='112'!$I$6)),"x",""))</f>
        <v/>
      </c>
      <c r="T3168" s="525" t="str">
        <f>IF(ISERROR(FIND('112'!$M$9,G3168,1)),"",IF((AND(RIGHT(G3168,2)=RIGHT('112'!$M$9,2),B3168&lt;'112'!$N$8,$M3168='112'!$I$6)),"x",""))</f>
        <v/>
      </c>
      <c r="U3168" s="525" t="str">
        <f>IF(AND(B3168&gt;='IN-NX'!$P$3,B3168&lt;='IN-NX'!$Q$3,'IN-NX'!$D$7=D3168,OR(LEFT(L3168,2)="15",AND(LEFT(M3168,2)&lt;&gt;"15",LEFT(M3168,2)&lt;&gt;"33"))),"x","")</f>
        <v/>
      </c>
      <c r="V3168" s="525" t="str">
        <f>IF(AND(OR(LEFT(TH!L3168,2)="15",LEFT(TH!M3168,2)="15"),'152-CT'!$J$8=TH!F3168),"x","")</f>
        <v/>
      </c>
      <c r="W3168" s="525" t="str">
        <f>IF(AND(OR(LEFT(TH!L3168,2)="15",LEFT(TH!M3168,2)="15"),TK!$E$7=TH!F3168),"x","")</f>
        <v/>
      </c>
      <c r="X3168" s="525" t="str">
        <f>IF(AND('341-CT'!$E$9=H3168,OR(LEFT(L3168,3)=$X$7,LEFT(M3168,3)=$X$7)),"x","")</f>
        <v/>
      </c>
      <c r="Y3168" s="525" t="str">
        <f>IF(OR(TH!L3168=TH!$Y$7,M3168=TH!$Y$7),"x","")</f>
        <v/>
      </c>
      <c r="Z3168" s="525" t="str">
        <f>IF(AND(B3168&lt;=NKC!$N$8,B3168&gt;=NKC!$M$8),"x","")</f>
        <v/>
      </c>
      <c r="AA3168" s="526"/>
      <c r="AB3168" s="527"/>
    </row>
    <row r="3169" spans="1:28" s="576" customFormat="1" ht="15.75" customHeight="1">
      <c r="A3169" s="517" t="str">
        <f>IF(B3169&lt;&gt;"",IF(AND(B3169&gt;=_TM1,B3169&lt;=_TM2,OR(TH!L3169="1111",TH!M3169="1111")),TH!D3169,""),"")</f>
        <v/>
      </c>
      <c r="B3169" s="518">
        <f t="shared" si="284"/>
        <v>5</v>
      </c>
      <c r="C3169" s="571">
        <f t="shared" si="286"/>
        <v>42886</v>
      </c>
      <c r="D3169" s="571" t="s">
        <v>996</v>
      </c>
      <c r="E3169" s="571">
        <v>42886</v>
      </c>
      <c r="F3169" s="520" t="s">
        <v>1170</v>
      </c>
      <c r="G3169" s="573" t="s">
        <v>1141</v>
      </c>
      <c r="H3169" s="574" t="s">
        <v>800</v>
      </c>
      <c r="I3169" s="523">
        <v>6</v>
      </c>
      <c r="J3169" s="523">
        <v>10230</v>
      </c>
      <c r="K3169" s="575">
        <f t="shared" si="285"/>
        <v>61380</v>
      </c>
      <c r="L3169" s="591" t="s">
        <v>160</v>
      </c>
      <c r="M3169" s="591" t="s">
        <v>292</v>
      </c>
      <c r="N3169" s="525" t="str">
        <f>IF(AND('331-CT'!$E$7=TH!H3169,OR(L3169="331",M3169="331")),"331",IF(AND(OR(L3169="131",M3169="131"),H3169='131-CT'!$E$7),"131",""))</f>
        <v/>
      </c>
      <c r="O3169" s="525" t="str">
        <f>IF(AND($B3169&gt;='111'!$N$11,$B3169&lt;='111'!$O$11,OR($L3169=$O$7,$M3169=$O$7)),"x","")</f>
        <v/>
      </c>
      <c r="P3169" s="525" t="str">
        <f>IF(AND($L3169=$O$7,$B3169&lt;'111'!$N$11),"x","")</f>
        <v/>
      </c>
      <c r="Q3169" s="525" t="str">
        <f>IF(AND($M3169=$O$7,$B3169&lt;'111'!$N$11),"x","")</f>
        <v/>
      </c>
      <c r="R3169" s="525" t="str">
        <f>IF(ISERROR(FIND('112'!$M$9,G3169,1)),"",IF((AND(FIND('112'!$M$9,G3169,1)&gt;=1,$B3169&gt;='112'!$N$8,$B3169&lt;='112'!$O$8,OR($L3169='112'!$I$6,$M3169='112'!$I$6))),"x",""))</f>
        <v/>
      </c>
      <c r="S3169" s="525" t="str">
        <f>IF(ISERROR(FIND('112'!$M$9,G3169,1)),"",IF((AND(LEFT(G3169,2)=LEFT('112'!$M$9,2),B3169&lt;'112'!$N$8,$L3169='112'!$I$6)),"x",""))</f>
        <v/>
      </c>
      <c r="T3169" s="525" t="str">
        <f>IF(ISERROR(FIND('112'!$M$9,G3169,1)),"",IF((AND(RIGHT(G3169,2)=RIGHT('112'!$M$9,2),B3169&lt;'112'!$N$8,$M3169='112'!$I$6)),"x",""))</f>
        <v/>
      </c>
      <c r="U3169" s="525" t="str">
        <f>IF(AND(B3169&gt;='IN-NX'!$P$3,B3169&lt;='IN-NX'!$Q$3,'IN-NX'!$D$7=D3169,OR(LEFT(L3169,2)="15",AND(LEFT(M3169,2)&lt;&gt;"15",LEFT(M3169,2)&lt;&gt;"33"))),"x","")</f>
        <v/>
      </c>
      <c r="V3169" s="525" t="str">
        <f>IF(AND(OR(LEFT(TH!L3169,2)="15",LEFT(TH!M3169,2)="15"),'152-CT'!$J$8=TH!F3169),"x","")</f>
        <v/>
      </c>
      <c r="W3169" s="525" t="str">
        <f>IF(AND(OR(LEFT(TH!L3169,2)="15",LEFT(TH!M3169,2)="15"),TK!$E$7=TH!F3169),"x","")</f>
        <v/>
      </c>
      <c r="X3169" s="525" t="str">
        <f>IF(AND('341-CT'!$E$9=H3169,OR(LEFT(L3169,3)=$X$7,LEFT(M3169,3)=$X$7)),"x","")</f>
        <v/>
      </c>
      <c r="Y3169" s="525" t="str">
        <f>IF(OR(TH!L3169=TH!$Y$7,M3169=TH!$Y$7),"x","")</f>
        <v/>
      </c>
      <c r="Z3169" s="525" t="str">
        <f>IF(AND(B3169&lt;=NKC!$N$8,B3169&gt;=NKC!$M$8),"x","")</f>
        <v/>
      </c>
      <c r="AA3169" s="526"/>
      <c r="AB3169" s="527"/>
    </row>
    <row r="3170" spans="1:28" s="576" customFormat="1" ht="15.75" customHeight="1">
      <c r="A3170" s="517" t="str">
        <f>IF(B3170&lt;&gt;"",IF(AND(B3170&gt;=_TM1,B3170&lt;=_TM2,OR(TH!L3170="1111",TH!M3170="1111")),TH!D3170,""),"")</f>
        <v/>
      </c>
      <c r="B3170" s="518">
        <f t="shared" si="284"/>
        <v>5</v>
      </c>
      <c r="C3170" s="571">
        <f t="shared" si="286"/>
        <v>42886</v>
      </c>
      <c r="D3170" s="571" t="s">
        <v>996</v>
      </c>
      <c r="E3170" s="571">
        <v>42886</v>
      </c>
      <c r="F3170" s="520" t="s">
        <v>1171</v>
      </c>
      <c r="G3170" s="573" t="s">
        <v>1141</v>
      </c>
      <c r="H3170" s="574" t="s">
        <v>800</v>
      </c>
      <c r="I3170" s="523">
        <v>6</v>
      </c>
      <c r="J3170" s="523">
        <v>22380</v>
      </c>
      <c r="K3170" s="575">
        <f t="shared" si="285"/>
        <v>134280</v>
      </c>
      <c r="L3170" s="591" t="s">
        <v>160</v>
      </c>
      <c r="M3170" s="591" t="s">
        <v>292</v>
      </c>
      <c r="N3170" s="525" t="str">
        <f>IF(AND('331-CT'!$E$7=TH!H3170,OR(L3170="331",M3170="331")),"331",IF(AND(OR(L3170="131",M3170="131"),H3170='131-CT'!$E$7),"131",""))</f>
        <v/>
      </c>
      <c r="O3170" s="525" t="str">
        <f>IF(AND($B3170&gt;='111'!$N$11,$B3170&lt;='111'!$O$11,OR($L3170=$O$7,$M3170=$O$7)),"x","")</f>
        <v/>
      </c>
      <c r="P3170" s="525" t="str">
        <f>IF(AND($L3170=$O$7,$B3170&lt;'111'!$N$11),"x","")</f>
        <v/>
      </c>
      <c r="Q3170" s="525" t="str">
        <f>IF(AND($M3170=$O$7,$B3170&lt;'111'!$N$11),"x","")</f>
        <v/>
      </c>
      <c r="R3170" s="525" t="str">
        <f>IF(ISERROR(FIND('112'!$M$9,G3170,1)),"",IF((AND(FIND('112'!$M$9,G3170,1)&gt;=1,$B3170&gt;='112'!$N$8,$B3170&lt;='112'!$O$8,OR($L3170='112'!$I$6,$M3170='112'!$I$6))),"x",""))</f>
        <v/>
      </c>
      <c r="S3170" s="525" t="str">
        <f>IF(ISERROR(FIND('112'!$M$9,G3170,1)),"",IF((AND(LEFT(G3170,2)=LEFT('112'!$M$9,2),B3170&lt;'112'!$N$8,$L3170='112'!$I$6)),"x",""))</f>
        <v/>
      </c>
      <c r="T3170" s="525" t="str">
        <f>IF(ISERROR(FIND('112'!$M$9,G3170,1)),"",IF((AND(RIGHT(G3170,2)=RIGHT('112'!$M$9,2),B3170&lt;'112'!$N$8,$M3170='112'!$I$6)),"x",""))</f>
        <v/>
      </c>
      <c r="U3170" s="525" t="str">
        <f>IF(AND(B3170&gt;='IN-NX'!$P$3,B3170&lt;='IN-NX'!$Q$3,'IN-NX'!$D$7=D3170,OR(LEFT(L3170,2)="15",AND(LEFT(M3170,2)&lt;&gt;"15",LEFT(M3170,2)&lt;&gt;"33"))),"x","")</f>
        <v/>
      </c>
      <c r="V3170" s="525" t="str">
        <f>IF(AND(OR(LEFT(TH!L3170,2)="15",LEFT(TH!M3170,2)="15"),'152-CT'!$J$8=TH!F3170),"x","")</f>
        <v/>
      </c>
      <c r="W3170" s="525" t="str">
        <f>IF(AND(OR(LEFT(TH!L3170,2)="15",LEFT(TH!M3170,2)="15"),TK!$E$7=TH!F3170),"x","")</f>
        <v/>
      </c>
      <c r="X3170" s="525" t="str">
        <f>IF(AND('341-CT'!$E$9=H3170,OR(LEFT(L3170,3)=$X$7,LEFT(M3170,3)=$X$7)),"x","")</f>
        <v/>
      </c>
      <c r="Y3170" s="525" t="str">
        <f>IF(OR(TH!L3170=TH!$Y$7,M3170=TH!$Y$7),"x","")</f>
        <v/>
      </c>
      <c r="Z3170" s="525" t="str">
        <f>IF(AND(B3170&lt;=NKC!$N$8,B3170&gt;=NKC!$M$8),"x","")</f>
        <v/>
      </c>
      <c r="AA3170" s="526"/>
      <c r="AB3170" s="527"/>
    </row>
    <row r="3171" spans="1:28" s="576" customFormat="1" ht="15.75" customHeight="1">
      <c r="A3171" s="517" t="str">
        <f>IF(B3171&lt;&gt;"",IF(AND(B3171&gt;=_TM1,B3171&lt;=_TM2,OR(TH!L3171="1111",TH!M3171="1111")),TH!D3171,""),"")</f>
        <v/>
      </c>
      <c r="B3171" s="518">
        <f t="shared" ref="B3171:B3270" si="287">IF(C3171&lt;&gt;"",MONTH(C3171),"")</f>
        <v>5</v>
      </c>
      <c r="C3171" s="571">
        <f t="shared" si="286"/>
        <v>42886</v>
      </c>
      <c r="D3171" s="571" t="s">
        <v>996</v>
      </c>
      <c r="E3171" s="571">
        <v>42886</v>
      </c>
      <c r="F3171" s="520" t="s">
        <v>722</v>
      </c>
      <c r="G3171" s="573" t="s">
        <v>1141</v>
      </c>
      <c r="H3171" s="574" t="s">
        <v>800</v>
      </c>
      <c r="I3171" s="523">
        <v>36</v>
      </c>
      <c r="J3171" s="523">
        <v>13340</v>
      </c>
      <c r="K3171" s="575">
        <f t="shared" si="285"/>
        <v>480240</v>
      </c>
      <c r="L3171" s="591" t="s">
        <v>160</v>
      </c>
      <c r="M3171" s="591" t="s">
        <v>292</v>
      </c>
      <c r="N3171" s="525" t="str">
        <f>IF(AND('331-CT'!$E$7=TH!H3171,OR(L3171="331",M3171="331")),"331",IF(AND(OR(L3171="131",M3171="131"),H3171='131-CT'!$E$7),"131",""))</f>
        <v/>
      </c>
      <c r="O3171" s="525" t="str">
        <f>IF(AND($B3171&gt;='111'!$N$11,$B3171&lt;='111'!$O$11,OR($L3171=$O$7,$M3171=$O$7)),"x","")</f>
        <v/>
      </c>
      <c r="P3171" s="525" t="str">
        <f>IF(AND($L3171=$O$7,$B3171&lt;'111'!$N$11),"x","")</f>
        <v/>
      </c>
      <c r="Q3171" s="525" t="str">
        <f>IF(AND($M3171=$O$7,$B3171&lt;'111'!$N$11),"x","")</f>
        <v/>
      </c>
      <c r="R3171" s="525" t="str">
        <f>IF(ISERROR(FIND('112'!$M$9,G3171,1)),"",IF((AND(FIND('112'!$M$9,G3171,1)&gt;=1,$B3171&gt;='112'!$N$8,$B3171&lt;='112'!$O$8,OR($L3171='112'!$I$6,$M3171='112'!$I$6))),"x",""))</f>
        <v/>
      </c>
      <c r="S3171" s="525" t="str">
        <f>IF(ISERROR(FIND('112'!$M$9,G3171,1)),"",IF((AND(LEFT(G3171,2)=LEFT('112'!$M$9,2),B3171&lt;'112'!$N$8,$L3171='112'!$I$6)),"x",""))</f>
        <v/>
      </c>
      <c r="T3171" s="525" t="str">
        <f>IF(ISERROR(FIND('112'!$M$9,G3171,1)),"",IF((AND(RIGHT(G3171,2)=RIGHT('112'!$M$9,2),B3171&lt;'112'!$N$8,$M3171='112'!$I$6)),"x",""))</f>
        <v/>
      </c>
      <c r="U3171" s="525" t="str">
        <f>IF(AND(B3171&gt;='IN-NX'!$P$3,B3171&lt;='IN-NX'!$Q$3,'IN-NX'!$D$7=D3171,OR(LEFT(L3171,2)="15",AND(LEFT(M3171,2)&lt;&gt;"15",LEFT(M3171,2)&lt;&gt;"33"))),"x","")</f>
        <v/>
      </c>
      <c r="V3171" s="525" t="str">
        <f>IF(AND(OR(LEFT(TH!L3171,2)="15",LEFT(TH!M3171,2)="15"),'152-CT'!$J$8=TH!F3171),"x","")</f>
        <v/>
      </c>
      <c r="W3171" s="525" t="str">
        <f>IF(AND(OR(LEFT(TH!L3171,2)="15",LEFT(TH!M3171,2)="15"),TK!$E$7=TH!F3171),"x","")</f>
        <v/>
      </c>
      <c r="X3171" s="525" t="str">
        <f>IF(AND('341-CT'!$E$9=H3171,OR(LEFT(L3171,3)=$X$7,LEFT(M3171,3)=$X$7)),"x","")</f>
        <v/>
      </c>
      <c r="Y3171" s="525" t="str">
        <f>IF(OR(TH!L3171=TH!$Y$7,M3171=TH!$Y$7),"x","")</f>
        <v/>
      </c>
      <c r="Z3171" s="525" t="str">
        <f>IF(AND(B3171&lt;=NKC!$N$8,B3171&gt;=NKC!$M$8),"x","")</f>
        <v/>
      </c>
      <c r="AA3171" s="526"/>
      <c r="AB3171" s="527"/>
    </row>
    <row r="3172" spans="1:28" s="576" customFormat="1" ht="15.75" customHeight="1">
      <c r="A3172" s="517" t="str">
        <f>IF(B3172&lt;&gt;"",IF(AND(B3172&gt;=_TM1,B3172&lt;=_TM2,OR(TH!L3172="1111",TH!M3172="1111")),TH!D3172,""),"")</f>
        <v/>
      </c>
      <c r="B3172" s="518">
        <f t="shared" si="287"/>
        <v>5</v>
      </c>
      <c r="C3172" s="571">
        <f t="shared" si="286"/>
        <v>42886</v>
      </c>
      <c r="D3172" s="571" t="s">
        <v>996</v>
      </c>
      <c r="E3172" s="571">
        <v>42886</v>
      </c>
      <c r="F3172" s="520" t="s">
        <v>724</v>
      </c>
      <c r="G3172" s="573" t="s">
        <v>1141</v>
      </c>
      <c r="H3172" s="574" t="s">
        <v>800</v>
      </c>
      <c r="I3172" s="523">
        <v>102</v>
      </c>
      <c r="J3172" s="523">
        <v>8360</v>
      </c>
      <c r="K3172" s="575">
        <f t="shared" si="285"/>
        <v>852720</v>
      </c>
      <c r="L3172" s="591" t="s">
        <v>160</v>
      </c>
      <c r="M3172" s="591" t="s">
        <v>292</v>
      </c>
      <c r="N3172" s="525" t="str">
        <f>IF(AND('331-CT'!$E$7=TH!H3172,OR(L3172="331",M3172="331")),"331",IF(AND(OR(L3172="131",M3172="131"),H3172='131-CT'!$E$7),"131",""))</f>
        <v/>
      </c>
      <c r="O3172" s="525" t="str">
        <f>IF(AND($B3172&gt;='111'!$N$11,$B3172&lt;='111'!$O$11,OR($L3172=$O$7,$M3172=$O$7)),"x","")</f>
        <v/>
      </c>
      <c r="P3172" s="525" t="str">
        <f>IF(AND($L3172=$O$7,$B3172&lt;'111'!$N$11),"x","")</f>
        <v/>
      </c>
      <c r="Q3172" s="525" t="str">
        <f>IF(AND($M3172=$O$7,$B3172&lt;'111'!$N$11),"x","")</f>
        <v/>
      </c>
      <c r="R3172" s="525" t="str">
        <f>IF(ISERROR(FIND('112'!$M$9,G3172,1)),"",IF((AND(FIND('112'!$M$9,G3172,1)&gt;=1,$B3172&gt;='112'!$N$8,$B3172&lt;='112'!$O$8,OR($L3172='112'!$I$6,$M3172='112'!$I$6))),"x",""))</f>
        <v/>
      </c>
      <c r="S3172" s="525" t="str">
        <f>IF(ISERROR(FIND('112'!$M$9,G3172,1)),"",IF((AND(LEFT(G3172,2)=LEFT('112'!$M$9,2),B3172&lt;'112'!$N$8,$L3172='112'!$I$6)),"x",""))</f>
        <v/>
      </c>
      <c r="T3172" s="525" t="str">
        <f>IF(ISERROR(FIND('112'!$M$9,G3172,1)),"",IF((AND(RIGHT(G3172,2)=RIGHT('112'!$M$9,2),B3172&lt;'112'!$N$8,$M3172='112'!$I$6)),"x",""))</f>
        <v/>
      </c>
      <c r="U3172" s="525" t="str">
        <f>IF(AND(B3172&gt;='IN-NX'!$P$3,B3172&lt;='IN-NX'!$Q$3,'IN-NX'!$D$7=D3172,OR(LEFT(L3172,2)="15",AND(LEFT(M3172,2)&lt;&gt;"15",LEFT(M3172,2)&lt;&gt;"33"))),"x","")</f>
        <v/>
      </c>
      <c r="V3172" s="525" t="str">
        <f>IF(AND(OR(LEFT(TH!L3172,2)="15",LEFT(TH!M3172,2)="15"),'152-CT'!$J$8=TH!F3172),"x","")</f>
        <v/>
      </c>
      <c r="W3172" s="525" t="str">
        <f>IF(AND(OR(LEFT(TH!L3172,2)="15",LEFT(TH!M3172,2)="15"),TK!$E$7=TH!F3172),"x","")</f>
        <v/>
      </c>
      <c r="X3172" s="525" t="str">
        <f>IF(AND('341-CT'!$E$9=H3172,OR(LEFT(L3172,3)=$X$7,LEFT(M3172,3)=$X$7)),"x","")</f>
        <v/>
      </c>
      <c r="Y3172" s="525" t="str">
        <f>IF(OR(TH!L3172=TH!$Y$7,M3172=TH!$Y$7),"x","")</f>
        <v/>
      </c>
      <c r="Z3172" s="525" t="str">
        <f>IF(AND(B3172&lt;=NKC!$N$8,B3172&gt;=NKC!$M$8),"x","")</f>
        <v/>
      </c>
      <c r="AA3172" s="526"/>
      <c r="AB3172" s="527"/>
    </row>
    <row r="3173" spans="1:28" s="576" customFormat="1" ht="15.75" customHeight="1">
      <c r="A3173" s="517" t="str">
        <f>IF(B3173&lt;&gt;"",IF(AND(B3173&gt;=_TM1,B3173&lt;=_TM2,OR(TH!L3173="1111",TH!M3173="1111")),TH!D3173,""),"")</f>
        <v/>
      </c>
      <c r="B3173" s="518">
        <f t="shared" si="287"/>
        <v>5</v>
      </c>
      <c r="C3173" s="571">
        <f t="shared" si="286"/>
        <v>42886</v>
      </c>
      <c r="D3173" s="571" t="s">
        <v>996</v>
      </c>
      <c r="E3173" s="571">
        <v>42886</v>
      </c>
      <c r="F3173" s="572" t="s">
        <v>727</v>
      </c>
      <c r="G3173" s="573" t="s">
        <v>1141</v>
      </c>
      <c r="H3173" s="574" t="s">
        <v>800</v>
      </c>
      <c r="I3173" s="523">
        <v>28</v>
      </c>
      <c r="J3173" s="523">
        <v>22520</v>
      </c>
      <c r="K3173" s="575">
        <f t="shared" si="285"/>
        <v>630560</v>
      </c>
      <c r="L3173" s="591" t="s">
        <v>160</v>
      </c>
      <c r="M3173" s="591" t="s">
        <v>292</v>
      </c>
      <c r="N3173" s="525" t="str">
        <f>IF(AND('331-CT'!$E$7=TH!H3173,OR(L3173="331",M3173="331")),"331",IF(AND(OR(L3173="131",M3173="131"),H3173='131-CT'!$E$7),"131",""))</f>
        <v/>
      </c>
      <c r="O3173" s="525" t="str">
        <f>IF(AND($B3173&gt;='111'!$N$11,$B3173&lt;='111'!$O$11,OR($L3173=$O$7,$M3173=$O$7)),"x","")</f>
        <v/>
      </c>
      <c r="P3173" s="525" t="str">
        <f>IF(AND($L3173=$O$7,$B3173&lt;'111'!$N$11),"x","")</f>
        <v/>
      </c>
      <c r="Q3173" s="525" t="str">
        <f>IF(AND($M3173=$O$7,$B3173&lt;'111'!$N$11),"x","")</f>
        <v/>
      </c>
      <c r="R3173" s="525" t="str">
        <f>IF(ISERROR(FIND('112'!$M$9,G3173,1)),"",IF((AND(FIND('112'!$M$9,G3173,1)&gt;=1,$B3173&gt;='112'!$N$8,$B3173&lt;='112'!$O$8,OR($L3173='112'!$I$6,$M3173='112'!$I$6))),"x",""))</f>
        <v/>
      </c>
      <c r="S3173" s="525" t="str">
        <f>IF(ISERROR(FIND('112'!$M$9,G3173,1)),"",IF((AND(LEFT(G3173,2)=LEFT('112'!$M$9,2),B3173&lt;'112'!$N$8,$L3173='112'!$I$6)),"x",""))</f>
        <v/>
      </c>
      <c r="T3173" s="525" t="str">
        <f>IF(ISERROR(FIND('112'!$M$9,G3173,1)),"",IF((AND(RIGHT(G3173,2)=RIGHT('112'!$M$9,2),B3173&lt;'112'!$N$8,$M3173='112'!$I$6)),"x",""))</f>
        <v/>
      </c>
      <c r="U3173" s="525" t="str">
        <f>IF(AND(B3173&gt;='IN-NX'!$P$3,B3173&lt;='IN-NX'!$Q$3,'IN-NX'!$D$7=D3173,OR(LEFT(L3173,2)="15",AND(LEFT(M3173,2)&lt;&gt;"15",LEFT(M3173,2)&lt;&gt;"33"))),"x","")</f>
        <v/>
      </c>
      <c r="V3173" s="525" t="str">
        <f>IF(AND(OR(LEFT(TH!L3173,2)="15",LEFT(TH!M3173,2)="15"),'152-CT'!$J$8=TH!F3173),"x","")</f>
        <v/>
      </c>
      <c r="W3173" s="525" t="str">
        <f>IF(AND(OR(LEFT(TH!L3173,2)="15",LEFT(TH!M3173,2)="15"),TK!$E$7=TH!F3173),"x","")</f>
        <v/>
      </c>
      <c r="X3173" s="525" t="str">
        <f>IF(AND('341-CT'!$E$9=H3173,OR(LEFT(L3173,3)=$X$7,LEFT(M3173,3)=$X$7)),"x","")</f>
        <v/>
      </c>
      <c r="Y3173" s="525" t="str">
        <f>IF(OR(TH!L3173=TH!$Y$7,M3173=TH!$Y$7),"x","")</f>
        <v/>
      </c>
      <c r="Z3173" s="525" t="str">
        <f>IF(AND(B3173&lt;=NKC!$N$8,B3173&gt;=NKC!$M$8),"x","")</f>
        <v/>
      </c>
      <c r="AA3173" s="526"/>
      <c r="AB3173" s="527"/>
    </row>
    <row r="3174" spans="1:28" s="576" customFormat="1" ht="15.75" customHeight="1">
      <c r="A3174" s="517" t="str">
        <f>IF(B3174&lt;&gt;"",IF(AND(B3174&gt;=_TM1,B3174&lt;=_TM2,OR(TH!L3174="1111",TH!M3174="1111")),TH!D3174,""),"")</f>
        <v/>
      </c>
      <c r="B3174" s="518">
        <f t="shared" si="287"/>
        <v>5</v>
      </c>
      <c r="C3174" s="571">
        <f t="shared" si="286"/>
        <v>42886</v>
      </c>
      <c r="D3174" s="571" t="s">
        <v>996</v>
      </c>
      <c r="E3174" s="571">
        <v>42886</v>
      </c>
      <c r="F3174" s="520" t="s">
        <v>729</v>
      </c>
      <c r="G3174" s="573" t="s">
        <v>1141</v>
      </c>
      <c r="H3174" s="574" t="s">
        <v>800</v>
      </c>
      <c r="I3174" s="523">
        <v>48</v>
      </c>
      <c r="J3174" s="523">
        <v>11826</v>
      </c>
      <c r="K3174" s="575">
        <f t="shared" si="285"/>
        <v>567648</v>
      </c>
      <c r="L3174" s="591" t="s">
        <v>160</v>
      </c>
      <c r="M3174" s="591" t="s">
        <v>292</v>
      </c>
      <c r="N3174" s="525" t="str">
        <f>IF(AND('331-CT'!$E$7=TH!H3174,OR(L3174="331",M3174="331")),"331",IF(AND(OR(L3174="131",M3174="131"),H3174='131-CT'!$E$7),"131",""))</f>
        <v/>
      </c>
      <c r="O3174" s="525" t="str">
        <f>IF(AND($B3174&gt;='111'!$N$11,$B3174&lt;='111'!$O$11,OR($L3174=$O$7,$M3174=$O$7)),"x","")</f>
        <v/>
      </c>
      <c r="P3174" s="525" t="str">
        <f>IF(AND($L3174=$O$7,$B3174&lt;'111'!$N$11),"x","")</f>
        <v/>
      </c>
      <c r="Q3174" s="525" t="str">
        <f>IF(AND($M3174=$O$7,$B3174&lt;'111'!$N$11),"x","")</f>
        <v/>
      </c>
      <c r="R3174" s="525" t="str">
        <f>IF(ISERROR(FIND('112'!$M$9,G3174,1)),"",IF((AND(FIND('112'!$M$9,G3174,1)&gt;=1,$B3174&gt;='112'!$N$8,$B3174&lt;='112'!$O$8,OR($L3174='112'!$I$6,$M3174='112'!$I$6))),"x",""))</f>
        <v/>
      </c>
      <c r="S3174" s="525" t="str">
        <f>IF(ISERROR(FIND('112'!$M$9,G3174,1)),"",IF((AND(LEFT(G3174,2)=LEFT('112'!$M$9,2),B3174&lt;'112'!$N$8,$L3174='112'!$I$6)),"x",""))</f>
        <v/>
      </c>
      <c r="T3174" s="525" t="str">
        <f>IF(ISERROR(FIND('112'!$M$9,G3174,1)),"",IF((AND(RIGHT(G3174,2)=RIGHT('112'!$M$9,2),B3174&lt;'112'!$N$8,$M3174='112'!$I$6)),"x",""))</f>
        <v/>
      </c>
      <c r="U3174" s="525" t="str">
        <f>IF(AND(B3174&gt;='IN-NX'!$P$3,B3174&lt;='IN-NX'!$Q$3,'IN-NX'!$D$7=D3174,OR(LEFT(L3174,2)="15",AND(LEFT(M3174,2)&lt;&gt;"15",LEFT(M3174,2)&lt;&gt;"33"))),"x","")</f>
        <v/>
      </c>
      <c r="V3174" s="525" t="str">
        <f>IF(AND(OR(LEFT(TH!L3174,2)="15",LEFT(TH!M3174,2)="15"),'152-CT'!$J$8=TH!F3174),"x","")</f>
        <v/>
      </c>
      <c r="W3174" s="525" t="str">
        <f>IF(AND(OR(LEFT(TH!L3174,2)="15",LEFT(TH!M3174,2)="15"),TK!$E$7=TH!F3174),"x","")</f>
        <v/>
      </c>
      <c r="X3174" s="525" t="str">
        <f>IF(AND('341-CT'!$E$9=H3174,OR(LEFT(L3174,3)=$X$7,LEFT(M3174,3)=$X$7)),"x","")</f>
        <v/>
      </c>
      <c r="Y3174" s="525" t="str">
        <f>IF(OR(TH!L3174=TH!$Y$7,M3174=TH!$Y$7),"x","")</f>
        <v/>
      </c>
      <c r="Z3174" s="525" t="str">
        <f>IF(AND(B3174&lt;=NKC!$N$8,B3174&gt;=NKC!$M$8),"x","")</f>
        <v/>
      </c>
      <c r="AA3174" s="526"/>
      <c r="AB3174" s="527"/>
    </row>
    <row r="3175" spans="1:28" s="576" customFormat="1" ht="15.75" customHeight="1">
      <c r="A3175" s="517" t="str">
        <f>IF(B3175&lt;&gt;"",IF(AND(B3175&gt;=_TM1,B3175&lt;=_TM2,OR(TH!L3175="1111",TH!M3175="1111")),TH!D3175,""),"")</f>
        <v/>
      </c>
      <c r="B3175" s="518">
        <f t="shared" si="287"/>
        <v>5</v>
      </c>
      <c r="C3175" s="571">
        <f t="shared" si="286"/>
        <v>42886</v>
      </c>
      <c r="D3175" s="571" t="s">
        <v>996</v>
      </c>
      <c r="E3175" s="571">
        <v>42886</v>
      </c>
      <c r="F3175" s="520" t="s">
        <v>1172</v>
      </c>
      <c r="G3175" s="573" t="s">
        <v>1141</v>
      </c>
      <c r="H3175" s="574" t="s">
        <v>800</v>
      </c>
      <c r="I3175" s="523">
        <v>4</v>
      </c>
      <c r="J3175" s="523">
        <v>42051</v>
      </c>
      <c r="K3175" s="575">
        <f t="shared" si="285"/>
        <v>168204</v>
      </c>
      <c r="L3175" s="591" t="s">
        <v>160</v>
      </c>
      <c r="M3175" s="591" t="s">
        <v>292</v>
      </c>
      <c r="N3175" s="525" t="str">
        <f>IF(AND('331-CT'!$E$7=TH!H3175,OR(L3175="331",M3175="331")),"331",IF(AND(OR(L3175="131",M3175="131"),H3175='131-CT'!$E$7),"131",""))</f>
        <v/>
      </c>
      <c r="O3175" s="525" t="str">
        <f>IF(AND($B3175&gt;='111'!$N$11,$B3175&lt;='111'!$O$11,OR($L3175=$O$7,$M3175=$O$7)),"x","")</f>
        <v/>
      </c>
      <c r="P3175" s="525" t="str">
        <f>IF(AND($L3175=$O$7,$B3175&lt;'111'!$N$11),"x","")</f>
        <v/>
      </c>
      <c r="Q3175" s="525" t="str">
        <f>IF(AND($M3175=$O$7,$B3175&lt;'111'!$N$11),"x","")</f>
        <v/>
      </c>
      <c r="R3175" s="525" t="str">
        <f>IF(ISERROR(FIND('112'!$M$9,G3175,1)),"",IF((AND(FIND('112'!$M$9,G3175,1)&gt;=1,$B3175&gt;='112'!$N$8,$B3175&lt;='112'!$O$8,OR($L3175='112'!$I$6,$M3175='112'!$I$6))),"x",""))</f>
        <v/>
      </c>
      <c r="S3175" s="525" t="str">
        <f>IF(ISERROR(FIND('112'!$M$9,G3175,1)),"",IF((AND(LEFT(G3175,2)=LEFT('112'!$M$9,2),B3175&lt;'112'!$N$8,$L3175='112'!$I$6)),"x",""))</f>
        <v/>
      </c>
      <c r="T3175" s="525" t="str">
        <f>IF(ISERROR(FIND('112'!$M$9,G3175,1)),"",IF((AND(RIGHT(G3175,2)=RIGHT('112'!$M$9,2),B3175&lt;'112'!$N$8,$M3175='112'!$I$6)),"x",""))</f>
        <v/>
      </c>
      <c r="U3175" s="525" t="str">
        <f>IF(AND(B3175&gt;='IN-NX'!$P$3,B3175&lt;='IN-NX'!$Q$3,'IN-NX'!$D$7=D3175,OR(LEFT(L3175,2)="15",AND(LEFT(M3175,2)&lt;&gt;"15",LEFT(M3175,2)&lt;&gt;"33"))),"x","")</f>
        <v/>
      </c>
      <c r="V3175" s="525" t="str">
        <f>IF(AND(OR(LEFT(TH!L3175,2)="15",LEFT(TH!M3175,2)="15"),'152-CT'!$J$8=TH!F3175),"x","")</f>
        <v/>
      </c>
      <c r="W3175" s="525" t="str">
        <f>IF(AND(OR(LEFT(TH!L3175,2)="15",LEFT(TH!M3175,2)="15"),TK!$E$7=TH!F3175),"x","")</f>
        <v/>
      </c>
      <c r="X3175" s="525" t="str">
        <f>IF(AND('341-CT'!$E$9=H3175,OR(LEFT(L3175,3)=$X$7,LEFT(M3175,3)=$X$7)),"x","")</f>
        <v/>
      </c>
      <c r="Y3175" s="525" t="str">
        <f>IF(OR(TH!L3175=TH!$Y$7,M3175=TH!$Y$7),"x","")</f>
        <v/>
      </c>
      <c r="Z3175" s="525" t="str">
        <f>IF(AND(B3175&lt;=NKC!$N$8,B3175&gt;=NKC!$M$8),"x","")</f>
        <v/>
      </c>
      <c r="AA3175" s="526"/>
      <c r="AB3175" s="527"/>
    </row>
    <row r="3176" spans="1:28" s="576" customFormat="1" ht="15.75" customHeight="1">
      <c r="A3176" s="517" t="str">
        <f>IF(B3176&lt;&gt;"",IF(AND(B3176&gt;=_TM1,B3176&lt;=_TM2,OR(TH!L3176="1111",TH!M3176="1111")),TH!D3176,""),"")</f>
        <v/>
      </c>
      <c r="B3176" s="518">
        <f t="shared" si="287"/>
        <v>5</v>
      </c>
      <c r="C3176" s="571">
        <f t="shared" si="286"/>
        <v>42886</v>
      </c>
      <c r="D3176" s="571" t="s">
        <v>996</v>
      </c>
      <c r="E3176" s="571">
        <v>42886</v>
      </c>
      <c r="F3176" s="520" t="s">
        <v>730</v>
      </c>
      <c r="G3176" s="573" t="s">
        <v>1141</v>
      </c>
      <c r="H3176" s="574" t="s">
        <v>800</v>
      </c>
      <c r="I3176" s="523">
        <v>8</v>
      </c>
      <c r="J3176" s="523">
        <v>36700</v>
      </c>
      <c r="K3176" s="575">
        <f t="shared" si="285"/>
        <v>293600</v>
      </c>
      <c r="L3176" s="591" t="s">
        <v>160</v>
      </c>
      <c r="M3176" s="591" t="s">
        <v>292</v>
      </c>
      <c r="N3176" s="525" t="str">
        <f>IF(AND('331-CT'!$E$7=TH!H3176,OR(L3176="331",M3176="331")),"331",IF(AND(OR(L3176="131",M3176="131"),H3176='131-CT'!$E$7),"131",""))</f>
        <v/>
      </c>
      <c r="O3176" s="525" t="str">
        <f>IF(AND($B3176&gt;='111'!$N$11,$B3176&lt;='111'!$O$11,OR($L3176=$O$7,$M3176=$O$7)),"x","")</f>
        <v/>
      </c>
      <c r="P3176" s="525" t="str">
        <f>IF(AND($L3176=$O$7,$B3176&lt;'111'!$N$11),"x","")</f>
        <v/>
      </c>
      <c r="Q3176" s="525" t="str">
        <f>IF(AND($M3176=$O$7,$B3176&lt;'111'!$N$11),"x","")</f>
        <v/>
      </c>
      <c r="R3176" s="525" t="str">
        <f>IF(ISERROR(FIND('112'!$M$9,G3176,1)),"",IF((AND(FIND('112'!$M$9,G3176,1)&gt;=1,$B3176&gt;='112'!$N$8,$B3176&lt;='112'!$O$8,OR($L3176='112'!$I$6,$M3176='112'!$I$6))),"x",""))</f>
        <v/>
      </c>
      <c r="S3176" s="525" t="str">
        <f>IF(ISERROR(FIND('112'!$M$9,G3176,1)),"",IF((AND(LEFT(G3176,2)=LEFT('112'!$M$9,2),B3176&lt;'112'!$N$8,$L3176='112'!$I$6)),"x",""))</f>
        <v/>
      </c>
      <c r="T3176" s="525" t="str">
        <f>IF(ISERROR(FIND('112'!$M$9,G3176,1)),"",IF((AND(RIGHT(G3176,2)=RIGHT('112'!$M$9,2),B3176&lt;'112'!$N$8,$M3176='112'!$I$6)),"x",""))</f>
        <v/>
      </c>
      <c r="U3176" s="525" t="str">
        <f>IF(AND(B3176&gt;='IN-NX'!$P$3,B3176&lt;='IN-NX'!$Q$3,'IN-NX'!$D$7=D3176,OR(LEFT(L3176,2)="15",AND(LEFT(M3176,2)&lt;&gt;"15",LEFT(M3176,2)&lt;&gt;"33"))),"x","")</f>
        <v/>
      </c>
      <c r="V3176" s="525" t="str">
        <f>IF(AND(OR(LEFT(TH!L3176,2)="15",LEFT(TH!M3176,2)="15"),'152-CT'!$J$8=TH!F3176),"x","")</f>
        <v/>
      </c>
      <c r="W3176" s="525" t="str">
        <f>IF(AND(OR(LEFT(TH!L3176,2)="15",LEFT(TH!M3176,2)="15"),TK!$E$7=TH!F3176),"x","")</f>
        <v/>
      </c>
      <c r="X3176" s="525" t="str">
        <f>IF(AND('341-CT'!$E$9=H3176,OR(LEFT(L3176,3)=$X$7,LEFT(M3176,3)=$X$7)),"x","")</f>
        <v/>
      </c>
      <c r="Y3176" s="525" t="str">
        <f>IF(OR(TH!L3176=TH!$Y$7,M3176=TH!$Y$7),"x","")</f>
        <v/>
      </c>
      <c r="Z3176" s="525" t="str">
        <f>IF(AND(B3176&lt;=NKC!$N$8,B3176&gt;=NKC!$M$8),"x","")</f>
        <v/>
      </c>
      <c r="AA3176" s="526"/>
      <c r="AB3176" s="527"/>
    </row>
    <row r="3177" spans="1:28" s="576" customFormat="1" ht="15.75" customHeight="1">
      <c r="A3177" s="517" t="str">
        <f>IF(B3177&lt;&gt;"",IF(AND(B3177&gt;=_TM1,B3177&lt;=_TM2,OR(TH!L3177="1111",TH!M3177="1111")),TH!D3177,""),"")</f>
        <v/>
      </c>
      <c r="B3177" s="518">
        <f t="shared" si="287"/>
        <v>5</v>
      </c>
      <c r="C3177" s="571">
        <f t="shared" si="286"/>
        <v>42886</v>
      </c>
      <c r="D3177" s="571" t="s">
        <v>996</v>
      </c>
      <c r="E3177" s="571">
        <v>42886</v>
      </c>
      <c r="F3177" s="520" t="s">
        <v>1173</v>
      </c>
      <c r="G3177" s="573" t="s">
        <v>1141</v>
      </c>
      <c r="H3177" s="574" t="s">
        <v>800</v>
      </c>
      <c r="I3177" s="523">
        <v>12</v>
      </c>
      <c r="J3177" s="523">
        <v>55550</v>
      </c>
      <c r="K3177" s="575">
        <f t="shared" si="285"/>
        <v>666600</v>
      </c>
      <c r="L3177" s="591" t="s">
        <v>160</v>
      </c>
      <c r="M3177" s="591" t="s">
        <v>292</v>
      </c>
      <c r="N3177" s="525" t="str">
        <f>IF(AND('331-CT'!$E$7=TH!H3177,OR(L3177="331",M3177="331")),"331",IF(AND(OR(L3177="131",M3177="131"),H3177='131-CT'!$E$7),"131",""))</f>
        <v/>
      </c>
      <c r="O3177" s="525" t="str">
        <f>IF(AND($B3177&gt;='111'!$N$11,$B3177&lt;='111'!$O$11,OR($L3177=$O$7,$M3177=$O$7)),"x","")</f>
        <v/>
      </c>
      <c r="P3177" s="525" t="str">
        <f>IF(AND($L3177=$O$7,$B3177&lt;'111'!$N$11),"x","")</f>
        <v/>
      </c>
      <c r="Q3177" s="525" t="str">
        <f>IF(AND($M3177=$O$7,$B3177&lt;'111'!$N$11),"x","")</f>
        <v/>
      </c>
      <c r="R3177" s="525" t="str">
        <f>IF(ISERROR(FIND('112'!$M$9,G3177,1)),"",IF((AND(FIND('112'!$M$9,G3177,1)&gt;=1,$B3177&gt;='112'!$N$8,$B3177&lt;='112'!$O$8,OR($L3177='112'!$I$6,$M3177='112'!$I$6))),"x",""))</f>
        <v/>
      </c>
      <c r="S3177" s="525" t="str">
        <f>IF(ISERROR(FIND('112'!$M$9,G3177,1)),"",IF((AND(LEFT(G3177,2)=LEFT('112'!$M$9,2),B3177&lt;'112'!$N$8,$L3177='112'!$I$6)),"x",""))</f>
        <v/>
      </c>
      <c r="T3177" s="525" t="str">
        <f>IF(ISERROR(FIND('112'!$M$9,G3177,1)),"",IF((AND(RIGHT(G3177,2)=RIGHT('112'!$M$9,2),B3177&lt;'112'!$N$8,$M3177='112'!$I$6)),"x",""))</f>
        <v/>
      </c>
      <c r="U3177" s="525" t="str">
        <f>IF(AND(B3177&gt;='IN-NX'!$P$3,B3177&lt;='IN-NX'!$Q$3,'IN-NX'!$D$7=D3177,OR(LEFT(L3177,2)="15",AND(LEFT(M3177,2)&lt;&gt;"15",LEFT(M3177,2)&lt;&gt;"33"))),"x","")</f>
        <v/>
      </c>
      <c r="V3177" s="525" t="str">
        <f>IF(AND(OR(LEFT(TH!L3177,2)="15",LEFT(TH!M3177,2)="15"),'152-CT'!$J$8=TH!F3177),"x","")</f>
        <v/>
      </c>
      <c r="W3177" s="525" t="str">
        <f>IF(AND(OR(LEFT(TH!L3177,2)="15",LEFT(TH!M3177,2)="15"),TK!$E$7=TH!F3177),"x","")</f>
        <v/>
      </c>
      <c r="X3177" s="525" t="str">
        <f>IF(AND('341-CT'!$E$9=H3177,OR(LEFT(L3177,3)=$X$7,LEFT(M3177,3)=$X$7)),"x","")</f>
        <v/>
      </c>
      <c r="Y3177" s="525" t="str">
        <f>IF(OR(TH!L3177=TH!$Y$7,M3177=TH!$Y$7),"x","")</f>
        <v/>
      </c>
      <c r="Z3177" s="525" t="str">
        <f>IF(AND(B3177&lt;=NKC!$N$8,B3177&gt;=NKC!$M$8),"x","")</f>
        <v/>
      </c>
      <c r="AA3177" s="526"/>
      <c r="AB3177" s="527"/>
    </row>
    <row r="3178" spans="1:28" s="576" customFormat="1" ht="15.75" customHeight="1">
      <c r="A3178" s="517" t="str">
        <f>IF(B3178&lt;&gt;"",IF(AND(B3178&gt;=_TM1,B3178&lt;=_TM2,OR(TH!L3178="1111",TH!M3178="1111")),TH!D3178,""),"")</f>
        <v/>
      </c>
      <c r="B3178" s="518">
        <f t="shared" si="287"/>
        <v>5</v>
      </c>
      <c r="C3178" s="571">
        <f t="shared" si="286"/>
        <v>42886</v>
      </c>
      <c r="D3178" s="571" t="s">
        <v>996</v>
      </c>
      <c r="E3178" s="571">
        <v>42886</v>
      </c>
      <c r="F3178" s="520" t="s">
        <v>663</v>
      </c>
      <c r="G3178" s="573" t="s">
        <v>1141</v>
      </c>
      <c r="H3178" s="574" t="s">
        <v>800</v>
      </c>
      <c r="I3178" s="523">
        <v>74</v>
      </c>
      <c r="J3178" s="523">
        <v>42280</v>
      </c>
      <c r="K3178" s="575">
        <f t="shared" si="285"/>
        <v>3128720</v>
      </c>
      <c r="L3178" s="591" t="s">
        <v>160</v>
      </c>
      <c r="M3178" s="591" t="s">
        <v>292</v>
      </c>
      <c r="N3178" s="525" t="str">
        <f>IF(AND('331-CT'!$E$7=TH!H3178,OR(L3178="331",M3178="331")),"331",IF(AND(OR(L3178="131",M3178="131"),H3178='131-CT'!$E$7),"131",""))</f>
        <v/>
      </c>
      <c r="O3178" s="525" t="str">
        <f>IF(AND($B3178&gt;='111'!$N$11,$B3178&lt;='111'!$O$11,OR($L3178=$O$7,$M3178=$O$7)),"x","")</f>
        <v/>
      </c>
      <c r="P3178" s="525" t="str">
        <f>IF(AND($L3178=$O$7,$B3178&lt;'111'!$N$11),"x","")</f>
        <v/>
      </c>
      <c r="Q3178" s="525" t="str">
        <f>IF(AND($M3178=$O$7,$B3178&lt;'111'!$N$11),"x","")</f>
        <v/>
      </c>
      <c r="R3178" s="525" t="str">
        <f>IF(ISERROR(FIND('112'!$M$9,G3178,1)),"",IF((AND(FIND('112'!$M$9,G3178,1)&gt;=1,$B3178&gt;='112'!$N$8,$B3178&lt;='112'!$O$8,OR($L3178='112'!$I$6,$M3178='112'!$I$6))),"x",""))</f>
        <v/>
      </c>
      <c r="S3178" s="525" t="str">
        <f>IF(ISERROR(FIND('112'!$M$9,G3178,1)),"",IF((AND(LEFT(G3178,2)=LEFT('112'!$M$9,2),B3178&lt;'112'!$N$8,$L3178='112'!$I$6)),"x",""))</f>
        <v/>
      </c>
      <c r="T3178" s="525" t="str">
        <f>IF(ISERROR(FIND('112'!$M$9,G3178,1)),"",IF((AND(RIGHT(G3178,2)=RIGHT('112'!$M$9,2),B3178&lt;'112'!$N$8,$M3178='112'!$I$6)),"x",""))</f>
        <v/>
      </c>
      <c r="U3178" s="525" t="str">
        <f>IF(AND(B3178&gt;='IN-NX'!$P$3,B3178&lt;='IN-NX'!$Q$3,'IN-NX'!$D$7=D3178,OR(LEFT(L3178,2)="15",AND(LEFT(M3178,2)&lt;&gt;"15",LEFT(M3178,2)&lt;&gt;"33"))),"x","")</f>
        <v/>
      </c>
      <c r="V3178" s="525" t="str">
        <f>IF(AND(OR(LEFT(TH!L3178,2)="15",LEFT(TH!M3178,2)="15"),'152-CT'!$J$8=TH!F3178),"x","")</f>
        <v/>
      </c>
      <c r="W3178" s="525" t="str">
        <f>IF(AND(OR(LEFT(TH!L3178,2)="15",LEFT(TH!M3178,2)="15"),TK!$E$7=TH!F3178),"x","")</f>
        <v/>
      </c>
      <c r="X3178" s="525" t="str">
        <f>IF(AND('341-CT'!$E$9=H3178,OR(LEFT(L3178,3)=$X$7,LEFT(M3178,3)=$X$7)),"x","")</f>
        <v/>
      </c>
      <c r="Y3178" s="525" t="str">
        <f>IF(OR(TH!L3178=TH!$Y$7,M3178=TH!$Y$7),"x","")</f>
        <v/>
      </c>
      <c r="Z3178" s="525" t="str">
        <f>IF(AND(B3178&lt;=NKC!$N$8,B3178&gt;=NKC!$M$8),"x","")</f>
        <v/>
      </c>
      <c r="AA3178" s="526"/>
      <c r="AB3178" s="527"/>
    </row>
    <row r="3179" spans="1:28" s="576" customFormat="1" ht="15.75" customHeight="1">
      <c r="A3179" s="517" t="str">
        <f>IF(B3179&lt;&gt;"",IF(AND(B3179&gt;=_TM1,B3179&lt;=_TM2,OR(TH!L3179="1111",TH!M3179="1111")),TH!D3179,""),"")</f>
        <v/>
      </c>
      <c r="B3179" s="518">
        <f t="shared" si="287"/>
        <v>5</v>
      </c>
      <c r="C3179" s="571">
        <f t="shared" si="286"/>
        <v>42886</v>
      </c>
      <c r="D3179" s="571" t="s">
        <v>996</v>
      </c>
      <c r="E3179" s="571">
        <v>42886</v>
      </c>
      <c r="F3179" s="520" t="s">
        <v>756</v>
      </c>
      <c r="G3179" s="573" t="s">
        <v>1141</v>
      </c>
      <c r="H3179" s="574" t="s">
        <v>800</v>
      </c>
      <c r="I3179" s="523">
        <v>36</v>
      </c>
      <c r="J3179" s="523">
        <v>40130</v>
      </c>
      <c r="K3179" s="575">
        <f t="shared" ref="K3179:K3270" si="288">ROUND(I3179*J3179,0)</f>
        <v>1444680</v>
      </c>
      <c r="L3179" s="591" t="s">
        <v>160</v>
      </c>
      <c r="M3179" s="591" t="s">
        <v>292</v>
      </c>
      <c r="N3179" s="525" t="str">
        <f>IF(AND('331-CT'!$E$7=TH!H3179,OR(L3179="331",M3179="331")),"331",IF(AND(OR(L3179="131",M3179="131"),H3179='131-CT'!$E$7),"131",""))</f>
        <v/>
      </c>
      <c r="O3179" s="525" t="str">
        <f>IF(AND($B3179&gt;='111'!$N$11,$B3179&lt;='111'!$O$11,OR($L3179=$O$7,$M3179=$O$7)),"x","")</f>
        <v/>
      </c>
      <c r="P3179" s="525" t="str">
        <f>IF(AND($L3179=$O$7,$B3179&lt;'111'!$N$11),"x","")</f>
        <v/>
      </c>
      <c r="Q3179" s="525" t="str">
        <f>IF(AND($M3179=$O$7,$B3179&lt;'111'!$N$11),"x","")</f>
        <v/>
      </c>
      <c r="R3179" s="525" t="str">
        <f>IF(ISERROR(FIND('112'!$M$9,G3179,1)),"",IF((AND(FIND('112'!$M$9,G3179,1)&gt;=1,$B3179&gt;='112'!$N$8,$B3179&lt;='112'!$O$8,OR($L3179='112'!$I$6,$M3179='112'!$I$6))),"x",""))</f>
        <v/>
      </c>
      <c r="S3179" s="525" t="str">
        <f>IF(ISERROR(FIND('112'!$M$9,G3179,1)),"",IF((AND(LEFT(G3179,2)=LEFT('112'!$M$9,2),B3179&lt;'112'!$N$8,$L3179='112'!$I$6)),"x",""))</f>
        <v/>
      </c>
      <c r="T3179" s="525" t="str">
        <f>IF(ISERROR(FIND('112'!$M$9,G3179,1)),"",IF((AND(RIGHT(G3179,2)=RIGHT('112'!$M$9,2),B3179&lt;'112'!$N$8,$M3179='112'!$I$6)),"x",""))</f>
        <v/>
      </c>
      <c r="U3179" s="525" t="str">
        <f>IF(AND(B3179&gt;='IN-NX'!$P$3,B3179&lt;='IN-NX'!$Q$3,'IN-NX'!$D$7=D3179,OR(LEFT(L3179,2)="15",AND(LEFT(M3179,2)&lt;&gt;"15",LEFT(M3179,2)&lt;&gt;"33"))),"x","")</f>
        <v/>
      </c>
      <c r="V3179" s="525" t="str">
        <f>IF(AND(OR(LEFT(TH!L3179,2)="15",LEFT(TH!M3179,2)="15"),'152-CT'!$J$8=TH!F3179),"x","")</f>
        <v/>
      </c>
      <c r="W3179" s="525" t="str">
        <f>IF(AND(OR(LEFT(TH!L3179,2)="15",LEFT(TH!M3179,2)="15"),TK!$E$7=TH!F3179),"x","")</f>
        <v/>
      </c>
      <c r="X3179" s="525" t="str">
        <f>IF(AND('341-CT'!$E$9=H3179,OR(LEFT(L3179,3)=$X$7,LEFT(M3179,3)=$X$7)),"x","")</f>
        <v/>
      </c>
      <c r="Y3179" s="525" t="str">
        <f>IF(OR(TH!L3179=TH!$Y$7,M3179=TH!$Y$7),"x","")</f>
        <v/>
      </c>
      <c r="Z3179" s="525" t="str">
        <f>IF(AND(B3179&lt;=NKC!$N$8,B3179&gt;=NKC!$M$8),"x","")</f>
        <v/>
      </c>
      <c r="AA3179" s="526"/>
      <c r="AB3179" s="527"/>
    </row>
    <row r="3180" spans="1:28" s="576" customFormat="1" ht="15.75" customHeight="1">
      <c r="A3180" s="517" t="str">
        <f>IF(B3180&lt;&gt;"",IF(AND(B3180&gt;=_TM1,B3180&lt;=_TM2,OR(TH!L3180="1111",TH!M3180="1111")),TH!D3180,""),"")</f>
        <v/>
      </c>
      <c r="B3180" s="518">
        <f t="shared" si="287"/>
        <v>5</v>
      </c>
      <c r="C3180" s="571">
        <f t="shared" si="286"/>
        <v>42886</v>
      </c>
      <c r="D3180" s="571" t="s">
        <v>996</v>
      </c>
      <c r="E3180" s="571">
        <v>42886</v>
      </c>
      <c r="F3180" s="520" t="s">
        <v>627</v>
      </c>
      <c r="G3180" s="573" t="s">
        <v>1141</v>
      </c>
      <c r="H3180" s="574" t="s">
        <v>800</v>
      </c>
      <c r="I3180" s="523">
        <v>106</v>
      </c>
      <c r="J3180" s="523">
        <v>50840</v>
      </c>
      <c r="K3180" s="575">
        <f t="shared" si="288"/>
        <v>5389040</v>
      </c>
      <c r="L3180" s="591" t="s">
        <v>160</v>
      </c>
      <c r="M3180" s="591" t="s">
        <v>292</v>
      </c>
      <c r="N3180" s="525" t="str">
        <f>IF(AND('331-CT'!$E$7=TH!H3180,OR(L3180="331",M3180="331")),"331",IF(AND(OR(L3180="131",M3180="131"),H3180='131-CT'!$E$7),"131",""))</f>
        <v/>
      </c>
      <c r="O3180" s="525" t="str">
        <f>IF(AND($B3180&gt;='111'!$N$11,$B3180&lt;='111'!$O$11,OR($L3180=$O$7,$M3180=$O$7)),"x","")</f>
        <v/>
      </c>
      <c r="P3180" s="525" t="str">
        <f>IF(AND($L3180=$O$7,$B3180&lt;'111'!$N$11),"x","")</f>
        <v/>
      </c>
      <c r="Q3180" s="525" t="str">
        <f>IF(AND($M3180=$O$7,$B3180&lt;'111'!$N$11),"x","")</f>
        <v/>
      </c>
      <c r="R3180" s="525" t="str">
        <f>IF(ISERROR(FIND('112'!$M$9,G3180,1)),"",IF((AND(FIND('112'!$M$9,G3180,1)&gt;=1,$B3180&gt;='112'!$N$8,$B3180&lt;='112'!$O$8,OR($L3180='112'!$I$6,$M3180='112'!$I$6))),"x",""))</f>
        <v/>
      </c>
      <c r="S3180" s="525" t="str">
        <f>IF(ISERROR(FIND('112'!$M$9,G3180,1)),"",IF((AND(LEFT(G3180,2)=LEFT('112'!$M$9,2),B3180&lt;'112'!$N$8,$L3180='112'!$I$6)),"x",""))</f>
        <v/>
      </c>
      <c r="T3180" s="525" t="str">
        <f>IF(ISERROR(FIND('112'!$M$9,G3180,1)),"",IF((AND(RIGHT(G3180,2)=RIGHT('112'!$M$9,2),B3180&lt;'112'!$N$8,$M3180='112'!$I$6)),"x",""))</f>
        <v/>
      </c>
      <c r="U3180" s="525" t="str">
        <f>IF(AND(B3180&gt;='IN-NX'!$P$3,B3180&lt;='IN-NX'!$Q$3,'IN-NX'!$D$7=D3180,OR(LEFT(L3180,2)="15",AND(LEFT(M3180,2)&lt;&gt;"15",LEFT(M3180,2)&lt;&gt;"33"))),"x","")</f>
        <v/>
      </c>
      <c r="V3180" s="525" t="str">
        <f>IF(AND(OR(LEFT(TH!L3180,2)="15",LEFT(TH!M3180,2)="15"),'152-CT'!$J$8=TH!F3180),"x","")</f>
        <v/>
      </c>
      <c r="W3180" s="525" t="str">
        <f>IF(AND(OR(LEFT(TH!L3180,2)="15",LEFT(TH!M3180,2)="15"),TK!$E$7=TH!F3180),"x","")</f>
        <v/>
      </c>
      <c r="X3180" s="525" t="str">
        <f>IF(AND('341-CT'!$E$9=H3180,OR(LEFT(L3180,3)=$X$7,LEFT(M3180,3)=$X$7)),"x","")</f>
        <v/>
      </c>
      <c r="Y3180" s="525" t="str">
        <f>IF(OR(TH!L3180=TH!$Y$7,M3180=TH!$Y$7),"x","")</f>
        <v/>
      </c>
      <c r="Z3180" s="525" t="str">
        <f>IF(AND(B3180&lt;=NKC!$N$8,B3180&gt;=NKC!$M$8),"x","")</f>
        <v/>
      </c>
      <c r="AA3180" s="526"/>
      <c r="AB3180" s="527"/>
    </row>
    <row r="3181" spans="1:28" s="576" customFormat="1" ht="15.75" customHeight="1">
      <c r="A3181" s="517" t="str">
        <f>IF(B3181&lt;&gt;"",IF(AND(B3181&gt;=_TM1,B3181&lt;=_TM2,OR(TH!L3181="1111",TH!M3181="1111")),TH!D3181,""),"")</f>
        <v/>
      </c>
      <c r="B3181" s="518">
        <f t="shared" si="287"/>
        <v>5</v>
      </c>
      <c r="C3181" s="571">
        <f t="shared" si="286"/>
        <v>42886</v>
      </c>
      <c r="D3181" s="571" t="s">
        <v>996</v>
      </c>
      <c r="E3181" s="571">
        <v>42886</v>
      </c>
      <c r="F3181" s="572" t="s">
        <v>714</v>
      </c>
      <c r="G3181" s="573" t="s">
        <v>1141</v>
      </c>
      <c r="H3181" s="574" t="s">
        <v>800</v>
      </c>
      <c r="I3181" s="523">
        <v>30</v>
      </c>
      <c r="J3181" s="523">
        <v>47671</v>
      </c>
      <c r="K3181" s="575">
        <f t="shared" si="288"/>
        <v>1430130</v>
      </c>
      <c r="L3181" s="591" t="s">
        <v>160</v>
      </c>
      <c r="M3181" s="591" t="s">
        <v>292</v>
      </c>
      <c r="N3181" s="525" t="str">
        <f>IF(AND('331-CT'!$E$7=TH!H3181,OR(L3181="331",M3181="331")),"331",IF(AND(OR(L3181="131",M3181="131"),H3181='131-CT'!$E$7),"131",""))</f>
        <v/>
      </c>
      <c r="O3181" s="525" t="str">
        <f>IF(AND($B3181&gt;='111'!$N$11,$B3181&lt;='111'!$O$11,OR($L3181=$O$7,$M3181=$O$7)),"x","")</f>
        <v/>
      </c>
      <c r="P3181" s="525" t="str">
        <f>IF(AND($L3181=$O$7,$B3181&lt;'111'!$N$11),"x","")</f>
        <v/>
      </c>
      <c r="Q3181" s="525" t="str">
        <f>IF(AND($M3181=$O$7,$B3181&lt;'111'!$N$11),"x","")</f>
        <v/>
      </c>
      <c r="R3181" s="525" t="str">
        <f>IF(ISERROR(FIND('112'!$M$9,G3181,1)),"",IF((AND(FIND('112'!$M$9,G3181,1)&gt;=1,$B3181&gt;='112'!$N$8,$B3181&lt;='112'!$O$8,OR($L3181='112'!$I$6,$M3181='112'!$I$6))),"x",""))</f>
        <v/>
      </c>
      <c r="S3181" s="525" t="str">
        <f>IF(ISERROR(FIND('112'!$M$9,G3181,1)),"",IF((AND(LEFT(G3181,2)=LEFT('112'!$M$9,2),B3181&lt;'112'!$N$8,$L3181='112'!$I$6)),"x",""))</f>
        <v/>
      </c>
      <c r="T3181" s="525" t="str">
        <f>IF(ISERROR(FIND('112'!$M$9,G3181,1)),"",IF((AND(RIGHT(G3181,2)=RIGHT('112'!$M$9,2),B3181&lt;'112'!$N$8,$M3181='112'!$I$6)),"x",""))</f>
        <v/>
      </c>
      <c r="U3181" s="525" t="str">
        <f>IF(AND(B3181&gt;='IN-NX'!$P$3,B3181&lt;='IN-NX'!$Q$3,'IN-NX'!$D$7=D3181,OR(LEFT(L3181,2)="15",AND(LEFT(M3181,2)&lt;&gt;"15",LEFT(M3181,2)&lt;&gt;"33"))),"x","")</f>
        <v/>
      </c>
      <c r="V3181" s="525" t="str">
        <f>IF(AND(OR(LEFT(TH!L3181,2)="15",LEFT(TH!M3181,2)="15"),'152-CT'!$J$8=TH!F3181),"x","")</f>
        <v/>
      </c>
      <c r="W3181" s="525" t="str">
        <f>IF(AND(OR(LEFT(TH!L3181,2)="15",LEFT(TH!M3181,2)="15"),TK!$E$7=TH!F3181),"x","")</f>
        <v/>
      </c>
      <c r="X3181" s="525" t="str">
        <f>IF(AND('341-CT'!$E$9=H3181,OR(LEFT(L3181,3)=$X$7,LEFT(M3181,3)=$X$7)),"x","")</f>
        <v/>
      </c>
      <c r="Y3181" s="525" t="str">
        <f>IF(OR(TH!L3181=TH!$Y$7,M3181=TH!$Y$7),"x","")</f>
        <v/>
      </c>
      <c r="Z3181" s="525" t="str">
        <f>IF(AND(B3181&lt;=NKC!$N$8,B3181&gt;=NKC!$M$8),"x","")</f>
        <v/>
      </c>
      <c r="AA3181" s="526"/>
      <c r="AB3181" s="527"/>
    </row>
    <row r="3182" spans="1:28" s="576" customFormat="1" ht="15.75" customHeight="1">
      <c r="A3182" s="517" t="str">
        <f>IF(B3182&lt;&gt;"",IF(AND(B3182&gt;=_TM1,B3182&lt;=_TM2,OR(TH!L3182="1111",TH!M3182="1111")),TH!D3182,""),"")</f>
        <v/>
      </c>
      <c r="B3182" s="518">
        <f t="shared" si="287"/>
        <v>5</v>
      </c>
      <c r="C3182" s="571">
        <f t="shared" si="286"/>
        <v>42886</v>
      </c>
      <c r="D3182" s="571" t="s">
        <v>996</v>
      </c>
      <c r="E3182" s="571">
        <v>42886</v>
      </c>
      <c r="F3182" s="520" t="s">
        <v>754</v>
      </c>
      <c r="G3182" s="573" t="s">
        <v>1141</v>
      </c>
      <c r="H3182" s="574" t="s">
        <v>800</v>
      </c>
      <c r="I3182" s="523">
        <v>40</v>
      </c>
      <c r="J3182" s="523">
        <v>62350</v>
      </c>
      <c r="K3182" s="575">
        <f t="shared" si="288"/>
        <v>2494000</v>
      </c>
      <c r="L3182" s="591" t="s">
        <v>160</v>
      </c>
      <c r="M3182" s="591" t="s">
        <v>292</v>
      </c>
      <c r="N3182" s="525" t="str">
        <f>IF(AND('331-CT'!$E$7=TH!H3182,OR(L3182="331",M3182="331")),"331",IF(AND(OR(L3182="131",M3182="131"),H3182='131-CT'!$E$7),"131",""))</f>
        <v/>
      </c>
      <c r="O3182" s="525" t="str">
        <f>IF(AND($B3182&gt;='111'!$N$11,$B3182&lt;='111'!$O$11,OR($L3182=$O$7,$M3182=$O$7)),"x","")</f>
        <v/>
      </c>
      <c r="P3182" s="525" t="str">
        <f>IF(AND($L3182=$O$7,$B3182&lt;'111'!$N$11),"x","")</f>
        <v/>
      </c>
      <c r="Q3182" s="525" t="str">
        <f>IF(AND($M3182=$O$7,$B3182&lt;'111'!$N$11),"x","")</f>
        <v/>
      </c>
      <c r="R3182" s="525" t="str">
        <f>IF(ISERROR(FIND('112'!$M$9,G3182,1)),"",IF((AND(FIND('112'!$M$9,G3182,1)&gt;=1,$B3182&gt;='112'!$N$8,$B3182&lt;='112'!$O$8,OR($L3182='112'!$I$6,$M3182='112'!$I$6))),"x",""))</f>
        <v/>
      </c>
      <c r="S3182" s="525" t="str">
        <f>IF(ISERROR(FIND('112'!$M$9,G3182,1)),"",IF((AND(LEFT(G3182,2)=LEFT('112'!$M$9,2),B3182&lt;'112'!$N$8,$L3182='112'!$I$6)),"x",""))</f>
        <v/>
      </c>
      <c r="T3182" s="525" t="str">
        <f>IF(ISERROR(FIND('112'!$M$9,G3182,1)),"",IF((AND(RIGHT(G3182,2)=RIGHT('112'!$M$9,2),B3182&lt;'112'!$N$8,$M3182='112'!$I$6)),"x",""))</f>
        <v/>
      </c>
      <c r="U3182" s="525" t="str">
        <f>IF(AND(B3182&gt;='IN-NX'!$P$3,B3182&lt;='IN-NX'!$Q$3,'IN-NX'!$D$7=D3182,OR(LEFT(L3182,2)="15",AND(LEFT(M3182,2)&lt;&gt;"15",LEFT(M3182,2)&lt;&gt;"33"))),"x","")</f>
        <v/>
      </c>
      <c r="V3182" s="525" t="str">
        <f>IF(AND(OR(LEFT(TH!L3182,2)="15",LEFT(TH!M3182,2)="15"),'152-CT'!$J$8=TH!F3182),"x","")</f>
        <v/>
      </c>
      <c r="W3182" s="525" t="str">
        <f>IF(AND(OR(LEFT(TH!L3182,2)="15",LEFT(TH!M3182,2)="15"),TK!$E$7=TH!F3182),"x","")</f>
        <v/>
      </c>
      <c r="X3182" s="525" t="str">
        <f>IF(AND('341-CT'!$E$9=H3182,OR(LEFT(L3182,3)=$X$7,LEFT(M3182,3)=$X$7)),"x","")</f>
        <v/>
      </c>
      <c r="Y3182" s="525" t="str">
        <f>IF(OR(TH!L3182=TH!$Y$7,M3182=TH!$Y$7),"x","")</f>
        <v/>
      </c>
      <c r="Z3182" s="525" t="str">
        <f>IF(AND(B3182&lt;=NKC!$N$8,B3182&gt;=NKC!$M$8),"x","")</f>
        <v/>
      </c>
      <c r="AA3182" s="526"/>
      <c r="AB3182" s="527"/>
    </row>
    <row r="3183" spans="1:28" s="576" customFormat="1" ht="15.75" customHeight="1">
      <c r="A3183" s="517" t="str">
        <f>IF(B3183&lt;&gt;"",IF(AND(B3183&gt;=_TM1,B3183&lt;=_TM2,OR(TH!L3183="1111",TH!M3183="1111")),TH!D3183,""),"")</f>
        <v/>
      </c>
      <c r="B3183" s="518">
        <f t="shared" si="287"/>
        <v>5</v>
      </c>
      <c r="C3183" s="571">
        <f t="shared" si="286"/>
        <v>42886</v>
      </c>
      <c r="D3183" s="571" t="s">
        <v>996</v>
      </c>
      <c r="E3183" s="571">
        <v>42886</v>
      </c>
      <c r="F3183" s="520" t="s">
        <v>1174</v>
      </c>
      <c r="G3183" s="573" t="s">
        <v>1141</v>
      </c>
      <c r="H3183" s="574" t="s">
        <v>800</v>
      </c>
      <c r="I3183" s="523">
        <v>40</v>
      </c>
      <c r="J3183" s="523">
        <v>62415</v>
      </c>
      <c r="K3183" s="575">
        <f t="shared" si="288"/>
        <v>2496600</v>
      </c>
      <c r="L3183" s="591" t="s">
        <v>160</v>
      </c>
      <c r="M3183" s="591" t="s">
        <v>292</v>
      </c>
      <c r="N3183" s="525" t="str">
        <f>IF(AND('331-CT'!$E$7=TH!H3183,OR(L3183="331",M3183="331")),"331",IF(AND(OR(L3183="131",M3183="131"),H3183='131-CT'!$E$7),"131",""))</f>
        <v/>
      </c>
      <c r="O3183" s="525" t="str">
        <f>IF(AND($B3183&gt;='111'!$N$11,$B3183&lt;='111'!$O$11,OR($L3183=$O$7,$M3183=$O$7)),"x","")</f>
        <v/>
      </c>
      <c r="P3183" s="525" t="str">
        <f>IF(AND($L3183=$O$7,$B3183&lt;'111'!$N$11),"x","")</f>
        <v/>
      </c>
      <c r="Q3183" s="525" t="str">
        <f>IF(AND($M3183=$O$7,$B3183&lt;'111'!$N$11),"x","")</f>
        <v/>
      </c>
      <c r="R3183" s="525" t="str">
        <f>IF(ISERROR(FIND('112'!$M$9,G3183,1)),"",IF((AND(FIND('112'!$M$9,G3183,1)&gt;=1,$B3183&gt;='112'!$N$8,$B3183&lt;='112'!$O$8,OR($L3183='112'!$I$6,$M3183='112'!$I$6))),"x",""))</f>
        <v/>
      </c>
      <c r="S3183" s="525" t="str">
        <f>IF(ISERROR(FIND('112'!$M$9,G3183,1)),"",IF((AND(LEFT(G3183,2)=LEFT('112'!$M$9,2),B3183&lt;'112'!$N$8,$L3183='112'!$I$6)),"x",""))</f>
        <v/>
      </c>
      <c r="T3183" s="525" t="str">
        <f>IF(ISERROR(FIND('112'!$M$9,G3183,1)),"",IF((AND(RIGHT(G3183,2)=RIGHT('112'!$M$9,2),B3183&lt;'112'!$N$8,$M3183='112'!$I$6)),"x",""))</f>
        <v/>
      </c>
      <c r="U3183" s="525" t="str">
        <f>IF(AND(B3183&gt;='IN-NX'!$P$3,B3183&lt;='IN-NX'!$Q$3,'IN-NX'!$D$7=D3183,OR(LEFT(L3183,2)="15",AND(LEFT(M3183,2)&lt;&gt;"15",LEFT(M3183,2)&lt;&gt;"33"))),"x","")</f>
        <v/>
      </c>
      <c r="V3183" s="525" t="str">
        <f>IF(AND(OR(LEFT(TH!L3183,2)="15",LEFT(TH!M3183,2)="15"),'152-CT'!$J$8=TH!F3183),"x","")</f>
        <v/>
      </c>
      <c r="W3183" s="525" t="str">
        <f>IF(AND(OR(LEFT(TH!L3183,2)="15",LEFT(TH!M3183,2)="15"),TK!$E$7=TH!F3183),"x","")</f>
        <v/>
      </c>
      <c r="X3183" s="525" t="str">
        <f>IF(AND('341-CT'!$E$9=H3183,OR(LEFT(L3183,3)=$X$7,LEFT(M3183,3)=$X$7)),"x","")</f>
        <v/>
      </c>
      <c r="Y3183" s="525" t="str">
        <f>IF(OR(TH!L3183=TH!$Y$7,M3183=TH!$Y$7),"x","")</f>
        <v/>
      </c>
      <c r="Z3183" s="525" t="str">
        <f>IF(AND(B3183&lt;=NKC!$N$8,B3183&gt;=NKC!$M$8),"x","")</f>
        <v/>
      </c>
      <c r="AA3183" s="526"/>
      <c r="AB3183" s="527"/>
    </row>
    <row r="3184" spans="1:28" s="576" customFormat="1" ht="15.75" customHeight="1">
      <c r="A3184" s="517" t="str">
        <f>IF(B3184&lt;&gt;"",IF(AND(B3184&gt;=_TM1,B3184&lt;=_TM2,OR(TH!L3184="1111",TH!M3184="1111")),TH!D3184,""),"")</f>
        <v/>
      </c>
      <c r="B3184" s="518">
        <f t="shared" si="287"/>
        <v>5</v>
      </c>
      <c r="C3184" s="571">
        <f t="shared" si="286"/>
        <v>42886</v>
      </c>
      <c r="D3184" s="571" t="s">
        <v>996</v>
      </c>
      <c r="E3184" s="571">
        <v>42886</v>
      </c>
      <c r="F3184" s="520" t="s">
        <v>1018</v>
      </c>
      <c r="G3184" s="573" t="s">
        <v>1141</v>
      </c>
      <c r="H3184" s="574" t="s">
        <v>800</v>
      </c>
      <c r="I3184" s="523">
        <v>40</v>
      </c>
      <c r="J3184" s="523">
        <v>54500</v>
      </c>
      <c r="K3184" s="575">
        <f t="shared" si="288"/>
        <v>2180000</v>
      </c>
      <c r="L3184" s="591" t="s">
        <v>160</v>
      </c>
      <c r="M3184" s="591" t="s">
        <v>292</v>
      </c>
      <c r="N3184" s="525" t="str">
        <f>IF(AND('331-CT'!$E$7=TH!H3184,OR(L3184="331",M3184="331")),"331",IF(AND(OR(L3184="131",M3184="131"),H3184='131-CT'!$E$7),"131",""))</f>
        <v/>
      </c>
      <c r="O3184" s="525" t="str">
        <f>IF(AND($B3184&gt;='111'!$N$11,$B3184&lt;='111'!$O$11,OR($L3184=$O$7,$M3184=$O$7)),"x","")</f>
        <v/>
      </c>
      <c r="P3184" s="525" t="str">
        <f>IF(AND($L3184=$O$7,$B3184&lt;'111'!$N$11),"x","")</f>
        <v/>
      </c>
      <c r="Q3184" s="525" t="str">
        <f>IF(AND($M3184=$O$7,$B3184&lt;'111'!$N$11),"x","")</f>
        <v/>
      </c>
      <c r="R3184" s="525" t="str">
        <f>IF(ISERROR(FIND('112'!$M$9,G3184,1)),"",IF((AND(FIND('112'!$M$9,G3184,1)&gt;=1,$B3184&gt;='112'!$N$8,$B3184&lt;='112'!$O$8,OR($L3184='112'!$I$6,$M3184='112'!$I$6))),"x",""))</f>
        <v/>
      </c>
      <c r="S3184" s="525" t="str">
        <f>IF(ISERROR(FIND('112'!$M$9,G3184,1)),"",IF((AND(LEFT(G3184,2)=LEFT('112'!$M$9,2),B3184&lt;'112'!$N$8,$L3184='112'!$I$6)),"x",""))</f>
        <v/>
      </c>
      <c r="T3184" s="525" t="str">
        <f>IF(ISERROR(FIND('112'!$M$9,G3184,1)),"",IF((AND(RIGHT(G3184,2)=RIGHT('112'!$M$9,2),B3184&lt;'112'!$N$8,$M3184='112'!$I$6)),"x",""))</f>
        <v/>
      </c>
      <c r="U3184" s="525" t="str">
        <f>IF(AND(B3184&gt;='IN-NX'!$P$3,B3184&lt;='IN-NX'!$Q$3,'IN-NX'!$D$7=D3184,OR(LEFT(L3184,2)="15",AND(LEFT(M3184,2)&lt;&gt;"15",LEFT(M3184,2)&lt;&gt;"33"))),"x","")</f>
        <v/>
      </c>
      <c r="V3184" s="525" t="str">
        <f>IF(AND(OR(LEFT(TH!L3184,2)="15",LEFT(TH!M3184,2)="15"),'152-CT'!$J$8=TH!F3184),"x","")</f>
        <v/>
      </c>
      <c r="W3184" s="525" t="str">
        <f>IF(AND(OR(LEFT(TH!L3184,2)="15",LEFT(TH!M3184,2)="15"),TK!$E$7=TH!F3184),"x","")</f>
        <v/>
      </c>
      <c r="X3184" s="525" t="str">
        <f>IF(AND('341-CT'!$E$9=H3184,OR(LEFT(L3184,3)=$X$7,LEFT(M3184,3)=$X$7)),"x","")</f>
        <v/>
      </c>
      <c r="Y3184" s="525" t="str">
        <f>IF(OR(TH!L3184=TH!$Y$7,M3184=TH!$Y$7),"x","")</f>
        <v/>
      </c>
      <c r="Z3184" s="525" t="str">
        <f>IF(AND(B3184&lt;=NKC!$N$8,B3184&gt;=NKC!$M$8),"x","")</f>
        <v/>
      </c>
      <c r="AA3184" s="526"/>
      <c r="AB3184" s="527"/>
    </row>
    <row r="3185" spans="1:30" s="576" customFormat="1" ht="15.75" customHeight="1">
      <c r="A3185" s="517" t="str">
        <f>IF(B3185&lt;&gt;"",IF(AND(B3185&gt;=_TM1,B3185&lt;=_TM2,OR(TH!L3185="1111",TH!M3185="1111")),TH!D3185,""),"")</f>
        <v/>
      </c>
      <c r="B3185" s="518">
        <f t="shared" si="287"/>
        <v>5</v>
      </c>
      <c r="C3185" s="571">
        <f t="shared" si="286"/>
        <v>42886</v>
      </c>
      <c r="D3185" s="571" t="s">
        <v>996</v>
      </c>
      <c r="E3185" s="571">
        <v>42886</v>
      </c>
      <c r="F3185" s="520" t="s">
        <v>795</v>
      </c>
      <c r="G3185" s="573" t="s">
        <v>1141</v>
      </c>
      <c r="H3185" s="574" t="s">
        <v>800</v>
      </c>
      <c r="I3185" s="523">
        <v>40</v>
      </c>
      <c r="J3185" s="523">
        <v>74100</v>
      </c>
      <c r="K3185" s="575">
        <f t="shared" si="288"/>
        <v>2964000</v>
      </c>
      <c r="L3185" s="591" t="s">
        <v>160</v>
      </c>
      <c r="M3185" s="591" t="s">
        <v>292</v>
      </c>
      <c r="N3185" s="525" t="str">
        <f>IF(AND('331-CT'!$E$7=TH!H3185,OR(L3185="331",M3185="331")),"331",IF(AND(OR(L3185="131",M3185="131"),H3185='131-CT'!$E$7),"131",""))</f>
        <v/>
      </c>
      <c r="O3185" s="525" t="str">
        <f>IF(AND($B3185&gt;='111'!$N$11,$B3185&lt;='111'!$O$11,OR($L3185=$O$7,$M3185=$O$7)),"x","")</f>
        <v/>
      </c>
      <c r="P3185" s="525" t="str">
        <f>IF(AND($L3185=$O$7,$B3185&lt;'111'!$N$11),"x","")</f>
        <v/>
      </c>
      <c r="Q3185" s="525" t="str">
        <f>IF(AND($M3185=$O$7,$B3185&lt;'111'!$N$11),"x","")</f>
        <v/>
      </c>
      <c r="R3185" s="525" t="str">
        <f>IF(ISERROR(FIND('112'!$M$9,G3185,1)),"",IF((AND(FIND('112'!$M$9,G3185,1)&gt;=1,$B3185&gt;='112'!$N$8,$B3185&lt;='112'!$O$8,OR($L3185='112'!$I$6,$M3185='112'!$I$6))),"x",""))</f>
        <v/>
      </c>
      <c r="S3185" s="525" t="str">
        <f>IF(ISERROR(FIND('112'!$M$9,G3185,1)),"",IF((AND(LEFT(G3185,2)=LEFT('112'!$M$9,2),B3185&lt;'112'!$N$8,$L3185='112'!$I$6)),"x",""))</f>
        <v/>
      </c>
      <c r="T3185" s="525" t="str">
        <f>IF(ISERROR(FIND('112'!$M$9,G3185,1)),"",IF((AND(RIGHT(G3185,2)=RIGHT('112'!$M$9,2),B3185&lt;'112'!$N$8,$M3185='112'!$I$6)),"x",""))</f>
        <v/>
      </c>
      <c r="U3185" s="525" t="str">
        <f>IF(AND(B3185&gt;='IN-NX'!$P$3,B3185&lt;='IN-NX'!$Q$3,'IN-NX'!$D$7=D3185,OR(LEFT(L3185,2)="15",AND(LEFT(M3185,2)&lt;&gt;"15",LEFT(M3185,2)&lt;&gt;"33"))),"x","")</f>
        <v/>
      </c>
      <c r="V3185" s="525" t="str">
        <f>IF(AND(OR(LEFT(TH!L3185,2)="15",LEFT(TH!M3185,2)="15"),'152-CT'!$J$8=TH!F3185),"x","")</f>
        <v/>
      </c>
      <c r="W3185" s="525" t="str">
        <f>IF(AND(OR(LEFT(TH!L3185,2)="15",LEFT(TH!M3185,2)="15"),TK!$E$7=TH!F3185),"x","")</f>
        <v/>
      </c>
      <c r="X3185" s="525" t="str">
        <f>IF(AND('341-CT'!$E$9=H3185,OR(LEFT(L3185,3)=$X$7,LEFT(M3185,3)=$X$7)),"x","")</f>
        <v/>
      </c>
      <c r="Y3185" s="525" t="str">
        <f>IF(OR(TH!L3185=TH!$Y$7,M3185=TH!$Y$7),"x","")</f>
        <v/>
      </c>
      <c r="Z3185" s="525" t="str">
        <f>IF(AND(B3185&lt;=NKC!$N$8,B3185&gt;=NKC!$M$8),"x","")</f>
        <v/>
      </c>
      <c r="AA3185" s="526"/>
      <c r="AB3185" s="527"/>
    </row>
    <row r="3186" spans="1:30" s="576" customFormat="1" ht="15.75" customHeight="1">
      <c r="A3186" s="517" t="str">
        <f>IF(B3186&lt;&gt;"",IF(AND(B3186&gt;=_TM1,B3186&lt;=_TM2,OR(TH!L3186="1111",TH!M3186="1111")),TH!D3186,""),"")</f>
        <v/>
      </c>
      <c r="B3186" s="518">
        <f t="shared" si="287"/>
        <v>5</v>
      </c>
      <c r="C3186" s="571">
        <f t="shared" si="286"/>
        <v>42886</v>
      </c>
      <c r="D3186" s="571" t="s">
        <v>996</v>
      </c>
      <c r="E3186" s="571">
        <v>42886</v>
      </c>
      <c r="F3186" s="520" t="s">
        <v>737</v>
      </c>
      <c r="G3186" s="573" t="s">
        <v>1141</v>
      </c>
      <c r="H3186" s="574" t="s">
        <v>800</v>
      </c>
      <c r="I3186" s="523">
        <v>80</v>
      </c>
      <c r="J3186" s="523">
        <v>87730</v>
      </c>
      <c r="K3186" s="575">
        <f t="shared" si="288"/>
        <v>7018400</v>
      </c>
      <c r="L3186" s="591" t="s">
        <v>160</v>
      </c>
      <c r="M3186" s="591" t="s">
        <v>292</v>
      </c>
      <c r="N3186" s="525" t="str">
        <f>IF(AND('331-CT'!$E$7=TH!H3186,OR(L3186="331",M3186="331")),"331",IF(AND(OR(L3186="131",M3186="131"),H3186='131-CT'!$E$7),"131",""))</f>
        <v/>
      </c>
      <c r="O3186" s="525" t="str">
        <f>IF(AND($B3186&gt;='111'!$N$11,$B3186&lt;='111'!$O$11,OR($L3186=$O$7,$M3186=$O$7)),"x","")</f>
        <v/>
      </c>
      <c r="P3186" s="525" t="str">
        <f>IF(AND($L3186=$O$7,$B3186&lt;'111'!$N$11),"x","")</f>
        <v/>
      </c>
      <c r="Q3186" s="525" t="str">
        <f>IF(AND($M3186=$O$7,$B3186&lt;'111'!$N$11),"x","")</f>
        <v/>
      </c>
      <c r="R3186" s="525" t="str">
        <f>IF(ISERROR(FIND('112'!$M$9,G3186,1)),"",IF((AND(FIND('112'!$M$9,G3186,1)&gt;=1,$B3186&gt;='112'!$N$8,$B3186&lt;='112'!$O$8,OR($L3186='112'!$I$6,$M3186='112'!$I$6))),"x",""))</f>
        <v/>
      </c>
      <c r="S3186" s="525" t="str">
        <f>IF(ISERROR(FIND('112'!$M$9,G3186,1)),"",IF((AND(LEFT(G3186,2)=LEFT('112'!$M$9,2),B3186&lt;'112'!$N$8,$L3186='112'!$I$6)),"x",""))</f>
        <v/>
      </c>
      <c r="T3186" s="525" t="str">
        <f>IF(ISERROR(FIND('112'!$M$9,G3186,1)),"",IF((AND(RIGHT(G3186,2)=RIGHT('112'!$M$9,2),B3186&lt;'112'!$N$8,$M3186='112'!$I$6)),"x",""))</f>
        <v/>
      </c>
      <c r="U3186" s="525" t="str">
        <f>IF(AND(B3186&gt;='IN-NX'!$P$3,B3186&lt;='IN-NX'!$Q$3,'IN-NX'!$D$7=D3186,OR(LEFT(L3186,2)="15",AND(LEFT(M3186,2)&lt;&gt;"15",LEFT(M3186,2)&lt;&gt;"33"))),"x","")</f>
        <v/>
      </c>
      <c r="V3186" s="525" t="str">
        <f>IF(AND(OR(LEFT(TH!L3186,2)="15",LEFT(TH!M3186,2)="15"),'152-CT'!$J$8=TH!F3186),"x","")</f>
        <v/>
      </c>
      <c r="W3186" s="525" t="str">
        <f>IF(AND(OR(LEFT(TH!L3186,2)="15",LEFT(TH!M3186,2)="15"),TK!$E$7=TH!F3186),"x","")</f>
        <v/>
      </c>
      <c r="X3186" s="525" t="str">
        <f>IF(AND('341-CT'!$E$9=H3186,OR(LEFT(L3186,3)=$X$7,LEFT(M3186,3)=$X$7)),"x","")</f>
        <v/>
      </c>
      <c r="Y3186" s="525" t="str">
        <f>IF(OR(TH!L3186=TH!$Y$7,M3186=TH!$Y$7),"x","")</f>
        <v/>
      </c>
      <c r="Z3186" s="525" t="str">
        <f>IF(AND(B3186&lt;=NKC!$N$8,B3186&gt;=NKC!$M$8),"x","")</f>
        <v/>
      </c>
      <c r="AA3186" s="526"/>
      <c r="AB3186" s="527"/>
    </row>
    <row r="3187" spans="1:30" s="576" customFormat="1" ht="15.75" customHeight="1">
      <c r="A3187" s="517" t="str">
        <f>IF(B3187&lt;&gt;"",IF(AND(B3187&gt;=_TM1,B3187&lt;=_TM2,OR(TH!L3187="1111",TH!M3187="1111")),TH!D3187,""),"")</f>
        <v/>
      </c>
      <c r="B3187" s="518">
        <f t="shared" si="287"/>
        <v>5</v>
      </c>
      <c r="C3187" s="571">
        <f t="shared" si="286"/>
        <v>42886</v>
      </c>
      <c r="D3187" s="571" t="s">
        <v>996</v>
      </c>
      <c r="E3187" s="571">
        <v>42886</v>
      </c>
      <c r="F3187" s="520" t="s">
        <v>630</v>
      </c>
      <c r="G3187" s="573" t="s">
        <v>1141</v>
      </c>
      <c r="H3187" s="574" t="s">
        <v>800</v>
      </c>
      <c r="I3187" s="523">
        <v>52</v>
      </c>
      <c r="J3187" s="523">
        <v>36399</v>
      </c>
      <c r="K3187" s="575">
        <f t="shared" si="288"/>
        <v>1892748</v>
      </c>
      <c r="L3187" s="591" t="s">
        <v>160</v>
      </c>
      <c r="M3187" s="591" t="s">
        <v>292</v>
      </c>
      <c r="N3187" s="525" t="str">
        <f>IF(AND('331-CT'!$E$7=TH!H3187,OR(L3187="331",M3187="331")),"331",IF(AND(OR(L3187="131",M3187="131"),H3187='131-CT'!$E$7),"131",""))</f>
        <v/>
      </c>
      <c r="O3187" s="525" t="str">
        <f>IF(AND($B3187&gt;='111'!$N$11,$B3187&lt;='111'!$O$11,OR($L3187=$O$7,$M3187=$O$7)),"x","")</f>
        <v/>
      </c>
      <c r="P3187" s="525" t="str">
        <f>IF(AND($L3187=$O$7,$B3187&lt;'111'!$N$11),"x","")</f>
        <v/>
      </c>
      <c r="Q3187" s="525" t="str">
        <f>IF(AND($M3187=$O$7,$B3187&lt;'111'!$N$11),"x","")</f>
        <v/>
      </c>
      <c r="R3187" s="525" t="str">
        <f>IF(ISERROR(FIND('112'!$M$9,G3187,1)),"",IF((AND(FIND('112'!$M$9,G3187,1)&gt;=1,$B3187&gt;='112'!$N$8,$B3187&lt;='112'!$O$8,OR($L3187='112'!$I$6,$M3187='112'!$I$6))),"x",""))</f>
        <v/>
      </c>
      <c r="S3187" s="525" t="str">
        <f>IF(ISERROR(FIND('112'!$M$9,G3187,1)),"",IF((AND(LEFT(G3187,2)=LEFT('112'!$M$9,2),B3187&lt;'112'!$N$8,$L3187='112'!$I$6)),"x",""))</f>
        <v/>
      </c>
      <c r="T3187" s="525" t="str">
        <f>IF(ISERROR(FIND('112'!$M$9,G3187,1)),"",IF((AND(RIGHT(G3187,2)=RIGHT('112'!$M$9,2),B3187&lt;'112'!$N$8,$M3187='112'!$I$6)),"x",""))</f>
        <v/>
      </c>
      <c r="U3187" s="525" t="str">
        <f>IF(AND(B3187&gt;='IN-NX'!$P$3,B3187&lt;='IN-NX'!$Q$3,'IN-NX'!$D$7=D3187,OR(LEFT(L3187,2)="15",AND(LEFT(M3187,2)&lt;&gt;"15",LEFT(M3187,2)&lt;&gt;"33"))),"x","")</f>
        <v/>
      </c>
      <c r="V3187" s="525" t="str">
        <f>IF(AND(OR(LEFT(TH!L3187,2)="15",LEFT(TH!M3187,2)="15"),'152-CT'!$J$8=TH!F3187),"x","")</f>
        <v/>
      </c>
      <c r="W3187" s="525" t="str">
        <f>IF(AND(OR(LEFT(TH!L3187,2)="15",LEFT(TH!M3187,2)="15"),TK!$E$7=TH!F3187),"x","")</f>
        <v/>
      </c>
      <c r="X3187" s="525" t="str">
        <f>IF(AND('341-CT'!$E$9=H3187,OR(LEFT(L3187,3)=$X$7,LEFT(M3187,3)=$X$7)),"x","")</f>
        <v/>
      </c>
      <c r="Y3187" s="525" t="str">
        <f>IF(OR(TH!L3187=TH!$Y$7,M3187=TH!$Y$7),"x","")</f>
        <v/>
      </c>
      <c r="Z3187" s="525" t="str">
        <f>IF(AND(B3187&lt;=NKC!$N$8,B3187&gt;=NKC!$M$8),"x","")</f>
        <v/>
      </c>
      <c r="AA3187" s="526"/>
      <c r="AB3187" s="527"/>
    </row>
    <row r="3188" spans="1:30" s="576" customFormat="1" ht="15.75" customHeight="1">
      <c r="A3188" s="517" t="str">
        <f>IF(B3188&lt;&gt;"",IF(AND(B3188&gt;=_TM1,B3188&lt;=_TM2,OR(TH!L3188="1111",TH!M3188="1111")),TH!D3188,""),"")</f>
        <v/>
      </c>
      <c r="B3188" s="518">
        <f t="shared" si="287"/>
        <v>5</v>
      </c>
      <c r="C3188" s="571">
        <f t="shared" si="286"/>
        <v>42886</v>
      </c>
      <c r="D3188" s="571" t="s">
        <v>996</v>
      </c>
      <c r="E3188" s="571">
        <v>42886</v>
      </c>
      <c r="F3188" s="520" t="s">
        <v>1175</v>
      </c>
      <c r="G3188" s="573" t="s">
        <v>1141</v>
      </c>
      <c r="H3188" s="574" t="s">
        <v>800</v>
      </c>
      <c r="I3188" s="523">
        <v>12</v>
      </c>
      <c r="J3188" s="523">
        <v>54000</v>
      </c>
      <c r="K3188" s="575">
        <f t="shared" si="288"/>
        <v>648000</v>
      </c>
      <c r="L3188" s="591" t="s">
        <v>160</v>
      </c>
      <c r="M3188" s="591" t="s">
        <v>292</v>
      </c>
      <c r="N3188" s="525" t="str">
        <f>IF(AND('331-CT'!$E$7=TH!H3188,OR(L3188="331",M3188="331")),"331",IF(AND(OR(L3188="131",M3188="131"),H3188='131-CT'!$E$7),"131",""))</f>
        <v/>
      </c>
      <c r="O3188" s="525" t="str">
        <f>IF(AND($B3188&gt;='111'!$N$11,$B3188&lt;='111'!$O$11,OR($L3188=$O$7,$M3188=$O$7)),"x","")</f>
        <v/>
      </c>
      <c r="P3188" s="525" t="str">
        <f>IF(AND($L3188=$O$7,$B3188&lt;'111'!$N$11),"x","")</f>
        <v/>
      </c>
      <c r="Q3188" s="525" t="str">
        <f>IF(AND($M3188=$O$7,$B3188&lt;'111'!$N$11),"x","")</f>
        <v/>
      </c>
      <c r="R3188" s="525" t="str">
        <f>IF(ISERROR(FIND('112'!$M$9,G3188,1)),"",IF((AND(FIND('112'!$M$9,G3188,1)&gt;=1,$B3188&gt;='112'!$N$8,$B3188&lt;='112'!$O$8,OR($L3188='112'!$I$6,$M3188='112'!$I$6))),"x",""))</f>
        <v/>
      </c>
      <c r="S3188" s="525" t="str">
        <f>IF(ISERROR(FIND('112'!$M$9,G3188,1)),"",IF((AND(LEFT(G3188,2)=LEFT('112'!$M$9,2),B3188&lt;'112'!$N$8,$L3188='112'!$I$6)),"x",""))</f>
        <v/>
      </c>
      <c r="T3188" s="525" t="str">
        <f>IF(ISERROR(FIND('112'!$M$9,G3188,1)),"",IF((AND(RIGHT(G3188,2)=RIGHT('112'!$M$9,2),B3188&lt;'112'!$N$8,$M3188='112'!$I$6)),"x",""))</f>
        <v/>
      </c>
      <c r="U3188" s="525" t="str">
        <f>IF(AND(B3188&gt;='IN-NX'!$P$3,B3188&lt;='IN-NX'!$Q$3,'IN-NX'!$D$7=D3188,OR(LEFT(L3188,2)="15",AND(LEFT(M3188,2)&lt;&gt;"15",LEFT(M3188,2)&lt;&gt;"33"))),"x","")</f>
        <v/>
      </c>
      <c r="V3188" s="525" t="str">
        <f>IF(AND(OR(LEFT(TH!L3188,2)="15",LEFT(TH!M3188,2)="15"),'152-CT'!$J$8=TH!F3188),"x","")</f>
        <v/>
      </c>
      <c r="W3188" s="525" t="str">
        <f>IF(AND(OR(LEFT(TH!L3188,2)="15",LEFT(TH!M3188,2)="15"),TK!$E$7=TH!F3188),"x","")</f>
        <v/>
      </c>
      <c r="X3188" s="525" t="str">
        <f>IF(AND('341-CT'!$E$9=H3188,OR(LEFT(L3188,3)=$X$7,LEFT(M3188,3)=$X$7)),"x","")</f>
        <v/>
      </c>
      <c r="Y3188" s="525" t="str">
        <f>IF(OR(TH!L3188=TH!$Y$7,M3188=TH!$Y$7),"x","")</f>
        <v/>
      </c>
      <c r="Z3188" s="525" t="str">
        <f>IF(AND(B3188&lt;=NKC!$N$8,B3188&gt;=NKC!$M$8),"x","")</f>
        <v/>
      </c>
      <c r="AA3188" s="526"/>
      <c r="AB3188" s="527"/>
    </row>
    <row r="3189" spans="1:30" s="576" customFormat="1" ht="15.75" customHeight="1">
      <c r="A3189" s="517" t="str">
        <f>IF(B3189&lt;&gt;"",IF(AND(B3189&gt;=_TM1,B3189&lt;=_TM2,OR(TH!L3189="1111",TH!M3189="1111")),TH!D3189,""),"")</f>
        <v/>
      </c>
      <c r="B3189" s="518">
        <f t="shared" si="287"/>
        <v>5</v>
      </c>
      <c r="C3189" s="571">
        <f t="shared" si="286"/>
        <v>42886</v>
      </c>
      <c r="D3189" s="571" t="s">
        <v>996</v>
      </c>
      <c r="E3189" s="571">
        <v>42886</v>
      </c>
      <c r="F3189" s="572" t="s">
        <v>757</v>
      </c>
      <c r="G3189" s="573" t="s">
        <v>1141</v>
      </c>
      <c r="H3189" s="574" t="s">
        <v>800</v>
      </c>
      <c r="I3189" s="523">
        <v>24</v>
      </c>
      <c r="J3189" s="523">
        <v>50120</v>
      </c>
      <c r="K3189" s="575">
        <f t="shared" si="288"/>
        <v>1202880</v>
      </c>
      <c r="L3189" s="591" t="s">
        <v>160</v>
      </c>
      <c r="M3189" s="591" t="s">
        <v>292</v>
      </c>
      <c r="N3189" s="525" t="str">
        <f>IF(AND('331-CT'!$E$7=TH!H3189,OR(L3189="331",M3189="331")),"331",IF(AND(OR(L3189="131",M3189="131"),H3189='131-CT'!$E$7),"131",""))</f>
        <v/>
      </c>
      <c r="O3189" s="525" t="str">
        <f>IF(AND($B3189&gt;='111'!$N$11,$B3189&lt;='111'!$O$11,OR($L3189=$O$7,$M3189=$O$7)),"x","")</f>
        <v/>
      </c>
      <c r="P3189" s="525" t="str">
        <f>IF(AND($L3189=$O$7,$B3189&lt;'111'!$N$11),"x","")</f>
        <v/>
      </c>
      <c r="Q3189" s="525" t="str">
        <f>IF(AND($M3189=$O$7,$B3189&lt;'111'!$N$11),"x","")</f>
        <v/>
      </c>
      <c r="R3189" s="525" t="str">
        <f>IF(ISERROR(FIND('112'!$M$9,G3189,1)),"",IF((AND(FIND('112'!$M$9,G3189,1)&gt;=1,$B3189&gt;='112'!$N$8,$B3189&lt;='112'!$O$8,OR($L3189='112'!$I$6,$M3189='112'!$I$6))),"x",""))</f>
        <v/>
      </c>
      <c r="S3189" s="525" t="str">
        <f>IF(ISERROR(FIND('112'!$M$9,G3189,1)),"",IF((AND(LEFT(G3189,2)=LEFT('112'!$M$9,2),B3189&lt;'112'!$N$8,$L3189='112'!$I$6)),"x",""))</f>
        <v/>
      </c>
      <c r="T3189" s="525" t="str">
        <f>IF(ISERROR(FIND('112'!$M$9,G3189,1)),"",IF((AND(RIGHT(G3189,2)=RIGHT('112'!$M$9,2),B3189&lt;'112'!$N$8,$M3189='112'!$I$6)),"x",""))</f>
        <v/>
      </c>
      <c r="U3189" s="525" t="str">
        <f>IF(AND(B3189&gt;='IN-NX'!$P$3,B3189&lt;='IN-NX'!$Q$3,'IN-NX'!$D$7=D3189,OR(LEFT(L3189,2)="15",AND(LEFT(M3189,2)&lt;&gt;"15",LEFT(M3189,2)&lt;&gt;"33"))),"x","")</f>
        <v/>
      </c>
      <c r="V3189" s="525" t="str">
        <f>IF(AND(OR(LEFT(TH!L3189,2)="15",LEFT(TH!M3189,2)="15"),'152-CT'!$J$8=TH!F3189),"x","")</f>
        <v/>
      </c>
      <c r="W3189" s="525" t="str">
        <f>IF(AND(OR(LEFT(TH!L3189,2)="15",LEFT(TH!M3189,2)="15"),TK!$E$7=TH!F3189),"x","")</f>
        <v/>
      </c>
      <c r="X3189" s="525" t="str">
        <f>IF(AND('341-CT'!$E$9=H3189,OR(LEFT(L3189,3)=$X$7,LEFT(M3189,3)=$X$7)),"x","")</f>
        <v/>
      </c>
      <c r="Y3189" s="525" t="str">
        <f>IF(OR(TH!L3189=TH!$Y$7,M3189=TH!$Y$7),"x","")</f>
        <v/>
      </c>
      <c r="Z3189" s="525" t="str">
        <f>IF(AND(B3189&lt;=NKC!$N$8,B3189&gt;=NKC!$M$8),"x","")</f>
        <v/>
      </c>
      <c r="AA3189" s="526"/>
      <c r="AB3189" s="527"/>
    </row>
    <row r="3190" spans="1:30" s="576" customFormat="1" ht="15.75" customHeight="1">
      <c r="A3190" s="517" t="str">
        <f>IF(B3190&lt;&gt;"",IF(AND(B3190&gt;=_TM1,B3190&lt;=_TM2,OR(TH!L3190="1111",TH!M3190="1111")),TH!D3190,""),"")</f>
        <v/>
      </c>
      <c r="B3190" s="518">
        <f t="shared" si="287"/>
        <v>5</v>
      </c>
      <c r="C3190" s="571">
        <f t="shared" si="286"/>
        <v>42886</v>
      </c>
      <c r="D3190" s="571" t="s">
        <v>996</v>
      </c>
      <c r="E3190" s="571">
        <v>42886</v>
      </c>
      <c r="F3190" s="520" t="s">
        <v>1176</v>
      </c>
      <c r="G3190" s="573" t="s">
        <v>1141</v>
      </c>
      <c r="H3190" s="574" t="s">
        <v>800</v>
      </c>
      <c r="I3190" s="523">
        <v>6</v>
      </c>
      <c r="J3190" s="523">
        <v>9950</v>
      </c>
      <c r="K3190" s="575">
        <f t="shared" si="288"/>
        <v>59700</v>
      </c>
      <c r="L3190" s="591" t="s">
        <v>160</v>
      </c>
      <c r="M3190" s="591" t="s">
        <v>292</v>
      </c>
      <c r="N3190" s="525" t="str">
        <f>IF(AND('331-CT'!$E$7=TH!H3190,OR(L3190="331",M3190="331")),"331",IF(AND(OR(L3190="131",M3190="131"),H3190='131-CT'!$E$7),"131",""))</f>
        <v/>
      </c>
      <c r="O3190" s="525" t="str">
        <f>IF(AND($B3190&gt;='111'!$N$11,$B3190&lt;='111'!$O$11,OR($L3190=$O$7,$M3190=$O$7)),"x","")</f>
        <v/>
      </c>
      <c r="P3190" s="525" t="str">
        <f>IF(AND($L3190=$O$7,$B3190&lt;'111'!$N$11),"x","")</f>
        <v/>
      </c>
      <c r="Q3190" s="525" t="str">
        <f>IF(AND($M3190=$O$7,$B3190&lt;'111'!$N$11),"x","")</f>
        <v/>
      </c>
      <c r="R3190" s="525" t="str">
        <f>IF(ISERROR(FIND('112'!$M$9,G3190,1)),"",IF((AND(FIND('112'!$M$9,G3190,1)&gt;=1,$B3190&gt;='112'!$N$8,$B3190&lt;='112'!$O$8,OR($L3190='112'!$I$6,$M3190='112'!$I$6))),"x",""))</f>
        <v/>
      </c>
      <c r="S3190" s="525" t="str">
        <f>IF(ISERROR(FIND('112'!$M$9,G3190,1)),"",IF((AND(LEFT(G3190,2)=LEFT('112'!$M$9,2),B3190&lt;'112'!$N$8,$L3190='112'!$I$6)),"x",""))</f>
        <v/>
      </c>
      <c r="T3190" s="525" t="str">
        <f>IF(ISERROR(FIND('112'!$M$9,G3190,1)),"",IF((AND(RIGHT(G3190,2)=RIGHT('112'!$M$9,2),B3190&lt;'112'!$N$8,$M3190='112'!$I$6)),"x",""))</f>
        <v/>
      </c>
      <c r="U3190" s="525" t="str">
        <f>IF(AND(B3190&gt;='IN-NX'!$P$3,B3190&lt;='IN-NX'!$Q$3,'IN-NX'!$D$7=D3190,OR(LEFT(L3190,2)="15",AND(LEFT(M3190,2)&lt;&gt;"15",LEFT(M3190,2)&lt;&gt;"33"))),"x","")</f>
        <v/>
      </c>
      <c r="V3190" s="525" t="str">
        <f>IF(AND(OR(LEFT(TH!L3190,2)="15",LEFT(TH!M3190,2)="15"),'152-CT'!$J$8=TH!F3190),"x","")</f>
        <v/>
      </c>
      <c r="W3190" s="525" t="str">
        <f>IF(AND(OR(LEFT(TH!L3190,2)="15",LEFT(TH!M3190,2)="15"),TK!$E$7=TH!F3190),"x","")</f>
        <v/>
      </c>
      <c r="X3190" s="525" t="str">
        <f>IF(AND('341-CT'!$E$9=H3190,OR(LEFT(L3190,3)=$X$7,LEFT(M3190,3)=$X$7)),"x","")</f>
        <v/>
      </c>
      <c r="Y3190" s="525" t="str">
        <f>IF(OR(TH!L3190=TH!$Y$7,M3190=TH!$Y$7),"x","")</f>
        <v/>
      </c>
      <c r="Z3190" s="525" t="str">
        <f>IF(AND(B3190&lt;=NKC!$N$8,B3190&gt;=NKC!$M$8),"x","")</f>
        <v/>
      </c>
      <c r="AA3190" s="526"/>
      <c r="AB3190" s="527"/>
    </row>
    <row r="3191" spans="1:30" s="576" customFormat="1" ht="15.75" customHeight="1">
      <c r="A3191" s="517" t="str">
        <f>IF(B3191&lt;&gt;"",IF(AND(B3191&gt;=_TM1,B3191&lt;=_TM2,OR(TH!L3191="1111",TH!M3191="1111")),TH!D3191,""),"")</f>
        <v/>
      </c>
      <c r="B3191" s="518">
        <f t="shared" si="287"/>
        <v>5</v>
      </c>
      <c r="C3191" s="571">
        <f t="shared" si="286"/>
        <v>42886</v>
      </c>
      <c r="D3191" s="571" t="s">
        <v>996</v>
      </c>
      <c r="E3191" s="571">
        <v>42886</v>
      </c>
      <c r="F3191" s="520" t="s">
        <v>1177</v>
      </c>
      <c r="G3191" s="573" t="s">
        <v>1141</v>
      </c>
      <c r="H3191" s="574" t="s">
        <v>800</v>
      </c>
      <c r="I3191" s="523">
        <v>18</v>
      </c>
      <c r="J3191" s="523">
        <v>73000</v>
      </c>
      <c r="K3191" s="575">
        <f t="shared" si="288"/>
        <v>1314000</v>
      </c>
      <c r="L3191" s="591" t="s">
        <v>160</v>
      </c>
      <c r="M3191" s="591" t="s">
        <v>292</v>
      </c>
      <c r="N3191" s="525" t="str">
        <f>IF(AND('331-CT'!$E$7=TH!H3191,OR(L3191="331",M3191="331")),"331",IF(AND(OR(L3191="131",M3191="131"),H3191='131-CT'!$E$7),"131",""))</f>
        <v/>
      </c>
      <c r="O3191" s="525" t="str">
        <f>IF(AND($B3191&gt;='111'!$N$11,$B3191&lt;='111'!$O$11,OR($L3191=$O$7,$M3191=$O$7)),"x","")</f>
        <v/>
      </c>
      <c r="P3191" s="525" t="str">
        <f>IF(AND($L3191=$O$7,$B3191&lt;'111'!$N$11),"x","")</f>
        <v/>
      </c>
      <c r="Q3191" s="525" t="str">
        <f>IF(AND($M3191=$O$7,$B3191&lt;'111'!$N$11),"x","")</f>
        <v/>
      </c>
      <c r="R3191" s="525" t="str">
        <f>IF(ISERROR(FIND('112'!$M$9,G3191,1)),"",IF((AND(FIND('112'!$M$9,G3191,1)&gt;=1,$B3191&gt;='112'!$N$8,$B3191&lt;='112'!$O$8,OR($L3191='112'!$I$6,$M3191='112'!$I$6))),"x",""))</f>
        <v/>
      </c>
      <c r="S3191" s="525" t="str">
        <f>IF(ISERROR(FIND('112'!$M$9,G3191,1)),"",IF((AND(LEFT(G3191,2)=LEFT('112'!$M$9,2),B3191&lt;'112'!$N$8,$L3191='112'!$I$6)),"x",""))</f>
        <v/>
      </c>
      <c r="T3191" s="525" t="str">
        <f>IF(ISERROR(FIND('112'!$M$9,G3191,1)),"",IF((AND(RIGHT(G3191,2)=RIGHT('112'!$M$9,2),B3191&lt;'112'!$N$8,$M3191='112'!$I$6)),"x",""))</f>
        <v/>
      </c>
      <c r="U3191" s="525" t="str">
        <f>IF(AND(B3191&gt;='IN-NX'!$P$3,B3191&lt;='IN-NX'!$Q$3,'IN-NX'!$D$7=D3191,OR(LEFT(L3191,2)="15",AND(LEFT(M3191,2)&lt;&gt;"15",LEFT(M3191,2)&lt;&gt;"33"))),"x","")</f>
        <v/>
      </c>
      <c r="V3191" s="525" t="str">
        <f>IF(AND(OR(LEFT(TH!L3191,2)="15",LEFT(TH!M3191,2)="15"),'152-CT'!$J$8=TH!F3191),"x","")</f>
        <v/>
      </c>
      <c r="W3191" s="525" t="str">
        <f>IF(AND(OR(LEFT(TH!L3191,2)="15",LEFT(TH!M3191,2)="15"),TK!$E$7=TH!F3191),"x","")</f>
        <v/>
      </c>
      <c r="X3191" s="525" t="str">
        <f>IF(AND('341-CT'!$E$9=H3191,OR(LEFT(L3191,3)=$X$7,LEFT(M3191,3)=$X$7)),"x","")</f>
        <v/>
      </c>
      <c r="Y3191" s="525" t="str">
        <f>IF(OR(TH!L3191=TH!$Y$7,M3191=TH!$Y$7),"x","")</f>
        <v/>
      </c>
      <c r="Z3191" s="525" t="str">
        <f>IF(AND(B3191&lt;=NKC!$N$8,B3191&gt;=NKC!$M$8),"x","")</f>
        <v/>
      </c>
      <c r="AA3191" s="526"/>
      <c r="AB3191" s="527"/>
    </row>
    <row r="3192" spans="1:30" s="576" customFormat="1" ht="15.75" customHeight="1">
      <c r="A3192" s="517" t="str">
        <f>IF(B3192&lt;&gt;"",IF(AND(B3192&gt;=_TM1,B3192&lt;=_TM2,OR(TH!L3192="1111",TH!M3192="1111")),TH!D3192,""),"")</f>
        <v/>
      </c>
      <c r="B3192" s="518">
        <f t="shared" si="287"/>
        <v>5</v>
      </c>
      <c r="C3192" s="571">
        <f t="shared" si="286"/>
        <v>42886</v>
      </c>
      <c r="D3192" s="571" t="s">
        <v>996</v>
      </c>
      <c r="E3192" s="571">
        <v>42886</v>
      </c>
      <c r="F3192" s="520" t="s">
        <v>712</v>
      </c>
      <c r="G3192" s="573" t="s">
        <v>1141</v>
      </c>
      <c r="H3192" s="574" t="s">
        <v>800</v>
      </c>
      <c r="I3192" s="523">
        <v>36</v>
      </c>
      <c r="J3192" s="523">
        <v>49520</v>
      </c>
      <c r="K3192" s="575">
        <f t="shared" si="288"/>
        <v>1782720</v>
      </c>
      <c r="L3192" s="591" t="s">
        <v>160</v>
      </c>
      <c r="M3192" s="591" t="s">
        <v>292</v>
      </c>
      <c r="N3192" s="525" t="str">
        <f>IF(AND('331-CT'!$E$7=TH!H3192,OR(L3192="331",M3192="331")),"331",IF(AND(OR(L3192="131",M3192="131"),H3192='131-CT'!$E$7),"131",""))</f>
        <v/>
      </c>
      <c r="O3192" s="525" t="str">
        <f>IF(AND($B3192&gt;='111'!$N$11,$B3192&lt;='111'!$O$11,OR($L3192=$O$7,$M3192=$O$7)),"x","")</f>
        <v/>
      </c>
      <c r="P3192" s="525" t="str">
        <f>IF(AND($L3192=$O$7,$B3192&lt;'111'!$N$11),"x","")</f>
        <v/>
      </c>
      <c r="Q3192" s="525" t="str">
        <f>IF(AND($M3192=$O$7,$B3192&lt;'111'!$N$11),"x","")</f>
        <v/>
      </c>
      <c r="R3192" s="525" t="str">
        <f>IF(ISERROR(FIND('112'!$M$9,G3192,1)),"",IF((AND(FIND('112'!$M$9,G3192,1)&gt;=1,$B3192&gt;='112'!$N$8,$B3192&lt;='112'!$O$8,OR($L3192='112'!$I$6,$M3192='112'!$I$6))),"x",""))</f>
        <v/>
      </c>
      <c r="S3192" s="525" t="str">
        <f>IF(ISERROR(FIND('112'!$M$9,G3192,1)),"",IF((AND(LEFT(G3192,2)=LEFT('112'!$M$9,2),B3192&lt;'112'!$N$8,$L3192='112'!$I$6)),"x",""))</f>
        <v/>
      </c>
      <c r="T3192" s="525" t="str">
        <f>IF(ISERROR(FIND('112'!$M$9,G3192,1)),"",IF((AND(RIGHT(G3192,2)=RIGHT('112'!$M$9,2),B3192&lt;'112'!$N$8,$M3192='112'!$I$6)),"x",""))</f>
        <v/>
      </c>
      <c r="U3192" s="525" t="str">
        <f>IF(AND(B3192&gt;='IN-NX'!$P$3,B3192&lt;='IN-NX'!$Q$3,'IN-NX'!$D$7=D3192,OR(LEFT(L3192,2)="15",AND(LEFT(M3192,2)&lt;&gt;"15",LEFT(M3192,2)&lt;&gt;"33"))),"x","")</f>
        <v/>
      </c>
      <c r="V3192" s="525" t="str">
        <f>IF(AND(OR(LEFT(TH!L3192,2)="15",LEFT(TH!M3192,2)="15"),'152-CT'!$J$8=TH!F3192),"x","")</f>
        <v/>
      </c>
      <c r="W3192" s="525" t="str">
        <f>IF(AND(OR(LEFT(TH!L3192,2)="15",LEFT(TH!M3192,2)="15"),TK!$E$7=TH!F3192),"x","")</f>
        <v/>
      </c>
      <c r="X3192" s="525" t="str">
        <f>IF(AND('341-CT'!$E$9=H3192,OR(LEFT(L3192,3)=$X$7,LEFT(M3192,3)=$X$7)),"x","")</f>
        <v/>
      </c>
      <c r="Y3192" s="525" t="str">
        <f>IF(OR(TH!L3192=TH!$Y$7,M3192=TH!$Y$7),"x","")</f>
        <v/>
      </c>
      <c r="Z3192" s="525" t="str">
        <f>IF(AND(B3192&lt;=NKC!$N$8,B3192&gt;=NKC!$M$8),"x","")</f>
        <v/>
      </c>
      <c r="AA3192" s="526"/>
      <c r="AB3192" s="527"/>
    </row>
    <row r="3193" spans="1:30" s="576" customFormat="1" ht="15.75" customHeight="1">
      <c r="A3193" s="517" t="str">
        <f>IF(B3193&lt;&gt;"",IF(AND(B3193&gt;=_TM1,B3193&lt;=_TM2,OR(TH!L3193="1111",TH!M3193="1111")),TH!D3193,""),"")</f>
        <v/>
      </c>
      <c r="B3193" s="518">
        <f t="shared" si="287"/>
        <v>5</v>
      </c>
      <c r="C3193" s="571">
        <f t="shared" si="286"/>
        <v>42886</v>
      </c>
      <c r="D3193" s="571" t="s">
        <v>996</v>
      </c>
      <c r="E3193" s="571">
        <v>42886</v>
      </c>
      <c r="F3193" s="520" t="s">
        <v>761</v>
      </c>
      <c r="G3193" s="573" t="s">
        <v>1141</v>
      </c>
      <c r="H3193" s="574" t="s">
        <v>800</v>
      </c>
      <c r="I3193" s="523">
        <v>20</v>
      </c>
      <c r="J3193" s="523">
        <v>38500</v>
      </c>
      <c r="K3193" s="575">
        <f t="shared" si="288"/>
        <v>770000</v>
      </c>
      <c r="L3193" s="591" t="s">
        <v>160</v>
      </c>
      <c r="M3193" s="591" t="s">
        <v>292</v>
      </c>
      <c r="N3193" s="525" t="str">
        <f>IF(AND('331-CT'!$E$7=TH!H3193,OR(L3193="331",M3193="331")),"331",IF(AND(OR(L3193="131",M3193="131"),H3193='131-CT'!$E$7),"131",""))</f>
        <v/>
      </c>
      <c r="O3193" s="525" t="str">
        <f>IF(AND($B3193&gt;='111'!$N$11,$B3193&lt;='111'!$O$11,OR($L3193=$O$7,$M3193=$O$7)),"x","")</f>
        <v/>
      </c>
      <c r="P3193" s="525" t="str">
        <f>IF(AND($L3193=$O$7,$B3193&lt;'111'!$N$11),"x","")</f>
        <v/>
      </c>
      <c r="Q3193" s="525" t="str">
        <f>IF(AND($M3193=$O$7,$B3193&lt;'111'!$N$11),"x","")</f>
        <v/>
      </c>
      <c r="R3193" s="525" t="str">
        <f>IF(ISERROR(FIND('112'!$M$9,G3193,1)),"",IF((AND(FIND('112'!$M$9,G3193,1)&gt;=1,$B3193&gt;='112'!$N$8,$B3193&lt;='112'!$O$8,OR($L3193='112'!$I$6,$M3193='112'!$I$6))),"x",""))</f>
        <v/>
      </c>
      <c r="S3193" s="525" t="str">
        <f>IF(ISERROR(FIND('112'!$M$9,G3193,1)),"",IF((AND(LEFT(G3193,2)=LEFT('112'!$M$9,2),B3193&lt;'112'!$N$8,$L3193='112'!$I$6)),"x",""))</f>
        <v/>
      </c>
      <c r="T3193" s="525" t="str">
        <f>IF(ISERROR(FIND('112'!$M$9,G3193,1)),"",IF((AND(RIGHT(G3193,2)=RIGHT('112'!$M$9,2),B3193&lt;'112'!$N$8,$M3193='112'!$I$6)),"x",""))</f>
        <v/>
      </c>
      <c r="U3193" s="525" t="str">
        <f>IF(AND(B3193&gt;='IN-NX'!$P$3,B3193&lt;='IN-NX'!$Q$3,'IN-NX'!$D$7=D3193,OR(LEFT(L3193,2)="15",AND(LEFT(M3193,2)&lt;&gt;"15",LEFT(M3193,2)&lt;&gt;"33"))),"x","")</f>
        <v/>
      </c>
      <c r="V3193" s="525" t="str">
        <f>IF(AND(OR(LEFT(TH!L3193,2)="15",LEFT(TH!M3193,2)="15"),'152-CT'!$J$8=TH!F3193),"x","")</f>
        <v/>
      </c>
      <c r="W3193" s="525" t="str">
        <f>IF(AND(OR(LEFT(TH!L3193,2)="15",LEFT(TH!M3193,2)="15"),TK!$E$7=TH!F3193),"x","")</f>
        <v/>
      </c>
      <c r="X3193" s="525" t="str">
        <f>IF(AND('341-CT'!$E$9=H3193,OR(LEFT(L3193,3)=$X$7,LEFT(M3193,3)=$X$7)),"x","")</f>
        <v/>
      </c>
      <c r="Y3193" s="525" t="str">
        <f>IF(OR(TH!L3193=TH!$Y$7,M3193=TH!$Y$7),"x","")</f>
        <v/>
      </c>
      <c r="Z3193" s="525" t="str">
        <f>IF(AND(B3193&lt;=NKC!$N$8,B3193&gt;=NKC!$M$8),"x","")</f>
        <v/>
      </c>
      <c r="AA3193" s="526"/>
      <c r="AB3193" s="527"/>
    </row>
    <row r="3194" spans="1:30" s="576" customFormat="1" ht="15.75" customHeight="1">
      <c r="A3194" s="517" t="str">
        <f>IF(B3194&lt;&gt;"",IF(AND(B3194&gt;=_TM1,B3194&lt;=_TM2,OR(TH!L3194="1111",TH!M3194="1111")),TH!D3194,""),"")</f>
        <v/>
      </c>
      <c r="B3194" s="518">
        <f t="shared" si="287"/>
        <v>5</v>
      </c>
      <c r="C3194" s="571">
        <f t="shared" si="286"/>
        <v>42886</v>
      </c>
      <c r="D3194" s="571" t="s">
        <v>996</v>
      </c>
      <c r="E3194" s="571">
        <v>42886</v>
      </c>
      <c r="F3194" s="520" t="s">
        <v>1170</v>
      </c>
      <c r="G3194" s="573" t="s">
        <v>1141</v>
      </c>
      <c r="H3194" s="574" t="s">
        <v>800</v>
      </c>
      <c r="I3194" s="523">
        <v>12</v>
      </c>
      <c r="J3194" s="523">
        <v>9850</v>
      </c>
      <c r="K3194" s="575">
        <f t="shared" si="288"/>
        <v>118200</v>
      </c>
      <c r="L3194" s="591" t="s">
        <v>160</v>
      </c>
      <c r="M3194" s="591" t="s">
        <v>292</v>
      </c>
      <c r="N3194" s="525" t="str">
        <f>IF(AND('331-CT'!$E$7=TH!H3194,OR(L3194="331",M3194="331")),"331",IF(AND(OR(L3194="131",M3194="131"),H3194='131-CT'!$E$7),"131",""))</f>
        <v/>
      </c>
      <c r="O3194" s="525" t="str">
        <f>IF(AND($B3194&gt;='111'!$N$11,$B3194&lt;='111'!$O$11,OR($L3194=$O$7,$M3194=$O$7)),"x","")</f>
        <v/>
      </c>
      <c r="P3194" s="525" t="str">
        <f>IF(AND($L3194=$O$7,$B3194&lt;'111'!$N$11),"x","")</f>
        <v/>
      </c>
      <c r="Q3194" s="525" t="str">
        <f>IF(AND($M3194=$O$7,$B3194&lt;'111'!$N$11),"x","")</f>
        <v/>
      </c>
      <c r="R3194" s="525" t="str">
        <f>IF(ISERROR(FIND('112'!$M$9,G3194,1)),"",IF((AND(FIND('112'!$M$9,G3194,1)&gt;=1,$B3194&gt;='112'!$N$8,$B3194&lt;='112'!$O$8,OR($L3194='112'!$I$6,$M3194='112'!$I$6))),"x",""))</f>
        <v/>
      </c>
      <c r="S3194" s="525" t="str">
        <f>IF(ISERROR(FIND('112'!$M$9,G3194,1)),"",IF((AND(LEFT(G3194,2)=LEFT('112'!$M$9,2),B3194&lt;'112'!$N$8,$L3194='112'!$I$6)),"x",""))</f>
        <v/>
      </c>
      <c r="T3194" s="525" t="str">
        <f>IF(ISERROR(FIND('112'!$M$9,G3194,1)),"",IF((AND(RIGHT(G3194,2)=RIGHT('112'!$M$9,2),B3194&lt;'112'!$N$8,$M3194='112'!$I$6)),"x",""))</f>
        <v/>
      </c>
      <c r="U3194" s="525" t="str">
        <f>IF(AND(B3194&gt;='IN-NX'!$P$3,B3194&lt;='IN-NX'!$Q$3,'IN-NX'!$D$7=D3194,OR(LEFT(L3194,2)="15",AND(LEFT(M3194,2)&lt;&gt;"15",LEFT(M3194,2)&lt;&gt;"33"))),"x","")</f>
        <v/>
      </c>
      <c r="V3194" s="525" t="str">
        <f>IF(AND(OR(LEFT(TH!L3194,2)="15",LEFT(TH!M3194,2)="15"),'152-CT'!$J$8=TH!F3194),"x","")</f>
        <v/>
      </c>
      <c r="W3194" s="525" t="str">
        <f>IF(AND(OR(LEFT(TH!L3194,2)="15",LEFT(TH!M3194,2)="15"),TK!$E$7=TH!F3194),"x","")</f>
        <v/>
      </c>
      <c r="X3194" s="525" t="str">
        <f>IF(AND('341-CT'!$E$9=H3194,OR(LEFT(L3194,3)=$X$7,LEFT(M3194,3)=$X$7)),"x","")</f>
        <v/>
      </c>
      <c r="Y3194" s="525" t="str">
        <f>IF(OR(TH!L3194=TH!$Y$7,M3194=TH!$Y$7),"x","")</f>
        <v/>
      </c>
      <c r="Z3194" s="525" t="str">
        <f>IF(AND(B3194&lt;=NKC!$N$8,B3194&gt;=NKC!$M$8),"x","")</f>
        <v/>
      </c>
      <c r="AA3194" s="526"/>
      <c r="AB3194" s="527"/>
    </row>
    <row r="3195" spans="1:30" s="576" customFormat="1" ht="15.75" customHeight="1">
      <c r="A3195" s="517" t="str">
        <f>IF(B3195&lt;&gt;"",IF(AND(B3195&gt;=_TM1,B3195&lt;=_TM2,OR(TH!L3195="1111",TH!M3195="1111")),TH!D3195,""),"")</f>
        <v/>
      </c>
      <c r="B3195" s="518">
        <f t="shared" si="287"/>
        <v>5</v>
      </c>
      <c r="C3195" s="571">
        <f t="shared" si="286"/>
        <v>42886</v>
      </c>
      <c r="D3195" s="571" t="s">
        <v>996</v>
      </c>
      <c r="E3195" s="571">
        <v>42886</v>
      </c>
      <c r="F3195" s="520" t="s">
        <v>1178</v>
      </c>
      <c r="G3195" s="573" t="s">
        <v>1141</v>
      </c>
      <c r="H3195" s="574" t="s">
        <v>800</v>
      </c>
      <c r="I3195" s="523">
        <v>6</v>
      </c>
      <c r="J3195" s="523">
        <v>10945</v>
      </c>
      <c r="K3195" s="575">
        <f t="shared" si="288"/>
        <v>65670</v>
      </c>
      <c r="L3195" s="591" t="s">
        <v>160</v>
      </c>
      <c r="M3195" s="591" t="s">
        <v>292</v>
      </c>
      <c r="N3195" s="525" t="str">
        <f>IF(AND('331-CT'!$E$7=TH!H3195,OR(L3195="331",M3195="331")),"331",IF(AND(OR(L3195="131",M3195="131"),H3195='131-CT'!$E$7),"131",""))</f>
        <v/>
      </c>
      <c r="O3195" s="525" t="str">
        <f>IF(AND($B3195&gt;='111'!$N$11,$B3195&lt;='111'!$O$11,OR($L3195=$O$7,$M3195=$O$7)),"x","")</f>
        <v/>
      </c>
      <c r="P3195" s="525" t="str">
        <f>IF(AND($L3195=$O$7,$B3195&lt;'111'!$N$11),"x","")</f>
        <v/>
      </c>
      <c r="Q3195" s="525" t="str">
        <f>IF(AND($M3195=$O$7,$B3195&lt;'111'!$N$11),"x","")</f>
        <v/>
      </c>
      <c r="R3195" s="525" t="str">
        <f>IF(ISERROR(FIND('112'!$M$9,G3195,1)),"",IF((AND(FIND('112'!$M$9,G3195,1)&gt;=1,$B3195&gt;='112'!$N$8,$B3195&lt;='112'!$O$8,OR($L3195='112'!$I$6,$M3195='112'!$I$6))),"x",""))</f>
        <v/>
      </c>
      <c r="S3195" s="525" t="str">
        <f>IF(ISERROR(FIND('112'!$M$9,G3195,1)),"",IF((AND(LEFT(G3195,2)=LEFT('112'!$M$9,2),B3195&lt;'112'!$N$8,$L3195='112'!$I$6)),"x",""))</f>
        <v/>
      </c>
      <c r="T3195" s="525" t="str">
        <f>IF(ISERROR(FIND('112'!$M$9,G3195,1)),"",IF((AND(RIGHT(G3195,2)=RIGHT('112'!$M$9,2),B3195&lt;'112'!$N$8,$M3195='112'!$I$6)),"x",""))</f>
        <v/>
      </c>
      <c r="U3195" s="525" t="str">
        <f>IF(AND(B3195&gt;='IN-NX'!$P$3,B3195&lt;='IN-NX'!$Q$3,'IN-NX'!$D$7=D3195,OR(LEFT(L3195,2)="15",AND(LEFT(M3195,2)&lt;&gt;"15",LEFT(M3195,2)&lt;&gt;"33"))),"x","")</f>
        <v/>
      </c>
      <c r="V3195" s="525" t="str">
        <f>IF(AND(OR(LEFT(TH!L3195,2)="15",LEFT(TH!M3195,2)="15"),'152-CT'!$J$8=TH!F3195),"x","")</f>
        <v/>
      </c>
      <c r="W3195" s="525" t="str">
        <f>IF(AND(OR(LEFT(TH!L3195,2)="15",LEFT(TH!M3195,2)="15"),TK!$E$7=TH!F3195),"x","")</f>
        <v/>
      </c>
      <c r="X3195" s="525" t="str">
        <f>IF(AND('341-CT'!$E$9=H3195,OR(LEFT(L3195,3)=$X$7,LEFT(M3195,3)=$X$7)),"x","")</f>
        <v/>
      </c>
      <c r="Y3195" s="525" t="str">
        <f>IF(OR(TH!L3195=TH!$Y$7,M3195=TH!$Y$7),"x","")</f>
        <v/>
      </c>
      <c r="Z3195" s="525" t="str">
        <f>IF(AND(B3195&lt;=NKC!$N$8,B3195&gt;=NKC!$M$8),"x","")</f>
        <v/>
      </c>
      <c r="AA3195" s="526"/>
      <c r="AB3195" s="527"/>
    </row>
    <row r="3196" spans="1:30" s="576" customFormat="1" ht="15.75" customHeight="1">
      <c r="A3196" s="517" t="str">
        <f>IF(B3196&lt;&gt;"",IF(AND(B3196&gt;=_TM1,B3196&lt;=_TM2,OR(TH!L3196="1111",TH!M3196="1111")),TH!D3196,""),"")</f>
        <v/>
      </c>
      <c r="B3196" s="518">
        <f t="shared" si="287"/>
        <v>5</v>
      </c>
      <c r="C3196" s="571">
        <f t="shared" si="286"/>
        <v>42886</v>
      </c>
      <c r="D3196" s="571" t="s">
        <v>996</v>
      </c>
      <c r="E3196" s="571">
        <v>42886</v>
      </c>
      <c r="F3196" s="520" t="s">
        <v>1179</v>
      </c>
      <c r="G3196" s="573" t="s">
        <v>1141</v>
      </c>
      <c r="H3196" s="574" t="s">
        <v>800</v>
      </c>
      <c r="I3196" s="523">
        <v>12</v>
      </c>
      <c r="J3196" s="523">
        <v>15558</v>
      </c>
      <c r="K3196" s="575">
        <f t="shared" si="288"/>
        <v>186696</v>
      </c>
      <c r="L3196" s="591" t="s">
        <v>160</v>
      </c>
      <c r="M3196" s="591" t="s">
        <v>292</v>
      </c>
      <c r="N3196" s="525" t="str">
        <f>IF(AND('331-CT'!$E$7=TH!H3196,OR(L3196="331",M3196="331")),"331",IF(AND(OR(L3196="131",M3196="131"),H3196='131-CT'!$E$7),"131",""))</f>
        <v/>
      </c>
      <c r="O3196" s="525" t="str">
        <f>IF(AND($B3196&gt;='111'!$N$11,$B3196&lt;='111'!$O$11,OR($L3196=$O$7,$M3196=$O$7)),"x","")</f>
        <v/>
      </c>
      <c r="P3196" s="525" t="str">
        <f>IF(AND($L3196=$O$7,$B3196&lt;'111'!$N$11),"x","")</f>
        <v/>
      </c>
      <c r="Q3196" s="525" t="str">
        <f>IF(AND($M3196=$O$7,$B3196&lt;'111'!$N$11),"x","")</f>
        <v/>
      </c>
      <c r="R3196" s="525" t="str">
        <f>IF(ISERROR(FIND('112'!$M$9,G3196,1)),"",IF((AND(FIND('112'!$M$9,G3196,1)&gt;=1,$B3196&gt;='112'!$N$8,$B3196&lt;='112'!$O$8,OR($L3196='112'!$I$6,$M3196='112'!$I$6))),"x",""))</f>
        <v/>
      </c>
      <c r="S3196" s="525" t="str">
        <f>IF(ISERROR(FIND('112'!$M$9,G3196,1)),"",IF((AND(LEFT(G3196,2)=LEFT('112'!$M$9,2),B3196&lt;'112'!$N$8,$L3196='112'!$I$6)),"x",""))</f>
        <v/>
      </c>
      <c r="T3196" s="525" t="str">
        <f>IF(ISERROR(FIND('112'!$M$9,G3196,1)),"",IF((AND(RIGHT(G3196,2)=RIGHT('112'!$M$9,2),B3196&lt;'112'!$N$8,$M3196='112'!$I$6)),"x",""))</f>
        <v/>
      </c>
      <c r="U3196" s="525" t="str">
        <f>IF(AND(B3196&gt;='IN-NX'!$P$3,B3196&lt;='IN-NX'!$Q$3,'IN-NX'!$D$7=D3196,OR(LEFT(L3196,2)="15",AND(LEFT(M3196,2)&lt;&gt;"15",LEFT(M3196,2)&lt;&gt;"33"))),"x","")</f>
        <v/>
      </c>
      <c r="V3196" s="525" t="str">
        <f>IF(AND(OR(LEFT(TH!L3196,2)="15",LEFT(TH!M3196,2)="15"),'152-CT'!$J$8=TH!F3196),"x","")</f>
        <v/>
      </c>
      <c r="W3196" s="525" t="str">
        <f>IF(AND(OR(LEFT(TH!L3196,2)="15",LEFT(TH!M3196,2)="15"),TK!$E$7=TH!F3196),"x","")</f>
        <v/>
      </c>
      <c r="X3196" s="525" t="str">
        <f>IF(AND('341-CT'!$E$9=H3196,OR(LEFT(L3196,3)=$X$7,LEFT(M3196,3)=$X$7)),"x","")</f>
        <v/>
      </c>
      <c r="Y3196" s="525" t="str">
        <f>IF(OR(TH!L3196=TH!$Y$7,M3196=TH!$Y$7),"x","")</f>
        <v/>
      </c>
      <c r="Z3196" s="525" t="str">
        <f>IF(AND(B3196&lt;=NKC!$N$8,B3196&gt;=NKC!$M$8),"x","")</f>
        <v/>
      </c>
      <c r="AA3196" s="526"/>
      <c r="AB3196" s="527"/>
    </row>
    <row r="3197" spans="1:30" s="576" customFormat="1" ht="15.75" customHeight="1">
      <c r="A3197" s="517" t="str">
        <f>IF(B3197&lt;&gt;"",IF(AND(B3197&gt;=_TM1,B3197&lt;=_TM2,OR(TH!L3197="1111",TH!M3197="1111")),TH!D3197,""),"")</f>
        <v/>
      </c>
      <c r="B3197" s="518">
        <f t="shared" si="287"/>
        <v>5</v>
      </c>
      <c r="C3197" s="571">
        <f t="shared" si="286"/>
        <v>42886</v>
      </c>
      <c r="D3197" s="571" t="s">
        <v>996</v>
      </c>
      <c r="E3197" s="571">
        <v>42886</v>
      </c>
      <c r="F3197" s="572" t="s">
        <v>713</v>
      </c>
      <c r="G3197" s="573" t="s">
        <v>1141</v>
      </c>
      <c r="H3197" s="574" t="s">
        <v>800</v>
      </c>
      <c r="I3197" s="523">
        <v>30</v>
      </c>
      <c r="J3197" s="523">
        <v>20000</v>
      </c>
      <c r="K3197" s="575">
        <f t="shared" si="288"/>
        <v>600000</v>
      </c>
      <c r="L3197" s="591" t="s">
        <v>160</v>
      </c>
      <c r="M3197" s="591" t="s">
        <v>292</v>
      </c>
      <c r="N3197" s="525" t="str">
        <f>IF(AND('331-CT'!$E$7=TH!H3197,OR(L3197="331",M3197="331")),"331",IF(AND(OR(L3197="131",M3197="131"),H3197='131-CT'!$E$7),"131",""))</f>
        <v/>
      </c>
      <c r="O3197" s="525" t="str">
        <f>IF(AND($B3197&gt;='111'!$N$11,$B3197&lt;='111'!$O$11,OR($L3197=$O$7,$M3197=$O$7)),"x","")</f>
        <v/>
      </c>
      <c r="P3197" s="525" t="str">
        <f>IF(AND($L3197=$O$7,$B3197&lt;'111'!$N$11),"x","")</f>
        <v/>
      </c>
      <c r="Q3197" s="525" t="str">
        <f>IF(AND($M3197=$O$7,$B3197&lt;'111'!$N$11),"x","")</f>
        <v/>
      </c>
      <c r="R3197" s="525" t="str">
        <f>IF(ISERROR(FIND('112'!$M$9,G3197,1)),"",IF((AND(FIND('112'!$M$9,G3197,1)&gt;=1,$B3197&gt;='112'!$N$8,$B3197&lt;='112'!$O$8,OR($L3197='112'!$I$6,$M3197='112'!$I$6))),"x",""))</f>
        <v/>
      </c>
      <c r="S3197" s="525" t="str">
        <f>IF(ISERROR(FIND('112'!$M$9,G3197,1)),"",IF((AND(LEFT(G3197,2)=LEFT('112'!$M$9,2),B3197&lt;'112'!$N$8,$L3197='112'!$I$6)),"x",""))</f>
        <v/>
      </c>
      <c r="T3197" s="525" t="str">
        <f>IF(ISERROR(FIND('112'!$M$9,G3197,1)),"",IF((AND(RIGHT(G3197,2)=RIGHT('112'!$M$9,2),B3197&lt;'112'!$N$8,$M3197='112'!$I$6)),"x",""))</f>
        <v/>
      </c>
      <c r="U3197" s="525" t="str">
        <f>IF(AND(B3197&gt;='IN-NX'!$P$3,B3197&lt;='IN-NX'!$Q$3,'IN-NX'!$D$7=D3197,OR(LEFT(L3197,2)="15",AND(LEFT(M3197,2)&lt;&gt;"15",LEFT(M3197,2)&lt;&gt;"33"))),"x","")</f>
        <v/>
      </c>
      <c r="V3197" s="525" t="str">
        <f>IF(AND(OR(LEFT(TH!L3197,2)="15",LEFT(TH!M3197,2)="15"),'152-CT'!$J$8=TH!F3197),"x","")</f>
        <v/>
      </c>
      <c r="W3197" s="525" t="str">
        <f>IF(AND(OR(LEFT(TH!L3197,2)="15",LEFT(TH!M3197,2)="15"),TK!$E$7=TH!F3197),"x","")</f>
        <v/>
      </c>
      <c r="X3197" s="525" t="str">
        <f>IF(AND('341-CT'!$E$9=H3197,OR(LEFT(L3197,3)=$X$7,LEFT(M3197,3)=$X$7)),"x","")</f>
        <v/>
      </c>
      <c r="Y3197" s="525" t="str">
        <f>IF(OR(TH!L3197=TH!$Y$7,M3197=TH!$Y$7),"x","")</f>
        <v/>
      </c>
      <c r="Z3197" s="525" t="str">
        <f>IF(AND(B3197&lt;=NKC!$N$8,B3197&gt;=NKC!$M$8),"x","")</f>
        <v/>
      </c>
      <c r="AA3197" s="526"/>
      <c r="AB3197" s="527"/>
    </row>
    <row r="3198" spans="1:30" s="704" customFormat="1" ht="15.75" customHeight="1">
      <c r="A3198" s="517" t="str">
        <f>IF(B3198&lt;&gt;"",IF(AND(B3198&gt;=_TM1,B3198&lt;=_TM2,OR(TH!L3198="1111",TH!M3198="1111")),TH!D3198,""),"")</f>
        <v/>
      </c>
      <c r="B3198" s="698">
        <f t="shared" ref="B3198:B3266" si="289">IF(C3198&lt;&gt;"",MONTH(C3198),"")</f>
        <v>5</v>
      </c>
      <c r="C3198" s="699">
        <f t="shared" ref="C3198:C3266" si="290">E3198</f>
        <v>42856</v>
      </c>
      <c r="D3198" s="699" t="s">
        <v>997</v>
      </c>
      <c r="E3198" s="699">
        <v>42856</v>
      </c>
      <c r="F3198" s="700" t="s">
        <v>1032</v>
      </c>
      <c r="G3198" s="701" t="s">
        <v>1125</v>
      </c>
      <c r="H3198" s="694" t="s">
        <v>801</v>
      </c>
      <c r="I3198" s="695">
        <v>3632</v>
      </c>
      <c r="J3198" s="695">
        <v>12142</v>
      </c>
      <c r="K3198" s="696">
        <f t="shared" ref="K3198:K3213" si="291">ROUND(I3198*J3198,0)</f>
        <v>44099744</v>
      </c>
      <c r="L3198" s="697" t="s">
        <v>158</v>
      </c>
      <c r="M3198" s="697" t="s">
        <v>292</v>
      </c>
      <c r="N3198" s="525" t="str">
        <f>IF(AND('331-CT'!$E$7=TH!H3198,OR(L3198="331",M3198="331")),"331",IF(AND(OR(L3198="131",M3198="131"),H3198='131-CT'!$E$7),"131",""))</f>
        <v/>
      </c>
      <c r="O3198" s="525" t="str">
        <f>IF(AND($B3198&gt;='111'!$N$11,$B3198&lt;='111'!$O$11,OR($L3198=$O$7,$M3198=$O$7)),"x","")</f>
        <v/>
      </c>
      <c r="P3198" s="525" t="str">
        <f>IF(AND($L3198=$O$7,$B3198&lt;'111'!$N$11),"x","")</f>
        <v/>
      </c>
      <c r="Q3198" s="525" t="str">
        <f>IF(AND($M3198=$O$7,$B3198&lt;'111'!$N$11),"x","")</f>
        <v/>
      </c>
      <c r="R3198" s="525" t="str">
        <f>IF(ISERROR(FIND('112'!$M$9,G3198,1)),"",IF((AND(FIND('112'!$M$9,G3198,1)&gt;=1,$B3198&gt;='112'!$N$8,$B3198&lt;='112'!$O$8,OR($L3198='112'!$I$6,$M3198='112'!$I$6))),"x",""))</f>
        <v/>
      </c>
      <c r="S3198" s="525" t="str">
        <f>IF(ISERROR(FIND('112'!$M$9,G3198,1)),"",IF((AND(LEFT(G3198,2)=LEFT('112'!$M$9,2),B3198&lt;'112'!$N$8,$L3198='112'!$I$6)),"x",""))</f>
        <v/>
      </c>
      <c r="T3198" s="525" t="str">
        <f>IF(ISERROR(FIND('112'!$M$9,G3198,1)),"",IF((AND(RIGHT(G3198,2)=RIGHT('112'!$M$9,2),B3198&lt;'112'!$N$8,$M3198='112'!$I$6)),"x",""))</f>
        <v/>
      </c>
      <c r="U3198" s="525" t="str">
        <f>IF(AND(B3198&gt;='IN-NX'!$P$3,B3198&lt;='IN-NX'!$Q$3,'IN-NX'!$D$7=D3198,OR(LEFT(L3198,2)="15",AND(LEFT(M3198,2)&lt;&gt;"15",LEFT(M3198,2)&lt;&gt;"33"))),"x","")</f>
        <v/>
      </c>
      <c r="V3198" s="525" t="str">
        <f>IF(AND(OR(LEFT(TH!L3198,2)="15",LEFT(TH!M3198,2)="15"),'152-CT'!$J$8=TH!F3198),"x","")</f>
        <v/>
      </c>
      <c r="W3198" s="525" t="str">
        <f>IF(AND(OR(LEFT(TH!L3198,2)="15",LEFT(TH!M3198,2)="15"),TK!$E$7=TH!F3198),"x","")</f>
        <v/>
      </c>
      <c r="X3198" s="525" t="str">
        <f>IF(AND('341-CT'!$E$9=H3198,OR(LEFT(L3198,3)=$X$7,LEFT(M3198,3)=$X$7)),"x","")</f>
        <v/>
      </c>
      <c r="Y3198" s="525" t="str">
        <f>IF(OR(TH!L3198=TH!$Y$7,M3198=TH!$Y$7),"x","")</f>
        <v/>
      </c>
      <c r="Z3198" s="525" t="str">
        <f>IF(AND(B3198&lt;=NKC!$N$8,B3198&gt;=NKC!$M$8),"x","")</f>
        <v/>
      </c>
      <c r="AA3198" s="702"/>
      <c r="AB3198" s="703"/>
    </row>
    <row r="3199" spans="1:30" s="704" customFormat="1" ht="15.75" customHeight="1">
      <c r="A3199" s="517" t="str">
        <f>IF(B3199&lt;&gt;"",IF(AND(B3199&gt;=_TM1,B3199&lt;=_TM2,OR(TH!L3199="1111",TH!M3199="1111")),TH!D3199,""),"")</f>
        <v/>
      </c>
      <c r="B3199" s="698">
        <f t="shared" si="289"/>
        <v>5</v>
      </c>
      <c r="C3199" s="699">
        <f t="shared" si="290"/>
        <v>42856</v>
      </c>
      <c r="D3199" s="699" t="s">
        <v>997</v>
      </c>
      <c r="E3199" s="715">
        <v>42856</v>
      </c>
      <c r="F3199" s="706" t="s">
        <v>400</v>
      </c>
      <c r="G3199" s="716" t="s">
        <v>1125</v>
      </c>
      <c r="H3199" s="694" t="s">
        <v>801</v>
      </c>
      <c r="I3199" s="695">
        <v>50</v>
      </c>
      <c r="J3199" s="695">
        <v>9068</v>
      </c>
      <c r="K3199" s="696">
        <f t="shared" si="291"/>
        <v>453400</v>
      </c>
      <c r="L3199" s="697" t="s">
        <v>158</v>
      </c>
      <c r="M3199" s="697" t="s">
        <v>292</v>
      </c>
      <c r="N3199" s="525" t="str">
        <f>IF(AND('331-CT'!$E$7=TH!H3199,OR(L3199="331",M3199="331")),"331",IF(AND(OR(L3199="131",M3199="131"),H3199='131-CT'!$E$7),"131",""))</f>
        <v/>
      </c>
      <c r="O3199" s="525" t="str">
        <f>IF(AND($B3199&gt;='111'!$N$11,$B3199&lt;='111'!$O$11,OR($L3199=$O$7,$M3199=$O$7)),"x","")</f>
        <v/>
      </c>
      <c r="P3199" s="525" t="str">
        <f>IF(AND($L3199=$O$7,$B3199&lt;'111'!$N$11),"x","")</f>
        <v/>
      </c>
      <c r="Q3199" s="525" t="str">
        <f>IF(AND($M3199=$O$7,$B3199&lt;'111'!$N$11),"x","")</f>
        <v/>
      </c>
      <c r="R3199" s="525" t="str">
        <f>IF(ISERROR(FIND('112'!$M$9,G3199,1)),"",IF((AND(FIND('112'!$M$9,G3199,1)&gt;=1,$B3199&gt;='112'!$N$8,$B3199&lt;='112'!$O$8,OR($L3199='112'!$I$6,$M3199='112'!$I$6))),"x",""))</f>
        <v/>
      </c>
      <c r="S3199" s="525" t="str">
        <f>IF(ISERROR(FIND('112'!$M$9,G3199,1)),"",IF((AND(LEFT(G3199,2)=LEFT('112'!$M$9,2),B3199&lt;'112'!$N$8,$L3199='112'!$I$6)),"x",""))</f>
        <v/>
      </c>
      <c r="T3199" s="525" t="str">
        <f>IF(ISERROR(FIND('112'!$M$9,G3199,1)),"",IF((AND(RIGHT(G3199,2)=RIGHT('112'!$M$9,2),B3199&lt;'112'!$N$8,$M3199='112'!$I$6)),"x",""))</f>
        <v/>
      </c>
      <c r="U3199" s="525" t="str">
        <f>IF(AND(B3199&gt;='IN-NX'!$P$3,B3199&lt;='IN-NX'!$Q$3,'IN-NX'!$D$7=D3199,OR(LEFT(L3199,2)="15",AND(LEFT(M3199,2)&lt;&gt;"15",LEFT(M3199,2)&lt;&gt;"33"))),"x","")</f>
        <v/>
      </c>
      <c r="V3199" s="525" t="str">
        <f>IF(AND(OR(LEFT(TH!L3199,2)="15",LEFT(TH!M3199,2)="15"),'152-CT'!$J$8=TH!F3199),"x","")</f>
        <v/>
      </c>
      <c r="W3199" s="525" t="str">
        <f>IF(AND(OR(LEFT(TH!L3199,2)="15",LEFT(TH!M3199,2)="15"),TK!$E$7=TH!F3199),"x","")</f>
        <v/>
      </c>
      <c r="X3199" s="525" t="str">
        <f>IF(AND('341-CT'!$E$9=H3199,OR(LEFT(L3199,3)=$X$7,LEFT(M3199,3)=$X$7)),"x","")</f>
        <v/>
      </c>
      <c r="Y3199" s="525" t="str">
        <f>IF(OR(TH!L3199=TH!$Y$7,M3199=TH!$Y$7),"x","")</f>
        <v/>
      </c>
      <c r="Z3199" s="525" t="str">
        <f>IF(AND(B3199&lt;=NKC!$N$8,B3199&gt;=NKC!$M$8),"x","")</f>
        <v/>
      </c>
      <c r="AA3199" s="702"/>
      <c r="AB3199" s="703"/>
      <c r="AD3199" s="703"/>
    </row>
    <row r="3200" spans="1:30" s="704" customFormat="1" ht="15.75" customHeight="1">
      <c r="A3200" s="517" t="str">
        <f>IF(B3200&lt;&gt;"",IF(AND(B3200&gt;=_TM1,B3200&lt;=_TM2,OR(TH!L3200="1111",TH!M3200="1111")),TH!D3200,""),"")</f>
        <v/>
      </c>
      <c r="B3200" s="698">
        <f t="shared" ref="B3200:B3203" si="292">IF(C3200&lt;&gt;"",MONTH(C3200),"")</f>
        <v>5</v>
      </c>
      <c r="C3200" s="699">
        <f t="shared" ref="C3200:C3203" si="293">E3200</f>
        <v>42868</v>
      </c>
      <c r="D3200" s="699" t="s">
        <v>997</v>
      </c>
      <c r="E3200" s="715">
        <v>42868</v>
      </c>
      <c r="F3200" s="706" t="s">
        <v>312</v>
      </c>
      <c r="G3200" s="716" t="s">
        <v>1220</v>
      </c>
      <c r="H3200" s="694" t="s">
        <v>801</v>
      </c>
      <c r="I3200" s="695">
        <v>140</v>
      </c>
      <c r="J3200" s="695">
        <v>15528</v>
      </c>
      <c r="K3200" s="696">
        <f t="shared" ref="K3200:K3203" si="294">ROUND(I3200*J3200,0)</f>
        <v>2173920</v>
      </c>
      <c r="L3200" s="697" t="s">
        <v>158</v>
      </c>
      <c r="M3200" s="697" t="s">
        <v>292</v>
      </c>
      <c r="N3200" s="525" t="str">
        <f>IF(AND('331-CT'!$E$7=TH!H3200,OR(L3200="331",M3200="331")),"331",IF(AND(OR(L3200="131",M3200="131"),H3200='131-CT'!$E$7),"131",""))</f>
        <v/>
      </c>
      <c r="O3200" s="525" t="str">
        <f>IF(AND($B3200&gt;='111'!$N$11,$B3200&lt;='111'!$O$11,OR($L3200=$O$7,$M3200=$O$7)),"x","")</f>
        <v/>
      </c>
      <c r="P3200" s="525" t="str">
        <f>IF(AND($L3200=$O$7,$B3200&lt;'111'!$N$11),"x","")</f>
        <v/>
      </c>
      <c r="Q3200" s="525" t="str">
        <f>IF(AND($M3200=$O$7,$B3200&lt;'111'!$N$11),"x","")</f>
        <v/>
      </c>
      <c r="R3200" s="525" t="str">
        <f>IF(ISERROR(FIND('112'!$M$9,G3200,1)),"",IF((AND(FIND('112'!$M$9,G3200,1)&gt;=1,$B3200&gt;='112'!$N$8,$B3200&lt;='112'!$O$8,OR($L3200='112'!$I$6,$M3200='112'!$I$6))),"x",""))</f>
        <v/>
      </c>
      <c r="S3200" s="525" t="str">
        <f>IF(ISERROR(FIND('112'!$M$9,G3200,1)),"",IF((AND(LEFT(G3200,2)=LEFT('112'!$M$9,2),B3200&lt;'112'!$N$8,$L3200='112'!$I$6)),"x",""))</f>
        <v/>
      </c>
      <c r="T3200" s="525" t="str">
        <f>IF(ISERROR(FIND('112'!$M$9,G3200,1)),"",IF((AND(RIGHT(G3200,2)=RIGHT('112'!$M$9,2),B3200&lt;'112'!$N$8,$M3200='112'!$I$6)),"x",""))</f>
        <v/>
      </c>
      <c r="U3200" s="525" t="str">
        <f>IF(AND(B3200&gt;='IN-NX'!$P$3,B3200&lt;='IN-NX'!$Q$3,'IN-NX'!$D$7=D3200,OR(LEFT(L3200,2)="15",AND(LEFT(M3200,2)&lt;&gt;"15",LEFT(M3200,2)&lt;&gt;"33"))),"x","")</f>
        <v/>
      </c>
      <c r="V3200" s="525" t="str">
        <f>IF(AND(OR(LEFT(TH!L3200,2)="15",LEFT(TH!M3200,2)="15"),'152-CT'!$J$8=TH!F3200),"x","")</f>
        <v/>
      </c>
      <c r="W3200" s="525" t="str">
        <f>IF(AND(OR(LEFT(TH!L3200,2)="15",LEFT(TH!M3200,2)="15"),TK!$E$7=TH!F3200),"x","")</f>
        <v/>
      </c>
      <c r="X3200" s="525" t="str">
        <f>IF(AND('341-CT'!$E$9=H3200,OR(LEFT(L3200,3)=$X$7,LEFT(M3200,3)=$X$7)),"x","")</f>
        <v/>
      </c>
      <c r="Y3200" s="525" t="str">
        <f>IF(OR(TH!L3200=TH!$Y$7,M3200=TH!$Y$7),"x","")</f>
        <v/>
      </c>
      <c r="Z3200" s="525" t="str">
        <f>IF(AND(B3200&lt;=NKC!$N$8,B3200&gt;=NKC!$M$8),"x","")</f>
        <v/>
      </c>
      <c r="AA3200" s="702"/>
      <c r="AD3200" s="703"/>
    </row>
    <row r="3201" spans="1:30" s="704" customFormat="1" ht="15.75" customHeight="1">
      <c r="A3201" s="517" t="str">
        <f>IF(B3201&lt;&gt;"",IF(AND(B3201&gt;=_TM1,B3201&lt;=_TM2,OR(TH!L3201="1111",TH!M3201="1111")),TH!D3201,""),"")</f>
        <v/>
      </c>
      <c r="B3201" s="698">
        <f t="shared" ref="B3201" si="295">IF(C3201&lt;&gt;"",MONTH(C3201),"")</f>
        <v>5</v>
      </c>
      <c r="C3201" s="699">
        <f t="shared" ref="C3201" si="296">E3201</f>
        <v>42868</v>
      </c>
      <c r="D3201" s="699" t="s">
        <v>997</v>
      </c>
      <c r="E3201" s="715">
        <v>42868</v>
      </c>
      <c r="F3201" s="706" t="s">
        <v>431</v>
      </c>
      <c r="G3201" s="701" t="s">
        <v>1220</v>
      </c>
      <c r="H3201" s="694" t="s">
        <v>801</v>
      </c>
      <c r="I3201" s="695">
        <v>167</v>
      </c>
      <c r="J3201" s="695">
        <v>16796</v>
      </c>
      <c r="K3201" s="696">
        <f t="shared" ref="K3201" si="297">ROUND(I3201*J3201,0)</f>
        <v>2804932</v>
      </c>
      <c r="L3201" s="697" t="s">
        <v>158</v>
      </c>
      <c r="M3201" s="697" t="s">
        <v>292</v>
      </c>
      <c r="N3201" s="525" t="str">
        <f>IF(AND('331-CT'!$E$7=TH!H3201,OR(L3201="331",M3201="331")),"331",IF(AND(OR(L3201="131",M3201="131"),H3201='131-CT'!$E$7),"131",""))</f>
        <v/>
      </c>
      <c r="O3201" s="525" t="str">
        <f>IF(AND($B3201&gt;='111'!$N$11,$B3201&lt;='111'!$O$11,OR($L3201=$O$7,$M3201=$O$7)),"x","")</f>
        <v/>
      </c>
      <c r="P3201" s="525" t="str">
        <f>IF(AND($L3201=$O$7,$B3201&lt;'111'!$N$11),"x","")</f>
        <v/>
      </c>
      <c r="Q3201" s="525" t="str">
        <f>IF(AND($M3201=$O$7,$B3201&lt;'111'!$N$11),"x","")</f>
        <v/>
      </c>
      <c r="R3201" s="525" t="str">
        <f>IF(ISERROR(FIND('112'!$M$9,G3201,1)),"",IF((AND(FIND('112'!$M$9,G3201,1)&gt;=1,$B3201&gt;='112'!$N$8,$B3201&lt;='112'!$O$8,OR($L3201='112'!$I$6,$M3201='112'!$I$6))),"x",""))</f>
        <v/>
      </c>
      <c r="S3201" s="525" t="str">
        <f>IF(ISERROR(FIND('112'!$M$9,G3201,1)),"",IF((AND(LEFT(G3201,2)=LEFT('112'!$M$9,2),B3201&lt;'112'!$N$8,$L3201='112'!$I$6)),"x",""))</f>
        <v/>
      </c>
      <c r="T3201" s="525" t="str">
        <f>IF(ISERROR(FIND('112'!$M$9,G3201,1)),"",IF((AND(RIGHT(G3201,2)=RIGHT('112'!$M$9,2),B3201&lt;'112'!$N$8,$M3201='112'!$I$6)),"x",""))</f>
        <v/>
      </c>
      <c r="U3201" s="525" t="str">
        <f>IF(AND(B3201&gt;='IN-NX'!$P$3,B3201&lt;='IN-NX'!$Q$3,'IN-NX'!$D$7=D3201,OR(LEFT(L3201,2)="15",AND(LEFT(M3201,2)&lt;&gt;"15",LEFT(M3201,2)&lt;&gt;"33"))),"x","")</f>
        <v/>
      </c>
      <c r="V3201" s="525" t="str">
        <f>IF(AND(OR(LEFT(TH!L3201,2)="15",LEFT(TH!M3201,2)="15"),'152-CT'!$J$8=TH!F3201),"x","")</f>
        <v/>
      </c>
      <c r="W3201" s="525" t="str">
        <f>IF(AND(OR(LEFT(TH!L3201,2)="15",LEFT(TH!M3201,2)="15"),TK!$E$7=TH!F3201),"x","")</f>
        <v/>
      </c>
      <c r="X3201" s="525" t="str">
        <f>IF(AND('341-CT'!$E$9=H3201,OR(LEFT(L3201,3)=$X$7,LEFT(M3201,3)=$X$7)),"x","")</f>
        <v/>
      </c>
      <c r="Y3201" s="525" t="str">
        <f>IF(OR(TH!L3201=TH!$Y$7,M3201=TH!$Y$7),"x","")</f>
        <v/>
      </c>
      <c r="Z3201" s="525" t="str">
        <f>IF(AND(B3201&lt;=NKC!$N$8,B3201&gt;=NKC!$M$8),"x","")</f>
        <v/>
      </c>
      <c r="AA3201" s="702"/>
      <c r="AB3201" s="703"/>
    </row>
    <row r="3202" spans="1:30" s="704" customFormat="1" ht="15.75" customHeight="1">
      <c r="A3202" s="517" t="str">
        <f>IF(B3202&lt;&gt;"",IF(AND(B3202&gt;=_TM1,B3202&lt;=_TM2,OR(TH!L3202="1111",TH!M3202="1111")),TH!D3202,""),"")</f>
        <v/>
      </c>
      <c r="B3202" s="698">
        <f t="shared" si="292"/>
        <v>5</v>
      </c>
      <c r="C3202" s="699">
        <f t="shared" si="293"/>
        <v>42868</v>
      </c>
      <c r="D3202" s="699" t="s">
        <v>997</v>
      </c>
      <c r="E3202" s="715">
        <v>42868</v>
      </c>
      <c r="F3202" s="706" t="s">
        <v>581</v>
      </c>
      <c r="G3202" s="701" t="s">
        <v>1220</v>
      </c>
      <c r="H3202" s="694" t="s">
        <v>801</v>
      </c>
      <c r="I3202" s="695">
        <v>200</v>
      </c>
      <c r="J3202" s="695">
        <v>14497</v>
      </c>
      <c r="K3202" s="696">
        <f t="shared" si="294"/>
        <v>2899400</v>
      </c>
      <c r="L3202" s="697" t="s">
        <v>158</v>
      </c>
      <c r="M3202" s="697" t="s">
        <v>292</v>
      </c>
      <c r="N3202" s="525" t="str">
        <f>IF(AND('331-CT'!$E$7=TH!H3202,OR(L3202="331",M3202="331")),"331",IF(AND(OR(L3202="131",M3202="131"),H3202='131-CT'!$E$7),"131",""))</f>
        <v/>
      </c>
      <c r="O3202" s="525" t="str">
        <f>IF(AND($B3202&gt;='111'!$N$11,$B3202&lt;='111'!$O$11,OR($L3202=$O$7,$M3202=$O$7)),"x","")</f>
        <v/>
      </c>
      <c r="P3202" s="525" t="str">
        <f>IF(AND($L3202=$O$7,$B3202&lt;'111'!$N$11),"x","")</f>
        <v/>
      </c>
      <c r="Q3202" s="525" t="str">
        <f>IF(AND($M3202=$O$7,$B3202&lt;'111'!$N$11),"x","")</f>
        <v/>
      </c>
      <c r="R3202" s="525" t="str">
        <f>IF(ISERROR(FIND('112'!$M$9,G3202,1)),"",IF((AND(FIND('112'!$M$9,G3202,1)&gt;=1,$B3202&gt;='112'!$N$8,$B3202&lt;='112'!$O$8,OR($L3202='112'!$I$6,$M3202='112'!$I$6))),"x",""))</f>
        <v/>
      </c>
      <c r="S3202" s="525" t="str">
        <f>IF(ISERROR(FIND('112'!$M$9,G3202,1)),"",IF((AND(LEFT(G3202,2)=LEFT('112'!$M$9,2),B3202&lt;'112'!$N$8,$L3202='112'!$I$6)),"x",""))</f>
        <v/>
      </c>
      <c r="T3202" s="525" t="str">
        <f>IF(ISERROR(FIND('112'!$M$9,G3202,1)),"",IF((AND(RIGHT(G3202,2)=RIGHT('112'!$M$9,2),B3202&lt;'112'!$N$8,$M3202='112'!$I$6)),"x",""))</f>
        <v/>
      </c>
      <c r="U3202" s="525" t="str">
        <f>IF(AND(B3202&gt;='IN-NX'!$P$3,B3202&lt;='IN-NX'!$Q$3,'IN-NX'!$D$7=D3202,OR(LEFT(L3202,2)="15",AND(LEFT(M3202,2)&lt;&gt;"15",LEFT(M3202,2)&lt;&gt;"33"))),"x","")</f>
        <v/>
      </c>
      <c r="V3202" s="525" t="str">
        <f>IF(AND(OR(LEFT(TH!L3202,2)="15",LEFT(TH!M3202,2)="15"),'152-CT'!$J$8=TH!F3202),"x","")</f>
        <v/>
      </c>
      <c r="W3202" s="525" t="str">
        <f>IF(AND(OR(LEFT(TH!L3202,2)="15",LEFT(TH!M3202,2)="15"),TK!$E$7=TH!F3202),"x","")</f>
        <v/>
      </c>
      <c r="X3202" s="525" t="str">
        <f>IF(AND('341-CT'!$E$9=H3202,OR(LEFT(L3202,3)=$X$7,LEFT(M3202,3)=$X$7)),"x","")</f>
        <v/>
      </c>
      <c r="Y3202" s="525" t="str">
        <f>IF(OR(TH!L3202=TH!$Y$7,M3202=TH!$Y$7),"x","")</f>
        <v/>
      </c>
      <c r="Z3202" s="525" t="str">
        <f>IF(AND(B3202&lt;=NKC!$N$8,B3202&gt;=NKC!$M$8),"x","")</f>
        <v/>
      </c>
      <c r="AA3202" s="702"/>
      <c r="AB3202" s="703"/>
    </row>
    <row r="3203" spans="1:30" s="704" customFormat="1" ht="15.75" customHeight="1">
      <c r="A3203" s="517" t="str">
        <f>IF(B3203&lt;&gt;"",IF(AND(B3203&gt;=_TM1,B3203&lt;=_TM2,OR(TH!L3203="1111",TH!M3203="1111")),TH!D3203,""),"")</f>
        <v/>
      </c>
      <c r="B3203" s="698">
        <f t="shared" si="292"/>
        <v>5</v>
      </c>
      <c r="C3203" s="699">
        <f t="shared" si="293"/>
        <v>42868</v>
      </c>
      <c r="D3203" s="699" t="s">
        <v>997</v>
      </c>
      <c r="E3203" s="715">
        <v>42868</v>
      </c>
      <c r="F3203" s="700" t="s">
        <v>377</v>
      </c>
      <c r="G3203" s="701" t="s">
        <v>1220</v>
      </c>
      <c r="H3203" s="694" t="s">
        <v>801</v>
      </c>
      <c r="I3203" s="695">
        <v>500</v>
      </c>
      <c r="J3203" s="695">
        <v>16102</v>
      </c>
      <c r="K3203" s="696">
        <f t="shared" si="294"/>
        <v>8051000</v>
      </c>
      <c r="L3203" s="697" t="s">
        <v>158</v>
      </c>
      <c r="M3203" s="697" t="s">
        <v>292</v>
      </c>
      <c r="N3203" s="525" t="str">
        <f>IF(AND('331-CT'!$E$7=TH!H3203,OR(L3203="331",M3203="331")),"331",IF(AND(OR(L3203="131",M3203="131"),H3203='131-CT'!$E$7),"131",""))</f>
        <v/>
      </c>
      <c r="O3203" s="525" t="str">
        <f>IF(AND($B3203&gt;='111'!$N$11,$B3203&lt;='111'!$O$11,OR($L3203=$O$7,$M3203=$O$7)),"x","")</f>
        <v/>
      </c>
      <c r="P3203" s="525" t="str">
        <f>IF(AND($L3203=$O$7,$B3203&lt;'111'!$N$11),"x","")</f>
        <v/>
      </c>
      <c r="Q3203" s="525" t="str">
        <f>IF(AND($M3203=$O$7,$B3203&lt;'111'!$N$11),"x","")</f>
        <v/>
      </c>
      <c r="R3203" s="525" t="str">
        <f>IF(ISERROR(FIND('112'!$M$9,G3203,1)),"",IF((AND(FIND('112'!$M$9,G3203,1)&gt;=1,$B3203&gt;='112'!$N$8,$B3203&lt;='112'!$O$8,OR($L3203='112'!$I$6,$M3203='112'!$I$6))),"x",""))</f>
        <v/>
      </c>
      <c r="S3203" s="525" t="str">
        <f>IF(ISERROR(FIND('112'!$M$9,G3203,1)),"",IF((AND(LEFT(G3203,2)=LEFT('112'!$M$9,2),B3203&lt;'112'!$N$8,$L3203='112'!$I$6)),"x",""))</f>
        <v/>
      </c>
      <c r="T3203" s="525" t="str">
        <f>IF(ISERROR(FIND('112'!$M$9,G3203,1)),"",IF((AND(RIGHT(G3203,2)=RIGHT('112'!$M$9,2),B3203&lt;'112'!$N$8,$M3203='112'!$I$6)),"x",""))</f>
        <v/>
      </c>
      <c r="U3203" s="525" t="str">
        <f>IF(AND(B3203&gt;='IN-NX'!$P$3,B3203&lt;='IN-NX'!$Q$3,'IN-NX'!$D$7=D3203,OR(LEFT(L3203,2)="15",AND(LEFT(M3203,2)&lt;&gt;"15",LEFT(M3203,2)&lt;&gt;"33"))),"x","")</f>
        <v/>
      </c>
      <c r="V3203" s="525" t="str">
        <f>IF(AND(OR(LEFT(TH!L3203,2)="15",LEFT(TH!M3203,2)="15"),'152-CT'!$J$8=TH!F3203),"x","")</f>
        <v/>
      </c>
      <c r="W3203" s="525" t="str">
        <f>IF(AND(OR(LEFT(TH!L3203,2)="15",LEFT(TH!M3203,2)="15"),TK!$E$7=TH!F3203),"x","")</f>
        <v/>
      </c>
      <c r="X3203" s="525" t="str">
        <f>IF(AND('341-CT'!$E$9=H3203,OR(LEFT(L3203,3)=$X$7,LEFT(M3203,3)=$X$7)),"x","")</f>
        <v/>
      </c>
      <c r="Y3203" s="525" t="str">
        <f>IF(OR(TH!L3203=TH!$Y$7,M3203=TH!$Y$7),"x","")</f>
        <v/>
      </c>
      <c r="Z3203" s="525" t="str">
        <f>IF(AND(B3203&lt;=NKC!$N$8,B3203&gt;=NKC!$M$8),"x","")</f>
        <v/>
      </c>
      <c r="AA3203" s="702"/>
      <c r="AB3203" s="703"/>
    </row>
    <row r="3204" spans="1:30" s="704" customFormat="1" ht="15.75" customHeight="1">
      <c r="A3204" s="517" t="str">
        <f>IF(B3204&lt;&gt;"",IF(AND(B3204&gt;=_TM1,B3204&lt;=_TM2,OR(TH!L3204="1111",TH!M3204="1111")),TH!D3204,""),"")</f>
        <v/>
      </c>
      <c r="B3204" s="698">
        <f t="shared" si="289"/>
        <v>5</v>
      </c>
      <c r="C3204" s="699">
        <f t="shared" si="290"/>
        <v>42871</v>
      </c>
      <c r="D3204" s="699" t="s">
        <v>997</v>
      </c>
      <c r="E3204" s="715">
        <v>42871</v>
      </c>
      <c r="F3204" s="706" t="s">
        <v>348</v>
      </c>
      <c r="G3204" s="716" t="s">
        <v>1194</v>
      </c>
      <c r="H3204" s="694" t="s">
        <v>801</v>
      </c>
      <c r="I3204" s="695">
        <v>913</v>
      </c>
      <c r="J3204" s="695">
        <v>12999.338444687843</v>
      </c>
      <c r="K3204" s="696">
        <f t="shared" si="291"/>
        <v>11868396</v>
      </c>
      <c r="L3204" s="697" t="s">
        <v>158</v>
      </c>
      <c r="M3204" s="697" t="s">
        <v>292</v>
      </c>
      <c r="N3204" s="525" t="str">
        <f>IF(AND('331-CT'!$E$7=TH!H3204,OR(L3204="331",M3204="331")),"331",IF(AND(OR(L3204="131",M3204="131"),H3204='131-CT'!$E$7),"131",""))</f>
        <v/>
      </c>
      <c r="O3204" s="525" t="str">
        <f>IF(AND($B3204&gt;='111'!$N$11,$B3204&lt;='111'!$O$11,OR($L3204=$O$7,$M3204=$O$7)),"x","")</f>
        <v/>
      </c>
      <c r="P3204" s="525" t="str">
        <f>IF(AND($L3204=$O$7,$B3204&lt;'111'!$N$11),"x","")</f>
        <v/>
      </c>
      <c r="Q3204" s="525" t="str">
        <f>IF(AND($M3204=$O$7,$B3204&lt;'111'!$N$11),"x","")</f>
        <v/>
      </c>
      <c r="R3204" s="525" t="str">
        <f>IF(ISERROR(FIND('112'!$M$9,G3204,1)),"",IF((AND(FIND('112'!$M$9,G3204,1)&gt;=1,$B3204&gt;='112'!$N$8,$B3204&lt;='112'!$O$8,OR($L3204='112'!$I$6,$M3204='112'!$I$6))),"x",""))</f>
        <v/>
      </c>
      <c r="S3204" s="525" t="str">
        <f>IF(ISERROR(FIND('112'!$M$9,G3204,1)),"",IF((AND(LEFT(G3204,2)=LEFT('112'!$M$9,2),B3204&lt;'112'!$N$8,$L3204='112'!$I$6)),"x",""))</f>
        <v/>
      </c>
      <c r="T3204" s="525" t="str">
        <f>IF(ISERROR(FIND('112'!$M$9,G3204,1)),"",IF((AND(RIGHT(G3204,2)=RIGHT('112'!$M$9,2),B3204&lt;'112'!$N$8,$M3204='112'!$I$6)),"x",""))</f>
        <v/>
      </c>
      <c r="U3204" s="525" t="str">
        <f>IF(AND(B3204&gt;='IN-NX'!$P$3,B3204&lt;='IN-NX'!$Q$3,'IN-NX'!$D$7=D3204,OR(LEFT(L3204,2)="15",AND(LEFT(M3204,2)&lt;&gt;"15",LEFT(M3204,2)&lt;&gt;"33"))),"x","")</f>
        <v/>
      </c>
      <c r="V3204" s="525" t="str">
        <f>IF(AND(OR(LEFT(TH!L3204,2)="15",LEFT(TH!M3204,2)="15"),'152-CT'!$J$8=TH!F3204),"x","")</f>
        <v/>
      </c>
      <c r="W3204" s="525" t="str">
        <f>IF(AND(OR(LEFT(TH!L3204,2)="15",LEFT(TH!M3204,2)="15"),TK!$E$7=TH!F3204),"x","")</f>
        <v/>
      </c>
      <c r="X3204" s="525" t="str">
        <f>IF(AND('341-CT'!$E$9=H3204,OR(LEFT(L3204,3)=$X$7,LEFT(M3204,3)=$X$7)),"x","")</f>
        <v/>
      </c>
      <c r="Y3204" s="525" t="str">
        <f>IF(OR(TH!L3204=TH!$Y$7,M3204=TH!$Y$7),"x","")</f>
        <v/>
      </c>
      <c r="Z3204" s="525" t="str">
        <f>IF(AND(B3204&lt;=NKC!$N$8,B3204&gt;=NKC!$M$8),"x","")</f>
        <v/>
      </c>
      <c r="AA3204" s="702"/>
      <c r="AD3204" s="703"/>
    </row>
    <row r="3205" spans="1:30" s="704" customFormat="1" ht="15.75" customHeight="1">
      <c r="A3205" s="517" t="str">
        <f>IF(B3205&lt;&gt;"",IF(AND(B3205&gt;=_TM1,B3205&lt;=_TM2,OR(TH!L3205="1111",TH!M3205="1111")),TH!D3205,""),"")</f>
        <v/>
      </c>
      <c r="B3205" s="698">
        <f t="shared" ref="B3205:B3210" si="298">IF(C3205&lt;&gt;"",MONTH(C3205),"")</f>
        <v>5</v>
      </c>
      <c r="C3205" s="699">
        <f t="shared" ref="C3205:C3210" si="299">E3205</f>
        <v>42875</v>
      </c>
      <c r="D3205" s="699" t="s">
        <v>997</v>
      </c>
      <c r="E3205" s="715">
        <v>42875</v>
      </c>
      <c r="F3205" s="706" t="s">
        <v>406</v>
      </c>
      <c r="G3205" s="716" t="s">
        <v>1221</v>
      </c>
      <c r="H3205" s="694" t="s">
        <v>801</v>
      </c>
      <c r="I3205" s="695">
        <v>72</v>
      </c>
      <c r="J3205" s="695">
        <v>25594</v>
      </c>
      <c r="K3205" s="696">
        <f t="shared" ref="K3205:K3210" si="300">ROUND(I3205*J3205,0)</f>
        <v>1842768</v>
      </c>
      <c r="L3205" s="697" t="s">
        <v>158</v>
      </c>
      <c r="M3205" s="697" t="s">
        <v>292</v>
      </c>
      <c r="N3205" s="525" t="str">
        <f>IF(AND('331-CT'!$E$7=TH!H3205,OR(L3205="331",M3205="331")),"331",IF(AND(OR(L3205="131",M3205="131"),H3205='131-CT'!$E$7),"131",""))</f>
        <v/>
      </c>
      <c r="O3205" s="525" t="str">
        <f>IF(AND($B3205&gt;='111'!$N$11,$B3205&lt;='111'!$O$11,OR($L3205=$O$7,$M3205=$O$7)),"x","")</f>
        <v/>
      </c>
      <c r="P3205" s="525" t="str">
        <f>IF(AND($L3205=$O$7,$B3205&lt;'111'!$N$11),"x","")</f>
        <v/>
      </c>
      <c r="Q3205" s="525" t="str">
        <f>IF(AND($M3205=$O$7,$B3205&lt;'111'!$N$11),"x","")</f>
        <v/>
      </c>
      <c r="R3205" s="525" t="str">
        <f>IF(ISERROR(FIND('112'!$M$9,G3205,1)),"",IF((AND(FIND('112'!$M$9,G3205,1)&gt;=1,$B3205&gt;='112'!$N$8,$B3205&lt;='112'!$O$8,OR($L3205='112'!$I$6,$M3205='112'!$I$6))),"x",""))</f>
        <v/>
      </c>
      <c r="S3205" s="525" t="str">
        <f>IF(ISERROR(FIND('112'!$M$9,G3205,1)),"",IF((AND(LEFT(G3205,2)=LEFT('112'!$M$9,2),B3205&lt;'112'!$N$8,$L3205='112'!$I$6)),"x",""))</f>
        <v/>
      </c>
      <c r="T3205" s="525" t="str">
        <f>IF(ISERROR(FIND('112'!$M$9,G3205,1)),"",IF((AND(RIGHT(G3205,2)=RIGHT('112'!$M$9,2),B3205&lt;'112'!$N$8,$M3205='112'!$I$6)),"x",""))</f>
        <v/>
      </c>
      <c r="U3205" s="525" t="str">
        <f>IF(AND(B3205&gt;='IN-NX'!$P$3,B3205&lt;='IN-NX'!$Q$3,'IN-NX'!$D$7=D3205,OR(LEFT(L3205,2)="15",AND(LEFT(M3205,2)&lt;&gt;"15",LEFT(M3205,2)&lt;&gt;"33"))),"x","")</f>
        <v/>
      </c>
      <c r="V3205" s="525" t="str">
        <f>IF(AND(OR(LEFT(TH!L3205,2)="15",LEFT(TH!M3205,2)="15"),'152-CT'!$J$8=TH!F3205),"x","")</f>
        <v/>
      </c>
      <c r="W3205" s="525" t="str">
        <f>IF(AND(OR(LEFT(TH!L3205,2)="15",LEFT(TH!M3205,2)="15"),TK!$E$7=TH!F3205),"x","")</f>
        <v/>
      </c>
      <c r="X3205" s="525" t="str">
        <f>IF(AND('341-CT'!$E$9=H3205,OR(LEFT(L3205,3)=$X$7,LEFT(M3205,3)=$X$7)),"x","")</f>
        <v/>
      </c>
      <c r="Y3205" s="525" t="str">
        <f>IF(OR(TH!L3205=TH!$Y$7,M3205=TH!$Y$7),"x","")</f>
        <v/>
      </c>
      <c r="Z3205" s="525" t="str">
        <f>IF(AND(B3205&lt;=NKC!$N$8,B3205&gt;=NKC!$M$8),"x","")</f>
        <v/>
      </c>
      <c r="AA3205" s="702"/>
      <c r="AB3205" s="703"/>
      <c r="AD3205" s="703"/>
    </row>
    <row r="3206" spans="1:30" s="704" customFormat="1" ht="15.75" customHeight="1">
      <c r="A3206" s="517" t="str">
        <f>IF(B3206&lt;&gt;"",IF(AND(B3206&gt;=_TM1,B3206&lt;=_TM2,OR(TH!L3206="1111",TH!M3206="1111")),TH!D3206,""),"")</f>
        <v/>
      </c>
      <c r="B3206" s="698">
        <f t="shared" si="298"/>
        <v>5</v>
      </c>
      <c r="C3206" s="699">
        <f t="shared" si="299"/>
        <v>42875</v>
      </c>
      <c r="D3206" s="699" t="s">
        <v>997</v>
      </c>
      <c r="E3206" s="715">
        <v>42875</v>
      </c>
      <c r="F3206" s="706" t="s">
        <v>573</v>
      </c>
      <c r="G3206" s="716" t="s">
        <v>1221</v>
      </c>
      <c r="H3206" s="694" t="s">
        <v>801</v>
      </c>
      <c r="I3206" s="695">
        <v>152</v>
      </c>
      <c r="J3206" s="695">
        <v>25380</v>
      </c>
      <c r="K3206" s="696">
        <f t="shared" si="300"/>
        <v>3857760</v>
      </c>
      <c r="L3206" s="697" t="s">
        <v>158</v>
      </c>
      <c r="M3206" s="697" t="s">
        <v>292</v>
      </c>
      <c r="N3206" s="525" t="str">
        <f>IF(AND('331-CT'!$E$7=TH!H3206,OR(L3206="331",M3206="331")),"331",IF(AND(OR(L3206="131",M3206="131"),H3206='131-CT'!$E$7),"131",""))</f>
        <v/>
      </c>
      <c r="O3206" s="525" t="str">
        <f>IF(AND($B3206&gt;='111'!$N$11,$B3206&lt;='111'!$O$11,OR($L3206=$O$7,$M3206=$O$7)),"x","")</f>
        <v/>
      </c>
      <c r="P3206" s="525" t="str">
        <f>IF(AND($L3206=$O$7,$B3206&lt;'111'!$N$11),"x","")</f>
        <v/>
      </c>
      <c r="Q3206" s="525" t="str">
        <f>IF(AND($M3206=$O$7,$B3206&lt;'111'!$N$11),"x","")</f>
        <v/>
      </c>
      <c r="R3206" s="525" t="str">
        <f>IF(ISERROR(FIND('112'!$M$9,G3206,1)),"",IF((AND(FIND('112'!$M$9,G3206,1)&gt;=1,$B3206&gt;='112'!$N$8,$B3206&lt;='112'!$O$8,OR($L3206='112'!$I$6,$M3206='112'!$I$6))),"x",""))</f>
        <v/>
      </c>
      <c r="S3206" s="525" t="str">
        <f>IF(ISERROR(FIND('112'!$M$9,G3206,1)),"",IF((AND(LEFT(G3206,2)=LEFT('112'!$M$9,2),B3206&lt;'112'!$N$8,$L3206='112'!$I$6)),"x",""))</f>
        <v/>
      </c>
      <c r="T3206" s="525" t="str">
        <f>IF(ISERROR(FIND('112'!$M$9,G3206,1)),"",IF((AND(RIGHT(G3206,2)=RIGHT('112'!$M$9,2),B3206&lt;'112'!$N$8,$M3206='112'!$I$6)),"x",""))</f>
        <v/>
      </c>
      <c r="U3206" s="525" t="str">
        <f>IF(AND(B3206&gt;='IN-NX'!$P$3,B3206&lt;='IN-NX'!$Q$3,'IN-NX'!$D$7=D3206,OR(LEFT(L3206,2)="15",AND(LEFT(M3206,2)&lt;&gt;"15",LEFT(M3206,2)&lt;&gt;"33"))),"x","")</f>
        <v/>
      </c>
      <c r="V3206" s="525" t="str">
        <f>IF(AND(OR(LEFT(TH!L3206,2)="15",LEFT(TH!M3206,2)="15"),'152-CT'!$J$8=TH!F3206),"x","")</f>
        <v/>
      </c>
      <c r="W3206" s="525" t="str">
        <f>IF(AND(OR(LEFT(TH!L3206,2)="15",LEFT(TH!M3206,2)="15"),TK!$E$7=TH!F3206),"x","")</f>
        <v/>
      </c>
      <c r="X3206" s="525" t="str">
        <f>IF(AND('341-CT'!$E$9=H3206,OR(LEFT(L3206,3)=$X$7,LEFT(M3206,3)=$X$7)),"x","")</f>
        <v/>
      </c>
      <c r="Y3206" s="525" t="str">
        <f>IF(OR(TH!L3206=TH!$Y$7,M3206=TH!$Y$7),"x","")</f>
        <v/>
      </c>
      <c r="Z3206" s="525" t="str">
        <f>IF(AND(B3206&lt;=NKC!$N$8,B3206&gt;=NKC!$M$8),"x","")</f>
        <v/>
      </c>
      <c r="AA3206" s="702"/>
      <c r="AD3206" s="703"/>
    </row>
    <row r="3207" spans="1:30" s="704" customFormat="1" ht="15.75" customHeight="1">
      <c r="A3207" s="517" t="str">
        <f>IF(B3207&lt;&gt;"",IF(AND(B3207&gt;=_TM1,B3207&lt;=_TM2,OR(TH!L3207="1111",TH!M3207="1111")),TH!D3207,""),"")</f>
        <v/>
      </c>
      <c r="B3207" s="698">
        <f t="shared" si="298"/>
        <v>5</v>
      </c>
      <c r="C3207" s="699">
        <f t="shared" si="299"/>
        <v>42875</v>
      </c>
      <c r="D3207" s="699" t="s">
        <v>997</v>
      </c>
      <c r="E3207" s="715">
        <v>42875</v>
      </c>
      <c r="F3207" s="706" t="s">
        <v>332</v>
      </c>
      <c r="G3207" s="701" t="s">
        <v>1221</v>
      </c>
      <c r="H3207" s="694" t="s">
        <v>801</v>
      </c>
      <c r="I3207" s="695">
        <v>120</v>
      </c>
      <c r="J3207" s="695">
        <v>25488</v>
      </c>
      <c r="K3207" s="696">
        <f t="shared" si="300"/>
        <v>3058560</v>
      </c>
      <c r="L3207" s="697" t="s">
        <v>158</v>
      </c>
      <c r="M3207" s="697" t="s">
        <v>292</v>
      </c>
      <c r="N3207" s="525" t="str">
        <f>IF(AND('331-CT'!$E$7=TH!H3207,OR(L3207="331",M3207="331")),"331",IF(AND(OR(L3207="131",M3207="131"),H3207='131-CT'!$E$7),"131",""))</f>
        <v/>
      </c>
      <c r="O3207" s="525" t="str">
        <f>IF(AND($B3207&gt;='111'!$N$11,$B3207&lt;='111'!$O$11,OR($L3207=$O$7,$M3207=$O$7)),"x","")</f>
        <v/>
      </c>
      <c r="P3207" s="525" t="str">
        <f>IF(AND($L3207=$O$7,$B3207&lt;'111'!$N$11),"x","")</f>
        <v/>
      </c>
      <c r="Q3207" s="525" t="str">
        <f>IF(AND($M3207=$O$7,$B3207&lt;'111'!$N$11),"x","")</f>
        <v/>
      </c>
      <c r="R3207" s="525" t="str">
        <f>IF(ISERROR(FIND('112'!$M$9,G3207,1)),"",IF((AND(FIND('112'!$M$9,G3207,1)&gt;=1,$B3207&gt;='112'!$N$8,$B3207&lt;='112'!$O$8,OR($L3207='112'!$I$6,$M3207='112'!$I$6))),"x",""))</f>
        <v/>
      </c>
      <c r="S3207" s="525" t="str">
        <f>IF(ISERROR(FIND('112'!$M$9,G3207,1)),"",IF((AND(LEFT(G3207,2)=LEFT('112'!$M$9,2),B3207&lt;'112'!$N$8,$L3207='112'!$I$6)),"x",""))</f>
        <v/>
      </c>
      <c r="T3207" s="525" t="str">
        <f>IF(ISERROR(FIND('112'!$M$9,G3207,1)),"",IF((AND(RIGHT(G3207,2)=RIGHT('112'!$M$9,2),B3207&lt;'112'!$N$8,$M3207='112'!$I$6)),"x",""))</f>
        <v/>
      </c>
      <c r="U3207" s="525" t="str">
        <f>IF(AND(B3207&gt;='IN-NX'!$P$3,B3207&lt;='IN-NX'!$Q$3,'IN-NX'!$D$7=D3207,OR(LEFT(L3207,2)="15",AND(LEFT(M3207,2)&lt;&gt;"15",LEFT(M3207,2)&lt;&gt;"33"))),"x","")</f>
        <v/>
      </c>
      <c r="V3207" s="525" t="str">
        <f>IF(AND(OR(LEFT(TH!L3207,2)="15",LEFT(TH!M3207,2)="15"),'152-CT'!$J$8=TH!F3207),"x","")</f>
        <v/>
      </c>
      <c r="W3207" s="525" t="str">
        <f>IF(AND(OR(LEFT(TH!L3207,2)="15",LEFT(TH!M3207,2)="15"),TK!$E$7=TH!F3207),"x","")</f>
        <v/>
      </c>
      <c r="X3207" s="525" t="str">
        <f>IF(AND('341-CT'!$E$9=H3207,OR(LEFT(L3207,3)=$X$7,LEFT(M3207,3)=$X$7)),"x","")</f>
        <v/>
      </c>
      <c r="Y3207" s="525" t="str">
        <f>IF(OR(TH!L3207=TH!$Y$7,M3207=TH!$Y$7),"x","")</f>
        <v/>
      </c>
      <c r="Z3207" s="525" t="str">
        <f>IF(AND(B3207&lt;=NKC!$N$8,B3207&gt;=NKC!$M$8),"x","")</f>
        <v/>
      </c>
      <c r="AA3207" s="702"/>
      <c r="AB3207" s="703"/>
    </row>
    <row r="3208" spans="1:30" s="704" customFormat="1" ht="15.75" customHeight="1">
      <c r="A3208" s="517" t="str">
        <f>IF(B3208&lt;&gt;"",IF(AND(B3208&gt;=_TM1,B3208&lt;=_TM2,OR(TH!L3208="1111",TH!M3208="1111")),TH!D3208,""),"")</f>
        <v/>
      </c>
      <c r="B3208" s="698">
        <f t="shared" si="298"/>
        <v>5</v>
      </c>
      <c r="C3208" s="699">
        <f t="shared" si="299"/>
        <v>42875</v>
      </c>
      <c r="D3208" s="699" t="s">
        <v>997</v>
      </c>
      <c r="E3208" s="715">
        <v>42875</v>
      </c>
      <c r="F3208" s="706" t="s">
        <v>572</v>
      </c>
      <c r="G3208" s="701" t="s">
        <v>1221</v>
      </c>
      <c r="H3208" s="694" t="s">
        <v>801</v>
      </c>
      <c r="I3208" s="695">
        <v>204</v>
      </c>
      <c r="J3208" s="695">
        <v>24502.352941176472</v>
      </c>
      <c r="K3208" s="696">
        <f t="shared" si="300"/>
        <v>4998480</v>
      </c>
      <c r="L3208" s="697" t="s">
        <v>158</v>
      </c>
      <c r="M3208" s="697" t="s">
        <v>292</v>
      </c>
      <c r="N3208" s="525" t="str">
        <f>IF(AND('331-CT'!$E$7=TH!H3208,OR(L3208="331",M3208="331")),"331",IF(AND(OR(L3208="131",M3208="131"),H3208='131-CT'!$E$7),"131",""))</f>
        <v/>
      </c>
      <c r="O3208" s="525" t="str">
        <f>IF(AND($B3208&gt;='111'!$N$11,$B3208&lt;='111'!$O$11,OR($L3208=$O$7,$M3208=$O$7)),"x","")</f>
        <v/>
      </c>
      <c r="P3208" s="525" t="str">
        <f>IF(AND($L3208=$O$7,$B3208&lt;'111'!$N$11),"x","")</f>
        <v/>
      </c>
      <c r="Q3208" s="525" t="str">
        <f>IF(AND($M3208=$O$7,$B3208&lt;'111'!$N$11),"x","")</f>
        <v/>
      </c>
      <c r="R3208" s="525" t="str">
        <f>IF(ISERROR(FIND('112'!$M$9,G3208,1)),"",IF((AND(FIND('112'!$M$9,G3208,1)&gt;=1,$B3208&gt;='112'!$N$8,$B3208&lt;='112'!$O$8,OR($L3208='112'!$I$6,$M3208='112'!$I$6))),"x",""))</f>
        <v/>
      </c>
      <c r="S3208" s="525" t="str">
        <f>IF(ISERROR(FIND('112'!$M$9,G3208,1)),"",IF((AND(LEFT(G3208,2)=LEFT('112'!$M$9,2),B3208&lt;'112'!$N$8,$L3208='112'!$I$6)),"x",""))</f>
        <v/>
      </c>
      <c r="T3208" s="525" t="str">
        <f>IF(ISERROR(FIND('112'!$M$9,G3208,1)),"",IF((AND(RIGHT(G3208,2)=RIGHT('112'!$M$9,2),B3208&lt;'112'!$N$8,$M3208='112'!$I$6)),"x",""))</f>
        <v/>
      </c>
      <c r="U3208" s="525" t="str">
        <f>IF(AND(B3208&gt;='IN-NX'!$P$3,B3208&lt;='IN-NX'!$Q$3,'IN-NX'!$D$7=D3208,OR(LEFT(L3208,2)="15",AND(LEFT(M3208,2)&lt;&gt;"15",LEFT(M3208,2)&lt;&gt;"33"))),"x","")</f>
        <v/>
      </c>
      <c r="V3208" s="525" t="str">
        <f>IF(AND(OR(LEFT(TH!L3208,2)="15",LEFT(TH!M3208,2)="15"),'152-CT'!$J$8=TH!F3208),"x","")</f>
        <v/>
      </c>
      <c r="W3208" s="525" t="str">
        <f>IF(AND(OR(LEFT(TH!L3208,2)="15",LEFT(TH!M3208,2)="15"),TK!$E$7=TH!F3208),"x","")</f>
        <v/>
      </c>
      <c r="X3208" s="525" t="str">
        <f>IF(AND('341-CT'!$E$9=H3208,OR(LEFT(L3208,3)=$X$7,LEFT(M3208,3)=$X$7)),"x","")</f>
        <v/>
      </c>
      <c r="Y3208" s="525" t="str">
        <f>IF(OR(TH!L3208=TH!$Y$7,M3208=TH!$Y$7),"x","")</f>
        <v/>
      </c>
      <c r="Z3208" s="525" t="str">
        <f>IF(AND(B3208&lt;=NKC!$N$8,B3208&gt;=NKC!$M$8),"x","")</f>
        <v/>
      </c>
      <c r="AA3208" s="702"/>
      <c r="AB3208" s="703"/>
    </row>
    <row r="3209" spans="1:30" s="704" customFormat="1" ht="15.75" customHeight="1">
      <c r="A3209" s="517" t="str">
        <f>IF(B3209&lt;&gt;"",IF(AND(B3209&gt;=_TM1,B3209&lt;=_TM2,OR(TH!L3209="1111",TH!M3209="1111")),TH!D3209,""),"")</f>
        <v/>
      </c>
      <c r="B3209" s="698">
        <f t="shared" si="298"/>
        <v>5</v>
      </c>
      <c r="C3209" s="699">
        <f t="shared" si="299"/>
        <v>42875</v>
      </c>
      <c r="D3209" s="699" t="s">
        <v>997</v>
      </c>
      <c r="E3209" s="715">
        <v>42875</v>
      </c>
      <c r="F3209" s="700" t="s">
        <v>334</v>
      </c>
      <c r="G3209" s="701" t="s">
        <v>1221</v>
      </c>
      <c r="H3209" s="694" t="s">
        <v>801</v>
      </c>
      <c r="I3209" s="695">
        <v>80</v>
      </c>
      <c r="J3209" s="695">
        <v>24883.5</v>
      </c>
      <c r="K3209" s="696">
        <f t="shared" si="300"/>
        <v>1990680</v>
      </c>
      <c r="L3209" s="697" t="s">
        <v>158</v>
      </c>
      <c r="M3209" s="697" t="s">
        <v>292</v>
      </c>
      <c r="N3209" s="525" t="str">
        <f>IF(AND('331-CT'!$E$7=TH!H3209,OR(L3209="331",M3209="331")),"331",IF(AND(OR(L3209="131",M3209="131"),H3209='131-CT'!$E$7),"131",""))</f>
        <v/>
      </c>
      <c r="O3209" s="525" t="str">
        <f>IF(AND($B3209&gt;='111'!$N$11,$B3209&lt;='111'!$O$11,OR($L3209=$O$7,$M3209=$O$7)),"x","")</f>
        <v/>
      </c>
      <c r="P3209" s="525" t="str">
        <f>IF(AND($L3209=$O$7,$B3209&lt;'111'!$N$11),"x","")</f>
        <v/>
      </c>
      <c r="Q3209" s="525" t="str">
        <f>IF(AND($M3209=$O$7,$B3209&lt;'111'!$N$11),"x","")</f>
        <v/>
      </c>
      <c r="R3209" s="525" t="str">
        <f>IF(ISERROR(FIND('112'!$M$9,G3209,1)),"",IF((AND(FIND('112'!$M$9,G3209,1)&gt;=1,$B3209&gt;='112'!$N$8,$B3209&lt;='112'!$O$8,OR($L3209='112'!$I$6,$M3209='112'!$I$6))),"x",""))</f>
        <v/>
      </c>
      <c r="S3209" s="525" t="str">
        <f>IF(ISERROR(FIND('112'!$M$9,G3209,1)),"",IF((AND(LEFT(G3209,2)=LEFT('112'!$M$9,2),B3209&lt;'112'!$N$8,$L3209='112'!$I$6)),"x",""))</f>
        <v/>
      </c>
      <c r="T3209" s="525" t="str">
        <f>IF(ISERROR(FIND('112'!$M$9,G3209,1)),"",IF((AND(RIGHT(G3209,2)=RIGHT('112'!$M$9,2),B3209&lt;'112'!$N$8,$M3209='112'!$I$6)),"x",""))</f>
        <v/>
      </c>
      <c r="U3209" s="525" t="str">
        <f>IF(AND(B3209&gt;='IN-NX'!$P$3,B3209&lt;='IN-NX'!$Q$3,'IN-NX'!$D$7=D3209,OR(LEFT(L3209,2)="15",AND(LEFT(M3209,2)&lt;&gt;"15",LEFT(M3209,2)&lt;&gt;"33"))),"x","")</f>
        <v/>
      </c>
      <c r="V3209" s="525" t="str">
        <f>IF(AND(OR(LEFT(TH!L3209,2)="15",LEFT(TH!M3209,2)="15"),'152-CT'!$J$8=TH!F3209),"x","")</f>
        <v/>
      </c>
      <c r="W3209" s="525" t="str">
        <f>IF(AND(OR(LEFT(TH!L3209,2)="15",LEFT(TH!M3209,2)="15"),TK!$E$7=TH!F3209),"x","")</f>
        <v/>
      </c>
      <c r="X3209" s="525" t="str">
        <f>IF(AND('341-CT'!$E$9=H3209,OR(LEFT(L3209,3)=$X$7,LEFT(M3209,3)=$X$7)),"x","")</f>
        <v/>
      </c>
      <c r="Y3209" s="525" t="str">
        <f>IF(OR(TH!L3209=TH!$Y$7,M3209=TH!$Y$7),"x","")</f>
        <v/>
      </c>
      <c r="Z3209" s="525" t="str">
        <f>IF(AND(B3209&lt;=NKC!$N$8,B3209&gt;=NKC!$M$8),"x","")</f>
        <v/>
      </c>
      <c r="AA3209" s="702"/>
      <c r="AB3209" s="703"/>
    </row>
    <row r="3210" spans="1:30" s="704" customFormat="1" ht="15.75" customHeight="1">
      <c r="A3210" s="517" t="str">
        <f>IF(B3210&lt;&gt;"",IF(AND(B3210&gt;=_TM1,B3210&lt;=_TM2,OR(TH!L3210="1111",TH!M3210="1111")),TH!D3210,""),"")</f>
        <v/>
      </c>
      <c r="B3210" s="698">
        <f t="shared" si="298"/>
        <v>5</v>
      </c>
      <c r="C3210" s="699">
        <f t="shared" si="299"/>
        <v>42875</v>
      </c>
      <c r="D3210" s="699" t="s">
        <v>997</v>
      </c>
      <c r="E3210" s="715">
        <v>42875</v>
      </c>
      <c r="F3210" s="706" t="s">
        <v>326</v>
      </c>
      <c r="G3210" s="716" t="s">
        <v>1221</v>
      </c>
      <c r="H3210" s="694" t="s">
        <v>801</v>
      </c>
      <c r="I3210" s="695">
        <v>40</v>
      </c>
      <c r="J3210" s="695">
        <v>25245</v>
      </c>
      <c r="K3210" s="696">
        <f t="shared" si="300"/>
        <v>1009800</v>
      </c>
      <c r="L3210" s="697" t="s">
        <v>158</v>
      </c>
      <c r="M3210" s="697" t="s">
        <v>292</v>
      </c>
      <c r="N3210" s="525" t="str">
        <f>IF(AND('331-CT'!$E$7=TH!H3210,OR(L3210="331",M3210="331")),"331",IF(AND(OR(L3210="131",M3210="131"),H3210='131-CT'!$E$7),"131",""))</f>
        <v/>
      </c>
      <c r="O3210" s="525" t="str">
        <f>IF(AND($B3210&gt;='111'!$N$11,$B3210&lt;='111'!$O$11,OR($L3210=$O$7,$M3210=$O$7)),"x","")</f>
        <v/>
      </c>
      <c r="P3210" s="525" t="str">
        <f>IF(AND($L3210=$O$7,$B3210&lt;'111'!$N$11),"x","")</f>
        <v/>
      </c>
      <c r="Q3210" s="525" t="str">
        <f>IF(AND($M3210=$O$7,$B3210&lt;'111'!$N$11),"x","")</f>
        <v/>
      </c>
      <c r="R3210" s="525" t="str">
        <f>IF(ISERROR(FIND('112'!$M$9,G3210,1)),"",IF((AND(FIND('112'!$M$9,G3210,1)&gt;=1,$B3210&gt;='112'!$N$8,$B3210&lt;='112'!$O$8,OR($L3210='112'!$I$6,$M3210='112'!$I$6))),"x",""))</f>
        <v/>
      </c>
      <c r="S3210" s="525" t="str">
        <f>IF(ISERROR(FIND('112'!$M$9,G3210,1)),"",IF((AND(LEFT(G3210,2)=LEFT('112'!$M$9,2),B3210&lt;'112'!$N$8,$L3210='112'!$I$6)),"x",""))</f>
        <v/>
      </c>
      <c r="T3210" s="525" t="str">
        <f>IF(ISERROR(FIND('112'!$M$9,G3210,1)),"",IF((AND(RIGHT(G3210,2)=RIGHT('112'!$M$9,2),B3210&lt;'112'!$N$8,$M3210='112'!$I$6)),"x",""))</f>
        <v/>
      </c>
      <c r="U3210" s="525" t="str">
        <f>IF(AND(B3210&gt;='IN-NX'!$P$3,B3210&lt;='IN-NX'!$Q$3,'IN-NX'!$D$7=D3210,OR(LEFT(L3210,2)="15",AND(LEFT(M3210,2)&lt;&gt;"15",LEFT(M3210,2)&lt;&gt;"33"))),"x","")</f>
        <v/>
      </c>
      <c r="V3210" s="525" t="str">
        <f>IF(AND(OR(LEFT(TH!L3210,2)="15",LEFT(TH!M3210,2)="15"),'152-CT'!$J$8=TH!F3210),"x","")</f>
        <v/>
      </c>
      <c r="W3210" s="525" t="str">
        <f>IF(AND(OR(LEFT(TH!L3210,2)="15",LEFT(TH!M3210,2)="15"),TK!$E$7=TH!F3210),"x","")</f>
        <v/>
      </c>
      <c r="X3210" s="525" t="str">
        <f>IF(AND('341-CT'!$E$9=H3210,OR(LEFT(L3210,3)=$X$7,LEFT(M3210,3)=$X$7)),"x","")</f>
        <v/>
      </c>
      <c r="Y3210" s="525" t="str">
        <f>IF(OR(TH!L3210=TH!$Y$7,M3210=TH!$Y$7),"x","")</f>
        <v/>
      </c>
      <c r="Z3210" s="525" t="str">
        <f>IF(AND(B3210&lt;=NKC!$N$8,B3210&gt;=NKC!$M$8),"x","")</f>
        <v/>
      </c>
      <c r="AA3210" s="702"/>
      <c r="AD3210" s="703"/>
    </row>
    <row r="3211" spans="1:30" s="704" customFormat="1" ht="15.75" customHeight="1">
      <c r="A3211" s="517" t="str">
        <f>IF(B3211&lt;&gt;"",IF(AND(B3211&gt;=_TM1,B3211&lt;=_TM2,OR(TH!L3211="1111",TH!M3211="1111")),TH!D3211,""),"")</f>
        <v/>
      </c>
      <c r="B3211" s="698">
        <f t="shared" si="289"/>
        <v>5</v>
      </c>
      <c r="C3211" s="699">
        <f t="shared" si="290"/>
        <v>42880</v>
      </c>
      <c r="D3211" s="699" t="s">
        <v>997</v>
      </c>
      <c r="E3211" s="715">
        <v>42880</v>
      </c>
      <c r="F3211" s="706" t="s">
        <v>339</v>
      </c>
      <c r="G3211" s="701" t="s">
        <v>1139</v>
      </c>
      <c r="H3211" s="694" t="s">
        <v>801</v>
      </c>
      <c r="I3211" s="695">
        <v>9</v>
      </c>
      <c r="J3211" s="695">
        <v>47613</v>
      </c>
      <c r="K3211" s="696">
        <f t="shared" si="291"/>
        <v>428517</v>
      </c>
      <c r="L3211" s="697" t="s">
        <v>158</v>
      </c>
      <c r="M3211" s="697" t="s">
        <v>292</v>
      </c>
      <c r="N3211" s="525" t="str">
        <f>IF(AND('331-CT'!$E$7=TH!H3211,OR(L3211="331",M3211="331")),"331",IF(AND(OR(L3211="131",M3211="131"),H3211='131-CT'!$E$7),"131",""))</f>
        <v/>
      </c>
      <c r="O3211" s="525" t="str">
        <f>IF(AND($B3211&gt;='111'!$N$11,$B3211&lt;='111'!$O$11,OR($L3211=$O$7,$M3211=$O$7)),"x","")</f>
        <v/>
      </c>
      <c r="P3211" s="525" t="str">
        <f>IF(AND($L3211=$O$7,$B3211&lt;'111'!$N$11),"x","")</f>
        <v/>
      </c>
      <c r="Q3211" s="525" t="str">
        <f>IF(AND($M3211=$O$7,$B3211&lt;'111'!$N$11),"x","")</f>
        <v/>
      </c>
      <c r="R3211" s="525" t="str">
        <f>IF(ISERROR(FIND('112'!$M$9,G3211,1)),"",IF((AND(FIND('112'!$M$9,G3211,1)&gt;=1,$B3211&gt;='112'!$N$8,$B3211&lt;='112'!$O$8,OR($L3211='112'!$I$6,$M3211='112'!$I$6))),"x",""))</f>
        <v/>
      </c>
      <c r="S3211" s="525" t="str">
        <f>IF(ISERROR(FIND('112'!$M$9,G3211,1)),"",IF((AND(LEFT(G3211,2)=LEFT('112'!$M$9,2),B3211&lt;'112'!$N$8,$L3211='112'!$I$6)),"x",""))</f>
        <v/>
      </c>
      <c r="T3211" s="525" t="str">
        <f>IF(ISERROR(FIND('112'!$M$9,G3211,1)),"",IF((AND(RIGHT(G3211,2)=RIGHT('112'!$M$9,2),B3211&lt;'112'!$N$8,$M3211='112'!$I$6)),"x",""))</f>
        <v/>
      </c>
      <c r="U3211" s="525" t="str">
        <f>IF(AND(B3211&gt;='IN-NX'!$P$3,B3211&lt;='IN-NX'!$Q$3,'IN-NX'!$D$7=D3211,OR(LEFT(L3211,2)="15",AND(LEFT(M3211,2)&lt;&gt;"15",LEFT(M3211,2)&lt;&gt;"33"))),"x","")</f>
        <v/>
      </c>
      <c r="V3211" s="525" t="str">
        <f>IF(AND(OR(LEFT(TH!L3211,2)="15",LEFT(TH!M3211,2)="15"),'152-CT'!$J$8=TH!F3211),"x","")</f>
        <v/>
      </c>
      <c r="W3211" s="525" t="str">
        <f>IF(AND(OR(LEFT(TH!L3211,2)="15",LEFT(TH!M3211,2)="15"),TK!$E$7=TH!F3211),"x","")</f>
        <v/>
      </c>
      <c r="X3211" s="525" t="str">
        <f>IF(AND('341-CT'!$E$9=H3211,OR(LEFT(L3211,3)=$X$7,LEFT(M3211,3)=$X$7)),"x","")</f>
        <v/>
      </c>
      <c r="Y3211" s="525" t="str">
        <f>IF(OR(TH!L3211=TH!$Y$7,M3211=TH!$Y$7),"x","")</f>
        <v/>
      </c>
      <c r="Z3211" s="525" t="str">
        <f>IF(AND(B3211&lt;=NKC!$N$8,B3211&gt;=NKC!$M$8),"x","")</f>
        <v/>
      </c>
      <c r="AA3211" s="702"/>
      <c r="AB3211" s="703"/>
    </row>
    <row r="3212" spans="1:30" s="704" customFormat="1" ht="15.75" customHeight="1">
      <c r="A3212" s="517" t="str">
        <f>IF(B3212&lt;&gt;"",IF(AND(B3212&gt;=_TM1,B3212&lt;=_TM2,OR(TH!L3212="1111",TH!M3212="1111")),TH!D3212,""),"")</f>
        <v/>
      </c>
      <c r="B3212" s="698">
        <f t="shared" si="289"/>
        <v>5</v>
      </c>
      <c r="C3212" s="699">
        <f t="shared" si="290"/>
        <v>42880</v>
      </c>
      <c r="D3212" s="699" t="s">
        <v>997</v>
      </c>
      <c r="E3212" s="715">
        <v>42880</v>
      </c>
      <c r="F3212" s="700" t="s">
        <v>339</v>
      </c>
      <c r="G3212" s="701" t="s">
        <v>1139</v>
      </c>
      <c r="H3212" s="694" t="s">
        <v>801</v>
      </c>
      <c r="I3212" s="695">
        <v>11</v>
      </c>
      <c r="J3212" s="695">
        <v>47613</v>
      </c>
      <c r="K3212" s="696">
        <f t="shared" si="291"/>
        <v>523743</v>
      </c>
      <c r="L3212" s="697" t="s">
        <v>158</v>
      </c>
      <c r="M3212" s="697" t="s">
        <v>292</v>
      </c>
      <c r="N3212" s="525" t="str">
        <f>IF(AND('331-CT'!$E$7=TH!H3212,OR(L3212="331",M3212="331")),"331",IF(AND(OR(L3212="131",M3212="131"),H3212='131-CT'!$E$7),"131",""))</f>
        <v/>
      </c>
      <c r="O3212" s="525" t="str">
        <f>IF(AND($B3212&gt;='111'!$N$11,$B3212&lt;='111'!$O$11,OR($L3212=$O$7,$M3212=$O$7)),"x","")</f>
        <v/>
      </c>
      <c r="P3212" s="525" t="str">
        <f>IF(AND($L3212=$O$7,$B3212&lt;'111'!$N$11),"x","")</f>
        <v/>
      </c>
      <c r="Q3212" s="525" t="str">
        <f>IF(AND($M3212=$O$7,$B3212&lt;'111'!$N$11),"x","")</f>
        <v/>
      </c>
      <c r="R3212" s="525" t="str">
        <f>IF(ISERROR(FIND('112'!$M$9,G3212,1)),"",IF((AND(FIND('112'!$M$9,G3212,1)&gt;=1,$B3212&gt;='112'!$N$8,$B3212&lt;='112'!$O$8,OR($L3212='112'!$I$6,$M3212='112'!$I$6))),"x",""))</f>
        <v/>
      </c>
      <c r="S3212" s="525" t="str">
        <f>IF(ISERROR(FIND('112'!$M$9,G3212,1)),"",IF((AND(LEFT(G3212,2)=LEFT('112'!$M$9,2),B3212&lt;'112'!$N$8,$L3212='112'!$I$6)),"x",""))</f>
        <v/>
      </c>
      <c r="T3212" s="525" t="str">
        <f>IF(ISERROR(FIND('112'!$M$9,G3212,1)),"",IF((AND(RIGHT(G3212,2)=RIGHT('112'!$M$9,2),B3212&lt;'112'!$N$8,$M3212='112'!$I$6)),"x",""))</f>
        <v/>
      </c>
      <c r="U3212" s="525" t="str">
        <f>IF(AND(B3212&gt;='IN-NX'!$P$3,B3212&lt;='IN-NX'!$Q$3,'IN-NX'!$D$7=D3212,OR(LEFT(L3212,2)="15",AND(LEFT(M3212,2)&lt;&gt;"15",LEFT(M3212,2)&lt;&gt;"33"))),"x","")</f>
        <v/>
      </c>
      <c r="V3212" s="525" t="str">
        <f>IF(AND(OR(LEFT(TH!L3212,2)="15",LEFT(TH!M3212,2)="15"),'152-CT'!$J$8=TH!F3212),"x","")</f>
        <v/>
      </c>
      <c r="W3212" s="525" t="str">
        <f>IF(AND(OR(LEFT(TH!L3212,2)="15",LEFT(TH!M3212,2)="15"),TK!$E$7=TH!F3212),"x","")</f>
        <v/>
      </c>
      <c r="X3212" s="525" t="str">
        <f>IF(AND('341-CT'!$E$9=H3212,OR(LEFT(L3212,3)=$X$7,LEFT(M3212,3)=$X$7)),"x","")</f>
        <v/>
      </c>
      <c r="Y3212" s="525" t="str">
        <f>IF(OR(TH!L3212=TH!$Y$7,M3212=TH!$Y$7),"x","")</f>
        <v/>
      </c>
      <c r="Z3212" s="525" t="str">
        <f>IF(AND(B3212&lt;=NKC!$N$8,B3212&gt;=NKC!$M$8),"x","")</f>
        <v/>
      </c>
      <c r="AA3212" s="702"/>
      <c r="AB3212" s="703"/>
    </row>
    <row r="3213" spans="1:30" s="704" customFormat="1" ht="15.75" customHeight="1">
      <c r="A3213" s="517" t="str">
        <f>IF(B3213&lt;&gt;"",IF(AND(B3213&gt;=_TM1,B3213&lt;=_TM2,OR(TH!L3213="1111",TH!M3213="1111")),TH!D3213,""),"")</f>
        <v/>
      </c>
      <c r="B3213" s="698">
        <f t="shared" si="289"/>
        <v>5</v>
      </c>
      <c r="C3213" s="699">
        <f t="shared" si="290"/>
        <v>42882</v>
      </c>
      <c r="D3213" s="699" t="s">
        <v>997</v>
      </c>
      <c r="E3213" s="715">
        <v>42882</v>
      </c>
      <c r="F3213" s="700" t="s">
        <v>399</v>
      </c>
      <c r="G3213" s="701" t="s">
        <v>1222</v>
      </c>
      <c r="H3213" s="694" t="s">
        <v>801</v>
      </c>
      <c r="I3213" s="695">
        <v>114</v>
      </c>
      <c r="J3213" s="695">
        <v>25812</v>
      </c>
      <c r="K3213" s="696">
        <f t="shared" si="291"/>
        <v>2942568</v>
      </c>
      <c r="L3213" s="697" t="s">
        <v>158</v>
      </c>
      <c r="M3213" s="697" t="s">
        <v>292</v>
      </c>
      <c r="N3213" s="525" t="str">
        <f>IF(AND('331-CT'!$E$7=TH!H3213,OR(L3213="331",M3213="331")),"331",IF(AND(OR(L3213="131",M3213="131"),H3213='131-CT'!$E$7),"131",""))</f>
        <v/>
      </c>
      <c r="O3213" s="525" t="str">
        <f>IF(AND($B3213&gt;='111'!$N$11,$B3213&lt;='111'!$O$11,OR($L3213=$O$7,$M3213=$O$7)),"x","")</f>
        <v/>
      </c>
      <c r="P3213" s="525" t="str">
        <f>IF(AND($L3213=$O$7,$B3213&lt;'111'!$N$11),"x","")</f>
        <v/>
      </c>
      <c r="Q3213" s="525" t="str">
        <f>IF(AND($M3213=$O$7,$B3213&lt;'111'!$N$11),"x","")</f>
        <v/>
      </c>
      <c r="R3213" s="525" t="str">
        <f>IF(ISERROR(FIND('112'!$M$9,G3213,1)),"",IF((AND(FIND('112'!$M$9,G3213,1)&gt;=1,$B3213&gt;='112'!$N$8,$B3213&lt;='112'!$O$8,OR($L3213='112'!$I$6,$M3213='112'!$I$6))),"x",""))</f>
        <v/>
      </c>
      <c r="S3213" s="525" t="str">
        <f>IF(ISERROR(FIND('112'!$M$9,G3213,1)),"",IF((AND(LEFT(G3213,2)=LEFT('112'!$M$9,2),B3213&lt;'112'!$N$8,$L3213='112'!$I$6)),"x",""))</f>
        <v/>
      </c>
      <c r="T3213" s="525" t="str">
        <f>IF(ISERROR(FIND('112'!$M$9,G3213,1)),"",IF((AND(RIGHT(G3213,2)=RIGHT('112'!$M$9,2),B3213&lt;'112'!$N$8,$M3213='112'!$I$6)),"x",""))</f>
        <v/>
      </c>
      <c r="U3213" s="525" t="str">
        <f>IF(AND(B3213&gt;='IN-NX'!$P$3,B3213&lt;='IN-NX'!$Q$3,'IN-NX'!$D$7=D3213,OR(LEFT(L3213,2)="15",AND(LEFT(M3213,2)&lt;&gt;"15",LEFT(M3213,2)&lt;&gt;"33"))),"x","")</f>
        <v/>
      </c>
      <c r="V3213" s="525" t="str">
        <f>IF(AND(OR(LEFT(TH!L3213,2)="15",LEFT(TH!M3213,2)="15"),'152-CT'!$J$8=TH!F3213),"x","")</f>
        <v/>
      </c>
      <c r="W3213" s="525" t="str">
        <f>IF(AND(OR(LEFT(TH!L3213,2)="15",LEFT(TH!M3213,2)="15"),TK!$E$7=TH!F3213),"x","")</f>
        <v/>
      </c>
      <c r="X3213" s="525" t="str">
        <f>IF(AND('341-CT'!$E$9=H3213,OR(LEFT(L3213,3)=$X$7,LEFT(M3213,3)=$X$7)),"x","")</f>
        <v/>
      </c>
      <c r="Y3213" s="525" t="str">
        <f>IF(OR(TH!L3213=TH!$Y$7,M3213=TH!$Y$7),"x","")</f>
        <v/>
      </c>
      <c r="Z3213" s="525" t="str">
        <f>IF(AND(B3213&lt;=NKC!$N$8,B3213&gt;=NKC!$M$8),"x","")</f>
        <v/>
      </c>
      <c r="AA3213" s="702"/>
      <c r="AB3213" s="703"/>
    </row>
    <row r="3214" spans="1:30" s="704" customFormat="1" ht="15.75" customHeight="1">
      <c r="A3214" s="517" t="str">
        <f>IF(B3214&lt;&gt;"",IF(AND(B3214&gt;=_TM1,B3214&lt;=_TM2,OR(TH!L3214="1111",TH!M3214="1111")),TH!D3214,""),"")</f>
        <v/>
      </c>
      <c r="B3214" s="698">
        <f t="shared" ref="B3214:B3230" si="301">IF(C3214&lt;&gt;"",MONTH(C3214),"")</f>
        <v>5</v>
      </c>
      <c r="C3214" s="699">
        <f t="shared" ref="C3214:C3230" si="302">E3214</f>
        <v>42882</v>
      </c>
      <c r="D3214" s="699" t="s">
        <v>997</v>
      </c>
      <c r="E3214" s="715">
        <v>42882</v>
      </c>
      <c r="F3214" s="706" t="s">
        <v>342</v>
      </c>
      <c r="G3214" s="716" t="s">
        <v>1222</v>
      </c>
      <c r="H3214" s="694" t="s">
        <v>801</v>
      </c>
      <c r="I3214" s="695">
        <v>24</v>
      </c>
      <c r="J3214" s="695">
        <v>32069</v>
      </c>
      <c r="K3214" s="696">
        <f t="shared" ref="K3214:K3230" si="303">ROUND(I3214*J3214,0)</f>
        <v>769656</v>
      </c>
      <c r="L3214" s="697" t="s">
        <v>158</v>
      </c>
      <c r="M3214" s="697" t="s">
        <v>292</v>
      </c>
      <c r="N3214" s="525" t="str">
        <f>IF(AND('331-CT'!$E$7=TH!H3214,OR(L3214="331",M3214="331")),"331",IF(AND(OR(L3214="131",M3214="131"),H3214='131-CT'!$E$7),"131",""))</f>
        <v/>
      </c>
      <c r="O3214" s="525" t="str">
        <f>IF(AND($B3214&gt;='111'!$N$11,$B3214&lt;='111'!$O$11,OR($L3214=$O$7,$M3214=$O$7)),"x","")</f>
        <v/>
      </c>
      <c r="P3214" s="525" t="str">
        <f>IF(AND($L3214=$O$7,$B3214&lt;'111'!$N$11),"x","")</f>
        <v/>
      </c>
      <c r="Q3214" s="525" t="str">
        <f>IF(AND($M3214=$O$7,$B3214&lt;'111'!$N$11),"x","")</f>
        <v/>
      </c>
      <c r="R3214" s="525" t="str">
        <f>IF(ISERROR(FIND('112'!$M$9,G3214,1)),"",IF((AND(FIND('112'!$M$9,G3214,1)&gt;=1,$B3214&gt;='112'!$N$8,$B3214&lt;='112'!$O$8,OR($L3214='112'!$I$6,$M3214='112'!$I$6))),"x",""))</f>
        <v/>
      </c>
      <c r="S3214" s="525" t="str">
        <f>IF(ISERROR(FIND('112'!$M$9,G3214,1)),"",IF((AND(LEFT(G3214,2)=LEFT('112'!$M$9,2),B3214&lt;'112'!$N$8,$L3214='112'!$I$6)),"x",""))</f>
        <v/>
      </c>
      <c r="T3214" s="525" t="str">
        <f>IF(ISERROR(FIND('112'!$M$9,G3214,1)),"",IF((AND(RIGHT(G3214,2)=RIGHT('112'!$M$9,2),B3214&lt;'112'!$N$8,$M3214='112'!$I$6)),"x",""))</f>
        <v/>
      </c>
      <c r="U3214" s="525" t="str">
        <f>IF(AND(B3214&gt;='IN-NX'!$P$3,B3214&lt;='IN-NX'!$Q$3,'IN-NX'!$D$7=D3214,OR(LEFT(L3214,2)="15",AND(LEFT(M3214,2)&lt;&gt;"15",LEFT(M3214,2)&lt;&gt;"33"))),"x","")</f>
        <v/>
      </c>
      <c r="V3214" s="525" t="str">
        <f>IF(AND(OR(LEFT(TH!L3214,2)="15",LEFT(TH!M3214,2)="15"),'152-CT'!$J$8=TH!F3214),"x","")</f>
        <v/>
      </c>
      <c r="W3214" s="525" t="str">
        <f>IF(AND(OR(LEFT(TH!L3214,2)="15",LEFT(TH!M3214,2)="15"),TK!$E$7=TH!F3214),"x","")</f>
        <v/>
      </c>
      <c r="X3214" s="525" t="str">
        <f>IF(AND('341-CT'!$E$9=H3214,OR(LEFT(L3214,3)=$X$7,LEFT(M3214,3)=$X$7)),"x","")</f>
        <v/>
      </c>
      <c r="Y3214" s="525" t="str">
        <f>IF(OR(TH!L3214=TH!$Y$7,M3214=TH!$Y$7),"x","")</f>
        <v/>
      </c>
      <c r="Z3214" s="525" t="str">
        <f>IF(AND(B3214&lt;=NKC!$N$8,B3214&gt;=NKC!$M$8),"x","")</f>
        <v/>
      </c>
      <c r="AA3214" s="702"/>
      <c r="AD3214" s="703"/>
    </row>
    <row r="3215" spans="1:30" s="704" customFormat="1" ht="15.75" customHeight="1">
      <c r="A3215" s="517" t="str">
        <f>IF(B3215&lt;&gt;"",IF(AND(B3215&gt;=_TM1,B3215&lt;=_TM2,OR(TH!L3215="1111",TH!M3215="1111")),TH!D3215,""),"")</f>
        <v/>
      </c>
      <c r="B3215" s="698">
        <f t="shared" si="301"/>
        <v>5</v>
      </c>
      <c r="C3215" s="699">
        <f t="shared" si="302"/>
        <v>42882</v>
      </c>
      <c r="D3215" s="699" t="s">
        <v>997</v>
      </c>
      <c r="E3215" s="715">
        <v>42882</v>
      </c>
      <c r="F3215" s="706" t="s">
        <v>428</v>
      </c>
      <c r="G3215" s="716" t="s">
        <v>1222</v>
      </c>
      <c r="H3215" s="694" t="s">
        <v>801</v>
      </c>
      <c r="I3215" s="695">
        <v>40</v>
      </c>
      <c r="J3215" s="695">
        <v>32895</v>
      </c>
      <c r="K3215" s="696">
        <f t="shared" si="303"/>
        <v>1315800</v>
      </c>
      <c r="L3215" s="697" t="s">
        <v>158</v>
      </c>
      <c r="M3215" s="697" t="s">
        <v>292</v>
      </c>
      <c r="N3215" s="525" t="str">
        <f>IF(AND('331-CT'!$E$7=TH!H3215,OR(L3215="331",M3215="331")),"331",IF(AND(OR(L3215="131",M3215="131"),H3215='131-CT'!$E$7),"131",""))</f>
        <v/>
      </c>
      <c r="O3215" s="525" t="str">
        <f>IF(AND($B3215&gt;='111'!$N$11,$B3215&lt;='111'!$O$11,OR($L3215=$O$7,$M3215=$O$7)),"x","")</f>
        <v/>
      </c>
      <c r="P3215" s="525" t="str">
        <f>IF(AND($L3215=$O$7,$B3215&lt;'111'!$N$11),"x","")</f>
        <v/>
      </c>
      <c r="Q3215" s="525" t="str">
        <f>IF(AND($M3215=$O$7,$B3215&lt;'111'!$N$11),"x","")</f>
        <v/>
      </c>
      <c r="R3215" s="525" t="str">
        <f>IF(ISERROR(FIND('112'!$M$9,G3215,1)),"",IF((AND(FIND('112'!$M$9,G3215,1)&gt;=1,$B3215&gt;='112'!$N$8,$B3215&lt;='112'!$O$8,OR($L3215='112'!$I$6,$M3215='112'!$I$6))),"x",""))</f>
        <v/>
      </c>
      <c r="S3215" s="525" t="str">
        <f>IF(ISERROR(FIND('112'!$M$9,G3215,1)),"",IF((AND(LEFT(G3215,2)=LEFT('112'!$M$9,2),B3215&lt;'112'!$N$8,$L3215='112'!$I$6)),"x",""))</f>
        <v/>
      </c>
      <c r="T3215" s="525" t="str">
        <f>IF(ISERROR(FIND('112'!$M$9,G3215,1)),"",IF((AND(RIGHT(G3215,2)=RIGHT('112'!$M$9,2),B3215&lt;'112'!$N$8,$M3215='112'!$I$6)),"x",""))</f>
        <v/>
      </c>
      <c r="U3215" s="525" t="str">
        <f>IF(AND(B3215&gt;='IN-NX'!$P$3,B3215&lt;='IN-NX'!$Q$3,'IN-NX'!$D$7=D3215,OR(LEFT(L3215,2)="15",AND(LEFT(M3215,2)&lt;&gt;"15",LEFT(M3215,2)&lt;&gt;"33"))),"x","")</f>
        <v/>
      </c>
      <c r="V3215" s="525" t="str">
        <f>IF(AND(OR(LEFT(TH!L3215,2)="15",LEFT(TH!M3215,2)="15"),'152-CT'!$J$8=TH!F3215),"x","")</f>
        <v/>
      </c>
      <c r="W3215" s="525" t="str">
        <f>IF(AND(OR(LEFT(TH!L3215,2)="15",LEFT(TH!M3215,2)="15"),TK!$E$7=TH!F3215),"x","")</f>
        <v/>
      </c>
      <c r="X3215" s="525" t="str">
        <f>IF(AND('341-CT'!$E$9=H3215,OR(LEFT(L3215,3)=$X$7,LEFT(M3215,3)=$X$7)),"x","")</f>
        <v/>
      </c>
      <c r="Y3215" s="525" t="str">
        <f>IF(OR(TH!L3215=TH!$Y$7,M3215=TH!$Y$7),"x","")</f>
        <v/>
      </c>
      <c r="Z3215" s="525" t="str">
        <f>IF(AND(B3215&lt;=NKC!$N$8,B3215&gt;=NKC!$M$8),"x","")</f>
        <v/>
      </c>
      <c r="AA3215" s="702"/>
      <c r="AB3215" s="703"/>
      <c r="AD3215" s="703"/>
    </row>
    <row r="3216" spans="1:30" s="704" customFormat="1" ht="15.75" customHeight="1">
      <c r="A3216" s="517" t="str">
        <f>IF(B3216&lt;&gt;"",IF(AND(B3216&gt;=_TM1,B3216&lt;=_TM2,OR(TH!L3216="1111",TH!M3216="1111")),TH!D3216,""),"")</f>
        <v/>
      </c>
      <c r="B3216" s="698">
        <f t="shared" si="301"/>
        <v>5</v>
      </c>
      <c r="C3216" s="699">
        <f t="shared" si="302"/>
        <v>42882</v>
      </c>
      <c r="D3216" s="699" t="s">
        <v>997</v>
      </c>
      <c r="E3216" s="715">
        <v>42882</v>
      </c>
      <c r="F3216" s="706" t="s">
        <v>579</v>
      </c>
      <c r="G3216" s="716" t="s">
        <v>1222</v>
      </c>
      <c r="H3216" s="694" t="s">
        <v>801</v>
      </c>
      <c r="I3216" s="695">
        <v>48</v>
      </c>
      <c r="J3216" s="695">
        <v>25948.5</v>
      </c>
      <c r="K3216" s="696">
        <f t="shared" si="303"/>
        <v>1245528</v>
      </c>
      <c r="L3216" s="697" t="s">
        <v>158</v>
      </c>
      <c r="M3216" s="697" t="s">
        <v>292</v>
      </c>
      <c r="N3216" s="525" t="str">
        <f>IF(AND('331-CT'!$E$7=TH!H3216,OR(L3216="331",M3216="331")),"331",IF(AND(OR(L3216="131",M3216="131"),H3216='131-CT'!$E$7),"131",""))</f>
        <v/>
      </c>
      <c r="O3216" s="525" t="str">
        <f>IF(AND($B3216&gt;='111'!$N$11,$B3216&lt;='111'!$O$11,OR($L3216=$O$7,$M3216=$O$7)),"x","")</f>
        <v/>
      </c>
      <c r="P3216" s="525" t="str">
        <f>IF(AND($L3216=$O$7,$B3216&lt;'111'!$N$11),"x","")</f>
        <v/>
      </c>
      <c r="Q3216" s="525" t="str">
        <f>IF(AND($M3216=$O$7,$B3216&lt;'111'!$N$11),"x","")</f>
        <v/>
      </c>
      <c r="R3216" s="525" t="str">
        <f>IF(ISERROR(FIND('112'!$M$9,G3216,1)),"",IF((AND(FIND('112'!$M$9,G3216,1)&gt;=1,$B3216&gt;='112'!$N$8,$B3216&lt;='112'!$O$8,OR($L3216='112'!$I$6,$M3216='112'!$I$6))),"x",""))</f>
        <v/>
      </c>
      <c r="S3216" s="525" t="str">
        <f>IF(ISERROR(FIND('112'!$M$9,G3216,1)),"",IF((AND(LEFT(G3216,2)=LEFT('112'!$M$9,2),B3216&lt;'112'!$N$8,$L3216='112'!$I$6)),"x",""))</f>
        <v/>
      </c>
      <c r="T3216" s="525" t="str">
        <f>IF(ISERROR(FIND('112'!$M$9,G3216,1)),"",IF((AND(RIGHT(G3216,2)=RIGHT('112'!$M$9,2),B3216&lt;'112'!$N$8,$M3216='112'!$I$6)),"x",""))</f>
        <v/>
      </c>
      <c r="U3216" s="525" t="str">
        <f>IF(AND(B3216&gt;='IN-NX'!$P$3,B3216&lt;='IN-NX'!$Q$3,'IN-NX'!$D$7=D3216,OR(LEFT(L3216,2)="15",AND(LEFT(M3216,2)&lt;&gt;"15",LEFT(M3216,2)&lt;&gt;"33"))),"x","")</f>
        <v/>
      </c>
      <c r="V3216" s="525" t="str">
        <f>IF(AND(OR(LEFT(TH!L3216,2)="15",LEFT(TH!M3216,2)="15"),'152-CT'!$J$8=TH!F3216),"x","")</f>
        <v/>
      </c>
      <c r="W3216" s="525" t="str">
        <f>IF(AND(OR(LEFT(TH!L3216,2)="15",LEFT(TH!M3216,2)="15"),TK!$E$7=TH!F3216),"x","")</f>
        <v/>
      </c>
      <c r="X3216" s="525" t="str">
        <f>IF(AND('341-CT'!$E$9=H3216,OR(LEFT(L3216,3)=$X$7,LEFT(M3216,3)=$X$7)),"x","")</f>
        <v/>
      </c>
      <c r="Y3216" s="525" t="str">
        <f>IF(OR(TH!L3216=TH!$Y$7,M3216=TH!$Y$7),"x","")</f>
        <v/>
      </c>
      <c r="Z3216" s="525" t="str">
        <f>IF(AND(B3216&lt;=NKC!$N$8,B3216&gt;=NKC!$M$8),"x","")</f>
        <v/>
      </c>
      <c r="AA3216" s="702"/>
      <c r="AD3216" s="703"/>
    </row>
    <row r="3217" spans="1:30" s="704" customFormat="1" ht="15.75" customHeight="1">
      <c r="A3217" s="517" t="str">
        <f>IF(B3217&lt;&gt;"",IF(AND(B3217&gt;=_TM1,B3217&lt;=_TM2,OR(TH!L3217="1111",TH!M3217="1111")),TH!D3217,""),"")</f>
        <v/>
      </c>
      <c r="B3217" s="698">
        <f t="shared" si="301"/>
        <v>5</v>
      </c>
      <c r="C3217" s="699">
        <f t="shared" si="302"/>
        <v>42882</v>
      </c>
      <c r="D3217" s="699" t="s">
        <v>997</v>
      </c>
      <c r="E3217" s="715">
        <v>42882</v>
      </c>
      <c r="F3217" s="706" t="s">
        <v>435</v>
      </c>
      <c r="G3217" s="701" t="s">
        <v>1222</v>
      </c>
      <c r="H3217" s="694" t="s">
        <v>801</v>
      </c>
      <c r="I3217" s="695">
        <v>50</v>
      </c>
      <c r="J3217" s="695">
        <v>26193.5</v>
      </c>
      <c r="K3217" s="696">
        <f t="shared" si="303"/>
        <v>1309675</v>
      </c>
      <c r="L3217" s="697" t="s">
        <v>158</v>
      </c>
      <c r="M3217" s="697" t="s">
        <v>292</v>
      </c>
      <c r="N3217" s="525" t="str">
        <f>IF(AND('331-CT'!$E$7=TH!H3217,OR(L3217="331",M3217="331")),"331",IF(AND(OR(L3217="131",M3217="131"),H3217='131-CT'!$E$7),"131",""))</f>
        <v/>
      </c>
      <c r="O3217" s="525" t="str">
        <f>IF(AND($B3217&gt;='111'!$N$11,$B3217&lt;='111'!$O$11,OR($L3217=$O$7,$M3217=$O$7)),"x","")</f>
        <v/>
      </c>
      <c r="P3217" s="525" t="str">
        <f>IF(AND($L3217=$O$7,$B3217&lt;'111'!$N$11),"x","")</f>
        <v/>
      </c>
      <c r="Q3217" s="525" t="str">
        <f>IF(AND($M3217=$O$7,$B3217&lt;'111'!$N$11),"x","")</f>
        <v/>
      </c>
      <c r="R3217" s="525" t="str">
        <f>IF(ISERROR(FIND('112'!$M$9,G3217,1)),"",IF((AND(FIND('112'!$M$9,G3217,1)&gt;=1,$B3217&gt;='112'!$N$8,$B3217&lt;='112'!$O$8,OR($L3217='112'!$I$6,$M3217='112'!$I$6))),"x",""))</f>
        <v/>
      </c>
      <c r="S3217" s="525" t="str">
        <f>IF(ISERROR(FIND('112'!$M$9,G3217,1)),"",IF((AND(LEFT(G3217,2)=LEFT('112'!$M$9,2),B3217&lt;'112'!$N$8,$L3217='112'!$I$6)),"x",""))</f>
        <v/>
      </c>
      <c r="T3217" s="525" t="str">
        <f>IF(ISERROR(FIND('112'!$M$9,G3217,1)),"",IF((AND(RIGHT(G3217,2)=RIGHT('112'!$M$9,2),B3217&lt;'112'!$N$8,$M3217='112'!$I$6)),"x",""))</f>
        <v/>
      </c>
      <c r="U3217" s="525" t="str">
        <f>IF(AND(B3217&gt;='IN-NX'!$P$3,B3217&lt;='IN-NX'!$Q$3,'IN-NX'!$D$7=D3217,OR(LEFT(L3217,2)="15",AND(LEFT(M3217,2)&lt;&gt;"15",LEFT(M3217,2)&lt;&gt;"33"))),"x","")</f>
        <v/>
      </c>
      <c r="V3217" s="525" t="str">
        <f>IF(AND(OR(LEFT(TH!L3217,2)="15",LEFT(TH!M3217,2)="15"),'152-CT'!$J$8=TH!F3217),"x","")</f>
        <v/>
      </c>
      <c r="W3217" s="525" t="str">
        <f>IF(AND(OR(LEFT(TH!L3217,2)="15",LEFT(TH!M3217,2)="15"),TK!$E$7=TH!F3217),"x","")</f>
        <v/>
      </c>
      <c r="X3217" s="525" t="str">
        <f>IF(AND('341-CT'!$E$9=H3217,OR(LEFT(L3217,3)=$X$7,LEFT(M3217,3)=$X$7)),"x","")</f>
        <v/>
      </c>
      <c r="Y3217" s="525" t="str">
        <f>IF(OR(TH!L3217=TH!$Y$7,M3217=TH!$Y$7),"x","")</f>
        <v/>
      </c>
      <c r="Z3217" s="525" t="str">
        <f>IF(AND(B3217&lt;=NKC!$N$8,B3217&gt;=NKC!$M$8),"x","")</f>
        <v/>
      </c>
      <c r="AA3217" s="702"/>
      <c r="AB3217" s="703"/>
    </row>
    <row r="3218" spans="1:30" s="704" customFormat="1" ht="15.75" customHeight="1">
      <c r="A3218" s="517" t="str">
        <f>IF(B3218&lt;&gt;"",IF(AND(B3218&gt;=_TM1,B3218&lt;=_TM2,OR(TH!L3218="1111",TH!M3218="1111")),TH!D3218,""),"")</f>
        <v/>
      </c>
      <c r="B3218" s="698">
        <f t="shared" si="301"/>
        <v>5</v>
      </c>
      <c r="C3218" s="699">
        <f t="shared" si="302"/>
        <v>42882</v>
      </c>
      <c r="D3218" s="699" t="s">
        <v>997</v>
      </c>
      <c r="E3218" s="715">
        <v>42882</v>
      </c>
      <c r="F3218" s="706" t="s">
        <v>410</v>
      </c>
      <c r="G3218" s="701" t="s">
        <v>1222</v>
      </c>
      <c r="H3218" s="694" t="s">
        <v>801</v>
      </c>
      <c r="I3218" s="695">
        <v>23</v>
      </c>
      <c r="J3218" s="695">
        <v>32749</v>
      </c>
      <c r="K3218" s="696">
        <f t="shared" si="303"/>
        <v>753227</v>
      </c>
      <c r="L3218" s="697" t="s">
        <v>158</v>
      </c>
      <c r="M3218" s="697" t="s">
        <v>292</v>
      </c>
      <c r="N3218" s="525" t="str">
        <f>IF(AND('331-CT'!$E$7=TH!H3218,OR(L3218="331",M3218="331")),"331",IF(AND(OR(L3218="131",M3218="131"),H3218='131-CT'!$E$7),"131",""))</f>
        <v/>
      </c>
      <c r="O3218" s="525" t="str">
        <f>IF(AND($B3218&gt;='111'!$N$11,$B3218&lt;='111'!$O$11,OR($L3218=$O$7,$M3218=$O$7)),"x","")</f>
        <v/>
      </c>
      <c r="P3218" s="525" t="str">
        <f>IF(AND($L3218=$O$7,$B3218&lt;'111'!$N$11),"x","")</f>
        <v/>
      </c>
      <c r="Q3218" s="525" t="str">
        <f>IF(AND($M3218=$O$7,$B3218&lt;'111'!$N$11),"x","")</f>
        <v/>
      </c>
      <c r="R3218" s="525" t="str">
        <f>IF(ISERROR(FIND('112'!$M$9,G3218,1)),"",IF((AND(FIND('112'!$M$9,G3218,1)&gt;=1,$B3218&gt;='112'!$N$8,$B3218&lt;='112'!$O$8,OR($L3218='112'!$I$6,$M3218='112'!$I$6))),"x",""))</f>
        <v/>
      </c>
      <c r="S3218" s="525" t="str">
        <f>IF(ISERROR(FIND('112'!$M$9,G3218,1)),"",IF((AND(LEFT(G3218,2)=LEFT('112'!$M$9,2),B3218&lt;'112'!$N$8,$L3218='112'!$I$6)),"x",""))</f>
        <v/>
      </c>
      <c r="T3218" s="525" t="str">
        <f>IF(ISERROR(FIND('112'!$M$9,G3218,1)),"",IF((AND(RIGHT(G3218,2)=RIGHT('112'!$M$9,2),B3218&lt;'112'!$N$8,$M3218='112'!$I$6)),"x",""))</f>
        <v/>
      </c>
      <c r="U3218" s="525" t="str">
        <f>IF(AND(B3218&gt;='IN-NX'!$P$3,B3218&lt;='IN-NX'!$Q$3,'IN-NX'!$D$7=D3218,OR(LEFT(L3218,2)="15",AND(LEFT(M3218,2)&lt;&gt;"15",LEFT(M3218,2)&lt;&gt;"33"))),"x","")</f>
        <v/>
      </c>
      <c r="V3218" s="525" t="str">
        <f>IF(AND(OR(LEFT(TH!L3218,2)="15",LEFT(TH!M3218,2)="15"),'152-CT'!$J$8=TH!F3218),"x","")</f>
        <v/>
      </c>
      <c r="W3218" s="525" t="str">
        <f>IF(AND(OR(LEFT(TH!L3218,2)="15",LEFT(TH!M3218,2)="15"),TK!$E$7=TH!F3218),"x","")</f>
        <v/>
      </c>
      <c r="X3218" s="525" t="str">
        <f>IF(AND('341-CT'!$E$9=H3218,OR(LEFT(L3218,3)=$X$7,LEFT(M3218,3)=$X$7)),"x","")</f>
        <v/>
      </c>
      <c r="Y3218" s="525" t="str">
        <f>IF(OR(TH!L3218=TH!$Y$7,M3218=TH!$Y$7),"x","")</f>
        <v/>
      </c>
      <c r="Z3218" s="525" t="str">
        <f>IF(AND(B3218&lt;=NKC!$N$8,B3218&gt;=NKC!$M$8),"x","")</f>
        <v/>
      </c>
      <c r="AA3218" s="702"/>
      <c r="AB3218" s="703"/>
    </row>
    <row r="3219" spans="1:30" s="704" customFormat="1" ht="15.75" customHeight="1">
      <c r="A3219" s="517" t="str">
        <f>IF(B3219&lt;&gt;"",IF(AND(B3219&gt;=_TM1,B3219&lt;=_TM2,OR(TH!L3219="1111",TH!M3219="1111")),TH!D3219,""),"")</f>
        <v/>
      </c>
      <c r="B3219" s="698">
        <f t="shared" si="301"/>
        <v>5</v>
      </c>
      <c r="C3219" s="699">
        <f t="shared" si="302"/>
        <v>42882</v>
      </c>
      <c r="D3219" s="699" t="s">
        <v>997</v>
      </c>
      <c r="E3219" s="715">
        <v>42882</v>
      </c>
      <c r="F3219" s="700" t="s">
        <v>1089</v>
      </c>
      <c r="G3219" s="701" t="s">
        <v>1222</v>
      </c>
      <c r="H3219" s="694" t="s">
        <v>801</v>
      </c>
      <c r="I3219" s="695">
        <v>144</v>
      </c>
      <c r="J3219" s="695">
        <v>32113.5</v>
      </c>
      <c r="K3219" s="696">
        <f t="shared" si="303"/>
        <v>4624344</v>
      </c>
      <c r="L3219" s="697" t="s">
        <v>158</v>
      </c>
      <c r="M3219" s="697" t="s">
        <v>292</v>
      </c>
      <c r="N3219" s="525" t="str">
        <f>IF(AND('331-CT'!$E$7=TH!H3219,OR(L3219="331",M3219="331")),"331",IF(AND(OR(L3219="131",M3219="131"),H3219='131-CT'!$E$7),"131",""))</f>
        <v/>
      </c>
      <c r="O3219" s="525" t="str">
        <f>IF(AND($B3219&gt;='111'!$N$11,$B3219&lt;='111'!$O$11,OR($L3219=$O$7,$M3219=$O$7)),"x","")</f>
        <v/>
      </c>
      <c r="P3219" s="525" t="str">
        <f>IF(AND($L3219=$O$7,$B3219&lt;'111'!$N$11),"x","")</f>
        <v/>
      </c>
      <c r="Q3219" s="525" t="str">
        <f>IF(AND($M3219=$O$7,$B3219&lt;'111'!$N$11),"x","")</f>
        <v/>
      </c>
      <c r="R3219" s="525" t="str">
        <f>IF(ISERROR(FIND('112'!$M$9,G3219,1)),"",IF((AND(FIND('112'!$M$9,G3219,1)&gt;=1,$B3219&gt;='112'!$N$8,$B3219&lt;='112'!$O$8,OR($L3219='112'!$I$6,$M3219='112'!$I$6))),"x",""))</f>
        <v/>
      </c>
      <c r="S3219" s="525" t="str">
        <f>IF(ISERROR(FIND('112'!$M$9,G3219,1)),"",IF((AND(LEFT(G3219,2)=LEFT('112'!$M$9,2),B3219&lt;'112'!$N$8,$L3219='112'!$I$6)),"x",""))</f>
        <v/>
      </c>
      <c r="T3219" s="525" t="str">
        <f>IF(ISERROR(FIND('112'!$M$9,G3219,1)),"",IF((AND(RIGHT(G3219,2)=RIGHT('112'!$M$9,2),B3219&lt;'112'!$N$8,$M3219='112'!$I$6)),"x",""))</f>
        <v/>
      </c>
      <c r="U3219" s="525" t="str">
        <f>IF(AND(B3219&gt;='IN-NX'!$P$3,B3219&lt;='IN-NX'!$Q$3,'IN-NX'!$D$7=D3219,OR(LEFT(L3219,2)="15",AND(LEFT(M3219,2)&lt;&gt;"15",LEFT(M3219,2)&lt;&gt;"33"))),"x","")</f>
        <v/>
      </c>
      <c r="V3219" s="525" t="str">
        <f>IF(AND(OR(LEFT(TH!L3219,2)="15",LEFT(TH!M3219,2)="15"),'152-CT'!$J$8=TH!F3219),"x","")</f>
        <v/>
      </c>
      <c r="W3219" s="525" t="str">
        <f>IF(AND(OR(LEFT(TH!L3219,2)="15",LEFT(TH!M3219,2)="15"),TK!$E$7=TH!F3219),"x","")</f>
        <v/>
      </c>
      <c r="X3219" s="525" t="str">
        <f>IF(AND('341-CT'!$E$9=H3219,OR(LEFT(L3219,3)=$X$7,LEFT(M3219,3)=$X$7)),"x","")</f>
        <v/>
      </c>
      <c r="Y3219" s="525" t="str">
        <f>IF(OR(TH!L3219=TH!$Y$7,M3219=TH!$Y$7),"x","")</f>
        <v/>
      </c>
      <c r="Z3219" s="525" t="str">
        <f>IF(AND(B3219&lt;=NKC!$N$8,B3219&gt;=NKC!$M$8),"x","")</f>
        <v/>
      </c>
      <c r="AA3219" s="702"/>
      <c r="AB3219" s="703"/>
    </row>
    <row r="3220" spans="1:30" s="704" customFormat="1" ht="15.75" customHeight="1">
      <c r="A3220" s="517" t="str">
        <f>IF(B3220&lt;&gt;"",IF(AND(B3220&gt;=_TM1,B3220&lt;=_TM2,OR(TH!L3220="1111",TH!M3220="1111")),TH!D3220,""),"")</f>
        <v/>
      </c>
      <c r="B3220" s="698">
        <f t="shared" si="301"/>
        <v>5</v>
      </c>
      <c r="C3220" s="699">
        <f t="shared" si="302"/>
        <v>42882</v>
      </c>
      <c r="D3220" s="699" t="s">
        <v>997</v>
      </c>
      <c r="E3220" s="715">
        <v>42882</v>
      </c>
      <c r="F3220" s="706" t="s">
        <v>1086</v>
      </c>
      <c r="G3220" s="716" t="s">
        <v>1222</v>
      </c>
      <c r="H3220" s="694" t="s">
        <v>801</v>
      </c>
      <c r="I3220" s="695">
        <v>40</v>
      </c>
      <c r="J3220" s="695">
        <v>33342</v>
      </c>
      <c r="K3220" s="696">
        <f t="shared" si="303"/>
        <v>1333680</v>
      </c>
      <c r="L3220" s="697" t="s">
        <v>158</v>
      </c>
      <c r="M3220" s="697" t="s">
        <v>292</v>
      </c>
      <c r="N3220" s="525" t="str">
        <f>IF(AND('331-CT'!$E$7=TH!H3220,OR(L3220="331",M3220="331")),"331",IF(AND(OR(L3220="131",M3220="131"),H3220='131-CT'!$E$7),"131",""))</f>
        <v/>
      </c>
      <c r="O3220" s="525" t="str">
        <f>IF(AND($B3220&gt;='111'!$N$11,$B3220&lt;='111'!$O$11,OR($L3220=$O$7,$M3220=$O$7)),"x","")</f>
        <v/>
      </c>
      <c r="P3220" s="525" t="str">
        <f>IF(AND($L3220=$O$7,$B3220&lt;'111'!$N$11),"x","")</f>
        <v/>
      </c>
      <c r="Q3220" s="525" t="str">
        <f>IF(AND($M3220=$O$7,$B3220&lt;'111'!$N$11),"x","")</f>
        <v/>
      </c>
      <c r="R3220" s="525" t="str">
        <f>IF(ISERROR(FIND('112'!$M$9,G3220,1)),"",IF((AND(FIND('112'!$M$9,G3220,1)&gt;=1,$B3220&gt;='112'!$N$8,$B3220&lt;='112'!$O$8,OR($L3220='112'!$I$6,$M3220='112'!$I$6))),"x",""))</f>
        <v/>
      </c>
      <c r="S3220" s="525" t="str">
        <f>IF(ISERROR(FIND('112'!$M$9,G3220,1)),"",IF((AND(LEFT(G3220,2)=LEFT('112'!$M$9,2),B3220&lt;'112'!$N$8,$L3220='112'!$I$6)),"x",""))</f>
        <v/>
      </c>
      <c r="T3220" s="525" t="str">
        <f>IF(ISERROR(FIND('112'!$M$9,G3220,1)),"",IF((AND(RIGHT(G3220,2)=RIGHT('112'!$M$9,2),B3220&lt;'112'!$N$8,$M3220='112'!$I$6)),"x",""))</f>
        <v/>
      </c>
      <c r="U3220" s="525" t="str">
        <f>IF(AND(B3220&gt;='IN-NX'!$P$3,B3220&lt;='IN-NX'!$Q$3,'IN-NX'!$D$7=D3220,OR(LEFT(L3220,2)="15",AND(LEFT(M3220,2)&lt;&gt;"15",LEFT(M3220,2)&lt;&gt;"33"))),"x","")</f>
        <v/>
      </c>
      <c r="V3220" s="525" t="str">
        <f>IF(AND(OR(LEFT(TH!L3220,2)="15",LEFT(TH!M3220,2)="15"),'152-CT'!$J$8=TH!F3220),"x","")</f>
        <v/>
      </c>
      <c r="W3220" s="525" t="str">
        <f>IF(AND(OR(LEFT(TH!L3220,2)="15",LEFT(TH!M3220,2)="15"),TK!$E$7=TH!F3220),"x","")</f>
        <v/>
      </c>
      <c r="X3220" s="525" t="str">
        <f>IF(AND('341-CT'!$E$9=H3220,OR(LEFT(L3220,3)=$X$7,LEFT(M3220,3)=$X$7)),"x","")</f>
        <v/>
      </c>
      <c r="Y3220" s="525" t="str">
        <f>IF(OR(TH!L3220=TH!$Y$7,M3220=TH!$Y$7),"x","")</f>
        <v/>
      </c>
      <c r="Z3220" s="525" t="str">
        <f>IF(AND(B3220&lt;=NKC!$N$8,B3220&gt;=NKC!$M$8),"x","")</f>
        <v/>
      </c>
      <c r="AA3220" s="702"/>
      <c r="AD3220" s="703"/>
    </row>
    <row r="3221" spans="1:30" s="704" customFormat="1" ht="15.75" customHeight="1">
      <c r="A3221" s="517" t="str">
        <f>IF(B3221&lt;&gt;"",IF(AND(B3221&gt;=_TM1,B3221&lt;=_TM2,OR(TH!L3221="1111",TH!M3221="1111")),TH!D3221,""),"")</f>
        <v/>
      </c>
      <c r="B3221" s="698">
        <f t="shared" si="301"/>
        <v>5</v>
      </c>
      <c r="C3221" s="699">
        <f t="shared" si="302"/>
        <v>42882</v>
      </c>
      <c r="D3221" s="699" t="s">
        <v>997</v>
      </c>
      <c r="E3221" s="715">
        <v>42882</v>
      </c>
      <c r="F3221" s="706" t="s">
        <v>387</v>
      </c>
      <c r="G3221" s="701" t="s">
        <v>1222</v>
      </c>
      <c r="H3221" s="694" t="s">
        <v>801</v>
      </c>
      <c r="I3221" s="695">
        <v>40</v>
      </c>
      <c r="J3221" s="695">
        <v>32004</v>
      </c>
      <c r="K3221" s="696">
        <f t="shared" si="303"/>
        <v>1280160</v>
      </c>
      <c r="L3221" s="697" t="s">
        <v>158</v>
      </c>
      <c r="M3221" s="697" t="s">
        <v>292</v>
      </c>
      <c r="N3221" s="525" t="str">
        <f>IF(AND('331-CT'!$E$7=TH!H3221,OR(L3221="331",M3221="331")),"331",IF(AND(OR(L3221="131",M3221="131"),H3221='131-CT'!$E$7),"131",""))</f>
        <v/>
      </c>
      <c r="O3221" s="525" t="str">
        <f>IF(AND($B3221&gt;='111'!$N$11,$B3221&lt;='111'!$O$11,OR($L3221=$O$7,$M3221=$O$7)),"x","")</f>
        <v/>
      </c>
      <c r="P3221" s="525" t="str">
        <f>IF(AND($L3221=$O$7,$B3221&lt;'111'!$N$11),"x","")</f>
        <v/>
      </c>
      <c r="Q3221" s="525" t="str">
        <f>IF(AND($M3221=$O$7,$B3221&lt;'111'!$N$11),"x","")</f>
        <v/>
      </c>
      <c r="R3221" s="525" t="str">
        <f>IF(ISERROR(FIND('112'!$M$9,G3221,1)),"",IF((AND(FIND('112'!$M$9,G3221,1)&gt;=1,$B3221&gt;='112'!$N$8,$B3221&lt;='112'!$O$8,OR($L3221='112'!$I$6,$M3221='112'!$I$6))),"x",""))</f>
        <v/>
      </c>
      <c r="S3221" s="525" t="str">
        <f>IF(ISERROR(FIND('112'!$M$9,G3221,1)),"",IF((AND(LEFT(G3221,2)=LEFT('112'!$M$9,2),B3221&lt;'112'!$N$8,$L3221='112'!$I$6)),"x",""))</f>
        <v/>
      </c>
      <c r="T3221" s="525" t="str">
        <f>IF(ISERROR(FIND('112'!$M$9,G3221,1)),"",IF((AND(RIGHT(G3221,2)=RIGHT('112'!$M$9,2),B3221&lt;'112'!$N$8,$M3221='112'!$I$6)),"x",""))</f>
        <v/>
      </c>
      <c r="U3221" s="525" t="str">
        <f>IF(AND(B3221&gt;='IN-NX'!$P$3,B3221&lt;='IN-NX'!$Q$3,'IN-NX'!$D$7=D3221,OR(LEFT(L3221,2)="15",AND(LEFT(M3221,2)&lt;&gt;"15",LEFT(M3221,2)&lt;&gt;"33"))),"x","")</f>
        <v/>
      </c>
      <c r="V3221" s="525" t="str">
        <f>IF(AND(OR(LEFT(TH!L3221,2)="15",LEFT(TH!M3221,2)="15"),'152-CT'!$J$8=TH!F3221),"x","")</f>
        <v/>
      </c>
      <c r="W3221" s="525" t="str">
        <f>IF(AND(OR(LEFT(TH!L3221,2)="15",LEFT(TH!M3221,2)="15"),TK!$E$7=TH!F3221),"x","")</f>
        <v/>
      </c>
      <c r="X3221" s="525" t="str">
        <f>IF(AND('341-CT'!$E$9=H3221,OR(LEFT(L3221,3)=$X$7,LEFT(M3221,3)=$X$7)),"x","")</f>
        <v/>
      </c>
      <c r="Y3221" s="525" t="str">
        <f>IF(OR(TH!L3221=TH!$Y$7,M3221=TH!$Y$7),"x","")</f>
        <v/>
      </c>
      <c r="Z3221" s="525" t="str">
        <f>IF(AND(B3221&lt;=NKC!$N$8,B3221&gt;=NKC!$M$8),"x","")</f>
        <v/>
      </c>
      <c r="AA3221" s="702"/>
      <c r="AB3221" s="703"/>
    </row>
    <row r="3222" spans="1:30" s="704" customFormat="1" ht="15.75" customHeight="1">
      <c r="A3222" s="517" t="str">
        <f>IF(B3222&lt;&gt;"",IF(AND(B3222&gt;=_TM1,B3222&lt;=_TM2,OR(TH!L3222="1111",TH!M3222="1111")),TH!D3222,""),"")</f>
        <v/>
      </c>
      <c r="B3222" s="698">
        <f t="shared" si="301"/>
        <v>5</v>
      </c>
      <c r="C3222" s="699">
        <f t="shared" si="302"/>
        <v>42882</v>
      </c>
      <c r="D3222" s="699" t="s">
        <v>997</v>
      </c>
      <c r="E3222" s="715">
        <v>42882</v>
      </c>
      <c r="F3222" s="700" t="s">
        <v>323</v>
      </c>
      <c r="G3222" s="701" t="s">
        <v>1222</v>
      </c>
      <c r="H3222" s="694" t="s">
        <v>801</v>
      </c>
      <c r="I3222" s="695">
        <v>36</v>
      </c>
      <c r="J3222" s="695">
        <v>25155</v>
      </c>
      <c r="K3222" s="696">
        <f t="shared" si="303"/>
        <v>905580</v>
      </c>
      <c r="L3222" s="697" t="s">
        <v>158</v>
      </c>
      <c r="M3222" s="697" t="s">
        <v>292</v>
      </c>
      <c r="N3222" s="525" t="str">
        <f>IF(AND('331-CT'!$E$7=TH!H3222,OR(L3222="331",M3222="331")),"331",IF(AND(OR(L3222="131",M3222="131"),H3222='131-CT'!$E$7),"131",""))</f>
        <v/>
      </c>
      <c r="O3222" s="525" t="str">
        <f>IF(AND($B3222&gt;='111'!$N$11,$B3222&lt;='111'!$O$11,OR($L3222=$O$7,$M3222=$O$7)),"x","")</f>
        <v/>
      </c>
      <c r="P3222" s="525" t="str">
        <f>IF(AND($L3222=$O$7,$B3222&lt;'111'!$N$11),"x","")</f>
        <v/>
      </c>
      <c r="Q3222" s="525" t="str">
        <f>IF(AND($M3222=$O$7,$B3222&lt;'111'!$N$11),"x","")</f>
        <v/>
      </c>
      <c r="R3222" s="525" t="str">
        <f>IF(ISERROR(FIND('112'!$M$9,G3222,1)),"",IF((AND(FIND('112'!$M$9,G3222,1)&gt;=1,$B3222&gt;='112'!$N$8,$B3222&lt;='112'!$O$8,OR($L3222='112'!$I$6,$M3222='112'!$I$6))),"x",""))</f>
        <v/>
      </c>
      <c r="S3222" s="525" t="str">
        <f>IF(ISERROR(FIND('112'!$M$9,G3222,1)),"",IF((AND(LEFT(G3222,2)=LEFT('112'!$M$9,2),B3222&lt;'112'!$N$8,$L3222='112'!$I$6)),"x",""))</f>
        <v/>
      </c>
      <c r="T3222" s="525" t="str">
        <f>IF(ISERROR(FIND('112'!$M$9,G3222,1)),"",IF((AND(RIGHT(G3222,2)=RIGHT('112'!$M$9,2),B3222&lt;'112'!$N$8,$M3222='112'!$I$6)),"x",""))</f>
        <v/>
      </c>
      <c r="U3222" s="525" t="str">
        <f>IF(AND(B3222&gt;='IN-NX'!$P$3,B3222&lt;='IN-NX'!$Q$3,'IN-NX'!$D$7=D3222,OR(LEFT(L3222,2)="15",AND(LEFT(M3222,2)&lt;&gt;"15",LEFT(M3222,2)&lt;&gt;"33"))),"x","")</f>
        <v/>
      </c>
      <c r="V3222" s="525" t="str">
        <f>IF(AND(OR(LEFT(TH!L3222,2)="15",LEFT(TH!M3222,2)="15"),'152-CT'!$J$8=TH!F3222),"x","")</f>
        <v/>
      </c>
      <c r="W3222" s="525" t="str">
        <f>IF(AND(OR(LEFT(TH!L3222,2)="15",LEFT(TH!M3222,2)="15"),TK!$E$7=TH!F3222),"x","")</f>
        <v/>
      </c>
      <c r="X3222" s="525" t="str">
        <f>IF(AND('341-CT'!$E$9=H3222,OR(LEFT(L3222,3)=$X$7,LEFT(M3222,3)=$X$7)),"x","")</f>
        <v/>
      </c>
      <c r="Y3222" s="525" t="str">
        <f>IF(OR(TH!L3222=TH!$Y$7,M3222=TH!$Y$7),"x","")</f>
        <v/>
      </c>
      <c r="Z3222" s="525" t="str">
        <f>IF(AND(B3222&lt;=NKC!$N$8,B3222&gt;=NKC!$M$8),"x","")</f>
        <v/>
      </c>
      <c r="AA3222" s="702"/>
      <c r="AB3222" s="703"/>
    </row>
    <row r="3223" spans="1:30" s="689" customFormat="1" ht="15.75" customHeight="1">
      <c r="A3223" s="517" t="str">
        <f>IF(B3223&lt;&gt;"",IF(AND(B3223&gt;=_TM1,B3223&lt;=_TM2,OR(TH!L3223="1111",TH!M3223="1111")),TH!D3223,""),"")</f>
        <v/>
      </c>
      <c r="B3223" s="685">
        <f t="shared" si="301"/>
        <v>5</v>
      </c>
      <c r="C3223" s="671">
        <f t="shared" si="302"/>
        <v>42860</v>
      </c>
      <c r="D3223" s="671" t="s">
        <v>996</v>
      </c>
      <c r="E3223" s="671">
        <v>42860</v>
      </c>
      <c r="F3223" s="720" t="s">
        <v>1032</v>
      </c>
      <c r="G3223" s="686" t="s">
        <v>1125</v>
      </c>
      <c r="H3223" s="675" t="s">
        <v>1184</v>
      </c>
      <c r="I3223" s="676">
        <v>3632</v>
      </c>
      <c r="J3223" s="676">
        <v>12634.759911894273</v>
      </c>
      <c r="K3223" s="677">
        <f t="shared" si="303"/>
        <v>45889448</v>
      </c>
      <c r="L3223" s="678" t="s">
        <v>292</v>
      </c>
      <c r="M3223" s="678" t="s">
        <v>158</v>
      </c>
      <c r="N3223" s="525" t="str">
        <f>IF(AND('331-CT'!$E$7=TH!H3223,OR(L3223="331",M3223="331")),"331",IF(AND(OR(L3223="131",M3223="131"),H3223='131-CT'!$E$7),"131",""))</f>
        <v/>
      </c>
      <c r="O3223" s="525" t="str">
        <f>IF(AND($B3223&gt;='111'!$N$11,$B3223&lt;='111'!$O$11,OR($L3223=$O$7,$M3223=$O$7)),"x","")</f>
        <v/>
      </c>
      <c r="P3223" s="525" t="str">
        <f>IF(AND($L3223=$O$7,$B3223&lt;'111'!$N$11),"x","")</f>
        <v/>
      </c>
      <c r="Q3223" s="525" t="str">
        <f>IF(AND($M3223=$O$7,$B3223&lt;'111'!$N$11),"x","")</f>
        <v/>
      </c>
      <c r="R3223" s="525" t="str">
        <f>IF(ISERROR(FIND('112'!$M$9,G3223,1)),"",IF((AND(FIND('112'!$M$9,G3223,1)&gt;=1,$B3223&gt;='112'!$N$8,$B3223&lt;='112'!$O$8,OR($L3223='112'!$I$6,$M3223='112'!$I$6))),"x",""))</f>
        <v/>
      </c>
      <c r="S3223" s="525" t="str">
        <f>IF(ISERROR(FIND('112'!$M$9,G3223,1)),"",IF((AND(LEFT(G3223,2)=LEFT('112'!$M$9,2),B3223&lt;'112'!$N$8,$L3223='112'!$I$6)),"x",""))</f>
        <v/>
      </c>
      <c r="T3223" s="525" t="str">
        <f>IF(ISERROR(FIND('112'!$M$9,G3223,1)),"",IF((AND(RIGHT(G3223,2)=RIGHT('112'!$M$9,2),B3223&lt;'112'!$N$8,$M3223='112'!$I$6)),"x",""))</f>
        <v/>
      </c>
      <c r="U3223" s="525" t="str">
        <f>IF(AND(B3223&gt;='IN-NX'!$P$3,B3223&lt;='IN-NX'!$Q$3,'IN-NX'!$D$7=D3223,OR(LEFT(L3223,2)="15",AND(LEFT(M3223,2)&lt;&gt;"15",LEFT(M3223,2)&lt;&gt;"33"))),"x","")</f>
        <v/>
      </c>
      <c r="V3223" s="525" t="str">
        <f>IF(AND(OR(LEFT(TH!L3223,2)="15",LEFT(TH!M3223,2)="15"),'152-CT'!$J$8=TH!F3223),"x","")</f>
        <v/>
      </c>
      <c r="W3223" s="525" t="str">
        <f>IF(AND(OR(LEFT(TH!L3223,2)="15",LEFT(TH!M3223,2)="15"),TK!$E$7=TH!F3223),"x","")</f>
        <v/>
      </c>
      <c r="X3223" s="525" t="str">
        <f>IF(AND('341-CT'!$E$9=H3223,OR(LEFT(L3223,3)=$X$7,LEFT(M3223,3)=$X$7)),"x","")</f>
        <v/>
      </c>
      <c r="Y3223" s="525" t="str">
        <f>IF(OR(TH!L3223=TH!$Y$7,M3223=TH!$Y$7),"x","")</f>
        <v/>
      </c>
      <c r="Z3223" s="525" t="str">
        <f>IF(AND(B3223&lt;=NKC!$N$8,B3223&gt;=NKC!$M$8),"x","")</f>
        <v/>
      </c>
      <c r="AA3223" s="687"/>
      <c r="AB3223" s="688"/>
      <c r="AC3223" s="503"/>
    </row>
    <row r="3224" spans="1:30" s="689" customFormat="1" ht="15.75" customHeight="1">
      <c r="A3224" s="517" t="str">
        <f>IF(B3224&lt;&gt;"",IF(AND(B3224&gt;=_TM1,B3224&lt;=_TM2,OR(TH!L3224="1111",TH!M3224="1111")),TH!D3224,""),"")</f>
        <v/>
      </c>
      <c r="B3224" s="685">
        <f t="shared" si="301"/>
        <v>5</v>
      </c>
      <c r="C3224" s="671">
        <f t="shared" si="302"/>
        <v>42872</v>
      </c>
      <c r="D3224" s="671" t="s">
        <v>996</v>
      </c>
      <c r="E3224" s="671">
        <v>42872</v>
      </c>
      <c r="F3224" s="720" t="s">
        <v>1217</v>
      </c>
      <c r="G3224" s="686" t="s">
        <v>1220</v>
      </c>
      <c r="H3224" s="675" t="s">
        <v>1184</v>
      </c>
      <c r="I3224" s="676">
        <v>280</v>
      </c>
      <c r="J3224" s="676">
        <v>8131.9250000000002</v>
      </c>
      <c r="K3224" s="677">
        <f t="shared" si="303"/>
        <v>2276939</v>
      </c>
      <c r="L3224" s="678" t="s">
        <v>292</v>
      </c>
      <c r="M3224" s="678" t="s">
        <v>158</v>
      </c>
      <c r="N3224" s="525" t="str">
        <f>IF(AND('331-CT'!$E$7=TH!H3224,OR(L3224="331",M3224="331")),"331",IF(AND(OR(L3224="131",M3224="131"),H3224='131-CT'!$E$7),"131",""))</f>
        <v/>
      </c>
      <c r="O3224" s="525" t="str">
        <f>IF(AND($B3224&gt;='111'!$N$11,$B3224&lt;='111'!$O$11,OR($L3224=$O$7,$M3224=$O$7)),"x","")</f>
        <v/>
      </c>
      <c r="P3224" s="525" t="str">
        <f>IF(AND($L3224=$O$7,$B3224&lt;'111'!$N$11),"x","")</f>
        <v/>
      </c>
      <c r="Q3224" s="525" t="str">
        <f>IF(AND($M3224=$O$7,$B3224&lt;'111'!$N$11),"x","")</f>
        <v/>
      </c>
      <c r="R3224" s="525" t="str">
        <f>IF(ISERROR(FIND('112'!$M$9,G3224,1)),"",IF((AND(FIND('112'!$M$9,G3224,1)&gt;=1,$B3224&gt;='112'!$N$8,$B3224&lt;='112'!$O$8,OR($L3224='112'!$I$6,$M3224='112'!$I$6))),"x",""))</f>
        <v/>
      </c>
      <c r="S3224" s="525" t="str">
        <f>IF(ISERROR(FIND('112'!$M$9,G3224,1)),"",IF((AND(LEFT(G3224,2)=LEFT('112'!$M$9,2),B3224&lt;'112'!$N$8,$L3224='112'!$I$6)),"x",""))</f>
        <v/>
      </c>
      <c r="T3224" s="525" t="str">
        <f>IF(ISERROR(FIND('112'!$M$9,G3224,1)),"",IF((AND(RIGHT(G3224,2)=RIGHT('112'!$M$9,2),B3224&lt;'112'!$N$8,$M3224='112'!$I$6)),"x",""))</f>
        <v/>
      </c>
      <c r="U3224" s="525" t="str">
        <f>IF(AND(B3224&gt;='IN-NX'!$P$3,B3224&lt;='IN-NX'!$Q$3,'IN-NX'!$D$7=D3224,OR(LEFT(L3224,2)="15",AND(LEFT(M3224,2)&lt;&gt;"15",LEFT(M3224,2)&lt;&gt;"33"))),"x","")</f>
        <v/>
      </c>
      <c r="V3224" s="525" t="str">
        <f>IF(AND(OR(LEFT(TH!L3224,2)="15",LEFT(TH!M3224,2)="15"),'152-CT'!$J$8=TH!F3224),"x","")</f>
        <v/>
      </c>
      <c r="W3224" s="525" t="str">
        <f>IF(AND(OR(LEFT(TH!L3224,2)="15",LEFT(TH!M3224,2)="15"),TK!$E$7=TH!F3224),"x","")</f>
        <v/>
      </c>
      <c r="X3224" s="525" t="str">
        <f>IF(AND('341-CT'!$E$9=H3224,OR(LEFT(L3224,3)=$X$7,LEFT(M3224,3)=$X$7)),"x","")</f>
        <v/>
      </c>
      <c r="Y3224" s="525" t="str">
        <f>IF(OR(TH!L3224=TH!$Y$7,M3224=TH!$Y$7),"x","")</f>
        <v/>
      </c>
      <c r="Z3224" s="525" t="str">
        <f>IF(AND(B3224&lt;=NKC!$N$8,B3224&gt;=NKC!$M$8),"x","")</f>
        <v/>
      </c>
      <c r="AA3224" s="687"/>
      <c r="AB3224" s="688"/>
      <c r="AC3224" s="503"/>
    </row>
    <row r="3225" spans="1:30" s="689" customFormat="1" ht="15.75" customHeight="1">
      <c r="A3225" s="517" t="str">
        <f>IF(B3225&lt;&gt;"",IF(AND(B3225&gt;=_TM1,B3225&lt;=_TM2,OR(TH!L3225="1111",TH!M3225="1111")),TH!D3225,""),"")</f>
        <v/>
      </c>
      <c r="B3225" s="685">
        <f t="shared" si="301"/>
        <v>5</v>
      </c>
      <c r="C3225" s="671">
        <f t="shared" si="302"/>
        <v>42872</v>
      </c>
      <c r="D3225" s="671" t="s">
        <v>996</v>
      </c>
      <c r="E3225" s="671">
        <v>42872</v>
      </c>
      <c r="F3225" s="673" t="s">
        <v>1217</v>
      </c>
      <c r="G3225" s="686" t="s">
        <v>1220</v>
      </c>
      <c r="H3225" s="675" t="s">
        <v>1184</v>
      </c>
      <c r="I3225" s="676">
        <v>350</v>
      </c>
      <c r="J3225" s="676">
        <v>8382.017142857143</v>
      </c>
      <c r="K3225" s="677">
        <f t="shared" si="303"/>
        <v>2933706</v>
      </c>
      <c r="L3225" s="678" t="s">
        <v>292</v>
      </c>
      <c r="M3225" s="678" t="s">
        <v>158</v>
      </c>
      <c r="N3225" s="525" t="str">
        <f>IF(AND('331-CT'!$E$7=TH!H3225,OR(L3225="331",M3225="331")),"331",IF(AND(OR(L3225="131",M3225="131"),H3225='131-CT'!$E$7),"131",""))</f>
        <v/>
      </c>
      <c r="O3225" s="525" t="str">
        <f>IF(AND($B3225&gt;='111'!$N$11,$B3225&lt;='111'!$O$11,OR($L3225=$O$7,$M3225=$O$7)),"x","")</f>
        <v/>
      </c>
      <c r="P3225" s="525" t="str">
        <f>IF(AND($L3225=$O$7,$B3225&lt;'111'!$N$11),"x","")</f>
        <v/>
      </c>
      <c r="Q3225" s="525" t="str">
        <f>IF(AND($M3225=$O$7,$B3225&lt;'111'!$N$11),"x","")</f>
        <v/>
      </c>
      <c r="R3225" s="525" t="str">
        <f>IF(ISERROR(FIND('112'!$M$9,G3225,1)),"",IF((AND(FIND('112'!$M$9,G3225,1)&gt;=1,$B3225&gt;='112'!$N$8,$B3225&lt;='112'!$O$8,OR($L3225='112'!$I$6,$M3225='112'!$I$6))),"x",""))</f>
        <v/>
      </c>
      <c r="S3225" s="525" t="str">
        <f>IF(ISERROR(FIND('112'!$M$9,G3225,1)),"",IF((AND(LEFT(G3225,2)=LEFT('112'!$M$9,2),B3225&lt;'112'!$N$8,$L3225='112'!$I$6)),"x",""))</f>
        <v/>
      </c>
      <c r="T3225" s="525" t="str">
        <f>IF(ISERROR(FIND('112'!$M$9,G3225,1)),"",IF((AND(RIGHT(G3225,2)=RIGHT('112'!$M$9,2),B3225&lt;'112'!$N$8,$M3225='112'!$I$6)),"x",""))</f>
        <v/>
      </c>
      <c r="U3225" s="525" t="str">
        <f>IF(AND(B3225&gt;='IN-NX'!$P$3,B3225&lt;='IN-NX'!$Q$3,'IN-NX'!$D$7=D3225,OR(LEFT(L3225,2)="15",AND(LEFT(M3225,2)&lt;&gt;"15",LEFT(M3225,2)&lt;&gt;"33"))),"x","")</f>
        <v/>
      </c>
      <c r="V3225" s="525" t="str">
        <f>IF(AND(OR(LEFT(TH!L3225,2)="15",LEFT(TH!M3225,2)="15"),'152-CT'!$J$8=TH!F3225),"x","")</f>
        <v/>
      </c>
      <c r="W3225" s="525" t="str">
        <f>IF(AND(OR(LEFT(TH!L3225,2)="15",LEFT(TH!M3225,2)="15"),TK!$E$7=TH!F3225),"x","")</f>
        <v/>
      </c>
      <c r="X3225" s="525" t="str">
        <f>IF(AND('341-CT'!$E$9=H3225,OR(LEFT(L3225,3)=$X$7,LEFT(M3225,3)=$X$7)),"x","")</f>
        <v/>
      </c>
      <c r="Y3225" s="525" t="str">
        <f>IF(OR(TH!L3225=TH!$Y$7,M3225=TH!$Y$7),"x","")</f>
        <v/>
      </c>
      <c r="Z3225" s="525" t="str">
        <f>IF(AND(B3225&lt;=NKC!$N$8,B3225&gt;=NKC!$M$8),"x","")</f>
        <v/>
      </c>
      <c r="AA3225" s="687"/>
      <c r="AB3225" s="688"/>
      <c r="AC3225" s="503"/>
    </row>
    <row r="3226" spans="1:30" s="689" customFormat="1" ht="15.75" customHeight="1">
      <c r="A3226" s="517" t="str">
        <f>IF(B3226&lt;&gt;"",IF(AND(B3226&gt;=_TM1,B3226&lt;=_TM2,OR(TH!L3226="1111",TH!M3226="1111")),TH!D3226,""),"")</f>
        <v/>
      </c>
      <c r="B3226" s="685">
        <f t="shared" si="301"/>
        <v>5</v>
      </c>
      <c r="C3226" s="671">
        <f t="shared" si="302"/>
        <v>42872</v>
      </c>
      <c r="D3226" s="671" t="s">
        <v>996</v>
      </c>
      <c r="E3226" s="671">
        <v>42872</v>
      </c>
      <c r="F3226" s="720" t="s">
        <v>1217</v>
      </c>
      <c r="G3226" s="674" t="s">
        <v>1220</v>
      </c>
      <c r="H3226" s="675" t="s">
        <v>1184</v>
      </c>
      <c r="I3226" s="676">
        <v>400</v>
      </c>
      <c r="J3226" s="676">
        <v>7616.4250000000002</v>
      </c>
      <c r="K3226" s="677">
        <f t="shared" si="303"/>
        <v>3046570</v>
      </c>
      <c r="L3226" s="678" t="s">
        <v>292</v>
      </c>
      <c r="M3226" s="678" t="s">
        <v>158</v>
      </c>
      <c r="N3226" s="525" t="str">
        <f>IF(AND('331-CT'!$E$7=TH!H3226,OR(L3226="331",M3226="331")),"331",IF(AND(OR(L3226="131",M3226="131"),H3226='131-CT'!$E$7),"131",""))</f>
        <v/>
      </c>
      <c r="O3226" s="525" t="str">
        <f>IF(AND($B3226&gt;='111'!$N$11,$B3226&lt;='111'!$O$11,OR($L3226=$O$7,$M3226=$O$7)),"x","")</f>
        <v/>
      </c>
      <c r="P3226" s="525" t="str">
        <f>IF(AND($L3226=$O$7,$B3226&lt;'111'!$N$11),"x","")</f>
        <v/>
      </c>
      <c r="Q3226" s="525" t="str">
        <f>IF(AND($M3226=$O$7,$B3226&lt;'111'!$N$11),"x","")</f>
        <v/>
      </c>
      <c r="R3226" s="525" t="str">
        <f>IF(ISERROR(FIND('112'!$M$9,G3226,1)),"",IF((AND(FIND('112'!$M$9,G3226,1)&gt;=1,$B3226&gt;='112'!$N$8,$B3226&lt;='112'!$O$8,OR($L3226='112'!$I$6,$M3226='112'!$I$6))),"x",""))</f>
        <v/>
      </c>
      <c r="S3226" s="525" t="str">
        <f>IF(ISERROR(FIND('112'!$M$9,G3226,1)),"",IF((AND(LEFT(G3226,2)=LEFT('112'!$M$9,2),B3226&lt;'112'!$N$8,$L3226='112'!$I$6)),"x",""))</f>
        <v/>
      </c>
      <c r="T3226" s="525" t="str">
        <f>IF(ISERROR(FIND('112'!$M$9,G3226,1)),"",IF((AND(RIGHT(G3226,2)=RIGHT('112'!$M$9,2),B3226&lt;'112'!$N$8,$M3226='112'!$I$6)),"x",""))</f>
        <v/>
      </c>
      <c r="U3226" s="525" t="str">
        <f>IF(AND(B3226&gt;='IN-NX'!$P$3,B3226&lt;='IN-NX'!$Q$3,'IN-NX'!$D$7=D3226,OR(LEFT(L3226,2)="15",AND(LEFT(M3226,2)&lt;&gt;"15",LEFT(M3226,2)&lt;&gt;"33"))),"x","")</f>
        <v/>
      </c>
      <c r="V3226" s="525" t="str">
        <f>IF(AND(OR(LEFT(TH!L3226,2)="15",LEFT(TH!M3226,2)="15"),'152-CT'!$J$8=TH!F3226),"x","")</f>
        <v/>
      </c>
      <c r="W3226" s="525" t="str">
        <f>IF(AND(OR(LEFT(TH!L3226,2)="15",LEFT(TH!M3226,2)="15"),TK!$E$7=TH!F3226),"x","")</f>
        <v/>
      </c>
      <c r="X3226" s="525" t="str">
        <f>IF(AND('341-CT'!$E$9=H3226,OR(LEFT(L3226,3)=$X$7,LEFT(M3226,3)=$X$7)),"x","")</f>
        <v/>
      </c>
      <c r="Y3226" s="525" t="str">
        <f>IF(OR(TH!L3226=TH!$Y$7,M3226=TH!$Y$7),"x","")</f>
        <v/>
      </c>
      <c r="Z3226" s="525" t="str">
        <f>IF(AND(B3226&lt;=NKC!$N$8,B3226&gt;=NKC!$M$8),"x","")</f>
        <v/>
      </c>
      <c r="AA3226" s="687"/>
      <c r="AB3226" s="688"/>
      <c r="AC3226" s="503"/>
    </row>
    <row r="3227" spans="1:30" s="689" customFormat="1" ht="15.75" customHeight="1">
      <c r="A3227" s="517" t="str">
        <f>IF(B3227&lt;&gt;"",IF(AND(B3227&gt;=_TM1,B3227&lt;=_TM2,OR(TH!L3227="1111",TH!M3227="1111")),TH!D3227,""),"")</f>
        <v/>
      </c>
      <c r="B3227" s="685">
        <f t="shared" si="301"/>
        <v>5</v>
      </c>
      <c r="C3227" s="671">
        <f t="shared" si="302"/>
        <v>42872</v>
      </c>
      <c r="D3227" s="671" t="s">
        <v>996</v>
      </c>
      <c r="E3227" s="671">
        <v>42872</v>
      </c>
      <c r="F3227" s="720" t="s">
        <v>1217</v>
      </c>
      <c r="G3227" s="686" t="s">
        <v>1220</v>
      </c>
      <c r="H3227" s="675" t="s">
        <v>1184</v>
      </c>
      <c r="I3227" s="676">
        <v>1000</v>
      </c>
      <c r="J3227" s="676">
        <v>8418.9249999999993</v>
      </c>
      <c r="K3227" s="677">
        <f t="shared" si="303"/>
        <v>8418925</v>
      </c>
      <c r="L3227" s="678" t="s">
        <v>292</v>
      </c>
      <c r="M3227" s="678" t="s">
        <v>158</v>
      </c>
      <c r="N3227" s="525" t="str">
        <f>IF(AND('331-CT'!$E$7=TH!H3227,OR(L3227="331",M3227="331")),"331",IF(AND(OR(L3227="131",M3227="131"),H3227='131-CT'!$E$7),"131",""))</f>
        <v/>
      </c>
      <c r="O3227" s="525" t="str">
        <f>IF(AND($B3227&gt;='111'!$N$11,$B3227&lt;='111'!$O$11,OR($L3227=$O$7,$M3227=$O$7)),"x","")</f>
        <v/>
      </c>
      <c r="P3227" s="525" t="str">
        <f>IF(AND($L3227=$O$7,$B3227&lt;'111'!$N$11),"x","")</f>
        <v/>
      </c>
      <c r="Q3227" s="525" t="str">
        <f>IF(AND($M3227=$O$7,$B3227&lt;'111'!$N$11),"x","")</f>
        <v/>
      </c>
      <c r="R3227" s="525" t="str">
        <f>IF(ISERROR(FIND('112'!$M$9,G3227,1)),"",IF((AND(FIND('112'!$M$9,G3227,1)&gt;=1,$B3227&gt;='112'!$N$8,$B3227&lt;='112'!$O$8,OR($L3227='112'!$I$6,$M3227='112'!$I$6))),"x",""))</f>
        <v/>
      </c>
      <c r="S3227" s="525" t="str">
        <f>IF(ISERROR(FIND('112'!$M$9,G3227,1)),"",IF((AND(LEFT(G3227,2)=LEFT('112'!$M$9,2),B3227&lt;'112'!$N$8,$L3227='112'!$I$6)),"x",""))</f>
        <v/>
      </c>
      <c r="T3227" s="525" t="str">
        <f>IF(ISERROR(FIND('112'!$M$9,G3227,1)),"",IF((AND(RIGHT(G3227,2)=RIGHT('112'!$M$9,2),B3227&lt;'112'!$N$8,$M3227='112'!$I$6)),"x",""))</f>
        <v/>
      </c>
      <c r="U3227" s="525" t="str">
        <f>IF(AND(B3227&gt;='IN-NX'!$P$3,B3227&lt;='IN-NX'!$Q$3,'IN-NX'!$D$7=D3227,OR(LEFT(L3227,2)="15",AND(LEFT(M3227,2)&lt;&gt;"15",LEFT(M3227,2)&lt;&gt;"33"))),"x","")</f>
        <v/>
      </c>
      <c r="V3227" s="525" t="str">
        <f>IF(AND(OR(LEFT(TH!L3227,2)="15",LEFT(TH!M3227,2)="15"),'152-CT'!$J$8=TH!F3227),"x","")</f>
        <v/>
      </c>
      <c r="W3227" s="525" t="str">
        <f>IF(AND(OR(LEFT(TH!L3227,2)="15",LEFT(TH!M3227,2)="15"),TK!$E$7=TH!F3227),"x","")</f>
        <v/>
      </c>
      <c r="X3227" s="525" t="str">
        <f>IF(AND('341-CT'!$E$9=H3227,OR(LEFT(L3227,3)=$X$7,LEFT(M3227,3)=$X$7)),"x","")</f>
        <v/>
      </c>
      <c r="Y3227" s="525" t="str">
        <f>IF(OR(TH!L3227=TH!$Y$7,M3227=TH!$Y$7),"x","")</f>
        <v/>
      </c>
      <c r="Z3227" s="525" t="str">
        <f>IF(AND(B3227&lt;=NKC!$N$8,B3227&gt;=NKC!$M$8),"x","")</f>
        <v/>
      </c>
      <c r="AA3227" s="687"/>
      <c r="AB3227" s="688"/>
      <c r="AC3227" s="503"/>
    </row>
    <row r="3228" spans="1:30" s="689" customFormat="1" ht="15.75" customHeight="1">
      <c r="A3228" s="517" t="str">
        <f>IF(B3228&lt;&gt;"",IF(AND(B3228&gt;=_TM1,B3228&lt;=_TM2,OR(TH!L3228="1111",TH!M3228="1111")),TH!D3228,""),"")</f>
        <v/>
      </c>
      <c r="B3228" s="685">
        <f t="shared" si="301"/>
        <v>5</v>
      </c>
      <c r="C3228" s="671">
        <f t="shared" si="302"/>
        <v>42875</v>
      </c>
      <c r="D3228" s="671" t="s">
        <v>996</v>
      </c>
      <c r="E3228" s="671">
        <v>42875</v>
      </c>
      <c r="F3228" s="720" t="s">
        <v>503</v>
      </c>
      <c r="G3228" s="686" t="s">
        <v>1194</v>
      </c>
      <c r="H3228" s="675" t="s">
        <v>1184</v>
      </c>
      <c r="I3228" s="676">
        <v>2100</v>
      </c>
      <c r="J3228" s="676">
        <v>6019.5423809523809</v>
      </c>
      <c r="K3228" s="677">
        <f t="shared" si="303"/>
        <v>12641039</v>
      </c>
      <c r="L3228" s="678" t="s">
        <v>292</v>
      </c>
      <c r="M3228" s="678" t="s">
        <v>158</v>
      </c>
      <c r="N3228" s="525" t="str">
        <f>IF(AND('331-CT'!$E$7=TH!H3228,OR(L3228="331",M3228="331")),"331",IF(AND(OR(L3228="131",M3228="131"),H3228='131-CT'!$E$7),"131",""))</f>
        <v/>
      </c>
      <c r="O3228" s="525" t="str">
        <f>IF(AND($B3228&gt;='111'!$N$11,$B3228&lt;='111'!$O$11,OR($L3228=$O$7,$M3228=$O$7)),"x","")</f>
        <v/>
      </c>
      <c r="P3228" s="525" t="str">
        <f>IF(AND($L3228=$O$7,$B3228&lt;'111'!$N$11),"x","")</f>
        <v/>
      </c>
      <c r="Q3228" s="525" t="str">
        <f>IF(AND($M3228=$O$7,$B3228&lt;'111'!$N$11),"x","")</f>
        <v/>
      </c>
      <c r="R3228" s="525" t="str">
        <f>IF(ISERROR(FIND('112'!$M$9,G3228,1)),"",IF((AND(FIND('112'!$M$9,G3228,1)&gt;=1,$B3228&gt;='112'!$N$8,$B3228&lt;='112'!$O$8,OR($L3228='112'!$I$6,$M3228='112'!$I$6))),"x",""))</f>
        <v/>
      </c>
      <c r="S3228" s="525" t="str">
        <f>IF(ISERROR(FIND('112'!$M$9,G3228,1)),"",IF((AND(LEFT(G3228,2)=LEFT('112'!$M$9,2),B3228&lt;'112'!$N$8,$L3228='112'!$I$6)),"x",""))</f>
        <v/>
      </c>
      <c r="T3228" s="525" t="str">
        <f>IF(ISERROR(FIND('112'!$M$9,G3228,1)),"",IF((AND(RIGHT(G3228,2)=RIGHT('112'!$M$9,2),B3228&lt;'112'!$N$8,$M3228='112'!$I$6)),"x",""))</f>
        <v/>
      </c>
      <c r="U3228" s="525" t="str">
        <f>IF(AND(B3228&gt;='IN-NX'!$P$3,B3228&lt;='IN-NX'!$Q$3,'IN-NX'!$D$7=D3228,OR(LEFT(L3228,2)="15",AND(LEFT(M3228,2)&lt;&gt;"15",LEFT(M3228,2)&lt;&gt;"33"))),"x","")</f>
        <v/>
      </c>
      <c r="V3228" s="525" t="str">
        <f>IF(AND(OR(LEFT(TH!L3228,2)="15",LEFT(TH!M3228,2)="15"),'152-CT'!$J$8=TH!F3228),"x","")</f>
        <v/>
      </c>
      <c r="W3228" s="525" t="str">
        <f>IF(AND(OR(LEFT(TH!L3228,2)="15",LEFT(TH!M3228,2)="15"),TK!$E$7=TH!F3228),"x","")</f>
        <v/>
      </c>
      <c r="X3228" s="525" t="str">
        <f>IF(AND('341-CT'!$E$9=H3228,OR(LEFT(L3228,3)=$X$7,LEFT(M3228,3)=$X$7)),"x","")</f>
        <v/>
      </c>
      <c r="Y3228" s="525" t="str">
        <f>IF(OR(TH!L3228=TH!$Y$7,M3228=TH!$Y$7),"x","")</f>
        <v/>
      </c>
      <c r="Z3228" s="525" t="str">
        <f>IF(AND(B3228&lt;=NKC!$N$8,B3228&gt;=NKC!$M$8),"x","")</f>
        <v/>
      </c>
      <c r="AA3228" s="687"/>
      <c r="AB3228" s="688"/>
      <c r="AC3228" s="503"/>
    </row>
    <row r="3229" spans="1:30" s="689" customFormat="1" ht="15.75" customHeight="1">
      <c r="A3229" s="517" t="str">
        <f>IF(B3229&lt;&gt;"",IF(AND(B3229&gt;=_TM1,B3229&lt;=_TM2,OR(TH!L3229="1111",TH!M3229="1111")),TH!D3229,""),"")</f>
        <v/>
      </c>
      <c r="B3229" s="685">
        <f t="shared" si="301"/>
        <v>5</v>
      </c>
      <c r="C3229" s="671">
        <f t="shared" si="302"/>
        <v>42879</v>
      </c>
      <c r="D3229" s="671" t="s">
        <v>996</v>
      </c>
      <c r="E3229" s="671">
        <v>42879</v>
      </c>
      <c r="F3229" s="673" t="s">
        <v>1217</v>
      </c>
      <c r="G3229" s="686" t="s">
        <v>1221</v>
      </c>
      <c r="H3229" s="675" t="s">
        <v>1184</v>
      </c>
      <c r="I3229" s="676">
        <v>230</v>
      </c>
      <c r="J3229" s="676">
        <v>8379.9608695652169</v>
      </c>
      <c r="K3229" s="677">
        <f t="shared" si="303"/>
        <v>1927391</v>
      </c>
      <c r="L3229" s="678" t="s">
        <v>292</v>
      </c>
      <c r="M3229" s="678" t="s">
        <v>158</v>
      </c>
      <c r="N3229" s="525" t="str">
        <f>IF(AND('331-CT'!$E$7=TH!H3229,OR(L3229="331",M3229="331")),"331",IF(AND(OR(L3229="131",M3229="131"),H3229='131-CT'!$E$7),"131",""))</f>
        <v/>
      </c>
      <c r="O3229" s="525" t="str">
        <f>IF(AND($B3229&gt;='111'!$N$11,$B3229&lt;='111'!$O$11,OR($L3229=$O$7,$M3229=$O$7)),"x","")</f>
        <v/>
      </c>
      <c r="P3229" s="525" t="str">
        <f>IF(AND($L3229=$O$7,$B3229&lt;'111'!$N$11),"x","")</f>
        <v/>
      </c>
      <c r="Q3229" s="525" t="str">
        <f>IF(AND($M3229=$O$7,$B3229&lt;'111'!$N$11),"x","")</f>
        <v/>
      </c>
      <c r="R3229" s="525" t="str">
        <f>IF(ISERROR(FIND('112'!$M$9,G3229,1)),"",IF((AND(FIND('112'!$M$9,G3229,1)&gt;=1,$B3229&gt;='112'!$N$8,$B3229&lt;='112'!$O$8,OR($L3229='112'!$I$6,$M3229='112'!$I$6))),"x",""))</f>
        <v/>
      </c>
      <c r="S3229" s="525" t="str">
        <f>IF(ISERROR(FIND('112'!$M$9,G3229,1)),"",IF((AND(LEFT(G3229,2)=LEFT('112'!$M$9,2),B3229&lt;'112'!$N$8,$L3229='112'!$I$6)),"x",""))</f>
        <v/>
      </c>
      <c r="T3229" s="525" t="str">
        <f>IF(ISERROR(FIND('112'!$M$9,G3229,1)),"",IF((AND(RIGHT(G3229,2)=RIGHT('112'!$M$9,2),B3229&lt;'112'!$N$8,$M3229='112'!$I$6)),"x",""))</f>
        <v/>
      </c>
      <c r="U3229" s="525" t="str">
        <f>IF(AND(B3229&gt;='IN-NX'!$P$3,B3229&lt;='IN-NX'!$Q$3,'IN-NX'!$D$7=D3229,OR(LEFT(L3229,2)="15",AND(LEFT(M3229,2)&lt;&gt;"15",LEFT(M3229,2)&lt;&gt;"33"))),"x","")</f>
        <v/>
      </c>
      <c r="V3229" s="525" t="str">
        <f>IF(AND(OR(LEFT(TH!L3229,2)="15",LEFT(TH!M3229,2)="15"),'152-CT'!$J$8=TH!F3229),"x","")</f>
        <v/>
      </c>
      <c r="W3229" s="525" t="str">
        <f>IF(AND(OR(LEFT(TH!L3229,2)="15",LEFT(TH!M3229,2)="15"),TK!$E$7=TH!F3229),"x","")</f>
        <v/>
      </c>
      <c r="X3229" s="525" t="str">
        <f>IF(AND('341-CT'!$E$9=H3229,OR(LEFT(L3229,3)=$X$7,LEFT(M3229,3)=$X$7)),"x","")</f>
        <v/>
      </c>
      <c r="Y3229" s="525" t="str">
        <f>IF(OR(TH!L3229=TH!$Y$7,M3229=TH!$Y$7),"x","")</f>
        <v/>
      </c>
      <c r="Z3229" s="525" t="str">
        <f>IF(AND(B3229&lt;=NKC!$N$8,B3229&gt;=NKC!$M$8),"x","")</f>
        <v/>
      </c>
      <c r="AA3229" s="687"/>
      <c r="AB3229" s="688"/>
      <c r="AC3229" s="503"/>
    </row>
    <row r="3230" spans="1:30" s="689" customFormat="1" ht="15.75" customHeight="1">
      <c r="A3230" s="517" t="str">
        <f>IF(B3230&lt;&gt;"",IF(AND(B3230&gt;=_TM1,B3230&lt;=_TM2,OR(TH!L3230="1111",TH!M3230="1111")),TH!D3230,""),"")</f>
        <v/>
      </c>
      <c r="B3230" s="685">
        <f t="shared" si="301"/>
        <v>5</v>
      </c>
      <c r="C3230" s="671">
        <f t="shared" si="302"/>
        <v>42879</v>
      </c>
      <c r="D3230" s="671" t="s">
        <v>996</v>
      </c>
      <c r="E3230" s="671">
        <v>42879</v>
      </c>
      <c r="F3230" s="720" t="s">
        <v>1217</v>
      </c>
      <c r="G3230" s="674" t="s">
        <v>1221</v>
      </c>
      <c r="H3230" s="675" t="s">
        <v>1184</v>
      </c>
      <c r="I3230" s="676">
        <v>460</v>
      </c>
      <c r="J3230" s="676">
        <v>8754.3608695652165</v>
      </c>
      <c r="K3230" s="677">
        <f t="shared" si="303"/>
        <v>4027006</v>
      </c>
      <c r="L3230" s="678" t="s">
        <v>292</v>
      </c>
      <c r="M3230" s="678" t="s">
        <v>158</v>
      </c>
      <c r="N3230" s="525" t="str">
        <f>IF(AND('331-CT'!$E$7=TH!H3230,OR(L3230="331",M3230="331")),"331",IF(AND(OR(L3230="131",M3230="131"),H3230='131-CT'!$E$7),"131",""))</f>
        <v/>
      </c>
      <c r="O3230" s="525" t="str">
        <f>IF(AND($B3230&gt;='111'!$N$11,$B3230&lt;='111'!$O$11,OR($L3230=$O$7,$M3230=$O$7)),"x","")</f>
        <v/>
      </c>
      <c r="P3230" s="525" t="str">
        <f>IF(AND($L3230=$O$7,$B3230&lt;'111'!$N$11),"x","")</f>
        <v/>
      </c>
      <c r="Q3230" s="525" t="str">
        <f>IF(AND($M3230=$O$7,$B3230&lt;'111'!$N$11),"x","")</f>
        <v/>
      </c>
      <c r="R3230" s="525" t="str">
        <f>IF(ISERROR(FIND('112'!$M$9,G3230,1)),"",IF((AND(FIND('112'!$M$9,G3230,1)&gt;=1,$B3230&gt;='112'!$N$8,$B3230&lt;='112'!$O$8,OR($L3230='112'!$I$6,$M3230='112'!$I$6))),"x",""))</f>
        <v/>
      </c>
      <c r="S3230" s="525" t="str">
        <f>IF(ISERROR(FIND('112'!$M$9,G3230,1)),"",IF((AND(LEFT(G3230,2)=LEFT('112'!$M$9,2),B3230&lt;'112'!$N$8,$L3230='112'!$I$6)),"x",""))</f>
        <v/>
      </c>
      <c r="T3230" s="525" t="str">
        <f>IF(ISERROR(FIND('112'!$M$9,G3230,1)),"",IF((AND(RIGHT(G3230,2)=RIGHT('112'!$M$9,2),B3230&lt;'112'!$N$8,$M3230='112'!$I$6)),"x",""))</f>
        <v/>
      </c>
      <c r="U3230" s="525" t="str">
        <f>IF(AND(B3230&gt;='IN-NX'!$P$3,B3230&lt;='IN-NX'!$Q$3,'IN-NX'!$D$7=D3230,OR(LEFT(L3230,2)="15",AND(LEFT(M3230,2)&lt;&gt;"15",LEFT(M3230,2)&lt;&gt;"33"))),"x","")</f>
        <v/>
      </c>
      <c r="V3230" s="525" t="str">
        <f>IF(AND(OR(LEFT(TH!L3230,2)="15",LEFT(TH!M3230,2)="15"),'152-CT'!$J$8=TH!F3230),"x","")</f>
        <v/>
      </c>
      <c r="W3230" s="525" t="str">
        <f>IF(AND(OR(LEFT(TH!L3230,2)="15",LEFT(TH!M3230,2)="15"),TK!$E$7=TH!F3230),"x","")</f>
        <v/>
      </c>
      <c r="X3230" s="525" t="str">
        <f>IF(AND('341-CT'!$E$9=H3230,OR(LEFT(L3230,3)=$X$7,LEFT(M3230,3)=$X$7)),"x","")</f>
        <v/>
      </c>
      <c r="Y3230" s="525" t="str">
        <f>IF(OR(TH!L3230=TH!$Y$7,M3230=TH!$Y$7),"x","")</f>
        <v/>
      </c>
      <c r="Z3230" s="525" t="str">
        <f>IF(AND(B3230&lt;=NKC!$N$8,B3230&gt;=NKC!$M$8),"x","")</f>
        <v/>
      </c>
      <c r="AA3230" s="687"/>
      <c r="AB3230" s="688"/>
      <c r="AC3230" s="503"/>
    </row>
    <row r="3231" spans="1:30" s="689" customFormat="1" ht="15.75" customHeight="1">
      <c r="A3231" s="517" t="str">
        <f>IF(B3231&lt;&gt;"",IF(AND(B3231&gt;=_TM1,B3231&lt;=_TM2,OR(TH!L3231="1111",TH!M3231="1111")),TH!D3231,""),"")</f>
        <v/>
      </c>
      <c r="B3231" s="685">
        <f t="shared" ref="B3231:B3238" si="304">IF(C3231&lt;&gt;"",MONTH(C3231),"")</f>
        <v>5</v>
      </c>
      <c r="C3231" s="671">
        <f t="shared" ref="C3231:C3238" si="305">E3231</f>
        <v>42879</v>
      </c>
      <c r="D3231" s="671" t="s">
        <v>996</v>
      </c>
      <c r="E3231" s="671">
        <v>42879</v>
      </c>
      <c r="F3231" s="720" t="s">
        <v>1217</v>
      </c>
      <c r="G3231" s="686" t="s">
        <v>1221</v>
      </c>
      <c r="H3231" s="675" t="s">
        <v>1184</v>
      </c>
      <c r="I3231" s="676">
        <v>360</v>
      </c>
      <c r="J3231" s="676">
        <v>8863.9249999999993</v>
      </c>
      <c r="K3231" s="677">
        <f t="shared" ref="K3231:K3238" si="306">ROUND(I3231*J3231,0)</f>
        <v>3191013</v>
      </c>
      <c r="L3231" s="678" t="s">
        <v>292</v>
      </c>
      <c r="M3231" s="678" t="s">
        <v>158</v>
      </c>
      <c r="N3231" s="525" t="str">
        <f>IF(AND('331-CT'!$E$7=TH!H3231,OR(L3231="331",M3231="331")),"331",IF(AND(OR(L3231="131",M3231="131"),H3231='131-CT'!$E$7),"131",""))</f>
        <v/>
      </c>
      <c r="O3231" s="525" t="str">
        <f>IF(AND($B3231&gt;='111'!$N$11,$B3231&lt;='111'!$O$11,OR($L3231=$O$7,$M3231=$O$7)),"x","")</f>
        <v/>
      </c>
      <c r="P3231" s="525" t="str">
        <f>IF(AND($L3231=$O$7,$B3231&lt;'111'!$N$11),"x","")</f>
        <v/>
      </c>
      <c r="Q3231" s="525" t="str">
        <f>IF(AND($M3231=$O$7,$B3231&lt;'111'!$N$11),"x","")</f>
        <v/>
      </c>
      <c r="R3231" s="525" t="str">
        <f>IF(ISERROR(FIND('112'!$M$9,G3231,1)),"",IF((AND(FIND('112'!$M$9,G3231,1)&gt;=1,$B3231&gt;='112'!$N$8,$B3231&lt;='112'!$O$8,OR($L3231='112'!$I$6,$M3231='112'!$I$6))),"x",""))</f>
        <v/>
      </c>
      <c r="S3231" s="525" t="str">
        <f>IF(ISERROR(FIND('112'!$M$9,G3231,1)),"",IF((AND(LEFT(G3231,2)=LEFT('112'!$M$9,2),B3231&lt;'112'!$N$8,$L3231='112'!$I$6)),"x",""))</f>
        <v/>
      </c>
      <c r="T3231" s="525" t="str">
        <f>IF(ISERROR(FIND('112'!$M$9,G3231,1)),"",IF((AND(RIGHT(G3231,2)=RIGHT('112'!$M$9,2),B3231&lt;'112'!$N$8,$M3231='112'!$I$6)),"x",""))</f>
        <v/>
      </c>
      <c r="U3231" s="525" t="str">
        <f>IF(AND(B3231&gt;='IN-NX'!$P$3,B3231&lt;='IN-NX'!$Q$3,'IN-NX'!$D$7=D3231,OR(LEFT(L3231,2)="15",AND(LEFT(M3231,2)&lt;&gt;"15",LEFT(M3231,2)&lt;&gt;"33"))),"x","")</f>
        <v/>
      </c>
      <c r="V3231" s="525" t="str">
        <f>IF(AND(OR(LEFT(TH!L3231,2)="15",LEFT(TH!M3231,2)="15"),'152-CT'!$J$8=TH!F3231),"x","")</f>
        <v/>
      </c>
      <c r="W3231" s="525" t="str">
        <f>IF(AND(OR(LEFT(TH!L3231,2)="15",LEFT(TH!M3231,2)="15"),TK!$E$7=TH!F3231),"x","")</f>
        <v/>
      </c>
      <c r="X3231" s="525" t="str">
        <f>IF(AND('341-CT'!$E$9=H3231,OR(LEFT(L3231,3)=$X$7,LEFT(M3231,3)=$X$7)),"x","")</f>
        <v/>
      </c>
      <c r="Y3231" s="525" t="str">
        <f>IF(OR(TH!L3231=TH!$Y$7,M3231=TH!$Y$7),"x","")</f>
        <v/>
      </c>
      <c r="Z3231" s="525" t="str">
        <f>IF(AND(B3231&lt;=NKC!$N$8,B3231&gt;=NKC!$M$8),"x","")</f>
        <v/>
      </c>
      <c r="AA3231" s="687"/>
      <c r="AB3231" s="688"/>
      <c r="AC3231" s="503"/>
    </row>
    <row r="3232" spans="1:30" s="689" customFormat="1" ht="15.75" customHeight="1">
      <c r="A3232" s="517" t="str">
        <f>IF(B3232&lt;&gt;"",IF(AND(B3232&gt;=_TM1,B3232&lt;=_TM2,OR(TH!L3232="1111",TH!M3232="1111")),TH!D3232,""),"")</f>
        <v/>
      </c>
      <c r="B3232" s="685">
        <f t="shared" si="304"/>
        <v>5</v>
      </c>
      <c r="C3232" s="671">
        <f t="shared" si="305"/>
        <v>42879</v>
      </c>
      <c r="D3232" s="671" t="s">
        <v>996</v>
      </c>
      <c r="E3232" s="671">
        <v>42879</v>
      </c>
      <c r="F3232" s="720" t="s">
        <v>1217</v>
      </c>
      <c r="G3232" s="686" t="s">
        <v>1221</v>
      </c>
      <c r="H3232" s="675" t="s">
        <v>1184</v>
      </c>
      <c r="I3232" s="676">
        <v>620</v>
      </c>
      <c r="J3232" s="676">
        <v>8429.9903225806447</v>
      </c>
      <c r="K3232" s="677">
        <f t="shared" si="306"/>
        <v>5226594</v>
      </c>
      <c r="L3232" s="678" t="s">
        <v>292</v>
      </c>
      <c r="M3232" s="678" t="s">
        <v>158</v>
      </c>
      <c r="N3232" s="525" t="str">
        <f>IF(AND('331-CT'!$E$7=TH!H3232,OR(L3232="331",M3232="331")),"331",IF(AND(OR(L3232="131",M3232="131"),H3232='131-CT'!$E$7),"131",""))</f>
        <v/>
      </c>
      <c r="O3232" s="525" t="str">
        <f>IF(AND($B3232&gt;='111'!$N$11,$B3232&lt;='111'!$O$11,OR($L3232=$O$7,$M3232=$O$7)),"x","")</f>
        <v/>
      </c>
      <c r="P3232" s="525" t="str">
        <f>IF(AND($L3232=$O$7,$B3232&lt;'111'!$N$11),"x","")</f>
        <v/>
      </c>
      <c r="Q3232" s="525" t="str">
        <f>IF(AND($M3232=$O$7,$B3232&lt;'111'!$N$11),"x","")</f>
        <v/>
      </c>
      <c r="R3232" s="525" t="str">
        <f>IF(ISERROR(FIND('112'!$M$9,G3232,1)),"",IF((AND(FIND('112'!$M$9,G3232,1)&gt;=1,$B3232&gt;='112'!$N$8,$B3232&lt;='112'!$O$8,OR($L3232='112'!$I$6,$M3232='112'!$I$6))),"x",""))</f>
        <v/>
      </c>
      <c r="S3232" s="525" t="str">
        <f>IF(ISERROR(FIND('112'!$M$9,G3232,1)),"",IF((AND(LEFT(G3232,2)=LEFT('112'!$M$9,2),B3232&lt;'112'!$N$8,$L3232='112'!$I$6)),"x",""))</f>
        <v/>
      </c>
      <c r="T3232" s="525" t="str">
        <f>IF(ISERROR(FIND('112'!$M$9,G3232,1)),"",IF((AND(RIGHT(G3232,2)=RIGHT('112'!$M$9,2),B3232&lt;'112'!$N$8,$M3232='112'!$I$6)),"x",""))</f>
        <v/>
      </c>
      <c r="U3232" s="525" t="str">
        <f>IF(AND(B3232&gt;='IN-NX'!$P$3,B3232&lt;='IN-NX'!$Q$3,'IN-NX'!$D$7=D3232,OR(LEFT(L3232,2)="15",AND(LEFT(M3232,2)&lt;&gt;"15",LEFT(M3232,2)&lt;&gt;"33"))),"x","")</f>
        <v/>
      </c>
      <c r="V3232" s="525" t="str">
        <f>IF(AND(OR(LEFT(TH!L3232,2)="15",LEFT(TH!M3232,2)="15"),'152-CT'!$J$8=TH!F3232),"x","")</f>
        <v/>
      </c>
      <c r="W3232" s="525" t="str">
        <f>IF(AND(OR(LEFT(TH!L3232,2)="15",LEFT(TH!M3232,2)="15"),TK!$E$7=TH!F3232),"x","")</f>
        <v/>
      </c>
      <c r="X3232" s="525" t="str">
        <f>IF(AND('341-CT'!$E$9=H3232,OR(LEFT(L3232,3)=$X$7,LEFT(M3232,3)=$X$7)),"x","")</f>
        <v/>
      </c>
      <c r="Y3232" s="525" t="str">
        <f>IF(OR(TH!L3232=TH!$Y$7,M3232=TH!$Y$7),"x","")</f>
        <v/>
      </c>
      <c r="Z3232" s="525" t="str">
        <f>IF(AND(B3232&lt;=NKC!$N$8,B3232&gt;=NKC!$M$8),"x","")</f>
        <v/>
      </c>
      <c r="AA3232" s="687"/>
      <c r="AB3232" s="688"/>
      <c r="AC3232" s="503"/>
    </row>
    <row r="3233" spans="1:29" s="689" customFormat="1" ht="15.75" customHeight="1">
      <c r="A3233" s="517" t="str">
        <f>IF(B3233&lt;&gt;"",IF(AND(B3233&gt;=_TM1,B3233&lt;=_TM2,OR(TH!L3233="1111",TH!M3233="1111")),TH!D3233,""),"")</f>
        <v/>
      </c>
      <c r="B3233" s="685">
        <f t="shared" si="304"/>
        <v>5</v>
      </c>
      <c r="C3233" s="671">
        <f t="shared" si="305"/>
        <v>42879</v>
      </c>
      <c r="D3233" s="671" t="s">
        <v>996</v>
      </c>
      <c r="E3233" s="671">
        <v>42879</v>
      </c>
      <c r="F3233" s="673" t="s">
        <v>1217</v>
      </c>
      <c r="G3233" s="686" t="s">
        <v>1221</v>
      </c>
      <c r="H3233" s="675" t="s">
        <v>1184</v>
      </c>
      <c r="I3233" s="676">
        <v>240</v>
      </c>
      <c r="J3233" s="676">
        <v>8662.4249999999993</v>
      </c>
      <c r="K3233" s="677">
        <f t="shared" si="306"/>
        <v>2078982</v>
      </c>
      <c r="L3233" s="678" t="s">
        <v>292</v>
      </c>
      <c r="M3233" s="678" t="s">
        <v>158</v>
      </c>
      <c r="N3233" s="525" t="str">
        <f>IF(AND('331-CT'!$E$7=TH!H3233,OR(L3233="331",M3233="331")),"331",IF(AND(OR(L3233="131",M3233="131"),H3233='131-CT'!$E$7),"131",""))</f>
        <v/>
      </c>
      <c r="O3233" s="525" t="str">
        <f>IF(AND($B3233&gt;='111'!$N$11,$B3233&lt;='111'!$O$11,OR($L3233=$O$7,$M3233=$O$7)),"x","")</f>
        <v/>
      </c>
      <c r="P3233" s="525" t="str">
        <f>IF(AND($L3233=$O$7,$B3233&lt;'111'!$N$11),"x","")</f>
        <v/>
      </c>
      <c r="Q3233" s="525" t="str">
        <f>IF(AND($M3233=$O$7,$B3233&lt;'111'!$N$11),"x","")</f>
        <v/>
      </c>
      <c r="R3233" s="525" t="str">
        <f>IF(ISERROR(FIND('112'!$M$9,G3233,1)),"",IF((AND(FIND('112'!$M$9,G3233,1)&gt;=1,$B3233&gt;='112'!$N$8,$B3233&lt;='112'!$O$8,OR($L3233='112'!$I$6,$M3233='112'!$I$6))),"x",""))</f>
        <v/>
      </c>
      <c r="S3233" s="525" t="str">
        <f>IF(ISERROR(FIND('112'!$M$9,G3233,1)),"",IF((AND(LEFT(G3233,2)=LEFT('112'!$M$9,2),B3233&lt;'112'!$N$8,$L3233='112'!$I$6)),"x",""))</f>
        <v/>
      </c>
      <c r="T3233" s="525" t="str">
        <f>IF(ISERROR(FIND('112'!$M$9,G3233,1)),"",IF((AND(RIGHT(G3233,2)=RIGHT('112'!$M$9,2),B3233&lt;'112'!$N$8,$M3233='112'!$I$6)),"x",""))</f>
        <v/>
      </c>
      <c r="U3233" s="525" t="str">
        <f>IF(AND(B3233&gt;='IN-NX'!$P$3,B3233&lt;='IN-NX'!$Q$3,'IN-NX'!$D$7=D3233,OR(LEFT(L3233,2)="15",AND(LEFT(M3233,2)&lt;&gt;"15",LEFT(M3233,2)&lt;&gt;"33"))),"x","")</f>
        <v/>
      </c>
      <c r="V3233" s="525" t="str">
        <f>IF(AND(OR(LEFT(TH!L3233,2)="15",LEFT(TH!M3233,2)="15"),'152-CT'!$J$8=TH!F3233),"x","")</f>
        <v/>
      </c>
      <c r="W3233" s="525" t="str">
        <f>IF(AND(OR(LEFT(TH!L3233,2)="15",LEFT(TH!M3233,2)="15"),TK!$E$7=TH!F3233),"x","")</f>
        <v/>
      </c>
      <c r="X3233" s="525" t="str">
        <f>IF(AND('341-CT'!$E$9=H3233,OR(LEFT(L3233,3)=$X$7,LEFT(M3233,3)=$X$7)),"x","")</f>
        <v/>
      </c>
      <c r="Y3233" s="525" t="str">
        <f>IF(OR(TH!L3233=TH!$Y$7,M3233=TH!$Y$7),"x","")</f>
        <v/>
      </c>
      <c r="Z3233" s="525" t="str">
        <f>IF(AND(B3233&lt;=NKC!$N$8,B3233&gt;=NKC!$M$8),"x","")</f>
        <v/>
      </c>
      <c r="AA3233" s="687"/>
      <c r="AB3233" s="688"/>
      <c r="AC3233" s="503"/>
    </row>
    <row r="3234" spans="1:29" s="689" customFormat="1" ht="15.75" customHeight="1">
      <c r="A3234" s="517" t="str">
        <f>IF(B3234&lt;&gt;"",IF(AND(B3234&gt;=_TM1,B3234&lt;=_TM2,OR(TH!L3234="1111",TH!M3234="1111")),TH!D3234,""),"")</f>
        <v/>
      </c>
      <c r="B3234" s="685">
        <f t="shared" si="304"/>
        <v>5</v>
      </c>
      <c r="C3234" s="671">
        <f t="shared" si="305"/>
        <v>42879</v>
      </c>
      <c r="D3234" s="671" t="s">
        <v>996</v>
      </c>
      <c r="E3234" s="671">
        <v>42879</v>
      </c>
      <c r="F3234" s="720" t="s">
        <v>1217</v>
      </c>
      <c r="G3234" s="674" t="s">
        <v>1221</v>
      </c>
      <c r="H3234" s="675" t="s">
        <v>1184</v>
      </c>
      <c r="I3234" s="676">
        <v>120</v>
      </c>
      <c r="J3234" s="676">
        <v>8782.9249999999993</v>
      </c>
      <c r="K3234" s="677">
        <f t="shared" si="306"/>
        <v>1053951</v>
      </c>
      <c r="L3234" s="678" t="s">
        <v>292</v>
      </c>
      <c r="M3234" s="678" t="s">
        <v>158</v>
      </c>
      <c r="N3234" s="525" t="str">
        <f>IF(AND('331-CT'!$E$7=TH!H3234,OR(L3234="331",M3234="331")),"331",IF(AND(OR(L3234="131",M3234="131"),H3234='131-CT'!$E$7),"131",""))</f>
        <v/>
      </c>
      <c r="O3234" s="525" t="str">
        <f>IF(AND($B3234&gt;='111'!$N$11,$B3234&lt;='111'!$O$11,OR($L3234=$O$7,$M3234=$O$7)),"x","")</f>
        <v/>
      </c>
      <c r="P3234" s="525" t="str">
        <f>IF(AND($L3234=$O$7,$B3234&lt;'111'!$N$11),"x","")</f>
        <v/>
      </c>
      <c r="Q3234" s="525" t="str">
        <f>IF(AND($M3234=$O$7,$B3234&lt;'111'!$N$11),"x","")</f>
        <v/>
      </c>
      <c r="R3234" s="525" t="str">
        <f>IF(ISERROR(FIND('112'!$M$9,G3234,1)),"",IF((AND(FIND('112'!$M$9,G3234,1)&gt;=1,$B3234&gt;='112'!$N$8,$B3234&lt;='112'!$O$8,OR($L3234='112'!$I$6,$M3234='112'!$I$6))),"x",""))</f>
        <v/>
      </c>
      <c r="S3234" s="525" t="str">
        <f>IF(ISERROR(FIND('112'!$M$9,G3234,1)),"",IF((AND(LEFT(G3234,2)=LEFT('112'!$M$9,2),B3234&lt;'112'!$N$8,$L3234='112'!$I$6)),"x",""))</f>
        <v/>
      </c>
      <c r="T3234" s="525" t="str">
        <f>IF(ISERROR(FIND('112'!$M$9,G3234,1)),"",IF((AND(RIGHT(G3234,2)=RIGHT('112'!$M$9,2),B3234&lt;'112'!$N$8,$M3234='112'!$I$6)),"x",""))</f>
        <v/>
      </c>
      <c r="U3234" s="525" t="str">
        <f>IF(AND(B3234&gt;='IN-NX'!$P$3,B3234&lt;='IN-NX'!$Q$3,'IN-NX'!$D$7=D3234,OR(LEFT(L3234,2)="15",AND(LEFT(M3234,2)&lt;&gt;"15",LEFT(M3234,2)&lt;&gt;"33"))),"x","")</f>
        <v/>
      </c>
      <c r="V3234" s="525" t="str">
        <f>IF(AND(OR(LEFT(TH!L3234,2)="15",LEFT(TH!M3234,2)="15"),'152-CT'!$J$8=TH!F3234),"x","")</f>
        <v/>
      </c>
      <c r="W3234" s="525" t="str">
        <f>IF(AND(OR(LEFT(TH!L3234,2)="15",LEFT(TH!M3234,2)="15"),TK!$E$7=TH!F3234),"x","")</f>
        <v/>
      </c>
      <c r="X3234" s="525" t="str">
        <f>IF(AND('341-CT'!$E$9=H3234,OR(LEFT(L3234,3)=$X$7,LEFT(M3234,3)=$X$7)),"x","")</f>
        <v/>
      </c>
      <c r="Y3234" s="525" t="str">
        <f>IF(OR(TH!L3234=TH!$Y$7,M3234=TH!$Y$7),"x","")</f>
        <v/>
      </c>
      <c r="Z3234" s="525" t="str">
        <f>IF(AND(B3234&lt;=NKC!$N$8,B3234&gt;=NKC!$M$8),"x","")</f>
        <v/>
      </c>
      <c r="AA3234" s="687"/>
      <c r="AB3234" s="688"/>
      <c r="AC3234" s="503"/>
    </row>
    <row r="3235" spans="1:29" s="689" customFormat="1" ht="15.75" customHeight="1">
      <c r="A3235" s="517" t="str">
        <f>IF(B3235&lt;&gt;"",IF(AND(B3235&gt;=_TM1,B3235&lt;=_TM2,OR(TH!L3235="1111",TH!M3235="1111")),TH!D3235,""),"")</f>
        <v/>
      </c>
      <c r="B3235" s="685">
        <f t="shared" si="304"/>
        <v>5</v>
      </c>
      <c r="C3235" s="671">
        <f t="shared" si="305"/>
        <v>42884</v>
      </c>
      <c r="D3235" s="671" t="s">
        <v>996</v>
      </c>
      <c r="E3235" s="671">
        <v>42884</v>
      </c>
      <c r="F3235" s="720" t="s">
        <v>1158</v>
      </c>
      <c r="G3235" s="686" t="s">
        <v>1139</v>
      </c>
      <c r="H3235" s="675" t="s">
        <v>1184</v>
      </c>
      <c r="I3235" s="676">
        <v>1030</v>
      </c>
      <c r="J3235" s="676">
        <v>783.96116504854365</v>
      </c>
      <c r="K3235" s="677">
        <f t="shared" si="306"/>
        <v>807480</v>
      </c>
      <c r="L3235" s="678" t="s">
        <v>292</v>
      </c>
      <c r="M3235" s="678" t="s">
        <v>158</v>
      </c>
      <c r="N3235" s="525" t="str">
        <f>IF(AND('331-CT'!$E$7=TH!H3235,OR(L3235="331",M3235="331")),"331",IF(AND(OR(L3235="131",M3235="131"),H3235='131-CT'!$E$7),"131",""))</f>
        <v/>
      </c>
      <c r="O3235" s="525" t="str">
        <f>IF(AND($B3235&gt;='111'!$N$11,$B3235&lt;='111'!$O$11,OR($L3235=$O$7,$M3235=$O$7)),"x","")</f>
        <v/>
      </c>
      <c r="P3235" s="525" t="str">
        <f>IF(AND($L3235=$O$7,$B3235&lt;'111'!$N$11),"x","")</f>
        <v/>
      </c>
      <c r="Q3235" s="525" t="str">
        <f>IF(AND($M3235=$O$7,$B3235&lt;'111'!$N$11),"x","")</f>
        <v/>
      </c>
      <c r="R3235" s="525" t="str">
        <f>IF(ISERROR(FIND('112'!$M$9,G3235,1)),"",IF((AND(FIND('112'!$M$9,G3235,1)&gt;=1,$B3235&gt;='112'!$N$8,$B3235&lt;='112'!$O$8,OR($L3235='112'!$I$6,$M3235='112'!$I$6))),"x",""))</f>
        <v/>
      </c>
      <c r="S3235" s="525" t="str">
        <f>IF(ISERROR(FIND('112'!$M$9,G3235,1)),"",IF((AND(LEFT(G3235,2)=LEFT('112'!$M$9,2),B3235&lt;'112'!$N$8,$L3235='112'!$I$6)),"x",""))</f>
        <v/>
      </c>
      <c r="T3235" s="525" t="str">
        <f>IF(ISERROR(FIND('112'!$M$9,G3235,1)),"",IF((AND(RIGHT(G3235,2)=RIGHT('112'!$M$9,2),B3235&lt;'112'!$N$8,$M3235='112'!$I$6)),"x",""))</f>
        <v/>
      </c>
      <c r="U3235" s="525" t="str">
        <f>IF(AND(B3235&gt;='IN-NX'!$P$3,B3235&lt;='IN-NX'!$Q$3,'IN-NX'!$D$7=D3235,OR(LEFT(L3235,2)="15",AND(LEFT(M3235,2)&lt;&gt;"15",LEFT(M3235,2)&lt;&gt;"33"))),"x","")</f>
        <v/>
      </c>
      <c r="V3235" s="525" t="str">
        <f>IF(AND(OR(LEFT(TH!L3235,2)="15",LEFT(TH!M3235,2)="15"),'152-CT'!$J$8=TH!F3235),"x","")</f>
        <v/>
      </c>
      <c r="W3235" s="525" t="str">
        <f>IF(AND(OR(LEFT(TH!L3235,2)="15",LEFT(TH!M3235,2)="15"),TK!$E$7=TH!F3235),"x","")</f>
        <v/>
      </c>
      <c r="X3235" s="525" t="str">
        <f>IF(AND('341-CT'!$E$9=H3235,OR(LEFT(L3235,3)=$X$7,LEFT(M3235,3)=$X$7)),"x","")</f>
        <v/>
      </c>
      <c r="Y3235" s="525" t="str">
        <f>IF(OR(TH!L3235=TH!$Y$7,M3235=TH!$Y$7),"x","")</f>
        <v/>
      </c>
      <c r="Z3235" s="525" t="str">
        <f>IF(AND(B3235&lt;=NKC!$N$8,B3235&gt;=NKC!$M$8),"x","")</f>
        <v/>
      </c>
      <c r="AA3235" s="687"/>
      <c r="AB3235" s="688"/>
      <c r="AC3235" s="503"/>
    </row>
    <row r="3236" spans="1:29" s="689" customFormat="1" ht="15.75" customHeight="1">
      <c r="A3236" s="517" t="str">
        <f>IF(B3236&lt;&gt;"",IF(AND(B3236&gt;=_TM1,B3236&lt;=_TM2,OR(TH!L3236="1111",TH!M3236="1111")),TH!D3236,""),"")</f>
        <v/>
      </c>
      <c r="B3236" s="685">
        <f t="shared" si="304"/>
        <v>5</v>
      </c>
      <c r="C3236" s="671">
        <f t="shared" si="305"/>
        <v>42884</v>
      </c>
      <c r="D3236" s="671" t="s">
        <v>996</v>
      </c>
      <c r="E3236" s="671">
        <v>42884</v>
      </c>
      <c r="F3236" s="720" t="s">
        <v>1159</v>
      </c>
      <c r="G3236" s="686" t="s">
        <v>1139</v>
      </c>
      <c r="H3236" s="675" t="s">
        <v>1184</v>
      </c>
      <c r="I3236" s="676">
        <v>810</v>
      </c>
      <c r="J3236" s="676">
        <v>1014.5209876543209</v>
      </c>
      <c r="K3236" s="677">
        <f t="shared" si="306"/>
        <v>821762</v>
      </c>
      <c r="L3236" s="678" t="s">
        <v>292</v>
      </c>
      <c r="M3236" s="678" t="s">
        <v>158</v>
      </c>
      <c r="N3236" s="525" t="str">
        <f>IF(AND('331-CT'!$E$7=TH!H3236,OR(L3236="331",M3236="331")),"331",IF(AND(OR(L3236="131",M3236="131"),H3236='131-CT'!$E$7),"131",""))</f>
        <v/>
      </c>
      <c r="O3236" s="525" t="str">
        <f>IF(AND($B3236&gt;='111'!$N$11,$B3236&lt;='111'!$O$11,OR($L3236=$O$7,$M3236=$O$7)),"x","")</f>
        <v/>
      </c>
      <c r="P3236" s="525" t="str">
        <f>IF(AND($L3236=$O$7,$B3236&lt;'111'!$N$11),"x","")</f>
        <v/>
      </c>
      <c r="Q3236" s="525" t="str">
        <f>IF(AND($M3236=$O$7,$B3236&lt;'111'!$N$11),"x","")</f>
        <v/>
      </c>
      <c r="R3236" s="525" t="str">
        <f>IF(ISERROR(FIND('112'!$M$9,G3236,1)),"",IF((AND(FIND('112'!$M$9,G3236,1)&gt;=1,$B3236&gt;='112'!$N$8,$B3236&lt;='112'!$O$8,OR($L3236='112'!$I$6,$M3236='112'!$I$6))),"x",""))</f>
        <v/>
      </c>
      <c r="S3236" s="525" t="str">
        <f>IF(ISERROR(FIND('112'!$M$9,G3236,1)),"",IF((AND(LEFT(G3236,2)=LEFT('112'!$M$9,2),B3236&lt;'112'!$N$8,$L3236='112'!$I$6)),"x",""))</f>
        <v/>
      </c>
      <c r="T3236" s="525" t="str">
        <f>IF(ISERROR(FIND('112'!$M$9,G3236,1)),"",IF((AND(RIGHT(G3236,2)=RIGHT('112'!$M$9,2),B3236&lt;'112'!$N$8,$M3236='112'!$I$6)),"x",""))</f>
        <v/>
      </c>
      <c r="U3236" s="525" t="str">
        <f>IF(AND(B3236&gt;='IN-NX'!$P$3,B3236&lt;='IN-NX'!$Q$3,'IN-NX'!$D$7=D3236,OR(LEFT(L3236,2)="15",AND(LEFT(M3236,2)&lt;&gt;"15",LEFT(M3236,2)&lt;&gt;"33"))),"x","")</f>
        <v/>
      </c>
      <c r="V3236" s="525" t="str">
        <f>IF(AND(OR(LEFT(TH!L3236,2)="15",LEFT(TH!M3236,2)="15"),'152-CT'!$J$8=TH!F3236),"x","")</f>
        <v/>
      </c>
      <c r="W3236" s="525" t="str">
        <f>IF(AND(OR(LEFT(TH!L3236,2)="15",LEFT(TH!M3236,2)="15"),TK!$E$7=TH!F3236),"x","")</f>
        <v/>
      </c>
      <c r="X3236" s="525" t="str">
        <f>IF(AND('341-CT'!$E$9=H3236,OR(LEFT(L3236,3)=$X$7,LEFT(M3236,3)=$X$7)),"x","")</f>
        <v/>
      </c>
      <c r="Y3236" s="525" t="str">
        <f>IF(OR(TH!L3236=TH!$Y$7,M3236=TH!$Y$7),"x","")</f>
        <v/>
      </c>
      <c r="Z3236" s="525" t="str">
        <f>IF(AND(B3236&lt;=NKC!$N$8,B3236&gt;=NKC!$M$8),"x","")</f>
        <v/>
      </c>
      <c r="AA3236" s="687"/>
      <c r="AB3236" s="688"/>
      <c r="AC3236" s="503"/>
    </row>
    <row r="3237" spans="1:29" s="689" customFormat="1" ht="15.75" customHeight="1">
      <c r="A3237" s="517" t="str">
        <f>IF(B3237&lt;&gt;"",IF(AND(B3237&gt;=_TM1,B3237&lt;=_TM2,OR(TH!L3237="1111",TH!M3237="1111")),TH!D3237,""),"")</f>
        <v/>
      </c>
      <c r="B3237" s="685">
        <f t="shared" si="304"/>
        <v>5</v>
      </c>
      <c r="C3237" s="671">
        <f t="shared" si="305"/>
        <v>42886</v>
      </c>
      <c r="D3237" s="671" t="s">
        <v>996</v>
      </c>
      <c r="E3237" s="671">
        <v>42886</v>
      </c>
      <c r="F3237" s="673" t="s">
        <v>1217</v>
      </c>
      <c r="G3237" s="686" t="s">
        <v>1222</v>
      </c>
      <c r="H3237" s="675" t="s">
        <v>1184</v>
      </c>
      <c r="I3237" s="676">
        <v>370</v>
      </c>
      <c r="J3237" s="676">
        <v>8320.8108108108099</v>
      </c>
      <c r="K3237" s="677">
        <f t="shared" si="306"/>
        <v>3078700</v>
      </c>
      <c r="L3237" s="678" t="s">
        <v>292</v>
      </c>
      <c r="M3237" s="678" t="s">
        <v>158</v>
      </c>
      <c r="N3237" s="525" t="str">
        <f>IF(AND('331-CT'!$E$7=TH!H3237,OR(L3237="331",M3237="331")),"331",IF(AND(OR(L3237="131",M3237="131"),H3237='131-CT'!$E$7),"131",""))</f>
        <v/>
      </c>
      <c r="O3237" s="525" t="str">
        <f>IF(AND($B3237&gt;='111'!$N$11,$B3237&lt;='111'!$O$11,OR($L3237=$O$7,$M3237=$O$7)),"x","")</f>
        <v/>
      </c>
      <c r="P3237" s="525" t="str">
        <f>IF(AND($L3237=$O$7,$B3237&lt;'111'!$N$11),"x","")</f>
        <v/>
      </c>
      <c r="Q3237" s="525" t="str">
        <f>IF(AND($M3237=$O$7,$B3237&lt;'111'!$N$11),"x","")</f>
        <v/>
      </c>
      <c r="R3237" s="525" t="str">
        <f>IF(ISERROR(FIND('112'!$M$9,G3237,1)),"",IF((AND(FIND('112'!$M$9,G3237,1)&gt;=1,$B3237&gt;='112'!$N$8,$B3237&lt;='112'!$O$8,OR($L3237='112'!$I$6,$M3237='112'!$I$6))),"x",""))</f>
        <v/>
      </c>
      <c r="S3237" s="525" t="str">
        <f>IF(ISERROR(FIND('112'!$M$9,G3237,1)),"",IF((AND(LEFT(G3237,2)=LEFT('112'!$M$9,2),B3237&lt;'112'!$N$8,$L3237='112'!$I$6)),"x",""))</f>
        <v/>
      </c>
      <c r="T3237" s="525" t="str">
        <f>IF(ISERROR(FIND('112'!$M$9,G3237,1)),"",IF((AND(RIGHT(G3237,2)=RIGHT('112'!$M$9,2),B3237&lt;'112'!$N$8,$M3237='112'!$I$6)),"x",""))</f>
        <v/>
      </c>
      <c r="U3237" s="525" t="str">
        <f>IF(AND(B3237&gt;='IN-NX'!$P$3,B3237&lt;='IN-NX'!$Q$3,'IN-NX'!$D$7=D3237,OR(LEFT(L3237,2)="15",AND(LEFT(M3237,2)&lt;&gt;"15",LEFT(M3237,2)&lt;&gt;"33"))),"x","")</f>
        <v/>
      </c>
      <c r="V3237" s="525" t="str">
        <f>IF(AND(OR(LEFT(TH!L3237,2)="15",LEFT(TH!M3237,2)="15"),'152-CT'!$J$8=TH!F3237),"x","")</f>
        <v/>
      </c>
      <c r="W3237" s="525" t="str">
        <f>IF(AND(OR(LEFT(TH!L3237,2)="15",LEFT(TH!M3237,2)="15"),TK!$E$7=TH!F3237),"x","")</f>
        <v/>
      </c>
      <c r="X3237" s="525" t="str">
        <f>IF(AND('341-CT'!$E$9=H3237,OR(LEFT(L3237,3)=$X$7,LEFT(M3237,3)=$X$7)),"x","")</f>
        <v/>
      </c>
      <c r="Y3237" s="525" t="str">
        <f>IF(OR(TH!L3237=TH!$Y$7,M3237=TH!$Y$7),"x","")</f>
        <v/>
      </c>
      <c r="Z3237" s="525" t="str">
        <f>IF(AND(B3237&lt;=NKC!$N$8,B3237&gt;=NKC!$M$8),"x","")</f>
        <v/>
      </c>
      <c r="AA3237" s="687"/>
      <c r="AB3237" s="688"/>
      <c r="AC3237" s="503"/>
    </row>
    <row r="3238" spans="1:29" s="689" customFormat="1" ht="15.75" customHeight="1">
      <c r="A3238" s="517" t="str">
        <f>IF(B3238&lt;&gt;"",IF(AND(B3238&gt;=_TM1,B3238&lt;=_TM2,OR(TH!L3238="1111",TH!M3238="1111")),TH!D3238,""),"")</f>
        <v/>
      </c>
      <c r="B3238" s="685">
        <f t="shared" si="304"/>
        <v>5</v>
      </c>
      <c r="C3238" s="671">
        <f t="shared" si="305"/>
        <v>42886</v>
      </c>
      <c r="D3238" s="671" t="s">
        <v>996</v>
      </c>
      <c r="E3238" s="671">
        <v>42886</v>
      </c>
      <c r="F3238" s="720" t="s">
        <v>1217</v>
      </c>
      <c r="G3238" s="674" t="s">
        <v>1222</v>
      </c>
      <c r="H3238" s="675" t="s">
        <v>1184</v>
      </c>
      <c r="I3238" s="676">
        <v>95</v>
      </c>
      <c r="J3238" s="676">
        <v>8469.5684210526324</v>
      </c>
      <c r="K3238" s="677">
        <f t="shared" si="306"/>
        <v>804609</v>
      </c>
      <c r="L3238" s="678" t="s">
        <v>292</v>
      </c>
      <c r="M3238" s="678" t="s">
        <v>158</v>
      </c>
      <c r="N3238" s="525" t="str">
        <f>IF(AND('331-CT'!$E$7=TH!H3238,OR(L3238="331",M3238="331")),"331",IF(AND(OR(L3238="131",M3238="131"),H3238='131-CT'!$E$7),"131",""))</f>
        <v/>
      </c>
      <c r="O3238" s="525" t="str">
        <f>IF(AND($B3238&gt;='111'!$N$11,$B3238&lt;='111'!$O$11,OR($L3238=$O$7,$M3238=$O$7)),"x","")</f>
        <v/>
      </c>
      <c r="P3238" s="525" t="str">
        <f>IF(AND($L3238=$O$7,$B3238&lt;'111'!$N$11),"x","")</f>
        <v/>
      </c>
      <c r="Q3238" s="525" t="str">
        <f>IF(AND($M3238=$O$7,$B3238&lt;'111'!$N$11),"x","")</f>
        <v/>
      </c>
      <c r="R3238" s="525" t="str">
        <f>IF(ISERROR(FIND('112'!$M$9,G3238,1)),"",IF((AND(FIND('112'!$M$9,G3238,1)&gt;=1,$B3238&gt;='112'!$N$8,$B3238&lt;='112'!$O$8,OR($L3238='112'!$I$6,$M3238='112'!$I$6))),"x",""))</f>
        <v/>
      </c>
      <c r="S3238" s="525" t="str">
        <f>IF(ISERROR(FIND('112'!$M$9,G3238,1)),"",IF((AND(LEFT(G3238,2)=LEFT('112'!$M$9,2),B3238&lt;'112'!$N$8,$L3238='112'!$I$6)),"x",""))</f>
        <v/>
      </c>
      <c r="T3238" s="525" t="str">
        <f>IF(ISERROR(FIND('112'!$M$9,G3238,1)),"",IF((AND(RIGHT(G3238,2)=RIGHT('112'!$M$9,2),B3238&lt;'112'!$N$8,$M3238='112'!$I$6)),"x",""))</f>
        <v/>
      </c>
      <c r="U3238" s="525" t="str">
        <f>IF(AND(B3238&gt;='IN-NX'!$P$3,B3238&lt;='IN-NX'!$Q$3,'IN-NX'!$D$7=D3238,OR(LEFT(L3238,2)="15",AND(LEFT(M3238,2)&lt;&gt;"15",LEFT(M3238,2)&lt;&gt;"33"))),"x","")</f>
        <v/>
      </c>
      <c r="V3238" s="525" t="str">
        <f>IF(AND(OR(LEFT(TH!L3238,2)="15",LEFT(TH!M3238,2)="15"),'152-CT'!$J$8=TH!F3238),"x","")</f>
        <v/>
      </c>
      <c r="W3238" s="525" t="str">
        <f>IF(AND(OR(LEFT(TH!L3238,2)="15",LEFT(TH!M3238,2)="15"),TK!$E$7=TH!F3238),"x","")</f>
        <v/>
      </c>
      <c r="X3238" s="525" t="str">
        <f>IF(AND('341-CT'!$E$9=H3238,OR(LEFT(L3238,3)=$X$7,LEFT(M3238,3)=$X$7)),"x","")</f>
        <v/>
      </c>
      <c r="Y3238" s="525" t="str">
        <f>IF(OR(TH!L3238=TH!$Y$7,M3238=TH!$Y$7),"x","")</f>
        <v/>
      </c>
      <c r="Z3238" s="525" t="str">
        <f>IF(AND(B3238&lt;=NKC!$N$8,B3238&gt;=NKC!$M$8),"x","")</f>
        <v/>
      </c>
      <c r="AA3238" s="687"/>
      <c r="AB3238" s="688"/>
      <c r="AC3238" s="503"/>
    </row>
    <row r="3239" spans="1:29" s="689" customFormat="1" ht="15.75" customHeight="1">
      <c r="A3239" s="517" t="str">
        <f>IF(B3239&lt;&gt;"",IF(AND(B3239&gt;=_TM1,B3239&lt;=_TM2,OR(TH!L3239="1111",TH!M3239="1111")),TH!D3239,""),"")</f>
        <v/>
      </c>
      <c r="B3239" s="685">
        <f t="shared" ref="B3239:B3246" si="307">IF(C3239&lt;&gt;"",MONTH(C3239),"")</f>
        <v>5</v>
      </c>
      <c r="C3239" s="671">
        <f t="shared" ref="C3239:C3246" si="308">E3239</f>
        <v>42886</v>
      </c>
      <c r="D3239" s="671" t="s">
        <v>996</v>
      </c>
      <c r="E3239" s="671">
        <v>42886</v>
      </c>
      <c r="F3239" s="720" t="s">
        <v>1217</v>
      </c>
      <c r="G3239" s="686" t="s">
        <v>1222</v>
      </c>
      <c r="H3239" s="675" t="s">
        <v>1184</v>
      </c>
      <c r="I3239" s="676">
        <v>160</v>
      </c>
      <c r="J3239" s="676">
        <v>8591.6749999999993</v>
      </c>
      <c r="K3239" s="677">
        <f t="shared" ref="K3239:K3255" si="309">ROUND(I3239*J3239,0)</f>
        <v>1374668</v>
      </c>
      <c r="L3239" s="678" t="s">
        <v>292</v>
      </c>
      <c r="M3239" s="678" t="s">
        <v>158</v>
      </c>
      <c r="N3239" s="525" t="str">
        <f>IF(AND('331-CT'!$E$7=TH!H3239,OR(L3239="331",M3239="331")),"331",IF(AND(OR(L3239="131",M3239="131"),H3239='131-CT'!$E$7),"131",""))</f>
        <v/>
      </c>
      <c r="O3239" s="525" t="str">
        <f>IF(AND($B3239&gt;='111'!$N$11,$B3239&lt;='111'!$O$11,OR($L3239=$O$7,$M3239=$O$7)),"x","")</f>
        <v/>
      </c>
      <c r="P3239" s="525" t="str">
        <f>IF(AND($L3239=$O$7,$B3239&lt;'111'!$N$11),"x","")</f>
        <v/>
      </c>
      <c r="Q3239" s="525" t="str">
        <f>IF(AND($M3239=$O$7,$B3239&lt;'111'!$N$11),"x","")</f>
        <v/>
      </c>
      <c r="R3239" s="525" t="str">
        <f>IF(ISERROR(FIND('112'!$M$9,G3239,1)),"",IF((AND(FIND('112'!$M$9,G3239,1)&gt;=1,$B3239&gt;='112'!$N$8,$B3239&lt;='112'!$O$8,OR($L3239='112'!$I$6,$M3239='112'!$I$6))),"x",""))</f>
        <v/>
      </c>
      <c r="S3239" s="525" t="str">
        <f>IF(ISERROR(FIND('112'!$M$9,G3239,1)),"",IF((AND(LEFT(G3239,2)=LEFT('112'!$M$9,2),B3239&lt;'112'!$N$8,$L3239='112'!$I$6)),"x",""))</f>
        <v/>
      </c>
      <c r="T3239" s="525" t="str">
        <f>IF(ISERROR(FIND('112'!$M$9,G3239,1)),"",IF((AND(RIGHT(G3239,2)=RIGHT('112'!$M$9,2),B3239&lt;'112'!$N$8,$M3239='112'!$I$6)),"x",""))</f>
        <v/>
      </c>
      <c r="U3239" s="525" t="str">
        <f>IF(AND(B3239&gt;='IN-NX'!$P$3,B3239&lt;='IN-NX'!$Q$3,'IN-NX'!$D$7=D3239,OR(LEFT(L3239,2)="15",AND(LEFT(M3239,2)&lt;&gt;"15",LEFT(M3239,2)&lt;&gt;"33"))),"x","")</f>
        <v/>
      </c>
      <c r="V3239" s="525" t="str">
        <f>IF(AND(OR(LEFT(TH!L3239,2)="15",LEFT(TH!M3239,2)="15"),'152-CT'!$J$8=TH!F3239),"x","")</f>
        <v/>
      </c>
      <c r="W3239" s="525" t="str">
        <f>IF(AND(OR(LEFT(TH!L3239,2)="15",LEFT(TH!M3239,2)="15"),TK!$E$7=TH!F3239),"x","")</f>
        <v/>
      </c>
      <c r="X3239" s="525" t="str">
        <f>IF(AND('341-CT'!$E$9=H3239,OR(LEFT(L3239,3)=$X$7,LEFT(M3239,3)=$X$7)),"x","")</f>
        <v/>
      </c>
      <c r="Y3239" s="525" t="str">
        <f>IF(OR(TH!L3239=TH!$Y$7,M3239=TH!$Y$7),"x","")</f>
        <v/>
      </c>
      <c r="Z3239" s="525" t="str">
        <f>IF(AND(B3239&lt;=NKC!$N$8,B3239&gt;=NKC!$M$8),"x","")</f>
        <v/>
      </c>
      <c r="AA3239" s="687"/>
      <c r="AB3239" s="688"/>
      <c r="AC3239" s="503"/>
    </row>
    <row r="3240" spans="1:29" s="689" customFormat="1" ht="15.75" customHeight="1">
      <c r="A3240" s="517" t="str">
        <f>IF(B3240&lt;&gt;"",IF(AND(B3240&gt;=_TM1,B3240&lt;=_TM2,OR(TH!L3240="1111",TH!M3240="1111")),TH!D3240,""),"")</f>
        <v/>
      </c>
      <c r="B3240" s="685">
        <f t="shared" si="307"/>
        <v>5</v>
      </c>
      <c r="C3240" s="671">
        <f t="shared" si="308"/>
        <v>42886</v>
      </c>
      <c r="D3240" s="671" t="s">
        <v>996</v>
      </c>
      <c r="E3240" s="671">
        <v>42886</v>
      </c>
      <c r="F3240" s="720" t="s">
        <v>1217</v>
      </c>
      <c r="G3240" s="686" t="s">
        <v>1222</v>
      </c>
      <c r="H3240" s="675" t="s">
        <v>1184</v>
      </c>
      <c r="I3240" s="676">
        <v>155</v>
      </c>
      <c r="J3240" s="676">
        <v>8403.5870967741939</v>
      </c>
      <c r="K3240" s="677">
        <f t="shared" si="309"/>
        <v>1302556</v>
      </c>
      <c r="L3240" s="678" t="s">
        <v>292</v>
      </c>
      <c r="M3240" s="678" t="s">
        <v>158</v>
      </c>
      <c r="N3240" s="525" t="str">
        <f>IF(AND('331-CT'!$E$7=TH!H3240,OR(L3240="331",M3240="331")),"331",IF(AND(OR(L3240="131",M3240="131"),H3240='131-CT'!$E$7),"131",""))</f>
        <v/>
      </c>
      <c r="O3240" s="525" t="str">
        <f>IF(AND($B3240&gt;='111'!$N$11,$B3240&lt;='111'!$O$11,OR($L3240=$O$7,$M3240=$O$7)),"x","")</f>
        <v/>
      </c>
      <c r="P3240" s="525" t="str">
        <f>IF(AND($L3240=$O$7,$B3240&lt;'111'!$N$11),"x","")</f>
        <v/>
      </c>
      <c r="Q3240" s="525" t="str">
        <f>IF(AND($M3240=$O$7,$B3240&lt;'111'!$N$11),"x","")</f>
        <v/>
      </c>
      <c r="R3240" s="525" t="str">
        <f>IF(ISERROR(FIND('112'!$M$9,G3240,1)),"",IF((AND(FIND('112'!$M$9,G3240,1)&gt;=1,$B3240&gt;='112'!$N$8,$B3240&lt;='112'!$O$8,OR($L3240='112'!$I$6,$M3240='112'!$I$6))),"x",""))</f>
        <v/>
      </c>
      <c r="S3240" s="525" t="str">
        <f>IF(ISERROR(FIND('112'!$M$9,G3240,1)),"",IF((AND(LEFT(G3240,2)=LEFT('112'!$M$9,2),B3240&lt;'112'!$N$8,$L3240='112'!$I$6)),"x",""))</f>
        <v/>
      </c>
      <c r="T3240" s="525" t="str">
        <f>IF(ISERROR(FIND('112'!$M$9,G3240,1)),"",IF((AND(RIGHT(G3240,2)=RIGHT('112'!$M$9,2),B3240&lt;'112'!$N$8,$M3240='112'!$I$6)),"x",""))</f>
        <v/>
      </c>
      <c r="U3240" s="525" t="str">
        <f>IF(AND(B3240&gt;='IN-NX'!$P$3,B3240&lt;='IN-NX'!$Q$3,'IN-NX'!$D$7=D3240,OR(LEFT(L3240,2)="15",AND(LEFT(M3240,2)&lt;&gt;"15",LEFT(M3240,2)&lt;&gt;"33"))),"x","")</f>
        <v/>
      </c>
      <c r="V3240" s="525" t="str">
        <f>IF(AND(OR(LEFT(TH!L3240,2)="15",LEFT(TH!M3240,2)="15"),'152-CT'!$J$8=TH!F3240),"x","")</f>
        <v/>
      </c>
      <c r="W3240" s="525" t="str">
        <f>IF(AND(OR(LEFT(TH!L3240,2)="15",LEFT(TH!M3240,2)="15"),TK!$E$7=TH!F3240),"x","")</f>
        <v/>
      </c>
      <c r="X3240" s="525" t="str">
        <f>IF(AND('341-CT'!$E$9=H3240,OR(LEFT(L3240,3)=$X$7,LEFT(M3240,3)=$X$7)),"x","")</f>
        <v/>
      </c>
      <c r="Y3240" s="525" t="str">
        <f>IF(OR(TH!L3240=TH!$Y$7,M3240=TH!$Y$7),"x","")</f>
        <v/>
      </c>
      <c r="Z3240" s="525" t="str">
        <f>IF(AND(B3240&lt;=NKC!$N$8,B3240&gt;=NKC!$M$8),"x","")</f>
        <v/>
      </c>
      <c r="AA3240" s="687"/>
      <c r="AB3240" s="688"/>
      <c r="AC3240" s="503"/>
    </row>
    <row r="3241" spans="1:29" s="689" customFormat="1" ht="15.75" customHeight="1">
      <c r="A3241" s="517" t="str">
        <f>IF(B3241&lt;&gt;"",IF(AND(B3241&gt;=_TM1,B3241&lt;=_TM2,OR(TH!L3241="1111",TH!M3241="1111")),TH!D3241,""),"")</f>
        <v/>
      </c>
      <c r="B3241" s="685">
        <f t="shared" si="307"/>
        <v>5</v>
      </c>
      <c r="C3241" s="671">
        <f t="shared" si="308"/>
        <v>42886</v>
      </c>
      <c r="D3241" s="671" t="s">
        <v>996</v>
      </c>
      <c r="E3241" s="671">
        <v>42886</v>
      </c>
      <c r="F3241" s="673" t="s">
        <v>1217</v>
      </c>
      <c r="G3241" s="686" t="s">
        <v>1222</v>
      </c>
      <c r="H3241" s="675" t="s">
        <v>1184</v>
      </c>
      <c r="I3241" s="676">
        <v>160</v>
      </c>
      <c r="J3241" s="676">
        <v>8553.3937499999993</v>
      </c>
      <c r="K3241" s="677">
        <f t="shared" si="309"/>
        <v>1368543</v>
      </c>
      <c r="L3241" s="678" t="s">
        <v>292</v>
      </c>
      <c r="M3241" s="678" t="s">
        <v>158</v>
      </c>
      <c r="N3241" s="525" t="str">
        <f>IF(AND('331-CT'!$E$7=TH!H3241,OR(L3241="331",M3241="331")),"331",IF(AND(OR(L3241="131",M3241="131"),H3241='131-CT'!$E$7),"131",""))</f>
        <v/>
      </c>
      <c r="O3241" s="525" t="str">
        <f>IF(AND($B3241&gt;='111'!$N$11,$B3241&lt;='111'!$O$11,OR($L3241=$O$7,$M3241=$O$7)),"x","")</f>
        <v/>
      </c>
      <c r="P3241" s="525" t="str">
        <f>IF(AND($L3241=$O$7,$B3241&lt;'111'!$N$11),"x","")</f>
        <v/>
      </c>
      <c r="Q3241" s="525" t="str">
        <f>IF(AND($M3241=$O$7,$B3241&lt;'111'!$N$11),"x","")</f>
        <v/>
      </c>
      <c r="R3241" s="525" t="str">
        <f>IF(ISERROR(FIND('112'!$M$9,G3241,1)),"",IF((AND(FIND('112'!$M$9,G3241,1)&gt;=1,$B3241&gt;='112'!$N$8,$B3241&lt;='112'!$O$8,OR($L3241='112'!$I$6,$M3241='112'!$I$6))),"x",""))</f>
        <v/>
      </c>
      <c r="S3241" s="525" t="str">
        <f>IF(ISERROR(FIND('112'!$M$9,G3241,1)),"",IF((AND(LEFT(G3241,2)=LEFT('112'!$M$9,2),B3241&lt;'112'!$N$8,$L3241='112'!$I$6)),"x",""))</f>
        <v/>
      </c>
      <c r="T3241" s="525" t="str">
        <f>IF(ISERROR(FIND('112'!$M$9,G3241,1)),"",IF((AND(RIGHT(G3241,2)=RIGHT('112'!$M$9,2),B3241&lt;'112'!$N$8,$M3241='112'!$I$6)),"x",""))</f>
        <v/>
      </c>
      <c r="U3241" s="525" t="str">
        <f>IF(AND(B3241&gt;='IN-NX'!$P$3,B3241&lt;='IN-NX'!$Q$3,'IN-NX'!$D$7=D3241,OR(LEFT(L3241,2)="15",AND(LEFT(M3241,2)&lt;&gt;"15",LEFT(M3241,2)&lt;&gt;"33"))),"x","")</f>
        <v/>
      </c>
      <c r="V3241" s="525" t="str">
        <f>IF(AND(OR(LEFT(TH!L3241,2)="15",LEFT(TH!M3241,2)="15"),'152-CT'!$J$8=TH!F3241),"x","")</f>
        <v/>
      </c>
      <c r="W3241" s="525" t="str">
        <f>IF(AND(OR(LEFT(TH!L3241,2)="15",LEFT(TH!M3241,2)="15"),TK!$E$7=TH!F3241),"x","")</f>
        <v/>
      </c>
      <c r="X3241" s="525" t="str">
        <f>IF(AND('341-CT'!$E$9=H3241,OR(LEFT(L3241,3)=$X$7,LEFT(M3241,3)=$X$7)),"x","")</f>
        <v/>
      </c>
      <c r="Y3241" s="525" t="str">
        <f>IF(OR(TH!L3241=TH!$Y$7,M3241=TH!$Y$7),"x","")</f>
        <v/>
      </c>
      <c r="Z3241" s="525" t="str">
        <f>IF(AND(B3241&lt;=NKC!$N$8,B3241&gt;=NKC!$M$8),"x","")</f>
        <v/>
      </c>
      <c r="AA3241" s="687"/>
      <c r="AB3241" s="688"/>
      <c r="AC3241" s="503"/>
    </row>
    <row r="3242" spans="1:29" s="689" customFormat="1" ht="15.75" customHeight="1">
      <c r="A3242" s="517" t="str">
        <f>IF(B3242&lt;&gt;"",IF(AND(B3242&gt;=_TM1,B3242&lt;=_TM2,OR(TH!L3242="1111",TH!M3242="1111")),TH!D3242,""),"")</f>
        <v/>
      </c>
      <c r="B3242" s="685">
        <f t="shared" si="307"/>
        <v>5</v>
      </c>
      <c r="C3242" s="671">
        <f t="shared" si="308"/>
        <v>42886</v>
      </c>
      <c r="D3242" s="671" t="s">
        <v>996</v>
      </c>
      <c r="E3242" s="671">
        <v>42886</v>
      </c>
      <c r="F3242" s="720" t="s">
        <v>1217</v>
      </c>
      <c r="G3242" s="674" t="s">
        <v>1222</v>
      </c>
      <c r="H3242" s="675" t="s">
        <v>1184</v>
      </c>
      <c r="I3242" s="676">
        <v>90</v>
      </c>
      <c r="J3242" s="676">
        <v>8737.1111111111113</v>
      </c>
      <c r="K3242" s="677">
        <f t="shared" si="309"/>
        <v>786340</v>
      </c>
      <c r="L3242" s="678" t="s">
        <v>292</v>
      </c>
      <c r="M3242" s="678" t="s">
        <v>158</v>
      </c>
      <c r="N3242" s="525" t="str">
        <f>IF(AND('331-CT'!$E$7=TH!H3242,OR(L3242="331",M3242="331")),"331",IF(AND(OR(L3242="131",M3242="131"),H3242='131-CT'!$E$7),"131",""))</f>
        <v/>
      </c>
      <c r="O3242" s="525" t="str">
        <f>IF(AND($B3242&gt;='111'!$N$11,$B3242&lt;='111'!$O$11,OR($L3242=$O$7,$M3242=$O$7)),"x","")</f>
        <v/>
      </c>
      <c r="P3242" s="525" t="str">
        <f>IF(AND($L3242=$O$7,$B3242&lt;'111'!$N$11),"x","")</f>
        <v/>
      </c>
      <c r="Q3242" s="525" t="str">
        <f>IF(AND($M3242=$O$7,$B3242&lt;'111'!$N$11),"x","")</f>
        <v/>
      </c>
      <c r="R3242" s="525" t="str">
        <f>IF(ISERROR(FIND('112'!$M$9,G3242,1)),"",IF((AND(FIND('112'!$M$9,G3242,1)&gt;=1,$B3242&gt;='112'!$N$8,$B3242&lt;='112'!$O$8,OR($L3242='112'!$I$6,$M3242='112'!$I$6))),"x",""))</f>
        <v/>
      </c>
      <c r="S3242" s="525" t="str">
        <f>IF(ISERROR(FIND('112'!$M$9,G3242,1)),"",IF((AND(LEFT(G3242,2)=LEFT('112'!$M$9,2),B3242&lt;'112'!$N$8,$L3242='112'!$I$6)),"x",""))</f>
        <v/>
      </c>
      <c r="T3242" s="525" t="str">
        <f>IF(ISERROR(FIND('112'!$M$9,G3242,1)),"",IF((AND(RIGHT(G3242,2)=RIGHT('112'!$M$9,2),B3242&lt;'112'!$N$8,$M3242='112'!$I$6)),"x",""))</f>
        <v/>
      </c>
      <c r="U3242" s="525" t="str">
        <f>IF(AND(B3242&gt;='IN-NX'!$P$3,B3242&lt;='IN-NX'!$Q$3,'IN-NX'!$D$7=D3242,OR(LEFT(L3242,2)="15",AND(LEFT(M3242,2)&lt;&gt;"15",LEFT(M3242,2)&lt;&gt;"33"))),"x","")</f>
        <v/>
      </c>
      <c r="V3242" s="525" t="str">
        <f>IF(AND(OR(LEFT(TH!L3242,2)="15",LEFT(TH!M3242,2)="15"),'152-CT'!$J$8=TH!F3242),"x","")</f>
        <v/>
      </c>
      <c r="W3242" s="525" t="str">
        <f>IF(AND(OR(LEFT(TH!L3242,2)="15",LEFT(TH!M3242,2)="15"),TK!$E$7=TH!F3242),"x","")</f>
        <v/>
      </c>
      <c r="X3242" s="525" t="str">
        <f>IF(AND('341-CT'!$E$9=H3242,OR(LEFT(L3242,3)=$X$7,LEFT(M3242,3)=$X$7)),"x","")</f>
        <v/>
      </c>
      <c r="Y3242" s="525" t="str">
        <f>IF(OR(TH!L3242=TH!$Y$7,M3242=TH!$Y$7),"x","")</f>
        <v/>
      </c>
      <c r="Z3242" s="525" t="str">
        <f>IF(AND(B3242&lt;=NKC!$N$8,B3242&gt;=NKC!$M$8),"x","")</f>
        <v/>
      </c>
      <c r="AA3242" s="687"/>
      <c r="AB3242" s="688"/>
      <c r="AC3242" s="503"/>
    </row>
    <row r="3243" spans="1:29" s="689" customFormat="1" ht="15.75" customHeight="1">
      <c r="A3243" s="517" t="str">
        <f>IF(B3243&lt;&gt;"",IF(AND(B3243&gt;=_TM1,B3243&lt;=_TM2,OR(TH!L3243="1111",TH!M3243="1111")),TH!D3243,""),"")</f>
        <v/>
      </c>
      <c r="B3243" s="685">
        <f t="shared" si="307"/>
        <v>5</v>
      </c>
      <c r="C3243" s="671">
        <f t="shared" si="308"/>
        <v>42886</v>
      </c>
      <c r="D3243" s="671" t="s">
        <v>996</v>
      </c>
      <c r="E3243" s="671">
        <v>42886</v>
      </c>
      <c r="F3243" s="720" t="s">
        <v>1217</v>
      </c>
      <c r="G3243" s="686" t="s">
        <v>1222</v>
      </c>
      <c r="H3243" s="675" t="s">
        <v>1184</v>
      </c>
      <c r="I3243" s="676">
        <v>570</v>
      </c>
      <c r="J3243" s="676">
        <v>8480.8087719298237</v>
      </c>
      <c r="K3243" s="677">
        <f t="shared" si="309"/>
        <v>4834061</v>
      </c>
      <c r="L3243" s="678" t="s">
        <v>292</v>
      </c>
      <c r="M3243" s="678" t="s">
        <v>158</v>
      </c>
      <c r="N3243" s="525" t="str">
        <f>IF(AND('331-CT'!$E$7=TH!H3243,OR(L3243="331",M3243="331")),"331",IF(AND(OR(L3243="131",M3243="131"),H3243='131-CT'!$E$7),"131",""))</f>
        <v/>
      </c>
      <c r="O3243" s="525" t="str">
        <f>IF(AND($B3243&gt;='111'!$N$11,$B3243&lt;='111'!$O$11,OR($L3243=$O$7,$M3243=$O$7)),"x","")</f>
        <v/>
      </c>
      <c r="P3243" s="525" t="str">
        <f>IF(AND($L3243=$O$7,$B3243&lt;'111'!$N$11),"x","")</f>
        <v/>
      </c>
      <c r="Q3243" s="525" t="str">
        <f>IF(AND($M3243=$O$7,$B3243&lt;'111'!$N$11),"x","")</f>
        <v/>
      </c>
      <c r="R3243" s="525" t="str">
        <f>IF(ISERROR(FIND('112'!$M$9,G3243,1)),"",IF((AND(FIND('112'!$M$9,G3243,1)&gt;=1,$B3243&gt;='112'!$N$8,$B3243&lt;='112'!$O$8,OR($L3243='112'!$I$6,$M3243='112'!$I$6))),"x",""))</f>
        <v/>
      </c>
      <c r="S3243" s="525" t="str">
        <f>IF(ISERROR(FIND('112'!$M$9,G3243,1)),"",IF((AND(LEFT(G3243,2)=LEFT('112'!$M$9,2),B3243&lt;'112'!$N$8,$L3243='112'!$I$6)),"x",""))</f>
        <v/>
      </c>
      <c r="T3243" s="525" t="str">
        <f>IF(ISERROR(FIND('112'!$M$9,G3243,1)),"",IF((AND(RIGHT(G3243,2)=RIGHT('112'!$M$9,2),B3243&lt;'112'!$N$8,$M3243='112'!$I$6)),"x",""))</f>
        <v/>
      </c>
      <c r="U3243" s="525" t="str">
        <f>IF(AND(B3243&gt;='IN-NX'!$P$3,B3243&lt;='IN-NX'!$Q$3,'IN-NX'!$D$7=D3243,OR(LEFT(L3243,2)="15",AND(LEFT(M3243,2)&lt;&gt;"15",LEFT(M3243,2)&lt;&gt;"33"))),"x","")</f>
        <v/>
      </c>
      <c r="V3243" s="525" t="str">
        <f>IF(AND(OR(LEFT(TH!L3243,2)="15",LEFT(TH!M3243,2)="15"),'152-CT'!$J$8=TH!F3243),"x","")</f>
        <v/>
      </c>
      <c r="W3243" s="525" t="str">
        <f>IF(AND(OR(LEFT(TH!L3243,2)="15",LEFT(TH!M3243,2)="15"),TK!$E$7=TH!F3243),"x","")</f>
        <v/>
      </c>
      <c r="X3243" s="525" t="str">
        <f>IF(AND('341-CT'!$E$9=H3243,OR(LEFT(L3243,3)=$X$7,LEFT(M3243,3)=$X$7)),"x","")</f>
        <v/>
      </c>
      <c r="Y3243" s="525" t="str">
        <f>IF(OR(TH!L3243=TH!$Y$7,M3243=TH!$Y$7),"x","")</f>
        <v/>
      </c>
      <c r="Z3243" s="525" t="str">
        <f>IF(AND(B3243&lt;=NKC!$N$8,B3243&gt;=NKC!$M$8),"x","")</f>
        <v/>
      </c>
      <c r="AA3243" s="687"/>
      <c r="AB3243" s="688"/>
      <c r="AC3243" s="503"/>
    </row>
    <row r="3244" spans="1:29" s="689" customFormat="1" ht="15.75" customHeight="1">
      <c r="A3244" s="517" t="str">
        <f>IF(B3244&lt;&gt;"",IF(AND(B3244&gt;=_TM1,B3244&lt;=_TM2,OR(TH!L3244="1111",TH!M3244="1111")),TH!D3244,""),"")</f>
        <v/>
      </c>
      <c r="B3244" s="685">
        <f t="shared" si="307"/>
        <v>5</v>
      </c>
      <c r="C3244" s="671">
        <f t="shared" si="308"/>
        <v>42886</v>
      </c>
      <c r="D3244" s="671" t="s">
        <v>996</v>
      </c>
      <c r="E3244" s="671">
        <v>42886</v>
      </c>
      <c r="F3244" s="720" t="s">
        <v>1217</v>
      </c>
      <c r="G3244" s="686" t="s">
        <v>1222</v>
      </c>
      <c r="H3244" s="675" t="s">
        <v>1184</v>
      </c>
      <c r="I3244" s="676">
        <v>160</v>
      </c>
      <c r="J3244" s="676">
        <v>8703.4249999999993</v>
      </c>
      <c r="K3244" s="677">
        <f t="shared" si="309"/>
        <v>1392548</v>
      </c>
      <c r="L3244" s="678" t="s">
        <v>292</v>
      </c>
      <c r="M3244" s="678" t="s">
        <v>158</v>
      </c>
      <c r="N3244" s="525" t="str">
        <f>IF(AND('331-CT'!$E$7=TH!H3244,OR(L3244="331",M3244="331")),"331",IF(AND(OR(L3244="131",M3244="131"),H3244='131-CT'!$E$7),"131",""))</f>
        <v/>
      </c>
      <c r="O3244" s="525" t="str">
        <f>IF(AND($B3244&gt;='111'!$N$11,$B3244&lt;='111'!$O$11,OR($L3244=$O$7,$M3244=$O$7)),"x","")</f>
        <v/>
      </c>
      <c r="P3244" s="525" t="str">
        <f>IF(AND($L3244=$O$7,$B3244&lt;'111'!$N$11),"x","")</f>
        <v/>
      </c>
      <c r="Q3244" s="525" t="str">
        <f>IF(AND($M3244=$O$7,$B3244&lt;'111'!$N$11),"x","")</f>
        <v/>
      </c>
      <c r="R3244" s="525" t="str">
        <f>IF(ISERROR(FIND('112'!$M$9,G3244,1)),"",IF((AND(FIND('112'!$M$9,G3244,1)&gt;=1,$B3244&gt;='112'!$N$8,$B3244&lt;='112'!$O$8,OR($L3244='112'!$I$6,$M3244='112'!$I$6))),"x",""))</f>
        <v/>
      </c>
      <c r="S3244" s="525" t="str">
        <f>IF(ISERROR(FIND('112'!$M$9,G3244,1)),"",IF((AND(LEFT(G3244,2)=LEFT('112'!$M$9,2),B3244&lt;'112'!$N$8,$L3244='112'!$I$6)),"x",""))</f>
        <v/>
      </c>
      <c r="T3244" s="525" t="str">
        <f>IF(ISERROR(FIND('112'!$M$9,G3244,1)),"",IF((AND(RIGHT(G3244,2)=RIGHT('112'!$M$9,2),B3244&lt;'112'!$N$8,$M3244='112'!$I$6)),"x",""))</f>
        <v/>
      </c>
      <c r="U3244" s="525" t="str">
        <f>IF(AND(B3244&gt;='IN-NX'!$P$3,B3244&lt;='IN-NX'!$Q$3,'IN-NX'!$D$7=D3244,OR(LEFT(L3244,2)="15",AND(LEFT(M3244,2)&lt;&gt;"15",LEFT(M3244,2)&lt;&gt;"33"))),"x","")</f>
        <v/>
      </c>
      <c r="V3244" s="525" t="str">
        <f>IF(AND(OR(LEFT(TH!L3244,2)="15",LEFT(TH!M3244,2)="15"),'152-CT'!$J$8=TH!F3244),"x","")</f>
        <v/>
      </c>
      <c r="W3244" s="525" t="str">
        <f>IF(AND(OR(LEFT(TH!L3244,2)="15",LEFT(TH!M3244,2)="15"),TK!$E$7=TH!F3244),"x","")</f>
        <v/>
      </c>
      <c r="X3244" s="525" t="str">
        <f>IF(AND('341-CT'!$E$9=H3244,OR(LEFT(L3244,3)=$X$7,LEFT(M3244,3)=$X$7)),"x","")</f>
        <v/>
      </c>
      <c r="Y3244" s="525" t="str">
        <f>IF(OR(TH!L3244=TH!$Y$7,M3244=TH!$Y$7),"x","")</f>
        <v/>
      </c>
      <c r="Z3244" s="525" t="str">
        <f>IF(AND(B3244&lt;=NKC!$N$8,B3244&gt;=NKC!$M$8),"x","")</f>
        <v/>
      </c>
      <c r="AA3244" s="687"/>
      <c r="AB3244" s="688"/>
      <c r="AC3244" s="503"/>
    </row>
    <row r="3245" spans="1:29" s="689" customFormat="1" ht="15.75" customHeight="1">
      <c r="A3245" s="517" t="str">
        <f>IF(B3245&lt;&gt;"",IF(AND(B3245&gt;=_TM1,B3245&lt;=_TM2,OR(TH!L3245="1111",TH!M3245="1111")),TH!D3245,""),"")</f>
        <v/>
      </c>
      <c r="B3245" s="685">
        <f t="shared" si="307"/>
        <v>5</v>
      </c>
      <c r="C3245" s="671">
        <f t="shared" si="308"/>
        <v>42886</v>
      </c>
      <c r="D3245" s="671" t="s">
        <v>996</v>
      </c>
      <c r="E3245" s="671">
        <v>42886</v>
      </c>
      <c r="F3245" s="673" t="s">
        <v>1217</v>
      </c>
      <c r="G3245" s="686" t="s">
        <v>1222</v>
      </c>
      <c r="H3245" s="675" t="s">
        <v>1184</v>
      </c>
      <c r="I3245" s="676">
        <v>155</v>
      </c>
      <c r="J3245" s="676">
        <v>8627.0193548387106</v>
      </c>
      <c r="K3245" s="677">
        <f t="shared" si="309"/>
        <v>1337188</v>
      </c>
      <c r="L3245" s="678" t="s">
        <v>292</v>
      </c>
      <c r="M3245" s="678" t="s">
        <v>158</v>
      </c>
      <c r="N3245" s="525" t="str">
        <f>IF(AND('331-CT'!$E$7=TH!H3245,OR(L3245="331",M3245="331")),"331",IF(AND(OR(L3245="131",M3245="131"),H3245='131-CT'!$E$7),"131",""))</f>
        <v/>
      </c>
      <c r="O3245" s="525" t="str">
        <f>IF(AND($B3245&gt;='111'!$N$11,$B3245&lt;='111'!$O$11,OR($L3245=$O$7,$M3245=$O$7)),"x","")</f>
        <v/>
      </c>
      <c r="P3245" s="525" t="str">
        <f>IF(AND($L3245=$O$7,$B3245&lt;'111'!$N$11),"x","")</f>
        <v/>
      </c>
      <c r="Q3245" s="525" t="str">
        <f>IF(AND($M3245=$O$7,$B3245&lt;'111'!$N$11),"x","")</f>
        <v/>
      </c>
      <c r="R3245" s="525" t="str">
        <f>IF(ISERROR(FIND('112'!$M$9,G3245,1)),"",IF((AND(FIND('112'!$M$9,G3245,1)&gt;=1,$B3245&gt;='112'!$N$8,$B3245&lt;='112'!$O$8,OR($L3245='112'!$I$6,$M3245='112'!$I$6))),"x",""))</f>
        <v/>
      </c>
      <c r="S3245" s="525" t="str">
        <f>IF(ISERROR(FIND('112'!$M$9,G3245,1)),"",IF((AND(LEFT(G3245,2)=LEFT('112'!$M$9,2),B3245&lt;'112'!$N$8,$L3245='112'!$I$6)),"x",""))</f>
        <v/>
      </c>
      <c r="T3245" s="525" t="str">
        <f>IF(ISERROR(FIND('112'!$M$9,G3245,1)),"",IF((AND(RIGHT(G3245,2)=RIGHT('112'!$M$9,2),B3245&lt;'112'!$N$8,$M3245='112'!$I$6)),"x",""))</f>
        <v/>
      </c>
      <c r="U3245" s="525" t="str">
        <f>IF(AND(B3245&gt;='IN-NX'!$P$3,B3245&lt;='IN-NX'!$Q$3,'IN-NX'!$D$7=D3245,OR(LEFT(L3245,2)="15",AND(LEFT(M3245,2)&lt;&gt;"15",LEFT(M3245,2)&lt;&gt;"33"))),"x","")</f>
        <v/>
      </c>
      <c r="V3245" s="525" t="str">
        <f>IF(AND(OR(LEFT(TH!L3245,2)="15",LEFT(TH!M3245,2)="15"),'152-CT'!$J$8=TH!F3245),"x","")</f>
        <v/>
      </c>
      <c r="W3245" s="525" t="str">
        <f>IF(AND(OR(LEFT(TH!L3245,2)="15",LEFT(TH!M3245,2)="15"),TK!$E$7=TH!F3245),"x","")</f>
        <v/>
      </c>
      <c r="X3245" s="525" t="str">
        <f>IF(AND('341-CT'!$E$9=H3245,OR(LEFT(L3245,3)=$X$7,LEFT(M3245,3)=$X$7)),"x","")</f>
        <v/>
      </c>
      <c r="Y3245" s="525" t="str">
        <f>IF(OR(TH!L3245=TH!$Y$7,M3245=TH!$Y$7),"x","")</f>
        <v/>
      </c>
      <c r="Z3245" s="525" t="str">
        <f>IF(AND(B3245&lt;=NKC!$N$8,B3245&gt;=NKC!$M$8),"x","")</f>
        <v/>
      </c>
      <c r="AA3245" s="687"/>
      <c r="AB3245" s="688"/>
      <c r="AC3245" s="503"/>
    </row>
    <row r="3246" spans="1:29" s="689" customFormat="1" ht="15.75" customHeight="1">
      <c r="A3246" s="517" t="str">
        <f>IF(B3246&lt;&gt;"",IF(AND(B3246&gt;=_TM1,B3246&lt;=_TM2,OR(TH!L3246="1111",TH!M3246="1111")),TH!D3246,""),"")</f>
        <v/>
      </c>
      <c r="B3246" s="685">
        <f t="shared" si="307"/>
        <v>5</v>
      </c>
      <c r="C3246" s="671">
        <f t="shared" si="308"/>
        <v>42886</v>
      </c>
      <c r="D3246" s="671" t="s">
        <v>996</v>
      </c>
      <c r="E3246" s="671">
        <v>42886</v>
      </c>
      <c r="F3246" s="720" t="s">
        <v>1217</v>
      </c>
      <c r="G3246" s="674" t="s">
        <v>1222</v>
      </c>
      <c r="H3246" s="675" t="s">
        <v>1184</v>
      </c>
      <c r="I3246" s="676">
        <v>115</v>
      </c>
      <c r="J3246" s="676">
        <v>8242.5304347826095</v>
      </c>
      <c r="K3246" s="677">
        <f t="shared" si="309"/>
        <v>947891</v>
      </c>
      <c r="L3246" s="678" t="s">
        <v>292</v>
      </c>
      <c r="M3246" s="678" t="s">
        <v>158</v>
      </c>
      <c r="N3246" s="525" t="str">
        <f>IF(AND('331-CT'!$E$7=TH!H3246,OR(L3246="331",M3246="331")),"331",IF(AND(OR(L3246="131",M3246="131"),H3246='131-CT'!$E$7),"131",""))</f>
        <v/>
      </c>
      <c r="O3246" s="525" t="str">
        <f>IF(AND($B3246&gt;='111'!$N$11,$B3246&lt;='111'!$O$11,OR($L3246=$O$7,$M3246=$O$7)),"x","")</f>
        <v/>
      </c>
      <c r="P3246" s="525" t="str">
        <f>IF(AND($L3246=$O$7,$B3246&lt;'111'!$N$11),"x","")</f>
        <v/>
      </c>
      <c r="Q3246" s="525" t="str">
        <f>IF(AND($M3246=$O$7,$B3246&lt;'111'!$N$11),"x","")</f>
        <v/>
      </c>
      <c r="R3246" s="525" t="str">
        <f>IF(ISERROR(FIND('112'!$M$9,G3246,1)),"",IF((AND(FIND('112'!$M$9,G3246,1)&gt;=1,$B3246&gt;='112'!$N$8,$B3246&lt;='112'!$O$8,OR($L3246='112'!$I$6,$M3246='112'!$I$6))),"x",""))</f>
        <v/>
      </c>
      <c r="S3246" s="525" t="str">
        <f>IF(ISERROR(FIND('112'!$M$9,G3246,1)),"",IF((AND(LEFT(G3246,2)=LEFT('112'!$M$9,2),B3246&lt;'112'!$N$8,$L3246='112'!$I$6)),"x",""))</f>
        <v/>
      </c>
      <c r="T3246" s="525" t="str">
        <f>IF(ISERROR(FIND('112'!$M$9,G3246,1)),"",IF((AND(RIGHT(G3246,2)=RIGHT('112'!$M$9,2),B3246&lt;'112'!$N$8,$M3246='112'!$I$6)),"x",""))</f>
        <v/>
      </c>
      <c r="U3246" s="525" t="str">
        <f>IF(AND(B3246&gt;='IN-NX'!$P$3,B3246&lt;='IN-NX'!$Q$3,'IN-NX'!$D$7=D3246,OR(LEFT(L3246,2)="15",AND(LEFT(M3246,2)&lt;&gt;"15",LEFT(M3246,2)&lt;&gt;"33"))),"x","")</f>
        <v/>
      </c>
      <c r="V3246" s="525" t="str">
        <f>IF(AND(OR(LEFT(TH!L3246,2)="15",LEFT(TH!M3246,2)="15"),'152-CT'!$J$8=TH!F3246),"x","")</f>
        <v/>
      </c>
      <c r="W3246" s="525" t="str">
        <f>IF(AND(OR(LEFT(TH!L3246,2)="15",LEFT(TH!M3246,2)="15"),TK!$E$7=TH!F3246),"x","")</f>
        <v/>
      </c>
      <c r="X3246" s="525" t="str">
        <f>IF(AND('341-CT'!$E$9=H3246,OR(LEFT(L3246,3)=$X$7,LEFT(M3246,3)=$X$7)),"x","")</f>
        <v/>
      </c>
      <c r="Y3246" s="525" t="str">
        <f>IF(OR(TH!L3246=TH!$Y$7,M3246=TH!$Y$7),"x","")</f>
        <v/>
      </c>
      <c r="Z3246" s="525" t="str">
        <f>IF(AND(B3246&lt;=NKC!$N$8,B3246&gt;=NKC!$M$8),"x","")</f>
        <v/>
      </c>
      <c r="AA3246" s="687"/>
      <c r="AB3246" s="688"/>
      <c r="AC3246" s="503"/>
    </row>
    <row r="3247" spans="1:29" s="576" customFormat="1" ht="15.75" customHeight="1">
      <c r="A3247" s="517" t="str">
        <f>IF(B3247&lt;&gt;"",IF(AND(B3247&gt;=_TM1,B3247&lt;=_TM2,OR(TH!L3247="1111",TH!M3247="1111")),TH!D3247,""),"")</f>
        <v/>
      </c>
      <c r="B3247" s="518">
        <f t="shared" si="289"/>
        <v>5</v>
      </c>
      <c r="C3247" s="571">
        <f t="shared" si="290"/>
        <v>42860</v>
      </c>
      <c r="D3247" s="571" t="s">
        <v>996</v>
      </c>
      <c r="E3247" s="571">
        <v>42860</v>
      </c>
      <c r="F3247" s="520" t="s">
        <v>1032</v>
      </c>
      <c r="G3247" s="573" t="s">
        <v>1125</v>
      </c>
      <c r="H3247" s="574" t="s">
        <v>800</v>
      </c>
      <c r="I3247" s="523">
        <v>3632</v>
      </c>
      <c r="J3247" s="523">
        <v>12634.759911894273</v>
      </c>
      <c r="K3247" s="575">
        <f t="shared" si="309"/>
        <v>45889448</v>
      </c>
      <c r="L3247" s="591" t="s">
        <v>160</v>
      </c>
      <c r="M3247" s="591" t="s">
        <v>292</v>
      </c>
      <c r="N3247" s="525" t="str">
        <f>IF(AND('331-CT'!$E$7=TH!H3247,OR(L3247="331",M3247="331")),"331",IF(AND(OR(L3247="131",M3247="131"),H3247='131-CT'!$E$7),"131",""))</f>
        <v/>
      </c>
      <c r="O3247" s="525" t="str">
        <f>IF(AND($B3247&gt;='111'!$N$11,$B3247&lt;='111'!$O$11,OR($L3247=$O$7,$M3247=$O$7)),"x","")</f>
        <v/>
      </c>
      <c r="P3247" s="525" t="str">
        <f>IF(AND($L3247=$O$7,$B3247&lt;'111'!$N$11),"x","")</f>
        <v/>
      </c>
      <c r="Q3247" s="525" t="str">
        <f>IF(AND($M3247=$O$7,$B3247&lt;'111'!$N$11),"x","")</f>
        <v/>
      </c>
      <c r="R3247" s="525" t="str">
        <f>IF(ISERROR(FIND('112'!$M$9,G3247,1)),"",IF((AND(FIND('112'!$M$9,G3247,1)&gt;=1,$B3247&gt;='112'!$N$8,$B3247&lt;='112'!$O$8,OR($L3247='112'!$I$6,$M3247='112'!$I$6))),"x",""))</f>
        <v/>
      </c>
      <c r="S3247" s="525" t="str">
        <f>IF(ISERROR(FIND('112'!$M$9,G3247,1)),"",IF((AND(LEFT(G3247,2)=LEFT('112'!$M$9,2),B3247&lt;'112'!$N$8,$L3247='112'!$I$6)),"x",""))</f>
        <v/>
      </c>
      <c r="T3247" s="525" t="str">
        <f>IF(ISERROR(FIND('112'!$M$9,G3247,1)),"",IF((AND(RIGHT(G3247,2)=RIGHT('112'!$M$9,2),B3247&lt;'112'!$N$8,$M3247='112'!$I$6)),"x",""))</f>
        <v/>
      </c>
      <c r="U3247" s="525" t="str">
        <f>IF(AND(B3247&gt;='IN-NX'!$P$3,B3247&lt;='IN-NX'!$Q$3,'IN-NX'!$D$7=D3247,OR(LEFT(L3247,2)="15",AND(LEFT(M3247,2)&lt;&gt;"15",LEFT(M3247,2)&lt;&gt;"33"))),"x","")</f>
        <v/>
      </c>
      <c r="V3247" s="525" t="str">
        <f>IF(AND(OR(LEFT(TH!L3247,2)="15",LEFT(TH!M3247,2)="15"),'152-CT'!$J$8=TH!F3247),"x","")</f>
        <v/>
      </c>
      <c r="W3247" s="525" t="str">
        <f>IF(AND(OR(LEFT(TH!L3247,2)="15",LEFT(TH!M3247,2)="15"),TK!$E$7=TH!F3247),"x","")</f>
        <v/>
      </c>
      <c r="X3247" s="525" t="str">
        <f>IF(AND('341-CT'!$E$9=H3247,OR(LEFT(L3247,3)=$X$7,LEFT(M3247,3)=$X$7)),"x","")</f>
        <v/>
      </c>
      <c r="Y3247" s="525" t="str">
        <f>IF(OR(TH!L3247=TH!$Y$7,M3247=TH!$Y$7),"x","")</f>
        <v/>
      </c>
      <c r="Z3247" s="525" t="str">
        <f>IF(AND(B3247&lt;=NKC!$N$8,B3247&gt;=NKC!$M$8),"x","")</f>
        <v/>
      </c>
      <c r="AA3247" s="526"/>
      <c r="AB3247" s="527"/>
    </row>
    <row r="3248" spans="1:29" s="576" customFormat="1" ht="15.75" customHeight="1">
      <c r="A3248" s="517" t="str">
        <f>IF(B3248&lt;&gt;"",IF(AND(B3248&gt;=_TM1,B3248&lt;=_TM2,OR(TH!L3248="1111",TH!M3248="1111")),TH!D3248,""),"")</f>
        <v/>
      </c>
      <c r="B3248" s="518">
        <f t="shared" si="289"/>
        <v>5</v>
      </c>
      <c r="C3248" s="571">
        <f t="shared" si="290"/>
        <v>42872</v>
      </c>
      <c r="D3248" s="571" t="s">
        <v>996</v>
      </c>
      <c r="E3248" s="571">
        <v>42872</v>
      </c>
      <c r="F3248" s="520" t="s">
        <v>1217</v>
      </c>
      <c r="G3248" s="573" t="s">
        <v>1220</v>
      </c>
      <c r="H3248" s="574" t="s">
        <v>800</v>
      </c>
      <c r="I3248" s="523">
        <v>280</v>
      </c>
      <c r="J3248" s="523">
        <v>8131.9250000000002</v>
      </c>
      <c r="K3248" s="575">
        <f t="shared" si="309"/>
        <v>2276939</v>
      </c>
      <c r="L3248" s="591" t="s">
        <v>160</v>
      </c>
      <c r="M3248" s="591" t="s">
        <v>292</v>
      </c>
      <c r="N3248" s="525" t="str">
        <f>IF(AND('331-CT'!$E$7=TH!H3248,OR(L3248="331",M3248="331")),"331",IF(AND(OR(L3248="131",M3248="131"),H3248='131-CT'!$E$7),"131",""))</f>
        <v/>
      </c>
      <c r="O3248" s="525" t="str">
        <f>IF(AND($B3248&gt;='111'!$N$11,$B3248&lt;='111'!$O$11,OR($L3248=$O$7,$M3248=$O$7)),"x","")</f>
        <v/>
      </c>
      <c r="P3248" s="525" t="str">
        <f>IF(AND($L3248=$O$7,$B3248&lt;'111'!$N$11),"x","")</f>
        <v/>
      </c>
      <c r="Q3248" s="525" t="str">
        <f>IF(AND($M3248=$O$7,$B3248&lt;'111'!$N$11),"x","")</f>
        <v/>
      </c>
      <c r="R3248" s="525" t="str">
        <f>IF(ISERROR(FIND('112'!$M$9,G3248,1)),"",IF((AND(FIND('112'!$M$9,G3248,1)&gt;=1,$B3248&gt;='112'!$N$8,$B3248&lt;='112'!$O$8,OR($L3248='112'!$I$6,$M3248='112'!$I$6))),"x",""))</f>
        <v/>
      </c>
      <c r="S3248" s="525" t="str">
        <f>IF(ISERROR(FIND('112'!$M$9,G3248,1)),"",IF((AND(LEFT(G3248,2)=LEFT('112'!$M$9,2),B3248&lt;'112'!$N$8,$L3248='112'!$I$6)),"x",""))</f>
        <v/>
      </c>
      <c r="T3248" s="525" t="str">
        <f>IF(ISERROR(FIND('112'!$M$9,G3248,1)),"",IF((AND(RIGHT(G3248,2)=RIGHT('112'!$M$9,2),B3248&lt;'112'!$N$8,$M3248='112'!$I$6)),"x",""))</f>
        <v/>
      </c>
      <c r="U3248" s="525" t="str">
        <f>IF(AND(B3248&gt;='IN-NX'!$P$3,B3248&lt;='IN-NX'!$Q$3,'IN-NX'!$D$7=D3248,OR(LEFT(L3248,2)="15",AND(LEFT(M3248,2)&lt;&gt;"15",LEFT(M3248,2)&lt;&gt;"33"))),"x","")</f>
        <v/>
      </c>
      <c r="V3248" s="525" t="str">
        <f>IF(AND(OR(LEFT(TH!L3248,2)="15",LEFT(TH!M3248,2)="15"),'152-CT'!$J$8=TH!F3248),"x","")</f>
        <v/>
      </c>
      <c r="W3248" s="525" t="str">
        <f>IF(AND(OR(LEFT(TH!L3248,2)="15",LEFT(TH!M3248,2)="15"),TK!$E$7=TH!F3248),"x","")</f>
        <v/>
      </c>
      <c r="X3248" s="525" t="str">
        <f>IF(AND('341-CT'!$E$9=H3248,OR(LEFT(L3248,3)=$X$7,LEFT(M3248,3)=$X$7)),"x","")</f>
        <v/>
      </c>
      <c r="Y3248" s="525" t="str">
        <f>IF(OR(TH!L3248=TH!$Y$7,M3248=TH!$Y$7),"x","")</f>
        <v/>
      </c>
      <c r="Z3248" s="525" t="str">
        <f>IF(AND(B3248&lt;=NKC!$N$8,B3248&gt;=NKC!$M$8),"x","")</f>
        <v/>
      </c>
      <c r="AA3248" s="526"/>
      <c r="AB3248" s="527"/>
    </row>
    <row r="3249" spans="1:28" s="576" customFormat="1" ht="15.75" customHeight="1">
      <c r="A3249" s="517" t="str">
        <f>IF(B3249&lt;&gt;"",IF(AND(B3249&gt;=_TM1,B3249&lt;=_TM2,OR(TH!L3249="1111",TH!M3249="1111")),TH!D3249,""),"")</f>
        <v/>
      </c>
      <c r="B3249" s="518">
        <f t="shared" si="289"/>
        <v>5</v>
      </c>
      <c r="C3249" s="571">
        <f t="shared" si="290"/>
        <v>42872</v>
      </c>
      <c r="D3249" s="571" t="s">
        <v>996</v>
      </c>
      <c r="E3249" s="571">
        <v>42872</v>
      </c>
      <c r="F3249" s="572" t="s">
        <v>1217</v>
      </c>
      <c r="G3249" s="573" t="s">
        <v>1220</v>
      </c>
      <c r="H3249" s="574" t="s">
        <v>800</v>
      </c>
      <c r="I3249" s="523">
        <v>350</v>
      </c>
      <c r="J3249" s="523">
        <v>8382.017142857143</v>
      </c>
      <c r="K3249" s="575">
        <f t="shared" si="309"/>
        <v>2933706</v>
      </c>
      <c r="L3249" s="591" t="s">
        <v>160</v>
      </c>
      <c r="M3249" s="591" t="s">
        <v>292</v>
      </c>
      <c r="N3249" s="525" t="str">
        <f>IF(AND('331-CT'!$E$7=TH!H3249,OR(L3249="331",M3249="331")),"331",IF(AND(OR(L3249="131",M3249="131"),H3249='131-CT'!$E$7),"131",""))</f>
        <v/>
      </c>
      <c r="O3249" s="525" t="str">
        <f>IF(AND($B3249&gt;='111'!$N$11,$B3249&lt;='111'!$O$11,OR($L3249=$O$7,$M3249=$O$7)),"x","")</f>
        <v/>
      </c>
      <c r="P3249" s="525" t="str">
        <f>IF(AND($L3249=$O$7,$B3249&lt;'111'!$N$11),"x","")</f>
        <v/>
      </c>
      <c r="Q3249" s="525" t="str">
        <f>IF(AND($M3249=$O$7,$B3249&lt;'111'!$N$11),"x","")</f>
        <v/>
      </c>
      <c r="R3249" s="525" t="str">
        <f>IF(ISERROR(FIND('112'!$M$9,G3249,1)),"",IF((AND(FIND('112'!$M$9,G3249,1)&gt;=1,$B3249&gt;='112'!$N$8,$B3249&lt;='112'!$O$8,OR($L3249='112'!$I$6,$M3249='112'!$I$6))),"x",""))</f>
        <v/>
      </c>
      <c r="S3249" s="525" t="str">
        <f>IF(ISERROR(FIND('112'!$M$9,G3249,1)),"",IF((AND(LEFT(G3249,2)=LEFT('112'!$M$9,2),B3249&lt;'112'!$N$8,$L3249='112'!$I$6)),"x",""))</f>
        <v/>
      </c>
      <c r="T3249" s="525" t="str">
        <f>IF(ISERROR(FIND('112'!$M$9,G3249,1)),"",IF((AND(RIGHT(G3249,2)=RIGHT('112'!$M$9,2),B3249&lt;'112'!$N$8,$M3249='112'!$I$6)),"x",""))</f>
        <v/>
      </c>
      <c r="U3249" s="525" t="str">
        <f>IF(AND(B3249&gt;='IN-NX'!$P$3,B3249&lt;='IN-NX'!$Q$3,'IN-NX'!$D$7=D3249,OR(LEFT(L3249,2)="15",AND(LEFT(M3249,2)&lt;&gt;"15",LEFT(M3249,2)&lt;&gt;"33"))),"x","")</f>
        <v/>
      </c>
      <c r="V3249" s="525" t="str">
        <f>IF(AND(OR(LEFT(TH!L3249,2)="15",LEFT(TH!M3249,2)="15"),'152-CT'!$J$8=TH!F3249),"x","")</f>
        <v/>
      </c>
      <c r="W3249" s="525" t="str">
        <f>IF(AND(OR(LEFT(TH!L3249,2)="15",LEFT(TH!M3249,2)="15"),TK!$E$7=TH!F3249),"x","")</f>
        <v/>
      </c>
      <c r="X3249" s="525" t="str">
        <f>IF(AND('341-CT'!$E$9=H3249,OR(LEFT(L3249,3)=$X$7,LEFT(M3249,3)=$X$7)),"x","")</f>
        <v/>
      </c>
      <c r="Y3249" s="525" t="str">
        <f>IF(OR(TH!L3249=TH!$Y$7,M3249=TH!$Y$7),"x","")</f>
        <v/>
      </c>
      <c r="Z3249" s="525" t="str">
        <f>IF(AND(B3249&lt;=NKC!$N$8,B3249&gt;=NKC!$M$8),"x","")</f>
        <v/>
      </c>
      <c r="AA3249" s="526"/>
      <c r="AB3249" s="527"/>
    </row>
    <row r="3250" spans="1:28" s="576" customFormat="1" ht="15.75" customHeight="1">
      <c r="A3250" s="517" t="str">
        <f>IF(B3250&lt;&gt;"",IF(AND(B3250&gt;=_TM1,B3250&lt;=_TM2,OR(TH!L3250="1111",TH!M3250="1111")),TH!D3250,""),"")</f>
        <v/>
      </c>
      <c r="B3250" s="518">
        <f t="shared" si="289"/>
        <v>5</v>
      </c>
      <c r="C3250" s="571">
        <f t="shared" si="290"/>
        <v>42872</v>
      </c>
      <c r="D3250" s="571" t="s">
        <v>996</v>
      </c>
      <c r="E3250" s="571">
        <v>42872</v>
      </c>
      <c r="F3250" s="572" t="s">
        <v>1217</v>
      </c>
      <c r="G3250" s="573" t="s">
        <v>1220</v>
      </c>
      <c r="H3250" s="574" t="s">
        <v>800</v>
      </c>
      <c r="I3250" s="523">
        <v>400</v>
      </c>
      <c r="J3250" s="523">
        <v>7616.4250000000002</v>
      </c>
      <c r="K3250" s="575">
        <f t="shared" si="309"/>
        <v>3046570</v>
      </c>
      <c r="L3250" s="591" t="s">
        <v>160</v>
      </c>
      <c r="M3250" s="591" t="s">
        <v>292</v>
      </c>
      <c r="N3250" s="525" t="str">
        <f>IF(AND('331-CT'!$E$7=TH!H3250,OR(L3250="331",M3250="331")),"331",IF(AND(OR(L3250="131",M3250="131"),H3250='131-CT'!$E$7),"131",""))</f>
        <v/>
      </c>
      <c r="O3250" s="525" t="str">
        <f>IF(AND($B3250&gt;='111'!$N$11,$B3250&lt;='111'!$O$11,OR($L3250=$O$7,$M3250=$O$7)),"x","")</f>
        <v/>
      </c>
      <c r="P3250" s="525" t="str">
        <f>IF(AND($L3250=$O$7,$B3250&lt;'111'!$N$11),"x","")</f>
        <v/>
      </c>
      <c r="Q3250" s="525" t="str">
        <f>IF(AND($M3250=$O$7,$B3250&lt;'111'!$N$11),"x","")</f>
        <v/>
      </c>
      <c r="R3250" s="525" t="str">
        <f>IF(ISERROR(FIND('112'!$M$9,G3250,1)),"",IF((AND(FIND('112'!$M$9,G3250,1)&gt;=1,$B3250&gt;='112'!$N$8,$B3250&lt;='112'!$O$8,OR($L3250='112'!$I$6,$M3250='112'!$I$6))),"x",""))</f>
        <v/>
      </c>
      <c r="S3250" s="525" t="str">
        <f>IF(ISERROR(FIND('112'!$M$9,G3250,1)),"",IF((AND(LEFT(G3250,2)=LEFT('112'!$M$9,2),B3250&lt;'112'!$N$8,$L3250='112'!$I$6)),"x",""))</f>
        <v/>
      </c>
      <c r="T3250" s="525" t="str">
        <f>IF(ISERROR(FIND('112'!$M$9,G3250,1)),"",IF((AND(RIGHT(G3250,2)=RIGHT('112'!$M$9,2),B3250&lt;'112'!$N$8,$M3250='112'!$I$6)),"x",""))</f>
        <v/>
      </c>
      <c r="U3250" s="525" t="str">
        <f>IF(AND(B3250&gt;='IN-NX'!$P$3,B3250&lt;='IN-NX'!$Q$3,'IN-NX'!$D$7=D3250,OR(LEFT(L3250,2)="15",AND(LEFT(M3250,2)&lt;&gt;"15",LEFT(M3250,2)&lt;&gt;"33"))),"x","")</f>
        <v/>
      </c>
      <c r="V3250" s="525" t="str">
        <f>IF(AND(OR(LEFT(TH!L3250,2)="15",LEFT(TH!M3250,2)="15"),'152-CT'!$J$8=TH!F3250),"x","")</f>
        <v/>
      </c>
      <c r="W3250" s="525" t="str">
        <f>IF(AND(OR(LEFT(TH!L3250,2)="15",LEFT(TH!M3250,2)="15"),TK!$E$7=TH!F3250),"x","")</f>
        <v/>
      </c>
      <c r="X3250" s="525" t="str">
        <f>IF(AND('341-CT'!$E$9=H3250,OR(LEFT(L3250,3)=$X$7,LEFT(M3250,3)=$X$7)),"x","")</f>
        <v/>
      </c>
      <c r="Y3250" s="525" t="str">
        <f>IF(OR(TH!L3250=TH!$Y$7,M3250=TH!$Y$7),"x","")</f>
        <v/>
      </c>
      <c r="Z3250" s="525" t="str">
        <f>IF(AND(B3250&lt;=NKC!$N$8,B3250&gt;=NKC!$M$8),"x","")</f>
        <v/>
      </c>
      <c r="AA3250" s="526"/>
      <c r="AB3250" s="527"/>
    </row>
    <row r="3251" spans="1:28" s="576" customFormat="1" ht="15.75" customHeight="1">
      <c r="A3251" s="517" t="str">
        <f>IF(B3251&lt;&gt;"",IF(AND(B3251&gt;=_TM1,B3251&lt;=_TM2,OR(TH!L3251="1111",TH!M3251="1111")),TH!D3251,""),"")</f>
        <v/>
      </c>
      <c r="B3251" s="518">
        <f t="shared" si="289"/>
        <v>5</v>
      </c>
      <c r="C3251" s="571">
        <f t="shared" si="290"/>
        <v>42872</v>
      </c>
      <c r="D3251" s="571" t="s">
        <v>996</v>
      </c>
      <c r="E3251" s="571">
        <v>42872</v>
      </c>
      <c r="F3251" s="520" t="s">
        <v>1217</v>
      </c>
      <c r="G3251" s="573" t="s">
        <v>1220</v>
      </c>
      <c r="H3251" s="574" t="s">
        <v>800</v>
      </c>
      <c r="I3251" s="523">
        <v>1000</v>
      </c>
      <c r="J3251" s="523">
        <v>8418.9249999999993</v>
      </c>
      <c r="K3251" s="575">
        <f t="shared" si="309"/>
        <v>8418925</v>
      </c>
      <c r="L3251" s="591" t="s">
        <v>160</v>
      </c>
      <c r="M3251" s="591" t="s">
        <v>292</v>
      </c>
      <c r="N3251" s="525" t="str">
        <f>IF(AND('331-CT'!$E$7=TH!H3251,OR(L3251="331",M3251="331")),"331",IF(AND(OR(L3251="131",M3251="131"),H3251='131-CT'!$E$7),"131",""))</f>
        <v/>
      </c>
      <c r="O3251" s="525" t="str">
        <f>IF(AND($B3251&gt;='111'!$N$11,$B3251&lt;='111'!$O$11,OR($L3251=$O$7,$M3251=$O$7)),"x","")</f>
        <v/>
      </c>
      <c r="P3251" s="525" t="str">
        <f>IF(AND($L3251=$O$7,$B3251&lt;'111'!$N$11),"x","")</f>
        <v/>
      </c>
      <c r="Q3251" s="525" t="str">
        <f>IF(AND($M3251=$O$7,$B3251&lt;'111'!$N$11),"x","")</f>
        <v/>
      </c>
      <c r="R3251" s="525" t="str">
        <f>IF(ISERROR(FIND('112'!$M$9,G3251,1)),"",IF((AND(FIND('112'!$M$9,G3251,1)&gt;=1,$B3251&gt;='112'!$N$8,$B3251&lt;='112'!$O$8,OR($L3251='112'!$I$6,$M3251='112'!$I$6))),"x",""))</f>
        <v/>
      </c>
      <c r="S3251" s="525" t="str">
        <f>IF(ISERROR(FIND('112'!$M$9,G3251,1)),"",IF((AND(LEFT(G3251,2)=LEFT('112'!$M$9,2),B3251&lt;'112'!$N$8,$L3251='112'!$I$6)),"x",""))</f>
        <v/>
      </c>
      <c r="T3251" s="525" t="str">
        <f>IF(ISERROR(FIND('112'!$M$9,G3251,1)),"",IF((AND(RIGHT(G3251,2)=RIGHT('112'!$M$9,2),B3251&lt;'112'!$N$8,$M3251='112'!$I$6)),"x",""))</f>
        <v/>
      </c>
      <c r="U3251" s="525" t="str">
        <f>IF(AND(B3251&gt;='IN-NX'!$P$3,B3251&lt;='IN-NX'!$Q$3,'IN-NX'!$D$7=D3251,OR(LEFT(L3251,2)="15",AND(LEFT(M3251,2)&lt;&gt;"15",LEFT(M3251,2)&lt;&gt;"33"))),"x","")</f>
        <v/>
      </c>
      <c r="V3251" s="525" t="str">
        <f>IF(AND(OR(LEFT(TH!L3251,2)="15",LEFT(TH!M3251,2)="15"),'152-CT'!$J$8=TH!F3251),"x","")</f>
        <v/>
      </c>
      <c r="W3251" s="525" t="str">
        <f>IF(AND(OR(LEFT(TH!L3251,2)="15",LEFT(TH!M3251,2)="15"),TK!$E$7=TH!F3251),"x","")</f>
        <v/>
      </c>
      <c r="X3251" s="525" t="str">
        <f>IF(AND('341-CT'!$E$9=H3251,OR(LEFT(L3251,3)=$X$7,LEFT(M3251,3)=$X$7)),"x","")</f>
        <v/>
      </c>
      <c r="Y3251" s="525" t="str">
        <f>IF(OR(TH!L3251=TH!$Y$7,M3251=TH!$Y$7),"x","")</f>
        <v/>
      </c>
      <c r="Z3251" s="525" t="str">
        <f>IF(AND(B3251&lt;=NKC!$N$8,B3251&gt;=NKC!$M$8),"x","")</f>
        <v/>
      </c>
      <c r="AA3251" s="526"/>
      <c r="AB3251" s="527"/>
    </row>
    <row r="3252" spans="1:28" s="576" customFormat="1" ht="15.75" customHeight="1">
      <c r="A3252" s="517" t="str">
        <f>IF(B3252&lt;&gt;"",IF(AND(B3252&gt;=_TM1,B3252&lt;=_TM2,OR(TH!L3252="1111",TH!M3252="1111")),TH!D3252,""),"")</f>
        <v/>
      </c>
      <c r="B3252" s="518">
        <f t="shared" si="289"/>
        <v>5</v>
      </c>
      <c r="C3252" s="571">
        <f t="shared" si="290"/>
        <v>42875</v>
      </c>
      <c r="D3252" s="571" t="s">
        <v>996</v>
      </c>
      <c r="E3252" s="571">
        <v>42875</v>
      </c>
      <c r="F3252" s="520" t="s">
        <v>503</v>
      </c>
      <c r="G3252" s="573" t="s">
        <v>1194</v>
      </c>
      <c r="H3252" s="574" t="s">
        <v>800</v>
      </c>
      <c r="I3252" s="523">
        <v>2100</v>
      </c>
      <c r="J3252" s="523">
        <v>6019.5423809523809</v>
      </c>
      <c r="K3252" s="575">
        <f t="shared" si="309"/>
        <v>12641039</v>
      </c>
      <c r="L3252" s="591" t="s">
        <v>160</v>
      </c>
      <c r="M3252" s="591" t="s">
        <v>292</v>
      </c>
      <c r="N3252" s="525" t="str">
        <f>IF(AND('331-CT'!$E$7=TH!H3252,OR(L3252="331",M3252="331")),"331",IF(AND(OR(L3252="131",M3252="131"),H3252='131-CT'!$E$7),"131",""))</f>
        <v/>
      </c>
      <c r="O3252" s="525" t="str">
        <f>IF(AND($B3252&gt;='111'!$N$11,$B3252&lt;='111'!$O$11,OR($L3252=$O$7,$M3252=$O$7)),"x","")</f>
        <v/>
      </c>
      <c r="P3252" s="525" t="str">
        <f>IF(AND($L3252=$O$7,$B3252&lt;'111'!$N$11),"x","")</f>
        <v/>
      </c>
      <c r="Q3252" s="525" t="str">
        <f>IF(AND($M3252=$O$7,$B3252&lt;'111'!$N$11),"x","")</f>
        <v/>
      </c>
      <c r="R3252" s="525" t="str">
        <f>IF(ISERROR(FIND('112'!$M$9,G3252,1)),"",IF((AND(FIND('112'!$M$9,G3252,1)&gt;=1,$B3252&gt;='112'!$N$8,$B3252&lt;='112'!$O$8,OR($L3252='112'!$I$6,$M3252='112'!$I$6))),"x",""))</f>
        <v/>
      </c>
      <c r="S3252" s="525" t="str">
        <f>IF(ISERROR(FIND('112'!$M$9,G3252,1)),"",IF((AND(LEFT(G3252,2)=LEFT('112'!$M$9,2),B3252&lt;'112'!$N$8,$L3252='112'!$I$6)),"x",""))</f>
        <v/>
      </c>
      <c r="T3252" s="525" t="str">
        <f>IF(ISERROR(FIND('112'!$M$9,G3252,1)),"",IF((AND(RIGHT(G3252,2)=RIGHT('112'!$M$9,2),B3252&lt;'112'!$N$8,$M3252='112'!$I$6)),"x",""))</f>
        <v/>
      </c>
      <c r="U3252" s="525" t="str">
        <f>IF(AND(B3252&gt;='IN-NX'!$P$3,B3252&lt;='IN-NX'!$Q$3,'IN-NX'!$D$7=D3252,OR(LEFT(L3252,2)="15",AND(LEFT(M3252,2)&lt;&gt;"15",LEFT(M3252,2)&lt;&gt;"33"))),"x","")</f>
        <v/>
      </c>
      <c r="V3252" s="525" t="str">
        <f>IF(AND(OR(LEFT(TH!L3252,2)="15",LEFT(TH!M3252,2)="15"),'152-CT'!$J$8=TH!F3252),"x","")</f>
        <v/>
      </c>
      <c r="W3252" s="525" t="str">
        <f>IF(AND(OR(LEFT(TH!L3252,2)="15",LEFT(TH!M3252,2)="15"),TK!$E$7=TH!F3252),"x","")</f>
        <v/>
      </c>
      <c r="X3252" s="525" t="str">
        <f>IF(AND('341-CT'!$E$9=H3252,OR(LEFT(L3252,3)=$X$7,LEFT(M3252,3)=$X$7)),"x","")</f>
        <v/>
      </c>
      <c r="Y3252" s="525" t="str">
        <f>IF(OR(TH!L3252=TH!$Y$7,M3252=TH!$Y$7),"x","")</f>
        <v/>
      </c>
      <c r="Z3252" s="525" t="str">
        <f>IF(AND(B3252&lt;=NKC!$N$8,B3252&gt;=NKC!$M$8),"x","")</f>
        <v/>
      </c>
      <c r="AA3252" s="526"/>
      <c r="AB3252" s="527"/>
    </row>
    <row r="3253" spans="1:28" s="576" customFormat="1" ht="15.75" customHeight="1">
      <c r="A3253" s="517" t="str">
        <f>IF(B3253&lt;&gt;"",IF(AND(B3253&gt;=_TM1,B3253&lt;=_TM2,OR(TH!L3253="1111",TH!M3253="1111")),TH!D3253,""),"")</f>
        <v/>
      </c>
      <c r="B3253" s="518">
        <f t="shared" si="289"/>
        <v>5</v>
      </c>
      <c r="C3253" s="571">
        <f t="shared" si="290"/>
        <v>42879</v>
      </c>
      <c r="D3253" s="571" t="s">
        <v>996</v>
      </c>
      <c r="E3253" s="571">
        <v>42879</v>
      </c>
      <c r="F3253" s="572" t="s">
        <v>1217</v>
      </c>
      <c r="G3253" s="573" t="s">
        <v>1221</v>
      </c>
      <c r="H3253" s="574" t="s">
        <v>800</v>
      </c>
      <c r="I3253" s="523">
        <v>230</v>
      </c>
      <c r="J3253" s="523">
        <v>8379.9608695652169</v>
      </c>
      <c r="K3253" s="575">
        <f t="shared" si="309"/>
        <v>1927391</v>
      </c>
      <c r="L3253" s="591" t="s">
        <v>160</v>
      </c>
      <c r="M3253" s="591" t="s">
        <v>292</v>
      </c>
      <c r="N3253" s="525" t="str">
        <f>IF(AND('331-CT'!$E$7=TH!H3253,OR(L3253="331",M3253="331")),"331",IF(AND(OR(L3253="131",M3253="131"),H3253='131-CT'!$E$7),"131",""))</f>
        <v/>
      </c>
      <c r="O3253" s="525" t="str">
        <f>IF(AND($B3253&gt;='111'!$N$11,$B3253&lt;='111'!$O$11,OR($L3253=$O$7,$M3253=$O$7)),"x","")</f>
        <v/>
      </c>
      <c r="P3253" s="525" t="str">
        <f>IF(AND($L3253=$O$7,$B3253&lt;'111'!$N$11),"x","")</f>
        <v/>
      </c>
      <c r="Q3253" s="525" t="str">
        <f>IF(AND($M3253=$O$7,$B3253&lt;'111'!$N$11),"x","")</f>
        <v/>
      </c>
      <c r="R3253" s="525" t="str">
        <f>IF(ISERROR(FIND('112'!$M$9,G3253,1)),"",IF((AND(FIND('112'!$M$9,G3253,1)&gt;=1,$B3253&gt;='112'!$N$8,$B3253&lt;='112'!$O$8,OR($L3253='112'!$I$6,$M3253='112'!$I$6))),"x",""))</f>
        <v/>
      </c>
      <c r="S3253" s="525" t="str">
        <f>IF(ISERROR(FIND('112'!$M$9,G3253,1)),"",IF((AND(LEFT(G3253,2)=LEFT('112'!$M$9,2),B3253&lt;'112'!$N$8,$L3253='112'!$I$6)),"x",""))</f>
        <v/>
      </c>
      <c r="T3253" s="525" t="str">
        <f>IF(ISERROR(FIND('112'!$M$9,G3253,1)),"",IF((AND(RIGHT(G3253,2)=RIGHT('112'!$M$9,2),B3253&lt;'112'!$N$8,$M3253='112'!$I$6)),"x",""))</f>
        <v/>
      </c>
      <c r="U3253" s="525" t="str">
        <f>IF(AND(B3253&gt;='IN-NX'!$P$3,B3253&lt;='IN-NX'!$Q$3,'IN-NX'!$D$7=D3253,OR(LEFT(L3253,2)="15",AND(LEFT(M3253,2)&lt;&gt;"15",LEFT(M3253,2)&lt;&gt;"33"))),"x","")</f>
        <v/>
      </c>
      <c r="V3253" s="525" t="str">
        <f>IF(AND(OR(LEFT(TH!L3253,2)="15",LEFT(TH!M3253,2)="15"),'152-CT'!$J$8=TH!F3253),"x","")</f>
        <v/>
      </c>
      <c r="W3253" s="525" t="str">
        <f>IF(AND(OR(LEFT(TH!L3253,2)="15",LEFT(TH!M3253,2)="15"),TK!$E$7=TH!F3253),"x","")</f>
        <v/>
      </c>
      <c r="X3253" s="525" t="str">
        <f>IF(AND('341-CT'!$E$9=H3253,OR(LEFT(L3253,3)=$X$7,LEFT(M3253,3)=$X$7)),"x","")</f>
        <v/>
      </c>
      <c r="Y3253" s="525" t="str">
        <f>IF(OR(TH!L3253=TH!$Y$7,M3253=TH!$Y$7),"x","")</f>
        <v/>
      </c>
      <c r="Z3253" s="525" t="str">
        <f>IF(AND(B3253&lt;=NKC!$N$8,B3253&gt;=NKC!$M$8),"x","")</f>
        <v/>
      </c>
      <c r="AA3253" s="526"/>
      <c r="AB3253" s="527"/>
    </row>
    <row r="3254" spans="1:28" s="576" customFormat="1" ht="15.75" customHeight="1">
      <c r="A3254" s="517" t="str">
        <f>IF(B3254&lt;&gt;"",IF(AND(B3254&gt;=_TM1,B3254&lt;=_TM2,OR(TH!L3254="1111",TH!M3254="1111")),TH!D3254,""),"")</f>
        <v/>
      </c>
      <c r="B3254" s="518">
        <f t="shared" si="289"/>
        <v>5</v>
      </c>
      <c r="C3254" s="571">
        <f t="shared" si="290"/>
        <v>42879</v>
      </c>
      <c r="D3254" s="571" t="s">
        <v>996</v>
      </c>
      <c r="E3254" s="571">
        <v>42879</v>
      </c>
      <c r="F3254" s="572" t="s">
        <v>1217</v>
      </c>
      <c r="G3254" s="573" t="s">
        <v>1221</v>
      </c>
      <c r="H3254" s="574" t="s">
        <v>800</v>
      </c>
      <c r="I3254" s="523">
        <v>460</v>
      </c>
      <c r="J3254" s="523">
        <v>8754.3608695652165</v>
      </c>
      <c r="K3254" s="575">
        <f t="shared" si="309"/>
        <v>4027006</v>
      </c>
      <c r="L3254" s="591" t="s">
        <v>160</v>
      </c>
      <c r="M3254" s="591" t="s">
        <v>292</v>
      </c>
      <c r="N3254" s="525" t="str">
        <f>IF(AND('331-CT'!$E$7=TH!H3254,OR(L3254="331",M3254="331")),"331",IF(AND(OR(L3254="131",M3254="131"),H3254='131-CT'!$E$7),"131",""))</f>
        <v/>
      </c>
      <c r="O3254" s="525" t="str">
        <f>IF(AND($B3254&gt;='111'!$N$11,$B3254&lt;='111'!$O$11,OR($L3254=$O$7,$M3254=$O$7)),"x","")</f>
        <v/>
      </c>
      <c r="P3254" s="525" t="str">
        <f>IF(AND($L3254=$O$7,$B3254&lt;'111'!$N$11),"x","")</f>
        <v/>
      </c>
      <c r="Q3254" s="525" t="str">
        <f>IF(AND($M3254=$O$7,$B3254&lt;'111'!$N$11),"x","")</f>
        <v/>
      </c>
      <c r="R3254" s="525" t="str">
        <f>IF(ISERROR(FIND('112'!$M$9,G3254,1)),"",IF((AND(FIND('112'!$M$9,G3254,1)&gt;=1,$B3254&gt;='112'!$N$8,$B3254&lt;='112'!$O$8,OR($L3254='112'!$I$6,$M3254='112'!$I$6))),"x",""))</f>
        <v/>
      </c>
      <c r="S3254" s="525" t="str">
        <f>IF(ISERROR(FIND('112'!$M$9,G3254,1)),"",IF((AND(LEFT(G3254,2)=LEFT('112'!$M$9,2),B3254&lt;'112'!$N$8,$L3254='112'!$I$6)),"x",""))</f>
        <v/>
      </c>
      <c r="T3254" s="525" t="str">
        <f>IF(ISERROR(FIND('112'!$M$9,G3254,1)),"",IF((AND(RIGHT(G3254,2)=RIGHT('112'!$M$9,2),B3254&lt;'112'!$N$8,$M3254='112'!$I$6)),"x",""))</f>
        <v/>
      </c>
      <c r="U3254" s="525" t="str">
        <f>IF(AND(B3254&gt;='IN-NX'!$P$3,B3254&lt;='IN-NX'!$Q$3,'IN-NX'!$D$7=D3254,OR(LEFT(L3254,2)="15",AND(LEFT(M3254,2)&lt;&gt;"15",LEFT(M3254,2)&lt;&gt;"33"))),"x","")</f>
        <v/>
      </c>
      <c r="V3254" s="525" t="str">
        <f>IF(AND(OR(LEFT(TH!L3254,2)="15",LEFT(TH!M3254,2)="15"),'152-CT'!$J$8=TH!F3254),"x","")</f>
        <v/>
      </c>
      <c r="W3254" s="525" t="str">
        <f>IF(AND(OR(LEFT(TH!L3254,2)="15",LEFT(TH!M3254,2)="15"),TK!$E$7=TH!F3254),"x","")</f>
        <v/>
      </c>
      <c r="X3254" s="525" t="str">
        <f>IF(AND('341-CT'!$E$9=H3254,OR(LEFT(L3254,3)=$X$7,LEFT(M3254,3)=$X$7)),"x","")</f>
        <v/>
      </c>
      <c r="Y3254" s="525" t="str">
        <f>IF(OR(TH!L3254=TH!$Y$7,M3254=TH!$Y$7),"x","")</f>
        <v/>
      </c>
      <c r="Z3254" s="525" t="str">
        <f>IF(AND(B3254&lt;=NKC!$N$8,B3254&gt;=NKC!$M$8),"x","")</f>
        <v/>
      </c>
      <c r="AA3254" s="526"/>
      <c r="AB3254" s="527"/>
    </row>
    <row r="3255" spans="1:28" s="576" customFormat="1" ht="15.75" customHeight="1">
      <c r="A3255" s="517" t="str">
        <f>IF(B3255&lt;&gt;"",IF(AND(B3255&gt;=_TM1,B3255&lt;=_TM2,OR(TH!L3255="1111",TH!M3255="1111")),TH!D3255,""),"")</f>
        <v/>
      </c>
      <c r="B3255" s="518">
        <f t="shared" ref="B3255:B3262" si="310">IF(C3255&lt;&gt;"",MONTH(C3255),"")</f>
        <v>5</v>
      </c>
      <c r="C3255" s="571">
        <f t="shared" ref="C3255:C3262" si="311">E3255</f>
        <v>42879</v>
      </c>
      <c r="D3255" s="571" t="s">
        <v>996</v>
      </c>
      <c r="E3255" s="571">
        <v>42879</v>
      </c>
      <c r="F3255" s="520" t="s">
        <v>1217</v>
      </c>
      <c r="G3255" s="573" t="s">
        <v>1221</v>
      </c>
      <c r="H3255" s="574" t="s">
        <v>800</v>
      </c>
      <c r="I3255" s="523">
        <v>360</v>
      </c>
      <c r="J3255" s="523">
        <v>8863.9249999999993</v>
      </c>
      <c r="K3255" s="575">
        <f t="shared" si="309"/>
        <v>3191013</v>
      </c>
      <c r="L3255" s="591" t="s">
        <v>160</v>
      </c>
      <c r="M3255" s="591" t="s">
        <v>292</v>
      </c>
      <c r="N3255" s="525" t="str">
        <f>IF(AND('331-CT'!$E$7=TH!H3255,OR(L3255="331",M3255="331")),"331",IF(AND(OR(L3255="131",M3255="131"),H3255='131-CT'!$E$7),"131",""))</f>
        <v/>
      </c>
      <c r="O3255" s="525" t="str">
        <f>IF(AND($B3255&gt;='111'!$N$11,$B3255&lt;='111'!$O$11,OR($L3255=$O$7,$M3255=$O$7)),"x","")</f>
        <v/>
      </c>
      <c r="P3255" s="525" t="str">
        <f>IF(AND($L3255=$O$7,$B3255&lt;'111'!$N$11),"x","")</f>
        <v/>
      </c>
      <c r="Q3255" s="525" t="str">
        <f>IF(AND($M3255=$O$7,$B3255&lt;'111'!$N$11),"x","")</f>
        <v/>
      </c>
      <c r="R3255" s="525" t="str">
        <f>IF(ISERROR(FIND('112'!$M$9,G3255,1)),"",IF((AND(FIND('112'!$M$9,G3255,1)&gt;=1,$B3255&gt;='112'!$N$8,$B3255&lt;='112'!$O$8,OR($L3255='112'!$I$6,$M3255='112'!$I$6))),"x",""))</f>
        <v/>
      </c>
      <c r="S3255" s="525" t="str">
        <f>IF(ISERROR(FIND('112'!$M$9,G3255,1)),"",IF((AND(LEFT(G3255,2)=LEFT('112'!$M$9,2),B3255&lt;'112'!$N$8,$L3255='112'!$I$6)),"x",""))</f>
        <v/>
      </c>
      <c r="T3255" s="525" t="str">
        <f>IF(ISERROR(FIND('112'!$M$9,G3255,1)),"",IF((AND(RIGHT(G3255,2)=RIGHT('112'!$M$9,2),B3255&lt;'112'!$N$8,$M3255='112'!$I$6)),"x",""))</f>
        <v/>
      </c>
      <c r="U3255" s="525" t="str">
        <f>IF(AND(B3255&gt;='IN-NX'!$P$3,B3255&lt;='IN-NX'!$Q$3,'IN-NX'!$D$7=D3255,OR(LEFT(L3255,2)="15",AND(LEFT(M3255,2)&lt;&gt;"15",LEFT(M3255,2)&lt;&gt;"33"))),"x","")</f>
        <v/>
      </c>
      <c r="V3255" s="525" t="str">
        <f>IF(AND(OR(LEFT(TH!L3255,2)="15",LEFT(TH!M3255,2)="15"),'152-CT'!$J$8=TH!F3255),"x","")</f>
        <v/>
      </c>
      <c r="W3255" s="525" t="str">
        <f>IF(AND(OR(LEFT(TH!L3255,2)="15",LEFT(TH!M3255,2)="15"),TK!$E$7=TH!F3255),"x","")</f>
        <v/>
      </c>
      <c r="X3255" s="525" t="str">
        <f>IF(AND('341-CT'!$E$9=H3255,OR(LEFT(L3255,3)=$X$7,LEFT(M3255,3)=$X$7)),"x","")</f>
        <v/>
      </c>
      <c r="Y3255" s="525" t="str">
        <f>IF(OR(TH!L3255=TH!$Y$7,M3255=TH!$Y$7),"x","")</f>
        <v/>
      </c>
      <c r="Z3255" s="525" t="str">
        <f>IF(AND(B3255&lt;=NKC!$N$8,B3255&gt;=NKC!$M$8),"x","")</f>
        <v/>
      </c>
      <c r="AA3255" s="526"/>
      <c r="AB3255" s="527"/>
    </row>
    <row r="3256" spans="1:28" s="576" customFormat="1" ht="15.75" customHeight="1">
      <c r="A3256" s="517" t="str">
        <f>IF(B3256&lt;&gt;"",IF(AND(B3256&gt;=_TM1,B3256&lt;=_TM2,OR(TH!L3256="1111",TH!M3256="1111")),TH!D3256,""),"")</f>
        <v/>
      </c>
      <c r="B3256" s="518">
        <f t="shared" si="310"/>
        <v>5</v>
      </c>
      <c r="C3256" s="571">
        <f t="shared" si="311"/>
        <v>42879</v>
      </c>
      <c r="D3256" s="571" t="s">
        <v>996</v>
      </c>
      <c r="E3256" s="571">
        <v>42879</v>
      </c>
      <c r="F3256" s="520" t="s">
        <v>1217</v>
      </c>
      <c r="G3256" s="573" t="s">
        <v>1221</v>
      </c>
      <c r="H3256" s="574" t="s">
        <v>800</v>
      </c>
      <c r="I3256" s="523">
        <v>620</v>
      </c>
      <c r="J3256" s="523">
        <v>8429.9903225806447</v>
      </c>
      <c r="K3256" s="575">
        <f t="shared" ref="K3256:K3262" si="312">ROUND(I3256*J3256,0)</f>
        <v>5226594</v>
      </c>
      <c r="L3256" s="591" t="s">
        <v>160</v>
      </c>
      <c r="M3256" s="591" t="s">
        <v>292</v>
      </c>
      <c r="N3256" s="525" t="str">
        <f>IF(AND('331-CT'!$E$7=TH!H3256,OR(L3256="331",M3256="331")),"331",IF(AND(OR(L3256="131",M3256="131"),H3256='131-CT'!$E$7),"131",""))</f>
        <v/>
      </c>
      <c r="O3256" s="525" t="str">
        <f>IF(AND($B3256&gt;='111'!$N$11,$B3256&lt;='111'!$O$11,OR($L3256=$O$7,$M3256=$O$7)),"x","")</f>
        <v/>
      </c>
      <c r="P3256" s="525" t="str">
        <f>IF(AND($L3256=$O$7,$B3256&lt;'111'!$N$11),"x","")</f>
        <v/>
      </c>
      <c r="Q3256" s="525" t="str">
        <f>IF(AND($M3256=$O$7,$B3256&lt;'111'!$N$11),"x","")</f>
        <v/>
      </c>
      <c r="R3256" s="525" t="str">
        <f>IF(ISERROR(FIND('112'!$M$9,G3256,1)),"",IF((AND(FIND('112'!$M$9,G3256,1)&gt;=1,$B3256&gt;='112'!$N$8,$B3256&lt;='112'!$O$8,OR($L3256='112'!$I$6,$M3256='112'!$I$6))),"x",""))</f>
        <v/>
      </c>
      <c r="S3256" s="525" t="str">
        <f>IF(ISERROR(FIND('112'!$M$9,G3256,1)),"",IF((AND(LEFT(G3256,2)=LEFT('112'!$M$9,2),B3256&lt;'112'!$N$8,$L3256='112'!$I$6)),"x",""))</f>
        <v/>
      </c>
      <c r="T3256" s="525" t="str">
        <f>IF(ISERROR(FIND('112'!$M$9,G3256,1)),"",IF((AND(RIGHT(G3256,2)=RIGHT('112'!$M$9,2),B3256&lt;'112'!$N$8,$M3256='112'!$I$6)),"x",""))</f>
        <v/>
      </c>
      <c r="U3256" s="525" t="str">
        <f>IF(AND(B3256&gt;='IN-NX'!$P$3,B3256&lt;='IN-NX'!$Q$3,'IN-NX'!$D$7=D3256,OR(LEFT(L3256,2)="15",AND(LEFT(M3256,2)&lt;&gt;"15",LEFT(M3256,2)&lt;&gt;"33"))),"x","")</f>
        <v/>
      </c>
      <c r="V3256" s="525" t="str">
        <f>IF(AND(OR(LEFT(TH!L3256,2)="15",LEFT(TH!M3256,2)="15"),'152-CT'!$J$8=TH!F3256),"x","")</f>
        <v/>
      </c>
      <c r="W3256" s="525" t="str">
        <f>IF(AND(OR(LEFT(TH!L3256,2)="15",LEFT(TH!M3256,2)="15"),TK!$E$7=TH!F3256),"x","")</f>
        <v/>
      </c>
      <c r="X3256" s="525" t="str">
        <f>IF(AND('341-CT'!$E$9=H3256,OR(LEFT(L3256,3)=$X$7,LEFT(M3256,3)=$X$7)),"x","")</f>
        <v/>
      </c>
      <c r="Y3256" s="525" t="str">
        <f>IF(OR(TH!L3256=TH!$Y$7,M3256=TH!$Y$7),"x","")</f>
        <v/>
      </c>
      <c r="Z3256" s="525" t="str">
        <f>IF(AND(B3256&lt;=NKC!$N$8,B3256&gt;=NKC!$M$8),"x","")</f>
        <v/>
      </c>
      <c r="AA3256" s="526"/>
      <c r="AB3256" s="527"/>
    </row>
    <row r="3257" spans="1:28" s="576" customFormat="1" ht="15.75" customHeight="1">
      <c r="A3257" s="517" t="str">
        <f>IF(B3257&lt;&gt;"",IF(AND(B3257&gt;=_TM1,B3257&lt;=_TM2,OR(TH!L3257="1111",TH!M3257="1111")),TH!D3257,""),"")</f>
        <v/>
      </c>
      <c r="B3257" s="518">
        <f t="shared" si="310"/>
        <v>5</v>
      </c>
      <c r="C3257" s="571">
        <f t="shared" si="311"/>
        <v>42879</v>
      </c>
      <c r="D3257" s="571" t="s">
        <v>996</v>
      </c>
      <c r="E3257" s="571">
        <v>42879</v>
      </c>
      <c r="F3257" s="572" t="s">
        <v>1217</v>
      </c>
      <c r="G3257" s="573" t="s">
        <v>1221</v>
      </c>
      <c r="H3257" s="574" t="s">
        <v>800</v>
      </c>
      <c r="I3257" s="523">
        <v>240</v>
      </c>
      <c r="J3257" s="523">
        <v>8662.4249999999993</v>
      </c>
      <c r="K3257" s="575">
        <f t="shared" si="312"/>
        <v>2078982</v>
      </c>
      <c r="L3257" s="591" t="s">
        <v>160</v>
      </c>
      <c r="M3257" s="591" t="s">
        <v>292</v>
      </c>
      <c r="N3257" s="525" t="str">
        <f>IF(AND('331-CT'!$E$7=TH!H3257,OR(L3257="331",M3257="331")),"331",IF(AND(OR(L3257="131",M3257="131"),H3257='131-CT'!$E$7),"131",""))</f>
        <v/>
      </c>
      <c r="O3257" s="525" t="str">
        <f>IF(AND($B3257&gt;='111'!$N$11,$B3257&lt;='111'!$O$11,OR($L3257=$O$7,$M3257=$O$7)),"x","")</f>
        <v/>
      </c>
      <c r="P3257" s="525" t="str">
        <f>IF(AND($L3257=$O$7,$B3257&lt;'111'!$N$11),"x","")</f>
        <v/>
      </c>
      <c r="Q3257" s="525" t="str">
        <f>IF(AND($M3257=$O$7,$B3257&lt;'111'!$N$11),"x","")</f>
        <v/>
      </c>
      <c r="R3257" s="525" t="str">
        <f>IF(ISERROR(FIND('112'!$M$9,G3257,1)),"",IF((AND(FIND('112'!$M$9,G3257,1)&gt;=1,$B3257&gt;='112'!$N$8,$B3257&lt;='112'!$O$8,OR($L3257='112'!$I$6,$M3257='112'!$I$6))),"x",""))</f>
        <v/>
      </c>
      <c r="S3257" s="525" t="str">
        <f>IF(ISERROR(FIND('112'!$M$9,G3257,1)),"",IF((AND(LEFT(G3257,2)=LEFT('112'!$M$9,2),B3257&lt;'112'!$N$8,$L3257='112'!$I$6)),"x",""))</f>
        <v/>
      </c>
      <c r="T3257" s="525" t="str">
        <f>IF(ISERROR(FIND('112'!$M$9,G3257,1)),"",IF((AND(RIGHT(G3257,2)=RIGHT('112'!$M$9,2),B3257&lt;'112'!$N$8,$M3257='112'!$I$6)),"x",""))</f>
        <v/>
      </c>
      <c r="U3257" s="525" t="str">
        <f>IF(AND(B3257&gt;='IN-NX'!$P$3,B3257&lt;='IN-NX'!$Q$3,'IN-NX'!$D$7=D3257,OR(LEFT(L3257,2)="15",AND(LEFT(M3257,2)&lt;&gt;"15",LEFT(M3257,2)&lt;&gt;"33"))),"x","")</f>
        <v/>
      </c>
      <c r="V3257" s="525" t="str">
        <f>IF(AND(OR(LEFT(TH!L3257,2)="15",LEFT(TH!M3257,2)="15"),'152-CT'!$J$8=TH!F3257),"x","")</f>
        <v/>
      </c>
      <c r="W3257" s="525" t="str">
        <f>IF(AND(OR(LEFT(TH!L3257,2)="15",LEFT(TH!M3257,2)="15"),TK!$E$7=TH!F3257),"x","")</f>
        <v/>
      </c>
      <c r="X3257" s="525" t="str">
        <f>IF(AND('341-CT'!$E$9=H3257,OR(LEFT(L3257,3)=$X$7,LEFT(M3257,3)=$X$7)),"x","")</f>
        <v/>
      </c>
      <c r="Y3257" s="525" t="str">
        <f>IF(OR(TH!L3257=TH!$Y$7,M3257=TH!$Y$7),"x","")</f>
        <v/>
      </c>
      <c r="Z3257" s="525" t="str">
        <f>IF(AND(B3257&lt;=NKC!$N$8,B3257&gt;=NKC!$M$8),"x","")</f>
        <v/>
      </c>
      <c r="AA3257" s="526"/>
      <c r="AB3257" s="527"/>
    </row>
    <row r="3258" spans="1:28" s="576" customFormat="1" ht="15.75" customHeight="1">
      <c r="A3258" s="517" t="str">
        <f>IF(B3258&lt;&gt;"",IF(AND(B3258&gt;=_TM1,B3258&lt;=_TM2,OR(TH!L3258="1111",TH!M3258="1111")),TH!D3258,""),"")</f>
        <v/>
      </c>
      <c r="B3258" s="518">
        <f t="shared" si="310"/>
        <v>5</v>
      </c>
      <c r="C3258" s="571">
        <f t="shared" si="311"/>
        <v>42879</v>
      </c>
      <c r="D3258" s="571" t="s">
        <v>996</v>
      </c>
      <c r="E3258" s="571">
        <v>42879</v>
      </c>
      <c r="F3258" s="572" t="s">
        <v>1217</v>
      </c>
      <c r="G3258" s="573" t="s">
        <v>1221</v>
      </c>
      <c r="H3258" s="574" t="s">
        <v>800</v>
      </c>
      <c r="I3258" s="523">
        <v>120</v>
      </c>
      <c r="J3258" s="523">
        <v>8782.9249999999993</v>
      </c>
      <c r="K3258" s="575">
        <f t="shared" si="312"/>
        <v>1053951</v>
      </c>
      <c r="L3258" s="591" t="s">
        <v>160</v>
      </c>
      <c r="M3258" s="591" t="s">
        <v>292</v>
      </c>
      <c r="N3258" s="525" t="str">
        <f>IF(AND('331-CT'!$E$7=TH!H3258,OR(L3258="331",M3258="331")),"331",IF(AND(OR(L3258="131",M3258="131"),H3258='131-CT'!$E$7),"131",""))</f>
        <v/>
      </c>
      <c r="O3258" s="525" t="str">
        <f>IF(AND($B3258&gt;='111'!$N$11,$B3258&lt;='111'!$O$11,OR($L3258=$O$7,$M3258=$O$7)),"x","")</f>
        <v/>
      </c>
      <c r="P3258" s="525" t="str">
        <f>IF(AND($L3258=$O$7,$B3258&lt;'111'!$N$11),"x","")</f>
        <v/>
      </c>
      <c r="Q3258" s="525" t="str">
        <f>IF(AND($M3258=$O$7,$B3258&lt;'111'!$N$11),"x","")</f>
        <v/>
      </c>
      <c r="R3258" s="525" t="str">
        <f>IF(ISERROR(FIND('112'!$M$9,G3258,1)),"",IF((AND(FIND('112'!$M$9,G3258,1)&gt;=1,$B3258&gt;='112'!$N$8,$B3258&lt;='112'!$O$8,OR($L3258='112'!$I$6,$M3258='112'!$I$6))),"x",""))</f>
        <v/>
      </c>
      <c r="S3258" s="525" t="str">
        <f>IF(ISERROR(FIND('112'!$M$9,G3258,1)),"",IF((AND(LEFT(G3258,2)=LEFT('112'!$M$9,2),B3258&lt;'112'!$N$8,$L3258='112'!$I$6)),"x",""))</f>
        <v/>
      </c>
      <c r="T3258" s="525" t="str">
        <f>IF(ISERROR(FIND('112'!$M$9,G3258,1)),"",IF((AND(RIGHT(G3258,2)=RIGHT('112'!$M$9,2),B3258&lt;'112'!$N$8,$M3258='112'!$I$6)),"x",""))</f>
        <v/>
      </c>
      <c r="U3258" s="525" t="str">
        <f>IF(AND(B3258&gt;='IN-NX'!$P$3,B3258&lt;='IN-NX'!$Q$3,'IN-NX'!$D$7=D3258,OR(LEFT(L3258,2)="15",AND(LEFT(M3258,2)&lt;&gt;"15",LEFT(M3258,2)&lt;&gt;"33"))),"x","")</f>
        <v/>
      </c>
      <c r="V3258" s="525" t="str">
        <f>IF(AND(OR(LEFT(TH!L3258,2)="15",LEFT(TH!M3258,2)="15"),'152-CT'!$J$8=TH!F3258),"x","")</f>
        <v/>
      </c>
      <c r="W3258" s="525" t="str">
        <f>IF(AND(OR(LEFT(TH!L3258,2)="15",LEFT(TH!M3258,2)="15"),TK!$E$7=TH!F3258),"x","")</f>
        <v/>
      </c>
      <c r="X3258" s="525" t="str">
        <f>IF(AND('341-CT'!$E$9=H3258,OR(LEFT(L3258,3)=$X$7,LEFT(M3258,3)=$X$7)),"x","")</f>
        <v/>
      </c>
      <c r="Y3258" s="525" t="str">
        <f>IF(OR(TH!L3258=TH!$Y$7,M3258=TH!$Y$7),"x","")</f>
        <v/>
      </c>
      <c r="Z3258" s="525" t="str">
        <f>IF(AND(B3258&lt;=NKC!$N$8,B3258&gt;=NKC!$M$8),"x","")</f>
        <v/>
      </c>
      <c r="AA3258" s="526"/>
      <c r="AB3258" s="527"/>
    </row>
    <row r="3259" spans="1:28" s="576" customFormat="1" ht="15.75" customHeight="1">
      <c r="A3259" s="517" t="str">
        <f>IF(B3259&lt;&gt;"",IF(AND(B3259&gt;=_TM1,B3259&lt;=_TM2,OR(TH!L3259="1111",TH!M3259="1111")),TH!D3259,""),"")</f>
        <v/>
      </c>
      <c r="B3259" s="518">
        <f t="shared" si="310"/>
        <v>5</v>
      </c>
      <c r="C3259" s="571">
        <f t="shared" si="311"/>
        <v>42884</v>
      </c>
      <c r="D3259" s="571" t="s">
        <v>996</v>
      </c>
      <c r="E3259" s="571">
        <v>42884</v>
      </c>
      <c r="F3259" s="520" t="s">
        <v>1158</v>
      </c>
      <c r="G3259" s="573" t="s">
        <v>1139</v>
      </c>
      <c r="H3259" s="574" t="s">
        <v>800</v>
      </c>
      <c r="I3259" s="523">
        <v>1030</v>
      </c>
      <c r="J3259" s="523">
        <v>783.96116504854365</v>
      </c>
      <c r="K3259" s="575">
        <f t="shared" si="312"/>
        <v>807480</v>
      </c>
      <c r="L3259" s="591" t="s">
        <v>160</v>
      </c>
      <c r="M3259" s="591" t="s">
        <v>292</v>
      </c>
      <c r="N3259" s="525" t="str">
        <f>IF(AND('331-CT'!$E$7=TH!H3259,OR(L3259="331",M3259="331")),"331",IF(AND(OR(L3259="131",M3259="131"),H3259='131-CT'!$E$7),"131",""))</f>
        <v/>
      </c>
      <c r="O3259" s="525" t="str">
        <f>IF(AND($B3259&gt;='111'!$N$11,$B3259&lt;='111'!$O$11,OR($L3259=$O$7,$M3259=$O$7)),"x","")</f>
        <v/>
      </c>
      <c r="P3259" s="525" t="str">
        <f>IF(AND($L3259=$O$7,$B3259&lt;'111'!$N$11),"x","")</f>
        <v/>
      </c>
      <c r="Q3259" s="525" t="str">
        <f>IF(AND($M3259=$O$7,$B3259&lt;'111'!$N$11),"x","")</f>
        <v/>
      </c>
      <c r="R3259" s="525" t="str">
        <f>IF(ISERROR(FIND('112'!$M$9,G3259,1)),"",IF((AND(FIND('112'!$M$9,G3259,1)&gt;=1,$B3259&gt;='112'!$N$8,$B3259&lt;='112'!$O$8,OR($L3259='112'!$I$6,$M3259='112'!$I$6))),"x",""))</f>
        <v/>
      </c>
      <c r="S3259" s="525" t="str">
        <f>IF(ISERROR(FIND('112'!$M$9,G3259,1)),"",IF((AND(LEFT(G3259,2)=LEFT('112'!$M$9,2),B3259&lt;'112'!$N$8,$L3259='112'!$I$6)),"x",""))</f>
        <v/>
      </c>
      <c r="T3259" s="525" t="str">
        <f>IF(ISERROR(FIND('112'!$M$9,G3259,1)),"",IF((AND(RIGHT(G3259,2)=RIGHT('112'!$M$9,2),B3259&lt;'112'!$N$8,$M3259='112'!$I$6)),"x",""))</f>
        <v/>
      </c>
      <c r="U3259" s="525" t="str">
        <f>IF(AND(B3259&gt;='IN-NX'!$P$3,B3259&lt;='IN-NX'!$Q$3,'IN-NX'!$D$7=D3259,OR(LEFT(L3259,2)="15",AND(LEFT(M3259,2)&lt;&gt;"15",LEFT(M3259,2)&lt;&gt;"33"))),"x","")</f>
        <v/>
      </c>
      <c r="V3259" s="525" t="str">
        <f>IF(AND(OR(LEFT(TH!L3259,2)="15",LEFT(TH!M3259,2)="15"),'152-CT'!$J$8=TH!F3259),"x","")</f>
        <v/>
      </c>
      <c r="W3259" s="525" t="str">
        <f>IF(AND(OR(LEFT(TH!L3259,2)="15",LEFT(TH!M3259,2)="15"),TK!$E$7=TH!F3259),"x","")</f>
        <v/>
      </c>
      <c r="X3259" s="525" t="str">
        <f>IF(AND('341-CT'!$E$9=H3259,OR(LEFT(L3259,3)=$X$7,LEFT(M3259,3)=$X$7)),"x","")</f>
        <v/>
      </c>
      <c r="Y3259" s="525" t="str">
        <f>IF(OR(TH!L3259=TH!$Y$7,M3259=TH!$Y$7),"x","")</f>
        <v/>
      </c>
      <c r="Z3259" s="525" t="str">
        <f>IF(AND(B3259&lt;=NKC!$N$8,B3259&gt;=NKC!$M$8),"x","")</f>
        <v/>
      </c>
      <c r="AA3259" s="526"/>
      <c r="AB3259" s="527"/>
    </row>
    <row r="3260" spans="1:28" s="576" customFormat="1" ht="15.75" customHeight="1">
      <c r="A3260" s="517" t="str">
        <f>IF(B3260&lt;&gt;"",IF(AND(B3260&gt;=_TM1,B3260&lt;=_TM2,OR(TH!L3260="1111",TH!M3260="1111")),TH!D3260,""),"")</f>
        <v/>
      </c>
      <c r="B3260" s="518">
        <f t="shared" si="310"/>
        <v>5</v>
      </c>
      <c r="C3260" s="571">
        <f t="shared" si="311"/>
        <v>42884</v>
      </c>
      <c r="D3260" s="571" t="s">
        <v>996</v>
      </c>
      <c r="E3260" s="571">
        <v>42884</v>
      </c>
      <c r="F3260" s="520" t="s">
        <v>1159</v>
      </c>
      <c r="G3260" s="573" t="s">
        <v>1139</v>
      </c>
      <c r="H3260" s="574" t="s">
        <v>800</v>
      </c>
      <c r="I3260" s="523">
        <v>810</v>
      </c>
      <c r="J3260" s="523">
        <v>1014.5209876543209</v>
      </c>
      <c r="K3260" s="575">
        <f t="shared" si="312"/>
        <v>821762</v>
      </c>
      <c r="L3260" s="591" t="s">
        <v>160</v>
      </c>
      <c r="M3260" s="591" t="s">
        <v>292</v>
      </c>
      <c r="N3260" s="525" t="str">
        <f>IF(AND('331-CT'!$E$7=TH!H3260,OR(L3260="331",M3260="331")),"331",IF(AND(OR(L3260="131",M3260="131"),H3260='131-CT'!$E$7),"131",""))</f>
        <v/>
      </c>
      <c r="O3260" s="525" t="str">
        <f>IF(AND($B3260&gt;='111'!$N$11,$B3260&lt;='111'!$O$11,OR($L3260=$O$7,$M3260=$O$7)),"x","")</f>
        <v/>
      </c>
      <c r="P3260" s="525" t="str">
        <f>IF(AND($L3260=$O$7,$B3260&lt;'111'!$N$11),"x","")</f>
        <v/>
      </c>
      <c r="Q3260" s="525" t="str">
        <f>IF(AND($M3260=$O$7,$B3260&lt;'111'!$N$11),"x","")</f>
        <v/>
      </c>
      <c r="R3260" s="525" t="str">
        <f>IF(ISERROR(FIND('112'!$M$9,G3260,1)),"",IF((AND(FIND('112'!$M$9,G3260,1)&gt;=1,$B3260&gt;='112'!$N$8,$B3260&lt;='112'!$O$8,OR($L3260='112'!$I$6,$M3260='112'!$I$6))),"x",""))</f>
        <v/>
      </c>
      <c r="S3260" s="525" t="str">
        <f>IF(ISERROR(FIND('112'!$M$9,G3260,1)),"",IF((AND(LEFT(G3260,2)=LEFT('112'!$M$9,2),B3260&lt;'112'!$N$8,$L3260='112'!$I$6)),"x",""))</f>
        <v/>
      </c>
      <c r="T3260" s="525" t="str">
        <f>IF(ISERROR(FIND('112'!$M$9,G3260,1)),"",IF((AND(RIGHT(G3260,2)=RIGHT('112'!$M$9,2),B3260&lt;'112'!$N$8,$M3260='112'!$I$6)),"x",""))</f>
        <v/>
      </c>
      <c r="U3260" s="525" t="str">
        <f>IF(AND(B3260&gt;='IN-NX'!$P$3,B3260&lt;='IN-NX'!$Q$3,'IN-NX'!$D$7=D3260,OR(LEFT(L3260,2)="15",AND(LEFT(M3260,2)&lt;&gt;"15",LEFT(M3260,2)&lt;&gt;"33"))),"x","")</f>
        <v/>
      </c>
      <c r="V3260" s="525" t="str">
        <f>IF(AND(OR(LEFT(TH!L3260,2)="15",LEFT(TH!M3260,2)="15"),'152-CT'!$J$8=TH!F3260),"x","")</f>
        <v/>
      </c>
      <c r="W3260" s="525" t="str">
        <f>IF(AND(OR(LEFT(TH!L3260,2)="15",LEFT(TH!M3260,2)="15"),TK!$E$7=TH!F3260),"x","")</f>
        <v/>
      </c>
      <c r="X3260" s="525" t="str">
        <f>IF(AND('341-CT'!$E$9=H3260,OR(LEFT(L3260,3)=$X$7,LEFT(M3260,3)=$X$7)),"x","")</f>
        <v/>
      </c>
      <c r="Y3260" s="525" t="str">
        <f>IF(OR(TH!L3260=TH!$Y$7,M3260=TH!$Y$7),"x","")</f>
        <v/>
      </c>
      <c r="Z3260" s="525" t="str">
        <f>IF(AND(B3260&lt;=NKC!$N$8,B3260&gt;=NKC!$M$8),"x","")</f>
        <v/>
      </c>
      <c r="AA3260" s="526"/>
      <c r="AB3260" s="527"/>
    </row>
    <row r="3261" spans="1:28" s="576" customFormat="1" ht="15.75" customHeight="1">
      <c r="A3261" s="517" t="str">
        <f>IF(B3261&lt;&gt;"",IF(AND(B3261&gt;=_TM1,B3261&lt;=_TM2,OR(TH!L3261="1111",TH!M3261="1111")),TH!D3261,""),"")</f>
        <v/>
      </c>
      <c r="B3261" s="518">
        <f t="shared" si="310"/>
        <v>5</v>
      </c>
      <c r="C3261" s="571">
        <f t="shared" si="311"/>
        <v>42886</v>
      </c>
      <c r="D3261" s="571" t="s">
        <v>996</v>
      </c>
      <c r="E3261" s="571">
        <v>42886</v>
      </c>
      <c r="F3261" s="572" t="s">
        <v>1217</v>
      </c>
      <c r="G3261" s="573" t="s">
        <v>1222</v>
      </c>
      <c r="H3261" s="574" t="s">
        <v>800</v>
      </c>
      <c r="I3261" s="523">
        <v>370</v>
      </c>
      <c r="J3261" s="523">
        <v>8320.8108108108099</v>
      </c>
      <c r="K3261" s="575">
        <f t="shared" si="312"/>
        <v>3078700</v>
      </c>
      <c r="L3261" s="591" t="s">
        <v>160</v>
      </c>
      <c r="M3261" s="591" t="s">
        <v>292</v>
      </c>
      <c r="N3261" s="525" t="str">
        <f>IF(AND('331-CT'!$E$7=TH!H3261,OR(L3261="331",M3261="331")),"331",IF(AND(OR(L3261="131",M3261="131"),H3261='131-CT'!$E$7),"131",""))</f>
        <v/>
      </c>
      <c r="O3261" s="525" t="str">
        <f>IF(AND($B3261&gt;='111'!$N$11,$B3261&lt;='111'!$O$11,OR($L3261=$O$7,$M3261=$O$7)),"x","")</f>
        <v/>
      </c>
      <c r="P3261" s="525" t="str">
        <f>IF(AND($L3261=$O$7,$B3261&lt;'111'!$N$11),"x","")</f>
        <v/>
      </c>
      <c r="Q3261" s="525" t="str">
        <f>IF(AND($M3261=$O$7,$B3261&lt;'111'!$N$11),"x","")</f>
        <v/>
      </c>
      <c r="R3261" s="525" t="str">
        <f>IF(ISERROR(FIND('112'!$M$9,G3261,1)),"",IF((AND(FIND('112'!$M$9,G3261,1)&gt;=1,$B3261&gt;='112'!$N$8,$B3261&lt;='112'!$O$8,OR($L3261='112'!$I$6,$M3261='112'!$I$6))),"x",""))</f>
        <v/>
      </c>
      <c r="S3261" s="525" t="str">
        <f>IF(ISERROR(FIND('112'!$M$9,G3261,1)),"",IF((AND(LEFT(G3261,2)=LEFT('112'!$M$9,2),B3261&lt;'112'!$N$8,$L3261='112'!$I$6)),"x",""))</f>
        <v/>
      </c>
      <c r="T3261" s="525" t="str">
        <f>IF(ISERROR(FIND('112'!$M$9,G3261,1)),"",IF((AND(RIGHT(G3261,2)=RIGHT('112'!$M$9,2),B3261&lt;'112'!$N$8,$M3261='112'!$I$6)),"x",""))</f>
        <v/>
      </c>
      <c r="U3261" s="525" t="str">
        <f>IF(AND(B3261&gt;='IN-NX'!$P$3,B3261&lt;='IN-NX'!$Q$3,'IN-NX'!$D$7=D3261,OR(LEFT(L3261,2)="15",AND(LEFT(M3261,2)&lt;&gt;"15",LEFT(M3261,2)&lt;&gt;"33"))),"x","")</f>
        <v/>
      </c>
      <c r="V3261" s="525" t="str">
        <f>IF(AND(OR(LEFT(TH!L3261,2)="15",LEFT(TH!M3261,2)="15"),'152-CT'!$J$8=TH!F3261),"x","")</f>
        <v/>
      </c>
      <c r="W3261" s="525" t="str">
        <f>IF(AND(OR(LEFT(TH!L3261,2)="15",LEFT(TH!M3261,2)="15"),TK!$E$7=TH!F3261),"x","")</f>
        <v/>
      </c>
      <c r="X3261" s="525" t="str">
        <f>IF(AND('341-CT'!$E$9=H3261,OR(LEFT(L3261,3)=$X$7,LEFT(M3261,3)=$X$7)),"x","")</f>
        <v/>
      </c>
      <c r="Y3261" s="525" t="str">
        <f>IF(OR(TH!L3261=TH!$Y$7,M3261=TH!$Y$7),"x","")</f>
        <v/>
      </c>
      <c r="Z3261" s="525" t="str">
        <f>IF(AND(B3261&lt;=NKC!$N$8,B3261&gt;=NKC!$M$8),"x","")</f>
        <v/>
      </c>
      <c r="AA3261" s="526"/>
      <c r="AB3261" s="527"/>
    </row>
    <row r="3262" spans="1:28" s="576" customFormat="1" ht="15.75" customHeight="1">
      <c r="A3262" s="517" t="str">
        <f>IF(B3262&lt;&gt;"",IF(AND(B3262&gt;=_TM1,B3262&lt;=_TM2,OR(TH!L3262="1111",TH!M3262="1111")),TH!D3262,""),"")</f>
        <v/>
      </c>
      <c r="B3262" s="518">
        <f t="shared" si="310"/>
        <v>5</v>
      </c>
      <c r="C3262" s="571">
        <f t="shared" si="311"/>
        <v>42886</v>
      </c>
      <c r="D3262" s="571" t="s">
        <v>996</v>
      </c>
      <c r="E3262" s="571">
        <v>42886</v>
      </c>
      <c r="F3262" s="572" t="s">
        <v>1217</v>
      </c>
      <c r="G3262" s="573" t="s">
        <v>1222</v>
      </c>
      <c r="H3262" s="574" t="s">
        <v>800</v>
      </c>
      <c r="I3262" s="523">
        <v>95</v>
      </c>
      <c r="J3262" s="523">
        <v>8469.5684210526324</v>
      </c>
      <c r="K3262" s="575">
        <f t="shared" si="312"/>
        <v>804609</v>
      </c>
      <c r="L3262" s="591" t="s">
        <v>160</v>
      </c>
      <c r="M3262" s="591" t="s">
        <v>292</v>
      </c>
      <c r="N3262" s="525" t="str">
        <f>IF(AND('331-CT'!$E$7=TH!H3262,OR(L3262="331",M3262="331")),"331",IF(AND(OR(L3262="131",M3262="131"),H3262='131-CT'!$E$7),"131",""))</f>
        <v/>
      </c>
      <c r="O3262" s="525" t="str">
        <f>IF(AND($B3262&gt;='111'!$N$11,$B3262&lt;='111'!$O$11,OR($L3262=$O$7,$M3262=$O$7)),"x","")</f>
        <v/>
      </c>
      <c r="P3262" s="525" t="str">
        <f>IF(AND($L3262=$O$7,$B3262&lt;'111'!$N$11),"x","")</f>
        <v/>
      </c>
      <c r="Q3262" s="525" t="str">
        <f>IF(AND($M3262=$O$7,$B3262&lt;'111'!$N$11),"x","")</f>
        <v/>
      </c>
      <c r="R3262" s="525" t="str">
        <f>IF(ISERROR(FIND('112'!$M$9,G3262,1)),"",IF((AND(FIND('112'!$M$9,G3262,1)&gt;=1,$B3262&gt;='112'!$N$8,$B3262&lt;='112'!$O$8,OR($L3262='112'!$I$6,$M3262='112'!$I$6))),"x",""))</f>
        <v/>
      </c>
      <c r="S3262" s="525" t="str">
        <f>IF(ISERROR(FIND('112'!$M$9,G3262,1)),"",IF((AND(LEFT(G3262,2)=LEFT('112'!$M$9,2),B3262&lt;'112'!$N$8,$L3262='112'!$I$6)),"x",""))</f>
        <v/>
      </c>
      <c r="T3262" s="525" t="str">
        <f>IF(ISERROR(FIND('112'!$M$9,G3262,1)),"",IF((AND(RIGHT(G3262,2)=RIGHT('112'!$M$9,2),B3262&lt;'112'!$N$8,$M3262='112'!$I$6)),"x",""))</f>
        <v/>
      </c>
      <c r="U3262" s="525" t="str">
        <f>IF(AND(B3262&gt;='IN-NX'!$P$3,B3262&lt;='IN-NX'!$Q$3,'IN-NX'!$D$7=D3262,OR(LEFT(L3262,2)="15",AND(LEFT(M3262,2)&lt;&gt;"15",LEFT(M3262,2)&lt;&gt;"33"))),"x","")</f>
        <v/>
      </c>
      <c r="V3262" s="525" t="str">
        <f>IF(AND(OR(LEFT(TH!L3262,2)="15",LEFT(TH!M3262,2)="15"),'152-CT'!$J$8=TH!F3262),"x","")</f>
        <v/>
      </c>
      <c r="W3262" s="525" t="str">
        <f>IF(AND(OR(LEFT(TH!L3262,2)="15",LEFT(TH!M3262,2)="15"),TK!$E$7=TH!F3262),"x","")</f>
        <v/>
      </c>
      <c r="X3262" s="525" t="str">
        <f>IF(AND('341-CT'!$E$9=H3262,OR(LEFT(L3262,3)=$X$7,LEFT(M3262,3)=$X$7)),"x","")</f>
        <v/>
      </c>
      <c r="Y3262" s="525" t="str">
        <f>IF(OR(TH!L3262=TH!$Y$7,M3262=TH!$Y$7),"x","")</f>
        <v/>
      </c>
      <c r="Z3262" s="525" t="str">
        <f>IF(AND(B3262&lt;=NKC!$N$8,B3262&gt;=NKC!$M$8),"x","")</f>
        <v/>
      </c>
      <c r="AA3262" s="526"/>
      <c r="AB3262" s="527"/>
    </row>
    <row r="3263" spans="1:28" s="576" customFormat="1" ht="15.75" customHeight="1">
      <c r="A3263" s="517" t="str">
        <f>IF(B3263&lt;&gt;"",IF(AND(B3263&gt;=_TM1,B3263&lt;=_TM2,OR(TH!L3263="1111",TH!M3263="1111")),TH!D3263,""),"")</f>
        <v/>
      </c>
      <c r="B3263" s="518">
        <f t="shared" si="289"/>
        <v>5</v>
      </c>
      <c r="C3263" s="571">
        <f t="shared" si="290"/>
        <v>42886</v>
      </c>
      <c r="D3263" s="571" t="s">
        <v>996</v>
      </c>
      <c r="E3263" s="571">
        <v>42886</v>
      </c>
      <c r="F3263" s="520" t="s">
        <v>1217</v>
      </c>
      <c r="G3263" s="573" t="s">
        <v>1222</v>
      </c>
      <c r="H3263" s="574" t="s">
        <v>800</v>
      </c>
      <c r="I3263" s="523">
        <v>160</v>
      </c>
      <c r="J3263" s="523">
        <v>8591.6749999999993</v>
      </c>
      <c r="K3263" s="575">
        <f t="shared" ref="K3263:K3266" si="313">ROUND(I3263*J3263,0)</f>
        <v>1374668</v>
      </c>
      <c r="L3263" s="591" t="s">
        <v>160</v>
      </c>
      <c r="M3263" s="591" t="s">
        <v>292</v>
      </c>
      <c r="N3263" s="525" t="str">
        <f>IF(AND('331-CT'!$E$7=TH!H3263,OR(L3263="331",M3263="331")),"331",IF(AND(OR(L3263="131",M3263="131"),H3263='131-CT'!$E$7),"131",""))</f>
        <v/>
      </c>
      <c r="O3263" s="525" t="str">
        <f>IF(AND($B3263&gt;='111'!$N$11,$B3263&lt;='111'!$O$11,OR($L3263=$O$7,$M3263=$O$7)),"x","")</f>
        <v/>
      </c>
      <c r="P3263" s="525" t="str">
        <f>IF(AND($L3263=$O$7,$B3263&lt;'111'!$N$11),"x","")</f>
        <v/>
      </c>
      <c r="Q3263" s="525" t="str">
        <f>IF(AND($M3263=$O$7,$B3263&lt;'111'!$N$11),"x","")</f>
        <v/>
      </c>
      <c r="R3263" s="525" t="str">
        <f>IF(ISERROR(FIND('112'!$M$9,G3263,1)),"",IF((AND(FIND('112'!$M$9,G3263,1)&gt;=1,$B3263&gt;='112'!$N$8,$B3263&lt;='112'!$O$8,OR($L3263='112'!$I$6,$M3263='112'!$I$6))),"x",""))</f>
        <v/>
      </c>
      <c r="S3263" s="525" t="str">
        <f>IF(ISERROR(FIND('112'!$M$9,G3263,1)),"",IF((AND(LEFT(G3263,2)=LEFT('112'!$M$9,2),B3263&lt;'112'!$N$8,$L3263='112'!$I$6)),"x",""))</f>
        <v/>
      </c>
      <c r="T3263" s="525" t="str">
        <f>IF(ISERROR(FIND('112'!$M$9,G3263,1)),"",IF((AND(RIGHT(G3263,2)=RIGHT('112'!$M$9,2),B3263&lt;'112'!$N$8,$M3263='112'!$I$6)),"x",""))</f>
        <v/>
      </c>
      <c r="U3263" s="525" t="str">
        <f>IF(AND(B3263&gt;='IN-NX'!$P$3,B3263&lt;='IN-NX'!$Q$3,'IN-NX'!$D$7=D3263,OR(LEFT(L3263,2)="15",AND(LEFT(M3263,2)&lt;&gt;"15",LEFT(M3263,2)&lt;&gt;"33"))),"x","")</f>
        <v/>
      </c>
      <c r="V3263" s="525" t="str">
        <f>IF(AND(OR(LEFT(TH!L3263,2)="15",LEFT(TH!M3263,2)="15"),'152-CT'!$J$8=TH!F3263),"x","")</f>
        <v/>
      </c>
      <c r="W3263" s="525" t="str">
        <f>IF(AND(OR(LEFT(TH!L3263,2)="15",LEFT(TH!M3263,2)="15"),TK!$E$7=TH!F3263),"x","")</f>
        <v/>
      </c>
      <c r="X3263" s="525" t="str">
        <f>IF(AND('341-CT'!$E$9=H3263,OR(LEFT(L3263,3)=$X$7,LEFT(M3263,3)=$X$7)),"x","")</f>
        <v/>
      </c>
      <c r="Y3263" s="525" t="str">
        <f>IF(OR(TH!L3263=TH!$Y$7,M3263=TH!$Y$7),"x","")</f>
        <v/>
      </c>
      <c r="Z3263" s="525" t="str">
        <f>IF(AND(B3263&lt;=NKC!$N$8,B3263&gt;=NKC!$M$8),"x","")</f>
        <v/>
      </c>
      <c r="AA3263" s="526"/>
      <c r="AB3263" s="527"/>
    </row>
    <row r="3264" spans="1:28" s="576" customFormat="1" ht="15.75" customHeight="1">
      <c r="A3264" s="517" t="str">
        <f>IF(B3264&lt;&gt;"",IF(AND(B3264&gt;=_TM1,B3264&lt;=_TM2,OR(TH!L3264="1111",TH!M3264="1111")),TH!D3264,""),"")</f>
        <v/>
      </c>
      <c r="B3264" s="518">
        <f t="shared" si="289"/>
        <v>5</v>
      </c>
      <c r="C3264" s="571">
        <f t="shared" si="290"/>
        <v>42886</v>
      </c>
      <c r="D3264" s="571" t="s">
        <v>996</v>
      </c>
      <c r="E3264" s="571">
        <v>42886</v>
      </c>
      <c r="F3264" s="520" t="s">
        <v>1217</v>
      </c>
      <c r="G3264" s="573" t="s">
        <v>1222</v>
      </c>
      <c r="H3264" s="574" t="s">
        <v>800</v>
      </c>
      <c r="I3264" s="523">
        <v>155</v>
      </c>
      <c r="J3264" s="523">
        <v>8403.5870967741939</v>
      </c>
      <c r="K3264" s="575">
        <f t="shared" si="313"/>
        <v>1302556</v>
      </c>
      <c r="L3264" s="591" t="s">
        <v>160</v>
      </c>
      <c r="M3264" s="591" t="s">
        <v>292</v>
      </c>
      <c r="N3264" s="525" t="str">
        <f>IF(AND('331-CT'!$E$7=TH!H3264,OR(L3264="331",M3264="331")),"331",IF(AND(OR(L3264="131",M3264="131"),H3264='131-CT'!$E$7),"131",""))</f>
        <v/>
      </c>
      <c r="O3264" s="525" t="str">
        <f>IF(AND($B3264&gt;='111'!$N$11,$B3264&lt;='111'!$O$11,OR($L3264=$O$7,$M3264=$O$7)),"x","")</f>
        <v/>
      </c>
      <c r="P3264" s="525" t="str">
        <f>IF(AND($L3264=$O$7,$B3264&lt;'111'!$N$11),"x","")</f>
        <v/>
      </c>
      <c r="Q3264" s="525" t="str">
        <f>IF(AND($M3264=$O$7,$B3264&lt;'111'!$N$11),"x","")</f>
        <v/>
      </c>
      <c r="R3264" s="525" t="str">
        <f>IF(ISERROR(FIND('112'!$M$9,G3264,1)),"",IF((AND(FIND('112'!$M$9,G3264,1)&gt;=1,$B3264&gt;='112'!$N$8,$B3264&lt;='112'!$O$8,OR($L3264='112'!$I$6,$M3264='112'!$I$6))),"x",""))</f>
        <v/>
      </c>
      <c r="S3264" s="525" t="str">
        <f>IF(ISERROR(FIND('112'!$M$9,G3264,1)),"",IF((AND(LEFT(G3264,2)=LEFT('112'!$M$9,2),B3264&lt;'112'!$N$8,$L3264='112'!$I$6)),"x",""))</f>
        <v/>
      </c>
      <c r="T3264" s="525" t="str">
        <f>IF(ISERROR(FIND('112'!$M$9,G3264,1)),"",IF((AND(RIGHT(G3264,2)=RIGHT('112'!$M$9,2),B3264&lt;'112'!$N$8,$M3264='112'!$I$6)),"x",""))</f>
        <v/>
      </c>
      <c r="U3264" s="525" t="str">
        <f>IF(AND(B3264&gt;='IN-NX'!$P$3,B3264&lt;='IN-NX'!$Q$3,'IN-NX'!$D$7=D3264,OR(LEFT(L3264,2)="15",AND(LEFT(M3264,2)&lt;&gt;"15",LEFT(M3264,2)&lt;&gt;"33"))),"x","")</f>
        <v/>
      </c>
      <c r="V3264" s="525" t="str">
        <f>IF(AND(OR(LEFT(TH!L3264,2)="15",LEFT(TH!M3264,2)="15"),'152-CT'!$J$8=TH!F3264),"x","")</f>
        <v/>
      </c>
      <c r="W3264" s="525" t="str">
        <f>IF(AND(OR(LEFT(TH!L3264,2)="15",LEFT(TH!M3264,2)="15"),TK!$E$7=TH!F3264),"x","")</f>
        <v/>
      </c>
      <c r="X3264" s="525" t="str">
        <f>IF(AND('341-CT'!$E$9=H3264,OR(LEFT(L3264,3)=$X$7,LEFT(M3264,3)=$X$7)),"x","")</f>
        <v/>
      </c>
      <c r="Y3264" s="525" t="str">
        <f>IF(OR(TH!L3264=TH!$Y$7,M3264=TH!$Y$7),"x","")</f>
        <v/>
      </c>
      <c r="Z3264" s="525" t="str">
        <f>IF(AND(B3264&lt;=NKC!$N$8,B3264&gt;=NKC!$M$8),"x","")</f>
        <v/>
      </c>
      <c r="AA3264" s="526"/>
      <c r="AB3264" s="527"/>
    </row>
    <row r="3265" spans="1:30" s="576" customFormat="1" ht="15.75" customHeight="1">
      <c r="A3265" s="517" t="str">
        <f>IF(B3265&lt;&gt;"",IF(AND(B3265&gt;=_TM1,B3265&lt;=_TM2,OR(TH!L3265="1111",TH!M3265="1111")),TH!D3265,""),"")</f>
        <v/>
      </c>
      <c r="B3265" s="518">
        <f t="shared" si="289"/>
        <v>5</v>
      </c>
      <c r="C3265" s="571">
        <f t="shared" si="290"/>
        <v>42886</v>
      </c>
      <c r="D3265" s="571" t="s">
        <v>996</v>
      </c>
      <c r="E3265" s="571">
        <v>42886</v>
      </c>
      <c r="F3265" s="572" t="s">
        <v>1217</v>
      </c>
      <c r="G3265" s="573" t="s">
        <v>1222</v>
      </c>
      <c r="H3265" s="574" t="s">
        <v>800</v>
      </c>
      <c r="I3265" s="523">
        <v>160</v>
      </c>
      <c r="J3265" s="523">
        <v>8553.3937499999993</v>
      </c>
      <c r="K3265" s="575">
        <f t="shared" si="313"/>
        <v>1368543</v>
      </c>
      <c r="L3265" s="591" t="s">
        <v>160</v>
      </c>
      <c r="M3265" s="591" t="s">
        <v>292</v>
      </c>
      <c r="N3265" s="525" t="str">
        <f>IF(AND('331-CT'!$E$7=TH!H3265,OR(L3265="331",M3265="331")),"331",IF(AND(OR(L3265="131",M3265="131"),H3265='131-CT'!$E$7),"131",""))</f>
        <v/>
      </c>
      <c r="O3265" s="525" t="str">
        <f>IF(AND($B3265&gt;='111'!$N$11,$B3265&lt;='111'!$O$11,OR($L3265=$O$7,$M3265=$O$7)),"x","")</f>
        <v/>
      </c>
      <c r="P3265" s="525" t="str">
        <f>IF(AND($L3265=$O$7,$B3265&lt;'111'!$N$11),"x","")</f>
        <v/>
      </c>
      <c r="Q3265" s="525" t="str">
        <f>IF(AND($M3265=$O$7,$B3265&lt;'111'!$N$11),"x","")</f>
        <v/>
      </c>
      <c r="R3265" s="525" t="str">
        <f>IF(ISERROR(FIND('112'!$M$9,G3265,1)),"",IF((AND(FIND('112'!$M$9,G3265,1)&gt;=1,$B3265&gt;='112'!$N$8,$B3265&lt;='112'!$O$8,OR($L3265='112'!$I$6,$M3265='112'!$I$6))),"x",""))</f>
        <v/>
      </c>
      <c r="S3265" s="525" t="str">
        <f>IF(ISERROR(FIND('112'!$M$9,G3265,1)),"",IF((AND(LEFT(G3265,2)=LEFT('112'!$M$9,2),B3265&lt;'112'!$N$8,$L3265='112'!$I$6)),"x",""))</f>
        <v/>
      </c>
      <c r="T3265" s="525" t="str">
        <f>IF(ISERROR(FIND('112'!$M$9,G3265,1)),"",IF((AND(RIGHT(G3265,2)=RIGHT('112'!$M$9,2),B3265&lt;'112'!$N$8,$M3265='112'!$I$6)),"x",""))</f>
        <v/>
      </c>
      <c r="U3265" s="525" t="str">
        <f>IF(AND(B3265&gt;='IN-NX'!$P$3,B3265&lt;='IN-NX'!$Q$3,'IN-NX'!$D$7=D3265,OR(LEFT(L3265,2)="15",AND(LEFT(M3265,2)&lt;&gt;"15",LEFT(M3265,2)&lt;&gt;"33"))),"x","")</f>
        <v/>
      </c>
      <c r="V3265" s="525" t="str">
        <f>IF(AND(OR(LEFT(TH!L3265,2)="15",LEFT(TH!M3265,2)="15"),'152-CT'!$J$8=TH!F3265),"x","")</f>
        <v/>
      </c>
      <c r="W3265" s="525" t="str">
        <f>IF(AND(OR(LEFT(TH!L3265,2)="15",LEFT(TH!M3265,2)="15"),TK!$E$7=TH!F3265),"x","")</f>
        <v/>
      </c>
      <c r="X3265" s="525" t="str">
        <f>IF(AND('341-CT'!$E$9=H3265,OR(LEFT(L3265,3)=$X$7,LEFT(M3265,3)=$X$7)),"x","")</f>
        <v/>
      </c>
      <c r="Y3265" s="525" t="str">
        <f>IF(OR(TH!L3265=TH!$Y$7,M3265=TH!$Y$7),"x","")</f>
        <v/>
      </c>
      <c r="Z3265" s="525" t="str">
        <f>IF(AND(B3265&lt;=NKC!$N$8,B3265&gt;=NKC!$M$8),"x","")</f>
        <v/>
      </c>
      <c r="AA3265" s="526"/>
      <c r="AB3265" s="527"/>
    </row>
    <row r="3266" spans="1:30" s="576" customFormat="1" ht="15.75" customHeight="1">
      <c r="A3266" s="517" t="str">
        <f>IF(B3266&lt;&gt;"",IF(AND(B3266&gt;=_TM1,B3266&lt;=_TM2,OR(TH!L3266="1111",TH!M3266="1111")),TH!D3266,""),"")</f>
        <v/>
      </c>
      <c r="B3266" s="518">
        <f t="shared" si="289"/>
        <v>5</v>
      </c>
      <c r="C3266" s="571">
        <f t="shared" si="290"/>
        <v>42886</v>
      </c>
      <c r="D3266" s="571" t="s">
        <v>996</v>
      </c>
      <c r="E3266" s="571">
        <v>42886</v>
      </c>
      <c r="F3266" s="572" t="s">
        <v>1217</v>
      </c>
      <c r="G3266" s="573" t="s">
        <v>1222</v>
      </c>
      <c r="H3266" s="574" t="s">
        <v>800</v>
      </c>
      <c r="I3266" s="523">
        <v>90</v>
      </c>
      <c r="J3266" s="523">
        <v>8737.1111111111113</v>
      </c>
      <c r="K3266" s="575">
        <f t="shared" si="313"/>
        <v>786340</v>
      </c>
      <c r="L3266" s="591" t="s">
        <v>160</v>
      </c>
      <c r="M3266" s="591" t="s">
        <v>292</v>
      </c>
      <c r="N3266" s="525" t="str">
        <f>IF(AND('331-CT'!$E$7=TH!H3266,OR(L3266="331",M3266="331")),"331",IF(AND(OR(L3266="131",M3266="131"),H3266='131-CT'!$E$7),"131",""))</f>
        <v/>
      </c>
      <c r="O3266" s="525" t="str">
        <f>IF(AND($B3266&gt;='111'!$N$11,$B3266&lt;='111'!$O$11,OR($L3266=$O$7,$M3266=$O$7)),"x","")</f>
        <v/>
      </c>
      <c r="P3266" s="525" t="str">
        <f>IF(AND($L3266=$O$7,$B3266&lt;'111'!$N$11),"x","")</f>
        <v/>
      </c>
      <c r="Q3266" s="525" t="str">
        <f>IF(AND($M3266=$O$7,$B3266&lt;'111'!$N$11),"x","")</f>
        <v/>
      </c>
      <c r="R3266" s="525" t="str">
        <f>IF(ISERROR(FIND('112'!$M$9,G3266,1)),"",IF((AND(FIND('112'!$M$9,G3266,1)&gt;=1,$B3266&gt;='112'!$N$8,$B3266&lt;='112'!$O$8,OR($L3266='112'!$I$6,$M3266='112'!$I$6))),"x",""))</f>
        <v/>
      </c>
      <c r="S3266" s="525" t="str">
        <f>IF(ISERROR(FIND('112'!$M$9,G3266,1)),"",IF((AND(LEFT(G3266,2)=LEFT('112'!$M$9,2),B3266&lt;'112'!$N$8,$L3266='112'!$I$6)),"x",""))</f>
        <v/>
      </c>
      <c r="T3266" s="525" t="str">
        <f>IF(ISERROR(FIND('112'!$M$9,G3266,1)),"",IF((AND(RIGHT(G3266,2)=RIGHT('112'!$M$9,2),B3266&lt;'112'!$N$8,$M3266='112'!$I$6)),"x",""))</f>
        <v/>
      </c>
      <c r="U3266" s="525" t="str">
        <f>IF(AND(B3266&gt;='IN-NX'!$P$3,B3266&lt;='IN-NX'!$Q$3,'IN-NX'!$D$7=D3266,OR(LEFT(L3266,2)="15",AND(LEFT(M3266,2)&lt;&gt;"15",LEFT(M3266,2)&lt;&gt;"33"))),"x","")</f>
        <v/>
      </c>
      <c r="V3266" s="525" t="str">
        <f>IF(AND(OR(LEFT(TH!L3266,2)="15",LEFT(TH!M3266,2)="15"),'152-CT'!$J$8=TH!F3266),"x","")</f>
        <v/>
      </c>
      <c r="W3266" s="525" t="str">
        <f>IF(AND(OR(LEFT(TH!L3266,2)="15",LEFT(TH!M3266,2)="15"),TK!$E$7=TH!F3266),"x","")</f>
        <v/>
      </c>
      <c r="X3266" s="525" t="str">
        <f>IF(AND('341-CT'!$E$9=H3266,OR(LEFT(L3266,3)=$X$7,LEFT(M3266,3)=$X$7)),"x","")</f>
        <v/>
      </c>
      <c r="Y3266" s="525" t="str">
        <f>IF(OR(TH!L3266=TH!$Y$7,M3266=TH!$Y$7),"x","")</f>
        <v/>
      </c>
      <c r="Z3266" s="525" t="str">
        <f>IF(AND(B3266&lt;=NKC!$N$8,B3266&gt;=NKC!$M$8),"x","")</f>
        <v/>
      </c>
      <c r="AA3266" s="526"/>
      <c r="AB3266" s="527"/>
    </row>
    <row r="3267" spans="1:30" s="576" customFormat="1" ht="15.75" customHeight="1">
      <c r="A3267" s="517" t="str">
        <f>IF(B3267&lt;&gt;"",IF(AND(B3267&gt;=_TM1,B3267&lt;=_TM2,OR(TH!L3267="1111",TH!M3267="1111")),TH!D3267,""),"")</f>
        <v/>
      </c>
      <c r="B3267" s="518">
        <f t="shared" si="287"/>
        <v>5</v>
      </c>
      <c r="C3267" s="571">
        <f t="shared" si="286"/>
        <v>42886</v>
      </c>
      <c r="D3267" s="571" t="s">
        <v>996</v>
      </c>
      <c r="E3267" s="571">
        <v>42886</v>
      </c>
      <c r="F3267" s="520" t="s">
        <v>1217</v>
      </c>
      <c r="G3267" s="573" t="s">
        <v>1222</v>
      </c>
      <c r="H3267" s="574" t="s">
        <v>800</v>
      </c>
      <c r="I3267" s="523">
        <v>570</v>
      </c>
      <c r="J3267" s="523">
        <v>8480.8087719298237</v>
      </c>
      <c r="K3267" s="575">
        <f t="shared" si="288"/>
        <v>4834061</v>
      </c>
      <c r="L3267" s="591" t="s">
        <v>160</v>
      </c>
      <c r="M3267" s="591" t="s">
        <v>292</v>
      </c>
      <c r="N3267" s="525" t="str">
        <f>IF(AND('331-CT'!$E$7=TH!H3267,OR(L3267="331",M3267="331")),"331",IF(AND(OR(L3267="131",M3267="131"),H3267='131-CT'!$E$7),"131",""))</f>
        <v/>
      </c>
      <c r="O3267" s="525" t="str">
        <f>IF(AND($B3267&gt;='111'!$N$11,$B3267&lt;='111'!$O$11,OR($L3267=$O$7,$M3267=$O$7)),"x","")</f>
        <v/>
      </c>
      <c r="P3267" s="525" t="str">
        <f>IF(AND($L3267=$O$7,$B3267&lt;'111'!$N$11),"x","")</f>
        <v/>
      </c>
      <c r="Q3267" s="525" t="str">
        <f>IF(AND($M3267=$O$7,$B3267&lt;'111'!$N$11),"x","")</f>
        <v/>
      </c>
      <c r="R3267" s="525" t="str">
        <f>IF(ISERROR(FIND('112'!$M$9,G3267,1)),"",IF((AND(FIND('112'!$M$9,G3267,1)&gt;=1,$B3267&gt;='112'!$N$8,$B3267&lt;='112'!$O$8,OR($L3267='112'!$I$6,$M3267='112'!$I$6))),"x",""))</f>
        <v/>
      </c>
      <c r="S3267" s="525" t="str">
        <f>IF(ISERROR(FIND('112'!$M$9,G3267,1)),"",IF((AND(LEFT(G3267,2)=LEFT('112'!$M$9,2),B3267&lt;'112'!$N$8,$L3267='112'!$I$6)),"x",""))</f>
        <v/>
      </c>
      <c r="T3267" s="525" t="str">
        <f>IF(ISERROR(FIND('112'!$M$9,G3267,1)),"",IF((AND(RIGHT(G3267,2)=RIGHT('112'!$M$9,2),B3267&lt;'112'!$N$8,$M3267='112'!$I$6)),"x",""))</f>
        <v/>
      </c>
      <c r="U3267" s="525" t="str">
        <f>IF(AND(B3267&gt;='IN-NX'!$P$3,B3267&lt;='IN-NX'!$Q$3,'IN-NX'!$D$7=D3267,OR(LEFT(L3267,2)="15",AND(LEFT(M3267,2)&lt;&gt;"15",LEFT(M3267,2)&lt;&gt;"33"))),"x","")</f>
        <v/>
      </c>
      <c r="V3267" s="525" t="str">
        <f>IF(AND(OR(LEFT(TH!L3267,2)="15",LEFT(TH!M3267,2)="15"),'152-CT'!$J$8=TH!F3267),"x","")</f>
        <v/>
      </c>
      <c r="W3267" s="525" t="str">
        <f>IF(AND(OR(LEFT(TH!L3267,2)="15",LEFT(TH!M3267,2)="15"),TK!$E$7=TH!F3267),"x","")</f>
        <v/>
      </c>
      <c r="X3267" s="525" t="str">
        <f>IF(AND('341-CT'!$E$9=H3267,OR(LEFT(L3267,3)=$X$7,LEFT(M3267,3)=$X$7)),"x","")</f>
        <v/>
      </c>
      <c r="Y3267" s="525" t="str">
        <f>IF(OR(TH!L3267=TH!$Y$7,M3267=TH!$Y$7),"x","")</f>
        <v/>
      </c>
      <c r="Z3267" s="525" t="str">
        <f>IF(AND(B3267&lt;=NKC!$N$8,B3267&gt;=NKC!$M$8),"x","")</f>
        <v/>
      </c>
      <c r="AA3267" s="526"/>
      <c r="AB3267" s="527"/>
    </row>
    <row r="3268" spans="1:30" s="576" customFormat="1" ht="15.75" customHeight="1">
      <c r="A3268" s="517" t="str">
        <f>IF(B3268&lt;&gt;"",IF(AND(B3268&gt;=_TM1,B3268&lt;=_TM2,OR(TH!L3268="1111",TH!M3268="1111")),TH!D3268,""),"")</f>
        <v/>
      </c>
      <c r="B3268" s="518">
        <f t="shared" si="287"/>
        <v>5</v>
      </c>
      <c r="C3268" s="571">
        <f t="shared" si="286"/>
        <v>42886</v>
      </c>
      <c r="D3268" s="571" t="s">
        <v>996</v>
      </c>
      <c r="E3268" s="571">
        <v>42886</v>
      </c>
      <c r="F3268" s="520" t="s">
        <v>1217</v>
      </c>
      <c r="G3268" s="573" t="s">
        <v>1222</v>
      </c>
      <c r="H3268" s="574" t="s">
        <v>800</v>
      </c>
      <c r="I3268" s="523">
        <v>160</v>
      </c>
      <c r="J3268" s="523">
        <v>8703.4249999999993</v>
      </c>
      <c r="K3268" s="575">
        <f t="shared" si="288"/>
        <v>1392548</v>
      </c>
      <c r="L3268" s="591" t="s">
        <v>160</v>
      </c>
      <c r="M3268" s="591" t="s">
        <v>292</v>
      </c>
      <c r="N3268" s="525" t="str">
        <f>IF(AND('331-CT'!$E$7=TH!H3268,OR(L3268="331",M3268="331")),"331",IF(AND(OR(L3268="131",M3268="131"),H3268='131-CT'!$E$7),"131",""))</f>
        <v/>
      </c>
      <c r="O3268" s="525" t="str">
        <f>IF(AND($B3268&gt;='111'!$N$11,$B3268&lt;='111'!$O$11,OR($L3268=$O$7,$M3268=$O$7)),"x","")</f>
        <v/>
      </c>
      <c r="P3268" s="525" t="str">
        <f>IF(AND($L3268=$O$7,$B3268&lt;'111'!$N$11),"x","")</f>
        <v/>
      </c>
      <c r="Q3268" s="525" t="str">
        <f>IF(AND($M3268=$O$7,$B3268&lt;'111'!$N$11),"x","")</f>
        <v/>
      </c>
      <c r="R3268" s="525" t="str">
        <f>IF(ISERROR(FIND('112'!$M$9,G3268,1)),"",IF((AND(FIND('112'!$M$9,G3268,1)&gt;=1,$B3268&gt;='112'!$N$8,$B3268&lt;='112'!$O$8,OR($L3268='112'!$I$6,$M3268='112'!$I$6))),"x",""))</f>
        <v/>
      </c>
      <c r="S3268" s="525" t="str">
        <f>IF(ISERROR(FIND('112'!$M$9,G3268,1)),"",IF((AND(LEFT(G3268,2)=LEFT('112'!$M$9,2),B3268&lt;'112'!$N$8,$L3268='112'!$I$6)),"x",""))</f>
        <v/>
      </c>
      <c r="T3268" s="525" t="str">
        <f>IF(ISERROR(FIND('112'!$M$9,G3268,1)),"",IF((AND(RIGHT(G3268,2)=RIGHT('112'!$M$9,2),B3268&lt;'112'!$N$8,$M3268='112'!$I$6)),"x",""))</f>
        <v/>
      </c>
      <c r="U3268" s="525" t="str">
        <f>IF(AND(B3268&gt;='IN-NX'!$P$3,B3268&lt;='IN-NX'!$Q$3,'IN-NX'!$D$7=D3268,OR(LEFT(L3268,2)="15",AND(LEFT(M3268,2)&lt;&gt;"15",LEFT(M3268,2)&lt;&gt;"33"))),"x","")</f>
        <v/>
      </c>
      <c r="V3268" s="525" t="str">
        <f>IF(AND(OR(LEFT(TH!L3268,2)="15",LEFT(TH!M3268,2)="15"),'152-CT'!$J$8=TH!F3268),"x","")</f>
        <v/>
      </c>
      <c r="W3268" s="525" t="str">
        <f>IF(AND(OR(LEFT(TH!L3268,2)="15",LEFT(TH!M3268,2)="15"),TK!$E$7=TH!F3268),"x","")</f>
        <v/>
      </c>
      <c r="X3268" s="525" t="str">
        <f>IF(AND('341-CT'!$E$9=H3268,OR(LEFT(L3268,3)=$X$7,LEFT(M3268,3)=$X$7)),"x","")</f>
        <v/>
      </c>
      <c r="Y3268" s="525" t="str">
        <f>IF(OR(TH!L3268=TH!$Y$7,M3268=TH!$Y$7),"x","")</f>
        <v/>
      </c>
      <c r="Z3268" s="525" t="str">
        <f>IF(AND(B3268&lt;=NKC!$N$8,B3268&gt;=NKC!$M$8),"x","")</f>
        <v/>
      </c>
      <c r="AA3268" s="526"/>
      <c r="AB3268" s="527"/>
    </row>
    <row r="3269" spans="1:30" s="576" customFormat="1" ht="15.75" customHeight="1">
      <c r="A3269" s="517" t="str">
        <f>IF(B3269&lt;&gt;"",IF(AND(B3269&gt;=_TM1,B3269&lt;=_TM2,OR(TH!L3269="1111",TH!M3269="1111")),TH!D3269,""),"")</f>
        <v/>
      </c>
      <c r="B3269" s="518">
        <f t="shared" si="287"/>
        <v>5</v>
      </c>
      <c r="C3269" s="571">
        <f t="shared" si="286"/>
        <v>42886</v>
      </c>
      <c r="D3269" s="571" t="s">
        <v>996</v>
      </c>
      <c r="E3269" s="571">
        <v>42886</v>
      </c>
      <c r="F3269" s="572" t="s">
        <v>1217</v>
      </c>
      <c r="G3269" s="573" t="s">
        <v>1222</v>
      </c>
      <c r="H3269" s="574" t="s">
        <v>800</v>
      </c>
      <c r="I3269" s="523">
        <v>155</v>
      </c>
      <c r="J3269" s="523">
        <v>8627.0193548387106</v>
      </c>
      <c r="K3269" s="575">
        <f t="shared" si="288"/>
        <v>1337188</v>
      </c>
      <c r="L3269" s="591" t="s">
        <v>160</v>
      </c>
      <c r="M3269" s="591" t="s">
        <v>292</v>
      </c>
      <c r="N3269" s="525" t="str">
        <f>IF(AND('331-CT'!$E$7=TH!H3269,OR(L3269="331",M3269="331")),"331",IF(AND(OR(L3269="131",M3269="131"),H3269='131-CT'!$E$7),"131",""))</f>
        <v/>
      </c>
      <c r="O3269" s="525" t="str">
        <f>IF(AND($B3269&gt;='111'!$N$11,$B3269&lt;='111'!$O$11,OR($L3269=$O$7,$M3269=$O$7)),"x","")</f>
        <v/>
      </c>
      <c r="P3269" s="525" t="str">
        <f>IF(AND($L3269=$O$7,$B3269&lt;'111'!$N$11),"x","")</f>
        <v/>
      </c>
      <c r="Q3269" s="525" t="str">
        <f>IF(AND($M3269=$O$7,$B3269&lt;'111'!$N$11),"x","")</f>
        <v/>
      </c>
      <c r="R3269" s="525" t="str">
        <f>IF(ISERROR(FIND('112'!$M$9,G3269,1)),"",IF((AND(FIND('112'!$M$9,G3269,1)&gt;=1,$B3269&gt;='112'!$N$8,$B3269&lt;='112'!$O$8,OR($L3269='112'!$I$6,$M3269='112'!$I$6))),"x",""))</f>
        <v/>
      </c>
      <c r="S3269" s="525" t="str">
        <f>IF(ISERROR(FIND('112'!$M$9,G3269,1)),"",IF((AND(LEFT(G3269,2)=LEFT('112'!$M$9,2),B3269&lt;'112'!$N$8,$L3269='112'!$I$6)),"x",""))</f>
        <v/>
      </c>
      <c r="T3269" s="525" t="str">
        <f>IF(ISERROR(FIND('112'!$M$9,G3269,1)),"",IF((AND(RIGHT(G3269,2)=RIGHT('112'!$M$9,2),B3269&lt;'112'!$N$8,$M3269='112'!$I$6)),"x",""))</f>
        <v/>
      </c>
      <c r="U3269" s="525" t="str">
        <f>IF(AND(B3269&gt;='IN-NX'!$P$3,B3269&lt;='IN-NX'!$Q$3,'IN-NX'!$D$7=D3269,OR(LEFT(L3269,2)="15",AND(LEFT(M3269,2)&lt;&gt;"15",LEFT(M3269,2)&lt;&gt;"33"))),"x","")</f>
        <v/>
      </c>
      <c r="V3269" s="525" t="str">
        <f>IF(AND(OR(LEFT(TH!L3269,2)="15",LEFT(TH!M3269,2)="15"),'152-CT'!$J$8=TH!F3269),"x","")</f>
        <v/>
      </c>
      <c r="W3269" s="525" t="str">
        <f>IF(AND(OR(LEFT(TH!L3269,2)="15",LEFT(TH!M3269,2)="15"),TK!$E$7=TH!F3269),"x","")</f>
        <v/>
      </c>
      <c r="X3269" s="525" t="str">
        <f>IF(AND('341-CT'!$E$9=H3269,OR(LEFT(L3269,3)=$X$7,LEFT(M3269,3)=$X$7)),"x","")</f>
        <v/>
      </c>
      <c r="Y3269" s="525" t="str">
        <f>IF(OR(TH!L3269=TH!$Y$7,M3269=TH!$Y$7),"x","")</f>
        <v/>
      </c>
      <c r="Z3269" s="525" t="str">
        <f>IF(AND(B3269&lt;=NKC!$N$8,B3269&gt;=NKC!$M$8),"x","")</f>
        <v/>
      </c>
      <c r="AA3269" s="526"/>
      <c r="AB3269" s="527"/>
    </row>
    <row r="3270" spans="1:30" s="576" customFormat="1" ht="15.75" customHeight="1">
      <c r="A3270" s="517" t="str">
        <f>IF(B3270&lt;&gt;"",IF(AND(B3270&gt;=_TM1,B3270&lt;=_TM2,OR(TH!L3270="1111",TH!M3270="1111")),TH!D3270,""),"")</f>
        <v/>
      </c>
      <c r="B3270" s="518">
        <f t="shared" si="287"/>
        <v>5</v>
      </c>
      <c r="C3270" s="571">
        <f t="shared" si="286"/>
        <v>42886</v>
      </c>
      <c r="D3270" s="571" t="s">
        <v>996</v>
      </c>
      <c r="E3270" s="571">
        <v>42886</v>
      </c>
      <c r="F3270" s="572" t="s">
        <v>1217</v>
      </c>
      <c r="G3270" s="573" t="s">
        <v>1222</v>
      </c>
      <c r="H3270" s="574" t="s">
        <v>800</v>
      </c>
      <c r="I3270" s="523">
        <v>115</v>
      </c>
      <c r="J3270" s="523">
        <v>8242.5304347826095</v>
      </c>
      <c r="K3270" s="575">
        <f t="shared" si="288"/>
        <v>947891</v>
      </c>
      <c r="L3270" s="591" t="s">
        <v>160</v>
      </c>
      <c r="M3270" s="591" t="s">
        <v>292</v>
      </c>
      <c r="N3270" s="525" t="str">
        <f>IF(AND('331-CT'!$E$7=TH!H3270,OR(L3270="331",M3270="331")),"331",IF(AND(OR(L3270="131",M3270="131"),H3270='131-CT'!$E$7),"131",""))</f>
        <v/>
      </c>
      <c r="O3270" s="525" t="str">
        <f>IF(AND($B3270&gt;='111'!$N$11,$B3270&lt;='111'!$O$11,OR($L3270=$O$7,$M3270=$O$7)),"x","")</f>
        <v/>
      </c>
      <c r="P3270" s="525" t="str">
        <f>IF(AND($L3270=$O$7,$B3270&lt;'111'!$N$11),"x","")</f>
        <v/>
      </c>
      <c r="Q3270" s="525" t="str">
        <f>IF(AND($M3270=$O$7,$B3270&lt;'111'!$N$11),"x","")</f>
        <v/>
      </c>
      <c r="R3270" s="525" t="str">
        <f>IF(ISERROR(FIND('112'!$M$9,G3270,1)),"",IF((AND(FIND('112'!$M$9,G3270,1)&gt;=1,$B3270&gt;='112'!$N$8,$B3270&lt;='112'!$O$8,OR($L3270='112'!$I$6,$M3270='112'!$I$6))),"x",""))</f>
        <v/>
      </c>
      <c r="S3270" s="525" t="str">
        <f>IF(ISERROR(FIND('112'!$M$9,G3270,1)),"",IF((AND(LEFT(G3270,2)=LEFT('112'!$M$9,2),B3270&lt;'112'!$N$8,$L3270='112'!$I$6)),"x",""))</f>
        <v/>
      </c>
      <c r="T3270" s="525" t="str">
        <f>IF(ISERROR(FIND('112'!$M$9,G3270,1)),"",IF((AND(RIGHT(G3270,2)=RIGHT('112'!$M$9,2),B3270&lt;'112'!$N$8,$M3270='112'!$I$6)),"x",""))</f>
        <v/>
      </c>
      <c r="U3270" s="525" t="str">
        <f>IF(AND(B3270&gt;='IN-NX'!$P$3,B3270&lt;='IN-NX'!$Q$3,'IN-NX'!$D$7=D3270,OR(LEFT(L3270,2)="15",AND(LEFT(M3270,2)&lt;&gt;"15",LEFT(M3270,2)&lt;&gt;"33"))),"x","")</f>
        <v/>
      </c>
      <c r="V3270" s="525" t="str">
        <f>IF(AND(OR(LEFT(TH!L3270,2)="15",LEFT(TH!M3270,2)="15"),'152-CT'!$J$8=TH!F3270),"x","")</f>
        <v/>
      </c>
      <c r="W3270" s="525" t="str">
        <f>IF(AND(OR(LEFT(TH!L3270,2)="15",LEFT(TH!M3270,2)="15"),TK!$E$7=TH!F3270),"x","")</f>
        <v/>
      </c>
      <c r="X3270" s="525" t="str">
        <f>IF(AND('341-CT'!$E$9=H3270,OR(LEFT(L3270,3)=$X$7,LEFT(M3270,3)=$X$7)),"x","")</f>
        <v/>
      </c>
      <c r="Y3270" s="525" t="str">
        <f>IF(OR(TH!L3270=TH!$Y$7,M3270=TH!$Y$7),"x","")</f>
        <v/>
      </c>
      <c r="Z3270" s="525" t="str">
        <f>IF(AND(B3270&lt;=NKC!$N$8,B3270&gt;=NKC!$M$8),"x","")</f>
        <v/>
      </c>
      <c r="AA3270" s="526"/>
      <c r="AB3270" s="527"/>
    </row>
    <row r="3271" spans="1:30" s="570" customFormat="1" ht="15.75" customHeight="1">
      <c r="A3271" s="517" t="str">
        <f>IF(B3271&lt;&gt;"",IF(AND(B3271&gt;=_TM1,B3271&lt;=_TM2,OR(TH!L3271="1111",TH!M3271="1111")),TH!D3271,""),"")</f>
        <v/>
      </c>
      <c r="B3271" s="562">
        <f t="shared" ref="B3271:B3272" si="314">IF(C3271&lt;&gt;"",MONTH(C3271),"")</f>
        <v>6</v>
      </c>
      <c r="C3271" s="563">
        <f t="shared" si="286"/>
        <v>42896</v>
      </c>
      <c r="D3271" s="563" t="s">
        <v>996</v>
      </c>
      <c r="E3271" s="563">
        <v>42896</v>
      </c>
      <c r="F3271" s="712" t="s">
        <v>274</v>
      </c>
      <c r="G3271" s="565" t="s">
        <v>1188</v>
      </c>
      <c r="H3271" s="566" t="s">
        <v>800</v>
      </c>
      <c r="I3271" s="567">
        <v>2900</v>
      </c>
      <c r="J3271" s="567">
        <v>18350</v>
      </c>
      <c r="K3271" s="568">
        <f t="shared" ref="K3271:K3272" si="315">ROUND(I3271*J3271,0)</f>
        <v>53215000</v>
      </c>
      <c r="L3271" s="588" t="s">
        <v>160</v>
      </c>
      <c r="M3271" s="588" t="s">
        <v>292</v>
      </c>
      <c r="N3271" s="525" t="str">
        <f>IF(AND('331-CT'!$E$7=TH!H3271,OR(L3271="331",M3271="331")),"331",IF(AND(OR(L3271="131",M3271="131"),H3271='131-CT'!$E$7),"131",""))</f>
        <v/>
      </c>
      <c r="O3271" s="525" t="str">
        <f>IF(AND($B3271&gt;='111'!$N$11,$B3271&lt;='111'!$O$11,OR($L3271=$O$7,$M3271=$O$7)),"x","")</f>
        <v/>
      </c>
      <c r="P3271" s="525" t="str">
        <f>IF(AND($L3271=$O$7,$B3271&lt;'111'!$N$11),"x","")</f>
        <v/>
      </c>
      <c r="Q3271" s="525" t="str">
        <f>IF(AND($M3271=$O$7,$B3271&lt;'111'!$N$11),"x","")</f>
        <v/>
      </c>
      <c r="R3271" s="525" t="str">
        <f>IF(ISERROR(FIND('112'!$M$9,G3271,1)),"",IF((AND(FIND('112'!$M$9,G3271,1)&gt;=1,$B3271&gt;='112'!$N$8,$B3271&lt;='112'!$O$8,OR($L3271='112'!$I$6,$M3271='112'!$I$6))),"x",""))</f>
        <v/>
      </c>
      <c r="S3271" s="525" t="str">
        <f>IF(ISERROR(FIND('112'!$M$9,G3271,1)),"",IF((AND(LEFT(G3271,2)=LEFT('112'!$M$9,2),B3271&lt;'112'!$N$8,$L3271='112'!$I$6)),"x",""))</f>
        <v/>
      </c>
      <c r="T3271" s="525" t="str">
        <f>IF(ISERROR(FIND('112'!$M$9,G3271,1)),"",IF((AND(RIGHT(G3271,2)=RIGHT('112'!$M$9,2),B3271&lt;'112'!$N$8,$M3271='112'!$I$6)),"x",""))</f>
        <v/>
      </c>
      <c r="U3271" s="525" t="str">
        <f>IF(AND(B3271&gt;='IN-NX'!$P$3,B3271&lt;='IN-NX'!$Q$3,'IN-NX'!$D$7=D3271,OR(LEFT(L3271,2)="15",AND(LEFT(M3271,2)&lt;&gt;"15",LEFT(M3271,2)&lt;&gt;"33"))),"x","")</f>
        <v/>
      </c>
      <c r="V3271" s="525" t="str">
        <f>IF(AND(OR(LEFT(TH!L3271,2)="15",LEFT(TH!M3271,2)="15"),'152-CT'!$J$8=TH!F3271),"x","")</f>
        <v/>
      </c>
      <c r="W3271" s="525" t="str">
        <f>IF(AND(OR(LEFT(TH!L3271,2)="15",LEFT(TH!M3271,2)="15"),TK!$E$7=TH!F3271),"x","")</f>
        <v>x</v>
      </c>
      <c r="X3271" s="525" t="str">
        <f>IF(AND('341-CT'!$E$9=H3271,OR(LEFT(L3271,3)=$X$7,LEFT(M3271,3)=$X$7)),"x","")</f>
        <v/>
      </c>
      <c r="Y3271" s="525" t="str">
        <f>IF(OR(TH!L3271=TH!$Y$7,M3271=TH!$Y$7),"x","")</f>
        <v/>
      </c>
      <c r="Z3271" s="525" t="str">
        <f>IF(AND(B3271&lt;=NKC!$N$8,B3271&gt;=NKC!$M$8),"x","")</f>
        <v/>
      </c>
      <c r="AA3271" s="569"/>
      <c r="AB3271" s="589"/>
    </row>
    <row r="3272" spans="1:30" s="576" customFormat="1" ht="15.75" customHeight="1">
      <c r="A3272" s="517" t="str">
        <f>IF(B3272&lt;&gt;"",IF(AND(B3272&gt;=_TM1,B3272&lt;=_TM2,OR(TH!L3272="1111",TH!M3272="1111")),TH!D3272,""),"")</f>
        <v/>
      </c>
      <c r="B3272" s="518">
        <f t="shared" si="314"/>
        <v>6</v>
      </c>
      <c r="C3272" s="571">
        <f t="shared" si="286"/>
        <v>42896</v>
      </c>
      <c r="D3272" s="571" t="s">
        <v>996</v>
      </c>
      <c r="E3272" s="571">
        <v>42896</v>
      </c>
      <c r="F3272" s="520" t="s">
        <v>273</v>
      </c>
      <c r="G3272" s="573" t="s">
        <v>1188</v>
      </c>
      <c r="H3272" s="574" t="s">
        <v>800</v>
      </c>
      <c r="I3272" s="523">
        <v>120</v>
      </c>
      <c r="J3272" s="523">
        <v>18350</v>
      </c>
      <c r="K3272" s="575">
        <f t="shared" si="315"/>
        <v>2202000</v>
      </c>
      <c r="L3272" s="591" t="s">
        <v>160</v>
      </c>
      <c r="M3272" s="591" t="s">
        <v>292</v>
      </c>
      <c r="N3272" s="525" t="str">
        <f>IF(AND('331-CT'!$E$7=TH!H3272,OR(L3272="331",M3272="331")),"331",IF(AND(OR(L3272="131",M3272="131"),H3272='131-CT'!$E$7),"131",""))</f>
        <v/>
      </c>
      <c r="O3272" s="525" t="str">
        <f>IF(AND($B3272&gt;='111'!$N$11,$B3272&lt;='111'!$O$11,OR($L3272=$O$7,$M3272=$O$7)),"x","")</f>
        <v/>
      </c>
      <c r="P3272" s="525" t="str">
        <f>IF(AND($L3272=$O$7,$B3272&lt;'111'!$N$11),"x","")</f>
        <v/>
      </c>
      <c r="Q3272" s="525" t="str">
        <f>IF(AND($M3272=$O$7,$B3272&lt;'111'!$N$11),"x","")</f>
        <v/>
      </c>
      <c r="R3272" s="525" t="str">
        <f>IF(ISERROR(FIND('112'!$M$9,G3272,1)),"",IF((AND(FIND('112'!$M$9,G3272,1)&gt;=1,$B3272&gt;='112'!$N$8,$B3272&lt;='112'!$O$8,OR($L3272='112'!$I$6,$M3272='112'!$I$6))),"x",""))</f>
        <v/>
      </c>
      <c r="S3272" s="525" t="str">
        <f>IF(ISERROR(FIND('112'!$M$9,G3272,1)),"",IF((AND(LEFT(G3272,2)=LEFT('112'!$M$9,2),B3272&lt;'112'!$N$8,$L3272='112'!$I$6)),"x",""))</f>
        <v/>
      </c>
      <c r="T3272" s="525" t="str">
        <f>IF(ISERROR(FIND('112'!$M$9,G3272,1)),"",IF((AND(RIGHT(G3272,2)=RIGHT('112'!$M$9,2),B3272&lt;'112'!$N$8,$M3272='112'!$I$6)),"x",""))</f>
        <v/>
      </c>
      <c r="U3272" s="525" t="str">
        <f>IF(AND(B3272&gt;='IN-NX'!$P$3,B3272&lt;='IN-NX'!$Q$3,'IN-NX'!$D$7=D3272,OR(LEFT(L3272,2)="15",AND(LEFT(M3272,2)&lt;&gt;"15",LEFT(M3272,2)&lt;&gt;"33"))),"x","")</f>
        <v/>
      </c>
      <c r="V3272" s="525" t="str">
        <f>IF(AND(OR(LEFT(TH!L3272,2)="15",LEFT(TH!M3272,2)="15"),'152-CT'!$J$8=TH!F3272),"x","")</f>
        <v>x</v>
      </c>
      <c r="W3272" s="525" t="str">
        <f>IF(AND(OR(LEFT(TH!L3272,2)="15",LEFT(TH!M3272,2)="15"),TK!$E$7=TH!F3272),"x","")</f>
        <v/>
      </c>
      <c r="X3272" s="525" t="str">
        <f>IF(AND('341-CT'!$E$9=H3272,OR(LEFT(L3272,3)=$X$7,LEFT(M3272,3)=$X$7)),"x","")</f>
        <v/>
      </c>
      <c r="Y3272" s="525" t="str">
        <f>IF(OR(TH!L3272=TH!$Y$7,M3272=TH!$Y$7),"x","")</f>
        <v/>
      </c>
      <c r="Z3272" s="525" t="str">
        <f>IF(AND(B3272&lt;=NKC!$N$8,B3272&gt;=NKC!$M$8),"x","")</f>
        <v/>
      </c>
      <c r="AA3272" s="526"/>
      <c r="AB3272" s="527"/>
    </row>
    <row r="3273" spans="1:30" s="576" customFormat="1" ht="15.75" customHeight="1">
      <c r="A3273" s="517" t="str">
        <f>IF(B3273&lt;&gt;"",IF(AND(B3273&gt;=_TM1,B3273&lt;=_TM2,OR(TH!L3273="1111",TH!M3273="1111")),TH!D3273,""),"")</f>
        <v/>
      </c>
      <c r="B3273" s="518">
        <f t="shared" ref="B3273" si="316">IF(C3273&lt;&gt;"",MONTH(C3273),"")</f>
        <v>6</v>
      </c>
      <c r="C3273" s="571">
        <f t="shared" ref="C3273" si="317">E3273</f>
        <v>42896</v>
      </c>
      <c r="D3273" s="571" t="s">
        <v>996</v>
      </c>
      <c r="E3273" s="571">
        <v>42896</v>
      </c>
      <c r="F3273" s="520" t="s">
        <v>273</v>
      </c>
      <c r="G3273" s="573" t="s">
        <v>1188</v>
      </c>
      <c r="H3273" s="574" t="s">
        <v>800</v>
      </c>
      <c r="I3273" s="523">
        <v>2980</v>
      </c>
      <c r="J3273" s="523">
        <v>18130</v>
      </c>
      <c r="K3273" s="575">
        <f t="shared" ref="K3273" si="318">ROUND(I3273*J3273,0)</f>
        <v>54027400</v>
      </c>
      <c r="L3273" s="591" t="s">
        <v>160</v>
      </c>
      <c r="M3273" s="591" t="s">
        <v>292</v>
      </c>
      <c r="N3273" s="525" t="str">
        <f>IF(AND('331-CT'!$E$7=TH!H3273,OR(L3273="331",M3273="331")),"331",IF(AND(OR(L3273="131",M3273="131"),H3273='131-CT'!$E$7),"131",""))</f>
        <v/>
      </c>
      <c r="O3273" s="525" t="str">
        <f>IF(AND($B3273&gt;='111'!$N$11,$B3273&lt;='111'!$O$11,OR($L3273=$O$7,$M3273=$O$7)),"x","")</f>
        <v/>
      </c>
      <c r="P3273" s="525" t="str">
        <f>IF(AND($L3273=$O$7,$B3273&lt;'111'!$N$11),"x","")</f>
        <v/>
      </c>
      <c r="Q3273" s="525" t="str">
        <f>IF(AND($M3273=$O$7,$B3273&lt;'111'!$N$11),"x","")</f>
        <v/>
      </c>
      <c r="R3273" s="525" t="str">
        <f>IF(ISERROR(FIND('112'!$M$9,G3273,1)),"",IF((AND(FIND('112'!$M$9,G3273,1)&gt;=1,$B3273&gt;='112'!$N$8,$B3273&lt;='112'!$O$8,OR($L3273='112'!$I$6,$M3273='112'!$I$6))),"x",""))</f>
        <v/>
      </c>
      <c r="S3273" s="525" t="str">
        <f>IF(ISERROR(FIND('112'!$M$9,G3273,1)),"",IF((AND(LEFT(G3273,2)=LEFT('112'!$M$9,2),B3273&lt;'112'!$N$8,$L3273='112'!$I$6)),"x",""))</f>
        <v/>
      </c>
      <c r="T3273" s="525" t="str">
        <f>IF(ISERROR(FIND('112'!$M$9,G3273,1)),"",IF((AND(RIGHT(G3273,2)=RIGHT('112'!$M$9,2),B3273&lt;'112'!$N$8,$M3273='112'!$I$6)),"x",""))</f>
        <v/>
      </c>
      <c r="U3273" s="525" t="str">
        <f>IF(AND(B3273&gt;='IN-NX'!$P$3,B3273&lt;='IN-NX'!$Q$3,'IN-NX'!$D$7=D3273,OR(LEFT(L3273,2)="15",AND(LEFT(M3273,2)&lt;&gt;"15",LEFT(M3273,2)&lt;&gt;"33"))),"x","")</f>
        <v/>
      </c>
      <c r="V3273" s="525" t="str">
        <f>IF(AND(OR(LEFT(TH!L3273,2)="15",LEFT(TH!M3273,2)="15"),'152-CT'!$J$8=TH!F3273),"x","")</f>
        <v>x</v>
      </c>
      <c r="W3273" s="525" t="str">
        <f>IF(AND(OR(LEFT(TH!L3273,2)="15",LEFT(TH!M3273,2)="15"),TK!$E$7=TH!F3273),"x","")</f>
        <v/>
      </c>
      <c r="X3273" s="525" t="str">
        <f>IF(AND('341-CT'!$E$9=H3273,OR(LEFT(L3273,3)=$X$7,LEFT(M3273,3)=$X$7)),"x","")</f>
        <v/>
      </c>
      <c r="Y3273" s="525" t="str">
        <f>IF(OR(TH!L3273=TH!$Y$7,M3273=TH!$Y$7),"x","")</f>
        <v/>
      </c>
      <c r="Z3273" s="525" t="str">
        <f>IF(AND(B3273&lt;=NKC!$N$8,B3273&gt;=NKC!$M$8),"x","")</f>
        <v/>
      </c>
      <c r="AA3273" s="526"/>
      <c r="AB3273" s="527"/>
    </row>
    <row r="3274" spans="1:30" s="576" customFormat="1" ht="15.75" customHeight="1">
      <c r="A3274" s="517" t="str">
        <f>IF(B3274&lt;&gt;"",IF(AND(B3274&gt;=_TM1,B3274&lt;=_TM2,OR(TH!L3274="1111",TH!M3274="1111")),TH!D3274,""),"")</f>
        <v/>
      </c>
      <c r="B3274" s="518">
        <f t="shared" ref="B3274:B3300" si="319">IF(C3274&lt;&gt;"",MONTH(C3274),"")</f>
        <v>6</v>
      </c>
      <c r="C3274" s="571">
        <f t="shared" ref="C3274:C3337" si="320">E3274</f>
        <v>42914</v>
      </c>
      <c r="D3274" s="571" t="s">
        <v>996</v>
      </c>
      <c r="E3274" s="571">
        <v>42914</v>
      </c>
      <c r="F3274" s="520" t="s">
        <v>1223</v>
      </c>
      <c r="G3274" s="573" t="s">
        <v>1251</v>
      </c>
      <c r="H3274" s="574" t="s">
        <v>800</v>
      </c>
      <c r="I3274" s="523">
        <v>36</v>
      </c>
      <c r="J3274" s="523">
        <v>48794</v>
      </c>
      <c r="K3274" s="575">
        <f t="shared" ref="K3274:K3337" si="321">ROUND(I3274*J3274,0)</f>
        <v>1756584</v>
      </c>
      <c r="L3274" s="591" t="s">
        <v>160</v>
      </c>
      <c r="M3274" s="591" t="s">
        <v>292</v>
      </c>
      <c r="N3274" s="525" t="str">
        <f>IF(AND('331-CT'!$E$7=TH!H3274,OR(L3274="331",M3274="331")),"331",IF(AND(OR(L3274="131",M3274="131"),H3274='131-CT'!$E$7),"131",""))</f>
        <v/>
      </c>
      <c r="O3274" s="525" t="str">
        <f>IF(AND($B3274&gt;='111'!$N$11,$B3274&lt;='111'!$O$11,OR($L3274=$O$7,$M3274=$O$7)),"x","")</f>
        <v/>
      </c>
      <c r="P3274" s="525" t="str">
        <f>IF(AND($L3274=$O$7,$B3274&lt;'111'!$N$11),"x","")</f>
        <v/>
      </c>
      <c r="Q3274" s="525" t="str">
        <f>IF(AND($M3274=$O$7,$B3274&lt;'111'!$N$11),"x","")</f>
        <v/>
      </c>
      <c r="R3274" s="525" t="str">
        <f>IF(ISERROR(FIND('112'!$M$9,G3274,1)),"",IF((AND(FIND('112'!$M$9,G3274,1)&gt;=1,$B3274&gt;='112'!$N$8,$B3274&lt;='112'!$O$8,OR($L3274='112'!$I$6,$M3274='112'!$I$6))),"x",""))</f>
        <v/>
      </c>
      <c r="S3274" s="525" t="str">
        <f>IF(ISERROR(FIND('112'!$M$9,G3274,1)),"",IF((AND(LEFT(G3274,2)=LEFT('112'!$M$9,2),B3274&lt;'112'!$N$8,$L3274='112'!$I$6)),"x",""))</f>
        <v/>
      </c>
      <c r="T3274" s="525" t="str">
        <f>IF(ISERROR(FIND('112'!$M$9,G3274,1)),"",IF((AND(RIGHT(G3274,2)=RIGHT('112'!$M$9,2),B3274&lt;'112'!$N$8,$M3274='112'!$I$6)),"x",""))</f>
        <v/>
      </c>
      <c r="U3274" s="525" t="str">
        <f>IF(AND(B3274&gt;='IN-NX'!$P$3,B3274&lt;='IN-NX'!$Q$3,'IN-NX'!$D$7=D3274,OR(LEFT(L3274,2)="15",AND(LEFT(M3274,2)&lt;&gt;"15",LEFT(M3274,2)&lt;&gt;"33"))),"x","")</f>
        <v/>
      </c>
      <c r="V3274" s="525" t="str">
        <f>IF(AND(OR(LEFT(TH!L3274,2)="15",LEFT(TH!M3274,2)="15"),'152-CT'!$J$8=TH!F3274),"x","")</f>
        <v/>
      </c>
      <c r="W3274" s="525" t="str">
        <f>IF(AND(OR(LEFT(TH!L3274,2)="15",LEFT(TH!M3274,2)="15"),TK!$E$7=TH!F3274),"x","")</f>
        <v/>
      </c>
      <c r="X3274" s="525" t="str">
        <f>IF(AND('341-CT'!$E$9=H3274,OR(LEFT(L3274,3)=$X$7,LEFT(M3274,3)=$X$7)),"x","")</f>
        <v/>
      </c>
      <c r="Y3274" s="525" t="str">
        <f>IF(OR(TH!L3274=TH!$Y$7,M3274=TH!$Y$7),"x","")</f>
        <v/>
      </c>
      <c r="Z3274" s="525" t="str">
        <f>IF(AND(B3274&lt;=NKC!$N$8,B3274&gt;=NKC!$M$8),"x","")</f>
        <v/>
      </c>
      <c r="AA3274" s="526"/>
      <c r="AB3274" s="527"/>
      <c r="AC3274" s="527"/>
      <c r="AD3274" s="527"/>
    </row>
    <row r="3275" spans="1:30" s="576" customFormat="1" ht="15.75" customHeight="1">
      <c r="A3275" s="517" t="str">
        <f>IF(B3275&lt;&gt;"",IF(AND(B3275&gt;=_TM1,B3275&lt;=_TM2,OR(TH!L3275="1111",TH!M3275="1111")),TH!D3275,""),"")</f>
        <v/>
      </c>
      <c r="B3275" s="518">
        <f t="shared" si="319"/>
        <v>6</v>
      </c>
      <c r="C3275" s="571">
        <f t="shared" si="320"/>
        <v>42914</v>
      </c>
      <c r="D3275" s="571" t="s">
        <v>996</v>
      </c>
      <c r="E3275" s="571">
        <v>42914</v>
      </c>
      <c r="F3275" s="520" t="s">
        <v>1224</v>
      </c>
      <c r="G3275" s="573" t="s">
        <v>1251</v>
      </c>
      <c r="H3275" s="574" t="s">
        <v>800</v>
      </c>
      <c r="I3275" s="523">
        <v>76</v>
      </c>
      <c r="J3275" s="523">
        <v>72677</v>
      </c>
      <c r="K3275" s="575">
        <f t="shared" si="321"/>
        <v>5523452</v>
      </c>
      <c r="L3275" s="591" t="s">
        <v>160</v>
      </c>
      <c r="M3275" s="591" t="s">
        <v>292</v>
      </c>
      <c r="N3275" s="525" t="str">
        <f>IF(AND('331-CT'!$E$7=TH!H3275,OR(L3275="331",M3275="331")),"331",IF(AND(OR(L3275="131",M3275="131"),H3275='131-CT'!$E$7),"131",""))</f>
        <v/>
      </c>
      <c r="O3275" s="525" t="str">
        <f>IF(AND($B3275&gt;='111'!$N$11,$B3275&lt;='111'!$O$11,OR($L3275=$O$7,$M3275=$O$7)),"x","")</f>
        <v/>
      </c>
      <c r="P3275" s="525" t="str">
        <f>IF(AND($L3275=$O$7,$B3275&lt;'111'!$N$11),"x","")</f>
        <v/>
      </c>
      <c r="Q3275" s="525" t="str">
        <f>IF(AND($M3275=$O$7,$B3275&lt;'111'!$N$11),"x","")</f>
        <v/>
      </c>
      <c r="R3275" s="525" t="str">
        <f>IF(ISERROR(FIND('112'!$M$9,G3275,1)),"",IF((AND(FIND('112'!$M$9,G3275,1)&gt;=1,$B3275&gt;='112'!$N$8,$B3275&lt;='112'!$O$8,OR($L3275='112'!$I$6,$M3275='112'!$I$6))),"x",""))</f>
        <v/>
      </c>
      <c r="S3275" s="525" t="str">
        <f>IF(ISERROR(FIND('112'!$M$9,G3275,1)),"",IF((AND(LEFT(G3275,2)=LEFT('112'!$M$9,2),B3275&lt;'112'!$N$8,$L3275='112'!$I$6)),"x",""))</f>
        <v/>
      </c>
      <c r="T3275" s="525" t="str">
        <f>IF(ISERROR(FIND('112'!$M$9,G3275,1)),"",IF((AND(RIGHT(G3275,2)=RIGHT('112'!$M$9,2),B3275&lt;'112'!$N$8,$M3275='112'!$I$6)),"x",""))</f>
        <v/>
      </c>
      <c r="U3275" s="525" t="str">
        <f>IF(AND(B3275&gt;='IN-NX'!$P$3,B3275&lt;='IN-NX'!$Q$3,'IN-NX'!$D$7=D3275,OR(LEFT(L3275,2)="15",AND(LEFT(M3275,2)&lt;&gt;"15",LEFT(M3275,2)&lt;&gt;"33"))),"x","")</f>
        <v/>
      </c>
      <c r="V3275" s="525" t="str">
        <f>IF(AND(OR(LEFT(TH!L3275,2)="15",LEFT(TH!M3275,2)="15"),'152-CT'!$J$8=TH!F3275),"x","")</f>
        <v/>
      </c>
      <c r="W3275" s="525" t="str">
        <f>IF(AND(OR(LEFT(TH!L3275,2)="15",LEFT(TH!M3275,2)="15"),TK!$E$7=TH!F3275),"x","")</f>
        <v/>
      </c>
      <c r="X3275" s="525" t="str">
        <f>IF(AND('341-CT'!$E$9=H3275,OR(LEFT(L3275,3)=$X$7,LEFT(M3275,3)=$X$7)),"x","")</f>
        <v/>
      </c>
      <c r="Y3275" s="525" t="str">
        <f>IF(OR(TH!L3275=TH!$Y$7,M3275=TH!$Y$7),"x","")</f>
        <v/>
      </c>
      <c r="Z3275" s="525" t="str">
        <f>IF(AND(B3275&lt;=NKC!$N$8,B3275&gt;=NKC!$M$8),"x","")</f>
        <v/>
      </c>
      <c r="AA3275" s="526"/>
      <c r="AB3275" s="527"/>
      <c r="AD3275" s="527"/>
    </row>
    <row r="3276" spans="1:30" s="576" customFormat="1" ht="15.75" customHeight="1">
      <c r="A3276" s="517" t="str">
        <f>IF(B3276&lt;&gt;"",IF(AND(B3276&gt;=_TM1,B3276&lt;=_TM2,OR(TH!L3276="1111",TH!M3276="1111")),TH!D3276,""),"")</f>
        <v/>
      </c>
      <c r="B3276" s="518">
        <f t="shared" si="319"/>
        <v>6</v>
      </c>
      <c r="C3276" s="571">
        <f t="shared" si="320"/>
        <v>42914</v>
      </c>
      <c r="D3276" s="571" t="s">
        <v>996</v>
      </c>
      <c r="E3276" s="571">
        <v>42914</v>
      </c>
      <c r="F3276" s="520" t="s">
        <v>704</v>
      </c>
      <c r="G3276" s="573" t="s">
        <v>1251</v>
      </c>
      <c r="H3276" s="574" t="s">
        <v>800</v>
      </c>
      <c r="I3276" s="523">
        <v>166</v>
      </c>
      <c r="J3276" s="523">
        <v>18344</v>
      </c>
      <c r="K3276" s="575">
        <f t="shared" si="321"/>
        <v>3045104</v>
      </c>
      <c r="L3276" s="591" t="s">
        <v>160</v>
      </c>
      <c r="M3276" s="591" t="s">
        <v>292</v>
      </c>
      <c r="N3276" s="525" t="str">
        <f>IF(AND('331-CT'!$E$7=TH!H3276,OR(L3276="331",M3276="331")),"331",IF(AND(OR(L3276="131",M3276="131"),H3276='131-CT'!$E$7),"131",""))</f>
        <v/>
      </c>
      <c r="O3276" s="525" t="str">
        <f>IF(AND($B3276&gt;='111'!$N$11,$B3276&lt;='111'!$O$11,OR($L3276=$O$7,$M3276=$O$7)),"x","")</f>
        <v/>
      </c>
      <c r="P3276" s="525" t="str">
        <f>IF(AND($L3276=$O$7,$B3276&lt;'111'!$N$11),"x","")</f>
        <v/>
      </c>
      <c r="Q3276" s="525" t="str">
        <f>IF(AND($M3276=$O$7,$B3276&lt;'111'!$N$11),"x","")</f>
        <v/>
      </c>
      <c r="R3276" s="525" t="str">
        <f>IF(ISERROR(FIND('112'!$M$9,G3276,1)),"",IF((AND(FIND('112'!$M$9,G3276,1)&gt;=1,$B3276&gt;='112'!$N$8,$B3276&lt;='112'!$O$8,OR($L3276='112'!$I$6,$M3276='112'!$I$6))),"x",""))</f>
        <v/>
      </c>
      <c r="S3276" s="525" t="str">
        <f>IF(ISERROR(FIND('112'!$M$9,G3276,1)),"",IF((AND(LEFT(G3276,2)=LEFT('112'!$M$9,2),B3276&lt;'112'!$N$8,$L3276='112'!$I$6)),"x",""))</f>
        <v/>
      </c>
      <c r="T3276" s="525" t="str">
        <f>IF(ISERROR(FIND('112'!$M$9,G3276,1)),"",IF((AND(RIGHT(G3276,2)=RIGHT('112'!$M$9,2),B3276&lt;'112'!$N$8,$M3276='112'!$I$6)),"x",""))</f>
        <v/>
      </c>
      <c r="U3276" s="525" t="str">
        <f>IF(AND(B3276&gt;='IN-NX'!$P$3,B3276&lt;='IN-NX'!$Q$3,'IN-NX'!$D$7=D3276,OR(LEFT(L3276,2)="15",AND(LEFT(M3276,2)&lt;&gt;"15",LEFT(M3276,2)&lt;&gt;"33"))),"x","")</f>
        <v/>
      </c>
      <c r="V3276" s="525" t="str">
        <f>IF(AND(OR(LEFT(TH!L3276,2)="15",LEFT(TH!M3276,2)="15"),'152-CT'!$J$8=TH!F3276),"x","")</f>
        <v/>
      </c>
      <c r="W3276" s="525" t="str">
        <f>IF(AND(OR(LEFT(TH!L3276,2)="15",LEFT(TH!M3276,2)="15"),TK!$E$7=TH!F3276),"x","")</f>
        <v/>
      </c>
      <c r="X3276" s="525" t="str">
        <f>IF(AND('341-CT'!$E$9=H3276,OR(LEFT(L3276,3)=$X$7,LEFT(M3276,3)=$X$7)),"x","")</f>
        <v/>
      </c>
      <c r="Y3276" s="525" t="str">
        <f>IF(OR(TH!L3276=TH!$Y$7,M3276=TH!$Y$7),"x","")</f>
        <v/>
      </c>
      <c r="Z3276" s="525" t="str">
        <f>IF(AND(B3276&lt;=NKC!$N$8,B3276&gt;=NKC!$M$8),"x","")</f>
        <v/>
      </c>
      <c r="AA3276" s="526"/>
      <c r="AB3276" s="527"/>
      <c r="AC3276" s="527"/>
      <c r="AD3276" s="527"/>
    </row>
    <row r="3277" spans="1:30" s="576" customFormat="1" ht="15.75" customHeight="1">
      <c r="A3277" s="517" t="str">
        <f>IF(B3277&lt;&gt;"",IF(AND(B3277&gt;=_TM1,B3277&lt;=_TM2,OR(TH!L3277="1111",TH!M3277="1111")),TH!D3277,""),"")</f>
        <v/>
      </c>
      <c r="B3277" s="518">
        <f t="shared" si="319"/>
        <v>6</v>
      </c>
      <c r="C3277" s="571">
        <f t="shared" si="320"/>
        <v>42914</v>
      </c>
      <c r="D3277" s="571" t="s">
        <v>996</v>
      </c>
      <c r="E3277" s="571">
        <v>42914</v>
      </c>
      <c r="F3277" s="520" t="s">
        <v>710</v>
      </c>
      <c r="G3277" s="573" t="s">
        <v>1251</v>
      </c>
      <c r="H3277" s="574" t="s">
        <v>800</v>
      </c>
      <c r="I3277" s="523">
        <v>36</v>
      </c>
      <c r="J3277" s="523">
        <v>21604</v>
      </c>
      <c r="K3277" s="575">
        <f t="shared" si="321"/>
        <v>777744</v>
      </c>
      <c r="L3277" s="591" t="s">
        <v>160</v>
      </c>
      <c r="M3277" s="591" t="s">
        <v>292</v>
      </c>
      <c r="N3277" s="525" t="str">
        <f>IF(AND('331-CT'!$E$7=TH!H3277,OR(L3277="331",M3277="331")),"331",IF(AND(OR(L3277="131",M3277="131"),H3277='131-CT'!$E$7),"131",""))</f>
        <v/>
      </c>
      <c r="O3277" s="525" t="str">
        <f>IF(AND($B3277&gt;='111'!$N$11,$B3277&lt;='111'!$O$11,OR($L3277=$O$7,$M3277=$O$7)),"x","")</f>
        <v/>
      </c>
      <c r="P3277" s="525" t="str">
        <f>IF(AND($L3277=$O$7,$B3277&lt;'111'!$N$11),"x","")</f>
        <v/>
      </c>
      <c r="Q3277" s="525" t="str">
        <f>IF(AND($M3277=$O$7,$B3277&lt;'111'!$N$11),"x","")</f>
        <v/>
      </c>
      <c r="R3277" s="525" t="str">
        <f>IF(ISERROR(FIND('112'!$M$9,G3277,1)),"",IF((AND(FIND('112'!$M$9,G3277,1)&gt;=1,$B3277&gt;='112'!$N$8,$B3277&lt;='112'!$O$8,OR($L3277='112'!$I$6,$M3277='112'!$I$6))),"x",""))</f>
        <v/>
      </c>
      <c r="S3277" s="525" t="str">
        <f>IF(ISERROR(FIND('112'!$M$9,G3277,1)),"",IF((AND(LEFT(G3277,2)=LEFT('112'!$M$9,2),B3277&lt;'112'!$N$8,$L3277='112'!$I$6)),"x",""))</f>
        <v/>
      </c>
      <c r="T3277" s="525" t="str">
        <f>IF(ISERROR(FIND('112'!$M$9,G3277,1)),"",IF((AND(RIGHT(G3277,2)=RIGHT('112'!$M$9,2),B3277&lt;'112'!$N$8,$M3277='112'!$I$6)),"x",""))</f>
        <v/>
      </c>
      <c r="U3277" s="525" t="str">
        <f>IF(AND(B3277&gt;='IN-NX'!$P$3,B3277&lt;='IN-NX'!$Q$3,'IN-NX'!$D$7=D3277,OR(LEFT(L3277,2)="15",AND(LEFT(M3277,2)&lt;&gt;"15",LEFT(M3277,2)&lt;&gt;"33"))),"x","")</f>
        <v/>
      </c>
      <c r="V3277" s="525" t="str">
        <f>IF(AND(OR(LEFT(TH!L3277,2)="15",LEFT(TH!M3277,2)="15"),'152-CT'!$J$8=TH!F3277),"x","")</f>
        <v/>
      </c>
      <c r="W3277" s="525" t="str">
        <f>IF(AND(OR(LEFT(TH!L3277,2)="15",LEFT(TH!M3277,2)="15"),TK!$E$7=TH!F3277),"x","")</f>
        <v/>
      </c>
      <c r="X3277" s="525" t="str">
        <f>IF(AND('341-CT'!$E$9=H3277,OR(LEFT(L3277,3)=$X$7,LEFT(M3277,3)=$X$7)),"x","")</f>
        <v/>
      </c>
      <c r="Y3277" s="525" t="str">
        <f>IF(OR(TH!L3277=TH!$Y$7,M3277=TH!$Y$7),"x","")</f>
        <v/>
      </c>
      <c r="Z3277" s="525" t="str">
        <f>IF(AND(B3277&lt;=NKC!$N$8,B3277&gt;=NKC!$M$8),"x","")</f>
        <v/>
      </c>
      <c r="AA3277" s="526"/>
      <c r="AB3277" s="527"/>
      <c r="AC3277" s="527"/>
      <c r="AD3277" s="527"/>
    </row>
    <row r="3278" spans="1:30" s="576" customFormat="1" ht="15.75" customHeight="1">
      <c r="A3278" s="517" t="str">
        <f>IF(B3278&lt;&gt;"",IF(AND(B3278&gt;=_TM1,B3278&lt;=_TM2,OR(TH!L3278="1111",TH!M3278="1111")),TH!D3278,""),"")</f>
        <v/>
      </c>
      <c r="B3278" s="518">
        <f t="shared" si="319"/>
        <v>6</v>
      </c>
      <c r="C3278" s="571">
        <f t="shared" si="320"/>
        <v>42914</v>
      </c>
      <c r="D3278" s="571" t="s">
        <v>996</v>
      </c>
      <c r="E3278" s="571">
        <v>42914</v>
      </c>
      <c r="F3278" s="520" t="s">
        <v>1041</v>
      </c>
      <c r="G3278" s="573" t="s">
        <v>1251</v>
      </c>
      <c r="H3278" s="574" t="s">
        <v>800</v>
      </c>
      <c r="I3278" s="523">
        <v>42</v>
      </c>
      <c r="J3278" s="523">
        <v>22076</v>
      </c>
      <c r="K3278" s="575">
        <f t="shared" si="321"/>
        <v>927192</v>
      </c>
      <c r="L3278" s="591" t="s">
        <v>160</v>
      </c>
      <c r="M3278" s="591" t="s">
        <v>292</v>
      </c>
      <c r="N3278" s="525" t="str">
        <f>IF(AND('331-CT'!$E$7=TH!H3278,OR(L3278="331",M3278="331")),"331",IF(AND(OR(L3278="131",M3278="131"),H3278='131-CT'!$E$7),"131",""))</f>
        <v/>
      </c>
      <c r="O3278" s="525" t="str">
        <f>IF(AND($B3278&gt;='111'!$N$11,$B3278&lt;='111'!$O$11,OR($L3278=$O$7,$M3278=$O$7)),"x","")</f>
        <v/>
      </c>
      <c r="P3278" s="525" t="str">
        <f>IF(AND($L3278=$O$7,$B3278&lt;'111'!$N$11),"x","")</f>
        <v/>
      </c>
      <c r="Q3278" s="525" t="str">
        <f>IF(AND($M3278=$O$7,$B3278&lt;'111'!$N$11),"x","")</f>
        <v/>
      </c>
      <c r="R3278" s="525" t="str">
        <f>IF(ISERROR(FIND('112'!$M$9,G3278,1)),"",IF((AND(FIND('112'!$M$9,G3278,1)&gt;=1,$B3278&gt;='112'!$N$8,$B3278&lt;='112'!$O$8,OR($L3278='112'!$I$6,$M3278='112'!$I$6))),"x",""))</f>
        <v/>
      </c>
      <c r="S3278" s="525" t="str">
        <f>IF(ISERROR(FIND('112'!$M$9,G3278,1)),"",IF((AND(LEFT(G3278,2)=LEFT('112'!$M$9,2),B3278&lt;'112'!$N$8,$L3278='112'!$I$6)),"x",""))</f>
        <v/>
      </c>
      <c r="T3278" s="525" t="str">
        <f>IF(ISERROR(FIND('112'!$M$9,G3278,1)),"",IF((AND(RIGHT(G3278,2)=RIGHT('112'!$M$9,2),B3278&lt;'112'!$N$8,$M3278='112'!$I$6)),"x",""))</f>
        <v/>
      </c>
      <c r="U3278" s="525" t="str">
        <f>IF(AND(B3278&gt;='IN-NX'!$P$3,B3278&lt;='IN-NX'!$Q$3,'IN-NX'!$D$7=D3278,OR(LEFT(L3278,2)="15",AND(LEFT(M3278,2)&lt;&gt;"15",LEFT(M3278,2)&lt;&gt;"33"))),"x","")</f>
        <v/>
      </c>
      <c r="V3278" s="525" t="str">
        <f>IF(AND(OR(LEFT(TH!L3278,2)="15",LEFT(TH!M3278,2)="15"),'152-CT'!$J$8=TH!F3278),"x","")</f>
        <v/>
      </c>
      <c r="W3278" s="525" t="str">
        <f>IF(AND(OR(LEFT(TH!L3278,2)="15",LEFT(TH!M3278,2)="15"),TK!$E$7=TH!F3278),"x","")</f>
        <v/>
      </c>
      <c r="X3278" s="525" t="str">
        <f>IF(AND('341-CT'!$E$9=H3278,OR(LEFT(L3278,3)=$X$7,LEFT(M3278,3)=$X$7)),"x","")</f>
        <v/>
      </c>
      <c r="Y3278" s="525" t="str">
        <f>IF(OR(TH!L3278=TH!$Y$7,M3278=TH!$Y$7),"x","")</f>
        <v/>
      </c>
      <c r="Z3278" s="525" t="str">
        <f>IF(AND(B3278&lt;=NKC!$N$8,B3278&gt;=NKC!$M$8),"x","")</f>
        <v/>
      </c>
      <c r="AA3278" s="526"/>
      <c r="AB3278" s="527"/>
      <c r="AC3278" s="527"/>
      <c r="AD3278" s="527"/>
    </row>
    <row r="3279" spans="1:30" s="576" customFormat="1" ht="15.75" customHeight="1">
      <c r="A3279" s="517" t="str">
        <f>IF(B3279&lt;&gt;"",IF(AND(B3279&gt;=_TM1,B3279&lt;=_TM2,OR(TH!L3279="1111",TH!M3279="1111")),TH!D3279,""),"")</f>
        <v/>
      </c>
      <c r="B3279" s="518">
        <f t="shared" si="319"/>
        <v>6</v>
      </c>
      <c r="C3279" s="571">
        <f t="shared" si="320"/>
        <v>42914</v>
      </c>
      <c r="D3279" s="571" t="s">
        <v>996</v>
      </c>
      <c r="E3279" s="571">
        <v>42914</v>
      </c>
      <c r="F3279" s="520" t="s">
        <v>619</v>
      </c>
      <c r="G3279" s="573" t="s">
        <v>1251</v>
      </c>
      <c r="H3279" s="574" t="s">
        <v>800</v>
      </c>
      <c r="I3279" s="523">
        <v>72</v>
      </c>
      <c r="J3279" s="523">
        <v>31042</v>
      </c>
      <c r="K3279" s="575">
        <f t="shared" si="321"/>
        <v>2235024</v>
      </c>
      <c r="L3279" s="591" t="s">
        <v>160</v>
      </c>
      <c r="M3279" s="591" t="s">
        <v>292</v>
      </c>
      <c r="N3279" s="525" t="str">
        <f>IF(AND('331-CT'!$E$7=TH!H3279,OR(L3279="331",M3279="331")),"331",IF(AND(OR(L3279="131",M3279="131"),H3279='131-CT'!$E$7),"131",""))</f>
        <v/>
      </c>
      <c r="O3279" s="525" t="str">
        <f>IF(AND($B3279&gt;='111'!$N$11,$B3279&lt;='111'!$O$11,OR($L3279=$O$7,$M3279=$O$7)),"x","")</f>
        <v/>
      </c>
      <c r="P3279" s="525" t="str">
        <f>IF(AND($L3279=$O$7,$B3279&lt;'111'!$N$11),"x","")</f>
        <v/>
      </c>
      <c r="Q3279" s="525" t="str">
        <f>IF(AND($M3279=$O$7,$B3279&lt;'111'!$N$11),"x","")</f>
        <v/>
      </c>
      <c r="R3279" s="525" t="str">
        <f>IF(ISERROR(FIND('112'!$M$9,G3279,1)),"",IF((AND(FIND('112'!$M$9,G3279,1)&gt;=1,$B3279&gt;='112'!$N$8,$B3279&lt;='112'!$O$8,OR($L3279='112'!$I$6,$M3279='112'!$I$6))),"x",""))</f>
        <v/>
      </c>
      <c r="S3279" s="525" t="str">
        <f>IF(ISERROR(FIND('112'!$M$9,G3279,1)),"",IF((AND(LEFT(G3279,2)=LEFT('112'!$M$9,2),B3279&lt;'112'!$N$8,$L3279='112'!$I$6)),"x",""))</f>
        <v/>
      </c>
      <c r="T3279" s="525" t="str">
        <f>IF(ISERROR(FIND('112'!$M$9,G3279,1)),"",IF((AND(RIGHT(G3279,2)=RIGHT('112'!$M$9,2),B3279&lt;'112'!$N$8,$M3279='112'!$I$6)),"x",""))</f>
        <v/>
      </c>
      <c r="U3279" s="525" t="str">
        <f>IF(AND(B3279&gt;='IN-NX'!$P$3,B3279&lt;='IN-NX'!$Q$3,'IN-NX'!$D$7=D3279,OR(LEFT(L3279,2)="15",AND(LEFT(M3279,2)&lt;&gt;"15",LEFT(M3279,2)&lt;&gt;"33"))),"x","")</f>
        <v/>
      </c>
      <c r="V3279" s="525" t="str">
        <f>IF(AND(OR(LEFT(TH!L3279,2)="15",LEFT(TH!M3279,2)="15"),'152-CT'!$J$8=TH!F3279),"x","")</f>
        <v/>
      </c>
      <c r="W3279" s="525" t="str">
        <f>IF(AND(OR(LEFT(TH!L3279,2)="15",LEFT(TH!M3279,2)="15"),TK!$E$7=TH!F3279),"x","")</f>
        <v/>
      </c>
      <c r="X3279" s="525" t="str">
        <f>IF(AND('341-CT'!$E$9=H3279,OR(LEFT(L3279,3)=$X$7,LEFT(M3279,3)=$X$7)),"x","")</f>
        <v/>
      </c>
      <c r="Y3279" s="525" t="str">
        <f>IF(OR(TH!L3279=TH!$Y$7,M3279=TH!$Y$7),"x","")</f>
        <v/>
      </c>
      <c r="Z3279" s="525" t="str">
        <f>IF(AND(B3279&lt;=NKC!$N$8,B3279&gt;=NKC!$M$8),"x","")</f>
        <v/>
      </c>
      <c r="AA3279" s="526"/>
      <c r="AB3279" s="527"/>
      <c r="AC3279" s="527"/>
      <c r="AD3279" s="527"/>
    </row>
    <row r="3280" spans="1:30" s="576" customFormat="1" ht="15.75" customHeight="1">
      <c r="A3280" s="517" t="str">
        <f>IF(B3280&lt;&gt;"",IF(AND(B3280&gt;=_TM1,B3280&lt;=_TM2,OR(TH!L3280="1111",TH!M3280="1111")),TH!D3280,""),"")</f>
        <v/>
      </c>
      <c r="B3280" s="518">
        <f t="shared" si="319"/>
        <v>6</v>
      </c>
      <c r="C3280" s="571">
        <f t="shared" si="320"/>
        <v>42914</v>
      </c>
      <c r="D3280" s="571" t="s">
        <v>996</v>
      </c>
      <c r="E3280" s="571">
        <v>42914</v>
      </c>
      <c r="F3280" s="520" t="s">
        <v>665</v>
      </c>
      <c r="G3280" s="573" t="s">
        <v>1251</v>
      </c>
      <c r="H3280" s="574" t="s">
        <v>800</v>
      </c>
      <c r="I3280" s="523">
        <v>48</v>
      </c>
      <c r="J3280" s="523">
        <v>15043</v>
      </c>
      <c r="K3280" s="575">
        <f t="shared" si="321"/>
        <v>722064</v>
      </c>
      <c r="L3280" s="591" t="s">
        <v>160</v>
      </c>
      <c r="M3280" s="591" t="s">
        <v>292</v>
      </c>
      <c r="N3280" s="525" t="str">
        <f>IF(AND('331-CT'!$E$7=TH!H3280,OR(L3280="331",M3280="331")),"331",IF(AND(OR(L3280="131",M3280="131"),H3280='131-CT'!$E$7),"131",""))</f>
        <v/>
      </c>
      <c r="O3280" s="525" t="str">
        <f>IF(AND($B3280&gt;='111'!$N$11,$B3280&lt;='111'!$O$11,OR($L3280=$O$7,$M3280=$O$7)),"x","")</f>
        <v/>
      </c>
      <c r="P3280" s="525" t="str">
        <f>IF(AND($L3280=$O$7,$B3280&lt;'111'!$N$11),"x","")</f>
        <v/>
      </c>
      <c r="Q3280" s="525" t="str">
        <f>IF(AND($M3280=$O$7,$B3280&lt;'111'!$N$11),"x","")</f>
        <v/>
      </c>
      <c r="R3280" s="525" t="str">
        <f>IF(ISERROR(FIND('112'!$M$9,G3280,1)),"",IF((AND(FIND('112'!$M$9,G3280,1)&gt;=1,$B3280&gt;='112'!$N$8,$B3280&lt;='112'!$O$8,OR($L3280='112'!$I$6,$M3280='112'!$I$6))),"x",""))</f>
        <v/>
      </c>
      <c r="S3280" s="525" t="str">
        <f>IF(ISERROR(FIND('112'!$M$9,G3280,1)),"",IF((AND(LEFT(G3280,2)=LEFT('112'!$M$9,2),B3280&lt;'112'!$N$8,$L3280='112'!$I$6)),"x",""))</f>
        <v/>
      </c>
      <c r="T3280" s="525" t="str">
        <f>IF(ISERROR(FIND('112'!$M$9,G3280,1)),"",IF((AND(RIGHT(G3280,2)=RIGHT('112'!$M$9,2),B3280&lt;'112'!$N$8,$M3280='112'!$I$6)),"x",""))</f>
        <v/>
      </c>
      <c r="U3280" s="525" t="str">
        <f>IF(AND(B3280&gt;='IN-NX'!$P$3,B3280&lt;='IN-NX'!$Q$3,'IN-NX'!$D$7=D3280,OR(LEFT(L3280,2)="15",AND(LEFT(M3280,2)&lt;&gt;"15",LEFT(M3280,2)&lt;&gt;"33"))),"x","")</f>
        <v/>
      </c>
      <c r="V3280" s="525" t="str">
        <f>IF(AND(OR(LEFT(TH!L3280,2)="15",LEFT(TH!M3280,2)="15"),'152-CT'!$J$8=TH!F3280),"x","")</f>
        <v/>
      </c>
      <c r="W3280" s="525" t="str">
        <f>IF(AND(OR(LEFT(TH!L3280,2)="15",LEFT(TH!M3280,2)="15"),TK!$E$7=TH!F3280),"x","")</f>
        <v/>
      </c>
      <c r="X3280" s="525" t="str">
        <f>IF(AND('341-CT'!$E$9=H3280,OR(LEFT(L3280,3)=$X$7,LEFT(M3280,3)=$X$7)),"x","")</f>
        <v/>
      </c>
      <c r="Y3280" s="525" t="str">
        <f>IF(OR(TH!L3280=TH!$Y$7,M3280=TH!$Y$7),"x","")</f>
        <v/>
      </c>
      <c r="Z3280" s="525" t="str">
        <f>IF(AND(B3280&lt;=NKC!$N$8,B3280&gt;=NKC!$M$8),"x","")</f>
        <v/>
      </c>
      <c r="AA3280" s="526"/>
      <c r="AB3280" s="527"/>
      <c r="AC3280" s="527"/>
      <c r="AD3280" s="527"/>
    </row>
    <row r="3281" spans="1:30" s="576" customFormat="1" ht="15.75" customHeight="1">
      <c r="A3281" s="517" t="str">
        <f>IF(B3281&lt;&gt;"",IF(AND(B3281&gt;=_TM1,B3281&lt;=_TM2,OR(TH!L3281="1111",TH!M3281="1111")),TH!D3281,""),"")</f>
        <v/>
      </c>
      <c r="B3281" s="518">
        <f t="shared" si="319"/>
        <v>6</v>
      </c>
      <c r="C3281" s="571">
        <f t="shared" si="320"/>
        <v>42914</v>
      </c>
      <c r="D3281" s="571" t="s">
        <v>996</v>
      </c>
      <c r="E3281" s="571">
        <v>42914</v>
      </c>
      <c r="F3281" s="520" t="s">
        <v>708</v>
      </c>
      <c r="G3281" s="573" t="s">
        <v>1251</v>
      </c>
      <c r="H3281" s="574" t="s">
        <v>800</v>
      </c>
      <c r="I3281" s="523">
        <v>30</v>
      </c>
      <c r="J3281" s="523">
        <v>35977</v>
      </c>
      <c r="K3281" s="575">
        <f t="shared" si="321"/>
        <v>1079310</v>
      </c>
      <c r="L3281" s="591" t="s">
        <v>160</v>
      </c>
      <c r="M3281" s="591" t="s">
        <v>292</v>
      </c>
      <c r="N3281" s="525" t="str">
        <f>IF(AND('331-CT'!$E$7=TH!H3281,OR(L3281="331",M3281="331")),"331",IF(AND(OR(L3281="131",M3281="131"),H3281='131-CT'!$E$7),"131",""))</f>
        <v/>
      </c>
      <c r="O3281" s="525" t="str">
        <f>IF(AND($B3281&gt;='111'!$N$11,$B3281&lt;='111'!$O$11,OR($L3281=$O$7,$M3281=$O$7)),"x","")</f>
        <v/>
      </c>
      <c r="P3281" s="525" t="str">
        <f>IF(AND($L3281=$O$7,$B3281&lt;'111'!$N$11),"x","")</f>
        <v/>
      </c>
      <c r="Q3281" s="525" t="str">
        <f>IF(AND($M3281=$O$7,$B3281&lt;'111'!$N$11),"x","")</f>
        <v/>
      </c>
      <c r="R3281" s="525" t="str">
        <f>IF(ISERROR(FIND('112'!$M$9,G3281,1)),"",IF((AND(FIND('112'!$M$9,G3281,1)&gt;=1,$B3281&gt;='112'!$N$8,$B3281&lt;='112'!$O$8,OR($L3281='112'!$I$6,$M3281='112'!$I$6))),"x",""))</f>
        <v/>
      </c>
      <c r="S3281" s="525" t="str">
        <f>IF(ISERROR(FIND('112'!$M$9,G3281,1)),"",IF((AND(LEFT(G3281,2)=LEFT('112'!$M$9,2),B3281&lt;'112'!$N$8,$L3281='112'!$I$6)),"x",""))</f>
        <v/>
      </c>
      <c r="T3281" s="525" t="str">
        <f>IF(ISERROR(FIND('112'!$M$9,G3281,1)),"",IF((AND(RIGHT(G3281,2)=RIGHT('112'!$M$9,2),B3281&lt;'112'!$N$8,$M3281='112'!$I$6)),"x",""))</f>
        <v/>
      </c>
      <c r="U3281" s="525" t="str">
        <f>IF(AND(B3281&gt;='IN-NX'!$P$3,B3281&lt;='IN-NX'!$Q$3,'IN-NX'!$D$7=D3281,OR(LEFT(L3281,2)="15",AND(LEFT(M3281,2)&lt;&gt;"15",LEFT(M3281,2)&lt;&gt;"33"))),"x","")</f>
        <v/>
      </c>
      <c r="V3281" s="525" t="str">
        <f>IF(AND(OR(LEFT(TH!L3281,2)="15",LEFT(TH!M3281,2)="15"),'152-CT'!$J$8=TH!F3281),"x","")</f>
        <v/>
      </c>
      <c r="W3281" s="525" t="str">
        <f>IF(AND(OR(LEFT(TH!L3281,2)="15",LEFT(TH!M3281,2)="15"),TK!$E$7=TH!F3281),"x","")</f>
        <v/>
      </c>
      <c r="X3281" s="525" t="str">
        <f>IF(AND('341-CT'!$E$9=H3281,OR(LEFT(L3281,3)=$X$7,LEFT(M3281,3)=$X$7)),"x","")</f>
        <v/>
      </c>
      <c r="Y3281" s="525" t="str">
        <f>IF(OR(TH!L3281=TH!$Y$7,M3281=TH!$Y$7),"x","")</f>
        <v/>
      </c>
      <c r="Z3281" s="525" t="str">
        <f>IF(AND(B3281&lt;=NKC!$N$8,B3281&gt;=NKC!$M$8),"x","")</f>
        <v/>
      </c>
      <c r="AA3281" s="526"/>
      <c r="AB3281" s="527"/>
      <c r="AC3281" s="527"/>
      <c r="AD3281" s="527"/>
    </row>
    <row r="3282" spans="1:30" s="576" customFormat="1" ht="15.75" customHeight="1">
      <c r="A3282" s="517" t="str">
        <f>IF(B3282&lt;&gt;"",IF(AND(B3282&gt;=_TM1,B3282&lt;=_TM2,OR(TH!L3282="1111",TH!M3282="1111")),TH!D3282,""),"")</f>
        <v/>
      </c>
      <c r="B3282" s="518">
        <f t="shared" si="319"/>
        <v>6</v>
      </c>
      <c r="C3282" s="571">
        <f t="shared" si="320"/>
        <v>42914</v>
      </c>
      <c r="D3282" s="571" t="s">
        <v>996</v>
      </c>
      <c r="E3282" s="571">
        <v>42914</v>
      </c>
      <c r="F3282" s="520" t="s">
        <v>1225</v>
      </c>
      <c r="G3282" s="573" t="s">
        <v>1251</v>
      </c>
      <c r="H3282" s="574" t="s">
        <v>800</v>
      </c>
      <c r="I3282" s="523">
        <v>72</v>
      </c>
      <c r="J3282" s="523">
        <v>21062</v>
      </c>
      <c r="K3282" s="575">
        <f t="shared" si="321"/>
        <v>1516464</v>
      </c>
      <c r="L3282" s="591" t="s">
        <v>160</v>
      </c>
      <c r="M3282" s="591" t="s">
        <v>292</v>
      </c>
      <c r="N3282" s="525" t="str">
        <f>IF(AND('331-CT'!$E$7=TH!H3282,OR(L3282="331",M3282="331")),"331",IF(AND(OR(L3282="131",M3282="131"),H3282='131-CT'!$E$7),"131",""))</f>
        <v/>
      </c>
      <c r="O3282" s="525" t="str">
        <f>IF(AND($B3282&gt;='111'!$N$11,$B3282&lt;='111'!$O$11,OR($L3282=$O$7,$M3282=$O$7)),"x","")</f>
        <v/>
      </c>
      <c r="P3282" s="525" t="str">
        <f>IF(AND($L3282=$O$7,$B3282&lt;'111'!$N$11),"x","")</f>
        <v/>
      </c>
      <c r="Q3282" s="525" t="str">
        <f>IF(AND($M3282=$O$7,$B3282&lt;'111'!$N$11),"x","")</f>
        <v/>
      </c>
      <c r="R3282" s="525" t="str">
        <f>IF(ISERROR(FIND('112'!$M$9,G3282,1)),"",IF((AND(FIND('112'!$M$9,G3282,1)&gt;=1,$B3282&gt;='112'!$N$8,$B3282&lt;='112'!$O$8,OR($L3282='112'!$I$6,$M3282='112'!$I$6))),"x",""))</f>
        <v/>
      </c>
      <c r="S3282" s="525" t="str">
        <f>IF(ISERROR(FIND('112'!$M$9,G3282,1)),"",IF((AND(LEFT(G3282,2)=LEFT('112'!$M$9,2),B3282&lt;'112'!$N$8,$L3282='112'!$I$6)),"x",""))</f>
        <v/>
      </c>
      <c r="T3282" s="525" t="str">
        <f>IF(ISERROR(FIND('112'!$M$9,G3282,1)),"",IF((AND(RIGHT(G3282,2)=RIGHT('112'!$M$9,2),B3282&lt;'112'!$N$8,$M3282='112'!$I$6)),"x",""))</f>
        <v/>
      </c>
      <c r="U3282" s="525" t="str">
        <f>IF(AND(B3282&gt;='IN-NX'!$P$3,B3282&lt;='IN-NX'!$Q$3,'IN-NX'!$D$7=D3282,OR(LEFT(L3282,2)="15",AND(LEFT(M3282,2)&lt;&gt;"15",LEFT(M3282,2)&lt;&gt;"33"))),"x","")</f>
        <v/>
      </c>
      <c r="V3282" s="525" t="str">
        <f>IF(AND(OR(LEFT(TH!L3282,2)="15",LEFT(TH!M3282,2)="15"),'152-CT'!$J$8=TH!F3282),"x","")</f>
        <v/>
      </c>
      <c r="W3282" s="525" t="str">
        <f>IF(AND(OR(LEFT(TH!L3282,2)="15",LEFT(TH!M3282,2)="15"),TK!$E$7=TH!F3282),"x","")</f>
        <v/>
      </c>
      <c r="X3282" s="525" t="str">
        <f>IF(AND('341-CT'!$E$9=H3282,OR(LEFT(L3282,3)=$X$7,LEFT(M3282,3)=$X$7)),"x","")</f>
        <v/>
      </c>
      <c r="Y3282" s="525" t="str">
        <f>IF(OR(TH!L3282=TH!$Y$7,M3282=TH!$Y$7),"x","")</f>
        <v/>
      </c>
      <c r="Z3282" s="525" t="str">
        <f>IF(AND(B3282&lt;=NKC!$N$8,B3282&gt;=NKC!$M$8),"x","")</f>
        <v/>
      </c>
      <c r="AA3282" s="526"/>
      <c r="AB3282" s="527"/>
    </row>
    <row r="3283" spans="1:30" s="576" customFormat="1" ht="15.75" customHeight="1">
      <c r="A3283" s="517" t="str">
        <f>IF(B3283&lt;&gt;"",IF(AND(B3283&gt;=_TM1,B3283&lt;=_TM2,OR(TH!L3283="1111",TH!M3283="1111")),TH!D3283,""),"")</f>
        <v/>
      </c>
      <c r="B3283" s="518">
        <f t="shared" si="319"/>
        <v>6</v>
      </c>
      <c r="C3283" s="571">
        <f t="shared" si="320"/>
        <v>42914</v>
      </c>
      <c r="D3283" s="571" t="s">
        <v>996</v>
      </c>
      <c r="E3283" s="571">
        <v>42914</v>
      </c>
      <c r="F3283" s="520" t="s">
        <v>709</v>
      </c>
      <c r="G3283" s="573" t="s">
        <v>1251</v>
      </c>
      <c r="H3283" s="574" t="s">
        <v>800</v>
      </c>
      <c r="I3283" s="523">
        <v>30</v>
      </c>
      <c r="J3283" s="523">
        <v>40666</v>
      </c>
      <c r="K3283" s="575">
        <f t="shared" si="321"/>
        <v>1219980</v>
      </c>
      <c r="L3283" s="591" t="s">
        <v>160</v>
      </c>
      <c r="M3283" s="591" t="s">
        <v>292</v>
      </c>
      <c r="N3283" s="525" t="str">
        <f>IF(AND('331-CT'!$E$7=TH!H3283,OR(L3283="331",M3283="331")),"331",IF(AND(OR(L3283="131",M3283="131"),H3283='131-CT'!$E$7),"131",""))</f>
        <v/>
      </c>
      <c r="O3283" s="525" t="str">
        <f>IF(AND($B3283&gt;='111'!$N$11,$B3283&lt;='111'!$O$11,OR($L3283=$O$7,$M3283=$O$7)),"x","")</f>
        <v/>
      </c>
      <c r="P3283" s="525" t="str">
        <f>IF(AND($L3283=$O$7,$B3283&lt;'111'!$N$11),"x","")</f>
        <v/>
      </c>
      <c r="Q3283" s="525" t="str">
        <f>IF(AND($M3283=$O$7,$B3283&lt;'111'!$N$11),"x","")</f>
        <v/>
      </c>
      <c r="R3283" s="525" t="str">
        <f>IF(ISERROR(FIND('112'!$M$9,G3283,1)),"",IF((AND(FIND('112'!$M$9,G3283,1)&gt;=1,$B3283&gt;='112'!$N$8,$B3283&lt;='112'!$O$8,OR($L3283='112'!$I$6,$M3283='112'!$I$6))),"x",""))</f>
        <v/>
      </c>
      <c r="S3283" s="525" t="str">
        <f>IF(ISERROR(FIND('112'!$M$9,G3283,1)),"",IF((AND(LEFT(G3283,2)=LEFT('112'!$M$9,2),B3283&lt;'112'!$N$8,$L3283='112'!$I$6)),"x",""))</f>
        <v/>
      </c>
      <c r="T3283" s="525" t="str">
        <f>IF(ISERROR(FIND('112'!$M$9,G3283,1)),"",IF((AND(RIGHT(G3283,2)=RIGHT('112'!$M$9,2),B3283&lt;'112'!$N$8,$M3283='112'!$I$6)),"x",""))</f>
        <v/>
      </c>
      <c r="U3283" s="525" t="str">
        <f>IF(AND(B3283&gt;='IN-NX'!$P$3,B3283&lt;='IN-NX'!$Q$3,'IN-NX'!$D$7=D3283,OR(LEFT(L3283,2)="15",AND(LEFT(M3283,2)&lt;&gt;"15",LEFT(M3283,2)&lt;&gt;"33"))),"x","")</f>
        <v/>
      </c>
      <c r="V3283" s="525" t="str">
        <f>IF(AND(OR(LEFT(TH!L3283,2)="15",LEFT(TH!M3283,2)="15"),'152-CT'!$J$8=TH!F3283),"x","")</f>
        <v/>
      </c>
      <c r="W3283" s="525" t="str">
        <f>IF(AND(OR(LEFT(TH!L3283,2)="15",LEFT(TH!M3283,2)="15"),TK!$E$7=TH!F3283),"x","")</f>
        <v/>
      </c>
      <c r="X3283" s="525" t="str">
        <f>IF(AND('341-CT'!$E$9=H3283,OR(LEFT(L3283,3)=$X$7,LEFT(M3283,3)=$X$7)),"x","")</f>
        <v/>
      </c>
      <c r="Y3283" s="525" t="str">
        <f>IF(OR(TH!L3283=TH!$Y$7,M3283=TH!$Y$7),"x","")</f>
        <v/>
      </c>
      <c r="Z3283" s="525" t="str">
        <f>IF(AND(B3283&lt;=NKC!$N$8,B3283&gt;=NKC!$M$8),"x","")</f>
        <v/>
      </c>
      <c r="AA3283" s="526"/>
      <c r="AB3283" s="527"/>
    </row>
    <row r="3284" spans="1:30" s="576" customFormat="1" ht="15.75" customHeight="1">
      <c r="A3284" s="517" t="str">
        <f>IF(B3284&lt;&gt;"",IF(AND(B3284&gt;=_TM1,B3284&lt;=_TM2,OR(TH!L3284="1111",TH!M3284="1111")),TH!D3284,""),"")</f>
        <v/>
      </c>
      <c r="B3284" s="518">
        <f t="shared" si="319"/>
        <v>6</v>
      </c>
      <c r="C3284" s="571">
        <f t="shared" si="320"/>
        <v>42914</v>
      </c>
      <c r="D3284" s="571" t="s">
        <v>996</v>
      </c>
      <c r="E3284" s="571">
        <v>42914</v>
      </c>
      <c r="F3284" s="520" t="s">
        <v>1226</v>
      </c>
      <c r="G3284" s="573" t="s">
        <v>1251</v>
      </c>
      <c r="H3284" s="574" t="s">
        <v>800</v>
      </c>
      <c r="I3284" s="523">
        <v>24</v>
      </c>
      <c r="J3284" s="523">
        <v>18008</v>
      </c>
      <c r="K3284" s="575">
        <f t="shared" si="321"/>
        <v>432192</v>
      </c>
      <c r="L3284" s="591" t="s">
        <v>160</v>
      </c>
      <c r="M3284" s="591" t="s">
        <v>292</v>
      </c>
      <c r="N3284" s="525" t="str">
        <f>IF(AND('331-CT'!$E$7=TH!H3284,OR(L3284="331",M3284="331")),"331",IF(AND(OR(L3284="131",M3284="131"),H3284='131-CT'!$E$7),"131",""))</f>
        <v/>
      </c>
      <c r="O3284" s="525" t="str">
        <f>IF(AND($B3284&gt;='111'!$N$11,$B3284&lt;='111'!$O$11,OR($L3284=$O$7,$M3284=$O$7)),"x","")</f>
        <v/>
      </c>
      <c r="P3284" s="525" t="str">
        <f>IF(AND($L3284=$O$7,$B3284&lt;'111'!$N$11),"x","")</f>
        <v/>
      </c>
      <c r="Q3284" s="525" t="str">
        <f>IF(AND($M3284=$O$7,$B3284&lt;'111'!$N$11),"x","")</f>
        <v/>
      </c>
      <c r="R3284" s="525" t="str">
        <f>IF(ISERROR(FIND('112'!$M$9,G3284,1)),"",IF((AND(FIND('112'!$M$9,G3284,1)&gt;=1,$B3284&gt;='112'!$N$8,$B3284&lt;='112'!$O$8,OR($L3284='112'!$I$6,$M3284='112'!$I$6))),"x",""))</f>
        <v/>
      </c>
      <c r="S3284" s="525" t="str">
        <f>IF(ISERROR(FIND('112'!$M$9,G3284,1)),"",IF((AND(LEFT(G3284,2)=LEFT('112'!$M$9,2),B3284&lt;'112'!$N$8,$L3284='112'!$I$6)),"x",""))</f>
        <v/>
      </c>
      <c r="T3284" s="525" t="str">
        <f>IF(ISERROR(FIND('112'!$M$9,G3284,1)),"",IF((AND(RIGHT(G3284,2)=RIGHT('112'!$M$9,2),B3284&lt;'112'!$N$8,$M3284='112'!$I$6)),"x",""))</f>
        <v/>
      </c>
      <c r="U3284" s="525" t="str">
        <f>IF(AND(B3284&gt;='IN-NX'!$P$3,B3284&lt;='IN-NX'!$Q$3,'IN-NX'!$D$7=D3284,OR(LEFT(L3284,2)="15",AND(LEFT(M3284,2)&lt;&gt;"15",LEFT(M3284,2)&lt;&gt;"33"))),"x","")</f>
        <v/>
      </c>
      <c r="V3284" s="525" t="str">
        <f>IF(AND(OR(LEFT(TH!L3284,2)="15",LEFT(TH!M3284,2)="15"),'152-CT'!$J$8=TH!F3284),"x","")</f>
        <v/>
      </c>
      <c r="W3284" s="525" t="str">
        <f>IF(AND(OR(LEFT(TH!L3284,2)="15",LEFT(TH!M3284,2)="15"),TK!$E$7=TH!F3284),"x","")</f>
        <v/>
      </c>
      <c r="X3284" s="525" t="str">
        <f>IF(AND('341-CT'!$E$9=H3284,OR(LEFT(L3284,3)=$X$7,LEFT(M3284,3)=$X$7)),"x","")</f>
        <v/>
      </c>
      <c r="Y3284" s="525" t="str">
        <f>IF(OR(TH!L3284=TH!$Y$7,M3284=TH!$Y$7),"x","")</f>
        <v/>
      </c>
      <c r="Z3284" s="525" t="str">
        <f>IF(AND(B3284&lt;=NKC!$N$8,B3284&gt;=NKC!$M$8),"x","")</f>
        <v/>
      </c>
      <c r="AA3284" s="526"/>
      <c r="AB3284" s="527"/>
    </row>
    <row r="3285" spans="1:30" s="576" customFormat="1" ht="15.75" customHeight="1">
      <c r="A3285" s="517" t="str">
        <f>IF(B3285&lt;&gt;"",IF(AND(B3285&gt;=_TM1,B3285&lt;=_TM2,OR(TH!L3285="1111",TH!M3285="1111")),TH!D3285,""),"")</f>
        <v/>
      </c>
      <c r="B3285" s="518">
        <f t="shared" si="319"/>
        <v>6</v>
      </c>
      <c r="C3285" s="571">
        <f t="shared" si="320"/>
        <v>42914</v>
      </c>
      <c r="D3285" s="571" t="s">
        <v>996</v>
      </c>
      <c r="E3285" s="571">
        <v>42914</v>
      </c>
      <c r="F3285" s="520" t="s">
        <v>712</v>
      </c>
      <c r="G3285" s="573" t="s">
        <v>1251</v>
      </c>
      <c r="H3285" s="574" t="s">
        <v>800</v>
      </c>
      <c r="I3285" s="523">
        <v>72</v>
      </c>
      <c r="J3285" s="523">
        <v>39511</v>
      </c>
      <c r="K3285" s="575">
        <f t="shared" si="321"/>
        <v>2844792</v>
      </c>
      <c r="L3285" s="591" t="s">
        <v>160</v>
      </c>
      <c r="M3285" s="591" t="s">
        <v>292</v>
      </c>
      <c r="N3285" s="525" t="str">
        <f>IF(AND('331-CT'!$E$7=TH!H3285,OR(L3285="331",M3285="331")),"331",IF(AND(OR(L3285="131",M3285="131"),H3285='131-CT'!$E$7),"131",""))</f>
        <v/>
      </c>
      <c r="O3285" s="525" t="str">
        <f>IF(AND($B3285&gt;='111'!$N$11,$B3285&lt;='111'!$O$11,OR($L3285=$O$7,$M3285=$O$7)),"x","")</f>
        <v/>
      </c>
      <c r="P3285" s="525" t="str">
        <f>IF(AND($L3285=$O$7,$B3285&lt;'111'!$N$11),"x","")</f>
        <v/>
      </c>
      <c r="Q3285" s="525" t="str">
        <f>IF(AND($M3285=$O$7,$B3285&lt;'111'!$N$11),"x","")</f>
        <v/>
      </c>
      <c r="R3285" s="525" t="str">
        <f>IF(ISERROR(FIND('112'!$M$9,G3285,1)),"",IF((AND(FIND('112'!$M$9,G3285,1)&gt;=1,$B3285&gt;='112'!$N$8,$B3285&lt;='112'!$O$8,OR($L3285='112'!$I$6,$M3285='112'!$I$6))),"x",""))</f>
        <v/>
      </c>
      <c r="S3285" s="525" t="str">
        <f>IF(ISERROR(FIND('112'!$M$9,G3285,1)),"",IF((AND(LEFT(G3285,2)=LEFT('112'!$M$9,2),B3285&lt;'112'!$N$8,$L3285='112'!$I$6)),"x",""))</f>
        <v/>
      </c>
      <c r="T3285" s="525" t="str">
        <f>IF(ISERROR(FIND('112'!$M$9,G3285,1)),"",IF((AND(RIGHT(G3285,2)=RIGHT('112'!$M$9,2),B3285&lt;'112'!$N$8,$M3285='112'!$I$6)),"x",""))</f>
        <v/>
      </c>
      <c r="U3285" s="525" t="str">
        <f>IF(AND(B3285&gt;='IN-NX'!$P$3,B3285&lt;='IN-NX'!$Q$3,'IN-NX'!$D$7=D3285,OR(LEFT(L3285,2)="15",AND(LEFT(M3285,2)&lt;&gt;"15",LEFT(M3285,2)&lt;&gt;"33"))),"x","")</f>
        <v/>
      </c>
      <c r="V3285" s="525" t="str">
        <f>IF(AND(OR(LEFT(TH!L3285,2)="15",LEFT(TH!M3285,2)="15"),'152-CT'!$J$8=TH!F3285),"x","")</f>
        <v/>
      </c>
      <c r="W3285" s="525" t="str">
        <f>IF(AND(OR(LEFT(TH!L3285,2)="15",LEFT(TH!M3285,2)="15"),TK!$E$7=TH!F3285),"x","")</f>
        <v/>
      </c>
      <c r="X3285" s="525" t="str">
        <f>IF(AND('341-CT'!$E$9=H3285,OR(LEFT(L3285,3)=$X$7,LEFT(M3285,3)=$X$7)),"x","")</f>
        <v/>
      </c>
      <c r="Y3285" s="525" t="str">
        <f>IF(OR(TH!L3285=TH!$Y$7,M3285=TH!$Y$7),"x","")</f>
        <v/>
      </c>
      <c r="Z3285" s="525" t="str">
        <f>IF(AND(B3285&lt;=NKC!$N$8,B3285&gt;=NKC!$M$8),"x","")</f>
        <v/>
      </c>
      <c r="AA3285" s="526"/>
      <c r="AB3285" s="527"/>
    </row>
    <row r="3286" spans="1:30" s="576" customFormat="1" ht="15.75" customHeight="1">
      <c r="A3286" s="517" t="str">
        <f>IF(B3286&lt;&gt;"",IF(AND(B3286&gt;=_TM1,B3286&lt;=_TM2,OR(TH!L3286="1111",TH!M3286="1111")),TH!D3286,""),"")</f>
        <v/>
      </c>
      <c r="B3286" s="518">
        <f t="shared" si="319"/>
        <v>6</v>
      </c>
      <c r="C3286" s="571">
        <f t="shared" si="320"/>
        <v>42914</v>
      </c>
      <c r="D3286" s="571" t="s">
        <v>996</v>
      </c>
      <c r="E3286" s="571">
        <v>42914</v>
      </c>
      <c r="F3286" s="520" t="s">
        <v>1227</v>
      </c>
      <c r="G3286" s="573" t="s">
        <v>1251</v>
      </c>
      <c r="H3286" s="574" t="s">
        <v>800</v>
      </c>
      <c r="I3286" s="523">
        <v>11</v>
      </c>
      <c r="J3286" s="523">
        <v>21969</v>
      </c>
      <c r="K3286" s="575">
        <f t="shared" si="321"/>
        <v>241659</v>
      </c>
      <c r="L3286" s="591" t="s">
        <v>160</v>
      </c>
      <c r="M3286" s="591" t="s">
        <v>292</v>
      </c>
      <c r="N3286" s="525" t="str">
        <f>IF(AND('331-CT'!$E$7=TH!H3286,OR(L3286="331",M3286="331")),"331",IF(AND(OR(L3286="131",M3286="131"),H3286='131-CT'!$E$7),"131",""))</f>
        <v/>
      </c>
      <c r="O3286" s="525" t="str">
        <f>IF(AND($B3286&gt;='111'!$N$11,$B3286&lt;='111'!$O$11,OR($L3286=$O$7,$M3286=$O$7)),"x","")</f>
        <v/>
      </c>
      <c r="P3286" s="525" t="str">
        <f>IF(AND($L3286=$O$7,$B3286&lt;'111'!$N$11),"x","")</f>
        <v/>
      </c>
      <c r="Q3286" s="525" t="str">
        <f>IF(AND($M3286=$O$7,$B3286&lt;'111'!$N$11),"x","")</f>
        <v/>
      </c>
      <c r="R3286" s="525" t="str">
        <f>IF(ISERROR(FIND('112'!$M$9,G3286,1)),"",IF((AND(FIND('112'!$M$9,G3286,1)&gt;=1,$B3286&gt;='112'!$N$8,$B3286&lt;='112'!$O$8,OR($L3286='112'!$I$6,$M3286='112'!$I$6))),"x",""))</f>
        <v/>
      </c>
      <c r="S3286" s="525" t="str">
        <f>IF(ISERROR(FIND('112'!$M$9,G3286,1)),"",IF((AND(LEFT(G3286,2)=LEFT('112'!$M$9,2),B3286&lt;'112'!$N$8,$L3286='112'!$I$6)),"x",""))</f>
        <v/>
      </c>
      <c r="T3286" s="525" t="str">
        <f>IF(ISERROR(FIND('112'!$M$9,G3286,1)),"",IF((AND(RIGHT(G3286,2)=RIGHT('112'!$M$9,2),B3286&lt;'112'!$N$8,$M3286='112'!$I$6)),"x",""))</f>
        <v/>
      </c>
      <c r="U3286" s="525" t="str">
        <f>IF(AND(B3286&gt;='IN-NX'!$P$3,B3286&lt;='IN-NX'!$Q$3,'IN-NX'!$D$7=D3286,OR(LEFT(L3286,2)="15",AND(LEFT(M3286,2)&lt;&gt;"15",LEFT(M3286,2)&lt;&gt;"33"))),"x","")</f>
        <v/>
      </c>
      <c r="V3286" s="525" t="str">
        <f>IF(AND(OR(LEFT(TH!L3286,2)="15",LEFT(TH!M3286,2)="15"),'152-CT'!$J$8=TH!F3286),"x","")</f>
        <v/>
      </c>
      <c r="W3286" s="525" t="str">
        <f>IF(AND(OR(LEFT(TH!L3286,2)="15",LEFT(TH!M3286,2)="15"),TK!$E$7=TH!F3286),"x","")</f>
        <v/>
      </c>
      <c r="X3286" s="525" t="str">
        <f>IF(AND('341-CT'!$E$9=H3286,OR(LEFT(L3286,3)=$X$7,LEFT(M3286,3)=$X$7)),"x","")</f>
        <v/>
      </c>
      <c r="Y3286" s="525" t="str">
        <f>IF(OR(TH!L3286=TH!$Y$7,M3286=TH!$Y$7),"x","")</f>
        <v/>
      </c>
      <c r="Z3286" s="525" t="str">
        <f>IF(AND(B3286&lt;=NKC!$N$8,B3286&gt;=NKC!$M$8),"x","")</f>
        <v/>
      </c>
      <c r="AA3286" s="526"/>
      <c r="AB3286" s="527"/>
    </row>
    <row r="3287" spans="1:30" s="576" customFormat="1" ht="15.75" customHeight="1">
      <c r="A3287" s="517" t="str">
        <f>IF(B3287&lt;&gt;"",IF(AND(B3287&gt;=_TM1,B3287&lt;=_TM2,OR(TH!L3287="1111",TH!M3287="1111")),TH!D3287,""),"")</f>
        <v/>
      </c>
      <c r="B3287" s="518">
        <f t="shared" si="319"/>
        <v>6</v>
      </c>
      <c r="C3287" s="571">
        <f t="shared" si="320"/>
        <v>42914</v>
      </c>
      <c r="D3287" s="571" t="s">
        <v>996</v>
      </c>
      <c r="E3287" s="571">
        <v>42914</v>
      </c>
      <c r="F3287" s="520" t="s">
        <v>713</v>
      </c>
      <c r="G3287" s="573" t="s">
        <v>1251</v>
      </c>
      <c r="H3287" s="574" t="s">
        <v>800</v>
      </c>
      <c r="I3287" s="523">
        <v>30</v>
      </c>
      <c r="J3287" s="523">
        <v>33376</v>
      </c>
      <c r="K3287" s="575">
        <f t="shared" si="321"/>
        <v>1001280</v>
      </c>
      <c r="L3287" s="591" t="s">
        <v>160</v>
      </c>
      <c r="M3287" s="591" t="s">
        <v>292</v>
      </c>
      <c r="N3287" s="525" t="str">
        <f>IF(AND('331-CT'!$E$7=TH!H3287,OR(L3287="331",M3287="331")),"331",IF(AND(OR(L3287="131",M3287="131"),H3287='131-CT'!$E$7),"131",""))</f>
        <v/>
      </c>
      <c r="O3287" s="525" t="str">
        <f>IF(AND($B3287&gt;='111'!$N$11,$B3287&lt;='111'!$O$11,OR($L3287=$O$7,$M3287=$O$7)),"x","")</f>
        <v/>
      </c>
      <c r="P3287" s="525" t="str">
        <f>IF(AND($L3287=$O$7,$B3287&lt;'111'!$N$11),"x","")</f>
        <v/>
      </c>
      <c r="Q3287" s="525" t="str">
        <f>IF(AND($M3287=$O$7,$B3287&lt;'111'!$N$11),"x","")</f>
        <v/>
      </c>
      <c r="R3287" s="525" t="str">
        <f>IF(ISERROR(FIND('112'!$M$9,G3287,1)),"",IF((AND(FIND('112'!$M$9,G3287,1)&gt;=1,$B3287&gt;='112'!$N$8,$B3287&lt;='112'!$O$8,OR($L3287='112'!$I$6,$M3287='112'!$I$6))),"x",""))</f>
        <v/>
      </c>
      <c r="S3287" s="525" t="str">
        <f>IF(ISERROR(FIND('112'!$M$9,G3287,1)),"",IF((AND(LEFT(G3287,2)=LEFT('112'!$M$9,2),B3287&lt;'112'!$N$8,$L3287='112'!$I$6)),"x",""))</f>
        <v/>
      </c>
      <c r="T3287" s="525" t="str">
        <f>IF(ISERROR(FIND('112'!$M$9,G3287,1)),"",IF((AND(RIGHT(G3287,2)=RIGHT('112'!$M$9,2),B3287&lt;'112'!$N$8,$M3287='112'!$I$6)),"x",""))</f>
        <v/>
      </c>
      <c r="U3287" s="525" t="str">
        <f>IF(AND(B3287&gt;='IN-NX'!$P$3,B3287&lt;='IN-NX'!$Q$3,'IN-NX'!$D$7=D3287,OR(LEFT(L3287,2)="15",AND(LEFT(M3287,2)&lt;&gt;"15",LEFT(M3287,2)&lt;&gt;"33"))),"x","")</f>
        <v/>
      </c>
      <c r="V3287" s="525" t="str">
        <f>IF(AND(OR(LEFT(TH!L3287,2)="15",LEFT(TH!M3287,2)="15"),'152-CT'!$J$8=TH!F3287),"x","")</f>
        <v/>
      </c>
      <c r="W3287" s="525" t="str">
        <f>IF(AND(OR(LEFT(TH!L3287,2)="15",LEFT(TH!M3287,2)="15"),TK!$E$7=TH!F3287),"x","")</f>
        <v/>
      </c>
      <c r="X3287" s="525" t="str">
        <f>IF(AND('341-CT'!$E$9=H3287,OR(LEFT(L3287,3)=$X$7,LEFT(M3287,3)=$X$7)),"x","")</f>
        <v/>
      </c>
      <c r="Y3287" s="525" t="str">
        <f>IF(OR(TH!L3287=TH!$Y$7,M3287=TH!$Y$7),"x","")</f>
        <v/>
      </c>
      <c r="Z3287" s="525" t="str">
        <f>IF(AND(B3287&lt;=NKC!$N$8,B3287&gt;=NKC!$M$8),"x","")</f>
        <v/>
      </c>
      <c r="AA3287" s="526"/>
    </row>
    <row r="3288" spans="1:30" s="576" customFormat="1" ht="15.75" customHeight="1">
      <c r="A3288" s="517" t="str">
        <f>IF(B3288&lt;&gt;"",IF(AND(B3288&gt;=_TM1,B3288&lt;=_TM2,OR(TH!L3288="1111",TH!M3288="1111")),TH!D3288,""),"")</f>
        <v/>
      </c>
      <c r="B3288" s="518">
        <f t="shared" si="319"/>
        <v>6</v>
      </c>
      <c r="C3288" s="571">
        <f t="shared" si="320"/>
        <v>42914</v>
      </c>
      <c r="D3288" s="571" t="s">
        <v>996</v>
      </c>
      <c r="E3288" s="571">
        <v>42914</v>
      </c>
      <c r="F3288" s="520" t="s">
        <v>761</v>
      </c>
      <c r="G3288" s="573" t="s">
        <v>1251</v>
      </c>
      <c r="H3288" s="574" t="s">
        <v>800</v>
      </c>
      <c r="I3288" s="523">
        <v>18</v>
      </c>
      <c r="J3288" s="523">
        <v>39071</v>
      </c>
      <c r="K3288" s="575">
        <f t="shared" si="321"/>
        <v>703278</v>
      </c>
      <c r="L3288" s="591" t="s">
        <v>160</v>
      </c>
      <c r="M3288" s="591" t="s">
        <v>292</v>
      </c>
      <c r="N3288" s="525" t="str">
        <f>IF(AND('331-CT'!$E$7=TH!H3288,OR(L3288="331",M3288="331")),"331",IF(AND(OR(L3288="131",M3288="131"),H3288='131-CT'!$E$7),"131",""))</f>
        <v/>
      </c>
      <c r="O3288" s="525" t="str">
        <f>IF(AND($B3288&gt;='111'!$N$11,$B3288&lt;='111'!$O$11,OR($L3288=$O$7,$M3288=$O$7)),"x","")</f>
        <v/>
      </c>
      <c r="P3288" s="525" t="str">
        <f>IF(AND($L3288=$O$7,$B3288&lt;'111'!$N$11),"x","")</f>
        <v/>
      </c>
      <c r="Q3288" s="525" t="str">
        <f>IF(AND($M3288=$O$7,$B3288&lt;'111'!$N$11),"x","")</f>
        <v/>
      </c>
      <c r="R3288" s="525" t="str">
        <f>IF(ISERROR(FIND('112'!$M$9,G3288,1)),"",IF((AND(FIND('112'!$M$9,G3288,1)&gt;=1,$B3288&gt;='112'!$N$8,$B3288&lt;='112'!$O$8,OR($L3288='112'!$I$6,$M3288='112'!$I$6))),"x",""))</f>
        <v/>
      </c>
      <c r="S3288" s="525" t="str">
        <f>IF(ISERROR(FIND('112'!$M$9,G3288,1)),"",IF((AND(LEFT(G3288,2)=LEFT('112'!$M$9,2),B3288&lt;'112'!$N$8,$L3288='112'!$I$6)),"x",""))</f>
        <v/>
      </c>
      <c r="T3288" s="525" t="str">
        <f>IF(ISERROR(FIND('112'!$M$9,G3288,1)),"",IF((AND(RIGHT(G3288,2)=RIGHT('112'!$M$9,2),B3288&lt;'112'!$N$8,$M3288='112'!$I$6)),"x",""))</f>
        <v/>
      </c>
      <c r="U3288" s="525" t="str">
        <f>IF(AND(B3288&gt;='IN-NX'!$P$3,B3288&lt;='IN-NX'!$Q$3,'IN-NX'!$D$7=D3288,OR(LEFT(L3288,2)="15",AND(LEFT(M3288,2)&lt;&gt;"15",LEFT(M3288,2)&lt;&gt;"33"))),"x","")</f>
        <v/>
      </c>
      <c r="V3288" s="525" t="str">
        <f>IF(AND(OR(LEFT(TH!L3288,2)="15",LEFT(TH!M3288,2)="15"),'152-CT'!$J$8=TH!F3288),"x","")</f>
        <v/>
      </c>
      <c r="W3288" s="525" t="str">
        <f>IF(AND(OR(LEFT(TH!L3288,2)="15",LEFT(TH!M3288,2)="15"),TK!$E$7=TH!F3288),"x","")</f>
        <v/>
      </c>
      <c r="X3288" s="525" t="str">
        <f>IF(AND('341-CT'!$E$9=H3288,OR(LEFT(L3288,3)=$X$7,LEFT(M3288,3)=$X$7)),"x","")</f>
        <v/>
      </c>
      <c r="Y3288" s="525" t="str">
        <f>IF(OR(TH!L3288=TH!$Y$7,M3288=TH!$Y$7),"x","")</f>
        <v/>
      </c>
      <c r="Z3288" s="525" t="str">
        <f>IF(AND(B3288&lt;=NKC!$N$8,B3288&gt;=NKC!$M$8),"x","")</f>
        <v/>
      </c>
      <c r="AA3288" s="526"/>
      <c r="AB3288" s="527"/>
    </row>
    <row r="3289" spans="1:30" s="576" customFormat="1" ht="15.75" customHeight="1">
      <c r="A3289" s="517" t="str">
        <f>IF(B3289&lt;&gt;"",IF(AND(B3289&gt;=_TM1,B3289&lt;=_TM2,OR(TH!L3289="1111",TH!M3289="1111")),TH!D3289,""),"")</f>
        <v/>
      </c>
      <c r="B3289" s="518">
        <f t="shared" si="319"/>
        <v>6</v>
      </c>
      <c r="C3289" s="571">
        <f t="shared" si="320"/>
        <v>42914</v>
      </c>
      <c r="D3289" s="571" t="s">
        <v>996</v>
      </c>
      <c r="E3289" s="571">
        <v>42914</v>
      </c>
      <c r="F3289" s="520" t="s">
        <v>1228</v>
      </c>
      <c r="G3289" s="573" t="s">
        <v>1251</v>
      </c>
      <c r="H3289" s="574" t="s">
        <v>800</v>
      </c>
      <c r="I3289" s="523">
        <v>60</v>
      </c>
      <c r="J3289" s="523">
        <v>13253</v>
      </c>
      <c r="K3289" s="575">
        <f t="shared" si="321"/>
        <v>795180</v>
      </c>
      <c r="L3289" s="591" t="s">
        <v>160</v>
      </c>
      <c r="M3289" s="591" t="s">
        <v>292</v>
      </c>
      <c r="N3289" s="525" t="str">
        <f>IF(AND('331-CT'!$E$7=TH!H3289,OR(L3289="331",M3289="331")),"331",IF(AND(OR(L3289="131",M3289="131"),H3289='131-CT'!$E$7),"131",""))</f>
        <v/>
      </c>
      <c r="O3289" s="525" t="str">
        <f>IF(AND($B3289&gt;='111'!$N$11,$B3289&lt;='111'!$O$11,OR($L3289=$O$7,$M3289=$O$7)),"x","")</f>
        <v/>
      </c>
      <c r="P3289" s="525" t="str">
        <f>IF(AND($L3289=$O$7,$B3289&lt;'111'!$N$11),"x","")</f>
        <v/>
      </c>
      <c r="Q3289" s="525" t="str">
        <f>IF(AND($M3289=$O$7,$B3289&lt;'111'!$N$11),"x","")</f>
        <v/>
      </c>
      <c r="R3289" s="525" t="str">
        <f>IF(ISERROR(FIND('112'!$M$9,G3289,1)),"",IF((AND(FIND('112'!$M$9,G3289,1)&gt;=1,$B3289&gt;='112'!$N$8,$B3289&lt;='112'!$O$8,OR($L3289='112'!$I$6,$M3289='112'!$I$6))),"x",""))</f>
        <v/>
      </c>
      <c r="S3289" s="525" t="str">
        <f>IF(ISERROR(FIND('112'!$M$9,G3289,1)),"",IF((AND(LEFT(G3289,2)=LEFT('112'!$M$9,2),B3289&lt;'112'!$N$8,$L3289='112'!$I$6)),"x",""))</f>
        <v/>
      </c>
      <c r="T3289" s="525" t="str">
        <f>IF(ISERROR(FIND('112'!$M$9,G3289,1)),"",IF((AND(RIGHT(G3289,2)=RIGHT('112'!$M$9,2),B3289&lt;'112'!$N$8,$M3289='112'!$I$6)),"x",""))</f>
        <v/>
      </c>
      <c r="U3289" s="525" t="str">
        <f>IF(AND(B3289&gt;='IN-NX'!$P$3,B3289&lt;='IN-NX'!$Q$3,'IN-NX'!$D$7=D3289,OR(LEFT(L3289,2)="15",AND(LEFT(M3289,2)&lt;&gt;"15",LEFT(M3289,2)&lt;&gt;"33"))),"x","")</f>
        <v/>
      </c>
      <c r="V3289" s="525" t="str">
        <f>IF(AND(OR(LEFT(TH!L3289,2)="15",LEFT(TH!M3289,2)="15"),'152-CT'!$J$8=TH!F3289),"x","")</f>
        <v/>
      </c>
      <c r="W3289" s="525" t="str">
        <f>IF(AND(OR(LEFT(TH!L3289,2)="15",LEFT(TH!M3289,2)="15"),TK!$E$7=TH!F3289),"x","")</f>
        <v/>
      </c>
      <c r="X3289" s="525" t="str">
        <f>IF(AND('341-CT'!$E$9=H3289,OR(LEFT(L3289,3)=$X$7,LEFT(M3289,3)=$X$7)),"x","")</f>
        <v/>
      </c>
      <c r="Y3289" s="525" t="str">
        <f>IF(OR(TH!L3289=TH!$Y$7,M3289=TH!$Y$7),"x","")</f>
        <v/>
      </c>
      <c r="Z3289" s="525" t="str">
        <f>IF(AND(B3289&lt;=NKC!$N$8,B3289&gt;=NKC!$M$8),"x","")</f>
        <v/>
      </c>
      <c r="AA3289" s="526"/>
      <c r="AB3289" s="527"/>
    </row>
    <row r="3290" spans="1:30" s="576" customFormat="1" ht="15.75" customHeight="1">
      <c r="A3290" s="517" t="str">
        <f>IF(B3290&lt;&gt;"",IF(AND(B3290&gt;=_TM1,B3290&lt;=_TM2,OR(TH!L3290="1111",TH!M3290="1111")),TH!D3290,""),"")</f>
        <v/>
      </c>
      <c r="B3290" s="518">
        <f t="shared" si="319"/>
        <v>6</v>
      </c>
      <c r="C3290" s="571">
        <f t="shared" si="320"/>
        <v>42914</v>
      </c>
      <c r="D3290" s="571" t="s">
        <v>996</v>
      </c>
      <c r="E3290" s="571">
        <v>42914</v>
      </c>
      <c r="F3290" s="520" t="s">
        <v>728</v>
      </c>
      <c r="G3290" s="573" t="s">
        <v>1251</v>
      </c>
      <c r="H3290" s="574" t="s">
        <v>800</v>
      </c>
      <c r="I3290" s="523">
        <v>30</v>
      </c>
      <c r="J3290" s="523">
        <v>20736</v>
      </c>
      <c r="K3290" s="575">
        <f t="shared" si="321"/>
        <v>622080</v>
      </c>
      <c r="L3290" s="591" t="s">
        <v>160</v>
      </c>
      <c r="M3290" s="591" t="s">
        <v>292</v>
      </c>
      <c r="N3290" s="525" t="str">
        <f>IF(AND('331-CT'!$E$7=TH!H3290,OR(L3290="331",M3290="331")),"331",IF(AND(OR(L3290="131",M3290="131"),H3290='131-CT'!$E$7),"131",""))</f>
        <v/>
      </c>
      <c r="O3290" s="525" t="str">
        <f>IF(AND($B3290&gt;='111'!$N$11,$B3290&lt;='111'!$O$11,OR($L3290=$O$7,$M3290=$O$7)),"x","")</f>
        <v/>
      </c>
      <c r="P3290" s="525" t="str">
        <f>IF(AND($L3290=$O$7,$B3290&lt;'111'!$N$11),"x","")</f>
        <v/>
      </c>
      <c r="Q3290" s="525" t="str">
        <f>IF(AND($M3290=$O$7,$B3290&lt;'111'!$N$11),"x","")</f>
        <v/>
      </c>
      <c r="R3290" s="525" t="str">
        <f>IF(ISERROR(FIND('112'!$M$9,G3290,1)),"",IF((AND(FIND('112'!$M$9,G3290,1)&gt;=1,$B3290&gt;='112'!$N$8,$B3290&lt;='112'!$O$8,OR($L3290='112'!$I$6,$M3290='112'!$I$6))),"x",""))</f>
        <v/>
      </c>
      <c r="S3290" s="525" t="str">
        <f>IF(ISERROR(FIND('112'!$M$9,G3290,1)),"",IF((AND(LEFT(G3290,2)=LEFT('112'!$M$9,2),B3290&lt;'112'!$N$8,$L3290='112'!$I$6)),"x",""))</f>
        <v/>
      </c>
      <c r="T3290" s="525" t="str">
        <f>IF(ISERROR(FIND('112'!$M$9,G3290,1)),"",IF((AND(RIGHT(G3290,2)=RIGHT('112'!$M$9,2),B3290&lt;'112'!$N$8,$M3290='112'!$I$6)),"x",""))</f>
        <v/>
      </c>
      <c r="U3290" s="525" t="str">
        <f>IF(AND(B3290&gt;='IN-NX'!$P$3,B3290&lt;='IN-NX'!$Q$3,'IN-NX'!$D$7=D3290,OR(LEFT(L3290,2)="15",AND(LEFT(M3290,2)&lt;&gt;"15",LEFT(M3290,2)&lt;&gt;"33"))),"x","")</f>
        <v/>
      </c>
      <c r="V3290" s="525" t="str">
        <f>IF(AND(OR(LEFT(TH!L3290,2)="15",LEFT(TH!M3290,2)="15"),'152-CT'!$J$8=TH!F3290),"x","")</f>
        <v/>
      </c>
      <c r="W3290" s="525" t="str">
        <f>IF(AND(OR(LEFT(TH!L3290,2)="15",LEFT(TH!M3290,2)="15"),TK!$E$7=TH!F3290),"x","")</f>
        <v/>
      </c>
      <c r="X3290" s="525" t="str">
        <f>IF(AND('341-CT'!$E$9=H3290,OR(LEFT(L3290,3)=$X$7,LEFT(M3290,3)=$X$7)),"x","")</f>
        <v/>
      </c>
      <c r="Y3290" s="525" t="str">
        <f>IF(OR(TH!L3290=TH!$Y$7,M3290=TH!$Y$7),"x","")</f>
        <v/>
      </c>
      <c r="Z3290" s="525" t="str">
        <f>IF(AND(B3290&lt;=NKC!$N$8,B3290&gt;=NKC!$M$8),"x","")</f>
        <v/>
      </c>
      <c r="AA3290" s="526"/>
      <c r="AB3290" s="527"/>
    </row>
    <row r="3291" spans="1:30" s="576" customFormat="1" ht="15.75" customHeight="1">
      <c r="A3291" s="517" t="str">
        <f>IF(B3291&lt;&gt;"",IF(AND(B3291&gt;=_TM1,B3291&lt;=_TM2,OR(TH!L3291="1111",TH!M3291="1111")),TH!D3291,""),"")</f>
        <v/>
      </c>
      <c r="B3291" s="518">
        <f t="shared" si="319"/>
        <v>6</v>
      </c>
      <c r="C3291" s="571">
        <f t="shared" si="320"/>
        <v>42914</v>
      </c>
      <c r="D3291" s="571" t="s">
        <v>996</v>
      </c>
      <c r="E3291" s="571">
        <v>42914</v>
      </c>
      <c r="F3291" s="520" t="s">
        <v>1166</v>
      </c>
      <c r="G3291" s="573" t="s">
        <v>1251</v>
      </c>
      <c r="H3291" s="574" t="s">
        <v>800</v>
      </c>
      <c r="I3291" s="523">
        <v>6</v>
      </c>
      <c r="J3291" s="523">
        <v>13549</v>
      </c>
      <c r="K3291" s="575">
        <f t="shared" si="321"/>
        <v>81294</v>
      </c>
      <c r="L3291" s="591" t="s">
        <v>160</v>
      </c>
      <c r="M3291" s="591" t="s">
        <v>292</v>
      </c>
      <c r="N3291" s="525" t="str">
        <f>IF(AND('331-CT'!$E$7=TH!H3291,OR(L3291="331",M3291="331")),"331",IF(AND(OR(L3291="131",M3291="131"),H3291='131-CT'!$E$7),"131",""))</f>
        <v/>
      </c>
      <c r="O3291" s="525" t="str">
        <f>IF(AND($B3291&gt;='111'!$N$11,$B3291&lt;='111'!$O$11,OR($L3291=$O$7,$M3291=$O$7)),"x","")</f>
        <v/>
      </c>
      <c r="P3291" s="525" t="str">
        <f>IF(AND($L3291=$O$7,$B3291&lt;'111'!$N$11),"x","")</f>
        <v/>
      </c>
      <c r="Q3291" s="525" t="str">
        <f>IF(AND($M3291=$O$7,$B3291&lt;'111'!$N$11),"x","")</f>
        <v/>
      </c>
      <c r="R3291" s="525" t="str">
        <f>IF(ISERROR(FIND('112'!$M$9,G3291,1)),"",IF((AND(FIND('112'!$M$9,G3291,1)&gt;=1,$B3291&gt;='112'!$N$8,$B3291&lt;='112'!$O$8,OR($L3291='112'!$I$6,$M3291='112'!$I$6))),"x",""))</f>
        <v/>
      </c>
      <c r="S3291" s="525" t="str">
        <f>IF(ISERROR(FIND('112'!$M$9,G3291,1)),"",IF((AND(LEFT(G3291,2)=LEFT('112'!$M$9,2),B3291&lt;'112'!$N$8,$L3291='112'!$I$6)),"x",""))</f>
        <v/>
      </c>
      <c r="T3291" s="525" t="str">
        <f>IF(ISERROR(FIND('112'!$M$9,G3291,1)),"",IF((AND(RIGHT(G3291,2)=RIGHT('112'!$M$9,2),B3291&lt;'112'!$N$8,$M3291='112'!$I$6)),"x",""))</f>
        <v/>
      </c>
      <c r="U3291" s="525" t="str">
        <f>IF(AND(B3291&gt;='IN-NX'!$P$3,B3291&lt;='IN-NX'!$Q$3,'IN-NX'!$D$7=D3291,OR(LEFT(L3291,2)="15",AND(LEFT(M3291,2)&lt;&gt;"15",LEFT(M3291,2)&lt;&gt;"33"))),"x","")</f>
        <v/>
      </c>
      <c r="V3291" s="525" t="str">
        <f>IF(AND(OR(LEFT(TH!L3291,2)="15",LEFT(TH!M3291,2)="15"),'152-CT'!$J$8=TH!F3291),"x","")</f>
        <v/>
      </c>
      <c r="W3291" s="525" t="str">
        <f>IF(AND(OR(LEFT(TH!L3291,2)="15",LEFT(TH!M3291,2)="15"),TK!$E$7=TH!F3291),"x","")</f>
        <v/>
      </c>
      <c r="X3291" s="525" t="str">
        <f>IF(AND('341-CT'!$E$9=H3291,OR(LEFT(L3291,3)=$X$7,LEFT(M3291,3)=$X$7)),"x","")</f>
        <v/>
      </c>
      <c r="Y3291" s="525" t="str">
        <f>IF(OR(TH!L3291=TH!$Y$7,M3291=TH!$Y$7),"x","")</f>
        <v/>
      </c>
      <c r="Z3291" s="525" t="str">
        <f>IF(AND(B3291&lt;=NKC!$N$8,B3291&gt;=NKC!$M$8),"x","")</f>
        <v/>
      </c>
      <c r="AA3291" s="526"/>
      <c r="AB3291" s="527"/>
    </row>
    <row r="3292" spans="1:30" s="576" customFormat="1" ht="15.75" customHeight="1">
      <c r="A3292" s="517" t="str">
        <f>IF(B3292&lt;&gt;"",IF(AND(B3292&gt;=_TM1,B3292&lt;=_TM2,OR(TH!L3292="1111",TH!M3292="1111")),TH!D3292,""),"")</f>
        <v/>
      </c>
      <c r="B3292" s="518">
        <f t="shared" si="319"/>
        <v>6</v>
      </c>
      <c r="C3292" s="571">
        <f t="shared" si="320"/>
        <v>42914</v>
      </c>
      <c r="D3292" s="571" t="s">
        <v>996</v>
      </c>
      <c r="E3292" s="571">
        <v>42914</v>
      </c>
      <c r="F3292" s="520" t="s">
        <v>1043</v>
      </c>
      <c r="G3292" s="573" t="s">
        <v>1251</v>
      </c>
      <c r="H3292" s="574" t="s">
        <v>800</v>
      </c>
      <c r="I3292" s="523">
        <v>6</v>
      </c>
      <c r="J3292" s="523">
        <v>25597</v>
      </c>
      <c r="K3292" s="575">
        <f t="shared" si="321"/>
        <v>153582</v>
      </c>
      <c r="L3292" s="591" t="s">
        <v>160</v>
      </c>
      <c r="M3292" s="591" t="s">
        <v>292</v>
      </c>
      <c r="N3292" s="525" t="str">
        <f>IF(AND('331-CT'!$E$7=TH!H3292,OR(L3292="331",M3292="331")),"331",IF(AND(OR(L3292="131",M3292="131"),H3292='131-CT'!$E$7),"131",""))</f>
        <v/>
      </c>
      <c r="O3292" s="525" t="str">
        <f>IF(AND($B3292&gt;='111'!$N$11,$B3292&lt;='111'!$O$11,OR($L3292=$O$7,$M3292=$O$7)),"x","")</f>
        <v/>
      </c>
      <c r="P3292" s="525" t="str">
        <f>IF(AND($L3292=$O$7,$B3292&lt;'111'!$N$11),"x","")</f>
        <v/>
      </c>
      <c r="Q3292" s="525" t="str">
        <f>IF(AND($M3292=$O$7,$B3292&lt;'111'!$N$11),"x","")</f>
        <v/>
      </c>
      <c r="R3292" s="525" t="str">
        <f>IF(ISERROR(FIND('112'!$M$9,G3292,1)),"",IF((AND(FIND('112'!$M$9,G3292,1)&gt;=1,$B3292&gt;='112'!$N$8,$B3292&lt;='112'!$O$8,OR($L3292='112'!$I$6,$M3292='112'!$I$6))),"x",""))</f>
        <v/>
      </c>
      <c r="S3292" s="525" t="str">
        <f>IF(ISERROR(FIND('112'!$M$9,G3292,1)),"",IF((AND(LEFT(G3292,2)=LEFT('112'!$M$9,2),B3292&lt;'112'!$N$8,$L3292='112'!$I$6)),"x",""))</f>
        <v/>
      </c>
      <c r="T3292" s="525" t="str">
        <f>IF(ISERROR(FIND('112'!$M$9,G3292,1)),"",IF((AND(RIGHT(G3292,2)=RIGHT('112'!$M$9,2),B3292&lt;'112'!$N$8,$M3292='112'!$I$6)),"x",""))</f>
        <v/>
      </c>
      <c r="U3292" s="525" t="str">
        <f>IF(AND(B3292&gt;='IN-NX'!$P$3,B3292&lt;='IN-NX'!$Q$3,'IN-NX'!$D$7=D3292,OR(LEFT(L3292,2)="15",AND(LEFT(M3292,2)&lt;&gt;"15",LEFT(M3292,2)&lt;&gt;"33"))),"x","")</f>
        <v/>
      </c>
      <c r="V3292" s="525" t="str">
        <f>IF(AND(OR(LEFT(TH!L3292,2)="15",LEFT(TH!M3292,2)="15"),'152-CT'!$J$8=TH!F3292),"x","")</f>
        <v/>
      </c>
      <c r="W3292" s="525" t="str">
        <f>IF(AND(OR(LEFT(TH!L3292,2)="15",LEFT(TH!M3292,2)="15"),TK!$E$7=TH!F3292),"x","")</f>
        <v/>
      </c>
      <c r="X3292" s="525" t="str">
        <f>IF(AND('341-CT'!$E$9=H3292,OR(LEFT(L3292,3)=$X$7,LEFT(M3292,3)=$X$7)),"x","")</f>
        <v/>
      </c>
      <c r="Y3292" s="525" t="str">
        <f>IF(OR(TH!L3292=TH!$Y$7,M3292=TH!$Y$7),"x","")</f>
        <v/>
      </c>
      <c r="Z3292" s="525" t="str">
        <f>IF(AND(B3292&lt;=NKC!$N$8,B3292&gt;=NKC!$M$8),"x","")</f>
        <v/>
      </c>
      <c r="AA3292" s="526"/>
      <c r="AB3292" s="527"/>
    </row>
    <row r="3293" spans="1:30" s="576" customFormat="1" ht="15.75" customHeight="1">
      <c r="A3293" s="517" t="str">
        <f>IF(B3293&lt;&gt;"",IF(AND(B3293&gt;=_TM1,B3293&lt;=_TM2,OR(TH!L3293="1111",TH!M3293="1111")),TH!D3293,""),"")</f>
        <v/>
      </c>
      <c r="B3293" s="518">
        <f t="shared" si="319"/>
        <v>6</v>
      </c>
      <c r="C3293" s="571">
        <f t="shared" si="320"/>
        <v>42914</v>
      </c>
      <c r="D3293" s="571" t="s">
        <v>996</v>
      </c>
      <c r="E3293" s="571">
        <v>42914</v>
      </c>
      <c r="F3293" s="520" t="s">
        <v>1171</v>
      </c>
      <c r="G3293" s="573" t="s">
        <v>1251</v>
      </c>
      <c r="H3293" s="574" t="s">
        <v>800</v>
      </c>
      <c r="I3293" s="523">
        <v>5</v>
      </c>
      <c r="J3293" s="523">
        <v>23138</v>
      </c>
      <c r="K3293" s="575">
        <f t="shared" si="321"/>
        <v>115690</v>
      </c>
      <c r="L3293" s="591" t="s">
        <v>160</v>
      </c>
      <c r="M3293" s="591" t="s">
        <v>292</v>
      </c>
      <c r="N3293" s="525" t="str">
        <f>IF(AND('331-CT'!$E$7=TH!H3293,OR(L3293="331",M3293="331")),"331",IF(AND(OR(L3293="131",M3293="131"),H3293='131-CT'!$E$7),"131",""))</f>
        <v/>
      </c>
      <c r="O3293" s="525" t="str">
        <f>IF(AND($B3293&gt;='111'!$N$11,$B3293&lt;='111'!$O$11,OR($L3293=$O$7,$M3293=$O$7)),"x","")</f>
        <v/>
      </c>
      <c r="P3293" s="525" t="str">
        <f>IF(AND($L3293=$O$7,$B3293&lt;'111'!$N$11),"x","")</f>
        <v/>
      </c>
      <c r="Q3293" s="525" t="str">
        <f>IF(AND($M3293=$O$7,$B3293&lt;'111'!$N$11),"x","")</f>
        <v/>
      </c>
      <c r="R3293" s="525" t="str">
        <f>IF(ISERROR(FIND('112'!$M$9,G3293,1)),"",IF((AND(FIND('112'!$M$9,G3293,1)&gt;=1,$B3293&gt;='112'!$N$8,$B3293&lt;='112'!$O$8,OR($L3293='112'!$I$6,$M3293='112'!$I$6))),"x",""))</f>
        <v/>
      </c>
      <c r="S3293" s="525" t="str">
        <f>IF(ISERROR(FIND('112'!$M$9,G3293,1)),"",IF((AND(LEFT(G3293,2)=LEFT('112'!$M$9,2),B3293&lt;'112'!$N$8,$L3293='112'!$I$6)),"x",""))</f>
        <v/>
      </c>
      <c r="T3293" s="525" t="str">
        <f>IF(ISERROR(FIND('112'!$M$9,G3293,1)),"",IF((AND(RIGHT(G3293,2)=RIGHT('112'!$M$9,2),B3293&lt;'112'!$N$8,$M3293='112'!$I$6)),"x",""))</f>
        <v/>
      </c>
      <c r="U3293" s="525" t="str">
        <f>IF(AND(B3293&gt;='IN-NX'!$P$3,B3293&lt;='IN-NX'!$Q$3,'IN-NX'!$D$7=D3293,OR(LEFT(L3293,2)="15",AND(LEFT(M3293,2)&lt;&gt;"15",LEFT(M3293,2)&lt;&gt;"33"))),"x","")</f>
        <v/>
      </c>
      <c r="V3293" s="525" t="str">
        <f>IF(AND(OR(LEFT(TH!L3293,2)="15",LEFT(TH!M3293,2)="15"),'152-CT'!$J$8=TH!F3293),"x","")</f>
        <v/>
      </c>
      <c r="W3293" s="525" t="str">
        <f>IF(AND(OR(LEFT(TH!L3293,2)="15",LEFT(TH!M3293,2)="15"),TK!$E$7=TH!F3293),"x","")</f>
        <v/>
      </c>
      <c r="X3293" s="525" t="str">
        <f>IF(AND('341-CT'!$E$9=H3293,OR(LEFT(L3293,3)=$X$7,LEFT(M3293,3)=$X$7)),"x","")</f>
        <v/>
      </c>
      <c r="Y3293" s="525" t="str">
        <f>IF(OR(TH!L3293=TH!$Y$7,M3293=TH!$Y$7),"x","")</f>
        <v/>
      </c>
      <c r="Z3293" s="525" t="str">
        <f>IF(AND(B3293&lt;=NKC!$N$8,B3293&gt;=NKC!$M$8),"x","")</f>
        <v/>
      </c>
      <c r="AA3293" s="526"/>
      <c r="AB3293" s="527"/>
    </row>
    <row r="3294" spans="1:30" s="576" customFormat="1" ht="15.75" customHeight="1">
      <c r="A3294" s="517" t="str">
        <f>IF(B3294&lt;&gt;"",IF(AND(B3294&gt;=_TM1,B3294&lt;=_TM2,OR(TH!L3294="1111",TH!M3294="1111")),TH!D3294,""),"")</f>
        <v/>
      </c>
      <c r="B3294" s="518">
        <f t="shared" si="319"/>
        <v>6</v>
      </c>
      <c r="C3294" s="571">
        <f t="shared" si="320"/>
        <v>42914</v>
      </c>
      <c r="D3294" s="571" t="s">
        <v>996</v>
      </c>
      <c r="E3294" s="571">
        <v>42914</v>
      </c>
      <c r="F3294" s="520" t="s">
        <v>1229</v>
      </c>
      <c r="G3294" s="573" t="s">
        <v>1251</v>
      </c>
      <c r="H3294" s="574" t="s">
        <v>800</v>
      </c>
      <c r="I3294" s="523">
        <v>18</v>
      </c>
      <c r="J3294" s="523">
        <v>24016</v>
      </c>
      <c r="K3294" s="575">
        <f t="shared" si="321"/>
        <v>432288</v>
      </c>
      <c r="L3294" s="591" t="s">
        <v>160</v>
      </c>
      <c r="M3294" s="591" t="s">
        <v>292</v>
      </c>
      <c r="N3294" s="525" t="str">
        <f>IF(AND('331-CT'!$E$7=TH!H3294,OR(L3294="331",M3294="331")),"331",IF(AND(OR(L3294="131",M3294="131"),H3294='131-CT'!$E$7),"131",""))</f>
        <v/>
      </c>
      <c r="O3294" s="525" t="str">
        <f>IF(AND($B3294&gt;='111'!$N$11,$B3294&lt;='111'!$O$11,OR($L3294=$O$7,$M3294=$O$7)),"x","")</f>
        <v/>
      </c>
      <c r="P3294" s="525" t="str">
        <f>IF(AND($L3294=$O$7,$B3294&lt;'111'!$N$11),"x","")</f>
        <v/>
      </c>
      <c r="Q3294" s="525" t="str">
        <f>IF(AND($M3294=$O$7,$B3294&lt;'111'!$N$11),"x","")</f>
        <v/>
      </c>
      <c r="R3294" s="525" t="str">
        <f>IF(ISERROR(FIND('112'!$M$9,G3294,1)),"",IF((AND(FIND('112'!$M$9,G3294,1)&gt;=1,$B3294&gt;='112'!$N$8,$B3294&lt;='112'!$O$8,OR($L3294='112'!$I$6,$M3294='112'!$I$6))),"x",""))</f>
        <v/>
      </c>
      <c r="S3294" s="525" t="str">
        <f>IF(ISERROR(FIND('112'!$M$9,G3294,1)),"",IF((AND(LEFT(G3294,2)=LEFT('112'!$M$9,2),B3294&lt;'112'!$N$8,$L3294='112'!$I$6)),"x",""))</f>
        <v/>
      </c>
      <c r="T3294" s="525" t="str">
        <f>IF(ISERROR(FIND('112'!$M$9,G3294,1)),"",IF((AND(RIGHT(G3294,2)=RIGHT('112'!$M$9,2),B3294&lt;'112'!$N$8,$M3294='112'!$I$6)),"x",""))</f>
        <v/>
      </c>
      <c r="U3294" s="525" t="str">
        <f>IF(AND(B3294&gt;='IN-NX'!$P$3,B3294&lt;='IN-NX'!$Q$3,'IN-NX'!$D$7=D3294,OR(LEFT(L3294,2)="15",AND(LEFT(M3294,2)&lt;&gt;"15",LEFT(M3294,2)&lt;&gt;"33"))),"x","")</f>
        <v/>
      </c>
      <c r="V3294" s="525" t="str">
        <f>IF(AND(OR(LEFT(TH!L3294,2)="15",LEFT(TH!M3294,2)="15"),'152-CT'!$J$8=TH!F3294),"x","")</f>
        <v/>
      </c>
      <c r="W3294" s="525" t="str">
        <f>IF(AND(OR(LEFT(TH!L3294,2)="15",LEFT(TH!M3294,2)="15"),TK!$E$7=TH!F3294),"x","")</f>
        <v/>
      </c>
      <c r="X3294" s="525" t="str">
        <f>IF(AND('341-CT'!$E$9=H3294,OR(LEFT(L3294,3)=$X$7,LEFT(M3294,3)=$X$7)),"x","")</f>
        <v/>
      </c>
      <c r="Y3294" s="525" t="str">
        <f>IF(OR(TH!L3294=TH!$Y$7,M3294=TH!$Y$7),"x","")</f>
        <v/>
      </c>
      <c r="Z3294" s="525" t="str">
        <f>IF(AND(B3294&lt;=NKC!$N$8,B3294&gt;=NKC!$M$8),"x","")</f>
        <v/>
      </c>
      <c r="AA3294" s="526"/>
      <c r="AB3294" s="527"/>
    </row>
    <row r="3295" spans="1:30" s="576" customFormat="1" ht="15.75" customHeight="1">
      <c r="A3295" s="517" t="str">
        <f>IF(B3295&lt;&gt;"",IF(AND(B3295&gt;=_TM1,B3295&lt;=_TM2,OR(TH!L3295="1111",TH!M3295="1111")),TH!D3295,""),"")</f>
        <v/>
      </c>
      <c r="B3295" s="518">
        <f t="shared" si="319"/>
        <v>6</v>
      </c>
      <c r="C3295" s="571">
        <f t="shared" si="320"/>
        <v>42914</v>
      </c>
      <c r="D3295" s="571" t="s">
        <v>996</v>
      </c>
      <c r="E3295" s="571">
        <v>42914</v>
      </c>
      <c r="F3295" s="520" t="s">
        <v>727</v>
      </c>
      <c r="G3295" s="573" t="s">
        <v>1251</v>
      </c>
      <c r="H3295" s="574" t="s">
        <v>800</v>
      </c>
      <c r="I3295" s="523">
        <v>36</v>
      </c>
      <c r="J3295" s="523">
        <v>23109</v>
      </c>
      <c r="K3295" s="575">
        <f t="shared" si="321"/>
        <v>831924</v>
      </c>
      <c r="L3295" s="591" t="s">
        <v>160</v>
      </c>
      <c r="M3295" s="591" t="s">
        <v>292</v>
      </c>
      <c r="N3295" s="525" t="str">
        <f>IF(AND('331-CT'!$E$7=TH!H3295,OR(L3295="331",M3295="331")),"331",IF(AND(OR(L3295="131",M3295="131"),H3295='131-CT'!$E$7),"131",""))</f>
        <v/>
      </c>
      <c r="O3295" s="525" t="str">
        <f>IF(AND($B3295&gt;='111'!$N$11,$B3295&lt;='111'!$O$11,OR($L3295=$O$7,$M3295=$O$7)),"x","")</f>
        <v/>
      </c>
      <c r="P3295" s="525" t="str">
        <f>IF(AND($L3295=$O$7,$B3295&lt;'111'!$N$11),"x","")</f>
        <v/>
      </c>
      <c r="Q3295" s="525" t="str">
        <f>IF(AND($M3295=$O$7,$B3295&lt;'111'!$N$11),"x","")</f>
        <v/>
      </c>
      <c r="R3295" s="525" t="str">
        <f>IF(ISERROR(FIND('112'!$M$9,G3295,1)),"",IF((AND(FIND('112'!$M$9,G3295,1)&gt;=1,$B3295&gt;='112'!$N$8,$B3295&lt;='112'!$O$8,OR($L3295='112'!$I$6,$M3295='112'!$I$6))),"x",""))</f>
        <v/>
      </c>
      <c r="S3295" s="525" t="str">
        <f>IF(ISERROR(FIND('112'!$M$9,G3295,1)),"",IF((AND(LEFT(G3295,2)=LEFT('112'!$M$9,2),B3295&lt;'112'!$N$8,$L3295='112'!$I$6)),"x",""))</f>
        <v/>
      </c>
      <c r="T3295" s="525" t="str">
        <f>IF(ISERROR(FIND('112'!$M$9,G3295,1)),"",IF((AND(RIGHT(G3295,2)=RIGHT('112'!$M$9,2),B3295&lt;'112'!$N$8,$M3295='112'!$I$6)),"x",""))</f>
        <v/>
      </c>
      <c r="U3295" s="525" t="str">
        <f>IF(AND(B3295&gt;='IN-NX'!$P$3,B3295&lt;='IN-NX'!$Q$3,'IN-NX'!$D$7=D3295,OR(LEFT(L3295,2)="15",AND(LEFT(M3295,2)&lt;&gt;"15",LEFT(M3295,2)&lt;&gt;"33"))),"x","")</f>
        <v/>
      </c>
      <c r="V3295" s="525" t="str">
        <f>IF(AND(OR(LEFT(TH!L3295,2)="15",LEFT(TH!M3295,2)="15"),'152-CT'!$J$8=TH!F3295),"x","")</f>
        <v/>
      </c>
      <c r="W3295" s="525" t="str">
        <f>IF(AND(OR(LEFT(TH!L3295,2)="15",LEFT(TH!M3295,2)="15"),TK!$E$7=TH!F3295),"x","")</f>
        <v/>
      </c>
      <c r="X3295" s="525" t="str">
        <f>IF(AND('341-CT'!$E$9=H3295,OR(LEFT(L3295,3)=$X$7,LEFT(M3295,3)=$X$7)),"x","")</f>
        <v/>
      </c>
      <c r="Y3295" s="525" t="str">
        <f>IF(OR(TH!L3295=TH!$Y$7,M3295=TH!$Y$7),"x","")</f>
        <v/>
      </c>
      <c r="Z3295" s="525" t="str">
        <f>IF(AND(B3295&lt;=NKC!$N$8,B3295&gt;=NKC!$M$8),"x","")</f>
        <v/>
      </c>
      <c r="AA3295" s="526"/>
      <c r="AB3295" s="527"/>
    </row>
    <row r="3296" spans="1:30" s="576" customFormat="1" ht="15.75" customHeight="1">
      <c r="A3296" s="517" t="str">
        <f>IF(B3296&lt;&gt;"",IF(AND(B3296&gt;=_TM1,B3296&lt;=_TM2,OR(TH!L3296="1111",TH!M3296="1111")),TH!D3296,""),"")</f>
        <v/>
      </c>
      <c r="B3296" s="518">
        <f t="shared" si="319"/>
        <v>6</v>
      </c>
      <c r="C3296" s="571">
        <f t="shared" si="320"/>
        <v>42914</v>
      </c>
      <c r="D3296" s="571" t="s">
        <v>996</v>
      </c>
      <c r="E3296" s="571">
        <v>42914</v>
      </c>
      <c r="F3296" s="520" t="s">
        <v>730</v>
      </c>
      <c r="G3296" s="573" t="s">
        <v>1251</v>
      </c>
      <c r="H3296" s="574" t="s">
        <v>800</v>
      </c>
      <c r="I3296" s="523">
        <v>8</v>
      </c>
      <c r="J3296" s="523">
        <v>37789</v>
      </c>
      <c r="K3296" s="575">
        <f t="shared" si="321"/>
        <v>302312</v>
      </c>
      <c r="L3296" s="591" t="s">
        <v>160</v>
      </c>
      <c r="M3296" s="591" t="s">
        <v>292</v>
      </c>
      <c r="N3296" s="525" t="str">
        <f>IF(AND('331-CT'!$E$7=TH!H3296,OR(L3296="331",M3296="331")),"331",IF(AND(OR(L3296="131",M3296="131"),H3296='131-CT'!$E$7),"131",""))</f>
        <v/>
      </c>
      <c r="O3296" s="525" t="str">
        <f>IF(AND($B3296&gt;='111'!$N$11,$B3296&lt;='111'!$O$11,OR($L3296=$O$7,$M3296=$O$7)),"x","")</f>
        <v/>
      </c>
      <c r="P3296" s="525" t="str">
        <f>IF(AND($L3296=$O$7,$B3296&lt;'111'!$N$11),"x","")</f>
        <v/>
      </c>
      <c r="Q3296" s="525" t="str">
        <f>IF(AND($M3296=$O$7,$B3296&lt;'111'!$N$11),"x","")</f>
        <v/>
      </c>
      <c r="R3296" s="525" t="str">
        <f>IF(ISERROR(FIND('112'!$M$9,G3296,1)),"",IF((AND(FIND('112'!$M$9,G3296,1)&gt;=1,$B3296&gt;='112'!$N$8,$B3296&lt;='112'!$O$8,OR($L3296='112'!$I$6,$M3296='112'!$I$6))),"x",""))</f>
        <v/>
      </c>
      <c r="S3296" s="525" t="str">
        <f>IF(ISERROR(FIND('112'!$M$9,G3296,1)),"",IF((AND(LEFT(G3296,2)=LEFT('112'!$M$9,2),B3296&lt;'112'!$N$8,$L3296='112'!$I$6)),"x",""))</f>
        <v/>
      </c>
      <c r="T3296" s="525" t="str">
        <f>IF(ISERROR(FIND('112'!$M$9,G3296,1)),"",IF((AND(RIGHT(G3296,2)=RIGHT('112'!$M$9,2),B3296&lt;'112'!$N$8,$M3296='112'!$I$6)),"x",""))</f>
        <v/>
      </c>
      <c r="U3296" s="525" t="str">
        <f>IF(AND(B3296&gt;='IN-NX'!$P$3,B3296&lt;='IN-NX'!$Q$3,'IN-NX'!$D$7=D3296,OR(LEFT(L3296,2)="15",AND(LEFT(M3296,2)&lt;&gt;"15",LEFT(M3296,2)&lt;&gt;"33"))),"x","")</f>
        <v/>
      </c>
      <c r="V3296" s="525" t="str">
        <f>IF(AND(OR(LEFT(TH!L3296,2)="15",LEFT(TH!M3296,2)="15"),'152-CT'!$J$8=TH!F3296),"x","")</f>
        <v/>
      </c>
      <c r="W3296" s="525" t="str">
        <f>IF(AND(OR(LEFT(TH!L3296,2)="15",LEFT(TH!M3296,2)="15"),TK!$E$7=TH!F3296),"x","")</f>
        <v/>
      </c>
      <c r="X3296" s="525" t="str">
        <f>IF(AND('341-CT'!$E$9=H3296,OR(LEFT(L3296,3)=$X$7,LEFT(M3296,3)=$X$7)),"x","")</f>
        <v/>
      </c>
      <c r="Y3296" s="525" t="str">
        <f>IF(OR(TH!L3296=TH!$Y$7,M3296=TH!$Y$7),"x","")</f>
        <v/>
      </c>
      <c r="Z3296" s="525" t="str">
        <f>IF(AND(B3296&lt;=NKC!$N$8,B3296&gt;=NKC!$M$8),"x","")</f>
        <v/>
      </c>
      <c r="AA3296" s="526"/>
      <c r="AB3296" s="527"/>
    </row>
    <row r="3297" spans="1:28" s="576" customFormat="1" ht="15.75" customHeight="1">
      <c r="A3297" s="517" t="str">
        <f>IF(B3297&lt;&gt;"",IF(AND(B3297&gt;=_TM1,B3297&lt;=_TM2,OR(TH!L3297="1111",TH!M3297="1111")),TH!D3297,""),"")</f>
        <v/>
      </c>
      <c r="B3297" s="518">
        <f t="shared" si="319"/>
        <v>6</v>
      </c>
      <c r="C3297" s="571">
        <f t="shared" si="320"/>
        <v>42914</v>
      </c>
      <c r="D3297" s="571" t="s">
        <v>996</v>
      </c>
      <c r="E3297" s="571">
        <v>42914</v>
      </c>
      <c r="F3297" s="520" t="s">
        <v>740</v>
      </c>
      <c r="G3297" s="573" t="s">
        <v>1251</v>
      </c>
      <c r="H3297" s="574" t="s">
        <v>800</v>
      </c>
      <c r="I3297" s="523">
        <v>8</v>
      </c>
      <c r="J3297" s="523">
        <v>165590</v>
      </c>
      <c r="K3297" s="575">
        <f t="shared" si="321"/>
        <v>1324720</v>
      </c>
      <c r="L3297" s="591" t="s">
        <v>160</v>
      </c>
      <c r="M3297" s="591" t="s">
        <v>292</v>
      </c>
      <c r="N3297" s="525" t="str">
        <f>IF(AND('331-CT'!$E$7=TH!H3297,OR(L3297="331",M3297="331")),"331",IF(AND(OR(L3297="131",M3297="131"),H3297='131-CT'!$E$7),"131",""))</f>
        <v/>
      </c>
      <c r="O3297" s="525" t="str">
        <f>IF(AND($B3297&gt;='111'!$N$11,$B3297&lt;='111'!$O$11,OR($L3297=$O$7,$M3297=$O$7)),"x","")</f>
        <v/>
      </c>
      <c r="P3297" s="525" t="str">
        <f>IF(AND($L3297=$O$7,$B3297&lt;'111'!$N$11),"x","")</f>
        <v/>
      </c>
      <c r="Q3297" s="525" t="str">
        <f>IF(AND($M3297=$O$7,$B3297&lt;'111'!$N$11),"x","")</f>
        <v/>
      </c>
      <c r="R3297" s="525" t="str">
        <f>IF(ISERROR(FIND('112'!$M$9,G3297,1)),"",IF((AND(FIND('112'!$M$9,G3297,1)&gt;=1,$B3297&gt;='112'!$N$8,$B3297&lt;='112'!$O$8,OR($L3297='112'!$I$6,$M3297='112'!$I$6))),"x",""))</f>
        <v/>
      </c>
      <c r="S3297" s="525" t="str">
        <f>IF(ISERROR(FIND('112'!$M$9,G3297,1)),"",IF((AND(LEFT(G3297,2)=LEFT('112'!$M$9,2),B3297&lt;'112'!$N$8,$L3297='112'!$I$6)),"x",""))</f>
        <v/>
      </c>
      <c r="T3297" s="525" t="str">
        <f>IF(ISERROR(FIND('112'!$M$9,G3297,1)),"",IF((AND(RIGHT(G3297,2)=RIGHT('112'!$M$9,2),B3297&lt;'112'!$N$8,$M3297='112'!$I$6)),"x",""))</f>
        <v/>
      </c>
      <c r="U3297" s="525" t="str">
        <f>IF(AND(B3297&gt;='IN-NX'!$P$3,B3297&lt;='IN-NX'!$Q$3,'IN-NX'!$D$7=D3297,OR(LEFT(L3297,2)="15",AND(LEFT(M3297,2)&lt;&gt;"15",LEFT(M3297,2)&lt;&gt;"33"))),"x","")</f>
        <v/>
      </c>
      <c r="V3297" s="525" t="str">
        <f>IF(AND(OR(LEFT(TH!L3297,2)="15",LEFT(TH!M3297,2)="15"),'152-CT'!$J$8=TH!F3297),"x","")</f>
        <v/>
      </c>
      <c r="W3297" s="525" t="str">
        <f>IF(AND(OR(LEFT(TH!L3297,2)="15",LEFT(TH!M3297,2)="15"),TK!$E$7=TH!F3297),"x","")</f>
        <v/>
      </c>
      <c r="X3297" s="525" t="str">
        <f>IF(AND('341-CT'!$E$9=H3297,OR(LEFT(L3297,3)=$X$7,LEFT(M3297,3)=$X$7)),"x","")</f>
        <v/>
      </c>
      <c r="Y3297" s="525" t="str">
        <f>IF(OR(TH!L3297=TH!$Y$7,M3297=TH!$Y$7),"x","")</f>
        <v/>
      </c>
      <c r="Z3297" s="525" t="str">
        <f>IF(AND(B3297&lt;=NKC!$N$8,B3297&gt;=NKC!$M$8),"x","")</f>
        <v/>
      </c>
      <c r="AA3297" s="526"/>
      <c r="AB3297" s="527"/>
    </row>
    <row r="3298" spans="1:28" s="576" customFormat="1" ht="15.75" customHeight="1">
      <c r="A3298" s="517" t="str">
        <f>IF(B3298&lt;&gt;"",IF(AND(B3298&gt;=_TM1,B3298&lt;=_TM2,OR(TH!L3298="1111",TH!M3298="1111")),TH!D3298,""),"")</f>
        <v/>
      </c>
      <c r="B3298" s="518">
        <f t="shared" si="319"/>
        <v>6</v>
      </c>
      <c r="C3298" s="571">
        <f t="shared" si="320"/>
        <v>42914</v>
      </c>
      <c r="D3298" s="571" t="s">
        <v>996</v>
      </c>
      <c r="E3298" s="571">
        <v>42914</v>
      </c>
      <c r="F3298" s="520" t="s">
        <v>741</v>
      </c>
      <c r="G3298" s="573" t="s">
        <v>1251</v>
      </c>
      <c r="H3298" s="574" t="s">
        <v>800</v>
      </c>
      <c r="I3298" s="523">
        <v>4</v>
      </c>
      <c r="J3298" s="523">
        <v>217670</v>
      </c>
      <c r="K3298" s="575">
        <f t="shared" si="321"/>
        <v>870680</v>
      </c>
      <c r="L3298" s="591" t="s">
        <v>160</v>
      </c>
      <c r="M3298" s="591" t="s">
        <v>292</v>
      </c>
      <c r="N3298" s="525" t="str">
        <f>IF(AND('331-CT'!$E$7=TH!H3298,OR(L3298="331",M3298="331")),"331",IF(AND(OR(L3298="131",M3298="131"),H3298='131-CT'!$E$7),"131",""))</f>
        <v/>
      </c>
      <c r="O3298" s="525" t="str">
        <f>IF(AND($B3298&gt;='111'!$N$11,$B3298&lt;='111'!$O$11,OR($L3298=$O$7,$M3298=$O$7)),"x","")</f>
        <v/>
      </c>
      <c r="P3298" s="525" t="str">
        <f>IF(AND($L3298=$O$7,$B3298&lt;'111'!$N$11),"x","")</f>
        <v/>
      </c>
      <c r="Q3298" s="525" t="str">
        <f>IF(AND($M3298=$O$7,$B3298&lt;'111'!$N$11),"x","")</f>
        <v/>
      </c>
      <c r="R3298" s="525" t="str">
        <f>IF(ISERROR(FIND('112'!$M$9,G3298,1)),"",IF((AND(FIND('112'!$M$9,G3298,1)&gt;=1,$B3298&gt;='112'!$N$8,$B3298&lt;='112'!$O$8,OR($L3298='112'!$I$6,$M3298='112'!$I$6))),"x",""))</f>
        <v/>
      </c>
      <c r="S3298" s="525" t="str">
        <f>IF(ISERROR(FIND('112'!$M$9,G3298,1)),"",IF((AND(LEFT(G3298,2)=LEFT('112'!$M$9,2),B3298&lt;'112'!$N$8,$L3298='112'!$I$6)),"x",""))</f>
        <v/>
      </c>
      <c r="T3298" s="525" t="str">
        <f>IF(ISERROR(FIND('112'!$M$9,G3298,1)),"",IF((AND(RIGHT(G3298,2)=RIGHT('112'!$M$9,2),B3298&lt;'112'!$N$8,$M3298='112'!$I$6)),"x",""))</f>
        <v/>
      </c>
      <c r="U3298" s="525" t="str">
        <f>IF(AND(B3298&gt;='IN-NX'!$P$3,B3298&lt;='IN-NX'!$Q$3,'IN-NX'!$D$7=D3298,OR(LEFT(L3298,2)="15",AND(LEFT(M3298,2)&lt;&gt;"15",LEFT(M3298,2)&lt;&gt;"33"))),"x","")</f>
        <v/>
      </c>
      <c r="V3298" s="525" t="str">
        <f>IF(AND(OR(LEFT(TH!L3298,2)="15",LEFT(TH!M3298,2)="15"),'152-CT'!$J$8=TH!F3298),"x","")</f>
        <v/>
      </c>
      <c r="W3298" s="525" t="str">
        <f>IF(AND(OR(LEFT(TH!L3298,2)="15",LEFT(TH!M3298,2)="15"),TK!$E$7=TH!F3298),"x","")</f>
        <v/>
      </c>
      <c r="X3298" s="525" t="str">
        <f>IF(AND('341-CT'!$E$9=H3298,OR(LEFT(L3298,3)=$X$7,LEFT(M3298,3)=$X$7)),"x","")</f>
        <v/>
      </c>
      <c r="Y3298" s="525" t="str">
        <f>IF(OR(TH!L3298=TH!$Y$7,M3298=TH!$Y$7),"x","")</f>
        <v/>
      </c>
      <c r="Z3298" s="525" t="str">
        <f>IF(AND(B3298&lt;=NKC!$N$8,B3298&gt;=NKC!$M$8),"x","")</f>
        <v/>
      </c>
      <c r="AA3298" s="526"/>
      <c r="AB3298" s="527"/>
    </row>
    <row r="3299" spans="1:28" s="576" customFormat="1" ht="15.75" customHeight="1">
      <c r="A3299" s="517" t="str">
        <f>IF(B3299&lt;&gt;"",IF(AND(B3299&gt;=_TM1,B3299&lt;=_TM2,OR(TH!L3299="1111",TH!M3299="1111")),TH!D3299,""),"")</f>
        <v/>
      </c>
      <c r="B3299" s="518">
        <f t="shared" si="319"/>
        <v>6</v>
      </c>
      <c r="C3299" s="571">
        <f t="shared" si="320"/>
        <v>42914</v>
      </c>
      <c r="D3299" s="571" t="s">
        <v>996</v>
      </c>
      <c r="E3299" s="571">
        <v>42914</v>
      </c>
      <c r="F3299" s="520" t="s">
        <v>1230</v>
      </c>
      <c r="G3299" s="573" t="s">
        <v>1251</v>
      </c>
      <c r="H3299" s="574" t="s">
        <v>800</v>
      </c>
      <c r="I3299" s="523">
        <v>5</v>
      </c>
      <c r="J3299" s="523">
        <v>106411</v>
      </c>
      <c r="K3299" s="575">
        <f t="shared" si="321"/>
        <v>532055</v>
      </c>
      <c r="L3299" s="591" t="s">
        <v>160</v>
      </c>
      <c r="M3299" s="591" t="s">
        <v>292</v>
      </c>
      <c r="N3299" s="525" t="str">
        <f>IF(AND('331-CT'!$E$7=TH!H3299,OR(L3299="331",M3299="331")),"331",IF(AND(OR(L3299="131",M3299="131"),H3299='131-CT'!$E$7),"131",""))</f>
        <v/>
      </c>
      <c r="O3299" s="525" t="str">
        <f>IF(AND($B3299&gt;='111'!$N$11,$B3299&lt;='111'!$O$11,OR($L3299=$O$7,$M3299=$O$7)),"x","")</f>
        <v/>
      </c>
      <c r="P3299" s="525" t="str">
        <f>IF(AND($L3299=$O$7,$B3299&lt;'111'!$N$11),"x","")</f>
        <v/>
      </c>
      <c r="Q3299" s="525" t="str">
        <f>IF(AND($M3299=$O$7,$B3299&lt;'111'!$N$11),"x","")</f>
        <v/>
      </c>
      <c r="R3299" s="525" t="str">
        <f>IF(ISERROR(FIND('112'!$M$9,G3299,1)),"",IF((AND(FIND('112'!$M$9,G3299,1)&gt;=1,$B3299&gt;='112'!$N$8,$B3299&lt;='112'!$O$8,OR($L3299='112'!$I$6,$M3299='112'!$I$6))),"x",""))</f>
        <v/>
      </c>
      <c r="S3299" s="525" t="str">
        <f>IF(ISERROR(FIND('112'!$M$9,G3299,1)),"",IF((AND(LEFT(G3299,2)=LEFT('112'!$M$9,2),B3299&lt;'112'!$N$8,$L3299='112'!$I$6)),"x",""))</f>
        <v/>
      </c>
      <c r="T3299" s="525" t="str">
        <f>IF(ISERROR(FIND('112'!$M$9,G3299,1)),"",IF((AND(RIGHT(G3299,2)=RIGHT('112'!$M$9,2),B3299&lt;'112'!$N$8,$M3299='112'!$I$6)),"x",""))</f>
        <v/>
      </c>
      <c r="U3299" s="525" t="str">
        <f>IF(AND(B3299&gt;='IN-NX'!$P$3,B3299&lt;='IN-NX'!$Q$3,'IN-NX'!$D$7=D3299,OR(LEFT(L3299,2)="15",AND(LEFT(M3299,2)&lt;&gt;"15",LEFT(M3299,2)&lt;&gt;"33"))),"x","")</f>
        <v/>
      </c>
      <c r="V3299" s="525" t="str">
        <f>IF(AND(OR(LEFT(TH!L3299,2)="15",LEFT(TH!M3299,2)="15"),'152-CT'!$J$8=TH!F3299),"x","")</f>
        <v/>
      </c>
      <c r="W3299" s="525" t="str">
        <f>IF(AND(OR(LEFT(TH!L3299,2)="15",LEFT(TH!M3299,2)="15"),TK!$E$7=TH!F3299),"x","")</f>
        <v/>
      </c>
      <c r="X3299" s="525" t="str">
        <f>IF(AND('341-CT'!$E$9=H3299,OR(LEFT(L3299,3)=$X$7,LEFT(M3299,3)=$X$7)),"x","")</f>
        <v/>
      </c>
      <c r="Y3299" s="525" t="str">
        <f>IF(OR(TH!L3299=TH!$Y$7,M3299=TH!$Y$7),"x","")</f>
        <v/>
      </c>
      <c r="Z3299" s="525" t="str">
        <f>IF(AND(B3299&lt;=NKC!$N$8,B3299&gt;=NKC!$M$8),"x","")</f>
        <v/>
      </c>
      <c r="AA3299" s="526"/>
      <c r="AB3299" s="527"/>
    </row>
    <row r="3300" spans="1:28" s="576" customFormat="1" ht="15.75" customHeight="1">
      <c r="A3300" s="517" t="str">
        <f>IF(B3300&lt;&gt;"",IF(AND(B3300&gt;=_TM1,B3300&lt;=_TM2,OR(TH!L3300="1111",TH!M3300="1111")),TH!D3300,""),"")</f>
        <v/>
      </c>
      <c r="B3300" s="518">
        <f t="shared" si="319"/>
        <v>6</v>
      </c>
      <c r="C3300" s="571">
        <f t="shared" si="320"/>
        <v>42914</v>
      </c>
      <c r="D3300" s="571" t="s">
        <v>996</v>
      </c>
      <c r="E3300" s="571">
        <v>42914</v>
      </c>
      <c r="F3300" s="520" t="s">
        <v>690</v>
      </c>
      <c r="G3300" s="573" t="s">
        <v>1251</v>
      </c>
      <c r="H3300" s="574" t="s">
        <v>800</v>
      </c>
      <c r="I3300" s="523">
        <v>4</v>
      </c>
      <c r="J3300" s="523">
        <v>124386</v>
      </c>
      <c r="K3300" s="575">
        <f t="shared" si="321"/>
        <v>497544</v>
      </c>
      <c r="L3300" s="591" t="s">
        <v>160</v>
      </c>
      <c r="M3300" s="591" t="s">
        <v>292</v>
      </c>
      <c r="N3300" s="525" t="str">
        <f>IF(AND('331-CT'!$E$7=TH!H3300,OR(L3300="331",M3300="331")),"331",IF(AND(OR(L3300="131",M3300="131"),H3300='131-CT'!$E$7),"131",""))</f>
        <v/>
      </c>
      <c r="O3300" s="525" t="str">
        <f>IF(AND($B3300&gt;='111'!$N$11,$B3300&lt;='111'!$O$11,OR($L3300=$O$7,$M3300=$O$7)),"x","")</f>
        <v/>
      </c>
      <c r="P3300" s="525" t="str">
        <f>IF(AND($L3300=$O$7,$B3300&lt;'111'!$N$11),"x","")</f>
        <v/>
      </c>
      <c r="Q3300" s="525" t="str">
        <f>IF(AND($M3300=$O$7,$B3300&lt;'111'!$N$11),"x","")</f>
        <v/>
      </c>
      <c r="R3300" s="525" t="str">
        <f>IF(ISERROR(FIND('112'!$M$9,G3300,1)),"",IF((AND(FIND('112'!$M$9,G3300,1)&gt;=1,$B3300&gt;='112'!$N$8,$B3300&lt;='112'!$O$8,OR($L3300='112'!$I$6,$M3300='112'!$I$6))),"x",""))</f>
        <v/>
      </c>
      <c r="S3300" s="525" t="str">
        <f>IF(ISERROR(FIND('112'!$M$9,G3300,1)),"",IF((AND(LEFT(G3300,2)=LEFT('112'!$M$9,2),B3300&lt;'112'!$N$8,$L3300='112'!$I$6)),"x",""))</f>
        <v/>
      </c>
      <c r="T3300" s="525" t="str">
        <f>IF(ISERROR(FIND('112'!$M$9,G3300,1)),"",IF((AND(RIGHT(G3300,2)=RIGHT('112'!$M$9,2),B3300&lt;'112'!$N$8,$M3300='112'!$I$6)),"x",""))</f>
        <v/>
      </c>
      <c r="U3300" s="525" t="str">
        <f>IF(AND(B3300&gt;='IN-NX'!$P$3,B3300&lt;='IN-NX'!$Q$3,'IN-NX'!$D$7=D3300,OR(LEFT(L3300,2)="15",AND(LEFT(M3300,2)&lt;&gt;"15",LEFT(M3300,2)&lt;&gt;"33"))),"x","")</f>
        <v/>
      </c>
      <c r="V3300" s="525" t="str">
        <f>IF(AND(OR(LEFT(TH!L3300,2)="15",LEFT(TH!M3300,2)="15"),'152-CT'!$J$8=TH!F3300),"x","")</f>
        <v/>
      </c>
      <c r="W3300" s="525" t="str">
        <f>IF(AND(OR(LEFT(TH!L3300,2)="15",LEFT(TH!M3300,2)="15"),TK!$E$7=TH!F3300),"x","")</f>
        <v/>
      </c>
      <c r="X3300" s="525" t="str">
        <f>IF(AND('341-CT'!$E$9=H3300,OR(LEFT(L3300,3)=$X$7,LEFT(M3300,3)=$X$7)),"x","")</f>
        <v/>
      </c>
      <c r="Y3300" s="525" t="str">
        <f>IF(OR(TH!L3300=TH!$Y$7,M3300=TH!$Y$7),"x","")</f>
        <v/>
      </c>
      <c r="Z3300" s="525" t="str">
        <f>IF(AND(B3300&lt;=NKC!$N$8,B3300&gt;=NKC!$M$8),"x","")</f>
        <v/>
      </c>
      <c r="AA3300" s="526"/>
      <c r="AB3300" s="527"/>
    </row>
    <row r="3301" spans="1:28" s="576" customFormat="1" ht="15.75" customHeight="1">
      <c r="A3301" s="517" t="str">
        <f>IF(B3301&lt;&gt;"",IF(AND(B3301&gt;=_TM1,B3301&lt;=_TM2,OR(TH!L3301="1111",TH!M3301="1111")),TH!D3301,""),"")</f>
        <v/>
      </c>
      <c r="B3301" s="518">
        <f t="shared" ref="B3301:B3332" si="322">IF(C3301&lt;&gt;"",MONTH(C3301),"")</f>
        <v>6</v>
      </c>
      <c r="C3301" s="571">
        <f t="shared" si="320"/>
        <v>42914</v>
      </c>
      <c r="D3301" s="571" t="s">
        <v>996</v>
      </c>
      <c r="E3301" s="571">
        <v>42914</v>
      </c>
      <c r="F3301" s="520" t="s">
        <v>659</v>
      </c>
      <c r="G3301" s="573" t="s">
        <v>1251</v>
      </c>
      <c r="H3301" s="574" t="s">
        <v>800</v>
      </c>
      <c r="I3301" s="523">
        <v>12</v>
      </c>
      <c r="J3301" s="523">
        <v>83841</v>
      </c>
      <c r="K3301" s="575">
        <f t="shared" si="321"/>
        <v>1006092</v>
      </c>
      <c r="L3301" s="591" t="s">
        <v>160</v>
      </c>
      <c r="M3301" s="591" t="s">
        <v>292</v>
      </c>
      <c r="N3301" s="525" t="str">
        <f>IF(AND('331-CT'!$E$7=TH!H3301,OR(L3301="331",M3301="331")),"331",IF(AND(OR(L3301="131",M3301="131"),H3301='131-CT'!$E$7),"131",""))</f>
        <v/>
      </c>
      <c r="O3301" s="525" t="str">
        <f>IF(AND($B3301&gt;='111'!$N$11,$B3301&lt;='111'!$O$11,OR($L3301=$O$7,$M3301=$O$7)),"x","")</f>
        <v/>
      </c>
      <c r="P3301" s="525" t="str">
        <f>IF(AND($L3301=$O$7,$B3301&lt;'111'!$N$11),"x","")</f>
        <v/>
      </c>
      <c r="Q3301" s="525" t="str">
        <f>IF(AND($M3301=$O$7,$B3301&lt;'111'!$N$11),"x","")</f>
        <v/>
      </c>
      <c r="R3301" s="525" t="str">
        <f>IF(ISERROR(FIND('112'!$M$9,G3301,1)),"",IF((AND(FIND('112'!$M$9,G3301,1)&gt;=1,$B3301&gt;='112'!$N$8,$B3301&lt;='112'!$O$8,OR($L3301='112'!$I$6,$M3301='112'!$I$6))),"x",""))</f>
        <v/>
      </c>
      <c r="S3301" s="525" t="str">
        <f>IF(ISERROR(FIND('112'!$M$9,G3301,1)),"",IF((AND(LEFT(G3301,2)=LEFT('112'!$M$9,2),B3301&lt;'112'!$N$8,$L3301='112'!$I$6)),"x",""))</f>
        <v/>
      </c>
      <c r="T3301" s="525" t="str">
        <f>IF(ISERROR(FIND('112'!$M$9,G3301,1)),"",IF((AND(RIGHT(G3301,2)=RIGHT('112'!$M$9,2),B3301&lt;'112'!$N$8,$M3301='112'!$I$6)),"x",""))</f>
        <v/>
      </c>
      <c r="U3301" s="525" t="str">
        <f>IF(AND(B3301&gt;='IN-NX'!$P$3,B3301&lt;='IN-NX'!$Q$3,'IN-NX'!$D$7=D3301,OR(LEFT(L3301,2)="15",AND(LEFT(M3301,2)&lt;&gt;"15",LEFT(M3301,2)&lt;&gt;"33"))),"x","")</f>
        <v/>
      </c>
      <c r="V3301" s="525" t="str">
        <f>IF(AND(OR(LEFT(TH!L3301,2)="15",LEFT(TH!M3301,2)="15"),'152-CT'!$J$8=TH!F3301),"x","")</f>
        <v/>
      </c>
      <c r="W3301" s="525" t="str">
        <f>IF(AND(OR(LEFT(TH!L3301,2)="15",LEFT(TH!M3301,2)="15"),TK!$E$7=TH!F3301),"x","")</f>
        <v/>
      </c>
      <c r="X3301" s="525" t="str">
        <f>IF(AND('341-CT'!$E$9=H3301,OR(LEFT(L3301,3)=$X$7,LEFT(M3301,3)=$X$7)),"x","")</f>
        <v/>
      </c>
      <c r="Y3301" s="525" t="str">
        <f>IF(OR(TH!L3301=TH!$Y$7,M3301=TH!$Y$7),"x","")</f>
        <v/>
      </c>
      <c r="Z3301" s="525" t="str">
        <f>IF(AND(B3301&lt;=NKC!$N$8,B3301&gt;=NKC!$M$8),"x","")</f>
        <v/>
      </c>
      <c r="AA3301" s="526"/>
      <c r="AB3301" s="527"/>
    </row>
    <row r="3302" spans="1:28" s="576" customFormat="1" ht="15.75" customHeight="1">
      <c r="A3302" s="517" t="str">
        <f>IF(B3302&lt;&gt;"",IF(AND(B3302&gt;=_TM1,B3302&lt;=_TM2,OR(TH!L3302="1111",TH!M3302="1111")),TH!D3302,""),"")</f>
        <v/>
      </c>
      <c r="B3302" s="518">
        <f t="shared" si="322"/>
        <v>6</v>
      </c>
      <c r="C3302" s="571">
        <f t="shared" si="320"/>
        <v>42914</v>
      </c>
      <c r="D3302" s="571" t="s">
        <v>996</v>
      </c>
      <c r="E3302" s="571">
        <v>42914</v>
      </c>
      <c r="F3302" s="520" t="s">
        <v>611</v>
      </c>
      <c r="G3302" s="573" t="s">
        <v>1251</v>
      </c>
      <c r="H3302" s="574" t="s">
        <v>800</v>
      </c>
      <c r="I3302" s="523">
        <v>252</v>
      </c>
      <c r="J3302" s="523">
        <v>41946</v>
      </c>
      <c r="K3302" s="575">
        <f t="shared" si="321"/>
        <v>10570392</v>
      </c>
      <c r="L3302" s="591" t="s">
        <v>160</v>
      </c>
      <c r="M3302" s="591" t="s">
        <v>292</v>
      </c>
      <c r="N3302" s="525" t="str">
        <f>IF(AND('331-CT'!$E$7=TH!H3302,OR(L3302="331",M3302="331")),"331",IF(AND(OR(L3302="131",M3302="131"),H3302='131-CT'!$E$7),"131",""))</f>
        <v/>
      </c>
      <c r="O3302" s="525" t="str">
        <f>IF(AND($B3302&gt;='111'!$N$11,$B3302&lt;='111'!$O$11,OR($L3302=$O$7,$M3302=$O$7)),"x","")</f>
        <v/>
      </c>
      <c r="P3302" s="525" t="str">
        <f>IF(AND($L3302=$O$7,$B3302&lt;'111'!$N$11),"x","")</f>
        <v/>
      </c>
      <c r="Q3302" s="525" t="str">
        <f>IF(AND($M3302=$O$7,$B3302&lt;'111'!$N$11),"x","")</f>
        <v/>
      </c>
      <c r="R3302" s="525" t="str">
        <f>IF(ISERROR(FIND('112'!$M$9,G3302,1)),"",IF((AND(FIND('112'!$M$9,G3302,1)&gt;=1,$B3302&gt;='112'!$N$8,$B3302&lt;='112'!$O$8,OR($L3302='112'!$I$6,$M3302='112'!$I$6))),"x",""))</f>
        <v/>
      </c>
      <c r="S3302" s="525" t="str">
        <f>IF(ISERROR(FIND('112'!$M$9,G3302,1)),"",IF((AND(LEFT(G3302,2)=LEFT('112'!$M$9,2),B3302&lt;'112'!$N$8,$L3302='112'!$I$6)),"x",""))</f>
        <v/>
      </c>
      <c r="T3302" s="525" t="str">
        <f>IF(ISERROR(FIND('112'!$M$9,G3302,1)),"",IF((AND(RIGHT(G3302,2)=RIGHT('112'!$M$9,2),B3302&lt;'112'!$N$8,$M3302='112'!$I$6)),"x",""))</f>
        <v/>
      </c>
      <c r="U3302" s="525" t="str">
        <f>IF(AND(B3302&gt;='IN-NX'!$P$3,B3302&lt;='IN-NX'!$Q$3,'IN-NX'!$D$7=D3302,OR(LEFT(L3302,2)="15",AND(LEFT(M3302,2)&lt;&gt;"15",LEFT(M3302,2)&lt;&gt;"33"))),"x","")</f>
        <v/>
      </c>
      <c r="V3302" s="525" t="str">
        <f>IF(AND(OR(LEFT(TH!L3302,2)="15",LEFT(TH!M3302,2)="15"),'152-CT'!$J$8=TH!F3302),"x","")</f>
        <v/>
      </c>
      <c r="W3302" s="525" t="str">
        <f>IF(AND(OR(LEFT(TH!L3302,2)="15",LEFT(TH!M3302,2)="15"),TK!$E$7=TH!F3302),"x","")</f>
        <v/>
      </c>
      <c r="X3302" s="525" t="str">
        <f>IF(AND('341-CT'!$E$9=H3302,OR(LEFT(L3302,3)=$X$7,LEFT(M3302,3)=$X$7)),"x","")</f>
        <v/>
      </c>
      <c r="Y3302" s="525" t="str">
        <f>IF(OR(TH!L3302=TH!$Y$7,M3302=TH!$Y$7),"x","")</f>
        <v/>
      </c>
      <c r="Z3302" s="525" t="str">
        <f>IF(AND(B3302&lt;=NKC!$N$8,B3302&gt;=NKC!$M$8),"x","")</f>
        <v/>
      </c>
      <c r="AA3302" s="526"/>
      <c r="AB3302" s="527"/>
    </row>
    <row r="3303" spans="1:28" s="576" customFormat="1" ht="15.75" customHeight="1">
      <c r="A3303" s="517" t="str">
        <f>IF(B3303&lt;&gt;"",IF(AND(B3303&gt;=_TM1,B3303&lt;=_TM2,OR(TH!L3303="1111",TH!M3303="1111")),TH!D3303,""),"")</f>
        <v/>
      </c>
      <c r="B3303" s="518">
        <f t="shared" si="322"/>
        <v>6</v>
      </c>
      <c r="C3303" s="571">
        <f t="shared" si="320"/>
        <v>42914</v>
      </c>
      <c r="D3303" s="571" t="s">
        <v>996</v>
      </c>
      <c r="E3303" s="571">
        <v>42914</v>
      </c>
      <c r="F3303" s="520" t="s">
        <v>691</v>
      </c>
      <c r="G3303" s="573" t="s">
        <v>1251</v>
      </c>
      <c r="H3303" s="574" t="s">
        <v>800</v>
      </c>
      <c r="I3303" s="523">
        <v>14</v>
      </c>
      <c r="J3303" s="523">
        <v>53667</v>
      </c>
      <c r="K3303" s="575">
        <f t="shared" si="321"/>
        <v>751338</v>
      </c>
      <c r="L3303" s="591" t="s">
        <v>160</v>
      </c>
      <c r="M3303" s="591" t="s">
        <v>292</v>
      </c>
      <c r="N3303" s="525" t="str">
        <f>IF(AND('331-CT'!$E$7=TH!H3303,OR(L3303="331",M3303="331")),"331",IF(AND(OR(L3303="131",M3303="131"),H3303='131-CT'!$E$7),"131",""))</f>
        <v/>
      </c>
      <c r="O3303" s="525" t="str">
        <f>IF(AND($B3303&gt;='111'!$N$11,$B3303&lt;='111'!$O$11,OR($L3303=$O$7,$M3303=$O$7)),"x","")</f>
        <v/>
      </c>
      <c r="P3303" s="525" t="str">
        <f>IF(AND($L3303=$O$7,$B3303&lt;'111'!$N$11),"x","")</f>
        <v/>
      </c>
      <c r="Q3303" s="525" t="str">
        <f>IF(AND($M3303=$O$7,$B3303&lt;'111'!$N$11),"x","")</f>
        <v/>
      </c>
      <c r="R3303" s="525" t="str">
        <f>IF(ISERROR(FIND('112'!$M$9,G3303,1)),"",IF((AND(FIND('112'!$M$9,G3303,1)&gt;=1,$B3303&gt;='112'!$N$8,$B3303&lt;='112'!$O$8,OR($L3303='112'!$I$6,$M3303='112'!$I$6))),"x",""))</f>
        <v/>
      </c>
      <c r="S3303" s="525" t="str">
        <f>IF(ISERROR(FIND('112'!$M$9,G3303,1)),"",IF((AND(LEFT(G3303,2)=LEFT('112'!$M$9,2),B3303&lt;'112'!$N$8,$L3303='112'!$I$6)),"x",""))</f>
        <v/>
      </c>
      <c r="T3303" s="525" t="str">
        <f>IF(ISERROR(FIND('112'!$M$9,G3303,1)),"",IF((AND(RIGHT(G3303,2)=RIGHT('112'!$M$9,2),B3303&lt;'112'!$N$8,$M3303='112'!$I$6)),"x",""))</f>
        <v/>
      </c>
      <c r="U3303" s="525" t="str">
        <f>IF(AND(B3303&gt;='IN-NX'!$P$3,B3303&lt;='IN-NX'!$Q$3,'IN-NX'!$D$7=D3303,OR(LEFT(L3303,2)="15",AND(LEFT(M3303,2)&lt;&gt;"15",LEFT(M3303,2)&lt;&gt;"33"))),"x","")</f>
        <v/>
      </c>
      <c r="V3303" s="525" t="str">
        <f>IF(AND(OR(LEFT(TH!L3303,2)="15",LEFT(TH!M3303,2)="15"),'152-CT'!$J$8=TH!F3303),"x","")</f>
        <v/>
      </c>
      <c r="W3303" s="525" t="str">
        <f>IF(AND(OR(LEFT(TH!L3303,2)="15",LEFT(TH!M3303,2)="15"),TK!$E$7=TH!F3303),"x","")</f>
        <v/>
      </c>
      <c r="X3303" s="525" t="str">
        <f>IF(AND('341-CT'!$E$9=H3303,OR(LEFT(L3303,3)=$X$7,LEFT(M3303,3)=$X$7)),"x","")</f>
        <v/>
      </c>
      <c r="Y3303" s="525" t="str">
        <f>IF(OR(TH!L3303=TH!$Y$7,M3303=TH!$Y$7),"x","")</f>
        <v/>
      </c>
      <c r="Z3303" s="525" t="str">
        <f>IF(AND(B3303&lt;=NKC!$N$8,B3303&gt;=NKC!$M$8),"x","")</f>
        <v/>
      </c>
      <c r="AA3303" s="526"/>
      <c r="AB3303" s="527"/>
    </row>
    <row r="3304" spans="1:28" s="576" customFormat="1" ht="15.75" customHeight="1">
      <c r="A3304" s="517" t="str">
        <f>IF(B3304&lt;&gt;"",IF(AND(B3304&gt;=_TM1,B3304&lt;=_TM2,OR(TH!L3304="1111",TH!M3304="1111")),TH!D3304,""),"")</f>
        <v/>
      </c>
      <c r="B3304" s="518">
        <f t="shared" si="322"/>
        <v>6</v>
      </c>
      <c r="C3304" s="571">
        <f t="shared" si="320"/>
        <v>42914</v>
      </c>
      <c r="D3304" s="571" t="s">
        <v>996</v>
      </c>
      <c r="E3304" s="571">
        <v>42914</v>
      </c>
      <c r="F3304" s="520" t="s">
        <v>1231</v>
      </c>
      <c r="G3304" s="573" t="s">
        <v>1251</v>
      </c>
      <c r="H3304" s="574" t="s">
        <v>800</v>
      </c>
      <c r="I3304" s="523">
        <v>10</v>
      </c>
      <c r="J3304" s="523">
        <v>48162</v>
      </c>
      <c r="K3304" s="575">
        <f t="shared" si="321"/>
        <v>481620</v>
      </c>
      <c r="L3304" s="591" t="s">
        <v>160</v>
      </c>
      <c r="M3304" s="591" t="s">
        <v>292</v>
      </c>
      <c r="N3304" s="525" t="str">
        <f>IF(AND('331-CT'!$E$7=TH!H3304,OR(L3304="331",M3304="331")),"331",IF(AND(OR(L3304="131",M3304="131"),H3304='131-CT'!$E$7),"131",""))</f>
        <v/>
      </c>
      <c r="O3304" s="525" t="str">
        <f>IF(AND($B3304&gt;='111'!$N$11,$B3304&lt;='111'!$O$11,OR($L3304=$O$7,$M3304=$O$7)),"x","")</f>
        <v/>
      </c>
      <c r="P3304" s="525" t="str">
        <f>IF(AND($L3304=$O$7,$B3304&lt;'111'!$N$11),"x","")</f>
        <v/>
      </c>
      <c r="Q3304" s="525" t="str">
        <f>IF(AND($M3304=$O$7,$B3304&lt;'111'!$N$11),"x","")</f>
        <v/>
      </c>
      <c r="R3304" s="525" t="str">
        <f>IF(ISERROR(FIND('112'!$M$9,G3304,1)),"",IF((AND(FIND('112'!$M$9,G3304,1)&gt;=1,$B3304&gt;='112'!$N$8,$B3304&lt;='112'!$O$8,OR($L3304='112'!$I$6,$M3304='112'!$I$6))),"x",""))</f>
        <v/>
      </c>
      <c r="S3304" s="525" t="str">
        <f>IF(ISERROR(FIND('112'!$M$9,G3304,1)),"",IF((AND(LEFT(G3304,2)=LEFT('112'!$M$9,2),B3304&lt;'112'!$N$8,$L3304='112'!$I$6)),"x",""))</f>
        <v/>
      </c>
      <c r="T3304" s="525" t="str">
        <f>IF(ISERROR(FIND('112'!$M$9,G3304,1)),"",IF((AND(RIGHT(G3304,2)=RIGHT('112'!$M$9,2),B3304&lt;'112'!$N$8,$M3304='112'!$I$6)),"x",""))</f>
        <v/>
      </c>
      <c r="U3304" s="525" t="str">
        <f>IF(AND(B3304&gt;='IN-NX'!$P$3,B3304&lt;='IN-NX'!$Q$3,'IN-NX'!$D$7=D3304,OR(LEFT(L3304,2)="15",AND(LEFT(M3304,2)&lt;&gt;"15",LEFT(M3304,2)&lt;&gt;"33"))),"x","")</f>
        <v/>
      </c>
      <c r="V3304" s="525" t="str">
        <f>IF(AND(OR(LEFT(TH!L3304,2)="15",LEFT(TH!M3304,2)="15"),'152-CT'!$J$8=TH!F3304),"x","")</f>
        <v/>
      </c>
      <c r="W3304" s="525" t="str">
        <f>IF(AND(OR(LEFT(TH!L3304,2)="15",LEFT(TH!M3304,2)="15"),TK!$E$7=TH!F3304),"x","")</f>
        <v/>
      </c>
      <c r="X3304" s="525" t="str">
        <f>IF(AND('341-CT'!$E$9=H3304,OR(LEFT(L3304,3)=$X$7,LEFT(M3304,3)=$X$7)),"x","")</f>
        <v/>
      </c>
      <c r="Y3304" s="525" t="str">
        <f>IF(OR(TH!L3304=TH!$Y$7,M3304=TH!$Y$7),"x","")</f>
        <v/>
      </c>
      <c r="Z3304" s="525" t="str">
        <f>IF(AND(B3304&lt;=NKC!$N$8,B3304&gt;=NKC!$M$8),"x","")</f>
        <v/>
      </c>
      <c r="AA3304" s="526"/>
      <c r="AB3304" s="527"/>
    </row>
    <row r="3305" spans="1:28" s="576" customFormat="1" ht="15.75" customHeight="1">
      <c r="A3305" s="517" t="str">
        <f>IF(B3305&lt;&gt;"",IF(AND(B3305&gt;=_TM1,B3305&lt;=_TM2,OR(TH!L3305="1111",TH!M3305="1111")),TH!D3305,""),"")</f>
        <v/>
      </c>
      <c r="B3305" s="518">
        <f t="shared" si="322"/>
        <v>6</v>
      </c>
      <c r="C3305" s="571">
        <f t="shared" si="320"/>
        <v>42914</v>
      </c>
      <c r="D3305" s="571" t="s">
        <v>996</v>
      </c>
      <c r="E3305" s="571">
        <v>42914</v>
      </c>
      <c r="F3305" s="520" t="s">
        <v>698</v>
      </c>
      <c r="G3305" s="573" t="s">
        <v>1251</v>
      </c>
      <c r="H3305" s="574" t="s">
        <v>800</v>
      </c>
      <c r="I3305" s="523">
        <v>4</v>
      </c>
      <c r="J3305" s="523">
        <v>144792</v>
      </c>
      <c r="K3305" s="575">
        <f t="shared" si="321"/>
        <v>579168</v>
      </c>
      <c r="L3305" s="591" t="s">
        <v>160</v>
      </c>
      <c r="M3305" s="591" t="s">
        <v>292</v>
      </c>
      <c r="N3305" s="525" t="str">
        <f>IF(AND('331-CT'!$E$7=TH!H3305,OR(L3305="331",M3305="331")),"331",IF(AND(OR(L3305="131",M3305="131"),H3305='131-CT'!$E$7),"131",""))</f>
        <v/>
      </c>
      <c r="O3305" s="525" t="str">
        <f>IF(AND($B3305&gt;='111'!$N$11,$B3305&lt;='111'!$O$11,OR($L3305=$O$7,$M3305=$O$7)),"x","")</f>
        <v/>
      </c>
      <c r="P3305" s="525" t="str">
        <f>IF(AND($L3305=$O$7,$B3305&lt;'111'!$N$11),"x","")</f>
        <v/>
      </c>
      <c r="Q3305" s="525" t="str">
        <f>IF(AND($M3305=$O$7,$B3305&lt;'111'!$N$11),"x","")</f>
        <v/>
      </c>
      <c r="R3305" s="525" t="str">
        <f>IF(ISERROR(FIND('112'!$M$9,G3305,1)),"",IF((AND(FIND('112'!$M$9,G3305,1)&gt;=1,$B3305&gt;='112'!$N$8,$B3305&lt;='112'!$O$8,OR($L3305='112'!$I$6,$M3305='112'!$I$6))),"x",""))</f>
        <v/>
      </c>
      <c r="S3305" s="525" t="str">
        <f>IF(ISERROR(FIND('112'!$M$9,G3305,1)),"",IF((AND(LEFT(G3305,2)=LEFT('112'!$M$9,2),B3305&lt;'112'!$N$8,$L3305='112'!$I$6)),"x",""))</f>
        <v/>
      </c>
      <c r="T3305" s="525" t="str">
        <f>IF(ISERROR(FIND('112'!$M$9,G3305,1)),"",IF((AND(RIGHT(G3305,2)=RIGHT('112'!$M$9,2),B3305&lt;'112'!$N$8,$M3305='112'!$I$6)),"x",""))</f>
        <v/>
      </c>
      <c r="U3305" s="525" t="str">
        <f>IF(AND(B3305&gt;='IN-NX'!$P$3,B3305&lt;='IN-NX'!$Q$3,'IN-NX'!$D$7=D3305,OR(LEFT(L3305,2)="15",AND(LEFT(M3305,2)&lt;&gt;"15",LEFT(M3305,2)&lt;&gt;"33"))),"x","")</f>
        <v/>
      </c>
      <c r="V3305" s="525" t="str">
        <f>IF(AND(OR(LEFT(TH!L3305,2)="15",LEFT(TH!M3305,2)="15"),'152-CT'!$J$8=TH!F3305),"x","")</f>
        <v/>
      </c>
      <c r="W3305" s="525" t="str">
        <f>IF(AND(OR(LEFT(TH!L3305,2)="15",LEFT(TH!M3305,2)="15"),TK!$E$7=TH!F3305),"x","")</f>
        <v/>
      </c>
      <c r="X3305" s="525" t="str">
        <f>IF(AND('341-CT'!$E$9=H3305,OR(LEFT(L3305,3)=$X$7,LEFT(M3305,3)=$X$7)),"x","")</f>
        <v/>
      </c>
      <c r="Y3305" s="525" t="str">
        <f>IF(OR(TH!L3305=TH!$Y$7,M3305=TH!$Y$7),"x","")</f>
        <v/>
      </c>
      <c r="Z3305" s="525" t="str">
        <f>IF(AND(B3305&lt;=NKC!$N$8,B3305&gt;=NKC!$M$8),"x","")</f>
        <v/>
      </c>
      <c r="AA3305" s="526"/>
      <c r="AB3305" s="527"/>
    </row>
    <row r="3306" spans="1:28" s="576" customFormat="1" ht="15.75" customHeight="1">
      <c r="A3306" s="517" t="str">
        <f>IF(B3306&lt;&gt;"",IF(AND(B3306&gt;=_TM1,B3306&lt;=_TM2,OR(TH!L3306="1111",TH!M3306="1111")),TH!D3306,""),"")</f>
        <v/>
      </c>
      <c r="B3306" s="518">
        <f t="shared" si="322"/>
        <v>6</v>
      </c>
      <c r="C3306" s="571">
        <f t="shared" si="320"/>
        <v>42914</v>
      </c>
      <c r="D3306" s="571" t="s">
        <v>996</v>
      </c>
      <c r="E3306" s="571">
        <v>42914</v>
      </c>
      <c r="F3306" s="520" t="s">
        <v>647</v>
      </c>
      <c r="G3306" s="573" t="s">
        <v>1251</v>
      </c>
      <c r="H3306" s="574" t="s">
        <v>800</v>
      </c>
      <c r="I3306" s="523">
        <v>8</v>
      </c>
      <c r="J3306" s="523">
        <v>113423</v>
      </c>
      <c r="K3306" s="575">
        <f t="shared" si="321"/>
        <v>907384</v>
      </c>
      <c r="L3306" s="591" t="s">
        <v>160</v>
      </c>
      <c r="M3306" s="591" t="s">
        <v>292</v>
      </c>
      <c r="N3306" s="525" t="str">
        <f>IF(AND('331-CT'!$E$7=TH!H3306,OR(L3306="331",M3306="331")),"331",IF(AND(OR(L3306="131",M3306="131"),H3306='131-CT'!$E$7),"131",""))</f>
        <v/>
      </c>
      <c r="O3306" s="525" t="str">
        <f>IF(AND($B3306&gt;='111'!$N$11,$B3306&lt;='111'!$O$11,OR($L3306=$O$7,$M3306=$O$7)),"x","")</f>
        <v/>
      </c>
      <c r="P3306" s="525" t="str">
        <f>IF(AND($L3306=$O$7,$B3306&lt;'111'!$N$11),"x","")</f>
        <v/>
      </c>
      <c r="Q3306" s="525" t="str">
        <f>IF(AND($M3306=$O$7,$B3306&lt;'111'!$N$11),"x","")</f>
        <v/>
      </c>
      <c r="R3306" s="525" t="str">
        <f>IF(ISERROR(FIND('112'!$M$9,G3306,1)),"",IF((AND(FIND('112'!$M$9,G3306,1)&gt;=1,$B3306&gt;='112'!$N$8,$B3306&lt;='112'!$O$8,OR($L3306='112'!$I$6,$M3306='112'!$I$6))),"x",""))</f>
        <v/>
      </c>
      <c r="S3306" s="525" t="str">
        <f>IF(ISERROR(FIND('112'!$M$9,G3306,1)),"",IF((AND(LEFT(G3306,2)=LEFT('112'!$M$9,2),B3306&lt;'112'!$N$8,$L3306='112'!$I$6)),"x",""))</f>
        <v/>
      </c>
      <c r="T3306" s="525" t="str">
        <f>IF(ISERROR(FIND('112'!$M$9,G3306,1)),"",IF((AND(RIGHT(G3306,2)=RIGHT('112'!$M$9,2),B3306&lt;'112'!$N$8,$M3306='112'!$I$6)),"x",""))</f>
        <v/>
      </c>
      <c r="U3306" s="525" t="str">
        <f>IF(AND(B3306&gt;='IN-NX'!$P$3,B3306&lt;='IN-NX'!$Q$3,'IN-NX'!$D$7=D3306,OR(LEFT(L3306,2)="15",AND(LEFT(M3306,2)&lt;&gt;"15",LEFT(M3306,2)&lt;&gt;"33"))),"x","")</f>
        <v/>
      </c>
      <c r="V3306" s="525" t="str">
        <f>IF(AND(OR(LEFT(TH!L3306,2)="15",LEFT(TH!M3306,2)="15"),'152-CT'!$J$8=TH!F3306),"x","")</f>
        <v/>
      </c>
      <c r="W3306" s="525" t="str">
        <f>IF(AND(OR(LEFT(TH!L3306,2)="15",LEFT(TH!M3306,2)="15"),TK!$E$7=TH!F3306),"x","")</f>
        <v/>
      </c>
      <c r="X3306" s="525" t="str">
        <f>IF(AND('341-CT'!$E$9=H3306,OR(LEFT(L3306,3)=$X$7,LEFT(M3306,3)=$X$7)),"x","")</f>
        <v/>
      </c>
      <c r="Y3306" s="525" t="str">
        <f>IF(OR(TH!L3306=TH!$Y$7,M3306=TH!$Y$7),"x","")</f>
        <v/>
      </c>
      <c r="Z3306" s="525" t="str">
        <f>IF(AND(B3306&lt;=NKC!$N$8,B3306&gt;=NKC!$M$8),"x","")</f>
        <v/>
      </c>
      <c r="AA3306" s="526"/>
      <c r="AB3306" s="527"/>
    </row>
    <row r="3307" spans="1:28" s="576" customFormat="1" ht="15.75" customHeight="1">
      <c r="A3307" s="517" t="str">
        <f>IF(B3307&lt;&gt;"",IF(AND(B3307&gt;=_TM1,B3307&lt;=_TM2,OR(TH!L3307="1111",TH!M3307="1111")),TH!D3307,""),"")</f>
        <v/>
      </c>
      <c r="B3307" s="518">
        <f t="shared" si="322"/>
        <v>6</v>
      </c>
      <c r="C3307" s="571">
        <f t="shared" si="320"/>
        <v>42914</v>
      </c>
      <c r="D3307" s="571" t="s">
        <v>996</v>
      </c>
      <c r="E3307" s="571">
        <v>42914</v>
      </c>
      <c r="F3307" s="520" t="s">
        <v>1232</v>
      </c>
      <c r="G3307" s="573" t="s">
        <v>1251</v>
      </c>
      <c r="H3307" s="574" t="s">
        <v>800</v>
      </c>
      <c r="I3307" s="523">
        <v>32</v>
      </c>
      <c r="J3307" s="523">
        <v>63457</v>
      </c>
      <c r="K3307" s="575">
        <f t="shared" si="321"/>
        <v>2030624</v>
      </c>
      <c r="L3307" s="591" t="s">
        <v>160</v>
      </c>
      <c r="M3307" s="591" t="s">
        <v>292</v>
      </c>
      <c r="N3307" s="525" t="str">
        <f>IF(AND('331-CT'!$E$7=TH!H3307,OR(L3307="331",M3307="331")),"331",IF(AND(OR(L3307="131",M3307="131"),H3307='131-CT'!$E$7),"131",""))</f>
        <v/>
      </c>
      <c r="O3307" s="525" t="str">
        <f>IF(AND($B3307&gt;='111'!$N$11,$B3307&lt;='111'!$O$11,OR($L3307=$O$7,$M3307=$O$7)),"x","")</f>
        <v/>
      </c>
      <c r="P3307" s="525" t="str">
        <f>IF(AND($L3307=$O$7,$B3307&lt;'111'!$N$11),"x","")</f>
        <v/>
      </c>
      <c r="Q3307" s="525" t="str">
        <f>IF(AND($M3307=$O$7,$B3307&lt;'111'!$N$11),"x","")</f>
        <v/>
      </c>
      <c r="R3307" s="525" t="str">
        <f>IF(ISERROR(FIND('112'!$M$9,G3307,1)),"",IF((AND(FIND('112'!$M$9,G3307,1)&gt;=1,$B3307&gt;='112'!$N$8,$B3307&lt;='112'!$O$8,OR($L3307='112'!$I$6,$M3307='112'!$I$6))),"x",""))</f>
        <v/>
      </c>
      <c r="S3307" s="525" t="str">
        <f>IF(ISERROR(FIND('112'!$M$9,G3307,1)),"",IF((AND(LEFT(G3307,2)=LEFT('112'!$M$9,2),B3307&lt;'112'!$N$8,$L3307='112'!$I$6)),"x",""))</f>
        <v/>
      </c>
      <c r="T3307" s="525" t="str">
        <f>IF(ISERROR(FIND('112'!$M$9,G3307,1)),"",IF((AND(RIGHT(G3307,2)=RIGHT('112'!$M$9,2),B3307&lt;'112'!$N$8,$M3307='112'!$I$6)),"x",""))</f>
        <v/>
      </c>
      <c r="U3307" s="525" t="str">
        <f>IF(AND(B3307&gt;='IN-NX'!$P$3,B3307&lt;='IN-NX'!$Q$3,'IN-NX'!$D$7=D3307,OR(LEFT(L3307,2)="15",AND(LEFT(M3307,2)&lt;&gt;"15",LEFT(M3307,2)&lt;&gt;"33"))),"x","")</f>
        <v/>
      </c>
      <c r="V3307" s="525" t="str">
        <f>IF(AND(OR(LEFT(TH!L3307,2)="15",LEFT(TH!M3307,2)="15"),'152-CT'!$J$8=TH!F3307),"x","")</f>
        <v/>
      </c>
      <c r="W3307" s="525" t="str">
        <f>IF(AND(OR(LEFT(TH!L3307,2)="15",LEFT(TH!M3307,2)="15"),TK!$E$7=TH!F3307),"x","")</f>
        <v/>
      </c>
      <c r="X3307" s="525" t="str">
        <f>IF(AND('341-CT'!$E$9=H3307,OR(LEFT(L3307,3)=$X$7,LEFT(M3307,3)=$X$7)),"x","")</f>
        <v/>
      </c>
      <c r="Y3307" s="525" t="str">
        <f>IF(OR(TH!L3307=TH!$Y$7,M3307=TH!$Y$7),"x","")</f>
        <v/>
      </c>
      <c r="Z3307" s="525" t="str">
        <f>IF(AND(B3307&lt;=NKC!$N$8,B3307&gt;=NKC!$M$8),"x","")</f>
        <v/>
      </c>
      <c r="AA3307" s="526"/>
      <c r="AB3307" s="527"/>
    </row>
    <row r="3308" spans="1:28" s="576" customFormat="1" ht="15.75" customHeight="1">
      <c r="A3308" s="517" t="str">
        <f>IF(B3308&lt;&gt;"",IF(AND(B3308&gt;=_TM1,B3308&lt;=_TM2,OR(TH!L3308="1111",TH!M3308="1111")),TH!D3308,""),"")</f>
        <v/>
      </c>
      <c r="B3308" s="518">
        <f t="shared" si="322"/>
        <v>6</v>
      </c>
      <c r="C3308" s="571">
        <f t="shared" si="320"/>
        <v>42914</v>
      </c>
      <c r="D3308" s="571" t="s">
        <v>996</v>
      </c>
      <c r="E3308" s="571">
        <v>42914</v>
      </c>
      <c r="F3308" s="520" t="s">
        <v>1042</v>
      </c>
      <c r="G3308" s="573" t="s">
        <v>1251</v>
      </c>
      <c r="H3308" s="574" t="s">
        <v>800</v>
      </c>
      <c r="I3308" s="523">
        <v>48</v>
      </c>
      <c r="J3308" s="523">
        <v>18911</v>
      </c>
      <c r="K3308" s="575">
        <f t="shared" si="321"/>
        <v>907728</v>
      </c>
      <c r="L3308" s="591" t="s">
        <v>160</v>
      </c>
      <c r="M3308" s="591" t="s">
        <v>292</v>
      </c>
      <c r="N3308" s="525" t="str">
        <f>IF(AND('331-CT'!$E$7=TH!H3308,OR(L3308="331",M3308="331")),"331",IF(AND(OR(L3308="131",M3308="131"),H3308='131-CT'!$E$7),"131",""))</f>
        <v/>
      </c>
      <c r="O3308" s="525" t="str">
        <f>IF(AND($B3308&gt;='111'!$N$11,$B3308&lt;='111'!$O$11,OR($L3308=$O$7,$M3308=$O$7)),"x","")</f>
        <v/>
      </c>
      <c r="P3308" s="525" t="str">
        <f>IF(AND($L3308=$O$7,$B3308&lt;'111'!$N$11),"x","")</f>
        <v/>
      </c>
      <c r="Q3308" s="525" t="str">
        <f>IF(AND($M3308=$O$7,$B3308&lt;'111'!$N$11),"x","")</f>
        <v/>
      </c>
      <c r="R3308" s="525" t="str">
        <f>IF(ISERROR(FIND('112'!$M$9,G3308,1)),"",IF((AND(FIND('112'!$M$9,G3308,1)&gt;=1,$B3308&gt;='112'!$N$8,$B3308&lt;='112'!$O$8,OR($L3308='112'!$I$6,$M3308='112'!$I$6))),"x",""))</f>
        <v/>
      </c>
      <c r="S3308" s="525" t="str">
        <f>IF(ISERROR(FIND('112'!$M$9,G3308,1)),"",IF((AND(LEFT(G3308,2)=LEFT('112'!$M$9,2),B3308&lt;'112'!$N$8,$L3308='112'!$I$6)),"x",""))</f>
        <v/>
      </c>
      <c r="T3308" s="525" t="str">
        <f>IF(ISERROR(FIND('112'!$M$9,G3308,1)),"",IF((AND(RIGHT(G3308,2)=RIGHT('112'!$M$9,2),B3308&lt;'112'!$N$8,$M3308='112'!$I$6)),"x",""))</f>
        <v/>
      </c>
      <c r="U3308" s="525" t="str">
        <f>IF(AND(B3308&gt;='IN-NX'!$P$3,B3308&lt;='IN-NX'!$Q$3,'IN-NX'!$D$7=D3308,OR(LEFT(L3308,2)="15",AND(LEFT(M3308,2)&lt;&gt;"15",LEFT(M3308,2)&lt;&gt;"33"))),"x","")</f>
        <v/>
      </c>
      <c r="V3308" s="525" t="str">
        <f>IF(AND(OR(LEFT(TH!L3308,2)="15",LEFT(TH!M3308,2)="15"),'152-CT'!$J$8=TH!F3308),"x","")</f>
        <v/>
      </c>
      <c r="W3308" s="525" t="str">
        <f>IF(AND(OR(LEFT(TH!L3308,2)="15",LEFT(TH!M3308,2)="15"),TK!$E$7=TH!F3308),"x","")</f>
        <v/>
      </c>
      <c r="X3308" s="525" t="str">
        <f>IF(AND('341-CT'!$E$9=H3308,OR(LEFT(L3308,3)=$X$7,LEFT(M3308,3)=$X$7)),"x","")</f>
        <v/>
      </c>
      <c r="Y3308" s="525" t="str">
        <f>IF(OR(TH!L3308=TH!$Y$7,M3308=TH!$Y$7),"x","")</f>
        <v/>
      </c>
      <c r="Z3308" s="525" t="str">
        <f>IF(AND(B3308&lt;=NKC!$N$8,B3308&gt;=NKC!$M$8),"x","")</f>
        <v/>
      </c>
      <c r="AA3308" s="526"/>
    </row>
    <row r="3309" spans="1:28" s="576" customFormat="1" ht="15.75" customHeight="1">
      <c r="A3309" s="517" t="str">
        <f>IF(B3309&lt;&gt;"",IF(AND(B3309&gt;=_TM1,B3309&lt;=_TM2,OR(TH!L3309="1111",TH!M3309="1111")),TH!D3309,""),"")</f>
        <v/>
      </c>
      <c r="B3309" s="518">
        <f t="shared" si="322"/>
        <v>6</v>
      </c>
      <c r="C3309" s="571">
        <f t="shared" si="320"/>
        <v>42914</v>
      </c>
      <c r="D3309" s="571" t="s">
        <v>996</v>
      </c>
      <c r="E3309" s="571">
        <v>42914</v>
      </c>
      <c r="F3309" s="520" t="s">
        <v>649</v>
      </c>
      <c r="G3309" s="573" t="s">
        <v>1251</v>
      </c>
      <c r="H3309" s="574" t="s">
        <v>800</v>
      </c>
      <c r="I3309" s="523">
        <v>8</v>
      </c>
      <c r="J3309" s="523">
        <v>69960</v>
      </c>
      <c r="K3309" s="575">
        <f t="shared" si="321"/>
        <v>559680</v>
      </c>
      <c r="L3309" s="591" t="s">
        <v>160</v>
      </c>
      <c r="M3309" s="591" t="s">
        <v>292</v>
      </c>
      <c r="N3309" s="525" t="str">
        <f>IF(AND('331-CT'!$E$7=TH!H3309,OR(L3309="331",M3309="331")),"331",IF(AND(OR(L3309="131",M3309="131"),H3309='131-CT'!$E$7),"131",""))</f>
        <v/>
      </c>
      <c r="O3309" s="525" t="str">
        <f>IF(AND($B3309&gt;='111'!$N$11,$B3309&lt;='111'!$O$11,OR($L3309=$O$7,$M3309=$O$7)),"x","")</f>
        <v/>
      </c>
      <c r="P3309" s="525" t="str">
        <f>IF(AND($L3309=$O$7,$B3309&lt;'111'!$N$11),"x","")</f>
        <v/>
      </c>
      <c r="Q3309" s="525" t="str">
        <f>IF(AND($M3309=$O$7,$B3309&lt;'111'!$N$11),"x","")</f>
        <v/>
      </c>
      <c r="R3309" s="525" t="str">
        <f>IF(ISERROR(FIND('112'!$M$9,G3309,1)),"",IF((AND(FIND('112'!$M$9,G3309,1)&gt;=1,$B3309&gt;='112'!$N$8,$B3309&lt;='112'!$O$8,OR($L3309='112'!$I$6,$M3309='112'!$I$6))),"x",""))</f>
        <v/>
      </c>
      <c r="S3309" s="525" t="str">
        <f>IF(ISERROR(FIND('112'!$M$9,G3309,1)),"",IF((AND(LEFT(G3309,2)=LEFT('112'!$M$9,2),B3309&lt;'112'!$N$8,$L3309='112'!$I$6)),"x",""))</f>
        <v/>
      </c>
      <c r="T3309" s="525" t="str">
        <f>IF(ISERROR(FIND('112'!$M$9,G3309,1)),"",IF((AND(RIGHT(G3309,2)=RIGHT('112'!$M$9,2),B3309&lt;'112'!$N$8,$M3309='112'!$I$6)),"x",""))</f>
        <v/>
      </c>
      <c r="U3309" s="525" t="str">
        <f>IF(AND(B3309&gt;='IN-NX'!$P$3,B3309&lt;='IN-NX'!$Q$3,'IN-NX'!$D$7=D3309,OR(LEFT(L3309,2)="15",AND(LEFT(M3309,2)&lt;&gt;"15",LEFT(M3309,2)&lt;&gt;"33"))),"x","")</f>
        <v/>
      </c>
      <c r="V3309" s="525" t="str">
        <f>IF(AND(OR(LEFT(TH!L3309,2)="15",LEFT(TH!M3309,2)="15"),'152-CT'!$J$8=TH!F3309),"x","")</f>
        <v/>
      </c>
      <c r="W3309" s="525" t="str">
        <f>IF(AND(OR(LEFT(TH!L3309,2)="15",LEFT(TH!M3309,2)="15"),TK!$E$7=TH!F3309),"x","")</f>
        <v/>
      </c>
      <c r="X3309" s="525" t="str">
        <f>IF(AND('341-CT'!$E$9=H3309,OR(LEFT(L3309,3)=$X$7,LEFT(M3309,3)=$X$7)),"x","")</f>
        <v/>
      </c>
      <c r="Y3309" s="525" t="str">
        <f>IF(OR(TH!L3309=TH!$Y$7,M3309=TH!$Y$7),"x","")</f>
        <v/>
      </c>
      <c r="Z3309" s="525" t="str">
        <f>IF(AND(B3309&lt;=NKC!$N$8,B3309&gt;=NKC!$M$8),"x","")</f>
        <v/>
      </c>
      <c r="AA3309" s="526"/>
    </row>
    <row r="3310" spans="1:28" s="576" customFormat="1" ht="15.75" customHeight="1">
      <c r="A3310" s="517" t="str">
        <f>IF(B3310&lt;&gt;"",IF(AND(B3310&gt;=_TM1,B3310&lt;=_TM2,OR(TH!L3310="1111",TH!M3310="1111")),TH!D3310,""),"")</f>
        <v/>
      </c>
      <c r="B3310" s="518">
        <f t="shared" si="322"/>
        <v>6</v>
      </c>
      <c r="C3310" s="571">
        <f t="shared" si="320"/>
        <v>42914</v>
      </c>
      <c r="D3310" s="571" t="s">
        <v>996</v>
      </c>
      <c r="E3310" s="571">
        <v>42914</v>
      </c>
      <c r="F3310" s="520" t="s">
        <v>651</v>
      </c>
      <c r="G3310" s="573" t="s">
        <v>1251</v>
      </c>
      <c r="H3310" s="574" t="s">
        <v>800</v>
      </c>
      <c r="I3310" s="523">
        <v>50</v>
      </c>
      <c r="J3310" s="523">
        <v>107750</v>
      </c>
      <c r="K3310" s="575">
        <f t="shared" si="321"/>
        <v>5387500</v>
      </c>
      <c r="L3310" s="591" t="s">
        <v>160</v>
      </c>
      <c r="M3310" s="591" t="s">
        <v>292</v>
      </c>
      <c r="N3310" s="525" t="str">
        <f>IF(AND('331-CT'!$E$7=TH!H3310,OR(L3310="331",M3310="331")),"331",IF(AND(OR(L3310="131",M3310="131"),H3310='131-CT'!$E$7),"131",""))</f>
        <v/>
      </c>
      <c r="O3310" s="525" t="str">
        <f>IF(AND($B3310&gt;='111'!$N$11,$B3310&lt;='111'!$O$11,OR($L3310=$O$7,$M3310=$O$7)),"x","")</f>
        <v/>
      </c>
      <c r="P3310" s="525" t="str">
        <f>IF(AND($L3310=$O$7,$B3310&lt;'111'!$N$11),"x","")</f>
        <v/>
      </c>
      <c r="Q3310" s="525" t="str">
        <f>IF(AND($M3310=$O$7,$B3310&lt;'111'!$N$11),"x","")</f>
        <v/>
      </c>
      <c r="R3310" s="525" t="str">
        <f>IF(ISERROR(FIND('112'!$M$9,G3310,1)),"",IF((AND(FIND('112'!$M$9,G3310,1)&gt;=1,$B3310&gt;='112'!$N$8,$B3310&lt;='112'!$O$8,OR($L3310='112'!$I$6,$M3310='112'!$I$6))),"x",""))</f>
        <v/>
      </c>
      <c r="S3310" s="525" t="str">
        <f>IF(ISERROR(FIND('112'!$M$9,G3310,1)),"",IF((AND(LEFT(G3310,2)=LEFT('112'!$M$9,2),B3310&lt;'112'!$N$8,$L3310='112'!$I$6)),"x",""))</f>
        <v/>
      </c>
      <c r="T3310" s="525" t="str">
        <f>IF(ISERROR(FIND('112'!$M$9,G3310,1)),"",IF((AND(RIGHT(G3310,2)=RIGHT('112'!$M$9,2),B3310&lt;'112'!$N$8,$M3310='112'!$I$6)),"x",""))</f>
        <v/>
      </c>
      <c r="U3310" s="525" t="str">
        <f>IF(AND(B3310&gt;='IN-NX'!$P$3,B3310&lt;='IN-NX'!$Q$3,'IN-NX'!$D$7=D3310,OR(LEFT(L3310,2)="15",AND(LEFT(M3310,2)&lt;&gt;"15",LEFT(M3310,2)&lt;&gt;"33"))),"x","")</f>
        <v/>
      </c>
      <c r="V3310" s="525" t="str">
        <f>IF(AND(OR(LEFT(TH!L3310,2)="15",LEFT(TH!M3310,2)="15"),'152-CT'!$J$8=TH!F3310),"x","")</f>
        <v/>
      </c>
      <c r="W3310" s="525" t="str">
        <f>IF(AND(OR(LEFT(TH!L3310,2)="15",LEFT(TH!M3310,2)="15"),TK!$E$7=TH!F3310),"x","")</f>
        <v/>
      </c>
      <c r="X3310" s="525" t="str">
        <f>IF(AND('341-CT'!$E$9=H3310,OR(LEFT(L3310,3)=$X$7,LEFT(M3310,3)=$X$7)),"x","")</f>
        <v/>
      </c>
      <c r="Y3310" s="525" t="str">
        <f>IF(OR(TH!L3310=TH!$Y$7,M3310=TH!$Y$7),"x","")</f>
        <v/>
      </c>
      <c r="Z3310" s="525" t="str">
        <f>IF(AND(B3310&lt;=NKC!$N$8,B3310&gt;=NKC!$M$8),"x","")</f>
        <v/>
      </c>
      <c r="AA3310" s="526"/>
      <c r="AB3310" s="527"/>
    </row>
    <row r="3311" spans="1:28" s="576" customFormat="1" ht="15.75" customHeight="1">
      <c r="A3311" s="517" t="str">
        <f>IF(B3311&lt;&gt;"",IF(AND(B3311&gt;=_TM1,B3311&lt;=_TM2,OR(TH!L3311="1111",TH!M3311="1111")),TH!D3311,""),"")</f>
        <v/>
      </c>
      <c r="B3311" s="518">
        <f t="shared" si="322"/>
        <v>6</v>
      </c>
      <c r="C3311" s="571">
        <f t="shared" si="320"/>
        <v>42914</v>
      </c>
      <c r="D3311" s="571" t="s">
        <v>996</v>
      </c>
      <c r="E3311" s="571">
        <v>42914</v>
      </c>
      <c r="F3311" s="520" t="s">
        <v>655</v>
      </c>
      <c r="G3311" s="573" t="s">
        <v>1251</v>
      </c>
      <c r="H3311" s="574" t="s">
        <v>800</v>
      </c>
      <c r="I3311" s="523">
        <v>60</v>
      </c>
      <c r="J3311" s="523">
        <v>51874</v>
      </c>
      <c r="K3311" s="575">
        <f t="shared" si="321"/>
        <v>3112440</v>
      </c>
      <c r="L3311" s="591" t="s">
        <v>160</v>
      </c>
      <c r="M3311" s="591" t="s">
        <v>292</v>
      </c>
      <c r="N3311" s="525" t="str">
        <f>IF(AND('331-CT'!$E$7=TH!H3311,OR(L3311="331",M3311="331")),"331",IF(AND(OR(L3311="131",M3311="131"),H3311='131-CT'!$E$7),"131",""))</f>
        <v/>
      </c>
      <c r="O3311" s="525" t="str">
        <f>IF(AND($B3311&gt;='111'!$N$11,$B3311&lt;='111'!$O$11,OR($L3311=$O$7,$M3311=$O$7)),"x","")</f>
        <v/>
      </c>
      <c r="P3311" s="525" t="str">
        <f>IF(AND($L3311=$O$7,$B3311&lt;'111'!$N$11),"x","")</f>
        <v/>
      </c>
      <c r="Q3311" s="525" t="str">
        <f>IF(AND($M3311=$O$7,$B3311&lt;'111'!$N$11),"x","")</f>
        <v/>
      </c>
      <c r="R3311" s="525" t="str">
        <f>IF(ISERROR(FIND('112'!$M$9,G3311,1)),"",IF((AND(FIND('112'!$M$9,G3311,1)&gt;=1,$B3311&gt;='112'!$N$8,$B3311&lt;='112'!$O$8,OR($L3311='112'!$I$6,$M3311='112'!$I$6))),"x",""))</f>
        <v/>
      </c>
      <c r="S3311" s="525" t="str">
        <f>IF(ISERROR(FIND('112'!$M$9,G3311,1)),"",IF((AND(LEFT(G3311,2)=LEFT('112'!$M$9,2),B3311&lt;'112'!$N$8,$L3311='112'!$I$6)),"x",""))</f>
        <v/>
      </c>
      <c r="T3311" s="525" t="str">
        <f>IF(ISERROR(FIND('112'!$M$9,G3311,1)),"",IF((AND(RIGHT(G3311,2)=RIGHT('112'!$M$9,2),B3311&lt;'112'!$N$8,$M3311='112'!$I$6)),"x",""))</f>
        <v/>
      </c>
      <c r="U3311" s="525" t="str">
        <f>IF(AND(B3311&gt;='IN-NX'!$P$3,B3311&lt;='IN-NX'!$Q$3,'IN-NX'!$D$7=D3311,OR(LEFT(L3311,2)="15",AND(LEFT(M3311,2)&lt;&gt;"15",LEFT(M3311,2)&lt;&gt;"33"))),"x","")</f>
        <v/>
      </c>
      <c r="V3311" s="525" t="str">
        <f>IF(AND(OR(LEFT(TH!L3311,2)="15",LEFT(TH!M3311,2)="15"),'152-CT'!$J$8=TH!F3311),"x","")</f>
        <v/>
      </c>
      <c r="W3311" s="525" t="str">
        <f>IF(AND(OR(LEFT(TH!L3311,2)="15",LEFT(TH!M3311,2)="15"),TK!$E$7=TH!F3311),"x","")</f>
        <v/>
      </c>
      <c r="X3311" s="525" t="str">
        <f>IF(AND('341-CT'!$E$9=H3311,OR(LEFT(L3311,3)=$X$7,LEFT(M3311,3)=$X$7)),"x","")</f>
        <v/>
      </c>
      <c r="Y3311" s="525" t="str">
        <f>IF(OR(TH!L3311=TH!$Y$7,M3311=TH!$Y$7),"x","")</f>
        <v/>
      </c>
      <c r="Z3311" s="525" t="str">
        <f>IF(AND(B3311&lt;=NKC!$N$8,B3311&gt;=NKC!$M$8),"x","")</f>
        <v/>
      </c>
      <c r="AA3311" s="526"/>
      <c r="AB3311" s="527"/>
    </row>
    <row r="3312" spans="1:28" s="576" customFormat="1" ht="15.75" customHeight="1">
      <c r="A3312" s="517" t="str">
        <f>IF(B3312&lt;&gt;"",IF(AND(B3312&gt;=_TM1,B3312&lt;=_TM2,OR(TH!L3312="1111",TH!M3312="1111")),TH!D3312,""),"")</f>
        <v/>
      </c>
      <c r="B3312" s="518">
        <f t="shared" si="322"/>
        <v>6</v>
      </c>
      <c r="C3312" s="571">
        <f t="shared" si="320"/>
        <v>42914</v>
      </c>
      <c r="D3312" s="571" t="s">
        <v>996</v>
      </c>
      <c r="E3312" s="571">
        <v>42914</v>
      </c>
      <c r="F3312" s="520" t="s">
        <v>691</v>
      </c>
      <c r="G3312" s="573" t="s">
        <v>1251</v>
      </c>
      <c r="H3312" s="574" t="s">
        <v>800</v>
      </c>
      <c r="I3312" s="523">
        <v>8</v>
      </c>
      <c r="J3312" s="523">
        <v>56402</v>
      </c>
      <c r="K3312" s="575">
        <f t="shared" si="321"/>
        <v>451216</v>
      </c>
      <c r="L3312" s="591" t="s">
        <v>160</v>
      </c>
      <c r="M3312" s="591" t="s">
        <v>292</v>
      </c>
      <c r="N3312" s="525" t="str">
        <f>IF(AND('331-CT'!$E$7=TH!H3312,OR(L3312="331",M3312="331")),"331",IF(AND(OR(L3312="131",M3312="131"),H3312='131-CT'!$E$7),"131",""))</f>
        <v/>
      </c>
      <c r="O3312" s="525" t="str">
        <f>IF(AND($B3312&gt;='111'!$N$11,$B3312&lt;='111'!$O$11,OR($L3312=$O$7,$M3312=$O$7)),"x","")</f>
        <v/>
      </c>
      <c r="P3312" s="525" t="str">
        <f>IF(AND($L3312=$O$7,$B3312&lt;'111'!$N$11),"x","")</f>
        <v/>
      </c>
      <c r="Q3312" s="525" t="str">
        <f>IF(AND($M3312=$O$7,$B3312&lt;'111'!$N$11),"x","")</f>
        <v/>
      </c>
      <c r="R3312" s="525" t="str">
        <f>IF(ISERROR(FIND('112'!$M$9,G3312,1)),"",IF((AND(FIND('112'!$M$9,G3312,1)&gt;=1,$B3312&gt;='112'!$N$8,$B3312&lt;='112'!$O$8,OR($L3312='112'!$I$6,$M3312='112'!$I$6))),"x",""))</f>
        <v/>
      </c>
      <c r="S3312" s="525" t="str">
        <f>IF(ISERROR(FIND('112'!$M$9,G3312,1)),"",IF((AND(LEFT(G3312,2)=LEFT('112'!$M$9,2),B3312&lt;'112'!$N$8,$L3312='112'!$I$6)),"x",""))</f>
        <v/>
      </c>
      <c r="T3312" s="525" t="str">
        <f>IF(ISERROR(FIND('112'!$M$9,G3312,1)),"",IF((AND(RIGHT(G3312,2)=RIGHT('112'!$M$9,2),B3312&lt;'112'!$N$8,$M3312='112'!$I$6)),"x",""))</f>
        <v/>
      </c>
      <c r="U3312" s="525" t="str">
        <f>IF(AND(B3312&gt;='IN-NX'!$P$3,B3312&lt;='IN-NX'!$Q$3,'IN-NX'!$D$7=D3312,OR(LEFT(L3312,2)="15",AND(LEFT(M3312,2)&lt;&gt;"15",LEFT(M3312,2)&lt;&gt;"33"))),"x","")</f>
        <v/>
      </c>
      <c r="V3312" s="525" t="str">
        <f>IF(AND(OR(LEFT(TH!L3312,2)="15",LEFT(TH!M3312,2)="15"),'152-CT'!$J$8=TH!F3312),"x","")</f>
        <v/>
      </c>
      <c r="W3312" s="525" t="str">
        <f>IF(AND(OR(LEFT(TH!L3312,2)="15",LEFT(TH!M3312,2)="15"),TK!$E$7=TH!F3312),"x","")</f>
        <v/>
      </c>
      <c r="X3312" s="525" t="str">
        <f>IF(AND('341-CT'!$E$9=H3312,OR(LEFT(L3312,3)=$X$7,LEFT(M3312,3)=$X$7)),"x","")</f>
        <v/>
      </c>
      <c r="Y3312" s="525" t="str">
        <f>IF(OR(TH!L3312=TH!$Y$7,M3312=TH!$Y$7),"x","")</f>
        <v/>
      </c>
      <c r="Z3312" s="525" t="str">
        <f>IF(AND(B3312&lt;=NKC!$N$8,B3312&gt;=NKC!$M$8),"x","")</f>
        <v/>
      </c>
      <c r="AA3312" s="526"/>
      <c r="AB3312" s="527"/>
    </row>
    <row r="3313" spans="1:30" s="576" customFormat="1" ht="15.75" customHeight="1">
      <c r="A3313" s="517" t="str">
        <f>IF(B3313&lt;&gt;"",IF(AND(B3313&gt;=_TM1,B3313&lt;=_TM2,OR(TH!L3313="1111",TH!M3313="1111")),TH!D3313,""),"")</f>
        <v/>
      </c>
      <c r="B3313" s="518">
        <f t="shared" si="322"/>
        <v>6</v>
      </c>
      <c r="C3313" s="571">
        <f t="shared" si="320"/>
        <v>42914</v>
      </c>
      <c r="D3313" s="571" t="s">
        <v>996</v>
      </c>
      <c r="E3313" s="571">
        <v>42914</v>
      </c>
      <c r="F3313" s="520" t="s">
        <v>1233</v>
      </c>
      <c r="G3313" s="573" t="s">
        <v>1251</v>
      </c>
      <c r="H3313" s="574" t="s">
        <v>800</v>
      </c>
      <c r="I3313" s="523">
        <v>12</v>
      </c>
      <c r="J3313" s="523">
        <v>52012</v>
      </c>
      <c r="K3313" s="575">
        <f t="shared" si="321"/>
        <v>624144</v>
      </c>
      <c r="L3313" s="591" t="s">
        <v>160</v>
      </c>
      <c r="M3313" s="591" t="s">
        <v>292</v>
      </c>
      <c r="N3313" s="525" t="str">
        <f>IF(AND('331-CT'!$E$7=TH!H3313,OR(L3313="331",M3313="331")),"331",IF(AND(OR(L3313="131",M3313="131"),H3313='131-CT'!$E$7),"131",""))</f>
        <v/>
      </c>
      <c r="O3313" s="525" t="str">
        <f>IF(AND($B3313&gt;='111'!$N$11,$B3313&lt;='111'!$O$11,OR($L3313=$O$7,$M3313=$O$7)),"x","")</f>
        <v/>
      </c>
      <c r="P3313" s="525" t="str">
        <f>IF(AND($L3313=$O$7,$B3313&lt;'111'!$N$11),"x","")</f>
        <v/>
      </c>
      <c r="Q3313" s="525" t="str">
        <f>IF(AND($M3313=$O$7,$B3313&lt;'111'!$N$11),"x","")</f>
        <v/>
      </c>
      <c r="R3313" s="525" t="str">
        <f>IF(ISERROR(FIND('112'!$M$9,G3313,1)),"",IF((AND(FIND('112'!$M$9,G3313,1)&gt;=1,$B3313&gt;='112'!$N$8,$B3313&lt;='112'!$O$8,OR($L3313='112'!$I$6,$M3313='112'!$I$6))),"x",""))</f>
        <v/>
      </c>
      <c r="S3313" s="525" t="str">
        <f>IF(ISERROR(FIND('112'!$M$9,G3313,1)),"",IF((AND(LEFT(G3313,2)=LEFT('112'!$M$9,2),B3313&lt;'112'!$N$8,$L3313='112'!$I$6)),"x",""))</f>
        <v/>
      </c>
      <c r="T3313" s="525" t="str">
        <f>IF(ISERROR(FIND('112'!$M$9,G3313,1)),"",IF((AND(RIGHT(G3313,2)=RIGHT('112'!$M$9,2),B3313&lt;'112'!$N$8,$M3313='112'!$I$6)),"x",""))</f>
        <v/>
      </c>
      <c r="U3313" s="525" t="str">
        <f>IF(AND(B3313&gt;='IN-NX'!$P$3,B3313&lt;='IN-NX'!$Q$3,'IN-NX'!$D$7=D3313,OR(LEFT(L3313,2)="15",AND(LEFT(M3313,2)&lt;&gt;"15",LEFT(M3313,2)&lt;&gt;"33"))),"x","")</f>
        <v/>
      </c>
      <c r="V3313" s="525" t="str">
        <f>IF(AND(OR(LEFT(TH!L3313,2)="15",LEFT(TH!M3313,2)="15"),'152-CT'!$J$8=TH!F3313),"x","")</f>
        <v/>
      </c>
      <c r="W3313" s="525" t="str">
        <f>IF(AND(OR(LEFT(TH!L3313,2)="15",LEFT(TH!M3313,2)="15"),TK!$E$7=TH!F3313),"x","")</f>
        <v/>
      </c>
      <c r="X3313" s="525" t="str">
        <f>IF(AND('341-CT'!$E$9=H3313,OR(LEFT(L3313,3)=$X$7,LEFT(M3313,3)=$X$7)),"x","")</f>
        <v/>
      </c>
      <c r="Y3313" s="525" t="str">
        <f>IF(OR(TH!L3313=TH!$Y$7,M3313=TH!$Y$7),"x","")</f>
        <v/>
      </c>
      <c r="Z3313" s="525" t="str">
        <f>IF(AND(B3313&lt;=NKC!$N$8,B3313&gt;=NKC!$M$8),"x","")</f>
        <v/>
      </c>
      <c r="AA3313" s="526"/>
      <c r="AB3313" s="527"/>
    </row>
    <row r="3314" spans="1:30" s="576" customFormat="1" ht="15.75" customHeight="1">
      <c r="A3314" s="517" t="str">
        <f>IF(B3314&lt;&gt;"",IF(AND(B3314&gt;=_TM1,B3314&lt;=_TM2,OR(TH!L3314="1111",TH!M3314="1111")),TH!D3314,""),"")</f>
        <v/>
      </c>
      <c r="B3314" s="518">
        <f t="shared" si="322"/>
        <v>6</v>
      </c>
      <c r="C3314" s="571">
        <f t="shared" si="320"/>
        <v>42914</v>
      </c>
      <c r="D3314" s="571" t="s">
        <v>996</v>
      </c>
      <c r="E3314" s="571">
        <v>42914</v>
      </c>
      <c r="F3314" s="520" t="s">
        <v>662</v>
      </c>
      <c r="G3314" s="573" t="s">
        <v>1251</v>
      </c>
      <c r="H3314" s="574" t="s">
        <v>800</v>
      </c>
      <c r="I3314" s="523">
        <v>4</v>
      </c>
      <c r="J3314" s="523">
        <v>108887</v>
      </c>
      <c r="K3314" s="575">
        <f t="shared" si="321"/>
        <v>435548</v>
      </c>
      <c r="L3314" s="591" t="s">
        <v>160</v>
      </c>
      <c r="M3314" s="591" t="s">
        <v>292</v>
      </c>
      <c r="N3314" s="525" t="str">
        <f>IF(AND('331-CT'!$E$7=TH!H3314,OR(L3314="331",M3314="331")),"331",IF(AND(OR(L3314="131",M3314="131"),H3314='131-CT'!$E$7),"131",""))</f>
        <v/>
      </c>
      <c r="O3314" s="525" t="str">
        <f>IF(AND($B3314&gt;='111'!$N$11,$B3314&lt;='111'!$O$11,OR($L3314=$O$7,$M3314=$O$7)),"x","")</f>
        <v/>
      </c>
      <c r="P3314" s="525" t="str">
        <f>IF(AND($L3314=$O$7,$B3314&lt;'111'!$N$11),"x","")</f>
        <v/>
      </c>
      <c r="Q3314" s="525" t="str">
        <f>IF(AND($M3314=$O$7,$B3314&lt;'111'!$N$11),"x","")</f>
        <v/>
      </c>
      <c r="R3314" s="525" t="str">
        <f>IF(ISERROR(FIND('112'!$M$9,G3314,1)),"",IF((AND(FIND('112'!$M$9,G3314,1)&gt;=1,$B3314&gt;='112'!$N$8,$B3314&lt;='112'!$O$8,OR($L3314='112'!$I$6,$M3314='112'!$I$6))),"x",""))</f>
        <v/>
      </c>
      <c r="S3314" s="525" t="str">
        <f>IF(ISERROR(FIND('112'!$M$9,G3314,1)),"",IF((AND(LEFT(G3314,2)=LEFT('112'!$M$9,2),B3314&lt;'112'!$N$8,$L3314='112'!$I$6)),"x",""))</f>
        <v/>
      </c>
      <c r="T3314" s="525" t="str">
        <f>IF(ISERROR(FIND('112'!$M$9,G3314,1)),"",IF((AND(RIGHT(G3314,2)=RIGHT('112'!$M$9,2),B3314&lt;'112'!$N$8,$M3314='112'!$I$6)),"x",""))</f>
        <v/>
      </c>
      <c r="U3314" s="525" t="str">
        <f>IF(AND(B3314&gt;='IN-NX'!$P$3,B3314&lt;='IN-NX'!$Q$3,'IN-NX'!$D$7=D3314,OR(LEFT(L3314,2)="15",AND(LEFT(M3314,2)&lt;&gt;"15",LEFT(M3314,2)&lt;&gt;"33"))),"x","")</f>
        <v/>
      </c>
      <c r="V3314" s="525" t="str">
        <f>IF(AND(OR(LEFT(TH!L3314,2)="15",LEFT(TH!M3314,2)="15"),'152-CT'!$J$8=TH!F3314),"x","")</f>
        <v/>
      </c>
      <c r="W3314" s="525" t="str">
        <f>IF(AND(OR(LEFT(TH!L3314,2)="15",LEFT(TH!M3314,2)="15"),TK!$E$7=TH!F3314),"x","")</f>
        <v/>
      </c>
      <c r="X3314" s="525" t="str">
        <f>IF(AND('341-CT'!$E$9=H3314,OR(LEFT(L3314,3)=$X$7,LEFT(M3314,3)=$X$7)),"x","")</f>
        <v/>
      </c>
      <c r="Y3314" s="525" t="str">
        <f>IF(OR(TH!L3314=TH!$Y$7,M3314=TH!$Y$7),"x","")</f>
        <v/>
      </c>
      <c r="Z3314" s="525" t="str">
        <f>IF(AND(B3314&lt;=NKC!$N$8,B3314&gt;=NKC!$M$8),"x","")</f>
        <v/>
      </c>
      <c r="AA3314" s="526"/>
      <c r="AB3314" s="527"/>
      <c r="AD3314" s="527"/>
    </row>
    <row r="3315" spans="1:30" s="576" customFormat="1" ht="15.75" customHeight="1">
      <c r="A3315" s="517" t="str">
        <f>IF(B3315&lt;&gt;"",IF(AND(B3315&gt;=_TM1,B3315&lt;=_TM2,OR(TH!L3315="1111",TH!M3315="1111")),TH!D3315,""),"")</f>
        <v/>
      </c>
      <c r="B3315" s="518">
        <f t="shared" si="322"/>
        <v>6</v>
      </c>
      <c r="C3315" s="571">
        <f t="shared" si="320"/>
        <v>42914</v>
      </c>
      <c r="D3315" s="571" t="s">
        <v>996</v>
      </c>
      <c r="E3315" s="571">
        <v>42914</v>
      </c>
      <c r="F3315" s="520" t="s">
        <v>699</v>
      </c>
      <c r="G3315" s="573" t="s">
        <v>1251</v>
      </c>
      <c r="H3315" s="574" t="s">
        <v>800</v>
      </c>
      <c r="I3315" s="523">
        <v>16</v>
      </c>
      <c r="J3315" s="523">
        <v>47318</v>
      </c>
      <c r="K3315" s="575">
        <f t="shared" si="321"/>
        <v>757088</v>
      </c>
      <c r="L3315" s="591" t="s">
        <v>160</v>
      </c>
      <c r="M3315" s="591" t="s">
        <v>292</v>
      </c>
      <c r="N3315" s="525" t="str">
        <f>IF(AND('331-CT'!$E$7=TH!H3315,OR(L3315="331",M3315="331")),"331",IF(AND(OR(L3315="131",M3315="131"),H3315='131-CT'!$E$7),"131",""))</f>
        <v/>
      </c>
      <c r="O3315" s="525" t="str">
        <f>IF(AND($B3315&gt;='111'!$N$11,$B3315&lt;='111'!$O$11,OR($L3315=$O$7,$M3315=$O$7)),"x","")</f>
        <v/>
      </c>
      <c r="P3315" s="525" t="str">
        <f>IF(AND($L3315=$O$7,$B3315&lt;'111'!$N$11),"x","")</f>
        <v/>
      </c>
      <c r="Q3315" s="525" t="str">
        <f>IF(AND($M3315=$O$7,$B3315&lt;'111'!$N$11),"x","")</f>
        <v/>
      </c>
      <c r="R3315" s="525" t="str">
        <f>IF(ISERROR(FIND('112'!$M$9,G3315,1)),"",IF((AND(FIND('112'!$M$9,G3315,1)&gt;=1,$B3315&gt;='112'!$N$8,$B3315&lt;='112'!$O$8,OR($L3315='112'!$I$6,$M3315='112'!$I$6))),"x",""))</f>
        <v/>
      </c>
      <c r="S3315" s="525" t="str">
        <f>IF(ISERROR(FIND('112'!$M$9,G3315,1)),"",IF((AND(LEFT(G3315,2)=LEFT('112'!$M$9,2),B3315&lt;'112'!$N$8,$L3315='112'!$I$6)),"x",""))</f>
        <v/>
      </c>
      <c r="T3315" s="525" t="str">
        <f>IF(ISERROR(FIND('112'!$M$9,G3315,1)),"",IF((AND(RIGHT(G3315,2)=RIGHT('112'!$M$9,2),B3315&lt;'112'!$N$8,$M3315='112'!$I$6)),"x",""))</f>
        <v/>
      </c>
      <c r="U3315" s="525" t="str">
        <f>IF(AND(B3315&gt;='IN-NX'!$P$3,B3315&lt;='IN-NX'!$Q$3,'IN-NX'!$D$7=D3315,OR(LEFT(L3315,2)="15",AND(LEFT(M3315,2)&lt;&gt;"15",LEFT(M3315,2)&lt;&gt;"33"))),"x","")</f>
        <v/>
      </c>
      <c r="V3315" s="525" t="str">
        <f>IF(AND(OR(LEFT(TH!L3315,2)="15",LEFT(TH!M3315,2)="15"),'152-CT'!$J$8=TH!F3315),"x","")</f>
        <v/>
      </c>
      <c r="W3315" s="525" t="str">
        <f>IF(AND(OR(LEFT(TH!L3315,2)="15",LEFT(TH!M3315,2)="15"),TK!$E$7=TH!F3315),"x","")</f>
        <v/>
      </c>
      <c r="X3315" s="525" t="str">
        <f>IF(AND('341-CT'!$E$9=H3315,OR(LEFT(L3315,3)=$X$7,LEFT(M3315,3)=$X$7)),"x","")</f>
        <v/>
      </c>
      <c r="Y3315" s="525" t="str">
        <f>IF(OR(TH!L3315=TH!$Y$7,M3315=TH!$Y$7),"x","")</f>
        <v/>
      </c>
      <c r="Z3315" s="525" t="str">
        <f>IF(AND(B3315&lt;=NKC!$N$8,B3315&gt;=NKC!$M$8),"x","")</f>
        <v/>
      </c>
      <c r="AA3315" s="526"/>
      <c r="AB3315" s="527"/>
      <c r="AC3315" s="527"/>
      <c r="AD3315" s="527"/>
    </row>
    <row r="3316" spans="1:30" s="576" customFormat="1" ht="15.75" customHeight="1">
      <c r="A3316" s="517" t="str">
        <f>IF(B3316&lt;&gt;"",IF(AND(B3316&gt;=_TM1,B3316&lt;=_TM2,OR(TH!L3316="1111",TH!M3316="1111")),TH!D3316,""),"")</f>
        <v/>
      </c>
      <c r="B3316" s="518">
        <f t="shared" si="322"/>
        <v>6</v>
      </c>
      <c r="C3316" s="571">
        <f t="shared" si="320"/>
        <v>42914</v>
      </c>
      <c r="D3316" s="571" t="s">
        <v>996</v>
      </c>
      <c r="E3316" s="571">
        <v>42914</v>
      </c>
      <c r="F3316" s="520" t="s">
        <v>660</v>
      </c>
      <c r="G3316" s="573" t="s">
        <v>1251</v>
      </c>
      <c r="H3316" s="574" t="s">
        <v>800</v>
      </c>
      <c r="I3316" s="523">
        <v>6</v>
      </c>
      <c r="J3316" s="729">
        <v>100408</v>
      </c>
      <c r="K3316" s="575">
        <f t="shared" si="321"/>
        <v>602448</v>
      </c>
      <c r="L3316" s="591" t="s">
        <v>160</v>
      </c>
      <c r="M3316" s="591" t="s">
        <v>292</v>
      </c>
      <c r="N3316" s="525" t="str">
        <f>IF(AND('331-CT'!$E$7=TH!H3316,OR(L3316="331",M3316="331")),"331",IF(AND(OR(L3316="131",M3316="131"),H3316='131-CT'!$E$7),"131",""))</f>
        <v/>
      </c>
      <c r="O3316" s="525" t="str">
        <f>IF(AND($B3316&gt;='111'!$N$11,$B3316&lt;='111'!$O$11,OR($L3316=$O$7,$M3316=$O$7)),"x","")</f>
        <v/>
      </c>
      <c r="P3316" s="525" t="str">
        <f>IF(AND($L3316=$O$7,$B3316&lt;'111'!$N$11),"x","")</f>
        <v/>
      </c>
      <c r="Q3316" s="525" t="str">
        <f>IF(AND($M3316=$O$7,$B3316&lt;'111'!$N$11),"x","")</f>
        <v/>
      </c>
      <c r="R3316" s="525" t="str">
        <f>IF(ISERROR(FIND('112'!$M$9,G3316,1)),"",IF((AND(FIND('112'!$M$9,G3316,1)&gt;=1,$B3316&gt;='112'!$N$8,$B3316&lt;='112'!$O$8,OR($L3316='112'!$I$6,$M3316='112'!$I$6))),"x",""))</f>
        <v/>
      </c>
      <c r="S3316" s="525" t="str">
        <f>IF(ISERROR(FIND('112'!$M$9,G3316,1)),"",IF((AND(LEFT(G3316,2)=LEFT('112'!$M$9,2),B3316&lt;'112'!$N$8,$L3316='112'!$I$6)),"x",""))</f>
        <v/>
      </c>
      <c r="T3316" s="525" t="str">
        <f>IF(ISERROR(FIND('112'!$M$9,G3316,1)),"",IF((AND(RIGHT(G3316,2)=RIGHT('112'!$M$9,2),B3316&lt;'112'!$N$8,$M3316='112'!$I$6)),"x",""))</f>
        <v/>
      </c>
      <c r="U3316" s="525" t="str">
        <f>IF(AND(B3316&gt;='IN-NX'!$P$3,B3316&lt;='IN-NX'!$Q$3,'IN-NX'!$D$7=D3316,OR(LEFT(L3316,2)="15",AND(LEFT(M3316,2)&lt;&gt;"15",LEFT(M3316,2)&lt;&gt;"33"))),"x","")</f>
        <v/>
      </c>
      <c r="V3316" s="525" t="str">
        <f>IF(AND(OR(LEFT(TH!L3316,2)="15",LEFT(TH!M3316,2)="15"),'152-CT'!$J$8=TH!F3316),"x","")</f>
        <v/>
      </c>
      <c r="W3316" s="525" t="str">
        <f>IF(AND(OR(LEFT(TH!L3316,2)="15",LEFT(TH!M3316,2)="15"),TK!$E$7=TH!F3316),"x","")</f>
        <v/>
      </c>
      <c r="X3316" s="525" t="str">
        <f>IF(AND('341-CT'!$E$9=H3316,OR(LEFT(L3316,3)=$X$7,LEFT(M3316,3)=$X$7)),"x","")</f>
        <v/>
      </c>
      <c r="Y3316" s="525" t="str">
        <f>IF(OR(TH!L3316=TH!$Y$7,M3316=TH!$Y$7),"x","")</f>
        <v/>
      </c>
      <c r="Z3316" s="525" t="str">
        <f>IF(AND(B3316&lt;=NKC!$N$8,B3316&gt;=NKC!$M$8),"x","")</f>
        <v/>
      </c>
      <c r="AA3316" s="526"/>
      <c r="AB3316" s="527"/>
      <c r="AC3316" s="527"/>
      <c r="AD3316" s="527"/>
    </row>
    <row r="3317" spans="1:30" s="576" customFormat="1" ht="15.75" customHeight="1">
      <c r="A3317" s="517" t="str">
        <f>IF(B3317&lt;&gt;"",IF(AND(B3317&gt;=_TM1,B3317&lt;=_TM2,OR(TH!L3317="1111",TH!M3317="1111")),TH!D3317,""),"")</f>
        <v/>
      </c>
      <c r="B3317" s="518">
        <f t="shared" si="322"/>
        <v>6</v>
      </c>
      <c r="C3317" s="571">
        <f t="shared" si="320"/>
        <v>42914</v>
      </c>
      <c r="D3317" s="571" t="s">
        <v>996</v>
      </c>
      <c r="E3317" s="571">
        <v>42914</v>
      </c>
      <c r="F3317" s="520" t="s">
        <v>1234</v>
      </c>
      <c r="G3317" s="573" t="s">
        <v>1251</v>
      </c>
      <c r="H3317" s="574" t="s">
        <v>800</v>
      </c>
      <c r="I3317" s="523">
        <v>6</v>
      </c>
      <c r="J3317" s="523">
        <v>108775</v>
      </c>
      <c r="K3317" s="575">
        <f t="shared" si="321"/>
        <v>652650</v>
      </c>
      <c r="L3317" s="591" t="s">
        <v>160</v>
      </c>
      <c r="M3317" s="591" t="s">
        <v>292</v>
      </c>
      <c r="N3317" s="525" t="str">
        <f>IF(AND('331-CT'!$E$7=TH!H3317,OR(L3317="331",M3317="331")),"331",IF(AND(OR(L3317="131",M3317="131"),H3317='131-CT'!$E$7),"131",""))</f>
        <v/>
      </c>
      <c r="O3317" s="525" t="str">
        <f>IF(AND($B3317&gt;='111'!$N$11,$B3317&lt;='111'!$O$11,OR($L3317=$O$7,$M3317=$O$7)),"x","")</f>
        <v/>
      </c>
      <c r="P3317" s="525" t="str">
        <f>IF(AND($L3317=$O$7,$B3317&lt;'111'!$N$11),"x","")</f>
        <v/>
      </c>
      <c r="Q3317" s="525" t="str">
        <f>IF(AND($M3317=$O$7,$B3317&lt;'111'!$N$11),"x","")</f>
        <v/>
      </c>
      <c r="R3317" s="525" t="str">
        <f>IF(ISERROR(FIND('112'!$M$9,G3317,1)),"",IF((AND(FIND('112'!$M$9,G3317,1)&gt;=1,$B3317&gt;='112'!$N$8,$B3317&lt;='112'!$O$8,OR($L3317='112'!$I$6,$M3317='112'!$I$6))),"x",""))</f>
        <v/>
      </c>
      <c r="S3317" s="525" t="str">
        <f>IF(ISERROR(FIND('112'!$M$9,G3317,1)),"",IF((AND(LEFT(G3317,2)=LEFT('112'!$M$9,2),B3317&lt;'112'!$N$8,$L3317='112'!$I$6)),"x",""))</f>
        <v/>
      </c>
      <c r="T3317" s="525" t="str">
        <f>IF(ISERROR(FIND('112'!$M$9,G3317,1)),"",IF((AND(RIGHT(G3317,2)=RIGHT('112'!$M$9,2),B3317&lt;'112'!$N$8,$M3317='112'!$I$6)),"x",""))</f>
        <v/>
      </c>
      <c r="U3317" s="525" t="str">
        <f>IF(AND(B3317&gt;='IN-NX'!$P$3,B3317&lt;='IN-NX'!$Q$3,'IN-NX'!$D$7=D3317,OR(LEFT(L3317,2)="15",AND(LEFT(M3317,2)&lt;&gt;"15",LEFT(M3317,2)&lt;&gt;"33"))),"x","")</f>
        <v/>
      </c>
      <c r="V3317" s="525" t="str">
        <f>IF(AND(OR(LEFT(TH!L3317,2)="15",LEFT(TH!M3317,2)="15"),'152-CT'!$J$8=TH!F3317),"x","")</f>
        <v/>
      </c>
      <c r="W3317" s="525" t="str">
        <f>IF(AND(OR(LEFT(TH!L3317,2)="15",LEFT(TH!M3317,2)="15"),TK!$E$7=TH!F3317),"x","")</f>
        <v/>
      </c>
      <c r="X3317" s="525" t="str">
        <f>IF(AND('341-CT'!$E$9=H3317,OR(LEFT(L3317,3)=$X$7,LEFT(M3317,3)=$X$7)),"x","")</f>
        <v/>
      </c>
      <c r="Y3317" s="525" t="str">
        <f>IF(OR(TH!L3317=TH!$Y$7,M3317=TH!$Y$7),"x","")</f>
        <v/>
      </c>
      <c r="Z3317" s="525" t="str">
        <f>IF(AND(B3317&lt;=NKC!$N$8,B3317&gt;=NKC!$M$8),"x","")</f>
        <v/>
      </c>
      <c r="AA3317" s="526"/>
      <c r="AB3317" s="527"/>
      <c r="AC3317" s="527"/>
      <c r="AD3317" s="527"/>
    </row>
    <row r="3318" spans="1:30" s="576" customFormat="1" ht="15.75" customHeight="1">
      <c r="A3318" s="517" t="str">
        <f>IF(B3318&lt;&gt;"",IF(AND(B3318&gt;=_TM1,B3318&lt;=_TM2,OR(TH!L3318="1111",TH!M3318="1111")),TH!D3318,""),"")</f>
        <v/>
      </c>
      <c r="B3318" s="518">
        <f t="shared" si="322"/>
        <v>6</v>
      </c>
      <c r="C3318" s="571">
        <f t="shared" si="320"/>
        <v>42914</v>
      </c>
      <c r="D3318" s="571" t="s">
        <v>996</v>
      </c>
      <c r="E3318" s="571">
        <v>42914</v>
      </c>
      <c r="F3318" s="520" t="s">
        <v>648</v>
      </c>
      <c r="G3318" s="573" t="s">
        <v>1251</v>
      </c>
      <c r="H3318" s="574" t="s">
        <v>800</v>
      </c>
      <c r="I3318" s="523">
        <v>7</v>
      </c>
      <c r="J3318" s="523">
        <v>49683</v>
      </c>
      <c r="K3318" s="575">
        <f t="shared" si="321"/>
        <v>347781</v>
      </c>
      <c r="L3318" s="591" t="s">
        <v>160</v>
      </c>
      <c r="M3318" s="591" t="s">
        <v>292</v>
      </c>
      <c r="N3318" s="525" t="str">
        <f>IF(AND('331-CT'!$E$7=TH!H3318,OR(L3318="331",M3318="331")),"331",IF(AND(OR(L3318="131",M3318="131"),H3318='131-CT'!$E$7),"131",""))</f>
        <v/>
      </c>
      <c r="O3318" s="525" t="str">
        <f>IF(AND($B3318&gt;='111'!$N$11,$B3318&lt;='111'!$O$11,OR($L3318=$O$7,$M3318=$O$7)),"x","")</f>
        <v/>
      </c>
      <c r="P3318" s="525" t="str">
        <f>IF(AND($L3318=$O$7,$B3318&lt;'111'!$N$11),"x","")</f>
        <v/>
      </c>
      <c r="Q3318" s="525" t="str">
        <f>IF(AND($M3318=$O$7,$B3318&lt;'111'!$N$11),"x","")</f>
        <v/>
      </c>
      <c r="R3318" s="525" t="str">
        <f>IF(ISERROR(FIND('112'!$M$9,G3318,1)),"",IF((AND(FIND('112'!$M$9,G3318,1)&gt;=1,$B3318&gt;='112'!$N$8,$B3318&lt;='112'!$O$8,OR($L3318='112'!$I$6,$M3318='112'!$I$6))),"x",""))</f>
        <v/>
      </c>
      <c r="S3318" s="525" t="str">
        <f>IF(ISERROR(FIND('112'!$M$9,G3318,1)),"",IF((AND(LEFT(G3318,2)=LEFT('112'!$M$9,2),B3318&lt;'112'!$N$8,$L3318='112'!$I$6)),"x",""))</f>
        <v/>
      </c>
      <c r="T3318" s="525" t="str">
        <f>IF(ISERROR(FIND('112'!$M$9,G3318,1)),"",IF((AND(RIGHT(G3318,2)=RIGHT('112'!$M$9,2),B3318&lt;'112'!$N$8,$M3318='112'!$I$6)),"x",""))</f>
        <v/>
      </c>
      <c r="U3318" s="525" t="str">
        <f>IF(AND(B3318&gt;='IN-NX'!$P$3,B3318&lt;='IN-NX'!$Q$3,'IN-NX'!$D$7=D3318,OR(LEFT(L3318,2)="15",AND(LEFT(M3318,2)&lt;&gt;"15",LEFT(M3318,2)&lt;&gt;"33"))),"x","")</f>
        <v/>
      </c>
      <c r="V3318" s="525" t="str">
        <f>IF(AND(OR(LEFT(TH!L3318,2)="15",LEFT(TH!M3318,2)="15"),'152-CT'!$J$8=TH!F3318),"x","")</f>
        <v/>
      </c>
      <c r="W3318" s="525" t="str">
        <f>IF(AND(OR(LEFT(TH!L3318,2)="15",LEFT(TH!M3318,2)="15"),TK!$E$7=TH!F3318),"x","")</f>
        <v/>
      </c>
      <c r="X3318" s="525" t="str">
        <f>IF(AND('341-CT'!$E$9=H3318,OR(LEFT(L3318,3)=$X$7,LEFT(M3318,3)=$X$7)),"x","")</f>
        <v/>
      </c>
      <c r="Y3318" s="525" t="str">
        <f>IF(OR(TH!L3318=TH!$Y$7,M3318=TH!$Y$7),"x","")</f>
        <v/>
      </c>
      <c r="Z3318" s="525" t="str">
        <f>IF(AND(B3318&lt;=NKC!$N$8,B3318&gt;=NKC!$M$8),"x","")</f>
        <v/>
      </c>
      <c r="AA3318" s="526"/>
      <c r="AB3318" s="527"/>
      <c r="AD3318" s="527"/>
    </row>
    <row r="3319" spans="1:30" s="576" customFormat="1" ht="15.75" customHeight="1">
      <c r="A3319" s="517" t="str">
        <f>IF(B3319&lt;&gt;"",IF(AND(B3319&gt;=_TM1,B3319&lt;=_TM2,OR(TH!L3319="1111",TH!M3319="1111")),TH!D3319,""),"")</f>
        <v/>
      </c>
      <c r="B3319" s="518">
        <f t="shared" si="322"/>
        <v>6</v>
      </c>
      <c r="C3319" s="571">
        <f t="shared" si="320"/>
        <v>42914</v>
      </c>
      <c r="D3319" s="571" t="s">
        <v>996</v>
      </c>
      <c r="E3319" s="571">
        <v>42914</v>
      </c>
      <c r="F3319" s="520" t="s">
        <v>661</v>
      </c>
      <c r="G3319" s="573" t="s">
        <v>1251</v>
      </c>
      <c r="H3319" s="574" t="s">
        <v>800</v>
      </c>
      <c r="I3319" s="523">
        <v>7</v>
      </c>
      <c r="J3319" s="523">
        <v>64962</v>
      </c>
      <c r="K3319" s="575">
        <f t="shared" si="321"/>
        <v>454734</v>
      </c>
      <c r="L3319" s="591" t="s">
        <v>160</v>
      </c>
      <c r="M3319" s="591" t="s">
        <v>292</v>
      </c>
      <c r="N3319" s="525" t="str">
        <f>IF(AND('331-CT'!$E$7=TH!H3319,OR(L3319="331",M3319="331")),"331",IF(AND(OR(L3319="131",M3319="131"),H3319='131-CT'!$E$7),"131",""))</f>
        <v/>
      </c>
      <c r="O3319" s="525" t="str">
        <f>IF(AND($B3319&gt;='111'!$N$11,$B3319&lt;='111'!$O$11,OR($L3319=$O$7,$M3319=$O$7)),"x","")</f>
        <v/>
      </c>
      <c r="P3319" s="525" t="str">
        <f>IF(AND($L3319=$O$7,$B3319&lt;'111'!$N$11),"x","")</f>
        <v/>
      </c>
      <c r="Q3319" s="525" t="str">
        <f>IF(AND($M3319=$O$7,$B3319&lt;'111'!$N$11),"x","")</f>
        <v/>
      </c>
      <c r="R3319" s="525" t="str">
        <f>IF(ISERROR(FIND('112'!$M$9,G3319,1)),"",IF((AND(FIND('112'!$M$9,G3319,1)&gt;=1,$B3319&gt;='112'!$N$8,$B3319&lt;='112'!$O$8,OR($L3319='112'!$I$6,$M3319='112'!$I$6))),"x",""))</f>
        <v/>
      </c>
      <c r="S3319" s="525" t="str">
        <f>IF(ISERROR(FIND('112'!$M$9,G3319,1)),"",IF((AND(LEFT(G3319,2)=LEFT('112'!$M$9,2),B3319&lt;'112'!$N$8,$L3319='112'!$I$6)),"x",""))</f>
        <v/>
      </c>
      <c r="T3319" s="525" t="str">
        <f>IF(ISERROR(FIND('112'!$M$9,G3319,1)),"",IF((AND(RIGHT(G3319,2)=RIGHT('112'!$M$9,2),B3319&lt;'112'!$N$8,$M3319='112'!$I$6)),"x",""))</f>
        <v/>
      </c>
      <c r="U3319" s="525" t="str">
        <f>IF(AND(B3319&gt;='IN-NX'!$P$3,B3319&lt;='IN-NX'!$Q$3,'IN-NX'!$D$7=D3319,OR(LEFT(L3319,2)="15",AND(LEFT(M3319,2)&lt;&gt;"15",LEFT(M3319,2)&lt;&gt;"33"))),"x","")</f>
        <v/>
      </c>
      <c r="V3319" s="525" t="str">
        <f>IF(AND(OR(LEFT(TH!L3319,2)="15",LEFT(TH!M3319,2)="15"),'152-CT'!$J$8=TH!F3319),"x","")</f>
        <v/>
      </c>
      <c r="W3319" s="525" t="str">
        <f>IF(AND(OR(LEFT(TH!L3319,2)="15",LEFT(TH!M3319,2)="15"),TK!$E$7=TH!F3319),"x","")</f>
        <v/>
      </c>
      <c r="X3319" s="525" t="str">
        <f>IF(AND('341-CT'!$E$9=H3319,OR(LEFT(L3319,3)=$X$7,LEFT(M3319,3)=$X$7)),"x","")</f>
        <v/>
      </c>
      <c r="Y3319" s="525" t="str">
        <f>IF(OR(TH!L3319=TH!$Y$7,M3319=TH!$Y$7),"x","")</f>
        <v/>
      </c>
      <c r="Z3319" s="525" t="str">
        <f>IF(AND(B3319&lt;=NKC!$N$8,B3319&gt;=NKC!$M$8),"x","")</f>
        <v/>
      </c>
      <c r="AA3319" s="526"/>
      <c r="AB3319" s="527"/>
      <c r="AC3319" s="527"/>
      <c r="AD3319" s="527"/>
    </row>
    <row r="3320" spans="1:30" s="576" customFormat="1" ht="15.75" customHeight="1">
      <c r="A3320" s="517" t="str">
        <f>IF(B3320&lt;&gt;"",IF(AND(B3320&gt;=_TM1,B3320&lt;=_TM2,OR(TH!L3320="1111",TH!M3320="1111")),TH!D3320,""),"")</f>
        <v/>
      </c>
      <c r="B3320" s="518">
        <f t="shared" si="322"/>
        <v>6</v>
      </c>
      <c r="C3320" s="571">
        <f t="shared" si="320"/>
        <v>42914</v>
      </c>
      <c r="D3320" s="571" t="s">
        <v>996</v>
      </c>
      <c r="E3320" s="571">
        <v>42914</v>
      </c>
      <c r="F3320" s="520" t="s">
        <v>1235</v>
      </c>
      <c r="G3320" s="573" t="s">
        <v>1251</v>
      </c>
      <c r="H3320" s="574" t="s">
        <v>800</v>
      </c>
      <c r="I3320" s="523">
        <v>38</v>
      </c>
      <c r="J3320" s="523">
        <v>59270</v>
      </c>
      <c r="K3320" s="575">
        <f t="shared" si="321"/>
        <v>2252260</v>
      </c>
      <c r="L3320" s="591" t="s">
        <v>160</v>
      </c>
      <c r="M3320" s="591" t="s">
        <v>292</v>
      </c>
      <c r="N3320" s="525" t="str">
        <f>IF(AND('331-CT'!$E$7=TH!H3320,OR(L3320="331",M3320="331")),"331",IF(AND(OR(L3320="131",M3320="131"),H3320='131-CT'!$E$7),"131",""))</f>
        <v/>
      </c>
      <c r="O3320" s="525" t="str">
        <f>IF(AND($B3320&gt;='111'!$N$11,$B3320&lt;='111'!$O$11,OR($L3320=$O$7,$M3320=$O$7)),"x","")</f>
        <v/>
      </c>
      <c r="P3320" s="525" t="str">
        <f>IF(AND($L3320=$O$7,$B3320&lt;'111'!$N$11),"x","")</f>
        <v/>
      </c>
      <c r="Q3320" s="525" t="str">
        <f>IF(AND($M3320=$O$7,$B3320&lt;'111'!$N$11),"x","")</f>
        <v/>
      </c>
      <c r="R3320" s="525" t="str">
        <f>IF(ISERROR(FIND('112'!$M$9,G3320,1)),"",IF((AND(FIND('112'!$M$9,G3320,1)&gt;=1,$B3320&gt;='112'!$N$8,$B3320&lt;='112'!$O$8,OR($L3320='112'!$I$6,$M3320='112'!$I$6))),"x",""))</f>
        <v/>
      </c>
      <c r="S3320" s="525" t="str">
        <f>IF(ISERROR(FIND('112'!$M$9,G3320,1)),"",IF((AND(LEFT(G3320,2)=LEFT('112'!$M$9,2),B3320&lt;'112'!$N$8,$L3320='112'!$I$6)),"x",""))</f>
        <v/>
      </c>
      <c r="T3320" s="525" t="str">
        <f>IF(ISERROR(FIND('112'!$M$9,G3320,1)),"",IF((AND(RIGHT(G3320,2)=RIGHT('112'!$M$9,2),B3320&lt;'112'!$N$8,$M3320='112'!$I$6)),"x",""))</f>
        <v/>
      </c>
      <c r="U3320" s="525" t="str">
        <f>IF(AND(B3320&gt;='IN-NX'!$P$3,B3320&lt;='IN-NX'!$Q$3,'IN-NX'!$D$7=D3320,OR(LEFT(L3320,2)="15",AND(LEFT(M3320,2)&lt;&gt;"15",LEFT(M3320,2)&lt;&gt;"33"))),"x","")</f>
        <v/>
      </c>
      <c r="V3320" s="525" t="str">
        <f>IF(AND(OR(LEFT(TH!L3320,2)="15",LEFT(TH!M3320,2)="15"),'152-CT'!$J$8=TH!F3320),"x","")</f>
        <v/>
      </c>
      <c r="W3320" s="525" t="str">
        <f>IF(AND(OR(LEFT(TH!L3320,2)="15",LEFT(TH!M3320,2)="15"),TK!$E$7=TH!F3320),"x","")</f>
        <v/>
      </c>
      <c r="X3320" s="525" t="str">
        <f>IF(AND('341-CT'!$E$9=H3320,OR(LEFT(L3320,3)=$X$7,LEFT(M3320,3)=$X$7)),"x","")</f>
        <v/>
      </c>
      <c r="Y3320" s="525" t="str">
        <f>IF(OR(TH!L3320=TH!$Y$7,M3320=TH!$Y$7),"x","")</f>
        <v/>
      </c>
      <c r="Z3320" s="525" t="str">
        <f>IF(AND(B3320&lt;=NKC!$N$8,B3320&gt;=NKC!$M$8),"x","")</f>
        <v/>
      </c>
      <c r="AA3320" s="526"/>
      <c r="AB3320" s="527"/>
      <c r="AD3320" s="527"/>
    </row>
    <row r="3321" spans="1:30" s="576" customFormat="1" ht="15.75" customHeight="1">
      <c r="A3321" s="517" t="str">
        <f>IF(B3321&lt;&gt;"",IF(AND(B3321&gt;=_TM1,B3321&lt;=_TM2,OR(TH!L3321="1111",TH!M3321="1111")),TH!D3321,""),"")</f>
        <v/>
      </c>
      <c r="B3321" s="518">
        <f t="shared" si="322"/>
        <v>6</v>
      </c>
      <c r="C3321" s="571">
        <f t="shared" si="320"/>
        <v>42914</v>
      </c>
      <c r="D3321" s="571" t="s">
        <v>996</v>
      </c>
      <c r="E3321" s="571">
        <v>42914</v>
      </c>
      <c r="F3321" s="520" t="s">
        <v>692</v>
      </c>
      <c r="G3321" s="573" t="s">
        <v>1251</v>
      </c>
      <c r="H3321" s="574" t="s">
        <v>800</v>
      </c>
      <c r="I3321" s="523">
        <v>3</v>
      </c>
      <c r="J3321" s="523">
        <v>189000</v>
      </c>
      <c r="K3321" s="575">
        <f t="shared" si="321"/>
        <v>567000</v>
      </c>
      <c r="L3321" s="591" t="s">
        <v>160</v>
      </c>
      <c r="M3321" s="591" t="s">
        <v>292</v>
      </c>
      <c r="N3321" s="525" t="str">
        <f>IF(AND('331-CT'!$E$7=TH!H3321,OR(L3321="331",M3321="331")),"331",IF(AND(OR(L3321="131",M3321="131"),H3321='131-CT'!$E$7),"131",""))</f>
        <v/>
      </c>
      <c r="O3321" s="525" t="str">
        <f>IF(AND($B3321&gt;='111'!$N$11,$B3321&lt;='111'!$O$11,OR($L3321=$O$7,$M3321=$O$7)),"x","")</f>
        <v/>
      </c>
      <c r="P3321" s="525" t="str">
        <f>IF(AND($L3321=$O$7,$B3321&lt;'111'!$N$11),"x","")</f>
        <v/>
      </c>
      <c r="Q3321" s="525" t="str">
        <f>IF(AND($M3321=$O$7,$B3321&lt;'111'!$N$11),"x","")</f>
        <v/>
      </c>
      <c r="R3321" s="525" t="str">
        <f>IF(ISERROR(FIND('112'!$M$9,G3321,1)),"",IF((AND(FIND('112'!$M$9,G3321,1)&gt;=1,$B3321&gt;='112'!$N$8,$B3321&lt;='112'!$O$8,OR($L3321='112'!$I$6,$M3321='112'!$I$6))),"x",""))</f>
        <v/>
      </c>
      <c r="S3321" s="525" t="str">
        <f>IF(ISERROR(FIND('112'!$M$9,G3321,1)),"",IF((AND(LEFT(G3321,2)=LEFT('112'!$M$9,2),B3321&lt;'112'!$N$8,$L3321='112'!$I$6)),"x",""))</f>
        <v/>
      </c>
      <c r="T3321" s="525" t="str">
        <f>IF(ISERROR(FIND('112'!$M$9,G3321,1)),"",IF((AND(RIGHT(G3321,2)=RIGHT('112'!$M$9,2),B3321&lt;'112'!$N$8,$M3321='112'!$I$6)),"x",""))</f>
        <v/>
      </c>
      <c r="U3321" s="525" t="str">
        <f>IF(AND(B3321&gt;='IN-NX'!$P$3,B3321&lt;='IN-NX'!$Q$3,'IN-NX'!$D$7=D3321,OR(LEFT(L3321,2)="15",AND(LEFT(M3321,2)&lt;&gt;"15",LEFT(M3321,2)&lt;&gt;"33"))),"x","")</f>
        <v/>
      </c>
      <c r="V3321" s="525" t="str">
        <f>IF(AND(OR(LEFT(TH!L3321,2)="15",LEFT(TH!M3321,2)="15"),'152-CT'!$J$8=TH!F3321),"x","")</f>
        <v/>
      </c>
      <c r="W3321" s="525" t="str">
        <f>IF(AND(OR(LEFT(TH!L3321,2)="15",LEFT(TH!M3321,2)="15"),TK!$E$7=TH!F3321),"x","")</f>
        <v/>
      </c>
      <c r="X3321" s="525" t="str">
        <f>IF(AND('341-CT'!$E$9=H3321,OR(LEFT(L3321,3)=$X$7,LEFT(M3321,3)=$X$7)),"x","")</f>
        <v/>
      </c>
      <c r="Y3321" s="525" t="str">
        <f>IF(OR(TH!L3321=TH!$Y$7,M3321=TH!$Y$7),"x","")</f>
        <v/>
      </c>
      <c r="Z3321" s="525" t="str">
        <f>IF(AND(B3321&lt;=NKC!$N$8,B3321&gt;=NKC!$M$8),"x","")</f>
        <v/>
      </c>
      <c r="AA3321" s="526"/>
      <c r="AB3321" s="527"/>
      <c r="AC3321" s="527"/>
      <c r="AD3321" s="527"/>
    </row>
    <row r="3322" spans="1:30" s="576" customFormat="1" ht="15.75" customHeight="1">
      <c r="A3322" s="517" t="str">
        <f>IF(B3322&lt;&gt;"",IF(AND(B3322&gt;=_TM1,B3322&lt;=_TM2,OR(TH!L3322="1111",TH!M3322="1111")),TH!D3322,""),"")</f>
        <v/>
      </c>
      <c r="B3322" s="518">
        <f t="shared" si="322"/>
        <v>6</v>
      </c>
      <c r="C3322" s="571">
        <f t="shared" si="320"/>
        <v>42914</v>
      </c>
      <c r="D3322" s="571" t="s">
        <v>996</v>
      </c>
      <c r="E3322" s="571">
        <v>42914</v>
      </c>
      <c r="F3322" s="520" t="s">
        <v>1162</v>
      </c>
      <c r="G3322" s="573" t="s">
        <v>1251</v>
      </c>
      <c r="H3322" s="574" t="s">
        <v>800</v>
      </c>
      <c r="I3322" s="523">
        <v>20</v>
      </c>
      <c r="J3322" s="523">
        <v>191330</v>
      </c>
      <c r="K3322" s="575">
        <f t="shared" si="321"/>
        <v>3826600</v>
      </c>
      <c r="L3322" s="591" t="s">
        <v>160</v>
      </c>
      <c r="M3322" s="591" t="s">
        <v>292</v>
      </c>
      <c r="N3322" s="525" t="str">
        <f>IF(AND('331-CT'!$E$7=TH!H3322,OR(L3322="331",M3322="331")),"331",IF(AND(OR(L3322="131",M3322="131"),H3322='131-CT'!$E$7),"131",""))</f>
        <v/>
      </c>
      <c r="O3322" s="525" t="str">
        <f>IF(AND($B3322&gt;='111'!$N$11,$B3322&lt;='111'!$O$11,OR($L3322=$O$7,$M3322=$O$7)),"x","")</f>
        <v/>
      </c>
      <c r="P3322" s="525" t="str">
        <f>IF(AND($L3322=$O$7,$B3322&lt;'111'!$N$11),"x","")</f>
        <v/>
      </c>
      <c r="Q3322" s="525" t="str">
        <f>IF(AND($M3322=$O$7,$B3322&lt;'111'!$N$11),"x","")</f>
        <v/>
      </c>
      <c r="R3322" s="525" t="str">
        <f>IF(ISERROR(FIND('112'!$M$9,G3322,1)),"",IF((AND(FIND('112'!$M$9,G3322,1)&gt;=1,$B3322&gt;='112'!$N$8,$B3322&lt;='112'!$O$8,OR($L3322='112'!$I$6,$M3322='112'!$I$6))),"x",""))</f>
        <v/>
      </c>
      <c r="S3322" s="525" t="str">
        <f>IF(ISERROR(FIND('112'!$M$9,G3322,1)),"",IF((AND(LEFT(G3322,2)=LEFT('112'!$M$9,2),B3322&lt;'112'!$N$8,$L3322='112'!$I$6)),"x",""))</f>
        <v/>
      </c>
      <c r="T3322" s="525" t="str">
        <f>IF(ISERROR(FIND('112'!$M$9,G3322,1)),"",IF((AND(RIGHT(G3322,2)=RIGHT('112'!$M$9,2),B3322&lt;'112'!$N$8,$M3322='112'!$I$6)),"x",""))</f>
        <v/>
      </c>
      <c r="U3322" s="525" t="str">
        <f>IF(AND(B3322&gt;='IN-NX'!$P$3,B3322&lt;='IN-NX'!$Q$3,'IN-NX'!$D$7=D3322,OR(LEFT(L3322,2)="15",AND(LEFT(M3322,2)&lt;&gt;"15",LEFT(M3322,2)&lt;&gt;"33"))),"x","")</f>
        <v/>
      </c>
      <c r="V3322" s="525" t="str">
        <f>IF(AND(OR(LEFT(TH!L3322,2)="15",LEFT(TH!M3322,2)="15"),'152-CT'!$J$8=TH!F3322),"x","")</f>
        <v/>
      </c>
      <c r="W3322" s="525" t="str">
        <f>IF(AND(OR(LEFT(TH!L3322,2)="15",LEFT(TH!M3322,2)="15"),TK!$E$7=TH!F3322),"x","")</f>
        <v/>
      </c>
      <c r="X3322" s="525" t="str">
        <f>IF(AND('341-CT'!$E$9=H3322,OR(LEFT(L3322,3)=$X$7,LEFT(M3322,3)=$X$7)),"x","")</f>
        <v/>
      </c>
      <c r="Y3322" s="525" t="str">
        <f>IF(OR(TH!L3322=TH!$Y$7,M3322=TH!$Y$7),"x","")</f>
        <v/>
      </c>
      <c r="Z3322" s="525" t="str">
        <f>IF(AND(B3322&lt;=NKC!$N$8,B3322&gt;=NKC!$M$8),"x","")</f>
        <v/>
      </c>
      <c r="AA3322" s="526"/>
      <c r="AB3322" s="527"/>
      <c r="AC3322" s="527"/>
      <c r="AD3322" s="527"/>
    </row>
    <row r="3323" spans="1:30" s="576" customFormat="1" ht="15.75" customHeight="1">
      <c r="A3323" s="517" t="str">
        <f>IF(B3323&lt;&gt;"",IF(AND(B3323&gt;=_TM1,B3323&lt;=_TM2,OR(TH!L3323="1111",TH!M3323="1111")),TH!D3323,""),"")</f>
        <v/>
      </c>
      <c r="B3323" s="518">
        <f t="shared" si="322"/>
        <v>6</v>
      </c>
      <c r="C3323" s="571">
        <f t="shared" si="320"/>
        <v>42914</v>
      </c>
      <c r="D3323" s="571" t="s">
        <v>996</v>
      </c>
      <c r="E3323" s="571">
        <v>42914</v>
      </c>
      <c r="F3323" s="520" t="s">
        <v>759</v>
      </c>
      <c r="G3323" s="573" t="s">
        <v>1251</v>
      </c>
      <c r="H3323" s="574" t="s">
        <v>800</v>
      </c>
      <c r="I3323" s="523">
        <v>40</v>
      </c>
      <c r="J3323" s="523">
        <v>32851</v>
      </c>
      <c r="K3323" s="575">
        <f t="shared" si="321"/>
        <v>1314040</v>
      </c>
      <c r="L3323" s="591" t="s">
        <v>160</v>
      </c>
      <c r="M3323" s="591" t="s">
        <v>292</v>
      </c>
      <c r="N3323" s="525" t="str">
        <f>IF(AND('331-CT'!$E$7=TH!H3323,OR(L3323="331",M3323="331")),"331",IF(AND(OR(L3323="131",M3323="131"),H3323='131-CT'!$E$7),"131",""))</f>
        <v/>
      </c>
      <c r="O3323" s="525" t="str">
        <f>IF(AND($B3323&gt;='111'!$N$11,$B3323&lt;='111'!$O$11,OR($L3323=$O$7,$M3323=$O$7)),"x","")</f>
        <v/>
      </c>
      <c r="P3323" s="525" t="str">
        <f>IF(AND($L3323=$O$7,$B3323&lt;'111'!$N$11),"x","")</f>
        <v/>
      </c>
      <c r="Q3323" s="525" t="str">
        <f>IF(AND($M3323=$O$7,$B3323&lt;'111'!$N$11),"x","")</f>
        <v/>
      </c>
      <c r="R3323" s="525" t="str">
        <f>IF(ISERROR(FIND('112'!$M$9,G3323,1)),"",IF((AND(FIND('112'!$M$9,G3323,1)&gt;=1,$B3323&gt;='112'!$N$8,$B3323&lt;='112'!$O$8,OR($L3323='112'!$I$6,$M3323='112'!$I$6))),"x",""))</f>
        <v/>
      </c>
      <c r="S3323" s="525" t="str">
        <f>IF(ISERROR(FIND('112'!$M$9,G3323,1)),"",IF((AND(LEFT(G3323,2)=LEFT('112'!$M$9,2),B3323&lt;'112'!$N$8,$L3323='112'!$I$6)),"x",""))</f>
        <v/>
      </c>
      <c r="T3323" s="525" t="str">
        <f>IF(ISERROR(FIND('112'!$M$9,G3323,1)),"",IF((AND(RIGHT(G3323,2)=RIGHT('112'!$M$9,2),B3323&lt;'112'!$N$8,$M3323='112'!$I$6)),"x",""))</f>
        <v/>
      </c>
      <c r="U3323" s="525" t="str">
        <f>IF(AND(B3323&gt;='IN-NX'!$P$3,B3323&lt;='IN-NX'!$Q$3,'IN-NX'!$D$7=D3323,OR(LEFT(L3323,2)="15",AND(LEFT(M3323,2)&lt;&gt;"15",LEFT(M3323,2)&lt;&gt;"33"))),"x","")</f>
        <v/>
      </c>
      <c r="V3323" s="525" t="str">
        <f>IF(AND(OR(LEFT(TH!L3323,2)="15",LEFT(TH!M3323,2)="15"),'152-CT'!$J$8=TH!F3323),"x","")</f>
        <v/>
      </c>
      <c r="W3323" s="525" t="str">
        <f>IF(AND(OR(LEFT(TH!L3323,2)="15",LEFT(TH!M3323,2)="15"),TK!$E$7=TH!F3323),"x","")</f>
        <v/>
      </c>
      <c r="X3323" s="525" t="str">
        <f>IF(AND('341-CT'!$E$9=H3323,OR(LEFT(L3323,3)=$X$7,LEFT(M3323,3)=$X$7)),"x","")</f>
        <v/>
      </c>
      <c r="Y3323" s="525" t="str">
        <f>IF(OR(TH!L3323=TH!$Y$7,M3323=TH!$Y$7),"x","")</f>
        <v/>
      </c>
      <c r="Z3323" s="525" t="str">
        <f>IF(AND(B3323&lt;=NKC!$N$8,B3323&gt;=NKC!$M$8),"x","")</f>
        <v/>
      </c>
      <c r="AA3323" s="526"/>
      <c r="AB3323" s="527"/>
      <c r="AC3323" s="527"/>
      <c r="AD3323" s="527"/>
    </row>
    <row r="3324" spans="1:30" s="576" customFormat="1" ht="15.75" customHeight="1">
      <c r="A3324" s="517" t="str">
        <f>IF(B3324&lt;&gt;"",IF(AND(B3324&gt;=_TM1,B3324&lt;=_TM2,OR(TH!L3324="1111",TH!M3324="1111")),TH!D3324,""),"")</f>
        <v/>
      </c>
      <c r="B3324" s="518">
        <f t="shared" si="322"/>
        <v>6</v>
      </c>
      <c r="C3324" s="571">
        <f t="shared" si="320"/>
        <v>42914</v>
      </c>
      <c r="D3324" s="571" t="s">
        <v>996</v>
      </c>
      <c r="E3324" s="571">
        <v>42914</v>
      </c>
      <c r="F3324" s="520" t="s">
        <v>1164</v>
      </c>
      <c r="G3324" s="573" t="s">
        <v>1251</v>
      </c>
      <c r="H3324" s="574" t="s">
        <v>800</v>
      </c>
      <c r="I3324" s="523">
        <v>512</v>
      </c>
      <c r="J3324" s="523">
        <v>11221</v>
      </c>
      <c r="K3324" s="575">
        <f t="shared" si="321"/>
        <v>5745152</v>
      </c>
      <c r="L3324" s="591" t="s">
        <v>160</v>
      </c>
      <c r="M3324" s="591" t="s">
        <v>292</v>
      </c>
      <c r="N3324" s="525" t="str">
        <f>IF(AND('331-CT'!$E$7=TH!H3324,OR(L3324="331",M3324="331")),"331",IF(AND(OR(L3324="131",M3324="131"),H3324='131-CT'!$E$7),"131",""))</f>
        <v/>
      </c>
      <c r="O3324" s="525" t="str">
        <f>IF(AND($B3324&gt;='111'!$N$11,$B3324&lt;='111'!$O$11,OR($L3324=$O$7,$M3324=$O$7)),"x","")</f>
        <v/>
      </c>
      <c r="P3324" s="525" t="str">
        <f>IF(AND($L3324=$O$7,$B3324&lt;'111'!$N$11),"x","")</f>
        <v/>
      </c>
      <c r="Q3324" s="525" t="str">
        <f>IF(AND($M3324=$O$7,$B3324&lt;'111'!$N$11),"x","")</f>
        <v/>
      </c>
      <c r="R3324" s="525" t="str">
        <f>IF(ISERROR(FIND('112'!$M$9,G3324,1)),"",IF((AND(FIND('112'!$M$9,G3324,1)&gt;=1,$B3324&gt;='112'!$N$8,$B3324&lt;='112'!$O$8,OR($L3324='112'!$I$6,$M3324='112'!$I$6))),"x",""))</f>
        <v/>
      </c>
      <c r="S3324" s="525" t="str">
        <f>IF(ISERROR(FIND('112'!$M$9,G3324,1)),"",IF((AND(LEFT(G3324,2)=LEFT('112'!$M$9,2),B3324&lt;'112'!$N$8,$L3324='112'!$I$6)),"x",""))</f>
        <v/>
      </c>
      <c r="T3324" s="525" t="str">
        <f>IF(ISERROR(FIND('112'!$M$9,G3324,1)),"",IF((AND(RIGHT(G3324,2)=RIGHT('112'!$M$9,2),B3324&lt;'112'!$N$8,$M3324='112'!$I$6)),"x",""))</f>
        <v/>
      </c>
      <c r="U3324" s="525" t="str">
        <f>IF(AND(B3324&gt;='IN-NX'!$P$3,B3324&lt;='IN-NX'!$Q$3,'IN-NX'!$D$7=D3324,OR(LEFT(L3324,2)="15",AND(LEFT(M3324,2)&lt;&gt;"15",LEFT(M3324,2)&lt;&gt;"33"))),"x","")</f>
        <v/>
      </c>
      <c r="V3324" s="525" t="str">
        <f>IF(AND(OR(LEFT(TH!L3324,2)="15",LEFT(TH!M3324,2)="15"),'152-CT'!$J$8=TH!F3324),"x","")</f>
        <v/>
      </c>
      <c r="W3324" s="525" t="str">
        <f>IF(AND(OR(LEFT(TH!L3324,2)="15",LEFT(TH!M3324,2)="15"),TK!$E$7=TH!F3324),"x","")</f>
        <v>x</v>
      </c>
      <c r="X3324" s="525" t="str">
        <f>IF(AND('341-CT'!$E$9=H3324,OR(LEFT(L3324,3)=$X$7,LEFT(M3324,3)=$X$7)),"x","")</f>
        <v/>
      </c>
      <c r="Y3324" s="525" t="str">
        <f>IF(OR(TH!L3324=TH!$Y$7,M3324=TH!$Y$7),"x","")</f>
        <v/>
      </c>
      <c r="Z3324" s="525" t="str">
        <f>IF(AND(B3324&lt;=NKC!$N$8,B3324&gt;=NKC!$M$8),"x","")</f>
        <v/>
      </c>
      <c r="AA3324" s="526"/>
      <c r="AB3324" s="527"/>
      <c r="AC3324" s="527"/>
    </row>
    <row r="3325" spans="1:30" s="576" customFormat="1" ht="15.75" customHeight="1">
      <c r="A3325" s="517" t="str">
        <f>IF(B3325&lt;&gt;"",IF(AND(B3325&gt;=_TM1,B3325&lt;=_TM2,OR(TH!L3325="1111",TH!M3325="1111")),TH!D3325,""),"")</f>
        <v/>
      </c>
      <c r="B3325" s="518">
        <f t="shared" si="322"/>
        <v>6</v>
      </c>
      <c r="C3325" s="571">
        <f t="shared" si="320"/>
        <v>42914</v>
      </c>
      <c r="D3325" s="571" t="s">
        <v>996</v>
      </c>
      <c r="E3325" s="571">
        <v>42914</v>
      </c>
      <c r="F3325" s="520" t="s">
        <v>649</v>
      </c>
      <c r="G3325" s="573" t="s">
        <v>1251</v>
      </c>
      <c r="H3325" s="574" t="s">
        <v>800</v>
      </c>
      <c r="I3325" s="523">
        <v>100</v>
      </c>
      <c r="J3325" s="523">
        <v>63206</v>
      </c>
      <c r="K3325" s="575">
        <f t="shared" si="321"/>
        <v>6320600</v>
      </c>
      <c r="L3325" s="591" t="s">
        <v>160</v>
      </c>
      <c r="M3325" s="591" t="s">
        <v>292</v>
      </c>
      <c r="N3325" s="525" t="str">
        <f>IF(AND('331-CT'!$E$7=TH!H3325,OR(L3325="331",M3325="331")),"331",IF(AND(OR(L3325="131",M3325="131"),H3325='131-CT'!$E$7),"131",""))</f>
        <v/>
      </c>
      <c r="O3325" s="525" t="str">
        <f>IF(AND($B3325&gt;='111'!$N$11,$B3325&lt;='111'!$O$11,OR($L3325=$O$7,$M3325=$O$7)),"x","")</f>
        <v/>
      </c>
      <c r="P3325" s="525" t="str">
        <f>IF(AND($L3325=$O$7,$B3325&lt;'111'!$N$11),"x","")</f>
        <v/>
      </c>
      <c r="Q3325" s="525" t="str">
        <f>IF(AND($M3325=$O$7,$B3325&lt;'111'!$N$11),"x","")</f>
        <v/>
      </c>
      <c r="R3325" s="525" t="str">
        <f>IF(ISERROR(FIND('112'!$M$9,G3325,1)),"",IF((AND(FIND('112'!$M$9,G3325,1)&gt;=1,$B3325&gt;='112'!$N$8,$B3325&lt;='112'!$O$8,OR($L3325='112'!$I$6,$M3325='112'!$I$6))),"x",""))</f>
        <v/>
      </c>
      <c r="S3325" s="525" t="str">
        <f>IF(ISERROR(FIND('112'!$M$9,G3325,1)),"",IF((AND(LEFT(G3325,2)=LEFT('112'!$M$9,2),B3325&lt;'112'!$N$8,$L3325='112'!$I$6)),"x",""))</f>
        <v/>
      </c>
      <c r="T3325" s="525" t="str">
        <f>IF(ISERROR(FIND('112'!$M$9,G3325,1)),"",IF((AND(RIGHT(G3325,2)=RIGHT('112'!$M$9,2),B3325&lt;'112'!$N$8,$M3325='112'!$I$6)),"x",""))</f>
        <v/>
      </c>
      <c r="U3325" s="525" t="str">
        <f>IF(AND(B3325&gt;='IN-NX'!$P$3,B3325&lt;='IN-NX'!$Q$3,'IN-NX'!$D$7=D3325,OR(LEFT(L3325,2)="15",AND(LEFT(M3325,2)&lt;&gt;"15",LEFT(M3325,2)&lt;&gt;"33"))),"x","")</f>
        <v/>
      </c>
      <c r="V3325" s="525" t="str">
        <f>IF(AND(OR(LEFT(TH!L3325,2)="15",LEFT(TH!M3325,2)="15"),'152-CT'!$J$8=TH!F3325),"x","")</f>
        <v/>
      </c>
      <c r="W3325" s="525" t="str">
        <f>IF(AND(OR(LEFT(TH!L3325,2)="15",LEFT(TH!M3325,2)="15"),TK!$E$7=TH!F3325),"x","")</f>
        <v/>
      </c>
      <c r="X3325" s="525" t="str">
        <f>IF(AND('341-CT'!$E$9=H3325,OR(LEFT(L3325,3)=$X$7,LEFT(M3325,3)=$X$7)),"x","")</f>
        <v/>
      </c>
      <c r="Y3325" s="525" t="str">
        <f>IF(OR(TH!L3325=TH!$Y$7,M3325=TH!$Y$7),"x","")</f>
        <v/>
      </c>
      <c r="Z3325" s="525" t="str">
        <f>IF(AND(B3325&lt;=NKC!$N$8,B3325&gt;=NKC!$M$8),"x","")</f>
        <v/>
      </c>
      <c r="AA3325" s="526"/>
      <c r="AB3325" s="527"/>
      <c r="AC3325" s="527"/>
      <c r="AD3325" s="527"/>
    </row>
    <row r="3326" spans="1:30" s="576" customFormat="1" ht="15.75" customHeight="1">
      <c r="A3326" s="517" t="str">
        <f>IF(B3326&lt;&gt;"",IF(AND(B3326&gt;=_TM1,B3326&lt;=_TM2,OR(TH!L3326="1111",TH!M3326="1111")),TH!D3326,""),"")</f>
        <v/>
      </c>
      <c r="B3326" s="518">
        <f t="shared" si="322"/>
        <v>6</v>
      </c>
      <c r="C3326" s="571">
        <f t="shared" si="320"/>
        <v>42914</v>
      </c>
      <c r="D3326" s="571" t="s">
        <v>996</v>
      </c>
      <c r="E3326" s="571">
        <v>42914</v>
      </c>
      <c r="F3326" s="520" t="s">
        <v>1236</v>
      </c>
      <c r="G3326" s="573" t="s">
        <v>1251</v>
      </c>
      <c r="H3326" s="574" t="s">
        <v>800</v>
      </c>
      <c r="I3326" s="523">
        <v>20</v>
      </c>
      <c r="J3326" s="523">
        <v>65175</v>
      </c>
      <c r="K3326" s="575">
        <f t="shared" si="321"/>
        <v>1303500</v>
      </c>
      <c r="L3326" s="591" t="s">
        <v>160</v>
      </c>
      <c r="M3326" s="591" t="s">
        <v>292</v>
      </c>
      <c r="N3326" s="525" t="str">
        <f>IF(AND('331-CT'!$E$7=TH!H3326,OR(L3326="331",M3326="331")),"331",IF(AND(OR(L3326="131",M3326="131"),H3326='131-CT'!$E$7),"131",""))</f>
        <v/>
      </c>
      <c r="O3326" s="525" t="str">
        <f>IF(AND($B3326&gt;='111'!$N$11,$B3326&lt;='111'!$O$11,OR($L3326=$O$7,$M3326=$O$7)),"x","")</f>
        <v/>
      </c>
      <c r="P3326" s="525" t="str">
        <f>IF(AND($L3326=$O$7,$B3326&lt;'111'!$N$11),"x","")</f>
        <v/>
      </c>
      <c r="Q3326" s="525" t="str">
        <f>IF(AND($M3326=$O$7,$B3326&lt;'111'!$N$11),"x","")</f>
        <v/>
      </c>
      <c r="R3326" s="525" t="str">
        <f>IF(ISERROR(FIND('112'!$M$9,G3326,1)),"",IF((AND(FIND('112'!$M$9,G3326,1)&gt;=1,$B3326&gt;='112'!$N$8,$B3326&lt;='112'!$O$8,OR($L3326='112'!$I$6,$M3326='112'!$I$6))),"x",""))</f>
        <v/>
      </c>
      <c r="S3326" s="525" t="str">
        <f>IF(ISERROR(FIND('112'!$M$9,G3326,1)),"",IF((AND(LEFT(G3326,2)=LEFT('112'!$M$9,2),B3326&lt;'112'!$N$8,$L3326='112'!$I$6)),"x",""))</f>
        <v/>
      </c>
      <c r="T3326" s="525" t="str">
        <f>IF(ISERROR(FIND('112'!$M$9,G3326,1)),"",IF((AND(RIGHT(G3326,2)=RIGHT('112'!$M$9,2),B3326&lt;'112'!$N$8,$M3326='112'!$I$6)),"x",""))</f>
        <v/>
      </c>
      <c r="U3326" s="525" t="str">
        <f>IF(AND(B3326&gt;='IN-NX'!$P$3,B3326&lt;='IN-NX'!$Q$3,'IN-NX'!$D$7=D3326,OR(LEFT(L3326,2)="15",AND(LEFT(M3326,2)&lt;&gt;"15",LEFT(M3326,2)&lt;&gt;"33"))),"x","")</f>
        <v/>
      </c>
      <c r="V3326" s="525" t="str">
        <f>IF(AND(OR(LEFT(TH!L3326,2)="15",LEFT(TH!M3326,2)="15"),'152-CT'!$J$8=TH!F3326),"x","")</f>
        <v/>
      </c>
      <c r="W3326" s="525" t="str">
        <f>IF(AND(OR(LEFT(TH!L3326,2)="15",LEFT(TH!M3326,2)="15"),TK!$E$7=TH!F3326),"x","")</f>
        <v/>
      </c>
      <c r="X3326" s="525" t="str">
        <f>IF(AND('341-CT'!$E$9=H3326,OR(LEFT(L3326,3)=$X$7,LEFT(M3326,3)=$X$7)),"x","")</f>
        <v/>
      </c>
      <c r="Y3326" s="525" t="str">
        <f>IF(OR(TH!L3326=TH!$Y$7,M3326=TH!$Y$7),"x","")</f>
        <v/>
      </c>
      <c r="Z3326" s="525" t="str">
        <f>IF(AND(B3326&lt;=NKC!$N$8,B3326&gt;=NKC!$M$8),"x","")</f>
        <v/>
      </c>
      <c r="AA3326" s="526"/>
      <c r="AB3326" s="527"/>
      <c r="AD3326" s="527"/>
    </row>
    <row r="3327" spans="1:30" s="576" customFormat="1" ht="15.75" customHeight="1">
      <c r="A3327" s="517" t="str">
        <f>IF(B3327&lt;&gt;"",IF(AND(B3327&gt;=_TM1,B3327&lt;=_TM2,OR(TH!L3327="1111",TH!M3327="1111")),TH!D3327,""),"")</f>
        <v/>
      </c>
      <c r="B3327" s="518">
        <f t="shared" si="322"/>
        <v>6</v>
      </c>
      <c r="C3327" s="571">
        <f t="shared" si="320"/>
        <v>42914</v>
      </c>
      <c r="D3327" s="571" t="s">
        <v>996</v>
      </c>
      <c r="E3327" s="571">
        <v>42914</v>
      </c>
      <c r="F3327" s="520" t="s">
        <v>1237</v>
      </c>
      <c r="G3327" s="573" t="s">
        <v>1251</v>
      </c>
      <c r="H3327" s="574" t="s">
        <v>800</v>
      </c>
      <c r="I3327" s="523">
        <v>30</v>
      </c>
      <c r="J3327" s="523">
        <v>47472</v>
      </c>
      <c r="K3327" s="575">
        <f t="shared" si="321"/>
        <v>1424160</v>
      </c>
      <c r="L3327" s="591" t="s">
        <v>160</v>
      </c>
      <c r="M3327" s="591" t="s">
        <v>292</v>
      </c>
      <c r="N3327" s="525" t="str">
        <f>IF(AND('331-CT'!$E$7=TH!H3327,OR(L3327="331",M3327="331")),"331",IF(AND(OR(L3327="131",M3327="131"),H3327='131-CT'!$E$7),"131",""))</f>
        <v/>
      </c>
      <c r="O3327" s="525" t="str">
        <f>IF(AND($B3327&gt;='111'!$N$11,$B3327&lt;='111'!$O$11,OR($L3327=$O$7,$M3327=$O$7)),"x","")</f>
        <v/>
      </c>
      <c r="P3327" s="525" t="str">
        <f>IF(AND($L3327=$O$7,$B3327&lt;'111'!$N$11),"x","")</f>
        <v/>
      </c>
      <c r="Q3327" s="525" t="str">
        <f>IF(AND($M3327=$O$7,$B3327&lt;'111'!$N$11),"x","")</f>
        <v/>
      </c>
      <c r="R3327" s="525" t="str">
        <f>IF(ISERROR(FIND('112'!$M$9,G3327,1)),"",IF((AND(FIND('112'!$M$9,G3327,1)&gt;=1,$B3327&gt;='112'!$N$8,$B3327&lt;='112'!$O$8,OR($L3327='112'!$I$6,$M3327='112'!$I$6))),"x",""))</f>
        <v/>
      </c>
      <c r="S3327" s="525" t="str">
        <f>IF(ISERROR(FIND('112'!$M$9,G3327,1)),"",IF((AND(LEFT(G3327,2)=LEFT('112'!$M$9,2),B3327&lt;'112'!$N$8,$L3327='112'!$I$6)),"x",""))</f>
        <v/>
      </c>
      <c r="T3327" s="525" t="str">
        <f>IF(ISERROR(FIND('112'!$M$9,G3327,1)),"",IF((AND(RIGHT(G3327,2)=RIGHT('112'!$M$9,2),B3327&lt;'112'!$N$8,$M3327='112'!$I$6)),"x",""))</f>
        <v/>
      </c>
      <c r="U3327" s="525" t="str">
        <f>IF(AND(B3327&gt;='IN-NX'!$P$3,B3327&lt;='IN-NX'!$Q$3,'IN-NX'!$D$7=D3327,OR(LEFT(L3327,2)="15",AND(LEFT(M3327,2)&lt;&gt;"15",LEFT(M3327,2)&lt;&gt;"33"))),"x","")</f>
        <v/>
      </c>
      <c r="V3327" s="525" t="str">
        <f>IF(AND(OR(LEFT(TH!L3327,2)="15",LEFT(TH!M3327,2)="15"),'152-CT'!$J$8=TH!F3327),"x","")</f>
        <v/>
      </c>
      <c r="W3327" s="525" t="str">
        <f>IF(AND(OR(LEFT(TH!L3327,2)="15",LEFT(TH!M3327,2)="15"),TK!$E$7=TH!F3327),"x","")</f>
        <v/>
      </c>
      <c r="X3327" s="525" t="str">
        <f>IF(AND('341-CT'!$E$9=H3327,OR(LEFT(L3327,3)=$X$7,LEFT(M3327,3)=$X$7)),"x","")</f>
        <v/>
      </c>
      <c r="Y3327" s="525" t="str">
        <f>IF(OR(TH!L3327=TH!$Y$7,M3327=TH!$Y$7),"x","")</f>
        <v/>
      </c>
      <c r="Z3327" s="525" t="str">
        <f>IF(AND(B3327&lt;=NKC!$N$8,B3327&gt;=NKC!$M$8),"x","")</f>
        <v/>
      </c>
      <c r="AA3327" s="526"/>
      <c r="AB3327" s="527"/>
      <c r="AC3327" s="527"/>
      <c r="AD3327" s="527"/>
    </row>
    <row r="3328" spans="1:30" s="576" customFormat="1" ht="15.75" customHeight="1">
      <c r="A3328" s="517" t="str">
        <f>IF(B3328&lt;&gt;"",IF(AND(B3328&gt;=_TM1,B3328&lt;=_TM2,OR(TH!L3328="1111",TH!M3328="1111")),TH!D3328,""),"")</f>
        <v/>
      </c>
      <c r="B3328" s="518">
        <f t="shared" si="322"/>
        <v>6</v>
      </c>
      <c r="C3328" s="571">
        <f t="shared" si="320"/>
        <v>42914</v>
      </c>
      <c r="D3328" s="571" t="s">
        <v>996</v>
      </c>
      <c r="E3328" s="571">
        <v>42914</v>
      </c>
      <c r="F3328" s="520" t="s">
        <v>657</v>
      </c>
      <c r="G3328" s="573" t="s">
        <v>1251</v>
      </c>
      <c r="H3328" s="574" t="s">
        <v>800</v>
      </c>
      <c r="I3328" s="523">
        <v>20</v>
      </c>
      <c r="J3328" s="523">
        <v>54015</v>
      </c>
      <c r="K3328" s="575">
        <f t="shared" si="321"/>
        <v>1080300</v>
      </c>
      <c r="L3328" s="591" t="s">
        <v>160</v>
      </c>
      <c r="M3328" s="591" t="s">
        <v>292</v>
      </c>
      <c r="N3328" s="525" t="str">
        <f>IF(AND('331-CT'!$E$7=TH!H3328,OR(L3328="331",M3328="331")),"331",IF(AND(OR(L3328="131",M3328="131"),H3328='131-CT'!$E$7),"131",""))</f>
        <v/>
      </c>
      <c r="O3328" s="525" t="str">
        <f>IF(AND($B3328&gt;='111'!$N$11,$B3328&lt;='111'!$O$11,OR($L3328=$O$7,$M3328=$O$7)),"x","")</f>
        <v/>
      </c>
      <c r="P3328" s="525" t="str">
        <f>IF(AND($L3328=$O$7,$B3328&lt;'111'!$N$11),"x","")</f>
        <v/>
      </c>
      <c r="Q3328" s="525" t="str">
        <f>IF(AND($M3328=$O$7,$B3328&lt;'111'!$N$11),"x","")</f>
        <v/>
      </c>
      <c r="R3328" s="525" t="str">
        <f>IF(ISERROR(FIND('112'!$M$9,G3328,1)),"",IF((AND(FIND('112'!$M$9,G3328,1)&gt;=1,$B3328&gt;='112'!$N$8,$B3328&lt;='112'!$O$8,OR($L3328='112'!$I$6,$M3328='112'!$I$6))),"x",""))</f>
        <v/>
      </c>
      <c r="S3328" s="525" t="str">
        <f>IF(ISERROR(FIND('112'!$M$9,G3328,1)),"",IF((AND(LEFT(G3328,2)=LEFT('112'!$M$9,2),B3328&lt;'112'!$N$8,$L3328='112'!$I$6)),"x",""))</f>
        <v/>
      </c>
      <c r="T3328" s="525" t="str">
        <f>IF(ISERROR(FIND('112'!$M$9,G3328,1)),"",IF((AND(RIGHT(G3328,2)=RIGHT('112'!$M$9,2),B3328&lt;'112'!$N$8,$M3328='112'!$I$6)),"x",""))</f>
        <v/>
      </c>
      <c r="U3328" s="525" t="str">
        <f>IF(AND(B3328&gt;='IN-NX'!$P$3,B3328&lt;='IN-NX'!$Q$3,'IN-NX'!$D$7=D3328,OR(LEFT(L3328,2)="15",AND(LEFT(M3328,2)&lt;&gt;"15",LEFT(M3328,2)&lt;&gt;"33"))),"x","")</f>
        <v/>
      </c>
      <c r="V3328" s="525" t="str">
        <f>IF(AND(OR(LEFT(TH!L3328,2)="15",LEFT(TH!M3328,2)="15"),'152-CT'!$J$8=TH!F3328),"x","")</f>
        <v/>
      </c>
      <c r="W3328" s="525" t="str">
        <f>IF(AND(OR(LEFT(TH!L3328,2)="15",LEFT(TH!M3328,2)="15"),TK!$E$7=TH!F3328),"x","")</f>
        <v/>
      </c>
      <c r="X3328" s="525" t="str">
        <f>IF(AND('341-CT'!$E$9=H3328,OR(LEFT(L3328,3)=$X$7,LEFT(M3328,3)=$X$7)),"x","")</f>
        <v/>
      </c>
      <c r="Y3328" s="525" t="str">
        <f>IF(OR(TH!L3328=TH!$Y$7,M3328=TH!$Y$7),"x","")</f>
        <v/>
      </c>
      <c r="Z3328" s="525" t="str">
        <f>IF(AND(B3328&lt;=NKC!$N$8,B3328&gt;=NKC!$M$8),"x","")</f>
        <v/>
      </c>
      <c r="AA3328" s="526"/>
      <c r="AB3328" s="527"/>
      <c r="AD3328" s="527"/>
    </row>
    <row r="3329" spans="1:30" s="576" customFormat="1" ht="15.75" customHeight="1">
      <c r="A3329" s="517" t="str">
        <f>IF(B3329&lt;&gt;"",IF(AND(B3329&gt;=_TM1,B3329&lt;=_TM2,OR(TH!L3329="1111",TH!M3329="1111")),TH!D3329,""),"")</f>
        <v/>
      </c>
      <c r="B3329" s="518">
        <f t="shared" si="322"/>
        <v>6</v>
      </c>
      <c r="C3329" s="571">
        <f t="shared" si="320"/>
        <v>42914</v>
      </c>
      <c r="D3329" s="571" t="s">
        <v>996</v>
      </c>
      <c r="E3329" s="571">
        <v>42914</v>
      </c>
      <c r="F3329" s="520" t="s">
        <v>1238</v>
      </c>
      <c r="G3329" s="573" t="s">
        <v>1251</v>
      </c>
      <c r="H3329" s="574" t="s">
        <v>800</v>
      </c>
      <c r="I3329" s="523">
        <v>8</v>
      </c>
      <c r="J3329" s="523">
        <v>93469</v>
      </c>
      <c r="K3329" s="575">
        <f t="shared" si="321"/>
        <v>747752</v>
      </c>
      <c r="L3329" s="591" t="s">
        <v>160</v>
      </c>
      <c r="M3329" s="591" t="s">
        <v>292</v>
      </c>
      <c r="N3329" s="525" t="str">
        <f>IF(AND('331-CT'!$E$7=TH!H3329,OR(L3329="331",M3329="331")),"331",IF(AND(OR(L3329="131",M3329="131"),H3329='131-CT'!$E$7),"131",""))</f>
        <v/>
      </c>
      <c r="O3329" s="525" t="str">
        <f>IF(AND($B3329&gt;='111'!$N$11,$B3329&lt;='111'!$O$11,OR($L3329=$O$7,$M3329=$O$7)),"x","")</f>
        <v/>
      </c>
      <c r="P3329" s="525" t="str">
        <f>IF(AND($L3329=$O$7,$B3329&lt;'111'!$N$11),"x","")</f>
        <v/>
      </c>
      <c r="Q3329" s="525" t="str">
        <f>IF(AND($M3329=$O$7,$B3329&lt;'111'!$N$11),"x","")</f>
        <v/>
      </c>
      <c r="R3329" s="525" t="str">
        <f>IF(ISERROR(FIND('112'!$M$9,G3329,1)),"",IF((AND(FIND('112'!$M$9,G3329,1)&gt;=1,$B3329&gt;='112'!$N$8,$B3329&lt;='112'!$O$8,OR($L3329='112'!$I$6,$M3329='112'!$I$6))),"x",""))</f>
        <v/>
      </c>
      <c r="S3329" s="525" t="str">
        <f>IF(ISERROR(FIND('112'!$M$9,G3329,1)),"",IF((AND(LEFT(G3329,2)=LEFT('112'!$M$9,2),B3329&lt;'112'!$N$8,$L3329='112'!$I$6)),"x",""))</f>
        <v/>
      </c>
      <c r="T3329" s="525" t="str">
        <f>IF(ISERROR(FIND('112'!$M$9,G3329,1)),"",IF((AND(RIGHT(G3329,2)=RIGHT('112'!$M$9,2),B3329&lt;'112'!$N$8,$M3329='112'!$I$6)),"x",""))</f>
        <v/>
      </c>
      <c r="U3329" s="525" t="str">
        <f>IF(AND(B3329&gt;='IN-NX'!$P$3,B3329&lt;='IN-NX'!$Q$3,'IN-NX'!$D$7=D3329,OR(LEFT(L3329,2)="15",AND(LEFT(M3329,2)&lt;&gt;"15",LEFT(M3329,2)&lt;&gt;"33"))),"x","")</f>
        <v/>
      </c>
      <c r="V3329" s="525" t="str">
        <f>IF(AND(OR(LEFT(TH!L3329,2)="15",LEFT(TH!M3329,2)="15"),'152-CT'!$J$8=TH!F3329),"x","")</f>
        <v/>
      </c>
      <c r="W3329" s="525" t="str">
        <f>IF(AND(OR(LEFT(TH!L3329,2)="15",LEFT(TH!M3329,2)="15"),TK!$E$7=TH!F3329),"x","")</f>
        <v/>
      </c>
      <c r="X3329" s="525" t="str">
        <f>IF(AND('341-CT'!$E$9=H3329,OR(LEFT(L3329,3)=$X$7,LEFT(M3329,3)=$X$7)),"x","")</f>
        <v/>
      </c>
      <c r="Y3329" s="525" t="str">
        <f>IF(OR(TH!L3329=TH!$Y$7,M3329=TH!$Y$7),"x","")</f>
        <v/>
      </c>
      <c r="Z3329" s="525" t="str">
        <f>IF(AND(B3329&lt;=NKC!$N$8,B3329&gt;=NKC!$M$8),"x","")</f>
        <v/>
      </c>
      <c r="AA3329" s="526"/>
      <c r="AB3329" s="527"/>
      <c r="AC3329" s="527"/>
    </row>
    <row r="3330" spans="1:30" s="576" customFormat="1" ht="15.75" customHeight="1">
      <c r="A3330" s="517" t="str">
        <f>IF(B3330&lt;&gt;"",IF(AND(B3330&gt;=_TM1,B3330&lt;=_TM2,OR(TH!L3330="1111",TH!M3330="1111")),TH!D3330,""),"")</f>
        <v/>
      </c>
      <c r="B3330" s="518">
        <f t="shared" si="322"/>
        <v>6</v>
      </c>
      <c r="C3330" s="571">
        <f t="shared" si="320"/>
        <v>42914</v>
      </c>
      <c r="D3330" s="571" t="s">
        <v>996</v>
      </c>
      <c r="E3330" s="571">
        <v>42914</v>
      </c>
      <c r="F3330" s="520" t="s">
        <v>1239</v>
      </c>
      <c r="G3330" s="573" t="s">
        <v>1251</v>
      </c>
      <c r="H3330" s="574" t="s">
        <v>800</v>
      </c>
      <c r="I3330" s="523">
        <v>15</v>
      </c>
      <c r="J3330" s="523">
        <v>81901</v>
      </c>
      <c r="K3330" s="575">
        <f t="shared" si="321"/>
        <v>1228515</v>
      </c>
      <c r="L3330" s="591" t="s">
        <v>160</v>
      </c>
      <c r="M3330" s="591" t="s">
        <v>292</v>
      </c>
      <c r="N3330" s="525" t="str">
        <f>IF(AND('331-CT'!$E$7=TH!H3330,OR(L3330="331",M3330="331")),"331",IF(AND(OR(L3330="131",M3330="131"),H3330='131-CT'!$E$7),"131",""))</f>
        <v/>
      </c>
      <c r="O3330" s="525" t="str">
        <f>IF(AND($B3330&gt;='111'!$N$11,$B3330&lt;='111'!$O$11,OR($L3330=$O$7,$M3330=$O$7)),"x","")</f>
        <v/>
      </c>
      <c r="P3330" s="525" t="str">
        <f>IF(AND($L3330=$O$7,$B3330&lt;'111'!$N$11),"x","")</f>
        <v/>
      </c>
      <c r="Q3330" s="525" t="str">
        <f>IF(AND($M3330=$O$7,$B3330&lt;'111'!$N$11),"x","")</f>
        <v/>
      </c>
      <c r="R3330" s="525" t="str">
        <f>IF(ISERROR(FIND('112'!$M$9,G3330,1)),"",IF((AND(FIND('112'!$M$9,G3330,1)&gt;=1,$B3330&gt;='112'!$N$8,$B3330&lt;='112'!$O$8,OR($L3330='112'!$I$6,$M3330='112'!$I$6))),"x",""))</f>
        <v/>
      </c>
      <c r="S3330" s="525" t="str">
        <f>IF(ISERROR(FIND('112'!$M$9,G3330,1)),"",IF((AND(LEFT(G3330,2)=LEFT('112'!$M$9,2),B3330&lt;'112'!$N$8,$L3330='112'!$I$6)),"x",""))</f>
        <v/>
      </c>
      <c r="T3330" s="525" t="str">
        <f>IF(ISERROR(FIND('112'!$M$9,G3330,1)),"",IF((AND(RIGHT(G3330,2)=RIGHT('112'!$M$9,2),B3330&lt;'112'!$N$8,$M3330='112'!$I$6)),"x",""))</f>
        <v/>
      </c>
      <c r="U3330" s="525" t="str">
        <f>IF(AND(B3330&gt;='IN-NX'!$P$3,B3330&lt;='IN-NX'!$Q$3,'IN-NX'!$D$7=D3330,OR(LEFT(L3330,2)="15",AND(LEFT(M3330,2)&lt;&gt;"15",LEFT(M3330,2)&lt;&gt;"33"))),"x","")</f>
        <v/>
      </c>
      <c r="V3330" s="525" t="str">
        <f>IF(AND(OR(LEFT(TH!L3330,2)="15",LEFT(TH!M3330,2)="15"),'152-CT'!$J$8=TH!F3330),"x","")</f>
        <v/>
      </c>
      <c r="W3330" s="525" t="str">
        <f>IF(AND(OR(LEFT(TH!L3330,2)="15",LEFT(TH!M3330,2)="15"),TK!$E$7=TH!F3330),"x","")</f>
        <v/>
      </c>
      <c r="X3330" s="525" t="str">
        <f>IF(AND('341-CT'!$E$9=H3330,OR(LEFT(L3330,3)=$X$7,LEFT(M3330,3)=$X$7)),"x","")</f>
        <v/>
      </c>
      <c r="Y3330" s="525" t="str">
        <f>IF(OR(TH!L3330=TH!$Y$7,M3330=TH!$Y$7),"x","")</f>
        <v/>
      </c>
      <c r="Z3330" s="525" t="str">
        <f>IF(AND(B3330&lt;=NKC!$N$8,B3330&gt;=NKC!$M$8),"x","")</f>
        <v/>
      </c>
      <c r="AA3330" s="526"/>
      <c r="AB3330" s="527"/>
      <c r="AC3330" s="527"/>
    </row>
    <row r="3331" spans="1:30" s="576" customFormat="1" ht="15.75" customHeight="1">
      <c r="A3331" s="517" t="str">
        <f>IF(B3331&lt;&gt;"",IF(AND(B3331&gt;=_TM1,B3331&lt;=_TM2,OR(TH!L3331="1111",TH!M3331="1111")),TH!D3331,""),"")</f>
        <v/>
      </c>
      <c r="B3331" s="518">
        <f t="shared" si="322"/>
        <v>6</v>
      </c>
      <c r="C3331" s="571">
        <f t="shared" si="320"/>
        <v>42914</v>
      </c>
      <c r="D3331" s="571" t="s">
        <v>996</v>
      </c>
      <c r="E3331" s="571">
        <v>42914</v>
      </c>
      <c r="F3331" s="520" t="s">
        <v>1240</v>
      </c>
      <c r="G3331" s="573" t="s">
        <v>1251</v>
      </c>
      <c r="H3331" s="574" t="s">
        <v>800</v>
      </c>
      <c r="I3331" s="523">
        <v>20</v>
      </c>
      <c r="J3331" s="523">
        <v>62935</v>
      </c>
      <c r="K3331" s="575">
        <f t="shared" si="321"/>
        <v>1258700</v>
      </c>
      <c r="L3331" s="591" t="s">
        <v>160</v>
      </c>
      <c r="M3331" s="591" t="s">
        <v>292</v>
      </c>
      <c r="N3331" s="525" t="str">
        <f>IF(AND('331-CT'!$E$7=TH!H3331,OR(L3331="331",M3331="331")),"331",IF(AND(OR(L3331="131",M3331="131"),H3331='131-CT'!$E$7),"131",""))</f>
        <v/>
      </c>
      <c r="O3331" s="525" t="str">
        <f>IF(AND($B3331&gt;='111'!$N$11,$B3331&lt;='111'!$O$11,OR($L3331=$O$7,$M3331=$O$7)),"x","")</f>
        <v/>
      </c>
      <c r="P3331" s="525" t="str">
        <f>IF(AND($L3331=$O$7,$B3331&lt;'111'!$N$11),"x","")</f>
        <v/>
      </c>
      <c r="Q3331" s="525" t="str">
        <f>IF(AND($M3331=$O$7,$B3331&lt;'111'!$N$11),"x","")</f>
        <v/>
      </c>
      <c r="R3331" s="525" t="str">
        <f>IF(ISERROR(FIND('112'!$M$9,G3331,1)),"",IF((AND(FIND('112'!$M$9,G3331,1)&gt;=1,$B3331&gt;='112'!$N$8,$B3331&lt;='112'!$O$8,OR($L3331='112'!$I$6,$M3331='112'!$I$6))),"x",""))</f>
        <v/>
      </c>
      <c r="S3331" s="525" t="str">
        <f>IF(ISERROR(FIND('112'!$M$9,G3331,1)),"",IF((AND(LEFT(G3331,2)=LEFT('112'!$M$9,2),B3331&lt;'112'!$N$8,$L3331='112'!$I$6)),"x",""))</f>
        <v/>
      </c>
      <c r="T3331" s="525" t="str">
        <f>IF(ISERROR(FIND('112'!$M$9,G3331,1)),"",IF((AND(RIGHT(G3331,2)=RIGHT('112'!$M$9,2),B3331&lt;'112'!$N$8,$M3331='112'!$I$6)),"x",""))</f>
        <v/>
      </c>
      <c r="U3331" s="525" t="str">
        <f>IF(AND(B3331&gt;='IN-NX'!$P$3,B3331&lt;='IN-NX'!$Q$3,'IN-NX'!$D$7=D3331,OR(LEFT(L3331,2)="15",AND(LEFT(M3331,2)&lt;&gt;"15",LEFT(M3331,2)&lt;&gt;"33"))),"x","")</f>
        <v/>
      </c>
      <c r="V3331" s="525" t="str">
        <f>IF(AND(OR(LEFT(TH!L3331,2)="15",LEFT(TH!M3331,2)="15"),'152-CT'!$J$8=TH!F3331),"x","")</f>
        <v/>
      </c>
      <c r="W3331" s="525" t="str">
        <f>IF(AND(OR(LEFT(TH!L3331,2)="15",LEFT(TH!M3331,2)="15"),TK!$E$7=TH!F3331),"x","")</f>
        <v/>
      </c>
      <c r="X3331" s="525" t="str">
        <f>IF(AND('341-CT'!$E$9=H3331,OR(LEFT(L3331,3)=$X$7,LEFT(M3331,3)=$X$7)),"x","")</f>
        <v/>
      </c>
      <c r="Y3331" s="525" t="str">
        <f>IF(OR(TH!L3331=TH!$Y$7,M3331=TH!$Y$7),"x","")</f>
        <v/>
      </c>
      <c r="Z3331" s="525" t="str">
        <f>IF(AND(B3331&lt;=NKC!$N$8,B3331&gt;=NKC!$M$8),"x","")</f>
        <v/>
      </c>
      <c r="AA3331" s="526"/>
      <c r="AB3331" s="527"/>
      <c r="AC3331" s="527"/>
    </row>
    <row r="3332" spans="1:30" s="576" customFormat="1" ht="15.75" customHeight="1">
      <c r="A3332" s="517" t="str">
        <f>IF(B3332&lt;&gt;"",IF(AND(B3332&gt;=_TM1,B3332&lt;=_TM2,OR(TH!L3332="1111",TH!M3332="1111")),TH!D3332,""),"")</f>
        <v/>
      </c>
      <c r="B3332" s="518">
        <f t="shared" si="322"/>
        <v>6</v>
      </c>
      <c r="C3332" s="571">
        <f t="shared" si="320"/>
        <v>42914</v>
      </c>
      <c r="D3332" s="571" t="s">
        <v>996</v>
      </c>
      <c r="E3332" s="571">
        <v>42914</v>
      </c>
      <c r="F3332" s="520" t="s">
        <v>1241</v>
      </c>
      <c r="G3332" s="573" t="s">
        <v>1251</v>
      </c>
      <c r="H3332" s="574" t="s">
        <v>800</v>
      </c>
      <c r="I3332" s="523">
        <v>20</v>
      </c>
      <c r="J3332" s="523">
        <v>45606</v>
      </c>
      <c r="K3332" s="575">
        <f t="shared" si="321"/>
        <v>912120</v>
      </c>
      <c r="L3332" s="591" t="s">
        <v>160</v>
      </c>
      <c r="M3332" s="591" t="s">
        <v>292</v>
      </c>
      <c r="N3332" s="525" t="str">
        <f>IF(AND('331-CT'!$E$7=TH!H3332,OR(L3332="331",M3332="331")),"331",IF(AND(OR(L3332="131",M3332="131"),H3332='131-CT'!$E$7),"131",""))</f>
        <v/>
      </c>
      <c r="O3332" s="525" t="str">
        <f>IF(AND($B3332&gt;='111'!$N$11,$B3332&lt;='111'!$O$11,OR($L3332=$O$7,$M3332=$O$7)),"x","")</f>
        <v/>
      </c>
      <c r="P3332" s="525" t="str">
        <f>IF(AND($L3332=$O$7,$B3332&lt;'111'!$N$11),"x","")</f>
        <v/>
      </c>
      <c r="Q3332" s="525" t="str">
        <f>IF(AND($M3332=$O$7,$B3332&lt;'111'!$N$11),"x","")</f>
        <v/>
      </c>
      <c r="R3332" s="525" t="str">
        <f>IF(ISERROR(FIND('112'!$M$9,G3332,1)),"",IF((AND(FIND('112'!$M$9,G3332,1)&gt;=1,$B3332&gt;='112'!$N$8,$B3332&lt;='112'!$O$8,OR($L3332='112'!$I$6,$M3332='112'!$I$6))),"x",""))</f>
        <v/>
      </c>
      <c r="S3332" s="525" t="str">
        <f>IF(ISERROR(FIND('112'!$M$9,G3332,1)),"",IF((AND(LEFT(G3332,2)=LEFT('112'!$M$9,2),B3332&lt;'112'!$N$8,$L3332='112'!$I$6)),"x",""))</f>
        <v/>
      </c>
      <c r="T3332" s="525" t="str">
        <f>IF(ISERROR(FIND('112'!$M$9,G3332,1)),"",IF((AND(RIGHT(G3332,2)=RIGHT('112'!$M$9,2),B3332&lt;'112'!$N$8,$M3332='112'!$I$6)),"x",""))</f>
        <v/>
      </c>
      <c r="U3332" s="525" t="str">
        <f>IF(AND(B3332&gt;='IN-NX'!$P$3,B3332&lt;='IN-NX'!$Q$3,'IN-NX'!$D$7=D3332,OR(LEFT(L3332,2)="15",AND(LEFT(M3332,2)&lt;&gt;"15",LEFT(M3332,2)&lt;&gt;"33"))),"x","")</f>
        <v/>
      </c>
      <c r="V3332" s="525" t="str">
        <f>IF(AND(OR(LEFT(TH!L3332,2)="15",LEFT(TH!M3332,2)="15"),'152-CT'!$J$8=TH!F3332),"x","")</f>
        <v/>
      </c>
      <c r="W3332" s="525" t="str">
        <f>IF(AND(OR(LEFT(TH!L3332,2)="15",LEFT(TH!M3332,2)="15"),TK!$E$7=TH!F3332),"x","")</f>
        <v/>
      </c>
      <c r="X3332" s="525" t="str">
        <f>IF(AND('341-CT'!$E$9=H3332,OR(LEFT(L3332,3)=$X$7,LEFT(M3332,3)=$X$7)),"x","")</f>
        <v/>
      </c>
      <c r="Y3332" s="525" t="str">
        <f>IF(OR(TH!L3332=TH!$Y$7,M3332=TH!$Y$7),"x","")</f>
        <v/>
      </c>
      <c r="Z3332" s="525" t="str">
        <f>IF(AND(B3332&lt;=NKC!$N$8,B3332&gt;=NKC!$M$8),"x","")</f>
        <v/>
      </c>
      <c r="AA3332" s="526"/>
      <c r="AB3332" s="527"/>
      <c r="AC3332" s="527"/>
      <c r="AD3332" s="527"/>
    </row>
    <row r="3333" spans="1:30" s="576" customFormat="1" ht="15.75" customHeight="1">
      <c r="A3333" s="517" t="str">
        <f>IF(B3333&lt;&gt;"",IF(AND(B3333&gt;=_TM1,B3333&lt;=_TM2,OR(TH!L3333="1111",TH!M3333="1111")),TH!D3333,""),"")</f>
        <v/>
      </c>
      <c r="B3333" s="518">
        <f t="shared" ref="B3333:B3359" si="323">IF(C3333&lt;&gt;"",MONTH(C3333),"")</f>
        <v>6</v>
      </c>
      <c r="C3333" s="571">
        <f t="shared" si="320"/>
        <v>42914</v>
      </c>
      <c r="D3333" s="571" t="s">
        <v>996</v>
      </c>
      <c r="E3333" s="571">
        <v>42914</v>
      </c>
      <c r="F3333" s="520" t="s">
        <v>1242</v>
      </c>
      <c r="G3333" s="573" t="s">
        <v>1251</v>
      </c>
      <c r="H3333" s="574" t="s">
        <v>800</v>
      </c>
      <c r="I3333" s="523">
        <v>15</v>
      </c>
      <c r="J3333" s="523">
        <v>51823</v>
      </c>
      <c r="K3333" s="575">
        <f t="shared" si="321"/>
        <v>777345</v>
      </c>
      <c r="L3333" s="591" t="s">
        <v>160</v>
      </c>
      <c r="M3333" s="591" t="s">
        <v>292</v>
      </c>
      <c r="N3333" s="525" t="str">
        <f>IF(AND('331-CT'!$E$7=TH!H3333,OR(L3333="331",M3333="331")),"331",IF(AND(OR(L3333="131",M3333="131"),H3333='131-CT'!$E$7),"131",""))</f>
        <v/>
      </c>
      <c r="O3333" s="525" t="str">
        <f>IF(AND($B3333&gt;='111'!$N$11,$B3333&lt;='111'!$O$11,OR($L3333=$O$7,$M3333=$O$7)),"x","")</f>
        <v/>
      </c>
      <c r="P3333" s="525" t="str">
        <f>IF(AND($L3333=$O$7,$B3333&lt;'111'!$N$11),"x","")</f>
        <v/>
      </c>
      <c r="Q3333" s="525" t="str">
        <f>IF(AND($M3333=$O$7,$B3333&lt;'111'!$N$11),"x","")</f>
        <v/>
      </c>
      <c r="R3333" s="525" t="str">
        <f>IF(ISERROR(FIND('112'!$M$9,G3333,1)),"",IF((AND(FIND('112'!$M$9,G3333,1)&gt;=1,$B3333&gt;='112'!$N$8,$B3333&lt;='112'!$O$8,OR($L3333='112'!$I$6,$M3333='112'!$I$6))),"x",""))</f>
        <v/>
      </c>
      <c r="S3333" s="525" t="str">
        <f>IF(ISERROR(FIND('112'!$M$9,G3333,1)),"",IF((AND(LEFT(G3333,2)=LEFT('112'!$M$9,2),B3333&lt;'112'!$N$8,$L3333='112'!$I$6)),"x",""))</f>
        <v/>
      </c>
      <c r="T3333" s="525" t="str">
        <f>IF(ISERROR(FIND('112'!$M$9,G3333,1)),"",IF((AND(RIGHT(G3333,2)=RIGHT('112'!$M$9,2),B3333&lt;'112'!$N$8,$M3333='112'!$I$6)),"x",""))</f>
        <v/>
      </c>
      <c r="U3333" s="525" t="str">
        <f>IF(AND(B3333&gt;='IN-NX'!$P$3,B3333&lt;='IN-NX'!$Q$3,'IN-NX'!$D$7=D3333,OR(LEFT(L3333,2)="15",AND(LEFT(M3333,2)&lt;&gt;"15",LEFT(M3333,2)&lt;&gt;"33"))),"x","")</f>
        <v/>
      </c>
      <c r="V3333" s="525" t="str">
        <f>IF(AND(OR(LEFT(TH!L3333,2)="15",LEFT(TH!M3333,2)="15"),'152-CT'!$J$8=TH!F3333),"x","")</f>
        <v/>
      </c>
      <c r="W3333" s="525" t="str">
        <f>IF(AND(OR(LEFT(TH!L3333,2)="15",LEFT(TH!M3333,2)="15"),TK!$E$7=TH!F3333),"x","")</f>
        <v/>
      </c>
      <c r="X3333" s="525" t="str">
        <f>IF(AND('341-CT'!$E$9=H3333,OR(LEFT(L3333,3)=$X$7,LEFT(M3333,3)=$X$7)),"x","")</f>
        <v/>
      </c>
      <c r="Y3333" s="525" t="str">
        <f>IF(OR(TH!L3333=TH!$Y$7,M3333=TH!$Y$7),"x","")</f>
        <v/>
      </c>
      <c r="Z3333" s="525" t="str">
        <f>IF(AND(B3333&lt;=NKC!$N$8,B3333&gt;=NKC!$M$8),"x","")</f>
        <v/>
      </c>
      <c r="AA3333" s="526"/>
      <c r="AB3333" s="527"/>
      <c r="AC3333" s="527"/>
      <c r="AD3333" s="527"/>
    </row>
    <row r="3334" spans="1:30" s="576" customFormat="1" ht="15.75" customHeight="1">
      <c r="A3334" s="517" t="str">
        <f>IF(B3334&lt;&gt;"",IF(AND(B3334&gt;=_TM1,B3334&lt;=_TM2,OR(TH!L3334="1111",TH!M3334="1111")),TH!D3334,""),"")</f>
        <v/>
      </c>
      <c r="B3334" s="518">
        <f t="shared" si="323"/>
        <v>6</v>
      </c>
      <c r="C3334" s="571">
        <f t="shared" si="320"/>
        <v>42914</v>
      </c>
      <c r="D3334" s="571" t="s">
        <v>996</v>
      </c>
      <c r="E3334" s="571">
        <v>42914</v>
      </c>
      <c r="F3334" s="520" t="s">
        <v>1160</v>
      </c>
      <c r="G3334" s="573" t="s">
        <v>1251</v>
      </c>
      <c r="H3334" s="574" t="s">
        <v>800</v>
      </c>
      <c r="I3334" s="523">
        <v>30</v>
      </c>
      <c r="J3334" s="523">
        <v>64878</v>
      </c>
      <c r="K3334" s="575">
        <f t="shared" si="321"/>
        <v>1946340</v>
      </c>
      <c r="L3334" s="591" t="s">
        <v>160</v>
      </c>
      <c r="M3334" s="591" t="s">
        <v>292</v>
      </c>
      <c r="N3334" s="525" t="str">
        <f>IF(AND('331-CT'!$E$7=TH!H3334,OR(L3334="331",M3334="331")),"331",IF(AND(OR(L3334="131",M3334="131"),H3334='131-CT'!$E$7),"131",""))</f>
        <v/>
      </c>
      <c r="O3334" s="525" t="str">
        <f>IF(AND($B3334&gt;='111'!$N$11,$B3334&lt;='111'!$O$11,OR($L3334=$O$7,$M3334=$O$7)),"x","")</f>
        <v/>
      </c>
      <c r="P3334" s="525" t="str">
        <f>IF(AND($L3334=$O$7,$B3334&lt;'111'!$N$11),"x","")</f>
        <v/>
      </c>
      <c r="Q3334" s="525" t="str">
        <f>IF(AND($M3334=$O$7,$B3334&lt;'111'!$N$11),"x","")</f>
        <v/>
      </c>
      <c r="R3334" s="525" t="str">
        <f>IF(ISERROR(FIND('112'!$M$9,G3334,1)),"",IF((AND(FIND('112'!$M$9,G3334,1)&gt;=1,$B3334&gt;='112'!$N$8,$B3334&lt;='112'!$O$8,OR($L3334='112'!$I$6,$M3334='112'!$I$6))),"x",""))</f>
        <v/>
      </c>
      <c r="S3334" s="525" t="str">
        <f>IF(ISERROR(FIND('112'!$M$9,G3334,1)),"",IF((AND(LEFT(G3334,2)=LEFT('112'!$M$9,2),B3334&lt;'112'!$N$8,$L3334='112'!$I$6)),"x",""))</f>
        <v/>
      </c>
      <c r="T3334" s="525" t="str">
        <f>IF(ISERROR(FIND('112'!$M$9,G3334,1)),"",IF((AND(RIGHT(G3334,2)=RIGHT('112'!$M$9,2),B3334&lt;'112'!$N$8,$M3334='112'!$I$6)),"x",""))</f>
        <v/>
      </c>
      <c r="U3334" s="525" t="str">
        <f>IF(AND(B3334&gt;='IN-NX'!$P$3,B3334&lt;='IN-NX'!$Q$3,'IN-NX'!$D$7=D3334,OR(LEFT(L3334,2)="15",AND(LEFT(M3334,2)&lt;&gt;"15",LEFT(M3334,2)&lt;&gt;"33"))),"x","")</f>
        <v/>
      </c>
      <c r="V3334" s="525" t="str">
        <f>IF(AND(OR(LEFT(TH!L3334,2)="15",LEFT(TH!M3334,2)="15"),'152-CT'!$J$8=TH!F3334),"x","")</f>
        <v/>
      </c>
      <c r="W3334" s="525" t="str">
        <f>IF(AND(OR(LEFT(TH!L3334,2)="15",LEFT(TH!M3334,2)="15"),TK!$E$7=TH!F3334),"x","")</f>
        <v/>
      </c>
      <c r="X3334" s="525" t="str">
        <f>IF(AND('341-CT'!$E$9=H3334,OR(LEFT(L3334,3)=$X$7,LEFT(M3334,3)=$X$7)),"x","")</f>
        <v/>
      </c>
      <c r="Y3334" s="525" t="str">
        <f>IF(OR(TH!L3334=TH!$Y$7,M3334=TH!$Y$7),"x","")</f>
        <v/>
      </c>
      <c r="Z3334" s="525" t="str">
        <f>IF(AND(B3334&lt;=NKC!$N$8,B3334&gt;=NKC!$M$8),"x","")</f>
        <v/>
      </c>
      <c r="AA3334" s="526"/>
      <c r="AB3334" s="527"/>
    </row>
    <row r="3335" spans="1:30" s="576" customFormat="1" ht="15.75" customHeight="1">
      <c r="A3335" s="517" t="str">
        <f>IF(B3335&lt;&gt;"",IF(AND(B3335&gt;=_TM1,B3335&lt;=_TM2,OR(TH!L3335="1111",TH!M3335="1111")),TH!D3335,""),"")</f>
        <v/>
      </c>
      <c r="B3335" s="518">
        <f t="shared" si="323"/>
        <v>6</v>
      </c>
      <c r="C3335" s="571">
        <f t="shared" si="320"/>
        <v>42914</v>
      </c>
      <c r="D3335" s="571" t="s">
        <v>996</v>
      </c>
      <c r="E3335" s="571">
        <v>42914</v>
      </c>
      <c r="F3335" s="520" t="s">
        <v>654</v>
      </c>
      <c r="G3335" s="573" t="s">
        <v>1251</v>
      </c>
      <c r="H3335" s="574" t="s">
        <v>800</v>
      </c>
      <c r="I3335" s="523">
        <v>12</v>
      </c>
      <c r="J3335" s="523">
        <v>74103</v>
      </c>
      <c r="K3335" s="575">
        <f t="shared" si="321"/>
        <v>889236</v>
      </c>
      <c r="L3335" s="591" t="s">
        <v>160</v>
      </c>
      <c r="M3335" s="591" t="s">
        <v>292</v>
      </c>
      <c r="N3335" s="525" t="str">
        <f>IF(AND('331-CT'!$E$7=TH!H3335,OR(L3335="331",M3335="331")),"331",IF(AND(OR(L3335="131",M3335="131"),H3335='131-CT'!$E$7),"131",""))</f>
        <v/>
      </c>
      <c r="O3335" s="525" t="str">
        <f>IF(AND($B3335&gt;='111'!$N$11,$B3335&lt;='111'!$O$11,OR($L3335=$O$7,$M3335=$O$7)),"x","")</f>
        <v/>
      </c>
      <c r="P3335" s="525" t="str">
        <f>IF(AND($L3335=$O$7,$B3335&lt;'111'!$N$11),"x","")</f>
        <v/>
      </c>
      <c r="Q3335" s="525" t="str">
        <f>IF(AND($M3335=$O$7,$B3335&lt;'111'!$N$11),"x","")</f>
        <v/>
      </c>
      <c r="R3335" s="525" t="str">
        <f>IF(ISERROR(FIND('112'!$M$9,G3335,1)),"",IF((AND(FIND('112'!$M$9,G3335,1)&gt;=1,$B3335&gt;='112'!$N$8,$B3335&lt;='112'!$O$8,OR($L3335='112'!$I$6,$M3335='112'!$I$6))),"x",""))</f>
        <v/>
      </c>
      <c r="S3335" s="525" t="str">
        <f>IF(ISERROR(FIND('112'!$M$9,G3335,1)),"",IF((AND(LEFT(G3335,2)=LEFT('112'!$M$9,2),B3335&lt;'112'!$N$8,$L3335='112'!$I$6)),"x",""))</f>
        <v/>
      </c>
      <c r="T3335" s="525" t="str">
        <f>IF(ISERROR(FIND('112'!$M$9,G3335,1)),"",IF((AND(RIGHT(G3335,2)=RIGHT('112'!$M$9,2),B3335&lt;'112'!$N$8,$M3335='112'!$I$6)),"x",""))</f>
        <v/>
      </c>
      <c r="U3335" s="525" t="str">
        <f>IF(AND(B3335&gt;='IN-NX'!$P$3,B3335&lt;='IN-NX'!$Q$3,'IN-NX'!$D$7=D3335,OR(LEFT(L3335,2)="15",AND(LEFT(M3335,2)&lt;&gt;"15",LEFT(M3335,2)&lt;&gt;"33"))),"x","")</f>
        <v/>
      </c>
      <c r="V3335" s="525" t="str">
        <f>IF(AND(OR(LEFT(TH!L3335,2)="15",LEFT(TH!M3335,2)="15"),'152-CT'!$J$8=TH!F3335),"x","")</f>
        <v/>
      </c>
      <c r="W3335" s="525" t="str">
        <f>IF(AND(OR(LEFT(TH!L3335,2)="15",LEFT(TH!M3335,2)="15"),TK!$E$7=TH!F3335),"x","")</f>
        <v/>
      </c>
      <c r="X3335" s="525" t="str">
        <f>IF(AND('341-CT'!$E$9=H3335,OR(LEFT(L3335,3)=$X$7,LEFT(M3335,3)=$X$7)),"x","")</f>
        <v/>
      </c>
      <c r="Y3335" s="525" t="str">
        <f>IF(OR(TH!L3335=TH!$Y$7,M3335=TH!$Y$7),"x","")</f>
        <v/>
      </c>
      <c r="Z3335" s="525" t="str">
        <f>IF(AND(B3335&lt;=NKC!$N$8,B3335&gt;=NKC!$M$8),"x","")</f>
        <v/>
      </c>
      <c r="AA3335" s="526"/>
      <c r="AB3335" s="527"/>
      <c r="AC3335" s="527"/>
    </row>
    <row r="3336" spans="1:30" s="576" customFormat="1" ht="15.75" customHeight="1">
      <c r="A3336" s="517" t="str">
        <f>IF(B3336&lt;&gt;"",IF(AND(B3336&gt;=_TM1,B3336&lt;=_TM2,OR(TH!L3336="1111",TH!M3336="1111")),TH!D3336,""),"")</f>
        <v/>
      </c>
      <c r="B3336" s="518">
        <f t="shared" si="323"/>
        <v>6</v>
      </c>
      <c r="C3336" s="571">
        <f t="shared" si="320"/>
        <v>42914</v>
      </c>
      <c r="D3336" s="571" t="s">
        <v>996</v>
      </c>
      <c r="E3336" s="571">
        <v>42914</v>
      </c>
      <c r="F3336" s="520" t="s">
        <v>1243</v>
      </c>
      <c r="G3336" s="573" t="s">
        <v>1251</v>
      </c>
      <c r="H3336" s="574" t="s">
        <v>800</v>
      </c>
      <c r="I3336" s="523">
        <v>40</v>
      </c>
      <c r="J3336" s="523">
        <v>87459</v>
      </c>
      <c r="K3336" s="575">
        <f t="shared" si="321"/>
        <v>3498360</v>
      </c>
      <c r="L3336" s="591" t="s">
        <v>160</v>
      </c>
      <c r="M3336" s="591" t="s">
        <v>292</v>
      </c>
      <c r="N3336" s="525" t="str">
        <f>IF(AND('331-CT'!$E$7=TH!H3336,OR(L3336="331",M3336="331")),"331",IF(AND(OR(L3336="131",M3336="131"),H3336='131-CT'!$E$7),"131",""))</f>
        <v/>
      </c>
      <c r="O3336" s="525" t="str">
        <f>IF(AND($B3336&gt;='111'!$N$11,$B3336&lt;='111'!$O$11,OR($L3336=$O$7,$M3336=$O$7)),"x","")</f>
        <v/>
      </c>
      <c r="P3336" s="525" t="str">
        <f>IF(AND($L3336=$O$7,$B3336&lt;'111'!$N$11),"x","")</f>
        <v/>
      </c>
      <c r="Q3336" s="525" t="str">
        <f>IF(AND($M3336=$O$7,$B3336&lt;'111'!$N$11),"x","")</f>
        <v/>
      </c>
      <c r="R3336" s="525" t="str">
        <f>IF(ISERROR(FIND('112'!$M$9,G3336,1)),"",IF((AND(FIND('112'!$M$9,G3336,1)&gt;=1,$B3336&gt;='112'!$N$8,$B3336&lt;='112'!$O$8,OR($L3336='112'!$I$6,$M3336='112'!$I$6))),"x",""))</f>
        <v/>
      </c>
      <c r="S3336" s="525" t="str">
        <f>IF(ISERROR(FIND('112'!$M$9,G3336,1)),"",IF((AND(LEFT(G3336,2)=LEFT('112'!$M$9,2),B3336&lt;'112'!$N$8,$L3336='112'!$I$6)),"x",""))</f>
        <v/>
      </c>
      <c r="T3336" s="525" t="str">
        <f>IF(ISERROR(FIND('112'!$M$9,G3336,1)),"",IF((AND(RIGHT(G3336,2)=RIGHT('112'!$M$9,2),B3336&lt;'112'!$N$8,$M3336='112'!$I$6)),"x",""))</f>
        <v/>
      </c>
      <c r="U3336" s="525" t="str">
        <f>IF(AND(B3336&gt;='IN-NX'!$P$3,B3336&lt;='IN-NX'!$Q$3,'IN-NX'!$D$7=D3336,OR(LEFT(L3336,2)="15",AND(LEFT(M3336,2)&lt;&gt;"15",LEFT(M3336,2)&lt;&gt;"33"))),"x","")</f>
        <v/>
      </c>
      <c r="V3336" s="525" t="str">
        <f>IF(AND(OR(LEFT(TH!L3336,2)="15",LEFT(TH!M3336,2)="15"),'152-CT'!$J$8=TH!F3336),"x","")</f>
        <v/>
      </c>
      <c r="W3336" s="525" t="str">
        <f>IF(AND(OR(LEFT(TH!L3336,2)="15",LEFT(TH!M3336,2)="15"),TK!$E$7=TH!F3336),"x","")</f>
        <v/>
      </c>
      <c r="X3336" s="525" t="str">
        <f>IF(AND('341-CT'!$E$9=H3336,OR(LEFT(L3336,3)=$X$7,LEFT(M3336,3)=$X$7)),"x","")</f>
        <v/>
      </c>
      <c r="Y3336" s="525" t="str">
        <f>IF(OR(TH!L3336=TH!$Y$7,M3336=TH!$Y$7),"x","")</f>
        <v/>
      </c>
      <c r="Z3336" s="525" t="str">
        <f>IF(AND(B3336&lt;=NKC!$N$8,B3336&gt;=NKC!$M$8),"x","")</f>
        <v/>
      </c>
      <c r="AA3336" s="526"/>
      <c r="AB3336" s="527"/>
    </row>
    <row r="3337" spans="1:30" s="576" customFormat="1" ht="15.75" customHeight="1">
      <c r="A3337" s="517" t="str">
        <f>IF(B3337&lt;&gt;"",IF(AND(B3337&gt;=_TM1,B3337&lt;=_TM2,OR(TH!L3337="1111",TH!M3337="1111")),TH!D3337,""),"")</f>
        <v/>
      </c>
      <c r="B3337" s="518">
        <f t="shared" si="323"/>
        <v>6</v>
      </c>
      <c r="C3337" s="571">
        <f t="shared" si="320"/>
        <v>42914</v>
      </c>
      <c r="D3337" s="571" t="s">
        <v>996</v>
      </c>
      <c r="E3337" s="571">
        <v>42914</v>
      </c>
      <c r="F3337" s="520" t="s">
        <v>705</v>
      </c>
      <c r="G3337" s="573" t="s">
        <v>1251</v>
      </c>
      <c r="H3337" s="574" t="s">
        <v>800</v>
      </c>
      <c r="I3337" s="523">
        <v>8</v>
      </c>
      <c r="J3337" s="523">
        <v>48809</v>
      </c>
      <c r="K3337" s="575">
        <f t="shared" si="321"/>
        <v>390472</v>
      </c>
      <c r="L3337" s="591" t="s">
        <v>160</v>
      </c>
      <c r="M3337" s="591" t="s">
        <v>292</v>
      </c>
      <c r="N3337" s="525" t="str">
        <f>IF(AND('331-CT'!$E$7=TH!H3337,OR(L3337="331",M3337="331")),"331",IF(AND(OR(L3337="131",M3337="131"),H3337='131-CT'!$E$7),"131",""))</f>
        <v/>
      </c>
      <c r="O3337" s="525" t="str">
        <f>IF(AND($B3337&gt;='111'!$N$11,$B3337&lt;='111'!$O$11,OR($L3337=$O$7,$M3337=$O$7)),"x","")</f>
        <v/>
      </c>
      <c r="P3337" s="525" t="str">
        <f>IF(AND($L3337=$O$7,$B3337&lt;'111'!$N$11),"x","")</f>
        <v/>
      </c>
      <c r="Q3337" s="525" t="str">
        <f>IF(AND($M3337=$O$7,$B3337&lt;'111'!$N$11),"x","")</f>
        <v/>
      </c>
      <c r="R3337" s="525" t="str">
        <f>IF(ISERROR(FIND('112'!$M$9,G3337,1)),"",IF((AND(FIND('112'!$M$9,G3337,1)&gt;=1,$B3337&gt;='112'!$N$8,$B3337&lt;='112'!$O$8,OR($L3337='112'!$I$6,$M3337='112'!$I$6))),"x",""))</f>
        <v/>
      </c>
      <c r="S3337" s="525" t="str">
        <f>IF(ISERROR(FIND('112'!$M$9,G3337,1)),"",IF((AND(LEFT(G3337,2)=LEFT('112'!$M$9,2),B3337&lt;'112'!$N$8,$L3337='112'!$I$6)),"x",""))</f>
        <v/>
      </c>
      <c r="T3337" s="525" t="str">
        <f>IF(ISERROR(FIND('112'!$M$9,G3337,1)),"",IF((AND(RIGHT(G3337,2)=RIGHT('112'!$M$9,2),B3337&lt;'112'!$N$8,$M3337='112'!$I$6)),"x",""))</f>
        <v/>
      </c>
      <c r="U3337" s="525" t="str">
        <f>IF(AND(B3337&gt;='IN-NX'!$P$3,B3337&lt;='IN-NX'!$Q$3,'IN-NX'!$D$7=D3337,OR(LEFT(L3337,2)="15",AND(LEFT(M3337,2)&lt;&gt;"15",LEFT(M3337,2)&lt;&gt;"33"))),"x","")</f>
        <v/>
      </c>
      <c r="V3337" s="525" t="str">
        <f>IF(AND(OR(LEFT(TH!L3337,2)="15",LEFT(TH!M3337,2)="15"),'152-CT'!$J$8=TH!F3337),"x","")</f>
        <v/>
      </c>
      <c r="W3337" s="525" t="str">
        <f>IF(AND(OR(LEFT(TH!L3337,2)="15",LEFT(TH!M3337,2)="15"),TK!$E$7=TH!F3337),"x","")</f>
        <v/>
      </c>
      <c r="X3337" s="525" t="str">
        <f>IF(AND('341-CT'!$E$9=H3337,OR(LEFT(L3337,3)=$X$7,LEFT(M3337,3)=$X$7)),"x","")</f>
        <v/>
      </c>
      <c r="Y3337" s="525" t="str">
        <f>IF(OR(TH!L3337=TH!$Y$7,M3337=TH!$Y$7),"x","")</f>
        <v/>
      </c>
      <c r="Z3337" s="525" t="str">
        <f>IF(AND(B3337&lt;=NKC!$N$8,B3337&gt;=NKC!$M$8),"x","")</f>
        <v/>
      </c>
      <c r="AA3337" s="526"/>
      <c r="AB3337" s="527"/>
      <c r="AC3337" s="527"/>
    </row>
    <row r="3338" spans="1:30" s="576" customFormat="1" ht="15.75" customHeight="1">
      <c r="A3338" s="517" t="str">
        <f>IF(B3338&lt;&gt;"",IF(AND(B3338&gt;=_TM1,B3338&lt;=_TM2,OR(TH!L3338="1111",TH!M3338="1111")),TH!D3338,""),"")</f>
        <v/>
      </c>
      <c r="B3338" s="518">
        <f t="shared" si="323"/>
        <v>6</v>
      </c>
      <c r="C3338" s="571">
        <f t="shared" ref="C3338:C3357" si="324">E3338</f>
        <v>42914</v>
      </c>
      <c r="D3338" s="571" t="s">
        <v>996</v>
      </c>
      <c r="E3338" s="571">
        <v>42914</v>
      </c>
      <c r="F3338" s="520" t="s">
        <v>708</v>
      </c>
      <c r="G3338" s="573" t="s">
        <v>1251</v>
      </c>
      <c r="H3338" s="574" t="s">
        <v>800</v>
      </c>
      <c r="I3338" s="523">
        <v>42</v>
      </c>
      <c r="J3338" s="523">
        <v>37268</v>
      </c>
      <c r="K3338" s="575">
        <f t="shared" ref="K3338:K3357" si="325">ROUND(I3338*J3338,0)</f>
        <v>1565256</v>
      </c>
      <c r="L3338" s="591" t="s">
        <v>160</v>
      </c>
      <c r="M3338" s="591" t="s">
        <v>292</v>
      </c>
      <c r="N3338" s="525" t="str">
        <f>IF(AND('331-CT'!$E$7=TH!H3338,OR(L3338="331",M3338="331")),"331",IF(AND(OR(L3338="131",M3338="131"),H3338='131-CT'!$E$7),"131",""))</f>
        <v/>
      </c>
      <c r="O3338" s="525" t="str">
        <f>IF(AND($B3338&gt;='111'!$N$11,$B3338&lt;='111'!$O$11,OR($L3338=$O$7,$M3338=$O$7)),"x","")</f>
        <v/>
      </c>
      <c r="P3338" s="525" t="str">
        <f>IF(AND($L3338=$O$7,$B3338&lt;'111'!$N$11),"x","")</f>
        <v/>
      </c>
      <c r="Q3338" s="525" t="str">
        <f>IF(AND($M3338=$O$7,$B3338&lt;'111'!$N$11),"x","")</f>
        <v/>
      </c>
      <c r="R3338" s="525" t="str">
        <f>IF(ISERROR(FIND('112'!$M$9,G3338,1)),"",IF((AND(FIND('112'!$M$9,G3338,1)&gt;=1,$B3338&gt;='112'!$N$8,$B3338&lt;='112'!$O$8,OR($L3338='112'!$I$6,$M3338='112'!$I$6))),"x",""))</f>
        <v/>
      </c>
      <c r="S3338" s="525" t="str">
        <f>IF(ISERROR(FIND('112'!$M$9,G3338,1)),"",IF((AND(LEFT(G3338,2)=LEFT('112'!$M$9,2),B3338&lt;'112'!$N$8,$L3338='112'!$I$6)),"x",""))</f>
        <v/>
      </c>
      <c r="T3338" s="525" t="str">
        <f>IF(ISERROR(FIND('112'!$M$9,G3338,1)),"",IF((AND(RIGHT(G3338,2)=RIGHT('112'!$M$9,2),B3338&lt;'112'!$N$8,$M3338='112'!$I$6)),"x",""))</f>
        <v/>
      </c>
      <c r="U3338" s="525" t="str">
        <f>IF(AND(B3338&gt;='IN-NX'!$P$3,B3338&lt;='IN-NX'!$Q$3,'IN-NX'!$D$7=D3338,OR(LEFT(L3338,2)="15",AND(LEFT(M3338,2)&lt;&gt;"15",LEFT(M3338,2)&lt;&gt;"33"))),"x","")</f>
        <v/>
      </c>
      <c r="V3338" s="525" t="str">
        <f>IF(AND(OR(LEFT(TH!L3338,2)="15",LEFT(TH!M3338,2)="15"),'152-CT'!$J$8=TH!F3338),"x","")</f>
        <v/>
      </c>
      <c r="W3338" s="525" t="str">
        <f>IF(AND(OR(LEFT(TH!L3338,2)="15",LEFT(TH!M3338,2)="15"),TK!$E$7=TH!F3338),"x","")</f>
        <v/>
      </c>
      <c r="X3338" s="525" t="str">
        <f>IF(AND('341-CT'!$E$9=H3338,OR(LEFT(L3338,3)=$X$7,LEFT(M3338,3)=$X$7)),"x","")</f>
        <v/>
      </c>
      <c r="Y3338" s="525" t="str">
        <f>IF(OR(TH!L3338=TH!$Y$7,M3338=TH!$Y$7),"x","")</f>
        <v/>
      </c>
      <c r="Z3338" s="525" t="str">
        <f>IF(AND(B3338&lt;=NKC!$N$8,B3338&gt;=NKC!$M$8),"x","")</f>
        <v/>
      </c>
      <c r="AA3338" s="526"/>
      <c r="AB3338" s="527"/>
    </row>
    <row r="3339" spans="1:30" s="576" customFormat="1" ht="15.75" customHeight="1">
      <c r="A3339" s="517" t="str">
        <f>IF(B3339&lt;&gt;"",IF(AND(B3339&gt;=_TM1,B3339&lt;=_TM2,OR(TH!L3339="1111",TH!M3339="1111")),TH!D3339,""),"")</f>
        <v/>
      </c>
      <c r="B3339" s="518">
        <f t="shared" si="323"/>
        <v>6</v>
      </c>
      <c r="C3339" s="571">
        <f t="shared" si="324"/>
        <v>42914</v>
      </c>
      <c r="D3339" s="571" t="s">
        <v>996</v>
      </c>
      <c r="E3339" s="571">
        <v>42914</v>
      </c>
      <c r="F3339" s="520" t="s">
        <v>761</v>
      </c>
      <c r="G3339" s="573" t="s">
        <v>1251</v>
      </c>
      <c r="H3339" s="574" t="s">
        <v>800</v>
      </c>
      <c r="I3339" s="523">
        <v>24</v>
      </c>
      <c r="J3339" s="523">
        <v>23863</v>
      </c>
      <c r="K3339" s="575">
        <f t="shared" si="325"/>
        <v>572712</v>
      </c>
      <c r="L3339" s="591" t="s">
        <v>160</v>
      </c>
      <c r="M3339" s="591" t="s">
        <v>292</v>
      </c>
      <c r="N3339" s="525" t="str">
        <f>IF(AND('331-CT'!$E$7=TH!H3339,OR(L3339="331",M3339="331")),"331",IF(AND(OR(L3339="131",M3339="131"),H3339='131-CT'!$E$7),"131",""))</f>
        <v/>
      </c>
      <c r="O3339" s="525" t="str">
        <f>IF(AND($B3339&gt;='111'!$N$11,$B3339&lt;='111'!$O$11,OR($L3339=$O$7,$M3339=$O$7)),"x","")</f>
        <v/>
      </c>
      <c r="P3339" s="525" t="str">
        <f>IF(AND($L3339=$O$7,$B3339&lt;'111'!$N$11),"x","")</f>
        <v/>
      </c>
      <c r="Q3339" s="525" t="str">
        <f>IF(AND($M3339=$O$7,$B3339&lt;'111'!$N$11),"x","")</f>
        <v/>
      </c>
      <c r="R3339" s="525" t="str">
        <f>IF(ISERROR(FIND('112'!$M$9,G3339,1)),"",IF((AND(FIND('112'!$M$9,G3339,1)&gt;=1,$B3339&gt;='112'!$N$8,$B3339&lt;='112'!$O$8,OR($L3339='112'!$I$6,$M3339='112'!$I$6))),"x",""))</f>
        <v/>
      </c>
      <c r="S3339" s="525" t="str">
        <f>IF(ISERROR(FIND('112'!$M$9,G3339,1)),"",IF((AND(LEFT(G3339,2)=LEFT('112'!$M$9,2),B3339&lt;'112'!$N$8,$L3339='112'!$I$6)),"x",""))</f>
        <v/>
      </c>
      <c r="T3339" s="525" t="str">
        <f>IF(ISERROR(FIND('112'!$M$9,G3339,1)),"",IF((AND(RIGHT(G3339,2)=RIGHT('112'!$M$9,2),B3339&lt;'112'!$N$8,$M3339='112'!$I$6)),"x",""))</f>
        <v/>
      </c>
      <c r="U3339" s="525" t="str">
        <f>IF(AND(B3339&gt;='IN-NX'!$P$3,B3339&lt;='IN-NX'!$Q$3,'IN-NX'!$D$7=D3339,OR(LEFT(L3339,2)="15",AND(LEFT(M3339,2)&lt;&gt;"15",LEFT(M3339,2)&lt;&gt;"33"))),"x","")</f>
        <v/>
      </c>
      <c r="V3339" s="525" t="str">
        <f>IF(AND(OR(LEFT(TH!L3339,2)="15",LEFT(TH!M3339,2)="15"),'152-CT'!$J$8=TH!F3339),"x","")</f>
        <v/>
      </c>
      <c r="W3339" s="525" t="str">
        <f>IF(AND(OR(LEFT(TH!L3339,2)="15",LEFT(TH!M3339,2)="15"),TK!$E$7=TH!F3339),"x","")</f>
        <v/>
      </c>
      <c r="X3339" s="525" t="str">
        <f>IF(AND('341-CT'!$E$9=H3339,OR(LEFT(L3339,3)=$X$7,LEFT(M3339,3)=$X$7)),"x","")</f>
        <v/>
      </c>
      <c r="Y3339" s="525" t="str">
        <f>IF(OR(TH!L3339=TH!$Y$7,M3339=TH!$Y$7),"x","")</f>
        <v/>
      </c>
      <c r="Z3339" s="525" t="str">
        <f>IF(AND(B3339&lt;=NKC!$N$8,B3339&gt;=NKC!$M$8),"x","")</f>
        <v/>
      </c>
      <c r="AA3339" s="526"/>
      <c r="AB3339" s="527"/>
    </row>
    <row r="3340" spans="1:30" s="576" customFormat="1" ht="15.75" customHeight="1">
      <c r="A3340" s="517" t="str">
        <f>IF(B3340&lt;&gt;"",IF(AND(B3340&gt;=_TM1,B3340&lt;=_TM2,OR(TH!L3340="1111",TH!M3340="1111")),TH!D3340,""),"")</f>
        <v/>
      </c>
      <c r="B3340" s="518">
        <f t="shared" si="323"/>
        <v>6</v>
      </c>
      <c r="C3340" s="571">
        <f t="shared" si="324"/>
        <v>42914</v>
      </c>
      <c r="D3340" s="571" t="s">
        <v>996</v>
      </c>
      <c r="E3340" s="571">
        <v>42914</v>
      </c>
      <c r="F3340" s="520" t="s">
        <v>704</v>
      </c>
      <c r="G3340" s="573" t="s">
        <v>1251</v>
      </c>
      <c r="H3340" s="574" t="s">
        <v>800</v>
      </c>
      <c r="I3340" s="523">
        <v>102</v>
      </c>
      <c r="J3340" s="523">
        <v>17606</v>
      </c>
      <c r="K3340" s="575">
        <f t="shared" si="325"/>
        <v>1795812</v>
      </c>
      <c r="L3340" s="591" t="s">
        <v>160</v>
      </c>
      <c r="M3340" s="591" t="s">
        <v>292</v>
      </c>
      <c r="N3340" s="525" t="str">
        <f>IF(AND('331-CT'!$E$7=TH!H3340,OR(L3340="331",M3340="331")),"331",IF(AND(OR(L3340="131",M3340="131"),H3340='131-CT'!$E$7),"131",""))</f>
        <v/>
      </c>
      <c r="O3340" s="525" t="str">
        <f>IF(AND($B3340&gt;='111'!$N$11,$B3340&lt;='111'!$O$11,OR($L3340=$O$7,$M3340=$O$7)),"x","")</f>
        <v/>
      </c>
      <c r="P3340" s="525" t="str">
        <f>IF(AND($L3340=$O$7,$B3340&lt;'111'!$N$11),"x","")</f>
        <v/>
      </c>
      <c r="Q3340" s="525" t="str">
        <f>IF(AND($M3340=$O$7,$B3340&lt;'111'!$N$11),"x","")</f>
        <v/>
      </c>
      <c r="R3340" s="525" t="str">
        <f>IF(ISERROR(FIND('112'!$M$9,G3340,1)),"",IF((AND(FIND('112'!$M$9,G3340,1)&gt;=1,$B3340&gt;='112'!$N$8,$B3340&lt;='112'!$O$8,OR($L3340='112'!$I$6,$M3340='112'!$I$6))),"x",""))</f>
        <v/>
      </c>
      <c r="S3340" s="525" t="str">
        <f>IF(ISERROR(FIND('112'!$M$9,G3340,1)),"",IF((AND(LEFT(G3340,2)=LEFT('112'!$M$9,2),B3340&lt;'112'!$N$8,$L3340='112'!$I$6)),"x",""))</f>
        <v/>
      </c>
      <c r="T3340" s="525" t="str">
        <f>IF(ISERROR(FIND('112'!$M$9,G3340,1)),"",IF((AND(RIGHT(G3340,2)=RIGHT('112'!$M$9,2),B3340&lt;'112'!$N$8,$M3340='112'!$I$6)),"x",""))</f>
        <v/>
      </c>
      <c r="U3340" s="525" t="str">
        <f>IF(AND(B3340&gt;='IN-NX'!$P$3,B3340&lt;='IN-NX'!$Q$3,'IN-NX'!$D$7=D3340,OR(LEFT(L3340,2)="15",AND(LEFT(M3340,2)&lt;&gt;"15",LEFT(M3340,2)&lt;&gt;"33"))),"x","")</f>
        <v/>
      </c>
      <c r="V3340" s="525" t="str">
        <f>IF(AND(OR(LEFT(TH!L3340,2)="15",LEFT(TH!M3340,2)="15"),'152-CT'!$J$8=TH!F3340),"x","")</f>
        <v/>
      </c>
      <c r="W3340" s="525" t="str">
        <f>IF(AND(OR(LEFT(TH!L3340,2)="15",LEFT(TH!M3340,2)="15"),TK!$E$7=TH!F3340),"x","")</f>
        <v/>
      </c>
      <c r="X3340" s="525" t="str">
        <f>IF(AND('341-CT'!$E$9=H3340,OR(LEFT(L3340,3)=$X$7,LEFT(M3340,3)=$X$7)),"x","")</f>
        <v/>
      </c>
      <c r="Y3340" s="525" t="str">
        <f>IF(OR(TH!L3340=TH!$Y$7,M3340=TH!$Y$7),"x","")</f>
        <v/>
      </c>
      <c r="Z3340" s="525" t="str">
        <f>IF(AND(B3340&lt;=NKC!$N$8,B3340&gt;=NKC!$M$8),"x","")</f>
        <v/>
      </c>
      <c r="AA3340" s="526"/>
      <c r="AB3340" s="527"/>
    </row>
    <row r="3341" spans="1:30" s="576" customFormat="1" ht="15.75" customHeight="1">
      <c r="A3341" s="517" t="str">
        <f>IF(B3341&lt;&gt;"",IF(AND(B3341&gt;=_TM1,B3341&lt;=_TM2,OR(TH!L3341="1111",TH!M3341="1111")),TH!D3341,""),"")</f>
        <v/>
      </c>
      <c r="B3341" s="518">
        <f t="shared" si="323"/>
        <v>6</v>
      </c>
      <c r="C3341" s="571">
        <f t="shared" si="324"/>
        <v>42914</v>
      </c>
      <c r="D3341" s="571" t="s">
        <v>996</v>
      </c>
      <c r="E3341" s="571">
        <v>42914</v>
      </c>
      <c r="F3341" s="520" t="s">
        <v>1244</v>
      </c>
      <c r="G3341" s="573" t="s">
        <v>1251</v>
      </c>
      <c r="H3341" s="574" t="s">
        <v>800</v>
      </c>
      <c r="I3341" s="523">
        <v>12</v>
      </c>
      <c r="J3341" s="523">
        <v>24336</v>
      </c>
      <c r="K3341" s="575">
        <f t="shared" si="325"/>
        <v>292032</v>
      </c>
      <c r="L3341" s="591" t="s">
        <v>160</v>
      </c>
      <c r="M3341" s="591" t="s">
        <v>292</v>
      </c>
      <c r="N3341" s="525" t="str">
        <f>IF(AND('331-CT'!$E$7=TH!H3341,OR(L3341="331",M3341="331")),"331",IF(AND(OR(L3341="131",M3341="131"),H3341='131-CT'!$E$7),"131",""))</f>
        <v/>
      </c>
      <c r="O3341" s="525" t="str">
        <f>IF(AND($B3341&gt;='111'!$N$11,$B3341&lt;='111'!$O$11,OR($L3341=$O$7,$M3341=$O$7)),"x","")</f>
        <v/>
      </c>
      <c r="P3341" s="525" t="str">
        <f>IF(AND($L3341=$O$7,$B3341&lt;'111'!$N$11),"x","")</f>
        <v/>
      </c>
      <c r="Q3341" s="525" t="str">
        <f>IF(AND($M3341=$O$7,$B3341&lt;'111'!$N$11),"x","")</f>
        <v/>
      </c>
      <c r="R3341" s="525" t="str">
        <f>IF(ISERROR(FIND('112'!$M$9,G3341,1)),"",IF((AND(FIND('112'!$M$9,G3341,1)&gt;=1,$B3341&gt;='112'!$N$8,$B3341&lt;='112'!$O$8,OR($L3341='112'!$I$6,$M3341='112'!$I$6))),"x",""))</f>
        <v/>
      </c>
      <c r="S3341" s="525" t="str">
        <f>IF(ISERROR(FIND('112'!$M$9,G3341,1)),"",IF((AND(LEFT(G3341,2)=LEFT('112'!$M$9,2),B3341&lt;'112'!$N$8,$L3341='112'!$I$6)),"x",""))</f>
        <v/>
      </c>
      <c r="T3341" s="525" t="str">
        <f>IF(ISERROR(FIND('112'!$M$9,G3341,1)),"",IF((AND(RIGHT(G3341,2)=RIGHT('112'!$M$9,2),B3341&lt;'112'!$N$8,$M3341='112'!$I$6)),"x",""))</f>
        <v/>
      </c>
      <c r="U3341" s="525" t="str">
        <f>IF(AND(B3341&gt;='IN-NX'!$P$3,B3341&lt;='IN-NX'!$Q$3,'IN-NX'!$D$7=D3341,OR(LEFT(L3341,2)="15",AND(LEFT(M3341,2)&lt;&gt;"15",LEFT(M3341,2)&lt;&gt;"33"))),"x","")</f>
        <v/>
      </c>
      <c r="V3341" s="525" t="str">
        <f>IF(AND(OR(LEFT(TH!L3341,2)="15",LEFT(TH!M3341,2)="15"),'152-CT'!$J$8=TH!F3341),"x","")</f>
        <v/>
      </c>
      <c r="W3341" s="525" t="str">
        <f>IF(AND(OR(LEFT(TH!L3341,2)="15",LEFT(TH!M3341,2)="15"),TK!$E$7=TH!F3341),"x","")</f>
        <v/>
      </c>
      <c r="X3341" s="525" t="str">
        <f>IF(AND('341-CT'!$E$9=H3341,OR(LEFT(L3341,3)=$X$7,LEFT(M3341,3)=$X$7)),"x","")</f>
        <v/>
      </c>
      <c r="Y3341" s="525" t="str">
        <f>IF(OR(TH!L3341=TH!$Y$7,M3341=TH!$Y$7),"x","")</f>
        <v/>
      </c>
      <c r="Z3341" s="525" t="str">
        <f>IF(AND(B3341&lt;=NKC!$N$8,B3341&gt;=NKC!$M$8),"x","")</f>
        <v/>
      </c>
      <c r="AA3341" s="526"/>
      <c r="AB3341" s="527"/>
    </row>
    <row r="3342" spans="1:30" s="576" customFormat="1" ht="15.75" customHeight="1">
      <c r="A3342" s="517" t="str">
        <f>IF(B3342&lt;&gt;"",IF(AND(B3342&gt;=_TM1,B3342&lt;=_TM2,OR(TH!L3342="1111",TH!M3342="1111")),TH!D3342,""),"")</f>
        <v/>
      </c>
      <c r="B3342" s="518">
        <f t="shared" si="323"/>
        <v>6</v>
      </c>
      <c r="C3342" s="571">
        <f t="shared" si="324"/>
        <v>42914</v>
      </c>
      <c r="D3342" s="571" t="s">
        <v>996</v>
      </c>
      <c r="E3342" s="571">
        <v>42914</v>
      </c>
      <c r="F3342" s="520" t="s">
        <v>1245</v>
      </c>
      <c r="G3342" s="573" t="s">
        <v>1251</v>
      </c>
      <c r="H3342" s="574" t="s">
        <v>800</v>
      </c>
      <c r="I3342" s="523">
        <v>12</v>
      </c>
      <c r="J3342" s="523">
        <v>15408</v>
      </c>
      <c r="K3342" s="575">
        <f t="shared" si="325"/>
        <v>184896</v>
      </c>
      <c r="L3342" s="591" t="s">
        <v>160</v>
      </c>
      <c r="M3342" s="591" t="s">
        <v>292</v>
      </c>
      <c r="N3342" s="525" t="str">
        <f>IF(AND('331-CT'!$E$7=TH!H3342,OR(L3342="331",M3342="331")),"331",IF(AND(OR(L3342="131",M3342="131"),H3342='131-CT'!$E$7),"131",""))</f>
        <v/>
      </c>
      <c r="O3342" s="525" t="str">
        <f>IF(AND($B3342&gt;='111'!$N$11,$B3342&lt;='111'!$O$11,OR($L3342=$O$7,$M3342=$O$7)),"x","")</f>
        <v/>
      </c>
      <c r="P3342" s="525" t="str">
        <f>IF(AND($L3342=$O$7,$B3342&lt;'111'!$N$11),"x","")</f>
        <v/>
      </c>
      <c r="Q3342" s="525" t="str">
        <f>IF(AND($M3342=$O$7,$B3342&lt;'111'!$N$11),"x","")</f>
        <v/>
      </c>
      <c r="R3342" s="525" t="str">
        <f>IF(ISERROR(FIND('112'!$M$9,G3342,1)),"",IF((AND(FIND('112'!$M$9,G3342,1)&gt;=1,$B3342&gt;='112'!$N$8,$B3342&lt;='112'!$O$8,OR($L3342='112'!$I$6,$M3342='112'!$I$6))),"x",""))</f>
        <v/>
      </c>
      <c r="S3342" s="525" t="str">
        <f>IF(ISERROR(FIND('112'!$M$9,G3342,1)),"",IF((AND(LEFT(G3342,2)=LEFT('112'!$M$9,2),B3342&lt;'112'!$N$8,$L3342='112'!$I$6)),"x",""))</f>
        <v/>
      </c>
      <c r="T3342" s="525" t="str">
        <f>IF(ISERROR(FIND('112'!$M$9,G3342,1)),"",IF((AND(RIGHT(G3342,2)=RIGHT('112'!$M$9,2),B3342&lt;'112'!$N$8,$M3342='112'!$I$6)),"x",""))</f>
        <v/>
      </c>
      <c r="U3342" s="525" t="str">
        <f>IF(AND(B3342&gt;='IN-NX'!$P$3,B3342&lt;='IN-NX'!$Q$3,'IN-NX'!$D$7=D3342,OR(LEFT(L3342,2)="15",AND(LEFT(M3342,2)&lt;&gt;"15",LEFT(M3342,2)&lt;&gt;"33"))),"x","")</f>
        <v/>
      </c>
      <c r="V3342" s="525" t="str">
        <f>IF(AND(OR(LEFT(TH!L3342,2)="15",LEFT(TH!M3342,2)="15"),'152-CT'!$J$8=TH!F3342),"x","")</f>
        <v/>
      </c>
      <c r="W3342" s="525" t="str">
        <f>IF(AND(OR(LEFT(TH!L3342,2)="15",LEFT(TH!M3342,2)="15"),TK!$E$7=TH!F3342),"x","")</f>
        <v/>
      </c>
      <c r="X3342" s="525" t="str">
        <f>IF(AND('341-CT'!$E$9=H3342,OR(LEFT(L3342,3)=$X$7,LEFT(M3342,3)=$X$7)),"x","")</f>
        <v/>
      </c>
      <c r="Y3342" s="525" t="str">
        <f>IF(OR(TH!L3342=TH!$Y$7,M3342=TH!$Y$7),"x","")</f>
        <v/>
      </c>
      <c r="Z3342" s="525" t="str">
        <f>IF(AND(B3342&lt;=NKC!$N$8,B3342&gt;=NKC!$M$8),"x","")</f>
        <v/>
      </c>
      <c r="AA3342" s="526"/>
      <c r="AB3342" s="527"/>
    </row>
    <row r="3343" spans="1:30" s="576" customFormat="1" ht="15.75" customHeight="1">
      <c r="A3343" s="517" t="str">
        <f>IF(B3343&lt;&gt;"",IF(AND(B3343&gt;=_TM1,B3343&lt;=_TM2,OR(TH!L3343="1111",TH!M3343="1111")),TH!D3343,""),"")</f>
        <v/>
      </c>
      <c r="B3343" s="518">
        <f t="shared" si="323"/>
        <v>6</v>
      </c>
      <c r="C3343" s="571">
        <f t="shared" si="324"/>
        <v>42914</v>
      </c>
      <c r="D3343" s="571" t="s">
        <v>996</v>
      </c>
      <c r="E3343" s="571">
        <v>42914</v>
      </c>
      <c r="F3343" s="520" t="s">
        <v>709</v>
      </c>
      <c r="G3343" s="573" t="s">
        <v>1251</v>
      </c>
      <c r="H3343" s="574" t="s">
        <v>800</v>
      </c>
      <c r="I3343" s="523">
        <v>12</v>
      </c>
      <c r="J3343" s="523">
        <v>42166</v>
      </c>
      <c r="K3343" s="575">
        <f t="shared" si="325"/>
        <v>505992</v>
      </c>
      <c r="L3343" s="591" t="s">
        <v>160</v>
      </c>
      <c r="M3343" s="591" t="s">
        <v>292</v>
      </c>
      <c r="N3343" s="525" t="str">
        <f>IF(AND('331-CT'!$E$7=TH!H3343,OR(L3343="331",M3343="331")),"331",IF(AND(OR(L3343="131",M3343="131"),H3343='131-CT'!$E$7),"131",""))</f>
        <v/>
      </c>
      <c r="O3343" s="525" t="str">
        <f>IF(AND($B3343&gt;='111'!$N$11,$B3343&lt;='111'!$O$11,OR($L3343=$O$7,$M3343=$O$7)),"x","")</f>
        <v/>
      </c>
      <c r="P3343" s="525" t="str">
        <f>IF(AND($L3343=$O$7,$B3343&lt;'111'!$N$11),"x","")</f>
        <v/>
      </c>
      <c r="Q3343" s="525" t="str">
        <f>IF(AND($M3343=$O$7,$B3343&lt;'111'!$N$11),"x","")</f>
        <v/>
      </c>
      <c r="R3343" s="525" t="str">
        <f>IF(ISERROR(FIND('112'!$M$9,G3343,1)),"",IF((AND(FIND('112'!$M$9,G3343,1)&gt;=1,$B3343&gt;='112'!$N$8,$B3343&lt;='112'!$O$8,OR($L3343='112'!$I$6,$M3343='112'!$I$6))),"x",""))</f>
        <v/>
      </c>
      <c r="S3343" s="525" t="str">
        <f>IF(ISERROR(FIND('112'!$M$9,G3343,1)),"",IF((AND(LEFT(G3343,2)=LEFT('112'!$M$9,2),B3343&lt;'112'!$N$8,$L3343='112'!$I$6)),"x",""))</f>
        <v/>
      </c>
      <c r="T3343" s="525" t="str">
        <f>IF(ISERROR(FIND('112'!$M$9,G3343,1)),"",IF((AND(RIGHT(G3343,2)=RIGHT('112'!$M$9,2),B3343&lt;'112'!$N$8,$M3343='112'!$I$6)),"x",""))</f>
        <v/>
      </c>
      <c r="U3343" s="525" t="str">
        <f>IF(AND(B3343&gt;='IN-NX'!$P$3,B3343&lt;='IN-NX'!$Q$3,'IN-NX'!$D$7=D3343,OR(LEFT(L3343,2)="15",AND(LEFT(M3343,2)&lt;&gt;"15",LEFT(M3343,2)&lt;&gt;"33"))),"x","")</f>
        <v/>
      </c>
      <c r="V3343" s="525" t="str">
        <f>IF(AND(OR(LEFT(TH!L3343,2)="15",LEFT(TH!M3343,2)="15"),'152-CT'!$J$8=TH!F3343),"x","")</f>
        <v/>
      </c>
      <c r="W3343" s="525" t="str">
        <f>IF(AND(OR(LEFT(TH!L3343,2)="15",LEFT(TH!M3343,2)="15"),TK!$E$7=TH!F3343),"x","")</f>
        <v/>
      </c>
      <c r="X3343" s="525" t="str">
        <f>IF(AND('341-CT'!$E$9=H3343,OR(LEFT(L3343,3)=$X$7,LEFT(M3343,3)=$X$7)),"x","")</f>
        <v/>
      </c>
      <c r="Y3343" s="525" t="str">
        <f>IF(OR(TH!L3343=TH!$Y$7,M3343=TH!$Y$7),"x","")</f>
        <v/>
      </c>
      <c r="Z3343" s="525" t="str">
        <f>IF(AND(B3343&lt;=NKC!$N$8,B3343&gt;=NKC!$M$8),"x","")</f>
        <v/>
      </c>
      <c r="AA3343" s="526"/>
      <c r="AB3343" s="527"/>
    </row>
    <row r="3344" spans="1:30" s="576" customFormat="1" ht="15.75" customHeight="1">
      <c r="A3344" s="517" t="str">
        <f>IF(B3344&lt;&gt;"",IF(AND(B3344&gt;=_TM1,B3344&lt;=_TM2,OR(TH!L3344="1111",TH!M3344="1111")),TH!D3344,""),"")</f>
        <v/>
      </c>
      <c r="B3344" s="518">
        <f t="shared" si="323"/>
        <v>6</v>
      </c>
      <c r="C3344" s="571">
        <f t="shared" si="324"/>
        <v>42914</v>
      </c>
      <c r="D3344" s="571" t="s">
        <v>996</v>
      </c>
      <c r="E3344" s="571">
        <v>42914</v>
      </c>
      <c r="F3344" s="520" t="s">
        <v>1226</v>
      </c>
      <c r="G3344" s="573" t="s">
        <v>1251</v>
      </c>
      <c r="H3344" s="574" t="s">
        <v>800</v>
      </c>
      <c r="I3344" s="523">
        <v>12</v>
      </c>
      <c r="J3344" s="523">
        <v>17281</v>
      </c>
      <c r="K3344" s="575">
        <f t="shared" si="325"/>
        <v>207372</v>
      </c>
      <c r="L3344" s="591" t="s">
        <v>160</v>
      </c>
      <c r="M3344" s="591" t="s">
        <v>292</v>
      </c>
      <c r="N3344" s="525" t="str">
        <f>IF(AND('331-CT'!$E$7=TH!H3344,OR(L3344="331",M3344="331")),"331",IF(AND(OR(L3344="131",M3344="131"),H3344='131-CT'!$E$7),"131",""))</f>
        <v/>
      </c>
      <c r="O3344" s="525" t="str">
        <f>IF(AND($B3344&gt;='111'!$N$11,$B3344&lt;='111'!$O$11,OR($L3344=$O$7,$M3344=$O$7)),"x","")</f>
        <v/>
      </c>
      <c r="P3344" s="525" t="str">
        <f>IF(AND($L3344=$O$7,$B3344&lt;'111'!$N$11),"x","")</f>
        <v/>
      </c>
      <c r="Q3344" s="525" t="str">
        <f>IF(AND($M3344=$O$7,$B3344&lt;'111'!$N$11),"x","")</f>
        <v/>
      </c>
      <c r="R3344" s="525" t="str">
        <f>IF(ISERROR(FIND('112'!$M$9,G3344,1)),"",IF((AND(FIND('112'!$M$9,G3344,1)&gt;=1,$B3344&gt;='112'!$N$8,$B3344&lt;='112'!$O$8,OR($L3344='112'!$I$6,$M3344='112'!$I$6))),"x",""))</f>
        <v/>
      </c>
      <c r="S3344" s="525" t="str">
        <f>IF(ISERROR(FIND('112'!$M$9,G3344,1)),"",IF((AND(LEFT(G3344,2)=LEFT('112'!$M$9,2),B3344&lt;'112'!$N$8,$L3344='112'!$I$6)),"x",""))</f>
        <v/>
      </c>
      <c r="T3344" s="525" t="str">
        <f>IF(ISERROR(FIND('112'!$M$9,G3344,1)),"",IF((AND(RIGHT(G3344,2)=RIGHT('112'!$M$9,2),B3344&lt;'112'!$N$8,$M3344='112'!$I$6)),"x",""))</f>
        <v/>
      </c>
      <c r="U3344" s="525" t="str">
        <f>IF(AND(B3344&gt;='IN-NX'!$P$3,B3344&lt;='IN-NX'!$Q$3,'IN-NX'!$D$7=D3344,OR(LEFT(L3344,2)="15",AND(LEFT(M3344,2)&lt;&gt;"15",LEFT(M3344,2)&lt;&gt;"33"))),"x","")</f>
        <v/>
      </c>
      <c r="V3344" s="525" t="str">
        <f>IF(AND(OR(LEFT(TH!L3344,2)="15",LEFT(TH!M3344,2)="15"),'152-CT'!$J$8=TH!F3344),"x","")</f>
        <v/>
      </c>
      <c r="W3344" s="525" t="str">
        <f>IF(AND(OR(LEFT(TH!L3344,2)="15",LEFT(TH!M3344,2)="15"),TK!$E$7=TH!F3344),"x","")</f>
        <v/>
      </c>
      <c r="X3344" s="525" t="str">
        <f>IF(AND('341-CT'!$E$9=H3344,OR(LEFT(L3344,3)=$X$7,LEFT(M3344,3)=$X$7)),"x","")</f>
        <v/>
      </c>
      <c r="Y3344" s="525" t="str">
        <f>IF(OR(TH!L3344=TH!$Y$7,M3344=TH!$Y$7),"x","")</f>
        <v/>
      </c>
      <c r="Z3344" s="525" t="str">
        <f>IF(AND(B3344&lt;=NKC!$N$8,B3344&gt;=NKC!$M$8),"x","")</f>
        <v/>
      </c>
      <c r="AA3344" s="526"/>
      <c r="AB3344" s="527"/>
    </row>
    <row r="3345" spans="1:30" s="576" customFormat="1" ht="15.75" customHeight="1">
      <c r="A3345" s="517" t="str">
        <f>IF(B3345&lt;&gt;"",IF(AND(B3345&gt;=_TM1,B3345&lt;=_TM2,OR(TH!L3345="1111",TH!M3345="1111")),TH!D3345,""),"")</f>
        <v/>
      </c>
      <c r="B3345" s="518">
        <f t="shared" si="323"/>
        <v>6</v>
      </c>
      <c r="C3345" s="571">
        <f t="shared" si="324"/>
        <v>42914</v>
      </c>
      <c r="D3345" s="571" t="s">
        <v>996</v>
      </c>
      <c r="E3345" s="571">
        <v>42914</v>
      </c>
      <c r="F3345" s="520" t="s">
        <v>1246</v>
      </c>
      <c r="G3345" s="573" t="s">
        <v>1251</v>
      </c>
      <c r="H3345" s="574" t="s">
        <v>800</v>
      </c>
      <c r="I3345" s="523">
        <v>24</v>
      </c>
      <c r="J3345" s="523">
        <v>36936</v>
      </c>
      <c r="K3345" s="575">
        <f t="shared" si="325"/>
        <v>886464</v>
      </c>
      <c r="L3345" s="591" t="s">
        <v>160</v>
      </c>
      <c r="M3345" s="591" t="s">
        <v>292</v>
      </c>
      <c r="N3345" s="525" t="str">
        <f>IF(AND('331-CT'!$E$7=TH!H3345,OR(L3345="331",M3345="331")),"331",IF(AND(OR(L3345="131",M3345="131"),H3345='131-CT'!$E$7),"131",""))</f>
        <v/>
      </c>
      <c r="O3345" s="525" t="str">
        <f>IF(AND($B3345&gt;='111'!$N$11,$B3345&lt;='111'!$O$11,OR($L3345=$O$7,$M3345=$O$7)),"x","")</f>
        <v/>
      </c>
      <c r="P3345" s="525" t="str">
        <f>IF(AND($L3345=$O$7,$B3345&lt;'111'!$N$11),"x","")</f>
        <v/>
      </c>
      <c r="Q3345" s="525" t="str">
        <f>IF(AND($M3345=$O$7,$B3345&lt;'111'!$N$11),"x","")</f>
        <v/>
      </c>
      <c r="R3345" s="525" t="str">
        <f>IF(ISERROR(FIND('112'!$M$9,G3345,1)),"",IF((AND(FIND('112'!$M$9,G3345,1)&gt;=1,$B3345&gt;='112'!$N$8,$B3345&lt;='112'!$O$8,OR($L3345='112'!$I$6,$M3345='112'!$I$6))),"x",""))</f>
        <v/>
      </c>
      <c r="S3345" s="525" t="str">
        <f>IF(ISERROR(FIND('112'!$M$9,G3345,1)),"",IF((AND(LEFT(G3345,2)=LEFT('112'!$M$9,2),B3345&lt;'112'!$N$8,$L3345='112'!$I$6)),"x",""))</f>
        <v/>
      </c>
      <c r="T3345" s="525" t="str">
        <f>IF(ISERROR(FIND('112'!$M$9,G3345,1)),"",IF((AND(RIGHT(G3345,2)=RIGHT('112'!$M$9,2),B3345&lt;'112'!$N$8,$M3345='112'!$I$6)),"x",""))</f>
        <v/>
      </c>
      <c r="U3345" s="525" t="str">
        <f>IF(AND(B3345&gt;='IN-NX'!$P$3,B3345&lt;='IN-NX'!$Q$3,'IN-NX'!$D$7=D3345,OR(LEFT(L3345,2)="15",AND(LEFT(M3345,2)&lt;&gt;"15",LEFT(M3345,2)&lt;&gt;"33"))),"x","")</f>
        <v/>
      </c>
      <c r="V3345" s="525" t="str">
        <f>IF(AND(OR(LEFT(TH!L3345,2)="15",LEFT(TH!M3345,2)="15"),'152-CT'!$J$8=TH!F3345),"x","")</f>
        <v/>
      </c>
      <c r="W3345" s="525" t="str">
        <f>IF(AND(OR(LEFT(TH!L3345,2)="15",LEFT(TH!M3345,2)="15"),TK!$E$7=TH!F3345),"x","")</f>
        <v/>
      </c>
      <c r="X3345" s="525" t="str">
        <f>IF(AND('341-CT'!$E$9=H3345,OR(LEFT(L3345,3)=$X$7,LEFT(M3345,3)=$X$7)),"x","")</f>
        <v/>
      </c>
      <c r="Y3345" s="525" t="str">
        <f>IF(OR(TH!L3345=TH!$Y$7,M3345=TH!$Y$7),"x","")</f>
        <v/>
      </c>
      <c r="Z3345" s="525" t="str">
        <f>IF(AND(B3345&lt;=NKC!$N$8,B3345&gt;=NKC!$M$8),"x","")</f>
        <v/>
      </c>
      <c r="AA3345" s="526"/>
      <c r="AB3345" s="527"/>
    </row>
    <row r="3346" spans="1:30" s="576" customFormat="1" ht="15.75" customHeight="1">
      <c r="A3346" s="517" t="str">
        <f>IF(B3346&lt;&gt;"",IF(AND(B3346&gt;=_TM1,B3346&lt;=_TM2,OR(TH!L3346="1111",TH!M3346="1111")),TH!D3346,""),"")</f>
        <v/>
      </c>
      <c r="B3346" s="518">
        <f t="shared" si="323"/>
        <v>6</v>
      </c>
      <c r="C3346" s="571">
        <f t="shared" si="324"/>
        <v>42914</v>
      </c>
      <c r="D3346" s="571" t="s">
        <v>996</v>
      </c>
      <c r="E3346" s="571">
        <v>42914</v>
      </c>
      <c r="F3346" s="520" t="s">
        <v>714</v>
      </c>
      <c r="G3346" s="573" t="s">
        <v>1251</v>
      </c>
      <c r="H3346" s="574" t="s">
        <v>800</v>
      </c>
      <c r="I3346" s="523">
        <v>24</v>
      </c>
      <c r="J3346" s="523">
        <v>50395</v>
      </c>
      <c r="K3346" s="575">
        <f t="shared" si="325"/>
        <v>1209480</v>
      </c>
      <c r="L3346" s="591" t="s">
        <v>160</v>
      </c>
      <c r="M3346" s="591" t="s">
        <v>292</v>
      </c>
      <c r="N3346" s="525" t="str">
        <f>IF(AND('331-CT'!$E$7=TH!H3346,OR(L3346="331",M3346="331")),"331",IF(AND(OR(L3346="131",M3346="131"),H3346='131-CT'!$E$7),"131",""))</f>
        <v/>
      </c>
      <c r="O3346" s="525" t="str">
        <f>IF(AND($B3346&gt;='111'!$N$11,$B3346&lt;='111'!$O$11,OR($L3346=$O$7,$M3346=$O$7)),"x","")</f>
        <v/>
      </c>
      <c r="P3346" s="525" t="str">
        <f>IF(AND($L3346=$O$7,$B3346&lt;'111'!$N$11),"x","")</f>
        <v/>
      </c>
      <c r="Q3346" s="525" t="str">
        <f>IF(AND($M3346=$O$7,$B3346&lt;'111'!$N$11),"x","")</f>
        <v/>
      </c>
      <c r="R3346" s="525" t="str">
        <f>IF(ISERROR(FIND('112'!$M$9,G3346,1)),"",IF((AND(FIND('112'!$M$9,G3346,1)&gt;=1,$B3346&gt;='112'!$N$8,$B3346&lt;='112'!$O$8,OR($L3346='112'!$I$6,$M3346='112'!$I$6))),"x",""))</f>
        <v/>
      </c>
      <c r="S3346" s="525" t="str">
        <f>IF(ISERROR(FIND('112'!$M$9,G3346,1)),"",IF((AND(LEFT(G3346,2)=LEFT('112'!$M$9,2),B3346&lt;'112'!$N$8,$L3346='112'!$I$6)),"x",""))</f>
        <v/>
      </c>
      <c r="T3346" s="525" t="str">
        <f>IF(ISERROR(FIND('112'!$M$9,G3346,1)),"",IF((AND(RIGHT(G3346,2)=RIGHT('112'!$M$9,2),B3346&lt;'112'!$N$8,$M3346='112'!$I$6)),"x",""))</f>
        <v/>
      </c>
      <c r="U3346" s="525" t="str">
        <f>IF(AND(B3346&gt;='IN-NX'!$P$3,B3346&lt;='IN-NX'!$Q$3,'IN-NX'!$D$7=D3346,OR(LEFT(L3346,2)="15",AND(LEFT(M3346,2)&lt;&gt;"15",LEFT(M3346,2)&lt;&gt;"33"))),"x","")</f>
        <v/>
      </c>
      <c r="V3346" s="525" t="str">
        <f>IF(AND(OR(LEFT(TH!L3346,2)="15",LEFT(TH!M3346,2)="15"),'152-CT'!$J$8=TH!F3346),"x","")</f>
        <v/>
      </c>
      <c r="W3346" s="525" t="str">
        <f>IF(AND(OR(LEFT(TH!L3346,2)="15",LEFT(TH!M3346,2)="15"),TK!$E$7=TH!F3346),"x","")</f>
        <v/>
      </c>
      <c r="X3346" s="525" t="str">
        <f>IF(AND('341-CT'!$E$9=H3346,OR(LEFT(L3346,3)=$X$7,LEFT(M3346,3)=$X$7)),"x","")</f>
        <v/>
      </c>
      <c r="Y3346" s="525" t="str">
        <f>IF(OR(TH!L3346=TH!$Y$7,M3346=TH!$Y$7),"x","")</f>
        <v/>
      </c>
      <c r="Z3346" s="525" t="str">
        <f>IF(AND(B3346&lt;=NKC!$N$8,B3346&gt;=NKC!$M$8),"x","")</f>
        <v/>
      </c>
      <c r="AA3346" s="526"/>
      <c r="AB3346" s="527"/>
    </row>
    <row r="3347" spans="1:30" s="576" customFormat="1" ht="15.75" customHeight="1">
      <c r="A3347" s="517" t="str">
        <f>IF(B3347&lt;&gt;"",IF(AND(B3347&gt;=_TM1,B3347&lt;=_TM2,OR(TH!L3347="1111",TH!M3347="1111")),TH!D3347,""),"")</f>
        <v/>
      </c>
      <c r="B3347" s="518">
        <f t="shared" si="323"/>
        <v>6</v>
      </c>
      <c r="C3347" s="571">
        <f t="shared" si="324"/>
        <v>42914</v>
      </c>
      <c r="D3347" s="571" t="s">
        <v>996</v>
      </c>
      <c r="E3347" s="571">
        <v>42914</v>
      </c>
      <c r="F3347" s="520" t="s">
        <v>1247</v>
      </c>
      <c r="G3347" s="573" t="s">
        <v>1251</v>
      </c>
      <c r="H3347" s="574" t="s">
        <v>800</v>
      </c>
      <c r="I3347" s="523">
        <v>36</v>
      </c>
      <c r="J3347" s="523">
        <v>4596</v>
      </c>
      <c r="K3347" s="575">
        <f t="shared" si="325"/>
        <v>165456</v>
      </c>
      <c r="L3347" s="591" t="s">
        <v>160</v>
      </c>
      <c r="M3347" s="591" t="s">
        <v>292</v>
      </c>
      <c r="N3347" s="525" t="str">
        <f>IF(AND('331-CT'!$E$7=TH!H3347,OR(L3347="331",M3347="331")),"331",IF(AND(OR(L3347="131",M3347="131"),H3347='131-CT'!$E$7),"131",""))</f>
        <v/>
      </c>
      <c r="O3347" s="525" t="str">
        <f>IF(AND($B3347&gt;='111'!$N$11,$B3347&lt;='111'!$O$11,OR($L3347=$O$7,$M3347=$O$7)),"x","")</f>
        <v/>
      </c>
      <c r="P3347" s="525" t="str">
        <f>IF(AND($L3347=$O$7,$B3347&lt;'111'!$N$11),"x","")</f>
        <v/>
      </c>
      <c r="Q3347" s="525" t="str">
        <f>IF(AND($M3347=$O$7,$B3347&lt;'111'!$N$11),"x","")</f>
        <v/>
      </c>
      <c r="R3347" s="525" t="str">
        <f>IF(ISERROR(FIND('112'!$M$9,G3347,1)),"",IF((AND(FIND('112'!$M$9,G3347,1)&gt;=1,$B3347&gt;='112'!$N$8,$B3347&lt;='112'!$O$8,OR($L3347='112'!$I$6,$M3347='112'!$I$6))),"x",""))</f>
        <v/>
      </c>
      <c r="S3347" s="525" t="str">
        <f>IF(ISERROR(FIND('112'!$M$9,G3347,1)),"",IF((AND(LEFT(G3347,2)=LEFT('112'!$M$9,2),B3347&lt;'112'!$N$8,$L3347='112'!$I$6)),"x",""))</f>
        <v/>
      </c>
      <c r="T3347" s="525" t="str">
        <f>IF(ISERROR(FIND('112'!$M$9,G3347,1)),"",IF((AND(RIGHT(G3347,2)=RIGHT('112'!$M$9,2),B3347&lt;'112'!$N$8,$M3347='112'!$I$6)),"x",""))</f>
        <v/>
      </c>
      <c r="U3347" s="525" t="str">
        <f>IF(AND(B3347&gt;='IN-NX'!$P$3,B3347&lt;='IN-NX'!$Q$3,'IN-NX'!$D$7=D3347,OR(LEFT(L3347,2)="15",AND(LEFT(M3347,2)&lt;&gt;"15",LEFT(M3347,2)&lt;&gt;"33"))),"x","")</f>
        <v/>
      </c>
      <c r="V3347" s="525" t="str">
        <f>IF(AND(OR(LEFT(TH!L3347,2)="15",LEFT(TH!M3347,2)="15"),'152-CT'!$J$8=TH!F3347),"x","")</f>
        <v/>
      </c>
      <c r="W3347" s="525" t="str">
        <f>IF(AND(OR(LEFT(TH!L3347,2)="15",LEFT(TH!M3347,2)="15"),TK!$E$7=TH!F3347),"x","")</f>
        <v/>
      </c>
      <c r="X3347" s="525" t="str">
        <f>IF(AND('341-CT'!$E$9=H3347,OR(LEFT(L3347,3)=$X$7,LEFT(M3347,3)=$X$7)),"x","")</f>
        <v/>
      </c>
      <c r="Y3347" s="525" t="str">
        <f>IF(OR(TH!L3347=TH!$Y$7,M3347=TH!$Y$7),"x","")</f>
        <v/>
      </c>
      <c r="Z3347" s="525" t="str">
        <f>IF(AND(B3347&lt;=NKC!$N$8,B3347&gt;=NKC!$M$8),"x","")</f>
        <v/>
      </c>
      <c r="AA3347" s="526"/>
      <c r="AB3347" s="527"/>
    </row>
    <row r="3348" spans="1:30" s="576" customFormat="1" ht="15.75" customHeight="1">
      <c r="A3348" s="517" t="str">
        <f>IF(B3348&lt;&gt;"",IF(AND(B3348&gt;=_TM1,B3348&lt;=_TM2,OR(TH!L3348="1111",TH!M3348="1111")),TH!D3348,""),"")</f>
        <v/>
      </c>
      <c r="B3348" s="518">
        <f t="shared" si="323"/>
        <v>6</v>
      </c>
      <c r="C3348" s="571">
        <f t="shared" si="324"/>
        <v>42914</v>
      </c>
      <c r="D3348" s="571" t="s">
        <v>996</v>
      </c>
      <c r="E3348" s="571">
        <v>42914</v>
      </c>
      <c r="F3348" s="520" t="s">
        <v>1248</v>
      </c>
      <c r="G3348" s="573" t="s">
        <v>1251</v>
      </c>
      <c r="H3348" s="574" t="s">
        <v>800</v>
      </c>
      <c r="I3348" s="523">
        <v>24</v>
      </c>
      <c r="J3348" s="523">
        <v>18496</v>
      </c>
      <c r="K3348" s="575">
        <f t="shared" si="325"/>
        <v>443904</v>
      </c>
      <c r="L3348" s="591" t="s">
        <v>160</v>
      </c>
      <c r="M3348" s="591" t="s">
        <v>292</v>
      </c>
      <c r="N3348" s="525" t="str">
        <f>IF(AND('331-CT'!$E$7=TH!H3348,OR(L3348="331",M3348="331")),"331",IF(AND(OR(L3348="131",M3348="131"),H3348='131-CT'!$E$7),"131",""))</f>
        <v/>
      </c>
      <c r="O3348" s="525" t="str">
        <f>IF(AND($B3348&gt;='111'!$N$11,$B3348&lt;='111'!$O$11,OR($L3348=$O$7,$M3348=$O$7)),"x","")</f>
        <v/>
      </c>
      <c r="P3348" s="525" t="str">
        <f>IF(AND($L3348=$O$7,$B3348&lt;'111'!$N$11),"x","")</f>
        <v/>
      </c>
      <c r="Q3348" s="525" t="str">
        <f>IF(AND($M3348=$O$7,$B3348&lt;'111'!$N$11),"x","")</f>
        <v/>
      </c>
      <c r="R3348" s="525" t="str">
        <f>IF(ISERROR(FIND('112'!$M$9,G3348,1)),"",IF((AND(FIND('112'!$M$9,G3348,1)&gt;=1,$B3348&gt;='112'!$N$8,$B3348&lt;='112'!$O$8,OR($L3348='112'!$I$6,$M3348='112'!$I$6))),"x",""))</f>
        <v/>
      </c>
      <c r="S3348" s="525" t="str">
        <f>IF(ISERROR(FIND('112'!$M$9,G3348,1)),"",IF((AND(LEFT(G3348,2)=LEFT('112'!$M$9,2),B3348&lt;'112'!$N$8,$L3348='112'!$I$6)),"x",""))</f>
        <v/>
      </c>
      <c r="T3348" s="525" t="str">
        <f>IF(ISERROR(FIND('112'!$M$9,G3348,1)),"",IF((AND(RIGHT(G3348,2)=RIGHT('112'!$M$9,2),B3348&lt;'112'!$N$8,$M3348='112'!$I$6)),"x",""))</f>
        <v/>
      </c>
      <c r="U3348" s="525" t="str">
        <f>IF(AND(B3348&gt;='IN-NX'!$P$3,B3348&lt;='IN-NX'!$Q$3,'IN-NX'!$D$7=D3348,OR(LEFT(L3348,2)="15",AND(LEFT(M3348,2)&lt;&gt;"15",LEFT(M3348,2)&lt;&gt;"33"))),"x","")</f>
        <v/>
      </c>
      <c r="V3348" s="525" t="str">
        <f>IF(AND(OR(LEFT(TH!L3348,2)="15",LEFT(TH!M3348,2)="15"),'152-CT'!$J$8=TH!F3348),"x","")</f>
        <v/>
      </c>
      <c r="W3348" s="525" t="str">
        <f>IF(AND(OR(LEFT(TH!L3348,2)="15",LEFT(TH!M3348,2)="15"),TK!$E$7=TH!F3348),"x","")</f>
        <v/>
      </c>
      <c r="X3348" s="525" t="str">
        <f>IF(AND('341-CT'!$E$9=H3348,OR(LEFT(L3348,3)=$X$7,LEFT(M3348,3)=$X$7)),"x","")</f>
        <v/>
      </c>
      <c r="Y3348" s="525" t="str">
        <f>IF(OR(TH!L3348=TH!$Y$7,M3348=TH!$Y$7),"x","")</f>
        <v/>
      </c>
      <c r="Z3348" s="525" t="str">
        <f>IF(AND(B3348&lt;=NKC!$N$8,B3348&gt;=NKC!$M$8),"x","")</f>
        <v/>
      </c>
      <c r="AA3348" s="526"/>
      <c r="AB3348" s="527"/>
      <c r="AC3348" s="527"/>
      <c r="AD3348" s="527"/>
    </row>
    <row r="3349" spans="1:30" s="576" customFormat="1" ht="15.75" customHeight="1">
      <c r="A3349" s="517" t="str">
        <f>IF(B3349&lt;&gt;"",IF(AND(B3349&gt;=_TM1,B3349&lt;=_TM2,OR(TH!L3349="1111",TH!M3349="1111")),TH!D3349,""),"")</f>
        <v/>
      </c>
      <c r="B3349" s="518">
        <f t="shared" si="323"/>
        <v>6</v>
      </c>
      <c r="C3349" s="571">
        <f t="shared" si="324"/>
        <v>42914</v>
      </c>
      <c r="D3349" s="571" t="s">
        <v>996</v>
      </c>
      <c r="E3349" s="571">
        <v>42914</v>
      </c>
      <c r="F3349" s="520" t="s">
        <v>1249</v>
      </c>
      <c r="G3349" s="573" t="s">
        <v>1251</v>
      </c>
      <c r="H3349" s="574" t="s">
        <v>800</v>
      </c>
      <c r="I3349" s="523">
        <v>36</v>
      </c>
      <c r="J3349" s="523">
        <v>14651</v>
      </c>
      <c r="K3349" s="575">
        <f t="shared" si="325"/>
        <v>527436</v>
      </c>
      <c r="L3349" s="591" t="s">
        <v>160</v>
      </c>
      <c r="M3349" s="591" t="s">
        <v>292</v>
      </c>
      <c r="N3349" s="525" t="str">
        <f>IF(AND('331-CT'!$E$7=TH!H3349,OR(L3349="331",M3349="331")),"331",IF(AND(OR(L3349="131",M3349="131"),H3349='131-CT'!$E$7),"131",""))</f>
        <v/>
      </c>
      <c r="O3349" s="525" t="str">
        <f>IF(AND($B3349&gt;='111'!$N$11,$B3349&lt;='111'!$O$11,OR($L3349=$O$7,$M3349=$O$7)),"x","")</f>
        <v/>
      </c>
      <c r="P3349" s="525" t="str">
        <f>IF(AND($L3349=$O$7,$B3349&lt;'111'!$N$11),"x","")</f>
        <v/>
      </c>
      <c r="Q3349" s="525" t="str">
        <f>IF(AND($M3349=$O$7,$B3349&lt;'111'!$N$11),"x","")</f>
        <v/>
      </c>
      <c r="R3349" s="525" t="str">
        <f>IF(ISERROR(FIND('112'!$M$9,G3349,1)),"",IF((AND(FIND('112'!$M$9,G3349,1)&gt;=1,$B3349&gt;='112'!$N$8,$B3349&lt;='112'!$O$8,OR($L3349='112'!$I$6,$M3349='112'!$I$6))),"x",""))</f>
        <v/>
      </c>
      <c r="S3349" s="525" t="str">
        <f>IF(ISERROR(FIND('112'!$M$9,G3349,1)),"",IF((AND(LEFT(G3349,2)=LEFT('112'!$M$9,2),B3349&lt;'112'!$N$8,$L3349='112'!$I$6)),"x",""))</f>
        <v/>
      </c>
      <c r="T3349" s="525" t="str">
        <f>IF(ISERROR(FIND('112'!$M$9,G3349,1)),"",IF((AND(RIGHT(G3349,2)=RIGHT('112'!$M$9,2),B3349&lt;'112'!$N$8,$M3349='112'!$I$6)),"x",""))</f>
        <v/>
      </c>
      <c r="U3349" s="525" t="str">
        <f>IF(AND(B3349&gt;='IN-NX'!$P$3,B3349&lt;='IN-NX'!$Q$3,'IN-NX'!$D$7=D3349,OR(LEFT(L3349,2)="15",AND(LEFT(M3349,2)&lt;&gt;"15",LEFT(M3349,2)&lt;&gt;"33"))),"x","")</f>
        <v/>
      </c>
      <c r="V3349" s="525" t="str">
        <f>IF(AND(OR(LEFT(TH!L3349,2)="15",LEFT(TH!M3349,2)="15"),'152-CT'!$J$8=TH!F3349),"x","")</f>
        <v/>
      </c>
      <c r="W3349" s="525" t="str">
        <f>IF(AND(OR(LEFT(TH!L3349,2)="15",LEFT(TH!M3349,2)="15"),TK!$E$7=TH!F3349),"x","")</f>
        <v/>
      </c>
      <c r="X3349" s="525" t="str">
        <f>IF(AND('341-CT'!$E$9=H3349,OR(LEFT(L3349,3)=$X$7,LEFT(M3349,3)=$X$7)),"x","")</f>
        <v/>
      </c>
      <c r="Y3349" s="525" t="str">
        <f>IF(OR(TH!L3349=TH!$Y$7,M3349=TH!$Y$7),"x","")</f>
        <v/>
      </c>
      <c r="Z3349" s="525" t="str">
        <f>IF(AND(B3349&lt;=NKC!$N$8,B3349&gt;=NKC!$M$8),"x","")</f>
        <v/>
      </c>
      <c r="AA3349" s="526"/>
      <c r="AB3349" s="527"/>
      <c r="AC3349" s="527"/>
      <c r="AD3349" s="527"/>
    </row>
    <row r="3350" spans="1:30" s="576" customFormat="1" ht="15.75" customHeight="1">
      <c r="A3350" s="517" t="str">
        <f>IF(B3350&lt;&gt;"",IF(AND(B3350&gt;=_TM1,B3350&lt;=_TM2,OR(TH!L3350="1111",TH!M3350="1111")),TH!D3350,""),"")</f>
        <v/>
      </c>
      <c r="B3350" s="518">
        <f t="shared" si="323"/>
        <v>6</v>
      </c>
      <c r="C3350" s="571">
        <f t="shared" si="324"/>
        <v>42914</v>
      </c>
      <c r="D3350" s="571" t="s">
        <v>996</v>
      </c>
      <c r="E3350" s="571">
        <v>42914</v>
      </c>
      <c r="F3350" s="520" t="s">
        <v>1171</v>
      </c>
      <c r="G3350" s="573" t="s">
        <v>1251</v>
      </c>
      <c r="H3350" s="574" t="s">
        <v>800</v>
      </c>
      <c r="I3350" s="523">
        <v>12</v>
      </c>
      <c r="J3350" s="523">
        <v>22842</v>
      </c>
      <c r="K3350" s="575">
        <f t="shared" si="325"/>
        <v>274104</v>
      </c>
      <c r="L3350" s="591" t="s">
        <v>160</v>
      </c>
      <c r="M3350" s="591" t="s">
        <v>292</v>
      </c>
      <c r="N3350" s="525" t="str">
        <f>IF(AND('331-CT'!$E$7=TH!H3350,OR(L3350="331",M3350="331")),"331",IF(AND(OR(L3350="131",M3350="131"),H3350='131-CT'!$E$7),"131",""))</f>
        <v/>
      </c>
      <c r="O3350" s="525" t="str">
        <f>IF(AND($B3350&gt;='111'!$N$11,$B3350&lt;='111'!$O$11,OR($L3350=$O$7,$M3350=$O$7)),"x","")</f>
        <v/>
      </c>
      <c r="P3350" s="525" t="str">
        <f>IF(AND($L3350=$O$7,$B3350&lt;'111'!$N$11),"x","")</f>
        <v/>
      </c>
      <c r="Q3350" s="525" t="str">
        <f>IF(AND($M3350=$O$7,$B3350&lt;'111'!$N$11),"x","")</f>
        <v/>
      </c>
      <c r="R3350" s="525" t="str">
        <f>IF(ISERROR(FIND('112'!$M$9,G3350,1)),"",IF((AND(FIND('112'!$M$9,G3350,1)&gt;=1,$B3350&gt;='112'!$N$8,$B3350&lt;='112'!$O$8,OR($L3350='112'!$I$6,$M3350='112'!$I$6))),"x",""))</f>
        <v/>
      </c>
      <c r="S3350" s="525" t="str">
        <f>IF(ISERROR(FIND('112'!$M$9,G3350,1)),"",IF((AND(LEFT(G3350,2)=LEFT('112'!$M$9,2),B3350&lt;'112'!$N$8,$L3350='112'!$I$6)),"x",""))</f>
        <v/>
      </c>
      <c r="T3350" s="525" t="str">
        <f>IF(ISERROR(FIND('112'!$M$9,G3350,1)),"",IF((AND(RIGHT(G3350,2)=RIGHT('112'!$M$9,2),B3350&lt;'112'!$N$8,$M3350='112'!$I$6)),"x",""))</f>
        <v/>
      </c>
      <c r="U3350" s="525" t="str">
        <f>IF(AND(B3350&gt;='IN-NX'!$P$3,B3350&lt;='IN-NX'!$Q$3,'IN-NX'!$D$7=D3350,OR(LEFT(L3350,2)="15",AND(LEFT(M3350,2)&lt;&gt;"15",LEFT(M3350,2)&lt;&gt;"33"))),"x","")</f>
        <v/>
      </c>
      <c r="V3350" s="525" t="str">
        <f>IF(AND(OR(LEFT(TH!L3350,2)="15",LEFT(TH!M3350,2)="15"),'152-CT'!$J$8=TH!F3350),"x","")</f>
        <v/>
      </c>
      <c r="W3350" s="525" t="str">
        <f>IF(AND(OR(LEFT(TH!L3350,2)="15",LEFT(TH!M3350,2)="15"),TK!$E$7=TH!F3350),"x","")</f>
        <v/>
      </c>
      <c r="X3350" s="525" t="str">
        <f>IF(AND('341-CT'!$E$9=H3350,OR(LEFT(L3350,3)=$X$7,LEFT(M3350,3)=$X$7)),"x","")</f>
        <v/>
      </c>
      <c r="Y3350" s="525" t="str">
        <f>IF(OR(TH!L3350=TH!$Y$7,M3350=TH!$Y$7),"x","")</f>
        <v/>
      </c>
      <c r="Z3350" s="525" t="str">
        <f>IF(AND(B3350&lt;=NKC!$N$8,B3350&gt;=NKC!$M$8),"x","")</f>
        <v/>
      </c>
      <c r="AA3350" s="526"/>
      <c r="AB3350" s="527"/>
      <c r="AC3350" s="527"/>
      <c r="AD3350" s="527"/>
    </row>
    <row r="3351" spans="1:30" s="576" customFormat="1" ht="15.75" customHeight="1">
      <c r="A3351" s="517" t="str">
        <f>IF(B3351&lt;&gt;"",IF(AND(B3351&gt;=_TM1,B3351&lt;=_TM2,OR(TH!L3351="1111",TH!M3351="1111")),TH!D3351,""),"")</f>
        <v/>
      </c>
      <c r="B3351" s="518">
        <f t="shared" si="323"/>
        <v>6</v>
      </c>
      <c r="C3351" s="571">
        <f t="shared" si="324"/>
        <v>42914</v>
      </c>
      <c r="D3351" s="571" t="s">
        <v>996</v>
      </c>
      <c r="E3351" s="571">
        <v>42914</v>
      </c>
      <c r="F3351" s="520" t="s">
        <v>724</v>
      </c>
      <c r="G3351" s="573" t="s">
        <v>1251</v>
      </c>
      <c r="H3351" s="574" t="s">
        <v>800</v>
      </c>
      <c r="I3351" s="523">
        <v>84</v>
      </c>
      <c r="J3351" s="523">
        <v>8399</v>
      </c>
      <c r="K3351" s="575">
        <f t="shared" si="325"/>
        <v>705516</v>
      </c>
      <c r="L3351" s="591" t="s">
        <v>160</v>
      </c>
      <c r="M3351" s="591" t="s">
        <v>292</v>
      </c>
      <c r="N3351" s="525" t="str">
        <f>IF(AND('331-CT'!$E$7=TH!H3351,OR(L3351="331",M3351="331")),"331",IF(AND(OR(L3351="131",M3351="131"),H3351='131-CT'!$E$7),"131",""))</f>
        <v/>
      </c>
      <c r="O3351" s="525" t="str">
        <f>IF(AND($B3351&gt;='111'!$N$11,$B3351&lt;='111'!$O$11,OR($L3351=$O$7,$M3351=$O$7)),"x","")</f>
        <v/>
      </c>
      <c r="P3351" s="525" t="str">
        <f>IF(AND($L3351=$O$7,$B3351&lt;'111'!$N$11),"x","")</f>
        <v/>
      </c>
      <c r="Q3351" s="525" t="str">
        <f>IF(AND($M3351=$O$7,$B3351&lt;'111'!$N$11),"x","")</f>
        <v/>
      </c>
      <c r="R3351" s="525" t="str">
        <f>IF(ISERROR(FIND('112'!$M$9,G3351,1)),"",IF((AND(FIND('112'!$M$9,G3351,1)&gt;=1,$B3351&gt;='112'!$N$8,$B3351&lt;='112'!$O$8,OR($L3351='112'!$I$6,$M3351='112'!$I$6))),"x",""))</f>
        <v/>
      </c>
      <c r="S3351" s="525" t="str">
        <f>IF(ISERROR(FIND('112'!$M$9,G3351,1)),"",IF((AND(LEFT(G3351,2)=LEFT('112'!$M$9,2),B3351&lt;'112'!$N$8,$L3351='112'!$I$6)),"x",""))</f>
        <v/>
      </c>
      <c r="T3351" s="525" t="str">
        <f>IF(ISERROR(FIND('112'!$M$9,G3351,1)),"",IF((AND(RIGHT(G3351,2)=RIGHT('112'!$M$9,2),B3351&lt;'112'!$N$8,$M3351='112'!$I$6)),"x",""))</f>
        <v/>
      </c>
      <c r="U3351" s="525" t="str">
        <f>IF(AND(B3351&gt;='IN-NX'!$P$3,B3351&lt;='IN-NX'!$Q$3,'IN-NX'!$D$7=D3351,OR(LEFT(L3351,2)="15",AND(LEFT(M3351,2)&lt;&gt;"15",LEFT(M3351,2)&lt;&gt;"33"))),"x","")</f>
        <v/>
      </c>
      <c r="V3351" s="525" t="str">
        <f>IF(AND(OR(LEFT(TH!L3351,2)="15",LEFT(TH!M3351,2)="15"),'152-CT'!$J$8=TH!F3351),"x","")</f>
        <v/>
      </c>
      <c r="W3351" s="525" t="str">
        <f>IF(AND(OR(LEFT(TH!L3351,2)="15",LEFT(TH!M3351,2)="15"),TK!$E$7=TH!F3351),"x","")</f>
        <v/>
      </c>
      <c r="X3351" s="525" t="str">
        <f>IF(AND('341-CT'!$E$9=H3351,OR(LEFT(L3351,3)=$X$7,LEFT(M3351,3)=$X$7)),"x","")</f>
        <v/>
      </c>
      <c r="Y3351" s="525" t="str">
        <f>IF(OR(TH!L3351=TH!$Y$7,M3351=TH!$Y$7),"x","")</f>
        <v/>
      </c>
      <c r="Z3351" s="525" t="str">
        <f>IF(AND(B3351&lt;=NKC!$N$8,B3351&gt;=NKC!$M$8),"x","")</f>
        <v/>
      </c>
      <c r="AA3351" s="526"/>
      <c r="AB3351" s="527"/>
      <c r="AC3351" s="527"/>
      <c r="AD3351" s="527"/>
    </row>
    <row r="3352" spans="1:30" s="576" customFormat="1" ht="15.75" customHeight="1">
      <c r="A3352" s="517" t="str">
        <f>IF(B3352&lt;&gt;"",IF(AND(B3352&gt;=_TM1,B3352&lt;=_TM2,OR(TH!L3352="1111",TH!M3352="1111")),TH!D3352,""),"")</f>
        <v/>
      </c>
      <c r="B3352" s="518">
        <f t="shared" si="323"/>
        <v>6</v>
      </c>
      <c r="C3352" s="571">
        <f t="shared" si="324"/>
        <v>42914</v>
      </c>
      <c r="D3352" s="571" t="s">
        <v>996</v>
      </c>
      <c r="E3352" s="571">
        <v>42914</v>
      </c>
      <c r="F3352" s="520" t="s">
        <v>1170</v>
      </c>
      <c r="G3352" s="573" t="s">
        <v>1251</v>
      </c>
      <c r="H3352" s="574" t="s">
        <v>800</v>
      </c>
      <c r="I3352" s="523">
        <v>12</v>
      </c>
      <c r="J3352" s="523">
        <v>10437</v>
      </c>
      <c r="K3352" s="575">
        <f t="shared" si="325"/>
        <v>125244</v>
      </c>
      <c r="L3352" s="591" t="s">
        <v>160</v>
      </c>
      <c r="M3352" s="591" t="s">
        <v>292</v>
      </c>
      <c r="N3352" s="525" t="str">
        <f>IF(AND('331-CT'!$E$7=TH!H3352,OR(L3352="331",M3352="331")),"331",IF(AND(OR(L3352="131",M3352="131"),H3352='131-CT'!$E$7),"131",""))</f>
        <v/>
      </c>
      <c r="O3352" s="525" t="str">
        <f>IF(AND($B3352&gt;='111'!$N$11,$B3352&lt;='111'!$O$11,OR($L3352=$O$7,$M3352=$O$7)),"x","")</f>
        <v/>
      </c>
      <c r="P3352" s="525" t="str">
        <f>IF(AND($L3352=$O$7,$B3352&lt;'111'!$N$11),"x","")</f>
        <v/>
      </c>
      <c r="Q3352" s="525" t="str">
        <f>IF(AND($M3352=$O$7,$B3352&lt;'111'!$N$11),"x","")</f>
        <v/>
      </c>
      <c r="R3352" s="525" t="str">
        <f>IF(ISERROR(FIND('112'!$M$9,G3352,1)),"",IF((AND(FIND('112'!$M$9,G3352,1)&gt;=1,$B3352&gt;='112'!$N$8,$B3352&lt;='112'!$O$8,OR($L3352='112'!$I$6,$M3352='112'!$I$6))),"x",""))</f>
        <v/>
      </c>
      <c r="S3352" s="525" t="str">
        <f>IF(ISERROR(FIND('112'!$M$9,G3352,1)),"",IF((AND(LEFT(G3352,2)=LEFT('112'!$M$9,2),B3352&lt;'112'!$N$8,$L3352='112'!$I$6)),"x",""))</f>
        <v/>
      </c>
      <c r="T3352" s="525" t="str">
        <f>IF(ISERROR(FIND('112'!$M$9,G3352,1)),"",IF((AND(RIGHT(G3352,2)=RIGHT('112'!$M$9,2),B3352&lt;'112'!$N$8,$M3352='112'!$I$6)),"x",""))</f>
        <v/>
      </c>
      <c r="U3352" s="525" t="str">
        <f>IF(AND(B3352&gt;='IN-NX'!$P$3,B3352&lt;='IN-NX'!$Q$3,'IN-NX'!$D$7=D3352,OR(LEFT(L3352,2)="15",AND(LEFT(M3352,2)&lt;&gt;"15",LEFT(M3352,2)&lt;&gt;"33"))),"x","")</f>
        <v/>
      </c>
      <c r="V3352" s="525" t="str">
        <f>IF(AND(OR(LEFT(TH!L3352,2)="15",LEFT(TH!M3352,2)="15"),'152-CT'!$J$8=TH!F3352),"x","")</f>
        <v/>
      </c>
      <c r="W3352" s="525" t="str">
        <f>IF(AND(OR(LEFT(TH!L3352,2)="15",LEFT(TH!M3352,2)="15"),TK!$E$7=TH!F3352),"x","")</f>
        <v/>
      </c>
      <c r="X3352" s="525" t="str">
        <f>IF(AND('341-CT'!$E$9=H3352,OR(LEFT(L3352,3)=$X$7,LEFT(M3352,3)=$X$7)),"x","")</f>
        <v/>
      </c>
      <c r="Y3352" s="525" t="str">
        <f>IF(OR(TH!L3352=TH!$Y$7,M3352=TH!$Y$7),"x","")</f>
        <v/>
      </c>
      <c r="Z3352" s="525" t="str">
        <f>IF(AND(B3352&lt;=NKC!$N$8,B3352&gt;=NKC!$M$8),"x","")</f>
        <v/>
      </c>
      <c r="AA3352" s="526"/>
      <c r="AB3352" s="527"/>
      <c r="AC3352" s="527"/>
      <c r="AD3352" s="527"/>
    </row>
    <row r="3353" spans="1:30" s="576" customFormat="1" ht="15.75" customHeight="1">
      <c r="A3353" s="517" t="str">
        <f>IF(B3353&lt;&gt;"",IF(AND(B3353&gt;=_TM1,B3353&lt;=_TM2,OR(TH!L3353="1111",TH!M3353="1111")),TH!D3353,""),"")</f>
        <v/>
      </c>
      <c r="B3353" s="518">
        <f t="shared" si="323"/>
        <v>6</v>
      </c>
      <c r="C3353" s="571">
        <f t="shared" si="324"/>
        <v>42914</v>
      </c>
      <c r="D3353" s="571" t="s">
        <v>996</v>
      </c>
      <c r="E3353" s="571">
        <v>42914</v>
      </c>
      <c r="F3353" s="520" t="s">
        <v>726</v>
      </c>
      <c r="G3353" s="573" t="s">
        <v>1251</v>
      </c>
      <c r="H3353" s="574" t="s">
        <v>800</v>
      </c>
      <c r="I3353" s="523">
        <v>18</v>
      </c>
      <c r="J3353" s="523">
        <v>8000</v>
      </c>
      <c r="K3353" s="575">
        <f t="shared" si="325"/>
        <v>144000</v>
      </c>
      <c r="L3353" s="591" t="s">
        <v>160</v>
      </c>
      <c r="M3353" s="591" t="s">
        <v>292</v>
      </c>
      <c r="N3353" s="525" t="str">
        <f>IF(AND('331-CT'!$E$7=TH!H3353,OR(L3353="331",M3353="331")),"331",IF(AND(OR(L3353="131",M3353="131"),H3353='131-CT'!$E$7),"131",""))</f>
        <v/>
      </c>
      <c r="O3353" s="525" t="str">
        <f>IF(AND($B3353&gt;='111'!$N$11,$B3353&lt;='111'!$O$11,OR($L3353=$O$7,$M3353=$O$7)),"x","")</f>
        <v/>
      </c>
      <c r="P3353" s="525" t="str">
        <f>IF(AND($L3353=$O$7,$B3353&lt;'111'!$N$11),"x","")</f>
        <v/>
      </c>
      <c r="Q3353" s="525" t="str">
        <f>IF(AND($M3353=$O$7,$B3353&lt;'111'!$N$11),"x","")</f>
        <v/>
      </c>
      <c r="R3353" s="525" t="str">
        <f>IF(ISERROR(FIND('112'!$M$9,G3353,1)),"",IF((AND(FIND('112'!$M$9,G3353,1)&gt;=1,$B3353&gt;='112'!$N$8,$B3353&lt;='112'!$O$8,OR($L3353='112'!$I$6,$M3353='112'!$I$6))),"x",""))</f>
        <v/>
      </c>
      <c r="S3353" s="525" t="str">
        <f>IF(ISERROR(FIND('112'!$M$9,G3353,1)),"",IF((AND(LEFT(G3353,2)=LEFT('112'!$M$9,2),B3353&lt;'112'!$N$8,$L3353='112'!$I$6)),"x",""))</f>
        <v/>
      </c>
      <c r="T3353" s="525" t="str">
        <f>IF(ISERROR(FIND('112'!$M$9,G3353,1)),"",IF((AND(RIGHT(G3353,2)=RIGHT('112'!$M$9,2),B3353&lt;'112'!$N$8,$M3353='112'!$I$6)),"x",""))</f>
        <v/>
      </c>
      <c r="U3353" s="525" t="str">
        <f>IF(AND(B3353&gt;='IN-NX'!$P$3,B3353&lt;='IN-NX'!$Q$3,'IN-NX'!$D$7=D3353,OR(LEFT(L3353,2)="15",AND(LEFT(M3353,2)&lt;&gt;"15",LEFT(M3353,2)&lt;&gt;"33"))),"x","")</f>
        <v/>
      </c>
      <c r="V3353" s="525" t="str">
        <f>IF(AND(OR(LEFT(TH!L3353,2)="15",LEFT(TH!M3353,2)="15"),'152-CT'!$J$8=TH!F3353),"x","")</f>
        <v/>
      </c>
      <c r="W3353" s="525" t="str">
        <f>IF(AND(OR(LEFT(TH!L3353,2)="15",LEFT(TH!M3353,2)="15"),TK!$E$7=TH!F3353),"x","")</f>
        <v/>
      </c>
      <c r="X3353" s="525" t="str">
        <f>IF(AND('341-CT'!$E$9=H3353,OR(LEFT(L3353,3)=$X$7,LEFT(M3353,3)=$X$7)),"x","")</f>
        <v/>
      </c>
      <c r="Y3353" s="525" t="str">
        <f>IF(OR(TH!L3353=TH!$Y$7,M3353=TH!$Y$7),"x","")</f>
        <v/>
      </c>
      <c r="Z3353" s="525" t="str">
        <f>IF(AND(B3353&lt;=NKC!$N$8,B3353&gt;=NKC!$M$8),"x","")</f>
        <v/>
      </c>
      <c r="AA3353" s="526"/>
      <c r="AB3353" s="527"/>
      <c r="AC3353" s="527"/>
      <c r="AD3353" s="527"/>
    </row>
    <row r="3354" spans="1:30" s="576" customFormat="1" ht="15.75" customHeight="1">
      <c r="A3354" s="517" t="str">
        <f>IF(B3354&lt;&gt;"",IF(AND(B3354&gt;=_TM1,B3354&lt;=_TM2,OR(TH!L3354="1111",TH!M3354="1111")),TH!D3354,""),"")</f>
        <v/>
      </c>
      <c r="B3354" s="518">
        <f t="shared" si="323"/>
        <v>6</v>
      </c>
      <c r="C3354" s="571">
        <f t="shared" si="324"/>
        <v>42914</v>
      </c>
      <c r="D3354" s="571" t="s">
        <v>996</v>
      </c>
      <c r="E3354" s="571">
        <v>42914</v>
      </c>
      <c r="F3354" s="520" t="s">
        <v>723</v>
      </c>
      <c r="G3354" s="573" t="s">
        <v>1251</v>
      </c>
      <c r="H3354" s="574" t="s">
        <v>800</v>
      </c>
      <c r="I3354" s="523">
        <v>18</v>
      </c>
      <c r="J3354" s="523">
        <v>10724</v>
      </c>
      <c r="K3354" s="575">
        <f t="shared" si="325"/>
        <v>193032</v>
      </c>
      <c r="L3354" s="591" t="s">
        <v>160</v>
      </c>
      <c r="M3354" s="591" t="s">
        <v>292</v>
      </c>
      <c r="N3354" s="525" t="str">
        <f>IF(AND('331-CT'!$E$7=TH!H3354,OR(L3354="331",M3354="331")),"331",IF(AND(OR(L3354="131",M3354="131"),H3354='131-CT'!$E$7),"131",""))</f>
        <v/>
      </c>
      <c r="O3354" s="525" t="str">
        <f>IF(AND($B3354&gt;='111'!$N$11,$B3354&lt;='111'!$O$11,OR($L3354=$O$7,$M3354=$O$7)),"x","")</f>
        <v/>
      </c>
      <c r="P3354" s="525" t="str">
        <f>IF(AND($L3354=$O$7,$B3354&lt;'111'!$N$11),"x","")</f>
        <v/>
      </c>
      <c r="Q3354" s="525" t="str">
        <f>IF(AND($M3354=$O$7,$B3354&lt;'111'!$N$11),"x","")</f>
        <v/>
      </c>
      <c r="R3354" s="525" t="str">
        <f>IF(ISERROR(FIND('112'!$M$9,G3354,1)),"",IF((AND(FIND('112'!$M$9,G3354,1)&gt;=1,$B3354&gt;='112'!$N$8,$B3354&lt;='112'!$O$8,OR($L3354='112'!$I$6,$M3354='112'!$I$6))),"x",""))</f>
        <v/>
      </c>
      <c r="S3354" s="525" t="str">
        <f>IF(ISERROR(FIND('112'!$M$9,G3354,1)),"",IF((AND(LEFT(G3354,2)=LEFT('112'!$M$9,2),B3354&lt;'112'!$N$8,$L3354='112'!$I$6)),"x",""))</f>
        <v/>
      </c>
      <c r="T3354" s="525" t="str">
        <f>IF(ISERROR(FIND('112'!$M$9,G3354,1)),"",IF((AND(RIGHT(G3354,2)=RIGHT('112'!$M$9,2),B3354&lt;'112'!$N$8,$M3354='112'!$I$6)),"x",""))</f>
        <v/>
      </c>
      <c r="U3354" s="525" t="str">
        <f>IF(AND(B3354&gt;='IN-NX'!$P$3,B3354&lt;='IN-NX'!$Q$3,'IN-NX'!$D$7=D3354,OR(LEFT(L3354,2)="15",AND(LEFT(M3354,2)&lt;&gt;"15",LEFT(M3354,2)&lt;&gt;"33"))),"x","")</f>
        <v/>
      </c>
      <c r="V3354" s="525" t="str">
        <f>IF(AND(OR(LEFT(TH!L3354,2)="15",LEFT(TH!M3354,2)="15"),'152-CT'!$J$8=TH!F3354),"x","")</f>
        <v/>
      </c>
      <c r="W3354" s="525" t="str">
        <f>IF(AND(OR(LEFT(TH!L3354,2)="15",LEFT(TH!M3354,2)="15"),TK!$E$7=TH!F3354),"x","")</f>
        <v/>
      </c>
      <c r="X3354" s="525" t="str">
        <f>IF(AND('341-CT'!$E$9=H3354,OR(LEFT(L3354,3)=$X$7,LEFT(M3354,3)=$X$7)),"x","")</f>
        <v/>
      </c>
      <c r="Y3354" s="525" t="str">
        <f>IF(OR(TH!L3354=TH!$Y$7,M3354=TH!$Y$7),"x","")</f>
        <v/>
      </c>
      <c r="Z3354" s="525" t="str">
        <f>IF(AND(B3354&lt;=NKC!$N$8,B3354&gt;=NKC!$M$8),"x","")</f>
        <v/>
      </c>
      <c r="AA3354" s="526"/>
      <c r="AB3354" s="527"/>
      <c r="AC3354" s="527"/>
    </row>
    <row r="3355" spans="1:30" s="576" customFormat="1" ht="15.75" customHeight="1">
      <c r="A3355" s="517" t="str">
        <f>IF(B3355&lt;&gt;"",IF(AND(B3355&gt;=_TM1,B3355&lt;=_TM2,OR(TH!L3355="1111",TH!M3355="1111")),TH!D3355,""),"")</f>
        <v/>
      </c>
      <c r="B3355" s="518">
        <f t="shared" si="323"/>
        <v>6</v>
      </c>
      <c r="C3355" s="571">
        <f t="shared" si="324"/>
        <v>42914</v>
      </c>
      <c r="D3355" s="571" t="s">
        <v>996</v>
      </c>
      <c r="E3355" s="571">
        <v>42914</v>
      </c>
      <c r="F3355" s="520" t="s">
        <v>1250</v>
      </c>
      <c r="G3355" s="573" t="s">
        <v>1251</v>
      </c>
      <c r="H3355" s="574" t="s">
        <v>800</v>
      </c>
      <c r="I3355" s="523">
        <v>8</v>
      </c>
      <c r="J3355" s="523">
        <v>25765</v>
      </c>
      <c r="K3355" s="575">
        <f t="shared" si="325"/>
        <v>206120</v>
      </c>
      <c r="L3355" s="591" t="s">
        <v>160</v>
      </c>
      <c r="M3355" s="591" t="s">
        <v>292</v>
      </c>
      <c r="N3355" s="525" t="str">
        <f>IF(AND('331-CT'!$E$7=TH!H3355,OR(L3355="331",M3355="331")),"331",IF(AND(OR(L3355="131",M3355="131"),H3355='131-CT'!$E$7),"131",""))</f>
        <v/>
      </c>
      <c r="O3355" s="525" t="str">
        <f>IF(AND($B3355&gt;='111'!$N$11,$B3355&lt;='111'!$O$11,OR($L3355=$O$7,$M3355=$O$7)),"x","")</f>
        <v/>
      </c>
      <c r="P3355" s="525" t="str">
        <f>IF(AND($L3355=$O$7,$B3355&lt;'111'!$N$11),"x","")</f>
        <v/>
      </c>
      <c r="Q3355" s="525" t="str">
        <f>IF(AND($M3355=$O$7,$B3355&lt;'111'!$N$11),"x","")</f>
        <v/>
      </c>
      <c r="R3355" s="525" t="str">
        <f>IF(ISERROR(FIND('112'!$M$9,G3355,1)),"",IF((AND(FIND('112'!$M$9,G3355,1)&gt;=1,$B3355&gt;='112'!$N$8,$B3355&lt;='112'!$O$8,OR($L3355='112'!$I$6,$M3355='112'!$I$6))),"x",""))</f>
        <v/>
      </c>
      <c r="S3355" s="525" t="str">
        <f>IF(ISERROR(FIND('112'!$M$9,G3355,1)),"",IF((AND(LEFT(G3355,2)=LEFT('112'!$M$9,2),B3355&lt;'112'!$N$8,$L3355='112'!$I$6)),"x",""))</f>
        <v/>
      </c>
      <c r="T3355" s="525" t="str">
        <f>IF(ISERROR(FIND('112'!$M$9,G3355,1)),"",IF((AND(RIGHT(G3355,2)=RIGHT('112'!$M$9,2),B3355&lt;'112'!$N$8,$M3355='112'!$I$6)),"x",""))</f>
        <v/>
      </c>
      <c r="U3355" s="525" t="str">
        <f>IF(AND(B3355&gt;='IN-NX'!$P$3,B3355&lt;='IN-NX'!$Q$3,'IN-NX'!$D$7=D3355,OR(LEFT(L3355,2)="15",AND(LEFT(M3355,2)&lt;&gt;"15",LEFT(M3355,2)&lt;&gt;"33"))),"x","")</f>
        <v/>
      </c>
      <c r="V3355" s="525" t="str">
        <f>IF(AND(OR(LEFT(TH!L3355,2)="15",LEFT(TH!M3355,2)="15"),'152-CT'!$J$8=TH!F3355),"x","")</f>
        <v/>
      </c>
      <c r="W3355" s="525" t="str">
        <f>IF(AND(OR(LEFT(TH!L3355,2)="15",LEFT(TH!M3355,2)="15"),TK!$E$7=TH!F3355),"x","")</f>
        <v/>
      </c>
      <c r="X3355" s="525" t="str">
        <f>IF(AND('341-CT'!$E$9=H3355,OR(LEFT(L3355,3)=$X$7,LEFT(M3355,3)=$X$7)),"x","")</f>
        <v/>
      </c>
      <c r="Y3355" s="525" t="str">
        <f>IF(OR(TH!L3355=TH!$Y$7,M3355=TH!$Y$7),"x","")</f>
        <v/>
      </c>
      <c r="Z3355" s="525" t="str">
        <f>IF(AND(B3355&lt;=NKC!$N$8,B3355&gt;=NKC!$M$8),"x","")</f>
        <v/>
      </c>
      <c r="AA3355" s="526"/>
      <c r="AB3355" s="527"/>
    </row>
    <row r="3356" spans="1:30" s="576" customFormat="1" ht="15.75" customHeight="1">
      <c r="A3356" s="517" t="str">
        <f>IF(B3356&lt;&gt;"",IF(AND(B3356&gt;=_TM1,B3356&lt;=_TM2,OR(TH!L3356="1111",TH!M3356="1111")),TH!D3356,""),"")</f>
        <v/>
      </c>
      <c r="B3356" s="518">
        <f t="shared" si="323"/>
        <v>6</v>
      </c>
      <c r="C3356" s="571">
        <f t="shared" si="324"/>
        <v>42914</v>
      </c>
      <c r="D3356" s="571" t="s">
        <v>996</v>
      </c>
      <c r="E3356" s="571">
        <v>42914</v>
      </c>
      <c r="F3356" s="520" t="s">
        <v>1167</v>
      </c>
      <c r="G3356" s="573" t="s">
        <v>1251</v>
      </c>
      <c r="H3356" s="574" t="s">
        <v>800</v>
      </c>
      <c r="I3356" s="523">
        <v>18</v>
      </c>
      <c r="J3356" s="523">
        <v>8384</v>
      </c>
      <c r="K3356" s="575">
        <f t="shared" si="325"/>
        <v>150912</v>
      </c>
      <c r="L3356" s="591" t="s">
        <v>160</v>
      </c>
      <c r="M3356" s="591" t="s">
        <v>292</v>
      </c>
      <c r="N3356" s="525" t="str">
        <f>IF(AND('331-CT'!$E$7=TH!H3356,OR(L3356="331",M3356="331")),"331",IF(AND(OR(L3356="131",M3356="131"),H3356='131-CT'!$E$7),"131",""))</f>
        <v/>
      </c>
      <c r="O3356" s="525" t="str">
        <f>IF(AND($B3356&gt;='111'!$N$11,$B3356&lt;='111'!$O$11,OR($L3356=$O$7,$M3356=$O$7)),"x","")</f>
        <v/>
      </c>
      <c r="P3356" s="525" t="str">
        <f>IF(AND($L3356=$O$7,$B3356&lt;'111'!$N$11),"x","")</f>
        <v/>
      </c>
      <c r="Q3356" s="525" t="str">
        <f>IF(AND($M3356=$O$7,$B3356&lt;'111'!$N$11),"x","")</f>
        <v/>
      </c>
      <c r="R3356" s="525" t="str">
        <f>IF(ISERROR(FIND('112'!$M$9,G3356,1)),"",IF((AND(FIND('112'!$M$9,G3356,1)&gt;=1,$B3356&gt;='112'!$N$8,$B3356&lt;='112'!$O$8,OR($L3356='112'!$I$6,$M3356='112'!$I$6))),"x",""))</f>
        <v/>
      </c>
      <c r="S3356" s="525" t="str">
        <f>IF(ISERROR(FIND('112'!$M$9,G3356,1)),"",IF((AND(LEFT(G3356,2)=LEFT('112'!$M$9,2),B3356&lt;'112'!$N$8,$L3356='112'!$I$6)),"x",""))</f>
        <v/>
      </c>
      <c r="T3356" s="525" t="str">
        <f>IF(ISERROR(FIND('112'!$M$9,G3356,1)),"",IF((AND(RIGHT(G3356,2)=RIGHT('112'!$M$9,2),B3356&lt;'112'!$N$8,$M3356='112'!$I$6)),"x",""))</f>
        <v/>
      </c>
      <c r="U3356" s="525" t="str">
        <f>IF(AND(B3356&gt;='IN-NX'!$P$3,B3356&lt;='IN-NX'!$Q$3,'IN-NX'!$D$7=D3356,OR(LEFT(L3356,2)="15",AND(LEFT(M3356,2)&lt;&gt;"15",LEFT(M3356,2)&lt;&gt;"33"))),"x","")</f>
        <v/>
      </c>
      <c r="V3356" s="525" t="str">
        <f>IF(AND(OR(LEFT(TH!L3356,2)="15",LEFT(TH!M3356,2)="15"),'152-CT'!$J$8=TH!F3356),"x","")</f>
        <v/>
      </c>
      <c r="W3356" s="525" t="str">
        <f>IF(AND(OR(LEFT(TH!L3356,2)="15",LEFT(TH!M3356,2)="15"),TK!$E$7=TH!F3356),"x","")</f>
        <v/>
      </c>
      <c r="X3356" s="525" t="str">
        <f>IF(AND('341-CT'!$E$9=H3356,OR(LEFT(L3356,3)=$X$7,LEFT(M3356,3)=$X$7)),"x","")</f>
        <v/>
      </c>
      <c r="Y3356" s="525" t="str">
        <f>IF(OR(TH!L3356=TH!$Y$7,M3356=TH!$Y$7),"x","")</f>
        <v/>
      </c>
      <c r="Z3356" s="525" t="str">
        <f>IF(AND(B3356&lt;=NKC!$N$8,B3356&gt;=NKC!$M$8),"x","")</f>
        <v/>
      </c>
      <c r="AA3356" s="526"/>
      <c r="AB3356" s="527"/>
      <c r="AC3356" s="527"/>
    </row>
    <row r="3357" spans="1:30" s="576" customFormat="1" ht="15.75" customHeight="1">
      <c r="A3357" s="517" t="str">
        <f>IF(B3357&lt;&gt;"",IF(AND(B3357&gt;=_TM1,B3357&lt;=_TM2,OR(TH!L3357="1111",TH!M3357="1111")),TH!D3357,""),"")</f>
        <v/>
      </c>
      <c r="B3357" s="518">
        <f t="shared" si="323"/>
        <v>6</v>
      </c>
      <c r="C3357" s="571">
        <f t="shared" si="324"/>
        <v>42914</v>
      </c>
      <c r="D3357" s="571" t="s">
        <v>996</v>
      </c>
      <c r="E3357" s="571">
        <v>42914</v>
      </c>
      <c r="F3357" s="520" t="s">
        <v>1164</v>
      </c>
      <c r="G3357" s="573" t="s">
        <v>1251</v>
      </c>
      <c r="H3357" s="574" t="s">
        <v>800</v>
      </c>
      <c r="I3357" s="523">
        <v>725</v>
      </c>
      <c r="J3357" s="523">
        <v>11221</v>
      </c>
      <c r="K3357" s="575">
        <f t="shared" si="325"/>
        <v>8135225</v>
      </c>
      <c r="L3357" s="591" t="s">
        <v>160</v>
      </c>
      <c r="M3357" s="591" t="s">
        <v>292</v>
      </c>
      <c r="N3357" s="525" t="str">
        <f>IF(AND('331-CT'!$E$7=TH!H3357,OR(L3357="331",M3357="331")),"331",IF(AND(OR(L3357="131",M3357="131"),H3357='131-CT'!$E$7),"131",""))</f>
        <v/>
      </c>
      <c r="O3357" s="525" t="str">
        <f>IF(AND($B3357&gt;='111'!$N$11,$B3357&lt;='111'!$O$11,OR($L3357=$O$7,$M3357=$O$7)),"x","")</f>
        <v/>
      </c>
      <c r="P3357" s="525" t="str">
        <f>IF(AND($L3357=$O$7,$B3357&lt;'111'!$N$11),"x","")</f>
        <v/>
      </c>
      <c r="Q3357" s="525" t="str">
        <f>IF(AND($M3357=$O$7,$B3357&lt;'111'!$N$11),"x","")</f>
        <v/>
      </c>
      <c r="R3357" s="525" t="str">
        <f>IF(ISERROR(FIND('112'!$M$9,G3357,1)),"",IF((AND(FIND('112'!$M$9,G3357,1)&gt;=1,$B3357&gt;='112'!$N$8,$B3357&lt;='112'!$O$8,OR($L3357='112'!$I$6,$M3357='112'!$I$6))),"x",""))</f>
        <v/>
      </c>
      <c r="S3357" s="525" t="str">
        <f>IF(ISERROR(FIND('112'!$M$9,G3357,1)),"",IF((AND(LEFT(G3357,2)=LEFT('112'!$M$9,2),B3357&lt;'112'!$N$8,$L3357='112'!$I$6)),"x",""))</f>
        <v/>
      </c>
      <c r="T3357" s="525" t="str">
        <f>IF(ISERROR(FIND('112'!$M$9,G3357,1)),"",IF((AND(RIGHT(G3357,2)=RIGHT('112'!$M$9,2),B3357&lt;'112'!$N$8,$M3357='112'!$I$6)),"x",""))</f>
        <v/>
      </c>
      <c r="U3357" s="525" t="str">
        <f>IF(AND(B3357&gt;='IN-NX'!$P$3,B3357&lt;='IN-NX'!$Q$3,'IN-NX'!$D$7=D3357,OR(LEFT(L3357,2)="15",AND(LEFT(M3357,2)&lt;&gt;"15",LEFT(M3357,2)&lt;&gt;"33"))),"x","")</f>
        <v/>
      </c>
      <c r="V3357" s="525" t="str">
        <f>IF(AND(OR(LEFT(TH!L3357,2)="15",LEFT(TH!M3357,2)="15"),'152-CT'!$J$8=TH!F3357),"x","")</f>
        <v/>
      </c>
      <c r="W3357" s="525" t="str">
        <f>IF(AND(OR(LEFT(TH!L3357,2)="15",LEFT(TH!M3357,2)="15"),TK!$E$7=TH!F3357),"x","")</f>
        <v>x</v>
      </c>
      <c r="X3357" s="525" t="str">
        <f>IF(AND('341-CT'!$E$9=H3357,OR(LEFT(L3357,3)=$X$7,LEFT(M3357,3)=$X$7)),"x","")</f>
        <v/>
      </c>
      <c r="Y3357" s="525" t="str">
        <f>IF(OR(TH!L3357=TH!$Y$7,M3357=TH!$Y$7),"x","")</f>
        <v/>
      </c>
      <c r="Z3357" s="525" t="str">
        <f>IF(AND(B3357&lt;=NKC!$N$8,B3357&gt;=NKC!$M$8),"x","")</f>
        <v/>
      </c>
      <c r="AA3357" s="526"/>
      <c r="AB3357" s="527"/>
    </row>
    <row r="3358" spans="1:30" s="704" customFormat="1" ht="15.75" customHeight="1">
      <c r="A3358" s="517" t="str">
        <f>IF(B3358&lt;&gt;"",IF(AND(B3358&gt;=_TM1,B3358&lt;=_TM2,OR(TH!L3358="1111",TH!M3358="1111")),TH!D3358,""),"")</f>
        <v/>
      </c>
      <c r="B3358" s="698">
        <f t="shared" si="323"/>
        <v>5</v>
      </c>
      <c r="C3358" s="699">
        <f>E3358</f>
        <v>42884</v>
      </c>
      <c r="D3358" s="699" t="s">
        <v>997</v>
      </c>
      <c r="E3358" s="717">
        <v>42884</v>
      </c>
      <c r="F3358" s="706" t="s">
        <v>382</v>
      </c>
      <c r="G3358" s="701" t="s">
        <v>1186</v>
      </c>
      <c r="H3358" s="694" t="s">
        <v>801</v>
      </c>
      <c r="I3358" s="695">
        <v>125</v>
      </c>
      <c r="J3358" s="695">
        <v>12798</v>
      </c>
      <c r="K3358" s="696">
        <f>ROUND(I3358*J3358,0)</f>
        <v>1599750</v>
      </c>
      <c r="L3358" s="697" t="s">
        <v>158</v>
      </c>
      <c r="M3358" s="697" t="s">
        <v>292</v>
      </c>
      <c r="N3358" s="525" t="str">
        <f>IF(AND('331-CT'!$E$7=TH!H3358,OR(L3358="331",M3358="331")),"331",IF(AND(OR(L3358="131",M3358="131"),H3358='131-CT'!$E$7),"131",""))</f>
        <v/>
      </c>
      <c r="O3358" s="525" t="str">
        <f>IF(AND($B3358&gt;='111'!$N$11,$B3358&lt;='111'!$O$11,OR($L3358=$O$7,$M3358=$O$7)),"x","")</f>
        <v/>
      </c>
      <c r="P3358" s="525" t="str">
        <f>IF(AND($L3358=$O$7,$B3358&lt;'111'!$N$11),"x","")</f>
        <v/>
      </c>
      <c r="Q3358" s="525" t="str">
        <f>IF(AND($M3358=$O$7,$B3358&lt;'111'!$N$11),"x","")</f>
        <v/>
      </c>
      <c r="R3358" s="525" t="str">
        <f>IF(ISERROR(FIND('112'!$M$9,G3358,1)),"",IF((AND(FIND('112'!$M$9,G3358,1)&gt;=1,$B3358&gt;='112'!$N$8,$B3358&lt;='112'!$O$8,OR($L3358='112'!$I$6,$M3358='112'!$I$6))),"x",""))</f>
        <v/>
      </c>
      <c r="S3358" s="525" t="str">
        <f>IF(ISERROR(FIND('112'!$M$9,G3358,1)),"",IF((AND(LEFT(G3358,2)=LEFT('112'!$M$9,2),B3358&lt;'112'!$N$8,$L3358='112'!$I$6)),"x",""))</f>
        <v/>
      </c>
      <c r="T3358" s="525" t="str">
        <f>IF(ISERROR(FIND('112'!$M$9,G3358,1)),"",IF((AND(RIGHT(G3358,2)=RIGHT('112'!$M$9,2),B3358&lt;'112'!$N$8,$M3358='112'!$I$6)),"x",""))</f>
        <v/>
      </c>
      <c r="U3358" s="525" t="str">
        <f>IF(AND(B3358&gt;='IN-NX'!$P$3,B3358&lt;='IN-NX'!$Q$3,'IN-NX'!$D$7=D3358,OR(LEFT(L3358,2)="15",AND(LEFT(M3358,2)&lt;&gt;"15",LEFT(M3358,2)&lt;&gt;"33"))),"x","")</f>
        <v/>
      </c>
      <c r="V3358" s="525" t="str">
        <f>IF(AND(OR(LEFT(TH!L3358,2)="15",LEFT(TH!M3358,2)="15"),'152-CT'!$J$8=TH!F3358),"x","")</f>
        <v/>
      </c>
      <c r="W3358" s="525" t="str">
        <f>IF(AND(OR(LEFT(TH!L3358,2)="15",LEFT(TH!M3358,2)="15"),TK!$E$7=TH!F3358),"x","")</f>
        <v/>
      </c>
      <c r="X3358" s="525" t="str">
        <f>IF(AND('341-CT'!$E$9=H3358,OR(LEFT(L3358,3)=$X$7,LEFT(M3358,3)=$X$7)),"x","")</f>
        <v/>
      </c>
      <c r="Y3358" s="525" t="str">
        <f>IF(OR(TH!L3358=TH!$Y$7,M3358=TH!$Y$7),"x","")</f>
        <v/>
      </c>
      <c r="Z3358" s="525" t="str">
        <f>IF(AND(B3358&lt;=NKC!$N$8,B3358&gt;=NKC!$M$8),"x","")</f>
        <v/>
      </c>
      <c r="AA3358" s="702"/>
    </row>
    <row r="3359" spans="1:30" s="704" customFormat="1" ht="15.75" customHeight="1">
      <c r="A3359" s="517" t="str">
        <f>IF(B3359&lt;&gt;"",IF(AND(B3359&gt;=_TM1,B3359&lt;=_TM2,OR(TH!L3359="1111",TH!M3359="1111")),TH!D3359,""),"")</f>
        <v/>
      </c>
      <c r="B3359" s="698">
        <f t="shared" si="323"/>
        <v>5</v>
      </c>
      <c r="C3359" s="699">
        <f>E3359</f>
        <v>42885</v>
      </c>
      <c r="D3359" s="699" t="s">
        <v>997</v>
      </c>
      <c r="E3359" s="717">
        <v>42885</v>
      </c>
      <c r="F3359" s="706" t="s">
        <v>372</v>
      </c>
      <c r="G3359" s="701" t="s">
        <v>1187</v>
      </c>
      <c r="H3359" s="694" t="s">
        <v>801</v>
      </c>
      <c r="I3359" s="695">
        <v>140</v>
      </c>
      <c r="J3359" s="695">
        <v>21942</v>
      </c>
      <c r="K3359" s="696">
        <f>ROUND(I3359*J3359,0)</f>
        <v>3071880</v>
      </c>
      <c r="L3359" s="697" t="s">
        <v>158</v>
      </c>
      <c r="M3359" s="697" t="s">
        <v>292</v>
      </c>
      <c r="N3359" s="525" t="str">
        <f>IF(AND('331-CT'!$E$7=TH!H3359,OR(L3359="331",M3359="331")),"331",IF(AND(OR(L3359="131",M3359="131"),H3359='131-CT'!$E$7),"131",""))</f>
        <v/>
      </c>
      <c r="O3359" s="525" t="str">
        <f>IF(AND($B3359&gt;='111'!$N$11,$B3359&lt;='111'!$O$11,OR($L3359=$O$7,$M3359=$O$7)),"x","")</f>
        <v/>
      </c>
      <c r="P3359" s="525" t="str">
        <f>IF(AND($L3359=$O$7,$B3359&lt;'111'!$N$11),"x","")</f>
        <v/>
      </c>
      <c r="Q3359" s="525" t="str">
        <f>IF(AND($M3359=$O$7,$B3359&lt;'111'!$N$11),"x","")</f>
        <v/>
      </c>
      <c r="R3359" s="525" t="str">
        <f>IF(ISERROR(FIND('112'!$M$9,G3359,1)),"",IF((AND(FIND('112'!$M$9,G3359,1)&gt;=1,$B3359&gt;='112'!$N$8,$B3359&lt;='112'!$O$8,OR($L3359='112'!$I$6,$M3359='112'!$I$6))),"x",""))</f>
        <v/>
      </c>
      <c r="S3359" s="525" t="str">
        <f>IF(ISERROR(FIND('112'!$M$9,G3359,1)),"",IF((AND(LEFT(G3359,2)=LEFT('112'!$M$9,2),B3359&lt;'112'!$N$8,$L3359='112'!$I$6)),"x",""))</f>
        <v/>
      </c>
      <c r="T3359" s="525" t="str">
        <f>IF(ISERROR(FIND('112'!$M$9,G3359,1)),"",IF((AND(RIGHT(G3359,2)=RIGHT('112'!$M$9,2),B3359&lt;'112'!$N$8,$M3359='112'!$I$6)),"x",""))</f>
        <v/>
      </c>
      <c r="U3359" s="525" t="str">
        <f>IF(AND(B3359&gt;='IN-NX'!$P$3,B3359&lt;='IN-NX'!$Q$3,'IN-NX'!$D$7=D3359,OR(LEFT(L3359,2)="15",AND(LEFT(M3359,2)&lt;&gt;"15",LEFT(M3359,2)&lt;&gt;"33"))),"x","")</f>
        <v/>
      </c>
      <c r="V3359" s="525" t="str">
        <f>IF(AND(OR(LEFT(TH!L3359,2)="15",LEFT(TH!M3359,2)="15"),'152-CT'!$J$8=TH!F3359),"x","")</f>
        <v/>
      </c>
      <c r="W3359" s="525" t="str">
        <f>IF(AND(OR(LEFT(TH!L3359,2)="15",LEFT(TH!M3359,2)="15"),TK!$E$7=TH!F3359),"x","")</f>
        <v/>
      </c>
      <c r="X3359" s="525" t="str">
        <f>IF(AND('341-CT'!$E$9=H3359,OR(LEFT(L3359,3)=$X$7,LEFT(M3359,3)=$X$7)),"x","")</f>
        <v/>
      </c>
      <c r="Y3359" s="525" t="str">
        <f>IF(OR(TH!L3359=TH!$Y$7,M3359=TH!$Y$7),"x","")</f>
        <v/>
      </c>
      <c r="Z3359" s="525" t="str">
        <f>IF(AND(B3359&lt;=NKC!$N$8,B3359&gt;=NKC!$M$8),"x","")</f>
        <v/>
      </c>
      <c r="AA3359" s="702"/>
    </row>
    <row r="3360" spans="1:30" s="704" customFormat="1" ht="15.75" customHeight="1">
      <c r="A3360" s="517" t="str">
        <f>IF(B3360&lt;&gt;"",IF(AND(B3360&gt;=_TM1,B3360&lt;=_TM2,OR(TH!L3360="1111",TH!M3360="1111")),TH!D3360,""),"")</f>
        <v/>
      </c>
      <c r="B3360" s="698">
        <f t="shared" ref="B3360:B3369" si="326">IF(C3360&lt;&gt;"",MONTH(C3360),"")</f>
        <v>5</v>
      </c>
      <c r="C3360" s="699">
        <f t="shared" ref="C3360:C3369" si="327">E3360</f>
        <v>42885</v>
      </c>
      <c r="D3360" s="699" t="s">
        <v>997</v>
      </c>
      <c r="E3360" s="699">
        <v>42885</v>
      </c>
      <c r="F3360" s="707" t="s">
        <v>370</v>
      </c>
      <c r="G3360" s="716" t="s">
        <v>1187</v>
      </c>
      <c r="H3360" s="694" t="s">
        <v>801</v>
      </c>
      <c r="I3360" s="695">
        <v>249</v>
      </c>
      <c r="J3360" s="695">
        <v>22745</v>
      </c>
      <c r="K3360" s="696">
        <f t="shared" ref="K3360:K3369" si="328">ROUND(I3360*J3360,0)</f>
        <v>5663505</v>
      </c>
      <c r="L3360" s="697" t="s">
        <v>158</v>
      </c>
      <c r="M3360" s="697" t="s">
        <v>292</v>
      </c>
      <c r="N3360" s="525" t="str">
        <f>IF(AND('331-CT'!$E$7=TH!H3360,OR(L3360="331",M3360="331")),"331",IF(AND(OR(L3360="131",M3360="131"),H3360='131-CT'!$E$7),"131",""))</f>
        <v/>
      </c>
      <c r="O3360" s="525" t="str">
        <f>IF(AND($B3360&gt;='111'!$N$11,$B3360&lt;='111'!$O$11,OR($L3360=$O$7,$M3360=$O$7)),"x","")</f>
        <v/>
      </c>
      <c r="P3360" s="525" t="str">
        <f>IF(AND($L3360=$O$7,$B3360&lt;'111'!$N$11),"x","")</f>
        <v/>
      </c>
      <c r="Q3360" s="525" t="str">
        <f>IF(AND($M3360=$O$7,$B3360&lt;'111'!$N$11),"x","")</f>
        <v/>
      </c>
      <c r="R3360" s="525" t="str">
        <f>IF(ISERROR(FIND('112'!$M$9,G3360,1)),"",IF((AND(FIND('112'!$M$9,G3360,1)&gt;=1,$B3360&gt;='112'!$N$8,$B3360&lt;='112'!$O$8,OR($L3360='112'!$I$6,$M3360='112'!$I$6))),"x",""))</f>
        <v/>
      </c>
      <c r="S3360" s="525" t="str">
        <f>IF(ISERROR(FIND('112'!$M$9,G3360,1)),"",IF((AND(LEFT(G3360,2)=LEFT('112'!$M$9,2),B3360&lt;'112'!$N$8,$L3360='112'!$I$6)),"x",""))</f>
        <v/>
      </c>
      <c r="T3360" s="525" t="str">
        <f>IF(ISERROR(FIND('112'!$M$9,G3360,1)),"",IF((AND(RIGHT(G3360,2)=RIGHT('112'!$M$9,2),B3360&lt;'112'!$N$8,$M3360='112'!$I$6)),"x",""))</f>
        <v/>
      </c>
      <c r="U3360" s="525" t="str">
        <f>IF(AND(B3360&gt;='IN-NX'!$P$3,B3360&lt;='IN-NX'!$Q$3,'IN-NX'!$D$7=D3360,OR(LEFT(L3360,2)="15",AND(LEFT(M3360,2)&lt;&gt;"15",LEFT(M3360,2)&lt;&gt;"33"))),"x","")</f>
        <v/>
      </c>
      <c r="V3360" s="525" t="str">
        <f>IF(AND(OR(LEFT(TH!L3360,2)="15",LEFT(TH!M3360,2)="15"),'152-CT'!$J$8=TH!F3360),"x","")</f>
        <v/>
      </c>
      <c r="W3360" s="525" t="str">
        <f>IF(AND(OR(LEFT(TH!L3360,2)="15",LEFT(TH!M3360,2)="15"),TK!$E$7=TH!F3360),"x","")</f>
        <v/>
      </c>
      <c r="X3360" s="525" t="str">
        <f>IF(AND('341-CT'!$E$9=H3360,OR(LEFT(L3360,3)=$X$7,LEFT(M3360,3)=$X$7)),"x","")</f>
        <v/>
      </c>
      <c r="Y3360" s="525" t="str">
        <f>IF(OR(TH!L3360=TH!$Y$7,M3360=TH!$Y$7),"x","")</f>
        <v/>
      </c>
      <c r="Z3360" s="525" t="str">
        <f>IF(AND(B3360&lt;=NKC!$N$8,B3360&gt;=NKC!$M$8),"x","")</f>
        <v/>
      </c>
      <c r="AA3360" s="702"/>
      <c r="AB3360" s="703"/>
    </row>
    <row r="3361" spans="1:28" s="704" customFormat="1" ht="15.75" customHeight="1">
      <c r="A3361" s="517" t="str">
        <f>IF(B3361&lt;&gt;"",IF(AND(B3361&gt;=_TM1,B3361&lt;=_TM2,OR(TH!L3361="1111",TH!M3361="1111")),TH!D3361,""),"")</f>
        <v/>
      </c>
      <c r="B3361" s="698">
        <f t="shared" si="326"/>
        <v>5</v>
      </c>
      <c r="C3361" s="699">
        <f t="shared" si="327"/>
        <v>42885</v>
      </c>
      <c r="D3361" s="699" t="s">
        <v>997</v>
      </c>
      <c r="E3361" s="699">
        <v>42885</v>
      </c>
      <c r="F3361" s="700" t="s">
        <v>309</v>
      </c>
      <c r="G3361" s="716" t="s">
        <v>1187</v>
      </c>
      <c r="H3361" s="694" t="s">
        <v>801</v>
      </c>
      <c r="I3361" s="695">
        <v>170</v>
      </c>
      <c r="J3361" s="695">
        <v>20839</v>
      </c>
      <c r="K3361" s="696">
        <f t="shared" si="328"/>
        <v>3542630</v>
      </c>
      <c r="L3361" s="697" t="s">
        <v>158</v>
      </c>
      <c r="M3361" s="697" t="s">
        <v>292</v>
      </c>
      <c r="N3361" s="525" t="str">
        <f>IF(AND('331-CT'!$E$7=TH!H3361,OR(L3361="331",M3361="331")),"331",IF(AND(OR(L3361="131",M3361="131"),H3361='131-CT'!$E$7),"131",""))</f>
        <v/>
      </c>
      <c r="O3361" s="525" t="str">
        <f>IF(AND($B3361&gt;='111'!$N$11,$B3361&lt;='111'!$O$11,OR($L3361=$O$7,$M3361=$O$7)),"x","")</f>
        <v/>
      </c>
      <c r="P3361" s="525" t="str">
        <f>IF(AND($L3361=$O$7,$B3361&lt;'111'!$N$11),"x","")</f>
        <v/>
      </c>
      <c r="Q3361" s="525" t="str">
        <f>IF(AND($M3361=$O$7,$B3361&lt;'111'!$N$11),"x","")</f>
        <v/>
      </c>
      <c r="R3361" s="525" t="str">
        <f>IF(ISERROR(FIND('112'!$M$9,G3361,1)),"",IF((AND(FIND('112'!$M$9,G3361,1)&gt;=1,$B3361&gt;='112'!$N$8,$B3361&lt;='112'!$O$8,OR($L3361='112'!$I$6,$M3361='112'!$I$6))),"x",""))</f>
        <v/>
      </c>
      <c r="S3361" s="525" t="str">
        <f>IF(ISERROR(FIND('112'!$M$9,G3361,1)),"",IF((AND(LEFT(G3361,2)=LEFT('112'!$M$9,2),B3361&lt;'112'!$N$8,$L3361='112'!$I$6)),"x",""))</f>
        <v/>
      </c>
      <c r="T3361" s="525" t="str">
        <f>IF(ISERROR(FIND('112'!$M$9,G3361,1)),"",IF((AND(RIGHT(G3361,2)=RIGHT('112'!$M$9,2),B3361&lt;'112'!$N$8,$M3361='112'!$I$6)),"x",""))</f>
        <v/>
      </c>
      <c r="U3361" s="525" t="str">
        <f>IF(AND(B3361&gt;='IN-NX'!$P$3,B3361&lt;='IN-NX'!$Q$3,'IN-NX'!$D$7=D3361,OR(LEFT(L3361,2)="15",AND(LEFT(M3361,2)&lt;&gt;"15",LEFT(M3361,2)&lt;&gt;"33"))),"x","")</f>
        <v/>
      </c>
      <c r="V3361" s="525" t="str">
        <f>IF(AND(OR(LEFT(TH!L3361,2)="15",LEFT(TH!M3361,2)="15"),'152-CT'!$J$8=TH!F3361),"x","")</f>
        <v/>
      </c>
      <c r="W3361" s="525" t="str">
        <f>IF(AND(OR(LEFT(TH!L3361,2)="15",LEFT(TH!M3361,2)="15"),TK!$E$7=TH!F3361),"x","")</f>
        <v/>
      </c>
      <c r="X3361" s="525" t="str">
        <f>IF(AND('341-CT'!$E$9=H3361,OR(LEFT(L3361,3)=$X$7,LEFT(M3361,3)=$X$7)),"x","")</f>
        <v/>
      </c>
      <c r="Y3361" s="525" t="str">
        <f>IF(OR(TH!L3361=TH!$Y$7,M3361=TH!$Y$7),"x","")</f>
        <v/>
      </c>
      <c r="Z3361" s="525" t="str">
        <f>IF(AND(B3361&lt;=NKC!$N$8,B3361&gt;=NKC!$M$8),"x","")</f>
        <v/>
      </c>
      <c r="AA3361" s="702"/>
      <c r="AB3361" s="703"/>
    </row>
    <row r="3362" spans="1:28" s="704" customFormat="1" ht="15.75" customHeight="1">
      <c r="A3362" s="517" t="str">
        <f>IF(B3362&lt;&gt;"",IF(AND(B3362&gt;=_TM1,B3362&lt;=_TM2,OR(TH!L3362="1111",TH!M3362="1111")),TH!D3362,""),"")</f>
        <v/>
      </c>
      <c r="B3362" s="698">
        <f t="shared" si="326"/>
        <v>5</v>
      </c>
      <c r="C3362" s="699">
        <f t="shared" si="327"/>
        <v>42885</v>
      </c>
      <c r="D3362" s="699" t="s">
        <v>997</v>
      </c>
      <c r="E3362" s="699">
        <v>42885</v>
      </c>
      <c r="F3362" s="700" t="s">
        <v>310</v>
      </c>
      <c r="G3362" s="716" t="s">
        <v>1187</v>
      </c>
      <c r="H3362" s="694" t="s">
        <v>801</v>
      </c>
      <c r="I3362" s="695">
        <v>125</v>
      </c>
      <c r="J3362" s="695">
        <v>21611</v>
      </c>
      <c r="K3362" s="696">
        <f t="shared" si="328"/>
        <v>2701375</v>
      </c>
      <c r="L3362" s="697" t="s">
        <v>158</v>
      </c>
      <c r="M3362" s="697" t="s">
        <v>292</v>
      </c>
      <c r="N3362" s="525" t="str">
        <f>IF(AND('331-CT'!$E$7=TH!H3362,OR(L3362="331",M3362="331")),"331",IF(AND(OR(L3362="131",M3362="131"),H3362='131-CT'!$E$7),"131",""))</f>
        <v/>
      </c>
      <c r="O3362" s="525" t="str">
        <f>IF(AND($B3362&gt;='111'!$N$11,$B3362&lt;='111'!$O$11,OR($L3362=$O$7,$M3362=$O$7)),"x","")</f>
        <v/>
      </c>
      <c r="P3362" s="525" t="str">
        <f>IF(AND($L3362=$O$7,$B3362&lt;'111'!$N$11),"x","")</f>
        <v/>
      </c>
      <c r="Q3362" s="525" t="str">
        <f>IF(AND($M3362=$O$7,$B3362&lt;'111'!$N$11),"x","")</f>
        <v/>
      </c>
      <c r="R3362" s="525" t="str">
        <f>IF(ISERROR(FIND('112'!$M$9,G3362,1)),"",IF((AND(FIND('112'!$M$9,G3362,1)&gt;=1,$B3362&gt;='112'!$N$8,$B3362&lt;='112'!$O$8,OR($L3362='112'!$I$6,$M3362='112'!$I$6))),"x",""))</f>
        <v/>
      </c>
      <c r="S3362" s="525" t="str">
        <f>IF(ISERROR(FIND('112'!$M$9,G3362,1)),"",IF((AND(LEFT(G3362,2)=LEFT('112'!$M$9,2),B3362&lt;'112'!$N$8,$L3362='112'!$I$6)),"x",""))</f>
        <v/>
      </c>
      <c r="T3362" s="525" t="str">
        <f>IF(ISERROR(FIND('112'!$M$9,G3362,1)),"",IF((AND(RIGHT(G3362,2)=RIGHT('112'!$M$9,2),B3362&lt;'112'!$N$8,$M3362='112'!$I$6)),"x",""))</f>
        <v/>
      </c>
      <c r="U3362" s="525" t="str">
        <f>IF(AND(B3362&gt;='IN-NX'!$P$3,B3362&lt;='IN-NX'!$Q$3,'IN-NX'!$D$7=D3362,OR(LEFT(L3362,2)="15",AND(LEFT(M3362,2)&lt;&gt;"15",LEFT(M3362,2)&lt;&gt;"33"))),"x","")</f>
        <v/>
      </c>
      <c r="V3362" s="525" t="str">
        <f>IF(AND(OR(LEFT(TH!L3362,2)="15",LEFT(TH!M3362,2)="15"),'152-CT'!$J$8=TH!F3362),"x","")</f>
        <v/>
      </c>
      <c r="W3362" s="525" t="str">
        <f>IF(AND(OR(LEFT(TH!L3362,2)="15",LEFT(TH!M3362,2)="15"),TK!$E$7=TH!F3362),"x","")</f>
        <v/>
      </c>
      <c r="X3362" s="525" t="str">
        <f>IF(AND('341-CT'!$E$9=H3362,OR(LEFT(L3362,3)=$X$7,LEFT(M3362,3)=$X$7)),"x","")</f>
        <v/>
      </c>
      <c r="Y3362" s="525" t="str">
        <f>IF(OR(TH!L3362=TH!$Y$7,M3362=TH!$Y$7),"x","")</f>
        <v/>
      </c>
      <c r="Z3362" s="525" t="str">
        <f>IF(AND(B3362&lt;=NKC!$N$8,B3362&gt;=NKC!$M$8),"x","")</f>
        <v/>
      </c>
      <c r="AA3362" s="702"/>
      <c r="AB3362" s="703"/>
    </row>
    <row r="3363" spans="1:28" s="704" customFormat="1" ht="15.75" customHeight="1">
      <c r="A3363" s="517" t="str">
        <f>IF(B3363&lt;&gt;"",IF(AND(B3363&gt;=_TM1,B3363&lt;=_TM2,OR(TH!L3363="1111",TH!M3363="1111")),TH!D3363,""),"")</f>
        <v/>
      </c>
      <c r="B3363" s="698">
        <f t="shared" si="326"/>
        <v>5</v>
      </c>
      <c r="C3363" s="699">
        <f t="shared" si="327"/>
        <v>42885</v>
      </c>
      <c r="D3363" s="699" t="s">
        <v>997</v>
      </c>
      <c r="E3363" s="699">
        <v>42885</v>
      </c>
      <c r="F3363" s="707" t="s">
        <v>358</v>
      </c>
      <c r="G3363" s="716" t="s">
        <v>1187</v>
      </c>
      <c r="H3363" s="694" t="s">
        <v>801</v>
      </c>
      <c r="I3363" s="695">
        <v>275</v>
      </c>
      <c r="J3363" s="695">
        <v>20896.938181818183</v>
      </c>
      <c r="K3363" s="696">
        <f t="shared" si="328"/>
        <v>5746658</v>
      </c>
      <c r="L3363" s="697" t="s">
        <v>158</v>
      </c>
      <c r="M3363" s="697" t="s">
        <v>292</v>
      </c>
      <c r="N3363" s="525" t="str">
        <f>IF(AND('331-CT'!$E$7=TH!H3363,OR(L3363="331",M3363="331")),"331",IF(AND(OR(L3363="131",M3363="131"),H3363='131-CT'!$E$7),"131",""))</f>
        <v/>
      </c>
      <c r="O3363" s="525" t="str">
        <f>IF(AND($B3363&gt;='111'!$N$11,$B3363&lt;='111'!$O$11,OR($L3363=$O$7,$M3363=$O$7)),"x","")</f>
        <v/>
      </c>
      <c r="P3363" s="525" t="str">
        <f>IF(AND($L3363=$O$7,$B3363&lt;'111'!$N$11),"x","")</f>
        <v/>
      </c>
      <c r="Q3363" s="525" t="str">
        <f>IF(AND($M3363=$O$7,$B3363&lt;'111'!$N$11),"x","")</f>
        <v/>
      </c>
      <c r="R3363" s="525" t="str">
        <f>IF(ISERROR(FIND('112'!$M$9,G3363,1)),"",IF((AND(FIND('112'!$M$9,G3363,1)&gt;=1,$B3363&gt;='112'!$N$8,$B3363&lt;='112'!$O$8,OR($L3363='112'!$I$6,$M3363='112'!$I$6))),"x",""))</f>
        <v/>
      </c>
      <c r="S3363" s="525" t="str">
        <f>IF(ISERROR(FIND('112'!$M$9,G3363,1)),"",IF((AND(LEFT(G3363,2)=LEFT('112'!$M$9,2),B3363&lt;'112'!$N$8,$L3363='112'!$I$6)),"x",""))</f>
        <v/>
      </c>
      <c r="T3363" s="525" t="str">
        <f>IF(ISERROR(FIND('112'!$M$9,G3363,1)),"",IF((AND(RIGHT(G3363,2)=RIGHT('112'!$M$9,2),B3363&lt;'112'!$N$8,$M3363='112'!$I$6)),"x",""))</f>
        <v/>
      </c>
      <c r="U3363" s="525" t="str">
        <f>IF(AND(B3363&gt;='IN-NX'!$P$3,B3363&lt;='IN-NX'!$Q$3,'IN-NX'!$D$7=D3363,OR(LEFT(L3363,2)="15",AND(LEFT(M3363,2)&lt;&gt;"15",LEFT(M3363,2)&lt;&gt;"33"))),"x","")</f>
        <v/>
      </c>
      <c r="V3363" s="525" t="str">
        <f>IF(AND(OR(LEFT(TH!L3363,2)="15",LEFT(TH!M3363,2)="15"),'152-CT'!$J$8=TH!F3363),"x","")</f>
        <v/>
      </c>
      <c r="W3363" s="525" t="str">
        <f>IF(AND(OR(LEFT(TH!L3363,2)="15",LEFT(TH!M3363,2)="15"),TK!$E$7=TH!F3363),"x","")</f>
        <v/>
      </c>
      <c r="X3363" s="525" t="str">
        <f>IF(AND('341-CT'!$E$9=H3363,OR(LEFT(L3363,3)=$X$7,LEFT(M3363,3)=$X$7)),"x","")</f>
        <v/>
      </c>
      <c r="Y3363" s="525" t="str">
        <f>IF(OR(TH!L3363=TH!$Y$7,M3363=TH!$Y$7),"x","")</f>
        <v/>
      </c>
      <c r="Z3363" s="525" t="str">
        <f>IF(AND(B3363&lt;=NKC!$N$8,B3363&gt;=NKC!$M$8),"x","")</f>
        <v/>
      </c>
      <c r="AA3363" s="702"/>
      <c r="AB3363" s="703"/>
    </row>
    <row r="3364" spans="1:28" s="704" customFormat="1" ht="15.75" customHeight="1">
      <c r="A3364" s="517" t="str">
        <f>IF(B3364&lt;&gt;"",IF(AND(B3364&gt;=_TM1,B3364&lt;=_TM2,OR(TH!L3364="1111",TH!M3364="1111")),TH!D3364,""),"")</f>
        <v/>
      </c>
      <c r="B3364" s="698">
        <f t="shared" si="326"/>
        <v>5</v>
      </c>
      <c r="C3364" s="699">
        <f t="shared" si="327"/>
        <v>42885</v>
      </c>
      <c r="D3364" s="699" t="s">
        <v>997</v>
      </c>
      <c r="E3364" s="699">
        <v>42885</v>
      </c>
      <c r="F3364" s="707" t="s">
        <v>331</v>
      </c>
      <c r="G3364" s="716" t="s">
        <v>1187</v>
      </c>
      <c r="H3364" s="694" t="s">
        <v>801</v>
      </c>
      <c r="I3364" s="695">
        <v>150</v>
      </c>
      <c r="J3364" s="695">
        <v>21168</v>
      </c>
      <c r="K3364" s="696">
        <f t="shared" si="328"/>
        <v>3175200</v>
      </c>
      <c r="L3364" s="697" t="s">
        <v>158</v>
      </c>
      <c r="M3364" s="697" t="s">
        <v>292</v>
      </c>
      <c r="N3364" s="525" t="str">
        <f>IF(AND('331-CT'!$E$7=TH!H3364,OR(L3364="331",M3364="331")),"331",IF(AND(OR(L3364="131",M3364="131"),H3364='131-CT'!$E$7),"131",""))</f>
        <v/>
      </c>
      <c r="O3364" s="525" t="str">
        <f>IF(AND($B3364&gt;='111'!$N$11,$B3364&lt;='111'!$O$11,OR($L3364=$O$7,$M3364=$O$7)),"x","")</f>
        <v/>
      </c>
      <c r="P3364" s="525" t="str">
        <f>IF(AND($L3364=$O$7,$B3364&lt;'111'!$N$11),"x","")</f>
        <v/>
      </c>
      <c r="Q3364" s="525" t="str">
        <f>IF(AND($M3364=$O$7,$B3364&lt;'111'!$N$11),"x","")</f>
        <v/>
      </c>
      <c r="R3364" s="525" t="str">
        <f>IF(ISERROR(FIND('112'!$M$9,G3364,1)),"",IF((AND(FIND('112'!$M$9,G3364,1)&gt;=1,$B3364&gt;='112'!$N$8,$B3364&lt;='112'!$O$8,OR($L3364='112'!$I$6,$M3364='112'!$I$6))),"x",""))</f>
        <v/>
      </c>
      <c r="S3364" s="525" t="str">
        <f>IF(ISERROR(FIND('112'!$M$9,G3364,1)),"",IF((AND(LEFT(G3364,2)=LEFT('112'!$M$9,2),B3364&lt;'112'!$N$8,$L3364='112'!$I$6)),"x",""))</f>
        <v/>
      </c>
      <c r="T3364" s="525" t="str">
        <f>IF(ISERROR(FIND('112'!$M$9,G3364,1)),"",IF((AND(RIGHT(G3364,2)=RIGHT('112'!$M$9,2),B3364&lt;'112'!$N$8,$M3364='112'!$I$6)),"x",""))</f>
        <v/>
      </c>
      <c r="U3364" s="525" t="str">
        <f>IF(AND(B3364&gt;='IN-NX'!$P$3,B3364&lt;='IN-NX'!$Q$3,'IN-NX'!$D$7=D3364,OR(LEFT(L3364,2)="15",AND(LEFT(M3364,2)&lt;&gt;"15",LEFT(M3364,2)&lt;&gt;"33"))),"x","")</f>
        <v/>
      </c>
      <c r="V3364" s="525" t="str">
        <f>IF(AND(OR(LEFT(TH!L3364,2)="15",LEFT(TH!M3364,2)="15"),'152-CT'!$J$8=TH!F3364),"x","")</f>
        <v/>
      </c>
      <c r="W3364" s="525" t="str">
        <f>IF(AND(OR(LEFT(TH!L3364,2)="15",LEFT(TH!M3364,2)="15"),TK!$E$7=TH!F3364),"x","")</f>
        <v/>
      </c>
      <c r="X3364" s="525" t="str">
        <f>IF(AND('341-CT'!$E$9=H3364,OR(LEFT(L3364,3)=$X$7,LEFT(M3364,3)=$X$7)),"x","")</f>
        <v/>
      </c>
      <c r="Y3364" s="525" t="str">
        <f>IF(OR(TH!L3364=TH!$Y$7,M3364=TH!$Y$7),"x","")</f>
        <v/>
      </c>
      <c r="Z3364" s="525" t="str">
        <f>IF(AND(B3364&lt;=NKC!$N$8,B3364&gt;=NKC!$M$8),"x","")</f>
        <v/>
      </c>
      <c r="AA3364" s="702"/>
      <c r="AB3364" s="703"/>
    </row>
    <row r="3365" spans="1:28" s="704" customFormat="1" ht="15.75" customHeight="1">
      <c r="A3365" s="517" t="str">
        <f>IF(B3365&lt;&gt;"",IF(AND(B3365&gt;=_TM1,B3365&lt;=_TM2,OR(TH!L3365="1111",TH!M3365="1111")),TH!D3365,""),"")</f>
        <v/>
      </c>
      <c r="B3365" s="698">
        <f t="shared" si="326"/>
        <v>5</v>
      </c>
      <c r="C3365" s="699">
        <f t="shared" si="327"/>
        <v>42885</v>
      </c>
      <c r="D3365" s="699" t="s">
        <v>997</v>
      </c>
      <c r="E3365" s="699">
        <v>42885</v>
      </c>
      <c r="F3365" s="707" t="s">
        <v>397</v>
      </c>
      <c r="G3365" s="716" t="s">
        <v>1187</v>
      </c>
      <c r="H3365" s="694" t="s">
        <v>801</v>
      </c>
      <c r="I3365" s="695">
        <v>52</v>
      </c>
      <c r="J3365" s="695">
        <v>21542.5</v>
      </c>
      <c r="K3365" s="696">
        <f t="shared" si="328"/>
        <v>1120210</v>
      </c>
      <c r="L3365" s="697" t="s">
        <v>158</v>
      </c>
      <c r="M3365" s="697" t="s">
        <v>292</v>
      </c>
      <c r="N3365" s="525" t="str">
        <f>IF(AND('331-CT'!$E$7=TH!H3365,OR(L3365="331",M3365="331")),"331",IF(AND(OR(L3365="131",M3365="131"),H3365='131-CT'!$E$7),"131",""))</f>
        <v/>
      </c>
      <c r="O3365" s="525" t="str">
        <f>IF(AND($B3365&gt;='111'!$N$11,$B3365&lt;='111'!$O$11,OR($L3365=$O$7,$M3365=$O$7)),"x","")</f>
        <v/>
      </c>
      <c r="P3365" s="525" t="str">
        <f>IF(AND($L3365=$O$7,$B3365&lt;'111'!$N$11),"x","")</f>
        <v/>
      </c>
      <c r="Q3365" s="525" t="str">
        <f>IF(AND($M3365=$O$7,$B3365&lt;'111'!$N$11),"x","")</f>
        <v/>
      </c>
      <c r="R3365" s="525" t="str">
        <f>IF(ISERROR(FIND('112'!$M$9,G3365,1)),"",IF((AND(FIND('112'!$M$9,G3365,1)&gt;=1,$B3365&gt;='112'!$N$8,$B3365&lt;='112'!$O$8,OR($L3365='112'!$I$6,$M3365='112'!$I$6))),"x",""))</f>
        <v/>
      </c>
      <c r="S3365" s="525" t="str">
        <f>IF(ISERROR(FIND('112'!$M$9,G3365,1)),"",IF((AND(LEFT(G3365,2)=LEFT('112'!$M$9,2),B3365&lt;'112'!$N$8,$L3365='112'!$I$6)),"x",""))</f>
        <v/>
      </c>
      <c r="T3365" s="525" t="str">
        <f>IF(ISERROR(FIND('112'!$M$9,G3365,1)),"",IF((AND(RIGHT(G3365,2)=RIGHT('112'!$M$9,2),B3365&lt;'112'!$N$8,$M3365='112'!$I$6)),"x",""))</f>
        <v/>
      </c>
      <c r="U3365" s="525" t="str">
        <f>IF(AND(B3365&gt;='IN-NX'!$P$3,B3365&lt;='IN-NX'!$Q$3,'IN-NX'!$D$7=D3365,OR(LEFT(L3365,2)="15",AND(LEFT(M3365,2)&lt;&gt;"15",LEFT(M3365,2)&lt;&gt;"33"))),"x","")</f>
        <v/>
      </c>
      <c r="V3365" s="525" t="str">
        <f>IF(AND(OR(LEFT(TH!L3365,2)="15",LEFT(TH!M3365,2)="15"),'152-CT'!$J$8=TH!F3365),"x","")</f>
        <v/>
      </c>
      <c r="W3365" s="525" t="str">
        <f>IF(AND(OR(LEFT(TH!L3365,2)="15",LEFT(TH!M3365,2)="15"),TK!$E$7=TH!F3365),"x","")</f>
        <v/>
      </c>
      <c r="X3365" s="525" t="str">
        <f>IF(AND('341-CT'!$E$9=H3365,OR(LEFT(L3365,3)=$X$7,LEFT(M3365,3)=$X$7)),"x","")</f>
        <v/>
      </c>
      <c r="Y3365" s="525" t="str">
        <f>IF(OR(TH!L3365=TH!$Y$7,M3365=TH!$Y$7),"x","")</f>
        <v/>
      </c>
      <c r="Z3365" s="525" t="str">
        <f>IF(AND(B3365&lt;=NKC!$N$8,B3365&gt;=NKC!$M$8),"x","")</f>
        <v/>
      </c>
      <c r="AA3365" s="702"/>
      <c r="AB3365" s="703"/>
    </row>
    <row r="3366" spans="1:28" s="704" customFormat="1" ht="15.75" customHeight="1">
      <c r="A3366" s="517" t="str">
        <f>IF(B3366&lt;&gt;"",IF(AND(B3366&gt;=_TM1,B3366&lt;=_TM2,OR(TH!L3366="1111",TH!M3366="1111")),TH!D3366,""),"")</f>
        <v/>
      </c>
      <c r="B3366" s="698">
        <f t="shared" si="326"/>
        <v>5</v>
      </c>
      <c r="C3366" s="699">
        <f t="shared" si="327"/>
        <v>42885</v>
      </c>
      <c r="D3366" s="699" t="s">
        <v>997</v>
      </c>
      <c r="E3366" s="699">
        <v>42885</v>
      </c>
      <c r="F3366" s="700" t="s">
        <v>433</v>
      </c>
      <c r="G3366" s="716" t="s">
        <v>1187</v>
      </c>
      <c r="H3366" s="694" t="s">
        <v>801</v>
      </c>
      <c r="I3366" s="695">
        <v>108</v>
      </c>
      <c r="J3366" s="695">
        <v>22135.25</v>
      </c>
      <c r="K3366" s="696">
        <f t="shared" si="328"/>
        <v>2390607</v>
      </c>
      <c r="L3366" s="697" t="s">
        <v>158</v>
      </c>
      <c r="M3366" s="697" t="s">
        <v>292</v>
      </c>
      <c r="N3366" s="525" t="str">
        <f>IF(AND('331-CT'!$E$7=TH!H3366,OR(L3366="331",M3366="331")),"331",IF(AND(OR(L3366="131",M3366="131"),H3366='131-CT'!$E$7),"131",""))</f>
        <v/>
      </c>
      <c r="O3366" s="525" t="str">
        <f>IF(AND($B3366&gt;='111'!$N$11,$B3366&lt;='111'!$O$11,OR($L3366=$O$7,$M3366=$O$7)),"x","")</f>
        <v/>
      </c>
      <c r="P3366" s="525" t="str">
        <f>IF(AND($L3366=$O$7,$B3366&lt;'111'!$N$11),"x","")</f>
        <v/>
      </c>
      <c r="Q3366" s="525" t="str">
        <f>IF(AND($M3366=$O$7,$B3366&lt;'111'!$N$11),"x","")</f>
        <v/>
      </c>
      <c r="R3366" s="525" t="str">
        <f>IF(ISERROR(FIND('112'!$M$9,G3366,1)),"",IF((AND(FIND('112'!$M$9,G3366,1)&gt;=1,$B3366&gt;='112'!$N$8,$B3366&lt;='112'!$O$8,OR($L3366='112'!$I$6,$M3366='112'!$I$6))),"x",""))</f>
        <v/>
      </c>
      <c r="S3366" s="525" t="str">
        <f>IF(ISERROR(FIND('112'!$M$9,G3366,1)),"",IF((AND(LEFT(G3366,2)=LEFT('112'!$M$9,2),B3366&lt;'112'!$N$8,$L3366='112'!$I$6)),"x",""))</f>
        <v/>
      </c>
      <c r="T3366" s="525" t="str">
        <f>IF(ISERROR(FIND('112'!$M$9,G3366,1)),"",IF((AND(RIGHT(G3366,2)=RIGHT('112'!$M$9,2),B3366&lt;'112'!$N$8,$M3366='112'!$I$6)),"x",""))</f>
        <v/>
      </c>
      <c r="U3366" s="525" t="str">
        <f>IF(AND(B3366&gt;='IN-NX'!$P$3,B3366&lt;='IN-NX'!$Q$3,'IN-NX'!$D$7=D3366,OR(LEFT(L3366,2)="15",AND(LEFT(M3366,2)&lt;&gt;"15",LEFT(M3366,2)&lt;&gt;"33"))),"x","")</f>
        <v/>
      </c>
      <c r="V3366" s="525" t="str">
        <f>IF(AND(OR(LEFT(TH!L3366,2)="15",LEFT(TH!M3366,2)="15"),'152-CT'!$J$8=TH!F3366),"x","")</f>
        <v/>
      </c>
      <c r="W3366" s="525" t="str">
        <f>IF(AND(OR(LEFT(TH!L3366,2)="15",LEFT(TH!M3366,2)="15"),TK!$E$7=TH!F3366),"x","")</f>
        <v/>
      </c>
      <c r="X3366" s="525" t="str">
        <f>IF(AND('341-CT'!$E$9=H3366,OR(LEFT(L3366,3)=$X$7,LEFT(M3366,3)=$X$7)),"x","")</f>
        <v/>
      </c>
      <c r="Y3366" s="525" t="str">
        <f>IF(OR(TH!L3366=TH!$Y$7,M3366=TH!$Y$7),"x","")</f>
        <v/>
      </c>
      <c r="Z3366" s="525" t="str">
        <f>IF(AND(B3366&lt;=NKC!$N$8,B3366&gt;=NKC!$M$8),"x","")</f>
        <v/>
      </c>
      <c r="AA3366" s="702"/>
      <c r="AB3366" s="703"/>
    </row>
    <row r="3367" spans="1:28" s="704" customFormat="1" ht="15.75" customHeight="1">
      <c r="A3367" s="517" t="str">
        <f>IF(B3367&lt;&gt;"",IF(AND(B3367&gt;=_TM1,B3367&lt;=_TM2,OR(TH!L3367="1111",TH!M3367="1111")),TH!D3367,""),"")</f>
        <v/>
      </c>
      <c r="B3367" s="698">
        <f t="shared" si="326"/>
        <v>5</v>
      </c>
      <c r="C3367" s="699">
        <f t="shared" si="327"/>
        <v>42885</v>
      </c>
      <c r="D3367" s="699" t="s">
        <v>997</v>
      </c>
      <c r="E3367" s="699">
        <v>42885</v>
      </c>
      <c r="F3367" s="700" t="s">
        <v>411</v>
      </c>
      <c r="G3367" s="716" t="s">
        <v>1187</v>
      </c>
      <c r="H3367" s="694" t="s">
        <v>801</v>
      </c>
      <c r="I3367" s="695">
        <v>33</v>
      </c>
      <c r="J3367" s="695">
        <v>21466</v>
      </c>
      <c r="K3367" s="696">
        <f t="shared" si="328"/>
        <v>708378</v>
      </c>
      <c r="L3367" s="697" t="s">
        <v>158</v>
      </c>
      <c r="M3367" s="697" t="s">
        <v>292</v>
      </c>
      <c r="N3367" s="525" t="str">
        <f>IF(AND('331-CT'!$E$7=TH!H3367,OR(L3367="331",M3367="331")),"331",IF(AND(OR(L3367="131",M3367="131"),H3367='131-CT'!$E$7),"131",""))</f>
        <v/>
      </c>
      <c r="O3367" s="525" t="str">
        <f>IF(AND($B3367&gt;='111'!$N$11,$B3367&lt;='111'!$O$11,OR($L3367=$O$7,$M3367=$O$7)),"x","")</f>
        <v/>
      </c>
      <c r="P3367" s="525" t="str">
        <f>IF(AND($L3367=$O$7,$B3367&lt;'111'!$N$11),"x","")</f>
        <v/>
      </c>
      <c r="Q3367" s="525" t="str">
        <f>IF(AND($M3367=$O$7,$B3367&lt;'111'!$N$11),"x","")</f>
        <v/>
      </c>
      <c r="R3367" s="525" t="str">
        <f>IF(ISERROR(FIND('112'!$M$9,G3367,1)),"",IF((AND(FIND('112'!$M$9,G3367,1)&gt;=1,$B3367&gt;='112'!$N$8,$B3367&lt;='112'!$O$8,OR($L3367='112'!$I$6,$M3367='112'!$I$6))),"x",""))</f>
        <v/>
      </c>
      <c r="S3367" s="525" t="str">
        <f>IF(ISERROR(FIND('112'!$M$9,G3367,1)),"",IF((AND(LEFT(G3367,2)=LEFT('112'!$M$9,2),B3367&lt;'112'!$N$8,$L3367='112'!$I$6)),"x",""))</f>
        <v/>
      </c>
      <c r="T3367" s="525" t="str">
        <f>IF(ISERROR(FIND('112'!$M$9,G3367,1)),"",IF((AND(RIGHT(G3367,2)=RIGHT('112'!$M$9,2),B3367&lt;'112'!$N$8,$M3367='112'!$I$6)),"x",""))</f>
        <v/>
      </c>
      <c r="U3367" s="525" t="str">
        <f>IF(AND(B3367&gt;='IN-NX'!$P$3,B3367&lt;='IN-NX'!$Q$3,'IN-NX'!$D$7=D3367,OR(LEFT(L3367,2)="15",AND(LEFT(M3367,2)&lt;&gt;"15",LEFT(M3367,2)&lt;&gt;"33"))),"x","")</f>
        <v/>
      </c>
      <c r="V3367" s="525" t="str">
        <f>IF(AND(OR(LEFT(TH!L3367,2)="15",LEFT(TH!M3367,2)="15"),'152-CT'!$J$8=TH!F3367),"x","")</f>
        <v/>
      </c>
      <c r="W3367" s="525" t="str">
        <f>IF(AND(OR(LEFT(TH!L3367,2)="15",LEFT(TH!M3367,2)="15"),TK!$E$7=TH!F3367),"x","")</f>
        <v/>
      </c>
      <c r="X3367" s="525" t="str">
        <f>IF(AND('341-CT'!$E$9=H3367,OR(LEFT(L3367,3)=$X$7,LEFT(M3367,3)=$X$7)),"x","")</f>
        <v/>
      </c>
      <c r="Y3367" s="525" t="str">
        <f>IF(OR(TH!L3367=TH!$Y$7,M3367=TH!$Y$7),"x","")</f>
        <v/>
      </c>
      <c r="Z3367" s="525" t="str">
        <f>IF(AND(B3367&lt;=NKC!$N$8,B3367&gt;=NKC!$M$8),"x","")</f>
        <v/>
      </c>
      <c r="AA3367" s="702"/>
      <c r="AB3367" s="703"/>
    </row>
    <row r="3368" spans="1:28" s="704" customFormat="1" ht="15.75" customHeight="1">
      <c r="A3368" s="517" t="str">
        <f>IF(B3368&lt;&gt;"",IF(AND(B3368&gt;=_TM1,B3368&lt;=_TM2,OR(TH!L3368="1111",TH!M3368="1111")),TH!D3368,""),"")</f>
        <v/>
      </c>
      <c r="B3368" s="698">
        <f t="shared" si="326"/>
        <v>5</v>
      </c>
      <c r="C3368" s="699">
        <f t="shared" si="327"/>
        <v>42885</v>
      </c>
      <c r="D3368" s="699" t="s">
        <v>997</v>
      </c>
      <c r="E3368" s="699">
        <v>42885</v>
      </c>
      <c r="F3368" s="707" t="s">
        <v>419</v>
      </c>
      <c r="G3368" s="716" t="s">
        <v>1187</v>
      </c>
      <c r="H3368" s="694" t="s">
        <v>801</v>
      </c>
      <c r="I3368" s="695">
        <v>168</v>
      </c>
      <c r="J3368" s="695">
        <v>21757</v>
      </c>
      <c r="K3368" s="696">
        <f t="shared" si="328"/>
        <v>3655176</v>
      </c>
      <c r="L3368" s="697" t="s">
        <v>158</v>
      </c>
      <c r="M3368" s="697" t="s">
        <v>292</v>
      </c>
      <c r="N3368" s="525" t="str">
        <f>IF(AND('331-CT'!$E$7=TH!H3368,OR(L3368="331",M3368="331")),"331",IF(AND(OR(L3368="131",M3368="131"),H3368='131-CT'!$E$7),"131",""))</f>
        <v/>
      </c>
      <c r="O3368" s="525" t="str">
        <f>IF(AND($B3368&gt;='111'!$N$11,$B3368&lt;='111'!$O$11,OR($L3368=$O$7,$M3368=$O$7)),"x","")</f>
        <v/>
      </c>
      <c r="P3368" s="525" t="str">
        <f>IF(AND($L3368=$O$7,$B3368&lt;'111'!$N$11),"x","")</f>
        <v/>
      </c>
      <c r="Q3368" s="525" t="str">
        <f>IF(AND($M3368=$O$7,$B3368&lt;'111'!$N$11),"x","")</f>
        <v/>
      </c>
      <c r="R3368" s="525" t="str">
        <f>IF(ISERROR(FIND('112'!$M$9,G3368,1)),"",IF((AND(FIND('112'!$M$9,G3368,1)&gt;=1,$B3368&gt;='112'!$N$8,$B3368&lt;='112'!$O$8,OR($L3368='112'!$I$6,$M3368='112'!$I$6))),"x",""))</f>
        <v/>
      </c>
      <c r="S3368" s="525" t="str">
        <f>IF(ISERROR(FIND('112'!$M$9,G3368,1)),"",IF((AND(LEFT(G3368,2)=LEFT('112'!$M$9,2),B3368&lt;'112'!$N$8,$L3368='112'!$I$6)),"x",""))</f>
        <v/>
      </c>
      <c r="T3368" s="525" t="str">
        <f>IF(ISERROR(FIND('112'!$M$9,G3368,1)),"",IF((AND(RIGHT(G3368,2)=RIGHT('112'!$M$9,2),B3368&lt;'112'!$N$8,$M3368='112'!$I$6)),"x",""))</f>
        <v/>
      </c>
      <c r="U3368" s="525" t="str">
        <f>IF(AND(B3368&gt;='IN-NX'!$P$3,B3368&lt;='IN-NX'!$Q$3,'IN-NX'!$D$7=D3368,OR(LEFT(L3368,2)="15",AND(LEFT(M3368,2)&lt;&gt;"15",LEFT(M3368,2)&lt;&gt;"33"))),"x","")</f>
        <v/>
      </c>
      <c r="V3368" s="525" t="str">
        <f>IF(AND(OR(LEFT(TH!L3368,2)="15",LEFT(TH!M3368,2)="15"),'152-CT'!$J$8=TH!F3368),"x","")</f>
        <v/>
      </c>
      <c r="W3368" s="525" t="str">
        <f>IF(AND(OR(LEFT(TH!L3368,2)="15",LEFT(TH!M3368,2)="15"),TK!$E$7=TH!F3368),"x","")</f>
        <v/>
      </c>
      <c r="X3368" s="525" t="str">
        <f>IF(AND('341-CT'!$E$9=H3368,OR(LEFT(L3368,3)=$X$7,LEFT(M3368,3)=$X$7)),"x","")</f>
        <v/>
      </c>
      <c r="Y3368" s="525" t="str">
        <f>IF(OR(TH!L3368=TH!$Y$7,M3368=TH!$Y$7),"x","")</f>
        <v/>
      </c>
      <c r="Z3368" s="525" t="str">
        <f>IF(AND(B3368&lt;=NKC!$N$8,B3368&gt;=NKC!$M$8),"x","")</f>
        <v/>
      </c>
      <c r="AA3368" s="702"/>
      <c r="AB3368" s="703"/>
    </row>
    <row r="3369" spans="1:28" s="704" customFormat="1" ht="15.75" customHeight="1">
      <c r="A3369" s="517" t="str">
        <f>IF(B3369&lt;&gt;"",IF(AND(B3369&gt;=_TM1,B3369&lt;=_TM2,OR(TH!L3369="1111",TH!M3369="1111")),TH!D3369,""),"")</f>
        <v/>
      </c>
      <c r="B3369" s="698">
        <f t="shared" si="326"/>
        <v>5</v>
      </c>
      <c r="C3369" s="699">
        <f t="shared" si="327"/>
        <v>42885</v>
      </c>
      <c r="D3369" s="699" t="s">
        <v>997</v>
      </c>
      <c r="E3369" s="699">
        <v>42885</v>
      </c>
      <c r="F3369" s="707" t="s">
        <v>403</v>
      </c>
      <c r="G3369" s="716" t="s">
        <v>1187</v>
      </c>
      <c r="H3369" s="694" t="s">
        <v>801</v>
      </c>
      <c r="I3369" s="695">
        <v>182</v>
      </c>
      <c r="J3369" s="695">
        <v>21322.708791208792</v>
      </c>
      <c r="K3369" s="696">
        <f t="shared" si="328"/>
        <v>3880733</v>
      </c>
      <c r="L3369" s="697" t="s">
        <v>158</v>
      </c>
      <c r="M3369" s="697" t="s">
        <v>292</v>
      </c>
      <c r="N3369" s="525" t="str">
        <f>IF(AND('331-CT'!$E$7=TH!H3369,OR(L3369="331",M3369="331")),"331",IF(AND(OR(L3369="131",M3369="131"),H3369='131-CT'!$E$7),"131",""))</f>
        <v/>
      </c>
      <c r="O3369" s="525" t="str">
        <f>IF(AND($B3369&gt;='111'!$N$11,$B3369&lt;='111'!$O$11,OR($L3369=$O$7,$M3369=$O$7)),"x","")</f>
        <v/>
      </c>
      <c r="P3369" s="525" t="str">
        <f>IF(AND($L3369=$O$7,$B3369&lt;'111'!$N$11),"x","")</f>
        <v/>
      </c>
      <c r="Q3369" s="525" t="str">
        <f>IF(AND($M3369=$O$7,$B3369&lt;'111'!$N$11),"x","")</f>
        <v/>
      </c>
      <c r="R3369" s="525" t="str">
        <f>IF(ISERROR(FIND('112'!$M$9,G3369,1)),"",IF((AND(FIND('112'!$M$9,G3369,1)&gt;=1,$B3369&gt;='112'!$N$8,$B3369&lt;='112'!$O$8,OR($L3369='112'!$I$6,$M3369='112'!$I$6))),"x",""))</f>
        <v/>
      </c>
      <c r="S3369" s="525" t="str">
        <f>IF(ISERROR(FIND('112'!$M$9,G3369,1)),"",IF((AND(LEFT(G3369,2)=LEFT('112'!$M$9,2),B3369&lt;'112'!$N$8,$L3369='112'!$I$6)),"x",""))</f>
        <v/>
      </c>
      <c r="T3369" s="525" t="str">
        <f>IF(ISERROR(FIND('112'!$M$9,G3369,1)),"",IF((AND(RIGHT(G3369,2)=RIGHT('112'!$M$9,2),B3369&lt;'112'!$N$8,$M3369='112'!$I$6)),"x",""))</f>
        <v/>
      </c>
      <c r="U3369" s="525" t="str">
        <f>IF(AND(B3369&gt;='IN-NX'!$P$3,B3369&lt;='IN-NX'!$Q$3,'IN-NX'!$D$7=D3369,OR(LEFT(L3369,2)="15",AND(LEFT(M3369,2)&lt;&gt;"15",LEFT(M3369,2)&lt;&gt;"33"))),"x","")</f>
        <v/>
      </c>
      <c r="V3369" s="525" t="str">
        <f>IF(AND(OR(LEFT(TH!L3369,2)="15",LEFT(TH!M3369,2)="15"),'152-CT'!$J$8=TH!F3369),"x","")</f>
        <v/>
      </c>
      <c r="W3369" s="525" t="str">
        <f>IF(AND(OR(LEFT(TH!L3369,2)="15",LEFT(TH!M3369,2)="15"),TK!$E$7=TH!F3369),"x","")</f>
        <v/>
      </c>
      <c r="X3369" s="525" t="str">
        <f>IF(AND('341-CT'!$E$9=H3369,OR(LEFT(L3369,3)=$X$7,LEFT(M3369,3)=$X$7)),"x","")</f>
        <v/>
      </c>
      <c r="Y3369" s="525" t="str">
        <f>IF(OR(TH!L3369=TH!$Y$7,M3369=TH!$Y$7),"x","")</f>
        <v/>
      </c>
      <c r="Z3369" s="525" t="str">
        <f>IF(AND(B3369&lt;=NKC!$N$8,B3369&gt;=NKC!$M$8),"x","")</f>
        <v/>
      </c>
      <c r="AA3369" s="702"/>
      <c r="AB3369" s="703"/>
    </row>
    <row r="3370" spans="1:28" s="704" customFormat="1" ht="15.75" customHeight="1">
      <c r="A3370" s="517" t="str">
        <f>IF(B3370&lt;&gt;"",IF(AND(B3370&gt;=_TM1,B3370&lt;=_TM2,OR(TH!L3370="1111",TH!M3370="1111")),TH!D3370,""),"")</f>
        <v/>
      </c>
      <c r="B3370" s="698">
        <f t="shared" ref="B3370:B3397" si="329">IF(C3370&lt;&gt;"",MONTH(C3370),"")</f>
        <v>5</v>
      </c>
      <c r="C3370" s="699">
        <f t="shared" ref="C3370:C3377" si="330">E3370</f>
        <v>42885</v>
      </c>
      <c r="D3370" s="699" t="s">
        <v>997</v>
      </c>
      <c r="E3370" s="699">
        <v>42885</v>
      </c>
      <c r="F3370" s="707" t="s">
        <v>324</v>
      </c>
      <c r="G3370" s="716" t="s">
        <v>1187</v>
      </c>
      <c r="H3370" s="694" t="s">
        <v>801</v>
      </c>
      <c r="I3370" s="695">
        <v>22</v>
      </c>
      <c r="J3370" s="695">
        <v>21657</v>
      </c>
      <c r="K3370" s="696">
        <f t="shared" ref="K3370:K3377" si="331">ROUND(I3370*J3370,0)</f>
        <v>476454</v>
      </c>
      <c r="L3370" s="697" t="s">
        <v>158</v>
      </c>
      <c r="M3370" s="697" t="s">
        <v>292</v>
      </c>
      <c r="N3370" s="525" t="str">
        <f>IF(AND('331-CT'!$E$7=TH!H3370,OR(L3370="331",M3370="331")),"331",IF(AND(OR(L3370="131",M3370="131"),H3370='131-CT'!$E$7),"131",""))</f>
        <v/>
      </c>
      <c r="O3370" s="525" t="str">
        <f>IF(AND($B3370&gt;='111'!$N$11,$B3370&lt;='111'!$O$11,OR($L3370=$O$7,$M3370=$O$7)),"x","")</f>
        <v/>
      </c>
      <c r="P3370" s="525" t="str">
        <f>IF(AND($L3370=$O$7,$B3370&lt;'111'!$N$11),"x","")</f>
        <v/>
      </c>
      <c r="Q3370" s="525" t="str">
        <f>IF(AND($M3370=$O$7,$B3370&lt;'111'!$N$11),"x","")</f>
        <v/>
      </c>
      <c r="R3370" s="525" t="str">
        <f>IF(ISERROR(FIND('112'!$M$9,G3370,1)),"",IF((AND(FIND('112'!$M$9,G3370,1)&gt;=1,$B3370&gt;='112'!$N$8,$B3370&lt;='112'!$O$8,OR($L3370='112'!$I$6,$M3370='112'!$I$6))),"x",""))</f>
        <v/>
      </c>
      <c r="S3370" s="525" t="str">
        <f>IF(ISERROR(FIND('112'!$M$9,G3370,1)),"",IF((AND(LEFT(G3370,2)=LEFT('112'!$M$9,2),B3370&lt;'112'!$N$8,$L3370='112'!$I$6)),"x",""))</f>
        <v/>
      </c>
      <c r="T3370" s="525" t="str">
        <f>IF(ISERROR(FIND('112'!$M$9,G3370,1)),"",IF((AND(RIGHT(G3370,2)=RIGHT('112'!$M$9,2),B3370&lt;'112'!$N$8,$M3370='112'!$I$6)),"x",""))</f>
        <v/>
      </c>
      <c r="U3370" s="525" t="str">
        <f>IF(AND(B3370&gt;='IN-NX'!$P$3,B3370&lt;='IN-NX'!$Q$3,'IN-NX'!$D$7=D3370,OR(LEFT(L3370,2)="15",AND(LEFT(M3370,2)&lt;&gt;"15",LEFT(M3370,2)&lt;&gt;"33"))),"x","")</f>
        <v/>
      </c>
      <c r="V3370" s="525" t="str">
        <f>IF(AND(OR(LEFT(TH!L3370,2)="15",LEFT(TH!M3370,2)="15"),'152-CT'!$J$8=TH!F3370),"x","")</f>
        <v/>
      </c>
      <c r="W3370" s="525" t="str">
        <f>IF(AND(OR(LEFT(TH!L3370,2)="15",LEFT(TH!M3370,2)="15"),TK!$E$7=TH!F3370),"x","")</f>
        <v/>
      </c>
      <c r="X3370" s="525" t="str">
        <f>IF(AND('341-CT'!$E$9=H3370,OR(LEFT(L3370,3)=$X$7,LEFT(M3370,3)=$X$7)),"x","")</f>
        <v/>
      </c>
      <c r="Y3370" s="525" t="str">
        <f>IF(OR(TH!L3370=TH!$Y$7,M3370=TH!$Y$7),"x","")</f>
        <v/>
      </c>
      <c r="Z3370" s="525" t="str">
        <f>IF(AND(B3370&lt;=NKC!$N$8,B3370&gt;=NKC!$M$8),"x","")</f>
        <v/>
      </c>
      <c r="AA3370" s="702"/>
      <c r="AB3370" s="703"/>
    </row>
    <row r="3371" spans="1:28" s="704" customFormat="1" ht="15.75" customHeight="1">
      <c r="A3371" s="517" t="str">
        <f>IF(B3371&lt;&gt;"",IF(AND(B3371&gt;=_TM1,B3371&lt;=_TM2,OR(TH!L3371="1111",TH!M3371="1111")),TH!D3371,""),"")</f>
        <v/>
      </c>
      <c r="B3371" s="698">
        <f t="shared" si="329"/>
        <v>5</v>
      </c>
      <c r="C3371" s="699">
        <f t="shared" si="330"/>
        <v>42885</v>
      </c>
      <c r="D3371" s="699" t="s">
        <v>997</v>
      </c>
      <c r="E3371" s="699">
        <v>42885</v>
      </c>
      <c r="F3371" s="700" t="s">
        <v>313</v>
      </c>
      <c r="G3371" s="716" t="s">
        <v>1187</v>
      </c>
      <c r="H3371" s="694" t="s">
        <v>801</v>
      </c>
      <c r="I3371" s="695">
        <v>200</v>
      </c>
      <c r="J3371" s="695">
        <v>11421</v>
      </c>
      <c r="K3371" s="696">
        <f t="shared" si="331"/>
        <v>2284200</v>
      </c>
      <c r="L3371" s="697" t="s">
        <v>158</v>
      </c>
      <c r="M3371" s="697" t="s">
        <v>292</v>
      </c>
      <c r="N3371" s="525" t="str">
        <f>IF(AND('331-CT'!$E$7=TH!H3371,OR(L3371="331",M3371="331")),"331",IF(AND(OR(L3371="131",M3371="131"),H3371='131-CT'!$E$7),"131",""))</f>
        <v/>
      </c>
      <c r="O3371" s="525" t="str">
        <f>IF(AND($B3371&gt;='111'!$N$11,$B3371&lt;='111'!$O$11,OR($L3371=$O$7,$M3371=$O$7)),"x","")</f>
        <v/>
      </c>
      <c r="P3371" s="525" t="str">
        <f>IF(AND($L3371=$O$7,$B3371&lt;'111'!$N$11),"x","")</f>
        <v/>
      </c>
      <c r="Q3371" s="525" t="str">
        <f>IF(AND($M3371=$O$7,$B3371&lt;'111'!$N$11),"x","")</f>
        <v/>
      </c>
      <c r="R3371" s="525" t="str">
        <f>IF(ISERROR(FIND('112'!$M$9,G3371,1)),"",IF((AND(FIND('112'!$M$9,G3371,1)&gt;=1,$B3371&gt;='112'!$N$8,$B3371&lt;='112'!$O$8,OR($L3371='112'!$I$6,$M3371='112'!$I$6))),"x",""))</f>
        <v/>
      </c>
      <c r="S3371" s="525" t="str">
        <f>IF(ISERROR(FIND('112'!$M$9,G3371,1)),"",IF((AND(LEFT(G3371,2)=LEFT('112'!$M$9,2),B3371&lt;'112'!$N$8,$L3371='112'!$I$6)),"x",""))</f>
        <v/>
      </c>
      <c r="T3371" s="525" t="str">
        <f>IF(ISERROR(FIND('112'!$M$9,G3371,1)),"",IF((AND(RIGHT(G3371,2)=RIGHT('112'!$M$9,2),B3371&lt;'112'!$N$8,$M3371='112'!$I$6)),"x",""))</f>
        <v/>
      </c>
      <c r="U3371" s="525" t="str">
        <f>IF(AND(B3371&gt;='IN-NX'!$P$3,B3371&lt;='IN-NX'!$Q$3,'IN-NX'!$D$7=D3371,OR(LEFT(L3371,2)="15",AND(LEFT(M3371,2)&lt;&gt;"15",LEFT(M3371,2)&lt;&gt;"33"))),"x","")</f>
        <v/>
      </c>
      <c r="V3371" s="525" t="str">
        <f>IF(AND(OR(LEFT(TH!L3371,2)="15",LEFT(TH!M3371,2)="15"),'152-CT'!$J$8=TH!F3371),"x","")</f>
        <v/>
      </c>
      <c r="W3371" s="525" t="str">
        <f>IF(AND(OR(LEFT(TH!L3371,2)="15",LEFT(TH!M3371,2)="15"),TK!$E$7=TH!F3371),"x","")</f>
        <v/>
      </c>
      <c r="X3371" s="525" t="str">
        <f>IF(AND('341-CT'!$E$9=H3371,OR(LEFT(L3371,3)=$X$7,LEFT(M3371,3)=$X$7)),"x","")</f>
        <v/>
      </c>
      <c r="Y3371" s="525" t="str">
        <f>IF(OR(TH!L3371=TH!$Y$7,M3371=TH!$Y$7),"x","")</f>
        <v/>
      </c>
      <c r="Z3371" s="525" t="str">
        <f>IF(AND(B3371&lt;=NKC!$N$8,B3371&gt;=NKC!$M$8),"x","")</f>
        <v/>
      </c>
      <c r="AA3371" s="702"/>
      <c r="AB3371" s="703"/>
    </row>
    <row r="3372" spans="1:28" s="704" customFormat="1" ht="15.75" customHeight="1">
      <c r="A3372" s="517" t="str">
        <f>IF(B3372&lt;&gt;"",IF(AND(B3372&gt;=_TM1,B3372&lt;=_TM2,OR(TH!L3372="1111",TH!M3372="1111")),TH!D3372,""),"")</f>
        <v/>
      </c>
      <c r="B3372" s="698">
        <f t="shared" si="329"/>
        <v>6</v>
      </c>
      <c r="C3372" s="699">
        <f t="shared" si="330"/>
        <v>42894</v>
      </c>
      <c r="D3372" s="699" t="s">
        <v>997</v>
      </c>
      <c r="E3372" s="699">
        <v>42894</v>
      </c>
      <c r="F3372" s="700" t="s">
        <v>340</v>
      </c>
      <c r="G3372" s="716" t="s">
        <v>1254</v>
      </c>
      <c r="H3372" s="694" t="s">
        <v>801</v>
      </c>
      <c r="I3372" s="695">
        <v>38</v>
      </c>
      <c r="J3372" s="695">
        <v>26316</v>
      </c>
      <c r="K3372" s="696">
        <f t="shared" si="331"/>
        <v>1000008</v>
      </c>
      <c r="L3372" s="697" t="s">
        <v>158</v>
      </c>
      <c r="M3372" s="697" t="s">
        <v>292</v>
      </c>
      <c r="N3372" s="525" t="str">
        <f>IF(AND('331-CT'!$E$7=TH!H3372,OR(L3372="331",M3372="331")),"331",IF(AND(OR(L3372="131",M3372="131"),H3372='131-CT'!$E$7),"131",""))</f>
        <v/>
      </c>
      <c r="O3372" s="525" t="str">
        <f>IF(AND($B3372&gt;='111'!$N$11,$B3372&lt;='111'!$O$11,OR($L3372=$O$7,$M3372=$O$7)),"x","")</f>
        <v/>
      </c>
      <c r="P3372" s="525" t="str">
        <f>IF(AND($L3372=$O$7,$B3372&lt;'111'!$N$11),"x","")</f>
        <v/>
      </c>
      <c r="Q3372" s="525" t="str">
        <f>IF(AND($M3372=$O$7,$B3372&lt;'111'!$N$11),"x","")</f>
        <v/>
      </c>
      <c r="R3372" s="525" t="str">
        <f>IF(ISERROR(FIND('112'!$M$9,G3372,1)),"",IF((AND(FIND('112'!$M$9,G3372,1)&gt;=1,$B3372&gt;='112'!$N$8,$B3372&lt;='112'!$O$8,OR($L3372='112'!$I$6,$M3372='112'!$I$6))),"x",""))</f>
        <v/>
      </c>
      <c r="S3372" s="525" t="str">
        <f>IF(ISERROR(FIND('112'!$M$9,G3372,1)),"",IF((AND(LEFT(G3372,2)=LEFT('112'!$M$9,2),B3372&lt;'112'!$N$8,$L3372='112'!$I$6)),"x",""))</f>
        <v/>
      </c>
      <c r="T3372" s="525" t="str">
        <f>IF(ISERROR(FIND('112'!$M$9,G3372,1)),"",IF((AND(RIGHT(G3372,2)=RIGHT('112'!$M$9,2),B3372&lt;'112'!$N$8,$M3372='112'!$I$6)),"x",""))</f>
        <v/>
      </c>
      <c r="U3372" s="525" t="str">
        <f>IF(AND(B3372&gt;='IN-NX'!$P$3,B3372&lt;='IN-NX'!$Q$3,'IN-NX'!$D$7=D3372,OR(LEFT(L3372,2)="15",AND(LEFT(M3372,2)&lt;&gt;"15",LEFT(M3372,2)&lt;&gt;"33"))),"x","")</f>
        <v/>
      </c>
      <c r="V3372" s="525" t="str">
        <f>IF(AND(OR(LEFT(TH!L3372,2)="15",LEFT(TH!M3372,2)="15"),'152-CT'!$J$8=TH!F3372),"x","")</f>
        <v/>
      </c>
      <c r="W3372" s="525" t="str">
        <f>IF(AND(OR(LEFT(TH!L3372,2)="15",LEFT(TH!M3372,2)="15"),TK!$E$7=TH!F3372),"x","")</f>
        <v/>
      </c>
      <c r="X3372" s="525" t="str">
        <f>IF(AND('341-CT'!$E$9=H3372,OR(LEFT(L3372,3)=$X$7,LEFT(M3372,3)=$X$7)),"x","")</f>
        <v/>
      </c>
      <c r="Y3372" s="525" t="str">
        <f>IF(OR(TH!L3372=TH!$Y$7,M3372=TH!$Y$7),"x","")</f>
        <v/>
      </c>
      <c r="Z3372" s="525" t="str">
        <f>IF(AND(B3372&lt;=NKC!$N$8,B3372&gt;=NKC!$M$8),"x","")</f>
        <v/>
      </c>
      <c r="AA3372" s="702"/>
      <c r="AB3372" s="703"/>
    </row>
    <row r="3373" spans="1:28" s="704" customFormat="1" ht="15.75" customHeight="1">
      <c r="A3373" s="517" t="str">
        <f>IF(B3373&lt;&gt;"",IF(AND(B3373&gt;=_TM1,B3373&lt;=_TM2,OR(TH!L3373="1111",TH!M3373="1111")),TH!D3373,""),"")</f>
        <v/>
      </c>
      <c r="B3373" s="698">
        <f t="shared" si="329"/>
        <v>6</v>
      </c>
      <c r="C3373" s="699">
        <f t="shared" si="330"/>
        <v>42894</v>
      </c>
      <c r="D3373" s="699" t="s">
        <v>997</v>
      </c>
      <c r="E3373" s="699">
        <v>42894</v>
      </c>
      <c r="F3373" s="707" t="s">
        <v>350</v>
      </c>
      <c r="G3373" s="716" t="s">
        <v>1254</v>
      </c>
      <c r="H3373" s="694" t="s">
        <v>801</v>
      </c>
      <c r="I3373" s="695">
        <v>200</v>
      </c>
      <c r="J3373" s="695">
        <v>19251</v>
      </c>
      <c r="K3373" s="696">
        <f t="shared" si="331"/>
        <v>3850200</v>
      </c>
      <c r="L3373" s="697" t="s">
        <v>158</v>
      </c>
      <c r="M3373" s="697" t="s">
        <v>292</v>
      </c>
      <c r="N3373" s="525" t="str">
        <f>IF(AND('331-CT'!$E$7=TH!H3373,OR(L3373="331",M3373="331")),"331",IF(AND(OR(L3373="131",M3373="131"),H3373='131-CT'!$E$7),"131",""))</f>
        <v/>
      </c>
      <c r="O3373" s="525" t="str">
        <f>IF(AND($B3373&gt;='111'!$N$11,$B3373&lt;='111'!$O$11,OR($L3373=$O$7,$M3373=$O$7)),"x","")</f>
        <v/>
      </c>
      <c r="P3373" s="525" t="str">
        <f>IF(AND($L3373=$O$7,$B3373&lt;'111'!$N$11),"x","")</f>
        <v/>
      </c>
      <c r="Q3373" s="525" t="str">
        <f>IF(AND($M3373=$O$7,$B3373&lt;'111'!$N$11),"x","")</f>
        <v/>
      </c>
      <c r="R3373" s="525" t="str">
        <f>IF(ISERROR(FIND('112'!$M$9,G3373,1)),"",IF((AND(FIND('112'!$M$9,G3373,1)&gt;=1,$B3373&gt;='112'!$N$8,$B3373&lt;='112'!$O$8,OR($L3373='112'!$I$6,$M3373='112'!$I$6))),"x",""))</f>
        <v/>
      </c>
      <c r="S3373" s="525" t="str">
        <f>IF(ISERROR(FIND('112'!$M$9,G3373,1)),"",IF((AND(LEFT(G3373,2)=LEFT('112'!$M$9,2),B3373&lt;'112'!$N$8,$L3373='112'!$I$6)),"x",""))</f>
        <v/>
      </c>
      <c r="T3373" s="525" t="str">
        <f>IF(ISERROR(FIND('112'!$M$9,G3373,1)),"",IF((AND(RIGHT(G3373,2)=RIGHT('112'!$M$9,2),B3373&lt;'112'!$N$8,$M3373='112'!$I$6)),"x",""))</f>
        <v/>
      </c>
      <c r="U3373" s="525" t="str">
        <f>IF(AND(B3373&gt;='IN-NX'!$P$3,B3373&lt;='IN-NX'!$Q$3,'IN-NX'!$D$7=D3373,OR(LEFT(L3373,2)="15",AND(LEFT(M3373,2)&lt;&gt;"15",LEFT(M3373,2)&lt;&gt;"33"))),"x","")</f>
        <v/>
      </c>
      <c r="V3373" s="525" t="str">
        <f>IF(AND(OR(LEFT(TH!L3373,2)="15",LEFT(TH!M3373,2)="15"),'152-CT'!$J$8=TH!F3373),"x","")</f>
        <v/>
      </c>
      <c r="W3373" s="525" t="str">
        <f>IF(AND(OR(LEFT(TH!L3373,2)="15",LEFT(TH!M3373,2)="15"),TK!$E$7=TH!F3373),"x","")</f>
        <v/>
      </c>
      <c r="X3373" s="525" t="str">
        <f>IF(AND('341-CT'!$E$9=H3373,OR(LEFT(L3373,3)=$X$7,LEFT(M3373,3)=$X$7)),"x","")</f>
        <v/>
      </c>
      <c r="Y3373" s="525" t="str">
        <f>IF(OR(TH!L3373=TH!$Y$7,M3373=TH!$Y$7),"x","")</f>
        <v/>
      </c>
      <c r="Z3373" s="525" t="str">
        <f>IF(AND(B3373&lt;=NKC!$N$8,B3373&gt;=NKC!$M$8),"x","")</f>
        <v/>
      </c>
      <c r="AA3373" s="702"/>
      <c r="AB3373" s="703"/>
    </row>
    <row r="3374" spans="1:28" s="704" customFormat="1" ht="15.75" customHeight="1">
      <c r="A3374" s="517" t="str">
        <f>IF(B3374&lt;&gt;"",IF(AND(B3374&gt;=_TM1,B3374&lt;=_TM2,OR(TH!L3374="1111",TH!M3374="1111")),TH!D3374,""),"")</f>
        <v/>
      </c>
      <c r="B3374" s="698">
        <f t="shared" si="329"/>
        <v>6</v>
      </c>
      <c r="C3374" s="699">
        <f t="shared" si="330"/>
        <v>42894</v>
      </c>
      <c r="D3374" s="699" t="s">
        <v>997</v>
      </c>
      <c r="E3374" s="699">
        <v>42894</v>
      </c>
      <c r="F3374" s="700" t="s">
        <v>308</v>
      </c>
      <c r="G3374" s="716" t="s">
        <v>1254</v>
      </c>
      <c r="H3374" s="694" t="s">
        <v>801</v>
      </c>
      <c r="I3374" s="695">
        <v>240</v>
      </c>
      <c r="J3374" s="695">
        <v>11316</v>
      </c>
      <c r="K3374" s="696">
        <f t="shared" si="331"/>
        <v>2715840</v>
      </c>
      <c r="L3374" s="697" t="s">
        <v>158</v>
      </c>
      <c r="M3374" s="697" t="s">
        <v>292</v>
      </c>
      <c r="N3374" s="525" t="str">
        <f>IF(AND('331-CT'!$E$7=TH!H3374,OR(L3374="331",M3374="331")),"331",IF(AND(OR(L3374="131",M3374="131"),H3374='131-CT'!$E$7),"131",""))</f>
        <v/>
      </c>
      <c r="O3374" s="525" t="str">
        <f>IF(AND($B3374&gt;='111'!$N$11,$B3374&lt;='111'!$O$11,OR($L3374=$O$7,$M3374=$O$7)),"x","")</f>
        <v/>
      </c>
      <c r="P3374" s="525" t="str">
        <f>IF(AND($L3374=$O$7,$B3374&lt;'111'!$N$11),"x","")</f>
        <v/>
      </c>
      <c r="Q3374" s="525" t="str">
        <f>IF(AND($M3374=$O$7,$B3374&lt;'111'!$N$11),"x","")</f>
        <v/>
      </c>
      <c r="R3374" s="525" t="str">
        <f>IF(ISERROR(FIND('112'!$M$9,G3374,1)),"",IF((AND(FIND('112'!$M$9,G3374,1)&gt;=1,$B3374&gt;='112'!$N$8,$B3374&lt;='112'!$O$8,OR($L3374='112'!$I$6,$M3374='112'!$I$6))),"x",""))</f>
        <v/>
      </c>
      <c r="S3374" s="525" t="str">
        <f>IF(ISERROR(FIND('112'!$M$9,G3374,1)),"",IF((AND(LEFT(G3374,2)=LEFT('112'!$M$9,2),B3374&lt;'112'!$N$8,$L3374='112'!$I$6)),"x",""))</f>
        <v/>
      </c>
      <c r="T3374" s="525" t="str">
        <f>IF(ISERROR(FIND('112'!$M$9,G3374,1)),"",IF((AND(RIGHT(G3374,2)=RIGHT('112'!$M$9,2),B3374&lt;'112'!$N$8,$M3374='112'!$I$6)),"x",""))</f>
        <v/>
      </c>
      <c r="U3374" s="525" t="str">
        <f>IF(AND(B3374&gt;='IN-NX'!$P$3,B3374&lt;='IN-NX'!$Q$3,'IN-NX'!$D$7=D3374,OR(LEFT(L3374,2)="15",AND(LEFT(M3374,2)&lt;&gt;"15",LEFT(M3374,2)&lt;&gt;"33"))),"x","")</f>
        <v/>
      </c>
      <c r="V3374" s="525" t="str">
        <f>IF(AND(OR(LEFT(TH!L3374,2)="15",LEFT(TH!M3374,2)="15"),'152-CT'!$J$8=TH!F3374),"x","")</f>
        <v/>
      </c>
      <c r="W3374" s="525" t="str">
        <f>IF(AND(OR(LEFT(TH!L3374,2)="15",LEFT(TH!M3374,2)="15"),TK!$E$7=TH!F3374),"x","")</f>
        <v/>
      </c>
      <c r="X3374" s="525" t="str">
        <f>IF(AND('341-CT'!$E$9=H3374,OR(LEFT(L3374,3)=$X$7,LEFT(M3374,3)=$X$7)),"x","")</f>
        <v/>
      </c>
      <c r="Y3374" s="525" t="str">
        <f>IF(OR(TH!L3374=TH!$Y$7,M3374=TH!$Y$7),"x","")</f>
        <v/>
      </c>
      <c r="Z3374" s="525" t="str">
        <f>IF(AND(B3374&lt;=NKC!$N$8,B3374&gt;=NKC!$M$8),"x","")</f>
        <v/>
      </c>
      <c r="AA3374" s="702"/>
      <c r="AB3374" s="703"/>
    </row>
    <row r="3375" spans="1:28" s="704" customFormat="1" ht="15.75" customHeight="1">
      <c r="A3375" s="517" t="str">
        <f>IF(B3375&lt;&gt;"",IF(AND(B3375&gt;=_TM1,B3375&lt;=_TM2,OR(TH!L3375="1111",TH!M3375="1111")),TH!D3375,""),"")</f>
        <v/>
      </c>
      <c r="B3375" s="698">
        <f t="shared" si="329"/>
        <v>6</v>
      </c>
      <c r="C3375" s="699">
        <f t="shared" si="330"/>
        <v>42894</v>
      </c>
      <c r="D3375" s="699" t="s">
        <v>997</v>
      </c>
      <c r="E3375" s="699">
        <v>42894</v>
      </c>
      <c r="F3375" s="707" t="s">
        <v>311</v>
      </c>
      <c r="G3375" s="716" t="s">
        <v>1254</v>
      </c>
      <c r="H3375" s="694" t="s">
        <v>801</v>
      </c>
      <c r="I3375" s="695">
        <v>200</v>
      </c>
      <c r="J3375" s="695">
        <v>10978</v>
      </c>
      <c r="K3375" s="696">
        <f t="shared" si="331"/>
        <v>2195600</v>
      </c>
      <c r="L3375" s="697" t="s">
        <v>158</v>
      </c>
      <c r="M3375" s="697" t="s">
        <v>292</v>
      </c>
      <c r="N3375" s="525" t="str">
        <f>IF(AND('331-CT'!$E$7=TH!H3375,OR(L3375="331",M3375="331")),"331",IF(AND(OR(L3375="131",M3375="131"),H3375='131-CT'!$E$7),"131",""))</f>
        <v/>
      </c>
      <c r="O3375" s="525" t="str">
        <f>IF(AND($B3375&gt;='111'!$N$11,$B3375&lt;='111'!$O$11,OR($L3375=$O$7,$M3375=$O$7)),"x","")</f>
        <v/>
      </c>
      <c r="P3375" s="525" t="str">
        <f>IF(AND($L3375=$O$7,$B3375&lt;'111'!$N$11),"x","")</f>
        <v/>
      </c>
      <c r="Q3375" s="525" t="str">
        <f>IF(AND($M3375=$O$7,$B3375&lt;'111'!$N$11),"x","")</f>
        <v/>
      </c>
      <c r="R3375" s="525" t="str">
        <f>IF(ISERROR(FIND('112'!$M$9,G3375,1)),"",IF((AND(FIND('112'!$M$9,G3375,1)&gt;=1,$B3375&gt;='112'!$N$8,$B3375&lt;='112'!$O$8,OR($L3375='112'!$I$6,$M3375='112'!$I$6))),"x",""))</f>
        <v/>
      </c>
      <c r="S3375" s="525" t="str">
        <f>IF(ISERROR(FIND('112'!$M$9,G3375,1)),"",IF((AND(LEFT(G3375,2)=LEFT('112'!$M$9,2),B3375&lt;'112'!$N$8,$L3375='112'!$I$6)),"x",""))</f>
        <v/>
      </c>
      <c r="T3375" s="525" t="str">
        <f>IF(ISERROR(FIND('112'!$M$9,G3375,1)),"",IF((AND(RIGHT(G3375,2)=RIGHT('112'!$M$9,2),B3375&lt;'112'!$N$8,$M3375='112'!$I$6)),"x",""))</f>
        <v/>
      </c>
      <c r="U3375" s="525" t="str">
        <f>IF(AND(B3375&gt;='IN-NX'!$P$3,B3375&lt;='IN-NX'!$Q$3,'IN-NX'!$D$7=D3375,OR(LEFT(L3375,2)="15",AND(LEFT(M3375,2)&lt;&gt;"15",LEFT(M3375,2)&lt;&gt;"33"))),"x","")</f>
        <v/>
      </c>
      <c r="V3375" s="525" t="str">
        <f>IF(AND(OR(LEFT(TH!L3375,2)="15",LEFT(TH!M3375,2)="15"),'152-CT'!$J$8=TH!F3375),"x","")</f>
        <v/>
      </c>
      <c r="W3375" s="525" t="str">
        <f>IF(AND(OR(LEFT(TH!L3375,2)="15",LEFT(TH!M3375,2)="15"),TK!$E$7=TH!F3375),"x","")</f>
        <v/>
      </c>
      <c r="X3375" s="525" t="str">
        <f>IF(AND('341-CT'!$E$9=H3375,OR(LEFT(L3375,3)=$X$7,LEFT(M3375,3)=$X$7)),"x","")</f>
        <v/>
      </c>
      <c r="Y3375" s="525" t="str">
        <f>IF(OR(TH!L3375=TH!$Y$7,M3375=TH!$Y$7),"x","")</f>
        <v/>
      </c>
      <c r="Z3375" s="525" t="str">
        <f>IF(AND(B3375&lt;=NKC!$N$8,B3375&gt;=NKC!$M$8),"x","")</f>
        <v/>
      </c>
      <c r="AA3375" s="702"/>
      <c r="AB3375" s="703"/>
    </row>
    <row r="3376" spans="1:28" s="704" customFormat="1" ht="15.75" customHeight="1">
      <c r="A3376" s="517" t="str">
        <f>IF(B3376&lt;&gt;"",IF(AND(B3376&gt;=_TM1,B3376&lt;=_TM2,OR(TH!L3376="1111",TH!M3376="1111")),TH!D3376,""),"")</f>
        <v/>
      </c>
      <c r="B3376" s="698">
        <f t="shared" ref="B3376:B3377" si="332">IF(C3376&lt;&gt;"",MONTH(C3376),"")</f>
        <v>6</v>
      </c>
      <c r="C3376" s="699">
        <f t="shared" si="330"/>
        <v>42895</v>
      </c>
      <c r="D3376" s="699" t="s">
        <v>997</v>
      </c>
      <c r="E3376" s="699">
        <v>42895</v>
      </c>
      <c r="F3376" s="700" t="s">
        <v>359</v>
      </c>
      <c r="G3376" s="716" t="s">
        <v>1190</v>
      </c>
      <c r="H3376" s="694" t="s">
        <v>801</v>
      </c>
      <c r="I3376" s="695">
        <v>140</v>
      </c>
      <c r="J3376" s="695">
        <v>29656</v>
      </c>
      <c r="K3376" s="696">
        <f t="shared" si="331"/>
        <v>4151840</v>
      </c>
      <c r="L3376" s="697" t="s">
        <v>158</v>
      </c>
      <c r="M3376" s="697" t="s">
        <v>292</v>
      </c>
      <c r="N3376" s="525" t="str">
        <f>IF(AND('331-CT'!$E$7=TH!H3376,OR(L3376="331",M3376="331")),"331",IF(AND(OR(L3376="131",M3376="131"),H3376='131-CT'!$E$7),"131",""))</f>
        <v/>
      </c>
      <c r="O3376" s="525" t="str">
        <f>IF(AND($B3376&gt;='111'!$N$11,$B3376&lt;='111'!$O$11,OR($L3376=$O$7,$M3376=$O$7)),"x","")</f>
        <v/>
      </c>
      <c r="P3376" s="525" t="str">
        <f>IF(AND($L3376=$O$7,$B3376&lt;'111'!$N$11),"x","")</f>
        <v/>
      </c>
      <c r="Q3376" s="525" t="str">
        <f>IF(AND($M3376=$O$7,$B3376&lt;'111'!$N$11),"x","")</f>
        <v/>
      </c>
      <c r="R3376" s="525" t="str">
        <f>IF(ISERROR(FIND('112'!$M$9,G3376,1)),"",IF((AND(FIND('112'!$M$9,G3376,1)&gt;=1,$B3376&gt;='112'!$N$8,$B3376&lt;='112'!$O$8,OR($L3376='112'!$I$6,$M3376='112'!$I$6))),"x",""))</f>
        <v/>
      </c>
      <c r="S3376" s="525" t="str">
        <f>IF(ISERROR(FIND('112'!$M$9,G3376,1)),"",IF((AND(LEFT(G3376,2)=LEFT('112'!$M$9,2),B3376&lt;'112'!$N$8,$L3376='112'!$I$6)),"x",""))</f>
        <v/>
      </c>
      <c r="T3376" s="525" t="str">
        <f>IF(ISERROR(FIND('112'!$M$9,G3376,1)),"",IF((AND(RIGHT(G3376,2)=RIGHT('112'!$M$9,2),B3376&lt;'112'!$N$8,$M3376='112'!$I$6)),"x",""))</f>
        <v/>
      </c>
      <c r="U3376" s="525" t="str">
        <f>IF(AND(B3376&gt;='IN-NX'!$P$3,B3376&lt;='IN-NX'!$Q$3,'IN-NX'!$D$7=D3376,OR(LEFT(L3376,2)="15",AND(LEFT(M3376,2)&lt;&gt;"15",LEFT(M3376,2)&lt;&gt;"33"))),"x","")</f>
        <v/>
      </c>
      <c r="V3376" s="525" t="str">
        <f>IF(AND(OR(LEFT(TH!L3376,2)="15",LEFT(TH!M3376,2)="15"),'152-CT'!$J$8=TH!F3376),"x","")</f>
        <v/>
      </c>
      <c r="W3376" s="525" t="str">
        <f>IF(AND(OR(LEFT(TH!L3376,2)="15",LEFT(TH!M3376,2)="15"),TK!$E$7=TH!F3376),"x","")</f>
        <v/>
      </c>
      <c r="X3376" s="525" t="str">
        <f>IF(AND('341-CT'!$E$9=H3376,OR(LEFT(L3376,3)=$X$7,LEFT(M3376,3)=$X$7)),"x","")</f>
        <v/>
      </c>
      <c r="Y3376" s="525" t="str">
        <f>IF(OR(TH!L3376=TH!$Y$7,M3376=TH!$Y$7),"x","")</f>
        <v/>
      </c>
      <c r="Z3376" s="525" t="str">
        <f>IF(AND(B3376&lt;=NKC!$N$8,B3376&gt;=NKC!$M$8),"x","")</f>
        <v/>
      </c>
      <c r="AA3376" s="702"/>
      <c r="AB3376" s="703"/>
    </row>
    <row r="3377" spans="1:30" s="704" customFormat="1" ht="15.75" customHeight="1">
      <c r="A3377" s="517" t="str">
        <f>IF(B3377&lt;&gt;"",IF(AND(B3377&gt;=_TM1,B3377&lt;=_TM2,OR(TH!L3377="1111",TH!M3377="1111")),TH!D3377,""),"")</f>
        <v/>
      </c>
      <c r="B3377" s="698">
        <f t="shared" si="332"/>
        <v>6</v>
      </c>
      <c r="C3377" s="699">
        <f t="shared" si="330"/>
        <v>42910</v>
      </c>
      <c r="D3377" s="699" t="s">
        <v>997</v>
      </c>
      <c r="E3377" s="699">
        <v>42910</v>
      </c>
      <c r="F3377" s="707" t="s">
        <v>436</v>
      </c>
      <c r="G3377" s="716" t="s">
        <v>1192</v>
      </c>
      <c r="H3377" s="694" t="s">
        <v>801</v>
      </c>
      <c r="I3377" s="695">
        <v>20</v>
      </c>
      <c r="J3377" s="695">
        <v>36842</v>
      </c>
      <c r="K3377" s="696">
        <f t="shared" si="331"/>
        <v>736840</v>
      </c>
      <c r="L3377" s="697" t="s">
        <v>158</v>
      </c>
      <c r="M3377" s="697" t="s">
        <v>292</v>
      </c>
      <c r="N3377" s="525" t="str">
        <f>IF(AND('331-CT'!$E$7=TH!H3377,OR(L3377="331",M3377="331")),"331",IF(AND(OR(L3377="131",M3377="131"),H3377='131-CT'!$E$7),"131",""))</f>
        <v/>
      </c>
      <c r="O3377" s="525" t="str">
        <f>IF(AND($B3377&gt;='111'!$N$11,$B3377&lt;='111'!$O$11,OR($L3377=$O$7,$M3377=$O$7)),"x","")</f>
        <v/>
      </c>
      <c r="P3377" s="525" t="str">
        <f>IF(AND($L3377=$O$7,$B3377&lt;'111'!$N$11),"x","")</f>
        <v/>
      </c>
      <c r="Q3377" s="525" t="str">
        <f>IF(AND($M3377=$O$7,$B3377&lt;'111'!$N$11),"x","")</f>
        <v/>
      </c>
      <c r="R3377" s="525" t="str">
        <f>IF(ISERROR(FIND('112'!$M$9,G3377,1)),"",IF((AND(FIND('112'!$M$9,G3377,1)&gt;=1,$B3377&gt;='112'!$N$8,$B3377&lt;='112'!$O$8,OR($L3377='112'!$I$6,$M3377='112'!$I$6))),"x",""))</f>
        <v/>
      </c>
      <c r="S3377" s="525" t="str">
        <f>IF(ISERROR(FIND('112'!$M$9,G3377,1)),"",IF((AND(LEFT(G3377,2)=LEFT('112'!$M$9,2),B3377&lt;'112'!$N$8,$L3377='112'!$I$6)),"x",""))</f>
        <v/>
      </c>
      <c r="T3377" s="525" t="str">
        <f>IF(ISERROR(FIND('112'!$M$9,G3377,1)),"",IF((AND(RIGHT(G3377,2)=RIGHT('112'!$M$9,2),B3377&lt;'112'!$N$8,$M3377='112'!$I$6)),"x",""))</f>
        <v/>
      </c>
      <c r="U3377" s="525" t="str">
        <f>IF(AND(B3377&gt;='IN-NX'!$P$3,B3377&lt;='IN-NX'!$Q$3,'IN-NX'!$D$7=D3377,OR(LEFT(L3377,2)="15",AND(LEFT(M3377,2)&lt;&gt;"15",LEFT(M3377,2)&lt;&gt;"33"))),"x","")</f>
        <v/>
      </c>
      <c r="V3377" s="525" t="str">
        <f>IF(AND(OR(LEFT(TH!L3377,2)="15",LEFT(TH!M3377,2)="15"),'152-CT'!$J$8=TH!F3377),"x","")</f>
        <v/>
      </c>
      <c r="W3377" s="525" t="str">
        <f>IF(AND(OR(LEFT(TH!L3377,2)="15",LEFT(TH!M3377,2)="15"),TK!$E$7=TH!F3377),"x","")</f>
        <v/>
      </c>
      <c r="X3377" s="525" t="str">
        <f>IF(AND('341-CT'!$E$9=H3377,OR(LEFT(L3377,3)=$X$7,LEFT(M3377,3)=$X$7)),"x","")</f>
        <v/>
      </c>
      <c r="Y3377" s="525" t="str">
        <f>IF(OR(TH!L3377=TH!$Y$7,M3377=TH!$Y$7),"x","")</f>
        <v/>
      </c>
      <c r="Z3377" s="525" t="str">
        <f>IF(AND(B3377&lt;=NKC!$N$8,B3377&gt;=NKC!$M$8),"x","")</f>
        <v/>
      </c>
      <c r="AA3377" s="702"/>
      <c r="AB3377" s="703"/>
    </row>
    <row r="3378" spans="1:30" s="689" customFormat="1" ht="15.75" customHeight="1">
      <c r="A3378" s="517" t="str">
        <f>IF(B3378&lt;&gt;"",IF(AND(B3378&gt;=_TM1,B3378&lt;=_TM2,OR(TH!L3378="1111",TH!M3378="1111")),TH!D3378,""),"")</f>
        <v/>
      </c>
      <c r="B3378" s="685">
        <f t="shared" si="329"/>
        <v>6</v>
      </c>
      <c r="C3378" s="671">
        <f t="shared" ref="C3378:C3397" si="333">E3378</f>
        <v>42888</v>
      </c>
      <c r="D3378" s="671" t="s">
        <v>996</v>
      </c>
      <c r="E3378" s="671">
        <v>42888</v>
      </c>
      <c r="F3378" s="720" t="s">
        <v>1114</v>
      </c>
      <c r="G3378" s="674" t="s">
        <v>1186</v>
      </c>
      <c r="H3378" s="675" t="s">
        <v>1184</v>
      </c>
      <c r="I3378" s="676">
        <v>315</v>
      </c>
      <c r="J3378" s="676">
        <v>5446.4952380952382</v>
      </c>
      <c r="K3378" s="677">
        <f t="shared" ref="K3378:K3397" si="334">ROUND(I3378*J3378,0)</f>
        <v>1715646</v>
      </c>
      <c r="L3378" s="678" t="s">
        <v>292</v>
      </c>
      <c r="M3378" s="678" t="s">
        <v>158</v>
      </c>
      <c r="N3378" s="525" t="str">
        <f>IF(AND('331-CT'!$E$7=TH!H3378,OR(L3378="331",M3378="331")),"331",IF(AND(OR(L3378="131",M3378="131"),H3378='131-CT'!$E$7),"131",""))</f>
        <v/>
      </c>
      <c r="O3378" s="525" t="str">
        <f>IF(AND($B3378&gt;='111'!$N$11,$B3378&lt;='111'!$O$11,OR($L3378=$O$7,$M3378=$O$7)),"x","")</f>
        <v/>
      </c>
      <c r="P3378" s="525" t="str">
        <f>IF(AND($L3378=$O$7,$B3378&lt;'111'!$N$11),"x","")</f>
        <v/>
      </c>
      <c r="Q3378" s="525" t="str">
        <f>IF(AND($M3378=$O$7,$B3378&lt;'111'!$N$11),"x","")</f>
        <v/>
      </c>
      <c r="R3378" s="525" t="str">
        <f>IF(ISERROR(FIND('112'!$M$9,G3378,1)),"",IF((AND(FIND('112'!$M$9,G3378,1)&gt;=1,$B3378&gt;='112'!$N$8,$B3378&lt;='112'!$O$8,OR($L3378='112'!$I$6,$M3378='112'!$I$6))),"x",""))</f>
        <v/>
      </c>
      <c r="S3378" s="525" t="str">
        <f>IF(ISERROR(FIND('112'!$M$9,G3378,1)),"",IF((AND(LEFT(G3378,2)=LEFT('112'!$M$9,2),B3378&lt;'112'!$N$8,$L3378='112'!$I$6)),"x",""))</f>
        <v/>
      </c>
      <c r="T3378" s="525" t="str">
        <f>IF(ISERROR(FIND('112'!$M$9,G3378,1)),"",IF((AND(RIGHT(G3378,2)=RIGHT('112'!$M$9,2),B3378&lt;'112'!$N$8,$M3378='112'!$I$6)),"x",""))</f>
        <v/>
      </c>
      <c r="U3378" s="525" t="str">
        <f>IF(AND(B3378&gt;='IN-NX'!$P$3,B3378&lt;='IN-NX'!$Q$3,'IN-NX'!$D$7=D3378,OR(LEFT(L3378,2)="15",AND(LEFT(M3378,2)&lt;&gt;"15",LEFT(M3378,2)&lt;&gt;"33"))),"x","")</f>
        <v/>
      </c>
      <c r="V3378" s="525" t="str">
        <f>IF(AND(OR(LEFT(TH!L3378,2)="15",LEFT(TH!M3378,2)="15"),'152-CT'!$J$8=TH!F3378),"x","")</f>
        <v/>
      </c>
      <c r="W3378" s="525" t="str">
        <f>IF(AND(OR(LEFT(TH!L3378,2)="15",LEFT(TH!M3378,2)="15"),TK!$E$7=TH!F3378),"x","")</f>
        <v/>
      </c>
      <c r="X3378" s="525" t="str">
        <f>IF(AND('341-CT'!$E$9=H3378,OR(LEFT(L3378,3)=$X$7,LEFT(M3378,3)=$X$7)),"x","")</f>
        <v/>
      </c>
      <c r="Y3378" s="525" t="str">
        <f>IF(OR(TH!L3378=TH!$Y$7,M3378=TH!$Y$7),"x","")</f>
        <v/>
      </c>
      <c r="Z3378" s="525" t="str">
        <f>IF(AND(B3378&lt;=NKC!$N$8,B3378&gt;=NKC!$M$8),"x","")</f>
        <v/>
      </c>
      <c r="AA3378" s="687"/>
      <c r="AB3378" s="688"/>
      <c r="AC3378" s="503"/>
    </row>
    <row r="3379" spans="1:30" s="689" customFormat="1" ht="15.75" customHeight="1">
      <c r="A3379" s="517" t="str">
        <f>IF(B3379&lt;&gt;"",IF(AND(B3379&gt;=_TM1,B3379&lt;=_TM2,OR(TH!L3379="1111",TH!M3379="1111")),TH!D3379,""),"")</f>
        <v/>
      </c>
      <c r="B3379" s="685">
        <f t="shared" si="329"/>
        <v>6</v>
      </c>
      <c r="C3379" s="671">
        <f t="shared" si="333"/>
        <v>42889</v>
      </c>
      <c r="D3379" s="671" t="s">
        <v>996</v>
      </c>
      <c r="E3379" s="671">
        <v>42889</v>
      </c>
      <c r="F3379" s="720" t="s">
        <v>1032</v>
      </c>
      <c r="G3379" s="674" t="s">
        <v>1187</v>
      </c>
      <c r="H3379" s="675" t="s">
        <v>1184</v>
      </c>
      <c r="I3379" s="676">
        <v>270</v>
      </c>
      <c r="J3379" s="676">
        <v>11745.259259259259</v>
      </c>
      <c r="K3379" s="677">
        <f t="shared" si="334"/>
        <v>3171220</v>
      </c>
      <c r="L3379" s="678" t="s">
        <v>292</v>
      </c>
      <c r="M3379" s="678" t="s">
        <v>158</v>
      </c>
      <c r="N3379" s="525" t="str">
        <f>IF(AND('331-CT'!$E$7=TH!H3379,OR(L3379="331",M3379="331")),"331",IF(AND(OR(L3379="131",M3379="131"),H3379='131-CT'!$E$7),"131",""))</f>
        <v/>
      </c>
      <c r="O3379" s="525" t="str">
        <f>IF(AND($B3379&gt;='111'!$N$11,$B3379&lt;='111'!$O$11,OR($L3379=$O$7,$M3379=$O$7)),"x","")</f>
        <v/>
      </c>
      <c r="P3379" s="525" t="str">
        <f>IF(AND($L3379=$O$7,$B3379&lt;'111'!$N$11),"x","")</f>
        <v/>
      </c>
      <c r="Q3379" s="525" t="str">
        <f>IF(AND($M3379=$O$7,$B3379&lt;'111'!$N$11),"x","")</f>
        <v/>
      </c>
      <c r="R3379" s="525" t="str">
        <f>IF(ISERROR(FIND('112'!$M$9,G3379,1)),"",IF((AND(FIND('112'!$M$9,G3379,1)&gt;=1,$B3379&gt;='112'!$N$8,$B3379&lt;='112'!$O$8,OR($L3379='112'!$I$6,$M3379='112'!$I$6))),"x",""))</f>
        <v/>
      </c>
      <c r="S3379" s="525" t="str">
        <f>IF(ISERROR(FIND('112'!$M$9,G3379,1)),"",IF((AND(LEFT(G3379,2)=LEFT('112'!$M$9,2),B3379&lt;'112'!$N$8,$L3379='112'!$I$6)),"x",""))</f>
        <v/>
      </c>
      <c r="T3379" s="525" t="str">
        <f>IF(ISERROR(FIND('112'!$M$9,G3379,1)),"",IF((AND(RIGHT(G3379,2)=RIGHT('112'!$M$9,2),B3379&lt;'112'!$N$8,$M3379='112'!$I$6)),"x",""))</f>
        <v/>
      </c>
      <c r="U3379" s="525" t="str">
        <f>IF(AND(B3379&gt;='IN-NX'!$P$3,B3379&lt;='IN-NX'!$Q$3,'IN-NX'!$D$7=D3379,OR(LEFT(L3379,2)="15",AND(LEFT(M3379,2)&lt;&gt;"15",LEFT(M3379,2)&lt;&gt;"33"))),"x","")</f>
        <v/>
      </c>
      <c r="V3379" s="525" t="str">
        <f>IF(AND(OR(LEFT(TH!L3379,2)="15",LEFT(TH!M3379,2)="15"),'152-CT'!$J$8=TH!F3379),"x","")</f>
        <v/>
      </c>
      <c r="W3379" s="525" t="str">
        <f>IF(AND(OR(LEFT(TH!L3379,2)="15",LEFT(TH!M3379,2)="15"),TK!$E$7=TH!F3379),"x","")</f>
        <v/>
      </c>
      <c r="X3379" s="525" t="str">
        <f>IF(AND('341-CT'!$E$9=H3379,OR(LEFT(L3379,3)=$X$7,LEFT(M3379,3)=$X$7)),"x","")</f>
        <v/>
      </c>
      <c r="Y3379" s="525" t="str">
        <f>IF(OR(TH!L3379=TH!$Y$7,M3379=TH!$Y$7),"x","")</f>
        <v/>
      </c>
      <c r="Z3379" s="525" t="str">
        <f>IF(AND(B3379&lt;=NKC!$N$8,B3379&gt;=NKC!$M$8),"x","")</f>
        <v/>
      </c>
      <c r="AA3379" s="687"/>
      <c r="AB3379" s="688"/>
      <c r="AC3379" s="503"/>
    </row>
    <row r="3380" spans="1:30" s="689" customFormat="1" ht="15.75" customHeight="1">
      <c r="A3380" s="517" t="str">
        <f>IF(B3380&lt;&gt;"",IF(AND(B3380&gt;=_TM1,B3380&lt;=_TM2,OR(TH!L3380="1111",TH!M3380="1111")),TH!D3380,""),"")</f>
        <v/>
      </c>
      <c r="B3380" s="685">
        <f t="shared" si="329"/>
        <v>6</v>
      </c>
      <c r="C3380" s="671">
        <f t="shared" si="333"/>
        <v>42889</v>
      </c>
      <c r="D3380" s="671" t="s">
        <v>996</v>
      </c>
      <c r="E3380" s="671">
        <v>42889</v>
      </c>
      <c r="F3380" s="720" t="s">
        <v>1032</v>
      </c>
      <c r="G3380" s="674" t="s">
        <v>1187</v>
      </c>
      <c r="H3380" s="675" t="s">
        <v>1184</v>
      </c>
      <c r="I3380" s="676">
        <v>498</v>
      </c>
      <c r="J3380" s="676">
        <v>11740.425702811244</v>
      </c>
      <c r="K3380" s="677">
        <f t="shared" si="334"/>
        <v>5846732</v>
      </c>
      <c r="L3380" s="678" t="s">
        <v>292</v>
      </c>
      <c r="M3380" s="678" t="s">
        <v>158</v>
      </c>
      <c r="N3380" s="525" t="str">
        <f>IF(AND('331-CT'!$E$7=TH!H3380,OR(L3380="331",M3380="331")),"331",IF(AND(OR(L3380="131",M3380="131"),H3380='131-CT'!$E$7),"131",""))</f>
        <v/>
      </c>
      <c r="O3380" s="525" t="str">
        <f>IF(AND($B3380&gt;='111'!$N$11,$B3380&lt;='111'!$O$11,OR($L3380=$O$7,$M3380=$O$7)),"x","")</f>
        <v/>
      </c>
      <c r="P3380" s="525" t="str">
        <f>IF(AND($L3380=$O$7,$B3380&lt;'111'!$N$11),"x","")</f>
        <v/>
      </c>
      <c r="Q3380" s="525" t="str">
        <f>IF(AND($M3380=$O$7,$B3380&lt;'111'!$N$11),"x","")</f>
        <v/>
      </c>
      <c r="R3380" s="525" t="str">
        <f>IF(ISERROR(FIND('112'!$M$9,G3380,1)),"",IF((AND(FIND('112'!$M$9,G3380,1)&gt;=1,$B3380&gt;='112'!$N$8,$B3380&lt;='112'!$O$8,OR($L3380='112'!$I$6,$M3380='112'!$I$6))),"x",""))</f>
        <v/>
      </c>
      <c r="S3380" s="525" t="str">
        <f>IF(ISERROR(FIND('112'!$M$9,G3380,1)),"",IF((AND(LEFT(G3380,2)=LEFT('112'!$M$9,2),B3380&lt;'112'!$N$8,$L3380='112'!$I$6)),"x",""))</f>
        <v/>
      </c>
      <c r="T3380" s="525" t="str">
        <f>IF(ISERROR(FIND('112'!$M$9,G3380,1)),"",IF((AND(RIGHT(G3380,2)=RIGHT('112'!$M$9,2),B3380&lt;'112'!$N$8,$M3380='112'!$I$6)),"x",""))</f>
        <v/>
      </c>
      <c r="U3380" s="525" t="str">
        <f>IF(AND(B3380&gt;='IN-NX'!$P$3,B3380&lt;='IN-NX'!$Q$3,'IN-NX'!$D$7=D3380,OR(LEFT(L3380,2)="15",AND(LEFT(M3380,2)&lt;&gt;"15",LEFT(M3380,2)&lt;&gt;"33"))),"x","")</f>
        <v/>
      </c>
      <c r="V3380" s="525" t="str">
        <f>IF(AND(OR(LEFT(TH!L3380,2)="15",LEFT(TH!M3380,2)="15"),'152-CT'!$J$8=TH!F3380),"x","")</f>
        <v/>
      </c>
      <c r="W3380" s="525" t="str">
        <f>IF(AND(OR(LEFT(TH!L3380,2)="15",LEFT(TH!M3380,2)="15"),TK!$E$7=TH!F3380),"x","")</f>
        <v/>
      </c>
      <c r="X3380" s="525" t="str">
        <f>IF(AND('341-CT'!$E$9=H3380,OR(LEFT(L3380,3)=$X$7,LEFT(M3380,3)=$X$7)),"x","")</f>
        <v/>
      </c>
      <c r="Y3380" s="525" t="str">
        <f>IF(OR(TH!L3380=TH!$Y$7,M3380=TH!$Y$7),"x","")</f>
        <v/>
      </c>
      <c r="Z3380" s="525" t="str">
        <f>IF(AND(B3380&lt;=NKC!$N$8,B3380&gt;=NKC!$M$8),"x","")</f>
        <v/>
      </c>
      <c r="AA3380" s="687"/>
      <c r="AB3380" s="688"/>
      <c r="AC3380" s="503"/>
    </row>
    <row r="3381" spans="1:30" s="689" customFormat="1" ht="15.75" customHeight="1">
      <c r="A3381" s="517" t="str">
        <f>IF(B3381&lt;&gt;"",IF(AND(B3381&gt;=_TM1,B3381&lt;=_TM2,OR(TH!L3381="1111",TH!M3381="1111")),TH!D3381,""),"")</f>
        <v/>
      </c>
      <c r="B3381" s="685">
        <f t="shared" si="329"/>
        <v>6</v>
      </c>
      <c r="C3381" s="671">
        <f t="shared" si="333"/>
        <v>42889</v>
      </c>
      <c r="D3381" s="671" t="s">
        <v>996</v>
      </c>
      <c r="E3381" s="671">
        <v>42889</v>
      </c>
      <c r="F3381" s="720" t="s">
        <v>1032</v>
      </c>
      <c r="G3381" s="674" t="s">
        <v>1187</v>
      </c>
      <c r="H3381" s="675" t="s">
        <v>1184</v>
      </c>
      <c r="I3381" s="676">
        <v>315</v>
      </c>
      <c r="J3381" s="676">
        <v>11614.368253968254</v>
      </c>
      <c r="K3381" s="677">
        <f t="shared" si="334"/>
        <v>3658526</v>
      </c>
      <c r="L3381" s="678" t="s">
        <v>292</v>
      </c>
      <c r="M3381" s="678" t="s">
        <v>158</v>
      </c>
      <c r="N3381" s="525" t="str">
        <f>IF(AND('331-CT'!$E$7=TH!H3381,OR(L3381="331",M3381="331")),"331",IF(AND(OR(L3381="131",M3381="131"),H3381='131-CT'!$E$7),"131",""))</f>
        <v/>
      </c>
      <c r="O3381" s="525" t="str">
        <f>IF(AND($B3381&gt;='111'!$N$11,$B3381&lt;='111'!$O$11,OR($L3381=$O$7,$M3381=$O$7)),"x","")</f>
        <v/>
      </c>
      <c r="P3381" s="525" t="str">
        <f>IF(AND($L3381=$O$7,$B3381&lt;'111'!$N$11),"x","")</f>
        <v/>
      </c>
      <c r="Q3381" s="525" t="str">
        <f>IF(AND($M3381=$O$7,$B3381&lt;'111'!$N$11),"x","")</f>
        <v/>
      </c>
      <c r="R3381" s="525" t="str">
        <f>IF(ISERROR(FIND('112'!$M$9,G3381,1)),"",IF((AND(FIND('112'!$M$9,G3381,1)&gt;=1,$B3381&gt;='112'!$N$8,$B3381&lt;='112'!$O$8,OR($L3381='112'!$I$6,$M3381='112'!$I$6))),"x",""))</f>
        <v/>
      </c>
      <c r="S3381" s="525" t="str">
        <f>IF(ISERROR(FIND('112'!$M$9,G3381,1)),"",IF((AND(LEFT(G3381,2)=LEFT('112'!$M$9,2),B3381&lt;'112'!$N$8,$L3381='112'!$I$6)),"x",""))</f>
        <v/>
      </c>
      <c r="T3381" s="525" t="str">
        <f>IF(ISERROR(FIND('112'!$M$9,G3381,1)),"",IF((AND(RIGHT(G3381,2)=RIGHT('112'!$M$9,2),B3381&lt;'112'!$N$8,$M3381='112'!$I$6)),"x",""))</f>
        <v/>
      </c>
      <c r="U3381" s="525" t="str">
        <f>IF(AND(B3381&gt;='IN-NX'!$P$3,B3381&lt;='IN-NX'!$Q$3,'IN-NX'!$D$7=D3381,OR(LEFT(L3381,2)="15",AND(LEFT(M3381,2)&lt;&gt;"15",LEFT(M3381,2)&lt;&gt;"33"))),"x","")</f>
        <v/>
      </c>
      <c r="V3381" s="525" t="str">
        <f>IF(AND(OR(LEFT(TH!L3381,2)="15",LEFT(TH!M3381,2)="15"),'152-CT'!$J$8=TH!F3381),"x","")</f>
        <v/>
      </c>
      <c r="W3381" s="525" t="str">
        <f>IF(AND(OR(LEFT(TH!L3381,2)="15",LEFT(TH!M3381,2)="15"),TK!$E$7=TH!F3381),"x","")</f>
        <v/>
      </c>
      <c r="X3381" s="525" t="str">
        <f>IF(AND('341-CT'!$E$9=H3381,OR(LEFT(L3381,3)=$X$7,LEFT(M3381,3)=$X$7)),"x","")</f>
        <v/>
      </c>
      <c r="Y3381" s="525" t="str">
        <f>IF(OR(TH!L3381=TH!$Y$7,M3381=TH!$Y$7),"x","")</f>
        <v/>
      </c>
      <c r="Z3381" s="525" t="str">
        <f>IF(AND(B3381&lt;=NKC!$N$8,B3381&gt;=NKC!$M$8),"x","")</f>
        <v/>
      </c>
      <c r="AA3381" s="687"/>
      <c r="AB3381" s="688"/>
      <c r="AC3381" s="503"/>
    </row>
    <row r="3382" spans="1:30" s="689" customFormat="1" ht="15.75" customHeight="1">
      <c r="A3382" s="517" t="str">
        <f>IF(B3382&lt;&gt;"",IF(AND(B3382&gt;=_TM1,B3382&lt;=_TM2,OR(TH!L3382="1111",TH!M3382="1111")),TH!D3382,""),"")</f>
        <v/>
      </c>
      <c r="B3382" s="685">
        <f t="shared" si="329"/>
        <v>6</v>
      </c>
      <c r="C3382" s="671">
        <f t="shared" si="333"/>
        <v>42889</v>
      </c>
      <c r="D3382" s="671" t="s">
        <v>996</v>
      </c>
      <c r="E3382" s="671">
        <v>42889</v>
      </c>
      <c r="F3382" s="673" t="s">
        <v>1032</v>
      </c>
      <c r="G3382" s="674" t="s">
        <v>1187</v>
      </c>
      <c r="H3382" s="675" t="s">
        <v>1184</v>
      </c>
      <c r="I3382" s="676">
        <v>240</v>
      </c>
      <c r="J3382" s="676">
        <v>11623.654166666667</v>
      </c>
      <c r="K3382" s="677">
        <f t="shared" si="334"/>
        <v>2789677</v>
      </c>
      <c r="L3382" s="678" t="s">
        <v>292</v>
      </c>
      <c r="M3382" s="678" t="s">
        <v>158</v>
      </c>
      <c r="N3382" s="525" t="str">
        <f>IF(AND('331-CT'!$E$7=TH!H3382,OR(L3382="331",M3382="331")),"331",IF(AND(OR(L3382="131",M3382="131"),H3382='131-CT'!$E$7),"131",""))</f>
        <v/>
      </c>
      <c r="O3382" s="525" t="str">
        <f>IF(AND($B3382&gt;='111'!$N$11,$B3382&lt;='111'!$O$11,OR($L3382=$O$7,$M3382=$O$7)),"x","")</f>
        <v/>
      </c>
      <c r="P3382" s="525" t="str">
        <f>IF(AND($L3382=$O$7,$B3382&lt;'111'!$N$11),"x","")</f>
        <v/>
      </c>
      <c r="Q3382" s="525" t="str">
        <f>IF(AND($M3382=$O$7,$B3382&lt;'111'!$N$11),"x","")</f>
        <v/>
      </c>
      <c r="R3382" s="525" t="str">
        <f>IF(ISERROR(FIND('112'!$M$9,G3382,1)),"",IF((AND(FIND('112'!$M$9,G3382,1)&gt;=1,$B3382&gt;='112'!$N$8,$B3382&lt;='112'!$O$8,OR($L3382='112'!$I$6,$M3382='112'!$I$6))),"x",""))</f>
        <v/>
      </c>
      <c r="S3382" s="525" t="str">
        <f>IF(ISERROR(FIND('112'!$M$9,G3382,1)),"",IF((AND(LEFT(G3382,2)=LEFT('112'!$M$9,2),B3382&lt;'112'!$N$8,$L3382='112'!$I$6)),"x",""))</f>
        <v/>
      </c>
      <c r="T3382" s="525" t="str">
        <f>IF(ISERROR(FIND('112'!$M$9,G3382,1)),"",IF((AND(RIGHT(G3382,2)=RIGHT('112'!$M$9,2),B3382&lt;'112'!$N$8,$M3382='112'!$I$6)),"x",""))</f>
        <v/>
      </c>
      <c r="U3382" s="525" t="str">
        <f>IF(AND(B3382&gt;='IN-NX'!$P$3,B3382&lt;='IN-NX'!$Q$3,'IN-NX'!$D$7=D3382,OR(LEFT(L3382,2)="15",AND(LEFT(M3382,2)&lt;&gt;"15",LEFT(M3382,2)&lt;&gt;"33"))),"x","")</f>
        <v/>
      </c>
      <c r="V3382" s="525" t="str">
        <f>IF(AND(OR(LEFT(TH!L3382,2)="15",LEFT(TH!M3382,2)="15"),'152-CT'!$J$8=TH!F3382),"x","")</f>
        <v/>
      </c>
      <c r="W3382" s="525" t="str">
        <f>IF(AND(OR(LEFT(TH!L3382,2)="15",LEFT(TH!M3382,2)="15"),TK!$E$7=TH!F3382),"x","")</f>
        <v/>
      </c>
      <c r="X3382" s="525" t="str">
        <f>IF(AND('341-CT'!$E$9=H3382,OR(LEFT(L3382,3)=$X$7,LEFT(M3382,3)=$X$7)),"x","")</f>
        <v/>
      </c>
      <c r="Y3382" s="525" t="str">
        <f>IF(OR(TH!L3382=TH!$Y$7,M3382=TH!$Y$7),"x","")</f>
        <v/>
      </c>
      <c r="Z3382" s="525" t="str">
        <f>IF(AND(B3382&lt;=NKC!$N$8,B3382&gt;=NKC!$M$8),"x","")</f>
        <v/>
      </c>
      <c r="AA3382" s="687"/>
      <c r="AB3382" s="688"/>
      <c r="AC3382" s="503"/>
      <c r="AD3382" s="688"/>
    </row>
    <row r="3383" spans="1:30" s="689" customFormat="1" ht="15.75" customHeight="1">
      <c r="A3383" s="517" t="str">
        <f>IF(B3383&lt;&gt;"",IF(AND(B3383&gt;=_TM1,B3383&lt;=_TM2,OR(TH!L3383="1111",TH!M3383="1111")),TH!D3383,""),"")</f>
        <v/>
      </c>
      <c r="B3383" s="685">
        <f t="shared" si="329"/>
        <v>6</v>
      </c>
      <c r="C3383" s="671">
        <f t="shared" si="333"/>
        <v>42889</v>
      </c>
      <c r="D3383" s="671" t="s">
        <v>996</v>
      </c>
      <c r="E3383" s="671">
        <v>42889</v>
      </c>
      <c r="F3383" s="719" t="s">
        <v>1032</v>
      </c>
      <c r="G3383" s="686" t="s">
        <v>1187</v>
      </c>
      <c r="H3383" s="675" t="s">
        <v>1184</v>
      </c>
      <c r="I3383" s="676">
        <v>510</v>
      </c>
      <c r="J3383" s="676">
        <v>11635.882352941177</v>
      </c>
      <c r="K3383" s="677">
        <f t="shared" si="334"/>
        <v>5934300</v>
      </c>
      <c r="L3383" s="678" t="s">
        <v>292</v>
      </c>
      <c r="M3383" s="678" t="s">
        <v>158</v>
      </c>
      <c r="N3383" s="525" t="str">
        <f>IF(AND('331-CT'!$E$7=TH!H3383,OR(L3383="331",M3383="331")),"331",IF(AND(OR(L3383="131",M3383="131"),H3383='131-CT'!$E$7),"131",""))</f>
        <v/>
      </c>
      <c r="O3383" s="525" t="str">
        <f>IF(AND($B3383&gt;='111'!$N$11,$B3383&lt;='111'!$O$11,OR($L3383=$O$7,$M3383=$O$7)),"x","")</f>
        <v/>
      </c>
      <c r="P3383" s="525" t="str">
        <f>IF(AND($L3383=$O$7,$B3383&lt;'111'!$N$11),"x","")</f>
        <v/>
      </c>
      <c r="Q3383" s="525" t="str">
        <f>IF(AND($M3383=$O$7,$B3383&lt;'111'!$N$11),"x","")</f>
        <v/>
      </c>
      <c r="R3383" s="525" t="str">
        <f>IF(ISERROR(FIND('112'!$M$9,G3383,1)),"",IF((AND(FIND('112'!$M$9,G3383,1)&gt;=1,$B3383&gt;='112'!$N$8,$B3383&lt;='112'!$O$8,OR($L3383='112'!$I$6,$M3383='112'!$I$6))),"x",""))</f>
        <v/>
      </c>
      <c r="S3383" s="525" t="str">
        <f>IF(ISERROR(FIND('112'!$M$9,G3383,1)),"",IF((AND(LEFT(G3383,2)=LEFT('112'!$M$9,2),B3383&lt;'112'!$N$8,$L3383='112'!$I$6)),"x",""))</f>
        <v/>
      </c>
      <c r="T3383" s="525" t="str">
        <f>IF(ISERROR(FIND('112'!$M$9,G3383,1)),"",IF((AND(RIGHT(G3383,2)=RIGHT('112'!$M$9,2),B3383&lt;'112'!$N$8,$M3383='112'!$I$6)),"x",""))</f>
        <v/>
      </c>
      <c r="U3383" s="525" t="str">
        <f>IF(AND(B3383&gt;='IN-NX'!$P$3,B3383&lt;='IN-NX'!$Q$3,'IN-NX'!$D$7=D3383,OR(LEFT(L3383,2)="15",AND(LEFT(M3383,2)&lt;&gt;"15",LEFT(M3383,2)&lt;&gt;"33"))),"x","")</f>
        <v/>
      </c>
      <c r="V3383" s="525" t="str">
        <f>IF(AND(OR(LEFT(TH!L3383,2)="15",LEFT(TH!M3383,2)="15"),'152-CT'!$J$8=TH!F3383),"x","")</f>
        <v/>
      </c>
      <c r="W3383" s="525" t="str">
        <f>IF(AND(OR(LEFT(TH!L3383,2)="15",LEFT(TH!M3383,2)="15"),TK!$E$7=TH!F3383),"x","")</f>
        <v/>
      </c>
      <c r="X3383" s="525" t="str">
        <f>IF(AND('341-CT'!$E$9=H3383,OR(LEFT(L3383,3)=$X$7,LEFT(M3383,3)=$X$7)),"x","")</f>
        <v/>
      </c>
      <c r="Y3383" s="525" t="str">
        <f>IF(OR(TH!L3383=TH!$Y$7,M3383=TH!$Y$7),"x","")</f>
        <v/>
      </c>
      <c r="Z3383" s="525" t="str">
        <f>IF(AND(B3383&lt;=NKC!$N$8,B3383&gt;=NKC!$M$8),"x","")</f>
        <v/>
      </c>
      <c r="AA3383" s="687"/>
      <c r="AB3383" s="688"/>
      <c r="AC3383" s="503"/>
      <c r="AD3383" s="688"/>
    </row>
    <row r="3384" spans="1:30" s="689" customFormat="1" ht="15.75" customHeight="1">
      <c r="A3384" s="517" t="str">
        <f>IF(B3384&lt;&gt;"",IF(AND(B3384&gt;=_TM1,B3384&lt;=_TM2,OR(TH!L3384="1111",TH!M3384="1111")),TH!D3384,""),"")</f>
        <v/>
      </c>
      <c r="B3384" s="685">
        <f t="shared" si="329"/>
        <v>6</v>
      </c>
      <c r="C3384" s="671">
        <f t="shared" si="333"/>
        <v>42889</v>
      </c>
      <c r="D3384" s="671" t="s">
        <v>996</v>
      </c>
      <c r="E3384" s="671">
        <v>42889</v>
      </c>
      <c r="F3384" s="719" t="s">
        <v>1032</v>
      </c>
      <c r="G3384" s="686" t="s">
        <v>1187</v>
      </c>
      <c r="H3384" s="675" t="s">
        <v>1184</v>
      </c>
      <c r="I3384" s="676">
        <v>280</v>
      </c>
      <c r="J3384" s="676">
        <v>11707.924999999999</v>
      </c>
      <c r="K3384" s="677">
        <f t="shared" si="334"/>
        <v>3278219</v>
      </c>
      <c r="L3384" s="678" t="s">
        <v>292</v>
      </c>
      <c r="M3384" s="678" t="s">
        <v>158</v>
      </c>
      <c r="N3384" s="525" t="str">
        <f>IF(AND('331-CT'!$E$7=TH!H3384,OR(L3384="331",M3384="331")),"331",IF(AND(OR(L3384="131",M3384="131"),H3384='131-CT'!$E$7),"131",""))</f>
        <v/>
      </c>
      <c r="O3384" s="525" t="str">
        <f>IF(AND($B3384&gt;='111'!$N$11,$B3384&lt;='111'!$O$11,OR($L3384=$O$7,$M3384=$O$7)),"x","")</f>
        <v/>
      </c>
      <c r="P3384" s="525" t="str">
        <f>IF(AND($L3384=$O$7,$B3384&lt;'111'!$N$11),"x","")</f>
        <v/>
      </c>
      <c r="Q3384" s="525" t="str">
        <f>IF(AND($M3384=$O$7,$B3384&lt;'111'!$N$11),"x","")</f>
        <v/>
      </c>
      <c r="R3384" s="525" t="str">
        <f>IF(ISERROR(FIND('112'!$M$9,G3384,1)),"",IF((AND(FIND('112'!$M$9,G3384,1)&gt;=1,$B3384&gt;='112'!$N$8,$B3384&lt;='112'!$O$8,OR($L3384='112'!$I$6,$M3384='112'!$I$6))),"x",""))</f>
        <v/>
      </c>
      <c r="S3384" s="525" t="str">
        <f>IF(ISERROR(FIND('112'!$M$9,G3384,1)),"",IF((AND(LEFT(G3384,2)=LEFT('112'!$M$9,2),B3384&lt;'112'!$N$8,$L3384='112'!$I$6)),"x",""))</f>
        <v/>
      </c>
      <c r="T3384" s="525" t="str">
        <f>IF(ISERROR(FIND('112'!$M$9,G3384,1)),"",IF((AND(RIGHT(G3384,2)=RIGHT('112'!$M$9,2),B3384&lt;'112'!$N$8,$M3384='112'!$I$6)),"x",""))</f>
        <v/>
      </c>
      <c r="U3384" s="525" t="str">
        <f>IF(AND(B3384&gt;='IN-NX'!$P$3,B3384&lt;='IN-NX'!$Q$3,'IN-NX'!$D$7=D3384,OR(LEFT(L3384,2)="15",AND(LEFT(M3384,2)&lt;&gt;"15",LEFT(M3384,2)&lt;&gt;"33"))),"x","")</f>
        <v/>
      </c>
      <c r="V3384" s="525" t="str">
        <f>IF(AND(OR(LEFT(TH!L3384,2)="15",LEFT(TH!M3384,2)="15"),'152-CT'!$J$8=TH!F3384),"x","")</f>
        <v/>
      </c>
      <c r="W3384" s="525" t="str">
        <f>IF(AND(OR(LEFT(TH!L3384,2)="15",LEFT(TH!M3384,2)="15"),TK!$E$7=TH!F3384),"x","")</f>
        <v/>
      </c>
      <c r="X3384" s="525" t="str">
        <f>IF(AND('341-CT'!$E$9=H3384,OR(LEFT(L3384,3)=$X$7,LEFT(M3384,3)=$X$7)),"x","")</f>
        <v/>
      </c>
      <c r="Y3384" s="525" t="str">
        <f>IF(OR(TH!L3384=TH!$Y$7,M3384=TH!$Y$7),"x","")</f>
        <v/>
      </c>
      <c r="Z3384" s="525" t="str">
        <f>IF(AND(B3384&lt;=NKC!$N$8,B3384&gt;=NKC!$M$8),"x","")</f>
        <v/>
      </c>
      <c r="AA3384" s="687"/>
      <c r="AB3384" s="688"/>
      <c r="AC3384" s="503"/>
      <c r="AD3384" s="688"/>
    </row>
    <row r="3385" spans="1:30" s="689" customFormat="1" ht="15.75" customHeight="1">
      <c r="A3385" s="517" t="str">
        <f>IF(B3385&lt;&gt;"",IF(AND(B3385&gt;=_TM1,B3385&lt;=_TM2,OR(TH!L3385="1111",TH!M3385="1111")),TH!D3385,""),"")</f>
        <v/>
      </c>
      <c r="B3385" s="685">
        <f t="shared" si="329"/>
        <v>6</v>
      </c>
      <c r="C3385" s="671">
        <f t="shared" si="333"/>
        <v>42889</v>
      </c>
      <c r="D3385" s="671" t="s">
        <v>996</v>
      </c>
      <c r="E3385" s="679">
        <v>42889</v>
      </c>
      <c r="F3385" s="719" t="s">
        <v>1032</v>
      </c>
      <c r="G3385" s="686" t="s">
        <v>1187</v>
      </c>
      <c r="H3385" s="675" t="s">
        <v>1184</v>
      </c>
      <c r="I3385" s="676">
        <v>100</v>
      </c>
      <c r="J3385" s="676">
        <v>11570.03</v>
      </c>
      <c r="K3385" s="677">
        <f t="shared" si="334"/>
        <v>1157003</v>
      </c>
      <c r="L3385" s="678" t="s">
        <v>292</v>
      </c>
      <c r="M3385" s="678" t="s">
        <v>158</v>
      </c>
      <c r="N3385" s="525" t="str">
        <f>IF(AND('331-CT'!$E$7=TH!H3385,OR(L3385="331",M3385="331")),"331",IF(AND(OR(L3385="131",M3385="131"),H3385='131-CT'!$E$7),"131",""))</f>
        <v/>
      </c>
      <c r="O3385" s="525" t="str">
        <f>IF(AND($B3385&gt;='111'!$N$11,$B3385&lt;='111'!$O$11,OR($L3385=$O$7,$M3385=$O$7)),"x","")</f>
        <v/>
      </c>
      <c r="P3385" s="525" t="str">
        <f>IF(AND($L3385=$O$7,$B3385&lt;'111'!$N$11),"x","")</f>
        <v/>
      </c>
      <c r="Q3385" s="525" t="str">
        <f>IF(AND($M3385=$O$7,$B3385&lt;'111'!$N$11),"x","")</f>
        <v/>
      </c>
      <c r="R3385" s="525" t="str">
        <f>IF(ISERROR(FIND('112'!$M$9,G3385,1)),"",IF((AND(FIND('112'!$M$9,G3385,1)&gt;=1,$B3385&gt;='112'!$N$8,$B3385&lt;='112'!$O$8,OR($L3385='112'!$I$6,$M3385='112'!$I$6))),"x",""))</f>
        <v/>
      </c>
      <c r="S3385" s="525" t="str">
        <f>IF(ISERROR(FIND('112'!$M$9,G3385,1)),"",IF((AND(LEFT(G3385,2)=LEFT('112'!$M$9,2),B3385&lt;'112'!$N$8,$L3385='112'!$I$6)),"x",""))</f>
        <v/>
      </c>
      <c r="T3385" s="525" t="str">
        <f>IF(ISERROR(FIND('112'!$M$9,G3385,1)),"",IF((AND(RIGHT(G3385,2)=RIGHT('112'!$M$9,2),B3385&lt;'112'!$N$8,$M3385='112'!$I$6)),"x",""))</f>
        <v/>
      </c>
      <c r="U3385" s="525" t="str">
        <f>IF(AND(B3385&gt;='IN-NX'!$P$3,B3385&lt;='IN-NX'!$Q$3,'IN-NX'!$D$7=D3385,OR(LEFT(L3385,2)="15",AND(LEFT(M3385,2)&lt;&gt;"15",LEFT(M3385,2)&lt;&gt;"33"))),"x","")</f>
        <v/>
      </c>
      <c r="V3385" s="525" t="str">
        <f>IF(AND(OR(LEFT(TH!L3385,2)="15",LEFT(TH!M3385,2)="15"),'152-CT'!$J$8=TH!F3385),"x","")</f>
        <v/>
      </c>
      <c r="W3385" s="525" t="str">
        <f>IF(AND(OR(LEFT(TH!L3385,2)="15",LEFT(TH!M3385,2)="15"),TK!$E$7=TH!F3385),"x","")</f>
        <v/>
      </c>
      <c r="X3385" s="525" t="str">
        <f>IF(AND('341-CT'!$E$9=H3385,OR(LEFT(L3385,3)=$X$7,LEFT(M3385,3)=$X$7)),"x","")</f>
        <v/>
      </c>
      <c r="Y3385" s="525" t="str">
        <f>IF(OR(TH!L3385=TH!$Y$7,M3385=TH!$Y$7),"x","")</f>
        <v/>
      </c>
      <c r="Z3385" s="525" t="str">
        <f>IF(AND(B3385&lt;=NKC!$N$8,B3385&gt;=NKC!$M$8),"x","")</f>
        <v/>
      </c>
      <c r="AA3385" s="687"/>
      <c r="AB3385" s="688"/>
      <c r="AC3385" s="503"/>
    </row>
    <row r="3386" spans="1:30" s="689" customFormat="1" ht="15.75" customHeight="1">
      <c r="A3386" s="517" t="str">
        <f>IF(B3386&lt;&gt;"",IF(AND(B3386&gt;=_TM1,B3386&lt;=_TM2,OR(TH!L3386="1111",TH!M3386="1111")),TH!D3386,""),"")</f>
        <v/>
      </c>
      <c r="B3386" s="685">
        <f t="shared" si="329"/>
        <v>6</v>
      </c>
      <c r="C3386" s="671">
        <f t="shared" si="333"/>
        <v>42889</v>
      </c>
      <c r="D3386" s="671" t="s">
        <v>996</v>
      </c>
      <c r="E3386" s="679">
        <v>42889</v>
      </c>
      <c r="F3386" s="673" t="s">
        <v>1032</v>
      </c>
      <c r="G3386" s="686" t="s">
        <v>1187</v>
      </c>
      <c r="H3386" s="675" t="s">
        <v>1184</v>
      </c>
      <c r="I3386" s="676">
        <v>210</v>
      </c>
      <c r="J3386" s="676">
        <v>11751.766666666666</v>
      </c>
      <c r="K3386" s="677">
        <f t="shared" si="334"/>
        <v>2467871</v>
      </c>
      <c r="L3386" s="678" t="s">
        <v>292</v>
      </c>
      <c r="M3386" s="678" t="s">
        <v>158</v>
      </c>
      <c r="N3386" s="525" t="str">
        <f>IF(AND('331-CT'!$E$7=TH!H3386,OR(L3386="331",M3386="331")),"331",IF(AND(OR(L3386="131",M3386="131"),H3386='131-CT'!$E$7),"131",""))</f>
        <v/>
      </c>
      <c r="O3386" s="525" t="str">
        <f>IF(AND($B3386&gt;='111'!$N$11,$B3386&lt;='111'!$O$11,OR($L3386=$O$7,$M3386=$O$7)),"x","")</f>
        <v/>
      </c>
      <c r="P3386" s="525" t="str">
        <f>IF(AND($L3386=$O$7,$B3386&lt;'111'!$N$11),"x","")</f>
        <v/>
      </c>
      <c r="Q3386" s="525" t="str">
        <f>IF(AND($M3386=$O$7,$B3386&lt;'111'!$N$11),"x","")</f>
        <v/>
      </c>
      <c r="R3386" s="525" t="str">
        <f>IF(ISERROR(FIND('112'!$M$9,G3386,1)),"",IF((AND(FIND('112'!$M$9,G3386,1)&gt;=1,$B3386&gt;='112'!$N$8,$B3386&lt;='112'!$O$8,OR($L3386='112'!$I$6,$M3386='112'!$I$6))),"x",""))</f>
        <v/>
      </c>
      <c r="S3386" s="525" t="str">
        <f>IF(ISERROR(FIND('112'!$M$9,G3386,1)),"",IF((AND(LEFT(G3386,2)=LEFT('112'!$M$9,2),B3386&lt;'112'!$N$8,$L3386='112'!$I$6)),"x",""))</f>
        <v/>
      </c>
      <c r="T3386" s="525" t="str">
        <f>IF(ISERROR(FIND('112'!$M$9,G3386,1)),"",IF((AND(RIGHT(G3386,2)=RIGHT('112'!$M$9,2),B3386&lt;'112'!$N$8,$M3386='112'!$I$6)),"x",""))</f>
        <v/>
      </c>
      <c r="U3386" s="525" t="str">
        <f>IF(AND(B3386&gt;='IN-NX'!$P$3,B3386&lt;='IN-NX'!$Q$3,'IN-NX'!$D$7=D3386,OR(LEFT(L3386,2)="15",AND(LEFT(M3386,2)&lt;&gt;"15",LEFT(M3386,2)&lt;&gt;"33"))),"x","")</f>
        <v/>
      </c>
      <c r="V3386" s="525" t="str">
        <f>IF(AND(OR(LEFT(TH!L3386,2)="15",LEFT(TH!M3386,2)="15"),'152-CT'!$J$8=TH!F3386),"x","")</f>
        <v/>
      </c>
      <c r="W3386" s="525" t="str">
        <f>IF(AND(OR(LEFT(TH!L3386,2)="15",LEFT(TH!M3386,2)="15"),TK!$E$7=TH!F3386),"x","")</f>
        <v/>
      </c>
      <c r="X3386" s="525" t="str">
        <f>IF(AND('341-CT'!$E$9=H3386,OR(LEFT(L3386,3)=$X$7,LEFT(M3386,3)=$X$7)),"x","")</f>
        <v/>
      </c>
      <c r="Y3386" s="525" t="str">
        <f>IF(OR(TH!L3386=TH!$Y$7,M3386=TH!$Y$7),"x","")</f>
        <v/>
      </c>
      <c r="Z3386" s="525" t="str">
        <f>IF(AND(B3386&lt;=NKC!$N$8,B3386&gt;=NKC!$M$8),"x","")</f>
        <v/>
      </c>
      <c r="AA3386" s="687"/>
      <c r="AB3386" s="688"/>
      <c r="AC3386" s="503"/>
    </row>
    <row r="3387" spans="1:30" s="689" customFormat="1" ht="15.75" customHeight="1">
      <c r="A3387" s="517" t="str">
        <f>IF(B3387&lt;&gt;"",IF(AND(B3387&gt;=_TM1,B3387&lt;=_TM2,OR(TH!L3387="1111",TH!M3387="1111")),TH!D3387,""),"")</f>
        <v/>
      </c>
      <c r="B3387" s="685">
        <f t="shared" si="329"/>
        <v>6</v>
      </c>
      <c r="C3387" s="671">
        <f t="shared" si="333"/>
        <v>42889</v>
      </c>
      <c r="D3387" s="671" t="s">
        <v>996</v>
      </c>
      <c r="E3387" s="679">
        <v>42889</v>
      </c>
      <c r="F3387" s="673" t="s">
        <v>1032</v>
      </c>
      <c r="G3387" s="686" t="s">
        <v>1187</v>
      </c>
      <c r="H3387" s="675" t="s">
        <v>1184</v>
      </c>
      <c r="I3387" s="676">
        <v>65</v>
      </c>
      <c r="J3387" s="676">
        <v>11266.046153846153</v>
      </c>
      <c r="K3387" s="677">
        <f t="shared" si="334"/>
        <v>732293</v>
      </c>
      <c r="L3387" s="678" t="s">
        <v>292</v>
      </c>
      <c r="M3387" s="678" t="s">
        <v>158</v>
      </c>
      <c r="N3387" s="525" t="str">
        <f>IF(AND('331-CT'!$E$7=TH!H3387,OR(L3387="331",M3387="331")),"331",IF(AND(OR(L3387="131",M3387="131"),H3387='131-CT'!$E$7),"131",""))</f>
        <v/>
      </c>
      <c r="O3387" s="525" t="str">
        <f>IF(AND($B3387&gt;='111'!$N$11,$B3387&lt;='111'!$O$11,OR($L3387=$O$7,$M3387=$O$7)),"x","")</f>
        <v/>
      </c>
      <c r="P3387" s="525" t="str">
        <f>IF(AND($L3387=$O$7,$B3387&lt;'111'!$N$11),"x","")</f>
        <v/>
      </c>
      <c r="Q3387" s="525" t="str">
        <f>IF(AND($M3387=$O$7,$B3387&lt;'111'!$N$11),"x","")</f>
        <v/>
      </c>
      <c r="R3387" s="525" t="str">
        <f>IF(ISERROR(FIND('112'!$M$9,G3387,1)),"",IF((AND(FIND('112'!$M$9,G3387,1)&gt;=1,$B3387&gt;='112'!$N$8,$B3387&lt;='112'!$O$8,OR($L3387='112'!$I$6,$M3387='112'!$I$6))),"x",""))</f>
        <v/>
      </c>
      <c r="S3387" s="525" t="str">
        <f>IF(ISERROR(FIND('112'!$M$9,G3387,1)),"",IF((AND(LEFT(G3387,2)=LEFT('112'!$M$9,2),B3387&lt;'112'!$N$8,$L3387='112'!$I$6)),"x",""))</f>
        <v/>
      </c>
      <c r="T3387" s="525" t="str">
        <f>IF(ISERROR(FIND('112'!$M$9,G3387,1)),"",IF((AND(RIGHT(G3387,2)=RIGHT('112'!$M$9,2),B3387&lt;'112'!$N$8,$M3387='112'!$I$6)),"x",""))</f>
        <v/>
      </c>
      <c r="U3387" s="525" t="str">
        <f>IF(AND(B3387&gt;='IN-NX'!$P$3,B3387&lt;='IN-NX'!$Q$3,'IN-NX'!$D$7=D3387,OR(LEFT(L3387,2)="15",AND(LEFT(M3387,2)&lt;&gt;"15",LEFT(M3387,2)&lt;&gt;"33"))),"x","")</f>
        <v/>
      </c>
      <c r="V3387" s="525" t="str">
        <f>IF(AND(OR(LEFT(TH!L3387,2)="15",LEFT(TH!M3387,2)="15"),'152-CT'!$J$8=TH!F3387),"x","")</f>
        <v/>
      </c>
      <c r="W3387" s="525" t="str">
        <f>IF(AND(OR(LEFT(TH!L3387,2)="15",LEFT(TH!M3387,2)="15"),TK!$E$7=TH!F3387),"x","")</f>
        <v/>
      </c>
      <c r="X3387" s="525" t="str">
        <f>IF(AND('341-CT'!$E$9=H3387,OR(LEFT(L3387,3)=$X$7,LEFT(M3387,3)=$X$7)),"x","")</f>
        <v/>
      </c>
      <c r="Y3387" s="525" t="str">
        <f>IF(OR(TH!L3387=TH!$Y$7,M3387=TH!$Y$7),"x","")</f>
        <v/>
      </c>
      <c r="Z3387" s="525" t="str">
        <f>IF(AND(B3387&lt;=NKC!$N$8,B3387&gt;=NKC!$M$8),"x","")</f>
        <v/>
      </c>
      <c r="AA3387" s="687"/>
      <c r="AB3387" s="688"/>
      <c r="AC3387" s="503"/>
    </row>
    <row r="3388" spans="1:30" s="689" customFormat="1" ht="15.75" customHeight="1">
      <c r="A3388" s="517" t="str">
        <f>IF(B3388&lt;&gt;"",IF(AND(B3388&gt;=_TM1,B3388&lt;=_TM2,OR(TH!L3388="1111",TH!M3388="1111")),TH!D3388,""),"")</f>
        <v/>
      </c>
      <c r="B3388" s="685">
        <f t="shared" si="329"/>
        <v>6</v>
      </c>
      <c r="C3388" s="671">
        <f t="shared" si="333"/>
        <v>42889</v>
      </c>
      <c r="D3388" s="671" t="s">
        <v>996</v>
      </c>
      <c r="E3388" s="679">
        <v>42889</v>
      </c>
      <c r="F3388" s="722" t="s">
        <v>1032</v>
      </c>
      <c r="G3388" s="674" t="s">
        <v>1187</v>
      </c>
      <c r="H3388" s="675" t="s">
        <v>1184</v>
      </c>
      <c r="I3388" s="676">
        <v>325</v>
      </c>
      <c r="J3388" s="676">
        <v>11614.621538461539</v>
      </c>
      <c r="K3388" s="677">
        <f t="shared" si="334"/>
        <v>3774752</v>
      </c>
      <c r="L3388" s="678" t="s">
        <v>292</v>
      </c>
      <c r="M3388" s="678" t="s">
        <v>158</v>
      </c>
      <c r="N3388" s="525" t="str">
        <f>IF(AND('331-CT'!$E$7=TH!H3388,OR(L3388="331",M3388="331")),"331",IF(AND(OR(L3388="131",M3388="131"),H3388='131-CT'!$E$7),"131",""))</f>
        <v/>
      </c>
      <c r="O3388" s="525" t="str">
        <f>IF(AND($B3388&gt;='111'!$N$11,$B3388&lt;='111'!$O$11,OR($L3388=$O$7,$M3388=$O$7)),"x","")</f>
        <v/>
      </c>
      <c r="P3388" s="525" t="str">
        <f>IF(AND($L3388=$O$7,$B3388&lt;'111'!$N$11),"x","")</f>
        <v/>
      </c>
      <c r="Q3388" s="525" t="str">
        <f>IF(AND($M3388=$O$7,$B3388&lt;'111'!$N$11),"x","")</f>
        <v/>
      </c>
      <c r="R3388" s="525" t="str">
        <f>IF(ISERROR(FIND('112'!$M$9,G3388,1)),"",IF((AND(FIND('112'!$M$9,G3388,1)&gt;=1,$B3388&gt;='112'!$N$8,$B3388&lt;='112'!$O$8,OR($L3388='112'!$I$6,$M3388='112'!$I$6))),"x",""))</f>
        <v/>
      </c>
      <c r="S3388" s="525" t="str">
        <f>IF(ISERROR(FIND('112'!$M$9,G3388,1)),"",IF((AND(LEFT(G3388,2)=LEFT('112'!$M$9,2),B3388&lt;'112'!$N$8,$L3388='112'!$I$6)),"x",""))</f>
        <v/>
      </c>
      <c r="T3388" s="525" t="str">
        <f>IF(ISERROR(FIND('112'!$M$9,G3388,1)),"",IF((AND(RIGHT(G3388,2)=RIGHT('112'!$M$9,2),B3388&lt;'112'!$N$8,$M3388='112'!$I$6)),"x",""))</f>
        <v/>
      </c>
      <c r="U3388" s="525" t="str">
        <f>IF(AND(B3388&gt;='IN-NX'!$P$3,B3388&lt;='IN-NX'!$Q$3,'IN-NX'!$D$7=D3388,OR(LEFT(L3388,2)="15",AND(LEFT(M3388,2)&lt;&gt;"15",LEFT(M3388,2)&lt;&gt;"33"))),"x","")</f>
        <v/>
      </c>
      <c r="V3388" s="525" t="str">
        <f>IF(AND(OR(LEFT(TH!L3388,2)="15",LEFT(TH!M3388,2)="15"),'152-CT'!$J$8=TH!F3388),"x","")</f>
        <v/>
      </c>
      <c r="W3388" s="525" t="str">
        <f>IF(AND(OR(LEFT(TH!L3388,2)="15",LEFT(TH!M3388,2)="15"),TK!$E$7=TH!F3388),"x","")</f>
        <v/>
      </c>
      <c r="X3388" s="525" t="str">
        <f>IF(AND('341-CT'!$E$9=H3388,OR(LEFT(L3388,3)=$X$7,LEFT(M3388,3)=$X$7)),"x","")</f>
        <v/>
      </c>
      <c r="Y3388" s="525" t="str">
        <f>IF(OR(TH!L3388=TH!$Y$7,M3388=TH!$Y$7),"x","")</f>
        <v/>
      </c>
      <c r="Z3388" s="525" t="str">
        <f>IF(AND(B3388&lt;=NKC!$N$8,B3388&gt;=NKC!$M$8),"x","")</f>
        <v/>
      </c>
      <c r="AA3388" s="687"/>
      <c r="AB3388" s="688"/>
      <c r="AC3388" s="503"/>
      <c r="AD3388" s="688"/>
    </row>
    <row r="3389" spans="1:30" s="689" customFormat="1" ht="15.75" customHeight="1">
      <c r="A3389" s="517" t="str">
        <f>IF(B3389&lt;&gt;"",IF(AND(B3389&gt;=_TM1,B3389&lt;=_TM2,OR(TH!L3389="1111",TH!M3389="1111")),TH!D3389,""),"")</f>
        <v/>
      </c>
      <c r="B3389" s="685">
        <f t="shared" si="329"/>
        <v>6</v>
      </c>
      <c r="C3389" s="671">
        <f t="shared" si="333"/>
        <v>42889</v>
      </c>
      <c r="D3389" s="671" t="s">
        <v>996</v>
      </c>
      <c r="E3389" s="679">
        <v>42889</v>
      </c>
      <c r="F3389" s="719" t="s">
        <v>1032</v>
      </c>
      <c r="G3389" s="674" t="s">
        <v>1187</v>
      </c>
      <c r="H3389" s="675" t="s">
        <v>1184</v>
      </c>
      <c r="I3389" s="676">
        <v>345</v>
      </c>
      <c r="J3389" s="676">
        <v>11616.426086956522</v>
      </c>
      <c r="K3389" s="677">
        <f t="shared" si="334"/>
        <v>4007667</v>
      </c>
      <c r="L3389" s="678" t="s">
        <v>292</v>
      </c>
      <c r="M3389" s="678" t="s">
        <v>158</v>
      </c>
      <c r="N3389" s="525" t="str">
        <f>IF(AND('331-CT'!$E$7=TH!H3389,OR(L3389="331",M3389="331")),"331",IF(AND(OR(L3389="131",M3389="131"),H3389='131-CT'!$E$7),"131",""))</f>
        <v/>
      </c>
      <c r="O3389" s="525" t="str">
        <f>IF(AND($B3389&gt;='111'!$N$11,$B3389&lt;='111'!$O$11,OR($L3389=$O$7,$M3389=$O$7)),"x","")</f>
        <v/>
      </c>
      <c r="P3389" s="525" t="str">
        <f>IF(AND($L3389=$O$7,$B3389&lt;'111'!$N$11),"x","")</f>
        <v/>
      </c>
      <c r="Q3389" s="525" t="str">
        <f>IF(AND($M3389=$O$7,$B3389&lt;'111'!$N$11),"x","")</f>
        <v/>
      </c>
      <c r="R3389" s="525" t="str">
        <f>IF(ISERROR(FIND('112'!$M$9,G3389,1)),"",IF((AND(FIND('112'!$M$9,G3389,1)&gt;=1,$B3389&gt;='112'!$N$8,$B3389&lt;='112'!$O$8,OR($L3389='112'!$I$6,$M3389='112'!$I$6))),"x",""))</f>
        <v/>
      </c>
      <c r="S3389" s="525" t="str">
        <f>IF(ISERROR(FIND('112'!$M$9,G3389,1)),"",IF((AND(LEFT(G3389,2)=LEFT('112'!$M$9,2),B3389&lt;'112'!$N$8,$L3389='112'!$I$6)),"x",""))</f>
        <v/>
      </c>
      <c r="T3389" s="525" t="str">
        <f>IF(ISERROR(FIND('112'!$M$9,G3389,1)),"",IF((AND(RIGHT(G3389,2)=RIGHT('112'!$M$9,2),B3389&lt;'112'!$N$8,$M3389='112'!$I$6)),"x",""))</f>
        <v/>
      </c>
      <c r="U3389" s="525" t="str">
        <f>IF(AND(B3389&gt;='IN-NX'!$P$3,B3389&lt;='IN-NX'!$Q$3,'IN-NX'!$D$7=D3389,OR(LEFT(L3389,2)="15",AND(LEFT(M3389,2)&lt;&gt;"15",LEFT(M3389,2)&lt;&gt;"33"))),"x","")</f>
        <v/>
      </c>
      <c r="V3389" s="525" t="str">
        <f>IF(AND(OR(LEFT(TH!L3389,2)="15",LEFT(TH!M3389,2)="15"),'152-CT'!$J$8=TH!F3389),"x","")</f>
        <v/>
      </c>
      <c r="W3389" s="525" t="str">
        <f>IF(AND(OR(LEFT(TH!L3389,2)="15",LEFT(TH!M3389,2)="15"),TK!$E$7=TH!F3389),"x","")</f>
        <v/>
      </c>
      <c r="X3389" s="525" t="str">
        <f>IF(AND('341-CT'!$E$9=H3389,OR(LEFT(L3389,3)=$X$7,LEFT(M3389,3)=$X$7)),"x","")</f>
        <v/>
      </c>
      <c r="Y3389" s="525" t="str">
        <f>IF(OR(TH!L3389=TH!$Y$7,M3389=TH!$Y$7),"x","")</f>
        <v/>
      </c>
      <c r="Z3389" s="525" t="str">
        <f>IF(AND(B3389&lt;=NKC!$N$8,B3389&gt;=NKC!$M$8),"x","")</f>
        <v/>
      </c>
      <c r="AA3389" s="687"/>
      <c r="AB3389" s="688"/>
      <c r="AC3389" s="503"/>
      <c r="AD3389" s="688"/>
    </row>
    <row r="3390" spans="1:30" s="689" customFormat="1" ht="15.75" customHeight="1">
      <c r="A3390" s="517" t="str">
        <f>IF(B3390&lt;&gt;"",IF(AND(B3390&gt;=_TM1,B3390&lt;=_TM2,OR(TH!L3390="1111",TH!M3390="1111")),TH!D3390,""),"")</f>
        <v/>
      </c>
      <c r="B3390" s="685">
        <f t="shared" ref="B3390:B3393" si="335">IF(C3390&lt;&gt;"",MONTH(C3390),"")</f>
        <v>6</v>
      </c>
      <c r="C3390" s="671">
        <f t="shared" ref="C3390:C3393" si="336">E3390</f>
        <v>42889</v>
      </c>
      <c r="D3390" s="671" t="s">
        <v>996</v>
      </c>
      <c r="E3390" s="671">
        <v>42889</v>
      </c>
      <c r="F3390" s="673" t="s">
        <v>1032</v>
      </c>
      <c r="G3390" s="686" t="s">
        <v>1187</v>
      </c>
      <c r="H3390" s="675" t="s">
        <v>1184</v>
      </c>
      <c r="I3390" s="676">
        <v>42</v>
      </c>
      <c r="J3390" s="676">
        <v>11712.071428571429</v>
      </c>
      <c r="K3390" s="677">
        <f t="shared" ref="K3390:K3393" si="337">ROUND(I3390*J3390,0)</f>
        <v>491907</v>
      </c>
      <c r="L3390" s="678" t="s">
        <v>292</v>
      </c>
      <c r="M3390" s="678" t="s">
        <v>158</v>
      </c>
      <c r="N3390" s="525" t="str">
        <f>IF(AND('331-CT'!$E$7=TH!H3390,OR(L3390="331",M3390="331")),"331",IF(AND(OR(L3390="131",M3390="131"),H3390='131-CT'!$E$7),"131",""))</f>
        <v/>
      </c>
      <c r="O3390" s="525" t="str">
        <f>IF(AND($B3390&gt;='111'!$N$11,$B3390&lt;='111'!$O$11,OR($L3390=$O$7,$M3390=$O$7)),"x","")</f>
        <v/>
      </c>
      <c r="P3390" s="525" t="str">
        <f>IF(AND($L3390=$O$7,$B3390&lt;'111'!$N$11),"x","")</f>
        <v/>
      </c>
      <c r="Q3390" s="525" t="str">
        <f>IF(AND($M3390=$O$7,$B3390&lt;'111'!$N$11),"x","")</f>
        <v/>
      </c>
      <c r="R3390" s="525" t="str">
        <f>IF(ISERROR(FIND('112'!$M$9,G3390,1)),"",IF((AND(FIND('112'!$M$9,G3390,1)&gt;=1,$B3390&gt;='112'!$N$8,$B3390&lt;='112'!$O$8,OR($L3390='112'!$I$6,$M3390='112'!$I$6))),"x",""))</f>
        <v/>
      </c>
      <c r="S3390" s="525" t="str">
        <f>IF(ISERROR(FIND('112'!$M$9,G3390,1)),"",IF((AND(LEFT(G3390,2)=LEFT('112'!$M$9,2),B3390&lt;'112'!$N$8,$L3390='112'!$I$6)),"x",""))</f>
        <v/>
      </c>
      <c r="T3390" s="525" t="str">
        <f>IF(ISERROR(FIND('112'!$M$9,G3390,1)),"",IF((AND(RIGHT(G3390,2)=RIGHT('112'!$M$9,2),B3390&lt;'112'!$N$8,$M3390='112'!$I$6)),"x",""))</f>
        <v/>
      </c>
      <c r="U3390" s="525" t="str">
        <f>IF(AND(B3390&gt;='IN-NX'!$P$3,B3390&lt;='IN-NX'!$Q$3,'IN-NX'!$D$7=D3390,OR(LEFT(L3390,2)="15",AND(LEFT(M3390,2)&lt;&gt;"15",LEFT(M3390,2)&lt;&gt;"33"))),"x","")</f>
        <v/>
      </c>
      <c r="V3390" s="525" t="str">
        <f>IF(AND(OR(LEFT(TH!L3390,2)="15",LEFT(TH!M3390,2)="15"),'152-CT'!$J$8=TH!F3390),"x","")</f>
        <v/>
      </c>
      <c r="W3390" s="525" t="str">
        <f>IF(AND(OR(LEFT(TH!L3390,2)="15",LEFT(TH!M3390,2)="15"),TK!$E$7=TH!F3390),"x","")</f>
        <v/>
      </c>
      <c r="X3390" s="525" t="str">
        <f>IF(AND('341-CT'!$E$9=H3390,OR(LEFT(L3390,3)=$X$7,LEFT(M3390,3)=$X$7)),"x","")</f>
        <v/>
      </c>
      <c r="Y3390" s="525" t="str">
        <f>IF(OR(TH!L3390=TH!$Y$7,M3390=TH!$Y$7),"x","")</f>
        <v/>
      </c>
      <c r="Z3390" s="525" t="str">
        <f>IF(AND(B3390&lt;=NKC!$N$8,B3390&gt;=NKC!$M$8),"x","")</f>
        <v/>
      </c>
      <c r="AA3390" s="687"/>
      <c r="AB3390" s="688"/>
      <c r="AC3390" s="503"/>
    </row>
    <row r="3391" spans="1:30" s="689" customFormat="1" ht="15.75" customHeight="1">
      <c r="A3391" s="517" t="str">
        <f>IF(B3391&lt;&gt;"",IF(AND(B3391&gt;=_TM1,B3391&lt;=_TM2,OR(TH!L3391="1111",TH!M3391="1111")),TH!D3391,""),"")</f>
        <v/>
      </c>
      <c r="B3391" s="685">
        <f t="shared" si="335"/>
        <v>6</v>
      </c>
      <c r="C3391" s="671">
        <f t="shared" si="336"/>
        <v>42889</v>
      </c>
      <c r="D3391" s="671" t="s">
        <v>996</v>
      </c>
      <c r="E3391" s="671">
        <v>42889</v>
      </c>
      <c r="F3391" s="673" t="s">
        <v>1032</v>
      </c>
      <c r="G3391" s="686" t="s">
        <v>1187</v>
      </c>
      <c r="H3391" s="675" t="s">
        <v>1184</v>
      </c>
      <c r="I3391" s="676">
        <v>200</v>
      </c>
      <c r="J3391" s="676">
        <v>11788.924999999999</v>
      </c>
      <c r="K3391" s="677">
        <f t="shared" si="337"/>
        <v>2357785</v>
      </c>
      <c r="L3391" s="678" t="s">
        <v>292</v>
      </c>
      <c r="M3391" s="678" t="s">
        <v>158</v>
      </c>
      <c r="N3391" s="525" t="str">
        <f>IF(AND('331-CT'!$E$7=TH!H3391,OR(L3391="331",M3391="331")),"331",IF(AND(OR(L3391="131",M3391="131"),H3391='131-CT'!$E$7),"131",""))</f>
        <v/>
      </c>
      <c r="O3391" s="525" t="str">
        <f>IF(AND($B3391&gt;='111'!$N$11,$B3391&lt;='111'!$O$11,OR($L3391=$O$7,$M3391=$O$7)),"x","")</f>
        <v/>
      </c>
      <c r="P3391" s="525" t="str">
        <f>IF(AND($L3391=$O$7,$B3391&lt;'111'!$N$11),"x","")</f>
        <v/>
      </c>
      <c r="Q3391" s="525" t="str">
        <f>IF(AND($M3391=$O$7,$B3391&lt;'111'!$N$11),"x","")</f>
        <v/>
      </c>
      <c r="R3391" s="525" t="str">
        <f>IF(ISERROR(FIND('112'!$M$9,G3391,1)),"",IF((AND(FIND('112'!$M$9,G3391,1)&gt;=1,$B3391&gt;='112'!$N$8,$B3391&lt;='112'!$O$8,OR($L3391='112'!$I$6,$M3391='112'!$I$6))),"x",""))</f>
        <v/>
      </c>
      <c r="S3391" s="525" t="str">
        <f>IF(ISERROR(FIND('112'!$M$9,G3391,1)),"",IF((AND(LEFT(G3391,2)=LEFT('112'!$M$9,2),B3391&lt;'112'!$N$8,$L3391='112'!$I$6)),"x",""))</f>
        <v/>
      </c>
      <c r="T3391" s="525" t="str">
        <f>IF(ISERROR(FIND('112'!$M$9,G3391,1)),"",IF((AND(RIGHT(G3391,2)=RIGHT('112'!$M$9,2),B3391&lt;'112'!$N$8,$M3391='112'!$I$6)),"x",""))</f>
        <v/>
      </c>
      <c r="U3391" s="525" t="str">
        <f>IF(AND(B3391&gt;='IN-NX'!$P$3,B3391&lt;='IN-NX'!$Q$3,'IN-NX'!$D$7=D3391,OR(LEFT(L3391,2)="15",AND(LEFT(M3391,2)&lt;&gt;"15",LEFT(M3391,2)&lt;&gt;"33"))),"x","")</f>
        <v/>
      </c>
      <c r="V3391" s="525" t="str">
        <f>IF(AND(OR(LEFT(TH!L3391,2)="15",LEFT(TH!M3391,2)="15"),'152-CT'!$J$8=TH!F3391),"x","")</f>
        <v/>
      </c>
      <c r="W3391" s="525" t="str">
        <f>IF(AND(OR(LEFT(TH!L3391,2)="15",LEFT(TH!M3391,2)="15"),TK!$E$7=TH!F3391),"x","")</f>
        <v/>
      </c>
      <c r="X3391" s="525" t="str">
        <f>IF(AND('341-CT'!$E$9=H3391,OR(LEFT(L3391,3)=$X$7,LEFT(M3391,3)=$X$7)),"x","")</f>
        <v/>
      </c>
      <c r="Y3391" s="525" t="str">
        <f>IF(OR(TH!L3391=TH!$Y$7,M3391=TH!$Y$7),"x","")</f>
        <v/>
      </c>
      <c r="Z3391" s="525" t="str">
        <f>IF(AND(B3391&lt;=NKC!$N$8,B3391&gt;=NKC!$M$8),"x","")</f>
        <v/>
      </c>
      <c r="AA3391" s="687"/>
      <c r="AB3391" s="688"/>
      <c r="AC3391" s="503"/>
    </row>
    <row r="3392" spans="1:30" s="689" customFormat="1" ht="15.75" customHeight="1">
      <c r="A3392" s="517" t="str">
        <f>IF(B3392&lt;&gt;"",IF(AND(B3392&gt;=_TM1,B3392&lt;=_TM2,OR(TH!L3392="1111",TH!M3392="1111")),TH!D3392,""),"")</f>
        <v/>
      </c>
      <c r="B3392" s="685">
        <f t="shared" si="335"/>
        <v>6</v>
      </c>
      <c r="C3392" s="671">
        <f t="shared" si="336"/>
        <v>42898</v>
      </c>
      <c r="D3392" s="671" t="s">
        <v>996</v>
      </c>
      <c r="E3392" s="671">
        <v>42898</v>
      </c>
      <c r="F3392" s="673" t="s">
        <v>1255</v>
      </c>
      <c r="G3392" s="686" t="s">
        <v>1254</v>
      </c>
      <c r="H3392" s="675" t="s">
        <v>1184</v>
      </c>
      <c r="I3392" s="676">
        <v>185</v>
      </c>
      <c r="J3392" s="676">
        <v>5773.372972972973</v>
      </c>
      <c r="K3392" s="677">
        <f t="shared" si="337"/>
        <v>1068074</v>
      </c>
      <c r="L3392" s="678" t="s">
        <v>292</v>
      </c>
      <c r="M3392" s="678" t="s">
        <v>158</v>
      </c>
      <c r="N3392" s="525" t="str">
        <f>IF(AND('331-CT'!$E$7=TH!H3392,OR(L3392="331",M3392="331")),"331",IF(AND(OR(L3392="131",M3392="131"),H3392='131-CT'!$E$7),"131",""))</f>
        <v/>
      </c>
      <c r="O3392" s="525" t="str">
        <f>IF(AND($B3392&gt;='111'!$N$11,$B3392&lt;='111'!$O$11,OR($L3392=$O$7,$M3392=$O$7)),"x","")</f>
        <v/>
      </c>
      <c r="P3392" s="525" t="str">
        <f>IF(AND($L3392=$O$7,$B3392&lt;'111'!$N$11),"x","")</f>
        <v/>
      </c>
      <c r="Q3392" s="525" t="str">
        <f>IF(AND($M3392=$O$7,$B3392&lt;'111'!$N$11),"x","")</f>
        <v/>
      </c>
      <c r="R3392" s="525" t="str">
        <f>IF(ISERROR(FIND('112'!$M$9,G3392,1)),"",IF((AND(FIND('112'!$M$9,G3392,1)&gt;=1,$B3392&gt;='112'!$N$8,$B3392&lt;='112'!$O$8,OR($L3392='112'!$I$6,$M3392='112'!$I$6))),"x",""))</f>
        <v/>
      </c>
      <c r="S3392" s="525" t="str">
        <f>IF(ISERROR(FIND('112'!$M$9,G3392,1)),"",IF((AND(LEFT(G3392,2)=LEFT('112'!$M$9,2),B3392&lt;'112'!$N$8,$L3392='112'!$I$6)),"x",""))</f>
        <v/>
      </c>
      <c r="T3392" s="525" t="str">
        <f>IF(ISERROR(FIND('112'!$M$9,G3392,1)),"",IF((AND(RIGHT(G3392,2)=RIGHT('112'!$M$9,2),B3392&lt;'112'!$N$8,$M3392='112'!$I$6)),"x",""))</f>
        <v/>
      </c>
      <c r="U3392" s="525" t="str">
        <f>IF(AND(B3392&gt;='IN-NX'!$P$3,B3392&lt;='IN-NX'!$Q$3,'IN-NX'!$D$7=D3392,OR(LEFT(L3392,2)="15",AND(LEFT(M3392,2)&lt;&gt;"15",LEFT(M3392,2)&lt;&gt;"33"))),"x","")</f>
        <v/>
      </c>
      <c r="V3392" s="525" t="str">
        <f>IF(AND(OR(LEFT(TH!L3392,2)="15",LEFT(TH!M3392,2)="15"),'152-CT'!$J$8=TH!F3392),"x","")</f>
        <v/>
      </c>
      <c r="W3392" s="525" t="str">
        <f>IF(AND(OR(LEFT(TH!L3392,2)="15",LEFT(TH!M3392,2)="15"),TK!$E$7=TH!F3392),"x","")</f>
        <v/>
      </c>
      <c r="X3392" s="525" t="str">
        <f>IF(AND('341-CT'!$E$9=H3392,OR(LEFT(L3392,3)=$X$7,LEFT(M3392,3)=$X$7)),"x","")</f>
        <v/>
      </c>
      <c r="Y3392" s="525" t="str">
        <f>IF(OR(TH!L3392=TH!$Y$7,M3392=TH!$Y$7),"x","")</f>
        <v/>
      </c>
      <c r="Z3392" s="525" t="str">
        <f>IF(AND(B3392&lt;=NKC!$N$8,B3392&gt;=NKC!$M$8),"x","")</f>
        <v/>
      </c>
      <c r="AA3392" s="687"/>
      <c r="AB3392" s="688"/>
      <c r="AC3392" s="503"/>
      <c r="AD3392" s="688"/>
    </row>
    <row r="3393" spans="1:30" s="689" customFormat="1" ht="15.75" customHeight="1">
      <c r="A3393" s="517" t="str">
        <f>IF(B3393&lt;&gt;"",IF(AND(B3393&gt;=_TM1,B3393&lt;=_TM2,OR(TH!L3393="1111",TH!M3393="1111")),TH!D3393,""),"")</f>
        <v/>
      </c>
      <c r="B3393" s="685">
        <f t="shared" si="335"/>
        <v>6</v>
      </c>
      <c r="C3393" s="671">
        <f t="shared" si="336"/>
        <v>42898</v>
      </c>
      <c r="D3393" s="671" t="s">
        <v>996</v>
      </c>
      <c r="E3393" s="671">
        <v>42898</v>
      </c>
      <c r="F3393" s="719" t="s">
        <v>503</v>
      </c>
      <c r="G3393" s="686" t="s">
        <v>1254</v>
      </c>
      <c r="H3393" s="675" t="s">
        <v>1184</v>
      </c>
      <c r="I3393" s="676">
        <v>700</v>
      </c>
      <c r="J3393" s="676">
        <v>5868.2114285714288</v>
      </c>
      <c r="K3393" s="677">
        <f t="shared" si="337"/>
        <v>4107748</v>
      </c>
      <c r="L3393" s="678" t="s">
        <v>292</v>
      </c>
      <c r="M3393" s="678" t="s">
        <v>158</v>
      </c>
      <c r="N3393" s="525" t="str">
        <f>IF(AND('331-CT'!$E$7=TH!H3393,OR(L3393="331",M3393="331")),"331",IF(AND(OR(L3393="131",M3393="131"),H3393='131-CT'!$E$7),"131",""))</f>
        <v/>
      </c>
      <c r="O3393" s="525" t="str">
        <f>IF(AND($B3393&gt;='111'!$N$11,$B3393&lt;='111'!$O$11,OR($L3393=$O$7,$M3393=$O$7)),"x","")</f>
        <v/>
      </c>
      <c r="P3393" s="525" t="str">
        <f>IF(AND($L3393=$O$7,$B3393&lt;'111'!$N$11),"x","")</f>
        <v/>
      </c>
      <c r="Q3393" s="525" t="str">
        <f>IF(AND($M3393=$O$7,$B3393&lt;'111'!$N$11),"x","")</f>
        <v/>
      </c>
      <c r="R3393" s="525" t="str">
        <f>IF(ISERROR(FIND('112'!$M$9,G3393,1)),"",IF((AND(FIND('112'!$M$9,G3393,1)&gt;=1,$B3393&gt;='112'!$N$8,$B3393&lt;='112'!$O$8,OR($L3393='112'!$I$6,$M3393='112'!$I$6))),"x",""))</f>
        <v/>
      </c>
      <c r="S3393" s="525" t="str">
        <f>IF(ISERROR(FIND('112'!$M$9,G3393,1)),"",IF((AND(LEFT(G3393,2)=LEFT('112'!$M$9,2),B3393&lt;'112'!$N$8,$L3393='112'!$I$6)),"x",""))</f>
        <v/>
      </c>
      <c r="T3393" s="525" t="str">
        <f>IF(ISERROR(FIND('112'!$M$9,G3393,1)),"",IF((AND(RIGHT(G3393,2)=RIGHT('112'!$M$9,2),B3393&lt;'112'!$N$8,$M3393='112'!$I$6)),"x",""))</f>
        <v/>
      </c>
      <c r="U3393" s="525" t="str">
        <f>IF(AND(B3393&gt;='IN-NX'!$P$3,B3393&lt;='IN-NX'!$Q$3,'IN-NX'!$D$7=D3393,OR(LEFT(L3393,2)="15",AND(LEFT(M3393,2)&lt;&gt;"15",LEFT(M3393,2)&lt;&gt;"33"))),"x","")</f>
        <v/>
      </c>
      <c r="V3393" s="525" t="str">
        <f>IF(AND(OR(LEFT(TH!L3393,2)="15",LEFT(TH!M3393,2)="15"),'152-CT'!$J$8=TH!F3393),"x","")</f>
        <v/>
      </c>
      <c r="W3393" s="525" t="str">
        <f>IF(AND(OR(LEFT(TH!L3393,2)="15",LEFT(TH!M3393,2)="15"),TK!$E$7=TH!F3393),"x","")</f>
        <v/>
      </c>
      <c r="X3393" s="525" t="str">
        <f>IF(AND('341-CT'!$E$9=H3393,OR(LEFT(L3393,3)=$X$7,LEFT(M3393,3)=$X$7)),"x","")</f>
        <v/>
      </c>
      <c r="Y3393" s="525" t="str">
        <f>IF(OR(TH!L3393=TH!$Y$7,M3393=TH!$Y$7),"x","")</f>
        <v/>
      </c>
      <c r="Z3393" s="525" t="str">
        <f>IF(AND(B3393&lt;=NKC!$N$8,B3393&gt;=NKC!$M$8),"x","")</f>
        <v/>
      </c>
      <c r="AA3393" s="687"/>
      <c r="AB3393" s="688"/>
      <c r="AC3393" s="503"/>
      <c r="AD3393" s="688"/>
    </row>
    <row r="3394" spans="1:30" s="689" customFormat="1" ht="15.75" customHeight="1">
      <c r="A3394" s="517" t="str">
        <f>IF(B3394&lt;&gt;"",IF(AND(B3394&gt;=_TM1,B3394&lt;=_TM2,OR(TH!L3394="1111",TH!M3394="1111")),TH!D3394,""),"")</f>
        <v/>
      </c>
      <c r="B3394" s="685">
        <f t="shared" si="329"/>
        <v>6</v>
      </c>
      <c r="C3394" s="671">
        <f t="shared" si="333"/>
        <v>42898</v>
      </c>
      <c r="D3394" s="671" t="s">
        <v>996</v>
      </c>
      <c r="E3394" s="671">
        <v>42898</v>
      </c>
      <c r="F3394" s="673" t="s">
        <v>503</v>
      </c>
      <c r="G3394" s="686" t="s">
        <v>1254</v>
      </c>
      <c r="H3394" s="675" t="s">
        <v>1184</v>
      </c>
      <c r="I3394" s="676">
        <v>450</v>
      </c>
      <c r="J3394" s="676">
        <v>6403.1244444444446</v>
      </c>
      <c r="K3394" s="677">
        <f t="shared" si="334"/>
        <v>2881406</v>
      </c>
      <c r="L3394" s="678" t="s">
        <v>292</v>
      </c>
      <c r="M3394" s="678" t="s">
        <v>158</v>
      </c>
      <c r="N3394" s="525" t="str">
        <f>IF(AND('331-CT'!$E$7=TH!H3394,OR(L3394="331",M3394="331")),"331",IF(AND(OR(L3394="131",M3394="131"),H3394='131-CT'!$E$7),"131",""))</f>
        <v/>
      </c>
      <c r="O3394" s="525" t="str">
        <f>IF(AND($B3394&gt;='111'!$N$11,$B3394&lt;='111'!$O$11,OR($L3394=$O$7,$M3394=$O$7)),"x","")</f>
        <v/>
      </c>
      <c r="P3394" s="525" t="str">
        <f>IF(AND($L3394=$O$7,$B3394&lt;'111'!$N$11),"x","")</f>
        <v/>
      </c>
      <c r="Q3394" s="525" t="str">
        <f>IF(AND($M3394=$O$7,$B3394&lt;'111'!$N$11),"x","")</f>
        <v/>
      </c>
      <c r="R3394" s="525" t="str">
        <f>IF(ISERROR(FIND('112'!$M$9,G3394,1)),"",IF((AND(FIND('112'!$M$9,G3394,1)&gt;=1,$B3394&gt;='112'!$N$8,$B3394&lt;='112'!$O$8,OR($L3394='112'!$I$6,$M3394='112'!$I$6))),"x",""))</f>
        <v/>
      </c>
      <c r="S3394" s="525" t="str">
        <f>IF(ISERROR(FIND('112'!$M$9,G3394,1)),"",IF((AND(LEFT(G3394,2)=LEFT('112'!$M$9,2),B3394&lt;'112'!$N$8,$L3394='112'!$I$6)),"x",""))</f>
        <v/>
      </c>
      <c r="T3394" s="525" t="str">
        <f>IF(ISERROR(FIND('112'!$M$9,G3394,1)),"",IF((AND(RIGHT(G3394,2)=RIGHT('112'!$M$9,2),B3394&lt;'112'!$N$8,$M3394='112'!$I$6)),"x",""))</f>
        <v/>
      </c>
      <c r="U3394" s="525" t="str">
        <f>IF(AND(B3394&gt;='IN-NX'!$P$3,B3394&lt;='IN-NX'!$Q$3,'IN-NX'!$D$7=D3394,OR(LEFT(L3394,2)="15",AND(LEFT(M3394,2)&lt;&gt;"15",LEFT(M3394,2)&lt;&gt;"33"))),"x","")</f>
        <v/>
      </c>
      <c r="V3394" s="525" t="str">
        <f>IF(AND(OR(LEFT(TH!L3394,2)="15",LEFT(TH!M3394,2)="15"),'152-CT'!$J$8=TH!F3394),"x","")</f>
        <v/>
      </c>
      <c r="W3394" s="525" t="str">
        <f>IF(AND(OR(LEFT(TH!L3394,2)="15",LEFT(TH!M3394,2)="15"),TK!$E$7=TH!F3394),"x","")</f>
        <v/>
      </c>
      <c r="X3394" s="525" t="str">
        <f>IF(AND('341-CT'!$E$9=H3394,OR(LEFT(L3394,3)=$X$7,LEFT(M3394,3)=$X$7)),"x","")</f>
        <v/>
      </c>
      <c r="Y3394" s="525" t="str">
        <f>IF(OR(TH!L3394=TH!$Y$7,M3394=TH!$Y$7),"x","")</f>
        <v/>
      </c>
      <c r="Z3394" s="525" t="str">
        <f>IF(AND(B3394&lt;=NKC!$N$8,B3394&gt;=NKC!$M$8),"x","")</f>
        <v/>
      </c>
      <c r="AA3394" s="687"/>
      <c r="AB3394" s="688"/>
      <c r="AC3394" s="503"/>
    </row>
    <row r="3395" spans="1:30" s="689" customFormat="1" ht="15.75" customHeight="1">
      <c r="A3395" s="517" t="str">
        <f>IF(B3395&lt;&gt;"",IF(AND(B3395&gt;=_TM1,B3395&lt;=_TM2,OR(TH!L3395="1111",TH!M3395="1111")),TH!D3395,""),"")</f>
        <v/>
      </c>
      <c r="B3395" s="685">
        <f t="shared" si="329"/>
        <v>6</v>
      </c>
      <c r="C3395" s="671">
        <f t="shared" si="333"/>
        <v>42898</v>
      </c>
      <c r="D3395" s="671" t="s">
        <v>996</v>
      </c>
      <c r="E3395" s="671">
        <v>42898</v>
      </c>
      <c r="F3395" s="673" t="s">
        <v>503</v>
      </c>
      <c r="G3395" s="686" t="s">
        <v>1254</v>
      </c>
      <c r="H3395" s="675" t="s">
        <v>1184</v>
      </c>
      <c r="I3395" s="676">
        <v>400</v>
      </c>
      <c r="J3395" s="676">
        <v>5856.9250000000002</v>
      </c>
      <c r="K3395" s="677">
        <f t="shared" si="334"/>
        <v>2342770</v>
      </c>
      <c r="L3395" s="678" t="s">
        <v>292</v>
      </c>
      <c r="M3395" s="678" t="s">
        <v>158</v>
      </c>
      <c r="N3395" s="525" t="str">
        <f>IF(AND('331-CT'!$E$7=TH!H3395,OR(L3395="331",M3395="331")),"331",IF(AND(OR(L3395="131",M3395="131"),H3395='131-CT'!$E$7),"131",""))</f>
        <v/>
      </c>
      <c r="O3395" s="525" t="str">
        <f>IF(AND($B3395&gt;='111'!$N$11,$B3395&lt;='111'!$O$11,OR($L3395=$O$7,$M3395=$O$7)),"x","")</f>
        <v/>
      </c>
      <c r="P3395" s="525" t="str">
        <f>IF(AND($L3395=$O$7,$B3395&lt;'111'!$N$11),"x","")</f>
        <v/>
      </c>
      <c r="Q3395" s="525" t="str">
        <f>IF(AND($M3395=$O$7,$B3395&lt;'111'!$N$11),"x","")</f>
        <v/>
      </c>
      <c r="R3395" s="525" t="str">
        <f>IF(ISERROR(FIND('112'!$M$9,G3395,1)),"",IF((AND(FIND('112'!$M$9,G3395,1)&gt;=1,$B3395&gt;='112'!$N$8,$B3395&lt;='112'!$O$8,OR($L3395='112'!$I$6,$M3395='112'!$I$6))),"x",""))</f>
        <v/>
      </c>
      <c r="S3395" s="525" t="str">
        <f>IF(ISERROR(FIND('112'!$M$9,G3395,1)),"",IF((AND(LEFT(G3395,2)=LEFT('112'!$M$9,2),B3395&lt;'112'!$N$8,$L3395='112'!$I$6)),"x",""))</f>
        <v/>
      </c>
      <c r="T3395" s="525" t="str">
        <f>IF(ISERROR(FIND('112'!$M$9,G3395,1)),"",IF((AND(RIGHT(G3395,2)=RIGHT('112'!$M$9,2),B3395&lt;'112'!$N$8,$M3395='112'!$I$6)),"x",""))</f>
        <v/>
      </c>
      <c r="U3395" s="525" t="str">
        <f>IF(AND(B3395&gt;='IN-NX'!$P$3,B3395&lt;='IN-NX'!$Q$3,'IN-NX'!$D$7=D3395,OR(LEFT(L3395,2)="15",AND(LEFT(M3395,2)&lt;&gt;"15",LEFT(M3395,2)&lt;&gt;"33"))),"x","")</f>
        <v/>
      </c>
      <c r="V3395" s="525" t="str">
        <f>IF(AND(OR(LEFT(TH!L3395,2)="15",LEFT(TH!M3395,2)="15"),'152-CT'!$J$8=TH!F3395),"x","")</f>
        <v/>
      </c>
      <c r="W3395" s="525" t="str">
        <f>IF(AND(OR(LEFT(TH!L3395,2)="15",LEFT(TH!M3395,2)="15"),TK!$E$7=TH!F3395),"x","")</f>
        <v/>
      </c>
      <c r="X3395" s="525" t="str">
        <f>IF(AND('341-CT'!$E$9=H3395,OR(LEFT(L3395,3)=$X$7,LEFT(M3395,3)=$X$7)),"x","")</f>
        <v/>
      </c>
      <c r="Y3395" s="525" t="str">
        <f>IF(OR(TH!L3395=TH!$Y$7,M3395=TH!$Y$7),"x","")</f>
        <v/>
      </c>
      <c r="Z3395" s="525" t="str">
        <f>IF(AND(B3395&lt;=NKC!$N$8,B3395&gt;=NKC!$M$8),"x","")</f>
        <v/>
      </c>
      <c r="AA3395" s="687"/>
      <c r="AB3395" s="688"/>
      <c r="AC3395" s="503"/>
    </row>
    <row r="3396" spans="1:30" s="689" customFormat="1" ht="15.75" customHeight="1">
      <c r="A3396" s="517" t="str">
        <f>IF(B3396&lt;&gt;"",IF(AND(B3396&gt;=_TM1,B3396&lt;=_TM2,OR(TH!L3396="1111",TH!M3396="1111")),TH!D3396,""),"")</f>
        <v/>
      </c>
      <c r="B3396" s="685">
        <f t="shared" si="329"/>
        <v>6</v>
      </c>
      <c r="C3396" s="671">
        <f t="shared" si="333"/>
        <v>42899</v>
      </c>
      <c r="D3396" s="671" t="s">
        <v>996</v>
      </c>
      <c r="E3396" s="671">
        <v>42899</v>
      </c>
      <c r="F3396" s="673" t="s">
        <v>1189</v>
      </c>
      <c r="G3396" s="686" t="s">
        <v>1190</v>
      </c>
      <c r="H3396" s="675" t="s">
        <v>1184</v>
      </c>
      <c r="I3396" s="676">
        <v>300</v>
      </c>
      <c r="J3396" s="676">
        <v>14207.393333333333</v>
      </c>
      <c r="K3396" s="677">
        <f t="shared" si="334"/>
        <v>4262218</v>
      </c>
      <c r="L3396" s="678" t="s">
        <v>292</v>
      </c>
      <c r="M3396" s="678" t="s">
        <v>158</v>
      </c>
      <c r="N3396" s="525" t="str">
        <f>IF(AND('331-CT'!$E$7=TH!H3396,OR(L3396="331",M3396="331")),"331",IF(AND(OR(L3396="131",M3396="131"),H3396='131-CT'!$E$7),"131",""))</f>
        <v/>
      </c>
      <c r="O3396" s="525" t="str">
        <f>IF(AND($B3396&gt;='111'!$N$11,$B3396&lt;='111'!$O$11,OR($L3396=$O$7,$M3396=$O$7)),"x","")</f>
        <v/>
      </c>
      <c r="P3396" s="525" t="str">
        <f>IF(AND($L3396=$O$7,$B3396&lt;'111'!$N$11),"x","")</f>
        <v/>
      </c>
      <c r="Q3396" s="525" t="str">
        <f>IF(AND($M3396=$O$7,$B3396&lt;'111'!$N$11),"x","")</f>
        <v/>
      </c>
      <c r="R3396" s="525" t="str">
        <f>IF(ISERROR(FIND('112'!$M$9,G3396,1)),"",IF((AND(FIND('112'!$M$9,G3396,1)&gt;=1,$B3396&gt;='112'!$N$8,$B3396&lt;='112'!$O$8,OR($L3396='112'!$I$6,$M3396='112'!$I$6))),"x",""))</f>
        <v/>
      </c>
      <c r="S3396" s="525" t="str">
        <f>IF(ISERROR(FIND('112'!$M$9,G3396,1)),"",IF((AND(LEFT(G3396,2)=LEFT('112'!$M$9,2),B3396&lt;'112'!$N$8,$L3396='112'!$I$6)),"x",""))</f>
        <v/>
      </c>
      <c r="T3396" s="525" t="str">
        <f>IF(ISERROR(FIND('112'!$M$9,G3396,1)),"",IF((AND(RIGHT(G3396,2)=RIGHT('112'!$M$9,2),B3396&lt;'112'!$N$8,$M3396='112'!$I$6)),"x",""))</f>
        <v/>
      </c>
      <c r="U3396" s="525" t="str">
        <f>IF(AND(B3396&gt;='IN-NX'!$P$3,B3396&lt;='IN-NX'!$Q$3,'IN-NX'!$D$7=D3396,OR(LEFT(L3396,2)="15",AND(LEFT(M3396,2)&lt;&gt;"15",LEFT(M3396,2)&lt;&gt;"33"))),"x","")</f>
        <v/>
      </c>
      <c r="V3396" s="525" t="str">
        <f>IF(AND(OR(LEFT(TH!L3396,2)="15",LEFT(TH!M3396,2)="15"),'152-CT'!$J$8=TH!F3396),"x","")</f>
        <v/>
      </c>
      <c r="W3396" s="525" t="str">
        <f>IF(AND(OR(LEFT(TH!L3396,2)="15",LEFT(TH!M3396,2)="15"),TK!$E$7=TH!F3396),"x","")</f>
        <v/>
      </c>
      <c r="X3396" s="525" t="str">
        <f>IF(AND('341-CT'!$E$9=H3396,OR(LEFT(L3396,3)=$X$7,LEFT(M3396,3)=$X$7)),"x","")</f>
        <v/>
      </c>
      <c r="Y3396" s="525" t="str">
        <f>IF(OR(TH!L3396=TH!$Y$7,M3396=TH!$Y$7),"x","")</f>
        <v/>
      </c>
      <c r="Z3396" s="525" t="str">
        <f>IF(AND(B3396&lt;=NKC!$N$8,B3396&gt;=NKC!$M$8),"x","")</f>
        <v/>
      </c>
      <c r="AA3396" s="687"/>
      <c r="AB3396" s="688"/>
      <c r="AC3396" s="503"/>
      <c r="AD3396" s="688"/>
    </row>
    <row r="3397" spans="1:30" s="689" customFormat="1" ht="15.75" customHeight="1">
      <c r="A3397" s="517" t="str">
        <f>IF(B3397&lt;&gt;"",IF(AND(B3397&gt;=_TM1,B3397&lt;=_TM2,OR(TH!L3397="1111",TH!M3397="1111")),TH!D3397,""),"")</f>
        <v/>
      </c>
      <c r="B3397" s="685">
        <f t="shared" si="329"/>
        <v>6</v>
      </c>
      <c r="C3397" s="671">
        <f t="shared" si="333"/>
        <v>42914</v>
      </c>
      <c r="D3397" s="671" t="s">
        <v>996</v>
      </c>
      <c r="E3397" s="671">
        <v>42914</v>
      </c>
      <c r="F3397" s="719" t="s">
        <v>1191</v>
      </c>
      <c r="G3397" s="686" t="s">
        <v>1192</v>
      </c>
      <c r="H3397" s="675" t="s">
        <v>1184</v>
      </c>
      <c r="I3397" s="676">
        <v>50</v>
      </c>
      <c r="J3397" s="676">
        <v>15104.72</v>
      </c>
      <c r="K3397" s="677">
        <f t="shared" si="334"/>
        <v>755236</v>
      </c>
      <c r="L3397" s="678" t="s">
        <v>292</v>
      </c>
      <c r="M3397" s="678" t="s">
        <v>158</v>
      </c>
      <c r="N3397" s="525" t="str">
        <f>IF(AND('331-CT'!$E$7=TH!H3397,OR(L3397="331",M3397="331")),"331",IF(AND(OR(L3397="131",M3397="131"),H3397='131-CT'!$E$7),"131",""))</f>
        <v/>
      </c>
      <c r="O3397" s="525" t="str">
        <f>IF(AND($B3397&gt;='111'!$N$11,$B3397&lt;='111'!$O$11,OR($L3397=$O$7,$M3397=$O$7)),"x","")</f>
        <v/>
      </c>
      <c r="P3397" s="525" t="str">
        <f>IF(AND($L3397=$O$7,$B3397&lt;'111'!$N$11),"x","")</f>
        <v/>
      </c>
      <c r="Q3397" s="525" t="str">
        <f>IF(AND($M3397=$O$7,$B3397&lt;'111'!$N$11),"x","")</f>
        <v/>
      </c>
      <c r="R3397" s="525" t="str">
        <f>IF(ISERROR(FIND('112'!$M$9,G3397,1)),"",IF((AND(FIND('112'!$M$9,G3397,1)&gt;=1,$B3397&gt;='112'!$N$8,$B3397&lt;='112'!$O$8,OR($L3397='112'!$I$6,$M3397='112'!$I$6))),"x",""))</f>
        <v/>
      </c>
      <c r="S3397" s="525" t="str">
        <f>IF(ISERROR(FIND('112'!$M$9,G3397,1)),"",IF((AND(LEFT(G3397,2)=LEFT('112'!$M$9,2),B3397&lt;'112'!$N$8,$L3397='112'!$I$6)),"x",""))</f>
        <v/>
      </c>
      <c r="T3397" s="525" t="str">
        <f>IF(ISERROR(FIND('112'!$M$9,G3397,1)),"",IF((AND(RIGHT(G3397,2)=RIGHT('112'!$M$9,2),B3397&lt;'112'!$N$8,$M3397='112'!$I$6)),"x",""))</f>
        <v/>
      </c>
      <c r="U3397" s="525" t="str">
        <f>IF(AND(B3397&gt;='IN-NX'!$P$3,B3397&lt;='IN-NX'!$Q$3,'IN-NX'!$D$7=D3397,OR(LEFT(L3397,2)="15",AND(LEFT(M3397,2)&lt;&gt;"15",LEFT(M3397,2)&lt;&gt;"33"))),"x","")</f>
        <v/>
      </c>
      <c r="V3397" s="525" t="str">
        <f>IF(AND(OR(LEFT(TH!L3397,2)="15",LEFT(TH!M3397,2)="15"),'152-CT'!$J$8=TH!F3397),"x","")</f>
        <v/>
      </c>
      <c r="W3397" s="525" t="str">
        <f>IF(AND(OR(LEFT(TH!L3397,2)="15",LEFT(TH!M3397,2)="15"),TK!$E$7=TH!F3397),"x","")</f>
        <v/>
      </c>
      <c r="X3397" s="525" t="str">
        <f>IF(AND('341-CT'!$E$9=H3397,OR(LEFT(L3397,3)=$X$7,LEFT(M3397,3)=$X$7)),"x","")</f>
        <v/>
      </c>
      <c r="Y3397" s="525" t="str">
        <f>IF(OR(TH!L3397=TH!$Y$7,M3397=TH!$Y$7),"x","")</f>
        <v/>
      </c>
      <c r="Z3397" s="525" t="str">
        <f>IF(AND(B3397&lt;=NKC!$N$8,B3397&gt;=NKC!$M$8),"x","")</f>
        <v/>
      </c>
      <c r="AA3397" s="687"/>
      <c r="AB3397" s="688"/>
      <c r="AC3397" s="503"/>
      <c r="AD3397" s="688"/>
    </row>
    <row r="3398" spans="1:30" s="576" customFormat="1" ht="15.75" customHeight="1">
      <c r="A3398" s="517" t="str">
        <f>IF(B3398&lt;&gt;"",IF(AND(B3398&gt;=_TM1,B3398&lt;=_TM2,OR(TH!L3398="1111",TH!M3398="1111")),TH!D3398,""),"")</f>
        <v/>
      </c>
      <c r="B3398" s="518">
        <f t="shared" ref="B3398:B3415" si="338">IF(C3398&lt;&gt;"",MONTH(C3398),"")</f>
        <v>6</v>
      </c>
      <c r="C3398" s="571">
        <f t="shared" ref="C3398:C3415" si="339">E3398</f>
        <v>42888</v>
      </c>
      <c r="D3398" s="571" t="s">
        <v>996</v>
      </c>
      <c r="E3398" s="571">
        <v>42888</v>
      </c>
      <c r="F3398" s="572" t="s">
        <v>1114</v>
      </c>
      <c r="G3398" s="573" t="s">
        <v>1186</v>
      </c>
      <c r="H3398" s="574" t="s">
        <v>800</v>
      </c>
      <c r="I3398" s="523">
        <v>315</v>
      </c>
      <c r="J3398" s="523">
        <v>5446.4952380952382</v>
      </c>
      <c r="K3398" s="575">
        <f t="shared" ref="K3398:K3415" si="340">ROUND(I3398*J3398,0)</f>
        <v>1715646</v>
      </c>
      <c r="L3398" s="591" t="s">
        <v>160</v>
      </c>
      <c r="M3398" s="591" t="s">
        <v>292</v>
      </c>
      <c r="N3398" s="525" t="str">
        <f>IF(AND('331-CT'!$E$7=TH!H3398,OR(L3398="331",M3398="331")),"331",IF(AND(OR(L3398="131",M3398="131"),H3398='131-CT'!$E$7),"131",""))</f>
        <v/>
      </c>
      <c r="O3398" s="525" t="str">
        <f>IF(AND($B3398&gt;='111'!$N$11,$B3398&lt;='111'!$O$11,OR($L3398=$O$7,$M3398=$O$7)),"x","")</f>
        <v/>
      </c>
      <c r="P3398" s="525" t="str">
        <f>IF(AND($L3398=$O$7,$B3398&lt;'111'!$N$11),"x","")</f>
        <v/>
      </c>
      <c r="Q3398" s="525" t="str">
        <f>IF(AND($M3398=$O$7,$B3398&lt;'111'!$N$11),"x","")</f>
        <v/>
      </c>
      <c r="R3398" s="525" t="str">
        <f>IF(ISERROR(FIND('112'!$M$9,G3398,1)),"",IF((AND(FIND('112'!$M$9,G3398,1)&gt;=1,$B3398&gt;='112'!$N$8,$B3398&lt;='112'!$O$8,OR($L3398='112'!$I$6,$M3398='112'!$I$6))),"x",""))</f>
        <v/>
      </c>
      <c r="S3398" s="525" t="str">
        <f>IF(ISERROR(FIND('112'!$M$9,G3398,1)),"",IF((AND(LEFT(G3398,2)=LEFT('112'!$M$9,2),B3398&lt;'112'!$N$8,$L3398='112'!$I$6)),"x",""))</f>
        <v/>
      </c>
      <c r="T3398" s="525" t="str">
        <f>IF(ISERROR(FIND('112'!$M$9,G3398,1)),"",IF((AND(RIGHT(G3398,2)=RIGHT('112'!$M$9,2),B3398&lt;'112'!$N$8,$M3398='112'!$I$6)),"x",""))</f>
        <v/>
      </c>
      <c r="U3398" s="525" t="str">
        <f>IF(AND(B3398&gt;='IN-NX'!$P$3,B3398&lt;='IN-NX'!$Q$3,'IN-NX'!$D$7=D3398,OR(LEFT(L3398,2)="15",AND(LEFT(M3398,2)&lt;&gt;"15",LEFT(M3398,2)&lt;&gt;"33"))),"x","")</f>
        <v/>
      </c>
      <c r="V3398" s="525" t="str">
        <f>IF(AND(OR(LEFT(TH!L3398,2)="15",LEFT(TH!M3398,2)="15"),'152-CT'!$J$8=TH!F3398),"x","")</f>
        <v/>
      </c>
      <c r="W3398" s="525" t="str">
        <f>IF(AND(OR(LEFT(TH!L3398,2)="15",LEFT(TH!M3398,2)="15"),TK!$E$7=TH!F3398),"x","")</f>
        <v/>
      </c>
      <c r="X3398" s="525" t="str">
        <f>IF(AND('341-CT'!$E$9=H3398,OR(LEFT(L3398,3)=$X$7,LEFT(M3398,3)=$X$7)),"x","")</f>
        <v/>
      </c>
      <c r="Y3398" s="525" t="str">
        <f>IF(OR(TH!L3398=TH!$Y$7,M3398=TH!$Y$7),"x","")</f>
        <v/>
      </c>
      <c r="Z3398" s="525" t="str">
        <f>IF(AND(B3398&lt;=NKC!$N$8,B3398&gt;=NKC!$M$8),"x","")</f>
        <v/>
      </c>
      <c r="AA3398" s="526"/>
      <c r="AB3398" s="527"/>
    </row>
    <row r="3399" spans="1:30" s="576" customFormat="1" ht="15.75" customHeight="1">
      <c r="A3399" s="517" t="str">
        <f>IF(B3399&lt;&gt;"",IF(AND(B3399&gt;=_TM1,B3399&lt;=_TM2,OR(TH!L3399="1111",TH!M3399="1111")),TH!D3399,""),"")</f>
        <v/>
      </c>
      <c r="B3399" s="518">
        <f t="shared" si="338"/>
        <v>6</v>
      </c>
      <c r="C3399" s="571">
        <f t="shared" si="339"/>
        <v>42889</v>
      </c>
      <c r="D3399" s="571" t="s">
        <v>996</v>
      </c>
      <c r="E3399" s="571">
        <v>42889</v>
      </c>
      <c r="F3399" s="572" t="s">
        <v>1032</v>
      </c>
      <c r="G3399" s="573" t="s">
        <v>1187</v>
      </c>
      <c r="H3399" s="574" t="s">
        <v>800</v>
      </c>
      <c r="I3399" s="523">
        <v>270</v>
      </c>
      <c r="J3399" s="523">
        <v>11745.259259259259</v>
      </c>
      <c r="K3399" s="575">
        <f t="shared" si="340"/>
        <v>3171220</v>
      </c>
      <c r="L3399" s="591" t="s">
        <v>160</v>
      </c>
      <c r="M3399" s="591" t="s">
        <v>292</v>
      </c>
      <c r="N3399" s="525" t="str">
        <f>IF(AND('331-CT'!$E$7=TH!H3399,OR(L3399="331",M3399="331")),"331",IF(AND(OR(L3399="131",M3399="131"),H3399='131-CT'!$E$7),"131",""))</f>
        <v/>
      </c>
      <c r="O3399" s="525" t="str">
        <f>IF(AND($B3399&gt;='111'!$N$11,$B3399&lt;='111'!$O$11,OR($L3399=$O$7,$M3399=$O$7)),"x","")</f>
        <v/>
      </c>
      <c r="P3399" s="525" t="str">
        <f>IF(AND($L3399=$O$7,$B3399&lt;'111'!$N$11),"x","")</f>
        <v/>
      </c>
      <c r="Q3399" s="525" t="str">
        <f>IF(AND($M3399=$O$7,$B3399&lt;'111'!$N$11),"x","")</f>
        <v/>
      </c>
      <c r="R3399" s="525" t="str">
        <f>IF(ISERROR(FIND('112'!$M$9,G3399,1)),"",IF((AND(FIND('112'!$M$9,G3399,1)&gt;=1,$B3399&gt;='112'!$N$8,$B3399&lt;='112'!$O$8,OR($L3399='112'!$I$6,$M3399='112'!$I$6))),"x",""))</f>
        <v/>
      </c>
      <c r="S3399" s="525" t="str">
        <f>IF(ISERROR(FIND('112'!$M$9,G3399,1)),"",IF((AND(LEFT(G3399,2)=LEFT('112'!$M$9,2),B3399&lt;'112'!$N$8,$L3399='112'!$I$6)),"x",""))</f>
        <v/>
      </c>
      <c r="T3399" s="525" t="str">
        <f>IF(ISERROR(FIND('112'!$M$9,G3399,1)),"",IF((AND(RIGHT(G3399,2)=RIGHT('112'!$M$9,2),B3399&lt;'112'!$N$8,$M3399='112'!$I$6)),"x",""))</f>
        <v/>
      </c>
      <c r="U3399" s="525" t="str">
        <f>IF(AND(B3399&gt;='IN-NX'!$P$3,B3399&lt;='IN-NX'!$Q$3,'IN-NX'!$D$7=D3399,OR(LEFT(L3399,2)="15",AND(LEFT(M3399,2)&lt;&gt;"15",LEFT(M3399,2)&lt;&gt;"33"))),"x","")</f>
        <v/>
      </c>
      <c r="V3399" s="525" t="str">
        <f>IF(AND(OR(LEFT(TH!L3399,2)="15",LEFT(TH!M3399,2)="15"),'152-CT'!$J$8=TH!F3399),"x","")</f>
        <v/>
      </c>
      <c r="W3399" s="525" t="str">
        <f>IF(AND(OR(LEFT(TH!L3399,2)="15",LEFT(TH!M3399,2)="15"),TK!$E$7=TH!F3399),"x","")</f>
        <v/>
      </c>
      <c r="X3399" s="525" t="str">
        <f>IF(AND('341-CT'!$E$9=H3399,OR(LEFT(L3399,3)=$X$7,LEFT(M3399,3)=$X$7)),"x","")</f>
        <v/>
      </c>
      <c r="Y3399" s="525" t="str">
        <f>IF(OR(TH!L3399=TH!$Y$7,M3399=TH!$Y$7),"x","")</f>
        <v/>
      </c>
      <c r="Z3399" s="525" t="str">
        <f>IF(AND(B3399&lt;=NKC!$N$8,B3399&gt;=NKC!$M$8),"x","")</f>
        <v/>
      </c>
      <c r="AA3399" s="526"/>
      <c r="AB3399" s="527"/>
    </row>
    <row r="3400" spans="1:30" s="576" customFormat="1" ht="15.75" customHeight="1">
      <c r="A3400" s="517" t="str">
        <f>IF(B3400&lt;&gt;"",IF(AND(B3400&gt;=_TM1,B3400&lt;=_TM2,OR(TH!L3400="1111",TH!M3400="1111")),TH!D3400,""),"")</f>
        <v/>
      </c>
      <c r="B3400" s="518">
        <f t="shared" si="338"/>
        <v>6</v>
      </c>
      <c r="C3400" s="571">
        <f t="shared" si="339"/>
        <v>42889</v>
      </c>
      <c r="D3400" s="571" t="s">
        <v>996</v>
      </c>
      <c r="E3400" s="571">
        <v>42889</v>
      </c>
      <c r="F3400" s="572" t="s">
        <v>1032</v>
      </c>
      <c r="G3400" s="573" t="s">
        <v>1187</v>
      </c>
      <c r="H3400" s="574" t="s">
        <v>800</v>
      </c>
      <c r="I3400" s="523">
        <v>498</v>
      </c>
      <c r="J3400" s="523">
        <v>11740.425702811244</v>
      </c>
      <c r="K3400" s="575">
        <f t="shared" si="340"/>
        <v>5846732</v>
      </c>
      <c r="L3400" s="591" t="s">
        <v>160</v>
      </c>
      <c r="M3400" s="591" t="s">
        <v>292</v>
      </c>
      <c r="N3400" s="525" t="str">
        <f>IF(AND('331-CT'!$E$7=TH!H3400,OR(L3400="331",M3400="331")),"331",IF(AND(OR(L3400="131",M3400="131"),H3400='131-CT'!$E$7),"131",""))</f>
        <v/>
      </c>
      <c r="O3400" s="525" t="str">
        <f>IF(AND($B3400&gt;='111'!$N$11,$B3400&lt;='111'!$O$11,OR($L3400=$O$7,$M3400=$O$7)),"x","")</f>
        <v/>
      </c>
      <c r="P3400" s="525" t="str">
        <f>IF(AND($L3400=$O$7,$B3400&lt;'111'!$N$11),"x","")</f>
        <v/>
      </c>
      <c r="Q3400" s="525" t="str">
        <f>IF(AND($M3400=$O$7,$B3400&lt;'111'!$N$11),"x","")</f>
        <v/>
      </c>
      <c r="R3400" s="525" t="str">
        <f>IF(ISERROR(FIND('112'!$M$9,G3400,1)),"",IF((AND(FIND('112'!$M$9,G3400,1)&gt;=1,$B3400&gt;='112'!$N$8,$B3400&lt;='112'!$O$8,OR($L3400='112'!$I$6,$M3400='112'!$I$6))),"x",""))</f>
        <v/>
      </c>
      <c r="S3400" s="525" t="str">
        <f>IF(ISERROR(FIND('112'!$M$9,G3400,1)),"",IF((AND(LEFT(G3400,2)=LEFT('112'!$M$9,2),B3400&lt;'112'!$N$8,$L3400='112'!$I$6)),"x",""))</f>
        <v/>
      </c>
      <c r="T3400" s="525" t="str">
        <f>IF(ISERROR(FIND('112'!$M$9,G3400,1)),"",IF((AND(RIGHT(G3400,2)=RIGHT('112'!$M$9,2),B3400&lt;'112'!$N$8,$M3400='112'!$I$6)),"x",""))</f>
        <v/>
      </c>
      <c r="U3400" s="525" t="str">
        <f>IF(AND(B3400&gt;='IN-NX'!$P$3,B3400&lt;='IN-NX'!$Q$3,'IN-NX'!$D$7=D3400,OR(LEFT(L3400,2)="15",AND(LEFT(M3400,2)&lt;&gt;"15",LEFT(M3400,2)&lt;&gt;"33"))),"x","")</f>
        <v/>
      </c>
      <c r="V3400" s="525" t="str">
        <f>IF(AND(OR(LEFT(TH!L3400,2)="15",LEFT(TH!M3400,2)="15"),'152-CT'!$J$8=TH!F3400),"x","")</f>
        <v/>
      </c>
      <c r="W3400" s="525" t="str">
        <f>IF(AND(OR(LEFT(TH!L3400,2)="15",LEFT(TH!M3400,2)="15"),TK!$E$7=TH!F3400),"x","")</f>
        <v/>
      </c>
      <c r="X3400" s="525" t="str">
        <f>IF(AND('341-CT'!$E$9=H3400,OR(LEFT(L3400,3)=$X$7,LEFT(M3400,3)=$X$7)),"x","")</f>
        <v/>
      </c>
      <c r="Y3400" s="525" t="str">
        <f>IF(OR(TH!L3400=TH!$Y$7,M3400=TH!$Y$7),"x","")</f>
        <v/>
      </c>
      <c r="Z3400" s="525" t="str">
        <f>IF(AND(B3400&lt;=NKC!$N$8,B3400&gt;=NKC!$M$8),"x","")</f>
        <v/>
      </c>
      <c r="AA3400" s="526"/>
      <c r="AB3400" s="527"/>
    </row>
    <row r="3401" spans="1:30" s="576" customFormat="1" ht="15.75" customHeight="1">
      <c r="A3401" s="517" t="str">
        <f>IF(B3401&lt;&gt;"",IF(AND(B3401&gt;=_TM1,B3401&lt;=_TM2,OR(TH!L3401="1111",TH!M3401="1111")),TH!D3401,""),"")</f>
        <v/>
      </c>
      <c r="B3401" s="518">
        <f t="shared" si="338"/>
        <v>6</v>
      </c>
      <c r="C3401" s="571">
        <f t="shared" si="339"/>
        <v>42889</v>
      </c>
      <c r="D3401" s="571" t="s">
        <v>996</v>
      </c>
      <c r="E3401" s="571">
        <v>42889</v>
      </c>
      <c r="F3401" s="572" t="s">
        <v>1032</v>
      </c>
      <c r="G3401" s="573" t="s">
        <v>1187</v>
      </c>
      <c r="H3401" s="574" t="s">
        <v>800</v>
      </c>
      <c r="I3401" s="523">
        <v>315</v>
      </c>
      <c r="J3401" s="523">
        <v>11614.368253968254</v>
      </c>
      <c r="K3401" s="575">
        <f t="shared" si="340"/>
        <v>3658526</v>
      </c>
      <c r="L3401" s="591" t="s">
        <v>160</v>
      </c>
      <c r="M3401" s="591" t="s">
        <v>292</v>
      </c>
      <c r="N3401" s="525" t="str">
        <f>IF(AND('331-CT'!$E$7=TH!H3401,OR(L3401="331",M3401="331")),"331",IF(AND(OR(L3401="131",M3401="131"),H3401='131-CT'!$E$7),"131",""))</f>
        <v/>
      </c>
      <c r="O3401" s="525" t="str">
        <f>IF(AND($B3401&gt;='111'!$N$11,$B3401&lt;='111'!$O$11,OR($L3401=$O$7,$M3401=$O$7)),"x","")</f>
        <v/>
      </c>
      <c r="P3401" s="525" t="str">
        <f>IF(AND($L3401=$O$7,$B3401&lt;'111'!$N$11),"x","")</f>
        <v/>
      </c>
      <c r="Q3401" s="525" t="str">
        <f>IF(AND($M3401=$O$7,$B3401&lt;'111'!$N$11),"x","")</f>
        <v/>
      </c>
      <c r="R3401" s="525" t="str">
        <f>IF(ISERROR(FIND('112'!$M$9,G3401,1)),"",IF((AND(FIND('112'!$M$9,G3401,1)&gt;=1,$B3401&gt;='112'!$N$8,$B3401&lt;='112'!$O$8,OR($L3401='112'!$I$6,$M3401='112'!$I$6))),"x",""))</f>
        <v/>
      </c>
      <c r="S3401" s="525" t="str">
        <f>IF(ISERROR(FIND('112'!$M$9,G3401,1)),"",IF((AND(LEFT(G3401,2)=LEFT('112'!$M$9,2),B3401&lt;'112'!$N$8,$L3401='112'!$I$6)),"x",""))</f>
        <v/>
      </c>
      <c r="T3401" s="525" t="str">
        <f>IF(ISERROR(FIND('112'!$M$9,G3401,1)),"",IF((AND(RIGHT(G3401,2)=RIGHT('112'!$M$9,2),B3401&lt;'112'!$N$8,$M3401='112'!$I$6)),"x",""))</f>
        <v/>
      </c>
      <c r="U3401" s="525" t="str">
        <f>IF(AND(B3401&gt;='IN-NX'!$P$3,B3401&lt;='IN-NX'!$Q$3,'IN-NX'!$D$7=D3401,OR(LEFT(L3401,2)="15",AND(LEFT(M3401,2)&lt;&gt;"15",LEFT(M3401,2)&lt;&gt;"33"))),"x","")</f>
        <v/>
      </c>
      <c r="V3401" s="525" t="str">
        <f>IF(AND(OR(LEFT(TH!L3401,2)="15",LEFT(TH!M3401,2)="15"),'152-CT'!$J$8=TH!F3401),"x","")</f>
        <v/>
      </c>
      <c r="W3401" s="525" t="str">
        <f>IF(AND(OR(LEFT(TH!L3401,2)="15",LEFT(TH!M3401,2)="15"),TK!$E$7=TH!F3401),"x","")</f>
        <v/>
      </c>
      <c r="X3401" s="525" t="str">
        <f>IF(AND('341-CT'!$E$9=H3401,OR(LEFT(L3401,3)=$X$7,LEFT(M3401,3)=$X$7)),"x","")</f>
        <v/>
      </c>
      <c r="Y3401" s="525" t="str">
        <f>IF(OR(TH!L3401=TH!$Y$7,M3401=TH!$Y$7),"x","")</f>
        <v/>
      </c>
      <c r="Z3401" s="525" t="str">
        <f>IF(AND(B3401&lt;=NKC!$N$8,B3401&gt;=NKC!$M$8),"x","")</f>
        <v/>
      </c>
      <c r="AA3401" s="526"/>
      <c r="AB3401" s="527"/>
    </row>
    <row r="3402" spans="1:30" s="576" customFormat="1" ht="15.75" customHeight="1">
      <c r="A3402" s="517" t="str">
        <f>IF(B3402&lt;&gt;"",IF(AND(B3402&gt;=_TM1,B3402&lt;=_TM2,OR(TH!L3402="1111",TH!M3402="1111")),TH!D3402,""),"")</f>
        <v/>
      </c>
      <c r="B3402" s="518">
        <f t="shared" si="338"/>
        <v>6</v>
      </c>
      <c r="C3402" s="571">
        <f t="shared" si="339"/>
        <v>42889</v>
      </c>
      <c r="D3402" s="571" t="s">
        <v>996</v>
      </c>
      <c r="E3402" s="571">
        <v>42889</v>
      </c>
      <c r="F3402" s="572" t="s">
        <v>1032</v>
      </c>
      <c r="G3402" s="573" t="s">
        <v>1187</v>
      </c>
      <c r="H3402" s="574" t="s">
        <v>800</v>
      </c>
      <c r="I3402" s="523">
        <v>240</v>
      </c>
      <c r="J3402" s="523">
        <v>11623.654166666667</v>
      </c>
      <c r="K3402" s="575">
        <f t="shared" si="340"/>
        <v>2789677</v>
      </c>
      <c r="L3402" s="591" t="s">
        <v>160</v>
      </c>
      <c r="M3402" s="591" t="s">
        <v>292</v>
      </c>
      <c r="N3402" s="525" t="str">
        <f>IF(AND('331-CT'!$E$7=TH!H3402,OR(L3402="331",M3402="331")),"331",IF(AND(OR(L3402="131",M3402="131"),H3402='131-CT'!$E$7),"131",""))</f>
        <v/>
      </c>
      <c r="O3402" s="525" t="str">
        <f>IF(AND($B3402&gt;='111'!$N$11,$B3402&lt;='111'!$O$11,OR($L3402=$O$7,$M3402=$O$7)),"x","")</f>
        <v/>
      </c>
      <c r="P3402" s="525" t="str">
        <f>IF(AND($L3402=$O$7,$B3402&lt;'111'!$N$11),"x","")</f>
        <v/>
      </c>
      <c r="Q3402" s="525" t="str">
        <f>IF(AND($M3402=$O$7,$B3402&lt;'111'!$N$11),"x","")</f>
        <v/>
      </c>
      <c r="R3402" s="525" t="str">
        <f>IF(ISERROR(FIND('112'!$M$9,G3402,1)),"",IF((AND(FIND('112'!$M$9,G3402,1)&gt;=1,$B3402&gt;='112'!$N$8,$B3402&lt;='112'!$O$8,OR($L3402='112'!$I$6,$M3402='112'!$I$6))),"x",""))</f>
        <v/>
      </c>
      <c r="S3402" s="525" t="str">
        <f>IF(ISERROR(FIND('112'!$M$9,G3402,1)),"",IF((AND(LEFT(G3402,2)=LEFT('112'!$M$9,2),B3402&lt;'112'!$N$8,$L3402='112'!$I$6)),"x",""))</f>
        <v/>
      </c>
      <c r="T3402" s="525" t="str">
        <f>IF(ISERROR(FIND('112'!$M$9,G3402,1)),"",IF((AND(RIGHT(G3402,2)=RIGHT('112'!$M$9,2),B3402&lt;'112'!$N$8,$M3402='112'!$I$6)),"x",""))</f>
        <v/>
      </c>
      <c r="U3402" s="525" t="str">
        <f>IF(AND(B3402&gt;='IN-NX'!$P$3,B3402&lt;='IN-NX'!$Q$3,'IN-NX'!$D$7=D3402,OR(LEFT(L3402,2)="15",AND(LEFT(M3402,2)&lt;&gt;"15",LEFT(M3402,2)&lt;&gt;"33"))),"x","")</f>
        <v/>
      </c>
      <c r="V3402" s="525" t="str">
        <f>IF(AND(OR(LEFT(TH!L3402,2)="15",LEFT(TH!M3402,2)="15"),'152-CT'!$J$8=TH!F3402),"x","")</f>
        <v/>
      </c>
      <c r="W3402" s="525" t="str">
        <f>IF(AND(OR(LEFT(TH!L3402,2)="15",LEFT(TH!M3402,2)="15"),TK!$E$7=TH!F3402),"x","")</f>
        <v/>
      </c>
      <c r="X3402" s="525" t="str">
        <f>IF(AND('341-CT'!$E$9=H3402,OR(LEFT(L3402,3)=$X$7,LEFT(M3402,3)=$X$7)),"x","")</f>
        <v/>
      </c>
      <c r="Y3402" s="525" t="str">
        <f>IF(OR(TH!L3402=TH!$Y$7,M3402=TH!$Y$7),"x","")</f>
        <v/>
      </c>
      <c r="Z3402" s="525" t="str">
        <f>IF(AND(B3402&lt;=NKC!$N$8,B3402&gt;=NKC!$M$8),"x","")</f>
        <v/>
      </c>
      <c r="AA3402" s="526"/>
      <c r="AB3402" s="527"/>
    </row>
    <row r="3403" spans="1:30" s="576" customFormat="1" ht="15.75" customHeight="1">
      <c r="A3403" s="517" t="str">
        <f>IF(B3403&lt;&gt;"",IF(AND(B3403&gt;=_TM1,B3403&lt;=_TM2,OR(TH!L3403="1111",TH!M3403="1111")),TH!D3403,""),"")</f>
        <v/>
      </c>
      <c r="B3403" s="518">
        <f t="shared" si="338"/>
        <v>6</v>
      </c>
      <c r="C3403" s="571">
        <f t="shared" si="339"/>
        <v>42889</v>
      </c>
      <c r="D3403" s="571" t="s">
        <v>996</v>
      </c>
      <c r="E3403" s="571">
        <v>42889</v>
      </c>
      <c r="F3403" s="572" t="s">
        <v>1032</v>
      </c>
      <c r="G3403" s="573" t="s">
        <v>1187</v>
      </c>
      <c r="H3403" s="574" t="s">
        <v>800</v>
      </c>
      <c r="I3403" s="523">
        <v>510</v>
      </c>
      <c r="J3403" s="523">
        <v>11635.882352941177</v>
      </c>
      <c r="K3403" s="575">
        <f t="shared" si="340"/>
        <v>5934300</v>
      </c>
      <c r="L3403" s="591" t="s">
        <v>160</v>
      </c>
      <c r="M3403" s="591" t="s">
        <v>292</v>
      </c>
      <c r="N3403" s="525" t="str">
        <f>IF(AND('331-CT'!$E$7=TH!H3403,OR(L3403="331",M3403="331")),"331",IF(AND(OR(L3403="131",M3403="131"),H3403='131-CT'!$E$7),"131",""))</f>
        <v/>
      </c>
      <c r="O3403" s="525" t="str">
        <f>IF(AND($B3403&gt;='111'!$N$11,$B3403&lt;='111'!$O$11,OR($L3403=$O$7,$M3403=$O$7)),"x","")</f>
        <v/>
      </c>
      <c r="P3403" s="525" t="str">
        <f>IF(AND($L3403=$O$7,$B3403&lt;'111'!$N$11),"x","")</f>
        <v/>
      </c>
      <c r="Q3403" s="525" t="str">
        <f>IF(AND($M3403=$O$7,$B3403&lt;'111'!$N$11),"x","")</f>
        <v/>
      </c>
      <c r="R3403" s="525" t="str">
        <f>IF(ISERROR(FIND('112'!$M$9,G3403,1)),"",IF((AND(FIND('112'!$M$9,G3403,1)&gt;=1,$B3403&gt;='112'!$N$8,$B3403&lt;='112'!$O$8,OR($L3403='112'!$I$6,$M3403='112'!$I$6))),"x",""))</f>
        <v/>
      </c>
      <c r="S3403" s="525" t="str">
        <f>IF(ISERROR(FIND('112'!$M$9,G3403,1)),"",IF((AND(LEFT(G3403,2)=LEFT('112'!$M$9,2),B3403&lt;'112'!$N$8,$L3403='112'!$I$6)),"x",""))</f>
        <v/>
      </c>
      <c r="T3403" s="525" t="str">
        <f>IF(ISERROR(FIND('112'!$M$9,G3403,1)),"",IF((AND(RIGHT(G3403,2)=RIGHT('112'!$M$9,2),B3403&lt;'112'!$N$8,$M3403='112'!$I$6)),"x",""))</f>
        <v/>
      </c>
      <c r="U3403" s="525" t="str">
        <f>IF(AND(B3403&gt;='IN-NX'!$P$3,B3403&lt;='IN-NX'!$Q$3,'IN-NX'!$D$7=D3403,OR(LEFT(L3403,2)="15",AND(LEFT(M3403,2)&lt;&gt;"15",LEFT(M3403,2)&lt;&gt;"33"))),"x","")</f>
        <v/>
      </c>
      <c r="V3403" s="525" t="str">
        <f>IF(AND(OR(LEFT(TH!L3403,2)="15",LEFT(TH!M3403,2)="15"),'152-CT'!$J$8=TH!F3403),"x","")</f>
        <v/>
      </c>
      <c r="W3403" s="525" t="str">
        <f>IF(AND(OR(LEFT(TH!L3403,2)="15",LEFT(TH!M3403,2)="15"),TK!$E$7=TH!F3403),"x","")</f>
        <v/>
      </c>
      <c r="X3403" s="525" t="str">
        <f>IF(AND('341-CT'!$E$9=H3403,OR(LEFT(L3403,3)=$X$7,LEFT(M3403,3)=$X$7)),"x","")</f>
        <v/>
      </c>
      <c r="Y3403" s="525" t="str">
        <f>IF(OR(TH!L3403=TH!$Y$7,M3403=TH!$Y$7),"x","")</f>
        <v/>
      </c>
      <c r="Z3403" s="525" t="str">
        <f>IF(AND(B3403&lt;=NKC!$N$8,B3403&gt;=NKC!$M$8),"x","")</f>
        <v/>
      </c>
      <c r="AA3403" s="526"/>
      <c r="AB3403" s="527"/>
    </row>
    <row r="3404" spans="1:30" s="576" customFormat="1" ht="15.75" customHeight="1">
      <c r="A3404" s="517" t="str">
        <f>IF(B3404&lt;&gt;"",IF(AND(B3404&gt;=_TM1,B3404&lt;=_TM2,OR(TH!L3404="1111",TH!M3404="1111")),TH!D3404,""),"")</f>
        <v/>
      </c>
      <c r="B3404" s="518">
        <f t="shared" si="338"/>
        <v>6</v>
      </c>
      <c r="C3404" s="571">
        <f t="shared" si="339"/>
        <v>42889</v>
      </c>
      <c r="D3404" s="571" t="s">
        <v>996</v>
      </c>
      <c r="E3404" s="571">
        <v>42889</v>
      </c>
      <c r="F3404" s="572" t="s">
        <v>1032</v>
      </c>
      <c r="G3404" s="573" t="s">
        <v>1187</v>
      </c>
      <c r="H3404" s="574" t="s">
        <v>800</v>
      </c>
      <c r="I3404" s="523">
        <v>280</v>
      </c>
      <c r="J3404" s="523">
        <v>11707.924999999999</v>
      </c>
      <c r="K3404" s="575">
        <f t="shared" si="340"/>
        <v>3278219</v>
      </c>
      <c r="L3404" s="591" t="s">
        <v>160</v>
      </c>
      <c r="M3404" s="591" t="s">
        <v>292</v>
      </c>
      <c r="N3404" s="525" t="str">
        <f>IF(AND('331-CT'!$E$7=TH!H3404,OR(L3404="331",M3404="331")),"331",IF(AND(OR(L3404="131",M3404="131"),H3404='131-CT'!$E$7),"131",""))</f>
        <v/>
      </c>
      <c r="O3404" s="525" t="str">
        <f>IF(AND($B3404&gt;='111'!$N$11,$B3404&lt;='111'!$O$11,OR($L3404=$O$7,$M3404=$O$7)),"x","")</f>
        <v/>
      </c>
      <c r="P3404" s="525" t="str">
        <f>IF(AND($L3404=$O$7,$B3404&lt;'111'!$N$11),"x","")</f>
        <v/>
      </c>
      <c r="Q3404" s="525" t="str">
        <f>IF(AND($M3404=$O$7,$B3404&lt;'111'!$N$11),"x","")</f>
        <v/>
      </c>
      <c r="R3404" s="525" t="str">
        <f>IF(ISERROR(FIND('112'!$M$9,G3404,1)),"",IF((AND(FIND('112'!$M$9,G3404,1)&gt;=1,$B3404&gt;='112'!$N$8,$B3404&lt;='112'!$O$8,OR($L3404='112'!$I$6,$M3404='112'!$I$6))),"x",""))</f>
        <v/>
      </c>
      <c r="S3404" s="525" t="str">
        <f>IF(ISERROR(FIND('112'!$M$9,G3404,1)),"",IF((AND(LEFT(G3404,2)=LEFT('112'!$M$9,2),B3404&lt;'112'!$N$8,$L3404='112'!$I$6)),"x",""))</f>
        <v/>
      </c>
      <c r="T3404" s="525" t="str">
        <f>IF(ISERROR(FIND('112'!$M$9,G3404,1)),"",IF((AND(RIGHT(G3404,2)=RIGHT('112'!$M$9,2),B3404&lt;'112'!$N$8,$M3404='112'!$I$6)),"x",""))</f>
        <v/>
      </c>
      <c r="U3404" s="525" t="str">
        <f>IF(AND(B3404&gt;='IN-NX'!$P$3,B3404&lt;='IN-NX'!$Q$3,'IN-NX'!$D$7=D3404,OR(LEFT(L3404,2)="15",AND(LEFT(M3404,2)&lt;&gt;"15",LEFT(M3404,2)&lt;&gt;"33"))),"x","")</f>
        <v/>
      </c>
      <c r="V3404" s="525" t="str">
        <f>IF(AND(OR(LEFT(TH!L3404,2)="15",LEFT(TH!M3404,2)="15"),'152-CT'!$J$8=TH!F3404),"x","")</f>
        <v/>
      </c>
      <c r="W3404" s="525" t="str">
        <f>IF(AND(OR(LEFT(TH!L3404,2)="15",LEFT(TH!M3404,2)="15"),TK!$E$7=TH!F3404),"x","")</f>
        <v/>
      </c>
      <c r="X3404" s="525" t="str">
        <f>IF(AND('341-CT'!$E$9=H3404,OR(LEFT(L3404,3)=$X$7,LEFT(M3404,3)=$X$7)),"x","")</f>
        <v/>
      </c>
      <c r="Y3404" s="525" t="str">
        <f>IF(OR(TH!L3404=TH!$Y$7,M3404=TH!$Y$7),"x","")</f>
        <v/>
      </c>
      <c r="Z3404" s="525" t="str">
        <f>IF(AND(B3404&lt;=NKC!$N$8,B3404&gt;=NKC!$M$8),"x","")</f>
        <v/>
      </c>
      <c r="AA3404" s="526"/>
      <c r="AB3404" s="527"/>
    </row>
    <row r="3405" spans="1:30" s="576" customFormat="1" ht="15.75" customHeight="1">
      <c r="A3405" s="517" t="str">
        <f>IF(B3405&lt;&gt;"",IF(AND(B3405&gt;=_TM1,B3405&lt;=_TM2,OR(TH!L3405="1111",TH!M3405="1111")),TH!D3405,""),"")</f>
        <v/>
      </c>
      <c r="B3405" s="518">
        <f t="shared" si="338"/>
        <v>6</v>
      </c>
      <c r="C3405" s="571">
        <f t="shared" si="339"/>
        <v>42889</v>
      </c>
      <c r="D3405" s="571" t="s">
        <v>996</v>
      </c>
      <c r="E3405" s="571">
        <v>42889</v>
      </c>
      <c r="F3405" s="572" t="s">
        <v>1032</v>
      </c>
      <c r="G3405" s="573" t="s">
        <v>1187</v>
      </c>
      <c r="H3405" s="574" t="s">
        <v>800</v>
      </c>
      <c r="I3405" s="523">
        <v>100</v>
      </c>
      <c r="J3405" s="523">
        <v>11570.03</v>
      </c>
      <c r="K3405" s="575">
        <f t="shared" si="340"/>
        <v>1157003</v>
      </c>
      <c r="L3405" s="591" t="s">
        <v>160</v>
      </c>
      <c r="M3405" s="591" t="s">
        <v>292</v>
      </c>
      <c r="N3405" s="525" t="str">
        <f>IF(AND('331-CT'!$E$7=TH!H3405,OR(L3405="331",M3405="331")),"331",IF(AND(OR(L3405="131",M3405="131"),H3405='131-CT'!$E$7),"131",""))</f>
        <v/>
      </c>
      <c r="O3405" s="525" t="str">
        <f>IF(AND($B3405&gt;='111'!$N$11,$B3405&lt;='111'!$O$11,OR($L3405=$O$7,$M3405=$O$7)),"x","")</f>
        <v/>
      </c>
      <c r="P3405" s="525" t="str">
        <f>IF(AND($L3405=$O$7,$B3405&lt;'111'!$N$11),"x","")</f>
        <v/>
      </c>
      <c r="Q3405" s="525" t="str">
        <f>IF(AND($M3405=$O$7,$B3405&lt;'111'!$N$11),"x","")</f>
        <v/>
      </c>
      <c r="R3405" s="525" t="str">
        <f>IF(ISERROR(FIND('112'!$M$9,G3405,1)),"",IF((AND(FIND('112'!$M$9,G3405,1)&gt;=1,$B3405&gt;='112'!$N$8,$B3405&lt;='112'!$O$8,OR($L3405='112'!$I$6,$M3405='112'!$I$6))),"x",""))</f>
        <v/>
      </c>
      <c r="S3405" s="525" t="str">
        <f>IF(ISERROR(FIND('112'!$M$9,G3405,1)),"",IF((AND(LEFT(G3405,2)=LEFT('112'!$M$9,2),B3405&lt;'112'!$N$8,$L3405='112'!$I$6)),"x",""))</f>
        <v/>
      </c>
      <c r="T3405" s="525" t="str">
        <f>IF(ISERROR(FIND('112'!$M$9,G3405,1)),"",IF((AND(RIGHT(G3405,2)=RIGHT('112'!$M$9,2),B3405&lt;'112'!$N$8,$M3405='112'!$I$6)),"x",""))</f>
        <v/>
      </c>
      <c r="U3405" s="525" t="str">
        <f>IF(AND(B3405&gt;='IN-NX'!$P$3,B3405&lt;='IN-NX'!$Q$3,'IN-NX'!$D$7=D3405,OR(LEFT(L3405,2)="15",AND(LEFT(M3405,2)&lt;&gt;"15",LEFT(M3405,2)&lt;&gt;"33"))),"x","")</f>
        <v/>
      </c>
      <c r="V3405" s="525" t="str">
        <f>IF(AND(OR(LEFT(TH!L3405,2)="15",LEFT(TH!M3405,2)="15"),'152-CT'!$J$8=TH!F3405),"x","")</f>
        <v/>
      </c>
      <c r="W3405" s="525" t="str">
        <f>IF(AND(OR(LEFT(TH!L3405,2)="15",LEFT(TH!M3405,2)="15"),TK!$E$7=TH!F3405),"x","")</f>
        <v/>
      </c>
      <c r="X3405" s="525" t="str">
        <f>IF(AND('341-CT'!$E$9=H3405,OR(LEFT(L3405,3)=$X$7,LEFT(M3405,3)=$X$7)),"x","")</f>
        <v/>
      </c>
      <c r="Y3405" s="525" t="str">
        <f>IF(OR(TH!L3405=TH!$Y$7,M3405=TH!$Y$7),"x","")</f>
        <v/>
      </c>
      <c r="Z3405" s="525" t="str">
        <f>IF(AND(B3405&lt;=NKC!$N$8,B3405&gt;=NKC!$M$8),"x","")</f>
        <v/>
      </c>
      <c r="AA3405" s="526"/>
      <c r="AB3405" s="527"/>
    </row>
    <row r="3406" spans="1:30" s="576" customFormat="1" ht="15.75" customHeight="1">
      <c r="A3406" s="517" t="str">
        <f>IF(B3406&lt;&gt;"",IF(AND(B3406&gt;=_TM1,B3406&lt;=_TM2,OR(TH!L3406="1111",TH!M3406="1111")),TH!D3406,""),"")</f>
        <v/>
      </c>
      <c r="B3406" s="518">
        <f t="shared" si="338"/>
        <v>6</v>
      </c>
      <c r="C3406" s="571">
        <f t="shared" si="339"/>
        <v>42889</v>
      </c>
      <c r="D3406" s="571" t="s">
        <v>996</v>
      </c>
      <c r="E3406" s="571">
        <v>42889</v>
      </c>
      <c r="F3406" s="572" t="s">
        <v>1032</v>
      </c>
      <c r="G3406" s="573" t="s">
        <v>1187</v>
      </c>
      <c r="H3406" s="574" t="s">
        <v>800</v>
      </c>
      <c r="I3406" s="523">
        <v>210</v>
      </c>
      <c r="J3406" s="523">
        <v>11751.766666666666</v>
      </c>
      <c r="K3406" s="575">
        <f t="shared" si="340"/>
        <v>2467871</v>
      </c>
      <c r="L3406" s="591" t="s">
        <v>160</v>
      </c>
      <c r="M3406" s="591" t="s">
        <v>292</v>
      </c>
      <c r="N3406" s="525" t="str">
        <f>IF(AND('331-CT'!$E$7=TH!H3406,OR(L3406="331",M3406="331")),"331",IF(AND(OR(L3406="131",M3406="131"),H3406='131-CT'!$E$7),"131",""))</f>
        <v/>
      </c>
      <c r="O3406" s="525" t="str">
        <f>IF(AND($B3406&gt;='111'!$N$11,$B3406&lt;='111'!$O$11,OR($L3406=$O$7,$M3406=$O$7)),"x","")</f>
        <v/>
      </c>
      <c r="P3406" s="525" t="str">
        <f>IF(AND($L3406=$O$7,$B3406&lt;'111'!$N$11),"x","")</f>
        <v/>
      </c>
      <c r="Q3406" s="525" t="str">
        <f>IF(AND($M3406=$O$7,$B3406&lt;'111'!$N$11),"x","")</f>
        <v/>
      </c>
      <c r="R3406" s="525" t="str">
        <f>IF(ISERROR(FIND('112'!$M$9,G3406,1)),"",IF((AND(FIND('112'!$M$9,G3406,1)&gt;=1,$B3406&gt;='112'!$N$8,$B3406&lt;='112'!$O$8,OR($L3406='112'!$I$6,$M3406='112'!$I$6))),"x",""))</f>
        <v/>
      </c>
      <c r="S3406" s="525" t="str">
        <f>IF(ISERROR(FIND('112'!$M$9,G3406,1)),"",IF((AND(LEFT(G3406,2)=LEFT('112'!$M$9,2),B3406&lt;'112'!$N$8,$L3406='112'!$I$6)),"x",""))</f>
        <v/>
      </c>
      <c r="T3406" s="525" t="str">
        <f>IF(ISERROR(FIND('112'!$M$9,G3406,1)),"",IF((AND(RIGHT(G3406,2)=RIGHT('112'!$M$9,2),B3406&lt;'112'!$N$8,$M3406='112'!$I$6)),"x",""))</f>
        <v/>
      </c>
      <c r="U3406" s="525" t="str">
        <f>IF(AND(B3406&gt;='IN-NX'!$P$3,B3406&lt;='IN-NX'!$Q$3,'IN-NX'!$D$7=D3406,OR(LEFT(L3406,2)="15",AND(LEFT(M3406,2)&lt;&gt;"15",LEFT(M3406,2)&lt;&gt;"33"))),"x","")</f>
        <v/>
      </c>
      <c r="V3406" s="525" t="str">
        <f>IF(AND(OR(LEFT(TH!L3406,2)="15",LEFT(TH!M3406,2)="15"),'152-CT'!$J$8=TH!F3406),"x","")</f>
        <v/>
      </c>
      <c r="W3406" s="525" t="str">
        <f>IF(AND(OR(LEFT(TH!L3406,2)="15",LEFT(TH!M3406,2)="15"),TK!$E$7=TH!F3406),"x","")</f>
        <v/>
      </c>
      <c r="X3406" s="525" t="str">
        <f>IF(AND('341-CT'!$E$9=H3406,OR(LEFT(L3406,3)=$X$7,LEFT(M3406,3)=$X$7)),"x","")</f>
        <v/>
      </c>
      <c r="Y3406" s="525" t="str">
        <f>IF(OR(TH!L3406=TH!$Y$7,M3406=TH!$Y$7),"x","")</f>
        <v/>
      </c>
      <c r="Z3406" s="525" t="str">
        <f>IF(AND(B3406&lt;=NKC!$N$8,B3406&gt;=NKC!$M$8),"x","")</f>
        <v/>
      </c>
      <c r="AA3406" s="526"/>
      <c r="AB3406" s="527"/>
    </row>
    <row r="3407" spans="1:30" s="576" customFormat="1" ht="15.75" customHeight="1">
      <c r="A3407" s="517" t="str">
        <f>IF(B3407&lt;&gt;"",IF(AND(B3407&gt;=_TM1,B3407&lt;=_TM2,OR(TH!L3407="1111",TH!M3407="1111")),TH!D3407,""),"")</f>
        <v/>
      </c>
      <c r="B3407" s="518">
        <f t="shared" si="338"/>
        <v>6</v>
      </c>
      <c r="C3407" s="571">
        <f t="shared" si="339"/>
        <v>42889</v>
      </c>
      <c r="D3407" s="571" t="s">
        <v>996</v>
      </c>
      <c r="E3407" s="571">
        <v>42889</v>
      </c>
      <c r="F3407" s="572" t="s">
        <v>1032</v>
      </c>
      <c r="G3407" s="573" t="s">
        <v>1187</v>
      </c>
      <c r="H3407" s="574" t="s">
        <v>800</v>
      </c>
      <c r="I3407" s="523">
        <v>65</v>
      </c>
      <c r="J3407" s="523">
        <v>11266.046153846153</v>
      </c>
      <c r="K3407" s="575">
        <f t="shared" si="340"/>
        <v>732293</v>
      </c>
      <c r="L3407" s="591" t="s">
        <v>160</v>
      </c>
      <c r="M3407" s="591" t="s">
        <v>292</v>
      </c>
      <c r="N3407" s="525" t="str">
        <f>IF(AND('331-CT'!$E$7=TH!H3407,OR(L3407="331",M3407="331")),"331",IF(AND(OR(L3407="131",M3407="131"),H3407='131-CT'!$E$7),"131",""))</f>
        <v/>
      </c>
      <c r="O3407" s="525" t="str">
        <f>IF(AND($B3407&gt;='111'!$N$11,$B3407&lt;='111'!$O$11,OR($L3407=$O$7,$M3407=$O$7)),"x","")</f>
        <v/>
      </c>
      <c r="P3407" s="525" t="str">
        <f>IF(AND($L3407=$O$7,$B3407&lt;'111'!$N$11),"x","")</f>
        <v/>
      </c>
      <c r="Q3407" s="525" t="str">
        <f>IF(AND($M3407=$O$7,$B3407&lt;'111'!$N$11),"x","")</f>
        <v/>
      </c>
      <c r="R3407" s="525" t="str">
        <f>IF(ISERROR(FIND('112'!$M$9,G3407,1)),"",IF((AND(FIND('112'!$M$9,G3407,1)&gt;=1,$B3407&gt;='112'!$N$8,$B3407&lt;='112'!$O$8,OR($L3407='112'!$I$6,$M3407='112'!$I$6))),"x",""))</f>
        <v/>
      </c>
      <c r="S3407" s="525" t="str">
        <f>IF(ISERROR(FIND('112'!$M$9,G3407,1)),"",IF((AND(LEFT(G3407,2)=LEFT('112'!$M$9,2),B3407&lt;'112'!$N$8,$L3407='112'!$I$6)),"x",""))</f>
        <v/>
      </c>
      <c r="T3407" s="525" t="str">
        <f>IF(ISERROR(FIND('112'!$M$9,G3407,1)),"",IF((AND(RIGHT(G3407,2)=RIGHT('112'!$M$9,2),B3407&lt;'112'!$N$8,$M3407='112'!$I$6)),"x",""))</f>
        <v/>
      </c>
      <c r="U3407" s="525" t="str">
        <f>IF(AND(B3407&gt;='IN-NX'!$P$3,B3407&lt;='IN-NX'!$Q$3,'IN-NX'!$D$7=D3407,OR(LEFT(L3407,2)="15",AND(LEFT(M3407,2)&lt;&gt;"15",LEFT(M3407,2)&lt;&gt;"33"))),"x","")</f>
        <v/>
      </c>
      <c r="V3407" s="525" t="str">
        <f>IF(AND(OR(LEFT(TH!L3407,2)="15",LEFT(TH!M3407,2)="15"),'152-CT'!$J$8=TH!F3407),"x","")</f>
        <v/>
      </c>
      <c r="W3407" s="525" t="str">
        <f>IF(AND(OR(LEFT(TH!L3407,2)="15",LEFT(TH!M3407,2)="15"),TK!$E$7=TH!F3407),"x","")</f>
        <v/>
      </c>
      <c r="X3407" s="525" t="str">
        <f>IF(AND('341-CT'!$E$9=H3407,OR(LEFT(L3407,3)=$X$7,LEFT(M3407,3)=$X$7)),"x","")</f>
        <v/>
      </c>
      <c r="Y3407" s="525" t="str">
        <f>IF(OR(TH!L3407=TH!$Y$7,M3407=TH!$Y$7),"x","")</f>
        <v/>
      </c>
      <c r="Z3407" s="525" t="str">
        <f>IF(AND(B3407&lt;=NKC!$N$8,B3407&gt;=NKC!$M$8),"x","")</f>
        <v/>
      </c>
      <c r="AA3407" s="526"/>
      <c r="AB3407" s="527"/>
    </row>
    <row r="3408" spans="1:30" s="576" customFormat="1" ht="15.75" customHeight="1">
      <c r="A3408" s="517" t="str">
        <f>IF(B3408&lt;&gt;"",IF(AND(B3408&gt;=_TM1,B3408&lt;=_TM2,OR(TH!L3408="1111",TH!M3408="1111")),TH!D3408,""),"")</f>
        <v/>
      </c>
      <c r="B3408" s="518">
        <f t="shared" si="338"/>
        <v>6</v>
      </c>
      <c r="C3408" s="571">
        <f t="shared" si="339"/>
        <v>42889</v>
      </c>
      <c r="D3408" s="571" t="s">
        <v>996</v>
      </c>
      <c r="E3408" s="571">
        <v>42889</v>
      </c>
      <c r="F3408" s="572" t="s">
        <v>1032</v>
      </c>
      <c r="G3408" s="573" t="s">
        <v>1187</v>
      </c>
      <c r="H3408" s="574" t="s">
        <v>800</v>
      </c>
      <c r="I3408" s="523">
        <v>325</v>
      </c>
      <c r="J3408" s="523">
        <v>11614.621538461539</v>
      </c>
      <c r="K3408" s="575">
        <f t="shared" si="340"/>
        <v>3774752</v>
      </c>
      <c r="L3408" s="591" t="s">
        <v>160</v>
      </c>
      <c r="M3408" s="591" t="s">
        <v>292</v>
      </c>
      <c r="N3408" s="525" t="str">
        <f>IF(AND('331-CT'!$E$7=TH!H3408,OR(L3408="331",M3408="331")),"331",IF(AND(OR(L3408="131",M3408="131"),H3408='131-CT'!$E$7),"131",""))</f>
        <v/>
      </c>
      <c r="O3408" s="525" t="str">
        <f>IF(AND($B3408&gt;='111'!$N$11,$B3408&lt;='111'!$O$11,OR($L3408=$O$7,$M3408=$O$7)),"x","")</f>
        <v/>
      </c>
      <c r="P3408" s="525" t="str">
        <f>IF(AND($L3408=$O$7,$B3408&lt;'111'!$N$11),"x","")</f>
        <v/>
      </c>
      <c r="Q3408" s="525" t="str">
        <f>IF(AND($M3408=$O$7,$B3408&lt;'111'!$N$11),"x","")</f>
        <v/>
      </c>
      <c r="R3408" s="525" t="str">
        <f>IF(ISERROR(FIND('112'!$M$9,G3408,1)),"",IF((AND(FIND('112'!$M$9,G3408,1)&gt;=1,$B3408&gt;='112'!$N$8,$B3408&lt;='112'!$O$8,OR($L3408='112'!$I$6,$M3408='112'!$I$6))),"x",""))</f>
        <v/>
      </c>
      <c r="S3408" s="525" t="str">
        <f>IF(ISERROR(FIND('112'!$M$9,G3408,1)),"",IF((AND(LEFT(G3408,2)=LEFT('112'!$M$9,2),B3408&lt;'112'!$N$8,$L3408='112'!$I$6)),"x",""))</f>
        <v/>
      </c>
      <c r="T3408" s="525" t="str">
        <f>IF(ISERROR(FIND('112'!$M$9,G3408,1)),"",IF((AND(RIGHT(G3408,2)=RIGHT('112'!$M$9,2),B3408&lt;'112'!$N$8,$M3408='112'!$I$6)),"x",""))</f>
        <v/>
      </c>
      <c r="U3408" s="525" t="str">
        <f>IF(AND(B3408&gt;='IN-NX'!$P$3,B3408&lt;='IN-NX'!$Q$3,'IN-NX'!$D$7=D3408,OR(LEFT(L3408,2)="15",AND(LEFT(M3408,2)&lt;&gt;"15",LEFT(M3408,2)&lt;&gt;"33"))),"x","")</f>
        <v/>
      </c>
      <c r="V3408" s="525" t="str">
        <f>IF(AND(OR(LEFT(TH!L3408,2)="15",LEFT(TH!M3408,2)="15"),'152-CT'!$J$8=TH!F3408),"x","")</f>
        <v/>
      </c>
      <c r="W3408" s="525" t="str">
        <f>IF(AND(OR(LEFT(TH!L3408,2)="15",LEFT(TH!M3408,2)="15"),TK!$E$7=TH!F3408),"x","")</f>
        <v/>
      </c>
      <c r="X3408" s="525" t="str">
        <f>IF(AND('341-CT'!$E$9=H3408,OR(LEFT(L3408,3)=$X$7,LEFT(M3408,3)=$X$7)),"x","")</f>
        <v/>
      </c>
      <c r="Y3408" s="525" t="str">
        <f>IF(OR(TH!L3408=TH!$Y$7,M3408=TH!$Y$7),"x","")</f>
        <v/>
      </c>
      <c r="Z3408" s="525" t="str">
        <f>IF(AND(B3408&lt;=NKC!$N$8,B3408&gt;=NKC!$M$8),"x","")</f>
        <v/>
      </c>
      <c r="AA3408" s="526"/>
      <c r="AB3408" s="527"/>
    </row>
    <row r="3409" spans="1:30" s="576" customFormat="1" ht="15.75" customHeight="1">
      <c r="A3409" s="517" t="str">
        <f>IF(B3409&lt;&gt;"",IF(AND(B3409&gt;=_TM1,B3409&lt;=_TM2,OR(TH!L3409="1111",TH!M3409="1111")),TH!D3409,""),"")</f>
        <v/>
      </c>
      <c r="B3409" s="518">
        <f t="shared" si="338"/>
        <v>6</v>
      </c>
      <c r="C3409" s="571">
        <f t="shared" si="339"/>
        <v>42889</v>
      </c>
      <c r="D3409" s="571" t="s">
        <v>996</v>
      </c>
      <c r="E3409" s="571">
        <v>42889</v>
      </c>
      <c r="F3409" s="572" t="s">
        <v>1032</v>
      </c>
      <c r="G3409" s="573" t="s">
        <v>1187</v>
      </c>
      <c r="H3409" s="574" t="s">
        <v>800</v>
      </c>
      <c r="I3409" s="523">
        <v>345</v>
      </c>
      <c r="J3409" s="523">
        <v>11616.426086956522</v>
      </c>
      <c r="K3409" s="575">
        <f t="shared" si="340"/>
        <v>4007667</v>
      </c>
      <c r="L3409" s="591" t="s">
        <v>160</v>
      </c>
      <c r="M3409" s="591" t="s">
        <v>292</v>
      </c>
      <c r="N3409" s="525" t="str">
        <f>IF(AND('331-CT'!$E$7=TH!H3409,OR(L3409="331",M3409="331")),"331",IF(AND(OR(L3409="131",M3409="131"),H3409='131-CT'!$E$7),"131",""))</f>
        <v/>
      </c>
      <c r="O3409" s="525" t="str">
        <f>IF(AND($B3409&gt;='111'!$N$11,$B3409&lt;='111'!$O$11,OR($L3409=$O$7,$M3409=$O$7)),"x","")</f>
        <v/>
      </c>
      <c r="P3409" s="525" t="str">
        <f>IF(AND($L3409=$O$7,$B3409&lt;'111'!$N$11),"x","")</f>
        <v/>
      </c>
      <c r="Q3409" s="525" t="str">
        <f>IF(AND($M3409=$O$7,$B3409&lt;'111'!$N$11),"x","")</f>
        <v/>
      </c>
      <c r="R3409" s="525" t="str">
        <f>IF(ISERROR(FIND('112'!$M$9,G3409,1)),"",IF((AND(FIND('112'!$M$9,G3409,1)&gt;=1,$B3409&gt;='112'!$N$8,$B3409&lt;='112'!$O$8,OR($L3409='112'!$I$6,$M3409='112'!$I$6))),"x",""))</f>
        <v/>
      </c>
      <c r="S3409" s="525" t="str">
        <f>IF(ISERROR(FIND('112'!$M$9,G3409,1)),"",IF((AND(LEFT(G3409,2)=LEFT('112'!$M$9,2),B3409&lt;'112'!$N$8,$L3409='112'!$I$6)),"x",""))</f>
        <v/>
      </c>
      <c r="T3409" s="525" t="str">
        <f>IF(ISERROR(FIND('112'!$M$9,G3409,1)),"",IF((AND(RIGHT(G3409,2)=RIGHT('112'!$M$9,2),B3409&lt;'112'!$N$8,$M3409='112'!$I$6)),"x",""))</f>
        <v/>
      </c>
      <c r="U3409" s="525" t="str">
        <f>IF(AND(B3409&gt;='IN-NX'!$P$3,B3409&lt;='IN-NX'!$Q$3,'IN-NX'!$D$7=D3409,OR(LEFT(L3409,2)="15",AND(LEFT(M3409,2)&lt;&gt;"15",LEFT(M3409,2)&lt;&gt;"33"))),"x","")</f>
        <v/>
      </c>
      <c r="V3409" s="525" t="str">
        <f>IF(AND(OR(LEFT(TH!L3409,2)="15",LEFT(TH!M3409,2)="15"),'152-CT'!$J$8=TH!F3409),"x","")</f>
        <v/>
      </c>
      <c r="W3409" s="525" t="str">
        <f>IF(AND(OR(LEFT(TH!L3409,2)="15",LEFT(TH!M3409,2)="15"),TK!$E$7=TH!F3409),"x","")</f>
        <v/>
      </c>
      <c r="X3409" s="525" t="str">
        <f>IF(AND('341-CT'!$E$9=H3409,OR(LEFT(L3409,3)=$X$7,LEFT(M3409,3)=$X$7)),"x","")</f>
        <v/>
      </c>
      <c r="Y3409" s="525" t="str">
        <f>IF(OR(TH!L3409=TH!$Y$7,M3409=TH!$Y$7),"x","")</f>
        <v/>
      </c>
      <c r="Z3409" s="525" t="str">
        <f>IF(AND(B3409&lt;=NKC!$N$8,B3409&gt;=NKC!$M$8),"x","")</f>
        <v/>
      </c>
      <c r="AA3409" s="526"/>
      <c r="AB3409" s="527"/>
    </row>
    <row r="3410" spans="1:30" s="576" customFormat="1" ht="15.75" customHeight="1">
      <c r="A3410" s="517" t="str">
        <f>IF(B3410&lt;&gt;"",IF(AND(B3410&gt;=_TM1,B3410&lt;=_TM2,OR(TH!L3410="1111",TH!M3410="1111")),TH!D3410,""),"")</f>
        <v/>
      </c>
      <c r="B3410" s="518">
        <f t="shared" ref="B3410:B3413" si="341">IF(C3410&lt;&gt;"",MONTH(C3410),"")</f>
        <v>6</v>
      </c>
      <c r="C3410" s="571">
        <f t="shared" ref="C3410:C3411" si="342">E3410</f>
        <v>42889</v>
      </c>
      <c r="D3410" s="571" t="s">
        <v>996</v>
      </c>
      <c r="E3410" s="571">
        <v>42889</v>
      </c>
      <c r="F3410" s="572" t="s">
        <v>1032</v>
      </c>
      <c r="G3410" s="573" t="s">
        <v>1187</v>
      </c>
      <c r="H3410" s="574" t="s">
        <v>800</v>
      </c>
      <c r="I3410" s="523">
        <v>42</v>
      </c>
      <c r="J3410" s="523">
        <v>11712.071428571429</v>
      </c>
      <c r="K3410" s="575">
        <f t="shared" ref="K3410:K3411" si="343">ROUND(I3410*J3410,0)</f>
        <v>491907</v>
      </c>
      <c r="L3410" s="591" t="s">
        <v>160</v>
      </c>
      <c r="M3410" s="591" t="s">
        <v>292</v>
      </c>
      <c r="N3410" s="525" t="str">
        <f>IF(AND('331-CT'!$E$7=TH!H3410,OR(L3410="331",M3410="331")),"331",IF(AND(OR(L3410="131",M3410="131"),H3410='131-CT'!$E$7),"131",""))</f>
        <v/>
      </c>
      <c r="O3410" s="525" t="str">
        <f>IF(AND($B3410&gt;='111'!$N$11,$B3410&lt;='111'!$O$11,OR($L3410=$O$7,$M3410=$O$7)),"x","")</f>
        <v/>
      </c>
      <c r="P3410" s="525" t="str">
        <f>IF(AND($L3410=$O$7,$B3410&lt;'111'!$N$11),"x","")</f>
        <v/>
      </c>
      <c r="Q3410" s="525" t="str">
        <f>IF(AND($M3410=$O$7,$B3410&lt;'111'!$N$11),"x","")</f>
        <v/>
      </c>
      <c r="R3410" s="525" t="str">
        <f>IF(ISERROR(FIND('112'!$M$9,G3410,1)),"",IF((AND(FIND('112'!$M$9,G3410,1)&gt;=1,$B3410&gt;='112'!$N$8,$B3410&lt;='112'!$O$8,OR($L3410='112'!$I$6,$M3410='112'!$I$6))),"x",""))</f>
        <v/>
      </c>
      <c r="S3410" s="525" t="str">
        <f>IF(ISERROR(FIND('112'!$M$9,G3410,1)),"",IF((AND(LEFT(G3410,2)=LEFT('112'!$M$9,2),B3410&lt;'112'!$N$8,$L3410='112'!$I$6)),"x",""))</f>
        <v/>
      </c>
      <c r="T3410" s="525" t="str">
        <f>IF(ISERROR(FIND('112'!$M$9,G3410,1)),"",IF((AND(RIGHT(G3410,2)=RIGHT('112'!$M$9,2),B3410&lt;'112'!$N$8,$M3410='112'!$I$6)),"x",""))</f>
        <v/>
      </c>
      <c r="U3410" s="525" t="str">
        <f>IF(AND(B3410&gt;='IN-NX'!$P$3,B3410&lt;='IN-NX'!$Q$3,'IN-NX'!$D$7=D3410,OR(LEFT(L3410,2)="15",AND(LEFT(M3410,2)&lt;&gt;"15",LEFT(M3410,2)&lt;&gt;"33"))),"x","")</f>
        <v/>
      </c>
      <c r="V3410" s="525" t="str">
        <f>IF(AND(OR(LEFT(TH!L3410,2)="15",LEFT(TH!M3410,2)="15"),'152-CT'!$J$8=TH!F3410),"x","")</f>
        <v/>
      </c>
      <c r="W3410" s="525" t="str">
        <f>IF(AND(OR(LEFT(TH!L3410,2)="15",LEFT(TH!M3410,2)="15"),TK!$E$7=TH!F3410),"x","")</f>
        <v/>
      </c>
      <c r="X3410" s="525" t="str">
        <f>IF(AND('341-CT'!$E$9=H3410,OR(LEFT(L3410,3)=$X$7,LEFT(M3410,3)=$X$7)),"x","")</f>
        <v/>
      </c>
      <c r="Y3410" s="525" t="str">
        <f>IF(OR(TH!L3410=TH!$Y$7,M3410=TH!$Y$7),"x","")</f>
        <v/>
      </c>
      <c r="Z3410" s="525" t="str">
        <f>IF(AND(B3410&lt;=NKC!$N$8,B3410&gt;=NKC!$M$8),"x","")</f>
        <v/>
      </c>
      <c r="AA3410" s="526"/>
      <c r="AB3410" s="527"/>
    </row>
    <row r="3411" spans="1:30" s="576" customFormat="1" ht="15.75" customHeight="1">
      <c r="A3411" s="517" t="str">
        <f>IF(B3411&lt;&gt;"",IF(AND(B3411&gt;=_TM1,B3411&lt;=_TM2,OR(TH!L3411="1111",TH!M3411="1111")),TH!D3411,""),"")</f>
        <v/>
      </c>
      <c r="B3411" s="518">
        <f t="shared" si="341"/>
        <v>6</v>
      </c>
      <c r="C3411" s="571">
        <f t="shared" si="342"/>
        <v>42889</v>
      </c>
      <c r="D3411" s="571" t="s">
        <v>996</v>
      </c>
      <c r="E3411" s="571">
        <v>42889</v>
      </c>
      <c r="F3411" s="572" t="s">
        <v>1032</v>
      </c>
      <c r="G3411" s="573" t="s">
        <v>1187</v>
      </c>
      <c r="H3411" s="574" t="s">
        <v>800</v>
      </c>
      <c r="I3411" s="523">
        <v>200</v>
      </c>
      <c r="J3411" s="523">
        <v>11788.924999999999</v>
      </c>
      <c r="K3411" s="575">
        <f t="shared" si="343"/>
        <v>2357785</v>
      </c>
      <c r="L3411" s="591" t="s">
        <v>160</v>
      </c>
      <c r="M3411" s="591" t="s">
        <v>292</v>
      </c>
      <c r="N3411" s="525" t="str">
        <f>IF(AND('331-CT'!$E$7=TH!H3411,OR(L3411="331",M3411="331")),"331",IF(AND(OR(L3411="131",M3411="131"),H3411='131-CT'!$E$7),"131",""))</f>
        <v/>
      </c>
      <c r="O3411" s="525" t="str">
        <f>IF(AND($B3411&gt;='111'!$N$11,$B3411&lt;='111'!$O$11,OR($L3411=$O$7,$M3411=$O$7)),"x","")</f>
        <v/>
      </c>
      <c r="P3411" s="525" t="str">
        <f>IF(AND($L3411=$O$7,$B3411&lt;'111'!$N$11),"x","")</f>
        <v/>
      </c>
      <c r="Q3411" s="525" t="str">
        <f>IF(AND($M3411=$O$7,$B3411&lt;'111'!$N$11),"x","")</f>
        <v/>
      </c>
      <c r="R3411" s="525" t="str">
        <f>IF(ISERROR(FIND('112'!$M$9,G3411,1)),"",IF((AND(FIND('112'!$M$9,G3411,1)&gt;=1,$B3411&gt;='112'!$N$8,$B3411&lt;='112'!$O$8,OR($L3411='112'!$I$6,$M3411='112'!$I$6))),"x",""))</f>
        <v/>
      </c>
      <c r="S3411" s="525" t="str">
        <f>IF(ISERROR(FIND('112'!$M$9,G3411,1)),"",IF((AND(LEFT(G3411,2)=LEFT('112'!$M$9,2),B3411&lt;'112'!$N$8,$L3411='112'!$I$6)),"x",""))</f>
        <v/>
      </c>
      <c r="T3411" s="525" t="str">
        <f>IF(ISERROR(FIND('112'!$M$9,G3411,1)),"",IF((AND(RIGHT(G3411,2)=RIGHT('112'!$M$9,2),B3411&lt;'112'!$N$8,$M3411='112'!$I$6)),"x",""))</f>
        <v/>
      </c>
      <c r="U3411" s="525" t="str">
        <f>IF(AND(B3411&gt;='IN-NX'!$P$3,B3411&lt;='IN-NX'!$Q$3,'IN-NX'!$D$7=D3411,OR(LEFT(L3411,2)="15",AND(LEFT(M3411,2)&lt;&gt;"15",LEFT(M3411,2)&lt;&gt;"33"))),"x","")</f>
        <v/>
      </c>
      <c r="V3411" s="525" t="str">
        <f>IF(AND(OR(LEFT(TH!L3411,2)="15",LEFT(TH!M3411,2)="15"),'152-CT'!$J$8=TH!F3411),"x","")</f>
        <v/>
      </c>
      <c r="W3411" s="525" t="str">
        <f>IF(AND(OR(LEFT(TH!L3411,2)="15",LEFT(TH!M3411,2)="15"),TK!$E$7=TH!F3411),"x","")</f>
        <v/>
      </c>
      <c r="X3411" s="525" t="str">
        <f>IF(AND('341-CT'!$E$9=H3411,OR(LEFT(L3411,3)=$X$7,LEFT(M3411,3)=$X$7)),"x","")</f>
        <v/>
      </c>
      <c r="Y3411" s="525" t="str">
        <f>IF(OR(TH!L3411=TH!$Y$7,M3411=TH!$Y$7),"x","")</f>
        <v/>
      </c>
      <c r="Z3411" s="525" t="str">
        <f>IF(AND(B3411&lt;=NKC!$N$8,B3411&gt;=NKC!$M$8),"x","")</f>
        <v/>
      </c>
      <c r="AA3411" s="526"/>
      <c r="AB3411" s="527"/>
    </row>
    <row r="3412" spans="1:30" s="576" customFormat="1" ht="15.75" customHeight="1">
      <c r="A3412" s="517" t="str">
        <f>IF(B3412&lt;&gt;"",IF(AND(B3412&gt;=_TM1,B3412&lt;=_TM2,OR(TH!L3412="1111",TH!M3412="1111")),TH!D3412,""),"")</f>
        <v/>
      </c>
      <c r="B3412" s="518">
        <f t="shared" si="341"/>
        <v>6</v>
      </c>
      <c r="C3412" s="571">
        <f>E3412</f>
        <v>42898</v>
      </c>
      <c r="D3412" s="571" t="s">
        <v>996</v>
      </c>
      <c r="E3412" s="571">
        <v>42898</v>
      </c>
      <c r="F3412" s="572" t="s">
        <v>1255</v>
      </c>
      <c r="G3412" s="573" t="s">
        <v>1254</v>
      </c>
      <c r="H3412" s="574" t="s">
        <v>800</v>
      </c>
      <c r="I3412" s="523">
        <v>185</v>
      </c>
      <c r="J3412" s="523">
        <v>5773.372972972973</v>
      </c>
      <c r="K3412" s="575">
        <f>ROUND(I3412*J3412,0)</f>
        <v>1068074</v>
      </c>
      <c r="L3412" s="591" t="s">
        <v>160</v>
      </c>
      <c r="M3412" s="591" t="s">
        <v>292</v>
      </c>
      <c r="N3412" s="525" t="str">
        <f>IF(AND('331-CT'!$E$7=TH!H3412,OR(L3412="331",M3412="331")),"331",IF(AND(OR(L3412="131",M3412="131"),H3412='131-CT'!$E$7),"131",""))</f>
        <v/>
      </c>
      <c r="O3412" s="525" t="str">
        <f>IF(AND($B3412&gt;='111'!$N$11,$B3412&lt;='111'!$O$11,OR($L3412=$O$7,$M3412=$O$7)),"x","")</f>
        <v/>
      </c>
      <c r="P3412" s="525" t="str">
        <f>IF(AND($L3412=$O$7,$B3412&lt;'111'!$N$11),"x","")</f>
        <v/>
      </c>
      <c r="Q3412" s="525" t="str">
        <f>IF(AND($M3412=$O$7,$B3412&lt;'111'!$N$11),"x","")</f>
        <v/>
      </c>
      <c r="R3412" s="525" t="str">
        <f>IF(ISERROR(FIND('112'!$M$9,G3412,1)),"",IF((AND(FIND('112'!$M$9,G3412,1)&gt;=1,$B3412&gt;='112'!$N$8,$B3412&lt;='112'!$O$8,OR($L3412='112'!$I$6,$M3412='112'!$I$6))),"x",""))</f>
        <v/>
      </c>
      <c r="S3412" s="525" t="str">
        <f>IF(ISERROR(FIND('112'!$M$9,G3412,1)),"",IF((AND(LEFT(G3412,2)=LEFT('112'!$M$9,2),B3412&lt;'112'!$N$8,$L3412='112'!$I$6)),"x",""))</f>
        <v/>
      </c>
      <c r="T3412" s="525" t="str">
        <f>IF(ISERROR(FIND('112'!$M$9,G3412,1)),"",IF((AND(RIGHT(G3412,2)=RIGHT('112'!$M$9,2),B3412&lt;'112'!$N$8,$M3412='112'!$I$6)),"x",""))</f>
        <v/>
      </c>
      <c r="U3412" s="525" t="str">
        <f>IF(AND(B3412&gt;='IN-NX'!$P$3,B3412&lt;='IN-NX'!$Q$3,'IN-NX'!$D$7=D3412,OR(LEFT(L3412,2)="15",AND(LEFT(M3412,2)&lt;&gt;"15",LEFT(M3412,2)&lt;&gt;"33"))),"x","")</f>
        <v/>
      </c>
      <c r="V3412" s="525" t="str">
        <f>IF(AND(OR(LEFT(TH!L3412,2)="15",LEFT(TH!M3412,2)="15"),'152-CT'!$J$8=TH!F3412),"x","")</f>
        <v/>
      </c>
      <c r="W3412" s="525" t="str">
        <f>IF(AND(OR(LEFT(TH!L3412,2)="15",LEFT(TH!M3412,2)="15"),TK!$E$7=TH!F3412),"x","")</f>
        <v/>
      </c>
      <c r="X3412" s="525" t="str">
        <f>IF(AND('341-CT'!$E$9=H3412,OR(LEFT(L3412,3)=$X$7,LEFT(M3412,3)=$X$7)),"x","")</f>
        <v/>
      </c>
      <c r="Y3412" s="525" t="str">
        <f>IF(OR(TH!L3412=TH!$Y$7,M3412=TH!$Y$7),"x","")</f>
        <v/>
      </c>
      <c r="Z3412" s="525" t="str">
        <f>IF(AND(B3412&lt;=NKC!$N$8,B3412&gt;=NKC!$M$8),"x","")</f>
        <v/>
      </c>
      <c r="AA3412" s="526"/>
      <c r="AB3412" s="527"/>
    </row>
    <row r="3413" spans="1:30" s="576" customFormat="1" ht="15.75" customHeight="1">
      <c r="A3413" s="517" t="str">
        <f>IF(B3413&lt;&gt;"",IF(AND(B3413&gt;=_TM1,B3413&lt;=_TM2,OR(TH!L3413="1111",TH!M3413="1111")),TH!D3413,""),"")</f>
        <v/>
      </c>
      <c r="B3413" s="518">
        <f t="shared" si="341"/>
        <v>6</v>
      </c>
      <c r="C3413" s="571">
        <f>E3413</f>
        <v>42898</v>
      </c>
      <c r="D3413" s="571" t="s">
        <v>996</v>
      </c>
      <c r="E3413" s="571">
        <v>42898</v>
      </c>
      <c r="F3413" s="572" t="s">
        <v>503</v>
      </c>
      <c r="G3413" s="573" t="s">
        <v>1254</v>
      </c>
      <c r="H3413" s="574" t="s">
        <v>800</v>
      </c>
      <c r="I3413" s="523">
        <v>700</v>
      </c>
      <c r="J3413" s="523">
        <v>5868.2114285714288</v>
      </c>
      <c r="K3413" s="575">
        <f>ROUND(I3413*J3413,0)</f>
        <v>4107748</v>
      </c>
      <c r="L3413" s="591" t="s">
        <v>160</v>
      </c>
      <c r="M3413" s="591" t="s">
        <v>292</v>
      </c>
      <c r="N3413" s="525" t="str">
        <f>IF(AND('331-CT'!$E$7=TH!H3413,OR(L3413="331",M3413="331")),"331",IF(AND(OR(L3413="131",M3413="131"),H3413='131-CT'!$E$7),"131",""))</f>
        <v/>
      </c>
      <c r="O3413" s="525" t="str">
        <f>IF(AND($B3413&gt;='111'!$N$11,$B3413&lt;='111'!$O$11,OR($L3413=$O$7,$M3413=$O$7)),"x","")</f>
        <v/>
      </c>
      <c r="P3413" s="525" t="str">
        <f>IF(AND($L3413=$O$7,$B3413&lt;'111'!$N$11),"x","")</f>
        <v/>
      </c>
      <c r="Q3413" s="525" t="str">
        <f>IF(AND($M3413=$O$7,$B3413&lt;'111'!$N$11),"x","")</f>
        <v/>
      </c>
      <c r="R3413" s="525" t="str">
        <f>IF(ISERROR(FIND('112'!$M$9,G3413,1)),"",IF((AND(FIND('112'!$M$9,G3413,1)&gt;=1,$B3413&gt;='112'!$N$8,$B3413&lt;='112'!$O$8,OR($L3413='112'!$I$6,$M3413='112'!$I$6))),"x",""))</f>
        <v/>
      </c>
      <c r="S3413" s="525" t="str">
        <f>IF(ISERROR(FIND('112'!$M$9,G3413,1)),"",IF((AND(LEFT(G3413,2)=LEFT('112'!$M$9,2),B3413&lt;'112'!$N$8,$L3413='112'!$I$6)),"x",""))</f>
        <v/>
      </c>
      <c r="T3413" s="525" t="str">
        <f>IF(ISERROR(FIND('112'!$M$9,G3413,1)),"",IF((AND(RIGHT(G3413,2)=RIGHT('112'!$M$9,2),B3413&lt;'112'!$N$8,$M3413='112'!$I$6)),"x",""))</f>
        <v/>
      </c>
      <c r="U3413" s="525" t="str">
        <f>IF(AND(B3413&gt;='IN-NX'!$P$3,B3413&lt;='IN-NX'!$Q$3,'IN-NX'!$D$7=D3413,OR(LEFT(L3413,2)="15",AND(LEFT(M3413,2)&lt;&gt;"15",LEFT(M3413,2)&lt;&gt;"33"))),"x","")</f>
        <v/>
      </c>
      <c r="V3413" s="525" t="str">
        <f>IF(AND(OR(LEFT(TH!L3413,2)="15",LEFT(TH!M3413,2)="15"),'152-CT'!$J$8=TH!F3413),"x","")</f>
        <v/>
      </c>
      <c r="W3413" s="525" t="str">
        <f>IF(AND(OR(LEFT(TH!L3413,2)="15",LEFT(TH!M3413,2)="15"),TK!$E$7=TH!F3413),"x","")</f>
        <v/>
      </c>
      <c r="X3413" s="525" t="str">
        <f>IF(AND('341-CT'!$E$9=H3413,OR(LEFT(L3413,3)=$X$7,LEFT(M3413,3)=$X$7)),"x","")</f>
        <v/>
      </c>
      <c r="Y3413" s="525" t="str">
        <f>IF(OR(TH!L3413=TH!$Y$7,M3413=TH!$Y$7),"x","")</f>
        <v/>
      </c>
      <c r="Z3413" s="525" t="str">
        <f>IF(AND(B3413&lt;=NKC!$N$8,B3413&gt;=NKC!$M$8),"x","")</f>
        <v/>
      </c>
      <c r="AA3413" s="526"/>
      <c r="AB3413" s="527"/>
    </row>
    <row r="3414" spans="1:30" s="576" customFormat="1" ht="15.75" customHeight="1">
      <c r="A3414" s="517" t="str">
        <f>IF(B3414&lt;&gt;"",IF(AND(B3414&gt;=_TM1,B3414&lt;=_TM2,OR(TH!L3414="1111",TH!M3414="1111")),TH!D3414,""),"")</f>
        <v/>
      </c>
      <c r="B3414" s="518">
        <f t="shared" si="338"/>
        <v>6</v>
      </c>
      <c r="C3414" s="571">
        <f t="shared" si="339"/>
        <v>42898</v>
      </c>
      <c r="D3414" s="571" t="s">
        <v>996</v>
      </c>
      <c r="E3414" s="571">
        <v>42898</v>
      </c>
      <c r="F3414" s="572" t="s">
        <v>503</v>
      </c>
      <c r="G3414" s="573" t="s">
        <v>1254</v>
      </c>
      <c r="H3414" s="574" t="s">
        <v>800</v>
      </c>
      <c r="I3414" s="523">
        <v>450</v>
      </c>
      <c r="J3414" s="523">
        <v>6403.1244444444446</v>
      </c>
      <c r="K3414" s="575">
        <f t="shared" si="340"/>
        <v>2881406</v>
      </c>
      <c r="L3414" s="591" t="s">
        <v>160</v>
      </c>
      <c r="M3414" s="591" t="s">
        <v>292</v>
      </c>
      <c r="N3414" s="525" t="str">
        <f>IF(AND('331-CT'!$E$7=TH!H3414,OR(L3414="331",M3414="331")),"331",IF(AND(OR(L3414="131",M3414="131"),H3414='131-CT'!$E$7),"131",""))</f>
        <v/>
      </c>
      <c r="O3414" s="525" t="str">
        <f>IF(AND($B3414&gt;='111'!$N$11,$B3414&lt;='111'!$O$11,OR($L3414=$O$7,$M3414=$O$7)),"x","")</f>
        <v/>
      </c>
      <c r="P3414" s="525" t="str">
        <f>IF(AND($L3414=$O$7,$B3414&lt;'111'!$N$11),"x","")</f>
        <v/>
      </c>
      <c r="Q3414" s="525" t="str">
        <f>IF(AND($M3414=$O$7,$B3414&lt;'111'!$N$11),"x","")</f>
        <v/>
      </c>
      <c r="R3414" s="525" t="str">
        <f>IF(ISERROR(FIND('112'!$M$9,G3414,1)),"",IF((AND(FIND('112'!$M$9,G3414,1)&gt;=1,$B3414&gt;='112'!$N$8,$B3414&lt;='112'!$O$8,OR($L3414='112'!$I$6,$M3414='112'!$I$6))),"x",""))</f>
        <v/>
      </c>
      <c r="S3414" s="525" t="str">
        <f>IF(ISERROR(FIND('112'!$M$9,G3414,1)),"",IF((AND(LEFT(G3414,2)=LEFT('112'!$M$9,2),B3414&lt;'112'!$N$8,$L3414='112'!$I$6)),"x",""))</f>
        <v/>
      </c>
      <c r="T3414" s="525" t="str">
        <f>IF(ISERROR(FIND('112'!$M$9,G3414,1)),"",IF((AND(RIGHT(G3414,2)=RIGHT('112'!$M$9,2),B3414&lt;'112'!$N$8,$M3414='112'!$I$6)),"x",""))</f>
        <v/>
      </c>
      <c r="U3414" s="525" t="str">
        <f>IF(AND(B3414&gt;='IN-NX'!$P$3,B3414&lt;='IN-NX'!$Q$3,'IN-NX'!$D$7=D3414,OR(LEFT(L3414,2)="15",AND(LEFT(M3414,2)&lt;&gt;"15",LEFT(M3414,2)&lt;&gt;"33"))),"x","")</f>
        <v/>
      </c>
      <c r="V3414" s="525" t="str">
        <f>IF(AND(OR(LEFT(TH!L3414,2)="15",LEFT(TH!M3414,2)="15"),'152-CT'!$J$8=TH!F3414),"x","")</f>
        <v/>
      </c>
      <c r="W3414" s="525" t="str">
        <f>IF(AND(OR(LEFT(TH!L3414,2)="15",LEFT(TH!M3414,2)="15"),TK!$E$7=TH!F3414),"x","")</f>
        <v/>
      </c>
      <c r="X3414" s="525" t="str">
        <f>IF(AND('341-CT'!$E$9=H3414,OR(LEFT(L3414,3)=$X$7,LEFT(M3414,3)=$X$7)),"x","")</f>
        <v/>
      </c>
      <c r="Y3414" s="525" t="str">
        <f>IF(OR(TH!L3414=TH!$Y$7,M3414=TH!$Y$7),"x","")</f>
        <v/>
      </c>
      <c r="Z3414" s="525" t="str">
        <f>IF(AND(B3414&lt;=NKC!$N$8,B3414&gt;=NKC!$M$8),"x","")</f>
        <v/>
      </c>
      <c r="AA3414" s="526"/>
      <c r="AB3414" s="527"/>
    </row>
    <row r="3415" spans="1:30" s="576" customFormat="1" ht="15.75" customHeight="1">
      <c r="A3415" s="517" t="str">
        <f>IF(B3415&lt;&gt;"",IF(AND(B3415&gt;=_TM1,B3415&lt;=_TM2,OR(TH!L3415="1111",TH!M3415="1111")),TH!D3415,""),"")</f>
        <v/>
      </c>
      <c r="B3415" s="518">
        <f t="shared" si="338"/>
        <v>6</v>
      </c>
      <c r="C3415" s="571">
        <f t="shared" si="339"/>
        <v>42898</v>
      </c>
      <c r="D3415" s="571" t="s">
        <v>996</v>
      </c>
      <c r="E3415" s="571">
        <v>42898</v>
      </c>
      <c r="F3415" s="572" t="s">
        <v>503</v>
      </c>
      <c r="G3415" s="573" t="s">
        <v>1254</v>
      </c>
      <c r="H3415" s="574" t="s">
        <v>800</v>
      </c>
      <c r="I3415" s="523">
        <v>400</v>
      </c>
      <c r="J3415" s="523">
        <v>5856.9250000000002</v>
      </c>
      <c r="K3415" s="575">
        <f t="shared" si="340"/>
        <v>2342770</v>
      </c>
      <c r="L3415" s="591" t="s">
        <v>160</v>
      </c>
      <c r="M3415" s="591" t="s">
        <v>292</v>
      </c>
      <c r="N3415" s="525" t="str">
        <f>IF(AND('331-CT'!$E$7=TH!H3415,OR(L3415="331",M3415="331")),"331",IF(AND(OR(L3415="131",M3415="131"),H3415='131-CT'!$E$7),"131",""))</f>
        <v/>
      </c>
      <c r="O3415" s="525" t="str">
        <f>IF(AND($B3415&gt;='111'!$N$11,$B3415&lt;='111'!$O$11,OR($L3415=$O$7,$M3415=$O$7)),"x","")</f>
        <v/>
      </c>
      <c r="P3415" s="525" t="str">
        <f>IF(AND($L3415=$O$7,$B3415&lt;'111'!$N$11),"x","")</f>
        <v/>
      </c>
      <c r="Q3415" s="525" t="str">
        <f>IF(AND($M3415=$O$7,$B3415&lt;'111'!$N$11),"x","")</f>
        <v/>
      </c>
      <c r="R3415" s="525" t="str">
        <f>IF(ISERROR(FIND('112'!$M$9,G3415,1)),"",IF((AND(FIND('112'!$M$9,G3415,1)&gt;=1,$B3415&gt;='112'!$N$8,$B3415&lt;='112'!$O$8,OR($L3415='112'!$I$6,$M3415='112'!$I$6))),"x",""))</f>
        <v/>
      </c>
      <c r="S3415" s="525" t="str">
        <f>IF(ISERROR(FIND('112'!$M$9,G3415,1)),"",IF((AND(LEFT(G3415,2)=LEFT('112'!$M$9,2),B3415&lt;'112'!$N$8,$L3415='112'!$I$6)),"x",""))</f>
        <v/>
      </c>
      <c r="T3415" s="525" t="str">
        <f>IF(ISERROR(FIND('112'!$M$9,G3415,1)),"",IF((AND(RIGHT(G3415,2)=RIGHT('112'!$M$9,2),B3415&lt;'112'!$N$8,$M3415='112'!$I$6)),"x",""))</f>
        <v/>
      </c>
      <c r="U3415" s="525" t="str">
        <f>IF(AND(B3415&gt;='IN-NX'!$P$3,B3415&lt;='IN-NX'!$Q$3,'IN-NX'!$D$7=D3415,OR(LEFT(L3415,2)="15",AND(LEFT(M3415,2)&lt;&gt;"15",LEFT(M3415,2)&lt;&gt;"33"))),"x","")</f>
        <v/>
      </c>
      <c r="V3415" s="525" t="str">
        <f>IF(AND(OR(LEFT(TH!L3415,2)="15",LEFT(TH!M3415,2)="15"),'152-CT'!$J$8=TH!F3415),"x","")</f>
        <v/>
      </c>
      <c r="W3415" s="525" t="str">
        <f>IF(AND(OR(LEFT(TH!L3415,2)="15",LEFT(TH!M3415,2)="15"),TK!$E$7=TH!F3415),"x","")</f>
        <v/>
      </c>
      <c r="X3415" s="525" t="str">
        <f>IF(AND('341-CT'!$E$9=H3415,OR(LEFT(L3415,3)=$X$7,LEFT(M3415,3)=$X$7)),"x","")</f>
        <v/>
      </c>
      <c r="Y3415" s="525" t="str">
        <f>IF(OR(TH!L3415=TH!$Y$7,M3415=TH!$Y$7),"x","")</f>
        <v/>
      </c>
      <c r="Z3415" s="525" t="str">
        <f>IF(AND(B3415&lt;=NKC!$N$8,B3415&gt;=NKC!$M$8),"x","")</f>
        <v/>
      </c>
      <c r="AA3415" s="526"/>
      <c r="AB3415" s="527"/>
    </row>
    <row r="3416" spans="1:30" s="576" customFormat="1" ht="15.75" customHeight="1">
      <c r="A3416" s="517" t="str">
        <f>IF(B3416&lt;&gt;"",IF(AND(B3416&gt;=_TM1,B3416&lt;=_TM2,OR(TH!L3416="1111",TH!M3416="1111")),TH!D3416,""),"")</f>
        <v/>
      </c>
      <c r="B3416" s="518">
        <f t="shared" ref="B3416:B3417" si="344">IF(C3416&lt;&gt;"",MONTH(C3416),"")</f>
        <v>6</v>
      </c>
      <c r="C3416" s="571">
        <f t="shared" ref="C3416:C3451" si="345">E3416</f>
        <v>42899</v>
      </c>
      <c r="D3416" s="571" t="s">
        <v>996</v>
      </c>
      <c r="E3416" s="571">
        <v>42899</v>
      </c>
      <c r="F3416" s="572" t="s">
        <v>1189</v>
      </c>
      <c r="G3416" s="573" t="s">
        <v>1190</v>
      </c>
      <c r="H3416" s="574" t="s">
        <v>800</v>
      </c>
      <c r="I3416" s="523">
        <v>300</v>
      </c>
      <c r="J3416" s="523">
        <v>14207.393333333333</v>
      </c>
      <c r="K3416" s="575">
        <f>ROUND(I3416*J3416,0)</f>
        <v>4262218</v>
      </c>
      <c r="L3416" s="591" t="s">
        <v>160</v>
      </c>
      <c r="M3416" s="591" t="s">
        <v>292</v>
      </c>
      <c r="N3416" s="525" t="str">
        <f>IF(AND('331-CT'!$E$7=TH!H3416,OR(L3416="331",M3416="331")),"331",IF(AND(OR(L3416="131",M3416="131"),H3416='131-CT'!$E$7),"131",""))</f>
        <v/>
      </c>
      <c r="O3416" s="525" t="str">
        <f>IF(AND($B3416&gt;='111'!$N$11,$B3416&lt;='111'!$O$11,OR($L3416=$O$7,$M3416=$O$7)),"x","")</f>
        <v/>
      </c>
      <c r="P3416" s="525" t="str">
        <f>IF(AND($L3416=$O$7,$B3416&lt;'111'!$N$11),"x","")</f>
        <v/>
      </c>
      <c r="Q3416" s="525" t="str">
        <f>IF(AND($M3416=$O$7,$B3416&lt;'111'!$N$11),"x","")</f>
        <v/>
      </c>
      <c r="R3416" s="525" t="str">
        <f>IF(ISERROR(FIND('112'!$M$9,G3416,1)),"",IF((AND(FIND('112'!$M$9,G3416,1)&gt;=1,$B3416&gt;='112'!$N$8,$B3416&lt;='112'!$O$8,OR($L3416='112'!$I$6,$M3416='112'!$I$6))),"x",""))</f>
        <v/>
      </c>
      <c r="S3416" s="525" t="str">
        <f>IF(ISERROR(FIND('112'!$M$9,G3416,1)),"",IF((AND(LEFT(G3416,2)=LEFT('112'!$M$9,2),B3416&lt;'112'!$N$8,$L3416='112'!$I$6)),"x",""))</f>
        <v/>
      </c>
      <c r="T3416" s="525" t="str">
        <f>IF(ISERROR(FIND('112'!$M$9,G3416,1)),"",IF((AND(RIGHT(G3416,2)=RIGHT('112'!$M$9,2),B3416&lt;'112'!$N$8,$M3416='112'!$I$6)),"x",""))</f>
        <v/>
      </c>
      <c r="U3416" s="525" t="str">
        <f>IF(AND(B3416&gt;='IN-NX'!$P$3,B3416&lt;='IN-NX'!$Q$3,'IN-NX'!$D$7=D3416,OR(LEFT(L3416,2)="15",AND(LEFT(M3416,2)&lt;&gt;"15",LEFT(M3416,2)&lt;&gt;"33"))),"x","")</f>
        <v/>
      </c>
      <c r="V3416" s="525" t="str">
        <f>IF(AND(OR(LEFT(TH!L3416,2)="15",LEFT(TH!M3416,2)="15"),'152-CT'!$J$8=TH!F3416),"x","")</f>
        <v/>
      </c>
      <c r="W3416" s="525" t="str">
        <f>IF(AND(OR(LEFT(TH!L3416,2)="15",LEFT(TH!M3416,2)="15"),TK!$E$7=TH!F3416),"x","")</f>
        <v/>
      </c>
      <c r="X3416" s="525" t="str">
        <f>IF(AND('341-CT'!$E$9=H3416,OR(LEFT(L3416,3)=$X$7,LEFT(M3416,3)=$X$7)),"x","")</f>
        <v/>
      </c>
      <c r="Y3416" s="525" t="str">
        <f>IF(OR(TH!L3416=TH!$Y$7,M3416=TH!$Y$7),"x","")</f>
        <v/>
      </c>
      <c r="Z3416" s="525" t="str">
        <f>IF(AND(B3416&lt;=NKC!$N$8,B3416&gt;=NKC!$M$8),"x","")</f>
        <v/>
      </c>
      <c r="AA3416" s="526"/>
      <c r="AB3416" s="527"/>
    </row>
    <row r="3417" spans="1:30" s="576" customFormat="1" ht="15.75" customHeight="1">
      <c r="A3417" s="517" t="str">
        <f>IF(B3417&lt;&gt;"",IF(AND(B3417&gt;=_TM1,B3417&lt;=_TM2,OR(TH!L3417="1111",TH!M3417="1111")),TH!D3417,""),"")</f>
        <v/>
      </c>
      <c r="B3417" s="518">
        <f t="shared" si="344"/>
        <v>6</v>
      </c>
      <c r="C3417" s="571">
        <f t="shared" si="345"/>
        <v>42914</v>
      </c>
      <c r="D3417" s="571" t="s">
        <v>996</v>
      </c>
      <c r="E3417" s="571">
        <v>42914</v>
      </c>
      <c r="F3417" s="572" t="s">
        <v>1191</v>
      </c>
      <c r="G3417" s="573" t="s">
        <v>1192</v>
      </c>
      <c r="H3417" s="574" t="s">
        <v>800</v>
      </c>
      <c r="I3417" s="523">
        <v>50</v>
      </c>
      <c r="J3417" s="523">
        <v>15104.72</v>
      </c>
      <c r="K3417" s="575">
        <f>ROUND(I3417*J3417,0)</f>
        <v>755236</v>
      </c>
      <c r="L3417" s="591" t="s">
        <v>160</v>
      </c>
      <c r="M3417" s="591" t="s">
        <v>292</v>
      </c>
      <c r="N3417" s="525" t="str">
        <f>IF(AND('331-CT'!$E$7=TH!H3417,OR(L3417="331",M3417="331")),"331",IF(AND(OR(L3417="131",M3417="131"),H3417='131-CT'!$E$7),"131",""))</f>
        <v/>
      </c>
      <c r="O3417" s="525" t="str">
        <f>IF(AND($B3417&gt;='111'!$N$11,$B3417&lt;='111'!$O$11,OR($L3417=$O$7,$M3417=$O$7)),"x","")</f>
        <v/>
      </c>
      <c r="P3417" s="525" t="str">
        <f>IF(AND($L3417=$O$7,$B3417&lt;'111'!$N$11),"x","")</f>
        <v/>
      </c>
      <c r="Q3417" s="525" t="str">
        <f>IF(AND($M3417=$O$7,$B3417&lt;'111'!$N$11),"x","")</f>
        <v/>
      </c>
      <c r="R3417" s="525" t="str">
        <f>IF(ISERROR(FIND('112'!$M$9,G3417,1)),"",IF((AND(FIND('112'!$M$9,G3417,1)&gt;=1,$B3417&gt;='112'!$N$8,$B3417&lt;='112'!$O$8,OR($L3417='112'!$I$6,$M3417='112'!$I$6))),"x",""))</f>
        <v/>
      </c>
      <c r="S3417" s="525" t="str">
        <f>IF(ISERROR(FIND('112'!$M$9,G3417,1)),"",IF((AND(LEFT(G3417,2)=LEFT('112'!$M$9,2),B3417&lt;'112'!$N$8,$L3417='112'!$I$6)),"x",""))</f>
        <v/>
      </c>
      <c r="T3417" s="525" t="str">
        <f>IF(ISERROR(FIND('112'!$M$9,G3417,1)),"",IF((AND(RIGHT(G3417,2)=RIGHT('112'!$M$9,2),B3417&lt;'112'!$N$8,$M3417='112'!$I$6)),"x",""))</f>
        <v/>
      </c>
      <c r="U3417" s="525" t="str">
        <f>IF(AND(B3417&gt;='IN-NX'!$P$3,B3417&lt;='IN-NX'!$Q$3,'IN-NX'!$D$7=D3417,OR(LEFT(L3417,2)="15",AND(LEFT(M3417,2)&lt;&gt;"15",LEFT(M3417,2)&lt;&gt;"33"))),"x","")</f>
        <v/>
      </c>
      <c r="V3417" s="525" t="str">
        <f>IF(AND(OR(LEFT(TH!L3417,2)="15",LEFT(TH!M3417,2)="15"),'152-CT'!$J$8=TH!F3417),"x","")</f>
        <v/>
      </c>
      <c r="W3417" s="525" t="str">
        <f>IF(AND(OR(LEFT(TH!L3417,2)="15",LEFT(TH!M3417,2)="15"),TK!$E$7=TH!F3417),"x","")</f>
        <v/>
      </c>
      <c r="X3417" s="525" t="str">
        <f>IF(AND('341-CT'!$E$9=H3417,OR(LEFT(L3417,3)=$X$7,LEFT(M3417,3)=$X$7)),"x","")</f>
        <v/>
      </c>
      <c r="Y3417" s="525" t="str">
        <f>IF(OR(TH!L3417=TH!$Y$7,M3417=TH!$Y$7),"x","")</f>
        <v/>
      </c>
      <c r="Z3417" s="525" t="str">
        <f>IF(AND(B3417&lt;=NKC!$N$8,B3417&gt;=NKC!$M$8),"x","")</f>
        <v/>
      </c>
      <c r="AA3417" s="526"/>
      <c r="AB3417" s="527"/>
    </row>
    <row r="3418" spans="1:30" s="503" customFormat="1" ht="15.75" customHeight="1">
      <c r="A3418" s="517" t="str">
        <f>IF(B3418&lt;&gt;"",IF(AND(B3418&gt;=_TM1,B3418&lt;=_TM2,OR(TH!L3418="1111",TH!M3418="1111")),TH!D3418,""),"")</f>
        <v/>
      </c>
      <c r="B3418" s="531">
        <f t="shared" ref="B3418:B3453" si="346">IF(C3418&lt;&gt;"",MONTH(C3418),"")</f>
        <v>7</v>
      </c>
      <c r="C3418" s="315">
        <f t="shared" si="345"/>
        <v>42920</v>
      </c>
      <c r="D3418" s="544" t="s">
        <v>1181</v>
      </c>
      <c r="E3418" s="315">
        <v>42920</v>
      </c>
      <c r="F3418" s="250" t="s">
        <v>1114</v>
      </c>
      <c r="G3418" s="314" t="s">
        <v>1287</v>
      </c>
      <c r="H3418" s="474" t="s">
        <v>280</v>
      </c>
      <c r="I3418" s="307">
        <v>300</v>
      </c>
      <c r="J3418" s="307">
        <v>5500</v>
      </c>
      <c r="K3418" s="532">
        <f>ROUND(I3418*J3418,0)</f>
        <v>1650000</v>
      </c>
      <c r="L3418" s="534" t="s">
        <v>223</v>
      </c>
      <c r="M3418" s="534" t="s">
        <v>162</v>
      </c>
      <c r="N3418" s="525" t="str">
        <f>IF(AND('331-CT'!$E$7=TH!H3418,OR(L3418="331",M3418="331")),"331",IF(AND(OR(L3418="131",M3418="131"),H3418='131-CT'!$E$7),"131",""))</f>
        <v/>
      </c>
      <c r="O3418" s="525" t="str">
        <f>IF(AND($B3418&gt;='111'!$N$11,$B3418&lt;='111'!$O$11,OR($L3418=$O$7,$M3418=$O$7)),"x","")</f>
        <v/>
      </c>
      <c r="P3418" s="525" t="str">
        <f>IF(AND($L3418=$O$7,$B3418&lt;'111'!$N$11),"x","")</f>
        <v/>
      </c>
      <c r="Q3418" s="525" t="str">
        <f>IF(AND($M3418=$O$7,$B3418&lt;'111'!$N$11),"x","")</f>
        <v/>
      </c>
      <c r="R3418" s="525" t="str">
        <f>IF(ISERROR(FIND('112'!$M$9,G3418,1)),"",IF((AND(FIND('112'!$M$9,G3418,1)&gt;=1,$B3418&gt;='112'!$N$8,$B3418&lt;='112'!$O$8,OR($L3418='112'!$I$6,$M3418='112'!$I$6))),"x",""))</f>
        <v/>
      </c>
      <c r="S3418" s="525" t="str">
        <f>IF(ISERROR(FIND('112'!$M$9,G3418,1)),"",IF((AND(LEFT(G3418,2)=LEFT('112'!$M$9,2),B3418&lt;'112'!$N$8,$L3418='112'!$I$6)),"x",""))</f>
        <v/>
      </c>
      <c r="T3418" s="525" t="str">
        <f>IF(ISERROR(FIND('112'!$M$9,G3418,1)),"",IF((AND(RIGHT(G3418,2)=RIGHT('112'!$M$9,2),B3418&lt;'112'!$N$8,$M3418='112'!$I$6)),"x",""))</f>
        <v/>
      </c>
      <c r="U3418" s="525" t="str">
        <f>IF(AND(B3418&gt;='IN-NX'!$P$3,B3418&lt;='IN-NX'!$Q$3,'IN-NX'!$D$7=D3418,OR(LEFT(L3418,2)="15",AND(LEFT(M3418,2)&lt;&gt;"15",LEFT(M3418,2)&lt;&gt;"33"))),"x","")</f>
        <v/>
      </c>
      <c r="V3418" s="525" t="str">
        <f>IF(AND(OR(LEFT(TH!L3418,2)="15",LEFT(TH!M3418,2)="15"),'152-CT'!$J$8=TH!F3418),"x","")</f>
        <v/>
      </c>
      <c r="W3418" s="525" t="str">
        <f>IF(AND(OR(LEFT(TH!L3418,2)="15",LEFT(TH!M3418,2)="15"),TK!$E$7=TH!F3418),"x","")</f>
        <v/>
      </c>
      <c r="X3418" s="525" t="str">
        <f>IF(AND('341-CT'!$E$9=H3418,OR(LEFT(L3418,3)=$X$7,LEFT(M3418,3)=$X$7)),"x","")</f>
        <v/>
      </c>
      <c r="Y3418" s="525" t="str">
        <f>IF(OR(TH!L3418=TH!$Y$7,M3418=TH!$Y$7),"x","")</f>
        <v/>
      </c>
      <c r="Z3418" s="525" t="str">
        <f>IF(AND(B3418&lt;=NKC!$N$8,B3418&gt;=NKC!$M$8),"x","")</f>
        <v/>
      </c>
      <c r="AA3418" s="535"/>
      <c r="AB3418" s="536"/>
      <c r="AC3418" s="536" t="str">
        <f>VLOOKUP(F3418,NXT!$B$12:$B$686,1,0)</f>
        <v>Thùng 36x24x18.5</v>
      </c>
      <c r="AD3418" s="536"/>
    </row>
    <row r="3419" spans="1:30" s="503" customFormat="1" ht="15.75" customHeight="1">
      <c r="A3419" s="517" t="str">
        <f>IF(B3419&lt;&gt;"",IF(AND(B3419&gt;=_TM1,B3419&lt;=_TM2,OR(TH!L3419="1111",TH!M3419="1111")),TH!D3419,""),"")</f>
        <v/>
      </c>
      <c r="B3419" s="531">
        <f t="shared" si="346"/>
        <v>7</v>
      </c>
      <c r="C3419" s="315">
        <f t="shared" si="345"/>
        <v>42920</v>
      </c>
      <c r="D3419" s="544" t="s">
        <v>1181</v>
      </c>
      <c r="E3419" s="315">
        <v>42920</v>
      </c>
      <c r="F3419" s="249" t="s">
        <v>494</v>
      </c>
      <c r="G3419" s="314" t="s">
        <v>1287</v>
      </c>
      <c r="H3419" s="474" t="s">
        <v>280</v>
      </c>
      <c r="I3419" s="307"/>
      <c r="J3419" s="307"/>
      <c r="K3419" s="532">
        <v>165000</v>
      </c>
      <c r="L3419" s="534" t="s">
        <v>223</v>
      </c>
      <c r="M3419" s="534" t="s">
        <v>259</v>
      </c>
      <c r="N3419" s="525" t="str">
        <f>IF(AND('331-CT'!$E$7=TH!H3419,OR(L3419="331",M3419="331")),"331",IF(AND(OR(L3419="131",M3419="131"),H3419='131-CT'!$E$7),"131",""))</f>
        <v/>
      </c>
      <c r="O3419" s="525" t="str">
        <f>IF(AND($B3419&gt;='111'!$N$11,$B3419&lt;='111'!$O$11,OR($L3419=$O$7,$M3419=$O$7)),"x","")</f>
        <v/>
      </c>
      <c r="P3419" s="525" t="str">
        <f>IF(AND($L3419=$O$7,$B3419&lt;'111'!$N$11),"x","")</f>
        <v/>
      </c>
      <c r="Q3419" s="525" t="str">
        <f>IF(AND($M3419=$O$7,$B3419&lt;'111'!$N$11),"x","")</f>
        <v/>
      </c>
      <c r="R3419" s="525" t="str">
        <f>IF(ISERROR(FIND('112'!$M$9,G3419,1)),"",IF((AND(FIND('112'!$M$9,G3419,1)&gt;=1,$B3419&gt;='112'!$N$8,$B3419&lt;='112'!$O$8,OR($L3419='112'!$I$6,$M3419='112'!$I$6))),"x",""))</f>
        <v/>
      </c>
      <c r="S3419" s="525" t="str">
        <f>IF(ISERROR(FIND('112'!$M$9,G3419,1)),"",IF((AND(LEFT(G3419,2)=LEFT('112'!$M$9,2),B3419&lt;'112'!$N$8,$L3419='112'!$I$6)),"x",""))</f>
        <v/>
      </c>
      <c r="T3419" s="525" t="str">
        <f>IF(ISERROR(FIND('112'!$M$9,G3419,1)),"",IF((AND(RIGHT(G3419,2)=RIGHT('112'!$M$9,2),B3419&lt;'112'!$N$8,$M3419='112'!$I$6)),"x",""))</f>
        <v/>
      </c>
      <c r="U3419" s="525" t="str">
        <f>IF(AND(B3419&gt;='IN-NX'!$P$3,B3419&lt;='IN-NX'!$Q$3,'IN-NX'!$D$7=D3419,OR(LEFT(L3419,2)="15",AND(LEFT(M3419,2)&lt;&gt;"15",LEFT(M3419,2)&lt;&gt;"33"))),"x","")</f>
        <v/>
      </c>
      <c r="V3419" s="525" t="str">
        <f>IF(AND(OR(LEFT(TH!L3419,2)="15",LEFT(TH!M3419,2)="15"),'152-CT'!$J$8=TH!F3419),"x","")</f>
        <v/>
      </c>
      <c r="W3419" s="525" t="str">
        <f>IF(AND(OR(LEFT(TH!L3419,2)="15",LEFT(TH!M3419,2)="15"),TK!$E$7=TH!F3419),"x","")</f>
        <v/>
      </c>
      <c r="X3419" s="525" t="str">
        <f>IF(AND('341-CT'!$E$9=H3419,OR(LEFT(L3419,3)=$X$7,LEFT(M3419,3)=$X$7)),"x","")</f>
        <v/>
      </c>
      <c r="Y3419" s="525" t="str">
        <f>IF(OR(TH!L3419=TH!$Y$7,M3419=TH!$Y$7),"x","")</f>
        <v/>
      </c>
      <c r="Z3419" s="525" t="str">
        <f>IF(AND(B3419&lt;=NKC!$N$8,B3419&gt;=NKC!$M$8),"x","")</f>
        <v/>
      </c>
      <c r="AA3419" s="535"/>
      <c r="AB3419" s="536"/>
    </row>
    <row r="3420" spans="1:30" s="503" customFormat="1" ht="15.75" customHeight="1">
      <c r="A3420" s="517" t="str">
        <f>IF(B3420&lt;&gt;"",IF(AND(B3420&gt;=_TM1,B3420&lt;=_TM2,OR(TH!L3420="1111",TH!M3420="1111")),TH!D3420,""),"")</f>
        <v/>
      </c>
      <c r="B3420" s="531">
        <f t="shared" si="346"/>
        <v>7</v>
      </c>
      <c r="C3420" s="315">
        <f t="shared" si="345"/>
        <v>42921</v>
      </c>
      <c r="D3420" s="544" t="s">
        <v>1181</v>
      </c>
      <c r="E3420" s="315">
        <v>42921</v>
      </c>
      <c r="F3420" s="250" t="s">
        <v>1290</v>
      </c>
      <c r="G3420" s="314" t="s">
        <v>1288</v>
      </c>
      <c r="H3420" s="472" t="s">
        <v>289</v>
      </c>
      <c r="I3420" s="307">
        <v>3530</v>
      </c>
      <c r="J3420" s="307">
        <v>12500</v>
      </c>
      <c r="K3420" s="532">
        <f>ROUND(I3420*J3420,0)</f>
        <v>44125000</v>
      </c>
      <c r="L3420" s="534" t="s">
        <v>223</v>
      </c>
      <c r="M3420" s="534" t="s">
        <v>162</v>
      </c>
      <c r="N3420" s="525" t="str">
        <f>IF(AND('331-CT'!$E$7=TH!H3420,OR(L3420="331",M3420="331")),"331",IF(AND(OR(L3420="131",M3420="131"),H3420='131-CT'!$E$7),"131",""))</f>
        <v/>
      </c>
      <c r="O3420" s="525" t="str">
        <f>IF(AND($B3420&gt;='111'!$N$11,$B3420&lt;='111'!$O$11,OR($L3420=$O$7,$M3420=$O$7)),"x","")</f>
        <v/>
      </c>
      <c r="P3420" s="525" t="str">
        <f>IF(AND($L3420=$O$7,$B3420&lt;'111'!$N$11),"x","")</f>
        <v/>
      </c>
      <c r="Q3420" s="525" t="str">
        <f>IF(AND($M3420=$O$7,$B3420&lt;'111'!$N$11),"x","")</f>
        <v/>
      </c>
      <c r="R3420" s="525" t="str">
        <f>IF(ISERROR(FIND('112'!$M$9,G3420,1)),"",IF((AND(FIND('112'!$M$9,G3420,1)&gt;=1,$B3420&gt;='112'!$N$8,$B3420&lt;='112'!$O$8,OR($L3420='112'!$I$6,$M3420='112'!$I$6))),"x",""))</f>
        <v/>
      </c>
      <c r="S3420" s="525" t="str">
        <f>IF(ISERROR(FIND('112'!$M$9,G3420,1)),"",IF((AND(LEFT(G3420,2)=LEFT('112'!$M$9,2),B3420&lt;'112'!$N$8,$L3420='112'!$I$6)),"x",""))</f>
        <v/>
      </c>
      <c r="T3420" s="525" t="str">
        <f>IF(ISERROR(FIND('112'!$M$9,G3420,1)),"",IF((AND(RIGHT(G3420,2)=RIGHT('112'!$M$9,2),B3420&lt;'112'!$N$8,$M3420='112'!$I$6)),"x",""))</f>
        <v/>
      </c>
      <c r="U3420" s="525" t="str">
        <f>IF(AND(B3420&gt;='IN-NX'!$P$3,B3420&lt;='IN-NX'!$Q$3,'IN-NX'!$D$7=D3420,OR(LEFT(L3420,2)="15",AND(LEFT(M3420,2)&lt;&gt;"15",LEFT(M3420,2)&lt;&gt;"33"))),"x","")</f>
        <v/>
      </c>
      <c r="V3420" s="525" t="str">
        <f>IF(AND(OR(LEFT(TH!L3420,2)="15",LEFT(TH!M3420,2)="15"),'152-CT'!$J$8=TH!F3420),"x","")</f>
        <v/>
      </c>
      <c r="W3420" s="525" t="str">
        <f>IF(AND(OR(LEFT(TH!L3420,2)="15",LEFT(TH!M3420,2)="15"),TK!$E$7=TH!F3420),"x","")</f>
        <v/>
      </c>
      <c r="X3420" s="525" t="str">
        <f>IF(AND('341-CT'!$E$9=H3420,OR(LEFT(L3420,3)=$X$7,LEFT(M3420,3)=$X$7)),"x","")</f>
        <v/>
      </c>
      <c r="Y3420" s="525" t="str">
        <f>IF(OR(TH!L3420=TH!$Y$7,M3420=TH!$Y$7),"x","")</f>
        <v/>
      </c>
      <c r="Z3420" s="525" t="str">
        <f>IF(AND(B3420&lt;=NKC!$N$8,B3420&gt;=NKC!$M$8),"x","")</f>
        <v/>
      </c>
      <c r="AA3420" s="535"/>
      <c r="AB3420" s="536"/>
      <c r="AC3420" s="536" t="str">
        <f>VLOOKUP(F3420,NXT!$B$12:$B$686,1,0)</f>
        <v>Thùng 41.5x30x17.5</v>
      </c>
    </row>
    <row r="3421" spans="1:30" s="503" customFormat="1" ht="15.75" customHeight="1">
      <c r="A3421" s="517" t="str">
        <f>IF(B3421&lt;&gt;"",IF(AND(B3421&gt;=_TM1,B3421&lt;=_TM2,OR(TH!L3421="1111",TH!M3421="1111")),TH!D3421,""),"")</f>
        <v/>
      </c>
      <c r="B3421" s="531">
        <f t="shared" si="346"/>
        <v>7</v>
      </c>
      <c r="C3421" s="315">
        <f t="shared" si="345"/>
        <v>42921</v>
      </c>
      <c r="D3421" s="544" t="s">
        <v>1181</v>
      </c>
      <c r="E3421" s="315">
        <v>42921</v>
      </c>
      <c r="F3421" s="249" t="s">
        <v>494</v>
      </c>
      <c r="G3421" s="314" t="s">
        <v>1288</v>
      </c>
      <c r="H3421" s="472" t="s">
        <v>289</v>
      </c>
      <c r="I3421" s="307"/>
      <c r="J3421" s="307"/>
      <c r="K3421" s="532">
        <v>4412500</v>
      </c>
      <c r="L3421" s="534" t="s">
        <v>223</v>
      </c>
      <c r="M3421" s="534" t="s">
        <v>259</v>
      </c>
      <c r="N3421" s="525" t="str">
        <f>IF(AND('331-CT'!$E$7=TH!H3421,OR(L3421="331",M3421="331")),"331",IF(AND(OR(L3421="131",M3421="131"),H3421='131-CT'!$E$7),"131",""))</f>
        <v/>
      </c>
      <c r="O3421" s="525" t="str">
        <f>IF(AND($B3421&gt;='111'!$N$11,$B3421&lt;='111'!$O$11,OR($L3421=$O$7,$M3421=$O$7)),"x","")</f>
        <v/>
      </c>
      <c r="P3421" s="525" t="str">
        <f>IF(AND($L3421=$O$7,$B3421&lt;'111'!$N$11),"x","")</f>
        <v/>
      </c>
      <c r="Q3421" s="525" t="str">
        <f>IF(AND($M3421=$O$7,$B3421&lt;'111'!$N$11),"x","")</f>
        <v/>
      </c>
      <c r="R3421" s="525" t="str">
        <f>IF(ISERROR(FIND('112'!$M$9,G3421,1)),"",IF((AND(FIND('112'!$M$9,G3421,1)&gt;=1,$B3421&gt;='112'!$N$8,$B3421&lt;='112'!$O$8,OR($L3421='112'!$I$6,$M3421='112'!$I$6))),"x",""))</f>
        <v/>
      </c>
      <c r="S3421" s="525" t="str">
        <f>IF(ISERROR(FIND('112'!$M$9,G3421,1)),"",IF((AND(LEFT(G3421,2)=LEFT('112'!$M$9,2),B3421&lt;'112'!$N$8,$L3421='112'!$I$6)),"x",""))</f>
        <v/>
      </c>
      <c r="T3421" s="525" t="str">
        <f>IF(ISERROR(FIND('112'!$M$9,G3421,1)),"",IF((AND(RIGHT(G3421,2)=RIGHT('112'!$M$9,2),B3421&lt;'112'!$N$8,$M3421='112'!$I$6)),"x",""))</f>
        <v/>
      </c>
      <c r="U3421" s="525" t="str">
        <f>IF(AND(B3421&gt;='IN-NX'!$P$3,B3421&lt;='IN-NX'!$Q$3,'IN-NX'!$D$7=D3421,OR(LEFT(L3421,2)="15",AND(LEFT(M3421,2)&lt;&gt;"15",LEFT(M3421,2)&lt;&gt;"33"))),"x","")</f>
        <v/>
      </c>
      <c r="V3421" s="525" t="str">
        <f>IF(AND(OR(LEFT(TH!L3421,2)="15",LEFT(TH!M3421,2)="15"),'152-CT'!$J$8=TH!F3421),"x","")</f>
        <v/>
      </c>
      <c r="W3421" s="525" t="str">
        <f>IF(AND(OR(LEFT(TH!L3421,2)="15",LEFT(TH!M3421,2)="15"),TK!$E$7=TH!F3421),"x","")</f>
        <v/>
      </c>
      <c r="X3421" s="525" t="str">
        <f>IF(AND('341-CT'!$E$9=H3421,OR(LEFT(L3421,3)=$X$7,LEFT(M3421,3)=$X$7)),"x","")</f>
        <v/>
      </c>
      <c r="Y3421" s="525" t="str">
        <f>IF(OR(TH!L3421=TH!$Y$7,M3421=TH!$Y$7),"x","")</f>
        <v/>
      </c>
      <c r="Z3421" s="525" t="str">
        <f>IF(AND(B3421&lt;=NKC!$N$8,B3421&gt;=NKC!$M$8),"x","")</f>
        <v/>
      </c>
      <c r="AA3421" s="535"/>
      <c r="AB3421" s="536"/>
    </row>
    <row r="3422" spans="1:30" s="503" customFormat="1" ht="15.75" customHeight="1">
      <c r="A3422" s="517" t="str">
        <f>IF(B3422&lt;&gt;"",IF(AND(B3422&gt;=_TM1,B3422&lt;=_TM2,OR(TH!L3422="1111",TH!M3422="1111")),TH!D3422,""),"")</f>
        <v/>
      </c>
      <c r="B3422" s="531">
        <f t="shared" si="346"/>
        <v>7</v>
      </c>
      <c r="C3422" s="315">
        <f t="shared" si="345"/>
        <v>42921</v>
      </c>
      <c r="D3422" s="544" t="s">
        <v>1181</v>
      </c>
      <c r="E3422" s="315">
        <v>42921</v>
      </c>
      <c r="F3422" s="250" t="s">
        <v>1217</v>
      </c>
      <c r="G3422" s="314" t="s">
        <v>1289</v>
      </c>
      <c r="H3422" s="473" t="s">
        <v>1218</v>
      </c>
      <c r="I3422" s="307">
        <v>2030</v>
      </c>
      <c r="J3422" s="307">
        <v>8800</v>
      </c>
      <c r="K3422" s="532">
        <f>ROUND(I3422*J3422,0)</f>
        <v>17864000</v>
      </c>
      <c r="L3422" s="534" t="s">
        <v>223</v>
      </c>
      <c r="M3422" s="534" t="s">
        <v>162</v>
      </c>
      <c r="N3422" s="525" t="str">
        <f>IF(AND('331-CT'!$E$7=TH!H3422,OR(L3422="331",M3422="331")),"331",IF(AND(OR(L3422="131",M3422="131"),H3422='131-CT'!$E$7),"131",""))</f>
        <v/>
      </c>
      <c r="O3422" s="525" t="str">
        <f>IF(AND($B3422&gt;='111'!$N$11,$B3422&lt;='111'!$O$11,OR($L3422=$O$7,$M3422=$O$7)),"x","")</f>
        <v/>
      </c>
      <c r="P3422" s="525" t="str">
        <f>IF(AND($L3422=$O$7,$B3422&lt;'111'!$N$11),"x","")</f>
        <v/>
      </c>
      <c r="Q3422" s="525" t="str">
        <f>IF(AND($M3422=$O$7,$B3422&lt;'111'!$N$11),"x","")</f>
        <v/>
      </c>
      <c r="R3422" s="525" t="str">
        <f>IF(ISERROR(FIND('112'!$M$9,G3422,1)),"",IF((AND(FIND('112'!$M$9,G3422,1)&gt;=1,$B3422&gt;='112'!$N$8,$B3422&lt;='112'!$O$8,OR($L3422='112'!$I$6,$M3422='112'!$I$6))),"x",""))</f>
        <v/>
      </c>
      <c r="S3422" s="525" t="str">
        <f>IF(ISERROR(FIND('112'!$M$9,G3422,1)),"",IF((AND(LEFT(G3422,2)=LEFT('112'!$M$9,2),B3422&lt;'112'!$N$8,$L3422='112'!$I$6)),"x",""))</f>
        <v/>
      </c>
      <c r="T3422" s="525" t="str">
        <f>IF(ISERROR(FIND('112'!$M$9,G3422,1)),"",IF((AND(RIGHT(G3422,2)=RIGHT('112'!$M$9,2),B3422&lt;'112'!$N$8,$M3422='112'!$I$6)),"x",""))</f>
        <v/>
      </c>
      <c r="U3422" s="525" t="str">
        <f>IF(AND(B3422&gt;='IN-NX'!$P$3,B3422&lt;='IN-NX'!$Q$3,'IN-NX'!$D$7=D3422,OR(LEFT(L3422,2)="15",AND(LEFT(M3422,2)&lt;&gt;"15",LEFT(M3422,2)&lt;&gt;"33"))),"x","")</f>
        <v/>
      </c>
      <c r="V3422" s="525" t="str">
        <f>IF(AND(OR(LEFT(TH!L3422,2)="15",LEFT(TH!M3422,2)="15"),'152-CT'!$J$8=TH!F3422),"x","")</f>
        <v/>
      </c>
      <c r="W3422" s="525" t="str">
        <f>IF(AND(OR(LEFT(TH!L3422,2)="15",LEFT(TH!M3422,2)="15"),TK!$E$7=TH!F3422),"x","")</f>
        <v/>
      </c>
      <c r="X3422" s="525" t="str">
        <f>IF(AND('341-CT'!$E$9=H3422,OR(LEFT(L3422,3)=$X$7,LEFT(M3422,3)=$X$7)),"x","")</f>
        <v/>
      </c>
      <c r="Y3422" s="525" t="str">
        <f>IF(OR(TH!L3422=TH!$Y$7,M3422=TH!$Y$7),"x","")</f>
        <v/>
      </c>
      <c r="Z3422" s="525" t="str">
        <f>IF(AND(B3422&lt;=NKC!$N$8,B3422&gt;=NKC!$M$8),"x","")</f>
        <v/>
      </c>
      <c r="AA3422" s="535"/>
      <c r="AB3422" s="536"/>
      <c r="AC3422" s="536" t="str">
        <f>VLOOKUP(F3422,NXT!$B$12:$B$686,1,0)</f>
        <v>Thùng 50x29.5x19</v>
      </c>
    </row>
    <row r="3423" spans="1:30" s="503" customFormat="1" ht="15.75" customHeight="1">
      <c r="A3423" s="517" t="str">
        <f>IF(B3423&lt;&gt;"",IF(AND(B3423&gt;=_TM1,B3423&lt;=_TM2,OR(TH!L3423="1111",TH!M3423="1111")),TH!D3423,""),"")</f>
        <v/>
      </c>
      <c r="B3423" s="531">
        <f t="shared" si="346"/>
        <v>7</v>
      </c>
      <c r="C3423" s="315">
        <f t="shared" si="345"/>
        <v>42921</v>
      </c>
      <c r="D3423" s="544" t="s">
        <v>1181</v>
      </c>
      <c r="E3423" s="315">
        <v>42921</v>
      </c>
      <c r="F3423" s="249" t="s">
        <v>494</v>
      </c>
      <c r="G3423" s="314" t="s">
        <v>1289</v>
      </c>
      <c r="H3423" s="473" t="s">
        <v>1218</v>
      </c>
      <c r="I3423" s="307"/>
      <c r="J3423" s="307"/>
      <c r="K3423" s="532">
        <v>1786400</v>
      </c>
      <c r="L3423" s="534" t="s">
        <v>223</v>
      </c>
      <c r="M3423" s="534" t="s">
        <v>259</v>
      </c>
      <c r="N3423" s="525" t="str">
        <f>IF(AND('331-CT'!$E$7=TH!H3423,OR(L3423="331",M3423="331")),"331",IF(AND(OR(L3423="131",M3423="131"),H3423='131-CT'!$E$7),"131",""))</f>
        <v/>
      </c>
      <c r="O3423" s="525" t="str">
        <f>IF(AND($B3423&gt;='111'!$N$11,$B3423&lt;='111'!$O$11,OR($L3423=$O$7,$M3423=$O$7)),"x","")</f>
        <v/>
      </c>
      <c r="P3423" s="525" t="str">
        <f>IF(AND($L3423=$O$7,$B3423&lt;'111'!$N$11),"x","")</f>
        <v/>
      </c>
      <c r="Q3423" s="525" t="str">
        <f>IF(AND($M3423=$O$7,$B3423&lt;'111'!$N$11),"x","")</f>
        <v/>
      </c>
      <c r="R3423" s="525" t="str">
        <f>IF(ISERROR(FIND('112'!$M$9,G3423,1)),"",IF((AND(FIND('112'!$M$9,G3423,1)&gt;=1,$B3423&gt;='112'!$N$8,$B3423&lt;='112'!$O$8,OR($L3423='112'!$I$6,$M3423='112'!$I$6))),"x",""))</f>
        <v/>
      </c>
      <c r="S3423" s="525" t="str">
        <f>IF(ISERROR(FIND('112'!$M$9,G3423,1)),"",IF((AND(LEFT(G3423,2)=LEFT('112'!$M$9,2),B3423&lt;'112'!$N$8,$L3423='112'!$I$6)),"x",""))</f>
        <v/>
      </c>
      <c r="T3423" s="525" t="str">
        <f>IF(ISERROR(FIND('112'!$M$9,G3423,1)),"",IF((AND(RIGHT(G3423,2)=RIGHT('112'!$M$9,2),B3423&lt;'112'!$N$8,$M3423='112'!$I$6)),"x",""))</f>
        <v/>
      </c>
      <c r="U3423" s="525" t="str">
        <f>IF(AND(B3423&gt;='IN-NX'!$P$3,B3423&lt;='IN-NX'!$Q$3,'IN-NX'!$D$7=D3423,OR(LEFT(L3423,2)="15",AND(LEFT(M3423,2)&lt;&gt;"15",LEFT(M3423,2)&lt;&gt;"33"))),"x","")</f>
        <v/>
      </c>
      <c r="V3423" s="525" t="str">
        <f>IF(AND(OR(LEFT(TH!L3423,2)="15",LEFT(TH!M3423,2)="15"),'152-CT'!$J$8=TH!F3423),"x","")</f>
        <v/>
      </c>
      <c r="W3423" s="525" t="str">
        <f>IF(AND(OR(LEFT(TH!L3423,2)="15",LEFT(TH!M3423,2)="15"),TK!$E$7=TH!F3423),"x","")</f>
        <v/>
      </c>
      <c r="X3423" s="525" t="str">
        <f>IF(AND('341-CT'!$E$9=H3423,OR(LEFT(L3423,3)=$X$7,LEFT(M3423,3)=$X$7)),"x","")</f>
        <v/>
      </c>
      <c r="Y3423" s="525" t="str">
        <f>IF(OR(TH!L3423=TH!$Y$7,M3423=TH!$Y$7),"x","")</f>
        <v/>
      </c>
      <c r="Z3423" s="525" t="str">
        <f>IF(AND(B3423&lt;=NKC!$N$8,B3423&gt;=NKC!$M$8),"x","")</f>
        <v/>
      </c>
      <c r="AA3423" s="535"/>
      <c r="AB3423" s="536"/>
    </row>
    <row r="3424" spans="1:30" s="503" customFormat="1" ht="15.75" customHeight="1">
      <c r="A3424" s="517" t="str">
        <f>IF(B3424&lt;&gt;"",IF(AND(B3424&gt;=_TM1,B3424&lt;=_TM2,OR(TH!L3424="1111",TH!M3424="1111")),TH!D3424,""),"")</f>
        <v/>
      </c>
      <c r="B3424" s="531">
        <f t="shared" si="346"/>
        <v>7</v>
      </c>
      <c r="C3424" s="315">
        <f t="shared" si="345"/>
        <v>42922</v>
      </c>
      <c r="D3424" s="544" t="s">
        <v>1181</v>
      </c>
      <c r="E3424" s="315">
        <v>42922</v>
      </c>
      <c r="F3424" s="249" t="s">
        <v>380</v>
      </c>
      <c r="G3424" s="314" t="s">
        <v>1291</v>
      </c>
      <c r="H3424" s="473" t="s">
        <v>420</v>
      </c>
      <c r="I3424" s="307">
        <v>1607</v>
      </c>
      <c r="J3424" s="307">
        <v>8400</v>
      </c>
      <c r="K3424" s="532">
        <f>ROUND(I3424*J3424,0)</f>
        <v>13498800</v>
      </c>
      <c r="L3424" s="534" t="s">
        <v>223</v>
      </c>
      <c r="M3424" s="534" t="s">
        <v>162</v>
      </c>
      <c r="N3424" s="525" t="str">
        <f>IF(AND('331-CT'!$E$7=TH!H3424,OR(L3424="331",M3424="331")),"331",IF(AND(OR(L3424="131",M3424="131"),H3424='131-CT'!$E$7),"131",""))</f>
        <v>131</v>
      </c>
      <c r="O3424" s="525" t="str">
        <f>IF(AND($B3424&gt;='111'!$N$11,$B3424&lt;='111'!$O$11,OR($L3424=$O$7,$M3424=$O$7)),"x","")</f>
        <v/>
      </c>
      <c r="P3424" s="525" t="str">
        <f>IF(AND($L3424=$O$7,$B3424&lt;'111'!$N$11),"x","")</f>
        <v/>
      </c>
      <c r="Q3424" s="525" t="str">
        <f>IF(AND($M3424=$O$7,$B3424&lt;'111'!$N$11),"x","")</f>
        <v/>
      </c>
      <c r="R3424" s="525" t="str">
        <f>IF(ISERROR(FIND('112'!$M$9,G3424,1)),"",IF((AND(FIND('112'!$M$9,G3424,1)&gt;=1,$B3424&gt;='112'!$N$8,$B3424&lt;='112'!$O$8,OR($L3424='112'!$I$6,$M3424='112'!$I$6))),"x",""))</f>
        <v/>
      </c>
      <c r="S3424" s="525" t="str">
        <f>IF(ISERROR(FIND('112'!$M$9,G3424,1)),"",IF((AND(LEFT(G3424,2)=LEFT('112'!$M$9,2),B3424&lt;'112'!$N$8,$L3424='112'!$I$6)),"x",""))</f>
        <v/>
      </c>
      <c r="T3424" s="525" t="str">
        <f>IF(ISERROR(FIND('112'!$M$9,G3424,1)),"",IF((AND(RIGHT(G3424,2)=RIGHT('112'!$M$9,2),B3424&lt;'112'!$N$8,$M3424='112'!$I$6)),"x",""))</f>
        <v/>
      </c>
      <c r="U3424" s="525" t="str">
        <f>IF(AND(B3424&gt;='IN-NX'!$P$3,B3424&lt;='IN-NX'!$Q$3,'IN-NX'!$D$7=D3424,OR(LEFT(L3424,2)="15",AND(LEFT(M3424,2)&lt;&gt;"15",LEFT(M3424,2)&lt;&gt;"33"))),"x","")</f>
        <v/>
      </c>
      <c r="V3424" s="525" t="str">
        <f>IF(AND(OR(LEFT(TH!L3424,2)="15",LEFT(TH!M3424,2)="15"),'152-CT'!$J$8=TH!F3424),"x","")</f>
        <v/>
      </c>
      <c r="W3424" s="525" t="str">
        <f>IF(AND(OR(LEFT(TH!L3424,2)="15",LEFT(TH!M3424,2)="15"),TK!$E$7=TH!F3424),"x","")</f>
        <v/>
      </c>
      <c r="X3424" s="525" t="str">
        <f>IF(AND('341-CT'!$E$9=H3424,OR(LEFT(L3424,3)=$X$7,LEFT(M3424,3)=$X$7)),"x","")</f>
        <v/>
      </c>
      <c r="Y3424" s="525" t="str">
        <f>IF(OR(TH!L3424=TH!$Y$7,M3424=TH!$Y$7),"x","")</f>
        <v/>
      </c>
      <c r="Z3424" s="525" t="str">
        <f>IF(AND(B3424&lt;=NKC!$N$8,B3424&gt;=NKC!$M$8),"x","")</f>
        <v/>
      </c>
      <c r="AA3424" s="535"/>
      <c r="AB3424" s="536"/>
      <c r="AC3424" s="536" t="str">
        <f>VLOOKUP(F3424,NXT!$B$12:$B$686,1,0)</f>
        <v>Giấy cuộn</v>
      </c>
    </row>
    <row r="3425" spans="1:34" s="503" customFormat="1" ht="15.75" customHeight="1">
      <c r="A3425" s="517" t="str">
        <f>IF(B3425&lt;&gt;"",IF(AND(B3425&gt;=_TM1,B3425&lt;=_TM2,OR(TH!L3425="1111",TH!M3425="1111")),TH!D3425,""),"")</f>
        <v/>
      </c>
      <c r="B3425" s="531">
        <f t="shared" si="346"/>
        <v>7</v>
      </c>
      <c r="C3425" s="315">
        <f t="shared" si="345"/>
        <v>42922</v>
      </c>
      <c r="D3425" s="544" t="s">
        <v>1181</v>
      </c>
      <c r="E3425" s="315">
        <v>42922</v>
      </c>
      <c r="F3425" s="250" t="s">
        <v>499</v>
      </c>
      <c r="G3425" s="314" t="s">
        <v>1291</v>
      </c>
      <c r="H3425" s="473" t="s">
        <v>420</v>
      </c>
      <c r="I3425" s="307"/>
      <c r="J3425" s="307"/>
      <c r="K3425" s="532">
        <v>1349880</v>
      </c>
      <c r="L3425" s="534" t="s">
        <v>223</v>
      </c>
      <c r="M3425" s="534" t="s">
        <v>259</v>
      </c>
      <c r="N3425" s="525" t="str">
        <f>IF(AND('331-CT'!$E$7=TH!H3425,OR(L3425="331",M3425="331")),"331",IF(AND(OR(L3425="131",M3425="131"),H3425='131-CT'!$E$7),"131",""))</f>
        <v>131</v>
      </c>
      <c r="O3425" s="525" t="str">
        <f>IF(AND($B3425&gt;='111'!$N$11,$B3425&lt;='111'!$O$11,OR($L3425=$O$7,$M3425=$O$7)),"x","")</f>
        <v/>
      </c>
      <c r="P3425" s="525" t="str">
        <f>IF(AND($L3425=$O$7,$B3425&lt;'111'!$N$11),"x","")</f>
        <v/>
      </c>
      <c r="Q3425" s="525" t="str">
        <f>IF(AND($M3425=$O$7,$B3425&lt;'111'!$N$11),"x","")</f>
        <v/>
      </c>
      <c r="R3425" s="525" t="str">
        <f>IF(ISERROR(FIND('112'!$M$9,G3425,1)),"",IF((AND(FIND('112'!$M$9,G3425,1)&gt;=1,$B3425&gt;='112'!$N$8,$B3425&lt;='112'!$O$8,OR($L3425='112'!$I$6,$M3425='112'!$I$6))),"x",""))</f>
        <v/>
      </c>
      <c r="S3425" s="525" t="str">
        <f>IF(ISERROR(FIND('112'!$M$9,G3425,1)),"",IF((AND(LEFT(G3425,2)=LEFT('112'!$M$9,2),B3425&lt;'112'!$N$8,$L3425='112'!$I$6)),"x",""))</f>
        <v/>
      </c>
      <c r="T3425" s="525" t="str">
        <f>IF(ISERROR(FIND('112'!$M$9,G3425,1)),"",IF((AND(RIGHT(G3425,2)=RIGHT('112'!$M$9,2),B3425&lt;'112'!$N$8,$M3425='112'!$I$6)),"x",""))</f>
        <v/>
      </c>
      <c r="U3425" s="525" t="str">
        <f>IF(AND(B3425&gt;='IN-NX'!$P$3,B3425&lt;='IN-NX'!$Q$3,'IN-NX'!$D$7=D3425,OR(LEFT(L3425,2)="15",AND(LEFT(M3425,2)&lt;&gt;"15",LEFT(M3425,2)&lt;&gt;"33"))),"x","")</f>
        <v/>
      </c>
      <c r="V3425" s="525" t="str">
        <f>IF(AND(OR(LEFT(TH!L3425,2)="15",LEFT(TH!M3425,2)="15"),'152-CT'!$J$8=TH!F3425),"x","")</f>
        <v/>
      </c>
      <c r="W3425" s="525" t="str">
        <f>IF(AND(OR(LEFT(TH!L3425,2)="15",LEFT(TH!M3425,2)="15"),TK!$E$7=TH!F3425),"x","")</f>
        <v/>
      </c>
      <c r="X3425" s="525" t="str">
        <f>IF(AND('341-CT'!$E$9=H3425,OR(LEFT(L3425,3)=$X$7,LEFT(M3425,3)=$X$7)),"x","")</f>
        <v/>
      </c>
      <c r="Y3425" s="525" t="str">
        <f>IF(OR(TH!L3425=TH!$Y$7,M3425=TH!$Y$7),"x","")</f>
        <v/>
      </c>
      <c r="Z3425" s="525" t="str">
        <f>IF(AND(B3425&lt;=NKC!$N$8,B3425&gt;=NKC!$M$8),"x","")</f>
        <v/>
      </c>
      <c r="AA3425" s="535"/>
      <c r="AB3425" s="536"/>
    </row>
    <row r="3426" spans="1:34" s="503" customFormat="1" ht="15.75" customHeight="1">
      <c r="A3426" s="517" t="str">
        <f>IF(B3426&lt;&gt;"",IF(AND(B3426&gt;=_TM1,B3426&lt;=_TM2,OR(TH!L3426="1111",TH!M3426="1111")),TH!D3426,""),"")</f>
        <v/>
      </c>
      <c r="B3426" s="531">
        <f t="shared" si="346"/>
        <v>7</v>
      </c>
      <c r="C3426" s="315">
        <f t="shared" si="345"/>
        <v>42922</v>
      </c>
      <c r="D3426" s="544" t="s">
        <v>1181</v>
      </c>
      <c r="E3426" s="315">
        <v>42922</v>
      </c>
      <c r="F3426" s="250" t="s">
        <v>1217</v>
      </c>
      <c r="G3426" s="314" t="s">
        <v>1292</v>
      </c>
      <c r="H3426" s="473" t="s">
        <v>1218</v>
      </c>
      <c r="I3426" s="307">
        <v>2030</v>
      </c>
      <c r="J3426" s="307">
        <v>8800</v>
      </c>
      <c r="K3426" s="532">
        <f>ROUND(I3426*J3426,0)</f>
        <v>17864000</v>
      </c>
      <c r="L3426" s="534" t="s">
        <v>223</v>
      </c>
      <c r="M3426" s="534" t="s">
        <v>162</v>
      </c>
      <c r="N3426" s="525" t="str">
        <f>IF(AND('331-CT'!$E$7=TH!H3426,OR(L3426="331",M3426="331")),"331",IF(AND(OR(L3426="131",M3426="131"),H3426='131-CT'!$E$7),"131",""))</f>
        <v/>
      </c>
      <c r="O3426" s="525" t="str">
        <f>IF(AND($B3426&gt;='111'!$N$11,$B3426&lt;='111'!$O$11,OR($L3426=$O$7,$M3426=$O$7)),"x","")</f>
        <v/>
      </c>
      <c r="P3426" s="525" t="str">
        <f>IF(AND($L3426=$O$7,$B3426&lt;'111'!$N$11),"x","")</f>
        <v/>
      </c>
      <c r="Q3426" s="525" t="str">
        <f>IF(AND($M3426=$O$7,$B3426&lt;'111'!$N$11),"x","")</f>
        <v/>
      </c>
      <c r="R3426" s="525" t="str">
        <f>IF(ISERROR(FIND('112'!$M$9,G3426,1)),"",IF((AND(FIND('112'!$M$9,G3426,1)&gt;=1,$B3426&gt;='112'!$N$8,$B3426&lt;='112'!$O$8,OR($L3426='112'!$I$6,$M3426='112'!$I$6))),"x",""))</f>
        <v/>
      </c>
      <c r="S3426" s="525" t="str">
        <f>IF(ISERROR(FIND('112'!$M$9,G3426,1)),"",IF((AND(LEFT(G3426,2)=LEFT('112'!$M$9,2),B3426&lt;'112'!$N$8,$L3426='112'!$I$6)),"x",""))</f>
        <v/>
      </c>
      <c r="T3426" s="525" t="str">
        <f>IF(ISERROR(FIND('112'!$M$9,G3426,1)),"",IF((AND(RIGHT(G3426,2)=RIGHT('112'!$M$9,2),B3426&lt;'112'!$N$8,$M3426='112'!$I$6)),"x",""))</f>
        <v/>
      </c>
      <c r="U3426" s="525" t="str">
        <f>IF(AND(B3426&gt;='IN-NX'!$P$3,B3426&lt;='IN-NX'!$Q$3,'IN-NX'!$D$7=D3426,OR(LEFT(L3426,2)="15",AND(LEFT(M3426,2)&lt;&gt;"15",LEFT(M3426,2)&lt;&gt;"33"))),"x","")</f>
        <v/>
      </c>
      <c r="V3426" s="525" t="str">
        <f>IF(AND(OR(LEFT(TH!L3426,2)="15",LEFT(TH!M3426,2)="15"),'152-CT'!$J$8=TH!F3426),"x","")</f>
        <v/>
      </c>
      <c r="W3426" s="525" t="str">
        <f>IF(AND(OR(LEFT(TH!L3426,2)="15",LEFT(TH!M3426,2)="15"),TK!$E$7=TH!F3426),"x","")</f>
        <v/>
      </c>
      <c r="X3426" s="525" t="str">
        <f>IF(AND('341-CT'!$E$9=H3426,OR(LEFT(L3426,3)=$X$7,LEFT(M3426,3)=$X$7)),"x","")</f>
        <v/>
      </c>
      <c r="Y3426" s="525" t="str">
        <f>IF(OR(TH!L3426=TH!$Y$7,M3426=TH!$Y$7),"x","")</f>
        <v/>
      </c>
      <c r="Z3426" s="525" t="str">
        <f>IF(AND(B3426&lt;=NKC!$N$8,B3426&gt;=NKC!$M$8),"x","")</f>
        <v/>
      </c>
      <c r="AA3426" s="535"/>
      <c r="AB3426" s="536"/>
      <c r="AC3426" s="536" t="str">
        <f>VLOOKUP(F3426,NXT!$B$12:$B$686,1,0)</f>
        <v>Thùng 50x29.5x19</v>
      </c>
    </row>
    <row r="3427" spans="1:34" s="503" customFormat="1" ht="15.75" customHeight="1">
      <c r="A3427" s="517" t="str">
        <f>IF(B3427&lt;&gt;"",IF(AND(B3427&gt;=_TM1,B3427&lt;=_TM2,OR(TH!L3427="1111",TH!M3427="1111")),TH!D3427,""),"")</f>
        <v/>
      </c>
      <c r="B3427" s="531">
        <f t="shared" si="346"/>
        <v>7</v>
      </c>
      <c r="C3427" s="315">
        <f t="shared" si="345"/>
        <v>42922</v>
      </c>
      <c r="D3427" s="544" t="s">
        <v>1181</v>
      </c>
      <c r="E3427" s="315">
        <v>42922</v>
      </c>
      <c r="F3427" s="249" t="s">
        <v>494</v>
      </c>
      <c r="G3427" s="314" t="s">
        <v>1292</v>
      </c>
      <c r="H3427" s="473" t="s">
        <v>1218</v>
      </c>
      <c r="I3427" s="307"/>
      <c r="J3427" s="307"/>
      <c r="K3427" s="532">
        <v>1786400</v>
      </c>
      <c r="L3427" s="534" t="s">
        <v>223</v>
      </c>
      <c r="M3427" s="534" t="s">
        <v>259</v>
      </c>
      <c r="N3427" s="525" t="str">
        <f>IF(AND('331-CT'!$E$7=TH!H3427,OR(L3427="331",M3427="331")),"331",IF(AND(OR(L3427="131",M3427="131"),H3427='131-CT'!$E$7),"131",""))</f>
        <v/>
      </c>
      <c r="O3427" s="525" t="str">
        <f>IF(AND($B3427&gt;='111'!$N$11,$B3427&lt;='111'!$O$11,OR($L3427=$O$7,$M3427=$O$7)),"x","")</f>
        <v/>
      </c>
      <c r="P3427" s="525" t="str">
        <f>IF(AND($L3427=$O$7,$B3427&lt;'111'!$N$11),"x","")</f>
        <v/>
      </c>
      <c r="Q3427" s="525" t="str">
        <f>IF(AND($M3427=$O$7,$B3427&lt;'111'!$N$11),"x","")</f>
        <v/>
      </c>
      <c r="R3427" s="525" t="str">
        <f>IF(ISERROR(FIND('112'!$M$9,G3427,1)),"",IF((AND(FIND('112'!$M$9,G3427,1)&gt;=1,$B3427&gt;='112'!$N$8,$B3427&lt;='112'!$O$8,OR($L3427='112'!$I$6,$M3427='112'!$I$6))),"x",""))</f>
        <v/>
      </c>
      <c r="S3427" s="525" t="str">
        <f>IF(ISERROR(FIND('112'!$M$9,G3427,1)),"",IF((AND(LEFT(G3427,2)=LEFT('112'!$M$9,2),B3427&lt;'112'!$N$8,$L3427='112'!$I$6)),"x",""))</f>
        <v/>
      </c>
      <c r="T3427" s="525" t="str">
        <f>IF(ISERROR(FIND('112'!$M$9,G3427,1)),"",IF((AND(RIGHT(G3427,2)=RIGHT('112'!$M$9,2),B3427&lt;'112'!$N$8,$M3427='112'!$I$6)),"x",""))</f>
        <v/>
      </c>
      <c r="U3427" s="525" t="str">
        <f>IF(AND(B3427&gt;='IN-NX'!$P$3,B3427&lt;='IN-NX'!$Q$3,'IN-NX'!$D$7=D3427,OR(LEFT(L3427,2)="15",AND(LEFT(M3427,2)&lt;&gt;"15",LEFT(M3427,2)&lt;&gt;"33"))),"x","")</f>
        <v/>
      </c>
      <c r="V3427" s="525" t="str">
        <f>IF(AND(OR(LEFT(TH!L3427,2)="15",LEFT(TH!M3427,2)="15"),'152-CT'!$J$8=TH!F3427),"x","")</f>
        <v/>
      </c>
      <c r="W3427" s="525" t="str">
        <f>IF(AND(OR(LEFT(TH!L3427,2)="15",LEFT(TH!M3427,2)="15"),TK!$E$7=TH!F3427),"x","")</f>
        <v/>
      </c>
      <c r="X3427" s="525" t="str">
        <f>IF(AND('341-CT'!$E$9=H3427,OR(LEFT(L3427,3)=$X$7,LEFT(M3427,3)=$X$7)),"x","")</f>
        <v/>
      </c>
      <c r="Y3427" s="525" t="str">
        <f>IF(OR(TH!L3427=TH!$Y$7,M3427=TH!$Y$7),"x","")</f>
        <v/>
      </c>
      <c r="Z3427" s="525" t="str">
        <f>IF(AND(B3427&lt;=NKC!$N$8,B3427&gt;=NKC!$M$8),"x","")</f>
        <v/>
      </c>
      <c r="AA3427" s="535"/>
      <c r="AB3427" s="536"/>
    </row>
    <row r="3428" spans="1:34" s="503" customFormat="1" ht="15.75" customHeight="1">
      <c r="A3428" s="517" t="str">
        <f>IF(B3428&lt;&gt;"",IF(AND(B3428&gt;=_TM1,B3428&lt;=_TM2,OR(TH!L3428="1111",TH!M3428="1111")),TH!D3428,""),"")</f>
        <v/>
      </c>
      <c r="B3428" s="531">
        <f t="shared" si="346"/>
        <v>7</v>
      </c>
      <c r="C3428" s="315">
        <f t="shared" si="345"/>
        <v>42923</v>
      </c>
      <c r="D3428" s="544" t="s">
        <v>1181</v>
      </c>
      <c r="E3428" s="315">
        <v>42923</v>
      </c>
      <c r="F3428" s="250" t="s">
        <v>1217</v>
      </c>
      <c r="G3428" s="314" t="s">
        <v>1293</v>
      </c>
      <c r="H3428" s="473" t="s">
        <v>1218</v>
      </c>
      <c r="I3428" s="307">
        <v>2030</v>
      </c>
      <c r="J3428" s="307">
        <v>8800</v>
      </c>
      <c r="K3428" s="532">
        <f>ROUND(I3428*J3428,0)</f>
        <v>17864000</v>
      </c>
      <c r="L3428" s="534" t="s">
        <v>223</v>
      </c>
      <c r="M3428" s="534" t="s">
        <v>162</v>
      </c>
      <c r="N3428" s="525" t="str">
        <f>IF(AND('331-CT'!$E$7=TH!H3428,OR(L3428="331",M3428="331")),"331",IF(AND(OR(L3428="131",M3428="131"),H3428='131-CT'!$E$7),"131",""))</f>
        <v/>
      </c>
      <c r="O3428" s="525" t="str">
        <f>IF(AND($B3428&gt;='111'!$N$11,$B3428&lt;='111'!$O$11,OR($L3428=$O$7,$M3428=$O$7)),"x","")</f>
        <v/>
      </c>
      <c r="P3428" s="525" t="str">
        <f>IF(AND($L3428=$O$7,$B3428&lt;'111'!$N$11),"x","")</f>
        <v/>
      </c>
      <c r="Q3428" s="525" t="str">
        <f>IF(AND($M3428=$O$7,$B3428&lt;'111'!$N$11),"x","")</f>
        <v/>
      </c>
      <c r="R3428" s="525" t="str">
        <f>IF(ISERROR(FIND('112'!$M$9,G3428,1)),"",IF((AND(FIND('112'!$M$9,G3428,1)&gt;=1,$B3428&gt;='112'!$N$8,$B3428&lt;='112'!$O$8,OR($L3428='112'!$I$6,$M3428='112'!$I$6))),"x",""))</f>
        <v/>
      </c>
      <c r="S3428" s="525" t="str">
        <f>IF(ISERROR(FIND('112'!$M$9,G3428,1)),"",IF((AND(LEFT(G3428,2)=LEFT('112'!$M$9,2),B3428&lt;'112'!$N$8,$L3428='112'!$I$6)),"x",""))</f>
        <v/>
      </c>
      <c r="T3428" s="525" t="str">
        <f>IF(ISERROR(FIND('112'!$M$9,G3428,1)),"",IF((AND(RIGHT(G3428,2)=RIGHT('112'!$M$9,2),B3428&lt;'112'!$N$8,$M3428='112'!$I$6)),"x",""))</f>
        <v/>
      </c>
      <c r="U3428" s="525" t="str">
        <f>IF(AND(B3428&gt;='IN-NX'!$P$3,B3428&lt;='IN-NX'!$Q$3,'IN-NX'!$D$7=D3428,OR(LEFT(L3428,2)="15",AND(LEFT(M3428,2)&lt;&gt;"15",LEFT(M3428,2)&lt;&gt;"33"))),"x","")</f>
        <v/>
      </c>
      <c r="V3428" s="525" t="str">
        <f>IF(AND(OR(LEFT(TH!L3428,2)="15",LEFT(TH!M3428,2)="15"),'152-CT'!$J$8=TH!F3428),"x","")</f>
        <v/>
      </c>
      <c r="W3428" s="525" t="str">
        <f>IF(AND(OR(LEFT(TH!L3428,2)="15",LEFT(TH!M3428,2)="15"),TK!$E$7=TH!F3428),"x","")</f>
        <v/>
      </c>
      <c r="X3428" s="525" t="str">
        <f>IF(AND('341-CT'!$E$9=H3428,OR(LEFT(L3428,3)=$X$7,LEFT(M3428,3)=$X$7)),"x","")</f>
        <v/>
      </c>
      <c r="Y3428" s="525" t="str">
        <f>IF(OR(TH!L3428=TH!$Y$7,M3428=TH!$Y$7),"x","")</f>
        <v/>
      </c>
      <c r="Z3428" s="525" t="str">
        <f>IF(AND(B3428&lt;=NKC!$N$8,B3428&gt;=NKC!$M$8),"x","")</f>
        <v/>
      </c>
      <c r="AA3428" s="535"/>
      <c r="AB3428" s="536"/>
      <c r="AC3428" s="536" t="str">
        <f>VLOOKUP(F3428,NXT!$B$12:$B$686,1,0)</f>
        <v>Thùng 50x29.5x19</v>
      </c>
    </row>
    <row r="3429" spans="1:34" s="503" customFormat="1" ht="15.75" customHeight="1">
      <c r="A3429" s="517" t="str">
        <f>IF(B3429&lt;&gt;"",IF(AND(B3429&gt;=_TM1,B3429&lt;=_TM2,OR(TH!L3429="1111",TH!M3429="1111")),TH!D3429,""),"")</f>
        <v/>
      </c>
      <c r="B3429" s="531">
        <f t="shared" si="346"/>
        <v>7</v>
      </c>
      <c r="C3429" s="315">
        <f t="shared" si="345"/>
        <v>42923</v>
      </c>
      <c r="D3429" s="544" t="s">
        <v>1181</v>
      </c>
      <c r="E3429" s="315">
        <v>42923</v>
      </c>
      <c r="F3429" s="249" t="s">
        <v>494</v>
      </c>
      <c r="G3429" s="314" t="s">
        <v>1293</v>
      </c>
      <c r="H3429" s="473" t="s">
        <v>1218</v>
      </c>
      <c r="I3429" s="307"/>
      <c r="J3429" s="307"/>
      <c r="K3429" s="532">
        <v>1786400</v>
      </c>
      <c r="L3429" s="534" t="s">
        <v>223</v>
      </c>
      <c r="M3429" s="534" t="s">
        <v>259</v>
      </c>
      <c r="N3429" s="525" t="str">
        <f>IF(AND('331-CT'!$E$7=TH!H3429,OR(L3429="331",M3429="331")),"331",IF(AND(OR(L3429="131",M3429="131"),H3429='131-CT'!$E$7),"131",""))</f>
        <v/>
      </c>
      <c r="O3429" s="525" t="str">
        <f>IF(AND($B3429&gt;='111'!$N$11,$B3429&lt;='111'!$O$11,OR($L3429=$O$7,$M3429=$O$7)),"x","")</f>
        <v/>
      </c>
      <c r="P3429" s="525" t="str">
        <f>IF(AND($L3429=$O$7,$B3429&lt;'111'!$N$11),"x","")</f>
        <v/>
      </c>
      <c r="Q3429" s="525" t="str">
        <f>IF(AND($M3429=$O$7,$B3429&lt;'111'!$N$11),"x","")</f>
        <v/>
      </c>
      <c r="R3429" s="525" t="str">
        <f>IF(ISERROR(FIND('112'!$M$9,G3429,1)),"",IF((AND(FIND('112'!$M$9,G3429,1)&gt;=1,$B3429&gt;='112'!$N$8,$B3429&lt;='112'!$O$8,OR($L3429='112'!$I$6,$M3429='112'!$I$6))),"x",""))</f>
        <v/>
      </c>
      <c r="S3429" s="525" t="str">
        <f>IF(ISERROR(FIND('112'!$M$9,G3429,1)),"",IF((AND(LEFT(G3429,2)=LEFT('112'!$M$9,2),B3429&lt;'112'!$N$8,$L3429='112'!$I$6)),"x",""))</f>
        <v/>
      </c>
      <c r="T3429" s="525" t="str">
        <f>IF(ISERROR(FIND('112'!$M$9,G3429,1)),"",IF((AND(RIGHT(G3429,2)=RIGHT('112'!$M$9,2),B3429&lt;'112'!$N$8,$M3429='112'!$I$6)),"x",""))</f>
        <v/>
      </c>
      <c r="U3429" s="525" t="str">
        <f>IF(AND(B3429&gt;='IN-NX'!$P$3,B3429&lt;='IN-NX'!$Q$3,'IN-NX'!$D$7=D3429,OR(LEFT(L3429,2)="15",AND(LEFT(M3429,2)&lt;&gt;"15",LEFT(M3429,2)&lt;&gt;"33"))),"x","")</f>
        <v/>
      </c>
      <c r="V3429" s="525" t="str">
        <f>IF(AND(OR(LEFT(TH!L3429,2)="15",LEFT(TH!M3429,2)="15"),'152-CT'!$J$8=TH!F3429),"x","")</f>
        <v/>
      </c>
      <c r="W3429" s="525" t="str">
        <f>IF(AND(OR(LEFT(TH!L3429,2)="15",LEFT(TH!M3429,2)="15"),TK!$E$7=TH!F3429),"x","")</f>
        <v/>
      </c>
      <c r="X3429" s="525" t="str">
        <f>IF(AND('341-CT'!$E$9=H3429,OR(LEFT(L3429,3)=$X$7,LEFT(M3429,3)=$X$7)),"x","")</f>
        <v/>
      </c>
      <c r="Y3429" s="525" t="str">
        <f>IF(OR(TH!L3429=TH!$Y$7,M3429=TH!$Y$7),"x","")</f>
        <v/>
      </c>
      <c r="Z3429" s="525" t="str">
        <f>IF(AND(B3429&lt;=NKC!$N$8,B3429&gt;=NKC!$M$8),"x","")</f>
        <v/>
      </c>
      <c r="AA3429" s="535"/>
      <c r="AB3429" s="536"/>
    </row>
    <row r="3430" spans="1:34" s="503" customFormat="1" ht="15.75" customHeight="1">
      <c r="A3430" s="517" t="str">
        <f>IF(B3430&lt;&gt;"",IF(AND(B3430&gt;=_TM1,B3430&lt;=_TM2,OR(TH!L3430="1111",TH!M3430="1111")),TH!D3430,""),"")</f>
        <v/>
      </c>
      <c r="B3430" s="531">
        <f t="shared" si="346"/>
        <v>7</v>
      </c>
      <c r="C3430" s="315">
        <f t="shared" si="345"/>
        <v>42923</v>
      </c>
      <c r="D3430" s="544" t="s">
        <v>1181</v>
      </c>
      <c r="E3430" s="315">
        <v>42923</v>
      </c>
      <c r="F3430" s="249" t="s">
        <v>380</v>
      </c>
      <c r="G3430" s="314" t="s">
        <v>1294</v>
      </c>
      <c r="H3430" s="473" t="s">
        <v>420</v>
      </c>
      <c r="I3430" s="307">
        <v>2084</v>
      </c>
      <c r="J3430" s="307">
        <v>8400</v>
      </c>
      <c r="K3430" s="532">
        <f>ROUND(I3430*J3430,0)</f>
        <v>17505600</v>
      </c>
      <c r="L3430" s="534" t="s">
        <v>223</v>
      </c>
      <c r="M3430" s="534" t="s">
        <v>162</v>
      </c>
      <c r="N3430" s="525" t="str">
        <f>IF(AND('331-CT'!$E$7=TH!H3430,OR(L3430="331",M3430="331")),"331",IF(AND(OR(L3430="131",M3430="131"),H3430='131-CT'!$E$7),"131",""))</f>
        <v>131</v>
      </c>
      <c r="O3430" s="525" t="str">
        <f>IF(AND($B3430&gt;='111'!$N$11,$B3430&lt;='111'!$O$11,OR($L3430=$O$7,$M3430=$O$7)),"x","")</f>
        <v/>
      </c>
      <c r="P3430" s="525" t="str">
        <f>IF(AND($L3430=$O$7,$B3430&lt;'111'!$N$11),"x","")</f>
        <v/>
      </c>
      <c r="Q3430" s="525" t="str">
        <f>IF(AND($M3430=$O$7,$B3430&lt;'111'!$N$11),"x","")</f>
        <v/>
      </c>
      <c r="R3430" s="525" t="str">
        <f>IF(ISERROR(FIND('112'!$M$9,G3430,1)),"",IF((AND(FIND('112'!$M$9,G3430,1)&gt;=1,$B3430&gt;='112'!$N$8,$B3430&lt;='112'!$O$8,OR($L3430='112'!$I$6,$M3430='112'!$I$6))),"x",""))</f>
        <v/>
      </c>
      <c r="S3430" s="525" t="str">
        <f>IF(ISERROR(FIND('112'!$M$9,G3430,1)),"",IF((AND(LEFT(G3430,2)=LEFT('112'!$M$9,2),B3430&lt;'112'!$N$8,$L3430='112'!$I$6)),"x",""))</f>
        <v/>
      </c>
      <c r="T3430" s="525" t="str">
        <f>IF(ISERROR(FIND('112'!$M$9,G3430,1)),"",IF((AND(RIGHT(G3430,2)=RIGHT('112'!$M$9,2),B3430&lt;'112'!$N$8,$M3430='112'!$I$6)),"x",""))</f>
        <v/>
      </c>
      <c r="U3430" s="525" t="str">
        <f>IF(AND(B3430&gt;='IN-NX'!$P$3,B3430&lt;='IN-NX'!$Q$3,'IN-NX'!$D$7=D3430,OR(LEFT(L3430,2)="15",AND(LEFT(M3430,2)&lt;&gt;"15",LEFT(M3430,2)&lt;&gt;"33"))),"x","")</f>
        <v/>
      </c>
      <c r="V3430" s="525" t="str">
        <f>IF(AND(OR(LEFT(TH!L3430,2)="15",LEFT(TH!M3430,2)="15"),'152-CT'!$J$8=TH!F3430),"x","")</f>
        <v/>
      </c>
      <c r="W3430" s="525" t="str">
        <f>IF(AND(OR(LEFT(TH!L3430,2)="15",LEFT(TH!M3430,2)="15"),TK!$E$7=TH!F3430),"x","")</f>
        <v/>
      </c>
      <c r="X3430" s="525" t="str">
        <f>IF(AND('341-CT'!$E$9=H3430,OR(LEFT(L3430,3)=$X$7,LEFT(M3430,3)=$X$7)),"x","")</f>
        <v/>
      </c>
      <c r="Y3430" s="525" t="str">
        <f>IF(OR(TH!L3430=TH!$Y$7,M3430=TH!$Y$7),"x","")</f>
        <v/>
      </c>
      <c r="Z3430" s="525" t="str">
        <f>IF(AND(B3430&lt;=NKC!$N$8,B3430&gt;=NKC!$M$8),"x","")</f>
        <v/>
      </c>
      <c r="AA3430" s="535"/>
      <c r="AB3430" s="536"/>
      <c r="AC3430" s="536" t="str">
        <f>VLOOKUP(F3430,NXT!$B$12:$B$686,1,0)</f>
        <v>Giấy cuộn</v>
      </c>
    </row>
    <row r="3431" spans="1:34" s="503" customFormat="1" ht="15.75" customHeight="1">
      <c r="A3431" s="517" t="str">
        <f>IF(B3431&lt;&gt;"",IF(AND(B3431&gt;=_TM1,B3431&lt;=_TM2,OR(TH!L3431="1111",TH!M3431="1111")),TH!D3431,""),"")</f>
        <v/>
      </c>
      <c r="B3431" s="531">
        <f t="shared" si="346"/>
        <v>7</v>
      </c>
      <c r="C3431" s="315">
        <f t="shared" si="345"/>
        <v>42923</v>
      </c>
      <c r="D3431" s="544" t="s">
        <v>1181</v>
      </c>
      <c r="E3431" s="315">
        <v>42923</v>
      </c>
      <c r="F3431" s="250" t="s">
        <v>499</v>
      </c>
      <c r="G3431" s="314" t="s">
        <v>1294</v>
      </c>
      <c r="H3431" s="473" t="s">
        <v>420</v>
      </c>
      <c r="I3431" s="307"/>
      <c r="J3431" s="307"/>
      <c r="K3431" s="532">
        <v>1750560</v>
      </c>
      <c r="L3431" s="534" t="s">
        <v>223</v>
      </c>
      <c r="M3431" s="534" t="s">
        <v>259</v>
      </c>
      <c r="N3431" s="525" t="str">
        <f>IF(AND('331-CT'!$E$7=TH!H3431,OR(L3431="331",M3431="331")),"331",IF(AND(OR(L3431="131",M3431="131"),H3431='131-CT'!$E$7),"131",""))</f>
        <v>131</v>
      </c>
      <c r="O3431" s="525" t="str">
        <f>IF(AND($B3431&gt;='111'!$N$11,$B3431&lt;='111'!$O$11,OR($L3431=$O$7,$M3431=$O$7)),"x","")</f>
        <v/>
      </c>
      <c r="P3431" s="525" t="str">
        <f>IF(AND($L3431=$O$7,$B3431&lt;'111'!$N$11),"x","")</f>
        <v/>
      </c>
      <c r="Q3431" s="525" t="str">
        <f>IF(AND($M3431=$O$7,$B3431&lt;'111'!$N$11),"x","")</f>
        <v/>
      </c>
      <c r="R3431" s="525" t="str">
        <f>IF(ISERROR(FIND('112'!$M$9,G3431,1)),"",IF((AND(FIND('112'!$M$9,G3431,1)&gt;=1,$B3431&gt;='112'!$N$8,$B3431&lt;='112'!$O$8,OR($L3431='112'!$I$6,$M3431='112'!$I$6))),"x",""))</f>
        <v/>
      </c>
      <c r="S3431" s="525" t="str">
        <f>IF(ISERROR(FIND('112'!$M$9,G3431,1)),"",IF((AND(LEFT(G3431,2)=LEFT('112'!$M$9,2),B3431&lt;'112'!$N$8,$L3431='112'!$I$6)),"x",""))</f>
        <v/>
      </c>
      <c r="T3431" s="525" t="str">
        <f>IF(ISERROR(FIND('112'!$M$9,G3431,1)),"",IF((AND(RIGHT(G3431,2)=RIGHT('112'!$M$9,2),B3431&lt;'112'!$N$8,$M3431='112'!$I$6)),"x",""))</f>
        <v/>
      </c>
      <c r="U3431" s="525" t="str">
        <f>IF(AND(B3431&gt;='IN-NX'!$P$3,B3431&lt;='IN-NX'!$Q$3,'IN-NX'!$D$7=D3431,OR(LEFT(L3431,2)="15",AND(LEFT(M3431,2)&lt;&gt;"15",LEFT(M3431,2)&lt;&gt;"33"))),"x","")</f>
        <v/>
      </c>
      <c r="V3431" s="525" t="str">
        <f>IF(AND(OR(LEFT(TH!L3431,2)="15",LEFT(TH!M3431,2)="15"),'152-CT'!$J$8=TH!F3431),"x","")</f>
        <v/>
      </c>
      <c r="W3431" s="525" t="str">
        <f>IF(AND(OR(LEFT(TH!L3431,2)="15",LEFT(TH!M3431,2)="15"),TK!$E$7=TH!F3431),"x","")</f>
        <v/>
      </c>
      <c r="X3431" s="525" t="str">
        <f>IF(AND('341-CT'!$E$9=H3431,OR(LEFT(L3431,3)=$X$7,LEFT(M3431,3)=$X$7)),"x","")</f>
        <v/>
      </c>
      <c r="Y3431" s="525" t="str">
        <f>IF(OR(TH!L3431=TH!$Y$7,M3431=TH!$Y$7),"x","")</f>
        <v/>
      </c>
      <c r="Z3431" s="525" t="str">
        <f>IF(AND(B3431&lt;=NKC!$N$8,B3431&gt;=NKC!$M$8),"x","")</f>
        <v/>
      </c>
      <c r="AA3431" s="535"/>
      <c r="AB3431" s="536"/>
    </row>
    <row r="3432" spans="1:34" s="503" customFormat="1" ht="15.75" customHeight="1">
      <c r="A3432" s="517" t="str">
        <f>IF(B3432&lt;&gt;"",IF(AND(B3432&gt;=_TM1,B3432&lt;=_TM2,OR(TH!L3432="1111",TH!M3432="1111")),TH!D3432,""),"")</f>
        <v/>
      </c>
      <c r="B3432" s="531">
        <f t="shared" si="346"/>
        <v>7</v>
      </c>
      <c r="C3432" s="315">
        <f t="shared" si="345"/>
        <v>42924</v>
      </c>
      <c r="D3432" s="544" t="s">
        <v>1181</v>
      </c>
      <c r="E3432" s="315">
        <v>42924</v>
      </c>
      <c r="F3432" s="250" t="s">
        <v>1217</v>
      </c>
      <c r="G3432" s="314" t="s">
        <v>1295</v>
      </c>
      <c r="H3432" s="473" t="s">
        <v>1218</v>
      </c>
      <c r="I3432" s="307">
        <v>2030</v>
      </c>
      <c r="J3432" s="307">
        <v>8800</v>
      </c>
      <c r="K3432" s="532">
        <f>ROUND(I3432*J3432,0)</f>
        <v>17864000</v>
      </c>
      <c r="L3432" s="534" t="s">
        <v>223</v>
      </c>
      <c r="M3432" s="534" t="s">
        <v>162</v>
      </c>
      <c r="N3432" s="525" t="str">
        <f>IF(AND('331-CT'!$E$7=TH!H3432,OR(L3432="331",M3432="331")),"331",IF(AND(OR(L3432="131",M3432="131"),H3432='131-CT'!$E$7),"131",""))</f>
        <v/>
      </c>
      <c r="O3432" s="525" t="str">
        <f>IF(AND($B3432&gt;='111'!$N$11,$B3432&lt;='111'!$O$11,OR($L3432=$O$7,$M3432=$O$7)),"x","")</f>
        <v/>
      </c>
      <c r="P3432" s="525" t="str">
        <f>IF(AND($L3432=$O$7,$B3432&lt;'111'!$N$11),"x","")</f>
        <v/>
      </c>
      <c r="Q3432" s="525" t="str">
        <f>IF(AND($M3432=$O$7,$B3432&lt;'111'!$N$11),"x","")</f>
        <v/>
      </c>
      <c r="R3432" s="525" t="str">
        <f>IF(ISERROR(FIND('112'!$M$9,G3432,1)),"",IF((AND(FIND('112'!$M$9,G3432,1)&gt;=1,$B3432&gt;='112'!$N$8,$B3432&lt;='112'!$O$8,OR($L3432='112'!$I$6,$M3432='112'!$I$6))),"x",""))</f>
        <v/>
      </c>
      <c r="S3432" s="525" t="str">
        <f>IF(ISERROR(FIND('112'!$M$9,G3432,1)),"",IF((AND(LEFT(G3432,2)=LEFT('112'!$M$9,2),B3432&lt;'112'!$N$8,$L3432='112'!$I$6)),"x",""))</f>
        <v/>
      </c>
      <c r="T3432" s="525" t="str">
        <f>IF(ISERROR(FIND('112'!$M$9,G3432,1)),"",IF((AND(RIGHT(G3432,2)=RIGHT('112'!$M$9,2),B3432&lt;'112'!$N$8,$M3432='112'!$I$6)),"x",""))</f>
        <v/>
      </c>
      <c r="U3432" s="525" t="str">
        <f>IF(AND(B3432&gt;='IN-NX'!$P$3,B3432&lt;='IN-NX'!$Q$3,'IN-NX'!$D$7=D3432,OR(LEFT(L3432,2)="15",AND(LEFT(M3432,2)&lt;&gt;"15",LEFT(M3432,2)&lt;&gt;"33"))),"x","")</f>
        <v/>
      </c>
      <c r="V3432" s="525" t="str">
        <f>IF(AND(OR(LEFT(TH!L3432,2)="15",LEFT(TH!M3432,2)="15"),'152-CT'!$J$8=TH!F3432),"x","")</f>
        <v/>
      </c>
      <c r="W3432" s="525" t="str">
        <f>IF(AND(OR(LEFT(TH!L3432,2)="15",LEFT(TH!M3432,2)="15"),TK!$E$7=TH!F3432),"x","")</f>
        <v/>
      </c>
      <c r="X3432" s="525" t="str">
        <f>IF(AND('341-CT'!$E$9=H3432,OR(LEFT(L3432,3)=$X$7,LEFT(M3432,3)=$X$7)),"x","")</f>
        <v/>
      </c>
      <c r="Y3432" s="525" t="str">
        <f>IF(OR(TH!L3432=TH!$Y$7,M3432=TH!$Y$7),"x","")</f>
        <v/>
      </c>
      <c r="Z3432" s="525" t="str">
        <f>IF(AND(B3432&lt;=NKC!$N$8,B3432&gt;=NKC!$M$8),"x","")</f>
        <v/>
      </c>
      <c r="AA3432" s="535"/>
      <c r="AB3432" s="536"/>
      <c r="AC3432" s="536" t="str">
        <f>VLOOKUP(F3432,NXT!$B$12:$B$686,1,0)</f>
        <v>Thùng 50x29.5x19</v>
      </c>
    </row>
    <row r="3433" spans="1:34" s="503" customFormat="1" ht="15.75" customHeight="1">
      <c r="A3433" s="517" t="str">
        <f>IF(B3433&lt;&gt;"",IF(AND(B3433&gt;=_TM1,B3433&lt;=_TM2,OR(TH!L3433="1111",TH!M3433="1111")),TH!D3433,""),"")</f>
        <v/>
      </c>
      <c r="B3433" s="531">
        <f t="shared" si="346"/>
        <v>7</v>
      </c>
      <c r="C3433" s="315">
        <f t="shared" si="345"/>
        <v>42924</v>
      </c>
      <c r="D3433" s="544" t="s">
        <v>1181</v>
      </c>
      <c r="E3433" s="315">
        <v>42924</v>
      </c>
      <c r="F3433" s="249" t="s">
        <v>494</v>
      </c>
      <c r="G3433" s="314" t="s">
        <v>1295</v>
      </c>
      <c r="H3433" s="473" t="s">
        <v>1218</v>
      </c>
      <c r="I3433" s="307"/>
      <c r="J3433" s="307"/>
      <c r="K3433" s="532">
        <v>1786400</v>
      </c>
      <c r="L3433" s="534" t="s">
        <v>223</v>
      </c>
      <c r="M3433" s="534" t="s">
        <v>259</v>
      </c>
      <c r="N3433" s="525" t="str">
        <f>IF(AND('331-CT'!$E$7=TH!H3433,OR(L3433="331",M3433="331")),"331",IF(AND(OR(L3433="131",M3433="131"),H3433='131-CT'!$E$7),"131",""))</f>
        <v/>
      </c>
      <c r="O3433" s="525" t="str">
        <f>IF(AND($B3433&gt;='111'!$N$11,$B3433&lt;='111'!$O$11,OR($L3433=$O$7,$M3433=$O$7)),"x","")</f>
        <v/>
      </c>
      <c r="P3433" s="525" t="str">
        <f>IF(AND($L3433=$O$7,$B3433&lt;'111'!$N$11),"x","")</f>
        <v/>
      </c>
      <c r="Q3433" s="525" t="str">
        <f>IF(AND($M3433=$O$7,$B3433&lt;'111'!$N$11),"x","")</f>
        <v/>
      </c>
      <c r="R3433" s="525" t="str">
        <f>IF(ISERROR(FIND('112'!$M$9,G3433,1)),"",IF((AND(FIND('112'!$M$9,G3433,1)&gt;=1,$B3433&gt;='112'!$N$8,$B3433&lt;='112'!$O$8,OR($L3433='112'!$I$6,$M3433='112'!$I$6))),"x",""))</f>
        <v/>
      </c>
      <c r="S3433" s="525" t="str">
        <f>IF(ISERROR(FIND('112'!$M$9,G3433,1)),"",IF((AND(LEFT(G3433,2)=LEFT('112'!$M$9,2),B3433&lt;'112'!$N$8,$L3433='112'!$I$6)),"x",""))</f>
        <v/>
      </c>
      <c r="T3433" s="525" t="str">
        <f>IF(ISERROR(FIND('112'!$M$9,G3433,1)),"",IF((AND(RIGHT(G3433,2)=RIGHT('112'!$M$9,2),B3433&lt;'112'!$N$8,$M3433='112'!$I$6)),"x",""))</f>
        <v/>
      </c>
      <c r="U3433" s="525" t="str">
        <f>IF(AND(B3433&gt;='IN-NX'!$P$3,B3433&lt;='IN-NX'!$Q$3,'IN-NX'!$D$7=D3433,OR(LEFT(L3433,2)="15",AND(LEFT(M3433,2)&lt;&gt;"15",LEFT(M3433,2)&lt;&gt;"33"))),"x","")</f>
        <v/>
      </c>
      <c r="V3433" s="525" t="str">
        <f>IF(AND(OR(LEFT(TH!L3433,2)="15",LEFT(TH!M3433,2)="15"),'152-CT'!$J$8=TH!F3433),"x","")</f>
        <v/>
      </c>
      <c r="W3433" s="525" t="str">
        <f>IF(AND(OR(LEFT(TH!L3433,2)="15",LEFT(TH!M3433,2)="15"),TK!$E$7=TH!F3433),"x","")</f>
        <v/>
      </c>
      <c r="X3433" s="525" t="str">
        <f>IF(AND('341-CT'!$E$9=H3433,OR(LEFT(L3433,3)=$X$7,LEFT(M3433,3)=$X$7)),"x","")</f>
        <v/>
      </c>
      <c r="Y3433" s="525" t="str">
        <f>IF(OR(TH!L3433=TH!$Y$7,M3433=TH!$Y$7),"x","")</f>
        <v/>
      </c>
      <c r="Z3433" s="525" t="str">
        <f>IF(AND(B3433&lt;=NKC!$N$8,B3433&gt;=NKC!$M$8),"x","")</f>
        <v/>
      </c>
      <c r="AA3433" s="535"/>
      <c r="AB3433" s="536"/>
      <c r="AD3433" s="536"/>
    </row>
    <row r="3434" spans="1:34" s="503" customFormat="1" ht="15.75" customHeight="1">
      <c r="A3434" s="517" t="str">
        <f>IF(B3434&lt;&gt;"",IF(AND(B3434&gt;=_TM1,B3434&lt;=_TM2,OR(TH!L3434="1111",TH!M3434="1111")),TH!D3434,""),"")</f>
        <v/>
      </c>
      <c r="B3434" s="518">
        <f t="shared" si="346"/>
        <v>7</v>
      </c>
      <c r="C3434" s="315">
        <f t="shared" si="345"/>
        <v>42925</v>
      </c>
      <c r="D3434" s="544" t="s">
        <v>1181</v>
      </c>
      <c r="E3434" s="315">
        <v>42925</v>
      </c>
      <c r="F3434" s="249" t="s">
        <v>380</v>
      </c>
      <c r="G3434" s="314" t="s">
        <v>1296</v>
      </c>
      <c r="H3434" s="473" t="s">
        <v>420</v>
      </c>
      <c r="I3434" s="307">
        <v>1631</v>
      </c>
      <c r="J3434" s="307">
        <v>8400</v>
      </c>
      <c r="K3434" s="532">
        <f>ROUND(I3434*J3434,0)</f>
        <v>13700400</v>
      </c>
      <c r="L3434" s="534" t="s">
        <v>223</v>
      </c>
      <c r="M3434" s="534" t="s">
        <v>162</v>
      </c>
      <c r="N3434" s="525" t="str">
        <f>IF(AND('331-CT'!$E$7=TH!H3434,OR(L3434="331",M3434="331")),"331",IF(AND(OR(L3434="131",M3434="131"),H3434='131-CT'!$E$7),"131",""))</f>
        <v>131</v>
      </c>
      <c r="O3434" s="525" t="str">
        <f>IF(AND($B3434&gt;='111'!$N$11,$B3434&lt;='111'!$O$11,OR($L3434=$O$7,$M3434=$O$7)),"x","")</f>
        <v/>
      </c>
      <c r="P3434" s="525" t="str">
        <f>IF(AND($L3434=$O$7,$B3434&lt;'111'!$N$11),"x","")</f>
        <v/>
      </c>
      <c r="Q3434" s="525" t="str">
        <f>IF(AND($M3434=$O$7,$B3434&lt;'111'!$N$11),"x","")</f>
        <v/>
      </c>
      <c r="R3434" s="525" t="str">
        <f>IF(ISERROR(FIND('112'!$M$9,G3434,1)),"",IF((AND(FIND('112'!$M$9,G3434,1)&gt;=1,$B3434&gt;='112'!$N$8,$B3434&lt;='112'!$O$8,OR($L3434='112'!$I$6,$M3434='112'!$I$6))),"x",""))</f>
        <v/>
      </c>
      <c r="S3434" s="525" t="str">
        <f>IF(ISERROR(FIND('112'!$M$9,G3434,1)),"",IF((AND(LEFT(G3434,2)=LEFT('112'!$M$9,2),B3434&lt;'112'!$N$8,$L3434='112'!$I$6)),"x",""))</f>
        <v/>
      </c>
      <c r="T3434" s="525" t="str">
        <f>IF(ISERROR(FIND('112'!$M$9,G3434,1)),"",IF((AND(RIGHT(G3434,2)=RIGHT('112'!$M$9,2),B3434&lt;'112'!$N$8,$M3434='112'!$I$6)),"x",""))</f>
        <v/>
      </c>
      <c r="U3434" s="525" t="str">
        <f>IF(AND(B3434&gt;='IN-NX'!$P$3,B3434&lt;='IN-NX'!$Q$3,'IN-NX'!$D$7=D3434,OR(LEFT(L3434,2)="15",AND(LEFT(M3434,2)&lt;&gt;"15",LEFT(M3434,2)&lt;&gt;"33"))),"x","")</f>
        <v/>
      </c>
      <c r="V3434" s="525" t="str">
        <f>IF(AND(OR(LEFT(TH!L3434,2)="15",LEFT(TH!M3434,2)="15"),'152-CT'!$J$8=TH!F3434),"x","")</f>
        <v/>
      </c>
      <c r="W3434" s="525" t="str">
        <f>IF(AND(OR(LEFT(TH!L3434,2)="15",LEFT(TH!M3434,2)="15"),TK!$E$7=TH!F3434),"x","")</f>
        <v/>
      </c>
      <c r="X3434" s="525" t="str">
        <f>IF(AND('341-CT'!$E$9=H3434,OR(LEFT(L3434,3)=$X$7,LEFT(M3434,3)=$X$7)),"x","")</f>
        <v/>
      </c>
      <c r="Y3434" s="525" t="str">
        <f>IF(OR(TH!L3434=TH!$Y$7,M3434=TH!$Y$7),"x","")</f>
        <v/>
      </c>
      <c r="Z3434" s="525" t="str">
        <f>IF(AND(B3434&lt;=NKC!$N$8,B3434&gt;=NKC!$M$8),"x","")</f>
        <v/>
      </c>
      <c r="AA3434" s="526"/>
      <c r="AB3434" s="527"/>
      <c r="AC3434" s="536" t="str">
        <f>VLOOKUP(F3434,NXT!$B$12:$B$686,1,0)</f>
        <v>Giấy cuộn</v>
      </c>
      <c r="AD3434" s="527"/>
      <c r="AE3434" s="576"/>
      <c r="AF3434" s="576"/>
      <c r="AG3434" s="576"/>
      <c r="AH3434" s="576"/>
    </row>
    <row r="3435" spans="1:34" s="503" customFormat="1" ht="15.75" customHeight="1">
      <c r="A3435" s="517" t="str">
        <f>IF(B3435&lt;&gt;"",IF(AND(B3435&gt;=_TM1,B3435&lt;=_TM2,OR(TH!L3435="1111",TH!M3435="1111")),TH!D3435,""),"")</f>
        <v/>
      </c>
      <c r="B3435" s="518">
        <f t="shared" si="346"/>
        <v>7</v>
      </c>
      <c r="C3435" s="315">
        <f t="shared" si="345"/>
        <v>42925</v>
      </c>
      <c r="D3435" s="544" t="s">
        <v>1181</v>
      </c>
      <c r="E3435" s="315">
        <v>42925</v>
      </c>
      <c r="F3435" s="250" t="s">
        <v>499</v>
      </c>
      <c r="G3435" s="314" t="s">
        <v>1296</v>
      </c>
      <c r="H3435" s="473" t="s">
        <v>420</v>
      </c>
      <c r="I3435" s="307"/>
      <c r="J3435" s="307"/>
      <c r="K3435" s="532">
        <v>1370040</v>
      </c>
      <c r="L3435" s="534" t="s">
        <v>223</v>
      </c>
      <c r="M3435" s="534" t="s">
        <v>259</v>
      </c>
      <c r="N3435" s="525" t="str">
        <f>IF(AND('331-CT'!$E$7=TH!H3435,OR(L3435="331",M3435="331")),"331",IF(AND(OR(L3435="131",M3435="131"),H3435='131-CT'!$E$7),"131",""))</f>
        <v>131</v>
      </c>
      <c r="O3435" s="525" t="str">
        <f>IF(AND($B3435&gt;='111'!$N$11,$B3435&lt;='111'!$O$11,OR($L3435=$O$7,$M3435=$O$7)),"x","")</f>
        <v/>
      </c>
      <c r="P3435" s="525" t="str">
        <f>IF(AND($L3435=$O$7,$B3435&lt;'111'!$N$11),"x","")</f>
        <v/>
      </c>
      <c r="Q3435" s="525" t="str">
        <f>IF(AND($M3435=$O$7,$B3435&lt;'111'!$N$11),"x","")</f>
        <v/>
      </c>
      <c r="R3435" s="525" t="str">
        <f>IF(ISERROR(FIND('112'!$M$9,G3435,1)),"",IF((AND(FIND('112'!$M$9,G3435,1)&gt;=1,$B3435&gt;='112'!$N$8,$B3435&lt;='112'!$O$8,OR($L3435='112'!$I$6,$M3435='112'!$I$6))),"x",""))</f>
        <v/>
      </c>
      <c r="S3435" s="525" t="str">
        <f>IF(ISERROR(FIND('112'!$M$9,G3435,1)),"",IF((AND(LEFT(G3435,2)=LEFT('112'!$M$9,2),B3435&lt;'112'!$N$8,$L3435='112'!$I$6)),"x",""))</f>
        <v/>
      </c>
      <c r="T3435" s="525" t="str">
        <f>IF(ISERROR(FIND('112'!$M$9,G3435,1)),"",IF((AND(RIGHT(G3435,2)=RIGHT('112'!$M$9,2),B3435&lt;'112'!$N$8,$M3435='112'!$I$6)),"x",""))</f>
        <v/>
      </c>
      <c r="U3435" s="525" t="str">
        <f>IF(AND(B3435&gt;='IN-NX'!$P$3,B3435&lt;='IN-NX'!$Q$3,'IN-NX'!$D$7=D3435,OR(LEFT(L3435,2)="15",AND(LEFT(M3435,2)&lt;&gt;"15",LEFT(M3435,2)&lt;&gt;"33"))),"x","")</f>
        <v/>
      </c>
      <c r="V3435" s="525" t="str">
        <f>IF(AND(OR(LEFT(TH!L3435,2)="15",LEFT(TH!M3435,2)="15"),'152-CT'!$J$8=TH!F3435),"x","")</f>
        <v/>
      </c>
      <c r="W3435" s="525" t="str">
        <f>IF(AND(OR(LEFT(TH!L3435,2)="15",LEFT(TH!M3435,2)="15"),TK!$E$7=TH!F3435),"x","")</f>
        <v/>
      </c>
      <c r="X3435" s="525" t="str">
        <f>IF(AND('341-CT'!$E$9=H3435,OR(LEFT(L3435,3)=$X$7,LEFT(M3435,3)=$X$7)),"x","")</f>
        <v/>
      </c>
      <c r="Y3435" s="525" t="str">
        <f>IF(OR(TH!L3435=TH!$Y$7,M3435=TH!$Y$7),"x","")</f>
        <v/>
      </c>
      <c r="Z3435" s="525" t="str">
        <f>IF(AND(B3435&lt;=NKC!$N$8,B3435&gt;=NKC!$M$8),"x","")</f>
        <v/>
      </c>
      <c r="AA3435" s="526"/>
      <c r="AB3435" s="527"/>
      <c r="AC3435" s="527"/>
      <c r="AD3435" s="527"/>
      <c r="AE3435" s="576"/>
      <c r="AF3435" s="576"/>
      <c r="AG3435" s="576"/>
      <c r="AH3435" s="576"/>
    </row>
    <row r="3436" spans="1:34" s="576" customFormat="1" ht="15.75" customHeight="1">
      <c r="A3436" s="517" t="str">
        <f>IF(B3436&lt;&gt;"",IF(AND(B3436&gt;=_TM1,B3436&lt;=_TM2,OR(TH!L3436="1111",TH!M3436="1111")),TH!D3436,""),"")</f>
        <v/>
      </c>
      <c r="B3436" s="531">
        <f t="shared" si="346"/>
        <v>7</v>
      </c>
      <c r="C3436" s="315">
        <f t="shared" si="345"/>
        <v>42925</v>
      </c>
      <c r="D3436" s="544" t="s">
        <v>1181</v>
      </c>
      <c r="E3436" s="315">
        <v>42925</v>
      </c>
      <c r="F3436" s="555" t="s">
        <v>1217</v>
      </c>
      <c r="G3436" s="314" t="s">
        <v>1297</v>
      </c>
      <c r="H3436" s="473" t="s">
        <v>1218</v>
      </c>
      <c r="I3436" s="307">
        <v>2030</v>
      </c>
      <c r="J3436" s="307">
        <v>8800</v>
      </c>
      <c r="K3436" s="532">
        <f>ROUND(I3436*J3436,0)</f>
        <v>17864000</v>
      </c>
      <c r="L3436" s="534" t="s">
        <v>223</v>
      </c>
      <c r="M3436" s="534" t="s">
        <v>162</v>
      </c>
      <c r="N3436" s="525" t="str">
        <f>IF(AND('331-CT'!$E$7=TH!H3436,OR(L3436="331",M3436="331")),"331",IF(AND(OR(L3436="131",M3436="131"),H3436='131-CT'!$E$7),"131",""))</f>
        <v/>
      </c>
      <c r="O3436" s="525" t="str">
        <f>IF(AND($B3436&gt;='111'!$N$11,$B3436&lt;='111'!$O$11,OR($L3436=$O$7,$M3436=$O$7)),"x","")</f>
        <v/>
      </c>
      <c r="P3436" s="525" t="str">
        <f>IF(AND($L3436=$O$7,$B3436&lt;'111'!$N$11),"x","")</f>
        <v/>
      </c>
      <c r="Q3436" s="525" t="str">
        <f>IF(AND($M3436=$O$7,$B3436&lt;'111'!$N$11),"x","")</f>
        <v/>
      </c>
      <c r="R3436" s="525" t="str">
        <f>IF(ISERROR(FIND('112'!$M$9,G3436,1)),"",IF((AND(FIND('112'!$M$9,G3436,1)&gt;=1,$B3436&gt;='112'!$N$8,$B3436&lt;='112'!$O$8,OR($L3436='112'!$I$6,$M3436='112'!$I$6))),"x",""))</f>
        <v/>
      </c>
      <c r="S3436" s="525" t="str">
        <f>IF(ISERROR(FIND('112'!$M$9,G3436,1)),"",IF((AND(LEFT(G3436,2)=LEFT('112'!$M$9,2),B3436&lt;'112'!$N$8,$L3436='112'!$I$6)),"x",""))</f>
        <v/>
      </c>
      <c r="T3436" s="525" t="str">
        <f>IF(ISERROR(FIND('112'!$M$9,G3436,1)),"",IF((AND(RIGHT(G3436,2)=RIGHT('112'!$M$9,2),B3436&lt;'112'!$N$8,$M3436='112'!$I$6)),"x",""))</f>
        <v/>
      </c>
      <c r="U3436" s="525" t="str">
        <f>IF(AND(B3436&gt;='IN-NX'!$P$3,B3436&lt;='IN-NX'!$Q$3,'IN-NX'!$D$7=D3436,OR(LEFT(L3436,2)="15",AND(LEFT(M3436,2)&lt;&gt;"15",LEFT(M3436,2)&lt;&gt;"33"))),"x","")</f>
        <v/>
      </c>
      <c r="V3436" s="525" t="str">
        <f>IF(AND(OR(LEFT(TH!L3436,2)="15",LEFT(TH!M3436,2)="15"),'152-CT'!$J$8=TH!F3436),"x","")</f>
        <v/>
      </c>
      <c r="W3436" s="525" t="str">
        <f>IF(AND(OR(LEFT(TH!L3436,2)="15",LEFT(TH!M3436,2)="15"),TK!$E$7=TH!F3436),"x","")</f>
        <v/>
      </c>
      <c r="X3436" s="525" t="str">
        <f>IF(AND('341-CT'!$E$9=H3436,OR(LEFT(L3436,3)=$X$7,LEFT(M3436,3)=$X$7)),"x","")</f>
        <v/>
      </c>
      <c r="Y3436" s="525" t="str">
        <f>IF(OR(TH!L3436=TH!$Y$7,M3436=TH!$Y$7),"x","")</f>
        <v/>
      </c>
      <c r="Z3436" s="525" t="str">
        <f>IF(AND(B3436&lt;=NKC!$N$8,B3436&gt;=NKC!$M$8),"x","")</f>
        <v/>
      </c>
      <c r="AA3436" s="535"/>
      <c r="AB3436" s="536"/>
      <c r="AC3436" s="536" t="str">
        <f>VLOOKUP(F3436,NXT!$B$12:$B$686,1,0)</f>
        <v>Thùng 50x29.5x19</v>
      </c>
      <c r="AD3436" s="536"/>
      <c r="AE3436" s="503"/>
      <c r="AF3436" s="503"/>
      <c r="AG3436" s="503"/>
      <c r="AH3436" s="503"/>
    </row>
    <row r="3437" spans="1:34" s="576" customFormat="1" ht="15.75" customHeight="1">
      <c r="A3437" s="517" t="str">
        <f>IF(B3437&lt;&gt;"",IF(AND(B3437&gt;=_TM1,B3437&lt;=_TM2,OR(TH!L3437="1111",TH!M3437="1111")),TH!D3437,""),"")</f>
        <v/>
      </c>
      <c r="B3437" s="531">
        <f t="shared" si="346"/>
        <v>7</v>
      </c>
      <c r="C3437" s="315">
        <f t="shared" si="345"/>
        <v>42925</v>
      </c>
      <c r="D3437" s="544" t="s">
        <v>1181</v>
      </c>
      <c r="E3437" s="315">
        <v>42925</v>
      </c>
      <c r="F3437" s="249" t="s">
        <v>494</v>
      </c>
      <c r="G3437" s="314" t="s">
        <v>1297</v>
      </c>
      <c r="H3437" s="473" t="s">
        <v>1218</v>
      </c>
      <c r="I3437" s="307"/>
      <c r="J3437" s="307"/>
      <c r="K3437" s="532">
        <v>1786400</v>
      </c>
      <c r="L3437" s="534" t="s">
        <v>223</v>
      </c>
      <c r="M3437" s="534" t="s">
        <v>259</v>
      </c>
      <c r="N3437" s="525" t="str">
        <f>IF(AND('331-CT'!$E$7=TH!H3437,OR(L3437="331",M3437="331")),"331",IF(AND(OR(L3437="131",M3437="131"),H3437='131-CT'!$E$7),"131",""))</f>
        <v/>
      </c>
      <c r="O3437" s="525" t="str">
        <f>IF(AND($B3437&gt;='111'!$N$11,$B3437&lt;='111'!$O$11,OR($L3437=$O$7,$M3437=$O$7)),"x","")</f>
        <v/>
      </c>
      <c r="P3437" s="525" t="str">
        <f>IF(AND($L3437=$O$7,$B3437&lt;'111'!$N$11),"x","")</f>
        <v/>
      </c>
      <c r="Q3437" s="525" t="str">
        <f>IF(AND($M3437=$O$7,$B3437&lt;'111'!$N$11),"x","")</f>
        <v/>
      </c>
      <c r="R3437" s="525" t="str">
        <f>IF(ISERROR(FIND('112'!$M$9,G3437,1)),"",IF((AND(FIND('112'!$M$9,G3437,1)&gt;=1,$B3437&gt;='112'!$N$8,$B3437&lt;='112'!$O$8,OR($L3437='112'!$I$6,$M3437='112'!$I$6))),"x",""))</f>
        <v/>
      </c>
      <c r="S3437" s="525" t="str">
        <f>IF(ISERROR(FIND('112'!$M$9,G3437,1)),"",IF((AND(LEFT(G3437,2)=LEFT('112'!$M$9,2),B3437&lt;'112'!$N$8,$L3437='112'!$I$6)),"x",""))</f>
        <v/>
      </c>
      <c r="T3437" s="525" t="str">
        <f>IF(ISERROR(FIND('112'!$M$9,G3437,1)),"",IF((AND(RIGHT(G3437,2)=RIGHT('112'!$M$9,2),B3437&lt;'112'!$N$8,$M3437='112'!$I$6)),"x",""))</f>
        <v/>
      </c>
      <c r="U3437" s="525" t="str">
        <f>IF(AND(B3437&gt;='IN-NX'!$P$3,B3437&lt;='IN-NX'!$Q$3,'IN-NX'!$D$7=D3437,OR(LEFT(L3437,2)="15",AND(LEFT(M3437,2)&lt;&gt;"15",LEFT(M3437,2)&lt;&gt;"33"))),"x","")</f>
        <v/>
      </c>
      <c r="V3437" s="525" t="str">
        <f>IF(AND(OR(LEFT(TH!L3437,2)="15",LEFT(TH!M3437,2)="15"),'152-CT'!$J$8=TH!F3437),"x","")</f>
        <v/>
      </c>
      <c r="W3437" s="525" t="str">
        <f>IF(AND(OR(LEFT(TH!L3437,2)="15",LEFT(TH!M3437,2)="15"),TK!$E$7=TH!F3437),"x","")</f>
        <v/>
      </c>
      <c r="X3437" s="525" t="str">
        <f>IF(AND('341-CT'!$E$9=H3437,OR(LEFT(L3437,3)=$X$7,LEFT(M3437,3)=$X$7)),"x","")</f>
        <v/>
      </c>
      <c r="Y3437" s="525" t="str">
        <f>IF(OR(TH!L3437=TH!$Y$7,M3437=TH!$Y$7),"x","")</f>
        <v/>
      </c>
      <c r="Z3437" s="525" t="str">
        <f>IF(AND(B3437&lt;=NKC!$N$8,B3437&gt;=NKC!$M$8),"x","")</f>
        <v/>
      </c>
      <c r="AA3437" s="535"/>
      <c r="AB3437" s="536"/>
      <c r="AC3437" s="503"/>
      <c r="AD3437" s="536"/>
      <c r="AE3437" s="503"/>
      <c r="AF3437" s="503"/>
      <c r="AG3437" s="503"/>
      <c r="AH3437" s="503"/>
    </row>
    <row r="3438" spans="1:34" s="576" customFormat="1" ht="15.75" customHeight="1">
      <c r="A3438" s="517" t="str">
        <f>IF(B3438&lt;&gt;"",IF(AND(B3438&gt;=_TM1,B3438&lt;=_TM2,OR(TH!L3438="1111",TH!M3438="1111")),TH!D3438,""),"")</f>
        <v/>
      </c>
      <c r="B3438" s="518">
        <f t="shared" si="346"/>
        <v>7</v>
      </c>
      <c r="C3438" s="315">
        <f t="shared" si="345"/>
        <v>42926</v>
      </c>
      <c r="D3438" s="544" t="s">
        <v>1181</v>
      </c>
      <c r="E3438" s="315">
        <v>42926</v>
      </c>
      <c r="F3438" s="249" t="s">
        <v>380</v>
      </c>
      <c r="G3438" s="314" t="s">
        <v>1298</v>
      </c>
      <c r="H3438" s="473" t="s">
        <v>420</v>
      </c>
      <c r="I3438" s="307">
        <v>1905</v>
      </c>
      <c r="J3438" s="307">
        <v>8400</v>
      </c>
      <c r="K3438" s="532">
        <f>ROUND(I3438*J3438,0)</f>
        <v>16002000</v>
      </c>
      <c r="L3438" s="534" t="s">
        <v>223</v>
      </c>
      <c r="M3438" s="534" t="s">
        <v>162</v>
      </c>
      <c r="N3438" s="525" t="str">
        <f>IF(AND('331-CT'!$E$7=TH!H3438,OR(L3438="331",M3438="331")),"331",IF(AND(OR(L3438="131",M3438="131"),H3438='131-CT'!$E$7),"131",""))</f>
        <v>131</v>
      </c>
      <c r="O3438" s="525" t="str">
        <f>IF(AND($B3438&gt;='111'!$N$11,$B3438&lt;='111'!$O$11,OR($L3438=$O$7,$M3438=$O$7)),"x","")</f>
        <v/>
      </c>
      <c r="P3438" s="525" t="str">
        <f>IF(AND($L3438=$O$7,$B3438&lt;'111'!$N$11),"x","")</f>
        <v/>
      </c>
      <c r="Q3438" s="525" t="str">
        <f>IF(AND($M3438=$O$7,$B3438&lt;'111'!$N$11),"x","")</f>
        <v/>
      </c>
      <c r="R3438" s="525" t="str">
        <f>IF(ISERROR(FIND('112'!$M$9,G3438,1)),"",IF((AND(FIND('112'!$M$9,G3438,1)&gt;=1,$B3438&gt;='112'!$N$8,$B3438&lt;='112'!$O$8,OR($L3438='112'!$I$6,$M3438='112'!$I$6))),"x",""))</f>
        <v/>
      </c>
      <c r="S3438" s="525" t="str">
        <f>IF(ISERROR(FIND('112'!$M$9,G3438,1)),"",IF((AND(LEFT(G3438,2)=LEFT('112'!$M$9,2),B3438&lt;'112'!$N$8,$L3438='112'!$I$6)),"x",""))</f>
        <v/>
      </c>
      <c r="T3438" s="525" t="str">
        <f>IF(ISERROR(FIND('112'!$M$9,G3438,1)),"",IF((AND(RIGHT(G3438,2)=RIGHT('112'!$M$9,2),B3438&lt;'112'!$N$8,$M3438='112'!$I$6)),"x",""))</f>
        <v/>
      </c>
      <c r="U3438" s="525" t="str">
        <f>IF(AND(B3438&gt;='IN-NX'!$P$3,B3438&lt;='IN-NX'!$Q$3,'IN-NX'!$D$7=D3438,OR(LEFT(L3438,2)="15",AND(LEFT(M3438,2)&lt;&gt;"15",LEFT(M3438,2)&lt;&gt;"33"))),"x","")</f>
        <v/>
      </c>
      <c r="V3438" s="525" t="str">
        <f>IF(AND(OR(LEFT(TH!L3438,2)="15",LEFT(TH!M3438,2)="15"),'152-CT'!$J$8=TH!F3438),"x","")</f>
        <v/>
      </c>
      <c r="W3438" s="525" t="str">
        <f>IF(AND(OR(LEFT(TH!L3438,2)="15",LEFT(TH!M3438,2)="15"),TK!$E$7=TH!F3438),"x","")</f>
        <v/>
      </c>
      <c r="X3438" s="525" t="str">
        <f>IF(AND('341-CT'!$E$9=H3438,OR(LEFT(L3438,3)=$X$7,LEFT(M3438,3)=$X$7)),"x","")</f>
        <v/>
      </c>
      <c r="Y3438" s="525" t="str">
        <f>IF(OR(TH!L3438=TH!$Y$7,M3438=TH!$Y$7),"x","")</f>
        <v/>
      </c>
      <c r="Z3438" s="525" t="str">
        <f>IF(AND(B3438&lt;=NKC!$N$8,B3438&gt;=NKC!$M$8),"x","")</f>
        <v/>
      </c>
      <c r="AA3438" s="526"/>
      <c r="AC3438" s="536" t="str">
        <f>VLOOKUP(F3438,NXT!$B$12:$B$686,1,0)</f>
        <v>Giấy cuộn</v>
      </c>
    </row>
    <row r="3439" spans="1:34" s="576" customFormat="1" ht="15.75" customHeight="1">
      <c r="A3439" s="517" t="str">
        <f>IF(B3439&lt;&gt;"",IF(AND(B3439&gt;=_TM1,B3439&lt;=_TM2,OR(TH!L3439="1111",TH!M3439="1111")),TH!D3439,""),"")</f>
        <v/>
      </c>
      <c r="B3439" s="518">
        <f t="shared" si="346"/>
        <v>7</v>
      </c>
      <c r="C3439" s="315">
        <f t="shared" si="345"/>
        <v>42926</v>
      </c>
      <c r="D3439" s="544" t="s">
        <v>1181</v>
      </c>
      <c r="E3439" s="315">
        <v>42926</v>
      </c>
      <c r="F3439" s="250" t="s">
        <v>499</v>
      </c>
      <c r="G3439" s="314" t="s">
        <v>1298</v>
      </c>
      <c r="H3439" s="473" t="s">
        <v>420</v>
      </c>
      <c r="I3439" s="307"/>
      <c r="J3439" s="307"/>
      <c r="K3439" s="532">
        <v>1600200</v>
      </c>
      <c r="L3439" s="534" t="s">
        <v>223</v>
      </c>
      <c r="M3439" s="534" t="s">
        <v>259</v>
      </c>
      <c r="N3439" s="525" t="str">
        <f>IF(AND('331-CT'!$E$7=TH!H3439,OR(L3439="331",M3439="331")),"331",IF(AND(OR(L3439="131",M3439="131"),H3439='131-CT'!$E$7),"131",""))</f>
        <v>131</v>
      </c>
      <c r="O3439" s="525" t="str">
        <f>IF(AND($B3439&gt;='111'!$N$11,$B3439&lt;='111'!$O$11,OR($L3439=$O$7,$M3439=$O$7)),"x","")</f>
        <v/>
      </c>
      <c r="P3439" s="525" t="str">
        <f>IF(AND($L3439=$O$7,$B3439&lt;'111'!$N$11),"x","")</f>
        <v/>
      </c>
      <c r="Q3439" s="525" t="str">
        <f>IF(AND($M3439=$O$7,$B3439&lt;'111'!$N$11),"x","")</f>
        <v/>
      </c>
      <c r="R3439" s="525" t="str">
        <f>IF(ISERROR(FIND('112'!$M$9,G3439,1)),"",IF((AND(FIND('112'!$M$9,G3439,1)&gt;=1,$B3439&gt;='112'!$N$8,$B3439&lt;='112'!$O$8,OR($L3439='112'!$I$6,$M3439='112'!$I$6))),"x",""))</f>
        <v/>
      </c>
      <c r="S3439" s="525" t="str">
        <f>IF(ISERROR(FIND('112'!$M$9,G3439,1)),"",IF((AND(LEFT(G3439,2)=LEFT('112'!$M$9,2),B3439&lt;'112'!$N$8,$L3439='112'!$I$6)),"x",""))</f>
        <v/>
      </c>
      <c r="T3439" s="525" t="str">
        <f>IF(ISERROR(FIND('112'!$M$9,G3439,1)),"",IF((AND(RIGHT(G3439,2)=RIGHT('112'!$M$9,2),B3439&lt;'112'!$N$8,$M3439='112'!$I$6)),"x",""))</f>
        <v/>
      </c>
      <c r="U3439" s="525" t="str">
        <f>IF(AND(B3439&gt;='IN-NX'!$P$3,B3439&lt;='IN-NX'!$Q$3,'IN-NX'!$D$7=D3439,OR(LEFT(L3439,2)="15",AND(LEFT(M3439,2)&lt;&gt;"15",LEFT(M3439,2)&lt;&gt;"33"))),"x","")</f>
        <v/>
      </c>
      <c r="V3439" s="525" t="str">
        <f>IF(AND(OR(LEFT(TH!L3439,2)="15",LEFT(TH!M3439,2)="15"),'152-CT'!$J$8=TH!F3439),"x","")</f>
        <v/>
      </c>
      <c r="W3439" s="525" t="str">
        <f>IF(AND(OR(LEFT(TH!L3439,2)="15",LEFT(TH!M3439,2)="15"),TK!$E$7=TH!F3439),"x","")</f>
        <v/>
      </c>
      <c r="X3439" s="525" t="str">
        <f>IF(AND('341-CT'!$E$9=H3439,OR(LEFT(L3439,3)=$X$7,LEFT(M3439,3)=$X$7)),"x","")</f>
        <v/>
      </c>
      <c r="Y3439" s="525" t="str">
        <f>IF(OR(TH!L3439=TH!$Y$7,M3439=TH!$Y$7),"x","")</f>
        <v/>
      </c>
      <c r="Z3439" s="525" t="str">
        <f>IF(AND(B3439&lt;=NKC!$N$8,B3439&gt;=NKC!$M$8),"x","")</f>
        <v/>
      </c>
      <c r="AA3439" s="526"/>
    </row>
    <row r="3440" spans="1:34" s="576" customFormat="1" ht="15.75" customHeight="1">
      <c r="A3440" s="517" t="str">
        <f>IF(B3440&lt;&gt;"",IF(AND(B3440&gt;=_TM1,B3440&lt;=_TM2,OR(TH!L3440="1111",TH!M3440="1111")),TH!D3440,""),"")</f>
        <v/>
      </c>
      <c r="B3440" s="518">
        <f t="shared" si="346"/>
        <v>7</v>
      </c>
      <c r="C3440" s="315">
        <f t="shared" si="345"/>
        <v>42926</v>
      </c>
      <c r="D3440" s="544" t="s">
        <v>1181</v>
      </c>
      <c r="E3440" s="315">
        <v>42926</v>
      </c>
      <c r="F3440" s="555" t="s">
        <v>1217</v>
      </c>
      <c r="G3440" s="314" t="s">
        <v>1299</v>
      </c>
      <c r="H3440" s="473" t="s">
        <v>1218</v>
      </c>
      <c r="I3440" s="307">
        <v>2030</v>
      </c>
      <c r="J3440" s="307">
        <v>8800</v>
      </c>
      <c r="K3440" s="532">
        <f>ROUND(I3440*J3440,0)</f>
        <v>17864000</v>
      </c>
      <c r="L3440" s="534" t="s">
        <v>223</v>
      </c>
      <c r="M3440" s="534" t="s">
        <v>162</v>
      </c>
      <c r="N3440" s="525" t="str">
        <f>IF(AND('331-CT'!$E$7=TH!H3440,OR(L3440="331",M3440="331")),"331",IF(AND(OR(L3440="131",M3440="131"),H3440='131-CT'!$E$7),"131",""))</f>
        <v/>
      </c>
      <c r="O3440" s="525" t="str">
        <f>IF(AND($B3440&gt;='111'!$N$11,$B3440&lt;='111'!$O$11,OR($L3440=$O$7,$M3440=$O$7)),"x","")</f>
        <v/>
      </c>
      <c r="P3440" s="525" t="str">
        <f>IF(AND($L3440=$O$7,$B3440&lt;'111'!$N$11),"x","")</f>
        <v/>
      </c>
      <c r="Q3440" s="525" t="str">
        <f>IF(AND($M3440=$O$7,$B3440&lt;'111'!$N$11),"x","")</f>
        <v/>
      </c>
      <c r="R3440" s="525" t="str">
        <f>IF(ISERROR(FIND('112'!$M$9,G3440,1)),"",IF((AND(FIND('112'!$M$9,G3440,1)&gt;=1,$B3440&gt;='112'!$N$8,$B3440&lt;='112'!$O$8,OR($L3440='112'!$I$6,$M3440='112'!$I$6))),"x",""))</f>
        <v/>
      </c>
      <c r="S3440" s="525" t="str">
        <f>IF(ISERROR(FIND('112'!$M$9,G3440,1)),"",IF((AND(LEFT(G3440,2)=LEFT('112'!$M$9,2),B3440&lt;'112'!$N$8,$L3440='112'!$I$6)),"x",""))</f>
        <v/>
      </c>
      <c r="T3440" s="525" t="str">
        <f>IF(ISERROR(FIND('112'!$M$9,G3440,1)),"",IF((AND(RIGHT(G3440,2)=RIGHT('112'!$M$9,2),B3440&lt;'112'!$N$8,$M3440='112'!$I$6)),"x",""))</f>
        <v/>
      </c>
      <c r="U3440" s="525" t="str">
        <f>IF(AND(B3440&gt;='IN-NX'!$P$3,B3440&lt;='IN-NX'!$Q$3,'IN-NX'!$D$7=D3440,OR(LEFT(L3440,2)="15",AND(LEFT(M3440,2)&lt;&gt;"15",LEFT(M3440,2)&lt;&gt;"33"))),"x","")</f>
        <v/>
      </c>
      <c r="V3440" s="525" t="str">
        <f>IF(AND(OR(LEFT(TH!L3440,2)="15",LEFT(TH!M3440,2)="15"),'152-CT'!$J$8=TH!F3440),"x","")</f>
        <v/>
      </c>
      <c r="W3440" s="525" t="str">
        <f>IF(AND(OR(LEFT(TH!L3440,2)="15",LEFT(TH!M3440,2)="15"),TK!$E$7=TH!F3440),"x","")</f>
        <v/>
      </c>
      <c r="X3440" s="525" t="str">
        <f>IF(AND('341-CT'!$E$9=H3440,OR(LEFT(L3440,3)=$X$7,LEFT(M3440,3)=$X$7)),"x","")</f>
        <v/>
      </c>
      <c r="Y3440" s="525" t="str">
        <f>IF(OR(TH!L3440=TH!$Y$7,M3440=TH!$Y$7),"x","")</f>
        <v/>
      </c>
      <c r="Z3440" s="525" t="str">
        <f>IF(AND(B3440&lt;=NKC!$N$8,B3440&gt;=NKC!$M$8),"x","")</f>
        <v/>
      </c>
      <c r="AA3440" s="526"/>
      <c r="AB3440" s="527"/>
      <c r="AC3440" s="536" t="str">
        <f>VLOOKUP(F3440,NXT!$B$12:$B$686,1,0)</f>
        <v>Thùng 50x29.5x19</v>
      </c>
      <c r="AD3440" s="527"/>
    </row>
    <row r="3441" spans="1:30" s="576" customFormat="1" ht="15.75" customHeight="1">
      <c r="A3441" s="517" t="str">
        <f>IF(B3441&lt;&gt;"",IF(AND(B3441&gt;=_TM1,B3441&lt;=_TM2,OR(TH!L3441="1111",TH!M3441="1111")),TH!D3441,""),"")</f>
        <v/>
      </c>
      <c r="B3441" s="518">
        <f t="shared" si="346"/>
        <v>7</v>
      </c>
      <c r="C3441" s="315">
        <f t="shared" si="345"/>
        <v>42926</v>
      </c>
      <c r="D3441" s="544" t="s">
        <v>1181</v>
      </c>
      <c r="E3441" s="315">
        <v>42926</v>
      </c>
      <c r="F3441" s="249" t="s">
        <v>494</v>
      </c>
      <c r="G3441" s="314" t="s">
        <v>1299</v>
      </c>
      <c r="H3441" s="473" t="s">
        <v>1218</v>
      </c>
      <c r="I3441" s="307"/>
      <c r="J3441" s="307"/>
      <c r="K3441" s="532">
        <v>1786400</v>
      </c>
      <c r="L3441" s="534" t="s">
        <v>223</v>
      </c>
      <c r="M3441" s="534" t="s">
        <v>259</v>
      </c>
      <c r="N3441" s="525" t="str">
        <f>IF(AND('331-CT'!$E$7=TH!H3441,OR(L3441="331",M3441="331")),"331",IF(AND(OR(L3441="131",M3441="131"),H3441='131-CT'!$E$7),"131",""))</f>
        <v/>
      </c>
      <c r="O3441" s="525" t="str">
        <f>IF(AND($B3441&gt;='111'!$N$11,$B3441&lt;='111'!$O$11,OR($L3441=$O$7,$M3441=$O$7)),"x","")</f>
        <v/>
      </c>
      <c r="P3441" s="525" t="str">
        <f>IF(AND($L3441=$O$7,$B3441&lt;'111'!$N$11),"x","")</f>
        <v/>
      </c>
      <c r="Q3441" s="525" t="str">
        <f>IF(AND($M3441=$O$7,$B3441&lt;'111'!$N$11),"x","")</f>
        <v/>
      </c>
      <c r="R3441" s="525" t="str">
        <f>IF(ISERROR(FIND('112'!$M$9,G3441,1)),"",IF((AND(FIND('112'!$M$9,G3441,1)&gt;=1,$B3441&gt;='112'!$N$8,$B3441&lt;='112'!$O$8,OR($L3441='112'!$I$6,$M3441='112'!$I$6))),"x",""))</f>
        <v/>
      </c>
      <c r="S3441" s="525" t="str">
        <f>IF(ISERROR(FIND('112'!$M$9,G3441,1)),"",IF((AND(LEFT(G3441,2)=LEFT('112'!$M$9,2),B3441&lt;'112'!$N$8,$L3441='112'!$I$6)),"x",""))</f>
        <v/>
      </c>
      <c r="T3441" s="525" t="str">
        <f>IF(ISERROR(FIND('112'!$M$9,G3441,1)),"",IF((AND(RIGHT(G3441,2)=RIGHT('112'!$M$9,2),B3441&lt;'112'!$N$8,$M3441='112'!$I$6)),"x",""))</f>
        <v/>
      </c>
      <c r="U3441" s="525" t="str">
        <f>IF(AND(B3441&gt;='IN-NX'!$P$3,B3441&lt;='IN-NX'!$Q$3,'IN-NX'!$D$7=D3441,OR(LEFT(L3441,2)="15",AND(LEFT(M3441,2)&lt;&gt;"15",LEFT(M3441,2)&lt;&gt;"33"))),"x","")</f>
        <v/>
      </c>
      <c r="V3441" s="525" t="str">
        <f>IF(AND(OR(LEFT(TH!L3441,2)="15",LEFT(TH!M3441,2)="15"),'152-CT'!$J$8=TH!F3441),"x","")</f>
        <v/>
      </c>
      <c r="W3441" s="525" t="str">
        <f>IF(AND(OR(LEFT(TH!L3441,2)="15",LEFT(TH!M3441,2)="15"),TK!$E$7=TH!F3441),"x","")</f>
        <v/>
      </c>
      <c r="X3441" s="525" t="str">
        <f>IF(AND('341-CT'!$E$9=H3441,OR(LEFT(L3441,3)=$X$7,LEFT(M3441,3)=$X$7)),"x","")</f>
        <v/>
      </c>
      <c r="Y3441" s="525" t="str">
        <f>IF(OR(TH!L3441=TH!$Y$7,M3441=TH!$Y$7),"x","")</f>
        <v/>
      </c>
      <c r="Z3441" s="525" t="str">
        <f>IF(AND(B3441&lt;=NKC!$N$8,B3441&gt;=NKC!$M$8),"x","")</f>
        <v/>
      </c>
      <c r="AA3441" s="526"/>
      <c r="AB3441" s="527"/>
    </row>
    <row r="3442" spans="1:30" s="576" customFormat="1" ht="15.75" customHeight="1">
      <c r="A3442" s="517" t="str">
        <f>IF(B3442&lt;&gt;"",IF(AND(B3442&gt;=_TM1,B3442&lt;=_TM2,OR(TH!L3442="1111",TH!M3442="1111")),TH!D3442,""),"")</f>
        <v/>
      </c>
      <c r="B3442" s="518">
        <f t="shared" si="346"/>
        <v>7</v>
      </c>
      <c r="C3442" s="315">
        <f t="shared" si="345"/>
        <v>42926</v>
      </c>
      <c r="D3442" s="544" t="s">
        <v>1181</v>
      </c>
      <c r="E3442" s="315">
        <v>42926</v>
      </c>
      <c r="F3442" s="249" t="s">
        <v>380</v>
      </c>
      <c r="G3442" s="314" t="s">
        <v>1301</v>
      </c>
      <c r="H3442" s="473" t="s">
        <v>420</v>
      </c>
      <c r="I3442" s="307">
        <v>1869</v>
      </c>
      <c r="J3442" s="307">
        <v>8400</v>
      </c>
      <c r="K3442" s="532">
        <f>ROUND(I3442*J3442,0)</f>
        <v>15699600</v>
      </c>
      <c r="L3442" s="534" t="s">
        <v>223</v>
      </c>
      <c r="M3442" s="534" t="s">
        <v>162</v>
      </c>
      <c r="N3442" s="525" t="str">
        <f>IF(AND('331-CT'!$E$7=TH!H3442,OR(L3442="331",M3442="331")),"331",IF(AND(OR(L3442="131",M3442="131"),H3442='131-CT'!$E$7),"131",""))</f>
        <v>131</v>
      </c>
      <c r="O3442" s="525" t="str">
        <f>IF(AND($B3442&gt;='111'!$N$11,$B3442&lt;='111'!$O$11,OR($L3442=$O$7,$M3442=$O$7)),"x","")</f>
        <v/>
      </c>
      <c r="P3442" s="525" t="str">
        <f>IF(AND($L3442=$O$7,$B3442&lt;'111'!$N$11),"x","")</f>
        <v/>
      </c>
      <c r="Q3442" s="525" t="str">
        <f>IF(AND($M3442=$O$7,$B3442&lt;'111'!$N$11),"x","")</f>
        <v/>
      </c>
      <c r="R3442" s="525" t="str">
        <f>IF(ISERROR(FIND('112'!$M$9,G3442,1)),"",IF((AND(FIND('112'!$M$9,G3442,1)&gt;=1,$B3442&gt;='112'!$N$8,$B3442&lt;='112'!$O$8,OR($L3442='112'!$I$6,$M3442='112'!$I$6))),"x",""))</f>
        <v/>
      </c>
      <c r="S3442" s="525" t="str">
        <f>IF(ISERROR(FIND('112'!$M$9,G3442,1)),"",IF((AND(LEFT(G3442,2)=LEFT('112'!$M$9,2),B3442&lt;'112'!$N$8,$L3442='112'!$I$6)),"x",""))</f>
        <v/>
      </c>
      <c r="T3442" s="525" t="str">
        <f>IF(ISERROR(FIND('112'!$M$9,G3442,1)),"",IF((AND(RIGHT(G3442,2)=RIGHT('112'!$M$9,2),B3442&lt;'112'!$N$8,$M3442='112'!$I$6)),"x",""))</f>
        <v/>
      </c>
      <c r="U3442" s="525" t="str">
        <f>IF(AND(B3442&gt;='IN-NX'!$P$3,B3442&lt;='IN-NX'!$Q$3,'IN-NX'!$D$7=D3442,OR(LEFT(L3442,2)="15",AND(LEFT(M3442,2)&lt;&gt;"15",LEFT(M3442,2)&lt;&gt;"33"))),"x","")</f>
        <v/>
      </c>
      <c r="V3442" s="525" t="str">
        <f>IF(AND(OR(LEFT(TH!L3442,2)="15",LEFT(TH!M3442,2)="15"),'152-CT'!$J$8=TH!F3442),"x","")</f>
        <v/>
      </c>
      <c r="W3442" s="525" t="str">
        <f>IF(AND(OR(LEFT(TH!L3442,2)="15",LEFT(TH!M3442,2)="15"),TK!$E$7=TH!F3442),"x","")</f>
        <v/>
      </c>
      <c r="X3442" s="525" t="str">
        <f>IF(AND('341-CT'!$E$9=H3442,OR(LEFT(L3442,3)=$X$7,LEFT(M3442,3)=$X$7)),"x","")</f>
        <v/>
      </c>
      <c r="Y3442" s="525" t="str">
        <f>IF(OR(TH!L3442=TH!$Y$7,M3442=TH!$Y$7),"x","")</f>
        <v/>
      </c>
      <c r="Z3442" s="525" t="str">
        <f>IF(AND(B3442&lt;=NKC!$N$8,B3442&gt;=NKC!$M$8),"x","")</f>
        <v/>
      </c>
      <c r="AA3442" s="526"/>
      <c r="AB3442" s="527"/>
      <c r="AC3442" s="536" t="str">
        <f>VLOOKUP(F3442,NXT!$B$12:$B$686,1,0)</f>
        <v>Giấy cuộn</v>
      </c>
      <c r="AD3442" s="527"/>
    </row>
    <row r="3443" spans="1:30" s="576" customFormat="1" ht="15.75" customHeight="1">
      <c r="A3443" s="517" t="str">
        <f>IF(B3443&lt;&gt;"",IF(AND(B3443&gt;=_TM1,B3443&lt;=_TM2,OR(TH!L3443="1111",TH!M3443="1111")),TH!D3443,""),"")</f>
        <v/>
      </c>
      <c r="B3443" s="518">
        <f t="shared" si="346"/>
        <v>7</v>
      </c>
      <c r="C3443" s="315">
        <f t="shared" si="345"/>
        <v>42926</v>
      </c>
      <c r="D3443" s="544" t="s">
        <v>1181</v>
      </c>
      <c r="E3443" s="315">
        <v>42926</v>
      </c>
      <c r="F3443" s="250" t="s">
        <v>499</v>
      </c>
      <c r="G3443" s="314" t="s">
        <v>1301</v>
      </c>
      <c r="H3443" s="473" t="s">
        <v>420</v>
      </c>
      <c r="I3443" s="307"/>
      <c r="J3443" s="307"/>
      <c r="K3443" s="532">
        <v>1569960</v>
      </c>
      <c r="L3443" s="534" t="s">
        <v>223</v>
      </c>
      <c r="M3443" s="534" t="s">
        <v>259</v>
      </c>
      <c r="N3443" s="525" t="str">
        <f>IF(AND('331-CT'!$E$7=TH!H3443,OR(L3443="331",M3443="331")),"331",IF(AND(OR(L3443="131",M3443="131"),H3443='131-CT'!$E$7),"131",""))</f>
        <v>131</v>
      </c>
      <c r="O3443" s="525" t="str">
        <f>IF(AND($B3443&gt;='111'!$N$11,$B3443&lt;='111'!$O$11,OR($L3443=$O$7,$M3443=$O$7)),"x","")</f>
        <v/>
      </c>
      <c r="P3443" s="525" t="str">
        <f>IF(AND($L3443=$O$7,$B3443&lt;'111'!$N$11),"x","")</f>
        <v/>
      </c>
      <c r="Q3443" s="525" t="str">
        <f>IF(AND($M3443=$O$7,$B3443&lt;'111'!$N$11),"x","")</f>
        <v/>
      </c>
      <c r="R3443" s="525" t="str">
        <f>IF(ISERROR(FIND('112'!$M$9,G3443,1)),"",IF((AND(FIND('112'!$M$9,G3443,1)&gt;=1,$B3443&gt;='112'!$N$8,$B3443&lt;='112'!$O$8,OR($L3443='112'!$I$6,$M3443='112'!$I$6))),"x",""))</f>
        <v/>
      </c>
      <c r="S3443" s="525" t="str">
        <f>IF(ISERROR(FIND('112'!$M$9,G3443,1)),"",IF((AND(LEFT(G3443,2)=LEFT('112'!$M$9,2),B3443&lt;'112'!$N$8,$L3443='112'!$I$6)),"x",""))</f>
        <v/>
      </c>
      <c r="T3443" s="525" t="str">
        <f>IF(ISERROR(FIND('112'!$M$9,G3443,1)),"",IF((AND(RIGHT(G3443,2)=RIGHT('112'!$M$9,2),B3443&lt;'112'!$N$8,$M3443='112'!$I$6)),"x",""))</f>
        <v/>
      </c>
      <c r="U3443" s="525" t="str">
        <f>IF(AND(B3443&gt;='IN-NX'!$P$3,B3443&lt;='IN-NX'!$Q$3,'IN-NX'!$D$7=D3443,OR(LEFT(L3443,2)="15",AND(LEFT(M3443,2)&lt;&gt;"15",LEFT(M3443,2)&lt;&gt;"33"))),"x","")</f>
        <v/>
      </c>
      <c r="V3443" s="525" t="str">
        <f>IF(AND(OR(LEFT(TH!L3443,2)="15",LEFT(TH!M3443,2)="15"),'152-CT'!$J$8=TH!F3443),"x","")</f>
        <v/>
      </c>
      <c r="W3443" s="525" t="str">
        <f>IF(AND(OR(LEFT(TH!L3443,2)="15",LEFT(TH!M3443,2)="15"),TK!$E$7=TH!F3443),"x","")</f>
        <v/>
      </c>
      <c r="X3443" s="525" t="str">
        <f>IF(AND('341-CT'!$E$9=H3443,OR(LEFT(L3443,3)=$X$7,LEFT(M3443,3)=$X$7)),"x","")</f>
        <v/>
      </c>
      <c r="Y3443" s="525" t="str">
        <f>IF(OR(TH!L3443=TH!$Y$7,M3443=TH!$Y$7),"x","")</f>
        <v/>
      </c>
      <c r="Z3443" s="525" t="str">
        <f>IF(AND(B3443&lt;=NKC!$N$8,B3443&gt;=NKC!$M$8),"x","")</f>
        <v/>
      </c>
      <c r="AA3443" s="526"/>
      <c r="AB3443" s="527"/>
      <c r="AC3443" s="527"/>
      <c r="AD3443" s="527"/>
    </row>
    <row r="3444" spans="1:30" s="576" customFormat="1" ht="15.75" customHeight="1">
      <c r="A3444" s="517" t="str">
        <f>IF(B3444&lt;&gt;"",IF(AND(B3444&gt;=_TM1,B3444&lt;=_TM2,OR(TH!L3444="1111",TH!M3444="1111")),TH!D3444,""),"")</f>
        <v/>
      </c>
      <c r="B3444" s="518">
        <f t="shared" ref="B3444" si="347">IF(C3444&lt;&gt;"",MONTH(C3444),"")</f>
        <v>7</v>
      </c>
      <c r="C3444" s="315">
        <f t="shared" ref="C3444" si="348">E3444</f>
        <v>42927</v>
      </c>
      <c r="D3444" s="544" t="s">
        <v>1181</v>
      </c>
      <c r="E3444" s="315">
        <v>42927</v>
      </c>
      <c r="F3444" s="249" t="s">
        <v>1375</v>
      </c>
      <c r="G3444" s="314" t="s">
        <v>1373</v>
      </c>
      <c r="H3444" s="248" t="s">
        <v>1374</v>
      </c>
      <c r="I3444" s="307">
        <v>50</v>
      </c>
      <c r="J3444" s="307">
        <v>11400</v>
      </c>
      <c r="K3444" s="532">
        <f>ROUND(I3444*J3444,0)</f>
        <v>570000</v>
      </c>
      <c r="L3444" s="534" t="s">
        <v>223</v>
      </c>
      <c r="M3444" s="534" t="s">
        <v>162</v>
      </c>
      <c r="N3444" s="525" t="str">
        <f>IF(AND('331-CT'!$E$7=TH!H3444,OR(L3444="331",M3444="331")),"331",IF(AND(OR(L3444="131",M3444="131"),H3444='131-CT'!$E$7),"131",""))</f>
        <v/>
      </c>
      <c r="O3444" s="525" t="str">
        <f>IF(AND($B3444&gt;='111'!$N$11,$B3444&lt;='111'!$O$11,OR($L3444=$O$7,$M3444=$O$7)),"x","")</f>
        <v/>
      </c>
      <c r="P3444" s="525" t="str">
        <f>IF(AND($L3444=$O$7,$B3444&lt;'111'!$N$11),"x","")</f>
        <v/>
      </c>
      <c r="Q3444" s="525" t="str">
        <f>IF(AND($M3444=$O$7,$B3444&lt;'111'!$N$11),"x","")</f>
        <v/>
      </c>
      <c r="R3444" s="525" t="str">
        <f>IF(ISERROR(FIND('112'!$M$9,G3444,1)),"",IF((AND(FIND('112'!$M$9,G3444,1)&gt;=1,$B3444&gt;='112'!$N$8,$B3444&lt;='112'!$O$8,OR($L3444='112'!$I$6,$M3444='112'!$I$6))),"x",""))</f>
        <v/>
      </c>
      <c r="S3444" s="525" t="str">
        <f>IF(ISERROR(FIND('112'!$M$9,G3444,1)),"",IF((AND(LEFT(G3444,2)=LEFT('112'!$M$9,2),B3444&lt;'112'!$N$8,$L3444='112'!$I$6)),"x",""))</f>
        <v/>
      </c>
      <c r="T3444" s="525" t="str">
        <f>IF(ISERROR(FIND('112'!$M$9,G3444,1)),"",IF((AND(RIGHT(G3444,2)=RIGHT('112'!$M$9,2),B3444&lt;'112'!$N$8,$M3444='112'!$I$6)),"x",""))</f>
        <v/>
      </c>
      <c r="U3444" s="525" t="str">
        <f>IF(AND(B3444&gt;='IN-NX'!$P$3,B3444&lt;='IN-NX'!$Q$3,'IN-NX'!$D$7=D3444,OR(LEFT(L3444,2)="15",AND(LEFT(M3444,2)&lt;&gt;"15",LEFT(M3444,2)&lt;&gt;"33"))),"x","")</f>
        <v/>
      </c>
      <c r="V3444" s="525" t="str">
        <f>IF(AND(OR(LEFT(TH!L3444,2)="15",LEFT(TH!M3444,2)="15"),'152-CT'!$J$8=TH!F3444),"x","")</f>
        <v/>
      </c>
      <c r="W3444" s="525" t="str">
        <f>IF(AND(OR(LEFT(TH!L3444,2)="15",LEFT(TH!M3444,2)="15"),TK!$E$7=TH!F3444),"x","")</f>
        <v/>
      </c>
      <c r="X3444" s="525" t="str">
        <f>IF(AND('341-CT'!$E$9=H3444,OR(LEFT(L3444,3)=$X$7,LEFT(M3444,3)=$X$7)),"x","")</f>
        <v/>
      </c>
      <c r="Y3444" s="525" t="str">
        <f>IF(OR(TH!L3444=TH!$Y$7,M3444=TH!$Y$7),"x","")</f>
        <v/>
      </c>
      <c r="Z3444" s="525" t="str">
        <f>IF(AND(B3444&lt;=NKC!$N$8,B3444&gt;=NKC!$M$8),"x","")</f>
        <v/>
      </c>
      <c r="AA3444" s="526"/>
      <c r="AB3444" s="527"/>
      <c r="AC3444" s="536" t="str">
        <f>VLOOKUP(F3444,NXT!$B$12:$B$686,1,0)</f>
        <v>Thùng 40x30x50</v>
      </c>
      <c r="AD3444" s="527"/>
    </row>
    <row r="3445" spans="1:30" s="576" customFormat="1" ht="15.75" customHeight="1">
      <c r="A3445" s="517" t="str">
        <f>IF(B3445&lt;&gt;"",IF(AND(B3445&gt;=_TM1,B3445&lt;=_TM2,OR(TH!L3445="1111",TH!M3445="1111")),TH!D3445,""),"")</f>
        <v/>
      </c>
      <c r="B3445" s="518">
        <f t="shared" si="346"/>
        <v>7</v>
      </c>
      <c r="C3445" s="315">
        <f t="shared" si="345"/>
        <v>42927</v>
      </c>
      <c r="D3445" s="544" t="s">
        <v>1181</v>
      </c>
      <c r="E3445" s="315">
        <v>42927</v>
      </c>
      <c r="F3445" s="249" t="s">
        <v>1376</v>
      </c>
      <c r="G3445" s="314" t="s">
        <v>1373</v>
      </c>
      <c r="H3445" s="248" t="s">
        <v>1374</v>
      </c>
      <c r="I3445" s="307">
        <v>50</v>
      </c>
      <c r="J3445" s="307">
        <v>20100</v>
      </c>
      <c r="K3445" s="532">
        <f>ROUND(I3445*J3445,0)</f>
        <v>1005000</v>
      </c>
      <c r="L3445" s="534" t="s">
        <v>223</v>
      </c>
      <c r="M3445" s="534" t="s">
        <v>162</v>
      </c>
      <c r="N3445" s="525" t="str">
        <f>IF(AND('331-CT'!$E$7=TH!H3445,OR(L3445="331",M3445="331")),"331",IF(AND(OR(L3445="131",M3445="131"),H3445='131-CT'!$E$7),"131",""))</f>
        <v/>
      </c>
      <c r="O3445" s="525" t="str">
        <f>IF(AND($B3445&gt;='111'!$N$11,$B3445&lt;='111'!$O$11,OR($L3445=$O$7,$M3445=$O$7)),"x","")</f>
        <v/>
      </c>
      <c r="P3445" s="525" t="str">
        <f>IF(AND($L3445=$O$7,$B3445&lt;'111'!$N$11),"x","")</f>
        <v/>
      </c>
      <c r="Q3445" s="525" t="str">
        <f>IF(AND($M3445=$O$7,$B3445&lt;'111'!$N$11),"x","")</f>
        <v/>
      </c>
      <c r="R3445" s="525" t="str">
        <f>IF(ISERROR(FIND('112'!$M$9,G3445,1)),"",IF((AND(FIND('112'!$M$9,G3445,1)&gt;=1,$B3445&gt;='112'!$N$8,$B3445&lt;='112'!$O$8,OR($L3445='112'!$I$6,$M3445='112'!$I$6))),"x",""))</f>
        <v/>
      </c>
      <c r="S3445" s="525" t="str">
        <f>IF(ISERROR(FIND('112'!$M$9,G3445,1)),"",IF((AND(LEFT(G3445,2)=LEFT('112'!$M$9,2),B3445&lt;'112'!$N$8,$L3445='112'!$I$6)),"x",""))</f>
        <v/>
      </c>
      <c r="T3445" s="525" t="str">
        <f>IF(ISERROR(FIND('112'!$M$9,G3445,1)),"",IF((AND(RIGHT(G3445,2)=RIGHT('112'!$M$9,2),B3445&lt;'112'!$N$8,$M3445='112'!$I$6)),"x",""))</f>
        <v/>
      </c>
      <c r="U3445" s="525" t="str">
        <f>IF(AND(B3445&gt;='IN-NX'!$P$3,B3445&lt;='IN-NX'!$Q$3,'IN-NX'!$D$7=D3445,OR(LEFT(L3445,2)="15",AND(LEFT(M3445,2)&lt;&gt;"15",LEFT(M3445,2)&lt;&gt;"33"))),"x","")</f>
        <v/>
      </c>
      <c r="V3445" s="525" t="str">
        <f>IF(AND(OR(LEFT(TH!L3445,2)="15",LEFT(TH!M3445,2)="15"),'152-CT'!$J$8=TH!F3445),"x","")</f>
        <v/>
      </c>
      <c r="W3445" s="525" t="str">
        <f>IF(AND(OR(LEFT(TH!L3445,2)="15",LEFT(TH!M3445,2)="15"),TK!$E$7=TH!F3445),"x","")</f>
        <v/>
      </c>
      <c r="X3445" s="525" t="str">
        <f>IF(AND('341-CT'!$E$9=H3445,OR(LEFT(L3445,3)=$X$7,LEFT(M3445,3)=$X$7)),"x","")</f>
        <v/>
      </c>
      <c r="Y3445" s="525" t="str">
        <f>IF(OR(TH!L3445=TH!$Y$7,M3445=TH!$Y$7),"x","")</f>
        <v/>
      </c>
      <c r="Z3445" s="525" t="str">
        <f>IF(AND(B3445&lt;=NKC!$N$8,B3445&gt;=NKC!$M$8),"x","")</f>
        <v/>
      </c>
      <c r="AA3445" s="526"/>
      <c r="AB3445" s="527"/>
      <c r="AC3445" s="536" t="str">
        <f>VLOOKUP(F3445,NXT!$B$12:$B$686,1,0)</f>
        <v>Thùng 51x50x58</v>
      </c>
      <c r="AD3445" s="527"/>
    </row>
    <row r="3446" spans="1:30" s="576" customFormat="1" ht="15.75" customHeight="1">
      <c r="A3446" s="517" t="str">
        <f>IF(B3446&lt;&gt;"",IF(AND(B3446&gt;=_TM1,B3446&lt;=_TM2,OR(TH!L3446="1111",TH!M3446="1111")),TH!D3446,""),"")</f>
        <v/>
      </c>
      <c r="B3446" s="518">
        <f t="shared" ref="B3446:B3447" si="349">IF(C3446&lt;&gt;"",MONTH(C3446),"")</f>
        <v>7</v>
      </c>
      <c r="C3446" s="315">
        <f t="shared" ref="C3446:C3447" si="350">E3446</f>
        <v>42927</v>
      </c>
      <c r="D3446" s="544" t="s">
        <v>1181</v>
      </c>
      <c r="E3446" s="315">
        <v>42927</v>
      </c>
      <c r="F3446" s="249" t="s">
        <v>1377</v>
      </c>
      <c r="G3446" s="314" t="s">
        <v>1373</v>
      </c>
      <c r="H3446" s="248" t="s">
        <v>1374</v>
      </c>
      <c r="I3446" s="307">
        <v>1500</v>
      </c>
      <c r="J3446" s="307">
        <v>10800</v>
      </c>
      <c r="K3446" s="532">
        <f>ROUND(I3446*J3446,0)</f>
        <v>16200000</v>
      </c>
      <c r="L3446" s="534" t="s">
        <v>223</v>
      </c>
      <c r="M3446" s="534" t="s">
        <v>162</v>
      </c>
      <c r="N3446" s="525" t="str">
        <f>IF(AND('331-CT'!$E$7=TH!H3446,OR(L3446="331",M3446="331")),"331",IF(AND(OR(L3446="131",M3446="131"),H3446='131-CT'!$E$7),"131",""))</f>
        <v/>
      </c>
      <c r="O3446" s="525" t="str">
        <f>IF(AND($B3446&gt;='111'!$N$11,$B3446&lt;='111'!$O$11,OR($L3446=$O$7,$M3446=$O$7)),"x","")</f>
        <v/>
      </c>
      <c r="P3446" s="525" t="str">
        <f>IF(AND($L3446=$O$7,$B3446&lt;'111'!$N$11),"x","")</f>
        <v/>
      </c>
      <c r="Q3446" s="525" t="str">
        <f>IF(AND($M3446=$O$7,$B3446&lt;'111'!$N$11),"x","")</f>
        <v/>
      </c>
      <c r="R3446" s="525" t="str">
        <f>IF(ISERROR(FIND('112'!$M$9,G3446,1)),"",IF((AND(FIND('112'!$M$9,G3446,1)&gt;=1,$B3446&gt;='112'!$N$8,$B3446&lt;='112'!$O$8,OR($L3446='112'!$I$6,$M3446='112'!$I$6))),"x",""))</f>
        <v/>
      </c>
      <c r="S3446" s="525" t="str">
        <f>IF(ISERROR(FIND('112'!$M$9,G3446,1)),"",IF((AND(LEFT(G3446,2)=LEFT('112'!$M$9,2),B3446&lt;'112'!$N$8,$L3446='112'!$I$6)),"x",""))</f>
        <v/>
      </c>
      <c r="T3446" s="525" t="str">
        <f>IF(ISERROR(FIND('112'!$M$9,G3446,1)),"",IF((AND(RIGHT(G3446,2)=RIGHT('112'!$M$9,2),B3446&lt;'112'!$N$8,$M3446='112'!$I$6)),"x",""))</f>
        <v/>
      </c>
      <c r="U3446" s="525" t="str">
        <f>IF(AND(B3446&gt;='IN-NX'!$P$3,B3446&lt;='IN-NX'!$Q$3,'IN-NX'!$D$7=D3446,OR(LEFT(L3446,2)="15",AND(LEFT(M3446,2)&lt;&gt;"15",LEFT(M3446,2)&lt;&gt;"33"))),"x","")</f>
        <v/>
      </c>
      <c r="V3446" s="525" t="str">
        <f>IF(AND(OR(LEFT(TH!L3446,2)="15",LEFT(TH!M3446,2)="15"),'152-CT'!$J$8=TH!F3446),"x","")</f>
        <v/>
      </c>
      <c r="W3446" s="525" t="str">
        <f>IF(AND(OR(LEFT(TH!L3446,2)="15",LEFT(TH!M3446,2)="15"),TK!$E$7=TH!F3446),"x","")</f>
        <v/>
      </c>
      <c r="X3446" s="525" t="str">
        <f>IF(AND('341-CT'!$E$9=H3446,OR(LEFT(L3446,3)=$X$7,LEFT(M3446,3)=$X$7)),"x","")</f>
        <v/>
      </c>
      <c r="Y3446" s="525" t="str">
        <f>IF(OR(TH!L3446=TH!$Y$7,M3446=TH!$Y$7),"x","")</f>
        <v/>
      </c>
      <c r="Z3446" s="525" t="str">
        <f>IF(AND(B3446&lt;=NKC!$N$8,B3446&gt;=NKC!$M$8),"x","")</f>
        <v/>
      </c>
      <c r="AA3446" s="526"/>
      <c r="AB3446" s="527"/>
      <c r="AC3446" s="536" t="str">
        <f>VLOOKUP(F3446,NXT!$B$12:$B$686,1,0)</f>
        <v>Giấy tấm 100x120</v>
      </c>
      <c r="AD3446" s="527"/>
    </row>
    <row r="3447" spans="1:30" s="576" customFormat="1" ht="15.75" customHeight="1">
      <c r="A3447" s="517" t="str">
        <f>IF(B3447&lt;&gt;"",IF(AND(B3447&gt;=_TM1,B3447&lt;=_TM2,OR(TH!L3447="1111",TH!M3447="1111")),TH!D3447,""),"")</f>
        <v/>
      </c>
      <c r="B3447" s="518">
        <f t="shared" si="349"/>
        <v>7</v>
      </c>
      <c r="C3447" s="315">
        <f t="shared" si="350"/>
        <v>42927</v>
      </c>
      <c r="D3447" s="544" t="s">
        <v>1181</v>
      </c>
      <c r="E3447" s="315">
        <v>42927</v>
      </c>
      <c r="F3447" s="249" t="s">
        <v>494</v>
      </c>
      <c r="G3447" s="314" t="s">
        <v>1373</v>
      </c>
      <c r="H3447" s="248" t="s">
        <v>1374</v>
      </c>
      <c r="I3447" s="307"/>
      <c r="J3447" s="307"/>
      <c r="K3447" s="532">
        <v>1777500</v>
      </c>
      <c r="L3447" s="534" t="s">
        <v>223</v>
      </c>
      <c r="M3447" s="534" t="s">
        <v>259</v>
      </c>
      <c r="N3447" s="525" t="str">
        <f>IF(AND('331-CT'!$E$7=TH!H3447,OR(L3447="331",M3447="331")),"331",IF(AND(OR(L3447="131",M3447="131"),H3447='131-CT'!$E$7),"131",""))</f>
        <v/>
      </c>
      <c r="O3447" s="525" t="str">
        <f>IF(AND($B3447&gt;='111'!$N$11,$B3447&lt;='111'!$O$11,OR($L3447=$O$7,$M3447=$O$7)),"x","")</f>
        <v/>
      </c>
      <c r="P3447" s="525" t="str">
        <f>IF(AND($L3447=$O$7,$B3447&lt;'111'!$N$11),"x","")</f>
        <v/>
      </c>
      <c r="Q3447" s="525" t="str">
        <f>IF(AND($M3447=$O$7,$B3447&lt;'111'!$N$11),"x","")</f>
        <v/>
      </c>
      <c r="R3447" s="525" t="str">
        <f>IF(ISERROR(FIND('112'!$M$9,G3447,1)),"",IF((AND(FIND('112'!$M$9,G3447,1)&gt;=1,$B3447&gt;='112'!$N$8,$B3447&lt;='112'!$O$8,OR($L3447='112'!$I$6,$M3447='112'!$I$6))),"x",""))</f>
        <v/>
      </c>
      <c r="S3447" s="525" t="str">
        <f>IF(ISERROR(FIND('112'!$M$9,G3447,1)),"",IF((AND(LEFT(G3447,2)=LEFT('112'!$M$9,2),B3447&lt;'112'!$N$8,$L3447='112'!$I$6)),"x",""))</f>
        <v/>
      </c>
      <c r="T3447" s="525" t="str">
        <f>IF(ISERROR(FIND('112'!$M$9,G3447,1)),"",IF((AND(RIGHT(G3447,2)=RIGHT('112'!$M$9,2),B3447&lt;'112'!$N$8,$M3447='112'!$I$6)),"x",""))</f>
        <v/>
      </c>
      <c r="U3447" s="525" t="str">
        <f>IF(AND(B3447&gt;='IN-NX'!$P$3,B3447&lt;='IN-NX'!$Q$3,'IN-NX'!$D$7=D3447,OR(LEFT(L3447,2)="15",AND(LEFT(M3447,2)&lt;&gt;"15",LEFT(M3447,2)&lt;&gt;"33"))),"x","")</f>
        <v/>
      </c>
      <c r="V3447" s="525" t="str">
        <f>IF(AND(OR(LEFT(TH!L3447,2)="15",LEFT(TH!M3447,2)="15"),'152-CT'!$J$8=TH!F3447),"x","")</f>
        <v/>
      </c>
      <c r="W3447" s="525" t="str">
        <f>IF(AND(OR(LEFT(TH!L3447,2)="15",LEFT(TH!M3447,2)="15"),TK!$E$7=TH!F3447),"x","")</f>
        <v/>
      </c>
      <c r="X3447" s="525" t="str">
        <f>IF(AND('341-CT'!$E$9=H3447,OR(LEFT(L3447,3)=$X$7,LEFT(M3447,3)=$X$7)),"x","")</f>
        <v/>
      </c>
      <c r="Y3447" s="525" t="str">
        <f>IF(OR(TH!L3447=TH!$Y$7,M3447=TH!$Y$7),"x","")</f>
        <v/>
      </c>
      <c r="Z3447" s="525" t="str">
        <f>IF(AND(B3447&lt;=NKC!$N$8,B3447&gt;=NKC!$M$8),"x","")</f>
        <v/>
      </c>
      <c r="AA3447" s="526"/>
      <c r="AB3447" s="527"/>
      <c r="AC3447" s="527"/>
      <c r="AD3447" s="527"/>
    </row>
    <row r="3448" spans="1:30" s="576" customFormat="1" ht="15.75" customHeight="1">
      <c r="A3448" s="517" t="str">
        <f>IF(B3448&lt;&gt;"",IF(AND(B3448&gt;=_TM1,B3448&lt;=_TM2,OR(TH!L3448="1111",TH!M3448="1111")),TH!D3448,""),"")</f>
        <v/>
      </c>
      <c r="B3448" s="518">
        <f t="shared" si="346"/>
        <v>7</v>
      </c>
      <c r="C3448" s="315">
        <f t="shared" si="345"/>
        <v>42927</v>
      </c>
      <c r="D3448" s="544" t="s">
        <v>1181</v>
      </c>
      <c r="E3448" s="315">
        <v>42927</v>
      </c>
      <c r="F3448" s="555" t="s">
        <v>1217</v>
      </c>
      <c r="G3448" s="314" t="s">
        <v>1300</v>
      </c>
      <c r="H3448" s="473" t="s">
        <v>1218</v>
      </c>
      <c r="I3448" s="307">
        <v>2030</v>
      </c>
      <c r="J3448" s="307">
        <v>8800</v>
      </c>
      <c r="K3448" s="532">
        <f>ROUND(I3448*J3448,0)</f>
        <v>17864000</v>
      </c>
      <c r="L3448" s="534" t="s">
        <v>223</v>
      </c>
      <c r="M3448" s="534" t="s">
        <v>162</v>
      </c>
      <c r="N3448" s="525" t="str">
        <f>IF(AND('331-CT'!$E$7=TH!H3448,OR(L3448="331",M3448="331")),"331",IF(AND(OR(L3448="131",M3448="131"),H3448='131-CT'!$E$7),"131",""))</f>
        <v/>
      </c>
      <c r="O3448" s="525" t="str">
        <f>IF(AND($B3448&gt;='111'!$N$11,$B3448&lt;='111'!$O$11,OR($L3448=$O$7,$M3448=$O$7)),"x","")</f>
        <v/>
      </c>
      <c r="P3448" s="525" t="str">
        <f>IF(AND($L3448=$O$7,$B3448&lt;'111'!$N$11),"x","")</f>
        <v/>
      </c>
      <c r="Q3448" s="525" t="str">
        <f>IF(AND($M3448=$O$7,$B3448&lt;'111'!$N$11),"x","")</f>
        <v/>
      </c>
      <c r="R3448" s="525" t="str">
        <f>IF(ISERROR(FIND('112'!$M$9,G3448,1)),"",IF((AND(FIND('112'!$M$9,G3448,1)&gt;=1,$B3448&gt;='112'!$N$8,$B3448&lt;='112'!$O$8,OR($L3448='112'!$I$6,$M3448='112'!$I$6))),"x",""))</f>
        <v/>
      </c>
      <c r="S3448" s="525" t="str">
        <f>IF(ISERROR(FIND('112'!$M$9,G3448,1)),"",IF((AND(LEFT(G3448,2)=LEFT('112'!$M$9,2),B3448&lt;'112'!$N$8,$L3448='112'!$I$6)),"x",""))</f>
        <v/>
      </c>
      <c r="T3448" s="525" t="str">
        <f>IF(ISERROR(FIND('112'!$M$9,G3448,1)),"",IF((AND(RIGHT(G3448,2)=RIGHT('112'!$M$9,2),B3448&lt;'112'!$N$8,$M3448='112'!$I$6)),"x",""))</f>
        <v/>
      </c>
      <c r="U3448" s="525" t="str">
        <f>IF(AND(B3448&gt;='IN-NX'!$P$3,B3448&lt;='IN-NX'!$Q$3,'IN-NX'!$D$7=D3448,OR(LEFT(L3448,2)="15",AND(LEFT(M3448,2)&lt;&gt;"15",LEFT(M3448,2)&lt;&gt;"33"))),"x","")</f>
        <v/>
      </c>
      <c r="V3448" s="525" t="str">
        <f>IF(AND(OR(LEFT(TH!L3448,2)="15",LEFT(TH!M3448,2)="15"),'152-CT'!$J$8=TH!F3448),"x","")</f>
        <v/>
      </c>
      <c r="W3448" s="525" t="str">
        <f>IF(AND(OR(LEFT(TH!L3448,2)="15",LEFT(TH!M3448,2)="15"),TK!$E$7=TH!F3448),"x","")</f>
        <v/>
      </c>
      <c r="X3448" s="525" t="str">
        <f>IF(AND('341-CT'!$E$9=H3448,OR(LEFT(L3448,3)=$X$7,LEFT(M3448,3)=$X$7)),"x","")</f>
        <v/>
      </c>
      <c r="Y3448" s="525" t="str">
        <f>IF(OR(TH!L3448=TH!$Y$7,M3448=TH!$Y$7),"x","")</f>
        <v/>
      </c>
      <c r="Z3448" s="525" t="str">
        <f>IF(AND(B3448&lt;=NKC!$N$8,B3448&gt;=NKC!$M$8),"x","")</f>
        <v/>
      </c>
      <c r="AA3448" s="526"/>
      <c r="AC3448" s="536" t="str">
        <f>VLOOKUP(F3448,NXT!$B$12:$B$686,1,0)</f>
        <v>Thùng 50x29.5x19</v>
      </c>
    </row>
    <row r="3449" spans="1:30" s="576" customFormat="1" ht="15.75" customHeight="1">
      <c r="A3449" s="517" t="str">
        <f>IF(B3449&lt;&gt;"",IF(AND(B3449&gt;=_TM1,B3449&lt;=_TM2,OR(TH!L3449="1111",TH!M3449="1111")),TH!D3449,""),"")</f>
        <v/>
      </c>
      <c r="B3449" s="518">
        <f t="shared" si="346"/>
        <v>7</v>
      </c>
      <c r="C3449" s="315">
        <f t="shared" si="345"/>
        <v>42927</v>
      </c>
      <c r="D3449" s="544" t="s">
        <v>1181</v>
      </c>
      <c r="E3449" s="315">
        <v>42927</v>
      </c>
      <c r="F3449" s="249" t="s">
        <v>494</v>
      </c>
      <c r="G3449" s="314" t="s">
        <v>1300</v>
      </c>
      <c r="H3449" s="473" t="s">
        <v>1218</v>
      </c>
      <c r="I3449" s="307"/>
      <c r="J3449" s="307"/>
      <c r="K3449" s="532">
        <v>1786400</v>
      </c>
      <c r="L3449" s="534" t="s">
        <v>223</v>
      </c>
      <c r="M3449" s="534" t="s">
        <v>259</v>
      </c>
      <c r="N3449" s="525" t="str">
        <f>IF(AND('331-CT'!$E$7=TH!H3449,OR(L3449="331",M3449="331")),"331",IF(AND(OR(L3449="131",M3449="131"),H3449='131-CT'!$E$7),"131",""))</f>
        <v/>
      </c>
      <c r="O3449" s="525" t="str">
        <f>IF(AND($B3449&gt;='111'!$N$11,$B3449&lt;='111'!$O$11,OR($L3449=$O$7,$M3449=$O$7)),"x","")</f>
        <v/>
      </c>
      <c r="P3449" s="525" t="str">
        <f>IF(AND($L3449=$O$7,$B3449&lt;'111'!$N$11),"x","")</f>
        <v/>
      </c>
      <c r="Q3449" s="525" t="str">
        <f>IF(AND($M3449=$O$7,$B3449&lt;'111'!$N$11),"x","")</f>
        <v/>
      </c>
      <c r="R3449" s="525" t="str">
        <f>IF(ISERROR(FIND('112'!$M$9,G3449,1)),"",IF((AND(FIND('112'!$M$9,G3449,1)&gt;=1,$B3449&gt;='112'!$N$8,$B3449&lt;='112'!$O$8,OR($L3449='112'!$I$6,$M3449='112'!$I$6))),"x",""))</f>
        <v/>
      </c>
      <c r="S3449" s="525" t="str">
        <f>IF(ISERROR(FIND('112'!$M$9,G3449,1)),"",IF((AND(LEFT(G3449,2)=LEFT('112'!$M$9,2),B3449&lt;'112'!$N$8,$L3449='112'!$I$6)),"x",""))</f>
        <v/>
      </c>
      <c r="T3449" s="525" t="str">
        <f>IF(ISERROR(FIND('112'!$M$9,G3449,1)),"",IF((AND(RIGHT(G3449,2)=RIGHT('112'!$M$9,2),B3449&lt;'112'!$N$8,$M3449='112'!$I$6)),"x",""))</f>
        <v/>
      </c>
      <c r="U3449" s="525" t="str">
        <f>IF(AND(B3449&gt;='IN-NX'!$P$3,B3449&lt;='IN-NX'!$Q$3,'IN-NX'!$D$7=D3449,OR(LEFT(L3449,2)="15",AND(LEFT(M3449,2)&lt;&gt;"15",LEFT(M3449,2)&lt;&gt;"33"))),"x","")</f>
        <v/>
      </c>
      <c r="V3449" s="525" t="str">
        <f>IF(AND(OR(LEFT(TH!L3449,2)="15",LEFT(TH!M3449,2)="15"),'152-CT'!$J$8=TH!F3449),"x","")</f>
        <v/>
      </c>
      <c r="W3449" s="525" t="str">
        <f>IF(AND(OR(LEFT(TH!L3449,2)="15",LEFT(TH!M3449,2)="15"),TK!$E$7=TH!F3449),"x","")</f>
        <v/>
      </c>
      <c r="X3449" s="525" t="str">
        <f>IF(AND('341-CT'!$E$9=H3449,OR(LEFT(L3449,3)=$X$7,LEFT(M3449,3)=$X$7)),"x","")</f>
        <v/>
      </c>
      <c r="Y3449" s="525" t="str">
        <f>IF(OR(TH!L3449=TH!$Y$7,M3449=TH!$Y$7),"x","")</f>
        <v/>
      </c>
      <c r="Z3449" s="525" t="str">
        <f>IF(AND(B3449&lt;=NKC!$N$8,B3449&gt;=NKC!$M$8),"x","")</f>
        <v/>
      </c>
      <c r="AA3449" s="526"/>
    </row>
    <row r="3450" spans="1:30" s="576" customFormat="1" ht="15.75" customHeight="1">
      <c r="A3450" s="517" t="str">
        <f>IF(B3450&lt;&gt;"",IF(AND(B3450&gt;=_TM1,B3450&lt;=_TM2,OR(TH!L3450="1111",TH!M3450="1111")),TH!D3450,""),"")</f>
        <v/>
      </c>
      <c r="B3450" s="518">
        <f t="shared" si="346"/>
        <v>7</v>
      </c>
      <c r="C3450" s="315">
        <f t="shared" si="345"/>
        <v>42927</v>
      </c>
      <c r="D3450" s="544" t="s">
        <v>1181</v>
      </c>
      <c r="E3450" s="315">
        <v>42927</v>
      </c>
      <c r="F3450" s="250" t="s">
        <v>1304</v>
      </c>
      <c r="G3450" s="314" t="s">
        <v>1302</v>
      </c>
      <c r="H3450" s="473" t="s">
        <v>1303</v>
      </c>
      <c r="I3450" s="523">
        <v>292</v>
      </c>
      <c r="J3450" s="523">
        <v>11000</v>
      </c>
      <c r="K3450" s="532">
        <f t="shared" ref="K3450:K3455" si="351">ROUND(I3450*J3450,0)</f>
        <v>3212000</v>
      </c>
      <c r="L3450" s="534" t="s">
        <v>223</v>
      </c>
      <c r="M3450" s="534" t="s">
        <v>162</v>
      </c>
      <c r="N3450" s="525" t="str">
        <f>IF(AND('331-CT'!$E$7=TH!H3450,OR(L3450="331",M3450="331")),"331",IF(AND(OR(L3450="131",M3450="131"),H3450='131-CT'!$E$7),"131",""))</f>
        <v/>
      </c>
      <c r="O3450" s="525" t="str">
        <f>IF(AND($B3450&gt;='111'!$N$11,$B3450&lt;='111'!$O$11,OR($L3450=$O$7,$M3450=$O$7)),"x","")</f>
        <v/>
      </c>
      <c r="P3450" s="525" t="str">
        <f>IF(AND($L3450=$O$7,$B3450&lt;'111'!$N$11),"x","")</f>
        <v/>
      </c>
      <c r="Q3450" s="525" t="str">
        <f>IF(AND($M3450=$O$7,$B3450&lt;'111'!$N$11),"x","")</f>
        <v/>
      </c>
      <c r="R3450" s="525" t="str">
        <f>IF(ISERROR(FIND('112'!$M$9,G3450,1)),"",IF((AND(FIND('112'!$M$9,G3450,1)&gt;=1,$B3450&gt;='112'!$N$8,$B3450&lt;='112'!$O$8,OR($L3450='112'!$I$6,$M3450='112'!$I$6))),"x",""))</f>
        <v/>
      </c>
      <c r="S3450" s="525" t="str">
        <f>IF(ISERROR(FIND('112'!$M$9,G3450,1)),"",IF((AND(LEFT(G3450,2)=LEFT('112'!$M$9,2),B3450&lt;'112'!$N$8,$L3450='112'!$I$6)),"x",""))</f>
        <v/>
      </c>
      <c r="T3450" s="525" t="str">
        <f>IF(ISERROR(FIND('112'!$M$9,G3450,1)),"",IF((AND(RIGHT(G3450,2)=RIGHT('112'!$M$9,2),B3450&lt;'112'!$N$8,$M3450='112'!$I$6)),"x",""))</f>
        <v/>
      </c>
      <c r="U3450" s="525" t="str">
        <f>IF(AND(B3450&gt;='IN-NX'!$P$3,B3450&lt;='IN-NX'!$Q$3,'IN-NX'!$D$7=D3450,OR(LEFT(L3450,2)="15",AND(LEFT(M3450,2)&lt;&gt;"15",LEFT(M3450,2)&lt;&gt;"33"))),"x","")</f>
        <v/>
      </c>
      <c r="V3450" s="525" t="str">
        <f>IF(AND(OR(LEFT(TH!L3450,2)="15",LEFT(TH!M3450,2)="15"),'152-CT'!$J$8=TH!F3450),"x","")</f>
        <v/>
      </c>
      <c r="W3450" s="525" t="str">
        <f>IF(AND(OR(LEFT(TH!L3450,2)="15",LEFT(TH!M3450,2)="15"),TK!$E$7=TH!F3450),"x","")</f>
        <v/>
      </c>
      <c r="X3450" s="525" t="str">
        <f>IF(AND('341-CT'!$E$9=H3450,OR(LEFT(L3450,3)=$X$7,LEFT(M3450,3)=$X$7)),"x","")</f>
        <v/>
      </c>
      <c r="Y3450" s="525" t="str">
        <f>IF(OR(TH!L3450=TH!$Y$7,M3450=TH!$Y$7),"x","")</f>
        <v/>
      </c>
      <c r="Z3450" s="525" t="str">
        <f>IF(AND(B3450&lt;=NKC!$N$8,B3450&gt;=NKC!$M$8),"x","")</f>
        <v/>
      </c>
      <c r="AA3450" s="526"/>
      <c r="AB3450" s="527"/>
      <c r="AC3450" s="536" t="str">
        <f>VLOOKUP(F3450,NXT!$B$12:$B$686,1,0)</f>
        <v>Thùng 48x24x23</v>
      </c>
    </row>
    <row r="3451" spans="1:30" s="503" customFormat="1" ht="15.75" customHeight="1">
      <c r="A3451" s="517" t="str">
        <f>IF(B3451&lt;&gt;"",IF(AND(B3451&gt;=_TM1,B3451&lt;=_TM2,OR(TH!L3451="1111",TH!M3451="1111")),TH!D3451,""),"")</f>
        <v/>
      </c>
      <c r="B3451" s="531">
        <f t="shared" si="346"/>
        <v>7</v>
      </c>
      <c r="C3451" s="315">
        <f t="shared" si="345"/>
        <v>42927</v>
      </c>
      <c r="D3451" s="544" t="s">
        <v>1181</v>
      </c>
      <c r="E3451" s="315">
        <v>42927</v>
      </c>
      <c r="F3451" s="250" t="s">
        <v>1305</v>
      </c>
      <c r="G3451" s="314" t="s">
        <v>1302</v>
      </c>
      <c r="H3451" s="473" t="s">
        <v>1303</v>
      </c>
      <c r="I3451" s="307">
        <v>2628</v>
      </c>
      <c r="J3451" s="307">
        <v>2500</v>
      </c>
      <c r="K3451" s="532">
        <f t="shared" si="351"/>
        <v>6570000</v>
      </c>
      <c r="L3451" s="534" t="s">
        <v>223</v>
      </c>
      <c r="M3451" s="534" t="s">
        <v>162</v>
      </c>
      <c r="N3451" s="525" t="str">
        <f>IF(AND('331-CT'!$E$7=TH!H3451,OR(L3451="331",M3451="331")),"331",IF(AND(OR(L3451="131",M3451="131"),H3451='131-CT'!$E$7),"131",""))</f>
        <v/>
      </c>
      <c r="O3451" s="525" t="str">
        <f>IF(AND($B3451&gt;='111'!$N$11,$B3451&lt;='111'!$O$11,OR($L3451=$O$7,$M3451=$O$7)),"x","")</f>
        <v/>
      </c>
      <c r="P3451" s="525" t="str">
        <f>IF(AND($L3451=$O$7,$B3451&lt;'111'!$N$11),"x","")</f>
        <v/>
      </c>
      <c r="Q3451" s="525" t="str">
        <f>IF(AND($M3451=$O$7,$B3451&lt;'111'!$N$11),"x","")</f>
        <v/>
      </c>
      <c r="R3451" s="525" t="str">
        <f>IF(ISERROR(FIND('112'!$M$9,G3451,1)),"",IF((AND(FIND('112'!$M$9,G3451,1)&gt;=1,$B3451&gt;='112'!$N$8,$B3451&lt;='112'!$O$8,OR($L3451='112'!$I$6,$M3451='112'!$I$6))),"x",""))</f>
        <v/>
      </c>
      <c r="S3451" s="525" t="str">
        <f>IF(ISERROR(FIND('112'!$M$9,G3451,1)),"",IF((AND(LEFT(G3451,2)=LEFT('112'!$M$9,2),B3451&lt;'112'!$N$8,$L3451='112'!$I$6)),"x",""))</f>
        <v/>
      </c>
      <c r="T3451" s="525" t="str">
        <f>IF(ISERROR(FIND('112'!$M$9,G3451,1)),"",IF((AND(RIGHT(G3451,2)=RIGHT('112'!$M$9,2),B3451&lt;'112'!$N$8,$M3451='112'!$I$6)),"x",""))</f>
        <v/>
      </c>
      <c r="U3451" s="525" t="str">
        <f>IF(AND(B3451&gt;='IN-NX'!$P$3,B3451&lt;='IN-NX'!$Q$3,'IN-NX'!$D$7=D3451,OR(LEFT(L3451,2)="15",AND(LEFT(M3451,2)&lt;&gt;"15",LEFT(M3451,2)&lt;&gt;"33"))),"x","")</f>
        <v/>
      </c>
      <c r="V3451" s="525" t="str">
        <f>IF(AND(OR(LEFT(TH!L3451,2)="15",LEFT(TH!M3451,2)="15"),'152-CT'!$J$8=TH!F3451),"x","")</f>
        <v/>
      </c>
      <c r="W3451" s="525" t="str">
        <f>IF(AND(OR(LEFT(TH!L3451,2)="15",LEFT(TH!M3451,2)="15"),TK!$E$7=TH!F3451),"x","")</f>
        <v/>
      </c>
      <c r="X3451" s="525" t="str">
        <f>IF(AND('341-CT'!$E$9=H3451,OR(LEFT(L3451,3)=$X$7,LEFT(M3451,3)=$X$7)),"x","")</f>
        <v/>
      </c>
      <c r="Y3451" s="525" t="str">
        <f>IF(OR(TH!L3451=TH!$Y$7,M3451=TH!$Y$7),"x","")</f>
        <v/>
      </c>
      <c r="Z3451" s="525" t="str">
        <f>IF(AND(B3451&lt;=NKC!$N$8,B3451&gt;=NKC!$M$8),"x","")</f>
        <v/>
      </c>
      <c r="AA3451" s="535"/>
      <c r="AB3451" s="536"/>
      <c r="AC3451" s="536" t="str">
        <f>VLOOKUP(F3451,NXT!$B$12:$B$686,1,0)</f>
        <v>Hộp Duplex 22x15x6.5</v>
      </c>
    </row>
    <row r="3452" spans="1:30" s="503" customFormat="1" ht="15.75" customHeight="1">
      <c r="A3452" s="517" t="str">
        <f>IF(B3452&lt;&gt;"",IF(AND(B3452&gt;=_TM1,B3452&lt;=_TM2,OR(TH!L3452="1111",TH!M3452="1111")),TH!D3452,""),"")</f>
        <v/>
      </c>
      <c r="B3452" s="531">
        <f t="shared" si="346"/>
        <v>7</v>
      </c>
      <c r="C3452" s="315">
        <f t="shared" ref="C3452:C3489" si="352">E3452</f>
        <v>42927</v>
      </c>
      <c r="D3452" s="544" t="s">
        <v>1181</v>
      </c>
      <c r="E3452" s="315">
        <v>42927</v>
      </c>
      <c r="F3452" s="250" t="s">
        <v>1306</v>
      </c>
      <c r="G3452" s="314" t="s">
        <v>1302</v>
      </c>
      <c r="H3452" s="473" t="s">
        <v>1303</v>
      </c>
      <c r="I3452" s="307">
        <v>7884</v>
      </c>
      <c r="J3452" s="307">
        <v>750</v>
      </c>
      <c r="K3452" s="532">
        <f t="shared" si="351"/>
        <v>5913000</v>
      </c>
      <c r="L3452" s="534" t="s">
        <v>223</v>
      </c>
      <c r="M3452" s="534" t="s">
        <v>162</v>
      </c>
      <c r="N3452" s="525" t="str">
        <f>IF(AND('331-CT'!$E$7=TH!H3452,OR(L3452="331",M3452="331")),"331",IF(AND(OR(L3452="131",M3452="131"),H3452='131-CT'!$E$7),"131",""))</f>
        <v/>
      </c>
      <c r="O3452" s="525" t="str">
        <f>IF(AND($B3452&gt;='111'!$N$11,$B3452&lt;='111'!$O$11,OR($L3452=$O$7,$M3452=$O$7)),"x","")</f>
        <v/>
      </c>
      <c r="P3452" s="525" t="str">
        <f>IF(AND($L3452=$O$7,$B3452&lt;'111'!$N$11),"x","")</f>
        <v/>
      </c>
      <c r="Q3452" s="525" t="str">
        <f>IF(AND($M3452=$O$7,$B3452&lt;'111'!$N$11),"x","")</f>
        <v/>
      </c>
      <c r="R3452" s="525" t="str">
        <f>IF(ISERROR(FIND('112'!$M$9,G3452,1)),"",IF((AND(FIND('112'!$M$9,G3452,1)&gt;=1,$B3452&gt;='112'!$N$8,$B3452&lt;='112'!$O$8,OR($L3452='112'!$I$6,$M3452='112'!$I$6))),"x",""))</f>
        <v/>
      </c>
      <c r="S3452" s="525" t="str">
        <f>IF(ISERROR(FIND('112'!$M$9,G3452,1)),"",IF((AND(LEFT(G3452,2)=LEFT('112'!$M$9,2),B3452&lt;'112'!$N$8,$L3452='112'!$I$6)),"x",""))</f>
        <v/>
      </c>
      <c r="T3452" s="525" t="str">
        <f>IF(ISERROR(FIND('112'!$M$9,G3452,1)),"",IF((AND(RIGHT(G3452,2)=RIGHT('112'!$M$9,2),B3452&lt;'112'!$N$8,$M3452='112'!$I$6)),"x",""))</f>
        <v/>
      </c>
      <c r="U3452" s="525" t="str">
        <f>IF(AND(B3452&gt;='IN-NX'!$P$3,B3452&lt;='IN-NX'!$Q$3,'IN-NX'!$D$7=D3452,OR(LEFT(L3452,2)="15",AND(LEFT(M3452,2)&lt;&gt;"15",LEFT(M3452,2)&lt;&gt;"33"))),"x","")</f>
        <v/>
      </c>
      <c r="V3452" s="525" t="str">
        <f>IF(AND(OR(LEFT(TH!L3452,2)="15",LEFT(TH!M3452,2)="15"),'152-CT'!$J$8=TH!F3452),"x","")</f>
        <v/>
      </c>
      <c r="W3452" s="525" t="str">
        <f>IF(AND(OR(LEFT(TH!L3452,2)="15",LEFT(TH!M3452,2)="15"),TK!$E$7=TH!F3452),"x","")</f>
        <v/>
      </c>
      <c r="X3452" s="525" t="str">
        <f>IF(AND('341-CT'!$E$9=H3452,OR(LEFT(L3452,3)=$X$7,LEFT(M3452,3)=$X$7)),"x","")</f>
        <v/>
      </c>
      <c r="Y3452" s="525" t="str">
        <f>IF(OR(TH!L3452=TH!$Y$7,M3452=TH!$Y$7),"x","")</f>
        <v/>
      </c>
      <c r="Z3452" s="525" t="str">
        <f>IF(AND(B3452&lt;=NKC!$N$8,B3452&gt;=NKC!$M$8),"x","")</f>
        <v/>
      </c>
      <c r="AA3452" s="535"/>
      <c r="AB3452" s="536"/>
      <c r="AC3452" s="536" t="str">
        <f>VLOOKUP(F3452,NXT!$B$12:$B$686,1,0)</f>
        <v>Lót hộp 14.8x21.8</v>
      </c>
    </row>
    <row r="3453" spans="1:30" s="503" customFormat="1" ht="15.75" customHeight="1">
      <c r="A3453" s="517" t="str">
        <f>IF(B3453&lt;&gt;"",IF(AND(B3453&gt;=_TM1,B3453&lt;=_TM2,OR(TH!L3453="1111",TH!M3453="1111")),TH!D3453,""),"")</f>
        <v/>
      </c>
      <c r="B3453" s="531">
        <f t="shared" si="346"/>
        <v>7</v>
      </c>
      <c r="C3453" s="315">
        <f t="shared" si="352"/>
        <v>42933</v>
      </c>
      <c r="D3453" s="544" t="s">
        <v>1181</v>
      </c>
      <c r="E3453" s="315">
        <v>42933</v>
      </c>
      <c r="F3453" s="250" t="s">
        <v>1312</v>
      </c>
      <c r="G3453" s="314" t="s">
        <v>1311</v>
      </c>
      <c r="H3453" s="473" t="s">
        <v>1309</v>
      </c>
      <c r="I3453" s="307">
        <v>540</v>
      </c>
      <c r="J3453" s="307">
        <v>19238</v>
      </c>
      <c r="K3453" s="532">
        <f t="shared" si="351"/>
        <v>10388520</v>
      </c>
      <c r="L3453" s="534" t="s">
        <v>223</v>
      </c>
      <c r="M3453" s="534" t="s">
        <v>162</v>
      </c>
      <c r="N3453" s="525" t="str">
        <f>IF(AND('331-CT'!$E$7=TH!H3453,OR(L3453="331",M3453="331")),"331",IF(AND(OR(L3453="131",M3453="131"),H3453='131-CT'!$E$7),"131",""))</f>
        <v/>
      </c>
      <c r="O3453" s="525" t="str">
        <f>IF(AND($B3453&gt;='111'!$N$11,$B3453&lt;='111'!$O$11,OR($L3453=$O$7,$M3453=$O$7)),"x","")</f>
        <v/>
      </c>
      <c r="P3453" s="525" t="str">
        <f>IF(AND($L3453=$O$7,$B3453&lt;'111'!$N$11),"x","")</f>
        <v/>
      </c>
      <c r="Q3453" s="525" t="str">
        <f>IF(AND($M3453=$O$7,$B3453&lt;'111'!$N$11),"x","")</f>
        <v/>
      </c>
      <c r="R3453" s="525" t="str">
        <f>IF(ISERROR(FIND('112'!$M$9,G3453,1)),"",IF((AND(FIND('112'!$M$9,G3453,1)&gt;=1,$B3453&gt;='112'!$N$8,$B3453&lt;='112'!$O$8,OR($L3453='112'!$I$6,$M3453='112'!$I$6))),"x",""))</f>
        <v/>
      </c>
      <c r="S3453" s="525" t="str">
        <f>IF(ISERROR(FIND('112'!$M$9,G3453,1)),"",IF((AND(LEFT(G3453,2)=LEFT('112'!$M$9,2),B3453&lt;'112'!$N$8,$L3453='112'!$I$6)),"x",""))</f>
        <v/>
      </c>
      <c r="T3453" s="525" t="str">
        <f>IF(ISERROR(FIND('112'!$M$9,G3453,1)),"",IF((AND(RIGHT(G3453,2)=RIGHT('112'!$M$9,2),B3453&lt;'112'!$N$8,$M3453='112'!$I$6)),"x",""))</f>
        <v/>
      </c>
      <c r="U3453" s="525" t="str">
        <f>IF(AND(B3453&gt;='IN-NX'!$P$3,B3453&lt;='IN-NX'!$Q$3,'IN-NX'!$D$7=D3453,OR(LEFT(L3453,2)="15",AND(LEFT(M3453,2)&lt;&gt;"15",LEFT(M3453,2)&lt;&gt;"33"))),"x","")</f>
        <v/>
      </c>
      <c r="V3453" s="525" t="str">
        <f>IF(AND(OR(LEFT(TH!L3453,2)="15",LEFT(TH!M3453,2)="15"),'152-CT'!$J$8=TH!F3453),"x","")</f>
        <v/>
      </c>
      <c r="W3453" s="525" t="str">
        <f>IF(AND(OR(LEFT(TH!L3453,2)="15",LEFT(TH!M3453,2)="15"),TK!$E$7=TH!F3453),"x","")</f>
        <v/>
      </c>
      <c r="X3453" s="525" t="str">
        <f>IF(AND('341-CT'!$E$9=H3453,OR(LEFT(L3453,3)=$X$7,LEFT(M3453,3)=$X$7)),"x","")</f>
        <v/>
      </c>
      <c r="Y3453" s="525" t="str">
        <f>IF(OR(TH!L3453=TH!$Y$7,M3453=TH!$Y$7),"x","")</f>
        <v/>
      </c>
      <c r="Z3453" s="525" t="str">
        <f>IF(AND(B3453&lt;=NKC!$N$8,B3453&gt;=NKC!$M$8),"x","")</f>
        <v/>
      </c>
      <c r="AA3453" s="535"/>
      <c r="AB3453" s="536"/>
      <c r="AC3453" s="536" t="str">
        <f>VLOOKUP(F3453,NXT!$B$12:$B$686,1,0)</f>
        <v>Thùng 226.5x149x128</v>
      </c>
    </row>
    <row r="3454" spans="1:30" s="503" customFormat="1" ht="15.75" customHeight="1">
      <c r="A3454" s="517" t="str">
        <f>IF(B3454&lt;&gt;"",IF(AND(B3454&gt;=_TM1,B3454&lt;=_TM2,OR(TH!L3454="1111",TH!M3454="1111")),TH!D3454,""),"")</f>
        <v/>
      </c>
      <c r="B3454" s="531">
        <f t="shared" ref="B3454:B3493" si="353">IF(C3454&lt;&gt;"",MONTH(C3454),"")</f>
        <v>7</v>
      </c>
      <c r="C3454" s="315">
        <f t="shared" si="352"/>
        <v>42933</v>
      </c>
      <c r="D3454" s="544" t="s">
        <v>1181</v>
      </c>
      <c r="E3454" s="315">
        <v>42933</v>
      </c>
      <c r="F3454" s="250" t="s">
        <v>1313</v>
      </c>
      <c r="G3454" s="314" t="s">
        <v>1311</v>
      </c>
      <c r="H3454" s="473" t="s">
        <v>1309</v>
      </c>
      <c r="I3454" s="307">
        <v>290</v>
      </c>
      <c r="J3454" s="307">
        <v>13311</v>
      </c>
      <c r="K3454" s="532">
        <f t="shared" si="351"/>
        <v>3860190</v>
      </c>
      <c r="L3454" s="534" t="s">
        <v>223</v>
      </c>
      <c r="M3454" s="534" t="s">
        <v>162</v>
      </c>
      <c r="N3454" s="525" t="str">
        <f>IF(AND('331-CT'!$E$7=TH!H3454,OR(L3454="331",M3454="331")),"331",IF(AND(OR(L3454="131",M3454="131"),H3454='131-CT'!$E$7),"131",""))</f>
        <v/>
      </c>
      <c r="O3454" s="525" t="str">
        <f>IF(AND($B3454&gt;='111'!$N$11,$B3454&lt;='111'!$O$11,OR($L3454=$O$7,$M3454=$O$7)),"x","")</f>
        <v/>
      </c>
      <c r="P3454" s="525" t="str">
        <f>IF(AND($L3454=$O$7,$B3454&lt;'111'!$N$11),"x","")</f>
        <v/>
      </c>
      <c r="Q3454" s="525" t="str">
        <f>IF(AND($M3454=$O$7,$B3454&lt;'111'!$N$11),"x","")</f>
        <v/>
      </c>
      <c r="R3454" s="525" t="str">
        <f>IF(ISERROR(FIND('112'!$M$9,G3454,1)),"",IF((AND(FIND('112'!$M$9,G3454,1)&gt;=1,$B3454&gt;='112'!$N$8,$B3454&lt;='112'!$O$8,OR($L3454='112'!$I$6,$M3454='112'!$I$6))),"x",""))</f>
        <v/>
      </c>
      <c r="S3454" s="525" t="str">
        <f>IF(ISERROR(FIND('112'!$M$9,G3454,1)),"",IF((AND(LEFT(G3454,2)=LEFT('112'!$M$9,2),B3454&lt;'112'!$N$8,$L3454='112'!$I$6)),"x",""))</f>
        <v/>
      </c>
      <c r="T3454" s="525" t="str">
        <f>IF(ISERROR(FIND('112'!$M$9,G3454,1)),"",IF((AND(RIGHT(G3454,2)=RIGHT('112'!$M$9,2),B3454&lt;'112'!$N$8,$M3454='112'!$I$6)),"x",""))</f>
        <v/>
      </c>
      <c r="U3454" s="525" t="str">
        <f>IF(AND(B3454&gt;='IN-NX'!$P$3,B3454&lt;='IN-NX'!$Q$3,'IN-NX'!$D$7=D3454,OR(LEFT(L3454,2)="15",AND(LEFT(M3454,2)&lt;&gt;"15",LEFT(M3454,2)&lt;&gt;"33"))),"x","")</f>
        <v/>
      </c>
      <c r="V3454" s="525" t="str">
        <f>IF(AND(OR(LEFT(TH!L3454,2)="15",LEFT(TH!M3454,2)="15"),'152-CT'!$J$8=TH!F3454),"x","")</f>
        <v/>
      </c>
      <c r="W3454" s="525" t="str">
        <f>IF(AND(OR(LEFT(TH!L3454,2)="15",LEFT(TH!M3454,2)="15"),TK!$E$7=TH!F3454),"x","")</f>
        <v/>
      </c>
      <c r="X3454" s="525" t="str">
        <f>IF(AND('341-CT'!$E$9=H3454,OR(LEFT(L3454,3)=$X$7,LEFT(M3454,3)=$X$7)),"x","")</f>
        <v/>
      </c>
      <c r="Y3454" s="525" t="str">
        <f>IF(OR(TH!L3454=TH!$Y$7,M3454=TH!$Y$7),"x","")</f>
        <v/>
      </c>
      <c r="Z3454" s="525" t="str">
        <f>IF(AND(B3454&lt;=NKC!$N$8,B3454&gt;=NKC!$M$8),"x","")</f>
        <v/>
      </c>
      <c r="AA3454" s="535"/>
      <c r="AB3454" s="536"/>
      <c r="AC3454" s="536" t="str">
        <f>VLOOKUP(F3454,NXT!$B$12:$B$686,1,0)</f>
        <v>Thùng 725x255x190</v>
      </c>
    </row>
    <row r="3455" spans="1:30" s="503" customFormat="1" ht="15.75" customHeight="1">
      <c r="A3455" s="517" t="str">
        <f>IF(B3455&lt;&gt;"",IF(AND(B3455&gt;=_TM1,B3455&lt;=_TM2,OR(TH!L3455="1111",TH!M3455="1111")),TH!D3455,""),"")</f>
        <v/>
      </c>
      <c r="B3455" s="531">
        <f t="shared" si="353"/>
        <v>7</v>
      </c>
      <c r="C3455" s="315">
        <f t="shared" si="352"/>
        <v>42933</v>
      </c>
      <c r="D3455" s="544" t="s">
        <v>1181</v>
      </c>
      <c r="E3455" s="315">
        <v>42933</v>
      </c>
      <c r="F3455" s="250" t="s">
        <v>1314</v>
      </c>
      <c r="G3455" s="314" t="s">
        <v>1311</v>
      </c>
      <c r="H3455" s="473" t="s">
        <v>1309</v>
      </c>
      <c r="I3455" s="307">
        <v>395</v>
      </c>
      <c r="J3455" s="307">
        <v>16673</v>
      </c>
      <c r="K3455" s="532">
        <f t="shared" si="351"/>
        <v>6585835</v>
      </c>
      <c r="L3455" s="534" t="s">
        <v>223</v>
      </c>
      <c r="M3455" s="534" t="s">
        <v>162</v>
      </c>
      <c r="N3455" s="525" t="str">
        <f>IF(AND('331-CT'!$E$7=TH!H3455,OR(L3455="331",M3455="331")),"331",IF(AND(OR(L3455="131",M3455="131"),H3455='131-CT'!$E$7),"131",""))</f>
        <v/>
      </c>
      <c r="O3455" s="525" t="str">
        <f>IF(AND($B3455&gt;='111'!$N$11,$B3455&lt;='111'!$O$11,OR($L3455=$O$7,$M3455=$O$7)),"x","")</f>
        <v/>
      </c>
      <c r="P3455" s="525" t="str">
        <f>IF(AND($L3455=$O$7,$B3455&lt;'111'!$N$11),"x","")</f>
        <v/>
      </c>
      <c r="Q3455" s="525" t="str">
        <f>IF(AND($M3455=$O$7,$B3455&lt;'111'!$N$11),"x","")</f>
        <v/>
      </c>
      <c r="R3455" s="525" t="str">
        <f>IF(ISERROR(FIND('112'!$M$9,G3455,1)),"",IF((AND(FIND('112'!$M$9,G3455,1)&gt;=1,$B3455&gt;='112'!$N$8,$B3455&lt;='112'!$O$8,OR($L3455='112'!$I$6,$M3455='112'!$I$6))),"x",""))</f>
        <v/>
      </c>
      <c r="S3455" s="525" t="str">
        <f>IF(ISERROR(FIND('112'!$M$9,G3455,1)),"",IF((AND(LEFT(G3455,2)=LEFT('112'!$M$9,2),B3455&lt;'112'!$N$8,$L3455='112'!$I$6)),"x",""))</f>
        <v/>
      </c>
      <c r="T3455" s="525" t="str">
        <f>IF(ISERROR(FIND('112'!$M$9,G3455,1)),"",IF((AND(RIGHT(G3455,2)=RIGHT('112'!$M$9,2),B3455&lt;'112'!$N$8,$M3455='112'!$I$6)),"x",""))</f>
        <v/>
      </c>
      <c r="U3455" s="525" t="str">
        <f>IF(AND(B3455&gt;='IN-NX'!$P$3,B3455&lt;='IN-NX'!$Q$3,'IN-NX'!$D$7=D3455,OR(LEFT(L3455,2)="15",AND(LEFT(M3455,2)&lt;&gt;"15",LEFT(M3455,2)&lt;&gt;"33"))),"x","")</f>
        <v/>
      </c>
      <c r="V3455" s="525" t="str">
        <f>IF(AND(OR(LEFT(TH!L3455,2)="15",LEFT(TH!M3455,2)="15"),'152-CT'!$J$8=TH!F3455),"x","")</f>
        <v/>
      </c>
      <c r="W3455" s="525" t="str">
        <f>IF(AND(OR(LEFT(TH!L3455,2)="15",LEFT(TH!M3455,2)="15"),TK!$E$7=TH!F3455),"x","")</f>
        <v/>
      </c>
      <c r="X3455" s="525" t="str">
        <f>IF(AND('341-CT'!$E$9=H3455,OR(LEFT(L3455,3)=$X$7,LEFT(M3455,3)=$X$7)),"x","")</f>
        <v/>
      </c>
      <c r="Y3455" s="525" t="str">
        <f>IF(OR(TH!L3455=TH!$Y$7,M3455=TH!$Y$7),"x","")</f>
        <v/>
      </c>
      <c r="Z3455" s="525" t="str">
        <f>IF(AND(B3455&lt;=NKC!$N$8,B3455&gt;=NKC!$M$8),"x","")</f>
        <v/>
      </c>
      <c r="AA3455" s="535"/>
      <c r="AC3455" s="536" t="str">
        <f>VLOOKUP(F3455,NXT!$B$12:$B$686,1,0)</f>
        <v>Thùng 815x330x190</v>
      </c>
    </row>
    <row r="3456" spans="1:30" s="503" customFormat="1" ht="15.75" customHeight="1">
      <c r="A3456" s="517" t="str">
        <f>IF(B3456&lt;&gt;"",IF(AND(B3456&gt;=_TM1,B3456&lt;=_TM2,OR(TH!L3456="1111",TH!M3456="1111")),TH!D3456,""),"")</f>
        <v/>
      </c>
      <c r="B3456" s="531">
        <f t="shared" si="353"/>
        <v>7</v>
      </c>
      <c r="C3456" s="315">
        <f t="shared" si="352"/>
        <v>42933</v>
      </c>
      <c r="D3456" s="544" t="s">
        <v>1181</v>
      </c>
      <c r="E3456" s="315">
        <v>42933</v>
      </c>
      <c r="F3456" s="249" t="s">
        <v>494</v>
      </c>
      <c r="G3456" s="314" t="s">
        <v>1311</v>
      </c>
      <c r="H3456" s="473" t="s">
        <v>1309</v>
      </c>
      <c r="I3456" s="307"/>
      <c r="J3456" s="307"/>
      <c r="K3456" s="532">
        <v>2083455</v>
      </c>
      <c r="L3456" s="534" t="s">
        <v>223</v>
      </c>
      <c r="M3456" s="534" t="s">
        <v>259</v>
      </c>
      <c r="N3456" s="525" t="str">
        <f>IF(AND('331-CT'!$E$7=TH!H3456,OR(L3456="331",M3456="331")),"331",IF(AND(OR(L3456="131",M3456="131"),H3456='131-CT'!$E$7),"131",""))</f>
        <v/>
      </c>
      <c r="O3456" s="525" t="str">
        <f>IF(AND($B3456&gt;='111'!$N$11,$B3456&lt;='111'!$O$11,OR($L3456=$O$7,$M3456=$O$7)),"x","")</f>
        <v/>
      </c>
      <c r="P3456" s="525" t="str">
        <f>IF(AND($L3456=$O$7,$B3456&lt;'111'!$N$11),"x","")</f>
        <v/>
      </c>
      <c r="Q3456" s="525" t="str">
        <f>IF(AND($M3456=$O$7,$B3456&lt;'111'!$N$11),"x","")</f>
        <v/>
      </c>
      <c r="R3456" s="525" t="str">
        <f>IF(ISERROR(FIND('112'!$M$9,G3456,1)),"",IF((AND(FIND('112'!$M$9,G3456,1)&gt;=1,$B3456&gt;='112'!$N$8,$B3456&lt;='112'!$O$8,OR($L3456='112'!$I$6,$M3456='112'!$I$6))),"x",""))</f>
        <v/>
      </c>
      <c r="S3456" s="525" t="str">
        <f>IF(ISERROR(FIND('112'!$M$9,G3456,1)),"",IF((AND(LEFT(G3456,2)=LEFT('112'!$M$9,2),B3456&lt;'112'!$N$8,$L3456='112'!$I$6)),"x",""))</f>
        <v/>
      </c>
      <c r="T3456" s="525" t="str">
        <f>IF(ISERROR(FIND('112'!$M$9,G3456,1)),"",IF((AND(RIGHT(G3456,2)=RIGHT('112'!$M$9,2),B3456&lt;'112'!$N$8,$M3456='112'!$I$6)),"x",""))</f>
        <v/>
      </c>
      <c r="U3456" s="525" t="str">
        <f>IF(AND(B3456&gt;='IN-NX'!$P$3,B3456&lt;='IN-NX'!$Q$3,'IN-NX'!$D$7=D3456,OR(LEFT(L3456,2)="15",AND(LEFT(M3456,2)&lt;&gt;"15",LEFT(M3456,2)&lt;&gt;"33"))),"x","")</f>
        <v/>
      </c>
      <c r="V3456" s="525" t="str">
        <f>IF(AND(OR(LEFT(TH!L3456,2)="15",LEFT(TH!M3456,2)="15"),'152-CT'!$J$8=TH!F3456),"x","")</f>
        <v/>
      </c>
      <c r="W3456" s="525" t="str">
        <f>IF(AND(OR(LEFT(TH!L3456,2)="15",LEFT(TH!M3456,2)="15"),TK!$E$7=TH!F3456),"x","")</f>
        <v/>
      </c>
      <c r="X3456" s="525" t="str">
        <f>IF(AND('341-CT'!$E$9=H3456,OR(LEFT(L3456,3)=$X$7,LEFT(M3456,3)=$X$7)),"x","")</f>
        <v/>
      </c>
      <c r="Y3456" s="525" t="str">
        <f>IF(OR(TH!L3456=TH!$Y$7,M3456=TH!$Y$7),"x","")</f>
        <v/>
      </c>
      <c r="Z3456" s="525" t="str">
        <f>IF(AND(B3456&lt;=NKC!$N$8,B3456&gt;=NKC!$M$8),"x","")</f>
        <v/>
      </c>
      <c r="AA3456" s="535"/>
    </row>
    <row r="3457" spans="1:30" s="503" customFormat="1" ht="15.75" customHeight="1">
      <c r="A3457" s="517" t="str">
        <f>IF(B3457&lt;&gt;"",IF(AND(B3457&gt;=_TM1,B3457&lt;=_TM2,OR(TH!L3457="1111",TH!M3457="1111")),TH!D3457,""),"")</f>
        <v/>
      </c>
      <c r="B3457" s="531">
        <f t="shared" si="353"/>
        <v>7</v>
      </c>
      <c r="C3457" s="315">
        <f t="shared" si="352"/>
        <v>42935</v>
      </c>
      <c r="D3457" s="544" t="s">
        <v>1181</v>
      </c>
      <c r="E3457" s="315">
        <v>42935</v>
      </c>
      <c r="F3457" s="250" t="s">
        <v>1340</v>
      </c>
      <c r="G3457" s="314" t="s">
        <v>1307</v>
      </c>
      <c r="H3457" s="473" t="s">
        <v>1309</v>
      </c>
      <c r="I3457" s="307">
        <v>600</v>
      </c>
      <c r="J3457" s="307">
        <v>16496</v>
      </c>
      <c r="K3457" s="532">
        <f>ROUND(I3457*J3457,0)</f>
        <v>9897600</v>
      </c>
      <c r="L3457" s="534" t="s">
        <v>223</v>
      </c>
      <c r="M3457" s="534" t="s">
        <v>162</v>
      </c>
      <c r="N3457" s="525" t="str">
        <f>IF(AND('331-CT'!$E$7=TH!H3457,OR(L3457="331",M3457="331")),"331",IF(AND(OR(L3457="131",M3457="131"),H3457='131-CT'!$E$7),"131",""))</f>
        <v/>
      </c>
      <c r="O3457" s="525" t="str">
        <f>IF(AND($B3457&gt;='111'!$N$11,$B3457&lt;='111'!$O$11,OR($L3457=$O$7,$M3457=$O$7)),"x","")</f>
        <v/>
      </c>
      <c r="P3457" s="525" t="str">
        <f>IF(AND($L3457=$O$7,$B3457&lt;'111'!$N$11),"x","")</f>
        <v/>
      </c>
      <c r="Q3457" s="525" t="str">
        <f>IF(AND($M3457=$O$7,$B3457&lt;'111'!$N$11),"x","")</f>
        <v/>
      </c>
      <c r="R3457" s="525" t="str">
        <f>IF(ISERROR(FIND('112'!$M$9,G3457,1)),"",IF((AND(FIND('112'!$M$9,G3457,1)&gt;=1,$B3457&gt;='112'!$N$8,$B3457&lt;='112'!$O$8,OR($L3457='112'!$I$6,$M3457='112'!$I$6))),"x",""))</f>
        <v/>
      </c>
      <c r="S3457" s="525" t="str">
        <f>IF(ISERROR(FIND('112'!$M$9,G3457,1)),"",IF((AND(LEFT(G3457,2)=LEFT('112'!$M$9,2),B3457&lt;'112'!$N$8,$L3457='112'!$I$6)),"x",""))</f>
        <v/>
      </c>
      <c r="T3457" s="525" t="str">
        <f>IF(ISERROR(FIND('112'!$M$9,G3457,1)),"",IF((AND(RIGHT(G3457,2)=RIGHT('112'!$M$9,2),B3457&lt;'112'!$N$8,$M3457='112'!$I$6)),"x",""))</f>
        <v/>
      </c>
      <c r="U3457" s="525" t="str">
        <f>IF(AND(B3457&gt;='IN-NX'!$P$3,B3457&lt;='IN-NX'!$Q$3,'IN-NX'!$D$7=D3457,OR(LEFT(L3457,2)="15",AND(LEFT(M3457,2)&lt;&gt;"15",LEFT(M3457,2)&lt;&gt;"33"))),"x","")</f>
        <v/>
      </c>
      <c r="V3457" s="525" t="str">
        <f>IF(AND(OR(LEFT(TH!L3457,2)="15",LEFT(TH!M3457,2)="15"),'152-CT'!$J$8=TH!F3457),"x","")</f>
        <v/>
      </c>
      <c r="W3457" s="525" t="str">
        <f>IF(AND(OR(LEFT(TH!L3457,2)="15",LEFT(TH!M3457,2)="15"),TK!$E$7=TH!F3457),"x","")</f>
        <v/>
      </c>
      <c r="X3457" s="525" t="str">
        <f>IF(AND('341-CT'!$E$9=H3457,OR(LEFT(L3457,3)=$X$7,LEFT(M3457,3)=$X$7)),"x","")</f>
        <v/>
      </c>
      <c r="Y3457" s="525" t="str">
        <f>IF(OR(TH!L3457=TH!$Y$7,M3457=TH!$Y$7),"x","")</f>
        <v/>
      </c>
      <c r="Z3457" s="525" t="str">
        <f>IF(AND(B3457&lt;=NKC!$N$8,B3457&gt;=NKC!$M$8),"x","")</f>
        <v/>
      </c>
      <c r="AA3457" s="535"/>
      <c r="AB3457" s="536"/>
      <c r="AC3457" s="536" t="str">
        <f>VLOOKUP(F3457,NXT!$B$12:$B$686,1,0)</f>
        <v>Thùng 183.5x19.8x10</v>
      </c>
    </row>
    <row r="3458" spans="1:30" s="503" customFormat="1" ht="15.75" customHeight="1">
      <c r="A3458" s="517" t="str">
        <f>IF(B3458&lt;&gt;"",IF(AND(B3458&gt;=_TM1,B3458&lt;=_TM2,OR(TH!L3458="1111",TH!M3458="1111")),TH!D3458,""),"")</f>
        <v/>
      </c>
      <c r="B3458" s="531">
        <f t="shared" si="353"/>
        <v>7</v>
      </c>
      <c r="C3458" s="315">
        <f t="shared" si="352"/>
        <v>42935</v>
      </c>
      <c r="D3458" s="544" t="s">
        <v>1181</v>
      </c>
      <c r="E3458" s="315">
        <v>42935</v>
      </c>
      <c r="F3458" s="250" t="s">
        <v>1308</v>
      </c>
      <c r="G3458" s="314" t="s">
        <v>1307</v>
      </c>
      <c r="H3458" s="473" t="s">
        <v>1309</v>
      </c>
      <c r="I3458" s="307">
        <v>60</v>
      </c>
      <c r="J3458" s="307">
        <v>14438</v>
      </c>
      <c r="K3458" s="532">
        <f>ROUND(I3458*J3458,0)</f>
        <v>866280</v>
      </c>
      <c r="L3458" s="534" t="s">
        <v>223</v>
      </c>
      <c r="M3458" s="534" t="s">
        <v>162</v>
      </c>
      <c r="N3458" s="525" t="str">
        <f>IF(AND('331-CT'!$E$7=TH!H3458,OR(L3458="331",M3458="331")),"331",IF(AND(OR(L3458="131",M3458="131"),H3458='131-CT'!$E$7),"131",""))</f>
        <v/>
      </c>
      <c r="O3458" s="525" t="str">
        <f>IF(AND($B3458&gt;='111'!$N$11,$B3458&lt;='111'!$O$11,OR($L3458=$O$7,$M3458=$O$7)),"x","")</f>
        <v/>
      </c>
      <c r="P3458" s="525" t="str">
        <f>IF(AND($L3458=$O$7,$B3458&lt;'111'!$N$11),"x","")</f>
        <v/>
      </c>
      <c r="Q3458" s="525" t="str">
        <f>IF(AND($M3458=$O$7,$B3458&lt;'111'!$N$11),"x","")</f>
        <v/>
      </c>
      <c r="R3458" s="525" t="str">
        <f>IF(ISERROR(FIND('112'!$M$9,G3458,1)),"",IF((AND(FIND('112'!$M$9,G3458,1)&gt;=1,$B3458&gt;='112'!$N$8,$B3458&lt;='112'!$O$8,OR($L3458='112'!$I$6,$M3458='112'!$I$6))),"x",""))</f>
        <v/>
      </c>
      <c r="S3458" s="525" t="str">
        <f>IF(ISERROR(FIND('112'!$M$9,G3458,1)),"",IF((AND(LEFT(G3458,2)=LEFT('112'!$M$9,2),B3458&lt;'112'!$N$8,$L3458='112'!$I$6)),"x",""))</f>
        <v/>
      </c>
      <c r="T3458" s="525" t="str">
        <f>IF(ISERROR(FIND('112'!$M$9,G3458,1)),"",IF((AND(RIGHT(G3458,2)=RIGHT('112'!$M$9,2),B3458&lt;'112'!$N$8,$M3458='112'!$I$6)),"x",""))</f>
        <v/>
      </c>
      <c r="U3458" s="525" t="str">
        <f>IF(AND(B3458&gt;='IN-NX'!$P$3,B3458&lt;='IN-NX'!$Q$3,'IN-NX'!$D$7=D3458,OR(LEFT(L3458,2)="15",AND(LEFT(M3458,2)&lt;&gt;"15",LEFT(M3458,2)&lt;&gt;"33"))),"x","")</f>
        <v/>
      </c>
      <c r="V3458" s="525" t="str">
        <f>IF(AND(OR(LEFT(TH!L3458,2)="15",LEFT(TH!M3458,2)="15"),'152-CT'!$J$8=TH!F3458),"x","")</f>
        <v/>
      </c>
      <c r="W3458" s="525" t="str">
        <f>IF(AND(OR(LEFT(TH!L3458,2)="15",LEFT(TH!M3458,2)="15"),TK!$E$7=TH!F3458),"x","")</f>
        <v/>
      </c>
      <c r="X3458" s="525" t="str">
        <f>IF(AND('341-CT'!$E$9=H3458,OR(LEFT(L3458,3)=$X$7,LEFT(M3458,3)=$X$7)),"x","")</f>
        <v/>
      </c>
      <c r="Y3458" s="525" t="str">
        <f>IF(OR(TH!L3458=TH!$Y$7,M3458=TH!$Y$7),"x","")</f>
        <v/>
      </c>
      <c r="Z3458" s="525" t="str">
        <f>IF(AND(B3458&lt;=NKC!$N$8,B3458&gt;=NKC!$M$8),"x","")</f>
        <v/>
      </c>
      <c r="AA3458" s="535"/>
      <c r="AB3458" s="536"/>
      <c r="AC3458" s="536" t="str">
        <f>VLOOKUP(F3458,NXT!$B$12:$B$686,1,0)</f>
        <v>Thùng 183x15.9x10</v>
      </c>
    </row>
    <row r="3459" spans="1:30" s="503" customFormat="1" ht="15.75" customHeight="1">
      <c r="A3459" s="517" t="str">
        <f>IF(B3459&lt;&gt;"",IF(AND(B3459&gt;=_TM1,B3459&lt;=_TM2,OR(TH!L3459="1111",TH!M3459="1111")),TH!D3459,""),"")</f>
        <v/>
      </c>
      <c r="B3459" s="531">
        <f t="shared" si="353"/>
        <v>7</v>
      </c>
      <c r="C3459" s="315">
        <f t="shared" si="352"/>
        <v>42935</v>
      </c>
      <c r="D3459" s="544" t="s">
        <v>1181</v>
      </c>
      <c r="E3459" s="315">
        <v>42935</v>
      </c>
      <c r="F3459" s="249" t="s">
        <v>494</v>
      </c>
      <c r="G3459" s="314" t="s">
        <v>1307</v>
      </c>
      <c r="H3459" s="473" t="s">
        <v>1309</v>
      </c>
      <c r="I3459" s="307"/>
      <c r="J3459" s="307"/>
      <c r="K3459" s="532">
        <v>1076388</v>
      </c>
      <c r="L3459" s="534" t="s">
        <v>223</v>
      </c>
      <c r="M3459" s="534" t="s">
        <v>259</v>
      </c>
      <c r="N3459" s="525" t="str">
        <f>IF(AND('331-CT'!$E$7=TH!H3459,OR(L3459="331",M3459="331")),"331",IF(AND(OR(L3459="131",M3459="131"),H3459='131-CT'!$E$7),"131",""))</f>
        <v/>
      </c>
      <c r="O3459" s="525" t="str">
        <f>IF(AND($B3459&gt;='111'!$N$11,$B3459&lt;='111'!$O$11,OR($L3459=$O$7,$M3459=$O$7)),"x","")</f>
        <v/>
      </c>
      <c r="P3459" s="525" t="str">
        <f>IF(AND($L3459=$O$7,$B3459&lt;'111'!$N$11),"x","")</f>
        <v/>
      </c>
      <c r="Q3459" s="525" t="str">
        <f>IF(AND($M3459=$O$7,$B3459&lt;'111'!$N$11),"x","")</f>
        <v/>
      </c>
      <c r="R3459" s="525" t="str">
        <f>IF(ISERROR(FIND('112'!$M$9,G3459,1)),"",IF((AND(FIND('112'!$M$9,G3459,1)&gt;=1,$B3459&gt;='112'!$N$8,$B3459&lt;='112'!$O$8,OR($L3459='112'!$I$6,$M3459='112'!$I$6))),"x",""))</f>
        <v/>
      </c>
      <c r="S3459" s="525" t="str">
        <f>IF(ISERROR(FIND('112'!$M$9,G3459,1)),"",IF((AND(LEFT(G3459,2)=LEFT('112'!$M$9,2),B3459&lt;'112'!$N$8,$L3459='112'!$I$6)),"x",""))</f>
        <v/>
      </c>
      <c r="T3459" s="525" t="str">
        <f>IF(ISERROR(FIND('112'!$M$9,G3459,1)),"",IF((AND(RIGHT(G3459,2)=RIGHT('112'!$M$9,2),B3459&lt;'112'!$N$8,$M3459='112'!$I$6)),"x",""))</f>
        <v/>
      </c>
      <c r="U3459" s="525" t="str">
        <f>IF(AND(B3459&gt;='IN-NX'!$P$3,B3459&lt;='IN-NX'!$Q$3,'IN-NX'!$D$7=D3459,OR(LEFT(L3459,2)="15",AND(LEFT(M3459,2)&lt;&gt;"15",LEFT(M3459,2)&lt;&gt;"33"))),"x","")</f>
        <v/>
      </c>
      <c r="V3459" s="525" t="str">
        <f>IF(AND(OR(LEFT(TH!L3459,2)="15",LEFT(TH!M3459,2)="15"),'152-CT'!$J$8=TH!F3459),"x","")</f>
        <v/>
      </c>
      <c r="W3459" s="525" t="str">
        <f>IF(AND(OR(LEFT(TH!L3459,2)="15",LEFT(TH!M3459,2)="15"),TK!$E$7=TH!F3459),"x","")</f>
        <v/>
      </c>
      <c r="X3459" s="525" t="str">
        <f>IF(AND('341-CT'!$E$9=H3459,OR(LEFT(L3459,3)=$X$7,LEFT(M3459,3)=$X$7)),"x","")</f>
        <v/>
      </c>
      <c r="Y3459" s="525" t="str">
        <f>IF(OR(TH!L3459=TH!$Y$7,M3459=TH!$Y$7),"x","")</f>
        <v/>
      </c>
      <c r="Z3459" s="525" t="str">
        <f>IF(AND(B3459&lt;=NKC!$N$8,B3459&gt;=NKC!$M$8),"x","")</f>
        <v/>
      </c>
      <c r="AA3459" s="535"/>
      <c r="AB3459" s="536"/>
    </row>
    <row r="3460" spans="1:30" s="503" customFormat="1" ht="15.75" customHeight="1">
      <c r="A3460" s="517" t="str">
        <f>IF(B3460&lt;&gt;"",IF(AND(B3460&gt;=_TM1,B3460&lt;=_TM2,OR(TH!L3460="1111",TH!M3460="1111")),TH!D3460,""),"")</f>
        <v/>
      </c>
      <c r="B3460" s="531">
        <f t="shared" si="353"/>
        <v>7</v>
      </c>
      <c r="C3460" s="315">
        <f t="shared" si="352"/>
        <v>42940</v>
      </c>
      <c r="D3460" s="544" t="s">
        <v>1181</v>
      </c>
      <c r="E3460" s="544">
        <v>42940</v>
      </c>
      <c r="F3460" s="250" t="s">
        <v>1328</v>
      </c>
      <c r="G3460" s="314" t="s">
        <v>1310</v>
      </c>
      <c r="H3460" s="473" t="s">
        <v>284</v>
      </c>
      <c r="I3460" s="307">
        <v>296</v>
      </c>
      <c r="J3460" s="307">
        <v>33421.877999999997</v>
      </c>
      <c r="K3460" s="532">
        <f t="shared" ref="K3460:K3471" si="354">ROUND(I3460*J3460,0)</f>
        <v>9892876</v>
      </c>
      <c r="L3460" s="534" t="s">
        <v>223</v>
      </c>
      <c r="M3460" s="534" t="s">
        <v>162</v>
      </c>
      <c r="N3460" s="525" t="str">
        <f>IF(AND('331-CT'!$E$7=TH!H3460,OR(L3460="331",M3460="331")),"331",IF(AND(OR(L3460="131",M3460="131"),H3460='131-CT'!$E$7),"131",""))</f>
        <v/>
      </c>
      <c r="O3460" s="525" t="str">
        <f>IF(AND($B3460&gt;='111'!$N$11,$B3460&lt;='111'!$O$11,OR($L3460=$O$7,$M3460=$O$7)),"x","")</f>
        <v/>
      </c>
      <c r="P3460" s="525" t="str">
        <f>IF(AND($L3460=$O$7,$B3460&lt;'111'!$N$11),"x","")</f>
        <v/>
      </c>
      <c r="Q3460" s="525" t="str">
        <f>IF(AND($M3460=$O$7,$B3460&lt;'111'!$N$11),"x","")</f>
        <v/>
      </c>
      <c r="R3460" s="525" t="str">
        <f>IF(ISERROR(FIND('112'!$M$9,G3460,1)),"",IF((AND(FIND('112'!$M$9,G3460,1)&gt;=1,$B3460&gt;='112'!$N$8,$B3460&lt;='112'!$O$8,OR($L3460='112'!$I$6,$M3460='112'!$I$6))),"x",""))</f>
        <v/>
      </c>
      <c r="S3460" s="525" t="str">
        <f>IF(ISERROR(FIND('112'!$M$9,G3460,1)),"",IF((AND(LEFT(G3460,2)=LEFT('112'!$M$9,2),B3460&lt;'112'!$N$8,$L3460='112'!$I$6)),"x",""))</f>
        <v/>
      </c>
      <c r="T3460" s="525" t="str">
        <f>IF(ISERROR(FIND('112'!$M$9,G3460,1)),"",IF((AND(RIGHT(G3460,2)=RIGHT('112'!$M$9,2),B3460&lt;'112'!$N$8,$M3460='112'!$I$6)),"x",""))</f>
        <v/>
      </c>
      <c r="U3460" s="525" t="str">
        <f>IF(AND(B3460&gt;='IN-NX'!$P$3,B3460&lt;='IN-NX'!$Q$3,'IN-NX'!$D$7=D3460,OR(LEFT(L3460,2)="15",AND(LEFT(M3460,2)&lt;&gt;"15",LEFT(M3460,2)&lt;&gt;"33"))),"x","")</f>
        <v/>
      </c>
      <c r="V3460" s="525" t="str">
        <f>IF(AND(OR(LEFT(TH!L3460,2)="15",LEFT(TH!M3460,2)="15"),'152-CT'!$J$8=TH!F3460),"x","")</f>
        <v/>
      </c>
      <c r="W3460" s="525" t="str">
        <f>IF(AND(OR(LEFT(TH!L3460,2)="15",LEFT(TH!M3460,2)="15"),TK!$E$7=TH!F3460),"x","")</f>
        <v/>
      </c>
      <c r="X3460" s="525" t="str">
        <f>IF(AND('341-CT'!$E$9=H3460,OR(LEFT(L3460,3)=$X$7,LEFT(M3460,3)=$X$7)),"x","")</f>
        <v/>
      </c>
      <c r="Y3460" s="525" t="str">
        <f>IF(OR(TH!L3460=TH!$Y$7,M3460=TH!$Y$7),"x","")</f>
        <v/>
      </c>
      <c r="Z3460" s="525" t="str">
        <f>IF(AND(B3460&lt;=NKC!$N$8,B3460&gt;=NKC!$M$8),"x","")</f>
        <v/>
      </c>
      <c r="AA3460" s="535"/>
      <c r="AB3460" s="536"/>
      <c r="AC3460" s="536" t="str">
        <f>VLOOKUP(F3460,NXT!$B$12:$B$686,1,0)</f>
        <v>Thùng 42.9x42.9x53.6</v>
      </c>
      <c r="AD3460" s="536"/>
    </row>
    <row r="3461" spans="1:30" s="503" customFormat="1" ht="15.75" customHeight="1">
      <c r="A3461" s="517" t="str">
        <f>IF(B3461&lt;&gt;"",IF(AND(B3461&gt;=_TM1,B3461&lt;=_TM2,OR(TH!L3461="1111",TH!M3461="1111")),TH!D3461,""),"")</f>
        <v/>
      </c>
      <c r="B3461" s="531">
        <f t="shared" si="353"/>
        <v>7</v>
      </c>
      <c r="C3461" s="315">
        <f t="shared" si="352"/>
        <v>42940</v>
      </c>
      <c r="D3461" s="544" t="s">
        <v>1181</v>
      </c>
      <c r="E3461" s="544">
        <v>42940</v>
      </c>
      <c r="F3461" s="250" t="s">
        <v>1329</v>
      </c>
      <c r="G3461" s="314" t="s">
        <v>1310</v>
      </c>
      <c r="H3461" s="473" t="s">
        <v>284</v>
      </c>
      <c r="I3461" s="307">
        <v>224</v>
      </c>
      <c r="J3461" s="307">
        <v>31880.286200000002</v>
      </c>
      <c r="K3461" s="532">
        <f t="shared" si="354"/>
        <v>7141184</v>
      </c>
      <c r="L3461" s="534" t="s">
        <v>223</v>
      </c>
      <c r="M3461" s="534" t="s">
        <v>162</v>
      </c>
      <c r="N3461" s="525" t="str">
        <f>IF(AND('331-CT'!$E$7=TH!H3461,OR(L3461="331",M3461="331")),"331",IF(AND(OR(L3461="131",M3461="131"),H3461='131-CT'!$E$7),"131",""))</f>
        <v/>
      </c>
      <c r="O3461" s="525" t="str">
        <f>IF(AND($B3461&gt;='111'!$N$11,$B3461&lt;='111'!$O$11,OR($L3461=$O$7,$M3461=$O$7)),"x","")</f>
        <v/>
      </c>
      <c r="P3461" s="525" t="str">
        <f>IF(AND($L3461=$O$7,$B3461&lt;'111'!$N$11),"x","")</f>
        <v/>
      </c>
      <c r="Q3461" s="525" t="str">
        <f>IF(AND($M3461=$O$7,$B3461&lt;'111'!$N$11),"x","")</f>
        <v/>
      </c>
      <c r="R3461" s="525" t="str">
        <f>IF(ISERROR(FIND('112'!$M$9,G3461,1)),"",IF((AND(FIND('112'!$M$9,G3461,1)&gt;=1,$B3461&gt;='112'!$N$8,$B3461&lt;='112'!$O$8,OR($L3461='112'!$I$6,$M3461='112'!$I$6))),"x",""))</f>
        <v/>
      </c>
      <c r="S3461" s="525" t="str">
        <f>IF(ISERROR(FIND('112'!$M$9,G3461,1)),"",IF((AND(LEFT(G3461,2)=LEFT('112'!$M$9,2),B3461&lt;'112'!$N$8,$L3461='112'!$I$6)),"x",""))</f>
        <v/>
      </c>
      <c r="T3461" s="525" t="str">
        <f>IF(ISERROR(FIND('112'!$M$9,G3461,1)),"",IF((AND(RIGHT(G3461,2)=RIGHT('112'!$M$9,2),B3461&lt;'112'!$N$8,$M3461='112'!$I$6)),"x",""))</f>
        <v/>
      </c>
      <c r="U3461" s="525" t="str">
        <f>IF(AND(B3461&gt;='IN-NX'!$P$3,B3461&lt;='IN-NX'!$Q$3,'IN-NX'!$D$7=D3461,OR(LEFT(L3461,2)="15",AND(LEFT(M3461,2)&lt;&gt;"15",LEFT(M3461,2)&lt;&gt;"33"))),"x","")</f>
        <v/>
      </c>
      <c r="V3461" s="525" t="str">
        <f>IF(AND(OR(LEFT(TH!L3461,2)="15",LEFT(TH!M3461,2)="15"),'152-CT'!$J$8=TH!F3461),"x","")</f>
        <v/>
      </c>
      <c r="W3461" s="525" t="str">
        <f>IF(AND(OR(LEFT(TH!L3461,2)="15",LEFT(TH!M3461,2)="15"),TK!$E$7=TH!F3461),"x","")</f>
        <v/>
      </c>
      <c r="X3461" s="525" t="str">
        <f>IF(AND('341-CT'!$E$9=H3461,OR(LEFT(L3461,3)=$X$7,LEFT(M3461,3)=$X$7)),"x","")</f>
        <v/>
      </c>
      <c r="Y3461" s="525" t="str">
        <f>IF(OR(TH!L3461=TH!$Y$7,M3461=TH!$Y$7),"x","")</f>
        <v/>
      </c>
      <c r="Z3461" s="525" t="str">
        <f>IF(AND(B3461&lt;=NKC!$N$8,B3461&gt;=NKC!$M$8),"x","")</f>
        <v/>
      </c>
      <c r="AA3461" s="535"/>
      <c r="AB3461" s="536"/>
      <c r="AC3461" s="536" t="str">
        <f>VLOOKUP(F3461,NXT!$B$12:$B$686,1,0)</f>
        <v>Thùng 42.2x42.2x51.2</v>
      </c>
      <c r="AD3461" s="536"/>
    </row>
    <row r="3462" spans="1:30" s="503" customFormat="1" ht="15.75" customHeight="1">
      <c r="A3462" s="517" t="str">
        <f>IF(B3462&lt;&gt;"",IF(AND(B3462&gt;=_TM1,B3462&lt;=_TM2,OR(TH!L3462="1111",TH!M3462="1111")),TH!D3462,""),"")</f>
        <v/>
      </c>
      <c r="B3462" s="531">
        <f t="shared" si="353"/>
        <v>7</v>
      </c>
      <c r="C3462" s="315">
        <f t="shared" si="352"/>
        <v>42940</v>
      </c>
      <c r="D3462" s="544" t="s">
        <v>1181</v>
      </c>
      <c r="E3462" s="544">
        <v>42940</v>
      </c>
      <c r="F3462" s="250" t="s">
        <v>1330</v>
      </c>
      <c r="G3462" s="314" t="s">
        <v>1310</v>
      </c>
      <c r="H3462" s="473" t="s">
        <v>284</v>
      </c>
      <c r="I3462" s="307">
        <v>100</v>
      </c>
      <c r="J3462" s="307">
        <v>33663.805</v>
      </c>
      <c r="K3462" s="532">
        <f t="shared" si="354"/>
        <v>3366381</v>
      </c>
      <c r="L3462" s="534" t="s">
        <v>223</v>
      </c>
      <c r="M3462" s="534" t="s">
        <v>162</v>
      </c>
      <c r="N3462" s="525" t="str">
        <f>IF(AND('331-CT'!$E$7=TH!H3462,OR(L3462="331",M3462="331")),"331",IF(AND(OR(L3462="131",M3462="131"),H3462='131-CT'!$E$7),"131",""))</f>
        <v/>
      </c>
      <c r="O3462" s="525" t="str">
        <f>IF(AND($B3462&gt;='111'!$N$11,$B3462&lt;='111'!$O$11,OR($L3462=$O$7,$M3462=$O$7)),"x","")</f>
        <v/>
      </c>
      <c r="P3462" s="525" t="str">
        <f>IF(AND($L3462=$O$7,$B3462&lt;'111'!$N$11),"x","")</f>
        <v/>
      </c>
      <c r="Q3462" s="525" t="str">
        <f>IF(AND($M3462=$O$7,$B3462&lt;'111'!$N$11),"x","")</f>
        <v/>
      </c>
      <c r="R3462" s="525" t="str">
        <f>IF(ISERROR(FIND('112'!$M$9,G3462,1)),"",IF((AND(FIND('112'!$M$9,G3462,1)&gt;=1,$B3462&gt;='112'!$N$8,$B3462&lt;='112'!$O$8,OR($L3462='112'!$I$6,$M3462='112'!$I$6))),"x",""))</f>
        <v/>
      </c>
      <c r="S3462" s="525" t="str">
        <f>IF(ISERROR(FIND('112'!$M$9,G3462,1)),"",IF((AND(LEFT(G3462,2)=LEFT('112'!$M$9,2),B3462&lt;'112'!$N$8,$L3462='112'!$I$6)),"x",""))</f>
        <v/>
      </c>
      <c r="T3462" s="525" t="str">
        <f>IF(ISERROR(FIND('112'!$M$9,G3462,1)),"",IF((AND(RIGHT(G3462,2)=RIGHT('112'!$M$9,2),B3462&lt;'112'!$N$8,$M3462='112'!$I$6)),"x",""))</f>
        <v/>
      </c>
      <c r="U3462" s="525" t="str">
        <f>IF(AND(B3462&gt;='IN-NX'!$P$3,B3462&lt;='IN-NX'!$Q$3,'IN-NX'!$D$7=D3462,OR(LEFT(L3462,2)="15",AND(LEFT(M3462,2)&lt;&gt;"15",LEFT(M3462,2)&lt;&gt;"33"))),"x","")</f>
        <v/>
      </c>
      <c r="V3462" s="525" t="str">
        <f>IF(AND(OR(LEFT(TH!L3462,2)="15",LEFT(TH!M3462,2)="15"),'152-CT'!$J$8=TH!F3462),"x","")</f>
        <v/>
      </c>
      <c r="W3462" s="525" t="str">
        <f>IF(AND(OR(LEFT(TH!L3462,2)="15",LEFT(TH!M3462,2)="15"),TK!$E$7=TH!F3462),"x","")</f>
        <v/>
      </c>
      <c r="X3462" s="525" t="str">
        <f>IF(AND('341-CT'!$E$9=H3462,OR(LEFT(L3462,3)=$X$7,LEFT(M3462,3)=$X$7)),"x","")</f>
        <v/>
      </c>
      <c r="Y3462" s="525" t="str">
        <f>IF(OR(TH!L3462=TH!$Y$7,M3462=TH!$Y$7),"x","")</f>
        <v/>
      </c>
      <c r="Z3462" s="525" t="str">
        <f>IF(AND(B3462&lt;=NKC!$N$8,B3462&gt;=NKC!$M$8),"x","")</f>
        <v/>
      </c>
      <c r="AA3462" s="535"/>
      <c r="AB3462" s="536"/>
      <c r="AC3462" s="536" t="str">
        <f>VLOOKUP(F3462,NXT!$B$12:$B$686,1,0)</f>
        <v>Thùng 43x43x54</v>
      </c>
      <c r="AD3462" s="536"/>
    </row>
    <row r="3463" spans="1:30" s="503" customFormat="1" ht="15.75" customHeight="1">
      <c r="A3463" s="517" t="str">
        <f>IF(B3463&lt;&gt;"",IF(AND(B3463&gt;=_TM1,B3463&lt;=_TM2,OR(TH!L3463="1111",TH!M3463="1111")),TH!D3463,""),"")</f>
        <v/>
      </c>
      <c r="B3463" s="531">
        <f t="shared" si="353"/>
        <v>7</v>
      </c>
      <c r="C3463" s="315">
        <f t="shared" si="352"/>
        <v>42940</v>
      </c>
      <c r="D3463" s="544" t="s">
        <v>1181</v>
      </c>
      <c r="E3463" s="544">
        <v>42940</v>
      </c>
      <c r="F3463" s="250" t="s">
        <v>1331</v>
      </c>
      <c r="G3463" s="314" t="s">
        <v>1310</v>
      </c>
      <c r="H3463" s="473" t="s">
        <v>284</v>
      </c>
      <c r="I3463" s="307">
        <v>116</v>
      </c>
      <c r="J3463" s="307">
        <v>40427.125200000009</v>
      </c>
      <c r="K3463" s="532">
        <f t="shared" si="354"/>
        <v>4689547</v>
      </c>
      <c r="L3463" s="534" t="s">
        <v>223</v>
      </c>
      <c r="M3463" s="534" t="s">
        <v>162</v>
      </c>
      <c r="N3463" s="525" t="str">
        <f>IF(AND('331-CT'!$E$7=TH!H3463,OR(L3463="331",M3463="331")),"331",IF(AND(OR(L3463="131",M3463="131"),H3463='131-CT'!$E$7),"131",""))</f>
        <v/>
      </c>
      <c r="O3463" s="525" t="str">
        <f>IF(AND($B3463&gt;='111'!$N$11,$B3463&lt;='111'!$O$11,OR($L3463=$O$7,$M3463=$O$7)),"x","")</f>
        <v/>
      </c>
      <c r="P3463" s="525" t="str">
        <f>IF(AND($L3463=$O$7,$B3463&lt;'111'!$N$11),"x","")</f>
        <v/>
      </c>
      <c r="Q3463" s="525" t="str">
        <f>IF(AND($M3463=$O$7,$B3463&lt;'111'!$N$11),"x","")</f>
        <v/>
      </c>
      <c r="R3463" s="525" t="str">
        <f>IF(ISERROR(FIND('112'!$M$9,G3463,1)),"",IF((AND(FIND('112'!$M$9,G3463,1)&gt;=1,$B3463&gt;='112'!$N$8,$B3463&lt;='112'!$O$8,OR($L3463='112'!$I$6,$M3463='112'!$I$6))),"x",""))</f>
        <v/>
      </c>
      <c r="S3463" s="525" t="str">
        <f>IF(ISERROR(FIND('112'!$M$9,G3463,1)),"",IF((AND(LEFT(G3463,2)=LEFT('112'!$M$9,2),B3463&lt;'112'!$N$8,$L3463='112'!$I$6)),"x",""))</f>
        <v/>
      </c>
      <c r="T3463" s="525" t="str">
        <f>IF(ISERROR(FIND('112'!$M$9,G3463,1)),"",IF((AND(RIGHT(G3463,2)=RIGHT('112'!$M$9,2),B3463&lt;'112'!$N$8,$M3463='112'!$I$6)),"x",""))</f>
        <v/>
      </c>
      <c r="U3463" s="525" t="str">
        <f>IF(AND(B3463&gt;='IN-NX'!$P$3,B3463&lt;='IN-NX'!$Q$3,'IN-NX'!$D$7=D3463,OR(LEFT(L3463,2)="15",AND(LEFT(M3463,2)&lt;&gt;"15",LEFT(M3463,2)&lt;&gt;"33"))),"x","")</f>
        <v/>
      </c>
      <c r="V3463" s="525" t="str">
        <f>IF(AND(OR(LEFT(TH!L3463,2)="15",LEFT(TH!M3463,2)="15"),'152-CT'!$J$8=TH!F3463),"x","")</f>
        <v/>
      </c>
      <c r="W3463" s="525" t="str">
        <f>IF(AND(OR(LEFT(TH!L3463,2)="15",LEFT(TH!M3463,2)="15"),TK!$E$7=TH!F3463),"x","")</f>
        <v/>
      </c>
      <c r="X3463" s="525" t="str">
        <f>IF(AND('341-CT'!$E$9=H3463,OR(LEFT(L3463,3)=$X$7,LEFT(M3463,3)=$X$7)),"x","")</f>
        <v/>
      </c>
      <c r="Y3463" s="525" t="str">
        <f>IF(OR(TH!L3463=TH!$Y$7,M3463=TH!$Y$7),"x","")</f>
        <v/>
      </c>
      <c r="Z3463" s="525" t="str">
        <f>IF(AND(B3463&lt;=NKC!$N$8,B3463&gt;=NKC!$M$8),"x","")</f>
        <v/>
      </c>
      <c r="AA3463" s="535"/>
      <c r="AB3463" s="536"/>
      <c r="AC3463" s="536" t="str">
        <f>VLOOKUP(F3463,NXT!$B$12:$B$686,1,0)</f>
        <v>Thùng 49.2x49.2x51.2</v>
      </c>
      <c r="AD3463" s="536"/>
    </row>
    <row r="3464" spans="1:30" s="503" customFormat="1" ht="15.75" customHeight="1">
      <c r="A3464" s="517" t="str">
        <f>IF(B3464&lt;&gt;"",IF(AND(B3464&gt;=_TM1,B3464&lt;=_TM2,OR(TH!L3464="1111",TH!M3464="1111")),TH!D3464,""),"")</f>
        <v/>
      </c>
      <c r="B3464" s="531">
        <f t="shared" si="353"/>
        <v>7</v>
      </c>
      <c r="C3464" s="315">
        <f t="shared" si="352"/>
        <v>42940</v>
      </c>
      <c r="D3464" s="544" t="s">
        <v>1181</v>
      </c>
      <c r="E3464" s="544">
        <v>42940</v>
      </c>
      <c r="F3464" s="250" t="s">
        <v>1332</v>
      </c>
      <c r="G3464" s="314" t="s">
        <v>1310</v>
      </c>
      <c r="H3464" s="473" t="s">
        <v>284</v>
      </c>
      <c r="I3464" s="307">
        <v>132</v>
      </c>
      <c r="J3464" s="307">
        <v>50827.14</v>
      </c>
      <c r="K3464" s="532">
        <f t="shared" si="354"/>
        <v>6709182</v>
      </c>
      <c r="L3464" s="534" t="s">
        <v>223</v>
      </c>
      <c r="M3464" s="534" t="s">
        <v>162</v>
      </c>
      <c r="N3464" s="525" t="str">
        <f>IF(AND('331-CT'!$E$7=TH!H3464,OR(L3464="331",M3464="331")),"331",IF(AND(OR(L3464="131",M3464="131"),H3464='131-CT'!$E$7),"131",""))</f>
        <v/>
      </c>
      <c r="O3464" s="525" t="str">
        <f>IF(AND($B3464&gt;='111'!$N$11,$B3464&lt;='111'!$O$11,OR($L3464=$O$7,$M3464=$O$7)),"x","")</f>
        <v/>
      </c>
      <c r="P3464" s="525" t="str">
        <f>IF(AND($L3464=$O$7,$B3464&lt;'111'!$N$11),"x","")</f>
        <v/>
      </c>
      <c r="Q3464" s="525" t="str">
        <f>IF(AND($M3464=$O$7,$B3464&lt;'111'!$N$11),"x","")</f>
        <v/>
      </c>
      <c r="R3464" s="525" t="str">
        <f>IF(ISERROR(FIND('112'!$M$9,G3464,1)),"",IF((AND(FIND('112'!$M$9,G3464,1)&gt;=1,$B3464&gt;='112'!$N$8,$B3464&lt;='112'!$O$8,OR($L3464='112'!$I$6,$M3464='112'!$I$6))),"x",""))</f>
        <v/>
      </c>
      <c r="S3464" s="525" t="str">
        <f>IF(ISERROR(FIND('112'!$M$9,G3464,1)),"",IF((AND(LEFT(G3464,2)=LEFT('112'!$M$9,2),B3464&lt;'112'!$N$8,$L3464='112'!$I$6)),"x",""))</f>
        <v/>
      </c>
      <c r="T3464" s="525" t="str">
        <f>IF(ISERROR(FIND('112'!$M$9,G3464,1)),"",IF((AND(RIGHT(G3464,2)=RIGHT('112'!$M$9,2),B3464&lt;'112'!$N$8,$M3464='112'!$I$6)),"x",""))</f>
        <v/>
      </c>
      <c r="U3464" s="525" t="str">
        <f>IF(AND(B3464&gt;='IN-NX'!$P$3,B3464&lt;='IN-NX'!$Q$3,'IN-NX'!$D$7=D3464,OR(LEFT(L3464,2)="15",AND(LEFT(M3464,2)&lt;&gt;"15",LEFT(M3464,2)&lt;&gt;"33"))),"x","")</f>
        <v/>
      </c>
      <c r="V3464" s="525" t="str">
        <f>IF(AND(OR(LEFT(TH!L3464,2)="15",LEFT(TH!M3464,2)="15"),'152-CT'!$J$8=TH!F3464),"x","")</f>
        <v/>
      </c>
      <c r="W3464" s="525" t="str">
        <f>IF(AND(OR(LEFT(TH!L3464,2)="15",LEFT(TH!M3464,2)="15"),TK!$E$7=TH!F3464),"x","")</f>
        <v/>
      </c>
      <c r="X3464" s="525" t="str">
        <f>IF(AND('341-CT'!$E$9=H3464,OR(LEFT(L3464,3)=$X$7,LEFT(M3464,3)=$X$7)),"x","")</f>
        <v/>
      </c>
      <c r="Y3464" s="525" t="str">
        <f>IF(OR(TH!L3464=TH!$Y$7,M3464=TH!$Y$7),"x","")</f>
        <v/>
      </c>
      <c r="Z3464" s="525" t="str">
        <f>IF(AND(B3464&lt;=NKC!$N$8,B3464&gt;=NKC!$M$8),"x","")</f>
        <v/>
      </c>
      <c r="AA3464" s="535"/>
      <c r="AB3464" s="536"/>
      <c r="AC3464" s="536" t="str">
        <f>VLOOKUP(F3464,NXT!$B$12:$B$686,1,0)</f>
        <v>Thùng 56x56x56</v>
      </c>
      <c r="AD3464" s="536"/>
    </row>
    <row r="3465" spans="1:30" s="503" customFormat="1" ht="15.75" customHeight="1">
      <c r="A3465" s="517" t="str">
        <f>IF(B3465&lt;&gt;"",IF(AND(B3465&gt;=_TM1,B3465&lt;=_TM2,OR(TH!L3465="1111",TH!M3465="1111")),TH!D3465,""),"")</f>
        <v/>
      </c>
      <c r="B3465" s="531">
        <f t="shared" si="353"/>
        <v>7</v>
      </c>
      <c r="C3465" s="315">
        <f t="shared" si="352"/>
        <v>42940</v>
      </c>
      <c r="D3465" s="544" t="s">
        <v>1181</v>
      </c>
      <c r="E3465" s="544">
        <v>42940</v>
      </c>
      <c r="F3465" s="250" t="s">
        <v>1333</v>
      </c>
      <c r="G3465" s="314" t="s">
        <v>1310</v>
      </c>
      <c r="H3465" s="473" t="s">
        <v>284</v>
      </c>
      <c r="I3465" s="307">
        <v>100</v>
      </c>
      <c r="J3465" s="307">
        <v>37299.301200000009</v>
      </c>
      <c r="K3465" s="532">
        <f t="shared" si="354"/>
        <v>3729930</v>
      </c>
      <c r="L3465" s="534" t="s">
        <v>223</v>
      </c>
      <c r="M3465" s="534" t="s">
        <v>162</v>
      </c>
      <c r="N3465" s="525" t="str">
        <f>IF(AND('331-CT'!$E$7=TH!H3465,OR(L3465="331",M3465="331")),"331",IF(AND(OR(L3465="131",M3465="131"),H3465='131-CT'!$E$7),"131",""))</f>
        <v/>
      </c>
      <c r="O3465" s="525" t="str">
        <f>IF(AND($B3465&gt;='111'!$N$11,$B3465&lt;='111'!$O$11,OR($L3465=$O$7,$M3465=$O$7)),"x","")</f>
        <v/>
      </c>
      <c r="P3465" s="525" t="str">
        <f>IF(AND($L3465=$O$7,$B3465&lt;'111'!$N$11),"x","")</f>
        <v/>
      </c>
      <c r="Q3465" s="525" t="str">
        <f>IF(AND($M3465=$O$7,$B3465&lt;'111'!$N$11),"x","")</f>
        <v/>
      </c>
      <c r="R3465" s="525" t="str">
        <f>IF(ISERROR(FIND('112'!$M$9,G3465,1)),"",IF((AND(FIND('112'!$M$9,G3465,1)&gt;=1,$B3465&gt;='112'!$N$8,$B3465&lt;='112'!$O$8,OR($L3465='112'!$I$6,$M3465='112'!$I$6))),"x",""))</f>
        <v/>
      </c>
      <c r="S3465" s="525" t="str">
        <f>IF(ISERROR(FIND('112'!$M$9,G3465,1)),"",IF((AND(LEFT(G3465,2)=LEFT('112'!$M$9,2),B3465&lt;'112'!$N$8,$L3465='112'!$I$6)),"x",""))</f>
        <v/>
      </c>
      <c r="T3465" s="525" t="str">
        <f>IF(ISERROR(FIND('112'!$M$9,G3465,1)),"",IF((AND(RIGHT(G3465,2)=RIGHT('112'!$M$9,2),B3465&lt;'112'!$N$8,$M3465='112'!$I$6)),"x",""))</f>
        <v/>
      </c>
      <c r="U3465" s="525" t="str">
        <f>IF(AND(B3465&gt;='IN-NX'!$P$3,B3465&lt;='IN-NX'!$Q$3,'IN-NX'!$D$7=D3465,OR(LEFT(L3465,2)="15",AND(LEFT(M3465,2)&lt;&gt;"15",LEFT(M3465,2)&lt;&gt;"33"))),"x","")</f>
        <v/>
      </c>
      <c r="V3465" s="525" t="str">
        <f>IF(AND(OR(LEFT(TH!L3465,2)="15",LEFT(TH!M3465,2)="15"),'152-CT'!$J$8=TH!F3465),"x","")</f>
        <v/>
      </c>
      <c r="W3465" s="525" t="str">
        <f>IF(AND(OR(LEFT(TH!L3465,2)="15",LEFT(TH!M3465,2)="15"),TK!$E$7=TH!F3465),"x","")</f>
        <v/>
      </c>
      <c r="X3465" s="525" t="str">
        <f>IF(AND('341-CT'!$E$9=H3465,OR(LEFT(L3465,3)=$X$7,LEFT(M3465,3)=$X$7)),"x","")</f>
        <v/>
      </c>
      <c r="Y3465" s="525" t="str">
        <f>IF(OR(TH!L3465=TH!$Y$7,M3465=TH!$Y$7),"x","")</f>
        <v/>
      </c>
      <c r="Z3465" s="525" t="str">
        <f>IF(AND(B3465&lt;=NKC!$N$8,B3465&gt;=NKC!$M$8),"x","")</f>
        <v/>
      </c>
      <c r="AA3465" s="535"/>
      <c r="AB3465" s="536"/>
      <c r="AC3465" s="536" t="str">
        <f>VLOOKUP(F3465,NXT!$B$12:$B$686,1,0)</f>
        <v>Thùng 46.2x46.2x54.2</v>
      </c>
      <c r="AD3465" s="536"/>
    </row>
    <row r="3466" spans="1:30" s="503" customFormat="1" ht="15.75" customHeight="1">
      <c r="A3466" s="517" t="str">
        <f>IF(B3466&lt;&gt;"",IF(AND(B3466&gt;=_TM1,B3466&lt;=_TM2,OR(TH!L3466="1111",TH!M3466="1111")),TH!D3466,""),"")</f>
        <v/>
      </c>
      <c r="B3466" s="531">
        <f t="shared" si="353"/>
        <v>7</v>
      </c>
      <c r="C3466" s="315">
        <f t="shared" si="352"/>
        <v>42940</v>
      </c>
      <c r="D3466" s="544" t="s">
        <v>1181</v>
      </c>
      <c r="E3466" s="544">
        <v>42940</v>
      </c>
      <c r="F3466" s="250" t="s">
        <v>1334</v>
      </c>
      <c r="G3466" s="314" t="s">
        <v>1310</v>
      </c>
      <c r="H3466" s="473" t="s">
        <v>284</v>
      </c>
      <c r="I3466" s="307">
        <v>60</v>
      </c>
      <c r="J3466" s="307">
        <v>38446.020199999999</v>
      </c>
      <c r="K3466" s="532">
        <f t="shared" si="354"/>
        <v>2306761</v>
      </c>
      <c r="L3466" s="534" t="s">
        <v>223</v>
      </c>
      <c r="M3466" s="534" t="s">
        <v>162</v>
      </c>
      <c r="N3466" s="525" t="str">
        <f>IF(AND('331-CT'!$E$7=TH!H3466,OR(L3466="331",M3466="331")),"331",IF(AND(OR(L3466="131",M3466="131"),H3466='131-CT'!$E$7),"131",""))</f>
        <v/>
      </c>
      <c r="O3466" s="525" t="str">
        <f>IF(AND($B3466&gt;='111'!$N$11,$B3466&lt;='111'!$O$11,OR($L3466=$O$7,$M3466=$O$7)),"x","")</f>
        <v/>
      </c>
      <c r="P3466" s="525" t="str">
        <f>IF(AND($L3466=$O$7,$B3466&lt;'111'!$N$11),"x","")</f>
        <v/>
      </c>
      <c r="Q3466" s="525" t="str">
        <f>IF(AND($M3466=$O$7,$B3466&lt;'111'!$N$11),"x","")</f>
        <v/>
      </c>
      <c r="R3466" s="525" t="str">
        <f>IF(ISERROR(FIND('112'!$M$9,G3466,1)),"",IF((AND(FIND('112'!$M$9,G3466,1)&gt;=1,$B3466&gt;='112'!$N$8,$B3466&lt;='112'!$O$8,OR($L3466='112'!$I$6,$M3466='112'!$I$6))),"x",""))</f>
        <v/>
      </c>
      <c r="S3466" s="525" t="str">
        <f>IF(ISERROR(FIND('112'!$M$9,G3466,1)),"",IF((AND(LEFT(G3466,2)=LEFT('112'!$M$9,2),B3466&lt;'112'!$N$8,$L3466='112'!$I$6)),"x",""))</f>
        <v/>
      </c>
      <c r="T3466" s="525" t="str">
        <f>IF(ISERROR(FIND('112'!$M$9,G3466,1)),"",IF((AND(RIGHT(G3466,2)=RIGHT('112'!$M$9,2),B3466&lt;'112'!$N$8,$M3466='112'!$I$6)),"x",""))</f>
        <v/>
      </c>
      <c r="U3466" s="525" t="str">
        <f>IF(AND(B3466&gt;='IN-NX'!$P$3,B3466&lt;='IN-NX'!$Q$3,'IN-NX'!$D$7=D3466,OR(LEFT(L3466,2)="15",AND(LEFT(M3466,2)&lt;&gt;"15",LEFT(M3466,2)&lt;&gt;"33"))),"x","")</f>
        <v/>
      </c>
      <c r="V3466" s="525" t="str">
        <f>IF(AND(OR(LEFT(TH!L3466,2)="15",LEFT(TH!M3466,2)="15"),'152-CT'!$J$8=TH!F3466),"x","")</f>
        <v/>
      </c>
      <c r="W3466" s="525" t="str">
        <f>IF(AND(OR(LEFT(TH!L3466,2)="15",LEFT(TH!M3466,2)="15"),TK!$E$7=TH!F3466),"x","")</f>
        <v/>
      </c>
      <c r="X3466" s="525" t="str">
        <f>IF(AND('341-CT'!$E$9=H3466,OR(LEFT(L3466,3)=$X$7,LEFT(M3466,3)=$X$7)),"x","")</f>
        <v/>
      </c>
      <c r="Y3466" s="525" t="str">
        <f>IF(OR(TH!L3466=TH!$Y$7,M3466=TH!$Y$7),"x","")</f>
        <v/>
      </c>
      <c r="Z3466" s="525" t="str">
        <f>IF(AND(B3466&lt;=NKC!$N$8,B3466&gt;=NKC!$M$8),"x","")</f>
        <v/>
      </c>
      <c r="AA3466" s="535"/>
      <c r="AB3466" s="536"/>
      <c r="AC3466" s="536" t="str">
        <f>VLOOKUP(F3466,NXT!$B$12:$B$686,1,0)</f>
        <v>Thùng 47.2x47.2x54.2</v>
      </c>
      <c r="AD3466" s="536"/>
    </row>
    <row r="3467" spans="1:30" s="503" customFormat="1" ht="15.75" customHeight="1">
      <c r="A3467" s="517" t="str">
        <f>IF(B3467&lt;&gt;"",IF(AND(B3467&gt;=_TM1,B3467&lt;=_TM2,OR(TH!L3467="1111",TH!M3467="1111")),TH!D3467,""),"")</f>
        <v/>
      </c>
      <c r="B3467" s="531">
        <f t="shared" si="353"/>
        <v>7</v>
      </c>
      <c r="C3467" s="315">
        <f t="shared" si="352"/>
        <v>42940</v>
      </c>
      <c r="D3467" s="544" t="s">
        <v>1181</v>
      </c>
      <c r="E3467" s="544">
        <v>42940</v>
      </c>
      <c r="F3467" s="250" t="s">
        <v>1335</v>
      </c>
      <c r="G3467" s="314" t="s">
        <v>1310</v>
      </c>
      <c r="H3467" s="473" t="s">
        <v>284</v>
      </c>
      <c r="I3467" s="307">
        <v>100</v>
      </c>
      <c r="J3467" s="307">
        <v>44002.102200000001</v>
      </c>
      <c r="K3467" s="532">
        <f t="shared" si="354"/>
        <v>4400210</v>
      </c>
      <c r="L3467" s="534" t="s">
        <v>223</v>
      </c>
      <c r="M3467" s="534" t="s">
        <v>162</v>
      </c>
      <c r="N3467" s="525" t="str">
        <f>IF(AND('331-CT'!$E$7=TH!H3467,OR(L3467="331",M3467="331")),"331",IF(AND(OR(L3467="131",M3467="131"),H3467='131-CT'!$E$7),"131",""))</f>
        <v/>
      </c>
      <c r="O3467" s="525" t="str">
        <f>IF(AND($B3467&gt;='111'!$N$11,$B3467&lt;='111'!$O$11,OR($L3467=$O$7,$M3467=$O$7)),"x","")</f>
        <v/>
      </c>
      <c r="P3467" s="525" t="str">
        <f>IF(AND($L3467=$O$7,$B3467&lt;'111'!$N$11),"x","")</f>
        <v/>
      </c>
      <c r="Q3467" s="525" t="str">
        <f>IF(AND($M3467=$O$7,$B3467&lt;'111'!$N$11),"x","")</f>
        <v/>
      </c>
      <c r="R3467" s="525" t="str">
        <f>IF(ISERROR(FIND('112'!$M$9,G3467,1)),"",IF((AND(FIND('112'!$M$9,G3467,1)&gt;=1,$B3467&gt;='112'!$N$8,$B3467&lt;='112'!$O$8,OR($L3467='112'!$I$6,$M3467='112'!$I$6))),"x",""))</f>
        <v/>
      </c>
      <c r="S3467" s="525" t="str">
        <f>IF(ISERROR(FIND('112'!$M$9,G3467,1)),"",IF((AND(LEFT(G3467,2)=LEFT('112'!$M$9,2),B3467&lt;'112'!$N$8,$L3467='112'!$I$6)),"x",""))</f>
        <v/>
      </c>
      <c r="T3467" s="525" t="str">
        <f>IF(ISERROR(FIND('112'!$M$9,G3467,1)),"",IF((AND(RIGHT(G3467,2)=RIGHT('112'!$M$9,2),B3467&lt;'112'!$N$8,$M3467='112'!$I$6)),"x",""))</f>
        <v/>
      </c>
      <c r="U3467" s="525" t="str">
        <f>IF(AND(B3467&gt;='IN-NX'!$P$3,B3467&lt;='IN-NX'!$Q$3,'IN-NX'!$D$7=D3467,OR(LEFT(L3467,2)="15",AND(LEFT(M3467,2)&lt;&gt;"15",LEFT(M3467,2)&lt;&gt;"33"))),"x","")</f>
        <v/>
      </c>
      <c r="V3467" s="525" t="str">
        <f>IF(AND(OR(LEFT(TH!L3467,2)="15",LEFT(TH!M3467,2)="15"),'152-CT'!$J$8=TH!F3467),"x","")</f>
        <v/>
      </c>
      <c r="W3467" s="525" t="str">
        <f>IF(AND(OR(LEFT(TH!L3467,2)="15",LEFT(TH!M3467,2)="15"),TK!$E$7=TH!F3467),"x","")</f>
        <v/>
      </c>
      <c r="X3467" s="525" t="str">
        <f>IF(AND('341-CT'!$E$9=H3467,OR(LEFT(L3467,3)=$X$7,LEFT(M3467,3)=$X$7)),"x","")</f>
        <v/>
      </c>
      <c r="Y3467" s="525" t="str">
        <f>IF(OR(TH!L3467=TH!$Y$7,M3467=TH!$Y$7),"x","")</f>
        <v/>
      </c>
      <c r="Z3467" s="525" t="str">
        <f>IF(AND(B3467&lt;=NKC!$N$8,B3467&gt;=NKC!$M$8),"x","")</f>
        <v/>
      </c>
      <c r="AA3467" s="535"/>
      <c r="AB3467" s="536"/>
      <c r="AC3467" s="536" t="str">
        <f>VLOOKUP(F3467,NXT!$B$12:$B$686,1,0)</f>
        <v>Thùng 51.2x51.2x54.2</v>
      </c>
      <c r="AD3467" s="536"/>
    </row>
    <row r="3468" spans="1:30" s="503" customFormat="1" ht="15.75" customHeight="1">
      <c r="A3468" s="517" t="str">
        <f>IF(B3468&lt;&gt;"",IF(AND(B3468&gt;=_TM1,B3468&lt;=_TM2,OR(TH!L3468="1111",TH!M3468="1111")),TH!D3468,""),"")</f>
        <v/>
      </c>
      <c r="B3468" s="531">
        <f t="shared" si="353"/>
        <v>7</v>
      </c>
      <c r="C3468" s="315">
        <f t="shared" si="352"/>
        <v>42940</v>
      </c>
      <c r="D3468" s="544" t="s">
        <v>1181</v>
      </c>
      <c r="E3468" s="544">
        <v>42940</v>
      </c>
      <c r="F3468" s="250" t="s">
        <v>1336</v>
      </c>
      <c r="G3468" s="314" t="s">
        <v>1310</v>
      </c>
      <c r="H3468" s="473" t="s">
        <v>284</v>
      </c>
      <c r="I3468" s="307">
        <v>200</v>
      </c>
      <c r="J3468" s="307">
        <v>42787.973200000008</v>
      </c>
      <c r="K3468" s="532">
        <f t="shared" si="354"/>
        <v>8557595</v>
      </c>
      <c r="L3468" s="534" t="s">
        <v>223</v>
      </c>
      <c r="M3468" s="534" t="s">
        <v>162</v>
      </c>
      <c r="N3468" s="525" t="str">
        <f>IF(AND('331-CT'!$E$7=TH!H3468,OR(L3468="331",M3468="331")),"331",IF(AND(OR(L3468="131",M3468="131"),H3468='131-CT'!$E$7),"131",""))</f>
        <v/>
      </c>
      <c r="O3468" s="525" t="str">
        <f>IF(AND($B3468&gt;='111'!$N$11,$B3468&lt;='111'!$O$11,OR($L3468=$O$7,$M3468=$O$7)),"x","")</f>
        <v/>
      </c>
      <c r="P3468" s="525" t="str">
        <f>IF(AND($L3468=$O$7,$B3468&lt;'111'!$N$11),"x","")</f>
        <v/>
      </c>
      <c r="Q3468" s="525" t="str">
        <f>IF(AND($M3468=$O$7,$B3468&lt;'111'!$N$11),"x","")</f>
        <v/>
      </c>
      <c r="R3468" s="525" t="str">
        <f>IF(ISERROR(FIND('112'!$M$9,G3468,1)),"",IF((AND(FIND('112'!$M$9,G3468,1)&gt;=1,$B3468&gt;='112'!$N$8,$B3468&lt;='112'!$O$8,OR($L3468='112'!$I$6,$M3468='112'!$I$6))),"x",""))</f>
        <v/>
      </c>
      <c r="S3468" s="525" t="str">
        <f>IF(ISERROR(FIND('112'!$M$9,G3468,1)),"",IF((AND(LEFT(G3468,2)=LEFT('112'!$M$9,2),B3468&lt;'112'!$N$8,$L3468='112'!$I$6)),"x",""))</f>
        <v/>
      </c>
      <c r="T3468" s="525" t="str">
        <f>IF(ISERROR(FIND('112'!$M$9,G3468,1)),"",IF((AND(RIGHT(G3468,2)=RIGHT('112'!$M$9,2),B3468&lt;'112'!$N$8,$M3468='112'!$I$6)),"x",""))</f>
        <v/>
      </c>
      <c r="U3468" s="525" t="str">
        <f>IF(AND(B3468&gt;='IN-NX'!$P$3,B3468&lt;='IN-NX'!$Q$3,'IN-NX'!$D$7=D3468,OR(LEFT(L3468,2)="15",AND(LEFT(M3468,2)&lt;&gt;"15",LEFT(M3468,2)&lt;&gt;"33"))),"x","")</f>
        <v/>
      </c>
      <c r="V3468" s="525" t="str">
        <f>IF(AND(OR(LEFT(TH!L3468,2)="15",LEFT(TH!M3468,2)="15"),'152-CT'!$J$8=TH!F3468),"x","")</f>
        <v/>
      </c>
      <c r="W3468" s="525" t="str">
        <f>IF(AND(OR(LEFT(TH!L3468,2)="15",LEFT(TH!M3468,2)="15"),TK!$E$7=TH!F3468),"x","")</f>
        <v/>
      </c>
      <c r="X3468" s="525" t="str">
        <f>IF(AND('341-CT'!$E$9=H3468,OR(LEFT(L3468,3)=$X$7,LEFT(M3468,3)=$X$7)),"x","")</f>
        <v/>
      </c>
      <c r="Y3468" s="525" t="str">
        <f>IF(OR(TH!L3468=TH!$Y$7,M3468=TH!$Y$7),"x","")</f>
        <v/>
      </c>
      <c r="Z3468" s="525" t="str">
        <f>IF(AND(B3468&lt;=NKC!$N$8,B3468&gt;=NKC!$M$8),"x","")</f>
        <v/>
      </c>
      <c r="AA3468" s="535"/>
      <c r="AB3468" s="536"/>
      <c r="AC3468" s="536" t="str">
        <f>VLOOKUP(F3468,NXT!$B$12:$B$686,1,0)</f>
        <v>Thùng 50.2x50.2x54.2</v>
      </c>
      <c r="AD3468" s="536"/>
    </row>
    <row r="3469" spans="1:30" s="503" customFormat="1" ht="15.75" customHeight="1">
      <c r="A3469" s="517" t="str">
        <f>IF(B3469&lt;&gt;"",IF(AND(B3469&gt;=_TM1,B3469&lt;=_TM2,OR(TH!L3469="1111",TH!M3469="1111")),TH!D3469,""),"")</f>
        <v/>
      </c>
      <c r="B3469" s="531">
        <f t="shared" si="353"/>
        <v>7</v>
      </c>
      <c r="C3469" s="315">
        <f t="shared" si="352"/>
        <v>42940</v>
      </c>
      <c r="D3469" s="544" t="s">
        <v>1181</v>
      </c>
      <c r="E3469" s="544">
        <v>42940</v>
      </c>
      <c r="F3469" s="250" t="s">
        <v>1337</v>
      </c>
      <c r="G3469" s="314" t="s">
        <v>1310</v>
      </c>
      <c r="H3469" s="473" t="s">
        <v>284</v>
      </c>
      <c r="I3469" s="307">
        <v>232</v>
      </c>
      <c r="J3469" s="307">
        <v>41588.82420000001</v>
      </c>
      <c r="K3469" s="532">
        <f t="shared" si="354"/>
        <v>9648607</v>
      </c>
      <c r="L3469" s="534" t="s">
        <v>223</v>
      </c>
      <c r="M3469" s="534" t="s">
        <v>162</v>
      </c>
      <c r="N3469" s="525" t="str">
        <f>IF(AND('331-CT'!$E$7=TH!H3469,OR(L3469="331",M3469="331")),"331",IF(AND(OR(L3469="131",M3469="131"),H3469='131-CT'!$E$7),"131",""))</f>
        <v/>
      </c>
      <c r="O3469" s="525" t="str">
        <f>IF(AND($B3469&gt;='111'!$N$11,$B3469&lt;='111'!$O$11,OR($L3469=$O$7,$M3469=$O$7)),"x","")</f>
        <v/>
      </c>
      <c r="P3469" s="525" t="str">
        <f>IF(AND($L3469=$O$7,$B3469&lt;'111'!$N$11),"x","")</f>
        <v/>
      </c>
      <c r="Q3469" s="525" t="str">
        <f>IF(AND($M3469=$O$7,$B3469&lt;'111'!$N$11),"x","")</f>
        <v/>
      </c>
      <c r="R3469" s="525" t="str">
        <f>IF(ISERROR(FIND('112'!$M$9,G3469,1)),"",IF((AND(FIND('112'!$M$9,G3469,1)&gt;=1,$B3469&gt;='112'!$N$8,$B3469&lt;='112'!$O$8,OR($L3469='112'!$I$6,$M3469='112'!$I$6))),"x",""))</f>
        <v/>
      </c>
      <c r="S3469" s="525" t="str">
        <f>IF(ISERROR(FIND('112'!$M$9,G3469,1)),"",IF((AND(LEFT(G3469,2)=LEFT('112'!$M$9,2),B3469&lt;'112'!$N$8,$L3469='112'!$I$6)),"x",""))</f>
        <v/>
      </c>
      <c r="T3469" s="525" t="str">
        <f>IF(ISERROR(FIND('112'!$M$9,G3469,1)),"",IF((AND(RIGHT(G3469,2)=RIGHT('112'!$M$9,2),B3469&lt;'112'!$N$8,$M3469='112'!$I$6)),"x",""))</f>
        <v/>
      </c>
      <c r="U3469" s="525" t="str">
        <f>IF(AND(B3469&gt;='IN-NX'!$P$3,B3469&lt;='IN-NX'!$Q$3,'IN-NX'!$D$7=D3469,OR(LEFT(L3469,2)="15",AND(LEFT(M3469,2)&lt;&gt;"15",LEFT(M3469,2)&lt;&gt;"33"))),"x","")</f>
        <v/>
      </c>
      <c r="V3469" s="525" t="str">
        <f>IF(AND(OR(LEFT(TH!L3469,2)="15",LEFT(TH!M3469,2)="15"),'152-CT'!$J$8=TH!F3469),"x","")</f>
        <v/>
      </c>
      <c r="W3469" s="525" t="str">
        <f>IF(AND(OR(LEFT(TH!L3469,2)="15",LEFT(TH!M3469,2)="15"),TK!$E$7=TH!F3469),"x","")</f>
        <v/>
      </c>
      <c r="X3469" s="525" t="str">
        <f>IF(AND('341-CT'!$E$9=H3469,OR(LEFT(L3469,3)=$X$7,LEFT(M3469,3)=$X$7)),"x","")</f>
        <v/>
      </c>
      <c r="Y3469" s="525" t="str">
        <f>IF(OR(TH!L3469=TH!$Y$7,M3469=TH!$Y$7),"x","")</f>
        <v/>
      </c>
      <c r="Z3469" s="525" t="str">
        <f>IF(AND(B3469&lt;=NKC!$N$8,B3469&gt;=NKC!$M$8),"x","")</f>
        <v/>
      </c>
      <c r="AA3469" s="535"/>
      <c r="AB3469" s="536"/>
      <c r="AC3469" s="536" t="str">
        <f>VLOOKUP(F3469,NXT!$B$12:$B$686,1,0)</f>
        <v>Thùng 49.2x49.2x54.2</v>
      </c>
      <c r="AD3469" s="536"/>
    </row>
    <row r="3470" spans="1:30" s="503" customFormat="1" ht="15.75" customHeight="1">
      <c r="A3470" s="517" t="str">
        <f>IF(B3470&lt;&gt;"",IF(AND(B3470&gt;=_TM1,B3470&lt;=_TM2,OR(TH!L3470="1111",TH!M3470="1111")),TH!D3470,""),"")</f>
        <v/>
      </c>
      <c r="B3470" s="531">
        <f t="shared" si="353"/>
        <v>7</v>
      </c>
      <c r="C3470" s="315">
        <f t="shared" si="352"/>
        <v>42940</v>
      </c>
      <c r="D3470" s="544" t="s">
        <v>1181</v>
      </c>
      <c r="E3470" s="544">
        <v>42940</v>
      </c>
      <c r="F3470" s="250" t="s">
        <v>1338</v>
      </c>
      <c r="G3470" s="314" t="s">
        <v>1310</v>
      </c>
      <c r="H3470" s="473" t="s">
        <v>284</v>
      </c>
      <c r="I3470" s="307">
        <v>136</v>
      </c>
      <c r="J3470" s="307">
        <v>20369.972525000001</v>
      </c>
      <c r="K3470" s="532">
        <f t="shared" si="354"/>
        <v>2770316</v>
      </c>
      <c r="L3470" s="534" t="s">
        <v>223</v>
      </c>
      <c r="M3470" s="534" t="s">
        <v>162</v>
      </c>
      <c r="N3470" s="525" t="str">
        <f>IF(AND('331-CT'!$E$7=TH!H3470,OR(L3470="331",M3470="331")),"331",IF(AND(OR(L3470="131",M3470="131"),H3470='131-CT'!$E$7),"131",""))</f>
        <v/>
      </c>
      <c r="O3470" s="525" t="str">
        <f>IF(AND($B3470&gt;='111'!$N$11,$B3470&lt;='111'!$O$11,OR($L3470=$O$7,$M3470=$O$7)),"x","")</f>
        <v/>
      </c>
      <c r="P3470" s="525" t="str">
        <f>IF(AND($L3470=$O$7,$B3470&lt;'111'!$N$11),"x","")</f>
        <v/>
      </c>
      <c r="Q3470" s="525" t="str">
        <f>IF(AND($M3470=$O$7,$B3470&lt;'111'!$N$11),"x","")</f>
        <v/>
      </c>
      <c r="R3470" s="525" t="str">
        <f>IF(ISERROR(FIND('112'!$M$9,G3470,1)),"",IF((AND(FIND('112'!$M$9,G3470,1)&gt;=1,$B3470&gt;='112'!$N$8,$B3470&lt;='112'!$O$8,OR($L3470='112'!$I$6,$M3470='112'!$I$6))),"x",""))</f>
        <v/>
      </c>
      <c r="S3470" s="525" t="str">
        <f>IF(ISERROR(FIND('112'!$M$9,G3470,1)),"",IF((AND(LEFT(G3470,2)=LEFT('112'!$M$9,2),B3470&lt;'112'!$N$8,$L3470='112'!$I$6)),"x",""))</f>
        <v/>
      </c>
      <c r="T3470" s="525" t="str">
        <f>IF(ISERROR(FIND('112'!$M$9,G3470,1)),"",IF((AND(RIGHT(G3470,2)=RIGHT('112'!$M$9,2),B3470&lt;'112'!$N$8,$M3470='112'!$I$6)),"x",""))</f>
        <v/>
      </c>
      <c r="U3470" s="525" t="str">
        <f>IF(AND(B3470&gt;='IN-NX'!$P$3,B3470&lt;='IN-NX'!$Q$3,'IN-NX'!$D$7=D3470,OR(LEFT(L3470,2)="15",AND(LEFT(M3470,2)&lt;&gt;"15",LEFT(M3470,2)&lt;&gt;"33"))),"x","")</f>
        <v/>
      </c>
      <c r="V3470" s="525" t="str">
        <f>IF(AND(OR(LEFT(TH!L3470,2)="15",LEFT(TH!M3470,2)="15"),'152-CT'!$J$8=TH!F3470),"x","")</f>
        <v/>
      </c>
      <c r="W3470" s="525" t="str">
        <f>IF(AND(OR(LEFT(TH!L3470,2)="15",LEFT(TH!M3470,2)="15"),TK!$E$7=TH!F3470),"x","")</f>
        <v/>
      </c>
      <c r="X3470" s="525" t="str">
        <f>IF(AND('341-CT'!$E$9=H3470,OR(LEFT(L3470,3)=$X$7,LEFT(M3470,3)=$X$7)),"x","")</f>
        <v/>
      </c>
      <c r="Y3470" s="525" t="str">
        <f>IF(OR(TH!L3470=TH!$Y$7,M3470=TH!$Y$7),"x","")</f>
        <v/>
      </c>
      <c r="Z3470" s="525" t="str">
        <f>IF(AND(B3470&lt;=NKC!$N$8,B3470&gt;=NKC!$M$8),"x","")</f>
        <v/>
      </c>
      <c r="AA3470" s="535"/>
      <c r="AB3470" s="536"/>
      <c r="AC3470" s="536" t="str">
        <f>VLOOKUP(F3470,NXT!$B$12:$B$686,1,0)</f>
        <v>Thùng 56.3x56.3x22</v>
      </c>
      <c r="AD3470" s="536"/>
    </row>
    <row r="3471" spans="1:30" s="503" customFormat="1" ht="15.75" customHeight="1">
      <c r="A3471" s="517" t="str">
        <f>IF(B3471&lt;&gt;"",IF(AND(B3471&gt;=_TM1,B3471&lt;=_TM2,OR(TH!L3471="1111",TH!M3471="1111")),TH!D3471,""),"")</f>
        <v/>
      </c>
      <c r="B3471" s="531">
        <f t="shared" si="353"/>
        <v>7</v>
      </c>
      <c r="C3471" s="315">
        <f t="shared" si="352"/>
        <v>42940</v>
      </c>
      <c r="D3471" s="544" t="s">
        <v>1181</v>
      </c>
      <c r="E3471" s="544">
        <v>42940</v>
      </c>
      <c r="F3471" s="250" t="s">
        <v>1339</v>
      </c>
      <c r="G3471" s="314" t="s">
        <v>1310</v>
      </c>
      <c r="H3471" s="473" t="s">
        <v>284</v>
      </c>
      <c r="I3471" s="307">
        <v>136</v>
      </c>
      <c r="J3471" s="307">
        <v>21639.078125000004</v>
      </c>
      <c r="K3471" s="532">
        <f t="shared" si="354"/>
        <v>2942915</v>
      </c>
      <c r="L3471" s="534" t="s">
        <v>223</v>
      </c>
      <c r="M3471" s="534" t="s">
        <v>162</v>
      </c>
      <c r="N3471" s="525" t="str">
        <f>IF(AND('331-CT'!$E$7=TH!H3471,OR(L3471="331",M3471="331")),"331",IF(AND(OR(L3471="131",M3471="131"),H3471='131-CT'!$E$7),"131",""))</f>
        <v/>
      </c>
      <c r="O3471" s="525" t="str">
        <f>IF(AND($B3471&gt;='111'!$N$11,$B3471&lt;='111'!$O$11,OR($L3471=$O$7,$M3471=$O$7)),"x","")</f>
        <v/>
      </c>
      <c r="P3471" s="525" t="str">
        <f>IF(AND($L3471=$O$7,$B3471&lt;'111'!$N$11),"x","")</f>
        <v/>
      </c>
      <c r="Q3471" s="525" t="str">
        <f>IF(AND($M3471=$O$7,$B3471&lt;'111'!$N$11),"x","")</f>
        <v/>
      </c>
      <c r="R3471" s="525" t="str">
        <f>IF(ISERROR(FIND('112'!$M$9,G3471,1)),"",IF((AND(FIND('112'!$M$9,G3471,1)&gt;=1,$B3471&gt;='112'!$N$8,$B3471&lt;='112'!$O$8,OR($L3471='112'!$I$6,$M3471='112'!$I$6))),"x",""))</f>
        <v/>
      </c>
      <c r="S3471" s="525" t="str">
        <f>IF(ISERROR(FIND('112'!$M$9,G3471,1)),"",IF((AND(LEFT(G3471,2)=LEFT('112'!$M$9,2),B3471&lt;'112'!$N$8,$L3471='112'!$I$6)),"x",""))</f>
        <v/>
      </c>
      <c r="T3471" s="525" t="str">
        <f>IF(ISERROR(FIND('112'!$M$9,G3471,1)),"",IF((AND(RIGHT(G3471,2)=RIGHT('112'!$M$9,2),B3471&lt;'112'!$N$8,$M3471='112'!$I$6)),"x",""))</f>
        <v/>
      </c>
      <c r="U3471" s="525" t="str">
        <f>IF(AND(B3471&gt;='IN-NX'!$P$3,B3471&lt;='IN-NX'!$Q$3,'IN-NX'!$D$7=D3471,OR(LEFT(L3471,2)="15",AND(LEFT(M3471,2)&lt;&gt;"15",LEFT(M3471,2)&lt;&gt;"33"))),"x","")</f>
        <v/>
      </c>
      <c r="V3471" s="525" t="str">
        <f>IF(AND(OR(LEFT(TH!L3471,2)="15",LEFT(TH!M3471,2)="15"),'152-CT'!$J$8=TH!F3471),"x","")</f>
        <v/>
      </c>
      <c r="W3471" s="525" t="str">
        <f>IF(AND(OR(LEFT(TH!L3471,2)="15",LEFT(TH!M3471,2)="15"),TK!$E$7=TH!F3471),"x","")</f>
        <v/>
      </c>
      <c r="X3471" s="525" t="str">
        <f>IF(AND('341-CT'!$E$9=H3471,OR(LEFT(L3471,3)=$X$7,LEFT(M3471,3)=$X$7)),"x","")</f>
        <v/>
      </c>
      <c r="Y3471" s="525" t="str">
        <f>IF(OR(TH!L3471=TH!$Y$7,M3471=TH!$Y$7),"x","")</f>
        <v/>
      </c>
      <c r="Z3471" s="525" t="str">
        <f>IF(AND(B3471&lt;=NKC!$N$8,B3471&gt;=NKC!$M$8),"x","")</f>
        <v/>
      </c>
      <c r="AA3471" s="535"/>
      <c r="AB3471" s="536"/>
      <c r="AC3471" s="536" t="str">
        <f>VLOOKUP(F3471,NXT!$B$12:$B$686,1,0)</f>
        <v>Thùng 57.5x57.5x23</v>
      </c>
      <c r="AD3471" s="536"/>
    </row>
    <row r="3472" spans="1:30" s="503" customFormat="1" ht="15.75" customHeight="1">
      <c r="A3472" s="517" t="str">
        <f>IF(B3472&lt;&gt;"",IF(AND(B3472&gt;=_TM1,B3472&lt;=_TM2,OR(TH!L3472="1111",TH!M3472="1111")),TH!D3472,""),"")</f>
        <v/>
      </c>
      <c r="B3472" s="531">
        <f t="shared" si="353"/>
        <v>7</v>
      </c>
      <c r="C3472" s="315">
        <f t="shared" si="352"/>
        <v>42940</v>
      </c>
      <c r="D3472" s="544" t="s">
        <v>1181</v>
      </c>
      <c r="E3472" s="544">
        <v>42940</v>
      </c>
      <c r="F3472" s="249" t="s">
        <v>494</v>
      </c>
      <c r="G3472" s="314" t="s">
        <v>1310</v>
      </c>
      <c r="H3472" s="473" t="s">
        <v>284</v>
      </c>
      <c r="I3472" s="307"/>
      <c r="J3472" s="307"/>
      <c r="K3472" s="532">
        <v>6615550</v>
      </c>
      <c r="L3472" s="534" t="s">
        <v>223</v>
      </c>
      <c r="M3472" s="534" t="s">
        <v>259</v>
      </c>
      <c r="N3472" s="525" t="str">
        <f>IF(AND('331-CT'!$E$7=TH!H3472,OR(L3472="331",M3472="331")),"331",IF(AND(OR(L3472="131",M3472="131"),H3472='131-CT'!$E$7),"131",""))</f>
        <v/>
      </c>
      <c r="O3472" s="525" t="str">
        <f>IF(AND($B3472&gt;='111'!$N$11,$B3472&lt;='111'!$O$11,OR($L3472=$O$7,$M3472=$O$7)),"x","")</f>
        <v/>
      </c>
      <c r="P3472" s="525" t="str">
        <f>IF(AND($L3472=$O$7,$B3472&lt;'111'!$N$11),"x","")</f>
        <v/>
      </c>
      <c r="Q3472" s="525" t="str">
        <f>IF(AND($M3472=$O$7,$B3472&lt;'111'!$N$11),"x","")</f>
        <v/>
      </c>
      <c r="R3472" s="525" t="str">
        <f>IF(ISERROR(FIND('112'!$M$9,G3472,1)),"",IF((AND(FIND('112'!$M$9,G3472,1)&gt;=1,$B3472&gt;='112'!$N$8,$B3472&lt;='112'!$O$8,OR($L3472='112'!$I$6,$M3472='112'!$I$6))),"x",""))</f>
        <v/>
      </c>
      <c r="S3472" s="525" t="str">
        <f>IF(ISERROR(FIND('112'!$M$9,G3472,1)),"",IF((AND(LEFT(G3472,2)=LEFT('112'!$M$9,2),B3472&lt;'112'!$N$8,$L3472='112'!$I$6)),"x",""))</f>
        <v/>
      </c>
      <c r="T3472" s="525" t="str">
        <f>IF(ISERROR(FIND('112'!$M$9,G3472,1)),"",IF((AND(RIGHT(G3472,2)=RIGHT('112'!$M$9,2),B3472&lt;'112'!$N$8,$M3472='112'!$I$6)),"x",""))</f>
        <v/>
      </c>
      <c r="U3472" s="525" t="str">
        <f>IF(AND(B3472&gt;='IN-NX'!$P$3,B3472&lt;='IN-NX'!$Q$3,'IN-NX'!$D$7=D3472,OR(LEFT(L3472,2)="15",AND(LEFT(M3472,2)&lt;&gt;"15",LEFT(M3472,2)&lt;&gt;"33"))),"x","")</f>
        <v/>
      </c>
      <c r="V3472" s="525" t="str">
        <f>IF(AND(OR(LEFT(TH!L3472,2)="15",LEFT(TH!M3472,2)="15"),'152-CT'!$J$8=TH!F3472),"x","")</f>
        <v/>
      </c>
      <c r="W3472" s="525" t="str">
        <f>IF(AND(OR(LEFT(TH!L3472,2)="15",LEFT(TH!M3472,2)="15"),TK!$E$7=TH!F3472),"x","")</f>
        <v/>
      </c>
      <c r="X3472" s="525" t="str">
        <f>IF(AND('341-CT'!$E$9=H3472,OR(LEFT(L3472,3)=$X$7,LEFT(M3472,3)=$X$7)),"x","")</f>
        <v/>
      </c>
      <c r="Y3472" s="525" t="str">
        <f>IF(OR(TH!L3472=TH!$Y$7,M3472=TH!$Y$7),"x","")</f>
        <v/>
      </c>
      <c r="Z3472" s="525" t="str">
        <f>IF(AND(B3472&lt;=NKC!$N$8,B3472&gt;=NKC!$M$8),"x","")</f>
        <v/>
      </c>
      <c r="AA3472" s="535"/>
      <c r="AD3472" s="536"/>
    </row>
    <row r="3473" spans="1:30" s="503" customFormat="1" ht="15.75" customHeight="1">
      <c r="A3473" s="517" t="str">
        <f>IF(B3473&lt;&gt;"",IF(AND(B3473&gt;=_TM1,B3473&lt;=_TM2,OR(TH!L3473="1111",TH!M3473="1111")),TH!D3473,""),"")</f>
        <v/>
      </c>
      <c r="B3473" s="531">
        <f t="shared" si="353"/>
        <v>7</v>
      </c>
      <c r="C3473" s="315">
        <f t="shared" si="352"/>
        <v>42942</v>
      </c>
      <c r="D3473" s="544" t="s">
        <v>1181</v>
      </c>
      <c r="E3473" s="288">
        <v>42942</v>
      </c>
      <c r="F3473" s="250" t="s">
        <v>1316</v>
      </c>
      <c r="G3473" s="314" t="s">
        <v>1315</v>
      </c>
      <c r="H3473" s="473" t="s">
        <v>1309</v>
      </c>
      <c r="I3473" s="307">
        <v>600</v>
      </c>
      <c r="J3473" s="307">
        <v>13754</v>
      </c>
      <c r="K3473" s="532">
        <f>ROUND(I3473*J3473,0)</f>
        <v>8252400</v>
      </c>
      <c r="L3473" s="534" t="s">
        <v>223</v>
      </c>
      <c r="M3473" s="534" t="s">
        <v>162</v>
      </c>
      <c r="N3473" s="525" t="str">
        <f>IF(AND('331-CT'!$E$7=TH!H3473,OR(L3473="331",M3473="331")),"331",IF(AND(OR(L3473="131",M3473="131"),H3473='131-CT'!$E$7),"131",""))</f>
        <v/>
      </c>
      <c r="O3473" s="525" t="str">
        <f>IF(AND($B3473&gt;='111'!$N$11,$B3473&lt;='111'!$O$11,OR($L3473=$O$7,$M3473=$O$7)),"x","")</f>
        <v/>
      </c>
      <c r="P3473" s="525" t="str">
        <f>IF(AND($L3473=$O$7,$B3473&lt;'111'!$N$11),"x","")</f>
        <v/>
      </c>
      <c r="Q3473" s="525" t="str">
        <f>IF(AND($M3473=$O$7,$B3473&lt;'111'!$N$11),"x","")</f>
        <v/>
      </c>
      <c r="R3473" s="525" t="str">
        <f>IF(ISERROR(FIND('112'!$M$9,G3473,1)),"",IF((AND(FIND('112'!$M$9,G3473,1)&gt;=1,$B3473&gt;='112'!$N$8,$B3473&lt;='112'!$O$8,OR($L3473='112'!$I$6,$M3473='112'!$I$6))),"x",""))</f>
        <v/>
      </c>
      <c r="S3473" s="525" t="str">
        <f>IF(ISERROR(FIND('112'!$M$9,G3473,1)),"",IF((AND(LEFT(G3473,2)=LEFT('112'!$M$9,2),B3473&lt;'112'!$N$8,$L3473='112'!$I$6)),"x",""))</f>
        <v/>
      </c>
      <c r="T3473" s="525" t="str">
        <f>IF(ISERROR(FIND('112'!$M$9,G3473,1)),"",IF((AND(RIGHT(G3473,2)=RIGHT('112'!$M$9,2),B3473&lt;'112'!$N$8,$M3473='112'!$I$6)),"x",""))</f>
        <v/>
      </c>
      <c r="U3473" s="525" t="str">
        <f>IF(AND(B3473&gt;='IN-NX'!$P$3,B3473&lt;='IN-NX'!$Q$3,'IN-NX'!$D$7=D3473,OR(LEFT(L3473,2)="15",AND(LEFT(M3473,2)&lt;&gt;"15",LEFT(M3473,2)&lt;&gt;"33"))),"x","")</f>
        <v/>
      </c>
      <c r="V3473" s="525" t="str">
        <f>IF(AND(OR(LEFT(TH!L3473,2)="15",LEFT(TH!M3473,2)="15"),'152-CT'!$J$8=TH!F3473),"x","")</f>
        <v/>
      </c>
      <c r="W3473" s="525" t="str">
        <f>IF(AND(OR(LEFT(TH!L3473,2)="15",LEFT(TH!M3473,2)="15"),TK!$E$7=TH!F3473),"x","")</f>
        <v/>
      </c>
      <c r="X3473" s="525" t="str">
        <f>IF(AND('341-CT'!$E$9=H3473,OR(LEFT(L3473,3)=$X$7,LEFT(M3473,3)=$X$7)),"x","")</f>
        <v/>
      </c>
      <c r="Y3473" s="525" t="str">
        <f>IF(OR(TH!L3473=TH!$Y$7,M3473=TH!$Y$7),"x","")</f>
        <v/>
      </c>
      <c r="Z3473" s="525" t="str">
        <f>IF(AND(B3473&lt;=NKC!$N$8,B3473&gt;=NKC!$M$8),"x","")</f>
        <v/>
      </c>
      <c r="AA3473" s="535"/>
      <c r="AC3473" s="536" t="str">
        <f>VLOOKUP(F3473,NXT!$B$12:$B$686,1,0)</f>
        <v>Thùng 183x19.2x8.2</v>
      </c>
    </row>
    <row r="3474" spans="1:30" s="503" customFormat="1" ht="15.75" customHeight="1">
      <c r="A3474" s="517" t="str">
        <f>IF(B3474&lt;&gt;"",IF(AND(B3474&gt;=_TM1,B3474&lt;=_TM2,OR(TH!L3474="1111",TH!M3474="1111")),TH!D3474,""),"")</f>
        <v/>
      </c>
      <c r="B3474" s="531">
        <f t="shared" si="353"/>
        <v>7</v>
      </c>
      <c r="C3474" s="315">
        <f t="shared" si="352"/>
        <v>42942</v>
      </c>
      <c r="D3474" s="544" t="s">
        <v>1181</v>
      </c>
      <c r="E3474" s="288">
        <v>42942</v>
      </c>
      <c r="F3474" s="250" t="s">
        <v>1321</v>
      </c>
      <c r="G3474" s="314" t="s">
        <v>1315</v>
      </c>
      <c r="H3474" s="473" t="s">
        <v>1309</v>
      </c>
      <c r="I3474" s="307">
        <v>112</v>
      </c>
      <c r="J3474" s="307">
        <v>12690</v>
      </c>
      <c r="K3474" s="532">
        <f>ROUND(I3474*J3474,0)</f>
        <v>1421280</v>
      </c>
      <c r="L3474" s="534" t="s">
        <v>223</v>
      </c>
      <c r="M3474" s="534" t="s">
        <v>162</v>
      </c>
      <c r="N3474" s="525" t="str">
        <f>IF(AND('331-CT'!$E$7=TH!H3474,OR(L3474="331",M3474="331")),"331",IF(AND(OR(L3474="131",M3474="131"),H3474='131-CT'!$E$7),"131",""))</f>
        <v/>
      </c>
      <c r="O3474" s="525" t="str">
        <f>IF(AND($B3474&gt;='111'!$N$11,$B3474&lt;='111'!$O$11,OR($L3474=$O$7,$M3474=$O$7)),"x","")</f>
        <v/>
      </c>
      <c r="P3474" s="525" t="str">
        <f>IF(AND($L3474=$O$7,$B3474&lt;'111'!$N$11),"x","")</f>
        <v/>
      </c>
      <c r="Q3474" s="525" t="str">
        <f>IF(AND($M3474=$O$7,$B3474&lt;'111'!$N$11),"x","")</f>
        <v/>
      </c>
      <c r="R3474" s="525" t="str">
        <f>IF(ISERROR(FIND('112'!$M$9,G3474,1)),"",IF((AND(FIND('112'!$M$9,G3474,1)&gt;=1,$B3474&gt;='112'!$N$8,$B3474&lt;='112'!$O$8,OR($L3474='112'!$I$6,$M3474='112'!$I$6))),"x",""))</f>
        <v/>
      </c>
      <c r="S3474" s="525" t="str">
        <f>IF(ISERROR(FIND('112'!$M$9,G3474,1)),"",IF((AND(LEFT(G3474,2)=LEFT('112'!$M$9,2),B3474&lt;'112'!$N$8,$L3474='112'!$I$6)),"x",""))</f>
        <v/>
      </c>
      <c r="T3474" s="525" t="str">
        <f>IF(ISERROR(FIND('112'!$M$9,G3474,1)),"",IF((AND(RIGHT(G3474,2)=RIGHT('112'!$M$9,2),B3474&lt;'112'!$N$8,$M3474='112'!$I$6)),"x",""))</f>
        <v/>
      </c>
      <c r="U3474" s="525" t="str">
        <f>IF(AND(B3474&gt;='IN-NX'!$P$3,B3474&lt;='IN-NX'!$Q$3,'IN-NX'!$D$7=D3474,OR(LEFT(L3474,2)="15",AND(LEFT(M3474,2)&lt;&gt;"15",LEFT(M3474,2)&lt;&gt;"33"))),"x","")</f>
        <v/>
      </c>
      <c r="V3474" s="525" t="str">
        <f>IF(AND(OR(LEFT(TH!L3474,2)="15",LEFT(TH!M3474,2)="15"),'152-CT'!$J$8=TH!F3474),"x","")</f>
        <v/>
      </c>
      <c r="W3474" s="525" t="str">
        <f>IF(AND(OR(LEFT(TH!L3474,2)="15",LEFT(TH!M3474,2)="15"),TK!$E$7=TH!F3474),"x","")</f>
        <v/>
      </c>
      <c r="X3474" s="525" t="str">
        <f>IF(AND('341-CT'!$E$9=H3474,OR(LEFT(L3474,3)=$X$7,LEFT(M3474,3)=$X$7)),"x","")</f>
        <v/>
      </c>
      <c r="Y3474" s="525" t="str">
        <f>IF(OR(TH!L3474=TH!$Y$7,M3474=TH!$Y$7),"x","")</f>
        <v/>
      </c>
      <c r="Z3474" s="525" t="str">
        <f>IF(AND(B3474&lt;=NKC!$N$8,B3474&gt;=NKC!$M$8),"x","")</f>
        <v/>
      </c>
      <c r="AA3474" s="535"/>
      <c r="AB3474" s="536"/>
      <c r="AC3474" s="536" t="str">
        <f>VLOOKUP(F3474,NXT!$B$12:$B$686,1,0)</f>
        <v>Thùng 183x12.9x11.4</v>
      </c>
    </row>
    <row r="3475" spans="1:30" s="503" customFormat="1" ht="15.75" customHeight="1">
      <c r="A3475" s="517" t="str">
        <f>IF(B3475&lt;&gt;"",IF(AND(B3475&gt;=_TM1,B3475&lt;=_TM2,OR(TH!L3475="1111",TH!M3475="1111")),TH!D3475,""),"")</f>
        <v/>
      </c>
      <c r="B3475" s="531">
        <f t="shared" si="353"/>
        <v>7</v>
      </c>
      <c r="C3475" s="315">
        <f t="shared" si="352"/>
        <v>42942</v>
      </c>
      <c r="D3475" s="544" t="s">
        <v>1181</v>
      </c>
      <c r="E3475" s="288">
        <v>42942</v>
      </c>
      <c r="F3475" s="249" t="s">
        <v>494</v>
      </c>
      <c r="G3475" s="314" t="s">
        <v>1315</v>
      </c>
      <c r="H3475" s="473" t="s">
        <v>1309</v>
      </c>
      <c r="I3475" s="307"/>
      <c r="J3475" s="307"/>
      <c r="K3475" s="532">
        <v>967368</v>
      </c>
      <c r="L3475" s="534" t="s">
        <v>223</v>
      </c>
      <c r="M3475" s="534" t="s">
        <v>259</v>
      </c>
      <c r="N3475" s="525" t="str">
        <f>IF(AND('331-CT'!$E$7=TH!H3475,OR(L3475="331",M3475="331")),"331",IF(AND(OR(L3475="131",M3475="131"),H3475='131-CT'!$E$7),"131",""))</f>
        <v/>
      </c>
      <c r="O3475" s="525" t="str">
        <f>IF(AND($B3475&gt;='111'!$N$11,$B3475&lt;='111'!$O$11,OR($L3475=$O$7,$M3475=$O$7)),"x","")</f>
        <v/>
      </c>
      <c r="P3475" s="525" t="str">
        <f>IF(AND($L3475=$O$7,$B3475&lt;'111'!$N$11),"x","")</f>
        <v/>
      </c>
      <c r="Q3475" s="525" t="str">
        <f>IF(AND($M3475=$O$7,$B3475&lt;'111'!$N$11),"x","")</f>
        <v/>
      </c>
      <c r="R3475" s="525" t="str">
        <f>IF(ISERROR(FIND('112'!$M$9,G3475,1)),"",IF((AND(FIND('112'!$M$9,G3475,1)&gt;=1,$B3475&gt;='112'!$N$8,$B3475&lt;='112'!$O$8,OR($L3475='112'!$I$6,$M3475='112'!$I$6))),"x",""))</f>
        <v/>
      </c>
      <c r="S3475" s="525" t="str">
        <f>IF(ISERROR(FIND('112'!$M$9,G3475,1)),"",IF((AND(LEFT(G3475,2)=LEFT('112'!$M$9,2),B3475&lt;'112'!$N$8,$L3475='112'!$I$6)),"x",""))</f>
        <v/>
      </c>
      <c r="T3475" s="525" t="str">
        <f>IF(ISERROR(FIND('112'!$M$9,G3475,1)),"",IF((AND(RIGHT(G3475,2)=RIGHT('112'!$M$9,2),B3475&lt;'112'!$N$8,$M3475='112'!$I$6)),"x",""))</f>
        <v/>
      </c>
      <c r="U3475" s="525" t="str">
        <f>IF(AND(B3475&gt;='IN-NX'!$P$3,B3475&lt;='IN-NX'!$Q$3,'IN-NX'!$D$7=D3475,OR(LEFT(L3475,2)="15",AND(LEFT(M3475,2)&lt;&gt;"15",LEFT(M3475,2)&lt;&gt;"33"))),"x","")</f>
        <v/>
      </c>
      <c r="V3475" s="525" t="str">
        <f>IF(AND(OR(LEFT(TH!L3475,2)="15",LEFT(TH!M3475,2)="15"),'152-CT'!$J$8=TH!F3475),"x","")</f>
        <v/>
      </c>
      <c r="W3475" s="525" t="str">
        <f>IF(AND(OR(LEFT(TH!L3475,2)="15",LEFT(TH!M3475,2)="15"),TK!$E$7=TH!F3475),"x","")</f>
        <v/>
      </c>
      <c r="X3475" s="525" t="str">
        <f>IF(AND('341-CT'!$E$9=H3475,OR(LEFT(L3475,3)=$X$7,LEFT(M3475,3)=$X$7)),"x","")</f>
        <v/>
      </c>
      <c r="Y3475" s="525" t="str">
        <f>IF(OR(TH!L3475=TH!$Y$7,M3475=TH!$Y$7),"x","")</f>
        <v/>
      </c>
      <c r="Z3475" s="525" t="str">
        <f>IF(AND(B3475&lt;=NKC!$N$8,B3475&gt;=NKC!$M$8),"x","")</f>
        <v/>
      </c>
      <c r="AA3475" s="535"/>
      <c r="AB3475" s="536"/>
    </row>
    <row r="3476" spans="1:30" s="503" customFormat="1" ht="15.75" customHeight="1">
      <c r="A3476" s="517" t="str">
        <f>IF(B3476&lt;&gt;"",IF(AND(B3476&gt;=_TM1,B3476&lt;=_TM2,OR(TH!L3476="1111",TH!M3476="1111")),TH!D3476,""),"")</f>
        <v/>
      </c>
      <c r="B3476" s="531">
        <f t="shared" si="353"/>
        <v>7</v>
      </c>
      <c r="C3476" s="315">
        <f t="shared" si="352"/>
        <v>42943</v>
      </c>
      <c r="D3476" s="544" t="s">
        <v>1181</v>
      </c>
      <c r="E3476" s="288">
        <v>42943</v>
      </c>
      <c r="F3476" s="250" t="s">
        <v>1321</v>
      </c>
      <c r="G3476" s="314" t="s">
        <v>1317</v>
      </c>
      <c r="H3476" s="473" t="s">
        <v>1309</v>
      </c>
      <c r="I3476" s="307">
        <v>680</v>
      </c>
      <c r="J3476" s="307">
        <v>11035</v>
      </c>
      <c r="K3476" s="532">
        <f>ROUND(I3476*J3476,0)</f>
        <v>7503800</v>
      </c>
      <c r="L3476" s="534" t="s">
        <v>223</v>
      </c>
      <c r="M3476" s="534" t="s">
        <v>162</v>
      </c>
      <c r="N3476" s="525" t="str">
        <f>IF(AND('331-CT'!$E$7=TH!H3476,OR(L3476="331",M3476="331")),"331",IF(AND(OR(L3476="131",M3476="131"),H3476='131-CT'!$E$7),"131",""))</f>
        <v/>
      </c>
      <c r="O3476" s="525" t="str">
        <f>IF(AND($B3476&gt;='111'!$N$11,$B3476&lt;='111'!$O$11,OR($L3476=$O$7,$M3476=$O$7)),"x","")</f>
        <v/>
      </c>
      <c r="P3476" s="525" t="str">
        <f>IF(AND($L3476=$O$7,$B3476&lt;'111'!$N$11),"x","")</f>
        <v/>
      </c>
      <c r="Q3476" s="525" t="str">
        <f>IF(AND($M3476=$O$7,$B3476&lt;'111'!$N$11),"x","")</f>
        <v/>
      </c>
      <c r="R3476" s="525" t="str">
        <f>IF(ISERROR(FIND('112'!$M$9,G3476,1)),"",IF((AND(FIND('112'!$M$9,G3476,1)&gt;=1,$B3476&gt;='112'!$N$8,$B3476&lt;='112'!$O$8,OR($L3476='112'!$I$6,$M3476='112'!$I$6))),"x",""))</f>
        <v/>
      </c>
      <c r="S3476" s="525" t="str">
        <f>IF(ISERROR(FIND('112'!$M$9,G3476,1)),"",IF((AND(LEFT(G3476,2)=LEFT('112'!$M$9,2),B3476&lt;'112'!$N$8,$L3476='112'!$I$6)),"x",""))</f>
        <v/>
      </c>
      <c r="T3476" s="525" t="str">
        <f>IF(ISERROR(FIND('112'!$M$9,G3476,1)),"",IF((AND(RIGHT(G3476,2)=RIGHT('112'!$M$9,2),B3476&lt;'112'!$N$8,$M3476='112'!$I$6)),"x",""))</f>
        <v/>
      </c>
      <c r="U3476" s="525" t="str">
        <f>IF(AND(B3476&gt;='IN-NX'!$P$3,B3476&lt;='IN-NX'!$Q$3,'IN-NX'!$D$7=D3476,OR(LEFT(L3476,2)="15",AND(LEFT(M3476,2)&lt;&gt;"15",LEFT(M3476,2)&lt;&gt;"33"))),"x","")</f>
        <v/>
      </c>
      <c r="V3476" s="525" t="str">
        <f>IF(AND(OR(LEFT(TH!L3476,2)="15",LEFT(TH!M3476,2)="15"),'152-CT'!$J$8=TH!F3476),"x","")</f>
        <v/>
      </c>
      <c r="W3476" s="525" t="str">
        <f>IF(AND(OR(LEFT(TH!L3476,2)="15",LEFT(TH!M3476,2)="15"),TK!$E$7=TH!F3476),"x","")</f>
        <v/>
      </c>
      <c r="X3476" s="525" t="str">
        <f>IF(AND('341-CT'!$E$9=H3476,OR(LEFT(L3476,3)=$X$7,LEFT(M3476,3)=$X$7)),"x","")</f>
        <v/>
      </c>
      <c r="Y3476" s="525" t="str">
        <f>IF(OR(TH!L3476=TH!$Y$7,M3476=TH!$Y$7),"x","")</f>
        <v/>
      </c>
      <c r="Z3476" s="525" t="str">
        <f>IF(AND(B3476&lt;=NKC!$N$8,B3476&gt;=NKC!$M$8),"x","")</f>
        <v/>
      </c>
      <c r="AA3476" s="535"/>
      <c r="AC3476" s="536" t="str">
        <f>VLOOKUP(F3476,NXT!$B$12:$B$686,1,0)</f>
        <v>Thùng 183x12.9x11.4</v>
      </c>
    </row>
    <row r="3477" spans="1:30" s="503" customFormat="1" ht="15.75" customHeight="1">
      <c r="A3477" s="517" t="str">
        <f>IF(B3477&lt;&gt;"",IF(AND(B3477&gt;=_TM1,B3477&lt;=_TM2,OR(TH!L3477="1111",TH!M3477="1111")),TH!D3477,""),"")</f>
        <v/>
      </c>
      <c r="B3477" s="531">
        <f t="shared" si="353"/>
        <v>7</v>
      </c>
      <c r="C3477" s="315">
        <f t="shared" si="352"/>
        <v>42943</v>
      </c>
      <c r="D3477" s="544" t="s">
        <v>1181</v>
      </c>
      <c r="E3477" s="288">
        <v>42943</v>
      </c>
      <c r="F3477" s="249" t="s">
        <v>494</v>
      </c>
      <c r="G3477" s="314" t="s">
        <v>1317</v>
      </c>
      <c r="H3477" s="473" t="s">
        <v>1309</v>
      </c>
      <c r="I3477" s="307"/>
      <c r="J3477" s="307"/>
      <c r="K3477" s="532">
        <v>750380</v>
      </c>
      <c r="L3477" s="534" t="s">
        <v>223</v>
      </c>
      <c r="M3477" s="534" t="s">
        <v>259</v>
      </c>
      <c r="N3477" s="525" t="str">
        <f>IF(AND('331-CT'!$E$7=TH!H3477,OR(L3477="331",M3477="331")),"331",IF(AND(OR(L3477="131",M3477="131"),H3477='131-CT'!$E$7),"131",""))</f>
        <v/>
      </c>
      <c r="O3477" s="525" t="str">
        <f>IF(AND($B3477&gt;='111'!$N$11,$B3477&lt;='111'!$O$11,OR($L3477=$O$7,$M3477=$O$7)),"x","")</f>
        <v/>
      </c>
      <c r="P3477" s="525" t="str">
        <f>IF(AND($L3477=$O$7,$B3477&lt;'111'!$N$11),"x","")</f>
        <v/>
      </c>
      <c r="Q3477" s="525" t="str">
        <f>IF(AND($M3477=$O$7,$B3477&lt;'111'!$N$11),"x","")</f>
        <v/>
      </c>
      <c r="R3477" s="525" t="str">
        <f>IF(ISERROR(FIND('112'!$M$9,G3477,1)),"",IF((AND(FIND('112'!$M$9,G3477,1)&gt;=1,$B3477&gt;='112'!$N$8,$B3477&lt;='112'!$O$8,OR($L3477='112'!$I$6,$M3477='112'!$I$6))),"x",""))</f>
        <v/>
      </c>
      <c r="S3477" s="525" t="str">
        <f>IF(ISERROR(FIND('112'!$M$9,G3477,1)),"",IF((AND(LEFT(G3477,2)=LEFT('112'!$M$9,2),B3477&lt;'112'!$N$8,$L3477='112'!$I$6)),"x",""))</f>
        <v/>
      </c>
      <c r="T3477" s="525" t="str">
        <f>IF(ISERROR(FIND('112'!$M$9,G3477,1)),"",IF((AND(RIGHT(G3477,2)=RIGHT('112'!$M$9,2),B3477&lt;'112'!$N$8,$M3477='112'!$I$6)),"x",""))</f>
        <v/>
      </c>
      <c r="U3477" s="525" t="str">
        <f>IF(AND(B3477&gt;='IN-NX'!$P$3,B3477&lt;='IN-NX'!$Q$3,'IN-NX'!$D$7=D3477,OR(LEFT(L3477,2)="15",AND(LEFT(M3477,2)&lt;&gt;"15",LEFT(M3477,2)&lt;&gt;"33"))),"x","")</f>
        <v/>
      </c>
      <c r="V3477" s="525" t="str">
        <f>IF(AND(OR(LEFT(TH!L3477,2)="15",LEFT(TH!M3477,2)="15"),'152-CT'!$J$8=TH!F3477),"x","")</f>
        <v/>
      </c>
      <c r="W3477" s="525" t="str">
        <f>IF(AND(OR(LEFT(TH!L3477,2)="15",LEFT(TH!M3477,2)="15"),TK!$E$7=TH!F3477),"x","")</f>
        <v/>
      </c>
      <c r="X3477" s="525" t="str">
        <f>IF(AND('341-CT'!$E$9=H3477,OR(LEFT(L3477,3)=$X$7,LEFT(M3477,3)=$X$7)),"x","")</f>
        <v/>
      </c>
      <c r="Y3477" s="525" t="str">
        <f>IF(OR(TH!L3477=TH!$Y$7,M3477=TH!$Y$7),"x","")</f>
        <v/>
      </c>
      <c r="Z3477" s="525" t="str">
        <f>IF(AND(B3477&lt;=NKC!$N$8,B3477&gt;=NKC!$M$8),"x","")</f>
        <v/>
      </c>
      <c r="AA3477" s="535"/>
      <c r="AB3477" s="536"/>
    </row>
    <row r="3478" spans="1:30" s="503" customFormat="1" ht="15.75" customHeight="1">
      <c r="A3478" s="517" t="str">
        <f>IF(B3478&lt;&gt;"",IF(AND(B3478&gt;=_TM1,B3478&lt;=_TM2,OR(TH!L3478="1111",TH!M3478="1111")),TH!D3478,""),"")</f>
        <v/>
      </c>
      <c r="B3478" s="531">
        <f t="shared" si="353"/>
        <v>7</v>
      </c>
      <c r="C3478" s="315">
        <f t="shared" si="352"/>
        <v>42943</v>
      </c>
      <c r="D3478" s="544" t="s">
        <v>1181</v>
      </c>
      <c r="E3478" s="288">
        <v>42943</v>
      </c>
      <c r="F3478" s="555" t="s">
        <v>1316</v>
      </c>
      <c r="G3478" s="314" t="s">
        <v>1318</v>
      </c>
      <c r="H3478" s="473" t="s">
        <v>1309</v>
      </c>
      <c r="I3478" s="307">
        <v>720</v>
      </c>
      <c r="J3478" s="307">
        <v>13750</v>
      </c>
      <c r="K3478" s="532">
        <f>ROUND(I3478*J3478,0)</f>
        <v>9900000</v>
      </c>
      <c r="L3478" s="534" t="s">
        <v>223</v>
      </c>
      <c r="M3478" s="534" t="s">
        <v>162</v>
      </c>
      <c r="N3478" s="525" t="str">
        <f>IF(AND('331-CT'!$E$7=TH!H3478,OR(L3478="331",M3478="331")),"331",IF(AND(OR(L3478="131",M3478="131"),H3478='131-CT'!$E$7),"131",""))</f>
        <v/>
      </c>
      <c r="O3478" s="525" t="str">
        <f>IF(AND($B3478&gt;='111'!$N$11,$B3478&lt;='111'!$O$11,OR($L3478=$O$7,$M3478=$O$7)),"x","")</f>
        <v/>
      </c>
      <c r="P3478" s="525" t="str">
        <f>IF(AND($L3478=$O$7,$B3478&lt;'111'!$N$11),"x","")</f>
        <v/>
      </c>
      <c r="Q3478" s="525" t="str">
        <f>IF(AND($M3478=$O$7,$B3478&lt;'111'!$N$11),"x","")</f>
        <v/>
      </c>
      <c r="R3478" s="525" t="str">
        <f>IF(ISERROR(FIND('112'!$M$9,G3478,1)),"",IF((AND(FIND('112'!$M$9,G3478,1)&gt;=1,$B3478&gt;='112'!$N$8,$B3478&lt;='112'!$O$8,OR($L3478='112'!$I$6,$M3478='112'!$I$6))),"x",""))</f>
        <v/>
      </c>
      <c r="S3478" s="525" t="str">
        <f>IF(ISERROR(FIND('112'!$M$9,G3478,1)),"",IF((AND(LEFT(G3478,2)=LEFT('112'!$M$9,2),B3478&lt;'112'!$N$8,$L3478='112'!$I$6)),"x",""))</f>
        <v/>
      </c>
      <c r="T3478" s="525" t="str">
        <f>IF(ISERROR(FIND('112'!$M$9,G3478,1)),"",IF((AND(RIGHT(G3478,2)=RIGHT('112'!$M$9,2),B3478&lt;'112'!$N$8,$M3478='112'!$I$6)),"x",""))</f>
        <v/>
      </c>
      <c r="U3478" s="525" t="str">
        <f>IF(AND(B3478&gt;='IN-NX'!$P$3,B3478&lt;='IN-NX'!$Q$3,'IN-NX'!$D$7=D3478,OR(LEFT(L3478,2)="15",AND(LEFT(M3478,2)&lt;&gt;"15",LEFT(M3478,2)&lt;&gt;"33"))),"x","")</f>
        <v/>
      </c>
      <c r="V3478" s="525" t="str">
        <f>IF(AND(OR(LEFT(TH!L3478,2)="15",LEFT(TH!M3478,2)="15"),'152-CT'!$J$8=TH!F3478),"x","")</f>
        <v/>
      </c>
      <c r="W3478" s="525" t="str">
        <f>IF(AND(OR(LEFT(TH!L3478,2)="15",LEFT(TH!M3478,2)="15"),TK!$E$7=TH!F3478),"x","")</f>
        <v/>
      </c>
      <c r="X3478" s="525" t="str">
        <f>IF(AND('341-CT'!$E$9=H3478,OR(LEFT(L3478,3)=$X$7,LEFT(M3478,3)=$X$7)),"x","")</f>
        <v/>
      </c>
      <c r="Y3478" s="525" t="str">
        <f>IF(OR(TH!L3478=TH!$Y$7,M3478=TH!$Y$7),"x","")</f>
        <v/>
      </c>
      <c r="Z3478" s="525" t="str">
        <f>IF(AND(B3478&lt;=NKC!$N$8,B3478&gt;=NKC!$M$8),"x","")</f>
        <v/>
      </c>
      <c r="AA3478" s="535"/>
      <c r="AC3478" s="536" t="str">
        <f>VLOOKUP(F3478,NXT!$B$12:$B$686,1,0)</f>
        <v>Thùng 183x19.2x8.2</v>
      </c>
    </row>
    <row r="3479" spans="1:30" s="503" customFormat="1" ht="15.75" customHeight="1">
      <c r="A3479" s="517" t="str">
        <f>IF(B3479&lt;&gt;"",IF(AND(B3479&gt;=_TM1,B3479&lt;=_TM2,OR(TH!L3479="1111",TH!M3479="1111")),TH!D3479,""),"")</f>
        <v/>
      </c>
      <c r="B3479" s="531">
        <f t="shared" si="353"/>
        <v>7</v>
      </c>
      <c r="C3479" s="315">
        <f t="shared" si="352"/>
        <v>42943</v>
      </c>
      <c r="D3479" s="544" t="s">
        <v>1181</v>
      </c>
      <c r="E3479" s="288">
        <v>42943</v>
      </c>
      <c r="F3479" s="249" t="s">
        <v>494</v>
      </c>
      <c r="G3479" s="314" t="s">
        <v>1318</v>
      </c>
      <c r="H3479" s="473" t="s">
        <v>1309</v>
      </c>
      <c r="I3479" s="307"/>
      <c r="J3479" s="307"/>
      <c r="K3479" s="532">
        <v>990000</v>
      </c>
      <c r="L3479" s="534" t="s">
        <v>223</v>
      </c>
      <c r="M3479" s="534" t="s">
        <v>259</v>
      </c>
      <c r="N3479" s="525" t="str">
        <f>IF(AND('331-CT'!$E$7=TH!H3479,OR(L3479="331",M3479="331")),"331",IF(AND(OR(L3479="131",M3479="131"),H3479='131-CT'!$E$7),"131",""))</f>
        <v/>
      </c>
      <c r="O3479" s="525" t="str">
        <f>IF(AND($B3479&gt;='111'!$N$11,$B3479&lt;='111'!$O$11,OR($L3479=$O$7,$M3479=$O$7)),"x","")</f>
        <v/>
      </c>
      <c r="P3479" s="525" t="str">
        <f>IF(AND($L3479=$O$7,$B3479&lt;'111'!$N$11),"x","")</f>
        <v/>
      </c>
      <c r="Q3479" s="525" t="str">
        <f>IF(AND($M3479=$O$7,$B3479&lt;'111'!$N$11),"x","")</f>
        <v/>
      </c>
      <c r="R3479" s="525" t="str">
        <f>IF(ISERROR(FIND('112'!$M$9,G3479,1)),"",IF((AND(FIND('112'!$M$9,G3479,1)&gt;=1,$B3479&gt;='112'!$N$8,$B3479&lt;='112'!$O$8,OR($L3479='112'!$I$6,$M3479='112'!$I$6))),"x",""))</f>
        <v/>
      </c>
      <c r="S3479" s="525" t="str">
        <f>IF(ISERROR(FIND('112'!$M$9,G3479,1)),"",IF((AND(LEFT(G3479,2)=LEFT('112'!$M$9,2),B3479&lt;'112'!$N$8,$L3479='112'!$I$6)),"x",""))</f>
        <v/>
      </c>
      <c r="T3479" s="525" t="str">
        <f>IF(ISERROR(FIND('112'!$M$9,G3479,1)),"",IF((AND(RIGHT(G3479,2)=RIGHT('112'!$M$9,2),B3479&lt;'112'!$N$8,$M3479='112'!$I$6)),"x",""))</f>
        <v/>
      </c>
      <c r="U3479" s="525" t="str">
        <f>IF(AND(B3479&gt;='IN-NX'!$P$3,B3479&lt;='IN-NX'!$Q$3,'IN-NX'!$D$7=D3479,OR(LEFT(L3479,2)="15",AND(LEFT(M3479,2)&lt;&gt;"15",LEFT(M3479,2)&lt;&gt;"33"))),"x","")</f>
        <v/>
      </c>
      <c r="V3479" s="525" t="str">
        <f>IF(AND(OR(LEFT(TH!L3479,2)="15",LEFT(TH!M3479,2)="15"),'152-CT'!$J$8=TH!F3479),"x","")</f>
        <v/>
      </c>
      <c r="W3479" s="525" t="str">
        <f>IF(AND(OR(LEFT(TH!L3479,2)="15",LEFT(TH!M3479,2)="15"),TK!$E$7=TH!F3479),"x","")</f>
        <v/>
      </c>
      <c r="X3479" s="525" t="str">
        <f>IF(AND('341-CT'!$E$9=H3479,OR(LEFT(L3479,3)=$X$7,LEFT(M3479,3)=$X$7)),"x","")</f>
        <v/>
      </c>
      <c r="Y3479" s="525" t="str">
        <f>IF(OR(TH!L3479=TH!$Y$7,M3479=TH!$Y$7),"x","")</f>
        <v/>
      </c>
      <c r="Z3479" s="525" t="str">
        <f>IF(AND(B3479&lt;=NKC!$N$8,B3479&gt;=NKC!$M$8),"x","")</f>
        <v/>
      </c>
      <c r="AA3479" s="535"/>
    </row>
    <row r="3480" spans="1:30" s="503" customFormat="1" ht="15.75" customHeight="1">
      <c r="A3480" s="517" t="str">
        <f>IF(B3480&lt;&gt;"",IF(AND(B3480&gt;=_TM1,B3480&lt;=_TM2,OR(TH!L3480="1111",TH!M3480="1111")),TH!D3480,""),"")</f>
        <v/>
      </c>
      <c r="B3480" s="531">
        <f t="shared" si="353"/>
        <v>7</v>
      </c>
      <c r="C3480" s="315">
        <f t="shared" si="352"/>
        <v>42943</v>
      </c>
      <c r="D3480" s="544" t="s">
        <v>1181</v>
      </c>
      <c r="E3480" s="288">
        <v>42943</v>
      </c>
      <c r="F3480" s="249" t="s">
        <v>503</v>
      </c>
      <c r="G3480" s="314" t="s">
        <v>1319</v>
      </c>
      <c r="H3480" s="473" t="s">
        <v>375</v>
      </c>
      <c r="I3480" s="307">
        <v>2100</v>
      </c>
      <c r="J3480" s="307">
        <v>8500</v>
      </c>
      <c r="K3480" s="532">
        <f>ROUND(I3480*J3480,0)</f>
        <v>17850000</v>
      </c>
      <c r="L3480" s="534" t="s">
        <v>223</v>
      </c>
      <c r="M3480" s="534" t="s">
        <v>162</v>
      </c>
      <c r="N3480" s="525" t="str">
        <f>IF(AND('331-CT'!$E$7=TH!H3480,OR(L3480="331",M3480="331")),"331",IF(AND(OR(L3480="131",M3480="131"),H3480='131-CT'!$E$7),"131",""))</f>
        <v/>
      </c>
      <c r="O3480" s="525" t="str">
        <f>IF(AND($B3480&gt;='111'!$N$11,$B3480&lt;='111'!$O$11,OR($L3480=$O$7,$M3480=$O$7)),"x","")</f>
        <v/>
      </c>
      <c r="P3480" s="525" t="str">
        <f>IF(AND($L3480=$O$7,$B3480&lt;'111'!$N$11),"x","")</f>
        <v/>
      </c>
      <c r="Q3480" s="525" t="str">
        <f>IF(AND($M3480=$O$7,$B3480&lt;'111'!$N$11),"x","")</f>
        <v/>
      </c>
      <c r="R3480" s="525" t="str">
        <f>IF(ISERROR(FIND('112'!$M$9,G3480,1)),"",IF((AND(FIND('112'!$M$9,G3480,1)&gt;=1,$B3480&gt;='112'!$N$8,$B3480&lt;='112'!$O$8,OR($L3480='112'!$I$6,$M3480='112'!$I$6))),"x",""))</f>
        <v/>
      </c>
      <c r="S3480" s="525" t="str">
        <f>IF(ISERROR(FIND('112'!$M$9,G3480,1)),"",IF((AND(LEFT(G3480,2)=LEFT('112'!$M$9,2),B3480&lt;'112'!$N$8,$L3480='112'!$I$6)),"x",""))</f>
        <v/>
      </c>
      <c r="T3480" s="525" t="str">
        <f>IF(ISERROR(FIND('112'!$M$9,G3480,1)),"",IF((AND(RIGHT(G3480,2)=RIGHT('112'!$M$9,2),B3480&lt;'112'!$N$8,$M3480='112'!$I$6)),"x",""))</f>
        <v/>
      </c>
      <c r="U3480" s="525" t="str">
        <f>IF(AND(B3480&gt;='IN-NX'!$P$3,B3480&lt;='IN-NX'!$Q$3,'IN-NX'!$D$7=D3480,OR(LEFT(L3480,2)="15",AND(LEFT(M3480,2)&lt;&gt;"15",LEFT(M3480,2)&lt;&gt;"33"))),"x","")</f>
        <v/>
      </c>
      <c r="V3480" s="525" t="str">
        <f>IF(AND(OR(LEFT(TH!L3480,2)="15",LEFT(TH!M3480,2)="15"),'152-CT'!$J$8=TH!F3480),"x","")</f>
        <v/>
      </c>
      <c r="W3480" s="525" t="str">
        <f>IF(AND(OR(LEFT(TH!L3480,2)="15",LEFT(TH!M3480,2)="15"),TK!$E$7=TH!F3480),"x","")</f>
        <v/>
      </c>
      <c r="X3480" s="525" t="str">
        <f>IF(AND('341-CT'!$E$9=H3480,OR(LEFT(L3480,3)=$X$7,LEFT(M3480,3)=$X$7)),"x","")</f>
        <v/>
      </c>
      <c r="Y3480" s="525" t="str">
        <f>IF(OR(TH!L3480=TH!$Y$7,M3480=TH!$Y$7),"x","")</f>
        <v/>
      </c>
      <c r="Z3480" s="525" t="str">
        <f>IF(AND(B3480&lt;=NKC!$N$8,B3480&gt;=NKC!$M$8),"x","")</f>
        <v/>
      </c>
      <c r="AA3480" s="535"/>
      <c r="AC3480" s="536" t="str">
        <f>VLOOKUP(F3480,NXT!$B$12:$B$686,1,0)</f>
        <v>Giấy 5 lớp</v>
      </c>
    </row>
    <row r="3481" spans="1:30" s="503" customFormat="1" ht="15.75" customHeight="1">
      <c r="A3481" s="517" t="str">
        <f>IF(B3481&lt;&gt;"",IF(AND(B3481&gt;=_TM1,B3481&lt;=_TM2,OR(TH!L3481="1111",TH!M3481="1111")),TH!D3481,""),"")</f>
        <v/>
      </c>
      <c r="B3481" s="531">
        <f t="shared" si="353"/>
        <v>7</v>
      </c>
      <c r="C3481" s="315">
        <f t="shared" si="352"/>
        <v>42943</v>
      </c>
      <c r="D3481" s="544" t="s">
        <v>1181</v>
      </c>
      <c r="E3481" s="288">
        <v>42943</v>
      </c>
      <c r="F3481" s="250" t="s">
        <v>1320</v>
      </c>
      <c r="G3481" s="314" t="s">
        <v>1319</v>
      </c>
      <c r="H3481" s="473" t="s">
        <v>375</v>
      </c>
      <c r="I3481" s="307"/>
      <c r="J3481" s="307"/>
      <c r="K3481" s="532">
        <v>1785000</v>
      </c>
      <c r="L3481" s="534" t="s">
        <v>223</v>
      </c>
      <c r="M3481" s="534" t="s">
        <v>259</v>
      </c>
      <c r="N3481" s="525" t="str">
        <f>IF(AND('331-CT'!$E$7=TH!H3481,OR(L3481="331",M3481="331")),"331",IF(AND(OR(L3481="131",M3481="131"),H3481='131-CT'!$E$7),"131",""))</f>
        <v/>
      </c>
      <c r="O3481" s="525" t="str">
        <f>IF(AND($B3481&gt;='111'!$N$11,$B3481&lt;='111'!$O$11,OR($L3481=$O$7,$M3481=$O$7)),"x","")</f>
        <v/>
      </c>
      <c r="P3481" s="525" t="str">
        <f>IF(AND($L3481=$O$7,$B3481&lt;'111'!$N$11),"x","")</f>
        <v/>
      </c>
      <c r="Q3481" s="525" t="str">
        <f>IF(AND($M3481=$O$7,$B3481&lt;'111'!$N$11),"x","")</f>
        <v/>
      </c>
      <c r="R3481" s="525" t="str">
        <f>IF(ISERROR(FIND('112'!$M$9,G3481,1)),"",IF((AND(FIND('112'!$M$9,G3481,1)&gt;=1,$B3481&gt;='112'!$N$8,$B3481&lt;='112'!$O$8,OR($L3481='112'!$I$6,$M3481='112'!$I$6))),"x",""))</f>
        <v/>
      </c>
      <c r="S3481" s="525" t="str">
        <f>IF(ISERROR(FIND('112'!$M$9,G3481,1)),"",IF((AND(LEFT(G3481,2)=LEFT('112'!$M$9,2),B3481&lt;'112'!$N$8,$L3481='112'!$I$6)),"x",""))</f>
        <v/>
      </c>
      <c r="T3481" s="525" t="str">
        <f>IF(ISERROR(FIND('112'!$M$9,G3481,1)),"",IF((AND(RIGHT(G3481,2)=RIGHT('112'!$M$9,2),B3481&lt;'112'!$N$8,$M3481='112'!$I$6)),"x",""))</f>
        <v/>
      </c>
      <c r="U3481" s="525" t="str">
        <f>IF(AND(B3481&gt;='IN-NX'!$P$3,B3481&lt;='IN-NX'!$Q$3,'IN-NX'!$D$7=D3481,OR(LEFT(L3481,2)="15",AND(LEFT(M3481,2)&lt;&gt;"15",LEFT(M3481,2)&lt;&gt;"33"))),"x","")</f>
        <v/>
      </c>
      <c r="V3481" s="525" t="str">
        <f>IF(AND(OR(LEFT(TH!L3481,2)="15",LEFT(TH!M3481,2)="15"),'152-CT'!$J$8=TH!F3481),"x","")</f>
        <v/>
      </c>
      <c r="W3481" s="525" t="str">
        <f>IF(AND(OR(LEFT(TH!L3481,2)="15",LEFT(TH!M3481,2)="15"),TK!$E$7=TH!F3481),"x","")</f>
        <v/>
      </c>
      <c r="X3481" s="525" t="str">
        <f>IF(AND('341-CT'!$E$9=H3481,OR(LEFT(L3481,3)=$X$7,LEFT(M3481,3)=$X$7)),"x","")</f>
        <v/>
      </c>
      <c r="Y3481" s="525" t="str">
        <f>IF(OR(TH!L3481=TH!$Y$7,M3481=TH!$Y$7),"x","")</f>
        <v/>
      </c>
      <c r="Z3481" s="525" t="str">
        <f>IF(AND(B3481&lt;=NKC!$N$8,B3481&gt;=NKC!$M$8),"x","")</f>
        <v/>
      </c>
      <c r="AA3481" s="535"/>
    </row>
    <row r="3482" spans="1:30" s="503" customFormat="1" ht="15.75" customHeight="1">
      <c r="A3482" s="517" t="str">
        <f>IF(B3482&lt;&gt;"",IF(AND(B3482&gt;=_TM1,B3482&lt;=_TM2,OR(TH!L3482="1111",TH!M3482="1111")),TH!D3482,""),"")</f>
        <v/>
      </c>
      <c r="B3482" s="531">
        <f t="shared" ref="B3482:B3483" si="355">IF(C3482&lt;&gt;"",MONTH(C3482),"")</f>
        <v>7</v>
      </c>
      <c r="C3482" s="315">
        <f t="shared" ref="C3482:C3483" si="356">E3482</f>
        <v>42943</v>
      </c>
      <c r="D3482" s="544" t="s">
        <v>1181</v>
      </c>
      <c r="E3482" s="288">
        <v>42943</v>
      </c>
      <c r="F3482" s="249" t="s">
        <v>1379</v>
      </c>
      <c r="G3482" s="314" t="s">
        <v>1378</v>
      </c>
      <c r="H3482" s="248" t="s">
        <v>1374</v>
      </c>
      <c r="I3482" s="307">
        <v>800</v>
      </c>
      <c r="J3482" s="307">
        <v>20790</v>
      </c>
      <c r="K3482" s="532">
        <f>ROUND(I3482*J3482,0)</f>
        <v>16632000</v>
      </c>
      <c r="L3482" s="534" t="s">
        <v>223</v>
      </c>
      <c r="M3482" s="534" t="s">
        <v>162</v>
      </c>
      <c r="N3482" s="525" t="str">
        <f>IF(AND('331-CT'!$E$7=TH!H3482,OR(L3482="331",M3482="331")),"331",IF(AND(OR(L3482="131",M3482="131"),H3482='131-CT'!$E$7),"131",""))</f>
        <v/>
      </c>
      <c r="O3482" s="525" t="str">
        <f>IF(AND($B3482&gt;='111'!$N$11,$B3482&lt;='111'!$O$11,OR($L3482=$O$7,$M3482=$O$7)),"x","")</f>
        <v/>
      </c>
      <c r="P3482" s="525" t="str">
        <f>IF(AND($L3482=$O$7,$B3482&lt;'111'!$N$11),"x","")</f>
        <v/>
      </c>
      <c r="Q3482" s="525" t="str">
        <f>IF(AND($M3482=$O$7,$B3482&lt;'111'!$N$11),"x","")</f>
        <v/>
      </c>
      <c r="R3482" s="525" t="str">
        <f>IF(ISERROR(FIND('112'!$M$9,G3482,1)),"",IF((AND(FIND('112'!$M$9,G3482,1)&gt;=1,$B3482&gt;='112'!$N$8,$B3482&lt;='112'!$O$8,OR($L3482='112'!$I$6,$M3482='112'!$I$6))),"x",""))</f>
        <v/>
      </c>
      <c r="S3482" s="525" t="str">
        <f>IF(ISERROR(FIND('112'!$M$9,G3482,1)),"",IF((AND(LEFT(G3482,2)=LEFT('112'!$M$9,2),B3482&lt;'112'!$N$8,$L3482='112'!$I$6)),"x",""))</f>
        <v/>
      </c>
      <c r="T3482" s="525" t="str">
        <f>IF(ISERROR(FIND('112'!$M$9,G3482,1)),"",IF((AND(RIGHT(G3482,2)=RIGHT('112'!$M$9,2),B3482&lt;'112'!$N$8,$M3482='112'!$I$6)),"x",""))</f>
        <v/>
      </c>
      <c r="U3482" s="525" t="str">
        <f>IF(AND(B3482&gt;='IN-NX'!$P$3,B3482&lt;='IN-NX'!$Q$3,'IN-NX'!$D$7=D3482,OR(LEFT(L3482,2)="15",AND(LEFT(M3482,2)&lt;&gt;"15",LEFT(M3482,2)&lt;&gt;"33"))),"x","")</f>
        <v/>
      </c>
      <c r="V3482" s="525" t="str">
        <f>IF(AND(OR(LEFT(TH!L3482,2)="15",LEFT(TH!M3482,2)="15"),'152-CT'!$J$8=TH!F3482),"x","")</f>
        <v/>
      </c>
      <c r="W3482" s="525" t="str">
        <f>IF(AND(OR(LEFT(TH!L3482,2)="15",LEFT(TH!M3482,2)="15"),TK!$E$7=TH!F3482),"x","")</f>
        <v/>
      </c>
      <c r="X3482" s="525" t="str">
        <f>IF(AND('341-CT'!$E$9=H3482,OR(LEFT(L3482,3)=$X$7,LEFT(M3482,3)=$X$7)),"x","")</f>
        <v/>
      </c>
      <c r="Y3482" s="525" t="str">
        <f>IF(OR(TH!L3482=TH!$Y$7,M3482=TH!$Y$7),"x","")</f>
        <v/>
      </c>
      <c r="Z3482" s="525" t="str">
        <f>IF(AND(B3482&lt;=NKC!$N$8,B3482&gt;=NKC!$M$8),"x","")</f>
        <v/>
      </c>
      <c r="AA3482" s="535"/>
      <c r="AC3482" s="536" t="str">
        <f>VLOOKUP(F3482,NXT!$B$12:$B$686,1,0)</f>
        <v>Giấy tấm 1400x1650</v>
      </c>
    </row>
    <row r="3483" spans="1:30" s="503" customFormat="1" ht="15.75" customHeight="1">
      <c r="A3483" s="517" t="str">
        <f>IF(B3483&lt;&gt;"",IF(AND(B3483&gt;=_TM1,B3483&lt;=_TM2,OR(TH!L3483="1111",TH!M3483="1111")),TH!D3483,""),"")</f>
        <v/>
      </c>
      <c r="B3483" s="531">
        <f t="shared" si="355"/>
        <v>7</v>
      </c>
      <c r="C3483" s="315">
        <f t="shared" si="356"/>
        <v>42943</v>
      </c>
      <c r="D3483" s="544" t="s">
        <v>1181</v>
      </c>
      <c r="E3483" s="288">
        <v>42943</v>
      </c>
      <c r="F3483" s="250" t="s">
        <v>1320</v>
      </c>
      <c r="G3483" s="314" t="s">
        <v>1378</v>
      </c>
      <c r="H3483" s="248" t="s">
        <v>1374</v>
      </c>
      <c r="I3483" s="307"/>
      <c r="J3483" s="307"/>
      <c r="K3483" s="532">
        <v>1663200</v>
      </c>
      <c r="L3483" s="534" t="s">
        <v>223</v>
      </c>
      <c r="M3483" s="534" t="s">
        <v>259</v>
      </c>
      <c r="N3483" s="525" t="str">
        <f>IF(AND('331-CT'!$E$7=TH!H3483,OR(L3483="331",M3483="331")),"331",IF(AND(OR(L3483="131",M3483="131"),H3483='131-CT'!$E$7),"131",""))</f>
        <v/>
      </c>
      <c r="O3483" s="525" t="str">
        <f>IF(AND($B3483&gt;='111'!$N$11,$B3483&lt;='111'!$O$11,OR($L3483=$O$7,$M3483=$O$7)),"x","")</f>
        <v/>
      </c>
      <c r="P3483" s="525" t="str">
        <f>IF(AND($L3483=$O$7,$B3483&lt;'111'!$N$11),"x","")</f>
        <v/>
      </c>
      <c r="Q3483" s="525" t="str">
        <f>IF(AND($M3483=$O$7,$B3483&lt;'111'!$N$11),"x","")</f>
        <v/>
      </c>
      <c r="R3483" s="525" t="str">
        <f>IF(ISERROR(FIND('112'!$M$9,G3483,1)),"",IF((AND(FIND('112'!$M$9,G3483,1)&gt;=1,$B3483&gt;='112'!$N$8,$B3483&lt;='112'!$O$8,OR($L3483='112'!$I$6,$M3483='112'!$I$6))),"x",""))</f>
        <v/>
      </c>
      <c r="S3483" s="525" t="str">
        <f>IF(ISERROR(FIND('112'!$M$9,G3483,1)),"",IF((AND(LEFT(G3483,2)=LEFT('112'!$M$9,2),B3483&lt;'112'!$N$8,$L3483='112'!$I$6)),"x",""))</f>
        <v/>
      </c>
      <c r="T3483" s="525" t="str">
        <f>IF(ISERROR(FIND('112'!$M$9,G3483,1)),"",IF((AND(RIGHT(G3483,2)=RIGHT('112'!$M$9,2),B3483&lt;'112'!$N$8,$M3483='112'!$I$6)),"x",""))</f>
        <v/>
      </c>
      <c r="U3483" s="525" t="str">
        <f>IF(AND(B3483&gt;='IN-NX'!$P$3,B3483&lt;='IN-NX'!$Q$3,'IN-NX'!$D$7=D3483,OR(LEFT(L3483,2)="15",AND(LEFT(M3483,2)&lt;&gt;"15",LEFT(M3483,2)&lt;&gt;"33"))),"x","")</f>
        <v/>
      </c>
      <c r="V3483" s="525" t="str">
        <f>IF(AND(OR(LEFT(TH!L3483,2)="15",LEFT(TH!M3483,2)="15"),'152-CT'!$J$8=TH!F3483),"x","")</f>
        <v/>
      </c>
      <c r="W3483" s="525" t="str">
        <f>IF(AND(OR(LEFT(TH!L3483,2)="15",LEFT(TH!M3483,2)="15"),TK!$E$7=TH!F3483),"x","")</f>
        <v/>
      </c>
      <c r="X3483" s="525" t="str">
        <f>IF(AND('341-CT'!$E$9=H3483,OR(LEFT(L3483,3)=$X$7,LEFT(M3483,3)=$X$7)),"x","")</f>
        <v/>
      </c>
      <c r="Y3483" s="525" t="str">
        <f>IF(OR(TH!L3483=TH!$Y$7,M3483=TH!$Y$7),"x","")</f>
        <v/>
      </c>
      <c r="Z3483" s="525" t="str">
        <f>IF(AND(B3483&lt;=NKC!$N$8,B3483&gt;=NKC!$M$8),"x","")</f>
        <v/>
      </c>
      <c r="AA3483" s="535"/>
    </row>
    <row r="3484" spans="1:30" s="503" customFormat="1" ht="15.75" customHeight="1">
      <c r="A3484" s="517" t="str">
        <f>IF(B3484&lt;&gt;"",IF(AND(B3484&gt;=_TM1,B3484&lt;=_TM2,OR(TH!L3484="1111",TH!M3484="1111")),TH!D3484,""),"")</f>
        <v/>
      </c>
      <c r="B3484" s="531">
        <f t="shared" ref="B3484:B3485" si="357">IF(C3484&lt;&gt;"",MONTH(C3484),"")</f>
        <v>7</v>
      </c>
      <c r="C3484" s="315">
        <f t="shared" ref="C3484:C3485" si="358">E3484</f>
        <v>42943</v>
      </c>
      <c r="D3484" s="544" t="s">
        <v>1181</v>
      </c>
      <c r="E3484" s="288">
        <v>42943</v>
      </c>
      <c r="F3484" s="249" t="s">
        <v>1381</v>
      </c>
      <c r="G3484" s="314" t="s">
        <v>1380</v>
      </c>
      <c r="H3484" s="248" t="s">
        <v>1374</v>
      </c>
      <c r="I3484" s="307">
        <v>650</v>
      </c>
      <c r="J3484" s="307">
        <v>26730</v>
      </c>
      <c r="K3484" s="532">
        <f>ROUND(I3484*J3484,0)</f>
        <v>17374500</v>
      </c>
      <c r="L3484" s="534" t="s">
        <v>223</v>
      </c>
      <c r="M3484" s="534" t="s">
        <v>162</v>
      </c>
      <c r="N3484" s="525" t="str">
        <f>IF(AND('331-CT'!$E$7=TH!H3484,OR(L3484="331",M3484="331")),"331",IF(AND(OR(L3484="131",M3484="131"),H3484='131-CT'!$E$7),"131",""))</f>
        <v/>
      </c>
      <c r="O3484" s="525" t="str">
        <f>IF(AND($B3484&gt;='111'!$N$11,$B3484&lt;='111'!$O$11,OR($L3484=$O$7,$M3484=$O$7)),"x","")</f>
        <v/>
      </c>
      <c r="P3484" s="525" t="str">
        <f>IF(AND($L3484=$O$7,$B3484&lt;'111'!$N$11),"x","")</f>
        <v/>
      </c>
      <c r="Q3484" s="525" t="str">
        <f>IF(AND($M3484=$O$7,$B3484&lt;'111'!$N$11),"x","")</f>
        <v/>
      </c>
      <c r="R3484" s="525" t="str">
        <f>IF(ISERROR(FIND('112'!$M$9,G3484,1)),"",IF((AND(FIND('112'!$M$9,G3484,1)&gt;=1,$B3484&gt;='112'!$N$8,$B3484&lt;='112'!$O$8,OR($L3484='112'!$I$6,$M3484='112'!$I$6))),"x",""))</f>
        <v/>
      </c>
      <c r="S3484" s="525" t="str">
        <f>IF(ISERROR(FIND('112'!$M$9,G3484,1)),"",IF((AND(LEFT(G3484,2)=LEFT('112'!$M$9,2),B3484&lt;'112'!$N$8,$L3484='112'!$I$6)),"x",""))</f>
        <v/>
      </c>
      <c r="T3484" s="525" t="str">
        <f>IF(ISERROR(FIND('112'!$M$9,G3484,1)),"",IF((AND(RIGHT(G3484,2)=RIGHT('112'!$M$9,2),B3484&lt;'112'!$N$8,$M3484='112'!$I$6)),"x",""))</f>
        <v/>
      </c>
      <c r="U3484" s="525" t="str">
        <f>IF(AND(B3484&gt;='IN-NX'!$P$3,B3484&lt;='IN-NX'!$Q$3,'IN-NX'!$D$7=D3484,OR(LEFT(L3484,2)="15",AND(LEFT(M3484,2)&lt;&gt;"15",LEFT(M3484,2)&lt;&gt;"33"))),"x","")</f>
        <v/>
      </c>
      <c r="V3484" s="525" t="str">
        <f>IF(AND(OR(LEFT(TH!L3484,2)="15",LEFT(TH!M3484,2)="15"),'152-CT'!$J$8=TH!F3484),"x","")</f>
        <v/>
      </c>
      <c r="W3484" s="525" t="str">
        <f>IF(AND(OR(LEFT(TH!L3484,2)="15",LEFT(TH!M3484,2)="15"),TK!$E$7=TH!F3484),"x","")</f>
        <v/>
      </c>
      <c r="X3484" s="525" t="str">
        <f>IF(AND('341-CT'!$E$9=H3484,OR(LEFT(L3484,3)=$X$7,LEFT(M3484,3)=$X$7)),"x","")</f>
        <v/>
      </c>
      <c r="Y3484" s="525" t="str">
        <f>IF(OR(TH!L3484=TH!$Y$7,M3484=TH!$Y$7),"x","")</f>
        <v/>
      </c>
      <c r="Z3484" s="525" t="str">
        <f>IF(AND(B3484&lt;=NKC!$N$8,B3484&gt;=NKC!$M$8),"x","")</f>
        <v/>
      </c>
      <c r="AA3484" s="535"/>
      <c r="AC3484" s="536" t="str">
        <f>VLOOKUP(F3484,NXT!$B$12:$B$686,1,0)</f>
        <v>Giấy tấm 1300x1600</v>
      </c>
    </row>
    <row r="3485" spans="1:30" s="503" customFormat="1" ht="15.75" customHeight="1">
      <c r="A3485" s="517" t="str">
        <f>IF(B3485&lt;&gt;"",IF(AND(B3485&gt;=_TM1,B3485&lt;=_TM2,OR(TH!L3485="1111",TH!M3485="1111")),TH!D3485,""),"")</f>
        <v/>
      </c>
      <c r="B3485" s="531">
        <f t="shared" si="357"/>
        <v>7</v>
      </c>
      <c r="C3485" s="315">
        <f t="shared" si="358"/>
        <v>42943</v>
      </c>
      <c r="D3485" s="544" t="s">
        <v>1181</v>
      </c>
      <c r="E3485" s="288">
        <v>42943</v>
      </c>
      <c r="F3485" s="250" t="s">
        <v>1320</v>
      </c>
      <c r="G3485" s="314" t="s">
        <v>1380</v>
      </c>
      <c r="H3485" s="248" t="s">
        <v>1374</v>
      </c>
      <c r="I3485" s="307"/>
      <c r="J3485" s="307"/>
      <c r="K3485" s="532">
        <v>1737450</v>
      </c>
      <c r="L3485" s="534" t="s">
        <v>223</v>
      </c>
      <c r="M3485" s="534" t="s">
        <v>259</v>
      </c>
      <c r="N3485" s="525" t="str">
        <f>IF(AND('331-CT'!$E$7=TH!H3485,OR(L3485="331",M3485="331")),"331",IF(AND(OR(L3485="131",M3485="131"),H3485='131-CT'!$E$7),"131",""))</f>
        <v/>
      </c>
      <c r="O3485" s="525" t="str">
        <f>IF(AND($B3485&gt;='111'!$N$11,$B3485&lt;='111'!$O$11,OR($L3485=$O$7,$M3485=$O$7)),"x","")</f>
        <v/>
      </c>
      <c r="P3485" s="525" t="str">
        <f>IF(AND($L3485=$O$7,$B3485&lt;'111'!$N$11),"x","")</f>
        <v/>
      </c>
      <c r="Q3485" s="525" t="str">
        <f>IF(AND($M3485=$O$7,$B3485&lt;'111'!$N$11),"x","")</f>
        <v/>
      </c>
      <c r="R3485" s="525" t="str">
        <f>IF(ISERROR(FIND('112'!$M$9,G3485,1)),"",IF((AND(FIND('112'!$M$9,G3485,1)&gt;=1,$B3485&gt;='112'!$N$8,$B3485&lt;='112'!$O$8,OR($L3485='112'!$I$6,$M3485='112'!$I$6))),"x",""))</f>
        <v/>
      </c>
      <c r="S3485" s="525" t="str">
        <f>IF(ISERROR(FIND('112'!$M$9,G3485,1)),"",IF((AND(LEFT(G3485,2)=LEFT('112'!$M$9,2),B3485&lt;'112'!$N$8,$L3485='112'!$I$6)),"x",""))</f>
        <v/>
      </c>
      <c r="T3485" s="525" t="str">
        <f>IF(ISERROR(FIND('112'!$M$9,G3485,1)),"",IF((AND(RIGHT(G3485,2)=RIGHT('112'!$M$9,2),B3485&lt;'112'!$N$8,$M3485='112'!$I$6)),"x",""))</f>
        <v/>
      </c>
      <c r="U3485" s="525" t="str">
        <f>IF(AND(B3485&gt;='IN-NX'!$P$3,B3485&lt;='IN-NX'!$Q$3,'IN-NX'!$D$7=D3485,OR(LEFT(L3485,2)="15",AND(LEFT(M3485,2)&lt;&gt;"15",LEFT(M3485,2)&lt;&gt;"33"))),"x","")</f>
        <v/>
      </c>
      <c r="V3485" s="525" t="str">
        <f>IF(AND(OR(LEFT(TH!L3485,2)="15",LEFT(TH!M3485,2)="15"),'152-CT'!$J$8=TH!F3485),"x","")</f>
        <v/>
      </c>
      <c r="W3485" s="525" t="str">
        <f>IF(AND(OR(LEFT(TH!L3485,2)="15",LEFT(TH!M3485,2)="15"),TK!$E$7=TH!F3485),"x","")</f>
        <v/>
      </c>
      <c r="X3485" s="525" t="str">
        <f>IF(AND('341-CT'!$E$9=H3485,OR(LEFT(L3485,3)=$X$7,LEFT(M3485,3)=$X$7)),"x","")</f>
        <v/>
      </c>
      <c r="Y3485" s="525" t="str">
        <f>IF(OR(TH!L3485=TH!$Y$7,M3485=TH!$Y$7),"x","")</f>
        <v/>
      </c>
      <c r="Z3485" s="525" t="str">
        <f>IF(AND(B3485&lt;=NKC!$N$8,B3485&gt;=NKC!$M$8),"x","")</f>
        <v/>
      </c>
      <c r="AA3485" s="535"/>
    </row>
    <row r="3486" spans="1:30" s="503" customFormat="1" ht="15.75" customHeight="1">
      <c r="A3486" s="517" t="str">
        <f>IF(B3486&lt;&gt;"",IF(AND(B3486&gt;=_TM1,B3486&lt;=_TM2,OR(TH!L3486="1111",TH!M3486="1111")),TH!D3486,""),"")</f>
        <v/>
      </c>
      <c r="B3486" s="531">
        <f t="shared" si="353"/>
        <v>7</v>
      </c>
      <c r="C3486" s="315">
        <f t="shared" si="352"/>
        <v>42945</v>
      </c>
      <c r="D3486" s="544" t="s">
        <v>1181</v>
      </c>
      <c r="E3486" s="315">
        <v>42945</v>
      </c>
      <c r="F3486" s="249" t="s">
        <v>1099</v>
      </c>
      <c r="G3486" s="314" t="s">
        <v>1322</v>
      </c>
      <c r="H3486" s="473" t="s">
        <v>1138</v>
      </c>
      <c r="I3486" s="307"/>
      <c r="J3486" s="307"/>
      <c r="K3486" s="532">
        <v>3900000</v>
      </c>
      <c r="L3486" s="534" t="s">
        <v>45</v>
      </c>
      <c r="M3486" s="534" t="s">
        <v>275</v>
      </c>
      <c r="N3486" s="525" t="str">
        <f>IF(AND('331-CT'!$E$7=TH!H3486,OR(L3486="331",M3486="331")),"331",IF(AND(OR(L3486="131",M3486="131"),H3486='131-CT'!$E$7),"131",""))</f>
        <v/>
      </c>
      <c r="O3486" s="525" t="str">
        <f>IF(AND($B3486&gt;='111'!$N$11,$B3486&lt;='111'!$O$11,OR($L3486=$O$7,$M3486=$O$7)),"x","")</f>
        <v/>
      </c>
      <c r="P3486" s="525" t="str">
        <f>IF(AND($L3486=$O$7,$B3486&lt;'111'!$N$11),"x","")</f>
        <v>x</v>
      </c>
      <c r="Q3486" s="525" t="str">
        <f>IF(AND($M3486=$O$7,$B3486&lt;'111'!$N$11),"x","")</f>
        <v/>
      </c>
      <c r="R3486" s="525" t="str">
        <f>IF(ISERROR(FIND('112'!$M$9,G3486,1)),"",IF((AND(FIND('112'!$M$9,G3486,1)&gt;=1,$B3486&gt;='112'!$N$8,$B3486&lt;='112'!$O$8,OR($L3486='112'!$I$6,$M3486='112'!$I$6))),"x",""))</f>
        <v/>
      </c>
      <c r="S3486" s="525" t="str">
        <f>IF(ISERROR(FIND('112'!$M$9,G3486,1)),"",IF((AND(LEFT(G3486,2)=LEFT('112'!$M$9,2),B3486&lt;'112'!$N$8,$L3486='112'!$I$6)),"x",""))</f>
        <v/>
      </c>
      <c r="T3486" s="525" t="str">
        <f>IF(ISERROR(FIND('112'!$M$9,G3486,1)),"",IF((AND(RIGHT(G3486,2)=RIGHT('112'!$M$9,2),B3486&lt;'112'!$N$8,$M3486='112'!$I$6)),"x",""))</f>
        <v/>
      </c>
      <c r="U3486" s="525" t="str">
        <f>IF(AND(B3486&gt;='IN-NX'!$P$3,B3486&lt;='IN-NX'!$Q$3,'IN-NX'!$D$7=D3486,OR(LEFT(L3486,2)="15",AND(LEFT(M3486,2)&lt;&gt;"15",LEFT(M3486,2)&lt;&gt;"33"))),"x","")</f>
        <v/>
      </c>
      <c r="V3486" s="525" t="str">
        <f>IF(AND(OR(LEFT(TH!L3486,2)="15",LEFT(TH!M3486,2)="15"),'152-CT'!$J$8=TH!F3486),"x","")</f>
        <v/>
      </c>
      <c r="W3486" s="525" t="str">
        <f>IF(AND(OR(LEFT(TH!L3486,2)="15",LEFT(TH!M3486,2)="15"),TK!$E$7=TH!F3486),"x","")</f>
        <v/>
      </c>
      <c r="X3486" s="525" t="str">
        <f>IF(AND('341-CT'!$E$9=H3486,OR(LEFT(L3486,3)=$X$7,LEFT(M3486,3)=$X$7)),"x","")</f>
        <v/>
      </c>
      <c r="Y3486" s="525" t="str">
        <f>IF(OR(TH!L3486=TH!$Y$7,M3486=TH!$Y$7),"x","")</f>
        <v/>
      </c>
      <c r="Z3486" s="525" t="str">
        <f>IF(AND(B3486&lt;=NKC!$N$8,B3486&gt;=NKC!$M$8),"x","")</f>
        <v/>
      </c>
      <c r="AA3486" s="535"/>
      <c r="AB3486" s="536"/>
      <c r="AC3486" s="536"/>
      <c r="AD3486" s="536"/>
    </row>
    <row r="3487" spans="1:30" s="503" customFormat="1" ht="15.75" customHeight="1">
      <c r="A3487" s="517" t="str">
        <f>IF(B3487&lt;&gt;"",IF(AND(B3487&gt;=_TM1,B3487&lt;=_TM2,OR(TH!L3487="1111",TH!M3487="1111")),TH!D3487,""),"")</f>
        <v/>
      </c>
      <c r="B3487" s="531">
        <f t="shared" si="353"/>
        <v>7</v>
      </c>
      <c r="C3487" s="315">
        <f t="shared" si="352"/>
        <v>42945</v>
      </c>
      <c r="D3487" s="544" t="s">
        <v>1181</v>
      </c>
      <c r="E3487" s="315">
        <v>42945</v>
      </c>
      <c r="F3487" s="249" t="s">
        <v>1102</v>
      </c>
      <c r="G3487" s="314" t="s">
        <v>1322</v>
      </c>
      <c r="H3487" s="473" t="s">
        <v>1138</v>
      </c>
      <c r="I3487" s="307"/>
      <c r="J3487" s="307"/>
      <c r="K3487" s="532">
        <v>390000</v>
      </c>
      <c r="L3487" s="534" t="s">
        <v>45</v>
      </c>
      <c r="M3487" s="534" t="s">
        <v>259</v>
      </c>
      <c r="N3487" s="525" t="str">
        <f>IF(AND('331-CT'!$E$7=TH!H3487,OR(L3487="331",M3487="331")),"331",IF(AND(OR(L3487="131",M3487="131"),H3487='131-CT'!$E$7),"131",""))</f>
        <v/>
      </c>
      <c r="O3487" s="525" t="str">
        <f>IF(AND($B3487&gt;='111'!$N$11,$B3487&lt;='111'!$O$11,OR($L3487=$O$7,$M3487=$O$7)),"x","")</f>
        <v/>
      </c>
      <c r="P3487" s="525" t="str">
        <f>IF(AND($L3487=$O$7,$B3487&lt;'111'!$N$11),"x","")</f>
        <v>x</v>
      </c>
      <c r="Q3487" s="525" t="str">
        <f>IF(AND($M3487=$O$7,$B3487&lt;'111'!$N$11),"x","")</f>
        <v/>
      </c>
      <c r="R3487" s="525" t="str">
        <f>IF(ISERROR(FIND('112'!$M$9,G3487,1)),"",IF((AND(FIND('112'!$M$9,G3487,1)&gt;=1,$B3487&gt;='112'!$N$8,$B3487&lt;='112'!$O$8,OR($L3487='112'!$I$6,$M3487='112'!$I$6))),"x",""))</f>
        <v/>
      </c>
      <c r="S3487" s="525" t="str">
        <f>IF(ISERROR(FIND('112'!$M$9,G3487,1)),"",IF((AND(LEFT(G3487,2)=LEFT('112'!$M$9,2),B3487&lt;'112'!$N$8,$L3487='112'!$I$6)),"x",""))</f>
        <v/>
      </c>
      <c r="T3487" s="525" t="str">
        <f>IF(ISERROR(FIND('112'!$M$9,G3487,1)),"",IF((AND(RIGHT(G3487,2)=RIGHT('112'!$M$9,2),B3487&lt;'112'!$N$8,$M3487='112'!$I$6)),"x",""))</f>
        <v/>
      </c>
      <c r="U3487" s="525" t="str">
        <f>IF(AND(B3487&gt;='IN-NX'!$P$3,B3487&lt;='IN-NX'!$Q$3,'IN-NX'!$D$7=D3487,OR(LEFT(L3487,2)="15",AND(LEFT(M3487,2)&lt;&gt;"15",LEFT(M3487,2)&lt;&gt;"33"))),"x","")</f>
        <v/>
      </c>
      <c r="V3487" s="525" t="str">
        <f>IF(AND(OR(LEFT(TH!L3487,2)="15",LEFT(TH!M3487,2)="15"),'152-CT'!$J$8=TH!F3487),"x","")</f>
        <v/>
      </c>
      <c r="W3487" s="525" t="str">
        <f>IF(AND(OR(LEFT(TH!L3487,2)="15",LEFT(TH!M3487,2)="15"),TK!$E$7=TH!F3487),"x","")</f>
        <v/>
      </c>
      <c r="X3487" s="525" t="str">
        <f>IF(AND('341-CT'!$E$9=H3487,OR(LEFT(L3487,3)=$X$7,LEFT(M3487,3)=$X$7)),"x","")</f>
        <v/>
      </c>
      <c r="Y3487" s="525" t="str">
        <f>IF(OR(TH!L3487=TH!$Y$7,M3487=TH!$Y$7),"x","")</f>
        <v/>
      </c>
      <c r="Z3487" s="525" t="str">
        <f>IF(AND(B3487&lt;=NKC!$N$8,B3487&gt;=NKC!$M$8),"x","")</f>
        <v/>
      </c>
      <c r="AA3487" s="535"/>
      <c r="AB3487" s="536"/>
      <c r="AD3487" s="536"/>
    </row>
    <row r="3488" spans="1:30" s="503" customFormat="1" ht="15.75" customHeight="1">
      <c r="A3488" s="517" t="str">
        <f>IF(B3488&lt;&gt;"",IF(AND(B3488&gt;=_TM1,B3488&lt;=_TM2,OR(TH!L3488="1111",TH!M3488="1111")),TH!D3488,""),"")</f>
        <v/>
      </c>
      <c r="B3488" s="531">
        <f t="shared" si="353"/>
        <v>7</v>
      </c>
      <c r="C3488" s="315">
        <f t="shared" si="352"/>
        <v>42945</v>
      </c>
      <c r="D3488" s="544" t="s">
        <v>1181</v>
      </c>
      <c r="E3488" s="315">
        <v>42945</v>
      </c>
      <c r="F3488" s="249" t="s">
        <v>1382</v>
      </c>
      <c r="G3488" s="314" t="s">
        <v>1383</v>
      </c>
      <c r="H3488" s="248" t="s">
        <v>1374</v>
      </c>
      <c r="I3488" s="307">
        <v>900</v>
      </c>
      <c r="J3488" s="307">
        <v>18720</v>
      </c>
      <c r="K3488" s="532">
        <f>ROUND(I3488*J3488,0)</f>
        <v>16848000</v>
      </c>
      <c r="L3488" s="534" t="s">
        <v>223</v>
      </c>
      <c r="M3488" s="534" t="s">
        <v>162</v>
      </c>
      <c r="N3488" s="525" t="str">
        <f>IF(AND('331-CT'!$E$7=TH!H3488,OR(L3488="331",M3488="331")),"331",IF(AND(OR(L3488="131",M3488="131"),H3488='131-CT'!$E$7),"131",""))</f>
        <v/>
      </c>
      <c r="O3488" s="525" t="str">
        <f>IF(AND($B3488&gt;='111'!$N$11,$B3488&lt;='111'!$O$11,OR($L3488=$O$7,$M3488=$O$7)),"x","")</f>
        <v/>
      </c>
      <c r="P3488" s="525" t="str">
        <f>IF(AND($L3488=$O$7,$B3488&lt;'111'!$N$11),"x","")</f>
        <v/>
      </c>
      <c r="Q3488" s="525" t="str">
        <f>IF(AND($M3488=$O$7,$B3488&lt;'111'!$N$11),"x","")</f>
        <v/>
      </c>
      <c r="R3488" s="525" t="str">
        <f>IF(ISERROR(FIND('112'!$M$9,G3488,1)),"",IF((AND(FIND('112'!$M$9,G3488,1)&gt;=1,$B3488&gt;='112'!$N$8,$B3488&lt;='112'!$O$8,OR($L3488='112'!$I$6,$M3488='112'!$I$6))),"x",""))</f>
        <v/>
      </c>
      <c r="S3488" s="525" t="str">
        <f>IF(ISERROR(FIND('112'!$M$9,G3488,1)),"",IF((AND(LEFT(G3488,2)=LEFT('112'!$M$9,2),B3488&lt;'112'!$N$8,$L3488='112'!$I$6)),"x",""))</f>
        <v/>
      </c>
      <c r="T3488" s="525" t="str">
        <f>IF(ISERROR(FIND('112'!$M$9,G3488,1)),"",IF((AND(RIGHT(G3488,2)=RIGHT('112'!$M$9,2),B3488&lt;'112'!$N$8,$M3488='112'!$I$6)),"x",""))</f>
        <v/>
      </c>
      <c r="U3488" s="525" t="str">
        <f>IF(AND(B3488&gt;='IN-NX'!$P$3,B3488&lt;='IN-NX'!$Q$3,'IN-NX'!$D$7=D3488,OR(LEFT(L3488,2)="15",AND(LEFT(M3488,2)&lt;&gt;"15",LEFT(M3488,2)&lt;&gt;"33"))),"x","")</f>
        <v/>
      </c>
      <c r="V3488" s="525" t="str">
        <f>IF(AND(OR(LEFT(TH!L3488,2)="15",LEFT(TH!M3488,2)="15"),'152-CT'!$J$8=TH!F3488),"x","")</f>
        <v/>
      </c>
      <c r="W3488" s="525" t="str">
        <f>IF(AND(OR(LEFT(TH!L3488,2)="15",LEFT(TH!M3488,2)="15"),TK!$E$7=TH!F3488),"x","")</f>
        <v/>
      </c>
      <c r="X3488" s="525" t="str">
        <f>IF(AND('341-CT'!$E$9=H3488,OR(LEFT(L3488,3)=$X$7,LEFT(M3488,3)=$X$7)),"x","")</f>
        <v/>
      </c>
      <c r="Y3488" s="525" t="str">
        <f>IF(OR(TH!L3488=TH!$Y$7,M3488=TH!$Y$7),"x","")</f>
        <v/>
      </c>
      <c r="Z3488" s="525" t="str">
        <f>IF(AND(B3488&lt;=NKC!$N$8,B3488&gt;=NKC!$M$8),"x","")</f>
        <v/>
      </c>
      <c r="AA3488" s="535"/>
      <c r="AC3488" s="536" t="str">
        <f>VLOOKUP(F3488,NXT!$B$12:$B$686,1,0)</f>
        <v>Giấy tấm 1650x1800</v>
      </c>
    </row>
    <row r="3489" spans="1:30" s="503" customFormat="1" ht="15.75" customHeight="1">
      <c r="A3489" s="517" t="str">
        <f>IF(B3489&lt;&gt;"",IF(AND(B3489&gt;=_TM1,B3489&lt;=_TM2,OR(TH!L3489="1111",TH!M3489="1111")),TH!D3489,""),"")</f>
        <v/>
      </c>
      <c r="B3489" s="531">
        <f t="shared" si="353"/>
        <v>7</v>
      </c>
      <c r="C3489" s="315">
        <f t="shared" si="352"/>
        <v>42945</v>
      </c>
      <c r="D3489" s="544" t="s">
        <v>1181</v>
      </c>
      <c r="E3489" s="315">
        <v>42945</v>
      </c>
      <c r="F3489" s="250" t="s">
        <v>1320</v>
      </c>
      <c r="G3489" s="314" t="s">
        <v>1383</v>
      </c>
      <c r="H3489" s="248" t="s">
        <v>1374</v>
      </c>
      <c r="I3489" s="307"/>
      <c r="J3489" s="307"/>
      <c r="K3489" s="532">
        <v>1684800</v>
      </c>
      <c r="L3489" s="534" t="s">
        <v>223</v>
      </c>
      <c r="M3489" s="534" t="s">
        <v>259</v>
      </c>
      <c r="N3489" s="525" t="str">
        <f>IF(AND('331-CT'!$E$7=TH!H3489,OR(L3489="331",M3489="331")),"331",IF(AND(OR(L3489="131",M3489="131"),H3489='131-CT'!$E$7),"131",""))</f>
        <v/>
      </c>
      <c r="O3489" s="525" t="str">
        <f>IF(AND($B3489&gt;='111'!$N$11,$B3489&lt;='111'!$O$11,OR($L3489=$O$7,$M3489=$O$7)),"x","")</f>
        <v/>
      </c>
      <c r="P3489" s="525" t="str">
        <f>IF(AND($L3489=$O$7,$B3489&lt;'111'!$N$11),"x","")</f>
        <v/>
      </c>
      <c r="Q3489" s="525" t="str">
        <f>IF(AND($M3489=$O$7,$B3489&lt;'111'!$N$11),"x","")</f>
        <v/>
      </c>
      <c r="R3489" s="525" t="str">
        <f>IF(ISERROR(FIND('112'!$M$9,G3489,1)),"",IF((AND(FIND('112'!$M$9,G3489,1)&gt;=1,$B3489&gt;='112'!$N$8,$B3489&lt;='112'!$O$8,OR($L3489='112'!$I$6,$M3489='112'!$I$6))),"x",""))</f>
        <v/>
      </c>
      <c r="S3489" s="525" t="str">
        <f>IF(ISERROR(FIND('112'!$M$9,G3489,1)),"",IF((AND(LEFT(G3489,2)=LEFT('112'!$M$9,2),B3489&lt;'112'!$N$8,$L3489='112'!$I$6)),"x",""))</f>
        <v/>
      </c>
      <c r="T3489" s="525" t="str">
        <f>IF(ISERROR(FIND('112'!$M$9,G3489,1)),"",IF((AND(RIGHT(G3489,2)=RIGHT('112'!$M$9,2),B3489&lt;'112'!$N$8,$M3489='112'!$I$6)),"x",""))</f>
        <v/>
      </c>
      <c r="U3489" s="525" t="str">
        <f>IF(AND(B3489&gt;='IN-NX'!$P$3,B3489&lt;='IN-NX'!$Q$3,'IN-NX'!$D$7=D3489,OR(LEFT(L3489,2)="15",AND(LEFT(M3489,2)&lt;&gt;"15",LEFT(M3489,2)&lt;&gt;"33"))),"x","")</f>
        <v/>
      </c>
      <c r="V3489" s="525" t="str">
        <f>IF(AND(OR(LEFT(TH!L3489,2)="15",LEFT(TH!M3489,2)="15"),'152-CT'!$J$8=TH!F3489),"x","")</f>
        <v/>
      </c>
      <c r="W3489" s="525" t="str">
        <f>IF(AND(OR(LEFT(TH!L3489,2)="15",LEFT(TH!M3489,2)="15"),TK!$E$7=TH!F3489),"x","")</f>
        <v/>
      </c>
      <c r="X3489" s="525" t="str">
        <f>IF(AND('341-CT'!$E$9=H3489,OR(LEFT(L3489,3)=$X$7,LEFT(M3489,3)=$X$7)),"x","")</f>
        <v/>
      </c>
      <c r="Y3489" s="525" t="str">
        <f>IF(OR(TH!L3489=TH!$Y$7,M3489=TH!$Y$7),"x","")</f>
        <v/>
      </c>
      <c r="Z3489" s="525" t="str">
        <f>IF(AND(B3489&lt;=NKC!$N$8,B3489&gt;=NKC!$M$8),"x","")</f>
        <v/>
      </c>
      <c r="AA3489" s="535"/>
    </row>
    <row r="3490" spans="1:30" s="503" customFormat="1" ht="15.75" customHeight="1">
      <c r="A3490" s="517" t="str">
        <f>IF(B3490&lt;&gt;"",IF(AND(B3490&gt;=_TM1,B3490&lt;=_TM2,OR(TH!L3490="1111",TH!M3490="1111")),TH!D3490,""),"")</f>
        <v/>
      </c>
      <c r="B3490" s="531">
        <f t="shared" ref="B3490:B3491" si="359">IF(C3490&lt;&gt;"",MONTH(C3490),"")</f>
        <v>7</v>
      </c>
      <c r="C3490" s="315">
        <f t="shared" ref="C3490:C3491" si="360">E3490</f>
        <v>42945</v>
      </c>
      <c r="D3490" s="544" t="s">
        <v>1181</v>
      </c>
      <c r="E3490" s="315">
        <v>42945</v>
      </c>
      <c r="F3490" s="249" t="s">
        <v>1217</v>
      </c>
      <c r="G3490" s="314" t="s">
        <v>1384</v>
      </c>
      <c r="H3490" s="248" t="s">
        <v>1218</v>
      </c>
      <c r="I3490" s="307">
        <v>3045</v>
      </c>
      <c r="J3490" s="307">
        <v>5900</v>
      </c>
      <c r="K3490" s="532">
        <f>ROUND(I3490*J3490,0)</f>
        <v>17965500</v>
      </c>
      <c r="L3490" s="534" t="s">
        <v>223</v>
      </c>
      <c r="M3490" s="534" t="s">
        <v>162</v>
      </c>
      <c r="N3490" s="525" t="str">
        <f>IF(AND('331-CT'!$E$7=TH!H3490,OR(L3490="331",M3490="331")),"331",IF(AND(OR(L3490="131",M3490="131"),H3490='131-CT'!$E$7),"131",""))</f>
        <v/>
      </c>
      <c r="O3490" s="525" t="str">
        <f>IF(AND($B3490&gt;='111'!$N$11,$B3490&lt;='111'!$O$11,OR($L3490=$O$7,$M3490=$O$7)),"x","")</f>
        <v/>
      </c>
      <c r="P3490" s="525" t="str">
        <f>IF(AND($L3490=$O$7,$B3490&lt;'111'!$N$11),"x","")</f>
        <v/>
      </c>
      <c r="Q3490" s="525" t="str">
        <f>IF(AND($M3490=$O$7,$B3490&lt;'111'!$N$11),"x","")</f>
        <v/>
      </c>
      <c r="R3490" s="525" t="str">
        <f>IF(ISERROR(FIND('112'!$M$9,G3490,1)),"",IF((AND(FIND('112'!$M$9,G3490,1)&gt;=1,$B3490&gt;='112'!$N$8,$B3490&lt;='112'!$O$8,OR($L3490='112'!$I$6,$M3490='112'!$I$6))),"x",""))</f>
        <v/>
      </c>
      <c r="S3490" s="525" t="str">
        <f>IF(ISERROR(FIND('112'!$M$9,G3490,1)),"",IF((AND(LEFT(G3490,2)=LEFT('112'!$M$9,2),B3490&lt;'112'!$N$8,$L3490='112'!$I$6)),"x",""))</f>
        <v/>
      </c>
      <c r="T3490" s="525" t="str">
        <f>IF(ISERROR(FIND('112'!$M$9,G3490,1)),"",IF((AND(RIGHT(G3490,2)=RIGHT('112'!$M$9,2),B3490&lt;'112'!$N$8,$M3490='112'!$I$6)),"x",""))</f>
        <v/>
      </c>
      <c r="U3490" s="525" t="str">
        <f>IF(AND(B3490&gt;='IN-NX'!$P$3,B3490&lt;='IN-NX'!$Q$3,'IN-NX'!$D$7=D3490,OR(LEFT(L3490,2)="15",AND(LEFT(M3490,2)&lt;&gt;"15",LEFT(M3490,2)&lt;&gt;"33"))),"x","")</f>
        <v/>
      </c>
      <c r="V3490" s="525" t="str">
        <f>IF(AND(OR(LEFT(TH!L3490,2)="15",LEFT(TH!M3490,2)="15"),'152-CT'!$J$8=TH!F3490),"x","")</f>
        <v/>
      </c>
      <c r="W3490" s="525" t="str">
        <f>IF(AND(OR(LEFT(TH!L3490,2)="15",LEFT(TH!M3490,2)="15"),TK!$E$7=TH!F3490),"x","")</f>
        <v/>
      </c>
      <c r="X3490" s="525" t="str">
        <f>IF(AND('341-CT'!$E$9=H3490,OR(LEFT(L3490,3)=$X$7,LEFT(M3490,3)=$X$7)),"x","")</f>
        <v/>
      </c>
      <c r="Y3490" s="525" t="str">
        <f>IF(OR(TH!L3490=TH!$Y$7,M3490=TH!$Y$7),"x","")</f>
        <v/>
      </c>
      <c r="Z3490" s="525" t="str">
        <f>IF(AND(B3490&lt;=NKC!$N$8,B3490&gt;=NKC!$M$8),"x","")</f>
        <v/>
      </c>
      <c r="AA3490" s="535"/>
      <c r="AC3490" s="536" t="str">
        <f>VLOOKUP(F3490,NXT!$B$12:$B$686,1,0)</f>
        <v>Thùng 50x29.5x19</v>
      </c>
    </row>
    <row r="3491" spans="1:30" s="503" customFormat="1" ht="15.75" customHeight="1">
      <c r="A3491" s="517" t="str">
        <f>IF(B3491&lt;&gt;"",IF(AND(B3491&gt;=_TM1,B3491&lt;=_TM2,OR(TH!L3491="1111",TH!M3491="1111")),TH!D3491,""),"")</f>
        <v/>
      </c>
      <c r="B3491" s="531">
        <f t="shared" si="359"/>
        <v>7</v>
      </c>
      <c r="C3491" s="315">
        <f t="shared" si="360"/>
        <v>42945</v>
      </c>
      <c r="D3491" s="544" t="s">
        <v>1181</v>
      </c>
      <c r="E3491" s="315">
        <v>42945</v>
      </c>
      <c r="F3491" s="249" t="s">
        <v>494</v>
      </c>
      <c r="G3491" s="314" t="s">
        <v>1384</v>
      </c>
      <c r="H3491" s="248" t="s">
        <v>1218</v>
      </c>
      <c r="I3491" s="307"/>
      <c r="J3491" s="307"/>
      <c r="K3491" s="532">
        <v>1796550</v>
      </c>
      <c r="L3491" s="534" t="s">
        <v>223</v>
      </c>
      <c r="M3491" s="534" t="s">
        <v>259</v>
      </c>
      <c r="N3491" s="525" t="str">
        <f>IF(AND('331-CT'!$E$7=TH!H3491,OR(L3491="331",M3491="331")),"331",IF(AND(OR(L3491="131",M3491="131"),H3491='131-CT'!$E$7),"131",""))</f>
        <v/>
      </c>
      <c r="O3491" s="525" t="str">
        <f>IF(AND($B3491&gt;='111'!$N$11,$B3491&lt;='111'!$O$11,OR($L3491=$O$7,$M3491=$O$7)),"x","")</f>
        <v/>
      </c>
      <c r="P3491" s="525" t="str">
        <f>IF(AND($L3491=$O$7,$B3491&lt;'111'!$N$11),"x","")</f>
        <v/>
      </c>
      <c r="Q3491" s="525" t="str">
        <f>IF(AND($M3491=$O$7,$B3491&lt;'111'!$N$11),"x","")</f>
        <v/>
      </c>
      <c r="R3491" s="525" t="str">
        <f>IF(ISERROR(FIND('112'!$M$9,G3491,1)),"",IF((AND(FIND('112'!$M$9,G3491,1)&gt;=1,$B3491&gt;='112'!$N$8,$B3491&lt;='112'!$O$8,OR($L3491='112'!$I$6,$M3491='112'!$I$6))),"x",""))</f>
        <v/>
      </c>
      <c r="S3491" s="525" t="str">
        <f>IF(ISERROR(FIND('112'!$M$9,G3491,1)),"",IF((AND(LEFT(G3491,2)=LEFT('112'!$M$9,2),B3491&lt;'112'!$N$8,$L3491='112'!$I$6)),"x",""))</f>
        <v/>
      </c>
      <c r="T3491" s="525" t="str">
        <f>IF(ISERROR(FIND('112'!$M$9,G3491,1)),"",IF((AND(RIGHT(G3491,2)=RIGHT('112'!$M$9,2),B3491&lt;'112'!$N$8,$M3491='112'!$I$6)),"x",""))</f>
        <v/>
      </c>
      <c r="U3491" s="525" t="str">
        <f>IF(AND(B3491&gt;='IN-NX'!$P$3,B3491&lt;='IN-NX'!$Q$3,'IN-NX'!$D$7=D3491,OR(LEFT(L3491,2)="15",AND(LEFT(M3491,2)&lt;&gt;"15",LEFT(M3491,2)&lt;&gt;"33"))),"x","")</f>
        <v/>
      </c>
      <c r="V3491" s="525" t="str">
        <f>IF(AND(OR(LEFT(TH!L3491,2)="15",LEFT(TH!M3491,2)="15"),'152-CT'!$J$8=TH!F3491),"x","")</f>
        <v/>
      </c>
      <c r="W3491" s="525" t="str">
        <f>IF(AND(OR(LEFT(TH!L3491,2)="15",LEFT(TH!M3491,2)="15"),TK!$E$7=TH!F3491),"x","")</f>
        <v/>
      </c>
      <c r="X3491" s="525" t="str">
        <f>IF(AND('341-CT'!$E$9=H3491,OR(LEFT(L3491,3)=$X$7,LEFT(M3491,3)=$X$7)),"x","")</f>
        <v/>
      </c>
      <c r="Y3491" s="525" t="str">
        <f>IF(OR(TH!L3491=TH!$Y$7,M3491=TH!$Y$7),"x","")</f>
        <v/>
      </c>
      <c r="Z3491" s="525" t="str">
        <f>IF(AND(B3491&lt;=NKC!$N$8,B3491&gt;=NKC!$M$8),"x","")</f>
        <v/>
      </c>
      <c r="AA3491" s="535"/>
    </row>
    <row r="3492" spans="1:30" s="503" customFormat="1" ht="15.75" customHeight="1">
      <c r="A3492" s="517" t="str">
        <f>IF(B3492&lt;&gt;"",IF(AND(B3492&gt;=_TM1,B3492&lt;=_TM2,OR(TH!L3492="1111",TH!M3492="1111")),TH!D3492,""),"")</f>
        <v/>
      </c>
      <c r="B3492" s="531">
        <f t="shared" si="353"/>
        <v>7</v>
      </c>
      <c r="C3492" s="315">
        <f t="shared" ref="C3492:C3509" si="361">E3492</f>
        <v>42947</v>
      </c>
      <c r="D3492" s="544" t="s">
        <v>1181</v>
      </c>
      <c r="E3492" s="315">
        <v>42947</v>
      </c>
      <c r="F3492" s="250" t="s">
        <v>1316</v>
      </c>
      <c r="G3492" s="314" t="s">
        <v>1323</v>
      </c>
      <c r="H3492" s="473" t="s">
        <v>1309</v>
      </c>
      <c r="I3492" s="307">
        <v>850</v>
      </c>
      <c r="J3492" s="307">
        <v>10623</v>
      </c>
      <c r="K3492" s="532">
        <f>ROUND(I3492*J3492,0)</f>
        <v>9029550</v>
      </c>
      <c r="L3492" s="534" t="s">
        <v>223</v>
      </c>
      <c r="M3492" s="534" t="s">
        <v>162</v>
      </c>
      <c r="N3492" s="525" t="str">
        <f>IF(AND('331-CT'!$E$7=TH!H3492,OR(L3492="331",M3492="331")),"331",IF(AND(OR(L3492="131",M3492="131"),H3492='131-CT'!$E$7),"131",""))</f>
        <v/>
      </c>
      <c r="O3492" s="525" t="str">
        <f>IF(AND($B3492&gt;='111'!$N$11,$B3492&lt;='111'!$O$11,OR($L3492=$O$7,$M3492=$O$7)),"x","")</f>
        <v/>
      </c>
      <c r="P3492" s="525" t="str">
        <f>IF(AND($L3492=$O$7,$B3492&lt;'111'!$N$11),"x","")</f>
        <v/>
      </c>
      <c r="Q3492" s="525" t="str">
        <f>IF(AND($M3492=$O$7,$B3492&lt;'111'!$N$11),"x","")</f>
        <v/>
      </c>
      <c r="R3492" s="525" t="str">
        <f>IF(ISERROR(FIND('112'!$M$9,G3492,1)),"",IF((AND(FIND('112'!$M$9,G3492,1)&gt;=1,$B3492&gt;='112'!$N$8,$B3492&lt;='112'!$O$8,OR($L3492='112'!$I$6,$M3492='112'!$I$6))),"x",""))</f>
        <v/>
      </c>
      <c r="S3492" s="525" t="str">
        <f>IF(ISERROR(FIND('112'!$M$9,G3492,1)),"",IF((AND(LEFT(G3492,2)=LEFT('112'!$M$9,2),B3492&lt;'112'!$N$8,$L3492='112'!$I$6)),"x",""))</f>
        <v/>
      </c>
      <c r="T3492" s="525" t="str">
        <f>IF(ISERROR(FIND('112'!$M$9,G3492,1)),"",IF((AND(RIGHT(G3492,2)=RIGHT('112'!$M$9,2),B3492&lt;'112'!$N$8,$M3492='112'!$I$6)),"x",""))</f>
        <v/>
      </c>
      <c r="U3492" s="525" t="str">
        <f>IF(AND(B3492&gt;='IN-NX'!$P$3,B3492&lt;='IN-NX'!$Q$3,'IN-NX'!$D$7=D3492,OR(LEFT(L3492,2)="15",AND(LEFT(M3492,2)&lt;&gt;"15",LEFT(M3492,2)&lt;&gt;"33"))),"x","")</f>
        <v/>
      </c>
      <c r="V3492" s="525" t="str">
        <f>IF(AND(OR(LEFT(TH!L3492,2)="15",LEFT(TH!M3492,2)="15"),'152-CT'!$J$8=TH!F3492),"x","")</f>
        <v/>
      </c>
      <c r="W3492" s="525" t="str">
        <f>IF(AND(OR(LEFT(TH!L3492,2)="15",LEFT(TH!M3492,2)="15"),TK!$E$7=TH!F3492),"x","")</f>
        <v/>
      </c>
      <c r="X3492" s="525" t="str">
        <f>IF(AND('341-CT'!$E$9=H3492,OR(LEFT(L3492,3)=$X$7,LEFT(M3492,3)=$X$7)),"x","")</f>
        <v/>
      </c>
      <c r="Y3492" s="525" t="str">
        <f>IF(OR(TH!L3492=TH!$Y$7,M3492=TH!$Y$7),"x","")</f>
        <v/>
      </c>
      <c r="Z3492" s="525" t="str">
        <f>IF(AND(B3492&lt;=NKC!$N$8,B3492&gt;=NKC!$M$8),"x","")</f>
        <v/>
      </c>
      <c r="AA3492" s="535"/>
      <c r="AB3492" s="536"/>
      <c r="AC3492" s="536" t="str">
        <f>VLOOKUP(F3492,NXT!$B$12:$B$686,1,0)</f>
        <v>Thùng 183x19.2x8.2</v>
      </c>
      <c r="AD3492" s="536"/>
    </row>
    <row r="3493" spans="1:30" s="503" customFormat="1" ht="15.75" customHeight="1">
      <c r="A3493" s="517" t="str">
        <f>IF(B3493&lt;&gt;"",IF(AND(B3493&gt;=_TM1,B3493&lt;=_TM2,OR(TH!L3493="1111",TH!M3493="1111")),TH!D3493,""),"")</f>
        <v/>
      </c>
      <c r="B3493" s="531">
        <f t="shared" si="353"/>
        <v>7</v>
      </c>
      <c r="C3493" s="315">
        <f t="shared" si="361"/>
        <v>42947</v>
      </c>
      <c r="D3493" s="544" t="s">
        <v>1181</v>
      </c>
      <c r="E3493" s="315">
        <v>42947</v>
      </c>
      <c r="F3493" s="250" t="s">
        <v>1324</v>
      </c>
      <c r="G3493" s="314" t="s">
        <v>1323</v>
      </c>
      <c r="H3493" s="473" t="s">
        <v>1309</v>
      </c>
      <c r="I3493" s="307">
        <v>130</v>
      </c>
      <c r="J3493" s="307">
        <v>9759</v>
      </c>
      <c r="K3493" s="532">
        <f>ROUND(I3493*J3493,0)</f>
        <v>1268670</v>
      </c>
      <c r="L3493" s="534" t="s">
        <v>223</v>
      </c>
      <c r="M3493" s="534" t="s">
        <v>162</v>
      </c>
      <c r="N3493" s="525" t="str">
        <f>IF(AND('331-CT'!$E$7=TH!H3493,OR(L3493="331",M3493="331")),"331",IF(AND(OR(L3493="131",M3493="131"),H3493='131-CT'!$E$7),"131",""))</f>
        <v/>
      </c>
      <c r="O3493" s="525" t="str">
        <f>IF(AND($B3493&gt;='111'!$N$11,$B3493&lt;='111'!$O$11,OR($L3493=$O$7,$M3493=$O$7)),"x","")</f>
        <v/>
      </c>
      <c r="P3493" s="525" t="str">
        <f>IF(AND($L3493=$O$7,$B3493&lt;'111'!$N$11),"x","")</f>
        <v/>
      </c>
      <c r="Q3493" s="525" t="str">
        <f>IF(AND($M3493=$O$7,$B3493&lt;'111'!$N$11),"x","")</f>
        <v/>
      </c>
      <c r="R3493" s="525" t="str">
        <f>IF(ISERROR(FIND('112'!$M$9,G3493,1)),"",IF((AND(FIND('112'!$M$9,G3493,1)&gt;=1,$B3493&gt;='112'!$N$8,$B3493&lt;='112'!$O$8,OR($L3493='112'!$I$6,$M3493='112'!$I$6))),"x",""))</f>
        <v/>
      </c>
      <c r="S3493" s="525" t="str">
        <f>IF(ISERROR(FIND('112'!$M$9,G3493,1)),"",IF((AND(LEFT(G3493,2)=LEFT('112'!$M$9,2),B3493&lt;'112'!$N$8,$L3493='112'!$I$6)),"x",""))</f>
        <v/>
      </c>
      <c r="T3493" s="525" t="str">
        <f>IF(ISERROR(FIND('112'!$M$9,G3493,1)),"",IF((AND(RIGHT(G3493,2)=RIGHT('112'!$M$9,2),B3493&lt;'112'!$N$8,$M3493='112'!$I$6)),"x",""))</f>
        <v/>
      </c>
      <c r="U3493" s="525" t="str">
        <f>IF(AND(B3493&gt;='IN-NX'!$P$3,B3493&lt;='IN-NX'!$Q$3,'IN-NX'!$D$7=D3493,OR(LEFT(L3493,2)="15",AND(LEFT(M3493,2)&lt;&gt;"15",LEFT(M3493,2)&lt;&gt;"33"))),"x","")</f>
        <v/>
      </c>
      <c r="V3493" s="525" t="str">
        <f>IF(AND(OR(LEFT(TH!L3493,2)="15",LEFT(TH!M3493,2)="15"),'152-CT'!$J$8=TH!F3493),"x","")</f>
        <v/>
      </c>
      <c r="W3493" s="525" t="str">
        <f>IF(AND(OR(LEFT(TH!L3493,2)="15",LEFT(TH!M3493,2)="15"),TK!$E$7=TH!F3493),"x","")</f>
        <v/>
      </c>
      <c r="X3493" s="525" t="str">
        <f>IF(AND('341-CT'!$E$9=H3493,OR(LEFT(L3493,3)=$X$7,LEFT(M3493,3)=$X$7)),"x","")</f>
        <v/>
      </c>
      <c r="Y3493" s="525" t="str">
        <f>IF(OR(TH!L3493=TH!$Y$7,M3493=TH!$Y$7),"x","")</f>
        <v/>
      </c>
      <c r="Z3493" s="525" t="str">
        <f>IF(AND(B3493&lt;=NKC!$N$8,B3493&gt;=NKC!$M$8),"x","")</f>
        <v/>
      </c>
      <c r="AA3493" s="535"/>
      <c r="AB3493" s="536"/>
      <c r="AC3493" s="536" t="str">
        <f>VLOOKUP(F3493,NXT!$B$12:$B$686,1,0)</f>
        <v>Thùng 183x19.2x6.7</v>
      </c>
      <c r="AD3493" s="536"/>
    </row>
    <row r="3494" spans="1:30" s="503" customFormat="1" ht="15.75" customHeight="1">
      <c r="A3494" s="517" t="str">
        <f>IF(B3494&lt;&gt;"",IF(AND(B3494&gt;=_TM1,B3494&lt;=_TM2,OR(TH!L3494="1111",TH!M3494="1111")),TH!D3494,""),"")</f>
        <v/>
      </c>
      <c r="B3494" s="531">
        <f t="shared" ref="B3494:B3509" si="362">IF(C3494&lt;&gt;"",MONTH(C3494),"")</f>
        <v>7</v>
      </c>
      <c r="C3494" s="315">
        <f t="shared" si="361"/>
        <v>42947</v>
      </c>
      <c r="D3494" s="544" t="s">
        <v>1181</v>
      </c>
      <c r="E3494" s="315">
        <v>42947</v>
      </c>
      <c r="F3494" s="250" t="s">
        <v>1321</v>
      </c>
      <c r="G3494" s="314" t="s">
        <v>1323</v>
      </c>
      <c r="H3494" s="473" t="s">
        <v>1309</v>
      </c>
      <c r="I3494" s="307">
        <v>460</v>
      </c>
      <c r="J3494" s="307">
        <v>9599</v>
      </c>
      <c r="K3494" s="532">
        <f>ROUND(I3494*J3494,0)</f>
        <v>4415540</v>
      </c>
      <c r="L3494" s="534" t="s">
        <v>223</v>
      </c>
      <c r="M3494" s="534" t="s">
        <v>162</v>
      </c>
      <c r="N3494" s="525" t="str">
        <f>IF(AND('331-CT'!$E$7=TH!H3494,OR(L3494="331",M3494="331")),"331",IF(AND(OR(L3494="131",M3494="131"),H3494='131-CT'!$E$7),"131",""))</f>
        <v/>
      </c>
      <c r="O3494" s="525" t="str">
        <f>IF(AND($B3494&gt;='111'!$N$11,$B3494&lt;='111'!$O$11,OR($L3494=$O$7,$M3494=$O$7)),"x","")</f>
        <v/>
      </c>
      <c r="P3494" s="525" t="str">
        <f>IF(AND($L3494=$O$7,$B3494&lt;'111'!$N$11),"x","")</f>
        <v/>
      </c>
      <c r="Q3494" s="525" t="str">
        <f>IF(AND($M3494=$O$7,$B3494&lt;'111'!$N$11),"x","")</f>
        <v/>
      </c>
      <c r="R3494" s="525" t="str">
        <f>IF(ISERROR(FIND('112'!$M$9,G3494,1)),"",IF((AND(FIND('112'!$M$9,G3494,1)&gt;=1,$B3494&gt;='112'!$N$8,$B3494&lt;='112'!$O$8,OR($L3494='112'!$I$6,$M3494='112'!$I$6))),"x",""))</f>
        <v/>
      </c>
      <c r="S3494" s="525" t="str">
        <f>IF(ISERROR(FIND('112'!$M$9,G3494,1)),"",IF((AND(LEFT(G3494,2)=LEFT('112'!$M$9,2),B3494&lt;'112'!$N$8,$L3494='112'!$I$6)),"x",""))</f>
        <v/>
      </c>
      <c r="T3494" s="525" t="str">
        <f>IF(ISERROR(FIND('112'!$M$9,G3494,1)),"",IF((AND(RIGHT(G3494,2)=RIGHT('112'!$M$9,2),B3494&lt;'112'!$N$8,$M3494='112'!$I$6)),"x",""))</f>
        <v/>
      </c>
      <c r="U3494" s="525" t="str">
        <f>IF(AND(B3494&gt;='IN-NX'!$P$3,B3494&lt;='IN-NX'!$Q$3,'IN-NX'!$D$7=D3494,OR(LEFT(L3494,2)="15",AND(LEFT(M3494,2)&lt;&gt;"15",LEFT(M3494,2)&lt;&gt;"33"))),"x","")</f>
        <v/>
      </c>
      <c r="V3494" s="525" t="str">
        <f>IF(AND(OR(LEFT(TH!L3494,2)="15",LEFT(TH!M3494,2)="15"),'152-CT'!$J$8=TH!F3494),"x","")</f>
        <v/>
      </c>
      <c r="W3494" s="525" t="str">
        <f>IF(AND(OR(LEFT(TH!L3494,2)="15",LEFT(TH!M3494,2)="15"),TK!$E$7=TH!F3494),"x","")</f>
        <v/>
      </c>
      <c r="X3494" s="525" t="str">
        <f>IF(AND('341-CT'!$E$9=H3494,OR(LEFT(L3494,3)=$X$7,LEFT(M3494,3)=$X$7)),"x","")</f>
        <v/>
      </c>
      <c r="Y3494" s="525" t="str">
        <f>IF(OR(TH!L3494=TH!$Y$7,M3494=TH!$Y$7),"x","")</f>
        <v/>
      </c>
      <c r="Z3494" s="525" t="str">
        <f>IF(AND(B3494&lt;=NKC!$N$8,B3494&gt;=NKC!$M$8),"x","")</f>
        <v/>
      </c>
      <c r="AA3494" s="535"/>
      <c r="AB3494" s="536"/>
      <c r="AC3494" s="536" t="str">
        <f>VLOOKUP(F3494,NXT!$B$12:$B$686,1,0)</f>
        <v>Thùng 183x12.9x11.4</v>
      </c>
    </row>
    <row r="3495" spans="1:30" s="503" customFormat="1" ht="15.75" customHeight="1">
      <c r="A3495" s="517" t="str">
        <f>IF(B3495&lt;&gt;"",IF(AND(B3495&gt;=_TM1,B3495&lt;=_TM2,OR(TH!L3495="1111",TH!M3495="1111")),TH!D3495,""),"")</f>
        <v/>
      </c>
      <c r="B3495" s="531">
        <f t="shared" si="362"/>
        <v>7</v>
      </c>
      <c r="C3495" s="315">
        <f t="shared" si="361"/>
        <v>42947</v>
      </c>
      <c r="D3495" s="544" t="s">
        <v>1181</v>
      </c>
      <c r="E3495" s="315">
        <v>42947</v>
      </c>
      <c r="F3495" s="249" t="s">
        <v>494</v>
      </c>
      <c r="G3495" s="314" t="s">
        <v>1323</v>
      </c>
      <c r="H3495" s="473" t="s">
        <v>1309</v>
      </c>
      <c r="I3495" s="307"/>
      <c r="J3495" s="307"/>
      <c r="K3495" s="532">
        <v>1471376</v>
      </c>
      <c r="L3495" s="534" t="s">
        <v>223</v>
      </c>
      <c r="M3495" s="534" t="s">
        <v>259</v>
      </c>
      <c r="N3495" s="525" t="str">
        <f>IF(AND('331-CT'!$E$7=TH!H3495,OR(L3495="331",M3495="331")),"331",IF(AND(OR(L3495="131",M3495="131"),H3495='131-CT'!$E$7),"131",""))</f>
        <v/>
      </c>
      <c r="O3495" s="525" t="str">
        <f>IF(AND($B3495&gt;='111'!$N$11,$B3495&lt;='111'!$O$11,OR($L3495=$O$7,$M3495=$O$7)),"x","")</f>
        <v/>
      </c>
      <c r="P3495" s="525" t="str">
        <f>IF(AND($L3495=$O$7,$B3495&lt;'111'!$N$11),"x","")</f>
        <v/>
      </c>
      <c r="Q3495" s="525" t="str">
        <f>IF(AND($M3495=$O$7,$B3495&lt;'111'!$N$11),"x","")</f>
        <v/>
      </c>
      <c r="R3495" s="525" t="str">
        <f>IF(ISERROR(FIND('112'!$M$9,G3495,1)),"",IF((AND(FIND('112'!$M$9,G3495,1)&gt;=1,$B3495&gt;='112'!$N$8,$B3495&lt;='112'!$O$8,OR($L3495='112'!$I$6,$M3495='112'!$I$6))),"x",""))</f>
        <v/>
      </c>
      <c r="S3495" s="525" t="str">
        <f>IF(ISERROR(FIND('112'!$M$9,G3495,1)),"",IF((AND(LEFT(G3495,2)=LEFT('112'!$M$9,2),B3495&lt;'112'!$N$8,$L3495='112'!$I$6)),"x",""))</f>
        <v/>
      </c>
      <c r="T3495" s="525" t="str">
        <f>IF(ISERROR(FIND('112'!$M$9,G3495,1)),"",IF((AND(RIGHT(G3495,2)=RIGHT('112'!$M$9,2),B3495&lt;'112'!$N$8,$M3495='112'!$I$6)),"x",""))</f>
        <v/>
      </c>
      <c r="U3495" s="525" t="str">
        <f>IF(AND(B3495&gt;='IN-NX'!$P$3,B3495&lt;='IN-NX'!$Q$3,'IN-NX'!$D$7=D3495,OR(LEFT(L3495,2)="15",AND(LEFT(M3495,2)&lt;&gt;"15",LEFT(M3495,2)&lt;&gt;"33"))),"x","")</f>
        <v/>
      </c>
      <c r="V3495" s="525" t="str">
        <f>IF(AND(OR(LEFT(TH!L3495,2)="15",LEFT(TH!M3495,2)="15"),'152-CT'!$J$8=TH!F3495),"x","")</f>
        <v/>
      </c>
      <c r="W3495" s="525" t="str">
        <f>IF(AND(OR(LEFT(TH!L3495,2)="15",LEFT(TH!M3495,2)="15"),TK!$E$7=TH!F3495),"x","")</f>
        <v/>
      </c>
      <c r="X3495" s="525" t="str">
        <f>IF(AND('341-CT'!$E$9=H3495,OR(LEFT(L3495,3)=$X$7,LEFT(M3495,3)=$X$7)),"x","")</f>
        <v/>
      </c>
      <c r="Y3495" s="525" t="str">
        <f>IF(OR(TH!L3495=TH!$Y$7,M3495=TH!$Y$7),"x","")</f>
        <v/>
      </c>
      <c r="Z3495" s="525" t="str">
        <f>IF(AND(B3495&lt;=NKC!$N$8,B3495&gt;=NKC!$M$8),"x","")</f>
        <v/>
      </c>
      <c r="AA3495" s="535"/>
      <c r="AB3495" s="536"/>
    </row>
    <row r="3496" spans="1:30" s="503" customFormat="1" ht="15.75" customHeight="1">
      <c r="A3496" s="517" t="str">
        <f>IF(B3496&lt;&gt;"",IF(AND(B3496&gt;=_TM1,B3496&lt;=_TM2,OR(TH!L3496="1111",TH!M3496="1111")),TH!D3496,""),"")</f>
        <v/>
      </c>
      <c r="B3496" s="531">
        <f t="shared" si="362"/>
        <v>7</v>
      </c>
      <c r="C3496" s="315">
        <f t="shared" si="361"/>
        <v>42947</v>
      </c>
      <c r="D3496" s="544" t="s">
        <v>1181</v>
      </c>
      <c r="E3496" s="315">
        <v>42947</v>
      </c>
      <c r="F3496" s="249" t="s">
        <v>1099</v>
      </c>
      <c r="G3496" s="314" t="s">
        <v>1325</v>
      </c>
      <c r="H3496" s="472" t="s">
        <v>511</v>
      </c>
      <c r="I3496" s="307"/>
      <c r="J3496" s="307"/>
      <c r="K3496" s="532">
        <v>2600000</v>
      </c>
      <c r="L3496" s="534" t="s">
        <v>45</v>
      </c>
      <c r="M3496" s="534" t="s">
        <v>275</v>
      </c>
      <c r="N3496" s="525" t="str">
        <f>IF(AND('331-CT'!$E$7=TH!H3496,OR(L3496="331",M3496="331")),"331",IF(AND(OR(L3496="131",M3496="131"),H3496='131-CT'!$E$7),"131",""))</f>
        <v/>
      </c>
      <c r="O3496" s="525" t="str">
        <f>IF(AND($B3496&gt;='111'!$N$11,$B3496&lt;='111'!$O$11,OR($L3496=$O$7,$M3496=$O$7)),"x","")</f>
        <v/>
      </c>
      <c r="P3496" s="525" t="str">
        <f>IF(AND($L3496=$O$7,$B3496&lt;'111'!$N$11),"x","")</f>
        <v>x</v>
      </c>
      <c r="Q3496" s="525" t="str">
        <f>IF(AND($M3496=$O$7,$B3496&lt;'111'!$N$11),"x","")</f>
        <v/>
      </c>
      <c r="R3496" s="525" t="str">
        <f>IF(ISERROR(FIND('112'!$M$9,G3496,1)),"",IF((AND(FIND('112'!$M$9,G3496,1)&gt;=1,$B3496&gt;='112'!$N$8,$B3496&lt;='112'!$O$8,OR($L3496='112'!$I$6,$M3496='112'!$I$6))),"x",""))</f>
        <v/>
      </c>
      <c r="S3496" s="525" t="str">
        <f>IF(ISERROR(FIND('112'!$M$9,G3496,1)),"",IF((AND(LEFT(G3496,2)=LEFT('112'!$M$9,2),B3496&lt;'112'!$N$8,$L3496='112'!$I$6)),"x",""))</f>
        <v/>
      </c>
      <c r="T3496" s="525" t="str">
        <f>IF(ISERROR(FIND('112'!$M$9,G3496,1)),"",IF((AND(RIGHT(G3496,2)=RIGHT('112'!$M$9,2),B3496&lt;'112'!$N$8,$M3496='112'!$I$6)),"x",""))</f>
        <v/>
      </c>
      <c r="U3496" s="525" t="str">
        <f>IF(AND(B3496&gt;='IN-NX'!$P$3,B3496&lt;='IN-NX'!$Q$3,'IN-NX'!$D$7=D3496,OR(LEFT(L3496,2)="15",AND(LEFT(M3496,2)&lt;&gt;"15",LEFT(M3496,2)&lt;&gt;"33"))),"x","")</f>
        <v/>
      </c>
      <c r="V3496" s="525" t="str">
        <f>IF(AND(OR(LEFT(TH!L3496,2)="15",LEFT(TH!M3496,2)="15"),'152-CT'!$J$8=TH!F3496),"x","")</f>
        <v/>
      </c>
      <c r="W3496" s="525" t="str">
        <f>IF(AND(OR(LEFT(TH!L3496,2)="15",LEFT(TH!M3496,2)="15"),TK!$E$7=TH!F3496),"x","")</f>
        <v/>
      </c>
      <c r="X3496" s="525" t="str">
        <f>IF(AND('341-CT'!$E$9=H3496,OR(LEFT(L3496,3)=$X$7,LEFT(M3496,3)=$X$7)),"x","")</f>
        <v/>
      </c>
      <c r="Y3496" s="525" t="str">
        <f>IF(OR(TH!L3496=TH!$Y$7,M3496=TH!$Y$7),"x","")</f>
        <v/>
      </c>
      <c r="Z3496" s="525" t="str">
        <f>IF(AND(B3496&lt;=NKC!$N$8,B3496&gt;=NKC!$M$8),"x","")</f>
        <v/>
      </c>
      <c r="AA3496" s="535"/>
    </row>
    <row r="3497" spans="1:30" s="503" customFormat="1" ht="15.75" customHeight="1">
      <c r="A3497" s="517" t="str">
        <f>IF(B3497&lt;&gt;"",IF(AND(B3497&gt;=_TM1,B3497&lt;=_TM2,OR(TH!L3497="1111",TH!M3497="1111")),TH!D3497,""),"")</f>
        <v/>
      </c>
      <c r="B3497" s="531">
        <f t="shared" si="362"/>
        <v>7</v>
      </c>
      <c r="C3497" s="315">
        <f t="shared" si="361"/>
        <v>42947</v>
      </c>
      <c r="D3497" s="544" t="s">
        <v>1181</v>
      </c>
      <c r="E3497" s="315">
        <v>42947</v>
      </c>
      <c r="F3497" s="249" t="s">
        <v>1102</v>
      </c>
      <c r="G3497" s="314" t="s">
        <v>1325</v>
      </c>
      <c r="H3497" s="472" t="s">
        <v>511</v>
      </c>
      <c r="I3497" s="307"/>
      <c r="J3497" s="307"/>
      <c r="K3497" s="532">
        <v>260000</v>
      </c>
      <c r="L3497" s="534" t="s">
        <v>45</v>
      </c>
      <c r="M3497" s="534" t="s">
        <v>259</v>
      </c>
      <c r="N3497" s="525" t="str">
        <f>IF(AND('331-CT'!$E$7=TH!H3497,OR(L3497="331",M3497="331")),"331",IF(AND(OR(L3497="131",M3497="131"),H3497='131-CT'!$E$7),"131",""))</f>
        <v/>
      </c>
      <c r="O3497" s="525" t="str">
        <f>IF(AND($B3497&gt;='111'!$N$11,$B3497&lt;='111'!$O$11,OR($L3497=$O$7,$M3497=$O$7)),"x","")</f>
        <v/>
      </c>
      <c r="P3497" s="525" t="str">
        <f>IF(AND($L3497=$O$7,$B3497&lt;'111'!$N$11),"x","")</f>
        <v>x</v>
      </c>
      <c r="Q3497" s="525" t="str">
        <f>IF(AND($M3497=$O$7,$B3497&lt;'111'!$N$11),"x","")</f>
        <v/>
      </c>
      <c r="R3497" s="525" t="str">
        <f>IF(ISERROR(FIND('112'!$M$9,G3497,1)),"",IF((AND(FIND('112'!$M$9,G3497,1)&gt;=1,$B3497&gt;='112'!$N$8,$B3497&lt;='112'!$O$8,OR($L3497='112'!$I$6,$M3497='112'!$I$6))),"x",""))</f>
        <v/>
      </c>
      <c r="S3497" s="525" t="str">
        <f>IF(ISERROR(FIND('112'!$M$9,G3497,1)),"",IF((AND(LEFT(G3497,2)=LEFT('112'!$M$9,2),B3497&lt;'112'!$N$8,$L3497='112'!$I$6)),"x",""))</f>
        <v/>
      </c>
      <c r="T3497" s="525" t="str">
        <f>IF(ISERROR(FIND('112'!$M$9,G3497,1)),"",IF((AND(RIGHT(G3497,2)=RIGHT('112'!$M$9,2),B3497&lt;'112'!$N$8,$M3497='112'!$I$6)),"x",""))</f>
        <v/>
      </c>
      <c r="U3497" s="525" t="str">
        <f>IF(AND(B3497&gt;='IN-NX'!$P$3,B3497&lt;='IN-NX'!$Q$3,'IN-NX'!$D$7=D3497,OR(LEFT(L3497,2)="15",AND(LEFT(M3497,2)&lt;&gt;"15",LEFT(M3497,2)&lt;&gt;"33"))),"x","")</f>
        <v/>
      </c>
      <c r="V3497" s="525" t="str">
        <f>IF(AND(OR(LEFT(TH!L3497,2)="15",LEFT(TH!M3497,2)="15"),'152-CT'!$J$8=TH!F3497),"x","")</f>
        <v/>
      </c>
      <c r="W3497" s="525" t="str">
        <f>IF(AND(OR(LEFT(TH!L3497,2)="15",LEFT(TH!M3497,2)="15"),TK!$E$7=TH!F3497),"x","")</f>
        <v/>
      </c>
      <c r="X3497" s="525" t="str">
        <f>IF(AND('341-CT'!$E$9=H3497,OR(LEFT(L3497,3)=$X$7,LEFT(M3497,3)=$X$7)),"x","")</f>
        <v/>
      </c>
      <c r="Y3497" s="525" t="str">
        <f>IF(OR(TH!L3497=TH!$Y$7,M3497=TH!$Y$7),"x","")</f>
        <v/>
      </c>
      <c r="Z3497" s="525" t="str">
        <f>IF(AND(B3497&lt;=NKC!$N$8,B3497&gt;=NKC!$M$8),"x","")</f>
        <v/>
      </c>
      <c r="AA3497" s="535"/>
    </row>
    <row r="3498" spans="1:30" s="503" customFormat="1" ht="15.75" customHeight="1">
      <c r="A3498" s="517" t="str">
        <f>IF(B3498&lt;&gt;"",IF(AND(B3498&gt;=_TM1,B3498&lt;=_TM2,OR(TH!L3498="1111",TH!M3498="1111")),TH!D3498,""),"")</f>
        <v/>
      </c>
      <c r="B3498" s="531">
        <f t="shared" si="362"/>
        <v>7</v>
      </c>
      <c r="C3498" s="315">
        <f t="shared" si="361"/>
        <v>42947</v>
      </c>
      <c r="D3498" s="544" t="s">
        <v>1181</v>
      </c>
      <c r="E3498" s="315">
        <v>42947</v>
      </c>
      <c r="F3498" s="245" t="s">
        <v>503</v>
      </c>
      <c r="G3498" s="314" t="s">
        <v>1326</v>
      </c>
      <c r="H3498" s="473" t="s">
        <v>375</v>
      </c>
      <c r="I3498" s="307">
        <v>2050</v>
      </c>
      <c r="J3498" s="307">
        <v>8500</v>
      </c>
      <c r="K3498" s="532">
        <f>ROUND(I3498*J3498,0)</f>
        <v>17425000</v>
      </c>
      <c r="L3498" s="534" t="s">
        <v>223</v>
      </c>
      <c r="M3498" s="534" t="s">
        <v>162</v>
      </c>
      <c r="N3498" s="525" t="str">
        <f>IF(AND('331-CT'!$E$7=TH!H3498,OR(L3498="331",M3498="331")),"331",IF(AND(OR(L3498="131",M3498="131"),H3498='131-CT'!$E$7),"131",""))</f>
        <v/>
      </c>
      <c r="O3498" s="525" t="str">
        <f>IF(AND($B3498&gt;='111'!$N$11,$B3498&lt;='111'!$O$11,OR($L3498=$O$7,$M3498=$O$7)),"x","")</f>
        <v/>
      </c>
      <c r="P3498" s="525" t="str">
        <f>IF(AND($L3498=$O$7,$B3498&lt;'111'!$N$11),"x","")</f>
        <v/>
      </c>
      <c r="Q3498" s="525" t="str">
        <f>IF(AND($M3498=$O$7,$B3498&lt;'111'!$N$11),"x","")</f>
        <v/>
      </c>
      <c r="R3498" s="525" t="str">
        <f>IF(ISERROR(FIND('112'!$M$9,G3498,1)),"",IF((AND(FIND('112'!$M$9,G3498,1)&gt;=1,$B3498&gt;='112'!$N$8,$B3498&lt;='112'!$O$8,OR($L3498='112'!$I$6,$M3498='112'!$I$6))),"x",""))</f>
        <v/>
      </c>
      <c r="S3498" s="525" t="str">
        <f>IF(ISERROR(FIND('112'!$M$9,G3498,1)),"",IF((AND(LEFT(G3498,2)=LEFT('112'!$M$9,2),B3498&lt;'112'!$N$8,$L3498='112'!$I$6)),"x",""))</f>
        <v/>
      </c>
      <c r="T3498" s="525" t="str">
        <f>IF(ISERROR(FIND('112'!$M$9,G3498,1)),"",IF((AND(RIGHT(G3498,2)=RIGHT('112'!$M$9,2),B3498&lt;'112'!$N$8,$M3498='112'!$I$6)),"x",""))</f>
        <v/>
      </c>
      <c r="U3498" s="525" t="str">
        <f>IF(AND(B3498&gt;='IN-NX'!$P$3,B3498&lt;='IN-NX'!$Q$3,'IN-NX'!$D$7=D3498,OR(LEFT(L3498,2)="15",AND(LEFT(M3498,2)&lt;&gt;"15",LEFT(M3498,2)&lt;&gt;"33"))),"x","")</f>
        <v/>
      </c>
      <c r="V3498" s="525" t="str">
        <f>IF(AND(OR(LEFT(TH!L3498,2)="15",LEFT(TH!M3498,2)="15"),'152-CT'!$J$8=TH!F3498),"x","")</f>
        <v/>
      </c>
      <c r="W3498" s="525" t="str">
        <f>IF(AND(OR(LEFT(TH!L3498,2)="15",LEFT(TH!M3498,2)="15"),TK!$E$7=TH!F3498),"x","")</f>
        <v/>
      </c>
      <c r="X3498" s="525" t="str">
        <f>IF(AND('341-CT'!$E$9=H3498,OR(LEFT(L3498,3)=$X$7,LEFT(M3498,3)=$X$7)),"x","")</f>
        <v/>
      </c>
      <c r="Y3498" s="525" t="str">
        <f>IF(OR(TH!L3498=TH!$Y$7,M3498=TH!$Y$7),"x","")</f>
        <v/>
      </c>
      <c r="Z3498" s="525" t="str">
        <f>IF(AND(B3498&lt;=NKC!$N$8,B3498&gt;=NKC!$M$8),"x","")</f>
        <v/>
      </c>
      <c r="AA3498" s="535"/>
      <c r="AC3498" s="536" t="str">
        <f>VLOOKUP(F3498,NXT!$B$12:$B$686,1,0)</f>
        <v>Giấy 5 lớp</v>
      </c>
    </row>
    <row r="3499" spans="1:30" s="503" customFormat="1" ht="15.75" customHeight="1">
      <c r="A3499" s="517" t="str">
        <f>IF(B3499&lt;&gt;"",IF(AND(B3499&gt;=_TM1,B3499&lt;=_TM2,OR(TH!L3499="1111",TH!M3499="1111")),TH!D3499,""),"")</f>
        <v/>
      </c>
      <c r="B3499" s="531">
        <f t="shared" si="362"/>
        <v>7</v>
      </c>
      <c r="C3499" s="315">
        <f t="shared" si="361"/>
        <v>42947</v>
      </c>
      <c r="D3499" s="544" t="s">
        <v>1181</v>
      </c>
      <c r="E3499" s="315">
        <v>42947</v>
      </c>
      <c r="F3499" s="250" t="s">
        <v>1320</v>
      </c>
      <c r="G3499" s="314" t="s">
        <v>1326</v>
      </c>
      <c r="H3499" s="473" t="s">
        <v>375</v>
      </c>
      <c r="I3499" s="307"/>
      <c r="J3499" s="307"/>
      <c r="K3499" s="532">
        <v>1742500</v>
      </c>
      <c r="L3499" s="534" t="s">
        <v>223</v>
      </c>
      <c r="M3499" s="534" t="s">
        <v>259</v>
      </c>
      <c r="N3499" s="525" t="str">
        <f>IF(AND('331-CT'!$E$7=TH!H3499,OR(L3499="331",M3499="331")),"331",IF(AND(OR(L3499="131",M3499="131"),H3499='131-CT'!$E$7),"131",""))</f>
        <v/>
      </c>
      <c r="O3499" s="525" t="str">
        <f>IF(AND($B3499&gt;='111'!$N$11,$B3499&lt;='111'!$O$11,OR($L3499=$O$7,$M3499=$O$7)),"x","")</f>
        <v/>
      </c>
      <c r="P3499" s="525" t="str">
        <f>IF(AND($L3499=$O$7,$B3499&lt;'111'!$N$11),"x","")</f>
        <v/>
      </c>
      <c r="Q3499" s="525" t="str">
        <f>IF(AND($M3499=$O$7,$B3499&lt;'111'!$N$11),"x","")</f>
        <v/>
      </c>
      <c r="R3499" s="525" t="str">
        <f>IF(ISERROR(FIND('112'!$M$9,G3499,1)),"",IF((AND(FIND('112'!$M$9,G3499,1)&gt;=1,$B3499&gt;='112'!$N$8,$B3499&lt;='112'!$O$8,OR($L3499='112'!$I$6,$M3499='112'!$I$6))),"x",""))</f>
        <v/>
      </c>
      <c r="S3499" s="525" t="str">
        <f>IF(ISERROR(FIND('112'!$M$9,G3499,1)),"",IF((AND(LEFT(G3499,2)=LEFT('112'!$M$9,2),B3499&lt;'112'!$N$8,$L3499='112'!$I$6)),"x",""))</f>
        <v/>
      </c>
      <c r="T3499" s="525" t="str">
        <f>IF(ISERROR(FIND('112'!$M$9,G3499,1)),"",IF((AND(RIGHT(G3499,2)=RIGHT('112'!$M$9,2),B3499&lt;'112'!$N$8,$M3499='112'!$I$6)),"x",""))</f>
        <v/>
      </c>
      <c r="U3499" s="525" t="str">
        <f>IF(AND(B3499&gt;='IN-NX'!$P$3,B3499&lt;='IN-NX'!$Q$3,'IN-NX'!$D$7=D3499,OR(LEFT(L3499,2)="15",AND(LEFT(M3499,2)&lt;&gt;"15",LEFT(M3499,2)&lt;&gt;"33"))),"x","")</f>
        <v/>
      </c>
      <c r="V3499" s="525" t="str">
        <f>IF(AND(OR(LEFT(TH!L3499,2)="15",LEFT(TH!M3499,2)="15"),'152-CT'!$J$8=TH!F3499),"x","")</f>
        <v/>
      </c>
      <c r="W3499" s="525" t="str">
        <f>IF(AND(OR(LEFT(TH!L3499,2)="15",LEFT(TH!M3499,2)="15"),TK!$E$7=TH!F3499),"x","")</f>
        <v/>
      </c>
      <c r="X3499" s="525" t="str">
        <f>IF(AND('341-CT'!$E$9=H3499,OR(LEFT(L3499,3)=$X$7,LEFT(M3499,3)=$X$7)),"x","")</f>
        <v/>
      </c>
      <c r="Y3499" s="525" t="str">
        <f>IF(OR(TH!L3499=TH!$Y$7,M3499=TH!$Y$7),"x","")</f>
        <v/>
      </c>
      <c r="Z3499" s="525" t="str">
        <f>IF(AND(B3499&lt;=NKC!$N$8,B3499&gt;=NKC!$M$8),"x","")</f>
        <v/>
      </c>
      <c r="AA3499" s="535"/>
      <c r="AB3499" s="536"/>
      <c r="AD3499" s="536"/>
    </row>
    <row r="3500" spans="1:30" s="503" customFormat="1" ht="15.75" customHeight="1">
      <c r="A3500" s="517" t="str">
        <f>IF(B3500&lt;&gt;"",IF(AND(B3500&gt;=_TM1,B3500&lt;=_TM2,OR(TH!L3500="1111",TH!M3500="1111")),TH!D3500,""),"")</f>
        <v/>
      </c>
      <c r="B3500" s="531">
        <f t="shared" si="362"/>
        <v>7</v>
      </c>
      <c r="C3500" s="315">
        <f t="shared" si="361"/>
        <v>42947</v>
      </c>
      <c r="D3500" s="544" t="s">
        <v>1181</v>
      </c>
      <c r="E3500" s="315">
        <v>42947</v>
      </c>
      <c r="F3500" s="245" t="s">
        <v>274</v>
      </c>
      <c r="G3500" s="314" t="s">
        <v>1327</v>
      </c>
      <c r="H3500" s="473" t="s">
        <v>283</v>
      </c>
      <c r="I3500" s="307">
        <v>3200</v>
      </c>
      <c r="J3500" s="307">
        <v>18500</v>
      </c>
      <c r="K3500" s="532">
        <f>ROUND(I3500*J3500,0)</f>
        <v>59200000</v>
      </c>
      <c r="L3500" s="534" t="s">
        <v>223</v>
      </c>
      <c r="M3500" s="534" t="s">
        <v>162</v>
      </c>
      <c r="N3500" s="525" t="str">
        <f>IF(AND('331-CT'!$E$7=TH!H3500,OR(L3500="331",M3500="331")),"331",IF(AND(OR(L3500="131",M3500="131"),H3500='131-CT'!$E$7),"131",""))</f>
        <v/>
      </c>
      <c r="O3500" s="525" t="str">
        <f>IF(AND($B3500&gt;='111'!$N$11,$B3500&lt;='111'!$O$11,OR($L3500=$O$7,$M3500=$O$7)),"x","")</f>
        <v/>
      </c>
      <c r="P3500" s="525" t="str">
        <f>IF(AND($L3500=$O$7,$B3500&lt;'111'!$N$11),"x","")</f>
        <v/>
      </c>
      <c r="Q3500" s="525" t="str">
        <f>IF(AND($M3500=$O$7,$B3500&lt;'111'!$N$11),"x","")</f>
        <v/>
      </c>
      <c r="R3500" s="525" t="str">
        <f>IF(ISERROR(FIND('112'!$M$9,G3500,1)),"",IF((AND(FIND('112'!$M$9,G3500,1)&gt;=1,$B3500&gt;='112'!$N$8,$B3500&lt;='112'!$O$8,OR($L3500='112'!$I$6,$M3500='112'!$I$6))),"x",""))</f>
        <v/>
      </c>
      <c r="S3500" s="525" t="str">
        <f>IF(ISERROR(FIND('112'!$M$9,G3500,1)),"",IF((AND(LEFT(G3500,2)=LEFT('112'!$M$9,2),B3500&lt;'112'!$N$8,$L3500='112'!$I$6)),"x",""))</f>
        <v/>
      </c>
      <c r="T3500" s="525" t="str">
        <f>IF(ISERROR(FIND('112'!$M$9,G3500,1)),"",IF((AND(RIGHT(G3500,2)=RIGHT('112'!$M$9,2),B3500&lt;'112'!$N$8,$M3500='112'!$I$6)),"x",""))</f>
        <v/>
      </c>
      <c r="U3500" s="525" t="str">
        <f>IF(AND(B3500&gt;='IN-NX'!$P$3,B3500&lt;='IN-NX'!$Q$3,'IN-NX'!$D$7=D3500,OR(LEFT(L3500,2)="15",AND(LEFT(M3500,2)&lt;&gt;"15",LEFT(M3500,2)&lt;&gt;"33"))),"x","")</f>
        <v/>
      </c>
      <c r="V3500" s="525" t="str">
        <f>IF(AND(OR(LEFT(TH!L3500,2)="15",LEFT(TH!M3500,2)="15"),'152-CT'!$J$8=TH!F3500),"x","")</f>
        <v/>
      </c>
      <c r="W3500" s="525" t="str">
        <f>IF(AND(OR(LEFT(TH!L3500,2)="15",LEFT(TH!M3500,2)="15"),TK!$E$7=TH!F3500),"x","")</f>
        <v/>
      </c>
      <c r="X3500" s="525" t="str">
        <f>IF(AND('341-CT'!$E$9=H3500,OR(LEFT(L3500,3)=$X$7,LEFT(M3500,3)=$X$7)),"x","")</f>
        <v/>
      </c>
      <c r="Y3500" s="525" t="str">
        <f>IF(OR(TH!L3500=TH!$Y$7,M3500=TH!$Y$7),"x","")</f>
        <v/>
      </c>
      <c r="Z3500" s="525" t="str">
        <f>IF(AND(B3500&lt;=NKC!$N$8,B3500&gt;=NKC!$M$8),"x","")</f>
        <v/>
      </c>
      <c r="AA3500" s="535"/>
      <c r="AB3500" s="536"/>
      <c r="AC3500" s="536" t="str">
        <f>VLOOKUP(F3500,NXT!$B$12:$B$686,1,0)</f>
        <v>Giấy 2 lớp</v>
      </c>
      <c r="AD3500" s="536"/>
    </row>
    <row r="3501" spans="1:30" s="503" customFormat="1" ht="15.75" customHeight="1">
      <c r="A3501" s="517" t="str">
        <f>IF(B3501&lt;&gt;"",IF(AND(B3501&gt;=_TM1,B3501&lt;=_TM2,OR(TH!L3501="1111",TH!M3501="1111")),TH!D3501,""),"")</f>
        <v/>
      </c>
      <c r="B3501" s="531">
        <f t="shared" si="362"/>
        <v>7</v>
      </c>
      <c r="C3501" s="315">
        <f t="shared" si="361"/>
        <v>42947</v>
      </c>
      <c r="D3501" s="544" t="s">
        <v>1181</v>
      </c>
      <c r="E3501" s="315">
        <v>42947</v>
      </c>
      <c r="F3501" s="245" t="s">
        <v>273</v>
      </c>
      <c r="G3501" s="314" t="s">
        <v>1327</v>
      </c>
      <c r="H3501" s="473" t="s">
        <v>283</v>
      </c>
      <c r="I3501" s="307">
        <v>3300</v>
      </c>
      <c r="J3501" s="307">
        <v>18500</v>
      </c>
      <c r="K3501" s="532">
        <f>ROUND(I3501*J3501,0)</f>
        <v>61050000</v>
      </c>
      <c r="L3501" s="534" t="s">
        <v>223</v>
      </c>
      <c r="M3501" s="534" t="s">
        <v>162</v>
      </c>
      <c r="N3501" s="525" t="str">
        <f>IF(AND('331-CT'!$E$7=TH!H3501,OR(L3501="331",M3501="331")),"331",IF(AND(OR(L3501="131",M3501="131"),H3501='131-CT'!$E$7),"131",""))</f>
        <v/>
      </c>
      <c r="O3501" s="525" t="str">
        <f>IF(AND($B3501&gt;='111'!$N$11,$B3501&lt;='111'!$O$11,OR($L3501=$O$7,$M3501=$O$7)),"x","")</f>
        <v/>
      </c>
      <c r="P3501" s="525" t="str">
        <f>IF(AND($L3501=$O$7,$B3501&lt;'111'!$N$11),"x","")</f>
        <v/>
      </c>
      <c r="Q3501" s="525" t="str">
        <f>IF(AND($M3501=$O$7,$B3501&lt;'111'!$N$11),"x","")</f>
        <v/>
      </c>
      <c r="R3501" s="525" t="str">
        <f>IF(ISERROR(FIND('112'!$M$9,G3501,1)),"",IF((AND(FIND('112'!$M$9,G3501,1)&gt;=1,$B3501&gt;='112'!$N$8,$B3501&lt;='112'!$O$8,OR($L3501='112'!$I$6,$M3501='112'!$I$6))),"x",""))</f>
        <v/>
      </c>
      <c r="S3501" s="525" t="str">
        <f>IF(ISERROR(FIND('112'!$M$9,G3501,1)),"",IF((AND(LEFT(G3501,2)=LEFT('112'!$M$9,2),B3501&lt;'112'!$N$8,$L3501='112'!$I$6)),"x",""))</f>
        <v/>
      </c>
      <c r="T3501" s="525" t="str">
        <f>IF(ISERROR(FIND('112'!$M$9,G3501,1)),"",IF((AND(RIGHT(G3501,2)=RIGHT('112'!$M$9,2),B3501&lt;'112'!$N$8,$M3501='112'!$I$6)),"x",""))</f>
        <v/>
      </c>
      <c r="U3501" s="525" t="str">
        <f>IF(AND(B3501&gt;='IN-NX'!$P$3,B3501&lt;='IN-NX'!$Q$3,'IN-NX'!$D$7=D3501,OR(LEFT(L3501,2)="15",AND(LEFT(M3501,2)&lt;&gt;"15",LEFT(M3501,2)&lt;&gt;"33"))),"x","")</f>
        <v/>
      </c>
      <c r="V3501" s="525" t="str">
        <f>IF(AND(OR(LEFT(TH!L3501,2)="15",LEFT(TH!M3501,2)="15"),'152-CT'!$J$8=TH!F3501),"x","")</f>
        <v/>
      </c>
      <c r="W3501" s="525" t="str">
        <f>IF(AND(OR(LEFT(TH!L3501,2)="15",LEFT(TH!M3501,2)="15"),TK!$E$7=TH!F3501),"x","")</f>
        <v/>
      </c>
      <c r="X3501" s="525" t="str">
        <f>IF(AND('341-CT'!$E$9=H3501,OR(LEFT(L3501,3)=$X$7,LEFT(M3501,3)=$X$7)),"x","")</f>
        <v/>
      </c>
      <c r="Y3501" s="525" t="str">
        <f>IF(OR(TH!L3501=TH!$Y$7,M3501=TH!$Y$7),"x","")</f>
        <v/>
      </c>
      <c r="Z3501" s="525" t="str">
        <f>IF(AND(B3501&lt;=NKC!$N$8,B3501&gt;=NKC!$M$8),"x","")</f>
        <v/>
      </c>
      <c r="AA3501" s="535"/>
      <c r="AB3501" s="536"/>
      <c r="AC3501" s="536" t="str">
        <f>VLOOKUP(F3501,NXT!$B$12:$B$686,1,0)</f>
        <v>Giấy 3 lớp</v>
      </c>
      <c r="AD3501" s="536"/>
    </row>
    <row r="3502" spans="1:30" s="503" customFormat="1" ht="15.75" customHeight="1">
      <c r="A3502" s="517" t="str">
        <f>IF(B3502&lt;&gt;"",IF(AND(B3502&gt;=_TM1,B3502&lt;=_TM2,OR(TH!L3502="1111",TH!M3502="1111")),TH!D3502,""),"")</f>
        <v/>
      </c>
      <c r="B3502" s="531">
        <f t="shared" si="362"/>
        <v>7</v>
      </c>
      <c r="C3502" s="315">
        <f t="shared" si="361"/>
        <v>42947</v>
      </c>
      <c r="D3502" s="544" t="s">
        <v>1181</v>
      </c>
      <c r="E3502" s="315">
        <v>42947</v>
      </c>
      <c r="F3502" s="250" t="s">
        <v>501</v>
      </c>
      <c r="G3502" s="314" t="s">
        <v>1327</v>
      </c>
      <c r="H3502" s="473" t="s">
        <v>283</v>
      </c>
      <c r="I3502" s="307"/>
      <c r="J3502" s="307"/>
      <c r="K3502" s="532">
        <v>12025000</v>
      </c>
      <c r="L3502" s="534" t="s">
        <v>223</v>
      </c>
      <c r="M3502" s="534" t="s">
        <v>259</v>
      </c>
      <c r="N3502" s="525" t="str">
        <f>IF(AND('331-CT'!$E$7=TH!H3502,OR(L3502="331",M3502="331")),"331",IF(AND(OR(L3502="131",M3502="131"),H3502='131-CT'!$E$7),"131",""))</f>
        <v/>
      </c>
      <c r="O3502" s="525" t="str">
        <f>IF(AND($B3502&gt;='111'!$N$11,$B3502&lt;='111'!$O$11,OR($L3502=$O$7,$M3502=$O$7)),"x","")</f>
        <v/>
      </c>
      <c r="P3502" s="525" t="str">
        <f>IF(AND($L3502=$O$7,$B3502&lt;'111'!$N$11),"x","")</f>
        <v/>
      </c>
      <c r="Q3502" s="525" t="str">
        <f>IF(AND($M3502=$O$7,$B3502&lt;'111'!$N$11),"x","")</f>
        <v/>
      </c>
      <c r="R3502" s="525" t="str">
        <f>IF(ISERROR(FIND('112'!$M$9,G3502,1)),"",IF((AND(FIND('112'!$M$9,G3502,1)&gt;=1,$B3502&gt;='112'!$N$8,$B3502&lt;='112'!$O$8,OR($L3502='112'!$I$6,$M3502='112'!$I$6))),"x",""))</f>
        <v/>
      </c>
      <c r="S3502" s="525" t="str">
        <f>IF(ISERROR(FIND('112'!$M$9,G3502,1)),"",IF((AND(LEFT(G3502,2)=LEFT('112'!$M$9,2),B3502&lt;'112'!$N$8,$L3502='112'!$I$6)),"x",""))</f>
        <v/>
      </c>
      <c r="T3502" s="525" t="str">
        <f>IF(ISERROR(FIND('112'!$M$9,G3502,1)),"",IF((AND(RIGHT(G3502,2)=RIGHT('112'!$M$9,2),B3502&lt;'112'!$N$8,$M3502='112'!$I$6)),"x",""))</f>
        <v/>
      </c>
      <c r="U3502" s="525" t="str">
        <f>IF(AND(B3502&gt;='IN-NX'!$P$3,B3502&lt;='IN-NX'!$Q$3,'IN-NX'!$D$7=D3502,OR(LEFT(L3502,2)="15",AND(LEFT(M3502,2)&lt;&gt;"15",LEFT(M3502,2)&lt;&gt;"33"))),"x","")</f>
        <v/>
      </c>
      <c r="V3502" s="525" t="str">
        <f>IF(AND(OR(LEFT(TH!L3502,2)="15",LEFT(TH!M3502,2)="15"),'152-CT'!$J$8=TH!F3502),"x","")</f>
        <v/>
      </c>
      <c r="W3502" s="525" t="str">
        <f>IF(AND(OR(LEFT(TH!L3502,2)="15",LEFT(TH!M3502,2)="15"),TK!$E$7=TH!F3502),"x","")</f>
        <v/>
      </c>
      <c r="X3502" s="525" t="str">
        <f>IF(AND('341-CT'!$E$9=H3502,OR(LEFT(L3502,3)=$X$7,LEFT(M3502,3)=$X$7)),"x","")</f>
        <v/>
      </c>
      <c r="Y3502" s="525" t="str">
        <f>IF(OR(TH!L3502=TH!$Y$7,M3502=TH!$Y$7),"x","")</f>
        <v/>
      </c>
      <c r="Z3502" s="525" t="str">
        <f>IF(AND(B3502&lt;=NKC!$N$8,B3502&gt;=NKC!$M$8),"x","")</f>
        <v/>
      </c>
      <c r="AA3502" s="535"/>
      <c r="AB3502" s="536"/>
      <c r="AC3502" s="536"/>
      <c r="AD3502" s="536"/>
    </row>
    <row r="3503" spans="1:30" s="503" customFormat="1" ht="15.75" customHeight="1">
      <c r="A3503" s="517" t="str">
        <f>IF(B3503&lt;&gt;"",IF(AND(B3503&gt;=_TM1,B3503&lt;=_TM2,OR(TH!L3503="1111",TH!M3503="1111")),TH!D3503,""),"")</f>
        <v/>
      </c>
      <c r="B3503" s="531">
        <f t="shared" si="362"/>
        <v>7</v>
      </c>
      <c r="C3503" s="315">
        <f t="shared" si="361"/>
        <v>42947</v>
      </c>
      <c r="D3503" s="544" t="s">
        <v>1181</v>
      </c>
      <c r="E3503" s="315">
        <v>42947</v>
      </c>
      <c r="F3503" s="250" t="s">
        <v>1343</v>
      </c>
      <c r="G3503" s="314" t="s">
        <v>1341</v>
      </c>
      <c r="H3503" s="473" t="s">
        <v>284</v>
      </c>
      <c r="I3503" s="307">
        <v>53</v>
      </c>
      <c r="J3503" s="307">
        <v>71934</v>
      </c>
      <c r="K3503" s="532">
        <f t="shared" ref="K3503:K3509" si="363">ROUND(I3503*J3503,0)</f>
        <v>3812502</v>
      </c>
      <c r="L3503" s="534" t="s">
        <v>223</v>
      </c>
      <c r="M3503" s="534" t="s">
        <v>162</v>
      </c>
      <c r="N3503" s="525" t="str">
        <f>IF(AND('331-CT'!$E$7=TH!H3503,OR(L3503="331",M3503="331")),"331",IF(AND(OR(L3503="131",M3503="131"),H3503='131-CT'!$E$7),"131",""))</f>
        <v/>
      </c>
      <c r="O3503" s="525" t="str">
        <f>IF(AND($B3503&gt;='111'!$N$11,$B3503&lt;='111'!$O$11,OR($L3503=$O$7,$M3503=$O$7)),"x","")</f>
        <v/>
      </c>
      <c r="P3503" s="525" t="str">
        <f>IF(AND($L3503=$O$7,$B3503&lt;'111'!$N$11),"x","")</f>
        <v/>
      </c>
      <c r="Q3503" s="525" t="str">
        <f>IF(AND($M3503=$O$7,$B3503&lt;'111'!$N$11),"x","")</f>
        <v/>
      </c>
      <c r="R3503" s="525" t="str">
        <f>IF(ISERROR(FIND('112'!$M$9,G3503,1)),"",IF((AND(FIND('112'!$M$9,G3503,1)&gt;=1,$B3503&gt;='112'!$N$8,$B3503&lt;='112'!$O$8,OR($L3503='112'!$I$6,$M3503='112'!$I$6))),"x",""))</f>
        <v/>
      </c>
      <c r="S3503" s="525" t="str">
        <f>IF(ISERROR(FIND('112'!$M$9,G3503,1)),"",IF((AND(LEFT(G3503,2)=LEFT('112'!$M$9,2),B3503&lt;'112'!$N$8,$L3503='112'!$I$6)),"x",""))</f>
        <v/>
      </c>
      <c r="T3503" s="525" t="str">
        <f>IF(ISERROR(FIND('112'!$M$9,G3503,1)),"",IF((AND(RIGHT(G3503,2)=RIGHT('112'!$M$9,2),B3503&lt;'112'!$N$8,$M3503='112'!$I$6)),"x",""))</f>
        <v/>
      </c>
      <c r="U3503" s="525" t="str">
        <f>IF(AND(B3503&gt;='IN-NX'!$P$3,B3503&lt;='IN-NX'!$Q$3,'IN-NX'!$D$7=D3503,OR(LEFT(L3503,2)="15",AND(LEFT(M3503,2)&lt;&gt;"15",LEFT(M3503,2)&lt;&gt;"33"))),"x","")</f>
        <v/>
      </c>
      <c r="V3503" s="525" t="str">
        <f>IF(AND(OR(LEFT(TH!L3503,2)="15",LEFT(TH!M3503,2)="15"),'152-CT'!$J$8=TH!F3503),"x","")</f>
        <v/>
      </c>
      <c r="W3503" s="525" t="str">
        <f>IF(AND(OR(LEFT(TH!L3503,2)="15",LEFT(TH!M3503,2)="15"),TK!$E$7=TH!F3503),"x","")</f>
        <v/>
      </c>
      <c r="X3503" s="525" t="str">
        <f>IF(AND('341-CT'!$E$9=H3503,OR(LEFT(L3503,3)=$X$7,LEFT(M3503,3)=$X$7)),"x","")</f>
        <v/>
      </c>
      <c r="Y3503" s="525" t="str">
        <f>IF(OR(TH!L3503=TH!$Y$7,M3503=TH!$Y$7),"x","")</f>
        <v/>
      </c>
      <c r="Z3503" s="525" t="str">
        <f>IF(AND(B3503&lt;=NKC!$N$8,B3503&gt;=NKC!$M$8),"x","")</f>
        <v/>
      </c>
      <c r="AA3503" s="535"/>
      <c r="AB3503" s="536"/>
      <c r="AC3503" s="536" t="str">
        <f>VLOOKUP(F3503,NXT!$B$12:$B$686,1,0)</f>
        <v>Thùng 164x164x14</v>
      </c>
      <c r="AD3503" s="536"/>
    </row>
    <row r="3504" spans="1:30" s="503" customFormat="1" ht="15.75" customHeight="1">
      <c r="A3504" s="517" t="str">
        <f>IF(B3504&lt;&gt;"",IF(AND(B3504&gt;=_TM1,B3504&lt;=_TM2,OR(TH!L3504="1111",TH!M3504="1111")),TH!D3504,""),"")</f>
        <v/>
      </c>
      <c r="B3504" s="531">
        <f t="shared" si="362"/>
        <v>7</v>
      </c>
      <c r="C3504" s="315">
        <f t="shared" si="361"/>
        <v>42947</v>
      </c>
      <c r="D3504" s="544" t="s">
        <v>1181</v>
      </c>
      <c r="E3504" s="315">
        <v>42947</v>
      </c>
      <c r="F3504" s="250" t="s">
        <v>1344</v>
      </c>
      <c r="G3504" s="314" t="s">
        <v>1341</v>
      </c>
      <c r="H3504" s="473" t="s">
        <v>284</v>
      </c>
      <c r="I3504" s="307">
        <v>53</v>
      </c>
      <c r="J3504" s="307">
        <v>74153</v>
      </c>
      <c r="K3504" s="532">
        <f t="shared" si="363"/>
        <v>3930109</v>
      </c>
      <c r="L3504" s="534" t="s">
        <v>223</v>
      </c>
      <c r="M3504" s="534" t="s">
        <v>162</v>
      </c>
      <c r="N3504" s="525" t="str">
        <f>IF(AND('331-CT'!$E$7=TH!H3504,OR(L3504="331",M3504="331")),"331",IF(AND(OR(L3504="131",M3504="131"),H3504='131-CT'!$E$7),"131",""))</f>
        <v/>
      </c>
      <c r="O3504" s="525" t="str">
        <f>IF(AND($B3504&gt;='111'!$N$11,$B3504&lt;='111'!$O$11,OR($L3504=$O$7,$M3504=$O$7)),"x","")</f>
        <v/>
      </c>
      <c r="P3504" s="525" t="str">
        <f>IF(AND($L3504=$O$7,$B3504&lt;'111'!$N$11),"x","")</f>
        <v/>
      </c>
      <c r="Q3504" s="525" t="str">
        <f>IF(AND($M3504=$O$7,$B3504&lt;'111'!$N$11),"x","")</f>
        <v/>
      </c>
      <c r="R3504" s="525" t="str">
        <f>IF(ISERROR(FIND('112'!$M$9,G3504,1)),"",IF((AND(FIND('112'!$M$9,G3504,1)&gt;=1,$B3504&gt;='112'!$N$8,$B3504&lt;='112'!$O$8,OR($L3504='112'!$I$6,$M3504='112'!$I$6))),"x",""))</f>
        <v/>
      </c>
      <c r="S3504" s="525" t="str">
        <f>IF(ISERROR(FIND('112'!$M$9,G3504,1)),"",IF((AND(LEFT(G3504,2)=LEFT('112'!$M$9,2),B3504&lt;'112'!$N$8,$L3504='112'!$I$6)),"x",""))</f>
        <v/>
      </c>
      <c r="T3504" s="525" t="str">
        <f>IF(ISERROR(FIND('112'!$M$9,G3504,1)),"",IF((AND(RIGHT(G3504,2)=RIGHT('112'!$M$9,2),B3504&lt;'112'!$N$8,$M3504='112'!$I$6)),"x",""))</f>
        <v/>
      </c>
      <c r="U3504" s="525" t="str">
        <f>IF(AND(B3504&gt;='IN-NX'!$P$3,B3504&lt;='IN-NX'!$Q$3,'IN-NX'!$D$7=D3504,OR(LEFT(L3504,2)="15",AND(LEFT(M3504,2)&lt;&gt;"15",LEFT(M3504,2)&lt;&gt;"33"))),"x","")</f>
        <v/>
      </c>
      <c r="V3504" s="525" t="str">
        <f>IF(AND(OR(LEFT(TH!L3504,2)="15",LEFT(TH!M3504,2)="15"),'152-CT'!$J$8=TH!F3504),"x","")</f>
        <v/>
      </c>
      <c r="W3504" s="525" t="str">
        <f>IF(AND(OR(LEFT(TH!L3504,2)="15",LEFT(TH!M3504,2)="15"),TK!$E$7=TH!F3504),"x","")</f>
        <v/>
      </c>
      <c r="X3504" s="525" t="str">
        <f>IF(AND('341-CT'!$E$9=H3504,OR(LEFT(L3504,3)=$X$7,LEFT(M3504,3)=$X$7)),"x","")</f>
        <v/>
      </c>
      <c r="Y3504" s="525" t="str">
        <f>IF(OR(TH!L3504=TH!$Y$7,M3504=TH!$Y$7),"x","")</f>
        <v/>
      </c>
      <c r="Z3504" s="525" t="str">
        <f>IF(AND(B3504&lt;=NKC!$N$8,B3504&gt;=NKC!$M$8),"x","")</f>
        <v/>
      </c>
      <c r="AA3504" s="535"/>
      <c r="AB3504" s="536"/>
      <c r="AC3504" s="536" t="str">
        <f>VLOOKUP(F3504,NXT!$B$12:$B$686,1,0)</f>
        <v>Thùng 165x165x15</v>
      </c>
    </row>
    <row r="3505" spans="1:30" s="503" customFormat="1" ht="15.75" customHeight="1">
      <c r="A3505" s="517" t="str">
        <f>IF(B3505&lt;&gt;"",IF(AND(B3505&gt;=_TM1,B3505&lt;=_TM2,OR(TH!L3505="1111",TH!M3505="1111")),TH!D3505,""),"")</f>
        <v/>
      </c>
      <c r="B3505" s="531">
        <f t="shared" si="362"/>
        <v>7</v>
      </c>
      <c r="C3505" s="315">
        <f t="shared" si="361"/>
        <v>42947</v>
      </c>
      <c r="D3505" s="544" t="s">
        <v>1181</v>
      </c>
      <c r="E3505" s="315">
        <v>42947</v>
      </c>
      <c r="F3505" s="250" t="s">
        <v>1345</v>
      </c>
      <c r="G3505" s="314" t="s">
        <v>1341</v>
      </c>
      <c r="H3505" s="473" t="s">
        <v>284</v>
      </c>
      <c r="I3505" s="307">
        <v>54</v>
      </c>
      <c r="J3505" s="307">
        <v>50979</v>
      </c>
      <c r="K3505" s="532">
        <f t="shared" si="363"/>
        <v>2752866</v>
      </c>
      <c r="L3505" s="534" t="s">
        <v>223</v>
      </c>
      <c r="M3505" s="534" t="s">
        <v>162</v>
      </c>
      <c r="N3505" s="525" t="str">
        <f>IF(AND('331-CT'!$E$7=TH!H3505,OR(L3505="331",M3505="331")),"331",IF(AND(OR(L3505="131",M3505="131"),H3505='131-CT'!$E$7),"131",""))</f>
        <v/>
      </c>
      <c r="O3505" s="525" t="str">
        <f>IF(AND($B3505&gt;='111'!$N$11,$B3505&lt;='111'!$O$11,OR($L3505=$O$7,$M3505=$O$7)),"x","")</f>
        <v/>
      </c>
      <c r="P3505" s="525" t="str">
        <f>IF(AND($L3505=$O$7,$B3505&lt;'111'!$N$11),"x","")</f>
        <v/>
      </c>
      <c r="Q3505" s="525" t="str">
        <f>IF(AND($M3505=$O$7,$B3505&lt;'111'!$N$11),"x","")</f>
        <v/>
      </c>
      <c r="R3505" s="525" t="str">
        <f>IF(ISERROR(FIND('112'!$M$9,G3505,1)),"",IF((AND(FIND('112'!$M$9,G3505,1)&gt;=1,$B3505&gt;='112'!$N$8,$B3505&lt;='112'!$O$8,OR($L3505='112'!$I$6,$M3505='112'!$I$6))),"x",""))</f>
        <v/>
      </c>
      <c r="S3505" s="525" t="str">
        <f>IF(ISERROR(FIND('112'!$M$9,G3505,1)),"",IF((AND(LEFT(G3505,2)=LEFT('112'!$M$9,2),B3505&lt;'112'!$N$8,$L3505='112'!$I$6)),"x",""))</f>
        <v/>
      </c>
      <c r="T3505" s="525" t="str">
        <f>IF(ISERROR(FIND('112'!$M$9,G3505,1)),"",IF((AND(RIGHT(G3505,2)=RIGHT('112'!$M$9,2),B3505&lt;'112'!$N$8,$M3505='112'!$I$6)),"x",""))</f>
        <v/>
      </c>
      <c r="U3505" s="525" t="str">
        <f>IF(AND(B3505&gt;='IN-NX'!$P$3,B3505&lt;='IN-NX'!$Q$3,'IN-NX'!$D$7=D3505,OR(LEFT(L3505,2)="15",AND(LEFT(M3505,2)&lt;&gt;"15",LEFT(M3505,2)&lt;&gt;"33"))),"x","")</f>
        <v/>
      </c>
      <c r="V3505" s="525" t="str">
        <f>IF(AND(OR(LEFT(TH!L3505,2)="15",LEFT(TH!M3505,2)="15"),'152-CT'!$J$8=TH!F3505),"x","")</f>
        <v/>
      </c>
      <c r="W3505" s="525" t="str">
        <f>IF(AND(OR(LEFT(TH!L3505,2)="15",LEFT(TH!M3505,2)="15"),TK!$E$7=TH!F3505),"x","")</f>
        <v/>
      </c>
      <c r="X3505" s="525" t="str">
        <f>IF(AND('341-CT'!$E$9=H3505,OR(LEFT(L3505,3)=$X$7,LEFT(M3505,3)=$X$7)),"x","")</f>
        <v/>
      </c>
      <c r="Y3505" s="525" t="str">
        <f>IF(OR(TH!L3505=TH!$Y$7,M3505=TH!$Y$7),"x","")</f>
        <v/>
      </c>
      <c r="Z3505" s="525" t="str">
        <f>IF(AND(B3505&lt;=NKC!$N$8,B3505&gt;=NKC!$M$8),"x","")</f>
        <v/>
      </c>
      <c r="AA3505" s="535"/>
      <c r="AB3505" s="536"/>
      <c r="AC3505" s="536" t="str">
        <f>VLOOKUP(F3505,NXT!$B$12:$B$686,1,0)</f>
        <v>Thùng 134x134x14</v>
      </c>
    </row>
    <row r="3506" spans="1:30" s="503" customFormat="1" ht="15.75" customHeight="1">
      <c r="A3506" s="517" t="str">
        <f>IF(B3506&lt;&gt;"",IF(AND(B3506&gt;=_TM1,B3506&lt;=_TM2,OR(TH!L3506="1111",TH!M3506="1111")),TH!D3506,""),"")</f>
        <v/>
      </c>
      <c r="B3506" s="531">
        <f t="shared" si="362"/>
        <v>7</v>
      </c>
      <c r="C3506" s="315">
        <f t="shared" si="361"/>
        <v>42947</v>
      </c>
      <c r="D3506" s="544" t="s">
        <v>1181</v>
      </c>
      <c r="E3506" s="315">
        <v>42947</v>
      </c>
      <c r="F3506" s="250" t="s">
        <v>1346</v>
      </c>
      <c r="G3506" s="314" t="s">
        <v>1341</v>
      </c>
      <c r="H3506" s="473" t="s">
        <v>284</v>
      </c>
      <c r="I3506" s="307">
        <v>54</v>
      </c>
      <c r="J3506" s="307">
        <v>52849</v>
      </c>
      <c r="K3506" s="532">
        <f t="shared" si="363"/>
        <v>2853846</v>
      </c>
      <c r="L3506" s="534" t="s">
        <v>223</v>
      </c>
      <c r="M3506" s="534" t="s">
        <v>162</v>
      </c>
      <c r="N3506" s="525" t="str">
        <f>IF(AND('331-CT'!$E$7=TH!H3506,OR(L3506="331",M3506="331")),"331",IF(AND(OR(L3506="131",M3506="131"),H3506='131-CT'!$E$7),"131",""))</f>
        <v/>
      </c>
      <c r="O3506" s="525" t="str">
        <f>IF(AND($B3506&gt;='111'!$N$11,$B3506&lt;='111'!$O$11,OR($L3506=$O$7,$M3506=$O$7)),"x","")</f>
        <v/>
      </c>
      <c r="P3506" s="525" t="str">
        <f>IF(AND($L3506=$O$7,$B3506&lt;'111'!$N$11),"x","")</f>
        <v/>
      </c>
      <c r="Q3506" s="525" t="str">
        <f>IF(AND($M3506=$O$7,$B3506&lt;'111'!$N$11),"x","")</f>
        <v/>
      </c>
      <c r="R3506" s="525" t="str">
        <f>IF(ISERROR(FIND('112'!$M$9,G3506,1)),"",IF((AND(FIND('112'!$M$9,G3506,1)&gt;=1,$B3506&gt;='112'!$N$8,$B3506&lt;='112'!$O$8,OR($L3506='112'!$I$6,$M3506='112'!$I$6))),"x",""))</f>
        <v/>
      </c>
      <c r="S3506" s="525" t="str">
        <f>IF(ISERROR(FIND('112'!$M$9,G3506,1)),"",IF((AND(LEFT(G3506,2)=LEFT('112'!$M$9,2),B3506&lt;'112'!$N$8,$L3506='112'!$I$6)),"x",""))</f>
        <v/>
      </c>
      <c r="T3506" s="525" t="str">
        <f>IF(ISERROR(FIND('112'!$M$9,G3506,1)),"",IF((AND(RIGHT(G3506,2)=RIGHT('112'!$M$9,2),B3506&lt;'112'!$N$8,$M3506='112'!$I$6)),"x",""))</f>
        <v/>
      </c>
      <c r="U3506" s="525" t="str">
        <f>IF(AND(B3506&gt;='IN-NX'!$P$3,B3506&lt;='IN-NX'!$Q$3,'IN-NX'!$D$7=D3506,OR(LEFT(L3506,2)="15",AND(LEFT(M3506,2)&lt;&gt;"15",LEFT(M3506,2)&lt;&gt;"33"))),"x","")</f>
        <v/>
      </c>
      <c r="V3506" s="525" t="str">
        <f>IF(AND(OR(LEFT(TH!L3506,2)="15",LEFT(TH!M3506,2)="15"),'152-CT'!$J$8=TH!F3506),"x","")</f>
        <v/>
      </c>
      <c r="W3506" s="525" t="str">
        <f>IF(AND(OR(LEFT(TH!L3506,2)="15",LEFT(TH!M3506,2)="15"),TK!$E$7=TH!F3506),"x","")</f>
        <v/>
      </c>
      <c r="X3506" s="525" t="str">
        <f>IF(AND('341-CT'!$E$9=H3506,OR(LEFT(L3506,3)=$X$7,LEFT(M3506,3)=$X$7)),"x","")</f>
        <v/>
      </c>
      <c r="Y3506" s="525" t="str">
        <f>IF(OR(TH!L3506=TH!$Y$7,M3506=TH!$Y$7),"x","")</f>
        <v/>
      </c>
      <c r="Z3506" s="525" t="str">
        <f>IF(AND(B3506&lt;=NKC!$N$8,B3506&gt;=NKC!$M$8),"x","")</f>
        <v/>
      </c>
      <c r="AA3506" s="535"/>
      <c r="AB3506" s="536"/>
      <c r="AC3506" s="536" t="str">
        <f>VLOOKUP(F3506,NXT!$B$12:$B$686,1,0)</f>
        <v>Thùng 135x135x15</v>
      </c>
    </row>
    <row r="3507" spans="1:30" s="503" customFormat="1" ht="15.75" customHeight="1">
      <c r="A3507" s="517" t="str">
        <f>IF(B3507&lt;&gt;"",IF(AND(B3507&gt;=_TM1,B3507&lt;=_TM2,OR(TH!L3507="1111",TH!M3507="1111")),TH!D3507,""),"")</f>
        <v/>
      </c>
      <c r="B3507" s="531">
        <f t="shared" si="362"/>
        <v>7</v>
      </c>
      <c r="C3507" s="315">
        <f t="shared" si="361"/>
        <v>42947</v>
      </c>
      <c r="D3507" s="544" t="s">
        <v>1181</v>
      </c>
      <c r="E3507" s="315">
        <v>42947</v>
      </c>
      <c r="F3507" s="249" t="s">
        <v>494</v>
      </c>
      <c r="G3507" s="314" t="s">
        <v>1341</v>
      </c>
      <c r="H3507" s="473" t="s">
        <v>284</v>
      </c>
      <c r="I3507" s="307"/>
      <c r="J3507" s="307"/>
      <c r="K3507" s="532">
        <v>1334932</v>
      </c>
      <c r="L3507" s="534" t="s">
        <v>223</v>
      </c>
      <c r="M3507" s="534" t="s">
        <v>259</v>
      </c>
      <c r="N3507" s="525" t="str">
        <f>IF(AND('331-CT'!$E$7=TH!H3507,OR(L3507="331",M3507="331")),"331",IF(AND(OR(L3507="131",M3507="131"),H3507='131-CT'!$E$7),"131",""))</f>
        <v/>
      </c>
      <c r="O3507" s="525" t="str">
        <f>IF(AND($B3507&gt;='111'!$N$11,$B3507&lt;='111'!$O$11,OR($L3507=$O$7,$M3507=$O$7)),"x","")</f>
        <v/>
      </c>
      <c r="P3507" s="525" t="str">
        <f>IF(AND($L3507=$O$7,$B3507&lt;'111'!$N$11),"x","")</f>
        <v/>
      </c>
      <c r="Q3507" s="525" t="str">
        <f>IF(AND($M3507=$O$7,$B3507&lt;'111'!$N$11),"x","")</f>
        <v/>
      </c>
      <c r="R3507" s="525" t="str">
        <f>IF(ISERROR(FIND('112'!$M$9,G3507,1)),"",IF((AND(FIND('112'!$M$9,G3507,1)&gt;=1,$B3507&gt;='112'!$N$8,$B3507&lt;='112'!$O$8,OR($L3507='112'!$I$6,$M3507='112'!$I$6))),"x",""))</f>
        <v/>
      </c>
      <c r="S3507" s="525" t="str">
        <f>IF(ISERROR(FIND('112'!$M$9,G3507,1)),"",IF((AND(LEFT(G3507,2)=LEFT('112'!$M$9,2),B3507&lt;'112'!$N$8,$L3507='112'!$I$6)),"x",""))</f>
        <v/>
      </c>
      <c r="T3507" s="525" t="str">
        <f>IF(ISERROR(FIND('112'!$M$9,G3507,1)),"",IF((AND(RIGHT(G3507,2)=RIGHT('112'!$M$9,2),B3507&lt;'112'!$N$8,$M3507='112'!$I$6)),"x",""))</f>
        <v/>
      </c>
      <c r="U3507" s="525" t="str">
        <f>IF(AND(B3507&gt;='IN-NX'!$P$3,B3507&lt;='IN-NX'!$Q$3,'IN-NX'!$D$7=D3507,OR(LEFT(L3507,2)="15",AND(LEFT(M3507,2)&lt;&gt;"15",LEFT(M3507,2)&lt;&gt;"33"))),"x","")</f>
        <v/>
      </c>
      <c r="V3507" s="525" t="str">
        <f>IF(AND(OR(LEFT(TH!L3507,2)="15",LEFT(TH!M3507,2)="15"),'152-CT'!$J$8=TH!F3507),"x","")</f>
        <v/>
      </c>
      <c r="W3507" s="525" t="str">
        <f>IF(AND(OR(LEFT(TH!L3507,2)="15",LEFT(TH!M3507,2)="15"),TK!$E$7=TH!F3507),"x","")</f>
        <v/>
      </c>
      <c r="X3507" s="525" t="str">
        <f>IF(AND('341-CT'!$E$9=H3507,OR(LEFT(L3507,3)=$X$7,LEFT(M3507,3)=$X$7)),"x","")</f>
        <v/>
      </c>
      <c r="Y3507" s="525" t="str">
        <f>IF(OR(TH!L3507=TH!$Y$7,M3507=TH!$Y$7),"x","")</f>
        <v/>
      </c>
      <c r="Z3507" s="525" t="str">
        <f>IF(AND(B3507&lt;=NKC!$N$8,B3507&gt;=NKC!$M$8),"x","")</f>
        <v/>
      </c>
      <c r="AA3507" s="535"/>
      <c r="AB3507" s="536"/>
      <c r="AC3507" s="536"/>
    </row>
    <row r="3508" spans="1:30" s="503" customFormat="1" ht="15.75" customHeight="1">
      <c r="A3508" s="517" t="str">
        <f>IF(B3508&lt;&gt;"",IF(AND(B3508&gt;=_TM1,B3508&lt;=_TM2,OR(TH!L3508="1111",TH!M3508="1111")),TH!D3508,""),"")</f>
        <v/>
      </c>
      <c r="B3508" s="531">
        <f t="shared" si="362"/>
        <v>7</v>
      </c>
      <c r="C3508" s="315">
        <f t="shared" si="361"/>
        <v>42947</v>
      </c>
      <c r="D3508" s="544" t="s">
        <v>1181</v>
      </c>
      <c r="E3508" s="315">
        <v>42947</v>
      </c>
      <c r="F3508" s="250" t="s">
        <v>1330</v>
      </c>
      <c r="G3508" s="314" t="s">
        <v>1342</v>
      </c>
      <c r="H3508" s="473" t="s">
        <v>284</v>
      </c>
      <c r="I3508" s="307">
        <v>144</v>
      </c>
      <c r="J3508" s="307">
        <v>33664</v>
      </c>
      <c r="K3508" s="532">
        <f t="shared" si="363"/>
        <v>4847616</v>
      </c>
      <c r="L3508" s="534" t="s">
        <v>223</v>
      </c>
      <c r="M3508" s="534" t="s">
        <v>162</v>
      </c>
      <c r="N3508" s="525" t="str">
        <f>IF(AND('331-CT'!$E$7=TH!H3508,OR(L3508="331",M3508="331")),"331",IF(AND(OR(L3508="131",M3508="131"),H3508='131-CT'!$E$7),"131",""))</f>
        <v/>
      </c>
      <c r="O3508" s="525" t="str">
        <f>IF(AND($B3508&gt;='111'!$N$11,$B3508&lt;='111'!$O$11,OR($L3508=$O$7,$M3508=$O$7)),"x","")</f>
        <v/>
      </c>
      <c r="P3508" s="525" t="str">
        <f>IF(AND($L3508=$O$7,$B3508&lt;'111'!$N$11),"x","")</f>
        <v/>
      </c>
      <c r="Q3508" s="525" t="str">
        <f>IF(AND($M3508=$O$7,$B3508&lt;'111'!$N$11),"x","")</f>
        <v/>
      </c>
      <c r="R3508" s="525" t="str">
        <f>IF(ISERROR(FIND('112'!$M$9,G3508,1)),"",IF((AND(FIND('112'!$M$9,G3508,1)&gt;=1,$B3508&gt;='112'!$N$8,$B3508&lt;='112'!$O$8,OR($L3508='112'!$I$6,$M3508='112'!$I$6))),"x",""))</f>
        <v/>
      </c>
      <c r="S3508" s="525" t="str">
        <f>IF(ISERROR(FIND('112'!$M$9,G3508,1)),"",IF((AND(LEFT(G3508,2)=LEFT('112'!$M$9,2),B3508&lt;'112'!$N$8,$L3508='112'!$I$6)),"x",""))</f>
        <v/>
      </c>
      <c r="T3508" s="525" t="str">
        <f>IF(ISERROR(FIND('112'!$M$9,G3508,1)),"",IF((AND(RIGHT(G3508,2)=RIGHT('112'!$M$9,2),B3508&lt;'112'!$N$8,$M3508='112'!$I$6)),"x",""))</f>
        <v/>
      </c>
      <c r="U3508" s="525" t="str">
        <f>IF(AND(B3508&gt;='IN-NX'!$P$3,B3508&lt;='IN-NX'!$Q$3,'IN-NX'!$D$7=D3508,OR(LEFT(L3508,2)="15",AND(LEFT(M3508,2)&lt;&gt;"15",LEFT(M3508,2)&lt;&gt;"33"))),"x","")</f>
        <v/>
      </c>
      <c r="V3508" s="525" t="str">
        <f>IF(AND(OR(LEFT(TH!L3508,2)="15",LEFT(TH!M3508,2)="15"),'152-CT'!$J$8=TH!F3508),"x","")</f>
        <v/>
      </c>
      <c r="W3508" s="525" t="str">
        <f>IF(AND(OR(LEFT(TH!L3508,2)="15",LEFT(TH!M3508,2)="15"),TK!$E$7=TH!F3508),"x","")</f>
        <v/>
      </c>
      <c r="X3508" s="525" t="str">
        <f>IF(AND('341-CT'!$E$9=H3508,OR(LEFT(L3508,3)=$X$7,LEFT(M3508,3)=$X$7)),"x","")</f>
        <v/>
      </c>
      <c r="Y3508" s="525" t="str">
        <f>IF(OR(TH!L3508=TH!$Y$7,M3508=TH!$Y$7),"x","")</f>
        <v/>
      </c>
      <c r="Z3508" s="525" t="str">
        <f>IF(AND(B3508&lt;=NKC!$N$8,B3508&gt;=NKC!$M$8),"x","")</f>
        <v/>
      </c>
      <c r="AA3508" s="535"/>
      <c r="AB3508" s="536"/>
      <c r="AC3508" s="536" t="str">
        <f>VLOOKUP(F3508,NXT!$B$12:$B$686,1,0)</f>
        <v>Thùng 43x43x54</v>
      </c>
    </row>
    <row r="3509" spans="1:30" s="503" customFormat="1" ht="15.75" customHeight="1">
      <c r="A3509" s="517" t="str">
        <f>IF(B3509&lt;&gt;"",IF(AND(B3509&gt;=_TM1,B3509&lt;=_TM2,OR(TH!L3509="1111",TH!M3509="1111")),TH!D3509,""),"")</f>
        <v/>
      </c>
      <c r="B3509" s="531">
        <f t="shared" si="362"/>
        <v>7</v>
      </c>
      <c r="C3509" s="315">
        <f t="shared" si="361"/>
        <v>42947</v>
      </c>
      <c r="D3509" s="544" t="s">
        <v>1181</v>
      </c>
      <c r="E3509" s="315">
        <v>42947</v>
      </c>
      <c r="F3509" s="250" t="s">
        <v>1347</v>
      </c>
      <c r="G3509" s="314" t="s">
        <v>1342</v>
      </c>
      <c r="H3509" s="473" t="s">
        <v>284</v>
      </c>
      <c r="I3509" s="307">
        <v>96</v>
      </c>
      <c r="J3509" s="307">
        <v>35215</v>
      </c>
      <c r="K3509" s="532">
        <f t="shared" si="363"/>
        <v>3380640</v>
      </c>
      <c r="L3509" s="534" t="s">
        <v>223</v>
      </c>
      <c r="M3509" s="534" t="s">
        <v>162</v>
      </c>
      <c r="N3509" s="525" t="str">
        <f>IF(AND('331-CT'!$E$7=TH!H3509,OR(L3509="331",M3509="331")),"331",IF(AND(OR(L3509="131",M3509="131"),H3509='131-CT'!$E$7),"131",""))</f>
        <v/>
      </c>
      <c r="O3509" s="525" t="str">
        <f>IF(AND($B3509&gt;='111'!$N$11,$B3509&lt;='111'!$O$11,OR($L3509=$O$7,$M3509=$O$7)),"x","")</f>
        <v/>
      </c>
      <c r="P3509" s="525" t="str">
        <f>IF(AND($L3509=$O$7,$B3509&lt;'111'!$N$11),"x","")</f>
        <v/>
      </c>
      <c r="Q3509" s="525" t="str">
        <f>IF(AND($M3509=$O$7,$B3509&lt;'111'!$N$11),"x","")</f>
        <v/>
      </c>
      <c r="R3509" s="525" t="str">
        <f>IF(ISERROR(FIND('112'!$M$9,G3509,1)),"",IF((AND(FIND('112'!$M$9,G3509,1)&gt;=1,$B3509&gt;='112'!$N$8,$B3509&lt;='112'!$O$8,OR($L3509='112'!$I$6,$M3509='112'!$I$6))),"x",""))</f>
        <v/>
      </c>
      <c r="S3509" s="525" t="str">
        <f>IF(ISERROR(FIND('112'!$M$9,G3509,1)),"",IF((AND(LEFT(G3509,2)=LEFT('112'!$M$9,2),B3509&lt;'112'!$N$8,$L3509='112'!$I$6)),"x",""))</f>
        <v/>
      </c>
      <c r="T3509" s="525" t="str">
        <f>IF(ISERROR(FIND('112'!$M$9,G3509,1)),"",IF((AND(RIGHT(G3509,2)=RIGHT('112'!$M$9,2),B3509&lt;'112'!$N$8,$M3509='112'!$I$6)),"x",""))</f>
        <v/>
      </c>
      <c r="U3509" s="525" t="str">
        <f>IF(AND(B3509&gt;='IN-NX'!$P$3,B3509&lt;='IN-NX'!$Q$3,'IN-NX'!$D$7=D3509,OR(LEFT(L3509,2)="15",AND(LEFT(M3509,2)&lt;&gt;"15",LEFT(M3509,2)&lt;&gt;"33"))),"x","")</f>
        <v/>
      </c>
      <c r="V3509" s="525" t="str">
        <f>IF(AND(OR(LEFT(TH!L3509,2)="15",LEFT(TH!M3509,2)="15"),'152-CT'!$J$8=TH!F3509),"x","")</f>
        <v/>
      </c>
      <c r="W3509" s="525" t="str">
        <f>IF(AND(OR(LEFT(TH!L3509,2)="15",LEFT(TH!M3509,2)="15"),TK!$E$7=TH!F3509),"x","")</f>
        <v/>
      </c>
      <c r="X3509" s="525" t="str">
        <f>IF(AND('341-CT'!$E$9=H3509,OR(LEFT(L3509,3)=$X$7,LEFT(M3509,3)=$X$7)),"x","")</f>
        <v/>
      </c>
      <c r="Y3509" s="525" t="str">
        <f>IF(OR(TH!L3509=TH!$Y$7,M3509=TH!$Y$7),"x","")</f>
        <v/>
      </c>
      <c r="Z3509" s="525" t="str">
        <f>IF(AND(B3509&lt;=NKC!$N$8,B3509&gt;=NKC!$M$8),"x","")</f>
        <v/>
      </c>
      <c r="AA3509" s="535"/>
      <c r="AC3509" s="536" t="str">
        <f>VLOOKUP(F3509,NXT!$B$12:$B$686,1,0)</f>
        <v>Thùng 45.8x45.8x49.6</v>
      </c>
    </row>
    <row r="3510" spans="1:30" s="503" customFormat="1" ht="15.75" customHeight="1">
      <c r="A3510" s="517" t="str">
        <f>IF(B3510&lt;&gt;"",IF(AND(B3510&gt;=_TM1,B3510&lt;=_TM2,OR(TH!L3510="1111",TH!M3510="1111")),TH!D3510,""),"")</f>
        <v/>
      </c>
      <c r="B3510" s="531">
        <f t="shared" ref="B3510:B3918" si="364">IF(C3510&lt;&gt;"",MONTH(C3510),"")</f>
        <v>7</v>
      </c>
      <c r="C3510" s="315">
        <f t="shared" ref="C3510:C3511" si="365">E3510</f>
        <v>42947</v>
      </c>
      <c r="D3510" s="544" t="s">
        <v>1181</v>
      </c>
      <c r="E3510" s="315">
        <v>42947</v>
      </c>
      <c r="F3510" s="250" t="s">
        <v>1331</v>
      </c>
      <c r="G3510" s="314" t="s">
        <v>1342</v>
      </c>
      <c r="H3510" s="473" t="s">
        <v>284</v>
      </c>
      <c r="I3510" s="307">
        <v>96</v>
      </c>
      <c r="J3510" s="307">
        <v>40427</v>
      </c>
      <c r="K3510" s="532">
        <f t="shared" ref="K3510:K3918" si="366">ROUND(I3510*J3510,0)</f>
        <v>3880992</v>
      </c>
      <c r="L3510" s="534" t="s">
        <v>223</v>
      </c>
      <c r="M3510" s="534" t="s">
        <v>162</v>
      </c>
      <c r="N3510" s="525" t="str">
        <f>IF(AND('331-CT'!$E$7=TH!H3510,OR(L3510="331",M3510="331")),"331",IF(AND(OR(L3510="131",M3510="131"),H3510='131-CT'!$E$7),"131",""))</f>
        <v/>
      </c>
      <c r="O3510" s="525" t="str">
        <f>IF(AND($B3510&gt;='111'!$N$11,$B3510&lt;='111'!$O$11,OR($L3510=$O$7,$M3510=$O$7)),"x","")</f>
        <v/>
      </c>
      <c r="P3510" s="525" t="str">
        <f>IF(AND($L3510=$O$7,$B3510&lt;'111'!$N$11),"x","")</f>
        <v/>
      </c>
      <c r="Q3510" s="525" t="str">
        <f>IF(AND($M3510=$O$7,$B3510&lt;'111'!$N$11),"x","")</f>
        <v/>
      </c>
      <c r="R3510" s="525" t="str">
        <f>IF(ISERROR(FIND('112'!$M$9,G3510,1)),"",IF((AND(FIND('112'!$M$9,G3510,1)&gt;=1,$B3510&gt;='112'!$N$8,$B3510&lt;='112'!$O$8,OR($L3510='112'!$I$6,$M3510='112'!$I$6))),"x",""))</f>
        <v/>
      </c>
      <c r="S3510" s="525" t="str">
        <f>IF(ISERROR(FIND('112'!$M$9,G3510,1)),"",IF((AND(LEFT(G3510,2)=LEFT('112'!$M$9,2),B3510&lt;'112'!$N$8,$L3510='112'!$I$6)),"x",""))</f>
        <v/>
      </c>
      <c r="T3510" s="525" t="str">
        <f>IF(ISERROR(FIND('112'!$M$9,G3510,1)),"",IF((AND(RIGHT(G3510,2)=RIGHT('112'!$M$9,2),B3510&lt;'112'!$N$8,$M3510='112'!$I$6)),"x",""))</f>
        <v/>
      </c>
      <c r="U3510" s="525" t="str">
        <f>IF(AND(B3510&gt;='IN-NX'!$P$3,B3510&lt;='IN-NX'!$Q$3,'IN-NX'!$D$7=D3510,OR(LEFT(L3510,2)="15",AND(LEFT(M3510,2)&lt;&gt;"15",LEFT(M3510,2)&lt;&gt;"33"))),"x","")</f>
        <v/>
      </c>
      <c r="V3510" s="525" t="str">
        <f>IF(AND(OR(LEFT(TH!L3510,2)="15",LEFT(TH!M3510,2)="15"),'152-CT'!$J$8=TH!F3510),"x","")</f>
        <v/>
      </c>
      <c r="W3510" s="525" t="str">
        <f>IF(AND(OR(LEFT(TH!L3510,2)="15",LEFT(TH!M3510,2)="15"),TK!$E$7=TH!F3510),"x","")</f>
        <v/>
      </c>
      <c r="X3510" s="525" t="str">
        <f>IF(AND('341-CT'!$E$9=H3510,OR(LEFT(L3510,3)=$X$7,LEFT(M3510,3)=$X$7)),"x","")</f>
        <v/>
      </c>
      <c r="Y3510" s="525" t="str">
        <f>IF(OR(TH!L3510=TH!$Y$7,M3510=TH!$Y$7),"x","")</f>
        <v/>
      </c>
      <c r="Z3510" s="525" t="str">
        <f>IF(AND(B3510&lt;=NKC!$N$8,B3510&gt;=NKC!$M$8),"x","")</f>
        <v/>
      </c>
      <c r="AA3510" s="535"/>
      <c r="AB3510" s="536"/>
      <c r="AC3510" s="536" t="str">
        <f>VLOOKUP(F3510,NXT!$B$12:$B$686,1,0)</f>
        <v>Thùng 49.2x49.2x51.2</v>
      </c>
      <c r="AD3510" s="536"/>
    </row>
    <row r="3511" spans="1:30" s="503" customFormat="1" ht="15.75" customHeight="1">
      <c r="A3511" s="517" t="str">
        <f>IF(B3511&lt;&gt;"",IF(AND(B3511&gt;=_TM1,B3511&lt;=_TM2,OR(TH!L3511="1111",TH!M3511="1111")),TH!D3511,""),"")</f>
        <v/>
      </c>
      <c r="B3511" s="531">
        <f t="shared" si="364"/>
        <v>7</v>
      </c>
      <c r="C3511" s="315">
        <f t="shared" si="365"/>
        <v>42947</v>
      </c>
      <c r="D3511" s="544" t="s">
        <v>1181</v>
      </c>
      <c r="E3511" s="315">
        <v>42947</v>
      </c>
      <c r="F3511" s="250" t="s">
        <v>1332</v>
      </c>
      <c r="G3511" s="314" t="s">
        <v>1342</v>
      </c>
      <c r="H3511" s="473" t="s">
        <v>284</v>
      </c>
      <c r="I3511" s="307">
        <v>144</v>
      </c>
      <c r="J3511" s="307">
        <v>50827</v>
      </c>
      <c r="K3511" s="532">
        <f t="shared" si="366"/>
        <v>7319088</v>
      </c>
      <c r="L3511" s="534" t="s">
        <v>223</v>
      </c>
      <c r="M3511" s="534" t="s">
        <v>162</v>
      </c>
      <c r="N3511" s="525" t="str">
        <f>IF(AND('331-CT'!$E$7=TH!H3511,OR(L3511="331",M3511="331")),"331",IF(AND(OR(L3511="131",M3511="131"),H3511='131-CT'!$E$7),"131",""))</f>
        <v/>
      </c>
      <c r="O3511" s="525" t="str">
        <f>IF(AND($B3511&gt;='111'!$N$11,$B3511&lt;='111'!$O$11,OR($L3511=$O$7,$M3511=$O$7)),"x","")</f>
        <v/>
      </c>
      <c r="P3511" s="525" t="str">
        <f>IF(AND($L3511=$O$7,$B3511&lt;'111'!$N$11),"x","")</f>
        <v/>
      </c>
      <c r="Q3511" s="525" t="str">
        <f>IF(AND($M3511=$O$7,$B3511&lt;'111'!$N$11),"x","")</f>
        <v/>
      </c>
      <c r="R3511" s="525" t="str">
        <f>IF(ISERROR(FIND('112'!$M$9,G3511,1)),"",IF((AND(FIND('112'!$M$9,G3511,1)&gt;=1,$B3511&gt;='112'!$N$8,$B3511&lt;='112'!$O$8,OR($L3511='112'!$I$6,$M3511='112'!$I$6))),"x",""))</f>
        <v/>
      </c>
      <c r="S3511" s="525" t="str">
        <f>IF(ISERROR(FIND('112'!$M$9,G3511,1)),"",IF((AND(LEFT(G3511,2)=LEFT('112'!$M$9,2),B3511&lt;'112'!$N$8,$L3511='112'!$I$6)),"x",""))</f>
        <v/>
      </c>
      <c r="T3511" s="525" t="str">
        <f>IF(ISERROR(FIND('112'!$M$9,G3511,1)),"",IF((AND(RIGHT(G3511,2)=RIGHT('112'!$M$9,2),B3511&lt;'112'!$N$8,$M3511='112'!$I$6)),"x",""))</f>
        <v/>
      </c>
      <c r="U3511" s="525" t="str">
        <f>IF(AND(B3511&gt;='IN-NX'!$P$3,B3511&lt;='IN-NX'!$Q$3,'IN-NX'!$D$7=D3511,OR(LEFT(L3511,2)="15",AND(LEFT(M3511,2)&lt;&gt;"15",LEFT(M3511,2)&lt;&gt;"33"))),"x","")</f>
        <v/>
      </c>
      <c r="V3511" s="525" t="str">
        <f>IF(AND(OR(LEFT(TH!L3511,2)="15",LEFT(TH!M3511,2)="15"),'152-CT'!$J$8=TH!F3511),"x","")</f>
        <v/>
      </c>
      <c r="W3511" s="525" t="str">
        <f>IF(AND(OR(LEFT(TH!L3511,2)="15",LEFT(TH!M3511,2)="15"),TK!$E$7=TH!F3511),"x","")</f>
        <v/>
      </c>
      <c r="X3511" s="525" t="str">
        <f>IF(AND('341-CT'!$E$9=H3511,OR(LEFT(L3511,3)=$X$7,LEFT(M3511,3)=$X$7)),"x","")</f>
        <v/>
      </c>
      <c r="Y3511" s="525" t="str">
        <f>IF(OR(TH!L3511=TH!$Y$7,M3511=TH!$Y$7),"x","")</f>
        <v/>
      </c>
      <c r="Z3511" s="525" t="str">
        <f>IF(AND(B3511&lt;=NKC!$N$8,B3511&gt;=NKC!$M$8),"x","")</f>
        <v/>
      </c>
      <c r="AA3511" s="535"/>
      <c r="AB3511" s="536"/>
      <c r="AC3511" s="536" t="str">
        <f>VLOOKUP(F3511,NXT!$B$12:$B$686,1,0)</f>
        <v>Thùng 56x56x56</v>
      </c>
    </row>
    <row r="3512" spans="1:30" s="503" customFormat="1" ht="15.75" customHeight="1">
      <c r="A3512" s="517" t="str">
        <f>IF(B3512&lt;&gt;"",IF(AND(B3512&gt;=_TM1,B3512&lt;=_TM2,OR(TH!L3512="1111",TH!M3512="1111")),TH!D3512,""),"")</f>
        <v/>
      </c>
      <c r="B3512" s="531">
        <f t="shared" si="364"/>
        <v>7</v>
      </c>
      <c r="C3512" s="315">
        <f t="shared" ref="C3512:C4114" si="367">E3512</f>
        <v>42947</v>
      </c>
      <c r="D3512" s="544" t="s">
        <v>1181</v>
      </c>
      <c r="E3512" s="315">
        <v>42947</v>
      </c>
      <c r="F3512" s="250" t="s">
        <v>1335</v>
      </c>
      <c r="G3512" s="314" t="s">
        <v>1342</v>
      </c>
      <c r="H3512" s="473" t="s">
        <v>284</v>
      </c>
      <c r="I3512" s="307">
        <v>144</v>
      </c>
      <c r="J3512" s="307">
        <v>44002</v>
      </c>
      <c r="K3512" s="532">
        <f t="shared" si="366"/>
        <v>6336288</v>
      </c>
      <c r="L3512" s="534" t="s">
        <v>223</v>
      </c>
      <c r="M3512" s="534" t="s">
        <v>162</v>
      </c>
      <c r="N3512" s="525" t="str">
        <f>IF(AND('331-CT'!$E$7=TH!H3512,OR(L3512="331",M3512="331")),"331",IF(AND(OR(L3512="131",M3512="131"),H3512='131-CT'!$E$7),"131",""))</f>
        <v/>
      </c>
      <c r="O3512" s="525" t="str">
        <f>IF(AND($B3512&gt;='111'!$N$11,$B3512&lt;='111'!$O$11,OR($L3512=$O$7,$M3512=$O$7)),"x","")</f>
        <v/>
      </c>
      <c r="P3512" s="525" t="str">
        <f>IF(AND($L3512=$O$7,$B3512&lt;'111'!$N$11),"x","")</f>
        <v/>
      </c>
      <c r="Q3512" s="525" t="str">
        <f>IF(AND($M3512=$O$7,$B3512&lt;'111'!$N$11),"x","")</f>
        <v/>
      </c>
      <c r="R3512" s="525" t="str">
        <f>IF(ISERROR(FIND('112'!$M$9,G3512,1)),"",IF((AND(FIND('112'!$M$9,G3512,1)&gt;=1,$B3512&gt;='112'!$N$8,$B3512&lt;='112'!$O$8,OR($L3512='112'!$I$6,$M3512='112'!$I$6))),"x",""))</f>
        <v/>
      </c>
      <c r="S3512" s="525" t="str">
        <f>IF(ISERROR(FIND('112'!$M$9,G3512,1)),"",IF((AND(LEFT(G3512,2)=LEFT('112'!$M$9,2),B3512&lt;'112'!$N$8,$L3512='112'!$I$6)),"x",""))</f>
        <v/>
      </c>
      <c r="T3512" s="525" t="str">
        <f>IF(ISERROR(FIND('112'!$M$9,G3512,1)),"",IF((AND(RIGHT(G3512,2)=RIGHT('112'!$M$9,2),B3512&lt;'112'!$N$8,$M3512='112'!$I$6)),"x",""))</f>
        <v/>
      </c>
      <c r="U3512" s="525" t="str">
        <f>IF(AND(B3512&gt;='IN-NX'!$P$3,B3512&lt;='IN-NX'!$Q$3,'IN-NX'!$D$7=D3512,OR(LEFT(L3512,2)="15",AND(LEFT(M3512,2)&lt;&gt;"15",LEFT(M3512,2)&lt;&gt;"33"))),"x","")</f>
        <v/>
      </c>
      <c r="V3512" s="525" t="str">
        <f>IF(AND(OR(LEFT(TH!L3512,2)="15",LEFT(TH!M3512,2)="15"),'152-CT'!$J$8=TH!F3512),"x","")</f>
        <v/>
      </c>
      <c r="W3512" s="525" t="str">
        <f>IF(AND(OR(LEFT(TH!L3512,2)="15",LEFT(TH!M3512,2)="15"),TK!$E$7=TH!F3512),"x","")</f>
        <v/>
      </c>
      <c r="X3512" s="525" t="str">
        <f>IF(AND('341-CT'!$E$9=H3512,OR(LEFT(L3512,3)=$X$7,LEFT(M3512,3)=$X$7)),"x","")</f>
        <v/>
      </c>
      <c r="Y3512" s="525" t="str">
        <f>IF(OR(TH!L3512=TH!$Y$7,M3512=TH!$Y$7),"x","")</f>
        <v/>
      </c>
      <c r="Z3512" s="525" t="str">
        <f>IF(AND(B3512&lt;=NKC!$N$8,B3512&gt;=NKC!$M$8),"x","")</f>
        <v/>
      </c>
      <c r="AA3512" s="535"/>
      <c r="AB3512" s="536"/>
      <c r="AC3512" s="536" t="str">
        <f>VLOOKUP(F3512,NXT!$B$12:$B$686,1,0)</f>
        <v>Thùng 51.2x51.2x54.2</v>
      </c>
    </row>
    <row r="3513" spans="1:30" s="503" customFormat="1" ht="15.75" customHeight="1">
      <c r="A3513" s="517" t="str">
        <f>IF(B3513&lt;&gt;"",IF(AND(B3513&gt;=_TM1,B3513&lt;=_TM2,OR(TH!L3513="1111",TH!M3513="1111")),TH!D3513,""),"")</f>
        <v/>
      </c>
      <c r="B3513" s="531">
        <f t="shared" si="364"/>
        <v>7</v>
      </c>
      <c r="C3513" s="315">
        <f t="shared" si="367"/>
        <v>42947</v>
      </c>
      <c r="D3513" s="544" t="s">
        <v>1181</v>
      </c>
      <c r="E3513" s="315">
        <v>42947</v>
      </c>
      <c r="F3513" s="250" t="s">
        <v>1337</v>
      </c>
      <c r="G3513" s="314" t="s">
        <v>1342</v>
      </c>
      <c r="H3513" s="473" t="s">
        <v>284</v>
      </c>
      <c r="I3513" s="307">
        <v>128</v>
      </c>
      <c r="J3513" s="307">
        <v>41589</v>
      </c>
      <c r="K3513" s="532">
        <f t="shared" si="366"/>
        <v>5323392</v>
      </c>
      <c r="L3513" s="534" t="s">
        <v>223</v>
      </c>
      <c r="M3513" s="534" t="s">
        <v>162</v>
      </c>
      <c r="N3513" s="525" t="str">
        <f>IF(AND('331-CT'!$E$7=TH!H3513,OR(L3513="331",M3513="331")),"331",IF(AND(OR(L3513="131",M3513="131"),H3513='131-CT'!$E$7),"131",""))</f>
        <v/>
      </c>
      <c r="O3513" s="525" t="str">
        <f>IF(AND($B3513&gt;='111'!$N$11,$B3513&lt;='111'!$O$11,OR($L3513=$O$7,$M3513=$O$7)),"x","")</f>
        <v/>
      </c>
      <c r="P3513" s="525" t="str">
        <f>IF(AND($L3513=$O$7,$B3513&lt;'111'!$N$11),"x","")</f>
        <v/>
      </c>
      <c r="Q3513" s="525" t="str">
        <f>IF(AND($M3513=$O$7,$B3513&lt;'111'!$N$11),"x","")</f>
        <v/>
      </c>
      <c r="R3513" s="525" t="str">
        <f>IF(ISERROR(FIND('112'!$M$9,G3513,1)),"",IF((AND(FIND('112'!$M$9,G3513,1)&gt;=1,$B3513&gt;='112'!$N$8,$B3513&lt;='112'!$O$8,OR($L3513='112'!$I$6,$M3513='112'!$I$6))),"x",""))</f>
        <v/>
      </c>
      <c r="S3513" s="525" t="str">
        <f>IF(ISERROR(FIND('112'!$M$9,G3513,1)),"",IF((AND(LEFT(G3513,2)=LEFT('112'!$M$9,2),B3513&lt;'112'!$N$8,$L3513='112'!$I$6)),"x",""))</f>
        <v/>
      </c>
      <c r="T3513" s="525" t="str">
        <f>IF(ISERROR(FIND('112'!$M$9,G3513,1)),"",IF((AND(RIGHT(G3513,2)=RIGHT('112'!$M$9,2),B3513&lt;'112'!$N$8,$M3513='112'!$I$6)),"x",""))</f>
        <v/>
      </c>
      <c r="U3513" s="525" t="str">
        <f>IF(AND(B3513&gt;='IN-NX'!$P$3,B3513&lt;='IN-NX'!$Q$3,'IN-NX'!$D$7=D3513,OR(LEFT(L3513,2)="15",AND(LEFT(M3513,2)&lt;&gt;"15",LEFT(M3513,2)&lt;&gt;"33"))),"x","")</f>
        <v/>
      </c>
      <c r="V3513" s="525" t="str">
        <f>IF(AND(OR(LEFT(TH!L3513,2)="15",LEFT(TH!M3513,2)="15"),'152-CT'!$J$8=TH!F3513),"x","")</f>
        <v/>
      </c>
      <c r="W3513" s="525" t="str">
        <f>IF(AND(OR(LEFT(TH!L3513,2)="15",LEFT(TH!M3513,2)="15"),TK!$E$7=TH!F3513),"x","")</f>
        <v/>
      </c>
      <c r="X3513" s="525" t="str">
        <f>IF(AND('341-CT'!$E$9=H3513,OR(LEFT(L3513,3)=$X$7,LEFT(M3513,3)=$X$7)),"x","")</f>
        <v/>
      </c>
      <c r="Y3513" s="525" t="str">
        <f>IF(OR(TH!L3513=TH!$Y$7,M3513=TH!$Y$7),"x","")</f>
        <v/>
      </c>
      <c r="Z3513" s="525" t="str">
        <f>IF(AND(B3513&lt;=NKC!$N$8,B3513&gt;=NKC!$M$8),"x","")</f>
        <v/>
      </c>
      <c r="AA3513" s="535"/>
      <c r="AB3513" s="536"/>
      <c r="AC3513" s="536" t="str">
        <f>VLOOKUP(F3513,NXT!$B$12:$B$686,1,0)</f>
        <v>Thùng 49.2x49.2x54.2</v>
      </c>
    </row>
    <row r="3514" spans="1:30" s="503" customFormat="1" ht="15.75" customHeight="1">
      <c r="A3514" s="517" t="str">
        <f>IF(B3514&lt;&gt;"",IF(AND(B3514&gt;=_TM1,B3514&lt;=_TM2,OR(TH!L3514="1111",TH!M3514="1111")),TH!D3514,""),"")</f>
        <v/>
      </c>
      <c r="B3514" s="531">
        <f t="shared" si="364"/>
        <v>7</v>
      </c>
      <c r="C3514" s="315">
        <f t="shared" si="367"/>
        <v>42947</v>
      </c>
      <c r="D3514" s="544" t="s">
        <v>1181</v>
      </c>
      <c r="E3514" s="315">
        <v>42947</v>
      </c>
      <c r="F3514" s="250" t="s">
        <v>1348</v>
      </c>
      <c r="G3514" s="314" t="s">
        <v>1342</v>
      </c>
      <c r="H3514" s="473" t="s">
        <v>284</v>
      </c>
      <c r="I3514" s="307">
        <v>20</v>
      </c>
      <c r="J3514" s="307">
        <v>34634</v>
      </c>
      <c r="K3514" s="532">
        <f t="shared" si="366"/>
        <v>692680</v>
      </c>
      <c r="L3514" s="534" t="s">
        <v>223</v>
      </c>
      <c r="M3514" s="534" t="s">
        <v>162</v>
      </c>
      <c r="N3514" s="525" t="str">
        <f>IF(AND('331-CT'!$E$7=TH!H3514,OR(L3514="331",M3514="331")),"331",IF(AND(OR(L3514="131",M3514="131"),H3514='131-CT'!$E$7),"131",""))</f>
        <v/>
      </c>
      <c r="O3514" s="525" t="str">
        <f>IF(AND($B3514&gt;='111'!$N$11,$B3514&lt;='111'!$O$11,OR($L3514=$O$7,$M3514=$O$7)),"x","")</f>
        <v/>
      </c>
      <c r="P3514" s="525" t="str">
        <f>IF(AND($L3514=$O$7,$B3514&lt;'111'!$N$11),"x","")</f>
        <v/>
      </c>
      <c r="Q3514" s="525" t="str">
        <f>IF(AND($M3514=$O$7,$B3514&lt;'111'!$N$11),"x","")</f>
        <v/>
      </c>
      <c r="R3514" s="525" t="str">
        <f>IF(ISERROR(FIND('112'!$M$9,G3514,1)),"",IF((AND(FIND('112'!$M$9,G3514,1)&gt;=1,$B3514&gt;='112'!$N$8,$B3514&lt;='112'!$O$8,OR($L3514='112'!$I$6,$M3514='112'!$I$6))),"x",""))</f>
        <v/>
      </c>
      <c r="S3514" s="525" t="str">
        <f>IF(ISERROR(FIND('112'!$M$9,G3514,1)),"",IF((AND(LEFT(G3514,2)=LEFT('112'!$M$9,2),B3514&lt;'112'!$N$8,$L3514='112'!$I$6)),"x",""))</f>
        <v/>
      </c>
      <c r="T3514" s="525" t="str">
        <f>IF(ISERROR(FIND('112'!$M$9,G3514,1)),"",IF((AND(RIGHT(G3514,2)=RIGHT('112'!$M$9,2),B3514&lt;'112'!$N$8,$M3514='112'!$I$6)),"x",""))</f>
        <v/>
      </c>
      <c r="U3514" s="525" t="str">
        <f>IF(AND(B3514&gt;='IN-NX'!$P$3,B3514&lt;='IN-NX'!$Q$3,'IN-NX'!$D$7=D3514,OR(LEFT(L3514,2)="15",AND(LEFT(M3514,2)&lt;&gt;"15",LEFT(M3514,2)&lt;&gt;"33"))),"x","")</f>
        <v/>
      </c>
      <c r="V3514" s="525" t="str">
        <f>IF(AND(OR(LEFT(TH!L3514,2)="15",LEFT(TH!M3514,2)="15"),'152-CT'!$J$8=TH!F3514),"x","")</f>
        <v/>
      </c>
      <c r="W3514" s="525" t="str">
        <f>IF(AND(OR(LEFT(TH!L3514,2)="15",LEFT(TH!M3514,2)="15"),TK!$E$7=TH!F3514),"x","")</f>
        <v/>
      </c>
      <c r="X3514" s="525" t="str">
        <f>IF(AND('341-CT'!$E$9=H3514,OR(LEFT(L3514,3)=$X$7,LEFT(M3514,3)=$X$7)),"x","")</f>
        <v/>
      </c>
      <c r="Y3514" s="525" t="str">
        <f>IF(OR(TH!L3514=TH!$Y$7,M3514=TH!$Y$7),"x","")</f>
        <v/>
      </c>
      <c r="Z3514" s="525" t="str">
        <f>IF(AND(B3514&lt;=NKC!$N$8,B3514&gt;=NKC!$M$8),"x","")</f>
        <v/>
      </c>
      <c r="AA3514" s="535"/>
      <c r="AB3514" s="536"/>
      <c r="AC3514" s="536" t="str">
        <f>VLOOKUP(F3514,NXT!$B$12:$B$686,1,0)</f>
        <v>Thùng 96x96x18</v>
      </c>
    </row>
    <row r="3515" spans="1:30" s="503" customFormat="1" ht="15.75" customHeight="1">
      <c r="A3515" s="517" t="str">
        <f>IF(B3515&lt;&gt;"",IF(AND(B3515&gt;=_TM1,B3515&lt;=_TM2,OR(TH!L3515="1111",TH!M3515="1111")),TH!D3515,""),"")</f>
        <v/>
      </c>
      <c r="B3515" s="531">
        <f t="shared" ref="B3515:B3516" si="368">IF(C3515&lt;&gt;"",MONTH(C3515),"")</f>
        <v>7</v>
      </c>
      <c r="C3515" s="315">
        <f t="shared" ref="C3515:C3516" si="369">E3515</f>
        <v>42947</v>
      </c>
      <c r="D3515" s="544" t="s">
        <v>1181</v>
      </c>
      <c r="E3515" s="315">
        <v>42947</v>
      </c>
      <c r="F3515" s="250" t="s">
        <v>1349</v>
      </c>
      <c r="G3515" s="314" t="s">
        <v>1342</v>
      </c>
      <c r="H3515" s="473" t="s">
        <v>284</v>
      </c>
      <c r="I3515" s="307">
        <v>20</v>
      </c>
      <c r="J3515" s="307">
        <v>36701</v>
      </c>
      <c r="K3515" s="532">
        <f t="shared" ref="K3515:K3516" si="370">ROUND(I3515*J3515,0)</f>
        <v>734020</v>
      </c>
      <c r="L3515" s="534" t="s">
        <v>223</v>
      </c>
      <c r="M3515" s="534" t="s">
        <v>162</v>
      </c>
      <c r="N3515" s="525" t="str">
        <f>IF(AND('331-CT'!$E$7=TH!H3515,OR(L3515="331",M3515="331")),"331",IF(AND(OR(L3515="131",M3515="131"),H3515='131-CT'!$E$7),"131",""))</f>
        <v/>
      </c>
      <c r="O3515" s="525" t="str">
        <f>IF(AND($B3515&gt;='111'!$N$11,$B3515&lt;='111'!$O$11,OR($L3515=$O$7,$M3515=$O$7)),"x","")</f>
        <v/>
      </c>
      <c r="P3515" s="525" t="str">
        <f>IF(AND($L3515=$O$7,$B3515&lt;'111'!$N$11),"x","")</f>
        <v/>
      </c>
      <c r="Q3515" s="525" t="str">
        <f>IF(AND($M3515=$O$7,$B3515&lt;'111'!$N$11),"x","")</f>
        <v/>
      </c>
      <c r="R3515" s="525" t="str">
        <f>IF(ISERROR(FIND('112'!$M$9,G3515,1)),"",IF((AND(FIND('112'!$M$9,G3515,1)&gt;=1,$B3515&gt;='112'!$N$8,$B3515&lt;='112'!$O$8,OR($L3515='112'!$I$6,$M3515='112'!$I$6))),"x",""))</f>
        <v/>
      </c>
      <c r="S3515" s="525" t="str">
        <f>IF(ISERROR(FIND('112'!$M$9,G3515,1)),"",IF((AND(LEFT(G3515,2)=LEFT('112'!$M$9,2),B3515&lt;'112'!$N$8,$L3515='112'!$I$6)),"x",""))</f>
        <v/>
      </c>
      <c r="T3515" s="525" t="str">
        <f>IF(ISERROR(FIND('112'!$M$9,G3515,1)),"",IF((AND(RIGHT(G3515,2)=RIGHT('112'!$M$9,2),B3515&lt;'112'!$N$8,$M3515='112'!$I$6)),"x",""))</f>
        <v/>
      </c>
      <c r="U3515" s="525" t="str">
        <f>IF(AND(B3515&gt;='IN-NX'!$P$3,B3515&lt;='IN-NX'!$Q$3,'IN-NX'!$D$7=D3515,OR(LEFT(L3515,2)="15",AND(LEFT(M3515,2)&lt;&gt;"15",LEFT(M3515,2)&lt;&gt;"33"))),"x","")</f>
        <v/>
      </c>
      <c r="V3515" s="525" t="str">
        <f>IF(AND(OR(LEFT(TH!L3515,2)="15",LEFT(TH!M3515,2)="15"),'152-CT'!$J$8=TH!F3515),"x","")</f>
        <v/>
      </c>
      <c r="W3515" s="525" t="str">
        <f>IF(AND(OR(LEFT(TH!L3515,2)="15",LEFT(TH!M3515,2)="15"),TK!$E$7=TH!F3515),"x","")</f>
        <v/>
      </c>
      <c r="X3515" s="525" t="str">
        <f>IF(AND('341-CT'!$E$9=H3515,OR(LEFT(L3515,3)=$X$7,LEFT(M3515,3)=$X$7)),"x","")</f>
        <v/>
      </c>
      <c r="Y3515" s="525" t="str">
        <f>IF(OR(TH!L3515=TH!$Y$7,M3515=TH!$Y$7),"x","")</f>
        <v/>
      </c>
      <c r="Z3515" s="525" t="str">
        <f>IF(AND(B3515&lt;=NKC!$N$8,B3515&gt;=NKC!$M$8),"x","")</f>
        <v/>
      </c>
      <c r="AA3515" s="535"/>
      <c r="AB3515" s="536"/>
      <c r="AC3515" s="536" t="str">
        <f>VLOOKUP(F3515,NXT!$B$12:$B$686,1,0)</f>
        <v>Thùng 98x98x19</v>
      </c>
    </row>
    <row r="3516" spans="1:30" s="503" customFormat="1" ht="15.75" customHeight="1">
      <c r="A3516" s="517" t="str">
        <f>IF(B3516&lt;&gt;"",IF(AND(B3516&gt;=_TM1,B3516&lt;=_TM2,OR(TH!L3516="1111",TH!M3516="1111")),TH!D3516,""),"")</f>
        <v/>
      </c>
      <c r="B3516" s="531">
        <f t="shared" si="368"/>
        <v>7</v>
      </c>
      <c r="C3516" s="315">
        <f t="shared" si="369"/>
        <v>42947</v>
      </c>
      <c r="D3516" s="544" t="s">
        <v>1181</v>
      </c>
      <c r="E3516" s="315">
        <v>42947</v>
      </c>
      <c r="F3516" s="250" t="s">
        <v>1350</v>
      </c>
      <c r="G3516" s="314" t="s">
        <v>1342</v>
      </c>
      <c r="H3516" s="473" t="s">
        <v>284</v>
      </c>
      <c r="I3516" s="307">
        <v>30</v>
      </c>
      <c r="J3516" s="307">
        <v>19865</v>
      </c>
      <c r="K3516" s="532">
        <f t="shared" si="370"/>
        <v>595950</v>
      </c>
      <c r="L3516" s="534" t="s">
        <v>223</v>
      </c>
      <c r="M3516" s="534" t="s">
        <v>162</v>
      </c>
      <c r="N3516" s="525" t="str">
        <f>IF(AND('331-CT'!$E$7=TH!H3516,OR(L3516="331",M3516="331")),"331",IF(AND(OR(L3516="131",M3516="131"),H3516='131-CT'!$E$7),"131",""))</f>
        <v/>
      </c>
      <c r="O3516" s="525" t="str">
        <f>IF(AND($B3516&gt;='111'!$N$11,$B3516&lt;='111'!$O$11,OR($L3516=$O$7,$M3516=$O$7)),"x","")</f>
        <v/>
      </c>
      <c r="P3516" s="525" t="str">
        <f>IF(AND($L3516=$O$7,$B3516&lt;'111'!$N$11),"x","")</f>
        <v/>
      </c>
      <c r="Q3516" s="525" t="str">
        <f>IF(AND($M3516=$O$7,$B3516&lt;'111'!$N$11),"x","")</f>
        <v/>
      </c>
      <c r="R3516" s="525" t="str">
        <f>IF(ISERROR(FIND('112'!$M$9,G3516,1)),"",IF((AND(FIND('112'!$M$9,G3516,1)&gt;=1,$B3516&gt;='112'!$N$8,$B3516&lt;='112'!$O$8,OR($L3516='112'!$I$6,$M3516='112'!$I$6))),"x",""))</f>
        <v/>
      </c>
      <c r="S3516" s="525" t="str">
        <f>IF(ISERROR(FIND('112'!$M$9,G3516,1)),"",IF((AND(LEFT(G3516,2)=LEFT('112'!$M$9,2),B3516&lt;'112'!$N$8,$L3516='112'!$I$6)),"x",""))</f>
        <v/>
      </c>
      <c r="T3516" s="525" t="str">
        <f>IF(ISERROR(FIND('112'!$M$9,G3516,1)),"",IF((AND(RIGHT(G3516,2)=RIGHT('112'!$M$9,2),B3516&lt;'112'!$N$8,$M3516='112'!$I$6)),"x",""))</f>
        <v/>
      </c>
      <c r="U3516" s="525" t="str">
        <f>IF(AND(B3516&gt;='IN-NX'!$P$3,B3516&lt;='IN-NX'!$Q$3,'IN-NX'!$D$7=D3516,OR(LEFT(L3516,2)="15",AND(LEFT(M3516,2)&lt;&gt;"15",LEFT(M3516,2)&lt;&gt;"33"))),"x","")</f>
        <v/>
      </c>
      <c r="V3516" s="525" t="str">
        <f>IF(AND(OR(LEFT(TH!L3516,2)="15",LEFT(TH!M3516,2)="15"),'152-CT'!$J$8=TH!F3516),"x","")</f>
        <v/>
      </c>
      <c r="W3516" s="525" t="str">
        <f>IF(AND(OR(LEFT(TH!L3516,2)="15",LEFT(TH!M3516,2)="15"),TK!$E$7=TH!F3516),"x","")</f>
        <v/>
      </c>
      <c r="X3516" s="525" t="str">
        <f>IF(AND('341-CT'!$E$9=H3516,OR(LEFT(L3516,3)=$X$7,LEFT(M3516,3)=$X$7)),"x","")</f>
        <v/>
      </c>
      <c r="Y3516" s="525" t="str">
        <f>IF(OR(TH!L3516=TH!$Y$7,M3516=TH!$Y$7),"x","")</f>
        <v/>
      </c>
      <c r="Z3516" s="525" t="str">
        <f>IF(AND(B3516&lt;=NKC!$N$8,B3516&gt;=NKC!$M$8),"x","")</f>
        <v/>
      </c>
      <c r="AA3516" s="535"/>
      <c r="AC3516" s="536" t="str">
        <f>VLOOKUP(F3516,NXT!$B$12:$B$686,1,0)</f>
        <v>Thùng 57x57x21</v>
      </c>
    </row>
    <row r="3517" spans="1:30" s="503" customFormat="1" ht="15.75" customHeight="1">
      <c r="A3517" s="517" t="str">
        <f>IF(B3517&lt;&gt;"",IF(AND(B3517&gt;=_TM1,B3517&lt;=_TM2,OR(TH!L3517="1111",TH!M3517="1111")),TH!D3517,""),"")</f>
        <v/>
      </c>
      <c r="B3517" s="531">
        <f t="shared" si="364"/>
        <v>7</v>
      </c>
      <c r="C3517" s="315">
        <f t="shared" si="367"/>
        <v>42947</v>
      </c>
      <c r="D3517" s="544" t="s">
        <v>1181</v>
      </c>
      <c r="E3517" s="315">
        <v>42947</v>
      </c>
      <c r="F3517" s="250" t="s">
        <v>1351</v>
      </c>
      <c r="G3517" s="314" t="s">
        <v>1342</v>
      </c>
      <c r="H3517" s="473" t="s">
        <v>284</v>
      </c>
      <c r="I3517" s="307">
        <v>30</v>
      </c>
      <c r="J3517" s="307">
        <v>21438</v>
      </c>
      <c r="K3517" s="532">
        <f t="shared" si="366"/>
        <v>643140</v>
      </c>
      <c r="L3517" s="534" t="s">
        <v>223</v>
      </c>
      <c r="M3517" s="534" t="s">
        <v>162</v>
      </c>
      <c r="N3517" s="525" t="str">
        <f>IF(AND('331-CT'!$E$7=TH!H3517,OR(L3517="331",M3517="331")),"331",IF(AND(OR(L3517="131",M3517="131"),H3517='131-CT'!$E$7),"131",""))</f>
        <v/>
      </c>
      <c r="O3517" s="525" t="str">
        <f>IF(AND($B3517&gt;='111'!$N$11,$B3517&lt;='111'!$O$11,OR($L3517=$O$7,$M3517=$O$7)),"x","")</f>
        <v/>
      </c>
      <c r="P3517" s="525" t="str">
        <f>IF(AND($L3517=$O$7,$B3517&lt;'111'!$N$11),"x","")</f>
        <v/>
      </c>
      <c r="Q3517" s="525" t="str">
        <f>IF(AND($M3517=$O$7,$B3517&lt;'111'!$N$11),"x","")</f>
        <v/>
      </c>
      <c r="R3517" s="525" t="str">
        <f>IF(ISERROR(FIND('112'!$M$9,G3517,1)),"",IF((AND(FIND('112'!$M$9,G3517,1)&gt;=1,$B3517&gt;='112'!$N$8,$B3517&lt;='112'!$O$8,OR($L3517='112'!$I$6,$M3517='112'!$I$6))),"x",""))</f>
        <v/>
      </c>
      <c r="S3517" s="525" t="str">
        <f>IF(ISERROR(FIND('112'!$M$9,G3517,1)),"",IF((AND(LEFT(G3517,2)=LEFT('112'!$M$9,2),B3517&lt;'112'!$N$8,$L3517='112'!$I$6)),"x",""))</f>
        <v/>
      </c>
      <c r="T3517" s="525" t="str">
        <f>IF(ISERROR(FIND('112'!$M$9,G3517,1)),"",IF((AND(RIGHT(G3517,2)=RIGHT('112'!$M$9,2),B3517&lt;'112'!$N$8,$M3517='112'!$I$6)),"x",""))</f>
        <v/>
      </c>
      <c r="U3517" s="525" t="str">
        <f>IF(AND(B3517&gt;='IN-NX'!$P$3,B3517&lt;='IN-NX'!$Q$3,'IN-NX'!$D$7=D3517,OR(LEFT(L3517,2)="15",AND(LEFT(M3517,2)&lt;&gt;"15",LEFT(M3517,2)&lt;&gt;"33"))),"x","")</f>
        <v/>
      </c>
      <c r="V3517" s="525" t="str">
        <f>IF(AND(OR(LEFT(TH!L3517,2)="15",LEFT(TH!M3517,2)="15"),'152-CT'!$J$8=TH!F3517),"x","")</f>
        <v/>
      </c>
      <c r="W3517" s="525" t="str">
        <f>IF(AND(OR(LEFT(TH!L3517,2)="15",LEFT(TH!M3517,2)="15"),TK!$E$7=TH!F3517),"x","")</f>
        <v/>
      </c>
      <c r="X3517" s="525" t="str">
        <f>IF(AND('341-CT'!$E$9=H3517,OR(LEFT(L3517,3)=$X$7,LEFT(M3517,3)=$X$7)),"x","")</f>
        <v/>
      </c>
      <c r="Y3517" s="525" t="str">
        <f>IF(OR(TH!L3517=TH!$Y$7,M3517=TH!$Y$7),"x","")</f>
        <v/>
      </c>
      <c r="Z3517" s="525" t="str">
        <f>IF(AND(B3517&lt;=NKC!$N$8,B3517&gt;=NKC!$M$8),"x","")</f>
        <v/>
      </c>
      <c r="AA3517" s="535"/>
      <c r="AB3517" s="536"/>
      <c r="AC3517" s="536" t="str">
        <f>VLOOKUP(F3517,NXT!$B$12:$B$686,1,0)</f>
        <v>Thùng 59x59x22</v>
      </c>
    </row>
    <row r="3518" spans="1:30" s="503" customFormat="1" ht="15.75" customHeight="1">
      <c r="A3518" s="517" t="str">
        <f>IF(B3518&lt;&gt;"",IF(AND(B3518&gt;=_TM1,B3518&lt;=_TM2,OR(TH!L3518="1111",TH!M3518="1111")),TH!D3518,""),"")</f>
        <v/>
      </c>
      <c r="B3518" s="531">
        <f t="shared" si="364"/>
        <v>7</v>
      </c>
      <c r="C3518" s="315">
        <f t="shared" si="367"/>
        <v>42947</v>
      </c>
      <c r="D3518" s="544" t="s">
        <v>1181</v>
      </c>
      <c r="E3518" s="315">
        <v>42947</v>
      </c>
      <c r="F3518" s="249" t="s">
        <v>494</v>
      </c>
      <c r="G3518" s="314" t="s">
        <v>1342</v>
      </c>
      <c r="H3518" s="473" t="s">
        <v>284</v>
      </c>
      <c r="I3518" s="307"/>
      <c r="J3518" s="307"/>
      <c r="K3518" s="532">
        <v>3375381</v>
      </c>
      <c r="L3518" s="534" t="s">
        <v>223</v>
      </c>
      <c r="M3518" s="534" t="s">
        <v>259</v>
      </c>
      <c r="N3518" s="525" t="str">
        <f>IF(AND('331-CT'!$E$7=TH!H3518,OR(L3518="331",M3518="331")),"331",IF(AND(OR(L3518="131",M3518="131"),H3518='131-CT'!$E$7),"131",""))</f>
        <v/>
      </c>
      <c r="O3518" s="525" t="str">
        <f>IF(AND($B3518&gt;='111'!$N$11,$B3518&lt;='111'!$O$11,OR($L3518=$O$7,$M3518=$O$7)),"x","")</f>
        <v/>
      </c>
      <c r="P3518" s="525" t="str">
        <f>IF(AND($L3518=$O$7,$B3518&lt;'111'!$N$11),"x","")</f>
        <v/>
      </c>
      <c r="Q3518" s="525" t="str">
        <f>IF(AND($M3518=$O$7,$B3518&lt;'111'!$N$11),"x","")</f>
        <v/>
      </c>
      <c r="R3518" s="525" t="str">
        <f>IF(ISERROR(FIND('112'!$M$9,G3518,1)),"",IF((AND(FIND('112'!$M$9,G3518,1)&gt;=1,$B3518&gt;='112'!$N$8,$B3518&lt;='112'!$O$8,OR($L3518='112'!$I$6,$M3518='112'!$I$6))),"x",""))</f>
        <v/>
      </c>
      <c r="S3518" s="525" t="str">
        <f>IF(ISERROR(FIND('112'!$M$9,G3518,1)),"",IF((AND(LEFT(G3518,2)=LEFT('112'!$M$9,2),B3518&lt;'112'!$N$8,$L3518='112'!$I$6)),"x",""))</f>
        <v/>
      </c>
      <c r="T3518" s="525" t="str">
        <f>IF(ISERROR(FIND('112'!$M$9,G3518,1)),"",IF((AND(RIGHT(G3518,2)=RIGHT('112'!$M$9,2),B3518&lt;'112'!$N$8,$M3518='112'!$I$6)),"x",""))</f>
        <v/>
      </c>
      <c r="U3518" s="525" t="str">
        <f>IF(AND(B3518&gt;='IN-NX'!$P$3,B3518&lt;='IN-NX'!$Q$3,'IN-NX'!$D$7=D3518,OR(LEFT(L3518,2)="15",AND(LEFT(M3518,2)&lt;&gt;"15",LEFT(M3518,2)&lt;&gt;"33"))),"x","")</f>
        <v/>
      </c>
      <c r="V3518" s="525" t="str">
        <f>IF(AND(OR(LEFT(TH!L3518,2)="15",LEFT(TH!M3518,2)="15"),'152-CT'!$J$8=TH!F3518),"x","")</f>
        <v/>
      </c>
      <c r="W3518" s="525" t="str">
        <f>IF(AND(OR(LEFT(TH!L3518,2)="15",LEFT(TH!M3518,2)="15"),TK!$E$7=TH!F3518),"x","")</f>
        <v/>
      </c>
      <c r="X3518" s="525" t="str">
        <f>IF(AND('341-CT'!$E$9=H3518,OR(LEFT(L3518,3)=$X$7,LEFT(M3518,3)=$X$7)),"x","")</f>
        <v/>
      </c>
      <c r="Y3518" s="525" t="str">
        <f>IF(OR(TH!L3518=TH!$Y$7,M3518=TH!$Y$7),"x","")</f>
        <v/>
      </c>
      <c r="Z3518" s="525" t="str">
        <f>IF(AND(B3518&lt;=NKC!$N$8,B3518&gt;=NKC!$M$8),"x","")</f>
        <v/>
      </c>
      <c r="AA3518" s="535"/>
      <c r="AC3518" s="536"/>
    </row>
    <row r="3519" spans="1:30" s="503" customFormat="1" ht="15.75" customHeight="1">
      <c r="A3519" s="517" t="str">
        <f>IF(B3519&lt;&gt;"",IF(AND(B3519&gt;=_TM1,B3519&lt;=_TM2,OR(TH!L3519="1111",TH!M3519="1111")),TH!D3519,""),"")</f>
        <v/>
      </c>
      <c r="B3519" s="531">
        <f t="shared" si="364"/>
        <v>7</v>
      </c>
      <c r="C3519" s="315">
        <f t="shared" si="367"/>
        <v>42947</v>
      </c>
      <c r="D3519" s="544" t="s">
        <v>1181</v>
      </c>
      <c r="E3519" s="315">
        <v>42947</v>
      </c>
      <c r="F3519" s="250" t="s">
        <v>722</v>
      </c>
      <c r="G3519" s="314" t="s">
        <v>1372</v>
      </c>
      <c r="H3519" s="473" t="s">
        <v>284</v>
      </c>
      <c r="I3519" s="307">
        <v>12</v>
      </c>
      <c r="J3519" s="307">
        <v>11811</v>
      </c>
      <c r="K3519" s="532">
        <f t="shared" ref="K3519:K3538" si="371">ROUND(I3519*J3519,0)</f>
        <v>141732</v>
      </c>
      <c r="L3519" s="534" t="s">
        <v>223</v>
      </c>
      <c r="M3519" s="534" t="s">
        <v>162</v>
      </c>
      <c r="N3519" s="525" t="str">
        <f>IF(AND('331-CT'!$E$7=TH!H3519,OR(L3519="331",M3519="331")),"331",IF(AND(OR(L3519="131",M3519="131"),H3519='131-CT'!$E$7),"131",""))</f>
        <v/>
      </c>
      <c r="O3519" s="525" t="str">
        <f>IF(AND($B3519&gt;='111'!$N$11,$B3519&lt;='111'!$O$11,OR($L3519=$O$7,$M3519=$O$7)),"x","")</f>
        <v/>
      </c>
      <c r="P3519" s="525" t="str">
        <f>IF(AND($L3519=$O$7,$B3519&lt;'111'!$N$11),"x","")</f>
        <v/>
      </c>
      <c r="Q3519" s="525" t="str">
        <f>IF(AND($M3519=$O$7,$B3519&lt;'111'!$N$11),"x","")</f>
        <v/>
      </c>
      <c r="R3519" s="525" t="str">
        <f>IF(ISERROR(FIND('112'!$M$9,G3519,1)),"",IF((AND(FIND('112'!$M$9,G3519,1)&gt;=1,$B3519&gt;='112'!$N$8,$B3519&lt;='112'!$O$8,OR($L3519='112'!$I$6,$M3519='112'!$I$6))),"x",""))</f>
        <v/>
      </c>
      <c r="S3519" s="525" t="str">
        <f>IF(ISERROR(FIND('112'!$M$9,G3519,1)),"",IF((AND(LEFT(G3519,2)=LEFT('112'!$M$9,2),B3519&lt;'112'!$N$8,$L3519='112'!$I$6)),"x",""))</f>
        <v/>
      </c>
      <c r="T3519" s="525" t="str">
        <f>IF(ISERROR(FIND('112'!$M$9,G3519,1)),"",IF((AND(RIGHT(G3519,2)=RIGHT('112'!$M$9,2),B3519&lt;'112'!$N$8,$M3519='112'!$I$6)),"x",""))</f>
        <v/>
      </c>
      <c r="U3519" s="525" t="str">
        <f>IF(AND(B3519&gt;='IN-NX'!$P$3,B3519&lt;='IN-NX'!$Q$3,'IN-NX'!$D$7=D3519,OR(LEFT(L3519,2)="15",AND(LEFT(M3519,2)&lt;&gt;"15",LEFT(M3519,2)&lt;&gt;"33"))),"x","")</f>
        <v/>
      </c>
      <c r="V3519" s="525" t="str">
        <f>IF(AND(OR(LEFT(TH!L3519,2)="15",LEFT(TH!M3519,2)="15"),'152-CT'!$J$8=TH!F3519),"x","")</f>
        <v/>
      </c>
      <c r="W3519" s="525" t="str">
        <f>IF(AND(OR(LEFT(TH!L3519,2)="15",LEFT(TH!M3519,2)="15"),TK!$E$7=TH!F3519),"x","")</f>
        <v/>
      </c>
      <c r="X3519" s="525" t="str">
        <f>IF(AND('341-CT'!$E$9=H3519,OR(LEFT(L3519,3)=$X$7,LEFT(M3519,3)=$X$7)),"x","")</f>
        <v/>
      </c>
      <c r="Y3519" s="525" t="str">
        <f>IF(OR(TH!L3519=TH!$Y$7,M3519=TH!$Y$7),"x","")</f>
        <v/>
      </c>
      <c r="Z3519" s="525" t="str">
        <f>IF(AND(B3519&lt;=NKC!$N$8,B3519&gt;=NKC!$M$8),"x","")</f>
        <v/>
      </c>
      <c r="AA3519" s="535"/>
      <c r="AB3519" s="536"/>
      <c r="AC3519" s="536" t="str">
        <f>VLOOKUP(F3519,NXT!$B$12:$B$686,1,0)</f>
        <v>Thùng 32x32x32</v>
      </c>
    </row>
    <row r="3520" spans="1:30" s="503" customFormat="1" ht="15.75" customHeight="1">
      <c r="A3520" s="517" t="str">
        <f>IF(B3520&lt;&gt;"",IF(AND(B3520&gt;=_TM1,B3520&lt;=_TM2,OR(TH!L3520="1111",TH!M3520="1111")),TH!D3520,""),"")</f>
        <v/>
      </c>
      <c r="B3520" s="531">
        <f t="shared" si="364"/>
        <v>7</v>
      </c>
      <c r="C3520" s="315">
        <f t="shared" si="367"/>
        <v>42947</v>
      </c>
      <c r="D3520" s="544" t="s">
        <v>1181</v>
      </c>
      <c r="E3520" s="315">
        <v>42947</v>
      </c>
      <c r="F3520" s="250" t="s">
        <v>760</v>
      </c>
      <c r="G3520" s="314" t="s">
        <v>1372</v>
      </c>
      <c r="H3520" s="473" t="s">
        <v>284</v>
      </c>
      <c r="I3520" s="307">
        <v>120</v>
      </c>
      <c r="J3520" s="307">
        <v>27428</v>
      </c>
      <c r="K3520" s="532">
        <f t="shared" si="371"/>
        <v>3291360</v>
      </c>
      <c r="L3520" s="534" t="s">
        <v>223</v>
      </c>
      <c r="M3520" s="534" t="s">
        <v>162</v>
      </c>
      <c r="N3520" s="525" t="str">
        <f>IF(AND('331-CT'!$E$7=TH!H3520,OR(L3520="331",M3520="331")),"331",IF(AND(OR(L3520="131",M3520="131"),H3520='131-CT'!$E$7),"131",""))</f>
        <v/>
      </c>
      <c r="O3520" s="525" t="str">
        <f>IF(AND($B3520&gt;='111'!$N$11,$B3520&lt;='111'!$O$11,OR($L3520=$O$7,$M3520=$O$7)),"x","")</f>
        <v/>
      </c>
      <c r="P3520" s="525" t="str">
        <f>IF(AND($L3520=$O$7,$B3520&lt;'111'!$N$11),"x","")</f>
        <v/>
      </c>
      <c r="Q3520" s="525" t="str">
        <f>IF(AND($M3520=$O$7,$B3520&lt;'111'!$N$11),"x","")</f>
        <v/>
      </c>
      <c r="R3520" s="525" t="str">
        <f>IF(ISERROR(FIND('112'!$M$9,G3520,1)),"",IF((AND(FIND('112'!$M$9,G3520,1)&gt;=1,$B3520&gt;='112'!$N$8,$B3520&lt;='112'!$O$8,OR($L3520='112'!$I$6,$M3520='112'!$I$6))),"x",""))</f>
        <v/>
      </c>
      <c r="S3520" s="525" t="str">
        <f>IF(ISERROR(FIND('112'!$M$9,G3520,1)),"",IF((AND(LEFT(G3520,2)=LEFT('112'!$M$9,2),B3520&lt;'112'!$N$8,$L3520='112'!$I$6)),"x",""))</f>
        <v/>
      </c>
      <c r="T3520" s="525" t="str">
        <f>IF(ISERROR(FIND('112'!$M$9,G3520,1)),"",IF((AND(RIGHT(G3520,2)=RIGHT('112'!$M$9,2),B3520&lt;'112'!$N$8,$M3520='112'!$I$6)),"x",""))</f>
        <v/>
      </c>
      <c r="U3520" s="525" t="str">
        <f>IF(AND(B3520&gt;='IN-NX'!$P$3,B3520&lt;='IN-NX'!$Q$3,'IN-NX'!$D$7=D3520,OR(LEFT(L3520,2)="15",AND(LEFT(M3520,2)&lt;&gt;"15",LEFT(M3520,2)&lt;&gt;"33"))),"x","")</f>
        <v/>
      </c>
      <c r="V3520" s="525" t="str">
        <f>IF(AND(OR(LEFT(TH!L3520,2)="15",LEFT(TH!M3520,2)="15"),'152-CT'!$J$8=TH!F3520),"x","")</f>
        <v/>
      </c>
      <c r="W3520" s="525" t="str">
        <f>IF(AND(OR(LEFT(TH!L3520,2)="15",LEFT(TH!M3520,2)="15"),TK!$E$7=TH!F3520),"x","")</f>
        <v/>
      </c>
      <c r="X3520" s="525" t="str">
        <f>IF(AND('341-CT'!$E$9=H3520,OR(LEFT(L3520,3)=$X$7,LEFT(M3520,3)=$X$7)),"x","")</f>
        <v/>
      </c>
      <c r="Y3520" s="525" t="str">
        <f>IF(OR(TH!L3520=TH!$Y$7,M3520=TH!$Y$7),"x","")</f>
        <v/>
      </c>
      <c r="Z3520" s="525" t="str">
        <f>IF(AND(B3520&lt;=NKC!$N$8,B3520&gt;=NKC!$M$8),"x","")</f>
        <v/>
      </c>
      <c r="AA3520" s="535"/>
      <c r="AC3520" s="536" t="str">
        <f>VLOOKUP(F3520,NXT!$B$12:$B$686,1,0)</f>
        <v>Thùng 55x55x33</v>
      </c>
    </row>
    <row r="3521" spans="1:30" s="503" customFormat="1" ht="15.75" customHeight="1">
      <c r="A3521" s="517" t="str">
        <f>IF(B3521&lt;&gt;"",IF(AND(B3521&gt;=_TM1,B3521&lt;=_TM2,OR(TH!L3521="1111",TH!M3521="1111")),TH!D3521,""),"")</f>
        <v/>
      </c>
      <c r="B3521" s="531">
        <f t="shared" si="364"/>
        <v>7</v>
      </c>
      <c r="C3521" s="315">
        <f t="shared" si="367"/>
        <v>42947</v>
      </c>
      <c r="D3521" s="544" t="s">
        <v>1181</v>
      </c>
      <c r="E3521" s="315">
        <v>42947</v>
      </c>
      <c r="F3521" s="250" t="s">
        <v>1385</v>
      </c>
      <c r="G3521" s="314" t="s">
        <v>1372</v>
      </c>
      <c r="H3521" s="473" t="s">
        <v>284</v>
      </c>
      <c r="I3521" s="307">
        <v>120</v>
      </c>
      <c r="J3521" s="307">
        <v>42247</v>
      </c>
      <c r="K3521" s="532">
        <f t="shared" si="371"/>
        <v>5069640</v>
      </c>
      <c r="L3521" s="534" t="s">
        <v>223</v>
      </c>
      <c r="M3521" s="534" t="s">
        <v>162</v>
      </c>
      <c r="N3521" s="525" t="str">
        <f>IF(AND('331-CT'!$E$7=TH!H3521,OR(L3521="331",M3521="331")),"331",IF(AND(OR(L3521="131",M3521="131"),H3521='131-CT'!$E$7),"131",""))</f>
        <v/>
      </c>
      <c r="O3521" s="525" t="str">
        <f>IF(AND($B3521&gt;='111'!$N$11,$B3521&lt;='111'!$O$11,OR($L3521=$O$7,$M3521=$O$7)),"x","")</f>
        <v/>
      </c>
      <c r="P3521" s="525" t="str">
        <f>IF(AND($L3521=$O$7,$B3521&lt;'111'!$N$11),"x","")</f>
        <v/>
      </c>
      <c r="Q3521" s="525" t="str">
        <f>IF(AND($M3521=$O$7,$B3521&lt;'111'!$N$11),"x","")</f>
        <v/>
      </c>
      <c r="R3521" s="525" t="str">
        <f>IF(ISERROR(FIND('112'!$M$9,G3521,1)),"",IF((AND(FIND('112'!$M$9,G3521,1)&gt;=1,$B3521&gt;='112'!$N$8,$B3521&lt;='112'!$O$8,OR($L3521='112'!$I$6,$M3521='112'!$I$6))),"x",""))</f>
        <v/>
      </c>
      <c r="S3521" s="525" t="str">
        <f>IF(ISERROR(FIND('112'!$M$9,G3521,1)),"",IF((AND(LEFT(G3521,2)=LEFT('112'!$M$9,2),B3521&lt;'112'!$N$8,$L3521='112'!$I$6)),"x",""))</f>
        <v/>
      </c>
      <c r="T3521" s="525" t="str">
        <f>IF(ISERROR(FIND('112'!$M$9,G3521,1)),"",IF((AND(RIGHT(G3521,2)=RIGHT('112'!$M$9,2),B3521&lt;'112'!$N$8,$M3521='112'!$I$6)),"x",""))</f>
        <v/>
      </c>
      <c r="U3521" s="525" t="str">
        <f>IF(AND(B3521&gt;='IN-NX'!$P$3,B3521&lt;='IN-NX'!$Q$3,'IN-NX'!$D$7=D3521,OR(LEFT(L3521,2)="15",AND(LEFT(M3521,2)&lt;&gt;"15",LEFT(M3521,2)&lt;&gt;"33"))),"x","")</f>
        <v/>
      </c>
      <c r="V3521" s="525" t="str">
        <f>IF(AND(OR(LEFT(TH!L3521,2)="15",LEFT(TH!M3521,2)="15"),'152-CT'!$J$8=TH!F3521),"x","")</f>
        <v/>
      </c>
      <c r="W3521" s="525" t="str">
        <f>IF(AND(OR(LEFT(TH!L3521,2)="15",LEFT(TH!M3521,2)="15"),TK!$E$7=TH!F3521),"x","")</f>
        <v/>
      </c>
      <c r="X3521" s="525" t="str">
        <f>IF(AND('341-CT'!$E$9=H3521,OR(LEFT(L3521,3)=$X$7,LEFT(M3521,3)=$X$7)),"x","")</f>
        <v/>
      </c>
      <c r="Y3521" s="525" t="str">
        <f>IF(OR(TH!L3521=TH!$Y$7,M3521=TH!$Y$7),"x","")</f>
        <v/>
      </c>
      <c r="Z3521" s="525" t="str">
        <f>IF(AND(B3521&lt;=NKC!$N$8,B3521&gt;=NKC!$M$8),"x","")</f>
        <v/>
      </c>
      <c r="AA3521" s="535"/>
      <c r="AB3521" s="536"/>
      <c r="AC3521" s="536" t="str">
        <f>VLOOKUP(F3521,NXT!$B$12:$B$686,1,0)</f>
        <v>Thùng 55x33x80</v>
      </c>
      <c r="AD3521" s="536"/>
    </row>
    <row r="3522" spans="1:30" s="503" customFormat="1" ht="15.75" customHeight="1">
      <c r="A3522" s="517" t="str">
        <f>IF(B3522&lt;&gt;"",IF(AND(B3522&gt;=_TM1,B3522&lt;=_TM2,OR(TH!L3522="1111",TH!M3522="1111")),TH!D3522,""),"")</f>
        <v/>
      </c>
      <c r="B3522" s="531">
        <f t="shared" si="364"/>
        <v>7</v>
      </c>
      <c r="C3522" s="315">
        <f t="shared" si="367"/>
        <v>42947</v>
      </c>
      <c r="D3522" s="544" t="s">
        <v>1181</v>
      </c>
      <c r="E3522" s="315">
        <v>42947</v>
      </c>
      <c r="F3522" s="250" t="s">
        <v>1386</v>
      </c>
      <c r="G3522" s="314" t="s">
        <v>1372</v>
      </c>
      <c r="H3522" s="473" t="s">
        <v>284</v>
      </c>
      <c r="I3522" s="307">
        <v>20</v>
      </c>
      <c r="J3522" s="307">
        <v>53896</v>
      </c>
      <c r="K3522" s="532">
        <f t="shared" si="371"/>
        <v>1077920</v>
      </c>
      <c r="L3522" s="534" t="s">
        <v>223</v>
      </c>
      <c r="M3522" s="534" t="s">
        <v>162</v>
      </c>
      <c r="N3522" s="525" t="str">
        <f>IF(AND('331-CT'!$E$7=TH!H3522,OR(L3522="331",M3522="331")),"331",IF(AND(OR(L3522="131",M3522="131"),H3522='131-CT'!$E$7),"131",""))</f>
        <v/>
      </c>
      <c r="O3522" s="525" t="str">
        <f>IF(AND($B3522&gt;='111'!$N$11,$B3522&lt;='111'!$O$11,OR($L3522=$O$7,$M3522=$O$7)),"x","")</f>
        <v/>
      </c>
      <c r="P3522" s="525" t="str">
        <f>IF(AND($L3522=$O$7,$B3522&lt;'111'!$N$11),"x","")</f>
        <v/>
      </c>
      <c r="Q3522" s="525" t="str">
        <f>IF(AND($M3522=$O$7,$B3522&lt;'111'!$N$11),"x","")</f>
        <v/>
      </c>
      <c r="R3522" s="525" t="str">
        <f>IF(ISERROR(FIND('112'!$M$9,G3522,1)),"",IF((AND(FIND('112'!$M$9,G3522,1)&gt;=1,$B3522&gt;='112'!$N$8,$B3522&lt;='112'!$O$8,OR($L3522='112'!$I$6,$M3522='112'!$I$6))),"x",""))</f>
        <v/>
      </c>
      <c r="S3522" s="525" t="str">
        <f>IF(ISERROR(FIND('112'!$M$9,G3522,1)),"",IF((AND(LEFT(G3522,2)=LEFT('112'!$M$9,2),B3522&lt;'112'!$N$8,$L3522='112'!$I$6)),"x",""))</f>
        <v/>
      </c>
      <c r="T3522" s="525" t="str">
        <f>IF(ISERROR(FIND('112'!$M$9,G3522,1)),"",IF((AND(RIGHT(G3522,2)=RIGHT('112'!$M$9,2),B3522&lt;'112'!$N$8,$M3522='112'!$I$6)),"x",""))</f>
        <v/>
      </c>
      <c r="U3522" s="525" t="str">
        <f>IF(AND(B3522&gt;='IN-NX'!$P$3,B3522&lt;='IN-NX'!$Q$3,'IN-NX'!$D$7=D3522,OR(LEFT(L3522,2)="15",AND(LEFT(M3522,2)&lt;&gt;"15",LEFT(M3522,2)&lt;&gt;"33"))),"x","")</f>
        <v/>
      </c>
      <c r="V3522" s="525" t="str">
        <f>IF(AND(OR(LEFT(TH!L3522,2)="15",LEFT(TH!M3522,2)="15"),'152-CT'!$J$8=TH!F3522),"x","")</f>
        <v/>
      </c>
      <c r="W3522" s="525" t="str">
        <f>IF(AND(OR(LEFT(TH!L3522,2)="15",LEFT(TH!M3522,2)="15"),TK!$E$7=TH!F3522),"x","")</f>
        <v/>
      </c>
      <c r="X3522" s="525" t="str">
        <f>IF(AND('341-CT'!$E$9=H3522,OR(LEFT(L3522,3)=$X$7,LEFT(M3522,3)=$X$7)),"x","")</f>
        <v/>
      </c>
      <c r="Y3522" s="525" t="str">
        <f>IF(OR(TH!L3522=TH!$Y$7,M3522=TH!$Y$7),"x","")</f>
        <v/>
      </c>
      <c r="Z3522" s="525" t="str">
        <f>IF(AND(B3522&lt;=NKC!$N$8,B3522&gt;=NKC!$M$8),"x","")</f>
        <v/>
      </c>
      <c r="AA3522" s="535"/>
      <c r="AB3522" s="536"/>
      <c r="AC3522" s="536" t="str">
        <f>VLOOKUP(F3522,NXT!$B$12:$B$686,1,0)</f>
        <v>Thùng 105x79x27</v>
      </c>
    </row>
    <row r="3523" spans="1:30" s="503" customFormat="1" ht="15.75" customHeight="1">
      <c r="A3523" s="517" t="str">
        <f>IF(B3523&lt;&gt;"",IF(AND(B3523&gt;=_TM1,B3523&lt;=_TM2,OR(TH!L3523="1111",TH!M3523="1111")),TH!D3523,""),"")</f>
        <v/>
      </c>
      <c r="B3523" s="531">
        <f t="shared" si="364"/>
        <v>7</v>
      </c>
      <c r="C3523" s="315">
        <f t="shared" si="367"/>
        <v>42947</v>
      </c>
      <c r="D3523" s="544" t="s">
        <v>1181</v>
      </c>
      <c r="E3523" s="315">
        <v>42947</v>
      </c>
      <c r="F3523" s="250" t="s">
        <v>1387</v>
      </c>
      <c r="G3523" s="314" t="s">
        <v>1372</v>
      </c>
      <c r="H3523" s="473" t="s">
        <v>284</v>
      </c>
      <c r="I3523" s="307">
        <v>15</v>
      </c>
      <c r="J3523" s="307">
        <v>97266</v>
      </c>
      <c r="K3523" s="532">
        <f t="shared" si="371"/>
        <v>1458990</v>
      </c>
      <c r="L3523" s="534" t="s">
        <v>223</v>
      </c>
      <c r="M3523" s="534" t="s">
        <v>162</v>
      </c>
      <c r="N3523" s="525" t="str">
        <f>IF(AND('331-CT'!$E$7=TH!H3523,OR(L3523="331",M3523="331")),"331",IF(AND(OR(L3523="131",M3523="131"),H3523='131-CT'!$E$7),"131",""))</f>
        <v/>
      </c>
      <c r="O3523" s="525" t="str">
        <f>IF(AND($B3523&gt;='111'!$N$11,$B3523&lt;='111'!$O$11,OR($L3523=$O$7,$M3523=$O$7)),"x","")</f>
        <v/>
      </c>
      <c r="P3523" s="525" t="str">
        <f>IF(AND($L3523=$O$7,$B3523&lt;'111'!$N$11),"x","")</f>
        <v/>
      </c>
      <c r="Q3523" s="525" t="str">
        <f>IF(AND($M3523=$O$7,$B3523&lt;'111'!$N$11),"x","")</f>
        <v/>
      </c>
      <c r="R3523" s="525" t="str">
        <f>IF(ISERROR(FIND('112'!$M$9,G3523,1)),"",IF((AND(FIND('112'!$M$9,G3523,1)&gt;=1,$B3523&gt;='112'!$N$8,$B3523&lt;='112'!$O$8,OR($L3523='112'!$I$6,$M3523='112'!$I$6))),"x",""))</f>
        <v/>
      </c>
      <c r="S3523" s="525" t="str">
        <f>IF(ISERROR(FIND('112'!$M$9,G3523,1)),"",IF((AND(LEFT(G3523,2)=LEFT('112'!$M$9,2),B3523&lt;'112'!$N$8,$L3523='112'!$I$6)),"x",""))</f>
        <v/>
      </c>
      <c r="T3523" s="525" t="str">
        <f>IF(ISERROR(FIND('112'!$M$9,G3523,1)),"",IF((AND(RIGHT(G3523,2)=RIGHT('112'!$M$9,2),B3523&lt;'112'!$N$8,$M3523='112'!$I$6)),"x",""))</f>
        <v/>
      </c>
      <c r="U3523" s="525" t="str">
        <f>IF(AND(B3523&gt;='IN-NX'!$P$3,B3523&lt;='IN-NX'!$Q$3,'IN-NX'!$D$7=D3523,OR(LEFT(L3523,2)="15",AND(LEFT(M3523,2)&lt;&gt;"15",LEFT(M3523,2)&lt;&gt;"33"))),"x","")</f>
        <v/>
      </c>
      <c r="V3523" s="525" t="str">
        <f>IF(AND(OR(LEFT(TH!L3523,2)="15",LEFT(TH!M3523,2)="15"),'152-CT'!$J$8=TH!F3523),"x","")</f>
        <v/>
      </c>
      <c r="W3523" s="525" t="str">
        <f>IF(AND(OR(LEFT(TH!L3523,2)="15",LEFT(TH!M3523,2)="15"),TK!$E$7=TH!F3523),"x","")</f>
        <v/>
      </c>
      <c r="X3523" s="525" t="str">
        <f>IF(AND('341-CT'!$E$9=H3523,OR(LEFT(L3523,3)=$X$7,LEFT(M3523,3)=$X$7)),"x","")</f>
        <v/>
      </c>
      <c r="Y3523" s="525" t="str">
        <f>IF(OR(TH!L3523=TH!$Y$7,M3523=TH!$Y$7),"x","")</f>
        <v/>
      </c>
      <c r="Z3523" s="525" t="str">
        <f>IF(AND(B3523&lt;=NKC!$N$8,B3523&gt;=NKC!$M$8),"x","")</f>
        <v/>
      </c>
      <c r="AA3523" s="535"/>
      <c r="AB3523" s="536"/>
      <c r="AC3523" s="536" t="str">
        <f>VLOOKUP(F3523,NXT!$B$12:$B$686,1,0)</f>
        <v>Thùng 165x75x16</v>
      </c>
    </row>
    <row r="3524" spans="1:30" s="503" customFormat="1" ht="15.75" customHeight="1">
      <c r="A3524" s="517" t="str">
        <f>IF(B3524&lt;&gt;"",IF(AND(B3524&gt;=_TM1,B3524&lt;=_TM2,OR(TH!L3524="1111",TH!M3524="1111")),TH!D3524,""),"")</f>
        <v/>
      </c>
      <c r="B3524" s="531">
        <f t="shared" si="364"/>
        <v>7</v>
      </c>
      <c r="C3524" s="315">
        <f t="shared" si="367"/>
        <v>42947</v>
      </c>
      <c r="D3524" s="544" t="s">
        <v>1181</v>
      </c>
      <c r="E3524" s="315">
        <v>42947</v>
      </c>
      <c r="F3524" s="250" t="s">
        <v>1388</v>
      </c>
      <c r="G3524" s="314" t="s">
        <v>1372</v>
      </c>
      <c r="H3524" s="473" t="s">
        <v>284</v>
      </c>
      <c r="I3524" s="307">
        <v>15</v>
      </c>
      <c r="J3524" s="307">
        <v>39408</v>
      </c>
      <c r="K3524" s="532">
        <f t="shared" si="371"/>
        <v>591120</v>
      </c>
      <c r="L3524" s="534" t="s">
        <v>223</v>
      </c>
      <c r="M3524" s="534" t="s">
        <v>162</v>
      </c>
      <c r="N3524" s="525" t="str">
        <f>IF(AND('331-CT'!$E$7=TH!H3524,OR(L3524="331",M3524="331")),"331",IF(AND(OR(L3524="131",M3524="131"),H3524='131-CT'!$E$7),"131",""))</f>
        <v/>
      </c>
      <c r="O3524" s="525" t="str">
        <f>IF(AND($B3524&gt;='111'!$N$11,$B3524&lt;='111'!$O$11,OR($L3524=$O$7,$M3524=$O$7)),"x","")</f>
        <v/>
      </c>
      <c r="P3524" s="525" t="str">
        <f>IF(AND($L3524=$O$7,$B3524&lt;'111'!$N$11),"x","")</f>
        <v/>
      </c>
      <c r="Q3524" s="525" t="str">
        <f>IF(AND($M3524=$O$7,$B3524&lt;'111'!$N$11),"x","")</f>
        <v/>
      </c>
      <c r="R3524" s="525" t="str">
        <f>IF(ISERROR(FIND('112'!$M$9,G3524,1)),"",IF((AND(FIND('112'!$M$9,G3524,1)&gt;=1,$B3524&gt;='112'!$N$8,$B3524&lt;='112'!$O$8,OR($L3524='112'!$I$6,$M3524='112'!$I$6))),"x",""))</f>
        <v/>
      </c>
      <c r="S3524" s="525" t="str">
        <f>IF(ISERROR(FIND('112'!$M$9,G3524,1)),"",IF((AND(LEFT(G3524,2)=LEFT('112'!$M$9,2),B3524&lt;'112'!$N$8,$L3524='112'!$I$6)),"x",""))</f>
        <v/>
      </c>
      <c r="T3524" s="525" t="str">
        <f>IF(ISERROR(FIND('112'!$M$9,G3524,1)),"",IF((AND(RIGHT(G3524,2)=RIGHT('112'!$M$9,2),B3524&lt;'112'!$N$8,$M3524='112'!$I$6)),"x",""))</f>
        <v/>
      </c>
      <c r="U3524" s="525" t="str">
        <f>IF(AND(B3524&gt;='IN-NX'!$P$3,B3524&lt;='IN-NX'!$Q$3,'IN-NX'!$D$7=D3524,OR(LEFT(L3524,2)="15",AND(LEFT(M3524,2)&lt;&gt;"15",LEFT(M3524,2)&lt;&gt;"33"))),"x","")</f>
        <v/>
      </c>
      <c r="V3524" s="525" t="str">
        <f>IF(AND(OR(LEFT(TH!L3524,2)="15",LEFT(TH!M3524,2)="15"),'152-CT'!$J$8=TH!F3524),"x","")</f>
        <v/>
      </c>
      <c r="W3524" s="525" t="str">
        <f>IF(AND(OR(LEFT(TH!L3524,2)="15",LEFT(TH!M3524,2)="15"),TK!$E$7=TH!F3524),"x","")</f>
        <v/>
      </c>
      <c r="X3524" s="525" t="str">
        <f>IF(AND('341-CT'!$E$9=H3524,OR(LEFT(L3524,3)=$X$7,LEFT(M3524,3)=$X$7)),"x","")</f>
        <v/>
      </c>
      <c r="Y3524" s="525" t="str">
        <f>IF(OR(TH!L3524=TH!$Y$7,M3524=TH!$Y$7),"x","")</f>
        <v/>
      </c>
      <c r="Z3524" s="525" t="str">
        <f>IF(AND(B3524&lt;=NKC!$N$8,B3524&gt;=NKC!$M$8),"x","")</f>
        <v/>
      </c>
      <c r="AA3524" s="535"/>
      <c r="AB3524" s="536"/>
      <c r="AC3524" s="536" t="str">
        <f>VLOOKUP(F3524,NXT!$B$12:$B$686,1,0)</f>
        <v>Thùng 75x35x43</v>
      </c>
    </row>
    <row r="3525" spans="1:30" s="503" customFormat="1" ht="15.75" customHeight="1">
      <c r="A3525" s="517" t="str">
        <f>IF(B3525&lt;&gt;"",IF(AND(B3525&gt;=_TM1,B3525&lt;=_TM2,OR(TH!L3525="1111",TH!M3525="1111")),TH!D3525,""),"")</f>
        <v/>
      </c>
      <c r="B3525" s="531">
        <f t="shared" si="364"/>
        <v>7</v>
      </c>
      <c r="C3525" s="315">
        <f t="shared" si="367"/>
        <v>42947</v>
      </c>
      <c r="D3525" s="544" t="s">
        <v>1181</v>
      </c>
      <c r="E3525" s="315">
        <v>42947</v>
      </c>
      <c r="F3525" s="250" t="s">
        <v>619</v>
      </c>
      <c r="G3525" s="314" t="s">
        <v>1372</v>
      </c>
      <c r="H3525" s="473" t="s">
        <v>284</v>
      </c>
      <c r="I3525" s="307">
        <v>80</v>
      </c>
      <c r="J3525" s="307">
        <v>20656</v>
      </c>
      <c r="K3525" s="532">
        <f t="shared" si="371"/>
        <v>1652480</v>
      </c>
      <c r="L3525" s="534" t="s">
        <v>223</v>
      </c>
      <c r="M3525" s="534" t="s">
        <v>162</v>
      </c>
      <c r="N3525" s="525" t="str">
        <f>IF(AND('331-CT'!$E$7=TH!H3525,OR(L3525="331",M3525="331")),"331",IF(AND(OR(L3525="131",M3525="131"),H3525='131-CT'!$E$7),"131",""))</f>
        <v/>
      </c>
      <c r="O3525" s="525" t="str">
        <f>IF(AND($B3525&gt;='111'!$N$11,$B3525&lt;='111'!$O$11,OR($L3525=$O$7,$M3525=$O$7)),"x","")</f>
        <v/>
      </c>
      <c r="P3525" s="525" t="str">
        <f>IF(AND($L3525=$O$7,$B3525&lt;'111'!$N$11),"x","")</f>
        <v/>
      </c>
      <c r="Q3525" s="525" t="str">
        <f>IF(AND($M3525=$O$7,$B3525&lt;'111'!$N$11),"x","")</f>
        <v/>
      </c>
      <c r="R3525" s="525" t="str">
        <f>IF(ISERROR(FIND('112'!$M$9,G3525,1)),"",IF((AND(FIND('112'!$M$9,G3525,1)&gt;=1,$B3525&gt;='112'!$N$8,$B3525&lt;='112'!$O$8,OR($L3525='112'!$I$6,$M3525='112'!$I$6))),"x",""))</f>
        <v/>
      </c>
      <c r="S3525" s="525" t="str">
        <f>IF(ISERROR(FIND('112'!$M$9,G3525,1)),"",IF((AND(LEFT(G3525,2)=LEFT('112'!$M$9,2),B3525&lt;'112'!$N$8,$L3525='112'!$I$6)),"x",""))</f>
        <v/>
      </c>
      <c r="T3525" s="525" t="str">
        <f>IF(ISERROR(FIND('112'!$M$9,G3525,1)),"",IF((AND(RIGHT(G3525,2)=RIGHT('112'!$M$9,2),B3525&lt;'112'!$N$8,$M3525='112'!$I$6)),"x",""))</f>
        <v/>
      </c>
      <c r="U3525" s="525" t="str">
        <f>IF(AND(B3525&gt;='IN-NX'!$P$3,B3525&lt;='IN-NX'!$Q$3,'IN-NX'!$D$7=D3525,OR(LEFT(L3525,2)="15",AND(LEFT(M3525,2)&lt;&gt;"15",LEFT(M3525,2)&lt;&gt;"33"))),"x","")</f>
        <v/>
      </c>
      <c r="V3525" s="525" t="str">
        <f>IF(AND(OR(LEFT(TH!L3525,2)="15",LEFT(TH!M3525,2)="15"),'152-CT'!$J$8=TH!F3525),"x","")</f>
        <v/>
      </c>
      <c r="W3525" s="525" t="str">
        <f>IF(AND(OR(LEFT(TH!L3525,2)="15",LEFT(TH!M3525,2)="15"),TK!$E$7=TH!F3525),"x","")</f>
        <v/>
      </c>
      <c r="X3525" s="525" t="str">
        <f>IF(AND('341-CT'!$E$9=H3525,OR(LEFT(L3525,3)=$X$7,LEFT(M3525,3)=$X$7)),"x","")</f>
        <v/>
      </c>
      <c r="Y3525" s="525" t="str">
        <f>IF(OR(TH!L3525=TH!$Y$7,M3525=TH!$Y$7),"x","")</f>
        <v/>
      </c>
      <c r="Z3525" s="525" t="str">
        <f>IF(AND(B3525&lt;=NKC!$N$8,B3525&gt;=NKC!$M$8),"x","")</f>
        <v/>
      </c>
      <c r="AA3525" s="535"/>
      <c r="AB3525" s="536"/>
      <c r="AC3525" s="536" t="str">
        <f>VLOOKUP(F3525,NXT!$B$12:$B$686,1,0)</f>
        <v>Thùng 40x40x52</v>
      </c>
    </row>
    <row r="3526" spans="1:30" s="503" customFormat="1" ht="15.75" customHeight="1">
      <c r="A3526" s="517" t="str">
        <f>IF(B3526&lt;&gt;"",IF(AND(B3526&gt;=_TM1,B3526&lt;=_TM2,OR(TH!L3526="1111",TH!M3526="1111")),TH!D3526,""),"")</f>
        <v/>
      </c>
      <c r="B3526" s="531">
        <f t="shared" si="364"/>
        <v>7</v>
      </c>
      <c r="C3526" s="315">
        <f t="shared" si="367"/>
        <v>42947</v>
      </c>
      <c r="D3526" s="544" t="s">
        <v>1181</v>
      </c>
      <c r="E3526" s="315">
        <v>42947</v>
      </c>
      <c r="F3526" s="250" t="s">
        <v>625</v>
      </c>
      <c r="G3526" s="314" t="s">
        <v>1372</v>
      </c>
      <c r="H3526" s="473" t="s">
        <v>284</v>
      </c>
      <c r="I3526" s="307">
        <v>16</v>
      </c>
      <c r="J3526" s="307">
        <v>38917</v>
      </c>
      <c r="K3526" s="532">
        <f t="shared" si="371"/>
        <v>622672</v>
      </c>
      <c r="L3526" s="534" t="s">
        <v>223</v>
      </c>
      <c r="M3526" s="534" t="s">
        <v>162</v>
      </c>
      <c r="N3526" s="525" t="str">
        <f>IF(AND('331-CT'!$E$7=TH!H3526,OR(L3526="331",M3526="331")),"331",IF(AND(OR(L3526="131",M3526="131"),H3526='131-CT'!$E$7),"131",""))</f>
        <v/>
      </c>
      <c r="O3526" s="525" t="str">
        <f>IF(AND($B3526&gt;='111'!$N$11,$B3526&lt;='111'!$O$11,OR($L3526=$O$7,$M3526=$O$7)),"x","")</f>
        <v/>
      </c>
      <c r="P3526" s="525" t="str">
        <f>IF(AND($L3526=$O$7,$B3526&lt;'111'!$N$11),"x","")</f>
        <v/>
      </c>
      <c r="Q3526" s="525" t="str">
        <f>IF(AND($M3526=$O$7,$B3526&lt;'111'!$N$11),"x","")</f>
        <v/>
      </c>
      <c r="R3526" s="525" t="str">
        <f>IF(ISERROR(FIND('112'!$M$9,G3526,1)),"",IF((AND(FIND('112'!$M$9,G3526,1)&gt;=1,$B3526&gt;='112'!$N$8,$B3526&lt;='112'!$O$8,OR($L3526='112'!$I$6,$M3526='112'!$I$6))),"x",""))</f>
        <v/>
      </c>
      <c r="S3526" s="525" t="str">
        <f>IF(ISERROR(FIND('112'!$M$9,G3526,1)),"",IF((AND(LEFT(G3526,2)=LEFT('112'!$M$9,2),B3526&lt;'112'!$N$8,$L3526='112'!$I$6)),"x",""))</f>
        <v/>
      </c>
      <c r="T3526" s="525" t="str">
        <f>IF(ISERROR(FIND('112'!$M$9,G3526,1)),"",IF((AND(RIGHT(G3526,2)=RIGHT('112'!$M$9,2),B3526&lt;'112'!$N$8,$M3526='112'!$I$6)),"x",""))</f>
        <v/>
      </c>
      <c r="U3526" s="525" t="str">
        <f>IF(AND(B3526&gt;='IN-NX'!$P$3,B3526&lt;='IN-NX'!$Q$3,'IN-NX'!$D$7=D3526,OR(LEFT(L3526,2)="15",AND(LEFT(M3526,2)&lt;&gt;"15",LEFT(M3526,2)&lt;&gt;"33"))),"x","")</f>
        <v/>
      </c>
      <c r="V3526" s="525" t="str">
        <f>IF(AND(OR(LEFT(TH!L3526,2)="15",LEFT(TH!M3526,2)="15"),'152-CT'!$J$8=TH!F3526),"x","")</f>
        <v/>
      </c>
      <c r="W3526" s="525" t="str">
        <f>IF(AND(OR(LEFT(TH!L3526,2)="15",LEFT(TH!M3526,2)="15"),TK!$E$7=TH!F3526),"x","")</f>
        <v/>
      </c>
      <c r="X3526" s="525" t="str">
        <f>IF(AND('341-CT'!$E$9=H3526,OR(LEFT(L3526,3)=$X$7,LEFT(M3526,3)=$X$7)),"x","")</f>
        <v/>
      </c>
      <c r="Y3526" s="525" t="str">
        <f>IF(OR(TH!L3526=TH!$Y$7,M3526=TH!$Y$7),"x","")</f>
        <v/>
      </c>
      <c r="Z3526" s="525" t="str">
        <f>IF(AND(B3526&lt;=NKC!$N$8,B3526&gt;=NKC!$M$8),"x","")</f>
        <v/>
      </c>
      <c r="AA3526" s="535"/>
      <c r="AB3526" s="536"/>
      <c r="AC3526" s="536" t="str">
        <f>VLOOKUP(F3526,NXT!$B$12:$B$686,1,0)</f>
        <v>Thùng 72x62x42</v>
      </c>
    </row>
    <row r="3527" spans="1:30" s="503" customFormat="1" ht="15.75" customHeight="1">
      <c r="A3527" s="517" t="str">
        <f>IF(B3527&lt;&gt;"",IF(AND(B3527&gt;=_TM1,B3527&lt;=_TM2,OR(TH!L3527="1111",TH!M3527="1111")),TH!D3527,""),"")</f>
        <v/>
      </c>
      <c r="B3527" s="531">
        <f t="shared" si="364"/>
        <v>7</v>
      </c>
      <c r="C3527" s="315">
        <f t="shared" si="367"/>
        <v>42947</v>
      </c>
      <c r="D3527" s="544" t="s">
        <v>1181</v>
      </c>
      <c r="E3527" s="315">
        <v>42947</v>
      </c>
      <c r="F3527" s="250" t="s">
        <v>624</v>
      </c>
      <c r="G3527" s="314" t="s">
        <v>1372</v>
      </c>
      <c r="H3527" s="473" t="s">
        <v>284</v>
      </c>
      <c r="I3527" s="307">
        <v>24</v>
      </c>
      <c r="J3527" s="307">
        <v>36117</v>
      </c>
      <c r="K3527" s="532">
        <f t="shared" si="371"/>
        <v>866808</v>
      </c>
      <c r="L3527" s="534" t="s">
        <v>223</v>
      </c>
      <c r="M3527" s="534" t="s">
        <v>162</v>
      </c>
      <c r="N3527" s="525" t="str">
        <f>IF(AND('331-CT'!$E$7=TH!H3527,OR(L3527="331",M3527="331")),"331",IF(AND(OR(L3527="131",M3527="131"),H3527='131-CT'!$E$7),"131",""))</f>
        <v/>
      </c>
      <c r="O3527" s="525" t="str">
        <f>IF(AND($B3527&gt;='111'!$N$11,$B3527&lt;='111'!$O$11,OR($L3527=$O$7,$M3527=$O$7)),"x","")</f>
        <v/>
      </c>
      <c r="P3527" s="525" t="str">
        <f>IF(AND($L3527=$O$7,$B3527&lt;'111'!$N$11),"x","")</f>
        <v/>
      </c>
      <c r="Q3527" s="525" t="str">
        <f>IF(AND($M3527=$O$7,$B3527&lt;'111'!$N$11),"x","")</f>
        <v/>
      </c>
      <c r="R3527" s="525" t="str">
        <f>IF(ISERROR(FIND('112'!$M$9,G3527,1)),"",IF((AND(FIND('112'!$M$9,G3527,1)&gt;=1,$B3527&gt;='112'!$N$8,$B3527&lt;='112'!$O$8,OR($L3527='112'!$I$6,$M3527='112'!$I$6))),"x",""))</f>
        <v/>
      </c>
      <c r="S3527" s="525" t="str">
        <f>IF(ISERROR(FIND('112'!$M$9,G3527,1)),"",IF((AND(LEFT(G3527,2)=LEFT('112'!$M$9,2),B3527&lt;'112'!$N$8,$L3527='112'!$I$6)),"x",""))</f>
        <v/>
      </c>
      <c r="T3527" s="525" t="str">
        <f>IF(ISERROR(FIND('112'!$M$9,G3527,1)),"",IF((AND(RIGHT(G3527,2)=RIGHT('112'!$M$9,2),B3527&lt;'112'!$N$8,$M3527='112'!$I$6)),"x",""))</f>
        <v/>
      </c>
      <c r="U3527" s="525" t="str">
        <f>IF(AND(B3527&gt;='IN-NX'!$P$3,B3527&lt;='IN-NX'!$Q$3,'IN-NX'!$D$7=D3527,OR(LEFT(L3527,2)="15",AND(LEFT(M3527,2)&lt;&gt;"15",LEFT(M3527,2)&lt;&gt;"33"))),"x","")</f>
        <v/>
      </c>
      <c r="V3527" s="525" t="str">
        <f>IF(AND(OR(LEFT(TH!L3527,2)="15",LEFT(TH!M3527,2)="15"),'152-CT'!$J$8=TH!F3527),"x","")</f>
        <v/>
      </c>
      <c r="W3527" s="525" t="str">
        <f>IF(AND(OR(LEFT(TH!L3527,2)="15",LEFT(TH!M3527,2)="15"),TK!$E$7=TH!F3527),"x","")</f>
        <v/>
      </c>
      <c r="X3527" s="525" t="str">
        <f>IF(AND('341-CT'!$E$9=H3527,OR(LEFT(L3527,3)=$X$7,LEFT(M3527,3)=$X$7)),"x","")</f>
        <v/>
      </c>
      <c r="Y3527" s="525" t="str">
        <f>IF(OR(TH!L3527=TH!$Y$7,M3527=TH!$Y$7),"x","")</f>
        <v/>
      </c>
      <c r="Z3527" s="525" t="str">
        <f>IF(AND(B3527&lt;=NKC!$N$8,B3527&gt;=NKC!$M$8),"x","")</f>
        <v/>
      </c>
      <c r="AA3527" s="535"/>
      <c r="AC3527" s="536" t="str">
        <f>VLOOKUP(F3527,NXT!$B$12:$B$686,1,0)</f>
        <v>Thùng 62x62x42</v>
      </c>
    </row>
    <row r="3528" spans="1:30" s="503" customFormat="1" ht="15.75" customHeight="1">
      <c r="A3528" s="517" t="str">
        <f>IF(B3528&lt;&gt;"",IF(AND(B3528&gt;=_TM1,B3528&lt;=_TM2,OR(TH!L3528="1111",TH!M3528="1111")),TH!D3528,""),"")</f>
        <v/>
      </c>
      <c r="B3528" s="531">
        <f t="shared" si="364"/>
        <v>7</v>
      </c>
      <c r="C3528" s="315">
        <f t="shared" si="367"/>
        <v>42947</v>
      </c>
      <c r="D3528" s="544" t="s">
        <v>1181</v>
      </c>
      <c r="E3528" s="315">
        <v>42947</v>
      </c>
      <c r="F3528" s="250" t="s">
        <v>680</v>
      </c>
      <c r="G3528" s="314" t="s">
        <v>1372</v>
      </c>
      <c r="H3528" s="473" t="s">
        <v>284</v>
      </c>
      <c r="I3528" s="307">
        <v>40</v>
      </c>
      <c r="J3528" s="307">
        <v>81933</v>
      </c>
      <c r="K3528" s="532">
        <f t="shared" si="371"/>
        <v>3277320</v>
      </c>
      <c r="L3528" s="534" t="s">
        <v>223</v>
      </c>
      <c r="M3528" s="534" t="s">
        <v>162</v>
      </c>
      <c r="N3528" s="525" t="str">
        <f>IF(AND('331-CT'!$E$7=TH!H3528,OR(L3528="331",M3528="331")),"331",IF(AND(OR(L3528="131",M3528="131"),H3528='131-CT'!$E$7),"131",""))</f>
        <v/>
      </c>
      <c r="O3528" s="525" t="str">
        <f>IF(AND($B3528&gt;='111'!$N$11,$B3528&lt;='111'!$O$11,OR($L3528=$O$7,$M3528=$O$7)),"x","")</f>
        <v/>
      </c>
      <c r="P3528" s="525" t="str">
        <f>IF(AND($L3528=$O$7,$B3528&lt;'111'!$N$11),"x","")</f>
        <v/>
      </c>
      <c r="Q3528" s="525" t="str">
        <f>IF(AND($M3528=$O$7,$B3528&lt;'111'!$N$11),"x","")</f>
        <v/>
      </c>
      <c r="R3528" s="525" t="str">
        <f>IF(ISERROR(FIND('112'!$M$9,G3528,1)),"",IF((AND(FIND('112'!$M$9,G3528,1)&gt;=1,$B3528&gt;='112'!$N$8,$B3528&lt;='112'!$O$8,OR($L3528='112'!$I$6,$M3528='112'!$I$6))),"x",""))</f>
        <v/>
      </c>
      <c r="S3528" s="525" t="str">
        <f>IF(ISERROR(FIND('112'!$M$9,G3528,1)),"",IF((AND(LEFT(G3528,2)=LEFT('112'!$M$9,2),B3528&lt;'112'!$N$8,$L3528='112'!$I$6)),"x",""))</f>
        <v/>
      </c>
      <c r="T3528" s="525" t="str">
        <f>IF(ISERROR(FIND('112'!$M$9,G3528,1)),"",IF((AND(RIGHT(G3528,2)=RIGHT('112'!$M$9,2),B3528&lt;'112'!$N$8,$M3528='112'!$I$6)),"x",""))</f>
        <v/>
      </c>
      <c r="U3528" s="525" t="str">
        <f>IF(AND(B3528&gt;='IN-NX'!$P$3,B3528&lt;='IN-NX'!$Q$3,'IN-NX'!$D$7=D3528,OR(LEFT(L3528,2)="15",AND(LEFT(M3528,2)&lt;&gt;"15",LEFT(M3528,2)&lt;&gt;"33"))),"x","")</f>
        <v/>
      </c>
      <c r="V3528" s="525" t="str">
        <f>IF(AND(OR(LEFT(TH!L3528,2)="15",LEFT(TH!M3528,2)="15"),'152-CT'!$J$8=TH!F3528),"x","")</f>
        <v/>
      </c>
      <c r="W3528" s="525" t="str">
        <f>IF(AND(OR(LEFT(TH!L3528,2)="15",LEFT(TH!M3528,2)="15"),TK!$E$7=TH!F3528),"x","")</f>
        <v/>
      </c>
      <c r="X3528" s="525" t="str">
        <f>IF(AND('341-CT'!$E$9=H3528,OR(LEFT(L3528,3)=$X$7,LEFT(M3528,3)=$X$7)),"x","")</f>
        <v/>
      </c>
      <c r="Y3528" s="525" t="str">
        <f>IF(OR(TH!L3528=TH!$Y$7,M3528=TH!$Y$7),"x","")</f>
        <v/>
      </c>
      <c r="Z3528" s="525" t="str">
        <f>IF(AND(B3528&lt;=NKC!$N$8,B3528&gt;=NKC!$M$8),"x","")</f>
        <v/>
      </c>
      <c r="AA3528" s="535"/>
      <c r="AB3528" s="536"/>
      <c r="AC3528" s="536" t="str">
        <f>VLOOKUP(F3528,NXT!$B$12:$B$686,1,0)</f>
        <v>Thùng 105x105x38</v>
      </c>
    </row>
    <row r="3529" spans="1:30" s="503" customFormat="1" ht="15.75" customHeight="1">
      <c r="A3529" s="517" t="str">
        <f>IF(B3529&lt;&gt;"",IF(AND(B3529&gt;=_TM1,B3529&lt;=_TM2,OR(TH!L3529="1111",TH!M3529="1111")),TH!D3529,""),"")</f>
        <v/>
      </c>
      <c r="B3529" s="531">
        <f t="shared" ref="B3529:B3538" si="372">IF(C3529&lt;&gt;"",MONTH(C3529),"")</f>
        <v>7</v>
      </c>
      <c r="C3529" s="315">
        <f t="shared" ref="C3529:C3538" si="373">E3529</f>
        <v>42947</v>
      </c>
      <c r="D3529" s="544" t="s">
        <v>1181</v>
      </c>
      <c r="E3529" s="315">
        <v>42947</v>
      </c>
      <c r="F3529" s="250" t="s">
        <v>1389</v>
      </c>
      <c r="G3529" s="314" t="s">
        <v>1372</v>
      </c>
      <c r="H3529" s="473" t="s">
        <v>284</v>
      </c>
      <c r="I3529" s="307">
        <v>20</v>
      </c>
      <c r="J3529" s="307">
        <v>66321</v>
      </c>
      <c r="K3529" s="532">
        <f t="shared" si="371"/>
        <v>1326420</v>
      </c>
      <c r="L3529" s="534" t="s">
        <v>223</v>
      </c>
      <c r="M3529" s="534" t="s">
        <v>162</v>
      </c>
      <c r="N3529" s="525" t="str">
        <f>IF(AND('331-CT'!$E$7=TH!H3529,OR(L3529="331",M3529="331")),"331",IF(AND(OR(L3529="131",M3529="131"),H3529='131-CT'!$E$7),"131",""))</f>
        <v/>
      </c>
      <c r="O3529" s="525" t="str">
        <f>IF(AND($B3529&gt;='111'!$N$11,$B3529&lt;='111'!$O$11,OR($L3529=$O$7,$M3529=$O$7)),"x","")</f>
        <v/>
      </c>
      <c r="P3529" s="525" t="str">
        <f>IF(AND($L3529=$O$7,$B3529&lt;'111'!$N$11),"x","")</f>
        <v/>
      </c>
      <c r="Q3529" s="525" t="str">
        <f>IF(AND($M3529=$O$7,$B3529&lt;'111'!$N$11),"x","")</f>
        <v/>
      </c>
      <c r="R3529" s="525" t="str">
        <f>IF(ISERROR(FIND('112'!$M$9,G3529,1)),"",IF((AND(FIND('112'!$M$9,G3529,1)&gt;=1,$B3529&gt;='112'!$N$8,$B3529&lt;='112'!$O$8,OR($L3529='112'!$I$6,$M3529='112'!$I$6))),"x",""))</f>
        <v/>
      </c>
      <c r="S3529" s="525" t="str">
        <f>IF(ISERROR(FIND('112'!$M$9,G3529,1)),"",IF((AND(LEFT(G3529,2)=LEFT('112'!$M$9,2),B3529&lt;'112'!$N$8,$L3529='112'!$I$6)),"x",""))</f>
        <v/>
      </c>
      <c r="T3529" s="525" t="str">
        <f>IF(ISERROR(FIND('112'!$M$9,G3529,1)),"",IF((AND(RIGHT(G3529,2)=RIGHT('112'!$M$9,2),B3529&lt;'112'!$N$8,$M3529='112'!$I$6)),"x",""))</f>
        <v/>
      </c>
      <c r="U3529" s="525" t="str">
        <f>IF(AND(B3529&gt;='IN-NX'!$P$3,B3529&lt;='IN-NX'!$Q$3,'IN-NX'!$D$7=D3529,OR(LEFT(L3529,2)="15",AND(LEFT(M3529,2)&lt;&gt;"15",LEFT(M3529,2)&lt;&gt;"33"))),"x","")</f>
        <v/>
      </c>
      <c r="V3529" s="525" t="str">
        <f>IF(AND(OR(LEFT(TH!L3529,2)="15",LEFT(TH!M3529,2)="15"),'152-CT'!$J$8=TH!F3529),"x","")</f>
        <v/>
      </c>
      <c r="W3529" s="525" t="str">
        <f>IF(AND(OR(LEFT(TH!L3529,2)="15",LEFT(TH!M3529,2)="15"),TK!$E$7=TH!F3529),"x","")</f>
        <v/>
      </c>
      <c r="X3529" s="525" t="str">
        <f>IF(AND('341-CT'!$E$9=H3529,OR(LEFT(L3529,3)=$X$7,LEFT(M3529,3)=$X$7)),"x","")</f>
        <v/>
      </c>
      <c r="Y3529" s="525" t="str">
        <f>IF(OR(TH!L3529=TH!$Y$7,M3529=TH!$Y$7),"x","")</f>
        <v/>
      </c>
      <c r="Z3529" s="525" t="str">
        <f>IF(AND(B3529&lt;=NKC!$N$8,B3529&gt;=NKC!$M$8),"x","")</f>
        <v/>
      </c>
      <c r="AA3529" s="535"/>
      <c r="AB3529" s="536"/>
      <c r="AC3529" s="536" t="str">
        <f>VLOOKUP(F3529,NXT!$B$12:$B$686,1,0)</f>
        <v>Thùng 55x55x79</v>
      </c>
    </row>
    <row r="3530" spans="1:30" s="503" customFormat="1" ht="15.75" customHeight="1">
      <c r="A3530" s="517" t="str">
        <f>IF(B3530&lt;&gt;"",IF(AND(B3530&gt;=_TM1,B3530&lt;=_TM2,OR(TH!L3530="1111",TH!M3530="1111")),TH!D3530,""),"")</f>
        <v/>
      </c>
      <c r="B3530" s="531">
        <f t="shared" si="372"/>
        <v>7</v>
      </c>
      <c r="C3530" s="315">
        <f t="shared" si="373"/>
        <v>42947</v>
      </c>
      <c r="D3530" s="544" t="s">
        <v>1181</v>
      </c>
      <c r="E3530" s="315">
        <v>42947</v>
      </c>
      <c r="F3530" s="250" t="s">
        <v>1390</v>
      </c>
      <c r="G3530" s="314" t="s">
        <v>1372</v>
      </c>
      <c r="H3530" s="473" t="s">
        <v>284</v>
      </c>
      <c r="I3530" s="307">
        <v>300</v>
      </c>
      <c r="J3530" s="307">
        <v>42723</v>
      </c>
      <c r="K3530" s="532">
        <f t="shared" si="371"/>
        <v>12816900</v>
      </c>
      <c r="L3530" s="534" t="s">
        <v>223</v>
      </c>
      <c r="M3530" s="534" t="s">
        <v>162</v>
      </c>
      <c r="N3530" s="525" t="str">
        <f>IF(AND('331-CT'!$E$7=TH!H3530,OR(L3530="331",M3530="331")),"331",IF(AND(OR(L3530="131",M3530="131"),H3530='131-CT'!$E$7),"131",""))</f>
        <v/>
      </c>
      <c r="O3530" s="525" t="str">
        <f>IF(AND($B3530&gt;='111'!$N$11,$B3530&lt;='111'!$O$11,OR($L3530=$O$7,$M3530=$O$7)),"x","")</f>
        <v/>
      </c>
      <c r="P3530" s="525" t="str">
        <f>IF(AND($L3530=$O$7,$B3530&lt;'111'!$N$11),"x","")</f>
        <v/>
      </c>
      <c r="Q3530" s="525" t="str">
        <f>IF(AND($M3530=$O$7,$B3530&lt;'111'!$N$11),"x","")</f>
        <v/>
      </c>
      <c r="R3530" s="525" t="str">
        <f>IF(ISERROR(FIND('112'!$M$9,G3530,1)),"",IF((AND(FIND('112'!$M$9,G3530,1)&gt;=1,$B3530&gt;='112'!$N$8,$B3530&lt;='112'!$O$8,OR($L3530='112'!$I$6,$M3530='112'!$I$6))),"x",""))</f>
        <v/>
      </c>
      <c r="S3530" s="525" t="str">
        <f>IF(ISERROR(FIND('112'!$M$9,G3530,1)),"",IF((AND(LEFT(G3530,2)=LEFT('112'!$M$9,2),B3530&lt;'112'!$N$8,$L3530='112'!$I$6)),"x",""))</f>
        <v/>
      </c>
      <c r="T3530" s="525" t="str">
        <f>IF(ISERROR(FIND('112'!$M$9,G3530,1)),"",IF((AND(RIGHT(G3530,2)=RIGHT('112'!$M$9,2),B3530&lt;'112'!$N$8,$M3530='112'!$I$6)),"x",""))</f>
        <v/>
      </c>
      <c r="U3530" s="525" t="str">
        <f>IF(AND(B3530&gt;='IN-NX'!$P$3,B3530&lt;='IN-NX'!$Q$3,'IN-NX'!$D$7=D3530,OR(LEFT(L3530,2)="15",AND(LEFT(M3530,2)&lt;&gt;"15",LEFT(M3530,2)&lt;&gt;"33"))),"x","")</f>
        <v/>
      </c>
      <c r="V3530" s="525" t="str">
        <f>IF(AND(OR(LEFT(TH!L3530,2)="15",LEFT(TH!M3530,2)="15"),'152-CT'!$J$8=TH!F3530),"x","")</f>
        <v/>
      </c>
      <c r="W3530" s="525" t="str">
        <f>IF(AND(OR(LEFT(TH!L3530,2)="15",LEFT(TH!M3530,2)="15"),TK!$E$7=TH!F3530),"x","")</f>
        <v/>
      </c>
      <c r="X3530" s="525" t="str">
        <f>IF(AND('341-CT'!$E$9=H3530,OR(LEFT(L3530,3)=$X$7,LEFT(M3530,3)=$X$7)),"x","")</f>
        <v/>
      </c>
      <c r="Y3530" s="525" t="str">
        <f>IF(OR(TH!L3530=TH!$Y$7,M3530=TH!$Y$7),"x","")</f>
        <v/>
      </c>
      <c r="Z3530" s="525" t="str">
        <f>IF(AND(B3530&lt;=NKC!$N$8,B3530&gt;=NKC!$M$8),"x","")</f>
        <v/>
      </c>
      <c r="AA3530" s="535"/>
      <c r="AC3530" s="536" t="str">
        <f>VLOOKUP(F3530,NXT!$B$12:$B$686,1,0)</f>
        <v>Thùng 47x47x60</v>
      </c>
    </row>
    <row r="3531" spans="1:30" s="503" customFormat="1" ht="15.75" customHeight="1">
      <c r="A3531" s="517" t="str">
        <f>IF(B3531&lt;&gt;"",IF(AND(B3531&gt;=_TM1,B3531&lt;=_TM2,OR(TH!L3531="1111",TH!M3531="1111")),TH!D3531,""),"")</f>
        <v/>
      </c>
      <c r="B3531" s="531">
        <f t="shared" si="372"/>
        <v>7</v>
      </c>
      <c r="C3531" s="315">
        <f t="shared" si="373"/>
        <v>42947</v>
      </c>
      <c r="D3531" s="544" t="s">
        <v>1181</v>
      </c>
      <c r="E3531" s="315">
        <v>42947</v>
      </c>
      <c r="F3531" s="250" t="s">
        <v>1391</v>
      </c>
      <c r="G3531" s="314" t="s">
        <v>1372</v>
      </c>
      <c r="H3531" s="473" t="s">
        <v>284</v>
      </c>
      <c r="I3531" s="307">
        <v>15</v>
      </c>
      <c r="J3531" s="307">
        <v>39408</v>
      </c>
      <c r="K3531" s="532">
        <f t="shared" si="371"/>
        <v>591120</v>
      </c>
      <c r="L3531" s="534" t="s">
        <v>223</v>
      </c>
      <c r="M3531" s="534" t="s">
        <v>162</v>
      </c>
      <c r="N3531" s="525" t="str">
        <f>IF(AND('331-CT'!$E$7=TH!H3531,OR(L3531="331",M3531="331")),"331",IF(AND(OR(L3531="131",M3531="131"),H3531='131-CT'!$E$7),"131",""))</f>
        <v/>
      </c>
      <c r="O3531" s="525" t="str">
        <f>IF(AND($B3531&gt;='111'!$N$11,$B3531&lt;='111'!$O$11,OR($L3531=$O$7,$M3531=$O$7)),"x","")</f>
        <v/>
      </c>
      <c r="P3531" s="525" t="str">
        <f>IF(AND($L3531=$O$7,$B3531&lt;'111'!$N$11),"x","")</f>
        <v/>
      </c>
      <c r="Q3531" s="525" t="str">
        <f>IF(AND($M3531=$O$7,$B3531&lt;'111'!$N$11),"x","")</f>
        <v/>
      </c>
      <c r="R3531" s="525" t="str">
        <f>IF(ISERROR(FIND('112'!$M$9,G3531,1)),"",IF((AND(FIND('112'!$M$9,G3531,1)&gt;=1,$B3531&gt;='112'!$N$8,$B3531&lt;='112'!$O$8,OR($L3531='112'!$I$6,$M3531='112'!$I$6))),"x",""))</f>
        <v/>
      </c>
      <c r="S3531" s="525" t="str">
        <f>IF(ISERROR(FIND('112'!$M$9,G3531,1)),"",IF((AND(LEFT(G3531,2)=LEFT('112'!$M$9,2),B3531&lt;'112'!$N$8,$L3531='112'!$I$6)),"x",""))</f>
        <v/>
      </c>
      <c r="T3531" s="525" t="str">
        <f>IF(ISERROR(FIND('112'!$M$9,G3531,1)),"",IF((AND(RIGHT(G3531,2)=RIGHT('112'!$M$9,2),B3531&lt;'112'!$N$8,$M3531='112'!$I$6)),"x",""))</f>
        <v/>
      </c>
      <c r="U3531" s="525" t="str">
        <f>IF(AND(B3531&gt;='IN-NX'!$P$3,B3531&lt;='IN-NX'!$Q$3,'IN-NX'!$D$7=D3531,OR(LEFT(L3531,2)="15",AND(LEFT(M3531,2)&lt;&gt;"15",LEFT(M3531,2)&lt;&gt;"33"))),"x","")</f>
        <v/>
      </c>
      <c r="V3531" s="525" t="str">
        <f>IF(AND(OR(LEFT(TH!L3531,2)="15",LEFT(TH!M3531,2)="15"),'152-CT'!$J$8=TH!F3531),"x","")</f>
        <v/>
      </c>
      <c r="W3531" s="525" t="str">
        <f>IF(AND(OR(LEFT(TH!L3531,2)="15",LEFT(TH!M3531,2)="15"),TK!$E$7=TH!F3531),"x","")</f>
        <v/>
      </c>
      <c r="X3531" s="525" t="str">
        <f>IF(AND('341-CT'!$E$9=H3531,OR(LEFT(L3531,3)=$X$7,LEFT(M3531,3)=$X$7)),"x","")</f>
        <v/>
      </c>
      <c r="Y3531" s="525" t="str">
        <f>IF(OR(TH!L3531=TH!$Y$7,M3531=TH!$Y$7),"x","")</f>
        <v/>
      </c>
      <c r="Z3531" s="525" t="str">
        <f>IF(AND(B3531&lt;=NKC!$N$8,B3531&gt;=NKC!$M$8),"x","")</f>
        <v/>
      </c>
      <c r="AA3531" s="535"/>
      <c r="AB3531" s="536"/>
      <c r="AC3531" s="536" t="str">
        <f>VLOOKUP(F3531,NXT!$B$12:$B$686,1,0)</f>
        <v>Thùng 73x35x43</v>
      </c>
      <c r="AD3531" s="536"/>
    </row>
    <row r="3532" spans="1:30" s="503" customFormat="1" ht="15.75" customHeight="1">
      <c r="A3532" s="517" t="str">
        <f>IF(B3532&lt;&gt;"",IF(AND(B3532&gt;=_TM1,B3532&lt;=_TM2,OR(TH!L3532="1111",TH!M3532="1111")),TH!D3532,""),"")</f>
        <v/>
      </c>
      <c r="B3532" s="531">
        <f t="shared" si="372"/>
        <v>7</v>
      </c>
      <c r="C3532" s="315">
        <f t="shared" si="373"/>
        <v>42947</v>
      </c>
      <c r="D3532" s="544" t="s">
        <v>1181</v>
      </c>
      <c r="E3532" s="315">
        <v>42947</v>
      </c>
      <c r="F3532" s="250" t="s">
        <v>792</v>
      </c>
      <c r="G3532" s="314" t="s">
        <v>1372</v>
      </c>
      <c r="H3532" s="473" t="s">
        <v>284</v>
      </c>
      <c r="I3532" s="307">
        <v>12</v>
      </c>
      <c r="J3532" s="307">
        <v>30176</v>
      </c>
      <c r="K3532" s="532">
        <f t="shared" si="371"/>
        <v>362112</v>
      </c>
      <c r="L3532" s="534" t="s">
        <v>223</v>
      </c>
      <c r="M3532" s="534" t="s">
        <v>162</v>
      </c>
      <c r="N3532" s="525" t="str">
        <f>IF(AND('331-CT'!$E$7=TH!H3532,OR(L3532="331",M3532="331")),"331",IF(AND(OR(L3532="131",M3532="131"),H3532='131-CT'!$E$7),"131",""))</f>
        <v/>
      </c>
      <c r="O3532" s="525" t="str">
        <f>IF(AND($B3532&gt;='111'!$N$11,$B3532&lt;='111'!$O$11,OR($L3532=$O$7,$M3532=$O$7)),"x","")</f>
        <v/>
      </c>
      <c r="P3532" s="525" t="str">
        <f>IF(AND($L3532=$O$7,$B3532&lt;'111'!$N$11),"x","")</f>
        <v/>
      </c>
      <c r="Q3532" s="525" t="str">
        <f>IF(AND($M3532=$O$7,$B3532&lt;'111'!$N$11),"x","")</f>
        <v/>
      </c>
      <c r="R3532" s="525" t="str">
        <f>IF(ISERROR(FIND('112'!$M$9,G3532,1)),"",IF((AND(FIND('112'!$M$9,G3532,1)&gt;=1,$B3532&gt;='112'!$N$8,$B3532&lt;='112'!$O$8,OR($L3532='112'!$I$6,$M3532='112'!$I$6))),"x",""))</f>
        <v/>
      </c>
      <c r="S3532" s="525" t="str">
        <f>IF(ISERROR(FIND('112'!$M$9,G3532,1)),"",IF((AND(LEFT(G3532,2)=LEFT('112'!$M$9,2),B3532&lt;'112'!$N$8,$L3532='112'!$I$6)),"x",""))</f>
        <v/>
      </c>
      <c r="T3532" s="525" t="str">
        <f>IF(ISERROR(FIND('112'!$M$9,G3532,1)),"",IF((AND(RIGHT(G3532,2)=RIGHT('112'!$M$9,2),B3532&lt;'112'!$N$8,$M3532='112'!$I$6)),"x",""))</f>
        <v/>
      </c>
      <c r="U3532" s="525" t="str">
        <f>IF(AND(B3532&gt;='IN-NX'!$P$3,B3532&lt;='IN-NX'!$Q$3,'IN-NX'!$D$7=D3532,OR(LEFT(L3532,2)="15",AND(LEFT(M3532,2)&lt;&gt;"15",LEFT(M3532,2)&lt;&gt;"33"))),"x","")</f>
        <v/>
      </c>
      <c r="V3532" s="525" t="str">
        <f>IF(AND(OR(LEFT(TH!L3532,2)="15",LEFT(TH!M3532,2)="15"),'152-CT'!$J$8=TH!F3532),"x","")</f>
        <v/>
      </c>
      <c r="W3532" s="525" t="str">
        <f>IF(AND(OR(LEFT(TH!L3532,2)="15",LEFT(TH!M3532,2)="15"),TK!$E$7=TH!F3532),"x","")</f>
        <v/>
      </c>
      <c r="X3532" s="525" t="str">
        <f>IF(AND('341-CT'!$E$9=H3532,OR(LEFT(L3532,3)=$X$7,LEFT(M3532,3)=$X$7)),"x","")</f>
        <v/>
      </c>
      <c r="Y3532" s="525" t="str">
        <f>IF(OR(TH!L3532=TH!$Y$7,M3532=TH!$Y$7),"x","")</f>
        <v/>
      </c>
      <c r="Z3532" s="525" t="str">
        <f>IF(AND(B3532&lt;=NKC!$N$8,B3532&gt;=NKC!$M$8),"x","")</f>
        <v/>
      </c>
      <c r="AA3532" s="535"/>
      <c r="AB3532" s="536"/>
      <c r="AC3532" s="536" t="str">
        <f>VLOOKUP(F3532,NXT!$B$12:$B$686,1,0)</f>
        <v>Thùng 47x47x69</v>
      </c>
    </row>
    <row r="3533" spans="1:30" s="503" customFormat="1" ht="15.75" customHeight="1">
      <c r="A3533" s="517" t="str">
        <f>IF(B3533&lt;&gt;"",IF(AND(B3533&gt;=_TM1,B3533&lt;=_TM2,OR(TH!L3533="1111",TH!M3533="1111")),TH!D3533,""),"")</f>
        <v/>
      </c>
      <c r="B3533" s="531">
        <f t="shared" si="372"/>
        <v>7</v>
      </c>
      <c r="C3533" s="315">
        <f t="shared" si="373"/>
        <v>42947</v>
      </c>
      <c r="D3533" s="544" t="s">
        <v>1181</v>
      </c>
      <c r="E3533" s="315">
        <v>42947</v>
      </c>
      <c r="F3533" s="250" t="s">
        <v>644</v>
      </c>
      <c r="G3533" s="314" t="s">
        <v>1372</v>
      </c>
      <c r="H3533" s="473" t="s">
        <v>284</v>
      </c>
      <c r="I3533" s="307">
        <v>10</v>
      </c>
      <c r="J3533" s="307">
        <v>63695</v>
      </c>
      <c r="K3533" s="532">
        <f t="shared" si="371"/>
        <v>636950</v>
      </c>
      <c r="L3533" s="534" t="s">
        <v>223</v>
      </c>
      <c r="M3533" s="534" t="s">
        <v>162</v>
      </c>
      <c r="N3533" s="525" t="str">
        <f>IF(AND('331-CT'!$E$7=TH!H3533,OR(L3533="331",M3533="331")),"331",IF(AND(OR(L3533="131",M3533="131"),H3533='131-CT'!$E$7),"131",""))</f>
        <v/>
      </c>
      <c r="O3533" s="525" t="str">
        <f>IF(AND($B3533&gt;='111'!$N$11,$B3533&lt;='111'!$O$11,OR($L3533=$O$7,$M3533=$O$7)),"x","")</f>
        <v/>
      </c>
      <c r="P3533" s="525" t="str">
        <f>IF(AND($L3533=$O$7,$B3533&lt;'111'!$N$11),"x","")</f>
        <v/>
      </c>
      <c r="Q3533" s="525" t="str">
        <f>IF(AND($M3533=$O$7,$B3533&lt;'111'!$N$11),"x","")</f>
        <v/>
      </c>
      <c r="R3533" s="525" t="str">
        <f>IF(ISERROR(FIND('112'!$M$9,G3533,1)),"",IF((AND(FIND('112'!$M$9,G3533,1)&gt;=1,$B3533&gt;='112'!$N$8,$B3533&lt;='112'!$O$8,OR($L3533='112'!$I$6,$M3533='112'!$I$6))),"x",""))</f>
        <v/>
      </c>
      <c r="S3533" s="525" t="str">
        <f>IF(ISERROR(FIND('112'!$M$9,G3533,1)),"",IF((AND(LEFT(G3533,2)=LEFT('112'!$M$9,2),B3533&lt;'112'!$N$8,$L3533='112'!$I$6)),"x",""))</f>
        <v/>
      </c>
      <c r="T3533" s="525" t="str">
        <f>IF(ISERROR(FIND('112'!$M$9,G3533,1)),"",IF((AND(RIGHT(G3533,2)=RIGHT('112'!$M$9,2),B3533&lt;'112'!$N$8,$M3533='112'!$I$6)),"x",""))</f>
        <v/>
      </c>
      <c r="U3533" s="525" t="str">
        <f>IF(AND(B3533&gt;='IN-NX'!$P$3,B3533&lt;='IN-NX'!$Q$3,'IN-NX'!$D$7=D3533,OR(LEFT(L3533,2)="15",AND(LEFT(M3533,2)&lt;&gt;"15",LEFT(M3533,2)&lt;&gt;"33"))),"x","")</f>
        <v/>
      </c>
      <c r="V3533" s="525" t="str">
        <f>IF(AND(OR(LEFT(TH!L3533,2)="15",LEFT(TH!M3533,2)="15"),'152-CT'!$J$8=TH!F3533),"x","")</f>
        <v/>
      </c>
      <c r="W3533" s="525" t="str">
        <f>IF(AND(OR(LEFT(TH!L3533,2)="15",LEFT(TH!M3533,2)="15"),TK!$E$7=TH!F3533),"x","")</f>
        <v/>
      </c>
      <c r="X3533" s="525" t="str">
        <f>IF(AND('341-CT'!$E$9=H3533,OR(LEFT(L3533,3)=$X$7,LEFT(M3533,3)=$X$7)),"x","")</f>
        <v/>
      </c>
      <c r="Y3533" s="525" t="str">
        <f>IF(OR(TH!L3533=TH!$Y$7,M3533=TH!$Y$7),"x","")</f>
        <v/>
      </c>
      <c r="Z3533" s="525" t="str">
        <f>IF(AND(B3533&lt;=NKC!$N$8,B3533&gt;=NKC!$M$8),"x","")</f>
        <v/>
      </c>
      <c r="AA3533" s="535"/>
      <c r="AB3533" s="536"/>
      <c r="AC3533" s="536" t="str">
        <f>VLOOKUP(F3533,NXT!$B$12:$B$686,1,0)</f>
        <v>Thùng 145x45x77</v>
      </c>
    </row>
    <row r="3534" spans="1:30" s="503" customFormat="1" ht="15.75" customHeight="1">
      <c r="A3534" s="517" t="str">
        <f>IF(B3534&lt;&gt;"",IF(AND(B3534&gt;=_TM1,B3534&lt;=_TM2,OR(TH!L3534="1111",TH!M3534="1111")),TH!D3534,""),"")</f>
        <v/>
      </c>
      <c r="B3534" s="531">
        <f t="shared" si="372"/>
        <v>7</v>
      </c>
      <c r="C3534" s="315">
        <f t="shared" si="373"/>
        <v>42947</v>
      </c>
      <c r="D3534" s="544" t="s">
        <v>1181</v>
      </c>
      <c r="E3534" s="315">
        <v>42947</v>
      </c>
      <c r="F3534" s="250" t="s">
        <v>1392</v>
      </c>
      <c r="G3534" s="314" t="s">
        <v>1372</v>
      </c>
      <c r="H3534" s="473" t="s">
        <v>284</v>
      </c>
      <c r="I3534" s="307">
        <v>10</v>
      </c>
      <c r="J3534" s="307">
        <v>90279</v>
      </c>
      <c r="K3534" s="532">
        <f t="shared" si="371"/>
        <v>902790</v>
      </c>
      <c r="L3534" s="534" t="s">
        <v>223</v>
      </c>
      <c r="M3534" s="534" t="s">
        <v>162</v>
      </c>
      <c r="N3534" s="525" t="str">
        <f>IF(AND('331-CT'!$E$7=TH!H3534,OR(L3534="331",M3534="331")),"331",IF(AND(OR(L3534="131",M3534="131"),H3534='131-CT'!$E$7),"131",""))</f>
        <v/>
      </c>
      <c r="O3534" s="525" t="str">
        <f>IF(AND($B3534&gt;='111'!$N$11,$B3534&lt;='111'!$O$11,OR($L3534=$O$7,$M3534=$O$7)),"x","")</f>
        <v/>
      </c>
      <c r="P3534" s="525" t="str">
        <f>IF(AND($L3534=$O$7,$B3534&lt;'111'!$N$11),"x","")</f>
        <v/>
      </c>
      <c r="Q3534" s="525" t="str">
        <f>IF(AND($M3534=$O$7,$B3534&lt;'111'!$N$11),"x","")</f>
        <v/>
      </c>
      <c r="R3534" s="525" t="str">
        <f>IF(ISERROR(FIND('112'!$M$9,G3534,1)),"",IF((AND(FIND('112'!$M$9,G3534,1)&gt;=1,$B3534&gt;='112'!$N$8,$B3534&lt;='112'!$O$8,OR($L3534='112'!$I$6,$M3534='112'!$I$6))),"x",""))</f>
        <v/>
      </c>
      <c r="S3534" s="525" t="str">
        <f>IF(ISERROR(FIND('112'!$M$9,G3534,1)),"",IF((AND(LEFT(G3534,2)=LEFT('112'!$M$9,2),B3534&lt;'112'!$N$8,$L3534='112'!$I$6)),"x",""))</f>
        <v/>
      </c>
      <c r="T3534" s="525" t="str">
        <f>IF(ISERROR(FIND('112'!$M$9,G3534,1)),"",IF((AND(RIGHT(G3534,2)=RIGHT('112'!$M$9,2),B3534&lt;'112'!$N$8,$M3534='112'!$I$6)),"x",""))</f>
        <v/>
      </c>
      <c r="U3534" s="525" t="str">
        <f>IF(AND(B3534&gt;='IN-NX'!$P$3,B3534&lt;='IN-NX'!$Q$3,'IN-NX'!$D$7=D3534,OR(LEFT(L3534,2)="15",AND(LEFT(M3534,2)&lt;&gt;"15",LEFT(M3534,2)&lt;&gt;"33"))),"x","")</f>
        <v/>
      </c>
      <c r="V3534" s="525" t="str">
        <f>IF(AND(OR(LEFT(TH!L3534,2)="15",LEFT(TH!M3534,2)="15"),'152-CT'!$J$8=TH!F3534),"x","")</f>
        <v/>
      </c>
      <c r="W3534" s="525" t="str">
        <f>IF(AND(OR(LEFT(TH!L3534,2)="15",LEFT(TH!M3534,2)="15"),TK!$E$7=TH!F3534),"x","")</f>
        <v/>
      </c>
      <c r="X3534" s="525" t="str">
        <f>IF(AND('341-CT'!$E$9=H3534,OR(LEFT(L3534,3)=$X$7,LEFT(M3534,3)=$X$7)),"x","")</f>
        <v/>
      </c>
      <c r="Y3534" s="525" t="str">
        <f>IF(OR(TH!L3534=TH!$Y$7,M3534=TH!$Y$7),"x","")</f>
        <v/>
      </c>
      <c r="Z3534" s="525" t="str">
        <f>IF(AND(B3534&lt;=NKC!$N$8,B3534&gt;=NKC!$M$8),"x","")</f>
        <v/>
      </c>
      <c r="AA3534" s="535"/>
      <c r="AB3534" s="536"/>
      <c r="AC3534" s="536" t="str">
        <f>VLOOKUP(F3534,NXT!$B$12:$B$686,1,0)</f>
        <v>Thùng 206x96x14</v>
      </c>
    </row>
    <row r="3535" spans="1:30" s="503" customFormat="1" ht="15.75" customHeight="1">
      <c r="A3535" s="517" t="str">
        <f>IF(B3535&lt;&gt;"",IF(AND(B3535&gt;=_TM1,B3535&lt;=_TM2,OR(TH!L3535="1111",TH!M3535="1111")),TH!D3535,""),"")</f>
        <v/>
      </c>
      <c r="B3535" s="531">
        <f t="shared" si="372"/>
        <v>7</v>
      </c>
      <c r="C3535" s="315">
        <f t="shared" si="373"/>
        <v>42947</v>
      </c>
      <c r="D3535" s="544" t="s">
        <v>1181</v>
      </c>
      <c r="E3535" s="315">
        <v>42947</v>
      </c>
      <c r="F3535" s="250" t="s">
        <v>619</v>
      </c>
      <c r="G3535" s="314" t="s">
        <v>1372</v>
      </c>
      <c r="H3535" s="473" t="s">
        <v>284</v>
      </c>
      <c r="I3535" s="307">
        <v>64</v>
      </c>
      <c r="J3535" s="307">
        <v>31617</v>
      </c>
      <c r="K3535" s="532">
        <f t="shared" si="371"/>
        <v>2023488</v>
      </c>
      <c r="L3535" s="534" t="s">
        <v>223</v>
      </c>
      <c r="M3535" s="534" t="s">
        <v>162</v>
      </c>
      <c r="N3535" s="525" t="str">
        <f>IF(AND('331-CT'!$E$7=TH!H3535,OR(L3535="331",M3535="331")),"331",IF(AND(OR(L3535="131",M3535="131"),H3535='131-CT'!$E$7),"131",""))</f>
        <v/>
      </c>
      <c r="O3535" s="525" t="str">
        <f>IF(AND($B3535&gt;='111'!$N$11,$B3535&lt;='111'!$O$11,OR($L3535=$O$7,$M3535=$O$7)),"x","")</f>
        <v/>
      </c>
      <c r="P3535" s="525" t="str">
        <f>IF(AND($L3535=$O$7,$B3535&lt;'111'!$N$11),"x","")</f>
        <v/>
      </c>
      <c r="Q3535" s="525" t="str">
        <f>IF(AND($M3535=$O$7,$B3535&lt;'111'!$N$11),"x","")</f>
        <v/>
      </c>
      <c r="R3535" s="525" t="str">
        <f>IF(ISERROR(FIND('112'!$M$9,G3535,1)),"",IF((AND(FIND('112'!$M$9,G3535,1)&gt;=1,$B3535&gt;='112'!$N$8,$B3535&lt;='112'!$O$8,OR($L3535='112'!$I$6,$M3535='112'!$I$6))),"x",""))</f>
        <v/>
      </c>
      <c r="S3535" s="525" t="str">
        <f>IF(ISERROR(FIND('112'!$M$9,G3535,1)),"",IF((AND(LEFT(G3535,2)=LEFT('112'!$M$9,2),B3535&lt;'112'!$N$8,$L3535='112'!$I$6)),"x",""))</f>
        <v/>
      </c>
      <c r="T3535" s="525" t="str">
        <f>IF(ISERROR(FIND('112'!$M$9,G3535,1)),"",IF((AND(RIGHT(G3535,2)=RIGHT('112'!$M$9,2),B3535&lt;'112'!$N$8,$M3535='112'!$I$6)),"x",""))</f>
        <v/>
      </c>
      <c r="U3535" s="525" t="str">
        <f>IF(AND(B3535&gt;='IN-NX'!$P$3,B3535&lt;='IN-NX'!$Q$3,'IN-NX'!$D$7=D3535,OR(LEFT(L3535,2)="15",AND(LEFT(M3535,2)&lt;&gt;"15",LEFT(M3535,2)&lt;&gt;"33"))),"x","")</f>
        <v/>
      </c>
      <c r="V3535" s="525" t="str">
        <f>IF(AND(OR(LEFT(TH!L3535,2)="15",LEFT(TH!M3535,2)="15"),'152-CT'!$J$8=TH!F3535),"x","")</f>
        <v/>
      </c>
      <c r="W3535" s="525" t="str">
        <f>IF(AND(OR(LEFT(TH!L3535,2)="15",LEFT(TH!M3535,2)="15"),TK!$E$7=TH!F3535),"x","")</f>
        <v/>
      </c>
      <c r="X3535" s="525" t="str">
        <f>IF(AND('341-CT'!$E$9=H3535,OR(LEFT(L3535,3)=$X$7,LEFT(M3535,3)=$X$7)),"x","")</f>
        <v/>
      </c>
      <c r="Y3535" s="525" t="str">
        <f>IF(OR(TH!L3535=TH!$Y$7,M3535=TH!$Y$7),"x","")</f>
        <v/>
      </c>
      <c r="Z3535" s="525" t="str">
        <f>IF(AND(B3535&lt;=NKC!$N$8,B3535&gt;=NKC!$M$8),"x","")</f>
        <v/>
      </c>
      <c r="AA3535" s="535"/>
      <c r="AB3535" s="536"/>
      <c r="AC3535" s="536" t="str">
        <f>VLOOKUP(F3535,NXT!$B$12:$B$686,1,0)</f>
        <v>Thùng 40x40x52</v>
      </c>
    </row>
    <row r="3536" spans="1:30" s="503" customFormat="1" ht="15.75" customHeight="1">
      <c r="A3536" s="517" t="str">
        <f>IF(B3536&lt;&gt;"",IF(AND(B3536&gt;=_TM1,B3536&lt;=_TM2,OR(TH!L3536="1111",TH!M3536="1111")),TH!D3536,""),"")</f>
        <v/>
      </c>
      <c r="B3536" s="531">
        <f t="shared" si="372"/>
        <v>7</v>
      </c>
      <c r="C3536" s="315">
        <f t="shared" si="373"/>
        <v>42947</v>
      </c>
      <c r="D3536" s="544" t="s">
        <v>1181</v>
      </c>
      <c r="E3536" s="315">
        <v>42947</v>
      </c>
      <c r="F3536" s="250" t="s">
        <v>750</v>
      </c>
      <c r="G3536" s="314" t="s">
        <v>1372</v>
      </c>
      <c r="H3536" s="473" t="s">
        <v>284</v>
      </c>
      <c r="I3536" s="307">
        <v>46</v>
      </c>
      <c r="J3536" s="307">
        <v>72733</v>
      </c>
      <c r="K3536" s="532">
        <f t="shared" si="371"/>
        <v>3345718</v>
      </c>
      <c r="L3536" s="534" t="s">
        <v>223</v>
      </c>
      <c r="M3536" s="534" t="s">
        <v>162</v>
      </c>
      <c r="N3536" s="525" t="str">
        <f>IF(AND('331-CT'!$E$7=TH!H3536,OR(L3536="331",M3536="331")),"331",IF(AND(OR(L3536="131",M3536="131"),H3536='131-CT'!$E$7),"131",""))</f>
        <v/>
      </c>
      <c r="O3536" s="525" t="str">
        <f>IF(AND($B3536&gt;='111'!$N$11,$B3536&lt;='111'!$O$11,OR($L3536=$O$7,$M3536=$O$7)),"x","")</f>
        <v/>
      </c>
      <c r="P3536" s="525" t="str">
        <f>IF(AND($L3536=$O$7,$B3536&lt;'111'!$N$11),"x","")</f>
        <v/>
      </c>
      <c r="Q3536" s="525" t="str">
        <f>IF(AND($M3536=$O$7,$B3536&lt;'111'!$N$11),"x","")</f>
        <v/>
      </c>
      <c r="R3536" s="525" t="str">
        <f>IF(ISERROR(FIND('112'!$M$9,G3536,1)),"",IF((AND(FIND('112'!$M$9,G3536,1)&gt;=1,$B3536&gt;='112'!$N$8,$B3536&lt;='112'!$O$8,OR($L3536='112'!$I$6,$M3536='112'!$I$6))),"x",""))</f>
        <v/>
      </c>
      <c r="S3536" s="525" t="str">
        <f>IF(ISERROR(FIND('112'!$M$9,G3536,1)),"",IF((AND(LEFT(G3536,2)=LEFT('112'!$M$9,2),B3536&lt;'112'!$N$8,$L3536='112'!$I$6)),"x",""))</f>
        <v/>
      </c>
      <c r="T3536" s="525" t="str">
        <f>IF(ISERROR(FIND('112'!$M$9,G3536,1)),"",IF((AND(RIGHT(G3536,2)=RIGHT('112'!$M$9,2),B3536&lt;'112'!$N$8,$M3536='112'!$I$6)),"x",""))</f>
        <v/>
      </c>
      <c r="U3536" s="525" t="str">
        <f>IF(AND(B3536&gt;='IN-NX'!$P$3,B3536&lt;='IN-NX'!$Q$3,'IN-NX'!$D$7=D3536,OR(LEFT(L3536,2)="15",AND(LEFT(M3536,2)&lt;&gt;"15",LEFT(M3536,2)&lt;&gt;"33"))),"x","")</f>
        <v/>
      </c>
      <c r="V3536" s="525" t="str">
        <f>IF(AND(OR(LEFT(TH!L3536,2)="15",LEFT(TH!M3536,2)="15"),'152-CT'!$J$8=TH!F3536),"x","")</f>
        <v/>
      </c>
      <c r="W3536" s="525" t="str">
        <f>IF(AND(OR(LEFT(TH!L3536,2)="15",LEFT(TH!M3536,2)="15"),TK!$E$7=TH!F3536),"x","")</f>
        <v/>
      </c>
      <c r="X3536" s="525" t="str">
        <f>IF(AND('341-CT'!$E$9=H3536,OR(LEFT(L3536,3)=$X$7,LEFT(M3536,3)=$X$7)),"x","")</f>
        <v/>
      </c>
      <c r="Y3536" s="525" t="str">
        <f>IF(OR(TH!L3536=TH!$Y$7,M3536=TH!$Y$7),"x","")</f>
        <v/>
      </c>
      <c r="Z3536" s="525" t="str">
        <f>IF(AND(B3536&lt;=NKC!$N$8,B3536&gt;=NKC!$M$8),"x","")</f>
        <v/>
      </c>
      <c r="AA3536" s="535"/>
      <c r="AB3536" s="536"/>
      <c r="AC3536" s="536" t="str">
        <f>VLOOKUP(F3536,NXT!$B$12:$B$686,1,0)</f>
        <v>Thùng 145x45x45</v>
      </c>
    </row>
    <row r="3537" spans="1:30" s="503" customFormat="1" ht="15.75" customHeight="1">
      <c r="A3537" s="517" t="str">
        <f>IF(B3537&lt;&gt;"",IF(AND(B3537&gt;=_TM1,B3537&lt;=_TM2,OR(TH!L3537="1111",TH!M3537="1111")),TH!D3537,""),"")</f>
        <v/>
      </c>
      <c r="B3537" s="531">
        <f t="shared" si="372"/>
        <v>7</v>
      </c>
      <c r="C3537" s="315">
        <f t="shared" si="373"/>
        <v>42947</v>
      </c>
      <c r="D3537" s="544" t="s">
        <v>1181</v>
      </c>
      <c r="E3537" s="315">
        <v>42947</v>
      </c>
      <c r="F3537" s="250" t="s">
        <v>1393</v>
      </c>
      <c r="G3537" s="314" t="s">
        <v>1372</v>
      </c>
      <c r="H3537" s="473" t="s">
        <v>284</v>
      </c>
      <c r="I3537" s="307">
        <v>5</v>
      </c>
      <c r="J3537" s="307">
        <v>101080</v>
      </c>
      <c r="K3537" s="532">
        <f t="shared" si="371"/>
        <v>505400</v>
      </c>
      <c r="L3537" s="534" t="s">
        <v>223</v>
      </c>
      <c r="M3537" s="534" t="s">
        <v>162</v>
      </c>
      <c r="N3537" s="525" t="str">
        <f>IF(AND('331-CT'!$E$7=TH!H3537,OR(L3537="331",M3537="331")),"331",IF(AND(OR(L3537="131",M3537="131"),H3537='131-CT'!$E$7),"131",""))</f>
        <v/>
      </c>
      <c r="O3537" s="525" t="str">
        <f>IF(AND($B3537&gt;='111'!$N$11,$B3537&lt;='111'!$O$11,OR($L3537=$O$7,$M3537=$O$7)),"x","")</f>
        <v/>
      </c>
      <c r="P3537" s="525" t="str">
        <f>IF(AND($L3537=$O$7,$B3537&lt;'111'!$N$11),"x","")</f>
        <v/>
      </c>
      <c r="Q3537" s="525" t="str">
        <f>IF(AND($M3537=$O$7,$B3537&lt;'111'!$N$11),"x","")</f>
        <v/>
      </c>
      <c r="R3537" s="525" t="str">
        <f>IF(ISERROR(FIND('112'!$M$9,G3537,1)),"",IF((AND(FIND('112'!$M$9,G3537,1)&gt;=1,$B3537&gt;='112'!$N$8,$B3537&lt;='112'!$O$8,OR($L3537='112'!$I$6,$M3537='112'!$I$6))),"x",""))</f>
        <v/>
      </c>
      <c r="S3537" s="525" t="str">
        <f>IF(ISERROR(FIND('112'!$M$9,G3537,1)),"",IF((AND(LEFT(G3537,2)=LEFT('112'!$M$9,2),B3537&lt;'112'!$N$8,$L3537='112'!$I$6)),"x",""))</f>
        <v/>
      </c>
      <c r="T3537" s="525" t="str">
        <f>IF(ISERROR(FIND('112'!$M$9,G3537,1)),"",IF((AND(RIGHT(G3537,2)=RIGHT('112'!$M$9,2),B3537&lt;'112'!$N$8,$M3537='112'!$I$6)),"x",""))</f>
        <v/>
      </c>
      <c r="U3537" s="525" t="str">
        <f>IF(AND(B3537&gt;='IN-NX'!$P$3,B3537&lt;='IN-NX'!$Q$3,'IN-NX'!$D$7=D3537,OR(LEFT(L3537,2)="15",AND(LEFT(M3537,2)&lt;&gt;"15",LEFT(M3537,2)&lt;&gt;"33"))),"x","")</f>
        <v/>
      </c>
      <c r="V3537" s="525" t="str">
        <f>IF(AND(OR(LEFT(TH!L3537,2)="15",LEFT(TH!M3537,2)="15"),'152-CT'!$J$8=TH!F3537),"x","")</f>
        <v/>
      </c>
      <c r="W3537" s="525" t="str">
        <f>IF(AND(OR(LEFT(TH!L3537,2)="15",LEFT(TH!M3537,2)="15"),TK!$E$7=TH!F3537),"x","")</f>
        <v/>
      </c>
      <c r="X3537" s="525" t="str">
        <f>IF(AND('341-CT'!$E$9=H3537,OR(LEFT(L3537,3)=$X$7,LEFT(M3537,3)=$X$7)),"x","")</f>
        <v/>
      </c>
      <c r="Y3537" s="525" t="str">
        <f>IF(OR(TH!L3537=TH!$Y$7,M3537=TH!$Y$7),"x","")</f>
        <v/>
      </c>
      <c r="Z3537" s="525" t="str">
        <f>IF(AND(B3537&lt;=NKC!$N$8,B3537&gt;=NKC!$M$8),"x","")</f>
        <v/>
      </c>
      <c r="AA3537" s="535"/>
      <c r="AC3537" s="536" t="str">
        <f>VLOOKUP(F3537,NXT!$B$12:$B$686,1,0)</f>
        <v>Thùng 206x206x13</v>
      </c>
    </row>
    <row r="3538" spans="1:30" s="503" customFormat="1" ht="15.75" customHeight="1">
      <c r="A3538" s="517" t="str">
        <f>IF(B3538&lt;&gt;"",IF(AND(B3538&gt;=_TM1,B3538&lt;=_TM2,OR(TH!L3538="1111",TH!M3538="1111")),TH!D3538,""),"")</f>
        <v/>
      </c>
      <c r="B3538" s="531">
        <f t="shared" si="372"/>
        <v>7</v>
      </c>
      <c r="C3538" s="315">
        <f t="shared" si="373"/>
        <v>42947</v>
      </c>
      <c r="D3538" s="544" t="s">
        <v>1181</v>
      </c>
      <c r="E3538" s="315">
        <v>42947</v>
      </c>
      <c r="F3538" s="250" t="s">
        <v>794</v>
      </c>
      <c r="G3538" s="314" t="s">
        <v>1372</v>
      </c>
      <c r="H3538" s="473" t="s">
        <v>284</v>
      </c>
      <c r="I3538" s="307">
        <v>5</v>
      </c>
      <c r="J3538" s="307">
        <v>57162</v>
      </c>
      <c r="K3538" s="532">
        <f t="shared" si="371"/>
        <v>285810</v>
      </c>
      <c r="L3538" s="534" t="s">
        <v>223</v>
      </c>
      <c r="M3538" s="534" t="s">
        <v>162</v>
      </c>
      <c r="N3538" s="525" t="str">
        <f>IF(AND('331-CT'!$E$7=TH!H3538,OR(L3538="331",M3538="331")),"331",IF(AND(OR(L3538="131",M3538="131"),H3538='131-CT'!$E$7),"131",""))</f>
        <v/>
      </c>
      <c r="O3538" s="525" t="str">
        <f>IF(AND($B3538&gt;='111'!$N$11,$B3538&lt;='111'!$O$11,OR($L3538=$O$7,$M3538=$O$7)),"x","")</f>
        <v/>
      </c>
      <c r="P3538" s="525" t="str">
        <f>IF(AND($L3538=$O$7,$B3538&lt;'111'!$N$11),"x","")</f>
        <v/>
      </c>
      <c r="Q3538" s="525" t="str">
        <f>IF(AND($M3538=$O$7,$B3538&lt;'111'!$N$11),"x","")</f>
        <v/>
      </c>
      <c r="R3538" s="525" t="str">
        <f>IF(ISERROR(FIND('112'!$M$9,G3538,1)),"",IF((AND(FIND('112'!$M$9,G3538,1)&gt;=1,$B3538&gt;='112'!$N$8,$B3538&lt;='112'!$O$8,OR($L3538='112'!$I$6,$M3538='112'!$I$6))),"x",""))</f>
        <v/>
      </c>
      <c r="S3538" s="525" t="str">
        <f>IF(ISERROR(FIND('112'!$M$9,G3538,1)),"",IF((AND(LEFT(G3538,2)=LEFT('112'!$M$9,2),B3538&lt;'112'!$N$8,$L3538='112'!$I$6)),"x",""))</f>
        <v/>
      </c>
      <c r="T3538" s="525" t="str">
        <f>IF(ISERROR(FIND('112'!$M$9,G3538,1)),"",IF((AND(RIGHT(G3538,2)=RIGHT('112'!$M$9,2),B3538&lt;'112'!$N$8,$M3538='112'!$I$6)),"x",""))</f>
        <v/>
      </c>
      <c r="U3538" s="525" t="str">
        <f>IF(AND(B3538&gt;='IN-NX'!$P$3,B3538&lt;='IN-NX'!$Q$3,'IN-NX'!$D$7=D3538,OR(LEFT(L3538,2)="15",AND(LEFT(M3538,2)&lt;&gt;"15",LEFT(M3538,2)&lt;&gt;"33"))),"x","")</f>
        <v/>
      </c>
      <c r="V3538" s="525" t="str">
        <f>IF(AND(OR(LEFT(TH!L3538,2)="15",LEFT(TH!M3538,2)="15"),'152-CT'!$J$8=TH!F3538),"x","")</f>
        <v/>
      </c>
      <c r="W3538" s="525" t="str">
        <f>IF(AND(OR(LEFT(TH!L3538,2)="15",LEFT(TH!M3538,2)="15"),TK!$E$7=TH!F3538),"x","")</f>
        <v/>
      </c>
      <c r="X3538" s="525" t="str">
        <f>IF(AND('341-CT'!$E$9=H3538,OR(LEFT(L3538,3)=$X$7,LEFT(M3538,3)=$X$7)),"x","")</f>
        <v/>
      </c>
      <c r="Y3538" s="525" t="str">
        <f>IF(OR(TH!L3538=TH!$Y$7,M3538=TH!$Y$7),"x","")</f>
        <v/>
      </c>
      <c r="Z3538" s="525" t="str">
        <f>IF(AND(B3538&lt;=NKC!$N$8,B3538&gt;=NKC!$M$8),"x","")</f>
        <v/>
      </c>
      <c r="AA3538" s="535"/>
      <c r="AB3538" s="536"/>
      <c r="AC3538" s="536" t="str">
        <f>VLOOKUP(F3538,NXT!$B$12:$B$686,1,0)</f>
        <v>Thùng 125x45x77</v>
      </c>
    </row>
    <row r="3539" spans="1:30" s="503" customFormat="1" ht="15.75" customHeight="1">
      <c r="A3539" s="517" t="str">
        <f>IF(B3539&lt;&gt;"",IF(AND(B3539&gt;=_TM1,B3539&lt;=_TM2,OR(TH!L3539="1111",TH!M3539="1111")),TH!D3539,""),"")</f>
        <v/>
      </c>
      <c r="B3539" s="531">
        <f t="shared" ref="B3539:B3548" si="374">IF(C3539&lt;&gt;"",MONTH(C3539),"")</f>
        <v>7</v>
      </c>
      <c r="C3539" s="315">
        <f t="shared" ref="C3539:C3548" si="375">E3539</f>
        <v>42947</v>
      </c>
      <c r="D3539" s="544" t="s">
        <v>1181</v>
      </c>
      <c r="E3539" s="315">
        <v>42947</v>
      </c>
      <c r="F3539" s="250" t="s">
        <v>645</v>
      </c>
      <c r="G3539" s="314" t="s">
        <v>1372</v>
      </c>
      <c r="H3539" s="473" t="s">
        <v>284</v>
      </c>
      <c r="I3539" s="307">
        <v>6</v>
      </c>
      <c r="J3539" s="307">
        <v>153786</v>
      </c>
      <c r="K3539" s="532">
        <f t="shared" ref="K3539:K3548" si="376">ROUND(I3539*J3539,0)</f>
        <v>922716</v>
      </c>
      <c r="L3539" s="534" t="s">
        <v>223</v>
      </c>
      <c r="M3539" s="534" t="s">
        <v>162</v>
      </c>
      <c r="N3539" s="525" t="str">
        <f>IF(AND('331-CT'!$E$7=TH!H3539,OR(L3539="331",M3539="331")),"331",IF(AND(OR(L3539="131",M3539="131"),H3539='131-CT'!$E$7),"131",""))</f>
        <v/>
      </c>
      <c r="O3539" s="525" t="str">
        <f>IF(AND($B3539&gt;='111'!$N$11,$B3539&lt;='111'!$O$11,OR($L3539=$O$7,$M3539=$O$7)),"x","")</f>
        <v/>
      </c>
      <c r="P3539" s="525" t="str">
        <f>IF(AND($L3539=$O$7,$B3539&lt;'111'!$N$11),"x","")</f>
        <v/>
      </c>
      <c r="Q3539" s="525" t="str">
        <f>IF(AND($M3539=$O$7,$B3539&lt;'111'!$N$11),"x","")</f>
        <v/>
      </c>
      <c r="R3539" s="525" t="str">
        <f>IF(ISERROR(FIND('112'!$M$9,G3539,1)),"",IF((AND(FIND('112'!$M$9,G3539,1)&gt;=1,$B3539&gt;='112'!$N$8,$B3539&lt;='112'!$O$8,OR($L3539='112'!$I$6,$M3539='112'!$I$6))),"x",""))</f>
        <v/>
      </c>
      <c r="S3539" s="525" t="str">
        <f>IF(ISERROR(FIND('112'!$M$9,G3539,1)),"",IF((AND(LEFT(G3539,2)=LEFT('112'!$M$9,2),B3539&lt;'112'!$N$8,$L3539='112'!$I$6)),"x",""))</f>
        <v/>
      </c>
      <c r="T3539" s="525" t="str">
        <f>IF(ISERROR(FIND('112'!$M$9,G3539,1)),"",IF((AND(RIGHT(G3539,2)=RIGHT('112'!$M$9,2),B3539&lt;'112'!$N$8,$M3539='112'!$I$6)),"x",""))</f>
        <v/>
      </c>
      <c r="U3539" s="525" t="str">
        <f>IF(AND(B3539&gt;='IN-NX'!$P$3,B3539&lt;='IN-NX'!$Q$3,'IN-NX'!$D$7=D3539,OR(LEFT(L3539,2)="15",AND(LEFT(M3539,2)&lt;&gt;"15",LEFT(M3539,2)&lt;&gt;"33"))),"x","")</f>
        <v/>
      </c>
      <c r="V3539" s="525" t="str">
        <f>IF(AND(OR(LEFT(TH!L3539,2)="15",LEFT(TH!M3539,2)="15"),'152-CT'!$J$8=TH!F3539),"x","")</f>
        <v/>
      </c>
      <c r="W3539" s="525" t="str">
        <f>IF(AND(OR(LEFT(TH!L3539,2)="15",LEFT(TH!M3539,2)="15"),TK!$E$7=TH!F3539),"x","")</f>
        <v/>
      </c>
      <c r="X3539" s="525" t="str">
        <f>IF(AND('341-CT'!$E$9=H3539,OR(LEFT(L3539,3)=$X$7,LEFT(M3539,3)=$X$7)),"x","")</f>
        <v/>
      </c>
      <c r="Y3539" s="525" t="str">
        <f>IF(OR(TH!L3539=TH!$Y$7,M3539=TH!$Y$7),"x","")</f>
        <v/>
      </c>
      <c r="Z3539" s="525" t="str">
        <f>IF(AND(B3539&lt;=NKC!$N$8,B3539&gt;=NKC!$M$8),"x","")</f>
        <v/>
      </c>
      <c r="AA3539" s="535"/>
      <c r="AB3539" s="536"/>
      <c r="AC3539" s="536" t="str">
        <f>VLOOKUP(F3539,NXT!$B$12:$B$686,1,0)</f>
        <v>Thùng 115x115x30</v>
      </c>
    </row>
    <row r="3540" spans="1:30" s="503" customFormat="1" ht="15.75" customHeight="1">
      <c r="A3540" s="517" t="str">
        <f>IF(B3540&lt;&gt;"",IF(AND(B3540&gt;=_TM1,B3540&lt;=_TM2,OR(TH!L3540="1111",TH!M3540="1111")),TH!D3540,""),"")</f>
        <v/>
      </c>
      <c r="B3540" s="531">
        <f t="shared" si="374"/>
        <v>7</v>
      </c>
      <c r="C3540" s="315">
        <f t="shared" si="375"/>
        <v>42947</v>
      </c>
      <c r="D3540" s="544" t="s">
        <v>1181</v>
      </c>
      <c r="E3540" s="315">
        <v>42947</v>
      </c>
      <c r="F3540" s="250" t="s">
        <v>646</v>
      </c>
      <c r="G3540" s="314" t="s">
        <v>1372</v>
      </c>
      <c r="H3540" s="473" t="s">
        <v>284</v>
      </c>
      <c r="I3540" s="307">
        <v>6</v>
      </c>
      <c r="J3540" s="307">
        <v>48993</v>
      </c>
      <c r="K3540" s="532">
        <f t="shared" si="376"/>
        <v>293958</v>
      </c>
      <c r="L3540" s="534" t="s">
        <v>223</v>
      </c>
      <c r="M3540" s="534" t="s">
        <v>162</v>
      </c>
      <c r="N3540" s="525" t="str">
        <f>IF(AND('331-CT'!$E$7=TH!H3540,OR(L3540="331",M3540="331")),"331",IF(AND(OR(L3540="131",M3540="131"),H3540='131-CT'!$E$7),"131",""))</f>
        <v/>
      </c>
      <c r="O3540" s="525" t="str">
        <f>IF(AND($B3540&gt;='111'!$N$11,$B3540&lt;='111'!$O$11,OR($L3540=$O$7,$M3540=$O$7)),"x","")</f>
        <v/>
      </c>
      <c r="P3540" s="525" t="str">
        <f>IF(AND($L3540=$O$7,$B3540&lt;'111'!$N$11),"x","")</f>
        <v/>
      </c>
      <c r="Q3540" s="525" t="str">
        <f>IF(AND($M3540=$O$7,$B3540&lt;'111'!$N$11),"x","")</f>
        <v/>
      </c>
      <c r="R3540" s="525" t="str">
        <f>IF(ISERROR(FIND('112'!$M$9,G3540,1)),"",IF((AND(FIND('112'!$M$9,G3540,1)&gt;=1,$B3540&gt;='112'!$N$8,$B3540&lt;='112'!$O$8,OR($L3540='112'!$I$6,$M3540='112'!$I$6))),"x",""))</f>
        <v/>
      </c>
      <c r="S3540" s="525" t="str">
        <f>IF(ISERROR(FIND('112'!$M$9,G3540,1)),"",IF((AND(LEFT(G3540,2)=LEFT('112'!$M$9,2),B3540&lt;'112'!$N$8,$L3540='112'!$I$6)),"x",""))</f>
        <v/>
      </c>
      <c r="T3540" s="525" t="str">
        <f>IF(ISERROR(FIND('112'!$M$9,G3540,1)),"",IF((AND(RIGHT(G3540,2)=RIGHT('112'!$M$9,2),B3540&lt;'112'!$N$8,$M3540='112'!$I$6)),"x",""))</f>
        <v/>
      </c>
      <c r="U3540" s="525" t="str">
        <f>IF(AND(B3540&gt;='IN-NX'!$P$3,B3540&lt;='IN-NX'!$Q$3,'IN-NX'!$D$7=D3540,OR(LEFT(L3540,2)="15",AND(LEFT(M3540,2)&lt;&gt;"15",LEFT(M3540,2)&lt;&gt;"33"))),"x","")</f>
        <v/>
      </c>
      <c r="V3540" s="525" t="str">
        <f>IF(AND(OR(LEFT(TH!L3540,2)="15",LEFT(TH!M3540,2)="15"),'152-CT'!$J$8=TH!F3540),"x","")</f>
        <v/>
      </c>
      <c r="W3540" s="525" t="str">
        <f>IF(AND(OR(LEFT(TH!L3540,2)="15",LEFT(TH!M3540,2)="15"),TK!$E$7=TH!F3540),"x","")</f>
        <v/>
      </c>
      <c r="X3540" s="525" t="str">
        <f>IF(AND('341-CT'!$E$9=H3540,OR(LEFT(L3540,3)=$X$7,LEFT(M3540,3)=$X$7)),"x","")</f>
        <v/>
      </c>
      <c r="Y3540" s="525" t="str">
        <f>IF(OR(TH!L3540=TH!$Y$7,M3540=TH!$Y$7),"x","")</f>
        <v/>
      </c>
      <c r="Z3540" s="525" t="str">
        <f>IF(AND(B3540&lt;=NKC!$N$8,B3540&gt;=NKC!$M$8),"x","")</f>
        <v/>
      </c>
      <c r="AA3540" s="535"/>
      <c r="AC3540" s="536" t="str">
        <f>VLOOKUP(F3540,NXT!$B$12:$B$686,1,0)</f>
        <v>Thùng 55x55x38</v>
      </c>
    </row>
    <row r="3541" spans="1:30" s="503" customFormat="1" ht="15.75" customHeight="1">
      <c r="A3541" s="517" t="str">
        <f>IF(B3541&lt;&gt;"",IF(AND(B3541&gt;=_TM1,B3541&lt;=_TM2,OR(TH!L3541="1111",TH!M3541="1111")),TH!D3541,""),"")</f>
        <v/>
      </c>
      <c r="B3541" s="531">
        <f t="shared" si="374"/>
        <v>7</v>
      </c>
      <c r="C3541" s="315">
        <f t="shared" si="375"/>
        <v>42947</v>
      </c>
      <c r="D3541" s="544" t="s">
        <v>1181</v>
      </c>
      <c r="E3541" s="315">
        <v>42947</v>
      </c>
      <c r="F3541" s="250" t="s">
        <v>1389</v>
      </c>
      <c r="G3541" s="314" t="s">
        <v>1372</v>
      </c>
      <c r="H3541" s="473" t="s">
        <v>284</v>
      </c>
      <c r="I3541" s="307">
        <v>12</v>
      </c>
      <c r="J3541" s="307">
        <v>41141</v>
      </c>
      <c r="K3541" s="532">
        <f t="shared" si="376"/>
        <v>493692</v>
      </c>
      <c r="L3541" s="534" t="s">
        <v>223</v>
      </c>
      <c r="M3541" s="534" t="s">
        <v>162</v>
      </c>
      <c r="N3541" s="525" t="str">
        <f>IF(AND('331-CT'!$E$7=TH!H3541,OR(L3541="331",M3541="331")),"331",IF(AND(OR(L3541="131",M3541="131"),H3541='131-CT'!$E$7),"131",""))</f>
        <v/>
      </c>
      <c r="O3541" s="525" t="str">
        <f>IF(AND($B3541&gt;='111'!$N$11,$B3541&lt;='111'!$O$11,OR($L3541=$O$7,$M3541=$O$7)),"x","")</f>
        <v/>
      </c>
      <c r="P3541" s="525" t="str">
        <f>IF(AND($L3541=$O$7,$B3541&lt;'111'!$N$11),"x","")</f>
        <v/>
      </c>
      <c r="Q3541" s="525" t="str">
        <f>IF(AND($M3541=$O$7,$B3541&lt;'111'!$N$11),"x","")</f>
        <v/>
      </c>
      <c r="R3541" s="525" t="str">
        <f>IF(ISERROR(FIND('112'!$M$9,G3541,1)),"",IF((AND(FIND('112'!$M$9,G3541,1)&gt;=1,$B3541&gt;='112'!$N$8,$B3541&lt;='112'!$O$8,OR($L3541='112'!$I$6,$M3541='112'!$I$6))),"x",""))</f>
        <v/>
      </c>
      <c r="S3541" s="525" t="str">
        <f>IF(ISERROR(FIND('112'!$M$9,G3541,1)),"",IF((AND(LEFT(G3541,2)=LEFT('112'!$M$9,2),B3541&lt;'112'!$N$8,$L3541='112'!$I$6)),"x",""))</f>
        <v/>
      </c>
      <c r="T3541" s="525" t="str">
        <f>IF(ISERROR(FIND('112'!$M$9,G3541,1)),"",IF((AND(RIGHT(G3541,2)=RIGHT('112'!$M$9,2),B3541&lt;'112'!$N$8,$M3541='112'!$I$6)),"x",""))</f>
        <v/>
      </c>
      <c r="U3541" s="525" t="str">
        <f>IF(AND(B3541&gt;='IN-NX'!$P$3,B3541&lt;='IN-NX'!$Q$3,'IN-NX'!$D$7=D3541,OR(LEFT(L3541,2)="15",AND(LEFT(M3541,2)&lt;&gt;"15",LEFT(M3541,2)&lt;&gt;"33"))),"x","")</f>
        <v/>
      </c>
      <c r="V3541" s="525" t="str">
        <f>IF(AND(OR(LEFT(TH!L3541,2)="15",LEFT(TH!M3541,2)="15"),'152-CT'!$J$8=TH!F3541),"x","")</f>
        <v/>
      </c>
      <c r="W3541" s="525" t="str">
        <f>IF(AND(OR(LEFT(TH!L3541,2)="15",LEFT(TH!M3541,2)="15"),TK!$E$7=TH!F3541),"x","")</f>
        <v/>
      </c>
      <c r="X3541" s="525" t="str">
        <f>IF(AND('341-CT'!$E$9=H3541,OR(LEFT(L3541,3)=$X$7,LEFT(M3541,3)=$X$7)),"x","")</f>
        <v/>
      </c>
      <c r="Y3541" s="525" t="str">
        <f>IF(OR(TH!L3541=TH!$Y$7,M3541=TH!$Y$7),"x","")</f>
        <v/>
      </c>
      <c r="Z3541" s="525" t="str">
        <f>IF(AND(B3541&lt;=NKC!$N$8,B3541&gt;=NKC!$M$8),"x","")</f>
        <v/>
      </c>
      <c r="AA3541" s="535"/>
      <c r="AB3541" s="536"/>
      <c r="AC3541" s="536" t="str">
        <f>VLOOKUP(F3541,NXT!$B$12:$B$686,1,0)</f>
        <v>Thùng 55x55x79</v>
      </c>
      <c r="AD3541" s="536"/>
    </row>
    <row r="3542" spans="1:30" s="503" customFormat="1" ht="15.75" customHeight="1">
      <c r="A3542" s="517" t="str">
        <f>IF(B3542&lt;&gt;"",IF(AND(B3542&gt;=_TM1,B3542&lt;=_TM2,OR(TH!L3542="1111",TH!M3542="1111")),TH!D3542,""),"")</f>
        <v/>
      </c>
      <c r="B3542" s="531">
        <f t="shared" si="374"/>
        <v>7</v>
      </c>
      <c r="C3542" s="315">
        <f t="shared" si="375"/>
        <v>42947</v>
      </c>
      <c r="D3542" s="544" t="s">
        <v>1181</v>
      </c>
      <c r="E3542" s="315">
        <v>42947</v>
      </c>
      <c r="F3542" s="250" t="s">
        <v>1394</v>
      </c>
      <c r="G3542" s="314" t="s">
        <v>1372</v>
      </c>
      <c r="H3542" s="473" t="s">
        <v>284</v>
      </c>
      <c r="I3542" s="307">
        <v>12</v>
      </c>
      <c r="J3542" s="307">
        <v>93639</v>
      </c>
      <c r="K3542" s="532">
        <f t="shared" si="376"/>
        <v>1123668</v>
      </c>
      <c r="L3542" s="534" t="s">
        <v>223</v>
      </c>
      <c r="M3542" s="534" t="s">
        <v>162</v>
      </c>
      <c r="N3542" s="525" t="str">
        <f>IF(AND('331-CT'!$E$7=TH!H3542,OR(L3542="331",M3542="331")),"331",IF(AND(OR(L3542="131",M3542="131"),H3542='131-CT'!$E$7),"131",""))</f>
        <v/>
      </c>
      <c r="O3542" s="525" t="str">
        <f>IF(AND($B3542&gt;='111'!$N$11,$B3542&lt;='111'!$O$11,OR($L3542=$O$7,$M3542=$O$7)),"x","")</f>
        <v/>
      </c>
      <c r="P3542" s="525" t="str">
        <f>IF(AND($L3542=$O$7,$B3542&lt;'111'!$N$11),"x","")</f>
        <v/>
      </c>
      <c r="Q3542" s="525" t="str">
        <f>IF(AND($M3542=$O$7,$B3542&lt;'111'!$N$11),"x","")</f>
        <v/>
      </c>
      <c r="R3542" s="525" t="str">
        <f>IF(ISERROR(FIND('112'!$M$9,G3542,1)),"",IF((AND(FIND('112'!$M$9,G3542,1)&gt;=1,$B3542&gt;='112'!$N$8,$B3542&lt;='112'!$O$8,OR($L3542='112'!$I$6,$M3542='112'!$I$6))),"x",""))</f>
        <v/>
      </c>
      <c r="S3542" s="525" t="str">
        <f>IF(ISERROR(FIND('112'!$M$9,G3542,1)),"",IF((AND(LEFT(G3542,2)=LEFT('112'!$M$9,2),B3542&lt;'112'!$N$8,$L3542='112'!$I$6)),"x",""))</f>
        <v/>
      </c>
      <c r="T3542" s="525" t="str">
        <f>IF(ISERROR(FIND('112'!$M$9,G3542,1)),"",IF((AND(RIGHT(G3542,2)=RIGHT('112'!$M$9,2),B3542&lt;'112'!$N$8,$M3542='112'!$I$6)),"x",""))</f>
        <v/>
      </c>
      <c r="U3542" s="525" t="str">
        <f>IF(AND(B3542&gt;='IN-NX'!$P$3,B3542&lt;='IN-NX'!$Q$3,'IN-NX'!$D$7=D3542,OR(LEFT(L3542,2)="15",AND(LEFT(M3542,2)&lt;&gt;"15",LEFT(M3542,2)&lt;&gt;"33"))),"x","")</f>
        <v/>
      </c>
      <c r="V3542" s="525" t="str">
        <f>IF(AND(OR(LEFT(TH!L3542,2)="15",LEFT(TH!M3542,2)="15"),'152-CT'!$J$8=TH!F3542),"x","")</f>
        <v/>
      </c>
      <c r="W3542" s="525" t="str">
        <f>IF(AND(OR(LEFT(TH!L3542,2)="15",LEFT(TH!M3542,2)="15"),TK!$E$7=TH!F3542),"x","")</f>
        <v/>
      </c>
      <c r="X3542" s="525" t="str">
        <f>IF(AND('341-CT'!$E$9=H3542,OR(LEFT(L3542,3)=$X$7,LEFT(M3542,3)=$X$7)),"x","")</f>
        <v/>
      </c>
      <c r="Y3542" s="525" t="str">
        <f>IF(OR(TH!L3542=TH!$Y$7,M3542=TH!$Y$7),"x","")</f>
        <v/>
      </c>
      <c r="Z3542" s="525" t="str">
        <f>IF(AND(B3542&lt;=NKC!$N$8,B3542&gt;=NKC!$M$8),"x","")</f>
        <v/>
      </c>
      <c r="AA3542" s="535"/>
      <c r="AB3542" s="536"/>
      <c r="AC3542" s="536" t="str">
        <f>VLOOKUP(F3542,NXT!$B$12:$B$686,1,0)</f>
        <v>Thùng 185x41x52</v>
      </c>
    </row>
    <row r="3543" spans="1:30" s="503" customFormat="1" ht="15.75" customHeight="1">
      <c r="A3543" s="517" t="str">
        <f>IF(B3543&lt;&gt;"",IF(AND(B3543&gt;=_TM1,B3543&lt;=_TM2,OR(TH!L3543="1111",TH!M3543="1111")),TH!D3543,""),"")</f>
        <v/>
      </c>
      <c r="B3543" s="531">
        <f t="shared" si="374"/>
        <v>7</v>
      </c>
      <c r="C3543" s="315">
        <f t="shared" si="375"/>
        <v>42947</v>
      </c>
      <c r="D3543" s="544" t="s">
        <v>1181</v>
      </c>
      <c r="E3543" s="315">
        <v>42947</v>
      </c>
      <c r="F3543" s="250" t="s">
        <v>611</v>
      </c>
      <c r="G3543" s="314" t="s">
        <v>1372</v>
      </c>
      <c r="H3543" s="473" t="s">
        <v>284</v>
      </c>
      <c r="I3543" s="307">
        <v>40</v>
      </c>
      <c r="J3543" s="307">
        <v>42339</v>
      </c>
      <c r="K3543" s="532">
        <f t="shared" si="376"/>
        <v>1693560</v>
      </c>
      <c r="L3543" s="534" t="s">
        <v>223</v>
      </c>
      <c r="M3543" s="534" t="s">
        <v>162</v>
      </c>
      <c r="N3543" s="525" t="str">
        <f>IF(AND('331-CT'!$E$7=TH!H3543,OR(L3543="331",M3543="331")),"331",IF(AND(OR(L3543="131",M3543="131"),H3543='131-CT'!$E$7),"131",""))</f>
        <v/>
      </c>
      <c r="O3543" s="525" t="str">
        <f>IF(AND($B3543&gt;='111'!$N$11,$B3543&lt;='111'!$O$11,OR($L3543=$O$7,$M3543=$O$7)),"x","")</f>
        <v/>
      </c>
      <c r="P3543" s="525" t="str">
        <f>IF(AND($L3543=$O$7,$B3543&lt;'111'!$N$11),"x","")</f>
        <v/>
      </c>
      <c r="Q3543" s="525" t="str">
        <f>IF(AND($M3543=$O$7,$B3543&lt;'111'!$N$11),"x","")</f>
        <v/>
      </c>
      <c r="R3543" s="525" t="str">
        <f>IF(ISERROR(FIND('112'!$M$9,G3543,1)),"",IF((AND(FIND('112'!$M$9,G3543,1)&gt;=1,$B3543&gt;='112'!$N$8,$B3543&lt;='112'!$O$8,OR($L3543='112'!$I$6,$M3543='112'!$I$6))),"x",""))</f>
        <v/>
      </c>
      <c r="S3543" s="525" t="str">
        <f>IF(ISERROR(FIND('112'!$M$9,G3543,1)),"",IF((AND(LEFT(G3543,2)=LEFT('112'!$M$9,2),B3543&lt;'112'!$N$8,$L3543='112'!$I$6)),"x",""))</f>
        <v/>
      </c>
      <c r="T3543" s="525" t="str">
        <f>IF(ISERROR(FIND('112'!$M$9,G3543,1)),"",IF((AND(RIGHT(G3543,2)=RIGHT('112'!$M$9,2),B3543&lt;'112'!$N$8,$M3543='112'!$I$6)),"x",""))</f>
        <v/>
      </c>
      <c r="U3543" s="525" t="str">
        <f>IF(AND(B3543&gt;='IN-NX'!$P$3,B3543&lt;='IN-NX'!$Q$3,'IN-NX'!$D$7=D3543,OR(LEFT(L3543,2)="15",AND(LEFT(M3543,2)&lt;&gt;"15",LEFT(M3543,2)&lt;&gt;"33"))),"x","")</f>
        <v/>
      </c>
      <c r="V3543" s="525" t="str">
        <f>IF(AND(OR(LEFT(TH!L3543,2)="15",LEFT(TH!M3543,2)="15"),'152-CT'!$J$8=TH!F3543),"x","")</f>
        <v/>
      </c>
      <c r="W3543" s="525" t="str">
        <f>IF(AND(OR(LEFT(TH!L3543,2)="15",LEFT(TH!M3543,2)="15"),TK!$E$7=TH!F3543),"x","")</f>
        <v/>
      </c>
      <c r="X3543" s="525" t="str">
        <f>IF(AND('341-CT'!$E$9=H3543,OR(LEFT(L3543,3)=$X$7,LEFT(M3543,3)=$X$7)),"x","")</f>
        <v/>
      </c>
      <c r="Y3543" s="525" t="str">
        <f>IF(OR(TH!L3543=TH!$Y$7,M3543=TH!$Y$7),"x","")</f>
        <v/>
      </c>
      <c r="Z3543" s="525" t="str">
        <f>IF(AND(B3543&lt;=NKC!$N$8,B3543&gt;=NKC!$M$8),"x","")</f>
        <v/>
      </c>
      <c r="AA3543" s="535"/>
      <c r="AB3543" s="536"/>
      <c r="AC3543" s="536" t="str">
        <f>VLOOKUP(F3543,NXT!$B$12:$B$686,1,0)</f>
        <v>Thùng 47x47x59</v>
      </c>
    </row>
    <row r="3544" spans="1:30" s="503" customFormat="1" ht="15.75" customHeight="1">
      <c r="A3544" s="517" t="str">
        <f>IF(B3544&lt;&gt;"",IF(AND(B3544&gt;=_TM1,B3544&lt;=_TM2,OR(TH!L3544="1111",TH!M3544="1111")),TH!D3544,""),"")</f>
        <v/>
      </c>
      <c r="B3544" s="531">
        <f t="shared" si="374"/>
        <v>7</v>
      </c>
      <c r="C3544" s="315">
        <f t="shared" si="375"/>
        <v>42947</v>
      </c>
      <c r="D3544" s="544" t="s">
        <v>1181</v>
      </c>
      <c r="E3544" s="315">
        <v>42947</v>
      </c>
      <c r="F3544" s="250" t="s">
        <v>1023</v>
      </c>
      <c r="G3544" s="314" t="s">
        <v>1372</v>
      </c>
      <c r="H3544" s="473" t="s">
        <v>284</v>
      </c>
      <c r="I3544" s="307">
        <v>36</v>
      </c>
      <c r="J3544" s="307">
        <v>82493</v>
      </c>
      <c r="K3544" s="532">
        <f t="shared" si="376"/>
        <v>2969748</v>
      </c>
      <c r="L3544" s="534" t="s">
        <v>223</v>
      </c>
      <c r="M3544" s="534" t="s">
        <v>162</v>
      </c>
      <c r="N3544" s="525" t="str">
        <f>IF(AND('331-CT'!$E$7=TH!H3544,OR(L3544="331",M3544="331")),"331",IF(AND(OR(L3544="131",M3544="131"),H3544='131-CT'!$E$7),"131",""))</f>
        <v/>
      </c>
      <c r="O3544" s="525" t="str">
        <f>IF(AND($B3544&gt;='111'!$N$11,$B3544&lt;='111'!$O$11,OR($L3544=$O$7,$M3544=$O$7)),"x","")</f>
        <v/>
      </c>
      <c r="P3544" s="525" t="str">
        <f>IF(AND($L3544=$O$7,$B3544&lt;'111'!$N$11),"x","")</f>
        <v/>
      </c>
      <c r="Q3544" s="525" t="str">
        <f>IF(AND($M3544=$O$7,$B3544&lt;'111'!$N$11),"x","")</f>
        <v/>
      </c>
      <c r="R3544" s="525" t="str">
        <f>IF(ISERROR(FIND('112'!$M$9,G3544,1)),"",IF((AND(FIND('112'!$M$9,G3544,1)&gt;=1,$B3544&gt;='112'!$N$8,$B3544&lt;='112'!$O$8,OR($L3544='112'!$I$6,$M3544='112'!$I$6))),"x",""))</f>
        <v/>
      </c>
      <c r="S3544" s="525" t="str">
        <f>IF(ISERROR(FIND('112'!$M$9,G3544,1)),"",IF((AND(LEFT(G3544,2)=LEFT('112'!$M$9,2),B3544&lt;'112'!$N$8,$L3544='112'!$I$6)),"x",""))</f>
        <v/>
      </c>
      <c r="T3544" s="525" t="str">
        <f>IF(ISERROR(FIND('112'!$M$9,G3544,1)),"",IF((AND(RIGHT(G3544,2)=RIGHT('112'!$M$9,2),B3544&lt;'112'!$N$8,$M3544='112'!$I$6)),"x",""))</f>
        <v/>
      </c>
      <c r="U3544" s="525" t="str">
        <f>IF(AND(B3544&gt;='IN-NX'!$P$3,B3544&lt;='IN-NX'!$Q$3,'IN-NX'!$D$7=D3544,OR(LEFT(L3544,2)="15",AND(LEFT(M3544,2)&lt;&gt;"15",LEFT(M3544,2)&lt;&gt;"33"))),"x","")</f>
        <v/>
      </c>
      <c r="V3544" s="525" t="str">
        <f>IF(AND(OR(LEFT(TH!L3544,2)="15",LEFT(TH!M3544,2)="15"),'152-CT'!$J$8=TH!F3544),"x","")</f>
        <v/>
      </c>
      <c r="W3544" s="525" t="str">
        <f>IF(AND(OR(LEFT(TH!L3544,2)="15",LEFT(TH!M3544,2)="15"),TK!$E$7=TH!F3544),"x","")</f>
        <v/>
      </c>
      <c r="X3544" s="525" t="str">
        <f>IF(AND('341-CT'!$E$9=H3544,OR(LEFT(L3544,3)=$X$7,LEFT(M3544,3)=$X$7)),"x","")</f>
        <v/>
      </c>
      <c r="Y3544" s="525" t="str">
        <f>IF(OR(TH!L3544=TH!$Y$7,M3544=TH!$Y$7),"x","")</f>
        <v/>
      </c>
      <c r="Z3544" s="525" t="str">
        <f>IF(AND(B3544&lt;=NKC!$N$8,B3544&gt;=NKC!$M$8),"x","")</f>
        <v/>
      </c>
      <c r="AA3544" s="535"/>
      <c r="AB3544" s="536"/>
      <c r="AC3544" s="536" t="str">
        <f>VLOOKUP(F3544,NXT!$B$12:$B$686,1,0)</f>
        <v>Thùng 68x68x68</v>
      </c>
    </row>
    <row r="3545" spans="1:30" s="503" customFormat="1" ht="15.75" customHeight="1">
      <c r="A3545" s="517" t="str">
        <f>IF(B3545&lt;&gt;"",IF(AND(B3545&gt;=_TM1,B3545&lt;=_TM2,OR(TH!L3545="1111",TH!M3545="1111")),TH!D3545,""),"")</f>
        <v/>
      </c>
      <c r="B3545" s="531">
        <f t="shared" si="374"/>
        <v>7</v>
      </c>
      <c r="C3545" s="315">
        <f t="shared" si="375"/>
        <v>42947</v>
      </c>
      <c r="D3545" s="544" t="s">
        <v>1181</v>
      </c>
      <c r="E3545" s="315">
        <v>42947</v>
      </c>
      <c r="F3545" s="250" t="s">
        <v>731</v>
      </c>
      <c r="G3545" s="314" t="s">
        <v>1372</v>
      </c>
      <c r="H3545" s="473" t="s">
        <v>284</v>
      </c>
      <c r="I3545" s="307">
        <v>8</v>
      </c>
      <c r="J3545" s="307">
        <v>58563</v>
      </c>
      <c r="K3545" s="532">
        <f t="shared" si="376"/>
        <v>468504</v>
      </c>
      <c r="L3545" s="534" t="s">
        <v>223</v>
      </c>
      <c r="M3545" s="534" t="s">
        <v>162</v>
      </c>
      <c r="N3545" s="525" t="str">
        <f>IF(AND('331-CT'!$E$7=TH!H3545,OR(L3545="331",M3545="331")),"331",IF(AND(OR(L3545="131",M3545="131"),H3545='131-CT'!$E$7),"131",""))</f>
        <v/>
      </c>
      <c r="O3545" s="525" t="str">
        <f>IF(AND($B3545&gt;='111'!$N$11,$B3545&lt;='111'!$O$11,OR($L3545=$O$7,$M3545=$O$7)),"x","")</f>
        <v/>
      </c>
      <c r="P3545" s="525" t="str">
        <f>IF(AND($L3545=$O$7,$B3545&lt;'111'!$N$11),"x","")</f>
        <v/>
      </c>
      <c r="Q3545" s="525" t="str">
        <f>IF(AND($M3545=$O$7,$B3545&lt;'111'!$N$11),"x","")</f>
        <v/>
      </c>
      <c r="R3545" s="525" t="str">
        <f>IF(ISERROR(FIND('112'!$M$9,G3545,1)),"",IF((AND(FIND('112'!$M$9,G3545,1)&gt;=1,$B3545&gt;='112'!$N$8,$B3545&lt;='112'!$O$8,OR($L3545='112'!$I$6,$M3545='112'!$I$6))),"x",""))</f>
        <v/>
      </c>
      <c r="S3545" s="525" t="str">
        <f>IF(ISERROR(FIND('112'!$M$9,G3545,1)),"",IF((AND(LEFT(G3545,2)=LEFT('112'!$M$9,2),B3545&lt;'112'!$N$8,$L3545='112'!$I$6)),"x",""))</f>
        <v/>
      </c>
      <c r="T3545" s="525" t="str">
        <f>IF(ISERROR(FIND('112'!$M$9,G3545,1)),"",IF((AND(RIGHT(G3545,2)=RIGHT('112'!$M$9,2),B3545&lt;'112'!$N$8,$M3545='112'!$I$6)),"x",""))</f>
        <v/>
      </c>
      <c r="U3545" s="525" t="str">
        <f>IF(AND(B3545&gt;='IN-NX'!$P$3,B3545&lt;='IN-NX'!$Q$3,'IN-NX'!$D$7=D3545,OR(LEFT(L3545,2)="15",AND(LEFT(M3545,2)&lt;&gt;"15",LEFT(M3545,2)&lt;&gt;"33"))),"x","")</f>
        <v/>
      </c>
      <c r="V3545" s="525" t="str">
        <f>IF(AND(OR(LEFT(TH!L3545,2)="15",LEFT(TH!M3545,2)="15"),'152-CT'!$J$8=TH!F3545),"x","")</f>
        <v/>
      </c>
      <c r="W3545" s="525" t="str">
        <f>IF(AND(OR(LEFT(TH!L3545,2)="15",LEFT(TH!M3545,2)="15"),TK!$E$7=TH!F3545),"x","")</f>
        <v/>
      </c>
      <c r="X3545" s="525" t="str">
        <f>IF(AND('341-CT'!$E$9=H3545,OR(LEFT(L3545,3)=$X$7,LEFT(M3545,3)=$X$7)),"x","")</f>
        <v/>
      </c>
      <c r="Y3545" s="525" t="str">
        <f>IF(OR(TH!L3545=TH!$Y$7,M3545=TH!$Y$7),"x","")</f>
        <v/>
      </c>
      <c r="Z3545" s="525" t="str">
        <f>IF(AND(B3545&lt;=NKC!$N$8,B3545&gt;=NKC!$M$8),"x","")</f>
        <v/>
      </c>
      <c r="AA3545" s="535"/>
      <c r="AB3545" s="536"/>
      <c r="AC3545" s="536" t="str">
        <f>VLOOKUP(F3545,NXT!$B$12:$B$686,1,0)</f>
        <v>Thùng 54x54x60</v>
      </c>
    </row>
    <row r="3546" spans="1:30" s="503" customFormat="1" ht="15.75" customHeight="1">
      <c r="A3546" s="517" t="str">
        <f>IF(B3546&lt;&gt;"",IF(AND(B3546&gt;=_TM1,B3546&lt;=_TM2,OR(TH!L3546="1111",TH!M3546="1111")),TH!D3546,""),"")</f>
        <v/>
      </c>
      <c r="B3546" s="531">
        <f t="shared" si="374"/>
        <v>7</v>
      </c>
      <c r="C3546" s="315">
        <f t="shared" si="375"/>
        <v>42947</v>
      </c>
      <c r="D3546" s="544" t="s">
        <v>1181</v>
      </c>
      <c r="E3546" s="315">
        <v>42947</v>
      </c>
      <c r="F3546" s="250" t="s">
        <v>731</v>
      </c>
      <c r="G3546" s="314" t="s">
        <v>1372</v>
      </c>
      <c r="H3546" s="473" t="s">
        <v>284</v>
      </c>
      <c r="I3546" s="307">
        <v>24</v>
      </c>
      <c r="J3546" s="307">
        <v>55723</v>
      </c>
      <c r="K3546" s="532">
        <f t="shared" si="376"/>
        <v>1337352</v>
      </c>
      <c r="L3546" s="534" t="s">
        <v>223</v>
      </c>
      <c r="M3546" s="534" t="s">
        <v>162</v>
      </c>
      <c r="N3546" s="525" t="str">
        <f>IF(AND('331-CT'!$E$7=TH!H3546,OR(L3546="331",M3546="331")),"331",IF(AND(OR(L3546="131",M3546="131"),H3546='131-CT'!$E$7),"131",""))</f>
        <v/>
      </c>
      <c r="O3546" s="525" t="str">
        <f>IF(AND($B3546&gt;='111'!$N$11,$B3546&lt;='111'!$O$11,OR($L3546=$O$7,$M3546=$O$7)),"x","")</f>
        <v/>
      </c>
      <c r="P3546" s="525" t="str">
        <f>IF(AND($L3546=$O$7,$B3546&lt;'111'!$N$11),"x","")</f>
        <v/>
      </c>
      <c r="Q3546" s="525" t="str">
        <f>IF(AND($M3546=$O$7,$B3546&lt;'111'!$N$11),"x","")</f>
        <v/>
      </c>
      <c r="R3546" s="525" t="str">
        <f>IF(ISERROR(FIND('112'!$M$9,G3546,1)),"",IF((AND(FIND('112'!$M$9,G3546,1)&gt;=1,$B3546&gt;='112'!$N$8,$B3546&lt;='112'!$O$8,OR($L3546='112'!$I$6,$M3546='112'!$I$6))),"x",""))</f>
        <v/>
      </c>
      <c r="S3546" s="525" t="str">
        <f>IF(ISERROR(FIND('112'!$M$9,G3546,1)),"",IF((AND(LEFT(G3546,2)=LEFT('112'!$M$9,2),B3546&lt;'112'!$N$8,$L3546='112'!$I$6)),"x",""))</f>
        <v/>
      </c>
      <c r="T3546" s="525" t="str">
        <f>IF(ISERROR(FIND('112'!$M$9,G3546,1)),"",IF((AND(RIGHT(G3546,2)=RIGHT('112'!$M$9,2),B3546&lt;'112'!$N$8,$M3546='112'!$I$6)),"x",""))</f>
        <v/>
      </c>
      <c r="U3546" s="525" t="str">
        <f>IF(AND(B3546&gt;='IN-NX'!$P$3,B3546&lt;='IN-NX'!$Q$3,'IN-NX'!$D$7=D3546,OR(LEFT(L3546,2)="15",AND(LEFT(M3546,2)&lt;&gt;"15",LEFT(M3546,2)&lt;&gt;"33"))),"x","")</f>
        <v/>
      </c>
      <c r="V3546" s="525" t="str">
        <f>IF(AND(OR(LEFT(TH!L3546,2)="15",LEFT(TH!M3546,2)="15"),'152-CT'!$J$8=TH!F3546),"x","")</f>
        <v/>
      </c>
      <c r="W3546" s="525" t="str">
        <f>IF(AND(OR(LEFT(TH!L3546,2)="15",LEFT(TH!M3546,2)="15"),TK!$E$7=TH!F3546),"x","")</f>
        <v/>
      </c>
      <c r="X3546" s="525" t="str">
        <f>IF(AND('341-CT'!$E$9=H3546,OR(LEFT(L3546,3)=$X$7,LEFT(M3546,3)=$X$7)),"x","")</f>
        <v/>
      </c>
      <c r="Y3546" s="525" t="str">
        <f>IF(OR(TH!L3546=TH!$Y$7,M3546=TH!$Y$7),"x","")</f>
        <v/>
      </c>
      <c r="Z3546" s="525" t="str">
        <f>IF(AND(B3546&lt;=NKC!$N$8,B3546&gt;=NKC!$M$8),"x","")</f>
        <v/>
      </c>
      <c r="AA3546" s="535"/>
      <c r="AB3546" s="536"/>
      <c r="AC3546" s="536" t="str">
        <f>VLOOKUP(F3546,NXT!$B$12:$B$686,1,0)</f>
        <v>Thùng 54x54x60</v>
      </c>
    </row>
    <row r="3547" spans="1:30" s="503" customFormat="1" ht="15.75" customHeight="1">
      <c r="A3547" s="517" t="str">
        <f>IF(B3547&lt;&gt;"",IF(AND(B3547&gt;=_TM1,B3547&lt;=_TM2,OR(TH!L3547="1111",TH!M3547="1111")),TH!D3547,""),"")</f>
        <v/>
      </c>
      <c r="B3547" s="531">
        <f t="shared" si="374"/>
        <v>7</v>
      </c>
      <c r="C3547" s="315">
        <f t="shared" si="375"/>
        <v>42947</v>
      </c>
      <c r="D3547" s="544" t="s">
        <v>1181</v>
      </c>
      <c r="E3547" s="315">
        <v>42947</v>
      </c>
      <c r="F3547" s="250" t="s">
        <v>1395</v>
      </c>
      <c r="G3547" s="314" t="s">
        <v>1372</v>
      </c>
      <c r="H3547" s="473" t="s">
        <v>284</v>
      </c>
      <c r="I3547" s="307">
        <v>30</v>
      </c>
      <c r="J3547" s="307">
        <v>53295</v>
      </c>
      <c r="K3547" s="532">
        <f t="shared" si="376"/>
        <v>1598850</v>
      </c>
      <c r="L3547" s="534" t="s">
        <v>223</v>
      </c>
      <c r="M3547" s="534" t="s">
        <v>162</v>
      </c>
      <c r="N3547" s="525" t="str">
        <f>IF(AND('331-CT'!$E$7=TH!H3547,OR(L3547="331",M3547="331")),"331",IF(AND(OR(L3547="131",M3547="131"),H3547='131-CT'!$E$7),"131",""))</f>
        <v/>
      </c>
      <c r="O3547" s="525" t="str">
        <f>IF(AND($B3547&gt;='111'!$N$11,$B3547&lt;='111'!$O$11,OR($L3547=$O$7,$M3547=$O$7)),"x","")</f>
        <v/>
      </c>
      <c r="P3547" s="525" t="str">
        <f>IF(AND($L3547=$O$7,$B3547&lt;'111'!$N$11),"x","")</f>
        <v/>
      </c>
      <c r="Q3547" s="525" t="str">
        <f>IF(AND($M3547=$O$7,$B3547&lt;'111'!$N$11),"x","")</f>
        <v/>
      </c>
      <c r="R3547" s="525" t="str">
        <f>IF(ISERROR(FIND('112'!$M$9,G3547,1)),"",IF((AND(FIND('112'!$M$9,G3547,1)&gt;=1,$B3547&gt;='112'!$N$8,$B3547&lt;='112'!$O$8,OR($L3547='112'!$I$6,$M3547='112'!$I$6))),"x",""))</f>
        <v/>
      </c>
      <c r="S3547" s="525" t="str">
        <f>IF(ISERROR(FIND('112'!$M$9,G3547,1)),"",IF((AND(LEFT(G3547,2)=LEFT('112'!$M$9,2),B3547&lt;'112'!$N$8,$L3547='112'!$I$6)),"x",""))</f>
        <v/>
      </c>
      <c r="T3547" s="525" t="str">
        <f>IF(ISERROR(FIND('112'!$M$9,G3547,1)),"",IF((AND(RIGHT(G3547,2)=RIGHT('112'!$M$9,2),B3547&lt;'112'!$N$8,$M3547='112'!$I$6)),"x",""))</f>
        <v/>
      </c>
      <c r="U3547" s="525" t="str">
        <f>IF(AND(B3547&gt;='IN-NX'!$P$3,B3547&lt;='IN-NX'!$Q$3,'IN-NX'!$D$7=D3547,OR(LEFT(L3547,2)="15",AND(LEFT(M3547,2)&lt;&gt;"15",LEFT(M3547,2)&lt;&gt;"33"))),"x","")</f>
        <v/>
      </c>
      <c r="V3547" s="525" t="str">
        <f>IF(AND(OR(LEFT(TH!L3547,2)="15",LEFT(TH!M3547,2)="15"),'152-CT'!$J$8=TH!F3547),"x","")</f>
        <v/>
      </c>
      <c r="W3547" s="525" t="str">
        <f>IF(AND(OR(LEFT(TH!L3547,2)="15",LEFT(TH!M3547,2)="15"),TK!$E$7=TH!F3547),"x","")</f>
        <v/>
      </c>
      <c r="X3547" s="525" t="str">
        <f>IF(AND('341-CT'!$E$9=H3547,OR(LEFT(L3547,3)=$X$7,LEFT(M3547,3)=$X$7)),"x","")</f>
        <v/>
      </c>
      <c r="Y3547" s="525" t="str">
        <f>IF(OR(TH!L3547=TH!$Y$7,M3547=TH!$Y$7),"x","")</f>
        <v/>
      </c>
      <c r="Z3547" s="525" t="str">
        <f>IF(AND(B3547&lt;=NKC!$N$8,B3547&gt;=NKC!$M$8),"x","")</f>
        <v/>
      </c>
      <c r="AA3547" s="535"/>
      <c r="AC3547" s="536" t="str">
        <f>VLOOKUP(F3547,NXT!$B$12:$B$686,1,0)</f>
        <v>Thùng 52x52x61</v>
      </c>
    </row>
    <row r="3548" spans="1:30" s="503" customFormat="1" ht="15.75" customHeight="1">
      <c r="A3548" s="517" t="str">
        <f>IF(B3548&lt;&gt;"",IF(AND(B3548&gt;=_TM1,B3548&lt;=_TM2,OR(TH!L3548="1111",TH!M3548="1111")),TH!D3548,""),"")</f>
        <v/>
      </c>
      <c r="B3548" s="531">
        <f t="shared" si="374"/>
        <v>7</v>
      </c>
      <c r="C3548" s="315">
        <f t="shared" si="375"/>
        <v>42947</v>
      </c>
      <c r="D3548" s="544" t="s">
        <v>1181</v>
      </c>
      <c r="E3548" s="315">
        <v>42947</v>
      </c>
      <c r="F3548" s="250" t="s">
        <v>736</v>
      </c>
      <c r="G3548" s="314" t="s">
        <v>1372</v>
      </c>
      <c r="H3548" s="473" t="s">
        <v>284</v>
      </c>
      <c r="I3548" s="307">
        <v>6</v>
      </c>
      <c r="J3548" s="307">
        <v>83764</v>
      </c>
      <c r="K3548" s="532">
        <f t="shared" si="376"/>
        <v>502584</v>
      </c>
      <c r="L3548" s="534" t="s">
        <v>223</v>
      </c>
      <c r="M3548" s="534" t="s">
        <v>162</v>
      </c>
      <c r="N3548" s="525" t="str">
        <f>IF(AND('331-CT'!$E$7=TH!H3548,OR(L3548="331",M3548="331")),"331",IF(AND(OR(L3548="131",M3548="131"),H3548='131-CT'!$E$7),"131",""))</f>
        <v/>
      </c>
      <c r="O3548" s="525" t="str">
        <f>IF(AND($B3548&gt;='111'!$N$11,$B3548&lt;='111'!$O$11,OR($L3548=$O$7,$M3548=$O$7)),"x","")</f>
        <v/>
      </c>
      <c r="P3548" s="525" t="str">
        <f>IF(AND($L3548=$O$7,$B3548&lt;'111'!$N$11),"x","")</f>
        <v/>
      </c>
      <c r="Q3548" s="525" t="str">
        <f>IF(AND($M3548=$O$7,$B3548&lt;'111'!$N$11),"x","")</f>
        <v/>
      </c>
      <c r="R3548" s="525" t="str">
        <f>IF(ISERROR(FIND('112'!$M$9,G3548,1)),"",IF((AND(FIND('112'!$M$9,G3548,1)&gt;=1,$B3548&gt;='112'!$N$8,$B3548&lt;='112'!$O$8,OR($L3548='112'!$I$6,$M3548='112'!$I$6))),"x",""))</f>
        <v/>
      </c>
      <c r="S3548" s="525" t="str">
        <f>IF(ISERROR(FIND('112'!$M$9,G3548,1)),"",IF((AND(LEFT(G3548,2)=LEFT('112'!$M$9,2),B3548&lt;'112'!$N$8,$L3548='112'!$I$6)),"x",""))</f>
        <v/>
      </c>
      <c r="T3548" s="525" t="str">
        <f>IF(ISERROR(FIND('112'!$M$9,G3548,1)),"",IF((AND(RIGHT(G3548,2)=RIGHT('112'!$M$9,2),B3548&lt;'112'!$N$8,$M3548='112'!$I$6)),"x",""))</f>
        <v/>
      </c>
      <c r="U3548" s="525" t="str">
        <f>IF(AND(B3548&gt;='IN-NX'!$P$3,B3548&lt;='IN-NX'!$Q$3,'IN-NX'!$D$7=D3548,OR(LEFT(L3548,2)="15",AND(LEFT(M3548,2)&lt;&gt;"15",LEFT(M3548,2)&lt;&gt;"33"))),"x","")</f>
        <v/>
      </c>
      <c r="V3548" s="525" t="str">
        <f>IF(AND(OR(LEFT(TH!L3548,2)="15",LEFT(TH!M3548,2)="15"),'152-CT'!$J$8=TH!F3548),"x","")</f>
        <v/>
      </c>
      <c r="W3548" s="525" t="str">
        <f>IF(AND(OR(LEFT(TH!L3548,2)="15",LEFT(TH!M3548,2)="15"),TK!$E$7=TH!F3548),"x","")</f>
        <v/>
      </c>
      <c r="X3548" s="525" t="str">
        <f>IF(AND('341-CT'!$E$9=H3548,OR(LEFT(L3548,3)=$X$7,LEFT(M3548,3)=$X$7)),"x","")</f>
        <v/>
      </c>
      <c r="Y3548" s="525" t="str">
        <f>IF(OR(TH!L3548=TH!$Y$7,M3548=TH!$Y$7),"x","")</f>
        <v/>
      </c>
      <c r="Z3548" s="525" t="str">
        <f>IF(AND(B3548&lt;=NKC!$N$8,B3548&gt;=NKC!$M$8),"x","")</f>
        <v/>
      </c>
      <c r="AA3548" s="535"/>
      <c r="AB3548" s="536"/>
      <c r="AC3548" s="536" t="str">
        <f>VLOOKUP(F3548,NXT!$B$12:$B$686,1,0)</f>
        <v>Thùng 72x72x52</v>
      </c>
    </row>
    <row r="3549" spans="1:30" s="503" customFormat="1" ht="15.75" customHeight="1">
      <c r="A3549" s="517" t="str">
        <f>IF(B3549&lt;&gt;"",IF(AND(B3549&gt;=_TM1,B3549&lt;=_TM2,OR(TH!L3549="1111",TH!M3549="1111")),TH!D3549,""),"")</f>
        <v/>
      </c>
      <c r="B3549" s="531">
        <f t="shared" si="364"/>
        <v>7</v>
      </c>
      <c r="C3549" s="315">
        <f t="shared" si="367"/>
        <v>42947</v>
      </c>
      <c r="D3549" s="544" t="s">
        <v>1181</v>
      </c>
      <c r="E3549" s="315">
        <v>42947</v>
      </c>
      <c r="F3549" s="250" t="s">
        <v>733</v>
      </c>
      <c r="G3549" s="314" t="s">
        <v>1372</v>
      </c>
      <c r="H3549" s="473" t="s">
        <v>284</v>
      </c>
      <c r="I3549" s="307">
        <v>40</v>
      </c>
      <c r="J3549" s="307">
        <v>45394</v>
      </c>
      <c r="K3549" s="532">
        <f t="shared" ref="K3549:K3553" si="377">ROUND(I3549*J3549,0)</f>
        <v>1815760</v>
      </c>
      <c r="L3549" s="534" t="s">
        <v>223</v>
      </c>
      <c r="M3549" s="534" t="s">
        <v>162</v>
      </c>
      <c r="N3549" s="525" t="str">
        <f>IF(AND('331-CT'!$E$7=TH!H3549,OR(L3549="331",M3549="331")),"331",IF(AND(OR(L3549="131",M3549="131"),H3549='131-CT'!$E$7),"131",""))</f>
        <v/>
      </c>
      <c r="O3549" s="525" t="str">
        <f>IF(AND($B3549&gt;='111'!$N$11,$B3549&lt;='111'!$O$11,OR($L3549=$O$7,$M3549=$O$7)),"x","")</f>
        <v/>
      </c>
      <c r="P3549" s="525" t="str">
        <f>IF(AND($L3549=$O$7,$B3549&lt;'111'!$N$11),"x","")</f>
        <v/>
      </c>
      <c r="Q3549" s="525" t="str">
        <f>IF(AND($M3549=$O$7,$B3549&lt;'111'!$N$11),"x","")</f>
        <v/>
      </c>
      <c r="R3549" s="525" t="str">
        <f>IF(ISERROR(FIND('112'!$M$9,G3549,1)),"",IF((AND(FIND('112'!$M$9,G3549,1)&gt;=1,$B3549&gt;='112'!$N$8,$B3549&lt;='112'!$O$8,OR($L3549='112'!$I$6,$M3549='112'!$I$6))),"x",""))</f>
        <v/>
      </c>
      <c r="S3549" s="525" t="str">
        <f>IF(ISERROR(FIND('112'!$M$9,G3549,1)),"",IF((AND(LEFT(G3549,2)=LEFT('112'!$M$9,2),B3549&lt;'112'!$N$8,$L3549='112'!$I$6)),"x",""))</f>
        <v/>
      </c>
      <c r="T3549" s="525" t="str">
        <f>IF(ISERROR(FIND('112'!$M$9,G3549,1)),"",IF((AND(RIGHT(G3549,2)=RIGHT('112'!$M$9,2),B3549&lt;'112'!$N$8,$M3549='112'!$I$6)),"x",""))</f>
        <v/>
      </c>
      <c r="U3549" s="525" t="str">
        <f>IF(AND(B3549&gt;='IN-NX'!$P$3,B3549&lt;='IN-NX'!$Q$3,'IN-NX'!$D$7=D3549,OR(LEFT(L3549,2)="15",AND(LEFT(M3549,2)&lt;&gt;"15",LEFT(M3549,2)&lt;&gt;"33"))),"x","")</f>
        <v/>
      </c>
      <c r="V3549" s="525" t="str">
        <f>IF(AND(OR(LEFT(TH!L3549,2)="15",LEFT(TH!M3549,2)="15"),'152-CT'!$J$8=TH!F3549),"x","")</f>
        <v/>
      </c>
      <c r="W3549" s="525" t="str">
        <f>IF(AND(OR(LEFT(TH!L3549,2)="15",LEFT(TH!M3549,2)="15"),TK!$E$7=TH!F3549),"x","")</f>
        <v/>
      </c>
      <c r="X3549" s="525" t="str">
        <f>IF(AND('341-CT'!$E$9=H3549,OR(LEFT(L3549,3)=$X$7,LEFT(M3549,3)=$X$7)),"x","")</f>
        <v/>
      </c>
      <c r="Y3549" s="525" t="str">
        <f>IF(OR(TH!L3549=TH!$Y$7,M3549=TH!$Y$7),"x","")</f>
        <v/>
      </c>
      <c r="Z3549" s="525" t="str">
        <f>IF(AND(B3549&lt;=NKC!$N$8,B3549&gt;=NKC!$M$8),"x","")</f>
        <v/>
      </c>
      <c r="AA3549" s="535"/>
      <c r="AB3549" s="536"/>
      <c r="AC3549" s="536" t="str">
        <f>VLOOKUP(F3549,NXT!$B$12:$B$686,1,0)</f>
        <v>Thùng 52x47x59</v>
      </c>
    </row>
    <row r="3550" spans="1:30" s="503" customFormat="1" ht="15.75" customHeight="1">
      <c r="A3550" s="517" t="str">
        <f>IF(B3550&lt;&gt;"",IF(AND(B3550&gt;=_TM1,B3550&lt;=_TM2,OR(TH!L3550="1111",TH!M3550="1111")),TH!D3550,""),"")</f>
        <v/>
      </c>
      <c r="B3550" s="531">
        <f t="shared" si="364"/>
        <v>7</v>
      </c>
      <c r="C3550" s="315">
        <f t="shared" si="367"/>
        <v>42947</v>
      </c>
      <c r="D3550" s="544" t="s">
        <v>1181</v>
      </c>
      <c r="E3550" s="315">
        <v>42947</v>
      </c>
      <c r="F3550" s="250" t="s">
        <v>733</v>
      </c>
      <c r="G3550" s="314" t="s">
        <v>1372</v>
      </c>
      <c r="H3550" s="473" t="s">
        <v>284</v>
      </c>
      <c r="I3550" s="307">
        <v>12</v>
      </c>
      <c r="J3550" s="307">
        <v>20895</v>
      </c>
      <c r="K3550" s="532">
        <f t="shared" si="377"/>
        <v>250740</v>
      </c>
      <c r="L3550" s="534" t="s">
        <v>223</v>
      </c>
      <c r="M3550" s="534" t="s">
        <v>162</v>
      </c>
      <c r="N3550" s="525" t="str">
        <f>IF(AND('331-CT'!$E$7=TH!H3550,OR(L3550="331",M3550="331")),"331",IF(AND(OR(L3550="131",M3550="131"),H3550='131-CT'!$E$7),"131",""))</f>
        <v/>
      </c>
      <c r="O3550" s="525" t="str">
        <f>IF(AND($B3550&gt;='111'!$N$11,$B3550&lt;='111'!$O$11,OR($L3550=$O$7,$M3550=$O$7)),"x","")</f>
        <v/>
      </c>
      <c r="P3550" s="525" t="str">
        <f>IF(AND($L3550=$O$7,$B3550&lt;'111'!$N$11),"x","")</f>
        <v/>
      </c>
      <c r="Q3550" s="525" t="str">
        <f>IF(AND($M3550=$O$7,$B3550&lt;'111'!$N$11),"x","")</f>
        <v/>
      </c>
      <c r="R3550" s="525" t="str">
        <f>IF(ISERROR(FIND('112'!$M$9,G3550,1)),"",IF((AND(FIND('112'!$M$9,G3550,1)&gt;=1,$B3550&gt;='112'!$N$8,$B3550&lt;='112'!$O$8,OR($L3550='112'!$I$6,$M3550='112'!$I$6))),"x",""))</f>
        <v/>
      </c>
      <c r="S3550" s="525" t="str">
        <f>IF(ISERROR(FIND('112'!$M$9,G3550,1)),"",IF((AND(LEFT(G3550,2)=LEFT('112'!$M$9,2),B3550&lt;'112'!$N$8,$L3550='112'!$I$6)),"x",""))</f>
        <v/>
      </c>
      <c r="T3550" s="525" t="str">
        <f>IF(ISERROR(FIND('112'!$M$9,G3550,1)),"",IF((AND(RIGHT(G3550,2)=RIGHT('112'!$M$9,2),B3550&lt;'112'!$N$8,$M3550='112'!$I$6)),"x",""))</f>
        <v/>
      </c>
      <c r="U3550" s="525" t="str">
        <f>IF(AND(B3550&gt;='IN-NX'!$P$3,B3550&lt;='IN-NX'!$Q$3,'IN-NX'!$D$7=D3550,OR(LEFT(L3550,2)="15",AND(LEFT(M3550,2)&lt;&gt;"15",LEFT(M3550,2)&lt;&gt;"33"))),"x","")</f>
        <v/>
      </c>
      <c r="V3550" s="525" t="str">
        <f>IF(AND(OR(LEFT(TH!L3550,2)="15",LEFT(TH!M3550,2)="15"),'152-CT'!$J$8=TH!F3550),"x","")</f>
        <v/>
      </c>
      <c r="W3550" s="525" t="str">
        <f>IF(AND(OR(LEFT(TH!L3550,2)="15",LEFT(TH!M3550,2)="15"),TK!$E$7=TH!F3550),"x","")</f>
        <v/>
      </c>
      <c r="X3550" s="525" t="str">
        <f>IF(AND('341-CT'!$E$9=H3550,OR(LEFT(L3550,3)=$X$7,LEFT(M3550,3)=$X$7)),"x","")</f>
        <v/>
      </c>
      <c r="Y3550" s="525" t="str">
        <f>IF(OR(TH!L3550=TH!$Y$7,M3550=TH!$Y$7),"x","")</f>
        <v/>
      </c>
      <c r="Z3550" s="525" t="str">
        <f>IF(AND(B3550&lt;=NKC!$N$8,B3550&gt;=NKC!$M$8),"x","")</f>
        <v/>
      </c>
      <c r="AA3550" s="535"/>
      <c r="AC3550" s="536" t="str">
        <f>VLOOKUP(F3550,NXT!$B$12:$B$686,1,0)</f>
        <v>Thùng 52x47x59</v>
      </c>
    </row>
    <row r="3551" spans="1:30" s="503" customFormat="1" ht="15.75" customHeight="1">
      <c r="A3551" s="517" t="str">
        <f>IF(B3551&lt;&gt;"",IF(AND(B3551&gt;=_TM1,B3551&lt;=_TM2,OR(TH!L3551="1111",TH!M3551="1111")),TH!D3551,""),"")</f>
        <v/>
      </c>
      <c r="B3551" s="531">
        <f t="shared" ref="B3551:B3560" si="378">IF(C3551&lt;&gt;"",MONTH(C3551),"")</f>
        <v>7</v>
      </c>
      <c r="C3551" s="315">
        <f t="shared" si="367"/>
        <v>42947</v>
      </c>
      <c r="D3551" s="544" t="s">
        <v>1181</v>
      </c>
      <c r="E3551" s="315">
        <v>42947</v>
      </c>
      <c r="F3551" s="250" t="s">
        <v>1169</v>
      </c>
      <c r="G3551" s="314" t="s">
        <v>1372</v>
      </c>
      <c r="H3551" s="473" t="s">
        <v>284</v>
      </c>
      <c r="I3551" s="307">
        <v>24</v>
      </c>
      <c r="J3551" s="307">
        <v>72238</v>
      </c>
      <c r="K3551" s="532">
        <f t="shared" si="377"/>
        <v>1733712</v>
      </c>
      <c r="L3551" s="534" t="s">
        <v>223</v>
      </c>
      <c r="M3551" s="534" t="s">
        <v>162</v>
      </c>
      <c r="N3551" s="525" t="str">
        <f>IF(AND('331-CT'!$E$7=TH!H3551,OR(L3551="331",M3551="331")),"331",IF(AND(OR(L3551="131",M3551="131"),H3551='131-CT'!$E$7),"131",""))</f>
        <v/>
      </c>
      <c r="O3551" s="525" t="str">
        <f>IF(AND($B3551&gt;='111'!$N$11,$B3551&lt;='111'!$O$11,OR($L3551=$O$7,$M3551=$O$7)),"x","")</f>
        <v/>
      </c>
      <c r="P3551" s="525" t="str">
        <f>IF(AND($L3551=$O$7,$B3551&lt;'111'!$N$11),"x","")</f>
        <v/>
      </c>
      <c r="Q3551" s="525" t="str">
        <f>IF(AND($M3551=$O$7,$B3551&lt;'111'!$N$11),"x","")</f>
        <v/>
      </c>
      <c r="R3551" s="525" t="str">
        <f>IF(ISERROR(FIND('112'!$M$9,G3551,1)),"",IF((AND(FIND('112'!$M$9,G3551,1)&gt;=1,$B3551&gt;='112'!$N$8,$B3551&lt;='112'!$O$8,OR($L3551='112'!$I$6,$M3551='112'!$I$6))),"x",""))</f>
        <v/>
      </c>
      <c r="S3551" s="525" t="str">
        <f>IF(ISERROR(FIND('112'!$M$9,G3551,1)),"",IF((AND(LEFT(G3551,2)=LEFT('112'!$M$9,2),B3551&lt;'112'!$N$8,$L3551='112'!$I$6)),"x",""))</f>
        <v/>
      </c>
      <c r="T3551" s="525" t="str">
        <f>IF(ISERROR(FIND('112'!$M$9,G3551,1)),"",IF((AND(RIGHT(G3551,2)=RIGHT('112'!$M$9,2),B3551&lt;'112'!$N$8,$M3551='112'!$I$6)),"x",""))</f>
        <v/>
      </c>
      <c r="U3551" s="525" t="str">
        <f>IF(AND(B3551&gt;='IN-NX'!$P$3,B3551&lt;='IN-NX'!$Q$3,'IN-NX'!$D$7=D3551,OR(LEFT(L3551,2)="15",AND(LEFT(M3551,2)&lt;&gt;"15",LEFT(M3551,2)&lt;&gt;"33"))),"x","")</f>
        <v/>
      </c>
      <c r="V3551" s="525" t="str">
        <f>IF(AND(OR(LEFT(TH!L3551,2)="15",LEFT(TH!M3551,2)="15"),'152-CT'!$J$8=TH!F3551),"x","")</f>
        <v/>
      </c>
      <c r="W3551" s="525" t="str">
        <f>IF(AND(OR(LEFT(TH!L3551,2)="15",LEFT(TH!M3551,2)="15"),TK!$E$7=TH!F3551),"x","")</f>
        <v/>
      </c>
      <c r="X3551" s="525" t="str">
        <f>IF(AND('341-CT'!$E$9=H3551,OR(LEFT(L3551,3)=$X$7,LEFT(M3551,3)=$X$7)),"x","")</f>
        <v/>
      </c>
      <c r="Y3551" s="525" t="str">
        <f>IF(OR(TH!L3551=TH!$Y$7,M3551=TH!$Y$7),"x","")</f>
        <v/>
      </c>
      <c r="Z3551" s="525" t="str">
        <f>IF(AND(B3551&lt;=NKC!$N$8,B3551&gt;=NKC!$M$8),"x","")</f>
        <v/>
      </c>
      <c r="AA3551" s="535"/>
      <c r="AB3551" s="536"/>
      <c r="AC3551" s="536" t="str">
        <f>VLOOKUP(F3551,NXT!$B$12:$B$686,1,0)</f>
        <v>Thùng 62x62x68</v>
      </c>
      <c r="AD3551" s="536"/>
    </row>
    <row r="3552" spans="1:30" s="503" customFormat="1" ht="15.75" customHeight="1">
      <c r="A3552" s="517" t="str">
        <f>IF(B3552&lt;&gt;"",IF(AND(B3552&gt;=_TM1,B3552&lt;=_TM2,OR(TH!L3552="1111",TH!M3552="1111")),TH!D3552,""),"")</f>
        <v/>
      </c>
      <c r="B3552" s="531">
        <f t="shared" si="378"/>
        <v>7</v>
      </c>
      <c r="C3552" s="315">
        <f t="shared" si="367"/>
        <v>42947</v>
      </c>
      <c r="D3552" s="544" t="s">
        <v>1181</v>
      </c>
      <c r="E3552" s="315">
        <v>42947</v>
      </c>
      <c r="F3552" s="250" t="s">
        <v>733</v>
      </c>
      <c r="G3552" s="314" t="s">
        <v>1372</v>
      </c>
      <c r="H3552" s="473" t="s">
        <v>284</v>
      </c>
      <c r="I3552" s="307">
        <v>8</v>
      </c>
      <c r="J3552" s="307">
        <v>50244</v>
      </c>
      <c r="K3552" s="532">
        <f t="shared" si="377"/>
        <v>401952</v>
      </c>
      <c r="L3552" s="534" t="s">
        <v>223</v>
      </c>
      <c r="M3552" s="534" t="s">
        <v>162</v>
      </c>
      <c r="N3552" s="525" t="str">
        <f>IF(AND('331-CT'!$E$7=TH!H3552,OR(L3552="331",M3552="331")),"331",IF(AND(OR(L3552="131",M3552="131"),H3552='131-CT'!$E$7),"131",""))</f>
        <v/>
      </c>
      <c r="O3552" s="525" t="str">
        <f>IF(AND($B3552&gt;='111'!$N$11,$B3552&lt;='111'!$O$11,OR($L3552=$O$7,$M3552=$O$7)),"x","")</f>
        <v/>
      </c>
      <c r="P3552" s="525" t="str">
        <f>IF(AND($L3552=$O$7,$B3552&lt;'111'!$N$11),"x","")</f>
        <v/>
      </c>
      <c r="Q3552" s="525" t="str">
        <f>IF(AND($M3552=$O$7,$B3552&lt;'111'!$N$11),"x","")</f>
        <v/>
      </c>
      <c r="R3552" s="525" t="str">
        <f>IF(ISERROR(FIND('112'!$M$9,G3552,1)),"",IF((AND(FIND('112'!$M$9,G3552,1)&gt;=1,$B3552&gt;='112'!$N$8,$B3552&lt;='112'!$O$8,OR($L3552='112'!$I$6,$M3552='112'!$I$6))),"x",""))</f>
        <v/>
      </c>
      <c r="S3552" s="525" t="str">
        <f>IF(ISERROR(FIND('112'!$M$9,G3552,1)),"",IF((AND(LEFT(G3552,2)=LEFT('112'!$M$9,2),B3552&lt;'112'!$N$8,$L3552='112'!$I$6)),"x",""))</f>
        <v/>
      </c>
      <c r="T3552" s="525" t="str">
        <f>IF(ISERROR(FIND('112'!$M$9,G3552,1)),"",IF((AND(RIGHT(G3552,2)=RIGHT('112'!$M$9,2),B3552&lt;'112'!$N$8,$M3552='112'!$I$6)),"x",""))</f>
        <v/>
      </c>
      <c r="U3552" s="525" t="str">
        <f>IF(AND(B3552&gt;='IN-NX'!$P$3,B3552&lt;='IN-NX'!$Q$3,'IN-NX'!$D$7=D3552,OR(LEFT(L3552,2)="15",AND(LEFT(M3552,2)&lt;&gt;"15",LEFT(M3552,2)&lt;&gt;"33"))),"x","")</f>
        <v/>
      </c>
      <c r="V3552" s="525" t="str">
        <f>IF(AND(OR(LEFT(TH!L3552,2)="15",LEFT(TH!M3552,2)="15"),'152-CT'!$J$8=TH!F3552),"x","")</f>
        <v/>
      </c>
      <c r="W3552" s="525" t="str">
        <f>IF(AND(OR(LEFT(TH!L3552,2)="15",LEFT(TH!M3552,2)="15"),TK!$E$7=TH!F3552),"x","")</f>
        <v/>
      </c>
      <c r="X3552" s="525" t="str">
        <f>IF(AND('341-CT'!$E$9=H3552,OR(LEFT(L3552,3)=$X$7,LEFT(M3552,3)=$X$7)),"x","")</f>
        <v/>
      </c>
      <c r="Y3552" s="525" t="str">
        <f>IF(OR(TH!L3552=TH!$Y$7,M3552=TH!$Y$7),"x","")</f>
        <v/>
      </c>
      <c r="Z3552" s="525" t="str">
        <f>IF(AND(B3552&lt;=NKC!$N$8,B3552&gt;=NKC!$M$8),"x","")</f>
        <v/>
      </c>
      <c r="AA3552" s="535"/>
      <c r="AB3552" s="536"/>
      <c r="AC3552" s="536" t="str">
        <f>VLOOKUP(F3552,NXT!$B$12:$B$686,1,0)</f>
        <v>Thùng 52x47x59</v>
      </c>
    </row>
    <row r="3553" spans="1:30" s="503" customFormat="1" ht="15.75" customHeight="1">
      <c r="A3553" s="517" t="str">
        <f>IF(B3553&lt;&gt;"",IF(AND(B3553&gt;=_TM1,B3553&lt;=_TM2,OR(TH!L3553="1111",TH!M3553="1111")),TH!D3553,""),"")</f>
        <v/>
      </c>
      <c r="B3553" s="531">
        <f t="shared" si="378"/>
        <v>7</v>
      </c>
      <c r="C3553" s="315">
        <f t="shared" ref="C3553:C3560" si="379">E3553</f>
        <v>42947</v>
      </c>
      <c r="D3553" s="544" t="s">
        <v>1181</v>
      </c>
      <c r="E3553" s="315">
        <v>42947</v>
      </c>
      <c r="F3553" s="250" t="s">
        <v>1162</v>
      </c>
      <c r="G3553" s="314" t="s">
        <v>1372</v>
      </c>
      <c r="H3553" s="473" t="s">
        <v>284</v>
      </c>
      <c r="I3553" s="307">
        <v>10</v>
      </c>
      <c r="J3553" s="307">
        <v>205185</v>
      </c>
      <c r="K3553" s="532">
        <f t="shared" si="377"/>
        <v>2051850</v>
      </c>
      <c r="L3553" s="534" t="s">
        <v>223</v>
      </c>
      <c r="M3553" s="534" t="s">
        <v>162</v>
      </c>
      <c r="N3553" s="525" t="str">
        <f>IF(AND('331-CT'!$E$7=TH!H3553,OR(L3553="331",M3553="331")),"331",IF(AND(OR(L3553="131",M3553="131"),H3553='131-CT'!$E$7),"131",""))</f>
        <v/>
      </c>
      <c r="O3553" s="525" t="str">
        <f>IF(AND($B3553&gt;='111'!$N$11,$B3553&lt;='111'!$O$11,OR($L3553=$O$7,$M3553=$O$7)),"x","")</f>
        <v/>
      </c>
      <c r="P3553" s="525" t="str">
        <f>IF(AND($L3553=$O$7,$B3553&lt;'111'!$N$11),"x","")</f>
        <v/>
      </c>
      <c r="Q3553" s="525" t="str">
        <f>IF(AND($M3553=$O$7,$B3553&lt;'111'!$N$11),"x","")</f>
        <v/>
      </c>
      <c r="R3553" s="525" t="str">
        <f>IF(ISERROR(FIND('112'!$M$9,G3553,1)),"",IF((AND(FIND('112'!$M$9,G3553,1)&gt;=1,$B3553&gt;='112'!$N$8,$B3553&lt;='112'!$O$8,OR($L3553='112'!$I$6,$M3553='112'!$I$6))),"x",""))</f>
        <v/>
      </c>
      <c r="S3553" s="525" t="str">
        <f>IF(ISERROR(FIND('112'!$M$9,G3553,1)),"",IF((AND(LEFT(G3553,2)=LEFT('112'!$M$9,2),B3553&lt;'112'!$N$8,$L3553='112'!$I$6)),"x",""))</f>
        <v/>
      </c>
      <c r="T3553" s="525" t="str">
        <f>IF(ISERROR(FIND('112'!$M$9,G3553,1)),"",IF((AND(RIGHT(G3553,2)=RIGHT('112'!$M$9,2),B3553&lt;'112'!$N$8,$M3553='112'!$I$6)),"x",""))</f>
        <v/>
      </c>
      <c r="U3553" s="525" t="str">
        <f>IF(AND(B3553&gt;='IN-NX'!$P$3,B3553&lt;='IN-NX'!$Q$3,'IN-NX'!$D$7=D3553,OR(LEFT(L3553,2)="15",AND(LEFT(M3553,2)&lt;&gt;"15",LEFT(M3553,2)&lt;&gt;"33"))),"x","")</f>
        <v/>
      </c>
      <c r="V3553" s="525" t="str">
        <f>IF(AND(OR(LEFT(TH!L3553,2)="15",LEFT(TH!M3553,2)="15"),'152-CT'!$J$8=TH!F3553),"x","")</f>
        <v/>
      </c>
      <c r="W3553" s="525" t="str">
        <f>IF(AND(OR(LEFT(TH!L3553,2)="15",LEFT(TH!M3553,2)="15"),TK!$E$7=TH!F3553),"x","")</f>
        <v/>
      </c>
      <c r="X3553" s="525" t="str">
        <f>IF(AND('341-CT'!$E$9=H3553,OR(LEFT(L3553,3)=$X$7,LEFT(M3553,3)=$X$7)),"x","")</f>
        <v/>
      </c>
      <c r="Y3553" s="525" t="str">
        <f>IF(OR(TH!L3553=TH!$Y$7,M3553=TH!$Y$7),"x","")</f>
        <v/>
      </c>
      <c r="Z3553" s="525" t="str">
        <f>IF(AND(B3553&lt;=NKC!$N$8,B3553&gt;=NKC!$M$8),"x","")</f>
        <v/>
      </c>
      <c r="AA3553" s="535"/>
      <c r="AB3553" s="536"/>
      <c r="AC3553" s="536" t="str">
        <f>VLOOKUP(F3553,NXT!$B$12:$B$686,1,0)</f>
        <v>Thùng 212x112x28</v>
      </c>
    </row>
    <row r="3554" spans="1:30" s="503" customFormat="1" ht="15.75" customHeight="1">
      <c r="A3554" s="517" t="str">
        <f>IF(B3554&lt;&gt;"",IF(AND(B3554&gt;=_TM1,B3554&lt;=_TM2,OR(TH!L3554="1111",TH!M3554="1111")),TH!D3554,""),"")</f>
        <v/>
      </c>
      <c r="B3554" s="531">
        <f t="shared" si="378"/>
        <v>7</v>
      </c>
      <c r="C3554" s="315">
        <f t="shared" si="379"/>
        <v>42947</v>
      </c>
      <c r="D3554" s="544" t="s">
        <v>1181</v>
      </c>
      <c r="E3554" s="315">
        <v>42947</v>
      </c>
      <c r="F3554" s="249" t="s">
        <v>494</v>
      </c>
      <c r="G3554" s="314" t="s">
        <v>1372</v>
      </c>
      <c r="H3554" s="473" t="s">
        <v>284</v>
      </c>
      <c r="I3554" s="307"/>
      <c r="J3554" s="307"/>
      <c r="K3554" s="532">
        <v>5850540</v>
      </c>
      <c r="L3554" s="534" t="s">
        <v>223</v>
      </c>
      <c r="M3554" s="534" t="s">
        <v>259</v>
      </c>
      <c r="N3554" s="525" t="str">
        <f>IF(AND('331-CT'!$E$7=TH!H3554,OR(L3554="331",M3554="331")),"331",IF(AND(OR(L3554="131",M3554="131"),H3554='131-CT'!$E$7),"131",""))</f>
        <v/>
      </c>
      <c r="O3554" s="525" t="str">
        <f>IF(AND($B3554&gt;='111'!$N$11,$B3554&lt;='111'!$O$11,OR($L3554=$O$7,$M3554=$O$7)),"x","")</f>
        <v/>
      </c>
      <c r="P3554" s="525" t="str">
        <f>IF(AND($L3554=$O$7,$B3554&lt;'111'!$N$11),"x","")</f>
        <v/>
      </c>
      <c r="Q3554" s="525" t="str">
        <f>IF(AND($M3554=$O$7,$B3554&lt;'111'!$N$11),"x","")</f>
        <v/>
      </c>
      <c r="R3554" s="525" t="str">
        <f>IF(ISERROR(FIND('112'!$M$9,G3554,1)),"",IF((AND(FIND('112'!$M$9,G3554,1)&gt;=1,$B3554&gt;='112'!$N$8,$B3554&lt;='112'!$O$8,OR($L3554='112'!$I$6,$M3554='112'!$I$6))),"x",""))</f>
        <v/>
      </c>
      <c r="S3554" s="525" t="str">
        <f>IF(ISERROR(FIND('112'!$M$9,G3554,1)),"",IF((AND(LEFT(G3554,2)=LEFT('112'!$M$9,2),B3554&lt;'112'!$N$8,$L3554='112'!$I$6)),"x",""))</f>
        <v/>
      </c>
      <c r="T3554" s="525" t="str">
        <f>IF(ISERROR(FIND('112'!$M$9,G3554,1)),"",IF((AND(RIGHT(G3554,2)=RIGHT('112'!$M$9,2),B3554&lt;'112'!$N$8,$M3554='112'!$I$6)),"x",""))</f>
        <v/>
      </c>
      <c r="U3554" s="525" t="str">
        <f>IF(AND(B3554&gt;='IN-NX'!$P$3,B3554&lt;='IN-NX'!$Q$3,'IN-NX'!$D$7=D3554,OR(LEFT(L3554,2)="15",AND(LEFT(M3554,2)&lt;&gt;"15",LEFT(M3554,2)&lt;&gt;"33"))),"x","")</f>
        <v/>
      </c>
      <c r="V3554" s="525" t="str">
        <f>IF(AND(OR(LEFT(TH!L3554,2)="15",LEFT(TH!M3554,2)="15"),'152-CT'!$J$8=TH!F3554),"x","")</f>
        <v/>
      </c>
      <c r="W3554" s="525" t="str">
        <f>IF(AND(OR(LEFT(TH!L3554,2)="15",LEFT(TH!M3554,2)="15"),TK!$E$7=TH!F3554),"x","")</f>
        <v/>
      </c>
      <c r="X3554" s="525" t="str">
        <f>IF(AND('341-CT'!$E$9=H3554,OR(LEFT(L3554,3)=$X$7,LEFT(M3554,3)=$X$7)),"x","")</f>
        <v/>
      </c>
      <c r="Y3554" s="525" t="str">
        <f>IF(OR(TH!L3554=TH!$Y$7,M3554=TH!$Y$7),"x","")</f>
        <v/>
      </c>
      <c r="Z3554" s="525" t="str">
        <f>IF(AND(B3554&lt;=NKC!$N$8,B3554&gt;=NKC!$M$8),"x","")</f>
        <v/>
      </c>
      <c r="AA3554" s="535"/>
      <c r="AC3554" s="536"/>
    </row>
    <row r="3555" spans="1:30" s="503" customFormat="1" ht="15.75" customHeight="1">
      <c r="A3555" s="517" t="str">
        <f>IF(B3555&lt;&gt;"",IF(AND(B3555&gt;=_TM1,B3555&lt;=_TM2,OR(TH!L3555="1111",TH!M3555="1111")),TH!D3555,""),"")</f>
        <v/>
      </c>
      <c r="B3555" s="531">
        <f t="shared" si="378"/>
        <v>8</v>
      </c>
      <c r="C3555" s="315">
        <f t="shared" si="379"/>
        <v>42949</v>
      </c>
      <c r="D3555" s="544" t="s">
        <v>1181</v>
      </c>
      <c r="E3555" s="288">
        <v>42949</v>
      </c>
      <c r="F3555" s="249" t="s">
        <v>1397</v>
      </c>
      <c r="G3555" s="314" t="s">
        <v>1396</v>
      </c>
      <c r="H3555" s="248" t="s">
        <v>1374</v>
      </c>
      <c r="I3555" s="307">
        <v>240</v>
      </c>
      <c r="J3555" s="307">
        <v>48000</v>
      </c>
      <c r="K3555" s="532">
        <f>ROUND(I3555*J3555,0)</f>
        <v>11520000</v>
      </c>
      <c r="L3555" s="534" t="s">
        <v>223</v>
      </c>
      <c r="M3555" s="534" t="s">
        <v>162</v>
      </c>
      <c r="N3555" s="525" t="str">
        <f>IF(AND('331-CT'!$E$7=TH!H3555,OR(L3555="331",M3555="331")),"331",IF(AND(OR(L3555="131",M3555="131"),H3555='131-CT'!$E$7),"131",""))</f>
        <v/>
      </c>
      <c r="O3555" s="525" t="str">
        <f>IF(AND($B3555&gt;='111'!$N$11,$B3555&lt;='111'!$O$11,OR($L3555=$O$7,$M3555=$O$7)),"x","")</f>
        <v/>
      </c>
      <c r="P3555" s="525" t="str">
        <f>IF(AND($L3555=$O$7,$B3555&lt;'111'!$N$11),"x","")</f>
        <v/>
      </c>
      <c r="Q3555" s="525" t="str">
        <f>IF(AND($M3555=$O$7,$B3555&lt;'111'!$N$11),"x","")</f>
        <v/>
      </c>
      <c r="R3555" s="525" t="str">
        <f>IF(ISERROR(FIND('112'!$M$9,G3555,1)),"",IF((AND(FIND('112'!$M$9,G3555,1)&gt;=1,$B3555&gt;='112'!$N$8,$B3555&lt;='112'!$O$8,OR($L3555='112'!$I$6,$M3555='112'!$I$6))),"x",""))</f>
        <v/>
      </c>
      <c r="S3555" s="525" t="str">
        <f>IF(ISERROR(FIND('112'!$M$9,G3555,1)),"",IF((AND(LEFT(G3555,2)=LEFT('112'!$M$9,2),B3555&lt;'112'!$N$8,$L3555='112'!$I$6)),"x",""))</f>
        <v/>
      </c>
      <c r="T3555" s="525" t="str">
        <f>IF(ISERROR(FIND('112'!$M$9,G3555,1)),"",IF((AND(RIGHT(G3555,2)=RIGHT('112'!$M$9,2),B3555&lt;'112'!$N$8,$M3555='112'!$I$6)),"x",""))</f>
        <v/>
      </c>
      <c r="U3555" s="525" t="str">
        <f>IF(AND(B3555&gt;='IN-NX'!$P$3,B3555&lt;='IN-NX'!$Q$3,'IN-NX'!$D$7=D3555,OR(LEFT(L3555,2)="15",AND(LEFT(M3555,2)&lt;&gt;"15",LEFT(M3555,2)&lt;&gt;"33"))),"x","")</f>
        <v/>
      </c>
      <c r="V3555" s="525" t="str">
        <f>IF(AND(OR(LEFT(TH!L3555,2)="15",LEFT(TH!M3555,2)="15"),'152-CT'!$J$8=TH!F3555),"x","")</f>
        <v/>
      </c>
      <c r="W3555" s="525" t="str">
        <f>IF(AND(OR(LEFT(TH!L3555,2)="15",LEFT(TH!M3555,2)="15"),TK!$E$7=TH!F3555),"x","")</f>
        <v/>
      </c>
      <c r="X3555" s="525" t="str">
        <f>IF(AND('341-CT'!$E$9=H3555,OR(LEFT(L3555,3)=$X$7,LEFT(M3555,3)=$X$7)),"x","")</f>
        <v/>
      </c>
      <c r="Y3555" s="525" t="str">
        <f>IF(OR(TH!L3555=TH!$Y$7,M3555=TH!$Y$7),"x","")</f>
        <v/>
      </c>
      <c r="Z3555" s="525" t="str">
        <f>IF(AND(B3555&lt;=NKC!$N$8,B3555&gt;=NKC!$M$8),"x","")</f>
        <v/>
      </c>
      <c r="AA3555" s="535"/>
      <c r="AC3555" s="536" t="str">
        <f>VLOOKUP(F3555,NXT!$B$12:$B$686,1,0)</f>
        <v>Thùng 100x121x4</v>
      </c>
    </row>
    <row r="3556" spans="1:30" s="503" customFormat="1" ht="15.75" customHeight="1">
      <c r="A3556" s="517" t="str">
        <f>IF(B3556&lt;&gt;"",IF(AND(B3556&gt;=_TM1,B3556&lt;=_TM2,OR(TH!L3556="1111",TH!M3556="1111")),TH!D3556,""),"")</f>
        <v/>
      </c>
      <c r="B3556" s="531">
        <f t="shared" ref="B3556" si="380">IF(C3556&lt;&gt;"",MONTH(C3556),"")</f>
        <v>8</v>
      </c>
      <c r="C3556" s="315">
        <f t="shared" ref="C3556" si="381">E3556</f>
        <v>42949</v>
      </c>
      <c r="D3556" s="544" t="s">
        <v>1181</v>
      </c>
      <c r="E3556" s="288">
        <v>42949</v>
      </c>
      <c r="F3556" s="249" t="s">
        <v>1398</v>
      </c>
      <c r="G3556" s="314" t="s">
        <v>1396</v>
      </c>
      <c r="H3556" s="248" t="s">
        <v>1374</v>
      </c>
      <c r="I3556" s="307">
        <v>360</v>
      </c>
      <c r="J3556" s="307">
        <v>4700</v>
      </c>
      <c r="K3556" s="532">
        <f>ROUND(I3556*J3556,0)</f>
        <v>1692000</v>
      </c>
      <c r="L3556" s="534" t="s">
        <v>223</v>
      </c>
      <c r="M3556" s="534" t="s">
        <v>162</v>
      </c>
      <c r="N3556" s="525" t="str">
        <f>IF(AND('331-CT'!$E$7=TH!H3556,OR(L3556="331",M3556="331")),"331",IF(AND(OR(L3556="131",M3556="131"),H3556='131-CT'!$E$7),"131",""))</f>
        <v/>
      </c>
      <c r="O3556" s="525" t="str">
        <f>IF(AND($B3556&gt;='111'!$N$11,$B3556&lt;='111'!$O$11,OR($L3556=$O$7,$M3556=$O$7)),"x","")</f>
        <v/>
      </c>
      <c r="P3556" s="525" t="str">
        <f>IF(AND($L3556=$O$7,$B3556&lt;'111'!$N$11),"x","")</f>
        <v/>
      </c>
      <c r="Q3556" s="525" t="str">
        <f>IF(AND($M3556=$O$7,$B3556&lt;'111'!$N$11),"x","")</f>
        <v/>
      </c>
      <c r="R3556" s="525" t="str">
        <f>IF(ISERROR(FIND('112'!$M$9,G3556,1)),"",IF((AND(FIND('112'!$M$9,G3556,1)&gt;=1,$B3556&gt;='112'!$N$8,$B3556&lt;='112'!$O$8,OR($L3556='112'!$I$6,$M3556='112'!$I$6))),"x",""))</f>
        <v/>
      </c>
      <c r="S3556" s="525" t="str">
        <f>IF(ISERROR(FIND('112'!$M$9,G3556,1)),"",IF((AND(LEFT(G3556,2)=LEFT('112'!$M$9,2),B3556&lt;'112'!$N$8,$L3556='112'!$I$6)),"x",""))</f>
        <v/>
      </c>
      <c r="T3556" s="525" t="str">
        <f>IF(ISERROR(FIND('112'!$M$9,G3556,1)),"",IF((AND(RIGHT(G3556,2)=RIGHT('112'!$M$9,2),B3556&lt;'112'!$N$8,$M3556='112'!$I$6)),"x",""))</f>
        <v/>
      </c>
      <c r="U3556" s="525" t="str">
        <f>IF(AND(B3556&gt;='IN-NX'!$P$3,B3556&lt;='IN-NX'!$Q$3,'IN-NX'!$D$7=D3556,OR(LEFT(L3556,2)="15",AND(LEFT(M3556,2)&lt;&gt;"15",LEFT(M3556,2)&lt;&gt;"33"))),"x","")</f>
        <v/>
      </c>
      <c r="V3556" s="525" t="str">
        <f>IF(AND(OR(LEFT(TH!L3556,2)="15",LEFT(TH!M3556,2)="15"),'152-CT'!$J$8=TH!F3556),"x","")</f>
        <v/>
      </c>
      <c r="W3556" s="525" t="str">
        <f>IF(AND(OR(LEFT(TH!L3556,2)="15",LEFT(TH!M3556,2)="15"),TK!$E$7=TH!F3556),"x","")</f>
        <v/>
      </c>
      <c r="X3556" s="525" t="str">
        <f>IF(AND('341-CT'!$E$9=H3556,OR(LEFT(L3556,3)=$X$7,LEFT(M3556,3)=$X$7)),"x","")</f>
        <v/>
      </c>
      <c r="Y3556" s="525" t="str">
        <f>IF(OR(TH!L3556=TH!$Y$7,M3556=TH!$Y$7),"x","")</f>
        <v/>
      </c>
      <c r="Z3556" s="525" t="str">
        <f>IF(AND(B3556&lt;=NKC!$N$8,B3556&gt;=NKC!$M$8),"x","")</f>
        <v/>
      </c>
      <c r="AA3556" s="535"/>
      <c r="AC3556" s="536" t="str">
        <f>VLOOKUP(F3556,NXT!$B$12:$B$686,1,0)</f>
        <v>Thùng 100x12x4</v>
      </c>
    </row>
    <row r="3557" spans="1:30" s="503" customFormat="1" ht="15.75" customHeight="1">
      <c r="A3557" s="517" t="str">
        <f>IF(B3557&lt;&gt;"",IF(AND(B3557&gt;=_TM1,B3557&lt;=_TM2,OR(TH!L3557="1111",TH!M3557="1111")),TH!D3557,""),"")</f>
        <v/>
      </c>
      <c r="B3557" s="531">
        <f t="shared" ref="B3557" si="382">IF(C3557&lt;&gt;"",MONTH(C3557),"")</f>
        <v>8</v>
      </c>
      <c r="C3557" s="315">
        <f t="shared" ref="C3557" si="383">E3557</f>
        <v>42949</v>
      </c>
      <c r="D3557" s="544" t="s">
        <v>1181</v>
      </c>
      <c r="E3557" s="288">
        <v>42949</v>
      </c>
      <c r="F3557" s="249" t="s">
        <v>1399</v>
      </c>
      <c r="G3557" s="314" t="s">
        <v>1396</v>
      </c>
      <c r="H3557" s="248" t="s">
        <v>1374</v>
      </c>
      <c r="I3557" s="307">
        <v>360</v>
      </c>
      <c r="J3557" s="307">
        <v>5700</v>
      </c>
      <c r="K3557" s="532">
        <f>ROUND(I3557*J3557,0)</f>
        <v>2052000</v>
      </c>
      <c r="L3557" s="534" t="s">
        <v>223</v>
      </c>
      <c r="M3557" s="534" t="s">
        <v>162</v>
      </c>
      <c r="N3557" s="525" t="str">
        <f>IF(AND('331-CT'!$E$7=TH!H3557,OR(L3557="331",M3557="331")),"331",IF(AND(OR(L3557="131",M3557="131"),H3557='131-CT'!$E$7),"131",""))</f>
        <v/>
      </c>
      <c r="O3557" s="525" t="str">
        <f>IF(AND($B3557&gt;='111'!$N$11,$B3557&lt;='111'!$O$11,OR($L3557=$O$7,$M3557=$O$7)),"x","")</f>
        <v/>
      </c>
      <c r="P3557" s="525" t="str">
        <f>IF(AND($L3557=$O$7,$B3557&lt;'111'!$N$11),"x","")</f>
        <v/>
      </c>
      <c r="Q3557" s="525" t="str">
        <f>IF(AND($M3557=$O$7,$B3557&lt;'111'!$N$11),"x","")</f>
        <v/>
      </c>
      <c r="R3557" s="525" t="str">
        <f>IF(ISERROR(FIND('112'!$M$9,G3557,1)),"",IF((AND(FIND('112'!$M$9,G3557,1)&gt;=1,$B3557&gt;='112'!$N$8,$B3557&lt;='112'!$O$8,OR($L3557='112'!$I$6,$M3557='112'!$I$6))),"x",""))</f>
        <v/>
      </c>
      <c r="S3557" s="525" t="str">
        <f>IF(ISERROR(FIND('112'!$M$9,G3557,1)),"",IF((AND(LEFT(G3557,2)=LEFT('112'!$M$9,2),B3557&lt;'112'!$N$8,$L3557='112'!$I$6)),"x",""))</f>
        <v/>
      </c>
      <c r="T3557" s="525" t="str">
        <f>IF(ISERROR(FIND('112'!$M$9,G3557,1)),"",IF((AND(RIGHT(G3557,2)=RIGHT('112'!$M$9,2),B3557&lt;'112'!$N$8,$M3557='112'!$I$6)),"x",""))</f>
        <v/>
      </c>
      <c r="U3557" s="525" t="str">
        <f>IF(AND(B3557&gt;='IN-NX'!$P$3,B3557&lt;='IN-NX'!$Q$3,'IN-NX'!$D$7=D3557,OR(LEFT(L3557,2)="15",AND(LEFT(M3557,2)&lt;&gt;"15",LEFT(M3557,2)&lt;&gt;"33"))),"x","")</f>
        <v/>
      </c>
      <c r="V3557" s="525" t="str">
        <f>IF(AND(OR(LEFT(TH!L3557,2)="15",LEFT(TH!M3557,2)="15"),'152-CT'!$J$8=TH!F3557),"x","")</f>
        <v/>
      </c>
      <c r="W3557" s="525" t="str">
        <f>IF(AND(OR(LEFT(TH!L3557,2)="15",LEFT(TH!M3557,2)="15"),TK!$E$7=TH!F3557),"x","")</f>
        <v/>
      </c>
      <c r="X3557" s="525" t="str">
        <f>IF(AND('341-CT'!$E$9=H3557,OR(LEFT(L3557,3)=$X$7,LEFT(M3557,3)=$X$7)),"x","")</f>
        <v/>
      </c>
      <c r="Y3557" s="525" t="str">
        <f>IF(OR(TH!L3557=TH!$Y$7,M3557=TH!$Y$7),"x","")</f>
        <v/>
      </c>
      <c r="Z3557" s="525" t="str">
        <f>IF(AND(B3557&lt;=NKC!$N$8,B3557&gt;=NKC!$M$8),"x","")</f>
        <v/>
      </c>
      <c r="AA3557" s="535"/>
      <c r="AC3557" s="536" t="str">
        <f>VLOOKUP(F3557,NXT!$B$12:$B$686,1,0)</f>
        <v>Thùng 120x12x4</v>
      </c>
    </row>
    <row r="3558" spans="1:30" s="503" customFormat="1" ht="15.75" customHeight="1">
      <c r="A3558" s="517" t="str">
        <f>IF(B3558&lt;&gt;"",IF(AND(B3558&gt;=_TM1,B3558&lt;=_TM2,OR(TH!L3558="1111",TH!M3558="1111")),TH!D3558,""),"")</f>
        <v/>
      </c>
      <c r="B3558" s="531">
        <f t="shared" si="378"/>
        <v>8</v>
      </c>
      <c r="C3558" s="315">
        <f t="shared" si="379"/>
        <v>42949</v>
      </c>
      <c r="D3558" s="544" t="s">
        <v>1181</v>
      </c>
      <c r="E3558" s="288">
        <v>42949</v>
      </c>
      <c r="F3558" s="249" t="s">
        <v>494</v>
      </c>
      <c r="G3558" s="314" t="s">
        <v>1396</v>
      </c>
      <c r="H3558" s="248" t="s">
        <v>1374</v>
      </c>
      <c r="I3558" s="307"/>
      <c r="J3558" s="307"/>
      <c r="K3558" s="532">
        <v>1526400</v>
      </c>
      <c r="L3558" s="534" t="s">
        <v>223</v>
      </c>
      <c r="M3558" s="534" t="s">
        <v>259</v>
      </c>
      <c r="N3558" s="525" t="str">
        <f>IF(AND('331-CT'!$E$7=TH!H3558,OR(L3558="331",M3558="331")),"331",IF(AND(OR(L3558="131",M3558="131"),H3558='131-CT'!$E$7),"131",""))</f>
        <v/>
      </c>
      <c r="O3558" s="525" t="str">
        <f>IF(AND($B3558&gt;='111'!$N$11,$B3558&lt;='111'!$O$11,OR($L3558=$O$7,$M3558=$O$7)),"x","")</f>
        <v/>
      </c>
      <c r="P3558" s="525" t="str">
        <f>IF(AND($L3558=$O$7,$B3558&lt;'111'!$N$11),"x","")</f>
        <v/>
      </c>
      <c r="Q3558" s="525" t="str">
        <f>IF(AND($M3558=$O$7,$B3558&lt;'111'!$N$11),"x","")</f>
        <v/>
      </c>
      <c r="R3558" s="525" t="str">
        <f>IF(ISERROR(FIND('112'!$M$9,G3558,1)),"",IF((AND(FIND('112'!$M$9,G3558,1)&gt;=1,$B3558&gt;='112'!$N$8,$B3558&lt;='112'!$O$8,OR($L3558='112'!$I$6,$M3558='112'!$I$6))),"x",""))</f>
        <v/>
      </c>
      <c r="S3558" s="525" t="str">
        <f>IF(ISERROR(FIND('112'!$M$9,G3558,1)),"",IF((AND(LEFT(G3558,2)=LEFT('112'!$M$9,2),B3558&lt;'112'!$N$8,$L3558='112'!$I$6)),"x",""))</f>
        <v/>
      </c>
      <c r="T3558" s="525" t="str">
        <f>IF(ISERROR(FIND('112'!$M$9,G3558,1)),"",IF((AND(RIGHT(G3558,2)=RIGHT('112'!$M$9,2),B3558&lt;'112'!$N$8,$M3558='112'!$I$6)),"x",""))</f>
        <v/>
      </c>
      <c r="U3558" s="525" t="str">
        <f>IF(AND(B3558&gt;='IN-NX'!$P$3,B3558&lt;='IN-NX'!$Q$3,'IN-NX'!$D$7=D3558,OR(LEFT(L3558,2)="15",AND(LEFT(M3558,2)&lt;&gt;"15",LEFT(M3558,2)&lt;&gt;"33"))),"x","")</f>
        <v/>
      </c>
      <c r="V3558" s="525" t="str">
        <f>IF(AND(OR(LEFT(TH!L3558,2)="15",LEFT(TH!M3558,2)="15"),'152-CT'!$J$8=TH!F3558),"x","")</f>
        <v/>
      </c>
      <c r="W3558" s="525" t="str">
        <f>IF(AND(OR(LEFT(TH!L3558,2)="15",LEFT(TH!M3558,2)="15"),TK!$E$7=TH!F3558),"x","")</f>
        <v/>
      </c>
      <c r="X3558" s="525" t="str">
        <f>IF(AND('341-CT'!$E$9=H3558,OR(LEFT(L3558,3)=$X$7,LEFT(M3558,3)=$X$7)),"x","")</f>
        <v/>
      </c>
      <c r="Y3558" s="525" t="str">
        <f>IF(OR(TH!L3558=TH!$Y$7,M3558=TH!$Y$7),"x","")</f>
        <v/>
      </c>
      <c r="Z3558" s="525" t="str">
        <f>IF(AND(B3558&lt;=NKC!$N$8,B3558&gt;=NKC!$M$8),"x","")</f>
        <v/>
      </c>
      <c r="AA3558" s="535"/>
    </row>
    <row r="3559" spans="1:30" s="576" customFormat="1" ht="15.75" customHeight="1">
      <c r="A3559" s="517" t="str">
        <f>IF(B3559&lt;&gt;"",IF(AND(B3559&gt;=_TM1,B3559&lt;=_TM2,OR(TH!L3559="1111",TH!M3559="1111")),TH!D3559,""),"")</f>
        <v/>
      </c>
      <c r="B3559" s="518">
        <f t="shared" si="378"/>
        <v>8</v>
      </c>
      <c r="C3559" s="315">
        <f t="shared" si="379"/>
        <v>42949</v>
      </c>
      <c r="D3559" s="544" t="s">
        <v>1181</v>
      </c>
      <c r="E3559" s="315">
        <v>42949</v>
      </c>
      <c r="F3559" s="249" t="s">
        <v>380</v>
      </c>
      <c r="G3559" s="314" t="s">
        <v>1400</v>
      </c>
      <c r="H3559" s="473" t="s">
        <v>300</v>
      </c>
      <c r="I3559" s="307">
        <f>4327+4318+4346</f>
        <v>12991</v>
      </c>
      <c r="J3559" s="307">
        <v>12500</v>
      </c>
      <c r="K3559" s="532">
        <f>ROUND(I3559*J3559,0)</f>
        <v>162387500</v>
      </c>
      <c r="L3559" s="534" t="s">
        <v>223</v>
      </c>
      <c r="M3559" s="534" t="s">
        <v>162</v>
      </c>
      <c r="N3559" s="525" t="str">
        <f>IF(AND('331-CT'!$E$7=TH!H3559,OR(L3559="331",M3559="331")),"331",IF(AND(OR(L3559="131",M3559="131"),H3559='131-CT'!$E$7),"131",""))</f>
        <v/>
      </c>
      <c r="O3559" s="525" t="str">
        <f>IF(AND($B3559&gt;='111'!$N$11,$B3559&lt;='111'!$O$11,OR($L3559=$O$7,$M3559=$O$7)),"x","")</f>
        <v/>
      </c>
      <c r="P3559" s="525" t="str">
        <f>IF(AND($L3559=$O$7,$B3559&lt;'111'!$N$11),"x","")</f>
        <v/>
      </c>
      <c r="Q3559" s="525" t="str">
        <f>IF(AND($M3559=$O$7,$B3559&lt;'111'!$N$11),"x","")</f>
        <v/>
      </c>
      <c r="R3559" s="525" t="str">
        <f>IF(ISERROR(FIND('112'!$M$9,G3559,1)),"",IF((AND(FIND('112'!$M$9,G3559,1)&gt;=1,$B3559&gt;='112'!$N$8,$B3559&lt;='112'!$O$8,OR($L3559='112'!$I$6,$M3559='112'!$I$6))),"x",""))</f>
        <v/>
      </c>
      <c r="S3559" s="525" t="str">
        <f>IF(ISERROR(FIND('112'!$M$9,G3559,1)),"",IF((AND(LEFT(G3559,2)=LEFT('112'!$M$9,2),B3559&lt;'112'!$N$8,$L3559='112'!$I$6)),"x",""))</f>
        <v/>
      </c>
      <c r="T3559" s="525" t="str">
        <f>IF(ISERROR(FIND('112'!$M$9,G3559,1)),"",IF((AND(RIGHT(G3559,2)=RIGHT('112'!$M$9,2),B3559&lt;'112'!$N$8,$M3559='112'!$I$6)),"x",""))</f>
        <v/>
      </c>
      <c r="U3559" s="525" t="str">
        <f>IF(AND(B3559&gt;='IN-NX'!$P$3,B3559&lt;='IN-NX'!$Q$3,'IN-NX'!$D$7=D3559,OR(LEFT(L3559,2)="15",AND(LEFT(M3559,2)&lt;&gt;"15",LEFT(M3559,2)&lt;&gt;"33"))),"x","")</f>
        <v/>
      </c>
      <c r="V3559" s="525" t="str">
        <f>IF(AND(OR(LEFT(TH!L3559,2)="15",LEFT(TH!M3559,2)="15"),'152-CT'!$J$8=TH!F3559),"x","")</f>
        <v/>
      </c>
      <c r="W3559" s="525" t="str">
        <f>IF(AND(OR(LEFT(TH!L3559,2)="15",LEFT(TH!M3559,2)="15"),TK!$E$7=TH!F3559),"x","")</f>
        <v/>
      </c>
      <c r="X3559" s="525" t="str">
        <f>IF(AND('341-CT'!$E$9=H3559,OR(LEFT(L3559,3)=$X$7,LEFT(M3559,3)=$X$7)),"x","")</f>
        <v/>
      </c>
      <c r="Y3559" s="525" t="str">
        <f>IF(OR(TH!L3559=TH!$Y$7,M3559=TH!$Y$7),"x","")</f>
        <v/>
      </c>
      <c r="Z3559" s="525" t="str">
        <f>IF(AND(B3559&lt;=NKC!$N$8,B3559&gt;=NKC!$M$8),"x","")</f>
        <v/>
      </c>
      <c r="AA3559" s="526"/>
      <c r="AB3559" s="527"/>
      <c r="AC3559" s="536" t="str">
        <f>VLOOKUP(F3559,NXT!$B$12:$B$686,1,0)</f>
        <v>Giấy cuộn</v>
      </c>
      <c r="AD3559" s="527"/>
    </row>
    <row r="3560" spans="1:30" s="576" customFormat="1" ht="15.75" customHeight="1">
      <c r="A3560" s="517" t="str">
        <f>IF(B3560&lt;&gt;"",IF(AND(B3560&gt;=_TM1,B3560&lt;=_TM2,OR(TH!L3560="1111",TH!M3560="1111")),TH!D3560,""),"")</f>
        <v/>
      </c>
      <c r="B3560" s="518">
        <f t="shared" si="378"/>
        <v>8</v>
      </c>
      <c r="C3560" s="315">
        <f t="shared" si="379"/>
        <v>42949</v>
      </c>
      <c r="D3560" s="544" t="s">
        <v>1181</v>
      </c>
      <c r="E3560" s="315">
        <v>42949</v>
      </c>
      <c r="F3560" s="250" t="s">
        <v>499</v>
      </c>
      <c r="G3560" s="314" t="s">
        <v>1400</v>
      </c>
      <c r="H3560" s="473" t="s">
        <v>300</v>
      </c>
      <c r="I3560" s="307"/>
      <c r="J3560" s="307"/>
      <c r="K3560" s="532">
        <v>16238750</v>
      </c>
      <c r="L3560" s="534" t="s">
        <v>223</v>
      </c>
      <c r="M3560" s="534" t="s">
        <v>259</v>
      </c>
      <c r="N3560" s="525" t="str">
        <f>IF(AND('331-CT'!$E$7=TH!H3560,OR(L3560="331",M3560="331")),"331",IF(AND(OR(L3560="131",M3560="131"),H3560='131-CT'!$E$7),"131",""))</f>
        <v/>
      </c>
      <c r="O3560" s="525" t="str">
        <f>IF(AND($B3560&gt;='111'!$N$11,$B3560&lt;='111'!$O$11,OR($L3560=$O$7,$M3560=$O$7)),"x","")</f>
        <v/>
      </c>
      <c r="P3560" s="525" t="str">
        <f>IF(AND($L3560=$O$7,$B3560&lt;'111'!$N$11),"x","")</f>
        <v/>
      </c>
      <c r="Q3560" s="525" t="str">
        <f>IF(AND($M3560=$O$7,$B3560&lt;'111'!$N$11),"x","")</f>
        <v/>
      </c>
      <c r="R3560" s="525" t="str">
        <f>IF(ISERROR(FIND('112'!$M$9,G3560,1)),"",IF((AND(FIND('112'!$M$9,G3560,1)&gt;=1,$B3560&gt;='112'!$N$8,$B3560&lt;='112'!$O$8,OR($L3560='112'!$I$6,$M3560='112'!$I$6))),"x",""))</f>
        <v/>
      </c>
      <c r="S3560" s="525" t="str">
        <f>IF(ISERROR(FIND('112'!$M$9,G3560,1)),"",IF((AND(LEFT(G3560,2)=LEFT('112'!$M$9,2),B3560&lt;'112'!$N$8,$L3560='112'!$I$6)),"x",""))</f>
        <v/>
      </c>
      <c r="T3560" s="525" t="str">
        <f>IF(ISERROR(FIND('112'!$M$9,G3560,1)),"",IF((AND(RIGHT(G3560,2)=RIGHT('112'!$M$9,2),B3560&lt;'112'!$N$8,$M3560='112'!$I$6)),"x",""))</f>
        <v/>
      </c>
      <c r="U3560" s="525" t="str">
        <f>IF(AND(B3560&gt;='IN-NX'!$P$3,B3560&lt;='IN-NX'!$Q$3,'IN-NX'!$D$7=D3560,OR(LEFT(L3560,2)="15",AND(LEFT(M3560,2)&lt;&gt;"15",LEFT(M3560,2)&lt;&gt;"33"))),"x","")</f>
        <v/>
      </c>
      <c r="V3560" s="525" t="str">
        <f>IF(AND(OR(LEFT(TH!L3560,2)="15",LEFT(TH!M3560,2)="15"),'152-CT'!$J$8=TH!F3560),"x","")</f>
        <v/>
      </c>
      <c r="W3560" s="525" t="str">
        <f>IF(AND(OR(LEFT(TH!L3560,2)="15",LEFT(TH!M3560,2)="15"),TK!$E$7=TH!F3560),"x","")</f>
        <v/>
      </c>
      <c r="X3560" s="525" t="str">
        <f>IF(AND('341-CT'!$E$9=H3560,OR(LEFT(L3560,3)=$X$7,LEFT(M3560,3)=$X$7)),"x","")</f>
        <v/>
      </c>
      <c r="Y3560" s="525" t="str">
        <f>IF(OR(TH!L3560=TH!$Y$7,M3560=TH!$Y$7),"x","")</f>
        <v/>
      </c>
      <c r="Z3560" s="525" t="str">
        <f>IF(AND(B3560&lt;=NKC!$N$8,B3560&gt;=NKC!$M$8),"x","")</f>
        <v/>
      </c>
      <c r="AA3560" s="526"/>
      <c r="AB3560" s="527"/>
      <c r="AC3560" s="527"/>
      <c r="AD3560" s="527"/>
    </row>
    <row r="3561" spans="1:30" s="576" customFormat="1" ht="15.75" customHeight="1">
      <c r="A3561" s="517" t="str">
        <f>IF(B3561&lt;&gt;"",IF(AND(B3561&gt;=_TM1,B3561&lt;=_TM2,OR(TH!L3561="1111",TH!M3561="1111")),TH!D3561,""),"")</f>
        <v/>
      </c>
      <c r="B3561" s="518">
        <f t="shared" ref="B3561:B3564" si="384">IF(C3561&lt;&gt;"",MONTH(C3561),"")</f>
        <v>8</v>
      </c>
      <c r="C3561" s="315">
        <f t="shared" ref="C3561:C3564" si="385">E3561</f>
        <v>42950</v>
      </c>
      <c r="D3561" s="544" t="s">
        <v>1181</v>
      </c>
      <c r="E3561" s="315">
        <v>42950</v>
      </c>
      <c r="F3561" s="249" t="s">
        <v>1290</v>
      </c>
      <c r="G3561" s="314" t="s">
        <v>1401</v>
      </c>
      <c r="H3561" s="472" t="s">
        <v>289</v>
      </c>
      <c r="I3561" s="307">
        <v>3370</v>
      </c>
      <c r="J3561" s="307">
        <v>12500</v>
      </c>
      <c r="K3561" s="532">
        <f>ROUND(I3561*J3561,0)</f>
        <v>42125000</v>
      </c>
      <c r="L3561" s="534" t="s">
        <v>223</v>
      </c>
      <c r="M3561" s="534" t="s">
        <v>162</v>
      </c>
      <c r="N3561" s="525" t="str">
        <f>IF(AND('331-CT'!$E$7=TH!H3561,OR(L3561="331",M3561="331")),"331",IF(AND(OR(L3561="131",M3561="131"),H3561='131-CT'!$E$7),"131",""))</f>
        <v/>
      </c>
      <c r="O3561" s="525" t="str">
        <f>IF(AND($B3561&gt;='111'!$N$11,$B3561&lt;='111'!$O$11,OR($L3561=$O$7,$M3561=$O$7)),"x","")</f>
        <v/>
      </c>
      <c r="P3561" s="525" t="str">
        <f>IF(AND($L3561=$O$7,$B3561&lt;'111'!$N$11),"x","")</f>
        <v/>
      </c>
      <c r="Q3561" s="525" t="str">
        <f>IF(AND($M3561=$O$7,$B3561&lt;'111'!$N$11),"x","")</f>
        <v/>
      </c>
      <c r="R3561" s="525" t="str">
        <f>IF(ISERROR(FIND('112'!$M$9,G3561,1)),"",IF((AND(FIND('112'!$M$9,G3561,1)&gt;=1,$B3561&gt;='112'!$N$8,$B3561&lt;='112'!$O$8,OR($L3561='112'!$I$6,$M3561='112'!$I$6))),"x",""))</f>
        <v/>
      </c>
      <c r="S3561" s="525" t="str">
        <f>IF(ISERROR(FIND('112'!$M$9,G3561,1)),"",IF((AND(LEFT(G3561,2)=LEFT('112'!$M$9,2),B3561&lt;'112'!$N$8,$L3561='112'!$I$6)),"x",""))</f>
        <v/>
      </c>
      <c r="T3561" s="525" t="str">
        <f>IF(ISERROR(FIND('112'!$M$9,G3561,1)),"",IF((AND(RIGHT(G3561,2)=RIGHT('112'!$M$9,2),B3561&lt;'112'!$N$8,$M3561='112'!$I$6)),"x",""))</f>
        <v/>
      </c>
      <c r="U3561" s="525" t="str">
        <f>IF(AND(B3561&gt;='IN-NX'!$P$3,B3561&lt;='IN-NX'!$Q$3,'IN-NX'!$D$7=D3561,OR(LEFT(L3561,2)="15",AND(LEFT(M3561,2)&lt;&gt;"15",LEFT(M3561,2)&lt;&gt;"33"))),"x","")</f>
        <v/>
      </c>
      <c r="V3561" s="525" t="str">
        <f>IF(AND(OR(LEFT(TH!L3561,2)="15",LEFT(TH!M3561,2)="15"),'152-CT'!$J$8=TH!F3561),"x","")</f>
        <v/>
      </c>
      <c r="W3561" s="525" t="str">
        <f>IF(AND(OR(LEFT(TH!L3561,2)="15",LEFT(TH!M3561,2)="15"),TK!$E$7=TH!F3561),"x","")</f>
        <v/>
      </c>
      <c r="X3561" s="525" t="str">
        <f>IF(AND('341-CT'!$E$9=H3561,OR(LEFT(L3561,3)=$X$7,LEFT(M3561,3)=$X$7)),"x","")</f>
        <v/>
      </c>
      <c r="Y3561" s="525" t="str">
        <f>IF(OR(TH!L3561=TH!$Y$7,M3561=TH!$Y$7),"x","")</f>
        <v/>
      </c>
      <c r="Z3561" s="525" t="str">
        <f>IF(AND(B3561&lt;=NKC!$N$8,B3561&gt;=NKC!$M$8),"x","")</f>
        <v/>
      </c>
      <c r="AA3561" s="526"/>
      <c r="AB3561" s="527"/>
      <c r="AC3561" s="536" t="str">
        <f>VLOOKUP(F3561,NXT!$B$12:$B$686,1,0)</f>
        <v>Thùng 41.5x30x17.5</v>
      </c>
      <c r="AD3561" s="527"/>
    </row>
    <row r="3562" spans="1:30" s="576" customFormat="1" ht="15.75" customHeight="1">
      <c r="A3562" s="517" t="str">
        <f>IF(B3562&lt;&gt;"",IF(AND(B3562&gt;=_TM1,B3562&lt;=_TM2,OR(TH!L3562="1111",TH!M3562="1111")),TH!D3562,""),"")</f>
        <v/>
      </c>
      <c r="B3562" s="518">
        <f t="shared" si="384"/>
        <v>8</v>
      </c>
      <c r="C3562" s="315">
        <f t="shared" si="385"/>
        <v>42950</v>
      </c>
      <c r="D3562" s="544" t="s">
        <v>1181</v>
      </c>
      <c r="E3562" s="315">
        <v>42950</v>
      </c>
      <c r="F3562" s="249" t="s">
        <v>494</v>
      </c>
      <c r="G3562" s="314" t="s">
        <v>1401</v>
      </c>
      <c r="H3562" s="472" t="s">
        <v>289</v>
      </c>
      <c r="I3562" s="307"/>
      <c r="J3562" s="307"/>
      <c r="K3562" s="532">
        <v>4212500</v>
      </c>
      <c r="L3562" s="534" t="s">
        <v>223</v>
      </c>
      <c r="M3562" s="534" t="s">
        <v>259</v>
      </c>
      <c r="N3562" s="525" t="str">
        <f>IF(AND('331-CT'!$E$7=TH!H3562,OR(L3562="331",M3562="331")),"331",IF(AND(OR(L3562="131",M3562="131"),H3562='131-CT'!$E$7),"131",""))</f>
        <v/>
      </c>
      <c r="O3562" s="525" t="str">
        <f>IF(AND($B3562&gt;='111'!$N$11,$B3562&lt;='111'!$O$11,OR($L3562=$O$7,$M3562=$O$7)),"x","")</f>
        <v/>
      </c>
      <c r="P3562" s="525" t="str">
        <f>IF(AND($L3562=$O$7,$B3562&lt;'111'!$N$11),"x","")</f>
        <v/>
      </c>
      <c r="Q3562" s="525" t="str">
        <f>IF(AND($M3562=$O$7,$B3562&lt;'111'!$N$11),"x","")</f>
        <v/>
      </c>
      <c r="R3562" s="525" t="str">
        <f>IF(ISERROR(FIND('112'!$M$9,G3562,1)),"",IF((AND(FIND('112'!$M$9,G3562,1)&gt;=1,$B3562&gt;='112'!$N$8,$B3562&lt;='112'!$O$8,OR($L3562='112'!$I$6,$M3562='112'!$I$6))),"x",""))</f>
        <v/>
      </c>
      <c r="S3562" s="525" t="str">
        <f>IF(ISERROR(FIND('112'!$M$9,G3562,1)),"",IF((AND(LEFT(G3562,2)=LEFT('112'!$M$9,2),B3562&lt;'112'!$N$8,$L3562='112'!$I$6)),"x",""))</f>
        <v/>
      </c>
      <c r="T3562" s="525" t="str">
        <f>IF(ISERROR(FIND('112'!$M$9,G3562,1)),"",IF((AND(RIGHT(G3562,2)=RIGHT('112'!$M$9,2),B3562&lt;'112'!$N$8,$M3562='112'!$I$6)),"x",""))</f>
        <v/>
      </c>
      <c r="U3562" s="525" t="str">
        <f>IF(AND(B3562&gt;='IN-NX'!$P$3,B3562&lt;='IN-NX'!$Q$3,'IN-NX'!$D$7=D3562,OR(LEFT(L3562,2)="15",AND(LEFT(M3562,2)&lt;&gt;"15",LEFT(M3562,2)&lt;&gt;"33"))),"x","")</f>
        <v/>
      </c>
      <c r="V3562" s="525" t="str">
        <f>IF(AND(OR(LEFT(TH!L3562,2)="15",LEFT(TH!M3562,2)="15"),'152-CT'!$J$8=TH!F3562),"x","")</f>
        <v/>
      </c>
      <c r="W3562" s="525" t="str">
        <f>IF(AND(OR(LEFT(TH!L3562,2)="15",LEFT(TH!M3562,2)="15"),TK!$E$7=TH!F3562),"x","")</f>
        <v/>
      </c>
      <c r="X3562" s="525" t="str">
        <f>IF(AND('341-CT'!$E$9=H3562,OR(LEFT(L3562,3)=$X$7,LEFT(M3562,3)=$X$7)),"x","")</f>
        <v/>
      </c>
      <c r="Y3562" s="525" t="str">
        <f>IF(OR(TH!L3562=TH!$Y$7,M3562=TH!$Y$7),"x","")</f>
        <v/>
      </c>
      <c r="Z3562" s="525" t="str">
        <f>IF(AND(B3562&lt;=NKC!$N$8,B3562&gt;=NKC!$M$8),"x","")</f>
        <v/>
      </c>
      <c r="AA3562" s="526"/>
      <c r="AB3562" s="527"/>
      <c r="AC3562" s="527"/>
      <c r="AD3562" s="527"/>
    </row>
    <row r="3563" spans="1:30" s="503" customFormat="1" ht="15.75" customHeight="1">
      <c r="A3563" s="517" t="str">
        <f>IF(B3563&lt;&gt;"",IF(AND(B3563&gt;=_TM1,B3563&lt;=_TM2,OR(TH!L3563="1111",TH!M3563="1111")),TH!D3563,""),"")</f>
        <v/>
      </c>
      <c r="B3563" s="531">
        <f t="shared" si="384"/>
        <v>8</v>
      </c>
      <c r="C3563" s="315">
        <f t="shared" si="385"/>
        <v>42950</v>
      </c>
      <c r="D3563" s="544" t="s">
        <v>1181</v>
      </c>
      <c r="E3563" s="315">
        <v>42950</v>
      </c>
      <c r="F3563" s="249" t="s">
        <v>1132</v>
      </c>
      <c r="G3563" s="314" t="s">
        <v>1402</v>
      </c>
      <c r="H3563" s="473" t="s">
        <v>374</v>
      </c>
      <c r="I3563" s="307">
        <v>350</v>
      </c>
      <c r="J3563" s="307">
        <v>34133</v>
      </c>
      <c r="K3563" s="532">
        <f>ROUND(I3563*J3563,0)</f>
        <v>11946550</v>
      </c>
      <c r="L3563" s="534" t="s">
        <v>223</v>
      </c>
      <c r="M3563" s="534" t="s">
        <v>162</v>
      </c>
      <c r="N3563" s="525" t="str">
        <f>IF(AND('331-CT'!$E$7=TH!H3563,OR(L3563="331",M3563="331")),"331",IF(AND(OR(L3563="131",M3563="131"),H3563='131-CT'!$E$7),"131",""))</f>
        <v/>
      </c>
      <c r="O3563" s="525" t="str">
        <f>IF(AND($B3563&gt;='111'!$N$11,$B3563&lt;='111'!$O$11,OR($L3563=$O$7,$M3563=$O$7)),"x","")</f>
        <v/>
      </c>
      <c r="P3563" s="525" t="str">
        <f>IF(AND($L3563=$O$7,$B3563&lt;'111'!$N$11),"x","")</f>
        <v/>
      </c>
      <c r="Q3563" s="525" t="str">
        <f>IF(AND($M3563=$O$7,$B3563&lt;'111'!$N$11),"x","")</f>
        <v/>
      </c>
      <c r="R3563" s="525" t="str">
        <f>IF(ISERROR(FIND('112'!$M$9,G3563,1)),"",IF((AND(FIND('112'!$M$9,G3563,1)&gt;=1,$B3563&gt;='112'!$N$8,$B3563&lt;='112'!$O$8,OR($L3563='112'!$I$6,$M3563='112'!$I$6))),"x",""))</f>
        <v/>
      </c>
      <c r="S3563" s="525" t="str">
        <f>IF(ISERROR(FIND('112'!$M$9,G3563,1)),"",IF((AND(LEFT(G3563,2)=LEFT('112'!$M$9,2),B3563&lt;'112'!$N$8,$L3563='112'!$I$6)),"x",""))</f>
        <v/>
      </c>
      <c r="T3563" s="525" t="str">
        <f>IF(ISERROR(FIND('112'!$M$9,G3563,1)),"",IF((AND(RIGHT(G3563,2)=RIGHT('112'!$M$9,2),B3563&lt;'112'!$N$8,$M3563='112'!$I$6)),"x",""))</f>
        <v/>
      </c>
      <c r="U3563" s="525" t="str">
        <f>IF(AND(B3563&gt;='IN-NX'!$P$3,B3563&lt;='IN-NX'!$Q$3,'IN-NX'!$D$7=D3563,OR(LEFT(L3563,2)="15",AND(LEFT(M3563,2)&lt;&gt;"15",LEFT(M3563,2)&lt;&gt;"33"))),"x","")</f>
        <v/>
      </c>
      <c r="V3563" s="525" t="str">
        <f>IF(AND(OR(LEFT(TH!L3563,2)="15",LEFT(TH!M3563,2)="15"),'152-CT'!$J$8=TH!F3563),"x","")</f>
        <v/>
      </c>
      <c r="W3563" s="525" t="str">
        <f>IF(AND(OR(LEFT(TH!L3563,2)="15",LEFT(TH!M3563,2)="15"),TK!$E$7=TH!F3563),"x","")</f>
        <v/>
      </c>
      <c r="X3563" s="525" t="str">
        <f>IF(AND('341-CT'!$E$9=H3563,OR(LEFT(L3563,3)=$X$7,LEFT(M3563,3)=$X$7)),"x","")</f>
        <v/>
      </c>
      <c r="Y3563" s="525" t="str">
        <f>IF(OR(TH!L3563=TH!$Y$7,M3563=TH!$Y$7),"x","")</f>
        <v/>
      </c>
      <c r="Z3563" s="525" t="str">
        <f>IF(AND(B3563&lt;=NKC!$N$8,B3563&gt;=NKC!$M$8),"x","")</f>
        <v/>
      </c>
      <c r="AA3563" s="535"/>
      <c r="AC3563" s="536" t="str">
        <f>VLOOKUP(F3563,NXT!$B$12:$B$686,1,0)</f>
        <v>Giấy tấm 140x270</v>
      </c>
    </row>
    <row r="3564" spans="1:30" s="503" customFormat="1" ht="15.75" customHeight="1">
      <c r="A3564" s="517" t="str">
        <f>IF(B3564&lt;&gt;"",IF(AND(B3564&gt;=_TM1,B3564&lt;=_TM2,OR(TH!L3564="1111",TH!M3564="1111")),TH!D3564,""),"")</f>
        <v/>
      </c>
      <c r="B3564" s="531">
        <f t="shared" si="384"/>
        <v>8</v>
      </c>
      <c r="C3564" s="315">
        <f t="shared" si="385"/>
        <v>42950</v>
      </c>
      <c r="D3564" s="544" t="s">
        <v>1181</v>
      </c>
      <c r="E3564" s="315">
        <v>42950</v>
      </c>
      <c r="F3564" s="250" t="s">
        <v>1320</v>
      </c>
      <c r="G3564" s="314" t="s">
        <v>1402</v>
      </c>
      <c r="H3564" s="473" t="s">
        <v>374</v>
      </c>
      <c r="I3564" s="307"/>
      <c r="J3564" s="307"/>
      <c r="K3564" s="532">
        <v>1194655</v>
      </c>
      <c r="L3564" s="534" t="s">
        <v>223</v>
      </c>
      <c r="M3564" s="534" t="s">
        <v>259</v>
      </c>
      <c r="N3564" s="525" t="str">
        <f>IF(AND('331-CT'!$E$7=TH!H3564,OR(L3564="331",M3564="331")),"331",IF(AND(OR(L3564="131",M3564="131"),H3564='131-CT'!$E$7),"131",""))</f>
        <v/>
      </c>
      <c r="O3564" s="525" t="str">
        <f>IF(AND($B3564&gt;='111'!$N$11,$B3564&lt;='111'!$O$11,OR($L3564=$O$7,$M3564=$O$7)),"x","")</f>
        <v/>
      </c>
      <c r="P3564" s="525" t="str">
        <f>IF(AND($L3564=$O$7,$B3564&lt;'111'!$N$11),"x","")</f>
        <v/>
      </c>
      <c r="Q3564" s="525" t="str">
        <f>IF(AND($M3564=$O$7,$B3564&lt;'111'!$N$11),"x","")</f>
        <v/>
      </c>
      <c r="R3564" s="525" t="str">
        <f>IF(ISERROR(FIND('112'!$M$9,G3564,1)),"",IF((AND(FIND('112'!$M$9,G3564,1)&gt;=1,$B3564&gt;='112'!$N$8,$B3564&lt;='112'!$O$8,OR($L3564='112'!$I$6,$M3564='112'!$I$6))),"x",""))</f>
        <v/>
      </c>
      <c r="S3564" s="525" t="str">
        <f>IF(ISERROR(FIND('112'!$M$9,G3564,1)),"",IF((AND(LEFT(G3564,2)=LEFT('112'!$M$9,2),B3564&lt;'112'!$N$8,$L3564='112'!$I$6)),"x",""))</f>
        <v/>
      </c>
      <c r="T3564" s="525" t="str">
        <f>IF(ISERROR(FIND('112'!$M$9,G3564,1)),"",IF((AND(RIGHT(G3564,2)=RIGHT('112'!$M$9,2),B3564&lt;'112'!$N$8,$M3564='112'!$I$6)),"x",""))</f>
        <v/>
      </c>
      <c r="U3564" s="525" t="str">
        <f>IF(AND(B3564&gt;='IN-NX'!$P$3,B3564&lt;='IN-NX'!$Q$3,'IN-NX'!$D$7=D3564,OR(LEFT(L3564,2)="15",AND(LEFT(M3564,2)&lt;&gt;"15",LEFT(M3564,2)&lt;&gt;"33"))),"x","")</f>
        <v/>
      </c>
      <c r="V3564" s="525" t="str">
        <f>IF(AND(OR(LEFT(TH!L3564,2)="15",LEFT(TH!M3564,2)="15"),'152-CT'!$J$8=TH!F3564),"x","")</f>
        <v/>
      </c>
      <c r="W3564" s="525" t="str">
        <f>IF(AND(OR(LEFT(TH!L3564,2)="15",LEFT(TH!M3564,2)="15"),TK!$E$7=TH!F3564),"x","")</f>
        <v/>
      </c>
      <c r="X3564" s="525" t="str">
        <f>IF(AND('341-CT'!$E$9=H3564,OR(LEFT(L3564,3)=$X$7,LEFT(M3564,3)=$X$7)),"x","")</f>
        <v/>
      </c>
      <c r="Y3564" s="525" t="str">
        <f>IF(OR(TH!L3564=TH!$Y$7,M3564=TH!$Y$7),"x","")</f>
        <v/>
      </c>
      <c r="Z3564" s="525" t="str">
        <f>IF(AND(B3564&lt;=NKC!$N$8,B3564&gt;=NKC!$M$8),"x","")</f>
        <v/>
      </c>
      <c r="AA3564" s="535"/>
    </row>
    <row r="3565" spans="1:30" s="503" customFormat="1" ht="15.75" customHeight="1">
      <c r="A3565" s="517" t="str">
        <f>IF(B3565&lt;&gt;"",IF(AND(B3565&gt;=_TM1,B3565&lt;=_TM2,OR(TH!L3565="1111",TH!M3565="1111")),TH!D3565,""),"")</f>
        <v/>
      </c>
      <c r="B3565" s="531">
        <f t="shared" ref="B3565:B3602" si="386">IF(C3565&lt;&gt;"",MONTH(C3565),"")</f>
        <v>8</v>
      </c>
      <c r="C3565" s="315">
        <f t="shared" ref="C3565:C3602" si="387">E3565</f>
        <v>42951</v>
      </c>
      <c r="D3565" s="544" t="s">
        <v>1181</v>
      </c>
      <c r="E3565" s="315">
        <v>42951</v>
      </c>
      <c r="F3565" s="249" t="s">
        <v>1132</v>
      </c>
      <c r="G3565" s="314" t="s">
        <v>1403</v>
      </c>
      <c r="H3565" s="473" t="s">
        <v>374</v>
      </c>
      <c r="I3565" s="307">
        <v>350</v>
      </c>
      <c r="J3565" s="307">
        <v>34133</v>
      </c>
      <c r="K3565" s="532">
        <f>ROUND(I3565*J3565,0)</f>
        <v>11946550</v>
      </c>
      <c r="L3565" s="534" t="s">
        <v>223</v>
      </c>
      <c r="M3565" s="534" t="s">
        <v>162</v>
      </c>
      <c r="N3565" s="525" t="str">
        <f>IF(AND('331-CT'!$E$7=TH!H3565,OR(L3565="331",M3565="331")),"331",IF(AND(OR(L3565="131",M3565="131"),H3565='131-CT'!$E$7),"131",""))</f>
        <v/>
      </c>
      <c r="O3565" s="525" t="str">
        <f>IF(AND($B3565&gt;='111'!$N$11,$B3565&lt;='111'!$O$11,OR($L3565=$O$7,$M3565=$O$7)),"x","")</f>
        <v/>
      </c>
      <c r="P3565" s="525" t="str">
        <f>IF(AND($L3565=$O$7,$B3565&lt;'111'!$N$11),"x","")</f>
        <v/>
      </c>
      <c r="Q3565" s="525" t="str">
        <f>IF(AND($M3565=$O$7,$B3565&lt;'111'!$N$11),"x","")</f>
        <v/>
      </c>
      <c r="R3565" s="525" t="str">
        <f>IF(ISERROR(FIND('112'!$M$9,G3565,1)),"",IF((AND(FIND('112'!$M$9,G3565,1)&gt;=1,$B3565&gt;='112'!$N$8,$B3565&lt;='112'!$O$8,OR($L3565='112'!$I$6,$M3565='112'!$I$6))),"x",""))</f>
        <v/>
      </c>
      <c r="S3565" s="525" t="str">
        <f>IF(ISERROR(FIND('112'!$M$9,G3565,1)),"",IF((AND(LEFT(G3565,2)=LEFT('112'!$M$9,2),B3565&lt;'112'!$N$8,$L3565='112'!$I$6)),"x",""))</f>
        <v/>
      </c>
      <c r="T3565" s="525" t="str">
        <f>IF(ISERROR(FIND('112'!$M$9,G3565,1)),"",IF((AND(RIGHT(G3565,2)=RIGHT('112'!$M$9,2),B3565&lt;'112'!$N$8,$M3565='112'!$I$6)),"x",""))</f>
        <v/>
      </c>
      <c r="U3565" s="525" t="str">
        <f>IF(AND(B3565&gt;='IN-NX'!$P$3,B3565&lt;='IN-NX'!$Q$3,'IN-NX'!$D$7=D3565,OR(LEFT(L3565,2)="15",AND(LEFT(M3565,2)&lt;&gt;"15",LEFT(M3565,2)&lt;&gt;"33"))),"x","")</f>
        <v/>
      </c>
      <c r="V3565" s="525" t="str">
        <f>IF(AND(OR(LEFT(TH!L3565,2)="15",LEFT(TH!M3565,2)="15"),'152-CT'!$J$8=TH!F3565),"x","")</f>
        <v/>
      </c>
      <c r="W3565" s="525" t="str">
        <f>IF(AND(OR(LEFT(TH!L3565,2)="15",LEFT(TH!M3565,2)="15"),TK!$E$7=TH!F3565),"x","")</f>
        <v/>
      </c>
      <c r="X3565" s="525" t="str">
        <f>IF(AND('341-CT'!$E$9=H3565,OR(LEFT(L3565,3)=$X$7,LEFT(M3565,3)=$X$7)),"x","")</f>
        <v/>
      </c>
      <c r="Y3565" s="525" t="str">
        <f>IF(OR(TH!L3565=TH!$Y$7,M3565=TH!$Y$7),"x","")</f>
        <v/>
      </c>
      <c r="Z3565" s="525" t="str">
        <f>IF(AND(B3565&lt;=NKC!$N$8,B3565&gt;=NKC!$M$8),"x","")</f>
        <v/>
      </c>
      <c r="AA3565" s="535"/>
      <c r="AC3565" s="536" t="str">
        <f>VLOOKUP(F3565,NXT!$B$12:$B$686,1,0)</f>
        <v>Giấy tấm 140x270</v>
      </c>
    </row>
    <row r="3566" spans="1:30" s="503" customFormat="1" ht="15.75" customHeight="1">
      <c r="A3566" s="517" t="str">
        <f>IF(B3566&lt;&gt;"",IF(AND(B3566&gt;=_TM1,B3566&lt;=_TM2,OR(TH!L3566="1111",TH!M3566="1111")),TH!D3566,""),"")</f>
        <v/>
      </c>
      <c r="B3566" s="531">
        <f t="shared" si="386"/>
        <v>8</v>
      </c>
      <c r="C3566" s="315">
        <f t="shared" si="387"/>
        <v>42951</v>
      </c>
      <c r="D3566" s="544" t="s">
        <v>1181</v>
      </c>
      <c r="E3566" s="315">
        <v>42951</v>
      </c>
      <c r="F3566" s="250" t="s">
        <v>1320</v>
      </c>
      <c r="G3566" s="314" t="s">
        <v>1403</v>
      </c>
      <c r="H3566" s="473" t="s">
        <v>374</v>
      </c>
      <c r="I3566" s="307"/>
      <c r="J3566" s="307"/>
      <c r="K3566" s="532">
        <v>1194655</v>
      </c>
      <c r="L3566" s="534" t="s">
        <v>223</v>
      </c>
      <c r="M3566" s="534" t="s">
        <v>259</v>
      </c>
      <c r="N3566" s="525" t="str">
        <f>IF(AND('331-CT'!$E$7=TH!H3566,OR(L3566="331",M3566="331")),"331",IF(AND(OR(L3566="131",M3566="131"),H3566='131-CT'!$E$7),"131",""))</f>
        <v/>
      </c>
      <c r="O3566" s="525" t="str">
        <f>IF(AND($B3566&gt;='111'!$N$11,$B3566&lt;='111'!$O$11,OR($L3566=$O$7,$M3566=$O$7)),"x","")</f>
        <v/>
      </c>
      <c r="P3566" s="525" t="str">
        <f>IF(AND($L3566=$O$7,$B3566&lt;'111'!$N$11),"x","")</f>
        <v/>
      </c>
      <c r="Q3566" s="525" t="str">
        <f>IF(AND($M3566=$O$7,$B3566&lt;'111'!$N$11),"x","")</f>
        <v/>
      </c>
      <c r="R3566" s="525" t="str">
        <f>IF(ISERROR(FIND('112'!$M$9,G3566,1)),"",IF((AND(FIND('112'!$M$9,G3566,1)&gt;=1,$B3566&gt;='112'!$N$8,$B3566&lt;='112'!$O$8,OR($L3566='112'!$I$6,$M3566='112'!$I$6))),"x",""))</f>
        <v/>
      </c>
      <c r="S3566" s="525" t="str">
        <f>IF(ISERROR(FIND('112'!$M$9,G3566,1)),"",IF((AND(LEFT(G3566,2)=LEFT('112'!$M$9,2),B3566&lt;'112'!$N$8,$L3566='112'!$I$6)),"x",""))</f>
        <v/>
      </c>
      <c r="T3566" s="525" t="str">
        <f>IF(ISERROR(FIND('112'!$M$9,G3566,1)),"",IF((AND(RIGHT(G3566,2)=RIGHT('112'!$M$9,2),B3566&lt;'112'!$N$8,$M3566='112'!$I$6)),"x",""))</f>
        <v/>
      </c>
      <c r="U3566" s="525" t="str">
        <f>IF(AND(B3566&gt;='IN-NX'!$P$3,B3566&lt;='IN-NX'!$Q$3,'IN-NX'!$D$7=D3566,OR(LEFT(L3566,2)="15",AND(LEFT(M3566,2)&lt;&gt;"15",LEFT(M3566,2)&lt;&gt;"33"))),"x","")</f>
        <v/>
      </c>
      <c r="V3566" s="525" t="str">
        <f>IF(AND(OR(LEFT(TH!L3566,2)="15",LEFT(TH!M3566,2)="15"),'152-CT'!$J$8=TH!F3566),"x","")</f>
        <v/>
      </c>
      <c r="W3566" s="525" t="str">
        <f>IF(AND(OR(LEFT(TH!L3566,2)="15",LEFT(TH!M3566,2)="15"),TK!$E$7=TH!F3566),"x","")</f>
        <v/>
      </c>
      <c r="X3566" s="525" t="str">
        <f>IF(AND('341-CT'!$E$9=H3566,OR(LEFT(L3566,3)=$X$7,LEFT(M3566,3)=$X$7)),"x","")</f>
        <v/>
      </c>
      <c r="Y3566" s="525" t="str">
        <f>IF(OR(TH!L3566=TH!$Y$7,M3566=TH!$Y$7),"x","")</f>
        <v/>
      </c>
      <c r="Z3566" s="525" t="str">
        <f>IF(AND(B3566&lt;=NKC!$N$8,B3566&gt;=NKC!$M$8),"x","")</f>
        <v/>
      </c>
      <c r="AA3566" s="535"/>
    </row>
    <row r="3567" spans="1:30" s="576" customFormat="1" ht="15.75" customHeight="1">
      <c r="A3567" s="517" t="str">
        <f>IF(B3567&lt;&gt;"",IF(AND(B3567&gt;=_TM1,B3567&lt;=_TM2,OR(TH!L3567="1111",TH!M3567="1111")),TH!D3567,""),"")</f>
        <v/>
      </c>
      <c r="B3567" s="518">
        <f t="shared" si="386"/>
        <v>8</v>
      </c>
      <c r="C3567" s="315">
        <f t="shared" si="387"/>
        <v>42952</v>
      </c>
      <c r="D3567" s="544" t="s">
        <v>1181</v>
      </c>
      <c r="E3567" s="315">
        <v>42952</v>
      </c>
      <c r="F3567" s="249" t="s">
        <v>380</v>
      </c>
      <c r="G3567" s="314" t="s">
        <v>1404</v>
      </c>
      <c r="H3567" s="473" t="s">
        <v>300</v>
      </c>
      <c r="I3567" s="307">
        <f>4218+3864+4371</f>
        <v>12453</v>
      </c>
      <c r="J3567" s="307">
        <v>12500</v>
      </c>
      <c r="K3567" s="532">
        <f>ROUND(I3567*J3567,0)</f>
        <v>155662500</v>
      </c>
      <c r="L3567" s="534" t="s">
        <v>223</v>
      </c>
      <c r="M3567" s="534" t="s">
        <v>162</v>
      </c>
      <c r="N3567" s="525" t="str">
        <f>IF(AND('331-CT'!$E$7=TH!H3567,OR(L3567="331",M3567="331")),"331",IF(AND(OR(L3567="131",M3567="131"),H3567='131-CT'!$E$7),"131",""))</f>
        <v/>
      </c>
      <c r="O3567" s="525" t="str">
        <f>IF(AND($B3567&gt;='111'!$N$11,$B3567&lt;='111'!$O$11,OR($L3567=$O$7,$M3567=$O$7)),"x","")</f>
        <v/>
      </c>
      <c r="P3567" s="525" t="str">
        <f>IF(AND($L3567=$O$7,$B3567&lt;'111'!$N$11),"x","")</f>
        <v/>
      </c>
      <c r="Q3567" s="525" t="str">
        <f>IF(AND($M3567=$O$7,$B3567&lt;'111'!$N$11),"x","")</f>
        <v/>
      </c>
      <c r="R3567" s="525" t="str">
        <f>IF(ISERROR(FIND('112'!$M$9,G3567,1)),"",IF((AND(FIND('112'!$M$9,G3567,1)&gt;=1,$B3567&gt;='112'!$N$8,$B3567&lt;='112'!$O$8,OR($L3567='112'!$I$6,$M3567='112'!$I$6))),"x",""))</f>
        <v/>
      </c>
      <c r="S3567" s="525" t="str">
        <f>IF(ISERROR(FIND('112'!$M$9,G3567,1)),"",IF((AND(LEFT(G3567,2)=LEFT('112'!$M$9,2),B3567&lt;'112'!$N$8,$L3567='112'!$I$6)),"x",""))</f>
        <v/>
      </c>
      <c r="T3567" s="525" t="str">
        <f>IF(ISERROR(FIND('112'!$M$9,G3567,1)),"",IF((AND(RIGHT(G3567,2)=RIGHT('112'!$M$9,2),B3567&lt;'112'!$N$8,$M3567='112'!$I$6)),"x",""))</f>
        <v/>
      </c>
      <c r="U3567" s="525" t="str">
        <f>IF(AND(B3567&gt;='IN-NX'!$P$3,B3567&lt;='IN-NX'!$Q$3,'IN-NX'!$D$7=D3567,OR(LEFT(L3567,2)="15",AND(LEFT(M3567,2)&lt;&gt;"15",LEFT(M3567,2)&lt;&gt;"33"))),"x","")</f>
        <v/>
      </c>
      <c r="V3567" s="525" t="str">
        <f>IF(AND(OR(LEFT(TH!L3567,2)="15",LEFT(TH!M3567,2)="15"),'152-CT'!$J$8=TH!F3567),"x","")</f>
        <v/>
      </c>
      <c r="W3567" s="525" t="str">
        <f>IF(AND(OR(LEFT(TH!L3567,2)="15",LEFT(TH!M3567,2)="15"),TK!$E$7=TH!F3567),"x","")</f>
        <v/>
      </c>
      <c r="X3567" s="525" t="str">
        <f>IF(AND('341-CT'!$E$9=H3567,OR(LEFT(L3567,3)=$X$7,LEFT(M3567,3)=$X$7)),"x","")</f>
        <v/>
      </c>
      <c r="Y3567" s="525" t="str">
        <f>IF(OR(TH!L3567=TH!$Y$7,M3567=TH!$Y$7),"x","")</f>
        <v/>
      </c>
      <c r="Z3567" s="525" t="str">
        <f>IF(AND(B3567&lt;=NKC!$N$8,B3567&gt;=NKC!$M$8),"x","")</f>
        <v/>
      </c>
      <c r="AA3567" s="526"/>
      <c r="AB3567" s="527"/>
      <c r="AC3567" s="536" t="str">
        <f>VLOOKUP(F3567,NXT!$B$12:$B$686,1,0)</f>
        <v>Giấy cuộn</v>
      </c>
      <c r="AD3567" s="527"/>
    </row>
    <row r="3568" spans="1:30" s="576" customFormat="1" ht="15.75" customHeight="1">
      <c r="A3568" s="517" t="str">
        <f>IF(B3568&lt;&gt;"",IF(AND(B3568&gt;=_TM1,B3568&lt;=_TM2,OR(TH!L3568="1111",TH!M3568="1111")),TH!D3568,""),"")</f>
        <v/>
      </c>
      <c r="B3568" s="518">
        <f t="shared" si="386"/>
        <v>8</v>
      </c>
      <c r="C3568" s="315">
        <f t="shared" si="387"/>
        <v>42952</v>
      </c>
      <c r="D3568" s="544" t="s">
        <v>1181</v>
      </c>
      <c r="E3568" s="315">
        <v>42952</v>
      </c>
      <c r="F3568" s="250" t="s">
        <v>499</v>
      </c>
      <c r="G3568" s="314" t="s">
        <v>1404</v>
      </c>
      <c r="H3568" s="473" t="s">
        <v>300</v>
      </c>
      <c r="I3568" s="307"/>
      <c r="J3568" s="307"/>
      <c r="K3568" s="532">
        <v>15566250</v>
      </c>
      <c r="L3568" s="534" t="s">
        <v>223</v>
      </c>
      <c r="M3568" s="534" t="s">
        <v>259</v>
      </c>
      <c r="N3568" s="525" t="str">
        <f>IF(AND('331-CT'!$E$7=TH!H3568,OR(L3568="331",M3568="331")),"331",IF(AND(OR(L3568="131",M3568="131"),H3568='131-CT'!$E$7),"131",""))</f>
        <v/>
      </c>
      <c r="O3568" s="525" t="str">
        <f>IF(AND($B3568&gt;='111'!$N$11,$B3568&lt;='111'!$O$11,OR($L3568=$O$7,$M3568=$O$7)),"x","")</f>
        <v/>
      </c>
      <c r="P3568" s="525" t="str">
        <f>IF(AND($L3568=$O$7,$B3568&lt;'111'!$N$11),"x","")</f>
        <v/>
      </c>
      <c r="Q3568" s="525" t="str">
        <f>IF(AND($M3568=$O$7,$B3568&lt;'111'!$N$11),"x","")</f>
        <v/>
      </c>
      <c r="R3568" s="525" t="str">
        <f>IF(ISERROR(FIND('112'!$M$9,G3568,1)),"",IF((AND(FIND('112'!$M$9,G3568,1)&gt;=1,$B3568&gt;='112'!$N$8,$B3568&lt;='112'!$O$8,OR($L3568='112'!$I$6,$M3568='112'!$I$6))),"x",""))</f>
        <v/>
      </c>
      <c r="S3568" s="525" t="str">
        <f>IF(ISERROR(FIND('112'!$M$9,G3568,1)),"",IF((AND(LEFT(G3568,2)=LEFT('112'!$M$9,2),B3568&lt;'112'!$N$8,$L3568='112'!$I$6)),"x",""))</f>
        <v/>
      </c>
      <c r="T3568" s="525" t="str">
        <f>IF(ISERROR(FIND('112'!$M$9,G3568,1)),"",IF((AND(RIGHT(G3568,2)=RIGHT('112'!$M$9,2),B3568&lt;'112'!$N$8,$M3568='112'!$I$6)),"x",""))</f>
        <v/>
      </c>
      <c r="U3568" s="525" t="str">
        <f>IF(AND(B3568&gt;='IN-NX'!$P$3,B3568&lt;='IN-NX'!$Q$3,'IN-NX'!$D$7=D3568,OR(LEFT(L3568,2)="15",AND(LEFT(M3568,2)&lt;&gt;"15",LEFT(M3568,2)&lt;&gt;"33"))),"x","")</f>
        <v/>
      </c>
      <c r="V3568" s="525" t="str">
        <f>IF(AND(OR(LEFT(TH!L3568,2)="15",LEFT(TH!M3568,2)="15"),'152-CT'!$J$8=TH!F3568),"x","")</f>
        <v/>
      </c>
      <c r="W3568" s="525" t="str">
        <f>IF(AND(OR(LEFT(TH!L3568,2)="15",LEFT(TH!M3568,2)="15"),TK!$E$7=TH!F3568),"x","")</f>
        <v/>
      </c>
      <c r="X3568" s="525" t="str">
        <f>IF(AND('341-CT'!$E$9=H3568,OR(LEFT(L3568,3)=$X$7,LEFT(M3568,3)=$X$7)),"x","")</f>
        <v/>
      </c>
      <c r="Y3568" s="525" t="str">
        <f>IF(OR(TH!L3568=TH!$Y$7,M3568=TH!$Y$7),"x","")</f>
        <v/>
      </c>
      <c r="Z3568" s="525" t="str">
        <f>IF(AND(B3568&lt;=NKC!$N$8,B3568&gt;=NKC!$M$8),"x","")</f>
        <v/>
      </c>
      <c r="AA3568" s="526"/>
      <c r="AB3568" s="527"/>
      <c r="AC3568" s="527"/>
      <c r="AD3568" s="527"/>
    </row>
    <row r="3569" spans="1:30" s="503" customFormat="1" ht="15.75" customHeight="1">
      <c r="A3569" s="517" t="str">
        <f>IF(B3569&lt;&gt;"",IF(AND(B3569&gt;=_TM1,B3569&lt;=_TM2,OR(TH!L3569="1111",TH!M3569="1111")),TH!D3569,""),"")</f>
        <v/>
      </c>
      <c r="B3569" s="531">
        <f t="shared" si="386"/>
        <v>8</v>
      </c>
      <c r="C3569" s="315">
        <f t="shared" si="387"/>
        <v>42952</v>
      </c>
      <c r="D3569" s="544" t="s">
        <v>1181</v>
      </c>
      <c r="E3569" s="315">
        <v>42952</v>
      </c>
      <c r="F3569" s="249" t="s">
        <v>1406</v>
      </c>
      <c r="G3569" s="314" t="s">
        <v>1405</v>
      </c>
      <c r="H3569" s="248" t="s">
        <v>1374</v>
      </c>
      <c r="I3569" s="307">
        <v>720</v>
      </c>
      <c r="J3569" s="307">
        <v>6700</v>
      </c>
      <c r="K3569" s="532">
        <f t="shared" ref="K3569:K3575" si="388">ROUND(I3569*J3569,0)</f>
        <v>4824000</v>
      </c>
      <c r="L3569" s="534" t="s">
        <v>223</v>
      </c>
      <c r="M3569" s="534" t="s">
        <v>162</v>
      </c>
      <c r="N3569" s="525" t="str">
        <f>IF(AND('331-CT'!$E$7=TH!H3569,OR(L3569="331",M3569="331")),"331",IF(AND(OR(L3569="131",M3569="131"),H3569='131-CT'!$E$7),"131",""))</f>
        <v/>
      </c>
      <c r="O3569" s="525" t="str">
        <f>IF(AND($B3569&gt;='111'!$N$11,$B3569&lt;='111'!$O$11,OR($L3569=$O$7,$M3569=$O$7)),"x","")</f>
        <v/>
      </c>
      <c r="P3569" s="525" t="str">
        <f>IF(AND($L3569=$O$7,$B3569&lt;'111'!$N$11),"x","")</f>
        <v/>
      </c>
      <c r="Q3569" s="525" t="str">
        <f>IF(AND($M3569=$O$7,$B3569&lt;'111'!$N$11),"x","")</f>
        <v/>
      </c>
      <c r="R3569" s="525" t="str">
        <f>IF(ISERROR(FIND('112'!$M$9,G3569,1)),"",IF((AND(FIND('112'!$M$9,G3569,1)&gt;=1,$B3569&gt;='112'!$N$8,$B3569&lt;='112'!$O$8,OR($L3569='112'!$I$6,$M3569='112'!$I$6))),"x",""))</f>
        <v/>
      </c>
      <c r="S3569" s="525" t="str">
        <f>IF(ISERROR(FIND('112'!$M$9,G3569,1)),"",IF((AND(LEFT(G3569,2)=LEFT('112'!$M$9,2),B3569&lt;'112'!$N$8,$L3569='112'!$I$6)),"x",""))</f>
        <v/>
      </c>
      <c r="T3569" s="525" t="str">
        <f>IF(ISERROR(FIND('112'!$M$9,G3569,1)),"",IF((AND(RIGHT(G3569,2)=RIGHT('112'!$M$9,2),B3569&lt;'112'!$N$8,$M3569='112'!$I$6)),"x",""))</f>
        <v/>
      </c>
      <c r="U3569" s="525" t="str">
        <f>IF(AND(B3569&gt;='IN-NX'!$P$3,B3569&lt;='IN-NX'!$Q$3,'IN-NX'!$D$7=D3569,OR(LEFT(L3569,2)="15",AND(LEFT(M3569,2)&lt;&gt;"15",LEFT(M3569,2)&lt;&gt;"33"))),"x","")</f>
        <v/>
      </c>
      <c r="V3569" s="525" t="str">
        <f>IF(AND(OR(LEFT(TH!L3569,2)="15",LEFT(TH!M3569,2)="15"),'152-CT'!$J$8=TH!F3569),"x","")</f>
        <v/>
      </c>
      <c r="W3569" s="525" t="str">
        <f>IF(AND(OR(LEFT(TH!L3569,2)="15",LEFT(TH!M3569,2)="15"),TK!$E$7=TH!F3569),"x","")</f>
        <v/>
      </c>
      <c r="X3569" s="525" t="str">
        <f>IF(AND('341-CT'!$E$9=H3569,OR(LEFT(L3569,3)=$X$7,LEFT(M3569,3)=$X$7)),"x","")</f>
        <v/>
      </c>
      <c r="Y3569" s="525" t="str">
        <f>IF(OR(TH!L3569=TH!$Y$7,M3569=TH!$Y$7),"x","")</f>
        <v/>
      </c>
      <c r="Z3569" s="525" t="str">
        <f>IF(AND(B3569&lt;=NKC!$N$8,B3569&gt;=NKC!$M$8),"x","")</f>
        <v/>
      </c>
      <c r="AA3569" s="535"/>
      <c r="AC3569" s="536" t="str">
        <f>VLOOKUP(F3569,NXT!$B$12:$B$686,1,0)</f>
        <v>Thùng 60x60x100</v>
      </c>
    </row>
    <row r="3570" spans="1:30" s="503" customFormat="1" ht="15.75" customHeight="1">
      <c r="A3570" s="517" t="str">
        <f>IF(B3570&lt;&gt;"",IF(AND(B3570&gt;=_TM1,B3570&lt;=_TM2,OR(TH!L3570="1111",TH!M3570="1111")),TH!D3570,""),"")</f>
        <v/>
      </c>
      <c r="B3570" s="531">
        <f t="shared" ref="B3570:B3572" si="389">IF(C3570&lt;&gt;"",MONTH(C3570),"")</f>
        <v>8</v>
      </c>
      <c r="C3570" s="315">
        <f t="shared" ref="C3570:C3572" si="390">E3570</f>
        <v>42952</v>
      </c>
      <c r="D3570" s="544" t="s">
        <v>1181</v>
      </c>
      <c r="E3570" s="315">
        <v>42952</v>
      </c>
      <c r="F3570" s="249" t="s">
        <v>1407</v>
      </c>
      <c r="G3570" s="314" t="s">
        <v>1405</v>
      </c>
      <c r="H3570" s="248" t="s">
        <v>1374</v>
      </c>
      <c r="I3570" s="307">
        <v>720</v>
      </c>
      <c r="J3570" s="307">
        <v>8100</v>
      </c>
      <c r="K3570" s="532">
        <f t="shared" si="388"/>
        <v>5832000</v>
      </c>
      <c r="L3570" s="534" t="s">
        <v>223</v>
      </c>
      <c r="M3570" s="534" t="s">
        <v>162</v>
      </c>
      <c r="N3570" s="525" t="str">
        <f>IF(AND('331-CT'!$E$7=TH!H3570,OR(L3570="331",M3570="331")),"331",IF(AND(OR(L3570="131",M3570="131"),H3570='131-CT'!$E$7),"131",""))</f>
        <v/>
      </c>
      <c r="O3570" s="525" t="str">
        <f>IF(AND($B3570&gt;='111'!$N$11,$B3570&lt;='111'!$O$11,OR($L3570=$O$7,$M3570=$O$7)),"x","")</f>
        <v/>
      </c>
      <c r="P3570" s="525" t="str">
        <f>IF(AND($L3570=$O$7,$B3570&lt;'111'!$N$11),"x","")</f>
        <v/>
      </c>
      <c r="Q3570" s="525" t="str">
        <f>IF(AND($M3570=$O$7,$B3570&lt;'111'!$N$11),"x","")</f>
        <v/>
      </c>
      <c r="R3570" s="525" t="str">
        <f>IF(ISERROR(FIND('112'!$M$9,G3570,1)),"",IF((AND(FIND('112'!$M$9,G3570,1)&gt;=1,$B3570&gt;='112'!$N$8,$B3570&lt;='112'!$O$8,OR($L3570='112'!$I$6,$M3570='112'!$I$6))),"x",""))</f>
        <v/>
      </c>
      <c r="S3570" s="525" t="str">
        <f>IF(ISERROR(FIND('112'!$M$9,G3570,1)),"",IF((AND(LEFT(G3570,2)=LEFT('112'!$M$9,2),B3570&lt;'112'!$N$8,$L3570='112'!$I$6)),"x",""))</f>
        <v/>
      </c>
      <c r="T3570" s="525" t="str">
        <f>IF(ISERROR(FIND('112'!$M$9,G3570,1)),"",IF((AND(RIGHT(G3570,2)=RIGHT('112'!$M$9,2),B3570&lt;'112'!$N$8,$M3570='112'!$I$6)),"x",""))</f>
        <v/>
      </c>
      <c r="U3570" s="525" t="str">
        <f>IF(AND(B3570&gt;='IN-NX'!$P$3,B3570&lt;='IN-NX'!$Q$3,'IN-NX'!$D$7=D3570,OR(LEFT(L3570,2)="15",AND(LEFT(M3570,2)&lt;&gt;"15",LEFT(M3570,2)&lt;&gt;"33"))),"x","")</f>
        <v/>
      </c>
      <c r="V3570" s="525" t="str">
        <f>IF(AND(OR(LEFT(TH!L3570,2)="15",LEFT(TH!M3570,2)="15"),'152-CT'!$J$8=TH!F3570),"x","")</f>
        <v/>
      </c>
      <c r="W3570" s="525" t="str">
        <f>IF(AND(OR(LEFT(TH!L3570,2)="15",LEFT(TH!M3570,2)="15"),TK!$E$7=TH!F3570),"x","")</f>
        <v/>
      </c>
      <c r="X3570" s="525" t="str">
        <f>IF(AND('341-CT'!$E$9=H3570,OR(LEFT(L3570,3)=$X$7,LEFT(M3570,3)=$X$7)),"x","")</f>
        <v/>
      </c>
      <c r="Y3570" s="525" t="str">
        <f>IF(OR(TH!L3570=TH!$Y$7,M3570=TH!$Y$7),"x","")</f>
        <v/>
      </c>
      <c r="Z3570" s="525" t="str">
        <f>IF(AND(B3570&lt;=NKC!$N$8,B3570&gt;=NKC!$M$8),"x","")</f>
        <v/>
      </c>
      <c r="AA3570" s="535"/>
      <c r="AC3570" s="536" t="str">
        <f>VLOOKUP(F3570,NXT!$B$12:$B$686,1,0)</f>
        <v>Thùng 60x60x121</v>
      </c>
    </row>
    <row r="3571" spans="1:30" s="503" customFormat="1" ht="15.75" customHeight="1">
      <c r="A3571" s="517" t="str">
        <f>IF(B3571&lt;&gt;"",IF(AND(B3571&gt;=_TM1,B3571&lt;=_TM2,OR(TH!L3571="1111",TH!M3571="1111")),TH!D3571,""),"")</f>
        <v/>
      </c>
      <c r="B3571" s="531">
        <f t="shared" si="389"/>
        <v>8</v>
      </c>
      <c r="C3571" s="315">
        <f t="shared" si="390"/>
        <v>42952</v>
      </c>
      <c r="D3571" s="544" t="s">
        <v>1181</v>
      </c>
      <c r="E3571" s="315">
        <v>42952</v>
      </c>
      <c r="F3571" s="249" t="s">
        <v>1408</v>
      </c>
      <c r="G3571" s="314" t="s">
        <v>1405</v>
      </c>
      <c r="H3571" s="248" t="s">
        <v>1374</v>
      </c>
      <c r="I3571" s="307">
        <v>480</v>
      </c>
      <c r="J3571" s="307">
        <v>5800</v>
      </c>
      <c r="K3571" s="532">
        <f t="shared" si="388"/>
        <v>2784000</v>
      </c>
      <c r="L3571" s="534" t="s">
        <v>223</v>
      </c>
      <c r="M3571" s="534" t="s">
        <v>162</v>
      </c>
      <c r="N3571" s="525" t="str">
        <f>IF(AND('331-CT'!$E$7=TH!H3571,OR(L3571="331",M3571="331")),"331",IF(AND(OR(L3571="131",M3571="131"),H3571='131-CT'!$E$7),"131",""))</f>
        <v/>
      </c>
      <c r="O3571" s="525" t="str">
        <f>IF(AND($B3571&gt;='111'!$N$11,$B3571&lt;='111'!$O$11,OR($L3571=$O$7,$M3571=$O$7)),"x","")</f>
        <v/>
      </c>
      <c r="P3571" s="525" t="str">
        <f>IF(AND($L3571=$O$7,$B3571&lt;'111'!$N$11),"x","")</f>
        <v/>
      </c>
      <c r="Q3571" s="525" t="str">
        <f>IF(AND($M3571=$O$7,$B3571&lt;'111'!$N$11),"x","")</f>
        <v/>
      </c>
      <c r="R3571" s="525" t="str">
        <f>IF(ISERROR(FIND('112'!$M$9,G3571,1)),"",IF((AND(FIND('112'!$M$9,G3571,1)&gt;=1,$B3571&gt;='112'!$N$8,$B3571&lt;='112'!$O$8,OR($L3571='112'!$I$6,$M3571='112'!$I$6))),"x",""))</f>
        <v/>
      </c>
      <c r="S3571" s="525" t="str">
        <f>IF(ISERROR(FIND('112'!$M$9,G3571,1)),"",IF((AND(LEFT(G3571,2)=LEFT('112'!$M$9,2),B3571&lt;'112'!$N$8,$L3571='112'!$I$6)),"x",""))</f>
        <v/>
      </c>
      <c r="T3571" s="525" t="str">
        <f>IF(ISERROR(FIND('112'!$M$9,G3571,1)),"",IF((AND(RIGHT(G3571,2)=RIGHT('112'!$M$9,2),B3571&lt;'112'!$N$8,$M3571='112'!$I$6)),"x",""))</f>
        <v/>
      </c>
      <c r="U3571" s="525" t="str">
        <f>IF(AND(B3571&gt;='IN-NX'!$P$3,B3571&lt;='IN-NX'!$Q$3,'IN-NX'!$D$7=D3571,OR(LEFT(L3571,2)="15",AND(LEFT(M3571,2)&lt;&gt;"15",LEFT(M3571,2)&lt;&gt;"33"))),"x","")</f>
        <v/>
      </c>
      <c r="V3571" s="525" t="str">
        <f>IF(AND(OR(LEFT(TH!L3571,2)="15",LEFT(TH!M3571,2)="15"),'152-CT'!$J$8=TH!F3571),"x","")</f>
        <v/>
      </c>
      <c r="W3571" s="525" t="str">
        <f>IF(AND(OR(LEFT(TH!L3571,2)="15",LEFT(TH!M3571,2)="15"),TK!$E$7=TH!F3571),"x","")</f>
        <v/>
      </c>
      <c r="X3571" s="525" t="str">
        <f>IF(AND('341-CT'!$E$9=H3571,OR(LEFT(L3571,3)=$X$7,LEFT(M3571,3)=$X$7)),"x","")</f>
        <v/>
      </c>
      <c r="Y3571" s="525" t="str">
        <f>IF(OR(TH!L3571=TH!$Y$7,M3571=TH!$Y$7),"x","")</f>
        <v/>
      </c>
      <c r="Z3571" s="525" t="str">
        <f>IF(AND(B3571&lt;=NKC!$N$8,B3571&gt;=NKC!$M$8),"x","")</f>
        <v/>
      </c>
      <c r="AA3571" s="535"/>
      <c r="AC3571" s="536" t="str">
        <f>VLOOKUP(F3571,NXT!$B$12:$B$686,1,0)</f>
        <v>Thùng 50x50x101</v>
      </c>
    </row>
    <row r="3572" spans="1:30" s="503" customFormat="1" ht="15.75" customHeight="1">
      <c r="A3572" s="517" t="str">
        <f>IF(B3572&lt;&gt;"",IF(AND(B3572&gt;=_TM1,B3572&lt;=_TM2,OR(TH!L3572="1111",TH!M3572="1111")),TH!D3572,""),"")</f>
        <v/>
      </c>
      <c r="B3572" s="531">
        <f t="shared" si="389"/>
        <v>8</v>
      </c>
      <c r="C3572" s="315">
        <f t="shared" si="390"/>
        <v>42952</v>
      </c>
      <c r="D3572" s="544" t="s">
        <v>1181</v>
      </c>
      <c r="E3572" s="315">
        <v>42952</v>
      </c>
      <c r="F3572" s="249" t="s">
        <v>1409</v>
      </c>
      <c r="G3572" s="314" t="s">
        <v>1405</v>
      </c>
      <c r="H3572" s="248" t="s">
        <v>1374</v>
      </c>
      <c r="I3572" s="307">
        <v>480</v>
      </c>
      <c r="J3572" s="307">
        <v>7000</v>
      </c>
      <c r="K3572" s="532">
        <f t="shared" si="388"/>
        <v>3360000</v>
      </c>
      <c r="L3572" s="534" t="s">
        <v>223</v>
      </c>
      <c r="M3572" s="534" t="s">
        <v>162</v>
      </c>
      <c r="N3572" s="525" t="str">
        <f>IF(AND('331-CT'!$E$7=TH!H3572,OR(L3572="331",M3572="331")),"331",IF(AND(OR(L3572="131",M3572="131"),H3572='131-CT'!$E$7),"131",""))</f>
        <v/>
      </c>
      <c r="O3572" s="525" t="str">
        <f>IF(AND($B3572&gt;='111'!$N$11,$B3572&lt;='111'!$O$11,OR($L3572=$O$7,$M3572=$O$7)),"x","")</f>
        <v/>
      </c>
      <c r="P3572" s="525" t="str">
        <f>IF(AND($L3572=$O$7,$B3572&lt;'111'!$N$11),"x","")</f>
        <v/>
      </c>
      <c r="Q3572" s="525" t="str">
        <f>IF(AND($M3572=$O$7,$B3572&lt;'111'!$N$11),"x","")</f>
        <v/>
      </c>
      <c r="R3572" s="525" t="str">
        <f>IF(ISERROR(FIND('112'!$M$9,G3572,1)),"",IF((AND(FIND('112'!$M$9,G3572,1)&gt;=1,$B3572&gt;='112'!$N$8,$B3572&lt;='112'!$O$8,OR($L3572='112'!$I$6,$M3572='112'!$I$6))),"x",""))</f>
        <v/>
      </c>
      <c r="S3572" s="525" t="str">
        <f>IF(ISERROR(FIND('112'!$M$9,G3572,1)),"",IF((AND(LEFT(G3572,2)=LEFT('112'!$M$9,2),B3572&lt;'112'!$N$8,$L3572='112'!$I$6)),"x",""))</f>
        <v/>
      </c>
      <c r="T3572" s="525" t="str">
        <f>IF(ISERROR(FIND('112'!$M$9,G3572,1)),"",IF((AND(RIGHT(G3572,2)=RIGHT('112'!$M$9,2),B3572&lt;'112'!$N$8,$M3572='112'!$I$6)),"x",""))</f>
        <v/>
      </c>
      <c r="U3572" s="525" t="str">
        <f>IF(AND(B3572&gt;='IN-NX'!$P$3,B3572&lt;='IN-NX'!$Q$3,'IN-NX'!$D$7=D3572,OR(LEFT(L3572,2)="15",AND(LEFT(M3572,2)&lt;&gt;"15",LEFT(M3572,2)&lt;&gt;"33"))),"x","")</f>
        <v/>
      </c>
      <c r="V3572" s="525" t="str">
        <f>IF(AND(OR(LEFT(TH!L3572,2)="15",LEFT(TH!M3572,2)="15"),'152-CT'!$J$8=TH!F3572),"x","")</f>
        <v/>
      </c>
      <c r="W3572" s="525" t="str">
        <f>IF(AND(OR(LEFT(TH!L3572,2)="15",LEFT(TH!M3572,2)="15"),TK!$E$7=TH!F3572),"x","")</f>
        <v/>
      </c>
      <c r="X3572" s="525" t="str">
        <f>IF(AND('341-CT'!$E$9=H3572,OR(LEFT(L3572,3)=$X$7,LEFT(M3572,3)=$X$7)),"x","")</f>
        <v/>
      </c>
      <c r="Y3572" s="525" t="str">
        <f>IF(OR(TH!L3572=TH!$Y$7,M3572=TH!$Y$7),"x","")</f>
        <v/>
      </c>
      <c r="Z3572" s="525" t="str">
        <f>IF(AND(B3572&lt;=NKC!$N$8,B3572&gt;=NKC!$M$8),"x","")</f>
        <v/>
      </c>
      <c r="AA3572" s="535"/>
      <c r="AC3572" s="536" t="str">
        <f>VLOOKUP(F3572,NXT!$B$12:$B$686,1,0)</f>
        <v>Thùng 50x50x122</v>
      </c>
    </row>
    <row r="3573" spans="1:30" s="503" customFormat="1" ht="15.75" customHeight="1">
      <c r="A3573" s="517" t="str">
        <f>IF(B3573&lt;&gt;"",IF(AND(B3573&gt;=_TM1,B3573&lt;=_TM2,OR(TH!L3573="1111",TH!M3573="1111")),TH!D3573,""),"")</f>
        <v/>
      </c>
      <c r="B3573" s="531">
        <f t="shared" si="386"/>
        <v>8</v>
      </c>
      <c r="C3573" s="315">
        <f t="shared" si="387"/>
        <v>42952</v>
      </c>
      <c r="D3573" s="544" t="s">
        <v>1181</v>
      </c>
      <c r="E3573" s="315">
        <v>42952</v>
      </c>
      <c r="F3573" s="249" t="s">
        <v>1410</v>
      </c>
      <c r="G3573" s="314" t="s">
        <v>1405</v>
      </c>
      <c r="H3573" s="248" t="s">
        <v>1374</v>
      </c>
      <c r="I3573" s="307">
        <v>480</v>
      </c>
      <c r="J3573" s="307">
        <v>1700</v>
      </c>
      <c r="K3573" s="532">
        <f t="shared" si="388"/>
        <v>816000</v>
      </c>
      <c r="L3573" s="534" t="s">
        <v>223</v>
      </c>
      <c r="M3573" s="534" t="s">
        <v>162</v>
      </c>
      <c r="N3573" s="525" t="str">
        <f>IF(AND('331-CT'!$E$7=TH!H3573,OR(L3573="331",M3573="331")),"331",IF(AND(OR(L3573="131",M3573="131"),H3573='131-CT'!$E$7),"131",""))</f>
        <v/>
      </c>
      <c r="O3573" s="525" t="str">
        <f>IF(AND($B3573&gt;='111'!$N$11,$B3573&lt;='111'!$O$11,OR($L3573=$O$7,$M3573=$O$7)),"x","")</f>
        <v/>
      </c>
      <c r="P3573" s="525" t="str">
        <f>IF(AND($L3573=$O$7,$B3573&lt;'111'!$N$11),"x","")</f>
        <v/>
      </c>
      <c r="Q3573" s="525" t="str">
        <f>IF(AND($M3573=$O$7,$B3573&lt;'111'!$N$11),"x","")</f>
        <v/>
      </c>
      <c r="R3573" s="525" t="str">
        <f>IF(ISERROR(FIND('112'!$M$9,G3573,1)),"",IF((AND(FIND('112'!$M$9,G3573,1)&gt;=1,$B3573&gt;='112'!$N$8,$B3573&lt;='112'!$O$8,OR($L3573='112'!$I$6,$M3573='112'!$I$6))),"x",""))</f>
        <v/>
      </c>
      <c r="S3573" s="525" t="str">
        <f>IF(ISERROR(FIND('112'!$M$9,G3573,1)),"",IF((AND(LEFT(G3573,2)=LEFT('112'!$M$9,2),B3573&lt;'112'!$N$8,$L3573='112'!$I$6)),"x",""))</f>
        <v/>
      </c>
      <c r="T3573" s="525" t="str">
        <f>IF(ISERROR(FIND('112'!$M$9,G3573,1)),"",IF((AND(RIGHT(G3573,2)=RIGHT('112'!$M$9,2),B3573&lt;'112'!$N$8,$M3573='112'!$I$6)),"x",""))</f>
        <v/>
      </c>
      <c r="U3573" s="525" t="str">
        <f>IF(AND(B3573&gt;='IN-NX'!$P$3,B3573&lt;='IN-NX'!$Q$3,'IN-NX'!$D$7=D3573,OR(LEFT(L3573,2)="15",AND(LEFT(M3573,2)&lt;&gt;"15",LEFT(M3573,2)&lt;&gt;"33"))),"x","")</f>
        <v/>
      </c>
      <c r="V3573" s="525" t="str">
        <f>IF(AND(OR(LEFT(TH!L3573,2)="15",LEFT(TH!M3573,2)="15"),'152-CT'!$J$8=TH!F3573),"x","")</f>
        <v/>
      </c>
      <c r="W3573" s="525" t="str">
        <f>IF(AND(OR(LEFT(TH!L3573,2)="15",LEFT(TH!M3573,2)="15"),TK!$E$7=TH!F3573),"x","")</f>
        <v/>
      </c>
      <c r="X3573" s="525" t="str">
        <f>IF(AND('341-CT'!$E$9=H3573,OR(LEFT(L3573,3)=$X$7,LEFT(M3573,3)=$X$7)),"x","")</f>
        <v/>
      </c>
      <c r="Y3573" s="525" t="str">
        <f>IF(OR(TH!L3573=TH!$Y$7,M3573=TH!$Y$7),"x","")</f>
        <v/>
      </c>
      <c r="Z3573" s="525" t="str">
        <f>IF(AND(B3573&lt;=NKC!$N$8,B3573&gt;=NKC!$M$8),"x","")</f>
        <v/>
      </c>
      <c r="AA3573" s="535"/>
      <c r="AC3573" s="536" t="str">
        <f>VLOOKUP(F3573,NXT!$B$12:$B$686,1,0)</f>
        <v>Thùng 50x50x31</v>
      </c>
    </row>
    <row r="3574" spans="1:30" s="503" customFormat="1" ht="15.75" customHeight="1">
      <c r="A3574" s="517" t="str">
        <f>IF(B3574&lt;&gt;"",IF(AND(B3574&gt;=_TM1,B3574&lt;=_TM2,OR(TH!L3574="1111",TH!M3574="1111")),TH!D3574,""),"")</f>
        <v/>
      </c>
      <c r="B3574" s="531">
        <f t="shared" si="386"/>
        <v>8</v>
      </c>
      <c r="C3574" s="315">
        <f t="shared" si="387"/>
        <v>42952</v>
      </c>
      <c r="D3574" s="544" t="s">
        <v>1181</v>
      </c>
      <c r="E3574" s="315">
        <v>42952</v>
      </c>
      <c r="F3574" s="249" t="s">
        <v>1411</v>
      </c>
      <c r="G3574" s="314" t="s">
        <v>1405</v>
      </c>
      <c r="H3574" s="248" t="s">
        <v>1374</v>
      </c>
      <c r="I3574" s="307">
        <v>480</v>
      </c>
      <c r="J3574" s="307">
        <v>2200</v>
      </c>
      <c r="K3574" s="532">
        <f t="shared" si="388"/>
        <v>1056000</v>
      </c>
      <c r="L3574" s="534" t="s">
        <v>223</v>
      </c>
      <c r="M3574" s="534" t="s">
        <v>162</v>
      </c>
      <c r="N3574" s="525" t="str">
        <f>IF(AND('331-CT'!$E$7=TH!H3574,OR(L3574="331",M3574="331")),"331",IF(AND(OR(L3574="131",M3574="131"),H3574='131-CT'!$E$7),"131",""))</f>
        <v/>
      </c>
      <c r="O3574" s="525" t="str">
        <f>IF(AND($B3574&gt;='111'!$N$11,$B3574&lt;='111'!$O$11,OR($L3574=$O$7,$M3574=$O$7)),"x","")</f>
        <v/>
      </c>
      <c r="P3574" s="525" t="str">
        <f>IF(AND($L3574=$O$7,$B3574&lt;'111'!$N$11),"x","")</f>
        <v/>
      </c>
      <c r="Q3574" s="525" t="str">
        <f>IF(AND($M3574=$O$7,$B3574&lt;'111'!$N$11),"x","")</f>
        <v/>
      </c>
      <c r="R3574" s="525" t="str">
        <f>IF(ISERROR(FIND('112'!$M$9,G3574,1)),"",IF((AND(FIND('112'!$M$9,G3574,1)&gt;=1,$B3574&gt;='112'!$N$8,$B3574&lt;='112'!$O$8,OR($L3574='112'!$I$6,$M3574='112'!$I$6))),"x",""))</f>
        <v/>
      </c>
      <c r="S3574" s="525" t="str">
        <f>IF(ISERROR(FIND('112'!$M$9,G3574,1)),"",IF((AND(LEFT(G3574,2)=LEFT('112'!$M$9,2),B3574&lt;'112'!$N$8,$L3574='112'!$I$6)),"x",""))</f>
        <v/>
      </c>
      <c r="T3574" s="525" t="str">
        <f>IF(ISERROR(FIND('112'!$M$9,G3574,1)),"",IF((AND(RIGHT(G3574,2)=RIGHT('112'!$M$9,2),B3574&lt;'112'!$N$8,$M3574='112'!$I$6)),"x",""))</f>
        <v/>
      </c>
      <c r="U3574" s="525" t="str">
        <f>IF(AND(B3574&gt;='IN-NX'!$P$3,B3574&lt;='IN-NX'!$Q$3,'IN-NX'!$D$7=D3574,OR(LEFT(L3574,2)="15",AND(LEFT(M3574,2)&lt;&gt;"15",LEFT(M3574,2)&lt;&gt;"33"))),"x","")</f>
        <v/>
      </c>
      <c r="V3574" s="525" t="str">
        <f>IF(AND(OR(LEFT(TH!L3574,2)="15",LEFT(TH!M3574,2)="15"),'152-CT'!$J$8=TH!F3574),"x","")</f>
        <v/>
      </c>
      <c r="W3574" s="525" t="str">
        <f>IF(AND(OR(LEFT(TH!L3574,2)="15",LEFT(TH!M3574,2)="15"),TK!$E$7=TH!F3574),"x","")</f>
        <v/>
      </c>
      <c r="X3574" s="525" t="str">
        <f>IF(AND('341-CT'!$E$9=H3574,OR(LEFT(L3574,3)=$X$7,LEFT(M3574,3)=$X$7)),"x","")</f>
        <v/>
      </c>
      <c r="Y3574" s="525" t="str">
        <f>IF(OR(TH!L3574=TH!$Y$7,M3574=TH!$Y$7),"x","")</f>
        <v/>
      </c>
      <c r="Z3574" s="525" t="str">
        <f>IF(AND(B3574&lt;=NKC!$N$8,B3574&gt;=NKC!$M$8),"x","")</f>
        <v/>
      </c>
      <c r="AA3574" s="535"/>
      <c r="AC3574" s="536" t="str">
        <f>VLOOKUP(F3574,NXT!$B$12:$B$686,1,0)</f>
        <v>Thùng 50x50x40</v>
      </c>
    </row>
    <row r="3575" spans="1:30" s="503" customFormat="1" ht="15.75" customHeight="1">
      <c r="A3575" s="517" t="str">
        <f>IF(B3575&lt;&gt;"",IF(AND(B3575&gt;=_TM1,B3575&lt;=_TM2,OR(TH!L3575="1111",TH!M3575="1111")),TH!D3575,""),"")</f>
        <v/>
      </c>
      <c r="B3575" s="531">
        <f t="shared" si="386"/>
        <v>8</v>
      </c>
      <c r="C3575" s="315">
        <f t="shared" si="387"/>
        <v>42952</v>
      </c>
      <c r="D3575" s="544" t="s">
        <v>1181</v>
      </c>
      <c r="E3575" s="315">
        <v>42952</v>
      </c>
      <c r="F3575" s="249" t="s">
        <v>1412</v>
      </c>
      <c r="G3575" s="314" t="s">
        <v>1405</v>
      </c>
      <c r="H3575" s="248" t="s">
        <v>1374</v>
      </c>
      <c r="I3575" s="307">
        <v>360</v>
      </c>
      <c r="J3575" s="307">
        <v>2800</v>
      </c>
      <c r="K3575" s="532">
        <f t="shared" si="388"/>
        <v>1008000</v>
      </c>
      <c r="L3575" s="534" t="s">
        <v>223</v>
      </c>
      <c r="M3575" s="534" t="s">
        <v>162</v>
      </c>
      <c r="N3575" s="525" t="str">
        <f>IF(AND('331-CT'!$E$7=TH!H3575,OR(L3575="331",M3575="331")),"331",IF(AND(OR(L3575="131",M3575="131"),H3575='131-CT'!$E$7),"131",""))</f>
        <v/>
      </c>
      <c r="O3575" s="525" t="str">
        <f>IF(AND($B3575&gt;='111'!$N$11,$B3575&lt;='111'!$O$11,OR($L3575=$O$7,$M3575=$O$7)),"x","")</f>
        <v/>
      </c>
      <c r="P3575" s="525" t="str">
        <f>IF(AND($L3575=$O$7,$B3575&lt;'111'!$N$11),"x","")</f>
        <v/>
      </c>
      <c r="Q3575" s="525" t="str">
        <f>IF(AND($M3575=$O$7,$B3575&lt;'111'!$N$11),"x","")</f>
        <v/>
      </c>
      <c r="R3575" s="525" t="str">
        <f>IF(ISERROR(FIND('112'!$M$9,G3575,1)),"",IF((AND(FIND('112'!$M$9,G3575,1)&gt;=1,$B3575&gt;='112'!$N$8,$B3575&lt;='112'!$O$8,OR($L3575='112'!$I$6,$M3575='112'!$I$6))),"x",""))</f>
        <v/>
      </c>
      <c r="S3575" s="525" t="str">
        <f>IF(ISERROR(FIND('112'!$M$9,G3575,1)),"",IF((AND(LEFT(G3575,2)=LEFT('112'!$M$9,2),B3575&lt;'112'!$N$8,$L3575='112'!$I$6)),"x",""))</f>
        <v/>
      </c>
      <c r="T3575" s="525" t="str">
        <f>IF(ISERROR(FIND('112'!$M$9,G3575,1)),"",IF((AND(RIGHT(G3575,2)=RIGHT('112'!$M$9,2),B3575&lt;'112'!$N$8,$M3575='112'!$I$6)),"x",""))</f>
        <v/>
      </c>
      <c r="U3575" s="525" t="str">
        <f>IF(AND(B3575&gt;='IN-NX'!$P$3,B3575&lt;='IN-NX'!$Q$3,'IN-NX'!$D$7=D3575,OR(LEFT(L3575,2)="15",AND(LEFT(M3575,2)&lt;&gt;"15",LEFT(M3575,2)&lt;&gt;"33"))),"x","")</f>
        <v/>
      </c>
      <c r="V3575" s="525" t="str">
        <f>IF(AND(OR(LEFT(TH!L3575,2)="15",LEFT(TH!M3575,2)="15"),'152-CT'!$J$8=TH!F3575),"x","")</f>
        <v/>
      </c>
      <c r="W3575" s="525" t="str">
        <f>IF(AND(OR(LEFT(TH!L3575,2)="15",LEFT(TH!M3575,2)="15"),TK!$E$7=TH!F3575),"x","")</f>
        <v/>
      </c>
      <c r="X3575" s="525" t="str">
        <f>IF(AND('341-CT'!$E$9=H3575,OR(LEFT(L3575,3)=$X$7,LEFT(M3575,3)=$X$7)),"x","")</f>
        <v/>
      </c>
      <c r="Y3575" s="525" t="str">
        <f>IF(OR(TH!L3575=TH!$Y$7,M3575=TH!$Y$7),"x","")</f>
        <v/>
      </c>
      <c r="Z3575" s="525" t="str">
        <f>IF(AND(B3575&lt;=NKC!$N$8,B3575&gt;=NKC!$M$8),"x","")</f>
        <v/>
      </c>
      <c r="AA3575" s="535"/>
      <c r="AC3575" s="536" t="str">
        <f>VLOOKUP(F3575,NXT!$B$12:$B$686,1,0)</f>
        <v>Thùng 120x12x2</v>
      </c>
    </row>
    <row r="3576" spans="1:30" s="503" customFormat="1" ht="15.75" customHeight="1">
      <c r="A3576" s="517" t="str">
        <f>IF(B3576&lt;&gt;"",IF(AND(B3576&gt;=_TM1,B3576&lt;=_TM2,OR(TH!L3576="1111",TH!M3576="1111")),TH!D3576,""),"")</f>
        <v/>
      </c>
      <c r="B3576" s="531">
        <f t="shared" si="386"/>
        <v>8</v>
      </c>
      <c r="C3576" s="315">
        <f t="shared" si="387"/>
        <v>42952</v>
      </c>
      <c r="D3576" s="544" t="s">
        <v>1181</v>
      </c>
      <c r="E3576" s="315">
        <v>42952</v>
      </c>
      <c r="F3576" s="249" t="s">
        <v>494</v>
      </c>
      <c r="G3576" s="314" t="s">
        <v>1405</v>
      </c>
      <c r="H3576" s="248" t="s">
        <v>1374</v>
      </c>
      <c r="I3576" s="307"/>
      <c r="J3576" s="307"/>
      <c r="K3576" s="532">
        <v>1968000</v>
      </c>
      <c r="L3576" s="534" t="s">
        <v>223</v>
      </c>
      <c r="M3576" s="534" t="s">
        <v>259</v>
      </c>
      <c r="N3576" s="525" t="str">
        <f>IF(AND('331-CT'!$E$7=TH!H3576,OR(L3576="331",M3576="331")),"331",IF(AND(OR(L3576="131",M3576="131"),H3576='131-CT'!$E$7),"131",""))</f>
        <v/>
      </c>
      <c r="O3576" s="525" t="str">
        <f>IF(AND($B3576&gt;='111'!$N$11,$B3576&lt;='111'!$O$11,OR($L3576=$O$7,$M3576=$O$7)),"x","")</f>
        <v/>
      </c>
      <c r="P3576" s="525" t="str">
        <f>IF(AND($L3576=$O$7,$B3576&lt;'111'!$N$11),"x","")</f>
        <v/>
      </c>
      <c r="Q3576" s="525" t="str">
        <f>IF(AND($M3576=$O$7,$B3576&lt;'111'!$N$11),"x","")</f>
        <v/>
      </c>
      <c r="R3576" s="525" t="str">
        <f>IF(ISERROR(FIND('112'!$M$9,G3576,1)),"",IF((AND(FIND('112'!$M$9,G3576,1)&gt;=1,$B3576&gt;='112'!$N$8,$B3576&lt;='112'!$O$8,OR($L3576='112'!$I$6,$M3576='112'!$I$6))),"x",""))</f>
        <v/>
      </c>
      <c r="S3576" s="525" t="str">
        <f>IF(ISERROR(FIND('112'!$M$9,G3576,1)),"",IF((AND(LEFT(G3576,2)=LEFT('112'!$M$9,2),B3576&lt;'112'!$N$8,$L3576='112'!$I$6)),"x",""))</f>
        <v/>
      </c>
      <c r="T3576" s="525" t="str">
        <f>IF(ISERROR(FIND('112'!$M$9,G3576,1)),"",IF((AND(RIGHT(G3576,2)=RIGHT('112'!$M$9,2),B3576&lt;'112'!$N$8,$M3576='112'!$I$6)),"x",""))</f>
        <v/>
      </c>
      <c r="U3576" s="525" t="str">
        <f>IF(AND(B3576&gt;='IN-NX'!$P$3,B3576&lt;='IN-NX'!$Q$3,'IN-NX'!$D$7=D3576,OR(LEFT(L3576,2)="15",AND(LEFT(M3576,2)&lt;&gt;"15",LEFT(M3576,2)&lt;&gt;"33"))),"x","")</f>
        <v/>
      </c>
      <c r="V3576" s="525" t="str">
        <f>IF(AND(OR(LEFT(TH!L3576,2)="15",LEFT(TH!M3576,2)="15"),'152-CT'!$J$8=TH!F3576),"x","")</f>
        <v/>
      </c>
      <c r="W3576" s="525" t="str">
        <f>IF(AND(OR(LEFT(TH!L3576,2)="15",LEFT(TH!M3576,2)="15"),TK!$E$7=TH!F3576),"x","")</f>
        <v/>
      </c>
      <c r="X3576" s="525" t="str">
        <f>IF(AND('341-CT'!$E$9=H3576,OR(LEFT(L3576,3)=$X$7,LEFT(M3576,3)=$X$7)),"x","")</f>
        <v/>
      </c>
      <c r="Y3576" s="525" t="str">
        <f>IF(OR(TH!L3576=TH!$Y$7,M3576=TH!$Y$7),"x","")</f>
        <v/>
      </c>
      <c r="Z3576" s="525" t="str">
        <f>IF(AND(B3576&lt;=NKC!$N$8,B3576&gt;=NKC!$M$8),"x","")</f>
        <v/>
      </c>
      <c r="AA3576" s="535"/>
    </row>
    <row r="3577" spans="1:30" s="576" customFormat="1" ht="15.75" customHeight="1">
      <c r="A3577" s="517" t="str">
        <f>IF(B3577&lt;&gt;"",IF(AND(B3577&gt;=_TM1,B3577&lt;=_TM2,OR(TH!L3577="1111",TH!M3577="1111")),TH!D3577,""),"")</f>
        <v/>
      </c>
      <c r="B3577" s="518">
        <f t="shared" si="386"/>
        <v>8</v>
      </c>
      <c r="C3577" s="315">
        <f t="shared" si="387"/>
        <v>42957</v>
      </c>
      <c r="D3577" s="544" t="s">
        <v>1181</v>
      </c>
      <c r="E3577" s="315">
        <v>42957</v>
      </c>
      <c r="F3577" s="249" t="s">
        <v>1414</v>
      </c>
      <c r="G3577" s="314" t="s">
        <v>584</v>
      </c>
      <c r="H3577" s="248" t="s">
        <v>1413</v>
      </c>
      <c r="I3577" s="307">
        <v>1000</v>
      </c>
      <c r="J3577" s="307">
        <v>9838</v>
      </c>
      <c r="K3577" s="532">
        <f>ROUND(I3577*J3577,0)</f>
        <v>9838000</v>
      </c>
      <c r="L3577" s="534" t="s">
        <v>223</v>
      </c>
      <c r="M3577" s="534" t="s">
        <v>162</v>
      </c>
      <c r="N3577" s="525" t="str">
        <f>IF(AND('331-CT'!$E$7=TH!H3577,OR(L3577="331",M3577="331")),"331",IF(AND(OR(L3577="131",M3577="131"),H3577='131-CT'!$E$7),"131",""))</f>
        <v/>
      </c>
      <c r="O3577" s="525" t="str">
        <f>IF(AND($B3577&gt;='111'!$N$11,$B3577&lt;='111'!$O$11,OR($L3577=$O$7,$M3577=$O$7)),"x","")</f>
        <v/>
      </c>
      <c r="P3577" s="525" t="str">
        <f>IF(AND($L3577=$O$7,$B3577&lt;'111'!$N$11),"x","")</f>
        <v/>
      </c>
      <c r="Q3577" s="525" t="str">
        <f>IF(AND($M3577=$O$7,$B3577&lt;'111'!$N$11),"x","")</f>
        <v/>
      </c>
      <c r="R3577" s="525" t="str">
        <f>IF(ISERROR(FIND('112'!$M$9,G3577,1)),"",IF((AND(FIND('112'!$M$9,G3577,1)&gt;=1,$B3577&gt;='112'!$N$8,$B3577&lt;='112'!$O$8,OR($L3577='112'!$I$6,$M3577='112'!$I$6))),"x",""))</f>
        <v/>
      </c>
      <c r="S3577" s="525" t="str">
        <f>IF(ISERROR(FIND('112'!$M$9,G3577,1)),"",IF((AND(LEFT(G3577,2)=LEFT('112'!$M$9,2),B3577&lt;'112'!$N$8,$L3577='112'!$I$6)),"x",""))</f>
        <v/>
      </c>
      <c r="T3577" s="525" t="str">
        <f>IF(ISERROR(FIND('112'!$M$9,G3577,1)),"",IF((AND(RIGHT(G3577,2)=RIGHT('112'!$M$9,2),B3577&lt;'112'!$N$8,$M3577='112'!$I$6)),"x",""))</f>
        <v/>
      </c>
      <c r="U3577" s="525" t="str">
        <f>IF(AND(B3577&gt;='IN-NX'!$P$3,B3577&lt;='IN-NX'!$Q$3,'IN-NX'!$D$7=D3577,OR(LEFT(L3577,2)="15",AND(LEFT(M3577,2)&lt;&gt;"15",LEFT(M3577,2)&lt;&gt;"33"))),"x","")</f>
        <v/>
      </c>
      <c r="V3577" s="525" t="str">
        <f>IF(AND(OR(LEFT(TH!L3577,2)="15",LEFT(TH!M3577,2)="15"),'152-CT'!$J$8=TH!F3577),"x","")</f>
        <v/>
      </c>
      <c r="W3577" s="525" t="str">
        <f>IF(AND(OR(LEFT(TH!L3577,2)="15",LEFT(TH!M3577,2)="15"),TK!$E$7=TH!F3577),"x","")</f>
        <v/>
      </c>
      <c r="X3577" s="525" t="str">
        <f>IF(AND('341-CT'!$E$9=H3577,OR(LEFT(L3577,3)=$X$7,LEFT(M3577,3)=$X$7)),"x","")</f>
        <v/>
      </c>
      <c r="Y3577" s="525" t="str">
        <f>IF(OR(TH!L3577=TH!$Y$7,M3577=TH!$Y$7),"x","")</f>
        <v/>
      </c>
      <c r="Z3577" s="525" t="str">
        <f>IF(AND(B3577&lt;=NKC!$N$8,B3577&gt;=NKC!$M$8),"x","")</f>
        <v/>
      </c>
      <c r="AA3577" s="526"/>
      <c r="AB3577" s="527"/>
      <c r="AC3577" s="536" t="str">
        <f>VLOOKUP(F3577,NXT!$B$12:$B$686,1,0)</f>
        <v>Thùng 36x30x19.5</v>
      </c>
      <c r="AD3577" s="527"/>
    </row>
    <row r="3578" spans="1:30" s="576" customFormat="1" ht="15.75" customHeight="1">
      <c r="A3578" s="517" t="str">
        <f>IF(B3578&lt;&gt;"",IF(AND(B3578&gt;=_TM1,B3578&lt;=_TM2,OR(TH!L3578="1111",TH!M3578="1111")),TH!D3578,""),"")</f>
        <v/>
      </c>
      <c r="B3578" s="518">
        <f t="shared" si="386"/>
        <v>8</v>
      </c>
      <c r="C3578" s="315">
        <f t="shared" si="387"/>
        <v>42957</v>
      </c>
      <c r="D3578" s="544" t="s">
        <v>1181</v>
      </c>
      <c r="E3578" s="315">
        <v>42957</v>
      </c>
      <c r="F3578" s="249" t="s">
        <v>494</v>
      </c>
      <c r="G3578" s="314" t="s">
        <v>584</v>
      </c>
      <c r="H3578" s="248" t="s">
        <v>1413</v>
      </c>
      <c r="I3578" s="307"/>
      <c r="J3578" s="307"/>
      <c r="K3578" s="532">
        <v>983800</v>
      </c>
      <c r="L3578" s="534" t="s">
        <v>223</v>
      </c>
      <c r="M3578" s="534" t="s">
        <v>259</v>
      </c>
      <c r="N3578" s="525" t="str">
        <f>IF(AND('331-CT'!$E$7=TH!H3578,OR(L3578="331",M3578="331")),"331",IF(AND(OR(L3578="131",M3578="131"),H3578='131-CT'!$E$7),"131",""))</f>
        <v/>
      </c>
      <c r="O3578" s="525" t="str">
        <f>IF(AND($B3578&gt;='111'!$N$11,$B3578&lt;='111'!$O$11,OR($L3578=$O$7,$M3578=$O$7)),"x","")</f>
        <v/>
      </c>
      <c r="P3578" s="525" t="str">
        <f>IF(AND($L3578=$O$7,$B3578&lt;'111'!$N$11),"x","")</f>
        <v/>
      </c>
      <c r="Q3578" s="525" t="str">
        <f>IF(AND($M3578=$O$7,$B3578&lt;'111'!$N$11),"x","")</f>
        <v/>
      </c>
      <c r="R3578" s="525" t="str">
        <f>IF(ISERROR(FIND('112'!$M$9,G3578,1)),"",IF((AND(FIND('112'!$M$9,G3578,1)&gt;=1,$B3578&gt;='112'!$N$8,$B3578&lt;='112'!$O$8,OR($L3578='112'!$I$6,$M3578='112'!$I$6))),"x",""))</f>
        <v/>
      </c>
      <c r="S3578" s="525" t="str">
        <f>IF(ISERROR(FIND('112'!$M$9,G3578,1)),"",IF((AND(LEFT(G3578,2)=LEFT('112'!$M$9,2),B3578&lt;'112'!$N$8,$L3578='112'!$I$6)),"x",""))</f>
        <v/>
      </c>
      <c r="T3578" s="525" t="str">
        <f>IF(ISERROR(FIND('112'!$M$9,G3578,1)),"",IF((AND(RIGHT(G3578,2)=RIGHT('112'!$M$9,2),B3578&lt;'112'!$N$8,$M3578='112'!$I$6)),"x",""))</f>
        <v/>
      </c>
      <c r="U3578" s="525" t="str">
        <f>IF(AND(B3578&gt;='IN-NX'!$P$3,B3578&lt;='IN-NX'!$Q$3,'IN-NX'!$D$7=D3578,OR(LEFT(L3578,2)="15",AND(LEFT(M3578,2)&lt;&gt;"15",LEFT(M3578,2)&lt;&gt;"33"))),"x","")</f>
        <v/>
      </c>
      <c r="V3578" s="525" t="str">
        <f>IF(AND(OR(LEFT(TH!L3578,2)="15",LEFT(TH!M3578,2)="15"),'152-CT'!$J$8=TH!F3578),"x","")</f>
        <v/>
      </c>
      <c r="W3578" s="525" t="str">
        <f>IF(AND(OR(LEFT(TH!L3578,2)="15",LEFT(TH!M3578,2)="15"),TK!$E$7=TH!F3578),"x","")</f>
        <v/>
      </c>
      <c r="X3578" s="525" t="str">
        <f>IF(AND('341-CT'!$E$9=H3578,OR(LEFT(L3578,3)=$X$7,LEFT(M3578,3)=$X$7)),"x","")</f>
        <v/>
      </c>
      <c r="Y3578" s="525" t="str">
        <f>IF(OR(TH!L3578=TH!$Y$7,M3578=TH!$Y$7),"x","")</f>
        <v/>
      </c>
      <c r="Z3578" s="525" t="str">
        <f>IF(AND(B3578&lt;=NKC!$N$8,B3578&gt;=NKC!$M$8),"x","")</f>
        <v/>
      </c>
      <c r="AA3578" s="526"/>
      <c r="AB3578" s="527"/>
      <c r="AC3578" s="527"/>
      <c r="AD3578" s="527"/>
    </row>
    <row r="3579" spans="1:30" s="503" customFormat="1" ht="15.75" customHeight="1">
      <c r="A3579" s="517" t="str">
        <f>IF(B3579&lt;&gt;"",IF(AND(B3579&gt;=_TM1,B3579&lt;=_TM2,OR(TH!L3579="1111",TH!M3579="1111")),TH!D3579,""),"")</f>
        <v/>
      </c>
      <c r="B3579" s="531">
        <f t="shared" si="386"/>
        <v>8</v>
      </c>
      <c r="C3579" s="315">
        <f t="shared" si="387"/>
        <v>42957</v>
      </c>
      <c r="D3579" s="544" t="s">
        <v>1181</v>
      </c>
      <c r="E3579" s="315">
        <v>42957</v>
      </c>
      <c r="F3579" s="249" t="s">
        <v>1217</v>
      </c>
      <c r="G3579" s="314" t="s">
        <v>1415</v>
      </c>
      <c r="H3579" s="248" t="s">
        <v>1218</v>
      </c>
      <c r="I3579" s="307">
        <v>3045</v>
      </c>
      <c r="J3579" s="307">
        <v>5900</v>
      </c>
      <c r="K3579" s="532">
        <f>ROUND(I3579*J3579,0)</f>
        <v>17965500</v>
      </c>
      <c r="L3579" s="534" t="s">
        <v>223</v>
      </c>
      <c r="M3579" s="534" t="s">
        <v>162</v>
      </c>
      <c r="N3579" s="525" t="str">
        <f>IF(AND('331-CT'!$E$7=TH!H3579,OR(L3579="331",M3579="331")),"331",IF(AND(OR(L3579="131",M3579="131"),H3579='131-CT'!$E$7),"131",""))</f>
        <v/>
      </c>
      <c r="O3579" s="525" t="str">
        <f>IF(AND($B3579&gt;='111'!$N$11,$B3579&lt;='111'!$O$11,OR($L3579=$O$7,$M3579=$O$7)),"x","")</f>
        <v/>
      </c>
      <c r="P3579" s="525" t="str">
        <f>IF(AND($L3579=$O$7,$B3579&lt;'111'!$N$11),"x","")</f>
        <v/>
      </c>
      <c r="Q3579" s="525" t="str">
        <f>IF(AND($M3579=$O$7,$B3579&lt;'111'!$N$11),"x","")</f>
        <v/>
      </c>
      <c r="R3579" s="525" t="str">
        <f>IF(ISERROR(FIND('112'!$M$9,G3579,1)),"",IF((AND(FIND('112'!$M$9,G3579,1)&gt;=1,$B3579&gt;='112'!$N$8,$B3579&lt;='112'!$O$8,OR($L3579='112'!$I$6,$M3579='112'!$I$6))),"x",""))</f>
        <v/>
      </c>
      <c r="S3579" s="525" t="str">
        <f>IF(ISERROR(FIND('112'!$M$9,G3579,1)),"",IF((AND(LEFT(G3579,2)=LEFT('112'!$M$9,2),B3579&lt;'112'!$N$8,$L3579='112'!$I$6)),"x",""))</f>
        <v/>
      </c>
      <c r="T3579" s="525" t="str">
        <f>IF(ISERROR(FIND('112'!$M$9,G3579,1)),"",IF((AND(RIGHT(G3579,2)=RIGHT('112'!$M$9,2),B3579&lt;'112'!$N$8,$M3579='112'!$I$6)),"x",""))</f>
        <v/>
      </c>
      <c r="U3579" s="525" t="str">
        <f>IF(AND(B3579&gt;='IN-NX'!$P$3,B3579&lt;='IN-NX'!$Q$3,'IN-NX'!$D$7=D3579,OR(LEFT(L3579,2)="15",AND(LEFT(M3579,2)&lt;&gt;"15",LEFT(M3579,2)&lt;&gt;"33"))),"x","")</f>
        <v/>
      </c>
      <c r="V3579" s="525" t="str">
        <f>IF(AND(OR(LEFT(TH!L3579,2)="15",LEFT(TH!M3579,2)="15"),'152-CT'!$J$8=TH!F3579),"x","")</f>
        <v/>
      </c>
      <c r="W3579" s="525" t="str">
        <f>IF(AND(OR(LEFT(TH!L3579,2)="15",LEFT(TH!M3579,2)="15"),TK!$E$7=TH!F3579),"x","")</f>
        <v/>
      </c>
      <c r="X3579" s="525" t="str">
        <f>IF(AND('341-CT'!$E$9=H3579,OR(LEFT(L3579,3)=$X$7,LEFT(M3579,3)=$X$7)),"x","")</f>
        <v/>
      </c>
      <c r="Y3579" s="525" t="str">
        <f>IF(OR(TH!L3579=TH!$Y$7,M3579=TH!$Y$7),"x","")</f>
        <v/>
      </c>
      <c r="Z3579" s="525" t="str">
        <f>IF(AND(B3579&lt;=NKC!$N$8,B3579&gt;=NKC!$M$8),"x","")</f>
        <v/>
      </c>
      <c r="AA3579" s="535"/>
      <c r="AC3579" s="536" t="str">
        <f>VLOOKUP(F3579,NXT!$B$12:$B$686,1,0)</f>
        <v>Thùng 50x29.5x19</v>
      </c>
    </row>
    <row r="3580" spans="1:30" s="503" customFormat="1" ht="15.75" customHeight="1">
      <c r="A3580" s="517" t="str">
        <f>IF(B3580&lt;&gt;"",IF(AND(B3580&gt;=_TM1,B3580&lt;=_TM2,OR(TH!L3580="1111",TH!M3580="1111")),TH!D3580,""),"")</f>
        <v/>
      </c>
      <c r="B3580" s="531">
        <f t="shared" si="386"/>
        <v>8</v>
      </c>
      <c r="C3580" s="315">
        <f t="shared" si="387"/>
        <v>42957</v>
      </c>
      <c r="D3580" s="544" t="s">
        <v>1181</v>
      </c>
      <c r="E3580" s="315">
        <v>42957</v>
      </c>
      <c r="F3580" s="249" t="s">
        <v>494</v>
      </c>
      <c r="G3580" s="314" t="s">
        <v>1415</v>
      </c>
      <c r="H3580" s="248" t="s">
        <v>1218</v>
      </c>
      <c r="I3580" s="307"/>
      <c r="J3580" s="307"/>
      <c r="K3580" s="532">
        <v>1796550</v>
      </c>
      <c r="L3580" s="534" t="s">
        <v>223</v>
      </c>
      <c r="M3580" s="534" t="s">
        <v>259</v>
      </c>
      <c r="N3580" s="525" t="str">
        <f>IF(AND('331-CT'!$E$7=TH!H3580,OR(L3580="331",M3580="331")),"331",IF(AND(OR(L3580="131",M3580="131"),H3580='131-CT'!$E$7),"131",""))</f>
        <v/>
      </c>
      <c r="O3580" s="525" t="str">
        <f>IF(AND($B3580&gt;='111'!$N$11,$B3580&lt;='111'!$O$11,OR($L3580=$O$7,$M3580=$O$7)),"x","")</f>
        <v/>
      </c>
      <c r="P3580" s="525" t="str">
        <f>IF(AND($L3580=$O$7,$B3580&lt;'111'!$N$11),"x","")</f>
        <v/>
      </c>
      <c r="Q3580" s="525" t="str">
        <f>IF(AND($M3580=$O$7,$B3580&lt;'111'!$N$11),"x","")</f>
        <v/>
      </c>
      <c r="R3580" s="525" t="str">
        <f>IF(ISERROR(FIND('112'!$M$9,G3580,1)),"",IF((AND(FIND('112'!$M$9,G3580,1)&gt;=1,$B3580&gt;='112'!$N$8,$B3580&lt;='112'!$O$8,OR($L3580='112'!$I$6,$M3580='112'!$I$6))),"x",""))</f>
        <v/>
      </c>
      <c r="S3580" s="525" t="str">
        <f>IF(ISERROR(FIND('112'!$M$9,G3580,1)),"",IF((AND(LEFT(G3580,2)=LEFT('112'!$M$9,2),B3580&lt;'112'!$N$8,$L3580='112'!$I$6)),"x",""))</f>
        <v/>
      </c>
      <c r="T3580" s="525" t="str">
        <f>IF(ISERROR(FIND('112'!$M$9,G3580,1)),"",IF((AND(RIGHT(G3580,2)=RIGHT('112'!$M$9,2),B3580&lt;'112'!$N$8,$M3580='112'!$I$6)),"x",""))</f>
        <v/>
      </c>
      <c r="U3580" s="525" t="str">
        <f>IF(AND(B3580&gt;='IN-NX'!$P$3,B3580&lt;='IN-NX'!$Q$3,'IN-NX'!$D$7=D3580,OR(LEFT(L3580,2)="15",AND(LEFT(M3580,2)&lt;&gt;"15",LEFT(M3580,2)&lt;&gt;"33"))),"x","")</f>
        <v/>
      </c>
      <c r="V3580" s="525" t="str">
        <f>IF(AND(OR(LEFT(TH!L3580,2)="15",LEFT(TH!M3580,2)="15"),'152-CT'!$J$8=TH!F3580),"x","")</f>
        <v/>
      </c>
      <c r="W3580" s="525" t="str">
        <f>IF(AND(OR(LEFT(TH!L3580,2)="15",LEFT(TH!M3580,2)="15"),TK!$E$7=TH!F3580),"x","")</f>
        <v/>
      </c>
      <c r="X3580" s="525" t="str">
        <f>IF(AND('341-CT'!$E$9=H3580,OR(LEFT(L3580,3)=$X$7,LEFT(M3580,3)=$X$7)),"x","")</f>
        <v/>
      </c>
      <c r="Y3580" s="525" t="str">
        <f>IF(OR(TH!L3580=TH!$Y$7,M3580=TH!$Y$7),"x","")</f>
        <v/>
      </c>
      <c r="Z3580" s="525" t="str">
        <f>IF(AND(B3580&lt;=NKC!$N$8,B3580&gt;=NKC!$M$8),"x","")</f>
        <v/>
      </c>
      <c r="AA3580" s="535"/>
    </row>
    <row r="3581" spans="1:30" s="503" customFormat="1" ht="15.75" customHeight="1">
      <c r="A3581" s="517" t="str">
        <f>IF(B3581&lt;&gt;"",IF(AND(B3581&gt;=_TM1,B3581&lt;=_TM2,OR(TH!L3581="1111",TH!M3581="1111")),TH!D3581,""),"")</f>
        <v/>
      </c>
      <c r="B3581" s="531">
        <f t="shared" si="386"/>
        <v>8</v>
      </c>
      <c r="C3581" s="315">
        <f t="shared" si="387"/>
        <v>42958</v>
      </c>
      <c r="D3581" s="544" t="s">
        <v>1181</v>
      </c>
      <c r="E3581" s="315">
        <v>42958</v>
      </c>
      <c r="F3581" s="250" t="s">
        <v>1286</v>
      </c>
      <c r="G3581" s="314" t="s">
        <v>1416</v>
      </c>
      <c r="H3581" s="473" t="s">
        <v>1309</v>
      </c>
      <c r="I3581" s="307"/>
      <c r="J3581" s="307"/>
      <c r="K3581" s="532">
        <f t="shared" ref="K3581:K3601" si="391">ROUND(I3581*J3581,0)</f>
        <v>0</v>
      </c>
      <c r="L3581" s="534" t="s">
        <v>223</v>
      </c>
      <c r="M3581" s="534" t="s">
        <v>162</v>
      </c>
      <c r="N3581" s="525" t="str">
        <f>IF(AND('331-CT'!$E$7=TH!H3581,OR(L3581="331",M3581="331")),"331",IF(AND(OR(L3581="131",M3581="131"),H3581='131-CT'!$E$7),"131",""))</f>
        <v/>
      </c>
      <c r="O3581" s="525" t="str">
        <f>IF(AND($B3581&gt;='111'!$N$11,$B3581&lt;='111'!$O$11,OR($L3581=$O$7,$M3581=$O$7)),"x","")</f>
        <v/>
      </c>
      <c r="P3581" s="525" t="str">
        <f>IF(AND($L3581=$O$7,$B3581&lt;'111'!$N$11),"x","")</f>
        <v/>
      </c>
      <c r="Q3581" s="525" t="str">
        <f>IF(AND($M3581=$O$7,$B3581&lt;'111'!$N$11),"x","")</f>
        <v/>
      </c>
      <c r="R3581" s="525" t="str">
        <f>IF(ISERROR(FIND('112'!$M$9,G3581,1)),"",IF((AND(FIND('112'!$M$9,G3581,1)&gt;=1,$B3581&gt;='112'!$N$8,$B3581&lt;='112'!$O$8,OR($L3581='112'!$I$6,$M3581='112'!$I$6))),"x",""))</f>
        <v/>
      </c>
      <c r="S3581" s="525" t="str">
        <f>IF(ISERROR(FIND('112'!$M$9,G3581,1)),"",IF((AND(LEFT(G3581,2)=LEFT('112'!$M$9,2),B3581&lt;'112'!$N$8,$L3581='112'!$I$6)),"x",""))</f>
        <v/>
      </c>
      <c r="T3581" s="525" t="str">
        <f>IF(ISERROR(FIND('112'!$M$9,G3581,1)),"",IF((AND(RIGHT(G3581,2)=RIGHT('112'!$M$9,2),B3581&lt;'112'!$N$8,$M3581='112'!$I$6)),"x",""))</f>
        <v/>
      </c>
      <c r="U3581" s="525" t="str">
        <f>IF(AND(B3581&gt;='IN-NX'!$P$3,B3581&lt;='IN-NX'!$Q$3,'IN-NX'!$D$7=D3581,OR(LEFT(L3581,2)="15",AND(LEFT(M3581,2)&lt;&gt;"15",LEFT(M3581,2)&lt;&gt;"33"))),"x","")</f>
        <v/>
      </c>
      <c r="V3581" s="525" t="str">
        <f>IF(AND(OR(LEFT(TH!L3581,2)="15",LEFT(TH!M3581,2)="15"),'152-CT'!$J$8=TH!F3581),"x","")</f>
        <v/>
      </c>
      <c r="W3581" s="525" t="str">
        <f>IF(AND(OR(LEFT(TH!L3581,2)="15",LEFT(TH!M3581,2)="15"),TK!$E$7=TH!F3581),"x","")</f>
        <v/>
      </c>
      <c r="X3581" s="525" t="str">
        <f>IF(AND('341-CT'!$E$9=H3581,OR(LEFT(L3581,3)=$X$7,LEFT(M3581,3)=$X$7)),"x","")</f>
        <v/>
      </c>
      <c r="Y3581" s="525" t="str">
        <f>IF(OR(TH!L3581=TH!$Y$7,M3581=TH!$Y$7),"x","")</f>
        <v/>
      </c>
      <c r="Z3581" s="525" t="str">
        <f>IF(AND(B3581&lt;=NKC!$N$8,B3581&gt;=NKC!$M$8),"x","")</f>
        <v/>
      </c>
      <c r="AA3581" s="535"/>
      <c r="AB3581" s="536"/>
      <c r="AC3581" s="536" t="str">
        <f>VLOOKUP(F3581,NXT!$B$12:$B$686,1,0)</f>
        <v xml:space="preserve">Thùng </v>
      </c>
      <c r="AD3581" s="536"/>
    </row>
    <row r="3582" spans="1:30" s="503" customFormat="1" ht="15.75" customHeight="1">
      <c r="A3582" s="517" t="str">
        <f>IF(B3582&lt;&gt;"",IF(AND(B3582&gt;=_TM1,B3582&lt;=_TM2,OR(TH!L3582="1111",TH!M3582="1111")),TH!D3582,""),"")</f>
        <v/>
      </c>
      <c r="B3582" s="531">
        <f t="shared" si="386"/>
        <v>8</v>
      </c>
      <c r="C3582" s="315">
        <f t="shared" si="387"/>
        <v>42958</v>
      </c>
      <c r="D3582" s="544" t="s">
        <v>1181</v>
      </c>
      <c r="E3582" s="315">
        <v>42958</v>
      </c>
      <c r="F3582" s="250" t="s">
        <v>1286</v>
      </c>
      <c r="G3582" s="314" t="s">
        <v>1416</v>
      </c>
      <c r="H3582" s="473" t="s">
        <v>1309</v>
      </c>
      <c r="I3582" s="307"/>
      <c r="J3582" s="307"/>
      <c r="K3582" s="532">
        <f t="shared" si="391"/>
        <v>0</v>
      </c>
      <c r="L3582" s="534" t="s">
        <v>223</v>
      </c>
      <c r="M3582" s="534" t="s">
        <v>162</v>
      </c>
      <c r="N3582" s="525" t="str">
        <f>IF(AND('331-CT'!$E$7=TH!H3582,OR(L3582="331",M3582="331")),"331",IF(AND(OR(L3582="131",M3582="131"),H3582='131-CT'!$E$7),"131",""))</f>
        <v/>
      </c>
      <c r="O3582" s="525" t="str">
        <f>IF(AND($B3582&gt;='111'!$N$11,$B3582&lt;='111'!$O$11,OR($L3582=$O$7,$M3582=$O$7)),"x","")</f>
        <v/>
      </c>
      <c r="P3582" s="525" t="str">
        <f>IF(AND($L3582=$O$7,$B3582&lt;'111'!$N$11),"x","")</f>
        <v/>
      </c>
      <c r="Q3582" s="525" t="str">
        <f>IF(AND($M3582=$O$7,$B3582&lt;'111'!$N$11),"x","")</f>
        <v/>
      </c>
      <c r="R3582" s="525" t="str">
        <f>IF(ISERROR(FIND('112'!$M$9,G3582,1)),"",IF((AND(FIND('112'!$M$9,G3582,1)&gt;=1,$B3582&gt;='112'!$N$8,$B3582&lt;='112'!$O$8,OR($L3582='112'!$I$6,$M3582='112'!$I$6))),"x",""))</f>
        <v/>
      </c>
      <c r="S3582" s="525" t="str">
        <f>IF(ISERROR(FIND('112'!$M$9,G3582,1)),"",IF((AND(LEFT(G3582,2)=LEFT('112'!$M$9,2),B3582&lt;'112'!$N$8,$L3582='112'!$I$6)),"x",""))</f>
        <v/>
      </c>
      <c r="T3582" s="525" t="str">
        <f>IF(ISERROR(FIND('112'!$M$9,G3582,1)),"",IF((AND(RIGHT(G3582,2)=RIGHT('112'!$M$9,2),B3582&lt;'112'!$N$8,$M3582='112'!$I$6)),"x",""))</f>
        <v/>
      </c>
      <c r="U3582" s="525" t="str">
        <f>IF(AND(B3582&gt;='IN-NX'!$P$3,B3582&lt;='IN-NX'!$Q$3,'IN-NX'!$D$7=D3582,OR(LEFT(L3582,2)="15",AND(LEFT(M3582,2)&lt;&gt;"15",LEFT(M3582,2)&lt;&gt;"33"))),"x","")</f>
        <v/>
      </c>
      <c r="V3582" s="525" t="str">
        <f>IF(AND(OR(LEFT(TH!L3582,2)="15",LEFT(TH!M3582,2)="15"),'152-CT'!$J$8=TH!F3582),"x","")</f>
        <v/>
      </c>
      <c r="W3582" s="525" t="str">
        <f>IF(AND(OR(LEFT(TH!L3582,2)="15",LEFT(TH!M3582,2)="15"),TK!$E$7=TH!F3582),"x","")</f>
        <v/>
      </c>
      <c r="X3582" s="525" t="str">
        <f>IF(AND('341-CT'!$E$9=H3582,OR(LEFT(L3582,3)=$X$7,LEFT(M3582,3)=$X$7)),"x","")</f>
        <v/>
      </c>
      <c r="Y3582" s="525" t="str">
        <f>IF(OR(TH!L3582=TH!$Y$7,M3582=TH!$Y$7),"x","")</f>
        <v/>
      </c>
      <c r="Z3582" s="525" t="str">
        <f>IF(AND(B3582&lt;=NKC!$N$8,B3582&gt;=NKC!$M$8),"x","")</f>
        <v/>
      </c>
      <c r="AA3582" s="535"/>
      <c r="AB3582" s="536"/>
      <c r="AC3582" s="536" t="str">
        <f>VLOOKUP(F3582,NXT!$B$12:$B$686,1,0)</f>
        <v xml:space="preserve">Thùng </v>
      </c>
      <c r="AD3582" s="536"/>
    </row>
    <row r="3583" spans="1:30" s="503" customFormat="1" ht="15.75" customHeight="1">
      <c r="A3583" s="517" t="str">
        <f>IF(B3583&lt;&gt;"",IF(AND(B3583&gt;=_TM1,B3583&lt;=_TM2,OR(TH!L3583="1111",TH!M3583="1111")),TH!D3583,""),"")</f>
        <v/>
      </c>
      <c r="B3583" s="531">
        <f t="shared" si="386"/>
        <v>8</v>
      </c>
      <c r="C3583" s="315">
        <f t="shared" si="387"/>
        <v>42958</v>
      </c>
      <c r="D3583" s="544" t="s">
        <v>1181</v>
      </c>
      <c r="E3583" s="315">
        <v>42958</v>
      </c>
      <c r="F3583" s="250" t="s">
        <v>1286</v>
      </c>
      <c r="G3583" s="314" t="s">
        <v>1416</v>
      </c>
      <c r="H3583" s="473" t="s">
        <v>1309</v>
      </c>
      <c r="I3583" s="307"/>
      <c r="J3583" s="307"/>
      <c r="K3583" s="532">
        <f t="shared" si="391"/>
        <v>0</v>
      </c>
      <c r="L3583" s="534" t="s">
        <v>223</v>
      </c>
      <c r="M3583" s="534" t="s">
        <v>162</v>
      </c>
      <c r="N3583" s="525" t="str">
        <f>IF(AND('331-CT'!$E$7=TH!H3583,OR(L3583="331",M3583="331")),"331",IF(AND(OR(L3583="131",M3583="131"),H3583='131-CT'!$E$7),"131",""))</f>
        <v/>
      </c>
      <c r="O3583" s="525" t="str">
        <f>IF(AND($B3583&gt;='111'!$N$11,$B3583&lt;='111'!$O$11,OR($L3583=$O$7,$M3583=$O$7)),"x","")</f>
        <v/>
      </c>
      <c r="P3583" s="525" t="str">
        <f>IF(AND($L3583=$O$7,$B3583&lt;'111'!$N$11),"x","")</f>
        <v/>
      </c>
      <c r="Q3583" s="525" t="str">
        <f>IF(AND($M3583=$O$7,$B3583&lt;'111'!$N$11),"x","")</f>
        <v/>
      </c>
      <c r="R3583" s="525" t="str">
        <f>IF(ISERROR(FIND('112'!$M$9,G3583,1)),"",IF((AND(FIND('112'!$M$9,G3583,1)&gt;=1,$B3583&gt;='112'!$N$8,$B3583&lt;='112'!$O$8,OR($L3583='112'!$I$6,$M3583='112'!$I$6))),"x",""))</f>
        <v/>
      </c>
      <c r="S3583" s="525" t="str">
        <f>IF(ISERROR(FIND('112'!$M$9,G3583,1)),"",IF((AND(LEFT(G3583,2)=LEFT('112'!$M$9,2),B3583&lt;'112'!$N$8,$L3583='112'!$I$6)),"x",""))</f>
        <v/>
      </c>
      <c r="T3583" s="525" t="str">
        <f>IF(ISERROR(FIND('112'!$M$9,G3583,1)),"",IF((AND(RIGHT(G3583,2)=RIGHT('112'!$M$9,2),B3583&lt;'112'!$N$8,$M3583='112'!$I$6)),"x",""))</f>
        <v/>
      </c>
      <c r="U3583" s="525" t="str">
        <f>IF(AND(B3583&gt;='IN-NX'!$P$3,B3583&lt;='IN-NX'!$Q$3,'IN-NX'!$D$7=D3583,OR(LEFT(L3583,2)="15",AND(LEFT(M3583,2)&lt;&gt;"15",LEFT(M3583,2)&lt;&gt;"33"))),"x","")</f>
        <v/>
      </c>
      <c r="V3583" s="525" t="str">
        <f>IF(AND(OR(LEFT(TH!L3583,2)="15",LEFT(TH!M3583,2)="15"),'152-CT'!$J$8=TH!F3583),"x","")</f>
        <v/>
      </c>
      <c r="W3583" s="525" t="str">
        <f>IF(AND(OR(LEFT(TH!L3583,2)="15",LEFT(TH!M3583,2)="15"),TK!$E$7=TH!F3583),"x","")</f>
        <v/>
      </c>
      <c r="X3583" s="525" t="str">
        <f>IF(AND('341-CT'!$E$9=H3583,OR(LEFT(L3583,3)=$X$7,LEFT(M3583,3)=$X$7)),"x","")</f>
        <v/>
      </c>
      <c r="Y3583" s="525" t="str">
        <f>IF(OR(TH!L3583=TH!$Y$7,M3583=TH!$Y$7),"x","")</f>
        <v/>
      </c>
      <c r="Z3583" s="525" t="str">
        <f>IF(AND(B3583&lt;=NKC!$N$8,B3583&gt;=NKC!$M$8),"x","")</f>
        <v/>
      </c>
      <c r="AA3583" s="535"/>
      <c r="AB3583" s="536"/>
      <c r="AC3583" s="536" t="str">
        <f>VLOOKUP(F3583,NXT!$B$12:$B$686,1,0)</f>
        <v xml:space="preserve">Thùng </v>
      </c>
    </row>
    <row r="3584" spans="1:30" s="503" customFormat="1" ht="15.75" customHeight="1">
      <c r="A3584" s="517" t="str">
        <f>IF(B3584&lt;&gt;"",IF(AND(B3584&gt;=_TM1,B3584&lt;=_TM2,OR(TH!L3584="1111",TH!M3584="1111")),TH!D3584,""),"")</f>
        <v/>
      </c>
      <c r="B3584" s="531">
        <f t="shared" ref="B3584:B3589" si="392">IF(C3584&lt;&gt;"",MONTH(C3584),"")</f>
        <v>8</v>
      </c>
      <c r="C3584" s="315">
        <f t="shared" ref="C3584:C3589" si="393">E3584</f>
        <v>42958</v>
      </c>
      <c r="D3584" s="544" t="s">
        <v>1181</v>
      </c>
      <c r="E3584" s="315">
        <v>42958</v>
      </c>
      <c r="F3584" s="250" t="s">
        <v>1286</v>
      </c>
      <c r="G3584" s="314" t="s">
        <v>1416</v>
      </c>
      <c r="H3584" s="473" t="s">
        <v>1309</v>
      </c>
      <c r="I3584" s="307"/>
      <c r="J3584" s="307"/>
      <c r="K3584" s="532">
        <f t="shared" si="391"/>
        <v>0</v>
      </c>
      <c r="L3584" s="534" t="s">
        <v>223</v>
      </c>
      <c r="M3584" s="534" t="s">
        <v>162</v>
      </c>
      <c r="N3584" s="525" t="str">
        <f>IF(AND('331-CT'!$E$7=TH!H3584,OR(L3584="331",M3584="331")),"331",IF(AND(OR(L3584="131",M3584="131"),H3584='131-CT'!$E$7),"131",""))</f>
        <v/>
      </c>
      <c r="O3584" s="525" t="str">
        <f>IF(AND($B3584&gt;='111'!$N$11,$B3584&lt;='111'!$O$11,OR($L3584=$O$7,$M3584=$O$7)),"x","")</f>
        <v/>
      </c>
      <c r="P3584" s="525" t="str">
        <f>IF(AND($L3584=$O$7,$B3584&lt;'111'!$N$11),"x","")</f>
        <v/>
      </c>
      <c r="Q3584" s="525" t="str">
        <f>IF(AND($M3584=$O$7,$B3584&lt;'111'!$N$11),"x","")</f>
        <v/>
      </c>
      <c r="R3584" s="525" t="str">
        <f>IF(ISERROR(FIND('112'!$M$9,G3584,1)),"",IF((AND(FIND('112'!$M$9,G3584,1)&gt;=1,$B3584&gt;='112'!$N$8,$B3584&lt;='112'!$O$8,OR($L3584='112'!$I$6,$M3584='112'!$I$6))),"x",""))</f>
        <v/>
      </c>
      <c r="S3584" s="525" t="str">
        <f>IF(ISERROR(FIND('112'!$M$9,G3584,1)),"",IF((AND(LEFT(G3584,2)=LEFT('112'!$M$9,2),B3584&lt;'112'!$N$8,$L3584='112'!$I$6)),"x",""))</f>
        <v/>
      </c>
      <c r="T3584" s="525" t="str">
        <f>IF(ISERROR(FIND('112'!$M$9,G3584,1)),"",IF((AND(RIGHT(G3584,2)=RIGHT('112'!$M$9,2),B3584&lt;'112'!$N$8,$M3584='112'!$I$6)),"x",""))</f>
        <v/>
      </c>
      <c r="U3584" s="525" t="str">
        <f>IF(AND(B3584&gt;='IN-NX'!$P$3,B3584&lt;='IN-NX'!$Q$3,'IN-NX'!$D$7=D3584,OR(LEFT(L3584,2)="15",AND(LEFT(M3584,2)&lt;&gt;"15",LEFT(M3584,2)&lt;&gt;"33"))),"x","")</f>
        <v/>
      </c>
      <c r="V3584" s="525" t="str">
        <f>IF(AND(OR(LEFT(TH!L3584,2)="15",LEFT(TH!M3584,2)="15"),'152-CT'!$J$8=TH!F3584),"x","")</f>
        <v/>
      </c>
      <c r="W3584" s="525" t="str">
        <f>IF(AND(OR(LEFT(TH!L3584,2)="15",LEFT(TH!M3584,2)="15"),TK!$E$7=TH!F3584),"x","")</f>
        <v/>
      </c>
      <c r="X3584" s="525" t="str">
        <f>IF(AND('341-CT'!$E$9=H3584,OR(LEFT(L3584,3)=$X$7,LEFT(M3584,3)=$X$7)),"x","")</f>
        <v/>
      </c>
      <c r="Y3584" s="525" t="str">
        <f>IF(OR(TH!L3584=TH!$Y$7,M3584=TH!$Y$7),"x","")</f>
        <v/>
      </c>
      <c r="Z3584" s="525" t="str">
        <f>IF(AND(B3584&lt;=NKC!$N$8,B3584&gt;=NKC!$M$8),"x","")</f>
        <v/>
      </c>
      <c r="AA3584" s="535"/>
      <c r="AB3584" s="536"/>
      <c r="AC3584" s="536" t="str">
        <f>VLOOKUP(F3584,NXT!$B$12:$B$686,1,0)</f>
        <v xml:space="preserve">Thùng </v>
      </c>
      <c r="AD3584" s="536"/>
    </row>
    <row r="3585" spans="1:30" s="503" customFormat="1" ht="15.75" customHeight="1">
      <c r="A3585" s="517" t="str">
        <f>IF(B3585&lt;&gt;"",IF(AND(B3585&gt;=_TM1,B3585&lt;=_TM2,OR(TH!L3585="1111",TH!M3585="1111")),TH!D3585,""),"")</f>
        <v/>
      </c>
      <c r="B3585" s="531">
        <f t="shared" si="392"/>
        <v>8</v>
      </c>
      <c r="C3585" s="315">
        <f t="shared" si="393"/>
        <v>42958</v>
      </c>
      <c r="D3585" s="544" t="s">
        <v>1181</v>
      </c>
      <c r="E3585" s="315">
        <v>42958</v>
      </c>
      <c r="F3585" s="250" t="s">
        <v>1286</v>
      </c>
      <c r="G3585" s="314" t="s">
        <v>1416</v>
      </c>
      <c r="H3585" s="473" t="s">
        <v>1309</v>
      </c>
      <c r="I3585" s="307"/>
      <c r="J3585" s="307"/>
      <c r="K3585" s="532">
        <f t="shared" si="391"/>
        <v>0</v>
      </c>
      <c r="L3585" s="534" t="s">
        <v>223</v>
      </c>
      <c r="M3585" s="534" t="s">
        <v>162</v>
      </c>
      <c r="N3585" s="525" t="str">
        <f>IF(AND('331-CT'!$E$7=TH!H3585,OR(L3585="331",M3585="331")),"331",IF(AND(OR(L3585="131",M3585="131"),H3585='131-CT'!$E$7),"131",""))</f>
        <v/>
      </c>
      <c r="O3585" s="525" t="str">
        <f>IF(AND($B3585&gt;='111'!$N$11,$B3585&lt;='111'!$O$11,OR($L3585=$O$7,$M3585=$O$7)),"x","")</f>
        <v/>
      </c>
      <c r="P3585" s="525" t="str">
        <f>IF(AND($L3585=$O$7,$B3585&lt;'111'!$N$11),"x","")</f>
        <v/>
      </c>
      <c r="Q3585" s="525" t="str">
        <f>IF(AND($M3585=$O$7,$B3585&lt;'111'!$N$11),"x","")</f>
        <v/>
      </c>
      <c r="R3585" s="525" t="str">
        <f>IF(ISERROR(FIND('112'!$M$9,G3585,1)),"",IF((AND(FIND('112'!$M$9,G3585,1)&gt;=1,$B3585&gt;='112'!$N$8,$B3585&lt;='112'!$O$8,OR($L3585='112'!$I$6,$M3585='112'!$I$6))),"x",""))</f>
        <v/>
      </c>
      <c r="S3585" s="525" t="str">
        <f>IF(ISERROR(FIND('112'!$M$9,G3585,1)),"",IF((AND(LEFT(G3585,2)=LEFT('112'!$M$9,2),B3585&lt;'112'!$N$8,$L3585='112'!$I$6)),"x",""))</f>
        <v/>
      </c>
      <c r="T3585" s="525" t="str">
        <f>IF(ISERROR(FIND('112'!$M$9,G3585,1)),"",IF((AND(RIGHT(G3585,2)=RIGHT('112'!$M$9,2),B3585&lt;'112'!$N$8,$M3585='112'!$I$6)),"x",""))</f>
        <v/>
      </c>
      <c r="U3585" s="525" t="str">
        <f>IF(AND(B3585&gt;='IN-NX'!$P$3,B3585&lt;='IN-NX'!$Q$3,'IN-NX'!$D$7=D3585,OR(LEFT(L3585,2)="15",AND(LEFT(M3585,2)&lt;&gt;"15",LEFT(M3585,2)&lt;&gt;"33"))),"x","")</f>
        <v/>
      </c>
      <c r="V3585" s="525" t="str">
        <f>IF(AND(OR(LEFT(TH!L3585,2)="15",LEFT(TH!M3585,2)="15"),'152-CT'!$J$8=TH!F3585),"x","")</f>
        <v/>
      </c>
      <c r="W3585" s="525" t="str">
        <f>IF(AND(OR(LEFT(TH!L3585,2)="15",LEFT(TH!M3585,2)="15"),TK!$E$7=TH!F3585),"x","")</f>
        <v/>
      </c>
      <c r="X3585" s="525" t="str">
        <f>IF(AND('341-CT'!$E$9=H3585,OR(LEFT(L3585,3)=$X$7,LEFT(M3585,3)=$X$7)),"x","")</f>
        <v/>
      </c>
      <c r="Y3585" s="525" t="str">
        <f>IF(OR(TH!L3585=TH!$Y$7,M3585=TH!$Y$7),"x","")</f>
        <v/>
      </c>
      <c r="Z3585" s="525" t="str">
        <f>IF(AND(B3585&lt;=NKC!$N$8,B3585&gt;=NKC!$M$8),"x","")</f>
        <v/>
      </c>
      <c r="AA3585" s="535"/>
      <c r="AB3585" s="536"/>
      <c r="AC3585" s="536" t="str">
        <f>VLOOKUP(F3585,NXT!$B$12:$B$686,1,0)</f>
        <v xml:space="preserve">Thùng </v>
      </c>
      <c r="AD3585" s="536"/>
    </row>
    <row r="3586" spans="1:30" s="503" customFormat="1" ht="15.75" customHeight="1">
      <c r="A3586" s="517" t="str">
        <f>IF(B3586&lt;&gt;"",IF(AND(B3586&gt;=_TM1,B3586&lt;=_TM2,OR(TH!L3586="1111",TH!M3586="1111")),TH!D3586,""),"")</f>
        <v/>
      </c>
      <c r="B3586" s="531">
        <f t="shared" si="392"/>
        <v>8</v>
      </c>
      <c r="C3586" s="315">
        <f t="shared" si="393"/>
        <v>42958</v>
      </c>
      <c r="D3586" s="544" t="s">
        <v>1181</v>
      </c>
      <c r="E3586" s="315">
        <v>42958</v>
      </c>
      <c r="F3586" s="250" t="s">
        <v>1286</v>
      </c>
      <c r="G3586" s="314" t="s">
        <v>1416</v>
      </c>
      <c r="H3586" s="473" t="s">
        <v>1309</v>
      </c>
      <c r="I3586" s="307"/>
      <c r="J3586" s="307"/>
      <c r="K3586" s="532">
        <f t="shared" si="391"/>
        <v>0</v>
      </c>
      <c r="L3586" s="534" t="s">
        <v>223</v>
      </c>
      <c r="M3586" s="534" t="s">
        <v>162</v>
      </c>
      <c r="N3586" s="525" t="str">
        <f>IF(AND('331-CT'!$E$7=TH!H3586,OR(L3586="331",M3586="331")),"331",IF(AND(OR(L3586="131",M3586="131"),H3586='131-CT'!$E$7),"131",""))</f>
        <v/>
      </c>
      <c r="O3586" s="525" t="str">
        <f>IF(AND($B3586&gt;='111'!$N$11,$B3586&lt;='111'!$O$11,OR($L3586=$O$7,$M3586=$O$7)),"x","")</f>
        <v/>
      </c>
      <c r="P3586" s="525" t="str">
        <f>IF(AND($L3586=$O$7,$B3586&lt;'111'!$N$11),"x","")</f>
        <v/>
      </c>
      <c r="Q3586" s="525" t="str">
        <f>IF(AND($M3586=$O$7,$B3586&lt;'111'!$N$11),"x","")</f>
        <v/>
      </c>
      <c r="R3586" s="525" t="str">
        <f>IF(ISERROR(FIND('112'!$M$9,G3586,1)),"",IF((AND(FIND('112'!$M$9,G3586,1)&gt;=1,$B3586&gt;='112'!$N$8,$B3586&lt;='112'!$O$8,OR($L3586='112'!$I$6,$M3586='112'!$I$6))),"x",""))</f>
        <v/>
      </c>
      <c r="S3586" s="525" t="str">
        <f>IF(ISERROR(FIND('112'!$M$9,G3586,1)),"",IF((AND(LEFT(G3586,2)=LEFT('112'!$M$9,2),B3586&lt;'112'!$N$8,$L3586='112'!$I$6)),"x",""))</f>
        <v/>
      </c>
      <c r="T3586" s="525" t="str">
        <f>IF(ISERROR(FIND('112'!$M$9,G3586,1)),"",IF((AND(RIGHT(G3586,2)=RIGHT('112'!$M$9,2),B3586&lt;'112'!$N$8,$M3586='112'!$I$6)),"x",""))</f>
        <v/>
      </c>
      <c r="U3586" s="525" t="str">
        <f>IF(AND(B3586&gt;='IN-NX'!$P$3,B3586&lt;='IN-NX'!$Q$3,'IN-NX'!$D$7=D3586,OR(LEFT(L3586,2)="15",AND(LEFT(M3586,2)&lt;&gt;"15",LEFT(M3586,2)&lt;&gt;"33"))),"x","")</f>
        <v/>
      </c>
      <c r="V3586" s="525" t="str">
        <f>IF(AND(OR(LEFT(TH!L3586,2)="15",LEFT(TH!M3586,2)="15"),'152-CT'!$J$8=TH!F3586),"x","")</f>
        <v/>
      </c>
      <c r="W3586" s="525" t="str">
        <f>IF(AND(OR(LEFT(TH!L3586,2)="15",LEFT(TH!M3586,2)="15"),TK!$E$7=TH!F3586),"x","")</f>
        <v/>
      </c>
      <c r="X3586" s="525" t="str">
        <f>IF(AND('341-CT'!$E$9=H3586,OR(LEFT(L3586,3)=$X$7,LEFT(M3586,3)=$X$7)),"x","")</f>
        <v/>
      </c>
      <c r="Y3586" s="525" t="str">
        <f>IF(OR(TH!L3586=TH!$Y$7,M3586=TH!$Y$7),"x","")</f>
        <v/>
      </c>
      <c r="Z3586" s="525" t="str">
        <f>IF(AND(B3586&lt;=NKC!$N$8,B3586&gt;=NKC!$M$8),"x","")</f>
        <v/>
      </c>
      <c r="AA3586" s="535"/>
      <c r="AB3586" s="536"/>
      <c r="AC3586" s="536" t="str">
        <f>VLOOKUP(F3586,NXT!$B$12:$B$686,1,0)</f>
        <v xml:space="preserve">Thùng </v>
      </c>
    </row>
    <row r="3587" spans="1:30" s="503" customFormat="1" ht="15.75" customHeight="1">
      <c r="A3587" s="517" t="str">
        <f>IF(B3587&lt;&gt;"",IF(AND(B3587&gt;=_TM1,B3587&lt;=_TM2,OR(TH!L3587="1111",TH!M3587="1111")),TH!D3587,""),"")</f>
        <v/>
      </c>
      <c r="B3587" s="531">
        <f t="shared" si="392"/>
        <v>8</v>
      </c>
      <c r="C3587" s="315">
        <f t="shared" si="393"/>
        <v>42958</v>
      </c>
      <c r="D3587" s="544" t="s">
        <v>1181</v>
      </c>
      <c r="E3587" s="315">
        <v>42958</v>
      </c>
      <c r="F3587" s="250" t="s">
        <v>1286</v>
      </c>
      <c r="G3587" s="314" t="s">
        <v>1416</v>
      </c>
      <c r="H3587" s="473" t="s">
        <v>1309</v>
      </c>
      <c r="I3587" s="307"/>
      <c r="J3587" s="307"/>
      <c r="K3587" s="532">
        <f t="shared" si="391"/>
        <v>0</v>
      </c>
      <c r="L3587" s="534" t="s">
        <v>223</v>
      </c>
      <c r="M3587" s="534" t="s">
        <v>162</v>
      </c>
      <c r="N3587" s="525" t="str">
        <f>IF(AND('331-CT'!$E$7=TH!H3587,OR(L3587="331",M3587="331")),"331",IF(AND(OR(L3587="131",M3587="131"),H3587='131-CT'!$E$7),"131",""))</f>
        <v/>
      </c>
      <c r="O3587" s="525" t="str">
        <f>IF(AND($B3587&gt;='111'!$N$11,$B3587&lt;='111'!$O$11,OR($L3587=$O$7,$M3587=$O$7)),"x","")</f>
        <v/>
      </c>
      <c r="P3587" s="525" t="str">
        <f>IF(AND($L3587=$O$7,$B3587&lt;'111'!$N$11),"x","")</f>
        <v/>
      </c>
      <c r="Q3587" s="525" t="str">
        <f>IF(AND($M3587=$O$7,$B3587&lt;'111'!$N$11),"x","")</f>
        <v/>
      </c>
      <c r="R3587" s="525" t="str">
        <f>IF(ISERROR(FIND('112'!$M$9,G3587,1)),"",IF((AND(FIND('112'!$M$9,G3587,1)&gt;=1,$B3587&gt;='112'!$N$8,$B3587&lt;='112'!$O$8,OR($L3587='112'!$I$6,$M3587='112'!$I$6))),"x",""))</f>
        <v/>
      </c>
      <c r="S3587" s="525" t="str">
        <f>IF(ISERROR(FIND('112'!$M$9,G3587,1)),"",IF((AND(LEFT(G3587,2)=LEFT('112'!$M$9,2),B3587&lt;'112'!$N$8,$L3587='112'!$I$6)),"x",""))</f>
        <v/>
      </c>
      <c r="T3587" s="525" t="str">
        <f>IF(ISERROR(FIND('112'!$M$9,G3587,1)),"",IF((AND(RIGHT(G3587,2)=RIGHT('112'!$M$9,2),B3587&lt;'112'!$N$8,$M3587='112'!$I$6)),"x",""))</f>
        <v/>
      </c>
      <c r="U3587" s="525" t="str">
        <f>IF(AND(B3587&gt;='IN-NX'!$P$3,B3587&lt;='IN-NX'!$Q$3,'IN-NX'!$D$7=D3587,OR(LEFT(L3587,2)="15",AND(LEFT(M3587,2)&lt;&gt;"15",LEFT(M3587,2)&lt;&gt;"33"))),"x","")</f>
        <v/>
      </c>
      <c r="V3587" s="525" t="str">
        <f>IF(AND(OR(LEFT(TH!L3587,2)="15",LEFT(TH!M3587,2)="15"),'152-CT'!$J$8=TH!F3587),"x","")</f>
        <v/>
      </c>
      <c r="W3587" s="525" t="str">
        <f>IF(AND(OR(LEFT(TH!L3587,2)="15",LEFT(TH!M3587,2)="15"),TK!$E$7=TH!F3587),"x","")</f>
        <v/>
      </c>
      <c r="X3587" s="525" t="str">
        <f>IF(AND('341-CT'!$E$9=H3587,OR(LEFT(L3587,3)=$X$7,LEFT(M3587,3)=$X$7)),"x","")</f>
        <v/>
      </c>
      <c r="Y3587" s="525" t="str">
        <f>IF(OR(TH!L3587=TH!$Y$7,M3587=TH!$Y$7),"x","")</f>
        <v/>
      </c>
      <c r="Z3587" s="525" t="str">
        <f>IF(AND(B3587&lt;=NKC!$N$8,B3587&gt;=NKC!$M$8),"x","")</f>
        <v/>
      </c>
      <c r="AA3587" s="535"/>
      <c r="AB3587" s="536"/>
      <c r="AC3587" s="536" t="str">
        <f>VLOOKUP(F3587,NXT!$B$12:$B$686,1,0)</f>
        <v xml:space="preserve">Thùng </v>
      </c>
      <c r="AD3587" s="536"/>
    </row>
    <row r="3588" spans="1:30" s="503" customFormat="1" ht="15.75" customHeight="1">
      <c r="A3588" s="517" t="str">
        <f>IF(B3588&lt;&gt;"",IF(AND(B3588&gt;=_TM1,B3588&lt;=_TM2,OR(TH!L3588="1111",TH!M3588="1111")),TH!D3588,""),"")</f>
        <v/>
      </c>
      <c r="B3588" s="531">
        <f t="shared" si="392"/>
        <v>8</v>
      </c>
      <c r="C3588" s="315">
        <f t="shared" si="393"/>
        <v>42958</v>
      </c>
      <c r="D3588" s="544" t="s">
        <v>1181</v>
      </c>
      <c r="E3588" s="315">
        <v>42958</v>
      </c>
      <c r="F3588" s="250" t="s">
        <v>1286</v>
      </c>
      <c r="G3588" s="314" t="s">
        <v>1416</v>
      </c>
      <c r="H3588" s="473" t="s">
        <v>1309</v>
      </c>
      <c r="I3588" s="307"/>
      <c r="J3588" s="307"/>
      <c r="K3588" s="532">
        <f t="shared" si="391"/>
        <v>0</v>
      </c>
      <c r="L3588" s="534" t="s">
        <v>223</v>
      </c>
      <c r="M3588" s="534" t="s">
        <v>162</v>
      </c>
      <c r="N3588" s="525" t="str">
        <f>IF(AND('331-CT'!$E$7=TH!H3588,OR(L3588="331",M3588="331")),"331",IF(AND(OR(L3588="131",M3588="131"),H3588='131-CT'!$E$7),"131",""))</f>
        <v/>
      </c>
      <c r="O3588" s="525" t="str">
        <f>IF(AND($B3588&gt;='111'!$N$11,$B3588&lt;='111'!$O$11,OR($L3588=$O$7,$M3588=$O$7)),"x","")</f>
        <v/>
      </c>
      <c r="P3588" s="525" t="str">
        <f>IF(AND($L3588=$O$7,$B3588&lt;'111'!$N$11),"x","")</f>
        <v/>
      </c>
      <c r="Q3588" s="525" t="str">
        <f>IF(AND($M3588=$O$7,$B3588&lt;'111'!$N$11),"x","")</f>
        <v/>
      </c>
      <c r="R3588" s="525" t="str">
        <f>IF(ISERROR(FIND('112'!$M$9,G3588,1)),"",IF((AND(FIND('112'!$M$9,G3588,1)&gt;=1,$B3588&gt;='112'!$N$8,$B3588&lt;='112'!$O$8,OR($L3588='112'!$I$6,$M3588='112'!$I$6))),"x",""))</f>
        <v/>
      </c>
      <c r="S3588" s="525" t="str">
        <f>IF(ISERROR(FIND('112'!$M$9,G3588,1)),"",IF((AND(LEFT(G3588,2)=LEFT('112'!$M$9,2),B3588&lt;'112'!$N$8,$L3588='112'!$I$6)),"x",""))</f>
        <v/>
      </c>
      <c r="T3588" s="525" t="str">
        <f>IF(ISERROR(FIND('112'!$M$9,G3588,1)),"",IF((AND(RIGHT(G3588,2)=RIGHT('112'!$M$9,2),B3588&lt;'112'!$N$8,$M3588='112'!$I$6)),"x",""))</f>
        <v/>
      </c>
      <c r="U3588" s="525" t="str">
        <f>IF(AND(B3588&gt;='IN-NX'!$P$3,B3588&lt;='IN-NX'!$Q$3,'IN-NX'!$D$7=D3588,OR(LEFT(L3588,2)="15",AND(LEFT(M3588,2)&lt;&gt;"15",LEFT(M3588,2)&lt;&gt;"33"))),"x","")</f>
        <v/>
      </c>
      <c r="V3588" s="525" t="str">
        <f>IF(AND(OR(LEFT(TH!L3588,2)="15",LEFT(TH!M3588,2)="15"),'152-CT'!$J$8=TH!F3588),"x","")</f>
        <v/>
      </c>
      <c r="W3588" s="525" t="str">
        <f>IF(AND(OR(LEFT(TH!L3588,2)="15",LEFT(TH!M3588,2)="15"),TK!$E$7=TH!F3588),"x","")</f>
        <v/>
      </c>
      <c r="X3588" s="525" t="str">
        <f>IF(AND('341-CT'!$E$9=H3588,OR(LEFT(L3588,3)=$X$7,LEFT(M3588,3)=$X$7)),"x","")</f>
        <v/>
      </c>
      <c r="Y3588" s="525" t="str">
        <f>IF(OR(TH!L3588=TH!$Y$7,M3588=TH!$Y$7),"x","")</f>
        <v/>
      </c>
      <c r="Z3588" s="525" t="str">
        <f>IF(AND(B3588&lt;=NKC!$N$8,B3588&gt;=NKC!$M$8),"x","")</f>
        <v/>
      </c>
      <c r="AA3588" s="535"/>
      <c r="AB3588" s="536"/>
      <c r="AC3588" s="536" t="str">
        <f>VLOOKUP(F3588,NXT!$B$12:$B$686,1,0)</f>
        <v xml:space="preserve">Thùng </v>
      </c>
      <c r="AD3588" s="536"/>
    </row>
    <row r="3589" spans="1:30" s="503" customFormat="1" ht="15.75" customHeight="1">
      <c r="A3589" s="517" t="str">
        <f>IF(B3589&lt;&gt;"",IF(AND(B3589&gt;=_TM1,B3589&lt;=_TM2,OR(TH!L3589="1111",TH!M3589="1111")),TH!D3589,""),"")</f>
        <v/>
      </c>
      <c r="B3589" s="531">
        <f t="shared" si="392"/>
        <v>8</v>
      </c>
      <c r="C3589" s="315">
        <f t="shared" si="393"/>
        <v>42958</v>
      </c>
      <c r="D3589" s="544" t="s">
        <v>1181</v>
      </c>
      <c r="E3589" s="315">
        <v>42958</v>
      </c>
      <c r="F3589" s="250" t="s">
        <v>1286</v>
      </c>
      <c r="G3589" s="314" t="s">
        <v>1416</v>
      </c>
      <c r="H3589" s="473" t="s">
        <v>1309</v>
      </c>
      <c r="I3589" s="307"/>
      <c r="J3589" s="307"/>
      <c r="K3589" s="532">
        <f t="shared" si="391"/>
        <v>0</v>
      </c>
      <c r="L3589" s="534" t="s">
        <v>223</v>
      </c>
      <c r="M3589" s="534" t="s">
        <v>162</v>
      </c>
      <c r="N3589" s="525" t="str">
        <f>IF(AND('331-CT'!$E$7=TH!H3589,OR(L3589="331",M3589="331")),"331",IF(AND(OR(L3589="131",M3589="131"),H3589='131-CT'!$E$7),"131",""))</f>
        <v/>
      </c>
      <c r="O3589" s="525" t="str">
        <f>IF(AND($B3589&gt;='111'!$N$11,$B3589&lt;='111'!$O$11,OR($L3589=$O$7,$M3589=$O$7)),"x","")</f>
        <v/>
      </c>
      <c r="P3589" s="525" t="str">
        <f>IF(AND($L3589=$O$7,$B3589&lt;'111'!$N$11),"x","")</f>
        <v/>
      </c>
      <c r="Q3589" s="525" t="str">
        <f>IF(AND($M3589=$O$7,$B3589&lt;'111'!$N$11),"x","")</f>
        <v/>
      </c>
      <c r="R3589" s="525" t="str">
        <f>IF(ISERROR(FIND('112'!$M$9,G3589,1)),"",IF((AND(FIND('112'!$M$9,G3589,1)&gt;=1,$B3589&gt;='112'!$N$8,$B3589&lt;='112'!$O$8,OR($L3589='112'!$I$6,$M3589='112'!$I$6))),"x",""))</f>
        <v/>
      </c>
      <c r="S3589" s="525" t="str">
        <f>IF(ISERROR(FIND('112'!$M$9,G3589,1)),"",IF((AND(LEFT(G3589,2)=LEFT('112'!$M$9,2),B3589&lt;'112'!$N$8,$L3589='112'!$I$6)),"x",""))</f>
        <v/>
      </c>
      <c r="T3589" s="525" t="str">
        <f>IF(ISERROR(FIND('112'!$M$9,G3589,1)),"",IF((AND(RIGHT(G3589,2)=RIGHT('112'!$M$9,2),B3589&lt;'112'!$N$8,$M3589='112'!$I$6)),"x",""))</f>
        <v/>
      </c>
      <c r="U3589" s="525" t="str">
        <f>IF(AND(B3589&gt;='IN-NX'!$P$3,B3589&lt;='IN-NX'!$Q$3,'IN-NX'!$D$7=D3589,OR(LEFT(L3589,2)="15",AND(LEFT(M3589,2)&lt;&gt;"15",LEFT(M3589,2)&lt;&gt;"33"))),"x","")</f>
        <v/>
      </c>
      <c r="V3589" s="525" t="str">
        <f>IF(AND(OR(LEFT(TH!L3589,2)="15",LEFT(TH!M3589,2)="15"),'152-CT'!$J$8=TH!F3589),"x","")</f>
        <v/>
      </c>
      <c r="W3589" s="525" t="str">
        <f>IF(AND(OR(LEFT(TH!L3589,2)="15",LEFT(TH!M3589,2)="15"),TK!$E$7=TH!F3589),"x","")</f>
        <v/>
      </c>
      <c r="X3589" s="525" t="str">
        <f>IF(AND('341-CT'!$E$9=H3589,OR(LEFT(L3589,3)=$X$7,LEFT(M3589,3)=$X$7)),"x","")</f>
        <v/>
      </c>
      <c r="Y3589" s="525" t="str">
        <f>IF(OR(TH!L3589=TH!$Y$7,M3589=TH!$Y$7),"x","")</f>
        <v/>
      </c>
      <c r="Z3589" s="525" t="str">
        <f>IF(AND(B3589&lt;=NKC!$N$8,B3589&gt;=NKC!$M$8),"x","")</f>
        <v/>
      </c>
      <c r="AA3589" s="535"/>
      <c r="AB3589" s="536"/>
      <c r="AC3589" s="536" t="str">
        <f>VLOOKUP(F3589,NXT!$B$12:$B$686,1,0)</f>
        <v xml:space="preserve">Thùng </v>
      </c>
    </row>
    <row r="3590" spans="1:30" s="503" customFormat="1" ht="15.75" customHeight="1">
      <c r="A3590" s="517" t="str">
        <f>IF(B3590&lt;&gt;"",IF(AND(B3590&gt;=_TM1,B3590&lt;=_TM2,OR(TH!L3590="1111",TH!M3590="1111")),TH!D3590,""),"")</f>
        <v/>
      </c>
      <c r="B3590" s="531">
        <f t="shared" si="386"/>
        <v>8</v>
      </c>
      <c r="C3590" s="315">
        <f t="shared" si="387"/>
        <v>42958</v>
      </c>
      <c r="D3590" s="544" t="s">
        <v>1181</v>
      </c>
      <c r="E3590" s="315">
        <v>42958</v>
      </c>
      <c r="F3590" s="250" t="s">
        <v>1286</v>
      </c>
      <c r="G3590" s="314" t="s">
        <v>1416</v>
      </c>
      <c r="H3590" s="473" t="s">
        <v>1309</v>
      </c>
      <c r="I3590" s="307"/>
      <c r="J3590" s="307"/>
      <c r="K3590" s="532">
        <f t="shared" si="391"/>
        <v>0</v>
      </c>
      <c r="L3590" s="534" t="s">
        <v>223</v>
      </c>
      <c r="M3590" s="534" t="s">
        <v>162</v>
      </c>
      <c r="N3590" s="525" t="str">
        <f>IF(AND('331-CT'!$E$7=TH!H3590,OR(L3590="331",M3590="331")),"331",IF(AND(OR(L3590="131",M3590="131"),H3590='131-CT'!$E$7),"131",""))</f>
        <v/>
      </c>
      <c r="O3590" s="525" t="str">
        <f>IF(AND($B3590&gt;='111'!$N$11,$B3590&lt;='111'!$O$11,OR($L3590=$O$7,$M3590=$O$7)),"x","")</f>
        <v/>
      </c>
      <c r="P3590" s="525" t="str">
        <f>IF(AND($L3590=$O$7,$B3590&lt;'111'!$N$11),"x","")</f>
        <v/>
      </c>
      <c r="Q3590" s="525" t="str">
        <f>IF(AND($M3590=$O$7,$B3590&lt;'111'!$N$11),"x","")</f>
        <v/>
      </c>
      <c r="R3590" s="525" t="str">
        <f>IF(ISERROR(FIND('112'!$M$9,G3590,1)),"",IF((AND(FIND('112'!$M$9,G3590,1)&gt;=1,$B3590&gt;='112'!$N$8,$B3590&lt;='112'!$O$8,OR($L3590='112'!$I$6,$M3590='112'!$I$6))),"x",""))</f>
        <v/>
      </c>
      <c r="S3590" s="525" t="str">
        <f>IF(ISERROR(FIND('112'!$M$9,G3590,1)),"",IF((AND(LEFT(G3590,2)=LEFT('112'!$M$9,2),B3590&lt;'112'!$N$8,$L3590='112'!$I$6)),"x",""))</f>
        <v/>
      </c>
      <c r="T3590" s="525" t="str">
        <f>IF(ISERROR(FIND('112'!$M$9,G3590,1)),"",IF((AND(RIGHT(G3590,2)=RIGHT('112'!$M$9,2),B3590&lt;'112'!$N$8,$M3590='112'!$I$6)),"x",""))</f>
        <v/>
      </c>
      <c r="U3590" s="525" t="str">
        <f>IF(AND(B3590&gt;='IN-NX'!$P$3,B3590&lt;='IN-NX'!$Q$3,'IN-NX'!$D$7=D3590,OR(LEFT(L3590,2)="15",AND(LEFT(M3590,2)&lt;&gt;"15",LEFT(M3590,2)&lt;&gt;"33"))),"x","")</f>
        <v/>
      </c>
      <c r="V3590" s="525" t="str">
        <f>IF(AND(OR(LEFT(TH!L3590,2)="15",LEFT(TH!M3590,2)="15"),'152-CT'!$J$8=TH!F3590),"x","")</f>
        <v/>
      </c>
      <c r="W3590" s="525" t="str">
        <f>IF(AND(OR(LEFT(TH!L3590,2)="15",LEFT(TH!M3590,2)="15"),TK!$E$7=TH!F3590),"x","")</f>
        <v/>
      </c>
      <c r="X3590" s="525" t="str">
        <f>IF(AND('341-CT'!$E$9=H3590,OR(LEFT(L3590,3)=$X$7,LEFT(M3590,3)=$X$7)),"x","")</f>
        <v/>
      </c>
      <c r="Y3590" s="525" t="str">
        <f>IF(OR(TH!L3590=TH!$Y$7,M3590=TH!$Y$7),"x","")</f>
        <v/>
      </c>
      <c r="Z3590" s="525" t="str">
        <f>IF(AND(B3590&lt;=NKC!$N$8,B3590&gt;=NKC!$M$8),"x","")</f>
        <v/>
      </c>
      <c r="AA3590" s="535"/>
      <c r="AB3590" s="536"/>
      <c r="AC3590" s="536" t="str">
        <f>VLOOKUP(F3590,NXT!$B$12:$B$686,1,0)</f>
        <v xml:space="preserve">Thùng </v>
      </c>
      <c r="AD3590" s="536"/>
    </row>
    <row r="3591" spans="1:30" s="503" customFormat="1" ht="15.75" customHeight="1">
      <c r="A3591" s="517" t="str">
        <f>IF(B3591&lt;&gt;"",IF(AND(B3591&gt;=_TM1,B3591&lt;=_TM2,OR(TH!L3591="1111",TH!M3591="1111")),TH!D3591,""),"")</f>
        <v/>
      </c>
      <c r="B3591" s="531">
        <f t="shared" si="386"/>
        <v>8</v>
      </c>
      <c r="C3591" s="315">
        <f t="shared" si="387"/>
        <v>42958</v>
      </c>
      <c r="D3591" s="544" t="s">
        <v>1181</v>
      </c>
      <c r="E3591" s="315">
        <v>42958</v>
      </c>
      <c r="F3591" s="250" t="s">
        <v>1286</v>
      </c>
      <c r="G3591" s="314" t="s">
        <v>1416</v>
      </c>
      <c r="H3591" s="473" t="s">
        <v>1309</v>
      </c>
      <c r="I3591" s="307"/>
      <c r="J3591" s="307"/>
      <c r="K3591" s="532">
        <f t="shared" si="391"/>
        <v>0</v>
      </c>
      <c r="L3591" s="534" t="s">
        <v>223</v>
      </c>
      <c r="M3591" s="534" t="s">
        <v>162</v>
      </c>
      <c r="N3591" s="525" t="str">
        <f>IF(AND('331-CT'!$E$7=TH!H3591,OR(L3591="331",M3591="331")),"331",IF(AND(OR(L3591="131",M3591="131"),H3591='131-CT'!$E$7),"131",""))</f>
        <v/>
      </c>
      <c r="O3591" s="525" t="str">
        <f>IF(AND($B3591&gt;='111'!$N$11,$B3591&lt;='111'!$O$11,OR($L3591=$O$7,$M3591=$O$7)),"x","")</f>
        <v/>
      </c>
      <c r="P3591" s="525" t="str">
        <f>IF(AND($L3591=$O$7,$B3591&lt;'111'!$N$11),"x","")</f>
        <v/>
      </c>
      <c r="Q3591" s="525" t="str">
        <f>IF(AND($M3591=$O$7,$B3591&lt;'111'!$N$11),"x","")</f>
        <v/>
      </c>
      <c r="R3591" s="525" t="str">
        <f>IF(ISERROR(FIND('112'!$M$9,G3591,1)),"",IF((AND(FIND('112'!$M$9,G3591,1)&gt;=1,$B3591&gt;='112'!$N$8,$B3591&lt;='112'!$O$8,OR($L3591='112'!$I$6,$M3591='112'!$I$6))),"x",""))</f>
        <v/>
      </c>
      <c r="S3591" s="525" t="str">
        <f>IF(ISERROR(FIND('112'!$M$9,G3591,1)),"",IF((AND(LEFT(G3591,2)=LEFT('112'!$M$9,2),B3591&lt;'112'!$N$8,$L3591='112'!$I$6)),"x",""))</f>
        <v/>
      </c>
      <c r="T3591" s="525" t="str">
        <f>IF(ISERROR(FIND('112'!$M$9,G3591,1)),"",IF((AND(RIGHT(G3591,2)=RIGHT('112'!$M$9,2),B3591&lt;'112'!$N$8,$M3591='112'!$I$6)),"x",""))</f>
        <v/>
      </c>
      <c r="U3591" s="525" t="str">
        <f>IF(AND(B3591&gt;='IN-NX'!$P$3,B3591&lt;='IN-NX'!$Q$3,'IN-NX'!$D$7=D3591,OR(LEFT(L3591,2)="15",AND(LEFT(M3591,2)&lt;&gt;"15",LEFT(M3591,2)&lt;&gt;"33"))),"x","")</f>
        <v/>
      </c>
      <c r="V3591" s="525" t="str">
        <f>IF(AND(OR(LEFT(TH!L3591,2)="15",LEFT(TH!M3591,2)="15"),'152-CT'!$J$8=TH!F3591),"x","")</f>
        <v/>
      </c>
      <c r="W3591" s="525" t="str">
        <f>IF(AND(OR(LEFT(TH!L3591,2)="15",LEFT(TH!M3591,2)="15"),TK!$E$7=TH!F3591),"x","")</f>
        <v/>
      </c>
      <c r="X3591" s="525" t="str">
        <f>IF(AND('341-CT'!$E$9=H3591,OR(LEFT(L3591,3)=$X$7,LEFT(M3591,3)=$X$7)),"x","")</f>
        <v/>
      </c>
      <c r="Y3591" s="525" t="str">
        <f>IF(OR(TH!L3591=TH!$Y$7,M3591=TH!$Y$7),"x","")</f>
        <v/>
      </c>
      <c r="Z3591" s="525" t="str">
        <f>IF(AND(B3591&lt;=NKC!$N$8,B3591&gt;=NKC!$M$8),"x","")</f>
        <v/>
      </c>
      <c r="AA3591" s="535"/>
      <c r="AB3591" s="536"/>
      <c r="AC3591" s="536" t="str">
        <f>VLOOKUP(F3591,NXT!$B$12:$B$686,1,0)</f>
        <v xml:space="preserve">Thùng </v>
      </c>
      <c r="AD3591" s="536"/>
    </row>
    <row r="3592" spans="1:30" s="503" customFormat="1" ht="15.75" customHeight="1">
      <c r="A3592" s="517" t="str">
        <f>IF(B3592&lt;&gt;"",IF(AND(B3592&gt;=_TM1,B3592&lt;=_TM2,OR(TH!L3592="1111",TH!M3592="1111")),TH!D3592,""),"")</f>
        <v/>
      </c>
      <c r="B3592" s="531">
        <f t="shared" si="386"/>
        <v>8</v>
      </c>
      <c r="C3592" s="315">
        <f t="shared" si="387"/>
        <v>42958</v>
      </c>
      <c r="D3592" s="544" t="s">
        <v>1181</v>
      </c>
      <c r="E3592" s="315">
        <v>42958</v>
      </c>
      <c r="F3592" s="250" t="s">
        <v>1286</v>
      </c>
      <c r="G3592" s="314" t="s">
        <v>1416</v>
      </c>
      <c r="H3592" s="473" t="s">
        <v>1309</v>
      </c>
      <c r="I3592" s="307"/>
      <c r="J3592" s="307"/>
      <c r="K3592" s="532">
        <f t="shared" si="391"/>
        <v>0</v>
      </c>
      <c r="L3592" s="534" t="s">
        <v>223</v>
      </c>
      <c r="M3592" s="534" t="s">
        <v>162</v>
      </c>
      <c r="N3592" s="525" t="str">
        <f>IF(AND('331-CT'!$E$7=TH!H3592,OR(L3592="331",M3592="331")),"331",IF(AND(OR(L3592="131",M3592="131"),H3592='131-CT'!$E$7),"131",""))</f>
        <v/>
      </c>
      <c r="O3592" s="525" t="str">
        <f>IF(AND($B3592&gt;='111'!$N$11,$B3592&lt;='111'!$O$11,OR($L3592=$O$7,$M3592=$O$7)),"x","")</f>
        <v/>
      </c>
      <c r="P3592" s="525" t="str">
        <f>IF(AND($L3592=$O$7,$B3592&lt;'111'!$N$11),"x","")</f>
        <v/>
      </c>
      <c r="Q3592" s="525" t="str">
        <f>IF(AND($M3592=$O$7,$B3592&lt;'111'!$N$11),"x","")</f>
        <v/>
      </c>
      <c r="R3592" s="525" t="str">
        <f>IF(ISERROR(FIND('112'!$M$9,G3592,1)),"",IF((AND(FIND('112'!$M$9,G3592,1)&gt;=1,$B3592&gt;='112'!$N$8,$B3592&lt;='112'!$O$8,OR($L3592='112'!$I$6,$M3592='112'!$I$6))),"x",""))</f>
        <v/>
      </c>
      <c r="S3592" s="525" t="str">
        <f>IF(ISERROR(FIND('112'!$M$9,G3592,1)),"",IF((AND(LEFT(G3592,2)=LEFT('112'!$M$9,2),B3592&lt;'112'!$N$8,$L3592='112'!$I$6)),"x",""))</f>
        <v/>
      </c>
      <c r="T3592" s="525" t="str">
        <f>IF(ISERROR(FIND('112'!$M$9,G3592,1)),"",IF((AND(RIGHT(G3592,2)=RIGHT('112'!$M$9,2),B3592&lt;'112'!$N$8,$M3592='112'!$I$6)),"x",""))</f>
        <v/>
      </c>
      <c r="U3592" s="525" t="str">
        <f>IF(AND(B3592&gt;='IN-NX'!$P$3,B3592&lt;='IN-NX'!$Q$3,'IN-NX'!$D$7=D3592,OR(LEFT(L3592,2)="15",AND(LEFT(M3592,2)&lt;&gt;"15",LEFT(M3592,2)&lt;&gt;"33"))),"x","")</f>
        <v/>
      </c>
      <c r="V3592" s="525" t="str">
        <f>IF(AND(OR(LEFT(TH!L3592,2)="15",LEFT(TH!M3592,2)="15"),'152-CT'!$J$8=TH!F3592),"x","")</f>
        <v/>
      </c>
      <c r="W3592" s="525" t="str">
        <f>IF(AND(OR(LEFT(TH!L3592,2)="15",LEFT(TH!M3592,2)="15"),TK!$E$7=TH!F3592),"x","")</f>
        <v/>
      </c>
      <c r="X3592" s="525" t="str">
        <f>IF(AND('341-CT'!$E$9=H3592,OR(LEFT(L3592,3)=$X$7,LEFT(M3592,3)=$X$7)),"x","")</f>
        <v/>
      </c>
      <c r="Y3592" s="525" t="str">
        <f>IF(OR(TH!L3592=TH!$Y$7,M3592=TH!$Y$7),"x","")</f>
        <v/>
      </c>
      <c r="Z3592" s="525" t="str">
        <f>IF(AND(B3592&lt;=NKC!$N$8,B3592&gt;=NKC!$M$8),"x","")</f>
        <v/>
      </c>
      <c r="AA3592" s="535"/>
      <c r="AB3592" s="536"/>
      <c r="AC3592" s="536" t="str">
        <f>VLOOKUP(F3592,NXT!$B$12:$B$686,1,0)</f>
        <v xml:space="preserve">Thùng </v>
      </c>
    </row>
    <row r="3593" spans="1:30" s="503" customFormat="1" ht="15.75" customHeight="1">
      <c r="A3593" s="517" t="str">
        <f>IF(B3593&lt;&gt;"",IF(AND(B3593&gt;=_TM1,B3593&lt;=_TM2,OR(TH!L3593="1111",TH!M3593="1111")),TH!D3593,""),"")</f>
        <v/>
      </c>
      <c r="B3593" s="531">
        <f t="shared" ref="B3593:B3595" si="394">IF(C3593&lt;&gt;"",MONTH(C3593),"")</f>
        <v>8</v>
      </c>
      <c r="C3593" s="315">
        <f t="shared" ref="C3593:C3595" si="395">E3593</f>
        <v>42958</v>
      </c>
      <c r="D3593" s="544" t="s">
        <v>1181</v>
      </c>
      <c r="E3593" s="315">
        <v>42958</v>
      </c>
      <c r="F3593" s="250" t="s">
        <v>1286</v>
      </c>
      <c r="G3593" s="314" t="s">
        <v>1416</v>
      </c>
      <c r="H3593" s="473" t="s">
        <v>1309</v>
      </c>
      <c r="I3593" s="307"/>
      <c r="J3593" s="307"/>
      <c r="K3593" s="532">
        <f t="shared" si="391"/>
        <v>0</v>
      </c>
      <c r="L3593" s="534" t="s">
        <v>223</v>
      </c>
      <c r="M3593" s="534" t="s">
        <v>162</v>
      </c>
      <c r="N3593" s="525" t="str">
        <f>IF(AND('331-CT'!$E$7=TH!H3593,OR(L3593="331",M3593="331")),"331",IF(AND(OR(L3593="131",M3593="131"),H3593='131-CT'!$E$7),"131",""))</f>
        <v/>
      </c>
      <c r="O3593" s="525" t="str">
        <f>IF(AND($B3593&gt;='111'!$N$11,$B3593&lt;='111'!$O$11,OR($L3593=$O$7,$M3593=$O$7)),"x","")</f>
        <v/>
      </c>
      <c r="P3593" s="525" t="str">
        <f>IF(AND($L3593=$O$7,$B3593&lt;'111'!$N$11),"x","")</f>
        <v/>
      </c>
      <c r="Q3593" s="525" t="str">
        <f>IF(AND($M3593=$O$7,$B3593&lt;'111'!$N$11),"x","")</f>
        <v/>
      </c>
      <c r="R3593" s="525" t="str">
        <f>IF(ISERROR(FIND('112'!$M$9,G3593,1)),"",IF((AND(FIND('112'!$M$9,G3593,1)&gt;=1,$B3593&gt;='112'!$N$8,$B3593&lt;='112'!$O$8,OR($L3593='112'!$I$6,$M3593='112'!$I$6))),"x",""))</f>
        <v/>
      </c>
      <c r="S3593" s="525" t="str">
        <f>IF(ISERROR(FIND('112'!$M$9,G3593,1)),"",IF((AND(LEFT(G3593,2)=LEFT('112'!$M$9,2),B3593&lt;'112'!$N$8,$L3593='112'!$I$6)),"x",""))</f>
        <v/>
      </c>
      <c r="T3593" s="525" t="str">
        <f>IF(ISERROR(FIND('112'!$M$9,G3593,1)),"",IF((AND(RIGHT(G3593,2)=RIGHT('112'!$M$9,2),B3593&lt;'112'!$N$8,$M3593='112'!$I$6)),"x",""))</f>
        <v/>
      </c>
      <c r="U3593" s="525" t="str">
        <f>IF(AND(B3593&gt;='IN-NX'!$P$3,B3593&lt;='IN-NX'!$Q$3,'IN-NX'!$D$7=D3593,OR(LEFT(L3593,2)="15",AND(LEFT(M3593,2)&lt;&gt;"15",LEFT(M3593,2)&lt;&gt;"33"))),"x","")</f>
        <v/>
      </c>
      <c r="V3593" s="525" t="str">
        <f>IF(AND(OR(LEFT(TH!L3593,2)="15",LEFT(TH!M3593,2)="15"),'152-CT'!$J$8=TH!F3593),"x","")</f>
        <v/>
      </c>
      <c r="W3593" s="525" t="str">
        <f>IF(AND(OR(LEFT(TH!L3593,2)="15",LEFT(TH!M3593,2)="15"),TK!$E$7=TH!F3593),"x","")</f>
        <v/>
      </c>
      <c r="X3593" s="525" t="str">
        <f>IF(AND('341-CT'!$E$9=H3593,OR(LEFT(L3593,3)=$X$7,LEFT(M3593,3)=$X$7)),"x","")</f>
        <v/>
      </c>
      <c r="Y3593" s="525" t="str">
        <f>IF(OR(TH!L3593=TH!$Y$7,M3593=TH!$Y$7),"x","")</f>
        <v/>
      </c>
      <c r="Z3593" s="525" t="str">
        <f>IF(AND(B3593&lt;=NKC!$N$8,B3593&gt;=NKC!$M$8),"x","")</f>
        <v/>
      </c>
      <c r="AA3593" s="535"/>
      <c r="AB3593" s="536"/>
      <c r="AC3593" s="536" t="str">
        <f>VLOOKUP(F3593,NXT!$B$12:$B$686,1,0)</f>
        <v xml:space="preserve">Thùng </v>
      </c>
      <c r="AD3593" s="536"/>
    </row>
    <row r="3594" spans="1:30" s="503" customFormat="1" ht="15.75" customHeight="1">
      <c r="A3594" s="517" t="str">
        <f>IF(B3594&lt;&gt;"",IF(AND(B3594&gt;=_TM1,B3594&lt;=_TM2,OR(TH!L3594="1111",TH!M3594="1111")),TH!D3594,""),"")</f>
        <v/>
      </c>
      <c r="B3594" s="531">
        <f t="shared" si="394"/>
        <v>8</v>
      </c>
      <c r="C3594" s="315">
        <f t="shared" si="395"/>
        <v>42958</v>
      </c>
      <c r="D3594" s="544" t="s">
        <v>1181</v>
      </c>
      <c r="E3594" s="315">
        <v>42958</v>
      </c>
      <c r="F3594" s="250" t="s">
        <v>1286</v>
      </c>
      <c r="G3594" s="314" t="s">
        <v>1416</v>
      </c>
      <c r="H3594" s="473" t="s">
        <v>1309</v>
      </c>
      <c r="I3594" s="307"/>
      <c r="J3594" s="307"/>
      <c r="K3594" s="532">
        <f t="shared" si="391"/>
        <v>0</v>
      </c>
      <c r="L3594" s="534" t="s">
        <v>223</v>
      </c>
      <c r="M3594" s="534" t="s">
        <v>162</v>
      </c>
      <c r="N3594" s="525" t="str">
        <f>IF(AND('331-CT'!$E$7=TH!H3594,OR(L3594="331",M3594="331")),"331",IF(AND(OR(L3594="131",M3594="131"),H3594='131-CT'!$E$7),"131",""))</f>
        <v/>
      </c>
      <c r="O3594" s="525" t="str">
        <f>IF(AND($B3594&gt;='111'!$N$11,$B3594&lt;='111'!$O$11,OR($L3594=$O$7,$M3594=$O$7)),"x","")</f>
        <v/>
      </c>
      <c r="P3594" s="525" t="str">
        <f>IF(AND($L3594=$O$7,$B3594&lt;'111'!$N$11),"x","")</f>
        <v/>
      </c>
      <c r="Q3594" s="525" t="str">
        <f>IF(AND($M3594=$O$7,$B3594&lt;'111'!$N$11),"x","")</f>
        <v/>
      </c>
      <c r="R3594" s="525" t="str">
        <f>IF(ISERROR(FIND('112'!$M$9,G3594,1)),"",IF((AND(FIND('112'!$M$9,G3594,1)&gt;=1,$B3594&gt;='112'!$N$8,$B3594&lt;='112'!$O$8,OR($L3594='112'!$I$6,$M3594='112'!$I$6))),"x",""))</f>
        <v/>
      </c>
      <c r="S3594" s="525" t="str">
        <f>IF(ISERROR(FIND('112'!$M$9,G3594,1)),"",IF((AND(LEFT(G3594,2)=LEFT('112'!$M$9,2),B3594&lt;'112'!$N$8,$L3594='112'!$I$6)),"x",""))</f>
        <v/>
      </c>
      <c r="T3594" s="525" t="str">
        <f>IF(ISERROR(FIND('112'!$M$9,G3594,1)),"",IF((AND(RIGHT(G3594,2)=RIGHT('112'!$M$9,2),B3594&lt;'112'!$N$8,$M3594='112'!$I$6)),"x",""))</f>
        <v/>
      </c>
      <c r="U3594" s="525" t="str">
        <f>IF(AND(B3594&gt;='IN-NX'!$P$3,B3594&lt;='IN-NX'!$Q$3,'IN-NX'!$D$7=D3594,OR(LEFT(L3594,2)="15",AND(LEFT(M3594,2)&lt;&gt;"15",LEFT(M3594,2)&lt;&gt;"33"))),"x","")</f>
        <v/>
      </c>
      <c r="V3594" s="525" t="str">
        <f>IF(AND(OR(LEFT(TH!L3594,2)="15",LEFT(TH!M3594,2)="15"),'152-CT'!$J$8=TH!F3594),"x","")</f>
        <v/>
      </c>
      <c r="W3594" s="525" t="str">
        <f>IF(AND(OR(LEFT(TH!L3594,2)="15",LEFT(TH!M3594,2)="15"),TK!$E$7=TH!F3594),"x","")</f>
        <v/>
      </c>
      <c r="X3594" s="525" t="str">
        <f>IF(AND('341-CT'!$E$9=H3594,OR(LEFT(L3594,3)=$X$7,LEFT(M3594,3)=$X$7)),"x","")</f>
        <v/>
      </c>
      <c r="Y3594" s="525" t="str">
        <f>IF(OR(TH!L3594=TH!$Y$7,M3594=TH!$Y$7),"x","")</f>
        <v/>
      </c>
      <c r="Z3594" s="525" t="str">
        <f>IF(AND(B3594&lt;=NKC!$N$8,B3594&gt;=NKC!$M$8),"x","")</f>
        <v/>
      </c>
      <c r="AA3594" s="535"/>
      <c r="AB3594" s="536"/>
      <c r="AC3594" s="536" t="str">
        <f>VLOOKUP(F3594,NXT!$B$12:$B$686,1,0)</f>
        <v xml:space="preserve">Thùng </v>
      </c>
      <c r="AD3594" s="536"/>
    </row>
    <row r="3595" spans="1:30" s="503" customFormat="1" ht="15.75" customHeight="1">
      <c r="A3595" s="517" t="str">
        <f>IF(B3595&lt;&gt;"",IF(AND(B3595&gt;=_TM1,B3595&lt;=_TM2,OR(TH!L3595="1111",TH!M3595="1111")),TH!D3595,""),"")</f>
        <v/>
      </c>
      <c r="B3595" s="531">
        <f t="shared" si="394"/>
        <v>8</v>
      </c>
      <c r="C3595" s="315">
        <f t="shared" si="395"/>
        <v>42958</v>
      </c>
      <c r="D3595" s="544" t="s">
        <v>1181</v>
      </c>
      <c r="E3595" s="315">
        <v>42958</v>
      </c>
      <c r="F3595" s="250" t="s">
        <v>1286</v>
      </c>
      <c r="G3595" s="314" t="s">
        <v>1416</v>
      </c>
      <c r="H3595" s="473" t="s">
        <v>1309</v>
      </c>
      <c r="I3595" s="307"/>
      <c r="J3595" s="307"/>
      <c r="K3595" s="532">
        <f t="shared" si="391"/>
        <v>0</v>
      </c>
      <c r="L3595" s="534" t="s">
        <v>223</v>
      </c>
      <c r="M3595" s="534" t="s">
        <v>162</v>
      </c>
      <c r="N3595" s="525" t="str">
        <f>IF(AND('331-CT'!$E$7=TH!H3595,OR(L3595="331",M3595="331")),"331",IF(AND(OR(L3595="131",M3595="131"),H3595='131-CT'!$E$7),"131",""))</f>
        <v/>
      </c>
      <c r="O3595" s="525" t="str">
        <f>IF(AND($B3595&gt;='111'!$N$11,$B3595&lt;='111'!$O$11,OR($L3595=$O$7,$M3595=$O$7)),"x","")</f>
        <v/>
      </c>
      <c r="P3595" s="525" t="str">
        <f>IF(AND($L3595=$O$7,$B3595&lt;'111'!$N$11),"x","")</f>
        <v/>
      </c>
      <c r="Q3595" s="525" t="str">
        <f>IF(AND($M3595=$O$7,$B3595&lt;'111'!$N$11),"x","")</f>
        <v/>
      </c>
      <c r="R3595" s="525" t="str">
        <f>IF(ISERROR(FIND('112'!$M$9,G3595,1)),"",IF((AND(FIND('112'!$M$9,G3595,1)&gt;=1,$B3595&gt;='112'!$N$8,$B3595&lt;='112'!$O$8,OR($L3595='112'!$I$6,$M3595='112'!$I$6))),"x",""))</f>
        <v/>
      </c>
      <c r="S3595" s="525" t="str">
        <f>IF(ISERROR(FIND('112'!$M$9,G3595,1)),"",IF((AND(LEFT(G3595,2)=LEFT('112'!$M$9,2),B3595&lt;'112'!$N$8,$L3595='112'!$I$6)),"x",""))</f>
        <v/>
      </c>
      <c r="T3595" s="525" t="str">
        <f>IF(ISERROR(FIND('112'!$M$9,G3595,1)),"",IF((AND(RIGHT(G3595,2)=RIGHT('112'!$M$9,2),B3595&lt;'112'!$N$8,$M3595='112'!$I$6)),"x",""))</f>
        <v/>
      </c>
      <c r="U3595" s="525" t="str">
        <f>IF(AND(B3595&gt;='IN-NX'!$P$3,B3595&lt;='IN-NX'!$Q$3,'IN-NX'!$D$7=D3595,OR(LEFT(L3595,2)="15",AND(LEFT(M3595,2)&lt;&gt;"15",LEFT(M3595,2)&lt;&gt;"33"))),"x","")</f>
        <v/>
      </c>
      <c r="V3595" s="525" t="str">
        <f>IF(AND(OR(LEFT(TH!L3595,2)="15",LEFT(TH!M3595,2)="15"),'152-CT'!$J$8=TH!F3595),"x","")</f>
        <v/>
      </c>
      <c r="W3595" s="525" t="str">
        <f>IF(AND(OR(LEFT(TH!L3595,2)="15",LEFT(TH!M3595,2)="15"),TK!$E$7=TH!F3595),"x","")</f>
        <v/>
      </c>
      <c r="X3595" s="525" t="str">
        <f>IF(AND('341-CT'!$E$9=H3595,OR(LEFT(L3595,3)=$X$7,LEFT(M3595,3)=$X$7)),"x","")</f>
        <v/>
      </c>
      <c r="Y3595" s="525" t="str">
        <f>IF(OR(TH!L3595=TH!$Y$7,M3595=TH!$Y$7),"x","")</f>
        <v/>
      </c>
      <c r="Z3595" s="525" t="str">
        <f>IF(AND(B3595&lt;=NKC!$N$8,B3595&gt;=NKC!$M$8),"x","")</f>
        <v/>
      </c>
      <c r="AA3595" s="535"/>
      <c r="AB3595" s="536"/>
      <c r="AC3595" s="536" t="str">
        <f>VLOOKUP(F3595,NXT!$B$12:$B$686,1,0)</f>
        <v xml:space="preserve">Thùng </v>
      </c>
    </row>
    <row r="3596" spans="1:30" s="503" customFormat="1" ht="15.75" customHeight="1">
      <c r="A3596" s="517" t="str">
        <f>IF(B3596&lt;&gt;"",IF(AND(B3596&gt;=_TM1,B3596&lt;=_TM2,OR(TH!L3596="1111",TH!M3596="1111")),TH!D3596,""),"")</f>
        <v/>
      </c>
      <c r="B3596" s="531">
        <f t="shared" ref="B3596:B3598" si="396">IF(C3596&lt;&gt;"",MONTH(C3596),"")</f>
        <v>8</v>
      </c>
      <c r="C3596" s="315">
        <f t="shared" ref="C3596:C3598" si="397">E3596</f>
        <v>42958</v>
      </c>
      <c r="D3596" s="544" t="s">
        <v>1181</v>
      </c>
      <c r="E3596" s="315">
        <v>42958</v>
      </c>
      <c r="F3596" s="250" t="s">
        <v>1286</v>
      </c>
      <c r="G3596" s="314" t="s">
        <v>1416</v>
      </c>
      <c r="H3596" s="473" t="s">
        <v>1309</v>
      </c>
      <c r="I3596" s="307"/>
      <c r="J3596" s="307"/>
      <c r="K3596" s="532">
        <f t="shared" si="391"/>
        <v>0</v>
      </c>
      <c r="L3596" s="534" t="s">
        <v>223</v>
      </c>
      <c r="M3596" s="534" t="s">
        <v>162</v>
      </c>
      <c r="N3596" s="525" t="str">
        <f>IF(AND('331-CT'!$E$7=TH!H3596,OR(L3596="331",M3596="331")),"331",IF(AND(OR(L3596="131",M3596="131"),H3596='131-CT'!$E$7),"131",""))</f>
        <v/>
      </c>
      <c r="O3596" s="525" t="str">
        <f>IF(AND($B3596&gt;='111'!$N$11,$B3596&lt;='111'!$O$11,OR($L3596=$O$7,$M3596=$O$7)),"x","")</f>
        <v/>
      </c>
      <c r="P3596" s="525" t="str">
        <f>IF(AND($L3596=$O$7,$B3596&lt;'111'!$N$11),"x","")</f>
        <v/>
      </c>
      <c r="Q3596" s="525" t="str">
        <f>IF(AND($M3596=$O$7,$B3596&lt;'111'!$N$11),"x","")</f>
        <v/>
      </c>
      <c r="R3596" s="525" t="str">
        <f>IF(ISERROR(FIND('112'!$M$9,G3596,1)),"",IF((AND(FIND('112'!$M$9,G3596,1)&gt;=1,$B3596&gt;='112'!$N$8,$B3596&lt;='112'!$O$8,OR($L3596='112'!$I$6,$M3596='112'!$I$6))),"x",""))</f>
        <v/>
      </c>
      <c r="S3596" s="525" t="str">
        <f>IF(ISERROR(FIND('112'!$M$9,G3596,1)),"",IF((AND(LEFT(G3596,2)=LEFT('112'!$M$9,2),B3596&lt;'112'!$N$8,$L3596='112'!$I$6)),"x",""))</f>
        <v/>
      </c>
      <c r="T3596" s="525" t="str">
        <f>IF(ISERROR(FIND('112'!$M$9,G3596,1)),"",IF((AND(RIGHT(G3596,2)=RIGHT('112'!$M$9,2),B3596&lt;'112'!$N$8,$M3596='112'!$I$6)),"x",""))</f>
        <v/>
      </c>
      <c r="U3596" s="525" t="str">
        <f>IF(AND(B3596&gt;='IN-NX'!$P$3,B3596&lt;='IN-NX'!$Q$3,'IN-NX'!$D$7=D3596,OR(LEFT(L3596,2)="15",AND(LEFT(M3596,2)&lt;&gt;"15",LEFT(M3596,2)&lt;&gt;"33"))),"x","")</f>
        <v/>
      </c>
      <c r="V3596" s="525" t="str">
        <f>IF(AND(OR(LEFT(TH!L3596,2)="15",LEFT(TH!M3596,2)="15"),'152-CT'!$J$8=TH!F3596),"x","")</f>
        <v/>
      </c>
      <c r="W3596" s="525" t="str">
        <f>IF(AND(OR(LEFT(TH!L3596,2)="15",LEFT(TH!M3596,2)="15"),TK!$E$7=TH!F3596),"x","")</f>
        <v/>
      </c>
      <c r="X3596" s="525" t="str">
        <f>IF(AND('341-CT'!$E$9=H3596,OR(LEFT(L3596,3)=$X$7,LEFT(M3596,3)=$X$7)),"x","")</f>
        <v/>
      </c>
      <c r="Y3596" s="525" t="str">
        <f>IF(OR(TH!L3596=TH!$Y$7,M3596=TH!$Y$7),"x","")</f>
        <v/>
      </c>
      <c r="Z3596" s="525" t="str">
        <f>IF(AND(B3596&lt;=NKC!$N$8,B3596&gt;=NKC!$M$8),"x","")</f>
        <v/>
      </c>
      <c r="AA3596" s="535"/>
      <c r="AB3596" s="536"/>
      <c r="AC3596" s="536" t="str">
        <f>VLOOKUP(F3596,NXT!$B$12:$B$686,1,0)</f>
        <v xml:space="preserve">Thùng </v>
      </c>
      <c r="AD3596" s="536"/>
    </row>
    <row r="3597" spans="1:30" s="503" customFormat="1" ht="15.75" customHeight="1">
      <c r="A3597" s="517" t="str">
        <f>IF(B3597&lt;&gt;"",IF(AND(B3597&gt;=_TM1,B3597&lt;=_TM2,OR(TH!L3597="1111",TH!M3597="1111")),TH!D3597,""),"")</f>
        <v/>
      </c>
      <c r="B3597" s="531">
        <f t="shared" si="396"/>
        <v>8</v>
      </c>
      <c r="C3597" s="315">
        <f t="shared" si="397"/>
        <v>42958</v>
      </c>
      <c r="D3597" s="544" t="s">
        <v>1181</v>
      </c>
      <c r="E3597" s="315">
        <v>42958</v>
      </c>
      <c r="F3597" s="250" t="s">
        <v>1286</v>
      </c>
      <c r="G3597" s="314" t="s">
        <v>1416</v>
      </c>
      <c r="H3597" s="473" t="s">
        <v>1309</v>
      </c>
      <c r="I3597" s="307"/>
      <c r="J3597" s="307"/>
      <c r="K3597" s="532">
        <f t="shared" si="391"/>
        <v>0</v>
      </c>
      <c r="L3597" s="534" t="s">
        <v>223</v>
      </c>
      <c r="M3597" s="534" t="s">
        <v>162</v>
      </c>
      <c r="N3597" s="525" t="str">
        <f>IF(AND('331-CT'!$E$7=TH!H3597,OR(L3597="331",M3597="331")),"331",IF(AND(OR(L3597="131",M3597="131"),H3597='131-CT'!$E$7),"131",""))</f>
        <v/>
      </c>
      <c r="O3597" s="525" t="str">
        <f>IF(AND($B3597&gt;='111'!$N$11,$B3597&lt;='111'!$O$11,OR($L3597=$O$7,$M3597=$O$7)),"x","")</f>
        <v/>
      </c>
      <c r="P3597" s="525" t="str">
        <f>IF(AND($L3597=$O$7,$B3597&lt;'111'!$N$11),"x","")</f>
        <v/>
      </c>
      <c r="Q3597" s="525" t="str">
        <f>IF(AND($M3597=$O$7,$B3597&lt;'111'!$N$11),"x","")</f>
        <v/>
      </c>
      <c r="R3597" s="525" t="str">
        <f>IF(ISERROR(FIND('112'!$M$9,G3597,1)),"",IF((AND(FIND('112'!$M$9,G3597,1)&gt;=1,$B3597&gt;='112'!$N$8,$B3597&lt;='112'!$O$8,OR($L3597='112'!$I$6,$M3597='112'!$I$6))),"x",""))</f>
        <v/>
      </c>
      <c r="S3597" s="525" t="str">
        <f>IF(ISERROR(FIND('112'!$M$9,G3597,1)),"",IF((AND(LEFT(G3597,2)=LEFT('112'!$M$9,2),B3597&lt;'112'!$N$8,$L3597='112'!$I$6)),"x",""))</f>
        <v/>
      </c>
      <c r="T3597" s="525" t="str">
        <f>IF(ISERROR(FIND('112'!$M$9,G3597,1)),"",IF((AND(RIGHT(G3597,2)=RIGHT('112'!$M$9,2),B3597&lt;'112'!$N$8,$M3597='112'!$I$6)),"x",""))</f>
        <v/>
      </c>
      <c r="U3597" s="525" t="str">
        <f>IF(AND(B3597&gt;='IN-NX'!$P$3,B3597&lt;='IN-NX'!$Q$3,'IN-NX'!$D$7=D3597,OR(LEFT(L3597,2)="15",AND(LEFT(M3597,2)&lt;&gt;"15",LEFT(M3597,2)&lt;&gt;"33"))),"x","")</f>
        <v/>
      </c>
      <c r="V3597" s="525" t="str">
        <f>IF(AND(OR(LEFT(TH!L3597,2)="15",LEFT(TH!M3597,2)="15"),'152-CT'!$J$8=TH!F3597),"x","")</f>
        <v/>
      </c>
      <c r="W3597" s="525" t="str">
        <f>IF(AND(OR(LEFT(TH!L3597,2)="15",LEFT(TH!M3597,2)="15"),TK!$E$7=TH!F3597),"x","")</f>
        <v/>
      </c>
      <c r="X3597" s="525" t="str">
        <f>IF(AND('341-CT'!$E$9=H3597,OR(LEFT(L3597,3)=$X$7,LEFT(M3597,3)=$X$7)),"x","")</f>
        <v/>
      </c>
      <c r="Y3597" s="525" t="str">
        <f>IF(OR(TH!L3597=TH!$Y$7,M3597=TH!$Y$7),"x","")</f>
        <v/>
      </c>
      <c r="Z3597" s="525" t="str">
        <f>IF(AND(B3597&lt;=NKC!$N$8,B3597&gt;=NKC!$M$8),"x","")</f>
        <v/>
      </c>
      <c r="AA3597" s="535"/>
      <c r="AB3597" s="536"/>
      <c r="AC3597" s="536" t="str">
        <f>VLOOKUP(F3597,NXT!$B$12:$B$686,1,0)</f>
        <v xml:space="preserve">Thùng </v>
      </c>
      <c r="AD3597" s="536"/>
    </row>
    <row r="3598" spans="1:30" s="503" customFormat="1" ht="15.75" customHeight="1">
      <c r="A3598" s="517" t="str">
        <f>IF(B3598&lt;&gt;"",IF(AND(B3598&gt;=_TM1,B3598&lt;=_TM2,OR(TH!L3598="1111",TH!M3598="1111")),TH!D3598,""),"")</f>
        <v/>
      </c>
      <c r="B3598" s="531">
        <f t="shared" si="396"/>
        <v>8</v>
      </c>
      <c r="C3598" s="315">
        <f t="shared" si="397"/>
        <v>42958</v>
      </c>
      <c r="D3598" s="544" t="s">
        <v>1181</v>
      </c>
      <c r="E3598" s="315">
        <v>42958</v>
      </c>
      <c r="F3598" s="250" t="s">
        <v>1286</v>
      </c>
      <c r="G3598" s="314" t="s">
        <v>1416</v>
      </c>
      <c r="H3598" s="473" t="s">
        <v>1309</v>
      </c>
      <c r="I3598" s="307"/>
      <c r="J3598" s="307"/>
      <c r="K3598" s="532">
        <f t="shared" si="391"/>
        <v>0</v>
      </c>
      <c r="L3598" s="534" t="s">
        <v>223</v>
      </c>
      <c r="M3598" s="534" t="s">
        <v>162</v>
      </c>
      <c r="N3598" s="525" t="str">
        <f>IF(AND('331-CT'!$E$7=TH!H3598,OR(L3598="331",M3598="331")),"331",IF(AND(OR(L3598="131",M3598="131"),H3598='131-CT'!$E$7),"131",""))</f>
        <v/>
      </c>
      <c r="O3598" s="525" t="str">
        <f>IF(AND($B3598&gt;='111'!$N$11,$B3598&lt;='111'!$O$11,OR($L3598=$O$7,$M3598=$O$7)),"x","")</f>
        <v/>
      </c>
      <c r="P3598" s="525" t="str">
        <f>IF(AND($L3598=$O$7,$B3598&lt;'111'!$N$11),"x","")</f>
        <v/>
      </c>
      <c r="Q3598" s="525" t="str">
        <f>IF(AND($M3598=$O$7,$B3598&lt;'111'!$N$11),"x","")</f>
        <v/>
      </c>
      <c r="R3598" s="525" t="str">
        <f>IF(ISERROR(FIND('112'!$M$9,G3598,1)),"",IF((AND(FIND('112'!$M$9,G3598,1)&gt;=1,$B3598&gt;='112'!$N$8,$B3598&lt;='112'!$O$8,OR($L3598='112'!$I$6,$M3598='112'!$I$6))),"x",""))</f>
        <v/>
      </c>
      <c r="S3598" s="525" t="str">
        <f>IF(ISERROR(FIND('112'!$M$9,G3598,1)),"",IF((AND(LEFT(G3598,2)=LEFT('112'!$M$9,2),B3598&lt;'112'!$N$8,$L3598='112'!$I$6)),"x",""))</f>
        <v/>
      </c>
      <c r="T3598" s="525" t="str">
        <f>IF(ISERROR(FIND('112'!$M$9,G3598,1)),"",IF((AND(RIGHT(G3598,2)=RIGHT('112'!$M$9,2),B3598&lt;'112'!$N$8,$M3598='112'!$I$6)),"x",""))</f>
        <v/>
      </c>
      <c r="U3598" s="525" t="str">
        <f>IF(AND(B3598&gt;='IN-NX'!$P$3,B3598&lt;='IN-NX'!$Q$3,'IN-NX'!$D$7=D3598,OR(LEFT(L3598,2)="15",AND(LEFT(M3598,2)&lt;&gt;"15",LEFT(M3598,2)&lt;&gt;"33"))),"x","")</f>
        <v/>
      </c>
      <c r="V3598" s="525" t="str">
        <f>IF(AND(OR(LEFT(TH!L3598,2)="15",LEFT(TH!M3598,2)="15"),'152-CT'!$J$8=TH!F3598),"x","")</f>
        <v/>
      </c>
      <c r="W3598" s="525" t="str">
        <f>IF(AND(OR(LEFT(TH!L3598,2)="15",LEFT(TH!M3598,2)="15"),TK!$E$7=TH!F3598),"x","")</f>
        <v/>
      </c>
      <c r="X3598" s="525" t="str">
        <f>IF(AND('341-CT'!$E$9=H3598,OR(LEFT(L3598,3)=$X$7,LEFT(M3598,3)=$X$7)),"x","")</f>
        <v/>
      </c>
      <c r="Y3598" s="525" t="str">
        <f>IF(OR(TH!L3598=TH!$Y$7,M3598=TH!$Y$7),"x","")</f>
        <v/>
      </c>
      <c r="Z3598" s="525" t="str">
        <f>IF(AND(B3598&lt;=NKC!$N$8,B3598&gt;=NKC!$M$8),"x","")</f>
        <v/>
      </c>
      <c r="AA3598" s="535"/>
      <c r="AB3598" s="536"/>
      <c r="AC3598" s="536" t="str">
        <f>VLOOKUP(F3598,NXT!$B$12:$B$686,1,0)</f>
        <v xml:space="preserve">Thùng </v>
      </c>
    </row>
    <row r="3599" spans="1:30" s="503" customFormat="1" ht="15.75" customHeight="1">
      <c r="A3599" s="517" t="str">
        <f>IF(B3599&lt;&gt;"",IF(AND(B3599&gt;=_TM1,B3599&lt;=_TM2,OR(TH!L3599="1111",TH!M3599="1111")),TH!D3599,""),"")</f>
        <v/>
      </c>
      <c r="B3599" s="531">
        <f t="shared" si="386"/>
        <v>8</v>
      </c>
      <c r="C3599" s="315">
        <f t="shared" si="387"/>
        <v>42958</v>
      </c>
      <c r="D3599" s="544" t="s">
        <v>1181</v>
      </c>
      <c r="E3599" s="315">
        <v>42958</v>
      </c>
      <c r="F3599" s="250" t="s">
        <v>1286</v>
      </c>
      <c r="G3599" s="314" t="s">
        <v>1416</v>
      </c>
      <c r="H3599" s="473" t="s">
        <v>1309</v>
      </c>
      <c r="I3599" s="307"/>
      <c r="J3599" s="307"/>
      <c r="K3599" s="532">
        <f t="shared" si="391"/>
        <v>0</v>
      </c>
      <c r="L3599" s="534" t="s">
        <v>223</v>
      </c>
      <c r="M3599" s="534" t="s">
        <v>162</v>
      </c>
      <c r="N3599" s="525" t="str">
        <f>IF(AND('331-CT'!$E$7=TH!H3599,OR(L3599="331",M3599="331")),"331",IF(AND(OR(L3599="131",M3599="131"),H3599='131-CT'!$E$7),"131",""))</f>
        <v/>
      </c>
      <c r="O3599" s="525" t="str">
        <f>IF(AND($B3599&gt;='111'!$N$11,$B3599&lt;='111'!$O$11,OR($L3599=$O$7,$M3599=$O$7)),"x","")</f>
        <v/>
      </c>
      <c r="P3599" s="525" t="str">
        <f>IF(AND($L3599=$O$7,$B3599&lt;'111'!$N$11),"x","")</f>
        <v/>
      </c>
      <c r="Q3599" s="525" t="str">
        <f>IF(AND($M3599=$O$7,$B3599&lt;'111'!$N$11),"x","")</f>
        <v/>
      </c>
      <c r="R3599" s="525" t="str">
        <f>IF(ISERROR(FIND('112'!$M$9,G3599,1)),"",IF((AND(FIND('112'!$M$9,G3599,1)&gt;=1,$B3599&gt;='112'!$N$8,$B3599&lt;='112'!$O$8,OR($L3599='112'!$I$6,$M3599='112'!$I$6))),"x",""))</f>
        <v/>
      </c>
      <c r="S3599" s="525" t="str">
        <f>IF(ISERROR(FIND('112'!$M$9,G3599,1)),"",IF((AND(LEFT(G3599,2)=LEFT('112'!$M$9,2),B3599&lt;'112'!$N$8,$L3599='112'!$I$6)),"x",""))</f>
        <v/>
      </c>
      <c r="T3599" s="525" t="str">
        <f>IF(ISERROR(FIND('112'!$M$9,G3599,1)),"",IF((AND(RIGHT(G3599,2)=RIGHT('112'!$M$9,2),B3599&lt;'112'!$N$8,$M3599='112'!$I$6)),"x",""))</f>
        <v/>
      </c>
      <c r="U3599" s="525" t="str">
        <f>IF(AND(B3599&gt;='IN-NX'!$P$3,B3599&lt;='IN-NX'!$Q$3,'IN-NX'!$D$7=D3599,OR(LEFT(L3599,2)="15",AND(LEFT(M3599,2)&lt;&gt;"15",LEFT(M3599,2)&lt;&gt;"33"))),"x","")</f>
        <v/>
      </c>
      <c r="V3599" s="525" t="str">
        <f>IF(AND(OR(LEFT(TH!L3599,2)="15",LEFT(TH!M3599,2)="15"),'152-CT'!$J$8=TH!F3599),"x","")</f>
        <v/>
      </c>
      <c r="W3599" s="525" t="str">
        <f>IF(AND(OR(LEFT(TH!L3599,2)="15",LEFT(TH!M3599,2)="15"),TK!$E$7=TH!F3599),"x","")</f>
        <v/>
      </c>
      <c r="X3599" s="525" t="str">
        <f>IF(AND('341-CT'!$E$9=H3599,OR(LEFT(L3599,3)=$X$7,LEFT(M3599,3)=$X$7)),"x","")</f>
        <v/>
      </c>
      <c r="Y3599" s="525" t="str">
        <f>IF(OR(TH!L3599=TH!$Y$7,M3599=TH!$Y$7),"x","")</f>
        <v/>
      </c>
      <c r="Z3599" s="525" t="str">
        <f>IF(AND(B3599&lt;=NKC!$N$8,B3599&gt;=NKC!$M$8),"x","")</f>
        <v/>
      </c>
      <c r="AA3599" s="535"/>
      <c r="AB3599" s="536"/>
      <c r="AC3599" s="536" t="str">
        <f>VLOOKUP(F3599,NXT!$B$12:$B$686,1,0)</f>
        <v xml:space="preserve">Thùng </v>
      </c>
      <c r="AD3599" s="536"/>
    </row>
    <row r="3600" spans="1:30" s="503" customFormat="1" ht="15.75" customHeight="1">
      <c r="A3600" s="517" t="str">
        <f>IF(B3600&lt;&gt;"",IF(AND(B3600&gt;=_TM1,B3600&lt;=_TM2,OR(TH!L3600="1111",TH!M3600="1111")),TH!D3600,""),"")</f>
        <v/>
      </c>
      <c r="B3600" s="531">
        <f t="shared" si="386"/>
        <v>8</v>
      </c>
      <c r="C3600" s="315">
        <f t="shared" si="387"/>
        <v>42958</v>
      </c>
      <c r="D3600" s="544" t="s">
        <v>1181</v>
      </c>
      <c r="E3600" s="315">
        <v>42958</v>
      </c>
      <c r="F3600" s="250" t="s">
        <v>1286</v>
      </c>
      <c r="G3600" s="314" t="s">
        <v>1416</v>
      </c>
      <c r="H3600" s="473" t="s">
        <v>1309</v>
      </c>
      <c r="I3600" s="307"/>
      <c r="J3600" s="307"/>
      <c r="K3600" s="532">
        <f t="shared" si="391"/>
        <v>0</v>
      </c>
      <c r="L3600" s="534" t="s">
        <v>223</v>
      </c>
      <c r="M3600" s="534" t="s">
        <v>162</v>
      </c>
      <c r="N3600" s="525" t="str">
        <f>IF(AND('331-CT'!$E$7=TH!H3600,OR(L3600="331",M3600="331")),"331",IF(AND(OR(L3600="131",M3600="131"),H3600='131-CT'!$E$7),"131",""))</f>
        <v/>
      </c>
      <c r="O3600" s="525" t="str">
        <f>IF(AND($B3600&gt;='111'!$N$11,$B3600&lt;='111'!$O$11,OR($L3600=$O$7,$M3600=$O$7)),"x","")</f>
        <v/>
      </c>
      <c r="P3600" s="525" t="str">
        <f>IF(AND($L3600=$O$7,$B3600&lt;'111'!$N$11),"x","")</f>
        <v/>
      </c>
      <c r="Q3600" s="525" t="str">
        <f>IF(AND($M3600=$O$7,$B3600&lt;'111'!$N$11),"x","")</f>
        <v/>
      </c>
      <c r="R3600" s="525" t="str">
        <f>IF(ISERROR(FIND('112'!$M$9,G3600,1)),"",IF((AND(FIND('112'!$M$9,G3600,1)&gt;=1,$B3600&gt;='112'!$N$8,$B3600&lt;='112'!$O$8,OR($L3600='112'!$I$6,$M3600='112'!$I$6))),"x",""))</f>
        <v/>
      </c>
      <c r="S3600" s="525" t="str">
        <f>IF(ISERROR(FIND('112'!$M$9,G3600,1)),"",IF((AND(LEFT(G3600,2)=LEFT('112'!$M$9,2),B3600&lt;'112'!$N$8,$L3600='112'!$I$6)),"x",""))</f>
        <v/>
      </c>
      <c r="T3600" s="525" t="str">
        <f>IF(ISERROR(FIND('112'!$M$9,G3600,1)),"",IF((AND(RIGHT(G3600,2)=RIGHT('112'!$M$9,2),B3600&lt;'112'!$N$8,$M3600='112'!$I$6)),"x",""))</f>
        <v/>
      </c>
      <c r="U3600" s="525" t="str">
        <f>IF(AND(B3600&gt;='IN-NX'!$P$3,B3600&lt;='IN-NX'!$Q$3,'IN-NX'!$D$7=D3600,OR(LEFT(L3600,2)="15",AND(LEFT(M3600,2)&lt;&gt;"15",LEFT(M3600,2)&lt;&gt;"33"))),"x","")</f>
        <v/>
      </c>
      <c r="V3600" s="525" t="str">
        <f>IF(AND(OR(LEFT(TH!L3600,2)="15",LEFT(TH!M3600,2)="15"),'152-CT'!$J$8=TH!F3600),"x","")</f>
        <v/>
      </c>
      <c r="W3600" s="525" t="str">
        <f>IF(AND(OR(LEFT(TH!L3600,2)="15",LEFT(TH!M3600,2)="15"),TK!$E$7=TH!F3600),"x","")</f>
        <v/>
      </c>
      <c r="X3600" s="525" t="str">
        <f>IF(AND('341-CT'!$E$9=H3600,OR(LEFT(L3600,3)=$X$7,LEFT(M3600,3)=$X$7)),"x","")</f>
        <v/>
      </c>
      <c r="Y3600" s="525" t="str">
        <f>IF(OR(TH!L3600=TH!$Y$7,M3600=TH!$Y$7),"x","")</f>
        <v/>
      </c>
      <c r="Z3600" s="525" t="str">
        <f>IF(AND(B3600&lt;=NKC!$N$8,B3600&gt;=NKC!$M$8),"x","")</f>
        <v/>
      </c>
      <c r="AA3600" s="535"/>
      <c r="AB3600" s="536"/>
      <c r="AC3600" s="536" t="str">
        <f>VLOOKUP(F3600,NXT!$B$12:$B$686,1,0)</f>
        <v xml:space="preserve">Thùng </v>
      </c>
      <c r="AD3600" s="536"/>
    </row>
    <row r="3601" spans="1:30" s="503" customFormat="1" ht="15.75" customHeight="1">
      <c r="A3601" s="517" t="str">
        <f>IF(B3601&lt;&gt;"",IF(AND(B3601&gt;=_TM1,B3601&lt;=_TM2,OR(TH!L3601="1111",TH!M3601="1111")),TH!D3601,""),"")</f>
        <v/>
      </c>
      <c r="B3601" s="531">
        <f t="shared" si="386"/>
        <v>8</v>
      </c>
      <c r="C3601" s="315">
        <f t="shared" si="387"/>
        <v>42958</v>
      </c>
      <c r="D3601" s="544" t="s">
        <v>1181</v>
      </c>
      <c r="E3601" s="315">
        <v>42958</v>
      </c>
      <c r="F3601" s="250" t="s">
        <v>1286</v>
      </c>
      <c r="G3601" s="314" t="s">
        <v>1416</v>
      </c>
      <c r="H3601" s="473" t="s">
        <v>1309</v>
      </c>
      <c r="I3601" s="307"/>
      <c r="J3601" s="307"/>
      <c r="K3601" s="532">
        <f t="shared" si="391"/>
        <v>0</v>
      </c>
      <c r="L3601" s="534" t="s">
        <v>223</v>
      </c>
      <c r="M3601" s="534" t="s">
        <v>162</v>
      </c>
      <c r="N3601" s="525" t="str">
        <f>IF(AND('331-CT'!$E$7=TH!H3601,OR(L3601="331",M3601="331")),"331",IF(AND(OR(L3601="131",M3601="131"),H3601='131-CT'!$E$7),"131",""))</f>
        <v/>
      </c>
      <c r="O3601" s="525" t="str">
        <f>IF(AND($B3601&gt;='111'!$N$11,$B3601&lt;='111'!$O$11,OR($L3601=$O$7,$M3601=$O$7)),"x","")</f>
        <v/>
      </c>
      <c r="P3601" s="525" t="str">
        <f>IF(AND($L3601=$O$7,$B3601&lt;'111'!$N$11),"x","")</f>
        <v/>
      </c>
      <c r="Q3601" s="525" t="str">
        <f>IF(AND($M3601=$O$7,$B3601&lt;'111'!$N$11),"x","")</f>
        <v/>
      </c>
      <c r="R3601" s="525" t="str">
        <f>IF(ISERROR(FIND('112'!$M$9,G3601,1)),"",IF((AND(FIND('112'!$M$9,G3601,1)&gt;=1,$B3601&gt;='112'!$N$8,$B3601&lt;='112'!$O$8,OR($L3601='112'!$I$6,$M3601='112'!$I$6))),"x",""))</f>
        <v/>
      </c>
      <c r="S3601" s="525" t="str">
        <f>IF(ISERROR(FIND('112'!$M$9,G3601,1)),"",IF((AND(LEFT(G3601,2)=LEFT('112'!$M$9,2),B3601&lt;'112'!$N$8,$L3601='112'!$I$6)),"x",""))</f>
        <v/>
      </c>
      <c r="T3601" s="525" t="str">
        <f>IF(ISERROR(FIND('112'!$M$9,G3601,1)),"",IF((AND(RIGHT(G3601,2)=RIGHT('112'!$M$9,2),B3601&lt;'112'!$N$8,$M3601='112'!$I$6)),"x",""))</f>
        <v/>
      </c>
      <c r="U3601" s="525" t="str">
        <f>IF(AND(B3601&gt;='IN-NX'!$P$3,B3601&lt;='IN-NX'!$Q$3,'IN-NX'!$D$7=D3601,OR(LEFT(L3601,2)="15",AND(LEFT(M3601,2)&lt;&gt;"15",LEFT(M3601,2)&lt;&gt;"33"))),"x","")</f>
        <v/>
      </c>
      <c r="V3601" s="525" t="str">
        <f>IF(AND(OR(LEFT(TH!L3601,2)="15",LEFT(TH!M3601,2)="15"),'152-CT'!$J$8=TH!F3601),"x","")</f>
        <v/>
      </c>
      <c r="W3601" s="525" t="str">
        <f>IF(AND(OR(LEFT(TH!L3601,2)="15",LEFT(TH!M3601,2)="15"),TK!$E$7=TH!F3601),"x","")</f>
        <v/>
      </c>
      <c r="X3601" s="525" t="str">
        <f>IF(AND('341-CT'!$E$9=H3601,OR(LEFT(L3601,3)=$X$7,LEFT(M3601,3)=$X$7)),"x","")</f>
        <v/>
      </c>
      <c r="Y3601" s="525" t="str">
        <f>IF(OR(TH!L3601=TH!$Y$7,M3601=TH!$Y$7),"x","")</f>
        <v/>
      </c>
      <c r="Z3601" s="525" t="str">
        <f>IF(AND(B3601&lt;=NKC!$N$8,B3601&gt;=NKC!$M$8),"x","")</f>
        <v/>
      </c>
      <c r="AA3601" s="535"/>
      <c r="AB3601" s="536"/>
      <c r="AC3601" s="536" t="str">
        <f>VLOOKUP(F3601,NXT!$B$12:$B$686,1,0)</f>
        <v xml:space="preserve">Thùng </v>
      </c>
    </row>
    <row r="3602" spans="1:30" s="503" customFormat="1" ht="15.75" customHeight="1">
      <c r="A3602" s="517" t="str">
        <f>IF(B3602&lt;&gt;"",IF(AND(B3602&gt;=_TM1,B3602&lt;=_TM2,OR(TH!L3602="1111",TH!M3602="1111")),TH!D3602,""),"")</f>
        <v/>
      </c>
      <c r="B3602" s="531">
        <f t="shared" si="386"/>
        <v>8</v>
      </c>
      <c r="C3602" s="315">
        <f t="shared" si="387"/>
        <v>42958</v>
      </c>
      <c r="D3602" s="544" t="s">
        <v>1181</v>
      </c>
      <c r="E3602" s="315">
        <v>42958</v>
      </c>
      <c r="F3602" s="249" t="s">
        <v>494</v>
      </c>
      <c r="G3602" s="314" t="s">
        <v>1416</v>
      </c>
      <c r="H3602" s="473" t="s">
        <v>1309</v>
      </c>
      <c r="I3602" s="307"/>
      <c r="J3602" s="307"/>
      <c r="K3602" s="532">
        <v>3848760</v>
      </c>
      <c r="L3602" s="534" t="s">
        <v>223</v>
      </c>
      <c r="M3602" s="534" t="s">
        <v>259</v>
      </c>
      <c r="N3602" s="525" t="str">
        <f>IF(AND('331-CT'!$E$7=TH!H3602,OR(L3602="331",M3602="331")),"331",IF(AND(OR(L3602="131",M3602="131"),H3602='131-CT'!$E$7),"131",""))</f>
        <v/>
      </c>
      <c r="O3602" s="525" t="str">
        <f>IF(AND($B3602&gt;='111'!$N$11,$B3602&lt;='111'!$O$11,OR($L3602=$O$7,$M3602=$O$7)),"x","")</f>
        <v/>
      </c>
      <c r="P3602" s="525" t="str">
        <f>IF(AND($L3602=$O$7,$B3602&lt;'111'!$N$11),"x","")</f>
        <v/>
      </c>
      <c r="Q3602" s="525" t="str">
        <f>IF(AND($M3602=$O$7,$B3602&lt;'111'!$N$11),"x","")</f>
        <v/>
      </c>
      <c r="R3602" s="525" t="str">
        <f>IF(ISERROR(FIND('112'!$M$9,G3602,1)),"",IF((AND(FIND('112'!$M$9,G3602,1)&gt;=1,$B3602&gt;='112'!$N$8,$B3602&lt;='112'!$O$8,OR($L3602='112'!$I$6,$M3602='112'!$I$6))),"x",""))</f>
        <v/>
      </c>
      <c r="S3602" s="525" t="str">
        <f>IF(ISERROR(FIND('112'!$M$9,G3602,1)),"",IF((AND(LEFT(G3602,2)=LEFT('112'!$M$9,2),B3602&lt;'112'!$N$8,$L3602='112'!$I$6)),"x",""))</f>
        <v/>
      </c>
      <c r="T3602" s="525" t="str">
        <f>IF(ISERROR(FIND('112'!$M$9,G3602,1)),"",IF((AND(RIGHT(G3602,2)=RIGHT('112'!$M$9,2),B3602&lt;'112'!$N$8,$M3602='112'!$I$6)),"x",""))</f>
        <v/>
      </c>
      <c r="U3602" s="525" t="str">
        <f>IF(AND(B3602&gt;='IN-NX'!$P$3,B3602&lt;='IN-NX'!$Q$3,'IN-NX'!$D$7=D3602,OR(LEFT(L3602,2)="15",AND(LEFT(M3602,2)&lt;&gt;"15",LEFT(M3602,2)&lt;&gt;"33"))),"x","")</f>
        <v/>
      </c>
      <c r="V3602" s="525" t="str">
        <f>IF(AND(OR(LEFT(TH!L3602,2)="15",LEFT(TH!M3602,2)="15"),'152-CT'!$J$8=TH!F3602),"x","")</f>
        <v/>
      </c>
      <c r="W3602" s="525" t="str">
        <f>IF(AND(OR(LEFT(TH!L3602,2)="15",LEFT(TH!M3602,2)="15"),TK!$E$7=TH!F3602),"x","")</f>
        <v/>
      </c>
      <c r="X3602" s="525" t="str">
        <f>IF(AND('341-CT'!$E$9=H3602,OR(LEFT(L3602,3)=$X$7,LEFT(M3602,3)=$X$7)),"x","")</f>
        <v/>
      </c>
      <c r="Y3602" s="525" t="str">
        <f>IF(OR(TH!L3602=TH!$Y$7,M3602=TH!$Y$7),"x","")</f>
        <v/>
      </c>
      <c r="Z3602" s="525" t="str">
        <f>IF(AND(B3602&lt;=NKC!$N$8,B3602&gt;=NKC!$M$8),"x","")</f>
        <v/>
      </c>
      <c r="AA3602" s="535"/>
      <c r="AB3602" s="536"/>
    </row>
    <row r="3603" spans="1:30" s="576" customFormat="1" ht="15.75" customHeight="1">
      <c r="A3603" s="517" t="str">
        <f>IF(B3603&lt;&gt;"",IF(AND(B3603&gt;=_TM1,B3603&lt;=_TM2,OR(TH!L3603="1111",TH!M3603="1111")),TH!D3603,""),"")</f>
        <v/>
      </c>
      <c r="B3603" s="518">
        <f t="shared" ref="B3603:B3606" si="398">IF(C3603&lt;&gt;"",MONTH(C3603),"")</f>
        <v>8</v>
      </c>
      <c r="C3603" s="315">
        <f t="shared" ref="C3603:C3606" si="399">E3603</f>
        <v>42958</v>
      </c>
      <c r="D3603" s="544" t="s">
        <v>1181</v>
      </c>
      <c r="E3603" s="315">
        <v>42958</v>
      </c>
      <c r="F3603" s="249" t="s">
        <v>380</v>
      </c>
      <c r="G3603" s="314" t="s">
        <v>1417</v>
      </c>
      <c r="H3603" s="473" t="s">
        <v>300</v>
      </c>
      <c r="I3603" s="307">
        <f>3951+4463+4635</f>
        <v>13049</v>
      </c>
      <c r="J3603" s="307">
        <v>12500</v>
      </c>
      <c r="K3603" s="532">
        <f>ROUND(I3603*J3603,0)</f>
        <v>163112500</v>
      </c>
      <c r="L3603" s="534" t="s">
        <v>223</v>
      </c>
      <c r="M3603" s="534" t="s">
        <v>162</v>
      </c>
      <c r="N3603" s="525" t="str">
        <f>IF(AND('331-CT'!$E$7=TH!H3603,OR(L3603="331",M3603="331")),"331",IF(AND(OR(L3603="131",M3603="131"),H3603='131-CT'!$E$7),"131",""))</f>
        <v/>
      </c>
      <c r="O3603" s="525" t="str">
        <f>IF(AND($B3603&gt;='111'!$N$11,$B3603&lt;='111'!$O$11,OR($L3603=$O$7,$M3603=$O$7)),"x","")</f>
        <v/>
      </c>
      <c r="P3603" s="525" t="str">
        <f>IF(AND($L3603=$O$7,$B3603&lt;'111'!$N$11),"x","")</f>
        <v/>
      </c>
      <c r="Q3603" s="525" t="str">
        <f>IF(AND($M3603=$O$7,$B3603&lt;'111'!$N$11),"x","")</f>
        <v/>
      </c>
      <c r="R3603" s="525" t="str">
        <f>IF(ISERROR(FIND('112'!$M$9,G3603,1)),"",IF((AND(FIND('112'!$M$9,G3603,1)&gt;=1,$B3603&gt;='112'!$N$8,$B3603&lt;='112'!$O$8,OR($L3603='112'!$I$6,$M3603='112'!$I$6))),"x",""))</f>
        <v/>
      </c>
      <c r="S3603" s="525" t="str">
        <f>IF(ISERROR(FIND('112'!$M$9,G3603,1)),"",IF((AND(LEFT(G3603,2)=LEFT('112'!$M$9,2),B3603&lt;'112'!$N$8,$L3603='112'!$I$6)),"x",""))</f>
        <v/>
      </c>
      <c r="T3603" s="525" t="str">
        <f>IF(ISERROR(FIND('112'!$M$9,G3603,1)),"",IF((AND(RIGHT(G3603,2)=RIGHT('112'!$M$9,2),B3603&lt;'112'!$N$8,$M3603='112'!$I$6)),"x",""))</f>
        <v/>
      </c>
      <c r="U3603" s="525" t="str">
        <f>IF(AND(B3603&gt;='IN-NX'!$P$3,B3603&lt;='IN-NX'!$Q$3,'IN-NX'!$D$7=D3603,OR(LEFT(L3603,2)="15",AND(LEFT(M3603,2)&lt;&gt;"15",LEFT(M3603,2)&lt;&gt;"33"))),"x","")</f>
        <v/>
      </c>
      <c r="V3603" s="525" t="str">
        <f>IF(AND(OR(LEFT(TH!L3603,2)="15",LEFT(TH!M3603,2)="15"),'152-CT'!$J$8=TH!F3603),"x","")</f>
        <v/>
      </c>
      <c r="W3603" s="525" t="str">
        <f>IF(AND(OR(LEFT(TH!L3603,2)="15",LEFT(TH!M3603,2)="15"),TK!$E$7=TH!F3603),"x","")</f>
        <v/>
      </c>
      <c r="X3603" s="525" t="str">
        <f>IF(AND('341-CT'!$E$9=H3603,OR(LEFT(L3603,3)=$X$7,LEFT(M3603,3)=$X$7)),"x","")</f>
        <v/>
      </c>
      <c r="Y3603" s="525" t="str">
        <f>IF(OR(TH!L3603=TH!$Y$7,M3603=TH!$Y$7),"x","")</f>
        <v/>
      </c>
      <c r="Z3603" s="525" t="str">
        <f>IF(AND(B3603&lt;=NKC!$N$8,B3603&gt;=NKC!$M$8),"x","")</f>
        <v/>
      </c>
      <c r="AA3603" s="526"/>
      <c r="AB3603" s="527"/>
      <c r="AC3603" s="536" t="str">
        <f>VLOOKUP(F3603,NXT!$B$12:$B$686,1,0)</f>
        <v>Giấy cuộn</v>
      </c>
      <c r="AD3603" s="527"/>
    </row>
    <row r="3604" spans="1:30" s="576" customFormat="1" ht="15.75" customHeight="1">
      <c r="A3604" s="517" t="str">
        <f>IF(B3604&lt;&gt;"",IF(AND(B3604&gt;=_TM1,B3604&lt;=_TM2,OR(TH!L3604="1111",TH!M3604="1111")),TH!D3604,""),"")</f>
        <v/>
      </c>
      <c r="B3604" s="518">
        <f t="shared" si="398"/>
        <v>8</v>
      </c>
      <c r="C3604" s="315">
        <f t="shared" si="399"/>
        <v>42958</v>
      </c>
      <c r="D3604" s="544" t="s">
        <v>1181</v>
      </c>
      <c r="E3604" s="315">
        <v>42958</v>
      </c>
      <c r="F3604" s="250" t="s">
        <v>499</v>
      </c>
      <c r="G3604" s="314" t="s">
        <v>1417</v>
      </c>
      <c r="H3604" s="473" t="s">
        <v>300</v>
      </c>
      <c r="I3604" s="307"/>
      <c r="J3604" s="307"/>
      <c r="K3604" s="532">
        <v>16311250</v>
      </c>
      <c r="L3604" s="534" t="s">
        <v>223</v>
      </c>
      <c r="M3604" s="534" t="s">
        <v>259</v>
      </c>
      <c r="N3604" s="525" t="str">
        <f>IF(AND('331-CT'!$E$7=TH!H3604,OR(L3604="331",M3604="331")),"331",IF(AND(OR(L3604="131",M3604="131"),H3604='131-CT'!$E$7),"131",""))</f>
        <v/>
      </c>
      <c r="O3604" s="525" t="str">
        <f>IF(AND($B3604&gt;='111'!$N$11,$B3604&lt;='111'!$O$11,OR($L3604=$O$7,$M3604=$O$7)),"x","")</f>
        <v/>
      </c>
      <c r="P3604" s="525" t="str">
        <f>IF(AND($L3604=$O$7,$B3604&lt;'111'!$N$11),"x","")</f>
        <v/>
      </c>
      <c r="Q3604" s="525" t="str">
        <f>IF(AND($M3604=$O$7,$B3604&lt;'111'!$N$11),"x","")</f>
        <v/>
      </c>
      <c r="R3604" s="525" t="str">
        <f>IF(ISERROR(FIND('112'!$M$9,G3604,1)),"",IF((AND(FIND('112'!$M$9,G3604,1)&gt;=1,$B3604&gt;='112'!$N$8,$B3604&lt;='112'!$O$8,OR($L3604='112'!$I$6,$M3604='112'!$I$6))),"x",""))</f>
        <v/>
      </c>
      <c r="S3604" s="525" t="str">
        <f>IF(ISERROR(FIND('112'!$M$9,G3604,1)),"",IF((AND(LEFT(G3604,2)=LEFT('112'!$M$9,2),B3604&lt;'112'!$N$8,$L3604='112'!$I$6)),"x",""))</f>
        <v/>
      </c>
      <c r="T3604" s="525" t="str">
        <f>IF(ISERROR(FIND('112'!$M$9,G3604,1)),"",IF((AND(RIGHT(G3604,2)=RIGHT('112'!$M$9,2),B3604&lt;'112'!$N$8,$M3604='112'!$I$6)),"x",""))</f>
        <v/>
      </c>
      <c r="U3604" s="525" t="str">
        <f>IF(AND(B3604&gt;='IN-NX'!$P$3,B3604&lt;='IN-NX'!$Q$3,'IN-NX'!$D$7=D3604,OR(LEFT(L3604,2)="15",AND(LEFT(M3604,2)&lt;&gt;"15",LEFT(M3604,2)&lt;&gt;"33"))),"x","")</f>
        <v/>
      </c>
      <c r="V3604" s="525" t="str">
        <f>IF(AND(OR(LEFT(TH!L3604,2)="15",LEFT(TH!M3604,2)="15"),'152-CT'!$J$8=TH!F3604),"x","")</f>
        <v/>
      </c>
      <c r="W3604" s="525" t="str">
        <f>IF(AND(OR(LEFT(TH!L3604,2)="15",LEFT(TH!M3604,2)="15"),TK!$E$7=TH!F3604),"x","")</f>
        <v/>
      </c>
      <c r="X3604" s="525" t="str">
        <f>IF(AND('341-CT'!$E$9=H3604,OR(LEFT(L3604,3)=$X$7,LEFT(M3604,3)=$X$7)),"x","")</f>
        <v/>
      </c>
      <c r="Y3604" s="525" t="str">
        <f>IF(OR(TH!L3604=TH!$Y$7,M3604=TH!$Y$7),"x","")</f>
        <v/>
      </c>
      <c r="Z3604" s="525" t="str">
        <f>IF(AND(B3604&lt;=NKC!$N$8,B3604&gt;=NKC!$M$8),"x","")</f>
        <v/>
      </c>
      <c r="AA3604" s="526"/>
      <c r="AB3604" s="527"/>
      <c r="AC3604" s="527"/>
      <c r="AD3604" s="527"/>
    </row>
    <row r="3605" spans="1:30" s="503" customFormat="1" ht="15.75" customHeight="1">
      <c r="A3605" s="517" t="str">
        <f>IF(B3605&lt;&gt;"",IF(AND(B3605&gt;=_TM1,B3605&lt;=_TM2,OR(TH!L3605="1111",TH!M3605="1111")),TH!D3605,""),"")</f>
        <v/>
      </c>
      <c r="B3605" s="531">
        <f t="shared" si="398"/>
        <v>8</v>
      </c>
      <c r="C3605" s="315">
        <f t="shared" si="399"/>
        <v>42958</v>
      </c>
      <c r="D3605" s="544" t="s">
        <v>1181</v>
      </c>
      <c r="E3605" s="315">
        <v>42958</v>
      </c>
      <c r="F3605" s="249" t="s">
        <v>1217</v>
      </c>
      <c r="G3605" s="314" t="s">
        <v>1418</v>
      </c>
      <c r="H3605" s="248" t="s">
        <v>1218</v>
      </c>
      <c r="I3605" s="307">
        <v>3045</v>
      </c>
      <c r="J3605" s="307">
        <v>5900</v>
      </c>
      <c r="K3605" s="532">
        <f>ROUND(I3605*J3605,0)</f>
        <v>17965500</v>
      </c>
      <c r="L3605" s="534" t="s">
        <v>223</v>
      </c>
      <c r="M3605" s="534" t="s">
        <v>162</v>
      </c>
      <c r="N3605" s="525" t="str">
        <f>IF(AND('331-CT'!$E$7=TH!H3605,OR(L3605="331",M3605="331")),"331",IF(AND(OR(L3605="131",M3605="131"),H3605='131-CT'!$E$7),"131",""))</f>
        <v/>
      </c>
      <c r="O3605" s="525" t="str">
        <f>IF(AND($B3605&gt;='111'!$N$11,$B3605&lt;='111'!$O$11,OR($L3605=$O$7,$M3605=$O$7)),"x","")</f>
        <v/>
      </c>
      <c r="P3605" s="525" t="str">
        <f>IF(AND($L3605=$O$7,$B3605&lt;'111'!$N$11),"x","")</f>
        <v/>
      </c>
      <c r="Q3605" s="525" t="str">
        <f>IF(AND($M3605=$O$7,$B3605&lt;'111'!$N$11),"x","")</f>
        <v/>
      </c>
      <c r="R3605" s="525" t="str">
        <f>IF(ISERROR(FIND('112'!$M$9,G3605,1)),"",IF((AND(FIND('112'!$M$9,G3605,1)&gt;=1,$B3605&gt;='112'!$N$8,$B3605&lt;='112'!$O$8,OR($L3605='112'!$I$6,$M3605='112'!$I$6))),"x",""))</f>
        <v/>
      </c>
      <c r="S3605" s="525" t="str">
        <f>IF(ISERROR(FIND('112'!$M$9,G3605,1)),"",IF((AND(LEFT(G3605,2)=LEFT('112'!$M$9,2),B3605&lt;'112'!$N$8,$L3605='112'!$I$6)),"x",""))</f>
        <v/>
      </c>
      <c r="T3605" s="525" t="str">
        <f>IF(ISERROR(FIND('112'!$M$9,G3605,1)),"",IF((AND(RIGHT(G3605,2)=RIGHT('112'!$M$9,2),B3605&lt;'112'!$N$8,$M3605='112'!$I$6)),"x",""))</f>
        <v/>
      </c>
      <c r="U3605" s="525" t="str">
        <f>IF(AND(B3605&gt;='IN-NX'!$P$3,B3605&lt;='IN-NX'!$Q$3,'IN-NX'!$D$7=D3605,OR(LEFT(L3605,2)="15",AND(LEFT(M3605,2)&lt;&gt;"15",LEFT(M3605,2)&lt;&gt;"33"))),"x","")</f>
        <v/>
      </c>
      <c r="V3605" s="525" t="str">
        <f>IF(AND(OR(LEFT(TH!L3605,2)="15",LEFT(TH!M3605,2)="15"),'152-CT'!$J$8=TH!F3605),"x","")</f>
        <v/>
      </c>
      <c r="W3605" s="525" t="str">
        <f>IF(AND(OR(LEFT(TH!L3605,2)="15",LEFT(TH!M3605,2)="15"),TK!$E$7=TH!F3605),"x","")</f>
        <v/>
      </c>
      <c r="X3605" s="525" t="str">
        <f>IF(AND('341-CT'!$E$9=H3605,OR(LEFT(L3605,3)=$X$7,LEFT(M3605,3)=$X$7)),"x","")</f>
        <v/>
      </c>
      <c r="Y3605" s="525" t="str">
        <f>IF(OR(TH!L3605=TH!$Y$7,M3605=TH!$Y$7),"x","")</f>
        <v/>
      </c>
      <c r="Z3605" s="525" t="str">
        <f>IF(AND(B3605&lt;=NKC!$N$8,B3605&gt;=NKC!$M$8),"x","")</f>
        <v/>
      </c>
      <c r="AA3605" s="535"/>
      <c r="AC3605" s="536" t="str">
        <f>VLOOKUP(F3605,NXT!$B$12:$B$686,1,0)</f>
        <v>Thùng 50x29.5x19</v>
      </c>
    </row>
    <row r="3606" spans="1:30" s="503" customFormat="1" ht="15.75" customHeight="1">
      <c r="A3606" s="517" t="str">
        <f>IF(B3606&lt;&gt;"",IF(AND(B3606&gt;=_TM1,B3606&lt;=_TM2,OR(TH!L3606="1111",TH!M3606="1111")),TH!D3606,""),"")</f>
        <v/>
      </c>
      <c r="B3606" s="531">
        <f t="shared" si="398"/>
        <v>8</v>
      </c>
      <c r="C3606" s="315">
        <f t="shared" si="399"/>
        <v>42958</v>
      </c>
      <c r="D3606" s="544" t="s">
        <v>1181</v>
      </c>
      <c r="E3606" s="315">
        <v>42958</v>
      </c>
      <c r="F3606" s="249" t="s">
        <v>494</v>
      </c>
      <c r="G3606" s="314" t="s">
        <v>1418</v>
      </c>
      <c r="H3606" s="248" t="s">
        <v>1218</v>
      </c>
      <c r="I3606" s="307"/>
      <c r="J3606" s="307"/>
      <c r="K3606" s="532">
        <v>1796550</v>
      </c>
      <c r="L3606" s="534" t="s">
        <v>223</v>
      </c>
      <c r="M3606" s="534" t="s">
        <v>259</v>
      </c>
      <c r="N3606" s="525" t="str">
        <f>IF(AND('331-CT'!$E$7=TH!H3606,OR(L3606="331",M3606="331")),"331",IF(AND(OR(L3606="131",M3606="131"),H3606='131-CT'!$E$7),"131",""))</f>
        <v/>
      </c>
      <c r="O3606" s="525" t="str">
        <f>IF(AND($B3606&gt;='111'!$N$11,$B3606&lt;='111'!$O$11,OR($L3606=$O$7,$M3606=$O$7)),"x","")</f>
        <v/>
      </c>
      <c r="P3606" s="525" t="str">
        <f>IF(AND($L3606=$O$7,$B3606&lt;'111'!$N$11),"x","")</f>
        <v/>
      </c>
      <c r="Q3606" s="525" t="str">
        <f>IF(AND($M3606=$O$7,$B3606&lt;'111'!$N$11),"x","")</f>
        <v/>
      </c>
      <c r="R3606" s="525" t="str">
        <f>IF(ISERROR(FIND('112'!$M$9,G3606,1)),"",IF((AND(FIND('112'!$M$9,G3606,1)&gt;=1,$B3606&gt;='112'!$N$8,$B3606&lt;='112'!$O$8,OR($L3606='112'!$I$6,$M3606='112'!$I$6))),"x",""))</f>
        <v/>
      </c>
      <c r="S3606" s="525" t="str">
        <f>IF(ISERROR(FIND('112'!$M$9,G3606,1)),"",IF((AND(LEFT(G3606,2)=LEFT('112'!$M$9,2),B3606&lt;'112'!$N$8,$L3606='112'!$I$6)),"x",""))</f>
        <v/>
      </c>
      <c r="T3606" s="525" t="str">
        <f>IF(ISERROR(FIND('112'!$M$9,G3606,1)),"",IF((AND(RIGHT(G3606,2)=RIGHT('112'!$M$9,2),B3606&lt;'112'!$N$8,$M3606='112'!$I$6)),"x",""))</f>
        <v/>
      </c>
      <c r="U3606" s="525" t="str">
        <f>IF(AND(B3606&gt;='IN-NX'!$P$3,B3606&lt;='IN-NX'!$Q$3,'IN-NX'!$D$7=D3606,OR(LEFT(L3606,2)="15",AND(LEFT(M3606,2)&lt;&gt;"15",LEFT(M3606,2)&lt;&gt;"33"))),"x","")</f>
        <v/>
      </c>
      <c r="V3606" s="525" t="str">
        <f>IF(AND(OR(LEFT(TH!L3606,2)="15",LEFT(TH!M3606,2)="15"),'152-CT'!$J$8=TH!F3606),"x","")</f>
        <v/>
      </c>
      <c r="W3606" s="525" t="str">
        <f>IF(AND(OR(LEFT(TH!L3606,2)="15",LEFT(TH!M3606,2)="15"),TK!$E$7=TH!F3606),"x","")</f>
        <v/>
      </c>
      <c r="X3606" s="525" t="str">
        <f>IF(AND('341-CT'!$E$9=H3606,OR(LEFT(L3606,3)=$X$7,LEFT(M3606,3)=$X$7)),"x","")</f>
        <v/>
      </c>
      <c r="Y3606" s="525" t="str">
        <f>IF(OR(TH!L3606=TH!$Y$7,M3606=TH!$Y$7),"x","")</f>
        <v/>
      </c>
      <c r="Z3606" s="525" t="str">
        <f>IF(AND(B3606&lt;=NKC!$N$8,B3606&gt;=NKC!$M$8),"x","")</f>
        <v/>
      </c>
      <c r="AA3606" s="535"/>
    </row>
    <row r="3607" spans="1:30" s="503" customFormat="1" ht="15.75" customHeight="1">
      <c r="A3607" s="517" t="str">
        <f>IF(B3607&lt;&gt;"",IF(AND(B3607&gt;=_TM1,B3607&lt;=_TM2,OR(TH!L3607="1111",TH!M3607="1111")),TH!D3607,""),"")</f>
        <v/>
      </c>
      <c r="B3607" s="531">
        <f t="shared" ref="B3607:B3612" si="400">IF(C3607&lt;&gt;"",MONTH(C3607),"")</f>
        <v>8</v>
      </c>
      <c r="C3607" s="315">
        <f t="shared" ref="C3607:C3612" si="401">E3607</f>
        <v>42960</v>
      </c>
      <c r="D3607" s="544" t="s">
        <v>1181</v>
      </c>
      <c r="E3607" s="315">
        <v>42960</v>
      </c>
      <c r="F3607" s="249" t="s">
        <v>1217</v>
      </c>
      <c r="G3607" s="314" t="s">
        <v>1419</v>
      </c>
      <c r="H3607" s="248" t="s">
        <v>1218</v>
      </c>
      <c r="I3607" s="307">
        <v>3045</v>
      </c>
      <c r="J3607" s="307">
        <v>5900</v>
      </c>
      <c r="K3607" s="532">
        <f>ROUND(I3607*J3607,0)</f>
        <v>17965500</v>
      </c>
      <c r="L3607" s="534" t="s">
        <v>223</v>
      </c>
      <c r="M3607" s="534" t="s">
        <v>162</v>
      </c>
      <c r="N3607" s="525" t="str">
        <f>IF(AND('331-CT'!$E$7=TH!H3607,OR(L3607="331",M3607="331")),"331",IF(AND(OR(L3607="131",M3607="131"),H3607='131-CT'!$E$7),"131",""))</f>
        <v/>
      </c>
      <c r="O3607" s="525" t="str">
        <f>IF(AND($B3607&gt;='111'!$N$11,$B3607&lt;='111'!$O$11,OR($L3607=$O$7,$M3607=$O$7)),"x","")</f>
        <v/>
      </c>
      <c r="P3607" s="525" t="str">
        <f>IF(AND($L3607=$O$7,$B3607&lt;'111'!$N$11),"x","")</f>
        <v/>
      </c>
      <c r="Q3607" s="525" t="str">
        <f>IF(AND($M3607=$O$7,$B3607&lt;'111'!$N$11),"x","")</f>
        <v/>
      </c>
      <c r="R3607" s="525" t="str">
        <f>IF(ISERROR(FIND('112'!$M$9,G3607,1)),"",IF((AND(FIND('112'!$M$9,G3607,1)&gt;=1,$B3607&gt;='112'!$N$8,$B3607&lt;='112'!$O$8,OR($L3607='112'!$I$6,$M3607='112'!$I$6))),"x",""))</f>
        <v/>
      </c>
      <c r="S3607" s="525" t="str">
        <f>IF(ISERROR(FIND('112'!$M$9,G3607,1)),"",IF((AND(LEFT(G3607,2)=LEFT('112'!$M$9,2),B3607&lt;'112'!$N$8,$L3607='112'!$I$6)),"x",""))</f>
        <v/>
      </c>
      <c r="T3607" s="525" t="str">
        <f>IF(ISERROR(FIND('112'!$M$9,G3607,1)),"",IF((AND(RIGHT(G3607,2)=RIGHT('112'!$M$9,2),B3607&lt;'112'!$N$8,$M3607='112'!$I$6)),"x",""))</f>
        <v/>
      </c>
      <c r="U3607" s="525" t="str">
        <f>IF(AND(B3607&gt;='IN-NX'!$P$3,B3607&lt;='IN-NX'!$Q$3,'IN-NX'!$D$7=D3607,OR(LEFT(L3607,2)="15",AND(LEFT(M3607,2)&lt;&gt;"15",LEFT(M3607,2)&lt;&gt;"33"))),"x","")</f>
        <v/>
      </c>
      <c r="V3607" s="525" t="str">
        <f>IF(AND(OR(LEFT(TH!L3607,2)="15",LEFT(TH!M3607,2)="15"),'152-CT'!$J$8=TH!F3607),"x","")</f>
        <v/>
      </c>
      <c r="W3607" s="525" t="str">
        <f>IF(AND(OR(LEFT(TH!L3607,2)="15",LEFT(TH!M3607,2)="15"),TK!$E$7=TH!F3607),"x","")</f>
        <v/>
      </c>
      <c r="X3607" s="525" t="str">
        <f>IF(AND('341-CT'!$E$9=H3607,OR(LEFT(L3607,3)=$X$7,LEFT(M3607,3)=$X$7)),"x","")</f>
        <v/>
      </c>
      <c r="Y3607" s="525" t="str">
        <f>IF(OR(TH!L3607=TH!$Y$7,M3607=TH!$Y$7),"x","")</f>
        <v/>
      </c>
      <c r="Z3607" s="525" t="str">
        <f>IF(AND(B3607&lt;=NKC!$N$8,B3607&gt;=NKC!$M$8),"x","")</f>
        <v/>
      </c>
      <c r="AA3607" s="535"/>
      <c r="AC3607" s="536" t="str">
        <f>VLOOKUP(F3607,NXT!$B$12:$B$686,1,0)</f>
        <v>Thùng 50x29.5x19</v>
      </c>
    </row>
    <row r="3608" spans="1:30" s="503" customFormat="1" ht="15.75" customHeight="1">
      <c r="A3608" s="517" t="str">
        <f>IF(B3608&lt;&gt;"",IF(AND(B3608&gt;=_TM1,B3608&lt;=_TM2,OR(TH!L3608="1111",TH!M3608="1111")),TH!D3608,""),"")</f>
        <v/>
      </c>
      <c r="B3608" s="531">
        <f t="shared" si="400"/>
        <v>8</v>
      </c>
      <c r="C3608" s="315">
        <f t="shared" si="401"/>
        <v>42960</v>
      </c>
      <c r="D3608" s="544" t="s">
        <v>1181</v>
      </c>
      <c r="E3608" s="315">
        <v>42960</v>
      </c>
      <c r="F3608" s="249" t="s">
        <v>494</v>
      </c>
      <c r="G3608" s="314" t="s">
        <v>1419</v>
      </c>
      <c r="H3608" s="248" t="s">
        <v>1218</v>
      </c>
      <c r="I3608" s="307"/>
      <c r="J3608" s="307"/>
      <c r="K3608" s="532">
        <v>1796550</v>
      </c>
      <c r="L3608" s="534" t="s">
        <v>223</v>
      </c>
      <c r="M3608" s="534" t="s">
        <v>259</v>
      </c>
      <c r="N3608" s="525" t="str">
        <f>IF(AND('331-CT'!$E$7=TH!H3608,OR(L3608="331",M3608="331")),"331",IF(AND(OR(L3608="131",M3608="131"),H3608='131-CT'!$E$7),"131",""))</f>
        <v/>
      </c>
      <c r="O3608" s="525" t="str">
        <f>IF(AND($B3608&gt;='111'!$N$11,$B3608&lt;='111'!$O$11,OR($L3608=$O$7,$M3608=$O$7)),"x","")</f>
        <v/>
      </c>
      <c r="P3608" s="525" t="str">
        <f>IF(AND($L3608=$O$7,$B3608&lt;'111'!$N$11),"x","")</f>
        <v/>
      </c>
      <c r="Q3608" s="525" t="str">
        <f>IF(AND($M3608=$O$7,$B3608&lt;'111'!$N$11),"x","")</f>
        <v/>
      </c>
      <c r="R3608" s="525" t="str">
        <f>IF(ISERROR(FIND('112'!$M$9,G3608,1)),"",IF((AND(FIND('112'!$M$9,G3608,1)&gt;=1,$B3608&gt;='112'!$N$8,$B3608&lt;='112'!$O$8,OR($L3608='112'!$I$6,$M3608='112'!$I$6))),"x",""))</f>
        <v/>
      </c>
      <c r="S3608" s="525" t="str">
        <f>IF(ISERROR(FIND('112'!$M$9,G3608,1)),"",IF((AND(LEFT(G3608,2)=LEFT('112'!$M$9,2),B3608&lt;'112'!$N$8,$L3608='112'!$I$6)),"x",""))</f>
        <v/>
      </c>
      <c r="T3608" s="525" t="str">
        <f>IF(ISERROR(FIND('112'!$M$9,G3608,1)),"",IF((AND(RIGHT(G3608,2)=RIGHT('112'!$M$9,2),B3608&lt;'112'!$N$8,$M3608='112'!$I$6)),"x",""))</f>
        <v/>
      </c>
      <c r="U3608" s="525" t="str">
        <f>IF(AND(B3608&gt;='IN-NX'!$P$3,B3608&lt;='IN-NX'!$Q$3,'IN-NX'!$D$7=D3608,OR(LEFT(L3608,2)="15",AND(LEFT(M3608,2)&lt;&gt;"15",LEFT(M3608,2)&lt;&gt;"33"))),"x","")</f>
        <v/>
      </c>
      <c r="V3608" s="525" t="str">
        <f>IF(AND(OR(LEFT(TH!L3608,2)="15",LEFT(TH!M3608,2)="15"),'152-CT'!$J$8=TH!F3608),"x","")</f>
        <v/>
      </c>
      <c r="W3608" s="525" t="str">
        <f>IF(AND(OR(LEFT(TH!L3608,2)="15",LEFT(TH!M3608,2)="15"),TK!$E$7=TH!F3608),"x","")</f>
        <v/>
      </c>
      <c r="X3608" s="525" t="str">
        <f>IF(AND('341-CT'!$E$9=H3608,OR(LEFT(L3608,3)=$X$7,LEFT(M3608,3)=$X$7)),"x","")</f>
        <v/>
      </c>
      <c r="Y3608" s="525" t="str">
        <f>IF(OR(TH!L3608=TH!$Y$7,M3608=TH!$Y$7),"x","")</f>
        <v/>
      </c>
      <c r="Z3608" s="525" t="str">
        <f>IF(AND(B3608&lt;=NKC!$N$8,B3608&gt;=NKC!$M$8),"x","")</f>
        <v/>
      </c>
      <c r="AA3608" s="535"/>
    </row>
    <row r="3609" spans="1:30" s="503" customFormat="1" ht="15.75" customHeight="1">
      <c r="A3609" s="517" t="str">
        <f>IF(B3609&lt;&gt;"",IF(AND(B3609&gt;=_TM1,B3609&lt;=_TM2,OR(TH!L3609="1111",TH!M3609="1111")),TH!D3609,""),"")</f>
        <v/>
      </c>
      <c r="B3609" s="531">
        <f t="shared" si="400"/>
        <v>8</v>
      </c>
      <c r="C3609" s="315">
        <f t="shared" si="401"/>
        <v>42962</v>
      </c>
      <c r="D3609" s="544" t="s">
        <v>1181</v>
      </c>
      <c r="E3609" s="288">
        <v>42962</v>
      </c>
      <c r="F3609" s="249" t="s">
        <v>1421</v>
      </c>
      <c r="G3609" s="314" t="s">
        <v>1420</v>
      </c>
      <c r="H3609" s="248" t="s">
        <v>1374</v>
      </c>
      <c r="I3609" s="307">
        <v>320</v>
      </c>
      <c r="J3609" s="307">
        <v>6300</v>
      </c>
      <c r="K3609" s="532">
        <f>ROUND(I3609*J3609,0)</f>
        <v>2016000</v>
      </c>
      <c r="L3609" s="534" t="s">
        <v>223</v>
      </c>
      <c r="M3609" s="534" t="s">
        <v>162</v>
      </c>
      <c r="N3609" s="525" t="str">
        <f>IF(AND('331-CT'!$E$7=TH!H3609,OR(L3609="331",M3609="331")),"331",IF(AND(OR(L3609="131",M3609="131"),H3609='131-CT'!$E$7),"131",""))</f>
        <v/>
      </c>
      <c r="O3609" s="525" t="str">
        <f>IF(AND($B3609&gt;='111'!$N$11,$B3609&lt;='111'!$O$11,OR($L3609=$O$7,$M3609=$O$7)),"x","")</f>
        <v/>
      </c>
      <c r="P3609" s="525" t="str">
        <f>IF(AND($L3609=$O$7,$B3609&lt;'111'!$N$11),"x","")</f>
        <v/>
      </c>
      <c r="Q3609" s="525" t="str">
        <f>IF(AND($M3609=$O$7,$B3609&lt;'111'!$N$11),"x","")</f>
        <v/>
      </c>
      <c r="R3609" s="525" t="str">
        <f>IF(ISERROR(FIND('112'!$M$9,G3609,1)),"",IF((AND(FIND('112'!$M$9,G3609,1)&gt;=1,$B3609&gt;='112'!$N$8,$B3609&lt;='112'!$O$8,OR($L3609='112'!$I$6,$M3609='112'!$I$6))),"x",""))</f>
        <v/>
      </c>
      <c r="S3609" s="525" t="str">
        <f>IF(ISERROR(FIND('112'!$M$9,G3609,1)),"",IF((AND(LEFT(G3609,2)=LEFT('112'!$M$9,2),B3609&lt;'112'!$N$8,$L3609='112'!$I$6)),"x",""))</f>
        <v/>
      </c>
      <c r="T3609" s="525" t="str">
        <f>IF(ISERROR(FIND('112'!$M$9,G3609,1)),"",IF((AND(RIGHT(G3609,2)=RIGHT('112'!$M$9,2),B3609&lt;'112'!$N$8,$M3609='112'!$I$6)),"x",""))</f>
        <v/>
      </c>
      <c r="U3609" s="525" t="str">
        <f>IF(AND(B3609&gt;='IN-NX'!$P$3,B3609&lt;='IN-NX'!$Q$3,'IN-NX'!$D$7=D3609,OR(LEFT(L3609,2)="15",AND(LEFT(M3609,2)&lt;&gt;"15",LEFT(M3609,2)&lt;&gt;"33"))),"x","")</f>
        <v/>
      </c>
      <c r="V3609" s="525" t="str">
        <f>IF(AND(OR(LEFT(TH!L3609,2)="15",LEFT(TH!M3609,2)="15"),'152-CT'!$J$8=TH!F3609),"x","")</f>
        <v/>
      </c>
      <c r="W3609" s="525" t="str">
        <f>IF(AND(OR(LEFT(TH!L3609,2)="15",LEFT(TH!M3609,2)="15"),TK!$E$7=TH!F3609),"x","")</f>
        <v/>
      </c>
      <c r="X3609" s="525" t="str">
        <f>IF(AND('341-CT'!$E$9=H3609,OR(LEFT(L3609,3)=$X$7,LEFT(M3609,3)=$X$7)),"x","")</f>
        <v/>
      </c>
      <c r="Y3609" s="525" t="str">
        <f>IF(OR(TH!L3609=TH!$Y$7,M3609=TH!$Y$7),"x","")</f>
        <v/>
      </c>
      <c r="Z3609" s="525" t="str">
        <f>IF(AND(B3609&lt;=NKC!$N$8,B3609&gt;=NKC!$M$8),"x","")</f>
        <v/>
      </c>
      <c r="AA3609" s="535"/>
      <c r="AC3609" s="536" t="str">
        <f>VLOOKUP(F3609,NXT!$B$12:$B$686,1,0)</f>
        <v>Thùng 55x55x100</v>
      </c>
    </row>
    <row r="3610" spans="1:30" s="503" customFormat="1" ht="15.75" customHeight="1">
      <c r="A3610" s="517" t="str">
        <f>IF(B3610&lt;&gt;"",IF(AND(B3610&gt;=_TM1,B3610&lt;=_TM2,OR(TH!L3610="1111",TH!M3610="1111")),TH!D3610,""),"")</f>
        <v/>
      </c>
      <c r="B3610" s="531">
        <f t="shared" si="400"/>
        <v>8</v>
      </c>
      <c r="C3610" s="315">
        <f t="shared" si="401"/>
        <v>42962</v>
      </c>
      <c r="D3610" s="544" t="s">
        <v>1181</v>
      </c>
      <c r="E3610" s="288">
        <v>42962</v>
      </c>
      <c r="F3610" s="249" t="s">
        <v>494</v>
      </c>
      <c r="G3610" s="314" t="s">
        <v>1420</v>
      </c>
      <c r="H3610" s="248" t="s">
        <v>1374</v>
      </c>
      <c r="I3610" s="307"/>
      <c r="J3610" s="307"/>
      <c r="K3610" s="532">
        <v>201600</v>
      </c>
      <c r="L3610" s="534" t="s">
        <v>223</v>
      </c>
      <c r="M3610" s="534" t="s">
        <v>259</v>
      </c>
      <c r="N3610" s="525" t="str">
        <f>IF(AND('331-CT'!$E$7=TH!H3610,OR(L3610="331",M3610="331")),"331",IF(AND(OR(L3610="131",M3610="131"),H3610='131-CT'!$E$7),"131",""))</f>
        <v/>
      </c>
      <c r="O3610" s="525" t="str">
        <f>IF(AND($B3610&gt;='111'!$N$11,$B3610&lt;='111'!$O$11,OR($L3610=$O$7,$M3610=$O$7)),"x","")</f>
        <v/>
      </c>
      <c r="P3610" s="525" t="str">
        <f>IF(AND($L3610=$O$7,$B3610&lt;'111'!$N$11),"x","")</f>
        <v/>
      </c>
      <c r="Q3610" s="525" t="str">
        <f>IF(AND($M3610=$O$7,$B3610&lt;'111'!$N$11),"x","")</f>
        <v/>
      </c>
      <c r="R3610" s="525" t="str">
        <f>IF(ISERROR(FIND('112'!$M$9,G3610,1)),"",IF((AND(FIND('112'!$M$9,G3610,1)&gt;=1,$B3610&gt;='112'!$N$8,$B3610&lt;='112'!$O$8,OR($L3610='112'!$I$6,$M3610='112'!$I$6))),"x",""))</f>
        <v/>
      </c>
      <c r="S3610" s="525" t="str">
        <f>IF(ISERROR(FIND('112'!$M$9,G3610,1)),"",IF((AND(LEFT(G3610,2)=LEFT('112'!$M$9,2),B3610&lt;'112'!$N$8,$L3610='112'!$I$6)),"x",""))</f>
        <v/>
      </c>
      <c r="T3610" s="525" t="str">
        <f>IF(ISERROR(FIND('112'!$M$9,G3610,1)),"",IF((AND(RIGHT(G3610,2)=RIGHT('112'!$M$9,2),B3610&lt;'112'!$N$8,$M3610='112'!$I$6)),"x",""))</f>
        <v/>
      </c>
      <c r="U3610" s="525" t="str">
        <f>IF(AND(B3610&gt;='IN-NX'!$P$3,B3610&lt;='IN-NX'!$Q$3,'IN-NX'!$D$7=D3610,OR(LEFT(L3610,2)="15",AND(LEFT(M3610,2)&lt;&gt;"15",LEFT(M3610,2)&lt;&gt;"33"))),"x","")</f>
        <v/>
      </c>
      <c r="V3610" s="525" t="str">
        <f>IF(AND(OR(LEFT(TH!L3610,2)="15",LEFT(TH!M3610,2)="15"),'152-CT'!$J$8=TH!F3610),"x","")</f>
        <v/>
      </c>
      <c r="W3610" s="525" t="str">
        <f>IF(AND(OR(LEFT(TH!L3610,2)="15",LEFT(TH!M3610,2)="15"),TK!$E$7=TH!F3610),"x","")</f>
        <v/>
      </c>
      <c r="X3610" s="525" t="str">
        <f>IF(AND('341-CT'!$E$9=H3610,OR(LEFT(L3610,3)=$X$7,LEFT(M3610,3)=$X$7)),"x","")</f>
        <v/>
      </c>
      <c r="Y3610" s="525" t="str">
        <f>IF(OR(TH!L3610=TH!$Y$7,M3610=TH!$Y$7),"x","")</f>
        <v/>
      </c>
      <c r="Z3610" s="525" t="str">
        <f>IF(AND(B3610&lt;=NKC!$N$8,B3610&gt;=NKC!$M$8),"x","")</f>
        <v/>
      </c>
      <c r="AA3610" s="535"/>
    </row>
    <row r="3611" spans="1:30" s="576" customFormat="1" ht="15.75" customHeight="1">
      <c r="A3611" s="517" t="str">
        <f>IF(B3611&lt;&gt;"",IF(AND(B3611&gt;=_TM1,B3611&lt;=_TM2,OR(TH!L3611="1111",TH!M3611="1111")),TH!D3611,""),"")</f>
        <v/>
      </c>
      <c r="B3611" s="518">
        <f t="shared" si="400"/>
        <v>8</v>
      </c>
      <c r="C3611" s="315">
        <f t="shared" si="401"/>
        <v>42962</v>
      </c>
      <c r="D3611" s="544" t="s">
        <v>1181</v>
      </c>
      <c r="E3611" s="288">
        <v>42962</v>
      </c>
      <c r="F3611" s="249" t="s">
        <v>380</v>
      </c>
      <c r="G3611" s="314" t="s">
        <v>1422</v>
      </c>
      <c r="H3611" s="473" t="s">
        <v>300</v>
      </c>
      <c r="I3611" s="307">
        <f>2019+2218+2361</f>
        <v>6598</v>
      </c>
      <c r="J3611" s="307">
        <v>12500</v>
      </c>
      <c r="K3611" s="532">
        <f>ROUND(I3611*J3611,0)</f>
        <v>82475000</v>
      </c>
      <c r="L3611" s="534" t="s">
        <v>223</v>
      </c>
      <c r="M3611" s="534" t="s">
        <v>162</v>
      </c>
      <c r="N3611" s="525" t="str">
        <f>IF(AND('331-CT'!$E$7=TH!H3611,OR(L3611="331",M3611="331")),"331",IF(AND(OR(L3611="131",M3611="131"),H3611='131-CT'!$E$7),"131",""))</f>
        <v/>
      </c>
      <c r="O3611" s="525" t="str">
        <f>IF(AND($B3611&gt;='111'!$N$11,$B3611&lt;='111'!$O$11,OR($L3611=$O$7,$M3611=$O$7)),"x","")</f>
        <v/>
      </c>
      <c r="P3611" s="525" t="str">
        <f>IF(AND($L3611=$O$7,$B3611&lt;'111'!$N$11),"x","")</f>
        <v/>
      </c>
      <c r="Q3611" s="525" t="str">
        <f>IF(AND($M3611=$O$7,$B3611&lt;'111'!$N$11),"x","")</f>
        <v/>
      </c>
      <c r="R3611" s="525" t="str">
        <f>IF(ISERROR(FIND('112'!$M$9,G3611,1)),"",IF((AND(FIND('112'!$M$9,G3611,1)&gt;=1,$B3611&gt;='112'!$N$8,$B3611&lt;='112'!$O$8,OR($L3611='112'!$I$6,$M3611='112'!$I$6))),"x",""))</f>
        <v/>
      </c>
      <c r="S3611" s="525" t="str">
        <f>IF(ISERROR(FIND('112'!$M$9,G3611,1)),"",IF((AND(LEFT(G3611,2)=LEFT('112'!$M$9,2),B3611&lt;'112'!$N$8,$L3611='112'!$I$6)),"x",""))</f>
        <v/>
      </c>
      <c r="T3611" s="525" t="str">
        <f>IF(ISERROR(FIND('112'!$M$9,G3611,1)),"",IF((AND(RIGHT(G3611,2)=RIGHT('112'!$M$9,2),B3611&lt;'112'!$N$8,$M3611='112'!$I$6)),"x",""))</f>
        <v/>
      </c>
      <c r="U3611" s="525" t="str">
        <f>IF(AND(B3611&gt;='IN-NX'!$P$3,B3611&lt;='IN-NX'!$Q$3,'IN-NX'!$D$7=D3611,OR(LEFT(L3611,2)="15",AND(LEFT(M3611,2)&lt;&gt;"15",LEFT(M3611,2)&lt;&gt;"33"))),"x","")</f>
        <v/>
      </c>
      <c r="V3611" s="525" t="str">
        <f>IF(AND(OR(LEFT(TH!L3611,2)="15",LEFT(TH!M3611,2)="15"),'152-CT'!$J$8=TH!F3611),"x","")</f>
        <v/>
      </c>
      <c r="W3611" s="525" t="str">
        <f>IF(AND(OR(LEFT(TH!L3611,2)="15",LEFT(TH!M3611,2)="15"),TK!$E$7=TH!F3611),"x","")</f>
        <v/>
      </c>
      <c r="X3611" s="525" t="str">
        <f>IF(AND('341-CT'!$E$9=H3611,OR(LEFT(L3611,3)=$X$7,LEFT(M3611,3)=$X$7)),"x","")</f>
        <v/>
      </c>
      <c r="Y3611" s="525" t="str">
        <f>IF(OR(TH!L3611=TH!$Y$7,M3611=TH!$Y$7),"x","")</f>
        <v/>
      </c>
      <c r="Z3611" s="525" t="str">
        <f>IF(AND(B3611&lt;=NKC!$N$8,B3611&gt;=NKC!$M$8),"x","")</f>
        <v/>
      </c>
      <c r="AA3611" s="526"/>
      <c r="AB3611" s="527"/>
      <c r="AC3611" s="536" t="str">
        <f>VLOOKUP(F3611,NXT!$B$12:$B$686,1,0)</f>
        <v>Giấy cuộn</v>
      </c>
      <c r="AD3611" s="527"/>
    </row>
    <row r="3612" spans="1:30" s="576" customFormat="1" ht="15.75" customHeight="1">
      <c r="A3612" s="517" t="str">
        <f>IF(B3612&lt;&gt;"",IF(AND(B3612&gt;=_TM1,B3612&lt;=_TM2,OR(TH!L3612="1111",TH!M3612="1111")),TH!D3612,""),"")</f>
        <v/>
      </c>
      <c r="B3612" s="518">
        <f t="shared" si="400"/>
        <v>8</v>
      </c>
      <c r="C3612" s="315">
        <f t="shared" si="401"/>
        <v>42962</v>
      </c>
      <c r="D3612" s="544" t="s">
        <v>1181</v>
      </c>
      <c r="E3612" s="288">
        <v>42962</v>
      </c>
      <c r="F3612" s="250" t="s">
        <v>499</v>
      </c>
      <c r="G3612" s="314" t="s">
        <v>1422</v>
      </c>
      <c r="H3612" s="473" t="s">
        <v>300</v>
      </c>
      <c r="I3612" s="307"/>
      <c r="J3612" s="307"/>
      <c r="K3612" s="532">
        <v>8247500</v>
      </c>
      <c r="L3612" s="534" t="s">
        <v>223</v>
      </c>
      <c r="M3612" s="534" t="s">
        <v>259</v>
      </c>
      <c r="N3612" s="525" t="str">
        <f>IF(AND('331-CT'!$E$7=TH!H3612,OR(L3612="331",M3612="331")),"331",IF(AND(OR(L3612="131",M3612="131"),H3612='131-CT'!$E$7),"131",""))</f>
        <v/>
      </c>
      <c r="O3612" s="525" t="str">
        <f>IF(AND($B3612&gt;='111'!$N$11,$B3612&lt;='111'!$O$11,OR($L3612=$O$7,$M3612=$O$7)),"x","")</f>
        <v/>
      </c>
      <c r="P3612" s="525" t="str">
        <f>IF(AND($L3612=$O$7,$B3612&lt;'111'!$N$11),"x","")</f>
        <v/>
      </c>
      <c r="Q3612" s="525" t="str">
        <f>IF(AND($M3612=$O$7,$B3612&lt;'111'!$N$11),"x","")</f>
        <v/>
      </c>
      <c r="R3612" s="525" t="str">
        <f>IF(ISERROR(FIND('112'!$M$9,G3612,1)),"",IF((AND(FIND('112'!$M$9,G3612,1)&gt;=1,$B3612&gt;='112'!$N$8,$B3612&lt;='112'!$O$8,OR($L3612='112'!$I$6,$M3612='112'!$I$6))),"x",""))</f>
        <v/>
      </c>
      <c r="S3612" s="525" t="str">
        <f>IF(ISERROR(FIND('112'!$M$9,G3612,1)),"",IF((AND(LEFT(G3612,2)=LEFT('112'!$M$9,2),B3612&lt;'112'!$N$8,$L3612='112'!$I$6)),"x",""))</f>
        <v/>
      </c>
      <c r="T3612" s="525" t="str">
        <f>IF(ISERROR(FIND('112'!$M$9,G3612,1)),"",IF((AND(RIGHT(G3612,2)=RIGHT('112'!$M$9,2),B3612&lt;'112'!$N$8,$M3612='112'!$I$6)),"x",""))</f>
        <v/>
      </c>
      <c r="U3612" s="525" t="str">
        <f>IF(AND(B3612&gt;='IN-NX'!$P$3,B3612&lt;='IN-NX'!$Q$3,'IN-NX'!$D$7=D3612,OR(LEFT(L3612,2)="15",AND(LEFT(M3612,2)&lt;&gt;"15",LEFT(M3612,2)&lt;&gt;"33"))),"x","")</f>
        <v/>
      </c>
      <c r="V3612" s="525" t="str">
        <f>IF(AND(OR(LEFT(TH!L3612,2)="15",LEFT(TH!M3612,2)="15"),'152-CT'!$J$8=TH!F3612),"x","")</f>
        <v/>
      </c>
      <c r="W3612" s="525" t="str">
        <f>IF(AND(OR(LEFT(TH!L3612,2)="15",LEFT(TH!M3612,2)="15"),TK!$E$7=TH!F3612),"x","")</f>
        <v/>
      </c>
      <c r="X3612" s="525" t="str">
        <f>IF(AND('341-CT'!$E$9=H3612,OR(LEFT(L3612,3)=$X$7,LEFT(M3612,3)=$X$7)),"x","")</f>
        <v/>
      </c>
      <c r="Y3612" s="525" t="str">
        <f>IF(OR(TH!L3612=TH!$Y$7,M3612=TH!$Y$7),"x","")</f>
        <v/>
      </c>
      <c r="Z3612" s="525" t="str">
        <f>IF(AND(B3612&lt;=NKC!$N$8,B3612&gt;=NKC!$M$8),"x","")</f>
        <v/>
      </c>
      <c r="AA3612" s="526"/>
      <c r="AB3612" s="527"/>
      <c r="AC3612" s="527"/>
      <c r="AD3612" s="527"/>
    </row>
    <row r="3613" spans="1:30" s="503" customFormat="1" ht="15.75" customHeight="1">
      <c r="A3613" s="517" t="str">
        <f>IF(B3613&lt;&gt;"",IF(AND(B3613&gt;=_TM1,B3613&lt;=_TM2,OR(TH!L3613="1111",TH!M3613="1111")),TH!D3613,""),"")</f>
        <v/>
      </c>
      <c r="B3613" s="531">
        <f t="shared" ref="B3613:B3622" si="402">IF(C3613&lt;&gt;"",MONTH(C3613),"")</f>
        <v>8</v>
      </c>
      <c r="C3613" s="315">
        <f t="shared" ref="C3613:C3622" si="403">E3613</f>
        <v>42965</v>
      </c>
      <c r="D3613" s="544" t="s">
        <v>1181</v>
      </c>
      <c r="E3613" s="288">
        <v>42965</v>
      </c>
      <c r="F3613" s="249" t="s">
        <v>1424</v>
      </c>
      <c r="G3613" s="314" t="s">
        <v>1423</v>
      </c>
      <c r="H3613" s="248" t="s">
        <v>1374</v>
      </c>
      <c r="I3613" s="307">
        <v>560</v>
      </c>
      <c r="J3613" s="307">
        <v>15800</v>
      </c>
      <c r="K3613" s="532">
        <f>ROUND(I3613*J3613,0)</f>
        <v>8848000</v>
      </c>
      <c r="L3613" s="534" t="s">
        <v>223</v>
      </c>
      <c r="M3613" s="534" t="s">
        <v>162</v>
      </c>
      <c r="N3613" s="525" t="str">
        <f>IF(AND('331-CT'!$E$7=TH!H3613,OR(L3613="331",M3613="331")),"331",IF(AND(OR(L3613="131",M3613="131"),H3613='131-CT'!$E$7),"131",""))</f>
        <v/>
      </c>
      <c r="O3613" s="525" t="str">
        <f>IF(AND($B3613&gt;='111'!$N$11,$B3613&lt;='111'!$O$11,OR($L3613=$O$7,$M3613=$O$7)),"x","")</f>
        <v/>
      </c>
      <c r="P3613" s="525" t="str">
        <f>IF(AND($L3613=$O$7,$B3613&lt;'111'!$N$11),"x","")</f>
        <v/>
      </c>
      <c r="Q3613" s="525" t="str">
        <f>IF(AND($M3613=$O$7,$B3613&lt;'111'!$N$11),"x","")</f>
        <v/>
      </c>
      <c r="R3613" s="525" t="str">
        <f>IF(ISERROR(FIND('112'!$M$9,G3613,1)),"",IF((AND(FIND('112'!$M$9,G3613,1)&gt;=1,$B3613&gt;='112'!$N$8,$B3613&lt;='112'!$O$8,OR($L3613='112'!$I$6,$M3613='112'!$I$6))),"x",""))</f>
        <v/>
      </c>
      <c r="S3613" s="525" t="str">
        <f>IF(ISERROR(FIND('112'!$M$9,G3613,1)),"",IF((AND(LEFT(G3613,2)=LEFT('112'!$M$9,2),B3613&lt;'112'!$N$8,$L3613='112'!$I$6)),"x",""))</f>
        <v/>
      </c>
      <c r="T3613" s="525" t="str">
        <f>IF(ISERROR(FIND('112'!$M$9,G3613,1)),"",IF((AND(RIGHT(G3613,2)=RIGHT('112'!$M$9,2),B3613&lt;'112'!$N$8,$M3613='112'!$I$6)),"x",""))</f>
        <v/>
      </c>
      <c r="U3613" s="525" t="str">
        <f>IF(AND(B3613&gt;='IN-NX'!$P$3,B3613&lt;='IN-NX'!$Q$3,'IN-NX'!$D$7=D3613,OR(LEFT(L3613,2)="15",AND(LEFT(M3613,2)&lt;&gt;"15",LEFT(M3613,2)&lt;&gt;"33"))),"x","")</f>
        <v/>
      </c>
      <c r="V3613" s="525" t="str">
        <f>IF(AND(OR(LEFT(TH!L3613,2)="15",LEFT(TH!M3613,2)="15"),'152-CT'!$J$8=TH!F3613),"x","")</f>
        <v/>
      </c>
      <c r="W3613" s="525" t="str">
        <f>IF(AND(OR(LEFT(TH!L3613,2)="15",LEFT(TH!M3613,2)="15"),TK!$E$7=TH!F3613),"x","")</f>
        <v/>
      </c>
      <c r="X3613" s="525" t="str">
        <f>IF(AND('341-CT'!$E$9=H3613,OR(LEFT(L3613,3)=$X$7,LEFT(M3613,3)=$X$7)),"x","")</f>
        <v/>
      </c>
      <c r="Y3613" s="525" t="str">
        <f>IF(OR(TH!L3613=TH!$Y$7,M3613=TH!$Y$7),"x","")</f>
        <v/>
      </c>
      <c r="Z3613" s="525" t="str">
        <f>IF(AND(B3613&lt;=NKC!$N$8,B3613&gt;=NKC!$M$8),"x","")</f>
        <v/>
      </c>
      <c r="AA3613" s="535"/>
      <c r="AC3613" s="536" t="str">
        <f>VLOOKUP(F3613,NXT!$B$12:$B$686,1,0)</f>
        <v>Thùng 53x40x61</v>
      </c>
    </row>
    <row r="3614" spans="1:30" s="503" customFormat="1" ht="15.75" customHeight="1">
      <c r="A3614" s="517" t="str">
        <f>IF(B3614&lt;&gt;"",IF(AND(B3614&gt;=_TM1,B3614&lt;=_TM2,OR(TH!L3614="1111",TH!M3614="1111")),TH!D3614,""),"")</f>
        <v/>
      </c>
      <c r="B3614" s="531">
        <f t="shared" si="402"/>
        <v>8</v>
      </c>
      <c r="C3614" s="315">
        <f t="shared" si="403"/>
        <v>42965</v>
      </c>
      <c r="D3614" s="544" t="s">
        <v>1181</v>
      </c>
      <c r="E3614" s="288">
        <v>42965</v>
      </c>
      <c r="F3614" s="249" t="s">
        <v>494</v>
      </c>
      <c r="G3614" s="314" t="s">
        <v>1423</v>
      </c>
      <c r="H3614" s="248" t="s">
        <v>1374</v>
      </c>
      <c r="I3614" s="307"/>
      <c r="J3614" s="307"/>
      <c r="K3614" s="532">
        <v>884800</v>
      </c>
      <c r="L3614" s="534" t="s">
        <v>223</v>
      </c>
      <c r="M3614" s="534" t="s">
        <v>259</v>
      </c>
      <c r="N3614" s="525" t="str">
        <f>IF(AND('331-CT'!$E$7=TH!H3614,OR(L3614="331",M3614="331")),"331",IF(AND(OR(L3614="131",M3614="131"),H3614='131-CT'!$E$7),"131",""))</f>
        <v/>
      </c>
      <c r="O3614" s="525" t="str">
        <f>IF(AND($B3614&gt;='111'!$N$11,$B3614&lt;='111'!$O$11,OR($L3614=$O$7,$M3614=$O$7)),"x","")</f>
        <v/>
      </c>
      <c r="P3614" s="525" t="str">
        <f>IF(AND($L3614=$O$7,$B3614&lt;'111'!$N$11),"x","")</f>
        <v/>
      </c>
      <c r="Q3614" s="525" t="str">
        <f>IF(AND($M3614=$O$7,$B3614&lt;'111'!$N$11),"x","")</f>
        <v/>
      </c>
      <c r="R3614" s="525" t="str">
        <f>IF(ISERROR(FIND('112'!$M$9,G3614,1)),"",IF((AND(FIND('112'!$M$9,G3614,1)&gt;=1,$B3614&gt;='112'!$N$8,$B3614&lt;='112'!$O$8,OR($L3614='112'!$I$6,$M3614='112'!$I$6))),"x",""))</f>
        <v/>
      </c>
      <c r="S3614" s="525" t="str">
        <f>IF(ISERROR(FIND('112'!$M$9,G3614,1)),"",IF((AND(LEFT(G3614,2)=LEFT('112'!$M$9,2),B3614&lt;'112'!$N$8,$L3614='112'!$I$6)),"x",""))</f>
        <v/>
      </c>
      <c r="T3614" s="525" t="str">
        <f>IF(ISERROR(FIND('112'!$M$9,G3614,1)),"",IF((AND(RIGHT(G3614,2)=RIGHT('112'!$M$9,2),B3614&lt;'112'!$N$8,$M3614='112'!$I$6)),"x",""))</f>
        <v/>
      </c>
      <c r="U3614" s="525" t="str">
        <f>IF(AND(B3614&gt;='IN-NX'!$P$3,B3614&lt;='IN-NX'!$Q$3,'IN-NX'!$D$7=D3614,OR(LEFT(L3614,2)="15",AND(LEFT(M3614,2)&lt;&gt;"15",LEFT(M3614,2)&lt;&gt;"33"))),"x","")</f>
        <v/>
      </c>
      <c r="V3614" s="525" t="str">
        <f>IF(AND(OR(LEFT(TH!L3614,2)="15",LEFT(TH!M3614,2)="15"),'152-CT'!$J$8=TH!F3614),"x","")</f>
        <v/>
      </c>
      <c r="W3614" s="525" t="str">
        <f>IF(AND(OR(LEFT(TH!L3614,2)="15",LEFT(TH!M3614,2)="15"),TK!$E$7=TH!F3614),"x","")</f>
        <v/>
      </c>
      <c r="X3614" s="525" t="str">
        <f>IF(AND('341-CT'!$E$9=H3614,OR(LEFT(L3614,3)=$X$7,LEFT(M3614,3)=$X$7)),"x","")</f>
        <v/>
      </c>
      <c r="Y3614" s="525" t="str">
        <f>IF(OR(TH!L3614=TH!$Y$7,M3614=TH!$Y$7),"x","")</f>
        <v/>
      </c>
      <c r="Z3614" s="525" t="str">
        <f>IF(AND(B3614&lt;=NKC!$N$8,B3614&gt;=NKC!$M$8),"x","")</f>
        <v/>
      </c>
      <c r="AA3614" s="535"/>
    </row>
    <row r="3615" spans="1:30" s="503" customFormat="1" ht="15.75" customHeight="1">
      <c r="A3615" s="517" t="str">
        <f>IF(B3615&lt;&gt;"",IF(AND(B3615&gt;=_TM1,B3615&lt;=_TM2,OR(TH!L3615="1111",TH!M3615="1111")),TH!D3615,""),"")</f>
        <v/>
      </c>
      <c r="B3615" s="531">
        <f t="shared" si="402"/>
        <v>8</v>
      </c>
      <c r="C3615" s="315">
        <f t="shared" si="403"/>
        <v>42965</v>
      </c>
      <c r="D3615" s="544" t="s">
        <v>1181</v>
      </c>
      <c r="E3615" s="288">
        <v>42965</v>
      </c>
      <c r="F3615" s="249" t="s">
        <v>1217</v>
      </c>
      <c r="G3615" s="314" t="s">
        <v>1425</v>
      </c>
      <c r="H3615" s="248" t="s">
        <v>1218</v>
      </c>
      <c r="I3615" s="307">
        <v>3045</v>
      </c>
      <c r="J3615" s="307">
        <v>5900</v>
      </c>
      <c r="K3615" s="532">
        <f>ROUND(I3615*J3615,0)</f>
        <v>17965500</v>
      </c>
      <c r="L3615" s="534" t="s">
        <v>223</v>
      </c>
      <c r="M3615" s="534" t="s">
        <v>162</v>
      </c>
      <c r="N3615" s="525" t="str">
        <f>IF(AND('331-CT'!$E$7=TH!H3615,OR(L3615="331",M3615="331")),"331",IF(AND(OR(L3615="131",M3615="131"),H3615='131-CT'!$E$7),"131",""))</f>
        <v/>
      </c>
      <c r="O3615" s="525" t="str">
        <f>IF(AND($B3615&gt;='111'!$N$11,$B3615&lt;='111'!$O$11,OR($L3615=$O$7,$M3615=$O$7)),"x","")</f>
        <v/>
      </c>
      <c r="P3615" s="525" t="str">
        <f>IF(AND($L3615=$O$7,$B3615&lt;'111'!$N$11),"x","")</f>
        <v/>
      </c>
      <c r="Q3615" s="525" t="str">
        <f>IF(AND($M3615=$O$7,$B3615&lt;'111'!$N$11),"x","")</f>
        <v/>
      </c>
      <c r="R3615" s="525" t="str">
        <f>IF(ISERROR(FIND('112'!$M$9,G3615,1)),"",IF((AND(FIND('112'!$M$9,G3615,1)&gt;=1,$B3615&gt;='112'!$N$8,$B3615&lt;='112'!$O$8,OR($L3615='112'!$I$6,$M3615='112'!$I$6))),"x",""))</f>
        <v/>
      </c>
      <c r="S3615" s="525" t="str">
        <f>IF(ISERROR(FIND('112'!$M$9,G3615,1)),"",IF((AND(LEFT(G3615,2)=LEFT('112'!$M$9,2),B3615&lt;'112'!$N$8,$L3615='112'!$I$6)),"x",""))</f>
        <v/>
      </c>
      <c r="T3615" s="525" t="str">
        <f>IF(ISERROR(FIND('112'!$M$9,G3615,1)),"",IF((AND(RIGHT(G3615,2)=RIGHT('112'!$M$9,2),B3615&lt;'112'!$N$8,$M3615='112'!$I$6)),"x",""))</f>
        <v/>
      </c>
      <c r="U3615" s="525" t="str">
        <f>IF(AND(B3615&gt;='IN-NX'!$P$3,B3615&lt;='IN-NX'!$Q$3,'IN-NX'!$D$7=D3615,OR(LEFT(L3615,2)="15",AND(LEFT(M3615,2)&lt;&gt;"15",LEFT(M3615,2)&lt;&gt;"33"))),"x","")</f>
        <v/>
      </c>
      <c r="V3615" s="525" t="str">
        <f>IF(AND(OR(LEFT(TH!L3615,2)="15",LEFT(TH!M3615,2)="15"),'152-CT'!$J$8=TH!F3615),"x","")</f>
        <v/>
      </c>
      <c r="W3615" s="525" t="str">
        <f>IF(AND(OR(LEFT(TH!L3615,2)="15",LEFT(TH!M3615,2)="15"),TK!$E$7=TH!F3615),"x","")</f>
        <v/>
      </c>
      <c r="X3615" s="525" t="str">
        <f>IF(AND('341-CT'!$E$9=H3615,OR(LEFT(L3615,3)=$X$7,LEFT(M3615,3)=$X$7)),"x","")</f>
        <v/>
      </c>
      <c r="Y3615" s="525" t="str">
        <f>IF(OR(TH!L3615=TH!$Y$7,M3615=TH!$Y$7),"x","")</f>
        <v/>
      </c>
      <c r="Z3615" s="525" t="str">
        <f>IF(AND(B3615&lt;=NKC!$N$8,B3615&gt;=NKC!$M$8),"x","")</f>
        <v/>
      </c>
      <c r="AA3615" s="535"/>
      <c r="AC3615" s="536" t="str">
        <f>VLOOKUP(F3615,NXT!$B$12:$B$686,1,0)</f>
        <v>Thùng 50x29.5x19</v>
      </c>
    </row>
    <row r="3616" spans="1:30" s="503" customFormat="1" ht="15.75" customHeight="1">
      <c r="A3616" s="517" t="str">
        <f>IF(B3616&lt;&gt;"",IF(AND(B3616&gt;=_TM1,B3616&lt;=_TM2,OR(TH!L3616="1111",TH!M3616="1111")),TH!D3616,""),"")</f>
        <v/>
      </c>
      <c r="B3616" s="531">
        <f t="shared" si="402"/>
        <v>8</v>
      </c>
      <c r="C3616" s="315">
        <f t="shared" si="403"/>
        <v>42965</v>
      </c>
      <c r="D3616" s="544" t="s">
        <v>1181</v>
      </c>
      <c r="E3616" s="288">
        <v>42965</v>
      </c>
      <c r="F3616" s="249" t="s">
        <v>494</v>
      </c>
      <c r="G3616" s="314" t="s">
        <v>1425</v>
      </c>
      <c r="H3616" s="248" t="s">
        <v>1218</v>
      </c>
      <c r="I3616" s="307"/>
      <c r="J3616" s="307"/>
      <c r="K3616" s="532">
        <v>1796550</v>
      </c>
      <c r="L3616" s="534" t="s">
        <v>223</v>
      </c>
      <c r="M3616" s="534" t="s">
        <v>259</v>
      </c>
      <c r="N3616" s="525" t="str">
        <f>IF(AND('331-CT'!$E$7=TH!H3616,OR(L3616="331",M3616="331")),"331",IF(AND(OR(L3616="131",M3616="131"),H3616='131-CT'!$E$7),"131",""))</f>
        <v/>
      </c>
      <c r="O3616" s="525" t="str">
        <f>IF(AND($B3616&gt;='111'!$N$11,$B3616&lt;='111'!$O$11,OR($L3616=$O$7,$M3616=$O$7)),"x","")</f>
        <v/>
      </c>
      <c r="P3616" s="525" t="str">
        <f>IF(AND($L3616=$O$7,$B3616&lt;'111'!$N$11),"x","")</f>
        <v/>
      </c>
      <c r="Q3616" s="525" t="str">
        <f>IF(AND($M3616=$O$7,$B3616&lt;'111'!$N$11),"x","")</f>
        <v/>
      </c>
      <c r="R3616" s="525" t="str">
        <f>IF(ISERROR(FIND('112'!$M$9,G3616,1)),"",IF((AND(FIND('112'!$M$9,G3616,1)&gt;=1,$B3616&gt;='112'!$N$8,$B3616&lt;='112'!$O$8,OR($L3616='112'!$I$6,$M3616='112'!$I$6))),"x",""))</f>
        <v/>
      </c>
      <c r="S3616" s="525" t="str">
        <f>IF(ISERROR(FIND('112'!$M$9,G3616,1)),"",IF((AND(LEFT(G3616,2)=LEFT('112'!$M$9,2),B3616&lt;'112'!$N$8,$L3616='112'!$I$6)),"x",""))</f>
        <v/>
      </c>
      <c r="T3616" s="525" t="str">
        <f>IF(ISERROR(FIND('112'!$M$9,G3616,1)),"",IF((AND(RIGHT(G3616,2)=RIGHT('112'!$M$9,2),B3616&lt;'112'!$N$8,$M3616='112'!$I$6)),"x",""))</f>
        <v/>
      </c>
      <c r="U3616" s="525" t="str">
        <f>IF(AND(B3616&gt;='IN-NX'!$P$3,B3616&lt;='IN-NX'!$Q$3,'IN-NX'!$D$7=D3616,OR(LEFT(L3616,2)="15",AND(LEFT(M3616,2)&lt;&gt;"15",LEFT(M3616,2)&lt;&gt;"33"))),"x","")</f>
        <v/>
      </c>
      <c r="V3616" s="525" t="str">
        <f>IF(AND(OR(LEFT(TH!L3616,2)="15",LEFT(TH!M3616,2)="15"),'152-CT'!$J$8=TH!F3616),"x","")</f>
        <v/>
      </c>
      <c r="W3616" s="525" t="str">
        <f>IF(AND(OR(LEFT(TH!L3616,2)="15",LEFT(TH!M3616,2)="15"),TK!$E$7=TH!F3616),"x","")</f>
        <v/>
      </c>
      <c r="X3616" s="525" t="str">
        <f>IF(AND('341-CT'!$E$9=H3616,OR(LEFT(L3616,3)=$X$7,LEFT(M3616,3)=$X$7)),"x","")</f>
        <v/>
      </c>
      <c r="Y3616" s="525" t="str">
        <f>IF(OR(TH!L3616=TH!$Y$7,M3616=TH!$Y$7),"x","")</f>
        <v/>
      </c>
      <c r="Z3616" s="525" t="str">
        <f>IF(AND(B3616&lt;=NKC!$N$8,B3616&gt;=NKC!$M$8),"x","")</f>
        <v/>
      </c>
      <c r="AA3616" s="535"/>
    </row>
    <row r="3617" spans="1:30" s="503" customFormat="1" ht="15.75" customHeight="1">
      <c r="A3617" s="517" t="str">
        <f>IF(B3617&lt;&gt;"",IF(AND(B3617&gt;=_TM1,B3617&lt;=_TM2,OR(TH!L3617="1111",TH!M3617="1111")),TH!D3617,""),"")</f>
        <v/>
      </c>
      <c r="B3617" s="531">
        <f t="shared" si="402"/>
        <v>8</v>
      </c>
      <c r="C3617" s="315">
        <f t="shared" si="403"/>
        <v>42968</v>
      </c>
      <c r="D3617" s="544" t="s">
        <v>1181</v>
      </c>
      <c r="E3617" s="315">
        <v>42968</v>
      </c>
      <c r="F3617" s="245" t="s">
        <v>274</v>
      </c>
      <c r="G3617" s="314" t="s">
        <v>1426</v>
      </c>
      <c r="H3617" s="473" t="s">
        <v>283</v>
      </c>
      <c r="I3617" s="307">
        <v>3400</v>
      </c>
      <c r="J3617" s="307">
        <v>18500</v>
      </c>
      <c r="K3617" s="532">
        <f>ROUND(I3617*J3617,0)</f>
        <v>62900000</v>
      </c>
      <c r="L3617" s="534" t="s">
        <v>223</v>
      </c>
      <c r="M3617" s="534" t="s">
        <v>162</v>
      </c>
      <c r="N3617" s="525" t="str">
        <f>IF(AND('331-CT'!$E$7=TH!H3617,OR(L3617="331",M3617="331")),"331",IF(AND(OR(L3617="131",M3617="131"),H3617='131-CT'!$E$7),"131",""))</f>
        <v/>
      </c>
      <c r="O3617" s="525" t="str">
        <f>IF(AND($B3617&gt;='111'!$N$11,$B3617&lt;='111'!$O$11,OR($L3617=$O$7,$M3617=$O$7)),"x","")</f>
        <v/>
      </c>
      <c r="P3617" s="525" t="str">
        <f>IF(AND($L3617=$O$7,$B3617&lt;'111'!$N$11),"x","")</f>
        <v/>
      </c>
      <c r="Q3617" s="525" t="str">
        <f>IF(AND($M3617=$O$7,$B3617&lt;'111'!$N$11),"x","")</f>
        <v/>
      </c>
      <c r="R3617" s="525" t="str">
        <f>IF(ISERROR(FIND('112'!$M$9,G3617,1)),"",IF((AND(FIND('112'!$M$9,G3617,1)&gt;=1,$B3617&gt;='112'!$N$8,$B3617&lt;='112'!$O$8,OR($L3617='112'!$I$6,$M3617='112'!$I$6))),"x",""))</f>
        <v/>
      </c>
      <c r="S3617" s="525" t="str">
        <f>IF(ISERROR(FIND('112'!$M$9,G3617,1)),"",IF((AND(LEFT(G3617,2)=LEFT('112'!$M$9,2),B3617&lt;'112'!$N$8,$L3617='112'!$I$6)),"x",""))</f>
        <v/>
      </c>
      <c r="T3617" s="525" t="str">
        <f>IF(ISERROR(FIND('112'!$M$9,G3617,1)),"",IF((AND(RIGHT(G3617,2)=RIGHT('112'!$M$9,2),B3617&lt;'112'!$N$8,$M3617='112'!$I$6)),"x",""))</f>
        <v/>
      </c>
      <c r="U3617" s="525" t="str">
        <f>IF(AND(B3617&gt;='IN-NX'!$P$3,B3617&lt;='IN-NX'!$Q$3,'IN-NX'!$D$7=D3617,OR(LEFT(L3617,2)="15",AND(LEFT(M3617,2)&lt;&gt;"15",LEFT(M3617,2)&lt;&gt;"33"))),"x","")</f>
        <v/>
      </c>
      <c r="V3617" s="525" t="str">
        <f>IF(AND(OR(LEFT(TH!L3617,2)="15",LEFT(TH!M3617,2)="15"),'152-CT'!$J$8=TH!F3617),"x","")</f>
        <v/>
      </c>
      <c r="W3617" s="525" t="str">
        <f>IF(AND(OR(LEFT(TH!L3617,2)="15",LEFT(TH!M3617,2)="15"),TK!$E$7=TH!F3617),"x","")</f>
        <v/>
      </c>
      <c r="X3617" s="525" t="str">
        <f>IF(AND('341-CT'!$E$9=H3617,OR(LEFT(L3617,3)=$X$7,LEFT(M3617,3)=$X$7)),"x","")</f>
        <v/>
      </c>
      <c r="Y3617" s="525" t="str">
        <f>IF(OR(TH!L3617=TH!$Y$7,M3617=TH!$Y$7),"x","")</f>
        <v/>
      </c>
      <c r="Z3617" s="525" t="str">
        <f>IF(AND(B3617&lt;=NKC!$N$8,B3617&gt;=NKC!$M$8),"x","")</f>
        <v/>
      </c>
      <c r="AA3617" s="535"/>
      <c r="AB3617" s="536"/>
      <c r="AC3617" s="536" t="str">
        <f>VLOOKUP(F3617,NXT!$B$12:$B$686,1,0)</f>
        <v>Giấy 2 lớp</v>
      </c>
      <c r="AD3617" s="536"/>
    </row>
    <row r="3618" spans="1:30" s="503" customFormat="1" ht="15.75" customHeight="1">
      <c r="A3618" s="517" t="str">
        <f>IF(B3618&lt;&gt;"",IF(AND(B3618&gt;=_TM1,B3618&lt;=_TM2,OR(TH!L3618="1111",TH!M3618="1111")),TH!D3618,""),"")</f>
        <v/>
      </c>
      <c r="B3618" s="531">
        <f t="shared" si="402"/>
        <v>8</v>
      </c>
      <c r="C3618" s="315">
        <f t="shared" si="403"/>
        <v>42968</v>
      </c>
      <c r="D3618" s="544" t="s">
        <v>1181</v>
      </c>
      <c r="E3618" s="315">
        <v>42968</v>
      </c>
      <c r="F3618" s="245" t="s">
        <v>273</v>
      </c>
      <c r="G3618" s="314" t="s">
        <v>1426</v>
      </c>
      <c r="H3618" s="473" t="s">
        <v>283</v>
      </c>
      <c r="I3618" s="307">
        <v>3200</v>
      </c>
      <c r="J3618" s="307">
        <v>18500</v>
      </c>
      <c r="K3618" s="532">
        <f>ROUND(I3618*J3618,0)</f>
        <v>59200000</v>
      </c>
      <c r="L3618" s="534" t="s">
        <v>223</v>
      </c>
      <c r="M3618" s="534" t="s">
        <v>162</v>
      </c>
      <c r="N3618" s="525" t="str">
        <f>IF(AND('331-CT'!$E$7=TH!H3618,OR(L3618="331",M3618="331")),"331",IF(AND(OR(L3618="131",M3618="131"),H3618='131-CT'!$E$7),"131",""))</f>
        <v/>
      </c>
      <c r="O3618" s="525" t="str">
        <f>IF(AND($B3618&gt;='111'!$N$11,$B3618&lt;='111'!$O$11,OR($L3618=$O$7,$M3618=$O$7)),"x","")</f>
        <v/>
      </c>
      <c r="P3618" s="525" t="str">
        <f>IF(AND($L3618=$O$7,$B3618&lt;'111'!$N$11),"x","")</f>
        <v/>
      </c>
      <c r="Q3618" s="525" t="str">
        <f>IF(AND($M3618=$O$7,$B3618&lt;'111'!$N$11),"x","")</f>
        <v/>
      </c>
      <c r="R3618" s="525" t="str">
        <f>IF(ISERROR(FIND('112'!$M$9,G3618,1)),"",IF((AND(FIND('112'!$M$9,G3618,1)&gt;=1,$B3618&gt;='112'!$N$8,$B3618&lt;='112'!$O$8,OR($L3618='112'!$I$6,$M3618='112'!$I$6))),"x",""))</f>
        <v/>
      </c>
      <c r="S3618" s="525" t="str">
        <f>IF(ISERROR(FIND('112'!$M$9,G3618,1)),"",IF((AND(LEFT(G3618,2)=LEFT('112'!$M$9,2),B3618&lt;'112'!$N$8,$L3618='112'!$I$6)),"x",""))</f>
        <v/>
      </c>
      <c r="T3618" s="525" t="str">
        <f>IF(ISERROR(FIND('112'!$M$9,G3618,1)),"",IF((AND(RIGHT(G3618,2)=RIGHT('112'!$M$9,2),B3618&lt;'112'!$N$8,$M3618='112'!$I$6)),"x",""))</f>
        <v/>
      </c>
      <c r="U3618" s="525" t="str">
        <f>IF(AND(B3618&gt;='IN-NX'!$P$3,B3618&lt;='IN-NX'!$Q$3,'IN-NX'!$D$7=D3618,OR(LEFT(L3618,2)="15",AND(LEFT(M3618,2)&lt;&gt;"15",LEFT(M3618,2)&lt;&gt;"33"))),"x","")</f>
        <v/>
      </c>
      <c r="V3618" s="525" t="str">
        <f>IF(AND(OR(LEFT(TH!L3618,2)="15",LEFT(TH!M3618,2)="15"),'152-CT'!$J$8=TH!F3618),"x","")</f>
        <v/>
      </c>
      <c r="W3618" s="525" t="str">
        <f>IF(AND(OR(LEFT(TH!L3618,2)="15",LEFT(TH!M3618,2)="15"),TK!$E$7=TH!F3618),"x","")</f>
        <v/>
      </c>
      <c r="X3618" s="525" t="str">
        <f>IF(AND('341-CT'!$E$9=H3618,OR(LEFT(L3618,3)=$X$7,LEFT(M3618,3)=$X$7)),"x","")</f>
        <v/>
      </c>
      <c r="Y3618" s="525" t="str">
        <f>IF(OR(TH!L3618=TH!$Y$7,M3618=TH!$Y$7),"x","")</f>
        <v/>
      </c>
      <c r="Z3618" s="525" t="str">
        <f>IF(AND(B3618&lt;=NKC!$N$8,B3618&gt;=NKC!$M$8),"x","")</f>
        <v/>
      </c>
      <c r="AA3618" s="535"/>
      <c r="AB3618" s="536"/>
      <c r="AC3618" s="536" t="str">
        <f>VLOOKUP(F3618,NXT!$B$12:$B$686,1,0)</f>
        <v>Giấy 3 lớp</v>
      </c>
      <c r="AD3618" s="536"/>
    </row>
    <row r="3619" spans="1:30" s="503" customFormat="1" ht="15.75" customHeight="1">
      <c r="A3619" s="517" t="str">
        <f>IF(B3619&lt;&gt;"",IF(AND(B3619&gt;=_TM1,B3619&lt;=_TM2,OR(TH!L3619="1111",TH!M3619="1111")),TH!D3619,""),"")</f>
        <v/>
      </c>
      <c r="B3619" s="531">
        <f t="shared" si="402"/>
        <v>8</v>
      </c>
      <c r="C3619" s="315">
        <f t="shared" si="403"/>
        <v>42968</v>
      </c>
      <c r="D3619" s="544" t="s">
        <v>1181</v>
      </c>
      <c r="E3619" s="315">
        <v>42968</v>
      </c>
      <c r="F3619" s="250" t="s">
        <v>501</v>
      </c>
      <c r="G3619" s="314" t="s">
        <v>1426</v>
      </c>
      <c r="H3619" s="473" t="s">
        <v>283</v>
      </c>
      <c r="I3619" s="307"/>
      <c r="J3619" s="307"/>
      <c r="K3619" s="532">
        <v>12210000</v>
      </c>
      <c r="L3619" s="534" t="s">
        <v>223</v>
      </c>
      <c r="M3619" s="534" t="s">
        <v>259</v>
      </c>
      <c r="N3619" s="525" t="str">
        <f>IF(AND('331-CT'!$E$7=TH!H3619,OR(L3619="331",M3619="331")),"331",IF(AND(OR(L3619="131",M3619="131"),H3619='131-CT'!$E$7),"131",""))</f>
        <v/>
      </c>
      <c r="O3619" s="525" t="str">
        <f>IF(AND($B3619&gt;='111'!$N$11,$B3619&lt;='111'!$O$11,OR($L3619=$O$7,$M3619=$O$7)),"x","")</f>
        <v/>
      </c>
      <c r="P3619" s="525" t="str">
        <f>IF(AND($L3619=$O$7,$B3619&lt;'111'!$N$11),"x","")</f>
        <v/>
      </c>
      <c r="Q3619" s="525" t="str">
        <f>IF(AND($M3619=$O$7,$B3619&lt;'111'!$N$11),"x","")</f>
        <v/>
      </c>
      <c r="R3619" s="525" t="str">
        <f>IF(ISERROR(FIND('112'!$M$9,G3619,1)),"",IF((AND(FIND('112'!$M$9,G3619,1)&gt;=1,$B3619&gt;='112'!$N$8,$B3619&lt;='112'!$O$8,OR($L3619='112'!$I$6,$M3619='112'!$I$6))),"x",""))</f>
        <v/>
      </c>
      <c r="S3619" s="525" t="str">
        <f>IF(ISERROR(FIND('112'!$M$9,G3619,1)),"",IF((AND(LEFT(G3619,2)=LEFT('112'!$M$9,2),B3619&lt;'112'!$N$8,$L3619='112'!$I$6)),"x",""))</f>
        <v/>
      </c>
      <c r="T3619" s="525" t="str">
        <f>IF(ISERROR(FIND('112'!$M$9,G3619,1)),"",IF((AND(RIGHT(G3619,2)=RIGHT('112'!$M$9,2),B3619&lt;'112'!$N$8,$M3619='112'!$I$6)),"x",""))</f>
        <v/>
      </c>
      <c r="U3619" s="525" t="str">
        <f>IF(AND(B3619&gt;='IN-NX'!$P$3,B3619&lt;='IN-NX'!$Q$3,'IN-NX'!$D$7=D3619,OR(LEFT(L3619,2)="15",AND(LEFT(M3619,2)&lt;&gt;"15",LEFT(M3619,2)&lt;&gt;"33"))),"x","")</f>
        <v/>
      </c>
      <c r="V3619" s="525" t="str">
        <f>IF(AND(OR(LEFT(TH!L3619,2)="15",LEFT(TH!M3619,2)="15"),'152-CT'!$J$8=TH!F3619),"x","")</f>
        <v/>
      </c>
      <c r="W3619" s="525" t="str">
        <f>IF(AND(OR(LEFT(TH!L3619,2)="15",LEFT(TH!M3619,2)="15"),TK!$E$7=TH!F3619),"x","")</f>
        <v/>
      </c>
      <c r="X3619" s="525" t="str">
        <f>IF(AND('341-CT'!$E$9=H3619,OR(LEFT(L3619,3)=$X$7,LEFT(M3619,3)=$X$7)),"x","")</f>
        <v/>
      </c>
      <c r="Y3619" s="525" t="str">
        <f>IF(OR(TH!L3619=TH!$Y$7,M3619=TH!$Y$7),"x","")</f>
        <v/>
      </c>
      <c r="Z3619" s="525" t="str">
        <f>IF(AND(B3619&lt;=NKC!$N$8,B3619&gt;=NKC!$M$8),"x","")</f>
        <v/>
      </c>
      <c r="AA3619" s="535"/>
      <c r="AB3619" s="536"/>
      <c r="AC3619" s="536"/>
      <c r="AD3619" s="536"/>
    </row>
    <row r="3620" spans="1:30" s="503" customFormat="1" ht="15.75" customHeight="1">
      <c r="A3620" s="517" t="str">
        <f>IF(B3620&lt;&gt;"",IF(AND(B3620&gt;=_TM1,B3620&lt;=_TM2,OR(TH!L3620="1111",TH!M3620="1111")),TH!D3620,""),"")</f>
        <v/>
      </c>
      <c r="B3620" s="531">
        <f t="shared" si="402"/>
        <v>8</v>
      </c>
      <c r="C3620" s="315">
        <f t="shared" si="403"/>
        <v>42968</v>
      </c>
      <c r="D3620" s="544" t="s">
        <v>1181</v>
      </c>
      <c r="E3620" s="315">
        <v>42968</v>
      </c>
      <c r="F3620" s="249" t="s">
        <v>1428</v>
      </c>
      <c r="G3620" s="314" t="s">
        <v>1427</v>
      </c>
      <c r="H3620" s="248" t="s">
        <v>1429</v>
      </c>
      <c r="I3620" s="307">
        <v>3500</v>
      </c>
      <c r="J3620" s="307">
        <v>330</v>
      </c>
      <c r="K3620" s="532">
        <f>ROUND(I3620*J3620,0)</f>
        <v>1155000</v>
      </c>
      <c r="L3620" s="534" t="s">
        <v>223</v>
      </c>
      <c r="M3620" s="534" t="s">
        <v>162</v>
      </c>
      <c r="N3620" s="525" t="str">
        <f>IF(AND('331-CT'!$E$7=TH!H3620,OR(L3620="331",M3620="331")),"331",IF(AND(OR(L3620="131",M3620="131"),H3620='131-CT'!$E$7),"131",""))</f>
        <v/>
      </c>
      <c r="O3620" s="525" t="str">
        <f>IF(AND($B3620&gt;='111'!$N$11,$B3620&lt;='111'!$O$11,OR($L3620=$O$7,$M3620=$O$7)),"x","")</f>
        <v/>
      </c>
      <c r="P3620" s="525" t="str">
        <f>IF(AND($L3620=$O$7,$B3620&lt;'111'!$N$11),"x","")</f>
        <v/>
      </c>
      <c r="Q3620" s="525" t="str">
        <f>IF(AND($M3620=$O$7,$B3620&lt;'111'!$N$11),"x","")</f>
        <v/>
      </c>
      <c r="R3620" s="525" t="str">
        <f>IF(ISERROR(FIND('112'!$M$9,G3620,1)),"",IF((AND(FIND('112'!$M$9,G3620,1)&gt;=1,$B3620&gt;='112'!$N$8,$B3620&lt;='112'!$O$8,OR($L3620='112'!$I$6,$M3620='112'!$I$6))),"x",""))</f>
        <v/>
      </c>
      <c r="S3620" s="525" t="str">
        <f>IF(ISERROR(FIND('112'!$M$9,G3620,1)),"",IF((AND(LEFT(G3620,2)=LEFT('112'!$M$9,2),B3620&lt;'112'!$N$8,$L3620='112'!$I$6)),"x",""))</f>
        <v/>
      </c>
      <c r="T3620" s="525" t="str">
        <f>IF(ISERROR(FIND('112'!$M$9,G3620,1)),"",IF((AND(RIGHT(G3620,2)=RIGHT('112'!$M$9,2),B3620&lt;'112'!$N$8,$M3620='112'!$I$6)),"x",""))</f>
        <v/>
      </c>
      <c r="U3620" s="525" t="str">
        <f>IF(AND(B3620&gt;='IN-NX'!$P$3,B3620&lt;='IN-NX'!$Q$3,'IN-NX'!$D$7=D3620,OR(LEFT(L3620,2)="15",AND(LEFT(M3620,2)&lt;&gt;"15",LEFT(M3620,2)&lt;&gt;"33"))),"x","")</f>
        <v/>
      </c>
      <c r="V3620" s="525" t="str">
        <f>IF(AND(OR(LEFT(TH!L3620,2)="15",LEFT(TH!M3620,2)="15"),'152-CT'!$J$8=TH!F3620),"x","")</f>
        <v/>
      </c>
      <c r="W3620" s="525" t="str">
        <f>IF(AND(OR(LEFT(TH!L3620,2)="15",LEFT(TH!M3620,2)="15"),TK!$E$7=TH!F3620),"x","")</f>
        <v/>
      </c>
      <c r="X3620" s="525" t="str">
        <f>IF(AND('341-CT'!$E$9=H3620,OR(LEFT(L3620,3)=$X$7,LEFT(M3620,3)=$X$7)),"x","")</f>
        <v/>
      </c>
      <c r="Y3620" s="525" t="str">
        <f>IF(OR(TH!L3620=TH!$Y$7,M3620=TH!$Y$7),"x","")</f>
        <v/>
      </c>
      <c r="Z3620" s="525" t="str">
        <f>IF(AND(B3620&lt;=NKC!$N$8,B3620&gt;=NKC!$M$8),"x","")</f>
        <v/>
      </c>
      <c r="AA3620" s="535"/>
      <c r="AC3620" s="536" t="str">
        <f>VLOOKUP(F3620,NXT!$B$12:$B$686,1,0)</f>
        <v>Lót 23x17</v>
      </c>
    </row>
    <row r="3621" spans="1:30" s="503" customFormat="1" ht="15.75" customHeight="1">
      <c r="A3621" s="517" t="str">
        <f>IF(B3621&lt;&gt;"",IF(AND(B3621&gt;=_TM1,B3621&lt;=_TM2,OR(TH!L3621="1111",TH!M3621="1111")),TH!D3621,""),"")</f>
        <v/>
      </c>
      <c r="B3621" s="531">
        <f t="shared" si="402"/>
        <v>8</v>
      </c>
      <c r="C3621" s="315">
        <f t="shared" si="403"/>
        <v>42968</v>
      </c>
      <c r="D3621" s="544" t="s">
        <v>1181</v>
      </c>
      <c r="E3621" s="315">
        <v>42968</v>
      </c>
      <c r="F3621" s="250" t="s">
        <v>1320</v>
      </c>
      <c r="G3621" s="314" t="s">
        <v>1427</v>
      </c>
      <c r="H3621" s="248" t="s">
        <v>1429</v>
      </c>
      <c r="I3621" s="307"/>
      <c r="J3621" s="307"/>
      <c r="K3621" s="532">
        <v>115500</v>
      </c>
      <c r="L3621" s="534" t="s">
        <v>223</v>
      </c>
      <c r="M3621" s="534" t="s">
        <v>259</v>
      </c>
      <c r="N3621" s="525" t="str">
        <f>IF(AND('331-CT'!$E$7=TH!H3621,OR(L3621="331",M3621="331")),"331",IF(AND(OR(L3621="131",M3621="131"),H3621='131-CT'!$E$7),"131",""))</f>
        <v/>
      </c>
      <c r="O3621" s="525" t="str">
        <f>IF(AND($B3621&gt;='111'!$N$11,$B3621&lt;='111'!$O$11,OR($L3621=$O$7,$M3621=$O$7)),"x","")</f>
        <v/>
      </c>
      <c r="P3621" s="525" t="str">
        <f>IF(AND($L3621=$O$7,$B3621&lt;'111'!$N$11),"x","")</f>
        <v/>
      </c>
      <c r="Q3621" s="525" t="str">
        <f>IF(AND($M3621=$O$7,$B3621&lt;'111'!$N$11),"x","")</f>
        <v/>
      </c>
      <c r="R3621" s="525" t="str">
        <f>IF(ISERROR(FIND('112'!$M$9,G3621,1)),"",IF((AND(FIND('112'!$M$9,G3621,1)&gt;=1,$B3621&gt;='112'!$N$8,$B3621&lt;='112'!$O$8,OR($L3621='112'!$I$6,$M3621='112'!$I$6))),"x",""))</f>
        <v/>
      </c>
      <c r="S3621" s="525" t="str">
        <f>IF(ISERROR(FIND('112'!$M$9,G3621,1)),"",IF((AND(LEFT(G3621,2)=LEFT('112'!$M$9,2),B3621&lt;'112'!$N$8,$L3621='112'!$I$6)),"x",""))</f>
        <v/>
      </c>
      <c r="T3621" s="525" t="str">
        <f>IF(ISERROR(FIND('112'!$M$9,G3621,1)),"",IF((AND(RIGHT(G3621,2)=RIGHT('112'!$M$9,2),B3621&lt;'112'!$N$8,$M3621='112'!$I$6)),"x",""))</f>
        <v/>
      </c>
      <c r="U3621" s="525" t="str">
        <f>IF(AND(B3621&gt;='IN-NX'!$P$3,B3621&lt;='IN-NX'!$Q$3,'IN-NX'!$D$7=D3621,OR(LEFT(L3621,2)="15",AND(LEFT(M3621,2)&lt;&gt;"15",LEFT(M3621,2)&lt;&gt;"33"))),"x","")</f>
        <v/>
      </c>
      <c r="V3621" s="525" t="str">
        <f>IF(AND(OR(LEFT(TH!L3621,2)="15",LEFT(TH!M3621,2)="15"),'152-CT'!$J$8=TH!F3621),"x","")</f>
        <v/>
      </c>
      <c r="W3621" s="525" t="str">
        <f>IF(AND(OR(LEFT(TH!L3621,2)="15",LEFT(TH!M3621,2)="15"),TK!$E$7=TH!F3621),"x","")</f>
        <v/>
      </c>
      <c r="X3621" s="525" t="str">
        <f>IF(AND('341-CT'!$E$9=H3621,OR(LEFT(L3621,3)=$X$7,LEFT(M3621,3)=$X$7)),"x","")</f>
        <v/>
      </c>
      <c r="Y3621" s="525" t="str">
        <f>IF(OR(TH!L3621=TH!$Y$7,M3621=TH!$Y$7),"x","")</f>
        <v/>
      </c>
      <c r="Z3621" s="525" t="str">
        <f>IF(AND(B3621&lt;=NKC!$N$8,B3621&gt;=NKC!$M$8),"x","")</f>
        <v/>
      </c>
      <c r="AA3621" s="535"/>
    </row>
    <row r="3622" spans="1:30" s="503" customFormat="1" ht="15.75" customHeight="1">
      <c r="A3622" s="517" t="str">
        <f>IF(B3622&lt;&gt;"",IF(AND(B3622&gt;=_TM1,B3622&lt;=_TM2,OR(TH!L3622="1111",TH!M3622="1111")),TH!D3622,""),"")</f>
        <v/>
      </c>
      <c r="B3622" s="531">
        <f t="shared" si="402"/>
        <v>8</v>
      </c>
      <c r="C3622" s="315">
        <f t="shared" si="403"/>
        <v>42969</v>
      </c>
      <c r="D3622" s="544" t="s">
        <v>1181</v>
      </c>
      <c r="E3622" s="315">
        <v>42969</v>
      </c>
      <c r="F3622" s="249" t="s">
        <v>1432</v>
      </c>
      <c r="G3622" s="314" t="s">
        <v>1430</v>
      </c>
      <c r="H3622" s="248" t="s">
        <v>1431</v>
      </c>
      <c r="I3622" s="307">
        <v>500</v>
      </c>
      <c r="J3622" s="307">
        <v>9740</v>
      </c>
      <c r="K3622" s="532">
        <f>ROUND(I3622*J3622,0)</f>
        <v>4870000</v>
      </c>
      <c r="L3622" s="534" t="s">
        <v>223</v>
      </c>
      <c r="M3622" s="534" t="s">
        <v>162</v>
      </c>
      <c r="N3622" s="525" t="str">
        <f>IF(AND('331-CT'!$E$7=TH!H3622,OR(L3622="331",M3622="331")),"331",IF(AND(OR(L3622="131",M3622="131"),H3622='131-CT'!$E$7),"131",""))</f>
        <v/>
      </c>
      <c r="O3622" s="525" t="str">
        <f>IF(AND($B3622&gt;='111'!$N$11,$B3622&lt;='111'!$O$11,OR($L3622=$O$7,$M3622=$O$7)),"x","")</f>
        <v/>
      </c>
      <c r="P3622" s="525" t="str">
        <f>IF(AND($L3622=$O$7,$B3622&lt;'111'!$N$11),"x","")</f>
        <v/>
      </c>
      <c r="Q3622" s="525" t="str">
        <f>IF(AND($M3622=$O$7,$B3622&lt;'111'!$N$11),"x","")</f>
        <v/>
      </c>
      <c r="R3622" s="525" t="str">
        <f>IF(ISERROR(FIND('112'!$M$9,G3622,1)),"",IF((AND(FIND('112'!$M$9,G3622,1)&gt;=1,$B3622&gt;='112'!$N$8,$B3622&lt;='112'!$O$8,OR($L3622='112'!$I$6,$M3622='112'!$I$6))),"x",""))</f>
        <v/>
      </c>
      <c r="S3622" s="525" t="str">
        <f>IF(ISERROR(FIND('112'!$M$9,G3622,1)),"",IF((AND(LEFT(G3622,2)=LEFT('112'!$M$9,2),B3622&lt;'112'!$N$8,$L3622='112'!$I$6)),"x",""))</f>
        <v/>
      </c>
      <c r="T3622" s="525" t="str">
        <f>IF(ISERROR(FIND('112'!$M$9,G3622,1)),"",IF((AND(RIGHT(G3622,2)=RIGHT('112'!$M$9,2),B3622&lt;'112'!$N$8,$M3622='112'!$I$6)),"x",""))</f>
        <v/>
      </c>
      <c r="U3622" s="525" t="str">
        <f>IF(AND(B3622&gt;='IN-NX'!$P$3,B3622&lt;='IN-NX'!$Q$3,'IN-NX'!$D$7=D3622,OR(LEFT(L3622,2)="15",AND(LEFT(M3622,2)&lt;&gt;"15",LEFT(M3622,2)&lt;&gt;"33"))),"x","")</f>
        <v/>
      </c>
      <c r="V3622" s="525" t="str">
        <f>IF(AND(OR(LEFT(TH!L3622,2)="15",LEFT(TH!M3622,2)="15"),'152-CT'!$J$8=TH!F3622),"x","")</f>
        <v/>
      </c>
      <c r="W3622" s="525" t="str">
        <f>IF(AND(OR(LEFT(TH!L3622,2)="15",LEFT(TH!M3622,2)="15"),TK!$E$7=TH!F3622),"x","")</f>
        <v/>
      </c>
      <c r="X3622" s="525" t="str">
        <f>IF(AND('341-CT'!$E$9=H3622,OR(LEFT(L3622,3)=$X$7,LEFT(M3622,3)=$X$7)),"x","")</f>
        <v/>
      </c>
      <c r="Y3622" s="525" t="str">
        <f>IF(OR(TH!L3622=TH!$Y$7,M3622=TH!$Y$7),"x","")</f>
        <v/>
      </c>
      <c r="Z3622" s="525" t="str">
        <f>IF(AND(B3622&lt;=NKC!$N$8,B3622&gt;=NKC!$M$8),"x","")</f>
        <v/>
      </c>
      <c r="AA3622" s="535"/>
      <c r="AC3622" s="536" t="str">
        <f>VLOOKUP(F3622,NXT!$B$12:$B$686,1,0)</f>
        <v>Thùng 35x35x35</v>
      </c>
    </row>
    <row r="3623" spans="1:30" s="503" customFormat="1" ht="15.75" customHeight="1">
      <c r="A3623" s="517" t="str">
        <f>IF(B3623&lt;&gt;"",IF(AND(B3623&gt;=_TM1,B3623&lt;=_TM2,OR(TH!L3623="1111",TH!M3623="1111")),TH!D3623,""),"")</f>
        <v/>
      </c>
      <c r="B3623" s="531">
        <f t="shared" ref="B3623:B3645" si="404">IF(C3623&lt;&gt;"",MONTH(C3623),"")</f>
        <v>8</v>
      </c>
      <c r="C3623" s="315">
        <f t="shared" ref="C3623:C3645" si="405">E3623</f>
        <v>42969</v>
      </c>
      <c r="D3623" s="544" t="s">
        <v>1181</v>
      </c>
      <c r="E3623" s="315">
        <v>42969</v>
      </c>
      <c r="F3623" s="249" t="s">
        <v>1433</v>
      </c>
      <c r="G3623" s="314" t="s">
        <v>1430</v>
      </c>
      <c r="H3623" s="248" t="s">
        <v>1431</v>
      </c>
      <c r="I3623" s="307">
        <v>500</v>
      </c>
      <c r="J3623" s="307">
        <v>14390</v>
      </c>
      <c r="K3623" s="532">
        <f>ROUND(I3623*J3623,0)</f>
        <v>7195000</v>
      </c>
      <c r="L3623" s="534" t="s">
        <v>223</v>
      </c>
      <c r="M3623" s="534" t="s">
        <v>162</v>
      </c>
      <c r="N3623" s="525" t="str">
        <f>IF(AND('331-CT'!$E$7=TH!H3623,OR(L3623="331",M3623="331")),"331",IF(AND(OR(L3623="131",M3623="131"),H3623='131-CT'!$E$7),"131",""))</f>
        <v/>
      </c>
      <c r="O3623" s="525" t="str">
        <f>IF(AND($B3623&gt;='111'!$N$11,$B3623&lt;='111'!$O$11,OR($L3623=$O$7,$M3623=$O$7)),"x","")</f>
        <v/>
      </c>
      <c r="P3623" s="525" t="str">
        <f>IF(AND($L3623=$O$7,$B3623&lt;'111'!$N$11),"x","")</f>
        <v/>
      </c>
      <c r="Q3623" s="525" t="str">
        <f>IF(AND($M3623=$O$7,$B3623&lt;'111'!$N$11),"x","")</f>
        <v/>
      </c>
      <c r="R3623" s="525" t="str">
        <f>IF(ISERROR(FIND('112'!$M$9,G3623,1)),"",IF((AND(FIND('112'!$M$9,G3623,1)&gt;=1,$B3623&gt;='112'!$N$8,$B3623&lt;='112'!$O$8,OR($L3623='112'!$I$6,$M3623='112'!$I$6))),"x",""))</f>
        <v/>
      </c>
      <c r="S3623" s="525" t="str">
        <f>IF(ISERROR(FIND('112'!$M$9,G3623,1)),"",IF((AND(LEFT(G3623,2)=LEFT('112'!$M$9,2),B3623&lt;'112'!$N$8,$L3623='112'!$I$6)),"x",""))</f>
        <v/>
      </c>
      <c r="T3623" s="525" t="str">
        <f>IF(ISERROR(FIND('112'!$M$9,G3623,1)),"",IF((AND(RIGHT(G3623,2)=RIGHT('112'!$M$9,2),B3623&lt;'112'!$N$8,$M3623='112'!$I$6)),"x",""))</f>
        <v/>
      </c>
      <c r="U3623" s="525" t="str">
        <f>IF(AND(B3623&gt;='IN-NX'!$P$3,B3623&lt;='IN-NX'!$Q$3,'IN-NX'!$D$7=D3623,OR(LEFT(L3623,2)="15",AND(LEFT(M3623,2)&lt;&gt;"15",LEFT(M3623,2)&lt;&gt;"33"))),"x","")</f>
        <v/>
      </c>
      <c r="V3623" s="525" t="str">
        <f>IF(AND(OR(LEFT(TH!L3623,2)="15",LEFT(TH!M3623,2)="15"),'152-CT'!$J$8=TH!F3623),"x","")</f>
        <v/>
      </c>
      <c r="W3623" s="525" t="str">
        <f>IF(AND(OR(LEFT(TH!L3623,2)="15",LEFT(TH!M3623,2)="15"),TK!$E$7=TH!F3623),"x","")</f>
        <v/>
      </c>
      <c r="X3623" s="525" t="str">
        <f>IF(AND('341-CT'!$E$9=H3623,OR(LEFT(L3623,3)=$X$7,LEFT(M3623,3)=$X$7)),"x","")</f>
        <v/>
      </c>
      <c r="Y3623" s="525" t="str">
        <f>IF(OR(TH!L3623=TH!$Y$7,M3623=TH!$Y$7),"x","")</f>
        <v/>
      </c>
      <c r="Z3623" s="525" t="str">
        <f>IF(AND(B3623&lt;=NKC!$N$8,B3623&gt;=NKC!$M$8),"x","")</f>
        <v/>
      </c>
      <c r="AA3623" s="535"/>
      <c r="AC3623" s="536" t="str">
        <f>VLOOKUP(F3623,NXT!$B$12:$B$686,1,0)</f>
        <v>Thùng 70x35x35</v>
      </c>
    </row>
    <row r="3624" spans="1:30" s="503" customFormat="1" ht="15.75" customHeight="1">
      <c r="A3624" s="517" t="str">
        <f>IF(B3624&lt;&gt;"",IF(AND(B3624&gt;=_TM1,B3624&lt;=_TM2,OR(TH!L3624="1111",TH!M3624="1111")),TH!D3624,""),"")</f>
        <v/>
      </c>
      <c r="B3624" s="531">
        <f t="shared" si="404"/>
        <v>8</v>
      </c>
      <c r="C3624" s="315">
        <f t="shared" si="405"/>
        <v>42969</v>
      </c>
      <c r="D3624" s="544" t="s">
        <v>1181</v>
      </c>
      <c r="E3624" s="315">
        <v>42969</v>
      </c>
      <c r="F3624" s="249" t="s">
        <v>494</v>
      </c>
      <c r="G3624" s="314" t="s">
        <v>1430</v>
      </c>
      <c r="H3624" s="248" t="s">
        <v>1431</v>
      </c>
      <c r="I3624" s="307"/>
      <c r="J3624" s="307"/>
      <c r="K3624" s="532">
        <v>1206500</v>
      </c>
      <c r="L3624" s="534" t="s">
        <v>223</v>
      </c>
      <c r="M3624" s="534" t="s">
        <v>259</v>
      </c>
      <c r="N3624" s="525" t="str">
        <f>IF(AND('331-CT'!$E$7=TH!H3624,OR(L3624="331",M3624="331")),"331",IF(AND(OR(L3624="131",M3624="131"),H3624='131-CT'!$E$7),"131",""))</f>
        <v/>
      </c>
      <c r="O3624" s="525" t="str">
        <f>IF(AND($B3624&gt;='111'!$N$11,$B3624&lt;='111'!$O$11,OR($L3624=$O$7,$M3624=$O$7)),"x","")</f>
        <v/>
      </c>
      <c r="P3624" s="525" t="str">
        <f>IF(AND($L3624=$O$7,$B3624&lt;'111'!$N$11),"x","")</f>
        <v/>
      </c>
      <c r="Q3624" s="525" t="str">
        <f>IF(AND($M3624=$O$7,$B3624&lt;'111'!$N$11),"x","")</f>
        <v/>
      </c>
      <c r="R3624" s="525" t="str">
        <f>IF(ISERROR(FIND('112'!$M$9,G3624,1)),"",IF((AND(FIND('112'!$M$9,G3624,1)&gt;=1,$B3624&gt;='112'!$N$8,$B3624&lt;='112'!$O$8,OR($L3624='112'!$I$6,$M3624='112'!$I$6))),"x",""))</f>
        <v/>
      </c>
      <c r="S3624" s="525" t="str">
        <f>IF(ISERROR(FIND('112'!$M$9,G3624,1)),"",IF((AND(LEFT(G3624,2)=LEFT('112'!$M$9,2),B3624&lt;'112'!$N$8,$L3624='112'!$I$6)),"x",""))</f>
        <v/>
      </c>
      <c r="T3624" s="525" t="str">
        <f>IF(ISERROR(FIND('112'!$M$9,G3624,1)),"",IF((AND(RIGHT(G3624,2)=RIGHT('112'!$M$9,2),B3624&lt;'112'!$N$8,$M3624='112'!$I$6)),"x",""))</f>
        <v/>
      </c>
      <c r="U3624" s="525" t="str">
        <f>IF(AND(B3624&gt;='IN-NX'!$P$3,B3624&lt;='IN-NX'!$Q$3,'IN-NX'!$D$7=D3624,OR(LEFT(L3624,2)="15",AND(LEFT(M3624,2)&lt;&gt;"15",LEFT(M3624,2)&lt;&gt;"33"))),"x","")</f>
        <v/>
      </c>
      <c r="V3624" s="525" t="str">
        <f>IF(AND(OR(LEFT(TH!L3624,2)="15",LEFT(TH!M3624,2)="15"),'152-CT'!$J$8=TH!F3624),"x","")</f>
        <v/>
      </c>
      <c r="W3624" s="525" t="str">
        <f>IF(AND(OR(LEFT(TH!L3624,2)="15",LEFT(TH!M3624,2)="15"),TK!$E$7=TH!F3624),"x","")</f>
        <v/>
      </c>
      <c r="X3624" s="525" t="str">
        <f>IF(AND('341-CT'!$E$9=H3624,OR(LEFT(L3624,3)=$X$7,LEFT(M3624,3)=$X$7)),"x","")</f>
        <v/>
      </c>
      <c r="Y3624" s="525" t="str">
        <f>IF(OR(TH!L3624=TH!$Y$7,M3624=TH!$Y$7),"x","")</f>
        <v/>
      </c>
      <c r="Z3624" s="525" t="str">
        <f>IF(AND(B3624&lt;=NKC!$N$8,B3624&gt;=NKC!$M$8),"x","")</f>
        <v/>
      </c>
      <c r="AA3624" s="535"/>
    </row>
    <row r="3625" spans="1:30" s="503" customFormat="1" ht="15.75" customHeight="1">
      <c r="A3625" s="517" t="str">
        <f>IF(B3625&lt;&gt;"",IF(AND(B3625&gt;=_TM1,B3625&lt;=_TM2,OR(TH!L3625="1111",TH!M3625="1111")),TH!D3625,""),"")</f>
        <v/>
      </c>
      <c r="B3625" s="531">
        <f t="shared" si="404"/>
        <v>8</v>
      </c>
      <c r="C3625" s="315">
        <f t="shared" si="405"/>
        <v>42970</v>
      </c>
      <c r="D3625" s="544" t="s">
        <v>1181</v>
      </c>
      <c r="E3625" s="315">
        <v>42970</v>
      </c>
      <c r="F3625" s="250" t="s">
        <v>1308</v>
      </c>
      <c r="G3625" s="314" t="s">
        <v>1434</v>
      </c>
      <c r="H3625" s="473" t="s">
        <v>1309</v>
      </c>
      <c r="I3625" s="307">
        <v>1220</v>
      </c>
      <c r="J3625" s="307">
        <v>10087</v>
      </c>
      <c r="K3625" s="532">
        <f t="shared" ref="K3625:K3630" si="406">ROUND(I3625*J3625,0)</f>
        <v>12306140</v>
      </c>
      <c r="L3625" s="534" t="s">
        <v>223</v>
      </c>
      <c r="M3625" s="534" t="s">
        <v>162</v>
      </c>
      <c r="N3625" s="525" t="str">
        <f>IF(AND('331-CT'!$E$7=TH!H3625,OR(L3625="331",M3625="331")),"331",IF(AND(OR(L3625="131",M3625="131"),H3625='131-CT'!$E$7),"131",""))</f>
        <v/>
      </c>
      <c r="O3625" s="525" t="str">
        <f>IF(AND($B3625&gt;='111'!$N$11,$B3625&lt;='111'!$O$11,OR($L3625=$O$7,$M3625=$O$7)),"x","")</f>
        <v/>
      </c>
      <c r="P3625" s="525" t="str">
        <f>IF(AND($L3625=$O$7,$B3625&lt;'111'!$N$11),"x","")</f>
        <v/>
      </c>
      <c r="Q3625" s="525" t="str">
        <f>IF(AND($M3625=$O$7,$B3625&lt;'111'!$N$11),"x","")</f>
        <v/>
      </c>
      <c r="R3625" s="525" t="str">
        <f>IF(ISERROR(FIND('112'!$M$9,G3625,1)),"",IF((AND(FIND('112'!$M$9,G3625,1)&gt;=1,$B3625&gt;='112'!$N$8,$B3625&lt;='112'!$O$8,OR($L3625='112'!$I$6,$M3625='112'!$I$6))),"x",""))</f>
        <v/>
      </c>
      <c r="S3625" s="525" t="str">
        <f>IF(ISERROR(FIND('112'!$M$9,G3625,1)),"",IF((AND(LEFT(G3625,2)=LEFT('112'!$M$9,2),B3625&lt;'112'!$N$8,$L3625='112'!$I$6)),"x",""))</f>
        <v/>
      </c>
      <c r="T3625" s="525" t="str">
        <f>IF(ISERROR(FIND('112'!$M$9,G3625,1)),"",IF((AND(RIGHT(G3625,2)=RIGHT('112'!$M$9,2),B3625&lt;'112'!$N$8,$M3625='112'!$I$6)),"x",""))</f>
        <v/>
      </c>
      <c r="U3625" s="525" t="str">
        <f>IF(AND(B3625&gt;='IN-NX'!$P$3,B3625&lt;='IN-NX'!$Q$3,'IN-NX'!$D$7=D3625,OR(LEFT(L3625,2)="15",AND(LEFT(M3625,2)&lt;&gt;"15",LEFT(M3625,2)&lt;&gt;"33"))),"x","")</f>
        <v/>
      </c>
      <c r="V3625" s="525" t="str">
        <f>IF(AND(OR(LEFT(TH!L3625,2)="15",LEFT(TH!M3625,2)="15"),'152-CT'!$J$8=TH!F3625),"x","")</f>
        <v/>
      </c>
      <c r="W3625" s="525" t="str">
        <f>IF(AND(OR(LEFT(TH!L3625,2)="15",LEFT(TH!M3625,2)="15"),TK!$E$7=TH!F3625),"x","")</f>
        <v/>
      </c>
      <c r="X3625" s="525" t="str">
        <f>IF(AND('341-CT'!$E$9=H3625,OR(LEFT(L3625,3)=$X$7,LEFT(M3625,3)=$X$7)),"x","")</f>
        <v/>
      </c>
      <c r="Y3625" s="525" t="str">
        <f>IF(OR(TH!L3625=TH!$Y$7,M3625=TH!$Y$7),"x","")</f>
        <v/>
      </c>
      <c r="Z3625" s="525" t="str">
        <f>IF(AND(B3625&lt;=NKC!$N$8,B3625&gt;=NKC!$M$8),"x","")</f>
        <v/>
      </c>
      <c r="AA3625" s="535"/>
      <c r="AB3625" s="536"/>
      <c r="AC3625" s="536" t="str">
        <f>VLOOKUP(F3625,NXT!$B$12:$B$686,1,0)</f>
        <v>Thùng 183x15.9x10</v>
      </c>
      <c r="AD3625" s="536"/>
    </row>
    <row r="3626" spans="1:30" s="503" customFormat="1" ht="15.75" customHeight="1">
      <c r="A3626" s="517" t="str">
        <f>IF(B3626&lt;&gt;"",IF(AND(B3626&gt;=_TM1,B3626&lt;=_TM2,OR(TH!L3626="1111",TH!M3626="1111")),TH!D3626,""),"")</f>
        <v/>
      </c>
      <c r="B3626" s="531">
        <f t="shared" si="404"/>
        <v>8</v>
      </c>
      <c r="C3626" s="315">
        <f t="shared" si="405"/>
        <v>42970</v>
      </c>
      <c r="D3626" s="544" t="s">
        <v>1181</v>
      </c>
      <c r="E3626" s="315">
        <v>42970</v>
      </c>
      <c r="F3626" s="250" t="s">
        <v>1435</v>
      </c>
      <c r="G3626" s="314" t="s">
        <v>1434</v>
      </c>
      <c r="H3626" s="473" t="s">
        <v>1309</v>
      </c>
      <c r="I3626" s="307">
        <v>348</v>
      </c>
      <c r="J3626" s="307">
        <v>8321</v>
      </c>
      <c r="K3626" s="532">
        <f t="shared" si="406"/>
        <v>2895708</v>
      </c>
      <c r="L3626" s="534" t="s">
        <v>223</v>
      </c>
      <c r="M3626" s="534" t="s">
        <v>162</v>
      </c>
      <c r="N3626" s="525" t="str">
        <f>IF(AND('331-CT'!$E$7=TH!H3626,OR(L3626="331",M3626="331")),"331",IF(AND(OR(L3626="131",M3626="131"),H3626='131-CT'!$E$7),"131",""))</f>
        <v/>
      </c>
      <c r="O3626" s="525" t="str">
        <f>IF(AND($B3626&gt;='111'!$N$11,$B3626&lt;='111'!$O$11,OR($L3626=$O$7,$M3626=$O$7)),"x","")</f>
        <v/>
      </c>
      <c r="P3626" s="525" t="str">
        <f>IF(AND($L3626=$O$7,$B3626&lt;'111'!$N$11),"x","")</f>
        <v/>
      </c>
      <c r="Q3626" s="525" t="str">
        <f>IF(AND($M3626=$O$7,$B3626&lt;'111'!$N$11),"x","")</f>
        <v/>
      </c>
      <c r="R3626" s="525" t="str">
        <f>IF(ISERROR(FIND('112'!$M$9,G3626,1)),"",IF((AND(FIND('112'!$M$9,G3626,1)&gt;=1,$B3626&gt;='112'!$N$8,$B3626&lt;='112'!$O$8,OR($L3626='112'!$I$6,$M3626='112'!$I$6))),"x",""))</f>
        <v/>
      </c>
      <c r="S3626" s="525" t="str">
        <f>IF(ISERROR(FIND('112'!$M$9,G3626,1)),"",IF((AND(LEFT(G3626,2)=LEFT('112'!$M$9,2),B3626&lt;'112'!$N$8,$L3626='112'!$I$6)),"x",""))</f>
        <v/>
      </c>
      <c r="T3626" s="525" t="str">
        <f>IF(ISERROR(FIND('112'!$M$9,G3626,1)),"",IF((AND(RIGHT(G3626,2)=RIGHT('112'!$M$9,2),B3626&lt;'112'!$N$8,$M3626='112'!$I$6)),"x",""))</f>
        <v/>
      </c>
      <c r="U3626" s="525" t="str">
        <f>IF(AND(B3626&gt;='IN-NX'!$P$3,B3626&lt;='IN-NX'!$Q$3,'IN-NX'!$D$7=D3626,OR(LEFT(L3626,2)="15",AND(LEFT(M3626,2)&lt;&gt;"15",LEFT(M3626,2)&lt;&gt;"33"))),"x","")</f>
        <v/>
      </c>
      <c r="V3626" s="525" t="str">
        <f>IF(AND(OR(LEFT(TH!L3626,2)="15",LEFT(TH!M3626,2)="15"),'152-CT'!$J$8=TH!F3626),"x","")</f>
        <v/>
      </c>
      <c r="W3626" s="525" t="str">
        <f>IF(AND(OR(LEFT(TH!L3626,2)="15",LEFT(TH!M3626,2)="15"),TK!$E$7=TH!F3626),"x","")</f>
        <v/>
      </c>
      <c r="X3626" s="525" t="str">
        <f>IF(AND('341-CT'!$E$9=H3626,OR(LEFT(L3626,3)=$X$7,LEFT(M3626,3)=$X$7)),"x","")</f>
        <v/>
      </c>
      <c r="Y3626" s="525" t="str">
        <f>IF(OR(TH!L3626=TH!$Y$7,M3626=TH!$Y$7),"x","")</f>
        <v/>
      </c>
      <c r="Z3626" s="525" t="str">
        <f>IF(AND(B3626&lt;=NKC!$N$8,B3626&gt;=NKC!$M$8),"x","")</f>
        <v/>
      </c>
      <c r="AA3626" s="535"/>
      <c r="AB3626" s="536"/>
      <c r="AC3626" s="536" t="str">
        <f>VLOOKUP(F3626,NXT!$B$12:$B$686,1,0)</f>
        <v>Thùng 42.5x31.5x20.5</v>
      </c>
      <c r="AD3626" s="536"/>
    </row>
    <row r="3627" spans="1:30" s="503" customFormat="1" ht="15.75" customHeight="1">
      <c r="A3627" s="517" t="str">
        <f>IF(B3627&lt;&gt;"",IF(AND(B3627&gt;=_TM1,B3627&lt;=_TM2,OR(TH!L3627="1111",TH!M3627="1111")),TH!D3627,""),"")</f>
        <v/>
      </c>
      <c r="B3627" s="531">
        <f t="shared" si="404"/>
        <v>8</v>
      </c>
      <c r="C3627" s="315">
        <f t="shared" si="405"/>
        <v>42970</v>
      </c>
      <c r="D3627" s="544" t="s">
        <v>1181</v>
      </c>
      <c r="E3627" s="315">
        <v>42970</v>
      </c>
      <c r="F3627" s="250" t="s">
        <v>1436</v>
      </c>
      <c r="G3627" s="314" t="s">
        <v>1434</v>
      </c>
      <c r="H3627" s="473" t="s">
        <v>1309</v>
      </c>
      <c r="I3627" s="307">
        <v>620</v>
      </c>
      <c r="J3627" s="307">
        <v>13206</v>
      </c>
      <c r="K3627" s="532">
        <f t="shared" si="406"/>
        <v>8187720</v>
      </c>
      <c r="L3627" s="534" t="s">
        <v>223</v>
      </c>
      <c r="M3627" s="534" t="s">
        <v>162</v>
      </c>
      <c r="N3627" s="525" t="str">
        <f>IF(AND('331-CT'!$E$7=TH!H3627,OR(L3627="331",M3627="331")),"331",IF(AND(OR(L3627="131",M3627="131"),H3627='131-CT'!$E$7),"131",""))</f>
        <v/>
      </c>
      <c r="O3627" s="525" t="str">
        <f>IF(AND($B3627&gt;='111'!$N$11,$B3627&lt;='111'!$O$11,OR($L3627=$O$7,$M3627=$O$7)),"x","")</f>
        <v/>
      </c>
      <c r="P3627" s="525" t="str">
        <f>IF(AND($L3627=$O$7,$B3627&lt;'111'!$N$11),"x","")</f>
        <v/>
      </c>
      <c r="Q3627" s="525" t="str">
        <f>IF(AND($M3627=$O$7,$B3627&lt;'111'!$N$11),"x","")</f>
        <v/>
      </c>
      <c r="R3627" s="525" t="str">
        <f>IF(ISERROR(FIND('112'!$M$9,G3627,1)),"",IF((AND(FIND('112'!$M$9,G3627,1)&gt;=1,$B3627&gt;='112'!$N$8,$B3627&lt;='112'!$O$8,OR($L3627='112'!$I$6,$M3627='112'!$I$6))),"x",""))</f>
        <v/>
      </c>
      <c r="S3627" s="525" t="str">
        <f>IF(ISERROR(FIND('112'!$M$9,G3627,1)),"",IF((AND(LEFT(G3627,2)=LEFT('112'!$M$9,2),B3627&lt;'112'!$N$8,$L3627='112'!$I$6)),"x",""))</f>
        <v/>
      </c>
      <c r="T3627" s="525" t="str">
        <f>IF(ISERROR(FIND('112'!$M$9,G3627,1)),"",IF((AND(RIGHT(G3627,2)=RIGHT('112'!$M$9,2),B3627&lt;'112'!$N$8,$M3627='112'!$I$6)),"x",""))</f>
        <v/>
      </c>
      <c r="U3627" s="525" t="str">
        <f>IF(AND(B3627&gt;='IN-NX'!$P$3,B3627&lt;='IN-NX'!$Q$3,'IN-NX'!$D$7=D3627,OR(LEFT(L3627,2)="15",AND(LEFT(M3627,2)&lt;&gt;"15",LEFT(M3627,2)&lt;&gt;"33"))),"x","")</f>
        <v/>
      </c>
      <c r="V3627" s="525" t="str">
        <f>IF(AND(OR(LEFT(TH!L3627,2)="15",LEFT(TH!M3627,2)="15"),'152-CT'!$J$8=TH!F3627),"x","")</f>
        <v/>
      </c>
      <c r="W3627" s="525" t="str">
        <f>IF(AND(OR(LEFT(TH!L3627,2)="15",LEFT(TH!M3627,2)="15"),TK!$E$7=TH!F3627),"x","")</f>
        <v/>
      </c>
      <c r="X3627" s="525" t="str">
        <f>IF(AND('341-CT'!$E$9=H3627,OR(LEFT(L3627,3)=$X$7,LEFT(M3627,3)=$X$7)),"x","")</f>
        <v/>
      </c>
      <c r="Y3627" s="525" t="str">
        <f>IF(OR(TH!L3627=TH!$Y$7,M3627=TH!$Y$7),"x","")</f>
        <v/>
      </c>
      <c r="Z3627" s="525" t="str">
        <f>IF(AND(B3627&lt;=NKC!$N$8,B3627&gt;=NKC!$M$8),"x","")</f>
        <v/>
      </c>
      <c r="AA3627" s="535"/>
      <c r="AB3627" s="536"/>
      <c r="AC3627" s="536" t="str">
        <f>VLOOKUP(F3627,NXT!$B$12:$B$686,1,0)</f>
        <v>Thùng 18.3x19.7x9.7</v>
      </c>
    </row>
    <row r="3628" spans="1:30" s="503" customFormat="1" ht="15.75" customHeight="1">
      <c r="A3628" s="517" t="str">
        <f>IF(B3628&lt;&gt;"",IF(AND(B3628&gt;=_TM1,B3628&lt;=_TM2,OR(TH!L3628="1111",TH!M3628="1111")),TH!D3628,""),"")</f>
        <v/>
      </c>
      <c r="B3628" s="531">
        <f t="shared" si="404"/>
        <v>8</v>
      </c>
      <c r="C3628" s="315">
        <f t="shared" si="405"/>
        <v>42970</v>
      </c>
      <c r="D3628" s="544" t="s">
        <v>1181</v>
      </c>
      <c r="E3628" s="315">
        <v>42970</v>
      </c>
      <c r="F3628" s="250" t="s">
        <v>1437</v>
      </c>
      <c r="G3628" s="314" t="s">
        <v>1434</v>
      </c>
      <c r="H3628" s="473" t="s">
        <v>1309</v>
      </c>
      <c r="I3628" s="307">
        <v>275</v>
      </c>
      <c r="J3628" s="307">
        <v>10906</v>
      </c>
      <c r="K3628" s="532">
        <f t="shared" si="406"/>
        <v>2999150</v>
      </c>
      <c r="L3628" s="534" t="s">
        <v>223</v>
      </c>
      <c r="M3628" s="534" t="s">
        <v>162</v>
      </c>
      <c r="N3628" s="525" t="str">
        <f>IF(AND('331-CT'!$E$7=TH!H3628,OR(L3628="331",M3628="331")),"331",IF(AND(OR(L3628="131",M3628="131"),H3628='131-CT'!$E$7),"131",""))</f>
        <v/>
      </c>
      <c r="O3628" s="525" t="str">
        <f>IF(AND($B3628&gt;='111'!$N$11,$B3628&lt;='111'!$O$11,OR($L3628=$O$7,$M3628=$O$7)),"x","")</f>
        <v/>
      </c>
      <c r="P3628" s="525" t="str">
        <f>IF(AND($L3628=$O$7,$B3628&lt;'111'!$N$11),"x","")</f>
        <v/>
      </c>
      <c r="Q3628" s="525" t="str">
        <f>IF(AND($M3628=$O$7,$B3628&lt;'111'!$N$11),"x","")</f>
        <v/>
      </c>
      <c r="R3628" s="525" t="str">
        <f>IF(ISERROR(FIND('112'!$M$9,G3628,1)),"",IF((AND(FIND('112'!$M$9,G3628,1)&gt;=1,$B3628&gt;='112'!$N$8,$B3628&lt;='112'!$O$8,OR($L3628='112'!$I$6,$M3628='112'!$I$6))),"x",""))</f>
        <v/>
      </c>
      <c r="S3628" s="525" t="str">
        <f>IF(ISERROR(FIND('112'!$M$9,G3628,1)),"",IF((AND(LEFT(G3628,2)=LEFT('112'!$M$9,2),B3628&lt;'112'!$N$8,$L3628='112'!$I$6)),"x",""))</f>
        <v/>
      </c>
      <c r="T3628" s="525" t="str">
        <f>IF(ISERROR(FIND('112'!$M$9,G3628,1)),"",IF((AND(RIGHT(G3628,2)=RIGHT('112'!$M$9,2),B3628&lt;'112'!$N$8,$M3628='112'!$I$6)),"x",""))</f>
        <v/>
      </c>
      <c r="U3628" s="525" t="str">
        <f>IF(AND(B3628&gt;='IN-NX'!$P$3,B3628&lt;='IN-NX'!$Q$3,'IN-NX'!$D$7=D3628,OR(LEFT(L3628,2)="15",AND(LEFT(M3628,2)&lt;&gt;"15",LEFT(M3628,2)&lt;&gt;"33"))),"x","")</f>
        <v/>
      </c>
      <c r="V3628" s="525" t="str">
        <f>IF(AND(OR(LEFT(TH!L3628,2)="15",LEFT(TH!M3628,2)="15"),'152-CT'!$J$8=TH!F3628),"x","")</f>
        <v/>
      </c>
      <c r="W3628" s="525" t="str">
        <f>IF(AND(OR(LEFT(TH!L3628,2)="15",LEFT(TH!M3628,2)="15"),TK!$E$7=TH!F3628),"x","")</f>
        <v/>
      </c>
      <c r="X3628" s="525" t="str">
        <f>IF(AND('341-CT'!$E$9=H3628,OR(LEFT(L3628,3)=$X$7,LEFT(M3628,3)=$X$7)),"x","")</f>
        <v/>
      </c>
      <c r="Y3628" s="525" t="str">
        <f>IF(OR(TH!L3628=TH!$Y$7,M3628=TH!$Y$7),"x","")</f>
        <v/>
      </c>
      <c r="Z3628" s="525" t="str">
        <f>IF(AND(B3628&lt;=NKC!$N$8,B3628&gt;=NKC!$M$8),"x","")</f>
        <v/>
      </c>
      <c r="AA3628" s="535"/>
      <c r="AB3628" s="536"/>
      <c r="AC3628" s="536" t="str">
        <f>VLOOKUP(F3628,NXT!$B$12:$B$686,1,0)</f>
        <v>Thùng 72.5x25.5x19</v>
      </c>
      <c r="AD3628" s="536"/>
    </row>
    <row r="3629" spans="1:30" s="503" customFormat="1" ht="15.75" customHeight="1">
      <c r="A3629" s="517" t="str">
        <f>IF(B3629&lt;&gt;"",IF(AND(B3629&gt;=_TM1,B3629&lt;=_TM2,OR(TH!L3629="1111",TH!M3629="1111")),TH!D3629,""),"")</f>
        <v/>
      </c>
      <c r="B3629" s="531">
        <f t="shared" si="404"/>
        <v>8</v>
      </c>
      <c r="C3629" s="315">
        <f t="shared" si="405"/>
        <v>42970</v>
      </c>
      <c r="D3629" s="544" t="s">
        <v>1181</v>
      </c>
      <c r="E3629" s="315">
        <v>42970</v>
      </c>
      <c r="F3629" s="250" t="s">
        <v>1438</v>
      </c>
      <c r="G3629" s="314" t="s">
        <v>1434</v>
      </c>
      <c r="H3629" s="473" t="s">
        <v>1309</v>
      </c>
      <c r="I3629" s="307">
        <v>275</v>
      </c>
      <c r="J3629" s="307">
        <v>9582</v>
      </c>
      <c r="K3629" s="532">
        <f t="shared" si="406"/>
        <v>2635050</v>
      </c>
      <c r="L3629" s="534" t="s">
        <v>223</v>
      </c>
      <c r="M3629" s="534" t="s">
        <v>162</v>
      </c>
      <c r="N3629" s="525" t="str">
        <f>IF(AND('331-CT'!$E$7=TH!H3629,OR(L3629="331",M3629="331")),"331",IF(AND(OR(L3629="131",M3629="131"),H3629='131-CT'!$E$7),"131",""))</f>
        <v/>
      </c>
      <c r="O3629" s="525" t="str">
        <f>IF(AND($B3629&gt;='111'!$N$11,$B3629&lt;='111'!$O$11,OR($L3629=$O$7,$M3629=$O$7)),"x","")</f>
        <v/>
      </c>
      <c r="P3629" s="525" t="str">
        <f>IF(AND($L3629=$O$7,$B3629&lt;'111'!$N$11),"x","")</f>
        <v/>
      </c>
      <c r="Q3629" s="525" t="str">
        <f>IF(AND($M3629=$O$7,$B3629&lt;'111'!$N$11),"x","")</f>
        <v/>
      </c>
      <c r="R3629" s="525" t="str">
        <f>IF(ISERROR(FIND('112'!$M$9,G3629,1)),"",IF((AND(FIND('112'!$M$9,G3629,1)&gt;=1,$B3629&gt;='112'!$N$8,$B3629&lt;='112'!$O$8,OR($L3629='112'!$I$6,$M3629='112'!$I$6))),"x",""))</f>
        <v/>
      </c>
      <c r="S3629" s="525" t="str">
        <f>IF(ISERROR(FIND('112'!$M$9,G3629,1)),"",IF((AND(LEFT(G3629,2)=LEFT('112'!$M$9,2),B3629&lt;'112'!$N$8,$L3629='112'!$I$6)),"x",""))</f>
        <v/>
      </c>
      <c r="T3629" s="525" t="str">
        <f>IF(ISERROR(FIND('112'!$M$9,G3629,1)),"",IF((AND(RIGHT(G3629,2)=RIGHT('112'!$M$9,2),B3629&lt;'112'!$N$8,$M3629='112'!$I$6)),"x",""))</f>
        <v/>
      </c>
      <c r="U3629" s="525" t="str">
        <f>IF(AND(B3629&gt;='IN-NX'!$P$3,B3629&lt;='IN-NX'!$Q$3,'IN-NX'!$D$7=D3629,OR(LEFT(L3629,2)="15",AND(LEFT(M3629,2)&lt;&gt;"15",LEFT(M3629,2)&lt;&gt;"33"))),"x","")</f>
        <v/>
      </c>
      <c r="V3629" s="525" t="str">
        <f>IF(AND(OR(LEFT(TH!L3629,2)="15",LEFT(TH!M3629,2)="15"),'152-CT'!$J$8=TH!F3629),"x","")</f>
        <v/>
      </c>
      <c r="W3629" s="525" t="str">
        <f>IF(AND(OR(LEFT(TH!L3629,2)="15",LEFT(TH!M3629,2)="15"),TK!$E$7=TH!F3629),"x","")</f>
        <v/>
      </c>
      <c r="X3629" s="525" t="str">
        <f>IF(AND('341-CT'!$E$9=H3629,OR(LEFT(L3629,3)=$X$7,LEFT(M3629,3)=$X$7)),"x","")</f>
        <v/>
      </c>
      <c r="Y3629" s="525" t="str">
        <f>IF(OR(TH!L3629=TH!$Y$7,M3629=TH!$Y$7),"x","")</f>
        <v/>
      </c>
      <c r="Z3629" s="525" t="str">
        <f>IF(AND(B3629&lt;=NKC!$N$8,B3629&gt;=NKC!$M$8),"x","")</f>
        <v/>
      </c>
      <c r="AA3629" s="535"/>
      <c r="AB3629" s="536"/>
      <c r="AC3629" s="536" t="str">
        <f>VLOOKUP(F3629,NXT!$B$12:$B$686,1,0)</f>
        <v>Thùng 72.5x25.5x15.9</v>
      </c>
      <c r="AD3629" s="536"/>
    </row>
    <row r="3630" spans="1:30" s="503" customFormat="1" ht="15.75" customHeight="1">
      <c r="A3630" s="517" t="str">
        <f>IF(B3630&lt;&gt;"",IF(AND(B3630&gt;=_TM1,B3630&lt;=_TM2,OR(TH!L3630="1111",TH!M3630="1111")),TH!D3630,""),"")</f>
        <v/>
      </c>
      <c r="B3630" s="531">
        <f t="shared" si="404"/>
        <v>8</v>
      </c>
      <c r="C3630" s="315">
        <f t="shared" si="405"/>
        <v>42970</v>
      </c>
      <c r="D3630" s="544" t="s">
        <v>1181</v>
      </c>
      <c r="E3630" s="315">
        <v>42970</v>
      </c>
      <c r="F3630" s="673" t="s">
        <v>768</v>
      </c>
      <c r="G3630" s="314" t="s">
        <v>1434</v>
      </c>
      <c r="H3630" s="473" t="s">
        <v>1309</v>
      </c>
      <c r="I3630" s="307">
        <v>1850</v>
      </c>
      <c r="J3630" s="307">
        <v>400</v>
      </c>
      <c r="K3630" s="532">
        <f t="shared" si="406"/>
        <v>740000</v>
      </c>
      <c r="L3630" s="534" t="s">
        <v>223</v>
      </c>
      <c r="M3630" s="534" t="s">
        <v>162</v>
      </c>
      <c r="N3630" s="525" t="str">
        <f>IF(AND('331-CT'!$E$7=TH!H3630,OR(L3630="331",M3630="331")),"331",IF(AND(OR(L3630="131",M3630="131"),H3630='131-CT'!$E$7),"131",""))</f>
        <v/>
      </c>
      <c r="O3630" s="525" t="str">
        <f>IF(AND($B3630&gt;='111'!$N$11,$B3630&lt;='111'!$O$11,OR($L3630=$O$7,$M3630=$O$7)),"x","")</f>
        <v/>
      </c>
      <c r="P3630" s="525" t="str">
        <f>IF(AND($L3630=$O$7,$B3630&lt;'111'!$N$11),"x","")</f>
        <v/>
      </c>
      <c r="Q3630" s="525" t="str">
        <f>IF(AND($M3630=$O$7,$B3630&lt;'111'!$N$11),"x","")</f>
        <v/>
      </c>
      <c r="R3630" s="525" t="str">
        <f>IF(ISERROR(FIND('112'!$M$9,G3630,1)),"",IF((AND(FIND('112'!$M$9,G3630,1)&gt;=1,$B3630&gt;='112'!$N$8,$B3630&lt;='112'!$O$8,OR($L3630='112'!$I$6,$M3630='112'!$I$6))),"x",""))</f>
        <v/>
      </c>
      <c r="S3630" s="525" t="str">
        <f>IF(ISERROR(FIND('112'!$M$9,G3630,1)),"",IF((AND(LEFT(G3630,2)=LEFT('112'!$M$9,2),B3630&lt;'112'!$N$8,$L3630='112'!$I$6)),"x",""))</f>
        <v/>
      </c>
      <c r="T3630" s="525" t="str">
        <f>IF(ISERROR(FIND('112'!$M$9,G3630,1)),"",IF((AND(RIGHT(G3630,2)=RIGHT('112'!$M$9,2),B3630&lt;'112'!$N$8,$M3630='112'!$I$6)),"x",""))</f>
        <v/>
      </c>
      <c r="U3630" s="525" t="str">
        <f>IF(AND(B3630&gt;='IN-NX'!$P$3,B3630&lt;='IN-NX'!$Q$3,'IN-NX'!$D$7=D3630,OR(LEFT(L3630,2)="15",AND(LEFT(M3630,2)&lt;&gt;"15",LEFT(M3630,2)&lt;&gt;"33"))),"x","")</f>
        <v/>
      </c>
      <c r="V3630" s="525" t="str">
        <f>IF(AND(OR(LEFT(TH!L3630,2)="15",LEFT(TH!M3630,2)="15"),'152-CT'!$J$8=TH!F3630),"x","")</f>
        <v/>
      </c>
      <c r="W3630" s="525" t="str">
        <f>IF(AND(OR(LEFT(TH!L3630,2)="15",LEFT(TH!M3630,2)="15"),TK!$E$7=TH!F3630),"x","")</f>
        <v/>
      </c>
      <c r="X3630" s="525" t="str">
        <f>IF(AND('341-CT'!$E$9=H3630,OR(LEFT(L3630,3)=$X$7,LEFT(M3630,3)=$X$7)),"x","")</f>
        <v/>
      </c>
      <c r="Y3630" s="525" t="str">
        <f>IF(OR(TH!L3630=TH!$Y$7,M3630=TH!$Y$7),"x","")</f>
        <v/>
      </c>
      <c r="Z3630" s="525" t="str">
        <f>IF(AND(B3630&lt;=NKC!$N$8,B3630&gt;=NKC!$M$8),"x","")</f>
        <v/>
      </c>
      <c r="AA3630" s="535"/>
      <c r="AB3630" s="536"/>
      <c r="AC3630" s="536" t="str">
        <f>VLOOKUP(F3630,NXT!$B$12:$B$686,1,0)</f>
        <v>In decal</v>
      </c>
    </row>
    <row r="3631" spans="1:30" s="503" customFormat="1" ht="15.75" customHeight="1">
      <c r="A3631" s="517" t="str">
        <f>IF(B3631&lt;&gt;"",IF(AND(B3631&gt;=_TM1,B3631&lt;=_TM2,OR(TH!L3631="1111",TH!M3631="1111")),TH!D3631,""),"")</f>
        <v/>
      </c>
      <c r="B3631" s="531">
        <f t="shared" si="404"/>
        <v>8</v>
      </c>
      <c r="C3631" s="315">
        <f t="shared" si="405"/>
        <v>42970</v>
      </c>
      <c r="D3631" s="544" t="s">
        <v>1181</v>
      </c>
      <c r="E3631" s="315">
        <v>42970</v>
      </c>
      <c r="F3631" s="249" t="s">
        <v>494</v>
      </c>
      <c r="G3631" s="314" t="s">
        <v>1434</v>
      </c>
      <c r="H3631" s="473" t="s">
        <v>1309</v>
      </c>
      <c r="I3631" s="307"/>
      <c r="J3631" s="307"/>
      <c r="K3631" s="532">
        <v>2976377</v>
      </c>
      <c r="L3631" s="534" t="s">
        <v>223</v>
      </c>
      <c r="M3631" s="534" t="s">
        <v>259</v>
      </c>
      <c r="N3631" s="525" t="str">
        <f>IF(AND('331-CT'!$E$7=TH!H3631,OR(L3631="331",M3631="331")),"331",IF(AND(OR(L3631="131",M3631="131"),H3631='131-CT'!$E$7),"131",""))</f>
        <v/>
      </c>
      <c r="O3631" s="525" t="str">
        <f>IF(AND($B3631&gt;='111'!$N$11,$B3631&lt;='111'!$O$11,OR($L3631=$O$7,$M3631=$O$7)),"x","")</f>
        <v/>
      </c>
      <c r="P3631" s="525" t="str">
        <f>IF(AND($L3631=$O$7,$B3631&lt;'111'!$N$11),"x","")</f>
        <v/>
      </c>
      <c r="Q3631" s="525" t="str">
        <f>IF(AND($M3631=$O$7,$B3631&lt;'111'!$N$11),"x","")</f>
        <v/>
      </c>
      <c r="R3631" s="525" t="str">
        <f>IF(ISERROR(FIND('112'!$M$9,G3631,1)),"",IF((AND(FIND('112'!$M$9,G3631,1)&gt;=1,$B3631&gt;='112'!$N$8,$B3631&lt;='112'!$O$8,OR($L3631='112'!$I$6,$M3631='112'!$I$6))),"x",""))</f>
        <v/>
      </c>
      <c r="S3631" s="525" t="str">
        <f>IF(ISERROR(FIND('112'!$M$9,G3631,1)),"",IF((AND(LEFT(G3631,2)=LEFT('112'!$M$9,2),B3631&lt;'112'!$N$8,$L3631='112'!$I$6)),"x",""))</f>
        <v/>
      </c>
      <c r="T3631" s="525" t="str">
        <f>IF(ISERROR(FIND('112'!$M$9,G3631,1)),"",IF((AND(RIGHT(G3631,2)=RIGHT('112'!$M$9,2),B3631&lt;'112'!$N$8,$M3631='112'!$I$6)),"x",""))</f>
        <v/>
      </c>
      <c r="U3631" s="525" t="str">
        <f>IF(AND(B3631&gt;='IN-NX'!$P$3,B3631&lt;='IN-NX'!$Q$3,'IN-NX'!$D$7=D3631,OR(LEFT(L3631,2)="15",AND(LEFT(M3631,2)&lt;&gt;"15",LEFT(M3631,2)&lt;&gt;"33"))),"x","")</f>
        <v/>
      </c>
      <c r="V3631" s="525" t="str">
        <f>IF(AND(OR(LEFT(TH!L3631,2)="15",LEFT(TH!M3631,2)="15"),'152-CT'!$J$8=TH!F3631),"x","")</f>
        <v/>
      </c>
      <c r="W3631" s="525" t="str">
        <f>IF(AND(OR(LEFT(TH!L3631,2)="15",LEFT(TH!M3631,2)="15"),TK!$E$7=TH!F3631),"x","")</f>
        <v/>
      </c>
      <c r="X3631" s="525" t="str">
        <f>IF(AND('341-CT'!$E$9=H3631,OR(LEFT(L3631,3)=$X$7,LEFT(M3631,3)=$X$7)),"x","")</f>
        <v/>
      </c>
      <c r="Y3631" s="525" t="str">
        <f>IF(OR(TH!L3631=TH!$Y$7,M3631=TH!$Y$7),"x","")</f>
        <v/>
      </c>
      <c r="Z3631" s="525" t="str">
        <f>IF(AND(B3631&lt;=NKC!$N$8,B3631&gt;=NKC!$M$8),"x","")</f>
        <v/>
      </c>
      <c r="AA3631" s="535"/>
      <c r="AB3631" s="536"/>
    </row>
    <row r="3632" spans="1:30" s="503" customFormat="1" ht="15.75" customHeight="1">
      <c r="A3632" s="517" t="str">
        <f>IF(B3632&lt;&gt;"",IF(AND(B3632&gt;=_TM1,B3632&lt;=_TM2,OR(TH!L3632="1111",TH!M3632="1111")),TH!D3632,""),"")</f>
        <v/>
      </c>
      <c r="B3632" s="531">
        <f t="shared" si="404"/>
        <v>8</v>
      </c>
      <c r="C3632" s="315">
        <f t="shared" si="405"/>
        <v>42971</v>
      </c>
      <c r="D3632" s="544" t="s">
        <v>1181</v>
      </c>
      <c r="E3632" s="315">
        <v>42971</v>
      </c>
      <c r="F3632" s="249" t="s">
        <v>1099</v>
      </c>
      <c r="G3632" s="314" t="s">
        <v>1439</v>
      </c>
      <c r="H3632" s="472" t="s">
        <v>511</v>
      </c>
      <c r="I3632" s="307"/>
      <c r="J3632" s="307"/>
      <c r="K3632" s="532">
        <v>3300000</v>
      </c>
      <c r="L3632" s="534" t="s">
        <v>45</v>
      </c>
      <c r="M3632" s="534" t="s">
        <v>275</v>
      </c>
      <c r="N3632" s="525" t="str">
        <f>IF(AND('331-CT'!$E$7=TH!H3632,OR(L3632="331",M3632="331")),"331",IF(AND(OR(L3632="131",M3632="131"),H3632='131-CT'!$E$7),"131",""))</f>
        <v/>
      </c>
      <c r="O3632" s="525" t="str">
        <f>IF(AND($B3632&gt;='111'!$N$11,$B3632&lt;='111'!$O$11,OR($L3632=$O$7,$M3632=$O$7)),"x","")</f>
        <v/>
      </c>
      <c r="P3632" s="525" t="str">
        <f>IF(AND($L3632=$O$7,$B3632&lt;'111'!$N$11),"x","")</f>
        <v>x</v>
      </c>
      <c r="Q3632" s="525" t="str">
        <f>IF(AND($M3632=$O$7,$B3632&lt;'111'!$N$11),"x","")</f>
        <v/>
      </c>
      <c r="R3632" s="525" t="str">
        <f>IF(ISERROR(FIND('112'!$M$9,G3632,1)),"",IF((AND(FIND('112'!$M$9,G3632,1)&gt;=1,$B3632&gt;='112'!$N$8,$B3632&lt;='112'!$O$8,OR($L3632='112'!$I$6,$M3632='112'!$I$6))),"x",""))</f>
        <v/>
      </c>
      <c r="S3632" s="525" t="str">
        <f>IF(ISERROR(FIND('112'!$M$9,G3632,1)),"",IF((AND(LEFT(G3632,2)=LEFT('112'!$M$9,2),B3632&lt;'112'!$N$8,$L3632='112'!$I$6)),"x",""))</f>
        <v/>
      </c>
      <c r="T3632" s="525" t="str">
        <f>IF(ISERROR(FIND('112'!$M$9,G3632,1)),"",IF((AND(RIGHT(G3632,2)=RIGHT('112'!$M$9,2),B3632&lt;'112'!$N$8,$M3632='112'!$I$6)),"x",""))</f>
        <v/>
      </c>
      <c r="U3632" s="525" t="str">
        <f>IF(AND(B3632&gt;='IN-NX'!$P$3,B3632&lt;='IN-NX'!$Q$3,'IN-NX'!$D$7=D3632,OR(LEFT(L3632,2)="15",AND(LEFT(M3632,2)&lt;&gt;"15",LEFT(M3632,2)&lt;&gt;"33"))),"x","")</f>
        <v/>
      </c>
      <c r="V3632" s="525" t="str">
        <f>IF(AND(OR(LEFT(TH!L3632,2)="15",LEFT(TH!M3632,2)="15"),'152-CT'!$J$8=TH!F3632),"x","")</f>
        <v/>
      </c>
      <c r="W3632" s="525" t="str">
        <f>IF(AND(OR(LEFT(TH!L3632,2)="15",LEFT(TH!M3632,2)="15"),TK!$E$7=TH!F3632),"x","")</f>
        <v/>
      </c>
      <c r="X3632" s="525" t="str">
        <f>IF(AND('341-CT'!$E$9=H3632,OR(LEFT(L3632,3)=$X$7,LEFT(M3632,3)=$X$7)),"x","")</f>
        <v/>
      </c>
      <c r="Y3632" s="525" t="str">
        <f>IF(OR(TH!L3632=TH!$Y$7,M3632=TH!$Y$7),"x","")</f>
        <v/>
      </c>
      <c r="Z3632" s="525" t="str">
        <f>IF(AND(B3632&lt;=NKC!$N$8,B3632&gt;=NKC!$M$8),"x","")</f>
        <v/>
      </c>
      <c r="AA3632" s="535"/>
    </row>
    <row r="3633" spans="1:30" s="503" customFormat="1" ht="15.75" customHeight="1">
      <c r="A3633" s="517" t="str">
        <f>IF(B3633&lt;&gt;"",IF(AND(B3633&gt;=_TM1,B3633&lt;=_TM2,OR(TH!L3633="1111",TH!M3633="1111")),TH!D3633,""),"")</f>
        <v/>
      </c>
      <c r="B3633" s="531">
        <f t="shared" si="404"/>
        <v>8</v>
      </c>
      <c r="C3633" s="315">
        <f t="shared" si="405"/>
        <v>42971</v>
      </c>
      <c r="D3633" s="544" t="s">
        <v>1181</v>
      </c>
      <c r="E3633" s="315">
        <v>42971</v>
      </c>
      <c r="F3633" s="249" t="s">
        <v>1102</v>
      </c>
      <c r="G3633" s="314" t="s">
        <v>1439</v>
      </c>
      <c r="H3633" s="472" t="s">
        <v>511</v>
      </c>
      <c r="I3633" s="307"/>
      <c r="J3633" s="307"/>
      <c r="K3633" s="532">
        <v>330000</v>
      </c>
      <c r="L3633" s="534" t="s">
        <v>45</v>
      </c>
      <c r="M3633" s="534" t="s">
        <v>259</v>
      </c>
      <c r="N3633" s="525" t="str">
        <f>IF(AND('331-CT'!$E$7=TH!H3633,OR(L3633="331",M3633="331")),"331",IF(AND(OR(L3633="131",M3633="131"),H3633='131-CT'!$E$7),"131",""))</f>
        <v/>
      </c>
      <c r="O3633" s="525" t="str">
        <f>IF(AND($B3633&gt;='111'!$N$11,$B3633&lt;='111'!$O$11,OR($L3633=$O$7,$M3633=$O$7)),"x","")</f>
        <v/>
      </c>
      <c r="P3633" s="525" t="str">
        <f>IF(AND($L3633=$O$7,$B3633&lt;'111'!$N$11),"x","")</f>
        <v>x</v>
      </c>
      <c r="Q3633" s="525" t="str">
        <f>IF(AND($M3633=$O$7,$B3633&lt;'111'!$N$11),"x","")</f>
        <v/>
      </c>
      <c r="R3633" s="525" t="str">
        <f>IF(ISERROR(FIND('112'!$M$9,G3633,1)),"",IF((AND(FIND('112'!$M$9,G3633,1)&gt;=1,$B3633&gt;='112'!$N$8,$B3633&lt;='112'!$O$8,OR($L3633='112'!$I$6,$M3633='112'!$I$6))),"x",""))</f>
        <v/>
      </c>
      <c r="S3633" s="525" t="str">
        <f>IF(ISERROR(FIND('112'!$M$9,G3633,1)),"",IF((AND(LEFT(G3633,2)=LEFT('112'!$M$9,2),B3633&lt;'112'!$N$8,$L3633='112'!$I$6)),"x",""))</f>
        <v/>
      </c>
      <c r="T3633" s="525" t="str">
        <f>IF(ISERROR(FIND('112'!$M$9,G3633,1)),"",IF((AND(RIGHT(G3633,2)=RIGHT('112'!$M$9,2),B3633&lt;'112'!$N$8,$M3633='112'!$I$6)),"x",""))</f>
        <v/>
      </c>
      <c r="U3633" s="525" t="str">
        <f>IF(AND(B3633&gt;='IN-NX'!$P$3,B3633&lt;='IN-NX'!$Q$3,'IN-NX'!$D$7=D3633,OR(LEFT(L3633,2)="15",AND(LEFT(M3633,2)&lt;&gt;"15",LEFT(M3633,2)&lt;&gt;"33"))),"x","")</f>
        <v/>
      </c>
      <c r="V3633" s="525" t="str">
        <f>IF(AND(OR(LEFT(TH!L3633,2)="15",LEFT(TH!M3633,2)="15"),'152-CT'!$J$8=TH!F3633),"x","")</f>
        <v/>
      </c>
      <c r="W3633" s="525" t="str">
        <f>IF(AND(OR(LEFT(TH!L3633,2)="15",LEFT(TH!M3633,2)="15"),TK!$E$7=TH!F3633),"x","")</f>
        <v/>
      </c>
      <c r="X3633" s="525" t="str">
        <f>IF(AND('341-CT'!$E$9=H3633,OR(LEFT(L3633,3)=$X$7,LEFT(M3633,3)=$X$7)),"x","")</f>
        <v/>
      </c>
      <c r="Y3633" s="525" t="str">
        <f>IF(OR(TH!L3633=TH!$Y$7,M3633=TH!$Y$7),"x","")</f>
        <v/>
      </c>
      <c r="Z3633" s="525" t="str">
        <f>IF(AND(B3633&lt;=NKC!$N$8,B3633&gt;=NKC!$M$8),"x","")</f>
        <v/>
      </c>
      <c r="AA3633" s="535"/>
    </row>
    <row r="3634" spans="1:30" s="503" customFormat="1" ht="15.75" customHeight="1">
      <c r="A3634" s="517" t="str">
        <f>IF(B3634&lt;&gt;"",IF(AND(B3634&gt;=_TM1,B3634&lt;=_TM2,OR(TH!L3634="1111",TH!M3634="1111")),TH!D3634,""),"")</f>
        <v/>
      </c>
      <c r="B3634" s="531">
        <f t="shared" si="404"/>
        <v>8</v>
      </c>
      <c r="C3634" s="315">
        <f t="shared" si="405"/>
        <v>42971</v>
      </c>
      <c r="D3634" s="544" t="s">
        <v>1181</v>
      </c>
      <c r="E3634" s="315">
        <v>42971</v>
      </c>
      <c r="F3634" s="249" t="s">
        <v>1217</v>
      </c>
      <c r="G3634" s="314" t="s">
        <v>1440</v>
      </c>
      <c r="H3634" s="248" t="s">
        <v>1218</v>
      </c>
      <c r="I3634" s="307">
        <v>3045</v>
      </c>
      <c r="J3634" s="307">
        <v>5900</v>
      </c>
      <c r="K3634" s="532">
        <f>ROUND(I3634*J3634,0)</f>
        <v>17965500</v>
      </c>
      <c r="L3634" s="534" t="s">
        <v>223</v>
      </c>
      <c r="M3634" s="534" t="s">
        <v>162</v>
      </c>
      <c r="N3634" s="525" t="str">
        <f>IF(AND('331-CT'!$E$7=TH!H3634,OR(L3634="331",M3634="331")),"331",IF(AND(OR(L3634="131",M3634="131"),H3634='131-CT'!$E$7),"131",""))</f>
        <v/>
      </c>
      <c r="O3634" s="525" t="str">
        <f>IF(AND($B3634&gt;='111'!$N$11,$B3634&lt;='111'!$O$11,OR($L3634=$O$7,$M3634=$O$7)),"x","")</f>
        <v/>
      </c>
      <c r="P3634" s="525" t="str">
        <f>IF(AND($L3634=$O$7,$B3634&lt;'111'!$N$11),"x","")</f>
        <v/>
      </c>
      <c r="Q3634" s="525" t="str">
        <f>IF(AND($M3634=$O$7,$B3634&lt;'111'!$N$11),"x","")</f>
        <v/>
      </c>
      <c r="R3634" s="525" t="str">
        <f>IF(ISERROR(FIND('112'!$M$9,G3634,1)),"",IF((AND(FIND('112'!$M$9,G3634,1)&gt;=1,$B3634&gt;='112'!$N$8,$B3634&lt;='112'!$O$8,OR($L3634='112'!$I$6,$M3634='112'!$I$6))),"x",""))</f>
        <v/>
      </c>
      <c r="S3634" s="525" t="str">
        <f>IF(ISERROR(FIND('112'!$M$9,G3634,1)),"",IF((AND(LEFT(G3634,2)=LEFT('112'!$M$9,2),B3634&lt;'112'!$N$8,$L3634='112'!$I$6)),"x",""))</f>
        <v/>
      </c>
      <c r="T3634" s="525" t="str">
        <f>IF(ISERROR(FIND('112'!$M$9,G3634,1)),"",IF((AND(RIGHT(G3634,2)=RIGHT('112'!$M$9,2),B3634&lt;'112'!$N$8,$M3634='112'!$I$6)),"x",""))</f>
        <v/>
      </c>
      <c r="U3634" s="525" t="str">
        <f>IF(AND(B3634&gt;='IN-NX'!$P$3,B3634&lt;='IN-NX'!$Q$3,'IN-NX'!$D$7=D3634,OR(LEFT(L3634,2)="15",AND(LEFT(M3634,2)&lt;&gt;"15",LEFT(M3634,2)&lt;&gt;"33"))),"x","")</f>
        <v/>
      </c>
      <c r="V3634" s="525" t="str">
        <f>IF(AND(OR(LEFT(TH!L3634,2)="15",LEFT(TH!M3634,2)="15"),'152-CT'!$J$8=TH!F3634),"x","")</f>
        <v/>
      </c>
      <c r="W3634" s="525" t="str">
        <f>IF(AND(OR(LEFT(TH!L3634,2)="15",LEFT(TH!M3634,2)="15"),TK!$E$7=TH!F3634),"x","")</f>
        <v/>
      </c>
      <c r="X3634" s="525" t="str">
        <f>IF(AND('341-CT'!$E$9=H3634,OR(LEFT(L3634,3)=$X$7,LEFT(M3634,3)=$X$7)),"x","")</f>
        <v/>
      </c>
      <c r="Y3634" s="525" t="str">
        <f>IF(OR(TH!L3634=TH!$Y$7,M3634=TH!$Y$7),"x","")</f>
        <v/>
      </c>
      <c r="Z3634" s="525" t="str">
        <f>IF(AND(B3634&lt;=NKC!$N$8,B3634&gt;=NKC!$M$8),"x","")</f>
        <v/>
      </c>
      <c r="AA3634" s="535"/>
      <c r="AC3634" s="536" t="str">
        <f>VLOOKUP(F3634,NXT!$B$12:$B$686,1,0)</f>
        <v>Thùng 50x29.5x19</v>
      </c>
    </row>
    <row r="3635" spans="1:30" s="503" customFormat="1" ht="15.75" customHeight="1">
      <c r="A3635" s="517" t="str">
        <f>IF(B3635&lt;&gt;"",IF(AND(B3635&gt;=_TM1,B3635&lt;=_TM2,OR(TH!L3635="1111",TH!M3635="1111")),TH!D3635,""),"")</f>
        <v/>
      </c>
      <c r="B3635" s="531">
        <f t="shared" si="404"/>
        <v>8</v>
      </c>
      <c r="C3635" s="315">
        <f t="shared" si="405"/>
        <v>42971</v>
      </c>
      <c r="D3635" s="544" t="s">
        <v>1181</v>
      </c>
      <c r="E3635" s="315">
        <v>42971</v>
      </c>
      <c r="F3635" s="249" t="s">
        <v>494</v>
      </c>
      <c r="G3635" s="314" t="s">
        <v>1440</v>
      </c>
      <c r="H3635" s="248" t="s">
        <v>1218</v>
      </c>
      <c r="I3635" s="307"/>
      <c r="J3635" s="307"/>
      <c r="K3635" s="532">
        <v>1796550</v>
      </c>
      <c r="L3635" s="534" t="s">
        <v>223</v>
      </c>
      <c r="M3635" s="534" t="s">
        <v>259</v>
      </c>
      <c r="N3635" s="525" t="str">
        <f>IF(AND('331-CT'!$E$7=TH!H3635,OR(L3635="331",M3635="331")),"331",IF(AND(OR(L3635="131",M3635="131"),H3635='131-CT'!$E$7),"131",""))</f>
        <v/>
      </c>
      <c r="O3635" s="525" t="str">
        <f>IF(AND($B3635&gt;='111'!$N$11,$B3635&lt;='111'!$O$11,OR($L3635=$O$7,$M3635=$O$7)),"x","")</f>
        <v/>
      </c>
      <c r="P3635" s="525" t="str">
        <f>IF(AND($L3635=$O$7,$B3635&lt;'111'!$N$11),"x","")</f>
        <v/>
      </c>
      <c r="Q3635" s="525" t="str">
        <f>IF(AND($M3635=$O$7,$B3635&lt;'111'!$N$11),"x","")</f>
        <v/>
      </c>
      <c r="R3635" s="525" t="str">
        <f>IF(ISERROR(FIND('112'!$M$9,G3635,1)),"",IF((AND(FIND('112'!$M$9,G3635,1)&gt;=1,$B3635&gt;='112'!$N$8,$B3635&lt;='112'!$O$8,OR($L3635='112'!$I$6,$M3635='112'!$I$6))),"x",""))</f>
        <v/>
      </c>
      <c r="S3635" s="525" t="str">
        <f>IF(ISERROR(FIND('112'!$M$9,G3635,1)),"",IF((AND(LEFT(G3635,2)=LEFT('112'!$M$9,2),B3635&lt;'112'!$N$8,$L3635='112'!$I$6)),"x",""))</f>
        <v/>
      </c>
      <c r="T3635" s="525" t="str">
        <f>IF(ISERROR(FIND('112'!$M$9,G3635,1)),"",IF((AND(RIGHT(G3635,2)=RIGHT('112'!$M$9,2),B3635&lt;'112'!$N$8,$M3635='112'!$I$6)),"x",""))</f>
        <v/>
      </c>
      <c r="U3635" s="525" t="str">
        <f>IF(AND(B3635&gt;='IN-NX'!$P$3,B3635&lt;='IN-NX'!$Q$3,'IN-NX'!$D$7=D3635,OR(LEFT(L3635,2)="15",AND(LEFT(M3635,2)&lt;&gt;"15",LEFT(M3635,2)&lt;&gt;"33"))),"x","")</f>
        <v/>
      </c>
      <c r="V3635" s="525" t="str">
        <f>IF(AND(OR(LEFT(TH!L3635,2)="15",LEFT(TH!M3635,2)="15"),'152-CT'!$J$8=TH!F3635),"x","")</f>
        <v/>
      </c>
      <c r="W3635" s="525" t="str">
        <f>IF(AND(OR(LEFT(TH!L3635,2)="15",LEFT(TH!M3635,2)="15"),TK!$E$7=TH!F3635),"x","")</f>
        <v/>
      </c>
      <c r="X3635" s="525" t="str">
        <f>IF(AND('341-CT'!$E$9=H3635,OR(LEFT(L3635,3)=$X$7,LEFT(M3635,3)=$X$7)),"x","")</f>
        <v/>
      </c>
      <c r="Y3635" s="525" t="str">
        <f>IF(OR(TH!L3635=TH!$Y$7,M3635=TH!$Y$7),"x","")</f>
        <v/>
      </c>
      <c r="Z3635" s="525" t="str">
        <f>IF(AND(B3635&lt;=NKC!$N$8,B3635&gt;=NKC!$M$8),"x","")</f>
        <v/>
      </c>
      <c r="AA3635" s="535"/>
    </row>
    <row r="3636" spans="1:30" s="503" customFormat="1" ht="15.75" customHeight="1">
      <c r="A3636" s="517" t="str">
        <f>IF(B3636&lt;&gt;"",IF(AND(B3636&gt;=_TM1,B3636&lt;=_TM2,OR(TH!L3636="1111",TH!M3636="1111")),TH!D3636,""),"")</f>
        <v/>
      </c>
      <c r="B3636" s="531">
        <f t="shared" si="404"/>
        <v>8</v>
      </c>
      <c r="C3636" s="315">
        <f t="shared" si="405"/>
        <v>42975</v>
      </c>
      <c r="D3636" s="544" t="s">
        <v>1181</v>
      </c>
      <c r="E3636" s="315">
        <v>42975</v>
      </c>
      <c r="F3636" s="250" t="s">
        <v>1001</v>
      </c>
      <c r="G3636" s="314" t="s">
        <v>1441</v>
      </c>
      <c r="H3636" s="248" t="s">
        <v>1442</v>
      </c>
      <c r="I3636" s="307">
        <v>8</v>
      </c>
      <c r="J3636" s="307">
        <v>162791</v>
      </c>
      <c r="K3636" s="532">
        <f t="shared" ref="K3636:K3644" si="407">ROUND(I3636*J3636,0)</f>
        <v>1302328</v>
      </c>
      <c r="L3636" s="534" t="s">
        <v>223</v>
      </c>
      <c r="M3636" s="534" t="s">
        <v>162</v>
      </c>
      <c r="N3636" s="525" t="str">
        <f>IF(AND('331-CT'!$E$7=TH!H3636,OR(L3636="331",M3636="331")),"331",IF(AND(OR(L3636="131",M3636="131"),H3636='131-CT'!$E$7),"131",""))</f>
        <v/>
      </c>
      <c r="O3636" s="525" t="str">
        <f>IF(AND($B3636&gt;='111'!$N$11,$B3636&lt;='111'!$O$11,OR($L3636=$O$7,$M3636=$O$7)),"x","")</f>
        <v/>
      </c>
      <c r="P3636" s="525" t="str">
        <f>IF(AND($L3636=$O$7,$B3636&lt;'111'!$N$11),"x","")</f>
        <v/>
      </c>
      <c r="Q3636" s="525" t="str">
        <f>IF(AND($M3636=$O$7,$B3636&lt;'111'!$N$11),"x","")</f>
        <v/>
      </c>
      <c r="R3636" s="525" t="str">
        <f>IF(ISERROR(FIND('112'!$M$9,G3636,1)),"",IF((AND(FIND('112'!$M$9,G3636,1)&gt;=1,$B3636&gt;='112'!$N$8,$B3636&lt;='112'!$O$8,OR($L3636='112'!$I$6,$M3636='112'!$I$6))),"x",""))</f>
        <v/>
      </c>
      <c r="S3636" s="525" t="str">
        <f>IF(ISERROR(FIND('112'!$M$9,G3636,1)),"",IF((AND(LEFT(G3636,2)=LEFT('112'!$M$9,2),B3636&lt;'112'!$N$8,$L3636='112'!$I$6)),"x",""))</f>
        <v/>
      </c>
      <c r="T3636" s="525" t="str">
        <f>IF(ISERROR(FIND('112'!$M$9,G3636,1)),"",IF((AND(RIGHT(G3636,2)=RIGHT('112'!$M$9,2),B3636&lt;'112'!$N$8,$M3636='112'!$I$6)),"x",""))</f>
        <v/>
      </c>
      <c r="U3636" s="525" t="str">
        <f>IF(AND(B3636&gt;='IN-NX'!$P$3,B3636&lt;='IN-NX'!$Q$3,'IN-NX'!$D$7=D3636,OR(LEFT(L3636,2)="15",AND(LEFT(M3636,2)&lt;&gt;"15",LEFT(M3636,2)&lt;&gt;"33"))),"x","")</f>
        <v/>
      </c>
      <c r="V3636" s="525" t="str">
        <f>IF(AND(OR(LEFT(TH!L3636,2)="15",LEFT(TH!M3636,2)="15"),'152-CT'!$J$8=TH!F3636),"x","")</f>
        <v/>
      </c>
      <c r="W3636" s="525" t="str">
        <f>IF(AND(OR(LEFT(TH!L3636,2)="15",LEFT(TH!M3636,2)="15"),TK!$E$7=TH!F3636),"x","")</f>
        <v/>
      </c>
      <c r="X3636" s="525" t="str">
        <f>IF(AND('341-CT'!$E$9=H3636,OR(LEFT(L3636,3)=$X$7,LEFT(M3636,3)=$X$7)),"x","")</f>
        <v/>
      </c>
      <c r="Y3636" s="525" t="str">
        <f>IF(OR(TH!L3636=TH!$Y$7,M3636=TH!$Y$7),"x","")</f>
        <v/>
      </c>
      <c r="Z3636" s="525" t="str">
        <f>IF(AND(B3636&lt;=NKC!$N$8,B3636&gt;=NKC!$M$8),"x","")</f>
        <v/>
      </c>
      <c r="AA3636" s="535"/>
      <c r="AB3636" s="536"/>
      <c r="AC3636" s="536" t="str">
        <f>VLOOKUP(F3636,NXT!$B$12:$B$686,1,0)</f>
        <v>Thùng 112x112x55</v>
      </c>
      <c r="AD3636" s="536"/>
    </row>
    <row r="3637" spans="1:30" s="503" customFormat="1" ht="15.75" customHeight="1">
      <c r="A3637" s="517" t="str">
        <f>IF(B3637&lt;&gt;"",IF(AND(B3637&gt;=_TM1,B3637&lt;=_TM2,OR(TH!L3637="1111",TH!M3637="1111")),TH!D3637,""),"")</f>
        <v/>
      </c>
      <c r="B3637" s="531">
        <f t="shared" si="404"/>
        <v>8</v>
      </c>
      <c r="C3637" s="315">
        <f t="shared" si="405"/>
        <v>42975</v>
      </c>
      <c r="D3637" s="544" t="s">
        <v>1181</v>
      </c>
      <c r="E3637" s="315">
        <v>42975</v>
      </c>
      <c r="F3637" s="250" t="s">
        <v>567</v>
      </c>
      <c r="G3637" s="314" t="s">
        <v>1441</v>
      </c>
      <c r="H3637" s="248" t="s">
        <v>1442</v>
      </c>
      <c r="I3637" s="307">
        <v>900</v>
      </c>
      <c r="J3637" s="307">
        <v>3919</v>
      </c>
      <c r="K3637" s="532">
        <f t="shared" si="407"/>
        <v>3527100</v>
      </c>
      <c r="L3637" s="534" t="s">
        <v>223</v>
      </c>
      <c r="M3637" s="534" t="s">
        <v>162</v>
      </c>
      <c r="N3637" s="525" t="str">
        <f>IF(AND('331-CT'!$E$7=TH!H3637,OR(L3637="331",M3637="331")),"331",IF(AND(OR(L3637="131",M3637="131"),H3637='131-CT'!$E$7),"131",""))</f>
        <v/>
      </c>
      <c r="O3637" s="525" t="str">
        <f>IF(AND($B3637&gt;='111'!$N$11,$B3637&lt;='111'!$O$11,OR($L3637=$O$7,$M3637=$O$7)),"x","")</f>
        <v/>
      </c>
      <c r="P3637" s="525" t="str">
        <f>IF(AND($L3637=$O$7,$B3637&lt;'111'!$N$11),"x","")</f>
        <v/>
      </c>
      <c r="Q3637" s="525" t="str">
        <f>IF(AND($M3637=$O$7,$B3637&lt;'111'!$N$11),"x","")</f>
        <v/>
      </c>
      <c r="R3637" s="525" t="str">
        <f>IF(ISERROR(FIND('112'!$M$9,G3637,1)),"",IF((AND(FIND('112'!$M$9,G3637,1)&gt;=1,$B3637&gt;='112'!$N$8,$B3637&lt;='112'!$O$8,OR($L3637='112'!$I$6,$M3637='112'!$I$6))),"x",""))</f>
        <v/>
      </c>
      <c r="S3637" s="525" t="str">
        <f>IF(ISERROR(FIND('112'!$M$9,G3637,1)),"",IF((AND(LEFT(G3637,2)=LEFT('112'!$M$9,2),B3637&lt;'112'!$N$8,$L3637='112'!$I$6)),"x",""))</f>
        <v/>
      </c>
      <c r="T3637" s="525" t="str">
        <f>IF(ISERROR(FIND('112'!$M$9,G3637,1)),"",IF((AND(RIGHT(G3637,2)=RIGHT('112'!$M$9,2),B3637&lt;'112'!$N$8,$M3637='112'!$I$6)),"x",""))</f>
        <v/>
      </c>
      <c r="U3637" s="525" t="str">
        <f>IF(AND(B3637&gt;='IN-NX'!$P$3,B3637&lt;='IN-NX'!$Q$3,'IN-NX'!$D$7=D3637,OR(LEFT(L3637,2)="15",AND(LEFT(M3637,2)&lt;&gt;"15",LEFT(M3637,2)&lt;&gt;"33"))),"x","")</f>
        <v/>
      </c>
      <c r="V3637" s="525" t="str">
        <f>IF(AND(OR(LEFT(TH!L3637,2)="15",LEFT(TH!M3637,2)="15"),'152-CT'!$J$8=TH!F3637),"x","")</f>
        <v/>
      </c>
      <c r="W3637" s="525" t="str">
        <f>IF(AND(OR(LEFT(TH!L3637,2)="15",LEFT(TH!M3637,2)="15"),TK!$E$7=TH!F3637),"x","")</f>
        <v/>
      </c>
      <c r="X3637" s="525" t="str">
        <f>IF(AND('341-CT'!$E$9=H3637,OR(LEFT(L3637,3)=$X$7,LEFT(M3637,3)=$X$7)),"x","")</f>
        <v/>
      </c>
      <c r="Y3637" s="525" t="str">
        <f>IF(OR(TH!L3637=TH!$Y$7,M3637=TH!$Y$7),"x","")</f>
        <v/>
      </c>
      <c r="Z3637" s="525" t="str">
        <f>IF(AND(B3637&lt;=NKC!$N$8,B3637&gt;=NKC!$M$8),"x","")</f>
        <v/>
      </c>
      <c r="AA3637" s="535"/>
      <c r="AB3637" s="536"/>
      <c r="AC3637" s="536" t="str">
        <f>VLOOKUP(F3637,NXT!$B$12:$B$686,1,0)</f>
        <v>Thùng 32x22x25</v>
      </c>
      <c r="AD3637" s="536"/>
    </row>
    <row r="3638" spans="1:30" s="503" customFormat="1" ht="15.75" customHeight="1">
      <c r="A3638" s="517" t="str">
        <f>IF(B3638&lt;&gt;"",IF(AND(B3638&gt;=_TM1,B3638&lt;=_TM2,OR(TH!L3638="1111",TH!M3638="1111")),TH!D3638,""),"")</f>
        <v/>
      </c>
      <c r="B3638" s="531">
        <f t="shared" si="404"/>
        <v>8</v>
      </c>
      <c r="C3638" s="315">
        <f t="shared" si="405"/>
        <v>42975</v>
      </c>
      <c r="D3638" s="544" t="s">
        <v>1181</v>
      </c>
      <c r="E3638" s="315">
        <v>42975</v>
      </c>
      <c r="F3638" s="250" t="s">
        <v>706</v>
      </c>
      <c r="G3638" s="314" t="s">
        <v>1441</v>
      </c>
      <c r="H3638" s="248" t="s">
        <v>1442</v>
      </c>
      <c r="I3638" s="307">
        <v>8</v>
      </c>
      <c r="J3638" s="307">
        <v>24581</v>
      </c>
      <c r="K3638" s="532">
        <f t="shared" si="407"/>
        <v>196648</v>
      </c>
      <c r="L3638" s="534" t="s">
        <v>223</v>
      </c>
      <c r="M3638" s="534" t="s">
        <v>162</v>
      </c>
      <c r="N3638" s="525" t="str">
        <f>IF(AND('331-CT'!$E$7=TH!H3638,OR(L3638="331",M3638="331")),"331",IF(AND(OR(L3638="131",M3638="131"),H3638='131-CT'!$E$7),"131",""))</f>
        <v/>
      </c>
      <c r="O3638" s="525" t="str">
        <f>IF(AND($B3638&gt;='111'!$N$11,$B3638&lt;='111'!$O$11,OR($L3638=$O$7,$M3638=$O$7)),"x","")</f>
        <v/>
      </c>
      <c r="P3638" s="525" t="str">
        <f>IF(AND($L3638=$O$7,$B3638&lt;'111'!$N$11),"x","")</f>
        <v/>
      </c>
      <c r="Q3638" s="525" t="str">
        <f>IF(AND($M3638=$O$7,$B3638&lt;'111'!$N$11),"x","")</f>
        <v/>
      </c>
      <c r="R3638" s="525" t="str">
        <f>IF(ISERROR(FIND('112'!$M$9,G3638,1)),"",IF((AND(FIND('112'!$M$9,G3638,1)&gt;=1,$B3638&gt;='112'!$N$8,$B3638&lt;='112'!$O$8,OR($L3638='112'!$I$6,$M3638='112'!$I$6))),"x",""))</f>
        <v/>
      </c>
      <c r="S3638" s="525" t="str">
        <f>IF(ISERROR(FIND('112'!$M$9,G3638,1)),"",IF((AND(LEFT(G3638,2)=LEFT('112'!$M$9,2),B3638&lt;'112'!$N$8,$L3638='112'!$I$6)),"x",""))</f>
        <v/>
      </c>
      <c r="T3638" s="525" t="str">
        <f>IF(ISERROR(FIND('112'!$M$9,G3638,1)),"",IF((AND(RIGHT(G3638,2)=RIGHT('112'!$M$9,2),B3638&lt;'112'!$N$8,$M3638='112'!$I$6)),"x",""))</f>
        <v/>
      </c>
      <c r="U3638" s="525" t="str">
        <f>IF(AND(B3638&gt;='IN-NX'!$P$3,B3638&lt;='IN-NX'!$Q$3,'IN-NX'!$D$7=D3638,OR(LEFT(L3638,2)="15",AND(LEFT(M3638,2)&lt;&gt;"15",LEFT(M3638,2)&lt;&gt;"33"))),"x","")</f>
        <v/>
      </c>
      <c r="V3638" s="525" t="str">
        <f>IF(AND(OR(LEFT(TH!L3638,2)="15",LEFT(TH!M3638,2)="15"),'152-CT'!$J$8=TH!F3638),"x","")</f>
        <v/>
      </c>
      <c r="W3638" s="525" t="str">
        <f>IF(AND(OR(LEFT(TH!L3638,2)="15",LEFT(TH!M3638,2)="15"),TK!$E$7=TH!F3638),"x","")</f>
        <v/>
      </c>
      <c r="X3638" s="525" t="str">
        <f>IF(AND('341-CT'!$E$9=H3638,OR(LEFT(L3638,3)=$X$7,LEFT(M3638,3)=$X$7)),"x","")</f>
        <v/>
      </c>
      <c r="Y3638" s="525" t="str">
        <f>IF(OR(TH!L3638=TH!$Y$7,M3638=TH!$Y$7),"x","")</f>
        <v/>
      </c>
      <c r="Z3638" s="525" t="str">
        <f>IF(AND(B3638&lt;=NKC!$N$8,B3638&gt;=NKC!$M$8),"x","")</f>
        <v/>
      </c>
      <c r="AA3638" s="535"/>
      <c r="AB3638" s="536"/>
      <c r="AC3638" s="536" t="str">
        <f>VLOOKUP(F3638,NXT!$B$12:$B$686,1,0)</f>
        <v>Thùng 35x35x42</v>
      </c>
    </row>
    <row r="3639" spans="1:30" s="503" customFormat="1" ht="15.75" customHeight="1">
      <c r="A3639" s="517" t="str">
        <f>IF(B3639&lt;&gt;"",IF(AND(B3639&gt;=_TM1,B3639&lt;=_TM2,OR(TH!L3639="1111",TH!M3639="1111")),TH!D3639,""),"")</f>
        <v/>
      </c>
      <c r="B3639" s="531">
        <f t="shared" si="404"/>
        <v>8</v>
      </c>
      <c r="C3639" s="315">
        <f t="shared" si="405"/>
        <v>42975</v>
      </c>
      <c r="D3639" s="544" t="s">
        <v>1181</v>
      </c>
      <c r="E3639" s="315">
        <v>42975</v>
      </c>
      <c r="F3639" s="250" t="s">
        <v>563</v>
      </c>
      <c r="G3639" s="314" t="s">
        <v>1441</v>
      </c>
      <c r="H3639" s="248" t="s">
        <v>1442</v>
      </c>
      <c r="I3639" s="307">
        <v>100</v>
      </c>
      <c r="J3639" s="307">
        <v>28785</v>
      </c>
      <c r="K3639" s="532">
        <f t="shared" si="407"/>
        <v>2878500</v>
      </c>
      <c r="L3639" s="534" t="s">
        <v>223</v>
      </c>
      <c r="M3639" s="534" t="s">
        <v>162</v>
      </c>
      <c r="N3639" s="525" t="str">
        <f>IF(AND('331-CT'!$E$7=TH!H3639,OR(L3639="331",M3639="331")),"331",IF(AND(OR(L3639="131",M3639="131"),H3639='131-CT'!$E$7),"131",""))</f>
        <v/>
      </c>
      <c r="O3639" s="525" t="str">
        <f>IF(AND($B3639&gt;='111'!$N$11,$B3639&lt;='111'!$O$11,OR($L3639=$O$7,$M3639=$O$7)),"x","")</f>
        <v/>
      </c>
      <c r="P3639" s="525" t="str">
        <f>IF(AND($L3639=$O$7,$B3639&lt;'111'!$N$11),"x","")</f>
        <v/>
      </c>
      <c r="Q3639" s="525" t="str">
        <f>IF(AND($M3639=$O$7,$B3639&lt;'111'!$N$11),"x","")</f>
        <v/>
      </c>
      <c r="R3639" s="525" t="str">
        <f>IF(ISERROR(FIND('112'!$M$9,G3639,1)),"",IF((AND(FIND('112'!$M$9,G3639,1)&gt;=1,$B3639&gt;='112'!$N$8,$B3639&lt;='112'!$O$8,OR($L3639='112'!$I$6,$M3639='112'!$I$6))),"x",""))</f>
        <v/>
      </c>
      <c r="S3639" s="525" t="str">
        <f>IF(ISERROR(FIND('112'!$M$9,G3639,1)),"",IF((AND(LEFT(G3639,2)=LEFT('112'!$M$9,2),B3639&lt;'112'!$N$8,$L3639='112'!$I$6)),"x",""))</f>
        <v/>
      </c>
      <c r="T3639" s="525" t="str">
        <f>IF(ISERROR(FIND('112'!$M$9,G3639,1)),"",IF((AND(RIGHT(G3639,2)=RIGHT('112'!$M$9,2),B3639&lt;'112'!$N$8,$M3639='112'!$I$6)),"x",""))</f>
        <v/>
      </c>
      <c r="U3639" s="525" t="str">
        <f>IF(AND(B3639&gt;='IN-NX'!$P$3,B3639&lt;='IN-NX'!$Q$3,'IN-NX'!$D$7=D3639,OR(LEFT(L3639,2)="15",AND(LEFT(M3639,2)&lt;&gt;"15",LEFT(M3639,2)&lt;&gt;"33"))),"x","")</f>
        <v/>
      </c>
      <c r="V3639" s="525" t="str">
        <f>IF(AND(OR(LEFT(TH!L3639,2)="15",LEFT(TH!M3639,2)="15"),'152-CT'!$J$8=TH!F3639),"x","")</f>
        <v/>
      </c>
      <c r="W3639" s="525" t="str">
        <f>IF(AND(OR(LEFT(TH!L3639,2)="15",LEFT(TH!M3639,2)="15"),TK!$E$7=TH!F3639),"x","")</f>
        <v/>
      </c>
      <c r="X3639" s="525" t="str">
        <f>IF(AND('341-CT'!$E$9=H3639,OR(LEFT(L3639,3)=$X$7,LEFT(M3639,3)=$X$7)),"x","")</f>
        <v/>
      </c>
      <c r="Y3639" s="525" t="str">
        <f>IF(OR(TH!L3639=TH!$Y$7,M3639=TH!$Y$7),"x","")</f>
        <v/>
      </c>
      <c r="Z3639" s="525" t="str">
        <f>IF(AND(B3639&lt;=NKC!$N$8,B3639&gt;=NKC!$M$8),"x","")</f>
        <v/>
      </c>
      <c r="AA3639" s="535"/>
      <c r="AB3639" s="536"/>
      <c r="AC3639" s="536" t="str">
        <f>VLOOKUP(F3639,NXT!$B$12:$B$686,1,0)</f>
        <v>Thùng 45x45x50</v>
      </c>
      <c r="AD3639" s="536"/>
    </row>
    <row r="3640" spans="1:30" s="503" customFormat="1" ht="15.75" customHeight="1">
      <c r="A3640" s="517" t="str">
        <f>IF(B3640&lt;&gt;"",IF(AND(B3640&gt;=_TM1,B3640&lt;=_TM2,OR(TH!L3640="1111",TH!M3640="1111")),TH!D3640,""),"")</f>
        <v/>
      </c>
      <c r="B3640" s="531">
        <f t="shared" si="404"/>
        <v>8</v>
      </c>
      <c r="C3640" s="315">
        <f t="shared" si="405"/>
        <v>42975</v>
      </c>
      <c r="D3640" s="544" t="s">
        <v>1181</v>
      </c>
      <c r="E3640" s="315">
        <v>42975</v>
      </c>
      <c r="F3640" s="250" t="s">
        <v>629</v>
      </c>
      <c r="G3640" s="314" t="s">
        <v>1441</v>
      </c>
      <c r="H3640" s="248" t="s">
        <v>1442</v>
      </c>
      <c r="I3640" s="307">
        <v>10</v>
      </c>
      <c r="J3640" s="307">
        <v>25001</v>
      </c>
      <c r="K3640" s="532">
        <f t="shared" si="407"/>
        <v>250010</v>
      </c>
      <c r="L3640" s="534" t="s">
        <v>223</v>
      </c>
      <c r="M3640" s="534" t="s">
        <v>162</v>
      </c>
      <c r="N3640" s="525" t="str">
        <f>IF(AND('331-CT'!$E$7=TH!H3640,OR(L3640="331",M3640="331")),"331",IF(AND(OR(L3640="131",M3640="131"),H3640='131-CT'!$E$7),"131",""))</f>
        <v/>
      </c>
      <c r="O3640" s="525" t="str">
        <f>IF(AND($B3640&gt;='111'!$N$11,$B3640&lt;='111'!$O$11,OR($L3640=$O$7,$M3640=$O$7)),"x","")</f>
        <v/>
      </c>
      <c r="P3640" s="525" t="str">
        <f>IF(AND($L3640=$O$7,$B3640&lt;'111'!$N$11),"x","")</f>
        <v/>
      </c>
      <c r="Q3640" s="525" t="str">
        <f>IF(AND($M3640=$O$7,$B3640&lt;'111'!$N$11),"x","")</f>
        <v/>
      </c>
      <c r="R3640" s="525" t="str">
        <f>IF(ISERROR(FIND('112'!$M$9,G3640,1)),"",IF((AND(FIND('112'!$M$9,G3640,1)&gt;=1,$B3640&gt;='112'!$N$8,$B3640&lt;='112'!$O$8,OR($L3640='112'!$I$6,$M3640='112'!$I$6))),"x",""))</f>
        <v/>
      </c>
      <c r="S3640" s="525" t="str">
        <f>IF(ISERROR(FIND('112'!$M$9,G3640,1)),"",IF((AND(LEFT(G3640,2)=LEFT('112'!$M$9,2),B3640&lt;'112'!$N$8,$L3640='112'!$I$6)),"x",""))</f>
        <v/>
      </c>
      <c r="T3640" s="525" t="str">
        <f>IF(ISERROR(FIND('112'!$M$9,G3640,1)),"",IF((AND(RIGHT(G3640,2)=RIGHT('112'!$M$9,2),B3640&lt;'112'!$N$8,$M3640='112'!$I$6)),"x",""))</f>
        <v/>
      </c>
      <c r="U3640" s="525" t="str">
        <f>IF(AND(B3640&gt;='IN-NX'!$P$3,B3640&lt;='IN-NX'!$Q$3,'IN-NX'!$D$7=D3640,OR(LEFT(L3640,2)="15",AND(LEFT(M3640,2)&lt;&gt;"15",LEFT(M3640,2)&lt;&gt;"33"))),"x","")</f>
        <v/>
      </c>
      <c r="V3640" s="525" t="str">
        <f>IF(AND(OR(LEFT(TH!L3640,2)="15",LEFT(TH!M3640,2)="15"),'152-CT'!$J$8=TH!F3640),"x","")</f>
        <v/>
      </c>
      <c r="W3640" s="525" t="str">
        <f>IF(AND(OR(LEFT(TH!L3640,2)="15",LEFT(TH!M3640,2)="15"),TK!$E$7=TH!F3640),"x","")</f>
        <v/>
      </c>
      <c r="X3640" s="525" t="str">
        <f>IF(AND('341-CT'!$E$9=H3640,OR(LEFT(L3640,3)=$X$7,LEFT(M3640,3)=$X$7)),"x","")</f>
        <v/>
      </c>
      <c r="Y3640" s="525" t="str">
        <f>IF(OR(TH!L3640=TH!$Y$7,M3640=TH!$Y$7),"x","")</f>
        <v/>
      </c>
      <c r="Z3640" s="525" t="str">
        <f>IF(AND(B3640&lt;=NKC!$N$8,B3640&gt;=NKC!$M$8),"x","")</f>
        <v/>
      </c>
      <c r="AA3640" s="535"/>
      <c r="AB3640" s="536"/>
      <c r="AC3640" s="536" t="str">
        <f>VLOOKUP(F3640,NXT!$B$12:$B$686,1,0)</f>
        <v>Thùng 55x30x79</v>
      </c>
      <c r="AD3640" s="536"/>
    </row>
    <row r="3641" spans="1:30" s="503" customFormat="1" ht="15.75" customHeight="1">
      <c r="A3641" s="517" t="str">
        <f>IF(B3641&lt;&gt;"",IF(AND(B3641&gt;=_TM1,B3641&lt;=_TM2,OR(TH!L3641="1111",TH!M3641="1111")),TH!D3641,""),"")</f>
        <v/>
      </c>
      <c r="B3641" s="531">
        <f t="shared" si="404"/>
        <v>8</v>
      </c>
      <c r="C3641" s="315">
        <f t="shared" si="405"/>
        <v>42975</v>
      </c>
      <c r="D3641" s="544" t="s">
        <v>1181</v>
      </c>
      <c r="E3641" s="315">
        <v>42975</v>
      </c>
      <c r="F3641" s="250" t="s">
        <v>504</v>
      </c>
      <c r="G3641" s="314" t="s">
        <v>1441</v>
      </c>
      <c r="H3641" s="248" t="s">
        <v>1442</v>
      </c>
      <c r="I3641" s="307">
        <v>610</v>
      </c>
      <c r="J3641" s="307">
        <v>32674</v>
      </c>
      <c r="K3641" s="532">
        <f t="shared" si="407"/>
        <v>19931140</v>
      </c>
      <c r="L3641" s="534" t="s">
        <v>223</v>
      </c>
      <c r="M3641" s="534" t="s">
        <v>162</v>
      </c>
      <c r="N3641" s="525" t="str">
        <f>IF(AND('331-CT'!$E$7=TH!H3641,OR(L3641="331",M3641="331")),"331",IF(AND(OR(L3641="131",M3641="131"),H3641='131-CT'!$E$7),"131",""))</f>
        <v/>
      </c>
      <c r="O3641" s="525" t="str">
        <f>IF(AND($B3641&gt;='111'!$N$11,$B3641&lt;='111'!$O$11,OR($L3641=$O$7,$M3641=$O$7)),"x","")</f>
        <v/>
      </c>
      <c r="P3641" s="525" t="str">
        <f>IF(AND($L3641=$O$7,$B3641&lt;'111'!$N$11),"x","")</f>
        <v/>
      </c>
      <c r="Q3641" s="525" t="str">
        <f>IF(AND($M3641=$O$7,$B3641&lt;'111'!$N$11),"x","")</f>
        <v/>
      </c>
      <c r="R3641" s="525" t="str">
        <f>IF(ISERROR(FIND('112'!$M$9,G3641,1)),"",IF((AND(FIND('112'!$M$9,G3641,1)&gt;=1,$B3641&gt;='112'!$N$8,$B3641&lt;='112'!$O$8,OR($L3641='112'!$I$6,$M3641='112'!$I$6))),"x",""))</f>
        <v/>
      </c>
      <c r="S3641" s="525" t="str">
        <f>IF(ISERROR(FIND('112'!$M$9,G3641,1)),"",IF((AND(LEFT(G3641,2)=LEFT('112'!$M$9,2),B3641&lt;'112'!$N$8,$L3641='112'!$I$6)),"x",""))</f>
        <v/>
      </c>
      <c r="T3641" s="525" t="str">
        <f>IF(ISERROR(FIND('112'!$M$9,G3641,1)),"",IF((AND(RIGHT(G3641,2)=RIGHT('112'!$M$9,2),B3641&lt;'112'!$N$8,$M3641='112'!$I$6)),"x",""))</f>
        <v/>
      </c>
      <c r="U3641" s="525" t="str">
        <f>IF(AND(B3641&gt;='IN-NX'!$P$3,B3641&lt;='IN-NX'!$Q$3,'IN-NX'!$D$7=D3641,OR(LEFT(L3641,2)="15",AND(LEFT(M3641,2)&lt;&gt;"15",LEFT(M3641,2)&lt;&gt;"33"))),"x","")</f>
        <v/>
      </c>
      <c r="V3641" s="525" t="str">
        <f>IF(AND(OR(LEFT(TH!L3641,2)="15",LEFT(TH!M3641,2)="15"),'152-CT'!$J$8=TH!F3641),"x","")</f>
        <v/>
      </c>
      <c r="W3641" s="525" t="str">
        <f>IF(AND(OR(LEFT(TH!L3641,2)="15",LEFT(TH!M3641,2)="15"),TK!$E$7=TH!F3641),"x","")</f>
        <v/>
      </c>
      <c r="X3641" s="525" t="str">
        <f>IF(AND('341-CT'!$E$9=H3641,OR(LEFT(L3641,3)=$X$7,LEFT(M3641,3)=$X$7)),"x","")</f>
        <v/>
      </c>
      <c r="Y3641" s="525" t="str">
        <f>IF(OR(TH!L3641=TH!$Y$7,M3641=TH!$Y$7),"x","")</f>
        <v/>
      </c>
      <c r="Z3641" s="525" t="str">
        <f>IF(AND(B3641&lt;=NKC!$N$8,B3641&gt;=NKC!$M$8),"x","")</f>
        <v/>
      </c>
      <c r="AA3641" s="535"/>
      <c r="AB3641" s="536"/>
      <c r="AC3641" s="536" t="str">
        <f>VLOOKUP(F3641,NXT!$B$12:$B$686,1,0)</f>
        <v>Thùng 82x11.5x127</v>
      </c>
    </row>
    <row r="3642" spans="1:30" s="503" customFormat="1" ht="15.75" customHeight="1">
      <c r="A3642" s="517" t="str">
        <f>IF(B3642&lt;&gt;"",IF(AND(B3642&gt;=_TM1,B3642&lt;=_TM2,OR(TH!L3642="1111",TH!M3642="1111")),TH!D3642,""),"")</f>
        <v/>
      </c>
      <c r="B3642" s="531">
        <f t="shared" si="404"/>
        <v>8</v>
      </c>
      <c r="C3642" s="315">
        <f t="shared" si="405"/>
        <v>42975</v>
      </c>
      <c r="D3642" s="544" t="s">
        <v>1181</v>
      </c>
      <c r="E3642" s="315">
        <v>42975</v>
      </c>
      <c r="F3642" s="249" t="s">
        <v>787</v>
      </c>
      <c r="G3642" s="314" t="s">
        <v>1441</v>
      </c>
      <c r="H3642" s="248" t="s">
        <v>1442</v>
      </c>
      <c r="I3642" s="307">
        <v>1700</v>
      </c>
      <c r="J3642" s="307">
        <v>3429</v>
      </c>
      <c r="K3642" s="532">
        <f t="shared" si="407"/>
        <v>5829300</v>
      </c>
      <c r="L3642" s="534" t="s">
        <v>223</v>
      </c>
      <c r="M3642" s="534" t="s">
        <v>162</v>
      </c>
      <c r="N3642" s="525" t="str">
        <f>IF(AND('331-CT'!$E$7=TH!H3642,OR(L3642="331",M3642="331")),"331",IF(AND(OR(L3642="131",M3642="131"),H3642='131-CT'!$E$7),"131",""))</f>
        <v/>
      </c>
      <c r="O3642" s="525" t="str">
        <f>IF(AND($B3642&gt;='111'!$N$11,$B3642&lt;='111'!$O$11,OR($L3642=$O$7,$M3642=$O$7)),"x","")</f>
        <v/>
      </c>
      <c r="P3642" s="525" t="str">
        <f>IF(AND($L3642=$O$7,$B3642&lt;'111'!$N$11),"x","")</f>
        <v/>
      </c>
      <c r="Q3642" s="525" t="str">
        <f>IF(AND($M3642=$O$7,$B3642&lt;'111'!$N$11),"x","")</f>
        <v/>
      </c>
      <c r="R3642" s="525" t="str">
        <f>IF(ISERROR(FIND('112'!$M$9,G3642,1)),"",IF((AND(FIND('112'!$M$9,G3642,1)&gt;=1,$B3642&gt;='112'!$N$8,$B3642&lt;='112'!$O$8,OR($L3642='112'!$I$6,$M3642='112'!$I$6))),"x",""))</f>
        <v/>
      </c>
      <c r="S3642" s="525" t="str">
        <f>IF(ISERROR(FIND('112'!$M$9,G3642,1)),"",IF((AND(LEFT(G3642,2)=LEFT('112'!$M$9,2),B3642&lt;'112'!$N$8,$L3642='112'!$I$6)),"x",""))</f>
        <v/>
      </c>
      <c r="T3642" s="525" t="str">
        <f>IF(ISERROR(FIND('112'!$M$9,G3642,1)),"",IF((AND(RIGHT(G3642,2)=RIGHT('112'!$M$9,2),B3642&lt;'112'!$N$8,$M3642='112'!$I$6)),"x",""))</f>
        <v/>
      </c>
      <c r="U3642" s="525" t="str">
        <f>IF(AND(B3642&gt;='IN-NX'!$P$3,B3642&lt;='IN-NX'!$Q$3,'IN-NX'!$D$7=D3642,OR(LEFT(L3642,2)="15",AND(LEFT(M3642,2)&lt;&gt;"15",LEFT(M3642,2)&lt;&gt;"33"))),"x","")</f>
        <v/>
      </c>
      <c r="V3642" s="525" t="str">
        <f>IF(AND(OR(LEFT(TH!L3642,2)="15",LEFT(TH!M3642,2)="15"),'152-CT'!$J$8=TH!F3642),"x","")</f>
        <v/>
      </c>
      <c r="W3642" s="525" t="str">
        <f>IF(AND(OR(LEFT(TH!L3642,2)="15",LEFT(TH!M3642,2)="15"),TK!$E$7=TH!F3642),"x","")</f>
        <v/>
      </c>
      <c r="X3642" s="525" t="str">
        <f>IF(AND('341-CT'!$E$9=H3642,OR(LEFT(L3642,3)=$X$7,LEFT(M3642,3)=$X$7)),"x","")</f>
        <v/>
      </c>
      <c r="Y3642" s="525" t="str">
        <f>IF(OR(TH!L3642=TH!$Y$7,M3642=TH!$Y$7),"x","")</f>
        <v/>
      </c>
      <c r="Z3642" s="525" t="str">
        <f>IF(AND(B3642&lt;=NKC!$N$8,B3642&gt;=NKC!$M$8),"x","")</f>
        <v/>
      </c>
      <c r="AA3642" s="535"/>
      <c r="AB3642" s="536"/>
      <c r="AC3642" s="536" t="str">
        <f>VLOOKUP(F3642,NXT!$B$12:$B$686,1,0)</f>
        <v>Thùng 82x11.5x127s</v>
      </c>
      <c r="AD3642" s="536"/>
    </row>
    <row r="3643" spans="1:30" s="503" customFormat="1" ht="15.75" customHeight="1">
      <c r="A3643" s="517" t="str">
        <f>IF(B3643&lt;&gt;"",IF(AND(B3643&gt;=_TM1,B3643&lt;=_TM2,OR(TH!L3643="1111",TH!M3643="1111")),TH!D3643,""),"")</f>
        <v/>
      </c>
      <c r="B3643" s="531">
        <f t="shared" si="404"/>
        <v>8</v>
      </c>
      <c r="C3643" s="315">
        <f t="shared" si="405"/>
        <v>42975</v>
      </c>
      <c r="D3643" s="544" t="s">
        <v>1181</v>
      </c>
      <c r="E3643" s="315">
        <v>42975</v>
      </c>
      <c r="F3643" s="250" t="s">
        <v>1443</v>
      </c>
      <c r="G3643" s="314" t="s">
        <v>1441</v>
      </c>
      <c r="H3643" s="248" t="s">
        <v>1442</v>
      </c>
      <c r="I3643" s="307">
        <v>5000</v>
      </c>
      <c r="J3643" s="307">
        <v>9848</v>
      </c>
      <c r="K3643" s="532">
        <f t="shared" si="407"/>
        <v>49240000</v>
      </c>
      <c r="L3643" s="534" t="s">
        <v>223</v>
      </c>
      <c r="M3643" s="534" t="s">
        <v>162</v>
      </c>
      <c r="N3643" s="525" t="str">
        <f>IF(AND('331-CT'!$E$7=TH!H3643,OR(L3643="331",M3643="331")),"331",IF(AND(OR(L3643="131",M3643="131"),H3643='131-CT'!$E$7),"131",""))</f>
        <v/>
      </c>
      <c r="O3643" s="525" t="str">
        <f>IF(AND($B3643&gt;='111'!$N$11,$B3643&lt;='111'!$O$11,OR($L3643=$O$7,$M3643=$O$7)),"x","")</f>
        <v/>
      </c>
      <c r="P3643" s="525" t="str">
        <f>IF(AND($L3643=$O$7,$B3643&lt;'111'!$N$11),"x","")</f>
        <v/>
      </c>
      <c r="Q3643" s="525" t="str">
        <f>IF(AND($M3643=$O$7,$B3643&lt;'111'!$N$11),"x","")</f>
        <v/>
      </c>
      <c r="R3643" s="525" t="str">
        <f>IF(ISERROR(FIND('112'!$M$9,G3643,1)),"",IF((AND(FIND('112'!$M$9,G3643,1)&gt;=1,$B3643&gt;='112'!$N$8,$B3643&lt;='112'!$O$8,OR($L3643='112'!$I$6,$M3643='112'!$I$6))),"x",""))</f>
        <v/>
      </c>
      <c r="S3643" s="525" t="str">
        <f>IF(ISERROR(FIND('112'!$M$9,G3643,1)),"",IF((AND(LEFT(G3643,2)=LEFT('112'!$M$9,2),B3643&lt;'112'!$N$8,$L3643='112'!$I$6)),"x",""))</f>
        <v/>
      </c>
      <c r="T3643" s="525" t="str">
        <f>IF(ISERROR(FIND('112'!$M$9,G3643,1)),"",IF((AND(RIGHT(G3643,2)=RIGHT('112'!$M$9,2),B3643&lt;'112'!$N$8,$M3643='112'!$I$6)),"x",""))</f>
        <v/>
      </c>
      <c r="U3643" s="525" t="str">
        <f>IF(AND(B3643&gt;='IN-NX'!$P$3,B3643&lt;='IN-NX'!$Q$3,'IN-NX'!$D$7=D3643,OR(LEFT(L3643,2)="15",AND(LEFT(M3643,2)&lt;&gt;"15",LEFT(M3643,2)&lt;&gt;"33"))),"x","")</f>
        <v/>
      </c>
      <c r="V3643" s="525" t="str">
        <f>IF(AND(OR(LEFT(TH!L3643,2)="15",LEFT(TH!M3643,2)="15"),'152-CT'!$J$8=TH!F3643),"x","")</f>
        <v/>
      </c>
      <c r="W3643" s="525" t="str">
        <f>IF(AND(OR(LEFT(TH!L3643,2)="15",LEFT(TH!M3643,2)="15"),TK!$E$7=TH!F3643),"x","")</f>
        <v/>
      </c>
      <c r="X3643" s="525" t="str">
        <f>IF(AND('341-CT'!$E$9=H3643,OR(LEFT(L3643,3)=$X$7,LEFT(M3643,3)=$X$7)),"x","")</f>
        <v/>
      </c>
      <c r="Y3643" s="525" t="str">
        <f>IF(OR(TH!L3643=TH!$Y$7,M3643=TH!$Y$7),"x","")</f>
        <v/>
      </c>
      <c r="Z3643" s="525" t="str">
        <f>IF(AND(B3643&lt;=NKC!$N$8,B3643&gt;=NKC!$M$8),"x","")</f>
        <v/>
      </c>
      <c r="AA3643" s="535"/>
      <c r="AB3643" s="536"/>
      <c r="AC3643" s="536" t="str">
        <f>VLOOKUP(F3643,NXT!$B$12:$B$686,1,0)</f>
        <v>Thùng 41.5x27.5x21.5</v>
      </c>
      <c r="AD3643" s="536"/>
    </row>
    <row r="3644" spans="1:30" s="503" customFormat="1" ht="15.75" customHeight="1">
      <c r="A3644" s="517" t="str">
        <f>IF(B3644&lt;&gt;"",IF(AND(B3644&gt;=_TM1,B3644&lt;=_TM2,OR(TH!L3644="1111",TH!M3644="1111")),TH!D3644,""),"")</f>
        <v/>
      </c>
      <c r="B3644" s="531">
        <f t="shared" si="404"/>
        <v>8</v>
      </c>
      <c r="C3644" s="315">
        <f t="shared" si="405"/>
        <v>42975</v>
      </c>
      <c r="D3644" s="544" t="s">
        <v>1181</v>
      </c>
      <c r="E3644" s="315">
        <v>42975</v>
      </c>
      <c r="F3644" s="250" t="s">
        <v>1444</v>
      </c>
      <c r="G3644" s="314" t="s">
        <v>1441</v>
      </c>
      <c r="H3644" s="248" t="s">
        <v>1442</v>
      </c>
      <c r="I3644" s="307">
        <v>2930</v>
      </c>
      <c r="J3644" s="307">
        <v>18281</v>
      </c>
      <c r="K3644" s="532">
        <f t="shared" si="407"/>
        <v>53563330</v>
      </c>
      <c r="L3644" s="534" t="s">
        <v>223</v>
      </c>
      <c r="M3644" s="534" t="s">
        <v>162</v>
      </c>
      <c r="N3644" s="525" t="str">
        <f>IF(AND('331-CT'!$E$7=TH!H3644,OR(L3644="331",M3644="331")),"331",IF(AND(OR(L3644="131",M3644="131"),H3644='131-CT'!$E$7),"131",""))</f>
        <v/>
      </c>
      <c r="O3644" s="525" t="str">
        <f>IF(AND($B3644&gt;='111'!$N$11,$B3644&lt;='111'!$O$11,OR($L3644=$O$7,$M3644=$O$7)),"x","")</f>
        <v/>
      </c>
      <c r="P3644" s="525" t="str">
        <f>IF(AND($L3644=$O$7,$B3644&lt;'111'!$N$11),"x","")</f>
        <v/>
      </c>
      <c r="Q3644" s="525" t="str">
        <f>IF(AND($M3644=$O$7,$B3644&lt;'111'!$N$11),"x","")</f>
        <v/>
      </c>
      <c r="R3644" s="525" t="str">
        <f>IF(ISERROR(FIND('112'!$M$9,G3644,1)),"",IF((AND(FIND('112'!$M$9,G3644,1)&gt;=1,$B3644&gt;='112'!$N$8,$B3644&lt;='112'!$O$8,OR($L3644='112'!$I$6,$M3644='112'!$I$6))),"x",""))</f>
        <v/>
      </c>
      <c r="S3644" s="525" t="str">
        <f>IF(ISERROR(FIND('112'!$M$9,G3644,1)),"",IF((AND(LEFT(G3644,2)=LEFT('112'!$M$9,2),B3644&lt;'112'!$N$8,$L3644='112'!$I$6)),"x",""))</f>
        <v/>
      </c>
      <c r="T3644" s="525" t="str">
        <f>IF(ISERROR(FIND('112'!$M$9,G3644,1)),"",IF((AND(RIGHT(G3644,2)=RIGHT('112'!$M$9,2),B3644&lt;'112'!$N$8,$M3644='112'!$I$6)),"x",""))</f>
        <v/>
      </c>
      <c r="U3644" s="525" t="str">
        <f>IF(AND(B3644&gt;='IN-NX'!$P$3,B3644&lt;='IN-NX'!$Q$3,'IN-NX'!$D$7=D3644,OR(LEFT(L3644,2)="15",AND(LEFT(M3644,2)&lt;&gt;"15",LEFT(M3644,2)&lt;&gt;"33"))),"x","")</f>
        <v/>
      </c>
      <c r="V3644" s="525" t="str">
        <f>IF(AND(OR(LEFT(TH!L3644,2)="15",LEFT(TH!M3644,2)="15"),'152-CT'!$J$8=TH!F3644),"x","")</f>
        <v/>
      </c>
      <c r="W3644" s="525" t="str">
        <f>IF(AND(OR(LEFT(TH!L3644,2)="15",LEFT(TH!M3644,2)="15"),TK!$E$7=TH!F3644),"x","")</f>
        <v/>
      </c>
      <c r="X3644" s="525" t="str">
        <f>IF(AND('341-CT'!$E$9=H3644,OR(LEFT(L3644,3)=$X$7,LEFT(M3644,3)=$X$7)),"x","")</f>
        <v/>
      </c>
      <c r="Y3644" s="525" t="str">
        <f>IF(OR(TH!L3644=TH!$Y$7,M3644=TH!$Y$7),"x","")</f>
        <v/>
      </c>
      <c r="Z3644" s="525" t="str">
        <f>IF(AND(B3644&lt;=NKC!$N$8,B3644&gt;=NKC!$M$8),"x","")</f>
        <v/>
      </c>
      <c r="AA3644" s="535"/>
      <c r="AB3644" s="536"/>
      <c r="AC3644" s="536" t="str">
        <f>VLOOKUP(F3644,NXT!$B$12:$B$686,1,0)</f>
        <v>Thùng 30x30x40</v>
      </c>
    </row>
    <row r="3645" spans="1:30" s="503" customFormat="1" ht="15.75" customHeight="1">
      <c r="A3645" s="517" t="str">
        <f>IF(B3645&lt;&gt;"",IF(AND(B3645&gt;=_TM1,B3645&lt;=_TM2,OR(TH!L3645="1111",TH!M3645="1111")),TH!D3645,""),"")</f>
        <v/>
      </c>
      <c r="B3645" s="531">
        <f t="shared" si="404"/>
        <v>8</v>
      </c>
      <c r="C3645" s="315">
        <f t="shared" si="405"/>
        <v>42975</v>
      </c>
      <c r="D3645" s="544" t="s">
        <v>1181</v>
      </c>
      <c r="E3645" s="315">
        <v>42975</v>
      </c>
      <c r="F3645" s="249" t="s">
        <v>494</v>
      </c>
      <c r="G3645" s="314" t="s">
        <v>1441</v>
      </c>
      <c r="H3645" s="248" t="s">
        <v>1442</v>
      </c>
      <c r="I3645" s="307"/>
      <c r="J3645" s="307"/>
      <c r="K3645" s="532">
        <v>13671836</v>
      </c>
      <c r="L3645" s="534" t="s">
        <v>223</v>
      </c>
      <c r="M3645" s="534" t="s">
        <v>259</v>
      </c>
      <c r="N3645" s="525" t="str">
        <f>IF(AND('331-CT'!$E$7=TH!H3645,OR(L3645="331",M3645="331")),"331",IF(AND(OR(L3645="131",M3645="131"),H3645='131-CT'!$E$7),"131",""))</f>
        <v/>
      </c>
      <c r="O3645" s="525" t="str">
        <f>IF(AND($B3645&gt;='111'!$N$11,$B3645&lt;='111'!$O$11,OR($L3645=$O$7,$M3645=$O$7)),"x","")</f>
        <v/>
      </c>
      <c r="P3645" s="525" t="str">
        <f>IF(AND($L3645=$O$7,$B3645&lt;'111'!$N$11),"x","")</f>
        <v/>
      </c>
      <c r="Q3645" s="525" t="str">
        <f>IF(AND($M3645=$O$7,$B3645&lt;'111'!$N$11),"x","")</f>
        <v/>
      </c>
      <c r="R3645" s="525" t="str">
        <f>IF(ISERROR(FIND('112'!$M$9,G3645,1)),"",IF((AND(FIND('112'!$M$9,G3645,1)&gt;=1,$B3645&gt;='112'!$N$8,$B3645&lt;='112'!$O$8,OR($L3645='112'!$I$6,$M3645='112'!$I$6))),"x",""))</f>
        <v/>
      </c>
      <c r="S3645" s="525" t="str">
        <f>IF(ISERROR(FIND('112'!$M$9,G3645,1)),"",IF((AND(LEFT(G3645,2)=LEFT('112'!$M$9,2),B3645&lt;'112'!$N$8,$L3645='112'!$I$6)),"x",""))</f>
        <v/>
      </c>
      <c r="T3645" s="525" t="str">
        <f>IF(ISERROR(FIND('112'!$M$9,G3645,1)),"",IF((AND(RIGHT(G3645,2)=RIGHT('112'!$M$9,2),B3645&lt;'112'!$N$8,$M3645='112'!$I$6)),"x",""))</f>
        <v/>
      </c>
      <c r="U3645" s="525" t="str">
        <f>IF(AND(B3645&gt;='IN-NX'!$P$3,B3645&lt;='IN-NX'!$Q$3,'IN-NX'!$D$7=D3645,OR(LEFT(L3645,2)="15",AND(LEFT(M3645,2)&lt;&gt;"15",LEFT(M3645,2)&lt;&gt;"33"))),"x","")</f>
        <v/>
      </c>
      <c r="V3645" s="525" t="str">
        <f>IF(AND(OR(LEFT(TH!L3645,2)="15",LEFT(TH!M3645,2)="15"),'152-CT'!$J$8=TH!F3645),"x","")</f>
        <v/>
      </c>
      <c r="W3645" s="525" t="str">
        <f>IF(AND(OR(LEFT(TH!L3645,2)="15",LEFT(TH!M3645,2)="15"),TK!$E$7=TH!F3645),"x","")</f>
        <v/>
      </c>
      <c r="X3645" s="525" t="str">
        <f>IF(AND('341-CT'!$E$9=H3645,OR(LEFT(L3645,3)=$X$7,LEFT(M3645,3)=$X$7)),"x","")</f>
        <v/>
      </c>
      <c r="Y3645" s="525" t="str">
        <f>IF(OR(TH!L3645=TH!$Y$7,M3645=TH!$Y$7),"x","")</f>
        <v/>
      </c>
      <c r="Z3645" s="525" t="str">
        <f>IF(AND(B3645&lt;=NKC!$N$8,B3645&gt;=NKC!$M$8),"x","")</f>
        <v/>
      </c>
      <c r="AA3645" s="535"/>
      <c r="AB3645" s="536"/>
    </row>
    <row r="3646" spans="1:30" s="503" customFormat="1" ht="15.75" customHeight="1">
      <c r="A3646" s="517" t="str">
        <f>IF(B3646&lt;&gt;"",IF(AND(B3646&gt;=_TM1,B3646&lt;=_TM2,OR(TH!L3646="1111",TH!M3646="1111")),TH!D3646,""),"")</f>
        <v/>
      </c>
      <c r="B3646" s="531">
        <f t="shared" ref="B3646:B3753" si="408">IF(C3646&lt;&gt;"",MONTH(C3646),"")</f>
        <v>8</v>
      </c>
      <c r="C3646" s="315">
        <f t="shared" ref="C3646:C3753" si="409">E3646</f>
        <v>42978</v>
      </c>
      <c r="D3646" s="544" t="s">
        <v>1181</v>
      </c>
      <c r="E3646" s="315">
        <v>42978</v>
      </c>
      <c r="F3646" s="249" t="s">
        <v>1217</v>
      </c>
      <c r="G3646" s="314" t="s">
        <v>1445</v>
      </c>
      <c r="H3646" s="248" t="s">
        <v>1218</v>
      </c>
      <c r="I3646" s="307">
        <v>3045</v>
      </c>
      <c r="J3646" s="307">
        <v>5900</v>
      </c>
      <c r="K3646" s="532">
        <f>ROUND(I3646*J3646,0)</f>
        <v>17965500</v>
      </c>
      <c r="L3646" s="534" t="s">
        <v>223</v>
      </c>
      <c r="M3646" s="534" t="s">
        <v>162</v>
      </c>
      <c r="N3646" s="525" t="str">
        <f>IF(AND('331-CT'!$E$7=TH!H3646,OR(L3646="331",M3646="331")),"331",IF(AND(OR(L3646="131",M3646="131"),H3646='131-CT'!$E$7),"131",""))</f>
        <v/>
      </c>
      <c r="O3646" s="525" t="str">
        <f>IF(AND($B3646&gt;='111'!$N$11,$B3646&lt;='111'!$O$11,OR($L3646=$O$7,$M3646=$O$7)),"x","")</f>
        <v/>
      </c>
      <c r="P3646" s="525" t="str">
        <f>IF(AND($L3646=$O$7,$B3646&lt;'111'!$N$11),"x","")</f>
        <v/>
      </c>
      <c r="Q3646" s="525" t="str">
        <f>IF(AND($M3646=$O$7,$B3646&lt;'111'!$N$11),"x","")</f>
        <v/>
      </c>
      <c r="R3646" s="525" t="str">
        <f>IF(ISERROR(FIND('112'!$M$9,G3646,1)),"",IF((AND(FIND('112'!$M$9,G3646,1)&gt;=1,$B3646&gt;='112'!$N$8,$B3646&lt;='112'!$O$8,OR($L3646='112'!$I$6,$M3646='112'!$I$6))),"x",""))</f>
        <v/>
      </c>
      <c r="S3646" s="525" t="str">
        <f>IF(ISERROR(FIND('112'!$M$9,G3646,1)),"",IF((AND(LEFT(G3646,2)=LEFT('112'!$M$9,2),B3646&lt;'112'!$N$8,$L3646='112'!$I$6)),"x",""))</f>
        <v/>
      </c>
      <c r="T3646" s="525" t="str">
        <f>IF(ISERROR(FIND('112'!$M$9,G3646,1)),"",IF((AND(RIGHT(G3646,2)=RIGHT('112'!$M$9,2),B3646&lt;'112'!$N$8,$M3646='112'!$I$6)),"x",""))</f>
        <v/>
      </c>
      <c r="U3646" s="525" t="str">
        <f>IF(AND(B3646&gt;='IN-NX'!$P$3,B3646&lt;='IN-NX'!$Q$3,'IN-NX'!$D$7=D3646,OR(LEFT(L3646,2)="15",AND(LEFT(M3646,2)&lt;&gt;"15",LEFT(M3646,2)&lt;&gt;"33"))),"x","")</f>
        <v/>
      </c>
      <c r="V3646" s="525" t="str">
        <f>IF(AND(OR(LEFT(TH!L3646,2)="15",LEFT(TH!M3646,2)="15"),'152-CT'!$J$8=TH!F3646),"x","")</f>
        <v/>
      </c>
      <c r="W3646" s="525" t="str">
        <f>IF(AND(OR(LEFT(TH!L3646,2)="15",LEFT(TH!M3646,2)="15"),TK!$E$7=TH!F3646),"x","")</f>
        <v/>
      </c>
      <c r="X3646" s="525" t="str">
        <f>IF(AND('341-CT'!$E$9=H3646,OR(LEFT(L3646,3)=$X$7,LEFT(M3646,3)=$X$7)),"x","")</f>
        <v/>
      </c>
      <c r="Y3646" s="525" t="str">
        <f>IF(OR(TH!L3646=TH!$Y$7,M3646=TH!$Y$7),"x","")</f>
        <v/>
      </c>
      <c r="Z3646" s="525" t="str">
        <f>IF(AND(B3646&lt;=NKC!$N$8,B3646&gt;=NKC!$M$8),"x","")</f>
        <v/>
      </c>
      <c r="AA3646" s="535"/>
      <c r="AC3646" s="536" t="str">
        <f>VLOOKUP(F3646,NXT!$B$12:$B$686,1,0)</f>
        <v>Thùng 50x29.5x19</v>
      </c>
    </row>
    <row r="3647" spans="1:30" s="503" customFormat="1" ht="15.75" customHeight="1">
      <c r="A3647" s="517" t="str">
        <f>IF(B3647&lt;&gt;"",IF(AND(B3647&gt;=_TM1,B3647&lt;=_TM2,OR(TH!L3647="1111",TH!M3647="1111")),TH!D3647,""),"")</f>
        <v/>
      </c>
      <c r="B3647" s="531">
        <f t="shared" si="408"/>
        <v>8</v>
      </c>
      <c r="C3647" s="315">
        <f t="shared" si="409"/>
        <v>42978</v>
      </c>
      <c r="D3647" s="544" t="s">
        <v>1181</v>
      </c>
      <c r="E3647" s="315">
        <v>42978</v>
      </c>
      <c r="F3647" s="249" t="s">
        <v>494</v>
      </c>
      <c r="G3647" s="314" t="s">
        <v>1445</v>
      </c>
      <c r="H3647" s="248" t="s">
        <v>1218</v>
      </c>
      <c r="I3647" s="307"/>
      <c r="J3647" s="307"/>
      <c r="K3647" s="532">
        <v>1796550</v>
      </c>
      <c r="L3647" s="534" t="s">
        <v>223</v>
      </c>
      <c r="M3647" s="534" t="s">
        <v>259</v>
      </c>
      <c r="N3647" s="525" t="str">
        <f>IF(AND('331-CT'!$E$7=TH!H3647,OR(L3647="331",M3647="331")),"331",IF(AND(OR(L3647="131",M3647="131"),H3647='131-CT'!$E$7),"131",""))</f>
        <v/>
      </c>
      <c r="O3647" s="525" t="str">
        <f>IF(AND($B3647&gt;='111'!$N$11,$B3647&lt;='111'!$O$11,OR($L3647=$O$7,$M3647=$O$7)),"x","")</f>
        <v/>
      </c>
      <c r="P3647" s="525" t="str">
        <f>IF(AND($L3647=$O$7,$B3647&lt;'111'!$N$11),"x","")</f>
        <v/>
      </c>
      <c r="Q3647" s="525" t="str">
        <f>IF(AND($M3647=$O$7,$B3647&lt;'111'!$N$11),"x","")</f>
        <v/>
      </c>
      <c r="R3647" s="525" t="str">
        <f>IF(ISERROR(FIND('112'!$M$9,G3647,1)),"",IF((AND(FIND('112'!$M$9,G3647,1)&gt;=1,$B3647&gt;='112'!$N$8,$B3647&lt;='112'!$O$8,OR($L3647='112'!$I$6,$M3647='112'!$I$6))),"x",""))</f>
        <v/>
      </c>
      <c r="S3647" s="525" t="str">
        <f>IF(ISERROR(FIND('112'!$M$9,G3647,1)),"",IF((AND(LEFT(G3647,2)=LEFT('112'!$M$9,2),B3647&lt;'112'!$N$8,$L3647='112'!$I$6)),"x",""))</f>
        <v/>
      </c>
      <c r="T3647" s="525" t="str">
        <f>IF(ISERROR(FIND('112'!$M$9,G3647,1)),"",IF((AND(RIGHT(G3647,2)=RIGHT('112'!$M$9,2),B3647&lt;'112'!$N$8,$M3647='112'!$I$6)),"x",""))</f>
        <v/>
      </c>
      <c r="U3647" s="525" t="str">
        <f>IF(AND(B3647&gt;='IN-NX'!$P$3,B3647&lt;='IN-NX'!$Q$3,'IN-NX'!$D$7=D3647,OR(LEFT(L3647,2)="15",AND(LEFT(M3647,2)&lt;&gt;"15",LEFT(M3647,2)&lt;&gt;"33"))),"x","")</f>
        <v/>
      </c>
      <c r="V3647" s="525" t="str">
        <f>IF(AND(OR(LEFT(TH!L3647,2)="15",LEFT(TH!M3647,2)="15"),'152-CT'!$J$8=TH!F3647),"x","")</f>
        <v/>
      </c>
      <c r="W3647" s="525" t="str">
        <f>IF(AND(OR(LEFT(TH!L3647,2)="15",LEFT(TH!M3647,2)="15"),TK!$E$7=TH!F3647),"x","")</f>
        <v/>
      </c>
      <c r="X3647" s="525" t="str">
        <f>IF(AND('341-CT'!$E$9=H3647,OR(LEFT(L3647,3)=$X$7,LEFT(M3647,3)=$X$7)),"x","")</f>
        <v/>
      </c>
      <c r="Y3647" s="525" t="str">
        <f>IF(OR(TH!L3647=TH!$Y$7,M3647=TH!$Y$7),"x","")</f>
        <v/>
      </c>
      <c r="Z3647" s="525" t="str">
        <f>IF(AND(B3647&lt;=NKC!$N$8,B3647&gt;=NKC!$M$8),"x","")</f>
        <v/>
      </c>
      <c r="AA3647" s="535"/>
    </row>
    <row r="3648" spans="1:30" s="503" customFormat="1" ht="15.75" customHeight="1">
      <c r="A3648" s="517" t="str">
        <f>IF(B3648&lt;&gt;"",IF(AND(B3648&gt;=_TM1,B3648&lt;=_TM2,OR(TH!L3648="1111",TH!M3648="1111")),TH!D3648,""),"")</f>
        <v/>
      </c>
      <c r="B3648" s="531">
        <f t="shared" si="408"/>
        <v>8</v>
      </c>
      <c r="C3648" s="315">
        <f t="shared" si="409"/>
        <v>42978</v>
      </c>
      <c r="D3648" s="544" t="s">
        <v>1181</v>
      </c>
      <c r="E3648" s="315">
        <v>42978</v>
      </c>
      <c r="F3648" s="250" t="s">
        <v>1001</v>
      </c>
      <c r="G3648" s="314" t="s">
        <v>1446</v>
      </c>
      <c r="H3648" s="473" t="s">
        <v>284</v>
      </c>
      <c r="I3648" s="307">
        <v>10</v>
      </c>
      <c r="J3648" s="307">
        <v>163645</v>
      </c>
      <c r="K3648" s="532">
        <f t="shared" ref="K3648:K3679" si="410">ROUND(I3648*J3648,0)</f>
        <v>1636450</v>
      </c>
      <c r="L3648" s="534" t="s">
        <v>223</v>
      </c>
      <c r="M3648" s="534" t="s">
        <v>162</v>
      </c>
      <c r="N3648" s="525" t="str">
        <f>IF(AND('331-CT'!$E$7=TH!H3648,OR(L3648="331",M3648="331")),"331",IF(AND(OR(L3648="131",M3648="131"),H3648='131-CT'!$E$7),"131",""))</f>
        <v/>
      </c>
      <c r="O3648" s="525" t="str">
        <f>IF(AND($B3648&gt;='111'!$N$11,$B3648&lt;='111'!$O$11,OR($L3648=$O$7,$M3648=$O$7)),"x","")</f>
        <v/>
      </c>
      <c r="P3648" s="525" t="str">
        <f>IF(AND($L3648=$O$7,$B3648&lt;'111'!$N$11),"x","")</f>
        <v/>
      </c>
      <c r="Q3648" s="525" t="str">
        <f>IF(AND($M3648=$O$7,$B3648&lt;'111'!$N$11),"x","")</f>
        <v/>
      </c>
      <c r="R3648" s="525" t="str">
        <f>IF(ISERROR(FIND('112'!$M$9,G3648,1)),"",IF((AND(FIND('112'!$M$9,G3648,1)&gt;=1,$B3648&gt;='112'!$N$8,$B3648&lt;='112'!$O$8,OR($L3648='112'!$I$6,$M3648='112'!$I$6))),"x",""))</f>
        <v/>
      </c>
      <c r="S3648" s="525" t="str">
        <f>IF(ISERROR(FIND('112'!$M$9,G3648,1)),"",IF((AND(LEFT(G3648,2)=LEFT('112'!$M$9,2),B3648&lt;'112'!$N$8,$L3648='112'!$I$6)),"x",""))</f>
        <v/>
      </c>
      <c r="T3648" s="525" t="str">
        <f>IF(ISERROR(FIND('112'!$M$9,G3648,1)),"",IF((AND(RIGHT(G3648,2)=RIGHT('112'!$M$9,2),B3648&lt;'112'!$N$8,$M3648='112'!$I$6)),"x",""))</f>
        <v/>
      </c>
      <c r="U3648" s="525" t="str">
        <f>IF(AND(B3648&gt;='IN-NX'!$P$3,B3648&lt;='IN-NX'!$Q$3,'IN-NX'!$D$7=D3648,OR(LEFT(L3648,2)="15",AND(LEFT(M3648,2)&lt;&gt;"15",LEFT(M3648,2)&lt;&gt;"33"))),"x","")</f>
        <v/>
      </c>
      <c r="V3648" s="525" t="str">
        <f>IF(AND(OR(LEFT(TH!L3648,2)="15",LEFT(TH!M3648,2)="15"),'152-CT'!$J$8=TH!F3648),"x","")</f>
        <v/>
      </c>
      <c r="W3648" s="525" t="str">
        <f>IF(AND(OR(LEFT(TH!L3648,2)="15",LEFT(TH!M3648,2)="15"),TK!$E$7=TH!F3648),"x","")</f>
        <v/>
      </c>
      <c r="X3648" s="525" t="str">
        <f>IF(AND('341-CT'!$E$9=H3648,OR(LEFT(L3648,3)=$X$7,LEFT(M3648,3)=$X$7)),"x","")</f>
        <v/>
      </c>
      <c r="Y3648" s="525" t="str">
        <f>IF(OR(TH!L3648=TH!$Y$7,M3648=TH!$Y$7),"x","")</f>
        <v/>
      </c>
      <c r="Z3648" s="525" t="str">
        <f>IF(AND(B3648&lt;=NKC!$N$8,B3648&gt;=NKC!$M$8),"x","")</f>
        <v/>
      </c>
      <c r="AA3648" s="535"/>
      <c r="AB3648" s="536"/>
      <c r="AC3648" s="536" t="str">
        <f>VLOOKUP(F3648,NXT!$B$12:$B$686,1,0)</f>
        <v>Thùng 112x112x55</v>
      </c>
      <c r="AD3648" s="536"/>
    </row>
    <row r="3649" spans="1:30" s="503" customFormat="1" ht="15.75" customHeight="1">
      <c r="A3649" s="517" t="str">
        <f>IF(B3649&lt;&gt;"",IF(AND(B3649&gt;=_TM1,B3649&lt;=_TM2,OR(TH!L3649="1111",TH!M3649="1111")),TH!D3649,""),"")</f>
        <v/>
      </c>
      <c r="B3649" s="531">
        <f t="shared" si="408"/>
        <v>8</v>
      </c>
      <c r="C3649" s="315">
        <f t="shared" si="409"/>
        <v>42978</v>
      </c>
      <c r="D3649" s="544" t="s">
        <v>1181</v>
      </c>
      <c r="E3649" s="315">
        <v>42978</v>
      </c>
      <c r="F3649" s="250" t="s">
        <v>691</v>
      </c>
      <c r="G3649" s="314" t="s">
        <v>1446</v>
      </c>
      <c r="H3649" s="473" t="s">
        <v>284</v>
      </c>
      <c r="I3649" s="307">
        <v>30</v>
      </c>
      <c r="J3649" s="307">
        <v>55631</v>
      </c>
      <c r="K3649" s="532">
        <f t="shared" si="410"/>
        <v>1668930</v>
      </c>
      <c r="L3649" s="534" t="s">
        <v>223</v>
      </c>
      <c r="M3649" s="534" t="s">
        <v>162</v>
      </c>
      <c r="N3649" s="525" t="str">
        <f>IF(AND('331-CT'!$E$7=TH!H3649,OR(L3649="331",M3649="331")),"331",IF(AND(OR(L3649="131",M3649="131"),H3649='131-CT'!$E$7),"131",""))</f>
        <v/>
      </c>
      <c r="O3649" s="525" t="str">
        <f>IF(AND($B3649&gt;='111'!$N$11,$B3649&lt;='111'!$O$11,OR($L3649=$O$7,$M3649=$O$7)),"x","")</f>
        <v/>
      </c>
      <c r="P3649" s="525" t="str">
        <f>IF(AND($L3649=$O$7,$B3649&lt;'111'!$N$11),"x","")</f>
        <v/>
      </c>
      <c r="Q3649" s="525" t="str">
        <f>IF(AND($M3649=$O$7,$B3649&lt;'111'!$N$11),"x","")</f>
        <v/>
      </c>
      <c r="R3649" s="525" t="str">
        <f>IF(ISERROR(FIND('112'!$M$9,G3649,1)),"",IF((AND(FIND('112'!$M$9,G3649,1)&gt;=1,$B3649&gt;='112'!$N$8,$B3649&lt;='112'!$O$8,OR($L3649='112'!$I$6,$M3649='112'!$I$6))),"x",""))</f>
        <v/>
      </c>
      <c r="S3649" s="525" t="str">
        <f>IF(ISERROR(FIND('112'!$M$9,G3649,1)),"",IF((AND(LEFT(G3649,2)=LEFT('112'!$M$9,2),B3649&lt;'112'!$N$8,$L3649='112'!$I$6)),"x",""))</f>
        <v/>
      </c>
      <c r="T3649" s="525" t="str">
        <f>IF(ISERROR(FIND('112'!$M$9,G3649,1)),"",IF((AND(RIGHT(G3649,2)=RIGHT('112'!$M$9,2),B3649&lt;'112'!$N$8,$M3649='112'!$I$6)),"x",""))</f>
        <v/>
      </c>
      <c r="U3649" s="525" t="str">
        <f>IF(AND(B3649&gt;='IN-NX'!$P$3,B3649&lt;='IN-NX'!$Q$3,'IN-NX'!$D$7=D3649,OR(LEFT(L3649,2)="15",AND(LEFT(M3649,2)&lt;&gt;"15",LEFT(M3649,2)&lt;&gt;"33"))),"x","")</f>
        <v/>
      </c>
      <c r="V3649" s="525" t="str">
        <f>IF(AND(OR(LEFT(TH!L3649,2)="15",LEFT(TH!M3649,2)="15"),'152-CT'!$J$8=TH!F3649),"x","")</f>
        <v/>
      </c>
      <c r="W3649" s="525" t="str">
        <f>IF(AND(OR(LEFT(TH!L3649,2)="15",LEFT(TH!M3649,2)="15"),TK!$E$7=TH!F3649),"x","")</f>
        <v/>
      </c>
      <c r="X3649" s="525" t="str">
        <f>IF(AND('341-CT'!$E$9=H3649,OR(LEFT(L3649,3)=$X$7,LEFT(M3649,3)=$X$7)),"x","")</f>
        <v/>
      </c>
      <c r="Y3649" s="525" t="str">
        <f>IF(OR(TH!L3649=TH!$Y$7,M3649=TH!$Y$7),"x","")</f>
        <v/>
      </c>
      <c r="Z3649" s="525" t="str">
        <f>IF(AND(B3649&lt;=NKC!$N$8,B3649&gt;=NKC!$M$8),"x","")</f>
        <v/>
      </c>
      <c r="AA3649" s="535"/>
      <c r="AB3649" s="536"/>
      <c r="AC3649" s="536" t="str">
        <f>VLOOKUP(F3649,NXT!$B$12:$B$686,1,0)</f>
        <v>Thùng 62x37x87</v>
      </c>
      <c r="AD3649" s="536"/>
    </row>
    <row r="3650" spans="1:30" s="503" customFormat="1" ht="15.75" customHeight="1">
      <c r="A3650" s="517" t="str">
        <f>IF(B3650&lt;&gt;"",IF(AND(B3650&gt;=_TM1,B3650&lt;=_TM2,OR(TH!L3650="1111",TH!M3650="1111")),TH!D3650,""),"")</f>
        <v/>
      </c>
      <c r="B3650" s="531">
        <f t="shared" si="408"/>
        <v>8</v>
      </c>
      <c r="C3650" s="315">
        <f t="shared" si="409"/>
        <v>42978</v>
      </c>
      <c r="D3650" s="544" t="s">
        <v>1181</v>
      </c>
      <c r="E3650" s="315">
        <v>42978</v>
      </c>
      <c r="F3650" s="250" t="s">
        <v>660</v>
      </c>
      <c r="G3650" s="314" t="s">
        <v>1446</v>
      </c>
      <c r="H3650" s="473" t="s">
        <v>284</v>
      </c>
      <c r="I3650" s="307">
        <v>10</v>
      </c>
      <c r="J3650" s="307">
        <v>99293</v>
      </c>
      <c r="K3650" s="532">
        <f t="shared" si="410"/>
        <v>992930</v>
      </c>
      <c r="L3650" s="534" t="s">
        <v>223</v>
      </c>
      <c r="M3650" s="534" t="s">
        <v>162</v>
      </c>
      <c r="N3650" s="525" t="str">
        <f>IF(AND('331-CT'!$E$7=TH!H3650,OR(L3650="331",M3650="331")),"331",IF(AND(OR(L3650="131",M3650="131"),H3650='131-CT'!$E$7),"131",""))</f>
        <v/>
      </c>
      <c r="O3650" s="525" t="str">
        <f>IF(AND($B3650&gt;='111'!$N$11,$B3650&lt;='111'!$O$11,OR($L3650=$O$7,$M3650=$O$7)),"x","")</f>
        <v/>
      </c>
      <c r="P3650" s="525" t="str">
        <f>IF(AND($L3650=$O$7,$B3650&lt;'111'!$N$11),"x","")</f>
        <v/>
      </c>
      <c r="Q3650" s="525" t="str">
        <f>IF(AND($M3650=$O$7,$B3650&lt;'111'!$N$11),"x","")</f>
        <v/>
      </c>
      <c r="R3650" s="525" t="str">
        <f>IF(ISERROR(FIND('112'!$M$9,G3650,1)),"",IF((AND(FIND('112'!$M$9,G3650,1)&gt;=1,$B3650&gt;='112'!$N$8,$B3650&lt;='112'!$O$8,OR($L3650='112'!$I$6,$M3650='112'!$I$6))),"x",""))</f>
        <v/>
      </c>
      <c r="S3650" s="525" t="str">
        <f>IF(ISERROR(FIND('112'!$M$9,G3650,1)),"",IF((AND(LEFT(G3650,2)=LEFT('112'!$M$9,2),B3650&lt;'112'!$N$8,$L3650='112'!$I$6)),"x",""))</f>
        <v/>
      </c>
      <c r="T3650" s="525" t="str">
        <f>IF(ISERROR(FIND('112'!$M$9,G3650,1)),"",IF((AND(RIGHT(G3650,2)=RIGHT('112'!$M$9,2),B3650&lt;'112'!$N$8,$M3650='112'!$I$6)),"x",""))</f>
        <v/>
      </c>
      <c r="U3650" s="525" t="str">
        <f>IF(AND(B3650&gt;='IN-NX'!$P$3,B3650&lt;='IN-NX'!$Q$3,'IN-NX'!$D$7=D3650,OR(LEFT(L3650,2)="15",AND(LEFT(M3650,2)&lt;&gt;"15",LEFT(M3650,2)&lt;&gt;"33"))),"x","")</f>
        <v/>
      </c>
      <c r="V3650" s="525" t="str">
        <f>IF(AND(OR(LEFT(TH!L3650,2)="15",LEFT(TH!M3650,2)="15"),'152-CT'!$J$8=TH!F3650),"x","")</f>
        <v/>
      </c>
      <c r="W3650" s="525" t="str">
        <f>IF(AND(OR(LEFT(TH!L3650,2)="15",LEFT(TH!M3650,2)="15"),TK!$E$7=TH!F3650),"x","")</f>
        <v/>
      </c>
      <c r="X3650" s="525" t="str">
        <f>IF(AND('341-CT'!$E$9=H3650,OR(LEFT(L3650,3)=$X$7,LEFT(M3650,3)=$X$7)),"x","")</f>
        <v/>
      </c>
      <c r="Y3650" s="525" t="str">
        <f>IF(OR(TH!L3650=TH!$Y$7,M3650=TH!$Y$7),"x","")</f>
        <v/>
      </c>
      <c r="Z3650" s="525" t="str">
        <f>IF(AND(B3650&lt;=NKC!$N$8,B3650&gt;=NKC!$M$8),"x","")</f>
        <v/>
      </c>
      <c r="AA3650" s="535"/>
      <c r="AB3650" s="536"/>
      <c r="AC3650" s="536" t="str">
        <f>VLOOKUP(F3650,NXT!$B$12:$B$686,1,0)</f>
        <v>Thùng 164x47x59</v>
      </c>
    </row>
    <row r="3651" spans="1:30" s="503" customFormat="1" ht="15.75" customHeight="1">
      <c r="A3651" s="517" t="str">
        <f>IF(B3651&lt;&gt;"",IF(AND(B3651&gt;=_TM1,B3651&lt;=_TM2,OR(TH!L3651="1111",TH!M3651="1111")),TH!D3651,""),"")</f>
        <v/>
      </c>
      <c r="B3651" s="531">
        <f t="shared" si="408"/>
        <v>8</v>
      </c>
      <c r="C3651" s="315">
        <f t="shared" si="409"/>
        <v>42978</v>
      </c>
      <c r="D3651" s="544" t="s">
        <v>1181</v>
      </c>
      <c r="E3651" s="315">
        <v>42978</v>
      </c>
      <c r="F3651" s="250" t="s">
        <v>611</v>
      </c>
      <c r="G3651" s="314" t="s">
        <v>1446</v>
      </c>
      <c r="H3651" s="473" t="s">
        <v>284</v>
      </c>
      <c r="I3651" s="307">
        <v>84</v>
      </c>
      <c r="J3651" s="307">
        <v>44590</v>
      </c>
      <c r="K3651" s="532">
        <f t="shared" si="410"/>
        <v>3745560</v>
      </c>
      <c r="L3651" s="534" t="s">
        <v>223</v>
      </c>
      <c r="M3651" s="534" t="s">
        <v>162</v>
      </c>
      <c r="N3651" s="525" t="str">
        <f>IF(AND('331-CT'!$E$7=TH!H3651,OR(L3651="331",M3651="331")),"331",IF(AND(OR(L3651="131",M3651="131"),H3651='131-CT'!$E$7),"131",""))</f>
        <v/>
      </c>
      <c r="O3651" s="525" t="str">
        <f>IF(AND($B3651&gt;='111'!$N$11,$B3651&lt;='111'!$O$11,OR($L3651=$O$7,$M3651=$O$7)),"x","")</f>
        <v/>
      </c>
      <c r="P3651" s="525" t="str">
        <f>IF(AND($L3651=$O$7,$B3651&lt;'111'!$N$11),"x","")</f>
        <v/>
      </c>
      <c r="Q3651" s="525" t="str">
        <f>IF(AND($M3651=$O$7,$B3651&lt;'111'!$N$11),"x","")</f>
        <v/>
      </c>
      <c r="R3651" s="525" t="str">
        <f>IF(ISERROR(FIND('112'!$M$9,G3651,1)),"",IF((AND(FIND('112'!$M$9,G3651,1)&gt;=1,$B3651&gt;='112'!$N$8,$B3651&lt;='112'!$O$8,OR($L3651='112'!$I$6,$M3651='112'!$I$6))),"x",""))</f>
        <v/>
      </c>
      <c r="S3651" s="525" t="str">
        <f>IF(ISERROR(FIND('112'!$M$9,G3651,1)),"",IF((AND(LEFT(G3651,2)=LEFT('112'!$M$9,2),B3651&lt;'112'!$N$8,$L3651='112'!$I$6)),"x",""))</f>
        <v/>
      </c>
      <c r="T3651" s="525" t="str">
        <f>IF(ISERROR(FIND('112'!$M$9,G3651,1)),"",IF((AND(RIGHT(G3651,2)=RIGHT('112'!$M$9,2),B3651&lt;'112'!$N$8,$M3651='112'!$I$6)),"x",""))</f>
        <v/>
      </c>
      <c r="U3651" s="525" t="str">
        <f>IF(AND(B3651&gt;='IN-NX'!$P$3,B3651&lt;='IN-NX'!$Q$3,'IN-NX'!$D$7=D3651,OR(LEFT(L3651,2)="15",AND(LEFT(M3651,2)&lt;&gt;"15",LEFT(M3651,2)&lt;&gt;"33"))),"x","")</f>
        <v/>
      </c>
      <c r="V3651" s="525" t="str">
        <f>IF(AND(OR(LEFT(TH!L3651,2)="15",LEFT(TH!M3651,2)="15"),'152-CT'!$J$8=TH!F3651),"x","")</f>
        <v/>
      </c>
      <c r="W3651" s="525" t="str">
        <f>IF(AND(OR(LEFT(TH!L3651,2)="15",LEFT(TH!M3651,2)="15"),TK!$E$7=TH!F3651),"x","")</f>
        <v/>
      </c>
      <c r="X3651" s="525" t="str">
        <f>IF(AND('341-CT'!$E$9=H3651,OR(LEFT(L3651,3)=$X$7,LEFT(M3651,3)=$X$7)),"x","")</f>
        <v/>
      </c>
      <c r="Y3651" s="525" t="str">
        <f>IF(OR(TH!L3651=TH!$Y$7,M3651=TH!$Y$7),"x","")</f>
        <v/>
      </c>
      <c r="Z3651" s="525" t="str">
        <f>IF(AND(B3651&lt;=NKC!$N$8,B3651&gt;=NKC!$M$8),"x","")</f>
        <v/>
      </c>
      <c r="AA3651" s="535"/>
      <c r="AB3651" s="536"/>
      <c r="AC3651" s="536" t="str">
        <f>VLOOKUP(F3651,NXT!$B$12:$B$686,1,0)</f>
        <v>Thùng 47x47x59</v>
      </c>
      <c r="AD3651" s="536"/>
    </row>
    <row r="3652" spans="1:30" s="503" customFormat="1" ht="15.75" customHeight="1">
      <c r="A3652" s="517" t="str">
        <f>IF(B3652&lt;&gt;"",IF(AND(B3652&gt;=_TM1,B3652&lt;=_TM2,OR(TH!L3652="1111",TH!M3652="1111")),TH!D3652,""),"")</f>
        <v/>
      </c>
      <c r="B3652" s="531">
        <f t="shared" si="408"/>
        <v>8</v>
      </c>
      <c r="C3652" s="315">
        <f t="shared" si="409"/>
        <v>42978</v>
      </c>
      <c r="D3652" s="544" t="s">
        <v>1181</v>
      </c>
      <c r="E3652" s="315">
        <v>42978</v>
      </c>
      <c r="F3652" s="250" t="s">
        <v>1447</v>
      </c>
      <c r="G3652" s="314" t="s">
        <v>1446</v>
      </c>
      <c r="H3652" s="473" t="s">
        <v>284</v>
      </c>
      <c r="I3652" s="307">
        <v>16</v>
      </c>
      <c r="J3652" s="307">
        <v>38927</v>
      </c>
      <c r="K3652" s="532">
        <f t="shared" si="410"/>
        <v>622832</v>
      </c>
      <c r="L3652" s="534" t="s">
        <v>223</v>
      </c>
      <c r="M3652" s="534" t="s">
        <v>162</v>
      </c>
      <c r="N3652" s="525" t="str">
        <f>IF(AND('331-CT'!$E$7=TH!H3652,OR(L3652="331",M3652="331")),"331",IF(AND(OR(L3652="131",M3652="131"),H3652='131-CT'!$E$7),"131",""))</f>
        <v/>
      </c>
      <c r="O3652" s="525" t="str">
        <f>IF(AND($B3652&gt;='111'!$N$11,$B3652&lt;='111'!$O$11,OR($L3652=$O$7,$M3652=$O$7)),"x","")</f>
        <v/>
      </c>
      <c r="P3652" s="525" t="str">
        <f>IF(AND($L3652=$O$7,$B3652&lt;'111'!$N$11),"x","")</f>
        <v/>
      </c>
      <c r="Q3652" s="525" t="str">
        <f>IF(AND($M3652=$O$7,$B3652&lt;'111'!$N$11),"x","")</f>
        <v/>
      </c>
      <c r="R3652" s="525" t="str">
        <f>IF(ISERROR(FIND('112'!$M$9,G3652,1)),"",IF((AND(FIND('112'!$M$9,G3652,1)&gt;=1,$B3652&gt;='112'!$N$8,$B3652&lt;='112'!$O$8,OR($L3652='112'!$I$6,$M3652='112'!$I$6))),"x",""))</f>
        <v/>
      </c>
      <c r="S3652" s="525" t="str">
        <f>IF(ISERROR(FIND('112'!$M$9,G3652,1)),"",IF((AND(LEFT(G3652,2)=LEFT('112'!$M$9,2),B3652&lt;'112'!$N$8,$L3652='112'!$I$6)),"x",""))</f>
        <v/>
      </c>
      <c r="T3652" s="525" t="str">
        <f>IF(ISERROR(FIND('112'!$M$9,G3652,1)),"",IF((AND(RIGHT(G3652,2)=RIGHT('112'!$M$9,2),B3652&lt;'112'!$N$8,$M3652='112'!$I$6)),"x",""))</f>
        <v/>
      </c>
      <c r="U3652" s="525" t="str">
        <f>IF(AND(B3652&gt;='IN-NX'!$P$3,B3652&lt;='IN-NX'!$Q$3,'IN-NX'!$D$7=D3652,OR(LEFT(L3652,2)="15",AND(LEFT(M3652,2)&lt;&gt;"15",LEFT(M3652,2)&lt;&gt;"33"))),"x","")</f>
        <v/>
      </c>
      <c r="V3652" s="525" t="str">
        <f>IF(AND(OR(LEFT(TH!L3652,2)="15",LEFT(TH!M3652,2)="15"),'152-CT'!$J$8=TH!F3652),"x","")</f>
        <v/>
      </c>
      <c r="W3652" s="525" t="str">
        <f>IF(AND(OR(LEFT(TH!L3652,2)="15",LEFT(TH!M3652,2)="15"),TK!$E$7=TH!F3652),"x","")</f>
        <v/>
      </c>
      <c r="X3652" s="525" t="str">
        <f>IF(AND('341-CT'!$E$9=H3652,OR(LEFT(L3652,3)=$X$7,LEFT(M3652,3)=$X$7)),"x","")</f>
        <v/>
      </c>
      <c r="Y3652" s="525" t="str">
        <f>IF(OR(TH!L3652=TH!$Y$7,M3652=TH!$Y$7),"x","")</f>
        <v/>
      </c>
      <c r="Z3652" s="525" t="str">
        <f>IF(AND(B3652&lt;=NKC!$N$8,B3652&gt;=NKC!$M$8),"x","")</f>
        <v/>
      </c>
      <c r="AA3652" s="535"/>
      <c r="AB3652" s="536"/>
      <c r="AC3652" s="536" t="str">
        <f>VLOOKUP(F3652,NXT!$B$12:$B$686,1,0)</f>
        <v>Thùng 39x39x72</v>
      </c>
      <c r="AD3652" s="536"/>
    </row>
    <row r="3653" spans="1:30" s="503" customFormat="1" ht="15.75" customHeight="1">
      <c r="A3653" s="517" t="str">
        <f>IF(B3653&lt;&gt;"",IF(AND(B3653&gt;=_TM1,B3653&lt;=_TM2,OR(TH!L3653="1111",TH!M3653="1111")),TH!D3653,""),"")</f>
        <v/>
      </c>
      <c r="B3653" s="531">
        <f t="shared" si="408"/>
        <v>8</v>
      </c>
      <c r="C3653" s="315">
        <f t="shared" si="409"/>
        <v>42978</v>
      </c>
      <c r="D3653" s="544" t="s">
        <v>1181</v>
      </c>
      <c r="E3653" s="315">
        <v>42978</v>
      </c>
      <c r="F3653" s="250" t="s">
        <v>689</v>
      </c>
      <c r="G3653" s="314" t="s">
        <v>1446</v>
      </c>
      <c r="H3653" s="473" t="s">
        <v>284</v>
      </c>
      <c r="I3653" s="307">
        <v>10</v>
      </c>
      <c r="J3653" s="307">
        <v>80162</v>
      </c>
      <c r="K3653" s="532">
        <f t="shared" si="410"/>
        <v>801620</v>
      </c>
      <c r="L3653" s="534" t="s">
        <v>223</v>
      </c>
      <c r="M3653" s="534" t="s">
        <v>162</v>
      </c>
      <c r="N3653" s="525" t="str">
        <f>IF(AND('331-CT'!$E$7=TH!H3653,OR(L3653="331",M3653="331")),"331",IF(AND(OR(L3653="131",M3653="131"),H3653='131-CT'!$E$7),"131",""))</f>
        <v/>
      </c>
      <c r="O3653" s="525" t="str">
        <f>IF(AND($B3653&gt;='111'!$N$11,$B3653&lt;='111'!$O$11,OR($L3653=$O$7,$M3653=$O$7)),"x","")</f>
        <v/>
      </c>
      <c r="P3653" s="525" t="str">
        <f>IF(AND($L3653=$O$7,$B3653&lt;'111'!$N$11),"x","")</f>
        <v/>
      </c>
      <c r="Q3653" s="525" t="str">
        <f>IF(AND($M3653=$O$7,$B3653&lt;'111'!$N$11),"x","")</f>
        <v/>
      </c>
      <c r="R3653" s="525" t="str">
        <f>IF(ISERROR(FIND('112'!$M$9,G3653,1)),"",IF((AND(FIND('112'!$M$9,G3653,1)&gt;=1,$B3653&gt;='112'!$N$8,$B3653&lt;='112'!$O$8,OR($L3653='112'!$I$6,$M3653='112'!$I$6))),"x",""))</f>
        <v/>
      </c>
      <c r="S3653" s="525" t="str">
        <f>IF(ISERROR(FIND('112'!$M$9,G3653,1)),"",IF((AND(LEFT(G3653,2)=LEFT('112'!$M$9,2),B3653&lt;'112'!$N$8,$L3653='112'!$I$6)),"x",""))</f>
        <v/>
      </c>
      <c r="T3653" s="525" t="str">
        <f>IF(ISERROR(FIND('112'!$M$9,G3653,1)),"",IF((AND(RIGHT(G3653,2)=RIGHT('112'!$M$9,2),B3653&lt;'112'!$N$8,$M3653='112'!$I$6)),"x",""))</f>
        <v/>
      </c>
      <c r="U3653" s="525" t="str">
        <f>IF(AND(B3653&gt;='IN-NX'!$P$3,B3653&lt;='IN-NX'!$Q$3,'IN-NX'!$D$7=D3653,OR(LEFT(L3653,2)="15",AND(LEFT(M3653,2)&lt;&gt;"15",LEFT(M3653,2)&lt;&gt;"33"))),"x","")</f>
        <v/>
      </c>
      <c r="V3653" s="525" t="str">
        <f>IF(AND(OR(LEFT(TH!L3653,2)="15",LEFT(TH!M3653,2)="15"),'152-CT'!$J$8=TH!F3653),"x","")</f>
        <v/>
      </c>
      <c r="W3653" s="525" t="str">
        <f>IF(AND(OR(LEFT(TH!L3653,2)="15",LEFT(TH!M3653,2)="15"),TK!$E$7=TH!F3653),"x","")</f>
        <v/>
      </c>
      <c r="X3653" s="525" t="str">
        <f>IF(AND('341-CT'!$E$9=H3653,OR(LEFT(L3653,3)=$X$7,LEFT(M3653,3)=$X$7)),"x","")</f>
        <v/>
      </c>
      <c r="Y3653" s="525" t="str">
        <f>IF(OR(TH!L3653=TH!$Y$7,M3653=TH!$Y$7),"x","")</f>
        <v/>
      </c>
      <c r="Z3653" s="525" t="str">
        <f>IF(AND(B3653&lt;=NKC!$N$8,B3653&gt;=NKC!$M$8),"x","")</f>
        <v/>
      </c>
      <c r="AA3653" s="535"/>
      <c r="AB3653" s="536"/>
      <c r="AC3653" s="536" t="str">
        <f>VLOOKUP(F3653,NXT!$B$12:$B$686,1,0)</f>
        <v>Thùng 67x67x67</v>
      </c>
    </row>
    <row r="3654" spans="1:30" s="503" customFormat="1" ht="15.75" customHeight="1">
      <c r="A3654" s="517" t="str">
        <f>IF(B3654&lt;&gt;"",IF(AND(B3654&gt;=_TM1,B3654&lt;=_TM2,OR(TH!L3654="1111",TH!M3654="1111")),TH!D3654,""),"")</f>
        <v/>
      </c>
      <c r="B3654" s="531">
        <f t="shared" si="408"/>
        <v>8</v>
      </c>
      <c r="C3654" s="315">
        <f t="shared" si="409"/>
        <v>42978</v>
      </c>
      <c r="D3654" s="544" t="s">
        <v>1181</v>
      </c>
      <c r="E3654" s="315">
        <v>42978</v>
      </c>
      <c r="F3654" s="250" t="s">
        <v>1448</v>
      </c>
      <c r="G3654" s="314" t="s">
        <v>1446</v>
      </c>
      <c r="H3654" s="473" t="s">
        <v>284</v>
      </c>
      <c r="I3654" s="307">
        <v>20</v>
      </c>
      <c r="J3654" s="307">
        <v>150816</v>
      </c>
      <c r="K3654" s="532">
        <f t="shared" si="410"/>
        <v>3016320</v>
      </c>
      <c r="L3654" s="534" t="s">
        <v>223</v>
      </c>
      <c r="M3654" s="534" t="s">
        <v>162</v>
      </c>
      <c r="N3654" s="525" t="str">
        <f>IF(AND('331-CT'!$E$7=TH!H3654,OR(L3654="331",M3654="331")),"331",IF(AND(OR(L3654="131",M3654="131"),H3654='131-CT'!$E$7),"131",""))</f>
        <v/>
      </c>
      <c r="O3654" s="525" t="str">
        <f>IF(AND($B3654&gt;='111'!$N$11,$B3654&lt;='111'!$O$11,OR($L3654=$O$7,$M3654=$O$7)),"x","")</f>
        <v/>
      </c>
      <c r="P3654" s="525" t="str">
        <f>IF(AND($L3654=$O$7,$B3654&lt;'111'!$N$11),"x","")</f>
        <v/>
      </c>
      <c r="Q3654" s="525" t="str">
        <f>IF(AND($M3654=$O$7,$B3654&lt;'111'!$N$11),"x","")</f>
        <v/>
      </c>
      <c r="R3654" s="525" t="str">
        <f>IF(ISERROR(FIND('112'!$M$9,G3654,1)),"",IF((AND(FIND('112'!$M$9,G3654,1)&gt;=1,$B3654&gt;='112'!$N$8,$B3654&lt;='112'!$O$8,OR($L3654='112'!$I$6,$M3654='112'!$I$6))),"x",""))</f>
        <v/>
      </c>
      <c r="S3654" s="525" t="str">
        <f>IF(ISERROR(FIND('112'!$M$9,G3654,1)),"",IF((AND(LEFT(G3654,2)=LEFT('112'!$M$9,2),B3654&lt;'112'!$N$8,$L3654='112'!$I$6)),"x",""))</f>
        <v/>
      </c>
      <c r="T3654" s="525" t="str">
        <f>IF(ISERROR(FIND('112'!$M$9,G3654,1)),"",IF((AND(RIGHT(G3654,2)=RIGHT('112'!$M$9,2),B3654&lt;'112'!$N$8,$M3654='112'!$I$6)),"x",""))</f>
        <v/>
      </c>
      <c r="U3654" s="525" t="str">
        <f>IF(AND(B3654&gt;='IN-NX'!$P$3,B3654&lt;='IN-NX'!$Q$3,'IN-NX'!$D$7=D3654,OR(LEFT(L3654,2)="15",AND(LEFT(M3654,2)&lt;&gt;"15",LEFT(M3654,2)&lt;&gt;"33"))),"x","")</f>
        <v/>
      </c>
      <c r="V3654" s="525" t="str">
        <f>IF(AND(OR(LEFT(TH!L3654,2)="15",LEFT(TH!M3654,2)="15"),'152-CT'!$J$8=TH!F3654),"x","")</f>
        <v/>
      </c>
      <c r="W3654" s="525" t="str">
        <f>IF(AND(OR(LEFT(TH!L3654,2)="15",LEFT(TH!M3654,2)="15"),TK!$E$7=TH!F3654),"x","")</f>
        <v/>
      </c>
      <c r="X3654" s="525" t="str">
        <f>IF(AND('341-CT'!$E$9=H3654,OR(LEFT(L3654,3)=$X$7,LEFT(M3654,3)=$X$7)),"x","")</f>
        <v/>
      </c>
      <c r="Y3654" s="525" t="str">
        <f>IF(OR(TH!L3654=TH!$Y$7,M3654=TH!$Y$7),"x","")</f>
        <v/>
      </c>
      <c r="Z3654" s="525" t="str">
        <f>IF(AND(B3654&lt;=NKC!$N$8,B3654&gt;=NKC!$M$8),"x","")</f>
        <v/>
      </c>
      <c r="AA3654" s="535"/>
      <c r="AB3654" s="536"/>
      <c r="AC3654" s="536" t="str">
        <f>VLOOKUP(F3654,NXT!$B$12:$B$686,1,0)</f>
        <v>Thùng 142x92x55</v>
      </c>
      <c r="AD3654" s="536"/>
    </row>
    <row r="3655" spans="1:30" s="503" customFormat="1" ht="15.75" customHeight="1">
      <c r="A3655" s="517" t="str">
        <f>IF(B3655&lt;&gt;"",IF(AND(B3655&gt;=_TM1,B3655&lt;=_TM2,OR(TH!L3655="1111",TH!M3655="1111")),TH!D3655,""),"")</f>
        <v/>
      </c>
      <c r="B3655" s="531">
        <f t="shared" si="408"/>
        <v>8</v>
      </c>
      <c r="C3655" s="315">
        <f t="shared" si="409"/>
        <v>42978</v>
      </c>
      <c r="D3655" s="544" t="s">
        <v>1181</v>
      </c>
      <c r="E3655" s="315">
        <v>42978</v>
      </c>
      <c r="F3655" s="250" t="s">
        <v>659</v>
      </c>
      <c r="G3655" s="314" t="s">
        <v>1446</v>
      </c>
      <c r="H3655" s="473" t="s">
        <v>284</v>
      </c>
      <c r="I3655" s="307">
        <v>4</v>
      </c>
      <c r="J3655" s="307">
        <v>86685</v>
      </c>
      <c r="K3655" s="532">
        <f t="shared" si="410"/>
        <v>346740</v>
      </c>
      <c r="L3655" s="534" t="s">
        <v>223</v>
      </c>
      <c r="M3655" s="534" t="s">
        <v>162</v>
      </c>
      <c r="N3655" s="525" t="str">
        <f>IF(AND('331-CT'!$E$7=TH!H3655,OR(L3655="331",M3655="331")),"331",IF(AND(OR(L3655="131",M3655="131"),H3655='131-CT'!$E$7),"131",""))</f>
        <v/>
      </c>
      <c r="O3655" s="525" t="str">
        <f>IF(AND($B3655&gt;='111'!$N$11,$B3655&lt;='111'!$O$11,OR($L3655=$O$7,$M3655=$O$7)),"x","")</f>
        <v/>
      </c>
      <c r="P3655" s="525" t="str">
        <f>IF(AND($L3655=$O$7,$B3655&lt;'111'!$N$11),"x","")</f>
        <v/>
      </c>
      <c r="Q3655" s="525" t="str">
        <f>IF(AND($M3655=$O$7,$B3655&lt;'111'!$N$11),"x","")</f>
        <v/>
      </c>
      <c r="R3655" s="525" t="str">
        <f>IF(ISERROR(FIND('112'!$M$9,G3655,1)),"",IF((AND(FIND('112'!$M$9,G3655,1)&gt;=1,$B3655&gt;='112'!$N$8,$B3655&lt;='112'!$O$8,OR($L3655='112'!$I$6,$M3655='112'!$I$6))),"x",""))</f>
        <v/>
      </c>
      <c r="S3655" s="525" t="str">
        <f>IF(ISERROR(FIND('112'!$M$9,G3655,1)),"",IF((AND(LEFT(G3655,2)=LEFT('112'!$M$9,2),B3655&lt;'112'!$N$8,$L3655='112'!$I$6)),"x",""))</f>
        <v/>
      </c>
      <c r="T3655" s="525" t="str">
        <f>IF(ISERROR(FIND('112'!$M$9,G3655,1)),"",IF((AND(RIGHT(G3655,2)=RIGHT('112'!$M$9,2),B3655&lt;'112'!$N$8,$M3655='112'!$I$6)),"x",""))</f>
        <v/>
      </c>
      <c r="U3655" s="525" t="str">
        <f>IF(AND(B3655&gt;='IN-NX'!$P$3,B3655&lt;='IN-NX'!$Q$3,'IN-NX'!$D$7=D3655,OR(LEFT(L3655,2)="15",AND(LEFT(M3655,2)&lt;&gt;"15",LEFT(M3655,2)&lt;&gt;"33"))),"x","")</f>
        <v/>
      </c>
      <c r="V3655" s="525" t="str">
        <f>IF(AND(OR(LEFT(TH!L3655,2)="15",LEFT(TH!M3655,2)="15"),'152-CT'!$J$8=TH!F3655),"x","")</f>
        <v/>
      </c>
      <c r="W3655" s="525" t="str">
        <f>IF(AND(OR(LEFT(TH!L3655,2)="15",LEFT(TH!M3655,2)="15"),TK!$E$7=TH!F3655),"x","")</f>
        <v/>
      </c>
      <c r="X3655" s="525" t="str">
        <f>IF(AND('341-CT'!$E$9=H3655,OR(LEFT(L3655,3)=$X$7,LEFT(M3655,3)=$X$7)),"x","")</f>
        <v/>
      </c>
      <c r="Y3655" s="525" t="str">
        <f>IF(OR(TH!L3655=TH!$Y$7,M3655=TH!$Y$7),"x","")</f>
        <v/>
      </c>
      <c r="Z3655" s="525" t="str">
        <f>IF(AND(B3655&lt;=NKC!$N$8,B3655&gt;=NKC!$M$8),"x","")</f>
        <v/>
      </c>
      <c r="AA3655" s="535"/>
      <c r="AB3655" s="536"/>
      <c r="AC3655" s="536" t="str">
        <f>VLOOKUP(F3655,NXT!$B$12:$B$686,1,0)</f>
        <v>Thùng 62x62x87</v>
      </c>
      <c r="AD3655" s="536"/>
    </row>
    <row r="3656" spans="1:30" s="503" customFormat="1" ht="15.75" customHeight="1">
      <c r="A3656" s="517" t="str">
        <f>IF(B3656&lt;&gt;"",IF(AND(B3656&gt;=_TM1,B3656&lt;=_TM2,OR(TH!L3656="1111",TH!M3656="1111")),TH!D3656,""),"")</f>
        <v/>
      </c>
      <c r="B3656" s="531">
        <f t="shared" si="408"/>
        <v>8</v>
      </c>
      <c r="C3656" s="315">
        <f t="shared" si="409"/>
        <v>42978</v>
      </c>
      <c r="D3656" s="544" t="s">
        <v>1181</v>
      </c>
      <c r="E3656" s="315">
        <v>42978</v>
      </c>
      <c r="F3656" s="250" t="s">
        <v>697</v>
      </c>
      <c r="G3656" s="314" t="s">
        <v>1446</v>
      </c>
      <c r="H3656" s="473" t="s">
        <v>284</v>
      </c>
      <c r="I3656" s="307">
        <v>12</v>
      </c>
      <c r="J3656" s="307">
        <v>71511</v>
      </c>
      <c r="K3656" s="532">
        <f t="shared" si="410"/>
        <v>858132</v>
      </c>
      <c r="L3656" s="534" t="s">
        <v>223</v>
      </c>
      <c r="M3656" s="534" t="s">
        <v>162</v>
      </c>
      <c r="N3656" s="525" t="str">
        <f>IF(AND('331-CT'!$E$7=TH!H3656,OR(L3656="331",M3656="331")),"331",IF(AND(OR(L3656="131",M3656="131"),H3656='131-CT'!$E$7),"131",""))</f>
        <v/>
      </c>
      <c r="O3656" s="525" t="str">
        <f>IF(AND($B3656&gt;='111'!$N$11,$B3656&lt;='111'!$O$11,OR($L3656=$O$7,$M3656=$O$7)),"x","")</f>
        <v/>
      </c>
      <c r="P3656" s="525" t="str">
        <f>IF(AND($L3656=$O$7,$B3656&lt;'111'!$N$11),"x","")</f>
        <v/>
      </c>
      <c r="Q3656" s="525" t="str">
        <f>IF(AND($M3656=$O$7,$B3656&lt;'111'!$N$11),"x","")</f>
        <v/>
      </c>
      <c r="R3656" s="525" t="str">
        <f>IF(ISERROR(FIND('112'!$M$9,G3656,1)),"",IF((AND(FIND('112'!$M$9,G3656,1)&gt;=1,$B3656&gt;='112'!$N$8,$B3656&lt;='112'!$O$8,OR($L3656='112'!$I$6,$M3656='112'!$I$6))),"x",""))</f>
        <v/>
      </c>
      <c r="S3656" s="525" t="str">
        <f>IF(ISERROR(FIND('112'!$M$9,G3656,1)),"",IF((AND(LEFT(G3656,2)=LEFT('112'!$M$9,2),B3656&lt;'112'!$N$8,$L3656='112'!$I$6)),"x",""))</f>
        <v/>
      </c>
      <c r="T3656" s="525" t="str">
        <f>IF(ISERROR(FIND('112'!$M$9,G3656,1)),"",IF((AND(RIGHT(G3656,2)=RIGHT('112'!$M$9,2),B3656&lt;'112'!$N$8,$M3656='112'!$I$6)),"x",""))</f>
        <v/>
      </c>
      <c r="U3656" s="525" t="str">
        <f>IF(AND(B3656&gt;='IN-NX'!$P$3,B3656&lt;='IN-NX'!$Q$3,'IN-NX'!$D$7=D3656,OR(LEFT(L3656,2)="15",AND(LEFT(M3656,2)&lt;&gt;"15",LEFT(M3656,2)&lt;&gt;"33"))),"x","")</f>
        <v/>
      </c>
      <c r="V3656" s="525" t="str">
        <f>IF(AND(OR(LEFT(TH!L3656,2)="15",LEFT(TH!M3656,2)="15"),'152-CT'!$J$8=TH!F3656),"x","")</f>
        <v/>
      </c>
      <c r="W3656" s="525" t="str">
        <f>IF(AND(OR(LEFT(TH!L3656,2)="15",LEFT(TH!M3656,2)="15"),TK!$E$7=TH!F3656),"x","")</f>
        <v/>
      </c>
      <c r="X3656" s="525" t="str">
        <f>IF(AND('341-CT'!$E$9=H3656,OR(LEFT(L3656,3)=$X$7,LEFT(M3656,3)=$X$7)),"x","")</f>
        <v/>
      </c>
      <c r="Y3656" s="525" t="str">
        <f>IF(OR(TH!L3656=TH!$Y$7,M3656=TH!$Y$7),"x","")</f>
        <v/>
      </c>
      <c r="Z3656" s="525" t="str">
        <f>IF(AND(B3656&lt;=NKC!$N$8,B3656&gt;=NKC!$M$8),"x","")</f>
        <v/>
      </c>
      <c r="AA3656" s="535"/>
      <c r="AB3656" s="536"/>
      <c r="AC3656" s="536" t="str">
        <f>VLOOKUP(F3656,NXT!$B$12:$B$686,1,0)</f>
        <v>Thùng 72x47x87</v>
      </c>
    </row>
    <row r="3657" spans="1:30" s="503" customFormat="1" ht="15.75" customHeight="1">
      <c r="A3657" s="517" t="str">
        <f>IF(B3657&lt;&gt;"",IF(AND(B3657&gt;=_TM1,B3657&lt;=_TM2,OR(TH!L3657="1111",TH!M3657="1111")),TH!D3657,""),"")</f>
        <v/>
      </c>
      <c r="B3657" s="531">
        <f t="shared" si="408"/>
        <v>8</v>
      </c>
      <c r="C3657" s="315">
        <f t="shared" si="409"/>
        <v>42978</v>
      </c>
      <c r="D3657" s="544" t="s">
        <v>1181</v>
      </c>
      <c r="E3657" s="315">
        <v>42978</v>
      </c>
      <c r="F3657" s="250" t="s">
        <v>693</v>
      </c>
      <c r="G3657" s="314" t="s">
        <v>1446</v>
      </c>
      <c r="H3657" s="473" t="s">
        <v>284</v>
      </c>
      <c r="I3657" s="307">
        <v>20</v>
      </c>
      <c r="J3657" s="307">
        <v>102971</v>
      </c>
      <c r="K3657" s="532">
        <f t="shared" si="410"/>
        <v>2059420</v>
      </c>
      <c r="L3657" s="534" t="s">
        <v>223</v>
      </c>
      <c r="M3657" s="534" t="s">
        <v>162</v>
      </c>
      <c r="N3657" s="525" t="str">
        <f>IF(AND('331-CT'!$E$7=TH!H3657,OR(L3657="331",M3657="331")),"331",IF(AND(OR(L3657="131",M3657="131"),H3657='131-CT'!$E$7),"131",""))</f>
        <v/>
      </c>
      <c r="O3657" s="525" t="str">
        <f>IF(AND($B3657&gt;='111'!$N$11,$B3657&lt;='111'!$O$11,OR($L3657=$O$7,$M3657=$O$7)),"x","")</f>
        <v/>
      </c>
      <c r="P3657" s="525" t="str">
        <f>IF(AND($L3657=$O$7,$B3657&lt;'111'!$N$11),"x","")</f>
        <v/>
      </c>
      <c r="Q3657" s="525" t="str">
        <f>IF(AND($M3657=$O$7,$B3657&lt;'111'!$N$11),"x","")</f>
        <v/>
      </c>
      <c r="R3657" s="525" t="str">
        <f>IF(ISERROR(FIND('112'!$M$9,G3657,1)),"",IF((AND(FIND('112'!$M$9,G3657,1)&gt;=1,$B3657&gt;='112'!$N$8,$B3657&lt;='112'!$O$8,OR($L3657='112'!$I$6,$M3657='112'!$I$6))),"x",""))</f>
        <v/>
      </c>
      <c r="S3657" s="525" t="str">
        <f>IF(ISERROR(FIND('112'!$M$9,G3657,1)),"",IF((AND(LEFT(G3657,2)=LEFT('112'!$M$9,2),B3657&lt;'112'!$N$8,$L3657='112'!$I$6)),"x",""))</f>
        <v/>
      </c>
      <c r="T3657" s="525" t="str">
        <f>IF(ISERROR(FIND('112'!$M$9,G3657,1)),"",IF((AND(RIGHT(G3657,2)=RIGHT('112'!$M$9,2),B3657&lt;'112'!$N$8,$M3657='112'!$I$6)),"x",""))</f>
        <v/>
      </c>
      <c r="U3657" s="525" t="str">
        <f>IF(AND(B3657&gt;='IN-NX'!$P$3,B3657&lt;='IN-NX'!$Q$3,'IN-NX'!$D$7=D3657,OR(LEFT(L3657,2)="15",AND(LEFT(M3657,2)&lt;&gt;"15",LEFT(M3657,2)&lt;&gt;"33"))),"x","")</f>
        <v/>
      </c>
      <c r="V3657" s="525" t="str">
        <f>IF(AND(OR(LEFT(TH!L3657,2)="15",LEFT(TH!M3657,2)="15"),'152-CT'!$J$8=TH!F3657),"x","")</f>
        <v/>
      </c>
      <c r="W3657" s="525" t="str">
        <f>IF(AND(OR(LEFT(TH!L3657,2)="15",LEFT(TH!M3657,2)="15"),TK!$E$7=TH!F3657),"x","")</f>
        <v/>
      </c>
      <c r="X3657" s="525" t="str">
        <f>IF(AND('341-CT'!$E$9=H3657,OR(LEFT(L3657,3)=$X$7,LEFT(M3657,3)=$X$7)),"x","")</f>
        <v/>
      </c>
      <c r="Y3657" s="525" t="str">
        <f>IF(OR(TH!L3657=TH!$Y$7,M3657=TH!$Y$7),"x","")</f>
        <v/>
      </c>
      <c r="Z3657" s="525" t="str">
        <f>IF(AND(B3657&lt;=NKC!$N$8,B3657&gt;=NKC!$M$8),"x","")</f>
        <v/>
      </c>
      <c r="AA3657" s="535"/>
      <c r="AB3657" s="536"/>
      <c r="AC3657" s="536" t="str">
        <f>VLOOKUP(F3657,NXT!$B$12:$B$686,1,0)</f>
        <v>Thùng 172x47x59</v>
      </c>
      <c r="AD3657" s="536"/>
    </row>
    <row r="3658" spans="1:30" s="503" customFormat="1" ht="15.75" customHeight="1">
      <c r="A3658" s="517" t="str">
        <f>IF(B3658&lt;&gt;"",IF(AND(B3658&gt;=_TM1,B3658&lt;=_TM2,OR(TH!L3658="1111",TH!M3658="1111")),TH!D3658,""),"")</f>
        <v/>
      </c>
      <c r="B3658" s="531">
        <f t="shared" si="408"/>
        <v>8</v>
      </c>
      <c r="C3658" s="315">
        <f t="shared" si="409"/>
        <v>42978</v>
      </c>
      <c r="D3658" s="544" t="s">
        <v>1181</v>
      </c>
      <c r="E3658" s="315">
        <v>42978</v>
      </c>
      <c r="F3658" s="250" t="s">
        <v>1001</v>
      </c>
      <c r="G3658" s="314" t="s">
        <v>1446</v>
      </c>
      <c r="H3658" s="473" t="s">
        <v>284</v>
      </c>
      <c r="I3658" s="307">
        <v>8</v>
      </c>
      <c r="J3658" s="307">
        <v>171986</v>
      </c>
      <c r="K3658" s="532">
        <f t="shared" si="410"/>
        <v>1375888</v>
      </c>
      <c r="L3658" s="534" t="s">
        <v>223</v>
      </c>
      <c r="M3658" s="534" t="s">
        <v>162</v>
      </c>
      <c r="N3658" s="525" t="str">
        <f>IF(AND('331-CT'!$E$7=TH!H3658,OR(L3658="331",M3658="331")),"331",IF(AND(OR(L3658="131",M3658="131"),H3658='131-CT'!$E$7),"131",""))</f>
        <v/>
      </c>
      <c r="O3658" s="525" t="str">
        <f>IF(AND($B3658&gt;='111'!$N$11,$B3658&lt;='111'!$O$11,OR($L3658=$O$7,$M3658=$O$7)),"x","")</f>
        <v/>
      </c>
      <c r="P3658" s="525" t="str">
        <f>IF(AND($L3658=$O$7,$B3658&lt;'111'!$N$11),"x","")</f>
        <v/>
      </c>
      <c r="Q3658" s="525" t="str">
        <f>IF(AND($M3658=$O$7,$B3658&lt;'111'!$N$11),"x","")</f>
        <v/>
      </c>
      <c r="R3658" s="525" t="str">
        <f>IF(ISERROR(FIND('112'!$M$9,G3658,1)),"",IF((AND(FIND('112'!$M$9,G3658,1)&gt;=1,$B3658&gt;='112'!$N$8,$B3658&lt;='112'!$O$8,OR($L3658='112'!$I$6,$M3658='112'!$I$6))),"x",""))</f>
        <v/>
      </c>
      <c r="S3658" s="525" t="str">
        <f>IF(ISERROR(FIND('112'!$M$9,G3658,1)),"",IF((AND(LEFT(G3658,2)=LEFT('112'!$M$9,2),B3658&lt;'112'!$N$8,$L3658='112'!$I$6)),"x",""))</f>
        <v/>
      </c>
      <c r="T3658" s="525" t="str">
        <f>IF(ISERROR(FIND('112'!$M$9,G3658,1)),"",IF((AND(RIGHT(G3658,2)=RIGHT('112'!$M$9,2),B3658&lt;'112'!$N$8,$M3658='112'!$I$6)),"x",""))</f>
        <v/>
      </c>
      <c r="U3658" s="525" t="str">
        <f>IF(AND(B3658&gt;='IN-NX'!$P$3,B3658&lt;='IN-NX'!$Q$3,'IN-NX'!$D$7=D3658,OR(LEFT(L3658,2)="15",AND(LEFT(M3658,2)&lt;&gt;"15",LEFT(M3658,2)&lt;&gt;"33"))),"x","")</f>
        <v/>
      </c>
      <c r="V3658" s="525" t="str">
        <f>IF(AND(OR(LEFT(TH!L3658,2)="15",LEFT(TH!M3658,2)="15"),'152-CT'!$J$8=TH!F3658),"x","")</f>
        <v/>
      </c>
      <c r="W3658" s="525" t="str">
        <f>IF(AND(OR(LEFT(TH!L3658,2)="15",LEFT(TH!M3658,2)="15"),TK!$E$7=TH!F3658),"x","")</f>
        <v/>
      </c>
      <c r="X3658" s="525" t="str">
        <f>IF(AND('341-CT'!$E$9=H3658,OR(LEFT(L3658,3)=$X$7,LEFT(M3658,3)=$X$7)),"x","")</f>
        <v/>
      </c>
      <c r="Y3658" s="525" t="str">
        <f>IF(OR(TH!L3658=TH!$Y$7,M3658=TH!$Y$7),"x","")</f>
        <v/>
      </c>
      <c r="Z3658" s="525" t="str">
        <f>IF(AND(B3658&lt;=NKC!$N$8,B3658&gt;=NKC!$M$8),"x","")</f>
        <v/>
      </c>
      <c r="AA3658" s="535"/>
      <c r="AB3658" s="536"/>
      <c r="AC3658" s="536" t="str">
        <f>VLOOKUP(F3658,NXT!$B$12:$B$686,1,0)</f>
        <v>Thùng 112x112x55</v>
      </c>
      <c r="AD3658" s="536"/>
    </row>
    <row r="3659" spans="1:30" s="503" customFormat="1" ht="15.75" customHeight="1">
      <c r="A3659" s="517" t="str">
        <f>IF(B3659&lt;&gt;"",IF(AND(B3659&gt;=_TM1,B3659&lt;=_TM2,OR(TH!L3659="1111",TH!M3659="1111")),TH!D3659,""),"")</f>
        <v/>
      </c>
      <c r="B3659" s="531">
        <f t="shared" si="408"/>
        <v>8</v>
      </c>
      <c r="C3659" s="315">
        <f t="shared" si="409"/>
        <v>42978</v>
      </c>
      <c r="D3659" s="544" t="s">
        <v>1181</v>
      </c>
      <c r="E3659" s="315">
        <v>42978</v>
      </c>
      <c r="F3659" s="250" t="s">
        <v>1234</v>
      </c>
      <c r="G3659" s="314" t="s">
        <v>1446</v>
      </c>
      <c r="H3659" s="473" t="s">
        <v>284</v>
      </c>
      <c r="I3659" s="307">
        <v>11</v>
      </c>
      <c r="J3659" s="307">
        <v>107567</v>
      </c>
      <c r="K3659" s="532">
        <f t="shared" si="410"/>
        <v>1183237</v>
      </c>
      <c r="L3659" s="534" t="s">
        <v>223</v>
      </c>
      <c r="M3659" s="534" t="s">
        <v>162</v>
      </c>
      <c r="N3659" s="525" t="str">
        <f>IF(AND('331-CT'!$E$7=TH!H3659,OR(L3659="331",M3659="331")),"331",IF(AND(OR(L3659="131",M3659="131"),H3659='131-CT'!$E$7),"131",""))</f>
        <v/>
      </c>
      <c r="O3659" s="525" t="str">
        <f>IF(AND($B3659&gt;='111'!$N$11,$B3659&lt;='111'!$O$11,OR($L3659=$O$7,$M3659=$O$7)),"x","")</f>
        <v/>
      </c>
      <c r="P3659" s="525" t="str">
        <f>IF(AND($L3659=$O$7,$B3659&lt;'111'!$N$11),"x","")</f>
        <v/>
      </c>
      <c r="Q3659" s="525" t="str">
        <f>IF(AND($M3659=$O$7,$B3659&lt;'111'!$N$11),"x","")</f>
        <v/>
      </c>
      <c r="R3659" s="525" t="str">
        <f>IF(ISERROR(FIND('112'!$M$9,G3659,1)),"",IF((AND(FIND('112'!$M$9,G3659,1)&gt;=1,$B3659&gt;='112'!$N$8,$B3659&lt;='112'!$O$8,OR($L3659='112'!$I$6,$M3659='112'!$I$6))),"x",""))</f>
        <v/>
      </c>
      <c r="S3659" s="525" t="str">
        <f>IF(ISERROR(FIND('112'!$M$9,G3659,1)),"",IF((AND(LEFT(G3659,2)=LEFT('112'!$M$9,2),B3659&lt;'112'!$N$8,$L3659='112'!$I$6)),"x",""))</f>
        <v/>
      </c>
      <c r="T3659" s="525" t="str">
        <f>IF(ISERROR(FIND('112'!$M$9,G3659,1)),"",IF((AND(RIGHT(G3659,2)=RIGHT('112'!$M$9,2),B3659&lt;'112'!$N$8,$M3659='112'!$I$6)),"x",""))</f>
        <v/>
      </c>
      <c r="U3659" s="525" t="str">
        <f>IF(AND(B3659&gt;='IN-NX'!$P$3,B3659&lt;='IN-NX'!$Q$3,'IN-NX'!$D$7=D3659,OR(LEFT(L3659,2)="15",AND(LEFT(M3659,2)&lt;&gt;"15",LEFT(M3659,2)&lt;&gt;"33"))),"x","")</f>
        <v/>
      </c>
      <c r="V3659" s="525" t="str">
        <f>IF(AND(OR(LEFT(TH!L3659,2)="15",LEFT(TH!M3659,2)="15"),'152-CT'!$J$8=TH!F3659),"x","")</f>
        <v/>
      </c>
      <c r="W3659" s="525" t="str">
        <f>IF(AND(OR(LEFT(TH!L3659,2)="15",LEFT(TH!M3659,2)="15"),TK!$E$7=TH!F3659),"x","")</f>
        <v/>
      </c>
      <c r="X3659" s="525" t="str">
        <f>IF(AND('341-CT'!$E$9=H3659,OR(LEFT(L3659,3)=$X$7,LEFT(M3659,3)=$X$7)),"x","")</f>
        <v/>
      </c>
      <c r="Y3659" s="525" t="str">
        <f>IF(OR(TH!L3659=TH!$Y$7,M3659=TH!$Y$7),"x","")</f>
        <v/>
      </c>
      <c r="Z3659" s="525" t="str">
        <f>IF(AND(B3659&lt;=NKC!$N$8,B3659&gt;=NKC!$M$8),"x","")</f>
        <v/>
      </c>
      <c r="AA3659" s="535"/>
      <c r="AB3659" s="536"/>
      <c r="AC3659" s="536" t="str">
        <f>VLOOKUP(F3659,NXT!$B$12:$B$686,1,0)</f>
        <v>Thùng 182x47x59</v>
      </c>
    </row>
    <row r="3660" spans="1:30" s="503" customFormat="1" ht="15.75" customHeight="1">
      <c r="A3660" s="517" t="str">
        <f>IF(B3660&lt;&gt;"",IF(AND(B3660&gt;=_TM1,B3660&lt;=_TM2,OR(TH!L3660="1111",TH!M3660="1111")),TH!D3660,""),"")</f>
        <v/>
      </c>
      <c r="B3660" s="531">
        <f t="shared" si="408"/>
        <v>8</v>
      </c>
      <c r="C3660" s="315">
        <f t="shared" si="409"/>
        <v>42978</v>
      </c>
      <c r="D3660" s="544" t="s">
        <v>1181</v>
      </c>
      <c r="E3660" s="315">
        <v>42978</v>
      </c>
      <c r="F3660" s="250" t="s">
        <v>698</v>
      </c>
      <c r="G3660" s="314" t="s">
        <v>1446</v>
      </c>
      <c r="H3660" s="473" t="s">
        <v>284</v>
      </c>
      <c r="I3660" s="307">
        <v>10</v>
      </c>
      <c r="J3660" s="307">
        <v>142521</v>
      </c>
      <c r="K3660" s="532">
        <f t="shared" si="410"/>
        <v>1425210</v>
      </c>
      <c r="L3660" s="534" t="s">
        <v>223</v>
      </c>
      <c r="M3660" s="534" t="s">
        <v>162</v>
      </c>
      <c r="N3660" s="525" t="str">
        <f>IF(AND('331-CT'!$E$7=TH!H3660,OR(L3660="331",M3660="331")),"331",IF(AND(OR(L3660="131",M3660="131"),H3660='131-CT'!$E$7),"131",""))</f>
        <v/>
      </c>
      <c r="O3660" s="525" t="str">
        <f>IF(AND($B3660&gt;='111'!$N$11,$B3660&lt;='111'!$O$11,OR($L3660=$O$7,$M3660=$O$7)),"x","")</f>
        <v/>
      </c>
      <c r="P3660" s="525" t="str">
        <f>IF(AND($L3660=$O$7,$B3660&lt;'111'!$N$11),"x","")</f>
        <v/>
      </c>
      <c r="Q3660" s="525" t="str">
        <f>IF(AND($M3660=$O$7,$B3660&lt;'111'!$N$11),"x","")</f>
        <v/>
      </c>
      <c r="R3660" s="525" t="str">
        <f>IF(ISERROR(FIND('112'!$M$9,G3660,1)),"",IF((AND(FIND('112'!$M$9,G3660,1)&gt;=1,$B3660&gt;='112'!$N$8,$B3660&lt;='112'!$O$8,OR($L3660='112'!$I$6,$M3660='112'!$I$6))),"x",""))</f>
        <v/>
      </c>
      <c r="S3660" s="525" t="str">
        <f>IF(ISERROR(FIND('112'!$M$9,G3660,1)),"",IF((AND(LEFT(G3660,2)=LEFT('112'!$M$9,2),B3660&lt;'112'!$N$8,$L3660='112'!$I$6)),"x",""))</f>
        <v/>
      </c>
      <c r="T3660" s="525" t="str">
        <f>IF(ISERROR(FIND('112'!$M$9,G3660,1)),"",IF((AND(RIGHT(G3660,2)=RIGHT('112'!$M$9,2),B3660&lt;'112'!$N$8,$M3660='112'!$I$6)),"x",""))</f>
        <v/>
      </c>
      <c r="U3660" s="525" t="str">
        <f>IF(AND(B3660&gt;='IN-NX'!$P$3,B3660&lt;='IN-NX'!$Q$3,'IN-NX'!$D$7=D3660,OR(LEFT(L3660,2)="15",AND(LEFT(M3660,2)&lt;&gt;"15",LEFT(M3660,2)&lt;&gt;"33"))),"x","")</f>
        <v/>
      </c>
      <c r="V3660" s="525" t="str">
        <f>IF(AND(OR(LEFT(TH!L3660,2)="15",LEFT(TH!M3660,2)="15"),'152-CT'!$J$8=TH!F3660),"x","")</f>
        <v/>
      </c>
      <c r="W3660" s="525" t="str">
        <f>IF(AND(OR(LEFT(TH!L3660,2)="15",LEFT(TH!M3660,2)="15"),TK!$E$7=TH!F3660),"x","")</f>
        <v/>
      </c>
      <c r="X3660" s="525" t="str">
        <f>IF(AND('341-CT'!$E$9=H3660,OR(LEFT(L3660,3)=$X$7,LEFT(M3660,3)=$X$7)),"x","")</f>
        <v/>
      </c>
      <c r="Y3660" s="525" t="str">
        <f>IF(OR(TH!L3660=TH!$Y$7,M3660=TH!$Y$7),"x","")</f>
        <v/>
      </c>
      <c r="Z3660" s="525" t="str">
        <f>IF(AND(B3660&lt;=NKC!$N$8,B3660&gt;=NKC!$M$8),"x","")</f>
        <v/>
      </c>
      <c r="AA3660" s="535"/>
      <c r="AB3660" s="536"/>
      <c r="AC3660" s="536" t="str">
        <f>VLOOKUP(F3660,NXT!$B$12:$B$686,1,0)</f>
        <v>Thùng 139x88x55</v>
      </c>
      <c r="AD3660" s="536"/>
    </row>
    <row r="3661" spans="1:30" s="503" customFormat="1" ht="15.75" customHeight="1">
      <c r="A3661" s="517" t="str">
        <f>IF(B3661&lt;&gt;"",IF(AND(B3661&gt;=_TM1,B3661&lt;=_TM2,OR(TH!L3661="1111",TH!M3661="1111")),TH!D3661,""),"")</f>
        <v/>
      </c>
      <c r="B3661" s="531">
        <f t="shared" si="408"/>
        <v>8</v>
      </c>
      <c r="C3661" s="315">
        <f t="shared" si="409"/>
        <v>42978</v>
      </c>
      <c r="D3661" s="544" t="s">
        <v>1181</v>
      </c>
      <c r="E3661" s="315">
        <v>42978</v>
      </c>
      <c r="F3661" s="250" t="s">
        <v>648</v>
      </c>
      <c r="G3661" s="314" t="s">
        <v>1446</v>
      </c>
      <c r="H3661" s="473" t="s">
        <v>284</v>
      </c>
      <c r="I3661" s="307">
        <v>7</v>
      </c>
      <c r="J3661" s="307">
        <v>51742</v>
      </c>
      <c r="K3661" s="532">
        <f t="shared" si="410"/>
        <v>362194</v>
      </c>
      <c r="L3661" s="534" t="s">
        <v>223</v>
      </c>
      <c r="M3661" s="534" t="s">
        <v>162</v>
      </c>
      <c r="N3661" s="525" t="str">
        <f>IF(AND('331-CT'!$E$7=TH!H3661,OR(L3661="331",M3661="331")),"331",IF(AND(OR(L3661="131",M3661="131"),H3661='131-CT'!$E$7),"131",""))</f>
        <v/>
      </c>
      <c r="O3661" s="525" t="str">
        <f>IF(AND($B3661&gt;='111'!$N$11,$B3661&lt;='111'!$O$11,OR($L3661=$O$7,$M3661=$O$7)),"x","")</f>
        <v/>
      </c>
      <c r="P3661" s="525" t="str">
        <f>IF(AND($L3661=$O$7,$B3661&lt;'111'!$N$11),"x","")</f>
        <v/>
      </c>
      <c r="Q3661" s="525" t="str">
        <f>IF(AND($M3661=$O$7,$B3661&lt;'111'!$N$11),"x","")</f>
        <v/>
      </c>
      <c r="R3661" s="525" t="str">
        <f>IF(ISERROR(FIND('112'!$M$9,G3661,1)),"",IF((AND(FIND('112'!$M$9,G3661,1)&gt;=1,$B3661&gt;='112'!$N$8,$B3661&lt;='112'!$O$8,OR($L3661='112'!$I$6,$M3661='112'!$I$6))),"x",""))</f>
        <v/>
      </c>
      <c r="S3661" s="525" t="str">
        <f>IF(ISERROR(FIND('112'!$M$9,G3661,1)),"",IF((AND(LEFT(G3661,2)=LEFT('112'!$M$9,2),B3661&lt;'112'!$N$8,$L3661='112'!$I$6)),"x",""))</f>
        <v/>
      </c>
      <c r="T3661" s="525" t="str">
        <f>IF(ISERROR(FIND('112'!$M$9,G3661,1)),"",IF((AND(RIGHT(G3661,2)=RIGHT('112'!$M$9,2),B3661&lt;'112'!$N$8,$M3661='112'!$I$6)),"x",""))</f>
        <v/>
      </c>
      <c r="U3661" s="525" t="str">
        <f>IF(AND(B3661&gt;='IN-NX'!$P$3,B3661&lt;='IN-NX'!$Q$3,'IN-NX'!$D$7=D3661,OR(LEFT(L3661,2)="15",AND(LEFT(M3661,2)&lt;&gt;"15",LEFT(M3661,2)&lt;&gt;"33"))),"x","")</f>
        <v/>
      </c>
      <c r="V3661" s="525" t="str">
        <f>IF(AND(OR(LEFT(TH!L3661,2)="15",LEFT(TH!M3661,2)="15"),'152-CT'!$J$8=TH!F3661),"x","")</f>
        <v/>
      </c>
      <c r="W3661" s="525" t="str">
        <f>IF(AND(OR(LEFT(TH!L3661,2)="15",LEFT(TH!M3661,2)="15"),TK!$E$7=TH!F3661),"x","")</f>
        <v/>
      </c>
      <c r="X3661" s="525" t="str">
        <f>IF(AND('341-CT'!$E$9=H3661,OR(LEFT(L3661,3)=$X$7,LEFT(M3661,3)=$X$7)),"x","")</f>
        <v/>
      </c>
      <c r="Y3661" s="525" t="str">
        <f>IF(OR(TH!L3661=TH!$Y$7,M3661=TH!$Y$7),"x","")</f>
        <v/>
      </c>
      <c r="Z3661" s="525" t="str">
        <f>IF(AND(B3661&lt;=NKC!$N$8,B3661&gt;=NKC!$M$8),"x","")</f>
        <v/>
      </c>
      <c r="AA3661" s="535"/>
      <c r="AB3661" s="536"/>
      <c r="AC3661" s="536" t="str">
        <f>VLOOKUP(F3661,NXT!$B$12:$B$686,1,0)</f>
        <v>Thùng 72x42x53</v>
      </c>
      <c r="AD3661" s="536"/>
    </row>
    <row r="3662" spans="1:30" s="503" customFormat="1" ht="15.75" customHeight="1">
      <c r="A3662" s="517" t="str">
        <f>IF(B3662&lt;&gt;"",IF(AND(B3662&gt;=_TM1,B3662&lt;=_TM2,OR(TH!L3662="1111",TH!M3662="1111")),TH!D3662,""),"")</f>
        <v/>
      </c>
      <c r="B3662" s="531">
        <f t="shared" si="408"/>
        <v>8</v>
      </c>
      <c r="C3662" s="315">
        <f t="shared" si="409"/>
        <v>42978</v>
      </c>
      <c r="D3662" s="544" t="s">
        <v>1181</v>
      </c>
      <c r="E3662" s="315">
        <v>42978</v>
      </c>
      <c r="F3662" s="250" t="s">
        <v>661</v>
      </c>
      <c r="G3662" s="314" t="s">
        <v>1446</v>
      </c>
      <c r="H3662" s="473" t="s">
        <v>284</v>
      </c>
      <c r="I3662" s="307">
        <v>7</v>
      </c>
      <c r="J3662" s="307">
        <v>67422</v>
      </c>
      <c r="K3662" s="532">
        <f t="shared" si="410"/>
        <v>471954</v>
      </c>
      <c r="L3662" s="534" t="s">
        <v>223</v>
      </c>
      <c r="M3662" s="534" t="s">
        <v>162</v>
      </c>
      <c r="N3662" s="525" t="str">
        <f>IF(AND('331-CT'!$E$7=TH!H3662,OR(L3662="331",M3662="331")),"331",IF(AND(OR(L3662="131",M3662="131"),H3662='131-CT'!$E$7),"131",""))</f>
        <v/>
      </c>
      <c r="O3662" s="525" t="str">
        <f>IF(AND($B3662&gt;='111'!$N$11,$B3662&lt;='111'!$O$11,OR($L3662=$O$7,$M3662=$O$7)),"x","")</f>
        <v/>
      </c>
      <c r="P3662" s="525" t="str">
        <f>IF(AND($L3662=$O$7,$B3662&lt;'111'!$N$11),"x","")</f>
        <v/>
      </c>
      <c r="Q3662" s="525" t="str">
        <f>IF(AND($M3662=$O$7,$B3662&lt;'111'!$N$11),"x","")</f>
        <v/>
      </c>
      <c r="R3662" s="525" t="str">
        <f>IF(ISERROR(FIND('112'!$M$9,G3662,1)),"",IF((AND(FIND('112'!$M$9,G3662,1)&gt;=1,$B3662&gt;='112'!$N$8,$B3662&lt;='112'!$O$8,OR($L3662='112'!$I$6,$M3662='112'!$I$6))),"x",""))</f>
        <v/>
      </c>
      <c r="S3662" s="525" t="str">
        <f>IF(ISERROR(FIND('112'!$M$9,G3662,1)),"",IF((AND(LEFT(G3662,2)=LEFT('112'!$M$9,2),B3662&lt;'112'!$N$8,$L3662='112'!$I$6)),"x",""))</f>
        <v/>
      </c>
      <c r="T3662" s="525" t="str">
        <f>IF(ISERROR(FIND('112'!$M$9,G3662,1)),"",IF((AND(RIGHT(G3662,2)=RIGHT('112'!$M$9,2),B3662&lt;'112'!$N$8,$M3662='112'!$I$6)),"x",""))</f>
        <v/>
      </c>
      <c r="U3662" s="525" t="str">
        <f>IF(AND(B3662&gt;='IN-NX'!$P$3,B3662&lt;='IN-NX'!$Q$3,'IN-NX'!$D$7=D3662,OR(LEFT(L3662,2)="15",AND(LEFT(M3662,2)&lt;&gt;"15",LEFT(M3662,2)&lt;&gt;"33"))),"x","")</f>
        <v/>
      </c>
      <c r="V3662" s="525" t="str">
        <f>IF(AND(OR(LEFT(TH!L3662,2)="15",LEFT(TH!M3662,2)="15"),'152-CT'!$J$8=TH!F3662),"x","")</f>
        <v/>
      </c>
      <c r="W3662" s="525" t="str">
        <f>IF(AND(OR(LEFT(TH!L3662,2)="15",LEFT(TH!M3662,2)="15"),TK!$E$7=TH!F3662),"x","")</f>
        <v/>
      </c>
      <c r="X3662" s="525" t="str">
        <f>IF(AND('341-CT'!$E$9=H3662,OR(LEFT(L3662,3)=$X$7,LEFT(M3662,3)=$X$7)),"x","")</f>
        <v/>
      </c>
      <c r="Y3662" s="525" t="str">
        <f>IF(OR(TH!L3662=TH!$Y$7,M3662=TH!$Y$7),"x","")</f>
        <v/>
      </c>
      <c r="Z3662" s="525" t="str">
        <f>IF(AND(B3662&lt;=NKC!$N$8,B3662&gt;=NKC!$M$8),"x","")</f>
        <v/>
      </c>
      <c r="AA3662" s="535"/>
      <c r="AB3662" s="536"/>
      <c r="AC3662" s="536" t="str">
        <f>VLOOKUP(F3662,NXT!$B$12:$B$686,1,0)</f>
        <v>Thùng 62x62x53</v>
      </c>
    </row>
    <row r="3663" spans="1:30" s="503" customFormat="1" ht="15.75" customHeight="1">
      <c r="A3663" s="517" t="str">
        <f>IF(B3663&lt;&gt;"",IF(AND(B3663&gt;=_TM1,B3663&lt;=_TM2,OR(TH!L3663="1111",TH!M3663="1111")),TH!D3663,""),"")</f>
        <v/>
      </c>
      <c r="B3663" s="531">
        <f t="shared" si="408"/>
        <v>8</v>
      </c>
      <c r="C3663" s="315">
        <f t="shared" si="409"/>
        <v>42978</v>
      </c>
      <c r="D3663" s="544" t="s">
        <v>1181</v>
      </c>
      <c r="E3663" s="315">
        <v>42978</v>
      </c>
      <c r="F3663" s="250" t="s">
        <v>1449</v>
      </c>
      <c r="G3663" s="314" t="s">
        <v>1446</v>
      </c>
      <c r="H3663" s="473" t="s">
        <v>284</v>
      </c>
      <c r="I3663" s="307">
        <v>120</v>
      </c>
      <c r="J3663" s="307">
        <v>93212</v>
      </c>
      <c r="K3663" s="532">
        <f t="shared" si="410"/>
        <v>11185440</v>
      </c>
      <c r="L3663" s="534" t="s">
        <v>223</v>
      </c>
      <c r="M3663" s="534" t="s">
        <v>162</v>
      </c>
      <c r="N3663" s="525" t="str">
        <f>IF(AND('331-CT'!$E$7=TH!H3663,OR(L3663="331",M3663="331")),"331",IF(AND(OR(L3663="131",M3663="131"),H3663='131-CT'!$E$7),"131",""))</f>
        <v/>
      </c>
      <c r="O3663" s="525" t="str">
        <f>IF(AND($B3663&gt;='111'!$N$11,$B3663&lt;='111'!$O$11,OR($L3663=$O$7,$M3663=$O$7)),"x","")</f>
        <v/>
      </c>
      <c r="P3663" s="525" t="str">
        <f>IF(AND($L3663=$O$7,$B3663&lt;'111'!$N$11),"x","")</f>
        <v/>
      </c>
      <c r="Q3663" s="525" t="str">
        <f>IF(AND($M3663=$O$7,$B3663&lt;'111'!$N$11),"x","")</f>
        <v/>
      </c>
      <c r="R3663" s="525" t="str">
        <f>IF(ISERROR(FIND('112'!$M$9,G3663,1)),"",IF((AND(FIND('112'!$M$9,G3663,1)&gt;=1,$B3663&gt;='112'!$N$8,$B3663&lt;='112'!$O$8,OR($L3663='112'!$I$6,$M3663='112'!$I$6))),"x",""))</f>
        <v/>
      </c>
      <c r="S3663" s="525" t="str">
        <f>IF(ISERROR(FIND('112'!$M$9,G3663,1)),"",IF((AND(LEFT(G3663,2)=LEFT('112'!$M$9,2),B3663&lt;'112'!$N$8,$L3663='112'!$I$6)),"x",""))</f>
        <v/>
      </c>
      <c r="T3663" s="525" t="str">
        <f>IF(ISERROR(FIND('112'!$M$9,G3663,1)),"",IF((AND(RIGHT(G3663,2)=RIGHT('112'!$M$9,2),B3663&lt;'112'!$N$8,$M3663='112'!$I$6)),"x",""))</f>
        <v/>
      </c>
      <c r="U3663" s="525" t="str">
        <f>IF(AND(B3663&gt;='IN-NX'!$P$3,B3663&lt;='IN-NX'!$Q$3,'IN-NX'!$D$7=D3663,OR(LEFT(L3663,2)="15",AND(LEFT(M3663,2)&lt;&gt;"15",LEFT(M3663,2)&lt;&gt;"33"))),"x","")</f>
        <v/>
      </c>
      <c r="V3663" s="525" t="str">
        <f>IF(AND(OR(LEFT(TH!L3663,2)="15",LEFT(TH!M3663,2)="15"),'152-CT'!$J$8=TH!F3663),"x","")</f>
        <v/>
      </c>
      <c r="W3663" s="525" t="str">
        <f>IF(AND(OR(LEFT(TH!L3663,2)="15",LEFT(TH!M3663,2)="15"),TK!$E$7=TH!F3663),"x","")</f>
        <v/>
      </c>
      <c r="X3663" s="525" t="str">
        <f>IF(AND('341-CT'!$E$9=H3663,OR(LEFT(L3663,3)=$X$7,LEFT(M3663,3)=$X$7)),"x","")</f>
        <v/>
      </c>
      <c r="Y3663" s="525" t="str">
        <f>IF(OR(TH!L3663=TH!$Y$7,M3663=TH!$Y$7),"x","")</f>
        <v/>
      </c>
      <c r="Z3663" s="525" t="str">
        <f>IF(AND(B3663&lt;=NKC!$N$8,B3663&gt;=NKC!$M$8),"x","")</f>
        <v/>
      </c>
      <c r="AA3663" s="535"/>
      <c r="AB3663" s="536"/>
      <c r="AC3663" s="536" t="str">
        <f>VLOOKUP(F3663,NXT!$B$12:$B$686,1,0)</f>
        <v>Thùng 82x82x53</v>
      </c>
      <c r="AD3663" s="536"/>
    </row>
    <row r="3664" spans="1:30" s="503" customFormat="1" ht="15.75" customHeight="1">
      <c r="A3664" s="517" t="str">
        <f>IF(B3664&lt;&gt;"",IF(AND(B3664&gt;=_TM1,B3664&lt;=_TM2,OR(TH!L3664="1111",TH!M3664="1111")),TH!D3664,""),"")</f>
        <v/>
      </c>
      <c r="B3664" s="531">
        <f t="shared" si="408"/>
        <v>8</v>
      </c>
      <c r="C3664" s="315">
        <f t="shared" si="409"/>
        <v>42978</v>
      </c>
      <c r="D3664" s="544" t="s">
        <v>1181</v>
      </c>
      <c r="E3664" s="315">
        <v>42978</v>
      </c>
      <c r="F3664" s="250" t="s">
        <v>679</v>
      </c>
      <c r="G3664" s="314" t="s">
        <v>1446</v>
      </c>
      <c r="H3664" s="473" t="s">
        <v>284</v>
      </c>
      <c r="I3664" s="307">
        <v>24</v>
      </c>
      <c r="J3664" s="307">
        <v>76726</v>
      </c>
      <c r="K3664" s="532">
        <f t="shared" si="410"/>
        <v>1841424</v>
      </c>
      <c r="L3664" s="534" t="s">
        <v>223</v>
      </c>
      <c r="M3664" s="534" t="s">
        <v>162</v>
      </c>
      <c r="N3664" s="525" t="str">
        <f>IF(AND('331-CT'!$E$7=TH!H3664,OR(L3664="331",M3664="331")),"331",IF(AND(OR(L3664="131",M3664="131"),H3664='131-CT'!$E$7),"131",""))</f>
        <v/>
      </c>
      <c r="O3664" s="525" t="str">
        <f>IF(AND($B3664&gt;='111'!$N$11,$B3664&lt;='111'!$O$11,OR($L3664=$O$7,$M3664=$O$7)),"x","")</f>
        <v/>
      </c>
      <c r="P3664" s="525" t="str">
        <f>IF(AND($L3664=$O$7,$B3664&lt;'111'!$N$11),"x","")</f>
        <v/>
      </c>
      <c r="Q3664" s="525" t="str">
        <f>IF(AND($M3664=$O$7,$B3664&lt;'111'!$N$11),"x","")</f>
        <v/>
      </c>
      <c r="R3664" s="525" t="str">
        <f>IF(ISERROR(FIND('112'!$M$9,G3664,1)),"",IF((AND(FIND('112'!$M$9,G3664,1)&gt;=1,$B3664&gt;='112'!$N$8,$B3664&lt;='112'!$O$8,OR($L3664='112'!$I$6,$M3664='112'!$I$6))),"x",""))</f>
        <v/>
      </c>
      <c r="S3664" s="525" t="str">
        <f>IF(ISERROR(FIND('112'!$M$9,G3664,1)),"",IF((AND(LEFT(G3664,2)=LEFT('112'!$M$9,2),B3664&lt;'112'!$N$8,$L3664='112'!$I$6)),"x",""))</f>
        <v/>
      </c>
      <c r="T3664" s="525" t="str">
        <f>IF(ISERROR(FIND('112'!$M$9,G3664,1)),"",IF((AND(RIGHT(G3664,2)=RIGHT('112'!$M$9,2),B3664&lt;'112'!$N$8,$M3664='112'!$I$6)),"x",""))</f>
        <v/>
      </c>
      <c r="U3664" s="525" t="str">
        <f>IF(AND(B3664&gt;='IN-NX'!$P$3,B3664&lt;='IN-NX'!$Q$3,'IN-NX'!$D$7=D3664,OR(LEFT(L3664,2)="15",AND(LEFT(M3664,2)&lt;&gt;"15",LEFT(M3664,2)&lt;&gt;"33"))),"x","")</f>
        <v/>
      </c>
      <c r="V3664" s="525" t="str">
        <f>IF(AND(OR(LEFT(TH!L3664,2)="15",LEFT(TH!M3664,2)="15"),'152-CT'!$J$8=TH!F3664),"x","")</f>
        <v/>
      </c>
      <c r="W3664" s="525" t="str">
        <f>IF(AND(OR(LEFT(TH!L3664,2)="15",LEFT(TH!M3664,2)="15"),TK!$E$7=TH!F3664),"x","")</f>
        <v/>
      </c>
      <c r="X3664" s="525" t="str">
        <f>IF(AND('341-CT'!$E$9=H3664,OR(LEFT(L3664,3)=$X$7,LEFT(M3664,3)=$X$7)),"x","")</f>
        <v/>
      </c>
      <c r="Y3664" s="525" t="str">
        <f>IF(OR(TH!L3664=TH!$Y$7,M3664=TH!$Y$7),"x","")</f>
        <v/>
      </c>
      <c r="Z3664" s="525" t="str">
        <f>IF(AND(B3664&lt;=NKC!$N$8,B3664&gt;=NKC!$M$8),"x","")</f>
        <v/>
      </c>
      <c r="AA3664" s="535"/>
      <c r="AB3664" s="536"/>
      <c r="AC3664" s="536" t="str">
        <f>VLOOKUP(F3664,NXT!$B$12:$B$686,1,0)</f>
        <v>Thùng 162x37x49</v>
      </c>
      <c r="AD3664" s="536"/>
    </row>
    <row r="3665" spans="1:30" s="503" customFormat="1" ht="15.75" customHeight="1">
      <c r="A3665" s="517" t="str">
        <f>IF(B3665&lt;&gt;"",IF(AND(B3665&gt;=_TM1,B3665&lt;=_TM2,OR(TH!L3665="1111",TH!M3665="1111")),TH!D3665,""),"")</f>
        <v/>
      </c>
      <c r="B3665" s="531">
        <f t="shared" si="408"/>
        <v>8</v>
      </c>
      <c r="C3665" s="315">
        <f t="shared" si="409"/>
        <v>42978</v>
      </c>
      <c r="D3665" s="544" t="s">
        <v>1181</v>
      </c>
      <c r="E3665" s="315">
        <v>42978</v>
      </c>
      <c r="F3665" s="250" t="s">
        <v>737</v>
      </c>
      <c r="G3665" s="314" t="s">
        <v>1446</v>
      </c>
      <c r="H3665" s="473" t="s">
        <v>284</v>
      </c>
      <c r="I3665" s="307">
        <v>5</v>
      </c>
      <c r="J3665" s="307">
        <v>99149</v>
      </c>
      <c r="K3665" s="532">
        <f t="shared" si="410"/>
        <v>495745</v>
      </c>
      <c r="L3665" s="534" t="s">
        <v>223</v>
      </c>
      <c r="M3665" s="534" t="s">
        <v>162</v>
      </c>
      <c r="N3665" s="525" t="str">
        <f>IF(AND('331-CT'!$E$7=TH!H3665,OR(L3665="331",M3665="331")),"331",IF(AND(OR(L3665="131",M3665="131"),H3665='131-CT'!$E$7),"131",""))</f>
        <v/>
      </c>
      <c r="O3665" s="525" t="str">
        <f>IF(AND($B3665&gt;='111'!$N$11,$B3665&lt;='111'!$O$11,OR($L3665=$O$7,$M3665=$O$7)),"x","")</f>
        <v/>
      </c>
      <c r="P3665" s="525" t="str">
        <f>IF(AND($L3665=$O$7,$B3665&lt;'111'!$N$11),"x","")</f>
        <v/>
      </c>
      <c r="Q3665" s="525" t="str">
        <f>IF(AND($M3665=$O$7,$B3665&lt;'111'!$N$11),"x","")</f>
        <v/>
      </c>
      <c r="R3665" s="525" t="str">
        <f>IF(ISERROR(FIND('112'!$M$9,G3665,1)),"",IF((AND(FIND('112'!$M$9,G3665,1)&gt;=1,$B3665&gt;='112'!$N$8,$B3665&lt;='112'!$O$8,OR($L3665='112'!$I$6,$M3665='112'!$I$6))),"x",""))</f>
        <v/>
      </c>
      <c r="S3665" s="525" t="str">
        <f>IF(ISERROR(FIND('112'!$M$9,G3665,1)),"",IF((AND(LEFT(G3665,2)=LEFT('112'!$M$9,2),B3665&lt;'112'!$N$8,$L3665='112'!$I$6)),"x",""))</f>
        <v/>
      </c>
      <c r="T3665" s="525" t="str">
        <f>IF(ISERROR(FIND('112'!$M$9,G3665,1)),"",IF((AND(RIGHT(G3665,2)=RIGHT('112'!$M$9,2),B3665&lt;'112'!$N$8,$M3665='112'!$I$6)),"x",""))</f>
        <v/>
      </c>
      <c r="U3665" s="525" t="str">
        <f>IF(AND(B3665&gt;='IN-NX'!$P$3,B3665&lt;='IN-NX'!$Q$3,'IN-NX'!$D$7=D3665,OR(LEFT(L3665,2)="15",AND(LEFT(M3665,2)&lt;&gt;"15",LEFT(M3665,2)&lt;&gt;"33"))),"x","")</f>
        <v/>
      </c>
      <c r="V3665" s="525" t="str">
        <f>IF(AND(OR(LEFT(TH!L3665,2)="15",LEFT(TH!M3665,2)="15"),'152-CT'!$J$8=TH!F3665),"x","")</f>
        <v/>
      </c>
      <c r="W3665" s="525" t="str">
        <f>IF(AND(OR(LEFT(TH!L3665,2)="15",LEFT(TH!M3665,2)="15"),TK!$E$7=TH!F3665),"x","")</f>
        <v/>
      </c>
      <c r="X3665" s="525" t="str">
        <f>IF(AND('341-CT'!$E$9=H3665,OR(LEFT(L3665,3)=$X$7,LEFT(M3665,3)=$X$7)),"x","")</f>
        <v/>
      </c>
      <c r="Y3665" s="525" t="str">
        <f>IF(OR(TH!L3665=TH!$Y$7,M3665=TH!$Y$7),"x","")</f>
        <v/>
      </c>
      <c r="Z3665" s="525" t="str">
        <f>IF(AND(B3665&lt;=NKC!$N$8,B3665&gt;=NKC!$M$8),"x","")</f>
        <v/>
      </c>
      <c r="AA3665" s="535"/>
      <c r="AB3665" s="536"/>
      <c r="AC3665" s="536" t="str">
        <f>VLOOKUP(F3665,NXT!$B$12:$B$686,1,0)</f>
        <v>Thùng 125x45x80</v>
      </c>
    </row>
    <row r="3666" spans="1:30" s="503" customFormat="1" ht="15.75" customHeight="1">
      <c r="A3666" s="517" t="str">
        <f>IF(B3666&lt;&gt;"",IF(AND(B3666&gt;=_TM1,B3666&lt;=_TM2,OR(TH!L3666="1111",TH!M3666="1111")),TH!D3666,""),"")</f>
        <v/>
      </c>
      <c r="B3666" s="531">
        <f t="shared" si="408"/>
        <v>8</v>
      </c>
      <c r="C3666" s="315">
        <f t="shared" si="409"/>
        <v>42978</v>
      </c>
      <c r="D3666" s="544" t="s">
        <v>1181</v>
      </c>
      <c r="E3666" s="315">
        <v>42978</v>
      </c>
      <c r="F3666" s="250" t="s">
        <v>1386</v>
      </c>
      <c r="G3666" s="314" t="s">
        <v>1446</v>
      </c>
      <c r="H3666" s="473" t="s">
        <v>284</v>
      </c>
      <c r="I3666" s="307">
        <v>25</v>
      </c>
      <c r="J3666" s="307">
        <v>53896</v>
      </c>
      <c r="K3666" s="532">
        <f t="shared" si="410"/>
        <v>1347400</v>
      </c>
      <c r="L3666" s="534" t="s">
        <v>223</v>
      </c>
      <c r="M3666" s="534" t="s">
        <v>162</v>
      </c>
      <c r="N3666" s="525" t="str">
        <f>IF(AND('331-CT'!$E$7=TH!H3666,OR(L3666="331",M3666="331")),"331",IF(AND(OR(L3666="131",M3666="131"),H3666='131-CT'!$E$7),"131",""))</f>
        <v/>
      </c>
      <c r="O3666" s="525" t="str">
        <f>IF(AND($B3666&gt;='111'!$N$11,$B3666&lt;='111'!$O$11,OR($L3666=$O$7,$M3666=$O$7)),"x","")</f>
        <v/>
      </c>
      <c r="P3666" s="525" t="str">
        <f>IF(AND($L3666=$O$7,$B3666&lt;'111'!$N$11),"x","")</f>
        <v/>
      </c>
      <c r="Q3666" s="525" t="str">
        <f>IF(AND($M3666=$O$7,$B3666&lt;'111'!$N$11),"x","")</f>
        <v/>
      </c>
      <c r="R3666" s="525" t="str">
        <f>IF(ISERROR(FIND('112'!$M$9,G3666,1)),"",IF((AND(FIND('112'!$M$9,G3666,1)&gt;=1,$B3666&gt;='112'!$N$8,$B3666&lt;='112'!$O$8,OR($L3666='112'!$I$6,$M3666='112'!$I$6))),"x",""))</f>
        <v/>
      </c>
      <c r="S3666" s="525" t="str">
        <f>IF(ISERROR(FIND('112'!$M$9,G3666,1)),"",IF((AND(LEFT(G3666,2)=LEFT('112'!$M$9,2),B3666&lt;'112'!$N$8,$L3666='112'!$I$6)),"x",""))</f>
        <v/>
      </c>
      <c r="T3666" s="525" t="str">
        <f>IF(ISERROR(FIND('112'!$M$9,G3666,1)),"",IF((AND(RIGHT(G3666,2)=RIGHT('112'!$M$9,2),B3666&lt;'112'!$N$8,$M3666='112'!$I$6)),"x",""))</f>
        <v/>
      </c>
      <c r="U3666" s="525" t="str">
        <f>IF(AND(B3666&gt;='IN-NX'!$P$3,B3666&lt;='IN-NX'!$Q$3,'IN-NX'!$D$7=D3666,OR(LEFT(L3666,2)="15",AND(LEFT(M3666,2)&lt;&gt;"15",LEFT(M3666,2)&lt;&gt;"33"))),"x","")</f>
        <v/>
      </c>
      <c r="V3666" s="525" t="str">
        <f>IF(AND(OR(LEFT(TH!L3666,2)="15",LEFT(TH!M3666,2)="15"),'152-CT'!$J$8=TH!F3666),"x","")</f>
        <v/>
      </c>
      <c r="W3666" s="525" t="str">
        <f>IF(AND(OR(LEFT(TH!L3666,2)="15",LEFT(TH!M3666,2)="15"),TK!$E$7=TH!F3666),"x","")</f>
        <v/>
      </c>
      <c r="X3666" s="525" t="str">
        <f>IF(AND('341-CT'!$E$9=H3666,OR(LEFT(L3666,3)=$X$7,LEFT(M3666,3)=$X$7)),"x","")</f>
        <v/>
      </c>
      <c r="Y3666" s="525" t="str">
        <f>IF(OR(TH!L3666=TH!$Y$7,M3666=TH!$Y$7),"x","")</f>
        <v/>
      </c>
      <c r="Z3666" s="525" t="str">
        <f>IF(AND(B3666&lt;=NKC!$N$8,B3666&gt;=NKC!$M$8),"x","")</f>
        <v/>
      </c>
      <c r="AA3666" s="535"/>
      <c r="AB3666" s="536"/>
      <c r="AC3666" s="536" t="str">
        <f>VLOOKUP(F3666,NXT!$B$12:$B$686,1,0)</f>
        <v>Thùng 105x79x27</v>
      </c>
      <c r="AD3666" s="536"/>
    </row>
    <row r="3667" spans="1:30" s="503" customFormat="1" ht="15.75" customHeight="1">
      <c r="A3667" s="517" t="str">
        <f>IF(B3667&lt;&gt;"",IF(AND(B3667&gt;=_TM1,B3667&lt;=_TM2,OR(TH!L3667="1111",TH!M3667="1111")),TH!D3667,""),"")</f>
        <v/>
      </c>
      <c r="B3667" s="531">
        <f t="shared" si="408"/>
        <v>8</v>
      </c>
      <c r="C3667" s="315">
        <f t="shared" si="409"/>
        <v>42978</v>
      </c>
      <c r="D3667" s="544" t="s">
        <v>1181</v>
      </c>
      <c r="E3667" s="315">
        <v>42978</v>
      </c>
      <c r="F3667" s="250" t="s">
        <v>619</v>
      </c>
      <c r="G3667" s="314" t="s">
        <v>1446</v>
      </c>
      <c r="H3667" s="473" t="s">
        <v>284</v>
      </c>
      <c r="I3667" s="307">
        <v>370</v>
      </c>
      <c r="J3667" s="307">
        <v>20656</v>
      </c>
      <c r="K3667" s="532">
        <f t="shared" si="410"/>
        <v>7642720</v>
      </c>
      <c r="L3667" s="534" t="s">
        <v>223</v>
      </c>
      <c r="M3667" s="534" t="s">
        <v>162</v>
      </c>
      <c r="N3667" s="525" t="str">
        <f>IF(AND('331-CT'!$E$7=TH!H3667,OR(L3667="331",M3667="331")),"331",IF(AND(OR(L3667="131",M3667="131"),H3667='131-CT'!$E$7),"131",""))</f>
        <v/>
      </c>
      <c r="O3667" s="525" t="str">
        <f>IF(AND($B3667&gt;='111'!$N$11,$B3667&lt;='111'!$O$11,OR($L3667=$O$7,$M3667=$O$7)),"x","")</f>
        <v/>
      </c>
      <c r="P3667" s="525" t="str">
        <f>IF(AND($L3667=$O$7,$B3667&lt;'111'!$N$11),"x","")</f>
        <v/>
      </c>
      <c r="Q3667" s="525" t="str">
        <f>IF(AND($M3667=$O$7,$B3667&lt;'111'!$N$11),"x","")</f>
        <v/>
      </c>
      <c r="R3667" s="525" t="str">
        <f>IF(ISERROR(FIND('112'!$M$9,G3667,1)),"",IF((AND(FIND('112'!$M$9,G3667,1)&gt;=1,$B3667&gt;='112'!$N$8,$B3667&lt;='112'!$O$8,OR($L3667='112'!$I$6,$M3667='112'!$I$6))),"x",""))</f>
        <v/>
      </c>
      <c r="S3667" s="525" t="str">
        <f>IF(ISERROR(FIND('112'!$M$9,G3667,1)),"",IF((AND(LEFT(G3667,2)=LEFT('112'!$M$9,2),B3667&lt;'112'!$N$8,$L3667='112'!$I$6)),"x",""))</f>
        <v/>
      </c>
      <c r="T3667" s="525" t="str">
        <f>IF(ISERROR(FIND('112'!$M$9,G3667,1)),"",IF((AND(RIGHT(G3667,2)=RIGHT('112'!$M$9,2),B3667&lt;'112'!$N$8,$M3667='112'!$I$6)),"x",""))</f>
        <v/>
      </c>
      <c r="U3667" s="525" t="str">
        <f>IF(AND(B3667&gt;='IN-NX'!$P$3,B3667&lt;='IN-NX'!$Q$3,'IN-NX'!$D$7=D3667,OR(LEFT(L3667,2)="15",AND(LEFT(M3667,2)&lt;&gt;"15",LEFT(M3667,2)&lt;&gt;"33"))),"x","")</f>
        <v/>
      </c>
      <c r="V3667" s="525" t="str">
        <f>IF(AND(OR(LEFT(TH!L3667,2)="15",LEFT(TH!M3667,2)="15"),'152-CT'!$J$8=TH!F3667),"x","")</f>
        <v/>
      </c>
      <c r="W3667" s="525" t="str">
        <f>IF(AND(OR(LEFT(TH!L3667,2)="15",LEFT(TH!M3667,2)="15"),TK!$E$7=TH!F3667),"x","")</f>
        <v/>
      </c>
      <c r="X3667" s="525" t="str">
        <f>IF(AND('341-CT'!$E$9=H3667,OR(LEFT(L3667,3)=$X$7,LEFT(M3667,3)=$X$7)),"x","")</f>
        <v/>
      </c>
      <c r="Y3667" s="525" t="str">
        <f>IF(OR(TH!L3667=TH!$Y$7,M3667=TH!$Y$7),"x","")</f>
        <v/>
      </c>
      <c r="Z3667" s="525" t="str">
        <f>IF(AND(B3667&lt;=NKC!$N$8,B3667&gt;=NKC!$M$8),"x","")</f>
        <v/>
      </c>
      <c r="AA3667" s="535"/>
      <c r="AB3667" s="536"/>
      <c r="AC3667" s="536" t="str">
        <f>VLOOKUP(F3667,NXT!$B$12:$B$686,1,0)</f>
        <v>Thùng 40x40x52</v>
      </c>
      <c r="AD3667" s="536"/>
    </row>
    <row r="3668" spans="1:30" s="503" customFormat="1" ht="15.75" customHeight="1">
      <c r="A3668" s="517" t="str">
        <f>IF(B3668&lt;&gt;"",IF(AND(B3668&gt;=_TM1,B3668&lt;=_TM2,OR(TH!L3668="1111",TH!M3668="1111")),TH!D3668,""),"")</f>
        <v/>
      </c>
      <c r="B3668" s="531">
        <f t="shared" si="408"/>
        <v>8</v>
      </c>
      <c r="C3668" s="315">
        <f t="shared" si="409"/>
        <v>42978</v>
      </c>
      <c r="D3668" s="544" t="s">
        <v>1181</v>
      </c>
      <c r="E3668" s="315">
        <v>42978</v>
      </c>
      <c r="F3668" s="250" t="s">
        <v>1388</v>
      </c>
      <c r="G3668" s="314" t="s">
        <v>1446</v>
      </c>
      <c r="H3668" s="473" t="s">
        <v>284</v>
      </c>
      <c r="I3668" s="307">
        <v>10</v>
      </c>
      <c r="J3668" s="307">
        <v>44214</v>
      </c>
      <c r="K3668" s="532">
        <f t="shared" si="410"/>
        <v>442140</v>
      </c>
      <c r="L3668" s="534" t="s">
        <v>223</v>
      </c>
      <c r="M3668" s="534" t="s">
        <v>162</v>
      </c>
      <c r="N3668" s="525" t="str">
        <f>IF(AND('331-CT'!$E$7=TH!H3668,OR(L3668="331",M3668="331")),"331",IF(AND(OR(L3668="131",M3668="131"),H3668='131-CT'!$E$7),"131",""))</f>
        <v/>
      </c>
      <c r="O3668" s="525" t="str">
        <f>IF(AND($B3668&gt;='111'!$N$11,$B3668&lt;='111'!$O$11,OR($L3668=$O$7,$M3668=$O$7)),"x","")</f>
        <v/>
      </c>
      <c r="P3668" s="525" t="str">
        <f>IF(AND($L3668=$O$7,$B3668&lt;'111'!$N$11),"x","")</f>
        <v/>
      </c>
      <c r="Q3668" s="525" t="str">
        <f>IF(AND($M3668=$O$7,$B3668&lt;'111'!$N$11),"x","")</f>
        <v/>
      </c>
      <c r="R3668" s="525" t="str">
        <f>IF(ISERROR(FIND('112'!$M$9,G3668,1)),"",IF((AND(FIND('112'!$M$9,G3668,1)&gt;=1,$B3668&gt;='112'!$N$8,$B3668&lt;='112'!$O$8,OR($L3668='112'!$I$6,$M3668='112'!$I$6))),"x",""))</f>
        <v/>
      </c>
      <c r="S3668" s="525" t="str">
        <f>IF(ISERROR(FIND('112'!$M$9,G3668,1)),"",IF((AND(LEFT(G3668,2)=LEFT('112'!$M$9,2),B3668&lt;'112'!$N$8,$L3668='112'!$I$6)),"x",""))</f>
        <v/>
      </c>
      <c r="T3668" s="525" t="str">
        <f>IF(ISERROR(FIND('112'!$M$9,G3668,1)),"",IF((AND(RIGHT(G3668,2)=RIGHT('112'!$M$9,2),B3668&lt;'112'!$N$8,$M3668='112'!$I$6)),"x",""))</f>
        <v/>
      </c>
      <c r="U3668" s="525" t="str">
        <f>IF(AND(B3668&gt;='IN-NX'!$P$3,B3668&lt;='IN-NX'!$Q$3,'IN-NX'!$D$7=D3668,OR(LEFT(L3668,2)="15",AND(LEFT(M3668,2)&lt;&gt;"15",LEFT(M3668,2)&lt;&gt;"33"))),"x","")</f>
        <v/>
      </c>
      <c r="V3668" s="525" t="str">
        <f>IF(AND(OR(LEFT(TH!L3668,2)="15",LEFT(TH!M3668,2)="15"),'152-CT'!$J$8=TH!F3668),"x","")</f>
        <v/>
      </c>
      <c r="W3668" s="525" t="str">
        <f>IF(AND(OR(LEFT(TH!L3668,2)="15",LEFT(TH!M3668,2)="15"),TK!$E$7=TH!F3668),"x","")</f>
        <v/>
      </c>
      <c r="X3668" s="525" t="str">
        <f>IF(AND('341-CT'!$E$9=H3668,OR(LEFT(L3668,3)=$X$7,LEFT(M3668,3)=$X$7)),"x","")</f>
        <v/>
      </c>
      <c r="Y3668" s="525" t="str">
        <f>IF(OR(TH!L3668=TH!$Y$7,M3668=TH!$Y$7),"x","")</f>
        <v/>
      </c>
      <c r="Z3668" s="525" t="str">
        <f>IF(AND(B3668&lt;=NKC!$N$8,B3668&gt;=NKC!$M$8),"x","")</f>
        <v/>
      </c>
      <c r="AA3668" s="535"/>
      <c r="AB3668" s="536"/>
      <c r="AC3668" s="536" t="str">
        <f>VLOOKUP(F3668,NXT!$B$12:$B$686,1,0)</f>
        <v>Thùng 75x35x43</v>
      </c>
    </row>
    <row r="3669" spans="1:30" s="503" customFormat="1" ht="15.75" customHeight="1">
      <c r="A3669" s="517" t="str">
        <f>IF(B3669&lt;&gt;"",IF(AND(B3669&gt;=_TM1,B3669&lt;=_TM2,OR(TH!L3669="1111",TH!M3669="1111")),TH!D3669,""),"")</f>
        <v/>
      </c>
      <c r="B3669" s="531">
        <f t="shared" si="408"/>
        <v>8</v>
      </c>
      <c r="C3669" s="315">
        <f t="shared" si="409"/>
        <v>42978</v>
      </c>
      <c r="D3669" s="544" t="s">
        <v>1181</v>
      </c>
      <c r="E3669" s="315">
        <v>42978</v>
      </c>
      <c r="F3669" s="250" t="s">
        <v>1450</v>
      </c>
      <c r="G3669" s="314" t="s">
        <v>1446</v>
      </c>
      <c r="H3669" s="473" t="s">
        <v>284</v>
      </c>
      <c r="I3669" s="307">
        <v>20</v>
      </c>
      <c r="J3669" s="307">
        <v>97993</v>
      </c>
      <c r="K3669" s="532">
        <f t="shared" si="410"/>
        <v>1959860</v>
      </c>
      <c r="L3669" s="534" t="s">
        <v>223</v>
      </c>
      <c r="M3669" s="534" t="s">
        <v>162</v>
      </c>
      <c r="N3669" s="525" t="str">
        <f>IF(AND('331-CT'!$E$7=TH!H3669,OR(L3669="331",M3669="331")),"331",IF(AND(OR(L3669="131",M3669="131"),H3669='131-CT'!$E$7),"131",""))</f>
        <v/>
      </c>
      <c r="O3669" s="525" t="str">
        <f>IF(AND($B3669&gt;='111'!$N$11,$B3669&lt;='111'!$O$11,OR($L3669=$O$7,$M3669=$O$7)),"x","")</f>
        <v/>
      </c>
      <c r="P3669" s="525" t="str">
        <f>IF(AND($L3669=$O$7,$B3669&lt;'111'!$N$11),"x","")</f>
        <v/>
      </c>
      <c r="Q3669" s="525" t="str">
        <f>IF(AND($M3669=$O$7,$B3669&lt;'111'!$N$11),"x","")</f>
        <v/>
      </c>
      <c r="R3669" s="525" t="str">
        <f>IF(ISERROR(FIND('112'!$M$9,G3669,1)),"",IF((AND(FIND('112'!$M$9,G3669,1)&gt;=1,$B3669&gt;='112'!$N$8,$B3669&lt;='112'!$O$8,OR($L3669='112'!$I$6,$M3669='112'!$I$6))),"x",""))</f>
        <v/>
      </c>
      <c r="S3669" s="525" t="str">
        <f>IF(ISERROR(FIND('112'!$M$9,G3669,1)),"",IF((AND(LEFT(G3669,2)=LEFT('112'!$M$9,2),B3669&lt;'112'!$N$8,$L3669='112'!$I$6)),"x",""))</f>
        <v/>
      </c>
      <c r="T3669" s="525" t="str">
        <f>IF(ISERROR(FIND('112'!$M$9,G3669,1)),"",IF((AND(RIGHT(G3669,2)=RIGHT('112'!$M$9,2),B3669&lt;'112'!$N$8,$M3669='112'!$I$6)),"x",""))</f>
        <v/>
      </c>
      <c r="U3669" s="525" t="str">
        <f>IF(AND(B3669&gt;='IN-NX'!$P$3,B3669&lt;='IN-NX'!$Q$3,'IN-NX'!$D$7=D3669,OR(LEFT(L3669,2)="15",AND(LEFT(M3669,2)&lt;&gt;"15",LEFT(M3669,2)&lt;&gt;"33"))),"x","")</f>
        <v/>
      </c>
      <c r="V3669" s="525" t="str">
        <f>IF(AND(OR(LEFT(TH!L3669,2)="15",LEFT(TH!M3669,2)="15"),'152-CT'!$J$8=TH!F3669),"x","")</f>
        <v/>
      </c>
      <c r="W3669" s="525" t="str">
        <f>IF(AND(OR(LEFT(TH!L3669,2)="15",LEFT(TH!M3669,2)="15"),TK!$E$7=TH!F3669),"x","")</f>
        <v/>
      </c>
      <c r="X3669" s="525" t="str">
        <f>IF(AND('341-CT'!$E$9=H3669,OR(LEFT(L3669,3)=$X$7,LEFT(M3669,3)=$X$7)),"x","")</f>
        <v/>
      </c>
      <c r="Y3669" s="525" t="str">
        <f>IF(OR(TH!L3669=TH!$Y$7,M3669=TH!$Y$7),"x","")</f>
        <v/>
      </c>
      <c r="Z3669" s="525" t="str">
        <f>IF(AND(B3669&lt;=NKC!$N$8,B3669&gt;=NKC!$M$8),"x","")</f>
        <v/>
      </c>
      <c r="AA3669" s="535"/>
      <c r="AB3669" s="536"/>
      <c r="AC3669" s="536" t="str">
        <f>VLOOKUP(F3669,NXT!$B$12:$B$686,1,0)</f>
        <v>Thùng 205x105x11</v>
      </c>
      <c r="AD3669" s="536"/>
    </row>
    <row r="3670" spans="1:30" s="503" customFormat="1" ht="15.75" customHeight="1">
      <c r="A3670" s="517" t="str">
        <f>IF(B3670&lt;&gt;"",IF(AND(B3670&gt;=_TM1,B3670&lt;=_TM2,OR(TH!L3670="1111",TH!M3670="1111")),TH!D3670,""),"")</f>
        <v/>
      </c>
      <c r="B3670" s="531">
        <f t="shared" si="408"/>
        <v>8</v>
      </c>
      <c r="C3670" s="315">
        <f t="shared" si="409"/>
        <v>42978</v>
      </c>
      <c r="D3670" s="544" t="s">
        <v>1181</v>
      </c>
      <c r="E3670" s="315">
        <v>42978</v>
      </c>
      <c r="F3670" s="250" t="s">
        <v>624</v>
      </c>
      <c r="G3670" s="314" t="s">
        <v>1446</v>
      </c>
      <c r="H3670" s="473" t="s">
        <v>284</v>
      </c>
      <c r="I3670" s="307">
        <v>18</v>
      </c>
      <c r="J3670" s="307">
        <v>36117</v>
      </c>
      <c r="K3670" s="532">
        <f t="shared" si="410"/>
        <v>650106</v>
      </c>
      <c r="L3670" s="534" t="s">
        <v>223</v>
      </c>
      <c r="M3670" s="534" t="s">
        <v>162</v>
      </c>
      <c r="N3670" s="525" t="str">
        <f>IF(AND('331-CT'!$E$7=TH!H3670,OR(L3670="331",M3670="331")),"331",IF(AND(OR(L3670="131",M3670="131"),H3670='131-CT'!$E$7),"131",""))</f>
        <v/>
      </c>
      <c r="O3670" s="525" t="str">
        <f>IF(AND($B3670&gt;='111'!$N$11,$B3670&lt;='111'!$O$11,OR($L3670=$O$7,$M3670=$O$7)),"x","")</f>
        <v/>
      </c>
      <c r="P3670" s="525" t="str">
        <f>IF(AND($L3670=$O$7,$B3670&lt;'111'!$N$11),"x","")</f>
        <v/>
      </c>
      <c r="Q3670" s="525" t="str">
        <f>IF(AND($M3670=$O$7,$B3670&lt;'111'!$N$11),"x","")</f>
        <v/>
      </c>
      <c r="R3670" s="525" t="str">
        <f>IF(ISERROR(FIND('112'!$M$9,G3670,1)),"",IF((AND(FIND('112'!$M$9,G3670,1)&gt;=1,$B3670&gt;='112'!$N$8,$B3670&lt;='112'!$O$8,OR($L3670='112'!$I$6,$M3670='112'!$I$6))),"x",""))</f>
        <v/>
      </c>
      <c r="S3670" s="525" t="str">
        <f>IF(ISERROR(FIND('112'!$M$9,G3670,1)),"",IF((AND(LEFT(G3670,2)=LEFT('112'!$M$9,2),B3670&lt;'112'!$N$8,$L3670='112'!$I$6)),"x",""))</f>
        <v/>
      </c>
      <c r="T3670" s="525" t="str">
        <f>IF(ISERROR(FIND('112'!$M$9,G3670,1)),"",IF((AND(RIGHT(G3670,2)=RIGHT('112'!$M$9,2),B3670&lt;'112'!$N$8,$M3670='112'!$I$6)),"x",""))</f>
        <v/>
      </c>
      <c r="U3670" s="525" t="str">
        <f>IF(AND(B3670&gt;='IN-NX'!$P$3,B3670&lt;='IN-NX'!$Q$3,'IN-NX'!$D$7=D3670,OR(LEFT(L3670,2)="15",AND(LEFT(M3670,2)&lt;&gt;"15",LEFT(M3670,2)&lt;&gt;"33"))),"x","")</f>
        <v/>
      </c>
      <c r="V3670" s="525" t="str">
        <f>IF(AND(OR(LEFT(TH!L3670,2)="15",LEFT(TH!M3670,2)="15"),'152-CT'!$J$8=TH!F3670),"x","")</f>
        <v/>
      </c>
      <c r="W3670" s="525" t="str">
        <f>IF(AND(OR(LEFT(TH!L3670,2)="15",LEFT(TH!M3670,2)="15"),TK!$E$7=TH!F3670),"x","")</f>
        <v/>
      </c>
      <c r="X3670" s="525" t="str">
        <f>IF(AND('341-CT'!$E$9=H3670,OR(LEFT(L3670,3)=$X$7,LEFT(M3670,3)=$X$7)),"x","")</f>
        <v/>
      </c>
      <c r="Y3670" s="525" t="str">
        <f>IF(OR(TH!L3670=TH!$Y$7,M3670=TH!$Y$7),"x","")</f>
        <v/>
      </c>
      <c r="Z3670" s="525" t="str">
        <f>IF(AND(B3670&lt;=NKC!$N$8,B3670&gt;=NKC!$M$8),"x","")</f>
        <v/>
      </c>
      <c r="AA3670" s="535"/>
      <c r="AB3670" s="536"/>
      <c r="AC3670" s="536" t="str">
        <f>VLOOKUP(F3670,NXT!$B$12:$B$686,1,0)</f>
        <v>Thùng 62x62x42</v>
      </c>
      <c r="AD3670" s="536"/>
    </row>
    <row r="3671" spans="1:30" s="503" customFormat="1" ht="15.75" customHeight="1">
      <c r="A3671" s="517" t="str">
        <f>IF(B3671&lt;&gt;"",IF(AND(B3671&gt;=_TM1,B3671&lt;=_TM2,OR(TH!L3671="1111",TH!M3671="1111")),TH!D3671,""),"")</f>
        <v/>
      </c>
      <c r="B3671" s="531">
        <f t="shared" si="408"/>
        <v>8</v>
      </c>
      <c r="C3671" s="315">
        <f t="shared" si="409"/>
        <v>42978</v>
      </c>
      <c r="D3671" s="544" t="s">
        <v>1181</v>
      </c>
      <c r="E3671" s="315">
        <v>42978</v>
      </c>
      <c r="F3671" s="250" t="s">
        <v>1389</v>
      </c>
      <c r="G3671" s="314" t="s">
        <v>1446</v>
      </c>
      <c r="H3671" s="473" t="s">
        <v>284</v>
      </c>
      <c r="I3671" s="307">
        <v>25</v>
      </c>
      <c r="J3671" s="307">
        <v>66321</v>
      </c>
      <c r="K3671" s="532">
        <f t="shared" si="410"/>
        <v>1658025</v>
      </c>
      <c r="L3671" s="534" t="s">
        <v>223</v>
      </c>
      <c r="M3671" s="534" t="s">
        <v>162</v>
      </c>
      <c r="N3671" s="525" t="str">
        <f>IF(AND('331-CT'!$E$7=TH!H3671,OR(L3671="331",M3671="331")),"331",IF(AND(OR(L3671="131",M3671="131"),H3671='131-CT'!$E$7),"131",""))</f>
        <v/>
      </c>
      <c r="O3671" s="525" t="str">
        <f>IF(AND($B3671&gt;='111'!$N$11,$B3671&lt;='111'!$O$11,OR($L3671=$O$7,$M3671=$O$7)),"x","")</f>
        <v/>
      </c>
      <c r="P3671" s="525" t="str">
        <f>IF(AND($L3671=$O$7,$B3671&lt;'111'!$N$11),"x","")</f>
        <v/>
      </c>
      <c r="Q3671" s="525" t="str">
        <f>IF(AND($M3671=$O$7,$B3671&lt;'111'!$N$11),"x","")</f>
        <v/>
      </c>
      <c r="R3671" s="525" t="str">
        <f>IF(ISERROR(FIND('112'!$M$9,G3671,1)),"",IF((AND(FIND('112'!$M$9,G3671,1)&gt;=1,$B3671&gt;='112'!$N$8,$B3671&lt;='112'!$O$8,OR($L3671='112'!$I$6,$M3671='112'!$I$6))),"x",""))</f>
        <v/>
      </c>
      <c r="S3671" s="525" t="str">
        <f>IF(ISERROR(FIND('112'!$M$9,G3671,1)),"",IF((AND(LEFT(G3671,2)=LEFT('112'!$M$9,2),B3671&lt;'112'!$N$8,$L3671='112'!$I$6)),"x",""))</f>
        <v/>
      </c>
      <c r="T3671" s="525" t="str">
        <f>IF(ISERROR(FIND('112'!$M$9,G3671,1)),"",IF((AND(RIGHT(G3671,2)=RIGHT('112'!$M$9,2),B3671&lt;'112'!$N$8,$M3671='112'!$I$6)),"x",""))</f>
        <v/>
      </c>
      <c r="U3671" s="525" t="str">
        <f>IF(AND(B3671&gt;='IN-NX'!$P$3,B3671&lt;='IN-NX'!$Q$3,'IN-NX'!$D$7=D3671,OR(LEFT(L3671,2)="15",AND(LEFT(M3671,2)&lt;&gt;"15",LEFT(M3671,2)&lt;&gt;"33"))),"x","")</f>
        <v/>
      </c>
      <c r="V3671" s="525" t="str">
        <f>IF(AND(OR(LEFT(TH!L3671,2)="15",LEFT(TH!M3671,2)="15"),'152-CT'!$J$8=TH!F3671),"x","")</f>
        <v/>
      </c>
      <c r="W3671" s="525" t="str">
        <f>IF(AND(OR(LEFT(TH!L3671,2)="15",LEFT(TH!M3671,2)="15"),TK!$E$7=TH!F3671),"x","")</f>
        <v/>
      </c>
      <c r="X3671" s="525" t="str">
        <f>IF(AND('341-CT'!$E$9=H3671,OR(LEFT(L3671,3)=$X$7,LEFT(M3671,3)=$X$7)),"x","")</f>
        <v/>
      </c>
      <c r="Y3671" s="525" t="str">
        <f>IF(OR(TH!L3671=TH!$Y$7,M3671=TH!$Y$7),"x","")</f>
        <v/>
      </c>
      <c r="Z3671" s="525" t="str">
        <f>IF(AND(B3671&lt;=NKC!$N$8,B3671&gt;=NKC!$M$8),"x","")</f>
        <v/>
      </c>
      <c r="AA3671" s="535"/>
      <c r="AB3671" s="536"/>
      <c r="AC3671" s="536" t="str">
        <f>VLOOKUP(F3671,NXT!$B$12:$B$686,1,0)</f>
        <v>Thùng 55x55x79</v>
      </c>
    </row>
    <row r="3672" spans="1:30" s="503" customFormat="1" ht="15.75" customHeight="1">
      <c r="A3672" s="517" t="str">
        <f>IF(B3672&lt;&gt;"",IF(AND(B3672&gt;=_TM1,B3672&lt;=_TM2,OR(TH!L3672="1111",TH!M3672="1111")),TH!D3672,""),"")</f>
        <v/>
      </c>
      <c r="B3672" s="531">
        <f t="shared" si="408"/>
        <v>8</v>
      </c>
      <c r="C3672" s="315">
        <f t="shared" si="409"/>
        <v>42978</v>
      </c>
      <c r="D3672" s="544" t="s">
        <v>1181</v>
      </c>
      <c r="E3672" s="315">
        <v>42978</v>
      </c>
      <c r="F3672" s="250" t="s">
        <v>1451</v>
      </c>
      <c r="G3672" s="314" t="s">
        <v>1446</v>
      </c>
      <c r="H3672" s="473" t="s">
        <v>284</v>
      </c>
      <c r="I3672" s="307">
        <v>7</v>
      </c>
      <c r="J3672" s="307">
        <v>225657</v>
      </c>
      <c r="K3672" s="532">
        <f t="shared" si="410"/>
        <v>1579599</v>
      </c>
      <c r="L3672" s="534" t="s">
        <v>223</v>
      </c>
      <c r="M3672" s="534" t="s">
        <v>162</v>
      </c>
      <c r="N3672" s="525" t="str">
        <f>IF(AND('331-CT'!$E$7=TH!H3672,OR(L3672="331",M3672="331")),"331",IF(AND(OR(L3672="131",M3672="131"),H3672='131-CT'!$E$7),"131",""))</f>
        <v/>
      </c>
      <c r="O3672" s="525" t="str">
        <f>IF(AND($B3672&gt;='111'!$N$11,$B3672&lt;='111'!$O$11,OR($L3672=$O$7,$M3672=$O$7)),"x","")</f>
        <v/>
      </c>
      <c r="P3672" s="525" t="str">
        <f>IF(AND($L3672=$O$7,$B3672&lt;'111'!$N$11),"x","")</f>
        <v/>
      </c>
      <c r="Q3672" s="525" t="str">
        <f>IF(AND($M3672=$O$7,$B3672&lt;'111'!$N$11),"x","")</f>
        <v/>
      </c>
      <c r="R3672" s="525" t="str">
        <f>IF(ISERROR(FIND('112'!$M$9,G3672,1)),"",IF((AND(FIND('112'!$M$9,G3672,1)&gt;=1,$B3672&gt;='112'!$N$8,$B3672&lt;='112'!$O$8,OR($L3672='112'!$I$6,$M3672='112'!$I$6))),"x",""))</f>
        <v/>
      </c>
      <c r="S3672" s="525" t="str">
        <f>IF(ISERROR(FIND('112'!$M$9,G3672,1)),"",IF((AND(LEFT(G3672,2)=LEFT('112'!$M$9,2),B3672&lt;'112'!$N$8,$L3672='112'!$I$6)),"x",""))</f>
        <v/>
      </c>
      <c r="T3672" s="525" t="str">
        <f>IF(ISERROR(FIND('112'!$M$9,G3672,1)),"",IF((AND(RIGHT(G3672,2)=RIGHT('112'!$M$9,2),B3672&lt;'112'!$N$8,$M3672='112'!$I$6)),"x",""))</f>
        <v/>
      </c>
      <c r="U3672" s="525" t="str">
        <f>IF(AND(B3672&gt;='IN-NX'!$P$3,B3672&lt;='IN-NX'!$Q$3,'IN-NX'!$D$7=D3672,OR(LEFT(L3672,2)="15",AND(LEFT(M3672,2)&lt;&gt;"15",LEFT(M3672,2)&lt;&gt;"33"))),"x","")</f>
        <v/>
      </c>
      <c r="V3672" s="525" t="str">
        <f>IF(AND(OR(LEFT(TH!L3672,2)="15",LEFT(TH!M3672,2)="15"),'152-CT'!$J$8=TH!F3672),"x","")</f>
        <v/>
      </c>
      <c r="W3672" s="525" t="str">
        <f>IF(AND(OR(LEFT(TH!L3672,2)="15",LEFT(TH!M3672,2)="15"),TK!$E$7=TH!F3672),"x","")</f>
        <v/>
      </c>
      <c r="X3672" s="525" t="str">
        <f>IF(AND('341-CT'!$E$9=H3672,OR(LEFT(L3672,3)=$X$7,LEFT(M3672,3)=$X$7)),"x","")</f>
        <v/>
      </c>
      <c r="Y3672" s="525" t="str">
        <f>IF(OR(TH!L3672=TH!$Y$7,M3672=TH!$Y$7),"x","")</f>
        <v/>
      </c>
      <c r="Z3672" s="525" t="str">
        <f>IF(AND(B3672&lt;=NKC!$N$8,B3672&gt;=NKC!$M$8),"x","")</f>
        <v/>
      </c>
      <c r="AA3672" s="535"/>
      <c r="AB3672" s="536"/>
      <c r="AC3672" s="536" t="str">
        <f>VLOOKUP(F3672,NXT!$B$12:$B$686,1,0)</f>
        <v>Thùng 132x132x55</v>
      </c>
      <c r="AD3672" s="536"/>
    </row>
    <row r="3673" spans="1:30" s="503" customFormat="1" ht="15.75" customHeight="1">
      <c r="A3673" s="517" t="str">
        <f>IF(B3673&lt;&gt;"",IF(AND(B3673&gt;=_TM1,B3673&lt;=_TM2,OR(TH!L3673="1111",TH!M3673="1111")),TH!D3673,""),"")</f>
        <v/>
      </c>
      <c r="B3673" s="531">
        <f t="shared" si="408"/>
        <v>8</v>
      </c>
      <c r="C3673" s="315">
        <f t="shared" si="409"/>
        <v>42978</v>
      </c>
      <c r="D3673" s="544" t="s">
        <v>1181</v>
      </c>
      <c r="E3673" s="315">
        <v>42978</v>
      </c>
      <c r="F3673" s="250" t="s">
        <v>690</v>
      </c>
      <c r="G3673" s="314" t="s">
        <v>1446</v>
      </c>
      <c r="H3673" s="473" t="s">
        <v>284</v>
      </c>
      <c r="I3673" s="307">
        <v>4</v>
      </c>
      <c r="J3673" s="307">
        <v>128409</v>
      </c>
      <c r="K3673" s="532">
        <f t="shared" si="410"/>
        <v>513636</v>
      </c>
      <c r="L3673" s="534" t="s">
        <v>223</v>
      </c>
      <c r="M3673" s="534" t="s">
        <v>162</v>
      </c>
      <c r="N3673" s="525" t="str">
        <f>IF(AND('331-CT'!$E$7=TH!H3673,OR(L3673="331",M3673="331")),"331",IF(AND(OR(L3673="131",M3673="131"),H3673='131-CT'!$E$7),"131",""))</f>
        <v/>
      </c>
      <c r="O3673" s="525" t="str">
        <f>IF(AND($B3673&gt;='111'!$N$11,$B3673&lt;='111'!$O$11,OR($L3673=$O$7,$M3673=$O$7)),"x","")</f>
        <v/>
      </c>
      <c r="P3673" s="525" t="str">
        <f>IF(AND($L3673=$O$7,$B3673&lt;'111'!$N$11),"x","")</f>
        <v/>
      </c>
      <c r="Q3673" s="525" t="str">
        <f>IF(AND($M3673=$O$7,$B3673&lt;'111'!$N$11),"x","")</f>
        <v/>
      </c>
      <c r="R3673" s="525" t="str">
        <f>IF(ISERROR(FIND('112'!$M$9,G3673,1)),"",IF((AND(FIND('112'!$M$9,G3673,1)&gt;=1,$B3673&gt;='112'!$N$8,$B3673&lt;='112'!$O$8,OR($L3673='112'!$I$6,$M3673='112'!$I$6))),"x",""))</f>
        <v/>
      </c>
      <c r="S3673" s="525" t="str">
        <f>IF(ISERROR(FIND('112'!$M$9,G3673,1)),"",IF((AND(LEFT(G3673,2)=LEFT('112'!$M$9,2),B3673&lt;'112'!$N$8,$L3673='112'!$I$6)),"x",""))</f>
        <v/>
      </c>
      <c r="T3673" s="525" t="str">
        <f>IF(ISERROR(FIND('112'!$M$9,G3673,1)),"",IF((AND(RIGHT(G3673,2)=RIGHT('112'!$M$9,2),B3673&lt;'112'!$N$8,$M3673='112'!$I$6)),"x",""))</f>
        <v/>
      </c>
      <c r="U3673" s="525" t="str">
        <f>IF(AND(B3673&gt;='IN-NX'!$P$3,B3673&lt;='IN-NX'!$Q$3,'IN-NX'!$D$7=D3673,OR(LEFT(L3673,2)="15",AND(LEFT(M3673,2)&lt;&gt;"15",LEFT(M3673,2)&lt;&gt;"33"))),"x","")</f>
        <v/>
      </c>
      <c r="V3673" s="525" t="str">
        <f>IF(AND(OR(LEFT(TH!L3673,2)="15",LEFT(TH!M3673,2)="15"),'152-CT'!$J$8=TH!F3673),"x","")</f>
        <v/>
      </c>
      <c r="W3673" s="525" t="str">
        <f>IF(AND(OR(LEFT(TH!L3673,2)="15",LEFT(TH!M3673,2)="15"),TK!$E$7=TH!F3673),"x","")</f>
        <v/>
      </c>
      <c r="X3673" s="525" t="str">
        <f>IF(AND('341-CT'!$E$9=H3673,OR(LEFT(L3673,3)=$X$7,LEFT(M3673,3)=$X$7)),"x","")</f>
        <v/>
      </c>
      <c r="Y3673" s="525" t="str">
        <f>IF(OR(TH!L3673=TH!$Y$7,M3673=TH!$Y$7),"x","")</f>
        <v/>
      </c>
      <c r="Z3673" s="525" t="str">
        <f>IF(AND(B3673&lt;=NKC!$N$8,B3673&gt;=NKC!$M$8),"x","")</f>
        <v/>
      </c>
      <c r="AA3673" s="535"/>
      <c r="AB3673" s="536"/>
      <c r="AC3673" s="536" t="str">
        <f>VLOOKUP(F3673,NXT!$B$12:$B$686,1,0)</f>
        <v>Thùng 82x82x87</v>
      </c>
      <c r="AD3673" s="536"/>
    </row>
    <row r="3674" spans="1:30" s="503" customFormat="1" ht="15.75" customHeight="1">
      <c r="A3674" s="517" t="str">
        <f>IF(B3674&lt;&gt;"",IF(AND(B3674&gt;=_TM1,B3674&lt;=_TM2,OR(TH!L3674="1111",TH!M3674="1111")),TH!D3674,""),"")</f>
        <v/>
      </c>
      <c r="B3674" s="531">
        <f t="shared" si="408"/>
        <v>8</v>
      </c>
      <c r="C3674" s="315">
        <f t="shared" si="409"/>
        <v>42978</v>
      </c>
      <c r="D3674" s="544" t="s">
        <v>1181</v>
      </c>
      <c r="E3674" s="315">
        <v>42978</v>
      </c>
      <c r="F3674" s="250" t="s">
        <v>1452</v>
      </c>
      <c r="G3674" s="314" t="s">
        <v>1446</v>
      </c>
      <c r="H3674" s="473" t="s">
        <v>284</v>
      </c>
      <c r="I3674" s="307">
        <v>20</v>
      </c>
      <c r="J3674" s="307">
        <v>77850</v>
      </c>
      <c r="K3674" s="532">
        <f t="shared" si="410"/>
        <v>1557000</v>
      </c>
      <c r="L3674" s="534" t="s">
        <v>223</v>
      </c>
      <c r="M3674" s="534" t="s">
        <v>162</v>
      </c>
      <c r="N3674" s="525" t="str">
        <f>IF(AND('331-CT'!$E$7=TH!H3674,OR(L3674="331",M3674="331")),"331",IF(AND(OR(L3674="131",M3674="131"),H3674='131-CT'!$E$7),"131",""))</f>
        <v/>
      </c>
      <c r="O3674" s="525" t="str">
        <f>IF(AND($B3674&gt;='111'!$N$11,$B3674&lt;='111'!$O$11,OR($L3674=$O$7,$M3674=$O$7)),"x","")</f>
        <v/>
      </c>
      <c r="P3674" s="525" t="str">
        <f>IF(AND($L3674=$O$7,$B3674&lt;'111'!$N$11),"x","")</f>
        <v/>
      </c>
      <c r="Q3674" s="525" t="str">
        <f>IF(AND($M3674=$O$7,$B3674&lt;'111'!$N$11),"x","")</f>
        <v/>
      </c>
      <c r="R3674" s="525" t="str">
        <f>IF(ISERROR(FIND('112'!$M$9,G3674,1)),"",IF((AND(FIND('112'!$M$9,G3674,1)&gt;=1,$B3674&gt;='112'!$N$8,$B3674&lt;='112'!$O$8,OR($L3674='112'!$I$6,$M3674='112'!$I$6))),"x",""))</f>
        <v/>
      </c>
      <c r="S3674" s="525" t="str">
        <f>IF(ISERROR(FIND('112'!$M$9,G3674,1)),"",IF((AND(LEFT(G3674,2)=LEFT('112'!$M$9,2),B3674&lt;'112'!$N$8,$L3674='112'!$I$6)),"x",""))</f>
        <v/>
      </c>
      <c r="T3674" s="525" t="str">
        <f>IF(ISERROR(FIND('112'!$M$9,G3674,1)),"",IF((AND(RIGHT(G3674,2)=RIGHT('112'!$M$9,2),B3674&lt;'112'!$N$8,$M3674='112'!$I$6)),"x",""))</f>
        <v/>
      </c>
      <c r="U3674" s="525" t="str">
        <f>IF(AND(B3674&gt;='IN-NX'!$P$3,B3674&lt;='IN-NX'!$Q$3,'IN-NX'!$D$7=D3674,OR(LEFT(L3674,2)="15",AND(LEFT(M3674,2)&lt;&gt;"15",LEFT(M3674,2)&lt;&gt;"33"))),"x","")</f>
        <v/>
      </c>
      <c r="V3674" s="525" t="str">
        <f>IF(AND(OR(LEFT(TH!L3674,2)="15",LEFT(TH!M3674,2)="15"),'152-CT'!$J$8=TH!F3674),"x","")</f>
        <v/>
      </c>
      <c r="W3674" s="525" t="str">
        <f>IF(AND(OR(LEFT(TH!L3674,2)="15",LEFT(TH!M3674,2)="15"),TK!$E$7=TH!F3674),"x","")</f>
        <v/>
      </c>
      <c r="X3674" s="525" t="str">
        <f>IF(AND('341-CT'!$E$9=H3674,OR(LEFT(L3674,3)=$X$7,LEFT(M3674,3)=$X$7)),"x","")</f>
        <v/>
      </c>
      <c r="Y3674" s="525" t="str">
        <f>IF(OR(TH!L3674=TH!$Y$7,M3674=TH!$Y$7),"x","")</f>
        <v/>
      </c>
      <c r="Z3674" s="525" t="str">
        <f>IF(AND(B3674&lt;=NKC!$N$8,B3674&gt;=NKC!$M$8),"x","")</f>
        <v/>
      </c>
      <c r="AA3674" s="535"/>
      <c r="AB3674" s="536"/>
      <c r="AC3674" s="536" t="str">
        <f>VLOOKUP(F3674,NXT!$B$12:$B$686,1,0)</f>
        <v>Thùng 205x76x25</v>
      </c>
    </row>
    <row r="3675" spans="1:30" s="503" customFormat="1" ht="15.75" customHeight="1">
      <c r="A3675" s="517" t="str">
        <f>IF(B3675&lt;&gt;"",IF(AND(B3675&gt;=_TM1,B3675&lt;=_TM2,OR(TH!L3675="1111",TH!M3675="1111")),TH!D3675,""),"")</f>
        <v/>
      </c>
      <c r="B3675" s="531">
        <f t="shared" ref="B3675:B3695" si="411">IF(C3675&lt;&gt;"",MONTH(C3675),"")</f>
        <v>8</v>
      </c>
      <c r="C3675" s="315">
        <f t="shared" ref="C3675:C3695" si="412">E3675</f>
        <v>42978</v>
      </c>
      <c r="D3675" s="544" t="s">
        <v>1181</v>
      </c>
      <c r="E3675" s="315">
        <v>42978</v>
      </c>
      <c r="F3675" s="250" t="s">
        <v>1387</v>
      </c>
      <c r="G3675" s="314" t="s">
        <v>1446</v>
      </c>
      <c r="H3675" s="473" t="s">
        <v>284</v>
      </c>
      <c r="I3675" s="307">
        <v>5</v>
      </c>
      <c r="J3675" s="307">
        <v>102224</v>
      </c>
      <c r="K3675" s="532">
        <f t="shared" si="410"/>
        <v>511120</v>
      </c>
      <c r="L3675" s="534" t="s">
        <v>223</v>
      </c>
      <c r="M3675" s="534" t="s">
        <v>162</v>
      </c>
      <c r="N3675" s="525" t="str">
        <f>IF(AND('331-CT'!$E$7=TH!H3675,OR(L3675="331",M3675="331")),"331",IF(AND(OR(L3675="131",M3675="131"),H3675='131-CT'!$E$7),"131",""))</f>
        <v/>
      </c>
      <c r="O3675" s="525" t="str">
        <f>IF(AND($B3675&gt;='111'!$N$11,$B3675&lt;='111'!$O$11,OR($L3675=$O$7,$M3675=$O$7)),"x","")</f>
        <v/>
      </c>
      <c r="P3675" s="525" t="str">
        <f>IF(AND($L3675=$O$7,$B3675&lt;'111'!$N$11),"x","")</f>
        <v/>
      </c>
      <c r="Q3675" s="525" t="str">
        <f>IF(AND($M3675=$O$7,$B3675&lt;'111'!$N$11),"x","")</f>
        <v/>
      </c>
      <c r="R3675" s="525" t="str">
        <f>IF(ISERROR(FIND('112'!$M$9,G3675,1)),"",IF((AND(FIND('112'!$M$9,G3675,1)&gt;=1,$B3675&gt;='112'!$N$8,$B3675&lt;='112'!$O$8,OR($L3675='112'!$I$6,$M3675='112'!$I$6))),"x",""))</f>
        <v/>
      </c>
      <c r="S3675" s="525" t="str">
        <f>IF(ISERROR(FIND('112'!$M$9,G3675,1)),"",IF((AND(LEFT(G3675,2)=LEFT('112'!$M$9,2),B3675&lt;'112'!$N$8,$L3675='112'!$I$6)),"x",""))</f>
        <v/>
      </c>
      <c r="T3675" s="525" t="str">
        <f>IF(ISERROR(FIND('112'!$M$9,G3675,1)),"",IF((AND(RIGHT(G3675,2)=RIGHT('112'!$M$9,2),B3675&lt;'112'!$N$8,$M3675='112'!$I$6)),"x",""))</f>
        <v/>
      </c>
      <c r="U3675" s="525" t="str">
        <f>IF(AND(B3675&gt;='IN-NX'!$P$3,B3675&lt;='IN-NX'!$Q$3,'IN-NX'!$D$7=D3675,OR(LEFT(L3675,2)="15",AND(LEFT(M3675,2)&lt;&gt;"15",LEFT(M3675,2)&lt;&gt;"33"))),"x","")</f>
        <v/>
      </c>
      <c r="V3675" s="525" t="str">
        <f>IF(AND(OR(LEFT(TH!L3675,2)="15",LEFT(TH!M3675,2)="15"),'152-CT'!$J$8=TH!F3675),"x","")</f>
        <v/>
      </c>
      <c r="W3675" s="525" t="str">
        <f>IF(AND(OR(LEFT(TH!L3675,2)="15",LEFT(TH!M3675,2)="15"),TK!$E$7=TH!F3675),"x","")</f>
        <v/>
      </c>
      <c r="X3675" s="525" t="str">
        <f>IF(AND('341-CT'!$E$9=H3675,OR(LEFT(L3675,3)=$X$7,LEFT(M3675,3)=$X$7)),"x","")</f>
        <v/>
      </c>
      <c r="Y3675" s="525" t="str">
        <f>IF(OR(TH!L3675=TH!$Y$7,M3675=TH!$Y$7),"x","")</f>
        <v/>
      </c>
      <c r="Z3675" s="525" t="str">
        <f>IF(AND(B3675&lt;=NKC!$N$8,B3675&gt;=NKC!$M$8),"x","")</f>
        <v/>
      </c>
      <c r="AA3675" s="535"/>
      <c r="AB3675" s="536"/>
      <c r="AC3675" s="536" t="str">
        <f>VLOOKUP(F3675,NXT!$B$12:$B$686,1,0)</f>
        <v>Thùng 165x75x16</v>
      </c>
      <c r="AD3675" s="536"/>
    </row>
    <row r="3676" spans="1:30" s="503" customFormat="1" ht="15.75" customHeight="1">
      <c r="A3676" s="517" t="str">
        <f>IF(B3676&lt;&gt;"",IF(AND(B3676&gt;=_TM1,B3676&lt;=_TM2,OR(TH!L3676="1111",TH!M3676="1111")),TH!D3676,""),"")</f>
        <v/>
      </c>
      <c r="B3676" s="531">
        <f t="shared" si="411"/>
        <v>8</v>
      </c>
      <c r="C3676" s="315">
        <f t="shared" si="412"/>
        <v>42978</v>
      </c>
      <c r="D3676" s="544" t="s">
        <v>1181</v>
      </c>
      <c r="E3676" s="315">
        <v>42978</v>
      </c>
      <c r="F3676" s="250" t="s">
        <v>1385</v>
      </c>
      <c r="G3676" s="314" t="s">
        <v>1446</v>
      </c>
      <c r="H3676" s="473" t="s">
        <v>284</v>
      </c>
      <c r="I3676" s="307">
        <v>112</v>
      </c>
      <c r="J3676" s="307">
        <v>27666</v>
      </c>
      <c r="K3676" s="532">
        <f t="shared" si="410"/>
        <v>3098592</v>
      </c>
      <c r="L3676" s="534" t="s">
        <v>223</v>
      </c>
      <c r="M3676" s="534" t="s">
        <v>162</v>
      </c>
      <c r="N3676" s="525" t="str">
        <f>IF(AND('331-CT'!$E$7=TH!H3676,OR(L3676="331",M3676="331")),"331",IF(AND(OR(L3676="131",M3676="131"),H3676='131-CT'!$E$7),"131",""))</f>
        <v/>
      </c>
      <c r="O3676" s="525" t="str">
        <f>IF(AND($B3676&gt;='111'!$N$11,$B3676&lt;='111'!$O$11,OR($L3676=$O$7,$M3676=$O$7)),"x","")</f>
        <v/>
      </c>
      <c r="P3676" s="525" t="str">
        <f>IF(AND($L3676=$O$7,$B3676&lt;'111'!$N$11),"x","")</f>
        <v/>
      </c>
      <c r="Q3676" s="525" t="str">
        <f>IF(AND($M3676=$O$7,$B3676&lt;'111'!$N$11),"x","")</f>
        <v/>
      </c>
      <c r="R3676" s="525" t="str">
        <f>IF(ISERROR(FIND('112'!$M$9,G3676,1)),"",IF((AND(FIND('112'!$M$9,G3676,1)&gt;=1,$B3676&gt;='112'!$N$8,$B3676&lt;='112'!$O$8,OR($L3676='112'!$I$6,$M3676='112'!$I$6))),"x",""))</f>
        <v/>
      </c>
      <c r="S3676" s="525" t="str">
        <f>IF(ISERROR(FIND('112'!$M$9,G3676,1)),"",IF((AND(LEFT(G3676,2)=LEFT('112'!$M$9,2),B3676&lt;'112'!$N$8,$L3676='112'!$I$6)),"x",""))</f>
        <v/>
      </c>
      <c r="T3676" s="525" t="str">
        <f>IF(ISERROR(FIND('112'!$M$9,G3676,1)),"",IF((AND(RIGHT(G3676,2)=RIGHT('112'!$M$9,2),B3676&lt;'112'!$N$8,$M3676='112'!$I$6)),"x",""))</f>
        <v/>
      </c>
      <c r="U3676" s="525" t="str">
        <f>IF(AND(B3676&gt;='IN-NX'!$P$3,B3676&lt;='IN-NX'!$Q$3,'IN-NX'!$D$7=D3676,OR(LEFT(L3676,2)="15",AND(LEFT(M3676,2)&lt;&gt;"15",LEFT(M3676,2)&lt;&gt;"33"))),"x","")</f>
        <v/>
      </c>
      <c r="V3676" s="525" t="str">
        <f>IF(AND(OR(LEFT(TH!L3676,2)="15",LEFT(TH!M3676,2)="15"),'152-CT'!$J$8=TH!F3676),"x","")</f>
        <v/>
      </c>
      <c r="W3676" s="525" t="str">
        <f>IF(AND(OR(LEFT(TH!L3676,2)="15",LEFT(TH!M3676,2)="15"),TK!$E$7=TH!F3676),"x","")</f>
        <v/>
      </c>
      <c r="X3676" s="525" t="str">
        <f>IF(AND('341-CT'!$E$9=H3676,OR(LEFT(L3676,3)=$X$7,LEFT(M3676,3)=$X$7)),"x","")</f>
        <v/>
      </c>
      <c r="Y3676" s="525" t="str">
        <f>IF(OR(TH!L3676=TH!$Y$7,M3676=TH!$Y$7),"x","")</f>
        <v/>
      </c>
      <c r="Z3676" s="525" t="str">
        <f>IF(AND(B3676&lt;=NKC!$N$8,B3676&gt;=NKC!$M$8),"x","")</f>
        <v/>
      </c>
      <c r="AA3676" s="535"/>
      <c r="AB3676" s="536"/>
      <c r="AC3676" s="536" t="str">
        <f>VLOOKUP(F3676,NXT!$B$12:$B$686,1,0)</f>
        <v>Thùng 55x33x80</v>
      </c>
      <c r="AD3676" s="536"/>
    </row>
    <row r="3677" spans="1:30" s="503" customFormat="1" ht="15.75" customHeight="1">
      <c r="A3677" s="517" t="str">
        <f>IF(B3677&lt;&gt;"",IF(AND(B3677&gt;=_TM1,B3677&lt;=_TM2,OR(TH!L3677="1111",TH!M3677="1111")),TH!D3677,""),"")</f>
        <v/>
      </c>
      <c r="B3677" s="531">
        <f t="shared" si="411"/>
        <v>8</v>
      </c>
      <c r="C3677" s="315">
        <f t="shared" si="412"/>
        <v>42978</v>
      </c>
      <c r="D3677" s="544" t="s">
        <v>1181</v>
      </c>
      <c r="E3677" s="315">
        <v>42978</v>
      </c>
      <c r="F3677" s="250" t="s">
        <v>625</v>
      </c>
      <c r="G3677" s="314" t="s">
        <v>1446</v>
      </c>
      <c r="H3677" s="473" t="s">
        <v>284</v>
      </c>
      <c r="I3677" s="307">
        <v>12</v>
      </c>
      <c r="J3677" s="307">
        <v>38917</v>
      </c>
      <c r="K3677" s="532">
        <f t="shared" si="410"/>
        <v>467004</v>
      </c>
      <c r="L3677" s="534" t="s">
        <v>223</v>
      </c>
      <c r="M3677" s="534" t="s">
        <v>162</v>
      </c>
      <c r="N3677" s="525" t="str">
        <f>IF(AND('331-CT'!$E$7=TH!H3677,OR(L3677="331",M3677="331")),"331",IF(AND(OR(L3677="131",M3677="131"),H3677='131-CT'!$E$7),"131",""))</f>
        <v/>
      </c>
      <c r="O3677" s="525" t="str">
        <f>IF(AND($B3677&gt;='111'!$N$11,$B3677&lt;='111'!$O$11,OR($L3677=$O$7,$M3677=$O$7)),"x","")</f>
        <v/>
      </c>
      <c r="P3677" s="525" t="str">
        <f>IF(AND($L3677=$O$7,$B3677&lt;'111'!$N$11),"x","")</f>
        <v/>
      </c>
      <c r="Q3677" s="525" t="str">
        <f>IF(AND($M3677=$O$7,$B3677&lt;'111'!$N$11),"x","")</f>
        <v/>
      </c>
      <c r="R3677" s="525" t="str">
        <f>IF(ISERROR(FIND('112'!$M$9,G3677,1)),"",IF((AND(FIND('112'!$M$9,G3677,1)&gt;=1,$B3677&gt;='112'!$N$8,$B3677&lt;='112'!$O$8,OR($L3677='112'!$I$6,$M3677='112'!$I$6))),"x",""))</f>
        <v/>
      </c>
      <c r="S3677" s="525" t="str">
        <f>IF(ISERROR(FIND('112'!$M$9,G3677,1)),"",IF((AND(LEFT(G3677,2)=LEFT('112'!$M$9,2),B3677&lt;'112'!$N$8,$L3677='112'!$I$6)),"x",""))</f>
        <v/>
      </c>
      <c r="T3677" s="525" t="str">
        <f>IF(ISERROR(FIND('112'!$M$9,G3677,1)),"",IF((AND(RIGHT(G3677,2)=RIGHT('112'!$M$9,2),B3677&lt;'112'!$N$8,$M3677='112'!$I$6)),"x",""))</f>
        <v/>
      </c>
      <c r="U3677" s="525" t="str">
        <f>IF(AND(B3677&gt;='IN-NX'!$P$3,B3677&lt;='IN-NX'!$Q$3,'IN-NX'!$D$7=D3677,OR(LEFT(L3677,2)="15",AND(LEFT(M3677,2)&lt;&gt;"15",LEFT(M3677,2)&lt;&gt;"33"))),"x","")</f>
        <v/>
      </c>
      <c r="V3677" s="525" t="str">
        <f>IF(AND(OR(LEFT(TH!L3677,2)="15",LEFT(TH!M3677,2)="15"),'152-CT'!$J$8=TH!F3677),"x","")</f>
        <v/>
      </c>
      <c r="W3677" s="525" t="str">
        <f>IF(AND(OR(LEFT(TH!L3677,2)="15",LEFT(TH!M3677,2)="15"),TK!$E$7=TH!F3677),"x","")</f>
        <v/>
      </c>
      <c r="X3677" s="525" t="str">
        <f>IF(AND('341-CT'!$E$9=H3677,OR(LEFT(L3677,3)=$X$7,LEFT(M3677,3)=$X$7)),"x","")</f>
        <v/>
      </c>
      <c r="Y3677" s="525" t="str">
        <f>IF(OR(TH!L3677=TH!$Y$7,M3677=TH!$Y$7),"x","")</f>
        <v/>
      </c>
      <c r="Z3677" s="525" t="str">
        <f>IF(AND(B3677&lt;=NKC!$N$8,B3677&gt;=NKC!$M$8),"x","")</f>
        <v/>
      </c>
      <c r="AA3677" s="535"/>
      <c r="AB3677" s="536"/>
      <c r="AC3677" s="536" t="str">
        <f>VLOOKUP(F3677,NXT!$B$12:$B$686,1,0)</f>
        <v>Thùng 72x62x42</v>
      </c>
    </row>
    <row r="3678" spans="1:30" s="503" customFormat="1" ht="15.75" customHeight="1">
      <c r="A3678" s="517" t="str">
        <f>IF(B3678&lt;&gt;"",IF(AND(B3678&gt;=_TM1,B3678&lt;=_TM2,OR(TH!L3678="1111",TH!M3678="1111")),TH!D3678,""),"")</f>
        <v/>
      </c>
      <c r="B3678" s="531">
        <f t="shared" si="411"/>
        <v>8</v>
      </c>
      <c r="C3678" s="315">
        <f t="shared" si="412"/>
        <v>42978</v>
      </c>
      <c r="D3678" s="544" t="s">
        <v>1181</v>
      </c>
      <c r="E3678" s="315">
        <v>42978</v>
      </c>
      <c r="F3678" s="250" t="s">
        <v>1453</v>
      </c>
      <c r="G3678" s="314" t="s">
        <v>1446</v>
      </c>
      <c r="H3678" s="473" t="s">
        <v>284</v>
      </c>
      <c r="I3678" s="307">
        <v>16</v>
      </c>
      <c r="J3678" s="307">
        <v>40495</v>
      </c>
      <c r="K3678" s="532">
        <f t="shared" si="410"/>
        <v>647920</v>
      </c>
      <c r="L3678" s="534" t="s">
        <v>223</v>
      </c>
      <c r="M3678" s="534" t="s">
        <v>162</v>
      </c>
      <c r="N3678" s="525" t="str">
        <f>IF(AND('331-CT'!$E$7=TH!H3678,OR(L3678="331",M3678="331")),"331",IF(AND(OR(L3678="131",M3678="131"),H3678='131-CT'!$E$7),"131",""))</f>
        <v/>
      </c>
      <c r="O3678" s="525" t="str">
        <f>IF(AND($B3678&gt;='111'!$N$11,$B3678&lt;='111'!$O$11,OR($L3678=$O$7,$M3678=$O$7)),"x","")</f>
        <v/>
      </c>
      <c r="P3678" s="525" t="str">
        <f>IF(AND($L3678=$O$7,$B3678&lt;'111'!$N$11),"x","")</f>
        <v/>
      </c>
      <c r="Q3678" s="525" t="str">
        <f>IF(AND($M3678=$O$7,$B3678&lt;'111'!$N$11),"x","")</f>
        <v/>
      </c>
      <c r="R3678" s="525" t="str">
        <f>IF(ISERROR(FIND('112'!$M$9,G3678,1)),"",IF((AND(FIND('112'!$M$9,G3678,1)&gt;=1,$B3678&gt;='112'!$N$8,$B3678&lt;='112'!$O$8,OR($L3678='112'!$I$6,$M3678='112'!$I$6))),"x",""))</f>
        <v/>
      </c>
      <c r="S3678" s="525" t="str">
        <f>IF(ISERROR(FIND('112'!$M$9,G3678,1)),"",IF((AND(LEFT(G3678,2)=LEFT('112'!$M$9,2),B3678&lt;'112'!$N$8,$L3678='112'!$I$6)),"x",""))</f>
        <v/>
      </c>
      <c r="T3678" s="525" t="str">
        <f>IF(ISERROR(FIND('112'!$M$9,G3678,1)),"",IF((AND(RIGHT(G3678,2)=RIGHT('112'!$M$9,2),B3678&lt;'112'!$N$8,$M3678='112'!$I$6)),"x",""))</f>
        <v/>
      </c>
      <c r="U3678" s="525" t="str">
        <f>IF(AND(B3678&gt;='IN-NX'!$P$3,B3678&lt;='IN-NX'!$Q$3,'IN-NX'!$D$7=D3678,OR(LEFT(L3678,2)="15",AND(LEFT(M3678,2)&lt;&gt;"15",LEFT(M3678,2)&lt;&gt;"33"))),"x","")</f>
        <v/>
      </c>
      <c r="V3678" s="525" t="str">
        <f>IF(AND(OR(LEFT(TH!L3678,2)="15",LEFT(TH!M3678,2)="15"),'152-CT'!$J$8=TH!F3678),"x","")</f>
        <v/>
      </c>
      <c r="W3678" s="525" t="str">
        <f>IF(AND(OR(LEFT(TH!L3678,2)="15",LEFT(TH!M3678,2)="15"),TK!$E$7=TH!F3678),"x","")</f>
        <v/>
      </c>
      <c r="X3678" s="525" t="str">
        <f>IF(AND('341-CT'!$E$9=H3678,OR(LEFT(L3678,3)=$X$7,LEFT(M3678,3)=$X$7)),"x","")</f>
        <v/>
      </c>
      <c r="Y3678" s="525" t="str">
        <f>IF(OR(TH!L3678=TH!$Y$7,M3678=TH!$Y$7),"x","")</f>
        <v/>
      </c>
      <c r="Z3678" s="525" t="str">
        <f>IF(AND(B3678&lt;=NKC!$N$8,B3678&gt;=NKC!$M$8),"x","")</f>
        <v/>
      </c>
      <c r="AA3678" s="535"/>
      <c r="AB3678" s="536"/>
      <c r="AC3678" s="536" t="str">
        <f>VLOOKUP(F3678,NXT!$B$12:$B$686,1,0)</f>
        <v>Thùng 46x46x52</v>
      </c>
      <c r="AD3678" s="536"/>
    </row>
    <row r="3679" spans="1:30" s="503" customFormat="1" ht="15.75" customHeight="1">
      <c r="A3679" s="517" t="str">
        <f>IF(B3679&lt;&gt;"",IF(AND(B3679&gt;=_TM1,B3679&lt;=_TM2,OR(TH!L3679="1111",TH!M3679="1111")),TH!D3679,""),"")</f>
        <v/>
      </c>
      <c r="B3679" s="531">
        <f t="shared" si="411"/>
        <v>8</v>
      </c>
      <c r="C3679" s="315">
        <f t="shared" si="412"/>
        <v>42978</v>
      </c>
      <c r="D3679" s="544" t="s">
        <v>1181</v>
      </c>
      <c r="E3679" s="315">
        <v>42978</v>
      </c>
      <c r="F3679" s="250" t="s">
        <v>1454</v>
      </c>
      <c r="G3679" s="314" t="s">
        <v>1446</v>
      </c>
      <c r="H3679" s="473" t="s">
        <v>284</v>
      </c>
      <c r="I3679" s="307">
        <v>10</v>
      </c>
      <c r="J3679" s="307">
        <v>120957</v>
      </c>
      <c r="K3679" s="532">
        <f t="shared" si="410"/>
        <v>1209570</v>
      </c>
      <c r="L3679" s="534" t="s">
        <v>223</v>
      </c>
      <c r="M3679" s="534" t="s">
        <v>162</v>
      </c>
      <c r="N3679" s="525" t="str">
        <f>IF(AND('331-CT'!$E$7=TH!H3679,OR(L3679="331",M3679="331")),"331",IF(AND(OR(L3679="131",M3679="131"),H3679='131-CT'!$E$7),"131",""))</f>
        <v/>
      </c>
      <c r="O3679" s="525" t="str">
        <f>IF(AND($B3679&gt;='111'!$N$11,$B3679&lt;='111'!$O$11,OR($L3679=$O$7,$M3679=$O$7)),"x","")</f>
        <v/>
      </c>
      <c r="P3679" s="525" t="str">
        <f>IF(AND($L3679=$O$7,$B3679&lt;'111'!$N$11),"x","")</f>
        <v/>
      </c>
      <c r="Q3679" s="525" t="str">
        <f>IF(AND($M3679=$O$7,$B3679&lt;'111'!$N$11),"x","")</f>
        <v/>
      </c>
      <c r="R3679" s="525" t="str">
        <f>IF(ISERROR(FIND('112'!$M$9,G3679,1)),"",IF((AND(FIND('112'!$M$9,G3679,1)&gt;=1,$B3679&gt;='112'!$N$8,$B3679&lt;='112'!$O$8,OR($L3679='112'!$I$6,$M3679='112'!$I$6))),"x",""))</f>
        <v/>
      </c>
      <c r="S3679" s="525" t="str">
        <f>IF(ISERROR(FIND('112'!$M$9,G3679,1)),"",IF((AND(LEFT(G3679,2)=LEFT('112'!$M$9,2),B3679&lt;'112'!$N$8,$L3679='112'!$I$6)),"x",""))</f>
        <v/>
      </c>
      <c r="T3679" s="525" t="str">
        <f>IF(ISERROR(FIND('112'!$M$9,G3679,1)),"",IF((AND(RIGHT(G3679,2)=RIGHT('112'!$M$9,2),B3679&lt;'112'!$N$8,$M3679='112'!$I$6)),"x",""))</f>
        <v/>
      </c>
      <c r="U3679" s="525" t="str">
        <f>IF(AND(B3679&gt;='IN-NX'!$P$3,B3679&lt;='IN-NX'!$Q$3,'IN-NX'!$D$7=D3679,OR(LEFT(L3679,2)="15",AND(LEFT(M3679,2)&lt;&gt;"15",LEFT(M3679,2)&lt;&gt;"33"))),"x","")</f>
        <v/>
      </c>
      <c r="V3679" s="525" t="str">
        <f>IF(AND(OR(LEFT(TH!L3679,2)="15",LEFT(TH!M3679,2)="15"),'152-CT'!$J$8=TH!F3679),"x","")</f>
        <v/>
      </c>
      <c r="W3679" s="525" t="str">
        <f>IF(AND(OR(LEFT(TH!L3679,2)="15",LEFT(TH!M3679,2)="15"),TK!$E$7=TH!F3679),"x","")</f>
        <v/>
      </c>
      <c r="X3679" s="525" t="str">
        <f>IF(AND('341-CT'!$E$9=H3679,OR(LEFT(L3679,3)=$X$7,LEFT(M3679,3)=$X$7)),"x","")</f>
        <v/>
      </c>
      <c r="Y3679" s="525" t="str">
        <f>IF(OR(TH!L3679=TH!$Y$7,M3679=TH!$Y$7),"x","")</f>
        <v/>
      </c>
      <c r="Z3679" s="525" t="str">
        <f>IF(AND(B3679&lt;=NKC!$N$8,B3679&gt;=NKC!$M$8),"x","")</f>
        <v/>
      </c>
      <c r="AA3679" s="535"/>
      <c r="AB3679" s="536"/>
      <c r="AC3679" s="536" t="str">
        <f>VLOOKUP(F3679,NXT!$B$12:$B$686,1,0)</f>
        <v>Thùng 98x98x42</v>
      </c>
      <c r="AD3679" s="536"/>
    </row>
    <row r="3680" spans="1:30" s="503" customFormat="1" ht="15.75" customHeight="1">
      <c r="A3680" s="517" t="str">
        <f>IF(B3680&lt;&gt;"",IF(AND(B3680&gt;=_TM1,B3680&lt;=_TM2,OR(TH!L3680="1111",TH!M3680="1111")),TH!D3680,""),"")</f>
        <v/>
      </c>
      <c r="B3680" s="531">
        <f t="shared" si="411"/>
        <v>8</v>
      </c>
      <c r="C3680" s="315">
        <f t="shared" si="412"/>
        <v>42978</v>
      </c>
      <c r="D3680" s="544" t="s">
        <v>1181</v>
      </c>
      <c r="E3680" s="315">
        <v>42978</v>
      </c>
      <c r="F3680" s="250" t="s">
        <v>1455</v>
      </c>
      <c r="G3680" s="314" t="s">
        <v>1446</v>
      </c>
      <c r="H3680" s="473" t="s">
        <v>284</v>
      </c>
      <c r="I3680" s="307">
        <v>24</v>
      </c>
      <c r="J3680" s="307">
        <v>40892</v>
      </c>
      <c r="K3680" s="532">
        <f t="shared" ref="K3680:K3711" si="413">ROUND(I3680*J3680,0)</f>
        <v>981408</v>
      </c>
      <c r="L3680" s="534" t="s">
        <v>223</v>
      </c>
      <c r="M3680" s="534" t="s">
        <v>162</v>
      </c>
      <c r="N3680" s="525" t="str">
        <f>IF(AND('331-CT'!$E$7=TH!H3680,OR(L3680="331",M3680="331")),"331",IF(AND(OR(L3680="131",M3680="131"),H3680='131-CT'!$E$7),"131",""))</f>
        <v/>
      </c>
      <c r="O3680" s="525" t="str">
        <f>IF(AND($B3680&gt;='111'!$N$11,$B3680&lt;='111'!$O$11,OR($L3680=$O$7,$M3680=$O$7)),"x","")</f>
        <v/>
      </c>
      <c r="P3680" s="525" t="str">
        <f>IF(AND($L3680=$O$7,$B3680&lt;'111'!$N$11),"x","")</f>
        <v/>
      </c>
      <c r="Q3680" s="525" t="str">
        <f>IF(AND($M3680=$O$7,$B3680&lt;'111'!$N$11),"x","")</f>
        <v/>
      </c>
      <c r="R3680" s="525" t="str">
        <f>IF(ISERROR(FIND('112'!$M$9,G3680,1)),"",IF((AND(FIND('112'!$M$9,G3680,1)&gt;=1,$B3680&gt;='112'!$N$8,$B3680&lt;='112'!$O$8,OR($L3680='112'!$I$6,$M3680='112'!$I$6))),"x",""))</f>
        <v/>
      </c>
      <c r="S3680" s="525" t="str">
        <f>IF(ISERROR(FIND('112'!$M$9,G3680,1)),"",IF((AND(LEFT(G3680,2)=LEFT('112'!$M$9,2),B3680&lt;'112'!$N$8,$L3680='112'!$I$6)),"x",""))</f>
        <v/>
      </c>
      <c r="T3680" s="525" t="str">
        <f>IF(ISERROR(FIND('112'!$M$9,G3680,1)),"",IF((AND(RIGHT(G3680,2)=RIGHT('112'!$M$9,2),B3680&lt;'112'!$N$8,$M3680='112'!$I$6)),"x",""))</f>
        <v/>
      </c>
      <c r="U3680" s="525" t="str">
        <f>IF(AND(B3680&gt;='IN-NX'!$P$3,B3680&lt;='IN-NX'!$Q$3,'IN-NX'!$D$7=D3680,OR(LEFT(L3680,2)="15",AND(LEFT(M3680,2)&lt;&gt;"15",LEFT(M3680,2)&lt;&gt;"33"))),"x","")</f>
        <v/>
      </c>
      <c r="V3680" s="525" t="str">
        <f>IF(AND(OR(LEFT(TH!L3680,2)="15",LEFT(TH!M3680,2)="15"),'152-CT'!$J$8=TH!F3680),"x","")</f>
        <v/>
      </c>
      <c r="W3680" s="525" t="str">
        <f>IF(AND(OR(LEFT(TH!L3680,2)="15",LEFT(TH!M3680,2)="15"),TK!$E$7=TH!F3680),"x","")</f>
        <v/>
      </c>
      <c r="X3680" s="525" t="str">
        <f>IF(AND('341-CT'!$E$9=H3680,OR(LEFT(L3680,3)=$X$7,LEFT(M3680,3)=$X$7)),"x","")</f>
        <v/>
      </c>
      <c r="Y3680" s="525" t="str">
        <f>IF(OR(TH!L3680=TH!$Y$7,M3680=TH!$Y$7),"x","")</f>
        <v/>
      </c>
      <c r="Z3680" s="525" t="str">
        <f>IF(AND(B3680&lt;=NKC!$N$8,B3680&gt;=NKC!$M$8),"x","")</f>
        <v/>
      </c>
      <c r="AA3680" s="535"/>
      <c r="AB3680" s="536"/>
      <c r="AC3680" s="536" t="str">
        <f>VLOOKUP(F3680,NXT!$B$12:$B$686,1,0)</f>
        <v>Thùng 46x46x53</v>
      </c>
    </row>
    <row r="3681" spans="1:30" s="503" customFormat="1" ht="15.75" customHeight="1">
      <c r="A3681" s="517" t="str">
        <f>IF(B3681&lt;&gt;"",IF(AND(B3681&gt;=_TM1,B3681&lt;=_TM2,OR(TH!L3681="1111",TH!M3681="1111")),TH!D3681,""),"")</f>
        <v/>
      </c>
      <c r="B3681" s="531">
        <f t="shared" si="411"/>
        <v>8</v>
      </c>
      <c r="C3681" s="315">
        <f t="shared" si="412"/>
        <v>42978</v>
      </c>
      <c r="D3681" s="544" t="s">
        <v>1181</v>
      </c>
      <c r="E3681" s="315">
        <v>42978</v>
      </c>
      <c r="F3681" s="250" t="s">
        <v>1456</v>
      </c>
      <c r="G3681" s="314" t="s">
        <v>1446</v>
      </c>
      <c r="H3681" s="473" t="s">
        <v>284</v>
      </c>
      <c r="I3681" s="307">
        <v>12</v>
      </c>
      <c r="J3681" s="307">
        <v>67403</v>
      </c>
      <c r="K3681" s="532">
        <f t="shared" si="413"/>
        <v>808836</v>
      </c>
      <c r="L3681" s="534" t="s">
        <v>223</v>
      </c>
      <c r="M3681" s="534" t="s">
        <v>162</v>
      </c>
      <c r="N3681" s="525" t="str">
        <f>IF(AND('331-CT'!$E$7=TH!H3681,OR(L3681="331",M3681="331")),"331",IF(AND(OR(L3681="131",M3681="131"),H3681='131-CT'!$E$7),"131",""))</f>
        <v/>
      </c>
      <c r="O3681" s="525" t="str">
        <f>IF(AND($B3681&gt;='111'!$N$11,$B3681&lt;='111'!$O$11,OR($L3681=$O$7,$M3681=$O$7)),"x","")</f>
        <v/>
      </c>
      <c r="P3681" s="525" t="str">
        <f>IF(AND($L3681=$O$7,$B3681&lt;'111'!$N$11),"x","")</f>
        <v/>
      </c>
      <c r="Q3681" s="525" t="str">
        <f>IF(AND($M3681=$O$7,$B3681&lt;'111'!$N$11),"x","")</f>
        <v/>
      </c>
      <c r="R3681" s="525" t="str">
        <f>IF(ISERROR(FIND('112'!$M$9,G3681,1)),"",IF((AND(FIND('112'!$M$9,G3681,1)&gt;=1,$B3681&gt;='112'!$N$8,$B3681&lt;='112'!$O$8,OR($L3681='112'!$I$6,$M3681='112'!$I$6))),"x",""))</f>
        <v/>
      </c>
      <c r="S3681" s="525" t="str">
        <f>IF(ISERROR(FIND('112'!$M$9,G3681,1)),"",IF((AND(LEFT(G3681,2)=LEFT('112'!$M$9,2),B3681&lt;'112'!$N$8,$L3681='112'!$I$6)),"x",""))</f>
        <v/>
      </c>
      <c r="T3681" s="525" t="str">
        <f>IF(ISERROR(FIND('112'!$M$9,G3681,1)),"",IF((AND(RIGHT(G3681,2)=RIGHT('112'!$M$9,2),B3681&lt;'112'!$N$8,$M3681='112'!$I$6)),"x",""))</f>
        <v/>
      </c>
      <c r="U3681" s="525" t="str">
        <f>IF(AND(B3681&gt;='IN-NX'!$P$3,B3681&lt;='IN-NX'!$Q$3,'IN-NX'!$D$7=D3681,OR(LEFT(L3681,2)="15",AND(LEFT(M3681,2)&lt;&gt;"15",LEFT(M3681,2)&lt;&gt;"33"))),"x","")</f>
        <v/>
      </c>
      <c r="V3681" s="525" t="str">
        <f>IF(AND(OR(LEFT(TH!L3681,2)="15",LEFT(TH!M3681,2)="15"),'152-CT'!$J$8=TH!F3681),"x","")</f>
        <v/>
      </c>
      <c r="W3681" s="525" t="str">
        <f>IF(AND(OR(LEFT(TH!L3681,2)="15",LEFT(TH!M3681,2)="15"),TK!$E$7=TH!F3681),"x","")</f>
        <v/>
      </c>
      <c r="X3681" s="525" t="str">
        <f>IF(AND('341-CT'!$E$9=H3681,OR(LEFT(L3681,3)=$X$7,LEFT(M3681,3)=$X$7)),"x","")</f>
        <v/>
      </c>
      <c r="Y3681" s="525" t="str">
        <f>IF(OR(TH!L3681=TH!$Y$7,M3681=TH!$Y$7),"x","")</f>
        <v/>
      </c>
      <c r="Z3681" s="525" t="str">
        <f>IF(AND(B3681&lt;=NKC!$N$8,B3681&gt;=NKC!$M$8),"x","")</f>
        <v/>
      </c>
      <c r="AA3681" s="535"/>
      <c r="AB3681" s="536"/>
      <c r="AC3681" s="536" t="str">
        <f>VLOOKUP(F3681,NXT!$B$12:$B$686,1,0)</f>
        <v>Thùng 61x61x62</v>
      </c>
      <c r="AD3681" s="536"/>
    </row>
    <row r="3682" spans="1:30" s="503" customFormat="1" ht="15.75" customHeight="1">
      <c r="A3682" s="517" t="str">
        <f>IF(B3682&lt;&gt;"",IF(AND(B3682&gt;=_TM1,B3682&lt;=_TM2,OR(TH!L3682="1111",TH!M3682="1111")),TH!D3682,""),"")</f>
        <v/>
      </c>
      <c r="B3682" s="531">
        <f t="shared" si="411"/>
        <v>8</v>
      </c>
      <c r="C3682" s="315">
        <f t="shared" si="412"/>
        <v>42978</v>
      </c>
      <c r="D3682" s="544" t="s">
        <v>1181</v>
      </c>
      <c r="E3682" s="315">
        <v>42978</v>
      </c>
      <c r="F3682" s="250" t="s">
        <v>1240</v>
      </c>
      <c r="G3682" s="314" t="s">
        <v>1446</v>
      </c>
      <c r="H3682" s="473" t="s">
        <v>284</v>
      </c>
      <c r="I3682" s="307">
        <v>16</v>
      </c>
      <c r="J3682" s="307">
        <v>65280</v>
      </c>
      <c r="K3682" s="532">
        <f t="shared" si="413"/>
        <v>1044480</v>
      </c>
      <c r="L3682" s="534" t="s">
        <v>223</v>
      </c>
      <c r="M3682" s="534" t="s">
        <v>162</v>
      </c>
      <c r="N3682" s="525" t="str">
        <f>IF(AND('331-CT'!$E$7=TH!H3682,OR(L3682="331",M3682="331")),"331",IF(AND(OR(L3682="131",M3682="131"),H3682='131-CT'!$E$7),"131",""))</f>
        <v/>
      </c>
      <c r="O3682" s="525" t="str">
        <f>IF(AND($B3682&gt;='111'!$N$11,$B3682&lt;='111'!$O$11,OR($L3682=$O$7,$M3682=$O$7)),"x","")</f>
        <v/>
      </c>
      <c r="P3682" s="525" t="str">
        <f>IF(AND($L3682=$O$7,$B3682&lt;'111'!$N$11),"x","")</f>
        <v/>
      </c>
      <c r="Q3682" s="525" t="str">
        <f>IF(AND($M3682=$O$7,$B3682&lt;'111'!$N$11),"x","")</f>
        <v/>
      </c>
      <c r="R3682" s="525" t="str">
        <f>IF(ISERROR(FIND('112'!$M$9,G3682,1)),"",IF((AND(FIND('112'!$M$9,G3682,1)&gt;=1,$B3682&gt;='112'!$N$8,$B3682&lt;='112'!$O$8,OR($L3682='112'!$I$6,$M3682='112'!$I$6))),"x",""))</f>
        <v/>
      </c>
      <c r="S3682" s="525" t="str">
        <f>IF(ISERROR(FIND('112'!$M$9,G3682,1)),"",IF((AND(LEFT(G3682,2)=LEFT('112'!$M$9,2),B3682&lt;'112'!$N$8,$L3682='112'!$I$6)),"x",""))</f>
        <v/>
      </c>
      <c r="T3682" s="525" t="str">
        <f>IF(ISERROR(FIND('112'!$M$9,G3682,1)),"",IF((AND(RIGHT(G3682,2)=RIGHT('112'!$M$9,2),B3682&lt;'112'!$N$8,$M3682='112'!$I$6)),"x",""))</f>
        <v/>
      </c>
      <c r="U3682" s="525" t="str">
        <f>IF(AND(B3682&gt;='IN-NX'!$P$3,B3682&lt;='IN-NX'!$Q$3,'IN-NX'!$D$7=D3682,OR(LEFT(L3682,2)="15",AND(LEFT(M3682,2)&lt;&gt;"15",LEFT(M3682,2)&lt;&gt;"33"))),"x","")</f>
        <v/>
      </c>
      <c r="V3682" s="525" t="str">
        <f>IF(AND(OR(LEFT(TH!L3682,2)="15",LEFT(TH!M3682,2)="15"),'152-CT'!$J$8=TH!F3682),"x","")</f>
        <v/>
      </c>
      <c r="W3682" s="525" t="str">
        <f>IF(AND(OR(LEFT(TH!L3682,2)="15",LEFT(TH!M3682,2)="15"),TK!$E$7=TH!F3682),"x","")</f>
        <v/>
      </c>
      <c r="X3682" s="525" t="str">
        <f>IF(AND('341-CT'!$E$9=H3682,OR(LEFT(L3682,3)=$X$7,LEFT(M3682,3)=$X$7)),"x","")</f>
        <v/>
      </c>
      <c r="Y3682" s="525" t="str">
        <f>IF(OR(TH!L3682=TH!$Y$7,M3682=TH!$Y$7),"x","")</f>
        <v/>
      </c>
      <c r="Z3682" s="525" t="str">
        <f>IF(AND(B3682&lt;=NKC!$N$8,B3682&gt;=NKC!$M$8),"x","")</f>
        <v/>
      </c>
      <c r="AA3682" s="535"/>
      <c r="AB3682" s="536"/>
      <c r="AC3682" s="536" t="str">
        <f>VLOOKUP(F3682,NXT!$B$12:$B$686,1,0)</f>
        <v>Thùng 62x60x59</v>
      </c>
      <c r="AD3682" s="536"/>
    </row>
    <row r="3683" spans="1:30" s="503" customFormat="1" ht="15.75" customHeight="1">
      <c r="A3683" s="517" t="str">
        <f>IF(B3683&lt;&gt;"",IF(AND(B3683&gt;=_TM1,B3683&lt;=_TM2,OR(TH!L3683="1111",TH!M3683="1111")),TH!D3683,""),"")</f>
        <v/>
      </c>
      <c r="B3683" s="531">
        <f t="shared" si="411"/>
        <v>8</v>
      </c>
      <c r="C3683" s="315">
        <f t="shared" si="412"/>
        <v>42978</v>
      </c>
      <c r="D3683" s="544" t="s">
        <v>1181</v>
      </c>
      <c r="E3683" s="315">
        <v>42978</v>
      </c>
      <c r="F3683" s="250" t="s">
        <v>1457</v>
      </c>
      <c r="G3683" s="314" t="s">
        <v>1446</v>
      </c>
      <c r="H3683" s="473" t="s">
        <v>284</v>
      </c>
      <c r="I3683" s="307">
        <v>16</v>
      </c>
      <c r="J3683" s="307">
        <v>46057</v>
      </c>
      <c r="K3683" s="532">
        <f t="shared" si="413"/>
        <v>736912</v>
      </c>
      <c r="L3683" s="534" t="s">
        <v>223</v>
      </c>
      <c r="M3683" s="534" t="s">
        <v>162</v>
      </c>
      <c r="N3683" s="525" t="str">
        <f>IF(AND('331-CT'!$E$7=TH!H3683,OR(L3683="331",M3683="331")),"331",IF(AND(OR(L3683="131",M3683="131"),H3683='131-CT'!$E$7),"131",""))</f>
        <v/>
      </c>
      <c r="O3683" s="525" t="str">
        <f>IF(AND($B3683&gt;='111'!$N$11,$B3683&lt;='111'!$O$11,OR($L3683=$O$7,$M3683=$O$7)),"x","")</f>
        <v/>
      </c>
      <c r="P3683" s="525" t="str">
        <f>IF(AND($L3683=$O$7,$B3683&lt;'111'!$N$11),"x","")</f>
        <v/>
      </c>
      <c r="Q3683" s="525" t="str">
        <f>IF(AND($M3683=$O$7,$B3683&lt;'111'!$N$11),"x","")</f>
        <v/>
      </c>
      <c r="R3683" s="525" t="str">
        <f>IF(ISERROR(FIND('112'!$M$9,G3683,1)),"",IF((AND(FIND('112'!$M$9,G3683,1)&gt;=1,$B3683&gt;='112'!$N$8,$B3683&lt;='112'!$O$8,OR($L3683='112'!$I$6,$M3683='112'!$I$6))),"x",""))</f>
        <v/>
      </c>
      <c r="S3683" s="525" t="str">
        <f>IF(ISERROR(FIND('112'!$M$9,G3683,1)),"",IF((AND(LEFT(G3683,2)=LEFT('112'!$M$9,2),B3683&lt;'112'!$N$8,$L3683='112'!$I$6)),"x",""))</f>
        <v/>
      </c>
      <c r="T3683" s="525" t="str">
        <f>IF(ISERROR(FIND('112'!$M$9,G3683,1)),"",IF((AND(RIGHT(G3683,2)=RIGHT('112'!$M$9,2),B3683&lt;'112'!$N$8,$M3683='112'!$I$6)),"x",""))</f>
        <v/>
      </c>
      <c r="U3683" s="525" t="str">
        <f>IF(AND(B3683&gt;='IN-NX'!$P$3,B3683&lt;='IN-NX'!$Q$3,'IN-NX'!$D$7=D3683,OR(LEFT(L3683,2)="15",AND(LEFT(M3683,2)&lt;&gt;"15",LEFT(M3683,2)&lt;&gt;"33"))),"x","")</f>
        <v/>
      </c>
      <c r="V3683" s="525" t="str">
        <f>IF(AND(OR(LEFT(TH!L3683,2)="15",LEFT(TH!M3683,2)="15"),'152-CT'!$J$8=TH!F3683),"x","")</f>
        <v/>
      </c>
      <c r="W3683" s="525" t="str">
        <f>IF(AND(OR(LEFT(TH!L3683,2)="15",LEFT(TH!M3683,2)="15"),TK!$E$7=TH!F3683),"x","")</f>
        <v/>
      </c>
      <c r="X3683" s="525" t="str">
        <f>IF(AND('341-CT'!$E$9=H3683,OR(LEFT(L3683,3)=$X$7,LEFT(M3683,3)=$X$7)),"x","")</f>
        <v/>
      </c>
      <c r="Y3683" s="525" t="str">
        <f>IF(OR(TH!L3683=TH!$Y$7,M3683=TH!$Y$7),"x","")</f>
        <v/>
      </c>
      <c r="Z3683" s="525" t="str">
        <f>IF(AND(B3683&lt;=NKC!$N$8,B3683&gt;=NKC!$M$8),"x","")</f>
        <v/>
      </c>
      <c r="AA3683" s="535"/>
      <c r="AB3683" s="536"/>
      <c r="AC3683" s="536" t="str">
        <f>VLOOKUP(F3683,NXT!$B$12:$B$686,1,0)</f>
        <v>Thùng 54x44x59</v>
      </c>
    </row>
    <row r="3684" spans="1:30" s="503" customFormat="1" ht="15.75" customHeight="1">
      <c r="A3684" s="517" t="str">
        <f>IF(B3684&lt;&gt;"",IF(AND(B3684&gt;=_TM1,B3684&lt;=_TM2,OR(TH!L3684="1111",TH!M3684="1111")),TH!D3684,""),"")</f>
        <v/>
      </c>
      <c r="B3684" s="531">
        <f t="shared" si="411"/>
        <v>8</v>
      </c>
      <c r="C3684" s="315">
        <f t="shared" si="412"/>
        <v>42978</v>
      </c>
      <c r="D3684" s="544" t="s">
        <v>1181</v>
      </c>
      <c r="E3684" s="315">
        <v>42978</v>
      </c>
      <c r="F3684" s="250" t="s">
        <v>1458</v>
      </c>
      <c r="G3684" s="314" t="s">
        <v>1446</v>
      </c>
      <c r="H3684" s="473" t="s">
        <v>284</v>
      </c>
      <c r="I3684" s="307">
        <v>10</v>
      </c>
      <c r="J3684" s="307">
        <v>333792</v>
      </c>
      <c r="K3684" s="532">
        <f t="shared" si="413"/>
        <v>3337920</v>
      </c>
      <c r="L3684" s="534" t="s">
        <v>223</v>
      </c>
      <c r="M3684" s="534" t="s">
        <v>162</v>
      </c>
      <c r="N3684" s="525" t="str">
        <f>IF(AND('331-CT'!$E$7=TH!H3684,OR(L3684="331",M3684="331")),"331",IF(AND(OR(L3684="131",M3684="131"),H3684='131-CT'!$E$7),"131",""))</f>
        <v/>
      </c>
      <c r="O3684" s="525" t="str">
        <f>IF(AND($B3684&gt;='111'!$N$11,$B3684&lt;='111'!$O$11,OR($L3684=$O$7,$M3684=$O$7)),"x","")</f>
        <v/>
      </c>
      <c r="P3684" s="525" t="str">
        <f>IF(AND($L3684=$O$7,$B3684&lt;'111'!$N$11),"x","")</f>
        <v/>
      </c>
      <c r="Q3684" s="525" t="str">
        <f>IF(AND($M3684=$O$7,$B3684&lt;'111'!$N$11),"x","")</f>
        <v/>
      </c>
      <c r="R3684" s="525" t="str">
        <f>IF(ISERROR(FIND('112'!$M$9,G3684,1)),"",IF((AND(FIND('112'!$M$9,G3684,1)&gt;=1,$B3684&gt;='112'!$N$8,$B3684&lt;='112'!$O$8,OR($L3684='112'!$I$6,$M3684='112'!$I$6))),"x",""))</f>
        <v/>
      </c>
      <c r="S3684" s="525" t="str">
        <f>IF(ISERROR(FIND('112'!$M$9,G3684,1)),"",IF((AND(LEFT(G3684,2)=LEFT('112'!$M$9,2),B3684&lt;'112'!$N$8,$L3684='112'!$I$6)),"x",""))</f>
        <v/>
      </c>
      <c r="T3684" s="525" t="str">
        <f>IF(ISERROR(FIND('112'!$M$9,G3684,1)),"",IF((AND(RIGHT(G3684,2)=RIGHT('112'!$M$9,2),B3684&lt;'112'!$N$8,$M3684='112'!$I$6)),"x",""))</f>
        <v/>
      </c>
      <c r="U3684" s="525" t="str">
        <f>IF(AND(B3684&gt;='IN-NX'!$P$3,B3684&lt;='IN-NX'!$Q$3,'IN-NX'!$D$7=D3684,OR(LEFT(L3684,2)="15",AND(LEFT(M3684,2)&lt;&gt;"15",LEFT(M3684,2)&lt;&gt;"33"))),"x","")</f>
        <v/>
      </c>
      <c r="V3684" s="525" t="str">
        <f>IF(AND(OR(LEFT(TH!L3684,2)="15",LEFT(TH!M3684,2)="15"),'152-CT'!$J$8=TH!F3684),"x","")</f>
        <v/>
      </c>
      <c r="W3684" s="525" t="str">
        <f>IF(AND(OR(LEFT(TH!L3684,2)="15",LEFT(TH!M3684,2)="15"),TK!$E$7=TH!F3684),"x","")</f>
        <v/>
      </c>
      <c r="X3684" s="525" t="str">
        <f>IF(AND('341-CT'!$E$9=H3684,OR(LEFT(L3684,3)=$X$7,LEFT(M3684,3)=$X$7)),"x","")</f>
        <v/>
      </c>
      <c r="Y3684" s="525" t="str">
        <f>IF(OR(TH!L3684=TH!$Y$7,M3684=TH!$Y$7),"x","")</f>
        <v/>
      </c>
      <c r="Z3684" s="525" t="str">
        <f>IF(AND(B3684&lt;=NKC!$N$8,B3684&gt;=NKC!$M$8),"x","")</f>
        <v/>
      </c>
      <c r="AA3684" s="535"/>
      <c r="AB3684" s="536"/>
      <c r="AC3684" s="536" t="str">
        <f>VLOOKUP(F3684,NXT!$B$12:$B$686,1,0)</f>
        <v>Thùng 135x240x</v>
      </c>
      <c r="AD3684" s="536"/>
    </row>
    <row r="3685" spans="1:30" s="503" customFormat="1" ht="15.75" customHeight="1">
      <c r="A3685" s="517" t="str">
        <f>IF(B3685&lt;&gt;"",IF(AND(B3685&gt;=_TM1,B3685&lt;=_TM2,OR(TH!L3685="1111",TH!M3685="1111")),TH!D3685,""),"")</f>
        <v/>
      </c>
      <c r="B3685" s="531">
        <f t="shared" si="411"/>
        <v>8</v>
      </c>
      <c r="C3685" s="315">
        <f t="shared" si="412"/>
        <v>42978</v>
      </c>
      <c r="D3685" s="544" t="s">
        <v>1181</v>
      </c>
      <c r="E3685" s="315">
        <v>42978</v>
      </c>
      <c r="F3685" s="250" t="s">
        <v>1459</v>
      </c>
      <c r="G3685" s="314" t="s">
        <v>1446</v>
      </c>
      <c r="H3685" s="473" t="s">
        <v>284</v>
      </c>
      <c r="I3685" s="307">
        <v>50</v>
      </c>
      <c r="J3685" s="307">
        <v>41886</v>
      </c>
      <c r="K3685" s="532">
        <f t="shared" si="413"/>
        <v>2094300</v>
      </c>
      <c r="L3685" s="534" t="s">
        <v>223</v>
      </c>
      <c r="M3685" s="534" t="s">
        <v>162</v>
      </c>
      <c r="N3685" s="525" t="str">
        <f>IF(AND('331-CT'!$E$7=TH!H3685,OR(L3685="331",M3685="331")),"331",IF(AND(OR(L3685="131",M3685="131"),H3685='131-CT'!$E$7),"131",""))</f>
        <v/>
      </c>
      <c r="O3685" s="525" t="str">
        <f>IF(AND($B3685&gt;='111'!$N$11,$B3685&lt;='111'!$O$11,OR($L3685=$O$7,$M3685=$O$7)),"x","")</f>
        <v/>
      </c>
      <c r="P3685" s="525" t="str">
        <f>IF(AND($L3685=$O$7,$B3685&lt;'111'!$N$11),"x","")</f>
        <v/>
      </c>
      <c r="Q3685" s="525" t="str">
        <f>IF(AND($M3685=$O$7,$B3685&lt;'111'!$N$11),"x","")</f>
        <v/>
      </c>
      <c r="R3685" s="525" t="str">
        <f>IF(ISERROR(FIND('112'!$M$9,G3685,1)),"",IF((AND(FIND('112'!$M$9,G3685,1)&gt;=1,$B3685&gt;='112'!$N$8,$B3685&lt;='112'!$O$8,OR($L3685='112'!$I$6,$M3685='112'!$I$6))),"x",""))</f>
        <v/>
      </c>
      <c r="S3685" s="525" t="str">
        <f>IF(ISERROR(FIND('112'!$M$9,G3685,1)),"",IF((AND(LEFT(G3685,2)=LEFT('112'!$M$9,2),B3685&lt;'112'!$N$8,$L3685='112'!$I$6)),"x",""))</f>
        <v/>
      </c>
      <c r="T3685" s="525" t="str">
        <f>IF(ISERROR(FIND('112'!$M$9,G3685,1)),"",IF((AND(RIGHT(G3685,2)=RIGHT('112'!$M$9,2),B3685&lt;'112'!$N$8,$M3685='112'!$I$6)),"x",""))</f>
        <v/>
      </c>
      <c r="U3685" s="525" t="str">
        <f>IF(AND(B3685&gt;='IN-NX'!$P$3,B3685&lt;='IN-NX'!$Q$3,'IN-NX'!$D$7=D3685,OR(LEFT(L3685,2)="15",AND(LEFT(M3685,2)&lt;&gt;"15",LEFT(M3685,2)&lt;&gt;"33"))),"x","")</f>
        <v/>
      </c>
      <c r="V3685" s="525" t="str">
        <f>IF(AND(OR(LEFT(TH!L3685,2)="15",LEFT(TH!M3685,2)="15"),'152-CT'!$J$8=TH!F3685),"x","")</f>
        <v/>
      </c>
      <c r="W3685" s="525" t="str">
        <f>IF(AND(OR(LEFT(TH!L3685,2)="15",LEFT(TH!M3685,2)="15"),TK!$E$7=TH!F3685),"x","")</f>
        <v/>
      </c>
      <c r="X3685" s="525" t="str">
        <f>IF(AND('341-CT'!$E$9=H3685,OR(LEFT(L3685,3)=$X$7,LEFT(M3685,3)=$X$7)),"x","")</f>
        <v/>
      </c>
      <c r="Y3685" s="525" t="str">
        <f>IF(OR(TH!L3685=TH!$Y$7,M3685=TH!$Y$7),"x","")</f>
        <v/>
      </c>
      <c r="Z3685" s="525" t="str">
        <f>IF(AND(B3685&lt;=NKC!$N$8,B3685&gt;=NKC!$M$8),"x","")</f>
        <v/>
      </c>
      <c r="AA3685" s="535"/>
      <c r="AB3685" s="536"/>
      <c r="AC3685" s="536" t="str">
        <f>VLOOKUP(F3685,NXT!$B$12:$B$686,1,0)</f>
        <v>Thùng 56x32x80</v>
      </c>
      <c r="AD3685" s="536"/>
    </row>
    <row r="3686" spans="1:30" s="503" customFormat="1" ht="15.75" customHeight="1">
      <c r="A3686" s="517" t="str">
        <f>IF(B3686&lt;&gt;"",IF(AND(B3686&gt;=_TM1,B3686&lt;=_TM2,OR(TH!L3686="1111",TH!M3686="1111")),TH!D3686,""),"")</f>
        <v/>
      </c>
      <c r="B3686" s="531">
        <f t="shared" si="411"/>
        <v>8</v>
      </c>
      <c r="C3686" s="315">
        <f t="shared" si="412"/>
        <v>42978</v>
      </c>
      <c r="D3686" s="544" t="s">
        <v>1181</v>
      </c>
      <c r="E3686" s="315">
        <v>42978</v>
      </c>
      <c r="F3686" s="250" t="s">
        <v>1460</v>
      </c>
      <c r="G3686" s="314" t="s">
        <v>1446</v>
      </c>
      <c r="H3686" s="473" t="s">
        <v>284</v>
      </c>
      <c r="I3686" s="307">
        <v>30</v>
      </c>
      <c r="J3686" s="307">
        <v>43640</v>
      </c>
      <c r="K3686" s="532">
        <f t="shared" si="413"/>
        <v>1309200</v>
      </c>
      <c r="L3686" s="534" t="s">
        <v>223</v>
      </c>
      <c r="M3686" s="534" t="s">
        <v>162</v>
      </c>
      <c r="N3686" s="525" t="str">
        <f>IF(AND('331-CT'!$E$7=TH!H3686,OR(L3686="331",M3686="331")),"331",IF(AND(OR(L3686="131",M3686="131"),H3686='131-CT'!$E$7),"131",""))</f>
        <v/>
      </c>
      <c r="O3686" s="525" t="str">
        <f>IF(AND($B3686&gt;='111'!$N$11,$B3686&lt;='111'!$O$11,OR($L3686=$O$7,$M3686=$O$7)),"x","")</f>
        <v/>
      </c>
      <c r="P3686" s="525" t="str">
        <f>IF(AND($L3686=$O$7,$B3686&lt;'111'!$N$11),"x","")</f>
        <v/>
      </c>
      <c r="Q3686" s="525" t="str">
        <f>IF(AND($M3686=$O$7,$B3686&lt;'111'!$N$11),"x","")</f>
        <v/>
      </c>
      <c r="R3686" s="525" t="str">
        <f>IF(ISERROR(FIND('112'!$M$9,G3686,1)),"",IF((AND(FIND('112'!$M$9,G3686,1)&gt;=1,$B3686&gt;='112'!$N$8,$B3686&lt;='112'!$O$8,OR($L3686='112'!$I$6,$M3686='112'!$I$6))),"x",""))</f>
        <v/>
      </c>
      <c r="S3686" s="525" t="str">
        <f>IF(ISERROR(FIND('112'!$M$9,G3686,1)),"",IF((AND(LEFT(G3686,2)=LEFT('112'!$M$9,2),B3686&lt;'112'!$N$8,$L3686='112'!$I$6)),"x",""))</f>
        <v/>
      </c>
      <c r="T3686" s="525" t="str">
        <f>IF(ISERROR(FIND('112'!$M$9,G3686,1)),"",IF((AND(RIGHT(G3686,2)=RIGHT('112'!$M$9,2),B3686&lt;'112'!$N$8,$M3686='112'!$I$6)),"x",""))</f>
        <v/>
      </c>
      <c r="U3686" s="525" t="str">
        <f>IF(AND(B3686&gt;='IN-NX'!$P$3,B3686&lt;='IN-NX'!$Q$3,'IN-NX'!$D$7=D3686,OR(LEFT(L3686,2)="15",AND(LEFT(M3686,2)&lt;&gt;"15",LEFT(M3686,2)&lt;&gt;"33"))),"x","")</f>
        <v/>
      </c>
      <c r="V3686" s="525" t="str">
        <f>IF(AND(OR(LEFT(TH!L3686,2)="15",LEFT(TH!M3686,2)="15"),'152-CT'!$J$8=TH!F3686),"x","")</f>
        <v/>
      </c>
      <c r="W3686" s="525" t="str">
        <f>IF(AND(OR(LEFT(TH!L3686,2)="15",LEFT(TH!M3686,2)="15"),TK!$E$7=TH!F3686),"x","")</f>
        <v/>
      </c>
      <c r="X3686" s="525" t="str">
        <f>IF(AND('341-CT'!$E$9=H3686,OR(LEFT(L3686,3)=$X$7,LEFT(M3686,3)=$X$7)),"x","")</f>
        <v/>
      </c>
      <c r="Y3686" s="525" t="str">
        <f>IF(OR(TH!L3686=TH!$Y$7,M3686=TH!$Y$7),"x","")</f>
        <v/>
      </c>
      <c r="Z3686" s="525" t="str">
        <f>IF(AND(B3686&lt;=NKC!$N$8,B3686&gt;=NKC!$M$8),"x","")</f>
        <v/>
      </c>
      <c r="AA3686" s="535"/>
      <c r="AB3686" s="536"/>
      <c r="AC3686" s="536" t="str">
        <f>VLOOKUP(F3686,NXT!$B$12:$B$686,1,0)</f>
        <v>Thùng 56x56x34</v>
      </c>
    </row>
    <row r="3687" spans="1:30" s="503" customFormat="1" ht="15.75" customHeight="1">
      <c r="A3687" s="517" t="str">
        <f>IF(B3687&lt;&gt;"",IF(AND(B3687&gt;=_TM1,B3687&lt;=_TM2,OR(TH!L3687="1111",TH!M3687="1111")),TH!D3687,""),"")</f>
        <v/>
      </c>
      <c r="B3687" s="531">
        <f t="shared" si="411"/>
        <v>8</v>
      </c>
      <c r="C3687" s="315">
        <f t="shared" si="412"/>
        <v>42978</v>
      </c>
      <c r="D3687" s="544" t="s">
        <v>1181</v>
      </c>
      <c r="E3687" s="315">
        <v>42978</v>
      </c>
      <c r="F3687" s="250" t="s">
        <v>1461</v>
      </c>
      <c r="G3687" s="314" t="s">
        <v>1446</v>
      </c>
      <c r="H3687" s="473" t="s">
        <v>284</v>
      </c>
      <c r="I3687" s="307">
        <v>10</v>
      </c>
      <c r="J3687" s="307">
        <v>223719</v>
      </c>
      <c r="K3687" s="532">
        <f t="shared" si="413"/>
        <v>2237190</v>
      </c>
      <c r="L3687" s="534" t="s">
        <v>223</v>
      </c>
      <c r="M3687" s="534" t="s">
        <v>162</v>
      </c>
      <c r="N3687" s="525" t="str">
        <f>IF(AND('331-CT'!$E$7=TH!H3687,OR(L3687="331",M3687="331")),"331",IF(AND(OR(L3687="131",M3687="131"),H3687='131-CT'!$E$7),"131",""))</f>
        <v/>
      </c>
      <c r="O3687" s="525" t="str">
        <f>IF(AND($B3687&gt;='111'!$N$11,$B3687&lt;='111'!$O$11,OR($L3687=$O$7,$M3687=$O$7)),"x","")</f>
        <v/>
      </c>
      <c r="P3687" s="525" t="str">
        <f>IF(AND($L3687=$O$7,$B3687&lt;'111'!$N$11),"x","")</f>
        <v/>
      </c>
      <c r="Q3687" s="525" t="str">
        <f>IF(AND($M3687=$O$7,$B3687&lt;'111'!$N$11),"x","")</f>
        <v/>
      </c>
      <c r="R3687" s="525" t="str">
        <f>IF(ISERROR(FIND('112'!$M$9,G3687,1)),"",IF((AND(FIND('112'!$M$9,G3687,1)&gt;=1,$B3687&gt;='112'!$N$8,$B3687&lt;='112'!$O$8,OR($L3687='112'!$I$6,$M3687='112'!$I$6))),"x",""))</f>
        <v/>
      </c>
      <c r="S3687" s="525" t="str">
        <f>IF(ISERROR(FIND('112'!$M$9,G3687,1)),"",IF((AND(LEFT(G3687,2)=LEFT('112'!$M$9,2),B3687&lt;'112'!$N$8,$L3687='112'!$I$6)),"x",""))</f>
        <v/>
      </c>
      <c r="T3687" s="525" t="str">
        <f>IF(ISERROR(FIND('112'!$M$9,G3687,1)),"",IF((AND(RIGHT(G3687,2)=RIGHT('112'!$M$9,2),B3687&lt;'112'!$N$8,$M3687='112'!$I$6)),"x",""))</f>
        <v/>
      </c>
      <c r="U3687" s="525" t="str">
        <f>IF(AND(B3687&gt;='IN-NX'!$P$3,B3687&lt;='IN-NX'!$Q$3,'IN-NX'!$D$7=D3687,OR(LEFT(L3687,2)="15",AND(LEFT(M3687,2)&lt;&gt;"15",LEFT(M3687,2)&lt;&gt;"33"))),"x","")</f>
        <v/>
      </c>
      <c r="V3687" s="525" t="str">
        <f>IF(AND(OR(LEFT(TH!L3687,2)="15",LEFT(TH!M3687,2)="15"),'152-CT'!$J$8=TH!F3687),"x","")</f>
        <v/>
      </c>
      <c r="W3687" s="525" t="str">
        <f>IF(AND(OR(LEFT(TH!L3687,2)="15",LEFT(TH!M3687,2)="15"),TK!$E$7=TH!F3687),"x","")</f>
        <v/>
      </c>
      <c r="X3687" s="525" t="str">
        <f>IF(AND('341-CT'!$E$9=H3687,OR(LEFT(L3687,3)=$X$7,LEFT(M3687,3)=$X$7)),"x","")</f>
        <v/>
      </c>
      <c r="Y3687" s="525" t="str">
        <f>IF(OR(TH!L3687=TH!$Y$7,M3687=TH!$Y$7),"x","")</f>
        <v/>
      </c>
      <c r="Z3687" s="525" t="str">
        <f>IF(AND(B3687&lt;=NKC!$N$8,B3687&gt;=NKC!$M$8),"x","")</f>
        <v/>
      </c>
      <c r="AA3687" s="535"/>
      <c r="AB3687" s="536"/>
      <c r="AC3687" s="536" t="str">
        <f>VLOOKUP(F3687,NXT!$B$12:$B$686,1,0)</f>
        <v>Thùng 246x126x12</v>
      </c>
      <c r="AD3687" s="536"/>
    </row>
    <row r="3688" spans="1:30" s="503" customFormat="1" ht="15.75" customHeight="1">
      <c r="A3688" s="517" t="str">
        <f>IF(B3688&lt;&gt;"",IF(AND(B3688&gt;=_TM1,B3688&lt;=_TM2,OR(TH!L3688="1111",TH!M3688="1111")),TH!D3688,""),"")</f>
        <v/>
      </c>
      <c r="B3688" s="531">
        <f t="shared" si="411"/>
        <v>8</v>
      </c>
      <c r="C3688" s="315">
        <f t="shared" si="412"/>
        <v>42978</v>
      </c>
      <c r="D3688" s="544" t="s">
        <v>1181</v>
      </c>
      <c r="E3688" s="315">
        <v>42978</v>
      </c>
      <c r="F3688" s="250" t="s">
        <v>1462</v>
      </c>
      <c r="G3688" s="314" t="s">
        <v>1446</v>
      </c>
      <c r="H3688" s="473" t="s">
        <v>284</v>
      </c>
      <c r="I3688" s="307">
        <v>20</v>
      </c>
      <c r="J3688" s="307">
        <v>44531</v>
      </c>
      <c r="K3688" s="532">
        <f t="shared" si="413"/>
        <v>890620</v>
      </c>
      <c r="L3688" s="534" t="s">
        <v>223</v>
      </c>
      <c r="M3688" s="534" t="s">
        <v>162</v>
      </c>
      <c r="N3688" s="525" t="str">
        <f>IF(AND('331-CT'!$E$7=TH!H3688,OR(L3688="331",M3688="331")),"331",IF(AND(OR(L3688="131",M3688="131"),H3688='131-CT'!$E$7),"131",""))</f>
        <v/>
      </c>
      <c r="O3688" s="525" t="str">
        <f>IF(AND($B3688&gt;='111'!$N$11,$B3688&lt;='111'!$O$11,OR($L3688=$O$7,$M3688=$O$7)),"x","")</f>
        <v/>
      </c>
      <c r="P3688" s="525" t="str">
        <f>IF(AND($L3688=$O$7,$B3688&lt;'111'!$N$11),"x","")</f>
        <v/>
      </c>
      <c r="Q3688" s="525" t="str">
        <f>IF(AND($M3688=$O$7,$B3688&lt;'111'!$N$11),"x","")</f>
        <v/>
      </c>
      <c r="R3688" s="525" t="str">
        <f>IF(ISERROR(FIND('112'!$M$9,G3688,1)),"",IF((AND(FIND('112'!$M$9,G3688,1)&gt;=1,$B3688&gt;='112'!$N$8,$B3688&lt;='112'!$O$8,OR($L3688='112'!$I$6,$M3688='112'!$I$6))),"x",""))</f>
        <v/>
      </c>
      <c r="S3688" s="525" t="str">
        <f>IF(ISERROR(FIND('112'!$M$9,G3688,1)),"",IF((AND(LEFT(G3688,2)=LEFT('112'!$M$9,2),B3688&lt;'112'!$N$8,$L3688='112'!$I$6)),"x",""))</f>
        <v/>
      </c>
      <c r="T3688" s="525" t="str">
        <f>IF(ISERROR(FIND('112'!$M$9,G3688,1)),"",IF((AND(RIGHT(G3688,2)=RIGHT('112'!$M$9,2),B3688&lt;'112'!$N$8,$M3688='112'!$I$6)),"x",""))</f>
        <v/>
      </c>
      <c r="U3688" s="525" t="str">
        <f>IF(AND(B3688&gt;='IN-NX'!$P$3,B3688&lt;='IN-NX'!$Q$3,'IN-NX'!$D$7=D3688,OR(LEFT(L3688,2)="15",AND(LEFT(M3688,2)&lt;&gt;"15",LEFT(M3688,2)&lt;&gt;"33"))),"x","")</f>
        <v/>
      </c>
      <c r="V3688" s="525" t="str">
        <f>IF(AND(OR(LEFT(TH!L3688,2)="15",LEFT(TH!M3688,2)="15"),'152-CT'!$J$8=TH!F3688),"x","")</f>
        <v/>
      </c>
      <c r="W3688" s="525" t="str">
        <f>IF(AND(OR(LEFT(TH!L3688,2)="15",LEFT(TH!M3688,2)="15"),TK!$E$7=TH!F3688),"x","")</f>
        <v/>
      </c>
      <c r="X3688" s="525" t="str">
        <f>IF(AND('341-CT'!$E$9=H3688,OR(LEFT(L3688,3)=$X$7,LEFT(M3688,3)=$X$7)),"x","")</f>
        <v/>
      </c>
      <c r="Y3688" s="525" t="str">
        <f>IF(OR(TH!L3688=TH!$Y$7,M3688=TH!$Y$7),"x","")</f>
        <v/>
      </c>
      <c r="Z3688" s="525" t="str">
        <f>IF(AND(B3688&lt;=NKC!$N$8,B3688&gt;=NKC!$M$8),"x","")</f>
        <v/>
      </c>
      <c r="AA3688" s="535"/>
      <c r="AB3688" s="536"/>
      <c r="AC3688" s="536" t="str">
        <f>VLOOKUP(F3688,NXT!$B$12:$B$686,1,0)</f>
        <v>Thùng 66x27x80</v>
      </c>
      <c r="AD3688" s="536"/>
    </row>
    <row r="3689" spans="1:30" s="503" customFormat="1" ht="15.75" customHeight="1">
      <c r="A3689" s="517" t="str">
        <f>IF(B3689&lt;&gt;"",IF(AND(B3689&gt;=_TM1,B3689&lt;=_TM2,OR(TH!L3689="1111",TH!M3689="1111")),TH!D3689,""),"")</f>
        <v/>
      </c>
      <c r="B3689" s="531">
        <f t="shared" si="411"/>
        <v>8</v>
      </c>
      <c r="C3689" s="315">
        <f t="shared" si="412"/>
        <v>42978</v>
      </c>
      <c r="D3689" s="544" t="s">
        <v>1181</v>
      </c>
      <c r="E3689" s="315">
        <v>42978</v>
      </c>
      <c r="F3689" s="250" t="s">
        <v>1463</v>
      </c>
      <c r="G3689" s="314" t="s">
        <v>1446</v>
      </c>
      <c r="H3689" s="473" t="s">
        <v>284</v>
      </c>
      <c r="I3689" s="307">
        <v>10</v>
      </c>
      <c r="J3689" s="307">
        <v>84717</v>
      </c>
      <c r="K3689" s="532">
        <f t="shared" si="413"/>
        <v>847170</v>
      </c>
      <c r="L3689" s="534" t="s">
        <v>223</v>
      </c>
      <c r="M3689" s="534" t="s">
        <v>162</v>
      </c>
      <c r="N3689" s="525" t="str">
        <f>IF(AND('331-CT'!$E$7=TH!H3689,OR(L3689="331",M3689="331")),"331",IF(AND(OR(L3689="131",M3689="131"),H3689='131-CT'!$E$7),"131",""))</f>
        <v/>
      </c>
      <c r="O3689" s="525" t="str">
        <f>IF(AND($B3689&gt;='111'!$N$11,$B3689&lt;='111'!$O$11,OR($L3689=$O$7,$M3689=$O$7)),"x","")</f>
        <v/>
      </c>
      <c r="P3689" s="525" t="str">
        <f>IF(AND($L3689=$O$7,$B3689&lt;'111'!$N$11),"x","")</f>
        <v/>
      </c>
      <c r="Q3689" s="525" t="str">
        <f>IF(AND($M3689=$O$7,$B3689&lt;'111'!$N$11),"x","")</f>
        <v/>
      </c>
      <c r="R3689" s="525" t="str">
        <f>IF(ISERROR(FIND('112'!$M$9,G3689,1)),"",IF((AND(FIND('112'!$M$9,G3689,1)&gt;=1,$B3689&gt;='112'!$N$8,$B3689&lt;='112'!$O$8,OR($L3689='112'!$I$6,$M3689='112'!$I$6))),"x",""))</f>
        <v/>
      </c>
      <c r="S3689" s="525" t="str">
        <f>IF(ISERROR(FIND('112'!$M$9,G3689,1)),"",IF((AND(LEFT(G3689,2)=LEFT('112'!$M$9,2),B3689&lt;'112'!$N$8,$L3689='112'!$I$6)),"x",""))</f>
        <v/>
      </c>
      <c r="T3689" s="525" t="str">
        <f>IF(ISERROR(FIND('112'!$M$9,G3689,1)),"",IF((AND(RIGHT(G3689,2)=RIGHT('112'!$M$9,2),B3689&lt;'112'!$N$8,$M3689='112'!$I$6)),"x",""))</f>
        <v/>
      </c>
      <c r="U3689" s="525" t="str">
        <f>IF(AND(B3689&gt;='IN-NX'!$P$3,B3689&lt;='IN-NX'!$Q$3,'IN-NX'!$D$7=D3689,OR(LEFT(L3689,2)="15",AND(LEFT(M3689,2)&lt;&gt;"15",LEFT(M3689,2)&lt;&gt;"33"))),"x","")</f>
        <v/>
      </c>
      <c r="V3689" s="525" t="str">
        <f>IF(AND(OR(LEFT(TH!L3689,2)="15",LEFT(TH!M3689,2)="15"),'152-CT'!$J$8=TH!F3689),"x","")</f>
        <v/>
      </c>
      <c r="W3689" s="525" t="str">
        <f>IF(AND(OR(LEFT(TH!L3689,2)="15",LEFT(TH!M3689,2)="15"),TK!$E$7=TH!F3689),"x","")</f>
        <v/>
      </c>
      <c r="X3689" s="525" t="str">
        <f>IF(AND('341-CT'!$E$9=H3689,OR(LEFT(L3689,3)=$X$7,LEFT(M3689,3)=$X$7)),"x","")</f>
        <v/>
      </c>
      <c r="Y3689" s="525" t="str">
        <f>IF(OR(TH!L3689=TH!$Y$7,M3689=TH!$Y$7),"x","")</f>
        <v/>
      </c>
      <c r="Z3689" s="525" t="str">
        <f>IF(AND(B3689&lt;=NKC!$N$8,B3689&gt;=NKC!$M$8),"x","")</f>
        <v/>
      </c>
      <c r="AA3689" s="535"/>
      <c r="AB3689" s="536"/>
      <c r="AC3689" s="536" t="str">
        <f>VLOOKUP(F3689,NXT!$B$12:$B$686,1,0)</f>
        <v>Thùng 96x80x28</v>
      </c>
    </row>
    <row r="3690" spans="1:30" s="503" customFormat="1" ht="15.75" customHeight="1">
      <c r="A3690" s="517" t="str">
        <f>IF(B3690&lt;&gt;"",IF(AND(B3690&gt;=_TM1,B3690&lt;=_TM2,OR(TH!L3690="1111",TH!M3690="1111")),TH!D3690,""),"")</f>
        <v/>
      </c>
      <c r="B3690" s="531">
        <f t="shared" si="411"/>
        <v>8</v>
      </c>
      <c r="C3690" s="315">
        <f t="shared" si="412"/>
        <v>42978</v>
      </c>
      <c r="D3690" s="544" t="s">
        <v>1181</v>
      </c>
      <c r="E3690" s="315">
        <v>42978</v>
      </c>
      <c r="F3690" s="250" t="s">
        <v>1464</v>
      </c>
      <c r="G3690" s="314" t="s">
        <v>1446</v>
      </c>
      <c r="H3690" s="473" t="s">
        <v>284</v>
      </c>
      <c r="I3690" s="307">
        <v>16</v>
      </c>
      <c r="J3690" s="307">
        <v>75556</v>
      </c>
      <c r="K3690" s="532">
        <f t="shared" si="413"/>
        <v>1208896</v>
      </c>
      <c r="L3690" s="534" t="s">
        <v>223</v>
      </c>
      <c r="M3690" s="534" t="s">
        <v>162</v>
      </c>
      <c r="N3690" s="525" t="str">
        <f>IF(AND('331-CT'!$E$7=TH!H3690,OR(L3690="331",M3690="331")),"331",IF(AND(OR(L3690="131",M3690="131"),H3690='131-CT'!$E$7),"131",""))</f>
        <v/>
      </c>
      <c r="O3690" s="525" t="str">
        <f>IF(AND($B3690&gt;='111'!$N$11,$B3690&lt;='111'!$O$11,OR($L3690=$O$7,$M3690=$O$7)),"x","")</f>
        <v/>
      </c>
      <c r="P3690" s="525" t="str">
        <f>IF(AND($L3690=$O$7,$B3690&lt;'111'!$N$11),"x","")</f>
        <v/>
      </c>
      <c r="Q3690" s="525" t="str">
        <f>IF(AND($M3690=$O$7,$B3690&lt;'111'!$N$11),"x","")</f>
        <v/>
      </c>
      <c r="R3690" s="525" t="str">
        <f>IF(ISERROR(FIND('112'!$M$9,G3690,1)),"",IF((AND(FIND('112'!$M$9,G3690,1)&gt;=1,$B3690&gt;='112'!$N$8,$B3690&lt;='112'!$O$8,OR($L3690='112'!$I$6,$M3690='112'!$I$6))),"x",""))</f>
        <v/>
      </c>
      <c r="S3690" s="525" t="str">
        <f>IF(ISERROR(FIND('112'!$M$9,G3690,1)),"",IF((AND(LEFT(G3690,2)=LEFT('112'!$M$9,2),B3690&lt;'112'!$N$8,$L3690='112'!$I$6)),"x",""))</f>
        <v/>
      </c>
      <c r="T3690" s="525" t="str">
        <f>IF(ISERROR(FIND('112'!$M$9,G3690,1)),"",IF((AND(RIGHT(G3690,2)=RIGHT('112'!$M$9,2),B3690&lt;'112'!$N$8,$M3690='112'!$I$6)),"x",""))</f>
        <v/>
      </c>
      <c r="U3690" s="525" t="str">
        <f>IF(AND(B3690&gt;='IN-NX'!$P$3,B3690&lt;='IN-NX'!$Q$3,'IN-NX'!$D$7=D3690,OR(LEFT(L3690,2)="15",AND(LEFT(M3690,2)&lt;&gt;"15",LEFT(M3690,2)&lt;&gt;"33"))),"x","")</f>
        <v/>
      </c>
      <c r="V3690" s="525" t="str">
        <f>IF(AND(OR(LEFT(TH!L3690,2)="15",LEFT(TH!M3690,2)="15"),'152-CT'!$J$8=TH!F3690),"x","")</f>
        <v/>
      </c>
      <c r="W3690" s="525" t="str">
        <f>IF(AND(OR(LEFT(TH!L3690,2)="15",LEFT(TH!M3690,2)="15"),TK!$E$7=TH!F3690),"x","")</f>
        <v/>
      </c>
      <c r="X3690" s="525" t="str">
        <f>IF(AND('341-CT'!$E$9=H3690,OR(LEFT(L3690,3)=$X$7,LEFT(M3690,3)=$X$7)),"x","")</f>
        <v/>
      </c>
      <c r="Y3690" s="525" t="str">
        <f>IF(OR(TH!L3690=TH!$Y$7,M3690=TH!$Y$7),"x","")</f>
        <v/>
      </c>
      <c r="Z3690" s="525" t="str">
        <f>IF(AND(B3690&lt;=NKC!$N$8,B3690&gt;=NKC!$M$8),"x","")</f>
        <v/>
      </c>
      <c r="AA3690" s="535"/>
      <c r="AB3690" s="536"/>
      <c r="AC3690" s="536" t="str">
        <f>VLOOKUP(F3690,NXT!$B$12:$B$686,1,0)</f>
        <v>Thùng 54x54x102</v>
      </c>
      <c r="AD3690" s="536"/>
    </row>
    <row r="3691" spans="1:30" s="503" customFormat="1" ht="15.75" customHeight="1">
      <c r="A3691" s="517" t="str">
        <f>IF(B3691&lt;&gt;"",IF(AND(B3691&gt;=_TM1,B3691&lt;=_TM2,OR(TH!L3691="1111",TH!M3691="1111")),TH!D3691,""),"")</f>
        <v/>
      </c>
      <c r="B3691" s="531">
        <f t="shared" si="411"/>
        <v>8</v>
      </c>
      <c r="C3691" s="315">
        <f t="shared" si="412"/>
        <v>42978</v>
      </c>
      <c r="D3691" s="544" t="s">
        <v>1181</v>
      </c>
      <c r="E3691" s="315">
        <v>42978</v>
      </c>
      <c r="F3691" s="250" t="s">
        <v>1465</v>
      </c>
      <c r="G3691" s="314" t="s">
        <v>1446</v>
      </c>
      <c r="H3691" s="473" t="s">
        <v>284</v>
      </c>
      <c r="I3691" s="307">
        <v>20</v>
      </c>
      <c r="J3691" s="307">
        <v>92017</v>
      </c>
      <c r="K3691" s="532">
        <f t="shared" si="413"/>
        <v>1840340</v>
      </c>
      <c r="L3691" s="534" t="s">
        <v>223</v>
      </c>
      <c r="M3691" s="534" t="s">
        <v>162</v>
      </c>
      <c r="N3691" s="525" t="str">
        <f>IF(AND('331-CT'!$E$7=TH!H3691,OR(L3691="331",M3691="331")),"331",IF(AND(OR(L3691="131",M3691="131"),H3691='131-CT'!$E$7),"131",""))</f>
        <v/>
      </c>
      <c r="O3691" s="525" t="str">
        <f>IF(AND($B3691&gt;='111'!$N$11,$B3691&lt;='111'!$O$11,OR($L3691=$O$7,$M3691=$O$7)),"x","")</f>
        <v/>
      </c>
      <c r="P3691" s="525" t="str">
        <f>IF(AND($L3691=$O$7,$B3691&lt;'111'!$N$11),"x","")</f>
        <v/>
      </c>
      <c r="Q3691" s="525" t="str">
        <f>IF(AND($M3691=$O$7,$B3691&lt;'111'!$N$11),"x","")</f>
        <v/>
      </c>
      <c r="R3691" s="525" t="str">
        <f>IF(ISERROR(FIND('112'!$M$9,G3691,1)),"",IF((AND(FIND('112'!$M$9,G3691,1)&gt;=1,$B3691&gt;='112'!$N$8,$B3691&lt;='112'!$O$8,OR($L3691='112'!$I$6,$M3691='112'!$I$6))),"x",""))</f>
        <v/>
      </c>
      <c r="S3691" s="525" t="str">
        <f>IF(ISERROR(FIND('112'!$M$9,G3691,1)),"",IF((AND(LEFT(G3691,2)=LEFT('112'!$M$9,2),B3691&lt;'112'!$N$8,$L3691='112'!$I$6)),"x",""))</f>
        <v/>
      </c>
      <c r="T3691" s="525" t="str">
        <f>IF(ISERROR(FIND('112'!$M$9,G3691,1)),"",IF((AND(RIGHT(G3691,2)=RIGHT('112'!$M$9,2),B3691&lt;'112'!$N$8,$M3691='112'!$I$6)),"x",""))</f>
        <v/>
      </c>
      <c r="U3691" s="525" t="str">
        <f>IF(AND(B3691&gt;='IN-NX'!$P$3,B3691&lt;='IN-NX'!$Q$3,'IN-NX'!$D$7=D3691,OR(LEFT(L3691,2)="15",AND(LEFT(M3691,2)&lt;&gt;"15",LEFT(M3691,2)&lt;&gt;"33"))),"x","")</f>
        <v/>
      </c>
      <c r="V3691" s="525" t="str">
        <f>IF(AND(OR(LEFT(TH!L3691,2)="15",LEFT(TH!M3691,2)="15"),'152-CT'!$J$8=TH!F3691),"x","")</f>
        <v/>
      </c>
      <c r="W3691" s="525" t="str">
        <f>IF(AND(OR(LEFT(TH!L3691,2)="15",LEFT(TH!M3691,2)="15"),TK!$E$7=TH!F3691),"x","")</f>
        <v/>
      </c>
      <c r="X3691" s="525" t="str">
        <f>IF(AND('341-CT'!$E$9=H3691,OR(LEFT(L3691,3)=$X$7,LEFT(M3691,3)=$X$7)),"x","")</f>
        <v/>
      </c>
      <c r="Y3691" s="525" t="str">
        <f>IF(OR(TH!L3691=TH!$Y$7,M3691=TH!$Y$7),"x","")</f>
        <v/>
      </c>
      <c r="Z3691" s="525" t="str">
        <f>IF(AND(B3691&lt;=NKC!$N$8,B3691&gt;=NKC!$M$8),"x","")</f>
        <v/>
      </c>
      <c r="AA3691" s="535"/>
      <c r="AB3691" s="536"/>
      <c r="AC3691" s="536" t="str">
        <f>VLOOKUP(F3691,NXT!$B$12:$B$686,1,0)</f>
        <v>Thùng 141x81x12</v>
      </c>
      <c r="AD3691" s="536"/>
    </row>
    <row r="3692" spans="1:30" s="503" customFormat="1" ht="15.75" customHeight="1">
      <c r="A3692" s="517" t="str">
        <f>IF(B3692&lt;&gt;"",IF(AND(B3692&gt;=_TM1,B3692&lt;=_TM2,OR(TH!L3692="1111",TH!M3692="1111")),TH!D3692,""),"")</f>
        <v/>
      </c>
      <c r="B3692" s="531">
        <f t="shared" si="411"/>
        <v>8</v>
      </c>
      <c r="C3692" s="315">
        <f t="shared" si="412"/>
        <v>42978</v>
      </c>
      <c r="D3692" s="544" t="s">
        <v>1181</v>
      </c>
      <c r="E3692" s="315">
        <v>42978</v>
      </c>
      <c r="F3692" s="250" t="s">
        <v>1466</v>
      </c>
      <c r="G3692" s="314" t="s">
        <v>1446</v>
      </c>
      <c r="H3692" s="473" t="s">
        <v>284</v>
      </c>
      <c r="I3692" s="307">
        <v>20</v>
      </c>
      <c r="J3692" s="307">
        <v>38902</v>
      </c>
      <c r="K3692" s="532">
        <f t="shared" si="413"/>
        <v>778040</v>
      </c>
      <c r="L3692" s="534" t="s">
        <v>223</v>
      </c>
      <c r="M3692" s="534" t="s">
        <v>162</v>
      </c>
      <c r="N3692" s="525" t="str">
        <f>IF(AND('331-CT'!$E$7=TH!H3692,OR(L3692="331",M3692="331")),"331",IF(AND(OR(L3692="131",M3692="131"),H3692='131-CT'!$E$7),"131",""))</f>
        <v/>
      </c>
      <c r="O3692" s="525" t="str">
        <f>IF(AND($B3692&gt;='111'!$N$11,$B3692&lt;='111'!$O$11,OR($L3692=$O$7,$M3692=$O$7)),"x","")</f>
        <v/>
      </c>
      <c r="P3692" s="525" t="str">
        <f>IF(AND($L3692=$O$7,$B3692&lt;'111'!$N$11),"x","")</f>
        <v/>
      </c>
      <c r="Q3692" s="525" t="str">
        <f>IF(AND($M3692=$O$7,$B3692&lt;'111'!$N$11),"x","")</f>
        <v/>
      </c>
      <c r="R3692" s="525" t="str">
        <f>IF(ISERROR(FIND('112'!$M$9,G3692,1)),"",IF((AND(FIND('112'!$M$9,G3692,1)&gt;=1,$B3692&gt;='112'!$N$8,$B3692&lt;='112'!$O$8,OR($L3692='112'!$I$6,$M3692='112'!$I$6))),"x",""))</f>
        <v/>
      </c>
      <c r="S3692" s="525" t="str">
        <f>IF(ISERROR(FIND('112'!$M$9,G3692,1)),"",IF((AND(LEFT(G3692,2)=LEFT('112'!$M$9,2),B3692&lt;'112'!$N$8,$L3692='112'!$I$6)),"x",""))</f>
        <v/>
      </c>
      <c r="T3692" s="525" t="str">
        <f>IF(ISERROR(FIND('112'!$M$9,G3692,1)),"",IF((AND(RIGHT(G3692,2)=RIGHT('112'!$M$9,2),B3692&lt;'112'!$N$8,$M3692='112'!$I$6)),"x",""))</f>
        <v/>
      </c>
      <c r="U3692" s="525" t="str">
        <f>IF(AND(B3692&gt;='IN-NX'!$P$3,B3692&lt;='IN-NX'!$Q$3,'IN-NX'!$D$7=D3692,OR(LEFT(L3692,2)="15",AND(LEFT(M3692,2)&lt;&gt;"15",LEFT(M3692,2)&lt;&gt;"33"))),"x","")</f>
        <v/>
      </c>
      <c r="V3692" s="525" t="str">
        <f>IF(AND(OR(LEFT(TH!L3692,2)="15",LEFT(TH!M3692,2)="15"),'152-CT'!$J$8=TH!F3692),"x","")</f>
        <v/>
      </c>
      <c r="W3692" s="525" t="str">
        <f>IF(AND(OR(LEFT(TH!L3692,2)="15",LEFT(TH!M3692,2)="15"),TK!$E$7=TH!F3692),"x","")</f>
        <v/>
      </c>
      <c r="X3692" s="525" t="str">
        <f>IF(AND('341-CT'!$E$9=H3692,OR(LEFT(L3692,3)=$X$7,LEFT(M3692,3)=$X$7)),"x","")</f>
        <v/>
      </c>
      <c r="Y3692" s="525" t="str">
        <f>IF(OR(TH!L3692=TH!$Y$7,M3692=TH!$Y$7),"x","")</f>
        <v/>
      </c>
      <c r="Z3692" s="525" t="str">
        <f>IF(AND(B3692&lt;=NKC!$N$8,B3692&gt;=NKC!$M$8),"x","")</f>
        <v/>
      </c>
      <c r="AA3692" s="535"/>
      <c r="AB3692" s="536"/>
      <c r="AC3692" s="536" t="str">
        <f>VLOOKUP(F3692,NXT!$B$12:$B$686,1,0)</f>
        <v>Thùng 66x36x47</v>
      </c>
    </row>
    <row r="3693" spans="1:30" s="503" customFormat="1" ht="15.75" customHeight="1">
      <c r="A3693" s="517" t="str">
        <f>IF(B3693&lt;&gt;"",IF(AND(B3693&gt;=_TM1,B3693&lt;=_TM2,OR(TH!L3693="1111",TH!M3693="1111")),TH!D3693,""),"")</f>
        <v/>
      </c>
      <c r="B3693" s="531">
        <f t="shared" si="411"/>
        <v>8</v>
      </c>
      <c r="C3693" s="315">
        <f t="shared" si="412"/>
        <v>42978</v>
      </c>
      <c r="D3693" s="544" t="s">
        <v>1181</v>
      </c>
      <c r="E3693" s="315">
        <v>42978</v>
      </c>
      <c r="F3693" s="250" t="s">
        <v>1467</v>
      </c>
      <c r="G3693" s="314" t="s">
        <v>1446</v>
      </c>
      <c r="H3693" s="473" t="s">
        <v>284</v>
      </c>
      <c r="I3693" s="307">
        <v>2</v>
      </c>
      <c r="J3693" s="307">
        <v>59920</v>
      </c>
      <c r="K3693" s="532">
        <f t="shared" si="413"/>
        <v>119840</v>
      </c>
      <c r="L3693" s="534" t="s">
        <v>223</v>
      </c>
      <c r="M3693" s="534" t="s">
        <v>162</v>
      </c>
      <c r="N3693" s="525" t="str">
        <f>IF(AND('331-CT'!$E$7=TH!H3693,OR(L3693="331",M3693="331")),"331",IF(AND(OR(L3693="131",M3693="131"),H3693='131-CT'!$E$7),"131",""))</f>
        <v/>
      </c>
      <c r="O3693" s="525" t="str">
        <f>IF(AND($B3693&gt;='111'!$N$11,$B3693&lt;='111'!$O$11,OR($L3693=$O$7,$M3693=$O$7)),"x","")</f>
        <v/>
      </c>
      <c r="P3693" s="525" t="str">
        <f>IF(AND($L3693=$O$7,$B3693&lt;'111'!$N$11),"x","")</f>
        <v/>
      </c>
      <c r="Q3693" s="525" t="str">
        <f>IF(AND($M3693=$O$7,$B3693&lt;'111'!$N$11),"x","")</f>
        <v/>
      </c>
      <c r="R3693" s="525" t="str">
        <f>IF(ISERROR(FIND('112'!$M$9,G3693,1)),"",IF((AND(FIND('112'!$M$9,G3693,1)&gt;=1,$B3693&gt;='112'!$N$8,$B3693&lt;='112'!$O$8,OR($L3693='112'!$I$6,$M3693='112'!$I$6))),"x",""))</f>
        <v/>
      </c>
      <c r="S3693" s="525" t="str">
        <f>IF(ISERROR(FIND('112'!$M$9,G3693,1)),"",IF((AND(LEFT(G3693,2)=LEFT('112'!$M$9,2),B3693&lt;'112'!$N$8,$L3693='112'!$I$6)),"x",""))</f>
        <v/>
      </c>
      <c r="T3693" s="525" t="str">
        <f>IF(ISERROR(FIND('112'!$M$9,G3693,1)),"",IF((AND(RIGHT(G3693,2)=RIGHT('112'!$M$9,2),B3693&lt;'112'!$N$8,$M3693='112'!$I$6)),"x",""))</f>
        <v/>
      </c>
      <c r="U3693" s="525" t="str">
        <f>IF(AND(B3693&gt;='IN-NX'!$P$3,B3693&lt;='IN-NX'!$Q$3,'IN-NX'!$D$7=D3693,OR(LEFT(L3693,2)="15",AND(LEFT(M3693,2)&lt;&gt;"15",LEFT(M3693,2)&lt;&gt;"33"))),"x","")</f>
        <v/>
      </c>
      <c r="V3693" s="525" t="str">
        <f>IF(AND(OR(LEFT(TH!L3693,2)="15",LEFT(TH!M3693,2)="15"),'152-CT'!$J$8=TH!F3693),"x","")</f>
        <v/>
      </c>
      <c r="W3693" s="525" t="str">
        <f>IF(AND(OR(LEFT(TH!L3693,2)="15",LEFT(TH!M3693,2)="15"),TK!$E$7=TH!F3693),"x","")</f>
        <v/>
      </c>
      <c r="X3693" s="525" t="str">
        <f>IF(AND('341-CT'!$E$9=H3693,OR(LEFT(L3693,3)=$X$7,LEFT(M3693,3)=$X$7)),"x","")</f>
        <v/>
      </c>
      <c r="Y3693" s="525" t="str">
        <f>IF(OR(TH!L3693=TH!$Y$7,M3693=TH!$Y$7),"x","")</f>
        <v/>
      </c>
      <c r="Z3693" s="525" t="str">
        <f>IF(AND(B3693&lt;=NKC!$N$8,B3693&gt;=NKC!$M$8),"x","")</f>
        <v/>
      </c>
      <c r="AA3693" s="535"/>
      <c r="AB3693" s="536"/>
      <c r="AC3693" s="536" t="str">
        <f>VLOOKUP(F3693,NXT!$B$12:$B$686,1,0)</f>
        <v>Thùng 54.2x54.2x54.4</v>
      </c>
      <c r="AD3693" s="536"/>
    </row>
    <row r="3694" spans="1:30" s="503" customFormat="1" ht="15.75" customHeight="1">
      <c r="A3694" s="517" t="str">
        <f>IF(B3694&lt;&gt;"",IF(AND(B3694&gt;=_TM1,B3694&lt;=_TM2,OR(TH!L3694="1111",TH!M3694="1111")),TH!D3694,""),"")</f>
        <v/>
      </c>
      <c r="B3694" s="531">
        <f t="shared" si="411"/>
        <v>8</v>
      </c>
      <c r="C3694" s="315">
        <f t="shared" si="412"/>
        <v>42978</v>
      </c>
      <c r="D3694" s="544" t="s">
        <v>1181</v>
      </c>
      <c r="E3694" s="315">
        <v>42978</v>
      </c>
      <c r="F3694" s="250" t="s">
        <v>1468</v>
      </c>
      <c r="G3694" s="314" t="s">
        <v>1446</v>
      </c>
      <c r="H3694" s="473" t="s">
        <v>284</v>
      </c>
      <c r="I3694" s="307">
        <v>2</v>
      </c>
      <c r="J3694" s="307">
        <v>59920</v>
      </c>
      <c r="K3694" s="532">
        <f t="shared" si="413"/>
        <v>119840</v>
      </c>
      <c r="L3694" s="534" t="s">
        <v>223</v>
      </c>
      <c r="M3694" s="534" t="s">
        <v>162</v>
      </c>
      <c r="N3694" s="525" t="str">
        <f>IF(AND('331-CT'!$E$7=TH!H3694,OR(L3694="331",M3694="331")),"331",IF(AND(OR(L3694="131",M3694="131"),H3694='131-CT'!$E$7),"131",""))</f>
        <v/>
      </c>
      <c r="O3694" s="525" t="str">
        <f>IF(AND($B3694&gt;='111'!$N$11,$B3694&lt;='111'!$O$11,OR($L3694=$O$7,$M3694=$O$7)),"x","")</f>
        <v/>
      </c>
      <c r="P3694" s="525" t="str">
        <f>IF(AND($L3694=$O$7,$B3694&lt;'111'!$N$11),"x","")</f>
        <v/>
      </c>
      <c r="Q3694" s="525" t="str">
        <f>IF(AND($M3694=$O$7,$B3694&lt;'111'!$N$11),"x","")</f>
        <v/>
      </c>
      <c r="R3694" s="525" t="str">
        <f>IF(ISERROR(FIND('112'!$M$9,G3694,1)),"",IF((AND(FIND('112'!$M$9,G3694,1)&gt;=1,$B3694&gt;='112'!$N$8,$B3694&lt;='112'!$O$8,OR($L3694='112'!$I$6,$M3694='112'!$I$6))),"x",""))</f>
        <v/>
      </c>
      <c r="S3694" s="525" t="str">
        <f>IF(ISERROR(FIND('112'!$M$9,G3694,1)),"",IF((AND(LEFT(G3694,2)=LEFT('112'!$M$9,2),B3694&lt;'112'!$N$8,$L3694='112'!$I$6)),"x",""))</f>
        <v/>
      </c>
      <c r="T3694" s="525" t="str">
        <f>IF(ISERROR(FIND('112'!$M$9,G3694,1)),"",IF((AND(RIGHT(G3694,2)=RIGHT('112'!$M$9,2),B3694&lt;'112'!$N$8,$M3694='112'!$I$6)),"x",""))</f>
        <v/>
      </c>
      <c r="U3694" s="525" t="str">
        <f>IF(AND(B3694&gt;='IN-NX'!$P$3,B3694&lt;='IN-NX'!$Q$3,'IN-NX'!$D$7=D3694,OR(LEFT(L3694,2)="15",AND(LEFT(M3694,2)&lt;&gt;"15",LEFT(M3694,2)&lt;&gt;"33"))),"x","")</f>
        <v/>
      </c>
      <c r="V3694" s="525" t="str">
        <f>IF(AND(OR(LEFT(TH!L3694,2)="15",LEFT(TH!M3694,2)="15"),'152-CT'!$J$8=TH!F3694),"x","")</f>
        <v/>
      </c>
      <c r="W3694" s="525" t="str">
        <f>IF(AND(OR(LEFT(TH!L3694,2)="15",LEFT(TH!M3694,2)="15"),TK!$E$7=TH!F3694),"x","")</f>
        <v/>
      </c>
      <c r="X3694" s="525" t="str">
        <f>IF(AND('341-CT'!$E$9=H3694,OR(LEFT(L3694,3)=$X$7,LEFT(M3694,3)=$X$7)),"x","")</f>
        <v/>
      </c>
      <c r="Y3694" s="525" t="str">
        <f>IF(OR(TH!L3694=TH!$Y$7,M3694=TH!$Y$7),"x","")</f>
        <v/>
      </c>
      <c r="Z3694" s="525" t="str">
        <f>IF(AND(B3694&lt;=NKC!$N$8,B3694&gt;=NKC!$M$8),"x","")</f>
        <v/>
      </c>
      <c r="AA3694" s="535"/>
      <c r="AB3694" s="536"/>
      <c r="AC3694" s="536" t="str">
        <f>VLOOKUP(F3694,NXT!$B$12:$B$686,1,0)</f>
        <v>Thùng 50x50x41.5</v>
      </c>
      <c r="AD3694" s="536"/>
    </row>
    <row r="3695" spans="1:30" s="503" customFormat="1" ht="15.75" customHeight="1">
      <c r="A3695" s="517" t="str">
        <f>IF(B3695&lt;&gt;"",IF(AND(B3695&gt;=_TM1,B3695&lt;=_TM2,OR(TH!L3695="1111",TH!M3695="1111")),TH!D3695,""),"")</f>
        <v/>
      </c>
      <c r="B3695" s="531">
        <f t="shared" si="411"/>
        <v>8</v>
      </c>
      <c r="C3695" s="315">
        <f t="shared" si="412"/>
        <v>42978</v>
      </c>
      <c r="D3695" s="544" t="s">
        <v>1181</v>
      </c>
      <c r="E3695" s="315">
        <v>42978</v>
      </c>
      <c r="F3695" s="250" t="s">
        <v>1469</v>
      </c>
      <c r="G3695" s="314" t="s">
        <v>1446</v>
      </c>
      <c r="H3695" s="473" t="s">
        <v>284</v>
      </c>
      <c r="I3695" s="307">
        <v>2</v>
      </c>
      <c r="J3695" s="307">
        <v>59920</v>
      </c>
      <c r="K3695" s="532">
        <f t="shared" si="413"/>
        <v>119840</v>
      </c>
      <c r="L3695" s="534" t="s">
        <v>223</v>
      </c>
      <c r="M3695" s="534" t="s">
        <v>162</v>
      </c>
      <c r="N3695" s="525" t="str">
        <f>IF(AND('331-CT'!$E$7=TH!H3695,OR(L3695="331",M3695="331")),"331",IF(AND(OR(L3695="131",M3695="131"),H3695='131-CT'!$E$7),"131",""))</f>
        <v/>
      </c>
      <c r="O3695" s="525" t="str">
        <f>IF(AND($B3695&gt;='111'!$N$11,$B3695&lt;='111'!$O$11,OR($L3695=$O$7,$M3695=$O$7)),"x","")</f>
        <v/>
      </c>
      <c r="P3695" s="525" t="str">
        <f>IF(AND($L3695=$O$7,$B3695&lt;'111'!$N$11),"x","")</f>
        <v/>
      </c>
      <c r="Q3695" s="525" t="str">
        <f>IF(AND($M3695=$O$7,$B3695&lt;'111'!$N$11),"x","")</f>
        <v/>
      </c>
      <c r="R3695" s="525" t="str">
        <f>IF(ISERROR(FIND('112'!$M$9,G3695,1)),"",IF((AND(FIND('112'!$M$9,G3695,1)&gt;=1,$B3695&gt;='112'!$N$8,$B3695&lt;='112'!$O$8,OR($L3695='112'!$I$6,$M3695='112'!$I$6))),"x",""))</f>
        <v/>
      </c>
      <c r="S3695" s="525" t="str">
        <f>IF(ISERROR(FIND('112'!$M$9,G3695,1)),"",IF((AND(LEFT(G3695,2)=LEFT('112'!$M$9,2),B3695&lt;'112'!$N$8,$L3695='112'!$I$6)),"x",""))</f>
        <v/>
      </c>
      <c r="T3695" s="525" t="str">
        <f>IF(ISERROR(FIND('112'!$M$9,G3695,1)),"",IF((AND(RIGHT(G3695,2)=RIGHT('112'!$M$9,2),B3695&lt;'112'!$N$8,$M3695='112'!$I$6)),"x",""))</f>
        <v/>
      </c>
      <c r="U3695" s="525" t="str">
        <f>IF(AND(B3695&gt;='IN-NX'!$P$3,B3695&lt;='IN-NX'!$Q$3,'IN-NX'!$D$7=D3695,OR(LEFT(L3695,2)="15",AND(LEFT(M3695,2)&lt;&gt;"15",LEFT(M3695,2)&lt;&gt;"33"))),"x","")</f>
        <v/>
      </c>
      <c r="V3695" s="525" t="str">
        <f>IF(AND(OR(LEFT(TH!L3695,2)="15",LEFT(TH!M3695,2)="15"),'152-CT'!$J$8=TH!F3695),"x","")</f>
        <v/>
      </c>
      <c r="W3695" s="525" t="str">
        <f>IF(AND(OR(LEFT(TH!L3695,2)="15",LEFT(TH!M3695,2)="15"),TK!$E$7=TH!F3695),"x","")</f>
        <v/>
      </c>
      <c r="X3695" s="525" t="str">
        <f>IF(AND('341-CT'!$E$9=H3695,OR(LEFT(L3695,3)=$X$7,LEFT(M3695,3)=$X$7)),"x","")</f>
        <v/>
      </c>
      <c r="Y3695" s="525" t="str">
        <f>IF(OR(TH!L3695=TH!$Y$7,M3695=TH!$Y$7),"x","")</f>
        <v/>
      </c>
      <c r="Z3695" s="525" t="str">
        <f>IF(AND(B3695&lt;=NKC!$N$8,B3695&gt;=NKC!$M$8),"x","")</f>
        <v/>
      </c>
      <c r="AA3695" s="535"/>
      <c r="AB3695" s="536"/>
      <c r="AC3695" s="536" t="str">
        <f>VLOOKUP(F3695,NXT!$B$12:$B$686,1,0)</f>
        <v>Thùng 55.1x55.1x52</v>
      </c>
    </row>
    <row r="3696" spans="1:30" s="503" customFormat="1" ht="15.75" customHeight="1">
      <c r="A3696" s="517" t="str">
        <f>IF(B3696&lt;&gt;"",IF(AND(B3696&gt;=_TM1,B3696&lt;=_TM2,OR(TH!L3696="1111",TH!M3696="1111")),TH!D3696,""),"")</f>
        <v/>
      </c>
      <c r="B3696" s="531">
        <f t="shared" si="408"/>
        <v>8</v>
      </c>
      <c r="C3696" s="315">
        <f t="shared" si="409"/>
        <v>42978</v>
      </c>
      <c r="D3696" s="544" t="s">
        <v>1181</v>
      </c>
      <c r="E3696" s="315">
        <v>42978</v>
      </c>
      <c r="F3696" s="250" t="s">
        <v>1470</v>
      </c>
      <c r="G3696" s="314" t="s">
        <v>1446</v>
      </c>
      <c r="H3696" s="473" t="s">
        <v>284</v>
      </c>
      <c r="I3696" s="307">
        <v>14</v>
      </c>
      <c r="J3696" s="307">
        <v>59920</v>
      </c>
      <c r="K3696" s="532">
        <f t="shared" si="413"/>
        <v>838880</v>
      </c>
      <c r="L3696" s="534" t="s">
        <v>223</v>
      </c>
      <c r="M3696" s="534" t="s">
        <v>162</v>
      </c>
      <c r="N3696" s="525" t="str">
        <f>IF(AND('331-CT'!$E$7=TH!H3696,OR(L3696="331",M3696="331")),"331",IF(AND(OR(L3696="131",M3696="131"),H3696='131-CT'!$E$7),"131",""))</f>
        <v/>
      </c>
      <c r="O3696" s="525" t="str">
        <f>IF(AND($B3696&gt;='111'!$N$11,$B3696&lt;='111'!$O$11,OR($L3696=$O$7,$M3696=$O$7)),"x","")</f>
        <v/>
      </c>
      <c r="P3696" s="525" t="str">
        <f>IF(AND($L3696=$O$7,$B3696&lt;'111'!$N$11),"x","")</f>
        <v/>
      </c>
      <c r="Q3696" s="525" t="str">
        <f>IF(AND($M3696=$O$7,$B3696&lt;'111'!$N$11),"x","")</f>
        <v/>
      </c>
      <c r="R3696" s="525" t="str">
        <f>IF(ISERROR(FIND('112'!$M$9,G3696,1)),"",IF((AND(FIND('112'!$M$9,G3696,1)&gt;=1,$B3696&gt;='112'!$N$8,$B3696&lt;='112'!$O$8,OR($L3696='112'!$I$6,$M3696='112'!$I$6))),"x",""))</f>
        <v/>
      </c>
      <c r="S3696" s="525" t="str">
        <f>IF(ISERROR(FIND('112'!$M$9,G3696,1)),"",IF((AND(LEFT(G3696,2)=LEFT('112'!$M$9,2),B3696&lt;'112'!$N$8,$L3696='112'!$I$6)),"x",""))</f>
        <v/>
      </c>
      <c r="T3696" s="525" t="str">
        <f>IF(ISERROR(FIND('112'!$M$9,G3696,1)),"",IF((AND(RIGHT(G3696,2)=RIGHT('112'!$M$9,2),B3696&lt;'112'!$N$8,$M3696='112'!$I$6)),"x",""))</f>
        <v/>
      </c>
      <c r="U3696" s="525" t="str">
        <f>IF(AND(B3696&gt;='IN-NX'!$P$3,B3696&lt;='IN-NX'!$Q$3,'IN-NX'!$D$7=D3696,OR(LEFT(L3696,2)="15",AND(LEFT(M3696,2)&lt;&gt;"15",LEFT(M3696,2)&lt;&gt;"33"))),"x","")</f>
        <v/>
      </c>
      <c r="V3696" s="525" t="str">
        <f>IF(AND(OR(LEFT(TH!L3696,2)="15",LEFT(TH!M3696,2)="15"),'152-CT'!$J$8=TH!F3696),"x","")</f>
        <v/>
      </c>
      <c r="W3696" s="525" t="str">
        <f>IF(AND(OR(LEFT(TH!L3696,2)="15",LEFT(TH!M3696,2)="15"),TK!$E$7=TH!F3696),"x","")</f>
        <v/>
      </c>
      <c r="X3696" s="525" t="str">
        <f>IF(AND('341-CT'!$E$9=H3696,OR(LEFT(L3696,3)=$X$7,LEFT(M3696,3)=$X$7)),"x","")</f>
        <v/>
      </c>
      <c r="Y3696" s="525" t="str">
        <f>IF(OR(TH!L3696=TH!$Y$7,M3696=TH!$Y$7),"x","")</f>
        <v/>
      </c>
      <c r="Z3696" s="525" t="str">
        <f>IF(AND(B3696&lt;=NKC!$N$8,B3696&gt;=NKC!$M$8),"x","")</f>
        <v/>
      </c>
      <c r="AA3696" s="535"/>
      <c r="AB3696" s="536"/>
      <c r="AC3696" s="536" t="str">
        <f>VLOOKUP(F3696,NXT!$B$12:$B$686,1,0)</f>
        <v>Thùng 56.2x56.2x44.4</v>
      </c>
      <c r="AD3696" s="536"/>
    </row>
    <row r="3697" spans="1:30" s="503" customFormat="1" ht="15.75" customHeight="1">
      <c r="A3697" s="517" t="str">
        <f>IF(B3697&lt;&gt;"",IF(AND(B3697&gt;=_TM1,B3697&lt;=_TM2,OR(TH!L3697="1111",TH!M3697="1111")),TH!D3697,""),"")</f>
        <v/>
      </c>
      <c r="B3697" s="531">
        <f t="shared" si="408"/>
        <v>8</v>
      </c>
      <c r="C3697" s="315">
        <f t="shared" si="409"/>
        <v>42978</v>
      </c>
      <c r="D3697" s="544" t="s">
        <v>1181</v>
      </c>
      <c r="E3697" s="315">
        <v>42978</v>
      </c>
      <c r="F3697" s="250" t="s">
        <v>1471</v>
      </c>
      <c r="G3697" s="314" t="s">
        <v>1446</v>
      </c>
      <c r="H3697" s="473" t="s">
        <v>284</v>
      </c>
      <c r="I3697" s="307">
        <v>2</v>
      </c>
      <c r="J3697" s="307">
        <v>119840</v>
      </c>
      <c r="K3697" s="532">
        <f t="shared" si="413"/>
        <v>239680</v>
      </c>
      <c r="L3697" s="534" t="s">
        <v>223</v>
      </c>
      <c r="M3697" s="534" t="s">
        <v>162</v>
      </c>
      <c r="N3697" s="525" t="str">
        <f>IF(AND('331-CT'!$E$7=TH!H3697,OR(L3697="331",M3697="331")),"331",IF(AND(OR(L3697="131",M3697="131"),H3697='131-CT'!$E$7),"131",""))</f>
        <v/>
      </c>
      <c r="O3697" s="525" t="str">
        <f>IF(AND($B3697&gt;='111'!$N$11,$B3697&lt;='111'!$O$11,OR($L3697=$O$7,$M3697=$O$7)),"x","")</f>
        <v/>
      </c>
      <c r="P3697" s="525" t="str">
        <f>IF(AND($L3697=$O$7,$B3697&lt;'111'!$N$11),"x","")</f>
        <v/>
      </c>
      <c r="Q3697" s="525" t="str">
        <f>IF(AND($M3697=$O$7,$B3697&lt;'111'!$N$11),"x","")</f>
        <v/>
      </c>
      <c r="R3697" s="525" t="str">
        <f>IF(ISERROR(FIND('112'!$M$9,G3697,1)),"",IF((AND(FIND('112'!$M$9,G3697,1)&gt;=1,$B3697&gt;='112'!$N$8,$B3697&lt;='112'!$O$8,OR($L3697='112'!$I$6,$M3697='112'!$I$6))),"x",""))</f>
        <v/>
      </c>
      <c r="S3697" s="525" t="str">
        <f>IF(ISERROR(FIND('112'!$M$9,G3697,1)),"",IF((AND(LEFT(G3697,2)=LEFT('112'!$M$9,2),B3697&lt;'112'!$N$8,$L3697='112'!$I$6)),"x",""))</f>
        <v/>
      </c>
      <c r="T3697" s="525" t="str">
        <f>IF(ISERROR(FIND('112'!$M$9,G3697,1)),"",IF((AND(RIGHT(G3697,2)=RIGHT('112'!$M$9,2),B3697&lt;'112'!$N$8,$M3697='112'!$I$6)),"x",""))</f>
        <v/>
      </c>
      <c r="U3697" s="525" t="str">
        <f>IF(AND(B3697&gt;='IN-NX'!$P$3,B3697&lt;='IN-NX'!$Q$3,'IN-NX'!$D$7=D3697,OR(LEFT(L3697,2)="15",AND(LEFT(M3697,2)&lt;&gt;"15",LEFT(M3697,2)&lt;&gt;"33"))),"x","")</f>
        <v/>
      </c>
      <c r="V3697" s="525" t="str">
        <f>IF(AND(OR(LEFT(TH!L3697,2)="15",LEFT(TH!M3697,2)="15"),'152-CT'!$J$8=TH!F3697),"x","")</f>
        <v/>
      </c>
      <c r="W3697" s="525" t="str">
        <f>IF(AND(OR(LEFT(TH!L3697,2)="15",LEFT(TH!M3697,2)="15"),TK!$E$7=TH!F3697),"x","")</f>
        <v/>
      </c>
      <c r="X3697" s="525" t="str">
        <f>IF(AND('341-CT'!$E$9=H3697,OR(LEFT(L3697,3)=$X$7,LEFT(M3697,3)=$X$7)),"x","")</f>
        <v/>
      </c>
      <c r="Y3697" s="525" t="str">
        <f>IF(OR(TH!L3697=TH!$Y$7,M3697=TH!$Y$7),"x","")</f>
        <v/>
      </c>
      <c r="Z3697" s="525" t="str">
        <f>IF(AND(B3697&lt;=NKC!$N$8,B3697&gt;=NKC!$M$8),"x","")</f>
        <v/>
      </c>
      <c r="AA3697" s="535"/>
      <c r="AB3697" s="536"/>
      <c r="AC3697" s="536" t="str">
        <f>VLOOKUP(F3697,NXT!$B$12:$B$686,1,0)</f>
        <v>Thùng 134.5x75x16</v>
      </c>
      <c r="AD3697" s="536"/>
    </row>
    <row r="3698" spans="1:30" s="503" customFormat="1" ht="15.75" customHeight="1">
      <c r="A3698" s="517" t="str">
        <f>IF(B3698&lt;&gt;"",IF(AND(B3698&gt;=_TM1,B3698&lt;=_TM2,OR(TH!L3698="1111",TH!M3698="1111")),TH!D3698,""),"")</f>
        <v/>
      </c>
      <c r="B3698" s="531">
        <f t="shared" si="408"/>
        <v>8</v>
      </c>
      <c r="C3698" s="315">
        <f t="shared" si="409"/>
        <v>42978</v>
      </c>
      <c r="D3698" s="544" t="s">
        <v>1181</v>
      </c>
      <c r="E3698" s="315">
        <v>42978</v>
      </c>
      <c r="F3698" s="250" t="s">
        <v>1472</v>
      </c>
      <c r="G3698" s="314" t="s">
        <v>1446</v>
      </c>
      <c r="H3698" s="473" t="s">
        <v>284</v>
      </c>
      <c r="I3698" s="307">
        <v>2</v>
      </c>
      <c r="J3698" s="307">
        <v>119840</v>
      </c>
      <c r="K3698" s="532">
        <f t="shared" si="413"/>
        <v>239680</v>
      </c>
      <c r="L3698" s="534" t="s">
        <v>223</v>
      </c>
      <c r="M3698" s="534" t="s">
        <v>162</v>
      </c>
      <c r="N3698" s="525" t="str">
        <f>IF(AND('331-CT'!$E$7=TH!H3698,OR(L3698="331",M3698="331")),"331",IF(AND(OR(L3698="131",M3698="131"),H3698='131-CT'!$E$7),"131",""))</f>
        <v/>
      </c>
      <c r="O3698" s="525" t="str">
        <f>IF(AND($B3698&gt;='111'!$N$11,$B3698&lt;='111'!$O$11,OR($L3698=$O$7,$M3698=$O$7)),"x","")</f>
        <v/>
      </c>
      <c r="P3698" s="525" t="str">
        <f>IF(AND($L3698=$O$7,$B3698&lt;'111'!$N$11),"x","")</f>
        <v/>
      </c>
      <c r="Q3698" s="525" t="str">
        <f>IF(AND($M3698=$O$7,$B3698&lt;'111'!$N$11),"x","")</f>
        <v/>
      </c>
      <c r="R3698" s="525" t="str">
        <f>IF(ISERROR(FIND('112'!$M$9,G3698,1)),"",IF((AND(FIND('112'!$M$9,G3698,1)&gt;=1,$B3698&gt;='112'!$N$8,$B3698&lt;='112'!$O$8,OR($L3698='112'!$I$6,$M3698='112'!$I$6))),"x",""))</f>
        <v/>
      </c>
      <c r="S3698" s="525" t="str">
        <f>IF(ISERROR(FIND('112'!$M$9,G3698,1)),"",IF((AND(LEFT(G3698,2)=LEFT('112'!$M$9,2),B3698&lt;'112'!$N$8,$L3698='112'!$I$6)),"x",""))</f>
        <v/>
      </c>
      <c r="T3698" s="525" t="str">
        <f>IF(ISERROR(FIND('112'!$M$9,G3698,1)),"",IF((AND(RIGHT(G3698,2)=RIGHT('112'!$M$9,2),B3698&lt;'112'!$N$8,$M3698='112'!$I$6)),"x",""))</f>
        <v/>
      </c>
      <c r="U3698" s="525" t="str">
        <f>IF(AND(B3698&gt;='IN-NX'!$P$3,B3698&lt;='IN-NX'!$Q$3,'IN-NX'!$D$7=D3698,OR(LEFT(L3698,2)="15",AND(LEFT(M3698,2)&lt;&gt;"15",LEFT(M3698,2)&lt;&gt;"33"))),"x","")</f>
        <v/>
      </c>
      <c r="V3698" s="525" t="str">
        <f>IF(AND(OR(LEFT(TH!L3698,2)="15",LEFT(TH!M3698,2)="15"),'152-CT'!$J$8=TH!F3698),"x","")</f>
        <v/>
      </c>
      <c r="W3698" s="525" t="str">
        <f>IF(AND(OR(LEFT(TH!L3698,2)="15",LEFT(TH!M3698,2)="15"),TK!$E$7=TH!F3698),"x","")</f>
        <v/>
      </c>
      <c r="X3698" s="525" t="str">
        <f>IF(AND('341-CT'!$E$9=H3698,OR(LEFT(L3698,3)=$X$7,LEFT(M3698,3)=$X$7)),"x","")</f>
        <v/>
      </c>
      <c r="Y3698" s="525" t="str">
        <f>IF(OR(TH!L3698=TH!$Y$7,M3698=TH!$Y$7),"x","")</f>
        <v/>
      </c>
      <c r="Z3698" s="525" t="str">
        <f>IF(AND(B3698&lt;=NKC!$N$8,B3698&gt;=NKC!$M$8),"x","")</f>
        <v/>
      </c>
      <c r="AA3698" s="535"/>
      <c r="AB3698" s="536"/>
      <c r="AC3698" s="536" t="str">
        <f>VLOOKUP(F3698,NXT!$B$12:$B$686,1,0)</f>
        <v>Thùng 136.5x77x18</v>
      </c>
    </row>
    <row r="3699" spans="1:30" s="503" customFormat="1" ht="15.75" customHeight="1">
      <c r="A3699" s="517" t="str">
        <f>IF(B3699&lt;&gt;"",IF(AND(B3699&gt;=_TM1,B3699&lt;=_TM2,OR(TH!L3699="1111",TH!M3699="1111")),TH!D3699,""),"")</f>
        <v/>
      </c>
      <c r="B3699" s="531">
        <f t="shared" si="408"/>
        <v>8</v>
      </c>
      <c r="C3699" s="315">
        <f t="shared" si="409"/>
        <v>42978</v>
      </c>
      <c r="D3699" s="544" t="s">
        <v>1181</v>
      </c>
      <c r="E3699" s="315">
        <v>42978</v>
      </c>
      <c r="F3699" s="250" t="s">
        <v>619</v>
      </c>
      <c r="G3699" s="314" t="s">
        <v>1446</v>
      </c>
      <c r="H3699" s="473" t="s">
        <v>284</v>
      </c>
      <c r="I3699" s="307">
        <v>60</v>
      </c>
      <c r="J3699" s="307">
        <v>31617</v>
      </c>
      <c r="K3699" s="532">
        <f t="shared" si="413"/>
        <v>1897020</v>
      </c>
      <c r="L3699" s="534" t="s">
        <v>223</v>
      </c>
      <c r="M3699" s="534" t="s">
        <v>162</v>
      </c>
      <c r="N3699" s="525" t="str">
        <f>IF(AND('331-CT'!$E$7=TH!H3699,OR(L3699="331",M3699="331")),"331",IF(AND(OR(L3699="131",M3699="131"),H3699='131-CT'!$E$7),"131",""))</f>
        <v/>
      </c>
      <c r="O3699" s="525" t="str">
        <f>IF(AND($B3699&gt;='111'!$N$11,$B3699&lt;='111'!$O$11,OR($L3699=$O$7,$M3699=$O$7)),"x","")</f>
        <v/>
      </c>
      <c r="P3699" s="525" t="str">
        <f>IF(AND($L3699=$O$7,$B3699&lt;'111'!$N$11),"x","")</f>
        <v/>
      </c>
      <c r="Q3699" s="525" t="str">
        <f>IF(AND($M3699=$O$7,$B3699&lt;'111'!$N$11),"x","")</f>
        <v/>
      </c>
      <c r="R3699" s="525" t="str">
        <f>IF(ISERROR(FIND('112'!$M$9,G3699,1)),"",IF((AND(FIND('112'!$M$9,G3699,1)&gt;=1,$B3699&gt;='112'!$N$8,$B3699&lt;='112'!$O$8,OR($L3699='112'!$I$6,$M3699='112'!$I$6))),"x",""))</f>
        <v/>
      </c>
      <c r="S3699" s="525" t="str">
        <f>IF(ISERROR(FIND('112'!$M$9,G3699,1)),"",IF((AND(LEFT(G3699,2)=LEFT('112'!$M$9,2),B3699&lt;'112'!$N$8,$L3699='112'!$I$6)),"x",""))</f>
        <v/>
      </c>
      <c r="T3699" s="525" t="str">
        <f>IF(ISERROR(FIND('112'!$M$9,G3699,1)),"",IF((AND(RIGHT(G3699,2)=RIGHT('112'!$M$9,2),B3699&lt;'112'!$N$8,$M3699='112'!$I$6)),"x",""))</f>
        <v/>
      </c>
      <c r="U3699" s="525" t="str">
        <f>IF(AND(B3699&gt;='IN-NX'!$P$3,B3699&lt;='IN-NX'!$Q$3,'IN-NX'!$D$7=D3699,OR(LEFT(L3699,2)="15",AND(LEFT(M3699,2)&lt;&gt;"15",LEFT(M3699,2)&lt;&gt;"33"))),"x","")</f>
        <v/>
      </c>
      <c r="V3699" s="525" t="str">
        <f>IF(AND(OR(LEFT(TH!L3699,2)="15",LEFT(TH!M3699,2)="15"),'152-CT'!$J$8=TH!F3699),"x","")</f>
        <v/>
      </c>
      <c r="W3699" s="525" t="str">
        <f>IF(AND(OR(LEFT(TH!L3699,2)="15",LEFT(TH!M3699,2)="15"),TK!$E$7=TH!F3699),"x","")</f>
        <v/>
      </c>
      <c r="X3699" s="525" t="str">
        <f>IF(AND('341-CT'!$E$9=H3699,OR(LEFT(L3699,3)=$X$7,LEFT(M3699,3)=$X$7)),"x","")</f>
        <v/>
      </c>
      <c r="Y3699" s="525" t="str">
        <f>IF(OR(TH!L3699=TH!$Y$7,M3699=TH!$Y$7),"x","")</f>
        <v/>
      </c>
      <c r="Z3699" s="525" t="str">
        <f>IF(AND(B3699&lt;=NKC!$N$8,B3699&gt;=NKC!$M$8),"x","")</f>
        <v/>
      </c>
      <c r="AA3699" s="535"/>
      <c r="AB3699" s="536"/>
      <c r="AC3699" s="536" t="str">
        <f>VLOOKUP(F3699,NXT!$B$12:$B$686,1,0)</f>
        <v>Thùng 40x40x52</v>
      </c>
      <c r="AD3699" s="536"/>
    </row>
    <row r="3700" spans="1:30" s="503" customFormat="1" ht="15.75" customHeight="1">
      <c r="A3700" s="517" t="str">
        <f>IF(B3700&lt;&gt;"",IF(AND(B3700&gt;=_TM1,B3700&lt;=_TM2,OR(TH!L3700="1111",TH!M3700="1111")),TH!D3700,""),"")</f>
        <v/>
      </c>
      <c r="B3700" s="531">
        <f t="shared" si="408"/>
        <v>8</v>
      </c>
      <c r="C3700" s="315">
        <f t="shared" si="409"/>
        <v>42978</v>
      </c>
      <c r="D3700" s="544" t="s">
        <v>1181</v>
      </c>
      <c r="E3700" s="315">
        <v>42978</v>
      </c>
      <c r="F3700" s="250" t="s">
        <v>750</v>
      </c>
      <c r="G3700" s="314" t="s">
        <v>1446</v>
      </c>
      <c r="H3700" s="473" t="s">
        <v>284</v>
      </c>
      <c r="I3700" s="307">
        <v>30</v>
      </c>
      <c r="J3700" s="307">
        <v>72733</v>
      </c>
      <c r="K3700" s="532">
        <f t="shared" si="413"/>
        <v>2181990</v>
      </c>
      <c r="L3700" s="534" t="s">
        <v>223</v>
      </c>
      <c r="M3700" s="534" t="s">
        <v>162</v>
      </c>
      <c r="N3700" s="525" t="str">
        <f>IF(AND('331-CT'!$E$7=TH!H3700,OR(L3700="331",M3700="331")),"331",IF(AND(OR(L3700="131",M3700="131"),H3700='131-CT'!$E$7),"131",""))</f>
        <v/>
      </c>
      <c r="O3700" s="525" t="str">
        <f>IF(AND($B3700&gt;='111'!$N$11,$B3700&lt;='111'!$O$11,OR($L3700=$O$7,$M3700=$O$7)),"x","")</f>
        <v/>
      </c>
      <c r="P3700" s="525" t="str">
        <f>IF(AND($L3700=$O$7,$B3700&lt;'111'!$N$11),"x","")</f>
        <v/>
      </c>
      <c r="Q3700" s="525" t="str">
        <f>IF(AND($M3700=$O$7,$B3700&lt;'111'!$N$11),"x","")</f>
        <v/>
      </c>
      <c r="R3700" s="525" t="str">
        <f>IF(ISERROR(FIND('112'!$M$9,G3700,1)),"",IF((AND(FIND('112'!$M$9,G3700,1)&gt;=1,$B3700&gt;='112'!$N$8,$B3700&lt;='112'!$O$8,OR($L3700='112'!$I$6,$M3700='112'!$I$6))),"x",""))</f>
        <v/>
      </c>
      <c r="S3700" s="525" t="str">
        <f>IF(ISERROR(FIND('112'!$M$9,G3700,1)),"",IF((AND(LEFT(G3700,2)=LEFT('112'!$M$9,2),B3700&lt;'112'!$N$8,$L3700='112'!$I$6)),"x",""))</f>
        <v/>
      </c>
      <c r="T3700" s="525" t="str">
        <f>IF(ISERROR(FIND('112'!$M$9,G3700,1)),"",IF((AND(RIGHT(G3700,2)=RIGHT('112'!$M$9,2),B3700&lt;'112'!$N$8,$M3700='112'!$I$6)),"x",""))</f>
        <v/>
      </c>
      <c r="U3700" s="525" t="str">
        <f>IF(AND(B3700&gt;='IN-NX'!$P$3,B3700&lt;='IN-NX'!$Q$3,'IN-NX'!$D$7=D3700,OR(LEFT(L3700,2)="15",AND(LEFT(M3700,2)&lt;&gt;"15",LEFT(M3700,2)&lt;&gt;"33"))),"x","")</f>
        <v/>
      </c>
      <c r="V3700" s="525" t="str">
        <f>IF(AND(OR(LEFT(TH!L3700,2)="15",LEFT(TH!M3700,2)="15"),'152-CT'!$J$8=TH!F3700),"x","")</f>
        <v/>
      </c>
      <c r="W3700" s="525" t="str">
        <f>IF(AND(OR(LEFT(TH!L3700,2)="15",LEFT(TH!M3700,2)="15"),TK!$E$7=TH!F3700),"x","")</f>
        <v/>
      </c>
      <c r="X3700" s="525" t="str">
        <f>IF(AND('341-CT'!$E$9=H3700,OR(LEFT(L3700,3)=$X$7,LEFT(M3700,3)=$X$7)),"x","")</f>
        <v/>
      </c>
      <c r="Y3700" s="525" t="str">
        <f>IF(OR(TH!L3700=TH!$Y$7,M3700=TH!$Y$7),"x","")</f>
        <v/>
      </c>
      <c r="Z3700" s="525" t="str">
        <f>IF(AND(B3700&lt;=NKC!$N$8,B3700&gt;=NKC!$M$8),"x","")</f>
        <v/>
      </c>
      <c r="AA3700" s="535"/>
      <c r="AB3700" s="536"/>
      <c r="AC3700" s="536" t="str">
        <f>VLOOKUP(F3700,NXT!$B$12:$B$686,1,0)</f>
        <v>Thùng 145x45x45</v>
      </c>
      <c r="AD3700" s="536"/>
    </row>
    <row r="3701" spans="1:30" s="503" customFormat="1" ht="15.75" customHeight="1">
      <c r="A3701" s="517" t="str">
        <f>IF(B3701&lt;&gt;"",IF(AND(B3701&gt;=_TM1,B3701&lt;=_TM2,OR(TH!L3701="1111",TH!M3701="1111")),TH!D3701,""),"")</f>
        <v/>
      </c>
      <c r="B3701" s="531">
        <f t="shared" si="408"/>
        <v>8</v>
      </c>
      <c r="C3701" s="315">
        <f t="shared" si="409"/>
        <v>42978</v>
      </c>
      <c r="D3701" s="544" t="s">
        <v>1181</v>
      </c>
      <c r="E3701" s="315">
        <v>42978</v>
      </c>
      <c r="F3701" s="250" t="s">
        <v>1389</v>
      </c>
      <c r="G3701" s="314" t="s">
        <v>1446</v>
      </c>
      <c r="H3701" s="473" t="s">
        <v>284</v>
      </c>
      <c r="I3701" s="307">
        <v>11</v>
      </c>
      <c r="J3701" s="307">
        <v>41141</v>
      </c>
      <c r="K3701" s="532">
        <f t="shared" si="413"/>
        <v>452551</v>
      </c>
      <c r="L3701" s="534" t="s">
        <v>223</v>
      </c>
      <c r="M3701" s="534" t="s">
        <v>162</v>
      </c>
      <c r="N3701" s="525" t="str">
        <f>IF(AND('331-CT'!$E$7=TH!H3701,OR(L3701="331",M3701="331")),"331",IF(AND(OR(L3701="131",M3701="131"),H3701='131-CT'!$E$7),"131",""))</f>
        <v/>
      </c>
      <c r="O3701" s="525" t="str">
        <f>IF(AND($B3701&gt;='111'!$N$11,$B3701&lt;='111'!$O$11,OR($L3701=$O$7,$M3701=$O$7)),"x","")</f>
        <v/>
      </c>
      <c r="P3701" s="525" t="str">
        <f>IF(AND($L3701=$O$7,$B3701&lt;'111'!$N$11),"x","")</f>
        <v/>
      </c>
      <c r="Q3701" s="525" t="str">
        <f>IF(AND($M3701=$O$7,$B3701&lt;'111'!$N$11),"x","")</f>
        <v/>
      </c>
      <c r="R3701" s="525" t="str">
        <f>IF(ISERROR(FIND('112'!$M$9,G3701,1)),"",IF((AND(FIND('112'!$M$9,G3701,1)&gt;=1,$B3701&gt;='112'!$N$8,$B3701&lt;='112'!$O$8,OR($L3701='112'!$I$6,$M3701='112'!$I$6))),"x",""))</f>
        <v/>
      </c>
      <c r="S3701" s="525" t="str">
        <f>IF(ISERROR(FIND('112'!$M$9,G3701,1)),"",IF((AND(LEFT(G3701,2)=LEFT('112'!$M$9,2),B3701&lt;'112'!$N$8,$L3701='112'!$I$6)),"x",""))</f>
        <v/>
      </c>
      <c r="T3701" s="525" t="str">
        <f>IF(ISERROR(FIND('112'!$M$9,G3701,1)),"",IF((AND(RIGHT(G3701,2)=RIGHT('112'!$M$9,2),B3701&lt;'112'!$N$8,$M3701='112'!$I$6)),"x",""))</f>
        <v/>
      </c>
      <c r="U3701" s="525" t="str">
        <f>IF(AND(B3701&gt;='IN-NX'!$P$3,B3701&lt;='IN-NX'!$Q$3,'IN-NX'!$D$7=D3701,OR(LEFT(L3701,2)="15",AND(LEFT(M3701,2)&lt;&gt;"15",LEFT(M3701,2)&lt;&gt;"33"))),"x","")</f>
        <v/>
      </c>
      <c r="V3701" s="525" t="str">
        <f>IF(AND(OR(LEFT(TH!L3701,2)="15",LEFT(TH!M3701,2)="15"),'152-CT'!$J$8=TH!F3701),"x","")</f>
        <v/>
      </c>
      <c r="W3701" s="525" t="str">
        <f>IF(AND(OR(LEFT(TH!L3701,2)="15",LEFT(TH!M3701,2)="15"),TK!$E$7=TH!F3701),"x","")</f>
        <v/>
      </c>
      <c r="X3701" s="525" t="str">
        <f>IF(AND('341-CT'!$E$9=H3701,OR(LEFT(L3701,3)=$X$7,LEFT(M3701,3)=$X$7)),"x","")</f>
        <v/>
      </c>
      <c r="Y3701" s="525" t="str">
        <f>IF(OR(TH!L3701=TH!$Y$7,M3701=TH!$Y$7),"x","")</f>
        <v/>
      </c>
      <c r="Z3701" s="525" t="str">
        <f>IF(AND(B3701&lt;=NKC!$N$8,B3701&gt;=NKC!$M$8),"x","")</f>
        <v/>
      </c>
      <c r="AA3701" s="535"/>
      <c r="AB3701" s="536"/>
      <c r="AC3701" s="536" t="str">
        <f>VLOOKUP(F3701,NXT!$B$12:$B$686,1,0)</f>
        <v>Thùng 55x55x79</v>
      </c>
    </row>
    <row r="3702" spans="1:30" s="503" customFormat="1" ht="15.75" customHeight="1">
      <c r="A3702" s="517" t="str">
        <f>IF(B3702&lt;&gt;"",IF(AND(B3702&gt;=_TM1,B3702&lt;=_TM2,OR(TH!L3702="1111",TH!M3702="1111")),TH!D3702,""),"")</f>
        <v/>
      </c>
      <c r="B3702" s="531">
        <f t="shared" si="408"/>
        <v>8</v>
      </c>
      <c r="C3702" s="315">
        <f t="shared" si="409"/>
        <v>42978</v>
      </c>
      <c r="D3702" s="544" t="s">
        <v>1181</v>
      </c>
      <c r="E3702" s="315">
        <v>42978</v>
      </c>
      <c r="F3702" s="250" t="s">
        <v>1473</v>
      </c>
      <c r="G3702" s="314" t="s">
        <v>1446</v>
      </c>
      <c r="H3702" s="473" t="s">
        <v>284</v>
      </c>
      <c r="I3702" s="307">
        <v>4</v>
      </c>
      <c r="J3702" s="307">
        <v>64201</v>
      </c>
      <c r="K3702" s="532">
        <f t="shared" si="413"/>
        <v>256804</v>
      </c>
      <c r="L3702" s="534" t="s">
        <v>223</v>
      </c>
      <c r="M3702" s="534" t="s">
        <v>162</v>
      </c>
      <c r="N3702" s="525" t="str">
        <f>IF(AND('331-CT'!$E$7=TH!H3702,OR(L3702="331",M3702="331")),"331",IF(AND(OR(L3702="131",M3702="131"),H3702='131-CT'!$E$7),"131",""))</f>
        <v/>
      </c>
      <c r="O3702" s="525" t="str">
        <f>IF(AND($B3702&gt;='111'!$N$11,$B3702&lt;='111'!$O$11,OR($L3702=$O$7,$M3702=$O$7)),"x","")</f>
        <v/>
      </c>
      <c r="P3702" s="525" t="str">
        <f>IF(AND($L3702=$O$7,$B3702&lt;'111'!$N$11),"x","")</f>
        <v/>
      </c>
      <c r="Q3702" s="525" t="str">
        <f>IF(AND($M3702=$O$7,$B3702&lt;'111'!$N$11),"x","")</f>
        <v/>
      </c>
      <c r="R3702" s="525" t="str">
        <f>IF(ISERROR(FIND('112'!$M$9,G3702,1)),"",IF((AND(FIND('112'!$M$9,G3702,1)&gt;=1,$B3702&gt;='112'!$N$8,$B3702&lt;='112'!$O$8,OR($L3702='112'!$I$6,$M3702='112'!$I$6))),"x",""))</f>
        <v/>
      </c>
      <c r="S3702" s="525" t="str">
        <f>IF(ISERROR(FIND('112'!$M$9,G3702,1)),"",IF((AND(LEFT(G3702,2)=LEFT('112'!$M$9,2),B3702&lt;'112'!$N$8,$L3702='112'!$I$6)),"x",""))</f>
        <v/>
      </c>
      <c r="T3702" s="525" t="str">
        <f>IF(ISERROR(FIND('112'!$M$9,G3702,1)),"",IF((AND(RIGHT(G3702,2)=RIGHT('112'!$M$9,2),B3702&lt;'112'!$N$8,$M3702='112'!$I$6)),"x",""))</f>
        <v/>
      </c>
      <c r="U3702" s="525" t="str">
        <f>IF(AND(B3702&gt;='IN-NX'!$P$3,B3702&lt;='IN-NX'!$Q$3,'IN-NX'!$D$7=D3702,OR(LEFT(L3702,2)="15",AND(LEFT(M3702,2)&lt;&gt;"15",LEFT(M3702,2)&lt;&gt;"33"))),"x","")</f>
        <v/>
      </c>
      <c r="V3702" s="525" t="str">
        <f>IF(AND(OR(LEFT(TH!L3702,2)="15",LEFT(TH!M3702,2)="15"),'152-CT'!$J$8=TH!F3702),"x","")</f>
        <v/>
      </c>
      <c r="W3702" s="525" t="str">
        <f>IF(AND(OR(LEFT(TH!L3702,2)="15",LEFT(TH!M3702,2)="15"),TK!$E$7=TH!F3702),"x","")</f>
        <v/>
      </c>
      <c r="X3702" s="525" t="str">
        <f>IF(AND('341-CT'!$E$9=H3702,OR(LEFT(L3702,3)=$X$7,LEFT(M3702,3)=$X$7)),"x","")</f>
        <v/>
      </c>
      <c r="Y3702" s="525" t="str">
        <f>IF(OR(TH!L3702=TH!$Y$7,M3702=TH!$Y$7),"x","")</f>
        <v/>
      </c>
      <c r="Z3702" s="525" t="str">
        <f>IF(AND(B3702&lt;=NKC!$N$8,B3702&gt;=NKC!$M$8),"x","")</f>
        <v/>
      </c>
      <c r="AA3702" s="535"/>
      <c r="AB3702" s="536"/>
      <c r="AC3702" s="536" t="str">
        <f>VLOOKUP(F3702,NXT!$B$12:$B$686,1,0)</f>
        <v>Thùng 145x45x78</v>
      </c>
      <c r="AD3702" s="536"/>
    </row>
    <row r="3703" spans="1:30" s="503" customFormat="1" ht="15.75" customHeight="1">
      <c r="A3703" s="517" t="str">
        <f>IF(B3703&lt;&gt;"",IF(AND(B3703&gt;=_TM1,B3703&lt;=_TM2,OR(TH!L3703="1111",TH!M3703="1111")),TH!D3703,""),"")</f>
        <v/>
      </c>
      <c r="B3703" s="531">
        <f t="shared" si="408"/>
        <v>8</v>
      </c>
      <c r="C3703" s="315">
        <f t="shared" si="409"/>
        <v>42978</v>
      </c>
      <c r="D3703" s="544" t="s">
        <v>1181</v>
      </c>
      <c r="E3703" s="315">
        <v>42978</v>
      </c>
      <c r="F3703" s="250" t="s">
        <v>793</v>
      </c>
      <c r="G3703" s="314" t="s">
        <v>1446</v>
      </c>
      <c r="H3703" s="473" t="s">
        <v>284</v>
      </c>
      <c r="I3703" s="307">
        <v>5</v>
      </c>
      <c r="J3703" s="307">
        <v>101080</v>
      </c>
      <c r="K3703" s="532">
        <f t="shared" si="413"/>
        <v>505400</v>
      </c>
      <c r="L3703" s="534" t="s">
        <v>223</v>
      </c>
      <c r="M3703" s="534" t="s">
        <v>162</v>
      </c>
      <c r="N3703" s="525" t="str">
        <f>IF(AND('331-CT'!$E$7=TH!H3703,OR(L3703="331",M3703="331")),"331",IF(AND(OR(L3703="131",M3703="131"),H3703='131-CT'!$E$7),"131",""))</f>
        <v/>
      </c>
      <c r="O3703" s="525" t="str">
        <f>IF(AND($B3703&gt;='111'!$N$11,$B3703&lt;='111'!$O$11,OR($L3703=$O$7,$M3703=$O$7)),"x","")</f>
        <v/>
      </c>
      <c r="P3703" s="525" t="str">
        <f>IF(AND($L3703=$O$7,$B3703&lt;'111'!$N$11),"x","")</f>
        <v/>
      </c>
      <c r="Q3703" s="525" t="str">
        <f>IF(AND($M3703=$O$7,$B3703&lt;'111'!$N$11),"x","")</f>
        <v/>
      </c>
      <c r="R3703" s="525" t="str">
        <f>IF(ISERROR(FIND('112'!$M$9,G3703,1)),"",IF((AND(FIND('112'!$M$9,G3703,1)&gt;=1,$B3703&gt;='112'!$N$8,$B3703&lt;='112'!$O$8,OR($L3703='112'!$I$6,$M3703='112'!$I$6))),"x",""))</f>
        <v/>
      </c>
      <c r="S3703" s="525" t="str">
        <f>IF(ISERROR(FIND('112'!$M$9,G3703,1)),"",IF((AND(LEFT(G3703,2)=LEFT('112'!$M$9,2),B3703&lt;'112'!$N$8,$L3703='112'!$I$6)),"x",""))</f>
        <v/>
      </c>
      <c r="T3703" s="525" t="str">
        <f>IF(ISERROR(FIND('112'!$M$9,G3703,1)),"",IF((AND(RIGHT(G3703,2)=RIGHT('112'!$M$9,2),B3703&lt;'112'!$N$8,$M3703='112'!$I$6)),"x",""))</f>
        <v/>
      </c>
      <c r="U3703" s="525" t="str">
        <f>IF(AND(B3703&gt;='IN-NX'!$P$3,B3703&lt;='IN-NX'!$Q$3,'IN-NX'!$D$7=D3703,OR(LEFT(L3703,2)="15",AND(LEFT(M3703,2)&lt;&gt;"15",LEFT(M3703,2)&lt;&gt;"33"))),"x","")</f>
        <v/>
      </c>
      <c r="V3703" s="525" t="str">
        <f>IF(AND(OR(LEFT(TH!L3703,2)="15",LEFT(TH!M3703,2)="15"),'152-CT'!$J$8=TH!F3703),"x","")</f>
        <v/>
      </c>
      <c r="W3703" s="525" t="str">
        <f>IF(AND(OR(LEFT(TH!L3703,2)="15",LEFT(TH!M3703,2)="15"),TK!$E$7=TH!F3703),"x","")</f>
        <v/>
      </c>
      <c r="X3703" s="525" t="str">
        <f>IF(AND('341-CT'!$E$9=H3703,OR(LEFT(L3703,3)=$X$7,LEFT(M3703,3)=$X$7)),"x","")</f>
        <v/>
      </c>
      <c r="Y3703" s="525" t="str">
        <f>IF(OR(TH!L3703=TH!$Y$7,M3703=TH!$Y$7),"x","")</f>
        <v/>
      </c>
      <c r="Z3703" s="525" t="str">
        <f>IF(AND(B3703&lt;=NKC!$N$8,B3703&gt;=NKC!$M$8),"x","")</f>
        <v/>
      </c>
      <c r="AA3703" s="535"/>
      <c r="AB3703" s="536"/>
      <c r="AC3703" s="536" t="str">
        <f>VLOOKUP(F3703,NXT!$B$12:$B$686,1,0)</f>
        <v>Thùng 206x106x13</v>
      </c>
      <c r="AD3703" s="536"/>
    </row>
    <row r="3704" spans="1:30" s="503" customFormat="1" ht="15.75" customHeight="1">
      <c r="A3704" s="517" t="str">
        <f>IF(B3704&lt;&gt;"",IF(AND(B3704&gt;=_TM1,B3704&lt;=_TM2,OR(TH!L3704="1111",TH!M3704="1111")),TH!D3704,""),"")</f>
        <v/>
      </c>
      <c r="B3704" s="531">
        <f t="shared" si="408"/>
        <v>8</v>
      </c>
      <c r="C3704" s="315">
        <f t="shared" si="409"/>
        <v>42978</v>
      </c>
      <c r="D3704" s="544" t="s">
        <v>1181</v>
      </c>
      <c r="E3704" s="315">
        <v>42978</v>
      </c>
      <c r="F3704" s="250" t="s">
        <v>1474</v>
      </c>
      <c r="G3704" s="314" t="s">
        <v>1446</v>
      </c>
      <c r="H3704" s="473" t="s">
        <v>284</v>
      </c>
      <c r="I3704" s="307">
        <v>5</v>
      </c>
      <c r="J3704" s="307">
        <v>57616</v>
      </c>
      <c r="K3704" s="532">
        <f t="shared" si="413"/>
        <v>288080</v>
      </c>
      <c r="L3704" s="534" t="s">
        <v>223</v>
      </c>
      <c r="M3704" s="534" t="s">
        <v>162</v>
      </c>
      <c r="N3704" s="525" t="str">
        <f>IF(AND('331-CT'!$E$7=TH!H3704,OR(L3704="331",M3704="331")),"331",IF(AND(OR(L3704="131",M3704="131"),H3704='131-CT'!$E$7),"131",""))</f>
        <v/>
      </c>
      <c r="O3704" s="525" t="str">
        <f>IF(AND($B3704&gt;='111'!$N$11,$B3704&lt;='111'!$O$11,OR($L3704=$O$7,$M3704=$O$7)),"x","")</f>
        <v/>
      </c>
      <c r="P3704" s="525" t="str">
        <f>IF(AND($L3704=$O$7,$B3704&lt;'111'!$N$11),"x","")</f>
        <v/>
      </c>
      <c r="Q3704" s="525" t="str">
        <f>IF(AND($M3704=$O$7,$B3704&lt;'111'!$N$11),"x","")</f>
        <v/>
      </c>
      <c r="R3704" s="525" t="str">
        <f>IF(ISERROR(FIND('112'!$M$9,G3704,1)),"",IF((AND(FIND('112'!$M$9,G3704,1)&gt;=1,$B3704&gt;='112'!$N$8,$B3704&lt;='112'!$O$8,OR($L3704='112'!$I$6,$M3704='112'!$I$6))),"x",""))</f>
        <v/>
      </c>
      <c r="S3704" s="525" t="str">
        <f>IF(ISERROR(FIND('112'!$M$9,G3704,1)),"",IF((AND(LEFT(G3704,2)=LEFT('112'!$M$9,2),B3704&lt;'112'!$N$8,$L3704='112'!$I$6)),"x",""))</f>
        <v/>
      </c>
      <c r="T3704" s="525" t="str">
        <f>IF(ISERROR(FIND('112'!$M$9,G3704,1)),"",IF((AND(RIGHT(G3704,2)=RIGHT('112'!$M$9,2),B3704&lt;'112'!$N$8,$M3704='112'!$I$6)),"x",""))</f>
        <v/>
      </c>
      <c r="U3704" s="525" t="str">
        <f>IF(AND(B3704&gt;='IN-NX'!$P$3,B3704&lt;='IN-NX'!$Q$3,'IN-NX'!$D$7=D3704,OR(LEFT(L3704,2)="15",AND(LEFT(M3704,2)&lt;&gt;"15",LEFT(M3704,2)&lt;&gt;"33"))),"x","")</f>
        <v/>
      </c>
      <c r="V3704" s="525" t="str">
        <f>IF(AND(OR(LEFT(TH!L3704,2)="15",LEFT(TH!M3704,2)="15"),'152-CT'!$J$8=TH!F3704),"x","")</f>
        <v/>
      </c>
      <c r="W3704" s="525" t="str">
        <f>IF(AND(OR(LEFT(TH!L3704,2)="15",LEFT(TH!M3704,2)="15"),TK!$E$7=TH!F3704),"x","")</f>
        <v/>
      </c>
      <c r="X3704" s="525" t="str">
        <f>IF(AND('341-CT'!$E$9=H3704,OR(LEFT(L3704,3)=$X$7,LEFT(M3704,3)=$X$7)),"x","")</f>
        <v/>
      </c>
      <c r="Y3704" s="525" t="str">
        <f>IF(OR(TH!L3704=TH!$Y$7,M3704=TH!$Y$7),"x","")</f>
        <v/>
      </c>
      <c r="Z3704" s="525" t="str">
        <f>IF(AND(B3704&lt;=NKC!$N$8,B3704&gt;=NKC!$M$8),"x","")</f>
        <v/>
      </c>
      <c r="AA3704" s="535"/>
      <c r="AB3704" s="536"/>
      <c r="AC3704" s="536" t="str">
        <f>VLOOKUP(F3704,NXT!$B$12:$B$686,1,0)</f>
        <v>Thùng 125x45x78</v>
      </c>
    </row>
    <row r="3705" spans="1:30" s="503" customFormat="1" ht="15.75" customHeight="1">
      <c r="A3705" s="517" t="str">
        <f>IF(B3705&lt;&gt;"",IF(AND(B3705&gt;=_TM1,B3705&lt;=_TM2,OR(TH!L3705="1111",TH!M3705="1111")),TH!D3705,""),"")</f>
        <v/>
      </c>
      <c r="B3705" s="531">
        <f t="shared" si="408"/>
        <v>8</v>
      </c>
      <c r="C3705" s="315">
        <f t="shared" si="409"/>
        <v>42978</v>
      </c>
      <c r="D3705" s="544" t="s">
        <v>1181</v>
      </c>
      <c r="E3705" s="315">
        <v>42978</v>
      </c>
      <c r="F3705" s="250" t="s">
        <v>1475</v>
      </c>
      <c r="G3705" s="314" t="s">
        <v>1446</v>
      </c>
      <c r="H3705" s="473" t="s">
        <v>284</v>
      </c>
      <c r="I3705" s="307">
        <v>4</v>
      </c>
      <c r="J3705" s="307">
        <v>89933</v>
      </c>
      <c r="K3705" s="532">
        <f t="shared" si="413"/>
        <v>359732</v>
      </c>
      <c r="L3705" s="534" t="s">
        <v>223</v>
      </c>
      <c r="M3705" s="534" t="s">
        <v>162</v>
      </c>
      <c r="N3705" s="525" t="str">
        <f>IF(AND('331-CT'!$E$7=TH!H3705,OR(L3705="331",M3705="331")),"331",IF(AND(OR(L3705="131",M3705="131"),H3705='131-CT'!$E$7),"131",""))</f>
        <v/>
      </c>
      <c r="O3705" s="525" t="str">
        <f>IF(AND($B3705&gt;='111'!$N$11,$B3705&lt;='111'!$O$11,OR($L3705=$O$7,$M3705=$O$7)),"x","")</f>
        <v/>
      </c>
      <c r="P3705" s="525" t="str">
        <f>IF(AND($L3705=$O$7,$B3705&lt;'111'!$N$11),"x","")</f>
        <v/>
      </c>
      <c r="Q3705" s="525" t="str">
        <f>IF(AND($M3705=$O$7,$B3705&lt;'111'!$N$11),"x","")</f>
        <v/>
      </c>
      <c r="R3705" s="525" t="str">
        <f>IF(ISERROR(FIND('112'!$M$9,G3705,1)),"",IF((AND(FIND('112'!$M$9,G3705,1)&gt;=1,$B3705&gt;='112'!$N$8,$B3705&lt;='112'!$O$8,OR($L3705='112'!$I$6,$M3705='112'!$I$6))),"x",""))</f>
        <v/>
      </c>
      <c r="S3705" s="525" t="str">
        <f>IF(ISERROR(FIND('112'!$M$9,G3705,1)),"",IF((AND(LEFT(G3705,2)=LEFT('112'!$M$9,2),B3705&lt;'112'!$N$8,$L3705='112'!$I$6)),"x",""))</f>
        <v/>
      </c>
      <c r="T3705" s="525" t="str">
        <f>IF(ISERROR(FIND('112'!$M$9,G3705,1)),"",IF((AND(RIGHT(G3705,2)=RIGHT('112'!$M$9,2),B3705&lt;'112'!$N$8,$M3705='112'!$I$6)),"x",""))</f>
        <v/>
      </c>
      <c r="U3705" s="525" t="str">
        <f>IF(AND(B3705&gt;='IN-NX'!$P$3,B3705&lt;='IN-NX'!$Q$3,'IN-NX'!$D$7=D3705,OR(LEFT(L3705,2)="15",AND(LEFT(M3705,2)&lt;&gt;"15",LEFT(M3705,2)&lt;&gt;"33"))),"x","")</f>
        <v/>
      </c>
      <c r="V3705" s="525" t="str">
        <f>IF(AND(OR(LEFT(TH!L3705,2)="15",LEFT(TH!M3705,2)="15"),'152-CT'!$J$8=TH!F3705),"x","")</f>
        <v/>
      </c>
      <c r="W3705" s="525" t="str">
        <f>IF(AND(OR(LEFT(TH!L3705,2)="15",LEFT(TH!M3705,2)="15"),TK!$E$7=TH!F3705),"x","")</f>
        <v/>
      </c>
      <c r="X3705" s="525" t="str">
        <f>IF(AND('341-CT'!$E$9=H3705,OR(LEFT(L3705,3)=$X$7,LEFT(M3705,3)=$X$7)),"x","")</f>
        <v/>
      </c>
      <c r="Y3705" s="525" t="str">
        <f>IF(OR(TH!L3705=TH!$Y$7,M3705=TH!$Y$7),"x","")</f>
        <v/>
      </c>
      <c r="Z3705" s="525" t="str">
        <f>IF(AND(B3705&lt;=NKC!$N$8,B3705&gt;=NKC!$M$8),"x","")</f>
        <v/>
      </c>
      <c r="AA3705" s="535"/>
      <c r="AB3705" s="536"/>
      <c r="AC3705" s="536" t="str">
        <f>VLOOKUP(F3705,NXT!$B$12:$B$686,1,0)</f>
        <v>Thùng 206x96x13</v>
      </c>
      <c r="AD3705" s="536"/>
    </row>
    <row r="3706" spans="1:30" s="503" customFormat="1" ht="15.75" customHeight="1">
      <c r="A3706" s="517" t="str">
        <f>IF(B3706&lt;&gt;"",IF(AND(B3706&gt;=_TM1,B3706&lt;=_TM2,OR(TH!L3706="1111",TH!M3706="1111")),TH!D3706,""),"")</f>
        <v/>
      </c>
      <c r="B3706" s="531">
        <f t="shared" si="408"/>
        <v>8</v>
      </c>
      <c r="C3706" s="315">
        <f t="shared" si="409"/>
        <v>42978</v>
      </c>
      <c r="D3706" s="544" t="s">
        <v>1181</v>
      </c>
      <c r="E3706" s="315">
        <v>42978</v>
      </c>
      <c r="F3706" s="250" t="s">
        <v>646</v>
      </c>
      <c r="G3706" s="314" t="s">
        <v>1446</v>
      </c>
      <c r="H3706" s="473" t="s">
        <v>284</v>
      </c>
      <c r="I3706" s="307">
        <v>6</v>
      </c>
      <c r="J3706" s="307">
        <v>48993</v>
      </c>
      <c r="K3706" s="532">
        <f t="shared" si="413"/>
        <v>293958</v>
      </c>
      <c r="L3706" s="534" t="s">
        <v>223</v>
      </c>
      <c r="M3706" s="534" t="s">
        <v>162</v>
      </c>
      <c r="N3706" s="525" t="str">
        <f>IF(AND('331-CT'!$E$7=TH!H3706,OR(L3706="331",M3706="331")),"331",IF(AND(OR(L3706="131",M3706="131"),H3706='131-CT'!$E$7),"131",""))</f>
        <v/>
      </c>
      <c r="O3706" s="525" t="str">
        <f>IF(AND($B3706&gt;='111'!$N$11,$B3706&lt;='111'!$O$11,OR($L3706=$O$7,$M3706=$O$7)),"x","")</f>
        <v/>
      </c>
      <c r="P3706" s="525" t="str">
        <f>IF(AND($L3706=$O$7,$B3706&lt;'111'!$N$11),"x","")</f>
        <v/>
      </c>
      <c r="Q3706" s="525" t="str">
        <f>IF(AND($M3706=$O$7,$B3706&lt;'111'!$N$11),"x","")</f>
        <v/>
      </c>
      <c r="R3706" s="525" t="str">
        <f>IF(ISERROR(FIND('112'!$M$9,G3706,1)),"",IF((AND(FIND('112'!$M$9,G3706,1)&gt;=1,$B3706&gt;='112'!$N$8,$B3706&lt;='112'!$O$8,OR($L3706='112'!$I$6,$M3706='112'!$I$6))),"x",""))</f>
        <v/>
      </c>
      <c r="S3706" s="525" t="str">
        <f>IF(ISERROR(FIND('112'!$M$9,G3706,1)),"",IF((AND(LEFT(G3706,2)=LEFT('112'!$M$9,2),B3706&lt;'112'!$N$8,$L3706='112'!$I$6)),"x",""))</f>
        <v/>
      </c>
      <c r="T3706" s="525" t="str">
        <f>IF(ISERROR(FIND('112'!$M$9,G3706,1)),"",IF((AND(RIGHT(G3706,2)=RIGHT('112'!$M$9,2),B3706&lt;'112'!$N$8,$M3706='112'!$I$6)),"x",""))</f>
        <v/>
      </c>
      <c r="U3706" s="525" t="str">
        <f>IF(AND(B3706&gt;='IN-NX'!$P$3,B3706&lt;='IN-NX'!$Q$3,'IN-NX'!$D$7=D3706,OR(LEFT(L3706,2)="15",AND(LEFT(M3706,2)&lt;&gt;"15",LEFT(M3706,2)&lt;&gt;"33"))),"x","")</f>
        <v/>
      </c>
      <c r="V3706" s="525" t="str">
        <f>IF(AND(OR(LEFT(TH!L3706,2)="15",LEFT(TH!M3706,2)="15"),'152-CT'!$J$8=TH!F3706),"x","")</f>
        <v/>
      </c>
      <c r="W3706" s="525" t="str">
        <f>IF(AND(OR(LEFT(TH!L3706,2)="15",LEFT(TH!M3706,2)="15"),TK!$E$7=TH!F3706),"x","")</f>
        <v/>
      </c>
      <c r="X3706" s="525" t="str">
        <f>IF(AND('341-CT'!$E$9=H3706,OR(LEFT(L3706,3)=$X$7,LEFT(M3706,3)=$X$7)),"x","")</f>
        <v/>
      </c>
      <c r="Y3706" s="525" t="str">
        <f>IF(OR(TH!L3706=TH!$Y$7,M3706=TH!$Y$7),"x","")</f>
        <v/>
      </c>
      <c r="Z3706" s="525" t="str">
        <f>IF(AND(B3706&lt;=NKC!$N$8,B3706&gt;=NKC!$M$8),"x","")</f>
        <v/>
      </c>
      <c r="AA3706" s="535"/>
      <c r="AB3706" s="536"/>
      <c r="AC3706" s="536" t="str">
        <f>VLOOKUP(F3706,NXT!$B$12:$B$686,1,0)</f>
        <v>Thùng 55x55x38</v>
      </c>
      <c r="AD3706" s="536"/>
    </row>
    <row r="3707" spans="1:30" s="503" customFormat="1" ht="15.75" customHeight="1">
      <c r="A3707" s="517" t="str">
        <f>IF(B3707&lt;&gt;"",IF(AND(B3707&gt;=_TM1,B3707&lt;=_TM2,OR(TH!L3707="1111",TH!M3707="1111")),TH!D3707,""),"")</f>
        <v/>
      </c>
      <c r="B3707" s="531">
        <f t="shared" si="408"/>
        <v>8</v>
      </c>
      <c r="C3707" s="315">
        <f t="shared" si="409"/>
        <v>42978</v>
      </c>
      <c r="D3707" s="544" t="s">
        <v>1181</v>
      </c>
      <c r="E3707" s="315">
        <v>42978</v>
      </c>
      <c r="F3707" s="250" t="s">
        <v>1476</v>
      </c>
      <c r="G3707" s="314" t="s">
        <v>1446</v>
      </c>
      <c r="H3707" s="473" t="s">
        <v>284</v>
      </c>
      <c r="I3707" s="307">
        <v>31</v>
      </c>
      <c r="J3707" s="307">
        <v>26738</v>
      </c>
      <c r="K3707" s="532">
        <f t="shared" si="413"/>
        <v>828878</v>
      </c>
      <c r="L3707" s="534" t="s">
        <v>223</v>
      </c>
      <c r="M3707" s="534" t="s">
        <v>162</v>
      </c>
      <c r="N3707" s="525" t="str">
        <f>IF(AND('331-CT'!$E$7=TH!H3707,OR(L3707="331",M3707="331")),"331",IF(AND(OR(L3707="131",M3707="131"),H3707='131-CT'!$E$7),"131",""))</f>
        <v/>
      </c>
      <c r="O3707" s="525" t="str">
        <f>IF(AND($B3707&gt;='111'!$N$11,$B3707&lt;='111'!$O$11,OR($L3707=$O$7,$M3707=$O$7)),"x","")</f>
        <v/>
      </c>
      <c r="P3707" s="525" t="str">
        <f>IF(AND($L3707=$O$7,$B3707&lt;'111'!$N$11),"x","")</f>
        <v/>
      </c>
      <c r="Q3707" s="525" t="str">
        <f>IF(AND($M3707=$O$7,$B3707&lt;'111'!$N$11),"x","")</f>
        <v/>
      </c>
      <c r="R3707" s="525" t="str">
        <f>IF(ISERROR(FIND('112'!$M$9,G3707,1)),"",IF((AND(FIND('112'!$M$9,G3707,1)&gt;=1,$B3707&gt;='112'!$N$8,$B3707&lt;='112'!$O$8,OR($L3707='112'!$I$6,$M3707='112'!$I$6))),"x",""))</f>
        <v/>
      </c>
      <c r="S3707" s="525" t="str">
        <f>IF(ISERROR(FIND('112'!$M$9,G3707,1)),"",IF((AND(LEFT(G3707,2)=LEFT('112'!$M$9,2),B3707&lt;'112'!$N$8,$L3707='112'!$I$6)),"x",""))</f>
        <v/>
      </c>
      <c r="T3707" s="525" t="str">
        <f>IF(ISERROR(FIND('112'!$M$9,G3707,1)),"",IF((AND(RIGHT(G3707,2)=RIGHT('112'!$M$9,2),B3707&lt;'112'!$N$8,$M3707='112'!$I$6)),"x",""))</f>
        <v/>
      </c>
      <c r="U3707" s="525" t="str">
        <f>IF(AND(B3707&gt;='IN-NX'!$P$3,B3707&lt;='IN-NX'!$Q$3,'IN-NX'!$D$7=D3707,OR(LEFT(L3707,2)="15",AND(LEFT(M3707,2)&lt;&gt;"15",LEFT(M3707,2)&lt;&gt;"33"))),"x","")</f>
        <v/>
      </c>
      <c r="V3707" s="525" t="str">
        <f>IF(AND(OR(LEFT(TH!L3707,2)="15",LEFT(TH!M3707,2)="15"),'152-CT'!$J$8=TH!F3707),"x","")</f>
        <v/>
      </c>
      <c r="W3707" s="525" t="str">
        <f>IF(AND(OR(LEFT(TH!L3707,2)="15",LEFT(TH!M3707,2)="15"),TK!$E$7=TH!F3707),"x","")</f>
        <v/>
      </c>
      <c r="X3707" s="525" t="str">
        <f>IF(AND('341-CT'!$E$9=H3707,OR(LEFT(L3707,3)=$X$7,LEFT(M3707,3)=$X$7)),"x","")</f>
        <v/>
      </c>
      <c r="Y3707" s="525" t="str">
        <f>IF(OR(TH!L3707=TH!$Y$7,M3707=TH!$Y$7),"x","")</f>
        <v/>
      </c>
      <c r="Z3707" s="525" t="str">
        <f>IF(AND(B3707&lt;=NKC!$N$8,B3707&gt;=NKC!$M$8),"x","")</f>
        <v/>
      </c>
      <c r="AA3707" s="535"/>
      <c r="AB3707" s="536"/>
      <c r="AC3707" s="536" t="str">
        <f>VLOOKUP(F3707,NXT!$B$12:$B$686,1,0)</f>
        <v>Thùng 51.5x51.5x40</v>
      </c>
    </row>
    <row r="3708" spans="1:30" s="503" customFormat="1" ht="15.75" customHeight="1">
      <c r="A3708" s="517" t="str">
        <f>IF(B3708&lt;&gt;"",IF(AND(B3708&gt;=_TM1,B3708&lt;=_TM2,OR(TH!L3708="1111",TH!M3708="1111")),TH!D3708,""),"")</f>
        <v/>
      </c>
      <c r="B3708" s="531">
        <f t="shared" si="408"/>
        <v>8</v>
      </c>
      <c r="C3708" s="315">
        <f t="shared" si="409"/>
        <v>42978</v>
      </c>
      <c r="D3708" s="544" t="s">
        <v>1181</v>
      </c>
      <c r="E3708" s="315">
        <v>42978</v>
      </c>
      <c r="F3708" s="250" t="s">
        <v>1477</v>
      </c>
      <c r="G3708" s="314" t="s">
        <v>1446</v>
      </c>
      <c r="H3708" s="473" t="s">
        <v>284</v>
      </c>
      <c r="I3708" s="307">
        <v>31</v>
      </c>
      <c r="J3708" s="307">
        <v>63680</v>
      </c>
      <c r="K3708" s="532">
        <f t="shared" si="413"/>
        <v>1974080</v>
      </c>
      <c r="L3708" s="534" t="s">
        <v>223</v>
      </c>
      <c r="M3708" s="534" t="s">
        <v>162</v>
      </c>
      <c r="N3708" s="525" t="str">
        <f>IF(AND('331-CT'!$E$7=TH!H3708,OR(L3708="331",M3708="331")),"331",IF(AND(OR(L3708="131",M3708="131"),H3708='131-CT'!$E$7),"131",""))</f>
        <v/>
      </c>
      <c r="O3708" s="525" t="str">
        <f>IF(AND($B3708&gt;='111'!$N$11,$B3708&lt;='111'!$O$11,OR($L3708=$O$7,$M3708=$O$7)),"x","")</f>
        <v/>
      </c>
      <c r="P3708" s="525" t="str">
        <f>IF(AND($L3708=$O$7,$B3708&lt;'111'!$N$11),"x","")</f>
        <v/>
      </c>
      <c r="Q3708" s="525" t="str">
        <f>IF(AND($M3708=$O$7,$B3708&lt;'111'!$N$11),"x","")</f>
        <v/>
      </c>
      <c r="R3708" s="525" t="str">
        <f>IF(ISERROR(FIND('112'!$M$9,G3708,1)),"",IF((AND(FIND('112'!$M$9,G3708,1)&gt;=1,$B3708&gt;='112'!$N$8,$B3708&lt;='112'!$O$8,OR($L3708='112'!$I$6,$M3708='112'!$I$6))),"x",""))</f>
        <v/>
      </c>
      <c r="S3708" s="525" t="str">
        <f>IF(ISERROR(FIND('112'!$M$9,G3708,1)),"",IF((AND(LEFT(G3708,2)=LEFT('112'!$M$9,2),B3708&lt;'112'!$N$8,$L3708='112'!$I$6)),"x",""))</f>
        <v/>
      </c>
      <c r="T3708" s="525" t="str">
        <f>IF(ISERROR(FIND('112'!$M$9,G3708,1)),"",IF((AND(RIGHT(G3708,2)=RIGHT('112'!$M$9,2),B3708&lt;'112'!$N$8,$M3708='112'!$I$6)),"x",""))</f>
        <v/>
      </c>
      <c r="U3708" s="525" t="str">
        <f>IF(AND(B3708&gt;='IN-NX'!$P$3,B3708&lt;='IN-NX'!$Q$3,'IN-NX'!$D$7=D3708,OR(LEFT(L3708,2)="15",AND(LEFT(M3708,2)&lt;&gt;"15",LEFT(M3708,2)&lt;&gt;"33"))),"x","")</f>
        <v/>
      </c>
      <c r="V3708" s="525" t="str">
        <f>IF(AND(OR(LEFT(TH!L3708,2)="15",LEFT(TH!M3708,2)="15"),'152-CT'!$J$8=TH!F3708),"x","")</f>
        <v/>
      </c>
      <c r="W3708" s="525" t="str">
        <f>IF(AND(OR(LEFT(TH!L3708,2)="15",LEFT(TH!M3708,2)="15"),TK!$E$7=TH!F3708),"x","")</f>
        <v/>
      </c>
      <c r="X3708" s="525" t="str">
        <f>IF(AND('341-CT'!$E$9=H3708,OR(LEFT(L3708,3)=$X$7,LEFT(M3708,3)=$X$7)),"x","")</f>
        <v/>
      </c>
      <c r="Y3708" s="525" t="str">
        <f>IF(OR(TH!L3708=TH!$Y$7,M3708=TH!$Y$7),"x","")</f>
        <v/>
      </c>
      <c r="Z3708" s="525" t="str">
        <f>IF(AND(B3708&lt;=NKC!$N$8,B3708&gt;=NKC!$M$8),"x","")</f>
        <v/>
      </c>
      <c r="AA3708" s="535"/>
      <c r="AB3708" s="536"/>
      <c r="AC3708" s="536" t="str">
        <f>VLOOKUP(F3708,NXT!$B$12:$B$686,1,0)</f>
        <v>Thùng 89.5x89.5x40</v>
      </c>
      <c r="AD3708" s="536"/>
    </row>
    <row r="3709" spans="1:30" s="503" customFormat="1" ht="15.75" customHeight="1">
      <c r="A3709" s="517" t="str">
        <f>IF(B3709&lt;&gt;"",IF(AND(B3709&gt;=_TM1,B3709&lt;=_TM2,OR(TH!L3709="1111",TH!M3709="1111")),TH!D3709,""),"")</f>
        <v/>
      </c>
      <c r="B3709" s="531">
        <f t="shared" si="408"/>
        <v>8</v>
      </c>
      <c r="C3709" s="315">
        <f t="shared" si="409"/>
        <v>42978</v>
      </c>
      <c r="D3709" s="544" t="s">
        <v>1181</v>
      </c>
      <c r="E3709" s="315">
        <v>42978</v>
      </c>
      <c r="F3709" s="250" t="s">
        <v>1478</v>
      </c>
      <c r="G3709" s="314" t="s">
        <v>1446</v>
      </c>
      <c r="H3709" s="473" t="s">
        <v>284</v>
      </c>
      <c r="I3709" s="307">
        <v>62</v>
      </c>
      <c r="J3709" s="307">
        <v>35593</v>
      </c>
      <c r="K3709" s="532">
        <f t="shared" si="413"/>
        <v>2206766</v>
      </c>
      <c r="L3709" s="534" t="s">
        <v>223</v>
      </c>
      <c r="M3709" s="534" t="s">
        <v>162</v>
      </c>
      <c r="N3709" s="525" t="str">
        <f>IF(AND('331-CT'!$E$7=TH!H3709,OR(L3709="331",M3709="331")),"331",IF(AND(OR(L3709="131",M3709="131"),H3709='131-CT'!$E$7),"131",""))</f>
        <v/>
      </c>
      <c r="O3709" s="525" t="str">
        <f>IF(AND($B3709&gt;='111'!$N$11,$B3709&lt;='111'!$O$11,OR($L3709=$O$7,$M3709=$O$7)),"x","")</f>
        <v/>
      </c>
      <c r="P3709" s="525" t="str">
        <f>IF(AND($L3709=$O$7,$B3709&lt;'111'!$N$11),"x","")</f>
        <v/>
      </c>
      <c r="Q3709" s="525" t="str">
        <f>IF(AND($M3709=$O$7,$B3709&lt;'111'!$N$11),"x","")</f>
        <v/>
      </c>
      <c r="R3709" s="525" t="str">
        <f>IF(ISERROR(FIND('112'!$M$9,G3709,1)),"",IF((AND(FIND('112'!$M$9,G3709,1)&gt;=1,$B3709&gt;='112'!$N$8,$B3709&lt;='112'!$O$8,OR($L3709='112'!$I$6,$M3709='112'!$I$6))),"x",""))</f>
        <v/>
      </c>
      <c r="S3709" s="525" t="str">
        <f>IF(ISERROR(FIND('112'!$M$9,G3709,1)),"",IF((AND(LEFT(G3709,2)=LEFT('112'!$M$9,2),B3709&lt;'112'!$N$8,$L3709='112'!$I$6)),"x",""))</f>
        <v/>
      </c>
      <c r="T3709" s="525" t="str">
        <f>IF(ISERROR(FIND('112'!$M$9,G3709,1)),"",IF((AND(RIGHT(G3709,2)=RIGHT('112'!$M$9,2),B3709&lt;'112'!$N$8,$M3709='112'!$I$6)),"x",""))</f>
        <v/>
      </c>
      <c r="U3709" s="525" t="str">
        <f>IF(AND(B3709&gt;='IN-NX'!$P$3,B3709&lt;='IN-NX'!$Q$3,'IN-NX'!$D$7=D3709,OR(LEFT(L3709,2)="15",AND(LEFT(M3709,2)&lt;&gt;"15",LEFT(M3709,2)&lt;&gt;"33"))),"x","")</f>
        <v/>
      </c>
      <c r="V3709" s="525" t="str">
        <f>IF(AND(OR(LEFT(TH!L3709,2)="15",LEFT(TH!M3709,2)="15"),'152-CT'!$J$8=TH!F3709),"x","")</f>
        <v/>
      </c>
      <c r="W3709" s="525" t="str">
        <f>IF(AND(OR(LEFT(TH!L3709,2)="15",LEFT(TH!M3709,2)="15"),TK!$E$7=TH!F3709),"x","")</f>
        <v/>
      </c>
      <c r="X3709" s="525" t="str">
        <f>IF(AND('341-CT'!$E$9=H3709,OR(LEFT(L3709,3)=$X$7,LEFT(M3709,3)=$X$7)),"x","")</f>
        <v/>
      </c>
      <c r="Y3709" s="525" t="str">
        <f>IF(OR(TH!L3709=TH!$Y$7,M3709=TH!$Y$7),"x","")</f>
        <v/>
      </c>
      <c r="Z3709" s="525" t="str">
        <f>IF(AND(B3709&lt;=NKC!$N$8,B3709&gt;=NKC!$M$8),"x","")</f>
        <v/>
      </c>
      <c r="AA3709" s="535"/>
      <c r="AB3709" s="536"/>
      <c r="AC3709" s="536" t="str">
        <f>VLOOKUP(F3709,NXT!$B$12:$B$686,1,0)</f>
        <v>Thùng 44.5x44.5x49</v>
      </c>
      <c r="AD3709" s="536"/>
    </row>
    <row r="3710" spans="1:30" s="503" customFormat="1" ht="15.75" customHeight="1">
      <c r="A3710" s="517" t="str">
        <f>IF(B3710&lt;&gt;"",IF(AND(B3710&gt;=_TM1,B3710&lt;=_TM2,OR(TH!L3710="1111",TH!M3710="1111")),TH!D3710,""),"")</f>
        <v/>
      </c>
      <c r="B3710" s="531">
        <f t="shared" si="408"/>
        <v>8</v>
      </c>
      <c r="C3710" s="315">
        <f t="shared" si="409"/>
        <v>42978</v>
      </c>
      <c r="D3710" s="544" t="s">
        <v>1181</v>
      </c>
      <c r="E3710" s="315">
        <v>42978</v>
      </c>
      <c r="F3710" s="250" t="s">
        <v>792</v>
      </c>
      <c r="G3710" s="314" t="s">
        <v>1446</v>
      </c>
      <c r="H3710" s="473" t="s">
        <v>284</v>
      </c>
      <c r="I3710" s="307">
        <v>12</v>
      </c>
      <c r="J3710" s="307">
        <v>30176</v>
      </c>
      <c r="K3710" s="532">
        <f t="shared" si="413"/>
        <v>362112</v>
      </c>
      <c r="L3710" s="534" t="s">
        <v>223</v>
      </c>
      <c r="M3710" s="534" t="s">
        <v>162</v>
      </c>
      <c r="N3710" s="525" t="str">
        <f>IF(AND('331-CT'!$E$7=TH!H3710,OR(L3710="331",M3710="331")),"331",IF(AND(OR(L3710="131",M3710="131"),H3710='131-CT'!$E$7),"131",""))</f>
        <v/>
      </c>
      <c r="O3710" s="525" t="str">
        <f>IF(AND($B3710&gt;='111'!$N$11,$B3710&lt;='111'!$O$11,OR($L3710=$O$7,$M3710=$O$7)),"x","")</f>
        <v/>
      </c>
      <c r="P3710" s="525" t="str">
        <f>IF(AND($L3710=$O$7,$B3710&lt;'111'!$N$11),"x","")</f>
        <v/>
      </c>
      <c r="Q3710" s="525" t="str">
        <f>IF(AND($M3710=$O$7,$B3710&lt;'111'!$N$11),"x","")</f>
        <v/>
      </c>
      <c r="R3710" s="525" t="str">
        <f>IF(ISERROR(FIND('112'!$M$9,G3710,1)),"",IF((AND(FIND('112'!$M$9,G3710,1)&gt;=1,$B3710&gt;='112'!$N$8,$B3710&lt;='112'!$O$8,OR($L3710='112'!$I$6,$M3710='112'!$I$6))),"x",""))</f>
        <v/>
      </c>
      <c r="S3710" s="525" t="str">
        <f>IF(ISERROR(FIND('112'!$M$9,G3710,1)),"",IF((AND(LEFT(G3710,2)=LEFT('112'!$M$9,2),B3710&lt;'112'!$N$8,$L3710='112'!$I$6)),"x",""))</f>
        <v/>
      </c>
      <c r="T3710" s="525" t="str">
        <f>IF(ISERROR(FIND('112'!$M$9,G3710,1)),"",IF((AND(RIGHT(G3710,2)=RIGHT('112'!$M$9,2),B3710&lt;'112'!$N$8,$M3710='112'!$I$6)),"x",""))</f>
        <v/>
      </c>
      <c r="U3710" s="525" t="str">
        <f>IF(AND(B3710&gt;='IN-NX'!$P$3,B3710&lt;='IN-NX'!$Q$3,'IN-NX'!$D$7=D3710,OR(LEFT(L3710,2)="15",AND(LEFT(M3710,2)&lt;&gt;"15",LEFT(M3710,2)&lt;&gt;"33"))),"x","")</f>
        <v/>
      </c>
      <c r="V3710" s="525" t="str">
        <f>IF(AND(OR(LEFT(TH!L3710,2)="15",LEFT(TH!M3710,2)="15"),'152-CT'!$J$8=TH!F3710),"x","")</f>
        <v/>
      </c>
      <c r="W3710" s="525" t="str">
        <f>IF(AND(OR(LEFT(TH!L3710,2)="15",LEFT(TH!M3710,2)="15"),TK!$E$7=TH!F3710),"x","")</f>
        <v/>
      </c>
      <c r="X3710" s="525" t="str">
        <f>IF(AND('341-CT'!$E$9=H3710,OR(LEFT(L3710,3)=$X$7,LEFT(M3710,3)=$X$7)),"x","")</f>
        <v/>
      </c>
      <c r="Y3710" s="525" t="str">
        <f>IF(OR(TH!L3710=TH!$Y$7,M3710=TH!$Y$7),"x","")</f>
        <v/>
      </c>
      <c r="Z3710" s="525" t="str">
        <f>IF(AND(B3710&lt;=NKC!$N$8,B3710&gt;=NKC!$M$8),"x","")</f>
        <v/>
      </c>
      <c r="AA3710" s="535"/>
      <c r="AB3710" s="536"/>
      <c r="AC3710" s="536" t="str">
        <f>VLOOKUP(F3710,NXT!$B$12:$B$686,1,0)</f>
        <v>Thùng 47x47x69</v>
      </c>
    </row>
    <row r="3711" spans="1:30" s="503" customFormat="1" ht="15.75" customHeight="1">
      <c r="A3711" s="517" t="str">
        <f>IF(B3711&lt;&gt;"",IF(AND(B3711&gt;=_TM1,B3711&lt;=_TM2,OR(TH!L3711="1111",TH!M3711="1111")),TH!D3711,""),"")</f>
        <v/>
      </c>
      <c r="B3711" s="531">
        <f t="shared" ref="B3711:B3731" si="414">IF(C3711&lt;&gt;"",MONTH(C3711),"")</f>
        <v>8</v>
      </c>
      <c r="C3711" s="315">
        <f t="shared" ref="C3711:C3731" si="415">E3711</f>
        <v>42978</v>
      </c>
      <c r="D3711" s="544" t="s">
        <v>1181</v>
      </c>
      <c r="E3711" s="315">
        <v>42978</v>
      </c>
      <c r="F3711" s="250" t="s">
        <v>1479</v>
      </c>
      <c r="G3711" s="314" t="s">
        <v>1446</v>
      </c>
      <c r="H3711" s="473" t="s">
        <v>284</v>
      </c>
      <c r="I3711" s="307">
        <v>25</v>
      </c>
      <c r="J3711" s="307">
        <v>23728</v>
      </c>
      <c r="K3711" s="532">
        <f t="shared" si="413"/>
        <v>593200</v>
      </c>
      <c r="L3711" s="534" t="s">
        <v>223</v>
      </c>
      <c r="M3711" s="534" t="s">
        <v>162</v>
      </c>
      <c r="N3711" s="525" t="str">
        <f>IF(AND('331-CT'!$E$7=TH!H3711,OR(L3711="331",M3711="331")),"331",IF(AND(OR(L3711="131",M3711="131"),H3711='131-CT'!$E$7),"131",""))</f>
        <v/>
      </c>
      <c r="O3711" s="525" t="str">
        <f>IF(AND($B3711&gt;='111'!$N$11,$B3711&lt;='111'!$O$11,OR($L3711=$O$7,$M3711=$O$7)),"x","")</f>
        <v/>
      </c>
      <c r="P3711" s="525" t="str">
        <f>IF(AND($L3711=$O$7,$B3711&lt;'111'!$N$11),"x","")</f>
        <v/>
      </c>
      <c r="Q3711" s="525" t="str">
        <f>IF(AND($M3711=$O$7,$B3711&lt;'111'!$N$11),"x","")</f>
        <v/>
      </c>
      <c r="R3711" s="525" t="str">
        <f>IF(ISERROR(FIND('112'!$M$9,G3711,1)),"",IF((AND(FIND('112'!$M$9,G3711,1)&gt;=1,$B3711&gt;='112'!$N$8,$B3711&lt;='112'!$O$8,OR($L3711='112'!$I$6,$M3711='112'!$I$6))),"x",""))</f>
        <v/>
      </c>
      <c r="S3711" s="525" t="str">
        <f>IF(ISERROR(FIND('112'!$M$9,G3711,1)),"",IF((AND(LEFT(G3711,2)=LEFT('112'!$M$9,2),B3711&lt;'112'!$N$8,$L3711='112'!$I$6)),"x",""))</f>
        <v/>
      </c>
      <c r="T3711" s="525" t="str">
        <f>IF(ISERROR(FIND('112'!$M$9,G3711,1)),"",IF((AND(RIGHT(G3711,2)=RIGHT('112'!$M$9,2),B3711&lt;'112'!$N$8,$M3711='112'!$I$6)),"x",""))</f>
        <v/>
      </c>
      <c r="U3711" s="525" t="str">
        <f>IF(AND(B3711&gt;='IN-NX'!$P$3,B3711&lt;='IN-NX'!$Q$3,'IN-NX'!$D$7=D3711,OR(LEFT(L3711,2)="15",AND(LEFT(M3711,2)&lt;&gt;"15",LEFT(M3711,2)&lt;&gt;"33"))),"x","")</f>
        <v/>
      </c>
      <c r="V3711" s="525" t="str">
        <f>IF(AND(OR(LEFT(TH!L3711,2)="15",LEFT(TH!M3711,2)="15"),'152-CT'!$J$8=TH!F3711),"x","")</f>
        <v/>
      </c>
      <c r="W3711" s="525" t="str">
        <f>IF(AND(OR(LEFT(TH!L3711,2)="15",LEFT(TH!M3711,2)="15"),TK!$E$7=TH!F3711),"x","")</f>
        <v/>
      </c>
      <c r="X3711" s="525" t="str">
        <f>IF(AND('341-CT'!$E$9=H3711,OR(LEFT(L3711,3)=$X$7,LEFT(M3711,3)=$X$7)),"x","")</f>
        <v/>
      </c>
      <c r="Y3711" s="525" t="str">
        <f>IF(OR(TH!L3711=TH!$Y$7,M3711=TH!$Y$7),"x","")</f>
        <v/>
      </c>
      <c r="Z3711" s="525" t="str">
        <f>IF(AND(B3711&lt;=NKC!$N$8,B3711&gt;=NKC!$M$8),"x","")</f>
        <v/>
      </c>
      <c r="AA3711" s="535"/>
      <c r="AB3711" s="536"/>
      <c r="AC3711" s="536" t="str">
        <f>VLOOKUP(F3711,NXT!$B$12:$B$686,1,0)</f>
        <v>Thùng 32.5x32.5x47</v>
      </c>
      <c r="AD3711" s="536"/>
    </row>
    <row r="3712" spans="1:30" s="503" customFormat="1" ht="15.75" customHeight="1">
      <c r="A3712" s="517" t="str">
        <f>IF(B3712&lt;&gt;"",IF(AND(B3712&gt;=_TM1,B3712&lt;=_TM2,OR(TH!L3712="1111",TH!M3712="1111")),TH!D3712,""),"")</f>
        <v/>
      </c>
      <c r="B3712" s="531">
        <f t="shared" si="414"/>
        <v>8</v>
      </c>
      <c r="C3712" s="315">
        <f t="shared" si="415"/>
        <v>42978</v>
      </c>
      <c r="D3712" s="544" t="s">
        <v>1181</v>
      </c>
      <c r="E3712" s="315">
        <v>42978</v>
      </c>
      <c r="F3712" s="250" t="s">
        <v>754</v>
      </c>
      <c r="G3712" s="314" t="s">
        <v>1446</v>
      </c>
      <c r="H3712" s="473" t="s">
        <v>284</v>
      </c>
      <c r="I3712" s="307">
        <v>18</v>
      </c>
      <c r="J3712" s="307">
        <v>67136</v>
      </c>
      <c r="K3712" s="532">
        <f t="shared" ref="K3712:K3743" si="416">ROUND(I3712*J3712,0)</f>
        <v>1208448</v>
      </c>
      <c r="L3712" s="534" t="s">
        <v>223</v>
      </c>
      <c r="M3712" s="534" t="s">
        <v>162</v>
      </c>
      <c r="N3712" s="525" t="str">
        <f>IF(AND('331-CT'!$E$7=TH!H3712,OR(L3712="331",M3712="331")),"331",IF(AND(OR(L3712="131",M3712="131"),H3712='131-CT'!$E$7),"131",""))</f>
        <v/>
      </c>
      <c r="O3712" s="525" t="str">
        <f>IF(AND($B3712&gt;='111'!$N$11,$B3712&lt;='111'!$O$11,OR($L3712=$O$7,$M3712=$O$7)),"x","")</f>
        <v/>
      </c>
      <c r="P3712" s="525" t="str">
        <f>IF(AND($L3712=$O$7,$B3712&lt;'111'!$N$11),"x","")</f>
        <v/>
      </c>
      <c r="Q3712" s="525" t="str">
        <f>IF(AND($M3712=$O$7,$B3712&lt;'111'!$N$11),"x","")</f>
        <v/>
      </c>
      <c r="R3712" s="525" t="str">
        <f>IF(ISERROR(FIND('112'!$M$9,G3712,1)),"",IF((AND(FIND('112'!$M$9,G3712,1)&gt;=1,$B3712&gt;='112'!$N$8,$B3712&lt;='112'!$O$8,OR($L3712='112'!$I$6,$M3712='112'!$I$6))),"x",""))</f>
        <v/>
      </c>
      <c r="S3712" s="525" t="str">
        <f>IF(ISERROR(FIND('112'!$M$9,G3712,1)),"",IF((AND(LEFT(G3712,2)=LEFT('112'!$M$9,2),B3712&lt;'112'!$N$8,$L3712='112'!$I$6)),"x",""))</f>
        <v/>
      </c>
      <c r="T3712" s="525" t="str">
        <f>IF(ISERROR(FIND('112'!$M$9,G3712,1)),"",IF((AND(RIGHT(G3712,2)=RIGHT('112'!$M$9,2),B3712&lt;'112'!$N$8,$M3712='112'!$I$6)),"x",""))</f>
        <v/>
      </c>
      <c r="U3712" s="525" t="str">
        <f>IF(AND(B3712&gt;='IN-NX'!$P$3,B3712&lt;='IN-NX'!$Q$3,'IN-NX'!$D$7=D3712,OR(LEFT(L3712,2)="15",AND(LEFT(M3712,2)&lt;&gt;"15",LEFT(M3712,2)&lt;&gt;"33"))),"x","")</f>
        <v/>
      </c>
      <c r="V3712" s="525" t="str">
        <f>IF(AND(OR(LEFT(TH!L3712,2)="15",LEFT(TH!M3712,2)="15"),'152-CT'!$J$8=TH!F3712),"x","")</f>
        <v/>
      </c>
      <c r="W3712" s="525" t="str">
        <f>IF(AND(OR(LEFT(TH!L3712,2)="15",LEFT(TH!M3712,2)="15"),TK!$E$7=TH!F3712),"x","")</f>
        <v/>
      </c>
      <c r="X3712" s="525" t="str">
        <f>IF(AND('341-CT'!$E$9=H3712,OR(LEFT(L3712,3)=$X$7,LEFT(M3712,3)=$X$7)),"x","")</f>
        <v/>
      </c>
      <c r="Y3712" s="525" t="str">
        <f>IF(OR(TH!L3712=TH!$Y$7,M3712=TH!$Y$7),"x","")</f>
        <v/>
      </c>
      <c r="Z3712" s="525" t="str">
        <f>IF(AND(B3712&lt;=NKC!$N$8,B3712&gt;=NKC!$M$8),"x","")</f>
        <v/>
      </c>
      <c r="AA3712" s="535"/>
      <c r="AB3712" s="536"/>
      <c r="AC3712" s="536" t="str">
        <f>VLOOKUP(F3712,NXT!$B$12:$B$686,1,0)</f>
        <v>Thùng 95x35x80</v>
      </c>
      <c r="AD3712" s="536"/>
    </row>
    <row r="3713" spans="1:30" s="503" customFormat="1" ht="15.75" customHeight="1">
      <c r="A3713" s="517" t="str">
        <f>IF(B3713&lt;&gt;"",IF(AND(B3713&gt;=_TM1,B3713&lt;=_TM2,OR(TH!L3713="1111",TH!M3713="1111")),TH!D3713,""),"")</f>
        <v/>
      </c>
      <c r="B3713" s="531">
        <f t="shared" si="414"/>
        <v>8</v>
      </c>
      <c r="C3713" s="315">
        <f t="shared" si="415"/>
        <v>42978</v>
      </c>
      <c r="D3713" s="544" t="s">
        <v>1181</v>
      </c>
      <c r="E3713" s="315">
        <v>42978</v>
      </c>
      <c r="F3713" s="250" t="s">
        <v>1480</v>
      </c>
      <c r="G3713" s="314" t="s">
        <v>1446</v>
      </c>
      <c r="H3713" s="473" t="s">
        <v>284</v>
      </c>
      <c r="I3713" s="307">
        <v>22</v>
      </c>
      <c r="J3713" s="307">
        <v>58631</v>
      </c>
      <c r="K3713" s="532">
        <f t="shared" si="416"/>
        <v>1289882</v>
      </c>
      <c r="L3713" s="534" t="s">
        <v>223</v>
      </c>
      <c r="M3713" s="534" t="s">
        <v>162</v>
      </c>
      <c r="N3713" s="525" t="str">
        <f>IF(AND('331-CT'!$E$7=TH!H3713,OR(L3713="331",M3713="331")),"331",IF(AND(OR(L3713="131",M3713="131"),H3713='131-CT'!$E$7),"131",""))</f>
        <v/>
      </c>
      <c r="O3713" s="525" t="str">
        <f>IF(AND($B3713&gt;='111'!$N$11,$B3713&lt;='111'!$O$11,OR($L3713=$O$7,$M3713=$O$7)),"x","")</f>
        <v/>
      </c>
      <c r="P3713" s="525" t="str">
        <f>IF(AND($L3713=$O$7,$B3713&lt;'111'!$N$11),"x","")</f>
        <v/>
      </c>
      <c r="Q3713" s="525" t="str">
        <f>IF(AND($M3713=$O$7,$B3713&lt;'111'!$N$11),"x","")</f>
        <v/>
      </c>
      <c r="R3713" s="525" t="str">
        <f>IF(ISERROR(FIND('112'!$M$9,G3713,1)),"",IF((AND(FIND('112'!$M$9,G3713,1)&gt;=1,$B3713&gt;='112'!$N$8,$B3713&lt;='112'!$O$8,OR($L3713='112'!$I$6,$M3713='112'!$I$6))),"x",""))</f>
        <v/>
      </c>
      <c r="S3713" s="525" t="str">
        <f>IF(ISERROR(FIND('112'!$M$9,G3713,1)),"",IF((AND(LEFT(G3713,2)=LEFT('112'!$M$9,2),B3713&lt;'112'!$N$8,$L3713='112'!$I$6)),"x",""))</f>
        <v/>
      </c>
      <c r="T3713" s="525" t="str">
        <f>IF(ISERROR(FIND('112'!$M$9,G3713,1)),"",IF((AND(RIGHT(G3713,2)=RIGHT('112'!$M$9,2),B3713&lt;'112'!$N$8,$M3713='112'!$I$6)),"x",""))</f>
        <v/>
      </c>
      <c r="U3713" s="525" t="str">
        <f>IF(AND(B3713&gt;='IN-NX'!$P$3,B3713&lt;='IN-NX'!$Q$3,'IN-NX'!$D$7=D3713,OR(LEFT(L3713,2)="15",AND(LEFT(M3713,2)&lt;&gt;"15",LEFT(M3713,2)&lt;&gt;"33"))),"x","")</f>
        <v/>
      </c>
      <c r="V3713" s="525" t="str">
        <f>IF(AND(OR(LEFT(TH!L3713,2)="15",LEFT(TH!M3713,2)="15"),'152-CT'!$J$8=TH!F3713),"x","")</f>
        <v/>
      </c>
      <c r="W3713" s="525" t="str">
        <f>IF(AND(OR(LEFT(TH!L3713,2)="15",LEFT(TH!M3713,2)="15"),TK!$E$7=TH!F3713),"x","")</f>
        <v/>
      </c>
      <c r="X3713" s="525" t="str">
        <f>IF(AND('341-CT'!$E$9=H3713,OR(LEFT(L3713,3)=$X$7,LEFT(M3713,3)=$X$7)),"x","")</f>
        <v/>
      </c>
      <c r="Y3713" s="525" t="str">
        <f>IF(OR(TH!L3713=TH!$Y$7,M3713=TH!$Y$7),"x","")</f>
        <v/>
      </c>
      <c r="Z3713" s="525" t="str">
        <f>IF(AND(B3713&lt;=NKC!$N$8,B3713&gt;=NKC!$M$8),"x","")</f>
        <v/>
      </c>
      <c r="AA3713" s="535"/>
      <c r="AB3713" s="536"/>
      <c r="AC3713" s="536" t="str">
        <f>VLOOKUP(F3713,NXT!$B$12:$B$686,1,0)</f>
        <v>Thùng 55x55x63</v>
      </c>
    </row>
    <row r="3714" spans="1:30" s="503" customFormat="1" ht="15.75" customHeight="1">
      <c r="A3714" s="517" t="str">
        <f>IF(B3714&lt;&gt;"",IF(AND(B3714&gt;=_TM1,B3714&lt;=_TM2,OR(TH!L3714="1111",TH!M3714="1111")),TH!D3714,""),"")</f>
        <v/>
      </c>
      <c r="B3714" s="531">
        <f t="shared" si="414"/>
        <v>8</v>
      </c>
      <c r="C3714" s="315">
        <f t="shared" si="415"/>
        <v>42978</v>
      </c>
      <c r="D3714" s="544" t="s">
        <v>1181</v>
      </c>
      <c r="E3714" s="315">
        <v>42978</v>
      </c>
      <c r="F3714" s="250" t="s">
        <v>627</v>
      </c>
      <c r="G3714" s="314" t="s">
        <v>1446</v>
      </c>
      <c r="H3714" s="473" t="s">
        <v>284</v>
      </c>
      <c r="I3714" s="307">
        <v>48</v>
      </c>
      <c r="J3714" s="307">
        <v>52020</v>
      </c>
      <c r="K3714" s="532">
        <f t="shared" si="416"/>
        <v>2496960</v>
      </c>
      <c r="L3714" s="534" t="s">
        <v>223</v>
      </c>
      <c r="M3714" s="534" t="s">
        <v>162</v>
      </c>
      <c r="N3714" s="525" t="str">
        <f>IF(AND('331-CT'!$E$7=TH!H3714,OR(L3714="331",M3714="331")),"331",IF(AND(OR(L3714="131",M3714="131"),H3714='131-CT'!$E$7),"131",""))</f>
        <v/>
      </c>
      <c r="O3714" s="525" t="str">
        <f>IF(AND($B3714&gt;='111'!$N$11,$B3714&lt;='111'!$O$11,OR($L3714=$O$7,$M3714=$O$7)),"x","")</f>
        <v/>
      </c>
      <c r="P3714" s="525" t="str">
        <f>IF(AND($L3714=$O$7,$B3714&lt;'111'!$N$11),"x","")</f>
        <v/>
      </c>
      <c r="Q3714" s="525" t="str">
        <f>IF(AND($M3714=$O$7,$B3714&lt;'111'!$N$11),"x","")</f>
        <v/>
      </c>
      <c r="R3714" s="525" t="str">
        <f>IF(ISERROR(FIND('112'!$M$9,G3714,1)),"",IF((AND(FIND('112'!$M$9,G3714,1)&gt;=1,$B3714&gt;='112'!$N$8,$B3714&lt;='112'!$O$8,OR($L3714='112'!$I$6,$M3714='112'!$I$6))),"x",""))</f>
        <v/>
      </c>
      <c r="S3714" s="525" t="str">
        <f>IF(ISERROR(FIND('112'!$M$9,G3714,1)),"",IF((AND(LEFT(G3714,2)=LEFT('112'!$M$9,2),B3714&lt;'112'!$N$8,$L3714='112'!$I$6)),"x",""))</f>
        <v/>
      </c>
      <c r="T3714" s="525" t="str">
        <f>IF(ISERROR(FIND('112'!$M$9,G3714,1)),"",IF((AND(RIGHT(G3714,2)=RIGHT('112'!$M$9,2),B3714&lt;'112'!$N$8,$M3714='112'!$I$6)),"x",""))</f>
        <v/>
      </c>
      <c r="U3714" s="525" t="str">
        <f>IF(AND(B3714&gt;='IN-NX'!$P$3,B3714&lt;='IN-NX'!$Q$3,'IN-NX'!$D$7=D3714,OR(LEFT(L3714,2)="15",AND(LEFT(M3714,2)&lt;&gt;"15",LEFT(M3714,2)&lt;&gt;"33"))),"x","")</f>
        <v/>
      </c>
      <c r="V3714" s="525" t="str">
        <f>IF(AND(OR(LEFT(TH!L3714,2)="15",LEFT(TH!M3714,2)="15"),'152-CT'!$J$8=TH!F3714),"x","")</f>
        <v/>
      </c>
      <c r="W3714" s="525" t="str">
        <f>IF(AND(OR(LEFT(TH!L3714,2)="15",LEFT(TH!M3714,2)="15"),TK!$E$7=TH!F3714),"x","")</f>
        <v/>
      </c>
      <c r="X3714" s="525" t="str">
        <f>IF(AND('341-CT'!$E$9=H3714,OR(LEFT(L3714,3)=$X$7,LEFT(M3714,3)=$X$7)),"x","")</f>
        <v/>
      </c>
      <c r="Y3714" s="525" t="str">
        <f>IF(OR(TH!L3714=TH!$Y$7,M3714=TH!$Y$7),"x","")</f>
        <v/>
      </c>
      <c r="Z3714" s="525" t="str">
        <f>IF(AND(B3714&lt;=NKC!$N$8,B3714&gt;=NKC!$M$8),"x","")</f>
        <v/>
      </c>
      <c r="AA3714" s="535"/>
      <c r="AB3714" s="536"/>
      <c r="AC3714" s="536" t="str">
        <f>VLOOKUP(F3714,NXT!$B$12:$B$686,1,0)</f>
        <v>Thùng 55x55x55</v>
      </c>
      <c r="AD3714" s="536"/>
    </row>
    <row r="3715" spans="1:30" s="503" customFormat="1" ht="15.75" customHeight="1">
      <c r="A3715" s="517" t="str">
        <f>IF(B3715&lt;&gt;"",IF(AND(B3715&gt;=_TM1,B3715&lt;=_TM2,OR(TH!L3715="1111",TH!M3715="1111")),TH!D3715,""),"")</f>
        <v/>
      </c>
      <c r="B3715" s="531">
        <f t="shared" si="414"/>
        <v>8</v>
      </c>
      <c r="C3715" s="315">
        <f t="shared" si="415"/>
        <v>42978</v>
      </c>
      <c r="D3715" s="544" t="s">
        <v>1181</v>
      </c>
      <c r="E3715" s="315">
        <v>42978</v>
      </c>
      <c r="F3715" s="250" t="s">
        <v>737</v>
      </c>
      <c r="G3715" s="314" t="s">
        <v>1446</v>
      </c>
      <c r="H3715" s="473" t="s">
        <v>284</v>
      </c>
      <c r="I3715" s="307">
        <v>20</v>
      </c>
      <c r="J3715" s="307">
        <v>94341</v>
      </c>
      <c r="K3715" s="532">
        <f t="shared" si="416"/>
        <v>1886820</v>
      </c>
      <c r="L3715" s="534" t="s">
        <v>223</v>
      </c>
      <c r="M3715" s="534" t="s">
        <v>162</v>
      </c>
      <c r="N3715" s="525" t="str">
        <f>IF(AND('331-CT'!$E$7=TH!H3715,OR(L3715="331",M3715="331")),"331",IF(AND(OR(L3715="131",M3715="131"),H3715='131-CT'!$E$7),"131",""))</f>
        <v/>
      </c>
      <c r="O3715" s="525" t="str">
        <f>IF(AND($B3715&gt;='111'!$N$11,$B3715&lt;='111'!$O$11,OR($L3715=$O$7,$M3715=$O$7)),"x","")</f>
        <v/>
      </c>
      <c r="P3715" s="525" t="str">
        <f>IF(AND($L3715=$O$7,$B3715&lt;'111'!$N$11),"x","")</f>
        <v/>
      </c>
      <c r="Q3715" s="525" t="str">
        <f>IF(AND($M3715=$O$7,$B3715&lt;'111'!$N$11),"x","")</f>
        <v/>
      </c>
      <c r="R3715" s="525" t="str">
        <f>IF(ISERROR(FIND('112'!$M$9,G3715,1)),"",IF((AND(FIND('112'!$M$9,G3715,1)&gt;=1,$B3715&gt;='112'!$N$8,$B3715&lt;='112'!$O$8,OR($L3715='112'!$I$6,$M3715='112'!$I$6))),"x",""))</f>
        <v/>
      </c>
      <c r="S3715" s="525" t="str">
        <f>IF(ISERROR(FIND('112'!$M$9,G3715,1)),"",IF((AND(LEFT(G3715,2)=LEFT('112'!$M$9,2),B3715&lt;'112'!$N$8,$L3715='112'!$I$6)),"x",""))</f>
        <v/>
      </c>
      <c r="T3715" s="525" t="str">
        <f>IF(ISERROR(FIND('112'!$M$9,G3715,1)),"",IF((AND(RIGHT(G3715,2)=RIGHT('112'!$M$9,2),B3715&lt;'112'!$N$8,$M3715='112'!$I$6)),"x",""))</f>
        <v/>
      </c>
      <c r="U3715" s="525" t="str">
        <f>IF(AND(B3715&gt;='IN-NX'!$P$3,B3715&lt;='IN-NX'!$Q$3,'IN-NX'!$D$7=D3715,OR(LEFT(L3715,2)="15",AND(LEFT(M3715,2)&lt;&gt;"15",LEFT(M3715,2)&lt;&gt;"33"))),"x","")</f>
        <v/>
      </c>
      <c r="V3715" s="525" t="str">
        <f>IF(AND(OR(LEFT(TH!L3715,2)="15",LEFT(TH!M3715,2)="15"),'152-CT'!$J$8=TH!F3715),"x","")</f>
        <v/>
      </c>
      <c r="W3715" s="525" t="str">
        <f>IF(AND(OR(LEFT(TH!L3715,2)="15",LEFT(TH!M3715,2)="15"),TK!$E$7=TH!F3715),"x","")</f>
        <v/>
      </c>
      <c r="X3715" s="525" t="str">
        <f>IF(AND('341-CT'!$E$9=H3715,OR(LEFT(L3715,3)=$X$7,LEFT(M3715,3)=$X$7)),"x","")</f>
        <v/>
      </c>
      <c r="Y3715" s="525" t="str">
        <f>IF(OR(TH!L3715=TH!$Y$7,M3715=TH!$Y$7),"x","")</f>
        <v/>
      </c>
      <c r="Z3715" s="525" t="str">
        <f>IF(AND(B3715&lt;=NKC!$N$8,B3715&gt;=NKC!$M$8),"x","")</f>
        <v/>
      </c>
      <c r="AA3715" s="535"/>
      <c r="AB3715" s="536"/>
      <c r="AC3715" s="536" t="str">
        <f>VLOOKUP(F3715,NXT!$B$12:$B$686,1,0)</f>
        <v>Thùng 125x45x80</v>
      </c>
      <c r="AD3715" s="536"/>
    </row>
    <row r="3716" spans="1:30" s="503" customFormat="1" ht="15.75" customHeight="1">
      <c r="A3716" s="517" t="str">
        <f>IF(B3716&lt;&gt;"",IF(AND(B3716&gt;=_TM1,B3716&lt;=_TM2,OR(TH!L3716="1111",TH!M3716="1111")),TH!D3716,""),"")</f>
        <v/>
      </c>
      <c r="B3716" s="531">
        <f t="shared" si="414"/>
        <v>8</v>
      </c>
      <c r="C3716" s="315">
        <f t="shared" si="415"/>
        <v>42978</v>
      </c>
      <c r="D3716" s="544" t="s">
        <v>1181</v>
      </c>
      <c r="E3716" s="315">
        <v>42978</v>
      </c>
      <c r="F3716" s="250" t="s">
        <v>1481</v>
      </c>
      <c r="G3716" s="314" t="s">
        <v>1446</v>
      </c>
      <c r="H3716" s="473" t="s">
        <v>284</v>
      </c>
      <c r="I3716" s="307">
        <v>6</v>
      </c>
      <c r="J3716" s="307">
        <v>154818</v>
      </c>
      <c r="K3716" s="532">
        <f t="shared" si="416"/>
        <v>928908</v>
      </c>
      <c r="L3716" s="534" t="s">
        <v>223</v>
      </c>
      <c r="M3716" s="534" t="s">
        <v>162</v>
      </c>
      <c r="N3716" s="525" t="str">
        <f>IF(AND('331-CT'!$E$7=TH!H3716,OR(L3716="331",M3716="331")),"331",IF(AND(OR(L3716="131",M3716="131"),H3716='131-CT'!$E$7),"131",""))</f>
        <v/>
      </c>
      <c r="O3716" s="525" t="str">
        <f>IF(AND($B3716&gt;='111'!$N$11,$B3716&lt;='111'!$O$11,OR($L3716=$O$7,$M3716=$O$7)),"x","")</f>
        <v/>
      </c>
      <c r="P3716" s="525" t="str">
        <f>IF(AND($L3716=$O$7,$B3716&lt;'111'!$N$11),"x","")</f>
        <v/>
      </c>
      <c r="Q3716" s="525" t="str">
        <f>IF(AND($M3716=$O$7,$B3716&lt;'111'!$N$11),"x","")</f>
        <v/>
      </c>
      <c r="R3716" s="525" t="str">
        <f>IF(ISERROR(FIND('112'!$M$9,G3716,1)),"",IF((AND(FIND('112'!$M$9,G3716,1)&gt;=1,$B3716&gt;='112'!$N$8,$B3716&lt;='112'!$O$8,OR($L3716='112'!$I$6,$M3716='112'!$I$6))),"x",""))</f>
        <v/>
      </c>
      <c r="S3716" s="525" t="str">
        <f>IF(ISERROR(FIND('112'!$M$9,G3716,1)),"",IF((AND(LEFT(G3716,2)=LEFT('112'!$M$9,2),B3716&lt;'112'!$N$8,$L3716='112'!$I$6)),"x",""))</f>
        <v/>
      </c>
      <c r="T3716" s="525" t="str">
        <f>IF(ISERROR(FIND('112'!$M$9,G3716,1)),"",IF((AND(RIGHT(G3716,2)=RIGHT('112'!$M$9,2),B3716&lt;'112'!$N$8,$M3716='112'!$I$6)),"x",""))</f>
        <v/>
      </c>
      <c r="U3716" s="525" t="str">
        <f>IF(AND(B3716&gt;='IN-NX'!$P$3,B3716&lt;='IN-NX'!$Q$3,'IN-NX'!$D$7=D3716,OR(LEFT(L3716,2)="15",AND(LEFT(M3716,2)&lt;&gt;"15",LEFT(M3716,2)&lt;&gt;"33"))),"x","")</f>
        <v/>
      </c>
      <c r="V3716" s="525" t="str">
        <f>IF(AND(OR(LEFT(TH!L3716,2)="15",LEFT(TH!M3716,2)="15"),'152-CT'!$J$8=TH!F3716),"x","")</f>
        <v/>
      </c>
      <c r="W3716" s="525" t="str">
        <f>IF(AND(OR(LEFT(TH!L3716,2)="15",LEFT(TH!M3716,2)="15"),TK!$E$7=TH!F3716),"x","")</f>
        <v/>
      </c>
      <c r="X3716" s="525" t="str">
        <f>IF(AND('341-CT'!$E$9=H3716,OR(LEFT(L3716,3)=$X$7,LEFT(M3716,3)=$X$7)),"x","")</f>
        <v/>
      </c>
      <c r="Y3716" s="525" t="str">
        <f>IF(OR(TH!L3716=TH!$Y$7,M3716=TH!$Y$7),"x","")</f>
        <v/>
      </c>
      <c r="Z3716" s="525" t="str">
        <f>IF(AND(B3716&lt;=NKC!$N$8,B3716&gt;=NKC!$M$8),"x","")</f>
        <v/>
      </c>
      <c r="AA3716" s="535"/>
      <c r="AB3716" s="536"/>
      <c r="AC3716" s="536" t="str">
        <f>VLOOKUP(F3716,NXT!$B$12:$B$686,1,0)</f>
        <v>Thùng 115x115x31</v>
      </c>
    </row>
    <row r="3717" spans="1:30" s="503" customFormat="1" ht="15.75" customHeight="1">
      <c r="A3717" s="517" t="str">
        <f>IF(B3717&lt;&gt;"",IF(AND(B3717&gt;=_TM1,B3717&lt;=_TM2,OR(TH!L3717="1111",TH!M3717="1111")),TH!D3717,""),"")</f>
        <v/>
      </c>
      <c r="B3717" s="531">
        <f t="shared" si="414"/>
        <v>8</v>
      </c>
      <c r="C3717" s="315">
        <f t="shared" si="415"/>
        <v>42978</v>
      </c>
      <c r="D3717" s="544" t="s">
        <v>1181</v>
      </c>
      <c r="E3717" s="315">
        <v>42978</v>
      </c>
      <c r="F3717" s="250" t="s">
        <v>274</v>
      </c>
      <c r="G3717" s="314" t="s">
        <v>1446</v>
      </c>
      <c r="H3717" s="473" t="s">
        <v>284</v>
      </c>
      <c r="I3717" s="307">
        <v>1253</v>
      </c>
      <c r="J3717" s="307">
        <v>11450</v>
      </c>
      <c r="K3717" s="532">
        <f t="shared" si="416"/>
        <v>14346850</v>
      </c>
      <c r="L3717" s="534" t="s">
        <v>223</v>
      </c>
      <c r="M3717" s="534" t="s">
        <v>162</v>
      </c>
      <c r="N3717" s="525" t="str">
        <f>IF(AND('331-CT'!$E$7=TH!H3717,OR(L3717="331",M3717="331")),"331",IF(AND(OR(L3717="131",M3717="131"),H3717='131-CT'!$E$7),"131",""))</f>
        <v/>
      </c>
      <c r="O3717" s="525" t="str">
        <f>IF(AND($B3717&gt;='111'!$N$11,$B3717&lt;='111'!$O$11,OR($L3717=$O$7,$M3717=$O$7)),"x","")</f>
        <v/>
      </c>
      <c r="P3717" s="525" t="str">
        <f>IF(AND($L3717=$O$7,$B3717&lt;'111'!$N$11),"x","")</f>
        <v/>
      </c>
      <c r="Q3717" s="525" t="str">
        <f>IF(AND($M3717=$O$7,$B3717&lt;'111'!$N$11),"x","")</f>
        <v/>
      </c>
      <c r="R3717" s="525" t="str">
        <f>IF(ISERROR(FIND('112'!$M$9,G3717,1)),"",IF((AND(FIND('112'!$M$9,G3717,1)&gt;=1,$B3717&gt;='112'!$N$8,$B3717&lt;='112'!$O$8,OR($L3717='112'!$I$6,$M3717='112'!$I$6))),"x",""))</f>
        <v/>
      </c>
      <c r="S3717" s="525" t="str">
        <f>IF(ISERROR(FIND('112'!$M$9,G3717,1)),"",IF((AND(LEFT(G3717,2)=LEFT('112'!$M$9,2),B3717&lt;'112'!$N$8,$L3717='112'!$I$6)),"x",""))</f>
        <v/>
      </c>
      <c r="T3717" s="525" t="str">
        <f>IF(ISERROR(FIND('112'!$M$9,G3717,1)),"",IF((AND(RIGHT(G3717,2)=RIGHT('112'!$M$9,2),B3717&lt;'112'!$N$8,$M3717='112'!$I$6)),"x",""))</f>
        <v/>
      </c>
      <c r="U3717" s="525" t="str">
        <f>IF(AND(B3717&gt;='IN-NX'!$P$3,B3717&lt;='IN-NX'!$Q$3,'IN-NX'!$D$7=D3717,OR(LEFT(L3717,2)="15",AND(LEFT(M3717,2)&lt;&gt;"15",LEFT(M3717,2)&lt;&gt;"33"))),"x","")</f>
        <v/>
      </c>
      <c r="V3717" s="525" t="str">
        <f>IF(AND(OR(LEFT(TH!L3717,2)="15",LEFT(TH!M3717,2)="15"),'152-CT'!$J$8=TH!F3717),"x","")</f>
        <v/>
      </c>
      <c r="W3717" s="525" t="str">
        <f>IF(AND(OR(LEFT(TH!L3717,2)="15",LEFT(TH!M3717,2)="15"),TK!$E$7=TH!F3717),"x","")</f>
        <v/>
      </c>
      <c r="X3717" s="525" t="str">
        <f>IF(AND('341-CT'!$E$9=H3717,OR(LEFT(L3717,3)=$X$7,LEFT(M3717,3)=$X$7)),"x","")</f>
        <v/>
      </c>
      <c r="Y3717" s="525" t="str">
        <f>IF(OR(TH!L3717=TH!$Y$7,M3717=TH!$Y$7),"x","")</f>
        <v/>
      </c>
      <c r="Z3717" s="525" t="str">
        <f>IF(AND(B3717&lt;=NKC!$N$8,B3717&gt;=NKC!$M$8),"x","")</f>
        <v/>
      </c>
      <c r="AA3717" s="535"/>
      <c r="AB3717" s="536"/>
      <c r="AC3717" s="536" t="str">
        <f>VLOOKUP(F3717,NXT!$B$12:$B$686,1,0)</f>
        <v>Giấy 2 lớp</v>
      </c>
      <c r="AD3717" s="536"/>
    </row>
    <row r="3718" spans="1:30" s="503" customFormat="1" ht="15.75" customHeight="1">
      <c r="A3718" s="517" t="str">
        <f>IF(B3718&lt;&gt;"",IF(AND(B3718&gt;=_TM1,B3718&lt;=_TM2,OR(TH!L3718="1111",TH!M3718="1111")),TH!D3718,""),"")</f>
        <v/>
      </c>
      <c r="B3718" s="531">
        <f t="shared" si="414"/>
        <v>8</v>
      </c>
      <c r="C3718" s="315">
        <f t="shared" si="415"/>
        <v>42978</v>
      </c>
      <c r="D3718" s="544" t="s">
        <v>1181</v>
      </c>
      <c r="E3718" s="315">
        <v>42978</v>
      </c>
      <c r="F3718" s="250" t="s">
        <v>619</v>
      </c>
      <c r="G3718" s="314" t="s">
        <v>1446</v>
      </c>
      <c r="H3718" s="473" t="s">
        <v>284</v>
      </c>
      <c r="I3718" s="307">
        <v>12</v>
      </c>
      <c r="J3718" s="307">
        <v>33298</v>
      </c>
      <c r="K3718" s="532">
        <f t="shared" si="416"/>
        <v>399576</v>
      </c>
      <c r="L3718" s="534" t="s">
        <v>223</v>
      </c>
      <c r="M3718" s="534" t="s">
        <v>162</v>
      </c>
      <c r="N3718" s="525" t="str">
        <f>IF(AND('331-CT'!$E$7=TH!H3718,OR(L3718="331",M3718="331")),"331",IF(AND(OR(L3718="131",M3718="131"),H3718='131-CT'!$E$7),"131",""))</f>
        <v/>
      </c>
      <c r="O3718" s="525" t="str">
        <f>IF(AND($B3718&gt;='111'!$N$11,$B3718&lt;='111'!$O$11,OR($L3718=$O$7,$M3718=$O$7)),"x","")</f>
        <v/>
      </c>
      <c r="P3718" s="525" t="str">
        <f>IF(AND($L3718=$O$7,$B3718&lt;'111'!$N$11),"x","")</f>
        <v/>
      </c>
      <c r="Q3718" s="525" t="str">
        <f>IF(AND($M3718=$O$7,$B3718&lt;'111'!$N$11),"x","")</f>
        <v/>
      </c>
      <c r="R3718" s="525" t="str">
        <f>IF(ISERROR(FIND('112'!$M$9,G3718,1)),"",IF((AND(FIND('112'!$M$9,G3718,1)&gt;=1,$B3718&gt;='112'!$N$8,$B3718&lt;='112'!$O$8,OR($L3718='112'!$I$6,$M3718='112'!$I$6))),"x",""))</f>
        <v/>
      </c>
      <c r="S3718" s="525" t="str">
        <f>IF(ISERROR(FIND('112'!$M$9,G3718,1)),"",IF((AND(LEFT(G3718,2)=LEFT('112'!$M$9,2),B3718&lt;'112'!$N$8,$L3718='112'!$I$6)),"x",""))</f>
        <v/>
      </c>
      <c r="T3718" s="525" t="str">
        <f>IF(ISERROR(FIND('112'!$M$9,G3718,1)),"",IF((AND(RIGHT(G3718,2)=RIGHT('112'!$M$9,2),B3718&lt;'112'!$N$8,$M3718='112'!$I$6)),"x",""))</f>
        <v/>
      </c>
      <c r="U3718" s="525" t="str">
        <f>IF(AND(B3718&gt;='IN-NX'!$P$3,B3718&lt;='IN-NX'!$Q$3,'IN-NX'!$D$7=D3718,OR(LEFT(L3718,2)="15",AND(LEFT(M3718,2)&lt;&gt;"15",LEFT(M3718,2)&lt;&gt;"33"))),"x","")</f>
        <v/>
      </c>
      <c r="V3718" s="525" t="str">
        <f>IF(AND(OR(LEFT(TH!L3718,2)="15",LEFT(TH!M3718,2)="15"),'152-CT'!$J$8=TH!F3718),"x","")</f>
        <v/>
      </c>
      <c r="W3718" s="525" t="str">
        <f>IF(AND(OR(LEFT(TH!L3718,2)="15",LEFT(TH!M3718,2)="15"),TK!$E$7=TH!F3718),"x","")</f>
        <v/>
      </c>
      <c r="X3718" s="525" t="str">
        <f>IF(AND('341-CT'!$E$9=H3718,OR(LEFT(L3718,3)=$X$7,LEFT(M3718,3)=$X$7)),"x","")</f>
        <v/>
      </c>
      <c r="Y3718" s="525" t="str">
        <f>IF(OR(TH!L3718=TH!$Y$7,M3718=TH!$Y$7),"x","")</f>
        <v/>
      </c>
      <c r="Z3718" s="525" t="str">
        <f>IF(AND(B3718&lt;=NKC!$N$8,B3718&gt;=NKC!$M$8),"x","")</f>
        <v/>
      </c>
      <c r="AA3718" s="535"/>
      <c r="AB3718" s="536"/>
      <c r="AC3718" s="536" t="str">
        <f>VLOOKUP(F3718,NXT!$B$12:$B$686,1,0)</f>
        <v>Thùng 40x40x52</v>
      </c>
      <c r="AD3718" s="536"/>
    </row>
    <row r="3719" spans="1:30" s="503" customFormat="1" ht="15.75" customHeight="1">
      <c r="A3719" s="517" t="str">
        <f>IF(B3719&lt;&gt;"",IF(AND(B3719&gt;=_TM1,B3719&lt;=_TM2,OR(TH!L3719="1111",TH!M3719="1111")),TH!D3719,""),"")</f>
        <v/>
      </c>
      <c r="B3719" s="531">
        <f t="shared" si="414"/>
        <v>8</v>
      </c>
      <c r="C3719" s="315">
        <f t="shared" si="415"/>
        <v>42978</v>
      </c>
      <c r="D3719" s="544" t="s">
        <v>1181</v>
      </c>
      <c r="E3719" s="315">
        <v>42978</v>
      </c>
      <c r="F3719" s="250" t="s">
        <v>708</v>
      </c>
      <c r="G3719" s="314" t="s">
        <v>1446</v>
      </c>
      <c r="H3719" s="473" t="s">
        <v>284</v>
      </c>
      <c r="I3719" s="307">
        <v>48</v>
      </c>
      <c r="J3719" s="307">
        <v>36109</v>
      </c>
      <c r="K3719" s="532">
        <f t="shared" si="416"/>
        <v>1733232</v>
      </c>
      <c r="L3719" s="534" t="s">
        <v>223</v>
      </c>
      <c r="M3719" s="534" t="s">
        <v>162</v>
      </c>
      <c r="N3719" s="525" t="str">
        <f>IF(AND('331-CT'!$E$7=TH!H3719,OR(L3719="331",M3719="331")),"331",IF(AND(OR(L3719="131",M3719="131"),H3719='131-CT'!$E$7),"131",""))</f>
        <v/>
      </c>
      <c r="O3719" s="525" t="str">
        <f>IF(AND($B3719&gt;='111'!$N$11,$B3719&lt;='111'!$O$11,OR($L3719=$O$7,$M3719=$O$7)),"x","")</f>
        <v/>
      </c>
      <c r="P3719" s="525" t="str">
        <f>IF(AND($L3719=$O$7,$B3719&lt;'111'!$N$11),"x","")</f>
        <v/>
      </c>
      <c r="Q3719" s="525" t="str">
        <f>IF(AND($M3719=$O$7,$B3719&lt;'111'!$N$11),"x","")</f>
        <v/>
      </c>
      <c r="R3719" s="525" t="str">
        <f>IF(ISERROR(FIND('112'!$M$9,G3719,1)),"",IF((AND(FIND('112'!$M$9,G3719,1)&gt;=1,$B3719&gt;='112'!$N$8,$B3719&lt;='112'!$O$8,OR($L3719='112'!$I$6,$M3719='112'!$I$6))),"x",""))</f>
        <v/>
      </c>
      <c r="S3719" s="525" t="str">
        <f>IF(ISERROR(FIND('112'!$M$9,G3719,1)),"",IF((AND(LEFT(G3719,2)=LEFT('112'!$M$9,2),B3719&lt;'112'!$N$8,$L3719='112'!$I$6)),"x",""))</f>
        <v/>
      </c>
      <c r="T3719" s="525" t="str">
        <f>IF(ISERROR(FIND('112'!$M$9,G3719,1)),"",IF((AND(RIGHT(G3719,2)=RIGHT('112'!$M$9,2),B3719&lt;'112'!$N$8,$M3719='112'!$I$6)),"x",""))</f>
        <v/>
      </c>
      <c r="U3719" s="525" t="str">
        <f>IF(AND(B3719&gt;='IN-NX'!$P$3,B3719&lt;='IN-NX'!$Q$3,'IN-NX'!$D$7=D3719,OR(LEFT(L3719,2)="15",AND(LEFT(M3719,2)&lt;&gt;"15",LEFT(M3719,2)&lt;&gt;"33"))),"x","")</f>
        <v/>
      </c>
      <c r="V3719" s="525" t="str">
        <f>IF(AND(OR(LEFT(TH!L3719,2)="15",LEFT(TH!M3719,2)="15"),'152-CT'!$J$8=TH!F3719),"x","")</f>
        <v/>
      </c>
      <c r="W3719" s="525" t="str">
        <f>IF(AND(OR(LEFT(TH!L3719,2)="15",LEFT(TH!M3719,2)="15"),TK!$E$7=TH!F3719),"x","")</f>
        <v/>
      </c>
      <c r="X3719" s="525" t="str">
        <f>IF(AND('341-CT'!$E$9=H3719,OR(LEFT(L3719,3)=$X$7,LEFT(M3719,3)=$X$7)),"x","")</f>
        <v/>
      </c>
      <c r="Y3719" s="525" t="str">
        <f>IF(OR(TH!L3719=TH!$Y$7,M3719=TH!$Y$7),"x","")</f>
        <v/>
      </c>
      <c r="Z3719" s="525" t="str">
        <f>IF(AND(B3719&lt;=NKC!$N$8,B3719&gt;=NKC!$M$8),"x","")</f>
        <v/>
      </c>
      <c r="AA3719" s="535"/>
      <c r="AB3719" s="536"/>
      <c r="AC3719" s="536" t="str">
        <f>VLOOKUP(F3719,NXT!$B$12:$B$686,1,0)</f>
        <v>Thùng 44x44x52</v>
      </c>
    </row>
    <row r="3720" spans="1:30" s="503" customFormat="1" ht="15.75" customHeight="1">
      <c r="A3720" s="517" t="str">
        <f>IF(B3720&lt;&gt;"",IF(AND(B3720&gt;=_TM1,B3720&lt;=_TM2,OR(TH!L3720="1111",TH!M3720="1111")),TH!D3720,""),"")</f>
        <v/>
      </c>
      <c r="B3720" s="531">
        <f t="shared" si="414"/>
        <v>8</v>
      </c>
      <c r="C3720" s="315">
        <f t="shared" si="415"/>
        <v>42978</v>
      </c>
      <c r="D3720" s="544" t="s">
        <v>1181</v>
      </c>
      <c r="E3720" s="315">
        <v>42978</v>
      </c>
      <c r="F3720" s="250" t="s">
        <v>1225</v>
      </c>
      <c r="G3720" s="314" t="s">
        <v>1446</v>
      </c>
      <c r="H3720" s="473" t="s">
        <v>284</v>
      </c>
      <c r="I3720" s="307">
        <v>24</v>
      </c>
      <c r="J3720" s="307">
        <v>21068</v>
      </c>
      <c r="K3720" s="532">
        <f t="shared" si="416"/>
        <v>505632</v>
      </c>
      <c r="L3720" s="534" t="s">
        <v>223</v>
      </c>
      <c r="M3720" s="534" t="s">
        <v>162</v>
      </c>
      <c r="N3720" s="525" t="str">
        <f>IF(AND('331-CT'!$E$7=TH!H3720,OR(L3720="331",M3720="331")),"331",IF(AND(OR(L3720="131",M3720="131"),H3720='131-CT'!$E$7),"131",""))</f>
        <v/>
      </c>
      <c r="O3720" s="525" t="str">
        <f>IF(AND($B3720&gt;='111'!$N$11,$B3720&lt;='111'!$O$11,OR($L3720=$O$7,$M3720=$O$7)),"x","")</f>
        <v/>
      </c>
      <c r="P3720" s="525" t="str">
        <f>IF(AND($L3720=$O$7,$B3720&lt;'111'!$N$11),"x","")</f>
        <v/>
      </c>
      <c r="Q3720" s="525" t="str">
        <f>IF(AND($M3720=$O$7,$B3720&lt;'111'!$N$11),"x","")</f>
        <v/>
      </c>
      <c r="R3720" s="525" t="str">
        <f>IF(ISERROR(FIND('112'!$M$9,G3720,1)),"",IF((AND(FIND('112'!$M$9,G3720,1)&gt;=1,$B3720&gt;='112'!$N$8,$B3720&lt;='112'!$O$8,OR($L3720='112'!$I$6,$M3720='112'!$I$6))),"x",""))</f>
        <v/>
      </c>
      <c r="S3720" s="525" t="str">
        <f>IF(ISERROR(FIND('112'!$M$9,G3720,1)),"",IF((AND(LEFT(G3720,2)=LEFT('112'!$M$9,2),B3720&lt;'112'!$N$8,$L3720='112'!$I$6)),"x",""))</f>
        <v/>
      </c>
      <c r="T3720" s="525" t="str">
        <f>IF(ISERROR(FIND('112'!$M$9,G3720,1)),"",IF((AND(RIGHT(G3720,2)=RIGHT('112'!$M$9,2),B3720&lt;'112'!$N$8,$M3720='112'!$I$6)),"x",""))</f>
        <v/>
      </c>
      <c r="U3720" s="525" t="str">
        <f>IF(AND(B3720&gt;='IN-NX'!$P$3,B3720&lt;='IN-NX'!$Q$3,'IN-NX'!$D$7=D3720,OR(LEFT(L3720,2)="15",AND(LEFT(M3720,2)&lt;&gt;"15",LEFT(M3720,2)&lt;&gt;"33"))),"x","")</f>
        <v/>
      </c>
      <c r="V3720" s="525" t="str">
        <f>IF(AND(OR(LEFT(TH!L3720,2)="15",LEFT(TH!M3720,2)="15"),'152-CT'!$J$8=TH!F3720),"x","")</f>
        <v/>
      </c>
      <c r="W3720" s="525" t="str">
        <f>IF(AND(OR(LEFT(TH!L3720,2)="15",LEFT(TH!M3720,2)="15"),TK!$E$7=TH!F3720),"x","")</f>
        <v/>
      </c>
      <c r="X3720" s="525" t="str">
        <f>IF(AND('341-CT'!$E$9=H3720,OR(LEFT(L3720,3)=$X$7,LEFT(M3720,3)=$X$7)),"x","")</f>
        <v/>
      </c>
      <c r="Y3720" s="525" t="str">
        <f>IF(OR(TH!L3720=TH!$Y$7,M3720=TH!$Y$7),"x","")</f>
        <v/>
      </c>
      <c r="Z3720" s="525" t="str">
        <f>IF(AND(B3720&lt;=NKC!$N$8,B3720&gt;=NKC!$M$8),"x","")</f>
        <v/>
      </c>
      <c r="AA3720" s="535"/>
      <c r="AB3720" s="536"/>
      <c r="AC3720" s="536" t="str">
        <f>VLOOKUP(F3720,NXT!$B$12:$B$686,1,0)</f>
        <v>Thùng 41.5x41.5x49</v>
      </c>
      <c r="AD3720" s="536"/>
    </row>
    <row r="3721" spans="1:30" s="503" customFormat="1" ht="15.75" customHeight="1">
      <c r="A3721" s="517" t="str">
        <f>IF(B3721&lt;&gt;"",IF(AND(B3721&gt;=_TM1,B3721&lt;=_TM2,OR(TH!L3721="1111",TH!M3721="1111")),TH!D3721,""),"")</f>
        <v/>
      </c>
      <c r="B3721" s="531">
        <f t="shared" si="414"/>
        <v>8</v>
      </c>
      <c r="C3721" s="315">
        <f t="shared" si="415"/>
        <v>42978</v>
      </c>
      <c r="D3721" s="544" t="s">
        <v>1181</v>
      </c>
      <c r="E3721" s="315">
        <v>42978</v>
      </c>
      <c r="F3721" s="250" t="s">
        <v>704</v>
      </c>
      <c r="G3721" s="314" t="s">
        <v>1446</v>
      </c>
      <c r="H3721" s="473" t="s">
        <v>284</v>
      </c>
      <c r="I3721" s="307">
        <v>110</v>
      </c>
      <c r="J3721" s="307">
        <v>17965</v>
      </c>
      <c r="K3721" s="532">
        <f t="shared" si="416"/>
        <v>1976150</v>
      </c>
      <c r="L3721" s="534" t="s">
        <v>223</v>
      </c>
      <c r="M3721" s="534" t="s">
        <v>162</v>
      </c>
      <c r="N3721" s="525" t="str">
        <f>IF(AND('331-CT'!$E$7=TH!H3721,OR(L3721="331",M3721="331")),"331",IF(AND(OR(L3721="131",M3721="131"),H3721='131-CT'!$E$7),"131",""))</f>
        <v/>
      </c>
      <c r="O3721" s="525" t="str">
        <f>IF(AND($B3721&gt;='111'!$N$11,$B3721&lt;='111'!$O$11,OR($L3721=$O$7,$M3721=$O$7)),"x","")</f>
        <v/>
      </c>
      <c r="P3721" s="525" t="str">
        <f>IF(AND($L3721=$O$7,$B3721&lt;'111'!$N$11),"x","")</f>
        <v/>
      </c>
      <c r="Q3721" s="525" t="str">
        <f>IF(AND($M3721=$O$7,$B3721&lt;'111'!$N$11),"x","")</f>
        <v/>
      </c>
      <c r="R3721" s="525" t="str">
        <f>IF(ISERROR(FIND('112'!$M$9,G3721,1)),"",IF((AND(FIND('112'!$M$9,G3721,1)&gt;=1,$B3721&gt;='112'!$N$8,$B3721&lt;='112'!$O$8,OR($L3721='112'!$I$6,$M3721='112'!$I$6))),"x",""))</f>
        <v/>
      </c>
      <c r="S3721" s="525" t="str">
        <f>IF(ISERROR(FIND('112'!$M$9,G3721,1)),"",IF((AND(LEFT(G3721,2)=LEFT('112'!$M$9,2),B3721&lt;'112'!$N$8,$L3721='112'!$I$6)),"x",""))</f>
        <v/>
      </c>
      <c r="T3721" s="525" t="str">
        <f>IF(ISERROR(FIND('112'!$M$9,G3721,1)),"",IF((AND(RIGHT(G3721,2)=RIGHT('112'!$M$9,2),B3721&lt;'112'!$N$8,$M3721='112'!$I$6)),"x",""))</f>
        <v/>
      </c>
      <c r="U3721" s="525" t="str">
        <f>IF(AND(B3721&gt;='IN-NX'!$P$3,B3721&lt;='IN-NX'!$Q$3,'IN-NX'!$D$7=D3721,OR(LEFT(L3721,2)="15",AND(LEFT(M3721,2)&lt;&gt;"15",LEFT(M3721,2)&lt;&gt;"33"))),"x","")</f>
        <v/>
      </c>
      <c r="V3721" s="525" t="str">
        <f>IF(AND(OR(LEFT(TH!L3721,2)="15",LEFT(TH!M3721,2)="15"),'152-CT'!$J$8=TH!F3721),"x","")</f>
        <v/>
      </c>
      <c r="W3721" s="525" t="str">
        <f>IF(AND(OR(LEFT(TH!L3721,2)="15",LEFT(TH!M3721,2)="15"),TK!$E$7=TH!F3721),"x","")</f>
        <v/>
      </c>
      <c r="X3721" s="525" t="str">
        <f>IF(AND('341-CT'!$E$9=H3721,OR(LEFT(L3721,3)=$X$7,LEFT(M3721,3)=$X$7)),"x","")</f>
        <v/>
      </c>
      <c r="Y3721" s="525" t="str">
        <f>IF(OR(TH!L3721=TH!$Y$7,M3721=TH!$Y$7),"x","")</f>
        <v/>
      </c>
      <c r="Z3721" s="525" t="str">
        <f>IF(AND(B3721&lt;=NKC!$N$8,B3721&gt;=NKC!$M$8),"x","")</f>
        <v/>
      </c>
      <c r="AA3721" s="535"/>
      <c r="AB3721" s="536"/>
      <c r="AC3721" s="536" t="str">
        <f>VLOOKUP(F3721,NXT!$B$12:$B$686,1,0)</f>
        <v>Thùng 37x37x49</v>
      </c>
      <c r="AD3721" s="536"/>
    </row>
    <row r="3722" spans="1:30" s="503" customFormat="1" ht="15.75" customHeight="1">
      <c r="A3722" s="517" t="str">
        <f>IF(B3722&lt;&gt;"",IF(AND(B3722&gt;=_TM1,B3722&lt;=_TM2,OR(TH!L3722="1111",TH!M3722="1111")),TH!D3722,""),"")</f>
        <v/>
      </c>
      <c r="B3722" s="531">
        <f t="shared" si="414"/>
        <v>8</v>
      </c>
      <c r="C3722" s="315">
        <f t="shared" si="415"/>
        <v>42978</v>
      </c>
      <c r="D3722" s="544" t="s">
        <v>1181</v>
      </c>
      <c r="E3722" s="315">
        <v>42978</v>
      </c>
      <c r="F3722" s="250" t="s">
        <v>1245</v>
      </c>
      <c r="G3722" s="314" t="s">
        <v>1446</v>
      </c>
      <c r="H3722" s="473" t="s">
        <v>284</v>
      </c>
      <c r="I3722" s="307">
        <v>18</v>
      </c>
      <c r="J3722" s="307">
        <v>15772</v>
      </c>
      <c r="K3722" s="532">
        <f t="shared" si="416"/>
        <v>283896</v>
      </c>
      <c r="L3722" s="534" t="s">
        <v>223</v>
      </c>
      <c r="M3722" s="534" t="s">
        <v>162</v>
      </c>
      <c r="N3722" s="525" t="str">
        <f>IF(AND('331-CT'!$E$7=TH!H3722,OR(L3722="331",M3722="331")),"331",IF(AND(OR(L3722="131",M3722="131"),H3722='131-CT'!$E$7),"131",""))</f>
        <v/>
      </c>
      <c r="O3722" s="525" t="str">
        <f>IF(AND($B3722&gt;='111'!$N$11,$B3722&lt;='111'!$O$11,OR($L3722=$O$7,$M3722=$O$7)),"x","")</f>
        <v/>
      </c>
      <c r="P3722" s="525" t="str">
        <f>IF(AND($L3722=$O$7,$B3722&lt;'111'!$N$11),"x","")</f>
        <v/>
      </c>
      <c r="Q3722" s="525" t="str">
        <f>IF(AND($M3722=$O$7,$B3722&lt;'111'!$N$11),"x","")</f>
        <v/>
      </c>
      <c r="R3722" s="525" t="str">
        <f>IF(ISERROR(FIND('112'!$M$9,G3722,1)),"",IF((AND(FIND('112'!$M$9,G3722,1)&gt;=1,$B3722&gt;='112'!$N$8,$B3722&lt;='112'!$O$8,OR($L3722='112'!$I$6,$M3722='112'!$I$6))),"x",""))</f>
        <v/>
      </c>
      <c r="S3722" s="525" t="str">
        <f>IF(ISERROR(FIND('112'!$M$9,G3722,1)),"",IF((AND(LEFT(G3722,2)=LEFT('112'!$M$9,2),B3722&lt;'112'!$N$8,$L3722='112'!$I$6)),"x",""))</f>
        <v/>
      </c>
      <c r="T3722" s="525" t="str">
        <f>IF(ISERROR(FIND('112'!$M$9,G3722,1)),"",IF((AND(RIGHT(G3722,2)=RIGHT('112'!$M$9,2),B3722&lt;'112'!$N$8,$M3722='112'!$I$6)),"x",""))</f>
        <v/>
      </c>
      <c r="U3722" s="525" t="str">
        <f>IF(AND(B3722&gt;='IN-NX'!$P$3,B3722&lt;='IN-NX'!$Q$3,'IN-NX'!$D$7=D3722,OR(LEFT(L3722,2)="15",AND(LEFT(M3722,2)&lt;&gt;"15",LEFT(M3722,2)&lt;&gt;"33"))),"x","")</f>
        <v/>
      </c>
      <c r="V3722" s="525" t="str">
        <f>IF(AND(OR(LEFT(TH!L3722,2)="15",LEFT(TH!M3722,2)="15"),'152-CT'!$J$8=TH!F3722),"x","")</f>
        <v/>
      </c>
      <c r="W3722" s="525" t="str">
        <f>IF(AND(OR(LEFT(TH!L3722,2)="15",LEFT(TH!M3722,2)="15"),TK!$E$7=TH!F3722),"x","")</f>
        <v/>
      </c>
      <c r="X3722" s="525" t="str">
        <f>IF(AND('341-CT'!$E$9=H3722,OR(LEFT(L3722,3)=$X$7,LEFT(M3722,3)=$X$7)),"x","")</f>
        <v/>
      </c>
      <c r="Y3722" s="525" t="str">
        <f>IF(OR(TH!L3722=TH!$Y$7,M3722=TH!$Y$7),"x","")</f>
        <v/>
      </c>
      <c r="Z3722" s="525" t="str">
        <f>IF(AND(B3722&lt;=NKC!$N$8,B3722&gt;=NKC!$M$8),"x","")</f>
        <v/>
      </c>
      <c r="AA3722" s="535"/>
      <c r="AB3722" s="536"/>
      <c r="AC3722" s="536" t="str">
        <f>VLOOKUP(F3722,NXT!$B$12:$B$686,1,0)</f>
        <v>Thùng 36.5x32.5x48</v>
      </c>
    </row>
    <row r="3723" spans="1:30" s="503" customFormat="1" ht="15.75" customHeight="1">
      <c r="A3723" s="517" t="str">
        <f>IF(B3723&lt;&gt;"",IF(AND(B3723&gt;=_TM1,B3723&lt;=_TM2,OR(TH!L3723="1111",TH!M3723="1111")),TH!D3723,""),"")</f>
        <v/>
      </c>
      <c r="B3723" s="531">
        <f t="shared" si="414"/>
        <v>8</v>
      </c>
      <c r="C3723" s="315">
        <f t="shared" si="415"/>
        <v>42978</v>
      </c>
      <c r="D3723" s="544" t="s">
        <v>1181</v>
      </c>
      <c r="E3723" s="315">
        <v>42978</v>
      </c>
      <c r="F3723" s="250" t="s">
        <v>709</v>
      </c>
      <c r="G3723" s="314" t="s">
        <v>1446</v>
      </c>
      <c r="H3723" s="473" t="s">
        <v>284</v>
      </c>
      <c r="I3723" s="307">
        <v>60</v>
      </c>
      <c r="J3723" s="307">
        <v>40855</v>
      </c>
      <c r="K3723" s="532">
        <f t="shared" si="416"/>
        <v>2451300</v>
      </c>
      <c r="L3723" s="534" t="s">
        <v>223</v>
      </c>
      <c r="M3723" s="534" t="s">
        <v>162</v>
      </c>
      <c r="N3723" s="525" t="str">
        <f>IF(AND('331-CT'!$E$7=TH!H3723,OR(L3723="331",M3723="331")),"331",IF(AND(OR(L3723="131",M3723="131"),H3723='131-CT'!$E$7),"131",""))</f>
        <v/>
      </c>
      <c r="O3723" s="525" t="str">
        <f>IF(AND($B3723&gt;='111'!$N$11,$B3723&lt;='111'!$O$11,OR($L3723=$O$7,$M3723=$O$7)),"x","")</f>
        <v/>
      </c>
      <c r="P3723" s="525" t="str">
        <f>IF(AND($L3723=$O$7,$B3723&lt;'111'!$N$11),"x","")</f>
        <v/>
      </c>
      <c r="Q3723" s="525" t="str">
        <f>IF(AND($M3723=$O$7,$B3723&lt;'111'!$N$11),"x","")</f>
        <v/>
      </c>
      <c r="R3723" s="525" t="str">
        <f>IF(ISERROR(FIND('112'!$M$9,G3723,1)),"",IF((AND(FIND('112'!$M$9,G3723,1)&gt;=1,$B3723&gt;='112'!$N$8,$B3723&lt;='112'!$O$8,OR($L3723='112'!$I$6,$M3723='112'!$I$6))),"x",""))</f>
        <v/>
      </c>
      <c r="S3723" s="525" t="str">
        <f>IF(ISERROR(FIND('112'!$M$9,G3723,1)),"",IF((AND(LEFT(G3723,2)=LEFT('112'!$M$9,2),B3723&lt;'112'!$N$8,$L3723='112'!$I$6)),"x",""))</f>
        <v/>
      </c>
      <c r="T3723" s="525" t="str">
        <f>IF(ISERROR(FIND('112'!$M$9,G3723,1)),"",IF((AND(RIGHT(G3723,2)=RIGHT('112'!$M$9,2),B3723&lt;'112'!$N$8,$M3723='112'!$I$6)),"x",""))</f>
        <v/>
      </c>
      <c r="U3723" s="525" t="str">
        <f>IF(AND(B3723&gt;='IN-NX'!$P$3,B3723&lt;='IN-NX'!$Q$3,'IN-NX'!$D$7=D3723,OR(LEFT(L3723,2)="15",AND(LEFT(M3723,2)&lt;&gt;"15",LEFT(M3723,2)&lt;&gt;"33"))),"x","")</f>
        <v/>
      </c>
      <c r="V3723" s="525" t="str">
        <f>IF(AND(OR(LEFT(TH!L3723,2)="15",LEFT(TH!M3723,2)="15"),'152-CT'!$J$8=TH!F3723),"x","")</f>
        <v/>
      </c>
      <c r="W3723" s="525" t="str">
        <f>IF(AND(OR(LEFT(TH!L3723,2)="15",LEFT(TH!M3723,2)="15"),TK!$E$7=TH!F3723),"x","")</f>
        <v/>
      </c>
      <c r="X3723" s="525" t="str">
        <f>IF(AND('341-CT'!$E$9=H3723,OR(LEFT(L3723,3)=$X$7,LEFT(M3723,3)=$X$7)),"x","")</f>
        <v/>
      </c>
      <c r="Y3723" s="525" t="str">
        <f>IF(OR(TH!L3723=TH!$Y$7,M3723=TH!$Y$7),"x","")</f>
        <v/>
      </c>
      <c r="Z3723" s="525" t="str">
        <f>IF(AND(B3723&lt;=NKC!$N$8,B3723&gt;=NKC!$M$8),"x","")</f>
        <v/>
      </c>
      <c r="AA3723" s="535"/>
      <c r="AB3723" s="536"/>
      <c r="AC3723" s="536" t="str">
        <f>VLOOKUP(F3723,NXT!$B$12:$B$686,1,0)</f>
        <v>Thùng 48x48x52</v>
      </c>
      <c r="AD3723" s="536"/>
    </row>
    <row r="3724" spans="1:30" s="503" customFormat="1" ht="15.75" customHeight="1">
      <c r="A3724" s="517" t="str">
        <f>IF(B3724&lt;&gt;"",IF(AND(B3724&gt;=_TM1,B3724&lt;=_TM2,OR(TH!L3724="1111",TH!M3724="1111")),TH!D3724,""),"")</f>
        <v/>
      </c>
      <c r="B3724" s="531">
        <f t="shared" si="414"/>
        <v>8</v>
      </c>
      <c r="C3724" s="315">
        <f t="shared" si="415"/>
        <v>42978</v>
      </c>
      <c r="D3724" s="544" t="s">
        <v>1181</v>
      </c>
      <c r="E3724" s="315">
        <v>42978</v>
      </c>
      <c r="F3724" s="250" t="s">
        <v>1482</v>
      </c>
      <c r="G3724" s="314" t="s">
        <v>1446</v>
      </c>
      <c r="H3724" s="473" t="s">
        <v>284</v>
      </c>
      <c r="I3724" s="307">
        <v>10</v>
      </c>
      <c r="J3724" s="307">
        <v>20493</v>
      </c>
      <c r="K3724" s="532">
        <f t="shared" si="416"/>
        <v>204930</v>
      </c>
      <c r="L3724" s="534" t="s">
        <v>223</v>
      </c>
      <c r="M3724" s="534" t="s">
        <v>162</v>
      </c>
      <c r="N3724" s="525" t="str">
        <f>IF(AND('331-CT'!$E$7=TH!H3724,OR(L3724="331",M3724="331")),"331",IF(AND(OR(L3724="131",M3724="131"),H3724='131-CT'!$E$7),"131",""))</f>
        <v/>
      </c>
      <c r="O3724" s="525" t="str">
        <f>IF(AND($B3724&gt;='111'!$N$11,$B3724&lt;='111'!$O$11,OR($L3724=$O$7,$M3724=$O$7)),"x","")</f>
        <v/>
      </c>
      <c r="P3724" s="525" t="str">
        <f>IF(AND($L3724=$O$7,$B3724&lt;'111'!$N$11),"x","")</f>
        <v/>
      </c>
      <c r="Q3724" s="525" t="str">
        <f>IF(AND($M3724=$O$7,$B3724&lt;'111'!$N$11),"x","")</f>
        <v/>
      </c>
      <c r="R3724" s="525" t="str">
        <f>IF(ISERROR(FIND('112'!$M$9,G3724,1)),"",IF((AND(FIND('112'!$M$9,G3724,1)&gt;=1,$B3724&gt;='112'!$N$8,$B3724&lt;='112'!$O$8,OR($L3724='112'!$I$6,$M3724='112'!$I$6))),"x",""))</f>
        <v/>
      </c>
      <c r="S3724" s="525" t="str">
        <f>IF(ISERROR(FIND('112'!$M$9,G3724,1)),"",IF((AND(LEFT(G3724,2)=LEFT('112'!$M$9,2),B3724&lt;'112'!$N$8,$L3724='112'!$I$6)),"x",""))</f>
        <v/>
      </c>
      <c r="T3724" s="525" t="str">
        <f>IF(ISERROR(FIND('112'!$M$9,G3724,1)),"",IF((AND(RIGHT(G3724,2)=RIGHT('112'!$M$9,2),B3724&lt;'112'!$N$8,$M3724='112'!$I$6)),"x",""))</f>
        <v/>
      </c>
      <c r="U3724" s="525" t="str">
        <f>IF(AND(B3724&gt;='IN-NX'!$P$3,B3724&lt;='IN-NX'!$Q$3,'IN-NX'!$D$7=D3724,OR(LEFT(L3724,2)="15",AND(LEFT(M3724,2)&lt;&gt;"15",LEFT(M3724,2)&lt;&gt;"33"))),"x","")</f>
        <v/>
      </c>
      <c r="V3724" s="525" t="str">
        <f>IF(AND(OR(LEFT(TH!L3724,2)="15",LEFT(TH!M3724,2)="15"),'152-CT'!$J$8=TH!F3724),"x","")</f>
        <v/>
      </c>
      <c r="W3724" s="525" t="str">
        <f>IF(AND(OR(LEFT(TH!L3724,2)="15",LEFT(TH!M3724,2)="15"),TK!$E$7=TH!F3724),"x","")</f>
        <v/>
      </c>
      <c r="X3724" s="525" t="str">
        <f>IF(AND('341-CT'!$E$9=H3724,OR(LEFT(L3724,3)=$X$7,LEFT(M3724,3)=$X$7)),"x","")</f>
        <v/>
      </c>
      <c r="Y3724" s="525" t="str">
        <f>IF(OR(TH!L3724=TH!$Y$7,M3724=TH!$Y$7),"x","")</f>
        <v/>
      </c>
      <c r="Z3724" s="525" t="str">
        <f>IF(AND(B3724&lt;=NKC!$N$8,B3724&gt;=NKC!$M$8),"x","")</f>
        <v/>
      </c>
      <c r="AA3724" s="535"/>
      <c r="AB3724" s="536"/>
      <c r="AC3724" s="536" t="str">
        <f>VLOOKUP(F3724,NXT!$B$12:$B$686,1,0)</f>
        <v>Thùng 41x41x48</v>
      </c>
      <c r="AD3724" s="536"/>
    </row>
    <row r="3725" spans="1:30" s="503" customFormat="1" ht="15.75" customHeight="1">
      <c r="A3725" s="517" t="str">
        <f>IF(B3725&lt;&gt;"",IF(AND(B3725&gt;=_TM1,B3725&lt;=_TM2,OR(TH!L3725="1111",TH!M3725="1111")),TH!D3725,""),"")</f>
        <v/>
      </c>
      <c r="B3725" s="531">
        <f t="shared" si="414"/>
        <v>8</v>
      </c>
      <c r="C3725" s="315">
        <f t="shared" si="415"/>
        <v>42978</v>
      </c>
      <c r="D3725" s="544" t="s">
        <v>1181</v>
      </c>
      <c r="E3725" s="315">
        <v>42978</v>
      </c>
      <c r="F3725" s="250" t="s">
        <v>712</v>
      </c>
      <c r="G3725" s="314" t="s">
        <v>1446</v>
      </c>
      <c r="H3725" s="473" t="s">
        <v>284</v>
      </c>
      <c r="I3725" s="307">
        <v>98</v>
      </c>
      <c r="J3725" s="307">
        <v>48874</v>
      </c>
      <c r="K3725" s="532">
        <f t="shared" si="416"/>
        <v>4789652</v>
      </c>
      <c r="L3725" s="534" t="s">
        <v>223</v>
      </c>
      <c r="M3725" s="534" t="s">
        <v>162</v>
      </c>
      <c r="N3725" s="525" t="str">
        <f>IF(AND('331-CT'!$E$7=TH!H3725,OR(L3725="331",M3725="331")),"331",IF(AND(OR(L3725="131",M3725="131"),H3725='131-CT'!$E$7),"131",""))</f>
        <v/>
      </c>
      <c r="O3725" s="525" t="str">
        <f>IF(AND($B3725&gt;='111'!$N$11,$B3725&lt;='111'!$O$11,OR($L3725=$O$7,$M3725=$O$7)),"x","")</f>
        <v/>
      </c>
      <c r="P3725" s="525" t="str">
        <f>IF(AND($L3725=$O$7,$B3725&lt;'111'!$N$11),"x","")</f>
        <v/>
      </c>
      <c r="Q3725" s="525" t="str">
        <f>IF(AND($M3725=$O$7,$B3725&lt;'111'!$N$11),"x","")</f>
        <v/>
      </c>
      <c r="R3725" s="525" t="str">
        <f>IF(ISERROR(FIND('112'!$M$9,G3725,1)),"",IF((AND(FIND('112'!$M$9,G3725,1)&gt;=1,$B3725&gt;='112'!$N$8,$B3725&lt;='112'!$O$8,OR($L3725='112'!$I$6,$M3725='112'!$I$6))),"x",""))</f>
        <v/>
      </c>
      <c r="S3725" s="525" t="str">
        <f>IF(ISERROR(FIND('112'!$M$9,G3725,1)),"",IF((AND(LEFT(G3725,2)=LEFT('112'!$M$9,2),B3725&lt;'112'!$N$8,$L3725='112'!$I$6)),"x",""))</f>
        <v/>
      </c>
      <c r="T3725" s="525" t="str">
        <f>IF(ISERROR(FIND('112'!$M$9,G3725,1)),"",IF((AND(RIGHT(G3725,2)=RIGHT('112'!$M$9,2),B3725&lt;'112'!$N$8,$M3725='112'!$I$6)),"x",""))</f>
        <v/>
      </c>
      <c r="U3725" s="525" t="str">
        <f>IF(AND(B3725&gt;='IN-NX'!$P$3,B3725&lt;='IN-NX'!$Q$3,'IN-NX'!$D$7=D3725,OR(LEFT(L3725,2)="15",AND(LEFT(M3725,2)&lt;&gt;"15",LEFT(M3725,2)&lt;&gt;"33"))),"x","")</f>
        <v/>
      </c>
      <c r="V3725" s="525" t="str">
        <f>IF(AND(OR(LEFT(TH!L3725,2)="15",LEFT(TH!M3725,2)="15"),'152-CT'!$J$8=TH!F3725),"x","")</f>
        <v/>
      </c>
      <c r="W3725" s="525" t="str">
        <f>IF(AND(OR(LEFT(TH!L3725,2)="15",LEFT(TH!M3725,2)="15"),TK!$E$7=TH!F3725),"x","")</f>
        <v/>
      </c>
      <c r="X3725" s="525" t="str">
        <f>IF(AND('341-CT'!$E$9=H3725,OR(LEFT(L3725,3)=$X$7,LEFT(M3725,3)=$X$7)),"x","")</f>
        <v/>
      </c>
      <c r="Y3725" s="525" t="str">
        <f>IF(OR(TH!L3725=TH!$Y$7,M3725=TH!$Y$7),"x","")</f>
        <v/>
      </c>
      <c r="Z3725" s="525" t="str">
        <f>IF(AND(B3725&lt;=NKC!$N$8,B3725&gt;=NKC!$M$8),"x","")</f>
        <v/>
      </c>
      <c r="AA3725" s="535"/>
      <c r="AB3725" s="536"/>
      <c r="AC3725" s="536" t="str">
        <f>VLOOKUP(F3725,NXT!$B$12:$B$686,1,0)</f>
        <v>Thùng 55x53x52</v>
      </c>
    </row>
    <row r="3726" spans="1:30" s="503" customFormat="1" ht="15.75" customHeight="1">
      <c r="A3726" s="517" t="str">
        <f>IF(B3726&lt;&gt;"",IF(AND(B3726&gt;=_TM1,B3726&lt;=_TM2,OR(TH!L3726="1111",TH!M3726="1111")),TH!D3726,""),"")</f>
        <v/>
      </c>
      <c r="B3726" s="531">
        <f t="shared" si="414"/>
        <v>8</v>
      </c>
      <c r="C3726" s="315">
        <f t="shared" si="415"/>
        <v>42978</v>
      </c>
      <c r="D3726" s="544" t="s">
        <v>1181</v>
      </c>
      <c r="E3726" s="315">
        <v>42978</v>
      </c>
      <c r="F3726" s="250" t="s">
        <v>1227</v>
      </c>
      <c r="G3726" s="314" t="s">
        <v>1446</v>
      </c>
      <c r="H3726" s="473" t="s">
        <v>284</v>
      </c>
      <c r="I3726" s="307">
        <v>24</v>
      </c>
      <c r="J3726" s="307">
        <v>21582</v>
      </c>
      <c r="K3726" s="532">
        <f t="shared" si="416"/>
        <v>517968</v>
      </c>
      <c r="L3726" s="534" t="s">
        <v>223</v>
      </c>
      <c r="M3726" s="534" t="s">
        <v>162</v>
      </c>
      <c r="N3726" s="525" t="str">
        <f>IF(AND('331-CT'!$E$7=TH!H3726,OR(L3726="331",M3726="331")),"331",IF(AND(OR(L3726="131",M3726="131"),H3726='131-CT'!$E$7),"131",""))</f>
        <v/>
      </c>
      <c r="O3726" s="525" t="str">
        <f>IF(AND($B3726&gt;='111'!$N$11,$B3726&lt;='111'!$O$11,OR($L3726=$O$7,$M3726=$O$7)),"x","")</f>
        <v/>
      </c>
      <c r="P3726" s="525" t="str">
        <f>IF(AND($L3726=$O$7,$B3726&lt;'111'!$N$11),"x","")</f>
        <v/>
      </c>
      <c r="Q3726" s="525" t="str">
        <f>IF(AND($M3726=$O$7,$B3726&lt;'111'!$N$11),"x","")</f>
        <v/>
      </c>
      <c r="R3726" s="525" t="str">
        <f>IF(ISERROR(FIND('112'!$M$9,G3726,1)),"",IF((AND(FIND('112'!$M$9,G3726,1)&gt;=1,$B3726&gt;='112'!$N$8,$B3726&lt;='112'!$O$8,OR($L3726='112'!$I$6,$M3726='112'!$I$6))),"x",""))</f>
        <v/>
      </c>
      <c r="S3726" s="525" t="str">
        <f>IF(ISERROR(FIND('112'!$M$9,G3726,1)),"",IF((AND(LEFT(G3726,2)=LEFT('112'!$M$9,2),B3726&lt;'112'!$N$8,$L3726='112'!$I$6)),"x",""))</f>
        <v/>
      </c>
      <c r="T3726" s="525" t="str">
        <f>IF(ISERROR(FIND('112'!$M$9,G3726,1)),"",IF((AND(RIGHT(G3726,2)=RIGHT('112'!$M$9,2),B3726&lt;'112'!$N$8,$M3726='112'!$I$6)),"x",""))</f>
        <v/>
      </c>
      <c r="U3726" s="525" t="str">
        <f>IF(AND(B3726&gt;='IN-NX'!$P$3,B3726&lt;='IN-NX'!$Q$3,'IN-NX'!$D$7=D3726,OR(LEFT(L3726,2)="15",AND(LEFT(M3726,2)&lt;&gt;"15",LEFT(M3726,2)&lt;&gt;"33"))),"x","")</f>
        <v/>
      </c>
      <c r="V3726" s="525" t="str">
        <f>IF(AND(OR(LEFT(TH!L3726,2)="15",LEFT(TH!M3726,2)="15"),'152-CT'!$J$8=TH!F3726),"x","")</f>
        <v/>
      </c>
      <c r="W3726" s="525" t="str">
        <f>IF(AND(OR(LEFT(TH!L3726,2)="15",LEFT(TH!M3726,2)="15"),TK!$E$7=TH!F3726),"x","")</f>
        <v/>
      </c>
      <c r="X3726" s="525" t="str">
        <f>IF(AND('341-CT'!$E$9=H3726,OR(LEFT(L3726,3)=$X$7,LEFT(M3726,3)=$X$7)),"x","")</f>
        <v/>
      </c>
      <c r="Y3726" s="525" t="str">
        <f>IF(OR(TH!L3726=TH!$Y$7,M3726=TH!$Y$7),"x","")</f>
        <v/>
      </c>
      <c r="Z3726" s="525" t="str">
        <f>IF(AND(B3726&lt;=NKC!$N$8,B3726&gt;=NKC!$M$8),"x","")</f>
        <v/>
      </c>
      <c r="AA3726" s="535"/>
      <c r="AB3726" s="536"/>
      <c r="AC3726" s="536" t="str">
        <f>VLOOKUP(F3726,NXT!$B$12:$B$686,1,0)</f>
        <v>Thùng 43.5x43.5x45</v>
      </c>
      <c r="AD3726" s="536"/>
    </row>
    <row r="3727" spans="1:30" s="503" customFormat="1" ht="15.75" customHeight="1">
      <c r="A3727" s="517" t="str">
        <f>IF(B3727&lt;&gt;"",IF(AND(B3727&gt;=_TM1,B3727&lt;=_TM2,OR(TH!L3727="1111",TH!M3727="1111")),TH!D3727,""),"")</f>
        <v/>
      </c>
      <c r="B3727" s="531">
        <f t="shared" si="414"/>
        <v>8</v>
      </c>
      <c r="C3727" s="315">
        <f t="shared" si="415"/>
        <v>42978</v>
      </c>
      <c r="D3727" s="544" t="s">
        <v>1181</v>
      </c>
      <c r="E3727" s="315">
        <v>42978</v>
      </c>
      <c r="F3727" s="250" t="s">
        <v>642</v>
      </c>
      <c r="G3727" s="314" t="s">
        <v>1446</v>
      </c>
      <c r="H3727" s="473" t="s">
        <v>284</v>
      </c>
      <c r="I3727" s="307">
        <v>24</v>
      </c>
      <c r="J3727" s="307">
        <v>19832</v>
      </c>
      <c r="K3727" s="532">
        <f t="shared" si="416"/>
        <v>475968</v>
      </c>
      <c r="L3727" s="534" t="s">
        <v>223</v>
      </c>
      <c r="M3727" s="534" t="s">
        <v>162</v>
      </c>
      <c r="N3727" s="525" t="str">
        <f>IF(AND('331-CT'!$E$7=TH!H3727,OR(L3727="331",M3727="331")),"331",IF(AND(OR(L3727="131",M3727="131"),H3727='131-CT'!$E$7),"131",""))</f>
        <v/>
      </c>
      <c r="O3727" s="525" t="str">
        <f>IF(AND($B3727&gt;='111'!$N$11,$B3727&lt;='111'!$O$11,OR($L3727=$O$7,$M3727=$O$7)),"x","")</f>
        <v/>
      </c>
      <c r="P3727" s="525" t="str">
        <f>IF(AND($L3727=$O$7,$B3727&lt;'111'!$N$11),"x","")</f>
        <v/>
      </c>
      <c r="Q3727" s="525" t="str">
        <f>IF(AND($M3727=$O$7,$B3727&lt;'111'!$N$11),"x","")</f>
        <v/>
      </c>
      <c r="R3727" s="525" t="str">
        <f>IF(ISERROR(FIND('112'!$M$9,G3727,1)),"",IF((AND(FIND('112'!$M$9,G3727,1)&gt;=1,$B3727&gt;='112'!$N$8,$B3727&lt;='112'!$O$8,OR($L3727='112'!$I$6,$M3727='112'!$I$6))),"x",""))</f>
        <v/>
      </c>
      <c r="S3727" s="525" t="str">
        <f>IF(ISERROR(FIND('112'!$M$9,G3727,1)),"",IF((AND(LEFT(G3727,2)=LEFT('112'!$M$9,2),B3727&lt;'112'!$N$8,$L3727='112'!$I$6)),"x",""))</f>
        <v/>
      </c>
      <c r="T3727" s="525" t="str">
        <f>IF(ISERROR(FIND('112'!$M$9,G3727,1)),"",IF((AND(RIGHT(G3727,2)=RIGHT('112'!$M$9,2),B3727&lt;'112'!$N$8,$M3727='112'!$I$6)),"x",""))</f>
        <v/>
      </c>
      <c r="U3727" s="525" t="str">
        <f>IF(AND(B3727&gt;='IN-NX'!$P$3,B3727&lt;='IN-NX'!$Q$3,'IN-NX'!$D$7=D3727,OR(LEFT(L3727,2)="15",AND(LEFT(M3727,2)&lt;&gt;"15",LEFT(M3727,2)&lt;&gt;"33"))),"x","")</f>
        <v/>
      </c>
      <c r="V3727" s="525" t="str">
        <f>IF(AND(OR(LEFT(TH!L3727,2)="15",LEFT(TH!M3727,2)="15"),'152-CT'!$J$8=TH!F3727),"x","")</f>
        <v/>
      </c>
      <c r="W3727" s="525" t="str">
        <f>IF(AND(OR(LEFT(TH!L3727,2)="15",LEFT(TH!M3727,2)="15"),TK!$E$7=TH!F3727),"x","")</f>
        <v/>
      </c>
      <c r="X3727" s="525" t="str">
        <f>IF(AND('341-CT'!$E$9=H3727,OR(LEFT(L3727,3)=$X$7,LEFT(M3727,3)=$X$7)),"x","")</f>
        <v/>
      </c>
      <c r="Y3727" s="525" t="str">
        <f>IF(OR(TH!L3727=TH!$Y$7,M3727=TH!$Y$7),"x","")</f>
        <v/>
      </c>
      <c r="Z3727" s="525" t="str">
        <f>IF(AND(B3727&lt;=NKC!$N$8,B3727&gt;=NKC!$M$8),"x","")</f>
        <v/>
      </c>
      <c r="AA3727" s="535"/>
      <c r="AB3727" s="536"/>
      <c r="AC3727" s="536" t="str">
        <f>VLOOKUP(F3727,NXT!$B$12:$B$686,1,0)</f>
        <v>Thùng 41x41x45</v>
      </c>
      <c r="AD3727" s="536"/>
    </row>
    <row r="3728" spans="1:30" s="503" customFormat="1" ht="15.75" customHeight="1">
      <c r="A3728" s="517" t="str">
        <f>IF(B3728&lt;&gt;"",IF(AND(B3728&gt;=_TM1,B3728&lt;=_TM2,OR(TH!L3728="1111",TH!M3728="1111")),TH!D3728,""),"")</f>
        <v/>
      </c>
      <c r="B3728" s="531">
        <f t="shared" si="414"/>
        <v>8</v>
      </c>
      <c r="C3728" s="315">
        <f t="shared" si="415"/>
        <v>42978</v>
      </c>
      <c r="D3728" s="544" t="s">
        <v>1181</v>
      </c>
      <c r="E3728" s="315">
        <v>42978</v>
      </c>
      <c r="F3728" s="250" t="s">
        <v>708</v>
      </c>
      <c r="G3728" s="314" t="s">
        <v>1446</v>
      </c>
      <c r="H3728" s="473" t="s">
        <v>284</v>
      </c>
      <c r="I3728" s="307">
        <v>24</v>
      </c>
      <c r="J3728" s="307">
        <v>23591</v>
      </c>
      <c r="K3728" s="532">
        <f t="shared" si="416"/>
        <v>566184</v>
      </c>
      <c r="L3728" s="534" t="s">
        <v>223</v>
      </c>
      <c r="M3728" s="534" t="s">
        <v>162</v>
      </c>
      <c r="N3728" s="525" t="str">
        <f>IF(AND('331-CT'!$E$7=TH!H3728,OR(L3728="331",M3728="331")),"331",IF(AND(OR(L3728="131",M3728="131"),H3728='131-CT'!$E$7),"131",""))</f>
        <v/>
      </c>
      <c r="O3728" s="525" t="str">
        <f>IF(AND($B3728&gt;='111'!$N$11,$B3728&lt;='111'!$O$11,OR($L3728=$O$7,$M3728=$O$7)),"x","")</f>
        <v/>
      </c>
      <c r="P3728" s="525" t="str">
        <f>IF(AND($L3728=$O$7,$B3728&lt;'111'!$N$11),"x","")</f>
        <v/>
      </c>
      <c r="Q3728" s="525" t="str">
        <f>IF(AND($M3728=$O$7,$B3728&lt;'111'!$N$11),"x","")</f>
        <v/>
      </c>
      <c r="R3728" s="525" t="str">
        <f>IF(ISERROR(FIND('112'!$M$9,G3728,1)),"",IF((AND(FIND('112'!$M$9,G3728,1)&gt;=1,$B3728&gt;='112'!$N$8,$B3728&lt;='112'!$O$8,OR($L3728='112'!$I$6,$M3728='112'!$I$6))),"x",""))</f>
        <v/>
      </c>
      <c r="S3728" s="525" t="str">
        <f>IF(ISERROR(FIND('112'!$M$9,G3728,1)),"",IF((AND(LEFT(G3728,2)=LEFT('112'!$M$9,2),B3728&lt;'112'!$N$8,$L3728='112'!$I$6)),"x",""))</f>
        <v/>
      </c>
      <c r="T3728" s="525" t="str">
        <f>IF(ISERROR(FIND('112'!$M$9,G3728,1)),"",IF((AND(RIGHT(G3728,2)=RIGHT('112'!$M$9,2),B3728&lt;'112'!$N$8,$M3728='112'!$I$6)),"x",""))</f>
        <v/>
      </c>
      <c r="U3728" s="525" t="str">
        <f>IF(AND(B3728&gt;='IN-NX'!$P$3,B3728&lt;='IN-NX'!$Q$3,'IN-NX'!$D$7=D3728,OR(LEFT(L3728,2)="15",AND(LEFT(M3728,2)&lt;&gt;"15",LEFT(M3728,2)&lt;&gt;"33"))),"x","")</f>
        <v/>
      </c>
      <c r="V3728" s="525" t="str">
        <f>IF(AND(OR(LEFT(TH!L3728,2)="15",LEFT(TH!M3728,2)="15"),'152-CT'!$J$8=TH!F3728),"x","")</f>
        <v/>
      </c>
      <c r="W3728" s="525" t="str">
        <f>IF(AND(OR(LEFT(TH!L3728,2)="15",LEFT(TH!M3728,2)="15"),TK!$E$7=TH!F3728),"x","")</f>
        <v/>
      </c>
      <c r="X3728" s="525" t="str">
        <f>IF(AND('341-CT'!$E$9=H3728,OR(LEFT(L3728,3)=$X$7,LEFT(M3728,3)=$X$7)),"x","")</f>
        <v/>
      </c>
      <c r="Y3728" s="525" t="str">
        <f>IF(OR(TH!L3728=TH!$Y$7,M3728=TH!$Y$7),"x","")</f>
        <v/>
      </c>
      <c r="Z3728" s="525" t="str">
        <f>IF(AND(B3728&lt;=NKC!$N$8,B3728&gt;=NKC!$M$8),"x","")</f>
        <v/>
      </c>
      <c r="AA3728" s="535"/>
      <c r="AB3728" s="536"/>
      <c r="AC3728" s="536" t="str">
        <f>VLOOKUP(F3728,NXT!$B$12:$B$686,1,0)</f>
        <v>Thùng 44x44x52</v>
      </c>
    </row>
    <row r="3729" spans="1:30" s="503" customFormat="1" ht="15.75" customHeight="1">
      <c r="A3729" s="517" t="str">
        <f>IF(B3729&lt;&gt;"",IF(AND(B3729&gt;=_TM1,B3729&lt;=_TM2,OR(TH!L3729="1111",TH!M3729="1111")),TH!D3729,""),"")</f>
        <v/>
      </c>
      <c r="B3729" s="531">
        <f t="shared" si="414"/>
        <v>8</v>
      </c>
      <c r="C3729" s="315">
        <f t="shared" si="415"/>
        <v>42978</v>
      </c>
      <c r="D3729" s="544" t="s">
        <v>1181</v>
      </c>
      <c r="E3729" s="315">
        <v>42978</v>
      </c>
      <c r="F3729" s="250" t="s">
        <v>714</v>
      </c>
      <c r="G3729" s="314" t="s">
        <v>1446</v>
      </c>
      <c r="H3729" s="473" t="s">
        <v>284</v>
      </c>
      <c r="I3729" s="307">
        <v>24</v>
      </c>
      <c r="J3729" s="307">
        <v>31899</v>
      </c>
      <c r="K3729" s="532">
        <f t="shared" si="416"/>
        <v>765576</v>
      </c>
      <c r="L3729" s="534" t="s">
        <v>223</v>
      </c>
      <c r="M3729" s="534" t="s">
        <v>162</v>
      </c>
      <c r="N3729" s="525" t="str">
        <f>IF(AND('331-CT'!$E$7=TH!H3729,OR(L3729="331",M3729="331")),"331",IF(AND(OR(L3729="131",M3729="131"),H3729='131-CT'!$E$7),"131",""))</f>
        <v/>
      </c>
      <c r="O3729" s="525" t="str">
        <f>IF(AND($B3729&gt;='111'!$N$11,$B3729&lt;='111'!$O$11,OR($L3729=$O$7,$M3729=$O$7)),"x","")</f>
        <v/>
      </c>
      <c r="P3729" s="525" t="str">
        <f>IF(AND($L3729=$O$7,$B3729&lt;'111'!$N$11),"x","")</f>
        <v/>
      </c>
      <c r="Q3729" s="525" t="str">
        <f>IF(AND($M3729=$O$7,$B3729&lt;'111'!$N$11),"x","")</f>
        <v/>
      </c>
      <c r="R3729" s="525" t="str">
        <f>IF(ISERROR(FIND('112'!$M$9,G3729,1)),"",IF((AND(FIND('112'!$M$9,G3729,1)&gt;=1,$B3729&gt;='112'!$N$8,$B3729&lt;='112'!$O$8,OR($L3729='112'!$I$6,$M3729='112'!$I$6))),"x",""))</f>
        <v/>
      </c>
      <c r="S3729" s="525" t="str">
        <f>IF(ISERROR(FIND('112'!$M$9,G3729,1)),"",IF((AND(LEFT(G3729,2)=LEFT('112'!$M$9,2),B3729&lt;'112'!$N$8,$L3729='112'!$I$6)),"x",""))</f>
        <v/>
      </c>
      <c r="T3729" s="525" t="str">
        <f>IF(ISERROR(FIND('112'!$M$9,G3729,1)),"",IF((AND(RIGHT(G3729,2)=RIGHT('112'!$M$9,2),B3729&lt;'112'!$N$8,$M3729='112'!$I$6)),"x",""))</f>
        <v/>
      </c>
      <c r="U3729" s="525" t="str">
        <f>IF(AND(B3729&gt;='IN-NX'!$P$3,B3729&lt;='IN-NX'!$Q$3,'IN-NX'!$D$7=D3729,OR(LEFT(L3729,2)="15",AND(LEFT(M3729,2)&lt;&gt;"15",LEFT(M3729,2)&lt;&gt;"33"))),"x","")</f>
        <v/>
      </c>
      <c r="V3729" s="525" t="str">
        <f>IF(AND(OR(LEFT(TH!L3729,2)="15",LEFT(TH!M3729,2)="15"),'152-CT'!$J$8=TH!F3729),"x","")</f>
        <v/>
      </c>
      <c r="W3729" s="525" t="str">
        <f>IF(AND(OR(LEFT(TH!L3729,2)="15",LEFT(TH!M3729,2)="15"),TK!$E$7=TH!F3729),"x","")</f>
        <v/>
      </c>
      <c r="X3729" s="525" t="str">
        <f>IF(AND('341-CT'!$E$9=H3729,OR(LEFT(L3729,3)=$X$7,LEFT(M3729,3)=$X$7)),"x","")</f>
        <v/>
      </c>
      <c r="Y3729" s="525" t="str">
        <f>IF(OR(TH!L3729=TH!$Y$7,M3729=TH!$Y$7),"x","")</f>
        <v/>
      </c>
      <c r="Z3729" s="525" t="str">
        <f>IF(AND(B3729&lt;=NKC!$N$8,B3729&gt;=NKC!$M$8),"x","")</f>
        <v/>
      </c>
      <c r="AA3729" s="535"/>
      <c r="AB3729" s="536"/>
      <c r="AC3729" s="536" t="str">
        <f>VLOOKUP(F3729,NXT!$B$12:$B$686,1,0)</f>
        <v>Thùng 55x55x48</v>
      </c>
      <c r="AD3729" s="536"/>
    </row>
    <row r="3730" spans="1:30" s="503" customFormat="1" ht="15.75" customHeight="1">
      <c r="A3730" s="517" t="str">
        <f>IF(B3730&lt;&gt;"",IF(AND(B3730&gt;=_TM1,B3730&lt;=_TM2,OR(TH!L3730="1111",TH!M3730="1111")),TH!D3730,""),"")</f>
        <v/>
      </c>
      <c r="B3730" s="531">
        <f t="shared" si="414"/>
        <v>8</v>
      </c>
      <c r="C3730" s="315">
        <f t="shared" si="415"/>
        <v>42978</v>
      </c>
      <c r="D3730" s="544" t="s">
        <v>1181</v>
      </c>
      <c r="E3730" s="315">
        <v>42978</v>
      </c>
      <c r="F3730" s="250" t="s">
        <v>1483</v>
      </c>
      <c r="G3730" s="314" t="s">
        <v>1446</v>
      </c>
      <c r="H3730" s="473" t="s">
        <v>284</v>
      </c>
      <c r="I3730" s="307">
        <v>36</v>
      </c>
      <c r="J3730" s="307">
        <v>7007</v>
      </c>
      <c r="K3730" s="532">
        <f t="shared" si="416"/>
        <v>252252</v>
      </c>
      <c r="L3730" s="534" t="s">
        <v>223</v>
      </c>
      <c r="M3730" s="534" t="s">
        <v>162</v>
      </c>
      <c r="N3730" s="525" t="str">
        <f>IF(AND('331-CT'!$E$7=TH!H3730,OR(L3730="331",M3730="331")),"331",IF(AND(OR(L3730="131",M3730="131"),H3730='131-CT'!$E$7),"131",""))</f>
        <v/>
      </c>
      <c r="O3730" s="525" t="str">
        <f>IF(AND($B3730&gt;='111'!$N$11,$B3730&lt;='111'!$O$11,OR($L3730=$O$7,$M3730=$O$7)),"x","")</f>
        <v/>
      </c>
      <c r="P3730" s="525" t="str">
        <f>IF(AND($L3730=$O$7,$B3730&lt;'111'!$N$11),"x","")</f>
        <v/>
      </c>
      <c r="Q3730" s="525" t="str">
        <f>IF(AND($M3730=$O$7,$B3730&lt;'111'!$N$11),"x","")</f>
        <v/>
      </c>
      <c r="R3730" s="525" t="str">
        <f>IF(ISERROR(FIND('112'!$M$9,G3730,1)),"",IF((AND(FIND('112'!$M$9,G3730,1)&gt;=1,$B3730&gt;='112'!$N$8,$B3730&lt;='112'!$O$8,OR($L3730='112'!$I$6,$M3730='112'!$I$6))),"x",""))</f>
        <v/>
      </c>
      <c r="S3730" s="525" t="str">
        <f>IF(ISERROR(FIND('112'!$M$9,G3730,1)),"",IF((AND(LEFT(G3730,2)=LEFT('112'!$M$9,2),B3730&lt;'112'!$N$8,$L3730='112'!$I$6)),"x",""))</f>
        <v/>
      </c>
      <c r="T3730" s="525" t="str">
        <f>IF(ISERROR(FIND('112'!$M$9,G3730,1)),"",IF((AND(RIGHT(G3730,2)=RIGHT('112'!$M$9,2),B3730&lt;'112'!$N$8,$M3730='112'!$I$6)),"x",""))</f>
        <v/>
      </c>
      <c r="U3730" s="525" t="str">
        <f>IF(AND(B3730&gt;='IN-NX'!$P$3,B3730&lt;='IN-NX'!$Q$3,'IN-NX'!$D$7=D3730,OR(LEFT(L3730,2)="15",AND(LEFT(M3730,2)&lt;&gt;"15",LEFT(M3730,2)&lt;&gt;"33"))),"x","")</f>
        <v/>
      </c>
      <c r="V3730" s="525" t="str">
        <f>IF(AND(OR(LEFT(TH!L3730,2)="15",LEFT(TH!M3730,2)="15"),'152-CT'!$J$8=TH!F3730),"x","")</f>
        <v/>
      </c>
      <c r="W3730" s="525" t="str">
        <f>IF(AND(OR(LEFT(TH!L3730,2)="15",LEFT(TH!M3730,2)="15"),TK!$E$7=TH!F3730),"x","")</f>
        <v/>
      </c>
      <c r="X3730" s="525" t="str">
        <f>IF(AND('341-CT'!$E$9=H3730,OR(LEFT(L3730,3)=$X$7,LEFT(M3730,3)=$X$7)),"x","")</f>
        <v/>
      </c>
      <c r="Y3730" s="525" t="str">
        <f>IF(OR(TH!L3730=TH!$Y$7,M3730=TH!$Y$7),"x","")</f>
        <v/>
      </c>
      <c r="Z3730" s="525" t="str">
        <f>IF(AND(B3730&lt;=NKC!$N$8,B3730&gt;=NKC!$M$8),"x","")</f>
        <v/>
      </c>
      <c r="AA3730" s="535"/>
      <c r="AB3730" s="536"/>
      <c r="AC3730" s="536" t="str">
        <f>VLOOKUP(F3730,NXT!$B$12:$B$686,1,0)</f>
        <v>Thùng 25x25x22</v>
      </c>
      <c r="AD3730" s="536"/>
    </row>
    <row r="3731" spans="1:30" s="503" customFormat="1" ht="15.75" customHeight="1">
      <c r="A3731" s="517" t="str">
        <f>IF(B3731&lt;&gt;"",IF(AND(B3731&gt;=_TM1,B3731&lt;=_TM2,OR(TH!L3731="1111",TH!M3731="1111")),TH!D3731,""),"")</f>
        <v/>
      </c>
      <c r="B3731" s="531">
        <f t="shared" si="414"/>
        <v>8</v>
      </c>
      <c r="C3731" s="315">
        <f t="shared" si="415"/>
        <v>42978</v>
      </c>
      <c r="D3731" s="544" t="s">
        <v>1181</v>
      </c>
      <c r="E3731" s="315">
        <v>42978</v>
      </c>
      <c r="F3731" s="250" t="s">
        <v>761</v>
      </c>
      <c r="G3731" s="314" t="s">
        <v>1446</v>
      </c>
      <c r="H3731" s="473" t="s">
        <v>284</v>
      </c>
      <c r="I3731" s="307">
        <v>30</v>
      </c>
      <c r="J3731" s="307">
        <v>24350</v>
      </c>
      <c r="K3731" s="532">
        <f t="shared" si="416"/>
        <v>730500</v>
      </c>
      <c r="L3731" s="534" t="s">
        <v>223</v>
      </c>
      <c r="M3731" s="534" t="s">
        <v>162</v>
      </c>
      <c r="N3731" s="525" t="str">
        <f>IF(AND('331-CT'!$E$7=TH!H3731,OR(L3731="331",M3731="331")),"331",IF(AND(OR(L3731="131",M3731="131"),H3731='131-CT'!$E$7),"131",""))</f>
        <v/>
      </c>
      <c r="O3731" s="525" t="str">
        <f>IF(AND($B3731&gt;='111'!$N$11,$B3731&lt;='111'!$O$11,OR($L3731=$O$7,$M3731=$O$7)),"x","")</f>
        <v/>
      </c>
      <c r="P3731" s="525" t="str">
        <f>IF(AND($L3731=$O$7,$B3731&lt;'111'!$N$11),"x","")</f>
        <v/>
      </c>
      <c r="Q3731" s="525" t="str">
        <f>IF(AND($M3731=$O$7,$B3731&lt;'111'!$N$11),"x","")</f>
        <v/>
      </c>
      <c r="R3731" s="525" t="str">
        <f>IF(ISERROR(FIND('112'!$M$9,G3731,1)),"",IF((AND(FIND('112'!$M$9,G3731,1)&gt;=1,$B3731&gt;='112'!$N$8,$B3731&lt;='112'!$O$8,OR($L3731='112'!$I$6,$M3731='112'!$I$6))),"x",""))</f>
        <v/>
      </c>
      <c r="S3731" s="525" t="str">
        <f>IF(ISERROR(FIND('112'!$M$9,G3731,1)),"",IF((AND(LEFT(G3731,2)=LEFT('112'!$M$9,2),B3731&lt;'112'!$N$8,$L3731='112'!$I$6)),"x",""))</f>
        <v/>
      </c>
      <c r="T3731" s="525" t="str">
        <f>IF(ISERROR(FIND('112'!$M$9,G3731,1)),"",IF((AND(RIGHT(G3731,2)=RIGHT('112'!$M$9,2),B3731&lt;'112'!$N$8,$M3731='112'!$I$6)),"x",""))</f>
        <v/>
      </c>
      <c r="U3731" s="525" t="str">
        <f>IF(AND(B3731&gt;='IN-NX'!$P$3,B3731&lt;='IN-NX'!$Q$3,'IN-NX'!$D$7=D3731,OR(LEFT(L3731,2)="15",AND(LEFT(M3731,2)&lt;&gt;"15",LEFT(M3731,2)&lt;&gt;"33"))),"x","")</f>
        <v/>
      </c>
      <c r="V3731" s="525" t="str">
        <f>IF(AND(OR(LEFT(TH!L3731,2)="15",LEFT(TH!M3731,2)="15"),'152-CT'!$J$8=TH!F3731),"x","")</f>
        <v/>
      </c>
      <c r="W3731" s="525" t="str">
        <f>IF(AND(OR(LEFT(TH!L3731,2)="15",LEFT(TH!M3731,2)="15"),TK!$E$7=TH!F3731),"x","")</f>
        <v/>
      </c>
      <c r="X3731" s="525" t="str">
        <f>IF(AND('341-CT'!$E$9=H3731,OR(LEFT(L3731,3)=$X$7,LEFT(M3731,3)=$X$7)),"x","")</f>
        <v/>
      </c>
      <c r="Y3731" s="525" t="str">
        <f>IF(OR(TH!L3731=TH!$Y$7,M3731=TH!$Y$7),"x","")</f>
        <v/>
      </c>
      <c r="Z3731" s="525" t="str">
        <f>IF(AND(B3731&lt;=NKC!$N$8,B3731&gt;=NKC!$M$8),"x","")</f>
        <v/>
      </c>
      <c r="AA3731" s="535"/>
      <c r="AB3731" s="536"/>
      <c r="AC3731" s="536" t="str">
        <f>VLOOKUP(F3731,NXT!$B$12:$B$686,1,0)</f>
        <v>Thùng 45x45x52</v>
      </c>
    </row>
    <row r="3732" spans="1:30" s="503" customFormat="1" ht="15.75" customHeight="1">
      <c r="A3732" s="517" t="str">
        <f>IF(B3732&lt;&gt;"",IF(AND(B3732&gt;=_TM1,B3732&lt;=_TM2,OR(TH!L3732="1111",TH!M3732="1111")),TH!D3732,""),"")</f>
        <v/>
      </c>
      <c r="B3732" s="531">
        <f t="shared" ref="B3732:B3752" si="417">IF(C3732&lt;&gt;"",MONTH(C3732),"")</f>
        <v>8</v>
      </c>
      <c r="C3732" s="315">
        <f t="shared" ref="C3732:C3752" si="418">E3732</f>
        <v>42978</v>
      </c>
      <c r="D3732" s="544" t="s">
        <v>1181</v>
      </c>
      <c r="E3732" s="315">
        <v>42978</v>
      </c>
      <c r="F3732" s="250" t="s">
        <v>1041</v>
      </c>
      <c r="G3732" s="314" t="s">
        <v>1446</v>
      </c>
      <c r="H3732" s="473" t="s">
        <v>284</v>
      </c>
      <c r="I3732" s="307">
        <v>12</v>
      </c>
      <c r="J3732" s="307">
        <v>22149</v>
      </c>
      <c r="K3732" s="532">
        <f t="shared" si="416"/>
        <v>265788</v>
      </c>
      <c r="L3732" s="534" t="s">
        <v>223</v>
      </c>
      <c r="M3732" s="534" t="s">
        <v>162</v>
      </c>
      <c r="N3732" s="525" t="str">
        <f>IF(AND('331-CT'!$E$7=TH!H3732,OR(L3732="331",M3732="331")),"331",IF(AND(OR(L3732="131",M3732="131"),H3732='131-CT'!$E$7),"131",""))</f>
        <v/>
      </c>
      <c r="O3732" s="525" t="str">
        <f>IF(AND($B3732&gt;='111'!$N$11,$B3732&lt;='111'!$O$11,OR($L3732=$O$7,$M3732=$O$7)),"x","")</f>
        <v/>
      </c>
      <c r="P3732" s="525" t="str">
        <f>IF(AND($L3732=$O$7,$B3732&lt;'111'!$N$11),"x","")</f>
        <v/>
      </c>
      <c r="Q3732" s="525" t="str">
        <f>IF(AND($M3732=$O$7,$B3732&lt;'111'!$N$11),"x","")</f>
        <v/>
      </c>
      <c r="R3732" s="525" t="str">
        <f>IF(ISERROR(FIND('112'!$M$9,G3732,1)),"",IF((AND(FIND('112'!$M$9,G3732,1)&gt;=1,$B3732&gt;='112'!$N$8,$B3732&lt;='112'!$O$8,OR($L3732='112'!$I$6,$M3732='112'!$I$6))),"x",""))</f>
        <v/>
      </c>
      <c r="S3732" s="525" t="str">
        <f>IF(ISERROR(FIND('112'!$M$9,G3732,1)),"",IF((AND(LEFT(G3732,2)=LEFT('112'!$M$9,2),B3732&lt;'112'!$N$8,$L3732='112'!$I$6)),"x",""))</f>
        <v/>
      </c>
      <c r="T3732" s="525" t="str">
        <f>IF(ISERROR(FIND('112'!$M$9,G3732,1)),"",IF((AND(RIGHT(G3732,2)=RIGHT('112'!$M$9,2),B3732&lt;'112'!$N$8,$M3732='112'!$I$6)),"x",""))</f>
        <v/>
      </c>
      <c r="U3732" s="525" t="str">
        <f>IF(AND(B3732&gt;='IN-NX'!$P$3,B3732&lt;='IN-NX'!$Q$3,'IN-NX'!$D$7=D3732,OR(LEFT(L3732,2)="15",AND(LEFT(M3732,2)&lt;&gt;"15",LEFT(M3732,2)&lt;&gt;"33"))),"x","")</f>
        <v/>
      </c>
      <c r="V3732" s="525" t="str">
        <f>IF(AND(OR(LEFT(TH!L3732,2)="15",LEFT(TH!M3732,2)="15"),'152-CT'!$J$8=TH!F3732),"x","")</f>
        <v/>
      </c>
      <c r="W3732" s="525" t="str">
        <f>IF(AND(OR(LEFT(TH!L3732,2)="15",LEFT(TH!M3732,2)="15"),TK!$E$7=TH!F3732),"x","")</f>
        <v/>
      </c>
      <c r="X3732" s="525" t="str">
        <f>IF(AND('341-CT'!$E$9=H3732,OR(LEFT(L3732,3)=$X$7,LEFT(M3732,3)=$X$7)),"x","")</f>
        <v/>
      </c>
      <c r="Y3732" s="525" t="str">
        <f>IF(OR(TH!L3732=TH!$Y$7,M3732=TH!$Y$7),"x","")</f>
        <v/>
      </c>
      <c r="Z3732" s="525" t="str">
        <f>IF(AND(B3732&lt;=NKC!$N$8,B3732&gt;=NKC!$M$8),"x","")</f>
        <v/>
      </c>
      <c r="AA3732" s="535"/>
      <c r="AB3732" s="536"/>
      <c r="AC3732" s="536" t="str">
        <f>VLOOKUP(F3732,NXT!$B$12:$B$686,1,0)</f>
        <v>Thùng 43x43x49</v>
      </c>
      <c r="AD3732" s="536"/>
    </row>
    <row r="3733" spans="1:30" s="503" customFormat="1" ht="15.75" customHeight="1">
      <c r="A3733" s="517" t="str">
        <f>IF(B3733&lt;&gt;"",IF(AND(B3733&gt;=_TM1,B3733&lt;=_TM2,OR(TH!L3733="1111",TH!M3733="1111")),TH!D3733,""),"")</f>
        <v/>
      </c>
      <c r="B3733" s="531">
        <f t="shared" si="417"/>
        <v>8</v>
      </c>
      <c r="C3733" s="315">
        <f t="shared" si="418"/>
        <v>42978</v>
      </c>
      <c r="D3733" s="544" t="s">
        <v>1181</v>
      </c>
      <c r="E3733" s="315">
        <v>42978</v>
      </c>
      <c r="F3733" s="250" t="s">
        <v>1049</v>
      </c>
      <c r="G3733" s="314" t="s">
        <v>1446</v>
      </c>
      <c r="H3733" s="473" t="s">
        <v>284</v>
      </c>
      <c r="I3733" s="307">
        <v>18</v>
      </c>
      <c r="J3733" s="307">
        <v>25164</v>
      </c>
      <c r="K3733" s="532">
        <f t="shared" si="416"/>
        <v>452952</v>
      </c>
      <c r="L3733" s="534" t="s">
        <v>223</v>
      </c>
      <c r="M3733" s="534" t="s">
        <v>162</v>
      </c>
      <c r="N3733" s="525" t="str">
        <f>IF(AND('331-CT'!$E$7=TH!H3733,OR(L3733="331",M3733="331")),"331",IF(AND(OR(L3733="131",M3733="131"),H3733='131-CT'!$E$7),"131",""))</f>
        <v/>
      </c>
      <c r="O3733" s="525" t="str">
        <f>IF(AND($B3733&gt;='111'!$N$11,$B3733&lt;='111'!$O$11,OR($L3733=$O$7,$M3733=$O$7)),"x","")</f>
        <v/>
      </c>
      <c r="P3733" s="525" t="str">
        <f>IF(AND($L3733=$O$7,$B3733&lt;'111'!$N$11),"x","")</f>
        <v/>
      </c>
      <c r="Q3733" s="525" t="str">
        <f>IF(AND($M3733=$O$7,$B3733&lt;'111'!$N$11),"x","")</f>
        <v/>
      </c>
      <c r="R3733" s="525" t="str">
        <f>IF(ISERROR(FIND('112'!$M$9,G3733,1)),"",IF((AND(FIND('112'!$M$9,G3733,1)&gt;=1,$B3733&gt;='112'!$N$8,$B3733&lt;='112'!$O$8,OR($L3733='112'!$I$6,$M3733='112'!$I$6))),"x",""))</f>
        <v/>
      </c>
      <c r="S3733" s="525" t="str">
        <f>IF(ISERROR(FIND('112'!$M$9,G3733,1)),"",IF((AND(LEFT(G3733,2)=LEFT('112'!$M$9,2),B3733&lt;'112'!$N$8,$L3733='112'!$I$6)),"x",""))</f>
        <v/>
      </c>
      <c r="T3733" s="525" t="str">
        <f>IF(ISERROR(FIND('112'!$M$9,G3733,1)),"",IF((AND(RIGHT(G3733,2)=RIGHT('112'!$M$9,2),B3733&lt;'112'!$N$8,$M3733='112'!$I$6)),"x",""))</f>
        <v/>
      </c>
      <c r="U3733" s="525" t="str">
        <f>IF(AND(B3733&gt;='IN-NX'!$P$3,B3733&lt;='IN-NX'!$Q$3,'IN-NX'!$D$7=D3733,OR(LEFT(L3733,2)="15",AND(LEFT(M3733,2)&lt;&gt;"15",LEFT(M3733,2)&lt;&gt;"33"))),"x","")</f>
        <v/>
      </c>
      <c r="V3733" s="525" t="str">
        <f>IF(AND(OR(LEFT(TH!L3733,2)="15",LEFT(TH!M3733,2)="15"),'152-CT'!$J$8=TH!F3733),"x","")</f>
        <v/>
      </c>
      <c r="W3733" s="525" t="str">
        <f>IF(AND(OR(LEFT(TH!L3733,2)="15",LEFT(TH!M3733,2)="15"),TK!$E$7=TH!F3733),"x","")</f>
        <v/>
      </c>
      <c r="X3733" s="525" t="str">
        <f>IF(AND('341-CT'!$E$9=H3733,OR(LEFT(L3733,3)=$X$7,LEFT(M3733,3)=$X$7)),"x","")</f>
        <v/>
      </c>
      <c r="Y3733" s="525" t="str">
        <f>IF(OR(TH!L3733=TH!$Y$7,M3733=TH!$Y$7),"x","")</f>
        <v/>
      </c>
      <c r="Z3733" s="525" t="str">
        <f>IF(AND(B3733&lt;=NKC!$N$8,B3733&gt;=NKC!$M$8),"x","")</f>
        <v/>
      </c>
      <c r="AA3733" s="535"/>
      <c r="AB3733" s="536"/>
      <c r="AC3733" s="536" t="str">
        <f>VLOOKUP(F3733,NXT!$B$12:$B$686,1,0)</f>
        <v>Thùng 47x47x49</v>
      </c>
      <c r="AD3733" s="536"/>
    </row>
    <row r="3734" spans="1:30" s="503" customFormat="1" ht="15.75" customHeight="1">
      <c r="A3734" s="517" t="str">
        <f>IF(B3734&lt;&gt;"",IF(AND(B3734&gt;=_TM1,B3734&lt;=_TM2,OR(TH!L3734="1111",TH!M3734="1111")),TH!D3734,""),"")</f>
        <v/>
      </c>
      <c r="B3734" s="531">
        <f t="shared" si="417"/>
        <v>8</v>
      </c>
      <c r="C3734" s="315">
        <f t="shared" si="418"/>
        <v>42978</v>
      </c>
      <c r="D3734" s="544" t="s">
        <v>1181</v>
      </c>
      <c r="E3734" s="315">
        <v>42978</v>
      </c>
      <c r="F3734" s="250" t="s">
        <v>1484</v>
      </c>
      <c r="G3734" s="314" t="s">
        <v>1446</v>
      </c>
      <c r="H3734" s="473" t="s">
        <v>284</v>
      </c>
      <c r="I3734" s="307">
        <v>12</v>
      </c>
      <c r="J3734" s="307">
        <v>20195</v>
      </c>
      <c r="K3734" s="532">
        <f t="shared" si="416"/>
        <v>242340</v>
      </c>
      <c r="L3734" s="534" t="s">
        <v>223</v>
      </c>
      <c r="M3734" s="534" t="s">
        <v>162</v>
      </c>
      <c r="N3734" s="525" t="str">
        <f>IF(AND('331-CT'!$E$7=TH!H3734,OR(L3734="331",M3734="331")),"331",IF(AND(OR(L3734="131",M3734="131"),H3734='131-CT'!$E$7),"131",""))</f>
        <v/>
      </c>
      <c r="O3734" s="525" t="str">
        <f>IF(AND($B3734&gt;='111'!$N$11,$B3734&lt;='111'!$O$11,OR($L3734=$O$7,$M3734=$O$7)),"x","")</f>
        <v/>
      </c>
      <c r="P3734" s="525" t="str">
        <f>IF(AND($L3734=$O$7,$B3734&lt;'111'!$N$11),"x","")</f>
        <v/>
      </c>
      <c r="Q3734" s="525" t="str">
        <f>IF(AND($M3734=$O$7,$B3734&lt;'111'!$N$11),"x","")</f>
        <v/>
      </c>
      <c r="R3734" s="525" t="str">
        <f>IF(ISERROR(FIND('112'!$M$9,G3734,1)),"",IF((AND(FIND('112'!$M$9,G3734,1)&gt;=1,$B3734&gt;='112'!$N$8,$B3734&lt;='112'!$O$8,OR($L3734='112'!$I$6,$M3734='112'!$I$6))),"x",""))</f>
        <v/>
      </c>
      <c r="S3734" s="525" t="str">
        <f>IF(ISERROR(FIND('112'!$M$9,G3734,1)),"",IF((AND(LEFT(G3734,2)=LEFT('112'!$M$9,2),B3734&lt;'112'!$N$8,$L3734='112'!$I$6)),"x",""))</f>
        <v/>
      </c>
      <c r="T3734" s="525" t="str">
        <f>IF(ISERROR(FIND('112'!$M$9,G3734,1)),"",IF((AND(RIGHT(G3734,2)=RIGHT('112'!$M$9,2),B3734&lt;'112'!$N$8,$M3734='112'!$I$6)),"x",""))</f>
        <v/>
      </c>
      <c r="U3734" s="525" t="str">
        <f>IF(AND(B3734&gt;='IN-NX'!$P$3,B3734&lt;='IN-NX'!$Q$3,'IN-NX'!$D$7=D3734,OR(LEFT(L3734,2)="15",AND(LEFT(M3734,2)&lt;&gt;"15",LEFT(M3734,2)&lt;&gt;"33"))),"x","")</f>
        <v/>
      </c>
      <c r="V3734" s="525" t="str">
        <f>IF(AND(OR(LEFT(TH!L3734,2)="15",LEFT(TH!M3734,2)="15"),'152-CT'!$J$8=TH!F3734),"x","")</f>
        <v/>
      </c>
      <c r="W3734" s="525" t="str">
        <f>IF(AND(OR(LEFT(TH!L3734,2)="15",LEFT(TH!M3734,2)="15"),TK!$E$7=TH!F3734),"x","")</f>
        <v/>
      </c>
      <c r="X3734" s="525" t="str">
        <f>IF(AND('341-CT'!$E$9=H3734,OR(LEFT(L3734,3)=$X$7,LEFT(M3734,3)=$X$7)),"x","")</f>
        <v/>
      </c>
      <c r="Y3734" s="525" t="str">
        <f>IF(OR(TH!L3734=TH!$Y$7,M3734=TH!$Y$7),"x","")</f>
        <v/>
      </c>
      <c r="Z3734" s="525" t="str">
        <f>IF(AND(B3734&lt;=NKC!$N$8,B3734&gt;=NKC!$M$8),"x","")</f>
        <v/>
      </c>
      <c r="AA3734" s="535"/>
      <c r="AB3734" s="536"/>
      <c r="AC3734" s="536" t="str">
        <f>VLOOKUP(F3734,NXT!$B$12:$B$686,1,0)</f>
        <v>Thùng 46x46x32</v>
      </c>
    </row>
    <row r="3735" spans="1:30" s="503" customFormat="1" ht="15.75" customHeight="1">
      <c r="A3735" s="517" t="str">
        <f>IF(B3735&lt;&gt;"",IF(AND(B3735&gt;=_TM1,B3735&lt;=_TM2,OR(TH!L3735="1111",TH!M3735="1111")),TH!D3735,""),"")</f>
        <v/>
      </c>
      <c r="B3735" s="531">
        <f t="shared" si="417"/>
        <v>8</v>
      </c>
      <c r="C3735" s="315">
        <f t="shared" si="418"/>
        <v>42978</v>
      </c>
      <c r="D3735" s="544" t="s">
        <v>1181</v>
      </c>
      <c r="E3735" s="315">
        <v>42978</v>
      </c>
      <c r="F3735" s="250" t="s">
        <v>1485</v>
      </c>
      <c r="G3735" s="314" t="s">
        <v>1446</v>
      </c>
      <c r="H3735" s="473" t="s">
        <v>284</v>
      </c>
      <c r="I3735" s="307">
        <v>24</v>
      </c>
      <c r="J3735" s="307">
        <v>7699</v>
      </c>
      <c r="K3735" s="532">
        <f t="shared" si="416"/>
        <v>184776</v>
      </c>
      <c r="L3735" s="534" t="s">
        <v>223</v>
      </c>
      <c r="M3735" s="534" t="s">
        <v>162</v>
      </c>
      <c r="N3735" s="525" t="str">
        <f>IF(AND('331-CT'!$E$7=TH!H3735,OR(L3735="331",M3735="331")),"331",IF(AND(OR(L3735="131",M3735="131"),H3735='131-CT'!$E$7),"131",""))</f>
        <v/>
      </c>
      <c r="O3735" s="525" t="str">
        <f>IF(AND($B3735&gt;='111'!$N$11,$B3735&lt;='111'!$O$11,OR($L3735=$O$7,$M3735=$O$7)),"x","")</f>
        <v/>
      </c>
      <c r="P3735" s="525" t="str">
        <f>IF(AND($L3735=$O$7,$B3735&lt;'111'!$N$11),"x","")</f>
        <v/>
      </c>
      <c r="Q3735" s="525" t="str">
        <f>IF(AND($M3735=$O$7,$B3735&lt;'111'!$N$11),"x","")</f>
        <v/>
      </c>
      <c r="R3735" s="525" t="str">
        <f>IF(ISERROR(FIND('112'!$M$9,G3735,1)),"",IF((AND(FIND('112'!$M$9,G3735,1)&gt;=1,$B3735&gt;='112'!$N$8,$B3735&lt;='112'!$O$8,OR($L3735='112'!$I$6,$M3735='112'!$I$6))),"x",""))</f>
        <v/>
      </c>
      <c r="S3735" s="525" t="str">
        <f>IF(ISERROR(FIND('112'!$M$9,G3735,1)),"",IF((AND(LEFT(G3735,2)=LEFT('112'!$M$9,2),B3735&lt;'112'!$N$8,$L3735='112'!$I$6)),"x",""))</f>
        <v/>
      </c>
      <c r="T3735" s="525" t="str">
        <f>IF(ISERROR(FIND('112'!$M$9,G3735,1)),"",IF((AND(RIGHT(G3735,2)=RIGHT('112'!$M$9,2),B3735&lt;'112'!$N$8,$M3735='112'!$I$6)),"x",""))</f>
        <v/>
      </c>
      <c r="U3735" s="525" t="str">
        <f>IF(AND(B3735&gt;='IN-NX'!$P$3,B3735&lt;='IN-NX'!$Q$3,'IN-NX'!$D$7=D3735,OR(LEFT(L3735,2)="15",AND(LEFT(M3735,2)&lt;&gt;"15",LEFT(M3735,2)&lt;&gt;"33"))),"x","")</f>
        <v/>
      </c>
      <c r="V3735" s="525" t="str">
        <f>IF(AND(OR(LEFT(TH!L3735,2)="15",LEFT(TH!M3735,2)="15"),'152-CT'!$J$8=TH!F3735),"x","")</f>
        <v/>
      </c>
      <c r="W3735" s="525" t="str">
        <f>IF(AND(OR(LEFT(TH!L3735,2)="15",LEFT(TH!M3735,2)="15"),TK!$E$7=TH!F3735),"x","")</f>
        <v/>
      </c>
      <c r="X3735" s="525" t="str">
        <f>IF(AND('341-CT'!$E$9=H3735,OR(LEFT(L3735,3)=$X$7,LEFT(M3735,3)=$X$7)),"x","")</f>
        <v/>
      </c>
      <c r="Y3735" s="525" t="str">
        <f>IF(OR(TH!L3735=TH!$Y$7,M3735=TH!$Y$7),"x","")</f>
        <v/>
      </c>
      <c r="Z3735" s="525" t="str">
        <f>IF(AND(B3735&lt;=NKC!$N$8,B3735&gt;=NKC!$M$8),"x","")</f>
        <v/>
      </c>
      <c r="AA3735" s="535"/>
      <c r="AB3735" s="536"/>
      <c r="AC3735" s="536" t="str">
        <f>VLOOKUP(F3735,NXT!$B$12:$B$686,1,0)</f>
        <v>Thùng 26x26x24</v>
      </c>
      <c r="AD3735" s="536"/>
    </row>
    <row r="3736" spans="1:30" s="503" customFormat="1" ht="15.75" customHeight="1">
      <c r="A3736" s="517" t="str">
        <f>IF(B3736&lt;&gt;"",IF(AND(B3736&gt;=_TM1,B3736&lt;=_TM2,OR(TH!L3736="1111",TH!M3736="1111")),TH!D3736,""),"")</f>
        <v/>
      </c>
      <c r="B3736" s="531">
        <f t="shared" si="417"/>
        <v>8</v>
      </c>
      <c r="C3736" s="315">
        <f t="shared" si="418"/>
        <v>42978</v>
      </c>
      <c r="D3736" s="544" t="s">
        <v>1181</v>
      </c>
      <c r="E3736" s="315">
        <v>42978</v>
      </c>
      <c r="F3736" s="250" t="s">
        <v>1486</v>
      </c>
      <c r="G3736" s="314" t="s">
        <v>1446</v>
      </c>
      <c r="H3736" s="473" t="s">
        <v>284</v>
      </c>
      <c r="I3736" s="307">
        <v>12</v>
      </c>
      <c r="J3736" s="307">
        <v>7816</v>
      </c>
      <c r="K3736" s="532">
        <f t="shared" si="416"/>
        <v>93792</v>
      </c>
      <c r="L3736" s="534" t="s">
        <v>223</v>
      </c>
      <c r="M3736" s="534" t="s">
        <v>162</v>
      </c>
      <c r="N3736" s="525" t="str">
        <f>IF(AND('331-CT'!$E$7=TH!H3736,OR(L3736="331",M3736="331")),"331",IF(AND(OR(L3736="131",M3736="131"),H3736='131-CT'!$E$7),"131",""))</f>
        <v/>
      </c>
      <c r="O3736" s="525" t="str">
        <f>IF(AND($B3736&gt;='111'!$N$11,$B3736&lt;='111'!$O$11,OR($L3736=$O$7,$M3736=$O$7)),"x","")</f>
        <v/>
      </c>
      <c r="P3736" s="525" t="str">
        <f>IF(AND($L3736=$O$7,$B3736&lt;'111'!$N$11),"x","")</f>
        <v/>
      </c>
      <c r="Q3736" s="525" t="str">
        <f>IF(AND($M3736=$O$7,$B3736&lt;'111'!$N$11),"x","")</f>
        <v/>
      </c>
      <c r="R3736" s="525" t="str">
        <f>IF(ISERROR(FIND('112'!$M$9,G3736,1)),"",IF((AND(FIND('112'!$M$9,G3736,1)&gt;=1,$B3736&gt;='112'!$N$8,$B3736&lt;='112'!$O$8,OR($L3736='112'!$I$6,$M3736='112'!$I$6))),"x",""))</f>
        <v/>
      </c>
      <c r="S3736" s="525" t="str">
        <f>IF(ISERROR(FIND('112'!$M$9,G3736,1)),"",IF((AND(LEFT(G3736,2)=LEFT('112'!$M$9,2),B3736&lt;'112'!$N$8,$L3736='112'!$I$6)),"x",""))</f>
        <v/>
      </c>
      <c r="T3736" s="525" t="str">
        <f>IF(ISERROR(FIND('112'!$M$9,G3736,1)),"",IF((AND(RIGHT(G3736,2)=RIGHT('112'!$M$9,2),B3736&lt;'112'!$N$8,$M3736='112'!$I$6)),"x",""))</f>
        <v/>
      </c>
      <c r="U3736" s="525" t="str">
        <f>IF(AND(B3736&gt;='IN-NX'!$P$3,B3736&lt;='IN-NX'!$Q$3,'IN-NX'!$D$7=D3736,OR(LEFT(L3736,2)="15",AND(LEFT(M3736,2)&lt;&gt;"15",LEFT(M3736,2)&lt;&gt;"33"))),"x","")</f>
        <v/>
      </c>
      <c r="V3736" s="525" t="str">
        <f>IF(AND(OR(LEFT(TH!L3736,2)="15",LEFT(TH!M3736,2)="15"),'152-CT'!$J$8=TH!F3736),"x","")</f>
        <v/>
      </c>
      <c r="W3736" s="525" t="str">
        <f>IF(AND(OR(LEFT(TH!L3736,2)="15",LEFT(TH!M3736,2)="15"),TK!$E$7=TH!F3736),"x","")</f>
        <v/>
      </c>
      <c r="X3736" s="525" t="str">
        <f>IF(AND('341-CT'!$E$9=H3736,OR(LEFT(L3736,3)=$X$7,LEFT(M3736,3)=$X$7)),"x","")</f>
        <v/>
      </c>
      <c r="Y3736" s="525" t="str">
        <f>IF(OR(TH!L3736=TH!$Y$7,M3736=TH!$Y$7),"x","")</f>
        <v/>
      </c>
      <c r="Z3736" s="525" t="str">
        <f>IF(AND(B3736&lt;=NKC!$N$8,B3736&gt;=NKC!$M$8),"x","")</f>
        <v/>
      </c>
      <c r="AA3736" s="535"/>
      <c r="AB3736" s="536"/>
      <c r="AC3736" s="536" t="str">
        <f>VLOOKUP(F3736,NXT!$B$12:$B$686,1,0)</f>
        <v>Thùng 32x32x9</v>
      </c>
      <c r="AD3736" s="536"/>
    </row>
    <row r="3737" spans="1:30" s="503" customFormat="1" ht="15.75" customHeight="1">
      <c r="A3737" s="517" t="str">
        <f>IF(B3737&lt;&gt;"",IF(AND(B3737&gt;=_TM1,B3737&lt;=_TM2,OR(TH!L3737="1111",TH!M3737="1111")),TH!D3737,""),"")</f>
        <v/>
      </c>
      <c r="B3737" s="531">
        <f t="shared" si="417"/>
        <v>8</v>
      </c>
      <c r="C3737" s="315">
        <f t="shared" si="418"/>
        <v>42978</v>
      </c>
      <c r="D3737" s="544" t="s">
        <v>1181</v>
      </c>
      <c r="E3737" s="315">
        <v>42978</v>
      </c>
      <c r="F3737" s="250" t="s">
        <v>1487</v>
      </c>
      <c r="G3737" s="314" t="s">
        <v>1446</v>
      </c>
      <c r="H3737" s="473" t="s">
        <v>284</v>
      </c>
      <c r="I3737" s="307">
        <v>4</v>
      </c>
      <c r="J3737" s="307">
        <v>68211</v>
      </c>
      <c r="K3737" s="532">
        <f t="shared" si="416"/>
        <v>272844</v>
      </c>
      <c r="L3737" s="534" t="s">
        <v>223</v>
      </c>
      <c r="M3737" s="534" t="s">
        <v>162</v>
      </c>
      <c r="N3737" s="525" t="str">
        <f>IF(AND('331-CT'!$E$7=TH!H3737,OR(L3737="331",M3737="331")),"331",IF(AND(OR(L3737="131",M3737="131"),H3737='131-CT'!$E$7),"131",""))</f>
        <v/>
      </c>
      <c r="O3737" s="525" t="str">
        <f>IF(AND($B3737&gt;='111'!$N$11,$B3737&lt;='111'!$O$11,OR($L3737=$O$7,$M3737=$O$7)),"x","")</f>
        <v/>
      </c>
      <c r="P3737" s="525" t="str">
        <f>IF(AND($L3737=$O$7,$B3737&lt;'111'!$N$11),"x","")</f>
        <v/>
      </c>
      <c r="Q3737" s="525" t="str">
        <f>IF(AND($M3737=$O$7,$B3737&lt;'111'!$N$11),"x","")</f>
        <v/>
      </c>
      <c r="R3737" s="525" t="str">
        <f>IF(ISERROR(FIND('112'!$M$9,G3737,1)),"",IF((AND(FIND('112'!$M$9,G3737,1)&gt;=1,$B3737&gt;='112'!$N$8,$B3737&lt;='112'!$O$8,OR($L3737='112'!$I$6,$M3737='112'!$I$6))),"x",""))</f>
        <v/>
      </c>
      <c r="S3737" s="525" t="str">
        <f>IF(ISERROR(FIND('112'!$M$9,G3737,1)),"",IF((AND(LEFT(G3737,2)=LEFT('112'!$M$9,2),B3737&lt;'112'!$N$8,$L3737='112'!$I$6)),"x",""))</f>
        <v/>
      </c>
      <c r="T3737" s="525" t="str">
        <f>IF(ISERROR(FIND('112'!$M$9,G3737,1)),"",IF((AND(RIGHT(G3737,2)=RIGHT('112'!$M$9,2),B3737&lt;'112'!$N$8,$M3737='112'!$I$6)),"x",""))</f>
        <v/>
      </c>
      <c r="U3737" s="525" t="str">
        <f>IF(AND(B3737&gt;='IN-NX'!$P$3,B3737&lt;='IN-NX'!$Q$3,'IN-NX'!$D$7=D3737,OR(LEFT(L3737,2)="15",AND(LEFT(M3737,2)&lt;&gt;"15",LEFT(M3737,2)&lt;&gt;"33"))),"x","")</f>
        <v/>
      </c>
      <c r="V3737" s="525" t="str">
        <f>IF(AND(OR(LEFT(TH!L3737,2)="15",LEFT(TH!M3737,2)="15"),'152-CT'!$J$8=TH!F3737),"x","")</f>
        <v/>
      </c>
      <c r="W3737" s="525" t="str">
        <f>IF(AND(OR(LEFT(TH!L3737,2)="15",LEFT(TH!M3737,2)="15"),TK!$E$7=TH!F3737),"x","")</f>
        <v/>
      </c>
      <c r="X3737" s="525" t="str">
        <f>IF(AND('341-CT'!$E$9=H3737,OR(LEFT(L3737,3)=$X$7,LEFT(M3737,3)=$X$7)),"x","")</f>
        <v/>
      </c>
      <c r="Y3737" s="525" t="str">
        <f>IF(OR(TH!L3737=TH!$Y$7,M3737=TH!$Y$7),"x","")</f>
        <v/>
      </c>
      <c r="Z3737" s="525" t="str">
        <f>IF(AND(B3737&lt;=NKC!$N$8,B3737&gt;=NKC!$M$8),"x","")</f>
        <v/>
      </c>
      <c r="AA3737" s="535"/>
      <c r="AB3737" s="536"/>
      <c r="AC3737" s="536" t="str">
        <f>VLOOKUP(F3737,NXT!$B$12:$B$686,1,0)</f>
        <v>Thùng 157x91x9</v>
      </c>
    </row>
    <row r="3738" spans="1:30" s="503" customFormat="1" ht="15.75" customHeight="1">
      <c r="A3738" s="517" t="str">
        <f>IF(B3738&lt;&gt;"",IF(AND(B3738&gt;=_TM1,B3738&lt;=_TM2,OR(TH!L3738="1111",TH!M3738="1111")),TH!D3738,""),"")</f>
        <v/>
      </c>
      <c r="B3738" s="531">
        <f t="shared" si="417"/>
        <v>8</v>
      </c>
      <c r="C3738" s="315">
        <f t="shared" si="418"/>
        <v>42978</v>
      </c>
      <c r="D3738" s="544" t="s">
        <v>1181</v>
      </c>
      <c r="E3738" s="315">
        <v>42978</v>
      </c>
      <c r="F3738" s="250" t="s">
        <v>1488</v>
      </c>
      <c r="G3738" s="314" t="s">
        <v>1446</v>
      </c>
      <c r="H3738" s="473" t="s">
        <v>284</v>
      </c>
      <c r="I3738" s="307">
        <v>4</v>
      </c>
      <c r="J3738" s="307">
        <v>77699</v>
      </c>
      <c r="K3738" s="532">
        <f t="shared" si="416"/>
        <v>310796</v>
      </c>
      <c r="L3738" s="534" t="s">
        <v>223</v>
      </c>
      <c r="M3738" s="534" t="s">
        <v>162</v>
      </c>
      <c r="N3738" s="525" t="str">
        <f>IF(AND('331-CT'!$E$7=TH!H3738,OR(L3738="331",M3738="331")),"331",IF(AND(OR(L3738="131",M3738="131"),H3738='131-CT'!$E$7),"131",""))</f>
        <v/>
      </c>
      <c r="O3738" s="525" t="str">
        <f>IF(AND($B3738&gt;='111'!$N$11,$B3738&lt;='111'!$O$11,OR($L3738=$O$7,$M3738=$O$7)),"x","")</f>
        <v/>
      </c>
      <c r="P3738" s="525" t="str">
        <f>IF(AND($L3738=$O$7,$B3738&lt;'111'!$N$11),"x","")</f>
        <v/>
      </c>
      <c r="Q3738" s="525" t="str">
        <f>IF(AND($M3738=$O$7,$B3738&lt;'111'!$N$11),"x","")</f>
        <v/>
      </c>
      <c r="R3738" s="525" t="str">
        <f>IF(ISERROR(FIND('112'!$M$9,G3738,1)),"",IF((AND(FIND('112'!$M$9,G3738,1)&gt;=1,$B3738&gt;='112'!$N$8,$B3738&lt;='112'!$O$8,OR($L3738='112'!$I$6,$M3738='112'!$I$6))),"x",""))</f>
        <v/>
      </c>
      <c r="S3738" s="525" t="str">
        <f>IF(ISERROR(FIND('112'!$M$9,G3738,1)),"",IF((AND(LEFT(G3738,2)=LEFT('112'!$M$9,2),B3738&lt;'112'!$N$8,$L3738='112'!$I$6)),"x",""))</f>
        <v/>
      </c>
      <c r="T3738" s="525" t="str">
        <f>IF(ISERROR(FIND('112'!$M$9,G3738,1)),"",IF((AND(RIGHT(G3738,2)=RIGHT('112'!$M$9,2),B3738&lt;'112'!$N$8,$M3738='112'!$I$6)),"x",""))</f>
        <v/>
      </c>
      <c r="U3738" s="525" t="str">
        <f>IF(AND(B3738&gt;='IN-NX'!$P$3,B3738&lt;='IN-NX'!$Q$3,'IN-NX'!$D$7=D3738,OR(LEFT(L3738,2)="15",AND(LEFT(M3738,2)&lt;&gt;"15",LEFT(M3738,2)&lt;&gt;"33"))),"x","")</f>
        <v/>
      </c>
      <c r="V3738" s="525" t="str">
        <f>IF(AND(OR(LEFT(TH!L3738,2)="15",LEFT(TH!M3738,2)="15"),'152-CT'!$J$8=TH!F3738),"x","")</f>
        <v/>
      </c>
      <c r="W3738" s="525" t="str">
        <f>IF(AND(OR(LEFT(TH!L3738,2)="15",LEFT(TH!M3738,2)="15"),TK!$E$7=TH!F3738),"x","")</f>
        <v/>
      </c>
      <c r="X3738" s="525" t="str">
        <f>IF(AND('341-CT'!$E$9=H3738,OR(LEFT(L3738,3)=$X$7,LEFT(M3738,3)=$X$7)),"x","")</f>
        <v/>
      </c>
      <c r="Y3738" s="525" t="str">
        <f>IF(OR(TH!L3738=TH!$Y$7,M3738=TH!$Y$7),"x","")</f>
        <v/>
      </c>
      <c r="Z3738" s="525" t="str">
        <f>IF(AND(B3738&lt;=NKC!$N$8,B3738&gt;=NKC!$M$8),"x","")</f>
        <v/>
      </c>
      <c r="AA3738" s="535"/>
      <c r="AB3738" s="536"/>
      <c r="AC3738" s="536" t="str">
        <f>VLOOKUP(F3738,NXT!$B$12:$B$686,1,0)</f>
        <v>Thùng 157x92x22</v>
      </c>
      <c r="AD3738" s="536"/>
    </row>
    <row r="3739" spans="1:30" s="503" customFormat="1" ht="15.75" customHeight="1">
      <c r="A3739" s="517" t="str">
        <f>IF(B3739&lt;&gt;"",IF(AND(B3739&gt;=_TM1,B3739&lt;=_TM2,OR(TH!L3739="1111",TH!M3739="1111")),TH!D3739,""),"")</f>
        <v/>
      </c>
      <c r="B3739" s="531">
        <f t="shared" si="417"/>
        <v>8</v>
      </c>
      <c r="C3739" s="315">
        <f t="shared" si="418"/>
        <v>42978</v>
      </c>
      <c r="D3739" s="544" t="s">
        <v>1181</v>
      </c>
      <c r="E3739" s="315">
        <v>42978</v>
      </c>
      <c r="F3739" s="250" t="s">
        <v>1489</v>
      </c>
      <c r="G3739" s="314" t="s">
        <v>1446</v>
      </c>
      <c r="H3739" s="473" t="s">
        <v>284</v>
      </c>
      <c r="I3739" s="307">
        <v>8</v>
      </c>
      <c r="J3739" s="307">
        <v>78287</v>
      </c>
      <c r="K3739" s="532">
        <f t="shared" si="416"/>
        <v>626296</v>
      </c>
      <c r="L3739" s="534" t="s">
        <v>223</v>
      </c>
      <c r="M3739" s="534" t="s">
        <v>162</v>
      </c>
      <c r="N3739" s="525" t="str">
        <f>IF(AND('331-CT'!$E$7=TH!H3739,OR(L3739="331",M3739="331")),"331",IF(AND(OR(L3739="131",M3739="131"),H3739='131-CT'!$E$7),"131",""))</f>
        <v/>
      </c>
      <c r="O3739" s="525" t="str">
        <f>IF(AND($B3739&gt;='111'!$N$11,$B3739&lt;='111'!$O$11,OR($L3739=$O$7,$M3739=$O$7)),"x","")</f>
        <v/>
      </c>
      <c r="P3739" s="525" t="str">
        <f>IF(AND($L3739=$O$7,$B3739&lt;'111'!$N$11),"x","")</f>
        <v/>
      </c>
      <c r="Q3739" s="525" t="str">
        <f>IF(AND($M3739=$O$7,$B3739&lt;'111'!$N$11),"x","")</f>
        <v/>
      </c>
      <c r="R3739" s="525" t="str">
        <f>IF(ISERROR(FIND('112'!$M$9,G3739,1)),"",IF((AND(FIND('112'!$M$9,G3739,1)&gt;=1,$B3739&gt;='112'!$N$8,$B3739&lt;='112'!$O$8,OR($L3739='112'!$I$6,$M3739='112'!$I$6))),"x",""))</f>
        <v/>
      </c>
      <c r="S3739" s="525" t="str">
        <f>IF(ISERROR(FIND('112'!$M$9,G3739,1)),"",IF((AND(LEFT(G3739,2)=LEFT('112'!$M$9,2),B3739&lt;'112'!$N$8,$L3739='112'!$I$6)),"x",""))</f>
        <v/>
      </c>
      <c r="T3739" s="525" t="str">
        <f>IF(ISERROR(FIND('112'!$M$9,G3739,1)),"",IF((AND(RIGHT(G3739,2)=RIGHT('112'!$M$9,2),B3739&lt;'112'!$N$8,$M3739='112'!$I$6)),"x",""))</f>
        <v/>
      </c>
      <c r="U3739" s="525" t="str">
        <f>IF(AND(B3739&gt;='IN-NX'!$P$3,B3739&lt;='IN-NX'!$Q$3,'IN-NX'!$D$7=D3739,OR(LEFT(L3739,2)="15",AND(LEFT(M3739,2)&lt;&gt;"15",LEFT(M3739,2)&lt;&gt;"33"))),"x","")</f>
        <v/>
      </c>
      <c r="V3739" s="525" t="str">
        <f>IF(AND(OR(LEFT(TH!L3739,2)="15",LEFT(TH!M3739,2)="15"),'152-CT'!$J$8=TH!F3739),"x","")</f>
        <v/>
      </c>
      <c r="W3739" s="525" t="str">
        <f>IF(AND(OR(LEFT(TH!L3739,2)="15",LEFT(TH!M3739,2)="15"),TK!$E$7=TH!F3739),"x","")</f>
        <v/>
      </c>
      <c r="X3739" s="525" t="str">
        <f>IF(AND('341-CT'!$E$9=H3739,OR(LEFT(L3739,3)=$X$7,LEFT(M3739,3)=$X$7)),"x","")</f>
        <v/>
      </c>
      <c r="Y3739" s="525" t="str">
        <f>IF(OR(TH!L3739=TH!$Y$7,M3739=TH!$Y$7),"x","")</f>
        <v/>
      </c>
      <c r="Z3739" s="525" t="str">
        <f>IF(AND(B3739&lt;=NKC!$N$8,B3739&gt;=NKC!$M$8),"x","")</f>
        <v/>
      </c>
      <c r="AA3739" s="535"/>
      <c r="AB3739" s="536"/>
      <c r="AC3739" s="536" t="str">
        <f>VLOOKUP(F3739,NXT!$B$12:$B$686,1,0)</f>
        <v>Thùng 75x75x36</v>
      </c>
      <c r="AD3739" s="536"/>
    </row>
    <row r="3740" spans="1:30" s="503" customFormat="1" ht="15.75" customHeight="1">
      <c r="A3740" s="517" t="str">
        <f>IF(B3740&lt;&gt;"",IF(AND(B3740&gt;=_TM1,B3740&lt;=_TM2,OR(TH!L3740="1111",TH!M3740="1111")),TH!D3740,""),"")</f>
        <v/>
      </c>
      <c r="B3740" s="531">
        <f t="shared" si="417"/>
        <v>8</v>
      </c>
      <c r="C3740" s="315">
        <f t="shared" si="418"/>
        <v>42978</v>
      </c>
      <c r="D3740" s="544" t="s">
        <v>1181</v>
      </c>
      <c r="E3740" s="315">
        <v>42978</v>
      </c>
      <c r="F3740" s="250" t="s">
        <v>999</v>
      </c>
      <c r="G3740" s="314" t="s">
        <v>1446</v>
      </c>
      <c r="H3740" s="473" t="s">
        <v>284</v>
      </c>
      <c r="I3740" s="307">
        <v>20</v>
      </c>
      <c r="J3740" s="307">
        <v>84249</v>
      </c>
      <c r="K3740" s="532">
        <f t="shared" si="416"/>
        <v>1684980</v>
      </c>
      <c r="L3740" s="534" t="s">
        <v>223</v>
      </c>
      <c r="M3740" s="534" t="s">
        <v>162</v>
      </c>
      <c r="N3740" s="525" t="str">
        <f>IF(AND('331-CT'!$E$7=TH!H3740,OR(L3740="331",M3740="331")),"331",IF(AND(OR(L3740="131",M3740="131"),H3740='131-CT'!$E$7),"131",""))</f>
        <v/>
      </c>
      <c r="O3740" s="525" t="str">
        <f>IF(AND($B3740&gt;='111'!$N$11,$B3740&lt;='111'!$O$11,OR($L3740=$O$7,$M3740=$O$7)),"x","")</f>
        <v/>
      </c>
      <c r="P3740" s="525" t="str">
        <f>IF(AND($L3740=$O$7,$B3740&lt;'111'!$N$11),"x","")</f>
        <v/>
      </c>
      <c r="Q3740" s="525" t="str">
        <f>IF(AND($M3740=$O$7,$B3740&lt;'111'!$N$11),"x","")</f>
        <v/>
      </c>
      <c r="R3740" s="525" t="str">
        <f>IF(ISERROR(FIND('112'!$M$9,G3740,1)),"",IF((AND(FIND('112'!$M$9,G3740,1)&gt;=1,$B3740&gt;='112'!$N$8,$B3740&lt;='112'!$O$8,OR($L3740='112'!$I$6,$M3740='112'!$I$6))),"x",""))</f>
        <v/>
      </c>
      <c r="S3740" s="525" t="str">
        <f>IF(ISERROR(FIND('112'!$M$9,G3740,1)),"",IF((AND(LEFT(G3740,2)=LEFT('112'!$M$9,2),B3740&lt;'112'!$N$8,$L3740='112'!$I$6)),"x",""))</f>
        <v/>
      </c>
      <c r="T3740" s="525" t="str">
        <f>IF(ISERROR(FIND('112'!$M$9,G3740,1)),"",IF((AND(RIGHT(G3740,2)=RIGHT('112'!$M$9,2),B3740&lt;'112'!$N$8,$M3740='112'!$I$6)),"x",""))</f>
        <v/>
      </c>
      <c r="U3740" s="525" t="str">
        <f>IF(AND(B3740&gt;='IN-NX'!$P$3,B3740&lt;='IN-NX'!$Q$3,'IN-NX'!$D$7=D3740,OR(LEFT(L3740,2)="15",AND(LEFT(M3740,2)&lt;&gt;"15",LEFT(M3740,2)&lt;&gt;"33"))),"x","")</f>
        <v/>
      </c>
      <c r="V3740" s="525" t="str">
        <f>IF(AND(OR(LEFT(TH!L3740,2)="15",LEFT(TH!M3740,2)="15"),'152-CT'!$J$8=TH!F3740),"x","")</f>
        <v/>
      </c>
      <c r="W3740" s="525" t="str">
        <f>IF(AND(OR(LEFT(TH!L3740,2)="15",LEFT(TH!M3740,2)="15"),TK!$E$7=TH!F3740),"x","")</f>
        <v/>
      </c>
      <c r="X3740" s="525" t="str">
        <f>IF(AND('341-CT'!$E$9=H3740,OR(LEFT(L3740,3)=$X$7,LEFT(M3740,3)=$X$7)),"x","")</f>
        <v/>
      </c>
      <c r="Y3740" s="525" t="str">
        <f>IF(OR(TH!L3740=TH!$Y$7,M3740=TH!$Y$7),"x","")</f>
        <v/>
      </c>
      <c r="Z3740" s="525" t="str">
        <f>IF(AND(B3740&lt;=NKC!$N$8,B3740&gt;=NKC!$M$8),"x","")</f>
        <v/>
      </c>
      <c r="AA3740" s="535"/>
      <c r="AB3740" s="536"/>
      <c r="AC3740" s="536" t="str">
        <f>VLOOKUP(F3740,NXT!$B$12:$B$686,1,0)</f>
        <v>Thùng 165x40x52</v>
      </c>
    </row>
    <row r="3741" spans="1:30" s="503" customFormat="1" ht="15.75" customHeight="1">
      <c r="A3741" s="517" t="str">
        <f>IF(B3741&lt;&gt;"",IF(AND(B3741&gt;=_TM1,B3741&lt;=_TM2,OR(TH!L3741="1111",TH!M3741="1111")),TH!D3741,""),"")</f>
        <v/>
      </c>
      <c r="B3741" s="531">
        <f t="shared" si="417"/>
        <v>8</v>
      </c>
      <c r="C3741" s="315">
        <f t="shared" si="418"/>
        <v>42978</v>
      </c>
      <c r="D3741" s="544" t="s">
        <v>1181</v>
      </c>
      <c r="E3741" s="315">
        <v>42978</v>
      </c>
      <c r="F3741" s="250" t="s">
        <v>629</v>
      </c>
      <c r="G3741" s="314" t="s">
        <v>1446</v>
      </c>
      <c r="H3741" s="473" t="s">
        <v>284</v>
      </c>
      <c r="I3741" s="307">
        <v>36</v>
      </c>
      <c r="J3741" s="307">
        <v>39450</v>
      </c>
      <c r="K3741" s="532">
        <f t="shared" si="416"/>
        <v>1420200</v>
      </c>
      <c r="L3741" s="534" t="s">
        <v>223</v>
      </c>
      <c r="M3741" s="534" t="s">
        <v>162</v>
      </c>
      <c r="N3741" s="525" t="str">
        <f>IF(AND('331-CT'!$E$7=TH!H3741,OR(L3741="331",M3741="331")),"331",IF(AND(OR(L3741="131",M3741="131"),H3741='131-CT'!$E$7),"131",""))</f>
        <v/>
      </c>
      <c r="O3741" s="525" t="str">
        <f>IF(AND($B3741&gt;='111'!$N$11,$B3741&lt;='111'!$O$11,OR($L3741=$O$7,$M3741=$O$7)),"x","")</f>
        <v/>
      </c>
      <c r="P3741" s="525" t="str">
        <f>IF(AND($L3741=$O$7,$B3741&lt;'111'!$N$11),"x","")</f>
        <v/>
      </c>
      <c r="Q3741" s="525" t="str">
        <f>IF(AND($M3741=$O$7,$B3741&lt;'111'!$N$11),"x","")</f>
        <v/>
      </c>
      <c r="R3741" s="525" t="str">
        <f>IF(ISERROR(FIND('112'!$M$9,G3741,1)),"",IF((AND(FIND('112'!$M$9,G3741,1)&gt;=1,$B3741&gt;='112'!$N$8,$B3741&lt;='112'!$O$8,OR($L3741='112'!$I$6,$M3741='112'!$I$6))),"x",""))</f>
        <v/>
      </c>
      <c r="S3741" s="525" t="str">
        <f>IF(ISERROR(FIND('112'!$M$9,G3741,1)),"",IF((AND(LEFT(G3741,2)=LEFT('112'!$M$9,2),B3741&lt;'112'!$N$8,$L3741='112'!$I$6)),"x",""))</f>
        <v/>
      </c>
      <c r="T3741" s="525" t="str">
        <f>IF(ISERROR(FIND('112'!$M$9,G3741,1)),"",IF((AND(RIGHT(G3741,2)=RIGHT('112'!$M$9,2),B3741&lt;'112'!$N$8,$M3741='112'!$I$6)),"x",""))</f>
        <v/>
      </c>
      <c r="U3741" s="525" t="str">
        <f>IF(AND(B3741&gt;='IN-NX'!$P$3,B3741&lt;='IN-NX'!$Q$3,'IN-NX'!$D$7=D3741,OR(LEFT(L3741,2)="15",AND(LEFT(M3741,2)&lt;&gt;"15",LEFT(M3741,2)&lt;&gt;"33"))),"x","")</f>
        <v/>
      </c>
      <c r="V3741" s="525" t="str">
        <f>IF(AND(OR(LEFT(TH!L3741,2)="15",LEFT(TH!M3741,2)="15"),'152-CT'!$J$8=TH!F3741),"x","")</f>
        <v/>
      </c>
      <c r="W3741" s="525" t="str">
        <f>IF(AND(OR(LEFT(TH!L3741,2)="15",LEFT(TH!M3741,2)="15"),TK!$E$7=TH!F3741),"x","")</f>
        <v/>
      </c>
      <c r="X3741" s="525" t="str">
        <f>IF(AND('341-CT'!$E$9=H3741,OR(LEFT(L3741,3)=$X$7,LEFT(M3741,3)=$X$7)),"x","")</f>
        <v/>
      </c>
      <c r="Y3741" s="525" t="str">
        <f>IF(OR(TH!L3741=TH!$Y$7,M3741=TH!$Y$7),"x","")</f>
        <v/>
      </c>
      <c r="Z3741" s="525" t="str">
        <f>IF(AND(B3741&lt;=NKC!$N$8,B3741&gt;=NKC!$M$8),"x","")</f>
        <v/>
      </c>
      <c r="AA3741" s="535"/>
      <c r="AB3741" s="536"/>
      <c r="AC3741" s="536" t="str">
        <f>VLOOKUP(F3741,NXT!$B$12:$B$686,1,0)</f>
        <v>Thùng 55x30x79</v>
      </c>
      <c r="AD3741" s="536"/>
    </row>
    <row r="3742" spans="1:30" s="503" customFormat="1" ht="15.75" customHeight="1">
      <c r="A3742" s="517" t="str">
        <f>IF(B3742&lt;&gt;"",IF(AND(B3742&gt;=_TM1,B3742&lt;=_TM2,OR(TH!L3742="1111",TH!M3742="1111")),TH!D3742,""),"")</f>
        <v/>
      </c>
      <c r="B3742" s="531">
        <f t="shared" si="417"/>
        <v>8</v>
      </c>
      <c r="C3742" s="315">
        <f t="shared" si="418"/>
        <v>42978</v>
      </c>
      <c r="D3742" s="544" t="s">
        <v>1181</v>
      </c>
      <c r="E3742" s="315">
        <v>42978</v>
      </c>
      <c r="F3742" s="250" t="s">
        <v>629</v>
      </c>
      <c r="G3742" s="314" t="s">
        <v>1446</v>
      </c>
      <c r="H3742" s="473" t="s">
        <v>284</v>
      </c>
      <c r="I3742" s="307">
        <v>16</v>
      </c>
      <c r="J3742" s="307">
        <v>41556</v>
      </c>
      <c r="K3742" s="532">
        <f t="shared" si="416"/>
        <v>664896</v>
      </c>
      <c r="L3742" s="534" t="s">
        <v>223</v>
      </c>
      <c r="M3742" s="534" t="s">
        <v>162</v>
      </c>
      <c r="N3742" s="525" t="str">
        <f>IF(AND('331-CT'!$E$7=TH!H3742,OR(L3742="331",M3742="331")),"331",IF(AND(OR(L3742="131",M3742="131"),H3742='131-CT'!$E$7),"131",""))</f>
        <v/>
      </c>
      <c r="O3742" s="525" t="str">
        <f>IF(AND($B3742&gt;='111'!$N$11,$B3742&lt;='111'!$O$11,OR($L3742=$O$7,$M3742=$O$7)),"x","")</f>
        <v/>
      </c>
      <c r="P3742" s="525" t="str">
        <f>IF(AND($L3742=$O$7,$B3742&lt;'111'!$N$11),"x","")</f>
        <v/>
      </c>
      <c r="Q3742" s="525" t="str">
        <f>IF(AND($M3742=$O$7,$B3742&lt;'111'!$N$11),"x","")</f>
        <v/>
      </c>
      <c r="R3742" s="525" t="str">
        <f>IF(ISERROR(FIND('112'!$M$9,G3742,1)),"",IF((AND(FIND('112'!$M$9,G3742,1)&gt;=1,$B3742&gt;='112'!$N$8,$B3742&lt;='112'!$O$8,OR($L3742='112'!$I$6,$M3742='112'!$I$6))),"x",""))</f>
        <v/>
      </c>
      <c r="S3742" s="525" t="str">
        <f>IF(ISERROR(FIND('112'!$M$9,G3742,1)),"",IF((AND(LEFT(G3742,2)=LEFT('112'!$M$9,2),B3742&lt;'112'!$N$8,$L3742='112'!$I$6)),"x",""))</f>
        <v/>
      </c>
      <c r="T3742" s="525" t="str">
        <f>IF(ISERROR(FIND('112'!$M$9,G3742,1)),"",IF((AND(RIGHT(G3742,2)=RIGHT('112'!$M$9,2),B3742&lt;'112'!$N$8,$M3742='112'!$I$6)),"x",""))</f>
        <v/>
      </c>
      <c r="U3742" s="525" t="str">
        <f>IF(AND(B3742&gt;='IN-NX'!$P$3,B3742&lt;='IN-NX'!$Q$3,'IN-NX'!$D$7=D3742,OR(LEFT(L3742,2)="15",AND(LEFT(M3742,2)&lt;&gt;"15",LEFT(M3742,2)&lt;&gt;"33"))),"x","")</f>
        <v/>
      </c>
      <c r="V3742" s="525" t="str">
        <f>IF(AND(OR(LEFT(TH!L3742,2)="15",LEFT(TH!M3742,2)="15"),'152-CT'!$J$8=TH!F3742),"x","")</f>
        <v/>
      </c>
      <c r="W3742" s="525" t="str">
        <f>IF(AND(OR(LEFT(TH!L3742,2)="15",LEFT(TH!M3742,2)="15"),TK!$E$7=TH!F3742),"x","")</f>
        <v/>
      </c>
      <c r="X3742" s="525" t="str">
        <f>IF(AND('341-CT'!$E$9=H3742,OR(LEFT(L3742,3)=$X$7,LEFT(M3742,3)=$X$7)),"x","")</f>
        <v/>
      </c>
      <c r="Y3742" s="525" t="str">
        <f>IF(OR(TH!L3742=TH!$Y$7,M3742=TH!$Y$7),"x","")</f>
        <v/>
      </c>
      <c r="Z3742" s="525" t="str">
        <f>IF(AND(B3742&lt;=NKC!$N$8,B3742&gt;=NKC!$M$8),"x","")</f>
        <v/>
      </c>
      <c r="AA3742" s="535"/>
      <c r="AB3742" s="536"/>
      <c r="AC3742" s="536" t="str">
        <f>VLOOKUP(F3742,NXT!$B$12:$B$686,1,0)</f>
        <v>Thùng 55x30x79</v>
      </c>
      <c r="AD3742" s="536"/>
    </row>
    <row r="3743" spans="1:30" s="503" customFormat="1" ht="15.75" customHeight="1">
      <c r="A3743" s="517" t="str">
        <f>IF(B3743&lt;&gt;"",IF(AND(B3743&gt;=_TM1,B3743&lt;=_TM2,OR(TH!L3743="1111",TH!M3743="1111")),TH!D3743,""),"")</f>
        <v/>
      </c>
      <c r="B3743" s="531">
        <f t="shared" si="417"/>
        <v>8</v>
      </c>
      <c r="C3743" s="315">
        <f t="shared" si="418"/>
        <v>42978</v>
      </c>
      <c r="D3743" s="544" t="s">
        <v>1181</v>
      </c>
      <c r="E3743" s="315">
        <v>42978</v>
      </c>
      <c r="F3743" s="250" t="s">
        <v>1490</v>
      </c>
      <c r="G3743" s="314" t="s">
        <v>1446</v>
      </c>
      <c r="H3743" s="473" t="s">
        <v>284</v>
      </c>
      <c r="I3743" s="307">
        <v>8</v>
      </c>
      <c r="J3743" s="307">
        <v>131518</v>
      </c>
      <c r="K3743" s="532">
        <f t="shared" si="416"/>
        <v>1052144</v>
      </c>
      <c r="L3743" s="534" t="s">
        <v>223</v>
      </c>
      <c r="M3743" s="534" t="s">
        <v>162</v>
      </c>
      <c r="N3743" s="525" t="str">
        <f>IF(AND('331-CT'!$E$7=TH!H3743,OR(L3743="331",M3743="331")),"331",IF(AND(OR(L3743="131",M3743="131"),H3743='131-CT'!$E$7),"131",""))</f>
        <v/>
      </c>
      <c r="O3743" s="525" t="str">
        <f>IF(AND($B3743&gt;='111'!$N$11,$B3743&lt;='111'!$O$11,OR($L3743=$O$7,$M3743=$O$7)),"x","")</f>
        <v/>
      </c>
      <c r="P3743" s="525" t="str">
        <f>IF(AND($L3743=$O$7,$B3743&lt;'111'!$N$11),"x","")</f>
        <v/>
      </c>
      <c r="Q3743" s="525" t="str">
        <f>IF(AND($M3743=$O$7,$B3743&lt;'111'!$N$11),"x","")</f>
        <v/>
      </c>
      <c r="R3743" s="525" t="str">
        <f>IF(ISERROR(FIND('112'!$M$9,G3743,1)),"",IF((AND(FIND('112'!$M$9,G3743,1)&gt;=1,$B3743&gt;='112'!$N$8,$B3743&lt;='112'!$O$8,OR($L3743='112'!$I$6,$M3743='112'!$I$6))),"x",""))</f>
        <v/>
      </c>
      <c r="S3743" s="525" t="str">
        <f>IF(ISERROR(FIND('112'!$M$9,G3743,1)),"",IF((AND(LEFT(G3743,2)=LEFT('112'!$M$9,2),B3743&lt;'112'!$N$8,$L3743='112'!$I$6)),"x",""))</f>
        <v/>
      </c>
      <c r="T3743" s="525" t="str">
        <f>IF(ISERROR(FIND('112'!$M$9,G3743,1)),"",IF((AND(RIGHT(G3743,2)=RIGHT('112'!$M$9,2),B3743&lt;'112'!$N$8,$M3743='112'!$I$6)),"x",""))</f>
        <v/>
      </c>
      <c r="U3743" s="525" t="str">
        <f>IF(AND(B3743&gt;='IN-NX'!$P$3,B3743&lt;='IN-NX'!$Q$3,'IN-NX'!$D$7=D3743,OR(LEFT(L3743,2)="15",AND(LEFT(M3743,2)&lt;&gt;"15",LEFT(M3743,2)&lt;&gt;"33"))),"x","")</f>
        <v/>
      </c>
      <c r="V3743" s="525" t="str">
        <f>IF(AND(OR(LEFT(TH!L3743,2)="15",LEFT(TH!M3743,2)="15"),'152-CT'!$J$8=TH!F3743),"x","")</f>
        <v/>
      </c>
      <c r="W3743" s="525" t="str">
        <f>IF(AND(OR(LEFT(TH!L3743,2)="15",LEFT(TH!M3743,2)="15"),TK!$E$7=TH!F3743),"x","")</f>
        <v/>
      </c>
      <c r="X3743" s="525" t="str">
        <f>IF(AND('341-CT'!$E$9=H3743,OR(LEFT(L3743,3)=$X$7,LEFT(M3743,3)=$X$7)),"x","")</f>
        <v/>
      </c>
      <c r="Y3743" s="525" t="str">
        <f>IF(OR(TH!L3743=TH!$Y$7,M3743=TH!$Y$7),"x","")</f>
        <v/>
      </c>
      <c r="Z3743" s="525" t="str">
        <f>IF(AND(B3743&lt;=NKC!$N$8,B3743&gt;=NKC!$M$8),"x","")</f>
        <v/>
      </c>
      <c r="AA3743" s="535"/>
      <c r="AB3743" s="536"/>
      <c r="AC3743" s="536" t="str">
        <f>VLOOKUP(F3743,NXT!$B$12:$B$686,1,0)</f>
        <v>Thùng 165x95x14</v>
      </c>
    </row>
    <row r="3744" spans="1:30" s="503" customFormat="1" ht="15.75" customHeight="1">
      <c r="A3744" s="517" t="str">
        <f>IF(B3744&lt;&gt;"",IF(AND(B3744&gt;=_TM1,B3744&lt;=_TM2,OR(TH!L3744="1111",TH!M3744="1111")),TH!D3744,""),"")</f>
        <v/>
      </c>
      <c r="B3744" s="531">
        <f t="shared" si="417"/>
        <v>8</v>
      </c>
      <c r="C3744" s="315">
        <f t="shared" si="418"/>
        <v>42978</v>
      </c>
      <c r="D3744" s="544" t="s">
        <v>1181</v>
      </c>
      <c r="E3744" s="315">
        <v>42978</v>
      </c>
      <c r="F3744" s="250" t="s">
        <v>1491</v>
      </c>
      <c r="G3744" s="314" t="s">
        <v>1446</v>
      </c>
      <c r="H3744" s="473" t="s">
        <v>284</v>
      </c>
      <c r="I3744" s="307">
        <v>8</v>
      </c>
      <c r="J3744" s="307">
        <v>82390</v>
      </c>
      <c r="K3744" s="532">
        <f t="shared" ref="K3744:K3752" si="419">ROUND(I3744*J3744,0)</f>
        <v>659120</v>
      </c>
      <c r="L3744" s="534" t="s">
        <v>223</v>
      </c>
      <c r="M3744" s="534" t="s">
        <v>162</v>
      </c>
      <c r="N3744" s="525" t="str">
        <f>IF(AND('331-CT'!$E$7=TH!H3744,OR(L3744="331",M3744="331")),"331",IF(AND(OR(L3744="131",M3744="131"),H3744='131-CT'!$E$7),"131",""))</f>
        <v/>
      </c>
      <c r="O3744" s="525" t="str">
        <f>IF(AND($B3744&gt;='111'!$N$11,$B3744&lt;='111'!$O$11,OR($L3744=$O$7,$M3744=$O$7)),"x","")</f>
        <v/>
      </c>
      <c r="P3744" s="525" t="str">
        <f>IF(AND($L3744=$O$7,$B3744&lt;'111'!$N$11),"x","")</f>
        <v/>
      </c>
      <c r="Q3744" s="525" t="str">
        <f>IF(AND($M3744=$O$7,$B3744&lt;'111'!$N$11),"x","")</f>
        <v/>
      </c>
      <c r="R3744" s="525" t="str">
        <f>IF(ISERROR(FIND('112'!$M$9,G3744,1)),"",IF((AND(FIND('112'!$M$9,G3744,1)&gt;=1,$B3744&gt;='112'!$N$8,$B3744&lt;='112'!$O$8,OR($L3744='112'!$I$6,$M3744='112'!$I$6))),"x",""))</f>
        <v/>
      </c>
      <c r="S3744" s="525" t="str">
        <f>IF(ISERROR(FIND('112'!$M$9,G3744,1)),"",IF((AND(LEFT(G3744,2)=LEFT('112'!$M$9,2),B3744&lt;'112'!$N$8,$L3744='112'!$I$6)),"x",""))</f>
        <v/>
      </c>
      <c r="T3744" s="525" t="str">
        <f>IF(ISERROR(FIND('112'!$M$9,G3744,1)),"",IF((AND(RIGHT(G3744,2)=RIGHT('112'!$M$9,2),B3744&lt;'112'!$N$8,$M3744='112'!$I$6)),"x",""))</f>
        <v/>
      </c>
      <c r="U3744" s="525" t="str">
        <f>IF(AND(B3744&gt;='IN-NX'!$P$3,B3744&lt;='IN-NX'!$Q$3,'IN-NX'!$D$7=D3744,OR(LEFT(L3744,2)="15",AND(LEFT(M3744,2)&lt;&gt;"15",LEFT(M3744,2)&lt;&gt;"33"))),"x","")</f>
        <v/>
      </c>
      <c r="V3744" s="525" t="str">
        <f>IF(AND(OR(LEFT(TH!L3744,2)="15",LEFT(TH!M3744,2)="15"),'152-CT'!$J$8=TH!F3744),"x","")</f>
        <v/>
      </c>
      <c r="W3744" s="525" t="str">
        <f>IF(AND(OR(LEFT(TH!L3744,2)="15",LEFT(TH!M3744,2)="15"),TK!$E$7=TH!F3744),"x","")</f>
        <v/>
      </c>
      <c r="X3744" s="525" t="str">
        <f>IF(AND('341-CT'!$E$9=H3744,OR(LEFT(L3744,3)=$X$7,LEFT(M3744,3)=$X$7)),"x","")</f>
        <v/>
      </c>
      <c r="Y3744" s="525" t="str">
        <f>IF(OR(TH!L3744=TH!$Y$7,M3744=TH!$Y$7),"x","")</f>
        <v/>
      </c>
      <c r="Z3744" s="525" t="str">
        <f>IF(AND(B3744&lt;=NKC!$N$8,B3744&gt;=NKC!$M$8),"x","")</f>
        <v/>
      </c>
      <c r="AA3744" s="535"/>
      <c r="AB3744" s="536"/>
      <c r="AC3744" s="536" t="str">
        <f>VLOOKUP(F3744,NXT!$B$12:$B$686,1,0)</f>
        <v>Thùng 85x79x28</v>
      </c>
      <c r="AD3744" s="536"/>
    </row>
    <row r="3745" spans="1:30" s="503" customFormat="1" ht="15.75" customHeight="1">
      <c r="A3745" s="517" t="str">
        <f>IF(B3745&lt;&gt;"",IF(AND(B3745&gt;=_TM1,B3745&lt;=_TM2,OR(TH!L3745="1111",TH!M3745="1111")),TH!D3745,""),"")</f>
        <v/>
      </c>
      <c r="B3745" s="531">
        <f t="shared" si="417"/>
        <v>8</v>
      </c>
      <c r="C3745" s="315">
        <f t="shared" si="418"/>
        <v>42978</v>
      </c>
      <c r="D3745" s="544" t="s">
        <v>1181</v>
      </c>
      <c r="E3745" s="315">
        <v>42978</v>
      </c>
      <c r="F3745" s="250" t="s">
        <v>1492</v>
      </c>
      <c r="G3745" s="314" t="s">
        <v>1446</v>
      </c>
      <c r="H3745" s="473" t="s">
        <v>284</v>
      </c>
      <c r="I3745" s="307">
        <v>8</v>
      </c>
      <c r="J3745" s="307">
        <v>159364</v>
      </c>
      <c r="K3745" s="532">
        <f t="shared" si="419"/>
        <v>1274912</v>
      </c>
      <c r="L3745" s="534" t="s">
        <v>223</v>
      </c>
      <c r="M3745" s="534" t="s">
        <v>162</v>
      </c>
      <c r="N3745" s="525" t="str">
        <f>IF(AND('331-CT'!$E$7=TH!H3745,OR(L3745="331",M3745="331")),"331",IF(AND(OR(L3745="131",M3745="131"),H3745='131-CT'!$E$7),"131",""))</f>
        <v/>
      </c>
      <c r="O3745" s="525" t="str">
        <f>IF(AND($B3745&gt;='111'!$N$11,$B3745&lt;='111'!$O$11,OR($L3745=$O$7,$M3745=$O$7)),"x","")</f>
        <v/>
      </c>
      <c r="P3745" s="525" t="str">
        <f>IF(AND($L3745=$O$7,$B3745&lt;'111'!$N$11),"x","")</f>
        <v/>
      </c>
      <c r="Q3745" s="525" t="str">
        <f>IF(AND($M3745=$O$7,$B3745&lt;'111'!$N$11),"x","")</f>
        <v/>
      </c>
      <c r="R3745" s="525" t="str">
        <f>IF(ISERROR(FIND('112'!$M$9,G3745,1)),"",IF((AND(FIND('112'!$M$9,G3745,1)&gt;=1,$B3745&gt;='112'!$N$8,$B3745&lt;='112'!$O$8,OR($L3745='112'!$I$6,$M3745='112'!$I$6))),"x",""))</f>
        <v/>
      </c>
      <c r="S3745" s="525" t="str">
        <f>IF(ISERROR(FIND('112'!$M$9,G3745,1)),"",IF((AND(LEFT(G3745,2)=LEFT('112'!$M$9,2),B3745&lt;'112'!$N$8,$L3745='112'!$I$6)),"x",""))</f>
        <v/>
      </c>
      <c r="T3745" s="525" t="str">
        <f>IF(ISERROR(FIND('112'!$M$9,G3745,1)),"",IF((AND(RIGHT(G3745,2)=RIGHT('112'!$M$9,2),B3745&lt;'112'!$N$8,$M3745='112'!$I$6)),"x",""))</f>
        <v/>
      </c>
      <c r="U3745" s="525" t="str">
        <f>IF(AND(B3745&gt;='IN-NX'!$P$3,B3745&lt;='IN-NX'!$Q$3,'IN-NX'!$D$7=D3745,OR(LEFT(L3745,2)="15",AND(LEFT(M3745,2)&lt;&gt;"15",LEFT(M3745,2)&lt;&gt;"33"))),"x","")</f>
        <v/>
      </c>
      <c r="V3745" s="525" t="str">
        <f>IF(AND(OR(LEFT(TH!L3745,2)="15",LEFT(TH!M3745,2)="15"),'152-CT'!$J$8=TH!F3745),"x","")</f>
        <v/>
      </c>
      <c r="W3745" s="525" t="str">
        <f>IF(AND(OR(LEFT(TH!L3745,2)="15",LEFT(TH!M3745,2)="15"),TK!$E$7=TH!F3745),"x","")</f>
        <v/>
      </c>
      <c r="X3745" s="525" t="str">
        <f>IF(AND('341-CT'!$E$9=H3745,OR(LEFT(L3745,3)=$X$7,LEFT(M3745,3)=$X$7)),"x","")</f>
        <v/>
      </c>
      <c r="Y3745" s="525" t="str">
        <f>IF(OR(TH!L3745=TH!$Y$7,M3745=TH!$Y$7),"x","")</f>
        <v/>
      </c>
      <c r="Z3745" s="525" t="str">
        <f>IF(AND(B3745&lt;=NKC!$N$8,B3745&gt;=NKC!$M$8),"x","")</f>
        <v/>
      </c>
      <c r="AA3745" s="535"/>
      <c r="AB3745" s="536"/>
      <c r="AC3745" s="536" t="str">
        <f>VLOOKUP(F3745,NXT!$B$12:$B$686,1,0)</f>
        <v>Thùng 185x105x14</v>
      </c>
      <c r="AD3745" s="536"/>
    </row>
    <row r="3746" spans="1:30" s="503" customFormat="1" ht="15.75" customHeight="1">
      <c r="A3746" s="517" t="str">
        <f>IF(B3746&lt;&gt;"",IF(AND(B3746&gt;=_TM1,B3746&lt;=_TM2,OR(TH!L3746="1111",TH!M3746="1111")),TH!D3746,""),"")</f>
        <v/>
      </c>
      <c r="B3746" s="531">
        <f t="shared" si="417"/>
        <v>8</v>
      </c>
      <c r="C3746" s="315">
        <f t="shared" si="418"/>
        <v>42978</v>
      </c>
      <c r="D3746" s="544" t="s">
        <v>1181</v>
      </c>
      <c r="E3746" s="315">
        <v>42978</v>
      </c>
      <c r="F3746" s="250" t="s">
        <v>1493</v>
      </c>
      <c r="G3746" s="314" t="s">
        <v>1446</v>
      </c>
      <c r="H3746" s="473" t="s">
        <v>284</v>
      </c>
      <c r="I3746" s="307">
        <v>16</v>
      </c>
      <c r="J3746" s="307">
        <v>87265</v>
      </c>
      <c r="K3746" s="532">
        <f t="shared" si="419"/>
        <v>1396240</v>
      </c>
      <c r="L3746" s="534" t="s">
        <v>223</v>
      </c>
      <c r="M3746" s="534" t="s">
        <v>162</v>
      </c>
      <c r="N3746" s="525" t="str">
        <f>IF(AND('331-CT'!$E$7=TH!H3746,OR(L3746="331",M3746="331")),"331",IF(AND(OR(L3746="131",M3746="131"),H3746='131-CT'!$E$7),"131",""))</f>
        <v/>
      </c>
      <c r="O3746" s="525" t="str">
        <f>IF(AND($B3746&gt;='111'!$N$11,$B3746&lt;='111'!$O$11,OR($L3746=$O$7,$M3746=$O$7)),"x","")</f>
        <v/>
      </c>
      <c r="P3746" s="525" t="str">
        <f>IF(AND($L3746=$O$7,$B3746&lt;'111'!$N$11),"x","")</f>
        <v/>
      </c>
      <c r="Q3746" s="525" t="str">
        <f>IF(AND($M3746=$O$7,$B3746&lt;'111'!$N$11),"x","")</f>
        <v/>
      </c>
      <c r="R3746" s="525" t="str">
        <f>IF(ISERROR(FIND('112'!$M$9,G3746,1)),"",IF((AND(FIND('112'!$M$9,G3746,1)&gt;=1,$B3746&gt;='112'!$N$8,$B3746&lt;='112'!$O$8,OR($L3746='112'!$I$6,$M3746='112'!$I$6))),"x",""))</f>
        <v/>
      </c>
      <c r="S3746" s="525" t="str">
        <f>IF(ISERROR(FIND('112'!$M$9,G3746,1)),"",IF((AND(LEFT(G3746,2)=LEFT('112'!$M$9,2),B3746&lt;'112'!$N$8,$L3746='112'!$I$6)),"x",""))</f>
        <v/>
      </c>
      <c r="T3746" s="525" t="str">
        <f>IF(ISERROR(FIND('112'!$M$9,G3746,1)),"",IF((AND(RIGHT(G3746,2)=RIGHT('112'!$M$9,2),B3746&lt;'112'!$N$8,$M3746='112'!$I$6)),"x",""))</f>
        <v/>
      </c>
      <c r="U3746" s="525" t="str">
        <f>IF(AND(B3746&gt;='IN-NX'!$P$3,B3746&lt;='IN-NX'!$Q$3,'IN-NX'!$D$7=D3746,OR(LEFT(L3746,2)="15",AND(LEFT(M3746,2)&lt;&gt;"15",LEFT(M3746,2)&lt;&gt;"33"))),"x","")</f>
        <v/>
      </c>
      <c r="V3746" s="525" t="str">
        <f>IF(AND(OR(LEFT(TH!L3746,2)="15",LEFT(TH!M3746,2)="15"),'152-CT'!$J$8=TH!F3746),"x","")</f>
        <v/>
      </c>
      <c r="W3746" s="525" t="str">
        <f>IF(AND(OR(LEFT(TH!L3746,2)="15",LEFT(TH!M3746,2)="15"),TK!$E$7=TH!F3746),"x","")</f>
        <v/>
      </c>
      <c r="X3746" s="525" t="str">
        <f>IF(AND('341-CT'!$E$9=H3746,OR(LEFT(L3746,3)=$X$7,LEFT(M3746,3)=$X$7)),"x","")</f>
        <v/>
      </c>
      <c r="Y3746" s="525" t="str">
        <f>IF(OR(TH!L3746=TH!$Y$7,M3746=TH!$Y$7),"x","")</f>
        <v/>
      </c>
      <c r="Z3746" s="525" t="str">
        <f>IF(AND(B3746&lt;=NKC!$N$8,B3746&gt;=NKC!$M$8),"x","")</f>
        <v/>
      </c>
      <c r="AA3746" s="535"/>
      <c r="AB3746" s="536"/>
      <c r="AC3746" s="536" t="str">
        <f>VLOOKUP(F3746,NXT!$B$12:$B$686,1,0)</f>
        <v>Thùng 95x79x28</v>
      </c>
    </row>
    <row r="3747" spans="1:30" s="503" customFormat="1" ht="15.75" customHeight="1">
      <c r="A3747" s="517" t="str">
        <f>IF(B3747&lt;&gt;"",IF(AND(B3747&gt;=_TM1,B3747&lt;=_TM2,OR(TH!L3747="1111",TH!M3747="1111")),TH!D3747,""),"")</f>
        <v/>
      </c>
      <c r="B3747" s="531">
        <f t="shared" si="417"/>
        <v>8</v>
      </c>
      <c r="C3747" s="315">
        <f t="shared" si="418"/>
        <v>42978</v>
      </c>
      <c r="D3747" s="544" t="s">
        <v>1181</v>
      </c>
      <c r="E3747" s="315">
        <v>42978</v>
      </c>
      <c r="F3747" s="250" t="s">
        <v>1494</v>
      </c>
      <c r="G3747" s="314" t="s">
        <v>1446</v>
      </c>
      <c r="H3747" s="473" t="s">
        <v>284</v>
      </c>
      <c r="I3747" s="307">
        <v>8</v>
      </c>
      <c r="J3747" s="307">
        <v>170168</v>
      </c>
      <c r="K3747" s="532">
        <f t="shared" si="419"/>
        <v>1361344</v>
      </c>
      <c r="L3747" s="534" t="s">
        <v>223</v>
      </c>
      <c r="M3747" s="534" t="s">
        <v>162</v>
      </c>
      <c r="N3747" s="525" t="str">
        <f>IF(AND('331-CT'!$E$7=TH!H3747,OR(L3747="331",M3747="331")),"331",IF(AND(OR(L3747="131",M3747="131"),H3747='131-CT'!$E$7),"131",""))</f>
        <v/>
      </c>
      <c r="O3747" s="525" t="str">
        <f>IF(AND($B3747&gt;='111'!$N$11,$B3747&lt;='111'!$O$11,OR($L3747=$O$7,$M3747=$O$7)),"x","")</f>
        <v/>
      </c>
      <c r="P3747" s="525" t="str">
        <f>IF(AND($L3747=$O$7,$B3747&lt;'111'!$N$11),"x","")</f>
        <v/>
      </c>
      <c r="Q3747" s="525" t="str">
        <f>IF(AND($M3747=$O$7,$B3747&lt;'111'!$N$11),"x","")</f>
        <v/>
      </c>
      <c r="R3747" s="525" t="str">
        <f>IF(ISERROR(FIND('112'!$M$9,G3747,1)),"",IF((AND(FIND('112'!$M$9,G3747,1)&gt;=1,$B3747&gt;='112'!$N$8,$B3747&lt;='112'!$O$8,OR($L3747='112'!$I$6,$M3747='112'!$I$6))),"x",""))</f>
        <v/>
      </c>
      <c r="S3747" s="525" t="str">
        <f>IF(ISERROR(FIND('112'!$M$9,G3747,1)),"",IF((AND(LEFT(G3747,2)=LEFT('112'!$M$9,2),B3747&lt;'112'!$N$8,$L3747='112'!$I$6)),"x",""))</f>
        <v/>
      </c>
      <c r="T3747" s="525" t="str">
        <f>IF(ISERROR(FIND('112'!$M$9,G3747,1)),"",IF((AND(RIGHT(G3747,2)=RIGHT('112'!$M$9,2),B3747&lt;'112'!$N$8,$M3747='112'!$I$6)),"x",""))</f>
        <v/>
      </c>
      <c r="U3747" s="525" t="str">
        <f>IF(AND(B3747&gt;='IN-NX'!$P$3,B3747&lt;='IN-NX'!$Q$3,'IN-NX'!$D$7=D3747,OR(LEFT(L3747,2)="15",AND(LEFT(M3747,2)&lt;&gt;"15",LEFT(M3747,2)&lt;&gt;"33"))),"x","")</f>
        <v/>
      </c>
      <c r="V3747" s="525" t="str">
        <f>IF(AND(OR(LEFT(TH!L3747,2)="15",LEFT(TH!M3747,2)="15"),'152-CT'!$J$8=TH!F3747),"x","")</f>
        <v/>
      </c>
      <c r="W3747" s="525" t="str">
        <f>IF(AND(OR(LEFT(TH!L3747,2)="15",LEFT(TH!M3747,2)="15"),TK!$E$7=TH!F3747),"x","")</f>
        <v/>
      </c>
      <c r="X3747" s="525" t="str">
        <f>IF(AND('341-CT'!$E$9=H3747,OR(LEFT(L3747,3)=$X$7,LEFT(M3747,3)=$X$7)),"x","")</f>
        <v/>
      </c>
      <c r="Y3747" s="525" t="str">
        <f>IF(OR(TH!L3747=TH!$Y$7,M3747=TH!$Y$7),"x","")</f>
        <v/>
      </c>
      <c r="Z3747" s="525" t="str">
        <f>IF(AND(B3747&lt;=NKC!$N$8,B3747&gt;=NKC!$M$8),"x","")</f>
        <v/>
      </c>
      <c r="AA3747" s="535"/>
      <c r="AB3747" s="536"/>
      <c r="AC3747" s="536" t="str">
        <f>VLOOKUP(F3747,NXT!$B$12:$B$686,1,0)</f>
        <v>Thùng 205x105x14</v>
      </c>
      <c r="AD3747" s="536"/>
    </row>
    <row r="3748" spans="1:30" s="503" customFormat="1" ht="15.75" customHeight="1">
      <c r="A3748" s="517" t="str">
        <f>IF(B3748&lt;&gt;"",IF(AND(B3748&gt;=_TM1,B3748&lt;=_TM2,OR(TH!L3748="1111",TH!M3748="1111")),TH!D3748,""),"")</f>
        <v/>
      </c>
      <c r="B3748" s="531">
        <f t="shared" si="417"/>
        <v>8</v>
      </c>
      <c r="C3748" s="315">
        <f t="shared" si="418"/>
        <v>42978</v>
      </c>
      <c r="D3748" s="544" t="s">
        <v>1181</v>
      </c>
      <c r="E3748" s="315">
        <v>42978</v>
      </c>
      <c r="F3748" s="250" t="s">
        <v>652</v>
      </c>
      <c r="G3748" s="314" t="s">
        <v>1446</v>
      </c>
      <c r="H3748" s="473" t="s">
        <v>284</v>
      </c>
      <c r="I3748" s="307">
        <v>150</v>
      </c>
      <c r="J3748" s="307">
        <v>67662</v>
      </c>
      <c r="K3748" s="532">
        <f t="shared" si="419"/>
        <v>10149300</v>
      </c>
      <c r="L3748" s="534" t="s">
        <v>223</v>
      </c>
      <c r="M3748" s="534" t="s">
        <v>162</v>
      </c>
      <c r="N3748" s="525" t="str">
        <f>IF(AND('331-CT'!$E$7=TH!H3748,OR(L3748="331",M3748="331")),"331",IF(AND(OR(L3748="131",M3748="131"),H3748='131-CT'!$E$7),"131",""))</f>
        <v/>
      </c>
      <c r="O3748" s="525" t="str">
        <f>IF(AND($B3748&gt;='111'!$N$11,$B3748&lt;='111'!$O$11,OR($L3748=$O$7,$M3748=$O$7)),"x","")</f>
        <v/>
      </c>
      <c r="P3748" s="525" t="str">
        <f>IF(AND($L3748=$O$7,$B3748&lt;'111'!$N$11),"x","")</f>
        <v/>
      </c>
      <c r="Q3748" s="525" t="str">
        <f>IF(AND($M3748=$O$7,$B3748&lt;'111'!$N$11),"x","")</f>
        <v/>
      </c>
      <c r="R3748" s="525" t="str">
        <f>IF(ISERROR(FIND('112'!$M$9,G3748,1)),"",IF((AND(FIND('112'!$M$9,G3748,1)&gt;=1,$B3748&gt;='112'!$N$8,$B3748&lt;='112'!$O$8,OR($L3748='112'!$I$6,$M3748='112'!$I$6))),"x",""))</f>
        <v/>
      </c>
      <c r="S3748" s="525" t="str">
        <f>IF(ISERROR(FIND('112'!$M$9,G3748,1)),"",IF((AND(LEFT(G3748,2)=LEFT('112'!$M$9,2),B3748&lt;'112'!$N$8,$L3748='112'!$I$6)),"x",""))</f>
        <v/>
      </c>
      <c r="T3748" s="525" t="str">
        <f>IF(ISERROR(FIND('112'!$M$9,G3748,1)),"",IF((AND(RIGHT(G3748,2)=RIGHT('112'!$M$9,2),B3748&lt;'112'!$N$8,$M3748='112'!$I$6)),"x",""))</f>
        <v/>
      </c>
      <c r="U3748" s="525" t="str">
        <f>IF(AND(B3748&gt;='IN-NX'!$P$3,B3748&lt;='IN-NX'!$Q$3,'IN-NX'!$D$7=D3748,OR(LEFT(L3748,2)="15",AND(LEFT(M3748,2)&lt;&gt;"15",LEFT(M3748,2)&lt;&gt;"33"))),"x","")</f>
        <v/>
      </c>
      <c r="V3748" s="525" t="str">
        <f>IF(AND(OR(LEFT(TH!L3748,2)="15",LEFT(TH!M3748,2)="15"),'152-CT'!$J$8=TH!F3748),"x","")</f>
        <v/>
      </c>
      <c r="W3748" s="525" t="str">
        <f>IF(AND(OR(LEFT(TH!L3748,2)="15",LEFT(TH!M3748,2)="15"),TK!$E$7=TH!F3748),"x","")</f>
        <v/>
      </c>
      <c r="X3748" s="525" t="str">
        <f>IF(AND('341-CT'!$E$9=H3748,OR(LEFT(L3748,3)=$X$7,LEFT(M3748,3)=$X$7)),"x","")</f>
        <v/>
      </c>
      <c r="Y3748" s="525" t="str">
        <f>IF(OR(TH!L3748=TH!$Y$7,M3748=TH!$Y$7),"x","")</f>
        <v/>
      </c>
      <c r="Z3748" s="525" t="str">
        <f>IF(AND(B3748&lt;=NKC!$N$8,B3748&gt;=NKC!$M$8),"x","")</f>
        <v/>
      </c>
      <c r="AA3748" s="535"/>
      <c r="AB3748" s="536"/>
      <c r="AC3748" s="536" t="str">
        <f>VLOOKUP(F3748,NXT!$B$12:$B$686,1,0)</f>
        <v>Thùng 42x42x42</v>
      </c>
      <c r="AD3748" s="536"/>
    </row>
    <row r="3749" spans="1:30" s="503" customFormat="1" ht="15.75" customHeight="1">
      <c r="A3749" s="517" t="str">
        <f>IF(B3749&lt;&gt;"",IF(AND(B3749&gt;=_TM1,B3749&lt;=_TM2,OR(TH!L3749="1111",TH!M3749="1111")),TH!D3749,""),"")</f>
        <v/>
      </c>
      <c r="B3749" s="531">
        <f t="shared" si="417"/>
        <v>8</v>
      </c>
      <c r="C3749" s="315">
        <f t="shared" si="418"/>
        <v>42978</v>
      </c>
      <c r="D3749" s="544" t="s">
        <v>1181</v>
      </c>
      <c r="E3749" s="315">
        <v>42978</v>
      </c>
      <c r="F3749" s="250" t="s">
        <v>1495</v>
      </c>
      <c r="G3749" s="314" t="s">
        <v>1446</v>
      </c>
      <c r="H3749" s="473" t="s">
        <v>284</v>
      </c>
      <c r="I3749" s="307">
        <v>20</v>
      </c>
      <c r="J3749" s="307">
        <v>66797</v>
      </c>
      <c r="K3749" s="532">
        <f t="shared" si="419"/>
        <v>1335940</v>
      </c>
      <c r="L3749" s="534" t="s">
        <v>223</v>
      </c>
      <c r="M3749" s="534" t="s">
        <v>162</v>
      </c>
      <c r="N3749" s="525" t="str">
        <f>IF(AND('331-CT'!$E$7=TH!H3749,OR(L3749="331",M3749="331")),"331",IF(AND(OR(L3749="131",M3749="131"),H3749='131-CT'!$E$7),"131",""))</f>
        <v/>
      </c>
      <c r="O3749" s="525" t="str">
        <f>IF(AND($B3749&gt;='111'!$N$11,$B3749&lt;='111'!$O$11,OR($L3749=$O$7,$M3749=$O$7)),"x","")</f>
        <v/>
      </c>
      <c r="P3749" s="525" t="str">
        <f>IF(AND($L3749=$O$7,$B3749&lt;'111'!$N$11),"x","")</f>
        <v/>
      </c>
      <c r="Q3749" s="525" t="str">
        <f>IF(AND($M3749=$O$7,$B3749&lt;'111'!$N$11),"x","")</f>
        <v/>
      </c>
      <c r="R3749" s="525" t="str">
        <f>IF(ISERROR(FIND('112'!$M$9,G3749,1)),"",IF((AND(FIND('112'!$M$9,G3749,1)&gt;=1,$B3749&gt;='112'!$N$8,$B3749&lt;='112'!$O$8,OR($L3749='112'!$I$6,$M3749='112'!$I$6))),"x",""))</f>
        <v/>
      </c>
      <c r="S3749" s="525" t="str">
        <f>IF(ISERROR(FIND('112'!$M$9,G3749,1)),"",IF((AND(LEFT(G3749,2)=LEFT('112'!$M$9,2),B3749&lt;'112'!$N$8,$L3749='112'!$I$6)),"x",""))</f>
        <v/>
      </c>
      <c r="T3749" s="525" t="str">
        <f>IF(ISERROR(FIND('112'!$M$9,G3749,1)),"",IF((AND(RIGHT(G3749,2)=RIGHT('112'!$M$9,2),B3749&lt;'112'!$N$8,$M3749='112'!$I$6)),"x",""))</f>
        <v/>
      </c>
      <c r="U3749" s="525" t="str">
        <f>IF(AND(B3749&gt;='IN-NX'!$P$3,B3749&lt;='IN-NX'!$Q$3,'IN-NX'!$D$7=D3749,OR(LEFT(L3749,2)="15",AND(LEFT(M3749,2)&lt;&gt;"15",LEFT(M3749,2)&lt;&gt;"33"))),"x","")</f>
        <v/>
      </c>
      <c r="V3749" s="525" t="str">
        <f>IF(AND(OR(LEFT(TH!L3749,2)="15",LEFT(TH!M3749,2)="15"),'152-CT'!$J$8=TH!F3749),"x","")</f>
        <v/>
      </c>
      <c r="W3749" s="525" t="str">
        <f>IF(AND(OR(LEFT(TH!L3749,2)="15",LEFT(TH!M3749,2)="15"),TK!$E$7=TH!F3749),"x","")</f>
        <v/>
      </c>
      <c r="X3749" s="525" t="str">
        <f>IF(AND('341-CT'!$E$9=H3749,OR(LEFT(L3749,3)=$X$7,LEFT(M3749,3)=$X$7)),"x","")</f>
        <v/>
      </c>
      <c r="Y3749" s="525" t="str">
        <f>IF(OR(TH!L3749=TH!$Y$7,M3749=TH!$Y$7),"x","")</f>
        <v/>
      </c>
      <c r="Z3749" s="525" t="str">
        <f>IF(AND(B3749&lt;=NKC!$N$8,B3749&gt;=NKC!$M$8),"x","")</f>
        <v/>
      </c>
      <c r="AA3749" s="535"/>
      <c r="AB3749" s="536"/>
      <c r="AC3749" s="536" t="str">
        <f>VLOOKUP(F3749,NXT!$B$12:$B$686,1,0)</f>
        <v>Thùng 52x52x87</v>
      </c>
    </row>
    <row r="3750" spans="1:30" s="503" customFormat="1" ht="15.75" customHeight="1">
      <c r="A3750" s="517" t="str">
        <f>IF(B3750&lt;&gt;"",IF(AND(B3750&gt;=_TM1,B3750&lt;=_TM2,OR(TH!L3750="1111",TH!M3750="1111")),TH!D3750,""),"")</f>
        <v/>
      </c>
      <c r="B3750" s="531">
        <f t="shared" si="417"/>
        <v>8</v>
      </c>
      <c r="C3750" s="315">
        <f t="shared" si="418"/>
        <v>42978</v>
      </c>
      <c r="D3750" s="544" t="s">
        <v>1181</v>
      </c>
      <c r="E3750" s="315">
        <v>42978</v>
      </c>
      <c r="F3750" s="250" t="s">
        <v>1496</v>
      </c>
      <c r="G3750" s="314" t="s">
        <v>1446</v>
      </c>
      <c r="H3750" s="473" t="s">
        <v>284</v>
      </c>
      <c r="I3750" s="307">
        <v>15</v>
      </c>
      <c r="J3750" s="307">
        <v>93777</v>
      </c>
      <c r="K3750" s="532">
        <f t="shared" si="419"/>
        <v>1406655</v>
      </c>
      <c r="L3750" s="534" t="s">
        <v>223</v>
      </c>
      <c r="M3750" s="534" t="s">
        <v>162</v>
      </c>
      <c r="N3750" s="525" t="str">
        <f>IF(AND('331-CT'!$E$7=TH!H3750,OR(L3750="331",M3750="331")),"331",IF(AND(OR(L3750="131",M3750="131"),H3750='131-CT'!$E$7),"131",""))</f>
        <v/>
      </c>
      <c r="O3750" s="525" t="str">
        <f>IF(AND($B3750&gt;='111'!$N$11,$B3750&lt;='111'!$O$11,OR($L3750=$O$7,$M3750=$O$7)),"x","")</f>
        <v/>
      </c>
      <c r="P3750" s="525" t="str">
        <f>IF(AND($L3750=$O$7,$B3750&lt;'111'!$N$11),"x","")</f>
        <v/>
      </c>
      <c r="Q3750" s="525" t="str">
        <f>IF(AND($M3750=$O$7,$B3750&lt;'111'!$N$11),"x","")</f>
        <v/>
      </c>
      <c r="R3750" s="525" t="str">
        <f>IF(ISERROR(FIND('112'!$M$9,G3750,1)),"",IF((AND(FIND('112'!$M$9,G3750,1)&gt;=1,$B3750&gt;='112'!$N$8,$B3750&lt;='112'!$O$8,OR($L3750='112'!$I$6,$M3750='112'!$I$6))),"x",""))</f>
        <v/>
      </c>
      <c r="S3750" s="525" t="str">
        <f>IF(ISERROR(FIND('112'!$M$9,G3750,1)),"",IF((AND(LEFT(G3750,2)=LEFT('112'!$M$9,2),B3750&lt;'112'!$N$8,$L3750='112'!$I$6)),"x",""))</f>
        <v/>
      </c>
      <c r="T3750" s="525" t="str">
        <f>IF(ISERROR(FIND('112'!$M$9,G3750,1)),"",IF((AND(RIGHT(G3750,2)=RIGHT('112'!$M$9,2),B3750&lt;'112'!$N$8,$M3750='112'!$I$6)),"x",""))</f>
        <v/>
      </c>
      <c r="U3750" s="525" t="str">
        <f>IF(AND(B3750&gt;='IN-NX'!$P$3,B3750&lt;='IN-NX'!$Q$3,'IN-NX'!$D$7=D3750,OR(LEFT(L3750,2)="15",AND(LEFT(M3750,2)&lt;&gt;"15",LEFT(M3750,2)&lt;&gt;"33"))),"x","")</f>
        <v/>
      </c>
      <c r="V3750" s="525" t="str">
        <f>IF(AND(OR(LEFT(TH!L3750,2)="15",LEFT(TH!M3750,2)="15"),'152-CT'!$J$8=TH!F3750),"x","")</f>
        <v/>
      </c>
      <c r="W3750" s="525" t="str">
        <f>IF(AND(OR(LEFT(TH!L3750,2)="15",LEFT(TH!M3750,2)="15"),TK!$E$7=TH!F3750),"x","")</f>
        <v/>
      </c>
      <c r="X3750" s="525" t="str">
        <f>IF(AND('341-CT'!$E$9=H3750,OR(LEFT(L3750,3)=$X$7,LEFT(M3750,3)=$X$7)),"x","")</f>
        <v/>
      </c>
      <c r="Y3750" s="525" t="str">
        <f>IF(OR(TH!L3750=TH!$Y$7,M3750=TH!$Y$7),"x","")</f>
        <v/>
      </c>
      <c r="Z3750" s="525" t="str">
        <f>IF(AND(B3750&lt;=NKC!$N$8,B3750&gt;=NKC!$M$8),"x","")</f>
        <v/>
      </c>
      <c r="AA3750" s="535"/>
      <c r="AB3750" s="536"/>
      <c r="AC3750" s="536" t="str">
        <f>VLOOKUP(F3750,NXT!$B$12:$B$686,1,0)</f>
        <v>Thùng 52x52x113</v>
      </c>
      <c r="AD3750" s="536"/>
    </row>
    <row r="3751" spans="1:30" s="503" customFormat="1" ht="15.75" customHeight="1">
      <c r="A3751" s="517" t="str">
        <f>IF(B3751&lt;&gt;"",IF(AND(B3751&gt;=_TM1,B3751&lt;=_TM2,OR(TH!L3751="1111",TH!M3751="1111")),TH!D3751,""),"")</f>
        <v/>
      </c>
      <c r="B3751" s="531">
        <f t="shared" si="417"/>
        <v>8</v>
      </c>
      <c r="C3751" s="315">
        <f t="shared" si="418"/>
        <v>42978</v>
      </c>
      <c r="D3751" s="544" t="s">
        <v>1181</v>
      </c>
      <c r="E3751" s="315">
        <v>42978</v>
      </c>
      <c r="F3751" s="250" t="s">
        <v>1497</v>
      </c>
      <c r="G3751" s="314" t="s">
        <v>1446</v>
      </c>
      <c r="H3751" s="473" t="s">
        <v>284</v>
      </c>
      <c r="I3751" s="307">
        <v>30</v>
      </c>
      <c r="J3751" s="307">
        <v>47616</v>
      </c>
      <c r="K3751" s="532">
        <f t="shared" si="419"/>
        <v>1428480</v>
      </c>
      <c r="L3751" s="534" t="s">
        <v>223</v>
      </c>
      <c r="M3751" s="534" t="s">
        <v>162</v>
      </c>
      <c r="N3751" s="525" t="str">
        <f>IF(AND('331-CT'!$E$7=TH!H3751,OR(L3751="331",M3751="331")),"331",IF(AND(OR(L3751="131",M3751="131"),H3751='131-CT'!$E$7),"131",""))</f>
        <v/>
      </c>
      <c r="O3751" s="525" t="str">
        <f>IF(AND($B3751&gt;='111'!$N$11,$B3751&lt;='111'!$O$11,OR($L3751=$O$7,$M3751=$O$7)),"x","")</f>
        <v/>
      </c>
      <c r="P3751" s="525" t="str">
        <f>IF(AND($L3751=$O$7,$B3751&lt;'111'!$N$11),"x","")</f>
        <v/>
      </c>
      <c r="Q3751" s="525" t="str">
        <f>IF(AND($M3751=$O$7,$B3751&lt;'111'!$N$11),"x","")</f>
        <v/>
      </c>
      <c r="R3751" s="525" t="str">
        <f>IF(ISERROR(FIND('112'!$M$9,G3751,1)),"",IF((AND(FIND('112'!$M$9,G3751,1)&gt;=1,$B3751&gt;='112'!$N$8,$B3751&lt;='112'!$O$8,OR($L3751='112'!$I$6,$M3751='112'!$I$6))),"x",""))</f>
        <v/>
      </c>
      <c r="S3751" s="525" t="str">
        <f>IF(ISERROR(FIND('112'!$M$9,G3751,1)),"",IF((AND(LEFT(G3751,2)=LEFT('112'!$M$9,2),B3751&lt;'112'!$N$8,$L3751='112'!$I$6)),"x",""))</f>
        <v/>
      </c>
      <c r="T3751" s="525" t="str">
        <f>IF(ISERROR(FIND('112'!$M$9,G3751,1)),"",IF((AND(RIGHT(G3751,2)=RIGHT('112'!$M$9,2),B3751&lt;'112'!$N$8,$M3751='112'!$I$6)),"x",""))</f>
        <v/>
      </c>
      <c r="U3751" s="525" t="str">
        <f>IF(AND(B3751&gt;='IN-NX'!$P$3,B3751&lt;='IN-NX'!$Q$3,'IN-NX'!$D$7=D3751,OR(LEFT(L3751,2)="15",AND(LEFT(M3751,2)&lt;&gt;"15",LEFT(M3751,2)&lt;&gt;"33"))),"x","")</f>
        <v/>
      </c>
      <c r="V3751" s="525" t="str">
        <f>IF(AND(OR(LEFT(TH!L3751,2)="15",LEFT(TH!M3751,2)="15"),'152-CT'!$J$8=TH!F3751),"x","")</f>
        <v/>
      </c>
      <c r="W3751" s="525" t="str">
        <f>IF(AND(OR(LEFT(TH!L3751,2)="15",LEFT(TH!M3751,2)="15"),TK!$E$7=TH!F3751),"x","")</f>
        <v/>
      </c>
      <c r="X3751" s="525" t="str">
        <f>IF(AND('341-CT'!$E$9=H3751,OR(LEFT(L3751,3)=$X$7,LEFT(M3751,3)=$X$7)),"x","")</f>
        <v/>
      </c>
      <c r="Y3751" s="525" t="str">
        <f>IF(OR(TH!L3751=TH!$Y$7,M3751=TH!$Y$7),"x","")</f>
        <v/>
      </c>
      <c r="Z3751" s="525" t="str">
        <f>IF(AND(B3751&lt;=NKC!$N$8,B3751&gt;=NKC!$M$8),"x","")</f>
        <v/>
      </c>
      <c r="AA3751" s="535"/>
      <c r="AB3751" s="536"/>
      <c r="AC3751" s="536" t="str">
        <f>VLOOKUP(F3751,NXT!$B$12:$B$686,1,0)</f>
        <v>Thùng 54x49x66</v>
      </c>
      <c r="AD3751" s="536"/>
    </row>
    <row r="3752" spans="1:30" s="503" customFormat="1" ht="15.75" customHeight="1">
      <c r="A3752" s="517" t="str">
        <f>IF(B3752&lt;&gt;"",IF(AND(B3752&gt;=_TM1,B3752&lt;=_TM2,OR(TH!L3752="1111",TH!M3752="1111")),TH!D3752,""),"")</f>
        <v/>
      </c>
      <c r="B3752" s="531">
        <f t="shared" si="417"/>
        <v>8</v>
      </c>
      <c r="C3752" s="315">
        <f t="shared" si="418"/>
        <v>42978</v>
      </c>
      <c r="D3752" s="544" t="s">
        <v>1181</v>
      </c>
      <c r="E3752" s="315">
        <v>42978</v>
      </c>
      <c r="F3752" s="250" t="s">
        <v>1237</v>
      </c>
      <c r="G3752" s="314" t="s">
        <v>1446</v>
      </c>
      <c r="H3752" s="473" t="s">
        <v>284</v>
      </c>
      <c r="I3752" s="307">
        <v>30</v>
      </c>
      <c r="J3752" s="307">
        <v>41891</v>
      </c>
      <c r="K3752" s="532">
        <f t="shared" si="419"/>
        <v>1256730</v>
      </c>
      <c r="L3752" s="534" t="s">
        <v>223</v>
      </c>
      <c r="M3752" s="534" t="s">
        <v>162</v>
      </c>
      <c r="N3752" s="525" t="str">
        <f>IF(AND('331-CT'!$E$7=TH!H3752,OR(L3752="331",M3752="331")),"331",IF(AND(OR(L3752="131",M3752="131"),H3752='131-CT'!$E$7),"131",""))</f>
        <v/>
      </c>
      <c r="O3752" s="525" t="str">
        <f>IF(AND($B3752&gt;='111'!$N$11,$B3752&lt;='111'!$O$11,OR($L3752=$O$7,$M3752=$O$7)),"x","")</f>
        <v/>
      </c>
      <c r="P3752" s="525" t="str">
        <f>IF(AND($L3752=$O$7,$B3752&lt;'111'!$N$11),"x","")</f>
        <v/>
      </c>
      <c r="Q3752" s="525" t="str">
        <f>IF(AND($M3752=$O$7,$B3752&lt;'111'!$N$11),"x","")</f>
        <v/>
      </c>
      <c r="R3752" s="525" t="str">
        <f>IF(ISERROR(FIND('112'!$M$9,G3752,1)),"",IF((AND(FIND('112'!$M$9,G3752,1)&gt;=1,$B3752&gt;='112'!$N$8,$B3752&lt;='112'!$O$8,OR($L3752='112'!$I$6,$M3752='112'!$I$6))),"x",""))</f>
        <v/>
      </c>
      <c r="S3752" s="525" t="str">
        <f>IF(ISERROR(FIND('112'!$M$9,G3752,1)),"",IF((AND(LEFT(G3752,2)=LEFT('112'!$M$9,2),B3752&lt;'112'!$N$8,$L3752='112'!$I$6)),"x",""))</f>
        <v/>
      </c>
      <c r="T3752" s="525" t="str">
        <f>IF(ISERROR(FIND('112'!$M$9,G3752,1)),"",IF((AND(RIGHT(G3752,2)=RIGHT('112'!$M$9,2),B3752&lt;'112'!$N$8,$M3752='112'!$I$6)),"x",""))</f>
        <v/>
      </c>
      <c r="U3752" s="525" t="str">
        <f>IF(AND(B3752&gt;='IN-NX'!$P$3,B3752&lt;='IN-NX'!$Q$3,'IN-NX'!$D$7=D3752,OR(LEFT(L3752,2)="15",AND(LEFT(M3752,2)&lt;&gt;"15",LEFT(M3752,2)&lt;&gt;"33"))),"x","")</f>
        <v/>
      </c>
      <c r="V3752" s="525" t="str">
        <f>IF(AND(OR(LEFT(TH!L3752,2)="15",LEFT(TH!M3752,2)="15"),'152-CT'!$J$8=TH!F3752),"x","")</f>
        <v/>
      </c>
      <c r="W3752" s="525" t="str">
        <f>IF(AND(OR(LEFT(TH!L3752,2)="15",LEFT(TH!M3752,2)="15"),TK!$E$7=TH!F3752),"x","")</f>
        <v/>
      </c>
      <c r="X3752" s="525" t="str">
        <f>IF(AND('341-CT'!$E$9=H3752,OR(LEFT(L3752,3)=$X$7,LEFT(M3752,3)=$X$7)),"x","")</f>
        <v/>
      </c>
      <c r="Y3752" s="525" t="str">
        <f>IF(OR(TH!L3752=TH!$Y$7,M3752=TH!$Y$7),"x","")</f>
        <v/>
      </c>
      <c r="Z3752" s="525" t="str">
        <f>IF(AND(B3752&lt;=NKC!$N$8,B3752&gt;=NKC!$M$8),"x","")</f>
        <v/>
      </c>
      <c r="AA3752" s="535"/>
      <c r="AB3752" s="536"/>
      <c r="AC3752" s="536" t="str">
        <f>VLOOKUP(F3752,NXT!$B$12:$B$686,1,0)</f>
        <v>Thùng 52x52x58</v>
      </c>
    </row>
    <row r="3753" spans="1:30" s="503" customFormat="1" ht="15.75" customHeight="1">
      <c r="A3753" s="517" t="str">
        <f>IF(B3753&lt;&gt;"",IF(AND(B3753&gt;=_TM1,B3753&lt;=_TM2,OR(TH!L3753="1111",TH!M3753="1111")),TH!D3753,""),"")</f>
        <v/>
      </c>
      <c r="B3753" s="531">
        <f t="shared" si="408"/>
        <v>8</v>
      </c>
      <c r="C3753" s="315">
        <f t="shared" si="409"/>
        <v>42978</v>
      </c>
      <c r="D3753" s="544" t="s">
        <v>1181</v>
      </c>
      <c r="E3753" s="315">
        <v>42978</v>
      </c>
      <c r="F3753" s="249" t="s">
        <v>494</v>
      </c>
      <c r="G3753" s="314" t="s">
        <v>1446</v>
      </c>
      <c r="H3753" s="473" t="s">
        <v>284</v>
      </c>
      <c r="I3753" s="307"/>
      <c r="J3753" s="307"/>
      <c r="K3753" s="532">
        <v>15471957</v>
      </c>
      <c r="L3753" s="534" t="s">
        <v>223</v>
      </c>
      <c r="M3753" s="534" t="s">
        <v>259</v>
      </c>
      <c r="N3753" s="525" t="str">
        <f>IF(AND('331-CT'!$E$7=TH!H3753,OR(L3753="331",M3753="331")),"331",IF(AND(OR(L3753="131",M3753="131"),H3753='131-CT'!$E$7),"131",""))</f>
        <v/>
      </c>
      <c r="O3753" s="525" t="str">
        <f>IF(AND($B3753&gt;='111'!$N$11,$B3753&lt;='111'!$O$11,OR($L3753=$O$7,$M3753=$O$7)),"x","")</f>
        <v/>
      </c>
      <c r="P3753" s="525" t="str">
        <f>IF(AND($L3753=$O$7,$B3753&lt;'111'!$N$11),"x","")</f>
        <v/>
      </c>
      <c r="Q3753" s="525" t="str">
        <f>IF(AND($M3753=$O$7,$B3753&lt;'111'!$N$11),"x","")</f>
        <v/>
      </c>
      <c r="R3753" s="525" t="str">
        <f>IF(ISERROR(FIND('112'!$M$9,G3753,1)),"",IF((AND(FIND('112'!$M$9,G3753,1)&gt;=1,$B3753&gt;='112'!$N$8,$B3753&lt;='112'!$O$8,OR($L3753='112'!$I$6,$M3753='112'!$I$6))),"x",""))</f>
        <v/>
      </c>
      <c r="S3753" s="525" t="str">
        <f>IF(ISERROR(FIND('112'!$M$9,G3753,1)),"",IF((AND(LEFT(G3753,2)=LEFT('112'!$M$9,2),B3753&lt;'112'!$N$8,$L3753='112'!$I$6)),"x",""))</f>
        <v/>
      </c>
      <c r="T3753" s="525" t="str">
        <f>IF(ISERROR(FIND('112'!$M$9,G3753,1)),"",IF((AND(RIGHT(G3753,2)=RIGHT('112'!$M$9,2),B3753&lt;'112'!$N$8,$M3753='112'!$I$6)),"x",""))</f>
        <v/>
      </c>
      <c r="U3753" s="525" t="str">
        <f>IF(AND(B3753&gt;='IN-NX'!$P$3,B3753&lt;='IN-NX'!$Q$3,'IN-NX'!$D$7=D3753,OR(LEFT(L3753,2)="15",AND(LEFT(M3753,2)&lt;&gt;"15",LEFT(M3753,2)&lt;&gt;"33"))),"x","")</f>
        <v/>
      </c>
      <c r="V3753" s="525" t="str">
        <f>IF(AND(OR(LEFT(TH!L3753,2)="15",LEFT(TH!M3753,2)="15"),'152-CT'!$J$8=TH!F3753),"x","")</f>
        <v/>
      </c>
      <c r="W3753" s="525" t="str">
        <f>IF(AND(OR(LEFT(TH!L3753,2)="15",LEFT(TH!M3753,2)="15"),TK!$E$7=TH!F3753),"x","")</f>
        <v/>
      </c>
      <c r="X3753" s="525" t="str">
        <f>IF(AND('341-CT'!$E$9=H3753,OR(LEFT(L3753,3)=$X$7,LEFT(M3753,3)=$X$7)),"x","")</f>
        <v/>
      </c>
      <c r="Y3753" s="525" t="str">
        <f>IF(OR(TH!L3753=TH!$Y$7,M3753=TH!$Y$7),"x","")</f>
        <v/>
      </c>
      <c r="Z3753" s="525" t="str">
        <f>IF(AND(B3753&lt;=NKC!$N$8,B3753&gt;=NKC!$M$8),"x","")</f>
        <v/>
      </c>
      <c r="AA3753" s="535"/>
      <c r="AB3753" s="536"/>
    </row>
    <row r="3754" spans="1:30" s="503" customFormat="1" ht="15.75" customHeight="1">
      <c r="A3754" s="517" t="str">
        <f>IF(B3754&lt;&gt;"",IF(AND(B3754&gt;=_TM1,B3754&lt;=_TM2,OR(TH!L3754="1111",TH!M3754="1111")),TH!D3754,""),"")</f>
        <v/>
      </c>
      <c r="B3754" s="531">
        <f t="shared" ref="B3754:B3760" si="420">IF(C3754&lt;&gt;"",MONTH(C3754),"")</f>
        <v>9</v>
      </c>
      <c r="C3754" s="315">
        <f t="shared" ref="C3754:C3760" si="421">E3754</f>
        <v>42981</v>
      </c>
      <c r="D3754" s="544" t="s">
        <v>1181</v>
      </c>
      <c r="E3754" s="315">
        <v>42981</v>
      </c>
      <c r="F3754" s="249" t="s">
        <v>1217</v>
      </c>
      <c r="G3754" s="314" t="s">
        <v>1674</v>
      </c>
      <c r="H3754" s="248" t="s">
        <v>1218</v>
      </c>
      <c r="I3754" s="307">
        <v>3045</v>
      </c>
      <c r="J3754" s="307">
        <v>5900</v>
      </c>
      <c r="K3754" s="532">
        <f>ROUND(I3754*J3754,0)</f>
        <v>17965500</v>
      </c>
      <c r="L3754" s="534" t="s">
        <v>223</v>
      </c>
      <c r="M3754" s="534" t="s">
        <v>162</v>
      </c>
      <c r="N3754" s="525" t="str">
        <f>IF(AND('331-CT'!$E$7=TH!H3754,OR(L3754="331",M3754="331")),"331",IF(AND(OR(L3754="131",M3754="131"),H3754='131-CT'!$E$7),"131",""))</f>
        <v/>
      </c>
      <c r="O3754" s="525" t="str">
        <f>IF(AND($B3754&gt;='111'!$N$11,$B3754&lt;='111'!$O$11,OR($L3754=$O$7,$M3754=$O$7)),"x","")</f>
        <v/>
      </c>
      <c r="P3754" s="525" t="str">
        <f>IF(AND($L3754=$O$7,$B3754&lt;'111'!$N$11),"x","")</f>
        <v/>
      </c>
      <c r="Q3754" s="525" t="str">
        <f>IF(AND($M3754=$O$7,$B3754&lt;'111'!$N$11),"x","")</f>
        <v/>
      </c>
      <c r="R3754" s="525" t="str">
        <f>IF(ISERROR(FIND('112'!$M$9,G3754,1)),"",IF((AND(FIND('112'!$M$9,G3754,1)&gt;=1,$B3754&gt;='112'!$N$8,$B3754&lt;='112'!$O$8,OR($L3754='112'!$I$6,$M3754='112'!$I$6))),"x",""))</f>
        <v/>
      </c>
      <c r="S3754" s="525" t="str">
        <f>IF(ISERROR(FIND('112'!$M$9,G3754,1)),"",IF((AND(LEFT(G3754,2)=LEFT('112'!$M$9,2),B3754&lt;'112'!$N$8,$L3754='112'!$I$6)),"x",""))</f>
        <v/>
      </c>
      <c r="T3754" s="525" t="str">
        <f>IF(ISERROR(FIND('112'!$M$9,G3754,1)),"",IF((AND(RIGHT(G3754,2)=RIGHT('112'!$M$9,2),B3754&lt;'112'!$N$8,$M3754='112'!$I$6)),"x",""))</f>
        <v/>
      </c>
      <c r="U3754" s="525" t="str">
        <f>IF(AND(B3754&gt;='IN-NX'!$P$3,B3754&lt;='IN-NX'!$Q$3,'IN-NX'!$D$7=D3754,OR(LEFT(L3754,2)="15",AND(LEFT(M3754,2)&lt;&gt;"15",LEFT(M3754,2)&lt;&gt;"33"))),"x","")</f>
        <v/>
      </c>
      <c r="V3754" s="525" t="str">
        <f>IF(AND(OR(LEFT(TH!L3754,2)="15",LEFT(TH!M3754,2)="15"),'152-CT'!$J$8=TH!F3754),"x","")</f>
        <v/>
      </c>
      <c r="W3754" s="525" t="str">
        <f>IF(AND(OR(LEFT(TH!L3754,2)="15",LEFT(TH!M3754,2)="15"),TK!$E$7=TH!F3754),"x","")</f>
        <v/>
      </c>
      <c r="X3754" s="525" t="str">
        <f>IF(AND('341-CT'!$E$9=H3754,OR(LEFT(L3754,3)=$X$7,LEFT(M3754,3)=$X$7)),"x","")</f>
        <v/>
      </c>
      <c r="Y3754" s="525" t="str">
        <f>IF(OR(TH!L3754=TH!$Y$7,M3754=TH!$Y$7),"x","")</f>
        <v/>
      </c>
      <c r="Z3754" s="525" t="str">
        <f>IF(AND(B3754&lt;=NKC!$N$8,B3754&gt;=NKC!$M$8),"x","")</f>
        <v/>
      </c>
      <c r="AA3754" s="535"/>
      <c r="AC3754" s="536" t="str">
        <f>VLOOKUP(F3754,NXT!$B$12:$B$686,1,0)</f>
        <v>Thùng 50x29.5x19</v>
      </c>
    </row>
    <row r="3755" spans="1:30" s="503" customFormat="1" ht="15.75" customHeight="1">
      <c r="A3755" s="517" t="str">
        <f>IF(B3755&lt;&gt;"",IF(AND(B3755&gt;=_TM1,B3755&lt;=_TM2,OR(TH!L3755="1111",TH!M3755="1111")),TH!D3755,""),"")</f>
        <v/>
      </c>
      <c r="B3755" s="531">
        <f t="shared" si="420"/>
        <v>9</v>
      </c>
      <c r="C3755" s="315">
        <f t="shared" si="421"/>
        <v>42981</v>
      </c>
      <c r="D3755" s="544" t="s">
        <v>1181</v>
      </c>
      <c r="E3755" s="315">
        <v>42981</v>
      </c>
      <c r="F3755" s="249" t="s">
        <v>494</v>
      </c>
      <c r="G3755" s="314" t="s">
        <v>1674</v>
      </c>
      <c r="H3755" s="248" t="s">
        <v>1218</v>
      </c>
      <c r="I3755" s="307"/>
      <c r="J3755" s="307"/>
      <c r="K3755" s="532">
        <v>1796550</v>
      </c>
      <c r="L3755" s="534" t="s">
        <v>223</v>
      </c>
      <c r="M3755" s="534" t="s">
        <v>259</v>
      </c>
      <c r="N3755" s="525" t="str">
        <f>IF(AND('331-CT'!$E$7=TH!H3755,OR(L3755="331",M3755="331")),"331",IF(AND(OR(L3755="131",M3755="131"),H3755='131-CT'!$E$7),"131",""))</f>
        <v/>
      </c>
      <c r="O3755" s="525" t="str">
        <f>IF(AND($B3755&gt;='111'!$N$11,$B3755&lt;='111'!$O$11,OR($L3755=$O$7,$M3755=$O$7)),"x","")</f>
        <v/>
      </c>
      <c r="P3755" s="525" t="str">
        <f>IF(AND($L3755=$O$7,$B3755&lt;'111'!$N$11),"x","")</f>
        <v/>
      </c>
      <c r="Q3755" s="525" t="str">
        <f>IF(AND($M3755=$O$7,$B3755&lt;'111'!$N$11),"x","")</f>
        <v/>
      </c>
      <c r="R3755" s="525" t="str">
        <f>IF(ISERROR(FIND('112'!$M$9,G3755,1)),"",IF((AND(FIND('112'!$M$9,G3755,1)&gt;=1,$B3755&gt;='112'!$N$8,$B3755&lt;='112'!$O$8,OR($L3755='112'!$I$6,$M3755='112'!$I$6))),"x",""))</f>
        <v/>
      </c>
      <c r="S3755" s="525" t="str">
        <f>IF(ISERROR(FIND('112'!$M$9,G3755,1)),"",IF((AND(LEFT(G3755,2)=LEFT('112'!$M$9,2),B3755&lt;'112'!$N$8,$L3755='112'!$I$6)),"x",""))</f>
        <v/>
      </c>
      <c r="T3755" s="525" t="str">
        <f>IF(ISERROR(FIND('112'!$M$9,G3755,1)),"",IF((AND(RIGHT(G3755,2)=RIGHT('112'!$M$9,2),B3755&lt;'112'!$N$8,$M3755='112'!$I$6)),"x",""))</f>
        <v/>
      </c>
      <c r="U3755" s="525" t="str">
        <f>IF(AND(B3755&gt;='IN-NX'!$P$3,B3755&lt;='IN-NX'!$Q$3,'IN-NX'!$D$7=D3755,OR(LEFT(L3755,2)="15",AND(LEFT(M3755,2)&lt;&gt;"15",LEFT(M3755,2)&lt;&gt;"33"))),"x","")</f>
        <v/>
      </c>
      <c r="V3755" s="525" t="str">
        <f>IF(AND(OR(LEFT(TH!L3755,2)="15",LEFT(TH!M3755,2)="15"),'152-CT'!$J$8=TH!F3755),"x","")</f>
        <v/>
      </c>
      <c r="W3755" s="525" t="str">
        <f>IF(AND(OR(LEFT(TH!L3755,2)="15",LEFT(TH!M3755,2)="15"),TK!$E$7=TH!F3755),"x","")</f>
        <v/>
      </c>
      <c r="X3755" s="525" t="str">
        <f>IF(AND('341-CT'!$E$9=H3755,OR(LEFT(L3755,3)=$X$7,LEFT(M3755,3)=$X$7)),"x","")</f>
        <v/>
      </c>
      <c r="Y3755" s="525" t="str">
        <f>IF(OR(TH!L3755=TH!$Y$7,M3755=TH!$Y$7),"x","")</f>
        <v/>
      </c>
      <c r="Z3755" s="525" t="str">
        <f>IF(AND(B3755&lt;=NKC!$N$8,B3755&gt;=NKC!$M$8),"x","")</f>
        <v/>
      </c>
      <c r="AA3755" s="535"/>
      <c r="AD3755" s="536"/>
    </row>
    <row r="3756" spans="1:30" s="503" customFormat="1" ht="15.75" customHeight="1">
      <c r="A3756" s="517" t="str">
        <f>IF(B3756&lt;&gt;"",IF(AND(B3756&gt;=_TM1,B3756&lt;=_TM2,OR(TH!L3756="1111",TH!M3756="1111")),TH!D3756,""),"")</f>
        <v/>
      </c>
      <c r="B3756" s="531">
        <f t="shared" si="420"/>
        <v>9</v>
      </c>
      <c r="C3756" s="315">
        <f t="shared" si="421"/>
        <v>42984</v>
      </c>
      <c r="D3756" s="544" t="s">
        <v>1181</v>
      </c>
      <c r="E3756" s="315">
        <v>42984</v>
      </c>
      <c r="F3756" s="250" t="s">
        <v>1611</v>
      </c>
      <c r="G3756" s="314" t="s">
        <v>1675</v>
      </c>
      <c r="H3756" s="248" t="s">
        <v>1429</v>
      </c>
      <c r="I3756" s="307">
        <v>300</v>
      </c>
      <c r="J3756" s="307">
        <v>5100</v>
      </c>
      <c r="K3756" s="532">
        <f t="shared" ref="K3756:K3765" si="422">ROUND(I3756*J3756,0)</f>
        <v>1530000</v>
      </c>
      <c r="L3756" s="534" t="s">
        <v>223</v>
      </c>
      <c r="M3756" s="534" t="s">
        <v>162</v>
      </c>
      <c r="N3756" s="525" t="str">
        <f>IF(AND('331-CT'!$E$7=TH!H3756,OR(L3756="331",M3756="331")),"331",IF(AND(OR(L3756="131",M3756="131"),H3756='131-CT'!$E$7),"131",""))</f>
        <v/>
      </c>
      <c r="O3756" s="525" t="str">
        <f>IF(AND($B3756&gt;='111'!$N$11,$B3756&lt;='111'!$O$11,OR($L3756=$O$7,$M3756=$O$7)),"x","")</f>
        <v/>
      </c>
      <c r="P3756" s="525" t="str">
        <f>IF(AND($L3756=$O$7,$B3756&lt;'111'!$N$11),"x","")</f>
        <v/>
      </c>
      <c r="Q3756" s="525" t="str">
        <f>IF(AND($M3756=$O$7,$B3756&lt;'111'!$N$11),"x","")</f>
        <v/>
      </c>
      <c r="R3756" s="525" t="str">
        <f>IF(ISERROR(FIND('112'!$M$9,G3756,1)),"",IF((AND(FIND('112'!$M$9,G3756,1)&gt;=1,$B3756&gt;='112'!$N$8,$B3756&lt;='112'!$O$8,OR($L3756='112'!$I$6,$M3756='112'!$I$6))),"x",""))</f>
        <v/>
      </c>
      <c r="S3756" s="525" t="str">
        <f>IF(ISERROR(FIND('112'!$M$9,G3756,1)),"",IF((AND(LEFT(G3756,2)=LEFT('112'!$M$9,2),B3756&lt;'112'!$N$8,$L3756='112'!$I$6)),"x",""))</f>
        <v/>
      </c>
      <c r="T3756" s="525" t="str">
        <f>IF(ISERROR(FIND('112'!$M$9,G3756,1)),"",IF((AND(RIGHT(G3756,2)=RIGHT('112'!$M$9,2),B3756&lt;'112'!$N$8,$M3756='112'!$I$6)),"x",""))</f>
        <v/>
      </c>
      <c r="U3756" s="525" t="str">
        <f>IF(AND(B3756&gt;='IN-NX'!$P$3,B3756&lt;='IN-NX'!$Q$3,'IN-NX'!$D$7=D3756,OR(LEFT(L3756,2)="15",AND(LEFT(M3756,2)&lt;&gt;"15",LEFT(M3756,2)&lt;&gt;"33"))),"x","")</f>
        <v/>
      </c>
      <c r="V3756" s="525" t="str">
        <f>IF(AND(OR(LEFT(TH!L3756,2)="15",LEFT(TH!M3756,2)="15"),'152-CT'!$J$8=TH!F3756),"x","")</f>
        <v/>
      </c>
      <c r="W3756" s="525" t="str">
        <f>IF(AND(OR(LEFT(TH!L3756,2)="15",LEFT(TH!M3756,2)="15"),TK!$E$7=TH!F3756),"x","")</f>
        <v/>
      </c>
      <c r="X3756" s="525" t="str">
        <f>IF(AND('341-CT'!$E$9=H3756,OR(LEFT(L3756,3)=$X$7,LEFT(M3756,3)=$X$7)),"x","")</f>
        <v/>
      </c>
      <c r="Y3756" s="525" t="str">
        <f>IF(OR(TH!L3756=TH!$Y$7,M3756=TH!$Y$7),"x","")</f>
        <v/>
      </c>
      <c r="Z3756" s="525" t="str">
        <f>IF(AND(B3756&lt;=NKC!$N$8,B3756&gt;=NKC!$M$8),"x","")</f>
        <v/>
      </c>
      <c r="AA3756" s="535"/>
      <c r="AB3756" s="536"/>
      <c r="AC3756" s="536" t="str">
        <f>VLOOKUP(F3756,NXT!$B$12:$B$686,1,0)</f>
        <v>Thùng 24x18x17</v>
      </c>
      <c r="AD3756" s="536"/>
    </row>
    <row r="3757" spans="1:30" s="503" customFormat="1" ht="15.75" customHeight="1">
      <c r="A3757" s="517" t="str">
        <f>IF(B3757&lt;&gt;"",IF(AND(B3757&gt;=_TM1,B3757&lt;=_TM2,OR(TH!L3757="1111",TH!M3757="1111")),TH!D3757,""),"")</f>
        <v/>
      </c>
      <c r="B3757" s="531">
        <f t="shared" si="420"/>
        <v>9</v>
      </c>
      <c r="C3757" s="315">
        <f t="shared" si="421"/>
        <v>42984</v>
      </c>
      <c r="D3757" s="544" t="s">
        <v>1181</v>
      </c>
      <c r="E3757" s="315">
        <v>42984</v>
      </c>
      <c r="F3757" s="249" t="s">
        <v>494</v>
      </c>
      <c r="G3757" s="314" t="s">
        <v>1675</v>
      </c>
      <c r="H3757" s="248" t="s">
        <v>1429</v>
      </c>
      <c r="I3757" s="307"/>
      <c r="J3757" s="307"/>
      <c r="K3757" s="532">
        <v>153000</v>
      </c>
      <c r="L3757" s="534" t="s">
        <v>223</v>
      </c>
      <c r="M3757" s="534" t="s">
        <v>259</v>
      </c>
      <c r="N3757" s="525" t="str">
        <f>IF(AND('331-CT'!$E$7=TH!H3757,OR(L3757="331",M3757="331")),"331",IF(AND(OR(L3757="131",M3757="131"),H3757='131-CT'!$E$7),"131",""))</f>
        <v/>
      </c>
      <c r="O3757" s="525" t="str">
        <f>IF(AND($B3757&gt;='111'!$N$11,$B3757&lt;='111'!$O$11,OR($L3757=$O$7,$M3757=$O$7)),"x","")</f>
        <v/>
      </c>
      <c r="P3757" s="525" t="str">
        <f>IF(AND($L3757=$O$7,$B3757&lt;'111'!$N$11),"x","")</f>
        <v/>
      </c>
      <c r="Q3757" s="525" t="str">
        <f>IF(AND($M3757=$O$7,$B3757&lt;'111'!$N$11),"x","")</f>
        <v/>
      </c>
      <c r="R3757" s="525" t="str">
        <f>IF(ISERROR(FIND('112'!$M$9,G3757,1)),"",IF((AND(FIND('112'!$M$9,G3757,1)&gt;=1,$B3757&gt;='112'!$N$8,$B3757&lt;='112'!$O$8,OR($L3757='112'!$I$6,$M3757='112'!$I$6))),"x",""))</f>
        <v/>
      </c>
      <c r="S3757" s="525" t="str">
        <f>IF(ISERROR(FIND('112'!$M$9,G3757,1)),"",IF((AND(LEFT(G3757,2)=LEFT('112'!$M$9,2),B3757&lt;'112'!$N$8,$L3757='112'!$I$6)),"x",""))</f>
        <v/>
      </c>
      <c r="T3757" s="525" t="str">
        <f>IF(ISERROR(FIND('112'!$M$9,G3757,1)),"",IF((AND(RIGHT(G3757,2)=RIGHT('112'!$M$9,2),B3757&lt;'112'!$N$8,$M3757='112'!$I$6)),"x",""))</f>
        <v/>
      </c>
      <c r="U3757" s="525" t="str">
        <f>IF(AND(B3757&gt;='IN-NX'!$P$3,B3757&lt;='IN-NX'!$Q$3,'IN-NX'!$D$7=D3757,OR(LEFT(L3757,2)="15",AND(LEFT(M3757,2)&lt;&gt;"15",LEFT(M3757,2)&lt;&gt;"33"))),"x","")</f>
        <v/>
      </c>
      <c r="V3757" s="525" t="str">
        <f>IF(AND(OR(LEFT(TH!L3757,2)="15",LEFT(TH!M3757,2)="15"),'152-CT'!$J$8=TH!F3757),"x","")</f>
        <v/>
      </c>
      <c r="W3757" s="525" t="str">
        <f>IF(AND(OR(LEFT(TH!L3757,2)="15",LEFT(TH!M3757,2)="15"),TK!$E$7=TH!F3757),"x","")</f>
        <v/>
      </c>
      <c r="X3757" s="525" t="str">
        <f>IF(AND('341-CT'!$E$9=H3757,OR(LEFT(L3757,3)=$X$7,LEFT(M3757,3)=$X$7)),"x","")</f>
        <v/>
      </c>
      <c r="Y3757" s="525" t="str">
        <f>IF(OR(TH!L3757=TH!$Y$7,M3757=TH!$Y$7),"x","")</f>
        <v/>
      </c>
      <c r="Z3757" s="525" t="str">
        <f>IF(AND(B3757&lt;=NKC!$N$8,B3757&gt;=NKC!$M$8),"x","")</f>
        <v/>
      </c>
      <c r="AA3757" s="535"/>
    </row>
    <row r="3758" spans="1:30" s="503" customFormat="1" ht="15.75" customHeight="1">
      <c r="A3758" s="517" t="str">
        <f>IF(B3758&lt;&gt;"",IF(AND(B3758&gt;=_TM1,B3758&lt;=_TM2,OR(TH!L3758="1111",TH!M3758="1111")),TH!D3758,""),"")</f>
        <v/>
      </c>
      <c r="B3758" s="531">
        <f t="shared" si="420"/>
        <v>9</v>
      </c>
      <c r="C3758" s="315">
        <f t="shared" si="421"/>
        <v>42984</v>
      </c>
      <c r="D3758" s="544" t="s">
        <v>1181</v>
      </c>
      <c r="E3758" s="315">
        <v>42984</v>
      </c>
      <c r="F3758" s="250" t="s">
        <v>1290</v>
      </c>
      <c r="G3758" s="314" t="s">
        <v>1676</v>
      </c>
      <c r="H3758" s="472" t="s">
        <v>289</v>
      </c>
      <c r="I3758" s="307">
        <v>3455</v>
      </c>
      <c r="J3758" s="307">
        <v>12500</v>
      </c>
      <c r="K3758" s="532">
        <f t="shared" si="422"/>
        <v>43187500</v>
      </c>
      <c r="L3758" s="534" t="s">
        <v>223</v>
      </c>
      <c r="M3758" s="534" t="s">
        <v>162</v>
      </c>
      <c r="N3758" s="525" t="str">
        <f>IF(AND('331-CT'!$E$7=TH!H3758,OR(L3758="331",M3758="331")),"331",IF(AND(OR(L3758="131",M3758="131"),H3758='131-CT'!$E$7),"131",""))</f>
        <v/>
      </c>
      <c r="O3758" s="525" t="str">
        <f>IF(AND($B3758&gt;='111'!$N$11,$B3758&lt;='111'!$O$11,OR($L3758=$O$7,$M3758=$O$7)),"x","")</f>
        <v/>
      </c>
      <c r="P3758" s="525" t="str">
        <f>IF(AND($L3758=$O$7,$B3758&lt;'111'!$N$11),"x","")</f>
        <v/>
      </c>
      <c r="Q3758" s="525" t="str">
        <f>IF(AND($M3758=$O$7,$B3758&lt;'111'!$N$11),"x","")</f>
        <v/>
      </c>
      <c r="R3758" s="525" t="str">
        <f>IF(ISERROR(FIND('112'!$M$9,G3758,1)),"",IF((AND(FIND('112'!$M$9,G3758,1)&gt;=1,$B3758&gt;='112'!$N$8,$B3758&lt;='112'!$O$8,OR($L3758='112'!$I$6,$M3758='112'!$I$6))),"x",""))</f>
        <v/>
      </c>
      <c r="S3758" s="525" t="str">
        <f>IF(ISERROR(FIND('112'!$M$9,G3758,1)),"",IF((AND(LEFT(G3758,2)=LEFT('112'!$M$9,2),B3758&lt;'112'!$N$8,$L3758='112'!$I$6)),"x",""))</f>
        <v/>
      </c>
      <c r="T3758" s="525" t="str">
        <f>IF(ISERROR(FIND('112'!$M$9,G3758,1)),"",IF((AND(RIGHT(G3758,2)=RIGHT('112'!$M$9,2),B3758&lt;'112'!$N$8,$M3758='112'!$I$6)),"x",""))</f>
        <v/>
      </c>
      <c r="U3758" s="525" t="str">
        <f>IF(AND(B3758&gt;='IN-NX'!$P$3,B3758&lt;='IN-NX'!$Q$3,'IN-NX'!$D$7=D3758,OR(LEFT(L3758,2)="15",AND(LEFT(M3758,2)&lt;&gt;"15",LEFT(M3758,2)&lt;&gt;"33"))),"x","")</f>
        <v/>
      </c>
      <c r="V3758" s="525" t="str">
        <f>IF(AND(OR(LEFT(TH!L3758,2)="15",LEFT(TH!M3758,2)="15"),'152-CT'!$J$8=TH!F3758),"x","")</f>
        <v/>
      </c>
      <c r="W3758" s="525" t="str">
        <f>IF(AND(OR(LEFT(TH!L3758,2)="15",LEFT(TH!M3758,2)="15"),TK!$E$7=TH!F3758),"x","")</f>
        <v/>
      </c>
      <c r="X3758" s="525" t="str">
        <f>IF(AND('341-CT'!$E$9=H3758,OR(LEFT(L3758,3)=$X$7,LEFT(M3758,3)=$X$7)),"x","")</f>
        <v/>
      </c>
      <c r="Y3758" s="525" t="str">
        <f>IF(OR(TH!L3758=TH!$Y$7,M3758=TH!$Y$7),"x","")</f>
        <v/>
      </c>
      <c r="Z3758" s="525" t="str">
        <f>IF(AND(B3758&lt;=NKC!$N$8,B3758&gt;=NKC!$M$8),"x","")</f>
        <v/>
      </c>
      <c r="AA3758" s="535"/>
      <c r="AB3758" s="536"/>
      <c r="AC3758" s="536" t="str">
        <f>VLOOKUP(F3758,NXT!$B$12:$B$686,1,0)</f>
        <v>Thùng 41.5x30x17.5</v>
      </c>
      <c r="AD3758" s="536"/>
    </row>
    <row r="3759" spans="1:30" s="503" customFormat="1" ht="15.75" customHeight="1">
      <c r="A3759" s="517" t="str">
        <f>IF(B3759&lt;&gt;"",IF(AND(B3759&gt;=_TM1,B3759&lt;=_TM2,OR(TH!L3759="1111",TH!M3759="1111")),TH!D3759,""),"")</f>
        <v/>
      </c>
      <c r="B3759" s="531">
        <f t="shared" si="420"/>
        <v>9</v>
      </c>
      <c r="C3759" s="315">
        <f t="shared" si="421"/>
        <v>42984</v>
      </c>
      <c r="D3759" s="544" t="s">
        <v>1181</v>
      </c>
      <c r="E3759" s="315">
        <v>42984</v>
      </c>
      <c r="F3759" s="249" t="s">
        <v>494</v>
      </c>
      <c r="G3759" s="314" t="s">
        <v>1676</v>
      </c>
      <c r="H3759" s="472" t="s">
        <v>289</v>
      </c>
      <c r="I3759" s="307"/>
      <c r="J3759" s="307"/>
      <c r="K3759" s="532">
        <v>4318750</v>
      </c>
      <c r="L3759" s="534" t="s">
        <v>223</v>
      </c>
      <c r="M3759" s="534" t="s">
        <v>259</v>
      </c>
      <c r="N3759" s="525" t="str">
        <f>IF(AND('331-CT'!$E$7=TH!H3759,OR(L3759="331",M3759="331")),"331",IF(AND(OR(L3759="131",M3759="131"),H3759='131-CT'!$E$7),"131",""))</f>
        <v/>
      </c>
      <c r="O3759" s="525" t="str">
        <f>IF(AND($B3759&gt;='111'!$N$11,$B3759&lt;='111'!$O$11,OR($L3759=$O$7,$M3759=$O$7)),"x","")</f>
        <v/>
      </c>
      <c r="P3759" s="525" t="str">
        <f>IF(AND($L3759=$O$7,$B3759&lt;'111'!$N$11),"x","")</f>
        <v/>
      </c>
      <c r="Q3759" s="525" t="str">
        <f>IF(AND($M3759=$O$7,$B3759&lt;'111'!$N$11),"x","")</f>
        <v/>
      </c>
      <c r="R3759" s="525" t="str">
        <f>IF(ISERROR(FIND('112'!$M$9,G3759,1)),"",IF((AND(FIND('112'!$M$9,G3759,1)&gt;=1,$B3759&gt;='112'!$N$8,$B3759&lt;='112'!$O$8,OR($L3759='112'!$I$6,$M3759='112'!$I$6))),"x",""))</f>
        <v/>
      </c>
      <c r="S3759" s="525" t="str">
        <f>IF(ISERROR(FIND('112'!$M$9,G3759,1)),"",IF((AND(LEFT(G3759,2)=LEFT('112'!$M$9,2),B3759&lt;'112'!$N$8,$L3759='112'!$I$6)),"x",""))</f>
        <v/>
      </c>
      <c r="T3759" s="525" t="str">
        <f>IF(ISERROR(FIND('112'!$M$9,G3759,1)),"",IF((AND(RIGHT(G3759,2)=RIGHT('112'!$M$9,2),B3759&lt;'112'!$N$8,$M3759='112'!$I$6)),"x",""))</f>
        <v/>
      </c>
      <c r="U3759" s="525" t="str">
        <f>IF(AND(B3759&gt;='IN-NX'!$P$3,B3759&lt;='IN-NX'!$Q$3,'IN-NX'!$D$7=D3759,OR(LEFT(L3759,2)="15",AND(LEFT(M3759,2)&lt;&gt;"15",LEFT(M3759,2)&lt;&gt;"33"))),"x","")</f>
        <v/>
      </c>
      <c r="V3759" s="525" t="str">
        <f>IF(AND(OR(LEFT(TH!L3759,2)="15",LEFT(TH!M3759,2)="15"),'152-CT'!$J$8=TH!F3759),"x","")</f>
        <v/>
      </c>
      <c r="W3759" s="525" t="str">
        <f>IF(AND(OR(LEFT(TH!L3759,2)="15",LEFT(TH!M3759,2)="15"),TK!$E$7=TH!F3759),"x","")</f>
        <v/>
      </c>
      <c r="X3759" s="525" t="str">
        <f>IF(AND('341-CT'!$E$9=H3759,OR(LEFT(L3759,3)=$X$7,LEFT(M3759,3)=$X$7)),"x","")</f>
        <v/>
      </c>
      <c r="Y3759" s="525" t="str">
        <f>IF(OR(TH!L3759=TH!$Y$7,M3759=TH!$Y$7),"x","")</f>
        <v/>
      </c>
      <c r="Z3759" s="525" t="str">
        <f>IF(AND(B3759&lt;=NKC!$N$8,B3759&gt;=NKC!$M$8),"x","")</f>
        <v/>
      </c>
      <c r="AA3759" s="535"/>
      <c r="AD3759" s="536"/>
    </row>
    <row r="3760" spans="1:30" s="503" customFormat="1" ht="15.75" customHeight="1">
      <c r="A3760" s="517" t="str">
        <f>IF(B3760&lt;&gt;"",IF(AND(B3760&gt;=_TM1,B3760&lt;=_TM2,OR(TH!L3760="1111",TH!M3760="1111")),TH!D3760,""),"")</f>
        <v/>
      </c>
      <c r="B3760" s="531">
        <f t="shared" si="420"/>
        <v>9</v>
      </c>
      <c r="C3760" s="315">
        <f t="shared" si="421"/>
        <v>42985</v>
      </c>
      <c r="D3760" s="544" t="s">
        <v>1181</v>
      </c>
      <c r="E3760" s="315">
        <v>42985</v>
      </c>
      <c r="F3760" s="245" t="s">
        <v>274</v>
      </c>
      <c r="G3760" s="314" t="s">
        <v>1677</v>
      </c>
      <c r="H3760" s="248" t="s">
        <v>1442</v>
      </c>
      <c r="I3760" s="307">
        <v>2800</v>
      </c>
      <c r="J3760" s="307">
        <v>18600</v>
      </c>
      <c r="K3760" s="532">
        <f t="shared" si="422"/>
        <v>52080000</v>
      </c>
      <c r="L3760" s="534" t="s">
        <v>223</v>
      </c>
      <c r="M3760" s="534" t="s">
        <v>162</v>
      </c>
      <c r="N3760" s="525" t="str">
        <f>IF(AND('331-CT'!$E$7=TH!H3760,OR(L3760="331",M3760="331")),"331",IF(AND(OR(L3760="131",M3760="131"),H3760='131-CT'!$E$7),"131",""))</f>
        <v/>
      </c>
      <c r="O3760" s="525" t="str">
        <f>IF(AND($B3760&gt;='111'!$N$11,$B3760&lt;='111'!$O$11,OR($L3760=$O$7,$M3760=$O$7)),"x","")</f>
        <v/>
      </c>
      <c r="P3760" s="525" t="str">
        <f>IF(AND($L3760=$O$7,$B3760&lt;'111'!$N$11),"x","")</f>
        <v/>
      </c>
      <c r="Q3760" s="525" t="str">
        <f>IF(AND($M3760=$O$7,$B3760&lt;'111'!$N$11),"x","")</f>
        <v/>
      </c>
      <c r="R3760" s="525" t="str">
        <f>IF(ISERROR(FIND('112'!$M$9,G3760,1)),"",IF((AND(FIND('112'!$M$9,G3760,1)&gt;=1,$B3760&gt;='112'!$N$8,$B3760&lt;='112'!$O$8,OR($L3760='112'!$I$6,$M3760='112'!$I$6))),"x",""))</f>
        <v/>
      </c>
      <c r="S3760" s="525" t="str">
        <f>IF(ISERROR(FIND('112'!$M$9,G3760,1)),"",IF((AND(LEFT(G3760,2)=LEFT('112'!$M$9,2),B3760&lt;'112'!$N$8,$L3760='112'!$I$6)),"x",""))</f>
        <v/>
      </c>
      <c r="T3760" s="525" t="str">
        <f>IF(ISERROR(FIND('112'!$M$9,G3760,1)),"",IF((AND(RIGHT(G3760,2)=RIGHT('112'!$M$9,2),B3760&lt;'112'!$N$8,$M3760='112'!$I$6)),"x",""))</f>
        <v/>
      </c>
      <c r="U3760" s="525" t="str">
        <f>IF(AND(B3760&gt;='IN-NX'!$P$3,B3760&lt;='IN-NX'!$Q$3,'IN-NX'!$D$7=D3760,OR(LEFT(L3760,2)="15",AND(LEFT(M3760,2)&lt;&gt;"15",LEFT(M3760,2)&lt;&gt;"33"))),"x","")</f>
        <v/>
      </c>
      <c r="V3760" s="525" t="str">
        <f>IF(AND(OR(LEFT(TH!L3760,2)="15",LEFT(TH!M3760,2)="15"),'152-CT'!$J$8=TH!F3760),"x","")</f>
        <v/>
      </c>
      <c r="W3760" s="525" t="str">
        <f>IF(AND(OR(LEFT(TH!L3760,2)="15",LEFT(TH!M3760,2)="15"),TK!$E$7=TH!F3760),"x","")</f>
        <v/>
      </c>
      <c r="X3760" s="525" t="str">
        <f>IF(AND('341-CT'!$E$9=H3760,OR(LEFT(L3760,3)=$X$7,LEFT(M3760,3)=$X$7)),"x","")</f>
        <v/>
      </c>
      <c r="Y3760" s="525" t="str">
        <f>IF(OR(TH!L3760=TH!$Y$7,M3760=TH!$Y$7),"x","")</f>
        <v/>
      </c>
      <c r="Z3760" s="525" t="str">
        <f>IF(AND(B3760&lt;=NKC!$N$8,B3760&gt;=NKC!$M$8),"x","")</f>
        <v/>
      </c>
      <c r="AA3760" s="535"/>
      <c r="AB3760" s="536"/>
      <c r="AC3760" s="536" t="str">
        <f>VLOOKUP(F3760,NXT!$B$12:$B$686,1,0)</f>
        <v>Giấy 2 lớp</v>
      </c>
    </row>
    <row r="3761" spans="1:30" s="503" customFormat="1" ht="15.75" customHeight="1">
      <c r="A3761" s="517" t="str">
        <f>IF(B3761&lt;&gt;"",IF(AND(B3761&gt;=_TM1,B3761&lt;=_TM2,OR(TH!L3761="1111",TH!M3761="1111")),TH!D3761,""),"")</f>
        <v/>
      </c>
      <c r="B3761" s="531">
        <f t="shared" ref="B3761:B3765" si="423">IF(C3761&lt;&gt;"",MONTH(C3761),"")</f>
        <v>9</v>
      </c>
      <c r="C3761" s="315">
        <f t="shared" ref="C3761:C3765" si="424">E3761</f>
        <v>42985</v>
      </c>
      <c r="D3761" s="544" t="s">
        <v>1181</v>
      </c>
      <c r="E3761" s="315">
        <v>42985</v>
      </c>
      <c r="F3761" s="245" t="s">
        <v>273</v>
      </c>
      <c r="G3761" s="314" t="s">
        <v>1677</v>
      </c>
      <c r="H3761" s="248" t="s">
        <v>1442</v>
      </c>
      <c r="I3761" s="307">
        <v>3080</v>
      </c>
      <c r="J3761" s="307">
        <v>18550</v>
      </c>
      <c r="K3761" s="532">
        <f t="shared" si="422"/>
        <v>57134000</v>
      </c>
      <c r="L3761" s="534" t="s">
        <v>223</v>
      </c>
      <c r="M3761" s="534" t="s">
        <v>162</v>
      </c>
      <c r="N3761" s="525" t="str">
        <f>IF(AND('331-CT'!$E$7=TH!H3761,OR(L3761="331",M3761="331")),"331",IF(AND(OR(L3761="131",M3761="131"),H3761='131-CT'!$E$7),"131",""))</f>
        <v/>
      </c>
      <c r="O3761" s="525" t="str">
        <f>IF(AND($B3761&gt;='111'!$N$11,$B3761&lt;='111'!$O$11,OR($L3761=$O$7,$M3761=$O$7)),"x","")</f>
        <v/>
      </c>
      <c r="P3761" s="525" t="str">
        <f>IF(AND($L3761=$O$7,$B3761&lt;'111'!$N$11),"x","")</f>
        <v/>
      </c>
      <c r="Q3761" s="525" t="str">
        <f>IF(AND($M3761=$O$7,$B3761&lt;'111'!$N$11),"x","")</f>
        <v/>
      </c>
      <c r="R3761" s="525" t="str">
        <f>IF(ISERROR(FIND('112'!$M$9,G3761,1)),"",IF((AND(FIND('112'!$M$9,G3761,1)&gt;=1,$B3761&gt;='112'!$N$8,$B3761&lt;='112'!$O$8,OR($L3761='112'!$I$6,$M3761='112'!$I$6))),"x",""))</f>
        <v/>
      </c>
      <c r="S3761" s="525" t="str">
        <f>IF(ISERROR(FIND('112'!$M$9,G3761,1)),"",IF((AND(LEFT(G3761,2)=LEFT('112'!$M$9,2),B3761&lt;'112'!$N$8,$L3761='112'!$I$6)),"x",""))</f>
        <v/>
      </c>
      <c r="T3761" s="525" t="str">
        <f>IF(ISERROR(FIND('112'!$M$9,G3761,1)),"",IF((AND(RIGHT(G3761,2)=RIGHT('112'!$M$9,2),B3761&lt;'112'!$N$8,$M3761='112'!$I$6)),"x",""))</f>
        <v/>
      </c>
      <c r="U3761" s="525" t="str">
        <f>IF(AND(B3761&gt;='IN-NX'!$P$3,B3761&lt;='IN-NX'!$Q$3,'IN-NX'!$D$7=D3761,OR(LEFT(L3761,2)="15",AND(LEFT(M3761,2)&lt;&gt;"15",LEFT(M3761,2)&lt;&gt;"33"))),"x","")</f>
        <v/>
      </c>
      <c r="V3761" s="525" t="str">
        <f>IF(AND(OR(LEFT(TH!L3761,2)="15",LEFT(TH!M3761,2)="15"),'152-CT'!$J$8=TH!F3761),"x","")</f>
        <v/>
      </c>
      <c r="W3761" s="525" t="str">
        <f>IF(AND(OR(LEFT(TH!L3761,2)="15",LEFT(TH!M3761,2)="15"),TK!$E$7=TH!F3761),"x","")</f>
        <v/>
      </c>
      <c r="X3761" s="525" t="str">
        <f>IF(AND('341-CT'!$E$9=H3761,OR(LEFT(L3761,3)=$X$7,LEFT(M3761,3)=$X$7)),"x","")</f>
        <v/>
      </c>
      <c r="Y3761" s="525" t="str">
        <f>IF(OR(TH!L3761=TH!$Y$7,M3761=TH!$Y$7),"x","")</f>
        <v/>
      </c>
      <c r="Z3761" s="525" t="str">
        <f>IF(AND(B3761&lt;=NKC!$N$8,B3761&gt;=NKC!$M$8),"x","")</f>
        <v/>
      </c>
      <c r="AA3761" s="535"/>
      <c r="AB3761" s="536"/>
      <c r="AC3761" s="536" t="str">
        <f>VLOOKUP(F3761,NXT!$B$12:$B$686,1,0)</f>
        <v>Giấy 3 lớp</v>
      </c>
      <c r="AD3761" s="536"/>
    </row>
    <row r="3762" spans="1:30" s="503" customFormat="1" ht="15.75" customHeight="1">
      <c r="A3762" s="517" t="str">
        <f>IF(B3762&lt;&gt;"",IF(AND(B3762&gt;=_TM1,B3762&lt;=_TM2,OR(TH!L3762="1111",TH!M3762="1111")),TH!D3762,""),"")</f>
        <v/>
      </c>
      <c r="B3762" s="531">
        <f t="shared" si="423"/>
        <v>9</v>
      </c>
      <c r="C3762" s="315">
        <f t="shared" si="424"/>
        <v>42985</v>
      </c>
      <c r="D3762" s="544" t="s">
        <v>1181</v>
      </c>
      <c r="E3762" s="315">
        <v>42985</v>
      </c>
      <c r="F3762" s="250" t="s">
        <v>1320</v>
      </c>
      <c r="G3762" s="314" t="s">
        <v>1677</v>
      </c>
      <c r="H3762" s="248" t="s">
        <v>1442</v>
      </c>
      <c r="I3762" s="307"/>
      <c r="J3762" s="307"/>
      <c r="K3762" s="532">
        <v>10921400</v>
      </c>
      <c r="L3762" s="534" t="s">
        <v>223</v>
      </c>
      <c r="M3762" s="534" t="s">
        <v>259</v>
      </c>
      <c r="N3762" s="525" t="str">
        <f>IF(AND('331-CT'!$E$7=TH!H3762,OR(L3762="331",M3762="331")),"331",IF(AND(OR(L3762="131",M3762="131"),H3762='131-CT'!$E$7),"131",""))</f>
        <v/>
      </c>
      <c r="O3762" s="525" t="str">
        <f>IF(AND($B3762&gt;='111'!$N$11,$B3762&lt;='111'!$O$11,OR($L3762=$O$7,$M3762=$O$7)),"x","")</f>
        <v/>
      </c>
      <c r="P3762" s="525" t="str">
        <f>IF(AND($L3762=$O$7,$B3762&lt;'111'!$N$11),"x","")</f>
        <v/>
      </c>
      <c r="Q3762" s="525" t="str">
        <f>IF(AND($M3762=$O$7,$B3762&lt;'111'!$N$11),"x","")</f>
        <v/>
      </c>
      <c r="R3762" s="525" t="str">
        <f>IF(ISERROR(FIND('112'!$M$9,G3762,1)),"",IF((AND(FIND('112'!$M$9,G3762,1)&gt;=1,$B3762&gt;='112'!$N$8,$B3762&lt;='112'!$O$8,OR($L3762='112'!$I$6,$M3762='112'!$I$6))),"x",""))</f>
        <v/>
      </c>
      <c r="S3762" s="525" t="str">
        <f>IF(ISERROR(FIND('112'!$M$9,G3762,1)),"",IF((AND(LEFT(G3762,2)=LEFT('112'!$M$9,2),B3762&lt;'112'!$N$8,$L3762='112'!$I$6)),"x",""))</f>
        <v/>
      </c>
      <c r="T3762" s="525" t="str">
        <f>IF(ISERROR(FIND('112'!$M$9,G3762,1)),"",IF((AND(RIGHT(G3762,2)=RIGHT('112'!$M$9,2),B3762&lt;'112'!$N$8,$M3762='112'!$I$6)),"x",""))</f>
        <v/>
      </c>
      <c r="U3762" s="525" t="str">
        <f>IF(AND(B3762&gt;='IN-NX'!$P$3,B3762&lt;='IN-NX'!$Q$3,'IN-NX'!$D$7=D3762,OR(LEFT(L3762,2)="15",AND(LEFT(M3762,2)&lt;&gt;"15",LEFT(M3762,2)&lt;&gt;"33"))),"x","")</f>
        <v/>
      </c>
      <c r="V3762" s="525" t="str">
        <f>IF(AND(OR(LEFT(TH!L3762,2)="15",LEFT(TH!M3762,2)="15"),'152-CT'!$J$8=TH!F3762),"x","")</f>
        <v/>
      </c>
      <c r="W3762" s="525" t="str">
        <f>IF(AND(OR(LEFT(TH!L3762,2)="15",LEFT(TH!M3762,2)="15"),TK!$E$7=TH!F3762),"x","")</f>
        <v/>
      </c>
      <c r="X3762" s="525" t="str">
        <f>IF(AND('341-CT'!$E$9=H3762,OR(LEFT(L3762,3)=$X$7,LEFT(M3762,3)=$X$7)),"x","")</f>
        <v/>
      </c>
      <c r="Y3762" s="525" t="str">
        <f>IF(OR(TH!L3762=TH!$Y$7,M3762=TH!$Y$7),"x","")</f>
        <v/>
      </c>
      <c r="Z3762" s="525" t="str">
        <f>IF(AND(B3762&lt;=NKC!$N$8,B3762&gt;=NKC!$M$8),"x","")</f>
        <v/>
      </c>
      <c r="AA3762" s="535"/>
      <c r="AD3762" s="536"/>
    </row>
    <row r="3763" spans="1:30" s="503" customFormat="1" ht="15.75" customHeight="1">
      <c r="A3763" s="517" t="str">
        <f>IF(B3763&lt;&gt;"",IF(AND(B3763&gt;=_TM1,B3763&lt;=_TM2,OR(TH!L3763="1111",TH!M3763="1111")),TH!D3763,""),"")</f>
        <v/>
      </c>
      <c r="B3763" s="531">
        <f t="shared" si="423"/>
        <v>9</v>
      </c>
      <c r="C3763" s="315">
        <f t="shared" si="424"/>
        <v>42985</v>
      </c>
      <c r="D3763" s="544" t="s">
        <v>1181</v>
      </c>
      <c r="E3763" s="315">
        <v>42985</v>
      </c>
      <c r="F3763" s="250" t="s">
        <v>1308</v>
      </c>
      <c r="G3763" s="314" t="s">
        <v>1678</v>
      </c>
      <c r="H3763" s="473" t="s">
        <v>1309</v>
      </c>
      <c r="I3763" s="307">
        <v>60</v>
      </c>
      <c r="J3763" s="307">
        <v>10087</v>
      </c>
      <c r="K3763" s="532">
        <f t="shared" si="422"/>
        <v>605220</v>
      </c>
      <c r="L3763" s="534" t="s">
        <v>223</v>
      </c>
      <c r="M3763" s="534" t="s">
        <v>162</v>
      </c>
      <c r="N3763" s="525" t="str">
        <f>IF(AND('331-CT'!$E$7=TH!H3763,OR(L3763="331",M3763="331")),"331",IF(AND(OR(L3763="131",M3763="131"),H3763='131-CT'!$E$7),"131",""))</f>
        <v/>
      </c>
      <c r="O3763" s="525" t="str">
        <f>IF(AND($B3763&gt;='111'!$N$11,$B3763&lt;='111'!$O$11,OR($L3763=$O$7,$M3763=$O$7)),"x","")</f>
        <v/>
      </c>
      <c r="P3763" s="525" t="str">
        <f>IF(AND($L3763=$O$7,$B3763&lt;'111'!$N$11),"x","")</f>
        <v/>
      </c>
      <c r="Q3763" s="525" t="str">
        <f>IF(AND($M3763=$O$7,$B3763&lt;'111'!$N$11),"x","")</f>
        <v/>
      </c>
      <c r="R3763" s="525" t="str">
        <f>IF(ISERROR(FIND('112'!$M$9,G3763,1)),"",IF((AND(FIND('112'!$M$9,G3763,1)&gt;=1,$B3763&gt;='112'!$N$8,$B3763&lt;='112'!$O$8,OR($L3763='112'!$I$6,$M3763='112'!$I$6))),"x",""))</f>
        <v/>
      </c>
      <c r="S3763" s="525" t="str">
        <f>IF(ISERROR(FIND('112'!$M$9,G3763,1)),"",IF((AND(LEFT(G3763,2)=LEFT('112'!$M$9,2),B3763&lt;'112'!$N$8,$L3763='112'!$I$6)),"x",""))</f>
        <v/>
      </c>
      <c r="T3763" s="525" t="str">
        <f>IF(ISERROR(FIND('112'!$M$9,G3763,1)),"",IF((AND(RIGHT(G3763,2)=RIGHT('112'!$M$9,2),B3763&lt;'112'!$N$8,$M3763='112'!$I$6)),"x",""))</f>
        <v/>
      </c>
      <c r="U3763" s="525" t="str">
        <f>IF(AND(B3763&gt;='IN-NX'!$P$3,B3763&lt;='IN-NX'!$Q$3,'IN-NX'!$D$7=D3763,OR(LEFT(L3763,2)="15",AND(LEFT(M3763,2)&lt;&gt;"15",LEFT(M3763,2)&lt;&gt;"33"))),"x","")</f>
        <v/>
      </c>
      <c r="V3763" s="525" t="str">
        <f>IF(AND(OR(LEFT(TH!L3763,2)="15",LEFT(TH!M3763,2)="15"),'152-CT'!$J$8=TH!F3763),"x","")</f>
        <v/>
      </c>
      <c r="W3763" s="525" t="str">
        <f>IF(AND(OR(LEFT(TH!L3763,2)="15",LEFT(TH!M3763,2)="15"),TK!$E$7=TH!F3763),"x","")</f>
        <v/>
      </c>
      <c r="X3763" s="525" t="str">
        <f>IF(AND('341-CT'!$E$9=H3763,OR(LEFT(L3763,3)=$X$7,LEFT(M3763,3)=$X$7)),"x","")</f>
        <v/>
      </c>
      <c r="Y3763" s="525" t="str">
        <f>IF(OR(TH!L3763=TH!$Y$7,M3763=TH!$Y$7),"x","")</f>
        <v/>
      </c>
      <c r="Z3763" s="525" t="str">
        <f>IF(AND(B3763&lt;=NKC!$N$8,B3763&gt;=NKC!$M$8),"x","")</f>
        <v/>
      </c>
      <c r="AA3763" s="535"/>
      <c r="AB3763" s="536"/>
      <c r="AC3763" s="536" t="str">
        <f>VLOOKUP(F3763,NXT!$B$12:$B$686,1,0)</f>
        <v>Thùng 183x15.9x10</v>
      </c>
      <c r="AD3763" s="536"/>
    </row>
    <row r="3764" spans="1:30" s="503" customFormat="1" ht="15.75" customHeight="1">
      <c r="A3764" s="517" t="str">
        <f>IF(B3764&lt;&gt;"",IF(AND(B3764&gt;=_TM1,B3764&lt;=_TM2,OR(TH!L3764="1111",TH!M3764="1111")),TH!D3764,""),"")</f>
        <v/>
      </c>
      <c r="B3764" s="531">
        <f t="shared" si="423"/>
        <v>9</v>
      </c>
      <c r="C3764" s="315">
        <f t="shared" si="424"/>
        <v>42985</v>
      </c>
      <c r="D3764" s="544" t="s">
        <v>1181</v>
      </c>
      <c r="E3764" s="315">
        <v>42985</v>
      </c>
      <c r="F3764" s="250" t="s">
        <v>1435</v>
      </c>
      <c r="G3764" s="314" t="s">
        <v>1678</v>
      </c>
      <c r="H3764" s="473" t="s">
        <v>1309</v>
      </c>
      <c r="I3764" s="307">
        <v>12</v>
      </c>
      <c r="J3764" s="307">
        <v>8321</v>
      </c>
      <c r="K3764" s="532">
        <f t="shared" si="422"/>
        <v>99852</v>
      </c>
      <c r="L3764" s="534" t="s">
        <v>223</v>
      </c>
      <c r="M3764" s="534" t="s">
        <v>162</v>
      </c>
      <c r="N3764" s="525" t="str">
        <f>IF(AND('331-CT'!$E$7=TH!H3764,OR(L3764="331",M3764="331")),"331",IF(AND(OR(L3764="131",M3764="131"),H3764='131-CT'!$E$7),"131",""))</f>
        <v/>
      </c>
      <c r="O3764" s="525" t="str">
        <f>IF(AND($B3764&gt;='111'!$N$11,$B3764&lt;='111'!$O$11,OR($L3764=$O$7,$M3764=$O$7)),"x","")</f>
        <v/>
      </c>
      <c r="P3764" s="525" t="str">
        <f>IF(AND($L3764=$O$7,$B3764&lt;'111'!$N$11),"x","")</f>
        <v/>
      </c>
      <c r="Q3764" s="525" t="str">
        <f>IF(AND($M3764=$O$7,$B3764&lt;'111'!$N$11),"x","")</f>
        <v/>
      </c>
      <c r="R3764" s="525" t="str">
        <f>IF(ISERROR(FIND('112'!$M$9,G3764,1)),"",IF((AND(FIND('112'!$M$9,G3764,1)&gt;=1,$B3764&gt;='112'!$N$8,$B3764&lt;='112'!$O$8,OR($L3764='112'!$I$6,$M3764='112'!$I$6))),"x",""))</f>
        <v/>
      </c>
      <c r="S3764" s="525" t="str">
        <f>IF(ISERROR(FIND('112'!$M$9,G3764,1)),"",IF((AND(LEFT(G3764,2)=LEFT('112'!$M$9,2),B3764&lt;'112'!$N$8,$L3764='112'!$I$6)),"x",""))</f>
        <v/>
      </c>
      <c r="T3764" s="525" t="str">
        <f>IF(ISERROR(FIND('112'!$M$9,G3764,1)),"",IF((AND(RIGHT(G3764,2)=RIGHT('112'!$M$9,2),B3764&lt;'112'!$N$8,$M3764='112'!$I$6)),"x",""))</f>
        <v/>
      </c>
      <c r="U3764" s="525" t="str">
        <f>IF(AND(B3764&gt;='IN-NX'!$P$3,B3764&lt;='IN-NX'!$Q$3,'IN-NX'!$D$7=D3764,OR(LEFT(L3764,2)="15",AND(LEFT(M3764,2)&lt;&gt;"15",LEFT(M3764,2)&lt;&gt;"33"))),"x","")</f>
        <v/>
      </c>
      <c r="V3764" s="525" t="str">
        <f>IF(AND(OR(LEFT(TH!L3764,2)="15",LEFT(TH!M3764,2)="15"),'152-CT'!$J$8=TH!F3764),"x","")</f>
        <v/>
      </c>
      <c r="W3764" s="525" t="str">
        <f>IF(AND(OR(LEFT(TH!L3764,2)="15",LEFT(TH!M3764,2)="15"),TK!$E$7=TH!F3764),"x","")</f>
        <v/>
      </c>
      <c r="X3764" s="525" t="str">
        <f>IF(AND('341-CT'!$E$9=H3764,OR(LEFT(L3764,3)=$X$7,LEFT(M3764,3)=$X$7)),"x","")</f>
        <v/>
      </c>
      <c r="Y3764" s="525" t="str">
        <f>IF(OR(TH!L3764=TH!$Y$7,M3764=TH!$Y$7),"x","")</f>
        <v/>
      </c>
      <c r="Z3764" s="525" t="str">
        <f>IF(AND(B3764&lt;=NKC!$N$8,B3764&gt;=NKC!$M$8),"x","")</f>
        <v/>
      </c>
      <c r="AA3764" s="535"/>
      <c r="AB3764" s="536"/>
      <c r="AC3764" s="536" t="str">
        <f>VLOOKUP(F3764,NXT!$B$12:$B$686,1,0)</f>
        <v>Thùng 42.5x31.5x20.5</v>
      </c>
      <c r="AD3764" s="536"/>
    </row>
    <row r="3765" spans="1:30" s="503" customFormat="1" ht="15.75" customHeight="1">
      <c r="A3765" s="517" t="str">
        <f>IF(B3765&lt;&gt;"",IF(AND(B3765&gt;=_TM1,B3765&lt;=_TM2,OR(TH!L3765="1111",TH!M3765="1111")),TH!D3765,""),"")</f>
        <v/>
      </c>
      <c r="B3765" s="531">
        <f t="shared" si="423"/>
        <v>9</v>
      </c>
      <c r="C3765" s="315">
        <f t="shared" si="424"/>
        <v>42985</v>
      </c>
      <c r="D3765" s="544" t="s">
        <v>1181</v>
      </c>
      <c r="E3765" s="315">
        <v>42985</v>
      </c>
      <c r="F3765" s="250" t="s">
        <v>1316</v>
      </c>
      <c r="G3765" s="314" t="s">
        <v>1678</v>
      </c>
      <c r="H3765" s="473" t="s">
        <v>1309</v>
      </c>
      <c r="I3765" s="307">
        <v>540</v>
      </c>
      <c r="J3765" s="307">
        <v>10478</v>
      </c>
      <c r="K3765" s="532">
        <f t="shared" si="422"/>
        <v>5658120</v>
      </c>
      <c r="L3765" s="534" t="s">
        <v>223</v>
      </c>
      <c r="M3765" s="534" t="s">
        <v>162</v>
      </c>
      <c r="N3765" s="525" t="str">
        <f>IF(AND('331-CT'!$E$7=TH!H3765,OR(L3765="331",M3765="331")),"331",IF(AND(OR(L3765="131",M3765="131"),H3765='131-CT'!$E$7),"131",""))</f>
        <v/>
      </c>
      <c r="O3765" s="525" t="str">
        <f>IF(AND($B3765&gt;='111'!$N$11,$B3765&lt;='111'!$O$11,OR($L3765=$O$7,$M3765=$O$7)),"x","")</f>
        <v/>
      </c>
      <c r="P3765" s="525" t="str">
        <f>IF(AND($L3765=$O$7,$B3765&lt;'111'!$N$11),"x","")</f>
        <v/>
      </c>
      <c r="Q3765" s="525" t="str">
        <f>IF(AND($M3765=$O$7,$B3765&lt;'111'!$N$11),"x","")</f>
        <v/>
      </c>
      <c r="R3765" s="525" t="str">
        <f>IF(ISERROR(FIND('112'!$M$9,G3765,1)),"",IF((AND(FIND('112'!$M$9,G3765,1)&gt;=1,$B3765&gt;='112'!$N$8,$B3765&lt;='112'!$O$8,OR($L3765='112'!$I$6,$M3765='112'!$I$6))),"x",""))</f>
        <v/>
      </c>
      <c r="S3765" s="525" t="str">
        <f>IF(ISERROR(FIND('112'!$M$9,G3765,1)),"",IF((AND(LEFT(G3765,2)=LEFT('112'!$M$9,2),B3765&lt;'112'!$N$8,$L3765='112'!$I$6)),"x",""))</f>
        <v/>
      </c>
      <c r="T3765" s="525" t="str">
        <f>IF(ISERROR(FIND('112'!$M$9,G3765,1)),"",IF((AND(RIGHT(G3765,2)=RIGHT('112'!$M$9,2),B3765&lt;'112'!$N$8,$M3765='112'!$I$6)),"x",""))</f>
        <v/>
      </c>
      <c r="U3765" s="525" t="str">
        <f>IF(AND(B3765&gt;='IN-NX'!$P$3,B3765&lt;='IN-NX'!$Q$3,'IN-NX'!$D$7=D3765,OR(LEFT(L3765,2)="15",AND(LEFT(M3765,2)&lt;&gt;"15",LEFT(M3765,2)&lt;&gt;"33"))),"x","")</f>
        <v/>
      </c>
      <c r="V3765" s="525" t="str">
        <f>IF(AND(OR(LEFT(TH!L3765,2)="15",LEFT(TH!M3765,2)="15"),'152-CT'!$J$8=TH!F3765),"x","")</f>
        <v/>
      </c>
      <c r="W3765" s="525" t="str">
        <f>IF(AND(OR(LEFT(TH!L3765,2)="15",LEFT(TH!M3765,2)="15"),TK!$E$7=TH!F3765),"x","")</f>
        <v/>
      </c>
      <c r="X3765" s="525" t="str">
        <f>IF(AND('341-CT'!$E$9=H3765,OR(LEFT(L3765,3)=$X$7,LEFT(M3765,3)=$X$7)),"x","")</f>
        <v/>
      </c>
      <c r="Y3765" s="525" t="str">
        <f>IF(OR(TH!L3765=TH!$Y$7,M3765=TH!$Y$7),"x","")</f>
        <v/>
      </c>
      <c r="Z3765" s="525" t="str">
        <f>IF(AND(B3765&lt;=NKC!$N$8,B3765&gt;=NKC!$M$8),"x","")</f>
        <v/>
      </c>
      <c r="AA3765" s="535"/>
      <c r="AB3765" s="536"/>
      <c r="AC3765" s="536" t="str">
        <f>VLOOKUP(F3765,NXT!$B$12:$B$686,1,0)</f>
        <v>Thùng 183x19.2x8.2</v>
      </c>
    </row>
    <row r="3766" spans="1:30" s="503" customFormat="1" ht="15.75" customHeight="1">
      <c r="A3766" s="517" t="str">
        <f>IF(B3766&lt;&gt;"",IF(AND(B3766&gt;=_TM1,B3766&lt;=_TM2,OR(TH!L3766="1111",TH!M3766="1111")),TH!D3766,""),"")</f>
        <v/>
      </c>
      <c r="B3766" s="531">
        <f t="shared" ref="B3766:B3799" si="425">IF(C3766&lt;&gt;"",MONTH(C3766),"")</f>
        <v>9</v>
      </c>
      <c r="C3766" s="315">
        <f t="shared" ref="C3766:C3799" si="426">E3766</f>
        <v>42985</v>
      </c>
      <c r="D3766" s="544" t="s">
        <v>1181</v>
      </c>
      <c r="E3766" s="315">
        <v>42985</v>
      </c>
      <c r="F3766" s="250" t="s">
        <v>1679</v>
      </c>
      <c r="G3766" s="314" t="s">
        <v>1678</v>
      </c>
      <c r="H3766" s="473" t="s">
        <v>1309</v>
      </c>
      <c r="I3766" s="307">
        <v>1450</v>
      </c>
      <c r="J3766" s="307">
        <v>11405</v>
      </c>
      <c r="K3766" s="532">
        <f t="shared" ref="K3766:K3792" si="427">ROUND(I3766*J3766,0)</f>
        <v>16537250</v>
      </c>
      <c r="L3766" s="534" t="s">
        <v>223</v>
      </c>
      <c r="M3766" s="534" t="s">
        <v>162</v>
      </c>
      <c r="N3766" s="525" t="str">
        <f>IF(AND('331-CT'!$E$7=TH!H3766,OR(L3766="331",M3766="331")),"331",IF(AND(OR(L3766="131",M3766="131"),H3766='131-CT'!$E$7),"131",""))</f>
        <v/>
      </c>
      <c r="O3766" s="525" t="str">
        <f>IF(AND($B3766&gt;='111'!$N$11,$B3766&lt;='111'!$O$11,OR($L3766=$O$7,$M3766=$O$7)),"x","")</f>
        <v/>
      </c>
      <c r="P3766" s="525" t="str">
        <f>IF(AND($L3766=$O$7,$B3766&lt;'111'!$N$11),"x","")</f>
        <v/>
      </c>
      <c r="Q3766" s="525" t="str">
        <f>IF(AND($M3766=$O$7,$B3766&lt;'111'!$N$11),"x","")</f>
        <v/>
      </c>
      <c r="R3766" s="525" t="str">
        <f>IF(ISERROR(FIND('112'!$M$9,G3766,1)),"",IF((AND(FIND('112'!$M$9,G3766,1)&gt;=1,$B3766&gt;='112'!$N$8,$B3766&lt;='112'!$O$8,OR($L3766='112'!$I$6,$M3766='112'!$I$6))),"x",""))</f>
        <v/>
      </c>
      <c r="S3766" s="525" t="str">
        <f>IF(ISERROR(FIND('112'!$M$9,G3766,1)),"",IF((AND(LEFT(G3766,2)=LEFT('112'!$M$9,2),B3766&lt;'112'!$N$8,$L3766='112'!$I$6)),"x",""))</f>
        <v/>
      </c>
      <c r="T3766" s="525" t="str">
        <f>IF(ISERROR(FIND('112'!$M$9,G3766,1)),"",IF((AND(RIGHT(G3766,2)=RIGHT('112'!$M$9,2),B3766&lt;'112'!$N$8,$M3766='112'!$I$6)),"x",""))</f>
        <v/>
      </c>
      <c r="U3766" s="525" t="str">
        <f>IF(AND(B3766&gt;='IN-NX'!$P$3,B3766&lt;='IN-NX'!$Q$3,'IN-NX'!$D$7=D3766,OR(LEFT(L3766,2)="15",AND(LEFT(M3766,2)&lt;&gt;"15",LEFT(M3766,2)&lt;&gt;"33"))),"x","")</f>
        <v/>
      </c>
      <c r="V3766" s="525" t="str">
        <f>IF(AND(OR(LEFT(TH!L3766,2)="15",LEFT(TH!M3766,2)="15"),'152-CT'!$J$8=TH!F3766),"x","")</f>
        <v/>
      </c>
      <c r="W3766" s="525" t="str">
        <f>IF(AND(OR(LEFT(TH!L3766,2)="15",LEFT(TH!M3766,2)="15"),TK!$E$7=TH!F3766),"x","")</f>
        <v/>
      </c>
      <c r="X3766" s="525" t="str">
        <f>IF(AND('341-CT'!$E$9=H3766,OR(LEFT(L3766,3)=$X$7,LEFT(M3766,3)=$X$7)),"x","")</f>
        <v/>
      </c>
      <c r="Y3766" s="525" t="str">
        <f>IF(OR(TH!L3766=TH!$Y$7,M3766=TH!$Y$7),"x","")</f>
        <v/>
      </c>
      <c r="Z3766" s="525" t="str">
        <f>IF(AND(B3766&lt;=NKC!$N$8,B3766&gt;=NKC!$M$8),"x","")</f>
        <v/>
      </c>
      <c r="AA3766" s="535"/>
      <c r="AB3766" s="536"/>
      <c r="AC3766" s="536" t="str">
        <f>VLOOKUP(F3766,NXT!$B$12:$B$686,1,0)</f>
        <v>Thùng 183x19.7x9.7</v>
      </c>
      <c r="AD3766" s="536"/>
    </row>
    <row r="3767" spans="1:30" s="503" customFormat="1" ht="15.75" customHeight="1">
      <c r="A3767" s="517" t="str">
        <f>IF(B3767&lt;&gt;"",IF(AND(B3767&gt;=_TM1,B3767&lt;=_TM2,OR(TH!L3767="1111",TH!M3767="1111")),TH!D3767,""),"")</f>
        <v/>
      </c>
      <c r="B3767" s="531">
        <f t="shared" si="425"/>
        <v>9</v>
      </c>
      <c r="C3767" s="315">
        <f t="shared" si="426"/>
        <v>42985</v>
      </c>
      <c r="D3767" s="544" t="s">
        <v>1181</v>
      </c>
      <c r="E3767" s="315">
        <v>42985</v>
      </c>
      <c r="F3767" s="249" t="s">
        <v>494</v>
      </c>
      <c r="G3767" s="314" t="s">
        <v>1678</v>
      </c>
      <c r="H3767" s="473" t="s">
        <v>1309</v>
      </c>
      <c r="I3767" s="307"/>
      <c r="J3767" s="307"/>
      <c r="K3767" s="532">
        <v>2290044</v>
      </c>
      <c r="L3767" s="534" t="s">
        <v>223</v>
      </c>
      <c r="M3767" s="534" t="s">
        <v>259</v>
      </c>
      <c r="N3767" s="525" t="str">
        <f>IF(AND('331-CT'!$E$7=TH!H3767,OR(L3767="331",M3767="331")),"331",IF(AND(OR(L3767="131",M3767="131"),H3767='131-CT'!$E$7),"131",""))</f>
        <v/>
      </c>
      <c r="O3767" s="525" t="str">
        <f>IF(AND($B3767&gt;='111'!$N$11,$B3767&lt;='111'!$O$11,OR($L3767=$O$7,$M3767=$O$7)),"x","")</f>
        <v/>
      </c>
      <c r="P3767" s="525" t="str">
        <f>IF(AND($L3767=$O$7,$B3767&lt;'111'!$N$11),"x","")</f>
        <v/>
      </c>
      <c r="Q3767" s="525" t="str">
        <f>IF(AND($M3767=$O$7,$B3767&lt;'111'!$N$11),"x","")</f>
        <v/>
      </c>
      <c r="R3767" s="525" t="str">
        <f>IF(ISERROR(FIND('112'!$M$9,G3767,1)),"",IF((AND(FIND('112'!$M$9,G3767,1)&gt;=1,$B3767&gt;='112'!$N$8,$B3767&lt;='112'!$O$8,OR($L3767='112'!$I$6,$M3767='112'!$I$6))),"x",""))</f>
        <v/>
      </c>
      <c r="S3767" s="525" t="str">
        <f>IF(ISERROR(FIND('112'!$M$9,G3767,1)),"",IF((AND(LEFT(G3767,2)=LEFT('112'!$M$9,2),B3767&lt;'112'!$N$8,$L3767='112'!$I$6)),"x",""))</f>
        <v/>
      </c>
      <c r="T3767" s="525" t="str">
        <f>IF(ISERROR(FIND('112'!$M$9,G3767,1)),"",IF((AND(RIGHT(G3767,2)=RIGHT('112'!$M$9,2),B3767&lt;'112'!$N$8,$M3767='112'!$I$6)),"x",""))</f>
        <v/>
      </c>
      <c r="U3767" s="525" t="str">
        <f>IF(AND(B3767&gt;='IN-NX'!$P$3,B3767&lt;='IN-NX'!$Q$3,'IN-NX'!$D$7=D3767,OR(LEFT(L3767,2)="15",AND(LEFT(M3767,2)&lt;&gt;"15",LEFT(M3767,2)&lt;&gt;"33"))),"x","")</f>
        <v/>
      </c>
      <c r="V3767" s="525" t="str">
        <f>IF(AND(OR(LEFT(TH!L3767,2)="15",LEFT(TH!M3767,2)="15"),'152-CT'!$J$8=TH!F3767),"x","")</f>
        <v/>
      </c>
      <c r="W3767" s="525" t="str">
        <f>IF(AND(OR(LEFT(TH!L3767,2)="15",LEFT(TH!M3767,2)="15"),TK!$E$7=TH!F3767),"x","")</f>
        <v/>
      </c>
      <c r="X3767" s="525" t="str">
        <f>IF(AND('341-CT'!$E$9=H3767,OR(LEFT(L3767,3)=$X$7,LEFT(M3767,3)=$X$7)),"x","")</f>
        <v/>
      </c>
      <c r="Y3767" s="525" t="str">
        <f>IF(OR(TH!L3767=TH!$Y$7,M3767=TH!$Y$7),"x","")</f>
        <v/>
      </c>
      <c r="Z3767" s="525" t="str">
        <f>IF(AND(B3767&lt;=NKC!$N$8,B3767&gt;=NKC!$M$8),"x","")</f>
        <v/>
      </c>
      <c r="AA3767" s="535"/>
    </row>
    <row r="3768" spans="1:30" s="503" customFormat="1" ht="15.75" customHeight="1">
      <c r="A3768" s="517" t="str">
        <f>IF(B3768&lt;&gt;"",IF(AND(B3768&gt;=_TM1,B3768&lt;=_TM2,OR(TH!L3768="1111",TH!M3768="1111")),TH!D3768,""),"")</f>
        <v/>
      </c>
      <c r="B3768" s="531">
        <f t="shared" si="425"/>
        <v>9</v>
      </c>
      <c r="C3768" s="315">
        <f t="shared" si="426"/>
        <v>42985</v>
      </c>
      <c r="D3768" s="544" t="s">
        <v>1181</v>
      </c>
      <c r="E3768" s="315">
        <v>42985</v>
      </c>
      <c r="F3768" s="249" t="s">
        <v>1217</v>
      </c>
      <c r="G3768" s="314" t="s">
        <v>1680</v>
      </c>
      <c r="H3768" s="248" t="s">
        <v>1218</v>
      </c>
      <c r="I3768" s="307">
        <v>3045</v>
      </c>
      <c r="J3768" s="307">
        <v>5900</v>
      </c>
      <c r="K3768" s="532">
        <f>ROUND(I3768*J3768,0)</f>
        <v>17965500</v>
      </c>
      <c r="L3768" s="534" t="s">
        <v>223</v>
      </c>
      <c r="M3768" s="534" t="s">
        <v>162</v>
      </c>
      <c r="N3768" s="525" t="str">
        <f>IF(AND('331-CT'!$E$7=TH!H3768,OR(L3768="331",M3768="331")),"331",IF(AND(OR(L3768="131",M3768="131"),H3768='131-CT'!$E$7),"131",""))</f>
        <v/>
      </c>
      <c r="O3768" s="525" t="str">
        <f>IF(AND($B3768&gt;='111'!$N$11,$B3768&lt;='111'!$O$11,OR($L3768=$O$7,$M3768=$O$7)),"x","")</f>
        <v/>
      </c>
      <c r="P3768" s="525" t="str">
        <f>IF(AND($L3768=$O$7,$B3768&lt;'111'!$N$11),"x","")</f>
        <v/>
      </c>
      <c r="Q3768" s="525" t="str">
        <f>IF(AND($M3768=$O$7,$B3768&lt;'111'!$N$11),"x","")</f>
        <v/>
      </c>
      <c r="R3768" s="525" t="str">
        <f>IF(ISERROR(FIND('112'!$M$9,G3768,1)),"",IF((AND(FIND('112'!$M$9,G3768,1)&gt;=1,$B3768&gt;='112'!$N$8,$B3768&lt;='112'!$O$8,OR($L3768='112'!$I$6,$M3768='112'!$I$6))),"x",""))</f>
        <v/>
      </c>
      <c r="S3768" s="525" t="str">
        <f>IF(ISERROR(FIND('112'!$M$9,G3768,1)),"",IF((AND(LEFT(G3768,2)=LEFT('112'!$M$9,2),B3768&lt;'112'!$N$8,$L3768='112'!$I$6)),"x",""))</f>
        <v/>
      </c>
      <c r="T3768" s="525" t="str">
        <f>IF(ISERROR(FIND('112'!$M$9,G3768,1)),"",IF((AND(RIGHT(G3768,2)=RIGHT('112'!$M$9,2),B3768&lt;'112'!$N$8,$M3768='112'!$I$6)),"x",""))</f>
        <v/>
      </c>
      <c r="U3768" s="525" t="str">
        <f>IF(AND(B3768&gt;='IN-NX'!$P$3,B3768&lt;='IN-NX'!$Q$3,'IN-NX'!$D$7=D3768,OR(LEFT(L3768,2)="15",AND(LEFT(M3768,2)&lt;&gt;"15",LEFT(M3768,2)&lt;&gt;"33"))),"x","")</f>
        <v/>
      </c>
      <c r="V3768" s="525" t="str">
        <f>IF(AND(OR(LEFT(TH!L3768,2)="15",LEFT(TH!M3768,2)="15"),'152-CT'!$J$8=TH!F3768),"x","")</f>
        <v/>
      </c>
      <c r="W3768" s="525" t="str">
        <f>IF(AND(OR(LEFT(TH!L3768,2)="15",LEFT(TH!M3768,2)="15"),TK!$E$7=TH!F3768),"x","")</f>
        <v/>
      </c>
      <c r="X3768" s="525" t="str">
        <f>IF(AND('341-CT'!$E$9=H3768,OR(LEFT(L3768,3)=$X$7,LEFT(M3768,3)=$X$7)),"x","")</f>
        <v/>
      </c>
      <c r="Y3768" s="525" t="str">
        <f>IF(OR(TH!L3768=TH!$Y$7,M3768=TH!$Y$7),"x","")</f>
        <v/>
      </c>
      <c r="Z3768" s="525" t="str">
        <f>IF(AND(B3768&lt;=NKC!$N$8,B3768&gt;=NKC!$M$8),"x","")</f>
        <v/>
      </c>
      <c r="AA3768" s="535"/>
      <c r="AC3768" s="536" t="str">
        <f>VLOOKUP(F3768,NXT!$B$12:$B$686,1,0)</f>
        <v>Thùng 50x29.5x19</v>
      </c>
      <c r="AD3768" s="536"/>
    </row>
    <row r="3769" spans="1:30" s="503" customFormat="1" ht="15.75" customHeight="1">
      <c r="A3769" s="517" t="str">
        <f>IF(B3769&lt;&gt;"",IF(AND(B3769&gt;=_TM1,B3769&lt;=_TM2,OR(TH!L3769="1111",TH!M3769="1111")),TH!D3769,""),"")</f>
        <v/>
      </c>
      <c r="B3769" s="531">
        <f t="shared" si="425"/>
        <v>9</v>
      </c>
      <c r="C3769" s="315">
        <f t="shared" si="426"/>
        <v>42985</v>
      </c>
      <c r="D3769" s="544" t="s">
        <v>1181</v>
      </c>
      <c r="E3769" s="315">
        <v>42985</v>
      </c>
      <c r="F3769" s="249" t="s">
        <v>494</v>
      </c>
      <c r="G3769" s="314" t="s">
        <v>1680</v>
      </c>
      <c r="H3769" s="248" t="s">
        <v>1218</v>
      </c>
      <c r="I3769" s="307"/>
      <c r="J3769" s="307"/>
      <c r="K3769" s="532">
        <v>1796550</v>
      </c>
      <c r="L3769" s="534" t="s">
        <v>223</v>
      </c>
      <c r="M3769" s="534" t="s">
        <v>259</v>
      </c>
      <c r="N3769" s="525" t="str">
        <f>IF(AND('331-CT'!$E$7=TH!H3769,OR(L3769="331",M3769="331")),"331",IF(AND(OR(L3769="131",M3769="131"),H3769='131-CT'!$E$7),"131",""))</f>
        <v/>
      </c>
      <c r="O3769" s="525" t="str">
        <f>IF(AND($B3769&gt;='111'!$N$11,$B3769&lt;='111'!$O$11,OR($L3769=$O$7,$M3769=$O$7)),"x","")</f>
        <v/>
      </c>
      <c r="P3769" s="525" t="str">
        <f>IF(AND($L3769=$O$7,$B3769&lt;'111'!$N$11),"x","")</f>
        <v/>
      </c>
      <c r="Q3769" s="525" t="str">
        <f>IF(AND($M3769=$O$7,$B3769&lt;'111'!$N$11),"x","")</f>
        <v/>
      </c>
      <c r="R3769" s="525" t="str">
        <f>IF(ISERROR(FIND('112'!$M$9,G3769,1)),"",IF((AND(FIND('112'!$M$9,G3769,1)&gt;=1,$B3769&gt;='112'!$N$8,$B3769&lt;='112'!$O$8,OR($L3769='112'!$I$6,$M3769='112'!$I$6))),"x",""))</f>
        <v/>
      </c>
      <c r="S3769" s="525" t="str">
        <f>IF(ISERROR(FIND('112'!$M$9,G3769,1)),"",IF((AND(LEFT(G3769,2)=LEFT('112'!$M$9,2),B3769&lt;'112'!$N$8,$L3769='112'!$I$6)),"x",""))</f>
        <v/>
      </c>
      <c r="T3769" s="525" t="str">
        <f>IF(ISERROR(FIND('112'!$M$9,G3769,1)),"",IF((AND(RIGHT(G3769,2)=RIGHT('112'!$M$9,2),B3769&lt;'112'!$N$8,$M3769='112'!$I$6)),"x",""))</f>
        <v/>
      </c>
      <c r="U3769" s="525" t="str">
        <f>IF(AND(B3769&gt;='IN-NX'!$P$3,B3769&lt;='IN-NX'!$Q$3,'IN-NX'!$D$7=D3769,OR(LEFT(L3769,2)="15",AND(LEFT(M3769,2)&lt;&gt;"15",LEFT(M3769,2)&lt;&gt;"33"))),"x","")</f>
        <v/>
      </c>
      <c r="V3769" s="525" t="str">
        <f>IF(AND(OR(LEFT(TH!L3769,2)="15",LEFT(TH!M3769,2)="15"),'152-CT'!$J$8=TH!F3769),"x","")</f>
        <v/>
      </c>
      <c r="W3769" s="525" t="str">
        <f>IF(AND(OR(LEFT(TH!L3769,2)="15",LEFT(TH!M3769,2)="15"),TK!$E$7=TH!F3769),"x","")</f>
        <v/>
      </c>
      <c r="X3769" s="525" t="str">
        <f>IF(AND('341-CT'!$E$9=H3769,OR(LEFT(L3769,3)=$X$7,LEFT(M3769,3)=$X$7)),"x","")</f>
        <v/>
      </c>
      <c r="Y3769" s="525" t="str">
        <f>IF(OR(TH!L3769=TH!$Y$7,M3769=TH!$Y$7),"x","")</f>
        <v/>
      </c>
      <c r="Z3769" s="525" t="str">
        <f>IF(AND(B3769&lt;=NKC!$N$8,B3769&gt;=NKC!$M$8),"x","")</f>
        <v/>
      </c>
      <c r="AA3769" s="535"/>
      <c r="AD3769" s="536"/>
    </row>
    <row r="3770" spans="1:30" s="503" customFormat="1" ht="15.75" customHeight="1">
      <c r="A3770" s="517" t="str">
        <f>IF(B3770&lt;&gt;"",IF(AND(B3770&gt;=_TM1,B3770&lt;=_TM2,OR(TH!L3770="1111",TH!M3770="1111")),TH!D3770,""),"")</f>
        <v/>
      </c>
      <c r="B3770" s="531">
        <f t="shared" si="425"/>
        <v>9</v>
      </c>
      <c r="C3770" s="315">
        <f t="shared" si="426"/>
        <v>42989</v>
      </c>
      <c r="D3770" s="544" t="s">
        <v>1181</v>
      </c>
      <c r="E3770" s="315">
        <v>42989</v>
      </c>
      <c r="F3770" s="249" t="s">
        <v>1217</v>
      </c>
      <c r="G3770" s="314" t="s">
        <v>1681</v>
      </c>
      <c r="H3770" s="248" t="s">
        <v>1218</v>
      </c>
      <c r="I3770" s="307">
        <v>3045</v>
      </c>
      <c r="J3770" s="307">
        <v>5900</v>
      </c>
      <c r="K3770" s="532">
        <f>ROUND(I3770*J3770,0)</f>
        <v>17965500</v>
      </c>
      <c r="L3770" s="534" t="s">
        <v>223</v>
      </c>
      <c r="M3770" s="534" t="s">
        <v>162</v>
      </c>
      <c r="N3770" s="525" t="str">
        <f>IF(AND('331-CT'!$E$7=TH!H3770,OR(L3770="331",M3770="331")),"331",IF(AND(OR(L3770="131",M3770="131"),H3770='131-CT'!$E$7),"131",""))</f>
        <v/>
      </c>
      <c r="O3770" s="525" t="str">
        <f>IF(AND($B3770&gt;='111'!$N$11,$B3770&lt;='111'!$O$11,OR($L3770=$O$7,$M3770=$O$7)),"x","")</f>
        <v/>
      </c>
      <c r="P3770" s="525" t="str">
        <f>IF(AND($L3770=$O$7,$B3770&lt;'111'!$N$11),"x","")</f>
        <v/>
      </c>
      <c r="Q3770" s="525" t="str">
        <f>IF(AND($M3770=$O$7,$B3770&lt;'111'!$N$11),"x","")</f>
        <v/>
      </c>
      <c r="R3770" s="525" t="str">
        <f>IF(ISERROR(FIND('112'!$M$9,G3770,1)),"",IF((AND(FIND('112'!$M$9,G3770,1)&gt;=1,$B3770&gt;='112'!$N$8,$B3770&lt;='112'!$O$8,OR($L3770='112'!$I$6,$M3770='112'!$I$6))),"x",""))</f>
        <v/>
      </c>
      <c r="S3770" s="525" t="str">
        <f>IF(ISERROR(FIND('112'!$M$9,G3770,1)),"",IF((AND(LEFT(G3770,2)=LEFT('112'!$M$9,2),B3770&lt;'112'!$N$8,$L3770='112'!$I$6)),"x",""))</f>
        <v/>
      </c>
      <c r="T3770" s="525" t="str">
        <f>IF(ISERROR(FIND('112'!$M$9,G3770,1)),"",IF((AND(RIGHT(G3770,2)=RIGHT('112'!$M$9,2),B3770&lt;'112'!$N$8,$M3770='112'!$I$6)),"x",""))</f>
        <v/>
      </c>
      <c r="U3770" s="525" t="str">
        <f>IF(AND(B3770&gt;='IN-NX'!$P$3,B3770&lt;='IN-NX'!$Q$3,'IN-NX'!$D$7=D3770,OR(LEFT(L3770,2)="15",AND(LEFT(M3770,2)&lt;&gt;"15",LEFT(M3770,2)&lt;&gt;"33"))),"x","")</f>
        <v/>
      </c>
      <c r="V3770" s="525" t="str">
        <f>IF(AND(OR(LEFT(TH!L3770,2)="15",LEFT(TH!M3770,2)="15"),'152-CT'!$J$8=TH!F3770),"x","")</f>
        <v/>
      </c>
      <c r="W3770" s="525" t="str">
        <f>IF(AND(OR(LEFT(TH!L3770,2)="15",LEFT(TH!M3770,2)="15"),TK!$E$7=TH!F3770),"x","")</f>
        <v/>
      </c>
      <c r="X3770" s="525" t="str">
        <f>IF(AND('341-CT'!$E$9=H3770,OR(LEFT(L3770,3)=$X$7,LEFT(M3770,3)=$X$7)),"x","")</f>
        <v/>
      </c>
      <c r="Y3770" s="525" t="str">
        <f>IF(OR(TH!L3770=TH!$Y$7,M3770=TH!$Y$7),"x","")</f>
        <v/>
      </c>
      <c r="Z3770" s="525" t="str">
        <f>IF(AND(B3770&lt;=NKC!$N$8,B3770&gt;=NKC!$M$8),"x","")</f>
        <v/>
      </c>
      <c r="AA3770" s="535"/>
      <c r="AC3770" s="536" t="str">
        <f>VLOOKUP(F3770,NXT!$B$12:$B$686,1,0)</f>
        <v>Thùng 50x29.5x19</v>
      </c>
      <c r="AD3770" s="536"/>
    </row>
    <row r="3771" spans="1:30" s="503" customFormat="1" ht="15.75" customHeight="1">
      <c r="A3771" s="517" t="str">
        <f>IF(B3771&lt;&gt;"",IF(AND(B3771&gt;=_TM1,B3771&lt;=_TM2,OR(TH!L3771="1111",TH!M3771="1111")),TH!D3771,""),"")</f>
        <v/>
      </c>
      <c r="B3771" s="531">
        <f t="shared" si="425"/>
        <v>9</v>
      </c>
      <c r="C3771" s="315">
        <f t="shared" si="426"/>
        <v>42989</v>
      </c>
      <c r="D3771" s="544" t="s">
        <v>1181</v>
      </c>
      <c r="E3771" s="315">
        <v>42989</v>
      </c>
      <c r="F3771" s="249" t="s">
        <v>494</v>
      </c>
      <c r="G3771" s="314" t="s">
        <v>1681</v>
      </c>
      <c r="H3771" s="248" t="s">
        <v>1218</v>
      </c>
      <c r="I3771" s="307"/>
      <c r="J3771" s="307"/>
      <c r="K3771" s="532">
        <v>1796550</v>
      </c>
      <c r="L3771" s="534" t="s">
        <v>223</v>
      </c>
      <c r="M3771" s="534" t="s">
        <v>259</v>
      </c>
      <c r="N3771" s="525" t="str">
        <f>IF(AND('331-CT'!$E$7=TH!H3771,OR(L3771="331",M3771="331")),"331",IF(AND(OR(L3771="131",M3771="131"),H3771='131-CT'!$E$7),"131",""))</f>
        <v/>
      </c>
      <c r="O3771" s="525" t="str">
        <f>IF(AND($B3771&gt;='111'!$N$11,$B3771&lt;='111'!$O$11,OR($L3771=$O$7,$M3771=$O$7)),"x","")</f>
        <v/>
      </c>
      <c r="P3771" s="525" t="str">
        <f>IF(AND($L3771=$O$7,$B3771&lt;'111'!$N$11),"x","")</f>
        <v/>
      </c>
      <c r="Q3771" s="525" t="str">
        <f>IF(AND($M3771=$O$7,$B3771&lt;'111'!$N$11),"x","")</f>
        <v/>
      </c>
      <c r="R3771" s="525" t="str">
        <f>IF(ISERROR(FIND('112'!$M$9,G3771,1)),"",IF((AND(FIND('112'!$M$9,G3771,1)&gt;=1,$B3771&gt;='112'!$N$8,$B3771&lt;='112'!$O$8,OR($L3771='112'!$I$6,$M3771='112'!$I$6))),"x",""))</f>
        <v/>
      </c>
      <c r="S3771" s="525" t="str">
        <f>IF(ISERROR(FIND('112'!$M$9,G3771,1)),"",IF((AND(LEFT(G3771,2)=LEFT('112'!$M$9,2),B3771&lt;'112'!$N$8,$L3771='112'!$I$6)),"x",""))</f>
        <v/>
      </c>
      <c r="T3771" s="525" t="str">
        <f>IF(ISERROR(FIND('112'!$M$9,G3771,1)),"",IF((AND(RIGHT(G3771,2)=RIGHT('112'!$M$9,2),B3771&lt;'112'!$N$8,$M3771='112'!$I$6)),"x",""))</f>
        <v/>
      </c>
      <c r="U3771" s="525" t="str">
        <f>IF(AND(B3771&gt;='IN-NX'!$P$3,B3771&lt;='IN-NX'!$Q$3,'IN-NX'!$D$7=D3771,OR(LEFT(L3771,2)="15",AND(LEFT(M3771,2)&lt;&gt;"15",LEFT(M3771,2)&lt;&gt;"33"))),"x","")</f>
        <v/>
      </c>
      <c r="V3771" s="525" t="str">
        <f>IF(AND(OR(LEFT(TH!L3771,2)="15",LEFT(TH!M3771,2)="15"),'152-CT'!$J$8=TH!F3771),"x","")</f>
        <v/>
      </c>
      <c r="W3771" s="525" t="str">
        <f>IF(AND(OR(LEFT(TH!L3771,2)="15",LEFT(TH!M3771,2)="15"),TK!$E$7=TH!F3771),"x","")</f>
        <v/>
      </c>
      <c r="X3771" s="525" t="str">
        <f>IF(AND('341-CT'!$E$9=H3771,OR(LEFT(L3771,3)=$X$7,LEFT(M3771,3)=$X$7)),"x","")</f>
        <v/>
      </c>
      <c r="Y3771" s="525" t="str">
        <f>IF(OR(TH!L3771=TH!$Y$7,M3771=TH!$Y$7),"x","")</f>
        <v/>
      </c>
      <c r="Z3771" s="525" t="str">
        <f>IF(AND(B3771&lt;=NKC!$N$8,B3771&gt;=NKC!$M$8),"x","")</f>
        <v/>
      </c>
      <c r="AA3771" s="535"/>
      <c r="AD3771" s="536"/>
    </row>
    <row r="3772" spans="1:30" s="503" customFormat="1" ht="15.75" customHeight="1">
      <c r="A3772" s="517" t="str">
        <f>IF(B3772&lt;&gt;"",IF(AND(B3772&gt;=_TM1,B3772&lt;=_TM2,OR(TH!L3772="1111",TH!M3772="1111")),TH!D3772,""),"")</f>
        <v/>
      </c>
      <c r="B3772" s="531">
        <f t="shared" si="425"/>
        <v>9</v>
      </c>
      <c r="C3772" s="315">
        <f t="shared" si="426"/>
        <v>42990</v>
      </c>
      <c r="D3772" s="544" t="s">
        <v>1181</v>
      </c>
      <c r="E3772" s="315">
        <v>42990</v>
      </c>
      <c r="F3772" s="250" t="s">
        <v>1616</v>
      </c>
      <c r="G3772" s="314" t="s">
        <v>1682</v>
      </c>
      <c r="H3772" s="248" t="s">
        <v>1684</v>
      </c>
      <c r="I3772" s="307">
        <v>1</v>
      </c>
      <c r="J3772" s="307">
        <v>153900</v>
      </c>
      <c r="K3772" s="532">
        <f t="shared" ref="K3772:K3778" si="428">ROUND(I3772*J3772,0)</f>
        <v>153900</v>
      </c>
      <c r="L3772" s="534" t="s">
        <v>223</v>
      </c>
      <c r="M3772" s="534" t="s">
        <v>162</v>
      </c>
      <c r="N3772" s="525" t="str">
        <f>IF(AND('331-CT'!$E$7=TH!H3772,OR(L3772="331",M3772="331")),"331",IF(AND(OR(L3772="131",M3772="131"),H3772='131-CT'!$E$7),"131",""))</f>
        <v/>
      </c>
      <c r="O3772" s="525" t="str">
        <f>IF(AND($B3772&gt;='111'!$N$11,$B3772&lt;='111'!$O$11,OR($L3772=$O$7,$M3772=$O$7)),"x","")</f>
        <v/>
      </c>
      <c r="P3772" s="525" t="str">
        <f>IF(AND($L3772=$O$7,$B3772&lt;'111'!$N$11),"x","")</f>
        <v/>
      </c>
      <c r="Q3772" s="525" t="str">
        <f>IF(AND($M3772=$O$7,$B3772&lt;'111'!$N$11),"x","")</f>
        <v/>
      </c>
      <c r="R3772" s="525" t="str">
        <f>IF(ISERROR(FIND('112'!$M$9,G3772,1)),"",IF((AND(FIND('112'!$M$9,G3772,1)&gt;=1,$B3772&gt;='112'!$N$8,$B3772&lt;='112'!$O$8,OR($L3772='112'!$I$6,$M3772='112'!$I$6))),"x",""))</f>
        <v/>
      </c>
      <c r="S3772" s="525" t="str">
        <f>IF(ISERROR(FIND('112'!$M$9,G3772,1)),"",IF((AND(LEFT(G3772,2)=LEFT('112'!$M$9,2),B3772&lt;'112'!$N$8,$L3772='112'!$I$6)),"x",""))</f>
        <v/>
      </c>
      <c r="T3772" s="525" t="str">
        <f>IF(ISERROR(FIND('112'!$M$9,G3772,1)),"",IF((AND(RIGHT(G3772,2)=RIGHT('112'!$M$9,2),B3772&lt;'112'!$N$8,$M3772='112'!$I$6)),"x",""))</f>
        <v/>
      </c>
      <c r="U3772" s="525" t="str">
        <f>IF(AND(B3772&gt;='IN-NX'!$P$3,B3772&lt;='IN-NX'!$Q$3,'IN-NX'!$D$7=D3772,OR(LEFT(L3772,2)="15",AND(LEFT(M3772,2)&lt;&gt;"15",LEFT(M3772,2)&lt;&gt;"33"))),"x","")</f>
        <v/>
      </c>
      <c r="V3772" s="525" t="str">
        <f>IF(AND(OR(LEFT(TH!L3772,2)="15",LEFT(TH!M3772,2)="15"),'152-CT'!$J$8=TH!F3772),"x","")</f>
        <v/>
      </c>
      <c r="W3772" s="525" t="str">
        <f>IF(AND(OR(LEFT(TH!L3772,2)="15",LEFT(TH!M3772,2)="15"),TK!$E$7=TH!F3772),"x","")</f>
        <v/>
      </c>
      <c r="X3772" s="525" t="str">
        <f>IF(AND('341-CT'!$E$9=H3772,OR(LEFT(L3772,3)=$X$7,LEFT(M3772,3)=$X$7)),"x","")</f>
        <v/>
      </c>
      <c r="Y3772" s="525" t="str">
        <f>IF(OR(TH!L3772=TH!$Y$7,M3772=TH!$Y$7),"x","")</f>
        <v/>
      </c>
      <c r="Z3772" s="525" t="str">
        <f>IF(AND(B3772&lt;=NKC!$N$8,B3772&gt;=NKC!$M$8),"x","")</f>
        <v/>
      </c>
      <c r="AA3772" s="535"/>
      <c r="AB3772" s="536"/>
      <c r="AC3772" s="536" t="str">
        <f>VLOOKUP(F3772,NXT!$B$12:$B$686,1,0)</f>
        <v>Thùng 215x60x111.5</v>
      </c>
    </row>
    <row r="3773" spans="1:30" s="503" customFormat="1" ht="15.75" customHeight="1">
      <c r="A3773" s="517" t="str">
        <f>IF(B3773&lt;&gt;"",IF(AND(B3773&gt;=_TM1,B3773&lt;=_TM2,OR(TH!L3773="1111",TH!M3773="1111")),TH!D3773,""),"")</f>
        <v/>
      </c>
      <c r="B3773" s="531">
        <f t="shared" si="425"/>
        <v>9</v>
      </c>
      <c r="C3773" s="315">
        <f t="shared" si="426"/>
        <v>42990</v>
      </c>
      <c r="D3773" s="544" t="s">
        <v>1181</v>
      </c>
      <c r="E3773" s="315">
        <v>42990</v>
      </c>
      <c r="F3773" s="250" t="s">
        <v>1618</v>
      </c>
      <c r="G3773" s="314" t="s">
        <v>1682</v>
      </c>
      <c r="H3773" s="248" t="s">
        <v>1684</v>
      </c>
      <c r="I3773" s="307">
        <v>1</v>
      </c>
      <c r="J3773" s="307">
        <v>24450</v>
      </c>
      <c r="K3773" s="532">
        <f t="shared" si="428"/>
        <v>24450</v>
      </c>
      <c r="L3773" s="534" t="s">
        <v>223</v>
      </c>
      <c r="M3773" s="534" t="s">
        <v>162</v>
      </c>
      <c r="N3773" s="525" t="str">
        <f>IF(AND('331-CT'!$E$7=TH!H3773,OR(L3773="331",M3773="331")),"331",IF(AND(OR(L3773="131",M3773="131"),H3773='131-CT'!$E$7),"131",""))</f>
        <v/>
      </c>
      <c r="O3773" s="525" t="str">
        <f>IF(AND($B3773&gt;='111'!$N$11,$B3773&lt;='111'!$O$11,OR($L3773=$O$7,$M3773=$O$7)),"x","")</f>
        <v/>
      </c>
      <c r="P3773" s="525" t="str">
        <f>IF(AND($L3773=$O$7,$B3773&lt;'111'!$N$11),"x","")</f>
        <v/>
      </c>
      <c r="Q3773" s="525" t="str">
        <f>IF(AND($M3773=$O$7,$B3773&lt;'111'!$N$11),"x","")</f>
        <v/>
      </c>
      <c r="R3773" s="525" t="str">
        <f>IF(ISERROR(FIND('112'!$M$9,G3773,1)),"",IF((AND(FIND('112'!$M$9,G3773,1)&gt;=1,$B3773&gt;='112'!$N$8,$B3773&lt;='112'!$O$8,OR($L3773='112'!$I$6,$M3773='112'!$I$6))),"x",""))</f>
        <v/>
      </c>
      <c r="S3773" s="525" t="str">
        <f>IF(ISERROR(FIND('112'!$M$9,G3773,1)),"",IF((AND(LEFT(G3773,2)=LEFT('112'!$M$9,2),B3773&lt;'112'!$N$8,$L3773='112'!$I$6)),"x",""))</f>
        <v/>
      </c>
      <c r="T3773" s="525" t="str">
        <f>IF(ISERROR(FIND('112'!$M$9,G3773,1)),"",IF((AND(RIGHT(G3773,2)=RIGHT('112'!$M$9,2),B3773&lt;'112'!$N$8,$M3773='112'!$I$6)),"x",""))</f>
        <v/>
      </c>
      <c r="U3773" s="525" t="str">
        <f>IF(AND(B3773&gt;='IN-NX'!$P$3,B3773&lt;='IN-NX'!$Q$3,'IN-NX'!$D$7=D3773,OR(LEFT(L3773,2)="15",AND(LEFT(M3773,2)&lt;&gt;"15",LEFT(M3773,2)&lt;&gt;"33"))),"x","")</f>
        <v/>
      </c>
      <c r="V3773" s="525" t="str">
        <f>IF(AND(OR(LEFT(TH!L3773,2)="15",LEFT(TH!M3773,2)="15"),'152-CT'!$J$8=TH!F3773),"x","")</f>
        <v/>
      </c>
      <c r="W3773" s="525" t="str">
        <f>IF(AND(OR(LEFT(TH!L3773,2)="15",LEFT(TH!M3773,2)="15"),TK!$E$7=TH!F3773),"x","")</f>
        <v/>
      </c>
      <c r="X3773" s="525" t="str">
        <f>IF(AND('341-CT'!$E$9=H3773,OR(LEFT(L3773,3)=$X$7,LEFT(M3773,3)=$X$7)),"x","")</f>
        <v/>
      </c>
      <c r="Y3773" s="525" t="str">
        <f>IF(OR(TH!L3773=TH!$Y$7,M3773=TH!$Y$7),"x","")</f>
        <v/>
      </c>
      <c r="Z3773" s="525" t="str">
        <f>IF(AND(B3773&lt;=NKC!$N$8,B3773&gt;=NKC!$M$8),"x","")</f>
        <v/>
      </c>
      <c r="AA3773" s="535"/>
      <c r="AB3773" s="536"/>
      <c r="AC3773" s="536" t="str">
        <f>VLOOKUP(F3773,NXT!$B$12:$B$686,1,0)</f>
        <v>Lót 100x150</v>
      </c>
      <c r="AD3773" s="536"/>
    </row>
    <row r="3774" spans="1:30" s="503" customFormat="1" ht="15.75" customHeight="1">
      <c r="A3774" s="517" t="str">
        <f>IF(B3774&lt;&gt;"",IF(AND(B3774&gt;=_TM1,B3774&lt;=_TM2,OR(TH!L3774="1111",TH!M3774="1111")),TH!D3774,""),"")</f>
        <v/>
      </c>
      <c r="B3774" s="531">
        <f t="shared" si="425"/>
        <v>9</v>
      </c>
      <c r="C3774" s="315">
        <f t="shared" si="426"/>
        <v>42990</v>
      </c>
      <c r="D3774" s="544" t="s">
        <v>1181</v>
      </c>
      <c r="E3774" s="315">
        <v>42990</v>
      </c>
      <c r="F3774" s="250" t="s">
        <v>1617</v>
      </c>
      <c r="G3774" s="314" t="s">
        <v>1682</v>
      </c>
      <c r="H3774" s="248" t="s">
        <v>1684</v>
      </c>
      <c r="I3774" s="307">
        <v>1</v>
      </c>
      <c r="J3774" s="307">
        <v>20500</v>
      </c>
      <c r="K3774" s="532">
        <f t="shared" si="428"/>
        <v>20500</v>
      </c>
      <c r="L3774" s="534" t="s">
        <v>223</v>
      </c>
      <c r="M3774" s="534" t="s">
        <v>162</v>
      </c>
      <c r="N3774" s="525" t="str">
        <f>IF(AND('331-CT'!$E$7=TH!H3774,OR(L3774="331",M3774="331")),"331",IF(AND(OR(L3774="131",M3774="131"),H3774='131-CT'!$E$7),"131",""))</f>
        <v/>
      </c>
      <c r="O3774" s="525" t="str">
        <f>IF(AND($B3774&gt;='111'!$N$11,$B3774&lt;='111'!$O$11,OR($L3774=$O$7,$M3774=$O$7)),"x","")</f>
        <v/>
      </c>
      <c r="P3774" s="525" t="str">
        <f>IF(AND($L3774=$O$7,$B3774&lt;'111'!$N$11),"x","")</f>
        <v/>
      </c>
      <c r="Q3774" s="525" t="str">
        <f>IF(AND($M3774=$O$7,$B3774&lt;'111'!$N$11),"x","")</f>
        <v/>
      </c>
      <c r="R3774" s="525" t="str">
        <f>IF(ISERROR(FIND('112'!$M$9,G3774,1)),"",IF((AND(FIND('112'!$M$9,G3774,1)&gt;=1,$B3774&gt;='112'!$N$8,$B3774&lt;='112'!$O$8,OR($L3774='112'!$I$6,$M3774='112'!$I$6))),"x",""))</f>
        <v/>
      </c>
      <c r="S3774" s="525" t="str">
        <f>IF(ISERROR(FIND('112'!$M$9,G3774,1)),"",IF((AND(LEFT(G3774,2)=LEFT('112'!$M$9,2),B3774&lt;'112'!$N$8,$L3774='112'!$I$6)),"x",""))</f>
        <v/>
      </c>
      <c r="T3774" s="525" t="str">
        <f>IF(ISERROR(FIND('112'!$M$9,G3774,1)),"",IF((AND(RIGHT(G3774,2)=RIGHT('112'!$M$9,2),B3774&lt;'112'!$N$8,$M3774='112'!$I$6)),"x",""))</f>
        <v/>
      </c>
      <c r="U3774" s="525" t="str">
        <f>IF(AND(B3774&gt;='IN-NX'!$P$3,B3774&lt;='IN-NX'!$Q$3,'IN-NX'!$D$7=D3774,OR(LEFT(L3774,2)="15",AND(LEFT(M3774,2)&lt;&gt;"15",LEFT(M3774,2)&lt;&gt;"33"))),"x","")</f>
        <v/>
      </c>
      <c r="V3774" s="525" t="str">
        <f>IF(AND(OR(LEFT(TH!L3774,2)="15",LEFT(TH!M3774,2)="15"),'152-CT'!$J$8=TH!F3774),"x","")</f>
        <v/>
      </c>
      <c r="W3774" s="525" t="str">
        <f>IF(AND(OR(LEFT(TH!L3774,2)="15",LEFT(TH!M3774,2)="15"),TK!$E$7=TH!F3774),"x","")</f>
        <v/>
      </c>
      <c r="X3774" s="525" t="str">
        <f>IF(AND('341-CT'!$E$9=H3774,OR(LEFT(L3774,3)=$X$7,LEFT(M3774,3)=$X$7)),"x","")</f>
        <v/>
      </c>
      <c r="Y3774" s="525" t="str">
        <f>IF(OR(TH!L3774=TH!$Y$7,M3774=TH!$Y$7),"x","")</f>
        <v/>
      </c>
      <c r="Z3774" s="525" t="str">
        <f>IF(AND(B3774&lt;=NKC!$N$8,B3774&gt;=NKC!$M$8),"x","")</f>
        <v/>
      </c>
      <c r="AA3774" s="535"/>
      <c r="AB3774" s="536"/>
      <c r="AC3774" s="536" t="str">
        <f>VLOOKUP(F3774,NXT!$B$12:$B$686,1,0)</f>
        <v>Lót 60x214</v>
      </c>
      <c r="AD3774" s="536"/>
    </row>
    <row r="3775" spans="1:30" s="503" customFormat="1" ht="15.75" customHeight="1">
      <c r="A3775" s="517" t="str">
        <f>IF(B3775&lt;&gt;"",IF(AND(B3775&gt;=_TM1,B3775&lt;=_TM2,OR(TH!L3775="1111",TH!M3775="1111")),TH!D3775,""),"")</f>
        <v/>
      </c>
      <c r="B3775" s="531">
        <f t="shared" si="425"/>
        <v>9</v>
      </c>
      <c r="C3775" s="315">
        <f t="shared" si="426"/>
        <v>42990</v>
      </c>
      <c r="D3775" s="544" t="s">
        <v>1181</v>
      </c>
      <c r="E3775" s="315">
        <v>42990</v>
      </c>
      <c r="F3775" s="250" t="s">
        <v>1683</v>
      </c>
      <c r="G3775" s="314" t="s">
        <v>1682</v>
      </c>
      <c r="H3775" s="248" t="s">
        <v>1684</v>
      </c>
      <c r="I3775" s="307">
        <v>1</v>
      </c>
      <c r="J3775" s="307">
        <v>300000</v>
      </c>
      <c r="K3775" s="532">
        <f t="shared" si="428"/>
        <v>300000</v>
      </c>
      <c r="L3775" s="534" t="s">
        <v>223</v>
      </c>
      <c r="M3775" s="534" t="s">
        <v>275</v>
      </c>
      <c r="N3775" s="525" t="str">
        <f>IF(AND('331-CT'!$E$7=TH!H3775,OR(L3775="331",M3775="331")),"331",IF(AND(OR(L3775="131",M3775="131"),H3775='131-CT'!$E$7),"131",""))</f>
        <v/>
      </c>
      <c r="O3775" s="525" t="str">
        <f>IF(AND($B3775&gt;='111'!$N$11,$B3775&lt;='111'!$O$11,OR($L3775=$O$7,$M3775=$O$7)),"x","")</f>
        <v/>
      </c>
      <c r="P3775" s="525" t="str">
        <f>IF(AND($L3775=$O$7,$B3775&lt;'111'!$N$11),"x","")</f>
        <v/>
      </c>
      <c r="Q3775" s="525" t="str">
        <f>IF(AND($M3775=$O$7,$B3775&lt;'111'!$N$11),"x","")</f>
        <v/>
      </c>
      <c r="R3775" s="525" t="str">
        <f>IF(ISERROR(FIND('112'!$M$9,G3775,1)),"",IF((AND(FIND('112'!$M$9,G3775,1)&gt;=1,$B3775&gt;='112'!$N$8,$B3775&lt;='112'!$O$8,OR($L3775='112'!$I$6,$M3775='112'!$I$6))),"x",""))</f>
        <v/>
      </c>
      <c r="S3775" s="525" t="str">
        <f>IF(ISERROR(FIND('112'!$M$9,G3775,1)),"",IF((AND(LEFT(G3775,2)=LEFT('112'!$M$9,2),B3775&lt;'112'!$N$8,$L3775='112'!$I$6)),"x",""))</f>
        <v/>
      </c>
      <c r="T3775" s="525" t="str">
        <f>IF(ISERROR(FIND('112'!$M$9,G3775,1)),"",IF((AND(RIGHT(G3775,2)=RIGHT('112'!$M$9,2),B3775&lt;'112'!$N$8,$M3775='112'!$I$6)),"x",""))</f>
        <v/>
      </c>
      <c r="U3775" s="525" t="str">
        <f>IF(AND(B3775&gt;='IN-NX'!$P$3,B3775&lt;='IN-NX'!$Q$3,'IN-NX'!$D$7=D3775,OR(LEFT(L3775,2)="15",AND(LEFT(M3775,2)&lt;&gt;"15",LEFT(M3775,2)&lt;&gt;"33"))),"x","")</f>
        <v/>
      </c>
      <c r="V3775" s="525" t="str">
        <f>IF(AND(OR(LEFT(TH!L3775,2)="15",LEFT(TH!M3775,2)="15"),'152-CT'!$J$8=TH!F3775),"x","")</f>
        <v/>
      </c>
      <c r="W3775" s="525" t="str">
        <f>IF(AND(OR(LEFT(TH!L3775,2)="15",LEFT(TH!M3775,2)="15"),TK!$E$7=TH!F3775),"x","")</f>
        <v/>
      </c>
      <c r="X3775" s="525" t="str">
        <f>IF(AND('341-CT'!$E$9=H3775,OR(LEFT(L3775,3)=$X$7,LEFT(M3775,3)=$X$7)),"x","")</f>
        <v/>
      </c>
      <c r="Y3775" s="525" t="str">
        <f>IF(OR(TH!L3775=TH!$Y$7,M3775=TH!$Y$7),"x","")</f>
        <v/>
      </c>
      <c r="Z3775" s="525" t="str">
        <f>IF(AND(B3775&lt;=NKC!$N$8,B3775&gt;=NKC!$M$8),"x","")</f>
        <v/>
      </c>
      <c r="AA3775" s="535"/>
      <c r="AB3775" s="536"/>
      <c r="AC3775" s="536"/>
    </row>
    <row r="3776" spans="1:30" s="503" customFormat="1" ht="15.75" customHeight="1">
      <c r="A3776" s="517" t="str">
        <f>IF(B3776&lt;&gt;"",IF(AND(B3776&gt;=_TM1,B3776&lt;=_TM2,OR(TH!L3776="1111",TH!M3776="1111")),TH!D3776,""),"")</f>
        <v/>
      </c>
      <c r="B3776" s="531">
        <f t="shared" ref="B3776:B3783" si="429">IF(C3776&lt;&gt;"",MONTH(C3776),"")</f>
        <v>9</v>
      </c>
      <c r="C3776" s="315">
        <f t="shared" ref="C3776:C3783" si="430">E3776</f>
        <v>42990</v>
      </c>
      <c r="D3776" s="544" t="s">
        <v>1181</v>
      </c>
      <c r="E3776" s="315">
        <v>42990</v>
      </c>
      <c r="F3776" s="249" t="s">
        <v>494</v>
      </c>
      <c r="G3776" s="314" t="s">
        <v>1682</v>
      </c>
      <c r="H3776" s="248" t="s">
        <v>1684</v>
      </c>
      <c r="I3776" s="307"/>
      <c r="J3776" s="307"/>
      <c r="K3776" s="532">
        <v>49885</v>
      </c>
      <c r="L3776" s="534" t="s">
        <v>223</v>
      </c>
      <c r="M3776" s="534" t="s">
        <v>259</v>
      </c>
      <c r="N3776" s="525" t="str">
        <f>IF(AND('331-CT'!$E$7=TH!H3776,OR(L3776="331",M3776="331")),"331",IF(AND(OR(L3776="131",M3776="131"),H3776='131-CT'!$E$7),"131",""))</f>
        <v/>
      </c>
      <c r="O3776" s="525" t="str">
        <f>IF(AND($B3776&gt;='111'!$N$11,$B3776&lt;='111'!$O$11,OR($L3776=$O$7,$M3776=$O$7)),"x","")</f>
        <v/>
      </c>
      <c r="P3776" s="525" t="str">
        <f>IF(AND($L3776=$O$7,$B3776&lt;'111'!$N$11),"x","")</f>
        <v/>
      </c>
      <c r="Q3776" s="525" t="str">
        <f>IF(AND($M3776=$O$7,$B3776&lt;'111'!$N$11),"x","")</f>
        <v/>
      </c>
      <c r="R3776" s="525" t="str">
        <f>IF(ISERROR(FIND('112'!$M$9,G3776,1)),"",IF((AND(FIND('112'!$M$9,G3776,1)&gt;=1,$B3776&gt;='112'!$N$8,$B3776&lt;='112'!$O$8,OR($L3776='112'!$I$6,$M3776='112'!$I$6))),"x",""))</f>
        <v/>
      </c>
      <c r="S3776" s="525" t="str">
        <f>IF(ISERROR(FIND('112'!$M$9,G3776,1)),"",IF((AND(LEFT(G3776,2)=LEFT('112'!$M$9,2),B3776&lt;'112'!$N$8,$L3776='112'!$I$6)),"x",""))</f>
        <v/>
      </c>
      <c r="T3776" s="525" t="str">
        <f>IF(ISERROR(FIND('112'!$M$9,G3776,1)),"",IF((AND(RIGHT(G3776,2)=RIGHT('112'!$M$9,2),B3776&lt;'112'!$N$8,$M3776='112'!$I$6)),"x",""))</f>
        <v/>
      </c>
      <c r="U3776" s="525" t="str">
        <f>IF(AND(B3776&gt;='IN-NX'!$P$3,B3776&lt;='IN-NX'!$Q$3,'IN-NX'!$D$7=D3776,OR(LEFT(L3776,2)="15",AND(LEFT(M3776,2)&lt;&gt;"15",LEFT(M3776,2)&lt;&gt;"33"))),"x","")</f>
        <v/>
      </c>
      <c r="V3776" s="525" t="str">
        <f>IF(AND(OR(LEFT(TH!L3776,2)="15",LEFT(TH!M3776,2)="15"),'152-CT'!$J$8=TH!F3776),"x","")</f>
        <v/>
      </c>
      <c r="W3776" s="525" t="str">
        <f>IF(AND(OR(LEFT(TH!L3776,2)="15",LEFT(TH!M3776,2)="15"),TK!$E$7=TH!F3776),"x","")</f>
        <v/>
      </c>
      <c r="X3776" s="525" t="str">
        <f>IF(AND('341-CT'!$E$9=H3776,OR(LEFT(L3776,3)=$X$7,LEFT(M3776,3)=$X$7)),"x","")</f>
        <v/>
      </c>
      <c r="Y3776" s="525" t="str">
        <f>IF(OR(TH!L3776=TH!$Y$7,M3776=TH!$Y$7),"x","")</f>
        <v/>
      </c>
      <c r="Z3776" s="525" t="str">
        <f>IF(AND(B3776&lt;=NKC!$N$8,B3776&gt;=NKC!$M$8),"x","")</f>
        <v/>
      </c>
      <c r="AA3776" s="535"/>
      <c r="AD3776" s="536"/>
    </row>
    <row r="3777" spans="1:30" s="503" customFormat="1" ht="15.75" customHeight="1">
      <c r="A3777" s="517" t="str">
        <f>IF(B3777&lt;&gt;"",IF(AND(B3777&gt;=_TM1,B3777&lt;=_TM2,OR(TH!L3777="1111",TH!M3777="1111")),TH!D3777,""),"")</f>
        <v/>
      </c>
      <c r="B3777" s="531">
        <f t="shared" si="429"/>
        <v>9</v>
      </c>
      <c r="C3777" s="315">
        <f t="shared" si="430"/>
        <v>42992</v>
      </c>
      <c r="D3777" s="544" t="s">
        <v>1181</v>
      </c>
      <c r="E3777" s="315">
        <v>42992</v>
      </c>
      <c r="F3777" s="250" t="s">
        <v>1130</v>
      </c>
      <c r="G3777" s="314" t="s">
        <v>1685</v>
      </c>
      <c r="H3777" s="473" t="s">
        <v>378</v>
      </c>
      <c r="I3777" s="307">
        <v>500</v>
      </c>
      <c r="J3777" s="307">
        <v>7140</v>
      </c>
      <c r="K3777" s="532">
        <f t="shared" si="428"/>
        <v>3570000</v>
      </c>
      <c r="L3777" s="534" t="s">
        <v>223</v>
      </c>
      <c r="M3777" s="534" t="s">
        <v>162</v>
      </c>
      <c r="N3777" s="525" t="str">
        <f>IF(AND('331-CT'!$E$7=TH!H3777,OR(L3777="331",M3777="331")),"331",IF(AND(OR(L3777="131",M3777="131"),H3777='131-CT'!$E$7),"131",""))</f>
        <v/>
      </c>
      <c r="O3777" s="525" t="str">
        <f>IF(AND($B3777&gt;='111'!$N$11,$B3777&lt;='111'!$O$11,OR($L3777=$O$7,$M3777=$O$7)),"x","")</f>
        <v/>
      </c>
      <c r="P3777" s="525" t="str">
        <f>IF(AND($L3777=$O$7,$B3777&lt;'111'!$N$11),"x","")</f>
        <v/>
      </c>
      <c r="Q3777" s="525" t="str">
        <f>IF(AND($M3777=$O$7,$B3777&lt;'111'!$N$11),"x","")</f>
        <v/>
      </c>
      <c r="R3777" s="525" t="str">
        <f>IF(ISERROR(FIND('112'!$M$9,G3777,1)),"",IF((AND(FIND('112'!$M$9,G3777,1)&gt;=1,$B3777&gt;='112'!$N$8,$B3777&lt;='112'!$O$8,OR($L3777='112'!$I$6,$M3777='112'!$I$6))),"x",""))</f>
        <v/>
      </c>
      <c r="S3777" s="525" t="str">
        <f>IF(ISERROR(FIND('112'!$M$9,G3777,1)),"",IF((AND(LEFT(G3777,2)=LEFT('112'!$M$9,2),B3777&lt;'112'!$N$8,$L3777='112'!$I$6)),"x",""))</f>
        <v/>
      </c>
      <c r="T3777" s="525" t="str">
        <f>IF(ISERROR(FIND('112'!$M$9,G3777,1)),"",IF((AND(RIGHT(G3777,2)=RIGHT('112'!$M$9,2),B3777&lt;'112'!$N$8,$M3777='112'!$I$6)),"x",""))</f>
        <v/>
      </c>
      <c r="U3777" s="525" t="str">
        <f>IF(AND(B3777&gt;='IN-NX'!$P$3,B3777&lt;='IN-NX'!$Q$3,'IN-NX'!$D$7=D3777,OR(LEFT(L3777,2)="15",AND(LEFT(M3777,2)&lt;&gt;"15",LEFT(M3777,2)&lt;&gt;"33"))),"x","")</f>
        <v/>
      </c>
      <c r="V3777" s="525" t="str">
        <f>IF(AND(OR(LEFT(TH!L3777,2)="15",LEFT(TH!M3777,2)="15"),'152-CT'!$J$8=TH!F3777),"x","")</f>
        <v/>
      </c>
      <c r="W3777" s="525" t="str">
        <f>IF(AND(OR(LEFT(TH!L3777,2)="15",LEFT(TH!M3777,2)="15"),TK!$E$7=TH!F3777),"x","")</f>
        <v/>
      </c>
      <c r="X3777" s="525" t="str">
        <f>IF(AND('341-CT'!$E$9=H3777,OR(LEFT(L3777,3)=$X$7,LEFT(M3777,3)=$X$7)),"x","")</f>
        <v/>
      </c>
      <c r="Y3777" s="525" t="str">
        <f>IF(OR(TH!L3777=TH!$Y$7,M3777=TH!$Y$7),"x","")</f>
        <v/>
      </c>
      <c r="Z3777" s="525" t="str">
        <f>IF(AND(B3777&lt;=NKC!$N$8,B3777&gt;=NKC!$M$8),"x","")</f>
        <v/>
      </c>
      <c r="AA3777" s="535"/>
      <c r="AB3777" s="536"/>
      <c r="AC3777" s="536" t="str">
        <f>VLOOKUP(F3777,NXT!$B$12:$B$686,1,0)</f>
        <v>Giấy tấm 70x120</v>
      </c>
      <c r="AD3777" s="536"/>
    </row>
    <row r="3778" spans="1:30" s="503" customFormat="1" ht="15.75" customHeight="1">
      <c r="A3778" s="517" t="str">
        <f>IF(B3778&lt;&gt;"",IF(AND(B3778&gt;=_TM1,B3778&lt;=_TM2,OR(TH!L3778="1111",TH!M3778="1111")),TH!D3778,""),"")</f>
        <v/>
      </c>
      <c r="B3778" s="531">
        <f t="shared" si="429"/>
        <v>9</v>
      </c>
      <c r="C3778" s="315">
        <f t="shared" si="430"/>
        <v>42992</v>
      </c>
      <c r="D3778" s="544" t="s">
        <v>1181</v>
      </c>
      <c r="E3778" s="315">
        <v>42992</v>
      </c>
      <c r="F3778" s="250" t="s">
        <v>560</v>
      </c>
      <c r="G3778" s="314" t="s">
        <v>1685</v>
      </c>
      <c r="H3778" s="473" t="s">
        <v>378</v>
      </c>
      <c r="I3778" s="307">
        <v>100</v>
      </c>
      <c r="J3778" s="307">
        <v>22440</v>
      </c>
      <c r="K3778" s="532">
        <f t="shared" si="428"/>
        <v>2244000</v>
      </c>
      <c r="L3778" s="534" t="s">
        <v>223</v>
      </c>
      <c r="M3778" s="534" t="s">
        <v>162</v>
      </c>
      <c r="N3778" s="525" t="str">
        <f>IF(AND('331-CT'!$E$7=TH!H3778,OR(L3778="331",M3778="331")),"331",IF(AND(OR(L3778="131",M3778="131"),H3778='131-CT'!$E$7),"131",""))</f>
        <v/>
      </c>
      <c r="O3778" s="525" t="str">
        <f>IF(AND($B3778&gt;='111'!$N$11,$B3778&lt;='111'!$O$11,OR($L3778=$O$7,$M3778=$O$7)),"x","")</f>
        <v/>
      </c>
      <c r="P3778" s="525" t="str">
        <f>IF(AND($L3778=$O$7,$B3778&lt;'111'!$N$11),"x","")</f>
        <v/>
      </c>
      <c r="Q3778" s="525" t="str">
        <f>IF(AND($M3778=$O$7,$B3778&lt;'111'!$N$11),"x","")</f>
        <v/>
      </c>
      <c r="R3778" s="525" t="str">
        <f>IF(ISERROR(FIND('112'!$M$9,G3778,1)),"",IF((AND(FIND('112'!$M$9,G3778,1)&gt;=1,$B3778&gt;='112'!$N$8,$B3778&lt;='112'!$O$8,OR($L3778='112'!$I$6,$M3778='112'!$I$6))),"x",""))</f>
        <v/>
      </c>
      <c r="S3778" s="525" t="str">
        <f>IF(ISERROR(FIND('112'!$M$9,G3778,1)),"",IF((AND(LEFT(G3778,2)=LEFT('112'!$M$9,2),B3778&lt;'112'!$N$8,$L3778='112'!$I$6)),"x",""))</f>
        <v/>
      </c>
      <c r="T3778" s="525" t="str">
        <f>IF(ISERROR(FIND('112'!$M$9,G3778,1)),"",IF((AND(RIGHT(G3778,2)=RIGHT('112'!$M$9,2),B3778&lt;'112'!$N$8,$M3778='112'!$I$6)),"x",""))</f>
        <v/>
      </c>
      <c r="U3778" s="525" t="str">
        <f>IF(AND(B3778&gt;='IN-NX'!$P$3,B3778&lt;='IN-NX'!$Q$3,'IN-NX'!$D$7=D3778,OR(LEFT(L3778,2)="15",AND(LEFT(M3778,2)&lt;&gt;"15",LEFT(M3778,2)&lt;&gt;"33"))),"x","")</f>
        <v/>
      </c>
      <c r="V3778" s="525" t="str">
        <f>IF(AND(OR(LEFT(TH!L3778,2)="15",LEFT(TH!M3778,2)="15"),'152-CT'!$J$8=TH!F3778),"x","")</f>
        <v/>
      </c>
      <c r="W3778" s="525" t="str">
        <f>IF(AND(OR(LEFT(TH!L3778,2)="15",LEFT(TH!M3778,2)="15"),TK!$E$7=TH!F3778),"x","")</f>
        <v/>
      </c>
      <c r="X3778" s="525" t="str">
        <f>IF(AND('341-CT'!$E$9=H3778,OR(LEFT(L3778,3)=$X$7,LEFT(M3778,3)=$X$7)),"x","")</f>
        <v/>
      </c>
      <c r="Y3778" s="525" t="str">
        <f>IF(OR(TH!L3778=TH!$Y$7,M3778=TH!$Y$7),"x","")</f>
        <v/>
      </c>
      <c r="Z3778" s="525" t="str">
        <f>IF(AND(B3778&lt;=NKC!$N$8,B3778&gt;=NKC!$M$8),"x","")</f>
        <v/>
      </c>
      <c r="AA3778" s="535"/>
      <c r="AB3778" s="536"/>
      <c r="AC3778" s="536" t="str">
        <f>VLOOKUP(F3778,NXT!$B$12:$B$686,1,0)</f>
        <v>Giấy tấm 120x240</v>
      </c>
    </row>
    <row r="3779" spans="1:30" s="503" customFormat="1" ht="15.75" customHeight="1">
      <c r="A3779" s="517" t="str">
        <f>IF(B3779&lt;&gt;"",IF(AND(B3779&gt;=_TM1,B3779&lt;=_TM2,OR(TH!L3779="1111",TH!M3779="1111")),TH!D3779,""),"")</f>
        <v/>
      </c>
      <c r="B3779" s="531">
        <f t="shared" si="429"/>
        <v>9</v>
      </c>
      <c r="C3779" s="315">
        <f t="shared" si="430"/>
        <v>42992</v>
      </c>
      <c r="D3779" s="544" t="s">
        <v>1181</v>
      </c>
      <c r="E3779" s="315">
        <v>42992</v>
      </c>
      <c r="F3779" s="250" t="s">
        <v>1320</v>
      </c>
      <c r="G3779" s="314" t="s">
        <v>1685</v>
      </c>
      <c r="H3779" s="473" t="s">
        <v>378</v>
      </c>
      <c r="I3779" s="307"/>
      <c r="J3779" s="307"/>
      <c r="K3779" s="532">
        <v>581400</v>
      </c>
      <c r="L3779" s="534" t="s">
        <v>223</v>
      </c>
      <c r="M3779" s="534" t="s">
        <v>259</v>
      </c>
      <c r="N3779" s="525" t="str">
        <f>IF(AND('331-CT'!$E$7=TH!H3779,OR(L3779="331",M3779="331")),"331",IF(AND(OR(L3779="131",M3779="131"),H3779='131-CT'!$E$7),"131",""))</f>
        <v/>
      </c>
      <c r="O3779" s="525" t="str">
        <f>IF(AND($B3779&gt;='111'!$N$11,$B3779&lt;='111'!$O$11,OR($L3779=$O$7,$M3779=$O$7)),"x","")</f>
        <v/>
      </c>
      <c r="P3779" s="525" t="str">
        <f>IF(AND($L3779=$O$7,$B3779&lt;'111'!$N$11),"x","")</f>
        <v/>
      </c>
      <c r="Q3779" s="525" t="str">
        <f>IF(AND($M3779=$O$7,$B3779&lt;'111'!$N$11),"x","")</f>
        <v/>
      </c>
      <c r="R3779" s="525" t="str">
        <f>IF(ISERROR(FIND('112'!$M$9,G3779,1)),"",IF((AND(FIND('112'!$M$9,G3779,1)&gt;=1,$B3779&gt;='112'!$N$8,$B3779&lt;='112'!$O$8,OR($L3779='112'!$I$6,$M3779='112'!$I$6))),"x",""))</f>
        <v/>
      </c>
      <c r="S3779" s="525" t="str">
        <f>IF(ISERROR(FIND('112'!$M$9,G3779,1)),"",IF((AND(LEFT(G3779,2)=LEFT('112'!$M$9,2),B3779&lt;'112'!$N$8,$L3779='112'!$I$6)),"x",""))</f>
        <v/>
      </c>
      <c r="T3779" s="525" t="str">
        <f>IF(ISERROR(FIND('112'!$M$9,G3779,1)),"",IF((AND(RIGHT(G3779,2)=RIGHT('112'!$M$9,2),B3779&lt;'112'!$N$8,$M3779='112'!$I$6)),"x",""))</f>
        <v/>
      </c>
      <c r="U3779" s="525" t="str">
        <f>IF(AND(B3779&gt;='IN-NX'!$P$3,B3779&lt;='IN-NX'!$Q$3,'IN-NX'!$D$7=D3779,OR(LEFT(L3779,2)="15",AND(LEFT(M3779,2)&lt;&gt;"15",LEFT(M3779,2)&lt;&gt;"33"))),"x","")</f>
        <v/>
      </c>
      <c r="V3779" s="525" t="str">
        <f>IF(AND(OR(LEFT(TH!L3779,2)="15",LEFT(TH!M3779,2)="15"),'152-CT'!$J$8=TH!F3779),"x","")</f>
        <v/>
      </c>
      <c r="W3779" s="525" t="str">
        <f>IF(AND(OR(LEFT(TH!L3779,2)="15",LEFT(TH!M3779,2)="15"),TK!$E$7=TH!F3779),"x","")</f>
        <v/>
      </c>
      <c r="X3779" s="525" t="str">
        <f>IF(AND('341-CT'!$E$9=H3779,OR(LEFT(L3779,3)=$X$7,LEFT(M3779,3)=$X$7)),"x","")</f>
        <v/>
      </c>
      <c r="Y3779" s="525" t="str">
        <f>IF(OR(TH!L3779=TH!$Y$7,M3779=TH!$Y$7),"x","")</f>
        <v/>
      </c>
      <c r="Z3779" s="525" t="str">
        <f>IF(AND(B3779&lt;=NKC!$N$8,B3779&gt;=NKC!$M$8),"x","")</f>
        <v/>
      </c>
      <c r="AA3779" s="535"/>
      <c r="AD3779" s="536"/>
    </row>
    <row r="3780" spans="1:30" s="503" customFormat="1" ht="15.75" customHeight="1">
      <c r="A3780" s="517" t="str">
        <f>IF(B3780&lt;&gt;"",IF(AND(B3780&gt;=_TM1,B3780&lt;=_TM2,OR(TH!L3780="1111",TH!M3780="1111")),TH!D3780,""),"")</f>
        <v/>
      </c>
      <c r="B3780" s="531">
        <f t="shared" si="429"/>
        <v>9</v>
      </c>
      <c r="C3780" s="315">
        <f t="shared" si="430"/>
        <v>42992</v>
      </c>
      <c r="D3780" s="544" t="s">
        <v>1181</v>
      </c>
      <c r="E3780" s="315">
        <v>42992</v>
      </c>
      <c r="F3780" s="249" t="s">
        <v>1217</v>
      </c>
      <c r="G3780" s="314" t="s">
        <v>1686</v>
      </c>
      <c r="H3780" s="248" t="s">
        <v>1218</v>
      </c>
      <c r="I3780" s="307">
        <v>3045</v>
      </c>
      <c r="J3780" s="307">
        <v>5900</v>
      </c>
      <c r="K3780" s="532">
        <f>ROUND(I3780*J3780,0)</f>
        <v>17965500</v>
      </c>
      <c r="L3780" s="534" t="s">
        <v>223</v>
      </c>
      <c r="M3780" s="534" t="s">
        <v>162</v>
      </c>
      <c r="N3780" s="525" t="str">
        <f>IF(AND('331-CT'!$E$7=TH!H3780,OR(L3780="331",M3780="331")),"331",IF(AND(OR(L3780="131",M3780="131"),H3780='131-CT'!$E$7),"131",""))</f>
        <v/>
      </c>
      <c r="O3780" s="525" t="str">
        <f>IF(AND($B3780&gt;='111'!$N$11,$B3780&lt;='111'!$O$11,OR($L3780=$O$7,$M3780=$O$7)),"x","")</f>
        <v/>
      </c>
      <c r="P3780" s="525" t="str">
        <f>IF(AND($L3780=$O$7,$B3780&lt;'111'!$N$11),"x","")</f>
        <v/>
      </c>
      <c r="Q3780" s="525" t="str">
        <f>IF(AND($M3780=$O$7,$B3780&lt;'111'!$N$11),"x","")</f>
        <v/>
      </c>
      <c r="R3780" s="525" t="str">
        <f>IF(ISERROR(FIND('112'!$M$9,G3780,1)),"",IF((AND(FIND('112'!$M$9,G3780,1)&gt;=1,$B3780&gt;='112'!$N$8,$B3780&lt;='112'!$O$8,OR($L3780='112'!$I$6,$M3780='112'!$I$6))),"x",""))</f>
        <v/>
      </c>
      <c r="S3780" s="525" t="str">
        <f>IF(ISERROR(FIND('112'!$M$9,G3780,1)),"",IF((AND(LEFT(G3780,2)=LEFT('112'!$M$9,2),B3780&lt;'112'!$N$8,$L3780='112'!$I$6)),"x",""))</f>
        <v/>
      </c>
      <c r="T3780" s="525" t="str">
        <f>IF(ISERROR(FIND('112'!$M$9,G3780,1)),"",IF((AND(RIGHT(G3780,2)=RIGHT('112'!$M$9,2),B3780&lt;'112'!$N$8,$M3780='112'!$I$6)),"x",""))</f>
        <v/>
      </c>
      <c r="U3780" s="525" t="str">
        <f>IF(AND(B3780&gt;='IN-NX'!$P$3,B3780&lt;='IN-NX'!$Q$3,'IN-NX'!$D$7=D3780,OR(LEFT(L3780,2)="15",AND(LEFT(M3780,2)&lt;&gt;"15",LEFT(M3780,2)&lt;&gt;"33"))),"x","")</f>
        <v/>
      </c>
      <c r="V3780" s="525" t="str">
        <f>IF(AND(OR(LEFT(TH!L3780,2)="15",LEFT(TH!M3780,2)="15"),'152-CT'!$J$8=TH!F3780),"x","")</f>
        <v/>
      </c>
      <c r="W3780" s="525" t="str">
        <f>IF(AND(OR(LEFT(TH!L3780,2)="15",LEFT(TH!M3780,2)="15"),TK!$E$7=TH!F3780),"x","")</f>
        <v/>
      </c>
      <c r="X3780" s="525" t="str">
        <f>IF(AND('341-CT'!$E$9=H3780,OR(LEFT(L3780,3)=$X$7,LEFT(M3780,3)=$X$7)),"x","")</f>
        <v/>
      </c>
      <c r="Y3780" s="525" t="str">
        <f>IF(OR(TH!L3780=TH!$Y$7,M3780=TH!$Y$7),"x","")</f>
        <v/>
      </c>
      <c r="Z3780" s="525" t="str">
        <f>IF(AND(B3780&lt;=NKC!$N$8,B3780&gt;=NKC!$M$8),"x","")</f>
        <v/>
      </c>
      <c r="AA3780" s="535"/>
      <c r="AC3780" s="536" t="str">
        <f>VLOOKUP(F3780,NXT!$B$12:$B$686,1,0)</f>
        <v>Thùng 50x29.5x19</v>
      </c>
    </row>
    <row r="3781" spans="1:30" s="503" customFormat="1" ht="15.75" customHeight="1">
      <c r="A3781" s="517" t="str">
        <f>IF(B3781&lt;&gt;"",IF(AND(B3781&gt;=_TM1,B3781&lt;=_TM2,OR(TH!L3781="1111",TH!M3781="1111")),TH!D3781,""),"")</f>
        <v/>
      </c>
      <c r="B3781" s="531">
        <f t="shared" si="429"/>
        <v>9</v>
      </c>
      <c r="C3781" s="315">
        <f t="shared" si="430"/>
        <v>42992</v>
      </c>
      <c r="D3781" s="544" t="s">
        <v>1181</v>
      </c>
      <c r="E3781" s="315">
        <v>42992</v>
      </c>
      <c r="F3781" s="249" t="s">
        <v>494</v>
      </c>
      <c r="G3781" s="314" t="s">
        <v>1686</v>
      </c>
      <c r="H3781" s="248" t="s">
        <v>1218</v>
      </c>
      <c r="I3781" s="307"/>
      <c r="J3781" s="307"/>
      <c r="K3781" s="532">
        <v>1796550</v>
      </c>
      <c r="L3781" s="534" t="s">
        <v>223</v>
      </c>
      <c r="M3781" s="534" t="s">
        <v>259</v>
      </c>
      <c r="N3781" s="525" t="str">
        <f>IF(AND('331-CT'!$E$7=TH!H3781,OR(L3781="331",M3781="331")),"331",IF(AND(OR(L3781="131",M3781="131"),H3781='131-CT'!$E$7),"131",""))</f>
        <v/>
      </c>
      <c r="O3781" s="525" t="str">
        <f>IF(AND($B3781&gt;='111'!$N$11,$B3781&lt;='111'!$O$11,OR($L3781=$O$7,$M3781=$O$7)),"x","")</f>
        <v/>
      </c>
      <c r="P3781" s="525" t="str">
        <f>IF(AND($L3781=$O$7,$B3781&lt;'111'!$N$11),"x","")</f>
        <v/>
      </c>
      <c r="Q3781" s="525" t="str">
        <f>IF(AND($M3781=$O$7,$B3781&lt;'111'!$N$11),"x","")</f>
        <v/>
      </c>
      <c r="R3781" s="525" t="str">
        <f>IF(ISERROR(FIND('112'!$M$9,G3781,1)),"",IF((AND(FIND('112'!$M$9,G3781,1)&gt;=1,$B3781&gt;='112'!$N$8,$B3781&lt;='112'!$O$8,OR($L3781='112'!$I$6,$M3781='112'!$I$6))),"x",""))</f>
        <v/>
      </c>
      <c r="S3781" s="525" t="str">
        <f>IF(ISERROR(FIND('112'!$M$9,G3781,1)),"",IF((AND(LEFT(G3781,2)=LEFT('112'!$M$9,2),B3781&lt;'112'!$N$8,$L3781='112'!$I$6)),"x",""))</f>
        <v/>
      </c>
      <c r="T3781" s="525" t="str">
        <f>IF(ISERROR(FIND('112'!$M$9,G3781,1)),"",IF((AND(RIGHT(G3781,2)=RIGHT('112'!$M$9,2),B3781&lt;'112'!$N$8,$M3781='112'!$I$6)),"x",""))</f>
        <v/>
      </c>
      <c r="U3781" s="525" t="str">
        <f>IF(AND(B3781&gt;='IN-NX'!$P$3,B3781&lt;='IN-NX'!$Q$3,'IN-NX'!$D$7=D3781,OR(LEFT(L3781,2)="15",AND(LEFT(M3781,2)&lt;&gt;"15",LEFT(M3781,2)&lt;&gt;"33"))),"x","")</f>
        <v/>
      </c>
      <c r="V3781" s="525" t="str">
        <f>IF(AND(OR(LEFT(TH!L3781,2)="15",LEFT(TH!M3781,2)="15"),'152-CT'!$J$8=TH!F3781),"x","")</f>
        <v/>
      </c>
      <c r="W3781" s="525" t="str">
        <f>IF(AND(OR(LEFT(TH!L3781,2)="15",LEFT(TH!M3781,2)="15"),TK!$E$7=TH!F3781),"x","")</f>
        <v/>
      </c>
      <c r="X3781" s="525" t="str">
        <f>IF(AND('341-CT'!$E$9=H3781,OR(LEFT(L3781,3)=$X$7,LEFT(M3781,3)=$X$7)),"x","")</f>
        <v/>
      </c>
      <c r="Y3781" s="525" t="str">
        <f>IF(OR(TH!L3781=TH!$Y$7,M3781=TH!$Y$7),"x","")</f>
        <v/>
      </c>
      <c r="Z3781" s="525" t="str">
        <f>IF(AND(B3781&lt;=NKC!$N$8,B3781&gt;=NKC!$M$8),"x","")</f>
        <v/>
      </c>
      <c r="AA3781" s="535"/>
      <c r="AD3781" s="536"/>
    </row>
    <row r="3782" spans="1:30" s="503" customFormat="1" ht="15.75" customHeight="1">
      <c r="A3782" s="517" t="str">
        <f>IF(B3782&lt;&gt;"",IF(AND(B3782&gt;=_TM1,B3782&lt;=_TM2,OR(TH!L3782="1111",TH!M3782="1111")),TH!D3782,""),"")</f>
        <v/>
      </c>
      <c r="B3782" s="531">
        <f t="shared" si="429"/>
        <v>9</v>
      </c>
      <c r="C3782" s="315">
        <f t="shared" si="430"/>
        <v>42994</v>
      </c>
      <c r="D3782" s="544" t="s">
        <v>1181</v>
      </c>
      <c r="E3782" s="315">
        <v>42994</v>
      </c>
      <c r="F3782" s="249" t="s">
        <v>1217</v>
      </c>
      <c r="G3782" s="314" t="s">
        <v>1687</v>
      </c>
      <c r="H3782" s="248" t="s">
        <v>1218</v>
      </c>
      <c r="I3782" s="307">
        <v>3045</v>
      </c>
      <c r="J3782" s="307">
        <v>5900</v>
      </c>
      <c r="K3782" s="532">
        <f>ROUND(I3782*J3782,0)</f>
        <v>17965500</v>
      </c>
      <c r="L3782" s="534" t="s">
        <v>223</v>
      </c>
      <c r="M3782" s="534" t="s">
        <v>162</v>
      </c>
      <c r="N3782" s="525" t="str">
        <f>IF(AND('331-CT'!$E$7=TH!H3782,OR(L3782="331",M3782="331")),"331",IF(AND(OR(L3782="131",M3782="131"),H3782='131-CT'!$E$7),"131",""))</f>
        <v/>
      </c>
      <c r="O3782" s="525" t="str">
        <f>IF(AND($B3782&gt;='111'!$N$11,$B3782&lt;='111'!$O$11,OR($L3782=$O$7,$M3782=$O$7)),"x","")</f>
        <v/>
      </c>
      <c r="P3782" s="525" t="str">
        <f>IF(AND($L3782=$O$7,$B3782&lt;'111'!$N$11),"x","")</f>
        <v/>
      </c>
      <c r="Q3782" s="525" t="str">
        <f>IF(AND($M3782=$O$7,$B3782&lt;'111'!$N$11),"x","")</f>
        <v/>
      </c>
      <c r="R3782" s="525" t="str">
        <f>IF(ISERROR(FIND('112'!$M$9,G3782,1)),"",IF((AND(FIND('112'!$M$9,G3782,1)&gt;=1,$B3782&gt;='112'!$N$8,$B3782&lt;='112'!$O$8,OR($L3782='112'!$I$6,$M3782='112'!$I$6))),"x",""))</f>
        <v/>
      </c>
      <c r="S3782" s="525" t="str">
        <f>IF(ISERROR(FIND('112'!$M$9,G3782,1)),"",IF((AND(LEFT(G3782,2)=LEFT('112'!$M$9,2),B3782&lt;'112'!$N$8,$L3782='112'!$I$6)),"x",""))</f>
        <v/>
      </c>
      <c r="T3782" s="525" t="str">
        <f>IF(ISERROR(FIND('112'!$M$9,G3782,1)),"",IF((AND(RIGHT(G3782,2)=RIGHT('112'!$M$9,2),B3782&lt;'112'!$N$8,$M3782='112'!$I$6)),"x",""))</f>
        <v/>
      </c>
      <c r="U3782" s="525" t="str">
        <f>IF(AND(B3782&gt;='IN-NX'!$P$3,B3782&lt;='IN-NX'!$Q$3,'IN-NX'!$D$7=D3782,OR(LEFT(L3782,2)="15",AND(LEFT(M3782,2)&lt;&gt;"15",LEFT(M3782,2)&lt;&gt;"33"))),"x","")</f>
        <v/>
      </c>
      <c r="V3782" s="525" t="str">
        <f>IF(AND(OR(LEFT(TH!L3782,2)="15",LEFT(TH!M3782,2)="15"),'152-CT'!$J$8=TH!F3782),"x","")</f>
        <v/>
      </c>
      <c r="W3782" s="525" t="str">
        <f>IF(AND(OR(LEFT(TH!L3782,2)="15",LEFT(TH!M3782,2)="15"),TK!$E$7=TH!F3782),"x","")</f>
        <v/>
      </c>
      <c r="X3782" s="525" t="str">
        <f>IF(AND('341-CT'!$E$9=H3782,OR(LEFT(L3782,3)=$X$7,LEFT(M3782,3)=$X$7)),"x","")</f>
        <v/>
      </c>
      <c r="Y3782" s="525" t="str">
        <f>IF(OR(TH!L3782=TH!$Y$7,M3782=TH!$Y$7),"x","")</f>
        <v/>
      </c>
      <c r="Z3782" s="525" t="str">
        <f>IF(AND(B3782&lt;=NKC!$N$8,B3782&gt;=NKC!$M$8),"x","")</f>
        <v/>
      </c>
      <c r="AA3782" s="535"/>
      <c r="AC3782" s="536" t="str">
        <f>VLOOKUP(F3782,NXT!$B$12:$B$686,1,0)</f>
        <v>Thùng 50x29.5x19</v>
      </c>
    </row>
    <row r="3783" spans="1:30" s="503" customFormat="1" ht="15.75" customHeight="1">
      <c r="A3783" s="517" t="str">
        <f>IF(B3783&lt;&gt;"",IF(AND(B3783&gt;=_TM1,B3783&lt;=_TM2,OR(TH!L3783="1111",TH!M3783="1111")),TH!D3783,""),"")</f>
        <v/>
      </c>
      <c r="B3783" s="531">
        <f t="shared" si="429"/>
        <v>9</v>
      </c>
      <c r="C3783" s="315">
        <f t="shared" si="430"/>
        <v>42994</v>
      </c>
      <c r="D3783" s="544" t="s">
        <v>1181</v>
      </c>
      <c r="E3783" s="315">
        <v>42994</v>
      </c>
      <c r="F3783" s="249" t="s">
        <v>494</v>
      </c>
      <c r="G3783" s="314" t="s">
        <v>1687</v>
      </c>
      <c r="H3783" s="248" t="s">
        <v>1218</v>
      </c>
      <c r="I3783" s="307"/>
      <c r="J3783" s="307"/>
      <c r="K3783" s="532">
        <v>1796550</v>
      </c>
      <c r="L3783" s="534" t="s">
        <v>223</v>
      </c>
      <c r="M3783" s="534" t="s">
        <v>259</v>
      </c>
      <c r="N3783" s="525" t="str">
        <f>IF(AND('331-CT'!$E$7=TH!H3783,OR(L3783="331",M3783="331")),"331",IF(AND(OR(L3783="131",M3783="131"),H3783='131-CT'!$E$7),"131",""))</f>
        <v/>
      </c>
      <c r="O3783" s="525" t="str">
        <f>IF(AND($B3783&gt;='111'!$N$11,$B3783&lt;='111'!$O$11,OR($L3783=$O$7,$M3783=$O$7)),"x","")</f>
        <v/>
      </c>
      <c r="P3783" s="525" t="str">
        <f>IF(AND($L3783=$O$7,$B3783&lt;'111'!$N$11),"x","")</f>
        <v/>
      </c>
      <c r="Q3783" s="525" t="str">
        <f>IF(AND($M3783=$O$7,$B3783&lt;'111'!$N$11),"x","")</f>
        <v/>
      </c>
      <c r="R3783" s="525" t="str">
        <f>IF(ISERROR(FIND('112'!$M$9,G3783,1)),"",IF((AND(FIND('112'!$M$9,G3783,1)&gt;=1,$B3783&gt;='112'!$N$8,$B3783&lt;='112'!$O$8,OR($L3783='112'!$I$6,$M3783='112'!$I$6))),"x",""))</f>
        <v/>
      </c>
      <c r="S3783" s="525" t="str">
        <f>IF(ISERROR(FIND('112'!$M$9,G3783,1)),"",IF((AND(LEFT(G3783,2)=LEFT('112'!$M$9,2),B3783&lt;'112'!$N$8,$L3783='112'!$I$6)),"x",""))</f>
        <v/>
      </c>
      <c r="T3783" s="525" t="str">
        <f>IF(ISERROR(FIND('112'!$M$9,G3783,1)),"",IF((AND(RIGHT(G3783,2)=RIGHT('112'!$M$9,2),B3783&lt;'112'!$N$8,$M3783='112'!$I$6)),"x",""))</f>
        <v/>
      </c>
      <c r="U3783" s="525" t="str">
        <f>IF(AND(B3783&gt;='IN-NX'!$P$3,B3783&lt;='IN-NX'!$Q$3,'IN-NX'!$D$7=D3783,OR(LEFT(L3783,2)="15",AND(LEFT(M3783,2)&lt;&gt;"15",LEFT(M3783,2)&lt;&gt;"33"))),"x","")</f>
        <v/>
      </c>
      <c r="V3783" s="525" t="str">
        <f>IF(AND(OR(LEFT(TH!L3783,2)="15",LEFT(TH!M3783,2)="15"),'152-CT'!$J$8=TH!F3783),"x","")</f>
        <v/>
      </c>
      <c r="W3783" s="525" t="str">
        <f>IF(AND(OR(LEFT(TH!L3783,2)="15",LEFT(TH!M3783,2)="15"),TK!$E$7=TH!F3783),"x","")</f>
        <v/>
      </c>
      <c r="X3783" s="525" t="str">
        <f>IF(AND('341-CT'!$E$9=H3783,OR(LEFT(L3783,3)=$X$7,LEFT(M3783,3)=$X$7)),"x","")</f>
        <v/>
      </c>
      <c r="Y3783" s="525" t="str">
        <f>IF(OR(TH!L3783=TH!$Y$7,M3783=TH!$Y$7),"x","")</f>
        <v/>
      </c>
      <c r="Z3783" s="525" t="str">
        <f>IF(AND(B3783&lt;=NKC!$N$8,B3783&gt;=NKC!$M$8),"x","")</f>
        <v/>
      </c>
      <c r="AA3783" s="535"/>
      <c r="AD3783" s="536"/>
    </row>
    <row r="3784" spans="1:30" s="503" customFormat="1" ht="15.75" customHeight="1">
      <c r="A3784" s="517" t="str">
        <f>IF(B3784&lt;&gt;"",IF(AND(B3784&gt;=_TM1,B3784&lt;=_TM2,OR(TH!L3784="1111",TH!M3784="1111")),TH!D3784,""),"")</f>
        <v/>
      </c>
      <c r="B3784" s="531">
        <f t="shared" ref="B3784:B3791" si="431">IF(C3784&lt;&gt;"",MONTH(C3784),"")</f>
        <v>9</v>
      </c>
      <c r="C3784" s="315">
        <f t="shared" ref="C3784:C3791" si="432">E3784</f>
        <v>42999</v>
      </c>
      <c r="D3784" s="544" t="s">
        <v>1181</v>
      </c>
      <c r="E3784" s="315">
        <v>42999</v>
      </c>
      <c r="F3784" s="249" t="s">
        <v>1217</v>
      </c>
      <c r="G3784" s="314" t="s">
        <v>1688</v>
      </c>
      <c r="H3784" s="248" t="s">
        <v>1218</v>
      </c>
      <c r="I3784" s="307">
        <v>3045</v>
      </c>
      <c r="J3784" s="307">
        <v>5900</v>
      </c>
      <c r="K3784" s="532">
        <f>ROUND(I3784*J3784,0)</f>
        <v>17965500</v>
      </c>
      <c r="L3784" s="534" t="s">
        <v>223</v>
      </c>
      <c r="M3784" s="534" t="s">
        <v>162</v>
      </c>
      <c r="N3784" s="525" t="str">
        <f>IF(AND('331-CT'!$E$7=TH!H3784,OR(L3784="331",M3784="331")),"331",IF(AND(OR(L3784="131",M3784="131"),H3784='131-CT'!$E$7),"131",""))</f>
        <v/>
      </c>
      <c r="O3784" s="525" t="str">
        <f>IF(AND($B3784&gt;='111'!$N$11,$B3784&lt;='111'!$O$11,OR($L3784=$O$7,$M3784=$O$7)),"x","")</f>
        <v/>
      </c>
      <c r="P3784" s="525" t="str">
        <f>IF(AND($L3784=$O$7,$B3784&lt;'111'!$N$11),"x","")</f>
        <v/>
      </c>
      <c r="Q3784" s="525" t="str">
        <f>IF(AND($M3784=$O$7,$B3784&lt;'111'!$N$11),"x","")</f>
        <v/>
      </c>
      <c r="R3784" s="525" t="str">
        <f>IF(ISERROR(FIND('112'!$M$9,G3784,1)),"",IF((AND(FIND('112'!$M$9,G3784,1)&gt;=1,$B3784&gt;='112'!$N$8,$B3784&lt;='112'!$O$8,OR($L3784='112'!$I$6,$M3784='112'!$I$6))),"x",""))</f>
        <v/>
      </c>
      <c r="S3784" s="525" t="str">
        <f>IF(ISERROR(FIND('112'!$M$9,G3784,1)),"",IF((AND(LEFT(G3784,2)=LEFT('112'!$M$9,2),B3784&lt;'112'!$N$8,$L3784='112'!$I$6)),"x",""))</f>
        <v/>
      </c>
      <c r="T3784" s="525" t="str">
        <f>IF(ISERROR(FIND('112'!$M$9,G3784,1)),"",IF((AND(RIGHT(G3784,2)=RIGHT('112'!$M$9,2),B3784&lt;'112'!$N$8,$M3784='112'!$I$6)),"x",""))</f>
        <v/>
      </c>
      <c r="U3784" s="525" t="str">
        <f>IF(AND(B3784&gt;='IN-NX'!$P$3,B3784&lt;='IN-NX'!$Q$3,'IN-NX'!$D$7=D3784,OR(LEFT(L3784,2)="15",AND(LEFT(M3784,2)&lt;&gt;"15",LEFT(M3784,2)&lt;&gt;"33"))),"x","")</f>
        <v/>
      </c>
      <c r="V3784" s="525" t="str">
        <f>IF(AND(OR(LEFT(TH!L3784,2)="15",LEFT(TH!M3784,2)="15"),'152-CT'!$J$8=TH!F3784),"x","")</f>
        <v/>
      </c>
      <c r="W3784" s="525" t="str">
        <f>IF(AND(OR(LEFT(TH!L3784,2)="15",LEFT(TH!M3784,2)="15"),TK!$E$7=TH!F3784),"x","")</f>
        <v/>
      </c>
      <c r="X3784" s="525" t="str">
        <f>IF(AND('341-CT'!$E$9=H3784,OR(LEFT(L3784,3)=$X$7,LEFT(M3784,3)=$X$7)),"x","")</f>
        <v/>
      </c>
      <c r="Y3784" s="525" t="str">
        <f>IF(OR(TH!L3784=TH!$Y$7,M3784=TH!$Y$7),"x","")</f>
        <v/>
      </c>
      <c r="Z3784" s="525" t="str">
        <f>IF(AND(B3784&lt;=NKC!$N$8,B3784&gt;=NKC!$M$8),"x","")</f>
        <v/>
      </c>
      <c r="AA3784" s="535"/>
      <c r="AC3784" s="536" t="str">
        <f>VLOOKUP(F3784,NXT!$B$12:$B$686,1,0)</f>
        <v>Thùng 50x29.5x19</v>
      </c>
    </row>
    <row r="3785" spans="1:30" s="503" customFormat="1" ht="15.75" customHeight="1">
      <c r="A3785" s="517" t="str">
        <f>IF(B3785&lt;&gt;"",IF(AND(B3785&gt;=_TM1,B3785&lt;=_TM2,OR(TH!L3785="1111",TH!M3785="1111")),TH!D3785,""),"")</f>
        <v/>
      </c>
      <c r="B3785" s="531">
        <f t="shared" si="431"/>
        <v>9</v>
      </c>
      <c r="C3785" s="315">
        <f t="shared" si="432"/>
        <v>42999</v>
      </c>
      <c r="D3785" s="544" t="s">
        <v>1181</v>
      </c>
      <c r="E3785" s="315">
        <v>42999</v>
      </c>
      <c r="F3785" s="249" t="s">
        <v>494</v>
      </c>
      <c r="G3785" s="314" t="s">
        <v>1688</v>
      </c>
      <c r="H3785" s="248" t="s">
        <v>1218</v>
      </c>
      <c r="I3785" s="307"/>
      <c r="J3785" s="307"/>
      <c r="K3785" s="532">
        <v>1796550</v>
      </c>
      <c r="L3785" s="534" t="s">
        <v>223</v>
      </c>
      <c r="M3785" s="534" t="s">
        <v>259</v>
      </c>
      <c r="N3785" s="525" t="str">
        <f>IF(AND('331-CT'!$E$7=TH!H3785,OR(L3785="331",M3785="331")),"331",IF(AND(OR(L3785="131",M3785="131"),H3785='131-CT'!$E$7),"131",""))</f>
        <v/>
      </c>
      <c r="O3785" s="525" t="str">
        <f>IF(AND($B3785&gt;='111'!$N$11,$B3785&lt;='111'!$O$11,OR($L3785=$O$7,$M3785=$O$7)),"x","")</f>
        <v/>
      </c>
      <c r="P3785" s="525" t="str">
        <f>IF(AND($L3785=$O$7,$B3785&lt;'111'!$N$11),"x","")</f>
        <v/>
      </c>
      <c r="Q3785" s="525" t="str">
        <f>IF(AND($M3785=$O$7,$B3785&lt;'111'!$N$11),"x","")</f>
        <v/>
      </c>
      <c r="R3785" s="525" t="str">
        <f>IF(ISERROR(FIND('112'!$M$9,G3785,1)),"",IF((AND(FIND('112'!$M$9,G3785,1)&gt;=1,$B3785&gt;='112'!$N$8,$B3785&lt;='112'!$O$8,OR($L3785='112'!$I$6,$M3785='112'!$I$6))),"x",""))</f>
        <v/>
      </c>
      <c r="S3785" s="525" t="str">
        <f>IF(ISERROR(FIND('112'!$M$9,G3785,1)),"",IF((AND(LEFT(G3785,2)=LEFT('112'!$M$9,2),B3785&lt;'112'!$N$8,$L3785='112'!$I$6)),"x",""))</f>
        <v/>
      </c>
      <c r="T3785" s="525" t="str">
        <f>IF(ISERROR(FIND('112'!$M$9,G3785,1)),"",IF((AND(RIGHT(G3785,2)=RIGHT('112'!$M$9,2),B3785&lt;'112'!$N$8,$M3785='112'!$I$6)),"x",""))</f>
        <v/>
      </c>
      <c r="U3785" s="525" t="str">
        <f>IF(AND(B3785&gt;='IN-NX'!$P$3,B3785&lt;='IN-NX'!$Q$3,'IN-NX'!$D$7=D3785,OR(LEFT(L3785,2)="15",AND(LEFT(M3785,2)&lt;&gt;"15",LEFT(M3785,2)&lt;&gt;"33"))),"x","")</f>
        <v/>
      </c>
      <c r="V3785" s="525" t="str">
        <f>IF(AND(OR(LEFT(TH!L3785,2)="15",LEFT(TH!M3785,2)="15"),'152-CT'!$J$8=TH!F3785),"x","")</f>
        <v/>
      </c>
      <c r="W3785" s="525" t="str">
        <f>IF(AND(OR(LEFT(TH!L3785,2)="15",LEFT(TH!M3785,2)="15"),TK!$E$7=TH!F3785),"x","")</f>
        <v/>
      </c>
      <c r="X3785" s="525" t="str">
        <f>IF(AND('341-CT'!$E$9=H3785,OR(LEFT(L3785,3)=$X$7,LEFT(M3785,3)=$X$7)),"x","")</f>
        <v/>
      </c>
      <c r="Y3785" s="525" t="str">
        <f>IF(OR(TH!L3785=TH!$Y$7,M3785=TH!$Y$7),"x","")</f>
        <v/>
      </c>
      <c r="Z3785" s="525" t="str">
        <f>IF(AND(B3785&lt;=NKC!$N$8,B3785&gt;=NKC!$M$8),"x","")</f>
        <v/>
      </c>
      <c r="AA3785" s="535"/>
      <c r="AD3785" s="536"/>
    </row>
    <row r="3786" spans="1:30" s="503" customFormat="1" ht="15.75" customHeight="1">
      <c r="A3786" s="517" t="str">
        <f>IF(B3786&lt;&gt;"",IF(AND(B3786&gt;=_TM1,B3786&lt;=_TM2,OR(TH!L3786="1111",TH!M3786="1111")),TH!D3786,""),"")</f>
        <v/>
      </c>
      <c r="B3786" s="531">
        <f t="shared" si="431"/>
        <v>9</v>
      </c>
      <c r="C3786" s="315">
        <f t="shared" si="432"/>
        <v>42999</v>
      </c>
      <c r="D3786" s="544" t="s">
        <v>1181</v>
      </c>
      <c r="E3786" s="315">
        <v>42999</v>
      </c>
      <c r="F3786" s="250" t="s">
        <v>560</v>
      </c>
      <c r="G3786" s="314" t="s">
        <v>1689</v>
      </c>
      <c r="H3786" s="472" t="s">
        <v>299</v>
      </c>
      <c r="I3786" s="307">
        <v>980</v>
      </c>
      <c r="J3786" s="307">
        <v>17600</v>
      </c>
      <c r="K3786" s="532">
        <f t="shared" ref="K3786" si="433">ROUND(I3786*J3786,0)</f>
        <v>17248000</v>
      </c>
      <c r="L3786" s="534" t="s">
        <v>223</v>
      </c>
      <c r="M3786" s="534" t="s">
        <v>162</v>
      </c>
      <c r="N3786" s="525" t="str">
        <f>IF(AND('331-CT'!$E$7=TH!H3786,OR(L3786="331",M3786="331")),"331",IF(AND(OR(L3786="131",M3786="131"),H3786='131-CT'!$E$7),"131",""))</f>
        <v/>
      </c>
      <c r="O3786" s="525" t="str">
        <f>IF(AND($B3786&gt;='111'!$N$11,$B3786&lt;='111'!$O$11,OR($L3786=$O$7,$M3786=$O$7)),"x","")</f>
        <v/>
      </c>
      <c r="P3786" s="525" t="str">
        <f>IF(AND($L3786=$O$7,$B3786&lt;'111'!$N$11),"x","")</f>
        <v/>
      </c>
      <c r="Q3786" s="525" t="str">
        <f>IF(AND($M3786=$O$7,$B3786&lt;'111'!$N$11),"x","")</f>
        <v/>
      </c>
      <c r="R3786" s="525" t="str">
        <f>IF(ISERROR(FIND('112'!$M$9,G3786,1)),"",IF((AND(FIND('112'!$M$9,G3786,1)&gt;=1,$B3786&gt;='112'!$N$8,$B3786&lt;='112'!$O$8,OR($L3786='112'!$I$6,$M3786='112'!$I$6))),"x",""))</f>
        <v/>
      </c>
      <c r="S3786" s="525" t="str">
        <f>IF(ISERROR(FIND('112'!$M$9,G3786,1)),"",IF((AND(LEFT(G3786,2)=LEFT('112'!$M$9,2),B3786&lt;'112'!$N$8,$L3786='112'!$I$6)),"x",""))</f>
        <v/>
      </c>
      <c r="T3786" s="525" t="str">
        <f>IF(ISERROR(FIND('112'!$M$9,G3786,1)),"",IF((AND(RIGHT(G3786,2)=RIGHT('112'!$M$9,2),B3786&lt;'112'!$N$8,$M3786='112'!$I$6)),"x",""))</f>
        <v/>
      </c>
      <c r="U3786" s="525" t="str">
        <f>IF(AND(B3786&gt;='IN-NX'!$P$3,B3786&lt;='IN-NX'!$Q$3,'IN-NX'!$D$7=D3786,OR(LEFT(L3786,2)="15",AND(LEFT(M3786,2)&lt;&gt;"15",LEFT(M3786,2)&lt;&gt;"33"))),"x","")</f>
        <v/>
      </c>
      <c r="V3786" s="525" t="str">
        <f>IF(AND(OR(LEFT(TH!L3786,2)="15",LEFT(TH!M3786,2)="15"),'152-CT'!$J$8=TH!F3786),"x","")</f>
        <v/>
      </c>
      <c r="W3786" s="525" t="str">
        <f>IF(AND(OR(LEFT(TH!L3786,2)="15",LEFT(TH!M3786,2)="15"),TK!$E$7=TH!F3786),"x","")</f>
        <v/>
      </c>
      <c r="X3786" s="525" t="str">
        <f>IF(AND('341-CT'!$E$9=H3786,OR(LEFT(L3786,3)=$X$7,LEFT(M3786,3)=$X$7)),"x","")</f>
        <v/>
      </c>
      <c r="Y3786" s="525" t="str">
        <f>IF(OR(TH!L3786=TH!$Y$7,M3786=TH!$Y$7),"x","")</f>
        <v/>
      </c>
      <c r="Z3786" s="525" t="str">
        <f>IF(AND(B3786&lt;=NKC!$N$8,B3786&gt;=NKC!$M$8),"x","")</f>
        <v/>
      </c>
      <c r="AA3786" s="535"/>
      <c r="AB3786" s="536"/>
      <c r="AC3786" s="536" t="str">
        <f>VLOOKUP(F3786,NXT!$B$12:$B$686,1,0)</f>
        <v>Giấy tấm 120x240</v>
      </c>
    </row>
    <row r="3787" spans="1:30" s="503" customFormat="1" ht="15.75" customHeight="1">
      <c r="A3787" s="517" t="str">
        <f>IF(B3787&lt;&gt;"",IF(AND(B3787&gt;=_TM1,B3787&lt;=_TM2,OR(TH!L3787="1111",TH!M3787="1111")),TH!D3787,""),"")</f>
        <v/>
      </c>
      <c r="B3787" s="531">
        <f t="shared" si="431"/>
        <v>9</v>
      </c>
      <c r="C3787" s="315">
        <f t="shared" si="432"/>
        <v>42999</v>
      </c>
      <c r="D3787" s="544" t="s">
        <v>1181</v>
      </c>
      <c r="E3787" s="315">
        <v>42999</v>
      </c>
      <c r="F3787" s="250" t="s">
        <v>1320</v>
      </c>
      <c r="G3787" s="314" t="s">
        <v>1689</v>
      </c>
      <c r="H3787" s="472" t="s">
        <v>299</v>
      </c>
      <c r="I3787" s="307"/>
      <c r="J3787" s="307"/>
      <c r="K3787" s="532">
        <v>1724800</v>
      </c>
      <c r="L3787" s="534" t="s">
        <v>223</v>
      </c>
      <c r="M3787" s="534" t="s">
        <v>259</v>
      </c>
      <c r="N3787" s="525" t="str">
        <f>IF(AND('331-CT'!$E$7=TH!H3787,OR(L3787="331",M3787="331")),"331",IF(AND(OR(L3787="131",M3787="131"),H3787='131-CT'!$E$7),"131",""))</f>
        <v/>
      </c>
      <c r="O3787" s="525" t="str">
        <f>IF(AND($B3787&gt;='111'!$N$11,$B3787&lt;='111'!$O$11,OR($L3787=$O$7,$M3787=$O$7)),"x","")</f>
        <v/>
      </c>
      <c r="P3787" s="525" t="str">
        <f>IF(AND($L3787=$O$7,$B3787&lt;'111'!$N$11),"x","")</f>
        <v/>
      </c>
      <c r="Q3787" s="525" t="str">
        <f>IF(AND($M3787=$O$7,$B3787&lt;'111'!$N$11),"x","")</f>
        <v/>
      </c>
      <c r="R3787" s="525" t="str">
        <f>IF(ISERROR(FIND('112'!$M$9,G3787,1)),"",IF((AND(FIND('112'!$M$9,G3787,1)&gt;=1,$B3787&gt;='112'!$N$8,$B3787&lt;='112'!$O$8,OR($L3787='112'!$I$6,$M3787='112'!$I$6))),"x",""))</f>
        <v/>
      </c>
      <c r="S3787" s="525" t="str">
        <f>IF(ISERROR(FIND('112'!$M$9,G3787,1)),"",IF((AND(LEFT(G3787,2)=LEFT('112'!$M$9,2),B3787&lt;'112'!$N$8,$L3787='112'!$I$6)),"x",""))</f>
        <v/>
      </c>
      <c r="T3787" s="525" t="str">
        <f>IF(ISERROR(FIND('112'!$M$9,G3787,1)),"",IF((AND(RIGHT(G3787,2)=RIGHT('112'!$M$9,2),B3787&lt;'112'!$N$8,$M3787='112'!$I$6)),"x",""))</f>
        <v/>
      </c>
      <c r="U3787" s="525" t="str">
        <f>IF(AND(B3787&gt;='IN-NX'!$P$3,B3787&lt;='IN-NX'!$Q$3,'IN-NX'!$D$7=D3787,OR(LEFT(L3787,2)="15",AND(LEFT(M3787,2)&lt;&gt;"15",LEFT(M3787,2)&lt;&gt;"33"))),"x","")</f>
        <v/>
      </c>
      <c r="V3787" s="525" t="str">
        <f>IF(AND(OR(LEFT(TH!L3787,2)="15",LEFT(TH!M3787,2)="15"),'152-CT'!$J$8=TH!F3787),"x","")</f>
        <v/>
      </c>
      <c r="W3787" s="525" t="str">
        <f>IF(AND(OR(LEFT(TH!L3787,2)="15",LEFT(TH!M3787,2)="15"),TK!$E$7=TH!F3787),"x","")</f>
        <v/>
      </c>
      <c r="X3787" s="525" t="str">
        <f>IF(AND('341-CT'!$E$9=H3787,OR(LEFT(L3787,3)=$X$7,LEFT(M3787,3)=$X$7)),"x","")</f>
        <v/>
      </c>
      <c r="Y3787" s="525" t="str">
        <f>IF(OR(TH!L3787=TH!$Y$7,M3787=TH!$Y$7),"x","")</f>
        <v/>
      </c>
      <c r="Z3787" s="525" t="str">
        <f>IF(AND(B3787&lt;=NKC!$N$8,B3787&gt;=NKC!$M$8),"x","")</f>
        <v/>
      </c>
      <c r="AA3787" s="535"/>
      <c r="AD3787" s="536"/>
    </row>
    <row r="3788" spans="1:30" s="503" customFormat="1" ht="15.75" customHeight="1">
      <c r="A3788" s="517" t="str">
        <f>IF(B3788&lt;&gt;"",IF(AND(B3788&gt;=_TM1,B3788&lt;=_TM2,OR(TH!L3788="1111",TH!M3788="1111")),TH!D3788,""),"")</f>
        <v/>
      </c>
      <c r="B3788" s="531">
        <f t="shared" si="431"/>
        <v>9</v>
      </c>
      <c r="C3788" s="315">
        <f t="shared" si="432"/>
        <v>42999</v>
      </c>
      <c r="D3788" s="544" t="s">
        <v>1181</v>
      </c>
      <c r="E3788" s="315">
        <v>42999</v>
      </c>
      <c r="F3788" s="250" t="s">
        <v>560</v>
      </c>
      <c r="G3788" s="314" t="s">
        <v>1689</v>
      </c>
      <c r="H3788" s="248" t="s">
        <v>1690</v>
      </c>
      <c r="I3788" s="307">
        <v>551.9</v>
      </c>
      <c r="J3788" s="307">
        <v>10500</v>
      </c>
      <c r="K3788" s="532">
        <f t="shared" ref="K3788" si="434">ROUND(I3788*J3788,0)</f>
        <v>5794950</v>
      </c>
      <c r="L3788" s="534" t="s">
        <v>223</v>
      </c>
      <c r="M3788" s="534" t="s">
        <v>162</v>
      </c>
      <c r="N3788" s="525" t="str">
        <f>IF(AND('331-CT'!$E$7=TH!H3788,OR(L3788="331",M3788="331")),"331",IF(AND(OR(L3788="131",M3788="131"),H3788='131-CT'!$E$7),"131",""))</f>
        <v/>
      </c>
      <c r="O3788" s="525" t="str">
        <f>IF(AND($B3788&gt;='111'!$N$11,$B3788&lt;='111'!$O$11,OR($L3788=$O$7,$M3788=$O$7)),"x","")</f>
        <v/>
      </c>
      <c r="P3788" s="525" t="str">
        <f>IF(AND($L3788=$O$7,$B3788&lt;'111'!$N$11),"x","")</f>
        <v/>
      </c>
      <c r="Q3788" s="525" t="str">
        <f>IF(AND($M3788=$O$7,$B3788&lt;'111'!$N$11),"x","")</f>
        <v/>
      </c>
      <c r="R3788" s="525" t="str">
        <f>IF(ISERROR(FIND('112'!$M$9,G3788,1)),"",IF((AND(FIND('112'!$M$9,G3788,1)&gt;=1,$B3788&gt;='112'!$N$8,$B3788&lt;='112'!$O$8,OR($L3788='112'!$I$6,$M3788='112'!$I$6))),"x",""))</f>
        <v/>
      </c>
      <c r="S3788" s="525" t="str">
        <f>IF(ISERROR(FIND('112'!$M$9,G3788,1)),"",IF((AND(LEFT(G3788,2)=LEFT('112'!$M$9,2),B3788&lt;'112'!$N$8,$L3788='112'!$I$6)),"x",""))</f>
        <v/>
      </c>
      <c r="T3788" s="525" t="str">
        <f>IF(ISERROR(FIND('112'!$M$9,G3788,1)),"",IF((AND(RIGHT(G3788,2)=RIGHT('112'!$M$9,2),B3788&lt;'112'!$N$8,$M3788='112'!$I$6)),"x",""))</f>
        <v/>
      </c>
      <c r="U3788" s="525" t="str">
        <f>IF(AND(B3788&gt;='IN-NX'!$P$3,B3788&lt;='IN-NX'!$Q$3,'IN-NX'!$D$7=D3788,OR(LEFT(L3788,2)="15",AND(LEFT(M3788,2)&lt;&gt;"15",LEFT(M3788,2)&lt;&gt;"33"))),"x","")</f>
        <v/>
      </c>
      <c r="V3788" s="525" t="str">
        <f>IF(AND(OR(LEFT(TH!L3788,2)="15",LEFT(TH!M3788,2)="15"),'152-CT'!$J$8=TH!F3788),"x","")</f>
        <v/>
      </c>
      <c r="W3788" s="525" t="str">
        <f>IF(AND(OR(LEFT(TH!L3788,2)="15",LEFT(TH!M3788,2)="15"),TK!$E$7=TH!F3788),"x","")</f>
        <v/>
      </c>
      <c r="X3788" s="525" t="str">
        <f>IF(AND('341-CT'!$E$9=H3788,OR(LEFT(L3788,3)=$X$7,LEFT(M3788,3)=$X$7)),"x","")</f>
        <v/>
      </c>
      <c r="Y3788" s="525" t="str">
        <f>IF(OR(TH!L3788=TH!$Y$7,M3788=TH!$Y$7),"x","")</f>
        <v/>
      </c>
      <c r="Z3788" s="525" t="str">
        <f>IF(AND(B3788&lt;=NKC!$N$8,B3788&gt;=NKC!$M$8),"x","")</f>
        <v/>
      </c>
      <c r="AA3788" s="535"/>
      <c r="AB3788" s="536"/>
      <c r="AC3788" s="536" t="str">
        <f>VLOOKUP(F3788,NXT!$B$12:$B$686,1,0)</f>
        <v>Giấy tấm 120x240</v>
      </c>
    </row>
    <row r="3789" spans="1:30" s="503" customFormat="1" ht="15.75" customHeight="1">
      <c r="A3789" s="517" t="str">
        <f>IF(B3789&lt;&gt;"",IF(AND(B3789&gt;=_TM1,B3789&lt;=_TM2,OR(TH!L3789="1111",TH!M3789="1111")),TH!D3789,""),"")</f>
        <v/>
      </c>
      <c r="B3789" s="531">
        <f t="shared" si="431"/>
        <v>9</v>
      </c>
      <c r="C3789" s="315">
        <f t="shared" si="432"/>
        <v>42999</v>
      </c>
      <c r="D3789" s="544" t="s">
        <v>1181</v>
      </c>
      <c r="E3789" s="315">
        <v>42999</v>
      </c>
      <c r="F3789" s="250" t="s">
        <v>1320</v>
      </c>
      <c r="G3789" s="314" t="s">
        <v>1689</v>
      </c>
      <c r="H3789" s="248" t="s">
        <v>1690</v>
      </c>
      <c r="I3789" s="307"/>
      <c r="J3789" s="307"/>
      <c r="K3789" s="532">
        <v>579495</v>
      </c>
      <c r="L3789" s="534" t="s">
        <v>223</v>
      </c>
      <c r="M3789" s="534" t="s">
        <v>259</v>
      </c>
      <c r="N3789" s="525" t="str">
        <f>IF(AND('331-CT'!$E$7=TH!H3789,OR(L3789="331",M3789="331")),"331",IF(AND(OR(L3789="131",M3789="131"),H3789='131-CT'!$E$7),"131",""))</f>
        <v/>
      </c>
      <c r="O3789" s="525" t="str">
        <f>IF(AND($B3789&gt;='111'!$N$11,$B3789&lt;='111'!$O$11,OR($L3789=$O$7,$M3789=$O$7)),"x","")</f>
        <v/>
      </c>
      <c r="P3789" s="525" t="str">
        <f>IF(AND($L3789=$O$7,$B3789&lt;'111'!$N$11),"x","")</f>
        <v/>
      </c>
      <c r="Q3789" s="525" t="str">
        <f>IF(AND($M3789=$O$7,$B3789&lt;'111'!$N$11),"x","")</f>
        <v/>
      </c>
      <c r="R3789" s="525" t="str">
        <f>IF(ISERROR(FIND('112'!$M$9,G3789,1)),"",IF((AND(FIND('112'!$M$9,G3789,1)&gt;=1,$B3789&gt;='112'!$N$8,$B3789&lt;='112'!$O$8,OR($L3789='112'!$I$6,$M3789='112'!$I$6))),"x",""))</f>
        <v/>
      </c>
      <c r="S3789" s="525" t="str">
        <f>IF(ISERROR(FIND('112'!$M$9,G3789,1)),"",IF((AND(LEFT(G3789,2)=LEFT('112'!$M$9,2),B3789&lt;'112'!$N$8,$L3789='112'!$I$6)),"x",""))</f>
        <v/>
      </c>
      <c r="T3789" s="525" t="str">
        <f>IF(ISERROR(FIND('112'!$M$9,G3789,1)),"",IF((AND(RIGHT(G3789,2)=RIGHT('112'!$M$9,2),B3789&lt;'112'!$N$8,$M3789='112'!$I$6)),"x",""))</f>
        <v/>
      </c>
      <c r="U3789" s="525" t="str">
        <f>IF(AND(B3789&gt;='IN-NX'!$P$3,B3789&lt;='IN-NX'!$Q$3,'IN-NX'!$D$7=D3789,OR(LEFT(L3789,2)="15",AND(LEFT(M3789,2)&lt;&gt;"15",LEFT(M3789,2)&lt;&gt;"33"))),"x","")</f>
        <v/>
      </c>
      <c r="V3789" s="525" t="str">
        <f>IF(AND(OR(LEFT(TH!L3789,2)="15",LEFT(TH!M3789,2)="15"),'152-CT'!$J$8=TH!F3789),"x","")</f>
        <v/>
      </c>
      <c r="W3789" s="525" t="str">
        <f>IF(AND(OR(LEFT(TH!L3789,2)="15",LEFT(TH!M3789,2)="15"),TK!$E$7=TH!F3789),"x","")</f>
        <v/>
      </c>
      <c r="X3789" s="525" t="str">
        <f>IF(AND('341-CT'!$E$9=H3789,OR(LEFT(L3789,3)=$X$7,LEFT(M3789,3)=$X$7)),"x","")</f>
        <v/>
      </c>
      <c r="Y3789" s="525" t="str">
        <f>IF(OR(TH!L3789=TH!$Y$7,M3789=TH!$Y$7),"x","")</f>
        <v/>
      </c>
      <c r="Z3789" s="525" t="str">
        <f>IF(AND(B3789&lt;=NKC!$N$8,B3789&gt;=NKC!$M$8),"x","")</f>
        <v/>
      </c>
      <c r="AA3789" s="535"/>
      <c r="AD3789" s="536"/>
    </row>
    <row r="3790" spans="1:30" s="503" customFormat="1" ht="15.75" customHeight="1">
      <c r="A3790" s="517" t="str">
        <f>IF(B3790&lt;&gt;"",IF(AND(B3790&gt;=_TM1,B3790&lt;=_TM2,OR(TH!L3790="1111",TH!M3790="1111")),TH!D3790,""),"")</f>
        <v/>
      </c>
      <c r="B3790" s="531">
        <f t="shared" si="431"/>
        <v>9</v>
      </c>
      <c r="C3790" s="315">
        <f t="shared" si="432"/>
        <v>43000</v>
      </c>
      <c r="D3790" s="544" t="s">
        <v>1181</v>
      </c>
      <c r="E3790" s="315">
        <v>43000</v>
      </c>
      <c r="F3790" s="249" t="s">
        <v>1217</v>
      </c>
      <c r="G3790" s="314" t="s">
        <v>1691</v>
      </c>
      <c r="H3790" s="248" t="s">
        <v>1218</v>
      </c>
      <c r="I3790" s="307">
        <v>3045</v>
      </c>
      <c r="J3790" s="307">
        <v>5900</v>
      </c>
      <c r="K3790" s="532">
        <f>ROUND(I3790*J3790,0)</f>
        <v>17965500</v>
      </c>
      <c r="L3790" s="534" t="s">
        <v>223</v>
      </c>
      <c r="M3790" s="534" t="s">
        <v>162</v>
      </c>
      <c r="N3790" s="525" t="str">
        <f>IF(AND('331-CT'!$E$7=TH!H3790,OR(L3790="331",M3790="331")),"331",IF(AND(OR(L3790="131",M3790="131"),H3790='131-CT'!$E$7),"131",""))</f>
        <v/>
      </c>
      <c r="O3790" s="525" t="str">
        <f>IF(AND($B3790&gt;='111'!$N$11,$B3790&lt;='111'!$O$11,OR($L3790=$O$7,$M3790=$O$7)),"x","")</f>
        <v/>
      </c>
      <c r="P3790" s="525" t="str">
        <f>IF(AND($L3790=$O$7,$B3790&lt;'111'!$N$11),"x","")</f>
        <v/>
      </c>
      <c r="Q3790" s="525" t="str">
        <f>IF(AND($M3790=$O$7,$B3790&lt;'111'!$N$11),"x","")</f>
        <v/>
      </c>
      <c r="R3790" s="525" t="str">
        <f>IF(ISERROR(FIND('112'!$M$9,G3790,1)),"",IF((AND(FIND('112'!$M$9,G3790,1)&gt;=1,$B3790&gt;='112'!$N$8,$B3790&lt;='112'!$O$8,OR($L3790='112'!$I$6,$M3790='112'!$I$6))),"x",""))</f>
        <v/>
      </c>
      <c r="S3790" s="525" t="str">
        <f>IF(ISERROR(FIND('112'!$M$9,G3790,1)),"",IF((AND(LEFT(G3790,2)=LEFT('112'!$M$9,2),B3790&lt;'112'!$N$8,$L3790='112'!$I$6)),"x",""))</f>
        <v/>
      </c>
      <c r="T3790" s="525" t="str">
        <f>IF(ISERROR(FIND('112'!$M$9,G3790,1)),"",IF((AND(RIGHT(G3790,2)=RIGHT('112'!$M$9,2),B3790&lt;'112'!$N$8,$M3790='112'!$I$6)),"x",""))</f>
        <v/>
      </c>
      <c r="U3790" s="525" t="str">
        <f>IF(AND(B3790&gt;='IN-NX'!$P$3,B3790&lt;='IN-NX'!$Q$3,'IN-NX'!$D$7=D3790,OR(LEFT(L3790,2)="15",AND(LEFT(M3790,2)&lt;&gt;"15",LEFT(M3790,2)&lt;&gt;"33"))),"x","")</f>
        <v/>
      </c>
      <c r="V3790" s="525" t="str">
        <f>IF(AND(OR(LEFT(TH!L3790,2)="15",LEFT(TH!M3790,2)="15"),'152-CT'!$J$8=TH!F3790),"x","")</f>
        <v/>
      </c>
      <c r="W3790" s="525" t="str">
        <f>IF(AND(OR(LEFT(TH!L3790,2)="15",LEFT(TH!M3790,2)="15"),TK!$E$7=TH!F3790),"x","")</f>
        <v/>
      </c>
      <c r="X3790" s="525" t="str">
        <f>IF(AND('341-CT'!$E$9=H3790,OR(LEFT(L3790,3)=$X$7,LEFT(M3790,3)=$X$7)),"x","")</f>
        <v/>
      </c>
      <c r="Y3790" s="525" t="str">
        <f>IF(OR(TH!L3790=TH!$Y$7,M3790=TH!$Y$7),"x","")</f>
        <v/>
      </c>
      <c r="Z3790" s="525" t="str">
        <f>IF(AND(B3790&lt;=NKC!$N$8,B3790&gt;=NKC!$M$8),"x","")</f>
        <v/>
      </c>
      <c r="AA3790" s="535"/>
      <c r="AC3790" s="536" t="str">
        <f>VLOOKUP(F3790,NXT!$B$12:$B$686,1,0)</f>
        <v>Thùng 50x29.5x19</v>
      </c>
    </row>
    <row r="3791" spans="1:30" s="503" customFormat="1" ht="15.75" customHeight="1">
      <c r="A3791" s="517" t="str">
        <f>IF(B3791&lt;&gt;"",IF(AND(B3791&gt;=_TM1,B3791&lt;=_TM2,OR(TH!L3791="1111",TH!M3791="1111")),TH!D3791,""),"")</f>
        <v/>
      </c>
      <c r="B3791" s="531">
        <f t="shared" si="431"/>
        <v>9</v>
      </c>
      <c r="C3791" s="315">
        <f t="shared" si="432"/>
        <v>43000</v>
      </c>
      <c r="D3791" s="544" t="s">
        <v>1181</v>
      </c>
      <c r="E3791" s="315">
        <v>43000</v>
      </c>
      <c r="F3791" s="249" t="s">
        <v>494</v>
      </c>
      <c r="G3791" s="314" t="s">
        <v>1691</v>
      </c>
      <c r="H3791" s="248" t="s">
        <v>1218</v>
      </c>
      <c r="I3791" s="307"/>
      <c r="J3791" s="307"/>
      <c r="K3791" s="532">
        <v>1796550</v>
      </c>
      <c r="L3791" s="534" t="s">
        <v>223</v>
      </c>
      <c r="M3791" s="534" t="s">
        <v>259</v>
      </c>
      <c r="N3791" s="525" t="str">
        <f>IF(AND('331-CT'!$E$7=TH!H3791,OR(L3791="331",M3791="331")),"331",IF(AND(OR(L3791="131",M3791="131"),H3791='131-CT'!$E$7),"131",""))</f>
        <v/>
      </c>
      <c r="O3791" s="525" t="str">
        <f>IF(AND($B3791&gt;='111'!$N$11,$B3791&lt;='111'!$O$11,OR($L3791=$O$7,$M3791=$O$7)),"x","")</f>
        <v/>
      </c>
      <c r="P3791" s="525" t="str">
        <f>IF(AND($L3791=$O$7,$B3791&lt;'111'!$N$11),"x","")</f>
        <v/>
      </c>
      <c r="Q3791" s="525" t="str">
        <f>IF(AND($M3791=$O$7,$B3791&lt;'111'!$N$11),"x","")</f>
        <v/>
      </c>
      <c r="R3791" s="525" t="str">
        <f>IF(ISERROR(FIND('112'!$M$9,G3791,1)),"",IF((AND(FIND('112'!$M$9,G3791,1)&gt;=1,$B3791&gt;='112'!$N$8,$B3791&lt;='112'!$O$8,OR($L3791='112'!$I$6,$M3791='112'!$I$6))),"x",""))</f>
        <v/>
      </c>
      <c r="S3791" s="525" t="str">
        <f>IF(ISERROR(FIND('112'!$M$9,G3791,1)),"",IF((AND(LEFT(G3791,2)=LEFT('112'!$M$9,2),B3791&lt;'112'!$N$8,$L3791='112'!$I$6)),"x",""))</f>
        <v/>
      </c>
      <c r="T3791" s="525" t="str">
        <f>IF(ISERROR(FIND('112'!$M$9,G3791,1)),"",IF((AND(RIGHT(G3791,2)=RIGHT('112'!$M$9,2),B3791&lt;'112'!$N$8,$M3791='112'!$I$6)),"x",""))</f>
        <v/>
      </c>
      <c r="U3791" s="525" t="str">
        <f>IF(AND(B3791&gt;='IN-NX'!$P$3,B3791&lt;='IN-NX'!$Q$3,'IN-NX'!$D$7=D3791,OR(LEFT(L3791,2)="15",AND(LEFT(M3791,2)&lt;&gt;"15",LEFT(M3791,2)&lt;&gt;"33"))),"x","")</f>
        <v/>
      </c>
      <c r="V3791" s="525" t="str">
        <f>IF(AND(OR(LEFT(TH!L3791,2)="15",LEFT(TH!M3791,2)="15"),'152-CT'!$J$8=TH!F3791),"x","")</f>
        <v/>
      </c>
      <c r="W3791" s="525" t="str">
        <f>IF(AND(OR(LEFT(TH!L3791,2)="15",LEFT(TH!M3791,2)="15"),TK!$E$7=TH!F3791),"x","")</f>
        <v/>
      </c>
      <c r="X3791" s="525" t="str">
        <f>IF(AND('341-CT'!$E$9=H3791,OR(LEFT(L3791,3)=$X$7,LEFT(M3791,3)=$X$7)),"x","")</f>
        <v/>
      </c>
      <c r="Y3791" s="525" t="str">
        <f>IF(OR(TH!L3791=TH!$Y$7,M3791=TH!$Y$7),"x","")</f>
        <v/>
      </c>
      <c r="Z3791" s="525" t="str">
        <f>IF(AND(B3791&lt;=NKC!$N$8,B3791&gt;=NKC!$M$8),"x","")</f>
        <v/>
      </c>
      <c r="AA3791" s="535"/>
      <c r="AD3791" s="536"/>
    </row>
    <row r="3792" spans="1:30" s="503" customFormat="1" ht="15.75" customHeight="1">
      <c r="A3792" s="517" t="str">
        <f>IF(B3792&lt;&gt;"",IF(AND(B3792&gt;=_TM1,B3792&lt;=_TM2,OR(TH!L3792="1111",TH!M3792="1111")),TH!D3792,""),"")</f>
        <v/>
      </c>
      <c r="B3792" s="531">
        <f t="shared" si="425"/>
        <v>9</v>
      </c>
      <c r="C3792" s="315">
        <f t="shared" si="426"/>
        <v>43000</v>
      </c>
      <c r="D3792" s="544" t="s">
        <v>1181</v>
      </c>
      <c r="E3792" s="315">
        <v>43000</v>
      </c>
      <c r="F3792" s="250" t="s">
        <v>1622</v>
      </c>
      <c r="G3792" s="314" t="s">
        <v>1692</v>
      </c>
      <c r="H3792" s="248" t="s">
        <v>1374</v>
      </c>
      <c r="I3792" s="307">
        <v>509</v>
      </c>
      <c r="J3792" s="307">
        <v>27000</v>
      </c>
      <c r="K3792" s="532">
        <f t="shared" si="427"/>
        <v>13743000</v>
      </c>
      <c r="L3792" s="534" t="s">
        <v>223</v>
      </c>
      <c r="M3792" s="534" t="s">
        <v>162</v>
      </c>
      <c r="N3792" s="525" t="str">
        <f>IF(AND('331-CT'!$E$7=TH!H3792,OR(L3792="331",M3792="331")),"331",IF(AND(OR(L3792="131",M3792="131"),H3792='131-CT'!$E$7),"131",""))</f>
        <v/>
      </c>
      <c r="O3792" s="525" t="str">
        <f>IF(AND($B3792&gt;='111'!$N$11,$B3792&lt;='111'!$O$11,OR($L3792=$O$7,$M3792=$O$7)),"x","")</f>
        <v/>
      </c>
      <c r="P3792" s="525" t="str">
        <f>IF(AND($L3792=$O$7,$B3792&lt;'111'!$N$11),"x","")</f>
        <v/>
      </c>
      <c r="Q3792" s="525" t="str">
        <f>IF(AND($M3792=$O$7,$B3792&lt;'111'!$N$11),"x","")</f>
        <v/>
      </c>
      <c r="R3792" s="525" t="str">
        <f>IF(ISERROR(FIND('112'!$M$9,G3792,1)),"",IF((AND(FIND('112'!$M$9,G3792,1)&gt;=1,$B3792&gt;='112'!$N$8,$B3792&lt;='112'!$O$8,OR($L3792='112'!$I$6,$M3792='112'!$I$6))),"x",""))</f>
        <v/>
      </c>
      <c r="S3792" s="525" t="str">
        <f>IF(ISERROR(FIND('112'!$M$9,G3792,1)),"",IF((AND(LEFT(G3792,2)=LEFT('112'!$M$9,2),B3792&lt;'112'!$N$8,$L3792='112'!$I$6)),"x",""))</f>
        <v/>
      </c>
      <c r="T3792" s="525" t="str">
        <f>IF(ISERROR(FIND('112'!$M$9,G3792,1)),"",IF((AND(RIGHT(G3792,2)=RIGHT('112'!$M$9,2),B3792&lt;'112'!$N$8,$M3792='112'!$I$6)),"x",""))</f>
        <v/>
      </c>
      <c r="U3792" s="525" t="str">
        <f>IF(AND(B3792&gt;='IN-NX'!$P$3,B3792&lt;='IN-NX'!$Q$3,'IN-NX'!$D$7=D3792,OR(LEFT(L3792,2)="15",AND(LEFT(M3792,2)&lt;&gt;"15",LEFT(M3792,2)&lt;&gt;"33"))),"x","")</f>
        <v/>
      </c>
      <c r="V3792" s="525" t="str">
        <f>IF(AND(OR(LEFT(TH!L3792,2)="15",LEFT(TH!M3792,2)="15"),'152-CT'!$J$8=TH!F3792),"x","")</f>
        <v/>
      </c>
      <c r="W3792" s="525" t="str">
        <f>IF(AND(OR(LEFT(TH!L3792,2)="15",LEFT(TH!M3792,2)="15"),TK!$E$7=TH!F3792),"x","")</f>
        <v/>
      </c>
      <c r="X3792" s="525" t="str">
        <f>IF(AND('341-CT'!$E$9=H3792,OR(LEFT(L3792,3)=$X$7,LEFT(M3792,3)=$X$7)),"x","")</f>
        <v/>
      </c>
      <c r="Y3792" s="525" t="str">
        <f>IF(OR(TH!L3792=TH!$Y$7,M3792=TH!$Y$7),"x","")</f>
        <v/>
      </c>
      <c r="Z3792" s="525" t="str">
        <f>IF(AND(B3792&lt;=NKC!$N$8,B3792&gt;=NKC!$M$8),"x","")</f>
        <v/>
      </c>
      <c r="AA3792" s="535"/>
      <c r="AB3792" s="536"/>
      <c r="AC3792" s="536" t="str">
        <f>VLOOKUP(F3792,NXT!$B$12:$B$686,1,0)</f>
        <v>Thùng 480x300x570</v>
      </c>
      <c r="AD3792" s="536"/>
    </row>
    <row r="3793" spans="1:30" s="503" customFormat="1" ht="15.75" customHeight="1">
      <c r="A3793" s="517" t="str">
        <f>IF(B3793&lt;&gt;"",IF(AND(B3793&gt;=_TM1,B3793&lt;=_TM2,OR(TH!L3793="1111",TH!M3793="1111")),TH!D3793,""),"")</f>
        <v/>
      </c>
      <c r="B3793" s="531">
        <f t="shared" si="425"/>
        <v>9</v>
      </c>
      <c r="C3793" s="315">
        <f t="shared" si="426"/>
        <v>43000</v>
      </c>
      <c r="D3793" s="544" t="s">
        <v>1181</v>
      </c>
      <c r="E3793" s="315">
        <v>43000</v>
      </c>
      <c r="F3793" s="249" t="s">
        <v>494</v>
      </c>
      <c r="G3793" s="314" t="s">
        <v>1692</v>
      </c>
      <c r="H3793" s="248" t="s">
        <v>1374</v>
      </c>
      <c r="I3793" s="307"/>
      <c r="J3793" s="307"/>
      <c r="K3793" s="532">
        <v>1374300</v>
      </c>
      <c r="L3793" s="534" t="s">
        <v>223</v>
      </c>
      <c r="M3793" s="534" t="s">
        <v>259</v>
      </c>
      <c r="N3793" s="525" t="str">
        <f>IF(AND('331-CT'!$E$7=TH!H3793,OR(L3793="331",M3793="331")),"331",IF(AND(OR(L3793="131",M3793="131"),H3793='131-CT'!$E$7),"131",""))</f>
        <v/>
      </c>
      <c r="O3793" s="525" t="str">
        <f>IF(AND($B3793&gt;='111'!$N$11,$B3793&lt;='111'!$O$11,OR($L3793=$O$7,$M3793=$O$7)),"x","")</f>
        <v/>
      </c>
      <c r="P3793" s="525" t="str">
        <f>IF(AND($L3793=$O$7,$B3793&lt;'111'!$N$11),"x","")</f>
        <v/>
      </c>
      <c r="Q3793" s="525" t="str">
        <f>IF(AND($M3793=$O$7,$B3793&lt;'111'!$N$11),"x","")</f>
        <v/>
      </c>
      <c r="R3793" s="525" t="str">
        <f>IF(ISERROR(FIND('112'!$M$9,G3793,1)),"",IF((AND(FIND('112'!$M$9,G3793,1)&gt;=1,$B3793&gt;='112'!$N$8,$B3793&lt;='112'!$O$8,OR($L3793='112'!$I$6,$M3793='112'!$I$6))),"x",""))</f>
        <v/>
      </c>
      <c r="S3793" s="525" t="str">
        <f>IF(ISERROR(FIND('112'!$M$9,G3793,1)),"",IF((AND(LEFT(G3793,2)=LEFT('112'!$M$9,2),B3793&lt;'112'!$N$8,$L3793='112'!$I$6)),"x",""))</f>
        <v/>
      </c>
      <c r="T3793" s="525" t="str">
        <f>IF(ISERROR(FIND('112'!$M$9,G3793,1)),"",IF((AND(RIGHT(G3793,2)=RIGHT('112'!$M$9,2),B3793&lt;'112'!$N$8,$M3793='112'!$I$6)),"x",""))</f>
        <v/>
      </c>
      <c r="U3793" s="525" t="str">
        <f>IF(AND(B3793&gt;='IN-NX'!$P$3,B3793&lt;='IN-NX'!$Q$3,'IN-NX'!$D$7=D3793,OR(LEFT(L3793,2)="15",AND(LEFT(M3793,2)&lt;&gt;"15",LEFT(M3793,2)&lt;&gt;"33"))),"x","")</f>
        <v/>
      </c>
      <c r="V3793" s="525" t="str">
        <f>IF(AND(OR(LEFT(TH!L3793,2)="15",LEFT(TH!M3793,2)="15"),'152-CT'!$J$8=TH!F3793),"x","")</f>
        <v/>
      </c>
      <c r="W3793" s="525" t="str">
        <f>IF(AND(OR(LEFT(TH!L3793,2)="15",LEFT(TH!M3793,2)="15"),TK!$E$7=TH!F3793),"x","")</f>
        <v/>
      </c>
      <c r="X3793" s="525" t="str">
        <f>IF(AND('341-CT'!$E$9=H3793,OR(LEFT(L3793,3)=$X$7,LEFT(M3793,3)=$X$7)),"x","")</f>
        <v/>
      </c>
      <c r="Y3793" s="525" t="str">
        <f>IF(OR(TH!L3793=TH!$Y$7,M3793=TH!$Y$7),"x","")</f>
        <v/>
      </c>
      <c r="Z3793" s="525" t="str">
        <f>IF(AND(B3793&lt;=NKC!$N$8,B3793&gt;=NKC!$M$8),"x","")</f>
        <v/>
      </c>
      <c r="AA3793" s="535"/>
      <c r="AD3793" s="536"/>
    </row>
    <row r="3794" spans="1:30" s="503" customFormat="1" ht="15.75" customHeight="1">
      <c r="A3794" s="517" t="str">
        <f>IF(B3794&lt;&gt;"",IF(AND(B3794&gt;=_TM1,B3794&lt;=_TM2,OR(TH!L3794="1111",TH!M3794="1111")),TH!D3794,""),"")</f>
        <v/>
      </c>
      <c r="B3794" s="531">
        <f t="shared" si="425"/>
        <v>9</v>
      </c>
      <c r="C3794" s="315">
        <f t="shared" si="426"/>
        <v>43001</v>
      </c>
      <c r="D3794" s="544" t="s">
        <v>1181</v>
      </c>
      <c r="E3794" s="315">
        <v>43001</v>
      </c>
      <c r="F3794" s="245" t="s">
        <v>274</v>
      </c>
      <c r="G3794" s="314" t="s">
        <v>1693</v>
      </c>
      <c r="H3794" s="473" t="s">
        <v>283</v>
      </c>
      <c r="I3794" s="307">
        <v>2800</v>
      </c>
      <c r="J3794" s="307">
        <v>18500</v>
      </c>
      <c r="K3794" s="532">
        <f t="shared" ref="K3794:K3795" si="435">ROUND(I3794*J3794,0)</f>
        <v>51800000</v>
      </c>
      <c r="L3794" s="534" t="s">
        <v>223</v>
      </c>
      <c r="M3794" s="534" t="s">
        <v>162</v>
      </c>
      <c r="N3794" s="525" t="str">
        <f>IF(AND('331-CT'!$E$7=TH!H3794,OR(L3794="331",M3794="331")),"331",IF(AND(OR(L3794="131",M3794="131"),H3794='131-CT'!$E$7),"131",""))</f>
        <v/>
      </c>
      <c r="O3794" s="525" t="str">
        <f>IF(AND($B3794&gt;='111'!$N$11,$B3794&lt;='111'!$O$11,OR($L3794=$O$7,$M3794=$O$7)),"x","")</f>
        <v/>
      </c>
      <c r="P3794" s="525" t="str">
        <f>IF(AND($L3794=$O$7,$B3794&lt;'111'!$N$11),"x","")</f>
        <v/>
      </c>
      <c r="Q3794" s="525" t="str">
        <f>IF(AND($M3794=$O$7,$B3794&lt;'111'!$N$11),"x","")</f>
        <v/>
      </c>
      <c r="R3794" s="525" t="str">
        <f>IF(ISERROR(FIND('112'!$M$9,G3794,1)),"",IF((AND(FIND('112'!$M$9,G3794,1)&gt;=1,$B3794&gt;='112'!$N$8,$B3794&lt;='112'!$O$8,OR($L3794='112'!$I$6,$M3794='112'!$I$6))),"x",""))</f>
        <v/>
      </c>
      <c r="S3794" s="525" t="str">
        <f>IF(ISERROR(FIND('112'!$M$9,G3794,1)),"",IF((AND(LEFT(G3794,2)=LEFT('112'!$M$9,2),B3794&lt;'112'!$N$8,$L3794='112'!$I$6)),"x",""))</f>
        <v/>
      </c>
      <c r="T3794" s="525" t="str">
        <f>IF(ISERROR(FIND('112'!$M$9,G3794,1)),"",IF((AND(RIGHT(G3794,2)=RIGHT('112'!$M$9,2),B3794&lt;'112'!$N$8,$M3794='112'!$I$6)),"x",""))</f>
        <v/>
      </c>
      <c r="U3794" s="525" t="str">
        <f>IF(AND(B3794&gt;='IN-NX'!$P$3,B3794&lt;='IN-NX'!$Q$3,'IN-NX'!$D$7=D3794,OR(LEFT(L3794,2)="15",AND(LEFT(M3794,2)&lt;&gt;"15",LEFT(M3794,2)&lt;&gt;"33"))),"x","")</f>
        <v/>
      </c>
      <c r="V3794" s="525" t="str">
        <f>IF(AND(OR(LEFT(TH!L3794,2)="15",LEFT(TH!M3794,2)="15"),'152-CT'!$J$8=TH!F3794),"x","")</f>
        <v/>
      </c>
      <c r="W3794" s="525" t="str">
        <f>IF(AND(OR(LEFT(TH!L3794,2)="15",LEFT(TH!M3794,2)="15"),TK!$E$7=TH!F3794),"x","")</f>
        <v/>
      </c>
      <c r="X3794" s="525" t="str">
        <f>IF(AND('341-CT'!$E$9=H3794,OR(LEFT(L3794,3)=$X$7,LEFT(M3794,3)=$X$7)),"x","")</f>
        <v/>
      </c>
      <c r="Y3794" s="525" t="str">
        <f>IF(OR(TH!L3794=TH!$Y$7,M3794=TH!$Y$7),"x","")</f>
        <v/>
      </c>
      <c r="Z3794" s="525" t="str">
        <f>IF(AND(B3794&lt;=NKC!$N$8,B3794&gt;=NKC!$M$8),"x","")</f>
        <v/>
      </c>
      <c r="AA3794" s="535"/>
      <c r="AB3794" s="536"/>
      <c r="AC3794" s="536" t="str">
        <f>VLOOKUP(F3794,NXT!$B$12:$B$686,1,0)</f>
        <v>Giấy 2 lớp</v>
      </c>
    </row>
    <row r="3795" spans="1:30" s="503" customFormat="1" ht="15.75" customHeight="1">
      <c r="A3795" s="517" t="str">
        <f>IF(B3795&lt;&gt;"",IF(AND(B3795&gt;=_TM1,B3795&lt;=_TM2,OR(TH!L3795="1111",TH!M3795="1111")),TH!D3795,""),"")</f>
        <v/>
      </c>
      <c r="B3795" s="531">
        <f t="shared" si="425"/>
        <v>9</v>
      </c>
      <c r="C3795" s="315">
        <f t="shared" si="426"/>
        <v>43001</v>
      </c>
      <c r="D3795" s="544" t="s">
        <v>1181</v>
      </c>
      <c r="E3795" s="315">
        <v>43001</v>
      </c>
      <c r="F3795" s="245" t="s">
        <v>273</v>
      </c>
      <c r="G3795" s="314" t="s">
        <v>1693</v>
      </c>
      <c r="H3795" s="473" t="s">
        <v>283</v>
      </c>
      <c r="I3795" s="307">
        <v>4500</v>
      </c>
      <c r="J3795" s="307">
        <v>18500</v>
      </c>
      <c r="K3795" s="532">
        <f t="shared" si="435"/>
        <v>83250000</v>
      </c>
      <c r="L3795" s="534" t="s">
        <v>223</v>
      </c>
      <c r="M3795" s="534" t="s">
        <v>162</v>
      </c>
      <c r="N3795" s="525" t="str">
        <f>IF(AND('331-CT'!$E$7=TH!H3795,OR(L3795="331",M3795="331")),"331",IF(AND(OR(L3795="131",M3795="131"),H3795='131-CT'!$E$7),"131",""))</f>
        <v/>
      </c>
      <c r="O3795" s="525" t="str">
        <f>IF(AND($B3795&gt;='111'!$N$11,$B3795&lt;='111'!$O$11,OR($L3795=$O$7,$M3795=$O$7)),"x","")</f>
        <v/>
      </c>
      <c r="P3795" s="525" t="str">
        <f>IF(AND($L3795=$O$7,$B3795&lt;'111'!$N$11),"x","")</f>
        <v/>
      </c>
      <c r="Q3795" s="525" t="str">
        <f>IF(AND($M3795=$O$7,$B3795&lt;'111'!$N$11),"x","")</f>
        <v/>
      </c>
      <c r="R3795" s="525" t="str">
        <f>IF(ISERROR(FIND('112'!$M$9,G3795,1)),"",IF((AND(FIND('112'!$M$9,G3795,1)&gt;=1,$B3795&gt;='112'!$N$8,$B3795&lt;='112'!$O$8,OR($L3795='112'!$I$6,$M3795='112'!$I$6))),"x",""))</f>
        <v/>
      </c>
      <c r="S3795" s="525" t="str">
        <f>IF(ISERROR(FIND('112'!$M$9,G3795,1)),"",IF((AND(LEFT(G3795,2)=LEFT('112'!$M$9,2),B3795&lt;'112'!$N$8,$L3795='112'!$I$6)),"x",""))</f>
        <v/>
      </c>
      <c r="T3795" s="525" t="str">
        <f>IF(ISERROR(FIND('112'!$M$9,G3795,1)),"",IF((AND(RIGHT(G3795,2)=RIGHT('112'!$M$9,2),B3795&lt;'112'!$N$8,$M3795='112'!$I$6)),"x",""))</f>
        <v/>
      </c>
      <c r="U3795" s="525" t="str">
        <f>IF(AND(B3795&gt;='IN-NX'!$P$3,B3795&lt;='IN-NX'!$Q$3,'IN-NX'!$D$7=D3795,OR(LEFT(L3795,2)="15",AND(LEFT(M3795,2)&lt;&gt;"15",LEFT(M3795,2)&lt;&gt;"33"))),"x","")</f>
        <v/>
      </c>
      <c r="V3795" s="525" t="str">
        <f>IF(AND(OR(LEFT(TH!L3795,2)="15",LEFT(TH!M3795,2)="15"),'152-CT'!$J$8=TH!F3795),"x","")</f>
        <v/>
      </c>
      <c r="W3795" s="525" t="str">
        <f>IF(AND(OR(LEFT(TH!L3795,2)="15",LEFT(TH!M3795,2)="15"),TK!$E$7=TH!F3795),"x","")</f>
        <v/>
      </c>
      <c r="X3795" s="525" t="str">
        <f>IF(AND('341-CT'!$E$9=H3795,OR(LEFT(L3795,3)=$X$7,LEFT(M3795,3)=$X$7)),"x","")</f>
        <v/>
      </c>
      <c r="Y3795" s="525" t="str">
        <f>IF(OR(TH!L3795=TH!$Y$7,M3795=TH!$Y$7),"x","")</f>
        <v/>
      </c>
      <c r="Z3795" s="525" t="str">
        <f>IF(AND(B3795&lt;=NKC!$N$8,B3795&gt;=NKC!$M$8),"x","")</f>
        <v/>
      </c>
      <c r="AA3795" s="535"/>
      <c r="AB3795" s="536"/>
      <c r="AC3795" s="536" t="str">
        <f>VLOOKUP(F3795,NXT!$B$12:$B$686,1,0)</f>
        <v>Giấy 3 lớp</v>
      </c>
      <c r="AD3795" s="536"/>
    </row>
    <row r="3796" spans="1:30" s="503" customFormat="1" ht="15.75" customHeight="1">
      <c r="A3796" s="517" t="str">
        <f>IF(B3796&lt;&gt;"",IF(AND(B3796&gt;=_TM1,B3796&lt;=_TM2,OR(TH!L3796="1111",TH!M3796="1111")),TH!D3796,""),"")</f>
        <v/>
      </c>
      <c r="B3796" s="531">
        <f t="shared" si="425"/>
        <v>9</v>
      </c>
      <c r="C3796" s="315">
        <f t="shared" si="426"/>
        <v>43001</v>
      </c>
      <c r="D3796" s="544" t="s">
        <v>1181</v>
      </c>
      <c r="E3796" s="315">
        <v>43001</v>
      </c>
      <c r="F3796" s="250" t="s">
        <v>1320</v>
      </c>
      <c r="G3796" s="314" t="s">
        <v>1693</v>
      </c>
      <c r="H3796" s="473" t="s">
        <v>283</v>
      </c>
      <c r="I3796" s="307"/>
      <c r="J3796" s="307"/>
      <c r="K3796" s="532">
        <v>13505000</v>
      </c>
      <c r="L3796" s="534" t="s">
        <v>223</v>
      </c>
      <c r="M3796" s="534" t="s">
        <v>259</v>
      </c>
      <c r="N3796" s="525" t="str">
        <f>IF(AND('331-CT'!$E$7=TH!H3796,OR(L3796="331",M3796="331")),"331",IF(AND(OR(L3796="131",M3796="131"),H3796='131-CT'!$E$7),"131",""))</f>
        <v/>
      </c>
      <c r="O3796" s="525" t="str">
        <f>IF(AND($B3796&gt;='111'!$N$11,$B3796&lt;='111'!$O$11,OR($L3796=$O$7,$M3796=$O$7)),"x","")</f>
        <v/>
      </c>
      <c r="P3796" s="525" t="str">
        <f>IF(AND($L3796=$O$7,$B3796&lt;'111'!$N$11),"x","")</f>
        <v/>
      </c>
      <c r="Q3796" s="525" t="str">
        <f>IF(AND($M3796=$O$7,$B3796&lt;'111'!$N$11),"x","")</f>
        <v/>
      </c>
      <c r="R3796" s="525" t="str">
        <f>IF(ISERROR(FIND('112'!$M$9,G3796,1)),"",IF((AND(FIND('112'!$M$9,G3796,1)&gt;=1,$B3796&gt;='112'!$N$8,$B3796&lt;='112'!$O$8,OR($L3796='112'!$I$6,$M3796='112'!$I$6))),"x",""))</f>
        <v/>
      </c>
      <c r="S3796" s="525" t="str">
        <f>IF(ISERROR(FIND('112'!$M$9,G3796,1)),"",IF((AND(LEFT(G3796,2)=LEFT('112'!$M$9,2),B3796&lt;'112'!$N$8,$L3796='112'!$I$6)),"x",""))</f>
        <v/>
      </c>
      <c r="T3796" s="525" t="str">
        <f>IF(ISERROR(FIND('112'!$M$9,G3796,1)),"",IF((AND(RIGHT(G3796,2)=RIGHT('112'!$M$9,2),B3796&lt;'112'!$N$8,$M3796='112'!$I$6)),"x",""))</f>
        <v/>
      </c>
      <c r="U3796" s="525" t="str">
        <f>IF(AND(B3796&gt;='IN-NX'!$P$3,B3796&lt;='IN-NX'!$Q$3,'IN-NX'!$D$7=D3796,OR(LEFT(L3796,2)="15",AND(LEFT(M3796,2)&lt;&gt;"15",LEFT(M3796,2)&lt;&gt;"33"))),"x","")</f>
        <v/>
      </c>
      <c r="V3796" s="525" t="str">
        <f>IF(AND(OR(LEFT(TH!L3796,2)="15",LEFT(TH!M3796,2)="15"),'152-CT'!$J$8=TH!F3796),"x","")</f>
        <v/>
      </c>
      <c r="W3796" s="525" t="str">
        <f>IF(AND(OR(LEFT(TH!L3796,2)="15",LEFT(TH!M3796,2)="15"),TK!$E$7=TH!F3796),"x","")</f>
        <v/>
      </c>
      <c r="X3796" s="525" t="str">
        <f>IF(AND('341-CT'!$E$9=H3796,OR(LEFT(L3796,3)=$X$7,LEFT(M3796,3)=$X$7)),"x","")</f>
        <v/>
      </c>
      <c r="Y3796" s="525" t="str">
        <f>IF(OR(TH!L3796=TH!$Y$7,M3796=TH!$Y$7),"x","")</f>
        <v/>
      </c>
      <c r="Z3796" s="525" t="str">
        <f>IF(AND(B3796&lt;=NKC!$N$8,B3796&gt;=NKC!$M$8),"x","")</f>
        <v/>
      </c>
      <c r="AA3796" s="535"/>
    </row>
    <row r="3797" spans="1:30" s="503" customFormat="1" ht="15.75" customHeight="1">
      <c r="A3797" s="517" t="str">
        <f>IF(B3797&lt;&gt;"",IF(AND(B3797&gt;=_TM1,B3797&lt;=_TM2,OR(TH!L3797="1111",TH!M3797="1111")),TH!D3797,""),"")</f>
        <v/>
      </c>
      <c r="B3797" s="531">
        <f t="shared" si="425"/>
        <v>9</v>
      </c>
      <c r="C3797" s="315">
        <f t="shared" si="426"/>
        <v>43002</v>
      </c>
      <c r="D3797" s="544" t="s">
        <v>1181</v>
      </c>
      <c r="E3797" s="315">
        <v>43002</v>
      </c>
      <c r="F3797" s="245" t="s">
        <v>503</v>
      </c>
      <c r="G3797" s="314" t="s">
        <v>1694</v>
      </c>
      <c r="H3797" s="473" t="s">
        <v>375</v>
      </c>
      <c r="I3797" s="307">
        <v>2106</v>
      </c>
      <c r="J3797" s="307">
        <v>8500</v>
      </c>
      <c r="K3797" s="532">
        <f t="shared" ref="K3797" si="436">ROUND(I3797*J3797,0)</f>
        <v>17901000</v>
      </c>
      <c r="L3797" s="534" t="s">
        <v>223</v>
      </c>
      <c r="M3797" s="534" t="s">
        <v>162</v>
      </c>
      <c r="N3797" s="525" t="str">
        <f>IF(AND('331-CT'!$E$7=TH!H3797,OR(L3797="331",M3797="331")),"331",IF(AND(OR(L3797="131",M3797="131"),H3797='131-CT'!$E$7),"131",""))</f>
        <v/>
      </c>
      <c r="O3797" s="525" t="str">
        <f>IF(AND($B3797&gt;='111'!$N$11,$B3797&lt;='111'!$O$11,OR($L3797=$O$7,$M3797=$O$7)),"x","")</f>
        <v/>
      </c>
      <c r="P3797" s="525" t="str">
        <f>IF(AND($L3797=$O$7,$B3797&lt;'111'!$N$11),"x","")</f>
        <v/>
      </c>
      <c r="Q3797" s="525" t="str">
        <f>IF(AND($M3797=$O$7,$B3797&lt;'111'!$N$11),"x","")</f>
        <v/>
      </c>
      <c r="R3797" s="525" t="str">
        <f>IF(ISERROR(FIND('112'!$M$9,G3797,1)),"",IF((AND(FIND('112'!$M$9,G3797,1)&gt;=1,$B3797&gt;='112'!$N$8,$B3797&lt;='112'!$O$8,OR($L3797='112'!$I$6,$M3797='112'!$I$6))),"x",""))</f>
        <v/>
      </c>
      <c r="S3797" s="525" t="str">
        <f>IF(ISERROR(FIND('112'!$M$9,G3797,1)),"",IF((AND(LEFT(G3797,2)=LEFT('112'!$M$9,2),B3797&lt;'112'!$N$8,$L3797='112'!$I$6)),"x",""))</f>
        <v/>
      </c>
      <c r="T3797" s="525" t="str">
        <f>IF(ISERROR(FIND('112'!$M$9,G3797,1)),"",IF((AND(RIGHT(G3797,2)=RIGHT('112'!$M$9,2),B3797&lt;'112'!$N$8,$M3797='112'!$I$6)),"x",""))</f>
        <v/>
      </c>
      <c r="U3797" s="525" t="str">
        <f>IF(AND(B3797&gt;='IN-NX'!$P$3,B3797&lt;='IN-NX'!$Q$3,'IN-NX'!$D$7=D3797,OR(LEFT(L3797,2)="15",AND(LEFT(M3797,2)&lt;&gt;"15",LEFT(M3797,2)&lt;&gt;"33"))),"x","")</f>
        <v/>
      </c>
      <c r="V3797" s="525" t="str">
        <f>IF(AND(OR(LEFT(TH!L3797,2)="15",LEFT(TH!M3797,2)="15"),'152-CT'!$J$8=TH!F3797),"x","")</f>
        <v/>
      </c>
      <c r="W3797" s="525" t="str">
        <f>IF(AND(OR(LEFT(TH!L3797,2)="15",LEFT(TH!M3797,2)="15"),TK!$E$7=TH!F3797),"x","")</f>
        <v/>
      </c>
      <c r="X3797" s="525" t="str">
        <f>IF(AND('341-CT'!$E$9=H3797,OR(LEFT(L3797,3)=$X$7,LEFT(M3797,3)=$X$7)),"x","")</f>
        <v/>
      </c>
      <c r="Y3797" s="525" t="str">
        <f>IF(OR(TH!L3797=TH!$Y$7,M3797=TH!$Y$7),"x","")</f>
        <v/>
      </c>
      <c r="Z3797" s="525" t="str">
        <f>IF(AND(B3797&lt;=NKC!$N$8,B3797&gt;=NKC!$M$8),"x","")</f>
        <v/>
      </c>
      <c r="AA3797" s="535"/>
      <c r="AB3797" s="536"/>
      <c r="AC3797" s="536" t="str">
        <f>VLOOKUP(F3797,NXT!$B$12:$B$686,1,0)</f>
        <v>Giấy 5 lớp</v>
      </c>
      <c r="AD3797" s="536"/>
    </row>
    <row r="3798" spans="1:30" s="503" customFormat="1" ht="15.75" customHeight="1">
      <c r="A3798" s="517" t="str">
        <f>IF(B3798&lt;&gt;"",IF(AND(B3798&gt;=_TM1,B3798&lt;=_TM2,OR(TH!L3798="1111",TH!M3798="1111")),TH!D3798,""),"")</f>
        <v/>
      </c>
      <c r="B3798" s="531">
        <f t="shared" si="425"/>
        <v>9</v>
      </c>
      <c r="C3798" s="315">
        <f t="shared" si="426"/>
        <v>43002</v>
      </c>
      <c r="D3798" s="544" t="s">
        <v>1181</v>
      </c>
      <c r="E3798" s="315">
        <v>43002</v>
      </c>
      <c r="F3798" s="250" t="s">
        <v>1320</v>
      </c>
      <c r="G3798" s="314" t="s">
        <v>1694</v>
      </c>
      <c r="H3798" s="473" t="s">
        <v>375</v>
      </c>
      <c r="I3798" s="307"/>
      <c r="J3798" s="307"/>
      <c r="K3798" s="532">
        <v>1790100</v>
      </c>
      <c r="L3798" s="534" t="s">
        <v>223</v>
      </c>
      <c r="M3798" s="534" t="s">
        <v>259</v>
      </c>
      <c r="N3798" s="525" t="str">
        <f>IF(AND('331-CT'!$E$7=TH!H3798,OR(L3798="331",M3798="331")),"331",IF(AND(OR(L3798="131",M3798="131"),H3798='131-CT'!$E$7),"131",""))</f>
        <v/>
      </c>
      <c r="O3798" s="525" t="str">
        <f>IF(AND($B3798&gt;='111'!$N$11,$B3798&lt;='111'!$O$11,OR($L3798=$O$7,$M3798=$O$7)),"x","")</f>
        <v/>
      </c>
      <c r="P3798" s="525" t="str">
        <f>IF(AND($L3798=$O$7,$B3798&lt;'111'!$N$11),"x","")</f>
        <v/>
      </c>
      <c r="Q3798" s="525" t="str">
        <f>IF(AND($M3798=$O$7,$B3798&lt;'111'!$N$11),"x","")</f>
        <v/>
      </c>
      <c r="R3798" s="525" t="str">
        <f>IF(ISERROR(FIND('112'!$M$9,G3798,1)),"",IF((AND(FIND('112'!$M$9,G3798,1)&gt;=1,$B3798&gt;='112'!$N$8,$B3798&lt;='112'!$O$8,OR($L3798='112'!$I$6,$M3798='112'!$I$6))),"x",""))</f>
        <v/>
      </c>
      <c r="S3798" s="525" t="str">
        <f>IF(ISERROR(FIND('112'!$M$9,G3798,1)),"",IF((AND(LEFT(G3798,2)=LEFT('112'!$M$9,2),B3798&lt;'112'!$N$8,$L3798='112'!$I$6)),"x",""))</f>
        <v/>
      </c>
      <c r="T3798" s="525" t="str">
        <f>IF(ISERROR(FIND('112'!$M$9,G3798,1)),"",IF((AND(RIGHT(G3798,2)=RIGHT('112'!$M$9,2),B3798&lt;'112'!$N$8,$M3798='112'!$I$6)),"x",""))</f>
        <v/>
      </c>
      <c r="U3798" s="525" t="str">
        <f>IF(AND(B3798&gt;='IN-NX'!$P$3,B3798&lt;='IN-NX'!$Q$3,'IN-NX'!$D$7=D3798,OR(LEFT(L3798,2)="15",AND(LEFT(M3798,2)&lt;&gt;"15",LEFT(M3798,2)&lt;&gt;"33"))),"x","")</f>
        <v/>
      </c>
      <c r="V3798" s="525" t="str">
        <f>IF(AND(OR(LEFT(TH!L3798,2)="15",LEFT(TH!M3798,2)="15"),'152-CT'!$J$8=TH!F3798),"x","")</f>
        <v/>
      </c>
      <c r="W3798" s="525" t="str">
        <f>IF(AND(OR(LEFT(TH!L3798,2)="15",LEFT(TH!M3798,2)="15"),TK!$E$7=TH!F3798),"x","")</f>
        <v/>
      </c>
      <c r="X3798" s="525" t="str">
        <f>IF(AND('341-CT'!$E$9=H3798,OR(LEFT(L3798,3)=$X$7,LEFT(M3798,3)=$X$7)),"x","")</f>
        <v/>
      </c>
      <c r="Y3798" s="525" t="str">
        <f>IF(OR(TH!L3798=TH!$Y$7,M3798=TH!$Y$7),"x","")</f>
        <v/>
      </c>
      <c r="Z3798" s="525" t="str">
        <f>IF(AND(B3798&lt;=NKC!$N$8,B3798&gt;=NKC!$M$8),"x","")</f>
        <v/>
      </c>
      <c r="AA3798" s="535"/>
      <c r="AD3798" s="536"/>
    </row>
    <row r="3799" spans="1:30" s="503" customFormat="1" ht="15.75" customHeight="1">
      <c r="A3799" s="517" t="str">
        <f>IF(B3799&lt;&gt;"",IF(AND(B3799&gt;=_TM1,B3799&lt;=_TM2,OR(TH!L3799="1111",TH!M3799="1111")),TH!D3799,""),"")</f>
        <v/>
      </c>
      <c r="B3799" s="531">
        <f t="shared" si="425"/>
        <v>9</v>
      </c>
      <c r="C3799" s="315">
        <f t="shared" si="426"/>
        <v>43003</v>
      </c>
      <c r="D3799" s="544" t="s">
        <v>1181</v>
      </c>
      <c r="E3799" s="315">
        <v>43003</v>
      </c>
      <c r="F3799" s="249" t="s">
        <v>1217</v>
      </c>
      <c r="G3799" s="314" t="s">
        <v>1695</v>
      </c>
      <c r="H3799" s="248" t="s">
        <v>1218</v>
      </c>
      <c r="I3799" s="307">
        <v>3045</v>
      </c>
      <c r="J3799" s="307">
        <v>5900</v>
      </c>
      <c r="K3799" s="532">
        <f>ROUND(I3799*J3799,0)</f>
        <v>17965500</v>
      </c>
      <c r="L3799" s="534" t="s">
        <v>223</v>
      </c>
      <c r="M3799" s="534" t="s">
        <v>162</v>
      </c>
      <c r="N3799" s="525" t="str">
        <f>IF(AND('331-CT'!$E$7=TH!H3799,OR(L3799="331",M3799="331")),"331",IF(AND(OR(L3799="131",M3799="131"),H3799='131-CT'!$E$7),"131",""))</f>
        <v/>
      </c>
      <c r="O3799" s="525" t="str">
        <f>IF(AND($B3799&gt;='111'!$N$11,$B3799&lt;='111'!$O$11,OR($L3799=$O$7,$M3799=$O$7)),"x","")</f>
        <v/>
      </c>
      <c r="P3799" s="525" t="str">
        <f>IF(AND($L3799=$O$7,$B3799&lt;'111'!$N$11),"x","")</f>
        <v/>
      </c>
      <c r="Q3799" s="525" t="str">
        <f>IF(AND($M3799=$O$7,$B3799&lt;'111'!$N$11),"x","")</f>
        <v/>
      </c>
      <c r="R3799" s="525" t="str">
        <f>IF(ISERROR(FIND('112'!$M$9,G3799,1)),"",IF((AND(FIND('112'!$M$9,G3799,1)&gt;=1,$B3799&gt;='112'!$N$8,$B3799&lt;='112'!$O$8,OR($L3799='112'!$I$6,$M3799='112'!$I$6))),"x",""))</f>
        <v/>
      </c>
      <c r="S3799" s="525" t="str">
        <f>IF(ISERROR(FIND('112'!$M$9,G3799,1)),"",IF((AND(LEFT(G3799,2)=LEFT('112'!$M$9,2),B3799&lt;'112'!$N$8,$L3799='112'!$I$6)),"x",""))</f>
        <v/>
      </c>
      <c r="T3799" s="525" t="str">
        <f>IF(ISERROR(FIND('112'!$M$9,G3799,1)),"",IF((AND(RIGHT(G3799,2)=RIGHT('112'!$M$9,2),B3799&lt;'112'!$N$8,$M3799='112'!$I$6)),"x",""))</f>
        <v/>
      </c>
      <c r="U3799" s="525" t="str">
        <f>IF(AND(B3799&gt;='IN-NX'!$P$3,B3799&lt;='IN-NX'!$Q$3,'IN-NX'!$D$7=D3799,OR(LEFT(L3799,2)="15",AND(LEFT(M3799,2)&lt;&gt;"15",LEFT(M3799,2)&lt;&gt;"33"))),"x","")</f>
        <v/>
      </c>
      <c r="V3799" s="525" t="str">
        <f>IF(AND(OR(LEFT(TH!L3799,2)="15",LEFT(TH!M3799,2)="15"),'152-CT'!$J$8=TH!F3799),"x","")</f>
        <v/>
      </c>
      <c r="W3799" s="525" t="str">
        <f>IF(AND(OR(LEFT(TH!L3799,2)="15",LEFT(TH!M3799,2)="15"),TK!$E$7=TH!F3799),"x","")</f>
        <v/>
      </c>
      <c r="X3799" s="525" t="str">
        <f>IF(AND('341-CT'!$E$9=H3799,OR(LEFT(L3799,3)=$X$7,LEFT(M3799,3)=$X$7)),"x","")</f>
        <v/>
      </c>
      <c r="Y3799" s="525" t="str">
        <f>IF(OR(TH!L3799=TH!$Y$7,M3799=TH!$Y$7),"x","")</f>
        <v/>
      </c>
      <c r="Z3799" s="525" t="str">
        <f>IF(AND(B3799&lt;=NKC!$N$8,B3799&gt;=NKC!$M$8),"x","")</f>
        <v/>
      </c>
      <c r="AA3799" s="535"/>
      <c r="AC3799" s="536" t="str">
        <f>VLOOKUP(F3799,NXT!$B$12:$B$686,1,0)</f>
        <v>Thùng 50x29.5x19</v>
      </c>
    </row>
    <row r="3800" spans="1:30" s="503" customFormat="1" ht="15.75" customHeight="1">
      <c r="A3800" s="517" t="str">
        <f>IF(B3800&lt;&gt;"",IF(AND(B3800&gt;=_TM1,B3800&lt;=_TM2,OR(TH!L3800="1111",TH!M3800="1111")),TH!D3800,""),"")</f>
        <v/>
      </c>
      <c r="B3800" s="531">
        <f t="shared" ref="B3800:B3805" si="437">IF(C3800&lt;&gt;"",MONTH(C3800),"")</f>
        <v>9</v>
      </c>
      <c r="C3800" s="315">
        <f t="shared" ref="C3800:C3805" si="438">E3800</f>
        <v>43003</v>
      </c>
      <c r="D3800" s="544" t="s">
        <v>1181</v>
      </c>
      <c r="E3800" s="315">
        <v>43003</v>
      </c>
      <c r="F3800" s="249" t="s">
        <v>494</v>
      </c>
      <c r="G3800" s="314" t="s">
        <v>1695</v>
      </c>
      <c r="H3800" s="248" t="s">
        <v>1218</v>
      </c>
      <c r="I3800" s="307"/>
      <c r="J3800" s="307"/>
      <c r="K3800" s="532">
        <v>1796550</v>
      </c>
      <c r="L3800" s="534" t="s">
        <v>223</v>
      </c>
      <c r="M3800" s="534" t="s">
        <v>259</v>
      </c>
      <c r="N3800" s="525" t="str">
        <f>IF(AND('331-CT'!$E$7=TH!H3800,OR(L3800="331",M3800="331")),"331",IF(AND(OR(L3800="131",M3800="131"),H3800='131-CT'!$E$7),"131",""))</f>
        <v/>
      </c>
      <c r="O3800" s="525" t="str">
        <f>IF(AND($B3800&gt;='111'!$N$11,$B3800&lt;='111'!$O$11,OR($L3800=$O$7,$M3800=$O$7)),"x","")</f>
        <v/>
      </c>
      <c r="P3800" s="525" t="str">
        <f>IF(AND($L3800=$O$7,$B3800&lt;'111'!$N$11),"x","")</f>
        <v/>
      </c>
      <c r="Q3800" s="525" t="str">
        <f>IF(AND($M3800=$O$7,$B3800&lt;'111'!$N$11),"x","")</f>
        <v/>
      </c>
      <c r="R3800" s="525" t="str">
        <f>IF(ISERROR(FIND('112'!$M$9,G3800,1)),"",IF((AND(FIND('112'!$M$9,G3800,1)&gt;=1,$B3800&gt;='112'!$N$8,$B3800&lt;='112'!$O$8,OR($L3800='112'!$I$6,$M3800='112'!$I$6))),"x",""))</f>
        <v/>
      </c>
      <c r="S3800" s="525" t="str">
        <f>IF(ISERROR(FIND('112'!$M$9,G3800,1)),"",IF((AND(LEFT(G3800,2)=LEFT('112'!$M$9,2),B3800&lt;'112'!$N$8,$L3800='112'!$I$6)),"x",""))</f>
        <v/>
      </c>
      <c r="T3800" s="525" t="str">
        <f>IF(ISERROR(FIND('112'!$M$9,G3800,1)),"",IF((AND(RIGHT(G3800,2)=RIGHT('112'!$M$9,2),B3800&lt;'112'!$N$8,$M3800='112'!$I$6)),"x",""))</f>
        <v/>
      </c>
      <c r="U3800" s="525" t="str">
        <f>IF(AND(B3800&gt;='IN-NX'!$P$3,B3800&lt;='IN-NX'!$Q$3,'IN-NX'!$D$7=D3800,OR(LEFT(L3800,2)="15",AND(LEFT(M3800,2)&lt;&gt;"15",LEFT(M3800,2)&lt;&gt;"33"))),"x","")</f>
        <v/>
      </c>
      <c r="V3800" s="525" t="str">
        <f>IF(AND(OR(LEFT(TH!L3800,2)="15",LEFT(TH!M3800,2)="15"),'152-CT'!$J$8=TH!F3800),"x","")</f>
        <v/>
      </c>
      <c r="W3800" s="525" t="str">
        <f>IF(AND(OR(LEFT(TH!L3800,2)="15",LEFT(TH!M3800,2)="15"),TK!$E$7=TH!F3800),"x","")</f>
        <v/>
      </c>
      <c r="X3800" s="525" t="str">
        <f>IF(AND('341-CT'!$E$9=H3800,OR(LEFT(L3800,3)=$X$7,LEFT(M3800,3)=$X$7)),"x","")</f>
        <v/>
      </c>
      <c r="Y3800" s="525" t="str">
        <f>IF(OR(TH!L3800=TH!$Y$7,M3800=TH!$Y$7),"x","")</f>
        <v/>
      </c>
      <c r="Z3800" s="525" t="str">
        <f>IF(AND(B3800&lt;=NKC!$N$8,B3800&gt;=NKC!$M$8),"x","")</f>
        <v/>
      </c>
      <c r="AA3800" s="535"/>
    </row>
    <row r="3801" spans="1:30" s="503" customFormat="1" ht="15.75" customHeight="1">
      <c r="A3801" s="517" t="str">
        <f>IF(B3801&lt;&gt;"",IF(AND(B3801&gt;=_TM1,B3801&lt;=_TM2,OR(TH!L3801="1111",TH!M3801="1111")),TH!D3801,""),"")</f>
        <v/>
      </c>
      <c r="B3801" s="531">
        <f t="shared" si="437"/>
        <v>9</v>
      </c>
      <c r="C3801" s="315">
        <f t="shared" si="438"/>
        <v>43004</v>
      </c>
      <c r="D3801" s="544" t="s">
        <v>1181</v>
      </c>
      <c r="E3801" s="315">
        <v>43004</v>
      </c>
      <c r="F3801" s="249" t="s">
        <v>1217</v>
      </c>
      <c r="G3801" s="314" t="s">
        <v>1696</v>
      </c>
      <c r="H3801" s="248" t="s">
        <v>1218</v>
      </c>
      <c r="I3801" s="307">
        <v>3045</v>
      </c>
      <c r="J3801" s="307">
        <v>5900</v>
      </c>
      <c r="K3801" s="532">
        <f>ROUND(I3801*J3801,0)</f>
        <v>17965500</v>
      </c>
      <c r="L3801" s="534" t="s">
        <v>223</v>
      </c>
      <c r="M3801" s="534" t="s">
        <v>162</v>
      </c>
      <c r="N3801" s="525" t="str">
        <f>IF(AND('331-CT'!$E$7=TH!H3801,OR(L3801="331",M3801="331")),"331",IF(AND(OR(L3801="131",M3801="131"),H3801='131-CT'!$E$7),"131",""))</f>
        <v/>
      </c>
      <c r="O3801" s="525" t="str">
        <f>IF(AND($B3801&gt;='111'!$N$11,$B3801&lt;='111'!$O$11,OR($L3801=$O$7,$M3801=$O$7)),"x","")</f>
        <v/>
      </c>
      <c r="P3801" s="525" t="str">
        <f>IF(AND($L3801=$O$7,$B3801&lt;'111'!$N$11),"x","")</f>
        <v/>
      </c>
      <c r="Q3801" s="525" t="str">
        <f>IF(AND($M3801=$O$7,$B3801&lt;'111'!$N$11),"x","")</f>
        <v/>
      </c>
      <c r="R3801" s="525" t="str">
        <f>IF(ISERROR(FIND('112'!$M$9,G3801,1)),"",IF((AND(FIND('112'!$M$9,G3801,1)&gt;=1,$B3801&gt;='112'!$N$8,$B3801&lt;='112'!$O$8,OR($L3801='112'!$I$6,$M3801='112'!$I$6))),"x",""))</f>
        <v/>
      </c>
      <c r="S3801" s="525" t="str">
        <f>IF(ISERROR(FIND('112'!$M$9,G3801,1)),"",IF((AND(LEFT(G3801,2)=LEFT('112'!$M$9,2),B3801&lt;'112'!$N$8,$L3801='112'!$I$6)),"x",""))</f>
        <v/>
      </c>
      <c r="T3801" s="525" t="str">
        <f>IF(ISERROR(FIND('112'!$M$9,G3801,1)),"",IF((AND(RIGHT(G3801,2)=RIGHT('112'!$M$9,2),B3801&lt;'112'!$N$8,$M3801='112'!$I$6)),"x",""))</f>
        <v/>
      </c>
      <c r="U3801" s="525" t="str">
        <f>IF(AND(B3801&gt;='IN-NX'!$P$3,B3801&lt;='IN-NX'!$Q$3,'IN-NX'!$D$7=D3801,OR(LEFT(L3801,2)="15",AND(LEFT(M3801,2)&lt;&gt;"15",LEFT(M3801,2)&lt;&gt;"33"))),"x","")</f>
        <v/>
      </c>
      <c r="V3801" s="525" t="str">
        <f>IF(AND(OR(LEFT(TH!L3801,2)="15",LEFT(TH!M3801,2)="15"),'152-CT'!$J$8=TH!F3801),"x","")</f>
        <v/>
      </c>
      <c r="W3801" s="525" t="str">
        <f>IF(AND(OR(LEFT(TH!L3801,2)="15",LEFT(TH!M3801,2)="15"),TK!$E$7=TH!F3801),"x","")</f>
        <v/>
      </c>
      <c r="X3801" s="525" t="str">
        <f>IF(AND('341-CT'!$E$9=H3801,OR(LEFT(L3801,3)=$X$7,LEFT(M3801,3)=$X$7)),"x","")</f>
        <v/>
      </c>
      <c r="Y3801" s="525" t="str">
        <f>IF(OR(TH!L3801=TH!$Y$7,M3801=TH!$Y$7),"x","")</f>
        <v/>
      </c>
      <c r="Z3801" s="525" t="str">
        <f>IF(AND(B3801&lt;=NKC!$N$8,B3801&gt;=NKC!$M$8),"x","")</f>
        <v/>
      </c>
      <c r="AA3801" s="535"/>
      <c r="AC3801" s="536" t="str">
        <f>VLOOKUP(F3801,NXT!$B$12:$B$686,1,0)</f>
        <v>Thùng 50x29.5x19</v>
      </c>
      <c r="AD3801" s="536"/>
    </row>
    <row r="3802" spans="1:30" s="503" customFormat="1" ht="15.75" customHeight="1">
      <c r="A3802" s="517" t="str">
        <f>IF(B3802&lt;&gt;"",IF(AND(B3802&gt;=_TM1,B3802&lt;=_TM2,OR(TH!L3802="1111",TH!M3802="1111")),TH!D3802,""),"")</f>
        <v/>
      </c>
      <c r="B3802" s="531">
        <f t="shared" si="437"/>
        <v>9</v>
      </c>
      <c r="C3802" s="315">
        <f t="shared" si="438"/>
        <v>43004</v>
      </c>
      <c r="D3802" s="544" t="s">
        <v>1181</v>
      </c>
      <c r="E3802" s="315">
        <v>43004</v>
      </c>
      <c r="F3802" s="249" t="s">
        <v>494</v>
      </c>
      <c r="G3802" s="314" t="s">
        <v>1696</v>
      </c>
      <c r="H3802" s="248" t="s">
        <v>1218</v>
      </c>
      <c r="I3802" s="307"/>
      <c r="J3802" s="307"/>
      <c r="K3802" s="532">
        <v>1796550</v>
      </c>
      <c r="L3802" s="534" t="s">
        <v>223</v>
      </c>
      <c r="M3802" s="534" t="s">
        <v>259</v>
      </c>
      <c r="N3802" s="525" t="str">
        <f>IF(AND('331-CT'!$E$7=TH!H3802,OR(L3802="331",M3802="331")),"331",IF(AND(OR(L3802="131",M3802="131"),H3802='131-CT'!$E$7),"131",""))</f>
        <v/>
      </c>
      <c r="O3802" s="525" t="str">
        <f>IF(AND($B3802&gt;='111'!$N$11,$B3802&lt;='111'!$O$11,OR($L3802=$O$7,$M3802=$O$7)),"x","")</f>
        <v/>
      </c>
      <c r="P3802" s="525" t="str">
        <f>IF(AND($L3802=$O$7,$B3802&lt;'111'!$N$11),"x","")</f>
        <v/>
      </c>
      <c r="Q3802" s="525" t="str">
        <f>IF(AND($M3802=$O$7,$B3802&lt;'111'!$N$11),"x","")</f>
        <v/>
      </c>
      <c r="R3802" s="525" t="str">
        <f>IF(ISERROR(FIND('112'!$M$9,G3802,1)),"",IF((AND(FIND('112'!$M$9,G3802,1)&gt;=1,$B3802&gt;='112'!$N$8,$B3802&lt;='112'!$O$8,OR($L3802='112'!$I$6,$M3802='112'!$I$6))),"x",""))</f>
        <v/>
      </c>
      <c r="S3802" s="525" t="str">
        <f>IF(ISERROR(FIND('112'!$M$9,G3802,1)),"",IF((AND(LEFT(G3802,2)=LEFT('112'!$M$9,2),B3802&lt;'112'!$N$8,$L3802='112'!$I$6)),"x",""))</f>
        <v/>
      </c>
      <c r="T3802" s="525" t="str">
        <f>IF(ISERROR(FIND('112'!$M$9,G3802,1)),"",IF((AND(RIGHT(G3802,2)=RIGHT('112'!$M$9,2),B3802&lt;'112'!$N$8,$M3802='112'!$I$6)),"x",""))</f>
        <v/>
      </c>
      <c r="U3802" s="525" t="str">
        <f>IF(AND(B3802&gt;='IN-NX'!$P$3,B3802&lt;='IN-NX'!$Q$3,'IN-NX'!$D$7=D3802,OR(LEFT(L3802,2)="15",AND(LEFT(M3802,2)&lt;&gt;"15",LEFT(M3802,2)&lt;&gt;"33"))),"x","")</f>
        <v/>
      </c>
      <c r="V3802" s="525" t="str">
        <f>IF(AND(OR(LEFT(TH!L3802,2)="15",LEFT(TH!M3802,2)="15"),'152-CT'!$J$8=TH!F3802),"x","")</f>
        <v/>
      </c>
      <c r="W3802" s="525" t="str">
        <f>IF(AND(OR(LEFT(TH!L3802,2)="15",LEFT(TH!M3802,2)="15"),TK!$E$7=TH!F3802),"x","")</f>
        <v/>
      </c>
      <c r="X3802" s="525" t="str">
        <f>IF(AND('341-CT'!$E$9=H3802,OR(LEFT(L3802,3)=$X$7,LEFT(M3802,3)=$X$7)),"x","")</f>
        <v/>
      </c>
      <c r="Y3802" s="525" t="str">
        <f>IF(OR(TH!L3802=TH!$Y$7,M3802=TH!$Y$7),"x","")</f>
        <v/>
      </c>
      <c r="Z3802" s="525" t="str">
        <f>IF(AND(B3802&lt;=NKC!$N$8,B3802&gt;=NKC!$M$8),"x","")</f>
        <v/>
      </c>
      <c r="AA3802" s="535"/>
    </row>
    <row r="3803" spans="1:30" s="503" customFormat="1" ht="15.75" customHeight="1">
      <c r="A3803" s="517" t="str">
        <f>IF(B3803&lt;&gt;"",IF(AND(B3803&gt;=_TM1,B3803&lt;=_TM2,OR(TH!L3803="1111",TH!M3803="1111")),TH!D3803,""),"")</f>
        <v/>
      </c>
      <c r="B3803" s="531">
        <f t="shared" si="437"/>
        <v>9</v>
      </c>
      <c r="C3803" s="315">
        <f t="shared" si="438"/>
        <v>43005</v>
      </c>
      <c r="D3803" s="544" t="s">
        <v>1181</v>
      </c>
      <c r="E3803" s="315">
        <v>43005</v>
      </c>
      <c r="F3803" s="249" t="s">
        <v>1217</v>
      </c>
      <c r="G3803" s="314" t="s">
        <v>1697</v>
      </c>
      <c r="H3803" s="248" t="s">
        <v>1218</v>
      </c>
      <c r="I3803" s="307">
        <v>3045</v>
      </c>
      <c r="J3803" s="307">
        <v>5900</v>
      </c>
      <c r="K3803" s="532">
        <f>ROUND(I3803*J3803,0)</f>
        <v>17965500</v>
      </c>
      <c r="L3803" s="534" t="s">
        <v>223</v>
      </c>
      <c r="M3803" s="534" t="s">
        <v>162</v>
      </c>
      <c r="N3803" s="525" t="str">
        <f>IF(AND('331-CT'!$E$7=TH!H3803,OR(L3803="331",M3803="331")),"331",IF(AND(OR(L3803="131",M3803="131"),H3803='131-CT'!$E$7),"131",""))</f>
        <v/>
      </c>
      <c r="O3803" s="525" t="str">
        <f>IF(AND($B3803&gt;='111'!$N$11,$B3803&lt;='111'!$O$11,OR($L3803=$O$7,$M3803=$O$7)),"x","")</f>
        <v/>
      </c>
      <c r="P3803" s="525" t="str">
        <f>IF(AND($L3803=$O$7,$B3803&lt;'111'!$N$11),"x","")</f>
        <v/>
      </c>
      <c r="Q3803" s="525" t="str">
        <f>IF(AND($M3803=$O$7,$B3803&lt;'111'!$N$11),"x","")</f>
        <v/>
      </c>
      <c r="R3803" s="525" t="str">
        <f>IF(ISERROR(FIND('112'!$M$9,G3803,1)),"",IF((AND(FIND('112'!$M$9,G3803,1)&gt;=1,$B3803&gt;='112'!$N$8,$B3803&lt;='112'!$O$8,OR($L3803='112'!$I$6,$M3803='112'!$I$6))),"x",""))</f>
        <v/>
      </c>
      <c r="S3803" s="525" t="str">
        <f>IF(ISERROR(FIND('112'!$M$9,G3803,1)),"",IF((AND(LEFT(G3803,2)=LEFT('112'!$M$9,2),B3803&lt;'112'!$N$8,$L3803='112'!$I$6)),"x",""))</f>
        <v/>
      </c>
      <c r="T3803" s="525" t="str">
        <f>IF(ISERROR(FIND('112'!$M$9,G3803,1)),"",IF((AND(RIGHT(G3803,2)=RIGHT('112'!$M$9,2),B3803&lt;'112'!$N$8,$M3803='112'!$I$6)),"x",""))</f>
        <v/>
      </c>
      <c r="U3803" s="525" t="str">
        <f>IF(AND(B3803&gt;='IN-NX'!$P$3,B3803&lt;='IN-NX'!$Q$3,'IN-NX'!$D$7=D3803,OR(LEFT(L3803,2)="15",AND(LEFT(M3803,2)&lt;&gt;"15",LEFT(M3803,2)&lt;&gt;"33"))),"x","")</f>
        <v/>
      </c>
      <c r="V3803" s="525" t="str">
        <f>IF(AND(OR(LEFT(TH!L3803,2)="15",LEFT(TH!M3803,2)="15"),'152-CT'!$J$8=TH!F3803),"x","")</f>
        <v/>
      </c>
      <c r="W3803" s="525" t="str">
        <f>IF(AND(OR(LEFT(TH!L3803,2)="15",LEFT(TH!M3803,2)="15"),TK!$E$7=TH!F3803),"x","")</f>
        <v/>
      </c>
      <c r="X3803" s="525" t="str">
        <f>IF(AND('341-CT'!$E$9=H3803,OR(LEFT(L3803,3)=$X$7,LEFT(M3803,3)=$X$7)),"x","")</f>
        <v/>
      </c>
      <c r="Y3803" s="525" t="str">
        <f>IF(OR(TH!L3803=TH!$Y$7,M3803=TH!$Y$7),"x","")</f>
        <v/>
      </c>
      <c r="Z3803" s="525" t="str">
        <f>IF(AND(B3803&lt;=NKC!$N$8,B3803&gt;=NKC!$M$8),"x","")</f>
        <v/>
      </c>
      <c r="AA3803" s="535"/>
      <c r="AC3803" s="536" t="str">
        <f>VLOOKUP(F3803,NXT!$B$12:$B$686,1,0)</f>
        <v>Thùng 50x29.5x19</v>
      </c>
      <c r="AD3803" s="536"/>
    </row>
    <row r="3804" spans="1:30" s="503" customFormat="1" ht="15.75" customHeight="1">
      <c r="A3804" s="517" t="str">
        <f>IF(B3804&lt;&gt;"",IF(AND(B3804&gt;=_TM1,B3804&lt;=_TM2,OR(TH!L3804="1111",TH!M3804="1111")),TH!D3804,""),"")</f>
        <v/>
      </c>
      <c r="B3804" s="531">
        <f t="shared" si="437"/>
        <v>9</v>
      </c>
      <c r="C3804" s="315">
        <f t="shared" si="438"/>
        <v>43005</v>
      </c>
      <c r="D3804" s="544" t="s">
        <v>1181</v>
      </c>
      <c r="E3804" s="315">
        <v>43005</v>
      </c>
      <c r="F3804" s="249" t="s">
        <v>494</v>
      </c>
      <c r="G3804" s="314" t="s">
        <v>1697</v>
      </c>
      <c r="H3804" s="248" t="s">
        <v>1218</v>
      </c>
      <c r="I3804" s="307"/>
      <c r="J3804" s="307"/>
      <c r="K3804" s="532">
        <v>1796550</v>
      </c>
      <c r="L3804" s="534" t="s">
        <v>223</v>
      </c>
      <c r="M3804" s="534" t="s">
        <v>259</v>
      </c>
      <c r="N3804" s="525" t="str">
        <f>IF(AND('331-CT'!$E$7=TH!H3804,OR(L3804="331",M3804="331")),"331",IF(AND(OR(L3804="131",M3804="131"),H3804='131-CT'!$E$7),"131",""))</f>
        <v/>
      </c>
      <c r="O3804" s="525" t="str">
        <f>IF(AND($B3804&gt;='111'!$N$11,$B3804&lt;='111'!$O$11,OR($L3804=$O$7,$M3804=$O$7)),"x","")</f>
        <v/>
      </c>
      <c r="P3804" s="525" t="str">
        <f>IF(AND($L3804=$O$7,$B3804&lt;'111'!$N$11),"x","")</f>
        <v/>
      </c>
      <c r="Q3804" s="525" t="str">
        <f>IF(AND($M3804=$O$7,$B3804&lt;'111'!$N$11),"x","")</f>
        <v/>
      </c>
      <c r="R3804" s="525" t="str">
        <f>IF(ISERROR(FIND('112'!$M$9,G3804,1)),"",IF((AND(FIND('112'!$M$9,G3804,1)&gt;=1,$B3804&gt;='112'!$N$8,$B3804&lt;='112'!$O$8,OR($L3804='112'!$I$6,$M3804='112'!$I$6))),"x",""))</f>
        <v/>
      </c>
      <c r="S3804" s="525" t="str">
        <f>IF(ISERROR(FIND('112'!$M$9,G3804,1)),"",IF((AND(LEFT(G3804,2)=LEFT('112'!$M$9,2),B3804&lt;'112'!$N$8,$L3804='112'!$I$6)),"x",""))</f>
        <v/>
      </c>
      <c r="T3804" s="525" t="str">
        <f>IF(ISERROR(FIND('112'!$M$9,G3804,1)),"",IF((AND(RIGHT(G3804,2)=RIGHT('112'!$M$9,2),B3804&lt;'112'!$N$8,$M3804='112'!$I$6)),"x",""))</f>
        <v/>
      </c>
      <c r="U3804" s="525" t="str">
        <f>IF(AND(B3804&gt;='IN-NX'!$P$3,B3804&lt;='IN-NX'!$Q$3,'IN-NX'!$D$7=D3804,OR(LEFT(L3804,2)="15",AND(LEFT(M3804,2)&lt;&gt;"15",LEFT(M3804,2)&lt;&gt;"33"))),"x","")</f>
        <v/>
      </c>
      <c r="V3804" s="525" t="str">
        <f>IF(AND(OR(LEFT(TH!L3804,2)="15",LEFT(TH!M3804,2)="15"),'152-CT'!$J$8=TH!F3804),"x","")</f>
        <v/>
      </c>
      <c r="W3804" s="525" t="str">
        <f>IF(AND(OR(LEFT(TH!L3804,2)="15",LEFT(TH!M3804,2)="15"),TK!$E$7=TH!F3804),"x","")</f>
        <v/>
      </c>
      <c r="X3804" s="525" t="str">
        <f>IF(AND('341-CT'!$E$9=H3804,OR(LEFT(L3804,3)=$X$7,LEFT(M3804,3)=$X$7)),"x","")</f>
        <v/>
      </c>
      <c r="Y3804" s="525" t="str">
        <f>IF(OR(TH!L3804=TH!$Y$7,M3804=TH!$Y$7),"x","")</f>
        <v/>
      </c>
      <c r="Z3804" s="525" t="str">
        <f>IF(AND(B3804&lt;=NKC!$N$8,B3804&gt;=NKC!$M$8),"x","")</f>
        <v/>
      </c>
      <c r="AA3804" s="535"/>
      <c r="AD3804" s="536"/>
    </row>
    <row r="3805" spans="1:30" s="503" customFormat="1" ht="15.75" customHeight="1">
      <c r="A3805" s="517" t="str">
        <f>IF(B3805&lt;&gt;"",IF(AND(B3805&gt;=_TM1,B3805&lt;=_TM2,OR(TH!L3805="1111",TH!M3805="1111")),TH!D3805,""),"")</f>
        <v/>
      </c>
      <c r="B3805" s="531">
        <f t="shared" si="437"/>
        <v>9</v>
      </c>
      <c r="C3805" s="315">
        <f t="shared" si="438"/>
        <v>43006</v>
      </c>
      <c r="D3805" s="544" t="s">
        <v>1181</v>
      </c>
      <c r="E3805" s="315">
        <v>43006</v>
      </c>
      <c r="F3805" s="249" t="s">
        <v>1217</v>
      </c>
      <c r="G3805" s="314" t="s">
        <v>1698</v>
      </c>
      <c r="H3805" s="248" t="s">
        <v>1218</v>
      </c>
      <c r="I3805" s="307">
        <v>3045</v>
      </c>
      <c r="J3805" s="307">
        <v>5900</v>
      </c>
      <c r="K3805" s="532">
        <f>ROUND(I3805*J3805,0)</f>
        <v>17965500</v>
      </c>
      <c r="L3805" s="534" t="s">
        <v>223</v>
      </c>
      <c r="M3805" s="534" t="s">
        <v>162</v>
      </c>
      <c r="N3805" s="525" t="str">
        <f>IF(AND('331-CT'!$E$7=TH!H3805,OR(L3805="331",M3805="331")),"331",IF(AND(OR(L3805="131",M3805="131"),H3805='131-CT'!$E$7),"131",""))</f>
        <v/>
      </c>
      <c r="O3805" s="525" t="str">
        <f>IF(AND($B3805&gt;='111'!$N$11,$B3805&lt;='111'!$O$11,OR($L3805=$O$7,$M3805=$O$7)),"x","")</f>
        <v/>
      </c>
      <c r="P3805" s="525" t="str">
        <f>IF(AND($L3805=$O$7,$B3805&lt;'111'!$N$11),"x","")</f>
        <v/>
      </c>
      <c r="Q3805" s="525" t="str">
        <f>IF(AND($M3805=$O$7,$B3805&lt;'111'!$N$11),"x","")</f>
        <v/>
      </c>
      <c r="R3805" s="525" t="str">
        <f>IF(ISERROR(FIND('112'!$M$9,G3805,1)),"",IF((AND(FIND('112'!$M$9,G3805,1)&gt;=1,$B3805&gt;='112'!$N$8,$B3805&lt;='112'!$O$8,OR($L3805='112'!$I$6,$M3805='112'!$I$6))),"x",""))</f>
        <v/>
      </c>
      <c r="S3805" s="525" t="str">
        <f>IF(ISERROR(FIND('112'!$M$9,G3805,1)),"",IF((AND(LEFT(G3805,2)=LEFT('112'!$M$9,2),B3805&lt;'112'!$N$8,$L3805='112'!$I$6)),"x",""))</f>
        <v/>
      </c>
      <c r="T3805" s="525" t="str">
        <f>IF(ISERROR(FIND('112'!$M$9,G3805,1)),"",IF((AND(RIGHT(G3805,2)=RIGHT('112'!$M$9,2),B3805&lt;'112'!$N$8,$M3805='112'!$I$6)),"x",""))</f>
        <v/>
      </c>
      <c r="U3805" s="525" t="str">
        <f>IF(AND(B3805&gt;='IN-NX'!$P$3,B3805&lt;='IN-NX'!$Q$3,'IN-NX'!$D$7=D3805,OR(LEFT(L3805,2)="15",AND(LEFT(M3805,2)&lt;&gt;"15",LEFT(M3805,2)&lt;&gt;"33"))),"x","")</f>
        <v/>
      </c>
      <c r="V3805" s="525" t="str">
        <f>IF(AND(OR(LEFT(TH!L3805,2)="15",LEFT(TH!M3805,2)="15"),'152-CT'!$J$8=TH!F3805),"x","")</f>
        <v/>
      </c>
      <c r="W3805" s="525" t="str">
        <f>IF(AND(OR(LEFT(TH!L3805,2)="15",LEFT(TH!M3805,2)="15"),TK!$E$7=TH!F3805),"x","")</f>
        <v/>
      </c>
      <c r="X3805" s="525" t="str">
        <f>IF(AND('341-CT'!$E$9=H3805,OR(LEFT(L3805,3)=$X$7,LEFT(M3805,3)=$X$7)),"x","")</f>
        <v/>
      </c>
      <c r="Y3805" s="525" t="str">
        <f>IF(OR(TH!L3805=TH!$Y$7,M3805=TH!$Y$7),"x","")</f>
        <v/>
      </c>
      <c r="Z3805" s="525" t="str">
        <f>IF(AND(B3805&lt;=NKC!$N$8,B3805&gt;=NKC!$M$8),"x","")</f>
        <v/>
      </c>
      <c r="AA3805" s="535"/>
      <c r="AC3805" s="536" t="str">
        <f>VLOOKUP(F3805,NXT!$B$12:$B$686,1,0)</f>
        <v>Thùng 50x29.5x19</v>
      </c>
    </row>
    <row r="3806" spans="1:30" s="503" customFormat="1" ht="15.75" customHeight="1">
      <c r="A3806" s="517" t="str">
        <f>IF(B3806&lt;&gt;"",IF(AND(B3806&gt;=_TM1,B3806&lt;=_TM2,OR(TH!L3806="1111",TH!M3806="1111")),TH!D3806,""),"")</f>
        <v/>
      </c>
      <c r="B3806" s="531">
        <f t="shared" ref="B3806:B3904" si="439">IF(C3806&lt;&gt;"",MONTH(C3806),"")</f>
        <v>9</v>
      </c>
      <c r="C3806" s="315">
        <f t="shared" ref="C3806:C3904" si="440">E3806</f>
        <v>43006</v>
      </c>
      <c r="D3806" s="544" t="s">
        <v>1181</v>
      </c>
      <c r="E3806" s="315">
        <v>43006</v>
      </c>
      <c r="F3806" s="249" t="s">
        <v>494</v>
      </c>
      <c r="G3806" s="314" t="s">
        <v>1698</v>
      </c>
      <c r="H3806" s="248" t="s">
        <v>1218</v>
      </c>
      <c r="I3806" s="307"/>
      <c r="J3806" s="307"/>
      <c r="K3806" s="532">
        <v>1796550</v>
      </c>
      <c r="L3806" s="534" t="s">
        <v>223</v>
      </c>
      <c r="M3806" s="534" t="s">
        <v>259</v>
      </c>
      <c r="N3806" s="525" t="str">
        <f>IF(AND('331-CT'!$E$7=TH!H3806,OR(L3806="331",M3806="331")),"331",IF(AND(OR(L3806="131",M3806="131"),H3806='131-CT'!$E$7),"131",""))</f>
        <v/>
      </c>
      <c r="O3806" s="525" t="str">
        <f>IF(AND($B3806&gt;='111'!$N$11,$B3806&lt;='111'!$O$11,OR($L3806=$O$7,$M3806=$O$7)),"x","")</f>
        <v/>
      </c>
      <c r="P3806" s="525" t="str">
        <f>IF(AND($L3806=$O$7,$B3806&lt;'111'!$N$11),"x","")</f>
        <v/>
      </c>
      <c r="Q3806" s="525" t="str">
        <f>IF(AND($M3806=$O$7,$B3806&lt;'111'!$N$11),"x","")</f>
        <v/>
      </c>
      <c r="R3806" s="525" t="str">
        <f>IF(ISERROR(FIND('112'!$M$9,G3806,1)),"",IF((AND(FIND('112'!$M$9,G3806,1)&gt;=1,$B3806&gt;='112'!$N$8,$B3806&lt;='112'!$O$8,OR($L3806='112'!$I$6,$M3806='112'!$I$6))),"x",""))</f>
        <v/>
      </c>
      <c r="S3806" s="525" t="str">
        <f>IF(ISERROR(FIND('112'!$M$9,G3806,1)),"",IF((AND(LEFT(G3806,2)=LEFT('112'!$M$9,2),B3806&lt;'112'!$N$8,$L3806='112'!$I$6)),"x",""))</f>
        <v/>
      </c>
      <c r="T3806" s="525" t="str">
        <f>IF(ISERROR(FIND('112'!$M$9,G3806,1)),"",IF((AND(RIGHT(G3806,2)=RIGHT('112'!$M$9,2),B3806&lt;'112'!$N$8,$M3806='112'!$I$6)),"x",""))</f>
        <v/>
      </c>
      <c r="U3806" s="525" t="str">
        <f>IF(AND(B3806&gt;='IN-NX'!$P$3,B3806&lt;='IN-NX'!$Q$3,'IN-NX'!$D$7=D3806,OR(LEFT(L3806,2)="15",AND(LEFT(M3806,2)&lt;&gt;"15",LEFT(M3806,2)&lt;&gt;"33"))),"x","")</f>
        <v/>
      </c>
      <c r="V3806" s="525" t="str">
        <f>IF(AND(OR(LEFT(TH!L3806,2)="15",LEFT(TH!M3806,2)="15"),'152-CT'!$J$8=TH!F3806),"x","")</f>
        <v/>
      </c>
      <c r="W3806" s="525" t="str">
        <f>IF(AND(OR(LEFT(TH!L3806,2)="15",LEFT(TH!M3806,2)="15"),TK!$E$7=TH!F3806),"x","")</f>
        <v/>
      </c>
      <c r="X3806" s="525" t="str">
        <f>IF(AND('341-CT'!$E$9=H3806,OR(LEFT(L3806,3)=$X$7,LEFT(M3806,3)=$X$7)),"x","")</f>
        <v/>
      </c>
      <c r="Y3806" s="525" t="str">
        <f>IF(OR(TH!L3806=TH!$Y$7,M3806=TH!$Y$7),"x","")</f>
        <v/>
      </c>
      <c r="Z3806" s="525" t="str">
        <f>IF(AND(B3806&lt;=NKC!$N$8,B3806&gt;=NKC!$M$8),"x","")</f>
        <v/>
      </c>
      <c r="AA3806" s="535"/>
    </row>
    <row r="3807" spans="1:30" s="503" customFormat="1" ht="15.75" customHeight="1">
      <c r="A3807" s="517" t="str">
        <f>IF(B3807&lt;&gt;"",IF(AND(B3807&gt;=_TM1,B3807&lt;=_TM2,OR(TH!L3807="1111",TH!M3807="1111")),TH!D3807,""),"")</f>
        <v/>
      </c>
      <c r="B3807" s="531">
        <f t="shared" si="439"/>
        <v>9</v>
      </c>
      <c r="C3807" s="315">
        <f t="shared" si="440"/>
        <v>43007</v>
      </c>
      <c r="D3807" s="544" t="s">
        <v>1181</v>
      </c>
      <c r="E3807" s="315">
        <v>43007</v>
      </c>
      <c r="F3807" s="249" t="s">
        <v>1217</v>
      </c>
      <c r="G3807" s="314" t="s">
        <v>1699</v>
      </c>
      <c r="H3807" s="248" t="s">
        <v>1218</v>
      </c>
      <c r="I3807" s="307">
        <v>3045</v>
      </c>
      <c r="J3807" s="307">
        <v>5900</v>
      </c>
      <c r="K3807" s="532">
        <f>ROUND(I3807*J3807,0)</f>
        <v>17965500</v>
      </c>
      <c r="L3807" s="534" t="s">
        <v>223</v>
      </c>
      <c r="M3807" s="534" t="s">
        <v>162</v>
      </c>
      <c r="N3807" s="525" t="str">
        <f>IF(AND('331-CT'!$E$7=TH!H3807,OR(L3807="331",M3807="331")),"331",IF(AND(OR(L3807="131",M3807="131"),H3807='131-CT'!$E$7),"131",""))</f>
        <v/>
      </c>
      <c r="O3807" s="525" t="str">
        <f>IF(AND($B3807&gt;='111'!$N$11,$B3807&lt;='111'!$O$11,OR($L3807=$O$7,$M3807=$O$7)),"x","")</f>
        <v/>
      </c>
      <c r="P3807" s="525" t="str">
        <f>IF(AND($L3807=$O$7,$B3807&lt;'111'!$N$11),"x","")</f>
        <v/>
      </c>
      <c r="Q3807" s="525" t="str">
        <f>IF(AND($M3807=$O$7,$B3807&lt;'111'!$N$11),"x","")</f>
        <v/>
      </c>
      <c r="R3807" s="525" t="str">
        <f>IF(ISERROR(FIND('112'!$M$9,G3807,1)),"",IF((AND(FIND('112'!$M$9,G3807,1)&gt;=1,$B3807&gt;='112'!$N$8,$B3807&lt;='112'!$O$8,OR($L3807='112'!$I$6,$M3807='112'!$I$6))),"x",""))</f>
        <v/>
      </c>
      <c r="S3807" s="525" t="str">
        <f>IF(ISERROR(FIND('112'!$M$9,G3807,1)),"",IF((AND(LEFT(G3807,2)=LEFT('112'!$M$9,2),B3807&lt;'112'!$N$8,$L3807='112'!$I$6)),"x",""))</f>
        <v/>
      </c>
      <c r="T3807" s="525" t="str">
        <f>IF(ISERROR(FIND('112'!$M$9,G3807,1)),"",IF((AND(RIGHT(G3807,2)=RIGHT('112'!$M$9,2),B3807&lt;'112'!$N$8,$M3807='112'!$I$6)),"x",""))</f>
        <v/>
      </c>
      <c r="U3807" s="525" t="str">
        <f>IF(AND(B3807&gt;='IN-NX'!$P$3,B3807&lt;='IN-NX'!$Q$3,'IN-NX'!$D$7=D3807,OR(LEFT(L3807,2)="15",AND(LEFT(M3807,2)&lt;&gt;"15",LEFT(M3807,2)&lt;&gt;"33"))),"x","")</f>
        <v/>
      </c>
      <c r="V3807" s="525" t="str">
        <f>IF(AND(OR(LEFT(TH!L3807,2)="15",LEFT(TH!M3807,2)="15"),'152-CT'!$J$8=TH!F3807),"x","")</f>
        <v/>
      </c>
      <c r="W3807" s="525" t="str">
        <f>IF(AND(OR(LEFT(TH!L3807,2)="15",LEFT(TH!M3807,2)="15"),TK!$E$7=TH!F3807),"x","")</f>
        <v/>
      </c>
      <c r="X3807" s="525" t="str">
        <f>IF(AND('341-CT'!$E$9=H3807,OR(LEFT(L3807,3)=$X$7,LEFT(M3807,3)=$X$7)),"x","")</f>
        <v/>
      </c>
      <c r="Y3807" s="525" t="str">
        <f>IF(OR(TH!L3807=TH!$Y$7,M3807=TH!$Y$7),"x","")</f>
        <v/>
      </c>
      <c r="Z3807" s="525" t="str">
        <f>IF(AND(B3807&lt;=NKC!$N$8,B3807&gt;=NKC!$M$8),"x","")</f>
        <v/>
      </c>
      <c r="AA3807" s="535"/>
      <c r="AC3807" s="536" t="str">
        <f>VLOOKUP(F3807,NXT!$B$12:$B$686,1,0)</f>
        <v>Thùng 50x29.5x19</v>
      </c>
      <c r="AD3807" s="536"/>
    </row>
    <row r="3808" spans="1:30" s="503" customFormat="1" ht="15.75" customHeight="1">
      <c r="A3808" s="517" t="str">
        <f>IF(B3808&lt;&gt;"",IF(AND(B3808&gt;=_TM1,B3808&lt;=_TM2,OR(TH!L3808="1111",TH!M3808="1111")),TH!D3808,""),"")</f>
        <v/>
      </c>
      <c r="B3808" s="531">
        <f t="shared" si="439"/>
        <v>9</v>
      </c>
      <c r="C3808" s="315">
        <f t="shared" si="440"/>
        <v>43007</v>
      </c>
      <c r="D3808" s="544" t="s">
        <v>1181</v>
      </c>
      <c r="E3808" s="315">
        <v>43007</v>
      </c>
      <c r="F3808" s="249" t="s">
        <v>494</v>
      </c>
      <c r="G3808" s="314" t="s">
        <v>1699</v>
      </c>
      <c r="H3808" s="248" t="s">
        <v>1218</v>
      </c>
      <c r="I3808" s="307"/>
      <c r="J3808" s="307"/>
      <c r="K3808" s="532">
        <v>1796550</v>
      </c>
      <c r="L3808" s="534" t="s">
        <v>223</v>
      </c>
      <c r="M3808" s="534" t="s">
        <v>259</v>
      </c>
      <c r="N3808" s="525" t="str">
        <f>IF(AND('331-CT'!$E$7=TH!H3808,OR(L3808="331",M3808="331")),"331",IF(AND(OR(L3808="131",M3808="131"),H3808='131-CT'!$E$7),"131",""))</f>
        <v/>
      </c>
      <c r="O3808" s="525" t="str">
        <f>IF(AND($B3808&gt;='111'!$N$11,$B3808&lt;='111'!$O$11,OR($L3808=$O$7,$M3808=$O$7)),"x","")</f>
        <v/>
      </c>
      <c r="P3808" s="525" t="str">
        <f>IF(AND($L3808=$O$7,$B3808&lt;'111'!$N$11),"x","")</f>
        <v/>
      </c>
      <c r="Q3808" s="525" t="str">
        <f>IF(AND($M3808=$O$7,$B3808&lt;'111'!$N$11),"x","")</f>
        <v/>
      </c>
      <c r="R3808" s="525" t="str">
        <f>IF(ISERROR(FIND('112'!$M$9,G3808,1)),"",IF((AND(FIND('112'!$M$9,G3808,1)&gt;=1,$B3808&gt;='112'!$N$8,$B3808&lt;='112'!$O$8,OR($L3808='112'!$I$6,$M3808='112'!$I$6))),"x",""))</f>
        <v/>
      </c>
      <c r="S3808" s="525" t="str">
        <f>IF(ISERROR(FIND('112'!$M$9,G3808,1)),"",IF((AND(LEFT(G3808,2)=LEFT('112'!$M$9,2),B3808&lt;'112'!$N$8,$L3808='112'!$I$6)),"x",""))</f>
        <v/>
      </c>
      <c r="T3808" s="525" t="str">
        <f>IF(ISERROR(FIND('112'!$M$9,G3808,1)),"",IF((AND(RIGHT(G3808,2)=RIGHT('112'!$M$9,2),B3808&lt;'112'!$N$8,$M3808='112'!$I$6)),"x",""))</f>
        <v/>
      </c>
      <c r="U3808" s="525" t="str">
        <f>IF(AND(B3808&gt;='IN-NX'!$P$3,B3808&lt;='IN-NX'!$Q$3,'IN-NX'!$D$7=D3808,OR(LEFT(L3808,2)="15",AND(LEFT(M3808,2)&lt;&gt;"15",LEFT(M3808,2)&lt;&gt;"33"))),"x","")</f>
        <v/>
      </c>
      <c r="V3808" s="525" t="str">
        <f>IF(AND(OR(LEFT(TH!L3808,2)="15",LEFT(TH!M3808,2)="15"),'152-CT'!$J$8=TH!F3808),"x","")</f>
        <v/>
      </c>
      <c r="W3808" s="525" t="str">
        <f>IF(AND(OR(LEFT(TH!L3808,2)="15",LEFT(TH!M3808,2)="15"),TK!$E$7=TH!F3808),"x","")</f>
        <v/>
      </c>
      <c r="X3808" s="525" t="str">
        <f>IF(AND('341-CT'!$E$9=H3808,OR(LEFT(L3808,3)=$X$7,LEFT(M3808,3)=$X$7)),"x","")</f>
        <v/>
      </c>
      <c r="Y3808" s="525" t="str">
        <f>IF(OR(TH!L3808=TH!$Y$7,M3808=TH!$Y$7),"x","")</f>
        <v/>
      </c>
      <c r="Z3808" s="525" t="str">
        <f>IF(AND(B3808&lt;=NKC!$N$8,B3808&gt;=NKC!$M$8),"x","")</f>
        <v/>
      </c>
      <c r="AA3808" s="535"/>
    </row>
    <row r="3809" spans="1:30" s="503" customFormat="1" ht="15.75" customHeight="1">
      <c r="A3809" s="517" t="str">
        <f>IF(B3809&lt;&gt;"",IF(AND(B3809&gt;=_TM1,B3809&lt;=_TM2,OR(TH!L3809="1111",TH!M3809="1111")),TH!D3809,""),"")</f>
        <v/>
      </c>
      <c r="B3809" s="531">
        <f t="shared" si="439"/>
        <v>9</v>
      </c>
      <c r="C3809" s="315">
        <f t="shared" si="440"/>
        <v>43007</v>
      </c>
      <c r="D3809" s="544" t="s">
        <v>1181</v>
      </c>
      <c r="E3809" s="315">
        <v>43007</v>
      </c>
      <c r="F3809" s="249" t="s">
        <v>1099</v>
      </c>
      <c r="G3809" s="314" t="s">
        <v>1700</v>
      </c>
      <c r="H3809" s="472" t="s">
        <v>511</v>
      </c>
      <c r="I3809" s="307"/>
      <c r="J3809" s="307"/>
      <c r="K3809" s="532">
        <v>7900000</v>
      </c>
      <c r="L3809" s="534" t="s">
        <v>45</v>
      </c>
      <c r="M3809" s="534" t="s">
        <v>275</v>
      </c>
      <c r="N3809" s="525" t="str">
        <f>IF(AND('331-CT'!$E$7=TH!H3809,OR(L3809="331",M3809="331")),"331",IF(AND(OR(L3809="131",M3809="131"),H3809='131-CT'!$E$7),"131",""))</f>
        <v/>
      </c>
      <c r="O3809" s="525" t="str">
        <f>IF(AND($B3809&gt;='111'!$N$11,$B3809&lt;='111'!$O$11,OR($L3809=$O$7,$M3809=$O$7)),"x","")</f>
        <v/>
      </c>
      <c r="P3809" s="525" t="str">
        <f>IF(AND($L3809=$O$7,$B3809&lt;'111'!$N$11),"x","")</f>
        <v>x</v>
      </c>
      <c r="Q3809" s="525" t="str">
        <f>IF(AND($M3809=$O$7,$B3809&lt;'111'!$N$11),"x","")</f>
        <v/>
      </c>
      <c r="R3809" s="525" t="str">
        <f>IF(ISERROR(FIND('112'!$M$9,G3809,1)),"",IF((AND(FIND('112'!$M$9,G3809,1)&gt;=1,$B3809&gt;='112'!$N$8,$B3809&lt;='112'!$O$8,OR($L3809='112'!$I$6,$M3809='112'!$I$6))),"x",""))</f>
        <v/>
      </c>
      <c r="S3809" s="525" t="str">
        <f>IF(ISERROR(FIND('112'!$M$9,G3809,1)),"",IF((AND(LEFT(G3809,2)=LEFT('112'!$M$9,2),B3809&lt;'112'!$N$8,$L3809='112'!$I$6)),"x",""))</f>
        <v/>
      </c>
      <c r="T3809" s="525" t="str">
        <f>IF(ISERROR(FIND('112'!$M$9,G3809,1)),"",IF((AND(RIGHT(G3809,2)=RIGHT('112'!$M$9,2),B3809&lt;'112'!$N$8,$M3809='112'!$I$6)),"x",""))</f>
        <v/>
      </c>
      <c r="U3809" s="525" t="str">
        <f>IF(AND(B3809&gt;='IN-NX'!$P$3,B3809&lt;='IN-NX'!$Q$3,'IN-NX'!$D$7=D3809,OR(LEFT(L3809,2)="15",AND(LEFT(M3809,2)&lt;&gt;"15",LEFT(M3809,2)&lt;&gt;"33"))),"x","")</f>
        <v/>
      </c>
      <c r="V3809" s="525" t="str">
        <f>IF(AND(OR(LEFT(TH!L3809,2)="15",LEFT(TH!M3809,2)="15"),'152-CT'!$J$8=TH!F3809),"x","")</f>
        <v/>
      </c>
      <c r="W3809" s="525" t="str">
        <f>IF(AND(OR(LEFT(TH!L3809,2)="15",LEFT(TH!M3809,2)="15"),TK!$E$7=TH!F3809),"x","")</f>
        <v/>
      </c>
      <c r="X3809" s="525" t="str">
        <f>IF(AND('341-CT'!$E$9=H3809,OR(LEFT(L3809,3)=$X$7,LEFT(M3809,3)=$X$7)),"x","")</f>
        <v/>
      </c>
      <c r="Y3809" s="525" t="str">
        <f>IF(OR(TH!L3809=TH!$Y$7,M3809=TH!$Y$7),"x","")</f>
        <v/>
      </c>
      <c r="Z3809" s="525" t="str">
        <f>IF(AND(B3809&lt;=NKC!$N$8,B3809&gt;=NKC!$M$8),"x","")</f>
        <v/>
      </c>
      <c r="AA3809" s="535"/>
    </row>
    <row r="3810" spans="1:30" s="503" customFormat="1" ht="15.75" customHeight="1">
      <c r="A3810" s="517" t="str">
        <f>IF(B3810&lt;&gt;"",IF(AND(B3810&gt;=_TM1,B3810&lt;=_TM2,OR(TH!L3810="1111",TH!M3810="1111")),TH!D3810,""),"")</f>
        <v/>
      </c>
      <c r="B3810" s="531">
        <f t="shared" si="439"/>
        <v>9</v>
      </c>
      <c r="C3810" s="315">
        <f t="shared" si="440"/>
        <v>43007</v>
      </c>
      <c r="D3810" s="544" t="s">
        <v>1181</v>
      </c>
      <c r="E3810" s="315">
        <v>43007</v>
      </c>
      <c r="F3810" s="249" t="s">
        <v>1102</v>
      </c>
      <c r="G3810" s="314" t="s">
        <v>1700</v>
      </c>
      <c r="H3810" s="472" t="s">
        <v>511</v>
      </c>
      <c r="I3810" s="307"/>
      <c r="J3810" s="307"/>
      <c r="K3810" s="532">
        <v>790000</v>
      </c>
      <c r="L3810" s="534" t="s">
        <v>45</v>
      </c>
      <c r="M3810" s="534" t="s">
        <v>259</v>
      </c>
      <c r="N3810" s="525" t="str">
        <f>IF(AND('331-CT'!$E$7=TH!H3810,OR(L3810="331",M3810="331")),"331",IF(AND(OR(L3810="131",M3810="131"),H3810='131-CT'!$E$7),"131",""))</f>
        <v/>
      </c>
      <c r="O3810" s="525" t="str">
        <f>IF(AND($B3810&gt;='111'!$N$11,$B3810&lt;='111'!$O$11,OR($L3810=$O$7,$M3810=$O$7)),"x","")</f>
        <v/>
      </c>
      <c r="P3810" s="525" t="str">
        <f>IF(AND($L3810=$O$7,$B3810&lt;'111'!$N$11),"x","")</f>
        <v>x</v>
      </c>
      <c r="Q3810" s="525" t="str">
        <f>IF(AND($M3810=$O$7,$B3810&lt;'111'!$N$11),"x","")</f>
        <v/>
      </c>
      <c r="R3810" s="525" t="str">
        <f>IF(ISERROR(FIND('112'!$M$9,G3810,1)),"",IF((AND(FIND('112'!$M$9,G3810,1)&gt;=1,$B3810&gt;='112'!$N$8,$B3810&lt;='112'!$O$8,OR($L3810='112'!$I$6,$M3810='112'!$I$6))),"x",""))</f>
        <v/>
      </c>
      <c r="S3810" s="525" t="str">
        <f>IF(ISERROR(FIND('112'!$M$9,G3810,1)),"",IF((AND(LEFT(G3810,2)=LEFT('112'!$M$9,2),B3810&lt;'112'!$N$8,$L3810='112'!$I$6)),"x",""))</f>
        <v/>
      </c>
      <c r="T3810" s="525" t="str">
        <f>IF(ISERROR(FIND('112'!$M$9,G3810,1)),"",IF((AND(RIGHT(G3810,2)=RIGHT('112'!$M$9,2),B3810&lt;'112'!$N$8,$M3810='112'!$I$6)),"x",""))</f>
        <v/>
      </c>
      <c r="U3810" s="525" t="str">
        <f>IF(AND(B3810&gt;='IN-NX'!$P$3,B3810&lt;='IN-NX'!$Q$3,'IN-NX'!$D$7=D3810,OR(LEFT(L3810,2)="15",AND(LEFT(M3810,2)&lt;&gt;"15",LEFT(M3810,2)&lt;&gt;"33"))),"x","")</f>
        <v/>
      </c>
      <c r="V3810" s="525" t="str">
        <f>IF(AND(OR(LEFT(TH!L3810,2)="15",LEFT(TH!M3810,2)="15"),'152-CT'!$J$8=TH!F3810),"x","")</f>
        <v/>
      </c>
      <c r="W3810" s="525" t="str">
        <f>IF(AND(OR(LEFT(TH!L3810,2)="15",LEFT(TH!M3810,2)="15"),TK!$E$7=TH!F3810),"x","")</f>
        <v/>
      </c>
      <c r="X3810" s="525" t="str">
        <f>IF(AND('341-CT'!$E$9=H3810,OR(LEFT(L3810,3)=$X$7,LEFT(M3810,3)=$X$7)),"x","")</f>
        <v/>
      </c>
      <c r="Y3810" s="525" t="str">
        <f>IF(OR(TH!L3810=TH!$Y$7,M3810=TH!$Y$7),"x","")</f>
        <v/>
      </c>
      <c r="Z3810" s="525" t="str">
        <f>IF(AND(B3810&lt;=NKC!$N$8,B3810&gt;=NKC!$M$8),"x","")</f>
        <v/>
      </c>
      <c r="AA3810" s="535"/>
    </row>
    <row r="3811" spans="1:30" s="503" customFormat="1" ht="15.75" customHeight="1">
      <c r="A3811" s="517" t="str">
        <f>IF(B3811&lt;&gt;"",IF(AND(B3811&gt;=_TM1,B3811&lt;=_TM2,OR(TH!L3811="1111",TH!M3811="1111")),TH!D3811,""),"")</f>
        <v/>
      </c>
      <c r="B3811" s="531">
        <f t="shared" si="439"/>
        <v>9</v>
      </c>
      <c r="C3811" s="315">
        <f t="shared" si="440"/>
        <v>43007</v>
      </c>
      <c r="D3811" s="544" t="s">
        <v>1181</v>
      </c>
      <c r="E3811" s="315">
        <v>43007</v>
      </c>
      <c r="F3811" s="250" t="s">
        <v>1329</v>
      </c>
      <c r="G3811" s="314" t="s">
        <v>1701</v>
      </c>
      <c r="H3811" s="473" t="s">
        <v>284</v>
      </c>
      <c r="I3811" s="307">
        <v>48</v>
      </c>
      <c r="J3811" s="307">
        <v>36024</v>
      </c>
      <c r="K3811" s="532">
        <f t="shared" ref="K3811:K3817" si="441">ROUND(I3811*J3811,0)</f>
        <v>1729152</v>
      </c>
      <c r="L3811" s="534" t="s">
        <v>223</v>
      </c>
      <c r="M3811" s="534" t="s">
        <v>162</v>
      </c>
      <c r="N3811" s="525" t="str">
        <f>IF(AND('331-CT'!$E$7=TH!H3811,OR(L3811="331",M3811="331")),"331",IF(AND(OR(L3811="131",M3811="131"),H3811='131-CT'!$E$7),"131",""))</f>
        <v/>
      </c>
      <c r="O3811" s="525" t="str">
        <f>IF(AND($B3811&gt;='111'!$N$11,$B3811&lt;='111'!$O$11,OR($L3811=$O$7,$M3811=$O$7)),"x","")</f>
        <v/>
      </c>
      <c r="P3811" s="525" t="str">
        <f>IF(AND($L3811=$O$7,$B3811&lt;'111'!$N$11),"x","")</f>
        <v/>
      </c>
      <c r="Q3811" s="525" t="str">
        <f>IF(AND($M3811=$O$7,$B3811&lt;'111'!$N$11),"x","")</f>
        <v/>
      </c>
      <c r="R3811" s="525" t="str">
        <f>IF(ISERROR(FIND('112'!$M$9,G3811,1)),"",IF((AND(FIND('112'!$M$9,G3811,1)&gt;=1,$B3811&gt;='112'!$N$8,$B3811&lt;='112'!$O$8,OR($L3811='112'!$I$6,$M3811='112'!$I$6))),"x",""))</f>
        <v/>
      </c>
      <c r="S3811" s="525" t="str">
        <f>IF(ISERROR(FIND('112'!$M$9,G3811,1)),"",IF((AND(LEFT(G3811,2)=LEFT('112'!$M$9,2),B3811&lt;'112'!$N$8,$L3811='112'!$I$6)),"x",""))</f>
        <v/>
      </c>
      <c r="T3811" s="525" t="str">
        <f>IF(ISERROR(FIND('112'!$M$9,G3811,1)),"",IF((AND(RIGHT(G3811,2)=RIGHT('112'!$M$9,2),B3811&lt;'112'!$N$8,$M3811='112'!$I$6)),"x",""))</f>
        <v/>
      </c>
      <c r="U3811" s="525" t="str">
        <f>IF(AND(B3811&gt;='IN-NX'!$P$3,B3811&lt;='IN-NX'!$Q$3,'IN-NX'!$D$7=D3811,OR(LEFT(L3811,2)="15",AND(LEFT(M3811,2)&lt;&gt;"15",LEFT(M3811,2)&lt;&gt;"33"))),"x","")</f>
        <v/>
      </c>
      <c r="V3811" s="525" t="str">
        <f>IF(AND(OR(LEFT(TH!L3811,2)="15",LEFT(TH!M3811,2)="15"),'152-CT'!$J$8=TH!F3811),"x","")</f>
        <v/>
      </c>
      <c r="W3811" s="525" t="str">
        <f>IF(AND(OR(LEFT(TH!L3811,2)="15",LEFT(TH!M3811,2)="15"),TK!$E$7=TH!F3811),"x","")</f>
        <v/>
      </c>
      <c r="X3811" s="525" t="str">
        <f>IF(AND('341-CT'!$E$9=H3811,OR(LEFT(L3811,3)=$X$7,LEFT(M3811,3)=$X$7)),"x","")</f>
        <v/>
      </c>
      <c r="Y3811" s="525" t="str">
        <f>IF(OR(TH!L3811=TH!$Y$7,M3811=TH!$Y$7),"x","")</f>
        <v/>
      </c>
      <c r="Z3811" s="525" t="str">
        <f>IF(AND(B3811&lt;=NKC!$N$8,B3811&gt;=NKC!$M$8),"x","")</f>
        <v/>
      </c>
      <c r="AA3811" s="535"/>
      <c r="AB3811" s="536"/>
      <c r="AC3811" s="536" t="str">
        <f>VLOOKUP(F3811,NXT!$B$12:$B$686,1,0)</f>
        <v>Thùng 42.2x42.2x51.2</v>
      </c>
    </row>
    <row r="3812" spans="1:30" s="503" customFormat="1" ht="15.75" customHeight="1">
      <c r="A3812" s="517" t="str">
        <f>IF(B3812&lt;&gt;"",IF(AND(B3812&gt;=_TM1,B3812&lt;=_TM2,OR(TH!L3812="1111",TH!M3812="1111")),TH!D3812,""),"")</f>
        <v/>
      </c>
      <c r="B3812" s="531">
        <f t="shared" si="439"/>
        <v>9</v>
      </c>
      <c r="C3812" s="315">
        <f t="shared" si="440"/>
        <v>43007</v>
      </c>
      <c r="D3812" s="544" t="s">
        <v>1181</v>
      </c>
      <c r="E3812" s="315">
        <v>43007</v>
      </c>
      <c r="F3812" s="250" t="s">
        <v>1337</v>
      </c>
      <c r="G3812" s="314" t="s">
        <v>1701</v>
      </c>
      <c r="H3812" s="473" t="s">
        <v>284</v>
      </c>
      <c r="I3812" s="307">
        <v>48</v>
      </c>
      <c r="J3812" s="307">
        <v>46995</v>
      </c>
      <c r="K3812" s="532">
        <f t="shared" si="441"/>
        <v>2255760</v>
      </c>
      <c r="L3812" s="534" t="s">
        <v>223</v>
      </c>
      <c r="M3812" s="534" t="s">
        <v>162</v>
      </c>
      <c r="N3812" s="525" t="str">
        <f>IF(AND('331-CT'!$E$7=TH!H3812,OR(L3812="331",M3812="331")),"331",IF(AND(OR(L3812="131",M3812="131"),H3812='131-CT'!$E$7),"131",""))</f>
        <v/>
      </c>
      <c r="O3812" s="525" t="str">
        <f>IF(AND($B3812&gt;='111'!$N$11,$B3812&lt;='111'!$O$11,OR($L3812=$O$7,$M3812=$O$7)),"x","")</f>
        <v/>
      </c>
      <c r="P3812" s="525" t="str">
        <f>IF(AND($L3812=$O$7,$B3812&lt;'111'!$N$11),"x","")</f>
        <v/>
      </c>
      <c r="Q3812" s="525" t="str">
        <f>IF(AND($M3812=$O$7,$B3812&lt;'111'!$N$11),"x","")</f>
        <v/>
      </c>
      <c r="R3812" s="525" t="str">
        <f>IF(ISERROR(FIND('112'!$M$9,G3812,1)),"",IF((AND(FIND('112'!$M$9,G3812,1)&gt;=1,$B3812&gt;='112'!$N$8,$B3812&lt;='112'!$O$8,OR($L3812='112'!$I$6,$M3812='112'!$I$6))),"x",""))</f>
        <v/>
      </c>
      <c r="S3812" s="525" t="str">
        <f>IF(ISERROR(FIND('112'!$M$9,G3812,1)),"",IF((AND(LEFT(G3812,2)=LEFT('112'!$M$9,2),B3812&lt;'112'!$N$8,$L3812='112'!$I$6)),"x",""))</f>
        <v/>
      </c>
      <c r="T3812" s="525" t="str">
        <f>IF(ISERROR(FIND('112'!$M$9,G3812,1)),"",IF((AND(RIGHT(G3812,2)=RIGHT('112'!$M$9,2),B3812&lt;'112'!$N$8,$M3812='112'!$I$6)),"x",""))</f>
        <v/>
      </c>
      <c r="U3812" s="525" t="str">
        <f>IF(AND(B3812&gt;='IN-NX'!$P$3,B3812&lt;='IN-NX'!$Q$3,'IN-NX'!$D$7=D3812,OR(LEFT(L3812,2)="15",AND(LEFT(M3812,2)&lt;&gt;"15",LEFT(M3812,2)&lt;&gt;"33"))),"x","")</f>
        <v/>
      </c>
      <c r="V3812" s="525" t="str">
        <f>IF(AND(OR(LEFT(TH!L3812,2)="15",LEFT(TH!M3812,2)="15"),'152-CT'!$J$8=TH!F3812),"x","")</f>
        <v/>
      </c>
      <c r="W3812" s="525" t="str">
        <f>IF(AND(OR(LEFT(TH!L3812,2)="15",LEFT(TH!M3812,2)="15"),TK!$E$7=TH!F3812),"x","")</f>
        <v/>
      </c>
      <c r="X3812" s="525" t="str">
        <f>IF(AND('341-CT'!$E$9=H3812,OR(LEFT(L3812,3)=$X$7,LEFT(M3812,3)=$X$7)),"x","")</f>
        <v/>
      </c>
      <c r="Y3812" s="525" t="str">
        <f>IF(OR(TH!L3812=TH!$Y$7,M3812=TH!$Y$7),"x","")</f>
        <v/>
      </c>
      <c r="Z3812" s="525" t="str">
        <f>IF(AND(B3812&lt;=NKC!$N$8,B3812&gt;=NKC!$M$8),"x","")</f>
        <v/>
      </c>
      <c r="AA3812" s="535"/>
      <c r="AB3812" s="536"/>
      <c r="AC3812" s="536" t="str">
        <f>VLOOKUP(F3812,NXT!$B$12:$B$686,1,0)</f>
        <v>Thùng 49.2x49.2x54.2</v>
      </c>
    </row>
    <row r="3813" spans="1:30" s="503" customFormat="1" ht="15.75" customHeight="1">
      <c r="A3813" s="517" t="str">
        <f>IF(B3813&lt;&gt;"",IF(AND(B3813&gt;=_TM1,B3813&lt;=_TM2,OR(TH!L3813="1111",TH!M3813="1111")),TH!D3813,""),"")</f>
        <v/>
      </c>
      <c r="B3813" s="531">
        <f t="shared" si="439"/>
        <v>9</v>
      </c>
      <c r="C3813" s="315">
        <f t="shared" si="440"/>
        <v>43007</v>
      </c>
      <c r="D3813" s="544" t="s">
        <v>1181</v>
      </c>
      <c r="E3813" s="315">
        <v>43007</v>
      </c>
      <c r="F3813" s="250" t="s">
        <v>1628</v>
      </c>
      <c r="G3813" s="314" t="s">
        <v>1701</v>
      </c>
      <c r="H3813" s="473" t="s">
        <v>284</v>
      </c>
      <c r="I3813" s="307">
        <v>140</v>
      </c>
      <c r="J3813" s="307">
        <v>73639</v>
      </c>
      <c r="K3813" s="532">
        <f t="shared" si="441"/>
        <v>10309460</v>
      </c>
      <c r="L3813" s="534" t="s">
        <v>223</v>
      </c>
      <c r="M3813" s="534" t="s">
        <v>162</v>
      </c>
      <c r="N3813" s="525" t="str">
        <f>IF(AND('331-CT'!$E$7=TH!H3813,OR(L3813="331",M3813="331")),"331",IF(AND(OR(L3813="131",M3813="131"),H3813='131-CT'!$E$7),"131",""))</f>
        <v/>
      </c>
      <c r="O3813" s="525" t="str">
        <f>IF(AND($B3813&gt;='111'!$N$11,$B3813&lt;='111'!$O$11,OR($L3813=$O$7,$M3813=$O$7)),"x","")</f>
        <v/>
      </c>
      <c r="P3813" s="525" t="str">
        <f>IF(AND($L3813=$O$7,$B3813&lt;'111'!$N$11),"x","")</f>
        <v/>
      </c>
      <c r="Q3813" s="525" t="str">
        <f>IF(AND($M3813=$O$7,$B3813&lt;'111'!$N$11),"x","")</f>
        <v/>
      </c>
      <c r="R3813" s="525" t="str">
        <f>IF(ISERROR(FIND('112'!$M$9,G3813,1)),"",IF((AND(FIND('112'!$M$9,G3813,1)&gt;=1,$B3813&gt;='112'!$N$8,$B3813&lt;='112'!$O$8,OR($L3813='112'!$I$6,$M3813='112'!$I$6))),"x",""))</f>
        <v/>
      </c>
      <c r="S3813" s="525" t="str">
        <f>IF(ISERROR(FIND('112'!$M$9,G3813,1)),"",IF((AND(LEFT(G3813,2)=LEFT('112'!$M$9,2),B3813&lt;'112'!$N$8,$L3813='112'!$I$6)),"x",""))</f>
        <v/>
      </c>
      <c r="T3813" s="525" t="str">
        <f>IF(ISERROR(FIND('112'!$M$9,G3813,1)),"",IF((AND(RIGHT(G3813,2)=RIGHT('112'!$M$9,2),B3813&lt;'112'!$N$8,$M3813='112'!$I$6)),"x",""))</f>
        <v/>
      </c>
      <c r="U3813" s="525" t="str">
        <f>IF(AND(B3813&gt;='IN-NX'!$P$3,B3813&lt;='IN-NX'!$Q$3,'IN-NX'!$D$7=D3813,OR(LEFT(L3813,2)="15",AND(LEFT(M3813,2)&lt;&gt;"15",LEFT(M3813,2)&lt;&gt;"33"))),"x","")</f>
        <v/>
      </c>
      <c r="V3813" s="525" t="str">
        <f>IF(AND(OR(LEFT(TH!L3813,2)="15",LEFT(TH!M3813,2)="15"),'152-CT'!$J$8=TH!F3813),"x","")</f>
        <v/>
      </c>
      <c r="W3813" s="525" t="str">
        <f>IF(AND(OR(LEFT(TH!L3813,2)="15",LEFT(TH!M3813,2)="15"),TK!$E$7=TH!F3813),"x","")</f>
        <v/>
      </c>
      <c r="X3813" s="525" t="str">
        <f>IF(AND('341-CT'!$E$9=H3813,OR(LEFT(L3813,3)=$X$7,LEFT(M3813,3)=$X$7)),"x","")</f>
        <v/>
      </c>
      <c r="Y3813" s="525" t="str">
        <f>IF(OR(TH!L3813=TH!$Y$7,M3813=TH!$Y$7),"x","")</f>
        <v/>
      </c>
      <c r="Z3813" s="525" t="str">
        <f>IF(AND(B3813&lt;=NKC!$N$8,B3813&gt;=NKC!$M$8),"x","")</f>
        <v/>
      </c>
      <c r="AA3813" s="535"/>
      <c r="AB3813" s="536"/>
      <c r="AC3813" s="536" t="str">
        <f>VLOOKUP(F3813,NXT!$B$12:$B$686,1,0)</f>
        <v>Thùng 102x50x47</v>
      </c>
      <c r="AD3813" s="536"/>
    </row>
    <row r="3814" spans="1:30" s="503" customFormat="1" ht="15.75" customHeight="1">
      <c r="A3814" s="517" t="str">
        <f>IF(B3814&lt;&gt;"",IF(AND(B3814&gt;=_TM1,B3814&lt;=_TM2,OR(TH!L3814="1111",TH!M3814="1111")),TH!D3814,""),"")</f>
        <v/>
      </c>
      <c r="B3814" s="531">
        <f t="shared" si="439"/>
        <v>9</v>
      </c>
      <c r="C3814" s="315">
        <f t="shared" si="440"/>
        <v>43007</v>
      </c>
      <c r="D3814" s="544" t="s">
        <v>1181</v>
      </c>
      <c r="E3814" s="315">
        <v>43007</v>
      </c>
      <c r="F3814" s="250" t="s">
        <v>1348</v>
      </c>
      <c r="G3814" s="314" t="s">
        <v>1701</v>
      </c>
      <c r="H3814" s="473" t="s">
        <v>284</v>
      </c>
      <c r="I3814" s="307">
        <v>40</v>
      </c>
      <c r="J3814" s="307">
        <v>39136</v>
      </c>
      <c r="K3814" s="532">
        <f t="shared" si="441"/>
        <v>1565440</v>
      </c>
      <c r="L3814" s="534" t="s">
        <v>223</v>
      </c>
      <c r="M3814" s="534" t="s">
        <v>162</v>
      </c>
      <c r="N3814" s="525" t="str">
        <f>IF(AND('331-CT'!$E$7=TH!H3814,OR(L3814="331",M3814="331")),"331",IF(AND(OR(L3814="131",M3814="131"),H3814='131-CT'!$E$7),"131",""))</f>
        <v/>
      </c>
      <c r="O3814" s="525" t="str">
        <f>IF(AND($B3814&gt;='111'!$N$11,$B3814&lt;='111'!$O$11,OR($L3814=$O$7,$M3814=$O$7)),"x","")</f>
        <v/>
      </c>
      <c r="P3814" s="525" t="str">
        <f>IF(AND($L3814=$O$7,$B3814&lt;'111'!$N$11),"x","")</f>
        <v/>
      </c>
      <c r="Q3814" s="525" t="str">
        <f>IF(AND($M3814=$O$7,$B3814&lt;'111'!$N$11),"x","")</f>
        <v/>
      </c>
      <c r="R3814" s="525" t="str">
        <f>IF(ISERROR(FIND('112'!$M$9,G3814,1)),"",IF((AND(FIND('112'!$M$9,G3814,1)&gt;=1,$B3814&gt;='112'!$N$8,$B3814&lt;='112'!$O$8,OR($L3814='112'!$I$6,$M3814='112'!$I$6))),"x",""))</f>
        <v/>
      </c>
      <c r="S3814" s="525" t="str">
        <f>IF(ISERROR(FIND('112'!$M$9,G3814,1)),"",IF((AND(LEFT(G3814,2)=LEFT('112'!$M$9,2),B3814&lt;'112'!$N$8,$L3814='112'!$I$6)),"x",""))</f>
        <v/>
      </c>
      <c r="T3814" s="525" t="str">
        <f>IF(ISERROR(FIND('112'!$M$9,G3814,1)),"",IF((AND(RIGHT(G3814,2)=RIGHT('112'!$M$9,2),B3814&lt;'112'!$N$8,$M3814='112'!$I$6)),"x",""))</f>
        <v/>
      </c>
      <c r="U3814" s="525" t="str">
        <f>IF(AND(B3814&gt;='IN-NX'!$P$3,B3814&lt;='IN-NX'!$Q$3,'IN-NX'!$D$7=D3814,OR(LEFT(L3814,2)="15",AND(LEFT(M3814,2)&lt;&gt;"15",LEFT(M3814,2)&lt;&gt;"33"))),"x","")</f>
        <v/>
      </c>
      <c r="V3814" s="525" t="str">
        <f>IF(AND(OR(LEFT(TH!L3814,2)="15",LEFT(TH!M3814,2)="15"),'152-CT'!$J$8=TH!F3814),"x","")</f>
        <v/>
      </c>
      <c r="W3814" s="525" t="str">
        <f>IF(AND(OR(LEFT(TH!L3814,2)="15",LEFT(TH!M3814,2)="15"),TK!$E$7=TH!F3814),"x","")</f>
        <v/>
      </c>
      <c r="X3814" s="525" t="str">
        <f>IF(AND('341-CT'!$E$9=H3814,OR(LEFT(L3814,3)=$X$7,LEFT(M3814,3)=$X$7)),"x","")</f>
        <v/>
      </c>
      <c r="Y3814" s="525" t="str">
        <f>IF(OR(TH!L3814=TH!$Y$7,M3814=TH!$Y$7),"x","")</f>
        <v/>
      </c>
      <c r="Z3814" s="525" t="str">
        <f>IF(AND(B3814&lt;=NKC!$N$8,B3814&gt;=NKC!$M$8),"x","")</f>
        <v/>
      </c>
      <c r="AA3814" s="535"/>
      <c r="AB3814" s="536"/>
      <c r="AC3814" s="536" t="str">
        <f>VLOOKUP(F3814,NXT!$B$12:$B$686,1,0)</f>
        <v>Thùng 96x96x18</v>
      </c>
    </row>
    <row r="3815" spans="1:30" s="503" customFormat="1" ht="15.75" customHeight="1">
      <c r="A3815" s="517" t="str">
        <f>IF(B3815&lt;&gt;"",IF(AND(B3815&gt;=_TM1,B3815&lt;=_TM2,OR(TH!L3815="1111",TH!M3815="1111")),TH!D3815,""),"")</f>
        <v/>
      </c>
      <c r="B3815" s="531">
        <f t="shared" si="439"/>
        <v>9</v>
      </c>
      <c r="C3815" s="315">
        <f t="shared" si="440"/>
        <v>43007</v>
      </c>
      <c r="D3815" s="544" t="s">
        <v>1181</v>
      </c>
      <c r="E3815" s="315">
        <v>43007</v>
      </c>
      <c r="F3815" s="250" t="s">
        <v>1349</v>
      </c>
      <c r="G3815" s="314" t="s">
        <v>1701</v>
      </c>
      <c r="H3815" s="473" t="s">
        <v>284</v>
      </c>
      <c r="I3815" s="307">
        <v>40</v>
      </c>
      <c r="J3815" s="307">
        <v>41472</v>
      </c>
      <c r="K3815" s="532">
        <f t="shared" si="441"/>
        <v>1658880</v>
      </c>
      <c r="L3815" s="534" t="s">
        <v>223</v>
      </c>
      <c r="M3815" s="534" t="s">
        <v>162</v>
      </c>
      <c r="N3815" s="525" t="str">
        <f>IF(AND('331-CT'!$E$7=TH!H3815,OR(L3815="331",M3815="331")),"331",IF(AND(OR(L3815="131",M3815="131"),H3815='131-CT'!$E$7),"131",""))</f>
        <v/>
      </c>
      <c r="O3815" s="525" t="str">
        <f>IF(AND($B3815&gt;='111'!$N$11,$B3815&lt;='111'!$O$11,OR($L3815=$O$7,$M3815=$O$7)),"x","")</f>
        <v/>
      </c>
      <c r="P3815" s="525" t="str">
        <f>IF(AND($L3815=$O$7,$B3815&lt;'111'!$N$11),"x","")</f>
        <v/>
      </c>
      <c r="Q3815" s="525" t="str">
        <f>IF(AND($M3815=$O$7,$B3815&lt;'111'!$N$11),"x","")</f>
        <v/>
      </c>
      <c r="R3815" s="525" t="str">
        <f>IF(ISERROR(FIND('112'!$M$9,G3815,1)),"",IF((AND(FIND('112'!$M$9,G3815,1)&gt;=1,$B3815&gt;='112'!$N$8,$B3815&lt;='112'!$O$8,OR($L3815='112'!$I$6,$M3815='112'!$I$6))),"x",""))</f>
        <v/>
      </c>
      <c r="S3815" s="525" t="str">
        <f>IF(ISERROR(FIND('112'!$M$9,G3815,1)),"",IF((AND(LEFT(G3815,2)=LEFT('112'!$M$9,2),B3815&lt;'112'!$N$8,$L3815='112'!$I$6)),"x",""))</f>
        <v/>
      </c>
      <c r="T3815" s="525" t="str">
        <f>IF(ISERROR(FIND('112'!$M$9,G3815,1)),"",IF((AND(RIGHT(G3815,2)=RIGHT('112'!$M$9,2),B3815&lt;'112'!$N$8,$M3815='112'!$I$6)),"x",""))</f>
        <v/>
      </c>
      <c r="U3815" s="525" t="str">
        <f>IF(AND(B3815&gt;='IN-NX'!$P$3,B3815&lt;='IN-NX'!$Q$3,'IN-NX'!$D$7=D3815,OR(LEFT(L3815,2)="15",AND(LEFT(M3815,2)&lt;&gt;"15",LEFT(M3815,2)&lt;&gt;"33"))),"x","")</f>
        <v/>
      </c>
      <c r="V3815" s="525" t="str">
        <f>IF(AND(OR(LEFT(TH!L3815,2)="15",LEFT(TH!M3815,2)="15"),'152-CT'!$J$8=TH!F3815),"x","")</f>
        <v/>
      </c>
      <c r="W3815" s="525" t="str">
        <f>IF(AND(OR(LEFT(TH!L3815,2)="15",LEFT(TH!M3815,2)="15"),TK!$E$7=TH!F3815),"x","")</f>
        <v/>
      </c>
      <c r="X3815" s="525" t="str">
        <f>IF(AND('341-CT'!$E$9=H3815,OR(LEFT(L3815,3)=$X$7,LEFT(M3815,3)=$X$7)),"x","")</f>
        <v/>
      </c>
      <c r="Y3815" s="525" t="str">
        <f>IF(OR(TH!L3815=TH!$Y$7,M3815=TH!$Y$7),"x","")</f>
        <v/>
      </c>
      <c r="Z3815" s="525" t="str">
        <f>IF(AND(B3815&lt;=NKC!$N$8,B3815&gt;=NKC!$M$8),"x","")</f>
        <v/>
      </c>
      <c r="AA3815" s="535"/>
      <c r="AB3815" s="536"/>
      <c r="AC3815" s="536" t="str">
        <f>VLOOKUP(F3815,NXT!$B$12:$B$686,1,0)</f>
        <v>Thùng 98x98x19</v>
      </c>
      <c r="AD3815" s="536"/>
    </row>
    <row r="3816" spans="1:30" s="503" customFormat="1" ht="15.75" customHeight="1">
      <c r="A3816" s="517" t="str">
        <f>IF(B3816&lt;&gt;"",IF(AND(B3816&gt;=_TM1,B3816&lt;=_TM2,OR(TH!L3816="1111",TH!M3816="1111")),TH!D3816,""),"")</f>
        <v/>
      </c>
      <c r="B3816" s="531">
        <f t="shared" si="439"/>
        <v>9</v>
      </c>
      <c r="C3816" s="315">
        <f t="shared" si="440"/>
        <v>43007</v>
      </c>
      <c r="D3816" s="544" t="s">
        <v>1181</v>
      </c>
      <c r="E3816" s="315">
        <v>43007</v>
      </c>
      <c r="F3816" s="249" t="s">
        <v>494</v>
      </c>
      <c r="G3816" s="314" t="s">
        <v>1701</v>
      </c>
      <c r="H3816" s="473" t="s">
        <v>284</v>
      </c>
      <c r="I3816" s="307"/>
      <c r="J3816" s="307"/>
      <c r="K3816" s="532">
        <v>1751869</v>
      </c>
      <c r="L3816" s="534" t="s">
        <v>223</v>
      </c>
      <c r="M3816" s="534" t="s">
        <v>259</v>
      </c>
      <c r="N3816" s="525" t="str">
        <f>IF(AND('331-CT'!$E$7=TH!H3816,OR(L3816="331",M3816="331")),"331",IF(AND(OR(L3816="131",M3816="131"),H3816='131-CT'!$E$7),"131",""))</f>
        <v/>
      </c>
      <c r="O3816" s="525" t="str">
        <f>IF(AND($B3816&gt;='111'!$N$11,$B3816&lt;='111'!$O$11,OR($L3816=$O$7,$M3816=$O$7)),"x","")</f>
        <v/>
      </c>
      <c r="P3816" s="525" t="str">
        <f>IF(AND($L3816=$O$7,$B3816&lt;'111'!$N$11),"x","")</f>
        <v/>
      </c>
      <c r="Q3816" s="525" t="str">
        <f>IF(AND($M3816=$O$7,$B3816&lt;'111'!$N$11),"x","")</f>
        <v/>
      </c>
      <c r="R3816" s="525" t="str">
        <f>IF(ISERROR(FIND('112'!$M$9,G3816,1)),"",IF((AND(FIND('112'!$M$9,G3816,1)&gt;=1,$B3816&gt;='112'!$N$8,$B3816&lt;='112'!$O$8,OR($L3816='112'!$I$6,$M3816='112'!$I$6))),"x",""))</f>
        <v/>
      </c>
      <c r="S3816" s="525" t="str">
        <f>IF(ISERROR(FIND('112'!$M$9,G3816,1)),"",IF((AND(LEFT(G3816,2)=LEFT('112'!$M$9,2),B3816&lt;'112'!$N$8,$L3816='112'!$I$6)),"x",""))</f>
        <v/>
      </c>
      <c r="T3816" s="525" t="str">
        <f>IF(ISERROR(FIND('112'!$M$9,G3816,1)),"",IF((AND(RIGHT(G3816,2)=RIGHT('112'!$M$9,2),B3816&lt;'112'!$N$8,$M3816='112'!$I$6)),"x",""))</f>
        <v/>
      </c>
      <c r="U3816" s="525" t="str">
        <f>IF(AND(B3816&gt;='IN-NX'!$P$3,B3816&lt;='IN-NX'!$Q$3,'IN-NX'!$D$7=D3816,OR(LEFT(L3816,2)="15",AND(LEFT(M3816,2)&lt;&gt;"15",LEFT(M3816,2)&lt;&gt;"33"))),"x","")</f>
        <v/>
      </c>
      <c r="V3816" s="525" t="str">
        <f>IF(AND(OR(LEFT(TH!L3816,2)="15",LEFT(TH!M3816,2)="15"),'152-CT'!$J$8=TH!F3816),"x","")</f>
        <v/>
      </c>
      <c r="W3816" s="525" t="str">
        <f>IF(AND(OR(LEFT(TH!L3816,2)="15",LEFT(TH!M3816,2)="15"),TK!$E$7=TH!F3816),"x","")</f>
        <v/>
      </c>
      <c r="X3816" s="525" t="str">
        <f>IF(AND('341-CT'!$E$9=H3816,OR(LEFT(L3816,3)=$X$7,LEFT(M3816,3)=$X$7)),"x","")</f>
        <v/>
      </c>
      <c r="Y3816" s="525" t="str">
        <f>IF(OR(TH!L3816=TH!$Y$7,M3816=TH!$Y$7),"x","")</f>
        <v/>
      </c>
      <c r="Z3816" s="525" t="str">
        <f>IF(AND(B3816&lt;=NKC!$N$8,B3816&gt;=NKC!$M$8),"x","")</f>
        <v/>
      </c>
      <c r="AA3816" s="535"/>
    </row>
    <row r="3817" spans="1:30" s="503" customFormat="1" ht="15.75" customHeight="1">
      <c r="A3817" s="517" t="str">
        <f>IF(B3817&lt;&gt;"",IF(AND(B3817&gt;=_TM1,B3817&lt;=_TM2,OR(TH!L3817="1111",TH!M3817="1111")),TH!D3817,""),"")</f>
        <v/>
      </c>
      <c r="B3817" s="531">
        <f t="shared" si="439"/>
        <v>9</v>
      </c>
      <c r="C3817" s="315">
        <f t="shared" si="440"/>
        <v>43007</v>
      </c>
      <c r="D3817" s="544" t="s">
        <v>1181</v>
      </c>
      <c r="E3817" s="315">
        <v>43007</v>
      </c>
      <c r="F3817" s="250" t="s">
        <v>1308</v>
      </c>
      <c r="G3817" s="314" t="s">
        <v>1702</v>
      </c>
      <c r="H3817" s="473" t="s">
        <v>1309</v>
      </c>
      <c r="I3817" s="307">
        <f>125+485</f>
        <v>610</v>
      </c>
      <c r="J3817" s="307">
        <v>11148</v>
      </c>
      <c r="K3817" s="532">
        <f t="shared" si="441"/>
        <v>6800280</v>
      </c>
      <c r="L3817" s="534" t="s">
        <v>223</v>
      </c>
      <c r="M3817" s="534" t="s">
        <v>162</v>
      </c>
      <c r="N3817" s="525" t="str">
        <f>IF(AND('331-CT'!$E$7=TH!H3817,OR(L3817="331",M3817="331")),"331",IF(AND(OR(L3817="131",M3817="131"),H3817='131-CT'!$E$7),"131",""))</f>
        <v/>
      </c>
      <c r="O3817" s="525" t="str">
        <f>IF(AND($B3817&gt;='111'!$N$11,$B3817&lt;='111'!$O$11,OR($L3817=$O$7,$M3817=$O$7)),"x","")</f>
        <v/>
      </c>
      <c r="P3817" s="525" t="str">
        <f>IF(AND($L3817=$O$7,$B3817&lt;'111'!$N$11),"x","")</f>
        <v/>
      </c>
      <c r="Q3817" s="525" t="str">
        <f>IF(AND($M3817=$O$7,$B3817&lt;'111'!$N$11),"x","")</f>
        <v/>
      </c>
      <c r="R3817" s="525" t="str">
        <f>IF(ISERROR(FIND('112'!$M$9,G3817,1)),"",IF((AND(FIND('112'!$M$9,G3817,1)&gt;=1,$B3817&gt;='112'!$N$8,$B3817&lt;='112'!$O$8,OR($L3817='112'!$I$6,$M3817='112'!$I$6))),"x",""))</f>
        <v/>
      </c>
      <c r="S3817" s="525" t="str">
        <f>IF(ISERROR(FIND('112'!$M$9,G3817,1)),"",IF((AND(LEFT(G3817,2)=LEFT('112'!$M$9,2),B3817&lt;'112'!$N$8,$L3817='112'!$I$6)),"x",""))</f>
        <v/>
      </c>
      <c r="T3817" s="525" t="str">
        <f>IF(ISERROR(FIND('112'!$M$9,G3817,1)),"",IF((AND(RIGHT(G3817,2)=RIGHT('112'!$M$9,2),B3817&lt;'112'!$N$8,$M3817='112'!$I$6)),"x",""))</f>
        <v/>
      </c>
      <c r="U3817" s="525" t="str">
        <f>IF(AND(B3817&gt;='IN-NX'!$P$3,B3817&lt;='IN-NX'!$Q$3,'IN-NX'!$D$7=D3817,OR(LEFT(L3817,2)="15",AND(LEFT(M3817,2)&lt;&gt;"15",LEFT(M3817,2)&lt;&gt;"33"))),"x","")</f>
        <v/>
      </c>
      <c r="V3817" s="525" t="str">
        <f>IF(AND(OR(LEFT(TH!L3817,2)="15",LEFT(TH!M3817,2)="15"),'152-CT'!$J$8=TH!F3817),"x","")</f>
        <v/>
      </c>
      <c r="W3817" s="525" t="str">
        <f>IF(AND(OR(LEFT(TH!L3817,2)="15",LEFT(TH!M3817,2)="15"),TK!$E$7=TH!F3817),"x","")</f>
        <v/>
      </c>
      <c r="X3817" s="525" t="str">
        <f>IF(AND('341-CT'!$E$9=H3817,OR(LEFT(L3817,3)=$X$7,LEFT(M3817,3)=$X$7)),"x","")</f>
        <v/>
      </c>
      <c r="Y3817" s="525" t="str">
        <f>IF(OR(TH!L3817=TH!$Y$7,M3817=TH!$Y$7),"x","")</f>
        <v/>
      </c>
      <c r="Z3817" s="525" t="str">
        <f>IF(AND(B3817&lt;=NKC!$N$8,B3817&gt;=NKC!$M$8),"x","")</f>
        <v/>
      </c>
      <c r="AA3817" s="535"/>
      <c r="AB3817" s="536"/>
      <c r="AC3817" s="536" t="str">
        <f>VLOOKUP(F3817,NXT!$B$12:$B$686,1,0)</f>
        <v>Thùng 183x15.9x10</v>
      </c>
    </row>
    <row r="3818" spans="1:30" s="503" customFormat="1" ht="15.75" customHeight="1">
      <c r="A3818" s="517" t="str">
        <f>IF(B3818&lt;&gt;"",IF(AND(B3818&gt;=_TM1,B3818&lt;=_TM2,OR(TH!L3818="1111",TH!M3818="1111")),TH!D3818,""),"")</f>
        <v/>
      </c>
      <c r="B3818" s="531">
        <f t="shared" ref="B3818:B3903" si="442">IF(C3818&lt;&gt;"",MONTH(C3818),"")</f>
        <v>9</v>
      </c>
      <c r="C3818" s="315">
        <f t="shared" ref="C3818:C3903" si="443">E3818</f>
        <v>43007</v>
      </c>
      <c r="D3818" s="544" t="s">
        <v>1181</v>
      </c>
      <c r="E3818" s="315">
        <v>43007</v>
      </c>
      <c r="F3818" s="250" t="s">
        <v>1316</v>
      </c>
      <c r="G3818" s="314" t="s">
        <v>1702</v>
      </c>
      <c r="H3818" s="473" t="s">
        <v>1309</v>
      </c>
      <c r="I3818" s="307">
        <v>125</v>
      </c>
      <c r="J3818" s="307">
        <v>11580</v>
      </c>
      <c r="K3818" s="532">
        <f t="shared" ref="K3818:K3821" si="444">ROUND(I3818*J3818,0)</f>
        <v>1447500</v>
      </c>
      <c r="L3818" s="534" t="s">
        <v>223</v>
      </c>
      <c r="M3818" s="534" t="s">
        <v>162</v>
      </c>
      <c r="N3818" s="525" t="str">
        <f>IF(AND('331-CT'!$E$7=TH!H3818,OR(L3818="331",M3818="331")),"331",IF(AND(OR(L3818="131",M3818="131"),H3818='131-CT'!$E$7),"131",""))</f>
        <v/>
      </c>
      <c r="O3818" s="525" t="str">
        <f>IF(AND($B3818&gt;='111'!$N$11,$B3818&lt;='111'!$O$11,OR($L3818=$O$7,$M3818=$O$7)),"x","")</f>
        <v/>
      </c>
      <c r="P3818" s="525" t="str">
        <f>IF(AND($L3818=$O$7,$B3818&lt;'111'!$N$11),"x","")</f>
        <v/>
      </c>
      <c r="Q3818" s="525" t="str">
        <f>IF(AND($M3818=$O$7,$B3818&lt;'111'!$N$11),"x","")</f>
        <v/>
      </c>
      <c r="R3818" s="525" t="str">
        <f>IF(ISERROR(FIND('112'!$M$9,G3818,1)),"",IF((AND(FIND('112'!$M$9,G3818,1)&gt;=1,$B3818&gt;='112'!$N$8,$B3818&lt;='112'!$O$8,OR($L3818='112'!$I$6,$M3818='112'!$I$6))),"x",""))</f>
        <v/>
      </c>
      <c r="S3818" s="525" t="str">
        <f>IF(ISERROR(FIND('112'!$M$9,G3818,1)),"",IF((AND(LEFT(G3818,2)=LEFT('112'!$M$9,2),B3818&lt;'112'!$N$8,$L3818='112'!$I$6)),"x",""))</f>
        <v/>
      </c>
      <c r="T3818" s="525" t="str">
        <f>IF(ISERROR(FIND('112'!$M$9,G3818,1)),"",IF((AND(RIGHT(G3818,2)=RIGHT('112'!$M$9,2),B3818&lt;'112'!$N$8,$M3818='112'!$I$6)),"x",""))</f>
        <v/>
      </c>
      <c r="U3818" s="525" t="str">
        <f>IF(AND(B3818&gt;='IN-NX'!$P$3,B3818&lt;='IN-NX'!$Q$3,'IN-NX'!$D$7=D3818,OR(LEFT(L3818,2)="15",AND(LEFT(M3818,2)&lt;&gt;"15",LEFT(M3818,2)&lt;&gt;"33"))),"x","")</f>
        <v/>
      </c>
      <c r="V3818" s="525" t="str">
        <f>IF(AND(OR(LEFT(TH!L3818,2)="15",LEFT(TH!M3818,2)="15"),'152-CT'!$J$8=TH!F3818),"x","")</f>
        <v/>
      </c>
      <c r="W3818" s="525" t="str">
        <f>IF(AND(OR(LEFT(TH!L3818,2)="15",LEFT(TH!M3818,2)="15"),TK!$E$7=TH!F3818),"x","")</f>
        <v/>
      </c>
      <c r="X3818" s="525" t="str">
        <f>IF(AND('341-CT'!$E$9=H3818,OR(LEFT(L3818,3)=$X$7,LEFT(M3818,3)=$X$7)),"x","")</f>
        <v/>
      </c>
      <c r="Y3818" s="525" t="str">
        <f>IF(OR(TH!L3818=TH!$Y$7,M3818=TH!$Y$7),"x","")</f>
        <v/>
      </c>
      <c r="Z3818" s="525" t="str">
        <f>IF(AND(B3818&lt;=NKC!$N$8,B3818&gt;=NKC!$M$8),"x","")</f>
        <v/>
      </c>
      <c r="AA3818" s="535"/>
      <c r="AB3818" s="536"/>
      <c r="AC3818" s="536" t="str">
        <f>VLOOKUP(F3818,NXT!$B$12:$B$686,1,0)</f>
        <v>Thùng 183x19.2x8.2</v>
      </c>
    </row>
    <row r="3819" spans="1:30" s="503" customFormat="1" ht="15.75" customHeight="1">
      <c r="A3819" s="517" t="str">
        <f>IF(B3819&lt;&gt;"",IF(AND(B3819&gt;=_TM1,B3819&lt;=_TM2,OR(TH!L3819="1111",TH!M3819="1111")),TH!D3819,""),"")</f>
        <v/>
      </c>
      <c r="B3819" s="531">
        <f t="shared" si="442"/>
        <v>9</v>
      </c>
      <c r="C3819" s="315">
        <f t="shared" si="443"/>
        <v>43007</v>
      </c>
      <c r="D3819" s="544" t="s">
        <v>1181</v>
      </c>
      <c r="E3819" s="315">
        <v>43007</v>
      </c>
      <c r="F3819" s="250" t="s">
        <v>1316</v>
      </c>
      <c r="G3819" s="314" t="s">
        <v>1702</v>
      </c>
      <c r="H3819" s="473" t="s">
        <v>1309</v>
      </c>
      <c r="I3819" s="307">
        <v>610</v>
      </c>
      <c r="J3819" s="307">
        <v>11029</v>
      </c>
      <c r="K3819" s="532">
        <f t="shared" si="444"/>
        <v>6727690</v>
      </c>
      <c r="L3819" s="534" t="s">
        <v>223</v>
      </c>
      <c r="M3819" s="534" t="s">
        <v>162</v>
      </c>
      <c r="N3819" s="525" t="str">
        <f>IF(AND('331-CT'!$E$7=TH!H3819,OR(L3819="331",M3819="331")),"331",IF(AND(OR(L3819="131",M3819="131"),H3819='131-CT'!$E$7),"131",""))</f>
        <v/>
      </c>
      <c r="O3819" s="525" t="str">
        <f>IF(AND($B3819&gt;='111'!$N$11,$B3819&lt;='111'!$O$11,OR($L3819=$O$7,$M3819=$O$7)),"x","")</f>
        <v/>
      </c>
      <c r="P3819" s="525" t="str">
        <f>IF(AND($L3819=$O$7,$B3819&lt;'111'!$N$11),"x","")</f>
        <v/>
      </c>
      <c r="Q3819" s="525" t="str">
        <f>IF(AND($M3819=$O$7,$B3819&lt;'111'!$N$11),"x","")</f>
        <v/>
      </c>
      <c r="R3819" s="525" t="str">
        <f>IF(ISERROR(FIND('112'!$M$9,G3819,1)),"",IF((AND(FIND('112'!$M$9,G3819,1)&gt;=1,$B3819&gt;='112'!$N$8,$B3819&lt;='112'!$O$8,OR($L3819='112'!$I$6,$M3819='112'!$I$6))),"x",""))</f>
        <v/>
      </c>
      <c r="S3819" s="525" t="str">
        <f>IF(ISERROR(FIND('112'!$M$9,G3819,1)),"",IF((AND(LEFT(G3819,2)=LEFT('112'!$M$9,2),B3819&lt;'112'!$N$8,$L3819='112'!$I$6)),"x",""))</f>
        <v/>
      </c>
      <c r="T3819" s="525" t="str">
        <f>IF(ISERROR(FIND('112'!$M$9,G3819,1)),"",IF((AND(RIGHT(G3819,2)=RIGHT('112'!$M$9,2),B3819&lt;'112'!$N$8,$M3819='112'!$I$6)),"x",""))</f>
        <v/>
      </c>
      <c r="U3819" s="525" t="str">
        <f>IF(AND(B3819&gt;='IN-NX'!$P$3,B3819&lt;='IN-NX'!$Q$3,'IN-NX'!$D$7=D3819,OR(LEFT(L3819,2)="15",AND(LEFT(M3819,2)&lt;&gt;"15",LEFT(M3819,2)&lt;&gt;"33"))),"x","")</f>
        <v/>
      </c>
      <c r="V3819" s="525" t="str">
        <f>IF(AND(OR(LEFT(TH!L3819,2)="15",LEFT(TH!M3819,2)="15"),'152-CT'!$J$8=TH!F3819),"x","")</f>
        <v/>
      </c>
      <c r="W3819" s="525" t="str">
        <f>IF(AND(OR(LEFT(TH!L3819,2)="15",LEFT(TH!M3819,2)="15"),TK!$E$7=TH!F3819),"x","")</f>
        <v/>
      </c>
      <c r="X3819" s="525" t="str">
        <f>IF(AND('341-CT'!$E$9=H3819,OR(LEFT(L3819,3)=$X$7,LEFT(M3819,3)=$X$7)),"x","")</f>
        <v/>
      </c>
      <c r="Y3819" s="525" t="str">
        <f>IF(OR(TH!L3819=TH!$Y$7,M3819=TH!$Y$7),"x","")</f>
        <v/>
      </c>
      <c r="Z3819" s="525" t="str">
        <f>IF(AND(B3819&lt;=NKC!$N$8,B3819&gt;=NKC!$M$8),"x","")</f>
        <v/>
      </c>
      <c r="AA3819" s="535"/>
      <c r="AB3819" s="536"/>
      <c r="AC3819" s="536" t="str">
        <f>VLOOKUP(F3819,NXT!$B$12:$B$686,1,0)</f>
        <v>Thùng 183x19.2x8.2</v>
      </c>
      <c r="AD3819" s="536"/>
    </row>
    <row r="3820" spans="1:30" s="503" customFormat="1" ht="15.75" customHeight="1">
      <c r="A3820" s="517" t="str">
        <f>IF(B3820&lt;&gt;"",IF(AND(B3820&gt;=_TM1,B3820&lt;=_TM2,OR(TH!L3820="1111",TH!M3820="1111")),TH!D3820,""),"")</f>
        <v/>
      </c>
      <c r="B3820" s="531">
        <f t="shared" si="442"/>
        <v>9</v>
      </c>
      <c r="C3820" s="315">
        <f t="shared" si="443"/>
        <v>43007</v>
      </c>
      <c r="D3820" s="544" t="s">
        <v>1181</v>
      </c>
      <c r="E3820" s="315">
        <v>43007</v>
      </c>
      <c r="F3820" s="250" t="s">
        <v>1627</v>
      </c>
      <c r="G3820" s="314" t="s">
        <v>1702</v>
      </c>
      <c r="H3820" s="473" t="s">
        <v>1309</v>
      </c>
      <c r="I3820" s="307">
        <v>115</v>
      </c>
      <c r="J3820" s="307">
        <v>10104</v>
      </c>
      <c r="K3820" s="532">
        <f t="shared" si="444"/>
        <v>1161960</v>
      </c>
      <c r="L3820" s="534" t="s">
        <v>223</v>
      </c>
      <c r="M3820" s="534" t="s">
        <v>162</v>
      </c>
      <c r="N3820" s="525" t="str">
        <f>IF(AND('331-CT'!$E$7=TH!H3820,OR(L3820="331",M3820="331")),"331",IF(AND(OR(L3820="131",M3820="131"),H3820='131-CT'!$E$7),"131",""))</f>
        <v/>
      </c>
      <c r="O3820" s="525" t="str">
        <f>IF(AND($B3820&gt;='111'!$N$11,$B3820&lt;='111'!$O$11,OR($L3820=$O$7,$M3820=$O$7)),"x","")</f>
        <v/>
      </c>
      <c r="P3820" s="525" t="str">
        <f>IF(AND($L3820=$O$7,$B3820&lt;'111'!$N$11),"x","")</f>
        <v/>
      </c>
      <c r="Q3820" s="525" t="str">
        <f>IF(AND($M3820=$O$7,$B3820&lt;'111'!$N$11),"x","")</f>
        <v/>
      </c>
      <c r="R3820" s="525" t="str">
        <f>IF(ISERROR(FIND('112'!$M$9,G3820,1)),"",IF((AND(FIND('112'!$M$9,G3820,1)&gt;=1,$B3820&gt;='112'!$N$8,$B3820&lt;='112'!$O$8,OR($L3820='112'!$I$6,$M3820='112'!$I$6))),"x",""))</f>
        <v/>
      </c>
      <c r="S3820" s="525" t="str">
        <f>IF(ISERROR(FIND('112'!$M$9,G3820,1)),"",IF((AND(LEFT(G3820,2)=LEFT('112'!$M$9,2),B3820&lt;'112'!$N$8,$L3820='112'!$I$6)),"x",""))</f>
        <v/>
      </c>
      <c r="T3820" s="525" t="str">
        <f>IF(ISERROR(FIND('112'!$M$9,G3820,1)),"",IF((AND(RIGHT(G3820,2)=RIGHT('112'!$M$9,2),B3820&lt;'112'!$N$8,$M3820='112'!$I$6)),"x",""))</f>
        <v/>
      </c>
      <c r="U3820" s="525" t="str">
        <f>IF(AND(B3820&gt;='IN-NX'!$P$3,B3820&lt;='IN-NX'!$Q$3,'IN-NX'!$D$7=D3820,OR(LEFT(L3820,2)="15",AND(LEFT(M3820,2)&lt;&gt;"15",LEFT(M3820,2)&lt;&gt;"33"))),"x","")</f>
        <v/>
      </c>
      <c r="V3820" s="525" t="str">
        <f>IF(AND(OR(LEFT(TH!L3820,2)="15",LEFT(TH!M3820,2)="15"),'152-CT'!$J$8=TH!F3820),"x","")</f>
        <v/>
      </c>
      <c r="W3820" s="525" t="str">
        <f>IF(AND(OR(LEFT(TH!L3820,2)="15",LEFT(TH!M3820,2)="15"),TK!$E$7=TH!F3820),"x","")</f>
        <v/>
      </c>
      <c r="X3820" s="525" t="str">
        <f>IF(AND('341-CT'!$E$9=H3820,OR(LEFT(L3820,3)=$X$7,LEFT(M3820,3)=$X$7)),"x","")</f>
        <v/>
      </c>
      <c r="Y3820" s="525" t="str">
        <f>IF(OR(TH!L3820=TH!$Y$7,M3820=TH!$Y$7),"x","")</f>
        <v/>
      </c>
      <c r="Z3820" s="525" t="str">
        <f>IF(AND(B3820&lt;=NKC!$N$8,B3820&gt;=NKC!$M$8),"x","")</f>
        <v/>
      </c>
      <c r="AA3820" s="535"/>
      <c r="AB3820" s="536"/>
      <c r="AC3820" s="536" t="str">
        <f>VLOOKUP(F3820,NXT!$B$12:$B$686,1,0)</f>
        <v>Thùng 11.4x12.9x183</v>
      </c>
    </row>
    <row r="3821" spans="1:30" s="503" customFormat="1" ht="15.75" customHeight="1">
      <c r="A3821" s="517" t="str">
        <f>IF(B3821&lt;&gt;"",IF(AND(B3821&gt;=_TM1,B3821&lt;=_TM2,OR(TH!L3821="1111",TH!M3821="1111")),TH!D3821,""),"")</f>
        <v/>
      </c>
      <c r="B3821" s="531">
        <f t="shared" si="442"/>
        <v>9</v>
      </c>
      <c r="C3821" s="315">
        <f t="shared" si="443"/>
        <v>43007</v>
      </c>
      <c r="D3821" s="544" t="s">
        <v>1181</v>
      </c>
      <c r="E3821" s="315">
        <v>43007</v>
      </c>
      <c r="F3821" s="250" t="s">
        <v>768</v>
      </c>
      <c r="G3821" s="314" t="s">
        <v>1702</v>
      </c>
      <c r="H3821" s="473" t="s">
        <v>1309</v>
      </c>
      <c r="I3821" s="307">
        <v>640</v>
      </c>
      <c r="J3821" s="307">
        <v>400</v>
      </c>
      <c r="K3821" s="532">
        <f t="shared" si="444"/>
        <v>256000</v>
      </c>
      <c r="L3821" s="534" t="s">
        <v>223</v>
      </c>
      <c r="M3821" s="534" t="s">
        <v>162</v>
      </c>
      <c r="N3821" s="525" t="str">
        <f>IF(AND('331-CT'!$E$7=TH!H3821,OR(L3821="331",M3821="331")),"331",IF(AND(OR(L3821="131",M3821="131"),H3821='131-CT'!$E$7),"131",""))</f>
        <v/>
      </c>
      <c r="O3821" s="525" t="str">
        <f>IF(AND($B3821&gt;='111'!$N$11,$B3821&lt;='111'!$O$11,OR($L3821=$O$7,$M3821=$O$7)),"x","")</f>
        <v/>
      </c>
      <c r="P3821" s="525" t="str">
        <f>IF(AND($L3821=$O$7,$B3821&lt;'111'!$N$11),"x","")</f>
        <v/>
      </c>
      <c r="Q3821" s="525" t="str">
        <f>IF(AND($M3821=$O$7,$B3821&lt;'111'!$N$11),"x","")</f>
        <v/>
      </c>
      <c r="R3821" s="525" t="str">
        <f>IF(ISERROR(FIND('112'!$M$9,G3821,1)),"",IF((AND(FIND('112'!$M$9,G3821,1)&gt;=1,$B3821&gt;='112'!$N$8,$B3821&lt;='112'!$O$8,OR($L3821='112'!$I$6,$M3821='112'!$I$6))),"x",""))</f>
        <v/>
      </c>
      <c r="S3821" s="525" t="str">
        <f>IF(ISERROR(FIND('112'!$M$9,G3821,1)),"",IF((AND(LEFT(G3821,2)=LEFT('112'!$M$9,2),B3821&lt;'112'!$N$8,$L3821='112'!$I$6)),"x",""))</f>
        <v/>
      </c>
      <c r="T3821" s="525" t="str">
        <f>IF(ISERROR(FIND('112'!$M$9,G3821,1)),"",IF((AND(RIGHT(G3821,2)=RIGHT('112'!$M$9,2),B3821&lt;'112'!$N$8,$M3821='112'!$I$6)),"x",""))</f>
        <v/>
      </c>
      <c r="U3821" s="525" t="str">
        <f>IF(AND(B3821&gt;='IN-NX'!$P$3,B3821&lt;='IN-NX'!$Q$3,'IN-NX'!$D$7=D3821,OR(LEFT(L3821,2)="15",AND(LEFT(M3821,2)&lt;&gt;"15",LEFT(M3821,2)&lt;&gt;"33"))),"x","")</f>
        <v/>
      </c>
      <c r="V3821" s="525" t="str">
        <f>IF(AND(OR(LEFT(TH!L3821,2)="15",LEFT(TH!M3821,2)="15"),'152-CT'!$J$8=TH!F3821),"x","")</f>
        <v/>
      </c>
      <c r="W3821" s="525" t="str">
        <f>IF(AND(OR(LEFT(TH!L3821,2)="15",LEFT(TH!M3821,2)="15"),TK!$E$7=TH!F3821),"x","")</f>
        <v/>
      </c>
      <c r="X3821" s="525" t="str">
        <f>IF(AND('341-CT'!$E$9=H3821,OR(LEFT(L3821,3)=$X$7,LEFT(M3821,3)=$X$7)),"x","")</f>
        <v/>
      </c>
      <c r="Y3821" s="525" t="str">
        <f>IF(OR(TH!L3821=TH!$Y$7,M3821=TH!$Y$7),"x","")</f>
        <v/>
      </c>
      <c r="Z3821" s="525" t="str">
        <f>IF(AND(B3821&lt;=NKC!$N$8,B3821&gt;=NKC!$M$8),"x","")</f>
        <v/>
      </c>
      <c r="AA3821" s="535"/>
      <c r="AB3821" s="536"/>
      <c r="AC3821" s="536" t="str">
        <f>VLOOKUP(F3821,NXT!$B$12:$B$686,1,0)</f>
        <v>In decal</v>
      </c>
      <c r="AD3821" s="536"/>
    </row>
    <row r="3822" spans="1:30" s="503" customFormat="1" ht="15.75" customHeight="1">
      <c r="A3822" s="517" t="str">
        <f>IF(B3822&lt;&gt;"",IF(AND(B3822&gt;=_TM1,B3822&lt;=_TM2,OR(TH!L3822="1111",TH!M3822="1111")),TH!D3822,""),"")</f>
        <v/>
      </c>
      <c r="B3822" s="531">
        <f t="shared" si="442"/>
        <v>9</v>
      </c>
      <c r="C3822" s="315">
        <f t="shared" si="443"/>
        <v>43007</v>
      </c>
      <c r="D3822" s="544" t="s">
        <v>1181</v>
      </c>
      <c r="E3822" s="315">
        <v>43007</v>
      </c>
      <c r="F3822" s="249" t="s">
        <v>494</v>
      </c>
      <c r="G3822" s="314" t="s">
        <v>1702</v>
      </c>
      <c r="H3822" s="473" t="s">
        <v>1309</v>
      </c>
      <c r="I3822" s="307"/>
      <c r="J3822" s="307"/>
      <c r="K3822" s="532">
        <v>1639343</v>
      </c>
      <c r="L3822" s="534" t="s">
        <v>223</v>
      </c>
      <c r="M3822" s="534" t="s">
        <v>259</v>
      </c>
      <c r="N3822" s="525" t="str">
        <f>IF(AND('331-CT'!$E$7=TH!H3822,OR(L3822="331",M3822="331")),"331",IF(AND(OR(L3822="131",M3822="131"),H3822='131-CT'!$E$7),"131",""))</f>
        <v/>
      </c>
      <c r="O3822" s="525" t="str">
        <f>IF(AND($B3822&gt;='111'!$N$11,$B3822&lt;='111'!$O$11,OR($L3822=$O$7,$M3822=$O$7)),"x","")</f>
        <v/>
      </c>
      <c r="P3822" s="525" t="str">
        <f>IF(AND($L3822=$O$7,$B3822&lt;'111'!$N$11),"x","")</f>
        <v/>
      </c>
      <c r="Q3822" s="525" t="str">
        <f>IF(AND($M3822=$O$7,$B3822&lt;'111'!$N$11),"x","")</f>
        <v/>
      </c>
      <c r="R3822" s="525" t="str">
        <f>IF(ISERROR(FIND('112'!$M$9,G3822,1)),"",IF((AND(FIND('112'!$M$9,G3822,1)&gt;=1,$B3822&gt;='112'!$N$8,$B3822&lt;='112'!$O$8,OR($L3822='112'!$I$6,$M3822='112'!$I$6))),"x",""))</f>
        <v/>
      </c>
      <c r="S3822" s="525" t="str">
        <f>IF(ISERROR(FIND('112'!$M$9,G3822,1)),"",IF((AND(LEFT(G3822,2)=LEFT('112'!$M$9,2),B3822&lt;'112'!$N$8,$L3822='112'!$I$6)),"x",""))</f>
        <v/>
      </c>
      <c r="T3822" s="525" t="str">
        <f>IF(ISERROR(FIND('112'!$M$9,G3822,1)),"",IF((AND(RIGHT(G3822,2)=RIGHT('112'!$M$9,2),B3822&lt;'112'!$N$8,$M3822='112'!$I$6)),"x",""))</f>
        <v/>
      </c>
      <c r="U3822" s="525" t="str">
        <f>IF(AND(B3822&gt;='IN-NX'!$P$3,B3822&lt;='IN-NX'!$Q$3,'IN-NX'!$D$7=D3822,OR(LEFT(L3822,2)="15",AND(LEFT(M3822,2)&lt;&gt;"15",LEFT(M3822,2)&lt;&gt;"33"))),"x","")</f>
        <v/>
      </c>
      <c r="V3822" s="525" t="str">
        <f>IF(AND(OR(LEFT(TH!L3822,2)="15",LEFT(TH!M3822,2)="15"),'152-CT'!$J$8=TH!F3822),"x","")</f>
        <v/>
      </c>
      <c r="W3822" s="525" t="str">
        <f>IF(AND(OR(LEFT(TH!L3822,2)="15",LEFT(TH!M3822,2)="15"),TK!$E$7=TH!F3822),"x","")</f>
        <v/>
      </c>
      <c r="X3822" s="525" t="str">
        <f>IF(AND('341-CT'!$E$9=H3822,OR(LEFT(L3822,3)=$X$7,LEFT(M3822,3)=$X$7)),"x","")</f>
        <v/>
      </c>
      <c r="Y3822" s="525" t="str">
        <f>IF(OR(TH!L3822=TH!$Y$7,M3822=TH!$Y$7),"x","")</f>
        <v/>
      </c>
      <c r="Z3822" s="525" t="str">
        <f>IF(AND(B3822&lt;=NKC!$N$8,B3822&gt;=NKC!$M$8),"x","")</f>
        <v/>
      </c>
      <c r="AA3822" s="535"/>
      <c r="AD3822" s="536"/>
    </row>
    <row r="3823" spans="1:30" s="503" customFormat="1" ht="15.75" customHeight="1">
      <c r="A3823" s="517" t="str">
        <f>IF(B3823&lt;&gt;"",IF(AND(B3823&gt;=_TM1,B3823&lt;=_TM2,OR(TH!L3823="1111",TH!M3823="1111")),TH!D3823,""),"")</f>
        <v/>
      </c>
      <c r="B3823" s="531">
        <f t="shared" si="442"/>
        <v>9</v>
      </c>
      <c r="C3823" s="315">
        <f t="shared" si="443"/>
        <v>43008</v>
      </c>
      <c r="D3823" s="544" t="s">
        <v>1181</v>
      </c>
      <c r="E3823" s="315">
        <v>43008</v>
      </c>
      <c r="F3823" s="250" t="s">
        <v>1023</v>
      </c>
      <c r="G3823" s="314" t="s">
        <v>1703</v>
      </c>
      <c r="H3823" s="473" t="s">
        <v>284</v>
      </c>
      <c r="I3823" s="307">
        <v>20</v>
      </c>
      <c r="J3823" s="307">
        <v>82493</v>
      </c>
      <c r="K3823" s="532">
        <f t="shared" ref="K3823:K3841" si="445">ROUND(I3823*J3823,0)</f>
        <v>1649860</v>
      </c>
      <c r="L3823" s="534" t="s">
        <v>223</v>
      </c>
      <c r="M3823" s="534" t="s">
        <v>162</v>
      </c>
      <c r="N3823" s="525" t="str">
        <f>IF(AND('331-CT'!$E$7=TH!H3823,OR(L3823="331",M3823="331")),"331",IF(AND(OR(L3823="131",M3823="131"),H3823='131-CT'!$E$7),"131",""))</f>
        <v/>
      </c>
      <c r="O3823" s="525" t="str">
        <f>IF(AND($B3823&gt;='111'!$N$11,$B3823&lt;='111'!$O$11,OR($L3823=$O$7,$M3823=$O$7)),"x","")</f>
        <v/>
      </c>
      <c r="P3823" s="525" t="str">
        <f>IF(AND($L3823=$O$7,$B3823&lt;'111'!$N$11),"x","")</f>
        <v/>
      </c>
      <c r="Q3823" s="525" t="str">
        <f>IF(AND($M3823=$O$7,$B3823&lt;'111'!$N$11),"x","")</f>
        <v/>
      </c>
      <c r="R3823" s="525" t="str">
        <f>IF(ISERROR(FIND('112'!$M$9,G3823,1)),"",IF((AND(FIND('112'!$M$9,G3823,1)&gt;=1,$B3823&gt;='112'!$N$8,$B3823&lt;='112'!$O$8,OR($L3823='112'!$I$6,$M3823='112'!$I$6))),"x",""))</f>
        <v/>
      </c>
      <c r="S3823" s="525" t="str">
        <f>IF(ISERROR(FIND('112'!$M$9,G3823,1)),"",IF((AND(LEFT(G3823,2)=LEFT('112'!$M$9,2),B3823&lt;'112'!$N$8,$L3823='112'!$I$6)),"x",""))</f>
        <v/>
      </c>
      <c r="T3823" s="525" t="str">
        <f>IF(ISERROR(FIND('112'!$M$9,G3823,1)),"",IF((AND(RIGHT(G3823,2)=RIGHT('112'!$M$9,2),B3823&lt;'112'!$N$8,$M3823='112'!$I$6)),"x",""))</f>
        <v/>
      </c>
      <c r="U3823" s="525" t="str">
        <f>IF(AND(B3823&gt;='IN-NX'!$P$3,B3823&lt;='IN-NX'!$Q$3,'IN-NX'!$D$7=D3823,OR(LEFT(L3823,2)="15",AND(LEFT(M3823,2)&lt;&gt;"15",LEFT(M3823,2)&lt;&gt;"33"))),"x","")</f>
        <v/>
      </c>
      <c r="V3823" s="525" t="str">
        <f>IF(AND(OR(LEFT(TH!L3823,2)="15",LEFT(TH!M3823,2)="15"),'152-CT'!$J$8=TH!F3823),"x","")</f>
        <v/>
      </c>
      <c r="W3823" s="525" t="str">
        <f>IF(AND(OR(LEFT(TH!L3823,2)="15",LEFT(TH!M3823,2)="15"),TK!$E$7=TH!F3823),"x","")</f>
        <v/>
      </c>
      <c r="X3823" s="525" t="str">
        <f>IF(AND('341-CT'!$E$9=H3823,OR(LEFT(L3823,3)=$X$7,LEFT(M3823,3)=$X$7)),"x","")</f>
        <v/>
      </c>
      <c r="Y3823" s="525" t="str">
        <f>IF(OR(TH!L3823=TH!$Y$7,M3823=TH!$Y$7),"x","")</f>
        <v/>
      </c>
      <c r="Z3823" s="525" t="str">
        <f>IF(AND(B3823&lt;=NKC!$N$8,B3823&gt;=NKC!$M$8),"x","")</f>
        <v/>
      </c>
      <c r="AA3823" s="535"/>
      <c r="AB3823" s="536"/>
      <c r="AC3823" s="536" t="str">
        <f>VLOOKUP(F3823,NXT!$B$12:$B$686,1,0)</f>
        <v>Thùng 68x68x68</v>
      </c>
    </row>
    <row r="3824" spans="1:30" s="503" customFormat="1" ht="15.75" customHeight="1">
      <c r="A3824" s="517" t="str">
        <f>IF(B3824&lt;&gt;"",IF(AND(B3824&gt;=_TM1,B3824&lt;=_TM2,OR(TH!L3824="1111",TH!M3824="1111")),TH!D3824,""),"")</f>
        <v/>
      </c>
      <c r="B3824" s="531">
        <f t="shared" si="442"/>
        <v>9</v>
      </c>
      <c r="C3824" s="315">
        <f t="shared" si="443"/>
        <v>43008</v>
      </c>
      <c r="D3824" s="544" t="s">
        <v>1181</v>
      </c>
      <c r="E3824" s="315">
        <v>43008</v>
      </c>
      <c r="F3824" s="250" t="s">
        <v>1635</v>
      </c>
      <c r="G3824" s="314" t="s">
        <v>1703</v>
      </c>
      <c r="H3824" s="473" t="s">
        <v>284</v>
      </c>
      <c r="I3824" s="307">
        <v>10</v>
      </c>
      <c r="J3824" s="307">
        <v>166044</v>
      </c>
      <c r="K3824" s="532">
        <f t="shared" si="445"/>
        <v>1660440</v>
      </c>
      <c r="L3824" s="534" t="s">
        <v>223</v>
      </c>
      <c r="M3824" s="534" t="s">
        <v>162</v>
      </c>
      <c r="N3824" s="525" t="str">
        <f>IF(AND('331-CT'!$E$7=TH!H3824,OR(L3824="331",M3824="331")),"331",IF(AND(OR(L3824="131",M3824="131"),H3824='131-CT'!$E$7),"131",""))</f>
        <v/>
      </c>
      <c r="O3824" s="525" t="str">
        <f>IF(AND($B3824&gt;='111'!$N$11,$B3824&lt;='111'!$O$11,OR($L3824=$O$7,$M3824=$O$7)),"x","")</f>
        <v/>
      </c>
      <c r="P3824" s="525" t="str">
        <f>IF(AND($L3824=$O$7,$B3824&lt;'111'!$N$11),"x","")</f>
        <v/>
      </c>
      <c r="Q3824" s="525" t="str">
        <f>IF(AND($M3824=$O$7,$B3824&lt;'111'!$N$11),"x","")</f>
        <v/>
      </c>
      <c r="R3824" s="525" t="str">
        <f>IF(ISERROR(FIND('112'!$M$9,G3824,1)),"",IF((AND(FIND('112'!$M$9,G3824,1)&gt;=1,$B3824&gt;='112'!$N$8,$B3824&lt;='112'!$O$8,OR($L3824='112'!$I$6,$M3824='112'!$I$6))),"x",""))</f>
        <v/>
      </c>
      <c r="S3824" s="525" t="str">
        <f>IF(ISERROR(FIND('112'!$M$9,G3824,1)),"",IF((AND(LEFT(G3824,2)=LEFT('112'!$M$9,2),B3824&lt;'112'!$N$8,$L3824='112'!$I$6)),"x",""))</f>
        <v/>
      </c>
      <c r="T3824" s="525" t="str">
        <f>IF(ISERROR(FIND('112'!$M$9,G3824,1)),"",IF((AND(RIGHT(G3824,2)=RIGHT('112'!$M$9,2),B3824&lt;'112'!$N$8,$M3824='112'!$I$6)),"x",""))</f>
        <v/>
      </c>
      <c r="U3824" s="525" t="str">
        <f>IF(AND(B3824&gt;='IN-NX'!$P$3,B3824&lt;='IN-NX'!$Q$3,'IN-NX'!$D$7=D3824,OR(LEFT(L3824,2)="15",AND(LEFT(M3824,2)&lt;&gt;"15",LEFT(M3824,2)&lt;&gt;"33"))),"x","")</f>
        <v/>
      </c>
      <c r="V3824" s="525" t="str">
        <f>IF(AND(OR(LEFT(TH!L3824,2)="15",LEFT(TH!M3824,2)="15"),'152-CT'!$J$8=TH!F3824),"x","")</f>
        <v/>
      </c>
      <c r="W3824" s="525" t="str">
        <f>IF(AND(OR(LEFT(TH!L3824,2)="15",LEFT(TH!M3824,2)="15"),TK!$E$7=TH!F3824),"x","")</f>
        <v/>
      </c>
      <c r="X3824" s="525" t="str">
        <f>IF(AND('341-CT'!$E$9=H3824,OR(LEFT(L3824,3)=$X$7,LEFT(M3824,3)=$X$7)),"x","")</f>
        <v/>
      </c>
      <c r="Y3824" s="525" t="str">
        <f>IF(OR(TH!L3824=TH!$Y$7,M3824=TH!$Y$7),"x","")</f>
        <v/>
      </c>
      <c r="Z3824" s="525" t="str">
        <f>IF(AND(B3824&lt;=NKC!$N$8,B3824&gt;=NKC!$M$8),"x","")</f>
        <v/>
      </c>
      <c r="AA3824" s="535"/>
      <c r="AB3824" s="536"/>
      <c r="AC3824" s="536" t="str">
        <f>VLOOKUP(F3824,NXT!$B$12:$B$686,1,0)</f>
        <v>Thùng 113x113x55</v>
      </c>
    </row>
    <row r="3825" spans="1:30" s="503" customFormat="1" ht="15.75" customHeight="1">
      <c r="A3825" s="517" t="str">
        <f>IF(B3825&lt;&gt;"",IF(AND(B3825&gt;=_TM1,B3825&lt;=_TM2,OR(TH!L3825="1111",TH!M3825="1111")),TH!D3825,""),"")</f>
        <v/>
      </c>
      <c r="B3825" s="531">
        <f t="shared" si="442"/>
        <v>9</v>
      </c>
      <c r="C3825" s="315">
        <f t="shared" si="443"/>
        <v>43008</v>
      </c>
      <c r="D3825" s="544" t="s">
        <v>1181</v>
      </c>
      <c r="E3825" s="315">
        <v>43008</v>
      </c>
      <c r="F3825" s="250" t="s">
        <v>1636</v>
      </c>
      <c r="G3825" s="314" t="s">
        <v>1703</v>
      </c>
      <c r="H3825" s="473" t="s">
        <v>284</v>
      </c>
      <c r="I3825" s="307">
        <v>4</v>
      </c>
      <c r="J3825" s="307">
        <v>89180</v>
      </c>
      <c r="K3825" s="532">
        <f t="shared" si="445"/>
        <v>356720</v>
      </c>
      <c r="L3825" s="534" t="s">
        <v>223</v>
      </c>
      <c r="M3825" s="534" t="s">
        <v>162</v>
      </c>
      <c r="N3825" s="525" t="str">
        <f>IF(AND('331-CT'!$E$7=TH!H3825,OR(L3825="331",M3825="331")),"331",IF(AND(OR(L3825="131",M3825="131"),H3825='131-CT'!$E$7),"131",""))</f>
        <v/>
      </c>
      <c r="O3825" s="525" t="str">
        <f>IF(AND($B3825&gt;='111'!$N$11,$B3825&lt;='111'!$O$11,OR($L3825=$O$7,$M3825=$O$7)),"x","")</f>
        <v/>
      </c>
      <c r="P3825" s="525" t="str">
        <f>IF(AND($L3825=$O$7,$B3825&lt;'111'!$N$11),"x","")</f>
        <v/>
      </c>
      <c r="Q3825" s="525" t="str">
        <f>IF(AND($M3825=$O$7,$B3825&lt;'111'!$N$11),"x","")</f>
        <v/>
      </c>
      <c r="R3825" s="525" t="str">
        <f>IF(ISERROR(FIND('112'!$M$9,G3825,1)),"",IF((AND(FIND('112'!$M$9,G3825,1)&gt;=1,$B3825&gt;='112'!$N$8,$B3825&lt;='112'!$O$8,OR($L3825='112'!$I$6,$M3825='112'!$I$6))),"x",""))</f>
        <v/>
      </c>
      <c r="S3825" s="525" t="str">
        <f>IF(ISERROR(FIND('112'!$M$9,G3825,1)),"",IF((AND(LEFT(G3825,2)=LEFT('112'!$M$9,2),B3825&lt;'112'!$N$8,$L3825='112'!$I$6)),"x",""))</f>
        <v/>
      </c>
      <c r="T3825" s="525" t="str">
        <f>IF(ISERROR(FIND('112'!$M$9,G3825,1)),"",IF((AND(RIGHT(G3825,2)=RIGHT('112'!$M$9,2),B3825&lt;'112'!$N$8,$M3825='112'!$I$6)),"x",""))</f>
        <v/>
      </c>
      <c r="U3825" s="525" t="str">
        <f>IF(AND(B3825&gt;='IN-NX'!$P$3,B3825&lt;='IN-NX'!$Q$3,'IN-NX'!$D$7=D3825,OR(LEFT(L3825,2)="15",AND(LEFT(M3825,2)&lt;&gt;"15",LEFT(M3825,2)&lt;&gt;"33"))),"x","")</f>
        <v/>
      </c>
      <c r="V3825" s="525" t="str">
        <f>IF(AND(OR(LEFT(TH!L3825,2)="15",LEFT(TH!M3825,2)="15"),'152-CT'!$J$8=TH!F3825),"x","")</f>
        <v/>
      </c>
      <c r="W3825" s="525" t="str">
        <f>IF(AND(OR(LEFT(TH!L3825,2)="15",LEFT(TH!M3825,2)="15"),TK!$E$7=TH!F3825),"x","")</f>
        <v/>
      </c>
      <c r="X3825" s="525" t="str">
        <f>IF(AND('341-CT'!$E$9=H3825,OR(LEFT(L3825,3)=$X$7,LEFT(M3825,3)=$X$7)),"x","")</f>
        <v/>
      </c>
      <c r="Y3825" s="525" t="str">
        <f>IF(OR(TH!L3825=TH!$Y$7,M3825=TH!$Y$7),"x","")</f>
        <v/>
      </c>
      <c r="Z3825" s="525" t="str">
        <f>IF(AND(B3825&lt;=NKC!$N$8,B3825&gt;=NKC!$M$8),"x","")</f>
        <v/>
      </c>
      <c r="AA3825" s="535"/>
      <c r="AB3825" s="536"/>
      <c r="AC3825" s="536" t="str">
        <f>VLOOKUP(F3825,NXT!$B$12:$B$686,1,0)</f>
        <v>Thùng 63x63x88</v>
      </c>
      <c r="AD3825" s="536"/>
    </row>
    <row r="3826" spans="1:30" s="503" customFormat="1" ht="15.75" customHeight="1">
      <c r="A3826" s="517" t="str">
        <f>IF(B3826&lt;&gt;"",IF(AND(B3826&gt;=_TM1,B3826&lt;=_TM2,OR(TH!L3826="1111",TH!M3826="1111")),TH!D3826,""),"")</f>
        <v/>
      </c>
      <c r="B3826" s="531">
        <f t="shared" si="442"/>
        <v>9</v>
      </c>
      <c r="C3826" s="315">
        <f t="shared" si="443"/>
        <v>43008</v>
      </c>
      <c r="D3826" s="544" t="s">
        <v>1181</v>
      </c>
      <c r="E3826" s="315">
        <v>43008</v>
      </c>
      <c r="F3826" s="250" t="s">
        <v>1637</v>
      </c>
      <c r="G3826" s="314" t="s">
        <v>1703</v>
      </c>
      <c r="H3826" s="473" t="s">
        <v>284</v>
      </c>
      <c r="I3826" s="307">
        <v>9</v>
      </c>
      <c r="J3826" s="307">
        <v>191294</v>
      </c>
      <c r="K3826" s="532">
        <f t="shared" si="445"/>
        <v>1721646</v>
      </c>
      <c r="L3826" s="534" t="s">
        <v>223</v>
      </c>
      <c r="M3826" s="534" t="s">
        <v>162</v>
      </c>
      <c r="N3826" s="525" t="str">
        <f>IF(AND('331-CT'!$E$7=TH!H3826,OR(L3826="331",M3826="331")),"331",IF(AND(OR(L3826="131",M3826="131"),H3826='131-CT'!$E$7),"131",""))</f>
        <v/>
      </c>
      <c r="O3826" s="525" t="str">
        <f>IF(AND($B3826&gt;='111'!$N$11,$B3826&lt;='111'!$O$11,OR($L3826=$O$7,$M3826=$O$7)),"x","")</f>
        <v/>
      </c>
      <c r="P3826" s="525" t="str">
        <f>IF(AND($L3826=$O$7,$B3826&lt;'111'!$N$11),"x","")</f>
        <v/>
      </c>
      <c r="Q3826" s="525" t="str">
        <f>IF(AND($M3826=$O$7,$B3826&lt;'111'!$N$11),"x","")</f>
        <v/>
      </c>
      <c r="R3826" s="525" t="str">
        <f>IF(ISERROR(FIND('112'!$M$9,G3826,1)),"",IF((AND(FIND('112'!$M$9,G3826,1)&gt;=1,$B3826&gt;='112'!$N$8,$B3826&lt;='112'!$O$8,OR($L3826='112'!$I$6,$M3826='112'!$I$6))),"x",""))</f>
        <v/>
      </c>
      <c r="S3826" s="525" t="str">
        <f>IF(ISERROR(FIND('112'!$M$9,G3826,1)),"",IF((AND(LEFT(G3826,2)=LEFT('112'!$M$9,2),B3826&lt;'112'!$N$8,$L3826='112'!$I$6)),"x",""))</f>
        <v/>
      </c>
      <c r="T3826" s="525" t="str">
        <f>IF(ISERROR(FIND('112'!$M$9,G3826,1)),"",IF((AND(RIGHT(G3826,2)=RIGHT('112'!$M$9,2),B3826&lt;'112'!$N$8,$M3826='112'!$I$6)),"x",""))</f>
        <v/>
      </c>
      <c r="U3826" s="525" t="str">
        <f>IF(AND(B3826&gt;='IN-NX'!$P$3,B3826&lt;='IN-NX'!$Q$3,'IN-NX'!$D$7=D3826,OR(LEFT(L3826,2)="15",AND(LEFT(M3826,2)&lt;&gt;"15",LEFT(M3826,2)&lt;&gt;"33"))),"x","")</f>
        <v/>
      </c>
      <c r="V3826" s="525" t="str">
        <f>IF(AND(OR(LEFT(TH!L3826,2)="15",LEFT(TH!M3826,2)="15"),'152-CT'!$J$8=TH!F3826),"x","")</f>
        <v/>
      </c>
      <c r="W3826" s="525" t="str">
        <f>IF(AND(OR(LEFT(TH!L3826,2)="15",LEFT(TH!M3826,2)="15"),TK!$E$7=TH!F3826),"x","")</f>
        <v/>
      </c>
      <c r="X3826" s="525" t="str">
        <f>IF(AND('341-CT'!$E$9=H3826,OR(LEFT(L3826,3)=$X$7,LEFT(M3826,3)=$X$7)),"x","")</f>
        <v/>
      </c>
      <c r="Y3826" s="525" t="str">
        <f>IF(OR(TH!L3826=TH!$Y$7,M3826=TH!$Y$7),"x","")</f>
        <v/>
      </c>
      <c r="Z3826" s="525" t="str">
        <f>IF(AND(B3826&lt;=NKC!$N$8,B3826&gt;=NKC!$M$8),"x","")</f>
        <v/>
      </c>
      <c r="AA3826" s="535"/>
      <c r="AB3826" s="536"/>
      <c r="AC3826" s="536" t="str">
        <f>VLOOKUP(F3826,NXT!$B$12:$B$686,1,0)</f>
        <v>Thùng 183x93x58</v>
      </c>
    </row>
    <row r="3827" spans="1:30" s="503" customFormat="1" ht="15.75" customHeight="1">
      <c r="A3827" s="517" t="str">
        <f>IF(B3827&lt;&gt;"",IF(AND(B3827&gt;=_TM1,B3827&lt;=_TM2,OR(TH!L3827="1111",TH!M3827="1111")),TH!D3827,""),"")</f>
        <v/>
      </c>
      <c r="B3827" s="531">
        <f t="shared" si="442"/>
        <v>9</v>
      </c>
      <c r="C3827" s="315">
        <f t="shared" si="443"/>
        <v>43008</v>
      </c>
      <c r="D3827" s="544" t="s">
        <v>1181</v>
      </c>
      <c r="E3827" s="315">
        <v>43008</v>
      </c>
      <c r="F3827" s="250" t="s">
        <v>1638</v>
      </c>
      <c r="G3827" s="314" t="s">
        <v>1703</v>
      </c>
      <c r="H3827" s="473" t="s">
        <v>284</v>
      </c>
      <c r="I3827" s="307">
        <v>24</v>
      </c>
      <c r="J3827" s="307">
        <v>51423</v>
      </c>
      <c r="K3827" s="532">
        <f t="shared" si="445"/>
        <v>1234152</v>
      </c>
      <c r="L3827" s="534" t="s">
        <v>223</v>
      </c>
      <c r="M3827" s="534" t="s">
        <v>162</v>
      </c>
      <c r="N3827" s="525" t="str">
        <f>IF(AND('331-CT'!$E$7=TH!H3827,OR(L3827="331",M3827="331")),"331",IF(AND(OR(L3827="131",M3827="131"),H3827='131-CT'!$E$7),"131",""))</f>
        <v/>
      </c>
      <c r="O3827" s="525" t="str">
        <f>IF(AND($B3827&gt;='111'!$N$11,$B3827&lt;='111'!$O$11,OR($L3827=$O$7,$M3827=$O$7)),"x","")</f>
        <v/>
      </c>
      <c r="P3827" s="525" t="str">
        <f>IF(AND($L3827=$O$7,$B3827&lt;'111'!$N$11),"x","")</f>
        <v/>
      </c>
      <c r="Q3827" s="525" t="str">
        <f>IF(AND($M3827=$O$7,$B3827&lt;'111'!$N$11),"x","")</f>
        <v/>
      </c>
      <c r="R3827" s="525" t="str">
        <f>IF(ISERROR(FIND('112'!$M$9,G3827,1)),"",IF((AND(FIND('112'!$M$9,G3827,1)&gt;=1,$B3827&gt;='112'!$N$8,$B3827&lt;='112'!$O$8,OR($L3827='112'!$I$6,$M3827='112'!$I$6))),"x",""))</f>
        <v/>
      </c>
      <c r="S3827" s="525" t="str">
        <f>IF(ISERROR(FIND('112'!$M$9,G3827,1)),"",IF((AND(LEFT(G3827,2)=LEFT('112'!$M$9,2),B3827&lt;'112'!$N$8,$L3827='112'!$I$6)),"x",""))</f>
        <v/>
      </c>
      <c r="T3827" s="525" t="str">
        <f>IF(ISERROR(FIND('112'!$M$9,G3827,1)),"",IF((AND(RIGHT(G3827,2)=RIGHT('112'!$M$9,2),B3827&lt;'112'!$N$8,$M3827='112'!$I$6)),"x",""))</f>
        <v/>
      </c>
      <c r="U3827" s="525" t="str">
        <f>IF(AND(B3827&gt;='IN-NX'!$P$3,B3827&lt;='IN-NX'!$Q$3,'IN-NX'!$D$7=D3827,OR(LEFT(L3827,2)="15",AND(LEFT(M3827,2)&lt;&gt;"15",LEFT(M3827,2)&lt;&gt;"33"))),"x","")</f>
        <v/>
      </c>
      <c r="V3827" s="525" t="str">
        <f>IF(AND(OR(LEFT(TH!L3827,2)="15",LEFT(TH!M3827,2)="15"),'152-CT'!$J$8=TH!F3827),"x","")</f>
        <v/>
      </c>
      <c r="W3827" s="525" t="str">
        <f>IF(AND(OR(LEFT(TH!L3827,2)="15",LEFT(TH!M3827,2)="15"),TK!$E$7=TH!F3827),"x","")</f>
        <v/>
      </c>
      <c r="X3827" s="525" t="str">
        <f>IF(AND('341-CT'!$E$9=H3827,OR(LEFT(L3827,3)=$X$7,LEFT(M3827,3)=$X$7)),"x","")</f>
        <v/>
      </c>
      <c r="Y3827" s="525" t="str">
        <f>IF(OR(TH!L3827=TH!$Y$7,M3827=TH!$Y$7),"x","")</f>
        <v/>
      </c>
      <c r="Z3827" s="525" t="str">
        <f>IF(AND(B3827&lt;=NKC!$N$8,B3827&gt;=NKC!$M$8),"x","")</f>
        <v/>
      </c>
      <c r="AA3827" s="535"/>
      <c r="AB3827" s="536"/>
      <c r="AC3827" s="536" t="str">
        <f>VLOOKUP(F3827,NXT!$B$12:$B$686,1,0)</f>
        <v>Thùng 51x51x60</v>
      </c>
      <c r="AD3827" s="536"/>
    </row>
    <row r="3828" spans="1:30" s="503" customFormat="1" ht="15.75" customHeight="1">
      <c r="A3828" s="517" t="str">
        <f>IF(B3828&lt;&gt;"",IF(AND(B3828&gt;=_TM1,B3828&lt;=_TM2,OR(TH!L3828="1111",TH!M3828="1111")),TH!D3828,""),"")</f>
        <v/>
      </c>
      <c r="B3828" s="531">
        <f t="shared" si="442"/>
        <v>9</v>
      </c>
      <c r="C3828" s="315">
        <f t="shared" si="443"/>
        <v>43008</v>
      </c>
      <c r="D3828" s="544" t="s">
        <v>1181</v>
      </c>
      <c r="E3828" s="315">
        <v>43008</v>
      </c>
      <c r="F3828" s="250" t="s">
        <v>1639</v>
      </c>
      <c r="G3828" s="314" t="s">
        <v>1703</v>
      </c>
      <c r="H3828" s="473" t="s">
        <v>284</v>
      </c>
      <c r="I3828" s="307">
        <v>14</v>
      </c>
      <c r="J3828" s="307">
        <v>57144</v>
      </c>
      <c r="K3828" s="532">
        <f t="shared" si="445"/>
        <v>800016</v>
      </c>
      <c r="L3828" s="534" t="s">
        <v>223</v>
      </c>
      <c r="M3828" s="534" t="s">
        <v>162</v>
      </c>
      <c r="N3828" s="525" t="str">
        <f>IF(AND('331-CT'!$E$7=TH!H3828,OR(L3828="331",M3828="331")),"331",IF(AND(OR(L3828="131",M3828="131"),H3828='131-CT'!$E$7),"131",""))</f>
        <v/>
      </c>
      <c r="O3828" s="525" t="str">
        <f>IF(AND($B3828&gt;='111'!$N$11,$B3828&lt;='111'!$O$11,OR($L3828=$O$7,$M3828=$O$7)),"x","")</f>
        <v/>
      </c>
      <c r="P3828" s="525" t="str">
        <f>IF(AND($L3828=$O$7,$B3828&lt;'111'!$N$11),"x","")</f>
        <v/>
      </c>
      <c r="Q3828" s="525" t="str">
        <f>IF(AND($M3828=$O$7,$B3828&lt;'111'!$N$11),"x","")</f>
        <v/>
      </c>
      <c r="R3828" s="525" t="str">
        <f>IF(ISERROR(FIND('112'!$M$9,G3828,1)),"",IF((AND(FIND('112'!$M$9,G3828,1)&gt;=1,$B3828&gt;='112'!$N$8,$B3828&lt;='112'!$O$8,OR($L3828='112'!$I$6,$M3828='112'!$I$6))),"x",""))</f>
        <v/>
      </c>
      <c r="S3828" s="525" t="str">
        <f>IF(ISERROR(FIND('112'!$M$9,G3828,1)),"",IF((AND(LEFT(G3828,2)=LEFT('112'!$M$9,2),B3828&lt;'112'!$N$8,$L3828='112'!$I$6)),"x",""))</f>
        <v/>
      </c>
      <c r="T3828" s="525" t="str">
        <f>IF(ISERROR(FIND('112'!$M$9,G3828,1)),"",IF((AND(RIGHT(G3828,2)=RIGHT('112'!$M$9,2),B3828&lt;'112'!$N$8,$M3828='112'!$I$6)),"x",""))</f>
        <v/>
      </c>
      <c r="U3828" s="525" t="str">
        <f>IF(AND(B3828&gt;='IN-NX'!$P$3,B3828&lt;='IN-NX'!$Q$3,'IN-NX'!$D$7=D3828,OR(LEFT(L3828,2)="15",AND(LEFT(M3828,2)&lt;&gt;"15",LEFT(M3828,2)&lt;&gt;"33"))),"x","")</f>
        <v/>
      </c>
      <c r="V3828" s="525" t="str">
        <f>IF(AND(OR(LEFT(TH!L3828,2)="15",LEFT(TH!M3828,2)="15"),'152-CT'!$J$8=TH!F3828),"x","")</f>
        <v/>
      </c>
      <c r="W3828" s="525" t="str">
        <f>IF(AND(OR(LEFT(TH!L3828,2)="15",LEFT(TH!M3828,2)="15"),TK!$E$7=TH!F3828),"x","")</f>
        <v/>
      </c>
      <c r="X3828" s="525" t="str">
        <f>IF(AND('341-CT'!$E$9=H3828,OR(LEFT(L3828,3)=$X$7,LEFT(M3828,3)=$X$7)),"x","")</f>
        <v/>
      </c>
      <c r="Y3828" s="525" t="str">
        <f>IF(OR(TH!L3828=TH!$Y$7,M3828=TH!$Y$7),"x","")</f>
        <v/>
      </c>
      <c r="Z3828" s="525" t="str">
        <f>IF(AND(B3828&lt;=NKC!$N$8,B3828&gt;=NKC!$M$8),"x","")</f>
        <v/>
      </c>
      <c r="AA3828" s="535"/>
      <c r="AB3828" s="536"/>
      <c r="AC3828" s="536" t="str">
        <f>VLOOKUP(F3828,NXT!$B$12:$B$686,1,0)</f>
        <v>Thùng 63x38x87</v>
      </c>
    </row>
    <row r="3829" spans="1:30" s="503" customFormat="1" ht="15.75" customHeight="1">
      <c r="A3829" s="517" t="str">
        <f>IF(B3829&lt;&gt;"",IF(AND(B3829&gt;=_TM1,B3829&lt;=_TM2,OR(TH!L3829="1111",TH!M3829="1111")),TH!D3829,""),"")</f>
        <v/>
      </c>
      <c r="B3829" s="531">
        <f t="shared" si="442"/>
        <v>9</v>
      </c>
      <c r="C3829" s="315">
        <f t="shared" si="443"/>
        <v>43008</v>
      </c>
      <c r="D3829" s="544" t="s">
        <v>1181</v>
      </c>
      <c r="E3829" s="315">
        <v>43008</v>
      </c>
      <c r="F3829" s="250" t="s">
        <v>1640</v>
      </c>
      <c r="G3829" s="314" t="s">
        <v>1703</v>
      </c>
      <c r="H3829" s="473" t="s">
        <v>284</v>
      </c>
      <c r="I3829" s="307">
        <v>5</v>
      </c>
      <c r="J3829" s="307">
        <v>169891</v>
      </c>
      <c r="K3829" s="532">
        <f t="shared" si="445"/>
        <v>849455</v>
      </c>
      <c r="L3829" s="534" t="s">
        <v>223</v>
      </c>
      <c r="M3829" s="534" t="s">
        <v>162</v>
      </c>
      <c r="N3829" s="525" t="str">
        <f>IF(AND('331-CT'!$E$7=TH!H3829,OR(L3829="331",M3829="331")),"331",IF(AND(OR(L3829="131",M3829="131"),H3829='131-CT'!$E$7),"131",""))</f>
        <v/>
      </c>
      <c r="O3829" s="525" t="str">
        <f>IF(AND($B3829&gt;='111'!$N$11,$B3829&lt;='111'!$O$11,OR($L3829=$O$7,$M3829=$O$7)),"x","")</f>
        <v/>
      </c>
      <c r="P3829" s="525" t="str">
        <f>IF(AND($L3829=$O$7,$B3829&lt;'111'!$N$11),"x","")</f>
        <v/>
      </c>
      <c r="Q3829" s="525" t="str">
        <f>IF(AND($M3829=$O$7,$B3829&lt;'111'!$N$11),"x","")</f>
        <v/>
      </c>
      <c r="R3829" s="525" t="str">
        <f>IF(ISERROR(FIND('112'!$M$9,G3829,1)),"",IF((AND(FIND('112'!$M$9,G3829,1)&gt;=1,$B3829&gt;='112'!$N$8,$B3829&lt;='112'!$O$8,OR($L3829='112'!$I$6,$M3829='112'!$I$6))),"x",""))</f>
        <v/>
      </c>
      <c r="S3829" s="525" t="str">
        <f>IF(ISERROR(FIND('112'!$M$9,G3829,1)),"",IF((AND(LEFT(G3829,2)=LEFT('112'!$M$9,2),B3829&lt;'112'!$N$8,$L3829='112'!$I$6)),"x",""))</f>
        <v/>
      </c>
      <c r="T3829" s="525" t="str">
        <f>IF(ISERROR(FIND('112'!$M$9,G3829,1)),"",IF((AND(RIGHT(G3829,2)=RIGHT('112'!$M$9,2),B3829&lt;'112'!$N$8,$M3829='112'!$I$6)),"x",""))</f>
        <v/>
      </c>
      <c r="U3829" s="525" t="str">
        <f>IF(AND(B3829&gt;='IN-NX'!$P$3,B3829&lt;='IN-NX'!$Q$3,'IN-NX'!$D$7=D3829,OR(LEFT(L3829,2)="15",AND(LEFT(M3829,2)&lt;&gt;"15",LEFT(M3829,2)&lt;&gt;"33"))),"x","")</f>
        <v/>
      </c>
      <c r="V3829" s="525" t="str">
        <f>IF(AND(OR(LEFT(TH!L3829,2)="15",LEFT(TH!M3829,2)="15"),'152-CT'!$J$8=TH!F3829),"x","")</f>
        <v/>
      </c>
      <c r="W3829" s="525" t="str">
        <f>IF(AND(OR(LEFT(TH!L3829,2)="15",LEFT(TH!M3829,2)="15"),TK!$E$7=TH!F3829),"x","")</f>
        <v/>
      </c>
      <c r="X3829" s="525" t="str">
        <f>IF(AND('341-CT'!$E$9=H3829,OR(LEFT(L3829,3)=$X$7,LEFT(M3829,3)=$X$7)),"x","")</f>
        <v/>
      </c>
      <c r="Y3829" s="525" t="str">
        <f>IF(OR(TH!L3829=TH!$Y$7,M3829=TH!$Y$7),"x","")</f>
        <v/>
      </c>
      <c r="Z3829" s="525" t="str">
        <f>IF(AND(B3829&lt;=NKC!$N$8,B3829&gt;=NKC!$M$8),"x","")</f>
        <v/>
      </c>
      <c r="AA3829" s="535"/>
      <c r="AB3829" s="536"/>
      <c r="AC3829" s="536" t="str">
        <f>VLOOKUP(F3829,NXT!$B$12:$B$686,1,0)</f>
        <v>Thùng 213x89x33</v>
      </c>
    </row>
    <row r="3830" spans="1:30" s="503" customFormat="1" ht="15.75" customHeight="1">
      <c r="A3830" s="517" t="str">
        <f>IF(B3830&lt;&gt;"",IF(AND(B3830&gt;=_TM1,B3830&lt;=_TM2,OR(TH!L3830="1111",TH!M3830="1111")),TH!D3830,""),"")</f>
        <v/>
      </c>
      <c r="B3830" s="531">
        <f t="shared" si="442"/>
        <v>9</v>
      </c>
      <c r="C3830" s="315">
        <f t="shared" si="443"/>
        <v>43008</v>
      </c>
      <c r="D3830" s="544" t="s">
        <v>1181</v>
      </c>
      <c r="E3830" s="315">
        <v>43008</v>
      </c>
      <c r="F3830" s="250" t="s">
        <v>1641</v>
      </c>
      <c r="G3830" s="314" t="s">
        <v>1703</v>
      </c>
      <c r="H3830" s="473" t="s">
        <v>284</v>
      </c>
      <c r="I3830" s="307">
        <v>5</v>
      </c>
      <c r="J3830" s="307">
        <v>153131</v>
      </c>
      <c r="K3830" s="532">
        <f t="shared" si="445"/>
        <v>765655</v>
      </c>
      <c r="L3830" s="534" t="s">
        <v>223</v>
      </c>
      <c r="M3830" s="534" t="s">
        <v>162</v>
      </c>
      <c r="N3830" s="525" t="str">
        <f>IF(AND('331-CT'!$E$7=TH!H3830,OR(L3830="331",M3830="331")),"331",IF(AND(OR(L3830="131",M3830="131"),H3830='131-CT'!$E$7),"131",""))</f>
        <v/>
      </c>
      <c r="O3830" s="525" t="str">
        <f>IF(AND($B3830&gt;='111'!$N$11,$B3830&lt;='111'!$O$11,OR($L3830=$O$7,$M3830=$O$7)),"x","")</f>
        <v/>
      </c>
      <c r="P3830" s="525" t="str">
        <f>IF(AND($L3830=$O$7,$B3830&lt;'111'!$N$11),"x","")</f>
        <v/>
      </c>
      <c r="Q3830" s="525" t="str">
        <f>IF(AND($M3830=$O$7,$B3830&lt;'111'!$N$11),"x","")</f>
        <v/>
      </c>
      <c r="R3830" s="525" t="str">
        <f>IF(ISERROR(FIND('112'!$M$9,G3830,1)),"",IF((AND(FIND('112'!$M$9,G3830,1)&gt;=1,$B3830&gt;='112'!$N$8,$B3830&lt;='112'!$O$8,OR($L3830='112'!$I$6,$M3830='112'!$I$6))),"x",""))</f>
        <v/>
      </c>
      <c r="S3830" s="525" t="str">
        <f>IF(ISERROR(FIND('112'!$M$9,G3830,1)),"",IF((AND(LEFT(G3830,2)=LEFT('112'!$M$9,2),B3830&lt;'112'!$N$8,$L3830='112'!$I$6)),"x",""))</f>
        <v/>
      </c>
      <c r="T3830" s="525" t="str">
        <f>IF(ISERROR(FIND('112'!$M$9,G3830,1)),"",IF((AND(RIGHT(G3830,2)=RIGHT('112'!$M$9,2),B3830&lt;'112'!$N$8,$M3830='112'!$I$6)),"x",""))</f>
        <v/>
      </c>
      <c r="U3830" s="525" t="str">
        <f>IF(AND(B3830&gt;='IN-NX'!$P$3,B3830&lt;='IN-NX'!$Q$3,'IN-NX'!$D$7=D3830,OR(LEFT(L3830,2)="15",AND(LEFT(M3830,2)&lt;&gt;"15",LEFT(M3830,2)&lt;&gt;"33"))),"x","")</f>
        <v/>
      </c>
      <c r="V3830" s="525" t="str">
        <f>IF(AND(OR(LEFT(TH!L3830,2)="15",LEFT(TH!M3830,2)="15"),'152-CT'!$J$8=TH!F3830),"x","")</f>
        <v/>
      </c>
      <c r="W3830" s="525" t="str">
        <f>IF(AND(OR(LEFT(TH!L3830,2)="15",LEFT(TH!M3830,2)="15"),TK!$E$7=TH!F3830),"x","")</f>
        <v/>
      </c>
      <c r="X3830" s="525" t="str">
        <f>IF(AND('341-CT'!$E$9=H3830,OR(LEFT(L3830,3)=$X$7,LEFT(M3830,3)=$X$7)),"x","")</f>
        <v/>
      </c>
      <c r="Y3830" s="525" t="str">
        <f>IF(OR(TH!L3830=TH!$Y$7,M3830=TH!$Y$7),"x","")</f>
        <v/>
      </c>
      <c r="Z3830" s="525" t="str">
        <f>IF(AND(B3830&lt;=NKC!$N$8,B3830&gt;=NKC!$M$8),"x","")</f>
        <v/>
      </c>
      <c r="AA3830" s="535"/>
      <c r="AB3830" s="536"/>
      <c r="AC3830" s="536" t="str">
        <f>VLOOKUP(F3830,NXT!$B$12:$B$686,1,0)</f>
        <v>Thùng 140x89x56</v>
      </c>
    </row>
    <row r="3831" spans="1:30" s="503" customFormat="1" ht="15.75" customHeight="1">
      <c r="A3831" s="517" t="str">
        <f>IF(B3831&lt;&gt;"",IF(AND(B3831&gt;=_TM1,B3831&lt;=_TM2,OR(TH!L3831="1111",TH!M3831="1111")),TH!D3831,""),"")</f>
        <v/>
      </c>
      <c r="B3831" s="531">
        <f t="shared" si="442"/>
        <v>9</v>
      </c>
      <c r="C3831" s="315">
        <f t="shared" si="443"/>
        <v>43008</v>
      </c>
      <c r="D3831" s="544" t="s">
        <v>1181</v>
      </c>
      <c r="E3831" s="315">
        <v>43008</v>
      </c>
      <c r="F3831" s="250" t="s">
        <v>1642</v>
      </c>
      <c r="G3831" s="314" t="s">
        <v>1703</v>
      </c>
      <c r="H3831" s="473" t="s">
        <v>284</v>
      </c>
      <c r="I3831" s="307">
        <v>12</v>
      </c>
      <c r="J3831" s="307">
        <v>101098</v>
      </c>
      <c r="K3831" s="532">
        <f t="shared" si="445"/>
        <v>1213176</v>
      </c>
      <c r="L3831" s="534" t="s">
        <v>223</v>
      </c>
      <c r="M3831" s="534" t="s">
        <v>162</v>
      </c>
      <c r="N3831" s="525" t="str">
        <f>IF(AND('331-CT'!$E$7=TH!H3831,OR(L3831="331",M3831="331")),"331",IF(AND(OR(L3831="131",M3831="131"),H3831='131-CT'!$E$7),"131",""))</f>
        <v/>
      </c>
      <c r="O3831" s="525" t="str">
        <f>IF(AND($B3831&gt;='111'!$N$11,$B3831&lt;='111'!$O$11,OR($L3831=$O$7,$M3831=$O$7)),"x","")</f>
        <v/>
      </c>
      <c r="P3831" s="525" t="str">
        <f>IF(AND($L3831=$O$7,$B3831&lt;'111'!$N$11),"x","")</f>
        <v/>
      </c>
      <c r="Q3831" s="525" t="str">
        <f>IF(AND($M3831=$O$7,$B3831&lt;'111'!$N$11),"x","")</f>
        <v/>
      </c>
      <c r="R3831" s="525" t="str">
        <f>IF(ISERROR(FIND('112'!$M$9,G3831,1)),"",IF((AND(FIND('112'!$M$9,G3831,1)&gt;=1,$B3831&gt;='112'!$N$8,$B3831&lt;='112'!$O$8,OR($L3831='112'!$I$6,$M3831='112'!$I$6))),"x",""))</f>
        <v/>
      </c>
      <c r="S3831" s="525" t="str">
        <f>IF(ISERROR(FIND('112'!$M$9,G3831,1)),"",IF((AND(LEFT(G3831,2)=LEFT('112'!$M$9,2),B3831&lt;'112'!$N$8,$L3831='112'!$I$6)),"x",""))</f>
        <v/>
      </c>
      <c r="T3831" s="525" t="str">
        <f>IF(ISERROR(FIND('112'!$M$9,G3831,1)),"",IF((AND(RIGHT(G3831,2)=RIGHT('112'!$M$9,2),B3831&lt;'112'!$N$8,$M3831='112'!$I$6)),"x",""))</f>
        <v/>
      </c>
      <c r="U3831" s="525" t="str">
        <f>IF(AND(B3831&gt;='IN-NX'!$P$3,B3831&lt;='IN-NX'!$Q$3,'IN-NX'!$D$7=D3831,OR(LEFT(L3831,2)="15",AND(LEFT(M3831,2)&lt;&gt;"15",LEFT(M3831,2)&lt;&gt;"33"))),"x","")</f>
        <v/>
      </c>
      <c r="V3831" s="525" t="str">
        <f>IF(AND(OR(LEFT(TH!L3831,2)="15",LEFT(TH!M3831,2)="15"),'152-CT'!$J$8=TH!F3831),"x","")</f>
        <v/>
      </c>
      <c r="W3831" s="525" t="str">
        <f>IF(AND(OR(LEFT(TH!L3831,2)="15",LEFT(TH!M3831,2)="15"),TK!$E$7=TH!F3831),"x","")</f>
        <v/>
      </c>
      <c r="X3831" s="525" t="str">
        <f>IF(AND('341-CT'!$E$9=H3831,OR(LEFT(L3831,3)=$X$7,LEFT(M3831,3)=$X$7)),"x","")</f>
        <v/>
      </c>
      <c r="Y3831" s="525" t="str">
        <f>IF(OR(TH!L3831=TH!$Y$7,M3831=TH!$Y$7),"x","")</f>
        <v/>
      </c>
      <c r="Z3831" s="525" t="str">
        <f>IF(AND(B3831&lt;=NKC!$N$8,B3831&gt;=NKC!$M$8),"x","")</f>
        <v/>
      </c>
      <c r="AA3831" s="535"/>
      <c r="AB3831" s="536"/>
      <c r="AC3831" s="536" t="str">
        <f>VLOOKUP(F3831,NXT!$B$12:$B$686,1,0)</f>
        <v>Thùng 163x48x60</v>
      </c>
      <c r="AD3831" s="536"/>
    </row>
    <row r="3832" spans="1:30" s="503" customFormat="1" ht="15.75" customHeight="1">
      <c r="A3832" s="517" t="str">
        <f>IF(B3832&lt;&gt;"",IF(AND(B3832&gt;=_TM1,B3832&lt;=_TM2,OR(TH!L3832="1111",TH!M3832="1111")),TH!D3832,""),"")</f>
        <v/>
      </c>
      <c r="B3832" s="531">
        <f t="shared" si="442"/>
        <v>9</v>
      </c>
      <c r="C3832" s="315">
        <f t="shared" si="443"/>
        <v>43008</v>
      </c>
      <c r="D3832" s="544" t="s">
        <v>1181</v>
      </c>
      <c r="E3832" s="315">
        <v>43008</v>
      </c>
      <c r="F3832" s="250" t="s">
        <v>1643</v>
      </c>
      <c r="G3832" s="314" t="s">
        <v>1703</v>
      </c>
      <c r="H3832" s="473" t="s">
        <v>284</v>
      </c>
      <c r="I3832" s="307">
        <v>7</v>
      </c>
      <c r="J3832" s="307">
        <v>53675</v>
      </c>
      <c r="K3832" s="532">
        <f t="shared" si="445"/>
        <v>375725</v>
      </c>
      <c r="L3832" s="534" t="s">
        <v>223</v>
      </c>
      <c r="M3832" s="534" t="s">
        <v>162</v>
      </c>
      <c r="N3832" s="525" t="str">
        <f>IF(AND('331-CT'!$E$7=TH!H3832,OR(L3832="331",M3832="331")),"331",IF(AND(OR(L3832="131",M3832="131"),H3832='131-CT'!$E$7),"131",""))</f>
        <v/>
      </c>
      <c r="O3832" s="525" t="str">
        <f>IF(AND($B3832&gt;='111'!$N$11,$B3832&lt;='111'!$O$11,OR($L3832=$O$7,$M3832=$O$7)),"x","")</f>
        <v/>
      </c>
      <c r="P3832" s="525" t="str">
        <f>IF(AND($L3832=$O$7,$B3832&lt;'111'!$N$11),"x","")</f>
        <v/>
      </c>
      <c r="Q3832" s="525" t="str">
        <f>IF(AND($M3832=$O$7,$B3832&lt;'111'!$N$11),"x","")</f>
        <v/>
      </c>
      <c r="R3832" s="525" t="str">
        <f>IF(ISERROR(FIND('112'!$M$9,G3832,1)),"",IF((AND(FIND('112'!$M$9,G3832,1)&gt;=1,$B3832&gt;='112'!$N$8,$B3832&lt;='112'!$O$8,OR($L3832='112'!$I$6,$M3832='112'!$I$6))),"x",""))</f>
        <v/>
      </c>
      <c r="S3832" s="525" t="str">
        <f>IF(ISERROR(FIND('112'!$M$9,G3832,1)),"",IF((AND(LEFT(G3832,2)=LEFT('112'!$M$9,2),B3832&lt;'112'!$N$8,$L3832='112'!$I$6)),"x",""))</f>
        <v/>
      </c>
      <c r="T3832" s="525" t="str">
        <f>IF(ISERROR(FIND('112'!$M$9,G3832,1)),"",IF((AND(RIGHT(G3832,2)=RIGHT('112'!$M$9,2),B3832&lt;'112'!$N$8,$M3832='112'!$I$6)),"x",""))</f>
        <v/>
      </c>
      <c r="U3832" s="525" t="str">
        <f>IF(AND(B3832&gt;='IN-NX'!$P$3,B3832&lt;='IN-NX'!$Q$3,'IN-NX'!$D$7=D3832,OR(LEFT(L3832,2)="15",AND(LEFT(M3832,2)&lt;&gt;"15",LEFT(M3832,2)&lt;&gt;"33"))),"x","")</f>
        <v/>
      </c>
      <c r="V3832" s="525" t="str">
        <f>IF(AND(OR(LEFT(TH!L3832,2)="15",LEFT(TH!M3832,2)="15"),'152-CT'!$J$8=TH!F3832),"x","")</f>
        <v/>
      </c>
      <c r="W3832" s="525" t="str">
        <f>IF(AND(OR(LEFT(TH!L3832,2)="15",LEFT(TH!M3832,2)="15"),TK!$E$7=TH!F3832),"x","")</f>
        <v/>
      </c>
      <c r="X3832" s="525" t="str">
        <f>IF(AND('341-CT'!$E$9=H3832,OR(LEFT(L3832,3)=$X$7,LEFT(M3832,3)=$X$7)),"x","")</f>
        <v/>
      </c>
      <c r="Y3832" s="525" t="str">
        <f>IF(OR(TH!L3832=TH!$Y$7,M3832=TH!$Y$7),"x","")</f>
        <v/>
      </c>
      <c r="Z3832" s="525" t="str">
        <f>IF(AND(B3832&lt;=NKC!$N$8,B3832&gt;=NKC!$M$8),"x","")</f>
        <v/>
      </c>
      <c r="AA3832" s="535"/>
      <c r="AB3832" s="536"/>
      <c r="AC3832" s="536" t="str">
        <f>VLOOKUP(F3832,NXT!$B$12:$B$686,1,0)</f>
        <v>Thùng 73x43x54</v>
      </c>
    </row>
    <row r="3833" spans="1:30" s="503" customFormat="1" ht="15.75" customHeight="1">
      <c r="A3833" s="517" t="str">
        <f>IF(B3833&lt;&gt;"",IF(AND(B3833&gt;=_TM1,B3833&lt;=_TM2,OR(TH!L3833="1111",TH!M3833="1111")),TH!D3833,""),"")</f>
        <v/>
      </c>
      <c r="B3833" s="531">
        <f t="shared" si="442"/>
        <v>9</v>
      </c>
      <c r="C3833" s="315">
        <f t="shared" si="443"/>
        <v>43008</v>
      </c>
      <c r="D3833" s="544" t="s">
        <v>1181</v>
      </c>
      <c r="E3833" s="315">
        <v>43008</v>
      </c>
      <c r="F3833" s="250" t="s">
        <v>1651</v>
      </c>
      <c r="G3833" s="314" t="s">
        <v>1703</v>
      </c>
      <c r="H3833" s="473" t="s">
        <v>284</v>
      </c>
      <c r="I3833" s="307">
        <v>16</v>
      </c>
      <c r="J3833" s="307">
        <v>71168</v>
      </c>
      <c r="K3833" s="532">
        <f t="shared" si="445"/>
        <v>1138688</v>
      </c>
      <c r="L3833" s="534" t="s">
        <v>223</v>
      </c>
      <c r="M3833" s="534" t="s">
        <v>162</v>
      </c>
      <c r="N3833" s="525" t="str">
        <f>IF(AND('331-CT'!$E$7=TH!H3833,OR(L3833="331",M3833="331")),"331",IF(AND(OR(L3833="131",M3833="131"),H3833='131-CT'!$E$7),"131",""))</f>
        <v/>
      </c>
      <c r="O3833" s="525" t="str">
        <f>IF(AND($B3833&gt;='111'!$N$11,$B3833&lt;='111'!$O$11,OR($L3833=$O$7,$M3833=$O$7)),"x","")</f>
        <v/>
      </c>
      <c r="P3833" s="525" t="str">
        <f>IF(AND($L3833=$O$7,$B3833&lt;'111'!$N$11),"x","")</f>
        <v/>
      </c>
      <c r="Q3833" s="525" t="str">
        <f>IF(AND($M3833=$O$7,$B3833&lt;'111'!$N$11),"x","")</f>
        <v/>
      </c>
      <c r="R3833" s="525" t="str">
        <f>IF(ISERROR(FIND('112'!$M$9,G3833,1)),"",IF((AND(FIND('112'!$M$9,G3833,1)&gt;=1,$B3833&gt;='112'!$N$8,$B3833&lt;='112'!$O$8,OR($L3833='112'!$I$6,$M3833='112'!$I$6))),"x",""))</f>
        <v/>
      </c>
      <c r="S3833" s="525" t="str">
        <f>IF(ISERROR(FIND('112'!$M$9,G3833,1)),"",IF((AND(LEFT(G3833,2)=LEFT('112'!$M$9,2),B3833&lt;'112'!$N$8,$L3833='112'!$I$6)),"x",""))</f>
        <v/>
      </c>
      <c r="T3833" s="525" t="str">
        <f>IF(ISERROR(FIND('112'!$M$9,G3833,1)),"",IF((AND(RIGHT(G3833,2)=RIGHT('112'!$M$9,2),B3833&lt;'112'!$N$8,$M3833='112'!$I$6)),"x",""))</f>
        <v/>
      </c>
      <c r="U3833" s="525" t="str">
        <f>IF(AND(B3833&gt;='IN-NX'!$P$3,B3833&lt;='IN-NX'!$Q$3,'IN-NX'!$D$7=D3833,OR(LEFT(L3833,2)="15",AND(LEFT(M3833,2)&lt;&gt;"15",LEFT(M3833,2)&lt;&gt;"33"))),"x","")</f>
        <v/>
      </c>
      <c r="V3833" s="525" t="str">
        <f>IF(AND(OR(LEFT(TH!L3833,2)="15",LEFT(TH!M3833,2)="15"),'152-CT'!$J$8=TH!F3833),"x","")</f>
        <v/>
      </c>
      <c r="W3833" s="525" t="str">
        <f>IF(AND(OR(LEFT(TH!L3833,2)="15",LEFT(TH!M3833,2)="15"),TK!$E$7=TH!F3833),"x","")</f>
        <v/>
      </c>
      <c r="X3833" s="525" t="str">
        <f>IF(AND('341-CT'!$E$9=H3833,OR(LEFT(L3833,3)=$X$7,LEFT(M3833,3)=$X$7)),"x","")</f>
        <v/>
      </c>
      <c r="Y3833" s="525" t="str">
        <f>IF(OR(TH!L3833=TH!$Y$7,M3833=TH!$Y$7),"x","")</f>
        <v/>
      </c>
      <c r="Z3833" s="525" t="str">
        <f>IF(AND(B3833&lt;=NKC!$N$8,B3833&gt;=NKC!$M$8),"x","")</f>
        <v/>
      </c>
      <c r="AA3833" s="535"/>
      <c r="AB3833" s="536"/>
      <c r="AC3833" s="536" t="str">
        <f>VLOOKUP(F3833,NXT!$B$12:$B$686,1,0)</f>
        <v>Thùng 63x63x63</v>
      </c>
      <c r="AD3833" s="536"/>
    </row>
    <row r="3834" spans="1:30" s="503" customFormat="1" ht="15.75" customHeight="1">
      <c r="A3834" s="517" t="str">
        <f>IF(B3834&lt;&gt;"",IF(AND(B3834&gt;=_TM1,B3834&lt;=_TM2,OR(TH!L3834="1111",TH!M3834="1111")),TH!D3834,""),"")</f>
        <v/>
      </c>
      <c r="B3834" s="531">
        <f t="shared" si="442"/>
        <v>9</v>
      </c>
      <c r="C3834" s="315">
        <f t="shared" si="443"/>
        <v>43008</v>
      </c>
      <c r="D3834" s="544" t="s">
        <v>1181</v>
      </c>
      <c r="E3834" s="315">
        <v>43008</v>
      </c>
      <c r="F3834" s="250" t="s">
        <v>1652</v>
      </c>
      <c r="G3834" s="314" t="s">
        <v>1703</v>
      </c>
      <c r="H3834" s="473" t="s">
        <v>284</v>
      </c>
      <c r="I3834" s="307">
        <v>24</v>
      </c>
      <c r="J3834" s="307">
        <v>45923</v>
      </c>
      <c r="K3834" s="532">
        <f t="shared" si="445"/>
        <v>1102152</v>
      </c>
      <c r="L3834" s="534" t="s">
        <v>223</v>
      </c>
      <c r="M3834" s="534" t="s">
        <v>162</v>
      </c>
      <c r="N3834" s="525" t="str">
        <f>IF(AND('331-CT'!$E$7=TH!H3834,OR(L3834="331",M3834="331")),"331",IF(AND(OR(L3834="131",M3834="131"),H3834='131-CT'!$E$7),"131",""))</f>
        <v/>
      </c>
      <c r="O3834" s="525" t="str">
        <f>IF(AND($B3834&gt;='111'!$N$11,$B3834&lt;='111'!$O$11,OR($L3834=$O$7,$M3834=$O$7)),"x","")</f>
        <v/>
      </c>
      <c r="P3834" s="525" t="str">
        <f>IF(AND($L3834=$O$7,$B3834&lt;'111'!$N$11),"x","")</f>
        <v/>
      </c>
      <c r="Q3834" s="525" t="str">
        <f>IF(AND($M3834=$O$7,$B3834&lt;'111'!$N$11),"x","")</f>
        <v/>
      </c>
      <c r="R3834" s="525" t="str">
        <f>IF(ISERROR(FIND('112'!$M$9,G3834,1)),"",IF((AND(FIND('112'!$M$9,G3834,1)&gt;=1,$B3834&gt;='112'!$N$8,$B3834&lt;='112'!$O$8,OR($L3834='112'!$I$6,$M3834='112'!$I$6))),"x",""))</f>
        <v/>
      </c>
      <c r="S3834" s="525" t="str">
        <f>IF(ISERROR(FIND('112'!$M$9,G3834,1)),"",IF((AND(LEFT(G3834,2)=LEFT('112'!$M$9,2),B3834&lt;'112'!$N$8,$L3834='112'!$I$6)),"x",""))</f>
        <v/>
      </c>
      <c r="T3834" s="525" t="str">
        <f>IF(ISERROR(FIND('112'!$M$9,G3834,1)),"",IF((AND(RIGHT(G3834,2)=RIGHT('112'!$M$9,2),B3834&lt;'112'!$N$8,$M3834='112'!$I$6)),"x",""))</f>
        <v/>
      </c>
      <c r="U3834" s="525" t="str">
        <f>IF(AND(B3834&gt;='IN-NX'!$P$3,B3834&lt;='IN-NX'!$Q$3,'IN-NX'!$D$7=D3834,OR(LEFT(L3834,2)="15",AND(LEFT(M3834,2)&lt;&gt;"15",LEFT(M3834,2)&lt;&gt;"33"))),"x","")</f>
        <v/>
      </c>
      <c r="V3834" s="525" t="str">
        <f>IF(AND(OR(LEFT(TH!L3834,2)="15",LEFT(TH!M3834,2)="15"),'152-CT'!$J$8=TH!F3834),"x","")</f>
        <v/>
      </c>
      <c r="W3834" s="525" t="str">
        <f>IF(AND(OR(LEFT(TH!L3834,2)="15",LEFT(TH!M3834,2)="15"),TK!$E$7=TH!F3834),"x","")</f>
        <v/>
      </c>
      <c r="X3834" s="525" t="str">
        <f>IF(AND('341-CT'!$E$9=H3834,OR(LEFT(L3834,3)=$X$7,LEFT(M3834,3)=$X$7)),"x","")</f>
        <v/>
      </c>
      <c r="Y3834" s="525" t="str">
        <f>IF(OR(TH!L3834=TH!$Y$7,M3834=TH!$Y$7),"x","")</f>
        <v/>
      </c>
      <c r="Z3834" s="525" t="str">
        <f>IF(AND(B3834&lt;=NKC!$N$8,B3834&gt;=NKC!$M$8),"x","")</f>
        <v/>
      </c>
      <c r="AA3834" s="535"/>
      <c r="AB3834" s="536"/>
      <c r="AC3834" s="536" t="str">
        <f>VLOOKUP(F3834,NXT!$B$12:$B$686,1,0)</f>
        <v>Thùng 48x48x59</v>
      </c>
      <c r="AD3834" s="536"/>
    </row>
    <row r="3835" spans="1:30" s="503" customFormat="1" ht="15.75" customHeight="1">
      <c r="A3835" s="517" t="str">
        <f>IF(B3835&lt;&gt;"",IF(AND(B3835&gt;=_TM1,B3835&lt;=_TM2,OR(TH!L3835="1111",TH!M3835="1111")),TH!D3835,""),"")</f>
        <v/>
      </c>
      <c r="B3835" s="531">
        <f t="shared" si="442"/>
        <v>9</v>
      </c>
      <c r="C3835" s="315">
        <f t="shared" si="443"/>
        <v>43008</v>
      </c>
      <c r="D3835" s="544" t="s">
        <v>1181</v>
      </c>
      <c r="E3835" s="315">
        <v>43008</v>
      </c>
      <c r="F3835" s="250" t="s">
        <v>1653</v>
      </c>
      <c r="G3835" s="314" t="s">
        <v>1703</v>
      </c>
      <c r="H3835" s="473" t="s">
        <v>284</v>
      </c>
      <c r="I3835" s="307">
        <v>24</v>
      </c>
      <c r="J3835" s="307">
        <v>42901</v>
      </c>
      <c r="K3835" s="532">
        <f t="shared" si="445"/>
        <v>1029624</v>
      </c>
      <c r="L3835" s="534" t="s">
        <v>223</v>
      </c>
      <c r="M3835" s="534" t="s">
        <v>162</v>
      </c>
      <c r="N3835" s="525" t="str">
        <f>IF(AND('331-CT'!$E$7=TH!H3835,OR(L3835="331",M3835="331")),"331",IF(AND(OR(L3835="131",M3835="131"),H3835='131-CT'!$E$7),"131",""))</f>
        <v/>
      </c>
      <c r="O3835" s="525" t="str">
        <f>IF(AND($B3835&gt;='111'!$N$11,$B3835&lt;='111'!$O$11,OR($L3835=$O$7,$M3835=$O$7)),"x","")</f>
        <v/>
      </c>
      <c r="P3835" s="525" t="str">
        <f>IF(AND($L3835=$O$7,$B3835&lt;'111'!$N$11),"x","")</f>
        <v/>
      </c>
      <c r="Q3835" s="525" t="str">
        <f>IF(AND($M3835=$O$7,$B3835&lt;'111'!$N$11),"x","")</f>
        <v/>
      </c>
      <c r="R3835" s="525" t="str">
        <f>IF(ISERROR(FIND('112'!$M$9,G3835,1)),"",IF((AND(FIND('112'!$M$9,G3835,1)&gt;=1,$B3835&gt;='112'!$N$8,$B3835&lt;='112'!$O$8,OR($L3835='112'!$I$6,$M3835='112'!$I$6))),"x",""))</f>
        <v/>
      </c>
      <c r="S3835" s="525" t="str">
        <f>IF(ISERROR(FIND('112'!$M$9,G3835,1)),"",IF((AND(LEFT(G3835,2)=LEFT('112'!$M$9,2),B3835&lt;'112'!$N$8,$L3835='112'!$I$6)),"x",""))</f>
        <v/>
      </c>
      <c r="T3835" s="525" t="str">
        <f>IF(ISERROR(FIND('112'!$M$9,G3835,1)),"",IF((AND(RIGHT(G3835,2)=RIGHT('112'!$M$9,2),B3835&lt;'112'!$N$8,$M3835='112'!$I$6)),"x",""))</f>
        <v/>
      </c>
      <c r="U3835" s="525" t="str">
        <f>IF(AND(B3835&gt;='IN-NX'!$P$3,B3835&lt;='IN-NX'!$Q$3,'IN-NX'!$D$7=D3835,OR(LEFT(L3835,2)="15",AND(LEFT(M3835,2)&lt;&gt;"15",LEFT(M3835,2)&lt;&gt;"33"))),"x","")</f>
        <v/>
      </c>
      <c r="V3835" s="525" t="str">
        <f>IF(AND(OR(LEFT(TH!L3835,2)="15",LEFT(TH!M3835,2)="15"),'152-CT'!$J$8=TH!F3835),"x","")</f>
        <v/>
      </c>
      <c r="W3835" s="525" t="str">
        <f>IF(AND(OR(LEFT(TH!L3835,2)="15",LEFT(TH!M3835,2)="15"),TK!$E$7=TH!F3835),"x","")</f>
        <v/>
      </c>
      <c r="X3835" s="525" t="str">
        <f>IF(AND('341-CT'!$E$9=H3835,OR(LEFT(L3835,3)=$X$7,LEFT(M3835,3)=$X$7)),"x","")</f>
        <v/>
      </c>
      <c r="Y3835" s="525" t="str">
        <f>IF(OR(TH!L3835=TH!$Y$7,M3835=TH!$Y$7),"x","")</f>
        <v/>
      </c>
      <c r="Z3835" s="525" t="str">
        <f>IF(AND(B3835&lt;=NKC!$N$8,B3835&gt;=NKC!$M$8),"x","")</f>
        <v/>
      </c>
      <c r="AA3835" s="535"/>
      <c r="AB3835" s="536"/>
      <c r="AC3835" s="536" t="str">
        <f>VLOOKUP(F3835,NXT!$B$12:$B$686,1,0)</f>
        <v>Thùng 42x42x72</v>
      </c>
    </row>
    <row r="3836" spans="1:30" s="503" customFormat="1" ht="15.75" customHeight="1">
      <c r="A3836" s="517" t="str">
        <f>IF(B3836&lt;&gt;"",IF(AND(B3836&gt;=_TM1,B3836&lt;=_TM2,OR(TH!L3836="1111",TH!M3836="1111")),TH!D3836,""),"")</f>
        <v/>
      </c>
      <c r="B3836" s="531">
        <f t="shared" si="442"/>
        <v>9</v>
      </c>
      <c r="C3836" s="315">
        <f t="shared" si="443"/>
        <v>43008</v>
      </c>
      <c r="D3836" s="544" t="s">
        <v>1181</v>
      </c>
      <c r="E3836" s="315">
        <v>43008</v>
      </c>
      <c r="F3836" s="250" t="s">
        <v>1453</v>
      </c>
      <c r="G3836" s="314" t="s">
        <v>1703</v>
      </c>
      <c r="H3836" s="473" t="s">
        <v>284</v>
      </c>
      <c r="I3836" s="307">
        <v>24</v>
      </c>
      <c r="J3836" s="307">
        <v>40495</v>
      </c>
      <c r="K3836" s="532">
        <f t="shared" si="445"/>
        <v>971880</v>
      </c>
      <c r="L3836" s="534" t="s">
        <v>223</v>
      </c>
      <c r="M3836" s="534" t="s">
        <v>162</v>
      </c>
      <c r="N3836" s="525" t="str">
        <f>IF(AND('331-CT'!$E$7=TH!H3836,OR(L3836="331",M3836="331")),"331",IF(AND(OR(L3836="131",M3836="131"),H3836='131-CT'!$E$7),"131",""))</f>
        <v/>
      </c>
      <c r="O3836" s="525" t="str">
        <f>IF(AND($B3836&gt;='111'!$N$11,$B3836&lt;='111'!$O$11,OR($L3836=$O$7,$M3836=$O$7)),"x","")</f>
        <v/>
      </c>
      <c r="P3836" s="525" t="str">
        <f>IF(AND($L3836=$O$7,$B3836&lt;'111'!$N$11),"x","")</f>
        <v/>
      </c>
      <c r="Q3836" s="525" t="str">
        <f>IF(AND($M3836=$O$7,$B3836&lt;'111'!$N$11),"x","")</f>
        <v/>
      </c>
      <c r="R3836" s="525" t="str">
        <f>IF(ISERROR(FIND('112'!$M$9,G3836,1)),"",IF((AND(FIND('112'!$M$9,G3836,1)&gt;=1,$B3836&gt;='112'!$N$8,$B3836&lt;='112'!$O$8,OR($L3836='112'!$I$6,$M3836='112'!$I$6))),"x",""))</f>
        <v/>
      </c>
      <c r="S3836" s="525" t="str">
        <f>IF(ISERROR(FIND('112'!$M$9,G3836,1)),"",IF((AND(LEFT(G3836,2)=LEFT('112'!$M$9,2),B3836&lt;'112'!$N$8,$L3836='112'!$I$6)),"x",""))</f>
        <v/>
      </c>
      <c r="T3836" s="525" t="str">
        <f>IF(ISERROR(FIND('112'!$M$9,G3836,1)),"",IF((AND(RIGHT(G3836,2)=RIGHT('112'!$M$9,2),B3836&lt;'112'!$N$8,$M3836='112'!$I$6)),"x",""))</f>
        <v/>
      </c>
      <c r="U3836" s="525" t="str">
        <f>IF(AND(B3836&gt;='IN-NX'!$P$3,B3836&lt;='IN-NX'!$Q$3,'IN-NX'!$D$7=D3836,OR(LEFT(L3836,2)="15",AND(LEFT(M3836,2)&lt;&gt;"15",LEFT(M3836,2)&lt;&gt;"33"))),"x","")</f>
        <v/>
      </c>
      <c r="V3836" s="525" t="str">
        <f>IF(AND(OR(LEFT(TH!L3836,2)="15",LEFT(TH!M3836,2)="15"),'152-CT'!$J$8=TH!F3836),"x","")</f>
        <v/>
      </c>
      <c r="W3836" s="525" t="str">
        <f>IF(AND(OR(LEFT(TH!L3836,2)="15",LEFT(TH!M3836,2)="15"),TK!$E$7=TH!F3836),"x","")</f>
        <v/>
      </c>
      <c r="X3836" s="525" t="str">
        <f>IF(AND('341-CT'!$E$9=H3836,OR(LEFT(L3836,3)=$X$7,LEFT(M3836,3)=$X$7)),"x","")</f>
        <v/>
      </c>
      <c r="Y3836" s="525" t="str">
        <f>IF(OR(TH!L3836=TH!$Y$7,M3836=TH!$Y$7),"x","")</f>
        <v/>
      </c>
      <c r="Z3836" s="525" t="str">
        <f>IF(AND(B3836&lt;=NKC!$N$8,B3836&gt;=NKC!$M$8),"x","")</f>
        <v/>
      </c>
      <c r="AA3836" s="535"/>
      <c r="AB3836" s="536"/>
      <c r="AC3836" s="536" t="str">
        <f>VLOOKUP(F3836,NXT!$B$12:$B$686,1,0)</f>
        <v>Thùng 46x46x52</v>
      </c>
    </row>
    <row r="3837" spans="1:30" s="503" customFormat="1" ht="15.75" customHeight="1">
      <c r="A3837" s="517" t="str">
        <f>IF(B3837&lt;&gt;"",IF(AND(B3837&gt;=_TM1,B3837&lt;=_TM2,OR(TH!L3837="1111",TH!M3837="1111")),TH!D3837,""),"")</f>
        <v/>
      </c>
      <c r="B3837" s="531">
        <f t="shared" si="442"/>
        <v>9</v>
      </c>
      <c r="C3837" s="315">
        <f t="shared" si="443"/>
        <v>43008</v>
      </c>
      <c r="D3837" s="544" t="s">
        <v>1181</v>
      </c>
      <c r="E3837" s="315">
        <v>43008</v>
      </c>
      <c r="F3837" s="250" t="s">
        <v>1654</v>
      </c>
      <c r="G3837" s="314" t="s">
        <v>1703</v>
      </c>
      <c r="H3837" s="473" t="s">
        <v>284</v>
      </c>
      <c r="I3837" s="307">
        <v>6</v>
      </c>
      <c r="J3837" s="307">
        <v>159847</v>
      </c>
      <c r="K3837" s="532">
        <f t="shared" si="445"/>
        <v>959082</v>
      </c>
      <c r="L3837" s="534" t="s">
        <v>223</v>
      </c>
      <c r="M3837" s="534" t="s">
        <v>162</v>
      </c>
      <c r="N3837" s="525" t="str">
        <f>IF(AND('331-CT'!$E$7=TH!H3837,OR(L3837="331",M3837="331")),"331",IF(AND(OR(L3837="131",M3837="131"),H3837='131-CT'!$E$7),"131",""))</f>
        <v/>
      </c>
      <c r="O3837" s="525" t="str">
        <f>IF(AND($B3837&gt;='111'!$N$11,$B3837&lt;='111'!$O$11,OR($L3837=$O$7,$M3837=$O$7)),"x","")</f>
        <v/>
      </c>
      <c r="P3837" s="525" t="str">
        <f>IF(AND($L3837=$O$7,$B3837&lt;'111'!$N$11),"x","")</f>
        <v/>
      </c>
      <c r="Q3837" s="525" t="str">
        <f>IF(AND($M3837=$O$7,$B3837&lt;'111'!$N$11),"x","")</f>
        <v/>
      </c>
      <c r="R3837" s="525" t="str">
        <f>IF(ISERROR(FIND('112'!$M$9,G3837,1)),"",IF((AND(FIND('112'!$M$9,G3837,1)&gt;=1,$B3837&gt;='112'!$N$8,$B3837&lt;='112'!$O$8,OR($L3837='112'!$I$6,$M3837='112'!$I$6))),"x",""))</f>
        <v/>
      </c>
      <c r="S3837" s="525" t="str">
        <f>IF(ISERROR(FIND('112'!$M$9,G3837,1)),"",IF((AND(LEFT(G3837,2)=LEFT('112'!$M$9,2),B3837&lt;'112'!$N$8,$L3837='112'!$I$6)),"x",""))</f>
        <v/>
      </c>
      <c r="T3837" s="525" t="str">
        <f>IF(ISERROR(FIND('112'!$M$9,G3837,1)),"",IF((AND(RIGHT(G3837,2)=RIGHT('112'!$M$9,2),B3837&lt;'112'!$N$8,$M3837='112'!$I$6)),"x",""))</f>
        <v/>
      </c>
      <c r="U3837" s="525" t="str">
        <f>IF(AND(B3837&gt;='IN-NX'!$P$3,B3837&lt;='IN-NX'!$Q$3,'IN-NX'!$D$7=D3837,OR(LEFT(L3837,2)="15",AND(LEFT(M3837,2)&lt;&gt;"15",LEFT(M3837,2)&lt;&gt;"33"))),"x","")</f>
        <v/>
      </c>
      <c r="V3837" s="525" t="str">
        <f>IF(AND(OR(LEFT(TH!L3837,2)="15",LEFT(TH!M3837,2)="15"),'152-CT'!$J$8=TH!F3837),"x","")</f>
        <v/>
      </c>
      <c r="W3837" s="525" t="str">
        <f>IF(AND(OR(LEFT(TH!L3837,2)="15",LEFT(TH!M3837,2)="15"),TK!$E$7=TH!F3837),"x","")</f>
        <v/>
      </c>
      <c r="X3837" s="525" t="str">
        <f>IF(AND('341-CT'!$E$9=H3837,OR(LEFT(L3837,3)=$X$7,LEFT(M3837,3)=$X$7)),"x","")</f>
        <v/>
      </c>
      <c r="Y3837" s="525" t="str">
        <f>IF(OR(TH!L3837=TH!$Y$7,M3837=TH!$Y$7),"x","")</f>
        <v/>
      </c>
      <c r="Z3837" s="525" t="str">
        <f>IF(AND(B3837&lt;=NKC!$N$8,B3837&gt;=NKC!$M$8),"x","")</f>
        <v/>
      </c>
      <c r="AA3837" s="535"/>
      <c r="AB3837" s="536"/>
      <c r="AC3837" s="536" t="str">
        <f>VLOOKUP(F3837,NXT!$B$12:$B$686,1,0)</f>
        <v>Thùng 123x123x18</v>
      </c>
    </row>
    <row r="3838" spans="1:30" s="503" customFormat="1" ht="15.75" customHeight="1">
      <c r="A3838" s="517" t="str">
        <f>IF(B3838&lt;&gt;"",IF(AND(B3838&gt;=_TM1,B3838&lt;=_TM2,OR(TH!L3838="1111",TH!M3838="1111")),TH!D3838,""),"")</f>
        <v/>
      </c>
      <c r="B3838" s="531">
        <f t="shared" si="442"/>
        <v>9</v>
      </c>
      <c r="C3838" s="315">
        <f t="shared" si="443"/>
        <v>43008</v>
      </c>
      <c r="D3838" s="544" t="s">
        <v>1181</v>
      </c>
      <c r="E3838" s="315">
        <v>43008</v>
      </c>
      <c r="F3838" s="250" t="s">
        <v>1655</v>
      </c>
      <c r="G3838" s="314" t="s">
        <v>1703</v>
      </c>
      <c r="H3838" s="473" t="s">
        <v>284</v>
      </c>
      <c r="I3838" s="307">
        <v>6</v>
      </c>
      <c r="J3838" s="307">
        <v>96606</v>
      </c>
      <c r="K3838" s="532">
        <f t="shared" si="445"/>
        <v>579636</v>
      </c>
      <c r="L3838" s="534" t="s">
        <v>223</v>
      </c>
      <c r="M3838" s="534" t="s">
        <v>162</v>
      </c>
      <c r="N3838" s="525" t="str">
        <f>IF(AND('331-CT'!$E$7=TH!H3838,OR(L3838="331",M3838="331")),"331",IF(AND(OR(L3838="131",M3838="131"),H3838='131-CT'!$E$7),"131",""))</f>
        <v/>
      </c>
      <c r="O3838" s="525" t="str">
        <f>IF(AND($B3838&gt;='111'!$N$11,$B3838&lt;='111'!$O$11,OR($L3838=$O$7,$M3838=$O$7)),"x","")</f>
        <v/>
      </c>
      <c r="P3838" s="525" t="str">
        <f>IF(AND($L3838=$O$7,$B3838&lt;'111'!$N$11),"x","")</f>
        <v/>
      </c>
      <c r="Q3838" s="525" t="str">
        <f>IF(AND($M3838=$O$7,$B3838&lt;'111'!$N$11),"x","")</f>
        <v/>
      </c>
      <c r="R3838" s="525" t="str">
        <f>IF(ISERROR(FIND('112'!$M$9,G3838,1)),"",IF((AND(FIND('112'!$M$9,G3838,1)&gt;=1,$B3838&gt;='112'!$N$8,$B3838&lt;='112'!$O$8,OR($L3838='112'!$I$6,$M3838='112'!$I$6))),"x",""))</f>
        <v/>
      </c>
      <c r="S3838" s="525" t="str">
        <f>IF(ISERROR(FIND('112'!$M$9,G3838,1)),"",IF((AND(LEFT(G3838,2)=LEFT('112'!$M$9,2),B3838&lt;'112'!$N$8,$L3838='112'!$I$6)),"x",""))</f>
        <v/>
      </c>
      <c r="T3838" s="525" t="str">
        <f>IF(ISERROR(FIND('112'!$M$9,G3838,1)),"",IF((AND(RIGHT(G3838,2)=RIGHT('112'!$M$9,2),B3838&lt;'112'!$N$8,$M3838='112'!$I$6)),"x",""))</f>
        <v/>
      </c>
      <c r="U3838" s="525" t="str">
        <f>IF(AND(B3838&gt;='IN-NX'!$P$3,B3838&lt;='IN-NX'!$Q$3,'IN-NX'!$D$7=D3838,OR(LEFT(L3838,2)="15",AND(LEFT(M3838,2)&lt;&gt;"15",LEFT(M3838,2)&lt;&gt;"33"))),"x","")</f>
        <v/>
      </c>
      <c r="V3838" s="525" t="str">
        <f>IF(AND(OR(LEFT(TH!L3838,2)="15",LEFT(TH!M3838,2)="15"),'152-CT'!$J$8=TH!F3838),"x","")</f>
        <v/>
      </c>
      <c r="W3838" s="525" t="str">
        <f>IF(AND(OR(LEFT(TH!L3838,2)="15",LEFT(TH!M3838,2)="15"),TK!$E$7=TH!F3838),"x","")</f>
        <v/>
      </c>
      <c r="X3838" s="525" t="str">
        <f>IF(AND('341-CT'!$E$9=H3838,OR(LEFT(L3838,3)=$X$7,LEFT(M3838,3)=$X$7)),"x","")</f>
        <v/>
      </c>
      <c r="Y3838" s="525" t="str">
        <f>IF(OR(TH!L3838=TH!$Y$7,M3838=TH!$Y$7),"x","")</f>
        <v/>
      </c>
      <c r="Z3838" s="525" t="str">
        <f>IF(AND(B3838&lt;=NKC!$N$8,B3838&gt;=NKC!$M$8),"x","")</f>
        <v/>
      </c>
      <c r="AA3838" s="535"/>
      <c r="AB3838" s="536"/>
      <c r="AC3838" s="536" t="str">
        <f>VLOOKUP(F3838,NXT!$B$12:$B$686,1,0)</f>
        <v>Thùng 68x68x84</v>
      </c>
      <c r="AD3838" s="536"/>
    </row>
    <row r="3839" spans="1:30" s="503" customFormat="1" ht="15.75" customHeight="1">
      <c r="A3839" s="517" t="str">
        <f>IF(B3839&lt;&gt;"",IF(AND(B3839&gt;=_TM1,B3839&lt;=_TM2,OR(TH!L3839="1111",TH!M3839="1111")),TH!D3839,""),"")</f>
        <v/>
      </c>
      <c r="B3839" s="531">
        <f t="shared" si="442"/>
        <v>9</v>
      </c>
      <c r="C3839" s="315">
        <f t="shared" si="443"/>
        <v>43008</v>
      </c>
      <c r="D3839" s="544" t="s">
        <v>1181</v>
      </c>
      <c r="E3839" s="315">
        <v>43008</v>
      </c>
      <c r="F3839" s="250" t="s">
        <v>630</v>
      </c>
      <c r="G3839" s="314" t="s">
        <v>1703</v>
      </c>
      <c r="H3839" s="473" t="s">
        <v>284</v>
      </c>
      <c r="I3839" s="307">
        <v>12</v>
      </c>
      <c r="J3839" s="307">
        <v>39053</v>
      </c>
      <c r="K3839" s="532">
        <f t="shared" si="445"/>
        <v>468636</v>
      </c>
      <c r="L3839" s="534" t="s">
        <v>223</v>
      </c>
      <c r="M3839" s="534" t="s">
        <v>162</v>
      </c>
      <c r="N3839" s="525" t="str">
        <f>IF(AND('331-CT'!$E$7=TH!H3839,OR(L3839="331",M3839="331")),"331",IF(AND(OR(L3839="131",M3839="131"),H3839='131-CT'!$E$7),"131",""))</f>
        <v/>
      </c>
      <c r="O3839" s="525" t="str">
        <f>IF(AND($B3839&gt;='111'!$N$11,$B3839&lt;='111'!$O$11,OR($L3839=$O$7,$M3839=$O$7)),"x","")</f>
        <v/>
      </c>
      <c r="P3839" s="525" t="str">
        <f>IF(AND($L3839=$O$7,$B3839&lt;'111'!$N$11),"x","")</f>
        <v/>
      </c>
      <c r="Q3839" s="525" t="str">
        <f>IF(AND($M3839=$O$7,$B3839&lt;'111'!$N$11),"x","")</f>
        <v/>
      </c>
      <c r="R3839" s="525" t="str">
        <f>IF(ISERROR(FIND('112'!$M$9,G3839,1)),"",IF((AND(FIND('112'!$M$9,G3839,1)&gt;=1,$B3839&gt;='112'!$N$8,$B3839&lt;='112'!$O$8,OR($L3839='112'!$I$6,$M3839='112'!$I$6))),"x",""))</f>
        <v/>
      </c>
      <c r="S3839" s="525" t="str">
        <f>IF(ISERROR(FIND('112'!$M$9,G3839,1)),"",IF((AND(LEFT(G3839,2)=LEFT('112'!$M$9,2),B3839&lt;'112'!$N$8,$L3839='112'!$I$6)),"x",""))</f>
        <v/>
      </c>
      <c r="T3839" s="525" t="str">
        <f>IF(ISERROR(FIND('112'!$M$9,G3839,1)),"",IF((AND(RIGHT(G3839,2)=RIGHT('112'!$M$9,2),B3839&lt;'112'!$N$8,$M3839='112'!$I$6)),"x",""))</f>
        <v/>
      </c>
      <c r="U3839" s="525" t="str">
        <f>IF(AND(B3839&gt;='IN-NX'!$P$3,B3839&lt;='IN-NX'!$Q$3,'IN-NX'!$D$7=D3839,OR(LEFT(L3839,2)="15",AND(LEFT(M3839,2)&lt;&gt;"15",LEFT(M3839,2)&lt;&gt;"33"))),"x","")</f>
        <v/>
      </c>
      <c r="V3839" s="525" t="str">
        <f>IF(AND(OR(LEFT(TH!L3839,2)="15",LEFT(TH!M3839,2)="15"),'152-CT'!$J$8=TH!F3839),"x","")</f>
        <v/>
      </c>
      <c r="W3839" s="525" t="str">
        <f>IF(AND(OR(LEFT(TH!L3839,2)="15",LEFT(TH!M3839,2)="15"),TK!$E$7=TH!F3839),"x","")</f>
        <v/>
      </c>
      <c r="X3839" s="525" t="str">
        <f>IF(AND('341-CT'!$E$9=H3839,OR(LEFT(L3839,3)=$X$7,LEFT(M3839,3)=$X$7)),"x","")</f>
        <v/>
      </c>
      <c r="Y3839" s="525" t="str">
        <f>IF(OR(TH!L3839=TH!$Y$7,M3839=TH!$Y$7),"x","")</f>
        <v/>
      </c>
      <c r="Z3839" s="525" t="str">
        <f>IF(AND(B3839&lt;=NKC!$N$8,B3839&gt;=NKC!$M$8),"x","")</f>
        <v/>
      </c>
      <c r="AA3839" s="535"/>
      <c r="AB3839" s="536"/>
      <c r="AC3839" s="536" t="str">
        <f>VLOOKUP(F3839,NXT!$B$12:$B$686,1,0)</f>
        <v>Thùng 65x35x50</v>
      </c>
    </row>
    <row r="3840" spans="1:30" s="503" customFormat="1" ht="15.75" customHeight="1">
      <c r="A3840" s="517" t="str">
        <f>IF(B3840&lt;&gt;"",IF(AND(B3840&gt;=_TM1,B3840&lt;=_TM2,OR(TH!L3840="1111",TH!M3840="1111")),TH!D3840,""),"")</f>
        <v/>
      </c>
      <c r="B3840" s="531">
        <f t="shared" si="442"/>
        <v>9</v>
      </c>
      <c r="C3840" s="315">
        <f t="shared" si="443"/>
        <v>43008</v>
      </c>
      <c r="D3840" s="544" t="s">
        <v>1181</v>
      </c>
      <c r="E3840" s="315">
        <v>43008</v>
      </c>
      <c r="F3840" s="250" t="s">
        <v>757</v>
      </c>
      <c r="G3840" s="314" t="s">
        <v>1703</v>
      </c>
      <c r="H3840" s="473" t="s">
        <v>284</v>
      </c>
      <c r="I3840" s="307">
        <v>12</v>
      </c>
      <c r="J3840" s="307">
        <v>50135</v>
      </c>
      <c r="K3840" s="532">
        <f t="shared" si="445"/>
        <v>601620</v>
      </c>
      <c r="L3840" s="534" t="s">
        <v>223</v>
      </c>
      <c r="M3840" s="534" t="s">
        <v>162</v>
      </c>
      <c r="N3840" s="525" t="str">
        <f>IF(AND('331-CT'!$E$7=TH!H3840,OR(L3840="331",M3840="331")),"331",IF(AND(OR(L3840="131",M3840="131"),H3840='131-CT'!$E$7),"131",""))</f>
        <v/>
      </c>
      <c r="O3840" s="525" t="str">
        <f>IF(AND($B3840&gt;='111'!$N$11,$B3840&lt;='111'!$O$11,OR($L3840=$O$7,$M3840=$O$7)),"x","")</f>
        <v/>
      </c>
      <c r="P3840" s="525" t="str">
        <f>IF(AND($L3840=$O$7,$B3840&lt;'111'!$N$11),"x","")</f>
        <v/>
      </c>
      <c r="Q3840" s="525" t="str">
        <f>IF(AND($M3840=$O$7,$B3840&lt;'111'!$N$11),"x","")</f>
        <v/>
      </c>
      <c r="R3840" s="525" t="str">
        <f>IF(ISERROR(FIND('112'!$M$9,G3840,1)),"",IF((AND(FIND('112'!$M$9,G3840,1)&gt;=1,$B3840&gt;='112'!$N$8,$B3840&lt;='112'!$O$8,OR($L3840='112'!$I$6,$M3840='112'!$I$6))),"x",""))</f>
        <v/>
      </c>
      <c r="S3840" s="525" t="str">
        <f>IF(ISERROR(FIND('112'!$M$9,G3840,1)),"",IF((AND(LEFT(G3840,2)=LEFT('112'!$M$9,2),B3840&lt;'112'!$N$8,$L3840='112'!$I$6)),"x",""))</f>
        <v/>
      </c>
      <c r="T3840" s="525" t="str">
        <f>IF(ISERROR(FIND('112'!$M$9,G3840,1)),"",IF((AND(RIGHT(G3840,2)=RIGHT('112'!$M$9,2),B3840&lt;'112'!$N$8,$M3840='112'!$I$6)),"x",""))</f>
        <v/>
      </c>
      <c r="U3840" s="525" t="str">
        <f>IF(AND(B3840&gt;='IN-NX'!$P$3,B3840&lt;='IN-NX'!$Q$3,'IN-NX'!$D$7=D3840,OR(LEFT(L3840,2)="15",AND(LEFT(M3840,2)&lt;&gt;"15",LEFT(M3840,2)&lt;&gt;"33"))),"x","")</f>
        <v/>
      </c>
      <c r="V3840" s="525" t="str">
        <f>IF(AND(OR(LEFT(TH!L3840,2)="15",LEFT(TH!M3840,2)="15"),'152-CT'!$J$8=TH!F3840),"x","")</f>
        <v/>
      </c>
      <c r="W3840" s="525" t="str">
        <f>IF(AND(OR(LEFT(TH!L3840,2)="15",LEFT(TH!M3840,2)="15"),TK!$E$7=TH!F3840),"x","")</f>
        <v/>
      </c>
      <c r="X3840" s="525" t="str">
        <f>IF(AND('341-CT'!$E$9=H3840,OR(LEFT(L3840,3)=$X$7,LEFT(M3840,3)=$X$7)),"x","")</f>
        <v/>
      </c>
      <c r="Y3840" s="525" t="str">
        <f>IF(OR(TH!L3840=TH!$Y$7,M3840=TH!$Y$7),"x","")</f>
        <v/>
      </c>
      <c r="Z3840" s="525" t="str">
        <f>IF(AND(B3840&lt;=NKC!$N$8,B3840&gt;=NKC!$M$8),"x","")</f>
        <v/>
      </c>
      <c r="AA3840" s="535"/>
      <c r="AB3840" s="536"/>
      <c r="AC3840" s="536" t="str">
        <f>VLOOKUP(F3840,NXT!$B$12:$B$686,1,0)</f>
        <v>Thùng 45x45x80</v>
      </c>
      <c r="AD3840" s="536"/>
    </row>
    <row r="3841" spans="1:30" s="503" customFormat="1" ht="15.75" customHeight="1">
      <c r="A3841" s="517" t="str">
        <f>IF(B3841&lt;&gt;"",IF(AND(B3841&gt;=_TM1,B3841&lt;=_TM2,OR(TH!L3841="1111",TH!M3841="1111")),TH!D3841,""),"")</f>
        <v/>
      </c>
      <c r="B3841" s="531">
        <f t="shared" si="442"/>
        <v>9</v>
      </c>
      <c r="C3841" s="315">
        <f t="shared" si="443"/>
        <v>43008</v>
      </c>
      <c r="D3841" s="544" t="s">
        <v>1181</v>
      </c>
      <c r="E3841" s="315">
        <v>43008</v>
      </c>
      <c r="F3841" s="250" t="s">
        <v>627</v>
      </c>
      <c r="G3841" s="314" t="s">
        <v>1703</v>
      </c>
      <c r="H3841" s="473" t="s">
        <v>284</v>
      </c>
      <c r="I3841" s="307">
        <v>75</v>
      </c>
      <c r="J3841" s="307">
        <v>52020</v>
      </c>
      <c r="K3841" s="532">
        <f t="shared" si="445"/>
        <v>3901500</v>
      </c>
      <c r="L3841" s="534" t="s">
        <v>223</v>
      </c>
      <c r="M3841" s="534" t="s">
        <v>162</v>
      </c>
      <c r="N3841" s="525" t="str">
        <f>IF(AND('331-CT'!$E$7=TH!H3841,OR(L3841="331",M3841="331")),"331",IF(AND(OR(L3841="131",M3841="131"),H3841='131-CT'!$E$7),"131",""))</f>
        <v/>
      </c>
      <c r="O3841" s="525" t="str">
        <f>IF(AND($B3841&gt;='111'!$N$11,$B3841&lt;='111'!$O$11,OR($L3841=$O$7,$M3841=$O$7)),"x","")</f>
        <v/>
      </c>
      <c r="P3841" s="525" t="str">
        <f>IF(AND($L3841=$O$7,$B3841&lt;'111'!$N$11),"x","")</f>
        <v/>
      </c>
      <c r="Q3841" s="525" t="str">
        <f>IF(AND($M3841=$O$7,$B3841&lt;'111'!$N$11),"x","")</f>
        <v/>
      </c>
      <c r="R3841" s="525" t="str">
        <f>IF(ISERROR(FIND('112'!$M$9,G3841,1)),"",IF((AND(FIND('112'!$M$9,G3841,1)&gt;=1,$B3841&gt;='112'!$N$8,$B3841&lt;='112'!$O$8,OR($L3841='112'!$I$6,$M3841='112'!$I$6))),"x",""))</f>
        <v/>
      </c>
      <c r="S3841" s="525" t="str">
        <f>IF(ISERROR(FIND('112'!$M$9,G3841,1)),"",IF((AND(LEFT(G3841,2)=LEFT('112'!$M$9,2),B3841&lt;'112'!$N$8,$L3841='112'!$I$6)),"x",""))</f>
        <v/>
      </c>
      <c r="T3841" s="525" t="str">
        <f>IF(ISERROR(FIND('112'!$M$9,G3841,1)),"",IF((AND(RIGHT(G3841,2)=RIGHT('112'!$M$9,2),B3841&lt;'112'!$N$8,$M3841='112'!$I$6)),"x",""))</f>
        <v/>
      </c>
      <c r="U3841" s="525" t="str">
        <f>IF(AND(B3841&gt;='IN-NX'!$P$3,B3841&lt;='IN-NX'!$Q$3,'IN-NX'!$D$7=D3841,OR(LEFT(L3841,2)="15",AND(LEFT(M3841,2)&lt;&gt;"15",LEFT(M3841,2)&lt;&gt;"33"))),"x","")</f>
        <v/>
      </c>
      <c r="V3841" s="525" t="str">
        <f>IF(AND(OR(LEFT(TH!L3841,2)="15",LEFT(TH!M3841,2)="15"),'152-CT'!$J$8=TH!F3841),"x","")</f>
        <v/>
      </c>
      <c r="W3841" s="525" t="str">
        <f>IF(AND(OR(LEFT(TH!L3841,2)="15",LEFT(TH!M3841,2)="15"),TK!$E$7=TH!F3841),"x","")</f>
        <v/>
      </c>
      <c r="X3841" s="525" t="str">
        <f>IF(AND('341-CT'!$E$9=H3841,OR(LEFT(L3841,3)=$X$7,LEFT(M3841,3)=$X$7)),"x","")</f>
        <v/>
      </c>
      <c r="Y3841" s="525" t="str">
        <f>IF(OR(TH!L3841=TH!$Y$7,M3841=TH!$Y$7),"x","")</f>
        <v/>
      </c>
      <c r="Z3841" s="525" t="str">
        <f>IF(AND(B3841&lt;=NKC!$N$8,B3841&gt;=NKC!$M$8),"x","")</f>
        <v/>
      </c>
      <c r="AA3841" s="535"/>
      <c r="AB3841" s="536"/>
      <c r="AC3841" s="536" t="str">
        <f>VLOOKUP(F3841,NXT!$B$12:$B$686,1,0)</f>
        <v>Thùng 55x55x55</v>
      </c>
      <c r="AD3841" s="536"/>
    </row>
    <row r="3842" spans="1:30" s="503" customFormat="1" ht="15.75" customHeight="1">
      <c r="A3842" s="517" t="str">
        <f>IF(B3842&lt;&gt;"",IF(AND(B3842&gt;=_TM1,B3842&lt;=_TM2,OR(TH!L3842="1111",TH!M3842="1111")),TH!D3842,""),"")</f>
        <v/>
      </c>
      <c r="B3842" s="531">
        <f t="shared" ref="B3842:B3861" si="446">IF(C3842&lt;&gt;"",MONTH(C3842),"")</f>
        <v>9</v>
      </c>
      <c r="C3842" s="315">
        <f t="shared" ref="C3842:C3861" si="447">E3842</f>
        <v>43008</v>
      </c>
      <c r="D3842" s="544" t="s">
        <v>1181</v>
      </c>
      <c r="E3842" s="315">
        <v>43008</v>
      </c>
      <c r="F3842" s="250" t="s">
        <v>1656</v>
      </c>
      <c r="G3842" s="314" t="s">
        <v>1703</v>
      </c>
      <c r="H3842" s="473" t="s">
        <v>284</v>
      </c>
      <c r="I3842" s="307">
        <v>12</v>
      </c>
      <c r="J3842" s="307">
        <v>143757</v>
      </c>
      <c r="K3842" s="532">
        <f t="shared" ref="K3842:K3861" si="448">ROUND(I3842*J3842,0)</f>
        <v>1725084</v>
      </c>
      <c r="L3842" s="534" t="s">
        <v>223</v>
      </c>
      <c r="M3842" s="534" t="s">
        <v>162</v>
      </c>
      <c r="N3842" s="525" t="str">
        <f>IF(AND('331-CT'!$E$7=TH!H3842,OR(L3842="331",M3842="331")),"331",IF(AND(OR(L3842="131",M3842="131"),H3842='131-CT'!$E$7),"131",""))</f>
        <v/>
      </c>
      <c r="O3842" s="525" t="str">
        <f>IF(AND($B3842&gt;='111'!$N$11,$B3842&lt;='111'!$O$11,OR($L3842=$O$7,$M3842=$O$7)),"x","")</f>
        <v/>
      </c>
      <c r="P3842" s="525" t="str">
        <f>IF(AND($L3842=$O$7,$B3842&lt;'111'!$N$11),"x","")</f>
        <v/>
      </c>
      <c r="Q3842" s="525" t="str">
        <f>IF(AND($M3842=$O$7,$B3842&lt;'111'!$N$11),"x","")</f>
        <v/>
      </c>
      <c r="R3842" s="525" t="str">
        <f>IF(ISERROR(FIND('112'!$M$9,G3842,1)),"",IF((AND(FIND('112'!$M$9,G3842,1)&gt;=1,$B3842&gt;='112'!$N$8,$B3842&lt;='112'!$O$8,OR($L3842='112'!$I$6,$M3842='112'!$I$6))),"x",""))</f>
        <v/>
      </c>
      <c r="S3842" s="525" t="str">
        <f>IF(ISERROR(FIND('112'!$M$9,G3842,1)),"",IF((AND(LEFT(G3842,2)=LEFT('112'!$M$9,2),B3842&lt;'112'!$N$8,$L3842='112'!$I$6)),"x",""))</f>
        <v/>
      </c>
      <c r="T3842" s="525" t="str">
        <f>IF(ISERROR(FIND('112'!$M$9,G3842,1)),"",IF((AND(RIGHT(G3842,2)=RIGHT('112'!$M$9,2),B3842&lt;'112'!$N$8,$M3842='112'!$I$6)),"x",""))</f>
        <v/>
      </c>
      <c r="U3842" s="525" t="str">
        <f>IF(AND(B3842&gt;='IN-NX'!$P$3,B3842&lt;='IN-NX'!$Q$3,'IN-NX'!$D$7=D3842,OR(LEFT(L3842,2)="15",AND(LEFT(M3842,2)&lt;&gt;"15",LEFT(M3842,2)&lt;&gt;"33"))),"x","")</f>
        <v/>
      </c>
      <c r="V3842" s="525" t="str">
        <f>IF(AND(OR(LEFT(TH!L3842,2)="15",LEFT(TH!M3842,2)="15"),'152-CT'!$J$8=TH!F3842),"x","")</f>
        <v/>
      </c>
      <c r="W3842" s="525" t="str">
        <f>IF(AND(OR(LEFT(TH!L3842,2)="15",LEFT(TH!M3842,2)="15"),TK!$E$7=TH!F3842),"x","")</f>
        <v/>
      </c>
      <c r="X3842" s="525" t="str">
        <f>IF(AND('341-CT'!$E$9=H3842,OR(LEFT(L3842,3)=$X$7,LEFT(M3842,3)=$X$7)),"x","")</f>
        <v/>
      </c>
      <c r="Y3842" s="525" t="str">
        <f>IF(OR(TH!L3842=TH!$Y$7,M3842=TH!$Y$7),"x","")</f>
        <v/>
      </c>
      <c r="Z3842" s="525" t="str">
        <f>IF(AND(B3842&lt;=NKC!$N$8,B3842&gt;=NKC!$M$8),"x","")</f>
        <v/>
      </c>
      <c r="AA3842" s="535"/>
      <c r="AB3842" s="536"/>
      <c r="AC3842" s="536" t="str">
        <f>VLOOKUP(F3842,NXT!$B$12:$B$686,1,0)</f>
        <v>Thùng 105x105x51</v>
      </c>
    </row>
    <row r="3843" spans="1:30" s="503" customFormat="1" ht="15.75" customHeight="1">
      <c r="A3843" s="517" t="str">
        <f>IF(B3843&lt;&gt;"",IF(AND(B3843&gt;=_TM1,B3843&lt;=_TM2,OR(TH!L3843="1111",TH!M3843="1111")),TH!D3843,""),"")</f>
        <v/>
      </c>
      <c r="B3843" s="531">
        <f t="shared" si="446"/>
        <v>9</v>
      </c>
      <c r="C3843" s="315">
        <f t="shared" si="447"/>
        <v>43008</v>
      </c>
      <c r="D3843" s="544" t="s">
        <v>1181</v>
      </c>
      <c r="E3843" s="315">
        <v>43008</v>
      </c>
      <c r="F3843" s="250" t="s">
        <v>1657</v>
      </c>
      <c r="G3843" s="314" t="s">
        <v>1703</v>
      </c>
      <c r="H3843" s="473" t="s">
        <v>284</v>
      </c>
      <c r="I3843" s="307">
        <v>24</v>
      </c>
      <c r="J3843" s="307">
        <v>39642</v>
      </c>
      <c r="K3843" s="532">
        <f t="shared" si="448"/>
        <v>951408</v>
      </c>
      <c r="L3843" s="534" t="s">
        <v>223</v>
      </c>
      <c r="M3843" s="534" t="s">
        <v>162</v>
      </c>
      <c r="N3843" s="525" t="str">
        <f>IF(AND('331-CT'!$E$7=TH!H3843,OR(L3843="331",M3843="331")),"331",IF(AND(OR(L3843="131",M3843="131"),H3843='131-CT'!$E$7),"131",""))</f>
        <v/>
      </c>
      <c r="O3843" s="525" t="str">
        <f>IF(AND($B3843&gt;='111'!$N$11,$B3843&lt;='111'!$O$11,OR($L3843=$O$7,$M3843=$O$7)),"x","")</f>
        <v/>
      </c>
      <c r="P3843" s="525" t="str">
        <f>IF(AND($L3843=$O$7,$B3843&lt;'111'!$N$11),"x","")</f>
        <v/>
      </c>
      <c r="Q3843" s="525" t="str">
        <f>IF(AND($M3843=$O$7,$B3843&lt;'111'!$N$11),"x","")</f>
        <v/>
      </c>
      <c r="R3843" s="525" t="str">
        <f>IF(ISERROR(FIND('112'!$M$9,G3843,1)),"",IF((AND(FIND('112'!$M$9,G3843,1)&gt;=1,$B3843&gt;='112'!$N$8,$B3843&lt;='112'!$O$8,OR($L3843='112'!$I$6,$M3843='112'!$I$6))),"x",""))</f>
        <v/>
      </c>
      <c r="S3843" s="525" t="str">
        <f>IF(ISERROR(FIND('112'!$M$9,G3843,1)),"",IF((AND(LEFT(G3843,2)=LEFT('112'!$M$9,2),B3843&lt;'112'!$N$8,$L3843='112'!$I$6)),"x",""))</f>
        <v/>
      </c>
      <c r="T3843" s="525" t="str">
        <f>IF(ISERROR(FIND('112'!$M$9,G3843,1)),"",IF((AND(RIGHT(G3843,2)=RIGHT('112'!$M$9,2),B3843&lt;'112'!$N$8,$M3843='112'!$I$6)),"x",""))</f>
        <v/>
      </c>
      <c r="U3843" s="525" t="str">
        <f>IF(AND(B3843&gt;='IN-NX'!$P$3,B3843&lt;='IN-NX'!$Q$3,'IN-NX'!$D$7=D3843,OR(LEFT(L3843,2)="15",AND(LEFT(M3843,2)&lt;&gt;"15",LEFT(M3843,2)&lt;&gt;"33"))),"x","")</f>
        <v/>
      </c>
      <c r="V3843" s="525" t="str">
        <f>IF(AND(OR(LEFT(TH!L3843,2)="15",LEFT(TH!M3843,2)="15"),'152-CT'!$J$8=TH!F3843),"x","")</f>
        <v/>
      </c>
      <c r="W3843" s="525" t="str">
        <f>IF(AND(OR(LEFT(TH!L3843,2)="15",LEFT(TH!M3843,2)="15"),TK!$E$7=TH!F3843),"x","")</f>
        <v/>
      </c>
      <c r="X3843" s="525" t="str">
        <f>IF(AND('341-CT'!$E$9=H3843,OR(LEFT(L3843,3)=$X$7,LEFT(M3843,3)=$X$7)),"x","")</f>
        <v/>
      </c>
      <c r="Y3843" s="525" t="str">
        <f>IF(OR(TH!L3843=TH!$Y$7,M3843=TH!$Y$7),"x","")</f>
        <v/>
      </c>
      <c r="Z3843" s="525" t="str">
        <f>IF(AND(B3843&lt;=NKC!$N$8,B3843&gt;=NKC!$M$8),"x","")</f>
        <v/>
      </c>
      <c r="AA3843" s="535"/>
      <c r="AB3843" s="536"/>
      <c r="AC3843" s="536" t="str">
        <f>VLOOKUP(F3843,NXT!$B$12:$B$686,1,0)</f>
        <v>Thùng 45x45x53</v>
      </c>
    </row>
    <row r="3844" spans="1:30" s="503" customFormat="1" ht="15.75" customHeight="1">
      <c r="A3844" s="517" t="str">
        <f>IF(B3844&lt;&gt;"",IF(AND(B3844&gt;=_TM1,B3844&lt;=_TM2,OR(TH!L3844="1111",TH!M3844="1111")),TH!D3844,""),"")</f>
        <v/>
      </c>
      <c r="B3844" s="531">
        <f t="shared" si="446"/>
        <v>9</v>
      </c>
      <c r="C3844" s="315">
        <f t="shared" si="447"/>
        <v>43008</v>
      </c>
      <c r="D3844" s="544" t="s">
        <v>1181</v>
      </c>
      <c r="E3844" s="315">
        <v>43008</v>
      </c>
      <c r="F3844" s="250" t="s">
        <v>1177</v>
      </c>
      <c r="G3844" s="314" t="s">
        <v>1703</v>
      </c>
      <c r="H3844" s="473" t="s">
        <v>284</v>
      </c>
      <c r="I3844" s="307">
        <v>18</v>
      </c>
      <c r="J3844" s="307">
        <v>74595</v>
      </c>
      <c r="K3844" s="532">
        <f t="shared" si="448"/>
        <v>1342710</v>
      </c>
      <c r="L3844" s="534" t="s">
        <v>223</v>
      </c>
      <c r="M3844" s="534" t="s">
        <v>162</v>
      </c>
      <c r="N3844" s="525" t="str">
        <f>IF(AND('331-CT'!$E$7=TH!H3844,OR(L3844="331",M3844="331")),"331",IF(AND(OR(L3844="131",M3844="131"),H3844='131-CT'!$E$7),"131",""))</f>
        <v/>
      </c>
      <c r="O3844" s="525" t="str">
        <f>IF(AND($B3844&gt;='111'!$N$11,$B3844&lt;='111'!$O$11,OR($L3844=$O$7,$M3844=$O$7)),"x","")</f>
        <v/>
      </c>
      <c r="P3844" s="525" t="str">
        <f>IF(AND($L3844=$O$7,$B3844&lt;'111'!$N$11),"x","")</f>
        <v/>
      </c>
      <c r="Q3844" s="525" t="str">
        <f>IF(AND($M3844=$O$7,$B3844&lt;'111'!$N$11),"x","")</f>
        <v/>
      </c>
      <c r="R3844" s="525" t="str">
        <f>IF(ISERROR(FIND('112'!$M$9,G3844,1)),"",IF((AND(FIND('112'!$M$9,G3844,1)&gt;=1,$B3844&gt;='112'!$N$8,$B3844&lt;='112'!$O$8,OR($L3844='112'!$I$6,$M3844='112'!$I$6))),"x",""))</f>
        <v/>
      </c>
      <c r="S3844" s="525" t="str">
        <f>IF(ISERROR(FIND('112'!$M$9,G3844,1)),"",IF((AND(LEFT(G3844,2)=LEFT('112'!$M$9,2),B3844&lt;'112'!$N$8,$L3844='112'!$I$6)),"x",""))</f>
        <v/>
      </c>
      <c r="T3844" s="525" t="str">
        <f>IF(ISERROR(FIND('112'!$M$9,G3844,1)),"",IF((AND(RIGHT(G3844,2)=RIGHT('112'!$M$9,2),B3844&lt;'112'!$N$8,$M3844='112'!$I$6)),"x",""))</f>
        <v/>
      </c>
      <c r="U3844" s="525" t="str">
        <f>IF(AND(B3844&gt;='IN-NX'!$P$3,B3844&lt;='IN-NX'!$Q$3,'IN-NX'!$D$7=D3844,OR(LEFT(L3844,2)="15",AND(LEFT(M3844,2)&lt;&gt;"15",LEFT(M3844,2)&lt;&gt;"33"))),"x","")</f>
        <v/>
      </c>
      <c r="V3844" s="525" t="str">
        <f>IF(AND(OR(LEFT(TH!L3844,2)="15",LEFT(TH!M3844,2)="15"),'152-CT'!$J$8=TH!F3844),"x","")</f>
        <v/>
      </c>
      <c r="W3844" s="525" t="str">
        <f>IF(AND(OR(LEFT(TH!L3844,2)="15",LEFT(TH!M3844,2)="15"),TK!$E$7=TH!F3844),"x","")</f>
        <v/>
      </c>
      <c r="X3844" s="525" t="str">
        <f>IF(AND('341-CT'!$E$9=H3844,OR(LEFT(L3844,3)=$X$7,LEFT(M3844,3)=$X$7)),"x","")</f>
        <v/>
      </c>
      <c r="Y3844" s="525" t="str">
        <f>IF(OR(TH!L3844=TH!$Y$7,M3844=TH!$Y$7),"x","")</f>
        <v/>
      </c>
      <c r="Z3844" s="525" t="str">
        <f>IF(AND(B3844&lt;=NKC!$N$8,B3844&gt;=NKC!$M$8),"x","")</f>
        <v/>
      </c>
      <c r="AA3844" s="535"/>
      <c r="AB3844" s="536"/>
      <c r="AC3844" s="536" t="str">
        <f>VLOOKUP(F3844,NXT!$B$12:$B$686,1,0)</f>
        <v>Thùng 125x45x53</v>
      </c>
    </row>
    <row r="3845" spans="1:30" s="503" customFormat="1" ht="15.75" customHeight="1">
      <c r="A3845" s="517" t="str">
        <f>IF(B3845&lt;&gt;"",IF(AND(B3845&gt;=_TM1,B3845&lt;=_TM2,OR(TH!L3845="1111",TH!M3845="1111")),TH!D3845,""),"")</f>
        <v/>
      </c>
      <c r="B3845" s="531">
        <f t="shared" si="446"/>
        <v>9</v>
      </c>
      <c r="C3845" s="315">
        <f t="shared" si="447"/>
        <v>43008</v>
      </c>
      <c r="D3845" s="544" t="s">
        <v>1181</v>
      </c>
      <c r="E3845" s="315">
        <v>43008</v>
      </c>
      <c r="F3845" s="250" t="s">
        <v>667</v>
      </c>
      <c r="G3845" s="314" t="s">
        <v>1703</v>
      </c>
      <c r="H3845" s="473" t="s">
        <v>284</v>
      </c>
      <c r="I3845" s="307">
        <v>24</v>
      </c>
      <c r="J3845" s="307">
        <v>65840</v>
      </c>
      <c r="K3845" s="532">
        <f t="shared" si="448"/>
        <v>1580160</v>
      </c>
      <c r="L3845" s="534" t="s">
        <v>223</v>
      </c>
      <c r="M3845" s="534" t="s">
        <v>162</v>
      </c>
      <c r="N3845" s="525" t="str">
        <f>IF(AND('331-CT'!$E$7=TH!H3845,OR(L3845="331",M3845="331")),"331",IF(AND(OR(L3845="131",M3845="131"),H3845='131-CT'!$E$7),"131",""))</f>
        <v/>
      </c>
      <c r="O3845" s="525" t="str">
        <f>IF(AND($B3845&gt;='111'!$N$11,$B3845&lt;='111'!$O$11,OR($L3845=$O$7,$M3845=$O$7)),"x","")</f>
        <v/>
      </c>
      <c r="P3845" s="525" t="str">
        <f>IF(AND($L3845=$O$7,$B3845&lt;'111'!$N$11),"x","")</f>
        <v/>
      </c>
      <c r="Q3845" s="525" t="str">
        <f>IF(AND($M3845=$O$7,$B3845&lt;'111'!$N$11),"x","")</f>
        <v/>
      </c>
      <c r="R3845" s="525" t="str">
        <f>IF(ISERROR(FIND('112'!$M$9,G3845,1)),"",IF((AND(FIND('112'!$M$9,G3845,1)&gt;=1,$B3845&gt;='112'!$N$8,$B3845&lt;='112'!$O$8,OR($L3845='112'!$I$6,$M3845='112'!$I$6))),"x",""))</f>
        <v/>
      </c>
      <c r="S3845" s="525" t="str">
        <f>IF(ISERROR(FIND('112'!$M$9,G3845,1)),"",IF((AND(LEFT(G3845,2)=LEFT('112'!$M$9,2),B3845&lt;'112'!$N$8,$L3845='112'!$I$6)),"x",""))</f>
        <v/>
      </c>
      <c r="T3845" s="525" t="str">
        <f>IF(ISERROR(FIND('112'!$M$9,G3845,1)),"",IF((AND(RIGHT(G3845,2)=RIGHT('112'!$M$9,2),B3845&lt;'112'!$N$8,$M3845='112'!$I$6)),"x",""))</f>
        <v/>
      </c>
      <c r="U3845" s="525" t="str">
        <f>IF(AND(B3845&gt;='IN-NX'!$P$3,B3845&lt;='IN-NX'!$Q$3,'IN-NX'!$D$7=D3845,OR(LEFT(L3845,2)="15",AND(LEFT(M3845,2)&lt;&gt;"15",LEFT(M3845,2)&lt;&gt;"33"))),"x","")</f>
        <v/>
      </c>
      <c r="V3845" s="525" t="str">
        <f>IF(AND(OR(LEFT(TH!L3845,2)="15",LEFT(TH!M3845,2)="15"),'152-CT'!$J$8=TH!F3845),"x","")</f>
        <v/>
      </c>
      <c r="W3845" s="525" t="str">
        <f>IF(AND(OR(LEFT(TH!L3845,2)="15",LEFT(TH!M3845,2)="15"),TK!$E$7=TH!F3845),"x","")</f>
        <v/>
      </c>
      <c r="X3845" s="525" t="str">
        <f>IF(AND('341-CT'!$E$9=H3845,OR(LEFT(L3845,3)=$X$7,LEFT(M3845,3)=$X$7)),"x","")</f>
        <v/>
      </c>
      <c r="Y3845" s="525" t="str">
        <f>IF(OR(TH!L3845=TH!$Y$7,M3845=TH!$Y$7),"x","")</f>
        <v/>
      </c>
      <c r="Z3845" s="525" t="str">
        <f>IF(AND(B3845&lt;=NKC!$N$8,B3845&gt;=NKC!$M$8),"x","")</f>
        <v/>
      </c>
      <c r="AA3845" s="535"/>
      <c r="AB3845" s="536"/>
      <c r="AC3845" s="536" t="str">
        <f>VLOOKUP(F3845,NXT!$B$12:$B$686,1,0)</f>
        <v>Thùng 55x55x78</v>
      </c>
      <c r="AD3845" s="536"/>
    </row>
    <row r="3846" spans="1:30" s="503" customFormat="1" ht="15.75" customHeight="1">
      <c r="A3846" s="517" t="str">
        <f>IF(B3846&lt;&gt;"",IF(AND(B3846&gt;=_TM1,B3846&lt;=_TM2,OR(TH!L3846="1111",TH!M3846="1111")),TH!D3846,""),"")</f>
        <v/>
      </c>
      <c r="B3846" s="531">
        <f t="shared" si="446"/>
        <v>9</v>
      </c>
      <c r="C3846" s="315">
        <f t="shared" si="447"/>
        <v>43008</v>
      </c>
      <c r="D3846" s="544" t="s">
        <v>1181</v>
      </c>
      <c r="E3846" s="315">
        <v>43008</v>
      </c>
      <c r="F3846" s="250" t="s">
        <v>756</v>
      </c>
      <c r="G3846" s="314" t="s">
        <v>1703</v>
      </c>
      <c r="H3846" s="473" t="s">
        <v>284</v>
      </c>
      <c r="I3846" s="307">
        <v>18</v>
      </c>
      <c r="J3846" s="307">
        <v>42363</v>
      </c>
      <c r="K3846" s="532">
        <f t="shared" si="448"/>
        <v>762534</v>
      </c>
      <c r="L3846" s="534" t="s">
        <v>223</v>
      </c>
      <c r="M3846" s="534" t="s">
        <v>162</v>
      </c>
      <c r="N3846" s="525" t="str">
        <f>IF(AND('331-CT'!$E$7=TH!H3846,OR(L3846="331",M3846="331")),"331",IF(AND(OR(L3846="131",M3846="131"),H3846='131-CT'!$E$7),"131",""))</f>
        <v/>
      </c>
      <c r="O3846" s="525" t="str">
        <f>IF(AND($B3846&gt;='111'!$N$11,$B3846&lt;='111'!$O$11,OR($L3846=$O$7,$M3846=$O$7)),"x","")</f>
        <v/>
      </c>
      <c r="P3846" s="525" t="str">
        <f>IF(AND($L3846=$O$7,$B3846&lt;'111'!$N$11),"x","")</f>
        <v/>
      </c>
      <c r="Q3846" s="525" t="str">
        <f>IF(AND($M3846=$O$7,$B3846&lt;'111'!$N$11),"x","")</f>
        <v/>
      </c>
      <c r="R3846" s="525" t="str">
        <f>IF(ISERROR(FIND('112'!$M$9,G3846,1)),"",IF((AND(FIND('112'!$M$9,G3846,1)&gt;=1,$B3846&gt;='112'!$N$8,$B3846&lt;='112'!$O$8,OR($L3846='112'!$I$6,$M3846='112'!$I$6))),"x",""))</f>
        <v/>
      </c>
      <c r="S3846" s="525" t="str">
        <f>IF(ISERROR(FIND('112'!$M$9,G3846,1)),"",IF((AND(LEFT(G3846,2)=LEFT('112'!$M$9,2),B3846&lt;'112'!$N$8,$L3846='112'!$I$6)),"x",""))</f>
        <v/>
      </c>
      <c r="T3846" s="525" t="str">
        <f>IF(ISERROR(FIND('112'!$M$9,G3846,1)),"",IF((AND(RIGHT(G3846,2)=RIGHT('112'!$M$9,2),B3846&lt;'112'!$N$8,$M3846='112'!$I$6)),"x",""))</f>
        <v/>
      </c>
      <c r="U3846" s="525" t="str">
        <f>IF(AND(B3846&gt;='IN-NX'!$P$3,B3846&lt;='IN-NX'!$Q$3,'IN-NX'!$D$7=D3846,OR(LEFT(L3846,2)="15",AND(LEFT(M3846,2)&lt;&gt;"15",LEFT(M3846,2)&lt;&gt;"33"))),"x","")</f>
        <v/>
      </c>
      <c r="V3846" s="525" t="str">
        <f>IF(AND(OR(LEFT(TH!L3846,2)="15",LEFT(TH!M3846,2)="15"),'152-CT'!$J$8=TH!F3846),"x","")</f>
        <v/>
      </c>
      <c r="W3846" s="525" t="str">
        <f>IF(AND(OR(LEFT(TH!L3846,2)="15",LEFT(TH!M3846,2)="15"),TK!$E$7=TH!F3846),"x","")</f>
        <v/>
      </c>
      <c r="X3846" s="525" t="str">
        <f>IF(AND('341-CT'!$E$9=H3846,OR(LEFT(L3846,3)=$X$7,LEFT(M3846,3)=$X$7)),"x","")</f>
        <v/>
      </c>
      <c r="Y3846" s="525" t="str">
        <f>IF(OR(TH!L3846=TH!$Y$7,M3846=TH!$Y$7),"x","")</f>
        <v/>
      </c>
      <c r="Z3846" s="525" t="str">
        <f>IF(AND(B3846&lt;=NKC!$N$8,B3846&gt;=NKC!$M$8),"x","")</f>
        <v/>
      </c>
      <c r="AA3846" s="535"/>
      <c r="AB3846" s="536"/>
      <c r="AC3846" s="536" t="str">
        <f>VLOOKUP(F3846,NXT!$B$12:$B$686,1,0)</f>
        <v>Thùng 45x45x60</v>
      </c>
    </row>
    <row r="3847" spans="1:30" s="503" customFormat="1" ht="15.75" customHeight="1">
      <c r="A3847" s="517" t="str">
        <f>IF(B3847&lt;&gt;"",IF(AND(B3847&gt;=_TM1,B3847&lt;=_TM2,OR(TH!L3847="1111",TH!M3847="1111")),TH!D3847,""),"")</f>
        <v/>
      </c>
      <c r="B3847" s="531">
        <f t="shared" si="446"/>
        <v>9</v>
      </c>
      <c r="C3847" s="315">
        <f t="shared" si="447"/>
        <v>43008</v>
      </c>
      <c r="D3847" s="544" t="s">
        <v>1181</v>
      </c>
      <c r="E3847" s="315">
        <v>43008</v>
      </c>
      <c r="F3847" s="250" t="s">
        <v>1018</v>
      </c>
      <c r="G3847" s="314" t="s">
        <v>1703</v>
      </c>
      <c r="H3847" s="473" t="s">
        <v>284</v>
      </c>
      <c r="I3847" s="307">
        <v>24</v>
      </c>
      <c r="J3847" s="307">
        <v>57190</v>
      </c>
      <c r="K3847" s="532">
        <f t="shared" si="448"/>
        <v>1372560</v>
      </c>
      <c r="L3847" s="534" t="s">
        <v>223</v>
      </c>
      <c r="M3847" s="534" t="s">
        <v>162</v>
      </c>
      <c r="N3847" s="525" t="str">
        <f>IF(AND('331-CT'!$E$7=TH!H3847,OR(L3847="331",M3847="331")),"331",IF(AND(OR(L3847="131",M3847="131"),H3847='131-CT'!$E$7),"131",""))</f>
        <v/>
      </c>
      <c r="O3847" s="525" t="str">
        <f>IF(AND($B3847&gt;='111'!$N$11,$B3847&lt;='111'!$O$11,OR($L3847=$O$7,$M3847=$O$7)),"x","")</f>
        <v/>
      </c>
      <c r="P3847" s="525" t="str">
        <f>IF(AND($L3847=$O$7,$B3847&lt;'111'!$N$11),"x","")</f>
        <v/>
      </c>
      <c r="Q3847" s="525" t="str">
        <f>IF(AND($M3847=$O$7,$B3847&lt;'111'!$N$11),"x","")</f>
        <v/>
      </c>
      <c r="R3847" s="525" t="str">
        <f>IF(ISERROR(FIND('112'!$M$9,G3847,1)),"",IF((AND(FIND('112'!$M$9,G3847,1)&gt;=1,$B3847&gt;='112'!$N$8,$B3847&lt;='112'!$O$8,OR($L3847='112'!$I$6,$M3847='112'!$I$6))),"x",""))</f>
        <v/>
      </c>
      <c r="S3847" s="525" t="str">
        <f>IF(ISERROR(FIND('112'!$M$9,G3847,1)),"",IF((AND(LEFT(G3847,2)=LEFT('112'!$M$9,2),B3847&lt;'112'!$N$8,$L3847='112'!$I$6)),"x",""))</f>
        <v/>
      </c>
      <c r="T3847" s="525" t="str">
        <f>IF(ISERROR(FIND('112'!$M$9,G3847,1)),"",IF((AND(RIGHT(G3847,2)=RIGHT('112'!$M$9,2),B3847&lt;'112'!$N$8,$M3847='112'!$I$6)),"x",""))</f>
        <v/>
      </c>
      <c r="U3847" s="525" t="str">
        <f>IF(AND(B3847&gt;='IN-NX'!$P$3,B3847&lt;='IN-NX'!$Q$3,'IN-NX'!$D$7=D3847,OR(LEFT(L3847,2)="15",AND(LEFT(M3847,2)&lt;&gt;"15",LEFT(M3847,2)&lt;&gt;"33"))),"x","")</f>
        <v/>
      </c>
      <c r="V3847" s="525" t="str">
        <f>IF(AND(OR(LEFT(TH!L3847,2)="15",LEFT(TH!M3847,2)="15"),'152-CT'!$J$8=TH!F3847),"x","")</f>
        <v/>
      </c>
      <c r="W3847" s="525" t="str">
        <f>IF(AND(OR(LEFT(TH!L3847,2)="15",LEFT(TH!M3847,2)="15"),TK!$E$7=TH!F3847),"x","")</f>
        <v/>
      </c>
      <c r="X3847" s="525" t="str">
        <f>IF(AND('341-CT'!$E$9=H3847,OR(LEFT(L3847,3)=$X$7,LEFT(M3847,3)=$X$7)),"x","")</f>
        <v/>
      </c>
      <c r="Y3847" s="525" t="str">
        <f>IF(OR(TH!L3847=TH!$Y$7,M3847=TH!$Y$7),"x","")</f>
        <v/>
      </c>
      <c r="Z3847" s="525" t="str">
        <f>IF(AND(B3847&lt;=NKC!$N$8,B3847&gt;=NKC!$M$8),"x","")</f>
        <v/>
      </c>
      <c r="AA3847" s="535"/>
      <c r="AB3847" s="536"/>
      <c r="AC3847" s="536" t="str">
        <f>VLOOKUP(F3847,NXT!$B$12:$B$686,1,0)</f>
        <v>Thùng 55x55x60</v>
      </c>
      <c r="AD3847" s="536"/>
    </row>
    <row r="3848" spans="1:30" s="503" customFormat="1" ht="15.75" customHeight="1">
      <c r="A3848" s="517" t="str">
        <f>IF(B3848&lt;&gt;"",IF(AND(B3848&gt;=_TM1,B3848&lt;=_TM2,OR(TH!L3848="1111",TH!M3848="1111")),TH!D3848,""),"")</f>
        <v/>
      </c>
      <c r="B3848" s="531">
        <f t="shared" si="446"/>
        <v>9</v>
      </c>
      <c r="C3848" s="315">
        <f t="shared" si="447"/>
        <v>43008</v>
      </c>
      <c r="D3848" s="544" t="s">
        <v>1181</v>
      </c>
      <c r="E3848" s="315">
        <v>43008</v>
      </c>
      <c r="F3848" s="250" t="s">
        <v>1658</v>
      </c>
      <c r="G3848" s="314" t="s">
        <v>1703</v>
      </c>
      <c r="H3848" s="473" t="s">
        <v>284</v>
      </c>
      <c r="I3848" s="307">
        <v>10</v>
      </c>
      <c r="J3848" s="307">
        <v>217442</v>
      </c>
      <c r="K3848" s="532">
        <f t="shared" si="448"/>
        <v>2174420</v>
      </c>
      <c r="L3848" s="534" t="s">
        <v>223</v>
      </c>
      <c r="M3848" s="534" t="s">
        <v>162</v>
      </c>
      <c r="N3848" s="525" t="str">
        <f>IF(AND('331-CT'!$E$7=TH!H3848,OR(L3848="331",M3848="331")),"331",IF(AND(OR(L3848="131",M3848="131"),H3848='131-CT'!$E$7),"131",""))</f>
        <v/>
      </c>
      <c r="O3848" s="525" t="str">
        <f>IF(AND($B3848&gt;='111'!$N$11,$B3848&lt;='111'!$O$11,OR($L3848=$O$7,$M3848=$O$7)),"x","")</f>
        <v/>
      </c>
      <c r="P3848" s="525" t="str">
        <f>IF(AND($L3848=$O$7,$B3848&lt;'111'!$N$11),"x","")</f>
        <v/>
      </c>
      <c r="Q3848" s="525" t="str">
        <f>IF(AND($M3848=$O$7,$B3848&lt;'111'!$N$11),"x","")</f>
        <v/>
      </c>
      <c r="R3848" s="525" t="str">
        <f>IF(ISERROR(FIND('112'!$M$9,G3848,1)),"",IF((AND(FIND('112'!$M$9,G3848,1)&gt;=1,$B3848&gt;='112'!$N$8,$B3848&lt;='112'!$O$8,OR($L3848='112'!$I$6,$M3848='112'!$I$6))),"x",""))</f>
        <v/>
      </c>
      <c r="S3848" s="525" t="str">
        <f>IF(ISERROR(FIND('112'!$M$9,G3848,1)),"",IF((AND(LEFT(G3848,2)=LEFT('112'!$M$9,2),B3848&lt;'112'!$N$8,$L3848='112'!$I$6)),"x",""))</f>
        <v/>
      </c>
      <c r="T3848" s="525" t="str">
        <f>IF(ISERROR(FIND('112'!$M$9,G3848,1)),"",IF((AND(RIGHT(G3848,2)=RIGHT('112'!$M$9,2),B3848&lt;'112'!$N$8,$M3848='112'!$I$6)),"x",""))</f>
        <v/>
      </c>
      <c r="U3848" s="525" t="str">
        <f>IF(AND(B3848&gt;='IN-NX'!$P$3,B3848&lt;='IN-NX'!$Q$3,'IN-NX'!$D$7=D3848,OR(LEFT(L3848,2)="15",AND(LEFT(M3848,2)&lt;&gt;"15",LEFT(M3848,2)&lt;&gt;"33"))),"x","")</f>
        <v/>
      </c>
      <c r="V3848" s="525" t="str">
        <f>IF(AND(OR(LEFT(TH!L3848,2)="15",LEFT(TH!M3848,2)="15"),'152-CT'!$J$8=TH!F3848),"x","")</f>
        <v/>
      </c>
      <c r="W3848" s="525" t="str">
        <f>IF(AND(OR(LEFT(TH!L3848,2)="15",LEFT(TH!M3848,2)="15"),TK!$E$7=TH!F3848),"x","")</f>
        <v/>
      </c>
      <c r="X3848" s="525" t="str">
        <f>IF(AND('341-CT'!$E$9=H3848,OR(LEFT(L3848,3)=$X$7,LEFT(M3848,3)=$X$7)),"x","")</f>
        <v/>
      </c>
      <c r="Y3848" s="525" t="str">
        <f>IF(OR(TH!L3848=TH!$Y$7,M3848=TH!$Y$7),"x","")</f>
        <v/>
      </c>
      <c r="Z3848" s="525" t="str">
        <f>IF(AND(B3848&lt;=NKC!$N$8,B3848&gt;=NKC!$M$8),"x","")</f>
        <v/>
      </c>
      <c r="AA3848" s="535"/>
      <c r="AB3848" s="536"/>
      <c r="AC3848" s="536" t="str">
        <f>VLOOKUP(F3848,NXT!$B$12:$B$686,1,0)</f>
        <v>Thùng 133x133x55</v>
      </c>
    </row>
    <row r="3849" spans="1:30" s="503" customFormat="1" ht="15.75" customHeight="1">
      <c r="A3849" s="517" t="str">
        <f>IF(B3849&lt;&gt;"",IF(AND(B3849&gt;=_TM1,B3849&lt;=_TM2,OR(TH!L3849="1111",TH!M3849="1111")),TH!D3849,""),"")</f>
        <v/>
      </c>
      <c r="B3849" s="531">
        <f t="shared" si="446"/>
        <v>9</v>
      </c>
      <c r="C3849" s="315">
        <f t="shared" si="447"/>
        <v>43008</v>
      </c>
      <c r="D3849" s="544" t="s">
        <v>1181</v>
      </c>
      <c r="E3849" s="315">
        <v>43008</v>
      </c>
      <c r="F3849" s="250" t="s">
        <v>679</v>
      </c>
      <c r="G3849" s="314" t="s">
        <v>1703</v>
      </c>
      <c r="H3849" s="473" t="s">
        <v>284</v>
      </c>
      <c r="I3849" s="307">
        <v>32</v>
      </c>
      <c r="J3849" s="307">
        <v>72852</v>
      </c>
      <c r="K3849" s="532">
        <f t="shared" si="448"/>
        <v>2331264</v>
      </c>
      <c r="L3849" s="534" t="s">
        <v>223</v>
      </c>
      <c r="M3849" s="534" t="s">
        <v>162</v>
      </c>
      <c r="N3849" s="525" t="str">
        <f>IF(AND('331-CT'!$E$7=TH!H3849,OR(L3849="331",M3849="331")),"331",IF(AND(OR(L3849="131",M3849="131"),H3849='131-CT'!$E$7),"131",""))</f>
        <v/>
      </c>
      <c r="O3849" s="525" t="str">
        <f>IF(AND($B3849&gt;='111'!$N$11,$B3849&lt;='111'!$O$11,OR($L3849=$O$7,$M3849=$O$7)),"x","")</f>
        <v/>
      </c>
      <c r="P3849" s="525" t="str">
        <f>IF(AND($L3849=$O$7,$B3849&lt;'111'!$N$11),"x","")</f>
        <v/>
      </c>
      <c r="Q3849" s="525" t="str">
        <f>IF(AND($M3849=$O$7,$B3849&lt;'111'!$N$11),"x","")</f>
        <v/>
      </c>
      <c r="R3849" s="525" t="str">
        <f>IF(ISERROR(FIND('112'!$M$9,G3849,1)),"",IF((AND(FIND('112'!$M$9,G3849,1)&gt;=1,$B3849&gt;='112'!$N$8,$B3849&lt;='112'!$O$8,OR($L3849='112'!$I$6,$M3849='112'!$I$6))),"x",""))</f>
        <v/>
      </c>
      <c r="S3849" s="525" t="str">
        <f>IF(ISERROR(FIND('112'!$M$9,G3849,1)),"",IF((AND(LEFT(G3849,2)=LEFT('112'!$M$9,2),B3849&lt;'112'!$N$8,$L3849='112'!$I$6)),"x",""))</f>
        <v/>
      </c>
      <c r="T3849" s="525" t="str">
        <f>IF(ISERROR(FIND('112'!$M$9,G3849,1)),"",IF((AND(RIGHT(G3849,2)=RIGHT('112'!$M$9,2),B3849&lt;'112'!$N$8,$M3849='112'!$I$6)),"x",""))</f>
        <v/>
      </c>
      <c r="U3849" s="525" t="str">
        <f>IF(AND(B3849&gt;='IN-NX'!$P$3,B3849&lt;='IN-NX'!$Q$3,'IN-NX'!$D$7=D3849,OR(LEFT(L3849,2)="15",AND(LEFT(M3849,2)&lt;&gt;"15",LEFT(M3849,2)&lt;&gt;"33"))),"x","")</f>
        <v/>
      </c>
      <c r="V3849" s="525" t="str">
        <f>IF(AND(OR(LEFT(TH!L3849,2)="15",LEFT(TH!M3849,2)="15"),'152-CT'!$J$8=TH!F3849),"x","")</f>
        <v/>
      </c>
      <c r="W3849" s="525" t="str">
        <f>IF(AND(OR(LEFT(TH!L3849,2)="15",LEFT(TH!M3849,2)="15"),TK!$E$7=TH!F3849),"x","")</f>
        <v/>
      </c>
      <c r="X3849" s="525" t="str">
        <f>IF(AND('341-CT'!$E$9=H3849,OR(LEFT(L3849,3)=$X$7,LEFT(M3849,3)=$X$7)),"x","")</f>
        <v/>
      </c>
      <c r="Y3849" s="525" t="str">
        <f>IF(OR(TH!L3849=TH!$Y$7,M3849=TH!$Y$7),"x","")</f>
        <v/>
      </c>
      <c r="Z3849" s="525" t="str">
        <f>IF(AND(B3849&lt;=NKC!$N$8,B3849&gt;=NKC!$M$8),"x","")</f>
        <v/>
      </c>
      <c r="AA3849" s="535"/>
      <c r="AB3849" s="536"/>
      <c r="AC3849" s="536" t="str">
        <f>VLOOKUP(F3849,NXT!$B$12:$B$686,1,0)</f>
        <v>Thùng 162x37x49</v>
      </c>
    </row>
    <row r="3850" spans="1:30" s="503" customFormat="1" ht="15.75" customHeight="1">
      <c r="A3850" s="517" t="str">
        <f>IF(B3850&lt;&gt;"",IF(AND(B3850&gt;=_TM1,B3850&lt;=_TM2,OR(TH!L3850="1111",TH!M3850="1111")),TH!D3850,""),"")</f>
        <v/>
      </c>
      <c r="B3850" s="531">
        <f t="shared" si="446"/>
        <v>9</v>
      </c>
      <c r="C3850" s="315">
        <f t="shared" si="447"/>
        <v>43008</v>
      </c>
      <c r="D3850" s="544" t="s">
        <v>1181</v>
      </c>
      <c r="E3850" s="315">
        <v>43008</v>
      </c>
      <c r="F3850" s="250" t="s">
        <v>1389</v>
      </c>
      <c r="G3850" s="314" t="s">
        <v>1703</v>
      </c>
      <c r="H3850" s="473" t="s">
        <v>284</v>
      </c>
      <c r="I3850" s="307">
        <v>10</v>
      </c>
      <c r="J3850" s="307">
        <v>66321</v>
      </c>
      <c r="K3850" s="532">
        <f t="shared" si="448"/>
        <v>663210</v>
      </c>
      <c r="L3850" s="534" t="s">
        <v>223</v>
      </c>
      <c r="M3850" s="534" t="s">
        <v>162</v>
      </c>
      <c r="N3850" s="525" t="str">
        <f>IF(AND('331-CT'!$E$7=TH!H3850,OR(L3850="331",M3850="331")),"331",IF(AND(OR(L3850="131",M3850="131"),H3850='131-CT'!$E$7),"131",""))</f>
        <v/>
      </c>
      <c r="O3850" s="525" t="str">
        <f>IF(AND($B3850&gt;='111'!$N$11,$B3850&lt;='111'!$O$11,OR($L3850=$O$7,$M3850=$O$7)),"x","")</f>
        <v/>
      </c>
      <c r="P3850" s="525" t="str">
        <f>IF(AND($L3850=$O$7,$B3850&lt;'111'!$N$11),"x","")</f>
        <v/>
      </c>
      <c r="Q3850" s="525" t="str">
        <f>IF(AND($M3850=$O$7,$B3850&lt;'111'!$N$11),"x","")</f>
        <v/>
      </c>
      <c r="R3850" s="525" t="str">
        <f>IF(ISERROR(FIND('112'!$M$9,G3850,1)),"",IF((AND(FIND('112'!$M$9,G3850,1)&gt;=1,$B3850&gt;='112'!$N$8,$B3850&lt;='112'!$O$8,OR($L3850='112'!$I$6,$M3850='112'!$I$6))),"x",""))</f>
        <v/>
      </c>
      <c r="S3850" s="525" t="str">
        <f>IF(ISERROR(FIND('112'!$M$9,G3850,1)),"",IF((AND(LEFT(G3850,2)=LEFT('112'!$M$9,2),B3850&lt;'112'!$N$8,$L3850='112'!$I$6)),"x",""))</f>
        <v/>
      </c>
      <c r="T3850" s="525" t="str">
        <f>IF(ISERROR(FIND('112'!$M$9,G3850,1)),"",IF((AND(RIGHT(G3850,2)=RIGHT('112'!$M$9,2),B3850&lt;'112'!$N$8,$M3850='112'!$I$6)),"x",""))</f>
        <v/>
      </c>
      <c r="U3850" s="525" t="str">
        <f>IF(AND(B3850&gt;='IN-NX'!$P$3,B3850&lt;='IN-NX'!$Q$3,'IN-NX'!$D$7=D3850,OR(LEFT(L3850,2)="15",AND(LEFT(M3850,2)&lt;&gt;"15",LEFT(M3850,2)&lt;&gt;"33"))),"x","")</f>
        <v/>
      </c>
      <c r="V3850" s="525" t="str">
        <f>IF(AND(OR(LEFT(TH!L3850,2)="15",LEFT(TH!M3850,2)="15"),'152-CT'!$J$8=TH!F3850),"x","")</f>
        <v/>
      </c>
      <c r="W3850" s="525" t="str">
        <f>IF(AND(OR(LEFT(TH!L3850,2)="15",LEFT(TH!M3850,2)="15"),TK!$E$7=TH!F3850),"x","")</f>
        <v/>
      </c>
      <c r="X3850" s="525" t="str">
        <f>IF(AND('341-CT'!$E$9=H3850,OR(LEFT(L3850,3)=$X$7,LEFT(M3850,3)=$X$7)),"x","")</f>
        <v/>
      </c>
      <c r="Y3850" s="525" t="str">
        <f>IF(OR(TH!L3850=TH!$Y$7,M3850=TH!$Y$7),"x","")</f>
        <v/>
      </c>
      <c r="Z3850" s="525" t="str">
        <f>IF(AND(B3850&lt;=NKC!$N$8,B3850&gt;=NKC!$M$8),"x","")</f>
        <v/>
      </c>
      <c r="AA3850" s="535"/>
      <c r="AB3850" s="536"/>
      <c r="AC3850" s="536" t="str">
        <f>VLOOKUP(F3850,NXT!$B$12:$B$686,1,0)</f>
        <v>Thùng 55x55x79</v>
      </c>
    </row>
    <row r="3851" spans="1:30" s="503" customFormat="1" ht="15.75" customHeight="1">
      <c r="A3851" s="517" t="str">
        <f>IF(B3851&lt;&gt;"",IF(AND(B3851&gt;=_TM1,B3851&lt;=_TM2,OR(TH!L3851="1111",TH!M3851="1111")),TH!D3851,""),"")</f>
        <v/>
      </c>
      <c r="B3851" s="531">
        <f t="shared" si="446"/>
        <v>9</v>
      </c>
      <c r="C3851" s="315">
        <f t="shared" si="447"/>
        <v>43008</v>
      </c>
      <c r="D3851" s="544" t="s">
        <v>1181</v>
      </c>
      <c r="E3851" s="315">
        <v>43008</v>
      </c>
      <c r="F3851" s="250" t="s">
        <v>1659</v>
      </c>
      <c r="G3851" s="314" t="s">
        <v>1703</v>
      </c>
      <c r="H3851" s="473" t="s">
        <v>284</v>
      </c>
      <c r="I3851" s="307">
        <v>12</v>
      </c>
      <c r="J3851" s="307">
        <v>235545</v>
      </c>
      <c r="K3851" s="532">
        <f t="shared" si="448"/>
        <v>2826540</v>
      </c>
      <c r="L3851" s="534" t="s">
        <v>223</v>
      </c>
      <c r="M3851" s="534" t="s">
        <v>162</v>
      </c>
      <c r="N3851" s="525" t="str">
        <f>IF(AND('331-CT'!$E$7=TH!H3851,OR(L3851="331",M3851="331")),"331",IF(AND(OR(L3851="131",M3851="131"),H3851='131-CT'!$E$7),"131",""))</f>
        <v/>
      </c>
      <c r="O3851" s="525" t="str">
        <f>IF(AND($B3851&gt;='111'!$N$11,$B3851&lt;='111'!$O$11,OR($L3851=$O$7,$M3851=$O$7)),"x","")</f>
        <v/>
      </c>
      <c r="P3851" s="525" t="str">
        <f>IF(AND($L3851=$O$7,$B3851&lt;'111'!$N$11),"x","")</f>
        <v/>
      </c>
      <c r="Q3851" s="525" t="str">
        <f>IF(AND($M3851=$O$7,$B3851&lt;'111'!$N$11),"x","")</f>
        <v/>
      </c>
      <c r="R3851" s="525" t="str">
        <f>IF(ISERROR(FIND('112'!$M$9,G3851,1)),"",IF((AND(FIND('112'!$M$9,G3851,1)&gt;=1,$B3851&gt;='112'!$N$8,$B3851&lt;='112'!$O$8,OR($L3851='112'!$I$6,$M3851='112'!$I$6))),"x",""))</f>
        <v/>
      </c>
      <c r="S3851" s="525" t="str">
        <f>IF(ISERROR(FIND('112'!$M$9,G3851,1)),"",IF((AND(LEFT(G3851,2)=LEFT('112'!$M$9,2),B3851&lt;'112'!$N$8,$L3851='112'!$I$6)),"x",""))</f>
        <v/>
      </c>
      <c r="T3851" s="525" t="str">
        <f>IF(ISERROR(FIND('112'!$M$9,G3851,1)),"",IF((AND(RIGHT(G3851,2)=RIGHT('112'!$M$9,2),B3851&lt;'112'!$N$8,$M3851='112'!$I$6)),"x",""))</f>
        <v/>
      </c>
      <c r="U3851" s="525" t="str">
        <f>IF(AND(B3851&gt;='IN-NX'!$P$3,B3851&lt;='IN-NX'!$Q$3,'IN-NX'!$D$7=D3851,OR(LEFT(L3851,2)="15",AND(LEFT(M3851,2)&lt;&gt;"15",LEFT(M3851,2)&lt;&gt;"33"))),"x","")</f>
        <v/>
      </c>
      <c r="V3851" s="525" t="str">
        <f>IF(AND(OR(LEFT(TH!L3851,2)="15",LEFT(TH!M3851,2)="15"),'152-CT'!$J$8=TH!F3851),"x","")</f>
        <v/>
      </c>
      <c r="W3851" s="525" t="str">
        <f>IF(AND(OR(LEFT(TH!L3851,2)="15",LEFT(TH!M3851,2)="15"),TK!$E$7=TH!F3851),"x","")</f>
        <v/>
      </c>
      <c r="X3851" s="525" t="str">
        <f>IF(AND('341-CT'!$E$9=H3851,OR(LEFT(L3851,3)=$X$7,LEFT(M3851,3)=$X$7)),"x","")</f>
        <v/>
      </c>
      <c r="Y3851" s="525" t="str">
        <f>IF(OR(TH!L3851=TH!$Y$7,M3851=TH!$Y$7),"x","")</f>
        <v/>
      </c>
      <c r="Z3851" s="525" t="str">
        <f>IF(AND(B3851&lt;=NKC!$N$8,B3851&gt;=NKC!$M$8),"x","")</f>
        <v/>
      </c>
      <c r="AA3851" s="535"/>
      <c r="AB3851" s="536"/>
      <c r="AC3851" s="536" t="str">
        <f>VLOOKUP(F3851,NXT!$B$12:$B$686,1,0)</f>
        <v>Thùng 306x116x12</v>
      </c>
      <c r="AD3851" s="536"/>
    </row>
    <row r="3852" spans="1:30" s="503" customFormat="1" ht="15.75" customHeight="1">
      <c r="A3852" s="517" t="str">
        <f>IF(B3852&lt;&gt;"",IF(AND(B3852&gt;=_TM1,B3852&lt;=_TM2,OR(TH!L3852="1111",TH!M3852="1111")),TH!D3852,""),"")</f>
        <v/>
      </c>
      <c r="B3852" s="531">
        <f t="shared" si="446"/>
        <v>9</v>
      </c>
      <c r="C3852" s="315">
        <f t="shared" si="447"/>
        <v>43008</v>
      </c>
      <c r="D3852" s="544" t="s">
        <v>1181</v>
      </c>
      <c r="E3852" s="315">
        <v>43008</v>
      </c>
      <c r="F3852" s="250" t="s">
        <v>1644</v>
      </c>
      <c r="G3852" s="314" t="s">
        <v>1703</v>
      </c>
      <c r="H3852" s="473" t="s">
        <v>284</v>
      </c>
      <c r="I3852" s="307">
        <v>24</v>
      </c>
      <c r="J3852" s="307">
        <v>44995</v>
      </c>
      <c r="K3852" s="532">
        <f t="shared" si="448"/>
        <v>1079880</v>
      </c>
      <c r="L3852" s="534" t="s">
        <v>223</v>
      </c>
      <c r="M3852" s="534" t="s">
        <v>162</v>
      </c>
      <c r="N3852" s="525" t="str">
        <f>IF(AND('331-CT'!$E$7=TH!H3852,OR(L3852="331",M3852="331")),"331",IF(AND(OR(L3852="131",M3852="131"),H3852='131-CT'!$E$7),"131",""))</f>
        <v/>
      </c>
      <c r="O3852" s="525" t="str">
        <f>IF(AND($B3852&gt;='111'!$N$11,$B3852&lt;='111'!$O$11,OR($L3852=$O$7,$M3852=$O$7)),"x","")</f>
        <v/>
      </c>
      <c r="P3852" s="525" t="str">
        <f>IF(AND($L3852=$O$7,$B3852&lt;'111'!$N$11),"x","")</f>
        <v/>
      </c>
      <c r="Q3852" s="525" t="str">
        <f>IF(AND($M3852=$O$7,$B3852&lt;'111'!$N$11),"x","")</f>
        <v/>
      </c>
      <c r="R3852" s="525" t="str">
        <f>IF(ISERROR(FIND('112'!$M$9,G3852,1)),"",IF((AND(FIND('112'!$M$9,G3852,1)&gt;=1,$B3852&gt;='112'!$N$8,$B3852&lt;='112'!$O$8,OR($L3852='112'!$I$6,$M3852='112'!$I$6))),"x",""))</f>
        <v/>
      </c>
      <c r="S3852" s="525" t="str">
        <f>IF(ISERROR(FIND('112'!$M$9,G3852,1)),"",IF((AND(LEFT(G3852,2)=LEFT('112'!$M$9,2),B3852&lt;'112'!$N$8,$L3852='112'!$I$6)),"x",""))</f>
        <v/>
      </c>
      <c r="T3852" s="525" t="str">
        <f>IF(ISERROR(FIND('112'!$M$9,G3852,1)),"",IF((AND(RIGHT(G3852,2)=RIGHT('112'!$M$9,2),B3852&lt;'112'!$N$8,$M3852='112'!$I$6)),"x",""))</f>
        <v/>
      </c>
      <c r="U3852" s="525" t="str">
        <f>IF(AND(B3852&gt;='IN-NX'!$P$3,B3852&lt;='IN-NX'!$Q$3,'IN-NX'!$D$7=D3852,OR(LEFT(L3852,2)="15",AND(LEFT(M3852,2)&lt;&gt;"15",LEFT(M3852,2)&lt;&gt;"33"))),"x","")</f>
        <v/>
      </c>
      <c r="V3852" s="525" t="str">
        <f>IF(AND(OR(LEFT(TH!L3852,2)="15",LEFT(TH!M3852,2)="15"),'152-CT'!$J$8=TH!F3852),"x","")</f>
        <v/>
      </c>
      <c r="W3852" s="525" t="str">
        <f>IF(AND(OR(LEFT(TH!L3852,2)="15",LEFT(TH!M3852,2)="15"),TK!$E$7=TH!F3852),"x","")</f>
        <v/>
      </c>
      <c r="X3852" s="525" t="str">
        <f>IF(AND('341-CT'!$E$9=H3852,OR(LEFT(L3852,3)=$X$7,LEFT(M3852,3)=$X$7)),"x","")</f>
        <v/>
      </c>
      <c r="Y3852" s="525" t="str">
        <f>IF(OR(TH!L3852=TH!$Y$7,M3852=TH!$Y$7),"x","")</f>
        <v/>
      </c>
      <c r="Z3852" s="525" t="str">
        <f>IF(AND(B3852&lt;=NKC!$N$8,B3852&gt;=NKC!$M$8),"x","")</f>
        <v/>
      </c>
      <c r="AA3852" s="535"/>
      <c r="AB3852" s="536"/>
      <c r="AC3852" s="536" t="str">
        <f>VLOOKUP(F3852,NXT!$B$12:$B$686,1,0)</f>
        <v>Thùng 66x28x79</v>
      </c>
    </row>
    <row r="3853" spans="1:30" s="503" customFormat="1" ht="15.75" customHeight="1">
      <c r="A3853" s="517" t="str">
        <f>IF(B3853&lt;&gt;"",IF(AND(B3853&gt;=_TM1,B3853&lt;=_TM2,OR(TH!L3853="1111",TH!M3853="1111")),TH!D3853,""),"")</f>
        <v/>
      </c>
      <c r="B3853" s="531">
        <f t="shared" si="446"/>
        <v>9</v>
      </c>
      <c r="C3853" s="315">
        <f t="shared" si="447"/>
        <v>43008</v>
      </c>
      <c r="D3853" s="544" t="s">
        <v>1181</v>
      </c>
      <c r="E3853" s="315">
        <v>43008</v>
      </c>
      <c r="F3853" s="250" t="s">
        <v>1645</v>
      </c>
      <c r="G3853" s="314" t="s">
        <v>1703</v>
      </c>
      <c r="H3853" s="473" t="s">
        <v>284</v>
      </c>
      <c r="I3853" s="307">
        <v>10</v>
      </c>
      <c r="J3853" s="307">
        <v>153085</v>
      </c>
      <c r="K3853" s="532">
        <f t="shared" si="448"/>
        <v>1530850</v>
      </c>
      <c r="L3853" s="534" t="s">
        <v>223</v>
      </c>
      <c r="M3853" s="534" t="s">
        <v>162</v>
      </c>
      <c r="N3853" s="525" t="str">
        <f>IF(AND('331-CT'!$E$7=TH!H3853,OR(L3853="331",M3853="331")),"331",IF(AND(OR(L3853="131",M3853="131"),H3853='131-CT'!$E$7),"131",""))</f>
        <v/>
      </c>
      <c r="O3853" s="525" t="str">
        <f>IF(AND($B3853&gt;='111'!$N$11,$B3853&lt;='111'!$O$11,OR($L3853=$O$7,$M3853=$O$7)),"x","")</f>
        <v/>
      </c>
      <c r="P3853" s="525" t="str">
        <f>IF(AND($L3853=$O$7,$B3853&lt;'111'!$N$11),"x","")</f>
        <v/>
      </c>
      <c r="Q3853" s="525" t="str">
        <f>IF(AND($M3853=$O$7,$B3853&lt;'111'!$N$11),"x","")</f>
        <v/>
      </c>
      <c r="R3853" s="525" t="str">
        <f>IF(ISERROR(FIND('112'!$M$9,G3853,1)),"",IF((AND(FIND('112'!$M$9,G3853,1)&gt;=1,$B3853&gt;='112'!$N$8,$B3853&lt;='112'!$O$8,OR($L3853='112'!$I$6,$M3853='112'!$I$6))),"x",""))</f>
        <v/>
      </c>
      <c r="S3853" s="525" t="str">
        <f>IF(ISERROR(FIND('112'!$M$9,G3853,1)),"",IF((AND(LEFT(G3853,2)=LEFT('112'!$M$9,2),B3853&lt;'112'!$N$8,$L3853='112'!$I$6)),"x",""))</f>
        <v/>
      </c>
      <c r="T3853" s="525" t="str">
        <f>IF(ISERROR(FIND('112'!$M$9,G3853,1)),"",IF((AND(RIGHT(G3853,2)=RIGHT('112'!$M$9,2),B3853&lt;'112'!$N$8,$M3853='112'!$I$6)),"x",""))</f>
        <v/>
      </c>
      <c r="U3853" s="525" t="str">
        <f>IF(AND(B3853&gt;='IN-NX'!$P$3,B3853&lt;='IN-NX'!$Q$3,'IN-NX'!$D$7=D3853,OR(LEFT(L3853,2)="15",AND(LEFT(M3853,2)&lt;&gt;"15",LEFT(M3853,2)&lt;&gt;"33"))),"x","")</f>
        <v/>
      </c>
      <c r="V3853" s="525" t="str">
        <f>IF(AND(OR(LEFT(TH!L3853,2)="15",LEFT(TH!M3853,2)="15"),'152-CT'!$J$8=TH!F3853),"x","")</f>
        <v/>
      </c>
      <c r="W3853" s="525" t="str">
        <f>IF(AND(OR(LEFT(TH!L3853,2)="15",LEFT(TH!M3853,2)="15"),TK!$E$7=TH!F3853),"x","")</f>
        <v/>
      </c>
      <c r="X3853" s="525" t="str">
        <f>IF(AND('341-CT'!$E$9=H3853,OR(LEFT(L3853,3)=$X$7,LEFT(M3853,3)=$X$7)),"x","")</f>
        <v/>
      </c>
      <c r="Y3853" s="525" t="str">
        <f>IF(OR(TH!L3853=TH!$Y$7,M3853=TH!$Y$7),"x","")</f>
        <v/>
      </c>
      <c r="Z3853" s="525" t="str">
        <f>IF(AND(B3853&lt;=NKC!$N$8,B3853&gt;=NKC!$M$8),"x","")</f>
        <v/>
      </c>
      <c r="AA3853" s="535"/>
      <c r="AB3853" s="536"/>
      <c r="AC3853" s="536" t="str">
        <f>VLOOKUP(F3853,NXT!$B$12:$B$686,1,0)</f>
        <v>Thùng 143x93x55</v>
      </c>
      <c r="AD3853" s="536"/>
    </row>
    <row r="3854" spans="1:30" s="503" customFormat="1" ht="15.75" customHeight="1">
      <c r="A3854" s="517" t="str">
        <f>IF(B3854&lt;&gt;"",IF(AND(B3854&gt;=_TM1,B3854&lt;=_TM2,OR(TH!L3854="1111",TH!M3854="1111")),TH!D3854,""),"")</f>
        <v/>
      </c>
      <c r="B3854" s="531">
        <f t="shared" si="446"/>
        <v>9</v>
      </c>
      <c r="C3854" s="315">
        <f t="shared" si="447"/>
        <v>43008</v>
      </c>
      <c r="D3854" s="544" t="s">
        <v>1181</v>
      </c>
      <c r="E3854" s="315">
        <v>43008</v>
      </c>
      <c r="F3854" s="250" t="s">
        <v>1017</v>
      </c>
      <c r="G3854" s="314" t="s">
        <v>1703</v>
      </c>
      <c r="H3854" s="473" t="s">
        <v>284</v>
      </c>
      <c r="I3854" s="307">
        <v>8</v>
      </c>
      <c r="J3854" s="307">
        <v>129476</v>
      </c>
      <c r="K3854" s="532">
        <f t="shared" si="448"/>
        <v>1035808</v>
      </c>
      <c r="L3854" s="534" t="s">
        <v>223</v>
      </c>
      <c r="M3854" s="534" t="s">
        <v>162</v>
      </c>
      <c r="N3854" s="525" t="str">
        <f>IF(AND('331-CT'!$E$7=TH!H3854,OR(L3854="331",M3854="331")),"331",IF(AND(OR(L3854="131",M3854="131"),H3854='131-CT'!$E$7),"131",""))</f>
        <v/>
      </c>
      <c r="O3854" s="525" t="str">
        <f>IF(AND($B3854&gt;='111'!$N$11,$B3854&lt;='111'!$O$11,OR($L3854=$O$7,$M3854=$O$7)),"x","")</f>
        <v/>
      </c>
      <c r="P3854" s="525" t="str">
        <f>IF(AND($L3854=$O$7,$B3854&lt;'111'!$N$11),"x","")</f>
        <v/>
      </c>
      <c r="Q3854" s="525" t="str">
        <f>IF(AND($M3854=$O$7,$B3854&lt;'111'!$N$11),"x","")</f>
        <v/>
      </c>
      <c r="R3854" s="525" t="str">
        <f>IF(ISERROR(FIND('112'!$M$9,G3854,1)),"",IF((AND(FIND('112'!$M$9,G3854,1)&gt;=1,$B3854&gt;='112'!$N$8,$B3854&lt;='112'!$O$8,OR($L3854='112'!$I$6,$M3854='112'!$I$6))),"x",""))</f>
        <v/>
      </c>
      <c r="S3854" s="525" t="str">
        <f>IF(ISERROR(FIND('112'!$M$9,G3854,1)),"",IF((AND(LEFT(G3854,2)=LEFT('112'!$M$9,2),B3854&lt;'112'!$N$8,$L3854='112'!$I$6)),"x",""))</f>
        <v/>
      </c>
      <c r="T3854" s="525" t="str">
        <f>IF(ISERROR(FIND('112'!$M$9,G3854,1)),"",IF((AND(RIGHT(G3854,2)=RIGHT('112'!$M$9,2),B3854&lt;'112'!$N$8,$M3854='112'!$I$6)),"x",""))</f>
        <v/>
      </c>
      <c r="U3854" s="525" t="str">
        <f>IF(AND(B3854&gt;='IN-NX'!$P$3,B3854&lt;='IN-NX'!$Q$3,'IN-NX'!$D$7=D3854,OR(LEFT(L3854,2)="15",AND(LEFT(M3854,2)&lt;&gt;"15",LEFT(M3854,2)&lt;&gt;"33"))),"x","")</f>
        <v/>
      </c>
      <c r="V3854" s="525" t="str">
        <f>IF(AND(OR(LEFT(TH!L3854,2)="15",LEFT(TH!M3854,2)="15"),'152-CT'!$J$8=TH!F3854),"x","")</f>
        <v/>
      </c>
      <c r="W3854" s="525" t="str">
        <f>IF(AND(OR(LEFT(TH!L3854,2)="15",LEFT(TH!M3854,2)="15"),TK!$E$7=TH!F3854),"x","")</f>
        <v/>
      </c>
      <c r="X3854" s="525" t="str">
        <f>IF(AND('341-CT'!$E$9=H3854,OR(LEFT(L3854,3)=$X$7,LEFT(M3854,3)=$X$7)),"x","")</f>
        <v/>
      </c>
      <c r="Y3854" s="525" t="str">
        <f>IF(OR(TH!L3854=TH!$Y$7,M3854=TH!$Y$7),"x","")</f>
        <v/>
      </c>
      <c r="Z3854" s="525" t="str">
        <f>IF(AND(B3854&lt;=NKC!$N$8,B3854&gt;=NKC!$M$8),"x","")</f>
        <v/>
      </c>
      <c r="AA3854" s="535"/>
      <c r="AB3854" s="536"/>
      <c r="AC3854" s="536" t="str">
        <f>VLOOKUP(F3854,NXT!$B$12:$B$686,1,0)</f>
        <v>Thùng 135x80x50</v>
      </c>
      <c r="AD3854" s="536"/>
    </row>
    <row r="3855" spans="1:30" s="503" customFormat="1" ht="15.75" customHeight="1">
      <c r="A3855" s="517" t="str">
        <f>IF(B3855&lt;&gt;"",IF(AND(B3855&gt;=_TM1,B3855&lt;=_TM2,OR(TH!L3855="1111",TH!M3855="1111")),TH!D3855,""),"")</f>
        <v/>
      </c>
      <c r="B3855" s="531">
        <f t="shared" si="446"/>
        <v>9</v>
      </c>
      <c r="C3855" s="315">
        <f t="shared" si="447"/>
        <v>43008</v>
      </c>
      <c r="D3855" s="544" t="s">
        <v>1181</v>
      </c>
      <c r="E3855" s="315">
        <v>43008</v>
      </c>
      <c r="F3855" s="250" t="s">
        <v>612</v>
      </c>
      <c r="G3855" s="314" t="s">
        <v>1703</v>
      </c>
      <c r="H3855" s="473" t="s">
        <v>284</v>
      </c>
      <c r="I3855" s="307">
        <v>300</v>
      </c>
      <c r="J3855" s="307">
        <v>70357</v>
      </c>
      <c r="K3855" s="532">
        <f t="shared" si="448"/>
        <v>21107100</v>
      </c>
      <c r="L3855" s="534" t="s">
        <v>223</v>
      </c>
      <c r="M3855" s="534" t="s">
        <v>162</v>
      </c>
      <c r="N3855" s="525" t="str">
        <f>IF(AND('331-CT'!$E$7=TH!H3855,OR(L3855="331",M3855="331")),"331",IF(AND(OR(L3855="131",M3855="131"),H3855='131-CT'!$E$7),"131",""))</f>
        <v/>
      </c>
      <c r="O3855" s="525" t="str">
        <f>IF(AND($B3855&gt;='111'!$N$11,$B3855&lt;='111'!$O$11,OR($L3855=$O$7,$M3855=$O$7)),"x","")</f>
        <v/>
      </c>
      <c r="P3855" s="525" t="str">
        <f>IF(AND($L3855=$O$7,$B3855&lt;'111'!$N$11),"x","")</f>
        <v/>
      </c>
      <c r="Q3855" s="525" t="str">
        <f>IF(AND($M3855=$O$7,$B3855&lt;'111'!$N$11),"x","")</f>
        <v/>
      </c>
      <c r="R3855" s="525" t="str">
        <f>IF(ISERROR(FIND('112'!$M$9,G3855,1)),"",IF((AND(FIND('112'!$M$9,G3855,1)&gt;=1,$B3855&gt;='112'!$N$8,$B3855&lt;='112'!$O$8,OR($L3855='112'!$I$6,$M3855='112'!$I$6))),"x",""))</f>
        <v/>
      </c>
      <c r="S3855" s="525" t="str">
        <f>IF(ISERROR(FIND('112'!$M$9,G3855,1)),"",IF((AND(LEFT(G3855,2)=LEFT('112'!$M$9,2),B3855&lt;'112'!$N$8,$L3855='112'!$I$6)),"x",""))</f>
        <v/>
      </c>
      <c r="T3855" s="525" t="str">
        <f>IF(ISERROR(FIND('112'!$M$9,G3855,1)),"",IF((AND(RIGHT(G3855,2)=RIGHT('112'!$M$9,2),B3855&lt;'112'!$N$8,$M3855='112'!$I$6)),"x",""))</f>
        <v/>
      </c>
      <c r="U3855" s="525" t="str">
        <f>IF(AND(B3855&gt;='IN-NX'!$P$3,B3855&lt;='IN-NX'!$Q$3,'IN-NX'!$D$7=D3855,OR(LEFT(L3855,2)="15",AND(LEFT(M3855,2)&lt;&gt;"15",LEFT(M3855,2)&lt;&gt;"33"))),"x","")</f>
        <v/>
      </c>
      <c r="V3855" s="525" t="str">
        <f>IF(AND(OR(LEFT(TH!L3855,2)="15",LEFT(TH!M3855,2)="15"),'152-CT'!$J$8=TH!F3855),"x","")</f>
        <v/>
      </c>
      <c r="W3855" s="525" t="str">
        <f>IF(AND(OR(LEFT(TH!L3855,2)="15",LEFT(TH!M3855,2)="15"),TK!$E$7=TH!F3855),"x","")</f>
        <v/>
      </c>
      <c r="X3855" s="525" t="str">
        <f>IF(AND('341-CT'!$E$9=H3855,OR(LEFT(L3855,3)=$X$7,LEFT(M3855,3)=$X$7)),"x","")</f>
        <v/>
      </c>
      <c r="Y3855" s="525" t="str">
        <f>IF(OR(TH!L3855=TH!$Y$7,M3855=TH!$Y$7),"x","")</f>
        <v/>
      </c>
      <c r="Z3855" s="525" t="str">
        <f>IF(AND(B3855&lt;=NKC!$N$8,B3855&gt;=NKC!$M$8),"x","")</f>
        <v/>
      </c>
      <c r="AA3855" s="535"/>
      <c r="AB3855" s="536"/>
      <c r="AC3855" s="536" t="str">
        <f>VLOOKUP(F3855,NXT!$B$12:$B$686,1,0)</f>
        <v>Thùng 72x72x43</v>
      </c>
    </row>
    <row r="3856" spans="1:30" s="503" customFormat="1" ht="15.75" customHeight="1">
      <c r="A3856" s="517" t="str">
        <f>IF(B3856&lt;&gt;"",IF(AND(B3856&gt;=_TM1,B3856&lt;=_TM2,OR(TH!L3856="1111",TH!M3856="1111")),TH!D3856,""),"")</f>
        <v/>
      </c>
      <c r="B3856" s="531">
        <f t="shared" si="446"/>
        <v>9</v>
      </c>
      <c r="C3856" s="315">
        <f t="shared" si="447"/>
        <v>43008</v>
      </c>
      <c r="D3856" s="544" t="s">
        <v>1181</v>
      </c>
      <c r="E3856" s="315">
        <v>43008</v>
      </c>
      <c r="F3856" s="250" t="s">
        <v>611</v>
      </c>
      <c r="G3856" s="314" t="s">
        <v>1703</v>
      </c>
      <c r="H3856" s="473" t="s">
        <v>284</v>
      </c>
      <c r="I3856" s="307">
        <v>150</v>
      </c>
      <c r="J3856" s="307">
        <v>42339</v>
      </c>
      <c r="K3856" s="532">
        <f t="shared" si="448"/>
        <v>6350850</v>
      </c>
      <c r="L3856" s="534" t="s">
        <v>223</v>
      </c>
      <c r="M3856" s="534" t="s">
        <v>162</v>
      </c>
      <c r="N3856" s="525" t="str">
        <f>IF(AND('331-CT'!$E$7=TH!H3856,OR(L3856="331",M3856="331")),"331",IF(AND(OR(L3856="131",M3856="131"),H3856='131-CT'!$E$7),"131",""))</f>
        <v/>
      </c>
      <c r="O3856" s="525" t="str">
        <f>IF(AND($B3856&gt;='111'!$N$11,$B3856&lt;='111'!$O$11,OR($L3856=$O$7,$M3856=$O$7)),"x","")</f>
        <v/>
      </c>
      <c r="P3856" s="525" t="str">
        <f>IF(AND($L3856=$O$7,$B3856&lt;'111'!$N$11),"x","")</f>
        <v/>
      </c>
      <c r="Q3856" s="525" t="str">
        <f>IF(AND($M3856=$O$7,$B3856&lt;'111'!$N$11),"x","")</f>
        <v/>
      </c>
      <c r="R3856" s="525" t="str">
        <f>IF(ISERROR(FIND('112'!$M$9,G3856,1)),"",IF((AND(FIND('112'!$M$9,G3856,1)&gt;=1,$B3856&gt;='112'!$N$8,$B3856&lt;='112'!$O$8,OR($L3856='112'!$I$6,$M3856='112'!$I$6))),"x",""))</f>
        <v/>
      </c>
      <c r="S3856" s="525" t="str">
        <f>IF(ISERROR(FIND('112'!$M$9,G3856,1)),"",IF((AND(LEFT(G3856,2)=LEFT('112'!$M$9,2),B3856&lt;'112'!$N$8,$L3856='112'!$I$6)),"x",""))</f>
        <v/>
      </c>
      <c r="T3856" s="525" t="str">
        <f>IF(ISERROR(FIND('112'!$M$9,G3856,1)),"",IF((AND(RIGHT(G3856,2)=RIGHT('112'!$M$9,2),B3856&lt;'112'!$N$8,$M3856='112'!$I$6)),"x",""))</f>
        <v/>
      </c>
      <c r="U3856" s="525" t="str">
        <f>IF(AND(B3856&gt;='IN-NX'!$P$3,B3856&lt;='IN-NX'!$Q$3,'IN-NX'!$D$7=D3856,OR(LEFT(L3856,2)="15",AND(LEFT(M3856,2)&lt;&gt;"15",LEFT(M3856,2)&lt;&gt;"33"))),"x","")</f>
        <v/>
      </c>
      <c r="V3856" s="525" t="str">
        <f>IF(AND(OR(LEFT(TH!L3856,2)="15",LEFT(TH!M3856,2)="15"),'152-CT'!$J$8=TH!F3856),"x","")</f>
        <v/>
      </c>
      <c r="W3856" s="525" t="str">
        <f>IF(AND(OR(LEFT(TH!L3856,2)="15",LEFT(TH!M3856,2)="15"),TK!$E$7=TH!F3856),"x","")</f>
        <v/>
      </c>
      <c r="X3856" s="525" t="str">
        <f>IF(AND('341-CT'!$E$9=H3856,OR(LEFT(L3856,3)=$X$7,LEFT(M3856,3)=$X$7)),"x","")</f>
        <v/>
      </c>
      <c r="Y3856" s="525" t="str">
        <f>IF(OR(TH!L3856=TH!$Y$7,M3856=TH!$Y$7),"x","")</f>
        <v/>
      </c>
      <c r="Z3856" s="525" t="str">
        <f>IF(AND(B3856&lt;=NKC!$N$8,B3856&gt;=NKC!$M$8),"x","")</f>
        <v/>
      </c>
      <c r="AA3856" s="535"/>
      <c r="AB3856" s="536"/>
      <c r="AC3856" s="536" t="str">
        <f>VLOOKUP(F3856,NXT!$B$12:$B$686,1,0)</f>
        <v>Thùng 47x47x59</v>
      </c>
    </row>
    <row r="3857" spans="1:30" s="503" customFormat="1" ht="15.75" customHeight="1">
      <c r="A3857" s="517" t="str">
        <f>IF(B3857&lt;&gt;"",IF(AND(B3857&gt;=_TM1,B3857&lt;=_TM2,OR(TH!L3857="1111",TH!M3857="1111")),TH!D3857,""),"")</f>
        <v/>
      </c>
      <c r="B3857" s="531">
        <f t="shared" si="446"/>
        <v>9</v>
      </c>
      <c r="C3857" s="315">
        <f t="shared" si="447"/>
        <v>43008</v>
      </c>
      <c r="D3857" s="544" t="s">
        <v>1181</v>
      </c>
      <c r="E3857" s="315">
        <v>43008</v>
      </c>
      <c r="F3857" s="250" t="s">
        <v>1646</v>
      </c>
      <c r="G3857" s="314" t="s">
        <v>1703</v>
      </c>
      <c r="H3857" s="473" t="s">
        <v>284</v>
      </c>
      <c r="I3857" s="307">
        <v>24</v>
      </c>
      <c r="J3857" s="307">
        <v>43357</v>
      </c>
      <c r="K3857" s="532">
        <f t="shared" si="448"/>
        <v>1040568</v>
      </c>
      <c r="L3857" s="534" t="s">
        <v>223</v>
      </c>
      <c r="M3857" s="534" t="s">
        <v>162</v>
      </c>
      <c r="N3857" s="525" t="str">
        <f>IF(AND('331-CT'!$E$7=TH!H3857,OR(L3857="331",M3857="331")),"331",IF(AND(OR(L3857="131",M3857="131"),H3857='131-CT'!$E$7),"131",""))</f>
        <v/>
      </c>
      <c r="O3857" s="525" t="str">
        <f>IF(AND($B3857&gt;='111'!$N$11,$B3857&lt;='111'!$O$11,OR($L3857=$O$7,$M3857=$O$7)),"x","")</f>
        <v/>
      </c>
      <c r="P3857" s="525" t="str">
        <f>IF(AND($L3857=$O$7,$B3857&lt;'111'!$N$11),"x","")</f>
        <v/>
      </c>
      <c r="Q3857" s="525" t="str">
        <f>IF(AND($M3857=$O$7,$B3857&lt;'111'!$N$11),"x","")</f>
        <v/>
      </c>
      <c r="R3857" s="525" t="str">
        <f>IF(ISERROR(FIND('112'!$M$9,G3857,1)),"",IF((AND(FIND('112'!$M$9,G3857,1)&gt;=1,$B3857&gt;='112'!$N$8,$B3857&lt;='112'!$O$8,OR($L3857='112'!$I$6,$M3857='112'!$I$6))),"x",""))</f>
        <v/>
      </c>
      <c r="S3857" s="525" t="str">
        <f>IF(ISERROR(FIND('112'!$M$9,G3857,1)),"",IF((AND(LEFT(G3857,2)=LEFT('112'!$M$9,2),B3857&lt;'112'!$N$8,$L3857='112'!$I$6)),"x",""))</f>
        <v/>
      </c>
      <c r="T3857" s="525" t="str">
        <f>IF(ISERROR(FIND('112'!$M$9,G3857,1)),"",IF((AND(RIGHT(G3857,2)=RIGHT('112'!$M$9,2),B3857&lt;'112'!$N$8,$M3857='112'!$I$6)),"x",""))</f>
        <v/>
      </c>
      <c r="U3857" s="525" t="str">
        <f>IF(AND(B3857&gt;='IN-NX'!$P$3,B3857&lt;='IN-NX'!$Q$3,'IN-NX'!$D$7=D3857,OR(LEFT(L3857,2)="15",AND(LEFT(M3857,2)&lt;&gt;"15",LEFT(M3857,2)&lt;&gt;"33"))),"x","")</f>
        <v/>
      </c>
      <c r="V3857" s="525" t="str">
        <f>IF(AND(OR(LEFT(TH!L3857,2)="15",LEFT(TH!M3857,2)="15"),'152-CT'!$J$8=TH!F3857),"x","")</f>
        <v/>
      </c>
      <c r="W3857" s="525" t="str">
        <f>IF(AND(OR(LEFT(TH!L3857,2)="15",LEFT(TH!M3857,2)="15"),TK!$E$7=TH!F3857),"x","")</f>
        <v/>
      </c>
      <c r="X3857" s="525" t="str">
        <f>IF(AND('341-CT'!$E$9=H3857,OR(LEFT(L3857,3)=$X$7,LEFT(M3857,3)=$X$7)),"x","")</f>
        <v/>
      </c>
      <c r="Y3857" s="525" t="str">
        <f>IF(OR(TH!L3857=TH!$Y$7,M3857=TH!$Y$7),"x","")</f>
        <v/>
      </c>
      <c r="Z3857" s="525" t="str">
        <f>IF(AND(B3857&lt;=NKC!$N$8,B3857&gt;=NKC!$M$8),"x","")</f>
        <v/>
      </c>
      <c r="AA3857" s="535"/>
      <c r="AB3857" s="536"/>
      <c r="AC3857" s="536" t="str">
        <f>VLOOKUP(F3857,NXT!$B$12:$B$686,1,0)</f>
        <v>Thùng 48x32x89</v>
      </c>
    </row>
    <row r="3858" spans="1:30" s="503" customFormat="1" ht="15.75" customHeight="1">
      <c r="A3858" s="517" t="str">
        <f>IF(B3858&lt;&gt;"",IF(AND(B3858&gt;=_TM1,B3858&lt;=_TM2,OR(TH!L3858="1111",TH!M3858="1111")),TH!D3858,""),"")</f>
        <v/>
      </c>
      <c r="B3858" s="531">
        <f t="shared" si="446"/>
        <v>9</v>
      </c>
      <c r="C3858" s="315">
        <f t="shared" si="447"/>
        <v>43008</v>
      </c>
      <c r="D3858" s="544" t="s">
        <v>1181</v>
      </c>
      <c r="E3858" s="315">
        <v>43008</v>
      </c>
      <c r="F3858" s="250" t="s">
        <v>1395</v>
      </c>
      <c r="G3858" s="314" t="s">
        <v>1703</v>
      </c>
      <c r="H3858" s="473" t="s">
        <v>284</v>
      </c>
      <c r="I3858" s="307">
        <v>8</v>
      </c>
      <c r="J3858" s="307">
        <v>56011</v>
      </c>
      <c r="K3858" s="532">
        <f t="shared" si="448"/>
        <v>448088</v>
      </c>
      <c r="L3858" s="534" t="s">
        <v>223</v>
      </c>
      <c r="M3858" s="534" t="s">
        <v>162</v>
      </c>
      <c r="N3858" s="525" t="str">
        <f>IF(AND('331-CT'!$E$7=TH!H3858,OR(L3858="331",M3858="331")),"331",IF(AND(OR(L3858="131",M3858="131"),H3858='131-CT'!$E$7),"131",""))</f>
        <v/>
      </c>
      <c r="O3858" s="525" t="str">
        <f>IF(AND($B3858&gt;='111'!$N$11,$B3858&lt;='111'!$O$11,OR($L3858=$O$7,$M3858=$O$7)),"x","")</f>
        <v/>
      </c>
      <c r="P3858" s="525" t="str">
        <f>IF(AND($L3858=$O$7,$B3858&lt;'111'!$N$11),"x","")</f>
        <v/>
      </c>
      <c r="Q3858" s="525" t="str">
        <f>IF(AND($M3858=$O$7,$B3858&lt;'111'!$N$11),"x","")</f>
        <v/>
      </c>
      <c r="R3858" s="525" t="str">
        <f>IF(ISERROR(FIND('112'!$M$9,G3858,1)),"",IF((AND(FIND('112'!$M$9,G3858,1)&gt;=1,$B3858&gt;='112'!$N$8,$B3858&lt;='112'!$O$8,OR($L3858='112'!$I$6,$M3858='112'!$I$6))),"x",""))</f>
        <v/>
      </c>
      <c r="S3858" s="525" t="str">
        <f>IF(ISERROR(FIND('112'!$M$9,G3858,1)),"",IF((AND(LEFT(G3858,2)=LEFT('112'!$M$9,2),B3858&lt;'112'!$N$8,$L3858='112'!$I$6)),"x",""))</f>
        <v/>
      </c>
      <c r="T3858" s="525" t="str">
        <f>IF(ISERROR(FIND('112'!$M$9,G3858,1)),"",IF((AND(RIGHT(G3858,2)=RIGHT('112'!$M$9,2),B3858&lt;'112'!$N$8,$M3858='112'!$I$6)),"x",""))</f>
        <v/>
      </c>
      <c r="U3858" s="525" t="str">
        <f>IF(AND(B3858&gt;='IN-NX'!$P$3,B3858&lt;='IN-NX'!$Q$3,'IN-NX'!$D$7=D3858,OR(LEFT(L3858,2)="15",AND(LEFT(M3858,2)&lt;&gt;"15",LEFT(M3858,2)&lt;&gt;"33"))),"x","")</f>
        <v/>
      </c>
      <c r="V3858" s="525" t="str">
        <f>IF(AND(OR(LEFT(TH!L3858,2)="15",LEFT(TH!M3858,2)="15"),'152-CT'!$J$8=TH!F3858),"x","")</f>
        <v/>
      </c>
      <c r="W3858" s="525" t="str">
        <f>IF(AND(OR(LEFT(TH!L3858,2)="15",LEFT(TH!M3858,2)="15"),TK!$E$7=TH!F3858),"x","")</f>
        <v/>
      </c>
      <c r="X3858" s="525" t="str">
        <f>IF(AND('341-CT'!$E$9=H3858,OR(LEFT(L3858,3)=$X$7,LEFT(M3858,3)=$X$7)),"x","")</f>
        <v/>
      </c>
      <c r="Y3858" s="525" t="str">
        <f>IF(OR(TH!L3858=TH!$Y$7,M3858=TH!$Y$7),"x","")</f>
        <v/>
      </c>
      <c r="Z3858" s="525" t="str">
        <f>IF(AND(B3858&lt;=NKC!$N$8,B3858&gt;=NKC!$M$8),"x","")</f>
        <v/>
      </c>
      <c r="AA3858" s="535"/>
      <c r="AB3858" s="536"/>
      <c r="AC3858" s="536" t="str">
        <f>VLOOKUP(F3858,NXT!$B$12:$B$686,1,0)</f>
        <v>Thùng 52x52x61</v>
      </c>
      <c r="AD3858" s="536"/>
    </row>
    <row r="3859" spans="1:30" s="503" customFormat="1" ht="15.75" customHeight="1">
      <c r="A3859" s="517" t="str">
        <f>IF(B3859&lt;&gt;"",IF(AND(B3859&gt;=_TM1,B3859&lt;=_TM2,OR(TH!L3859="1111",TH!M3859="1111")),TH!D3859,""),"")</f>
        <v/>
      </c>
      <c r="B3859" s="531">
        <f t="shared" si="446"/>
        <v>9</v>
      </c>
      <c r="C3859" s="315">
        <f t="shared" si="447"/>
        <v>43008</v>
      </c>
      <c r="D3859" s="544" t="s">
        <v>1181</v>
      </c>
      <c r="E3859" s="315">
        <v>43008</v>
      </c>
      <c r="F3859" s="250" t="s">
        <v>1169</v>
      </c>
      <c r="G3859" s="314" t="s">
        <v>1703</v>
      </c>
      <c r="H3859" s="473" t="s">
        <v>284</v>
      </c>
      <c r="I3859" s="307">
        <v>28</v>
      </c>
      <c r="J3859" s="307">
        <v>72238</v>
      </c>
      <c r="K3859" s="532">
        <f t="shared" si="448"/>
        <v>2022664</v>
      </c>
      <c r="L3859" s="534" t="s">
        <v>223</v>
      </c>
      <c r="M3859" s="534" t="s">
        <v>162</v>
      </c>
      <c r="N3859" s="525" t="str">
        <f>IF(AND('331-CT'!$E$7=TH!H3859,OR(L3859="331",M3859="331")),"331",IF(AND(OR(L3859="131",M3859="131"),H3859='131-CT'!$E$7),"131",""))</f>
        <v/>
      </c>
      <c r="O3859" s="525" t="str">
        <f>IF(AND($B3859&gt;='111'!$N$11,$B3859&lt;='111'!$O$11,OR($L3859=$O$7,$M3859=$O$7)),"x","")</f>
        <v/>
      </c>
      <c r="P3859" s="525" t="str">
        <f>IF(AND($L3859=$O$7,$B3859&lt;'111'!$N$11),"x","")</f>
        <v/>
      </c>
      <c r="Q3859" s="525" t="str">
        <f>IF(AND($M3859=$O$7,$B3859&lt;'111'!$N$11),"x","")</f>
        <v/>
      </c>
      <c r="R3859" s="525" t="str">
        <f>IF(ISERROR(FIND('112'!$M$9,G3859,1)),"",IF((AND(FIND('112'!$M$9,G3859,1)&gt;=1,$B3859&gt;='112'!$N$8,$B3859&lt;='112'!$O$8,OR($L3859='112'!$I$6,$M3859='112'!$I$6))),"x",""))</f>
        <v/>
      </c>
      <c r="S3859" s="525" t="str">
        <f>IF(ISERROR(FIND('112'!$M$9,G3859,1)),"",IF((AND(LEFT(G3859,2)=LEFT('112'!$M$9,2),B3859&lt;'112'!$N$8,$L3859='112'!$I$6)),"x",""))</f>
        <v/>
      </c>
      <c r="T3859" s="525" t="str">
        <f>IF(ISERROR(FIND('112'!$M$9,G3859,1)),"",IF((AND(RIGHT(G3859,2)=RIGHT('112'!$M$9,2),B3859&lt;'112'!$N$8,$M3859='112'!$I$6)),"x",""))</f>
        <v/>
      </c>
      <c r="U3859" s="525" t="str">
        <f>IF(AND(B3859&gt;='IN-NX'!$P$3,B3859&lt;='IN-NX'!$Q$3,'IN-NX'!$D$7=D3859,OR(LEFT(L3859,2)="15",AND(LEFT(M3859,2)&lt;&gt;"15",LEFT(M3859,2)&lt;&gt;"33"))),"x","")</f>
        <v/>
      </c>
      <c r="V3859" s="525" t="str">
        <f>IF(AND(OR(LEFT(TH!L3859,2)="15",LEFT(TH!M3859,2)="15"),'152-CT'!$J$8=TH!F3859),"x","")</f>
        <v/>
      </c>
      <c r="W3859" s="525" t="str">
        <f>IF(AND(OR(LEFT(TH!L3859,2)="15",LEFT(TH!M3859,2)="15"),TK!$E$7=TH!F3859),"x","")</f>
        <v/>
      </c>
      <c r="X3859" s="525" t="str">
        <f>IF(AND('341-CT'!$E$9=H3859,OR(LEFT(L3859,3)=$X$7,LEFT(M3859,3)=$X$7)),"x","")</f>
        <v/>
      </c>
      <c r="Y3859" s="525" t="str">
        <f>IF(OR(TH!L3859=TH!$Y$7,M3859=TH!$Y$7),"x","")</f>
        <v/>
      </c>
      <c r="Z3859" s="525" t="str">
        <f>IF(AND(B3859&lt;=NKC!$N$8,B3859&gt;=NKC!$M$8),"x","")</f>
        <v/>
      </c>
      <c r="AA3859" s="535"/>
      <c r="AB3859" s="536"/>
      <c r="AC3859" s="536" t="str">
        <f>VLOOKUP(F3859,NXT!$B$12:$B$686,1,0)</f>
        <v>Thùng 62x62x68</v>
      </c>
    </row>
    <row r="3860" spans="1:30" s="503" customFormat="1" ht="15.75" customHeight="1">
      <c r="A3860" s="517" t="str">
        <f>IF(B3860&lt;&gt;"",IF(AND(B3860&gt;=_TM1,B3860&lt;=_TM2,OR(TH!L3860="1111",TH!M3860="1111")),TH!D3860,""),"")</f>
        <v/>
      </c>
      <c r="B3860" s="531">
        <f t="shared" si="446"/>
        <v>9</v>
      </c>
      <c r="C3860" s="315">
        <f t="shared" si="447"/>
        <v>43008</v>
      </c>
      <c r="D3860" s="544" t="s">
        <v>1181</v>
      </c>
      <c r="E3860" s="315">
        <v>43008</v>
      </c>
      <c r="F3860" s="250" t="s">
        <v>1647</v>
      </c>
      <c r="G3860" s="314" t="s">
        <v>1703</v>
      </c>
      <c r="H3860" s="473" t="s">
        <v>284</v>
      </c>
      <c r="I3860" s="307">
        <v>12</v>
      </c>
      <c r="J3860" s="307">
        <v>42663</v>
      </c>
      <c r="K3860" s="532">
        <f t="shared" si="448"/>
        <v>511956</v>
      </c>
      <c r="L3860" s="534" t="s">
        <v>223</v>
      </c>
      <c r="M3860" s="534" t="s">
        <v>162</v>
      </c>
      <c r="N3860" s="525" t="str">
        <f>IF(AND('331-CT'!$E$7=TH!H3860,OR(L3860="331",M3860="331")),"331",IF(AND(OR(L3860="131",M3860="131"),H3860='131-CT'!$E$7),"131",""))</f>
        <v/>
      </c>
      <c r="O3860" s="525" t="str">
        <f>IF(AND($B3860&gt;='111'!$N$11,$B3860&lt;='111'!$O$11,OR($L3860=$O$7,$M3860=$O$7)),"x","")</f>
        <v/>
      </c>
      <c r="P3860" s="525" t="str">
        <f>IF(AND($L3860=$O$7,$B3860&lt;'111'!$N$11),"x","")</f>
        <v/>
      </c>
      <c r="Q3860" s="525" t="str">
        <f>IF(AND($M3860=$O$7,$B3860&lt;'111'!$N$11),"x","")</f>
        <v/>
      </c>
      <c r="R3860" s="525" t="str">
        <f>IF(ISERROR(FIND('112'!$M$9,G3860,1)),"",IF((AND(FIND('112'!$M$9,G3860,1)&gt;=1,$B3860&gt;='112'!$N$8,$B3860&lt;='112'!$O$8,OR($L3860='112'!$I$6,$M3860='112'!$I$6))),"x",""))</f>
        <v/>
      </c>
      <c r="S3860" s="525" t="str">
        <f>IF(ISERROR(FIND('112'!$M$9,G3860,1)),"",IF((AND(LEFT(G3860,2)=LEFT('112'!$M$9,2),B3860&lt;'112'!$N$8,$L3860='112'!$I$6)),"x",""))</f>
        <v/>
      </c>
      <c r="T3860" s="525" t="str">
        <f>IF(ISERROR(FIND('112'!$M$9,G3860,1)),"",IF((AND(RIGHT(G3860,2)=RIGHT('112'!$M$9,2),B3860&lt;'112'!$N$8,$M3860='112'!$I$6)),"x",""))</f>
        <v/>
      </c>
      <c r="U3860" s="525" t="str">
        <f>IF(AND(B3860&gt;='IN-NX'!$P$3,B3860&lt;='IN-NX'!$Q$3,'IN-NX'!$D$7=D3860,OR(LEFT(L3860,2)="15",AND(LEFT(M3860,2)&lt;&gt;"15",LEFT(M3860,2)&lt;&gt;"33"))),"x","")</f>
        <v/>
      </c>
      <c r="V3860" s="525" t="str">
        <f>IF(AND(OR(LEFT(TH!L3860,2)="15",LEFT(TH!M3860,2)="15"),'152-CT'!$J$8=TH!F3860),"x","")</f>
        <v/>
      </c>
      <c r="W3860" s="525" t="str">
        <f>IF(AND(OR(LEFT(TH!L3860,2)="15",LEFT(TH!M3860,2)="15"),TK!$E$7=TH!F3860),"x","")</f>
        <v/>
      </c>
      <c r="X3860" s="525" t="str">
        <f>IF(AND('341-CT'!$E$9=H3860,OR(LEFT(L3860,3)=$X$7,LEFT(M3860,3)=$X$7)),"x","")</f>
        <v/>
      </c>
      <c r="Y3860" s="525" t="str">
        <f>IF(OR(TH!L3860=TH!$Y$7,M3860=TH!$Y$7),"x","")</f>
        <v/>
      </c>
      <c r="Z3860" s="525" t="str">
        <f>IF(AND(B3860&lt;=NKC!$N$8,B3860&gt;=NKC!$M$8),"x","")</f>
        <v/>
      </c>
      <c r="AA3860" s="535"/>
      <c r="AB3860" s="536"/>
      <c r="AC3860" s="536" t="str">
        <f>VLOOKUP(F3860,NXT!$B$12:$B$686,1,0)</f>
        <v>Thùng 64x54x25</v>
      </c>
      <c r="AD3860" s="536"/>
    </row>
    <row r="3861" spans="1:30" s="503" customFormat="1" ht="15.75" customHeight="1">
      <c r="A3861" s="517" t="str">
        <f>IF(B3861&lt;&gt;"",IF(AND(B3861&gt;=_TM1,B3861&lt;=_TM2,OR(TH!L3861="1111",TH!M3861="1111")),TH!D3861,""),"")</f>
        <v/>
      </c>
      <c r="B3861" s="531">
        <f t="shared" si="446"/>
        <v>9</v>
      </c>
      <c r="C3861" s="315">
        <f t="shared" si="447"/>
        <v>43008</v>
      </c>
      <c r="D3861" s="544" t="s">
        <v>1181</v>
      </c>
      <c r="E3861" s="315">
        <v>43008</v>
      </c>
      <c r="F3861" s="250" t="s">
        <v>1648</v>
      </c>
      <c r="G3861" s="314" t="s">
        <v>1703</v>
      </c>
      <c r="H3861" s="473" t="s">
        <v>284</v>
      </c>
      <c r="I3861" s="307">
        <v>6</v>
      </c>
      <c r="J3861" s="307">
        <v>99716</v>
      </c>
      <c r="K3861" s="532">
        <f t="shared" si="448"/>
        <v>598296</v>
      </c>
      <c r="L3861" s="534" t="s">
        <v>223</v>
      </c>
      <c r="M3861" s="534" t="s">
        <v>162</v>
      </c>
      <c r="N3861" s="525" t="str">
        <f>IF(AND('331-CT'!$E$7=TH!H3861,OR(L3861="331",M3861="331")),"331",IF(AND(OR(L3861="131",M3861="131"),H3861='131-CT'!$E$7),"131",""))</f>
        <v/>
      </c>
      <c r="O3861" s="525" t="str">
        <f>IF(AND($B3861&gt;='111'!$N$11,$B3861&lt;='111'!$O$11,OR($L3861=$O$7,$M3861=$O$7)),"x","")</f>
        <v/>
      </c>
      <c r="P3861" s="525" t="str">
        <f>IF(AND($L3861=$O$7,$B3861&lt;'111'!$N$11),"x","")</f>
        <v/>
      </c>
      <c r="Q3861" s="525" t="str">
        <f>IF(AND($M3861=$O$7,$B3861&lt;'111'!$N$11),"x","")</f>
        <v/>
      </c>
      <c r="R3861" s="525" t="str">
        <f>IF(ISERROR(FIND('112'!$M$9,G3861,1)),"",IF((AND(FIND('112'!$M$9,G3861,1)&gt;=1,$B3861&gt;='112'!$N$8,$B3861&lt;='112'!$O$8,OR($L3861='112'!$I$6,$M3861='112'!$I$6))),"x",""))</f>
        <v/>
      </c>
      <c r="S3861" s="525" t="str">
        <f>IF(ISERROR(FIND('112'!$M$9,G3861,1)),"",IF((AND(LEFT(G3861,2)=LEFT('112'!$M$9,2),B3861&lt;'112'!$N$8,$L3861='112'!$I$6)),"x",""))</f>
        <v/>
      </c>
      <c r="T3861" s="525" t="str">
        <f>IF(ISERROR(FIND('112'!$M$9,G3861,1)),"",IF((AND(RIGHT(G3861,2)=RIGHT('112'!$M$9,2),B3861&lt;'112'!$N$8,$M3861='112'!$I$6)),"x",""))</f>
        <v/>
      </c>
      <c r="U3861" s="525" t="str">
        <f>IF(AND(B3861&gt;='IN-NX'!$P$3,B3861&lt;='IN-NX'!$Q$3,'IN-NX'!$D$7=D3861,OR(LEFT(L3861,2)="15",AND(LEFT(M3861,2)&lt;&gt;"15",LEFT(M3861,2)&lt;&gt;"33"))),"x","")</f>
        <v/>
      </c>
      <c r="V3861" s="525" t="str">
        <f>IF(AND(OR(LEFT(TH!L3861,2)="15",LEFT(TH!M3861,2)="15"),'152-CT'!$J$8=TH!F3861),"x","")</f>
        <v/>
      </c>
      <c r="W3861" s="525" t="str">
        <f>IF(AND(OR(LEFT(TH!L3861,2)="15",LEFT(TH!M3861,2)="15"),TK!$E$7=TH!F3861),"x","")</f>
        <v/>
      </c>
      <c r="X3861" s="525" t="str">
        <f>IF(AND('341-CT'!$E$9=H3861,OR(LEFT(L3861,3)=$X$7,LEFT(M3861,3)=$X$7)),"x","")</f>
        <v/>
      </c>
      <c r="Y3861" s="525" t="str">
        <f>IF(OR(TH!L3861=TH!$Y$7,M3861=TH!$Y$7),"x","")</f>
        <v/>
      </c>
      <c r="Z3861" s="525" t="str">
        <f>IF(AND(B3861&lt;=NKC!$N$8,B3861&gt;=NKC!$M$8),"x","")</f>
        <v/>
      </c>
      <c r="AA3861" s="535"/>
      <c r="AB3861" s="536"/>
      <c r="AC3861" s="536" t="str">
        <f>VLOOKUP(F3861,NXT!$B$12:$B$686,1,0)</f>
        <v>Thùng 62x62x110</v>
      </c>
      <c r="AD3861" s="536"/>
    </row>
    <row r="3862" spans="1:30" s="503" customFormat="1" ht="15.75" customHeight="1">
      <c r="A3862" s="517" t="str">
        <f>IF(B3862&lt;&gt;"",IF(AND(B3862&gt;=_TM1,B3862&lt;=_TM2,OR(TH!L3862="1111",TH!M3862="1111")),TH!D3862,""),"")</f>
        <v/>
      </c>
      <c r="B3862" s="531">
        <f t="shared" si="442"/>
        <v>9</v>
      </c>
      <c r="C3862" s="315">
        <f t="shared" si="443"/>
        <v>43008</v>
      </c>
      <c r="D3862" s="544" t="s">
        <v>1181</v>
      </c>
      <c r="E3862" s="315">
        <v>43008</v>
      </c>
      <c r="F3862" s="250" t="s">
        <v>1649</v>
      </c>
      <c r="G3862" s="314" t="s">
        <v>1703</v>
      </c>
      <c r="H3862" s="473" t="s">
        <v>284</v>
      </c>
      <c r="I3862" s="307">
        <v>6</v>
      </c>
      <c r="J3862" s="307">
        <v>53407</v>
      </c>
      <c r="K3862" s="532">
        <f t="shared" ref="K3862:K3881" si="449">ROUND(I3862*J3862,0)</f>
        <v>320442</v>
      </c>
      <c r="L3862" s="534" t="s">
        <v>223</v>
      </c>
      <c r="M3862" s="534" t="s">
        <v>162</v>
      </c>
      <c r="N3862" s="525" t="str">
        <f>IF(AND('331-CT'!$E$7=TH!H3862,OR(L3862="331",M3862="331")),"331",IF(AND(OR(L3862="131",M3862="131"),H3862='131-CT'!$E$7),"131",""))</f>
        <v/>
      </c>
      <c r="O3862" s="525" t="str">
        <f>IF(AND($B3862&gt;='111'!$N$11,$B3862&lt;='111'!$O$11,OR($L3862=$O$7,$M3862=$O$7)),"x","")</f>
        <v/>
      </c>
      <c r="P3862" s="525" t="str">
        <f>IF(AND($L3862=$O$7,$B3862&lt;'111'!$N$11),"x","")</f>
        <v/>
      </c>
      <c r="Q3862" s="525" t="str">
        <f>IF(AND($M3862=$O$7,$B3862&lt;'111'!$N$11),"x","")</f>
        <v/>
      </c>
      <c r="R3862" s="525" t="str">
        <f>IF(ISERROR(FIND('112'!$M$9,G3862,1)),"",IF((AND(FIND('112'!$M$9,G3862,1)&gt;=1,$B3862&gt;='112'!$N$8,$B3862&lt;='112'!$O$8,OR($L3862='112'!$I$6,$M3862='112'!$I$6))),"x",""))</f>
        <v/>
      </c>
      <c r="S3862" s="525" t="str">
        <f>IF(ISERROR(FIND('112'!$M$9,G3862,1)),"",IF((AND(LEFT(G3862,2)=LEFT('112'!$M$9,2),B3862&lt;'112'!$N$8,$L3862='112'!$I$6)),"x",""))</f>
        <v/>
      </c>
      <c r="T3862" s="525" t="str">
        <f>IF(ISERROR(FIND('112'!$M$9,G3862,1)),"",IF((AND(RIGHT(G3862,2)=RIGHT('112'!$M$9,2),B3862&lt;'112'!$N$8,$M3862='112'!$I$6)),"x",""))</f>
        <v/>
      </c>
      <c r="U3862" s="525" t="str">
        <f>IF(AND(B3862&gt;='IN-NX'!$P$3,B3862&lt;='IN-NX'!$Q$3,'IN-NX'!$D$7=D3862,OR(LEFT(L3862,2)="15",AND(LEFT(M3862,2)&lt;&gt;"15",LEFT(M3862,2)&lt;&gt;"33"))),"x","")</f>
        <v/>
      </c>
      <c r="V3862" s="525" t="str">
        <f>IF(AND(OR(LEFT(TH!L3862,2)="15",LEFT(TH!M3862,2)="15"),'152-CT'!$J$8=TH!F3862),"x","")</f>
        <v/>
      </c>
      <c r="W3862" s="525" t="str">
        <f>IF(AND(OR(LEFT(TH!L3862,2)="15",LEFT(TH!M3862,2)="15"),TK!$E$7=TH!F3862),"x","")</f>
        <v/>
      </c>
      <c r="X3862" s="525" t="str">
        <f>IF(AND('341-CT'!$E$9=H3862,OR(LEFT(L3862,3)=$X$7,LEFT(M3862,3)=$X$7)),"x","")</f>
        <v/>
      </c>
      <c r="Y3862" s="525" t="str">
        <f>IF(OR(TH!L3862=TH!$Y$7,M3862=TH!$Y$7),"x","")</f>
        <v/>
      </c>
      <c r="Z3862" s="525" t="str">
        <f>IF(AND(B3862&lt;=NKC!$N$8,B3862&gt;=NKC!$M$8),"x","")</f>
        <v/>
      </c>
      <c r="AA3862" s="535"/>
      <c r="AB3862" s="536"/>
      <c r="AC3862" s="536" t="str">
        <f>VLOOKUP(F3862,NXT!$B$12:$B$686,1,0)</f>
        <v>Thùng 46x46x78</v>
      </c>
    </row>
    <row r="3863" spans="1:30" s="503" customFormat="1" ht="15.75" customHeight="1">
      <c r="A3863" s="517" t="str">
        <f>IF(B3863&lt;&gt;"",IF(AND(B3863&gt;=_TM1,B3863&lt;=_TM2,OR(TH!L3863="1111",TH!M3863="1111")),TH!D3863,""),"")</f>
        <v/>
      </c>
      <c r="B3863" s="531">
        <f t="shared" si="442"/>
        <v>9</v>
      </c>
      <c r="C3863" s="315">
        <f t="shared" si="443"/>
        <v>43008</v>
      </c>
      <c r="D3863" s="544" t="s">
        <v>1181</v>
      </c>
      <c r="E3863" s="315">
        <v>43008</v>
      </c>
      <c r="F3863" s="250" t="s">
        <v>1650</v>
      </c>
      <c r="G3863" s="314" t="s">
        <v>1703</v>
      </c>
      <c r="H3863" s="473" t="s">
        <v>284</v>
      </c>
      <c r="I3863" s="307">
        <v>18</v>
      </c>
      <c r="J3863" s="307">
        <v>86547</v>
      </c>
      <c r="K3863" s="532">
        <f t="shared" si="449"/>
        <v>1557846</v>
      </c>
      <c r="L3863" s="534" t="s">
        <v>223</v>
      </c>
      <c r="M3863" s="534" t="s">
        <v>162</v>
      </c>
      <c r="N3863" s="525" t="str">
        <f>IF(AND('331-CT'!$E$7=TH!H3863,OR(L3863="331",M3863="331")),"331",IF(AND(OR(L3863="131",M3863="131"),H3863='131-CT'!$E$7),"131",""))</f>
        <v/>
      </c>
      <c r="O3863" s="525" t="str">
        <f>IF(AND($B3863&gt;='111'!$N$11,$B3863&lt;='111'!$O$11,OR($L3863=$O$7,$M3863=$O$7)),"x","")</f>
        <v/>
      </c>
      <c r="P3863" s="525" t="str">
        <f>IF(AND($L3863=$O$7,$B3863&lt;'111'!$N$11),"x","")</f>
        <v/>
      </c>
      <c r="Q3863" s="525" t="str">
        <f>IF(AND($M3863=$O$7,$B3863&lt;'111'!$N$11),"x","")</f>
        <v/>
      </c>
      <c r="R3863" s="525" t="str">
        <f>IF(ISERROR(FIND('112'!$M$9,G3863,1)),"",IF((AND(FIND('112'!$M$9,G3863,1)&gt;=1,$B3863&gt;='112'!$N$8,$B3863&lt;='112'!$O$8,OR($L3863='112'!$I$6,$M3863='112'!$I$6))),"x",""))</f>
        <v/>
      </c>
      <c r="S3863" s="525" t="str">
        <f>IF(ISERROR(FIND('112'!$M$9,G3863,1)),"",IF((AND(LEFT(G3863,2)=LEFT('112'!$M$9,2),B3863&lt;'112'!$N$8,$L3863='112'!$I$6)),"x",""))</f>
        <v/>
      </c>
      <c r="T3863" s="525" t="str">
        <f>IF(ISERROR(FIND('112'!$M$9,G3863,1)),"",IF((AND(RIGHT(G3863,2)=RIGHT('112'!$M$9,2),B3863&lt;'112'!$N$8,$M3863='112'!$I$6)),"x",""))</f>
        <v/>
      </c>
      <c r="U3863" s="525" t="str">
        <f>IF(AND(B3863&gt;='IN-NX'!$P$3,B3863&lt;='IN-NX'!$Q$3,'IN-NX'!$D$7=D3863,OR(LEFT(L3863,2)="15",AND(LEFT(M3863,2)&lt;&gt;"15",LEFT(M3863,2)&lt;&gt;"33"))),"x","")</f>
        <v/>
      </c>
      <c r="V3863" s="525" t="str">
        <f>IF(AND(OR(LEFT(TH!L3863,2)="15",LEFT(TH!M3863,2)="15"),'152-CT'!$J$8=TH!F3863),"x","")</f>
        <v/>
      </c>
      <c r="W3863" s="525" t="str">
        <f>IF(AND(OR(LEFT(TH!L3863,2)="15",LEFT(TH!M3863,2)="15"),TK!$E$7=TH!F3863),"x","")</f>
        <v/>
      </c>
      <c r="X3863" s="525" t="str">
        <f>IF(AND('341-CT'!$E$9=H3863,OR(LEFT(L3863,3)=$X$7,LEFT(M3863,3)=$X$7)),"x","")</f>
        <v/>
      </c>
      <c r="Y3863" s="525" t="str">
        <f>IF(OR(TH!L3863=TH!$Y$7,M3863=TH!$Y$7),"x","")</f>
        <v/>
      </c>
      <c r="Z3863" s="525" t="str">
        <f>IF(AND(B3863&lt;=NKC!$N$8,B3863&gt;=NKC!$M$8),"x","")</f>
        <v/>
      </c>
      <c r="AA3863" s="535"/>
      <c r="AB3863" s="536"/>
      <c r="AC3863" s="536" t="str">
        <f>VLOOKUP(F3863,NXT!$B$12:$B$686,1,0)</f>
        <v>Thùng 52x52x134</v>
      </c>
    </row>
    <row r="3864" spans="1:30" s="503" customFormat="1" ht="15.75" customHeight="1">
      <c r="A3864" s="517" t="str">
        <f>IF(B3864&lt;&gt;"",IF(AND(B3864&gt;=_TM1,B3864&lt;=_TM2,OR(TH!L3864="1111",TH!M3864="1111")),TH!D3864,""),"")</f>
        <v/>
      </c>
      <c r="B3864" s="531">
        <f t="shared" si="442"/>
        <v>9</v>
      </c>
      <c r="C3864" s="315">
        <f t="shared" si="443"/>
        <v>43008</v>
      </c>
      <c r="D3864" s="544" t="s">
        <v>1181</v>
      </c>
      <c r="E3864" s="315">
        <v>43008</v>
      </c>
      <c r="F3864" s="250" t="s">
        <v>1660</v>
      </c>
      <c r="G3864" s="314" t="s">
        <v>1703</v>
      </c>
      <c r="H3864" s="473" t="s">
        <v>284</v>
      </c>
      <c r="I3864" s="307">
        <v>12</v>
      </c>
      <c r="J3864" s="307">
        <v>74243</v>
      </c>
      <c r="K3864" s="532">
        <f t="shared" si="449"/>
        <v>890916</v>
      </c>
      <c r="L3864" s="534" t="s">
        <v>223</v>
      </c>
      <c r="M3864" s="534" t="s">
        <v>162</v>
      </c>
      <c r="N3864" s="525" t="str">
        <f>IF(AND('331-CT'!$E$7=TH!H3864,OR(L3864="331",M3864="331")),"331",IF(AND(OR(L3864="131",M3864="131"),H3864='131-CT'!$E$7),"131",""))</f>
        <v/>
      </c>
      <c r="O3864" s="525" t="str">
        <f>IF(AND($B3864&gt;='111'!$N$11,$B3864&lt;='111'!$O$11,OR($L3864=$O$7,$M3864=$O$7)),"x","")</f>
        <v/>
      </c>
      <c r="P3864" s="525" t="str">
        <f>IF(AND($L3864=$O$7,$B3864&lt;'111'!$N$11),"x","")</f>
        <v/>
      </c>
      <c r="Q3864" s="525" t="str">
        <f>IF(AND($M3864=$O$7,$B3864&lt;'111'!$N$11),"x","")</f>
        <v/>
      </c>
      <c r="R3864" s="525" t="str">
        <f>IF(ISERROR(FIND('112'!$M$9,G3864,1)),"",IF((AND(FIND('112'!$M$9,G3864,1)&gt;=1,$B3864&gt;='112'!$N$8,$B3864&lt;='112'!$O$8,OR($L3864='112'!$I$6,$M3864='112'!$I$6))),"x",""))</f>
        <v/>
      </c>
      <c r="S3864" s="525" t="str">
        <f>IF(ISERROR(FIND('112'!$M$9,G3864,1)),"",IF((AND(LEFT(G3864,2)=LEFT('112'!$M$9,2),B3864&lt;'112'!$N$8,$L3864='112'!$I$6)),"x",""))</f>
        <v/>
      </c>
      <c r="T3864" s="525" t="str">
        <f>IF(ISERROR(FIND('112'!$M$9,G3864,1)),"",IF((AND(RIGHT(G3864,2)=RIGHT('112'!$M$9,2),B3864&lt;'112'!$N$8,$M3864='112'!$I$6)),"x",""))</f>
        <v/>
      </c>
      <c r="U3864" s="525" t="str">
        <f>IF(AND(B3864&gt;='IN-NX'!$P$3,B3864&lt;='IN-NX'!$Q$3,'IN-NX'!$D$7=D3864,OR(LEFT(L3864,2)="15",AND(LEFT(M3864,2)&lt;&gt;"15",LEFT(M3864,2)&lt;&gt;"33"))),"x","")</f>
        <v/>
      </c>
      <c r="V3864" s="525" t="str">
        <f>IF(AND(OR(LEFT(TH!L3864,2)="15",LEFT(TH!M3864,2)="15"),'152-CT'!$J$8=TH!F3864),"x","")</f>
        <v/>
      </c>
      <c r="W3864" s="525" t="str">
        <f>IF(AND(OR(LEFT(TH!L3864,2)="15",LEFT(TH!M3864,2)="15"),TK!$E$7=TH!F3864),"x","")</f>
        <v/>
      </c>
      <c r="X3864" s="525" t="str">
        <f>IF(AND('341-CT'!$E$9=H3864,OR(LEFT(L3864,3)=$X$7,LEFT(M3864,3)=$X$7)),"x","")</f>
        <v/>
      </c>
      <c r="Y3864" s="525" t="str">
        <f>IF(OR(TH!L3864=TH!$Y$7,M3864=TH!$Y$7),"x","")</f>
        <v/>
      </c>
      <c r="Z3864" s="525" t="str">
        <f>IF(AND(B3864&lt;=NKC!$N$8,B3864&gt;=NKC!$M$8),"x","")</f>
        <v/>
      </c>
      <c r="AA3864" s="535"/>
      <c r="AB3864" s="536"/>
      <c r="AC3864" s="536" t="str">
        <f>VLOOKUP(F3864,NXT!$B$12:$B$686,1,0)</f>
        <v>Thùng 52x52x107</v>
      </c>
    </row>
    <row r="3865" spans="1:30" s="503" customFormat="1" ht="15.75" customHeight="1">
      <c r="A3865" s="517" t="str">
        <f>IF(B3865&lt;&gt;"",IF(AND(B3865&gt;=_TM1,B3865&lt;=_TM2,OR(TH!L3865="1111",TH!M3865="1111")),TH!D3865,""),"")</f>
        <v/>
      </c>
      <c r="B3865" s="531">
        <f t="shared" si="442"/>
        <v>9</v>
      </c>
      <c r="C3865" s="315">
        <f t="shared" si="443"/>
        <v>43008</v>
      </c>
      <c r="D3865" s="544" t="s">
        <v>1181</v>
      </c>
      <c r="E3865" s="315">
        <v>43008</v>
      </c>
      <c r="F3865" s="250" t="s">
        <v>619</v>
      </c>
      <c r="G3865" s="314" t="s">
        <v>1703</v>
      </c>
      <c r="H3865" s="473" t="s">
        <v>284</v>
      </c>
      <c r="I3865" s="307">
        <v>72</v>
      </c>
      <c r="J3865" s="307">
        <v>31617</v>
      </c>
      <c r="K3865" s="532">
        <f t="shared" si="449"/>
        <v>2276424</v>
      </c>
      <c r="L3865" s="534" t="s">
        <v>223</v>
      </c>
      <c r="M3865" s="534" t="s">
        <v>162</v>
      </c>
      <c r="N3865" s="525" t="str">
        <f>IF(AND('331-CT'!$E$7=TH!H3865,OR(L3865="331",M3865="331")),"331",IF(AND(OR(L3865="131",M3865="131"),H3865='131-CT'!$E$7),"131",""))</f>
        <v/>
      </c>
      <c r="O3865" s="525" t="str">
        <f>IF(AND($B3865&gt;='111'!$N$11,$B3865&lt;='111'!$O$11,OR($L3865=$O$7,$M3865=$O$7)),"x","")</f>
        <v/>
      </c>
      <c r="P3865" s="525" t="str">
        <f>IF(AND($L3865=$O$7,$B3865&lt;'111'!$N$11),"x","")</f>
        <v/>
      </c>
      <c r="Q3865" s="525" t="str">
        <f>IF(AND($M3865=$O$7,$B3865&lt;'111'!$N$11),"x","")</f>
        <v/>
      </c>
      <c r="R3865" s="525" t="str">
        <f>IF(ISERROR(FIND('112'!$M$9,G3865,1)),"",IF((AND(FIND('112'!$M$9,G3865,1)&gt;=1,$B3865&gt;='112'!$N$8,$B3865&lt;='112'!$O$8,OR($L3865='112'!$I$6,$M3865='112'!$I$6))),"x",""))</f>
        <v/>
      </c>
      <c r="S3865" s="525" t="str">
        <f>IF(ISERROR(FIND('112'!$M$9,G3865,1)),"",IF((AND(LEFT(G3865,2)=LEFT('112'!$M$9,2),B3865&lt;'112'!$N$8,$L3865='112'!$I$6)),"x",""))</f>
        <v/>
      </c>
      <c r="T3865" s="525" t="str">
        <f>IF(ISERROR(FIND('112'!$M$9,G3865,1)),"",IF((AND(RIGHT(G3865,2)=RIGHT('112'!$M$9,2),B3865&lt;'112'!$N$8,$M3865='112'!$I$6)),"x",""))</f>
        <v/>
      </c>
      <c r="U3865" s="525" t="str">
        <f>IF(AND(B3865&gt;='IN-NX'!$P$3,B3865&lt;='IN-NX'!$Q$3,'IN-NX'!$D$7=D3865,OR(LEFT(L3865,2)="15",AND(LEFT(M3865,2)&lt;&gt;"15",LEFT(M3865,2)&lt;&gt;"33"))),"x","")</f>
        <v/>
      </c>
      <c r="V3865" s="525" t="str">
        <f>IF(AND(OR(LEFT(TH!L3865,2)="15",LEFT(TH!M3865,2)="15"),'152-CT'!$J$8=TH!F3865),"x","")</f>
        <v/>
      </c>
      <c r="W3865" s="525" t="str">
        <f>IF(AND(OR(LEFT(TH!L3865,2)="15",LEFT(TH!M3865,2)="15"),TK!$E$7=TH!F3865),"x","")</f>
        <v/>
      </c>
      <c r="X3865" s="525" t="str">
        <f>IF(AND('341-CT'!$E$9=H3865,OR(LEFT(L3865,3)=$X$7,LEFT(M3865,3)=$X$7)),"x","")</f>
        <v/>
      </c>
      <c r="Y3865" s="525" t="str">
        <f>IF(OR(TH!L3865=TH!$Y$7,M3865=TH!$Y$7),"x","")</f>
        <v/>
      </c>
      <c r="Z3865" s="525" t="str">
        <f>IF(AND(B3865&lt;=NKC!$N$8,B3865&gt;=NKC!$M$8),"x","")</f>
        <v/>
      </c>
      <c r="AA3865" s="535"/>
      <c r="AB3865" s="536"/>
      <c r="AC3865" s="536" t="str">
        <f>VLOOKUP(F3865,NXT!$B$12:$B$686,1,0)</f>
        <v>Thùng 40x40x52</v>
      </c>
      <c r="AD3865" s="536"/>
    </row>
    <row r="3866" spans="1:30" s="503" customFormat="1" ht="15.75" customHeight="1">
      <c r="A3866" s="517" t="str">
        <f>IF(B3866&lt;&gt;"",IF(AND(B3866&gt;=_TM1,B3866&lt;=_TM2,OR(TH!L3866="1111",TH!M3866="1111")),TH!D3866,""),"")</f>
        <v/>
      </c>
      <c r="B3866" s="531">
        <f t="shared" si="442"/>
        <v>9</v>
      </c>
      <c r="C3866" s="315">
        <f t="shared" si="443"/>
        <v>43008</v>
      </c>
      <c r="D3866" s="544" t="s">
        <v>1181</v>
      </c>
      <c r="E3866" s="315">
        <v>43008</v>
      </c>
      <c r="F3866" s="250" t="s">
        <v>1661</v>
      </c>
      <c r="G3866" s="314" t="s">
        <v>1703</v>
      </c>
      <c r="H3866" s="473" t="s">
        <v>284</v>
      </c>
      <c r="I3866" s="307">
        <v>14</v>
      </c>
      <c r="J3866" s="307">
        <v>77416</v>
      </c>
      <c r="K3866" s="532">
        <f t="shared" si="449"/>
        <v>1083824</v>
      </c>
      <c r="L3866" s="534" t="s">
        <v>223</v>
      </c>
      <c r="M3866" s="534" t="s">
        <v>162</v>
      </c>
      <c r="N3866" s="525" t="str">
        <f>IF(AND('331-CT'!$E$7=TH!H3866,OR(L3866="331",M3866="331")),"331",IF(AND(OR(L3866="131",M3866="131"),H3866='131-CT'!$E$7),"131",""))</f>
        <v/>
      </c>
      <c r="O3866" s="525" t="str">
        <f>IF(AND($B3866&gt;='111'!$N$11,$B3866&lt;='111'!$O$11,OR($L3866=$O$7,$M3866=$O$7)),"x","")</f>
        <v/>
      </c>
      <c r="P3866" s="525" t="str">
        <f>IF(AND($L3866=$O$7,$B3866&lt;'111'!$N$11),"x","")</f>
        <v/>
      </c>
      <c r="Q3866" s="525" t="str">
        <f>IF(AND($M3866=$O$7,$B3866&lt;'111'!$N$11),"x","")</f>
        <v/>
      </c>
      <c r="R3866" s="525" t="str">
        <f>IF(ISERROR(FIND('112'!$M$9,G3866,1)),"",IF((AND(FIND('112'!$M$9,G3866,1)&gt;=1,$B3866&gt;='112'!$N$8,$B3866&lt;='112'!$O$8,OR($L3866='112'!$I$6,$M3866='112'!$I$6))),"x",""))</f>
        <v/>
      </c>
      <c r="S3866" s="525" t="str">
        <f>IF(ISERROR(FIND('112'!$M$9,G3866,1)),"",IF((AND(LEFT(G3866,2)=LEFT('112'!$M$9,2),B3866&lt;'112'!$N$8,$L3866='112'!$I$6)),"x",""))</f>
        <v/>
      </c>
      <c r="T3866" s="525" t="str">
        <f>IF(ISERROR(FIND('112'!$M$9,G3866,1)),"",IF((AND(RIGHT(G3866,2)=RIGHT('112'!$M$9,2),B3866&lt;'112'!$N$8,$M3866='112'!$I$6)),"x",""))</f>
        <v/>
      </c>
      <c r="U3866" s="525" t="str">
        <f>IF(AND(B3866&gt;='IN-NX'!$P$3,B3866&lt;='IN-NX'!$Q$3,'IN-NX'!$D$7=D3866,OR(LEFT(L3866,2)="15",AND(LEFT(M3866,2)&lt;&gt;"15",LEFT(M3866,2)&lt;&gt;"33"))),"x","")</f>
        <v/>
      </c>
      <c r="V3866" s="525" t="str">
        <f>IF(AND(OR(LEFT(TH!L3866,2)="15",LEFT(TH!M3866,2)="15"),'152-CT'!$J$8=TH!F3866),"x","")</f>
        <v/>
      </c>
      <c r="W3866" s="525" t="str">
        <f>IF(AND(OR(LEFT(TH!L3866,2)="15",LEFT(TH!M3866,2)="15"),TK!$E$7=TH!F3866),"x","")</f>
        <v/>
      </c>
      <c r="X3866" s="525" t="str">
        <f>IF(AND('341-CT'!$E$9=H3866,OR(LEFT(L3866,3)=$X$7,LEFT(M3866,3)=$X$7)),"x","")</f>
        <v/>
      </c>
      <c r="Y3866" s="525" t="str">
        <f>IF(OR(TH!L3866=TH!$Y$7,M3866=TH!$Y$7),"x","")</f>
        <v/>
      </c>
      <c r="Z3866" s="525" t="str">
        <f>IF(AND(B3866&lt;=NKC!$N$8,B3866&gt;=NKC!$M$8),"x","")</f>
        <v/>
      </c>
      <c r="AA3866" s="535"/>
      <c r="AB3866" s="536"/>
      <c r="AC3866" s="536" t="str">
        <f>VLOOKUP(F3866,NXT!$B$12:$B$686,1,0)</f>
        <v>Thùng 145x45x46</v>
      </c>
    </row>
    <row r="3867" spans="1:30" s="503" customFormat="1" ht="15.75" customHeight="1">
      <c r="A3867" s="517" t="str">
        <f>IF(B3867&lt;&gt;"",IF(AND(B3867&gt;=_TM1,B3867&lt;=_TM2,OR(TH!L3867="1111",TH!M3867="1111")),TH!D3867,""),"")</f>
        <v/>
      </c>
      <c r="B3867" s="531">
        <f t="shared" si="442"/>
        <v>9</v>
      </c>
      <c r="C3867" s="315">
        <f t="shared" si="443"/>
        <v>43008</v>
      </c>
      <c r="D3867" s="544" t="s">
        <v>1181</v>
      </c>
      <c r="E3867" s="315">
        <v>43008</v>
      </c>
      <c r="F3867" s="250" t="s">
        <v>1389</v>
      </c>
      <c r="G3867" s="314" t="s">
        <v>1703</v>
      </c>
      <c r="H3867" s="473" t="s">
        <v>284</v>
      </c>
      <c r="I3867" s="307">
        <v>6</v>
      </c>
      <c r="J3867" s="307">
        <v>41141</v>
      </c>
      <c r="K3867" s="532">
        <f t="shared" si="449"/>
        <v>246846</v>
      </c>
      <c r="L3867" s="534" t="s">
        <v>223</v>
      </c>
      <c r="M3867" s="534" t="s">
        <v>162</v>
      </c>
      <c r="N3867" s="525" t="str">
        <f>IF(AND('331-CT'!$E$7=TH!H3867,OR(L3867="331",M3867="331")),"331",IF(AND(OR(L3867="131",M3867="131"),H3867='131-CT'!$E$7),"131",""))</f>
        <v/>
      </c>
      <c r="O3867" s="525" t="str">
        <f>IF(AND($B3867&gt;='111'!$N$11,$B3867&lt;='111'!$O$11,OR($L3867=$O$7,$M3867=$O$7)),"x","")</f>
        <v/>
      </c>
      <c r="P3867" s="525" t="str">
        <f>IF(AND($L3867=$O$7,$B3867&lt;'111'!$N$11),"x","")</f>
        <v/>
      </c>
      <c r="Q3867" s="525" t="str">
        <f>IF(AND($M3867=$O$7,$B3867&lt;'111'!$N$11),"x","")</f>
        <v/>
      </c>
      <c r="R3867" s="525" t="str">
        <f>IF(ISERROR(FIND('112'!$M$9,G3867,1)),"",IF((AND(FIND('112'!$M$9,G3867,1)&gt;=1,$B3867&gt;='112'!$N$8,$B3867&lt;='112'!$O$8,OR($L3867='112'!$I$6,$M3867='112'!$I$6))),"x",""))</f>
        <v/>
      </c>
      <c r="S3867" s="525" t="str">
        <f>IF(ISERROR(FIND('112'!$M$9,G3867,1)),"",IF((AND(LEFT(G3867,2)=LEFT('112'!$M$9,2),B3867&lt;'112'!$N$8,$L3867='112'!$I$6)),"x",""))</f>
        <v/>
      </c>
      <c r="T3867" s="525" t="str">
        <f>IF(ISERROR(FIND('112'!$M$9,G3867,1)),"",IF((AND(RIGHT(G3867,2)=RIGHT('112'!$M$9,2),B3867&lt;'112'!$N$8,$M3867='112'!$I$6)),"x",""))</f>
        <v/>
      </c>
      <c r="U3867" s="525" t="str">
        <f>IF(AND(B3867&gt;='IN-NX'!$P$3,B3867&lt;='IN-NX'!$Q$3,'IN-NX'!$D$7=D3867,OR(LEFT(L3867,2)="15",AND(LEFT(M3867,2)&lt;&gt;"15",LEFT(M3867,2)&lt;&gt;"33"))),"x","")</f>
        <v/>
      </c>
      <c r="V3867" s="525" t="str">
        <f>IF(AND(OR(LEFT(TH!L3867,2)="15",LEFT(TH!M3867,2)="15"),'152-CT'!$J$8=TH!F3867),"x","")</f>
        <v/>
      </c>
      <c r="W3867" s="525" t="str">
        <f>IF(AND(OR(LEFT(TH!L3867,2)="15",LEFT(TH!M3867,2)="15"),TK!$E$7=TH!F3867),"x","")</f>
        <v/>
      </c>
      <c r="X3867" s="525" t="str">
        <f>IF(AND('341-CT'!$E$9=H3867,OR(LEFT(L3867,3)=$X$7,LEFT(M3867,3)=$X$7)),"x","")</f>
        <v/>
      </c>
      <c r="Y3867" s="525" t="str">
        <f>IF(OR(TH!L3867=TH!$Y$7,M3867=TH!$Y$7),"x","")</f>
        <v/>
      </c>
      <c r="Z3867" s="525" t="str">
        <f>IF(AND(B3867&lt;=NKC!$N$8,B3867&gt;=NKC!$M$8),"x","")</f>
        <v/>
      </c>
      <c r="AA3867" s="535"/>
      <c r="AB3867" s="536"/>
      <c r="AC3867" s="536" t="str">
        <f>VLOOKUP(F3867,NXT!$B$12:$B$686,1,0)</f>
        <v>Thùng 55x55x79</v>
      </c>
      <c r="AD3867" s="536"/>
    </row>
    <row r="3868" spans="1:30" s="503" customFormat="1" ht="15.75" customHeight="1">
      <c r="A3868" s="517" t="str">
        <f>IF(B3868&lt;&gt;"",IF(AND(B3868&gt;=_TM1,B3868&lt;=_TM2,OR(TH!L3868="1111",TH!M3868="1111")),TH!D3868,""),"")</f>
        <v/>
      </c>
      <c r="B3868" s="531">
        <f t="shared" ref="B3868:B3881" si="450">IF(C3868&lt;&gt;"",MONTH(C3868),"")</f>
        <v>9</v>
      </c>
      <c r="C3868" s="315">
        <f t="shared" ref="C3868:C3881" si="451">E3868</f>
        <v>43008</v>
      </c>
      <c r="D3868" s="544" t="s">
        <v>1181</v>
      </c>
      <c r="E3868" s="315">
        <v>43008</v>
      </c>
      <c r="F3868" s="250" t="s">
        <v>1662</v>
      </c>
      <c r="G3868" s="314" t="s">
        <v>1703</v>
      </c>
      <c r="H3868" s="473" t="s">
        <v>284</v>
      </c>
      <c r="I3868" s="307">
        <v>2</v>
      </c>
      <c r="J3868" s="307">
        <v>64706</v>
      </c>
      <c r="K3868" s="532">
        <f t="shared" si="449"/>
        <v>129412</v>
      </c>
      <c r="L3868" s="534" t="s">
        <v>223</v>
      </c>
      <c r="M3868" s="534" t="s">
        <v>162</v>
      </c>
      <c r="N3868" s="525" t="str">
        <f>IF(AND('331-CT'!$E$7=TH!H3868,OR(L3868="331",M3868="331")),"331",IF(AND(OR(L3868="131",M3868="131"),H3868='131-CT'!$E$7),"131",""))</f>
        <v/>
      </c>
      <c r="O3868" s="525" t="str">
        <f>IF(AND($B3868&gt;='111'!$N$11,$B3868&lt;='111'!$O$11,OR($L3868=$O$7,$M3868=$O$7)),"x","")</f>
        <v/>
      </c>
      <c r="P3868" s="525" t="str">
        <f>IF(AND($L3868=$O$7,$B3868&lt;'111'!$N$11),"x","")</f>
        <v/>
      </c>
      <c r="Q3868" s="525" t="str">
        <f>IF(AND($M3868=$O$7,$B3868&lt;'111'!$N$11),"x","")</f>
        <v/>
      </c>
      <c r="R3868" s="525" t="str">
        <f>IF(ISERROR(FIND('112'!$M$9,G3868,1)),"",IF((AND(FIND('112'!$M$9,G3868,1)&gt;=1,$B3868&gt;='112'!$N$8,$B3868&lt;='112'!$O$8,OR($L3868='112'!$I$6,$M3868='112'!$I$6))),"x",""))</f>
        <v/>
      </c>
      <c r="S3868" s="525" t="str">
        <f>IF(ISERROR(FIND('112'!$M$9,G3868,1)),"",IF((AND(LEFT(G3868,2)=LEFT('112'!$M$9,2),B3868&lt;'112'!$N$8,$L3868='112'!$I$6)),"x",""))</f>
        <v/>
      </c>
      <c r="T3868" s="525" t="str">
        <f>IF(ISERROR(FIND('112'!$M$9,G3868,1)),"",IF((AND(RIGHT(G3868,2)=RIGHT('112'!$M$9,2),B3868&lt;'112'!$N$8,$M3868='112'!$I$6)),"x",""))</f>
        <v/>
      </c>
      <c r="U3868" s="525" t="str">
        <f>IF(AND(B3868&gt;='IN-NX'!$P$3,B3868&lt;='IN-NX'!$Q$3,'IN-NX'!$D$7=D3868,OR(LEFT(L3868,2)="15",AND(LEFT(M3868,2)&lt;&gt;"15",LEFT(M3868,2)&lt;&gt;"33"))),"x","")</f>
        <v/>
      </c>
      <c r="V3868" s="525" t="str">
        <f>IF(AND(OR(LEFT(TH!L3868,2)="15",LEFT(TH!M3868,2)="15"),'152-CT'!$J$8=TH!F3868),"x","")</f>
        <v/>
      </c>
      <c r="W3868" s="525" t="str">
        <f>IF(AND(OR(LEFT(TH!L3868,2)="15",LEFT(TH!M3868,2)="15"),TK!$E$7=TH!F3868),"x","")</f>
        <v/>
      </c>
      <c r="X3868" s="525" t="str">
        <f>IF(AND('341-CT'!$E$9=H3868,OR(LEFT(L3868,3)=$X$7,LEFT(M3868,3)=$X$7)),"x","")</f>
        <v/>
      </c>
      <c r="Y3868" s="525" t="str">
        <f>IF(OR(TH!L3868=TH!$Y$7,M3868=TH!$Y$7),"x","")</f>
        <v/>
      </c>
      <c r="Z3868" s="525" t="str">
        <f>IF(AND(B3868&lt;=NKC!$N$8,B3868&gt;=NKC!$M$8),"x","")</f>
        <v/>
      </c>
      <c r="AA3868" s="535"/>
      <c r="AB3868" s="536"/>
      <c r="AC3868" s="536" t="str">
        <f>VLOOKUP(F3868,NXT!$B$12:$B$686,1,0)</f>
        <v>Thùng 145x45x79</v>
      </c>
    </row>
    <row r="3869" spans="1:30" s="503" customFormat="1" ht="15.75" customHeight="1">
      <c r="A3869" s="517" t="str">
        <f>IF(B3869&lt;&gt;"",IF(AND(B3869&gt;=_TM1,B3869&lt;=_TM2,OR(TH!L3869="1111",TH!M3869="1111")),TH!D3869,""),"")</f>
        <v/>
      </c>
      <c r="B3869" s="531">
        <f t="shared" si="450"/>
        <v>9</v>
      </c>
      <c r="C3869" s="315">
        <f t="shared" si="451"/>
        <v>43008</v>
      </c>
      <c r="D3869" s="544" t="s">
        <v>1181</v>
      </c>
      <c r="E3869" s="315">
        <v>43008</v>
      </c>
      <c r="F3869" s="250" t="s">
        <v>1663</v>
      </c>
      <c r="G3869" s="314" t="s">
        <v>1703</v>
      </c>
      <c r="H3869" s="473" t="s">
        <v>284</v>
      </c>
      <c r="I3869" s="307">
        <v>6</v>
      </c>
      <c r="J3869" s="307">
        <v>101902</v>
      </c>
      <c r="K3869" s="532">
        <f t="shared" si="449"/>
        <v>611412</v>
      </c>
      <c r="L3869" s="534" t="s">
        <v>223</v>
      </c>
      <c r="M3869" s="534" t="s">
        <v>162</v>
      </c>
      <c r="N3869" s="525" t="str">
        <f>IF(AND('331-CT'!$E$7=TH!H3869,OR(L3869="331",M3869="331")),"331",IF(AND(OR(L3869="131",M3869="131"),H3869='131-CT'!$E$7),"131",""))</f>
        <v/>
      </c>
      <c r="O3869" s="525" t="str">
        <f>IF(AND($B3869&gt;='111'!$N$11,$B3869&lt;='111'!$O$11,OR($L3869=$O$7,$M3869=$O$7)),"x","")</f>
        <v/>
      </c>
      <c r="P3869" s="525" t="str">
        <f>IF(AND($L3869=$O$7,$B3869&lt;'111'!$N$11),"x","")</f>
        <v/>
      </c>
      <c r="Q3869" s="525" t="str">
        <f>IF(AND($M3869=$O$7,$B3869&lt;'111'!$N$11),"x","")</f>
        <v/>
      </c>
      <c r="R3869" s="525" t="str">
        <f>IF(ISERROR(FIND('112'!$M$9,G3869,1)),"",IF((AND(FIND('112'!$M$9,G3869,1)&gt;=1,$B3869&gt;='112'!$N$8,$B3869&lt;='112'!$O$8,OR($L3869='112'!$I$6,$M3869='112'!$I$6))),"x",""))</f>
        <v/>
      </c>
      <c r="S3869" s="525" t="str">
        <f>IF(ISERROR(FIND('112'!$M$9,G3869,1)),"",IF((AND(LEFT(G3869,2)=LEFT('112'!$M$9,2),B3869&lt;'112'!$N$8,$L3869='112'!$I$6)),"x",""))</f>
        <v/>
      </c>
      <c r="T3869" s="525" t="str">
        <f>IF(ISERROR(FIND('112'!$M$9,G3869,1)),"",IF((AND(RIGHT(G3869,2)=RIGHT('112'!$M$9,2),B3869&lt;'112'!$N$8,$M3869='112'!$I$6)),"x",""))</f>
        <v/>
      </c>
      <c r="U3869" s="525" t="str">
        <f>IF(AND(B3869&gt;='IN-NX'!$P$3,B3869&lt;='IN-NX'!$Q$3,'IN-NX'!$D$7=D3869,OR(LEFT(L3869,2)="15",AND(LEFT(M3869,2)&lt;&gt;"15",LEFT(M3869,2)&lt;&gt;"33"))),"x","")</f>
        <v/>
      </c>
      <c r="V3869" s="525" t="str">
        <f>IF(AND(OR(LEFT(TH!L3869,2)="15",LEFT(TH!M3869,2)="15"),'152-CT'!$J$8=TH!F3869),"x","")</f>
        <v/>
      </c>
      <c r="W3869" s="525" t="str">
        <f>IF(AND(OR(LEFT(TH!L3869,2)="15",LEFT(TH!M3869,2)="15"),TK!$E$7=TH!F3869),"x","")</f>
        <v/>
      </c>
      <c r="X3869" s="525" t="str">
        <f>IF(AND('341-CT'!$E$9=H3869,OR(LEFT(L3869,3)=$X$7,LEFT(M3869,3)=$X$7)),"x","")</f>
        <v/>
      </c>
      <c r="Y3869" s="525" t="str">
        <f>IF(OR(TH!L3869=TH!$Y$7,M3869=TH!$Y$7),"x","")</f>
        <v/>
      </c>
      <c r="Z3869" s="525" t="str">
        <f>IF(AND(B3869&lt;=NKC!$N$8,B3869&gt;=NKC!$M$8),"x","")</f>
        <v/>
      </c>
      <c r="AA3869" s="535"/>
      <c r="AB3869" s="536"/>
      <c r="AC3869" s="536" t="str">
        <f>VLOOKUP(F3869,NXT!$B$12:$B$686,1,0)</f>
        <v>Thùng 206x106x14</v>
      </c>
    </row>
    <row r="3870" spans="1:30" s="503" customFormat="1" ht="15.75" customHeight="1">
      <c r="A3870" s="517" t="str">
        <f>IF(B3870&lt;&gt;"",IF(AND(B3870&gt;=_TM1,B3870&lt;=_TM2,OR(TH!L3870="1111",TH!M3870="1111")),TH!D3870,""),"")</f>
        <v/>
      </c>
      <c r="B3870" s="531">
        <f t="shared" si="450"/>
        <v>9</v>
      </c>
      <c r="C3870" s="315">
        <f t="shared" si="451"/>
        <v>43008</v>
      </c>
      <c r="D3870" s="544" t="s">
        <v>1181</v>
      </c>
      <c r="E3870" s="315">
        <v>43008</v>
      </c>
      <c r="F3870" s="250" t="s">
        <v>1664</v>
      </c>
      <c r="G3870" s="314" t="s">
        <v>1703</v>
      </c>
      <c r="H3870" s="473" t="s">
        <v>284</v>
      </c>
      <c r="I3870" s="307">
        <v>6</v>
      </c>
      <c r="J3870" s="307">
        <v>58070</v>
      </c>
      <c r="K3870" s="532">
        <f t="shared" si="449"/>
        <v>348420</v>
      </c>
      <c r="L3870" s="534" t="s">
        <v>223</v>
      </c>
      <c r="M3870" s="534" t="s">
        <v>162</v>
      </c>
      <c r="N3870" s="525" t="str">
        <f>IF(AND('331-CT'!$E$7=TH!H3870,OR(L3870="331",M3870="331")),"331",IF(AND(OR(L3870="131",M3870="131"),H3870='131-CT'!$E$7),"131",""))</f>
        <v/>
      </c>
      <c r="O3870" s="525" t="str">
        <f>IF(AND($B3870&gt;='111'!$N$11,$B3870&lt;='111'!$O$11,OR($L3870=$O$7,$M3870=$O$7)),"x","")</f>
        <v/>
      </c>
      <c r="P3870" s="525" t="str">
        <f>IF(AND($L3870=$O$7,$B3870&lt;'111'!$N$11),"x","")</f>
        <v/>
      </c>
      <c r="Q3870" s="525" t="str">
        <f>IF(AND($M3870=$O$7,$B3870&lt;'111'!$N$11),"x","")</f>
        <v/>
      </c>
      <c r="R3870" s="525" t="str">
        <f>IF(ISERROR(FIND('112'!$M$9,G3870,1)),"",IF((AND(FIND('112'!$M$9,G3870,1)&gt;=1,$B3870&gt;='112'!$N$8,$B3870&lt;='112'!$O$8,OR($L3870='112'!$I$6,$M3870='112'!$I$6))),"x",""))</f>
        <v/>
      </c>
      <c r="S3870" s="525" t="str">
        <f>IF(ISERROR(FIND('112'!$M$9,G3870,1)),"",IF((AND(LEFT(G3870,2)=LEFT('112'!$M$9,2),B3870&lt;'112'!$N$8,$L3870='112'!$I$6)),"x",""))</f>
        <v/>
      </c>
      <c r="T3870" s="525" t="str">
        <f>IF(ISERROR(FIND('112'!$M$9,G3870,1)),"",IF((AND(RIGHT(G3870,2)=RIGHT('112'!$M$9,2),B3870&lt;'112'!$N$8,$M3870='112'!$I$6)),"x",""))</f>
        <v/>
      </c>
      <c r="U3870" s="525" t="str">
        <f>IF(AND(B3870&gt;='IN-NX'!$P$3,B3870&lt;='IN-NX'!$Q$3,'IN-NX'!$D$7=D3870,OR(LEFT(L3870,2)="15",AND(LEFT(M3870,2)&lt;&gt;"15",LEFT(M3870,2)&lt;&gt;"33"))),"x","")</f>
        <v/>
      </c>
      <c r="V3870" s="525" t="str">
        <f>IF(AND(OR(LEFT(TH!L3870,2)="15",LEFT(TH!M3870,2)="15"),'152-CT'!$J$8=TH!F3870),"x","")</f>
        <v/>
      </c>
      <c r="W3870" s="525" t="str">
        <f>IF(AND(OR(LEFT(TH!L3870,2)="15",LEFT(TH!M3870,2)="15"),TK!$E$7=TH!F3870),"x","")</f>
        <v/>
      </c>
      <c r="X3870" s="525" t="str">
        <f>IF(AND('341-CT'!$E$9=H3870,OR(LEFT(L3870,3)=$X$7,LEFT(M3870,3)=$X$7)),"x","")</f>
        <v/>
      </c>
      <c r="Y3870" s="525" t="str">
        <f>IF(OR(TH!L3870=TH!$Y$7,M3870=TH!$Y$7),"x","")</f>
        <v/>
      </c>
      <c r="Z3870" s="525" t="str">
        <f>IF(AND(B3870&lt;=NKC!$N$8,B3870&gt;=NKC!$M$8),"x","")</f>
        <v/>
      </c>
      <c r="AA3870" s="535"/>
      <c r="AB3870" s="536"/>
      <c r="AC3870" s="536" t="str">
        <f>VLOOKUP(F3870,NXT!$B$12:$B$686,1,0)</f>
        <v>Thùng 125x45x79</v>
      </c>
    </row>
    <row r="3871" spans="1:30" s="503" customFormat="1" ht="15.75" customHeight="1">
      <c r="A3871" s="517" t="str">
        <f>IF(B3871&lt;&gt;"",IF(AND(B3871&gt;=_TM1,B3871&lt;=_TM2,OR(TH!L3871="1111",TH!M3871="1111")),TH!D3871,""),"")</f>
        <v/>
      </c>
      <c r="B3871" s="531">
        <f t="shared" si="450"/>
        <v>9</v>
      </c>
      <c r="C3871" s="315">
        <f t="shared" si="451"/>
        <v>43008</v>
      </c>
      <c r="D3871" s="544" t="s">
        <v>1181</v>
      </c>
      <c r="E3871" s="315">
        <v>43008</v>
      </c>
      <c r="F3871" s="250" t="s">
        <v>1392</v>
      </c>
      <c r="G3871" s="314" t="s">
        <v>1703</v>
      </c>
      <c r="H3871" s="473" t="s">
        <v>284</v>
      </c>
      <c r="I3871" s="307">
        <v>3</v>
      </c>
      <c r="J3871" s="307">
        <v>90729</v>
      </c>
      <c r="K3871" s="532">
        <f t="shared" si="449"/>
        <v>272187</v>
      </c>
      <c r="L3871" s="534" t="s">
        <v>223</v>
      </c>
      <c r="M3871" s="534" t="s">
        <v>162</v>
      </c>
      <c r="N3871" s="525" t="str">
        <f>IF(AND('331-CT'!$E$7=TH!H3871,OR(L3871="331",M3871="331")),"331",IF(AND(OR(L3871="131",M3871="131"),H3871='131-CT'!$E$7),"131",""))</f>
        <v/>
      </c>
      <c r="O3871" s="525" t="str">
        <f>IF(AND($B3871&gt;='111'!$N$11,$B3871&lt;='111'!$O$11,OR($L3871=$O$7,$M3871=$O$7)),"x","")</f>
        <v/>
      </c>
      <c r="P3871" s="525" t="str">
        <f>IF(AND($L3871=$O$7,$B3871&lt;'111'!$N$11),"x","")</f>
        <v/>
      </c>
      <c r="Q3871" s="525" t="str">
        <f>IF(AND($M3871=$O$7,$B3871&lt;'111'!$N$11),"x","")</f>
        <v/>
      </c>
      <c r="R3871" s="525" t="str">
        <f>IF(ISERROR(FIND('112'!$M$9,G3871,1)),"",IF((AND(FIND('112'!$M$9,G3871,1)&gt;=1,$B3871&gt;='112'!$N$8,$B3871&lt;='112'!$O$8,OR($L3871='112'!$I$6,$M3871='112'!$I$6))),"x",""))</f>
        <v/>
      </c>
      <c r="S3871" s="525" t="str">
        <f>IF(ISERROR(FIND('112'!$M$9,G3871,1)),"",IF((AND(LEFT(G3871,2)=LEFT('112'!$M$9,2),B3871&lt;'112'!$N$8,$L3871='112'!$I$6)),"x",""))</f>
        <v/>
      </c>
      <c r="T3871" s="525" t="str">
        <f>IF(ISERROR(FIND('112'!$M$9,G3871,1)),"",IF((AND(RIGHT(G3871,2)=RIGHT('112'!$M$9,2),B3871&lt;'112'!$N$8,$M3871='112'!$I$6)),"x",""))</f>
        <v/>
      </c>
      <c r="U3871" s="525" t="str">
        <f>IF(AND(B3871&gt;='IN-NX'!$P$3,B3871&lt;='IN-NX'!$Q$3,'IN-NX'!$D$7=D3871,OR(LEFT(L3871,2)="15",AND(LEFT(M3871,2)&lt;&gt;"15",LEFT(M3871,2)&lt;&gt;"33"))),"x","")</f>
        <v/>
      </c>
      <c r="V3871" s="525" t="str">
        <f>IF(AND(OR(LEFT(TH!L3871,2)="15",LEFT(TH!M3871,2)="15"),'152-CT'!$J$8=TH!F3871),"x","")</f>
        <v/>
      </c>
      <c r="W3871" s="525" t="str">
        <f>IF(AND(OR(LEFT(TH!L3871,2)="15",LEFT(TH!M3871,2)="15"),TK!$E$7=TH!F3871),"x","")</f>
        <v/>
      </c>
      <c r="X3871" s="525" t="str">
        <f>IF(AND('341-CT'!$E$9=H3871,OR(LEFT(L3871,3)=$X$7,LEFT(M3871,3)=$X$7)),"x","")</f>
        <v/>
      </c>
      <c r="Y3871" s="525" t="str">
        <f>IF(OR(TH!L3871=TH!$Y$7,M3871=TH!$Y$7),"x","")</f>
        <v/>
      </c>
      <c r="Z3871" s="525" t="str">
        <f>IF(AND(B3871&lt;=NKC!$N$8,B3871&gt;=NKC!$M$8),"x","")</f>
        <v/>
      </c>
      <c r="AA3871" s="535"/>
      <c r="AB3871" s="536"/>
      <c r="AC3871" s="536" t="str">
        <f>VLOOKUP(F3871,NXT!$B$12:$B$686,1,0)</f>
        <v>Thùng 206x96x14</v>
      </c>
      <c r="AD3871" s="536"/>
    </row>
    <row r="3872" spans="1:30" s="503" customFormat="1" ht="15.75" customHeight="1">
      <c r="A3872" s="517" t="str">
        <f>IF(B3872&lt;&gt;"",IF(AND(B3872&gt;=_TM1,B3872&lt;=_TM2,OR(TH!L3872="1111",TH!M3872="1111")),TH!D3872,""),"")</f>
        <v/>
      </c>
      <c r="B3872" s="531">
        <f t="shared" si="450"/>
        <v>9</v>
      </c>
      <c r="C3872" s="315">
        <f t="shared" si="451"/>
        <v>43008</v>
      </c>
      <c r="D3872" s="544" t="s">
        <v>1181</v>
      </c>
      <c r="E3872" s="315">
        <v>43008</v>
      </c>
      <c r="F3872" s="250" t="s">
        <v>1665</v>
      </c>
      <c r="G3872" s="314" t="s">
        <v>1703</v>
      </c>
      <c r="H3872" s="473" t="s">
        <v>284</v>
      </c>
      <c r="I3872" s="307">
        <v>27</v>
      </c>
      <c r="J3872" s="307">
        <v>148292</v>
      </c>
      <c r="K3872" s="532">
        <f t="shared" si="449"/>
        <v>4003884</v>
      </c>
      <c r="L3872" s="534" t="s">
        <v>223</v>
      </c>
      <c r="M3872" s="534" t="s">
        <v>162</v>
      </c>
      <c r="N3872" s="525" t="str">
        <f>IF(AND('331-CT'!$E$7=TH!H3872,OR(L3872="331",M3872="331")),"331",IF(AND(OR(L3872="131",M3872="131"),H3872='131-CT'!$E$7),"131",""))</f>
        <v/>
      </c>
      <c r="O3872" s="525" t="str">
        <f>IF(AND($B3872&gt;='111'!$N$11,$B3872&lt;='111'!$O$11,OR($L3872=$O$7,$M3872=$O$7)),"x","")</f>
        <v/>
      </c>
      <c r="P3872" s="525" t="str">
        <f>IF(AND($L3872=$O$7,$B3872&lt;'111'!$N$11),"x","")</f>
        <v/>
      </c>
      <c r="Q3872" s="525" t="str">
        <f>IF(AND($M3872=$O$7,$B3872&lt;'111'!$N$11),"x","")</f>
        <v/>
      </c>
      <c r="R3872" s="525" t="str">
        <f>IF(ISERROR(FIND('112'!$M$9,G3872,1)),"",IF((AND(FIND('112'!$M$9,G3872,1)&gt;=1,$B3872&gt;='112'!$N$8,$B3872&lt;='112'!$O$8,OR($L3872='112'!$I$6,$M3872='112'!$I$6))),"x",""))</f>
        <v/>
      </c>
      <c r="S3872" s="525" t="str">
        <f>IF(ISERROR(FIND('112'!$M$9,G3872,1)),"",IF((AND(LEFT(G3872,2)=LEFT('112'!$M$9,2),B3872&lt;'112'!$N$8,$L3872='112'!$I$6)),"x",""))</f>
        <v/>
      </c>
      <c r="T3872" s="525" t="str">
        <f>IF(ISERROR(FIND('112'!$M$9,G3872,1)),"",IF((AND(RIGHT(G3872,2)=RIGHT('112'!$M$9,2),B3872&lt;'112'!$N$8,$M3872='112'!$I$6)),"x",""))</f>
        <v/>
      </c>
      <c r="U3872" s="525" t="str">
        <f>IF(AND(B3872&gt;='IN-NX'!$P$3,B3872&lt;='IN-NX'!$Q$3,'IN-NX'!$D$7=D3872,OR(LEFT(L3872,2)="15",AND(LEFT(M3872,2)&lt;&gt;"15",LEFT(M3872,2)&lt;&gt;"33"))),"x","")</f>
        <v/>
      </c>
      <c r="V3872" s="525" t="str">
        <f>IF(AND(OR(LEFT(TH!L3872,2)="15",LEFT(TH!M3872,2)="15"),'152-CT'!$J$8=TH!F3872),"x","")</f>
        <v/>
      </c>
      <c r="W3872" s="525" t="str">
        <f>IF(AND(OR(LEFT(TH!L3872,2)="15",LEFT(TH!M3872,2)="15"),TK!$E$7=TH!F3872),"x","")</f>
        <v/>
      </c>
      <c r="X3872" s="525" t="str">
        <f>IF(AND('341-CT'!$E$9=H3872,OR(LEFT(L3872,3)=$X$7,LEFT(M3872,3)=$X$7)),"x","")</f>
        <v/>
      </c>
      <c r="Y3872" s="525" t="str">
        <f>IF(OR(TH!L3872=TH!$Y$7,M3872=TH!$Y$7),"x","")</f>
        <v/>
      </c>
      <c r="Z3872" s="525" t="str">
        <f>IF(AND(B3872&lt;=NKC!$N$8,B3872&gt;=NKC!$M$8),"x","")</f>
        <v/>
      </c>
      <c r="AA3872" s="535"/>
      <c r="AB3872" s="536"/>
      <c r="AC3872" s="536" t="str">
        <f>VLOOKUP(F3872,NXT!$B$12:$B$686,1,0)</f>
        <v>Thùng 115x115x32</v>
      </c>
    </row>
    <row r="3873" spans="1:30" s="503" customFormat="1" ht="15.75" customHeight="1">
      <c r="A3873" s="517" t="str">
        <f>IF(B3873&lt;&gt;"",IF(AND(B3873&gt;=_TM1,B3873&lt;=_TM2,OR(TH!L3873="1111",TH!M3873="1111")),TH!D3873,""),"")</f>
        <v/>
      </c>
      <c r="B3873" s="531">
        <f t="shared" si="450"/>
        <v>9</v>
      </c>
      <c r="C3873" s="315">
        <f t="shared" si="451"/>
        <v>43008</v>
      </c>
      <c r="D3873" s="544" t="s">
        <v>1181</v>
      </c>
      <c r="E3873" s="315">
        <v>43008</v>
      </c>
      <c r="F3873" s="250" t="s">
        <v>646</v>
      </c>
      <c r="G3873" s="314" t="s">
        <v>1703</v>
      </c>
      <c r="H3873" s="473" t="s">
        <v>284</v>
      </c>
      <c r="I3873" s="307">
        <v>27</v>
      </c>
      <c r="J3873" s="307">
        <v>46617</v>
      </c>
      <c r="K3873" s="532">
        <f t="shared" si="449"/>
        <v>1258659</v>
      </c>
      <c r="L3873" s="534" t="s">
        <v>223</v>
      </c>
      <c r="M3873" s="534" t="s">
        <v>162</v>
      </c>
      <c r="N3873" s="525" t="str">
        <f>IF(AND('331-CT'!$E$7=TH!H3873,OR(L3873="331",M3873="331")),"331",IF(AND(OR(L3873="131",M3873="131"),H3873='131-CT'!$E$7),"131",""))</f>
        <v/>
      </c>
      <c r="O3873" s="525" t="str">
        <f>IF(AND($B3873&gt;='111'!$N$11,$B3873&lt;='111'!$O$11,OR($L3873=$O$7,$M3873=$O$7)),"x","")</f>
        <v/>
      </c>
      <c r="P3873" s="525" t="str">
        <f>IF(AND($L3873=$O$7,$B3873&lt;'111'!$N$11),"x","")</f>
        <v/>
      </c>
      <c r="Q3873" s="525" t="str">
        <f>IF(AND($M3873=$O$7,$B3873&lt;'111'!$N$11),"x","")</f>
        <v/>
      </c>
      <c r="R3873" s="525" t="str">
        <f>IF(ISERROR(FIND('112'!$M$9,G3873,1)),"",IF((AND(FIND('112'!$M$9,G3873,1)&gt;=1,$B3873&gt;='112'!$N$8,$B3873&lt;='112'!$O$8,OR($L3873='112'!$I$6,$M3873='112'!$I$6))),"x",""))</f>
        <v/>
      </c>
      <c r="S3873" s="525" t="str">
        <f>IF(ISERROR(FIND('112'!$M$9,G3873,1)),"",IF((AND(LEFT(G3873,2)=LEFT('112'!$M$9,2),B3873&lt;'112'!$N$8,$L3873='112'!$I$6)),"x",""))</f>
        <v/>
      </c>
      <c r="T3873" s="525" t="str">
        <f>IF(ISERROR(FIND('112'!$M$9,G3873,1)),"",IF((AND(RIGHT(G3873,2)=RIGHT('112'!$M$9,2),B3873&lt;'112'!$N$8,$M3873='112'!$I$6)),"x",""))</f>
        <v/>
      </c>
      <c r="U3873" s="525" t="str">
        <f>IF(AND(B3873&gt;='IN-NX'!$P$3,B3873&lt;='IN-NX'!$Q$3,'IN-NX'!$D$7=D3873,OR(LEFT(L3873,2)="15",AND(LEFT(M3873,2)&lt;&gt;"15",LEFT(M3873,2)&lt;&gt;"33"))),"x","")</f>
        <v/>
      </c>
      <c r="V3873" s="525" t="str">
        <f>IF(AND(OR(LEFT(TH!L3873,2)="15",LEFT(TH!M3873,2)="15"),'152-CT'!$J$8=TH!F3873),"x","")</f>
        <v/>
      </c>
      <c r="W3873" s="525" t="str">
        <f>IF(AND(OR(LEFT(TH!L3873,2)="15",LEFT(TH!M3873,2)="15"),TK!$E$7=TH!F3873),"x","")</f>
        <v/>
      </c>
      <c r="X3873" s="525" t="str">
        <f>IF(AND('341-CT'!$E$9=H3873,OR(LEFT(L3873,3)=$X$7,LEFT(M3873,3)=$X$7)),"x","")</f>
        <v/>
      </c>
      <c r="Y3873" s="525" t="str">
        <f>IF(OR(TH!L3873=TH!$Y$7,M3873=TH!$Y$7),"x","")</f>
        <v/>
      </c>
      <c r="Z3873" s="525" t="str">
        <f>IF(AND(B3873&lt;=NKC!$N$8,B3873&gt;=NKC!$M$8),"x","")</f>
        <v/>
      </c>
      <c r="AA3873" s="535"/>
      <c r="AB3873" s="536"/>
      <c r="AC3873" s="536" t="str">
        <f>VLOOKUP(F3873,NXT!$B$12:$B$686,1,0)</f>
        <v>Thùng 55x55x38</v>
      </c>
      <c r="AD3873" s="536"/>
    </row>
    <row r="3874" spans="1:30" s="503" customFormat="1" ht="15.75" customHeight="1">
      <c r="A3874" s="517" t="str">
        <f>IF(B3874&lt;&gt;"",IF(AND(B3874&gt;=_TM1,B3874&lt;=_TM2,OR(TH!L3874="1111",TH!M3874="1111")),TH!D3874,""),"")</f>
        <v/>
      </c>
      <c r="B3874" s="531">
        <f t="shared" si="450"/>
        <v>9</v>
      </c>
      <c r="C3874" s="315">
        <f t="shared" si="451"/>
        <v>43008</v>
      </c>
      <c r="D3874" s="544" t="s">
        <v>1181</v>
      </c>
      <c r="E3874" s="315">
        <v>43008</v>
      </c>
      <c r="F3874" s="250" t="s">
        <v>1666</v>
      </c>
      <c r="G3874" s="314" t="s">
        <v>1703</v>
      </c>
      <c r="H3874" s="473" t="s">
        <v>284</v>
      </c>
      <c r="I3874" s="307">
        <v>6</v>
      </c>
      <c r="J3874" s="307">
        <v>97986</v>
      </c>
      <c r="K3874" s="532">
        <f t="shared" si="449"/>
        <v>587916</v>
      </c>
      <c r="L3874" s="534" t="s">
        <v>223</v>
      </c>
      <c r="M3874" s="534" t="s">
        <v>162</v>
      </c>
      <c r="N3874" s="525" t="str">
        <f>IF(AND('331-CT'!$E$7=TH!H3874,OR(L3874="331",M3874="331")),"331",IF(AND(OR(L3874="131",M3874="131"),H3874='131-CT'!$E$7),"131",""))</f>
        <v/>
      </c>
      <c r="O3874" s="525" t="str">
        <f>IF(AND($B3874&gt;='111'!$N$11,$B3874&lt;='111'!$O$11,OR($L3874=$O$7,$M3874=$O$7)),"x","")</f>
        <v/>
      </c>
      <c r="P3874" s="525" t="str">
        <f>IF(AND($L3874=$O$7,$B3874&lt;'111'!$N$11),"x","")</f>
        <v/>
      </c>
      <c r="Q3874" s="525" t="str">
        <f>IF(AND($M3874=$O$7,$B3874&lt;'111'!$N$11),"x","")</f>
        <v/>
      </c>
      <c r="R3874" s="525" t="str">
        <f>IF(ISERROR(FIND('112'!$M$9,G3874,1)),"",IF((AND(FIND('112'!$M$9,G3874,1)&gt;=1,$B3874&gt;='112'!$N$8,$B3874&lt;='112'!$O$8,OR($L3874='112'!$I$6,$M3874='112'!$I$6))),"x",""))</f>
        <v/>
      </c>
      <c r="S3874" s="525" t="str">
        <f>IF(ISERROR(FIND('112'!$M$9,G3874,1)),"",IF((AND(LEFT(G3874,2)=LEFT('112'!$M$9,2),B3874&lt;'112'!$N$8,$L3874='112'!$I$6)),"x",""))</f>
        <v/>
      </c>
      <c r="T3874" s="525" t="str">
        <f>IF(ISERROR(FIND('112'!$M$9,G3874,1)),"",IF((AND(RIGHT(G3874,2)=RIGHT('112'!$M$9,2),B3874&lt;'112'!$N$8,$M3874='112'!$I$6)),"x",""))</f>
        <v/>
      </c>
      <c r="U3874" s="525" t="str">
        <f>IF(AND(B3874&gt;='IN-NX'!$P$3,B3874&lt;='IN-NX'!$Q$3,'IN-NX'!$D$7=D3874,OR(LEFT(L3874,2)="15",AND(LEFT(M3874,2)&lt;&gt;"15",LEFT(M3874,2)&lt;&gt;"33"))),"x","")</f>
        <v/>
      </c>
      <c r="V3874" s="525" t="str">
        <f>IF(AND(OR(LEFT(TH!L3874,2)="15",LEFT(TH!M3874,2)="15"),'152-CT'!$J$8=TH!F3874),"x","")</f>
        <v/>
      </c>
      <c r="W3874" s="525" t="str">
        <f>IF(AND(OR(LEFT(TH!L3874,2)="15",LEFT(TH!M3874,2)="15"),TK!$E$7=TH!F3874),"x","")</f>
        <v/>
      </c>
      <c r="X3874" s="525" t="str">
        <f>IF(AND('341-CT'!$E$9=H3874,OR(LEFT(L3874,3)=$X$7,LEFT(M3874,3)=$X$7)),"x","")</f>
        <v/>
      </c>
      <c r="Y3874" s="525" t="str">
        <f>IF(OR(TH!L3874=TH!$Y$7,M3874=TH!$Y$7),"x","")</f>
        <v/>
      </c>
      <c r="Z3874" s="525" t="str">
        <f>IF(AND(B3874&lt;=NKC!$N$8,B3874&gt;=NKC!$M$8),"x","")</f>
        <v/>
      </c>
      <c r="AA3874" s="535"/>
      <c r="AB3874" s="536"/>
      <c r="AC3874" s="536" t="str">
        <f>VLOOKUP(F3874,NXT!$B$12:$B$686,1,0)</f>
        <v>Thùng 185x40x53</v>
      </c>
      <c r="AD3874" s="536"/>
    </row>
    <row r="3875" spans="1:30" s="503" customFormat="1" ht="15.75" customHeight="1">
      <c r="A3875" s="517" t="str">
        <f>IF(B3875&lt;&gt;"",IF(AND(B3875&gt;=_TM1,B3875&lt;=_TM2,OR(TH!L3875="1111",TH!M3875="1111")),TH!D3875,""),"")</f>
        <v/>
      </c>
      <c r="B3875" s="531">
        <f t="shared" si="450"/>
        <v>9</v>
      </c>
      <c r="C3875" s="315">
        <f t="shared" si="451"/>
        <v>43008</v>
      </c>
      <c r="D3875" s="544" t="s">
        <v>1181</v>
      </c>
      <c r="E3875" s="315">
        <v>43008</v>
      </c>
      <c r="F3875" s="250" t="s">
        <v>1667</v>
      </c>
      <c r="G3875" s="314" t="s">
        <v>1703</v>
      </c>
      <c r="H3875" s="473" t="s">
        <v>284</v>
      </c>
      <c r="I3875" s="307">
        <v>10</v>
      </c>
      <c r="J3875" s="307">
        <v>26352</v>
      </c>
      <c r="K3875" s="532">
        <f t="shared" si="449"/>
        <v>263520</v>
      </c>
      <c r="L3875" s="534" t="s">
        <v>223</v>
      </c>
      <c r="M3875" s="534" t="s">
        <v>162</v>
      </c>
      <c r="N3875" s="525" t="str">
        <f>IF(AND('331-CT'!$E$7=TH!H3875,OR(L3875="331",M3875="331")),"331",IF(AND(OR(L3875="131",M3875="131"),H3875='131-CT'!$E$7),"131",""))</f>
        <v/>
      </c>
      <c r="O3875" s="525" t="str">
        <f>IF(AND($B3875&gt;='111'!$N$11,$B3875&lt;='111'!$O$11,OR($L3875=$O$7,$M3875=$O$7)),"x","")</f>
        <v/>
      </c>
      <c r="P3875" s="525" t="str">
        <f>IF(AND($L3875=$O$7,$B3875&lt;'111'!$N$11),"x","")</f>
        <v/>
      </c>
      <c r="Q3875" s="525" t="str">
        <f>IF(AND($M3875=$O$7,$B3875&lt;'111'!$N$11),"x","")</f>
        <v/>
      </c>
      <c r="R3875" s="525" t="str">
        <f>IF(ISERROR(FIND('112'!$M$9,G3875,1)),"",IF((AND(FIND('112'!$M$9,G3875,1)&gt;=1,$B3875&gt;='112'!$N$8,$B3875&lt;='112'!$O$8,OR($L3875='112'!$I$6,$M3875='112'!$I$6))),"x",""))</f>
        <v/>
      </c>
      <c r="S3875" s="525" t="str">
        <f>IF(ISERROR(FIND('112'!$M$9,G3875,1)),"",IF((AND(LEFT(G3875,2)=LEFT('112'!$M$9,2),B3875&lt;'112'!$N$8,$L3875='112'!$I$6)),"x",""))</f>
        <v/>
      </c>
      <c r="T3875" s="525" t="str">
        <f>IF(ISERROR(FIND('112'!$M$9,G3875,1)),"",IF((AND(RIGHT(G3875,2)=RIGHT('112'!$M$9,2),B3875&lt;'112'!$N$8,$M3875='112'!$I$6)),"x",""))</f>
        <v/>
      </c>
      <c r="U3875" s="525" t="str">
        <f>IF(AND(B3875&gt;='IN-NX'!$P$3,B3875&lt;='IN-NX'!$Q$3,'IN-NX'!$D$7=D3875,OR(LEFT(L3875,2)="15",AND(LEFT(M3875,2)&lt;&gt;"15",LEFT(M3875,2)&lt;&gt;"33"))),"x","")</f>
        <v/>
      </c>
      <c r="V3875" s="525" t="str">
        <f>IF(AND(OR(LEFT(TH!L3875,2)="15",LEFT(TH!M3875,2)="15"),'152-CT'!$J$8=TH!F3875),"x","")</f>
        <v/>
      </c>
      <c r="W3875" s="525" t="str">
        <f>IF(AND(OR(LEFT(TH!L3875,2)="15",LEFT(TH!M3875,2)="15"),TK!$E$7=TH!F3875),"x","")</f>
        <v/>
      </c>
      <c r="X3875" s="525" t="str">
        <f>IF(AND('341-CT'!$E$9=H3875,OR(LEFT(L3875,3)=$X$7,LEFT(M3875,3)=$X$7)),"x","")</f>
        <v/>
      </c>
      <c r="Y3875" s="525" t="str">
        <f>IF(OR(TH!L3875=TH!$Y$7,M3875=TH!$Y$7),"x","")</f>
        <v/>
      </c>
      <c r="Z3875" s="525" t="str">
        <f>IF(AND(B3875&lt;=NKC!$N$8,B3875&gt;=NKC!$M$8),"x","")</f>
        <v/>
      </c>
      <c r="AA3875" s="535"/>
      <c r="AB3875" s="536"/>
      <c r="AC3875" s="536" t="str">
        <f>VLOOKUP(F3875,NXT!$B$12:$B$686,1,0)</f>
        <v>Thùng 51x51x40</v>
      </c>
    </row>
    <row r="3876" spans="1:30" s="503" customFormat="1" ht="15.75" customHeight="1">
      <c r="A3876" s="517" t="str">
        <f>IF(B3876&lt;&gt;"",IF(AND(B3876&gt;=_TM1,B3876&lt;=_TM2,OR(TH!L3876="1111",TH!M3876="1111")),TH!D3876,""),"")</f>
        <v/>
      </c>
      <c r="B3876" s="531">
        <f t="shared" si="450"/>
        <v>9</v>
      </c>
      <c r="C3876" s="315">
        <f t="shared" si="451"/>
        <v>43008</v>
      </c>
      <c r="D3876" s="544" t="s">
        <v>1181</v>
      </c>
      <c r="E3876" s="315">
        <v>43008</v>
      </c>
      <c r="F3876" s="250" t="s">
        <v>1668</v>
      </c>
      <c r="G3876" s="314" t="s">
        <v>1703</v>
      </c>
      <c r="H3876" s="473" t="s">
        <v>284</v>
      </c>
      <c r="I3876" s="307">
        <v>10</v>
      </c>
      <c r="J3876" s="307">
        <v>63096</v>
      </c>
      <c r="K3876" s="532">
        <f t="shared" si="449"/>
        <v>630960</v>
      </c>
      <c r="L3876" s="534" t="s">
        <v>223</v>
      </c>
      <c r="M3876" s="534" t="s">
        <v>162</v>
      </c>
      <c r="N3876" s="525" t="str">
        <f>IF(AND('331-CT'!$E$7=TH!H3876,OR(L3876="331",M3876="331")),"331",IF(AND(OR(L3876="131",M3876="131"),H3876='131-CT'!$E$7),"131",""))</f>
        <v/>
      </c>
      <c r="O3876" s="525" t="str">
        <f>IF(AND($B3876&gt;='111'!$N$11,$B3876&lt;='111'!$O$11,OR($L3876=$O$7,$M3876=$O$7)),"x","")</f>
        <v/>
      </c>
      <c r="P3876" s="525" t="str">
        <f>IF(AND($L3876=$O$7,$B3876&lt;'111'!$N$11),"x","")</f>
        <v/>
      </c>
      <c r="Q3876" s="525" t="str">
        <f>IF(AND($M3876=$O$7,$B3876&lt;'111'!$N$11),"x","")</f>
        <v/>
      </c>
      <c r="R3876" s="525" t="str">
        <f>IF(ISERROR(FIND('112'!$M$9,G3876,1)),"",IF((AND(FIND('112'!$M$9,G3876,1)&gt;=1,$B3876&gt;='112'!$N$8,$B3876&lt;='112'!$O$8,OR($L3876='112'!$I$6,$M3876='112'!$I$6))),"x",""))</f>
        <v/>
      </c>
      <c r="S3876" s="525" t="str">
        <f>IF(ISERROR(FIND('112'!$M$9,G3876,1)),"",IF((AND(LEFT(G3876,2)=LEFT('112'!$M$9,2),B3876&lt;'112'!$N$8,$L3876='112'!$I$6)),"x",""))</f>
        <v/>
      </c>
      <c r="T3876" s="525" t="str">
        <f>IF(ISERROR(FIND('112'!$M$9,G3876,1)),"",IF((AND(RIGHT(G3876,2)=RIGHT('112'!$M$9,2),B3876&lt;'112'!$N$8,$M3876='112'!$I$6)),"x",""))</f>
        <v/>
      </c>
      <c r="U3876" s="525" t="str">
        <f>IF(AND(B3876&gt;='IN-NX'!$P$3,B3876&lt;='IN-NX'!$Q$3,'IN-NX'!$D$7=D3876,OR(LEFT(L3876,2)="15",AND(LEFT(M3876,2)&lt;&gt;"15",LEFT(M3876,2)&lt;&gt;"33"))),"x","")</f>
        <v/>
      </c>
      <c r="V3876" s="525" t="str">
        <f>IF(AND(OR(LEFT(TH!L3876,2)="15",LEFT(TH!M3876,2)="15"),'152-CT'!$J$8=TH!F3876),"x","")</f>
        <v/>
      </c>
      <c r="W3876" s="525" t="str">
        <f>IF(AND(OR(LEFT(TH!L3876,2)="15",LEFT(TH!M3876,2)="15"),TK!$E$7=TH!F3876),"x","")</f>
        <v/>
      </c>
      <c r="X3876" s="525" t="str">
        <f>IF(AND('341-CT'!$E$9=H3876,OR(LEFT(L3876,3)=$X$7,LEFT(M3876,3)=$X$7)),"x","")</f>
        <v/>
      </c>
      <c r="Y3876" s="525" t="str">
        <f>IF(OR(TH!L3876=TH!$Y$7,M3876=TH!$Y$7),"x","")</f>
        <v/>
      </c>
      <c r="Z3876" s="525" t="str">
        <f>IF(AND(B3876&lt;=NKC!$N$8,B3876&gt;=NKC!$M$8),"x","")</f>
        <v/>
      </c>
      <c r="AA3876" s="535"/>
      <c r="AB3876" s="536"/>
      <c r="AC3876" s="536" t="str">
        <f>VLOOKUP(F3876,NXT!$B$12:$B$686,1,0)</f>
        <v>Thùng 89x89x40</v>
      </c>
    </row>
    <row r="3877" spans="1:30" s="503" customFormat="1" ht="15.75" customHeight="1">
      <c r="A3877" s="517" t="str">
        <f>IF(B3877&lt;&gt;"",IF(AND(B3877&gt;=_TM1,B3877&lt;=_TM2,OR(TH!L3877="1111",TH!M3877="1111")),TH!D3877,""),"")</f>
        <v/>
      </c>
      <c r="B3877" s="531">
        <f t="shared" si="450"/>
        <v>9</v>
      </c>
      <c r="C3877" s="315">
        <f t="shared" si="451"/>
        <v>43008</v>
      </c>
      <c r="D3877" s="544" t="s">
        <v>1181</v>
      </c>
      <c r="E3877" s="315">
        <v>43008</v>
      </c>
      <c r="F3877" s="250" t="s">
        <v>708</v>
      </c>
      <c r="G3877" s="314" t="s">
        <v>1703</v>
      </c>
      <c r="H3877" s="473" t="s">
        <v>284</v>
      </c>
      <c r="I3877" s="307">
        <v>32</v>
      </c>
      <c r="J3877" s="307">
        <v>36109</v>
      </c>
      <c r="K3877" s="532">
        <f t="shared" si="449"/>
        <v>1155488</v>
      </c>
      <c r="L3877" s="534" t="s">
        <v>223</v>
      </c>
      <c r="M3877" s="534" t="s">
        <v>162</v>
      </c>
      <c r="N3877" s="525" t="str">
        <f>IF(AND('331-CT'!$E$7=TH!H3877,OR(L3877="331",M3877="331")),"331",IF(AND(OR(L3877="131",M3877="131"),H3877='131-CT'!$E$7),"131",""))</f>
        <v/>
      </c>
      <c r="O3877" s="525" t="str">
        <f>IF(AND($B3877&gt;='111'!$N$11,$B3877&lt;='111'!$O$11,OR($L3877=$O$7,$M3877=$O$7)),"x","")</f>
        <v/>
      </c>
      <c r="P3877" s="525" t="str">
        <f>IF(AND($L3877=$O$7,$B3877&lt;'111'!$N$11),"x","")</f>
        <v/>
      </c>
      <c r="Q3877" s="525" t="str">
        <f>IF(AND($M3877=$O$7,$B3877&lt;'111'!$N$11),"x","")</f>
        <v/>
      </c>
      <c r="R3877" s="525" t="str">
        <f>IF(ISERROR(FIND('112'!$M$9,G3877,1)),"",IF((AND(FIND('112'!$M$9,G3877,1)&gt;=1,$B3877&gt;='112'!$N$8,$B3877&lt;='112'!$O$8,OR($L3877='112'!$I$6,$M3877='112'!$I$6))),"x",""))</f>
        <v/>
      </c>
      <c r="S3877" s="525" t="str">
        <f>IF(ISERROR(FIND('112'!$M$9,G3877,1)),"",IF((AND(LEFT(G3877,2)=LEFT('112'!$M$9,2),B3877&lt;'112'!$N$8,$L3877='112'!$I$6)),"x",""))</f>
        <v/>
      </c>
      <c r="T3877" s="525" t="str">
        <f>IF(ISERROR(FIND('112'!$M$9,G3877,1)),"",IF((AND(RIGHT(G3877,2)=RIGHT('112'!$M$9,2),B3877&lt;'112'!$N$8,$M3877='112'!$I$6)),"x",""))</f>
        <v/>
      </c>
      <c r="U3877" s="525" t="str">
        <f>IF(AND(B3877&gt;='IN-NX'!$P$3,B3877&lt;='IN-NX'!$Q$3,'IN-NX'!$D$7=D3877,OR(LEFT(L3877,2)="15",AND(LEFT(M3877,2)&lt;&gt;"15",LEFT(M3877,2)&lt;&gt;"33"))),"x","")</f>
        <v/>
      </c>
      <c r="V3877" s="525" t="str">
        <f>IF(AND(OR(LEFT(TH!L3877,2)="15",LEFT(TH!M3877,2)="15"),'152-CT'!$J$8=TH!F3877),"x","")</f>
        <v/>
      </c>
      <c r="W3877" s="525" t="str">
        <f>IF(AND(OR(LEFT(TH!L3877,2)="15",LEFT(TH!M3877,2)="15"),TK!$E$7=TH!F3877),"x","")</f>
        <v/>
      </c>
      <c r="X3877" s="525" t="str">
        <f>IF(AND('341-CT'!$E$9=H3877,OR(LEFT(L3877,3)=$X$7,LEFT(M3877,3)=$X$7)),"x","")</f>
        <v/>
      </c>
      <c r="Y3877" s="525" t="str">
        <f>IF(OR(TH!L3877=TH!$Y$7,M3877=TH!$Y$7),"x","")</f>
        <v/>
      </c>
      <c r="Z3877" s="525" t="str">
        <f>IF(AND(B3877&lt;=NKC!$N$8,B3877&gt;=NKC!$M$8),"x","")</f>
        <v/>
      </c>
      <c r="AA3877" s="535"/>
      <c r="AB3877" s="536"/>
      <c r="AC3877" s="536" t="str">
        <f>VLOOKUP(F3877,NXT!$B$12:$B$686,1,0)</f>
        <v>Thùng 44x44x52</v>
      </c>
    </row>
    <row r="3878" spans="1:30" s="503" customFormat="1" ht="15.75" customHeight="1">
      <c r="A3878" s="517" t="str">
        <f>IF(B3878&lt;&gt;"",IF(AND(B3878&gt;=_TM1,B3878&lt;=_TM2,OR(TH!L3878="1111",TH!M3878="1111")),TH!D3878,""),"")</f>
        <v/>
      </c>
      <c r="B3878" s="531">
        <f t="shared" si="450"/>
        <v>9</v>
      </c>
      <c r="C3878" s="315">
        <f t="shared" si="451"/>
        <v>43008</v>
      </c>
      <c r="D3878" s="544" t="s">
        <v>1181</v>
      </c>
      <c r="E3878" s="315">
        <v>43008</v>
      </c>
      <c r="F3878" s="250" t="s">
        <v>1669</v>
      </c>
      <c r="G3878" s="314" t="s">
        <v>1703</v>
      </c>
      <c r="H3878" s="473" t="s">
        <v>284</v>
      </c>
      <c r="I3878" s="307">
        <v>35</v>
      </c>
      <c r="J3878" s="307">
        <v>14416</v>
      </c>
      <c r="K3878" s="532">
        <f t="shared" si="449"/>
        <v>504560</v>
      </c>
      <c r="L3878" s="534" t="s">
        <v>223</v>
      </c>
      <c r="M3878" s="534" t="s">
        <v>162</v>
      </c>
      <c r="N3878" s="525" t="str">
        <f>IF(AND('331-CT'!$E$7=TH!H3878,OR(L3878="331",M3878="331")),"331",IF(AND(OR(L3878="131",M3878="131"),H3878='131-CT'!$E$7),"131",""))</f>
        <v/>
      </c>
      <c r="O3878" s="525" t="str">
        <f>IF(AND($B3878&gt;='111'!$N$11,$B3878&lt;='111'!$O$11,OR($L3878=$O$7,$M3878=$O$7)),"x","")</f>
        <v/>
      </c>
      <c r="P3878" s="525" t="str">
        <f>IF(AND($L3878=$O$7,$B3878&lt;'111'!$N$11),"x","")</f>
        <v/>
      </c>
      <c r="Q3878" s="525" t="str">
        <f>IF(AND($M3878=$O$7,$B3878&lt;'111'!$N$11),"x","")</f>
        <v/>
      </c>
      <c r="R3878" s="525" t="str">
        <f>IF(ISERROR(FIND('112'!$M$9,G3878,1)),"",IF((AND(FIND('112'!$M$9,G3878,1)&gt;=1,$B3878&gt;='112'!$N$8,$B3878&lt;='112'!$O$8,OR($L3878='112'!$I$6,$M3878='112'!$I$6))),"x",""))</f>
        <v/>
      </c>
      <c r="S3878" s="525" t="str">
        <f>IF(ISERROR(FIND('112'!$M$9,G3878,1)),"",IF((AND(LEFT(G3878,2)=LEFT('112'!$M$9,2),B3878&lt;'112'!$N$8,$L3878='112'!$I$6)),"x",""))</f>
        <v/>
      </c>
      <c r="T3878" s="525" t="str">
        <f>IF(ISERROR(FIND('112'!$M$9,G3878,1)),"",IF((AND(RIGHT(G3878,2)=RIGHT('112'!$M$9,2),B3878&lt;'112'!$N$8,$M3878='112'!$I$6)),"x",""))</f>
        <v/>
      </c>
      <c r="U3878" s="525" t="str">
        <f>IF(AND(B3878&gt;='IN-NX'!$P$3,B3878&lt;='IN-NX'!$Q$3,'IN-NX'!$D$7=D3878,OR(LEFT(L3878,2)="15",AND(LEFT(M3878,2)&lt;&gt;"15",LEFT(M3878,2)&lt;&gt;"33"))),"x","")</f>
        <v/>
      </c>
      <c r="V3878" s="525" t="str">
        <f>IF(AND(OR(LEFT(TH!L3878,2)="15",LEFT(TH!M3878,2)="15"),'152-CT'!$J$8=TH!F3878),"x","")</f>
        <v/>
      </c>
      <c r="W3878" s="525" t="str">
        <f>IF(AND(OR(LEFT(TH!L3878,2)="15",LEFT(TH!M3878,2)="15"),TK!$E$7=TH!F3878),"x","")</f>
        <v/>
      </c>
      <c r="X3878" s="525" t="str">
        <f>IF(AND('341-CT'!$E$9=H3878,OR(LEFT(L3878,3)=$X$7,LEFT(M3878,3)=$X$7)),"x","")</f>
        <v/>
      </c>
      <c r="Y3878" s="525" t="str">
        <f>IF(OR(TH!L3878=TH!$Y$7,M3878=TH!$Y$7),"x","")</f>
        <v/>
      </c>
      <c r="Z3878" s="525" t="str">
        <f>IF(AND(B3878&lt;=NKC!$N$8,B3878&gt;=NKC!$M$8),"x","")</f>
        <v/>
      </c>
      <c r="AA3878" s="535"/>
      <c r="AB3878" s="536"/>
      <c r="AC3878" s="536" t="str">
        <f>VLOOKUP(F3878,NXT!$B$12:$B$686,1,0)</f>
        <v>Thùng 32x32x47</v>
      </c>
      <c r="AD3878" s="536"/>
    </row>
    <row r="3879" spans="1:30" s="503" customFormat="1" ht="15.75" customHeight="1">
      <c r="A3879" s="517" t="str">
        <f>IF(B3879&lt;&gt;"",IF(AND(B3879&gt;=_TM1,B3879&lt;=_TM2,OR(TH!L3879="1111",TH!M3879="1111")),TH!D3879,""),"")</f>
        <v/>
      </c>
      <c r="B3879" s="531">
        <f t="shared" si="450"/>
        <v>9</v>
      </c>
      <c r="C3879" s="315">
        <f t="shared" si="451"/>
        <v>43008</v>
      </c>
      <c r="D3879" s="544" t="s">
        <v>1181</v>
      </c>
      <c r="E3879" s="315">
        <v>43008</v>
      </c>
      <c r="F3879" s="250" t="s">
        <v>646</v>
      </c>
      <c r="G3879" s="314" t="s">
        <v>1703</v>
      </c>
      <c r="H3879" s="473" t="s">
        <v>284</v>
      </c>
      <c r="I3879" s="307">
        <v>3</v>
      </c>
      <c r="J3879" s="307">
        <v>48993</v>
      </c>
      <c r="K3879" s="532">
        <f t="shared" si="449"/>
        <v>146979</v>
      </c>
      <c r="L3879" s="534" t="s">
        <v>223</v>
      </c>
      <c r="M3879" s="534" t="s">
        <v>162</v>
      </c>
      <c r="N3879" s="525" t="str">
        <f>IF(AND('331-CT'!$E$7=TH!H3879,OR(L3879="331",M3879="331")),"331",IF(AND(OR(L3879="131",M3879="131"),H3879='131-CT'!$E$7),"131",""))</f>
        <v/>
      </c>
      <c r="O3879" s="525" t="str">
        <f>IF(AND($B3879&gt;='111'!$N$11,$B3879&lt;='111'!$O$11,OR($L3879=$O$7,$M3879=$O$7)),"x","")</f>
        <v/>
      </c>
      <c r="P3879" s="525" t="str">
        <f>IF(AND($L3879=$O$7,$B3879&lt;'111'!$N$11),"x","")</f>
        <v/>
      </c>
      <c r="Q3879" s="525" t="str">
        <f>IF(AND($M3879=$O$7,$B3879&lt;'111'!$N$11),"x","")</f>
        <v/>
      </c>
      <c r="R3879" s="525" t="str">
        <f>IF(ISERROR(FIND('112'!$M$9,G3879,1)),"",IF((AND(FIND('112'!$M$9,G3879,1)&gt;=1,$B3879&gt;='112'!$N$8,$B3879&lt;='112'!$O$8,OR($L3879='112'!$I$6,$M3879='112'!$I$6))),"x",""))</f>
        <v/>
      </c>
      <c r="S3879" s="525" t="str">
        <f>IF(ISERROR(FIND('112'!$M$9,G3879,1)),"",IF((AND(LEFT(G3879,2)=LEFT('112'!$M$9,2),B3879&lt;'112'!$N$8,$L3879='112'!$I$6)),"x",""))</f>
        <v/>
      </c>
      <c r="T3879" s="525" t="str">
        <f>IF(ISERROR(FIND('112'!$M$9,G3879,1)),"",IF((AND(RIGHT(G3879,2)=RIGHT('112'!$M$9,2),B3879&lt;'112'!$N$8,$M3879='112'!$I$6)),"x",""))</f>
        <v/>
      </c>
      <c r="U3879" s="525" t="str">
        <f>IF(AND(B3879&gt;='IN-NX'!$P$3,B3879&lt;='IN-NX'!$Q$3,'IN-NX'!$D$7=D3879,OR(LEFT(L3879,2)="15",AND(LEFT(M3879,2)&lt;&gt;"15",LEFT(M3879,2)&lt;&gt;"33"))),"x","")</f>
        <v/>
      </c>
      <c r="V3879" s="525" t="str">
        <f>IF(AND(OR(LEFT(TH!L3879,2)="15",LEFT(TH!M3879,2)="15"),'152-CT'!$J$8=TH!F3879),"x","")</f>
        <v/>
      </c>
      <c r="W3879" s="525" t="str">
        <f>IF(AND(OR(LEFT(TH!L3879,2)="15",LEFT(TH!M3879,2)="15"),TK!$E$7=TH!F3879),"x","")</f>
        <v/>
      </c>
      <c r="X3879" s="525" t="str">
        <f>IF(AND('341-CT'!$E$9=H3879,OR(LEFT(L3879,3)=$X$7,LEFT(M3879,3)=$X$7)),"x","")</f>
        <v/>
      </c>
      <c r="Y3879" s="525" t="str">
        <f>IF(OR(TH!L3879=TH!$Y$7,M3879=TH!$Y$7),"x","")</f>
        <v/>
      </c>
      <c r="Z3879" s="525" t="str">
        <f>IF(AND(B3879&lt;=NKC!$N$8,B3879&gt;=NKC!$M$8),"x","")</f>
        <v/>
      </c>
      <c r="AA3879" s="535"/>
      <c r="AB3879" s="536"/>
      <c r="AC3879" s="536" t="str">
        <f>VLOOKUP(F3879,NXT!$B$12:$B$686,1,0)</f>
        <v>Thùng 55x55x38</v>
      </c>
    </row>
    <row r="3880" spans="1:30" s="503" customFormat="1" ht="15.75" customHeight="1">
      <c r="A3880" s="517" t="str">
        <f>IF(B3880&lt;&gt;"",IF(AND(B3880&gt;=_TM1,B3880&lt;=_TM2,OR(TH!L3880="1111",TH!M3880="1111")),TH!D3880,""),"")</f>
        <v/>
      </c>
      <c r="B3880" s="531">
        <f t="shared" si="450"/>
        <v>9</v>
      </c>
      <c r="C3880" s="315">
        <f t="shared" si="451"/>
        <v>43008</v>
      </c>
      <c r="D3880" s="544" t="s">
        <v>1181</v>
      </c>
      <c r="E3880" s="315">
        <v>43008</v>
      </c>
      <c r="F3880" s="250" t="s">
        <v>1478</v>
      </c>
      <c r="G3880" s="314" t="s">
        <v>1703</v>
      </c>
      <c r="H3880" s="473" t="s">
        <v>284</v>
      </c>
      <c r="I3880" s="307">
        <v>8</v>
      </c>
      <c r="J3880" s="307">
        <v>39396</v>
      </c>
      <c r="K3880" s="532">
        <f t="shared" si="449"/>
        <v>315168</v>
      </c>
      <c r="L3880" s="534" t="s">
        <v>223</v>
      </c>
      <c r="M3880" s="534" t="s">
        <v>162</v>
      </c>
      <c r="N3880" s="525" t="str">
        <f>IF(AND('331-CT'!$E$7=TH!H3880,OR(L3880="331",M3880="331")),"331",IF(AND(OR(L3880="131",M3880="131"),H3880='131-CT'!$E$7),"131",""))</f>
        <v/>
      </c>
      <c r="O3880" s="525" t="str">
        <f>IF(AND($B3880&gt;='111'!$N$11,$B3880&lt;='111'!$O$11,OR($L3880=$O$7,$M3880=$O$7)),"x","")</f>
        <v/>
      </c>
      <c r="P3880" s="525" t="str">
        <f>IF(AND($L3880=$O$7,$B3880&lt;'111'!$N$11),"x","")</f>
        <v/>
      </c>
      <c r="Q3880" s="525" t="str">
        <f>IF(AND($M3880=$O$7,$B3880&lt;'111'!$N$11),"x","")</f>
        <v/>
      </c>
      <c r="R3880" s="525" t="str">
        <f>IF(ISERROR(FIND('112'!$M$9,G3880,1)),"",IF((AND(FIND('112'!$M$9,G3880,1)&gt;=1,$B3880&gt;='112'!$N$8,$B3880&lt;='112'!$O$8,OR($L3880='112'!$I$6,$M3880='112'!$I$6))),"x",""))</f>
        <v/>
      </c>
      <c r="S3880" s="525" t="str">
        <f>IF(ISERROR(FIND('112'!$M$9,G3880,1)),"",IF((AND(LEFT(G3880,2)=LEFT('112'!$M$9,2),B3880&lt;'112'!$N$8,$L3880='112'!$I$6)),"x",""))</f>
        <v/>
      </c>
      <c r="T3880" s="525" t="str">
        <f>IF(ISERROR(FIND('112'!$M$9,G3880,1)),"",IF((AND(RIGHT(G3880,2)=RIGHT('112'!$M$9,2),B3880&lt;'112'!$N$8,$M3880='112'!$I$6)),"x",""))</f>
        <v/>
      </c>
      <c r="U3880" s="525" t="str">
        <f>IF(AND(B3880&gt;='IN-NX'!$P$3,B3880&lt;='IN-NX'!$Q$3,'IN-NX'!$D$7=D3880,OR(LEFT(L3880,2)="15",AND(LEFT(M3880,2)&lt;&gt;"15",LEFT(M3880,2)&lt;&gt;"33"))),"x","")</f>
        <v/>
      </c>
      <c r="V3880" s="525" t="str">
        <f>IF(AND(OR(LEFT(TH!L3880,2)="15",LEFT(TH!M3880,2)="15"),'152-CT'!$J$8=TH!F3880),"x","")</f>
        <v/>
      </c>
      <c r="W3880" s="525" t="str">
        <f>IF(AND(OR(LEFT(TH!L3880,2)="15",LEFT(TH!M3880,2)="15"),TK!$E$7=TH!F3880),"x","")</f>
        <v/>
      </c>
      <c r="X3880" s="525" t="str">
        <f>IF(AND('341-CT'!$E$9=H3880,OR(LEFT(L3880,3)=$X$7,LEFT(M3880,3)=$X$7)),"x","")</f>
        <v/>
      </c>
      <c r="Y3880" s="525" t="str">
        <f>IF(OR(TH!L3880=TH!$Y$7,M3880=TH!$Y$7),"x","")</f>
        <v/>
      </c>
      <c r="Z3880" s="525" t="str">
        <f>IF(AND(B3880&lt;=NKC!$N$8,B3880&gt;=NKC!$M$8),"x","")</f>
        <v/>
      </c>
      <c r="AA3880" s="535"/>
      <c r="AB3880" s="536"/>
      <c r="AC3880" s="536" t="str">
        <f>VLOOKUP(F3880,NXT!$B$12:$B$686,1,0)</f>
        <v>Thùng 44.5x44.5x49</v>
      </c>
      <c r="AD3880" s="536"/>
    </row>
    <row r="3881" spans="1:30" s="503" customFormat="1" ht="15.75" customHeight="1">
      <c r="A3881" s="517" t="str">
        <f>IF(B3881&lt;&gt;"",IF(AND(B3881&gt;=_TM1,B3881&lt;=_TM2,OR(TH!L3881="1111",TH!M3881="1111")),TH!D3881,""),"")</f>
        <v/>
      </c>
      <c r="B3881" s="531">
        <f t="shared" si="450"/>
        <v>9</v>
      </c>
      <c r="C3881" s="315">
        <f t="shared" si="451"/>
        <v>43008</v>
      </c>
      <c r="D3881" s="544" t="s">
        <v>1181</v>
      </c>
      <c r="E3881" s="315">
        <v>43008</v>
      </c>
      <c r="F3881" s="250" t="s">
        <v>1476</v>
      </c>
      <c r="G3881" s="314" t="s">
        <v>1703</v>
      </c>
      <c r="H3881" s="473" t="s">
        <v>284</v>
      </c>
      <c r="I3881" s="307">
        <v>11</v>
      </c>
      <c r="J3881" s="307">
        <v>26738</v>
      </c>
      <c r="K3881" s="532">
        <f t="shared" si="449"/>
        <v>294118</v>
      </c>
      <c r="L3881" s="534" t="s">
        <v>223</v>
      </c>
      <c r="M3881" s="534" t="s">
        <v>162</v>
      </c>
      <c r="N3881" s="525" t="str">
        <f>IF(AND('331-CT'!$E$7=TH!H3881,OR(L3881="331",M3881="331")),"331",IF(AND(OR(L3881="131",M3881="131"),H3881='131-CT'!$E$7),"131",""))</f>
        <v/>
      </c>
      <c r="O3881" s="525" t="str">
        <f>IF(AND($B3881&gt;='111'!$N$11,$B3881&lt;='111'!$O$11,OR($L3881=$O$7,$M3881=$O$7)),"x","")</f>
        <v/>
      </c>
      <c r="P3881" s="525" t="str">
        <f>IF(AND($L3881=$O$7,$B3881&lt;'111'!$N$11),"x","")</f>
        <v/>
      </c>
      <c r="Q3881" s="525" t="str">
        <f>IF(AND($M3881=$O$7,$B3881&lt;'111'!$N$11),"x","")</f>
        <v/>
      </c>
      <c r="R3881" s="525" t="str">
        <f>IF(ISERROR(FIND('112'!$M$9,G3881,1)),"",IF((AND(FIND('112'!$M$9,G3881,1)&gt;=1,$B3881&gt;='112'!$N$8,$B3881&lt;='112'!$O$8,OR($L3881='112'!$I$6,$M3881='112'!$I$6))),"x",""))</f>
        <v/>
      </c>
      <c r="S3881" s="525" t="str">
        <f>IF(ISERROR(FIND('112'!$M$9,G3881,1)),"",IF((AND(LEFT(G3881,2)=LEFT('112'!$M$9,2),B3881&lt;'112'!$N$8,$L3881='112'!$I$6)),"x",""))</f>
        <v/>
      </c>
      <c r="T3881" s="525" t="str">
        <f>IF(ISERROR(FIND('112'!$M$9,G3881,1)),"",IF((AND(RIGHT(G3881,2)=RIGHT('112'!$M$9,2),B3881&lt;'112'!$N$8,$M3881='112'!$I$6)),"x",""))</f>
        <v/>
      </c>
      <c r="U3881" s="525" t="str">
        <f>IF(AND(B3881&gt;='IN-NX'!$P$3,B3881&lt;='IN-NX'!$Q$3,'IN-NX'!$D$7=D3881,OR(LEFT(L3881,2)="15",AND(LEFT(M3881,2)&lt;&gt;"15",LEFT(M3881,2)&lt;&gt;"33"))),"x","")</f>
        <v/>
      </c>
      <c r="V3881" s="525" t="str">
        <f>IF(AND(OR(LEFT(TH!L3881,2)="15",LEFT(TH!M3881,2)="15"),'152-CT'!$J$8=TH!F3881),"x","")</f>
        <v/>
      </c>
      <c r="W3881" s="525" t="str">
        <f>IF(AND(OR(LEFT(TH!L3881,2)="15",LEFT(TH!M3881,2)="15"),TK!$E$7=TH!F3881),"x","")</f>
        <v/>
      </c>
      <c r="X3881" s="525" t="str">
        <f>IF(AND('341-CT'!$E$9=H3881,OR(LEFT(L3881,3)=$X$7,LEFT(M3881,3)=$X$7)),"x","")</f>
        <v/>
      </c>
      <c r="Y3881" s="525" t="str">
        <f>IF(OR(TH!L3881=TH!$Y$7,M3881=TH!$Y$7),"x","")</f>
        <v/>
      </c>
      <c r="Z3881" s="525" t="str">
        <f>IF(AND(B3881&lt;=NKC!$N$8,B3881&gt;=NKC!$M$8),"x","")</f>
        <v/>
      </c>
      <c r="AA3881" s="535"/>
      <c r="AB3881" s="536"/>
      <c r="AC3881" s="536" t="str">
        <f>VLOOKUP(F3881,NXT!$B$12:$B$686,1,0)</f>
        <v>Thùng 51.5x51.5x40</v>
      </c>
      <c r="AD3881" s="536"/>
    </row>
    <row r="3882" spans="1:30" s="503" customFormat="1" ht="15.75" customHeight="1">
      <c r="A3882" s="517" t="str">
        <f>IF(B3882&lt;&gt;"",IF(AND(B3882&gt;=_TM1,B3882&lt;=_TM2,OR(TH!L3882="1111",TH!M3882="1111")),TH!D3882,""),"")</f>
        <v/>
      </c>
      <c r="B3882" s="531">
        <f t="shared" ref="B3882:B3887" si="452">IF(C3882&lt;&gt;"",MONTH(C3882),"")</f>
        <v>9</v>
      </c>
      <c r="C3882" s="315">
        <f t="shared" ref="C3882:C3887" si="453">E3882</f>
        <v>43008</v>
      </c>
      <c r="D3882" s="544" t="s">
        <v>1181</v>
      </c>
      <c r="E3882" s="315">
        <v>43008</v>
      </c>
      <c r="F3882" s="250" t="s">
        <v>1477</v>
      </c>
      <c r="G3882" s="314" t="s">
        <v>1703</v>
      </c>
      <c r="H3882" s="473" t="s">
        <v>284</v>
      </c>
      <c r="I3882" s="307">
        <v>11</v>
      </c>
      <c r="J3882" s="307">
        <v>63680</v>
      </c>
      <c r="K3882" s="532">
        <f t="shared" ref="K3882:K3887" si="454">ROUND(I3882*J3882,0)</f>
        <v>700480</v>
      </c>
      <c r="L3882" s="534" t="s">
        <v>223</v>
      </c>
      <c r="M3882" s="534" t="s">
        <v>162</v>
      </c>
      <c r="N3882" s="525" t="str">
        <f>IF(AND('331-CT'!$E$7=TH!H3882,OR(L3882="331",M3882="331")),"331",IF(AND(OR(L3882="131",M3882="131"),H3882='131-CT'!$E$7),"131",""))</f>
        <v/>
      </c>
      <c r="O3882" s="525" t="str">
        <f>IF(AND($B3882&gt;='111'!$N$11,$B3882&lt;='111'!$O$11,OR($L3882=$O$7,$M3882=$O$7)),"x","")</f>
        <v/>
      </c>
      <c r="P3882" s="525" t="str">
        <f>IF(AND($L3882=$O$7,$B3882&lt;'111'!$N$11),"x","")</f>
        <v/>
      </c>
      <c r="Q3882" s="525" t="str">
        <f>IF(AND($M3882=$O$7,$B3882&lt;'111'!$N$11),"x","")</f>
        <v/>
      </c>
      <c r="R3882" s="525" t="str">
        <f>IF(ISERROR(FIND('112'!$M$9,G3882,1)),"",IF((AND(FIND('112'!$M$9,G3882,1)&gt;=1,$B3882&gt;='112'!$N$8,$B3882&lt;='112'!$O$8,OR($L3882='112'!$I$6,$M3882='112'!$I$6))),"x",""))</f>
        <v/>
      </c>
      <c r="S3882" s="525" t="str">
        <f>IF(ISERROR(FIND('112'!$M$9,G3882,1)),"",IF((AND(LEFT(G3882,2)=LEFT('112'!$M$9,2),B3882&lt;'112'!$N$8,$L3882='112'!$I$6)),"x",""))</f>
        <v/>
      </c>
      <c r="T3882" s="525" t="str">
        <f>IF(ISERROR(FIND('112'!$M$9,G3882,1)),"",IF((AND(RIGHT(G3882,2)=RIGHT('112'!$M$9,2),B3882&lt;'112'!$N$8,$M3882='112'!$I$6)),"x",""))</f>
        <v/>
      </c>
      <c r="U3882" s="525" t="str">
        <f>IF(AND(B3882&gt;='IN-NX'!$P$3,B3882&lt;='IN-NX'!$Q$3,'IN-NX'!$D$7=D3882,OR(LEFT(L3882,2)="15",AND(LEFT(M3882,2)&lt;&gt;"15",LEFT(M3882,2)&lt;&gt;"33"))),"x","")</f>
        <v/>
      </c>
      <c r="V3882" s="525" t="str">
        <f>IF(AND(OR(LEFT(TH!L3882,2)="15",LEFT(TH!M3882,2)="15"),'152-CT'!$J$8=TH!F3882),"x","")</f>
        <v/>
      </c>
      <c r="W3882" s="525" t="str">
        <f>IF(AND(OR(LEFT(TH!L3882,2)="15",LEFT(TH!M3882,2)="15"),TK!$E$7=TH!F3882),"x","")</f>
        <v/>
      </c>
      <c r="X3882" s="525" t="str">
        <f>IF(AND('341-CT'!$E$9=H3882,OR(LEFT(L3882,3)=$X$7,LEFT(M3882,3)=$X$7)),"x","")</f>
        <v/>
      </c>
      <c r="Y3882" s="525" t="str">
        <f>IF(OR(TH!L3882=TH!$Y$7,M3882=TH!$Y$7),"x","")</f>
        <v/>
      </c>
      <c r="Z3882" s="525" t="str">
        <f>IF(AND(B3882&lt;=NKC!$N$8,B3882&gt;=NKC!$M$8),"x","")</f>
        <v/>
      </c>
      <c r="AA3882" s="535"/>
      <c r="AB3882" s="536"/>
      <c r="AC3882" s="536" t="str">
        <f>VLOOKUP(F3882,NXT!$B$12:$B$686,1,0)</f>
        <v>Thùng 89.5x89.5x40</v>
      </c>
    </row>
    <row r="3883" spans="1:30" s="503" customFormat="1" ht="15.75" customHeight="1">
      <c r="A3883" s="517" t="str">
        <f>IF(B3883&lt;&gt;"",IF(AND(B3883&gt;=_TM1,B3883&lt;=_TM2,OR(TH!L3883="1111",TH!M3883="1111")),TH!D3883,""),"")</f>
        <v/>
      </c>
      <c r="B3883" s="531">
        <f t="shared" si="452"/>
        <v>9</v>
      </c>
      <c r="C3883" s="315">
        <f t="shared" si="453"/>
        <v>43008</v>
      </c>
      <c r="D3883" s="544" t="s">
        <v>1181</v>
      </c>
      <c r="E3883" s="315">
        <v>43008</v>
      </c>
      <c r="F3883" s="250" t="s">
        <v>619</v>
      </c>
      <c r="G3883" s="314" t="s">
        <v>1703</v>
      </c>
      <c r="H3883" s="473" t="s">
        <v>284</v>
      </c>
      <c r="I3883" s="307">
        <v>15</v>
      </c>
      <c r="J3883" s="307">
        <v>33298</v>
      </c>
      <c r="K3883" s="532">
        <f t="shared" si="454"/>
        <v>499470</v>
      </c>
      <c r="L3883" s="534" t="s">
        <v>223</v>
      </c>
      <c r="M3883" s="534" t="s">
        <v>162</v>
      </c>
      <c r="N3883" s="525" t="str">
        <f>IF(AND('331-CT'!$E$7=TH!H3883,OR(L3883="331",M3883="331")),"331",IF(AND(OR(L3883="131",M3883="131"),H3883='131-CT'!$E$7),"131",""))</f>
        <v/>
      </c>
      <c r="O3883" s="525" t="str">
        <f>IF(AND($B3883&gt;='111'!$N$11,$B3883&lt;='111'!$O$11,OR($L3883=$O$7,$M3883=$O$7)),"x","")</f>
        <v/>
      </c>
      <c r="P3883" s="525" t="str">
        <f>IF(AND($L3883=$O$7,$B3883&lt;'111'!$N$11),"x","")</f>
        <v/>
      </c>
      <c r="Q3883" s="525" t="str">
        <f>IF(AND($M3883=$O$7,$B3883&lt;'111'!$N$11),"x","")</f>
        <v/>
      </c>
      <c r="R3883" s="525" t="str">
        <f>IF(ISERROR(FIND('112'!$M$9,G3883,1)),"",IF((AND(FIND('112'!$M$9,G3883,1)&gt;=1,$B3883&gt;='112'!$N$8,$B3883&lt;='112'!$O$8,OR($L3883='112'!$I$6,$M3883='112'!$I$6))),"x",""))</f>
        <v/>
      </c>
      <c r="S3883" s="525" t="str">
        <f>IF(ISERROR(FIND('112'!$M$9,G3883,1)),"",IF((AND(LEFT(G3883,2)=LEFT('112'!$M$9,2),B3883&lt;'112'!$N$8,$L3883='112'!$I$6)),"x",""))</f>
        <v/>
      </c>
      <c r="T3883" s="525" t="str">
        <f>IF(ISERROR(FIND('112'!$M$9,G3883,1)),"",IF((AND(RIGHT(G3883,2)=RIGHT('112'!$M$9,2),B3883&lt;'112'!$N$8,$M3883='112'!$I$6)),"x",""))</f>
        <v/>
      </c>
      <c r="U3883" s="525" t="str">
        <f>IF(AND(B3883&gt;='IN-NX'!$P$3,B3883&lt;='IN-NX'!$Q$3,'IN-NX'!$D$7=D3883,OR(LEFT(L3883,2)="15",AND(LEFT(M3883,2)&lt;&gt;"15",LEFT(M3883,2)&lt;&gt;"33"))),"x","")</f>
        <v/>
      </c>
      <c r="V3883" s="525" t="str">
        <f>IF(AND(OR(LEFT(TH!L3883,2)="15",LEFT(TH!M3883,2)="15"),'152-CT'!$J$8=TH!F3883),"x","")</f>
        <v/>
      </c>
      <c r="W3883" s="525" t="str">
        <f>IF(AND(OR(LEFT(TH!L3883,2)="15",LEFT(TH!M3883,2)="15"),TK!$E$7=TH!F3883),"x","")</f>
        <v/>
      </c>
      <c r="X3883" s="525" t="str">
        <f>IF(AND('341-CT'!$E$9=H3883,OR(LEFT(L3883,3)=$X$7,LEFT(M3883,3)=$X$7)),"x","")</f>
        <v/>
      </c>
      <c r="Y3883" s="525" t="str">
        <f>IF(OR(TH!L3883=TH!$Y$7,M3883=TH!$Y$7),"x","")</f>
        <v/>
      </c>
      <c r="Z3883" s="525" t="str">
        <f>IF(AND(B3883&lt;=NKC!$N$8,B3883&gt;=NKC!$M$8),"x","")</f>
        <v/>
      </c>
      <c r="AA3883" s="535"/>
      <c r="AB3883" s="536"/>
      <c r="AC3883" s="536" t="str">
        <f>VLOOKUP(F3883,NXT!$B$12:$B$686,1,0)</f>
        <v>Thùng 40x40x52</v>
      </c>
    </row>
    <row r="3884" spans="1:30" s="503" customFormat="1" ht="15.75" customHeight="1">
      <c r="A3884" s="517" t="str">
        <f>IF(B3884&lt;&gt;"",IF(AND(B3884&gt;=_TM1,B3884&lt;=_TM2,OR(TH!L3884="1111",TH!M3884="1111")),TH!D3884,""),"")</f>
        <v/>
      </c>
      <c r="B3884" s="531">
        <f t="shared" si="452"/>
        <v>9</v>
      </c>
      <c r="C3884" s="315">
        <f t="shared" si="453"/>
        <v>43008</v>
      </c>
      <c r="D3884" s="544" t="s">
        <v>1181</v>
      </c>
      <c r="E3884" s="315">
        <v>43008</v>
      </c>
      <c r="F3884" s="250" t="s">
        <v>750</v>
      </c>
      <c r="G3884" s="314" t="s">
        <v>1703</v>
      </c>
      <c r="H3884" s="473" t="s">
        <v>284</v>
      </c>
      <c r="I3884" s="307">
        <v>14</v>
      </c>
      <c r="J3884" s="307">
        <v>76601</v>
      </c>
      <c r="K3884" s="532">
        <f t="shared" si="454"/>
        <v>1072414</v>
      </c>
      <c r="L3884" s="534" t="s">
        <v>223</v>
      </c>
      <c r="M3884" s="534" t="s">
        <v>162</v>
      </c>
      <c r="N3884" s="525" t="str">
        <f>IF(AND('331-CT'!$E$7=TH!H3884,OR(L3884="331",M3884="331")),"331",IF(AND(OR(L3884="131",M3884="131"),H3884='131-CT'!$E$7),"131",""))</f>
        <v/>
      </c>
      <c r="O3884" s="525" t="str">
        <f>IF(AND($B3884&gt;='111'!$N$11,$B3884&lt;='111'!$O$11,OR($L3884=$O$7,$M3884=$O$7)),"x","")</f>
        <v/>
      </c>
      <c r="P3884" s="525" t="str">
        <f>IF(AND($L3884=$O$7,$B3884&lt;'111'!$N$11),"x","")</f>
        <v/>
      </c>
      <c r="Q3884" s="525" t="str">
        <f>IF(AND($M3884=$O$7,$B3884&lt;'111'!$N$11),"x","")</f>
        <v/>
      </c>
      <c r="R3884" s="525" t="str">
        <f>IF(ISERROR(FIND('112'!$M$9,G3884,1)),"",IF((AND(FIND('112'!$M$9,G3884,1)&gt;=1,$B3884&gt;='112'!$N$8,$B3884&lt;='112'!$O$8,OR($L3884='112'!$I$6,$M3884='112'!$I$6))),"x",""))</f>
        <v/>
      </c>
      <c r="S3884" s="525" t="str">
        <f>IF(ISERROR(FIND('112'!$M$9,G3884,1)),"",IF((AND(LEFT(G3884,2)=LEFT('112'!$M$9,2),B3884&lt;'112'!$N$8,$L3884='112'!$I$6)),"x",""))</f>
        <v/>
      </c>
      <c r="T3884" s="525" t="str">
        <f>IF(ISERROR(FIND('112'!$M$9,G3884,1)),"",IF((AND(RIGHT(G3884,2)=RIGHT('112'!$M$9,2),B3884&lt;'112'!$N$8,$M3884='112'!$I$6)),"x",""))</f>
        <v/>
      </c>
      <c r="U3884" s="525" t="str">
        <f>IF(AND(B3884&gt;='IN-NX'!$P$3,B3884&lt;='IN-NX'!$Q$3,'IN-NX'!$D$7=D3884,OR(LEFT(L3884,2)="15",AND(LEFT(M3884,2)&lt;&gt;"15",LEFT(M3884,2)&lt;&gt;"33"))),"x","")</f>
        <v/>
      </c>
      <c r="V3884" s="525" t="str">
        <f>IF(AND(OR(LEFT(TH!L3884,2)="15",LEFT(TH!M3884,2)="15"),'152-CT'!$J$8=TH!F3884),"x","")</f>
        <v/>
      </c>
      <c r="W3884" s="525" t="str">
        <f>IF(AND(OR(LEFT(TH!L3884,2)="15",LEFT(TH!M3884,2)="15"),TK!$E$7=TH!F3884),"x","")</f>
        <v/>
      </c>
      <c r="X3884" s="525" t="str">
        <f>IF(AND('341-CT'!$E$9=H3884,OR(LEFT(L3884,3)=$X$7,LEFT(M3884,3)=$X$7)),"x","")</f>
        <v/>
      </c>
      <c r="Y3884" s="525" t="str">
        <f>IF(OR(TH!L3884=TH!$Y$7,M3884=TH!$Y$7),"x","")</f>
        <v/>
      </c>
      <c r="Z3884" s="525" t="str">
        <f>IF(AND(B3884&lt;=NKC!$N$8,B3884&gt;=NKC!$M$8),"x","")</f>
        <v/>
      </c>
      <c r="AA3884" s="535"/>
      <c r="AB3884" s="536"/>
      <c r="AC3884" s="536" t="str">
        <f>VLOOKUP(F3884,NXT!$B$12:$B$686,1,0)</f>
        <v>Thùng 145x45x45</v>
      </c>
    </row>
    <row r="3885" spans="1:30" s="503" customFormat="1" ht="15.75" customHeight="1">
      <c r="A3885" s="517" t="str">
        <f>IF(B3885&lt;&gt;"",IF(AND(B3885&gt;=_TM1,B3885&lt;=_TM2,OR(TH!L3885="1111",TH!M3885="1111")),TH!D3885,""),"")</f>
        <v/>
      </c>
      <c r="B3885" s="531">
        <f t="shared" si="452"/>
        <v>9</v>
      </c>
      <c r="C3885" s="315">
        <f t="shared" si="453"/>
        <v>43008</v>
      </c>
      <c r="D3885" s="544" t="s">
        <v>1181</v>
      </c>
      <c r="E3885" s="315">
        <v>43008</v>
      </c>
      <c r="F3885" s="250" t="s">
        <v>1481</v>
      </c>
      <c r="G3885" s="314" t="s">
        <v>1703</v>
      </c>
      <c r="H3885" s="473" t="s">
        <v>284</v>
      </c>
      <c r="I3885" s="307">
        <v>3</v>
      </c>
      <c r="J3885" s="307">
        <v>154818</v>
      </c>
      <c r="K3885" s="532">
        <f t="shared" si="454"/>
        <v>464454</v>
      </c>
      <c r="L3885" s="534" t="s">
        <v>223</v>
      </c>
      <c r="M3885" s="534" t="s">
        <v>162</v>
      </c>
      <c r="N3885" s="525" t="str">
        <f>IF(AND('331-CT'!$E$7=TH!H3885,OR(L3885="331",M3885="331")),"331",IF(AND(OR(L3885="131",M3885="131"),H3885='131-CT'!$E$7),"131",""))</f>
        <v/>
      </c>
      <c r="O3885" s="525" t="str">
        <f>IF(AND($B3885&gt;='111'!$N$11,$B3885&lt;='111'!$O$11,OR($L3885=$O$7,$M3885=$O$7)),"x","")</f>
        <v/>
      </c>
      <c r="P3885" s="525" t="str">
        <f>IF(AND($L3885=$O$7,$B3885&lt;'111'!$N$11),"x","")</f>
        <v/>
      </c>
      <c r="Q3885" s="525" t="str">
        <f>IF(AND($M3885=$O$7,$B3885&lt;'111'!$N$11),"x","")</f>
        <v/>
      </c>
      <c r="R3885" s="525" t="str">
        <f>IF(ISERROR(FIND('112'!$M$9,G3885,1)),"",IF((AND(FIND('112'!$M$9,G3885,1)&gt;=1,$B3885&gt;='112'!$N$8,$B3885&lt;='112'!$O$8,OR($L3885='112'!$I$6,$M3885='112'!$I$6))),"x",""))</f>
        <v/>
      </c>
      <c r="S3885" s="525" t="str">
        <f>IF(ISERROR(FIND('112'!$M$9,G3885,1)),"",IF((AND(LEFT(G3885,2)=LEFT('112'!$M$9,2),B3885&lt;'112'!$N$8,$L3885='112'!$I$6)),"x",""))</f>
        <v/>
      </c>
      <c r="T3885" s="525" t="str">
        <f>IF(ISERROR(FIND('112'!$M$9,G3885,1)),"",IF((AND(RIGHT(G3885,2)=RIGHT('112'!$M$9,2),B3885&lt;'112'!$N$8,$M3885='112'!$I$6)),"x",""))</f>
        <v/>
      </c>
      <c r="U3885" s="525" t="str">
        <f>IF(AND(B3885&gt;='IN-NX'!$P$3,B3885&lt;='IN-NX'!$Q$3,'IN-NX'!$D$7=D3885,OR(LEFT(L3885,2)="15",AND(LEFT(M3885,2)&lt;&gt;"15",LEFT(M3885,2)&lt;&gt;"33"))),"x","")</f>
        <v/>
      </c>
      <c r="V3885" s="525" t="str">
        <f>IF(AND(OR(LEFT(TH!L3885,2)="15",LEFT(TH!M3885,2)="15"),'152-CT'!$J$8=TH!F3885),"x","")</f>
        <v/>
      </c>
      <c r="W3885" s="525" t="str">
        <f>IF(AND(OR(LEFT(TH!L3885,2)="15",LEFT(TH!M3885,2)="15"),TK!$E$7=TH!F3885),"x","")</f>
        <v/>
      </c>
      <c r="X3885" s="525" t="str">
        <f>IF(AND('341-CT'!$E$9=H3885,OR(LEFT(L3885,3)=$X$7,LEFT(M3885,3)=$X$7)),"x","")</f>
        <v/>
      </c>
      <c r="Y3885" s="525" t="str">
        <f>IF(OR(TH!L3885=TH!$Y$7,M3885=TH!$Y$7),"x","")</f>
        <v/>
      </c>
      <c r="Z3885" s="525" t="str">
        <f>IF(AND(B3885&lt;=NKC!$N$8,B3885&gt;=NKC!$M$8),"x","")</f>
        <v/>
      </c>
      <c r="AA3885" s="535"/>
      <c r="AB3885" s="536"/>
      <c r="AC3885" s="536" t="str">
        <f>VLOOKUP(F3885,NXT!$B$12:$B$686,1,0)</f>
        <v>Thùng 115x115x31</v>
      </c>
      <c r="AD3885" s="536"/>
    </row>
    <row r="3886" spans="1:30" s="503" customFormat="1" ht="15.75" customHeight="1">
      <c r="A3886" s="517" t="str">
        <f>IF(B3886&lt;&gt;"",IF(AND(B3886&gt;=_TM1,B3886&lt;=_TM2,OR(TH!L3886="1111",TH!M3886="1111")),TH!D3886,""),"")</f>
        <v/>
      </c>
      <c r="B3886" s="531">
        <f t="shared" si="452"/>
        <v>9</v>
      </c>
      <c r="C3886" s="315">
        <f t="shared" si="453"/>
        <v>43008</v>
      </c>
      <c r="D3886" s="544" t="s">
        <v>1181</v>
      </c>
      <c r="E3886" s="315">
        <v>43008</v>
      </c>
      <c r="F3886" s="250" t="s">
        <v>643</v>
      </c>
      <c r="G3886" s="314" t="s">
        <v>1703</v>
      </c>
      <c r="H3886" s="473" t="s">
        <v>284</v>
      </c>
      <c r="I3886" s="307">
        <v>13</v>
      </c>
      <c r="J3886" s="307">
        <v>92272</v>
      </c>
      <c r="K3886" s="532">
        <f t="shared" si="454"/>
        <v>1199536</v>
      </c>
      <c r="L3886" s="534" t="s">
        <v>223</v>
      </c>
      <c r="M3886" s="534" t="s">
        <v>162</v>
      </c>
      <c r="N3886" s="525" t="str">
        <f>IF(AND('331-CT'!$E$7=TH!H3886,OR(L3886="331",M3886="331")),"331",IF(AND(OR(L3886="131",M3886="131"),H3886='131-CT'!$E$7),"131",""))</f>
        <v/>
      </c>
      <c r="O3886" s="525" t="str">
        <f>IF(AND($B3886&gt;='111'!$N$11,$B3886&lt;='111'!$O$11,OR($L3886=$O$7,$M3886=$O$7)),"x","")</f>
        <v/>
      </c>
      <c r="P3886" s="525" t="str">
        <f>IF(AND($L3886=$O$7,$B3886&lt;'111'!$N$11),"x","")</f>
        <v/>
      </c>
      <c r="Q3886" s="525" t="str">
        <f>IF(AND($M3886=$O$7,$B3886&lt;'111'!$N$11),"x","")</f>
        <v/>
      </c>
      <c r="R3886" s="525" t="str">
        <f>IF(ISERROR(FIND('112'!$M$9,G3886,1)),"",IF((AND(FIND('112'!$M$9,G3886,1)&gt;=1,$B3886&gt;='112'!$N$8,$B3886&lt;='112'!$O$8,OR($L3886='112'!$I$6,$M3886='112'!$I$6))),"x",""))</f>
        <v/>
      </c>
      <c r="S3886" s="525" t="str">
        <f>IF(ISERROR(FIND('112'!$M$9,G3886,1)),"",IF((AND(LEFT(G3886,2)=LEFT('112'!$M$9,2),B3886&lt;'112'!$N$8,$L3886='112'!$I$6)),"x",""))</f>
        <v/>
      </c>
      <c r="T3886" s="525" t="str">
        <f>IF(ISERROR(FIND('112'!$M$9,G3886,1)),"",IF((AND(RIGHT(G3886,2)=RIGHT('112'!$M$9,2),B3886&lt;'112'!$N$8,$M3886='112'!$I$6)),"x",""))</f>
        <v/>
      </c>
      <c r="U3886" s="525" t="str">
        <f>IF(AND(B3886&gt;='IN-NX'!$P$3,B3886&lt;='IN-NX'!$Q$3,'IN-NX'!$D$7=D3886,OR(LEFT(L3886,2)="15",AND(LEFT(M3886,2)&lt;&gt;"15",LEFT(M3886,2)&lt;&gt;"33"))),"x","")</f>
        <v/>
      </c>
      <c r="V3886" s="525" t="str">
        <f>IF(AND(OR(LEFT(TH!L3886,2)="15",LEFT(TH!M3886,2)="15"),'152-CT'!$J$8=TH!F3886),"x","")</f>
        <v/>
      </c>
      <c r="W3886" s="525" t="str">
        <f>IF(AND(OR(LEFT(TH!L3886,2)="15",LEFT(TH!M3886,2)="15"),TK!$E$7=TH!F3886),"x","")</f>
        <v/>
      </c>
      <c r="X3886" s="525" t="str">
        <f>IF(AND('341-CT'!$E$9=H3886,OR(LEFT(L3886,3)=$X$7,LEFT(M3886,3)=$X$7)),"x","")</f>
        <v/>
      </c>
      <c r="Y3886" s="525" t="str">
        <f>IF(OR(TH!L3886=TH!$Y$7,M3886=TH!$Y$7),"x","")</f>
        <v/>
      </c>
      <c r="Z3886" s="525" t="str">
        <f>IF(AND(B3886&lt;=NKC!$N$8,B3886&gt;=NKC!$M$8),"x","")</f>
        <v/>
      </c>
      <c r="AA3886" s="535"/>
      <c r="AB3886" s="536"/>
      <c r="AC3886" s="536" t="str">
        <f>VLOOKUP(F3886,NXT!$B$12:$B$686,1,0)</f>
        <v>Thùng 185x40x52</v>
      </c>
    </row>
    <row r="3887" spans="1:30" s="503" customFormat="1" ht="15.75" customHeight="1">
      <c r="A3887" s="517" t="str">
        <f>IF(B3887&lt;&gt;"",IF(AND(B3887&gt;=_TM1,B3887&lt;=_TM2,OR(TH!L3887="1111",TH!M3887="1111")),TH!D3887,""),"")</f>
        <v/>
      </c>
      <c r="B3887" s="531">
        <f t="shared" si="452"/>
        <v>9</v>
      </c>
      <c r="C3887" s="315">
        <f t="shared" si="453"/>
        <v>43008</v>
      </c>
      <c r="D3887" s="544" t="s">
        <v>1181</v>
      </c>
      <c r="E3887" s="315">
        <v>43008</v>
      </c>
      <c r="F3887" s="250" t="s">
        <v>1479</v>
      </c>
      <c r="G3887" s="314" t="s">
        <v>1703</v>
      </c>
      <c r="H3887" s="473" t="s">
        <v>284</v>
      </c>
      <c r="I3887" s="307">
        <v>4</v>
      </c>
      <c r="J3887" s="307">
        <v>14720</v>
      </c>
      <c r="K3887" s="532">
        <f t="shared" si="454"/>
        <v>58880</v>
      </c>
      <c r="L3887" s="534" t="s">
        <v>223</v>
      </c>
      <c r="M3887" s="534" t="s">
        <v>162</v>
      </c>
      <c r="N3887" s="525" t="str">
        <f>IF(AND('331-CT'!$E$7=TH!H3887,OR(L3887="331",M3887="331")),"331",IF(AND(OR(L3887="131",M3887="131"),H3887='131-CT'!$E$7),"131",""))</f>
        <v/>
      </c>
      <c r="O3887" s="525" t="str">
        <f>IF(AND($B3887&gt;='111'!$N$11,$B3887&lt;='111'!$O$11,OR($L3887=$O$7,$M3887=$O$7)),"x","")</f>
        <v/>
      </c>
      <c r="P3887" s="525" t="str">
        <f>IF(AND($L3887=$O$7,$B3887&lt;'111'!$N$11),"x","")</f>
        <v/>
      </c>
      <c r="Q3887" s="525" t="str">
        <f>IF(AND($M3887=$O$7,$B3887&lt;'111'!$N$11),"x","")</f>
        <v/>
      </c>
      <c r="R3887" s="525" t="str">
        <f>IF(ISERROR(FIND('112'!$M$9,G3887,1)),"",IF((AND(FIND('112'!$M$9,G3887,1)&gt;=1,$B3887&gt;='112'!$N$8,$B3887&lt;='112'!$O$8,OR($L3887='112'!$I$6,$M3887='112'!$I$6))),"x",""))</f>
        <v/>
      </c>
      <c r="S3887" s="525" t="str">
        <f>IF(ISERROR(FIND('112'!$M$9,G3887,1)),"",IF((AND(LEFT(G3887,2)=LEFT('112'!$M$9,2),B3887&lt;'112'!$N$8,$L3887='112'!$I$6)),"x",""))</f>
        <v/>
      </c>
      <c r="T3887" s="525" t="str">
        <f>IF(ISERROR(FIND('112'!$M$9,G3887,1)),"",IF((AND(RIGHT(G3887,2)=RIGHT('112'!$M$9,2),B3887&lt;'112'!$N$8,$M3887='112'!$I$6)),"x",""))</f>
        <v/>
      </c>
      <c r="U3887" s="525" t="str">
        <f>IF(AND(B3887&gt;='IN-NX'!$P$3,B3887&lt;='IN-NX'!$Q$3,'IN-NX'!$D$7=D3887,OR(LEFT(L3887,2)="15",AND(LEFT(M3887,2)&lt;&gt;"15",LEFT(M3887,2)&lt;&gt;"33"))),"x","")</f>
        <v/>
      </c>
      <c r="V3887" s="525" t="str">
        <f>IF(AND(OR(LEFT(TH!L3887,2)="15",LEFT(TH!M3887,2)="15"),'152-CT'!$J$8=TH!F3887),"x","")</f>
        <v/>
      </c>
      <c r="W3887" s="525" t="str">
        <f>IF(AND(OR(LEFT(TH!L3887,2)="15",LEFT(TH!M3887,2)="15"),TK!$E$7=TH!F3887),"x","")</f>
        <v/>
      </c>
      <c r="X3887" s="525" t="str">
        <f>IF(AND('341-CT'!$E$9=H3887,OR(LEFT(L3887,3)=$X$7,LEFT(M3887,3)=$X$7)),"x","")</f>
        <v/>
      </c>
      <c r="Y3887" s="525" t="str">
        <f>IF(OR(TH!L3887=TH!$Y$7,M3887=TH!$Y$7),"x","")</f>
        <v/>
      </c>
      <c r="Z3887" s="525" t="str">
        <f>IF(AND(B3887&lt;=NKC!$N$8,B3887&gt;=NKC!$M$8),"x","")</f>
        <v/>
      </c>
      <c r="AA3887" s="535"/>
      <c r="AB3887" s="536"/>
      <c r="AC3887" s="536" t="str">
        <f>VLOOKUP(F3887,NXT!$B$12:$B$686,1,0)</f>
        <v>Thùng 32.5x32.5x47</v>
      </c>
      <c r="AD3887" s="536"/>
    </row>
    <row r="3888" spans="1:30" s="503" customFormat="1" ht="15.75" customHeight="1">
      <c r="A3888" s="517" t="str">
        <f>IF(B3888&lt;&gt;"",IF(AND(B3888&gt;=_TM1,B3888&lt;=_TM2,OR(TH!L3888="1111",TH!M3888="1111")),TH!D3888,""),"")</f>
        <v/>
      </c>
      <c r="B3888" s="531">
        <f t="shared" si="442"/>
        <v>9</v>
      </c>
      <c r="C3888" s="315">
        <f t="shared" si="443"/>
        <v>43008</v>
      </c>
      <c r="D3888" s="544" t="s">
        <v>1181</v>
      </c>
      <c r="E3888" s="315">
        <v>43008</v>
      </c>
      <c r="F3888" s="250" t="s">
        <v>1670</v>
      </c>
      <c r="G3888" s="314" t="s">
        <v>1703</v>
      </c>
      <c r="H3888" s="473" t="s">
        <v>284</v>
      </c>
      <c r="I3888" s="307">
        <v>12</v>
      </c>
      <c r="J3888" s="307">
        <v>94880</v>
      </c>
      <c r="K3888" s="532">
        <f t="shared" ref="K3888:K3894" si="455">ROUND(I3888*J3888,0)</f>
        <v>1138560</v>
      </c>
      <c r="L3888" s="534" t="s">
        <v>223</v>
      </c>
      <c r="M3888" s="534" t="s">
        <v>162</v>
      </c>
      <c r="N3888" s="525" t="str">
        <f>IF(AND('331-CT'!$E$7=TH!H3888,OR(L3888="331",M3888="331")),"331",IF(AND(OR(L3888="131",M3888="131"),H3888='131-CT'!$E$7),"131",""))</f>
        <v/>
      </c>
      <c r="O3888" s="525" t="str">
        <f>IF(AND($B3888&gt;='111'!$N$11,$B3888&lt;='111'!$O$11,OR($L3888=$O$7,$M3888=$O$7)),"x","")</f>
        <v/>
      </c>
      <c r="P3888" s="525" t="str">
        <f>IF(AND($L3888=$O$7,$B3888&lt;'111'!$N$11),"x","")</f>
        <v/>
      </c>
      <c r="Q3888" s="525" t="str">
        <f>IF(AND($M3888=$O$7,$B3888&lt;'111'!$N$11),"x","")</f>
        <v/>
      </c>
      <c r="R3888" s="525" t="str">
        <f>IF(ISERROR(FIND('112'!$M$9,G3888,1)),"",IF((AND(FIND('112'!$M$9,G3888,1)&gt;=1,$B3888&gt;='112'!$N$8,$B3888&lt;='112'!$O$8,OR($L3888='112'!$I$6,$M3888='112'!$I$6))),"x",""))</f>
        <v/>
      </c>
      <c r="S3888" s="525" t="str">
        <f>IF(ISERROR(FIND('112'!$M$9,G3888,1)),"",IF((AND(LEFT(G3888,2)=LEFT('112'!$M$9,2),B3888&lt;'112'!$N$8,$L3888='112'!$I$6)),"x",""))</f>
        <v/>
      </c>
      <c r="T3888" s="525" t="str">
        <f>IF(ISERROR(FIND('112'!$M$9,G3888,1)),"",IF((AND(RIGHT(G3888,2)=RIGHT('112'!$M$9,2),B3888&lt;'112'!$N$8,$M3888='112'!$I$6)),"x",""))</f>
        <v/>
      </c>
      <c r="U3888" s="525" t="str">
        <f>IF(AND(B3888&gt;='IN-NX'!$P$3,B3888&lt;='IN-NX'!$Q$3,'IN-NX'!$D$7=D3888,OR(LEFT(L3888,2)="15",AND(LEFT(M3888,2)&lt;&gt;"15",LEFT(M3888,2)&lt;&gt;"33"))),"x","")</f>
        <v/>
      </c>
      <c r="V3888" s="525" t="str">
        <f>IF(AND(OR(LEFT(TH!L3888,2)="15",LEFT(TH!M3888,2)="15"),'152-CT'!$J$8=TH!F3888),"x","")</f>
        <v/>
      </c>
      <c r="W3888" s="525" t="str">
        <f>IF(AND(OR(LEFT(TH!L3888,2)="15",LEFT(TH!M3888,2)="15"),TK!$E$7=TH!F3888),"x","")</f>
        <v/>
      </c>
      <c r="X3888" s="525" t="str">
        <f>IF(AND('341-CT'!$E$9=H3888,OR(LEFT(L3888,3)=$X$7,LEFT(M3888,3)=$X$7)),"x","")</f>
        <v/>
      </c>
      <c r="Y3888" s="525" t="str">
        <f>IF(OR(TH!L3888=TH!$Y$7,M3888=TH!$Y$7),"x","")</f>
        <v/>
      </c>
      <c r="Z3888" s="525" t="str">
        <f>IF(AND(B3888&lt;=NKC!$N$8,B3888&gt;=NKC!$M$8),"x","")</f>
        <v/>
      </c>
      <c r="AA3888" s="535"/>
      <c r="AB3888" s="536"/>
      <c r="AC3888" s="536" t="str">
        <f>VLOOKUP(F3888,NXT!$B$12:$B$686,1,0)</f>
        <v>Thùng 62x62x11</v>
      </c>
    </row>
    <row r="3889" spans="1:30" s="503" customFormat="1" ht="15.75" customHeight="1">
      <c r="A3889" s="517" t="str">
        <f>IF(B3889&lt;&gt;"",IF(AND(B3889&gt;=_TM1,B3889&lt;=_TM2,OR(TH!L3889="1111",TH!M3889="1111")),TH!D3889,""),"")</f>
        <v/>
      </c>
      <c r="B3889" s="531">
        <f t="shared" si="442"/>
        <v>9</v>
      </c>
      <c r="C3889" s="315">
        <f t="shared" si="443"/>
        <v>43008</v>
      </c>
      <c r="D3889" s="544" t="s">
        <v>1181</v>
      </c>
      <c r="E3889" s="315">
        <v>43008</v>
      </c>
      <c r="F3889" s="250" t="s">
        <v>1671</v>
      </c>
      <c r="G3889" s="314" t="s">
        <v>1703</v>
      </c>
      <c r="H3889" s="473" t="s">
        <v>284</v>
      </c>
      <c r="I3889" s="307">
        <v>15</v>
      </c>
      <c r="J3889" s="307">
        <v>38204</v>
      </c>
      <c r="K3889" s="532">
        <f t="shared" si="455"/>
        <v>573060</v>
      </c>
      <c r="L3889" s="534" t="s">
        <v>223</v>
      </c>
      <c r="M3889" s="534" t="s">
        <v>162</v>
      </c>
      <c r="N3889" s="525" t="str">
        <f>IF(AND('331-CT'!$E$7=TH!H3889,OR(L3889="331",M3889="331")),"331",IF(AND(OR(L3889="131",M3889="131"),H3889='131-CT'!$E$7),"131",""))</f>
        <v/>
      </c>
      <c r="O3889" s="525" t="str">
        <f>IF(AND($B3889&gt;='111'!$N$11,$B3889&lt;='111'!$O$11,OR($L3889=$O$7,$M3889=$O$7)),"x","")</f>
        <v/>
      </c>
      <c r="P3889" s="525" t="str">
        <f>IF(AND($L3889=$O$7,$B3889&lt;'111'!$N$11),"x","")</f>
        <v/>
      </c>
      <c r="Q3889" s="525" t="str">
        <f>IF(AND($M3889=$O$7,$B3889&lt;'111'!$N$11),"x","")</f>
        <v/>
      </c>
      <c r="R3889" s="525" t="str">
        <f>IF(ISERROR(FIND('112'!$M$9,G3889,1)),"",IF((AND(FIND('112'!$M$9,G3889,1)&gt;=1,$B3889&gt;='112'!$N$8,$B3889&lt;='112'!$O$8,OR($L3889='112'!$I$6,$M3889='112'!$I$6))),"x",""))</f>
        <v/>
      </c>
      <c r="S3889" s="525" t="str">
        <f>IF(ISERROR(FIND('112'!$M$9,G3889,1)),"",IF((AND(LEFT(G3889,2)=LEFT('112'!$M$9,2),B3889&lt;'112'!$N$8,$L3889='112'!$I$6)),"x",""))</f>
        <v/>
      </c>
      <c r="T3889" s="525" t="str">
        <f>IF(ISERROR(FIND('112'!$M$9,G3889,1)),"",IF((AND(RIGHT(G3889,2)=RIGHT('112'!$M$9,2),B3889&lt;'112'!$N$8,$M3889='112'!$I$6)),"x",""))</f>
        <v/>
      </c>
      <c r="U3889" s="525" t="str">
        <f>IF(AND(B3889&gt;='IN-NX'!$P$3,B3889&lt;='IN-NX'!$Q$3,'IN-NX'!$D$7=D3889,OR(LEFT(L3889,2)="15",AND(LEFT(M3889,2)&lt;&gt;"15",LEFT(M3889,2)&lt;&gt;"33"))),"x","")</f>
        <v/>
      </c>
      <c r="V3889" s="525" t="str">
        <f>IF(AND(OR(LEFT(TH!L3889,2)="15",LEFT(TH!M3889,2)="15"),'152-CT'!$J$8=TH!F3889),"x","")</f>
        <v/>
      </c>
      <c r="W3889" s="525" t="str">
        <f>IF(AND(OR(LEFT(TH!L3889,2)="15",LEFT(TH!M3889,2)="15"),TK!$E$7=TH!F3889),"x","")</f>
        <v/>
      </c>
      <c r="X3889" s="525" t="str">
        <f>IF(AND('341-CT'!$E$9=H3889,OR(LEFT(L3889,3)=$X$7,LEFT(M3889,3)=$X$7)),"x","")</f>
        <v/>
      </c>
      <c r="Y3889" s="525" t="str">
        <f>IF(OR(TH!L3889=TH!$Y$7,M3889=TH!$Y$7),"x","")</f>
        <v/>
      </c>
      <c r="Z3889" s="525" t="str">
        <f>IF(AND(B3889&lt;=NKC!$N$8,B3889&gt;=NKC!$M$8),"x","")</f>
        <v/>
      </c>
      <c r="AA3889" s="535"/>
      <c r="AB3889" s="536"/>
      <c r="AC3889" s="536" t="str">
        <f>VLOOKUP(F3889,NXT!$B$12:$B$686,1,0)</f>
        <v>Thùng 40x40x72</v>
      </c>
    </row>
    <row r="3890" spans="1:30" s="503" customFormat="1" ht="15.75" customHeight="1">
      <c r="A3890" s="517" t="str">
        <f>IF(B3890&lt;&gt;"",IF(AND(B3890&gt;=_TM1,B3890&lt;=_TM2,OR(TH!L3890="1111",TH!M3890="1111")),TH!D3890,""),"")</f>
        <v/>
      </c>
      <c r="B3890" s="531">
        <f t="shared" si="442"/>
        <v>9</v>
      </c>
      <c r="C3890" s="315">
        <f t="shared" si="443"/>
        <v>43008</v>
      </c>
      <c r="D3890" s="544" t="s">
        <v>1181</v>
      </c>
      <c r="E3890" s="315">
        <v>43008</v>
      </c>
      <c r="F3890" s="250" t="s">
        <v>1173</v>
      </c>
      <c r="G3890" s="314" t="s">
        <v>1703</v>
      </c>
      <c r="H3890" s="473" t="s">
        <v>284</v>
      </c>
      <c r="I3890" s="307">
        <v>20</v>
      </c>
      <c r="J3890" s="307">
        <v>56682</v>
      </c>
      <c r="K3890" s="532">
        <f t="shared" si="455"/>
        <v>1133640</v>
      </c>
      <c r="L3890" s="534" t="s">
        <v>223</v>
      </c>
      <c r="M3890" s="534" t="s">
        <v>162</v>
      </c>
      <c r="N3890" s="525" t="str">
        <f>IF(AND('331-CT'!$E$7=TH!H3890,OR(L3890="331",M3890="331")),"331",IF(AND(OR(L3890="131",M3890="131"),H3890='131-CT'!$E$7),"131",""))</f>
        <v/>
      </c>
      <c r="O3890" s="525" t="str">
        <f>IF(AND($B3890&gt;='111'!$N$11,$B3890&lt;='111'!$O$11,OR($L3890=$O$7,$M3890=$O$7)),"x","")</f>
        <v/>
      </c>
      <c r="P3890" s="525" t="str">
        <f>IF(AND($L3890=$O$7,$B3890&lt;'111'!$N$11),"x","")</f>
        <v/>
      </c>
      <c r="Q3890" s="525" t="str">
        <f>IF(AND($M3890=$O$7,$B3890&lt;'111'!$N$11),"x","")</f>
        <v/>
      </c>
      <c r="R3890" s="525" t="str">
        <f>IF(ISERROR(FIND('112'!$M$9,G3890,1)),"",IF((AND(FIND('112'!$M$9,G3890,1)&gt;=1,$B3890&gt;='112'!$N$8,$B3890&lt;='112'!$O$8,OR($L3890='112'!$I$6,$M3890='112'!$I$6))),"x",""))</f>
        <v/>
      </c>
      <c r="S3890" s="525" t="str">
        <f>IF(ISERROR(FIND('112'!$M$9,G3890,1)),"",IF((AND(LEFT(G3890,2)=LEFT('112'!$M$9,2),B3890&lt;'112'!$N$8,$L3890='112'!$I$6)),"x",""))</f>
        <v/>
      </c>
      <c r="T3890" s="525" t="str">
        <f>IF(ISERROR(FIND('112'!$M$9,G3890,1)),"",IF((AND(RIGHT(G3890,2)=RIGHT('112'!$M$9,2),B3890&lt;'112'!$N$8,$M3890='112'!$I$6)),"x",""))</f>
        <v/>
      </c>
      <c r="U3890" s="525" t="str">
        <f>IF(AND(B3890&gt;='IN-NX'!$P$3,B3890&lt;='IN-NX'!$Q$3,'IN-NX'!$D$7=D3890,OR(LEFT(L3890,2)="15",AND(LEFT(M3890,2)&lt;&gt;"15",LEFT(M3890,2)&lt;&gt;"33"))),"x","")</f>
        <v/>
      </c>
      <c r="V3890" s="525" t="str">
        <f>IF(AND(OR(LEFT(TH!L3890,2)="15",LEFT(TH!M3890,2)="15"),'152-CT'!$J$8=TH!F3890),"x","")</f>
        <v/>
      </c>
      <c r="W3890" s="525" t="str">
        <f>IF(AND(OR(LEFT(TH!L3890,2)="15",LEFT(TH!M3890,2)="15"),TK!$E$7=TH!F3890),"x","")</f>
        <v/>
      </c>
      <c r="X3890" s="525" t="str">
        <f>IF(AND('341-CT'!$E$9=H3890,OR(LEFT(L3890,3)=$X$7,LEFT(M3890,3)=$X$7)),"x","")</f>
        <v/>
      </c>
      <c r="Y3890" s="525" t="str">
        <f>IF(OR(TH!L3890=TH!$Y$7,M3890=TH!$Y$7),"x","")</f>
        <v/>
      </c>
      <c r="Z3890" s="525" t="str">
        <f>IF(AND(B3890&lt;=NKC!$N$8,B3890&gt;=NKC!$M$8),"x","")</f>
        <v/>
      </c>
      <c r="AA3890" s="535"/>
      <c r="AB3890" s="536"/>
      <c r="AC3890" s="536" t="str">
        <f>VLOOKUP(F3890,NXT!$B$12:$B$686,1,0)</f>
        <v>Giấy tấm 130x243</v>
      </c>
    </row>
    <row r="3891" spans="1:30" s="503" customFormat="1" ht="15.75" customHeight="1">
      <c r="A3891" s="517" t="str">
        <f>IF(B3891&lt;&gt;"",IF(AND(B3891&gt;=_TM1,B3891&lt;=_TM2,OR(TH!L3891="1111",TH!M3891="1111")),TH!D3891,""),"")</f>
        <v/>
      </c>
      <c r="B3891" s="531">
        <f t="shared" si="442"/>
        <v>9</v>
      </c>
      <c r="C3891" s="315">
        <f t="shared" si="443"/>
        <v>43008</v>
      </c>
      <c r="D3891" s="544" t="s">
        <v>1181</v>
      </c>
      <c r="E3891" s="315">
        <v>43008</v>
      </c>
      <c r="F3891" s="250" t="s">
        <v>1672</v>
      </c>
      <c r="G3891" s="314" t="s">
        <v>1703</v>
      </c>
      <c r="H3891" s="473" t="s">
        <v>284</v>
      </c>
      <c r="I3891" s="307">
        <v>20</v>
      </c>
      <c r="J3891" s="307">
        <v>83045</v>
      </c>
      <c r="K3891" s="532">
        <f t="shared" si="455"/>
        <v>1660900</v>
      </c>
      <c r="L3891" s="534" t="s">
        <v>223</v>
      </c>
      <c r="M3891" s="534" t="s">
        <v>162</v>
      </c>
      <c r="N3891" s="525" t="str">
        <f>IF(AND('331-CT'!$E$7=TH!H3891,OR(L3891="331",M3891="331")),"331",IF(AND(OR(L3891="131",M3891="131"),H3891='131-CT'!$E$7),"131",""))</f>
        <v/>
      </c>
      <c r="O3891" s="525" t="str">
        <f>IF(AND($B3891&gt;='111'!$N$11,$B3891&lt;='111'!$O$11,OR($L3891=$O$7,$M3891=$O$7)),"x","")</f>
        <v/>
      </c>
      <c r="P3891" s="525" t="str">
        <f>IF(AND($L3891=$O$7,$B3891&lt;'111'!$N$11),"x","")</f>
        <v/>
      </c>
      <c r="Q3891" s="525" t="str">
        <f>IF(AND($M3891=$O$7,$B3891&lt;'111'!$N$11),"x","")</f>
        <v/>
      </c>
      <c r="R3891" s="525" t="str">
        <f>IF(ISERROR(FIND('112'!$M$9,G3891,1)),"",IF((AND(FIND('112'!$M$9,G3891,1)&gt;=1,$B3891&gt;='112'!$N$8,$B3891&lt;='112'!$O$8,OR($L3891='112'!$I$6,$M3891='112'!$I$6))),"x",""))</f>
        <v/>
      </c>
      <c r="S3891" s="525" t="str">
        <f>IF(ISERROR(FIND('112'!$M$9,G3891,1)),"",IF((AND(LEFT(G3891,2)=LEFT('112'!$M$9,2),B3891&lt;'112'!$N$8,$L3891='112'!$I$6)),"x",""))</f>
        <v/>
      </c>
      <c r="T3891" s="525" t="str">
        <f>IF(ISERROR(FIND('112'!$M$9,G3891,1)),"",IF((AND(RIGHT(G3891,2)=RIGHT('112'!$M$9,2),B3891&lt;'112'!$N$8,$M3891='112'!$I$6)),"x",""))</f>
        <v/>
      </c>
      <c r="U3891" s="525" t="str">
        <f>IF(AND(B3891&gt;='IN-NX'!$P$3,B3891&lt;='IN-NX'!$Q$3,'IN-NX'!$D$7=D3891,OR(LEFT(L3891,2)="15",AND(LEFT(M3891,2)&lt;&gt;"15",LEFT(M3891,2)&lt;&gt;"33"))),"x","")</f>
        <v/>
      </c>
      <c r="V3891" s="525" t="str">
        <f>IF(AND(OR(LEFT(TH!L3891,2)="15",LEFT(TH!M3891,2)="15"),'152-CT'!$J$8=TH!F3891),"x","")</f>
        <v/>
      </c>
      <c r="W3891" s="525" t="str">
        <f>IF(AND(OR(LEFT(TH!L3891,2)="15",LEFT(TH!M3891,2)="15"),TK!$E$7=TH!F3891),"x","")</f>
        <v/>
      </c>
      <c r="X3891" s="525" t="str">
        <f>IF(AND('341-CT'!$E$9=H3891,OR(LEFT(L3891,3)=$X$7,LEFT(M3891,3)=$X$7)),"x","")</f>
        <v/>
      </c>
      <c r="Y3891" s="525" t="str">
        <f>IF(OR(TH!L3891=TH!$Y$7,M3891=TH!$Y$7),"x","")</f>
        <v/>
      </c>
      <c r="Z3891" s="525" t="str">
        <f>IF(AND(B3891&lt;=NKC!$N$8,B3891&gt;=NKC!$M$8),"x","")</f>
        <v/>
      </c>
      <c r="AA3891" s="535"/>
      <c r="AB3891" s="536"/>
      <c r="AC3891" s="536" t="str">
        <f>VLOOKUP(F3891,NXT!$B$12:$B$686,1,0)</f>
        <v>Thùng 93x86x18</v>
      </c>
      <c r="AD3891" s="536"/>
    </row>
    <row r="3892" spans="1:30" s="503" customFormat="1" ht="15.75" customHeight="1">
      <c r="A3892" s="517" t="str">
        <f>IF(B3892&lt;&gt;"",IF(AND(B3892&gt;=_TM1,B3892&lt;=_TM2,OR(TH!L3892="1111",TH!M3892="1111")),TH!D3892,""),"")</f>
        <v/>
      </c>
      <c r="B3892" s="531">
        <f t="shared" si="442"/>
        <v>9</v>
      </c>
      <c r="C3892" s="315">
        <f t="shared" si="443"/>
        <v>43008</v>
      </c>
      <c r="D3892" s="544" t="s">
        <v>1181</v>
      </c>
      <c r="E3892" s="315">
        <v>43008</v>
      </c>
      <c r="F3892" s="250" t="s">
        <v>689</v>
      </c>
      <c r="G3892" s="314" t="s">
        <v>1703</v>
      </c>
      <c r="H3892" s="473" t="s">
        <v>284</v>
      </c>
      <c r="I3892" s="307">
        <v>6</v>
      </c>
      <c r="J3892" s="307">
        <v>84247</v>
      </c>
      <c r="K3892" s="532">
        <f t="shared" si="455"/>
        <v>505482</v>
      </c>
      <c r="L3892" s="534" t="s">
        <v>223</v>
      </c>
      <c r="M3892" s="534" t="s">
        <v>162</v>
      </c>
      <c r="N3892" s="525" t="str">
        <f>IF(AND('331-CT'!$E$7=TH!H3892,OR(L3892="331",M3892="331")),"331",IF(AND(OR(L3892="131",M3892="131"),H3892='131-CT'!$E$7),"131",""))</f>
        <v/>
      </c>
      <c r="O3892" s="525" t="str">
        <f>IF(AND($B3892&gt;='111'!$N$11,$B3892&lt;='111'!$O$11,OR($L3892=$O$7,$M3892=$O$7)),"x","")</f>
        <v/>
      </c>
      <c r="P3892" s="525" t="str">
        <f>IF(AND($L3892=$O$7,$B3892&lt;'111'!$N$11),"x","")</f>
        <v/>
      </c>
      <c r="Q3892" s="525" t="str">
        <f>IF(AND($M3892=$O$7,$B3892&lt;'111'!$N$11),"x","")</f>
        <v/>
      </c>
      <c r="R3892" s="525" t="str">
        <f>IF(ISERROR(FIND('112'!$M$9,G3892,1)),"",IF((AND(FIND('112'!$M$9,G3892,1)&gt;=1,$B3892&gt;='112'!$N$8,$B3892&lt;='112'!$O$8,OR($L3892='112'!$I$6,$M3892='112'!$I$6))),"x",""))</f>
        <v/>
      </c>
      <c r="S3892" s="525" t="str">
        <f>IF(ISERROR(FIND('112'!$M$9,G3892,1)),"",IF((AND(LEFT(G3892,2)=LEFT('112'!$M$9,2),B3892&lt;'112'!$N$8,$L3892='112'!$I$6)),"x",""))</f>
        <v/>
      </c>
      <c r="T3892" s="525" t="str">
        <f>IF(ISERROR(FIND('112'!$M$9,G3892,1)),"",IF((AND(RIGHT(G3892,2)=RIGHT('112'!$M$9,2),B3892&lt;'112'!$N$8,$M3892='112'!$I$6)),"x",""))</f>
        <v/>
      </c>
      <c r="U3892" s="525" t="str">
        <f>IF(AND(B3892&gt;='IN-NX'!$P$3,B3892&lt;='IN-NX'!$Q$3,'IN-NX'!$D$7=D3892,OR(LEFT(L3892,2)="15",AND(LEFT(M3892,2)&lt;&gt;"15",LEFT(M3892,2)&lt;&gt;"33"))),"x","")</f>
        <v/>
      </c>
      <c r="V3892" s="525" t="str">
        <f>IF(AND(OR(LEFT(TH!L3892,2)="15",LEFT(TH!M3892,2)="15"),'152-CT'!$J$8=TH!F3892),"x","")</f>
        <v/>
      </c>
      <c r="W3892" s="525" t="str">
        <f>IF(AND(OR(LEFT(TH!L3892,2)="15",LEFT(TH!M3892,2)="15"),TK!$E$7=TH!F3892),"x","")</f>
        <v/>
      </c>
      <c r="X3892" s="525" t="str">
        <f>IF(AND('341-CT'!$E$9=H3892,OR(LEFT(L3892,3)=$X$7,LEFT(M3892,3)=$X$7)),"x","")</f>
        <v/>
      </c>
      <c r="Y3892" s="525" t="str">
        <f>IF(OR(TH!L3892=TH!$Y$7,M3892=TH!$Y$7),"x","")</f>
        <v/>
      </c>
      <c r="Z3892" s="525" t="str">
        <f>IF(AND(B3892&lt;=NKC!$N$8,B3892&gt;=NKC!$M$8),"x","")</f>
        <v/>
      </c>
      <c r="AA3892" s="535"/>
      <c r="AB3892" s="536"/>
      <c r="AC3892" s="536" t="str">
        <f>VLOOKUP(F3892,NXT!$B$12:$B$686,1,0)</f>
        <v>Thùng 67x67x67</v>
      </c>
    </row>
    <row r="3893" spans="1:30" s="503" customFormat="1" ht="15.75" customHeight="1">
      <c r="A3893" s="517" t="str">
        <f>IF(B3893&lt;&gt;"",IF(AND(B3893&gt;=_TM1,B3893&lt;=_TM2,OR(TH!L3893="1111",TH!M3893="1111")),TH!D3893,""),"")</f>
        <v/>
      </c>
      <c r="B3893" s="531">
        <f t="shared" si="442"/>
        <v>9</v>
      </c>
      <c r="C3893" s="315">
        <f t="shared" si="443"/>
        <v>43008</v>
      </c>
      <c r="D3893" s="544" t="s">
        <v>1181</v>
      </c>
      <c r="E3893" s="315">
        <v>43008</v>
      </c>
      <c r="F3893" s="250" t="s">
        <v>1451</v>
      </c>
      <c r="G3893" s="314" t="s">
        <v>1703</v>
      </c>
      <c r="H3893" s="473" t="s">
        <v>284</v>
      </c>
      <c r="I3893" s="307">
        <v>8</v>
      </c>
      <c r="J3893" s="307">
        <v>225657</v>
      </c>
      <c r="K3893" s="532">
        <f t="shared" si="455"/>
        <v>1805256</v>
      </c>
      <c r="L3893" s="534" t="s">
        <v>223</v>
      </c>
      <c r="M3893" s="534" t="s">
        <v>162</v>
      </c>
      <c r="N3893" s="525" t="str">
        <f>IF(AND('331-CT'!$E$7=TH!H3893,OR(L3893="331",M3893="331")),"331",IF(AND(OR(L3893="131",M3893="131"),H3893='131-CT'!$E$7),"131",""))</f>
        <v/>
      </c>
      <c r="O3893" s="525" t="str">
        <f>IF(AND($B3893&gt;='111'!$N$11,$B3893&lt;='111'!$O$11,OR($L3893=$O$7,$M3893=$O$7)),"x","")</f>
        <v/>
      </c>
      <c r="P3893" s="525" t="str">
        <f>IF(AND($L3893=$O$7,$B3893&lt;'111'!$N$11),"x","")</f>
        <v/>
      </c>
      <c r="Q3893" s="525" t="str">
        <f>IF(AND($M3893=$O$7,$B3893&lt;'111'!$N$11),"x","")</f>
        <v/>
      </c>
      <c r="R3893" s="525" t="str">
        <f>IF(ISERROR(FIND('112'!$M$9,G3893,1)),"",IF((AND(FIND('112'!$M$9,G3893,1)&gt;=1,$B3893&gt;='112'!$N$8,$B3893&lt;='112'!$O$8,OR($L3893='112'!$I$6,$M3893='112'!$I$6))),"x",""))</f>
        <v/>
      </c>
      <c r="S3893" s="525" t="str">
        <f>IF(ISERROR(FIND('112'!$M$9,G3893,1)),"",IF((AND(LEFT(G3893,2)=LEFT('112'!$M$9,2),B3893&lt;'112'!$N$8,$L3893='112'!$I$6)),"x",""))</f>
        <v/>
      </c>
      <c r="T3893" s="525" t="str">
        <f>IF(ISERROR(FIND('112'!$M$9,G3893,1)),"",IF((AND(RIGHT(G3893,2)=RIGHT('112'!$M$9,2),B3893&lt;'112'!$N$8,$M3893='112'!$I$6)),"x",""))</f>
        <v/>
      </c>
      <c r="U3893" s="525" t="str">
        <f>IF(AND(B3893&gt;='IN-NX'!$P$3,B3893&lt;='IN-NX'!$Q$3,'IN-NX'!$D$7=D3893,OR(LEFT(L3893,2)="15",AND(LEFT(M3893,2)&lt;&gt;"15",LEFT(M3893,2)&lt;&gt;"33"))),"x","")</f>
        <v/>
      </c>
      <c r="V3893" s="525" t="str">
        <f>IF(AND(OR(LEFT(TH!L3893,2)="15",LEFT(TH!M3893,2)="15"),'152-CT'!$J$8=TH!F3893),"x","")</f>
        <v/>
      </c>
      <c r="W3893" s="525" t="str">
        <f>IF(AND(OR(LEFT(TH!L3893,2)="15",LEFT(TH!M3893,2)="15"),TK!$E$7=TH!F3893),"x","")</f>
        <v/>
      </c>
      <c r="X3893" s="525" t="str">
        <f>IF(AND('341-CT'!$E$9=H3893,OR(LEFT(L3893,3)=$X$7,LEFT(M3893,3)=$X$7)),"x","")</f>
        <v/>
      </c>
      <c r="Y3893" s="525" t="str">
        <f>IF(OR(TH!L3893=TH!$Y$7,M3893=TH!$Y$7),"x","")</f>
        <v/>
      </c>
      <c r="Z3893" s="525" t="str">
        <f>IF(AND(B3893&lt;=NKC!$N$8,B3893&gt;=NKC!$M$8),"x","")</f>
        <v/>
      </c>
      <c r="AA3893" s="535"/>
      <c r="AB3893" s="536"/>
      <c r="AC3893" s="536" t="str">
        <f>VLOOKUP(F3893,NXT!$B$12:$B$686,1,0)</f>
        <v>Thùng 132x132x55</v>
      </c>
      <c r="AD3893" s="536"/>
    </row>
    <row r="3894" spans="1:30" s="503" customFormat="1" ht="15.75" customHeight="1">
      <c r="A3894" s="517" t="str">
        <f>IF(B3894&lt;&gt;"",IF(AND(B3894&gt;=_TM1,B3894&lt;=_TM2,OR(TH!L3894="1111",TH!M3894="1111")),TH!D3894,""),"")</f>
        <v/>
      </c>
      <c r="B3894" s="531">
        <f t="shared" si="442"/>
        <v>9</v>
      </c>
      <c r="C3894" s="315">
        <f t="shared" si="443"/>
        <v>43008</v>
      </c>
      <c r="D3894" s="544" t="s">
        <v>1181</v>
      </c>
      <c r="E3894" s="315">
        <v>43008</v>
      </c>
      <c r="F3894" s="250" t="s">
        <v>659</v>
      </c>
      <c r="G3894" s="314" t="s">
        <v>1703</v>
      </c>
      <c r="H3894" s="473" t="s">
        <v>284</v>
      </c>
      <c r="I3894" s="307">
        <v>4</v>
      </c>
      <c r="J3894" s="307">
        <v>86685</v>
      </c>
      <c r="K3894" s="532">
        <f t="shared" si="455"/>
        <v>346740</v>
      </c>
      <c r="L3894" s="534" t="s">
        <v>223</v>
      </c>
      <c r="M3894" s="534" t="s">
        <v>162</v>
      </c>
      <c r="N3894" s="525" t="str">
        <f>IF(AND('331-CT'!$E$7=TH!H3894,OR(L3894="331",M3894="331")),"331",IF(AND(OR(L3894="131",M3894="131"),H3894='131-CT'!$E$7),"131",""))</f>
        <v/>
      </c>
      <c r="O3894" s="525" t="str">
        <f>IF(AND($B3894&gt;='111'!$N$11,$B3894&lt;='111'!$O$11,OR($L3894=$O$7,$M3894=$O$7)),"x","")</f>
        <v/>
      </c>
      <c r="P3894" s="525" t="str">
        <f>IF(AND($L3894=$O$7,$B3894&lt;'111'!$N$11),"x","")</f>
        <v/>
      </c>
      <c r="Q3894" s="525" t="str">
        <f>IF(AND($M3894=$O$7,$B3894&lt;'111'!$N$11),"x","")</f>
        <v/>
      </c>
      <c r="R3894" s="525" t="str">
        <f>IF(ISERROR(FIND('112'!$M$9,G3894,1)),"",IF((AND(FIND('112'!$M$9,G3894,1)&gt;=1,$B3894&gt;='112'!$N$8,$B3894&lt;='112'!$O$8,OR($L3894='112'!$I$6,$M3894='112'!$I$6))),"x",""))</f>
        <v/>
      </c>
      <c r="S3894" s="525" t="str">
        <f>IF(ISERROR(FIND('112'!$M$9,G3894,1)),"",IF((AND(LEFT(G3894,2)=LEFT('112'!$M$9,2),B3894&lt;'112'!$N$8,$L3894='112'!$I$6)),"x",""))</f>
        <v/>
      </c>
      <c r="T3894" s="525" t="str">
        <f>IF(ISERROR(FIND('112'!$M$9,G3894,1)),"",IF((AND(RIGHT(G3894,2)=RIGHT('112'!$M$9,2),B3894&lt;'112'!$N$8,$M3894='112'!$I$6)),"x",""))</f>
        <v/>
      </c>
      <c r="U3894" s="525" t="str">
        <f>IF(AND(B3894&gt;='IN-NX'!$P$3,B3894&lt;='IN-NX'!$Q$3,'IN-NX'!$D$7=D3894,OR(LEFT(L3894,2)="15",AND(LEFT(M3894,2)&lt;&gt;"15",LEFT(M3894,2)&lt;&gt;"33"))),"x","")</f>
        <v/>
      </c>
      <c r="V3894" s="525" t="str">
        <f>IF(AND(OR(LEFT(TH!L3894,2)="15",LEFT(TH!M3894,2)="15"),'152-CT'!$J$8=TH!F3894),"x","")</f>
        <v/>
      </c>
      <c r="W3894" s="525" t="str">
        <f>IF(AND(OR(LEFT(TH!L3894,2)="15",LEFT(TH!M3894,2)="15"),TK!$E$7=TH!F3894),"x","")</f>
        <v/>
      </c>
      <c r="X3894" s="525" t="str">
        <f>IF(AND('341-CT'!$E$9=H3894,OR(LEFT(L3894,3)=$X$7,LEFT(M3894,3)=$X$7)),"x","")</f>
        <v/>
      </c>
      <c r="Y3894" s="525" t="str">
        <f>IF(OR(TH!L3894=TH!$Y$7,M3894=TH!$Y$7),"x","")</f>
        <v/>
      </c>
      <c r="Z3894" s="525" t="str">
        <f>IF(AND(B3894&lt;=NKC!$N$8,B3894&gt;=NKC!$M$8),"x","")</f>
        <v/>
      </c>
      <c r="AA3894" s="535"/>
      <c r="AB3894" s="536"/>
      <c r="AC3894" s="536" t="str">
        <f>VLOOKUP(F3894,NXT!$B$12:$B$686,1,0)</f>
        <v>Thùng 62x62x87</v>
      </c>
      <c r="AD3894" s="536"/>
    </row>
    <row r="3895" spans="1:30" s="503" customFormat="1" ht="15.75" customHeight="1">
      <c r="A3895" s="517" t="str">
        <f>IF(B3895&lt;&gt;"",IF(AND(B3895&gt;=_TM1,B3895&lt;=_TM2,OR(TH!L3895="1111",TH!M3895="1111")),TH!D3895,""),"")</f>
        <v/>
      </c>
      <c r="B3895" s="531">
        <f t="shared" ref="B3895:B3902" si="456">IF(C3895&lt;&gt;"",MONTH(C3895),"")</f>
        <v>9</v>
      </c>
      <c r="C3895" s="315">
        <f t="shared" ref="C3895:C3902" si="457">E3895</f>
        <v>43008</v>
      </c>
      <c r="D3895" s="544" t="s">
        <v>1181</v>
      </c>
      <c r="E3895" s="315">
        <v>43008</v>
      </c>
      <c r="F3895" s="250" t="s">
        <v>690</v>
      </c>
      <c r="G3895" s="314" t="s">
        <v>1703</v>
      </c>
      <c r="H3895" s="473" t="s">
        <v>284</v>
      </c>
      <c r="I3895" s="307">
        <v>4</v>
      </c>
      <c r="J3895" s="307">
        <v>128409</v>
      </c>
      <c r="K3895" s="532">
        <f t="shared" ref="K3895:K3901" si="458">ROUND(I3895*J3895,0)</f>
        <v>513636</v>
      </c>
      <c r="L3895" s="534" t="s">
        <v>223</v>
      </c>
      <c r="M3895" s="534" t="s">
        <v>162</v>
      </c>
      <c r="N3895" s="525" t="str">
        <f>IF(AND('331-CT'!$E$7=TH!H3895,OR(L3895="331",M3895="331")),"331",IF(AND(OR(L3895="131",M3895="131"),H3895='131-CT'!$E$7),"131",""))</f>
        <v/>
      </c>
      <c r="O3895" s="525" t="str">
        <f>IF(AND($B3895&gt;='111'!$N$11,$B3895&lt;='111'!$O$11,OR($L3895=$O$7,$M3895=$O$7)),"x","")</f>
        <v/>
      </c>
      <c r="P3895" s="525" t="str">
        <f>IF(AND($L3895=$O$7,$B3895&lt;'111'!$N$11),"x","")</f>
        <v/>
      </c>
      <c r="Q3895" s="525" t="str">
        <f>IF(AND($M3895=$O$7,$B3895&lt;'111'!$N$11),"x","")</f>
        <v/>
      </c>
      <c r="R3895" s="525" t="str">
        <f>IF(ISERROR(FIND('112'!$M$9,G3895,1)),"",IF((AND(FIND('112'!$M$9,G3895,1)&gt;=1,$B3895&gt;='112'!$N$8,$B3895&lt;='112'!$O$8,OR($L3895='112'!$I$6,$M3895='112'!$I$6))),"x",""))</f>
        <v/>
      </c>
      <c r="S3895" s="525" t="str">
        <f>IF(ISERROR(FIND('112'!$M$9,G3895,1)),"",IF((AND(LEFT(G3895,2)=LEFT('112'!$M$9,2),B3895&lt;'112'!$N$8,$L3895='112'!$I$6)),"x",""))</f>
        <v/>
      </c>
      <c r="T3895" s="525" t="str">
        <f>IF(ISERROR(FIND('112'!$M$9,G3895,1)),"",IF((AND(RIGHT(G3895,2)=RIGHT('112'!$M$9,2),B3895&lt;'112'!$N$8,$M3895='112'!$I$6)),"x",""))</f>
        <v/>
      </c>
      <c r="U3895" s="525" t="str">
        <f>IF(AND(B3895&gt;='IN-NX'!$P$3,B3895&lt;='IN-NX'!$Q$3,'IN-NX'!$D$7=D3895,OR(LEFT(L3895,2)="15",AND(LEFT(M3895,2)&lt;&gt;"15",LEFT(M3895,2)&lt;&gt;"33"))),"x","")</f>
        <v/>
      </c>
      <c r="V3895" s="525" t="str">
        <f>IF(AND(OR(LEFT(TH!L3895,2)="15",LEFT(TH!M3895,2)="15"),'152-CT'!$J$8=TH!F3895),"x","")</f>
        <v/>
      </c>
      <c r="W3895" s="525" t="str">
        <f>IF(AND(OR(LEFT(TH!L3895,2)="15",LEFT(TH!M3895,2)="15"),TK!$E$7=TH!F3895),"x","")</f>
        <v/>
      </c>
      <c r="X3895" s="525" t="str">
        <f>IF(AND('341-CT'!$E$9=H3895,OR(LEFT(L3895,3)=$X$7,LEFT(M3895,3)=$X$7)),"x","")</f>
        <v/>
      </c>
      <c r="Y3895" s="525" t="str">
        <f>IF(OR(TH!L3895=TH!$Y$7,M3895=TH!$Y$7),"x","")</f>
        <v/>
      </c>
      <c r="Z3895" s="525" t="str">
        <f>IF(AND(B3895&lt;=NKC!$N$8,B3895&gt;=NKC!$M$8),"x","")</f>
        <v/>
      </c>
      <c r="AA3895" s="535"/>
      <c r="AB3895" s="536"/>
      <c r="AC3895" s="536" t="str">
        <f>VLOOKUP(F3895,NXT!$B$12:$B$686,1,0)</f>
        <v>Thùng 82x82x87</v>
      </c>
    </row>
    <row r="3896" spans="1:30" s="503" customFormat="1" ht="15.75" customHeight="1">
      <c r="A3896" s="517" t="str">
        <f>IF(B3896&lt;&gt;"",IF(AND(B3896&gt;=_TM1,B3896&lt;=_TM2,OR(TH!L3896="1111",TH!M3896="1111")),TH!D3896,""),"")</f>
        <v/>
      </c>
      <c r="B3896" s="531">
        <f t="shared" si="456"/>
        <v>9</v>
      </c>
      <c r="C3896" s="315">
        <f t="shared" si="457"/>
        <v>43008</v>
      </c>
      <c r="D3896" s="544" t="s">
        <v>1181</v>
      </c>
      <c r="E3896" s="315">
        <v>43008</v>
      </c>
      <c r="F3896" s="250" t="s">
        <v>691</v>
      </c>
      <c r="G3896" s="314" t="s">
        <v>1703</v>
      </c>
      <c r="H3896" s="473" t="s">
        <v>284</v>
      </c>
      <c r="I3896" s="307">
        <v>30</v>
      </c>
      <c r="J3896" s="307">
        <v>55631</v>
      </c>
      <c r="K3896" s="532">
        <f t="shared" si="458"/>
        <v>1668930</v>
      </c>
      <c r="L3896" s="534" t="s">
        <v>223</v>
      </c>
      <c r="M3896" s="534" t="s">
        <v>162</v>
      </c>
      <c r="N3896" s="525" t="str">
        <f>IF(AND('331-CT'!$E$7=TH!H3896,OR(L3896="331",M3896="331")),"331",IF(AND(OR(L3896="131",M3896="131"),H3896='131-CT'!$E$7),"131",""))</f>
        <v/>
      </c>
      <c r="O3896" s="525" t="str">
        <f>IF(AND($B3896&gt;='111'!$N$11,$B3896&lt;='111'!$O$11,OR($L3896=$O$7,$M3896=$O$7)),"x","")</f>
        <v/>
      </c>
      <c r="P3896" s="525" t="str">
        <f>IF(AND($L3896=$O$7,$B3896&lt;'111'!$N$11),"x","")</f>
        <v/>
      </c>
      <c r="Q3896" s="525" t="str">
        <f>IF(AND($M3896=$O$7,$B3896&lt;'111'!$N$11),"x","")</f>
        <v/>
      </c>
      <c r="R3896" s="525" t="str">
        <f>IF(ISERROR(FIND('112'!$M$9,G3896,1)),"",IF((AND(FIND('112'!$M$9,G3896,1)&gt;=1,$B3896&gt;='112'!$N$8,$B3896&lt;='112'!$O$8,OR($L3896='112'!$I$6,$M3896='112'!$I$6))),"x",""))</f>
        <v/>
      </c>
      <c r="S3896" s="525" t="str">
        <f>IF(ISERROR(FIND('112'!$M$9,G3896,1)),"",IF((AND(LEFT(G3896,2)=LEFT('112'!$M$9,2),B3896&lt;'112'!$N$8,$L3896='112'!$I$6)),"x",""))</f>
        <v/>
      </c>
      <c r="T3896" s="525" t="str">
        <f>IF(ISERROR(FIND('112'!$M$9,G3896,1)),"",IF((AND(RIGHT(G3896,2)=RIGHT('112'!$M$9,2),B3896&lt;'112'!$N$8,$M3896='112'!$I$6)),"x",""))</f>
        <v/>
      </c>
      <c r="U3896" s="525" t="str">
        <f>IF(AND(B3896&gt;='IN-NX'!$P$3,B3896&lt;='IN-NX'!$Q$3,'IN-NX'!$D$7=D3896,OR(LEFT(L3896,2)="15",AND(LEFT(M3896,2)&lt;&gt;"15",LEFT(M3896,2)&lt;&gt;"33"))),"x","")</f>
        <v/>
      </c>
      <c r="V3896" s="525" t="str">
        <f>IF(AND(OR(LEFT(TH!L3896,2)="15",LEFT(TH!M3896,2)="15"),'152-CT'!$J$8=TH!F3896),"x","")</f>
        <v/>
      </c>
      <c r="W3896" s="525" t="str">
        <f>IF(AND(OR(LEFT(TH!L3896,2)="15",LEFT(TH!M3896,2)="15"),TK!$E$7=TH!F3896),"x","")</f>
        <v/>
      </c>
      <c r="X3896" s="525" t="str">
        <f>IF(AND('341-CT'!$E$9=H3896,OR(LEFT(L3896,3)=$X$7,LEFT(M3896,3)=$X$7)),"x","")</f>
        <v/>
      </c>
      <c r="Y3896" s="525" t="str">
        <f>IF(OR(TH!L3896=TH!$Y$7,M3896=TH!$Y$7),"x","")</f>
        <v/>
      </c>
      <c r="Z3896" s="525" t="str">
        <f>IF(AND(B3896&lt;=NKC!$N$8,B3896&gt;=NKC!$M$8),"x","")</f>
        <v/>
      </c>
      <c r="AA3896" s="535"/>
      <c r="AB3896" s="536"/>
      <c r="AC3896" s="536" t="str">
        <f>VLOOKUP(F3896,NXT!$B$12:$B$686,1,0)</f>
        <v>Thùng 62x37x87</v>
      </c>
    </row>
    <row r="3897" spans="1:30" s="503" customFormat="1" ht="15.75" customHeight="1">
      <c r="A3897" s="517" t="str">
        <f>IF(B3897&lt;&gt;"",IF(AND(B3897&gt;=_TM1,B3897&lt;=_TM2,OR(TH!L3897="1111",TH!M3897="1111")),TH!D3897,""),"")</f>
        <v/>
      </c>
      <c r="B3897" s="531">
        <f t="shared" si="456"/>
        <v>9</v>
      </c>
      <c r="C3897" s="315">
        <f t="shared" si="457"/>
        <v>43008</v>
      </c>
      <c r="D3897" s="544" t="s">
        <v>1181</v>
      </c>
      <c r="E3897" s="315">
        <v>43008</v>
      </c>
      <c r="F3897" s="250" t="s">
        <v>1673</v>
      </c>
      <c r="G3897" s="314" t="s">
        <v>1703</v>
      </c>
      <c r="H3897" s="473" t="s">
        <v>284</v>
      </c>
      <c r="I3897" s="307">
        <v>6</v>
      </c>
      <c r="J3897" s="307">
        <v>190059</v>
      </c>
      <c r="K3897" s="532">
        <f t="shared" si="458"/>
        <v>1140354</v>
      </c>
      <c r="L3897" s="534" t="s">
        <v>223</v>
      </c>
      <c r="M3897" s="534" t="s">
        <v>162</v>
      </c>
      <c r="N3897" s="525" t="str">
        <f>IF(AND('331-CT'!$E$7=TH!H3897,OR(L3897="331",M3897="331")),"331",IF(AND(OR(L3897="131",M3897="131"),H3897='131-CT'!$E$7),"131",""))</f>
        <v/>
      </c>
      <c r="O3897" s="525" t="str">
        <f>IF(AND($B3897&gt;='111'!$N$11,$B3897&lt;='111'!$O$11,OR($L3897=$O$7,$M3897=$O$7)),"x","")</f>
        <v/>
      </c>
      <c r="P3897" s="525" t="str">
        <f>IF(AND($L3897=$O$7,$B3897&lt;'111'!$N$11),"x","")</f>
        <v/>
      </c>
      <c r="Q3897" s="525" t="str">
        <f>IF(AND($M3897=$O$7,$B3897&lt;'111'!$N$11),"x","")</f>
        <v/>
      </c>
      <c r="R3897" s="525" t="str">
        <f>IF(ISERROR(FIND('112'!$M$9,G3897,1)),"",IF((AND(FIND('112'!$M$9,G3897,1)&gt;=1,$B3897&gt;='112'!$N$8,$B3897&lt;='112'!$O$8,OR($L3897='112'!$I$6,$M3897='112'!$I$6))),"x",""))</f>
        <v/>
      </c>
      <c r="S3897" s="525" t="str">
        <f>IF(ISERROR(FIND('112'!$M$9,G3897,1)),"",IF((AND(LEFT(G3897,2)=LEFT('112'!$M$9,2),B3897&lt;'112'!$N$8,$L3897='112'!$I$6)),"x",""))</f>
        <v/>
      </c>
      <c r="T3897" s="525" t="str">
        <f>IF(ISERROR(FIND('112'!$M$9,G3897,1)),"",IF((AND(RIGHT(G3897,2)=RIGHT('112'!$M$9,2),B3897&lt;'112'!$N$8,$M3897='112'!$I$6)),"x",""))</f>
        <v/>
      </c>
      <c r="U3897" s="525" t="str">
        <f>IF(AND(B3897&gt;='IN-NX'!$P$3,B3897&lt;='IN-NX'!$Q$3,'IN-NX'!$D$7=D3897,OR(LEFT(L3897,2)="15",AND(LEFT(M3897,2)&lt;&gt;"15",LEFT(M3897,2)&lt;&gt;"33"))),"x","")</f>
        <v/>
      </c>
      <c r="V3897" s="525" t="str">
        <f>IF(AND(OR(LEFT(TH!L3897,2)="15",LEFT(TH!M3897,2)="15"),'152-CT'!$J$8=TH!F3897),"x","")</f>
        <v/>
      </c>
      <c r="W3897" s="525" t="str">
        <f>IF(AND(OR(LEFT(TH!L3897,2)="15",LEFT(TH!M3897,2)="15"),TK!$E$7=TH!F3897),"x","")</f>
        <v/>
      </c>
      <c r="X3897" s="525" t="str">
        <f>IF(AND('341-CT'!$E$9=H3897,OR(LEFT(L3897,3)=$X$7,LEFT(M3897,3)=$X$7)),"x","")</f>
        <v/>
      </c>
      <c r="Y3897" s="525" t="str">
        <f>IF(OR(TH!L3897=TH!$Y$7,M3897=TH!$Y$7),"x","")</f>
        <v/>
      </c>
      <c r="Z3897" s="525" t="str">
        <f>IF(AND(B3897&lt;=NKC!$N$8,B3897&gt;=NKC!$M$8),"x","")</f>
        <v/>
      </c>
      <c r="AA3897" s="535"/>
      <c r="AB3897" s="536"/>
      <c r="AC3897" s="536" t="str">
        <f>VLOOKUP(F3897,NXT!$B$12:$B$686,1,0)</f>
        <v>Thùng 183x93x57</v>
      </c>
    </row>
    <row r="3898" spans="1:30" s="503" customFormat="1" ht="15.75" customHeight="1">
      <c r="A3898" s="517" t="str">
        <f>IF(B3898&lt;&gt;"",IF(AND(B3898&gt;=_TM1,B3898&lt;=_TM2,OR(TH!L3898="1111",TH!M3898="1111")),TH!D3898,""),"")</f>
        <v/>
      </c>
      <c r="B3898" s="531">
        <f t="shared" si="456"/>
        <v>9</v>
      </c>
      <c r="C3898" s="315">
        <f t="shared" si="457"/>
        <v>43008</v>
      </c>
      <c r="D3898" s="544" t="s">
        <v>1181</v>
      </c>
      <c r="E3898" s="315">
        <v>43008</v>
      </c>
      <c r="F3898" s="250" t="s">
        <v>611</v>
      </c>
      <c r="G3898" s="314" t="s">
        <v>1703</v>
      </c>
      <c r="H3898" s="473" t="s">
        <v>284</v>
      </c>
      <c r="I3898" s="307">
        <v>10</v>
      </c>
      <c r="J3898" s="307">
        <v>44590</v>
      </c>
      <c r="K3898" s="532">
        <f t="shared" si="458"/>
        <v>445900</v>
      </c>
      <c r="L3898" s="534" t="s">
        <v>223</v>
      </c>
      <c r="M3898" s="534" t="s">
        <v>162</v>
      </c>
      <c r="N3898" s="525" t="str">
        <f>IF(AND('331-CT'!$E$7=TH!H3898,OR(L3898="331",M3898="331")),"331",IF(AND(OR(L3898="131",M3898="131"),H3898='131-CT'!$E$7),"131",""))</f>
        <v/>
      </c>
      <c r="O3898" s="525" t="str">
        <f>IF(AND($B3898&gt;='111'!$N$11,$B3898&lt;='111'!$O$11,OR($L3898=$O$7,$M3898=$O$7)),"x","")</f>
        <v/>
      </c>
      <c r="P3898" s="525" t="str">
        <f>IF(AND($L3898=$O$7,$B3898&lt;'111'!$N$11),"x","")</f>
        <v/>
      </c>
      <c r="Q3898" s="525" t="str">
        <f>IF(AND($M3898=$O$7,$B3898&lt;'111'!$N$11),"x","")</f>
        <v/>
      </c>
      <c r="R3898" s="525" t="str">
        <f>IF(ISERROR(FIND('112'!$M$9,G3898,1)),"",IF((AND(FIND('112'!$M$9,G3898,1)&gt;=1,$B3898&gt;='112'!$N$8,$B3898&lt;='112'!$O$8,OR($L3898='112'!$I$6,$M3898='112'!$I$6))),"x",""))</f>
        <v/>
      </c>
      <c r="S3898" s="525" t="str">
        <f>IF(ISERROR(FIND('112'!$M$9,G3898,1)),"",IF((AND(LEFT(G3898,2)=LEFT('112'!$M$9,2),B3898&lt;'112'!$N$8,$L3898='112'!$I$6)),"x",""))</f>
        <v/>
      </c>
      <c r="T3898" s="525" t="str">
        <f>IF(ISERROR(FIND('112'!$M$9,G3898,1)),"",IF((AND(RIGHT(G3898,2)=RIGHT('112'!$M$9,2),B3898&lt;'112'!$N$8,$M3898='112'!$I$6)),"x",""))</f>
        <v/>
      </c>
      <c r="U3898" s="525" t="str">
        <f>IF(AND(B3898&gt;='IN-NX'!$P$3,B3898&lt;='IN-NX'!$Q$3,'IN-NX'!$D$7=D3898,OR(LEFT(L3898,2)="15",AND(LEFT(M3898,2)&lt;&gt;"15",LEFT(M3898,2)&lt;&gt;"33"))),"x","")</f>
        <v/>
      </c>
      <c r="V3898" s="525" t="str">
        <f>IF(AND(OR(LEFT(TH!L3898,2)="15",LEFT(TH!M3898,2)="15"),'152-CT'!$J$8=TH!F3898),"x","")</f>
        <v/>
      </c>
      <c r="W3898" s="525" t="str">
        <f>IF(AND(OR(LEFT(TH!L3898,2)="15",LEFT(TH!M3898,2)="15"),TK!$E$7=TH!F3898),"x","")</f>
        <v/>
      </c>
      <c r="X3898" s="525" t="str">
        <f>IF(AND('341-CT'!$E$9=H3898,OR(LEFT(L3898,3)=$X$7,LEFT(M3898,3)=$X$7)),"x","")</f>
        <v/>
      </c>
      <c r="Y3898" s="525" t="str">
        <f>IF(OR(TH!L3898=TH!$Y$7,M3898=TH!$Y$7),"x","")</f>
        <v/>
      </c>
      <c r="Z3898" s="525" t="str">
        <f>IF(AND(B3898&lt;=NKC!$N$8,B3898&gt;=NKC!$M$8),"x","")</f>
        <v/>
      </c>
      <c r="AA3898" s="535"/>
      <c r="AB3898" s="536"/>
      <c r="AC3898" s="536" t="str">
        <f>VLOOKUP(F3898,NXT!$B$12:$B$686,1,0)</f>
        <v>Thùng 47x47x59</v>
      </c>
      <c r="AD3898" s="536"/>
    </row>
    <row r="3899" spans="1:30" s="503" customFormat="1" ht="15.75" customHeight="1">
      <c r="A3899" s="517" t="str">
        <f>IF(B3899&lt;&gt;"",IF(AND(B3899&gt;=_TM1,B3899&lt;=_TM2,OR(TH!L3899="1111",TH!M3899="1111")),TH!D3899,""),"")</f>
        <v/>
      </c>
      <c r="B3899" s="531">
        <f t="shared" si="456"/>
        <v>9</v>
      </c>
      <c r="C3899" s="315">
        <f t="shared" si="457"/>
        <v>43008</v>
      </c>
      <c r="D3899" s="544" t="s">
        <v>1181</v>
      </c>
      <c r="E3899" s="315">
        <v>43008</v>
      </c>
      <c r="F3899" s="250" t="s">
        <v>693</v>
      </c>
      <c r="G3899" s="314" t="s">
        <v>1703</v>
      </c>
      <c r="H3899" s="473" t="s">
        <v>284</v>
      </c>
      <c r="I3899" s="307">
        <v>10</v>
      </c>
      <c r="J3899" s="307">
        <v>102971</v>
      </c>
      <c r="K3899" s="532">
        <f t="shared" si="458"/>
        <v>1029710</v>
      </c>
      <c r="L3899" s="534" t="s">
        <v>223</v>
      </c>
      <c r="M3899" s="534" t="s">
        <v>162</v>
      </c>
      <c r="N3899" s="525" t="str">
        <f>IF(AND('331-CT'!$E$7=TH!H3899,OR(L3899="331",M3899="331")),"331",IF(AND(OR(L3899="131",M3899="131"),H3899='131-CT'!$E$7),"131",""))</f>
        <v/>
      </c>
      <c r="O3899" s="525" t="str">
        <f>IF(AND($B3899&gt;='111'!$N$11,$B3899&lt;='111'!$O$11,OR($L3899=$O$7,$M3899=$O$7)),"x","")</f>
        <v/>
      </c>
      <c r="P3899" s="525" t="str">
        <f>IF(AND($L3899=$O$7,$B3899&lt;'111'!$N$11),"x","")</f>
        <v/>
      </c>
      <c r="Q3899" s="525" t="str">
        <f>IF(AND($M3899=$O$7,$B3899&lt;'111'!$N$11),"x","")</f>
        <v/>
      </c>
      <c r="R3899" s="525" t="str">
        <f>IF(ISERROR(FIND('112'!$M$9,G3899,1)),"",IF((AND(FIND('112'!$M$9,G3899,1)&gt;=1,$B3899&gt;='112'!$N$8,$B3899&lt;='112'!$O$8,OR($L3899='112'!$I$6,$M3899='112'!$I$6))),"x",""))</f>
        <v/>
      </c>
      <c r="S3899" s="525" t="str">
        <f>IF(ISERROR(FIND('112'!$M$9,G3899,1)),"",IF((AND(LEFT(G3899,2)=LEFT('112'!$M$9,2),B3899&lt;'112'!$N$8,$L3899='112'!$I$6)),"x",""))</f>
        <v/>
      </c>
      <c r="T3899" s="525" t="str">
        <f>IF(ISERROR(FIND('112'!$M$9,G3899,1)),"",IF((AND(RIGHT(G3899,2)=RIGHT('112'!$M$9,2),B3899&lt;'112'!$N$8,$M3899='112'!$I$6)),"x",""))</f>
        <v/>
      </c>
      <c r="U3899" s="525" t="str">
        <f>IF(AND(B3899&gt;='IN-NX'!$P$3,B3899&lt;='IN-NX'!$Q$3,'IN-NX'!$D$7=D3899,OR(LEFT(L3899,2)="15",AND(LEFT(M3899,2)&lt;&gt;"15",LEFT(M3899,2)&lt;&gt;"33"))),"x","")</f>
        <v/>
      </c>
      <c r="V3899" s="525" t="str">
        <f>IF(AND(OR(LEFT(TH!L3899,2)="15",LEFT(TH!M3899,2)="15"),'152-CT'!$J$8=TH!F3899),"x","")</f>
        <v/>
      </c>
      <c r="W3899" s="525" t="str">
        <f>IF(AND(OR(LEFT(TH!L3899,2)="15",LEFT(TH!M3899,2)="15"),TK!$E$7=TH!F3899),"x","")</f>
        <v/>
      </c>
      <c r="X3899" s="525" t="str">
        <f>IF(AND('341-CT'!$E$9=H3899,OR(LEFT(L3899,3)=$X$7,LEFT(M3899,3)=$X$7)),"x","")</f>
        <v/>
      </c>
      <c r="Y3899" s="525" t="str">
        <f>IF(OR(TH!L3899=TH!$Y$7,M3899=TH!$Y$7),"x","")</f>
        <v/>
      </c>
      <c r="Z3899" s="525" t="str">
        <f>IF(AND(B3899&lt;=NKC!$N$8,B3899&gt;=NKC!$M$8),"x","")</f>
        <v/>
      </c>
      <c r="AA3899" s="535"/>
      <c r="AB3899" s="536"/>
      <c r="AC3899" s="536" t="str">
        <f>VLOOKUP(F3899,NXT!$B$12:$B$686,1,0)</f>
        <v>Thùng 172x47x59</v>
      </c>
    </row>
    <row r="3900" spans="1:30" s="503" customFormat="1" ht="15.75" customHeight="1">
      <c r="A3900" s="517" t="str">
        <f>IF(B3900&lt;&gt;"",IF(AND(B3900&gt;=_TM1,B3900&lt;=_TM2,OR(TH!L3900="1111",TH!M3900="1111")),TH!D3900,""),"")</f>
        <v/>
      </c>
      <c r="B3900" s="531">
        <f t="shared" si="456"/>
        <v>9</v>
      </c>
      <c r="C3900" s="315">
        <f t="shared" si="457"/>
        <v>43008</v>
      </c>
      <c r="D3900" s="544" t="s">
        <v>1181</v>
      </c>
      <c r="E3900" s="315">
        <v>43008</v>
      </c>
      <c r="F3900" s="250" t="s">
        <v>1230</v>
      </c>
      <c r="G3900" s="314" t="s">
        <v>1703</v>
      </c>
      <c r="H3900" s="473" t="s">
        <v>284</v>
      </c>
      <c r="I3900" s="307">
        <v>5</v>
      </c>
      <c r="J3900" s="307">
        <v>110349</v>
      </c>
      <c r="K3900" s="532">
        <f t="shared" si="458"/>
        <v>551745</v>
      </c>
      <c r="L3900" s="534" t="s">
        <v>223</v>
      </c>
      <c r="M3900" s="534" t="s">
        <v>162</v>
      </c>
      <c r="N3900" s="525" t="str">
        <f>IF(AND('331-CT'!$E$7=TH!H3900,OR(L3900="331",M3900="331")),"331",IF(AND(OR(L3900="131",M3900="131"),H3900='131-CT'!$E$7),"131",""))</f>
        <v/>
      </c>
      <c r="O3900" s="525" t="str">
        <f>IF(AND($B3900&gt;='111'!$N$11,$B3900&lt;='111'!$O$11,OR($L3900=$O$7,$M3900=$O$7)),"x","")</f>
        <v/>
      </c>
      <c r="P3900" s="525" t="str">
        <f>IF(AND($L3900=$O$7,$B3900&lt;'111'!$N$11),"x","")</f>
        <v/>
      </c>
      <c r="Q3900" s="525" t="str">
        <f>IF(AND($M3900=$O$7,$B3900&lt;'111'!$N$11),"x","")</f>
        <v/>
      </c>
      <c r="R3900" s="525" t="str">
        <f>IF(ISERROR(FIND('112'!$M$9,G3900,1)),"",IF((AND(FIND('112'!$M$9,G3900,1)&gt;=1,$B3900&gt;='112'!$N$8,$B3900&lt;='112'!$O$8,OR($L3900='112'!$I$6,$M3900='112'!$I$6))),"x",""))</f>
        <v/>
      </c>
      <c r="S3900" s="525" t="str">
        <f>IF(ISERROR(FIND('112'!$M$9,G3900,1)),"",IF((AND(LEFT(G3900,2)=LEFT('112'!$M$9,2),B3900&lt;'112'!$N$8,$L3900='112'!$I$6)),"x",""))</f>
        <v/>
      </c>
      <c r="T3900" s="525" t="str">
        <f>IF(ISERROR(FIND('112'!$M$9,G3900,1)),"",IF((AND(RIGHT(G3900,2)=RIGHT('112'!$M$9,2),B3900&lt;'112'!$N$8,$M3900='112'!$I$6)),"x",""))</f>
        <v/>
      </c>
      <c r="U3900" s="525" t="str">
        <f>IF(AND(B3900&gt;='IN-NX'!$P$3,B3900&lt;='IN-NX'!$Q$3,'IN-NX'!$D$7=D3900,OR(LEFT(L3900,2)="15",AND(LEFT(M3900,2)&lt;&gt;"15",LEFT(M3900,2)&lt;&gt;"33"))),"x","")</f>
        <v/>
      </c>
      <c r="V3900" s="525" t="str">
        <f>IF(AND(OR(LEFT(TH!L3900,2)="15",LEFT(TH!M3900,2)="15"),'152-CT'!$J$8=TH!F3900),"x","")</f>
        <v/>
      </c>
      <c r="W3900" s="525" t="str">
        <f>IF(AND(OR(LEFT(TH!L3900,2)="15",LEFT(TH!M3900,2)="15"),TK!$E$7=TH!F3900),"x","")</f>
        <v/>
      </c>
      <c r="X3900" s="525" t="str">
        <f>IF(AND('341-CT'!$E$9=H3900,OR(LEFT(L3900,3)=$X$7,LEFT(M3900,3)=$X$7)),"x","")</f>
        <v/>
      </c>
      <c r="Y3900" s="525" t="str">
        <f>IF(OR(TH!L3900=TH!$Y$7,M3900=TH!$Y$7),"x","")</f>
        <v/>
      </c>
      <c r="Z3900" s="525" t="str">
        <f>IF(AND(B3900&lt;=NKC!$N$8,B3900&gt;=NKC!$M$8),"x","")</f>
        <v/>
      </c>
      <c r="AA3900" s="535"/>
      <c r="AB3900" s="536"/>
      <c r="AC3900" s="536" t="str">
        <f>VLOOKUP(F3900,NXT!$B$12:$B$686,1,0)</f>
        <v>Thùng 112x84x37</v>
      </c>
      <c r="AD3900" s="536"/>
    </row>
    <row r="3901" spans="1:30" s="503" customFormat="1" ht="15.75" customHeight="1">
      <c r="A3901" s="517" t="str">
        <f>IF(B3901&lt;&gt;"",IF(AND(B3901&gt;=_TM1,B3901&lt;=_TM2,OR(TH!L3901="1111",TH!M3901="1111")),TH!D3901,""),"")</f>
        <v/>
      </c>
      <c r="B3901" s="531">
        <f t="shared" si="456"/>
        <v>9</v>
      </c>
      <c r="C3901" s="315">
        <f t="shared" si="457"/>
        <v>43008</v>
      </c>
      <c r="D3901" s="544" t="s">
        <v>1181</v>
      </c>
      <c r="E3901" s="315">
        <v>43008</v>
      </c>
      <c r="F3901" s="250" t="s">
        <v>649</v>
      </c>
      <c r="G3901" s="314" t="s">
        <v>1703</v>
      </c>
      <c r="H3901" s="473" t="s">
        <v>284</v>
      </c>
      <c r="I3901" s="307">
        <v>8</v>
      </c>
      <c r="J3901" s="307">
        <v>72521</v>
      </c>
      <c r="K3901" s="532">
        <f t="shared" si="458"/>
        <v>580168</v>
      </c>
      <c r="L3901" s="534" t="s">
        <v>223</v>
      </c>
      <c r="M3901" s="534" t="s">
        <v>162</v>
      </c>
      <c r="N3901" s="525" t="str">
        <f>IF(AND('331-CT'!$E$7=TH!H3901,OR(L3901="331",M3901="331")),"331",IF(AND(OR(L3901="131",M3901="131"),H3901='131-CT'!$E$7),"131",""))</f>
        <v/>
      </c>
      <c r="O3901" s="525" t="str">
        <f>IF(AND($B3901&gt;='111'!$N$11,$B3901&lt;='111'!$O$11,OR($L3901=$O$7,$M3901=$O$7)),"x","")</f>
        <v/>
      </c>
      <c r="P3901" s="525" t="str">
        <f>IF(AND($L3901=$O$7,$B3901&lt;'111'!$N$11),"x","")</f>
        <v/>
      </c>
      <c r="Q3901" s="525" t="str">
        <f>IF(AND($M3901=$O$7,$B3901&lt;'111'!$N$11),"x","")</f>
        <v/>
      </c>
      <c r="R3901" s="525" t="str">
        <f>IF(ISERROR(FIND('112'!$M$9,G3901,1)),"",IF((AND(FIND('112'!$M$9,G3901,1)&gt;=1,$B3901&gt;='112'!$N$8,$B3901&lt;='112'!$O$8,OR($L3901='112'!$I$6,$M3901='112'!$I$6))),"x",""))</f>
        <v/>
      </c>
      <c r="S3901" s="525" t="str">
        <f>IF(ISERROR(FIND('112'!$M$9,G3901,1)),"",IF((AND(LEFT(G3901,2)=LEFT('112'!$M$9,2),B3901&lt;'112'!$N$8,$L3901='112'!$I$6)),"x",""))</f>
        <v/>
      </c>
      <c r="T3901" s="525" t="str">
        <f>IF(ISERROR(FIND('112'!$M$9,G3901,1)),"",IF((AND(RIGHT(G3901,2)=RIGHT('112'!$M$9,2),B3901&lt;'112'!$N$8,$M3901='112'!$I$6)),"x",""))</f>
        <v/>
      </c>
      <c r="U3901" s="525" t="str">
        <f>IF(AND(B3901&gt;='IN-NX'!$P$3,B3901&lt;='IN-NX'!$Q$3,'IN-NX'!$D$7=D3901,OR(LEFT(L3901,2)="15",AND(LEFT(M3901,2)&lt;&gt;"15",LEFT(M3901,2)&lt;&gt;"33"))),"x","")</f>
        <v/>
      </c>
      <c r="V3901" s="525" t="str">
        <f>IF(AND(OR(LEFT(TH!L3901,2)="15",LEFT(TH!M3901,2)="15"),'152-CT'!$J$8=TH!F3901),"x","")</f>
        <v/>
      </c>
      <c r="W3901" s="525" t="str">
        <f>IF(AND(OR(LEFT(TH!L3901,2)="15",LEFT(TH!M3901,2)="15"),TK!$E$7=TH!F3901),"x","")</f>
        <v/>
      </c>
      <c r="X3901" s="525" t="str">
        <f>IF(AND('341-CT'!$E$9=H3901,OR(LEFT(L3901,3)=$X$7,LEFT(M3901,3)=$X$7)),"x","")</f>
        <v/>
      </c>
      <c r="Y3901" s="525" t="str">
        <f>IF(OR(TH!L3901=TH!$Y$7,M3901=TH!$Y$7),"x","")</f>
        <v/>
      </c>
      <c r="Z3901" s="525" t="str">
        <f>IF(AND(B3901&lt;=NKC!$N$8,B3901&gt;=NKC!$M$8),"x","")</f>
        <v/>
      </c>
      <c r="AA3901" s="535"/>
      <c r="AB3901" s="536"/>
      <c r="AC3901" s="536" t="str">
        <f>VLOOKUP(F3901,NXT!$B$12:$B$686,1,0)</f>
        <v>Thùng 62x62x62</v>
      </c>
      <c r="AD3901" s="536"/>
    </row>
    <row r="3902" spans="1:30" s="503" customFormat="1" ht="15.75" customHeight="1">
      <c r="A3902" s="517" t="str">
        <f>IF(B3902&lt;&gt;"",IF(AND(B3902&gt;=_TM1,B3902&lt;=_TM2,OR(TH!L3902="1111",TH!M3902="1111")),TH!D3902,""),"")</f>
        <v/>
      </c>
      <c r="B3902" s="531">
        <f t="shared" si="456"/>
        <v>9</v>
      </c>
      <c r="C3902" s="315">
        <f t="shared" si="457"/>
        <v>43008</v>
      </c>
      <c r="D3902" s="544" t="s">
        <v>1181</v>
      </c>
      <c r="E3902" s="315">
        <v>43008</v>
      </c>
      <c r="F3902" s="249" t="s">
        <v>494</v>
      </c>
      <c r="G3902" s="314" t="s">
        <v>1703</v>
      </c>
      <c r="H3902" s="473" t="s">
        <v>284</v>
      </c>
      <c r="I3902" s="307"/>
      <c r="J3902" s="307"/>
      <c r="K3902" s="532">
        <v>10682391</v>
      </c>
      <c r="L3902" s="534" t="s">
        <v>223</v>
      </c>
      <c r="M3902" s="534" t="s">
        <v>259</v>
      </c>
      <c r="N3902" s="525" t="str">
        <f>IF(AND('331-CT'!$E$7=TH!H3902,OR(L3902="331",M3902="331")),"331",IF(AND(OR(L3902="131",M3902="131"),H3902='131-CT'!$E$7),"131",""))</f>
        <v/>
      </c>
      <c r="O3902" s="525" t="str">
        <f>IF(AND($B3902&gt;='111'!$N$11,$B3902&lt;='111'!$O$11,OR($L3902=$O$7,$M3902=$O$7)),"x","")</f>
        <v/>
      </c>
      <c r="P3902" s="525" t="str">
        <f>IF(AND($L3902=$O$7,$B3902&lt;'111'!$N$11),"x","")</f>
        <v/>
      </c>
      <c r="Q3902" s="525" t="str">
        <f>IF(AND($M3902=$O$7,$B3902&lt;'111'!$N$11),"x","")</f>
        <v/>
      </c>
      <c r="R3902" s="525" t="str">
        <f>IF(ISERROR(FIND('112'!$M$9,G3902,1)),"",IF((AND(FIND('112'!$M$9,G3902,1)&gt;=1,$B3902&gt;='112'!$N$8,$B3902&lt;='112'!$O$8,OR($L3902='112'!$I$6,$M3902='112'!$I$6))),"x",""))</f>
        <v/>
      </c>
      <c r="S3902" s="525" t="str">
        <f>IF(ISERROR(FIND('112'!$M$9,G3902,1)),"",IF((AND(LEFT(G3902,2)=LEFT('112'!$M$9,2),B3902&lt;'112'!$N$8,$L3902='112'!$I$6)),"x",""))</f>
        <v/>
      </c>
      <c r="T3902" s="525" t="str">
        <f>IF(ISERROR(FIND('112'!$M$9,G3902,1)),"",IF((AND(RIGHT(G3902,2)=RIGHT('112'!$M$9,2),B3902&lt;'112'!$N$8,$M3902='112'!$I$6)),"x",""))</f>
        <v/>
      </c>
      <c r="U3902" s="525" t="str">
        <f>IF(AND(B3902&gt;='IN-NX'!$P$3,B3902&lt;='IN-NX'!$Q$3,'IN-NX'!$D$7=D3902,OR(LEFT(L3902,2)="15",AND(LEFT(M3902,2)&lt;&gt;"15",LEFT(M3902,2)&lt;&gt;"33"))),"x","")</f>
        <v/>
      </c>
      <c r="V3902" s="525" t="str">
        <f>IF(AND(OR(LEFT(TH!L3902,2)="15",LEFT(TH!M3902,2)="15"),'152-CT'!$J$8=TH!F3902),"x","")</f>
        <v/>
      </c>
      <c r="W3902" s="525" t="str">
        <f>IF(AND(OR(LEFT(TH!L3902,2)="15",LEFT(TH!M3902,2)="15"),TK!$E$7=TH!F3902),"x","")</f>
        <v/>
      </c>
      <c r="X3902" s="525" t="str">
        <f>IF(AND('341-CT'!$E$9=H3902,OR(LEFT(L3902,3)=$X$7,LEFT(M3902,3)=$X$7)),"x","")</f>
        <v/>
      </c>
      <c r="Y3902" s="525" t="str">
        <f>IF(OR(TH!L3902=TH!$Y$7,M3902=TH!$Y$7),"x","")</f>
        <v/>
      </c>
      <c r="Z3902" s="525" t="str">
        <f>IF(AND(B3902&lt;=NKC!$N$8,B3902&gt;=NKC!$M$8),"x","")</f>
        <v/>
      </c>
      <c r="AA3902" s="535"/>
    </row>
    <row r="3903" spans="1:30" s="503" customFormat="1" ht="15.75" customHeight="1">
      <c r="A3903" s="517" t="str">
        <f>IF(B3903&lt;&gt;"",IF(AND(B3903&gt;=_TM1,B3903&lt;=_TM2,OR(TH!L3903="1111",TH!M3903="1111")),TH!D3903,""),"")</f>
        <v/>
      </c>
      <c r="B3903" s="531">
        <f t="shared" si="442"/>
        <v>9</v>
      </c>
      <c r="C3903" s="315">
        <f t="shared" si="443"/>
        <v>43008</v>
      </c>
      <c r="D3903" s="544" t="s">
        <v>1181</v>
      </c>
      <c r="E3903" s="315">
        <v>43008</v>
      </c>
      <c r="F3903" s="245" t="s">
        <v>503</v>
      </c>
      <c r="G3903" s="314" t="s">
        <v>1704</v>
      </c>
      <c r="H3903" s="473" t="s">
        <v>375</v>
      </c>
      <c r="I3903" s="307">
        <v>2071</v>
      </c>
      <c r="J3903" s="307">
        <v>8500</v>
      </c>
      <c r="K3903" s="532">
        <f t="shared" ref="K3903" si="459">ROUND(I3903*J3903,0)</f>
        <v>17603500</v>
      </c>
      <c r="L3903" s="534" t="s">
        <v>223</v>
      </c>
      <c r="M3903" s="534" t="s">
        <v>162</v>
      </c>
      <c r="N3903" s="525" t="str">
        <f>IF(AND('331-CT'!$E$7=TH!H3903,OR(L3903="331",M3903="331")),"331",IF(AND(OR(L3903="131",M3903="131"),H3903='131-CT'!$E$7),"131",""))</f>
        <v/>
      </c>
      <c r="O3903" s="525" t="str">
        <f>IF(AND($B3903&gt;='111'!$N$11,$B3903&lt;='111'!$O$11,OR($L3903=$O$7,$M3903=$O$7)),"x","")</f>
        <v/>
      </c>
      <c r="P3903" s="525" t="str">
        <f>IF(AND($L3903=$O$7,$B3903&lt;'111'!$N$11),"x","")</f>
        <v/>
      </c>
      <c r="Q3903" s="525" t="str">
        <f>IF(AND($M3903=$O$7,$B3903&lt;'111'!$N$11),"x","")</f>
        <v/>
      </c>
      <c r="R3903" s="525" t="str">
        <f>IF(ISERROR(FIND('112'!$M$9,G3903,1)),"",IF((AND(FIND('112'!$M$9,G3903,1)&gt;=1,$B3903&gt;='112'!$N$8,$B3903&lt;='112'!$O$8,OR($L3903='112'!$I$6,$M3903='112'!$I$6))),"x",""))</f>
        <v/>
      </c>
      <c r="S3903" s="525" t="str">
        <f>IF(ISERROR(FIND('112'!$M$9,G3903,1)),"",IF((AND(LEFT(G3903,2)=LEFT('112'!$M$9,2),B3903&lt;'112'!$N$8,$L3903='112'!$I$6)),"x",""))</f>
        <v/>
      </c>
      <c r="T3903" s="525" t="str">
        <f>IF(ISERROR(FIND('112'!$M$9,G3903,1)),"",IF((AND(RIGHT(G3903,2)=RIGHT('112'!$M$9,2),B3903&lt;'112'!$N$8,$M3903='112'!$I$6)),"x",""))</f>
        <v/>
      </c>
      <c r="U3903" s="525" t="str">
        <f>IF(AND(B3903&gt;='IN-NX'!$P$3,B3903&lt;='IN-NX'!$Q$3,'IN-NX'!$D$7=D3903,OR(LEFT(L3903,2)="15",AND(LEFT(M3903,2)&lt;&gt;"15",LEFT(M3903,2)&lt;&gt;"33"))),"x","")</f>
        <v/>
      </c>
      <c r="V3903" s="525" t="str">
        <f>IF(AND(OR(LEFT(TH!L3903,2)="15",LEFT(TH!M3903,2)="15"),'152-CT'!$J$8=TH!F3903),"x","")</f>
        <v/>
      </c>
      <c r="W3903" s="525" t="str">
        <f>IF(AND(OR(LEFT(TH!L3903,2)="15",LEFT(TH!M3903,2)="15"),TK!$E$7=TH!F3903),"x","")</f>
        <v/>
      </c>
      <c r="X3903" s="525" t="str">
        <f>IF(AND('341-CT'!$E$9=H3903,OR(LEFT(L3903,3)=$X$7,LEFT(M3903,3)=$X$7)),"x","")</f>
        <v/>
      </c>
      <c r="Y3903" s="525" t="str">
        <f>IF(OR(TH!L3903=TH!$Y$7,M3903=TH!$Y$7),"x","")</f>
        <v/>
      </c>
      <c r="Z3903" s="525" t="str">
        <f>IF(AND(B3903&lt;=NKC!$N$8,B3903&gt;=NKC!$M$8),"x","")</f>
        <v/>
      </c>
      <c r="AA3903" s="535"/>
      <c r="AB3903" s="536"/>
      <c r="AC3903" s="536" t="str">
        <f>VLOOKUP(F3903,NXT!$B$12:$B$686,1,0)</f>
        <v>Giấy 5 lớp</v>
      </c>
      <c r="AD3903" s="536"/>
    </row>
    <row r="3904" spans="1:30" s="503" customFormat="1" ht="15.75" customHeight="1">
      <c r="A3904" s="517" t="str">
        <f>IF(B3904&lt;&gt;"",IF(AND(B3904&gt;=_TM1,B3904&lt;=_TM2,OR(TH!L3904="1111",TH!M3904="1111")),TH!D3904,""),"")</f>
        <v/>
      </c>
      <c r="B3904" s="531">
        <f t="shared" si="439"/>
        <v>9</v>
      </c>
      <c r="C3904" s="315">
        <f t="shared" si="440"/>
        <v>43008</v>
      </c>
      <c r="D3904" s="544" t="s">
        <v>1181</v>
      </c>
      <c r="E3904" s="315">
        <v>43008</v>
      </c>
      <c r="F3904" s="250" t="s">
        <v>1320</v>
      </c>
      <c r="G3904" s="314" t="s">
        <v>1704</v>
      </c>
      <c r="H3904" s="473" t="s">
        <v>375</v>
      </c>
      <c r="I3904" s="307"/>
      <c r="J3904" s="307"/>
      <c r="K3904" s="532">
        <v>1760350</v>
      </c>
      <c r="L3904" s="534" t="s">
        <v>223</v>
      </c>
      <c r="M3904" s="534" t="s">
        <v>259</v>
      </c>
      <c r="N3904" s="525" t="str">
        <f>IF(AND('331-CT'!$E$7=TH!H3904,OR(L3904="331",M3904="331")),"331",IF(AND(OR(L3904="131",M3904="131"),H3904='131-CT'!$E$7),"131",""))</f>
        <v/>
      </c>
      <c r="O3904" s="525" t="str">
        <f>IF(AND($B3904&gt;='111'!$N$11,$B3904&lt;='111'!$O$11,OR($L3904=$O$7,$M3904=$O$7)),"x","")</f>
        <v/>
      </c>
      <c r="P3904" s="525" t="str">
        <f>IF(AND($L3904=$O$7,$B3904&lt;'111'!$N$11),"x","")</f>
        <v/>
      </c>
      <c r="Q3904" s="525" t="str">
        <f>IF(AND($M3904=$O$7,$B3904&lt;'111'!$N$11),"x","")</f>
        <v/>
      </c>
      <c r="R3904" s="525" t="str">
        <f>IF(ISERROR(FIND('112'!$M$9,G3904,1)),"",IF((AND(FIND('112'!$M$9,G3904,1)&gt;=1,$B3904&gt;='112'!$N$8,$B3904&lt;='112'!$O$8,OR($L3904='112'!$I$6,$M3904='112'!$I$6))),"x",""))</f>
        <v/>
      </c>
      <c r="S3904" s="525" t="str">
        <f>IF(ISERROR(FIND('112'!$M$9,G3904,1)),"",IF((AND(LEFT(G3904,2)=LEFT('112'!$M$9,2),B3904&lt;'112'!$N$8,$L3904='112'!$I$6)),"x",""))</f>
        <v/>
      </c>
      <c r="T3904" s="525" t="str">
        <f>IF(ISERROR(FIND('112'!$M$9,G3904,1)),"",IF((AND(RIGHT(G3904,2)=RIGHT('112'!$M$9,2),B3904&lt;'112'!$N$8,$M3904='112'!$I$6)),"x",""))</f>
        <v/>
      </c>
      <c r="U3904" s="525" t="str">
        <f>IF(AND(B3904&gt;='IN-NX'!$P$3,B3904&lt;='IN-NX'!$Q$3,'IN-NX'!$D$7=D3904,OR(LEFT(L3904,2)="15",AND(LEFT(M3904,2)&lt;&gt;"15",LEFT(M3904,2)&lt;&gt;"33"))),"x","")</f>
        <v/>
      </c>
      <c r="V3904" s="525" t="str">
        <f>IF(AND(OR(LEFT(TH!L3904,2)="15",LEFT(TH!M3904,2)="15"),'152-CT'!$J$8=TH!F3904),"x","")</f>
        <v/>
      </c>
      <c r="W3904" s="525" t="str">
        <f>IF(AND(OR(LEFT(TH!L3904,2)="15",LEFT(TH!M3904,2)="15"),TK!$E$7=TH!F3904),"x","")</f>
        <v/>
      </c>
      <c r="X3904" s="525" t="str">
        <f>IF(AND('341-CT'!$E$9=H3904,OR(LEFT(L3904,3)=$X$7,LEFT(M3904,3)=$X$7)),"x","")</f>
        <v/>
      </c>
      <c r="Y3904" s="525" t="str">
        <f>IF(OR(TH!L3904=TH!$Y$7,M3904=TH!$Y$7),"x","")</f>
        <v/>
      </c>
      <c r="Z3904" s="525" t="str">
        <f>IF(AND(B3904&lt;=NKC!$N$8,B3904&gt;=NKC!$M$8),"x","")</f>
        <v/>
      </c>
      <c r="AA3904" s="535"/>
      <c r="AD3904" s="536"/>
    </row>
    <row r="3905" spans="1:30" s="503" customFormat="1" ht="15.75" customHeight="1">
      <c r="A3905" s="517" t="str">
        <f>IF(B3905&lt;&gt;"",IF(AND(B3905&gt;=_TM1,B3905&lt;=_TM2,OR(TH!L3905="1111",TH!M3905="1111")),TH!D3905,""),"")</f>
        <v/>
      </c>
      <c r="B3905" s="531">
        <f t="shared" ref="B3905:B3908" si="460">IF(C3905&lt;&gt;"",MONTH(C3905),"")</f>
        <v>7</v>
      </c>
      <c r="C3905" s="315">
        <f t="shared" ref="C3905:C3908" si="461">E3905</f>
        <v>42922</v>
      </c>
      <c r="D3905" s="315" t="s">
        <v>1180</v>
      </c>
      <c r="E3905" s="315">
        <v>42922</v>
      </c>
      <c r="F3905" s="249" t="s">
        <v>1582</v>
      </c>
      <c r="G3905" s="314" t="s">
        <v>1581</v>
      </c>
      <c r="H3905" s="473" t="s">
        <v>271</v>
      </c>
      <c r="I3905" s="307">
        <v>296</v>
      </c>
      <c r="J3905" s="307">
        <v>26576</v>
      </c>
      <c r="K3905" s="532">
        <f t="shared" ref="K3905:K3912" si="462">ROUND(I3905*J3905,0)</f>
        <v>7866496</v>
      </c>
      <c r="L3905" s="534" t="s">
        <v>292</v>
      </c>
      <c r="M3905" s="534" t="s">
        <v>8</v>
      </c>
      <c r="N3905" s="525" t="str">
        <f>IF(AND('331-CT'!$E$7=TH!H3905,OR(L3905="331",M3905="331")),"331",IF(AND(OR(L3905="131",M3905="131"),H3905='131-CT'!$E$7),"131",""))</f>
        <v>331</v>
      </c>
      <c r="O3905" s="525" t="str">
        <f>IF(AND($B3905&gt;='111'!$N$11,$B3905&lt;='111'!$O$11,OR($L3905=$O$7,$M3905=$O$7)),"x","")</f>
        <v/>
      </c>
      <c r="P3905" s="525" t="str">
        <f>IF(AND($L3905=$O$7,$B3905&lt;'111'!$N$11),"x","")</f>
        <v/>
      </c>
      <c r="Q3905" s="525" t="str">
        <f>IF(AND($M3905=$O$7,$B3905&lt;'111'!$N$11),"x","")</f>
        <v/>
      </c>
      <c r="R3905" s="525" t="str">
        <f>IF(ISERROR(FIND('112'!$M$9,G3905,1)),"",IF((AND(FIND('112'!$M$9,G3905,1)&gt;=1,$B3905&gt;='112'!$N$8,$B3905&lt;='112'!$O$8,OR($L3905='112'!$I$6,$M3905='112'!$I$6))),"x",""))</f>
        <v/>
      </c>
      <c r="S3905" s="525" t="str">
        <f>IF(ISERROR(FIND('112'!$M$9,G3905,1)),"",IF((AND(LEFT(G3905,2)=LEFT('112'!$M$9,2),B3905&lt;'112'!$N$8,$L3905='112'!$I$6)),"x",""))</f>
        <v/>
      </c>
      <c r="T3905" s="525" t="str">
        <f>IF(ISERROR(FIND('112'!$M$9,G3905,1)),"",IF((AND(RIGHT(G3905,2)=RIGHT('112'!$M$9,2),B3905&lt;'112'!$N$8,$M3905='112'!$I$6)),"x",""))</f>
        <v/>
      </c>
      <c r="U3905" s="525" t="str">
        <f>IF(AND(B3905&gt;='IN-NX'!$P$3,B3905&lt;='IN-NX'!$Q$3,'IN-NX'!$D$7=D3905,OR(LEFT(L3905,2)="15",AND(LEFT(M3905,2)&lt;&gt;"15",LEFT(M3905,2)&lt;&gt;"33"))),"x","")</f>
        <v/>
      </c>
      <c r="V3905" s="525" t="str">
        <f>IF(AND(OR(LEFT(TH!L3905,2)="15",LEFT(TH!M3905,2)="15"),'152-CT'!$J$8=TH!F3905),"x","")</f>
        <v/>
      </c>
      <c r="W3905" s="525" t="str">
        <f>IF(AND(OR(LEFT(TH!L3905,2)="15",LEFT(TH!M3905,2)="15"),TK!$E$7=TH!F3905),"x","")</f>
        <v/>
      </c>
      <c r="X3905" s="525" t="str">
        <f>IF(AND('341-CT'!$E$9=H3905,OR(LEFT(L3905,3)=$X$7,LEFT(M3905,3)=$X$7)),"x","")</f>
        <v/>
      </c>
      <c r="Y3905" s="525" t="str">
        <f>IF(OR(TH!L3905=TH!$Y$7,M3905=TH!$Y$7),"x","")</f>
        <v/>
      </c>
      <c r="Z3905" s="525" t="str">
        <f>IF(AND(B3905&lt;=NKC!$N$8,B3905&gt;=NKC!$M$8),"x","")</f>
        <v/>
      </c>
      <c r="AA3905" s="535">
        <v>3</v>
      </c>
      <c r="AC3905" s="536" t="str">
        <f>VLOOKUP(F3905,NXT!$B$12:$B$686,1,0)</f>
        <v>Giấy tấm 1000x1760</v>
      </c>
    </row>
    <row r="3906" spans="1:30" s="503" customFormat="1" ht="15.75" customHeight="1">
      <c r="A3906" s="517" t="str">
        <f>IF(B3906&lt;&gt;"",IF(AND(B3906&gt;=_TM1,B3906&lt;=_TM2,OR(TH!L3906="1111",TH!M3906="1111")),TH!D3906,""),"")</f>
        <v/>
      </c>
      <c r="B3906" s="531">
        <f t="shared" si="460"/>
        <v>7</v>
      </c>
      <c r="C3906" s="315">
        <f t="shared" si="461"/>
        <v>42922</v>
      </c>
      <c r="D3906" s="315" t="s">
        <v>1180</v>
      </c>
      <c r="E3906" s="315">
        <v>42922</v>
      </c>
      <c r="F3906" s="249" t="s">
        <v>1583</v>
      </c>
      <c r="G3906" s="314" t="s">
        <v>1581</v>
      </c>
      <c r="H3906" s="473" t="s">
        <v>271</v>
      </c>
      <c r="I3906" s="307">
        <v>224</v>
      </c>
      <c r="J3906" s="307">
        <v>25474</v>
      </c>
      <c r="K3906" s="532">
        <f t="shared" si="462"/>
        <v>5706176</v>
      </c>
      <c r="L3906" s="534" t="s">
        <v>292</v>
      </c>
      <c r="M3906" s="534" t="s">
        <v>8</v>
      </c>
      <c r="N3906" s="525" t="str">
        <f>IF(AND('331-CT'!$E$7=TH!H3906,OR(L3906="331",M3906="331")),"331",IF(AND(OR(L3906="131",M3906="131"),H3906='131-CT'!$E$7),"131",""))</f>
        <v>331</v>
      </c>
      <c r="O3906" s="525" t="str">
        <f>IF(AND($B3906&gt;='111'!$N$11,$B3906&lt;='111'!$O$11,OR($L3906=$O$7,$M3906=$O$7)),"x","")</f>
        <v/>
      </c>
      <c r="P3906" s="525" t="str">
        <f>IF(AND($L3906=$O$7,$B3906&lt;'111'!$N$11),"x","")</f>
        <v/>
      </c>
      <c r="Q3906" s="525" t="str">
        <f>IF(AND($M3906=$O$7,$B3906&lt;'111'!$N$11),"x","")</f>
        <v/>
      </c>
      <c r="R3906" s="525" t="str">
        <f>IF(ISERROR(FIND('112'!$M$9,G3906,1)),"",IF((AND(FIND('112'!$M$9,G3906,1)&gt;=1,$B3906&gt;='112'!$N$8,$B3906&lt;='112'!$O$8,OR($L3906='112'!$I$6,$M3906='112'!$I$6))),"x",""))</f>
        <v/>
      </c>
      <c r="S3906" s="525" t="str">
        <f>IF(ISERROR(FIND('112'!$M$9,G3906,1)),"",IF((AND(LEFT(G3906,2)=LEFT('112'!$M$9,2),B3906&lt;'112'!$N$8,$L3906='112'!$I$6)),"x",""))</f>
        <v/>
      </c>
      <c r="T3906" s="525" t="str">
        <f>IF(ISERROR(FIND('112'!$M$9,G3906,1)),"",IF((AND(RIGHT(G3906,2)=RIGHT('112'!$M$9,2),B3906&lt;'112'!$N$8,$M3906='112'!$I$6)),"x",""))</f>
        <v/>
      </c>
      <c r="U3906" s="525" t="str">
        <f>IF(AND(B3906&gt;='IN-NX'!$P$3,B3906&lt;='IN-NX'!$Q$3,'IN-NX'!$D$7=D3906,OR(LEFT(L3906,2)="15",AND(LEFT(M3906,2)&lt;&gt;"15",LEFT(M3906,2)&lt;&gt;"33"))),"x","")</f>
        <v/>
      </c>
      <c r="V3906" s="525" t="str">
        <f>IF(AND(OR(LEFT(TH!L3906,2)="15",LEFT(TH!M3906,2)="15"),'152-CT'!$J$8=TH!F3906),"x","")</f>
        <v/>
      </c>
      <c r="W3906" s="525" t="str">
        <f>IF(AND(OR(LEFT(TH!L3906,2)="15",LEFT(TH!M3906,2)="15"),TK!$E$7=TH!F3906),"x","")</f>
        <v/>
      </c>
      <c r="X3906" s="525" t="str">
        <f>IF(AND('341-CT'!$E$9=H3906,OR(LEFT(L3906,3)=$X$7,LEFT(M3906,3)=$X$7)),"x","")</f>
        <v/>
      </c>
      <c r="Y3906" s="525" t="str">
        <f>IF(OR(TH!L3906=TH!$Y$7,M3906=TH!$Y$7),"x","")</f>
        <v/>
      </c>
      <c r="Z3906" s="525" t="str">
        <f>IF(AND(B3906&lt;=NKC!$N$8,B3906&gt;=NKC!$M$8),"x","")</f>
        <v/>
      </c>
      <c r="AA3906" s="535">
        <v>3</v>
      </c>
      <c r="AC3906" s="536" t="str">
        <f>VLOOKUP(F3906,NXT!$B$12:$B$686,1,0)</f>
        <v>Giấy tấm 975x1730</v>
      </c>
    </row>
    <row r="3907" spans="1:30" s="503" customFormat="1" ht="15.75" customHeight="1">
      <c r="A3907" s="517" t="str">
        <f>IF(B3907&lt;&gt;"",IF(AND(B3907&gt;=_TM1,B3907&lt;=_TM2,OR(TH!L3907="1111",TH!M3907="1111")),TH!D3907,""),"")</f>
        <v/>
      </c>
      <c r="B3907" s="531">
        <f t="shared" si="460"/>
        <v>7</v>
      </c>
      <c r="C3907" s="315">
        <f t="shared" si="461"/>
        <v>42922</v>
      </c>
      <c r="D3907" s="315" t="s">
        <v>1180</v>
      </c>
      <c r="E3907" s="315">
        <v>42922</v>
      </c>
      <c r="F3907" s="249" t="s">
        <v>1584</v>
      </c>
      <c r="G3907" s="314" t="s">
        <v>1581</v>
      </c>
      <c r="H3907" s="473" t="s">
        <v>271</v>
      </c>
      <c r="I3907" s="307">
        <v>116</v>
      </c>
      <c r="J3907" s="307">
        <v>31114</v>
      </c>
      <c r="K3907" s="532">
        <f t="shared" si="462"/>
        <v>3609224</v>
      </c>
      <c r="L3907" s="534" t="s">
        <v>292</v>
      </c>
      <c r="M3907" s="534" t="s">
        <v>8</v>
      </c>
      <c r="N3907" s="525" t="str">
        <f>IF(AND('331-CT'!$E$7=TH!H3907,OR(L3907="331",M3907="331")),"331",IF(AND(OR(L3907="131",M3907="131"),H3907='131-CT'!$E$7),"131",""))</f>
        <v>331</v>
      </c>
      <c r="O3907" s="525" t="str">
        <f>IF(AND($B3907&gt;='111'!$N$11,$B3907&lt;='111'!$O$11,OR($L3907=$O$7,$M3907=$O$7)),"x","")</f>
        <v/>
      </c>
      <c r="P3907" s="525" t="str">
        <f>IF(AND($L3907=$O$7,$B3907&lt;'111'!$N$11),"x","")</f>
        <v/>
      </c>
      <c r="Q3907" s="525" t="str">
        <f>IF(AND($M3907=$O$7,$B3907&lt;'111'!$N$11),"x","")</f>
        <v/>
      </c>
      <c r="R3907" s="525" t="str">
        <f>IF(ISERROR(FIND('112'!$M$9,G3907,1)),"",IF((AND(FIND('112'!$M$9,G3907,1)&gt;=1,$B3907&gt;='112'!$N$8,$B3907&lt;='112'!$O$8,OR($L3907='112'!$I$6,$M3907='112'!$I$6))),"x",""))</f>
        <v/>
      </c>
      <c r="S3907" s="525" t="str">
        <f>IF(ISERROR(FIND('112'!$M$9,G3907,1)),"",IF((AND(LEFT(G3907,2)=LEFT('112'!$M$9,2),B3907&lt;'112'!$N$8,$L3907='112'!$I$6)),"x",""))</f>
        <v/>
      </c>
      <c r="T3907" s="525" t="str">
        <f>IF(ISERROR(FIND('112'!$M$9,G3907,1)),"",IF((AND(RIGHT(G3907,2)=RIGHT('112'!$M$9,2),B3907&lt;'112'!$N$8,$M3907='112'!$I$6)),"x",""))</f>
        <v/>
      </c>
      <c r="U3907" s="525" t="str">
        <f>IF(AND(B3907&gt;='IN-NX'!$P$3,B3907&lt;='IN-NX'!$Q$3,'IN-NX'!$D$7=D3907,OR(LEFT(L3907,2)="15",AND(LEFT(M3907,2)&lt;&gt;"15",LEFT(M3907,2)&lt;&gt;"33"))),"x","")</f>
        <v/>
      </c>
      <c r="V3907" s="525" t="str">
        <f>IF(AND(OR(LEFT(TH!L3907,2)="15",LEFT(TH!M3907,2)="15"),'152-CT'!$J$8=TH!F3907),"x","")</f>
        <v/>
      </c>
      <c r="W3907" s="525" t="str">
        <f>IF(AND(OR(LEFT(TH!L3907,2)="15",LEFT(TH!M3907,2)="15"),TK!$E$7=TH!F3907),"x","")</f>
        <v/>
      </c>
      <c r="X3907" s="525" t="str">
        <f>IF(AND('341-CT'!$E$9=H3907,OR(LEFT(L3907,3)=$X$7,LEFT(M3907,3)=$X$7)),"x","")</f>
        <v/>
      </c>
      <c r="Y3907" s="525" t="str">
        <f>IF(OR(TH!L3907=TH!$Y$7,M3907=TH!$Y$7),"x","")</f>
        <v/>
      </c>
      <c r="Z3907" s="525" t="str">
        <f>IF(AND(B3907&lt;=NKC!$N$8,B3907&gt;=NKC!$M$8),"x","")</f>
        <v/>
      </c>
      <c r="AA3907" s="535">
        <v>3</v>
      </c>
      <c r="AC3907" s="536" t="str">
        <f>VLOOKUP(F3907,NXT!$B$12:$B$686,1,0)</f>
        <v>Giấy tấm 1025x2010</v>
      </c>
    </row>
    <row r="3908" spans="1:30" s="503" customFormat="1" ht="15.75" customHeight="1">
      <c r="A3908" s="517" t="str">
        <f>IF(B3908&lt;&gt;"",IF(AND(B3908&gt;=_TM1,B3908&lt;=_TM2,OR(TH!L3908="1111",TH!M3908="1111")),TH!D3908,""),"")</f>
        <v/>
      </c>
      <c r="B3908" s="531">
        <f t="shared" si="460"/>
        <v>7</v>
      </c>
      <c r="C3908" s="315">
        <f t="shared" si="461"/>
        <v>42922</v>
      </c>
      <c r="D3908" s="315" t="s">
        <v>1180</v>
      </c>
      <c r="E3908" s="315">
        <v>42922</v>
      </c>
      <c r="F3908" s="249" t="s">
        <v>1585</v>
      </c>
      <c r="G3908" s="314" t="s">
        <v>1581</v>
      </c>
      <c r="H3908" s="473" t="s">
        <v>271</v>
      </c>
      <c r="I3908" s="307">
        <v>100</v>
      </c>
      <c r="J3908" s="307">
        <v>29257</v>
      </c>
      <c r="K3908" s="532">
        <f t="shared" si="462"/>
        <v>2925700</v>
      </c>
      <c r="L3908" s="534" t="s">
        <v>292</v>
      </c>
      <c r="M3908" s="534" t="s">
        <v>8</v>
      </c>
      <c r="N3908" s="525" t="str">
        <f>IF(AND('331-CT'!$E$7=TH!H3908,OR(L3908="331",M3908="331")),"331",IF(AND(OR(L3908="131",M3908="131"),H3908='131-CT'!$E$7),"131",""))</f>
        <v>331</v>
      </c>
      <c r="O3908" s="525" t="str">
        <f>IF(AND($B3908&gt;='111'!$N$11,$B3908&lt;='111'!$O$11,OR($L3908=$O$7,$M3908=$O$7)),"x","")</f>
        <v/>
      </c>
      <c r="P3908" s="525" t="str">
        <f>IF(AND($L3908=$O$7,$B3908&lt;'111'!$N$11),"x","")</f>
        <v/>
      </c>
      <c r="Q3908" s="525" t="str">
        <f>IF(AND($M3908=$O$7,$B3908&lt;'111'!$N$11),"x","")</f>
        <v/>
      </c>
      <c r="R3908" s="525" t="str">
        <f>IF(ISERROR(FIND('112'!$M$9,G3908,1)),"",IF((AND(FIND('112'!$M$9,G3908,1)&gt;=1,$B3908&gt;='112'!$N$8,$B3908&lt;='112'!$O$8,OR($L3908='112'!$I$6,$M3908='112'!$I$6))),"x",""))</f>
        <v/>
      </c>
      <c r="S3908" s="525" t="str">
        <f>IF(ISERROR(FIND('112'!$M$9,G3908,1)),"",IF((AND(LEFT(G3908,2)=LEFT('112'!$M$9,2),B3908&lt;'112'!$N$8,$L3908='112'!$I$6)),"x",""))</f>
        <v/>
      </c>
      <c r="T3908" s="525" t="str">
        <f>IF(ISERROR(FIND('112'!$M$9,G3908,1)),"",IF((AND(RIGHT(G3908,2)=RIGHT('112'!$M$9,2),B3908&lt;'112'!$N$8,$M3908='112'!$I$6)),"x",""))</f>
        <v/>
      </c>
      <c r="U3908" s="525" t="str">
        <f>IF(AND(B3908&gt;='IN-NX'!$P$3,B3908&lt;='IN-NX'!$Q$3,'IN-NX'!$D$7=D3908,OR(LEFT(L3908,2)="15",AND(LEFT(M3908,2)&lt;&gt;"15",LEFT(M3908,2)&lt;&gt;"33"))),"x","")</f>
        <v/>
      </c>
      <c r="V3908" s="525" t="str">
        <f>IF(AND(OR(LEFT(TH!L3908,2)="15",LEFT(TH!M3908,2)="15"),'152-CT'!$J$8=TH!F3908),"x","")</f>
        <v/>
      </c>
      <c r="W3908" s="525" t="str">
        <f>IF(AND(OR(LEFT(TH!L3908,2)="15",LEFT(TH!M3908,2)="15"),TK!$E$7=TH!F3908),"x","")</f>
        <v/>
      </c>
      <c r="X3908" s="525" t="str">
        <f>IF(AND('341-CT'!$E$9=H3908,OR(LEFT(L3908,3)=$X$7,LEFT(M3908,3)=$X$7)),"x","")</f>
        <v/>
      </c>
      <c r="Y3908" s="525" t="str">
        <f>IF(OR(TH!L3908=TH!$Y$7,M3908=TH!$Y$7),"x","")</f>
        <v/>
      </c>
      <c r="Z3908" s="525" t="str">
        <f>IF(AND(B3908&lt;=NKC!$N$8,B3908&gt;=NKC!$M$8),"x","")</f>
        <v/>
      </c>
      <c r="AA3908" s="535">
        <v>3</v>
      </c>
      <c r="AC3908" s="536" t="str">
        <f>VLOOKUP(F3908,NXT!$B$12:$B$686,1,0)</f>
        <v>Giấy tấm 1025x1890</v>
      </c>
    </row>
    <row r="3909" spans="1:30" s="503" customFormat="1" ht="15.75" customHeight="1">
      <c r="A3909" s="517" t="str">
        <f>IF(B3909&lt;&gt;"",IF(AND(B3909&gt;=_TM1,B3909&lt;=_TM2,OR(TH!L3909="1111",TH!M3909="1111")),TH!D3909,""),"")</f>
        <v/>
      </c>
      <c r="B3909" s="531">
        <f t="shared" ref="B3909:B3913" si="463">IF(C3909&lt;&gt;"",MONTH(C3909),"")</f>
        <v>7</v>
      </c>
      <c r="C3909" s="315">
        <f t="shared" ref="C3909:C3913" si="464">E3909</f>
        <v>42922</v>
      </c>
      <c r="D3909" s="315" t="s">
        <v>1180</v>
      </c>
      <c r="E3909" s="315">
        <v>42922</v>
      </c>
      <c r="F3909" s="249" t="s">
        <v>1586</v>
      </c>
      <c r="G3909" s="314" t="s">
        <v>1581</v>
      </c>
      <c r="H3909" s="473" t="s">
        <v>271</v>
      </c>
      <c r="I3909" s="307">
        <v>60</v>
      </c>
      <c r="J3909" s="307">
        <v>30600</v>
      </c>
      <c r="K3909" s="532">
        <f t="shared" si="462"/>
        <v>1836000</v>
      </c>
      <c r="L3909" s="534" t="s">
        <v>292</v>
      </c>
      <c r="M3909" s="534" t="s">
        <v>8</v>
      </c>
      <c r="N3909" s="525" t="str">
        <f>IF(AND('331-CT'!$E$7=TH!H3909,OR(L3909="331",M3909="331")),"331",IF(AND(OR(L3909="131",M3909="131"),H3909='131-CT'!$E$7),"131",""))</f>
        <v>331</v>
      </c>
      <c r="O3909" s="525" t="str">
        <f>IF(AND($B3909&gt;='111'!$N$11,$B3909&lt;='111'!$O$11,OR($L3909=$O$7,$M3909=$O$7)),"x","")</f>
        <v/>
      </c>
      <c r="P3909" s="525" t="str">
        <f>IF(AND($L3909=$O$7,$B3909&lt;'111'!$N$11),"x","")</f>
        <v/>
      </c>
      <c r="Q3909" s="525" t="str">
        <f>IF(AND($M3909=$O$7,$B3909&lt;'111'!$N$11),"x","")</f>
        <v/>
      </c>
      <c r="R3909" s="525" t="str">
        <f>IF(ISERROR(FIND('112'!$M$9,G3909,1)),"",IF((AND(FIND('112'!$M$9,G3909,1)&gt;=1,$B3909&gt;='112'!$N$8,$B3909&lt;='112'!$O$8,OR($L3909='112'!$I$6,$M3909='112'!$I$6))),"x",""))</f>
        <v/>
      </c>
      <c r="S3909" s="525" t="str">
        <f>IF(ISERROR(FIND('112'!$M$9,G3909,1)),"",IF((AND(LEFT(G3909,2)=LEFT('112'!$M$9,2),B3909&lt;'112'!$N$8,$L3909='112'!$I$6)),"x",""))</f>
        <v/>
      </c>
      <c r="T3909" s="525" t="str">
        <f>IF(ISERROR(FIND('112'!$M$9,G3909,1)),"",IF((AND(RIGHT(G3909,2)=RIGHT('112'!$M$9,2),B3909&lt;'112'!$N$8,$M3909='112'!$I$6)),"x",""))</f>
        <v/>
      </c>
      <c r="U3909" s="525" t="str">
        <f>IF(AND(B3909&gt;='IN-NX'!$P$3,B3909&lt;='IN-NX'!$Q$3,'IN-NX'!$D$7=D3909,OR(LEFT(L3909,2)="15",AND(LEFT(M3909,2)&lt;&gt;"15",LEFT(M3909,2)&lt;&gt;"33"))),"x","")</f>
        <v/>
      </c>
      <c r="V3909" s="525" t="str">
        <f>IF(AND(OR(LEFT(TH!L3909,2)="15",LEFT(TH!M3909,2)="15"),'152-CT'!$J$8=TH!F3909),"x","")</f>
        <v/>
      </c>
      <c r="W3909" s="525" t="str">
        <f>IF(AND(OR(LEFT(TH!L3909,2)="15",LEFT(TH!M3909,2)="15"),TK!$E$7=TH!F3909),"x","")</f>
        <v/>
      </c>
      <c r="X3909" s="525" t="str">
        <f>IF(AND('341-CT'!$E$9=H3909,OR(LEFT(L3909,3)=$X$7,LEFT(M3909,3)=$X$7)),"x","")</f>
        <v/>
      </c>
      <c r="Y3909" s="525" t="str">
        <f>IF(OR(TH!L3909=TH!$Y$7,M3909=TH!$Y$7),"x","")</f>
        <v/>
      </c>
      <c r="Z3909" s="525" t="str">
        <f>IF(AND(B3909&lt;=NKC!$N$8,B3909&gt;=NKC!$M$8),"x","")</f>
        <v/>
      </c>
      <c r="AA3909" s="535">
        <v>3</v>
      </c>
      <c r="AC3909" s="536" t="str">
        <f>VLOOKUP(F3909,NXT!$B$12:$B$686,1,0)</f>
        <v>Giấy tấm 1050x1930</v>
      </c>
    </row>
    <row r="3910" spans="1:30" s="503" customFormat="1" ht="15.75" customHeight="1">
      <c r="A3910" s="517" t="str">
        <f>IF(B3910&lt;&gt;"",IF(AND(B3910&gt;=_TM1,B3910&lt;=_TM2,OR(TH!L3910="1111",TH!M3910="1111")),TH!D3910,""),"")</f>
        <v/>
      </c>
      <c r="B3910" s="531">
        <f t="shared" si="463"/>
        <v>7</v>
      </c>
      <c r="C3910" s="315">
        <f t="shared" si="464"/>
        <v>42922</v>
      </c>
      <c r="D3910" s="315" t="s">
        <v>1180</v>
      </c>
      <c r="E3910" s="315">
        <v>42922</v>
      </c>
      <c r="F3910" s="249" t="s">
        <v>1587</v>
      </c>
      <c r="G3910" s="314" t="s">
        <v>1581</v>
      </c>
      <c r="H3910" s="473" t="s">
        <v>271</v>
      </c>
      <c r="I3910" s="307">
        <v>100</v>
      </c>
      <c r="J3910" s="307">
        <v>33930</v>
      </c>
      <c r="K3910" s="532">
        <f t="shared" si="462"/>
        <v>3393000</v>
      </c>
      <c r="L3910" s="534" t="s">
        <v>292</v>
      </c>
      <c r="M3910" s="534" t="s">
        <v>8</v>
      </c>
      <c r="N3910" s="525" t="str">
        <f>IF(AND('331-CT'!$E$7=TH!H3910,OR(L3910="331",M3910="331")),"331",IF(AND(OR(L3910="131",M3910="131"),H3910='131-CT'!$E$7),"131",""))</f>
        <v>331</v>
      </c>
      <c r="O3910" s="525" t="str">
        <f>IF(AND($B3910&gt;='111'!$N$11,$B3910&lt;='111'!$O$11,OR($L3910=$O$7,$M3910=$O$7)),"x","")</f>
        <v/>
      </c>
      <c r="P3910" s="525" t="str">
        <f>IF(AND($L3910=$O$7,$B3910&lt;'111'!$N$11),"x","")</f>
        <v/>
      </c>
      <c r="Q3910" s="525" t="str">
        <f>IF(AND($M3910=$O$7,$B3910&lt;'111'!$N$11),"x","")</f>
        <v/>
      </c>
      <c r="R3910" s="525" t="str">
        <f>IF(ISERROR(FIND('112'!$M$9,G3910,1)),"",IF((AND(FIND('112'!$M$9,G3910,1)&gt;=1,$B3910&gt;='112'!$N$8,$B3910&lt;='112'!$O$8,OR($L3910='112'!$I$6,$M3910='112'!$I$6))),"x",""))</f>
        <v/>
      </c>
      <c r="S3910" s="525" t="str">
        <f>IF(ISERROR(FIND('112'!$M$9,G3910,1)),"",IF((AND(LEFT(G3910,2)=LEFT('112'!$M$9,2),B3910&lt;'112'!$N$8,$L3910='112'!$I$6)),"x",""))</f>
        <v/>
      </c>
      <c r="T3910" s="525" t="str">
        <f>IF(ISERROR(FIND('112'!$M$9,G3910,1)),"",IF((AND(RIGHT(G3910,2)=RIGHT('112'!$M$9,2),B3910&lt;'112'!$N$8,$M3910='112'!$I$6)),"x",""))</f>
        <v/>
      </c>
      <c r="U3910" s="525" t="str">
        <f>IF(AND(B3910&gt;='IN-NX'!$P$3,B3910&lt;='IN-NX'!$Q$3,'IN-NX'!$D$7=D3910,OR(LEFT(L3910,2)="15",AND(LEFT(M3910,2)&lt;&gt;"15",LEFT(M3910,2)&lt;&gt;"33"))),"x","")</f>
        <v/>
      </c>
      <c r="V3910" s="525" t="str">
        <f>IF(AND(OR(LEFT(TH!L3910,2)="15",LEFT(TH!M3910,2)="15"),'152-CT'!$J$8=TH!F3910),"x","")</f>
        <v/>
      </c>
      <c r="W3910" s="525" t="str">
        <f>IF(AND(OR(LEFT(TH!L3910,2)="15",LEFT(TH!M3910,2)="15"),TK!$E$7=TH!F3910),"x","")</f>
        <v/>
      </c>
      <c r="X3910" s="525" t="str">
        <f>IF(AND('341-CT'!$E$9=H3910,OR(LEFT(L3910,3)=$X$7,LEFT(M3910,3)=$X$7)),"x","")</f>
        <v/>
      </c>
      <c r="Y3910" s="525" t="str">
        <f>IF(OR(TH!L3910=TH!$Y$7,M3910=TH!$Y$7),"x","")</f>
        <v/>
      </c>
      <c r="Z3910" s="525" t="str">
        <f>IF(AND(B3910&lt;=NKC!$N$8,B3910&gt;=NKC!$M$8),"x","")</f>
        <v/>
      </c>
      <c r="AA3910" s="535">
        <v>3</v>
      </c>
      <c r="AC3910" s="536" t="str">
        <f>VLOOKUP(F3910,NXT!$B$12:$B$686,1,0)</f>
        <v>Giấy tấm 1075x2090</v>
      </c>
    </row>
    <row r="3911" spans="1:30" s="503" customFormat="1" ht="15.75" customHeight="1">
      <c r="A3911" s="517" t="str">
        <f>IF(B3911&lt;&gt;"",IF(AND(B3911&gt;=_TM1,B3911&lt;=_TM2,OR(TH!L3911="1111",TH!M3911="1111")),TH!D3911,""),"")</f>
        <v/>
      </c>
      <c r="B3911" s="531">
        <f t="shared" si="463"/>
        <v>7</v>
      </c>
      <c r="C3911" s="315">
        <f t="shared" si="464"/>
        <v>42922</v>
      </c>
      <c r="D3911" s="315" t="s">
        <v>1180</v>
      </c>
      <c r="E3911" s="315">
        <v>42922</v>
      </c>
      <c r="F3911" s="249" t="s">
        <v>1588</v>
      </c>
      <c r="G3911" s="314" t="s">
        <v>1581</v>
      </c>
      <c r="H3911" s="473" t="s">
        <v>271</v>
      </c>
      <c r="I3911" s="307">
        <v>200</v>
      </c>
      <c r="J3911" s="307">
        <v>33281</v>
      </c>
      <c r="K3911" s="532">
        <f t="shared" si="462"/>
        <v>6656200</v>
      </c>
      <c r="L3911" s="534" t="s">
        <v>292</v>
      </c>
      <c r="M3911" s="534" t="s">
        <v>8</v>
      </c>
      <c r="N3911" s="525" t="str">
        <f>IF(AND('331-CT'!$E$7=TH!H3911,OR(L3911="331",M3911="331")),"331",IF(AND(OR(L3911="131",M3911="131"),H3911='131-CT'!$E$7),"131",""))</f>
        <v>331</v>
      </c>
      <c r="O3911" s="525" t="str">
        <f>IF(AND($B3911&gt;='111'!$N$11,$B3911&lt;='111'!$O$11,OR($L3911=$O$7,$M3911=$O$7)),"x","")</f>
        <v/>
      </c>
      <c r="P3911" s="525" t="str">
        <f>IF(AND($L3911=$O$7,$B3911&lt;'111'!$N$11),"x","")</f>
        <v/>
      </c>
      <c r="Q3911" s="525" t="str">
        <f>IF(AND($M3911=$O$7,$B3911&lt;'111'!$N$11),"x","")</f>
        <v/>
      </c>
      <c r="R3911" s="525" t="str">
        <f>IF(ISERROR(FIND('112'!$M$9,G3911,1)),"",IF((AND(FIND('112'!$M$9,G3911,1)&gt;=1,$B3911&gt;='112'!$N$8,$B3911&lt;='112'!$O$8,OR($L3911='112'!$I$6,$M3911='112'!$I$6))),"x",""))</f>
        <v/>
      </c>
      <c r="S3911" s="525" t="str">
        <f>IF(ISERROR(FIND('112'!$M$9,G3911,1)),"",IF((AND(LEFT(G3911,2)=LEFT('112'!$M$9,2),B3911&lt;'112'!$N$8,$L3911='112'!$I$6)),"x",""))</f>
        <v/>
      </c>
      <c r="T3911" s="525" t="str">
        <f>IF(ISERROR(FIND('112'!$M$9,G3911,1)),"",IF((AND(RIGHT(G3911,2)=RIGHT('112'!$M$9,2),B3911&lt;'112'!$N$8,$M3911='112'!$I$6)),"x",""))</f>
        <v/>
      </c>
      <c r="U3911" s="525" t="str">
        <f>IF(AND(B3911&gt;='IN-NX'!$P$3,B3911&lt;='IN-NX'!$Q$3,'IN-NX'!$D$7=D3911,OR(LEFT(L3911,2)="15",AND(LEFT(M3911,2)&lt;&gt;"15",LEFT(M3911,2)&lt;&gt;"33"))),"x","")</f>
        <v/>
      </c>
      <c r="V3911" s="525" t="str">
        <f>IF(AND(OR(LEFT(TH!L3911,2)="15",LEFT(TH!M3911,2)="15"),'152-CT'!$J$8=TH!F3911),"x","")</f>
        <v/>
      </c>
      <c r="W3911" s="525" t="str">
        <f>IF(AND(OR(LEFT(TH!L3911,2)="15",LEFT(TH!M3911,2)="15"),TK!$E$7=TH!F3911),"x","")</f>
        <v/>
      </c>
      <c r="X3911" s="525" t="str">
        <f>IF(AND('341-CT'!$E$9=H3911,OR(LEFT(L3911,3)=$X$7,LEFT(M3911,3)=$X$7)),"x","")</f>
        <v/>
      </c>
      <c r="Y3911" s="525" t="str">
        <f>IF(OR(TH!L3911=TH!$Y$7,M3911=TH!$Y$7),"x","")</f>
        <v/>
      </c>
      <c r="Z3911" s="525" t="str">
        <f>IF(AND(B3911&lt;=NKC!$N$8,B3911&gt;=NKC!$M$8),"x","")</f>
        <v/>
      </c>
      <c r="AA3911" s="535">
        <v>3</v>
      </c>
      <c r="AC3911" s="536" t="str">
        <f>VLOOKUP(F3911,NXT!$B$12:$B$686,1,0)</f>
        <v>Giấy tấm 1075x2050</v>
      </c>
    </row>
    <row r="3912" spans="1:30" s="503" customFormat="1" ht="15.75" customHeight="1">
      <c r="A3912" s="517" t="str">
        <f>IF(B3912&lt;&gt;"",IF(AND(B3912&gt;=_TM1,B3912&lt;=_TM2,OR(TH!L3912="1111",TH!M3912="1111")),TH!D3912,""),"")</f>
        <v/>
      </c>
      <c r="B3912" s="531">
        <f t="shared" si="463"/>
        <v>7</v>
      </c>
      <c r="C3912" s="315">
        <f t="shared" si="464"/>
        <v>42922</v>
      </c>
      <c r="D3912" s="315" t="s">
        <v>1180</v>
      </c>
      <c r="E3912" s="315">
        <v>42922</v>
      </c>
      <c r="F3912" s="249" t="s">
        <v>1589</v>
      </c>
      <c r="G3912" s="314" t="s">
        <v>1581</v>
      </c>
      <c r="H3912" s="473" t="s">
        <v>271</v>
      </c>
      <c r="I3912" s="307">
        <v>232</v>
      </c>
      <c r="J3912" s="307">
        <v>31869</v>
      </c>
      <c r="K3912" s="532">
        <f t="shared" si="462"/>
        <v>7393608</v>
      </c>
      <c r="L3912" s="534" t="s">
        <v>292</v>
      </c>
      <c r="M3912" s="534" t="s">
        <v>8</v>
      </c>
      <c r="N3912" s="525" t="str">
        <f>IF(AND('331-CT'!$E$7=TH!H3912,OR(L3912="331",M3912="331")),"331",IF(AND(OR(L3912="131",M3912="131"),H3912='131-CT'!$E$7),"131",""))</f>
        <v>331</v>
      </c>
      <c r="O3912" s="525" t="str">
        <f>IF(AND($B3912&gt;='111'!$N$11,$B3912&lt;='111'!$O$11,OR($L3912=$O$7,$M3912=$O$7)),"x","")</f>
        <v/>
      </c>
      <c r="P3912" s="525" t="str">
        <f>IF(AND($L3912=$O$7,$B3912&lt;'111'!$N$11),"x","")</f>
        <v/>
      </c>
      <c r="Q3912" s="525" t="str">
        <f>IF(AND($M3912=$O$7,$B3912&lt;'111'!$N$11),"x","")</f>
        <v/>
      </c>
      <c r="R3912" s="525" t="str">
        <f>IF(ISERROR(FIND('112'!$M$9,G3912,1)),"",IF((AND(FIND('112'!$M$9,G3912,1)&gt;=1,$B3912&gt;='112'!$N$8,$B3912&lt;='112'!$O$8,OR($L3912='112'!$I$6,$M3912='112'!$I$6))),"x",""))</f>
        <v/>
      </c>
      <c r="S3912" s="525" t="str">
        <f>IF(ISERROR(FIND('112'!$M$9,G3912,1)),"",IF((AND(LEFT(G3912,2)=LEFT('112'!$M$9,2),B3912&lt;'112'!$N$8,$L3912='112'!$I$6)),"x",""))</f>
        <v/>
      </c>
      <c r="T3912" s="525" t="str">
        <f>IF(ISERROR(FIND('112'!$M$9,G3912,1)),"",IF((AND(RIGHT(G3912,2)=RIGHT('112'!$M$9,2),B3912&lt;'112'!$N$8,$M3912='112'!$I$6)),"x",""))</f>
        <v/>
      </c>
      <c r="U3912" s="525" t="str">
        <f>IF(AND(B3912&gt;='IN-NX'!$P$3,B3912&lt;='IN-NX'!$Q$3,'IN-NX'!$D$7=D3912,OR(LEFT(L3912,2)="15",AND(LEFT(M3912,2)&lt;&gt;"15",LEFT(M3912,2)&lt;&gt;"33"))),"x","")</f>
        <v/>
      </c>
      <c r="V3912" s="525" t="str">
        <f>IF(AND(OR(LEFT(TH!L3912,2)="15",LEFT(TH!M3912,2)="15"),'152-CT'!$J$8=TH!F3912),"x","")</f>
        <v/>
      </c>
      <c r="W3912" s="525" t="str">
        <f>IF(AND(OR(LEFT(TH!L3912,2)="15",LEFT(TH!M3912,2)="15"),TK!$E$7=TH!F3912),"x","")</f>
        <v/>
      </c>
      <c r="X3912" s="525" t="str">
        <f>IF(AND('341-CT'!$E$9=H3912,OR(LEFT(L3912,3)=$X$7,LEFT(M3912,3)=$X$7)),"x","")</f>
        <v/>
      </c>
      <c r="Y3912" s="525" t="str">
        <f>IF(OR(TH!L3912=TH!$Y$7,M3912=TH!$Y$7),"x","")</f>
        <v/>
      </c>
      <c r="Z3912" s="525" t="str">
        <f>IF(AND(B3912&lt;=NKC!$N$8,B3912&gt;=NKC!$M$8),"x","")</f>
        <v/>
      </c>
      <c r="AA3912" s="535">
        <v>3</v>
      </c>
      <c r="AC3912" s="536" t="str">
        <f>VLOOKUP(F3912,NXT!$B$12:$B$686,1,0)</f>
        <v>Giấy tấm 1050x2010</v>
      </c>
    </row>
    <row r="3913" spans="1:30" s="503" customFormat="1" ht="15.75" customHeight="1">
      <c r="A3913" s="517" t="str">
        <f>IF(B3913&lt;&gt;"",IF(AND(B3913&gt;=_TM1,B3913&lt;=_TM2,OR(TH!L3913="1111",TH!M3913="1111")),TH!D3913,""),"")</f>
        <v/>
      </c>
      <c r="B3913" s="531">
        <f t="shared" si="463"/>
        <v>7</v>
      </c>
      <c r="C3913" s="315">
        <f t="shared" si="464"/>
        <v>42922</v>
      </c>
      <c r="D3913" s="315" t="s">
        <v>1180</v>
      </c>
      <c r="E3913" s="315">
        <v>42922</v>
      </c>
      <c r="F3913" s="249" t="s">
        <v>526</v>
      </c>
      <c r="G3913" s="314" t="s">
        <v>1581</v>
      </c>
      <c r="H3913" s="473" t="s">
        <v>271</v>
      </c>
      <c r="I3913" s="307"/>
      <c r="J3913" s="307"/>
      <c r="K3913" s="532">
        <v>3938640</v>
      </c>
      <c r="L3913" s="534" t="s">
        <v>9</v>
      </c>
      <c r="M3913" s="534" t="s">
        <v>8</v>
      </c>
      <c r="N3913" s="525" t="str">
        <f>IF(AND('331-CT'!$E$7=TH!H3913,OR(L3913="331",M3913="331")),"331",IF(AND(OR(L3913="131",M3913="131"),H3913='131-CT'!$E$7),"131",""))</f>
        <v>331</v>
      </c>
      <c r="O3913" s="525" t="str">
        <f>IF(AND($B3913&gt;='111'!$N$11,$B3913&lt;='111'!$O$11,OR($L3913=$O$7,$M3913=$O$7)),"x","")</f>
        <v/>
      </c>
      <c r="P3913" s="525" t="str">
        <f>IF(AND($L3913=$O$7,$B3913&lt;'111'!$N$11),"x","")</f>
        <v/>
      </c>
      <c r="Q3913" s="525" t="str">
        <f>IF(AND($M3913=$O$7,$B3913&lt;'111'!$N$11),"x","")</f>
        <v/>
      </c>
      <c r="R3913" s="525" t="str">
        <f>IF(ISERROR(FIND('112'!$M$9,G3913,1)),"",IF((AND(FIND('112'!$M$9,G3913,1)&gt;=1,$B3913&gt;='112'!$N$8,$B3913&lt;='112'!$O$8,OR($L3913='112'!$I$6,$M3913='112'!$I$6))),"x",""))</f>
        <v/>
      </c>
      <c r="S3913" s="525" t="str">
        <f>IF(ISERROR(FIND('112'!$M$9,G3913,1)),"",IF((AND(LEFT(G3913,2)=LEFT('112'!$M$9,2),B3913&lt;'112'!$N$8,$L3913='112'!$I$6)),"x",""))</f>
        <v/>
      </c>
      <c r="T3913" s="525" t="str">
        <f>IF(ISERROR(FIND('112'!$M$9,G3913,1)),"",IF((AND(RIGHT(G3913,2)=RIGHT('112'!$M$9,2),B3913&lt;'112'!$N$8,$M3913='112'!$I$6)),"x",""))</f>
        <v/>
      </c>
      <c r="U3913" s="525" t="str">
        <f>IF(AND(B3913&gt;='IN-NX'!$P$3,B3913&lt;='IN-NX'!$Q$3,'IN-NX'!$D$7=D3913,OR(LEFT(L3913,2)="15",AND(LEFT(M3913,2)&lt;&gt;"15",LEFT(M3913,2)&lt;&gt;"33"))),"x","")</f>
        <v/>
      </c>
      <c r="V3913" s="525" t="str">
        <f>IF(AND(OR(LEFT(TH!L3913,2)="15",LEFT(TH!M3913,2)="15"),'152-CT'!$J$8=TH!F3913),"x","")</f>
        <v/>
      </c>
      <c r="W3913" s="525" t="str">
        <f>IF(AND(OR(LEFT(TH!L3913,2)="15",LEFT(TH!M3913,2)="15"),TK!$E$7=TH!F3913),"x","")</f>
        <v/>
      </c>
      <c r="X3913" s="525" t="str">
        <f>IF(AND('341-CT'!$E$9=H3913,OR(LEFT(L3913,3)=$X$7,LEFT(M3913,3)=$X$7)),"x","")</f>
        <v/>
      </c>
      <c r="Y3913" s="525" t="str">
        <f>IF(OR(TH!L3913=TH!$Y$7,M3913=TH!$Y$7),"x","")</f>
        <v/>
      </c>
      <c r="Z3913" s="525" t="str">
        <f>IF(AND(B3913&lt;=NKC!$N$8,B3913&gt;=NKC!$M$8),"x","")</f>
        <v/>
      </c>
      <c r="AA3913" s="535">
        <v>3</v>
      </c>
      <c r="AC3913" s="536"/>
    </row>
    <row r="3914" spans="1:30" s="503" customFormat="1" ht="15.75" customHeight="1">
      <c r="A3914" s="517" t="str">
        <f>IF(B3914&lt;&gt;"",IF(AND(B3914&gt;=_TM1,B3914&lt;=_TM2,OR(TH!L3914="1111",TH!M3914="1111")),TH!D3914,""),"")</f>
        <v/>
      </c>
      <c r="B3914" s="531">
        <f t="shared" ref="B3914:B3916" si="465">IF(C3914&lt;&gt;"",MONTH(C3914),"")</f>
        <v>7</v>
      </c>
      <c r="C3914" s="315">
        <f t="shared" ref="C3914:C3916" si="466">E3914</f>
        <v>42923</v>
      </c>
      <c r="D3914" s="315" t="s">
        <v>1180</v>
      </c>
      <c r="E3914" s="315">
        <v>42923</v>
      </c>
      <c r="F3914" s="249" t="s">
        <v>1582</v>
      </c>
      <c r="G3914" s="314" t="s">
        <v>1590</v>
      </c>
      <c r="H3914" s="473" t="s">
        <v>271</v>
      </c>
      <c r="I3914" s="307">
        <v>100</v>
      </c>
      <c r="J3914" s="307">
        <v>26576</v>
      </c>
      <c r="K3914" s="532">
        <f>ROUND(I3914*J3914,0)</f>
        <v>2657600</v>
      </c>
      <c r="L3914" s="534" t="s">
        <v>292</v>
      </c>
      <c r="M3914" s="534" t="s">
        <v>8</v>
      </c>
      <c r="N3914" s="525" t="str">
        <f>IF(AND('331-CT'!$E$7=TH!H3914,OR(L3914="331",M3914="331")),"331",IF(AND(OR(L3914="131",M3914="131"),H3914='131-CT'!$E$7),"131",""))</f>
        <v>331</v>
      </c>
      <c r="O3914" s="525" t="str">
        <f>IF(AND($B3914&gt;='111'!$N$11,$B3914&lt;='111'!$O$11,OR($L3914=$O$7,$M3914=$O$7)),"x","")</f>
        <v/>
      </c>
      <c r="P3914" s="525" t="str">
        <f>IF(AND($L3914=$O$7,$B3914&lt;'111'!$N$11),"x","")</f>
        <v/>
      </c>
      <c r="Q3914" s="525" t="str">
        <f>IF(AND($M3914=$O$7,$B3914&lt;'111'!$N$11),"x","")</f>
        <v/>
      </c>
      <c r="R3914" s="525" t="str">
        <f>IF(ISERROR(FIND('112'!$M$9,G3914,1)),"",IF((AND(FIND('112'!$M$9,G3914,1)&gt;=1,$B3914&gt;='112'!$N$8,$B3914&lt;='112'!$O$8,OR($L3914='112'!$I$6,$M3914='112'!$I$6))),"x",""))</f>
        <v/>
      </c>
      <c r="S3914" s="525" t="str">
        <f>IF(ISERROR(FIND('112'!$M$9,G3914,1)),"",IF((AND(LEFT(G3914,2)=LEFT('112'!$M$9,2),B3914&lt;'112'!$N$8,$L3914='112'!$I$6)),"x",""))</f>
        <v/>
      </c>
      <c r="T3914" s="525" t="str">
        <f>IF(ISERROR(FIND('112'!$M$9,G3914,1)),"",IF((AND(RIGHT(G3914,2)=RIGHT('112'!$M$9,2),B3914&lt;'112'!$N$8,$M3914='112'!$I$6)),"x",""))</f>
        <v/>
      </c>
      <c r="U3914" s="525" t="str">
        <f>IF(AND(B3914&gt;='IN-NX'!$P$3,B3914&lt;='IN-NX'!$Q$3,'IN-NX'!$D$7=D3914,OR(LEFT(L3914,2)="15",AND(LEFT(M3914,2)&lt;&gt;"15",LEFT(M3914,2)&lt;&gt;"33"))),"x","")</f>
        <v/>
      </c>
      <c r="V3914" s="525" t="str">
        <f>IF(AND(OR(LEFT(TH!L3914,2)="15",LEFT(TH!M3914,2)="15"),'152-CT'!$J$8=TH!F3914),"x","")</f>
        <v/>
      </c>
      <c r="W3914" s="525" t="str">
        <f>IF(AND(OR(LEFT(TH!L3914,2)="15",LEFT(TH!M3914,2)="15"),TK!$E$7=TH!F3914),"x","")</f>
        <v/>
      </c>
      <c r="X3914" s="525" t="str">
        <f>IF(AND('341-CT'!$E$9=H3914,OR(LEFT(L3914,3)=$X$7,LEFT(M3914,3)=$X$7)),"x","")</f>
        <v/>
      </c>
      <c r="Y3914" s="525" t="str">
        <f>IF(OR(TH!L3914=TH!$Y$7,M3914=TH!$Y$7),"x","")</f>
        <v/>
      </c>
      <c r="Z3914" s="525" t="str">
        <f>IF(AND(B3914&lt;=NKC!$N$8,B3914&gt;=NKC!$M$8),"x","")</f>
        <v/>
      </c>
      <c r="AA3914" s="535">
        <v>3</v>
      </c>
      <c r="AC3914" s="536" t="str">
        <f>VLOOKUP(F3914,NXT!$B$12:$B$686,1,0)</f>
        <v>Giấy tấm 1000x1760</v>
      </c>
    </row>
    <row r="3915" spans="1:30" s="503" customFormat="1" ht="15.75" customHeight="1">
      <c r="A3915" s="517" t="str">
        <f>IF(B3915&lt;&gt;"",IF(AND(B3915&gt;=_TM1,B3915&lt;=_TM2,OR(TH!L3915="1111",TH!M3915="1111")),TH!D3915,""),"")</f>
        <v/>
      </c>
      <c r="B3915" s="531">
        <f t="shared" si="465"/>
        <v>7</v>
      </c>
      <c r="C3915" s="315">
        <f t="shared" si="466"/>
        <v>42923</v>
      </c>
      <c r="D3915" s="315" t="s">
        <v>1180</v>
      </c>
      <c r="E3915" s="315">
        <v>42923</v>
      </c>
      <c r="F3915" s="249" t="s">
        <v>1591</v>
      </c>
      <c r="G3915" s="314" t="s">
        <v>1590</v>
      </c>
      <c r="H3915" s="473" t="s">
        <v>271</v>
      </c>
      <c r="I3915" s="307">
        <v>132</v>
      </c>
      <c r="J3915" s="307">
        <v>41314</v>
      </c>
      <c r="K3915" s="532">
        <f>ROUND(I3915*J3915,0)</f>
        <v>5453448</v>
      </c>
      <c r="L3915" s="534" t="s">
        <v>292</v>
      </c>
      <c r="M3915" s="534" t="s">
        <v>8</v>
      </c>
      <c r="N3915" s="525" t="str">
        <f>IF(AND('331-CT'!$E$7=TH!H3915,OR(L3915="331",M3915="331")),"331",IF(AND(OR(L3915="131",M3915="131"),H3915='131-CT'!$E$7),"131",""))</f>
        <v>331</v>
      </c>
      <c r="O3915" s="525" t="str">
        <f>IF(AND($B3915&gt;='111'!$N$11,$B3915&lt;='111'!$O$11,OR($L3915=$O$7,$M3915=$O$7)),"x","")</f>
        <v/>
      </c>
      <c r="P3915" s="525" t="str">
        <f>IF(AND($L3915=$O$7,$B3915&lt;'111'!$N$11),"x","")</f>
        <v/>
      </c>
      <c r="Q3915" s="525" t="str">
        <f>IF(AND($M3915=$O$7,$B3915&lt;'111'!$N$11),"x","")</f>
        <v/>
      </c>
      <c r="R3915" s="525" t="str">
        <f>IF(ISERROR(FIND('112'!$M$9,G3915,1)),"",IF((AND(FIND('112'!$M$9,G3915,1)&gt;=1,$B3915&gt;='112'!$N$8,$B3915&lt;='112'!$O$8,OR($L3915='112'!$I$6,$M3915='112'!$I$6))),"x",""))</f>
        <v/>
      </c>
      <c r="S3915" s="525" t="str">
        <f>IF(ISERROR(FIND('112'!$M$9,G3915,1)),"",IF((AND(LEFT(G3915,2)=LEFT('112'!$M$9,2),B3915&lt;'112'!$N$8,$L3915='112'!$I$6)),"x",""))</f>
        <v/>
      </c>
      <c r="T3915" s="525" t="str">
        <f>IF(ISERROR(FIND('112'!$M$9,G3915,1)),"",IF((AND(RIGHT(G3915,2)=RIGHT('112'!$M$9,2),B3915&lt;'112'!$N$8,$M3915='112'!$I$6)),"x",""))</f>
        <v/>
      </c>
      <c r="U3915" s="525" t="str">
        <f>IF(AND(B3915&gt;='IN-NX'!$P$3,B3915&lt;='IN-NX'!$Q$3,'IN-NX'!$D$7=D3915,OR(LEFT(L3915,2)="15",AND(LEFT(M3915,2)&lt;&gt;"15",LEFT(M3915,2)&lt;&gt;"33"))),"x","")</f>
        <v/>
      </c>
      <c r="V3915" s="525" t="str">
        <f>IF(AND(OR(LEFT(TH!L3915,2)="15",LEFT(TH!M3915,2)="15"),'152-CT'!$J$8=TH!F3915),"x","")</f>
        <v/>
      </c>
      <c r="W3915" s="525" t="str">
        <f>IF(AND(OR(LEFT(TH!L3915,2)="15",LEFT(TH!M3915,2)="15"),TK!$E$7=TH!F3915),"x","")</f>
        <v/>
      </c>
      <c r="X3915" s="525" t="str">
        <f>IF(AND('341-CT'!$E$9=H3915,OR(LEFT(L3915,3)=$X$7,LEFT(M3915,3)=$X$7)),"x","")</f>
        <v/>
      </c>
      <c r="Y3915" s="525" t="str">
        <f>IF(OR(TH!L3915=TH!$Y$7,M3915=TH!$Y$7),"x","")</f>
        <v/>
      </c>
      <c r="Z3915" s="525" t="str">
        <f>IF(AND(B3915&lt;=NKC!$N$8,B3915&gt;=NKC!$M$8),"x","")</f>
        <v/>
      </c>
      <c r="AA3915" s="535">
        <v>3</v>
      </c>
      <c r="AC3915" s="536" t="str">
        <f>VLOOKUP(F3915,NXT!$B$12:$B$686,1,0)</f>
        <v>Giấy tấm 1200x2280</v>
      </c>
    </row>
    <row r="3916" spans="1:30" s="503" customFormat="1" ht="15.75" customHeight="1">
      <c r="A3916" s="517" t="str">
        <f>IF(B3916&lt;&gt;"",IF(AND(B3916&gt;=_TM1,B3916&lt;=_TM2,OR(TH!L3916="1111",TH!M3916="1111")),TH!D3916,""),"")</f>
        <v/>
      </c>
      <c r="B3916" s="531">
        <f t="shared" si="465"/>
        <v>7</v>
      </c>
      <c r="C3916" s="315">
        <f t="shared" si="466"/>
        <v>42923</v>
      </c>
      <c r="D3916" s="315" t="s">
        <v>1180</v>
      </c>
      <c r="E3916" s="315">
        <v>42923</v>
      </c>
      <c r="F3916" s="249" t="s">
        <v>526</v>
      </c>
      <c r="G3916" s="314" t="s">
        <v>1590</v>
      </c>
      <c r="H3916" s="473" t="s">
        <v>271</v>
      </c>
      <c r="I3916" s="307"/>
      <c r="J3916" s="307"/>
      <c r="K3916" s="532">
        <v>811105</v>
      </c>
      <c r="L3916" s="534" t="s">
        <v>9</v>
      </c>
      <c r="M3916" s="534" t="s">
        <v>8</v>
      </c>
      <c r="N3916" s="525" t="str">
        <f>IF(AND('331-CT'!$E$7=TH!H3916,OR(L3916="331",M3916="331")),"331",IF(AND(OR(L3916="131",M3916="131"),H3916='131-CT'!$E$7),"131",""))</f>
        <v>331</v>
      </c>
      <c r="O3916" s="525" t="str">
        <f>IF(AND($B3916&gt;='111'!$N$11,$B3916&lt;='111'!$O$11,OR($L3916=$O$7,$M3916=$O$7)),"x","")</f>
        <v/>
      </c>
      <c r="P3916" s="525" t="str">
        <f>IF(AND($L3916=$O$7,$B3916&lt;'111'!$N$11),"x","")</f>
        <v/>
      </c>
      <c r="Q3916" s="525" t="str">
        <f>IF(AND($M3916=$O$7,$B3916&lt;'111'!$N$11),"x","")</f>
        <v/>
      </c>
      <c r="R3916" s="525" t="str">
        <f>IF(ISERROR(FIND('112'!$M$9,G3916,1)),"",IF((AND(FIND('112'!$M$9,G3916,1)&gt;=1,$B3916&gt;='112'!$N$8,$B3916&lt;='112'!$O$8,OR($L3916='112'!$I$6,$M3916='112'!$I$6))),"x",""))</f>
        <v/>
      </c>
      <c r="S3916" s="525" t="str">
        <f>IF(ISERROR(FIND('112'!$M$9,G3916,1)),"",IF((AND(LEFT(G3916,2)=LEFT('112'!$M$9,2),B3916&lt;'112'!$N$8,$L3916='112'!$I$6)),"x",""))</f>
        <v/>
      </c>
      <c r="T3916" s="525" t="str">
        <f>IF(ISERROR(FIND('112'!$M$9,G3916,1)),"",IF((AND(RIGHT(G3916,2)=RIGHT('112'!$M$9,2),B3916&lt;'112'!$N$8,$M3916='112'!$I$6)),"x",""))</f>
        <v/>
      </c>
      <c r="U3916" s="525" t="str">
        <f>IF(AND(B3916&gt;='IN-NX'!$P$3,B3916&lt;='IN-NX'!$Q$3,'IN-NX'!$D$7=D3916,OR(LEFT(L3916,2)="15",AND(LEFT(M3916,2)&lt;&gt;"15",LEFT(M3916,2)&lt;&gt;"33"))),"x","")</f>
        <v/>
      </c>
      <c r="V3916" s="525" t="str">
        <f>IF(AND(OR(LEFT(TH!L3916,2)="15",LEFT(TH!M3916,2)="15"),'152-CT'!$J$8=TH!F3916),"x","")</f>
        <v/>
      </c>
      <c r="W3916" s="525" t="str">
        <f>IF(AND(OR(LEFT(TH!L3916,2)="15",LEFT(TH!M3916,2)="15"),TK!$E$7=TH!F3916),"x","")</f>
        <v/>
      </c>
      <c r="X3916" s="525" t="str">
        <f>IF(AND('341-CT'!$E$9=H3916,OR(LEFT(L3916,3)=$X$7,LEFT(M3916,3)=$X$7)),"x","")</f>
        <v/>
      </c>
      <c r="Y3916" s="525" t="str">
        <f>IF(OR(TH!L3916=TH!$Y$7,M3916=TH!$Y$7),"x","")</f>
        <v/>
      </c>
      <c r="Z3916" s="525" t="str">
        <f>IF(AND(B3916&lt;=NKC!$N$8,B3916&gt;=NKC!$M$8),"x","")</f>
        <v/>
      </c>
      <c r="AA3916" s="535">
        <v>3</v>
      </c>
      <c r="AC3916" s="536"/>
    </row>
    <row r="3917" spans="1:30" s="503" customFormat="1" ht="15.75" customHeight="1">
      <c r="A3917" s="517" t="str">
        <f>IF(B3917&lt;&gt;"",IF(AND(B3917&gt;=_TM1,B3917&lt;=_TM2,OR(TH!L3917="1111",TH!M3917="1111")),TH!D3917,""),"")</f>
        <v/>
      </c>
      <c r="B3917" s="531">
        <f t="shared" si="364"/>
        <v>7</v>
      </c>
      <c r="C3917" s="315">
        <f t="shared" si="367"/>
        <v>42920</v>
      </c>
      <c r="D3917" s="315" t="s">
        <v>1180</v>
      </c>
      <c r="E3917" s="288">
        <v>42920</v>
      </c>
      <c r="F3917" s="250" t="s">
        <v>1114</v>
      </c>
      <c r="G3917" s="314" t="s">
        <v>1502</v>
      </c>
      <c r="H3917" s="473" t="s">
        <v>1142</v>
      </c>
      <c r="I3917" s="307">
        <v>300</v>
      </c>
      <c r="J3917" s="307">
        <v>5390</v>
      </c>
      <c r="K3917" s="532">
        <f t="shared" si="366"/>
        <v>1617000</v>
      </c>
      <c r="L3917" s="534" t="s">
        <v>292</v>
      </c>
      <c r="M3917" s="534" t="s">
        <v>8</v>
      </c>
      <c r="N3917" s="525" t="str">
        <f>IF(AND('331-CT'!$E$7=TH!H3917,OR(L3917="331",M3917="331")),"331",IF(AND(OR(L3917="131",M3917="131"),H3917='131-CT'!$E$7),"131",""))</f>
        <v/>
      </c>
      <c r="O3917" s="525" t="str">
        <f>IF(AND($B3917&gt;='111'!$N$11,$B3917&lt;='111'!$O$11,OR($L3917=$O$7,$M3917=$O$7)),"x","")</f>
        <v/>
      </c>
      <c r="P3917" s="525" t="str">
        <f>IF(AND($L3917=$O$7,$B3917&lt;'111'!$N$11),"x","")</f>
        <v/>
      </c>
      <c r="Q3917" s="525" t="str">
        <f>IF(AND($M3917=$O$7,$B3917&lt;'111'!$N$11),"x","")</f>
        <v/>
      </c>
      <c r="R3917" s="525" t="str">
        <f>IF(ISERROR(FIND('112'!$M$9,G3917,1)),"",IF((AND(FIND('112'!$M$9,G3917,1)&gt;=1,$B3917&gt;='112'!$N$8,$B3917&lt;='112'!$O$8,OR($L3917='112'!$I$6,$M3917='112'!$I$6))),"x",""))</f>
        <v/>
      </c>
      <c r="S3917" s="525" t="str">
        <f>IF(ISERROR(FIND('112'!$M$9,G3917,1)),"",IF((AND(LEFT(G3917,2)=LEFT('112'!$M$9,2),B3917&lt;'112'!$N$8,$L3917='112'!$I$6)),"x",""))</f>
        <v/>
      </c>
      <c r="T3917" s="525" t="str">
        <f>IF(ISERROR(FIND('112'!$M$9,G3917,1)),"",IF((AND(RIGHT(G3917,2)=RIGHT('112'!$M$9,2),B3917&lt;'112'!$N$8,$M3917='112'!$I$6)),"x",""))</f>
        <v/>
      </c>
      <c r="U3917" s="525" t="str">
        <f>IF(AND(B3917&gt;='IN-NX'!$P$3,B3917&lt;='IN-NX'!$Q$3,'IN-NX'!$D$7=D3917,OR(LEFT(L3917,2)="15",AND(LEFT(M3917,2)&lt;&gt;"15",LEFT(M3917,2)&lt;&gt;"33"))),"x","")</f>
        <v/>
      </c>
      <c r="V3917" s="525" t="str">
        <f>IF(AND(OR(LEFT(TH!L3917,2)="15",LEFT(TH!M3917,2)="15"),'152-CT'!$J$8=TH!F3917),"x","")</f>
        <v/>
      </c>
      <c r="W3917" s="525" t="str">
        <f>IF(AND(OR(LEFT(TH!L3917,2)="15",LEFT(TH!M3917,2)="15"),TK!$E$7=TH!F3917),"x","")</f>
        <v/>
      </c>
      <c r="X3917" s="525" t="str">
        <f>IF(AND('341-CT'!$E$9=H3917,OR(LEFT(L3917,3)=$X$7,LEFT(M3917,3)=$X$7)),"x","")</f>
        <v/>
      </c>
      <c r="Y3917" s="525" t="str">
        <f>IF(OR(TH!L3917=TH!$Y$7,M3917=TH!$Y$7),"x","")</f>
        <v/>
      </c>
      <c r="Z3917" s="525" t="str">
        <f>IF(AND(B3917&lt;=NKC!$N$8,B3917&gt;=NKC!$M$8),"x","")</f>
        <v/>
      </c>
      <c r="AA3917" s="535">
        <v>3</v>
      </c>
      <c r="AC3917" s="536" t="str">
        <f>VLOOKUP(F3917,NXT!$B$12:$B$686,1,0)</f>
        <v>Thùng 36x24x18.5</v>
      </c>
    </row>
    <row r="3918" spans="1:30" s="503" customFormat="1" ht="15.75" customHeight="1">
      <c r="A3918" s="517" t="str">
        <f>IF(B3918&lt;&gt;"",IF(AND(B3918&gt;=_TM1,B3918&lt;=_TM2,OR(TH!L3918="1111",TH!M3918="1111")),TH!D3918,""),"")</f>
        <v/>
      </c>
      <c r="B3918" s="531">
        <f t="shared" si="364"/>
        <v>7</v>
      </c>
      <c r="C3918" s="315">
        <f t="shared" si="367"/>
        <v>42920</v>
      </c>
      <c r="D3918" s="315" t="s">
        <v>1180</v>
      </c>
      <c r="E3918" s="288">
        <v>42920</v>
      </c>
      <c r="F3918" s="250" t="s">
        <v>1290</v>
      </c>
      <c r="G3918" s="314" t="s">
        <v>1502</v>
      </c>
      <c r="H3918" s="473" t="s">
        <v>1142</v>
      </c>
      <c r="I3918" s="307">
        <v>3530</v>
      </c>
      <c r="J3918" s="307">
        <v>12250</v>
      </c>
      <c r="K3918" s="532">
        <f t="shared" si="366"/>
        <v>43242500</v>
      </c>
      <c r="L3918" s="534" t="s">
        <v>292</v>
      </c>
      <c r="M3918" s="534" t="s">
        <v>8</v>
      </c>
      <c r="N3918" s="525" t="str">
        <f>IF(AND('331-CT'!$E$7=TH!H3918,OR(L3918="331",M3918="331")),"331",IF(AND(OR(L3918="131",M3918="131"),H3918='131-CT'!$E$7),"131",""))</f>
        <v/>
      </c>
      <c r="O3918" s="525" t="str">
        <f>IF(AND($B3918&gt;='111'!$N$11,$B3918&lt;='111'!$O$11,OR($L3918=$O$7,$M3918=$O$7)),"x","")</f>
        <v/>
      </c>
      <c r="P3918" s="525" t="str">
        <f>IF(AND($L3918=$O$7,$B3918&lt;'111'!$N$11),"x","")</f>
        <v/>
      </c>
      <c r="Q3918" s="525" t="str">
        <f>IF(AND($M3918=$O$7,$B3918&lt;'111'!$N$11),"x","")</f>
        <v/>
      </c>
      <c r="R3918" s="525" t="str">
        <f>IF(ISERROR(FIND('112'!$M$9,G3918,1)),"",IF((AND(FIND('112'!$M$9,G3918,1)&gt;=1,$B3918&gt;='112'!$N$8,$B3918&lt;='112'!$O$8,OR($L3918='112'!$I$6,$M3918='112'!$I$6))),"x",""))</f>
        <v/>
      </c>
      <c r="S3918" s="525" t="str">
        <f>IF(ISERROR(FIND('112'!$M$9,G3918,1)),"",IF((AND(LEFT(G3918,2)=LEFT('112'!$M$9,2),B3918&lt;'112'!$N$8,$L3918='112'!$I$6)),"x",""))</f>
        <v/>
      </c>
      <c r="T3918" s="525" t="str">
        <f>IF(ISERROR(FIND('112'!$M$9,G3918,1)),"",IF((AND(RIGHT(G3918,2)=RIGHT('112'!$M$9,2),B3918&lt;'112'!$N$8,$M3918='112'!$I$6)),"x",""))</f>
        <v/>
      </c>
      <c r="U3918" s="525" t="str">
        <f>IF(AND(B3918&gt;='IN-NX'!$P$3,B3918&lt;='IN-NX'!$Q$3,'IN-NX'!$D$7=D3918,OR(LEFT(L3918,2)="15",AND(LEFT(M3918,2)&lt;&gt;"15",LEFT(M3918,2)&lt;&gt;"33"))),"x","")</f>
        <v/>
      </c>
      <c r="V3918" s="525" t="str">
        <f>IF(AND(OR(LEFT(TH!L3918,2)="15",LEFT(TH!M3918,2)="15"),'152-CT'!$J$8=TH!F3918),"x","")</f>
        <v/>
      </c>
      <c r="W3918" s="525" t="str">
        <f>IF(AND(OR(LEFT(TH!L3918,2)="15",LEFT(TH!M3918,2)="15"),TK!$E$7=TH!F3918),"x","")</f>
        <v/>
      </c>
      <c r="X3918" s="525" t="str">
        <f>IF(AND('341-CT'!$E$9=H3918,OR(LEFT(L3918,3)=$X$7,LEFT(M3918,3)=$X$7)),"x","")</f>
        <v/>
      </c>
      <c r="Y3918" s="525" t="str">
        <f>IF(OR(TH!L3918=TH!$Y$7,M3918=TH!$Y$7),"x","")</f>
        <v/>
      </c>
      <c r="Z3918" s="525" t="str">
        <f>IF(AND(B3918&lt;=NKC!$N$8,B3918&gt;=NKC!$M$8),"x","")</f>
        <v/>
      </c>
      <c r="AA3918" s="535">
        <v>3</v>
      </c>
      <c r="AC3918" s="536" t="str">
        <f>VLOOKUP(F3918,NXT!$B$12:$B$686,1,0)</f>
        <v>Thùng 41.5x30x17.5</v>
      </c>
    </row>
    <row r="3919" spans="1:30" s="503" customFormat="1" ht="15.75" customHeight="1">
      <c r="A3919" s="517" t="str">
        <f>IF(B3919&lt;&gt;"",IF(AND(B3919&gt;=_TM1,B3919&lt;=_TM2,OR(TH!L3919="1111",TH!M3919="1111")),TH!D3919,""),"")</f>
        <v/>
      </c>
      <c r="B3919" s="531">
        <f t="shared" ref="B3919:B4114" si="467">IF(C3919&lt;&gt;"",MONTH(C3919),"")</f>
        <v>7</v>
      </c>
      <c r="C3919" s="315">
        <f t="shared" si="367"/>
        <v>42920</v>
      </c>
      <c r="D3919" s="315" t="s">
        <v>1180</v>
      </c>
      <c r="E3919" s="288">
        <v>42920</v>
      </c>
      <c r="F3919" s="249" t="s">
        <v>494</v>
      </c>
      <c r="G3919" s="314" t="s">
        <v>1502</v>
      </c>
      <c r="H3919" s="473" t="s">
        <v>1142</v>
      </c>
      <c r="I3919" s="307"/>
      <c r="J3919" s="307"/>
      <c r="K3919" s="532">
        <v>4485950</v>
      </c>
      <c r="L3919" s="534" t="s">
        <v>9</v>
      </c>
      <c r="M3919" s="534" t="s">
        <v>8</v>
      </c>
      <c r="N3919" s="525" t="str">
        <f>IF(AND('331-CT'!$E$7=TH!H3919,OR(L3919="331",M3919="331")),"331",IF(AND(OR(L3919="131",M3919="131"),H3919='131-CT'!$E$7),"131",""))</f>
        <v/>
      </c>
      <c r="O3919" s="525" t="str">
        <f>IF(AND($B3919&gt;='111'!$N$11,$B3919&lt;='111'!$O$11,OR($L3919=$O$7,$M3919=$O$7)),"x","")</f>
        <v/>
      </c>
      <c r="P3919" s="525" t="str">
        <f>IF(AND($L3919=$O$7,$B3919&lt;'111'!$N$11),"x","")</f>
        <v/>
      </c>
      <c r="Q3919" s="525" t="str">
        <f>IF(AND($M3919=$O$7,$B3919&lt;'111'!$N$11),"x","")</f>
        <v/>
      </c>
      <c r="R3919" s="525" t="str">
        <f>IF(ISERROR(FIND('112'!$M$9,G3919,1)),"",IF((AND(FIND('112'!$M$9,G3919,1)&gt;=1,$B3919&gt;='112'!$N$8,$B3919&lt;='112'!$O$8,OR($L3919='112'!$I$6,$M3919='112'!$I$6))),"x",""))</f>
        <v/>
      </c>
      <c r="S3919" s="525" t="str">
        <f>IF(ISERROR(FIND('112'!$M$9,G3919,1)),"",IF((AND(LEFT(G3919,2)=LEFT('112'!$M$9,2),B3919&lt;'112'!$N$8,$L3919='112'!$I$6)),"x",""))</f>
        <v/>
      </c>
      <c r="T3919" s="525" t="str">
        <f>IF(ISERROR(FIND('112'!$M$9,G3919,1)),"",IF((AND(RIGHT(G3919,2)=RIGHT('112'!$M$9,2),B3919&lt;'112'!$N$8,$M3919='112'!$I$6)),"x",""))</f>
        <v/>
      </c>
      <c r="U3919" s="525" t="str">
        <f>IF(AND(B3919&gt;='IN-NX'!$P$3,B3919&lt;='IN-NX'!$Q$3,'IN-NX'!$D$7=D3919,OR(LEFT(L3919,2)="15",AND(LEFT(M3919,2)&lt;&gt;"15",LEFT(M3919,2)&lt;&gt;"33"))),"x","")</f>
        <v/>
      </c>
      <c r="V3919" s="525" t="str">
        <f>IF(AND(OR(LEFT(TH!L3919,2)="15",LEFT(TH!M3919,2)="15"),'152-CT'!$J$8=TH!F3919),"x","")</f>
        <v/>
      </c>
      <c r="W3919" s="525" t="str">
        <f>IF(AND(OR(LEFT(TH!L3919,2)="15",LEFT(TH!M3919,2)="15"),TK!$E$7=TH!F3919),"x","")</f>
        <v/>
      </c>
      <c r="X3919" s="525" t="str">
        <f>IF(AND('341-CT'!$E$9=H3919,OR(LEFT(L3919,3)=$X$7,LEFT(M3919,3)=$X$7)),"x","")</f>
        <v/>
      </c>
      <c r="Y3919" s="525" t="str">
        <f>IF(OR(TH!L3919=TH!$Y$7,M3919=TH!$Y$7),"x","")</f>
        <v/>
      </c>
      <c r="Z3919" s="525" t="str">
        <f>IF(AND(B3919&lt;=NKC!$N$8,B3919&gt;=NKC!$M$8),"x","")</f>
        <v/>
      </c>
      <c r="AA3919" s="535">
        <v>3</v>
      </c>
      <c r="AB3919" s="536"/>
      <c r="AD3919" s="536"/>
    </row>
    <row r="3920" spans="1:30" s="503" customFormat="1" ht="15.75" customHeight="1">
      <c r="A3920" s="517" t="str">
        <f>IF(B3920&lt;&gt;"",IF(AND(B3920&gt;=_TM1,B3920&lt;=_TM2,OR(TH!L3920="1111",TH!M3920="1111")),TH!D3920,""),"")</f>
        <v/>
      </c>
      <c r="B3920" s="531">
        <f t="shared" si="467"/>
        <v>7</v>
      </c>
      <c r="C3920" s="315">
        <f t="shared" si="367"/>
        <v>42921</v>
      </c>
      <c r="D3920" s="315" t="s">
        <v>1180</v>
      </c>
      <c r="E3920" s="288">
        <v>42921</v>
      </c>
      <c r="F3920" s="250" t="s">
        <v>1217</v>
      </c>
      <c r="G3920" s="314" t="s">
        <v>1592</v>
      </c>
      <c r="H3920" s="473" t="s">
        <v>1501</v>
      </c>
      <c r="I3920" s="307">
        <v>8120</v>
      </c>
      <c r="J3920" s="307">
        <v>8624</v>
      </c>
      <c r="K3920" s="532">
        <f t="shared" ref="K3920:K4113" si="468">ROUND(I3920*J3920,0)</f>
        <v>70026880</v>
      </c>
      <c r="L3920" s="534" t="s">
        <v>292</v>
      </c>
      <c r="M3920" s="534" t="s">
        <v>8</v>
      </c>
      <c r="N3920" s="525" t="str">
        <f>IF(AND('331-CT'!$E$7=TH!H3920,OR(L3920="331",M3920="331")),"331",IF(AND(OR(L3920="131",M3920="131"),H3920='131-CT'!$E$7),"131",""))</f>
        <v/>
      </c>
      <c r="O3920" s="525" t="str">
        <f>IF(AND($B3920&gt;='111'!$N$11,$B3920&lt;='111'!$O$11,OR($L3920=$O$7,$M3920=$O$7)),"x","")</f>
        <v/>
      </c>
      <c r="P3920" s="525" t="str">
        <f>IF(AND($L3920=$O$7,$B3920&lt;'111'!$N$11),"x","")</f>
        <v/>
      </c>
      <c r="Q3920" s="525" t="str">
        <f>IF(AND($M3920=$O$7,$B3920&lt;'111'!$N$11),"x","")</f>
        <v/>
      </c>
      <c r="R3920" s="525" t="str">
        <f>IF(ISERROR(FIND('112'!$M$9,G3920,1)),"",IF((AND(FIND('112'!$M$9,G3920,1)&gt;=1,$B3920&gt;='112'!$N$8,$B3920&lt;='112'!$O$8,OR($L3920='112'!$I$6,$M3920='112'!$I$6))),"x",""))</f>
        <v/>
      </c>
      <c r="S3920" s="525" t="str">
        <f>IF(ISERROR(FIND('112'!$M$9,G3920,1)),"",IF((AND(LEFT(G3920,2)=LEFT('112'!$M$9,2),B3920&lt;'112'!$N$8,$L3920='112'!$I$6)),"x",""))</f>
        <v/>
      </c>
      <c r="T3920" s="525" t="str">
        <f>IF(ISERROR(FIND('112'!$M$9,G3920,1)),"",IF((AND(RIGHT(G3920,2)=RIGHT('112'!$M$9,2),B3920&lt;'112'!$N$8,$M3920='112'!$I$6)),"x",""))</f>
        <v/>
      </c>
      <c r="U3920" s="525" t="str">
        <f>IF(AND(B3920&gt;='IN-NX'!$P$3,B3920&lt;='IN-NX'!$Q$3,'IN-NX'!$D$7=D3920,OR(LEFT(L3920,2)="15",AND(LEFT(M3920,2)&lt;&gt;"15",LEFT(M3920,2)&lt;&gt;"33"))),"x","")</f>
        <v/>
      </c>
      <c r="V3920" s="525" t="str">
        <f>IF(AND(OR(LEFT(TH!L3920,2)="15",LEFT(TH!M3920,2)="15"),'152-CT'!$J$8=TH!F3920),"x","")</f>
        <v/>
      </c>
      <c r="W3920" s="525" t="str">
        <f>IF(AND(OR(LEFT(TH!L3920,2)="15",LEFT(TH!M3920,2)="15"),TK!$E$7=TH!F3920),"x","")</f>
        <v/>
      </c>
      <c r="X3920" s="525" t="str">
        <f>IF(AND('341-CT'!$E$9=H3920,OR(LEFT(L3920,3)=$X$7,LEFT(M3920,3)=$X$7)),"x","")</f>
        <v/>
      </c>
      <c r="Y3920" s="525" t="str">
        <f>IF(OR(TH!L3920=TH!$Y$7,M3920=TH!$Y$7),"x","")</f>
        <v/>
      </c>
      <c r="Z3920" s="525" t="str">
        <f>IF(AND(B3920&lt;=NKC!$N$8,B3920&gt;=NKC!$M$8),"x","")</f>
        <v/>
      </c>
      <c r="AA3920" s="535">
        <v>3</v>
      </c>
      <c r="AB3920" s="536"/>
      <c r="AC3920" s="536" t="str">
        <f>VLOOKUP(F3920,NXT!$B$12:$B$686,1,0)</f>
        <v>Thùng 50x29.5x19</v>
      </c>
      <c r="AD3920" s="536"/>
    </row>
    <row r="3921" spans="1:30" s="503" customFormat="1" ht="15.75" customHeight="1">
      <c r="A3921" s="517" t="str">
        <f>IF(B3921&lt;&gt;"",IF(AND(B3921&gt;=_TM1,B3921&lt;=_TM2,OR(TH!L3921="1111",TH!M3921="1111")),TH!D3921,""),"")</f>
        <v/>
      </c>
      <c r="B3921" s="531">
        <f t="shared" si="467"/>
        <v>7</v>
      </c>
      <c r="C3921" s="315">
        <f t="shared" si="367"/>
        <v>42921</v>
      </c>
      <c r="D3921" s="315" t="s">
        <v>1180</v>
      </c>
      <c r="E3921" s="288">
        <v>42921</v>
      </c>
      <c r="F3921" s="249" t="s">
        <v>380</v>
      </c>
      <c r="G3921" s="314" t="s">
        <v>1592</v>
      </c>
      <c r="H3921" s="473" t="s">
        <v>1501</v>
      </c>
      <c r="I3921" s="307">
        <v>5322</v>
      </c>
      <c r="J3921" s="307">
        <v>8232</v>
      </c>
      <c r="K3921" s="532">
        <f t="shared" si="468"/>
        <v>43810704</v>
      </c>
      <c r="L3921" s="534" t="s">
        <v>292</v>
      </c>
      <c r="M3921" s="534" t="s">
        <v>8</v>
      </c>
      <c r="N3921" s="525" t="str">
        <f>IF(AND('331-CT'!$E$7=TH!H3921,OR(L3921="331",M3921="331")),"331",IF(AND(OR(L3921="131",M3921="131"),H3921='131-CT'!$E$7),"131",""))</f>
        <v/>
      </c>
      <c r="O3921" s="525" t="str">
        <f>IF(AND($B3921&gt;='111'!$N$11,$B3921&lt;='111'!$O$11,OR($L3921=$O$7,$M3921=$O$7)),"x","")</f>
        <v/>
      </c>
      <c r="P3921" s="525" t="str">
        <f>IF(AND($L3921=$O$7,$B3921&lt;'111'!$N$11),"x","")</f>
        <v/>
      </c>
      <c r="Q3921" s="525" t="str">
        <f>IF(AND($M3921=$O$7,$B3921&lt;'111'!$N$11),"x","")</f>
        <v/>
      </c>
      <c r="R3921" s="525" t="str">
        <f>IF(ISERROR(FIND('112'!$M$9,G3921,1)),"",IF((AND(FIND('112'!$M$9,G3921,1)&gt;=1,$B3921&gt;='112'!$N$8,$B3921&lt;='112'!$O$8,OR($L3921='112'!$I$6,$M3921='112'!$I$6))),"x",""))</f>
        <v/>
      </c>
      <c r="S3921" s="525" t="str">
        <f>IF(ISERROR(FIND('112'!$M$9,G3921,1)),"",IF((AND(LEFT(G3921,2)=LEFT('112'!$M$9,2),B3921&lt;'112'!$N$8,$L3921='112'!$I$6)),"x",""))</f>
        <v/>
      </c>
      <c r="T3921" s="525" t="str">
        <f>IF(ISERROR(FIND('112'!$M$9,G3921,1)),"",IF((AND(RIGHT(G3921,2)=RIGHT('112'!$M$9,2),B3921&lt;'112'!$N$8,$M3921='112'!$I$6)),"x",""))</f>
        <v/>
      </c>
      <c r="U3921" s="525" t="str">
        <f>IF(AND(B3921&gt;='IN-NX'!$P$3,B3921&lt;='IN-NX'!$Q$3,'IN-NX'!$D$7=D3921,OR(LEFT(L3921,2)="15",AND(LEFT(M3921,2)&lt;&gt;"15",LEFT(M3921,2)&lt;&gt;"33"))),"x","")</f>
        <v/>
      </c>
      <c r="V3921" s="525" t="str">
        <f>IF(AND(OR(LEFT(TH!L3921,2)="15",LEFT(TH!M3921,2)="15"),'152-CT'!$J$8=TH!F3921),"x","")</f>
        <v/>
      </c>
      <c r="W3921" s="525" t="str">
        <f>IF(AND(OR(LEFT(TH!L3921,2)="15",LEFT(TH!M3921,2)="15"),TK!$E$7=TH!F3921),"x","")</f>
        <v/>
      </c>
      <c r="X3921" s="525" t="str">
        <f>IF(AND('341-CT'!$E$9=H3921,OR(LEFT(L3921,3)=$X$7,LEFT(M3921,3)=$X$7)),"x","")</f>
        <v/>
      </c>
      <c r="Y3921" s="525" t="str">
        <f>IF(OR(TH!L3921=TH!$Y$7,M3921=TH!$Y$7),"x","")</f>
        <v/>
      </c>
      <c r="Z3921" s="525" t="str">
        <f>IF(AND(B3921&lt;=NKC!$N$8,B3921&gt;=NKC!$M$8),"x","")</f>
        <v/>
      </c>
      <c r="AA3921" s="535">
        <v>3</v>
      </c>
      <c r="AB3921" s="536"/>
      <c r="AC3921" s="536" t="str">
        <f>VLOOKUP(F3921,NXT!$B$12:$B$686,1,0)</f>
        <v>Giấy cuộn</v>
      </c>
    </row>
    <row r="3922" spans="1:30" s="503" customFormat="1" ht="15.75" customHeight="1">
      <c r="A3922" s="517" t="str">
        <f>IF(B3922&lt;&gt;"",IF(AND(B3922&gt;=_TM1,B3922&lt;=_TM2,OR(TH!L3922="1111",TH!M3922="1111")),TH!D3922,""),"")</f>
        <v/>
      </c>
      <c r="B3922" s="531">
        <f t="shared" si="467"/>
        <v>7</v>
      </c>
      <c r="C3922" s="315">
        <f t="shared" si="367"/>
        <v>42921</v>
      </c>
      <c r="D3922" s="315" t="s">
        <v>1180</v>
      </c>
      <c r="E3922" s="288">
        <v>42921</v>
      </c>
      <c r="F3922" s="249" t="s">
        <v>494</v>
      </c>
      <c r="G3922" s="314" t="s">
        <v>1592</v>
      </c>
      <c r="H3922" s="473" t="s">
        <v>1501</v>
      </c>
      <c r="I3922" s="307"/>
      <c r="J3922" s="307"/>
      <c r="K3922" s="532">
        <v>11383758.4</v>
      </c>
      <c r="L3922" s="534" t="s">
        <v>9</v>
      </c>
      <c r="M3922" s="534" t="s">
        <v>8</v>
      </c>
      <c r="N3922" s="525" t="str">
        <f>IF(AND('331-CT'!$E$7=TH!H3922,OR(L3922="331",M3922="331")),"331",IF(AND(OR(L3922="131",M3922="131"),H3922='131-CT'!$E$7),"131",""))</f>
        <v/>
      </c>
      <c r="O3922" s="525" t="str">
        <f>IF(AND($B3922&gt;='111'!$N$11,$B3922&lt;='111'!$O$11,OR($L3922=$O$7,$M3922=$O$7)),"x","")</f>
        <v/>
      </c>
      <c r="P3922" s="525" t="str">
        <f>IF(AND($L3922=$O$7,$B3922&lt;'111'!$N$11),"x","")</f>
        <v/>
      </c>
      <c r="Q3922" s="525" t="str">
        <f>IF(AND($M3922=$O$7,$B3922&lt;'111'!$N$11),"x","")</f>
        <v/>
      </c>
      <c r="R3922" s="525" t="str">
        <f>IF(ISERROR(FIND('112'!$M$9,G3922,1)),"",IF((AND(FIND('112'!$M$9,G3922,1)&gt;=1,$B3922&gt;='112'!$N$8,$B3922&lt;='112'!$O$8,OR($L3922='112'!$I$6,$M3922='112'!$I$6))),"x",""))</f>
        <v/>
      </c>
      <c r="S3922" s="525" t="str">
        <f>IF(ISERROR(FIND('112'!$M$9,G3922,1)),"",IF((AND(LEFT(G3922,2)=LEFT('112'!$M$9,2),B3922&lt;'112'!$N$8,$L3922='112'!$I$6)),"x",""))</f>
        <v/>
      </c>
      <c r="T3922" s="525" t="str">
        <f>IF(ISERROR(FIND('112'!$M$9,G3922,1)),"",IF((AND(RIGHT(G3922,2)=RIGHT('112'!$M$9,2),B3922&lt;'112'!$N$8,$M3922='112'!$I$6)),"x",""))</f>
        <v/>
      </c>
      <c r="U3922" s="525" t="str">
        <f>IF(AND(B3922&gt;='IN-NX'!$P$3,B3922&lt;='IN-NX'!$Q$3,'IN-NX'!$D$7=D3922,OR(LEFT(L3922,2)="15",AND(LEFT(M3922,2)&lt;&gt;"15",LEFT(M3922,2)&lt;&gt;"33"))),"x","")</f>
        <v/>
      </c>
      <c r="V3922" s="525" t="str">
        <f>IF(AND(OR(LEFT(TH!L3922,2)="15",LEFT(TH!M3922,2)="15"),'152-CT'!$J$8=TH!F3922),"x","")</f>
        <v/>
      </c>
      <c r="W3922" s="525" t="str">
        <f>IF(AND(OR(LEFT(TH!L3922,2)="15",LEFT(TH!M3922,2)="15"),TK!$E$7=TH!F3922),"x","")</f>
        <v/>
      </c>
      <c r="X3922" s="525" t="str">
        <f>IF(AND('341-CT'!$E$9=H3922,OR(LEFT(L3922,3)=$X$7,LEFT(M3922,3)=$X$7)),"x","")</f>
        <v/>
      </c>
      <c r="Y3922" s="525" t="str">
        <f>IF(OR(TH!L3922=TH!$Y$7,M3922=TH!$Y$7),"x","")</f>
        <v/>
      </c>
      <c r="Z3922" s="525" t="str">
        <f>IF(AND(B3922&lt;=NKC!$N$8,B3922&gt;=NKC!$M$8),"x","")</f>
        <v/>
      </c>
      <c r="AA3922" s="535">
        <v>3</v>
      </c>
      <c r="AB3922" s="536"/>
    </row>
    <row r="3923" spans="1:30" s="503" customFormat="1" ht="15.75" customHeight="1">
      <c r="A3923" s="517" t="str">
        <f>IF(B3923&lt;&gt;"",IF(AND(B3923&gt;=_TM1,B3923&lt;=_TM2,OR(TH!L3923="1111",TH!M3923="1111")),TH!D3923,""),"")</f>
        <v/>
      </c>
      <c r="B3923" s="531">
        <f t="shared" si="467"/>
        <v>7</v>
      </c>
      <c r="C3923" s="315">
        <f t="shared" si="367"/>
        <v>42924</v>
      </c>
      <c r="D3923" s="315" t="s">
        <v>1180</v>
      </c>
      <c r="E3923" s="315">
        <v>42924</v>
      </c>
      <c r="F3923" s="250" t="s">
        <v>1217</v>
      </c>
      <c r="G3923" s="314" t="s">
        <v>1504</v>
      </c>
      <c r="H3923" s="473" t="s">
        <v>1142</v>
      </c>
      <c r="I3923" s="307">
        <v>6090</v>
      </c>
      <c r="J3923" s="307">
        <v>8624</v>
      </c>
      <c r="K3923" s="532">
        <f t="shared" si="468"/>
        <v>52520160</v>
      </c>
      <c r="L3923" s="534" t="s">
        <v>292</v>
      </c>
      <c r="M3923" s="534" t="s">
        <v>8</v>
      </c>
      <c r="N3923" s="525" t="str">
        <f>IF(AND('331-CT'!$E$7=TH!H3923,OR(L3923="331",M3923="331")),"331",IF(AND(OR(L3923="131",M3923="131"),H3923='131-CT'!$E$7),"131",""))</f>
        <v/>
      </c>
      <c r="O3923" s="525" t="str">
        <f>IF(AND($B3923&gt;='111'!$N$11,$B3923&lt;='111'!$O$11,OR($L3923=$O$7,$M3923=$O$7)),"x","")</f>
        <v/>
      </c>
      <c r="P3923" s="525" t="str">
        <f>IF(AND($L3923=$O$7,$B3923&lt;'111'!$N$11),"x","")</f>
        <v/>
      </c>
      <c r="Q3923" s="525" t="str">
        <f>IF(AND($M3923=$O$7,$B3923&lt;'111'!$N$11),"x","")</f>
        <v/>
      </c>
      <c r="R3923" s="525" t="str">
        <f>IF(ISERROR(FIND('112'!$M$9,G3923,1)),"",IF((AND(FIND('112'!$M$9,G3923,1)&gt;=1,$B3923&gt;='112'!$N$8,$B3923&lt;='112'!$O$8,OR($L3923='112'!$I$6,$M3923='112'!$I$6))),"x",""))</f>
        <v/>
      </c>
      <c r="S3923" s="525" t="str">
        <f>IF(ISERROR(FIND('112'!$M$9,G3923,1)),"",IF((AND(LEFT(G3923,2)=LEFT('112'!$M$9,2),B3923&lt;'112'!$N$8,$L3923='112'!$I$6)),"x",""))</f>
        <v/>
      </c>
      <c r="T3923" s="525" t="str">
        <f>IF(ISERROR(FIND('112'!$M$9,G3923,1)),"",IF((AND(RIGHT(G3923,2)=RIGHT('112'!$M$9,2),B3923&lt;'112'!$N$8,$M3923='112'!$I$6)),"x",""))</f>
        <v/>
      </c>
      <c r="U3923" s="525" t="str">
        <f>IF(AND(B3923&gt;='IN-NX'!$P$3,B3923&lt;='IN-NX'!$Q$3,'IN-NX'!$D$7=D3923,OR(LEFT(L3923,2)="15",AND(LEFT(M3923,2)&lt;&gt;"15",LEFT(M3923,2)&lt;&gt;"33"))),"x","")</f>
        <v/>
      </c>
      <c r="V3923" s="525" t="str">
        <f>IF(AND(OR(LEFT(TH!L3923,2)="15",LEFT(TH!M3923,2)="15"),'152-CT'!$J$8=TH!F3923),"x","")</f>
        <v/>
      </c>
      <c r="W3923" s="525" t="str">
        <f>IF(AND(OR(LEFT(TH!L3923,2)="15",LEFT(TH!M3923,2)="15"),TK!$E$7=TH!F3923),"x","")</f>
        <v/>
      </c>
      <c r="X3923" s="525" t="str">
        <f>IF(AND('341-CT'!$E$9=H3923,OR(LEFT(L3923,3)=$X$7,LEFT(M3923,3)=$X$7)),"x","")</f>
        <v/>
      </c>
      <c r="Y3923" s="525" t="str">
        <f>IF(OR(TH!L3923=TH!$Y$7,M3923=TH!$Y$7),"x","")</f>
        <v/>
      </c>
      <c r="Z3923" s="525" t="str">
        <f>IF(AND(B3923&lt;=NKC!$N$8,B3923&gt;=NKC!$M$8),"x","")</f>
        <v/>
      </c>
      <c r="AA3923" s="535">
        <v>3</v>
      </c>
      <c r="AB3923" s="536"/>
      <c r="AC3923" s="536" t="str">
        <f>VLOOKUP(F3923,NXT!$B$12:$B$686,1,0)</f>
        <v>Thùng 50x29.5x19</v>
      </c>
    </row>
    <row r="3924" spans="1:30" s="503" customFormat="1" ht="15.75" customHeight="1">
      <c r="A3924" s="517" t="str">
        <f>IF(B3924&lt;&gt;"",IF(AND(B3924&gt;=_TM1,B3924&lt;=_TM2,OR(TH!L3924="1111",TH!M3924="1111")),TH!D3924,""),"")</f>
        <v/>
      </c>
      <c r="B3924" s="531">
        <f t="shared" si="467"/>
        <v>7</v>
      </c>
      <c r="C3924" s="315">
        <f t="shared" si="367"/>
        <v>42924</v>
      </c>
      <c r="D3924" s="315" t="s">
        <v>1180</v>
      </c>
      <c r="E3924" s="315">
        <v>42924</v>
      </c>
      <c r="F3924" s="249" t="s">
        <v>380</v>
      </c>
      <c r="G3924" s="314" t="s">
        <v>1504</v>
      </c>
      <c r="H3924" s="473" t="s">
        <v>1142</v>
      </c>
      <c r="I3924" s="307">
        <v>3774</v>
      </c>
      <c r="J3924" s="307">
        <v>8232</v>
      </c>
      <c r="K3924" s="532">
        <f t="shared" si="468"/>
        <v>31067568</v>
      </c>
      <c r="L3924" s="534" t="s">
        <v>292</v>
      </c>
      <c r="M3924" s="534" t="s">
        <v>8</v>
      </c>
      <c r="N3924" s="525" t="str">
        <f>IF(AND('331-CT'!$E$7=TH!H3924,OR(L3924="331",M3924="331")),"331",IF(AND(OR(L3924="131",M3924="131"),H3924='131-CT'!$E$7),"131",""))</f>
        <v/>
      </c>
      <c r="O3924" s="525" t="str">
        <f>IF(AND($B3924&gt;='111'!$N$11,$B3924&lt;='111'!$O$11,OR($L3924=$O$7,$M3924=$O$7)),"x","")</f>
        <v/>
      </c>
      <c r="P3924" s="525" t="str">
        <f>IF(AND($L3924=$O$7,$B3924&lt;'111'!$N$11),"x","")</f>
        <v/>
      </c>
      <c r="Q3924" s="525" t="str">
        <f>IF(AND($M3924=$O$7,$B3924&lt;'111'!$N$11),"x","")</f>
        <v/>
      </c>
      <c r="R3924" s="525" t="str">
        <f>IF(ISERROR(FIND('112'!$M$9,G3924,1)),"",IF((AND(FIND('112'!$M$9,G3924,1)&gt;=1,$B3924&gt;='112'!$N$8,$B3924&lt;='112'!$O$8,OR($L3924='112'!$I$6,$M3924='112'!$I$6))),"x",""))</f>
        <v/>
      </c>
      <c r="S3924" s="525" t="str">
        <f>IF(ISERROR(FIND('112'!$M$9,G3924,1)),"",IF((AND(LEFT(G3924,2)=LEFT('112'!$M$9,2),B3924&lt;'112'!$N$8,$L3924='112'!$I$6)),"x",""))</f>
        <v/>
      </c>
      <c r="T3924" s="525" t="str">
        <f>IF(ISERROR(FIND('112'!$M$9,G3924,1)),"",IF((AND(RIGHT(G3924,2)=RIGHT('112'!$M$9,2),B3924&lt;'112'!$N$8,$M3924='112'!$I$6)),"x",""))</f>
        <v/>
      </c>
      <c r="U3924" s="525" t="str">
        <f>IF(AND(B3924&gt;='IN-NX'!$P$3,B3924&lt;='IN-NX'!$Q$3,'IN-NX'!$D$7=D3924,OR(LEFT(L3924,2)="15",AND(LEFT(M3924,2)&lt;&gt;"15",LEFT(M3924,2)&lt;&gt;"33"))),"x","")</f>
        <v/>
      </c>
      <c r="V3924" s="525" t="str">
        <f>IF(AND(OR(LEFT(TH!L3924,2)="15",LEFT(TH!M3924,2)="15"),'152-CT'!$J$8=TH!F3924),"x","")</f>
        <v/>
      </c>
      <c r="W3924" s="525" t="str">
        <f>IF(AND(OR(LEFT(TH!L3924,2)="15",LEFT(TH!M3924,2)="15"),TK!$E$7=TH!F3924),"x","")</f>
        <v/>
      </c>
      <c r="X3924" s="525" t="str">
        <f>IF(AND('341-CT'!$E$9=H3924,OR(LEFT(L3924,3)=$X$7,LEFT(M3924,3)=$X$7)),"x","")</f>
        <v/>
      </c>
      <c r="Y3924" s="525" t="str">
        <f>IF(OR(TH!L3924=TH!$Y$7,M3924=TH!$Y$7),"x","")</f>
        <v/>
      </c>
      <c r="Z3924" s="525" t="str">
        <f>IF(AND(B3924&lt;=NKC!$N$8,B3924&gt;=NKC!$M$8),"x","")</f>
        <v/>
      </c>
      <c r="AA3924" s="535">
        <v>3</v>
      </c>
      <c r="AB3924" s="536"/>
      <c r="AC3924" s="536" t="str">
        <f>VLOOKUP(F3924,NXT!$B$12:$B$686,1,0)</f>
        <v>Giấy cuộn</v>
      </c>
    </row>
    <row r="3925" spans="1:30" s="503" customFormat="1" ht="15.75" customHeight="1">
      <c r="A3925" s="517" t="str">
        <f>IF(B3925&lt;&gt;"",IF(AND(B3925&gt;=_TM1,B3925&lt;=_TM2,OR(TH!L3925="1111",TH!M3925="1111")),TH!D3925,""),"")</f>
        <v/>
      </c>
      <c r="B3925" s="531">
        <f t="shared" si="467"/>
        <v>7</v>
      </c>
      <c r="C3925" s="315">
        <f t="shared" si="367"/>
        <v>42924</v>
      </c>
      <c r="D3925" s="315" t="s">
        <v>1180</v>
      </c>
      <c r="E3925" s="315">
        <v>42924</v>
      </c>
      <c r="F3925" s="249" t="s">
        <v>494</v>
      </c>
      <c r="G3925" s="314" t="s">
        <v>1504</v>
      </c>
      <c r="H3925" s="473" t="s">
        <v>1142</v>
      </c>
      <c r="I3925" s="307"/>
      <c r="J3925" s="307"/>
      <c r="K3925" s="532">
        <v>8358772.7999999998</v>
      </c>
      <c r="L3925" s="534" t="s">
        <v>9</v>
      </c>
      <c r="M3925" s="534" t="s">
        <v>8</v>
      </c>
      <c r="N3925" s="525" t="str">
        <f>IF(AND('331-CT'!$E$7=TH!H3925,OR(L3925="331",M3925="331")),"331",IF(AND(OR(L3925="131",M3925="131"),H3925='131-CT'!$E$7),"131",""))</f>
        <v/>
      </c>
      <c r="O3925" s="525" t="str">
        <f>IF(AND($B3925&gt;='111'!$N$11,$B3925&lt;='111'!$O$11,OR($L3925=$O$7,$M3925=$O$7)),"x","")</f>
        <v/>
      </c>
      <c r="P3925" s="525" t="str">
        <f>IF(AND($L3925=$O$7,$B3925&lt;'111'!$N$11),"x","")</f>
        <v/>
      </c>
      <c r="Q3925" s="525" t="str">
        <f>IF(AND($M3925=$O$7,$B3925&lt;'111'!$N$11),"x","")</f>
        <v/>
      </c>
      <c r="R3925" s="525" t="str">
        <f>IF(ISERROR(FIND('112'!$M$9,G3925,1)),"",IF((AND(FIND('112'!$M$9,G3925,1)&gt;=1,$B3925&gt;='112'!$N$8,$B3925&lt;='112'!$O$8,OR($L3925='112'!$I$6,$M3925='112'!$I$6))),"x",""))</f>
        <v/>
      </c>
      <c r="S3925" s="525" t="str">
        <f>IF(ISERROR(FIND('112'!$M$9,G3925,1)),"",IF((AND(LEFT(G3925,2)=LEFT('112'!$M$9,2),B3925&lt;'112'!$N$8,$L3925='112'!$I$6)),"x",""))</f>
        <v/>
      </c>
      <c r="T3925" s="525" t="str">
        <f>IF(ISERROR(FIND('112'!$M$9,G3925,1)),"",IF((AND(RIGHT(G3925,2)=RIGHT('112'!$M$9,2),B3925&lt;'112'!$N$8,$M3925='112'!$I$6)),"x",""))</f>
        <v/>
      </c>
      <c r="U3925" s="525" t="str">
        <f>IF(AND(B3925&gt;='IN-NX'!$P$3,B3925&lt;='IN-NX'!$Q$3,'IN-NX'!$D$7=D3925,OR(LEFT(L3925,2)="15",AND(LEFT(M3925,2)&lt;&gt;"15",LEFT(M3925,2)&lt;&gt;"33"))),"x","")</f>
        <v/>
      </c>
      <c r="V3925" s="525" t="str">
        <f>IF(AND(OR(LEFT(TH!L3925,2)="15",LEFT(TH!M3925,2)="15"),'152-CT'!$J$8=TH!F3925),"x","")</f>
        <v/>
      </c>
      <c r="W3925" s="525" t="str">
        <f>IF(AND(OR(LEFT(TH!L3925,2)="15",LEFT(TH!M3925,2)="15"),TK!$E$7=TH!F3925),"x","")</f>
        <v/>
      </c>
      <c r="X3925" s="525" t="str">
        <f>IF(AND('341-CT'!$E$9=H3925,OR(LEFT(L3925,3)=$X$7,LEFT(M3925,3)=$X$7)),"x","")</f>
        <v/>
      </c>
      <c r="Y3925" s="525" t="str">
        <f>IF(OR(TH!L3925=TH!$Y$7,M3925=TH!$Y$7),"x","")</f>
        <v/>
      </c>
      <c r="Z3925" s="525" t="str">
        <f>IF(AND(B3925&lt;=NKC!$N$8,B3925&gt;=NKC!$M$8),"x","")</f>
        <v/>
      </c>
      <c r="AA3925" s="535">
        <v>3</v>
      </c>
      <c r="AB3925" s="536"/>
      <c r="AC3925" s="536"/>
    </row>
    <row r="3926" spans="1:30" s="503" customFormat="1" ht="15.75" customHeight="1">
      <c r="A3926" s="517" t="str">
        <f>IF(B3926&lt;&gt;"",IF(AND(B3926&gt;=_TM1,B3926&lt;=_TM2,OR(TH!L3926="1111",TH!M3926="1111")),TH!D3926,""),"")</f>
        <v/>
      </c>
      <c r="B3926" s="531">
        <f t="shared" si="467"/>
        <v>7</v>
      </c>
      <c r="C3926" s="315">
        <f t="shared" si="367"/>
        <v>42926</v>
      </c>
      <c r="D3926" s="315" t="s">
        <v>1180</v>
      </c>
      <c r="E3926" s="315">
        <v>42926</v>
      </c>
      <c r="F3926" s="250" t="s">
        <v>1340</v>
      </c>
      <c r="G3926" s="314" t="s">
        <v>1503</v>
      </c>
      <c r="H3926" s="473" t="s">
        <v>1142</v>
      </c>
      <c r="I3926" s="307">
        <v>200</v>
      </c>
      <c r="J3926" s="307">
        <v>16166</v>
      </c>
      <c r="K3926" s="532">
        <f t="shared" si="468"/>
        <v>3233200</v>
      </c>
      <c r="L3926" s="534" t="s">
        <v>292</v>
      </c>
      <c r="M3926" s="534" t="s">
        <v>8</v>
      </c>
      <c r="N3926" s="525" t="str">
        <f>IF(AND('331-CT'!$E$7=TH!H3926,OR(L3926="331",M3926="331")),"331",IF(AND(OR(L3926="131",M3926="131"),H3926='131-CT'!$E$7),"131",""))</f>
        <v/>
      </c>
      <c r="O3926" s="525" t="str">
        <f>IF(AND($B3926&gt;='111'!$N$11,$B3926&lt;='111'!$O$11,OR($L3926=$O$7,$M3926=$O$7)),"x","")</f>
        <v/>
      </c>
      <c r="P3926" s="525" t="str">
        <f>IF(AND($L3926=$O$7,$B3926&lt;'111'!$N$11),"x","")</f>
        <v/>
      </c>
      <c r="Q3926" s="525" t="str">
        <f>IF(AND($M3926=$O$7,$B3926&lt;'111'!$N$11),"x","")</f>
        <v/>
      </c>
      <c r="R3926" s="525" t="str">
        <f>IF(ISERROR(FIND('112'!$M$9,G3926,1)),"",IF((AND(FIND('112'!$M$9,G3926,1)&gt;=1,$B3926&gt;='112'!$N$8,$B3926&lt;='112'!$O$8,OR($L3926='112'!$I$6,$M3926='112'!$I$6))),"x",""))</f>
        <v/>
      </c>
      <c r="S3926" s="525" t="str">
        <f>IF(ISERROR(FIND('112'!$M$9,G3926,1)),"",IF((AND(LEFT(G3926,2)=LEFT('112'!$M$9,2),B3926&lt;'112'!$N$8,$L3926='112'!$I$6)),"x",""))</f>
        <v/>
      </c>
      <c r="T3926" s="525" t="str">
        <f>IF(ISERROR(FIND('112'!$M$9,G3926,1)),"",IF((AND(RIGHT(G3926,2)=RIGHT('112'!$M$9,2),B3926&lt;'112'!$N$8,$M3926='112'!$I$6)),"x",""))</f>
        <v/>
      </c>
      <c r="U3926" s="525" t="str">
        <f>IF(AND(B3926&gt;='IN-NX'!$P$3,B3926&lt;='IN-NX'!$Q$3,'IN-NX'!$D$7=D3926,OR(LEFT(L3926,2)="15",AND(LEFT(M3926,2)&lt;&gt;"15",LEFT(M3926,2)&lt;&gt;"33"))),"x","")</f>
        <v/>
      </c>
      <c r="V3926" s="525" t="str">
        <f>IF(AND(OR(LEFT(TH!L3926,2)="15",LEFT(TH!M3926,2)="15"),'152-CT'!$J$8=TH!F3926),"x","")</f>
        <v/>
      </c>
      <c r="W3926" s="525" t="str">
        <f>IF(AND(OR(LEFT(TH!L3926,2)="15",LEFT(TH!M3926,2)="15"),TK!$E$7=TH!F3926),"x","")</f>
        <v/>
      </c>
      <c r="X3926" s="525" t="str">
        <f>IF(AND('341-CT'!$E$9=H3926,OR(LEFT(L3926,3)=$X$7,LEFT(M3926,3)=$X$7)),"x","")</f>
        <v/>
      </c>
      <c r="Y3926" s="525" t="str">
        <f>IF(OR(TH!L3926=TH!$Y$7,M3926=TH!$Y$7),"x","")</f>
        <v/>
      </c>
      <c r="Z3926" s="525" t="str">
        <f>IF(AND(B3926&lt;=NKC!$N$8,B3926&gt;=NKC!$M$8),"x","")</f>
        <v/>
      </c>
      <c r="AA3926" s="535">
        <v>3</v>
      </c>
      <c r="AB3926" s="536"/>
      <c r="AC3926" s="536" t="str">
        <f>VLOOKUP(F3926,NXT!$B$12:$B$686,1,0)</f>
        <v>Thùng 183.5x19.8x10</v>
      </c>
    </row>
    <row r="3927" spans="1:30" s="503" customFormat="1" ht="15.75" customHeight="1">
      <c r="A3927" s="517" t="str">
        <f>IF(B3927&lt;&gt;"",IF(AND(B3927&gt;=_TM1,B3927&lt;=_TM2,OR(TH!L3927="1111",TH!M3927="1111")),TH!D3927,""),"")</f>
        <v/>
      </c>
      <c r="B3927" s="531">
        <f t="shared" si="467"/>
        <v>7</v>
      </c>
      <c r="C3927" s="315">
        <f t="shared" si="367"/>
        <v>42926</v>
      </c>
      <c r="D3927" s="315" t="s">
        <v>1180</v>
      </c>
      <c r="E3927" s="315">
        <v>42926</v>
      </c>
      <c r="F3927" s="250" t="s">
        <v>1304</v>
      </c>
      <c r="G3927" s="314" t="s">
        <v>1503</v>
      </c>
      <c r="H3927" s="473" t="s">
        <v>1142</v>
      </c>
      <c r="I3927" s="307">
        <v>292</v>
      </c>
      <c r="J3927" s="307">
        <v>10780</v>
      </c>
      <c r="K3927" s="532">
        <f t="shared" si="468"/>
        <v>3147760</v>
      </c>
      <c r="L3927" s="534" t="s">
        <v>292</v>
      </c>
      <c r="M3927" s="534" t="s">
        <v>8</v>
      </c>
      <c r="N3927" s="525" t="str">
        <f>IF(AND('331-CT'!$E$7=TH!H3927,OR(L3927="331",M3927="331")),"331",IF(AND(OR(L3927="131",M3927="131"),H3927='131-CT'!$E$7),"131",""))</f>
        <v/>
      </c>
      <c r="O3927" s="525" t="str">
        <f>IF(AND($B3927&gt;='111'!$N$11,$B3927&lt;='111'!$O$11,OR($L3927=$O$7,$M3927=$O$7)),"x","")</f>
        <v/>
      </c>
      <c r="P3927" s="525" t="str">
        <f>IF(AND($L3927=$O$7,$B3927&lt;'111'!$N$11),"x","")</f>
        <v/>
      </c>
      <c r="Q3927" s="525" t="str">
        <f>IF(AND($M3927=$O$7,$B3927&lt;'111'!$N$11),"x","")</f>
        <v/>
      </c>
      <c r="R3927" s="525" t="str">
        <f>IF(ISERROR(FIND('112'!$M$9,G3927,1)),"",IF((AND(FIND('112'!$M$9,G3927,1)&gt;=1,$B3927&gt;='112'!$N$8,$B3927&lt;='112'!$O$8,OR($L3927='112'!$I$6,$M3927='112'!$I$6))),"x",""))</f>
        <v/>
      </c>
      <c r="S3927" s="525" t="str">
        <f>IF(ISERROR(FIND('112'!$M$9,G3927,1)),"",IF((AND(LEFT(G3927,2)=LEFT('112'!$M$9,2),B3927&lt;'112'!$N$8,$L3927='112'!$I$6)),"x",""))</f>
        <v/>
      </c>
      <c r="T3927" s="525" t="str">
        <f>IF(ISERROR(FIND('112'!$M$9,G3927,1)),"",IF((AND(RIGHT(G3927,2)=RIGHT('112'!$M$9,2),B3927&lt;'112'!$N$8,$M3927='112'!$I$6)),"x",""))</f>
        <v/>
      </c>
      <c r="U3927" s="525" t="str">
        <f>IF(AND(B3927&gt;='IN-NX'!$P$3,B3927&lt;='IN-NX'!$Q$3,'IN-NX'!$D$7=D3927,OR(LEFT(L3927,2)="15",AND(LEFT(M3927,2)&lt;&gt;"15",LEFT(M3927,2)&lt;&gt;"33"))),"x","")</f>
        <v/>
      </c>
      <c r="V3927" s="525" t="str">
        <f>IF(AND(OR(LEFT(TH!L3927,2)="15",LEFT(TH!M3927,2)="15"),'152-CT'!$J$8=TH!F3927),"x","")</f>
        <v/>
      </c>
      <c r="W3927" s="525" t="str">
        <f>IF(AND(OR(LEFT(TH!L3927,2)="15",LEFT(TH!M3927,2)="15"),TK!$E$7=TH!F3927),"x","")</f>
        <v/>
      </c>
      <c r="X3927" s="525" t="str">
        <f>IF(AND('341-CT'!$E$9=H3927,OR(LEFT(L3927,3)=$X$7,LEFT(M3927,3)=$X$7)),"x","")</f>
        <v/>
      </c>
      <c r="Y3927" s="525" t="str">
        <f>IF(OR(TH!L3927=TH!$Y$7,M3927=TH!$Y$7),"x","")</f>
        <v/>
      </c>
      <c r="Z3927" s="525" t="str">
        <f>IF(AND(B3927&lt;=NKC!$N$8,B3927&gt;=NKC!$M$8),"x","")</f>
        <v/>
      </c>
      <c r="AA3927" s="535">
        <v>3</v>
      </c>
      <c r="AB3927" s="536"/>
      <c r="AC3927" s="536" t="str">
        <f>VLOOKUP(F3927,NXT!$B$12:$B$686,1,0)</f>
        <v>Thùng 48x24x23</v>
      </c>
    </row>
    <row r="3928" spans="1:30" s="503" customFormat="1" ht="15.75" customHeight="1">
      <c r="A3928" s="517" t="str">
        <f>IF(B3928&lt;&gt;"",IF(AND(B3928&gt;=_TM1,B3928&lt;=_TM2,OR(TH!L3928="1111",TH!M3928="1111")),TH!D3928,""),"")</f>
        <v/>
      </c>
      <c r="B3928" s="531">
        <f t="shared" si="467"/>
        <v>7</v>
      </c>
      <c r="C3928" s="315">
        <f t="shared" si="367"/>
        <v>42926</v>
      </c>
      <c r="D3928" s="315" t="s">
        <v>1180</v>
      </c>
      <c r="E3928" s="315">
        <v>42926</v>
      </c>
      <c r="F3928" s="250" t="s">
        <v>1305</v>
      </c>
      <c r="G3928" s="314" t="s">
        <v>1503</v>
      </c>
      <c r="H3928" s="473" t="s">
        <v>1142</v>
      </c>
      <c r="I3928" s="307">
        <v>2500</v>
      </c>
      <c r="J3928" s="307">
        <v>2450</v>
      </c>
      <c r="K3928" s="532">
        <f t="shared" si="468"/>
        <v>6125000</v>
      </c>
      <c r="L3928" s="534" t="s">
        <v>292</v>
      </c>
      <c r="M3928" s="534" t="s">
        <v>8</v>
      </c>
      <c r="N3928" s="525" t="str">
        <f>IF(AND('331-CT'!$E$7=TH!H3928,OR(L3928="331",M3928="331")),"331",IF(AND(OR(L3928="131",M3928="131"),H3928='131-CT'!$E$7),"131",""))</f>
        <v/>
      </c>
      <c r="O3928" s="525" t="str">
        <f>IF(AND($B3928&gt;='111'!$N$11,$B3928&lt;='111'!$O$11,OR($L3928=$O$7,$M3928=$O$7)),"x","")</f>
        <v/>
      </c>
      <c r="P3928" s="525" t="str">
        <f>IF(AND($L3928=$O$7,$B3928&lt;'111'!$N$11),"x","")</f>
        <v/>
      </c>
      <c r="Q3928" s="525" t="str">
        <f>IF(AND($M3928=$O$7,$B3928&lt;'111'!$N$11),"x","")</f>
        <v/>
      </c>
      <c r="R3928" s="525" t="str">
        <f>IF(ISERROR(FIND('112'!$M$9,G3928,1)),"",IF((AND(FIND('112'!$M$9,G3928,1)&gt;=1,$B3928&gt;='112'!$N$8,$B3928&lt;='112'!$O$8,OR($L3928='112'!$I$6,$M3928='112'!$I$6))),"x",""))</f>
        <v/>
      </c>
      <c r="S3928" s="525" t="str">
        <f>IF(ISERROR(FIND('112'!$M$9,G3928,1)),"",IF((AND(LEFT(G3928,2)=LEFT('112'!$M$9,2),B3928&lt;'112'!$N$8,$L3928='112'!$I$6)),"x",""))</f>
        <v/>
      </c>
      <c r="T3928" s="525" t="str">
        <f>IF(ISERROR(FIND('112'!$M$9,G3928,1)),"",IF((AND(RIGHT(G3928,2)=RIGHT('112'!$M$9,2),B3928&lt;'112'!$N$8,$M3928='112'!$I$6)),"x",""))</f>
        <v/>
      </c>
      <c r="U3928" s="525" t="str">
        <f>IF(AND(B3928&gt;='IN-NX'!$P$3,B3928&lt;='IN-NX'!$Q$3,'IN-NX'!$D$7=D3928,OR(LEFT(L3928,2)="15",AND(LEFT(M3928,2)&lt;&gt;"15",LEFT(M3928,2)&lt;&gt;"33"))),"x","")</f>
        <v/>
      </c>
      <c r="V3928" s="525" t="str">
        <f>IF(AND(OR(LEFT(TH!L3928,2)="15",LEFT(TH!M3928,2)="15"),'152-CT'!$J$8=TH!F3928),"x","")</f>
        <v/>
      </c>
      <c r="W3928" s="525" t="str">
        <f>IF(AND(OR(LEFT(TH!L3928,2)="15",LEFT(TH!M3928,2)="15"),TK!$E$7=TH!F3928),"x","")</f>
        <v/>
      </c>
      <c r="X3928" s="525" t="str">
        <f>IF(AND('341-CT'!$E$9=H3928,OR(LEFT(L3928,3)=$X$7,LEFT(M3928,3)=$X$7)),"x","")</f>
        <v/>
      </c>
      <c r="Y3928" s="525" t="str">
        <f>IF(OR(TH!L3928=TH!$Y$7,M3928=TH!$Y$7),"x","")</f>
        <v/>
      </c>
      <c r="Z3928" s="525" t="str">
        <f>IF(AND(B3928&lt;=NKC!$N$8,B3928&gt;=NKC!$M$8),"x","")</f>
        <v/>
      </c>
      <c r="AA3928" s="535">
        <v>3</v>
      </c>
      <c r="AC3928" s="536" t="str">
        <f>VLOOKUP(F3928,NXT!$B$12:$B$686,1,0)</f>
        <v>Hộp Duplex 22x15x6.5</v>
      </c>
    </row>
    <row r="3929" spans="1:30" s="503" customFormat="1" ht="15.75" customHeight="1">
      <c r="A3929" s="517" t="str">
        <f>IF(B3929&lt;&gt;"",IF(AND(B3929&gt;=_TM1,B3929&lt;=_TM2,OR(TH!L3929="1111",TH!M3929="1111")),TH!D3929,""),"")</f>
        <v/>
      </c>
      <c r="B3929" s="531">
        <f t="shared" si="467"/>
        <v>7</v>
      </c>
      <c r="C3929" s="315">
        <f t="shared" si="367"/>
        <v>42926</v>
      </c>
      <c r="D3929" s="315" t="s">
        <v>1180</v>
      </c>
      <c r="E3929" s="315">
        <v>42926</v>
      </c>
      <c r="F3929" s="250" t="s">
        <v>1306</v>
      </c>
      <c r="G3929" s="314" t="s">
        <v>1503</v>
      </c>
      <c r="H3929" s="473" t="s">
        <v>1142</v>
      </c>
      <c r="I3929" s="307">
        <v>7884</v>
      </c>
      <c r="J3929" s="307">
        <v>735</v>
      </c>
      <c r="K3929" s="532">
        <f t="shared" si="468"/>
        <v>5794740</v>
      </c>
      <c r="L3929" s="534" t="s">
        <v>292</v>
      </c>
      <c r="M3929" s="534" t="s">
        <v>8</v>
      </c>
      <c r="N3929" s="525" t="str">
        <f>IF(AND('331-CT'!$E$7=TH!H3929,OR(L3929="331",M3929="331")),"331",IF(AND(OR(L3929="131",M3929="131"),H3929='131-CT'!$E$7),"131",""))</f>
        <v/>
      </c>
      <c r="O3929" s="525" t="str">
        <f>IF(AND($B3929&gt;='111'!$N$11,$B3929&lt;='111'!$O$11,OR($L3929=$O$7,$M3929=$O$7)),"x","")</f>
        <v/>
      </c>
      <c r="P3929" s="525" t="str">
        <f>IF(AND($L3929=$O$7,$B3929&lt;'111'!$N$11),"x","")</f>
        <v/>
      </c>
      <c r="Q3929" s="525" t="str">
        <f>IF(AND($M3929=$O$7,$B3929&lt;'111'!$N$11),"x","")</f>
        <v/>
      </c>
      <c r="R3929" s="525" t="str">
        <f>IF(ISERROR(FIND('112'!$M$9,G3929,1)),"",IF((AND(FIND('112'!$M$9,G3929,1)&gt;=1,$B3929&gt;='112'!$N$8,$B3929&lt;='112'!$O$8,OR($L3929='112'!$I$6,$M3929='112'!$I$6))),"x",""))</f>
        <v/>
      </c>
      <c r="S3929" s="525" t="str">
        <f>IF(ISERROR(FIND('112'!$M$9,G3929,1)),"",IF((AND(LEFT(G3929,2)=LEFT('112'!$M$9,2),B3929&lt;'112'!$N$8,$L3929='112'!$I$6)),"x",""))</f>
        <v/>
      </c>
      <c r="T3929" s="525" t="str">
        <f>IF(ISERROR(FIND('112'!$M$9,G3929,1)),"",IF((AND(RIGHT(G3929,2)=RIGHT('112'!$M$9,2),B3929&lt;'112'!$N$8,$M3929='112'!$I$6)),"x",""))</f>
        <v/>
      </c>
      <c r="U3929" s="525" t="str">
        <f>IF(AND(B3929&gt;='IN-NX'!$P$3,B3929&lt;='IN-NX'!$Q$3,'IN-NX'!$D$7=D3929,OR(LEFT(L3929,2)="15",AND(LEFT(M3929,2)&lt;&gt;"15",LEFT(M3929,2)&lt;&gt;"33"))),"x","")</f>
        <v/>
      </c>
      <c r="V3929" s="525" t="str">
        <f>IF(AND(OR(LEFT(TH!L3929,2)="15",LEFT(TH!M3929,2)="15"),'152-CT'!$J$8=TH!F3929),"x","")</f>
        <v/>
      </c>
      <c r="W3929" s="525" t="str">
        <f>IF(AND(OR(LEFT(TH!L3929,2)="15",LEFT(TH!M3929,2)="15"),TK!$E$7=TH!F3929),"x","")</f>
        <v/>
      </c>
      <c r="X3929" s="525" t="str">
        <f>IF(AND('341-CT'!$E$9=H3929,OR(LEFT(L3929,3)=$X$7,LEFT(M3929,3)=$X$7)),"x","")</f>
        <v/>
      </c>
      <c r="Y3929" s="525" t="str">
        <f>IF(OR(TH!L3929=TH!$Y$7,M3929=TH!$Y$7),"x","")</f>
        <v/>
      </c>
      <c r="Z3929" s="525" t="str">
        <f>IF(AND(B3929&lt;=NKC!$N$8,B3929&gt;=NKC!$M$8),"x","")</f>
        <v/>
      </c>
      <c r="AA3929" s="535">
        <v>3</v>
      </c>
      <c r="AC3929" s="536" t="str">
        <f>VLOOKUP(F3929,NXT!$B$12:$B$686,1,0)</f>
        <v>Lót hộp 14.8x21.8</v>
      </c>
    </row>
    <row r="3930" spans="1:30" s="503" customFormat="1" ht="15.75" customHeight="1">
      <c r="A3930" s="517" t="str">
        <f>IF(B3930&lt;&gt;"",IF(AND(B3930&gt;=_TM1,B3930&lt;=_TM2,OR(TH!L3930="1111",TH!M3930="1111")),TH!D3930,""),"")</f>
        <v/>
      </c>
      <c r="B3930" s="531">
        <f t="shared" si="467"/>
        <v>7</v>
      </c>
      <c r="C3930" s="315">
        <f t="shared" si="367"/>
        <v>42926</v>
      </c>
      <c r="D3930" s="315" t="s">
        <v>1180</v>
      </c>
      <c r="E3930" s="315">
        <v>42926</v>
      </c>
      <c r="F3930" s="249" t="s">
        <v>494</v>
      </c>
      <c r="G3930" s="314" t="s">
        <v>1503</v>
      </c>
      <c r="H3930" s="473" t="s">
        <v>1142</v>
      </c>
      <c r="I3930" s="307"/>
      <c r="J3930" s="307"/>
      <c r="K3930" s="532">
        <v>1830070</v>
      </c>
      <c r="L3930" s="534" t="s">
        <v>9</v>
      </c>
      <c r="M3930" s="534" t="s">
        <v>8</v>
      </c>
      <c r="N3930" s="525" t="str">
        <f>IF(AND('331-CT'!$E$7=TH!H3930,OR(L3930="331",M3930="331")),"331",IF(AND(OR(L3930="131",M3930="131"),H3930='131-CT'!$E$7),"131",""))</f>
        <v/>
      </c>
      <c r="O3930" s="525" t="str">
        <f>IF(AND($B3930&gt;='111'!$N$11,$B3930&lt;='111'!$O$11,OR($L3930=$O$7,$M3930=$O$7)),"x","")</f>
        <v/>
      </c>
      <c r="P3930" s="525" t="str">
        <f>IF(AND($L3930=$O$7,$B3930&lt;'111'!$N$11),"x","")</f>
        <v/>
      </c>
      <c r="Q3930" s="525" t="str">
        <f>IF(AND($M3930=$O$7,$B3930&lt;'111'!$N$11),"x","")</f>
        <v/>
      </c>
      <c r="R3930" s="525" t="str">
        <f>IF(ISERROR(FIND('112'!$M$9,G3930,1)),"",IF((AND(FIND('112'!$M$9,G3930,1)&gt;=1,$B3930&gt;='112'!$N$8,$B3930&lt;='112'!$O$8,OR($L3930='112'!$I$6,$M3930='112'!$I$6))),"x",""))</f>
        <v/>
      </c>
      <c r="S3930" s="525" t="str">
        <f>IF(ISERROR(FIND('112'!$M$9,G3930,1)),"",IF((AND(LEFT(G3930,2)=LEFT('112'!$M$9,2),B3930&lt;'112'!$N$8,$L3930='112'!$I$6)),"x",""))</f>
        <v/>
      </c>
      <c r="T3930" s="525" t="str">
        <f>IF(ISERROR(FIND('112'!$M$9,G3930,1)),"",IF((AND(RIGHT(G3930,2)=RIGHT('112'!$M$9,2),B3930&lt;'112'!$N$8,$M3930='112'!$I$6)),"x",""))</f>
        <v/>
      </c>
      <c r="U3930" s="525" t="str">
        <f>IF(AND(B3930&gt;='IN-NX'!$P$3,B3930&lt;='IN-NX'!$Q$3,'IN-NX'!$D$7=D3930,OR(LEFT(L3930,2)="15",AND(LEFT(M3930,2)&lt;&gt;"15",LEFT(M3930,2)&lt;&gt;"33"))),"x","")</f>
        <v/>
      </c>
      <c r="V3930" s="525" t="str">
        <f>IF(AND(OR(LEFT(TH!L3930,2)="15",LEFT(TH!M3930,2)="15"),'152-CT'!$J$8=TH!F3930),"x","")</f>
        <v/>
      </c>
      <c r="W3930" s="525" t="str">
        <f>IF(AND(OR(LEFT(TH!L3930,2)="15",LEFT(TH!M3930,2)="15"),TK!$E$7=TH!F3930),"x","")</f>
        <v/>
      </c>
      <c r="X3930" s="525" t="str">
        <f>IF(AND('341-CT'!$E$9=H3930,OR(LEFT(L3930,3)=$X$7,LEFT(M3930,3)=$X$7)),"x","")</f>
        <v/>
      </c>
      <c r="Y3930" s="525" t="str">
        <f>IF(OR(TH!L3930=TH!$Y$7,M3930=TH!$Y$7),"x","")</f>
        <v/>
      </c>
      <c r="Z3930" s="525" t="str">
        <f>IF(AND(B3930&lt;=NKC!$N$8,B3930&gt;=NKC!$M$8),"x","")</f>
        <v/>
      </c>
      <c r="AA3930" s="535">
        <v>3</v>
      </c>
      <c r="AB3930" s="536"/>
    </row>
    <row r="3931" spans="1:30" s="503" customFormat="1" ht="15.75" customHeight="1">
      <c r="A3931" s="517" t="str">
        <f>IF(B3931&lt;&gt;"",IF(AND(B3931&gt;=_TM1,B3931&lt;=_TM2,OR(TH!L3931="1111",TH!M3931="1111")),TH!D3931,""),"")</f>
        <v/>
      </c>
      <c r="B3931" s="531">
        <f t="shared" ref="B3931:B3932" si="469">IF(C3931&lt;&gt;"",MONTH(C3931),"")</f>
        <v>7</v>
      </c>
      <c r="C3931" s="315">
        <f t="shared" ref="C3931:C3932" si="470">E3931</f>
        <v>42921</v>
      </c>
      <c r="D3931" s="315" t="s">
        <v>1180</v>
      </c>
      <c r="E3931" s="288">
        <v>42921</v>
      </c>
      <c r="F3931" s="245" t="s">
        <v>503</v>
      </c>
      <c r="G3931" s="314" t="s">
        <v>1593</v>
      </c>
      <c r="H3931" s="473" t="s">
        <v>1501</v>
      </c>
      <c r="I3931" s="307">
        <v>4150</v>
      </c>
      <c r="J3931" s="307">
        <v>8300</v>
      </c>
      <c r="K3931" s="532">
        <f t="shared" ref="K3931:K3932" si="471">ROUND(I3931*J3931,0)</f>
        <v>34445000</v>
      </c>
      <c r="L3931" s="534" t="s">
        <v>292</v>
      </c>
      <c r="M3931" s="534" t="s">
        <v>8</v>
      </c>
      <c r="N3931" s="525" t="str">
        <f>IF(AND('331-CT'!$E$7=TH!H3931,OR(L3931="331",M3931="331")),"331",IF(AND(OR(L3931="131",M3931="131"),H3931='131-CT'!$E$7),"131",""))</f>
        <v/>
      </c>
      <c r="O3931" s="525" t="str">
        <f>IF(AND($B3931&gt;='111'!$N$11,$B3931&lt;='111'!$O$11,OR($L3931=$O$7,$M3931=$O$7)),"x","")</f>
        <v/>
      </c>
      <c r="P3931" s="525" t="str">
        <f>IF(AND($L3931=$O$7,$B3931&lt;'111'!$N$11),"x","")</f>
        <v/>
      </c>
      <c r="Q3931" s="525" t="str">
        <f>IF(AND($M3931=$O$7,$B3931&lt;'111'!$N$11),"x","")</f>
        <v/>
      </c>
      <c r="R3931" s="525" t="str">
        <f>IF(ISERROR(FIND('112'!$M$9,G3931,1)),"",IF((AND(FIND('112'!$M$9,G3931,1)&gt;=1,$B3931&gt;='112'!$N$8,$B3931&lt;='112'!$O$8,OR($L3931='112'!$I$6,$M3931='112'!$I$6))),"x",""))</f>
        <v/>
      </c>
      <c r="S3931" s="525" t="str">
        <f>IF(ISERROR(FIND('112'!$M$9,G3931,1)),"",IF((AND(LEFT(G3931,2)=LEFT('112'!$M$9,2),B3931&lt;'112'!$N$8,$L3931='112'!$I$6)),"x",""))</f>
        <v/>
      </c>
      <c r="T3931" s="525" t="str">
        <f>IF(ISERROR(FIND('112'!$M$9,G3931,1)),"",IF((AND(RIGHT(G3931,2)=RIGHT('112'!$M$9,2),B3931&lt;'112'!$N$8,$M3931='112'!$I$6)),"x",""))</f>
        <v/>
      </c>
      <c r="U3931" s="525" t="str">
        <f>IF(AND(B3931&gt;='IN-NX'!$P$3,B3931&lt;='IN-NX'!$Q$3,'IN-NX'!$D$7=D3931,OR(LEFT(L3931,2)="15",AND(LEFT(M3931,2)&lt;&gt;"15",LEFT(M3931,2)&lt;&gt;"33"))),"x","")</f>
        <v/>
      </c>
      <c r="V3931" s="525" t="str">
        <f>IF(AND(OR(LEFT(TH!L3931,2)="15",LEFT(TH!M3931,2)="15"),'152-CT'!$J$8=TH!F3931),"x","")</f>
        <v/>
      </c>
      <c r="W3931" s="525" t="str">
        <f>IF(AND(OR(LEFT(TH!L3931,2)="15",LEFT(TH!M3931,2)="15"),TK!$E$7=TH!F3931),"x","")</f>
        <v/>
      </c>
      <c r="X3931" s="525" t="str">
        <f>IF(AND('341-CT'!$E$9=H3931,OR(LEFT(L3931,3)=$X$7,LEFT(M3931,3)=$X$7)),"x","")</f>
        <v/>
      </c>
      <c r="Y3931" s="525" t="str">
        <f>IF(OR(TH!L3931=TH!$Y$7,M3931=TH!$Y$7),"x","")</f>
        <v/>
      </c>
      <c r="Z3931" s="525" t="str">
        <f>IF(AND(B3931&lt;=NKC!$N$8,B3931&gt;=NKC!$M$8),"x","")</f>
        <v/>
      </c>
      <c r="AA3931" s="535">
        <v>3</v>
      </c>
      <c r="AB3931" s="536"/>
      <c r="AC3931" s="536" t="str">
        <f>VLOOKUP(F3931,NXT!$B$12:$B$686,1,0)</f>
        <v>Giấy 5 lớp</v>
      </c>
      <c r="AD3931" s="536"/>
    </row>
    <row r="3932" spans="1:30" s="503" customFormat="1" ht="15.75" customHeight="1">
      <c r="A3932" s="517" t="str">
        <f>IF(B3932&lt;&gt;"",IF(AND(B3932&gt;=_TM1,B3932&lt;=_TM2,OR(TH!L3932="1111",TH!M3932="1111")),TH!D3932,""),"")</f>
        <v/>
      </c>
      <c r="B3932" s="531">
        <f t="shared" si="469"/>
        <v>7</v>
      </c>
      <c r="C3932" s="315">
        <f t="shared" si="470"/>
        <v>42921</v>
      </c>
      <c r="D3932" s="315" t="s">
        <v>1180</v>
      </c>
      <c r="E3932" s="288">
        <v>42921</v>
      </c>
      <c r="F3932" s="250" t="s">
        <v>1600</v>
      </c>
      <c r="G3932" s="314" t="s">
        <v>1593</v>
      </c>
      <c r="H3932" s="473" t="s">
        <v>1501</v>
      </c>
      <c r="I3932" s="307">
        <v>128</v>
      </c>
      <c r="J3932" s="307">
        <v>2450</v>
      </c>
      <c r="K3932" s="532">
        <f t="shared" si="471"/>
        <v>313600</v>
      </c>
      <c r="L3932" s="534" t="s">
        <v>292</v>
      </c>
      <c r="M3932" s="534" t="s">
        <v>8</v>
      </c>
      <c r="N3932" s="525" t="str">
        <f>IF(AND('331-CT'!$E$7=TH!H3932,OR(L3932="331",M3932="331")),"331",IF(AND(OR(L3932="131",M3932="131"),H3932='131-CT'!$E$7),"131",""))</f>
        <v/>
      </c>
      <c r="O3932" s="525" t="str">
        <f>IF(AND($B3932&gt;='111'!$N$11,$B3932&lt;='111'!$O$11,OR($L3932=$O$7,$M3932=$O$7)),"x","")</f>
        <v/>
      </c>
      <c r="P3932" s="525" t="str">
        <f>IF(AND($L3932=$O$7,$B3932&lt;'111'!$N$11),"x","")</f>
        <v/>
      </c>
      <c r="Q3932" s="525" t="str">
        <f>IF(AND($M3932=$O$7,$B3932&lt;'111'!$N$11),"x","")</f>
        <v/>
      </c>
      <c r="R3932" s="525" t="str">
        <f>IF(ISERROR(FIND('112'!$M$9,G3932,1)),"",IF((AND(FIND('112'!$M$9,G3932,1)&gt;=1,$B3932&gt;='112'!$N$8,$B3932&lt;='112'!$O$8,OR($L3932='112'!$I$6,$M3932='112'!$I$6))),"x",""))</f>
        <v/>
      </c>
      <c r="S3932" s="525" t="str">
        <f>IF(ISERROR(FIND('112'!$M$9,G3932,1)),"",IF((AND(LEFT(G3932,2)=LEFT('112'!$M$9,2),B3932&lt;'112'!$N$8,$L3932='112'!$I$6)),"x",""))</f>
        <v/>
      </c>
      <c r="T3932" s="525" t="str">
        <f>IF(ISERROR(FIND('112'!$M$9,G3932,1)),"",IF((AND(RIGHT(G3932,2)=RIGHT('112'!$M$9,2),B3932&lt;'112'!$N$8,$M3932='112'!$I$6)),"x",""))</f>
        <v/>
      </c>
      <c r="U3932" s="525" t="str">
        <f>IF(AND(B3932&gt;='IN-NX'!$P$3,B3932&lt;='IN-NX'!$Q$3,'IN-NX'!$D$7=D3932,OR(LEFT(L3932,2)="15",AND(LEFT(M3932,2)&lt;&gt;"15",LEFT(M3932,2)&lt;&gt;"33"))),"x","")</f>
        <v/>
      </c>
      <c r="V3932" s="525" t="str">
        <f>IF(AND(OR(LEFT(TH!L3932,2)="15",LEFT(TH!M3932,2)="15"),'152-CT'!$J$8=TH!F3932),"x","")</f>
        <v/>
      </c>
      <c r="W3932" s="525" t="str">
        <f>IF(AND(OR(LEFT(TH!L3932,2)="15",LEFT(TH!M3932,2)="15"),TK!$E$7=TH!F3932),"x","")</f>
        <v/>
      </c>
      <c r="X3932" s="525" t="str">
        <f>IF(AND('341-CT'!$E$9=H3932,OR(LEFT(L3932,3)=$X$7,LEFT(M3932,3)=$X$7)),"x","")</f>
        <v/>
      </c>
      <c r="Y3932" s="525" t="str">
        <f>IF(OR(TH!L3932=TH!$Y$7,M3932=TH!$Y$7),"x","")</f>
        <v/>
      </c>
      <c r="Z3932" s="525" t="str">
        <f>IF(AND(B3932&lt;=NKC!$N$8,B3932&gt;=NKC!$M$8),"x","")</f>
        <v/>
      </c>
      <c r="AA3932" s="535">
        <v>3</v>
      </c>
      <c r="AB3932" s="536"/>
      <c r="AC3932" s="536" t="str">
        <f>VLOOKUP(F3932,NXT!$B$12:$B$686,1,0)</f>
        <v>Thùng 22x15x6.5</v>
      </c>
    </row>
    <row r="3933" spans="1:30" s="503" customFormat="1" ht="15.75" customHeight="1">
      <c r="A3933" s="517" t="str">
        <f>IF(B3933&lt;&gt;"",IF(AND(B3933&gt;=_TM1,B3933&lt;=_TM2,OR(TH!L3933="1111",TH!M3933="1111")),TH!D3933,""),"")</f>
        <v/>
      </c>
      <c r="B3933" s="531">
        <f t="shared" si="467"/>
        <v>7</v>
      </c>
      <c r="C3933" s="315">
        <f t="shared" si="367"/>
        <v>42921</v>
      </c>
      <c r="D3933" s="315" t="s">
        <v>1180</v>
      </c>
      <c r="E3933" s="288">
        <v>42921</v>
      </c>
      <c r="F3933" s="250" t="s">
        <v>1594</v>
      </c>
      <c r="G3933" s="314" t="s">
        <v>1593</v>
      </c>
      <c r="H3933" s="473" t="s">
        <v>1501</v>
      </c>
      <c r="I3933" s="307">
        <v>1252</v>
      </c>
      <c r="J3933" s="307">
        <v>10150</v>
      </c>
      <c r="K3933" s="532">
        <f t="shared" ref="K3933:K3934" si="472">ROUND(I3933*J3933,0)</f>
        <v>12707800</v>
      </c>
      <c r="L3933" s="534" t="s">
        <v>292</v>
      </c>
      <c r="M3933" s="534" t="s">
        <v>8</v>
      </c>
      <c r="N3933" s="525" t="str">
        <f>IF(AND('331-CT'!$E$7=TH!H3933,OR(L3933="331",M3933="331")),"331",IF(AND(OR(L3933="131",M3933="131"),H3933='131-CT'!$E$7),"131",""))</f>
        <v/>
      </c>
      <c r="O3933" s="525" t="str">
        <f>IF(AND($B3933&gt;='111'!$N$11,$B3933&lt;='111'!$O$11,OR($L3933=$O$7,$M3933=$O$7)),"x","")</f>
        <v/>
      </c>
      <c r="P3933" s="525" t="str">
        <f>IF(AND($L3933=$O$7,$B3933&lt;'111'!$N$11),"x","")</f>
        <v/>
      </c>
      <c r="Q3933" s="525" t="str">
        <f>IF(AND($M3933=$O$7,$B3933&lt;'111'!$N$11),"x","")</f>
        <v/>
      </c>
      <c r="R3933" s="525" t="str">
        <f>IF(ISERROR(FIND('112'!$M$9,G3933,1)),"",IF((AND(FIND('112'!$M$9,G3933,1)&gt;=1,$B3933&gt;='112'!$N$8,$B3933&lt;='112'!$O$8,OR($L3933='112'!$I$6,$M3933='112'!$I$6))),"x",""))</f>
        <v/>
      </c>
      <c r="S3933" s="525" t="str">
        <f>IF(ISERROR(FIND('112'!$M$9,G3933,1)),"",IF((AND(LEFT(G3933,2)=LEFT('112'!$M$9,2),B3933&lt;'112'!$N$8,$L3933='112'!$I$6)),"x",""))</f>
        <v/>
      </c>
      <c r="T3933" s="525" t="str">
        <f>IF(ISERROR(FIND('112'!$M$9,G3933,1)),"",IF((AND(RIGHT(G3933,2)=RIGHT('112'!$M$9,2),B3933&lt;'112'!$N$8,$M3933='112'!$I$6)),"x",""))</f>
        <v/>
      </c>
      <c r="U3933" s="525" t="str">
        <f>IF(AND(B3933&gt;='IN-NX'!$P$3,B3933&lt;='IN-NX'!$Q$3,'IN-NX'!$D$7=D3933,OR(LEFT(L3933,2)="15",AND(LEFT(M3933,2)&lt;&gt;"15",LEFT(M3933,2)&lt;&gt;"33"))),"x","")</f>
        <v/>
      </c>
      <c r="V3933" s="525" t="str">
        <f>IF(AND(OR(LEFT(TH!L3933,2)="15",LEFT(TH!M3933,2)="15"),'152-CT'!$J$8=TH!F3933),"x","")</f>
        <v/>
      </c>
      <c r="W3933" s="525" t="str">
        <f>IF(AND(OR(LEFT(TH!L3933,2)="15",LEFT(TH!M3933,2)="15"),TK!$E$7=TH!F3933),"x","")</f>
        <v/>
      </c>
      <c r="X3933" s="525" t="str">
        <f>IF(AND('341-CT'!$E$9=H3933,OR(LEFT(L3933,3)=$X$7,LEFT(M3933,3)=$X$7)),"x","")</f>
        <v/>
      </c>
      <c r="Y3933" s="525" t="str">
        <f>IF(OR(TH!L3933=TH!$Y$7,M3933=TH!$Y$7),"x","")</f>
        <v/>
      </c>
      <c r="Z3933" s="525" t="str">
        <f>IF(AND(B3933&lt;=NKC!$N$8,B3933&gt;=NKC!$M$8),"x","")</f>
        <v/>
      </c>
      <c r="AA3933" s="535">
        <v>3</v>
      </c>
      <c r="AB3933" s="536"/>
      <c r="AC3933" s="536" t="str">
        <f>VLOOKUP(F3933,NXT!$B$12:$B$686,1,0)</f>
        <v>Thùng 183x129x114</v>
      </c>
      <c r="AD3933" s="536"/>
    </row>
    <row r="3934" spans="1:30" s="503" customFormat="1" ht="15.75" customHeight="1">
      <c r="A3934" s="517" t="str">
        <f>IF(B3934&lt;&gt;"",IF(AND(B3934&gt;=_TM1,B3934&lt;=_TM2,OR(TH!L3934="1111",TH!M3934="1111")),TH!D3934,""),"")</f>
        <v/>
      </c>
      <c r="B3934" s="531">
        <f t="shared" si="467"/>
        <v>7</v>
      </c>
      <c r="C3934" s="315">
        <f t="shared" si="367"/>
        <v>42921</v>
      </c>
      <c r="D3934" s="315" t="s">
        <v>1180</v>
      </c>
      <c r="E3934" s="288">
        <v>42921</v>
      </c>
      <c r="F3934" s="250" t="s">
        <v>1595</v>
      </c>
      <c r="G3934" s="314" t="s">
        <v>1593</v>
      </c>
      <c r="H3934" s="473" t="s">
        <v>1501</v>
      </c>
      <c r="I3934" s="307">
        <v>1320</v>
      </c>
      <c r="J3934" s="307">
        <v>12100</v>
      </c>
      <c r="K3934" s="532">
        <f t="shared" si="472"/>
        <v>15972000</v>
      </c>
      <c r="L3934" s="534" t="s">
        <v>292</v>
      </c>
      <c r="M3934" s="534" t="s">
        <v>8</v>
      </c>
      <c r="N3934" s="525" t="str">
        <f>IF(AND('331-CT'!$E$7=TH!H3934,OR(L3934="331",M3934="331")),"331",IF(AND(OR(L3934="131",M3934="131"),H3934='131-CT'!$E$7),"131",""))</f>
        <v/>
      </c>
      <c r="O3934" s="525" t="str">
        <f>IF(AND($B3934&gt;='111'!$N$11,$B3934&lt;='111'!$O$11,OR($L3934=$O$7,$M3934=$O$7)),"x","")</f>
        <v/>
      </c>
      <c r="P3934" s="525" t="str">
        <f>IF(AND($L3934=$O$7,$B3934&lt;'111'!$N$11),"x","")</f>
        <v/>
      </c>
      <c r="Q3934" s="525" t="str">
        <f>IF(AND($M3934=$O$7,$B3934&lt;'111'!$N$11),"x","")</f>
        <v/>
      </c>
      <c r="R3934" s="525" t="str">
        <f>IF(ISERROR(FIND('112'!$M$9,G3934,1)),"",IF((AND(FIND('112'!$M$9,G3934,1)&gt;=1,$B3934&gt;='112'!$N$8,$B3934&lt;='112'!$O$8,OR($L3934='112'!$I$6,$M3934='112'!$I$6))),"x",""))</f>
        <v/>
      </c>
      <c r="S3934" s="525" t="str">
        <f>IF(ISERROR(FIND('112'!$M$9,G3934,1)),"",IF((AND(LEFT(G3934,2)=LEFT('112'!$M$9,2),B3934&lt;'112'!$N$8,$L3934='112'!$I$6)),"x",""))</f>
        <v/>
      </c>
      <c r="T3934" s="525" t="str">
        <f>IF(ISERROR(FIND('112'!$M$9,G3934,1)),"",IF((AND(RIGHT(G3934,2)=RIGHT('112'!$M$9,2),B3934&lt;'112'!$N$8,$M3934='112'!$I$6)),"x",""))</f>
        <v/>
      </c>
      <c r="U3934" s="525" t="str">
        <f>IF(AND(B3934&gt;='IN-NX'!$P$3,B3934&lt;='IN-NX'!$Q$3,'IN-NX'!$D$7=D3934,OR(LEFT(L3934,2)="15",AND(LEFT(M3934,2)&lt;&gt;"15",LEFT(M3934,2)&lt;&gt;"33"))),"x","")</f>
        <v/>
      </c>
      <c r="V3934" s="525" t="str">
        <f>IF(AND(OR(LEFT(TH!L3934,2)="15",LEFT(TH!M3934,2)="15"),'152-CT'!$J$8=TH!F3934),"x","")</f>
        <v/>
      </c>
      <c r="W3934" s="525" t="str">
        <f>IF(AND(OR(LEFT(TH!L3934,2)="15",LEFT(TH!M3934,2)="15"),TK!$E$7=TH!F3934),"x","")</f>
        <v/>
      </c>
      <c r="X3934" s="525" t="str">
        <f>IF(AND('341-CT'!$E$9=H3934,OR(LEFT(L3934,3)=$X$7,LEFT(M3934,3)=$X$7)),"x","")</f>
        <v/>
      </c>
      <c r="Y3934" s="525" t="str">
        <f>IF(OR(TH!L3934=TH!$Y$7,M3934=TH!$Y$7),"x","")</f>
        <v/>
      </c>
      <c r="Z3934" s="525" t="str">
        <f>IF(AND(B3934&lt;=NKC!$N$8,B3934&gt;=NKC!$M$8),"x","")</f>
        <v/>
      </c>
      <c r="AA3934" s="535">
        <v>3</v>
      </c>
      <c r="AB3934" s="536"/>
      <c r="AC3934" s="536" t="str">
        <f>VLOOKUP(F3934,NXT!$B$12:$B$686,1,0)</f>
        <v>Thùng 183x192x82</v>
      </c>
    </row>
    <row r="3935" spans="1:30" s="503" customFormat="1" ht="15.75" customHeight="1">
      <c r="A3935" s="517" t="str">
        <f>IF(B3935&lt;&gt;"",IF(AND(B3935&gt;=_TM1,B3935&lt;=_TM2,OR(TH!L3935="1111",TH!M3935="1111")),TH!D3935,""),"")</f>
        <v/>
      </c>
      <c r="B3935" s="531">
        <f t="shared" ref="B3935:B3939" si="473">IF(C3935&lt;&gt;"",MONTH(C3935),"")</f>
        <v>7</v>
      </c>
      <c r="C3935" s="315">
        <f t="shared" ref="C3935:C3939" si="474">E3935</f>
        <v>42921</v>
      </c>
      <c r="D3935" s="315" t="s">
        <v>1180</v>
      </c>
      <c r="E3935" s="288">
        <v>42921</v>
      </c>
      <c r="F3935" s="250" t="s">
        <v>1596</v>
      </c>
      <c r="G3935" s="314" t="s">
        <v>1593</v>
      </c>
      <c r="H3935" s="473" t="s">
        <v>1501</v>
      </c>
      <c r="I3935" s="307">
        <v>850</v>
      </c>
      <c r="J3935" s="307">
        <v>10100</v>
      </c>
      <c r="K3935" s="532">
        <f t="shared" ref="K3935:K3936" si="475">ROUND(I3935*J3935,0)</f>
        <v>8585000</v>
      </c>
      <c r="L3935" s="534" t="s">
        <v>292</v>
      </c>
      <c r="M3935" s="534" t="s">
        <v>8</v>
      </c>
      <c r="N3935" s="525" t="str">
        <f>IF(AND('331-CT'!$E$7=TH!H3935,OR(L3935="331",M3935="331")),"331",IF(AND(OR(L3935="131",M3935="131"),H3935='131-CT'!$E$7),"131",""))</f>
        <v/>
      </c>
      <c r="O3935" s="525" t="str">
        <f>IF(AND($B3935&gt;='111'!$N$11,$B3935&lt;='111'!$O$11,OR($L3935=$O$7,$M3935=$O$7)),"x","")</f>
        <v/>
      </c>
      <c r="P3935" s="525" t="str">
        <f>IF(AND($L3935=$O$7,$B3935&lt;'111'!$N$11),"x","")</f>
        <v/>
      </c>
      <c r="Q3935" s="525" t="str">
        <f>IF(AND($M3935=$O$7,$B3935&lt;'111'!$N$11),"x","")</f>
        <v/>
      </c>
      <c r="R3935" s="525" t="str">
        <f>IF(ISERROR(FIND('112'!$M$9,G3935,1)),"",IF((AND(FIND('112'!$M$9,G3935,1)&gt;=1,$B3935&gt;='112'!$N$8,$B3935&lt;='112'!$O$8,OR($L3935='112'!$I$6,$M3935='112'!$I$6))),"x",""))</f>
        <v/>
      </c>
      <c r="S3935" s="525" t="str">
        <f>IF(ISERROR(FIND('112'!$M$9,G3935,1)),"",IF((AND(LEFT(G3935,2)=LEFT('112'!$M$9,2),B3935&lt;'112'!$N$8,$L3935='112'!$I$6)),"x",""))</f>
        <v/>
      </c>
      <c r="T3935" s="525" t="str">
        <f>IF(ISERROR(FIND('112'!$M$9,G3935,1)),"",IF((AND(RIGHT(G3935,2)=RIGHT('112'!$M$9,2),B3935&lt;'112'!$N$8,$M3935='112'!$I$6)),"x",""))</f>
        <v/>
      </c>
      <c r="U3935" s="525" t="str">
        <f>IF(AND(B3935&gt;='IN-NX'!$P$3,B3935&lt;='IN-NX'!$Q$3,'IN-NX'!$D$7=D3935,OR(LEFT(L3935,2)="15",AND(LEFT(M3935,2)&lt;&gt;"15",LEFT(M3935,2)&lt;&gt;"33"))),"x","")</f>
        <v/>
      </c>
      <c r="V3935" s="525" t="str">
        <f>IF(AND(OR(LEFT(TH!L3935,2)="15",LEFT(TH!M3935,2)="15"),'152-CT'!$J$8=TH!F3935),"x","")</f>
        <v/>
      </c>
      <c r="W3935" s="525" t="str">
        <f>IF(AND(OR(LEFT(TH!L3935,2)="15",LEFT(TH!M3935,2)="15"),TK!$E$7=TH!F3935),"x","")</f>
        <v/>
      </c>
      <c r="X3935" s="525" t="str">
        <f>IF(AND('341-CT'!$E$9=H3935,OR(LEFT(L3935,3)=$X$7,LEFT(M3935,3)=$X$7)),"x","")</f>
        <v/>
      </c>
      <c r="Y3935" s="525" t="str">
        <f>IF(OR(TH!L3935=TH!$Y$7,M3935=TH!$Y$7),"x","")</f>
        <v/>
      </c>
      <c r="Z3935" s="525" t="str">
        <f>IF(AND(B3935&lt;=NKC!$N$8,B3935&gt;=NKC!$M$8),"x","")</f>
        <v/>
      </c>
      <c r="AA3935" s="535">
        <v>3</v>
      </c>
      <c r="AB3935" s="536"/>
      <c r="AC3935" s="536" t="str">
        <f>VLOOKUP(F3935,NXT!$B$12:$B$686,1,0)</f>
        <v>Thùng 183x192x8.2</v>
      </c>
      <c r="AD3935" s="536"/>
    </row>
    <row r="3936" spans="1:30" s="503" customFormat="1" ht="15.75" customHeight="1">
      <c r="A3936" s="517" t="str">
        <f>IF(B3936&lt;&gt;"",IF(AND(B3936&gt;=_TM1,B3936&lt;=_TM2,OR(TH!L3936="1111",TH!M3936="1111")),TH!D3936,""),"")</f>
        <v/>
      </c>
      <c r="B3936" s="531">
        <f t="shared" si="473"/>
        <v>7</v>
      </c>
      <c r="C3936" s="315">
        <f t="shared" si="474"/>
        <v>42921</v>
      </c>
      <c r="D3936" s="315" t="s">
        <v>1180</v>
      </c>
      <c r="E3936" s="288">
        <v>42921</v>
      </c>
      <c r="F3936" s="250" t="s">
        <v>1597</v>
      </c>
      <c r="G3936" s="314" t="s">
        <v>1593</v>
      </c>
      <c r="H3936" s="473" t="s">
        <v>1501</v>
      </c>
      <c r="I3936" s="307">
        <v>130</v>
      </c>
      <c r="J3936" s="307">
        <v>9000</v>
      </c>
      <c r="K3936" s="532">
        <f t="shared" si="475"/>
        <v>1170000</v>
      </c>
      <c r="L3936" s="534" t="s">
        <v>292</v>
      </c>
      <c r="M3936" s="534" t="s">
        <v>8</v>
      </c>
      <c r="N3936" s="525" t="str">
        <f>IF(AND('331-CT'!$E$7=TH!H3936,OR(L3936="331",M3936="331")),"331",IF(AND(OR(L3936="131",M3936="131"),H3936='131-CT'!$E$7),"131",""))</f>
        <v/>
      </c>
      <c r="O3936" s="525" t="str">
        <f>IF(AND($B3936&gt;='111'!$N$11,$B3936&lt;='111'!$O$11,OR($L3936=$O$7,$M3936=$O$7)),"x","")</f>
        <v/>
      </c>
      <c r="P3936" s="525" t="str">
        <f>IF(AND($L3936=$O$7,$B3936&lt;'111'!$N$11),"x","")</f>
        <v/>
      </c>
      <c r="Q3936" s="525" t="str">
        <f>IF(AND($M3936=$O$7,$B3936&lt;'111'!$N$11),"x","")</f>
        <v/>
      </c>
      <c r="R3936" s="525" t="str">
        <f>IF(ISERROR(FIND('112'!$M$9,G3936,1)),"",IF((AND(FIND('112'!$M$9,G3936,1)&gt;=1,$B3936&gt;='112'!$N$8,$B3936&lt;='112'!$O$8,OR($L3936='112'!$I$6,$M3936='112'!$I$6))),"x",""))</f>
        <v/>
      </c>
      <c r="S3936" s="525" t="str">
        <f>IF(ISERROR(FIND('112'!$M$9,G3936,1)),"",IF((AND(LEFT(G3936,2)=LEFT('112'!$M$9,2),B3936&lt;'112'!$N$8,$L3936='112'!$I$6)),"x",""))</f>
        <v/>
      </c>
      <c r="T3936" s="525" t="str">
        <f>IF(ISERROR(FIND('112'!$M$9,G3936,1)),"",IF((AND(RIGHT(G3936,2)=RIGHT('112'!$M$9,2),B3936&lt;'112'!$N$8,$M3936='112'!$I$6)),"x",""))</f>
        <v/>
      </c>
      <c r="U3936" s="525" t="str">
        <f>IF(AND(B3936&gt;='IN-NX'!$P$3,B3936&lt;='IN-NX'!$Q$3,'IN-NX'!$D$7=D3936,OR(LEFT(L3936,2)="15",AND(LEFT(M3936,2)&lt;&gt;"15",LEFT(M3936,2)&lt;&gt;"33"))),"x","")</f>
        <v/>
      </c>
      <c r="V3936" s="525" t="str">
        <f>IF(AND(OR(LEFT(TH!L3936,2)="15",LEFT(TH!M3936,2)="15"),'152-CT'!$J$8=TH!F3936),"x","")</f>
        <v/>
      </c>
      <c r="W3936" s="525" t="str">
        <f>IF(AND(OR(LEFT(TH!L3936,2)="15",LEFT(TH!M3936,2)="15"),TK!$E$7=TH!F3936),"x","")</f>
        <v/>
      </c>
      <c r="X3936" s="525" t="str">
        <f>IF(AND('341-CT'!$E$9=H3936,OR(LEFT(L3936,3)=$X$7,LEFT(M3936,3)=$X$7)),"x","")</f>
        <v/>
      </c>
      <c r="Y3936" s="525" t="str">
        <f>IF(OR(TH!L3936=TH!$Y$7,M3936=TH!$Y$7),"x","")</f>
        <v/>
      </c>
      <c r="Z3936" s="525" t="str">
        <f>IF(AND(B3936&lt;=NKC!$N$8,B3936&gt;=NKC!$M$8),"x","")</f>
        <v/>
      </c>
      <c r="AA3936" s="535">
        <v>3</v>
      </c>
      <c r="AB3936" s="536"/>
      <c r="AC3936" s="536" t="str">
        <f>VLOOKUP(F3936,NXT!$B$12:$B$686,1,0)</f>
        <v>Thùng 183x192x6.7</v>
      </c>
    </row>
    <row r="3937" spans="1:30" s="503" customFormat="1" ht="15.75" customHeight="1">
      <c r="A3937" s="517" t="str">
        <f>IF(B3937&lt;&gt;"",IF(AND(B3937&gt;=_TM1,B3937&lt;=_TM2,OR(TH!L3937="1111",TH!M3937="1111")),TH!D3937,""),"")</f>
        <v/>
      </c>
      <c r="B3937" s="531">
        <f t="shared" si="473"/>
        <v>7</v>
      </c>
      <c r="C3937" s="315">
        <f t="shared" si="474"/>
        <v>42921</v>
      </c>
      <c r="D3937" s="315" t="s">
        <v>1180</v>
      </c>
      <c r="E3937" s="288">
        <v>42921</v>
      </c>
      <c r="F3937" s="249" t="s">
        <v>494</v>
      </c>
      <c r="G3937" s="314" t="s">
        <v>1593</v>
      </c>
      <c r="H3937" s="473" t="s">
        <v>1501</v>
      </c>
      <c r="I3937" s="307"/>
      <c r="J3937" s="307"/>
      <c r="K3937" s="532">
        <v>7319340</v>
      </c>
      <c r="L3937" s="534" t="s">
        <v>9</v>
      </c>
      <c r="M3937" s="534" t="s">
        <v>8</v>
      </c>
      <c r="N3937" s="525" t="str">
        <f>IF(AND('331-CT'!$E$7=TH!H3937,OR(L3937="331",M3937="331")),"331",IF(AND(OR(L3937="131",M3937="131"),H3937='131-CT'!$E$7),"131",""))</f>
        <v/>
      </c>
      <c r="O3937" s="525" t="str">
        <f>IF(AND($B3937&gt;='111'!$N$11,$B3937&lt;='111'!$O$11,OR($L3937=$O$7,$M3937=$O$7)),"x","")</f>
        <v/>
      </c>
      <c r="P3937" s="525" t="str">
        <f>IF(AND($L3937=$O$7,$B3937&lt;'111'!$N$11),"x","")</f>
        <v/>
      </c>
      <c r="Q3937" s="525" t="str">
        <f>IF(AND($M3937=$O$7,$B3937&lt;'111'!$N$11),"x","")</f>
        <v/>
      </c>
      <c r="R3937" s="525" t="str">
        <f>IF(ISERROR(FIND('112'!$M$9,G3937,1)),"",IF((AND(FIND('112'!$M$9,G3937,1)&gt;=1,$B3937&gt;='112'!$N$8,$B3937&lt;='112'!$O$8,OR($L3937='112'!$I$6,$M3937='112'!$I$6))),"x",""))</f>
        <v/>
      </c>
      <c r="S3937" s="525" t="str">
        <f>IF(ISERROR(FIND('112'!$M$9,G3937,1)),"",IF((AND(LEFT(G3937,2)=LEFT('112'!$M$9,2),B3937&lt;'112'!$N$8,$L3937='112'!$I$6)),"x",""))</f>
        <v/>
      </c>
      <c r="T3937" s="525" t="str">
        <f>IF(ISERROR(FIND('112'!$M$9,G3937,1)),"",IF((AND(RIGHT(G3937,2)=RIGHT('112'!$M$9,2),B3937&lt;'112'!$N$8,$M3937='112'!$I$6)),"x",""))</f>
        <v/>
      </c>
      <c r="U3937" s="525" t="str">
        <f>IF(AND(B3937&gt;='IN-NX'!$P$3,B3937&lt;='IN-NX'!$Q$3,'IN-NX'!$D$7=D3937,OR(LEFT(L3937,2)="15",AND(LEFT(M3937,2)&lt;&gt;"15",LEFT(M3937,2)&lt;&gt;"33"))),"x","")</f>
        <v/>
      </c>
      <c r="V3937" s="525" t="str">
        <f>IF(AND(OR(LEFT(TH!L3937,2)="15",LEFT(TH!M3937,2)="15"),'152-CT'!$J$8=TH!F3937),"x","")</f>
        <v/>
      </c>
      <c r="W3937" s="525" t="str">
        <f>IF(AND(OR(LEFT(TH!L3937,2)="15",LEFT(TH!M3937,2)="15"),TK!$E$7=TH!F3937),"x","")</f>
        <v/>
      </c>
      <c r="X3937" s="525" t="str">
        <f>IF(AND('341-CT'!$E$9=H3937,OR(LEFT(L3937,3)=$X$7,LEFT(M3937,3)=$X$7)),"x","")</f>
        <v/>
      </c>
      <c r="Y3937" s="525" t="str">
        <f>IF(OR(TH!L3937=TH!$Y$7,M3937=TH!$Y$7),"x","")</f>
        <v/>
      </c>
      <c r="Z3937" s="525" t="str">
        <f>IF(AND(B3937&lt;=NKC!$N$8,B3937&gt;=NKC!$M$8),"x","")</f>
        <v/>
      </c>
      <c r="AA3937" s="535">
        <v>3</v>
      </c>
      <c r="AB3937" s="536"/>
    </row>
    <row r="3938" spans="1:30" s="503" customFormat="1" ht="15.75" customHeight="1">
      <c r="A3938" s="517" t="str">
        <f>IF(B3938&lt;&gt;"",IF(AND(B3938&gt;=_TM1,B3938&lt;=_TM2,OR(TH!L3938="1111",TH!M3938="1111")),TH!D3938,""),"")</f>
        <v/>
      </c>
      <c r="B3938" s="531">
        <f t="shared" si="473"/>
        <v>7</v>
      </c>
      <c r="C3938" s="315">
        <f t="shared" si="474"/>
        <v>42927</v>
      </c>
      <c r="D3938" s="315" t="s">
        <v>1180</v>
      </c>
      <c r="E3938" s="288">
        <v>42927</v>
      </c>
      <c r="F3938" s="250" t="s">
        <v>1375</v>
      </c>
      <c r="G3938" s="314" t="s">
        <v>1598</v>
      </c>
      <c r="H3938" s="473" t="s">
        <v>1501</v>
      </c>
      <c r="I3938" s="307">
        <v>50</v>
      </c>
      <c r="J3938" s="307">
        <v>11172</v>
      </c>
      <c r="K3938" s="532">
        <f t="shared" ref="K3938:K3941" si="476">ROUND(I3938*J3938,0)</f>
        <v>558600</v>
      </c>
      <c r="L3938" s="534" t="s">
        <v>292</v>
      </c>
      <c r="M3938" s="534" t="s">
        <v>8</v>
      </c>
      <c r="N3938" s="525" t="str">
        <f>IF(AND('331-CT'!$E$7=TH!H3938,OR(L3938="331",M3938="331")),"331",IF(AND(OR(L3938="131",M3938="131"),H3938='131-CT'!$E$7),"131",""))</f>
        <v/>
      </c>
      <c r="O3938" s="525" t="str">
        <f>IF(AND($B3938&gt;='111'!$N$11,$B3938&lt;='111'!$O$11,OR($L3938=$O$7,$M3938=$O$7)),"x","")</f>
        <v/>
      </c>
      <c r="P3938" s="525" t="str">
        <f>IF(AND($L3938=$O$7,$B3938&lt;'111'!$N$11),"x","")</f>
        <v/>
      </c>
      <c r="Q3938" s="525" t="str">
        <f>IF(AND($M3938=$O$7,$B3938&lt;'111'!$N$11),"x","")</f>
        <v/>
      </c>
      <c r="R3938" s="525" t="str">
        <f>IF(ISERROR(FIND('112'!$M$9,G3938,1)),"",IF((AND(FIND('112'!$M$9,G3938,1)&gt;=1,$B3938&gt;='112'!$N$8,$B3938&lt;='112'!$O$8,OR($L3938='112'!$I$6,$M3938='112'!$I$6))),"x",""))</f>
        <v/>
      </c>
      <c r="S3938" s="525" t="str">
        <f>IF(ISERROR(FIND('112'!$M$9,G3938,1)),"",IF((AND(LEFT(G3938,2)=LEFT('112'!$M$9,2),B3938&lt;'112'!$N$8,$L3938='112'!$I$6)),"x",""))</f>
        <v/>
      </c>
      <c r="T3938" s="525" t="str">
        <f>IF(ISERROR(FIND('112'!$M$9,G3938,1)),"",IF((AND(RIGHT(G3938,2)=RIGHT('112'!$M$9,2),B3938&lt;'112'!$N$8,$M3938='112'!$I$6)),"x",""))</f>
        <v/>
      </c>
      <c r="U3938" s="525" t="str">
        <f>IF(AND(B3938&gt;='IN-NX'!$P$3,B3938&lt;='IN-NX'!$Q$3,'IN-NX'!$D$7=D3938,OR(LEFT(L3938,2)="15",AND(LEFT(M3938,2)&lt;&gt;"15",LEFT(M3938,2)&lt;&gt;"33"))),"x","")</f>
        <v/>
      </c>
      <c r="V3938" s="525" t="str">
        <f>IF(AND(OR(LEFT(TH!L3938,2)="15",LEFT(TH!M3938,2)="15"),'152-CT'!$J$8=TH!F3938),"x","")</f>
        <v/>
      </c>
      <c r="W3938" s="525" t="str">
        <f>IF(AND(OR(LEFT(TH!L3938,2)="15",LEFT(TH!M3938,2)="15"),TK!$E$7=TH!F3938),"x","")</f>
        <v/>
      </c>
      <c r="X3938" s="525" t="str">
        <f>IF(AND('341-CT'!$E$9=H3938,OR(LEFT(L3938,3)=$X$7,LEFT(M3938,3)=$X$7)),"x","")</f>
        <v/>
      </c>
      <c r="Y3938" s="525" t="str">
        <f>IF(OR(TH!L3938=TH!$Y$7,M3938=TH!$Y$7),"x","")</f>
        <v/>
      </c>
      <c r="Z3938" s="525" t="str">
        <f>IF(AND(B3938&lt;=NKC!$N$8,B3938&gt;=NKC!$M$8),"x","")</f>
        <v/>
      </c>
      <c r="AA3938" s="535">
        <v>3</v>
      </c>
      <c r="AB3938" s="536"/>
      <c r="AC3938" s="536" t="str">
        <f>VLOOKUP(F3938,NXT!$B$12:$B$686,1,0)</f>
        <v>Thùng 40x30x50</v>
      </c>
      <c r="AD3938" s="536"/>
    </row>
    <row r="3939" spans="1:30" s="503" customFormat="1" ht="15.75" customHeight="1">
      <c r="A3939" s="517" t="str">
        <f>IF(B3939&lt;&gt;"",IF(AND(B3939&gt;=_TM1,B3939&lt;=_TM2,OR(TH!L3939="1111",TH!M3939="1111")),TH!D3939,""),"")</f>
        <v/>
      </c>
      <c r="B3939" s="531">
        <f t="shared" si="473"/>
        <v>7</v>
      </c>
      <c r="C3939" s="315">
        <f t="shared" si="474"/>
        <v>42927</v>
      </c>
      <c r="D3939" s="315" t="s">
        <v>1180</v>
      </c>
      <c r="E3939" s="288">
        <v>42927</v>
      </c>
      <c r="F3939" s="250" t="s">
        <v>1376</v>
      </c>
      <c r="G3939" s="314" t="s">
        <v>1598</v>
      </c>
      <c r="H3939" s="473" t="s">
        <v>1501</v>
      </c>
      <c r="I3939" s="307">
        <v>50</v>
      </c>
      <c r="J3939" s="307">
        <v>19698</v>
      </c>
      <c r="K3939" s="532">
        <f t="shared" si="476"/>
        <v>984900</v>
      </c>
      <c r="L3939" s="534" t="s">
        <v>292</v>
      </c>
      <c r="M3939" s="534" t="s">
        <v>8</v>
      </c>
      <c r="N3939" s="525" t="str">
        <f>IF(AND('331-CT'!$E$7=TH!H3939,OR(L3939="331",M3939="331")),"331",IF(AND(OR(L3939="131",M3939="131"),H3939='131-CT'!$E$7),"131",""))</f>
        <v/>
      </c>
      <c r="O3939" s="525" t="str">
        <f>IF(AND($B3939&gt;='111'!$N$11,$B3939&lt;='111'!$O$11,OR($L3939=$O$7,$M3939=$O$7)),"x","")</f>
        <v/>
      </c>
      <c r="P3939" s="525" t="str">
        <f>IF(AND($L3939=$O$7,$B3939&lt;'111'!$N$11),"x","")</f>
        <v/>
      </c>
      <c r="Q3939" s="525" t="str">
        <f>IF(AND($M3939=$O$7,$B3939&lt;'111'!$N$11),"x","")</f>
        <v/>
      </c>
      <c r="R3939" s="525" t="str">
        <f>IF(ISERROR(FIND('112'!$M$9,G3939,1)),"",IF((AND(FIND('112'!$M$9,G3939,1)&gt;=1,$B3939&gt;='112'!$N$8,$B3939&lt;='112'!$O$8,OR($L3939='112'!$I$6,$M3939='112'!$I$6))),"x",""))</f>
        <v/>
      </c>
      <c r="S3939" s="525" t="str">
        <f>IF(ISERROR(FIND('112'!$M$9,G3939,1)),"",IF((AND(LEFT(G3939,2)=LEFT('112'!$M$9,2),B3939&lt;'112'!$N$8,$L3939='112'!$I$6)),"x",""))</f>
        <v/>
      </c>
      <c r="T3939" s="525" t="str">
        <f>IF(ISERROR(FIND('112'!$M$9,G3939,1)),"",IF((AND(RIGHT(G3939,2)=RIGHT('112'!$M$9,2),B3939&lt;'112'!$N$8,$M3939='112'!$I$6)),"x",""))</f>
        <v/>
      </c>
      <c r="U3939" s="525" t="str">
        <f>IF(AND(B3939&gt;='IN-NX'!$P$3,B3939&lt;='IN-NX'!$Q$3,'IN-NX'!$D$7=D3939,OR(LEFT(L3939,2)="15",AND(LEFT(M3939,2)&lt;&gt;"15",LEFT(M3939,2)&lt;&gt;"33"))),"x","")</f>
        <v/>
      </c>
      <c r="V3939" s="525" t="str">
        <f>IF(AND(OR(LEFT(TH!L3939,2)="15",LEFT(TH!M3939,2)="15"),'152-CT'!$J$8=TH!F3939),"x","")</f>
        <v/>
      </c>
      <c r="W3939" s="525" t="str">
        <f>IF(AND(OR(LEFT(TH!L3939,2)="15",LEFT(TH!M3939,2)="15"),TK!$E$7=TH!F3939),"x","")</f>
        <v/>
      </c>
      <c r="X3939" s="525" t="str">
        <f>IF(AND('341-CT'!$E$9=H3939,OR(LEFT(L3939,3)=$X$7,LEFT(M3939,3)=$X$7)),"x","")</f>
        <v/>
      </c>
      <c r="Y3939" s="525" t="str">
        <f>IF(OR(TH!L3939=TH!$Y$7,M3939=TH!$Y$7),"x","")</f>
        <v/>
      </c>
      <c r="Z3939" s="525" t="str">
        <f>IF(AND(B3939&lt;=NKC!$N$8,B3939&gt;=NKC!$M$8),"x","")</f>
        <v/>
      </c>
      <c r="AA3939" s="535">
        <v>3</v>
      </c>
      <c r="AB3939" s="536"/>
      <c r="AC3939" s="536" t="str">
        <f>VLOOKUP(F3939,NXT!$B$12:$B$686,1,0)</f>
        <v>Thùng 51x50x58</v>
      </c>
    </row>
    <row r="3940" spans="1:30" s="503" customFormat="1" ht="15.75" customHeight="1">
      <c r="A3940" s="517" t="str">
        <f>IF(B3940&lt;&gt;"",IF(AND(B3940&gt;=_TM1,B3940&lt;=_TM2,OR(TH!L3940="1111",TH!M3940="1111")),TH!D3940,""),"")</f>
        <v/>
      </c>
      <c r="B3940" s="531">
        <f t="shared" ref="B3940:B3942" si="477">IF(C3940&lt;&gt;"",MONTH(C3940),"")</f>
        <v>7</v>
      </c>
      <c r="C3940" s="315">
        <f t="shared" ref="C3940:C3942" si="478">E3940</f>
        <v>42927</v>
      </c>
      <c r="D3940" s="315" t="s">
        <v>1180</v>
      </c>
      <c r="E3940" s="288">
        <v>42927</v>
      </c>
      <c r="F3940" s="249" t="s">
        <v>1377</v>
      </c>
      <c r="G3940" s="314" t="s">
        <v>1598</v>
      </c>
      <c r="H3940" s="473" t="s">
        <v>1501</v>
      </c>
      <c r="I3940" s="307">
        <v>1500</v>
      </c>
      <c r="J3940" s="307">
        <v>10584</v>
      </c>
      <c r="K3940" s="532">
        <f t="shared" si="476"/>
        <v>15876000</v>
      </c>
      <c r="L3940" s="534" t="s">
        <v>292</v>
      </c>
      <c r="M3940" s="534" t="s">
        <v>8</v>
      </c>
      <c r="N3940" s="525" t="str">
        <f>IF(AND('331-CT'!$E$7=TH!H3940,OR(L3940="331",M3940="331")),"331",IF(AND(OR(L3940="131",M3940="131"),H3940='131-CT'!$E$7),"131",""))</f>
        <v/>
      </c>
      <c r="O3940" s="525" t="str">
        <f>IF(AND($B3940&gt;='111'!$N$11,$B3940&lt;='111'!$O$11,OR($L3940=$O$7,$M3940=$O$7)),"x","")</f>
        <v/>
      </c>
      <c r="P3940" s="525" t="str">
        <f>IF(AND($L3940=$O$7,$B3940&lt;'111'!$N$11),"x","")</f>
        <v/>
      </c>
      <c r="Q3940" s="525" t="str">
        <f>IF(AND($M3940=$O$7,$B3940&lt;'111'!$N$11),"x","")</f>
        <v/>
      </c>
      <c r="R3940" s="525" t="str">
        <f>IF(ISERROR(FIND('112'!$M$9,G3940,1)),"",IF((AND(FIND('112'!$M$9,G3940,1)&gt;=1,$B3940&gt;='112'!$N$8,$B3940&lt;='112'!$O$8,OR($L3940='112'!$I$6,$M3940='112'!$I$6))),"x",""))</f>
        <v/>
      </c>
      <c r="S3940" s="525" t="str">
        <f>IF(ISERROR(FIND('112'!$M$9,G3940,1)),"",IF((AND(LEFT(G3940,2)=LEFT('112'!$M$9,2),B3940&lt;'112'!$N$8,$L3940='112'!$I$6)),"x",""))</f>
        <v/>
      </c>
      <c r="T3940" s="525" t="str">
        <f>IF(ISERROR(FIND('112'!$M$9,G3940,1)),"",IF((AND(RIGHT(G3940,2)=RIGHT('112'!$M$9,2),B3940&lt;'112'!$N$8,$M3940='112'!$I$6)),"x",""))</f>
        <v/>
      </c>
      <c r="U3940" s="525" t="str">
        <f>IF(AND(B3940&gt;='IN-NX'!$P$3,B3940&lt;='IN-NX'!$Q$3,'IN-NX'!$D$7=D3940,OR(LEFT(L3940,2)="15",AND(LEFT(M3940,2)&lt;&gt;"15",LEFT(M3940,2)&lt;&gt;"33"))),"x","")</f>
        <v/>
      </c>
      <c r="V3940" s="525" t="str">
        <f>IF(AND(OR(LEFT(TH!L3940,2)="15",LEFT(TH!M3940,2)="15"),'152-CT'!$J$8=TH!F3940),"x","")</f>
        <v/>
      </c>
      <c r="W3940" s="525" t="str">
        <f>IF(AND(OR(LEFT(TH!L3940,2)="15",LEFT(TH!M3940,2)="15"),TK!$E$7=TH!F3940),"x","")</f>
        <v/>
      </c>
      <c r="X3940" s="525" t="str">
        <f>IF(AND('341-CT'!$E$9=H3940,OR(LEFT(L3940,3)=$X$7,LEFT(M3940,3)=$X$7)),"x","")</f>
        <v/>
      </c>
      <c r="Y3940" s="525" t="str">
        <f>IF(OR(TH!L3940=TH!$Y$7,M3940=TH!$Y$7),"x","")</f>
        <v/>
      </c>
      <c r="Z3940" s="525" t="str">
        <f>IF(AND(B3940&lt;=NKC!$N$8,B3940&gt;=NKC!$M$8),"x","")</f>
        <v/>
      </c>
      <c r="AA3940" s="535">
        <v>3</v>
      </c>
      <c r="AB3940" s="536"/>
      <c r="AC3940" s="536" t="str">
        <f>VLOOKUP(F3940,NXT!$B$12:$B$686,1,0)</f>
        <v>Giấy tấm 100x120</v>
      </c>
      <c r="AD3940" s="536"/>
    </row>
    <row r="3941" spans="1:30" s="503" customFormat="1" ht="15.75" customHeight="1">
      <c r="A3941" s="517" t="str">
        <f>IF(B3941&lt;&gt;"",IF(AND(B3941&gt;=_TM1,B3941&lt;=_TM2,OR(TH!L3941="1111",TH!M3941="1111")),TH!D3941,""),"")</f>
        <v/>
      </c>
      <c r="B3941" s="531">
        <f t="shared" si="477"/>
        <v>7</v>
      </c>
      <c r="C3941" s="315">
        <f t="shared" si="478"/>
        <v>42927</v>
      </c>
      <c r="D3941" s="315" t="s">
        <v>1180</v>
      </c>
      <c r="E3941" s="288">
        <v>42927</v>
      </c>
      <c r="F3941" s="249" t="s">
        <v>1379</v>
      </c>
      <c r="G3941" s="314" t="s">
        <v>1598</v>
      </c>
      <c r="H3941" s="473" t="s">
        <v>1501</v>
      </c>
      <c r="I3941" s="307">
        <v>800</v>
      </c>
      <c r="J3941" s="307">
        <v>20374</v>
      </c>
      <c r="K3941" s="532">
        <f t="shared" si="476"/>
        <v>16299200</v>
      </c>
      <c r="L3941" s="534" t="s">
        <v>292</v>
      </c>
      <c r="M3941" s="534" t="s">
        <v>8</v>
      </c>
      <c r="N3941" s="525" t="str">
        <f>IF(AND('331-CT'!$E$7=TH!H3941,OR(L3941="331",M3941="331")),"331",IF(AND(OR(L3941="131",M3941="131"),H3941='131-CT'!$E$7),"131",""))</f>
        <v/>
      </c>
      <c r="O3941" s="525" t="str">
        <f>IF(AND($B3941&gt;='111'!$N$11,$B3941&lt;='111'!$O$11,OR($L3941=$O$7,$M3941=$O$7)),"x","")</f>
        <v/>
      </c>
      <c r="P3941" s="525" t="str">
        <f>IF(AND($L3941=$O$7,$B3941&lt;'111'!$N$11),"x","")</f>
        <v/>
      </c>
      <c r="Q3941" s="525" t="str">
        <f>IF(AND($M3941=$O$7,$B3941&lt;'111'!$N$11),"x","")</f>
        <v/>
      </c>
      <c r="R3941" s="525" t="str">
        <f>IF(ISERROR(FIND('112'!$M$9,G3941,1)),"",IF((AND(FIND('112'!$M$9,G3941,1)&gt;=1,$B3941&gt;='112'!$N$8,$B3941&lt;='112'!$O$8,OR($L3941='112'!$I$6,$M3941='112'!$I$6))),"x",""))</f>
        <v/>
      </c>
      <c r="S3941" s="525" t="str">
        <f>IF(ISERROR(FIND('112'!$M$9,G3941,1)),"",IF((AND(LEFT(G3941,2)=LEFT('112'!$M$9,2),B3941&lt;'112'!$N$8,$L3941='112'!$I$6)),"x",""))</f>
        <v/>
      </c>
      <c r="T3941" s="525" t="str">
        <f>IF(ISERROR(FIND('112'!$M$9,G3941,1)),"",IF((AND(RIGHT(G3941,2)=RIGHT('112'!$M$9,2),B3941&lt;'112'!$N$8,$M3941='112'!$I$6)),"x",""))</f>
        <v/>
      </c>
      <c r="U3941" s="525" t="str">
        <f>IF(AND(B3941&gt;='IN-NX'!$P$3,B3941&lt;='IN-NX'!$Q$3,'IN-NX'!$D$7=D3941,OR(LEFT(L3941,2)="15",AND(LEFT(M3941,2)&lt;&gt;"15",LEFT(M3941,2)&lt;&gt;"33"))),"x","")</f>
        <v/>
      </c>
      <c r="V3941" s="525" t="str">
        <f>IF(AND(OR(LEFT(TH!L3941,2)="15",LEFT(TH!M3941,2)="15"),'152-CT'!$J$8=TH!F3941),"x","")</f>
        <v/>
      </c>
      <c r="W3941" s="525" t="str">
        <f>IF(AND(OR(LEFT(TH!L3941,2)="15",LEFT(TH!M3941,2)="15"),TK!$E$7=TH!F3941),"x","")</f>
        <v/>
      </c>
      <c r="X3941" s="525" t="str">
        <f>IF(AND('341-CT'!$E$9=H3941,OR(LEFT(L3941,3)=$X$7,LEFT(M3941,3)=$X$7)),"x","")</f>
        <v/>
      </c>
      <c r="Y3941" s="525" t="str">
        <f>IF(OR(TH!L3941=TH!$Y$7,M3941=TH!$Y$7),"x","")</f>
        <v/>
      </c>
      <c r="Z3941" s="525" t="str">
        <f>IF(AND(B3941&lt;=NKC!$N$8,B3941&gt;=NKC!$M$8),"x","")</f>
        <v/>
      </c>
      <c r="AA3941" s="535">
        <v>3</v>
      </c>
      <c r="AB3941" s="536"/>
      <c r="AC3941" s="536" t="str">
        <f>VLOOKUP(F3941,NXT!$B$12:$B$686,1,0)</f>
        <v>Giấy tấm 1400x1650</v>
      </c>
    </row>
    <row r="3942" spans="1:30" s="503" customFormat="1" ht="15.75" customHeight="1">
      <c r="A3942" s="517" t="str">
        <f>IF(B3942&lt;&gt;"",IF(AND(B3942&gt;=_TM1,B3942&lt;=_TM2,OR(TH!L3942="1111",TH!M3942="1111")),TH!D3942,""),"")</f>
        <v/>
      </c>
      <c r="B3942" s="531">
        <f t="shared" si="477"/>
        <v>7</v>
      </c>
      <c r="C3942" s="315">
        <f t="shared" si="478"/>
        <v>42927</v>
      </c>
      <c r="D3942" s="315" t="s">
        <v>1180</v>
      </c>
      <c r="E3942" s="288">
        <v>42927</v>
      </c>
      <c r="F3942" s="249" t="s">
        <v>494</v>
      </c>
      <c r="G3942" s="314" t="s">
        <v>1598</v>
      </c>
      <c r="H3942" s="473" t="s">
        <v>1501</v>
      </c>
      <c r="I3942" s="307"/>
      <c r="J3942" s="307"/>
      <c r="K3942" s="532">
        <v>3371870</v>
      </c>
      <c r="L3942" s="534" t="s">
        <v>9</v>
      </c>
      <c r="M3942" s="534" t="s">
        <v>8</v>
      </c>
      <c r="N3942" s="525" t="str">
        <f>IF(AND('331-CT'!$E$7=TH!H3942,OR(L3942="331",M3942="331")),"331",IF(AND(OR(L3942="131",M3942="131"),H3942='131-CT'!$E$7),"131",""))</f>
        <v/>
      </c>
      <c r="O3942" s="525" t="str">
        <f>IF(AND($B3942&gt;='111'!$N$11,$B3942&lt;='111'!$O$11,OR($L3942=$O$7,$M3942=$O$7)),"x","")</f>
        <v/>
      </c>
      <c r="P3942" s="525" t="str">
        <f>IF(AND($L3942=$O$7,$B3942&lt;'111'!$N$11),"x","")</f>
        <v/>
      </c>
      <c r="Q3942" s="525" t="str">
        <f>IF(AND($M3942=$O$7,$B3942&lt;'111'!$N$11),"x","")</f>
        <v/>
      </c>
      <c r="R3942" s="525" t="str">
        <f>IF(ISERROR(FIND('112'!$M$9,G3942,1)),"",IF((AND(FIND('112'!$M$9,G3942,1)&gt;=1,$B3942&gt;='112'!$N$8,$B3942&lt;='112'!$O$8,OR($L3942='112'!$I$6,$M3942='112'!$I$6))),"x",""))</f>
        <v/>
      </c>
      <c r="S3942" s="525" t="str">
        <f>IF(ISERROR(FIND('112'!$M$9,G3942,1)),"",IF((AND(LEFT(G3942,2)=LEFT('112'!$M$9,2),B3942&lt;'112'!$N$8,$L3942='112'!$I$6)),"x",""))</f>
        <v/>
      </c>
      <c r="T3942" s="525" t="str">
        <f>IF(ISERROR(FIND('112'!$M$9,G3942,1)),"",IF((AND(RIGHT(G3942,2)=RIGHT('112'!$M$9,2),B3942&lt;'112'!$N$8,$M3942='112'!$I$6)),"x",""))</f>
        <v/>
      </c>
      <c r="U3942" s="525" t="str">
        <f>IF(AND(B3942&gt;='IN-NX'!$P$3,B3942&lt;='IN-NX'!$Q$3,'IN-NX'!$D$7=D3942,OR(LEFT(L3942,2)="15",AND(LEFT(M3942,2)&lt;&gt;"15",LEFT(M3942,2)&lt;&gt;"33"))),"x","")</f>
        <v/>
      </c>
      <c r="V3942" s="525" t="str">
        <f>IF(AND(OR(LEFT(TH!L3942,2)="15",LEFT(TH!M3942,2)="15"),'152-CT'!$J$8=TH!F3942),"x","")</f>
        <v/>
      </c>
      <c r="W3942" s="525" t="str">
        <f>IF(AND(OR(LEFT(TH!L3942,2)="15",LEFT(TH!M3942,2)="15"),TK!$E$7=TH!F3942),"x","")</f>
        <v/>
      </c>
      <c r="X3942" s="525" t="str">
        <f>IF(AND('341-CT'!$E$9=H3942,OR(LEFT(L3942,3)=$X$7,LEFT(M3942,3)=$X$7)),"x","")</f>
        <v/>
      </c>
      <c r="Y3942" s="525" t="str">
        <f>IF(OR(TH!L3942=TH!$Y$7,M3942=TH!$Y$7),"x","")</f>
        <v/>
      </c>
      <c r="Z3942" s="525" t="str">
        <f>IF(AND(B3942&lt;=NKC!$N$8,B3942&gt;=NKC!$M$8),"x","")</f>
        <v/>
      </c>
      <c r="AA3942" s="535">
        <v>3</v>
      </c>
      <c r="AB3942" s="536"/>
    </row>
    <row r="3943" spans="1:30" s="503" customFormat="1" ht="15.75" customHeight="1">
      <c r="A3943" s="517" t="str">
        <f>IF(B3943&lt;&gt;"",IF(AND(B3943&gt;=_TM1,B3943&lt;=_TM2,OR(TH!L3943="1111",TH!M3943="1111")),TH!D3943,""),"")</f>
        <v/>
      </c>
      <c r="B3943" s="531">
        <f t="shared" si="467"/>
        <v>7</v>
      </c>
      <c r="C3943" s="315">
        <f t="shared" si="367"/>
        <v>42933</v>
      </c>
      <c r="D3943" s="315" t="s">
        <v>1180</v>
      </c>
      <c r="E3943" s="315">
        <v>42933</v>
      </c>
      <c r="F3943" s="250" t="s">
        <v>1328</v>
      </c>
      <c r="G3943" s="314" t="s">
        <v>1599</v>
      </c>
      <c r="H3943" s="473" t="s">
        <v>1501</v>
      </c>
      <c r="I3943" s="307">
        <v>296</v>
      </c>
      <c r="J3943" s="307">
        <v>32753</v>
      </c>
      <c r="K3943" s="532">
        <f t="shared" si="468"/>
        <v>9694888</v>
      </c>
      <c r="L3943" s="534" t="s">
        <v>292</v>
      </c>
      <c r="M3943" s="534" t="s">
        <v>8</v>
      </c>
      <c r="N3943" s="525" t="str">
        <f>IF(AND('331-CT'!$E$7=TH!H3943,OR(L3943="331",M3943="331")),"331",IF(AND(OR(L3943="131",M3943="131"),H3943='131-CT'!$E$7),"131",""))</f>
        <v/>
      </c>
      <c r="O3943" s="525" t="str">
        <f>IF(AND($B3943&gt;='111'!$N$11,$B3943&lt;='111'!$O$11,OR($L3943=$O$7,$M3943=$O$7)),"x","")</f>
        <v/>
      </c>
      <c r="P3943" s="525" t="str">
        <f>IF(AND($L3943=$O$7,$B3943&lt;'111'!$N$11),"x","")</f>
        <v/>
      </c>
      <c r="Q3943" s="525" t="str">
        <f>IF(AND($M3943=$O$7,$B3943&lt;'111'!$N$11),"x","")</f>
        <v/>
      </c>
      <c r="R3943" s="525" t="str">
        <f>IF(ISERROR(FIND('112'!$M$9,G3943,1)),"",IF((AND(FIND('112'!$M$9,G3943,1)&gt;=1,$B3943&gt;='112'!$N$8,$B3943&lt;='112'!$O$8,OR($L3943='112'!$I$6,$M3943='112'!$I$6))),"x",""))</f>
        <v/>
      </c>
      <c r="S3943" s="525" t="str">
        <f>IF(ISERROR(FIND('112'!$M$9,G3943,1)),"",IF((AND(LEFT(G3943,2)=LEFT('112'!$M$9,2),B3943&lt;'112'!$N$8,$L3943='112'!$I$6)),"x",""))</f>
        <v/>
      </c>
      <c r="T3943" s="525" t="str">
        <f>IF(ISERROR(FIND('112'!$M$9,G3943,1)),"",IF((AND(RIGHT(G3943,2)=RIGHT('112'!$M$9,2),B3943&lt;'112'!$N$8,$M3943='112'!$I$6)),"x",""))</f>
        <v/>
      </c>
      <c r="U3943" s="525" t="str">
        <f>IF(AND(B3943&gt;='IN-NX'!$P$3,B3943&lt;='IN-NX'!$Q$3,'IN-NX'!$D$7=D3943,OR(LEFT(L3943,2)="15",AND(LEFT(M3943,2)&lt;&gt;"15",LEFT(M3943,2)&lt;&gt;"33"))),"x","")</f>
        <v/>
      </c>
      <c r="V3943" s="525" t="str">
        <f>IF(AND(OR(LEFT(TH!L3943,2)="15",LEFT(TH!M3943,2)="15"),'152-CT'!$J$8=TH!F3943),"x","")</f>
        <v/>
      </c>
      <c r="W3943" s="525" t="str">
        <f>IF(AND(OR(LEFT(TH!L3943,2)="15",LEFT(TH!M3943,2)="15"),TK!$E$7=TH!F3943),"x","")</f>
        <v/>
      </c>
      <c r="X3943" s="525" t="str">
        <f>IF(AND('341-CT'!$E$9=H3943,OR(LEFT(L3943,3)=$X$7,LEFT(M3943,3)=$X$7)),"x","")</f>
        <v/>
      </c>
      <c r="Y3943" s="525" t="str">
        <f>IF(OR(TH!L3943=TH!$Y$7,M3943=TH!$Y$7),"x","")</f>
        <v/>
      </c>
      <c r="Z3943" s="525" t="str">
        <f>IF(AND(B3943&lt;=NKC!$N$8,B3943&gt;=NKC!$M$8),"x","")</f>
        <v/>
      </c>
      <c r="AA3943" s="535">
        <v>3</v>
      </c>
      <c r="AB3943" s="536"/>
      <c r="AC3943" s="536" t="str">
        <f>VLOOKUP(F3943,NXT!$B$12:$B$686,1,0)</f>
        <v>Thùng 42.9x42.9x53.6</v>
      </c>
    </row>
    <row r="3944" spans="1:30" s="503" customFormat="1" ht="15.75" customHeight="1">
      <c r="A3944" s="517" t="str">
        <f>IF(B3944&lt;&gt;"",IF(AND(B3944&gt;=_TM1,B3944&lt;=_TM2,OR(TH!L3944="1111",TH!M3944="1111")),TH!D3944,""),"")</f>
        <v/>
      </c>
      <c r="B3944" s="531">
        <f t="shared" si="467"/>
        <v>7</v>
      </c>
      <c r="C3944" s="315">
        <f t="shared" si="367"/>
        <v>42933</v>
      </c>
      <c r="D3944" s="315" t="s">
        <v>1180</v>
      </c>
      <c r="E3944" s="315">
        <v>42933</v>
      </c>
      <c r="F3944" s="250" t="s">
        <v>1329</v>
      </c>
      <c r="G3944" s="314" t="s">
        <v>1599</v>
      </c>
      <c r="H3944" s="473" t="s">
        <v>1501</v>
      </c>
      <c r="I3944" s="307">
        <v>224</v>
      </c>
      <c r="J3944" s="307">
        <v>31243</v>
      </c>
      <c r="K3944" s="532">
        <f t="shared" si="468"/>
        <v>6998432</v>
      </c>
      <c r="L3944" s="534" t="s">
        <v>292</v>
      </c>
      <c r="M3944" s="534" t="s">
        <v>8</v>
      </c>
      <c r="N3944" s="525" t="str">
        <f>IF(AND('331-CT'!$E$7=TH!H3944,OR(L3944="331",M3944="331")),"331",IF(AND(OR(L3944="131",M3944="131"),H3944='131-CT'!$E$7),"131",""))</f>
        <v/>
      </c>
      <c r="O3944" s="525" t="str">
        <f>IF(AND($B3944&gt;='111'!$N$11,$B3944&lt;='111'!$O$11,OR($L3944=$O$7,$M3944=$O$7)),"x","")</f>
        <v/>
      </c>
      <c r="P3944" s="525" t="str">
        <f>IF(AND($L3944=$O$7,$B3944&lt;'111'!$N$11),"x","")</f>
        <v/>
      </c>
      <c r="Q3944" s="525" t="str">
        <f>IF(AND($M3944=$O$7,$B3944&lt;'111'!$N$11),"x","")</f>
        <v/>
      </c>
      <c r="R3944" s="525" t="str">
        <f>IF(ISERROR(FIND('112'!$M$9,G3944,1)),"",IF((AND(FIND('112'!$M$9,G3944,1)&gt;=1,$B3944&gt;='112'!$N$8,$B3944&lt;='112'!$O$8,OR($L3944='112'!$I$6,$M3944='112'!$I$6))),"x",""))</f>
        <v/>
      </c>
      <c r="S3944" s="525" t="str">
        <f>IF(ISERROR(FIND('112'!$M$9,G3944,1)),"",IF((AND(LEFT(G3944,2)=LEFT('112'!$M$9,2),B3944&lt;'112'!$N$8,$L3944='112'!$I$6)),"x",""))</f>
        <v/>
      </c>
      <c r="T3944" s="525" t="str">
        <f>IF(ISERROR(FIND('112'!$M$9,G3944,1)),"",IF((AND(RIGHT(G3944,2)=RIGHT('112'!$M$9,2),B3944&lt;'112'!$N$8,$M3944='112'!$I$6)),"x",""))</f>
        <v/>
      </c>
      <c r="U3944" s="525" t="str">
        <f>IF(AND(B3944&gt;='IN-NX'!$P$3,B3944&lt;='IN-NX'!$Q$3,'IN-NX'!$D$7=D3944,OR(LEFT(L3944,2)="15",AND(LEFT(M3944,2)&lt;&gt;"15",LEFT(M3944,2)&lt;&gt;"33"))),"x","")</f>
        <v/>
      </c>
      <c r="V3944" s="525" t="str">
        <f>IF(AND(OR(LEFT(TH!L3944,2)="15",LEFT(TH!M3944,2)="15"),'152-CT'!$J$8=TH!F3944),"x","")</f>
        <v/>
      </c>
      <c r="W3944" s="525" t="str">
        <f>IF(AND(OR(LEFT(TH!L3944,2)="15",LEFT(TH!M3944,2)="15"),TK!$E$7=TH!F3944),"x","")</f>
        <v/>
      </c>
      <c r="X3944" s="525" t="str">
        <f>IF(AND('341-CT'!$E$9=H3944,OR(LEFT(L3944,3)=$X$7,LEFT(M3944,3)=$X$7)),"x","")</f>
        <v/>
      </c>
      <c r="Y3944" s="525" t="str">
        <f>IF(OR(TH!L3944=TH!$Y$7,M3944=TH!$Y$7),"x","")</f>
        <v/>
      </c>
      <c r="Z3944" s="525" t="str">
        <f>IF(AND(B3944&lt;=NKC!$N$8,B3944&gt;=NKC!$M$8),"x","")</f>
        <v/>
      </c>
      <c r="AA3944" s="535">
        <v>3</v>
      </c>
      <c r="AB3944" s="536"/>
      <c r="AC3944" s="536" t="str">
        <f>VLOOKUP(F3944,NXT!$B$12:$B$686,1,0)</f>
        <v>Thùng 42.2x42.2x51.2</v>
      </c>
    </row>
    <row r="3945" spans="1:30" s="503" customFormat="1" ht="15.75" customHeight="1">
      <c r="A3945" s="517" t="str">
        <f>IF(B3945&lt;&gt;"",IF(AND(B3945&gt;=_TM1,B3945&lt;=_TM2,OR(TH!L3945="1111",TH!M3945="1111")),TH!D3945,""),"")</f>
        <v/>
      </c>
      <c r="B3945" s="531">
        <f t="shared" si="467"/>
        <v>7</v>
      </c>
      <c r="C3945" s="315">
        <f t="shared" si="367"/>
        <v>42933</v>
      </c>
      <c r="D3945" s="315" t="s">
        <v>1180</v>
      </c>
      <c r="E3945" s="315">
        <v>42933</v>
      </c>
      <c r="F3945" s="250" t="s">
        <v>1330</v>
      </c>
      <c r="G3945" s="314" t="s">
        <v>1599</v>
      </c>
      <c r="H3945" s="473" t="s">
        <v>1501</v>
      </c>
      <c r="I3945" s="307">
        <v>100</v>
      </c>
      <c r="J3945" s="307">
        <v>32991</v>
      </c>
      <c r="K3945" s="532">
        <f t="shared" si="468"/>
        <v>3299100</v>
      </c>
      <c r="L3945" s="534" t="s">
        <v>292</v>
      </c>
      <c r="M3945" s="534" t="s">
        <v>8</v>
      </c>
      <c r="N3945" s="525" t="str">
        <f>IF(AND('331-CT'!$E$7=TH!H3945,OR(L3945="331",M3945="331")),"331",IF(AND(OR(L3945="131",M3945="131"),H3945='131-CT'!$E$7),"131",""))</f>
        <v/>
      </c>
      <c r="O3945" s="525" t="str">
        <f>IF(AND($B3945&gt;='111'!$N$11,$B3945&lt;='111'!$O$11,OR($L3945=$O$7,$M3945=$O$7)),"x","")</f>
        <v/>
      </c>
      <c r="P3945" s="525" t="str">
        <f>IF(AND($L3945=$O$7,$B3945&lt;'111'!$N$11),"x","")</f>
        <v/>
      </c>
      <c r="Q3945" s="525" t="str">
        <f>IF(AND($M3945=$O$7,$B3945&lt;'111'!$N$11),"x","")</f>
        <v/>
      </c>
      <c r="R3945" s="525" t="str">
        <f>IF(ISERROR(FIND('112'!$M$9,G3945,1)),"",IF((AND(FIND('112'!$M$9,G3945,1)&gt;=1,$B3945&gt;='112'!$N$8,$B3945&lt;='112'!$O$8,OR($L3945='112'!$I$6,$M3945='112'!$I$6))),"x",""))</f>
        <v/>
      </c>
      <c r="S3945" s="525" t="str">
        <f>IF(ISERROR(FIND('112'!$M$9,G3945,1)),"",IF((AND(LEFT(G3945,2)=LEFT('112'!$M$9,2),B3945&lt;'112'!$N$8,$L3945='112'!$I$6)),"x",""))</f>
        <v/>
      </c>
      <c r="T3945" s="525" t="str">
        <f>IF(ISERROR(FIND('112'!$M$9,G3945,1)),"",IF((AND(RIGHT(G3945,2)=RIGHT('112'!$M$9,2),B3945&lt;'112'!$N$8,$M3945='112'!$I$6)),"x",""))</f>
        <v/>
      </c>
      <c r="U3945" s="525" t="str">
        <f>IF(AND(B3945&gt;='IN-NX'!$P$3,B3945&lt;='IN-NX'!$Q$3,'IN-NX'!$D$7=D3945,OR(LEFT(L3945,2)="15",AND(LEFT(M3945,2)&lt;&gt;"15",LEFT(M3945,2)&lt;&gt;"33"))),"x","")</f>
        <v/>
      </c>
      <c r="V3945" s="525" t="str">
        <f>IF(AND(OR(LEFT(TH!L3945,2)="15",LEFT(TH!M3945,2)="15"),'152-CT'!$J$8=TH!F3945),"x","")</f>
        <v/>
      </c>
      <c r="W3945" s="525" t="str">
        <f>IF(AND(OR(LEFT(TH!L3945,2)="15",LEFT(TH!M3945,2)="15"),TK!$E$7=TH!F3945),"x","")</f>
        <v/>
      </c>
      <c r="X3945" s="525" t="str">
        <f>IF(AND('341-CT'!$E$9=H3945,OR(LEFT(L3945,3)=$X$7,LEFT(M3945,3)=$X$7)),"x","")</f>
        <v/>
      </c>
      <c r="Y3945" s="525" t="str">
        <f>IF(OR(TH!L3945=TH!$Y$7,M3945=TH!$Y$7),"x","")</f>
        <v/>
      </c>
      <c r="Z3945" s="525" t="str">
        <f>IF(AND(B3945&lt;=NKC!$N$8,B3945&gt;=NKC!$M$8),"x","")</f>
        <v/>
      </c>
      <c r="AA3945" s="535">
        <v>3</v>
      </c>
      <c r="AB3945" s="536"/>
      <c r="AC3945" s="536" t="str">
        <f>VLOOKUP(F3945,NXT!$B$12:$B$686,1,0)</f>
        <v>Thùng 43x43x54</v>
      </c>
    </row>
    <row r="3946" spans="1:30" s="503" customFormat="1" ht="15.75" customHeight="1">
      <c r="A3946" s="517" t="str">
        <f>IF(B3946&lt;&gt;"",IF(AND(B3946&gt;=_TM1,B3946&lt;=_TM2,OR(TH!L3946="1111",TH!M3946="1111")),TH!D3946,""),"")</f>
        <v/>
      </c>
      <c r="B3946" s="531">
        <f t="shared" si="467"/>
        <v>7</v>
      </c>
      <c r="C3946" s="315">
        <f t="shared" si="367"/>
        <v>42933</v>
      </c>
      <c r="D3946" s="315" t="s">
        <v>1180</v>
      </c>
      <c r="E3946" s="315">
        <v>42933</v>
      </c>
      <c r="F3946" s="250" t="s">
        <v>1331</v>
      </c>
      <c r="G3946" s="314" t="s">
        <v>1599</v>
      </c>
      <c r="H3946" s="473" t="s">
        <v>1501</v>
      </c>
      <c r="I3946" s="307">
        <v>116</v>
      </c>
      <c r="J3946" s="307">
        <v>39619</v>
      </c>
      <c r="K3946" s="532">
        <f t="shared" si="468"/>
        <v>4595804</v>
      </c>
      <c r="L3946" s="534" t="s">
        <v>292</v>
      </c>
      <c r="M3946" s="534" t="s">
        <v>8</v>
      </c>
      <c r="N3946" s="525" t="str">
        <f>IF(AND('331-CT'!$E$7=TH!H3946,OR(L3946="331",M3946="331")),"331",IF(AND(OR(L3946="131",M3946="131"),H3946='131-CT'!$E$7),"131",""))</f>
        <v/>
      </c>
      <c r="O3946" s="525" t="str">
        <f>IF(AND($B3946&gt;='111'!$N$11,$B3946&lt;='111'!$O$11,OR($L3946=$O$7,$M3946=$O$7)),"x","")</f>
        <v/>
      </c>
      <c r="P3946" s="525" t="str">
        <f>IF(AND($L3946=$O$7,$B3946&lt;'111'!$N$11),"x","")</f>
        <v/>
      </c>
      <c r="Q3946" s="525" t="str">
        <f>IF(AND($M3946=$O$7,$B3946&lt;'111'!$N$11),"x","")</f>
        <v/>
      </c>
      <c r="R3946" s="525" t="str">
        <f>IF(ISERROR(FIND('112'!$M$9,G3946,1)),"",IF((AND(FIND('112'!$M$9,G3946,1)&gt;=1,$B3946&gt;='112'!$N$8,$B3946&lt;='112'!$O$8,OR($L3946='112'!$I$6,$M3946='112'!$I$6))),"x",""))</f>
        <v/>
      </c>
      <c r="S3946" s="525" t="str">
        <f>IF(ISERROR(FIND('112'!$M$9,G3946,1)),"",IF((AND(LEFT(G3946,2)=LEFT('112'!$M$9,2),B3946&lt;'112'!$N$8,$L3946='112'!$I$6)),"x",""))</f>
        <v/>
      </c>
      <c r="T3946" s="525" t="str">
        <f>IF(ISERROR(FIND('112'!$M$9,G3946,1)),"",IF((AND(RIGHT(G3946,2)=RIGHT('112'!$M$9,2),B3946&lt;'112'!$N$8,$M3946='112'!$I$6)),"x",""))</f>
        <v/>
      </c>
      <c r="U3946" s="525" t="str">
        <f>IF(AND(B3946&gt;='IN-NX'!$P$3,B3946&lt;='IN-NX'!$Q$3,'IN-NX'!$D$7=D3946,OR(LEFT(L3946,2)="15",AND(LEFT(M3946,2)&lt;&gt;"15",LEFT(M3946,2)&lt;&gt;"33"))),"x","")</f>
        <v/>
      </c>
      <c r="V3946" s="525" t="str">
        <f>IF(AND(OR(LEFT(TH!L3946,2)="15",LEFT(TH!M3946,2)="15"),'152-CT'!$J$8=TH!F3946),"x","")</f>
        <v/>
      </c>
      <c r="W3946" s="525" t="str">
        <f>IF(AND(OR(LEFT(TH!L3946,2)="15",LEFT(TH!M3946,2)="15"),TK!$E$7=TH!F3946),"x","")</f>
        <v/>
      </c>
      <c r="X3946" s="525" t="str">
        <f>IF(AND('341-CT'!$E$9=H3946,OR(LEFT(L3946,3)=$X$7,LEFT(M3946,3)=$X$7)),"x","")</f>
        <v/>
      </c>
      <c r="Y3946" s="525" t="str">
        <f>IF(OR(TH!L3946=TH!$Y$7,M3946=TH!$Y$7),"x","")</f>
        <v/>
      </c>
      <c r="Z3946" s="525" t="str">
        <f>IF(AND(B3946&lt;=NKC!$N$8,B3946&gt;=NKC!$M$8),"x","")</f>
        <v/>
      </c>
      <c r="AA3946" s="535">
        <v>3</v>
      </c>
      <c r="AB3946" s="536"/>
      <c r="AC3946" s="536" t="str">
        <f>VLOOKUP(F3946,NXT!$B$12:$B$686,1,0)</f>
        <v>Thùng 49.2x49.2x51.2</v>
      </c>
    </row>
    <row r="3947" spans="1:30" s="503" customFormat="1" ht="15.75" customHeight="1">
      <c r="A3947" s="517" t="str">
        <f>IF(B3947&lt;&gt;"",IF(AND(B3947&gt;=_TM1,B3947&lt;=_TM2,OR(TH!L3947="1111",TH!M3947="1111")),TH!D3947,""),"")</f>
        <v/>
      </c>
      <c r="B3947" s="531">
        <f t="shared" si="467"/>
        <v>7</v>
      </c>
      <c r="C3947" s="315">
        <f t="shared" si="367"/>
        <v>42933</v>
      </c>
      <c r="D3947" s="315" t="s">
        <v>1180</v>
      </c>
      <c r="E3947" s="315">
        <v>42933</v>
      </c>
      <c r="F3947" s="250" t="s">
        <v>1332</v>
      </c>
      <c r="G3947" s="314" t="s">
        <v>1599</v>
      </c>
      <c r="H3947" s="473" t="s">
        <v>1501</v>
      </c>
      <c r="I3947" s="307">
        <v>132</v>
      </c>
      <c r="J3947" s="307">
        <v>49811</v>
      </c>
      <c r="K3947" s="532">
        <f t="shared" si="468"/>
        <v>6575052</v>
      </c>
      <c r="L3947" s="534" t="s">
        <v>292</v>
      </c>
      <c r="M3947" s="534" t="s">
        <v>8</v>
      </c>
      <c r="N3947" s="525" t="str">
        <f>IF(AND('331-CT'!$E$7=TH!H3947,OR(L3947="331",M3947="331")),"331",IF(AND(OR(L3947="131",M3947="131"),H3947='131-CT'!$E$7),"131",""))</f>
        <v/>
      </c>
      <c r="O3947" s="525" t="str">
        <f>IF(AND($B3947&gt;='111'!$N$11,$B3947&lt;='111'!$O$11,OR($L3947=$O$7,$M3947=$O$7)),"x","")</f>
        <v/>
      </c>
      <c r="P3947" s="525" t="str">
        <f>IF(AND($L3947=$O$7,$B3947&lt;'111'!$N$11),"x","")</f>
        <v/>
      </c>
      <c r="Q3947" s="525" t="str">
        <f>IF(AND($M3947=$O$7,$B3947&lt;'111'!$N$11),"x","")</f>
        <v/>
      </c>
      <c r="R3947" s="525" t="str">
        <f>IF(ISERROR(FIND('112'!$M$9,G3947,1)),"",IF((AND(FIND('112'!$M$9,G3947,1)&gt;=1,$B3947&gt;='112'!$N$8,$B3947&lt;='112'!$O$8,OR($L3947='112'!$I$6,$M3947='112'!$I$6))),"x",""))</f>
        <v/>
      </c>
      <c r="S3947" s="525" t="str">
        <f>IF(ISERROR(FIND('112'!$M$9,G3947,1)),"",IF((AND(LEFT(G3947,2)=LEFT('112'!$M$9,2),B3947&lt;'112'!$N$8,$L3947='112'!$I$6)),"x",""))</f>
        <v/>
      </c>
      <c r="T3947" s="525" t="str">
        <f>IF(ISERROR(FIND('112'!$M$9,G3947,1)),"",IF((AND(RIGHT(G3947,2)=RIGHT('112'!$M$9,2),B3947&lt;'112'!$N$8,$M3947='112'!$I$6)),"x",""))</f>
        <v/>
      </c>
      <c r="U3947" s="525" t="str">
        <f>IF(AND(B3947&gt;='IN-NX'!$P$3,B3947&lt;='IN-NX'!$Q$3,'IN-NX'!$D$7=D3947,OR(LEFT(L3947,2)="15",AND(LEFT(M3947,2)&lt;&gt;"15",LEFT(M3947,2)&lt;&gt;"33"))),"x","")</f>
        <v/>
      </c>
      <c r="V3947" s="525" t="str">
        <f>IF(AND(OR(LEFT(TH!L3947,2)="15",LEFT(TH!M3947,2)="15"),'152-CT'!$J$8=TH!F3947),"x","")</f>
        <v/>
      </c>
      <c r="W3947" s="525" t="str">
        <f>IF(AND(OR(LEFT(TH!L3947,2)="15",LEFT(TH!M3947,2)="15"),TK!$E$7=TH!F3947),"x","")</f>
        <v/>
      </c>
      <c r="X3947" s="525" t="str">
        <f>IF(AND('341-CT'!$E$9=H3947,OR(LEFT(L3947,3)=$X$7,LEFT(M3947,3)=$X$7)),"x","")</f>
        <v/>
      </c>
      <c r="Y3947" s="525" t="str">
        <f>IF(OR(TH!L3947=TH!$Y$7,M3947=TH!$Y$7),"x","")</f>
        <v/>
      </c>
      <c r="Z3947" s="525" t="str">
        <f>IF(AND(B3947&lt;=NKC!$N$8,B3947&gt;=NKC!$M$8),"x","")</f>
        <v/>
      </c>
      <c r="AA3947" s="535">
        <v>3</v>
      </c>
      <c r="AB3947" s="536"/>
      <c r="AC3947" s="536" t="str">
        <f>VLOOKUP(F3947,NXT!$B$12:$B$686,1,0)</f>
        <v>Thùng 56x56x56</v>
      </c>
    </row>
    <row r="3948" spans="1:30" s="503" customFormat="1" ht="15.75" customHeight="1">
      <c r="A3948" s="517" t="str">
        <f>IF(B3948&lt;&gt;"",IF(AND(B3948&gt;=_TM1,B3948&lt;=_TM2,OR(TH!L3948="1111",TH!M3948="1111")),TH!D3948,""),"")</f>
        <v/>
      </c>
      <c r="B3948" s="531">
        <f t="shared" si="467"/>
        <v>7</v>
      </c>
      <c r="C3948" s="315">
        <f t="shared" si="367"/>
        <v>42933</v>
      </c>
      <c r="D3948" s="315" t="s">
        <v>1180</v>
      </c>
      <c r="E3948" s="315">
        <v>42933</v>
      </c>
      <c r="F3948" s="250" t="s">
        <v>1333</v>
      </c>
      <c r="G3948" s="314" t="s">
        <v>1599</v>
      </c>
      <c r="H3948" s="473" t="s">
        <v>1501</v>
      </c>
      <c r="I3948" s="307">
        <v>100</v>
      </c>
      <c r="J3948" s="307">
        <v>36553</v>
      </c>
      <c r="K3948" s="532">
        <f t="shared" si="468"/>
        <v>3655300</v>
      </c>
      <c r="L3948" s="534" t="s">
        <v>292</v>
      </c>
      <c r="M3948" s="534" t="s">
        <v>8</v>
      </c>
      <c r="N3948" s="525" t="str">
        <f>IF(AND('331-CT'!$E$7=TH!H3948,OR(L3948="331",M3948="331")),"331",IF(AND(OR(L3948="131",M3948="131"),H3948='131-CT'!$E$7),"131",""))</f>
        <v/>
      </c>
      <c r="O3948" s="525" t="str">
        <f>IF(AND($B3948&gt;='111'!$N$11,$B3948&lt;='111'!$O$11,OR($L3948=$O$7,$M3948=$O$7)),"x","")</f>
        <v/>
      </c>
      <c r="P3948" s="525" t="str">
        <f>IF(AND($L3948=$O$7,$B3948&lt;'111'!$N$11),"x","")</f>
        <v/>
      </c>
      <c r="Q3948" s="525" t="str">
        <f>IF(AND($M3948=$O$7,$B3948&lt;'111'!$N$11),"x","")</f>
        <v/>
      </c>
      <c r="R3948" s="525" t="str">
        <f>IF(ISERROR(FIND('112'!$M$9,G3948,1)),"",IF((AND(FIND('112'!$M$9,G3948,1)&gt;=1,$B3948&gt;='112'!$N$8,$B3948&lt;='112'!$O$8,OR($L3948='112'!$I$6,$M3948='112'!$I$6))),"x",""))</f>
        <v/>
      </c>
      <c r="S3948" s="525" t="str">
        <f>IF(ISERROR(FIND('112'!$M$9,G3948,1)),"",IF((AND(LEFT(G3948,2)=LEFT('112'!$M$9,2),B3948&lt;'112'!$N$8,$L3948='112'!$I$6)),"x",""))</f>
        <v/>
      </c>
      <c r="T3948" s="525" t="str">
        <f>IF(ISERROR(FIND('112'!$M$9,G3948,1)),"",IF((AND(RIGHT(G3948,2)=RIGHT('112'!$M$9,2),B3948&lt;'112'!$N$8,$M3948='112'!$I$6)),"x",""))</f>
        <v/>
      </c>
      <c r="U3948" s="525" t="str">
        <f>IF(AND(B3948&gt;='IN-NX'!$P$3,B3948&lt;='IN-NX'!$Q$3,'IN-NX'!$D$7=D3948,OR(LEFT(L3948,2)="15",AND(LEFT(M3948,2)&lt;&gt;"15",LEFT(M3948,2)&lt;&gt;"33"))),"x","")</f>
        <v/>
      </c>
      <c r="V3948" s="525" t="str">
        <f>IF(AND(OR(LEFT(TH!L3948,2)="15",LEFT(TH!M3948,2)="15"),'152-CT'!$J$8=TH!F3948),"x","")</f>
        <v/>
      </c>
      <c r="W3948" s="525" t="str">
        <f>IF(AND(OR(LEFT(TH!L3948,2)="15",LEFT(TH!M3948,2)="15"),TK!$E$7=TH!F3948),"x","")</f>
        <v/>
      </c>
      <c r="X3948" s="525" t="str">
        <f>IF(AND('341-CT'!$E$9=H3948,OR(LEFT(L3948,3)=$X$7,LEFT(M3948,3)=$X$7)),"x","")</f>
        <v/>
      </c>
      <c r="Y3948" s="525" t="str">
        <f>IF(OR(TH!L3948=TH!$Y$7,M3948=TH!$Y$7),"x","")</f>
        <v/>
      </c>
      <c r="Z3948" s="525" t="str">
        <f>IF(AND(B3948&lt;=NKC!$N$8,B3948&gt;=NKC!$M$8),"x","")</f>
        <v/>
      </c>
      <c r="AA3948" s="535">
        <v>3</v>
      </c>
      <c r="AB3948" s="536"/>
      <c r="AC3948" s="536" t="str">
        <f>VLOOKUP(F3948,NXT!$B$12:$B$686,1,0)</f>
        <v>Thùng 46.2x46.2x54.2</v>
      </c>
    </row>
    <row r="3949" spans="1:30" s="503" customFormat="1" ht="15.75" customHeight="1">
      <c r="A3949" s="517" t="str">
        <f>IF(B3949&lt;&gt;"",IF(AND(B3949&gt;=_TM1,B3949&lt;=_TM2,OR(TH!L3949="1111",TH!M3949="1111")),TH!D3949,""),"")</f>
        <v/>
      </c>
      <c r="B3949" s="531">
        <f t="shared" si="467"/>
        <v>7</v>
      </c>
      <c r="C3949" s="315">
        <f t="shared" si="367"/>
        <v>42933</v>
      </c>
      <c r="D3949" s="315" t="s">
        <v>1180</v>
      </c>
      <c r="E3949" s="315">
        <v>42933</v>
      </c>
      <c r="F3949" s="250" t="s">
        <v>1334</v>
      </c>
      <c r="G3949" s="314" t="s">
        <v>1599</v>
      </c>
      <c r="H3949" s="473" t="s">
        <v>1501</v>
      </c>
      <c r="I3949" s="307">
        <v>60</v>
      </c>
      <c r="J3949" s="307">
        <v>37677</v>
      </c>
      <c r="K3949" s="532">
        <f t="shared" si="468"/>
        <v>2260620</v>
      </c>
      <c r="L3949" s="534" t="s">
        <v>292</v>
      </c>
      <c r="M3949" s="534" t="s">
        <v>8</v>
      </c>
      <c r="N3949" s="525" t="str">
        <f>IF(AND('331-CT'!$E$7=TH!H3949,OR(L3949="331",M3949="331")),"331",IF(AND(OR(L3949="131",M3949="131"),H3949='131-CT'!$E$7),"131",""))</f>
        <v/>
      </c>
      <c r="O3949" s="525" t="str">
        <f>IF(AND($B3949&gt;='111'!$N$11,$B3949&lt;='111'!$O$11,OR($L3949=$O$7,$M3949=$O$7)),"x","")</f>
        <v/>
      </c>
      <c r="P3949" s="525" t="str">
        <f>IF(AND($L3949=$O$7,$B3949&lt;'111'!$N$11),"x","")</f>
        <v/>
      </c>
      <c r="Q3949" s="525" t="str">
        <f>IF(AND($M3949=$O$7,$B3949&lt;'111'!$N$11),"x","")</f>
        <v/>
      </c>
      <c r="R3949" s="525" t="str">
        <f>IF(ISERROR(FIND('112'!$M$9,G3949,1)),"",IF((AND(FIND('112'!$M$9,G3949,1)&gt;=1,$B3949&gt;='112'!$N$8,$B3949&lt;='112'!$O$8,OR($L3949='112'!$I$6,$M3949='112'!$I$6))),"x",""))</f>
        <v/>
      </c>
      <c r="S3949" s="525" t="str">
        <f>IF(ISERROR(FIND('112'!$M$9,G3949,1)),"",IF((AND(LEFT(G3949,2)=LEFT('112'!$M$9,2),B3949&lt;'112'!$N$8,$L3949='112'!$I$6)),"x",""))</f>
        <v/>
      </c>
      <c r="T3949" s="525" t="str">
        <f>IF(ISERROR(FIND('112'!$M$9,G3949,1)),"",IF((AND(RIGHT(G3949,2)=RIGHT('112'!$M$9,2),B3949&lt;'112'!$N$8,$M3949='112'!$I$6)),"x",""))</f>
        <v/>
      </c>
      <c r="U3949" s="525" t="str">
        <f>IF(AND(B3949&gt;='IN-NX'!$P$3,B3949&lt;='IN-NX'!$Q$3,'IN-NX'!$D$7=D3949,OR(LEFT(L3949,2)="15",AND(LEFT(M3949,2)&lt;&gt;"15",LEFT(M3949,2)&lt;&gt;"33"))),"x","")</f>
        <v/>
      </c>
      <c r="V3949" s="525" t="str">
        <f>IF(AND(OR(LEFT(TH!L3949,2)="15",LEFT(TH!M3949,2)="15"),'152-CT'!$J$8=TH!F3949),"x","")</f>
        <v/>
      </c>
      <c r="W3949" s="525" t="str">
        <f>IF(AND(OR(LEFT(TH!L3949,2)="15",LEFT(TH!M3949,2)="15"),TK!$E$7=TH!F3949),"x","")</f>
        <v/>
      </c>
      <c r="X3949" s="525" t="str">
        <f>IF(AND('341-CT'!$E$9=H3949,OR(LEFT(L3949,3)=$X$7,LEFT(M3949,3)=$X$7)),"x","")</f>
        <v/>
      </c>
      <c r="Y3949" s="525" t="str">
        <f>IF(OR(TH!L3949=TH!$Y$7,M3949=TH!$Y$7),"x","")</f>
        <v/>
      </c>
      <c r="Z3949" s="525" t="str">
        <f>IF(AND(B3949&lt;=NKC!$N$8,B3949&gt;=NKC!$M$8),"x","")</f>
        <v/>
      </c>
      <c r="AA3949" s="535">
        <v>3</v>
      </c>
      <c r="AB3949" s="536"/>
      <c r="AC3949" s="536" t="str">
        <f>VLOOKUP(F3949,NXT!$B$12:$B$686,1,0)</f>
        <v>Thùng 47.2x47.2x54.2</v>
      </c>
    </row>
    <row r="3950" spans="1:30" s="503" customFormat="1" ht="15.75" customHeight="1">
      <c r="A3950" s="517" t="str">
        <f>IF(B3950&lt;&gt;"",IF(AND(B3950&gt;=_TM1,B3950&lt;=_TM2,OR(TH!L3950="1111",TH!M3950="1111")),TH!D3950,""),"")</f>
        <v/>
      </c>
      <c r="B3950" s="531">
        <f t="shared" si="467"/>
        <v>7</v>
      </c>
      <c r="C3950" s="315">
        <f t="shared" si="367"/>
        <v>42933</v>
      </c>
      <c r="D3950" s="315" t="s">
        <v>1180</v>
      </c>
      <c r="E3950" s="315">
        <v>42933</v>
      </c>
      <c r="F3950" s="250" t="s">
        <v>1335</v>
      </c>
      <c r="G3950" s="314" t="s">
        <v>1599</v>
      </c>
      <c r="H3950" s="473" t="s">
        <v>1501</v>
      </c>
      <c r="I3950" s="307">
        <v>100</v>
      </c>
      <c r="J3950" s="307">
        <v>43122</v>
      </c>
      <c r="K3950" s="532">
        <f t="shared" si="468"/>
        <v>4312200</v>
      </c>
      <c r="L3950" s="534" t="s">
        <v>292</v>
      </c>
      <c r="M3950" s="534" t="s">
        <v>8</v>
      </c>
      <c r="N3950" s="525" t="str">
        <f>IF(AND('331-CT'!$E$7=TH!H3950,OR(L3950="331",M3950="331")),"331",IF(AND(OR(L3950="131",M3950="131"),H3950='131-CT'!$E$7),"131",""))</f>
        <v/>
      </c>
      <c r="O3950" s="525" t="str">
        <f>IF(AND($B3950&gt;='111'!$N$11,$B3950&lt;='111'!$O$11,OR($L3950=$O$7,$M3950=$O$7)),"x","")</f>
        <v/>
      </c>
      <c r="P3950" s="525" t="str">
        <f>IF(AND($L3950=$O$7,$B3950&lt;'111'!$N$11),"x","")</f>
        <v/>
      </c>
      <c r="Q3950" s="525" t="str">
        <f>IF(AND($M3950=$O$7,$B3950&lt;'111'!$N$11),"x","")</f>
        <v/>
      </c>
      <c r="R3950" s="525" t="str">
        <f>IF(ISERROR(FIND('112'!$M$9,G3950,1)),"",IF((AND(FIND('112'!$M$9,G3950,1)&gt;=1,$B3950&gt;='112'!$N$8,$B3950&lt;='112'!$O$8,OR($L3950='112'!$I$6,$M3950='112'!$I$6))),"x",""))</f>
        <v/>
      </c>
      <c r="S3950" s="525" t="str">
        <f>IF(ISERROR(FIND('112'!$M$9,G3950,1)),"",IF((AND(LEFT(G3950,2)=LEFT('112'!$M$9,2),B3950&lt;'112'!$N$8,$L3950='112'!$I$6)),"x",""))</f>
        <v/>
      </c>
      <c r="T3950" s="525" t="str">
        <f>IF(ISERROR(FIND('112'!$M$9,G3950,1)),"",IF((AND(RIGHT(G3950,2)=RIGHT('112'!$M$9,2),B3950&lt;'112'!$N$8,$M3950='112'!$I$6)),"x",""))</f>
        <v/>
      </c>
      <c r="U3950" s="525" t="str">
        <f>IF(AND(B3950&gt;='IN-NX'!$P$3,B3950&lt;='IN-NX'!$Q$3,'IN-NX'!$D$7=D3950,OR(LEFT(L3950,2)="15",AND(LEFT(M3950,2)&lt;&gt;"15",LEFT(M3950,2)&lt;&gt;"33"))),"x","")</f>
        <v/>
      </c>
      <c r="V3950" s="525" t="str">
        <f>IF(AND(OR(LEFT(TH!L3950,2)="15",LEFT(TH!M3950,2)="15"),'152-CT'!$J$8=TH!F3950),"x","")</f>
        <v/>
      </c>
      <c r="W3950" s="525" t="str">
        <f>IF(AND(OR(LEFT(TH!L3950,2)="15",LEFT(TH!M3950,2)="15"),TK!$E$7=TH!F3950),"x","")</f>
        <v/>
      </c>
      <c r="X3950" s="525" t="str">
        <f>IF(AND('341-CT'!$E$9=H3950,OR(LEFT(L3950,3)=$X$7,LEFT(M3950,3)=$X$7)),"x","")</f>
        <v/>
      </c>
      <c r="Y3950" s="525" t="str">
        <f>IF(OR(TH!L3950=TH!$Y$7,M3950=TH!$Y$7),"x","")</f>
        <v/>
      </c>
      <c r="Z3950" s="525" t="str">
        <f>IF(AND(B3950&lt;=NKC!$N$8,B3950&gt;=NKC!$M$8),"x","")</f>
        <v/>
      </c>
      <c r="AA3950" s="535">
        <v>3</v>
      </c>
      <c r="AB3950" s="536"/>
      <c r="AC3950" s="536" t="str">
        <f>VLOOKUP(F3950,NXT!$B$12:$B$686,1,0)</f>
        <v>Thùng 51.2x51.2x54.2</v>
      </c>
    </row>
    <row r="3951" spans="1:30" s="503" customFormat="1" ht="15.75" customHeight="1">
      <c r="A3951" s="517" t="str">
        <f>IF(B3951&lt;&gt;"",IF(AND(B3951&gt;=_TM1,B3951&lt;=_TM2,OR(TH!L3951="1111",TH!M3951="1111")),TH!D3951,""),"")</f>
        <v/>
      </c>
      <c r="B3951" s="531">
        <f t="shared" si="467"/>
        <v>7</v>
      </c>
      <c r="C3951" s="315">
        <f t="shared" si="367"/>
        <v>42933</v>
      </c>
      <c r="D3951" s="315" t="s">
        <v>1180</v>
      </c>
      <c r="E3951" s="315">
        <v>42933</v>
      </c>
      <c r="F3951" s="250" t="s">
        <v>1336</v>
      </c>
      <c r="G3951" s="314" t="s">
        <v>1599</v>
      </c>
      <c r="H3951" s="473" t="s">
        <v>1501</v>
      </c>
      <c r="I3951" s="307">
        <v>200</v>
      </c>
      <c r="J3951" s="307">
        <v>41932</v>
      </c>
      <c r="K3951" s="532">
        <f t="shared" si="468"/>
        <v>8386400</v>
      </c>
      <c r="L3951" s="534" t="s">
        <v>292</v>
      </c>
      <c r="M3951" s="534" t="s">
        <v>8</v>
      </c>
      <c r="N3951" s="525" t="str">
        <f>IF(AND('331-CT'!$E$7=TH!H3951,OR(L3951="331",M3951="331")),"331",IF(AND(OR(L3951="131",M3951="131"),H3951='131-CT'!$E$7),"131",""))</f>
        <v/>
      </c>
      <c r="O3951" s="525" t="str">
        <f>IF(AND($B3951&gt;='111'!$N$11,$B3951&lt;='111'!$O$11,OR($L3951=$O$7,$M3951=$O$7)),"x","")</f>
        <v/>
      </c>
      <c r="P3951" s="525" t="str">
        <f>IF(AND($L3951=$O$7,$B3951&lt;'111'!$N$11),"x","")</f>
        <v/>
      </c>
      <c r="Q3951" s="525" t="str">
        <f>IF(AND($M3951=$O$7,$B3951&lt;'111'!$N$11),"x","")</f>
        <v/>
      </c>
      <c r="R3951" s="525" t="str">
        <f>IF(ISERROR(FIND('112'!$M$9,G3951,1)),"",IF((AND(FIND('112'!$M$9,G3951,1)&gt;=1,$B3951&gt;='112'!$N$8,$B3951&lt;='112'!$O$8,OR($L3951='112'!$I$6,$M3951='112'!$I$6))),"x",""))</f>
        <v/>
      </c>
      <c r="S3951" s="525" t="str">
        <f>IF(ISERROR(FIND('112'!$M$9,G3951,1)),"",IF((AND(LEFT(G3951,2)=LEFT('112'!$M$9,2),B3951&lt;'112'!$N$8,$L3951='112'!$I$6)),"x",""))</f>
        <v/>
      </c>
      <c r="T3951" s="525" t="str">
        <f>IF(ISERROR(FIND('112'!$M$9,G3951,1)),"",IF((AND(RIGHT(G3951,2)=RIGHT('112'!$M$9,2),B3951&lt;'112'!$N$8,$M3951='112'!$I$6)),"x",""))</f>
        <v/>
      </c>
      <c r="U3951" s="525" t="str">
        <f>IF(AND(B3951&gt;='IN-NX'!$P$3,B3951&lt;='IN-NX'!$Q$3,'IN-NX'!$D$7=D3951,OR(LEFT(L3951,2)="15",AND(LEFT(M3951,2)&lt;&gt;"15",LEFT(M3951,2)&lt;&gt;"33"))),"x","")</f>
        <v/>
      </c>
      <c r="V3951" s="525" t="str">
        <f>IF(AND(OR(LEFT(TH!L3951,2)="15",LEFT(TH!M3951,2)="15"),'152-CT'!$J$8=TH!F3951),"x","")</f>
        <v/>
      </c>
      <c r="W3951" s="525" t="str">
        <f>IF(AND(OR(LEFT(TH!L3951,2)="15",LEFT(TH!M3951,2)="15"),TK!$E$7=TH!F3951),"x","")</f>
        <v/>
      </c>
      <c r="X3951" s="525" t="str">
        <f>IF(AND('341-CT'!$E$9=H3951,OR(LEFT(L3951,3)=$X$7,LEFT(M3951,3)=$X$7)),"x","")</f>
        <v/>
      </c>
      <c r="Y3951" s="525" t="str">
        <f>IF(OR(TH!L3951=TH!$Y$7,M3951=TH!$Y$7),"x","")</f>
        <v/>
      </c>
      <c r="Z3951" s="525" t="str">
        <f>IF(AND(B3951&lt;=NKC!$N$8,B3951&gt;=NKC!$M$8),"x","")</f>
        <v/>
      </c>
      <c r="AA3951" s="535">
        <v>3</v>
      </c>
      <c r="AB3951" s="536"/>
      <c r="AC3951" s="536" t="str">
        <f>VLOOKUP(F3951,NXT!$B$12:$B$686,1,0)</f>
        <v>Thùng 50.2x50.2x54.2</v>
      </c>
    </row>
    <row r="3952" spans="1:30" s="503" customFormat="1" ht="15.75" customHeight="1">
      <c r="A3952" s="517" t="str">
        <f>IF(B3952&lt;&gt;"",IF(AND(B3952&gt;=_TM1,B3952&lt;=_TM2,OR(TH!L3952="1111",TH!M3952="1111")),TH!D3952,""),"")</f>
        <v/>
      </c>
      <c r="B3952" s="531">
        <f t="shared" si="467"/>
        <v>7</v>
      </c>
      <c r="C3952" s="315">
        <f t="shared" si="367"/>
        <v>42933</v>
      </c>
      <c r="D3952" s="315" t="s">
        <v>1180</v>
      </c>
      <c r="E3952" s="315">
        <v>42933</v>
      </c>
      <c r="F3952" s="250" t="s">
        <v>1337</v>
      </c>
      <c r="G3952" s="314" t="s">
        <v>1599</v>
      </c>
      <c r="H3952" s="473" t="s">
        <v>1501</v>
      </c>
      <c r="I3952" s="307">
        <v>232</v>
      </c>
      <c r="J3952" s="307">
        <v>40757</v>
      </c>
      <c r="K3952" s="532">
        <f t="shared" si="468"/>
        <v>9455624</v>
      </c>
      <c r="L3952" s="534" t="s">
        <v>292</v>
      </c>
      <c r="M3952" s="534" t="s">
        <v>8</v>
      </c>
      <c r="N3952" s="525" t="str">
        <f>IF(AND('331-CT'!$E$7=TH!H3952,OR(L3952="331",M3952="331")),"331",IF(AND(OR(L3952="131",M3952="131"),H3952='131-CT'!$E$7),"131",""))</f>
        <v/>
      </c>
      <c r="O3952" s="525" t="str">
        <f>IF(AND($B3952&gt;='111'!$N$11,$B3952&lt;='111'!$O$11,OR($L3952=$O$7,$M3952=$O$7)),"x","")</f>
        <v/>
      </c>
      <c r="P3952" s="525" t="str">
        <f>IF(AND($L3952=$O$7,$B3952&lt;'111'!$N$11),"x","")</f>
        <v/>
      </c>
      <c r="Q3952" s="525" t="str">
        <f>IF(AND($M3952=$O$7,$B3952&lt;'111'!$N$11),"x","")</f>
        <v/>
      </c>
      <c r="R3952" s="525" t="str">
        <f>IF(ISERROR(FIND('112'!$M$9,G3952,1)),"",IF((AND(FIND('112'!$M$9,G3952,1)&gt;=1,$B3952&gt;='112'!$N$8,$B3952&lt;='112'!$O$8,OR($L3952='112'!$I$6,$M3952='112'!$I$6))),"x",""))</f>
        <v/>
      </c>
      <c r="S3952" s="525" t="str">
        <f>IF(ISERROR(FIND('112'!$M$9,G3952,1)),"",IF((AND(LEFT(G3952,2)=LEFT('112'!$M$9,2),B3952&lt;'112'!$N$8,$L3952='112'!$I$6)),"x",""))</f>
        <v/>
      </c>
      <c r="T3952" s="525" t="str">
        <f>IF(ISERROR(FIND('112'!$M$9,G3952,1)),"",IF((AND(RIGHT(G3952,2)=RIGHT('112'!$M$9,2),B3952&lt;'112'!$N$8,$M3952='112'!$I$6)),"x",""))</f>
        <v/>
      </c>
      <c r="U3952" s="525" t="str">
        <f>IF(AND(B3952&gt;='IN-NX'!$P$3,B3952&lt;='IN-NX'!$Q$3,'IN-NX'!$D$7=D3952,OR(LEFT(L3952,2)="15",AND(LEFT(M3952,2)&lt;&gt;"15",LEFT(M3952,2)&lt;&gt;"33"))),"x","")</f>
        <v/>
      </c>
      <c r="V3952" s="525" t="str">
        <f>IF(AND(OR(LEFT(TH!L3952,2)="15",LEFT(TH!M3952,2)="15"),'152-CT'!$J$8=TH!F3952),"x","")</f>
        <v/>
      </c>
      <c r="W3952" s="525" t="str">
        <f>IF(AND(OR(LEFT(TH!L3952,2)="15",LEFT(TH!M3952,2)="15"),TK!$E$7=TH!F3952),"x","")</f>
        <v/>
      </c>
      <c r="X3952" s="525" t="str">
        <f>IF(AND('341-CT'!$E$9=H3952,OR(LEFT(L3952,3)=$X$7,LEFT(M3952,3)=$X$7)),"x","")</f>
        <v/>
      </c>
      <c r="Y3952" s="525" t="str">
        <f>IF(OR(TH!L3952=TH!$Y$7,M3952=TH!$Y$7),"x","")</f>
        <v/>
      </c>
      <c r="Z3952" s="525" t="str">
        <f>IF(AND(B3952&lt;=NKC!$N$8,B3952&gt;=NKC!$M$8),"x","")</f>
        <v/>
      </c>
      <c r="AA3952" s="535">
        <v>3</v>
      </c>
      <c r="AB3952" s="536"/>
      <c r="AC3952" s="536" t="str">
        <f>VLOOKUP(F3952,NXT!$B$12:$B$686,1,0)</f>
        <v>Thùng 49.2x49.2x54.2</v>
      </c>
    </row>
    <row r="3953" spans="1:29" s="503" customFormat="1" ht="15.75" customHeight="1">
      <c r="A3953" s="517" t="str">
        <f>IF(B3953&lt;&gt;"",IF(AND(B3953&gt;=_TM1,B3953&lt;=_TM2,OR(TH!L3953="1111",TH!M3953="1111")),TH!D3953,""),"")</f>
        <v/>
      </c>
      <c r="B3953" s="531">
        <f t="shared" si="467"/>
        <v>7</v>
      </c>
      <c r="C3953" s="315">
        <f t="shared" si="367"/>
        <v>42933</v>
      </c>
      <c r="D3953" s="315" t="s">
        <v>1180</v>
      </c>
      <c r="E3953" s="315">
        <v>42933</v>
      </c>
      <c r="F3953" s="250" t="s">
        <v>1338</v>
      </c>
      <c r="G3953" s="314" t="s">
        <v>1599</v>
      </c>
      <c r="H3953" s="473" t="s">
        <v>1501</v>
      </c>
      <c r="I3953" s="307">
        <v>136</v>
      </c>
      <c r="J3953" s="307">
        <v>19963</v>
      </c>
      <c r="K3953" s="532">
        <f t="shared" si="468"/>
        <v>2714968</v>
      </c>
      <c r="L3953" s="534" t="s">
        <v>292</v>
      </c>
      <c r="M3953" s="534" t="s">
        <v>8</v>
      </c>
      <c r="N3953" s="525" t="str">
        <f>IF(AND('331-CT'!$E$7=TH!H3953,OR(L3953="331",M3953="331")),"331",IF(AND(OR(L3953="131",M3953="131"),H3953='131-CT'!$E$7),"131",""))</f>
        <v/>
      </c>
      <c r="O3953" s="525" t="str">
        <f>IF(AND($B3953&gt;='111'!$N$11,$B3953&lt;='111'!$O$11,OR($L3953=$O$7,$M3953=$O$7)),"x","")</f>
        <v/>
      </c>
      <c r="P3953" s="525" t="str">
        <f>IF(AND($L3953=$O$7,$B3953&lt;'111'!$N$11),"x","")</f>
        <v/>
      </c>
      <c r="Q3953" s="525" t="str">
        <f>IF(AND($M3953=$O$7,$B3953&lt;'111'!$N$11),"x","")</f>
        <v/>
      </c>
      <c r="R3953" s="525" t="str">
        <f>IF(ISERROR(FIND('112'!$M$9,G3953,1)),"",IF((AND(FIND('112'!$M$9,G3953,1)&gt;=1,$B3953&gt;='112'!$N$8,$B3953&lt;='112'!$O$8,OR($L3953='112'!$I$6,$M3953='112'!$I$6))),"x",""))</f>
        <v/>
      </c>
      <c r="S3953" s="525" t="str">
        <f>IF(ISERROR(FIND('112'!$M$9,G3953,1)),"",IF((AND(LEFT(G3953,2)=LEFT('112'!$M$9,2),B3953&lt;'112'!$N$8,$L3953='112'!$I$6)),"x",""))</f>
        <v/>
      </c>
      <c r="T3953" s="525" t="str">
        <f>IF(ISERROR(FIND('112'!$M$9,G3953,1)),"",IF((AND(RIGHT(G3953,2)=RIGHT('112'!$M$9,2),B3953&lt;'112'!$N$8,$M3953='112'!$I$6)),"x",""))</f>
        <v/>
      </c>
      <c r="U3953" s="525" t="str">
        <f>IF(AND(B3953&gt;='IN-NX'!$P$3,B3953&lt;='IN-NX'!$Q$3,'IN-NX'!$D$7=D3953,OR(LEFT(L3953,2)="15",AND(LEFT(M3953,2)&lt;&gt;"15",LEFT(M3953,2)&lt;&gt;"33"))),"x","")</f>
        <v/>
      </c>
      <c r="V3953" s="525" t="str">
        <f>IF(AND(OR(LEFT(TH!L3953,2)="15",LEFT(TH!M3953,2)="15"),'152-CT'!$J$8=TH!F3953),"x","")</f>
        <v/>
      </c>
      <c r="W3953" s="525" t="str">
        <f>IF(AND(OR(LEFT(TH!L3953,2)="15",LEFT(TH!M3953,2)="15"),TK!$E$7=TH!F3953),"x","")</f>
        <v/>
      </c>
      <c r="X3953" s="525" t="str">
        <f>IF(AND('341-CT'!$E$9=H3953,OR(LEFT(L3953,3)=$X$7,LEFT(M3953,3)=$X$7)),"x","")</f>
        <v/>
      </c>
      <c r="Y3953" s="525" t="str">
        <f>IF(OR(TH!L3953=TH!$Y$7,M3953=TH!$Y$7),"x","")</f>
        <v/>
      </c>
      <c r="Z3953" s="525" t="str">
        <f>IF(AND(B3953&lt;=NKC!$N$8,B3953&gt;=NKC!$M$8),"x","")</f>
        <v/>
      </c>
      <c r="AA3953" s="535">
        <v>3</v>
      </c>
      <c r="AB3953" s="536"/>
      <c r="AC3953" s="536" t="str">
        <f>VLOOKUP(F3953,NXT!$B$12:$B$686,1,0)</f>
        <v>Thùng 56.3x56.3x22</v>
      </c>
    </row>
    <row r="3954" spans="1:29" s="503" customFormat="1" ht="15.75" customHeight="1">
      <c r="A3954" s="517" t="str">
        <f>IF(B3954&lt;&gt;"",IF(AND(B3954&gt;=_TM1,B3954&lt;=_TM2,OR(TH!L3954="1111",TH!M3954="1111")),TH!D3954,""),"")</f>
        <v/>
      </c>
      <c r="B3954" s="531">
        <f t="shared" si="467"/>
        <v>7</v>
      </c>
      <c r="C3954" s="315">
        <f t="shared" si="367"/>
        <v>42933</v>
      </c>
      <c r="D3954" s="315" t="s">
        <v>1180</v>
      </c>
      <c r="E3954" s="315">
        <v>42933</v>
      </c>
      <c r="F3954" s="250" t="s">
        <v>1339</v>
      </c>
      <c r="G3954" s="314" t="s">
        <v>1599</v>
      </c>
      <c r="H3954" s="473" t="s">
        <v>1501</v>
      </c>
      <c r="I3954" s="307">
        <v>136</v>
      </c>
      <c r="J3954" s="307">
        <v>21206</v>
      </c>
      <c r="K3954" s="532">
        <f t="shared" si="468"/>
        <v>2884016</v>
      </c>
      <c r="L3954" s="534" t="s">
        <v>292</v>
      </c>
      <c r="M3954" s="534" t="s">
        <v>8</v>
      </c>
      <c r="N3954" s="525" t="str">
        <f>IF(AND('331-CT'!$E$7=TH!H3954,OR(L3954="331",M3954="331")),"331",IF(AND(OR(L3954="131",M3954="131"),H3954='131-CT'!$E$7),"131",""))</f>
        <v/>
      </c>
      <c r="O3954" s="525" t="str">
        <f>IF(AND($B3954&gt;='111'!$N$11,$B3954&lt;='111'!$O$11,OR($L3954=$O$7,$M3954=$O$7)),"x","")</f>
        <v/>
      </c>
      <c r="P3954" s="525" t="str">
        <f>IF(AND($L3954=$O$7,$B3954&lt;'111'!$N$11),"x","")</f>
        <v/>
      </c>
      <c r="Q3954" s="525" t="str">
        <f>IF(AND($M3954=$O$7,$B3954&lt;'111'!$N$11),"x","")</f>
        <v/>
      </c>
      <c r="R3954" s="525" t="str">
        <f>IF(ISERROR(FIND('112'!$M$9,G3954,1)),"",IF((AND(FIND('112'!$M$9,G3954,1)&gt;=1,$B3954&gt;='112'!$N$8,$B3954&lt;='112'!$O$8,OR($L3954='112'!$I$6,$M3954='112'!$I$6))),"x",""))</f>
        <v/>
      </c>
      <c r="S3954" s="525" t="str">
        <f>IF(ISERROR(FIND('112'!$M$9,G3954,1)),"",IF((AND(LEFT(G3954,2)=LEFT('112'!$M$9,2),B3954&lt;'112'!$N$8,$L3954='112'!$I$6)),"x",""))</f>
        <v/>
      </c>
      <c r="T3954" s="525" t="str">
        <f>IF(ISERROR(FIND('112'!$M$9,G3954,1)),"",IF((AND(RIGHT(G3954,2)=RIGHT('112'!$M$9,2),B3954&lt;'112'!$N$8,$M3954='112'!$I$6)),"x",""))</f>
        <v/>
      </c>
      <c r="U3954" s="525" t="str">
        <f>IF(AND(B3954&gt;='IN-NX'!$P$3,B3954&lt;='IN-NX'!$Q$3,'IN-NX'!$D$7=D3954,OR(LEFT(L3954,2)="15",AND(LEFT(M3954,2)&lt;&gt;"15",LEFT(M3954,2)&lt;&gt;"33"))),"x","")</f>
        <v/>
      </c>
      <c r="V3954" s="525" t="str">
        <f>IF(AND(OR(LEFT(TH!L3954,2)="15",LEFT(TH!M3954,2)="15"),'152-CT'!$J$8=TH!F3954),"x","")</f>
        <v/>
      </c>
      <c r="W3954" s="525" t="str">
        <f>IF(AND(OR(LEFT(TH!L3954,2)="15",LEFT(TH!M3954,2)="15"),TK!$E$7=TH!F3954),"x","")</f>
        <v/>
      </c>
      <c r="X3954" s="525" t="str">
        <f>IF(AND('341-CT'!$E$9=H3954,OR(LEFT(L3954,3)=$X$7,LEFT(M3954,3)=$X$7)),"x","")</f>
        <v/>
      </c>
      <c r="Y3954" s="525" t="str">
        <f>IF(OR(TH!L3954=TH!$Y$7,M3954=TH!$Y$7),"x","")</f>
        <v/>
      </c>
      <c r="Z3954" s="525" t="str">
        <f>IF(AND(B3954&lt;=NKC!$N$8,B3954&gt;=NKC!$M$8),"x","")</f>
        <v/>
      </c>
      <c r="AA3954" s="535">
        <v>3</v>
      </c>
      <c r="AB3954" s="536"/>
      <c r="AC3954" s="536" t="str">
        <f>VLOOKUP(F3954,NXT!$B$12:$B$686,1,0)</f>
        <v>Thùng 57.5x57.5x23</v>
      </c>
    </row>
    <row r="3955" spans="1:29" s="503" customFormat="1" ht="15.75" customHeight="1">
      <c r="A3955" s="517" t="str">
        <f>IF(B3955&lt;&gt;"",IF(AND(B3955&gt;=_TM1,B3955&lt;=_TM2,OR(TH!L3955="1111",TH!M3955="1111")),TH!D3955,""),"")</f>
        <v/>
      </c>
      <c r="B3955" s="531">
        <f t="shared" si="467"/>
        <v>7</v>
      </c>
      <c r="C3955" s="315">
        <f t="shared" si="367"/>
        <v>42933</v>
      </c>
      <c r="D3955" s="315" t="s">
        <v>1180</v>
      </c>
      <c r="E3955" s="315">
        <v>42933</v>
      </c>
      <c r="F3955" s="250" t="s">
        <v>1312</v>
      </c>
      <c r="G3955" s="314" t="s">
        <v>1599</v>
      </c>
      <c r="H3955" s="473" t="s">
        <v>1501</v>
      </c>
      <c r="I3955" s="307">
        <v>540</v>
      </c>
      <c r="J3955" s="307">
        <v>18853</v>
      </c>
      <c r="K3955" s="532">
        <f t="shared" si="468"/>
        <v>10180620</v>
      </c>
      <c r="L3955" s="534" t="s">
        <v>292</v>
      </c>
      <c r="M3955" s="534" t="s">
        <v>8</v>
      </c>
      <c r="N3955" s="525" t="str">
        <f>IF(AND('331-CT'!$E$7=TH!H3955,OR(L3955="331",M3955="331")),"331",IF(AND(OR(L3955="131",M3955="131"),H3955='131-CT'!$E$7),"131",""))</f>
        <v/>
      </c>
      <c r="O3955" s="525" t="str">
        <f>IF(AND($B3955&gt;='111'!$N$11,$B3955&lt;='111'!$O$11,OR($L3955=$O$7,$M3955=$O$7)),"x","")</f>
        <v/>
      </c>
      <c r="P3955" s="525" t="str">
        <f>IF(AND($L3955=$O$7,$B3955&lt;'111'!$N$11),"x","")</f>
        <v/>
      </c>
      <c r="Q3955" s="525" t="str">
        <f>IF(AND($M3955=$O$7,$B3955&lt;'111'!$N$11),"x","")</f>
        <v/>
      </c>
      <c r="R3955" s="525" t="str">
        <f>IF(ISERROR(FIND('112'!$M$9,G3955,1)),"",IF((AND(FIND('112'!$M$9,G3955,1)&gt;=1,$B3955&gt;='112'!$N$8,$B3955&lt;='112'!$O$8,OR($L3955='112'!$I$6,$M3955='112'!$I$6))),"x",""))</f>
        <v/>
      </c>
      <c r="S3955" s="525" t="str">
        <f>IF(ISERROR(FIND('112'!$M$9,G3955,1)),"",IF((AND(LEFT(G3955,2)=LEFT('112'!$M$9,2),B3955&lt;'112'!$N$8,$L3955='112'!$I$6)),"x",""))</f>
        <v/>
      </c>
      <c r="T3955" s="525" t="str">
        <f>IF(ISERROR(FIND('112'!$M$9,G3955,1)),"",IF((AND(RIGHT(G3955,2)=RIGHT('112'!$M$9,2),B3955&lt;'112'!$N$8,$M3955='112'!$I$6)),"x",""))</f>
        <v/>
      </c>
      <c r="U3955" s="525" t="str">
        <f>IF(AND(B3955&gt;='IN-NX'!$P$3,B3955&lt;='IN-NX'!$Q$3,'IN-NX'!$D$7=D3955,OR(LEFT(L3955,2)="15",AND(LEFT(M3955,2)&lt;&gt;"15",LEFT(M3955,2)&lt;&gt;"33"))),"x","")</f>
        <v/>
      </c>
      <c r="V3955" s="525" t="str">
        <f>IF(AND(OR(LEFT(TH!L3955,2)="15",LEFT(TH!M3955,2)="15"),'152-CT'!$J$8=TH!F3955),"x","")</f>
        <v/>
      </c>
      <c r="W3955" s="525" t="str">
        <f>IF(AND(OR(LEFT(TH!L3955,2)="15",LEFT(TH!M3955,2)="15"),TK!$E$7=TH!F3955),"x","")</f>
        <v/>
      </c>
      <c r="X3955" s="525" t="str">
        <f>IF(AND('341-CT'!$E$9=H3955,OR(LEFT(L3955,3)=$X$7,LEFT(M3955,3)=$X$7)),"x","")</f>
        <v/>
      </c>
      <c r="Y3955" s="525" t="str">
        <f>IF(OR(TH!L3955=TH!$Y$7,M3955=TH!$Y$7),"x","")</f>
        <v/>
      </c>
      <c r="Z3955" s="525" t="str">
        <f>IF(AND(B3955&lt;=NKC!$N$8,B3955&gt;=NKC!$M$8),"x","")</f>
        <v/>
      </c>
      <c r="AA3955" s="535">
        <v>3</v>
      </c>
      <c r="AB3955" s="536"/>
      <c r="AC3955" s="536" t="str">
        <f>VLOOKUP(F3955,NXT!$B$12:$B$686,1,0)</f>
        <v>Thùng 226.5x149x128</v>
      </c>
    </row>
    <row r="3956" spans="1:29" s="503" customFormat="1" ht="15.75" customHeight="1">
      <c r="A3956" s="517" t="str">
        <f>IF(B3956&lt;&gt;"",IF(AND(B3956&gt;=_TM1,B3956&lt;=_TM2,OR(TH!L3956="1111",TH!M3956="1111")),TH!D3956,""),"")</f>
        <v/>
      </c>
      <c r="B3956" s="531">
        <f t="shared" si="467"/>
        <v>7</v>
      </c>
      <c r="C3956" s="315">
        <f t="shared" si="367"/>
        <v>42933</v>
      </c>
      <c r="D3956" s="315" t="s">
        <v>1180</v>
      </c>
      <c r="E3956" s="315">
        <v>42933</v>
      </c>
      <c r="F3956" s="250" t="s">
        <v>1313</v>
      </c>
      <c r="G3956" s="314" t="s">
        <v>1599</v>
      </c>
      <c r="H3956" s="473" t="s">
        <v>1501</v>
      </c>
      <c r="I3956" s="307">
        <v>290</v>
      </c>
      <c r="J3956" s="307">
        <v>13045</v>
      </c>
      <c r="K3956" s="532">
        <f t="shared" si="468"/>
        <v>3783050</v>
      </c>
      <c r="L3956" s="534" t="s">
        <v>292</v>
      </c>
      <c r="M3956" s="534" t="s">
        <v>8</v>
      </c>
      <c r="N3956" s="525" t="str">
        <f>IF(AND('331-CT'!$E$7=TH!H3956,OR(L3956="331",M3956="331")),"331",IF(AND(OR(L3956="131",M3956="131"),H3956='131-CT'!$E$7),"131",""))</f>
        <v/>
      </c>
      <c r="O3956" s="525" t="str">
        <f>IF(AND($B3956&gt;='111'!$N$11,$B3956&lt;='111'!$O$11,OR($L3956=$O$7,$M3956=$O$7)),"x","")</f>
        <v/>
      </c>
      <c r="P3956" s="525" t="str">
        <f>IF(AND($L3956=$O$7,$B3956&lt;'111'!$N$11),"x","")</f>
        <v/>
      </c>
      <c r="Q3956" s="525" t="str">
        <f>IF(AND($M3956=$O$7,$B3956&lt;'111'!$N$11),"x","")</f>
        <v/>
      </c>
      <c r="R3956" s="525" t="str">
        <f>IF(ISERROR(FIND('112'!$M$9,G3956,1)),"",IF((AND(FIND('112'!$M$9,G3956,1)&gt;=1,$B3956&gt;='112'!$N$8,$B3956&lt;='112'!$O$8,OR($L3956='112'!$I$6,$M3956='112'!$I$6))),"x",""))</f>
        <v/>
      </c>
      <c r="S3956" s="525" t="str">
        <f>IF(ISERROR(FIND('112'!$M$9,G3956,1)),"",IF((AND(LEFT(G3956,2)=LEFT('112'!$M$9,2),B3956&lt;'112'!$N$8,$L3956='112'!$I$6)),"x",""))</f>
        <v/>
      </c>
      <c r="T3956" s="525" t="str">
        <f>IF(ISERROR(FIND('112'!$M$9,G3956,1)),"",IF((AND(RIGHT(G3956,2)=RIGHT('112'!$M$9,2),B3956&lt;'112'!$N$8,$M3956='112'!$I$6)),"x",""))</f>
        <v/>
      </c>
      <c r="U3956" s="525" t="str">
        <f>IF(AND(B3956&gt;='IN-NX'!$P$3,B3956&lt;='IN-NX'!$Q$3,'IN-NX'!$D$7=D3956,OR(LEFT(L3956,2)="15",AND(LEFT(M3956,2)&lt;&gt;"15",LEFT(M3956,2)&lt;&gt;"33"))),"x","")</f>
        <v/>
      </c>
      <c r="V3956" s="525" t="str">
        <f>IF(AND(OR(LEFT(TH!L3956,2)="15",LEFT(TH!M3956,2)="15"),'152-CT'!$J$8=TH!F3956),"x","")</f>
        <v/>
      </c>
      <c r="W3956" s="525" t="str">
        <f>IF(AND(OR(LEFT(TH!L3956,2)="15",LEFT(TH!M3956,2)="15"),TK!$E$7=TH!F3956),"x","")</f>
        <v/>
      </c>
      <c r="X3956" s="525" t="str">
        <f>IF(AND('341-CT'!$E$9=H3956,OR(LEFT(L3956,3)=$X$7,LEFT(M3956,3)=$X$7)),"x","")</f>
        <v/>
      </c>
      <c r="Y3956" s="525" t="str">
        <f>IF(OR(TH!L3956=TH!$Y$7,M3956=TH!$Y$7),"x","")</f>
        <v/>
      </c>
      <c r="Z3956" s="525" t="str">
        <f>IF(AND(B3956&lt;=NKC!$N$8,B3956&gt;=NKC!$M$8),"x","")</f>
        <v/>
      </c>
      <c r="AA3956" s="535">
        <v>3</v>
      </c>
      <c r="AB3956" s="536"/>
      <c r="AC3956" s="536" t="str">
        <f>VLOOKUP(F3956,NXT!$B$12:$B$686,1,0)</f>
        <v>Thùng 725x255x190</v>
      </c>
    </row>
    <row r="3957" spans="1:29" s="503" customFormat="1" ht="15.75" customHeight="1">
      <c r="A3957" s="517" t="str">
        <f>IF(B3957&lt;&gt;"",IF(AND(B3957&gt;=_TM1,B3957&lt;=_TM2,OR(TH!L3957="1111",TH!M3957="1111")),TH!D3957,""),"")</f>
        <v/>
      </c>
      <c r="B3957" s="531">
        <f t="shared" si="467"/>
        <v>7</v>
      </c>
      <c r="C3957" s="315">
        <f t="shared" si="367"/>
        <v>42933</v>
      </c>
      <c r="D3957" s="315" t="s">
        <v>1180</v>
      </c>
      <c r="E3957" s="315">
        <v>42933</v>
      </c>
      <c r="F3957" s="250" t="s">
        <v>1314</v>
      </c>
      <c r="G3957" s="314" t="s">
        <v>1599</v>
      </c>
      <c r="H3957" s="473" t="s">
        <v>1501</v>
      </c>
      <c r="I3957" s="307">
        <v>395</v>
      </c>
      <c r="J3957" s="307">
        <v>16340</v>
      </c>
      <c r="K3957" s="532">
        <f t="shared" si="468"/>
        <v>6454300</v>
      </c>
      <c r="L3957" s="534" t="s">
        <v>292</v>
      </c>
      <c r="M3957" s="534" t="s">
        <v>8</v>
      </c>
      <c r="N3957" s="525" t="str">
        <f>IF(AND('331-CT'!$E$7=TH!H3957,OR(L3957="331",M3957="331")),"331",IF(AND(OR(L3957="131",M3957="131"),H3957='131-CT'!$E$7),"131",""))</f>
        <v/>
      </c>
      <c r="O3957" s="525" t="str">
        <f>IF(AND($B3957&gt;='111'!$N$11,$B3957&lt;='111'!$O$11,OR($L3957=$O$7,$M3957=$O$7)),"x","")</f>
        <v/>
      </c>
      <c r="P3957" s="525" t="str">
        <f>IF(AND($L3957=$O$7,$B3957&lt;'111'!$N$11),"x","")</f>
        <v/>
      </c>
      <c r="Q3957" s="525" t="str">
        <f>IF(AND($M3957=$O$7,$B3957&lt;'111'!$N$11),"x","")</f>
        <v/>
      </c>
      <c r="R3957" s="525" t="str">
        <f>IF(ISERROR(FIND('112'!$M$9,G3957,1)),"",IF((AND(FIND('112'!$M$9,G3957,1)&gt;=1,$B3957&gt;='112'!$N$8,$B3957&lt;='112'!$O$8,OR($L3957='112'!$I$6,$M3957='112'!$I$6))),"x",""))</f>
        <v/>
      </c>
      <c r="S3957" s="525" t="str">
        <f>IF(ISERROR(FIND('112'!$M$9,G3957,1)),"",IF((AND(LEFT(G3957,2)=LEFT('112'!$M$9,2),B3957&lt;'112'!$N$8,$L3957='112'!$I$6)),"x",""))</f>
        <v/>
      </c>
      <c r="T3957" s="525" t="str">
        <f>IF(ISERROR(FIND('112'!$M$9,G3957,1)),"",IF((AND(RIGHT(G3957,2)=RIGHT('112'!$M$9,2),B3957&lt;'112'!$N$8,$M3957='112'!$I$6)),"x",""))</f>
        <v/>
      </c>
      <c r="U3957" s="525" t="str">
        <f>IF(AND(B3957&gt;='IN-NX'!$P$3,B3957&lt;='IN-NX'!$Q$3,'IN-NX'!$D$7=D3957,OR(LEFT(L3957,2)="15",AND(LEFT(M3957,2)&lt;&gt;"15",LEFT(M3957,2)&lt;&gt;"33"))),"x","")</f>
        <v/>
      </c>
      <c r="V3957" s="525" t="str">
        <f>IF(AND(OR(LEFT(TH!L3957,2)="15",LEFT(TH!M3957,2)="15"),'152-CT'!$J$8=TH!F3957),"x","")</f>
        <v/>
      </c>
      <c r="W3957" s="525" t="str">
        <f>IF(AND(OR(LEFT(TH!L3957,2)="15",LEFT(TH!M3957,2)="15"),TK!$E$7=TH!F3957),"x","")</f>
        <v/>
      </c>
      <c r="X3957" s="525" t="str">
        <f>IF(AND('341-CT'!$E$9=H3957,OR(LEFT(L3957,3)=$X$7,LEFT(M3957,3)=$X$7)),"x","")</f>
        <v/>
      </c>
      <c r="Y3957" s="525" t="str">
        <f>IF(OR(TH!L3957=TH!$Y$7,M3957=TH!$Y$7),"x","")</f>
        <v/>
      </c>
      <c r="Z3957" s="525" t="str">
        <f>IF(AND(B3957&lt;=NKC!$N$8,B3957&gt;=NKC!$M$8),"x","")</f>
        <v/>
      </c>
      <c r="AA3957" s="535">
        <v>3</v>
      </c>
      <c r="AB3957" s="536"/>
      <c r="AC3957" s="536" t="str">
        <f>VLOOKUP(F3957,NXT!$B$12:$B$686,1,0)</f>
        <v>Thùng 815x330x190</v>
      </c>
    </row>
    <row r="3958" spans="1:29" s="503" customFormat="1" ht="15.75" customHeight="1">
      <c r="A3958" s="517" t="str">
        <f>IF(B3958&lt;&gt;"",IF(AND(B3958&gt;=_TM1,B3958&lt;=_TM2,OR(TH!L3958="1111",TH!M3958="1111")),TH!D3958,""),"")</f>
        <v/>
      </c>
      <c r="B3958" s="531">
        <f t="shared" si="467"/>
        <v>7</v>
      </c>
      <c r="C3958" s="315">
        <f t="shared" si="367"/>
        <v>42933</v>
      </c>
      <c r="D3958" s="315" t="s">
        <v>1180</v>
      </c>
      <c r="E3958" s="315">
        <v>42933</v>
      </c>
      <c r="F3958" s="250" t="s">
        <v>1340</v>
      </c>
      <c r="G3958" s="314" t="s">
        <v>1599</v>
      </c>
      <c r="H3958" s="473" t="s">
        <v>1501</v>
      </c>
      <c r="I3958" s="307">
        <v>400</v>
      </c>
      <c r="J3958" s="307">
        <v>16166</v>
      </c>
      <c r="K3958" s="532">
        <f t="shared" si="468"/>
        <v>6466400</v>
      </c>
      <c r="L3958" s="534" t="s">
        <v>292</v>
      </c>
      <c r="M3958" s="534" t="s">
        <v>8</v>
      </c>
      <c r="N3958" s="525" t="str">
        <f>IF(AND('331-CT'!$E$7=TH!H3958,OR(L3958="331",M3958="331")),"331",IF(AND(OR(L3958="131",M3958="131"),H3958='131-CT'!$E$7),"131",""))</f>
        <v/>
      </c>
      <c r="O3958" s="525" t="str">
        <f>IF(AND($B3958&gt;='111'!$N$11,$B3958&lt;='111'!$O$11,OR($L3958=$O$7,$M3958=$O$7)),"x","")</f>
        <v/>
      </c>
      <c r="P3958" s="525" t="str">
        <f>IF(AND($L3958=$O$7,$B3958&lt;'111'!$N$11),"x","")</f>
        <v/>
      </c>
      <c r="Q3958" s="525" t="str">
        <f>IF(AND($M3958=$O$7,$B3958&lt;'111'!$N$11),"x","")</f>
        <v/>
      </c>
      <c r="R3958" s="525" t="str">
        <f>IF(ISERROR(FIND('112'!$M$9,G3958,1)),"",IF((AND(FIND('112'!$M$9,G3958,1)&gt;=1,$B3958&gt;='112'!$N$8,$B3958&lt;='112'!$O$8,OR($L3958='112'!$I$6,$M3958='112'!$I$6))),"x",""))</f>
        <v/>
      </c>
      <c r="S3958" s="525" t="str">
        <f>IF(ISERROR(FIND('112'!$M$9,G3958,1)),"",IF((AND(LEFT(G3958,2)=LEFT('112'!$M$9,2),B3958&lt;'112'!$N$8,$L3958='112'!$I$6)),"x",""))</f>
        <v/>
      </c>
      <c r="T3958" s="525" t="str">
        <f>IF(ISERROR(FIND('112'!$M$9,G3958,1)),"",IF((AND(RIGHT(G3958,2)=RIGHT('112'!$M$9,2),B3958&lt;'112'!$N$8,$M3958='112'!$I$6)),"x",""))</f>
        <v/>
      </c>
      <c r="U3958" s="525" t="str">
        <f>IF(AND(B3958&gt;='IN-NX'!$P$3,B3958&lt;='IN-NX'!$Q$3,'IN-NX'!$D$7=D3958,OR(LEFT(L3958,2)="15",AND(LEFT(M3958,2)&lt;&gt;"15",LEFT(M3958,2)&lt;&gt;"33"))),"x","")</f>
        <v/>
      </c>
      <c r="V3958" s="525" t="str">
        <f>IF(AND(OR(LEFT(TH!L3958,2)="15",LEFT(TH!M3958,2)="15"),'152-CT'!$J$8=TH!F3958),"x","")</f>
        <v/>
      </c>
      <c r="W3958" s="525" t="str">
        <f>IF(AND(OR(LEFT(TH!L3958,2)="15",LEFT(TH!M3958,2)="15"),TK!$E$7=TH!F3958),"x","")</f>
        <v/>
      </c>
      <c r="X3958" s="525" t="str">
        <f>IF(AND('341-CT'!$E$9=H3958,OR(LEFT(L3958,3)=$X$7,LEFT(M3958,3)=$X$7)),"x","")</f>
        <v/>
      </c>
      <c r="Y3958" s="525" t="str">
        <f>IF(OR(TH!L3958=TH!$Y$7,M3958=TH!$Y$7),"x","")</f>
        <v/>
      </c>
      <c r="Z3958" s="525" t="str">
        <f>IF(AND(B3958&lt;=NKC!$N$8,B3958&gt;=NKC!$M$8),"x","")</f>
        <v/>
      </c>
      <c r="AA3958" s="535">
        <v>3</v>
      </c>
      <c r="AB3958" s="536"/>
      <c r="AC3958" s="536" t="str">
        <f>VLOOKUP(F3958,NXT!$B$12:$B$686,1,0)</f>
        <v>Thùng 183.5x19.8x10</v>
      </c>
    </row>
    <row r="3959" spans="1:29" s="503" customFormat="1" ht="15.75" customHeight="1">
      <c r="A3959" s="517" t="str">
        <f>IF(B3959&lt;&gt;"",IF(AND(B3959&gt;=_TM1,B3959&lt;=_TM2,OR(TH!L3959="1111",TH!M3959="1111")),TH!D3959,""),"")</f>
        <v/>
      </c>
      <c r="B3959" s="531">
        <f t="shared" si="467"/>
        <v>7</v>
      </c>
      <c r="C3959" s="315">
        <f t="shared" si="367"/>
        <v>42933</v>
      </c>
      <c r="D3959" s="315" t="s">
        <v>1180</v>
      </c>
      <c r="E3959" s="315">
        <v>42933</v>
      </c>
      <c r="F3959" s="250" t="s">
        <v>1308</v>
      </c>
      <c r="G3959" s="314" t="s">
        <v>1599</v>
      </c>
      <c r="H3959" s="473" t="s">
        <v>1501</v>
      </c>
      <c r="I3959" s="307">
        <v>60</v>
      </c>
      <c r="J3959" s="307">
        <v>14149</v>
      </c>
      <c r="K3959" s="532">
        <f t="shared" si="468"/>
        <v>848940</v>
      </c>
      <c r="L3959" s="534" t="s">
        <v>292</v>
      </c>
      <c r="M3959" s="534" t="s">
        <v>8</v>
      </c>
      <c r="N3959" s="525" t="str">
        <f>IF(AND('331-CT'!$E$7=TH!H3959,OR(L3959="331",M3959="331")),"331",IF(AND(OR(L3959="131",M3959="131"),H3959='131-CT'!$E$7),"131",""))</f>
        <v/>
      </c>
      <c r="O3959" s="525" t="str">
        <f>IF(AND($B3959&gt;='111'!$N$11,$B3959&lt;='111'!$O$11,OR($L3959=$O$7,$M3959=$O$7)),"x","")</f>
        <v/>
      </c>
      <c r="P3959" s="525" t="str">
        <f>IF(AND($L3959=$O$7,$B3959&lt;'111'!$N$11),"x","")</f>
        <v/>
      </c>
      <c r="Q3959" s="525" t="str">
        <f>IF(AND($M3959=$O$7,$B3959&lt;'111'!$N$11),"x","")</f>
        <v/>
      </c>
      <c r="R3959" s="525" t="str">
        <f>IF(ISERROR(FIND('112'!$M$9,G3959,1)),"",IF((AND(FIND('112'!$M$9,G3959,1)&gt;=1,$B3959&gt;='112'!$N$8,$B3959&lt;='112'!$O$8,OR($L3959='112'!$I$6,$M3959='112'!$I$6))),"x",""))</f>
        <v/>
      </c>
      <c r="S3959" s="525" t="str">
        <f>IF(ISERROR(FIND('112'!$M$9,G3959,1)),"",IF((AND(LEFT(G3959,2)=LEFT('112'!$M$9,2),B3959&lt;'112'!$N$8,$L3959='112'!$I$6)),"x",""))</f>
        <v/>
      </c>
      <c r="T3959" s="525" t="str">
        <f>IF(ISERROR(FIND('112'!$M$9,G3959,1)),"",IF((AND(RIGHT(G3959,2)=RIGHT('112'!$M$9,2),B3959&lt;'112'!$N$8,$M3959='112'!$I$6)),"x",""))</f>
        <v/>
      </c>
      <c r="U3959" s="525" t="str">
        <f>IF(AND(B3959&gt;='IN-NX'!$P$3,B3959&lt;='IN-NX'!$Q$3,'IN-NX'!$D$7=D3959,OR(LEFT(L3959,2)="15",AND(LEFT(M3959,2)&lt;&gt;"15",LEFT(M3959,2)&lt;&gt;"33"))),"x","")</f>
        <v/>
      </c>
      <c r="V3959" s="525" t="str">
        <f>IF(AND(OR(LEFT(TH!L3959,2)="15",LEFT(TH!M3959,2)="15"),'152-CT'!$J$8=TH!F3959),"x","")</f>
        <v/>
      </c>
      <c r="W3959" s="525" t="str">
        <f>IF(AND(OR(LEFT(TH!L3959,2)="15",LEFT(TH!M3959,2)="15"),TK!$E$7=TH!F3959),"x","")</f>
        <v/>
      </c>
      <c r="X3959" s="525" t="str">
        <f>IF(AND('341-CT'!$E$9=H3959,OR(LEFT(L3959,3)=$X$7,LEFT(M3959,3)=$X$7)),"x","")</f>
        <v/>
      </c>
      <c r="Y3959" s="525" t="str">
        <f>IF(OR(TH!L3959=TH!$Y$7,M3959=TH!$Y$7),"x","")</f>
        <v/>
      </c>
      <c r="Z3959" s="525" t="str">
        <f>IF(AND(B3959&lt;=NKC!$N$8,B3959&gt;=NKC!$M$8),"x","")</f>
        <v/>
      </c>
      <c r="AA3959" s="535">
        <v>3</v>
      </c>
      <c r="AB3959" s="536"/>
      <c r="AC3959" s="536" t="str">
        <f>VLOOKUP(F3959,NXT!$B$12:$B$686,1,0)</f>
        <v>Thùng 183x15.9x10</v>
      </c>
    </row>
    <row r="3960" spans="1:29" s="503" customFormat="1" ht="15.75" customHeight="1">
      <c r="A3960" s="517" t="str">
        <f>IF(B3960&lt;&gt;"",IF(AND(B3960&gt;=_TM1,B3960&lt;=_TM2,OR(TH!L3960="1111",TH!M3960="1111")),TH!D3960,""),"")</f>
        <v/>
      </c>
      <c r="B3960" s="531">
        <f t="shared" si="467"/>
        <v>7</v>
      </c>
      <c r="C3960" s="315">
        <f t="shared" si="367"/>
        <v>42933</v>
      </c>
      <c r="D3960" s="315" t="s">
        <v>1180</v>
      </c>
      <c r="E3960" s="315">
        <v>42933</v>
      </c>
      <c r="F3960" s="249" t="s">
        <v>494</v>
      </c>
      <c r="G3960" s="314" t="s">
        <v>1599</v>
      </c>
      <c r="H3960" s="473" t="s">
        <v>1501</v>
      </c>
      <c r="I3960" s="307"/>
      <c r="J3960" s="307"/>
      <c r="K3960" s="532">
        <v>9256571</v>
      </c>
      <c r="L3960" s="534" t="s">
        <v>9</v>
      </c>
      <c r="M3960" s="534" t="s">
        <v>8</v>
      </c>
      <c r="N3960" s="525" t="str">
        <f>IF(AND('331-CT'!$E$7=TH!H3960,OR(L3960="331",M3960="331")),"331",IF(AND(OR(L3960="131",M3960="131"),H3960='131-CT'!$E$7),"131",""))</f>
        <v/>
      </c>
      <c r="O3960" s="525" t="str">
        <f>IF(AND($B3960&gt;='111'!$N$11,$B3960&lt;='111'!$O$11,OR($L3960=$O$7,$M3960=$O$7)),"x","")</f>
        <v/>
      </c>
      <c r="P3960" s="525" t="str">
        <f>IF(AND($L3960=$O$7,$B3960&lt;'111'!$N$11),"x","")</f>
        <v/>
      </c>
      <c r="Q3960" s="525" t="str">
        <f>IF(AND($M3960=$O$7,$B3960&lt;'111'!$N$11),"x","")</f>
        <v/>
      </c>
      <c r="R3960" s="525" t="str">
        <f>IF(ISERROR(FIND('112'!$M$9,G3960,1)),"",IF((AND(FIND('112'!$M$9,G3960,1)&gt;=1,$B3960&gt;='112'!$N$8,$B3960&lt;='112'!$O$8,OR($L3960='112'!$I$6,$M3960='112'!$I$6))),"x",""))</f>
        <v/>
      </c>
      <c r="S3960" s="525" t="str">
        <f>IF(ISERROR(FIND('112'!$M$9,G3960,1)),"",IF((AND(LEFT(G3960,2)=LEFT('112'!$M$9,2),B3960&lt;'112'!$N$8,$L3960='112'!$I$6)),"x",""))</f>
        <v/>
      </c>
      <c r="T3960" s="525" t="str">
        <f>IF(ISERROR(FIND('112'!$M$9,G3960,1)),"",IF((AND(RIGHT(G3960,2)=RIGHT('112'!$M$9,2),B3960&lt;'112'!$N$8,$M3960='112'!$I$6)),"x",""))</f>
        <v/>
      </c>
      <c r="U3960" s="525" t="str">
        <f>IF(AND(B3960&gt;='IN-NX'!$P$3,B3960&lt;='IN-NX'!$Q$3,'IN-NX'!$D$7=D3960,OR(LEFT(L3960,2)="15",AND(LEFT(M3960,2)&lt;&gt;"15",LEFT(M3960,2)&lt;&gt;"33"))),"x","")</f>
        <v/>
      </c>
      <c r="V3960" s="525" t="str">
        <f>IF(AND(OR(LEFT(TH!L3960,2)="15",LEFT(TH!M3960,2)="15"),'152-CT'!$J$8=TH!F3960),"x","")</f>
        <v/>
      </c>
      <c r="W3960" s="525" t="str">
        <f>IF(AND(OR(LEFT(TH!L3960,2)="15",LEFT(TH!M3960,2)="15"),TK!$E$7=TH!F3960),"x","")</f>
        <v/>
      </c>
      <c r="X3960" s="525" t="str">
        <f>IF(AND('341-CT'!$E$9=H3960,OR(LEFT(L3960,3)=$X$7,LEFT(M3960,3)=$X$7)),"x","")</f>
        <v/>
      </c>
      <c r="Y3960" s="525" t="str">
        <f>IF(OR(TH!L3960=TH!$Y$7,M3960=TH!$Y$7),"x","")</f>
        <v/>
      </c>
      <c r="Z3960" s="525" t="str">
        <f>IF(AND(B3960&lt;=NKC!$N$8,B3960&gt;=NKC!$M$8),"x","")</f>
        <v/>
      </c>
      <c r="AA3960" s="535">
        <v>3</v>
      </c>
      <c r="AB3960" s="536"/>
    </row>
    <row r="3961" spans="1:29" s="503" customFormat="1" ht="15.75" customHeight="1">
      <c r="A3961" s="517" t="str">
        <f>IF(B3961&lt;&gt;"",IF(AND(B3961&gt;=_TM1,B3961&lt;=_TM2,OR(TH!L3961="1111",TH!M3961="1111")),TH!D3961,""),"")</f>
        <v/>
      </c>
      <c r="B3961" s="531">
        <f t="shared" si="467"/>
        <v>7</v>
      </c>
      <c r="C3961" s="315">
        <f t="shared" si="367"/>
        <v>42942</v>
      </c>
      <c r="D3961" s="315" t="s">
        <v>1180</v>
      </c>
      <c r="E3961" s="315">
        <v>42942</v>
      </c>
      <c r="F3961" s="249" t="s">
        <v>1382</v>
      </c>
      <c r="G3961" s="314" t="s">
        <v>1601</v>
      </c>
      <c r="H3961" s="473" t="s">
        <v>1501</v>
      </c>
      <c r="I3961" s="307">
        <v>650</v>
      </c>
      <c r="J3961" s="307">
        <v>26195</v>
      </c>
      <c r="K3961" s="532">
        <f t="shared" si="468"/>
        <v>17026750</v>
      </c>
      <c r="L3961" s="534" t="s">
        <v>292</v>
      </c>
      <c r="M3961" s="534" t="s">
        <v>8</v>
      </c>
      <c r="N3961" s="525" t="str">
        <f>IF(AND('331-CT'!$E$7=TH!H3961,OR(L3961="331",M3961="331")),"331",IF(AND(OR(L3961="131",M3961="131"),H3961='131-CT'!$E$7),"131",""))</f>
        <v/>
      </c>
      <c r="O3961" s="525" t="str">
        <f>IF(AND($B3961&gt;='111'!$N$11,$B3961&lt;='111'!$O$11,OR($L3961=$O$7,$M3961=$O$7)),"x","")</f>
        <v/>
      </c>
      <c r="P3961" s="525" t="str">
        <f>IF(AND($L3961=$O$7,$B3961&lt;'111'!$N$11),"x","")</f>
        <v/>
      </c>
      <c r="Q3961" s="525" t="str">
        <f>IF(AND($M3961=$O$7,$B3961&lt;'111'!$N$11),"x","")</f>
        <v/>
      </c>
      <c r="R3961" s="525" t="str">
        <f>IF(ISERROR(FIND('112'!$M$9,G3961,1)),"",IF((AND(FIND('112'!$M$9,G3961,1)&gt;=1,$B3961&gt;='112'!$N$8,$B3961&lt;='112'!$O$8,OR($L3961='112'!$I$6,$M3961='112'!$I$6))),"x",""))</f>
        <v/>
      </c>
      <c r="S3961" s="525" t="str">
        <f>IF(ISERROR(FIND('112'!$M$9,G3961,1)),"",IF((AND(LEFT(G3961,2)=LEFT('112'!$M$9,2),B3961&lt;'112'!$N$8,$L3961='112'!$I$6)),"x",""))</f>
        <v/>
      </c>
      <c r="T3961" s="525" t="str">
        <f>IF(ISERROR(FIND('112'!$M$9,G3961,1)),"",IF((AND(RIGHT(G3961,2)=RIGHT('112'!$M$9,2),B3961&lt;'112'!$N$8,$M3961='112'!$I$6)),"x",""))</f>
        <v/>
      </c>
      <c r="U3961" s="525" t="str">
        <f>IF(AND(B3961&gt;='IN-NX'!$P$3,B3961&lt;='IN-NX'!$Q$3,'IN-NX'!$D$7=D3961,OR(LEFT(L3961,2)="15",AND(LEFT(M3961,2)&lt;&gt;"15",LEFT(M3961,2)&lt;&gt;"33"))),"x","")</f>
        <v/>
      </c>
      <c r="V3961" s="525" t="str">
        <f>IF(AND(OR(LEFT(TH!L3961,2)="15",LEFT(TH!M3961,2)="15"),'152-CT'!$J$8=TH!F3961),"x","")</f>
        <v/>
      </c>
      <c r="W3961" s="525" t="str">
        <f>IF(AND(OR(LEFT(TH!L3961,2)="15",LEFT(TH!M3961,2)="15"),TK!$E$7=TH!F3961),"x","")</f>
        <v/>
      </c>
      <c r="X3961" s="525" t="str">
        <f>IF(AND('341-CT'!$E$9=H3961,OR(LEFT(L3961,3)=$X$7,LEFT(M3961,3)=$X$7)),"x","")</f>
        <v/>
      </c>
      <c r="Y3961" s="525" t="str">
        <f>IF(OR(TH!L3961=TH!$Y$7,M3961=TH!$Y$7),"x","")</f>
        <v/>
      </c>
      <c r="Z3961" s="525" t="str">
        <f>IF(AND(B3961&lt;=NKC!$N$8,B3961&gt;=NKC!$M$8),"x","")</f>
        <v/>
      </c>
      <c r="AA3961" s="535">
        <v>3</v>
      </c>
      <c r="AB3961" s="536"/>
      <c r="AC3961" s="536" t="str">
        <f>VLOOKUP(F3961,NXT!$B$12:$B$686,1,0)</f>
        <v>Giấy tấm 1650x1800</v>
      </c>
    </row>
    <row r="3962" spans="1:29" s="503" customFormat="1" ht="15.75" customHeight="1">
      <c r="A3962" s="517" t="str">
        <f>IF(B3962&lt;&gt;"",IF(AND(B3962&gt;=_TM1,B3962&lt;=_TM2,OR(TH!L3962="1111",TH!M3962="1111")),TH!D3962,""),"")</f>
        <v/>
      </c>
      <c r="B3962" s="531">
        <f t="shared" si="467"/>
        <v>7</v>
      </c>
      <c r="C3962" s="315">
        <f t="shared" si="367"/>
        <v>42942</v>
      </c>
      <c r="D3962" s="315" t="s">
        <v>1180</v>
      </c>
      <c r="E3962" s="315">
        <v>42942</v>
      </c>
      <c r="F3962" s="249" t="s">
        <v>1381</v>
      </c>
      <c r="G3962" s="314" t="s">
        <v>1601</v>
      </c>
      <c r="H3962" s="473" t="s">
        <v>1501</v>
      </c>
      <c r="I3962" s="307">
        <v>900</v>
      </c>
      <c r="J3962" s="307">
        <v>18346</v>
      </c>
      <c r="K3962" s="532">
        <f t="shared" si="468"/>
        <v>16511400</v>
      </c>
      <c r="L3962" s="534" t="s">
        <v>292</v>
      </c>
      <c r="M3962" s="534" t="s">
        <v>8</v>
      </c>
      <c r="N3962" s="525" t="str">
        <f>IF(AND('331-CT'!$E$7=TH!H3962,OR(L3962="331",M3962="331")),"331",IF(AND(OR(L3962="131",M3962="131"),H3962='131-CT'!$E$7),"131",""))</f>
        <v/>
      </c>
      <c r="O3962" s="525" t="str">
        <f>IF(AND($B3962&gt;='111'!$N$11,$B3962&lt;='111'!$O$11,OR($L3962=$O$7,$M3962=$O$7)),"x","")</f>
        <v/>
      </c>
      <c r="P3962" s="525" t="str">
        <f>IF(AND($L3962=$O$7,$B3962&lt;'111'!$N$11),"x","")</f>
        <v/>
      </c>
      <c r="Q3962" s="525" t="str">
        <f>IF(AND($M3962=$O$7,$B3962&lt;'111'!$N$11),"x","")</f>
        <v/>
      </c>
      <c r="R3962" s="525" t="str">
        <f>IF(ISERROR(FIND('112'!$M$9,G3962,1)),"",IF((AND(FIND('112'!$M$9,G3962,1)&gt;=1,$B3962&gt;='112'!$N$8,$B3962&lt;='112'!$O$8,OR($L3962='112'!$I$6,$M3962='112'!$I$6))),"x",""))</f>
        <v/>
      </c>
      <c r="S3962" s="525" t="str">
        <f>IF(ISERROR(FIND('112'!$M$9,G3962,1)),"",IF((AND(LEFT(G3962,2)=LEFT('112'!$M$9,2),B3962&lt;'112'!$N$8,$L3962='112'!$I$6)),"x",""))</f>
        <v/>
      </c>
      <c r="T3962" s="525" t="str">
        <f>IF(ISERROR(FIND('112'!$M$9,G3962,1)),"",IF((AND(RIGHT(G3962,2)=RIGHT('112'!$M$9,2),B3962&lt;'112'!$N$8,$M3962='112'!$I$6)),"x",""))</f>
        <v/>
      </c>
      <c r="U3962" s="525" t="str">
        <f>IF(AND(B3962&gt;='IN-NX'!$P$3,B3962&lt;='IN-NX'!$Q$3,'IN-NX'!$D$7=D3962,OR(LEFT(L3962,2)="15",AND(LEFT(M3962,2)&lt;&gt;"15",LEFT(M3962,2)&lt;&gt;"33"))),"x","")</f>
        <v/>
      </c>
      <c r="V3962" s="525" t="str">
        <f>IF(AND(OR(LEFT(TH!L3962,2)="15",LEFT(TH!M3962,2)="15"),'152-CT'!$J$8=TH!F3962),"x","")</f>
        <v/>
      </c>
      <c r="W3962" s="525" t="str">
        <f>IF(AND(OR(LEFT(TH!L3962,2)="15",LEFT(TH!M3962,2)="15"),TK!$E$7=TH!F3962),"x","")</f>
        <v/>
      </c>
      <c r="X3962" s="525" t="str">
        <f>IF(AND('341-CT'!$E$9=H3962,OR(LEFT(L3962,3)=$X$7,LEFT(M3962,3)=$X$7)),"x","")</f>
        <v/>
      </c>
      <c r="Y3962" s="525" t="str">
        <f>IF(OR(TH!L3962=TH!$Y$7,M3962=TH!$Y$7),"x","")</f>
        <v/>
      </c>
      <c r="Z3962" s="525" t="str">
        <f>IF(AND(B3962&lt;=NKC!$N$8,B3962&gt;=NKC!$M$8),"x","")</f>
        <v/>
      </c>
      <c r="AA3962" s="535">
        <v>3</v>
      </c>
      <c r="AB3962" s="536"/>
      <c r="AC3962" s="536" t="str">
        <f>VLOOKUP(F3962,NXT!$B$12:$B$686,1,0)</f>
        <v>Giấy tấm 1300x1600</v>
      </c>
    </row>
    <row r="3963" spans="1:29" s="503" customFormat="1" ht="15.75" customHeight="1">
      <c r="A3963" s="517" t="str">
        <f>IF(B3963&lt;&gt;"",IF(AND(B3963&gt;=_TM1,B3963&lt;=_TM2,OR(TH!L3963="1111",TH!M3963="1111")),TH!D3963,""),"")</f>
        <v/>
      </c>
      <c r="B3963" s="531">
        <f t="shared" si="467"/>
        <v>7</v>
      </c>
      <c r="C3963" s="315">
        <f t="shared" si="367"/>
        <v>42942</v>
      </c>
      <c r="D3963" s="315" t="s">
        <v>1180</v>
      </c>
      <c r="E3963" s="315">
        <v>42942</v>
      </c>
      <c r="F3963" s="249" t="s">
        <v>1320</v>
      </c>
      <c r="G3963" s="314" t="s">
        <v>1601</v>
      </c>
      <c r="H3963" s="473" t="s">
        <v>1501</v>
      </c>
      <c r="I3963" s="307"/>
      <c r="J3963" s="307"/>
      <c r="K3963" s="532">
        <v>3353815</v>
      </c>
      <c r="L3963" s="534" t="s">
        <v>9</v>
      </c>
      <c r="M3963" s="534" t="s">
        <v>8</v>
      </c>
      <c r="N3963" s="525" t="str">
        <f>IF(AND('331-CT'!$E$7=TH!H3963,OR(L3963="331",M3963="331")),"331",IF(AND(OR(L3963="131",M3963="131"),H3963='131-CT'!$E$7),"131",""))</f>
        <v/>
      </c>
      <c r="O3963" s="525" t="str">
        <f>IF(AND($B3963&gt;='111'!$N$11,$B3963&lt;='111'!$O$11,OR($L3963=$O$7,$M3963=$O$7)),"x","")</f>
        <v/>
      </c>
      <c r="P3963" s="525" t="str">
        <f>IF(AND($L3963=$O$7,$B3963&lt;'111'!$N$11),"x","")</f>
        <v/>
      </c>
      <c r="Q3963" s="525" t="str">
        <f>IF(AND($M3963=$O$7,$B3963&lt;'111'!$N$11),"x","")</f>
        <v/>
      </c>
      <c r="R3963" s="525" t="str">
        <f>IF(ISERROR(FIND('112'!$M$9,G3963,1)),"",IF((AND(FIND('112'!$M$9,G3963,1)&gt;=1,$B3963&gt;='112'!$N$8,$B3963&lt;='112'!$O$8,OR($L3963='112'!$I$6,$M3963='112'!$I$6))),"x",""))</f>
        <v/>
      </c>
      <c r="S3963" s="525" t="str">
        <f>IF(ISERROR(FIND('112'!$M$9,G3963,1)),"",IF((AND(LEFT(G3963,2)=LEFT('112'!$M$9,2),B3963&lt;'112'!$N$8,$L3963='112'!$I$6)),"x",""))</f>
        <v/>
      </c>
      <c r="T3963" s="525" t="str">
        <f>IF(ISERROR(FIND('112'!$M$9,G3963,1)),"",IF((AND(RIGHT(G3963,2)=RIGHT('112'!$M$9,2),B3963&lt;'112'!$N$8,$M3963='112'!$I$6)),"x",""))</f>
        <v/>
      </c>
      <c r="U3963" s="525" t="str">
        <f>IF(AND(B3963&gt;='IN-NX'!$P$3,B3963&lt;='IN-NX'!$Q$3,'IN-NX'!$D$7=D3963,OR(LEFT(L3963,2)="15",AND(LEFT(M3963,2)&lt;&gt;"15",LEFT(M3963,2)&lt;&gt;"33"))),"x","")</f>
        <v/>
      </c>
      <c r="V3963" s="525" t="str">
        <f>IF(AND(OR(LEFT(TH!L3963,2)="15",LEFT(TH!M3963,2)="15"),'152-CT'!$J$8=TH!F3963),"x","")</f>
        <v/>
      </c>
      <c r="W3963" s="525" t="str">
        <f>IF(AND(OR(LEFT(TH!L3963,2)="15",LEFT(TH!M3963,2)="15"),TK!$E$7=TH!F3963),"x","")</f>
        <v/>
      </c>
      <c r="X3963" s="525" t="str">
        <f>IF(AND('341-CT'!$E$9=H3963,OR(LEFT(L3963,3)=$X$7,LEFT(M3963,3)=$X$7)),"x","")</f>
        <v/>
      </c>
      <c r="Y3963" s="525" t="str">
        <f>IF(OR(TH!L3963=TH!$Y$7,M3963=TH!$Y$7),"x","")</f>
        <v/>
      </c>
      <c r="Z3963" s="525" t="str">
        <f>IF(AND(B3963&lt;=NKC!$N$8,B3963&gt;=NKC!$M$8),"x","")</f>
        <v/>
      </c>
      <c r="AA3963" s="535">
        <v>3</v>
      </c>
      <c r="AB3963" s="536"/>
    </row>
    <row r="3964" spans="1:29" s="503" customFormat="1" ht="15.75" customHeight="1">
      <c r="A3964" s="517" t="str">
        <f>IF(B3964&lt;&gt;"",IF(AND(B3964&gt;=_TM1,B3964&lt;=_TM2,OR(TH!L3964="1111",TH!M3964="1111")),TH!D3964,""),"")</f>
        <v/>
      </c>
      <c r="B3964" s="531">
        <f t="shared" si="467"/>
        <v>8</v>
      </c>
      <c r="C3964" s="315">
        <f t="shared" si="367"/>
        <v>42949</v>
      </c>
      <c r="D3964" s="315" t="s">
        <v>1180</v>
      </c>
      <c r="E3964" s="315">
        <v>42949</v>
      </c>
      <c r="F3964" s="249" t="s">
        <v>1397</v>
      </c>
      <c r="G3964" s="314" t="s">
        <v>1609</v>
      </c>
      <c r="H3964" s="473" t="s">
        <v>1501</v>
      </c>
      <c r="I3964" s="307">
        <v>240</v>
      </c>
      <c r="J3964" s="307">
        <v>47040</v>
      </c>
      <c r="K3964" s="532">
        <f t="shared" ref="K3964:K3969" si="479">ROUND(I3964*J3964,0)</f>
        <v>11289600</v>
      </c>
      <c r="L3964" s="534" t="s">
        <v>292</v>
      </c>
      <c r="M3964" s="534" t="s">
        <v>8</v>
      </c>
      <c r="N3964" s="525" t="str">
        <f>IF(AND('331-CT'!$E$7=TH!H3964,OR(L3964="331",M3964="331")),"331",IF(AND(OR(L3964="131",M3964="131"),H3964='131-CT'!$E$7),"131",""))</f>
        <v/>
      </c>
      <c r="O3964" s="525" t="str">
        <f>IF(AND($B3964&gt;='111'!$N$11,$B3964&lt;='111'!$O$11,OR($L3964=$O$7,$M3964=$O$7)),"x","")</f>
        <v/>
      </c>
      <c r="P3964" s="525" t="str">
        <f>IF(AND($L3964=$O$7,$B3964&lt;'111'!$N$11),"x","")</f>
        <v/>
      </c>
      <c r="Q3964" s="525" t="str">
        <f>IF(AND($M3964=$O$7,$B3964&lt;'111'!$N$11),"x","")</f>
        <v/>
      </c>
      <c r="R3964" s="525" t="str">
        <f>IF(ISERROR(FIND('112'!$M$9,G3964,1)),"",IF((AND(FIND('112'!$M$9,G3964,1)&gt;=1,$B3964&gt;='112'!$N$8,$B3964&lt;='112'!$O$8,OR($L3964='112'!$I$6,$M3964='112'!$I$6))),"x",""))</f>
        <v/>
      </c>
      <c r="S3964" s="525" t="str">
        <f>IF(ISERROR(FIND('112'!$M$9,G3964,1)),"",IF((AND(LEFT(G3964,2)=LEFT('112'!$M$9,2),B3964&lt;'112'!$N$8,$L3964='112'!$I$6)),"x",""))</f>
        <v/>
      </c>
      <c r="T3964" s="525" t="str">
        <f>IF(ISERROR(FIND('112'!$M$9,G3964,1)),"",IF((AND(RIGHT(G3964,2)=RIGHT('112'!$M$9,2),B3964&lt;'112'!$N$8,$M3964='112'!$I$6)),"x",""))</f>
        <v/>
      </c>
      <c r="U3964" s="525" t="str">
        <f>IF(AND(B3964&gt;='IN-NX'!$P$3,B3964&lt;='IN-NX'!$Q$3,'IN-NX'!$D$7=D3964,OR(LEFT(L3964,2)="15",AND(LEFT(M3964,2)&lt;&gt;"15",LEFT(M3964,2)&lt;&gt;"33"))),"x","")</f>
        <v/>
      </c>
      <c r="V3964" s="525" t="str">
        <f>IF(AND(OR(LEFT(TH!L3964,2)="15",LEFT(TH!M3964,2)="15"),'152-CT'!$J$8=TH!F3964),"x","")</f>
        <v/>
      </c>
      <c r="W3964" s="525" t="str">
        <f>IF(AND(OR(LEFT(TH!L3964,2)="15",LEFT(TH!M3964,2)="15"),TK!$E$7=TH!F3964),"x","")</f>
        <v/>
      </c>
      <c r="X3964" s="525" t="str">
        <f>IF(AND('341-CT'!$E$9=H3964,OR(LEFT(L3964,3)=$X$7,LEFT(M3964,3)=$X$7)),"x","")</f>
        <v/>
      </c>
      <c r="Y3964" s="525" t="str">
        <f>IF(OR(TH!L3964=TH!$Y$7,M3964=TH!$Y$7),"x","")</f>
        <v/>
      </c>
      <c r="Z3964" s="525" t="str">
        <f>IF(AND(B3964&lt;=NKC!$N$8,B3964&gt;=NKC!$M$8),"x","")</f>
        <v/>
      </c>
      <c r="AA3964" s="535">
        <v>3</v>
      </c>
      <c r="AB3964" s="536"/>
      <c r="AC3964" s="536" t="str">
        <f>VLOOKUP(F3964,NXT!$B$12:$B$686,1,0)</f>
        <v>Thùng 100x121x4</v>
      </c>
    </row>
    <row r="3965" spans="1:29" s="503" customFormat="1" ht="15.75" customHeight="1">
      <c r="A3965" s="517" t="str">
        <f>IF(B3965&lt;&gt;"",IF(AND(B3965&gt;=_TM1,B3965&lt;=_TM2,OR(TH!L3965="1111",TH!M3965="1111")),TH!D3965,""),"")</f>
        <v/>
      </c>
      <c r="B3965" s="531">
        <f t="shared" si="467"/>
        <v>8</v>
      </c>
      <c r="C3965" s="315">
        <f t="shared" si="367"/>
        <v>42949</v>
      </c>
      <c r="D3965" s="315" t="s">
        <v>1180</v>
      </c>
      <c r="E3965" s="315">
        <v>42949</v>
      </c>
      <c r="F3965" s="249" t="s">
        <v>1398</v>
      </c>
      <c r="G3965" s="314" t="s">
        <v>1609</v>
      </c>
      <c r="H3965" s="473" t="s">
        <v>1501</v>
      </c>
      <c r="I3965" s="307">
        <v>360</v>
      </c>
      <c r="J3965" s="307">
        <v>4606</v>
      </c>
      <c r="K3965" s="532">
        <f t="shared" si="479"/>
        <v>1658160</v>
      </c>
      <c r="L3965" s="534" t="s">
        <v>292</v>
      </c>
      <c r="M3965" s="534" t="s">
        <v>8</v>
      </c>
      <c r="N3965" s="525" t="str">
        <f>IF(AND('331-CT'!$E$7=TH!H3965,OR(L3965="331",M3965="331")),"331",IF(AND(OR(L3965="131",M3965="131"),H3965='131-CT'!$E$7),"131",""))</f>
        <v/>
      </c>
      <c r="O3965" s="525" t="str">
        <f>IF(AND($B3965&gt;='111'!$N$11,$B3965&lt;='111'!$O$11,OR($L3965=$O$7,$M3965=$O$7)),"x","")</f>
        <v/>
      </c>
      <c r="P3965" s="525" t="str">
        <f>IF(AND($L3965=$O$7,$B3965&lt;'111'!$N$11),"x","")</f>
        <v/>
      </c>
      <c r="Q3965" s="525" t="str">
        <f>IF(AND($M3965=$O$7,$B3965&lt;'111'!$N$11),"x","")</f>
        <v/>
      </c>
      <c r="R3965" s="525" t="str">
        <f>IF(ISERROR(FIND('112'!$M$9,G3965,1)),"",IF((AND(FIND('112'!$M$9,G3965,1)&gt;=1,$B3965&gt;='112'!$N$8,$B3965&lt;='112'!$O$8,OR($L3965='112'!$I$6,$M3965='112'!$I$6))),"x",""))</f>
        <v/>
      </c>
      <c r="S3965" s="525" t="str">
        <f>IF(ISERROR(FIND('112'!$M$9,G3965,1)),"",IF((AND(LEFT(G3965,2)=LEFT('112'!$M$9,2),B3965&lt;'112'!$N$8,$L3965='112'!$I$6)),"x",""))</f>
        <v/>
      </c>
      <c r="T3965" s="525" t="str">
        <f>IF(ISERROR(FIND('112'!$M$9,G3965,1)),"",IF((AND(RIGHT(G3965,2)=RIGHT('112'!$M$9,2),B3965&lt;'112'!$N$8,$M3965='112'!$I$6)),"x",""))</f>
        <v/>
      </c>
      <c r="U3965" s="525" t="str">
        <f>IF(AND(B3965&gt;='IN-NX'!$P$3,B3965&lt;='IN-NX'!$Q$3,'IN-NX'!$D$7=D3965,OR(LEFT(L3965,2)="15",AND(LEFT(M3965,2)&lt;&gt;"15",LEFT(M3965,2)&lt;&gt;"33"))),"x","")</f>
        <v/>
      </c>
      <c r="V3965" s="525" t="str">
        <f>IF(AND(OR(LEFT(TH!L3965,2)="15",LEFT(TH!M3965,2)="15"),'152-CT'!$J$8=TH!F3965),"x","")</f>
        <v/>
      </c>
      <c r="W3965" s="525" t="str">
        <f>IF(AND(OR(LEFT(TH!L3965,2)="15",LEFT(TH!M3965,2)="15"),TK!$E$7=TH!F3965),"x","")</f>
        <v/>
      </c>
      <c r="X3965" s="525" t="str">
        <f>IF(AND('341-CT'!$E$9=H3965,OR(LEFT(L3965,3)=$X$7,LEFT(M3965,3)=$X$7)),"x","")</f>
        <v/>
      </c>
      <c r="Y3965" s="525" t="str">
        <f>IF(OR(TH!L3965=TH!$Y$7,M3965=TH!$Y$7),"x","")</f>
        <v/>
      </c>
      <c r="Z3965" s="525" t="str">
        <f>IF(AND(B3965&lt;=NKC!$N$8,B3965&gt;=NKC!$M$8),"x","")</f>
        <v/>
      </c>
      <c r="AA3965" s="535">
        <v>3</v>
      </c>
      <c r="AB3965" s="536"/>
      <c r="AC3965" s="536" t="str">
        <f>VLOOKUP(F3965,NXT!$B$12:$B$686,1,0)</f>
        <v>Thùng 100x12x4</v>
      </c>
    </row>
    <row r="3966" spans="1:29" s="503" customFormat="1" ht="15.75" customHeight="1">
      <c r="A3966" s="517" t="str">
        <f>IF(B3966&lt;&gt;"",IF(AND(B3966&gt;=_TM1,B3966&lt;=_TM2,OR(TH!L3966="1111",TH!M3966="1111")),TH!D3966,""),"")</f>
        <v/>
      </c>
      <c r="B3966" s="531">
        <f t="shared" si="467"/>
        <v>8</v>
      </c>
      <c r="C3966" s="315">
        <f t="shared" si="367"/>
        <v>42949</v>
      </c>
      <c r="D3966" s="315" t="s">
        <v>1180</v>
      </c>
      <c r="E3966" s="315">
        <v>42949</v>
      </c>
      <c r="F3966" s="249" t="s">
        <v>1399</v>
      </c>
      <c r="G3966" s="314" t="s">
        <v>1609</v>
      </c>
      <c r="H3966" s="473" t="s">
        <v>1501</v>
      </c>
      <c r="I3966" s="307">
        <v>360</v>
      </c>
      <c r="J3966" s="307">
        <v>5586</v>
      </c>
      <c r="K3966" s="532">
        <f t="shared" si="479"/>
        <v>2010960</v>
      </c>
      <c r="L3966" s="534" t="s">
        <v>292</v>
      </c>
      <c r="M3966" s="534" t="s">
        <v>8</v>
      </c>
      <c r="N3966" s="525" t="str">
        <f>IF(AND('331-CT'!$E$7=TH!H3966,OR(L3966="331",M3966="331")),"331",IF(AND(OR(L3966="131",M3966="131"),H3966='131-CT'!$E$7),"131",""))</f>
        <v/>
      </c>
      <c r="O3966" s="525" t="str">
        <f>IF(AND($B3966&gt;='111'!$N$11,$B3966&lt;='111'!$O$11,OR($L3966=$O$7,$M3966=$O$7)),"x","")</f>
        <v/>
      </c>
      <c r="P3966" s="525" t="str">
        <f>IF(AND($L3966=$O$7,$B3966&lt;'111'!$N$11),"x","")</f>
        <v/>
      </c>
      <c r="Q3966" s="525" t="str">
        <f>IF(AND($M3966=$O$7,$B3966&lt;'111'!$N$11),"x","")</f>
        <v/>
      </c>
      <c r="R3966" s="525" t="str">
        <f>IF(ISERROR(FIND('112'!$M$9,G3966,1)),"",IF((AND(FIND('112'!$M$9,G3966,1)&gt;=1,$B3966&gt;='112'!$N$8,$B3966&lt;='112'!$O$8,OR($L3966='112'!$I$6,$M3966='112'!$I$6))),"x",""))</f>
        <v/>
      </c>
      <c r="S3966" s="525" t="str">
        <f>IF(ISERROR(FIND('112'!$M$9,G3966,1)),"",IF((AND(LEFT(G3966,2)=LEFT('112'!$M$9,2),B3966&lt;'112'!$N$8,$L3966='112'!$I$6)),"x",""))</f>
        <v/>
      </c>
      <c r="T3966" s="525" t="str">
        <f>IF(ISERROR(FIND('112'!$M$9,G3966,1)),"",IF((AND(RIGHT(G3966,2)=RIGHT('112'!$M$9,2),B3966&lt;'112'!$N$8,$M3966='112'!$I$6)),"x",""))</f>
        <v/>
      </c>
      <c r="U3966" s="525" t="str">
        <f>IF(AND(B3966&gt;='IN-NX'!$P$3,B3966&lt;='IN-NX'!$Q$3,'IN-NX'!$D$7=D3966,OR(LEFT(L3966,2)="15",AND(LEFT(M3966,2)&lt;&gt;"15",LEFT(M3966,2)&lt;&gt;"33"))),"x","")</f>
        <v/>
      </c>
      <c r="V3966" s="525" t="str">
        <f>IF(AND(OR(LEFT(TH!L3966,2)="15",LEFT(TH!M3966,2)="15"),'152-CT'!$J$8=TH!F3966),"x","")</f>
        <v/>
      </c>
      <c r="W3966" s="525" t="str">
        <f>IF(AND(OR(LEFT(TH!L3966,2)="15",LEFT(TH!M3966,2)="15"),TK!$E$7=TH!F3966),"x","")</f>
        <v/>
      </c>
      <c r="X3966" s="525" t="str">
        <f>IF(AND('341-CT'!$E$9=H3966,OR(LEFT(L3966,3)=$X$7,LEFT(M3966,3)=$X$7)),"x","")</f>
        <v/>
      </c>
      <c r="Y3966" s="525" t="str">
        <f>IF(OR(TH!L3966=TH!$Y$7,M3966=TH!$Y$7),"x","")</f>
        <v/>
      </c>
      <c r="Z3966" s="525" t="str">
        <f>IF(AND(B3966&lt;=NKC!$N$8,B3966&gt;=NKC!$M$8),"x","")</f>
        <v/>
      </c>
      <c r="AA3966" s="535">
        <v>3</v>
      </c>
      <c r="AB3966" s="536"/>
      <c r="AC3966" s="536" t="str">
        <f>VLOOKUP(F3966,NXT!$B$12:$B$686,1,0)</f>
        <v>Thùng 120x12x4</v>
      </c>
    </row>
    <row r="3967" spans="1:29" s="503" customFormat="1" ht="15.75" customHeight="1">
      <c r="A3967" s="517" t="str">
        <f>IF(B3967&lt;&gt;"",IF(AND(B3967&gt;=_TM1,B3967&lt;=_TM2,OR(TH!L3967="1111",TH!M3967="1111")),TH!D3967,""),"")</f>
        <v/>
      </c>
      <c r="B3967" s="531">
        <f t="shared" si="467"/>
        <v>8</v>
      </c>
      <c r="C3967" s="315">
        <f t="shared" si="367"/>
        <v>42949</v>
      </c>
      <c r="D3967" s="315" t="s">
        <v>1180</v>
      </c>
      <c r="E3967" s="315">
        <v>42949</v>
      </c>
      <c r="F3967" s="250" t="s">
        <v>380</v>
      </c>
      <c r="G3967" s="314" t="s">
        <v>1609</v>
      </c>
      <c r="H3967" s="473" t="s">
        <v>1501</v>
      </c>
      <c r="I3967" s="307">
        <f>4327+4318+4346</f>
        <v>12991</v>
      </c>
      <c r="J3967" s="307">
        <v>12250</v>
      </c>
      <c r="K3967" s="532">
        <f t="shared" si="479"/>
        <v>159139750</v>
      </c>
      <c r="L3967" s="534" t="s">
        <v>292</v>
      </c>
      <c r="M3967" s="534" t="s">
        <v>8</v>
      </c>
      <c r="N3967" s="525" t="str">
        <f>IF(AND('331-CT'!$E$7=TH!H3967,OR(L3967="331",M3967="331")),"331",IF(AND(OR(L3967="131",M3967="131"),H3967='131-CT'!$E$7),"131",""))</f>
        <v/>
      </c>
      <c r="O3967" s="525" t="str">
        <f>IF(AND($B3967&gt;='111'!$N$11,$B3967&lt;='111'!$O$11,OR($L3967=$O$7,$M3967=$O$7)),"x","")</f>
        <v/>
      </c>
      <c r="P3967" s="525" t="str">
        <f>IF(AND($L3967=$O$7,$B3967&lt;'111'!$N$11),"x","")</f>
        <v/>
      </c>
      <c r="Q3967" s="525" t="str">
        <f>IF(AND($M3967=$O$7,$B3967&lt;'111'!$N$11),"x","")</f>
        <v/>
      </c>
      <c r="R3967" s="525" t="str">
        <f>IF(ISERROR(FIND('112'!$M$9,G3967,1)),"",IF((AND(FIND('112'!$M$9,G3967,1)&gt;=1,$B3967&gt;='112'!$N$8,$B3967&lt;='112'!$O$8,OR($L3967='112'!$I$6,$M3967='112'!$I$6))),"x",""))</f>
        <v/>
      </c>
      <c r="S3967" s="525" t="str">
        <f>IF(ISERROR(FIND('112'!$M$9,G3967,1)),"",IF((AND(LEFT(G3967,2)=LEFT('112'!$M$9,2),B3967&lt;'112'!$N$8,$L3967='112'!$I$6)),"x",""))</f>
        <v/>
      </c>
      <c r="T3967" s="525" t="str">
        <f>IF(ISERROR(FIND('112'!$M$9,G3967,1)),"",IF((AND(RIGHT(G3967,2)=RIGHT('112'!$M$9,2),B3967&lt;'112'!$N$8,$M3967='112'!$I$6)),"x",""))</f>
        <v/>
      </c>
      <c r="U3967" s="525" t="str">
        <f>IF(AND(B3967&gt;='IN-NX'!$P$3,B3967&lt;='IN-NX'!$Q$3,'IN-NX'!$D$7=D3967,OR(LEFT(L3967,2)="15",AND(LEFT(M3967,2)&lt;&gt;"15",LEFT(M3967,2)&lt;&gt;"33"))),"x","")</f>
        <v/>
      </c>
      <c r="V3967" s="525" t="str">
        <f>IF(AND(OR(LEFT(TH!L3967,2)="15",LEFT(TH!M3967,2)="15"),'152-CT'!$J$8=TH!F3967),"x","")</f>
        <v/>
      </c>
      <c r="W3967" s="525" t="str">
        <f>IF(AND(OR(LEFT(TH!L3967,2)="15",LEFT(TH!M3967,2)="15"),TK!$E$7=TH!F3967),"x","")</f>
        <v/>
      </c>
      <c r="X3967" s="525" t="str">
        <f>IF(AND('341-CT'!$E$9=H3967,OR(LEFT(L3967,3)=$X$7,LEFT(M3967,3)=$X$7)),"x","")</f>
        <v/>
      </c>
      <c r="Y3967" s="525" t="str">
        <f>IF(OR(TH!L3967=TH!$Y$7,M3967=TH!$Y$7),"x","")</f>
        <v/>
      </c>
      <c r="Z3967" s="525" t="str">
        <f>IF(AND(B3967&lt;=NKC!$N$8,B3967&gt;=NKC!$M$8),"x","")</f>
        <v/>
      </c>
      <c r="AA3967" s="535">
        <v>3</v>
      </c>
      <c r="AB3967" s="536"/>
      <c r="AC3967" s="536" t="str">
        <f>VLOOKUP(F3967,NXT!$B$12:$B$686,1,0)</f>
        <v>Giấy cuộn</v>
      </c>
    </row>
    <row r="3968" spans="1:29" s="570" customFormat="1" ht="15.75" customHeight="1">
      <c r="A3968" s="823" t="str">
        <f>IF(B3968&lt;&gt;"",IF(AND(B3968&gt;=_TM1,B3968&lt;=_TM2,OR(TH!L3968="1111",TH!M3968="1111")),TH!D3968,""),"")</f>
        <v/>
      </c>
      <c r="B3968" s="562">
        <f t="shared" si="467"/>
        <v>8</v>
      </c>
      <c r="C3968" s="563">
        <f t="shared" si="367"/>
        <v>42949</v>
      </c>
      <c r="D3968" s="563" t="s">
        <v>1180</v>
      </c>
      <c r="E3968" s="563">
        <v>42949</v>
      </c>
      <c r="F3968" s="564" t="s">
        <v>1286</v>
      </c>
      <c r="G3968" s="565" t="s">
        <v>1609</v>
      </c>
      <c r="H3968" s="566" t="s">
        <v>1501</v>
      </c>
      <c r="I3968" s="567">
        <v>3370</v>
      </c>
      <c r="J3968" s="567">
        <v>12250</v>
      </c>
      <c r="K3968" s="568">
        <f t="shared" si="479"/>
        <v>41282500</v>
      </c>
      <c r="L3968" s="713" t="s">
        <v>292</v>
      </c>
      <c r="M3968" s="713" t="s">
        <v>8</v>
      </c>
      <c r="N3968" s="525" t="str">
        <f>IF(AND('331-CT'!$E$7=TH!H3968,OR(L3968="331",M3968="331")),"331",IF(AND(OR(L3968="131",M3968="131"),H3968='131-CT'!$E$7),"131",""))</f>
        <v/>
      </c>
      <c r="O3968" s="525" t="str">
        <f>IF(AND($B3968&gt;='111'!$N$11,$B3968&lt;='111'!$O$11,OR($L3968=$O$7,$M3968=$O$7)),"x","")</f>
        <v/>
      </c>
      <c r="P3968" s="525" t="str">
        <f>IF(AND($L3968=$O$7,$B3968&lt;'111'!$N$11),"x","")</f>
        <v/>
      </c>
      <c r="Q3968" s="525" t="str">
        <f>IF(AND($M3968=$O$7,$B3968&lt;'111'!$N$11),"x","")</f>
        <v/>
      </c>
      <c r="R3968" s="525" t="str">
        <f>IF(ISERROR(FIND('112'!$M$9,G3968,1)),"",IF((AND(FIND('112'!$M$9,G3968,1)&gt;=1,$B3968&gt;='112'!$N$8,$B3968&lt;='112'!$O$8,OR($L3968='112'!$I$6,$M3968='112'!$I$6))),"x",""))</f>
        <v/>
      </c>
      <c r="S3968" s="525" t="str">
        <f>IF(ISERROR(FIND('112'!$M$9,G3968,1)),"",IF((AND(LEFT(G3968,2)=LEFT('112'!$M$9,2),B3968&lt;'112'!$N$8,$L3968='112'!$I$6)),"x",""))</f>
        <v/>
      </c>
      <c r="T3968" s="525" t="str">
        <f>IF(ISERROR(FIND('112'!$M$9,G3968,1)),"",IF((AND(RIGHT(G3968,2)=RIGHT('112'!$M$9,2),B3968&lt;'112'!$N$8,$M3968='112'!$I$6)),"x",""))</f>
        <v/>
      </c>
      <c r="U3968" s="525" t="str">
        <f>IF(AND(B3968&gt;='IN-NX'!$P$3,B3968&lt;='IN-NX'!$Q$3,'IN-NX'!$D$7=D3968,OR(LEFT(L3968,2)="15",AND(LEFT(M3968,2)&lt;&gt;"15",LEFT(M3968,2)&lt;&gt;"33"))),"x","")</f>
        <v/>
      </c>
      <c r="V3968" s="525" t="str">
        <f>IF(AND(OR(LEFT(TH!L3968,2)="15",LEFT(TH!M3968,2)="15"),'152-CT'!$J$8=TH!F3968),"x","")</f>
        <v/>
      </c>
      <c r="W3968" s="525" t="str">
        <f>IF(AND(OR(LEFT(TH!L3968,2)="15",LEFT(TH!M3968,2)="15"),TK!$E$7=TH!F3968),"x","")</f>
        <v/>
      </c>
      <c r="X3968" s="525" t="str">
        <f>IF(AND('341-CT'!$E$9=H3968,OR(LEFT(L3968,3)=$X$7,LEFT(M3968,3)=$X$7)),"x","")</f>
        <v/>
      </c>
      <c r="Y3968" s="525" t="str">
        <f>IF(OR(TH!L3968=TH!$Y$7,M3968=TH!$Y$7),"x","")</f>
        <v/>
      </c>
      <c r="Z3968" s="525" t="str">
        <f>IF(AND(B3968&lt;=NKC!$N$8,B3968&gt;=NKC!$M$8),"x","")</f>
        <v/>
      </c>
      <c r="AA3968" s="569">
        <v>3</v>
      </c>
      <c r="AB3968" s="589"/>
      <c r="AC3968" s="589" t="str">
        <f>VLOOKUP(F3968,NXT!$B$12:$B$686,1,0)</f>
        <v xml:space="preserve">Thùng </v>
      </c>
    </row>
    <row r="3969" spans="1:29" s="503" customFormat="1" ht="15.75" customHeight="1">
      <c r="A3969" s="517" t="str">
        <f>IF(B3969&lt;&gt;"",IF(AND(B3969&gt;=_TM1,B3969&lt;=_TM2,OR(TH!L3969="1111",TH!M3969="1111")),TH!D3969,""),"")</f>
        <v/>
      </c>
      <c r="B3969" s="531">
        <f t="shared" si="467"/>
        <v>8</v>
      </c>
      <c r="C3969" s="315">
        <f t="shared" si="367"/>
        <v>42949</v>
      </c>
      <c r="D3969" s="315" t="s">
        <v>1180</v>
      </c>
      <c r="E3969" s="315">
        <v>42949</v>
      </c>
      <c r="F3969" s="249" t="s">
        <v>1132</v>
      </c>
      <c r="G3969" s="314" t="s">
        <v>1609</v>
      </c>
      <c r="H3969" s="473" t="s">
        <v>1501</v>
      </c>
      <c r="I3969" s="307">
        <v>700</v>
      </c>
      <c r="J3969" s="307">
        <v>33450</v>
      </c>
      <c r="K3969" s="532">
        <f t="shared" si="479"/>
        <v>23415000</v>
      </c>
      <c r="L3969" s="534" t="s">
        <v>292</v>
      </c>
      <c r="M3969" s="534" t="s">
        <v>8</v>
      </c>
      <c r="N3969" s="525" t="str">
        <f>IF(AND('331-CT'!$E$7=TH!H3969,OR(L3969="331",M3969="331")),"331",IF(AND(OR(L3969="131",M3969="131"),H3969='131-CT'!$E$7),"131",""))</f>
        <v/>
      </c>
      <c r="O3969" s="525" t="str">
        <f>IF(AND($B3969&gt;='111'!$N$11,$B3969&lt;='111'!$O$11,OR($L3969=$O$7,$M3969=$O$7)),"x","")</f>
        <v/>
      </c>
      <c r="P3969" s="525" t="str">
        <f>IF(AND($L3969=$O$7,$B3969&lt;'111'!$N$11),"x","")</f>
        <v/>
      </c>
      <c r="Q3969" s="525" t="str">
        <f>IF(AND($M3969=$O$7,$B3969&lt;'111'!$N$11),"x","")</f>
        <v/>
      </c>
      <c r="R3969" s="525" t="str">
        <f>IF(ISERROR(FIND('112'!$M$9,G3969,1)),"",IF((AND(FIND('112'!$M$9,G3969,1)&gt;=1,$B3969&gt;='112'!$N$8,$B3969&lt;='112'!$O$8,OR($L3969='112'!$I$6,$M3969='112'!$I$6))),"x",""))</f>
        <v/>
      </c>
      <c r="S3969" s="525" t="str">
        <f>IF(ISERROR(FIND('112'!$M$9,G3969,1)),"",IF((AND(LEFT(G3969,2)=LEFT('112'!$M$9,2),B3969&lt;'112'!$N$8,$L3969='112'!$I$6)),"x",""))</f>
        <v/>
      </c>
      <c r="T3969" s="525" t="str">
        <f>IF(ISERROR(FIND('112'!$M$9,G3969,1)),"",IF((AND(RIGHT(G3969,2)=RIGHT('112'!$M$9,2),B3969&lt;'112'!$N$8,$M3969='112'!$I$6)),"x",""))</f>
        <v/>
      </c>
      <c r="U3969" s="525" t="str">
        <f>IF(AND(B3969&gt;='IN-NX'!$P$3,B3969&lt;='IN-NX'!$Q$3,'IN-NX'!$D$7=D3969,OR(LEFT(L3969,2)="15",AND(LEFT(M3969,2)&lt;&gt;"15",LEFT(M3969,2)&lt;&gt;"33"))),"x","")</f>
        <v/>
      </c>
      <c r="V3969" s="525" t="str">
        <f>IF(AND(OR(LEFT(TH!L3969,2)="15",LEFT(TH!M3969,2)="15"),'152-CT'!$J$8=TH!F3969),"x","")</f>
        <v/>
      </c>
      <c r="W3969" s="525" t="str">
        <f>IF(AND(OR(LEFT(TH!L3969,2)="15",LEFT(TH!M3969,2)="15"),TK!$E$7=TH!F3969),"x","")</f>
        <v/>
      </c>
      <c r="X3969" s="525" t="str">
        <f>IF(AND('341-CT'!$E$9=H3969,OR(LEFT(L3969,3)=$X$7,LEFT(M3969,3)=$X$7)),"x","")</f>
        <v/>
      </c>
      <c r="Y3969" s="525" t="str">
        <f>IF(OR(TH!L3969=TH!$Y$7,M3969=TH!$Y$7),"x","")</f>
        <v/>
      </c>
      <c r="Z3969" s="525" t="str">
        <f>IF(AND(B3969&lt;=NKC!$N$8,B3969&gt;=NKC!$M$8),"x","")</f>
        <v/>
      </c>
      <c r="AA3969" s="535">
        <v>3</v>
      </c>
      <c r="AB3969" s="536"/>
      <c r="AC3969" s="536" t="str">
        <f>VLOOKUP(F3969,NXT!$B$12:$B$686,1,0)</f>
        <v>Giấy tấm 140x270</v>
      </c>
    </row>
    <row r="3970" spans="1:29" s="503" customFormat="1" ht="15.75" customHeight="1">
      <c r="A3970" s="517" t="str">
        <f>IF(B3970&lt;&gt;"",IF(AND(B3970&gt;=_TM1,B3970&lt;=_TM2,OR(TH!L3970="1111",TH!M3970="1111")),TH!D3970,""),"")</f>
        <v/>
      </c>
      <c r="B3970" s="531">
        <f t="shared" si="467"/>
        <v>8</v>
      </c>
      <c r="C3970" s="315">
        <f t="shared" si="367"/>
        <v>42949</v>
      </c>
      <c r="D3970" s="315" t="s">
        <v>1180</v>
      </c>
      <c r="E3970" s="315">
        <v>42949</v>
      </c>
      <c r="F3970" s="249" t="s">
        <v>494</v>
      </c>
      <c r="G3970" s="314" t="s">
        <v>1609</v>
      </c>
      <c r="H3970" s="473" t="s">
        <v>1501</v>
      </c>
      <c r="I3970" s="307"/>
      <c r="J3970" s="307"/>
      <c r="K3970" s="532">
        <v>23879597</v>
      </c>
      <c r="L3970" s="534" t="s">
        <v>9</v>
      </c>
      <c r="M3970" s="534" t="s">
        <v>8</v>
      </c>
      <c r="N3970" s="525" t="str">
        <f>IF(AND('331-CT'!$E$7=TH!H3970,OR(L3970="331",M3970="331")),"331",IF(AND(OR(L3970="131",M3970="131"),H3970='131-CT'!$E$7),"131",""))</f>
        <v/>
      </c>
      <c r="O3970" s="525" t="str">
        <f>IF(AND($B3970&gt;='111'!$N$11,$B3970&lt;='111'!$O$11,OR($L3970=$O$7,$M3970=$O$7)),"x","")</f>
        <v/>
      </c>
      <c r="P3970" s="525" t="str">
        <f>IF(AND($L3970=$O$7,$B3970&lt;'111'!$N$11),"x","")</f>
        <v/>
      </c>
      <c r="Q3970" s="525" t="str">
        <f>IF(AND($M3970=$O$7,$B3970&lt;'111'!$N$11),"x","")</f>
        <v/>
      </c>
      <c r="R3970" s="525" t="str">
        <f>IF(ISERROR(FIND('112'!$M$9,G3970,1)),"",IF((AND(FIND('112'!$M$9,G3970,1)&gt;=1,$B3970&gt;='112'!$N$8,$B3970&lt;='112'!$O$8,OR($L3970='112'!$I$6,$M3970='112'!$I$6))),"x",""))</f>
        <v/>
      </c>
      <c r="S3970" s="525" t="str">
        <f>IF(ISERROR(FIND('112'!$M$9,G3970,1)),"",IF((AND(LEFT(G3970,2)=LEFT('112'!$M$9,2),B3970&lt;'112'!$N$8,$L3970='112'!$I$6)),"x",""))</f>
        <v/>
      </c>
      <c r="T3970" s="525" t="str">
        <f>IF(ISERROR(FIND('112'!$M$9,G3970,1)),"",IF((AND(RIGHT(G3970,2)=RIGHT('112'!$M$9,2),B3970&lt;'112'!$N$8,$M3970='112'!$I$6)),"x",""))</f>
        <v/>
      </c>
      <c r="U3970" s="525" t="str">
        <f>IF(AND(B3970&gt;='IN-NX'!$P$3,B3970&lt;='IN-NX'!$Q$3,'IN-NX'!$D$7=D3970,OR(LEFT(L3970,2)="15",AND(LEFT(M3970,2)&lt;&gt;"15",LEFT(M3970,2)&lt;&gt;"33"))),"x","")</f>
        <v/>
      </c>
      <c r="V3970" s="525" t="str">
        <f>IF(AND(OR(LEFT(TH!L3970,2)="15",LEFT(TH!M3970,2)="15"),'152-CT'!$J$8=TH!F3970),"x","")</f>
        <v/>
      </c>
      <c r="W3970" s="525" t="str">
        <f>IF(AND(OR(LEFT(TH!L3970,2)="15",LEFT(TH!M3970,2)="15"),TK!$E$7=TH!F3970),"x","")</f>
        <v/>
      </c>
      <c r="X3970" s="525" t="str">
        <f>IF(AND('341-CT'!$E$9=H3970,OR(LEFT(L3970,3)=$X$7,LEFT(M3970,3)=$X$7)),"x","")</f>
        <v/>
      </c>
      <c r="Y3970" s="525" t="str">
        <f>IF(OR(TH!L3970=TH!$Y$7,M3970=TH!$Y$7),"x","")</f>
        <v/>
      </c>
      <c r="Z3970" s="525" t="str">
        <f>IF(AND(B3970&lt;=NKC!$N$8,B3970&gt;=NKC!$M$8),"x","")</f>
        <v/>
      </c>
      <c r="AA3970" s="535">
        <v>3</v>
      </c>
      <c r="AB3970" s="536"/>
    </row>
    <row r="3971" spans="1:29" s="503" customFormat="1" ht="15.75" customHeight="1">
      <c r="A3971" s="517" t="str">
        <f>IF(B3971&lt;&gt;"",IF(AND(B3971&gt;=_TM1,B3971&lt;=_TM2,OR(TH!L3971="1111",TH!M3971="1111")),TH!D3971,""),"")</f>
        <v/>
      </c>
      <c r="B3971" s="531">
        <f t="shared" ref="B3971:B3986" si="480">IF(C3971&lt;&gt;"",MONTH(C3971),"")</f>
        <v>8</v>
      </c>
      <c r="C3971" s="315">
        <f t="shared" ref="C3971:C3986" si="481">E3971</f>
        <v>42952</v>
      </c>
      <c r="D3971" s="315" t="s">
        <v>1180</v>
      </c>
      <c r="E3971" s="315">
        <v>42952</v>
      </c>
      <c r="F3971" s="249" t="s">
        <v>1406</v>
      </c>
      <c r="G3971" s="314" t="s">
        <v>1602</v>
      </c>
      <c r="H3971" s="473" t="s">
        <v>1501</v>
      </c>
      <c r="I3971" s="307">
        <v>720</v>
      </c>
      <c r="J3971" s="307">
        <v>6566</v>
      </c>
      <c r="K3971" s="532">
        <f t="shared" ref="K3971:K3986" si="482">ROUND(I3971*J3971,0)</f>
        <v>4727520</v>
      </c>
      <c r="L3971" s="534" t="s">
        <v>292</v>
      </c>
      <c r="M3971" s="534" t="s">
        <v>8</v>
      </c>
      <c r="N3971" s="525" t="str">
        <f>IF(AND('331-CT'!$E$7=TH!H3971,OR(L3971="331",M3971="331")),"331",IF(AND(OR(L3971="131",M3971="131"),H3971='131-CT'!$E$7),"131",""))</f>
        <v/>
      </c>
      <c r="O3971" s="525" t="str">
        <f>IF(AND($B3971&gt;='111'!$N$11,$B3971&lt;='111'!$O$11,OR($L3971=$O$7,$M3971=$O$7)),"x","")</f>
        <v/>
      </c>
      <c r="P3971" s="525" t="str">
        <f>IF(AND($L3971=$O$7,$B3971&lt;'111'!$N$11),"x","")</f>
        <v/>
      </c>
      <c r="Q3971" s="525" t="str">
        <f>IF(AND($M3971=$O$7,$B3971&lt;'111'!$N$11),"x","")</f>
        <v/>
      </c>
      <c r="R3971" s="525" t="str">
        <f>IF(ISERROR(FIND('112'!$M$9,G3971,1)),"",IF((AND(FIND('112'!$M$9,G3971,1)&gt;=1,$B3971&gt;='112'!$N$8,$B3971&lt;='112'!$O$8,OR($L3971='112'!$I$6,$M3971='112'!$I$6))),"x",""))</f>
        <v/>
      </c>
      <c r="S3971" s="525" t="str">
        <f>IF(ISERROR(FIND('112'!$M$9,G3971,1)),"",IF((AND(LEFT(G3971,2)=LEFT('112'!$M$9,2),B3971&lt;'112'!$N$8,$L3971='112'!$I$6)),"x",""))</f>
        <v/>
      </c>
      <c r="T3971" s="525" t="str">
        <f>IF(ISERROR(FIND('112'!$M$9,G3971,1)),"",IF((AND(RIGHT(G3971,2)=RIGHT('112'!$M$9,2),B3971&lt;'112'!$N$8,$M3971='112'!$I$6)),"x",""))</f>
        <v/>
      </c>
      <c r="U3971" s="525" t="str">
        <f>IF(AND(B3971&gt;='IN-NX'!$P$3,B3971&lt;='IN-NX'!$Q$3,'IN-NX'!$D$7=D3971,OR(LEFT(L3971,2)="15",AND(LEFT(M3971,2)&lt;&gt;"15",LEFT(M3971,2)&lt;&gt;"33"))),"x","")</f>
        <v/>
      </c>
      <c r="V3971" s="525" t="str">
        <f>IF(AND(OR(LEFT(TH!L3971,2)="15",LEFT(TH!M3971,2)="15"),'152-CT'!$J$8=TH!F3971),"x","")</f>
        <v/>
      </c>
      <c r="W3971" s="525" t="str">
        <f>IF(AND(OR(LEFT(TH!L3971,2)="15",LEFT(TH!M3971,2)="15"),TK!$E$7=TH!F3971),"x","")</f>
        <v/>
      </c>
      <c r="X3971" s="525" t="str">
        <f>IF(AND('341-CT'!$E$9=H3971,OR(LEFT(L3971,3)=$X$7,LEFT(M3971,3)=$X$7)),"x","")</f>
        <v/>
      </c>
      <c r="Y3971" s="525" t="str">
        <f>IF(OR(TH!L3971=TH!$Y$7,M3971=TH!$Y$7),"x","")</f>
        <v/>
      </c>
      <c r="Z3971" s="525" t="str">
        <f>IF(AND(B3971&lt;=NKC!$N$8,B3971&gt;=NKC!$M$8),"x","")</f>
        <v/>
      </c>
      <c r="AA3971" s="535">
        <v>3</v>
      </c>
      <c r="AB3971" s="536"/>
      <c r="AC3971" s="536" t="str">
        <f>VLOOKUP(F3971,NXT!$B$12:$B$686,1,0)</f>
        <v>Thùng 60x60x100</v>
      </c>
    </row>
    <row r="3972" spans="1:29" s="503" customFormat="1" ht="15.75" customHeight="1">
      <c r="A3972" s="517" t="str">
        <f>IF(B3972&lt;&gt;"",IF(AND(B3972&gt;=_TM1,B3972&lt;=_TM2,OR(TH!L3972="1111",TH!M3972="1111")),TH!D3972,""),"")</f>
        <v/>
      </c>
      <c r="B3972" s="531">
        <f t="shared" si="480"/>
        <v>8</v>
      </c>
      <c r="C3972" s="315">
        <f t="shared" si="481"/>
        <v>42952</v>
      </c>
      <c r="D3972" s="315" t="s">
        <v>1180</v>
      </c>
      <c r="E3972" s="315">
        <v>42952</v>
      </c>
      <c r="F3972" s="249" t="s">
        <v>1407</v>
      </c>
      <c r="G3972" s="314" t="s">
        <v>1602</v>
      </c>
      <c r="H3972" s="473" t="s">
        <v>1501</v>
      </c>
      <c r="I3972" s="307">
        <v>720</v>
      </c>
      <c r="J3972" s="307">
        <v>7938</v>
      </c>
      <c r="K3972" s="532">
        <f t="shared" si="482"/>
        <v>5715360</v>
      </c>
      <c r="L3972" s="534" t="s">
        <v>292</v>
      </c>
      <c r="M3972" s="534" t="s">
        <v>8</v>
      </c>
      <c r="N3972" s="525" t="str">
        <f>IF(AND('331-CT'!$E$7=TH!H3972,OR(L3972="331",M3972="331")),"331",IF(AND(OR(L3972="131",M3972="131"),H3972='131-CT'!$E$7),"131",""))</f>
        <v/>
      </c>
      <c r="O3972" s="525" t="str">
        <f>IF(AND($B3972&gt;='111'!$N$11,$B3972&lt;='111'!$O$11,OR($L3972=$O$7,$M3972=$O$7)),"x","")</f>
        <v/>
      </c>
      <c r="P3972" s="525" t="str">
        <f>IF(AND($L3972=$O$7,$B3972&lt;'111'!$N$11),"x","")</f>
        <v/>
      </c>
      <c r="Q3972" s="525" t="str">
        <f>IF(AND($M3972=$O$7,$B3972&lt;'111'!$N$11),"x","")</f>
        <v/>
      </c>
      <c r="R3972" s="525" t="str">
        <f>IF(ISERROR(FIND('112'!$M$9,G3972,1)),"",IF((AND(FIND('112'!$M$9,G3972,1)&gt;=1,$B3972&gt;='112'!$N$8,$B3972&lt;='112'!$O$8,OR($L3972='112'!$I$6,$M3972='112'!$I$6))),"x",""))</f>
        <v/>
      </c>
      <c r="S3972" s="525" t="str">
        <f>IF(ISERROR(FIND('112'!$M$9,G3972,1)),"",IF((AND(LEFT(G3972,2)=LEFT('112'!$M$9,2),B3972&lt;'112'!$N$8,$L3972='112'!$I$6)),"x",""))</f>
        <v/>
      </c>
      <c r="T3972" s="525" t="str">
        <f>IF(ISERROR(FIND('112'!$M$9,G3972,1)),"",IF((AND(RIGHT(G3972,2)=RIGHT('112'!$M$9,2),B3972&lt;'112'!$N$8,$M3972='112'!$I$6)),"x",""))</f>
        <v/>
      </c>
      <c r="U3972" s="525" t="str">
        <f>IF(AND(B3972&gt;='IN-NX'!$P$3,B3972&lt;='IN-NX'!$Q$3,'IN-NX'!$D$7=D3972,OR(LEFT(L3972,2)="15",AND(LEFT(M3972,2)&lt;&gt;"15",LEFT(M3972,2)&lt;&gt;"33"))),"x","")</f>
        <v/>
      </c>
      <c r="V3972" s="525" t="str">
        <f>IF(AND(OR(LEFT(TH!L3972,2)="15",LEFT(TH!M3972,2)="15"),'152-CT'!$J$8=TH!F3972),"x","")</f>
        <v/>
      </c>
      <c r="W3972" s="525" t="str">
        <f>IF(AND(OR(LEFT(TH!L3972,2)="15",LEFT(TH!M3972,2)="15"),TK!$E$7=TH!F3972),"x","")</f>
        <v/>
      </c>
      <c r="X3972" s="525" t="str">
        <f>IF(AND('341-CT'!$E$9=H3972,OR(LEFT(L3972,3)=$X$7,LEFT(M3972,3)=$X$7)),"x","")</f>
        <v/>
      </c>
      <c r="Y3972" s="525" t="str">
        <f>IF(OR(TH!L3972=TH!$Y$7,M3972=TH!$Y$7),"x","")</f>
        <v/>
      </c>
      <c r="Z3972" s="525" t="str">
        <f>IF(AND(B3972&lt;=NKC!$N$8,B3972&gt;=NKC!$M$8),"x","")</f>
        <v/>
      </c>
      <c r="AA3972" s="535">
        <v>3</v>
      </c>
      <c r="AB3972" s="536"/>
      <c r="AC3972" s="536" t="str">
        <f>VLOOKUP(F3972,NXT!$B$12:$B$686,1,0)</f>
        <v>Thùng 60x60x121</v>
      </c>
    </row>
    <row r="3973" spans="1:29" s="503" customFormat="1" ht="15.75" customHeight="1">
      <c r="A3973" s="517" t="str">
        <f>IF(B3973&lt;&gt;"",IF(AND(B3973&gt;=_TM1,B3973&lt;=_TM2,OR(TH!L3973="1111",TH!M3973="1111")),TH!D3973,""),"")</f>
        <v/>
      </c>
      <c r="B3973" s="531">
        <f t="shared" si="480"/>
        <v>8</v>
      </c>
      <c r="C3973" s="315">
        <f t="shared" si="481"/>
        <v>42952</v>
      </c>
      <c r="D3973" s="315" t="s">
        <v>1180</v>
      </c>
      <c r="E3973" s="315">
        <v>42952</v>
      </c>
      <c r="F3973" s="249" t="s">
        <v>1408</v>
      </c>
      <c r="G3973" s="314" t="s">
        <v>1602</v>
      </c>
      <c r="H3973" s="473" t="s">
        <v>1501</v>
      </c>
      <c r="I3973" s="307">
        <v>480</v>
      </c>
      <c r="J3973" s="307">
        <v>5684</v>
      </c>
      <c r="K3973" s="532">
        <f t="shared" si="482"/>
        <v>2728320</v>
      </c>
      <c r="L3973" s="534" t="s">
        <v>292</v>
      </c>
      <c r="M3973" s="534" t="s">
        <v>8</v>
      </c>
      <c r="N3973" s="525" t="str">
        <f>IF(AND('331-CT'!$E$7=TH!H3973,OR(L3973="331",M3973="331")),"331",IF(AND(OR(L3973="131",M3973="131"),H3973='131-CT'!$E$7),"131",""))</f>
        <v/>
      </c>
      <c r="O3973" s="525" t="str">
        <f>IF(AND($B3973&gt;='111'!$N$11,$B3973&lt;='111'!$O$11,OR($L3973=$O$7,$M3973=$O$7)),"x","")</f>
        <v/>
      </c>
      <c r="P3973" s="525" t="str">
        <f>IF(AND($L3973=$O$7,$B3973&lt;'111'!$N$11),"x","")</f>
        <v/>
      </c>
      <c r="Q3973" s="525" t="str">
        <f>IF(AND($M3973=$O$7,$B3973&lt;'111'!$N$11),"x","")</f>
        <v/>
      </c>
      <c r="R3973" s="525" t="str">
        <f>IF(ISERROR(FIND('112'!$M$9,G3973,1)),"",IF((AND(FIND('112'!$M$9,G3973,1)&gt;=1,$B3973&gt;='112'!$N$8,$B3973&lt;='112'!$O$8,OR($L3973='112'!$I$6,$M3973='112'!$I$6))),"x",""))</f>
        <v/>
      </c>
      <c r="S3973" s="525" t="str">
        <f>IF(ISERROR(FIND('112'!$M$9,G3973,1)),"",IF((AND(LEFT(G3973,2)=LEFT('112'!$M$9,2),B3973&lt;'112'!$N$8,$L3973='112'!$I$6)),"x",""))</f>
        <v/>
      </c>
      <c r="T3973" s="525" t="str">
        <f>IF(ISERROR(FIND('112'!$M$9,G3973,1)),"",IF((AND(RIGHT(G3973,2)=RIGHT('112'!$M$9,2),B3973&lt;'112'!$N$8,$M3973='112'!$I$6)),"x",""))</f>
        <v/>
      </c>
      <c r="U3973" s="525" t="str">
        <f>IF(AND(B3973&gt;='IN-NX'!$P$3,B3973&lt;='IN-NX'!$Q$3,'IN-NX'!$D$7=D3973,OR(LEFT(L3973,2)="15",AND(LEFT(M3973,2)&lt;&gt;"15",LEFT(M3973,2)&lt;&gt;"33"))),"x","")</f>
        <v/>
      </c>
      <c r="V3973" s="525" t="str">
        <f>IF(AND(OR(LEFT(TH!L3973,2)="15",LEFT(TH!M3973,2)="15"),'152-CT'!$J$8=TH!F3973),"x","")</f>
        <v/>
      </c>
      <c r="W3973" s="525" t="str">
        <f>IF(AND(OR(LEFT(TH!L3973,2)="15",LEFT(TH!M3973,2)="15"),TK!$E$7=TH!F3973),"x","")</f>
        <v/>
      </c>
      <c r="X3973" s="525" t="str">
        <f>IF(AND('341-CT'!$E$9=H3973,OR(LEFT(L3973,3)=$X$7,LEFT(M3973,3)=$X$7)),"x","")</f>
        <v/>
      </c>
      <c r="Y3973" s="525" t="str">
        <f>IF(OR(TH!L3973=TH!$Y$7,M3973=TH!$Y$7),"x","")</f>
        <v/>
      </c>
      <c r="Z3973" s="525" t="str">
        <f>IF(AND(B3973&lt;=NKC!$N$8,B3973&gt;=NKC!$M$8),"x","")</f>
        <v/>
      </c>
      <c r="AA3973" s="535">
        <v>3</v>
      </c>
      <c r="AB3973" s="536"/>
      <c r="AC3973" s="536" t="str">
        <f>VLOOKUP(F3973,NXT!$B$12:$B$686,1,0)</f>
        <v>Thùng 50x50x101</v>
      </c>
    </row>
    <row r="3974" spans="1:29" s="503" customFormat="1" ht="15.75" customHeight="1">
      <c r="A3974" s="517" t="str">
        <f>IF(B3974&lt;&gt;"",IF(AND(B3974&gt;=_TM1,B3974&lt;=_TM2,OR(TH!L3974="1111",TH!M3974="1111")),TH!D3974,""),"")</f>
        <v/>
      </c>
      <c r="B3974" s="531">
        <f t="shared" si="480"/>
        <v>8</v>
      </c>
      <c r="C3974" s="315">
        <f t="shared" si="481"/>
        <v>42952</v>
      </c>
      <c r="D3974" s="315" t="s">
        <v>1180</v>
      </c>
      <c r="E3974" s="315">
        <v>42952</v>
      </c>
      <c r="F3974" s="249" t="s">
        <v>1409</v>
      </c>
      <c r="G3974" s="314" t="s">
        <v>1602</v>
      </c>
      <c r="H3974" s="473" t="s">
        <v>1501</v>
      </c>
      <c r="I3974" s="307">
        <v>480</v>
      </c>
      <c r="J3974" s="307">
        <v>6860</v>
      </c>
      <c r="K3974" s="532">
        <f t="shared" si="482"/>
        <v>3292800</v>
      </c>
      <c r="L3974" s="534" t="s">
        <v>292</v>
      </c>
      <c r="M3974" s="534" t="s">
        <v>8</v>
      </c>
      <c r="N3974" s="525" t="str">
        <f>IF(AND('331-CT'!$E$7=TH!H3974,OR(L3974="331",M3974="331")),"331",IF(AND(OR(L3974="131",M3974="131"),H3974='131-CT'!$E$7),"131",""))</f>
        <v/>
      </c>
      <c r="O3974" s="525" t="str">
        <f>IF(AND($B3974&gt;='111'!$N$11,$B3974&lt;='111'!$O$11,OR($L3974=$O$7,$M3974=$O$7)),"x","")</f>
        <v/>
      </c>
      <c r="P3974" s="525" t="str">
        <f>IF(AND($L3974=$O$7,$B3974&lt;'111'!$N$11),"x","")</f>
        <v/>
      </c>
      <c r="Q3974" s="525" t="str">
        <f>IF(AND($M3974=$O$7,$B3974&lt;'111'!$N$11),"x","")</f>
        <v/>
      </c>
      <c r="R3974" s="525" t="str">
        <f>IF(ISERROR(FIND('112'!$M$9,G3974,1)),"",IF((AND(FIND('112'!$M$9,G3974,1)&gt;=1,$B3974&gt;='112'!$N$8,$B3974&lt;='112'!$O$8,OR($L3974='112'!$I$6,$M3974='112'!$I$6))),"x",""))</f>
        <v/>
      </c>
      <c r="S3974" s="525" t="str">
        <f>IF(ISERROR(FIND('112'!$M$9,G3974,1)),"",IF((AND(LEFT(G3974,2)=LEFT('112'!$M$9,2),B3974&lt;'112'!$N$8,$L3974='112'!$I$6)),"x",""))</f>
        <v/>
      </c>
      <c r="T3974" s="525" t="str">
        <f>IF(ISERROR(FIND('112'!$M$9,G3974,1)),"",IF((AND(RIGHT(G3974,2)=RIGHT('112'!$M$9,2),B3974&lt;'112'!$N$8,$M3974='112'!$I$6)),"x",""))</f>
        <v/>
      </c>
      <c r="U3974" s="525" t="str">
        <f>IF(AND(B3974&gt;='IN-NX'!$P$3,B3974&lt;='IN-NX'!$Q$3,'IN-NX'!$D$7=D3974,OR(LEFT(L3974,2)="15",AND(LEFT(M3974,2)&lt;&gt;"15",LEFT(M3974,2)&lt;&gt;"33"))),"x","")</f>
        <v/>
      </c>
      <c r="V3974" s="525" t="str">
        <f>IF(AND(OR(LEFT(TH!L3974,2)="15",LEFT(TH!M3974,2)="15"),'152-CT'!$J$8=TH!F3974),"x","")</f>
        <v/>
      </c>
      <c r="W3974" s="525" t="str">
        <f>IF(AND(OR(LEFT(TH!L3974,2)="15",LEFT(TH!M3974,2)="15"),TK!$E$7=TH!F3974),"x","")</f>
        <v/>
      </c>
      <c r="X3974" s="525" t="str">
        <f>IF(AND('341-CT'!$E$9=H3974,OR(LEFT(L3974,3)=$X$7,LEFT(M3974,3)=$X$7)),"x","")</f>
        <v/>
      </c>
      <c r="Y3974" s="525" t="str">
        <f>IF(OR(TH!L3974=TH!$Y$7,M3974=TH!$Y$7),"x","")</f>
        <v/>
      </c>
      <c r="Z3974" s="525" t="str">
        <f>IF(AND(B3974&lt;=NKC!$N$8,B3974&gt;=NKC!$M$8),"x","")</f>
        <v/>
      </c>
      <c r="AA3974" s="535">
        <v>3</v>
      </c>
      <c r="AB3974" s="536"/>
      <c r="AC3974" s="536" t="str">
        <f>VLOOKUP(F3974,NXT!$B$12:$B$686,1,0)</f>
        <v>Thùng 50x50x122</v>
      </c>
    </row>
    <row r="3975" spans="1:29" s="503" customFormat="1" ht="15.75" customHeight="1">
      <c r="A3975" s="517" t="str">
        <f>IF(B3975&lt;&gt;"",IF(AND(B3975&gt;=_TM1,B3975&lt;=_TM2,OR(TH!L3975="1111",TH!M3975="1111")),TH!D3975,""),"")</f>
        <v/>
      </c>
      <c r="B3975" s="531">
        <f t="shared" si="480"/>
        <v>8</v>
      </c>
      <c r="C3975" s="315">
        <f t="shared" si="481"/>
        <v>42952</v>
      </c>
      <c r="D3975" s="315" t="s">
        <v>1180</v>
      </c>
      <c r="E3975" s="315">
        <v>42952</v>
      </c>
      <c r="F3975" s="249" t="s">
        <v>1410</v>
      </c>
      <c r="G3975" s="314" t="s">
        <v>1602</v>
      </c>
      <c r="H3975" s="473" t="s">
        <v>1501</v>
      </c>
      <c r="I3975" s="307">
        <v>480</v>
      </c>
      <c r="J3975" s="307">
        <v>1666</v>
      </c>
      <c r="K3975" s="532">
        <f t="shared" si="482"/>
        <v>799680</v>
      </c>
      <c r="L3975" s="534" t="s">
        <v>292</v>
      </c>
      <c r="M3975" s="534" t="s">
        <v>8</v>
      </c>
      <c r="N3975" s="525" t="str">
        <f>IF(AND('331-CT'!$E$7=TH!H3975,OR(L3975="331",M3975="331")),"331",IF(AND(OR(L3975="131",M3975="131"),H3975='131-CT'!$E$7),"131",""))</f>
        <v/>
      </c>
      <c r="O3975" s="525" t="str">
        <f>IF(AND($B3975&gt;='111'!$N$11,$B3975&lt;='111'!$O$11,OR($L3975=$O$7,$M3975=$O$7)),"x","")</f>
        <v/>
      </c>
      <c r="P3975" s="525" t="str">
        <f>IF(AND($L3975=$O$7,$B3975&lt;'111'!$N$11),"x","")</f>
        <v/>
      </c>
      <c r="Q3975" s="525" t="str">
        <f>IF(AND($M3975=$O$7,$B3975&lt;'111'!$N$11),"x","")</f>
        <v/>
      </c>
      <c r="R3975" s="525" t="str">
        <f>IF(ISERROR(FIND('112'!$M$9,G3975,1)),"",IF((AND(FIND('112'!$M$9,G3975,1)&gt;=1,$B3975&gt;='112'!$N$8,$B3975&lt;='112'!$O$8,OR($L3975='112'!$I$6,$M3975='112'!$I$6))),"x",""))</f>
        <v/>
      </c>
      <c r="S3975" s="525" t="str">
        <f>IF(ISERROR(FIND('112'!$M$9,G3975,1)),"",IF((AND(LEFT(G3975,2)=LEFT('112'!$M$9,2),B3975&lt;'112'!$N$8,$L3975='112'!$I$6)),"x",""))</f>
        <v/>
      </c>
      <c r="T3975" s="525" t="str">
        <f>IF(ISERROR(FIND('112'!$M$9,G3975,1)),"",IF((AND(RIGHT(G3975,2)=RIGHT('112'!$M$9,2),B3975&lt;'112'!$N$8,$M3975='112'!$I$6)),"x",""))</f>
        <v/>
      </c>
      <c r="U3975" s="525" t="str">
        <f>IF(AND(B3975&gt;='IN-NX'!$P$3,B3975&lt;='IN-NX'!$Q$3,'IN-NX'!$D$7=D3975,OR(LEFT(L3975,2)="15",AND(LEFT(M3975,2)&lt;&gt;"15",LEFT(M3975,2)&lt;&gt;"33"))),"x","")</f>
        <v/>
      </c>
      <c r="V3975" s="525" t="str">
        <f>IF(AND(OR(LEFT(TH!L3975,2)="15",LEFT(TH!M3975,2)="15"),'152-CT'!$J$8=TH!F3975),"x","")</f>
        <v/>
      </c>
      <c r="W3975" s="525" t="str">
        <f>IF(AND(OR(LEFT(TH!L3975,2)="15",LEFT(TH!M3975,2)="15"),TK!$E$7=TH!F3975),"x","")</f>
        <v/>
      </c>
      <c r="X3975" s="525" t="str">
        <f>IF(AND('341-CT'!$E$9=H3975,OR(LEFT(L3975,3)=$X$7,LEFT(M3975,3)=$X$7)),"x","")</f>
        <v/>
      </c>
      <c r="Y3975" s="525" t="str">
        <f>IF(OR(TH!L3975=TH!$Y$7,M3975=TH!$Y$7),"x","")</f>
        <v/>
      </c>
      <c r="Z3975" s="525" t="str">
        <f>IF(AND(B3975&lt;=NKC!$N$8,B3975&gt;=NKC!$M$8),"x","")</f>
        <v/>
      </c>
      <c r="AA3975" s="535">
        <v>3</v>
      </c>
      <c r="AB3975" s="536"/>
      <c r="AC3975" s="536" t="str">
        <f>VLOOKUP(F3975,NXT!$B$12:$B$686,1,0)</f>
        <v>Thùng 50x50x31</v>
      </c>
    </row>
    <row r="3976" spans="1:29" s="503" customFormat="1" ht="15.75" customHeight="1">
      <c r="A3976" s="517" t="str">
        <f>IF(B3976&lt;&gt;"",IF(AND(B3976&gt;=_TM1,B3976&lt;=_TM2,OR(TH!L3976="1111",TH!M3976="1111")),TH!D3976,""),"")</f>
        <v/>
      </c>
      <c r="B3976" s="531">
        <f t="shared" si="480"/>
        <v>8</v>
      </c>
      <c r="C3976" s="315">
        <f t="shared" si="481"/>
        <v>42952</v>
      </c>
      <c r="D3976" s="315" t="s">
        <v>1180</v>
      </c>
      <c r="E3976" s="315">
        <v>42952</v>
      </c>
      <c r="F3976" s="249" t="s">
        <v>1411</v>
      </c>
      <c r="G3976" s="314" t="s">
        <v>1602</v>
      </c>
      <c r="H3976" s="473" t="s">
        <v>1501</v>
      </c>
      <c r="I3976" s="307">
        <v>480</v>
      </c>
      <c r="J3976" s="307">
        <v>2156</v>
      </c>
      <c r="K3976" s="532">
        <f t="shared" si="482"/>
        <v>1034880</v>
      </c>
      <c r="L3976" s="534" t="s">
        <v>292</v>
      </c>
      <c r="M3976" s="534" t="s">
        <v>8</v>
      </c>
      <c r="N3976" s="525" t="str">
        <f>IF(AND('331-CT'!$E$7=TH!H3976,OR(L3976="331",M3976="331")),"331",IF(AND(OR(L3976="131",M3976="131"),H3976='131-CT'!$E$7),"131",""))</f>
        <v/>
      </c>
      <c r="O3976" s="525" t="str">
        <f>IF(AND($B3976&gt;='111'!$N$11,$B3976&lt;='111'!$O$11,OR($L3976=$O$7,$M3976=$O$7)),"x","")</f>
        <v/>
      </c>
      <c r="P3976" s="525" t="str">
        <f>IF(AND($L3976=$O$7,$B3976&lt;'111'!$N$11),"x","")</f>
        <v/>
      </c>
      <c r="Q3976" s="525" t="str">
        <f>IF(AND($M3976=$O$7,$B3976&lt;'111'!$N$11),"x","")</f>
        <v/>
      </c>
      <c r="R3976" s="525" t="str">
        <f>IF(ISERROR(FIND('112'!$M$9,G3976,1)),"",IF((AND(FIND('112'!$M$9,G3976,1)&gt;=1,$B3976&gt;='112'!$N$8,$B3976&lt;='112'!$O$8,OR($L3976='112'!$I$6,$M3976='112'!$I$6))),"x",""))</f>
        <v/>
      </c>
      <c r="S3976" s="525" t="str">
        <f>IF(ISERROR(FIND('112'!$M$9,G3976,1)),"",IF((AND(LEFT(G3976,2)=LEFT('112'!$M$9,2),B3976&lt;'112'!$N$8,$L3976='112'!$I$6)),"x",""))</f>
        <v/>
      </c>
      <c r="T3976" s="525" t="str">
        <f>IF(ISERROR(FIND('112'!$M$9,G3976,1)),"",IF((AND(RIGHT(G3976,2)=RIGHT('112'!$M$9,2),B3976&lt;'112'!$N$8,$M3976='112'!$I$6)),"x",""))</f>
        <v/>
      </c>
      <c r="U3976" s="525" t="str">
        <f>IF(AND(B3976&gt;='IN-NX'!$P$3,B3976&lt;='IN-NX'!$Q$3,'IN-NX'!$D$7=D3976,OR(LEFT(L3976,2)="15",AND(LEFT(M3976,2)&lt;&gt;"15",LEFT(M3976,2)&lt;&gt;"33"))),"x","")</f>
        <v/>
      </c>
      <c r="V3976" s="525" t="str">
        <f>IF(AND(OR(LEFT(TH!L3976,2)="15",LEFT(TH!M3976,2)="15"),'152-CT'!$J$8=TH!F3976),"x","")</f>
        <v/>
      </c>
      <c r="W3976" s="525" t="str">
        <f>IF(AND(OR(LEFT(TH!L3976,2)="15",LEFT(TH!M3976,2)="15"),TK!$E$7=TH!F3976),"x","")</f>
        <v/>
      </c>
      <c r="X3976" s="525" t="str">
        <f>IF(AND('341-CT'!$E$9=H3976,OR(LEFT(L3976,3)=$X$7,LEFT(M3976,3)=$X$7)),"x","")</f>
        <v/>
      </c>
      <c r="Y3976" s="525" t="str">
        <f>IF(OR(TH!L3976=TH!$Y$7,M3976=TH!$Y$7),"x","")</f>
        <v/>
      </c>
      <c r="Z3976" s="525" t="str">
        <f>IF(AND(B3976&lt;=NKC!$N$8,B3976&gt;=NKC!$M$8),"x","")</f>
        <v/>
      </c>
      <c r="AA3976" s="535">
        <v>3</v>
      </c>
      <c r="AB3976" s="536"/>
      <c r="AC3976" s="536" t="str">
        <f>VLOOKUP(F3976,NXT!$B$12:$B$686,1,0)</f>
        <v>Thùng 50x50x40</v>
      </c>
    </row>
    <row r="3977" spans="1:29" s="503" customFormat="1" ht="15.75" customHeight="1">
      <c r="A3977" s="517" t="str">
        <f>IF(B3977&lt;&gt;"",IF(AND(B3977&gt;=_TM1,B3977&lt;=_TM2,OR(TH!L3977="1111",TH!M3977="1111")),TH!D3977,""),"")</f>
        <v/>
      </c>
      <c r="B3977" s="531">
        <f t="shared" si="480"/>
        <v>8</v>
      </c>
      <c r="C3977" s="315">
        <f t="shared" si="481"/>
        <v>42952</v>
      </c>
      <c r="D3977" s="315" t="s">
        <v>1180</v>
      </c>
      <c r="E3977" s="315">
        <v>42952</v>
      </c>
      <c r="F3977" s="249" t="s">
        <v>1412</v>
      </c>
      <c r="G3977" s="314" t="s">
        <v>1602</v>
      </c>
      <c r="H3977" s="473" t="s">
        <v>1501</v>
      </c>
      <c r="I3977" s="307">
        <v>360</v>
      </c>
      <c r="J3977" s="307">
        <v>2744</v>
      </c>
      <c r="K3977" s="532">
        <f t="shared" si="482"/>
        <v>987840</v>
      </c>
      <c r="L3977" s="534" t="s">
        <v>292</v>
      </c>
      <c r="M3977" s="534" t="s">
        <v>8</v>
      </c>
      <c r="N3977" s="525" t="str">
        <f>IF(AND('331-CT'!$E$7=TH!H3977,OR(L3977="331",M3977="331")),"331",IF(AND(OR(L3977="131",M3977="131"),H3977='131-CT'!$E$7),"131",""))</f>
        <v/>
      </c>
      <c r="O3977" s="525" t="str">
        <f>IF(AND($B3977&gt;='111'!$N$11,$B3977&lt;='111'!$O$11,OR($L3977=$O$7,$M3977=$O$7)),"x","")</f>
        <v/>
      </c>
      <c r="P3977" s="525" t="str">
        <f>IF(AND($L3977=$O$7,$B3977&lt;'111'!$N$11),"x","")</f>
        <v/>
      </c>
      <c r="Q3977" s="525" t="str">
        <f>IF(AND($M3977=$O$7,$B3977&lt;'111'!$N$11),"x","")</f>
        <v/>
      </c>
      <c r="R3977" s="525" t="str">
        <f>IF(ISERROR(FIND('112'!$M$9,G3977,1)),"",IF((AND(FIND('112'!$M$9,G3977,1)&gt;=1,$B3977&gt;='112'!$N$8,$B3977&lt;='112'!$O$8,OR($L3977='112'!$I$6,$M3977='112'!$I$6))),"x",""))</f>
        <v/>
      </c>
      <c r="S3977" s="525" t="str">
        <f>IF(ISERROR(FIND('112'!$M$9,G3977,1)),"",IF((AND(LEFT(G3977,2)=LEFT('112'!$M$9,2),B3977&lt;'112'!$N$8,$L3977='112'!$I$6)),"x",""))</f>
        <v/>
      </c>
      <c r="T3977" s="525" t="str">
        <f>IF(ISERROR(FIND('112'!$M$9,G3977,1)),"",IF((AND(RIGHT(G3977,2)=RIGHT('112'!$M$9,2),B3977&lt;'112'!$N$8,$M3977='112'!$I$6)),"x",""))</f>
        <v/>
      </c>
      <c r="U3977" s="525" t="str">
        <f>IF(AND(B3977&gt;='IN-NX'!$P$3,B3977&lt;='IN-NX'!$Q$3,'IN-NX'!$D$7=D3977,OR(LEFT(L3977,2)="15",AND(LEFT(M3977,2)&lt;&gt;"15",LEFT(M3977,2)&lt;&gt;"33"))),"x","")</f>
        <v/>
      </c>
      <c r="V3977" s="525" t="str">
        <f>IF(AND(OR(LEFT(TH!L3977,2)="15",LEFT(TH!M3977,2)="15"),'152-CT'!$J$8=TH!F3977),"x","")</f>
        <v/>
      </c>
      <c r="W3977" s="525" t="str">
        <f>IF(AND(OR(LEFT(TH!L3977,2)="15",LEFT(TH!M3977,2)="15"),TK!$E$7=TH!F3977),"x","")</f>
        <v/>
      </c>
      <c r="X3977" s="525" t="str">
        <f>IF(AND('341-CT'!$E$9=H3977,OR(LEFT(L3977,3)=$X$7,LEFT(M3977,3)=$X$7)),"x","")</f>
        <v/>
      </c>
      <c r="Y3977" s="525" t="str">
        <f>IF(OR(TH!L3977=TH!$Y$7,M3977=TH!$Y$7),"x","")</f>
        <v/>
      </c>
      <c r="Z3977" s="525" t="str">
        <f>IF(AND(B3977&lt;=NKC!$N$8,B3977&gt;=NKC!$M$8),"x","")</f>
        <v/>
      </c>
      <c r="AA3977" s="535">
        <v>3</v>
      </c>
      <c r="AB3977" s="536"/>
      <c r="AC3977" s="536" t="str">
        <f>VLOOKUP(F3977,NXT!$B$12:$B$686,1,0)</f>
        <v>Thùng 120x12x2</v>
      </c>
    </row>
    <row r="3978" spans="1:29" s="503" customFormat="1" ht="15.75" customHeight="1">
      <c r="A3978" s="517" t="str">
        <f>IF(B3978&lt;&gt;"",IF(AND(B3978&gt;=_TM1,B3978&lt;=_TM2,OR(TH!L3978="1111",TH!M3978="1111")),TH!D3978,""),"")</f>
        <v/>
      </c>
      <c r="B3978" s="531">
        <f t="shared" si="480"/>
        <v>8</v>
      </c>
      <c r="C3978" s="315">
        <f t="shared" si="481"/>
        <v>42952</v>
      </c>
      <c r="D3978" s="315" t="s">
        <v>1180</v>
      </c>
      <c r="E3978" s="315">
        <v>42952</v>
      </c>
      <c r="F3978" s="249" t="s">
        <v>494</v>
      </c>
      <c r="G3978" s="314" t="s">
        <v>1602</v>
      </c>
      <c r="H3978" s="473" t="s">
        <v>1501</v>
      </c>
      <c r="I3978" s="307"/>
      <c r="J3978" s="307"/>
      <c r="K3978" s="532">
        <v>1928640</v>
      </c>
      <c r="L3978" s="534" t="s">
        <v>9</v>
      </c>
      <c r="M3978" s="534" t="s">
        <v>8</v>
      </c>
      <c r="N3978" s="525" t="str">
        <f>IF(AND('331-CT'!$E$7=TH!H3978,OR(L3978="331",M3978="331")),"331",IF(AND(OR(L3978="131",M3978="131"),H3978='131-CT'!$E$7),"131",""))</f>
        <v/>
      </c>
      <c r="O3978" s="525" t="str">
        <f>IF(AND($B3978&gt;='111'!$N$11,$B3978&lt;='111'!$O$11,OR($L3978=$O$7,$M3978=$O$7)),"x","")</f>
        <v/>
      </c>
      <c r="P3978" s="525" t="str">
        <f>IF(AND($L3978=$O$7,$B3978&lt;'111'!$N$11),"x","")</f>
        <v/>
      </c>
      <c r="Q3978" s="525" t="str">
        <f>IF(AND($M3978=$O$7,$B3978&lt;'111'!$N$11),"x","")</f>
        <v/>
      </c>
      <c r="R3978" s="525" t="str">
        <f>IF(ISERROR(FIND('112'!$M$9,G3978,1)),"",IF((AND(FIND('112'!$M$9,G3978,1)&gt;=1,$B3978&gt;='112'!$N$8,$B3978&lt;='112'!$O$8,OR($L3978='112'!$I$6,$M3978='112'!$I$6))),"x",""))</f>
        <v/>
      </c>
      <c r="S3978" s="525" t="str">
        <f>IF(ISERROR(FIND('112'!$M$9,G3978,1)),"",IF((AND(LEFT(G3978,2)=LEFT('112'!$M$9,2),B3978&lt;'112'!$N$8,$L3978='112'!$I$6)),"x",""))</f>
        <v/>
      </c>
      <c r="T3978" s="525" t="str">
        <f>IF(ISERROR(FIND('112'!$M$9,G3978,1)),"",IF((AND(RIGHT(G3978,2)=RIGHT('112'!$M$9,2),B3978&lt;'112'!$N$8,$M3978='112'!$I$6)),"x",""))</f>
        <v/>
      </c>
      <c r="U3978" s="525" t="str">
        <f>IF(AND(B3978&gt;='IN-NX'!$P$3,B3978&lt;='IN-NX'!$Q$3,'IN-NX'!$D$7=D3978,OR(LEFT(L3978,2)="15",AND(LEFT(M3978,2)&lt;&gt;"15",LEFT(M3978,2)&lt;&gt;"33"))),"x","")</f>
        <v/>
      </c>
      <c r="V3978" s="525" t="str">
        <f>IF(AND(OR(LEFT(TH!L3978,2)="15",LEFT(TH!M3978,2)="15"),'152-CT'!$J$8=TH!F3978),"x","")</f>
        <v/>
      </c>
      <c r="W3978" s="525" t="str">
        <f>IF(AND(OR(LEFT(TH!L3978,2)="15",LEFT(TH!M3978,2)="15"),TK!$E$7=TH!F3978),"x","")</f>
        <v/>
      </c>
      <c r="X3978" s="525" t="str">
        <f>IF(AND('341-CT'!$E$9=H3978,OR(LEFT(L3978,3)=$X$7,LEFT(M3978,3)=$X$7)),"x","")</f>
        <v/>
      </c>
      <c r="Y3978" s="525" t="str">
        <f>IF(OR(TH!L3978=TH!$Y$7,M3978=TH!$Y$7),"x","")</f>
        <v/>
      </c>
      <c r="Z3978" s="525" t="str">
        <f>IF(AND(B3978&lt;=NKC!$N$8,B3978&gt;=NKC!$M$8),"x","")</f>
        <v/>
      </c>
      <c r="AA3978" s="535">
        <v>3</v>
      </c>
      <c r="AB3978" s="536"/>
    </row>
    <row r="3979" spans="1:29" s="503" customFormat="1" ht="15.75" customHeight="1">
      <c r="A3979" s="517" t="str">
        <f>IF(B3979&lt;&gt;"",IF(AND(B3979&gt;=_TM1,B3979&lt;=_TM2,OR(TH!L3979="1111",TH!M3979="1111")),TH!D3979,""),"")</f>
        <v/>
      </c>
      <c r="B3979" s="531">
        <f t="shared" ref="B3979:B3980" si="483">IF(C3979&lt;&gt;"",MONTH(C3979),"")</f>
        <v>8</v>
      </c>
      <c r="C3979" s="315">
        <f t="shared" ref="C3979:C3980" si="484">E3979</f>
        <v>42952</v>
      </c>
      <c r="D3979" s="315" t="s">
        <v>1180</v>
      </c>
      <c r="E3979" s="315">
        <v>42952</v>
      </c>
      <c r="F3979" s="250" t="s">
        <v>380</v>
      </c>
      <c r="G3979" s="314" t="s">
        <v>1608</v>
      </c>
      <c r="H3979" s="473" t="s">
        <v>1501</v>
      </c>
      <c r="I3979" s="307">
        <f>4218+3864+4371</f>
        <v>12453</v>
      </c>
      <c r="J3979" s="307">
        <v>12250</v>
      </c>
      <c r="K3979" s="532">
        <f t="shared" ref="K3979" si="485">ROUND(I3979*J3979,0)</f>
        <v>152549250</v>
      </c>
      <c r="L3979" s="534" t="s">
        <v>292</v>
      </c>
      <c r="M3979" s="534" t="s">
        <v>8</v>
      </c>
      <c r="N3979" s="525" t="str">
        <f>IF(AND('331-CT'!$E$7=TH!H3979,OR(L3979="331",M3979="331")),"331",IF(AND(OR(L3979="131",M3979="131"),H3979='131-CT'!$E$7),"131",""))</f>
        <v/>
      </c>
      <c r="O3979" s="525" t="str">
        <f>IF(AND($B3979&gt;='111'!$N$11,$B3979&lt;='111'!$O$11,OR($L3979=$O$7,$M3979=$O$7)),"x","")</f>
        <v/>
      </c>
      <c r="P3979" s="525" t="str">
        <f>IF(AND($L3979=$O$7,$B3979&lt;'111'!$N$11),"x","")</f>
        <v/>
      </c>
      <c r="Q3979" s="525" t="str">
        <f>IF(AND($M3979=$O$7,$B3979&lt;'111'!$N$11),"x","")</f>
        <v/>
      </c>
      <c r="R3979" s="525" t="str">
        <f>IF(ISERROR(FIND('112'!$M$9,G3979,1)),"",IF((AND(FIND('112'!$M$9,G3979,1)&gt;=1,$B3979&gt;='112'!$N$8,$B3979&lt;='112'!$O$8,OR($L3979='112'!$I$6,$M3979='112'!$I$6))),"x",""))</f>
        <v/>
      </c>
      <c r="S3979" s="525" t="str">
        <f>IF(ISERROR(FIND('112'!$M$9,G3979,1)),"",IF((AND(LEFT(G3979,2)=LEFT('112'!$M$9,2),B3979&lt;'112'!$N$8,$L3979='112'!$I$6)),"x",""))</f>
        <v/>
      </c>
      <c r="T3979" s="525" t="str">
        <f>IF(ISERROR(FIND('112'!$M$9,G3979,1)),"",IF((AND(RIGHT(G3979,2)=RIGHT('112'!$M$9,2),B3979&lt;'112'!$N$8,$M3979='112'!$I$6)),"x",""))</f>
        <v/>
      </c>
      <c r="U3979" s="525" t="str">
        <f>IF(AND(B3979&gt;='IN-NX'!$P$3,B3979&lt;='IN-NX'!$Q$3,'IN-NX'!$D$7=D3979,OR(LEFT(L3979,2)="15",AND(LEFT(M3979,2)&lt;&gt;"15",LEFT(M3979,2)&lt;&gt;"33"))),"x","")</f>
        <v/>
      </c>
      <c r="V3979" s="525" t="str">
        <f>IF(AND(OR(LEFT(TH!L3979,2)="15",LEFT(TH!M3979,2)="15"),'152-CT'!$J$8=TH!F3979),"x","")</f>
        <v/>
      </c>
      <c r="W3979" s="525" t="str">
        <f>IF(AND(OR(LEFT(TH!L3979,2)="15",LEFT(TH!M3979,2)="15"),TK!$E$7=TH!F3979),"x","")</f>
        <v/>
      </c>
      <c r="X3979" s="525" t="str">
        <f>IF(AND('341-CT'!$E$9=H3979,OR(LEFT(L3979,3)=$X$7,LEFT(M3979,3)=$X$7)),"x","")</f>
        <v/>
      </c>
      <c r="Y3979" s="525" t="str">
        <f>IF(OR(TH!L3979=TH!$Y$7,M3979=TH!$Y$7),"x","")</f>
        <v/>
      </c>
      <c r="Z3979" s="525" t="str">
        <f>IF(AND(B3979&lt;=NKC!$N$8,B3979&gt;=NKC!$M$8),"x","")</f>
        <v/>
      </c>
      <c r="AA3979" s="535">
        <v>3</v>
      </c>
      <c r="AB3979" s="536"/>
      <c r="AC3979" s="536" t="str">
        <f>VLOOKUP(F3979,NXT!$B$12:$B$686,1,0)</f>
        <v>Giấy cuộn</v>
      </c>
    </row>
    <row r="3980" spans="1:29" s="503" customFormat="1" ht="15.75" customHeight="1">
      <c r="A3980" s="517" t="str">
        <f>IF(B3980&lt;&gt;"",IF(AND(B3980&gt;=_TM1,B3980&lt;=_TM2,OR(TH!L3980="1111",TH!M3980="1111")),TH!D3980,""),"")</f>
        <v/>
      </c>
      <c r="B3980" s="531">
        <f t="shared" si="483"/>
        <v>8</v>
      </c>
      <c r="C3980" s="315">
        <f t="shared" si="484"/>
        <v>42952</v>
      </c>
      <c r="D3980" s="315" t="s">
        <v>1180</v>
      </c>
      <c r="E3980" s="315">
        <v>42952</v>
      </c>
      <c r="F3980" s="249" t="s">
        <v>499</v>
      </c>
      <c r="G3980" s="314" t="s">
        <v>1608</v>
      </c>
      <c r="H3980" s="473" t="s">
        <v>1501</v>
      </c>
      <c r="I3980" s="307"/>
      <c r="J3980" s="307"/>
      <c r="K3980" s="532">
        <v>15254925</v>
      </c>
      <c r="L3980" s="534" t="s">
        <v>9</v>
      </c>
      <c r="M3980" s="534" t="s">
        <v>8</v>
      </c>
      <c r="N3980" s="525" t="str">
        <f>IF(AND('331-CT'!$E$7=TH!H3980,OR(L3980="331",M3980="331")),"331",IF(AND(OR(L3980="131",M3980="131"),H3980='131-CT'!$E$7),"131",""))</f>
        <v/>
      </c>
      <c r="O3980" s="525" t="str">
        <f>IF(AND($B3980&gt;='111'!$N$11,$B3980&lt;='111'!$O$11,OR($L3980=$O$7,$M3980=$O$7)),"x","")</f>
        <v/>
      </c>
      <c r="P3980" s="525" t="str">
        <f>IF(AND($L3980=$O$7,$B3980&lt;'111'!$N$11),"x","")</f>
        <v/>
      </c>
      <c r="Q3980" s="525" t="str">
        <f>IF(AND($M3980=$O$7,$B3980&lt;'111'!$N$11),"x","")</f>
        <v/>
      </c>
      <c r="R3980" s="525" t="str">
        <f>IF(ISERROR(FIND('112'!$M$9,G3980,1)),"",IF((AND(FIND('112'!$M$9,G3980,1)&gt;=1,$B3980&gt;='112'!$N$8,$B3980&lt;='112'!$O$8,OR($L3980='112'!$I$6,$M3980='112'!$I$6))),"x",""))</f>
        <v/>
      </c>
      <c r="S3980" s="525" t="str">
        <f>IF(ISERROR(FIND('112'!$M$9,G3980,1)),"",IF((AND(LEFT(G3980,2)=LEFT('112'!$M$9,2),B3980&lt;'112'!$N$8,$L3980='112'!$I$6)),"x",""))</f>
        <v/>
      </c>
      <c r="T3980" s="525" t="str">
        <f>IF(ISERROR(FIND('112'!$M$9,G3980,1)),"",IF((AND(RIGHT(G3980,2)=RIGHT('112'!$M$9,2),B3980&lt;'112'!$N$8,$M3980='112'!$I$6)),"x",""))</f>
        <v/>
      </c>
      <c r="U3980" s="525" t="str">
        <f>IF(AND(B3980&gt;='IN-NX'!$P$3,B3980&lt;='IN-NX'!$Q$3,'IN-NX'!$D$7=D3980,OR(LEFT(L3980,2)="15",AND(LEFT(M3980,2)&lt;&gt;"15",LEFT(M3980,2)&lt;&gt;"33"))),"x","")</f>
        <v/>
      </c>
      <c r="V3980" s="525" t="str">
        <f>IF(AND(OR(LEFT(TH!L3980,2)="15",LEFT(TH!M3980,2)="15"),'152-CT'!$J$8=TH!F3980),"x","")</f>
        <v/>
      </c>
      <c r="W3980" s="525" t="str">
        <f>IF(AND(OR(LEFT(TH!L3980,2)="15",LEFT(TH!M3980,2)="15"),TK!$E$7=TH!F3980),"x","")</f>
        <v/>
      </c>
      <c r="X3980" s="525" t="str">
        <f>IF(AND('341-CT'!$E$9=H3980,OR(LEFT(L3980,3)=$X$7,LEFT(M3980,3)=$X$7)),"x","")</f>
        <v/>
      </c>
      <c r="Y3980" s="525" t="str">
        <f>IF(OR(TH!L3980=TH!$Y$7,M3980=TH!$Y$7),"x","")</f>
        <v/>
      </c>
      <c r="Z3980" s="525" t="str">
        <f>IF(AND(B3980&lt;=NKC!$N$8,B3980&gt;=NKC!$M$8),"x","")</f>
        <v/>
      </c>
      <c r="AA3980" s="535">
        <v>3</v>
      </c>
      <c r="AB3980" s="536"/>
    </row>
    <row r="3981" spans="1:29" s="503" customFormat="1" ht="15.75" customHeight="1">
      <c r="A3981" s="517" t="str">
        <f>IF(B3981&lt;&gt;"",IF(AND(B3981&gt;=_TM1,B3981&lt;=_TM2,OR(TH!L3981="1111",TH!M3981="1111")),TH!D3981,""),"")</f>
        <v/>
      </c>
      <c r="B3981" s="531">
        <f t="shared" si="480"/>
        <v>8</v>
      </c>
      <c r="C3981" s="315">
        <f t="shared" si="481"/>
        <v>42957</v>
      </c>
      <c r="D3981" s="315" t="s">
        <v>1180</v>
      </c>
      <c r="E3981" s="315">
        <v>42957</v>
      </c>
      <c r="F3981" s="249" t="s">
        <v>1414</v>
      </c>
      <c r="G3981" s="314" t="s">
        <v>1603</v>
      </c>
      <c r="H3981" s="473" t="s">
        <v>1501</v>
      </c>
      <c r="I3981" s="307">
        <v>1000</v>
      </c>
      <c r="J3981" s="307">
        <v>9641</v>
      </c>
      <c r="K3981" s="532">
        <f t="shared" si="482"/>
        <v>9641000</v>
      </c>
      <c r="L3981" s="534" t="s">
        <v>292</v>
      </c>
      <c r="M3981" s="534" t="s">
        <v>8</v>
      </c>
      <c r="N3981" s="525" t="str">
        <f>IF(AND('331-CT'!$E$7=TH!H3981,OR(L3981="331",M3981="331")),"331",IF(AND(OR(L3981="131",M3981="131"),H3981='131-CT'!$E$7),"131",""))</f>
        <v/>
      </c>
      <c r="O3981" s="525" t="str">
        <f>IF(AND($B3981&gt;='111'!$N$11,$B3981&lt;='111'!$O$11,OR($L3981=$O$7,$M3981=$O$7)),"x","")</f>
        <v/>
      </c>
      <c r="P3981" s="525" t="str">
        <f>IF(AND($L3981=$O$7,$B3981&lt;'111'!$N$11),"x","")</f>
        <v/>
      </c>
      <c r="Q3981" s="525" t="str">
        <f>IF(AND($M3981=$O$7,$B3981&lt;'111'!$N$11),"x","")</f>
        <v/>
      </c>
      <c r="R3981" s="525" t="str">
        <f>IF(ISERROR(FIND('112'!$M$9,G3981,1)),"",IF((AND(FIND('112'!$M$9,G3981,1)&gt;=1,$B3981&gt;='112'!$N$8,$B3981&lt;='112'!$O$8,OR($L3981='112'!$I$6,$M3981='112'!$I$6))),"x",""))</f>
        <v/>
      </c>
      <c r="S3981" s="525" t="str">
        <f>IF(ISERROR(FIND('112'!$M$9,G3981,1)),"",IF((AND(LEFT(G3981,2)=LEFT('112'!$M$9,2),B3981&lt;'112'!$N$8,$L3981='112'!$I$6)),"x",""))</f>
        <v/>
      </c>
      <c r="T3981" s="525" t="str">
        <f>IF(ISERROR(FIND('112'!$M$9,G3981,1)),"",IF((AND(RIGHT(G3981,2)=RIGHT('112'!$M$9,2),B3981&lt;'112'!$N$8,$M3981='112'!$I$6)),"x",""))</f>
        <v/>
      </c>
      <c r="U3981" s="525" t="str">
        <f>IF(AND(B3981&gt;='IN-NX'!$P$3,B3981&lt;='IN-NX'!$Q$3,'IN-NX'!$D$7=D3981,OR(LEFT(L3981,2)="15",AND(LEFT(M3981,2)&lt;&gt;"15",LEFT(M3981,2)&lt;&gt;"33"))),"x","")</f>
        <v/>
      </c>
      <c r="V3981" s="525" t="str">
        <f>IF(AND(OR(LEFT(TH!L3981,2)="15",LEFT(TH!M3981,2)="15"),'152-CT'!$J$8=TH!F3981),"x","")</f>
        <v/>
      </c>
      <c r="W3981" s="525" t="str">
        <f>IF(AND(OR(LEFT(TH!L3981,2)="15",LEFT(TH!M3981,2)="15"),TK!$E$7=TH!F3981),"x","")</f>
        <v/>
      </c>
      <c r="X3981" s="525" t="str">
        <f>IF(AND('341-CT'!$E$9=H3981,OR(LEFT(L3981,3)=$X$7,LEFT(M3981,3)=$X$7)),"x","")</f>
        <v/>
      </c>
      <c r="Y3981" s="525" t="str">
        <f>IF(OR(TH!L3981=TH!$Y$7,M3981=TH!$Y$7),"x","")</f>
        <v/>
      </c>
      <c r="Z3981" s="525" t="str">
        <f>IF(AND(B3981&lt;=NKC!$N$8,B3981&gt;=NKC!$M$8),"x","")</f>
        <v/>
      </c>
      <c r="AA3981" s="535">
        <v>3</v>
      </c>
      <c r="AB3981" s="536"/>
      <c r="AC3981" s="536" t="str">
        <f>VLOOKUP(F3981,NXT!$B$12:$B$686,1,0)</f>
        <v>Thùng 36x30x19.5</v>
      </c>
    </row>
    <row r="3982" spans="1:29" s="503" customFormat="1" ht="15.75" customHeight="1">
      <c r="A3982" s="517" t="str">
        <f>IF(B3982&lt;&gt;"",IF(AND(B3982&gt;=_TM1,B3982&lt;=_TM2,OR(TH!L3982="1111",TH!M3982="1111")),TH!D3982,""),"")</f>
        <v/>
      </c>
      <c r="B3982" s="531">
        <f t="shared" si="480"/>
        <v>8</v>
      </c>
      <c r="C3982" s="315">
        <f t="shared" si="481"/>
        <v>42957</v>
      </c>
      <c r="D3982" s="315" t="s">
        <v>1180</v>
      </c>
      <c r="E3982" s="315">
        <v>42957</v>
      </c>
      <c r="F3982" s="249" t="s">
        <v>494</v>
      </c>
      <c r="G3982" s="314" t="s">
        <v>1603</v>
      </c>
      <c r="H3982" s="473" t="s">
        <v>1501</v>
      </c>
      <c r="I3982" s="307"/>
      <c r="J3982" s="307"/>
      <c r="K3982" s="532">
        <v>964100</v>
      </c>
      <c r="L3982" s="534" t="s">
        <v>9</v>
      </c>
      <c r="M3982" s="534" t="s">
        <v>8</v>
      </c>
      <c r="N3982" s="525" t="str">
        <f>IF(AND('331-CT'!$E$7=TH!H3982,OR(L3982="331",M3982="331")),"331",IF(AND(OR(L3982="131",M3982="131"),H3982='131-CT'!$E$7),"131",""))</f>
        <v/>
      </c>
      <c r="O3982" s="525" t="str">
        <f>IF(AND($B3982&gt;='111'!$N$11,$B3982&lt;='111'!$O$11,OR($L3982=$O$7,$M3982=$O$7)),"x","")</f>
        <v/>
      </c>
      <c r="P3982" s="525" t="str">
        <f>IF(AND($L3982=$O$7,$B3982&lt;'111'!$N$11),"x","")</f>
        <v/>
      </c>
      <c r="Q3982" s="525" t="str">
        <f>IF(AND($M3982=$O$7,$B3982&lt;'111'!$N$11),"x","")</f>
        <v/>
      </c>
      <c r="R3982" s="525" t="str">
        <f>IF(ISERROR(FIND('112'!$M$9,G3982,1)),"",IF((AND(FIND('112'!$M$9,G3982,1)&gt;=1,$B3982&gt;='112'!$N$8,$B3982&lt;='112'!$O$8,OR($L3982='112'!$I$6,$M3982='112'!$I$6))),"x",""))</f>
        <v/>
      </c>
      <c r="S3982" s="525" t="str">
        <f>IF(ISERROR(FIND('112'!$M$9,G3982,1)),"",IF((AND(LEFT(G3982,2)=LEFT('112'!$M$9,2),B3982&lt;'112'!$N$8,$L3982='112'!$I$6)),"x",""))</f>
        <v/>
      </c>
      <c r="T3982" s="525" t="str">
        <f>IF(ISERROR(FIND('112'!$M$9,G3982,1)),"",IF((AND(RIGHT(G3982,2)=RIGHT('112'!$M$9,2),B3982&lt;'112'!$N$8,$M3982='112'!$I$6)),"x",""))</f>
        <v/>
      </c>
      <c r="U3982" s="525" t="str">
        <f>IF(AND(B3982&gt;='IN-NX'!$P$3,B3982&lt;='IN-NX'!$Q$3,'IN-NX'!$D$7=D3982,OR(LEFT(L3982,2)="15",AND(LEFT(M3982,2)&lt;&gt;"15",LEFT(M3982,2)&lt;&gt;"33"))),"x","")</f>
        <v/>
      </c>
      <c r="V3982" s="525" t="str">
        <f>IF(AND(OR(LEFT(TH!L3982,2)="15",LEFT(TH!M3982,2)="15"),'152-CT'!$J$8=TH!F3982),"x","")</f>
        <v/>
      </c>
      <c r="W3982" s="525" t="str">
        <f>IF(AND(OR(LEFT(TH!L3982,2)="15",LEFT(TH!M3982,2)="15"),TK!$E$7=TH!F3982),"x","")</f>
        <v/>
      </c>
      <c r="X3982" s="525" t="str">
        <f>IF(AND('341-CT'!$E$9=H3982,OR(LEFT(L3982,3)=$X$7,LEFT(M3982,3)=$X$7)),"x","")</f>
        <v/>
      </c>
      <c r="Y3982" s="525" t="str">
        <f>IF(OR(TH!L3982=TH!$Y$7,M3982=TH!$Y$7),"x","")</f>
        <v/>
      </c>
      <c r="Z3982" s="525" t="str">
        <f>IF(AND(B3982&lt;=NKC!$N$8,B3982&gt;=NKC!$M$8),"x","")</f>
        <v/>
      </c>
      <c r="AA3982" s="535">
        <v>3</v>
      </c>
      <c r="AB3982" s="536"/>
    </row>
    <row r="3983" spans="1:29" s="503" customFormat="1" ht="15.75" customHeight="1">
      <c r="A3983" s="517" t="str">
        <f>IF(B3983&lt;&gt;"",IF(AND(B3983&gt;=_TM1,B3983&lt;=_TM2,OR(TH!L3983="1111",TH!M3983="1111")),TH!D3983,""),"")</f>
        <v/>
      </c>
      <c r="B3983" s="531">
        <f t="shared" si="480"/>
        <v>8</v>
      </c>
      <c r="C3983" s="315">
        <f t="shared" si="481"/>
        <v>42958</v>
      </c>
      <c r="D3983" s="315" t="s">
        <v>1180</v>
      </c>
      <c r="E3983" s="315">
        <v>42958</v>
      </c>
      <c r="F3983" s="250" t="s">
        <v>1596</v>
      </c>
      <c r="G3983" s="314" t="s">
        <v>1604</v>
      </c>
      <c r="H3983" s="473" t="s">
        <v>1501</v>
      </c>
      <c r="I3983" s="307">
        <v>1705</v>
      </c>
      <c r="J3983" s="307">
        <v>10808</v>
      </c>
      <c r="K3983" s="532">
        <f t="shared" si="482"/>
        <v>18427640</v>
      </c>
      <c r="L3983" s="534" t="s">
        <v>292</v>
      </c>
      <c r="M3983" s="534" t="s">
        <v>8</v>
      </c>
      <c r="N3983" s="525" t="str">
        <f>IF(AND('331-CT'!$E$7=TH!H3983,OR(L3983="331",M3983="331")),"331",IF(AND(OR(L3983="131",M3983="131"),H3983='131-CT'!$E$7),"131",""))</f>
        <v/>
      </c>
      <c r="O3983" s="525" t="str">
        <f>IF(AND($B3983&gt;='111'!$N$11,$B3983&lt;='111'!$O$11,OR($L3983=$O$7,$M3983=$O$7)),"x","")</f>
        <v/>
      </c>
      <c r="P3983" s="525" t="str">
        <f>IF(AND($L3983=$O$7,$B3983&lt;'111'!$N$11),"x","")</f>
        <v/>
      </c>
      <c r="Q3983" s="525" t="str">
        <f>IF(AND($M3983=$O$7,$B3983&lt;'111'!$N$11),"x","")</f>
        <v/>
      </c>
      <c r="R3983" s="525" t="str">
        <f>IF(ISERROR(FIND('112'!$M$9,G3983,1)),"",IF((AND(FIND('112'!$M$9,G3983,1)&gt;=1,$B3983&gt;='112'!$N$8,$B3983&lt;='112'!$O$8,OR($L3983='112'!$I$6,$M3983='112'!$I$6))),"x",""))</f>
        <v/>
      </c>
      <c r="S3983" s="525" t="str">
        <f>IF(ISERROR(FIND('112'!$M$9,G3983,1)),"",IF((AND(LEFT(G3983,2)=LEFT('112'!$M$9,2),B3983&lt;'112'!$N$8,$L3983='112'!$I$6)),"x",""))</f>
        <v/>
      </c>
      <c r="T3983" s="525" t="str">
        <f>IF(ISERROR(FIND('112'!$M$9,G3983,1)),"",IF((AND(RIGHT(G3983,2)=RIGHT('112'!$M$9,2),B3983&lt;'112'!$N$8,$M3983='112'!$I$6)),"x",""))</f>
        <v/>
      </c>
      <c r="U3983" s="525" t="str">
        <f>IF(AND(B3983&gt;='IN-NX'!$P$3,B3983&lt;='IN-NX'!$Q$3,'IN-NX'!$D$7=D3983,OR(LEFT(L3983,2)="15",AND(LEFT(M3983,2)&lt;&gt;"15",LEFT(M3983,2)&lt;&gt;"33"))),"x","")</f>
        <v/>
      </c>
      <c r="V3983" s="525" t="str">
        <f>IF(AND(OR(LEFT(TH!L3983,2)="15",LEFT(TH!M3983,2)="15"),'152-CT'!$J$8=TH!F3983),"x","")</f>
        <v/>
      </c>
      <c r="W3983" s="525" t="str">
        <f>IF(AND(OR(LEFT(TH!L3983,2)="15",LEFT(TH!M3983,2)="15"),TK!$E$7=TH!F3983),"x","")</f>
        <v/>
      </c>
      <c r="X3983" s="525" t="str">
        <f>IF(AND('341-CT'!$E$9=H3983,OR(LEFT(L3983,3)=$X$7,LEFT(M3983,3)=$X$7)),"x","")</f>
        <v/>
      </c>
      <c r="Y3983" s="525" t="str">
        <f>IF(OR(TH!L3983=TH!$Y$7,M3983=TH!$Y$7),"x","")</f>
        <v/>
      </c>
      <c r="Z3983" s="525" t="str">
        <f>IF(AND(B3983&lt;=NKC!$N$8,B3983&gt;=NKC!$M$8),"x","")</f>
        <v/>
      </c>
      <c r="AA3983" s="535">
        <v>3</v>
      </c>
      <c r="AB3983" s="536"/>
      <c r="AC3983" s="536" t="str">
        <f>VLOOKUP(F3983,NXT!$B$12:$B$686,1,0)</f>
        <v>Thùng 183x192x8.2</v>
      </c>
    </row>
    <row r="3984" spans="1:29" s="503" customFormat="1" ht="15.75" customHeight="1">
      <c r="A3984" s="517" t="str">
        <f>IF(B3984&lt;&gt;"",IF(AND(B3984&gt;=_TM1,B3984&lt;=_TM2,OR(TH!L3984="1111",TH!M3984="1111")),TH!D3984,""),"")</f>
        <v/>
      </c>
      <c r="B3984" s="531">
        <f t="shared" si="480"/>
        <v>8</v>
      </c>
      <c r="C3984" s="315">
        <f t="shared" si="481"/>
        <v>42958</v>
      </c>
      <c r="D3984" s="315" t="s">
        <v>1180</v>
      </c>
      <c r="E3984" s="315">
        <v>42958</v>
      </c>
      <c r="F3984" s="250" t="s">
        <v>1321</v>
      </c>
      <c r="G3984" s="314" t="s">
        <v>1604</v>
      </c>
      <c r="H3984" s="473" t="s">
        <v>1501</v>
      </c>
      <c r="I3984" s="307">
        <v>1505</v>
      </c>
      <c r="J3984" s="307">
        <v>9407</v>
      </c>
      <c r="K3984" s="532">
        <f t="shared" si="482"/>
        <v>14157535</v>
      </c>
      <c r="L3984" s="534" t="s">
        <v>292</v>
      </c>
      <c r="M3984" s="534" t="s">
        <v>8</v>
      </c>
      <c r="N3984" s="525" t="str">
        <f>IF(AND('331-CT'!$E$7=TH!H3984,OR(L3984="331",M3984="331")),"331",IF(AND(OR(L3984="131",M3984="131"),H3984='131-CT'!$E$7),"131",""))</f>
        <v/>
      </c>
      <c r="O3984" s="525" t="str">
        <f>IF(AND($B3984&gt;='111'!$N$11,$B3984&lt;='111'!$O$11,OR($L3984=$O$7,$M3984=$O$7)),"x","")</f>
        <v/>
      </c>
      <c r="P3984" s="525" t="str">
        <f>IF(AND($L3984=$O$7,$B3984&lt;'111'!$N$11),"x","")</f>
        <v/>
      </c>
      <c r="Q3984" s="525" t="str">
        <f>IF(AND($M3984=$O$7,$B3984&lt;'111'!$N$11),"x","")</f>
        <v/>
      </c>
      <c r="R3984" s="525" t="str">
        <f>IF(ISERROR(FIND('112'!$M$9,G3984,1)),"",IF((AND(FIND('112'!$M$9,G3984,1)&gt;=1,$B3984&gt;='112'!$N$8,$B3984&lt;='112'!$O$8,OR($L3984='112'!$I$6,$M3984='112'!$I$6))),"x",""))</f>
        <v/>
      </c>
      <c r="S3984" s="525" t="str">
        <f>IF(ISERROR(FIND('112'!$M$9,G3984,1)),"",IF((AND(LEFT(G3984,2)=LEFT('112'!$M$9,2),B3984&lt;'112'!$N$8,$L3984='112'!$I$6)),"x",""))</f>
        <v/>
      </c>
      <c r="T3984" s="525" t="str">
        <f>IF(ISERROR(FIND('112'!$M$9,G3984,1)),"",IF((AND(RIGHT(G3984,2)=RIGHT('112'!$M$9,2),B3984&lt;'112'!$N$8,$M3984='112'!$I$6)),"x",""))</f>
        <v/>
      </c>
      <c r="U3984" s="525" t="str">
        <f>IF(AND(B3984&gt;='IN-NX'!$P$3,B3984&lt;='IN-NX'!$Q$3,'IN-NX'!$D$7=D3984,OR(LEFT(L3984,2)="15",AND(LEFT(M3984,2)&lt;&gt;"15",LEFT(M3984,2)&lt;&gt;"33"))),"x","")</f>
        <v/>
      </c>
      <c r="V3984" s="525" t="str">
        <f>IF(AND(OR(LEFT(TH!L3984,2)="15",LEFT(TH!M3984,2)="15"),'152-CT'!$J$8=TH!F3984),"x","")</f>
        <v/>
      </c>
      <c r="W3984" s="525" t="str">
        <f>IF(AND(OR(LEFT(TH!L3984,2)="15",LEFT(TH!M3984,2)="15"),TK!$E$7=TH!F3984),"x","")</f>
        <v/>
      </c>
      <c r="X3984" s="525" t="str">
        <f>IF(AND('341-CT'!$E$9=H3984,OR(LEFT(L3984,3)=$X$7,LEFT(M3984,3)=$X$7)),"x","")</f>
        <v/>
      </c>
      <c r="Y3984" s="525" t="str">
        <f>IF(OR(TH!L3984=TH!$Y$7,M3984=TH!$Y$7),"x","")</f>
        <v/>
      </c>
      <c r="Z3984" s="525" t="str">
        <f>IF(AND(B3984&lt;=NKC!$N$8,B3984&gt;=NKC!$M$8),"x","")</f>
        <v/>
      </c>
      <c r="AA3984" s="535">
        <v>3</v>
      </c>
      <c r="AB3984" s="536"/>
      <c r="AC3984" s="536" t="str">
        <f>VLOOKUP(F3984,NXT!$B$12:$B$686,1,0)</f>
        <v>Thùng 183x12.9x11.4</v>
      </c>
    </row>
    <row r="3985" spans="1:29" s="503" customFormat="1" ht="15.75" customHeight="1">
      <c r="A3985" s="517" t="str">
        <f>IF(B3985&lt;&gt;"",IF(AND(B3985&gt;=_TM1,B3985&lt;=_TM2,OR(TH!L3985="1111",TH!M3985="1111")),TH!D3985,""),"")</f>
        <v/>
      </c>
      <c r="B3985" s="531">
        <f t="shared" si="480"/>
        <v>8</v>
      </c>
      <c r="C3985" s="315">
        <f t="shared" si="481"/>
        <v>42958</v>
      </c>
      <c r="D3985" s="315" t="s">
        <v>1180</v>
      </c>
      <c r="E3985" s="315">
        <v>42958</v>
      </c>
      <c r="F3985" s="250" t="s">
        <v>1308</v>
      </c>
      <c r="G3985" s="314" t="s">
        <v>1604</v>
      </c>
      <c r="H3985" s="473" t="s">
        <v>1501</v>
      </c>
      <c r="I3985" s="307">
        <v>385</v>
      </c>
      <c r="J3985" s="307">
        <v>11445</v>
      </c>
      <c r="K3985" s="532">
        <f t="shared" si="482"/>
        <v>4406325</v>
      </c>
      <c r="L3985" s="534" t="s">
        <v>292</v>
      </c>
      <c r="M3985" s="534" t="s">
        <v>8</v>
      </c>
      <c r="N3985" s="525" t="str">
        <f>IF(AND('331-CT'!$E$7=TH!H3985,OR(L3985="331",M3985="331")),"331",IF(AND(OR(L3985="131",M3985="131"),H3985='131-CT'!$E$7),"131",""))</f>
        <v/>
      </c>
      <c r="O3985" s="525" t="str">
        <f>IF(AND($B3985&gt;='111'!$N$11,$B3985&lt;='111'!$O$11,OR($L3985=$O$7,$M3985=$O$7)),"x","")</f>
        <v/>
      </c>
      <c r="P3985" s="525" t="str">
        <f>IF(AND($L3985=$O$7,$B3985&lt;'111'!$N$11),"x","")</f>
        <v/>
      </c>
      <c r="Q3985" s="525" t="str">
        <f>IF(AND($M3985=$O$7,$B3985&lt;'111'!$N$11),"x","")</f>
        <v/>
      </c>
      <c r="R3985" s="525" t="str">
        <f>IF(ISERROR(FIND('112'!$M$9,G3985,1)),"",IF((AND(FIND('112'!$M$9,G3985,1)&gt;=1,$B3985&gt;='112'!$N$8,$B3985&lt;='112'!$O$8,OR($L3985='112'!$I$6,$M3985='112'!$I$6))),"x",""))</f>
        <v/>
      </c>
      <c r="S3985" s="525" t="str">
        <f>IF(ISERROR(FIND('112'!$M$9,G3985,1)),"",IF((AND(LEFT(G3985,2)=LEFT('112'!$M$9,2),B3985&lt;'112'!$N$8,$L3985='112'!$I$6)),"x",""))</f>
        <v/>
      </c>
      <c r="T3985" s="525" t="str">
        <f>IF(ISERROR(FIND('112'!$M$9,G3985,1)),"",IF((AND(RIGHT(G3985,2)=RIGHT('112'!$M$9,2),B3985&lt;'112'!$N$8,$M3985='112'!$I$6)),"x",""))</f>
        <v/>
      </c>
      <c r="U3985" s="525" t="str">
        <f>IF(AND(B3985&gt;='IN-NX'!$P$3,B3985&lt;='IN-NX'!$Q$3,'IN-NX'!$D$7=D3985,OR(LEFT(L3985,2)="15",AND(LEFT(M3985,2)&lt;&gt;"15",LEFT(M3985,2)&lt;&gt;"33"))),"x","")</f>
        <v/>
      </c>
      <c r="V3985" s="525" t="str">
        <f>IF(AND(OR(LEFT(TH!L3985,2)="15",LEFT(TH!M3985,2)="15"),'152-CT'!$J$8=TH!F3985),"x","")</f>
        <v/>
      </c>
      <c r="W3985" s="525" t="str">
        <f>IF(AND(OR(LEFT(TH!L3985,2)="15",LEFT(TH!M3985,2)="15"),TK!$E$7=TH!F3985),"x","")</f>
        <v/>
      </c>
      <c r="X3985" s="525" t="str">
        <f>IF(AND('341-CT'!$E$9=H3985,OR(LEFT(L3985,3)=$X$7,LEFT(M3985,3)=$X$7)),"x","")</f>
        <v/>
      </c>
      <c r="Y3985" s="525" t="str">
        <f>IF(OR(TH!L3985=TH!$Y$7,M3985=TH!$Y$7),"x","")</f>
        <v/>
      </c>
      <c r="Z3985" s="525" t="str">
        <f>IF(AND(B3985&lt;=NKC!$N$8,B3985&gt;=NKC!$M$8),"x","")</f>
        <v/>
      </c>
      <c r="AA3985" s="535">
        <v>3</v>
      </c>
      <c r="AB3985" s="536"/>
      <c r="AC3985" s="536" t="str">
        <f>VLOOKUP(F3985,NXT!$B$12:$B$686,1,0)</f>
        <v>Thùng 183x15.9x10</v>
      </c>
    </row>
    <row r="3986" spans="1:29" s="503" customFormat="1" ht="15.75" customHeight="1">
      <c r="A3986" s="517" t="str">
        <f>IF(B3986&lt;&gt;"",IF(AND(B3986&gt;=_TM1,B3986&lt;=_TM2,OR(TH!L3986="1111",TH!M3986="1111")),TH!D3986,""),"")</f>
        <v/>
      </c>
      <c r="B3986" s="531">
        <f t="shared" si="480"/>
        <v>8</v>
      </c>
      <c r="C3986" s="315">
        <f t="shared" si="481"/>
        <v>42958</v>
      </c>
      <c r="D3986" s="315" t="s">
        <v>1180</v>
      </c>
      <c r="E3986" s="315">
        <v>42958</v>
      </c>
      <c r="F3986" s="250" t="s">
        <v>380</v>
      </c>
      <c r="G3986" s="314" t="s">
        <v>1604</v>
      </c>
      <c r="H3986" s="473" t="s">
        <v>1501</v>
      </c>
      <c r="I3986" s="307">
        <f>3951+4463+4635</f>
        <v>13049</v>
      </c>
      <c r="J3986" s="307">
        <v>12250</v>
      </c>
      <c r="K3986" s="532">
        <f t="shared" si="482"/>
        <v>159850250</v>
      </c>
      <c r="L3986" s="534" t="s">
        <v>292</v>
      </c>
      <c r="M3986" s="534" t="s">
        <v>8</v>
      </c>
      <c r="N3986" s="525" t="str">
        <f>IF(AND('331-CT'!$E$7=TH!H3986,OR(L3986="331",M3986="331")),"331",IF(AND(OR(L3986="131",M3986="131"),H3986='131-CT'!$E$7),"131",""))</f>
        <v/>
      </c>
      <c r="O3986" s="525" t="str">
        <f>IF(AND($B3986&gt;='111'!$N$11,$B3986&lt;='111'!$O$11,OR($L3986=$O$7,$M3986=$O$7)),"x","")</f>
        <v/>
      </c>
      <c r="P3986" s="525" t="str">
        <f>IF(AND($L3986=$O$7,$B3986&lt;'111'!$N$11),"x","")</f>
        <v/>
      </c>
      <c r="Q3986" s="525" t="str">
        <f>IF(AND($M3986=$O$7,$B3986&lt;'111'!$N$11),"x","")</f>
        <v/>
      </c>
      <c r="R3986" s="525" t="str">
        <f>IF(ISERROR(FIND('112'!$M$9,G3986,1)),"",IF((AND(FIND('112'!$M$9,G3986,1)&gt;=1,$B3986&gt;='112'!$N$8,$B3986&lt;='112'!$O$8,OR($L3986='112'!$I$6,$M3986='112'!$I$6))),"x",""))</f>
        <v/>
      </c>
      <c r="S3986" s="525" t="str">
        <f>IF(ISERROR(FIND('112'!$M$9,G3986,1)),"",IF((AND(LEFT(G3986,2)=LEFT('112'!$M$9,2),B3986&lt;'112'!$N$8,$L3986='112'!$I$6)),"x",""))</f>
        <v/>
      </c>
      <c r="T3986" s="525" t="str">
        <f>IF(ISERROR(FIND('112'!$M$9,G3986,1)),"",IF((AND(RIGHT(G3986,2)=RIGHT('112'!$M$9,2),B3986&lt;'112'!$N$8,$M3986='112'!$I$6)),"x",""))</f>
        <v/>
      </c>
      <c r="U3986" s="525" t="str">
        <f>IF(AND(B3986&gt;='IN-NX'!$P$3,B3986&lt;='IN-NX'!$Q$3,'IN-NX'!$D$7=D3986,OR(LEFT(L3986,2)="15",AND(LEFT(M3986,2)&lt;&gt;"15",LEFT(M3986,2)&lt;&gt;"33"))),"x","")</f>
        <v/>
      </c>
      <c r="V3986" s="525" t="str">
        <f>IF(AND(OR(LEFT(TH!L3986,2)="15",LEFT(TH!M3986,2)="15"),'152-CT'!$J$8=TH!F3986),"x","")</f>
        <v/>
      </c>
      <c r="W3986" s="525" t="str">
        <f>IF(AND(OR(LEFT(TH!L3986,2)="15",LEFT(TH!M3986,2)="15"),TK!$E$7=TH!F3986),"x","")</f>
        <v/>
      </c>
      <c r="X3986" s="525" t="str">
        <f>IF(AND('341-CT'!$E$9=H3986,OR(LEFT(L3986,3)=$X$7,LEFT(M3986,3)=$X$7)),"x","")</f>
        <v/>
      </c>
      <c r="Y3986" s="525" t="str">
        <f>IF(OR(TH!L3986=TH!$Y$7,M3986=TH!$Y$7),"x","")</f>
        <v/>
      </c>
      <c r="Z3986" s="525" t="str">
        <f>IF(AND(B3986&lt;=NKC!$N$8,B3986&gt;=NKC!$M$8),"x","")</f>
        <v/>
      </c>
      <c r="AA3986" s="535">
        <v>3</v>
      </c>
      <c r="AB3986" s="536"/>
      <c r="AC3986" s="536" t="str">
        <f>VLOOKUP(F3986,NXT!$B$12:$B$686,1,0)</f>
        <v>Giấy cuộn</v>
      </c>
    </row>
    <row r="3987" spans="1:29" s="503" customFormat="1" ht="15.75" customHeight="1">
      <c r="A3987" s="517" t="str">
        <f>IF(B3987&lt;&gt;"",IF(AND(B3987&gt;=_TM1,B3987&lt;=_TM2,OR(TH!L3987="1111",TH!M3987="1111")),TH!D3987,""),"")</f>
        <v/>
      </c>
      <c r="B3987" s="531">
        <f t="shared" si="467"/>
        <v>8</v>
      </c>
      <c r="C3987" s="315">
        <f t="shared" si="367"/>
        <v>42958</v>
      </c>
      <c r="D3987" s="315" t="s">
        <v>1180</v>
      </c>
      <c r="E3987" s="315">
        <v>42958</v>
      </c>
      <c r="F3987" s="249" t="s">
        <v>494</v>
      </c>
      <c r="G3987" s="314" t="s">
        <v>1604</v>
      </c>
      <c r="H3987" s="473" t="s">
        <v>1501</v>
      </c>
      <c r="I3987" s="307"/>
      <c r="J3987" s="307"/>
      <c r="K3987" s="532">
        <v>19684175</v>
      </c>
      <c r="L3987" s="534" t="s">
        <v>9</v>
      </c>
      <c r="M3987" s="534" t="s">
        <v>8</v>
      </c>
      <c r="N3987" s="525" t="str">
        <f>IF(AND('331-CT'!$E$7=TH!H3987,OR(L3987="331",M3987="331")),"331",IF(AND(OR(L3987="131",M3987="131"),H3987='131-CT'!$E$7),"131",""))</f>
        <v/>
      </c>
      <c r="O3987" s="525" t="str">
        <f>IF(AND($B3987&gt;='111'!$N$11,$B3987&lt;='111'!$O$11,OR($L3987=$O$7,$M3987=$O$7)),"x","")</f>
        <v/>
      </c>
      <c r="P3987" s="525" t="str">
        <f>IF(AND($L3987=$O$7,$B3987&lt;'111'!$N$11),"x","")</f>
        <v/>
      </c>
      <c r="Q3987" s="525" t="str">
        <f>IF(AND($M3987=$O$7,$B3987&lt;'111'!$N$11),"x","")</f>
        <v/>
      </c>
      <c r="R3987" s="525" t="str">
        <f>IF(ISERROR(FIND('112'!$M$9,G3987,1)),"",IF((AND(FIND('112'!$M$9,G3987,1)&gt;=1,$B3987&gt;='112'!$N$8,$B3987&lt;='112'!$O$8,OR($L3987='112'!$I$6,$M3987='112'!$I$6))),"x",""))</f>
        <v/>
      </c>
      <c r="S3987" s="525" t="str">
        <f>IF(ISERROR(FIND('112'!$M$9,G3987,1)),"",IF((AND(LEFT(G3987,2)=LEFT('112'!$M$9,2),B3987&lt;'112'!$N$8,$L3987='112'!$I$6)),"x",""))</f>
        <v/>
      </c>
      <c r="T3987" s="525" t="str">
        <f>IF(ISERROR(FIND('112'!$M$9,G3987,1)),"",IF((AND(RIGHT(G3987,2)=RIGHT('112'!$M$9,2),B3987&lt;'112'!$N$8,$M3987='112'!$I$6)),"x",""))</f>
        <v/>
      </c>
      <c r="U3987" s="525" t="str">
        <f>IF(AND(B3987&gt;='IN-NX'!$P$3,B3987&lt;='IN-NX'!$Q$3,'IN-NX'!$D$7=D3987,OR(LEFT(L3987,2)="15",AND(LEFT(M3987,2)&lt;&gt;"15",LEFT(M3987,2)&lt;&gt;"33"))),"x","")</f>
        <v/>
      </c>
      <c r="V3987" s="525" t="str">
        <f>IF(AND(OR(LEFT(TH!L3987,2)="15",LEFT(TH!M3987,2)="15"),'152-CT'!$J$8=TH!F3987),"x","")</f>
        <v/>
      </c>
      <c r="W3987" s="525" t="str">
        <f>IF(AND(OR(LEFT(TH!L3987,2)="15",LEFT(TH!M3987,2)="15"),TK!$E$7=TH!F3987),"x","")</f>
        <v/>
      </c>
      <c r="X3987" s="525" t="str">
        <f>IF(AND('341-CT'!$E$9=H3987,OR(LEFT(L3987,3)=$X$7,LEFT(M3987,3)=$X$7)),"x","")</f>
        <v/>
      </c>
      <c r="Y3987" s="525" t="str">
        <f>IF(OR(TH!L3987=TH!$Y$7,M3987=TH!$Y$7),"x","")</f>
        <v/>
      </c>
      <c r="Z3987" s="525" t="str">
        <f>IF(AND(B3987&lt;=NKC!$N$8,B3987&gt;=NKC!$M$8),"x","")</f>
        <v/>
      </c>
      <c r="AA3987" s="535">
        <v>3</v>
      </c>
      <c r="AB3987" s="536"/>
    </row>
    <row r="3988" spans="1:29" s="503" customFormat="1" ht="15.75" customHeight="1">
      <c r="A3988" s="517" t="str">
        <f>IF(B3988&lt;&gt;"",IF(AND(B3988&gt;=_TM1,B3988&lt;=_TM2,OR(TH!L3988="1111",TH!M3988="1111")),TH!D3988,""),"")</f>
        <v/>
      </c>
      <c r="B3988" s="531">
        <f t="shared" si="467"/>
        <v>8</v>
      </c>
      <c r="C3988" s="315">
        <f t="shared" si="367"/>
        <v>42961</v>
      </c>
      <c r="D3988" s="315" t="s">
        <v>1180</v>
      </c>
      <c r="E3988" s="315">
        <v>42961</v>
      </c>
      <c r="F3988" s="249" t="s">
        <v>1421</v>
      </c>
      <c r="G3988" s="314" t="s">
        <v>1605</v>
      </c>
      <c r="H3988" s="473" t="s">
        <v>1501</v>
      </c>
      <c r="I3988" s="307">
        <v>320</v>
      </c>
      <c r="J3988" s="307">
        <v>6174</v>
      </c>
      <c r="K3988" s="532">
        <f t="shared" ref="K3988:K3998" si="486">ROUND(I3988*J3988,0)</f>
        <v>1975680</v>
      </c>
      <c r="L3988" s="534" t="s">
        <v>292</v>
      </c>
      <c r="M3988" s="534" t="s">
        <v>8</v>
      </c>
      <c r="N3988" s="525" t="str">
        <f>IF(AND('331-CT'!$E$7=TH!H3988,OR(L3988="331",M3988="331")),"331",IF(AND(OR(L3988="131",M3988="131"),H3988='131-CT'!$E$7),"131",""))</f>
        <v/>
      </c>
      <c r="O3988" s="525" t="str">
        <f>IF(AND($B3988&gt;='111'!$N$11,$B3988&lt;='111'!$O$11,OR($L3988=$O$7,$M3988=$O$7)),"x","")</f>
        <v/>
      </c>
      <c r="P3988" s="525" t="str">
        <f>IF(AND($L3988=$O$7,$B3988&lt;'111'!$N$11),"x","")</f>
        <v/>
      </c>
      <c r="Q3988" s="525" t="str">
        <f>IF(AND($M3988=$O$7,$B3988&lt;'111'!$N$11),"x","")</f>
        <v/>
      </c>
      <c r="R3988" s="525" t="str">
        <f>IF(ISERROR(FIND('112'!$M$9,G3988,1)),"",IF((AND(FIND('112'!$M$9,G3988,1)&gt;=1,$B3988&gt;='112'!$N$8,$B3988&lt;='112'!$O$8,OR($L3988='112'!$I$6,$M3988='112'!$I$6))),"x",""))</f>
        <v/>
      </c>
      <c r="S3988" s="525" t="str">
        <f>IF(ISERROR(FIND('112'!$M$9,G3988,1)),"",IF((AND(LEFT(G3988,2)=LEFT('112'!$M$9,2),B3988&lt;'112'!$N$8,$L3988='112'!$I$6)),"x",""))</f>
        <v/>
      </c>
      <c r="T3988" s="525" t="str">
        <f>IF(ISERROR(FIND('112'!$M$9,G3988,1)),"",IF((AND(RIGHT(G3988,2)=RIGHT('112'!$M$9,2),B3988&lt;'112'!$N$8,$M3988='112'!$I$6)),"x",""))</f>
        <v/>
      </c>
      <c r="U3988" s="525" t="str">
        <f>IF(AND(B3988&gt;='IN-NX'!$P$3,B3988&lt;='IN-NX'!$Q$3,'IN-NX'!$D$7=D3988,OR(LEFT(L3988,2)="15",AND(LEFT(M3988,2)&lt;&gt;"15",LEFT(M3988,2)&lt;&gt;"33"))),"x","")</f>
        <v/>
      </c>
      <c r="V3988" s="525" t="str">
        <f>IF(AND(OR(LEFT(TH!L3988,2)="15",LEFT(TH!M3988,2)="15"),'152-CT'!$J$8=TH!F3988),"x","")</f>
        <v/>
      </c>
      <c r="W3988" s="525" t="str">
        <f>IF(AND(OR(LEFT(TH!L3988,2)="15",LEFT(TH!M3988,2)="15"),TK!$E$7=TH!F3988),"x","")</f>
        <v/>
      </c>
      <c r="X3988" s="525" t="str">
        <f>IF(AND('341-CT'!$E$9=H3988,OR(LEFT(L3988,3)=$X$7,LEFT(M3988,3)=$X$7)),"x","")</f>
        <v/>
      </c>
      <c r="Y3988" s="525" t="str">
        <f>IF(OR(TH!L3988=TH!$Y$7,M3988=TH!$Y$7),"x","")</f>
        <v/>
      </c>
      <c r="Z3988" s="525" t="str">
        <f>IF(AND(B3988&lt;=NKC!$N$8,B3988&gt;=NKC!$M$8),"x","")</f>
        <v/>
      </c>
      <c r="AA3988" s="535">
        <v>3</v>
      </c>
      <c r="AB3988" s="536"/>
      <c r="AC3988" s="536" t="str">
        <f>VLOOKUP(F3988,NXT!$B$12:$B$686,1,0)</f>
        <v>Thùng 55x55x100</v>
      </c>
    </row>
    <row r="3989" spans="1:29" s="503" customFormat="1" ht="15.75" customHeight="1">
      <c r="A3989" s="517" t="str">
        <f>IF(B3989&lt;&gt;"",IF(AND(B3989&gt;=_TM1,B3989&lt;=_TM2,OR(TH!L3989="1111",TH!M3989="1111")),TH!D3989,""),"")</f>
        <v/>
      </c>
      <c r="B3989" s="531">
        <f t="shared" si="467"/>
        <v>8</v>
      </c>
      <c r="C3989" s="315">
        <f t="shared" si="367"/>
        <v>42961</v>
      </c>
      <c r="D3989" s="315" t="s">
        <v>1180</v>
      </c>
      <c r="E3989" s="315">
        <v>42961</v>
      </c>
      <c r="F3989" s="250" t="s">
        <v>380</v>
      </c>
      <c r="G3989" s="314" t="s">
        <v>1605</v>
      </c>
      <c r="H3989" s="473" t="s">
        <v>1501</v>
      </c>
      <c r="I3989" s="307">
        <f>2019+2218+2361</f>
        <v>6598</v>
      </c>
      <c r="J3989" s="307">
        <v>12250</v>
      </c>
      <c r="K3989" s="532">
        <f t="shared" si="486"/>
        <v>80825500</v>
      </c>
      <c r="L3989" s="534" t="s">
        <v>292</v>
      </c>
      <c r="M3989" s="534" t="s">
        <v>8</v>
      </c>
      <c r="N3989" s="525" t="str">
        <f>IF(AND('331-CT'!$E$7=TH!H3989,OR(L3989="331",M3989="331")),"331",IF(AND(OR(L3989="131",M3989="131"),H3989='131-CT'!$E$7),"131",""))</f>
        <v/>
      </c>
      <c r="O3989" s="525" t="str">
        <f>IF(AND($B3989&gt;='111'!$N$11,$B3989&lt;='111'!$O$11,OR($L3989=$O$7,$M3989=$O$7)),"x","")</f>
        <v/>
      </c>
      <c r="P3989" s="525" t="str">
        <f>IF(AND($L3989=$O$7,$B3989&lt;'111'!$N$11),"x","")</f>
        <v/>
      </c>
      <c r="Q3989" s="525" t="str">
        <f>IF(AND($M3989=$O$7,$B3989&lt;'111'!$N$11),"x","")</f>
        <v/>
      </c>
      <c r="R3989" s="525" t="str">
        <f>IF(ISERROR(FIND('112'!$M$9,G3989,1)),"",IF((AND(FIND('112'!$M$9,G3989,1)&gt;=1,$B3989&gt;='112'!$N$8,$B3989&lt;='112'!$O$8,OR($L3989='112'!$I$6,$M3989='112'!$I$6))),"x",""))</f>
        <v/>
      </c>
      <c r="S3989" s="525" t="str">
        <f>IF(ISERROR(FIND('112'!$M$9,G3989,1)),"",IF((AND(LEFT(G3989,2)=LEFT('112'!$M$9,2),B3989&lt;'112'!$N$8,$L3989='112'!$I$6)),"x",""))</f>
        <v/>
      </c>
      <c r="T3989" s="525" t="str">
        <f>IF(ISERROR(FIND('112'!$M$9,G3989,1)),"",IF((AND(RIGHT(G3989,2)=RIGHT('112'!$M$9,2),B3989&lt;'112'!$N$8,$M3989='112'!$I$6)),"x",""))</f>
        <v/>
      </c>
      <c r="U3989" s="525" t="str">
        <f>IF(AND(B3989&gt;='IN-NX'!$P$3,B3989&lt;='IN-NX'!$Q$3,'IN-NX'!$D$7=D3989,OR(LEFT(L3989,2)="15",AND(LEFT(M3989,2)&lt;&gt;"15",LEFT(M3989,2)&lt;&gt;"33"))),"x","")</f>
        <v/>
      </c>
      <c r="V3989" s="525" t="str">
        <f>IF(AND(OR(LEFT(TH!L3989,2)="15",LEFT(TH!M3989,2)="15"),'152-CT'!$J$8=TH!F3989),"x","")</f>
        <v/>
      </c>
      <c r="W3989" s="525" t="str">
        <f>IF(AND(OR(LEFT(TH!L3989,2)="15",LEFT(TH!M3989,2)="15"),TK!$E$7=TH!F3989),"x","")</f>
        <v/>
      </c>
      <c r="X3989" s="525" t="str">
        <f>IF(AND('341-CT'!$E$9=H3989,OR(LEFT(L3989,3)=$X$7,LEFT(M3989,3)=$X$7)),"x","")</f>
        <v/>
      </c>
      <c r="Y3989" s="525" t="str">
        <f>IF(OR(TH!L3989=TH!$Y$7,M3989=TH!$Y$7),"x","")</f>
        <v/>
      </c>
      <c r="Z3989" s="525" t="str">
        <f>IF(AND(B3989&lt;=NKC!$N$8,B3989&gt;=NKC!$M$8),"x","")</f>
        <v/>
      </c>
      <c r="AA3989" s="535">
        <v>3</v>
      </c>
      <c r="AB3989" s="536"/>
      <c r="AC3989" s="536" t="str">
        <f>VLOOKUP(F3989,NXT!$B$12:$B$686,1,0)</f>
        <v>Giấy cuộn</v>
      </c>
    </row>
    <row r="3990" spans="1:29" s="503" customFormat="1" ht="15.75" customHeight="1">
      <c r="A3990" s="517" t="str">
        <f>IF(B3990&lt;&gt;"",IF(AND(B3990&gt;=_TM1,B3990&lt;=_TM2,OR(TH!L3990="1111",TH!M3990="1111")),TH!D3990,""),"")</f>
        <v/>
      </c>
      <c r="B3990" s="531">
        <f t="shared" si="467"/>
        <v>8</v>
      </c>
      <c r="C3990" s="315">
        <f t="shared" si="367"/>
        <v>42961</v>
      </c>
      <c r="D3990" s="315" t="s">
        <v>1180</v>
      </c>
      <c r="E3990" s="315">
        <v>42961</v>
      </c>
      <c r="F3990" s="249" t="s">
        <v>494</v>
      </c>
      <c r="G3990" s="314" t="s">
        <v>1605</v>
      </c>
      <c r="H3990" s="473" t="s">
        <v>1501</v>
      </c>
      <c r="I3990" s="307"/>
      <c r="J3990" s="307"/>
      <c r="K3990" s="532">
        <v>8280118</v>
      </c>
      <c r="L3990" s="534" t="s">
        <v>9</v>
      </c>
      <c r="M3990" s="534" t="s">
        <v>8</v>
      </c>
      <c r="N3990" s="525" t="str">
        <f>IF(AND('331-CT'!$E$7=TH!H3990,OR(L3990="331",M3990="331")),"331",IF(AND(OR(L3990="131",M3990="131"),H3990='131-CT'!$E$7),"131",""))</f>
        <v/>
      </c>
      <c r="O3990" s="525" t="str">
        <f>IF(AND($B3990&gt;='111'!$N$11,$B3990&lt;='111'!$O$11,OR($L3990=$O$7,$M3990=$O$7)),"x","")</f>
        <v/>
      </c>
      <c r="P3990" s="525" t="str">
        <f>IF(AND($L3990=$O$7,$B3990&lt;'111'!$N$11),"x","")</f>
        <v/>
      </c>
      <c r="Q3990" s="525" t="str">
        <f>IF(AND($M3990=$O$7,$B3990&lt;'111'!$N$11),"x","")</f>
        <v/>
      </c>
      <c r="R3990" s="525" t="str">
        <f>IF(ISERROR(FIND('112'!$M$9,G3990,1)),"",IF((AND(FIND('112'!$M$9,G3990,1)&gt;=1,$B3990&gt;='112'!$N$8,$B3990&lt;='112'!$O$8,OR($L3990='112'!$I$6,$M3990='112'!$I$6))),"x",""))</f>
        <v/>
      </c>
      <c r="S3990" s="525" t="str">
        <f>IF(ISERROR(FIND('112'!$M$9,G3990,1)),"",IF((AND(LEFT(G3990,2)=LEFT('112'!$M$9,2),B3990&lt;'112'!$N$8,$L3990='112'!$I$6)),"x",""))</f>
        <v/>
      </c>
      <c r="T3990" s="525" t="str">
        <f>IF(ISERROR(FIND('112'!$M$9,G3990,1)),"",IF((AND(RIGHT(G3990,2)=RIGHT('112'!$M$9,2),B3990&lt;'112'!$N$8,$M3990='112'!$I$6)),"x",""))</f>
        <v/>
      </c>
      <c r="U3990" s="525" t="str">
        <f>IF(AND(B3990&gt;='IN-NX'!$P$3,B3990&lt;='IN-NX'!$Q$3,'IN-NX'!$D$7=D3990,OR(LEFT(L3990,2)="15",AND(LEFT(M3990,2)&lt;&gt;"15",LEFT(M3990,2)&lt;&gt;"33"))),"x","")</f>
        <v/>
      </c>
      <c r="V3990" s="525" t="str">
        <f>IF(AND(OR(LEFT(TH!L3990,2)="15",LEFT(TH!M3990,2)="15"),'152-CT'!$J$8=TH!F3990),"x","")</f>
        <v/>
      </c>
      <c r="W3990" s="525" t="str">
        <f>IF(AND(OR(LEFT(TH!L3990,2)="15",LEFT(TH!M3990,2)="15"),TK!$E$7=TH!F3990),"x","")</f>
        <v/>
      </c>
      <c r="X3990" s="525" t="str">
        <f>IF(AND('341-CT'!$E$9=H3990,OR(LEFT(L3990,3)=$X$7,LEFT(M3990,3)=$X$7)),"x","")</f>
        <v/>
      </c>
      <c r="Y3990" s="525" t="str">
        <f>IF(OR(TH!L3990=TH!$Y$7,M3990=TH!$Y$7),"x","")</f>
        <v/>
      </c>
      <c r="Z3990" s="525" t="str">
        <f>IF(AND(B3990&lt;=NKC!$N$8,B3990&gt;=NKC!$M$8),"x","")</f>
        <v/>
      </c>
      <c r="AA3990" s="535">
        <v>3</v>
      </c>
      <c r="AB3990" s="536"/>
    </row>
    <row r="3991" spans="1:29" s="503" customFormat="1" ht="15.75" customHeight="1">
      <c r="A3991" s="517" t="str">
        <f>IF(B3991&lt;&gt;"",IF(AND(B3991&gt;=_TM1,B3991&lt;=_TM2,OR(TH!L3991="1111",TH!M3991="1111")),TH!D3991,""),"")</f>
        <v/>
      </c>
      <c r="B3991" s="531">
        <f t="shared" si="467"/>
        <v>8</v>
      </c>
      <c r="C3991" s="315">
        <f t="shared" si="367"/>
        <v>42965</v>
      </c>
      <c r="D3991" s="315" t="s">
        <v>1180</v>
      </c>
      <c r="E3991" s="315">
        <v>42965</v>
      </c>
      <c r="F3991" s="250" t="s">
        <v>1424</v>
      </c>
      <c r="G3991" s="314" t="s">
        <v>1606</v>
      </c>
      <c r="H3991" s="473" t="s">
        <v>1501</v>
      </c>
      <c r="I3991" s="307">
        <v>560</v>
      </c>
      <c r="J3991" s="307">
        <v>15484</v>
      </c>
      <c r="K3991" s="532">
        <f t="shared" si="486"/>
        <v>8671040</v>
      </c>
      <c r="L3991" s="534" t="s">
        <v>292</v>
      </c>
      <c r="M3991" s="534" t="s">
        <v>8</v>
      </c>
      <c r="N3991" s="525" t="str">
        <f>IF(AND('331-CT'!$E$7=TH!H3991,OR(L3991="331",M3991="331")),"331",IF(AND(OR(L3991="131",M3991="131"),H3991='131-CT'!$E$7),"131",""))</f>
        <v/>
      </c>
      <c r="O3991" s="525" t="str">
        <f>IF(AND($B3991&gt;='111'!$N$11,$B3991&lt;='111'!$O$11,OR($L3991=$O$7,$M3991=$O$7)),"x","")</f>
        <v/>
      </c>
      <c r="P3991" s="525" t="str">
        <f>IF(AND($L3991=$O$7,$B3991&lt;'111'!$N$11),"x","")</f>
        <v/>
      </c>
      <c r="Q3991" s="525" t="str">
        <f>IF(AND($M3991=$O$7,$B3991&lt;'111'!$N$11),"x","")</f>
        <v/>
      </c>
      <c r="R3991" s="525" t="str">
        <f>IF(ISERROR(FIND('112'!$M$9,G3991,1)),"",IF((AND(FIND('112'!$M$9,G3991,1)&gt;=1,$B3991&gt;='112'!$N$8,$B3991&lt;='112'!$O$8,OR($L3991='112'!$I$6,$M3991='112'!$I$6))),"x",""))</f>
        <v/>
      </c>
      <c r="S3991" s="525" t="str">
        <f>IF(ISERROR(FIND('112'!$M$9,G3991,1)),"",IF((AND(LEFT(G3991,2)=LEFT('112'!$M$9,2),B3991&lt;'112'!$N$8,$L3991='112'!$I$6)),"x",""))</f>
        <v/>
      </c>
      <c r="T3991" s="525" t="str">
        <f>IF(ISERROR(FIND('112'!$M$9,G3991,1)),"",IF((AND(RIGHT(G3991,2)=RIGHT('112'!$M$9,2),B3991&lt;'112'!$N$8,$M3991='112'!$I$6)),"x",""))</f>
        <v/>
      </c>
      <c r="U3991" s="525" t="str">
        <f>IF(AND(B3991&gt;='IN-NX'!$P$3,B3991&lt;='IN-NX'!$Q$3,'IN-NX'!$D$7=D3991,OR(LEFT(L3991,2)="15",AND(LEFT(M3991,2)&lt;&gt;"15",LEFT(M3991,2)&lt;&gt;"33"))),"x","")</f>
        <v/>
      </c>
      <c r="V3991" s="525" t="str">
        <f>IF(AND(OR(LEFT(TH!L3991,2)="15",LEFT(TH!M3991,2)="15"),'152-CT'!$J$8=TH!F3991),"x","")</f>
        <v/>
      </c>
      <c r="W3991" s="525" t="str">
        <f>IF(AND(OR(LEFT(TH!L3991,2)="15",LEFT(TH!M3991,2)="15"),TK!$E$7=TH!F3991),"x","")</f>
        <v/>
      </c>
      <c r="X3991" s="525" t="str">
        <f>IF(AND('341-CT'!$E$9=H3991,OR(LEFT(L3991,3)=$X$7,LEFT(M3991,3)=$X$7)),"x","")</f>
        <v/>
      </c>
      <c r="Y3991" s="525" t="str">
        <f>IF(OR(TH!L3991=TH!$Y$7,M3991=TH!$Y$7),"x","")</f>
        <v/>
      </c>
      <c r="Z3991" s="525" t="str">
        <f>IF(AND(B3991&lt;=NKC!$N$8,B3991&gt;=NKC!$M$8),"x","")</f>
        <v/>
      </c>
      <c r="AA3991" s="535">
        <v>3</v>
      </c>
      <c r="AB3991" s="536"/>
      <c r="AC3991" s="536" t="str">
        <f>VLOOKUP(F3991,NXT!$B$12:$B$686,1,0)</f>
        <v>Thùng 53x40x61</v>
      </c>
    </row>
    <row r="3992" spans="1:29" s="503" customFormat="1" ht="15.75" customHeight="1">
      <c r="A3992" s="517" t="str">
        <f>IF(B3992&lt;&gt;"",IF(AND(B3992&gt;=_TM1,B3992&lt;=_TM2,OR(TH!L3992="1111",TH!M3992="1111")),TH!D3992,""),"")</f>
        <v/>
      </c>
      <c r="B3992" s="531">
        <f t="shared" ref="B3992:B3998" si="487">IF(C3992&lt;&gt;"",MONTH(C3992),"")</f>
        <v>8</v>
      </c>
      <c r="C3992" s="315">
        <f t="shared" ref="C3992:C3998" si="488">E3992</f>
        <v>42965</v>
      </c>
      <c r="D3992" s="315" t="s">
        <v>1180</v>
      </c>
      <c r="E3992" s="315">
        <v>42965</v>
      </c>
      <c r="F3992" s="245" t="s">
        <v>274</v>
      </c>
      <c r="G3992" s="314" t="s">
        <v>1606</v>
      </c>
      <c r="H3992" s="473" t="s">
        <v>1501</v>
      </c>
      <c r="I3992" s="307">
        <v>7400</v>
      </c>
      <c r="J3992" s="307">
        <v>18130</v>
      </c>
      <c r="K3992" s="532">
        <f t="shared" si="486"/>
        <v>134162000</v>
      </c>
      <c r="L3992" s="534" t="s">
        <v>292</v>
      </c>
      <c r="M3992" s="534" t="s">
        <v>8</v>
      </c>
      <c r="N3992" s="525" t="str">
        <f>IF(AND('331-CT'!$E$7=TH!H3992,OR(L3992="331",M3992="331")),"331",IF(AND(OR(L3992="131",M3992="131"),H3992='131-CT'!$E$7),"131",""))</f>
        <v/>
      </c>
      <c r="O3992" s="525" t="str">
        <f>IF(AND($B3992&gt;='111'!$N$11,$B3992&lt;='111'!$O$11,OR($L3992=$O$7,$M3992=$O$7)),"x","")</f>
        <v/>
      </c>
      <c r="P3992" s="525" t="str">
        <f>IF(AND($L3992=$O$7,$B3992&lt;'111'!$N$11),"x","")</f>
        <v/>
      </c>
      <c r="Q3992" s="525" t="str">
        <f>IF(AND($M3992=$O$7,$B3992&lt;'111'!$N$11),"x","")</f>
        <v/>
      </c>
      <c r="R3992" s="525" t="str">
        <f>IF(ISERROR(FIND('112'!$M$9,G3992,1)),"",IF((AND(FIND('112'!$M$9,G3992,1)&gt;=1,$B3992&gt;='112'!$N$8,$B3992&lt;='112'!$O$8,OR($L3992='112'!$I$6,$M3992='112'!$I$6))),"x",""))</f>
        <v/>
      </c>
      <c r="S3992" s="525" t="str">
        <f>IF(ISERROR(FIND('112'!$M$9,G3992,1)),"",IF((AND(LEFT(G3992,2)=LEFT('112'!$M$9,2),B3992&lt;'112'!$N$8,$L3992='112'!$I$6)),"x",""))</f>
        <v/>
      </c>
      <c r="T3992" s="525" t="str">
        <f>IF(ISERROR(FIND('112'!$M$9,G3992,1)),"",IF((AND(RIGHT(G3992,2)=RIGHT('112'!$M$9,2),B3992&lt;'112'!$N$8,$M3992='112'!$I$6)),"x",""))</f>
        <v/>
      </c>
      <c r="U3992" s="525" t="str">
        <f>IF(AND(B3992&gt;='IN-NX'!$P$3,B3992&lt;='IN-NX'!$Q$3,'IN-NX'!$D$7=D3992,OR(LEFT(L3992,2)="15",AND(LEFT(M3992,2)&lt;&gt;"15",LEFT(M3992,2)&lt;&gt;"33"))),"x","")</f>
        <v/>
      </c>
      <c r="V3992" s="525" t="str">
        <f>IF(AND(OR(LEFT(TH!L3992,2)="15",LEFT(TH!M3992,2)="15"),'152-CT'!$J$8=TH!F3992),"x","")</f>
        <v/>
      </c>
      <c r="W3992" s="525" t="str">
        <f>IF(AND(OR(LEFT(TH!L3992,2)="15",LEFT(TH!M3992,2)="15"),TK!$E$7=TH!F3992),"x","")</f>
        <v>x</v>
      </c>
      <c r="X3992" s="525" t="str">
        <f>IF(AND('341-CT'!$E$9=H3992,OR(LEFT(L3992,3)=$X$7,LEFT(M3992,3)=$X$7)),"x","")</f>
        <v/>
      </c>
      <c r="Y3992" s="525" t="str">
        <f>IF(OR(TH!L3992=TH!$Y$7,M3992=TH!$Y$7),"x","")</f>
        <v/>
      </c>
      <c r="Z3992" s="525" t="str">
        <f>IF(AND(B3992&lt;=NKC!$N$8,B3992&gt;=NKC!$M$8),"x","")</f>
        <v/>
      </c>
      <c r="AA3992" s="535">
        <v>3</v>
      </c>
      <c r="AB3992" s="536"/>
      <c r="AC3992" s="536" t="str">
        <f>VLOOKUP(F3992,NXT!$B$12:$B$686,1,0)</f>
        <v>Giấy 2 lớp</v>
      </c>
    </row>
    <row r="3993" spans="1:29" s="503" customFormat="1" ht="15.75" customHeight="1">
      <c r="A3993" s="517" t="str">
        <f>IF(B3993&lt;&gt;"",IF(AND(B3993&gt;=_TM1,B3993&lt;=_TM2,OR(TH!L3993="1111",TH!M3993="1111")),TH!D3993,""),"")</f>
        <v/>
      </c>
      <c r="B3993" s="531">
        <f t="shared" si="487"/>
        <v>8</v>
      </c>
      <c r="C3993" s="315">
        <f t="shared" si="488"/>
        <v>42965</v>
      </c>
      <c r="D3993" s="315" t="s">
        <v>1180</v>
      </c>
      <c r="E3993" s="315">
        <v>42965</v>
      </c>
      <c r="F3993" s="245" t="s">
        <v>273</v>
      </c>
      <c r="G3993" s="314" t="s">
        <v>1606</v>
      </c>
      <c r="H3993" s="473" t="s">
        <v>1501</v>
      </c>
      <c r="I3993" s="307">
        <v>7855</v>
      </c>
      <c r="J3993" s="307">
        <v>18130</v>
      </c>
      <c r="K3993" s="532">
        <f t="shared" si="486"/>
        <v>142411150</v>
      </c>
      <c r="L3993" s="534" t="s">
        <v>292</v>
      </c>
      <c r="M3993" s="534" t="s">
        <v>8</v>
      </c>
      <c r="N3993" s="525" t="str">
        <f>IF(AND('331-CT'!$E$7=TH!H3993,OR(L3993="331",M3993="331")),"331",IF(AND(OR(L3993="131",M3993="131"),H3993='131-CT'!$E$7),"131",""))</f>
        <v/>
      </c>
      <c r="O3993" s="525" t="str">
        <f>IF(AND($B3993&gt;='111'!$N$11,$B3993&lt;='111'!$O$11,OR($L3993=$O$7,$M3993=$O$7)),"x","")</f>
        <v/>
      </c>
      <c r="P3993" s="525" t="str">
        <f>IF(AND($L3993=$O$7,$B3993&lt;'111'!$N$11),"x","")</f>
        <v/>
      </c>
      <c r="Q3993" s="525" t="str">
        <f>IF(AND($M3993=$O$7,$B3993&lt;'111'!$N$11),"x","")</f>
        <v/>
      </c>
      <c r="R3993" s="525" t="str">
        <f>IF(ISERROR(FIND('112'!$M$9,G3993,1)),"",IF((AND(FIND('112'!$M$9,G3993,1)&gt;=1,$B3993&gt;='112'!$N$8,$B3993&lt;='112'!$O$8,OR($L3993='112'!$I$6,$M3993='112'!$I$6))),"x",""))</f>
        <v/>
      </c>
      <c r="S3993" s="525" t="str">
        <f>IF(ISERROR(FIND('112'!$M$9,G3993,1)),"",IF((AND(LEFT(G3993,2)=LEFT('112'!$M$9,2),B3993&lt;'112'!$N$8,$L3993='112'!$I$6)),"x",""))</f>
        <v/>
      </c>
      <c r="T3993" s="525" t="str">
        <f>IF(ISERROR(FIND('112'!$M$9,G3993,1)),"",IF((AND(RIGHT(G3993,2)=RIGHT('112'!$M$9,2),B3993&lt;'112'!$N$8,$M3993='112'!$I$6)),"x",""))</f>
        <v/>
      </c>
      <c r="U3993" s="525" t="str">
        <f>IF(AND(B3993&gt;='IN-NX'!$P$3,B3993&lt;='IN-NX'!$Q$3,'IN-NX'!$D$7=D3993,OR(LEFT(L3993,2)="15",AND(LEFT(M3993,2)&lt;&gt;"15",LEFT(M3993,2)&lt;&gt;"33"))),"x","")</f>
        <v/>
      </c>
      <c r="V3993" s="525" t="str">
        <f>IF(AND(OR(LEFT(TH!L3993,2)="15",LEFT(TH!M3993,2)="15"),'152-CT'!$J$8=TH!F3993),"x","")</f>
        <v>x</v>
      </c>
      <c r="W3993" s="525" t="str">
        <f>IF(AND(OR(LEFT(TH!L3993,2)="15",LEFT(TH!M3993,2)="15"),TK!$E$7=TH!F3993),"x","")</f>
        <v/>
      </c>
      <c r="X3993" s="525" t="str">
        <f>IF(AND('341-CT'!$E$9=H3993,OR(LEFT(L3993,3)=$X$7,LEFT(M3993,3)=$X$7)),"x","")</f>
        <v/>
      </c>
      <c r="Y3993" s="525" t="str">
        <f>IF(OR(TH!L3993=TH!$Y$7,M3993=TH!$Y$7),"x","")</f>
        <v/>
      </c>
      <c r="Z3993" s="525" t="str">
        <f>IF(AND(B3993&lt;=NKC!$N$8,B3993&gt;=NKC!$M$8),"x","")</f>
        <v/>
      </c>
      <c r="AA3993" s="535">
        <v>3</v>
      </c>
      <c r="AB3993" s="536"/>
      <c r="AC3993" s="536" t="str">
        <f>VLOOKUP(F3993,NXT!$B$12:$B$686,1,0)</f>
        <v>Giấy 3 lớp</v>
      </c>
    </row>
    <row r="3994" spans="1:29" s="503" customFormat="1" ht="15.75" customHeight="1">
      <c r="A3994" s="517" t="str">
        <f>IF(B3994&lt;&gt;"",IF(AND(B3994&gt;=_TM1,B3994&lt;=_TM2,OR(TH!L3994="1111",TH!M3994="1111")),TH!D3994,""),"")</f>
        <v/>
      </c>
      <c r="B3994" s="531">
        <f t="shared" si="487"/>
        <v>8</v>
      </c>
      <c r="C3994" s="315">
        <f t="shared" si="488"/>
        <v>42965</v>
      </c>
      <c r="D3994" s="315" t="s">
        <v>1180</v>
      </c>
      <c r="E3994" s="315">
        <v>42965</v>
      </c>
      <c r="F3994" s="249" t="s">
        <v>1428</v>
      </c>
      <c r="G3994" s="314" t="s">
        <v>1606</v>
      </c>
      <c r="H3994" s="473" t="s">
        <v>1501</v>
      </c>
      <c r="I3994" s="307">
        <v>3500</v>
      </c>
      <c r="J3994" s="307">
        <v>323</v>
      </c>
      <c r="K3994" s="532">
        <f t="shared" si="486"/>
        <v>1130500</v>
      </c>
      <c r="L3994" s="534" t="s">
        <v>292</v>
      </c>
      <c r="M3994" s="534" t="s">
        <v>8</v>
      </c>
      <c r="N3994" s="525" t="str">
        <f>IF(AND('331-CT'!$E$7=TH!H3994,OR(L3994="331",M3994="331")),"331",IF(AND(OR(L3994="131",M3994="131"),H3994='131-CT'!$E$7),"131",""))</f>
        <v/>
      </c>
      <c r="O3994" s="525" t="str">
        <f>IF(AND($B3994&gt;='111'!$N$11,$B3994&lt;='111'!$O$11,OR($L3994=$O$7,$M3994=$O$7)),"x","")</f>
        <v/>
      </c>
      <c r="P3994" s="525" t="str">
        <f>IF(AND($L3994=$O$7,$B3994&lt;'111'!$N$11),"x","")</f>
        <v/>
      </c>
      <c r="Q3994" s="525" t="str">
        <f>IF(AND($M3994=$O$7,$B3994&lt;'111'!$N$11),"x","")</f>
        <v/>
      </c>
      <c r="R3994" s="525" t="str">
        <f>IF(ISERROR(FIND('112'!$M$9,G3994,1)),"",IF((AND(FIND('112'!$M$9,G3994,1)&gt;=1,$B3994&gt;='112'!$N$8,$B3994&lt;='112'!$O$8,OR($L3994='112'!$I$6,$M3994='112'!$I$6))),"x",""))</f>
        <v/>
      </c>
      <c r="S3994" s="525" t="str">
        <f>IF(ISERROR(FIND('112'!$M$9,G3994,1)),"",IF((AND(LEFT(G3994,2)=LEFT('112'!$M$9,2),B3994&lt;'112'!$N$8,$L3994='112'!$I$6)),"x",""))</f>
        <v/>
      </c>
      <c r="T3994" s="525" t="str">
        <f>IF(ISERROR(FIND('112'!$M$9,G3994,1)),"",IF((AND(RIGHT(G3994,2)=RIGHT('112'!$M$9,2),B3994&lt;'112'!$N$8,$M3994='112'!$I$6)),"x",""))</f>
        <v/>
      </c>
      <c r="U3994" s="525" t="str">
        <f>IF(AND(B3994&gt;='IN-NX'!$P$3,B3994&lt;='IN-NX'!$Q$3,'IN-NX'!$D$7=D3994,OR(LEFT(L3994,2)="15",AND(LEFT(M3994,2)&lt;&gt;"15",LEFT(M3994,2)&lt;&gt;"33"))),"x","")</f>
        <v/>
      </c>
      <c r="V3994" s="525" t="str">
        <f>IF(AND(OR(LEFT(TH!L3994,2)="15",LEFT(TH!M3994,2)="15"),'152-CT'!$J$8=TH!F3994),"x","")</f>
        <v/>
      </c>
      <c r="W3994" s="525" t="str">
        <f>IF(AND(OR(LEFT(TH!L3994,2)="15",LEFT(TH!M3994,2)="15"),TK!$E$7=TH!F3994),"x","")</f>
        <v/>
      </c>
      <c r="X3994" s="525" t="str">
        <f>IF(AND('341-CT'!$E$9=H3994,OR(LEFT(L3994,3)=$X$7,LEFT(M3994,3)=$X$7)),"x","")</f>
        <v/>
      </c>
      <c r="Y3994" s="525" t="str">
        <f>IF(OR(TH!L3994=TH!$Y$7,M3994=TH!$Y$7),"x","")</f>
        <v/>
      </c>
      <c r="Z3994" s="525" t="str">
        <f>IF(AND(B3994&lt;=NKC!$N$8,B3994&gt;=NKC!$M$8),"x","")</f>
        <v/>
      </c>
      <c r="AA3994" s="535">
        <v>3</v>
      </c>
      <c r="AB3994" s="536"/>
      <c r="AC3994" s="536" t="str">
        <f>VLOOKUP(F3994,NXT!$B$12:$B$686,1,0)</f>
        <v>Lót 23x17</v>
      </c>
    </row>
    <row r="3995" spans="1:29" s="503" customFormat="1" ht="15.75" customHeight="1">
      <c r="A3995" s="517" t="str">
        <f>IF(B3995&lt;&gt;"",IF(AND(B3995&gt;=_TM1,B3995&lt;=_TM2,OR(TH!L3995="1111",TH!M3995="1111")),TH!D3995,""),"")</f>
        <v/>
      </c>
      <c r="B3995" s="531">
        <f t="shared" si="487"/>
        <v>8</v>
      </c>
      <c r="C3995" s="315">
        <f t="shared" si="488"/>
        <v>42965</v>
      </c>
      <c r="D3995" s="315" t="s">
        <v>1180</v>
      </c>
      <c r="E3995" s="315">
        <v>42965</v>
      </c>
      <c r="F3995" s="250" t="s">
        <v>1432</v>
      </c>
      <c r="G3995" s="314" t="s">
        <v>1606</v>
      </c>
      <c r="H3995" s="473" t="s">
        <v>1501</v>
      </c>
      <c r="I3995" s="307">
        <v>500</v>
      </c>
      <c r="J3995" s="307">
        <v>9545</v>
      </c>
      <c r="K3995" s="532">
        <f t="shared" si="486"/>
        <v>4772500</v>
      </c>
      <c r="L3995" s="534" t="s">
        <v>292</v>
      </c>
      <c r="M3995" s="534" t="s">
        <v>8</v>
      </c>
      <c r="N3995" s="525" t="str">
        <f>IF(AND('331-CT'!$E$7=TH!H3995,OR(L3995="331",M3995="331")),"331",IF(AND(OR(L3995="131",M3995="131"),H3995='131-CT'!$E$7),"131",""))</f>
        <v/>
      </c>
      <c r="O3995" s="525" t="str">
        <f>IF(AND($B3995&gt;='111'!$N$11,$B3995&lt;='111'!$O$11,OR($L3995=$O$7,$M3995=$O$7)),"x","")</f>
        <v/>
      </c>
      <c r="P3995" s="525" t="str">
        <f>IF(AND($L3995=$O$7,$B3995&lt;'111'!$N$11),"x","")</f>
        <v/>
      </c>
      <c r="Q3995" s="525" t="str">
        <f>IF(AND($M3995=$O$7,$B3995&lt;'111'!$N$11),"x","")</f>
        <v/>
      </c>
      <c r="R3995" s="525" t="str">
        <f>IF(ISERROR(FIND('112'!$M$9,G3995,1)),"",IF((AND(FIND('112'!$M$9,G3995,1)&gt;=1,$B3995&gt;='112'!$N$8,$B3995&lt;='112'!$O$8,OR($L3995='112'!$I$6,$M3995='112'!$I$6))),"x",""))</f>
        <v/>
      </c>
      <c r="S3995" s="525" t="str">
        <f>IF(ISERROR(FIND('112'!$M$9,G3995,1)),"",IF((AND(LEFT(G3995,2)=LEFT('112'!$M$9,2),B3995&lt;'112'!$N$8,$L3995='112'!$I$6)),"x",""))</f>
        <v/>
      </c>
      <c r="T3995" s="525" t="str">
        <f>IF(ISERROR(FIND('112'!$M$9,G3995,1)),"",IF((AND(RIGHT(G3995,2)=RIGHT('112'!$M$9,2),B3995&lt;'112'!$N$8,$M3995='112'!$I$6)),"x",""))</f>
        <v/>
      </c>
      <c r="U3995" s="525" t="str">
        <f>IF(AND(B3995&gt;='IN-NX'!$P$3,B3995&lt;='IN-NX'!$Q$3,'IN-NX'!$D$7=D3995,OR(LEFT(L3995,2)="15",AND(LEFT(M3995,2)&lt;&gt;"15",LEFT(M3995,2)&lt;&gt;"33"))),"x","")</f>
        <v/>
      </c>
      <c r="V3995" s="525" t="str">
        <f>IF(AND(OR(LEFT(TH!L3995,2)="15",LEFT(TH!M3995,2)="15"),'152-CT'!$J$8=TH!F3995),"x","")</f>
        <v/>
      </c>
      <c r="W3995" s="525" t="str">
        <f>IF(AND(OR(LEFT(TH!L3995,2)="15",LEFT(TH!M3995,2)="15"),TK!$E$7=TH!F3995),"x","")</f>
        <v/>
      </c>
      <c r="X3995" s="525" t="str">
        <f>IF(AND('341-CT'!$E$9=H3995,OR(LEFT(L3995,3)=$X$7,LEFT(M3995,3)=$X$7)),"x","")</f>
        <v/>
      </c>
      <c r="Y3995" s="525" t="str">
        <f>IF(OR(TH!L3995=TH!$Y$7,M3995=TH!$Y$7),"x","")</f>
        <v/>
      </c>
      <c r="Z3995" s="525" t="str">
        <f>IF(AND(B3995&lt;=NKC!$N$8,B3995&gt;=NKC!$M$8),"x","")</f>
        <v/>
      </c>
      <c r="AA3995" s="535">
        <v>3</v>
      </c>
      <c r="AB3995" s="536"/>
      <c r="AC3995" s="536" t="str">
        <f>VLOOKUP(F3995,NXT!$B$12:$B$686,1,0)</f>
        <v>Thùng 35x35x35</v>
      </c>
    </row>
    <row r="3996" spans="1:29" s="503" customFormat="1" ht="15.75" customHeight="1">
      <c r="A3996" s="517" t="str">
        <f>IF(B3996&lt;&gt;"",IF(AND(B3996&gt;=_TM1,B3996&lt;=_TM2,OR(TH!L3996="1111",TH!M3996="1111")),TH!D3996,""),"")</f>
        <v/>
      </c>
      <c r="B3996" s="531">
        <f t="shared" si="487"/>
        <v>8</v>
      </c>
      <c r="C3996" s="315">
        <f t="shared" si="488"/>
        <v>42965</v>
      </c>
      <c r="D3996" s="315" t="s">
        <v>1180</v>
      </c>
      <c r="E3996" s="315">
        <v>42965</v>
      </c>
      <c r="F3996" s="250" t="s">
        <v>1433</v>
      </c>
      <c r="G3996" s="314" t="s">
        <v>1606</v>
      </c>
      <c r="H3996" s="473" t="s">
        <v>1501</v>
      </c>
      <c r="I3996" s="307">
        <v>500</v>
      </c>
      <c r="J3996" s="307">
        <v>14102</v>
      </c>
      <c r="K3996" s="532">
        <f t="shared" si="486"/>
        <v>7051000</v>
      </c>
      <c r="L3996" s="534" t="s">
        <v>292</v>
      </c>
      <c r="M3996" s="534" t="s">
        <v>8</v>
      </c>
      <c r="N3996" s="525" t="str">
        <f>IF(AND('331-CT'!$E$7=TH!H3996,OR(L3996="331",M3996="331")),"331",IF(AND(OR(L3996="131",M3996="131"),H3996='131-CT'!$E$7),"131",""))</f>
        <v/>
      </c>
      <c r="O3996" s="525" t="str">
        <f>IF(AND($B3996&gt;='111'!$N$11,$B3996&lt;='111'!$O$11,OR($L3996=$O$7,$M3996=$O$7)),"x","")</f>
        <v/>
      </c>
      <c r="P3996" s="525" t="str">
        <f>IF(AND($L3996=$O$7,$B3996&lt;'111'!$N$11),"x","")</f>
        <v/>
      </c>
      <c r="Q3996" s="525" t="str">
        <f>IF(AND($M3996=$O$7,$B3996&lt;'111'!$N$11),"x","")</f>
        <v/>
      </c>
      <c r="R3996" s="525" t="str">
        <f>IF(ISERROR(FIND('112'!$M$9,G3996,1)),"",IF((AND(FIND('112'!$M$9,G3996,1)&gt;=1,$B3996&gt;='112'!$N$8,$B3996&lt;='112'!$O$8,OR($L3996='112'!$I$6,$M3996='112'!$I$6))),"x",""))</f>
        <v/>
      </c>
      <c r="S3996" s="525" t="str">
        <f>IF(ISERROR(FIND('112'!$M$9,G3996,1)),"",IF((AND(LEFT(G3996,2)=LEFT('112'!$M$9,2),B3996&lt;'112'!$N$8,$L3996='112'!$I$6)),"x",""))</f>
        <v/>
      </c>
      <c r="T3996" s="525" t="str">
        <f>IF(ISERROR(FIND('112'!$M$9,G3996,1)),"",IF((AND(RIGHT(G3996,2)=RIGHT('112'!$M$9,2),B3996&lt;'112'!$N$8,$M3996='112'!$I$6)),"x",""))</f>
        <v/>
      </c>
      <c r="U3996" s="525" t="str">
        <f>IF(AND(B3996&gt;='IN-NX'!$P$3,B3996&lt;='IN-NX'!$Q$3,'IN-NX'!$D$7=D3996,OR(LEFT(L3996,2)="15",AND(LEFT(M3996,2)&lt;&gt;"15",LEFT(M3996,2)&lt;&gt;"33"))),"x","")</f>
        <v/>
      </c>
      <c r="V3996" s="525" t="str">
        <f>IF(AND(OR(LEFT(TH!L3996,2)="15",LEFT(TH!M3996,2)="15"),'152-CT'!$J$8=TH!F3996),"x","")</f>
        <v/>
      </c>
      <c r="W3996" s="525" t="str">
        <f>IF(AND(OR(LEFT(TH!L3996,2)="15",LEFT(TH!M3996,2)="15"),TK!$E$7=TH!F3996),"x","")</f>
        <v/>
      </c>
      <c r="X3996" s="525" t="str">
        <f>IF(AND('341-CT'!$E$9=H3996,OR(LEFT(L3996,3)=$X$7,LEFT(M3996,3)=$X$7)),"x","")</f>
        <v/>
      </c>
      <c r="Y3996" s="525" t="str">
        <f>IF(OR(TH!L3996=TH!$Y$7,M3996=TH!$Y$7),"x","")</f>
        <v/>
      </c>
      <c r="Z3996" s="525" t="str">
        <f>IF(AND(B3996&lt;=NKC!$N$8,B3996&gt;=NKC!$M$8),"x","")</f>
        <v/>
      </c>
      <c r="AA3996" s="535">
        <v>3</v>
      </c>
      <c r="AB3996" s="536"/>
      <c r="AC3996" s="536" t="str">
        <f>VLOOKUP(F3996,NXT!$B$12:$B$686,1,0)</f>
        <v>Thùng 70x35x35</v>
      </c>
    </row>
    <row r="3997" spans="1:29" s="503" customFormat="1" ht="15.75" customHeight="1">
      <c r="A3997" s="517" t="str">
        <f>IF(B3997&lt;&gt;"",IF(AND(B3997&gt;=_TM1,B3997&lt;=_TM2,OR(TH!L3997="1111",TH!M3997="1111")),TH!D3997,""),"")</f>
        <v/>
      </c>
      <c r="B3997" s="531">
        <f t="shared" si="487"/>
        <v>8</v>
      </c>
      <c r="C3997" s="315">
        <f t="shared" si="488"/>
        <v>42965</v>
      </c>
      <c r="D3997" s="315" t="s">
        <v>1180</v>
      </c>
      <c r="E3997" s="315">
        <v>42965</v>
      </c>
      <c r="F3997" s="249" t="s">
        <v>494</v>
      </c>
      <c r="G3997" s="314" t="s">
        <v>1606</v>
      </c>
      <c r="H3997" s="473" t="s">
        <v>1501</v>
      </c>
      <c r="I3997" s="307"/>
      <c r="J3997" s="307"/>
      <c r="K3997" s="532">
        <v>29819819</v>
      </c>
      <c r="L3997" s="534" t="s">
        <v>9</v>
      </c>
      <c r="M3997" s="534" t="s">
        <v>8</v>
      </c>
      <c r="N3997" s="525" t="str">
        <f>IF(AND('331-CT'!$E$7=TH!H3997,OR(L3997="331",M3997="331")),"331",IF(AND(OR(L3997="131",M3997="131"),H3997='131-CT'!$E$7),"131",""))</f>
        <v/>
      </c>
      <c r="O3997" s="525" t="str">
        <f>IF(AND($B3997&gt;='111'!$N$11,$B3997&lt;='111'!$O$11,OR($L3997=$O$7,$M3997=$O$7)),"x","")</f>
        <v/>
      </c>
      <c r="P3997" s="525" t="str">
        <f>IF(AND($L3997=$O$7,$B3997&lt;'111'!$N$11),"x","")</f>
        <v/>
      </c>
      <c r="Q3997" s="525" t="str">
        <f>IF(AND($M3997=$O$7,$B3997&lt;'111'!$N$11),"x","")</f>
        <v/>
      </c>
      <c r="R3997" s="525" t="str">
        <f>IF(ISERROR(FIND('112'!$M$9,G3997,1)),"",IF((AND(FIND('112'!$M$9,G3997,1)&gt;=1,$B3997&gt;='112'!$N$8,$B3997&lt;='112'!$O$8,OR($L3997='112'!$I$6,$M3997='112'!$I$6))),"x",""))</f>
        <v/>
      </c>
      <c r="S3997" s="525" t="str">
        <f>IF(ISERROR(FIND('112'!$M$9,G3997,1)),"",IF((AND(LEFT(G3997,2)=LEFT('112'!$M$9,2),B3997&lt;'112'!$N$8,$L3997='112'!$I$6)),"x",""))</f>
        <v/>
      </c>
      <c r="T3997" s="525" t="str">
        <f>IF(ISERROR(FIND('112'!$M$9,G3997,1)),"",IF((AND(RIGHT(G3997,2)=RIGHT('112'!$M$9,2),B3997&lt;'112'!$N$8,$M3997='112'!$I$6)),"x",""))</f>
        <v/>
      </c>
      <c r="U3997" s="525" t="str">
        <f>IF(AND(B3997&gt;='IN-NX'!$P$3,B3997&lt;='IN-NX'!$Q$3,'IN-NX'!$D$7=D3997,OR(LEFT(L3997,2)="15",AND(LEFT(M3997,2)&lt;&gt;"15",LEFT(M3997,2)&lt;&gt;"33"))),"x","")</f>
        <v/>
      </c>
      <c r="V3997" s="525" t="str">
        <f>IF(AND(OR(LEFT(TH!L3997,2)="15",LEFT(TH!M3997,2)="15"),'152-CT'!$J$8=TH!F3997),"x","")</f>
        <v/>
      </c>
      <c r="W3997" s="525" t="str">
        <f>IF(AND(OR(LEFT(TH!L3997,2)="15",LEFT(TH!M3997,2)="15"),TK!$E$7=TH!F3997),"x","")</f>
        <v/>
      </c>
      <c r="X3997" s="525" t="str">
        <f>IF(AND('341-CT'!$E$9=H3997,OR(LEFT(L3997,3)=$X$7,LEFT(M3997,3)=$X$7)),"x","")</f>
        <v/>
      </c>
      <c r="Y3997" s="525" t="str">
        <f>IF(OR(TH!L3997=TH!$Y$7,M3997=TH!$Y$7),"x","")</f>
        <v/>
      </c>
      <c r="Z3997" s="525" t="str">
        <f>IF(AND(B3997&lt;=NKC!$N$8,B3997&gt;=NKC!$M$8),"x","")</f>
        <v/>
      </c>
      <c r="AA3997" s="535">
        <v>3</v>
      </c>
      <c r="AB3997" s="536"/>
    </row>
    <row r="3998" spans="1:29" s="503" customFormat="1" ht="15.75" customHeight="1">
      <c r="A3998" s="517" t="str">
        <f>IF(B3998&lt;&gt;"",IF(AND(B3998&gt;=_TM1,B3998&lt;=_TM2,OR(TH!L3998="1111",TH!M3998="1111")),TH!D3998,""),"")</f>
        <v/>
      </c>
      <c r="B3998" s="531">
        <f t="shared" si="487"/>
        <v>8</v>
      </c>
      <c r="C3998" s="315">
        <f t="shared" si="488"/>
        <v>42969</v>
      </c>
      <c r="D3998" s="315" t="s">
        <v>1180</v>
      </c>
      <c r="E3998" s="315">
        <v>42969</v>
      </c>
      <c r="F3998" s="250" t="s">
        <v>1308</v>
      </c>
      <c r="G3998" s="314" t="s">
        <v>1607</v>
      </c>
      <c r="H3998" s="473" t="s">
        <v>1501</v>
      </c>
      <c r="I3998" s="307">
        <v>1220</v>
      </c>
      <c r="J3998" s="307">
        <v>9885</v>
      </c>
      <c r="K3998" s="532">
        <f t="shared" si="486"/>
        <v>12059700</v>
      </c>
      <c r="L3998" s="534" t="s">
        <v>292</v>
      </c>
      <c r="M3998" s="534" t="s">
        <v>8</v>
      </c>
      <c r="N3998" s="525" t="str">
        <f>IF(AND('331-CT'!$E$7=TH!H3998,OR(L3998="331",M3998="331")),"331",IF(AND(OR(L3998="131",M3998="131"),H3998='131-CT'!$E$7),"131",""))</f>
        <v/>
      </c>
      <c r="O3998" s="525" t="str">
        <f>IF(AND($B3998&gt;='111'!$N$11,$B3998&lt;='111'!$O$11,OR($L3998=$O$7,$M3998=$O$7)),"x","")</f>
        <v/>
      </c>
      <c r="P3998" s="525" t="str">
        <f>IF(AND($L3998=$O$7,$B3998&lt;'111'!$N$11),"x","")</f>
        <v/>
      </c>
      <c r="Q3998" s="525" t="str">
        <f>IF(AND($M3998=$O$7,$B3998&lt;'111'!$N$11),"x","")</f>
        <v/>
      </c>
      <c r="R3998" s="525" t="str">
        <f>IF(ISERROR(FIND('112'!$M$9,G3998,1)),"",IF((AND(FIND('112'!$M$9,G3998,1)&gt;=1,$B3998&gt;='112'!$N$8,$B3998&lt;='112'!$O$8,OR($L3998='112'!$I$6,$M3998='112'!$I$6))),"x",""))</f>
        <v/>
      </c>
      <c r="S3998" s="525" t="str">
        <f>IF(ISERROR(FIND('112'!$M$9,G3998,1)),"",IF((AND(LEFT(G3998,2)=LEFT('112'!$M$9,2),B3998&lt;'112'!$N$8,$L3998='112'!$I$6)),"x",""))</f>
        <v/>
      </c>
      <c r="T3998" s="525" t="str">
        <f>IF(ISERROR(FIND('112'!$M$9,G3998,1)),"",IF((AND(RIGHT(G3998,2)=RIGHT('112'!$M$9,2),B3998&lt;'112'!$N$8,$M3998='112'!$I$6)),"x",""))</f>
        <v/>
      </c>
      <c r="U3998" s="525" t="str">
        <f>IF(AND(B3998&gt;='IN-NX'!$P$3,B3998&lt;='IN-NX'!$Q$3,'IN-NX'!$D$7=D3998,OR(LEFT(L3998,2)="15",AND(LEFT(M3998,2)&lt;&gt;"15",LEFT(M3998,2)&lt;&gt;"33"))),"x","")</f>
        <v/>
      </c>
      <c r="V3998" s="525" t="str">
        <f>IF(AND(OR(LEFT(TH!L3998,2)="15",LEFT(TH!M3998,2)="15"),'152-CT'!$J$8=TH!F3998),"x","")</f>
        <v/>
      </c>
      <c r="W3998" s="525" t="str">
        <f>IF(AND(OR(LEFT(TH!L3998,2)="15",LEFT(TH!M3998,2)="15"),TK!$E$7=TH!F3998),"x","")</f>
        <v/>
      </c>
      <c r="X3998" s="525" t="str">
        <f>IF(AND('341-CT'!$E$9=H3998,OR(LEFT(L3998,3)=$X$7,LEFT(M3998,3)=$X$7)),"x","")</f>
        <v/>
      </c>
      <c r="Y3998" s="525" t="str">
        <f>IF(OR(TH!L3998=TH!$Y$7,M3998=TH!$Y$7),"x","")</f>
        <v/>
      </c>
      <c r="Z3998" s="525" t="str">
        <f>IF(AND(B3998&lt;=NKC!$N$8,B3998&gt;=NKC!$M$8),"x","")</f>
        <v/>
      </c>
      <c r="AA3998" s="535">
        <v>3</v>
      </c>
      <c r="AB3998" s="536"/>
      <c r="AC3998" s="536" t="str">
        <f>VLOOKUP(F3998,NXT!$B$12:$B$686,1,0)</f>
        <v>Thùng 183x15.9x10</v>
      </c>
    </row>
    <row r="3999" spans="1:29" s="503" customFormat="1" ht="15.75" customHeight="1">
      <c r="A3999" s="517" t="str">
        <f>IF(B3999&lt;&gt;"",IF(AND(B3999&gt;=_TM1,B3999&lt;=_TM2,OR(TH!L3999="1111",TH!M3999="1111")),TH!D3999,""),"")</f>
        <v/>
      </c>
      <c r="B3999" s="531">
        <f t="shared" ref="B3999:B4095" si="489">IF(C3999&lt;&gt;"",MONTH(C3999),"")</f>
        <v>8</v>
      </c>
      <c r="C3999" s="315">
        <f t="shared" ref="C3999:C4095" si="490">E3999</f>
        <v>42969</v>
      </c>
      <c r="D3999" s="315" t="s">
        <v>1180</v>
      </c>
      <c r="E3999" s="315">
        <v>42969</v>
      </c>
      <c r="F3999" s="250" t="s">
        <v>1435</v>
      </c>
      <c r="G3999" s="314" t="s">
        <v>1607</v>
      </c>
      <c r="H3999" s="473" t="s">
        <v>1501</v>
      </c>
      <c r="I3999" s="307">
        <v>348</v>
      </c>
      <c r="J3999" s="307">
        <v>8155</v>
      </c>
      <c r="K3999" s="532">
        <f t="shared" ref="K3999:K4095" si="491">ROUND(I3999*J3999,0)</f>
        <v>2837940</v>
      </c>
      <c r="L3999" s="534" t="s">
        <v>292</v>
      </c>
      <c r="M3999" s="534" t="s">
        <v>8</v>
      </c>
      <c r="N3999" s="525" t="str">
        <f>IF(AND('331-CT'!$E$7=TH!H3999,OR(L3999="331",M3999="331")),"331",IF(AND(OR(L3999="131",M3999="131"),H3999='131-CT'!$E$7),"131",""))</f>
        <v/>
      </c>
      <c r="O3999" s="525" t="str">
        <f>IF(AND($B3999&gt;='111'!$N$11,$B3999&lt;='111'!$O$11,OR($L3999=$O$7,$M3999=$O$7)),"x","")</f>
        <v/>
      </c>
      <c r="P3999" s="525" t="str">
        <f>IF(AND($L3999=$O$7,$B3999&lt;'111'!$N$11),"x","")</f>
        <v/>
      </c>
      <c r="Q3999" s="525" t="str">
        <f>IF(AND($M3999=$O$7,$B3999&lt;'111'!$N$11),"x","")</f>
        <v/>
      </c>
      <c r="R3999" s="525" t="str">
        <f>IF(ISERROR(FIND('112'!$M$9,G3999,1)),"",IF((AND(FIND('112'!$M$9,G3999,1)&gt;=1,$B3999&gt;='112'!$N$8,$B3999&lt;='112'!$O$8,OR($L3999='112'!$I$6,$M3999='112'!$I$6))),"x",""))</f>
        <v/>
      </c>
      <c r="S3999" s="525" t="str">
        <f>IF(ISERROR(FIND('112'!$M$9,G3999,1)),"",IF((AND(LEFT(G3999,2)=LEFT('112'!$M$9,2),B3999&lt;'112'!$N$8,$L3999='112'!$I$6)),"x",""))</f>
        <v/>
      </c>
      <c r="T3999" s="525" t="str">
        <f>IF(ISERROR(FIND('112'!$M$9,G3999,1)),"",IF((AND(RIGHT(G3999,2)=RIGHT('112'!$M$9,2),B3999&lt;'112'!$N$8,$M3999='112'!$I$6)),"x",""))</f>
        <v/>
      </c>
      <c r="U3999" s="525" t="str">
        <f>IF(AND(B3999&gt;='IN-NX'!$P$3,B3999&lt;='IN-NX'!$Q$3,'IN-NX'!$D$7=D3999,OR(LEFT(L3999,2)="15",AND(LEFT(M3999,2)&lt;&gt;"15",LEFT(M3999,2)&lt;&gt;"33"))),"x","")</f>
        <v/>
      </c>
      <c r="V3999" s="525" t="str">
        <f>IF(AND(OR(LEFT(TH!L3999,2)="15",LEFT(TH!M3999,2)="15"),'152-CT'!$J$8=TH!F3999),"x","")</f>
        <v/>
      </c>
      <c r="W3999" s="525" t="str">
        <f>IF(AND(OR(LEFT(TH!L3999,2)="15",LEFT(TH!M3999,2)="15"),TK!$E$7=TH!F3999),"x","")</f>
        <v/>
      </c>
      <c r="X3999" s="525" t="str">
        <f>IF(AND('341-CT'!$E$9=H3999,OR(LEFT(L3999,3)=$X$7,LEFT(M3999,3)=$X$7)),"x","")</f>
        <v/>
      </c>
      <c r="Y3999" s="525" t="str">
        <f>IF(OR(TH!L3999=TH!$Y$7,M3999=TH!$Y$7),"x","")</f>
        <v/>
      </c>
      <c r="Z3999" s="525" t="str">
        <f>IF(AND(B3999&lt;=NKC!$N$8,B3999&gt;=NKC!$M$8),"x","")</f>
        <v/>
      </c>
      <c r="AA3999" s="535">
        <v>3</v>
      </c>
      <c r="AB3999" s="536"/>
      <c r="AC3999" s="536" t="str">
        <f>VLOOKUP(F3999,NXT!$B$12:$B$686,1,0)</f>
        <v>Thùng 42.5x31.5x20.5</v>
      </c>
    </row>
    <row r="4000" spans="1:29" s="503" customFormat="1" ht="15.75" customHeight="1">
      <c r="A4000" s="517" t="str">
        <f>IF(B4000&lt;&gt;"",IF(AND(B4000&gt;=_TM1,B4000&lt;=_TM2,OR(TH!L4000="1111",TH!M4000="1111")),TH!D4000,""),"")</f>
        <v/>
      </c>
      <c r="B4000" s="531">
        <f t="shared" si="489"/>
        <v>8</v>
      </c>
      <c r="C4000" s="315">
        <f t="shared" si="490"/>
        <v>42969</v>
      </c>
      <c r="D4000" s="315" t="s">
        <v>1180</v>
      </c>
      <c r="E4000" s="315">
        <v>42969</v>
      </c>
      <c r="F4000" s="250" t="s">
        <v>1436</v>
      </c>
      <c r="G4000" s="314" t="s">
        <v>1607</v>
      </c>
      <c r="H4000" s="473" t="s">
        <v>1501</v>
      </c>
      <c r="I4000" s="307">
        <v>620</v>
      </c>
      <c r="J4000" s="307">
        <v>12942</v>
      </c>
      <c r="K4000" s="532">
        <f t="shared" si="491"/>
        <v>8024040</v>
      </c>
      <c r="L4000" s="534" t="s">
        <v>292</v>
      </c>
      <c r="M4000" s="534" t="s">
        <v>8</v>
      </c>
      <c r="N4000" s="525" t="str">
        <f>IF(AND('331-CT'!$E$7=TH!H4000,OR(L4000="331",M4000="331")),"331",IF(AND(OR(L4000="131",M4000="131"),H4000='131-CT'!$E$7),"131",""))</f>
        <v/>
      </c>
      <c r="O4000" s="525" t="str">
        <f>IF(AND($B4000&gt;='111'!$N$11,$B4000&lt;='111'!$O$11,OR($L4000=$O$7,$M4000=$O$7)),"x","")</f>
        <v/>
      </c>
      <c r="P4000" s="525" t="str">
        <f>IF(AND($L4000=$O$7,$B4000&lt;'111'!$N$11),"x","")</f>
        <v/>
      </c>
      <c r="Q4000" s="525" t="str">
        <f>IF(AND($M4000=$O$7,$B4000&lt;'111'!$N$11),"x","")</f>
        <v/>
      </c>
      <c r="R4000" s="525" t="str">
        <f>IF(ISERROR(FIND('112'!$M$9,G4000,1)),"",IF((AND(FIND('112'!$M$9,G4000,1)&gt;=1,$B4000&gt;='112'!$N$8,$B4000&lt;='112'!$O$8,OR($L4000='112'!$I$6,$M4000='112'!$I$6))),"x",""))</f>
        <v/>
      </c>
      <c r="S4000" s="525" t="str">
        <f>IF(ISERROR(FIND('112'!$M$9,G4000,1)),"",IF((AND(LEFT(G4000,2)=LEFT('112'!$M$9,2),B4000&lt;'112'!$N$8,$L4000='112'!$I$6)),"x",""))</f>
        <v/>
      </c>
      <c r="T4000" s="525" t="str">
        <f>IF(ISERROR(FIND('112'!$M$9,G4000,1)),"",IF((AND(RIGHT(G4000,2)=RIGHT('112'!$M$9,2),B4000&lt;'112'!$N$8,$M4000='112'!$I$6)),"x",""))</f>
        <v/>
      </c>
      <c r="U4000" s="525" t="str">
        <f>IF(AND(B4000&gt;='IN-NX'!$P$3,B4000&lt;='IN-NX'!$Q$3,'IN-NX'!$D$7=D4000,OR(LEFT(L4000,2)="15",AND(LEFT(M4000,2)&lt;&gt;"15",LEFT(M4000,2)&lt;&gt;"33"))),"x","")</f>
        <v/>
      </c>
      <c r="V4000" s="525" t="str">
        <f>IF(AND(OR(LEFT(TH!L4000,2)="15",LEFT(TH!M4000,2)="15"),'152-CT'!$J$8=TH!F4000),"x","")</f>
        <v/>
      </c>
      <c r="W4000" s="525" t="str">
        <f>IF(AND(OR(LEFT(TH!L4000,2)="15",LEFT(TH!M4000,2)="15"),TK!$E$7=TH!F4000),"x","")</f>
        <v/>
      </c>
      <c r="X4000" s="525" t="str">
        <f>IF(AND('341-CT'!$E$9=H4000,OR(LEFT(L4000,3)=$X$7,LEFT(M4000,3)=$X$7)),"x","")</f>
        <v/>
      </c>
      <c r="Y4000" s="525" t="str">
        <f>IF(OR(TH!L4000=TH!$Y$7,M4000=TH!$Y$7),"x","")</f>
        <v/>
      </c>
      <c r="Z4000" s="525" t="str">
        <f>IF(AND(B4000&lt;=NKC!$N$8,B4000&gt;=NKC!$M$8),"x","")</f>
        <v/>
      </c>
      <c r="AA4000" s="535">
        <v>3</v>
      </c>
      <c r="AB4000" s="536"/>
      <c r="AC4000" s="536" t="str">
        <f>VLOOKUP(F4000,NXT!$B$12:$B$686,1,0)</f>
        <v>Thùng 18.3x19.7x9.7</v>
      </c>
    </row>
    <row r="4001" spans="1:29" s="503" customFormat="1" ht="15.75" customHeight="1">
      <c r="A4001" s="517" t="str">
        <f>IF(B4001&lt;&gt;"",IF(AND(B4001&gt;=_TM1,B4001&lt;=_TM2,OR(TH!L4001="1111",TH!M4001="1111")),TH!D4001,""),"")</f>
        <v/>
      </c>
      <c r="B4001" s="531">
        <f t="shared" si="489"/>
        <v>8</v>
      </c>
      <c r="C4001" s="315">
        <f t="shared" si="490"/>
        <v>42969</v>
      </c>
      <c r="D4001" s="315" t="s">
        <v>1180</v>
      </c>
      <c r="E4001" s="315">
        <v>42969</v>
      </c>
      <c r="F4001" s="250" t="s">
        <v>1437</v>
      </c>
      <c r="G4001" s="314" t="s">
        <v>1607</v>
      </c>
      <c r="H4001" s="473" t="s">
        <v>1501</v>
      </c>
      <c r="I4001" s="307">
        <v>275</v>
      </c>
      <c r="J4001" s="307">
        <v>10688</v>
      </c>
      <c r="K4001" s="532">
        <f t="shared" si="491"/>
        <v>2939200</v>
      </c>
      <c r="L4001" s="534" t="s">
        <v>292</v>
      </c>
      <c r="M4001" s="534" t="s">
        <v>8</v>
      </c>
      <c r="N4001" s="525" t="str">
        <f>IF(AND('331-CT'!$E$7=TH!H4001,OR(L4001="331",M4001="331")),"331",IF(AND(OR(L4001="131",M4001="131"),H4001='131-CT'!$E$7),"131",""))</f>
        <v/>
      </c>
      <c r="O4001" s="525" t="str">
        <f>IF(AND($B4001&gt;='111'!$N$11,$B4001&lt;='111'!$O$11,OR($L4001=$O$7,$M4001=$O$7)),"x","")</f>
        <v/>
      </c>
      <c r="P4001" s="525" t="str">
        <f>IF(AND($L4001=$O$7,$B4001&lt;'111'!$N$11),"x","")</f>
        <v/>
      </c>
      <c r="Q4001" s="525" t="str">
        <f>IF(AND($M4001=$O$7,$B4001&lt;'111'!$N$11),"x","")</f>
        <v/>
      </c>
      <c r="R4001" s="525" t="str">
        <f>IF(ISERROR(FIND('112'!$M$9,G4001,1)),"",IF((AND(FIND('112'!$M$9,G4001,1)&gt;=1,$B4001&gt;='112'!$N$8,$B4001&lt;='112'!$O$8,OR($L4001='112'!$I$6,$M4001='112'!$I$6))),"x",""))</f>
        <v/>
      </c>
      <c r="S4001" s="525" t="str">
        <f>IF(ISERROR(FIND('112'!$M$9,G4001,1)),"",IF((AND(LEFT(G4001,2)=LEFT('112'!$M$9,2),B4001&lt;'112'!$N$8,$L4001='112'!$I$6)),"x",""))</f>
        <v/>
      </c>
      <c r="T4001" s="525" t="str">
        <f>IF(ISERROR(FIND('112'!$M$9,G4001,1)),"",IF((AND(RIGHT(G4001,2)=RIGHT('112'!$M$9,2),B4001&lt;'112'!$N$8,$M4001='112'!$I$6)),"x",""))</f>
        <v/>
      </c>
      <c r="U4001" s="525" t="str">
        <f>IF(AND(B4001&gt;='IN-NX'!$P$3,B4001&lt;='IN-NX'!$Q$3,'IN-NX'!$D$7=D4001,OR(LEFT(L4001,2)="15",AND(LEFT(M4001,2)&lt;&gt;"15",LEFT(M4001,2)&lt;&gt;"33"))),"x","")</f>
        <v/>
      </c>
      <c r="V4001" s="525" t="str">
        <f>IF(AND(OR(LEFT(TH!L4001,2)="15",LEFT(TH!M4001,2)="15"),'152-CT'!$J$8=TH!F4001),"x","")</f>
        <v/>
      </c>
      <c r="W4001" s="525" t="str">
        <f>IF(AND(OR(LEFT(TH!L4001,2)="15",LEFT(TH!M4001,2)="15"),TK!$E$7=TH!F4001),"x","")</f>
        <v/>
      </c>
      <c r="X4001" s="525" t="str">
        <f>IF(AND('341-CT'!$E$9=H4001,OR(LEFT(L4001,3)=$X$7,LEFT(M4001,3)=$X$7)),"x","")</f>
        <v/>
      </c>
      <c r="Y4001" s="525" t="str">
        <f>IF(OR(TH!L4001=TH!$Y$7,M4001=TH!$Y$7),"x","")</f>
        <v/>
      </c>
      <c r="Z4001" s="525" t="str">
        <f>IF(AND(B4001&lt;=NKC!$N$8,B4001&gt;=NKC!$M$8),"x","")</f>
        <v/>
      </c>
      <c r="AA4001" s="535">
        <v>3</v>
      </c>
      <c r="AB4001" s="536"/>
      <c r="AC4001" s="536" t="str">
        <f>VLOOKUP(F4001,NXT!$B$12:$B$686,1,0)</f>
        <v>Thùng 72.5x25.5x19</v>
      </c>
    </row>
    <row r="4002" spans="1:29" s="503" customFormat="1" ht="15.75" customHeight="1">
      <c r="A4002" s="517" t="str">
        <f>IF(B4002&lt;&gt;"",IF(AND(B4002&gt;=_TM1,B4002&lt;=_TM2,OR(TH!L4002="1111",TH!M4002="1111")),TH!D4002,""),"")</f>
        <v/>
      </c>
      <c r="B4002" s="531">
        <f t="shared" si="489"/>
        <v>8</v>
      </c>
      <c r="C4002" s="315">
        <f t="shared" si="490"/>
        <v>42969</v>
      </c>
      <c r="D4002" s="315" t="s">
        <v>1180</v>
      </c>
      <c r="E4002" s="315">
        <v>42969</v>
      </c>
      <c r="F4002" s="250" t="s">
        <v>1438</v>
      </c>
      <c r="G4002" s="314" t="s">
        <v>1607</v>
      </c>
      <c r="H4002" s="473" t="s">
        <v>1501</v>
      </c>
      <c r="I4002" s="307">
        <v>275</v>
      </c>
      <c r="J4002" s="307">
        <v>9390</v>
      </c>
      <c r="K4002" s="532">
        <f t="shared" si="491"/>
        <v>2582250</v>
      </c>
      <c r="L4002" s="534" t="s">
        <v>292</v>
      </c>
      <c r="M4002" s="534" t="s">
        <v>8</v>
      </c>
      <c r="N4002" s="525" t="str">
        <f>IF(AND('331-CT'!$E$7=TH!H4002,OR(L4002="331",M4002="331")),"331",IF(AND(OR(L4002="131",M4002="131"),H4002='131-CT'!$E$7),"131",""))</f>
        <v/>
      </c>
      <c r="O4002" s="525" t="str">
        <f>IF(AND($B4002&gt;='111'!$N$11,$B4002&lt;='111'!$O$11,OR($L4002=$O$7,$M4002=$O$7)),"x","")</f>
        <v/>
      </c>
      <c r="P4002" s="525" t="str">
        <f>IF(AND($L4002=$O$7,$B4002&lt;'111'!$N$11),"x","")</f>
        <v/>
      </c>
      <c r="Q4002" s="525" t="str">
        <f>IF(AND($M4002=$O$7,$B4002&lt;'111'!$N$11),"x","")</f>
        <v/>
      </c>
      <c r="R4002" s="525" t="str">
        <f>IF(ISERROR(FIND('112'!$M$9,G4002,1)),"",IF((AND(FIND('112'!$M$9,G4002,1)&gt;=1,$B4002&gt;='112'!$N$8,$B4002&lt;='112'!$O$8,OR($L4002='112'!$I$6,$M4002='112'!$I$6))),"x",""))</f>
        <v/>
      </c>
      <c r="S4002" s="525" t="str">
        <f>IF(ISERROR(FIND('112'!$M$9,G4002,1)),"",IF((AND(LEFT(G4002,2)=LEFT('112'!$M$9,2),B4002&lt;'112'!$N$8,$L4002='112'!$I$6)),"x",""))</f>
        <v/>
      </c>
      <c r="T4002" s="525" t="str">
        <f>IF(ISERROR(FIND('112'!$M$9,G4002,1)),"",IF((AND(RIGHT(G4002,2)=RIGHT('112'!$M$9,2),B4002&lt;'112'!$N$8,$M4002='112'!$I$6)),"x",""))</f>
        <v/>
      </c>
      <c r="U4002" s="525" t="str">
        <f>IF(AND(B4002&gt;='IN-NX'!$P$3,B4002&lt;='IN-NX'!$Q$3,'IN-NX'!$D$7=D4002,OR(LEFT(L4002,2)="15",AND(LEFT(M4002,2)&lt;&gt;"15",LEFT(M4002,2)&lt;&gt;"33"))),"x","")</f>
        <v/>
      </c>
      <c r="V4002" s="525" t="str">
        <f>IF(AND(OR(LEFT(TH!L4002,2)="15",LEFT(TH!M4002,2)="15"),'152-CT'!$J$8=TH!F4002),"x","")</f>
        <v/>
      </c>
      <c r="W4002" s="525" t="str">
        <f>IF(AND(OR(LEFT(TH!L4002,2)="15",LEFT(TH!M4002,2)="15"),TK!$E$7=TH!F4002),"x","")</f>
        <v/>
      </c>
      <c r="X4002" s="525" t="str">
        <f>IF(AND('341-CT'!$E$9=H4002,OR(LEFT(L4002,3)=$X$7,LEFT(M4002,3)=$X$7)),"x","")</f>
        <v/>
      </c>
      <c r="Y4002" s="525" t="str">
        <f>IF(OR(TH!L4002=TH!$Y$7,M4002=TH!$Y$7),"x","")</f>
        <v/>
      </c>
      <c r="Z4002" s="525" t="str">
        <f>IF(AND(B4002&lt;=NKC!$N$8,B4002&gt;=NKC!$M$8),"x","")</f>
        <v/>
      </c>
      <c r="AA4002" s="535">
        <v>3</v>
      </c>
      <c r="AB4002" s="536"/>
      <c r="AC4002" s="536" t="str">
        <f>VLOOKUP(F4002,NXT!$B$12:$B$686,1,0)</f>
        <v>Thùng 72.5x25.5x15.9</v>
      </c>
    </row>
    <row r="4003" spans="1:29" s="503" customFormat="1" ht="15.75" customHeight="1">
      <c r="A4003" s="517" t="str">
        <f>IF(B4003&lt;&gt;"",IF(AND(B4003&gt;=_TM1,B4003&lt;=_TM2,OR(TH!L4003="1111",TH!M4003="1111")),TH!D4003,""),"")</f>
        <v/>
      </c>
      <c r="B4003" s="531">
        <f t="shared" si="489"/>
        <v>8</v>
      </c>
      <c r="C4003" s="315">
        <f t="shared" si="490"/>
        <v>42969</v>
      </c>
      <c r="D4003" s="315" t="s">
        <v>1180</v>
      </c>
      <c r="E4003" s="315">
        <v>42969</v>
      </c>
      <c r="F4003" s="673" t="s">
        <v>768</v>
      </c>
      <c r="G4003" s="314" t="s">
        <v>1607</v>
      </c>
      <c r="H4003" s="473" t="s">
        <v>1501</v>
      </c>
      <c r="I4003" s="307">
        <v>1850</v>
      </c>
      <c r="J4003" s="307">
        <v>392</v>
      </c>
      <c r="K4003" s="532">
        <f t="shared" si="491"/>
        <v>725200</v>
      </c>
      <c r="L4003" s="534" t="s">
        <v>292</v>
      </c>
      <c r="M4003" s="534" t="s">
        <v>8</v>
      </c>
      <c r="N4003" s="525" t="str">
        <f>IF(AND('331-CT'!$E$7=TH!H4003,OR(L4003="331",M4003="331")),"331",IF(AND(OR(L4003="131",M4003="131"),H4003='131-CT'!$E$7),"131",""))</f>
        <v/>
      </c>
      <c r="O4003" s="525" t="str">
        <f>IF(AND($B4003&gt;='111'!$N$11,$B4003&lt;='111'!$O$11,OR($L4003=$O$7,$M4003=$O$7)),"x","")</f>
        <v/>
      </c>
      <c r="P4003" s="525" t="str">
        <f>IF(AND($L4003=$O$7,$B4003&lt;'111'!$N$11),"x","")</f>
        <v/>
      </c>
      <c r="Q4003" s="525" t="str">
        <f>IF(AND($M4003=$O$7,$B4003&lt;'111'!$N$11),"x","")</f>
        <v/>
      </c>
      <c r="R4003" s="525" t="str">
        <f>IF(ISERROR(FIND('112'!$M$9,G4003,1)),"",IF((AND(FIND('112'!$M$9,G4003,1)&gt;=1,$B4003&gt;='112'!$N$8,$B4003&lt;='112'!$O$8,OR($L4003='112'!$I$6,$M4003='112'!$I$6))),"x",""))</f>
        <v/>
      </c>
      <c r="S4003" s="525" t="str">
        <f>IF(ISERROR(FIND('112'!$M$9,G4003,1)),"",IF((AND(LEFT(G4003,2)=LEFT('112'!$M$9,2),B4003&lt;'112'!$N$8,$L4003='112'!$I$6)),"x",""))</f>
        <v/>
      </c>
      <c r="T4003" s="525" t="str">
        <f>IF(ISERROR(FIND('112'!$M$9,G4003,1)),"",IF((AND(RIGHT(G4003,2)=RIGHT('112'!$M$9,2),B4003&lt;'112'!$N$8,$M4003='112'!$I$6)),"x",""))</f>
        <v/>
      </c>
      <c r="U4003" s="525" t="str">
        <f>IF(AND(B4003&gt;='IN-NX'!$P$3,B4003&lt;='IN-NX'!$Q$3,'IN-NX'!$D$7=D4003,OR(LEFT(L4003,2)="15",AND(LEFT(M4003,2)&lt;&gt;"15",LEFT(M4003,2)&lt;&gt;"33"))),"x","")</f>
        <v/>
      </c>
      <c r="V4003" s="525" t="str">
        <f>IF(AND(OR(LEFT(TH!L4003,2)="15",LEFT(TH!M4003,2)="15"),'152-CT'!$J$8=TH!F4003),"x","")</f>
        <v/>
      </c>
      <c r="W4003" s="525" t="str">
        <f>IF(AND(OR(LEFT(TH!L4003,2)="15",LEFT(TH!M4003,2)="15"),TK!$E$7=TH!F4003),"x","")</f>
        <v/>
      </c>
      <c r="X4003" s="525" t="str">
        <f>IF(AND('341-CT'!$E$9=H4003,OR(LEFT(L4003,3)=$X$7,LEFT(M4003,3)=$X$7)),"x","")</f>
        <v/>
      </c>
      <c r="Y4003" s="525" t="str">
        <f>IF(OR(TH!L4003=TH!$Y$7,M4003=TH!$Y$7),"x","")</f>
        <v/>
      </c>
      <c r="Z4003" s="525" t="str">
        <f>IF(AND(B4003&lt;=NKC!$N$8,B4003&gt;=NKC!$M$8),"x","")</f>
        <v/>
      </c>
      <c r="AA4003" s="535">
        <v>3</v>
      </c>
      <c r="AB4003" s="536"/>
      <c r="AC4003" s="536" t="str">
        <f>VLOOKUP(F4003,NXT!$B$12:$B$686,1,0)</f>
        <v>In decal</v>
      </c>
    </row>
    <row r="4004" spans="1:29" s="503" customFormat="1" ht="15.75" customHeight="1">
      <c r="A4004" s="517" t="str">
        <f>IF(B4004&lt;&gt;"",IF(AND(B4004&gt;=_TM1,B4004&lt;=_TM2,OR(TH!L4004="1111",TH!M4004="1111")),TH!D4004,""),"")</f>
        <v/>
      </c>
      <c r="B4004" s="531">
        <f t="shared" si="489"/>
        <v>8</v>
      </c>
      <c r="C4004" s="315">
        <f t="shared" si="490"/>
        <v>42969</v>
      </c>
      <c r="D4004" s="315" t="s">
        <v>1180</v>
      </c>
      <c r="E4004" s="315">
        <v>42969</v>
      </c>
      <c r="F4004" s="249" t="s">
        <v>494</v>
      </c>
      <c r="G4004" s="314" t="s">
        <v>1607</v>
      </c>
      <c r="H4004" s="473" t="s">
        <v>1501</v>
      </c>
      <c r="I4004" s="307"/>
      <c r="J4004" s="307"/>
      <c r="K4004" s="532">
        <v>2916833</v>
      </c>
      <c r="L4004" s="534" t="s">
        <v>9</v>
      </c>
      <c r="M4004" s="534" t="s">
        <v>8</v>
      </c>
      <c r="N4004" s="525" t="str">
        <f>IF(AND('331-CT'!$E$7=TH!H4004,OR(L4004="331",M4004="331")),"331",IF(AND(OR(L4004="131",M4004="131"),H4004='131-CT'!$E$7),"131",""))</f>
        <v/>
      </c>
      <c r="O4004" s="525" t="str">
        <f>IF(AND($B4004&gt;='111'!$N$11,$B4004&lt;='111'!$O$11,OR($L4004=$O$7,$M4004=$O$7)),"x","")</f>
        <v/>
      </c>
      <c r="P4004" s="525" t="str">
        <f>IF(AND($L4004=$O$7,$B4004&lt;'111'!$N$11),"x","")</f>
        <v/>
      </c>
      <c r="Q4004" s="525" t="str">
        <f>IF(AND($M4004=$O$7,$B4004&lt;'111'!$N$11),"x","")</f>
        <v/>
      </c>
      <c r="R4004" s="525" t="str">
        <f>IF(ISERROR(FIND('112'!$M$9,G4004,1)),"",IF((AND(FIND('112'!$M$9,G4004,1)&gt;=1,$B4004&gt;='112'!$N$8,$B4004&lt;='112'!$O$8,OR($L4004='112'!$I$6,$M4004='112'!$I$6))),"x",""))</f>
        <v/>
      </c>
      <c r="S4004" s="525" t="str">
        <f>IF(ISERROR(FIND('112'!$M$9,G4004,1)),"",IF((AND(LEFT(G4004,2)=LEFT('112'!$M$9,2),B4004&lt;'112'!$N$8,$L4004='112'!$I$6)),"x",""))</f>
        <v/>
      </c>
      <c r="T4004" s="525" t="str">
        <f>IF(ISERROR(FIND('112'!$M$9,G4004,1)),"",IF((AND(RIGHT(G4004,2)=RIGHT('112'!$M$9,2),B4004&lt;'112'!$N$8,$M4004='112'!$I$6)),"x",""))</f>
        <v/>
      </c>
      <c r="U4004" s="525" t="str">
        <f>IF(AND(B4004&gt;='IN-NX'!$P$3,B4004&lt;='IN-NX'!$Q$3,'IN-NX'!$D$7=D4004,OR(LEFT(L4004,2)="15",AND(LEFT(M4004,2)&lt;&gt;"15",LEFT(M4004,2)&lt;&gt;"33"))),"x","")</f>
        <v/>
      </c>
      <c r="V4004" s="525" t="str">
        <f>IF(AND(OR(LEFT(TH!L4004,2)="15",LEFT(TH!M4004,2)="15"),'152-CT'!$J$8=TH!F4004),"x","")</f>
        <v/>
      </c>
      <c r="W4004" s="525" t="str">
        <f>IF(AND(OR(LEFT(TH!L4004,2)="15",LEFT(TH!M4004,2)="15"),TK!$E$7=TH!F4004),"x","")</f>
        <v/>
      </c>
      <c r="X4004" s="525" t="str">
        <f>IF(AND('341-CT'!$E$9=H4004,OR(LEFT(L4004,3)=$X$7,LEFT(M4004,3)=$X$7)),"x","")</f>
        <v/>
      </c>
      <c r="Y4004" s="525" t="str">
        <f>IF(OR(TH!L4004=TH!$Y$7,M4004=TH!$Y$7),"x","")</f>
        <v/>
      </c>
      <c r="Z4004" s="525" t="str">
        <f>IF(AND(B4004&lt;=NKC!$N$8,B4004&gt;=NKC!$M$8),"x","")</f>
        <v/>
      </c>
      <c r="AA4004" s="535">
        <v>3</v>
      </c>
      <c r="AB4004" s="536"/>
    </row>
    <row r="4005" spans="1:29" s="503" customFormat="1" ht="15.75" customHeight="1">
      <c r="A4005" s="517" t="str">
        <f>IF(B4005&lt;&gt;"",IF(AND(B4005&gt;=_TM1,B4005&lt;=_TM2,OR(TH!L4005="1111",TH!M4005="1111")),TH!D4005,""),"")</f>
        <v/>
      </c>
      <c r="B4005" s="531">
        <f t="shared" ref="B4005:B4014" si="492">IF(C4005&lt;&gt;"",MONTH(C4005),"")</f>
        <v>8</v>
      </c>
      <c r="C4005" s="315">
        <f t="shared" ref="C4005:C4014" si="493">E4005</f>
        <v>42977</v>
      </c>
      <c r="D4005" s="315" t="s">
        <v>1180</v>
      </c>
      <c r="E4005" s="315">
        <v>42977</v>
      </c>
      <c r="F4005" s="250" t="s">
        <v>1001</v>
      </c>
      <c r="G4005" s="314" t="s">
        <v>1078</v>
      </c>
      <c r="H4005" s="473" t="s">
        <v>1501</v>
      </c>
      <c r="I4005" s="307">
        <v>10</v>
      </c>
      <c r="J4005" s="307">
        <v>160372</v>
      </c>
      <c r="K4005" s="532">
        <f t="shared" ref="K4005:K4014" si="494">ROUND(I4005*J4005,0)</f>
        <v>1603720</v>
      </c>
      <c r="L4005" s="534" t="s">
        <v>292</v>
      </c>
      <c r="M4005" s="534" t="s">
        <v>8</v>
      </c>
      <c r="N4005" s="525" t="str">
        <f>IF(AND('331-CT'!$E$7=TH!H4005,OR(L4005="331",M4005="331")),"331",IF(AND(OR(L4005="131",M4005="131"),H4005='131-CT'!$E$7),"131",""))</f>
        <v/>
      </c>
      <c r="O4005" s="525" t="str">
        <f>IF(AND($B4005&gt;='111'!$N$11,$B4005&lt;='111'!$O$11,OR($L4005=$O$7,$M4005=$O$7)),"x","")</f>
        <v/>
      </c>
      <c r="P4005" s="525" t="str">
        <f>IF(AND($L4005=$O$7,$B4005&lt;'111'!$N$11),"x","")</f>
        <v/>
      </c>
      <c r="Q4005" s="525" t="str">
        <f>IF(AND($M4005=$O$7,$B4005&lt;'111'!$N$11),"x","")</f>
        <v/>
      </c>
      <c r="R4005" s="525" t="str">
        <f>IF(ISERROR(FIND('112'!$M$9,G4005,1)),"",IF((AND(FIND('112'!$M$9,G4005,1)&gt;=1,$B4005&gt;='112'!$N$8,$B4005&lt;='112'!$O$8,OR($L4005='112'!$I$6,$M4005='112'!$I$6))),"x",""))</f>
        <v/>
      </c>
      <c r="S4005" s="525" t="str">
        <f>IF(ISERROR(FIND('112'!$M$9,G4005,1)),"",IF((AND(LEFT(G4005,2)=LEFT('112'!$M$9,2),B4005&lt;'112'!$N$8,$L4005='112'!$I$6)),"x",""))</f>
        <v/>
      </c>
      <c r="T4005" s="525" t="str">
        <f>IF(ISERROR(FIND('112'!$M$9,G4005,1)),"",IF((AND(RIGHT(G4005,2)=RIGHT('112'!$M$9,2),B4005&lt;'112'!$N$8,$M4005='112'!$I$6)),"x",""))</f>
        <v/>
      </c>
      <c r="U4005" s="525" t="str">
        <f>IF(AND(B4005&gt;='IN-NX'!$P$3,B4005&lt;='IN-NX'!$Q$3,'IN-NX'!$D$7=D4005,OR(LEFT(L4005,2)="15",AND(LEFT(M4005,2)&lt;&gt;"15",LEFT(M4005,2)&lt;&gt;"33"))),"x","")</f>
        <v/>
      </c>
      <c r="V4005" s="525" t="str">
        <f>IF(AND(OR(LEFT(TH!L4005,2)="15",LEFT(TH!M4005,2)="15"),'152-CT'!$J$8=TH!F4005),"x","")</f>
        <v/>
      </c>
      <c r="W4005" s="525" t="str">
        <f>IF(AND(OR(LEFT(TH!L4005,2)="15",LEFT(TH!M4005,2)="15"),TK!$E$7=TH!F4005),"x","")</f>
        <v/>
      </c>
      <c r="X4005" s="525" t="str">
        <f>IF(AND('341-CT'!$E$9=H4005,OR(LEFT(L4005,3)=$X$7,LEFT(M4005,3)=$X$7)),"x","")</f>
        <v/>
      </c>
      <c r="Y4005" s="525" t="str">
        <f>IF(OR(TH!L4005=TH!$Y$7,M4005=TH!$Y$7),"x","")</f>
        <v/>
      </c>
      <c r="Z4005" s="525" t="str">
        <f>IF(AND(B4005&lt;=NKC!$N$8,B4005&gt;=NKC!$M$8),"x","")</f>
        <v/>
      </c>
      <c r="AA4005" s="535">
        <v>3</v>
      </c>
      <c r="AB4005" s="536"/>
      <c r="AC4005" s="536" t="str">
        <f>VLOOKUP(F4005,NXT!$B$12:$B$686,1,0)</f>
        <v>Thùng 112x112x55</v>
      </c>
    </row>
    <row r="4006" spans="1:29" s="503" customFormat="1" ht="15.75" customHeight="1">
      <c r="A4006" s="517" t="str">
        <f>IF(B4006&lt;&gt;"",IF(AND(B4006&gt;=_TM1,B4006&lt;=_TM2,OR(TH!L4006="1111",TH!M4006="1111")),TH!D4006,""),"")</f>
        <v/>
      </c>
      <c r="B4006" s="531">
        <f t="shared" si="492"/>
        <v>8</v>
      </c>
      <c r="C4006" s="315">
        <f t="shared" si="493"/>
        <v>42977</v>
      </c>
      <c r="D4006" s="315" t="s">
        <v>1180</v>
      </c>
      <c r="E4006" s="315">
        <v>42977</v>
      </c>
      <c r="F4006" s="250" t="s">
        <v>691</v>
      </c>
      <c r="G4006" s="314" t="s">
        <v>1078</v>
      </c>
      <c r="H4006" s="473" t="s">
        <v>1501</v>
      </c>
      <c r="I4006" s="307">
        <v>30</v>
      </c>
      <c r="J4006" s="307">
        <v>54518</v>
      </c>
      <c r="K4006" s="532">
        <f t="shared" si="494"/>
        <v>1635540</v>
      </c>
      <c r="L4006" s="534" t="s">
        <v>292</v>
      </c>
      <c r="M4006" s="534" t="s">
        <v>8</v>
      </c>
      <c r="N4006" s="525" t="str">
        <f>IF(AND('331-CT'!$E$7=TH!H4006,OR(L4006="331",M4006="331")),"331",IF(AND(OR(L4006="131",M4006="131"),H4006='131-CT'!$E$7),"131",""))</f>
        <v/>
      </c>
      <c r="O4006" s="525" t="str">
        <f>IF(AND($B4006&gt;='111'!$N$11,$B4006&lt;='111'!$O$11,OR($L4006=$O$7,$M4006=$O$7)),"x","")</f>
        <v/>
      </c>
      <c r="P4006" s="525" t="str">
        <f>IF(AND($L4006=$O$7,$B4006&lt;'111'!$N$11),"x","")</f>
        <v/>
      </c>
      <c r="Q4006" s="525" t="str">
        <f>IF(AND($M4006=$O$7,$B4006&lt;'111'!$N$11),"x","")</f>
        <v/>
      </c>
      <c r="R4006" s="525" t="str">
        <f>IF(ISERROR(FIND('112'!$M$9,G4006,1)),"",IF((AND(FIND('112'!$M$9,G4006,1)&gt;=1,$B4006&gt;='112'!$N$8,$B4006&lt;='112'!$O$8,OR($L4006='112'!$I$6,$M4006='112'!$I$6))),"x",""))</f>
        <v/>
      </c>
      <c r="S4006" s="525" t="str">
        <f>IF(ISERROR(FIND('112'!$M$9,G4006,1)),"",IF((AND(LEFT(G4006,2)=LEFT('112'!$M$9,2),B4006&lt;'112'!$N$8,$L4006='112'!$I$6)),"x",""))</f>
        <v/>
      </c>
      <c r="T4006" s="525" t="str">
        <f>IF(ISERROR(FIND('112'!$M$9,G4006,1)),"",IF((AND(RIGHT(G4006,2)=RIGHT('112'!$M$9,2),B4006&lt;'112'!$N$8,$M4006='112'!$I$6)),"x",""))</f>
        <v/>
      </c>
      <c r="U4006" s="525" t="str">
        <f>IF(AND(B4006&gt;='IN-NX'!$P$3,B4006&lt;='IN-NX'!$Q$3,'IN-NX'!$D$7=D4006,OR(LEFT(L4006,2)="15",AND(LEFT(M4006,2)&lt;&gt;"15",LEFT(M4006,2)&lt;&gt;"33"))),"x","")</f>
        <v/>
      </c>
      <c r="V4006" s="525" t="str">
        <f>IF(AND(OR(LEFT(TH!L4006,2)="15",LEFT(TH!M4006,2)="15"),'152-CT'!$J$8=TH!F4006),"x","")</f>
        <v/>
      </c>
      <c r="W4006" s="525" t="str">
        <f>IF(AND(OR(LEFT(TH!L4006,2)="15",LEFT(TH!M4006,2)="15"),TK!$E$7=TH!F4006),"x","")</f>
        <v/>
      </c>
      <c r="X4006" s="525" t="str">
        <f>IF(AND('341-CT'!$E$9=H4006,OR(LEFT(L4006,3)=$X$7,LEFT(M4006,3)=$X$7)),"x","")</f>
        <v/>
      </c>
      <c r="Y4006" s="525" t="str">
        <f>IF(OR(TH!L4006=TH!$Y$7,M4006=TH!$Y$7),"x","")</f>
        <v/>
      </c>
      <c r="Z4006" s="525" t="str">
        <f>IF(AND(B4006&lt;=NKC!$N$8,B4006&gt;=NKC!$M$8),"x","")</f>
        <v/>
      </c>
      <c r="AA4006" s="535">
        <v>3</v>
      </c>
      <c r="AB4006" s="536"/>
      <c r="AC4006" s="536" t="str">
        <f>VLOOKUP(F4006,NXT!$B$12:$B$686,1,0)</f>
        <v>Thùng 62x37x87</v>
      </c>
    </row>
    <row r="4007" spans="1:29" s="503" customFormat="1" ht="15.75" customHeight="1">
      <c r="A4007" s="517" t="str">
        <f>IF(B4007&lt;&gt;"",IF(AND(B4007&gt;=_TM1,B4007&lt;=_TM2,OR(TH!L4007="1111",TH!M4007="1111")),TH!D4007,""),"")</f>
        <v/>
      </c>
      <c r="B4007" s="531">
        <f t="shared" si="492"/>
        <v>8</v>
      </c>
      <c r="C4007" s="315">
        <f t="shared" si="493"/>
        <v>42977</v>
      </c>
      <c r="D4007" s="315" t="s">
        <v>1180</v>
      </c>
      <c r="E4007" s="315">
        <v>42977</v>
      </c>
      <c r="F4007" s="250" t="s">
        <v>660</v>
      </c>
      <c r="G4007" s="314" t="s">
        <v>1078</v>
      </c>
      <c r="H4007" s="473" t="s">
        <v>1501</v>
      </c>
      <c r="I4007" s="307">
        <v>10</v>
      </c>
      <c r="J4007" s="307">
        <v>97307</v>
      </c>
      <c r="K4007" s="532">
        <f t="shared" si="494"/>
        <v>973070</v>
      </c>
      <c r="L4007" s="534" t="s">
        <v>292</v>
      </c>
      <c r="M4007" s="534" t="s">
        <v>8</v>
      </c>
      <c r="N4007" s="525" t="str">
        <f>IF(AND('331-CT'!$E$7=TH!H4007,OR(L4007="331",M4007="331")),"331",IF(AND(OR(L4007="131",M4007="131"),H4007='131-CT'!$E$7),"131",""))</f>
        <v/>
      </c>
      <c r="O4007" s="525" t="str">
        <f>IF(AND($B4007&gt;='111'!$N$11,$B4007&lt;='111'!$O$11,OR($L4007=$O$7,$M4007=$O$7)),"x","")</f>
        <v/>
      </c>
      <c r="P4007" s="525" t="str">
        <f>IF(AND($L4007=$O$7,$B4007&lt;'111'!$N$11),"x","")</f>
        <v/>
      </c>
      <c r="Q4007" s="525" t="str">
        <f>IF(AND($M4007=$O$7,$B4007&lt;'111'!$N$11),"x","")</f>
        <v/>
      </c>
      <c r="R4007" s="525" t="str">
        <f>IF(ISERROR(FIND('112'!$M$9,G4007,1)),"",IF((AND(FIND('112'!$M$9,G4007,1)&gt;=1,$B4007&gt;='112'!$N$8,$B4007&lt;='112'!$O$8,OR($L4007='112'!$I$6,$M4007='112'!$I$6))),"x",""))</f>
        <v/>
      </c>
      <c r="S4007" s="525" t="str">
        <f>IF(ISERROR(FIND('112'!$M$9,G4007,1)),"",IF((AND(LEFT(G4007,2)=LEFT('112'!$M$9,2),B4007&lt;'112'!$N$8,$L4007='112'!$I$6)),"x",""))</f>
        <v/>
      </c>
      <c r="T4007" s="525" t="str">
        <f>IF(ISERROR(FIND('112'!$M$9,G4007,1)),"",IF((AND(RIGHT(G4007,2)=RIGHT('112'!$M$9,2),B4007&lt;'112'!$N$8,$M4007='112'!$I$6)),"x",""))</f>
        <v/>
      </c>
      <c r="U4007" s="525" t="str">
        <f>IF(AND(B4007&gt;='IN-NX'!$P$3,B4007&lt;='IN-NX'!$Q$3,'IN-NX'!$D$7=D4007,OR(LEFT(L4007,2)="15",AND(LEFT(M4007,2)&lt;&gt;"15",LEFT(M4007,2)&lt;&gt;"33"))),"x","")</f>
        <v/>
      </c>
      <c r="V4007" s="525" t="str">
        <f>IF(AND(OR(LEFT(TH!L4007,2)="15",LEFT(TH!M4007,2)="15"),'152-CT'!$J$8=TH!F4007),"x","")</f>
        <v/>
      </c>
      <c r="W4007" s="525" t="str">
        <f>IF(AND(OR(LEFT(TH!L4007,2)="15",LEFT(TH!M4007,2)="15"),TK!$E$7=TH!F4007),"x","")</f>
        <v/>
      </c>
      <c r="X4007" s="525" t="str">
        <f>IF(AND('341-CT'!$E$9=H4007,OR(LEFT(L4007,3)=$X$7,LEFT(M4007,3)=$X$7)),"x","")</f>
        <v/>
      </c>
      <c r="Y4007" s="525" t="str">
        <f>IF(OR(TH!L4007=TH!$Y$7,M4007=TH!$Y$7),"x","")</f>
        <v/>
      </c>
      <c r="Z4007" s="525" t="str">
        <f>IF(AND(B4007&lt;=NKC!$N$8,B4007&gt;=NKC!$M$8),"x","")</f>
        <v/>
      </c>
      <c r="AA4007" s="535">
        <v>3</v>
      </c>
      <c r="AB4007" s="536"/>
      <c r="AC4007" s="536" t="str">
        <f>VLOOKUP(F4007,NXT!$B$12:$B$686,1,0)</f>
        <v>Thùng 164x47x59</v>
      </c>
    </row>
    <row r="4008" spans="1:29" s="503" customFormat="1" ht="15.75" customHeight="1">
      <c r="A4008" s="517" t="str">
        <f>IF(B4008&lt;&gt;"",IF(AND(B4008&gt;=_TM1,B4008&lt;=_TM2,OR(TH!L4008="1111",TH!M4008="1111")),TH!D4008,""),"")</f>
        <v/>
      </c>
      <c r="B4008" s="531">
        <f t="shared" si="492"/>
        <v>8</v>
      </c>
      <c r="C4008" s="315">
        <f t="shared" si="493"/>
        <v>42977</v>
      </c>
      <c r="D4008" s="315" t="s">
        <v>1180</v>
      </c>
      <c r="E4008" s="315">
        <v>42977</v>
      </c>
      <c r="F4008" s="250" t="s">
        <v>611</v>
      </c>
      <c r="G4008" s="314" t="s">
        <v>1078</v>
      </c>
      <c r="H4008" s="473" t="s">
        <v>1501</v>
      </c>
      <c r="I4008" s="307">
        <v>84</v>
      </c>
      <c r="J4008" s="307">
        <v>43698</v>
      </c>
      <c r="K4008" s="532">
        <f t="shared" si="494"/>
        <v>3670632</v>
      </c>
      <c r="L4008" s="534" t="s">
        <v>292</v>
      </c>
      <c r="M4008" s="534" t="s">
        <v>8</v>
      </c>
      <c r="N4008" s="525" t="str">
        <f>IF(AND('331-CT'!$E$7=TH!H4008,OR(L4008="331",M4008="331")),"331",IF(AND(OR(L4008="131",M4008="131"),H4008='131-CT'!$E$7),"131",""))</f>
        <v/>
      </c>
      <c r="O4008" s="525" t="str">
        <f>IF(AND($B4008&gt;='111'!$N$11,$B4008&lt;='111'!$O$11,OR($L4008=$O$7,$M4008=$O$7)),"x","")</f>
        <v/>
      </c>
      <c r="P4008" s="525" t="str">
        <f>IF(AND($L4008=$O$7,$B4008&lt;'111'!$N$11),"x","")</f>
        <v/>
      </c>
      <c r="Q4008" s="525" t="str">
        <f>IF(AND($M4008=$O$7,$B4008&lt;'111'!$N$11),"x","")</f>
        <v/>
      </c>
      <c r="R4008" s="525" t="str">
        <f>IF(ISERROR(FIND('112'!$M$9,G4008,1)),"",IF((AND(FIND('112'!$M$9,G4008,1)&gt;=1,$B4008&gt;='112'!$N$8,$B4008&lt;='112'!$O$8,OR($L4008='112'!$I$6,$M4008='112'!$I$6))),"x",""))</f>
        <v/>
      </c>
      <c r="S4008" s="525" t="str">
        <f>IF(ISERROR(FIND('112'!$M$9,G4008,1)),"",IF((AND(LEFT(G4008,2)=LEFT('112'!$M$9,2),B4008&lt;'112'!$N$8,$L4008='112'!$I$6)),"x",""))</f>
        <v/>
      </c>
      <c r="T4008" s="525" t="str">
        <f>IF(ISERROR(FIND('112'!$M$9,G4008,1)),"",IF((AND(RIGHT(G4008,2)=RIGHT('112'!$M$9,2),B4008&lt;'112'!$N$8,$M4008='112'!$I$6)),"x",""))</f>
        <v/>
      </c>
      <c r="U4008" s="525" t="str">
        <f>IF(AND(B4008&gt;='IN-NX'!$P$3,B4008&lt;='IN-NX'!$Q$3,'IN-NX'!$D$7=D4008,OR(LEFT(L4008,2)="15",AND(LEFT(M4008,2)&lt;&gt;"15",LEFT(M4008,2)&lt;&gt;"33"))),"x","")</f>
        <v/>
      </c>
      <c r="V4008" s="525" t="str">
        <f>IF(AND(OR(LEFT(TH!L4008,2)="15",LEFT(TH!M4008,2)="15"),'152-CT'!$J$8=TH!F4008),"x","")</f>
        <v/>
      </c>
      <c r="W4008" s="525" t="str">
        <f>IF(AND(OR(LEFT(TH!L4008,2)="15",LEFT(TH!M4008,2)="15"),TK!$E$7=TH!F4008),"x","")</f>
        <v/>
      </c>
      <c r="X4008" s="525" t="str">
        <f>IF(AND('341-CT'!$E$9=H4008,OR(LEFT(L4008,3)=$X$7,LEFT(M4008,3)=$X$7)),"x","")</f>
        <v/>
      </c>
      <c r="Y4008" s="525" t="str">
        <f>IF(OR(TH!L4008=TH!$Y$7,M4008=TH!$Y$7),"x","")</f>
        <v/>
      </c>
      <c r="Z4008" s="525" t="str">
        <f>IF(AND(B4008&lt;=NKC!$N$8,B4008&gt;=NKC!$M$8),"x","")</f>
        <v/>
      </c>
      <c r="AA4008" s="535">
        <v>3</v>
      </c>
      <c r="AB4008" s="536"/>
      <c r="AC4008" s="536" t="str">
        <f>VLOOKUP(F4008,NXT!$B$12:$B$686,1,0)</f>
        <v>Thùng 47x47x59</v>
      </c>
    </row>
    <row r="4009" spans="1:29" s="503" customFormat="1" ht="15.75" customHeight="1">
      <c r="A4009" s="517" t="str">
        <f>IF(B4009&lt;&gt;"",IF(AND(B4009&gt;=_TM1,B4009&lt;=_TM2,OR(TH!L4009="1111",TH!M4009="1111")),TH!D4009,""),"")</f>
        <v/>
      </c>
      <c r="B4009" s="531">
        <f t="shared" si="492"/>
        <v>8</v>
      </c>
      <c r="C4009" s="315">
        <f t="shared" si="493"/>
        <v>42977</v>
      </c>
      <c r="D4009" s="315" t="s">
        <v>1180</v>
      </c>
      <c r="E4009" s="315">
        <v>42977</v>
      </c>
      <c r="F4009" s="250" t="s">
        <v>1447</v>
      </c>
      <c r="G4009" s="314" t="s">
        <v>1078</v>
      </c>
      <c r="H4009" s="473" t="s">
        <v>1501</v>
      </c>
      <c r="I4009" s="307">
        <v>16</v>
      </c>
      <c r="J4009" s="307">
        <v>38148</v>
      </c>
      <c r="K4009" s="532">
        <f t="shared" si="494"/>
        <v>610368</v>
      </c>
      <c r="L4009" s="534" t="s">
        <v>292</v>
      </c>
      <c r="M4009" s="534" t="s">
        <v>8</v>
      </c>
      <c r="N4009" s="525" t="str">
        <f>IF(AND('331-CT'!$E$7=TH!H4009,OR(L4009="331",M4009="331")),"331",IF(AND(OR(L4009="131",M4009="131"),H4009='131-CT'!$E$7),"131",""))</f>
        <v/>
      </c>
      <c r="O4009" s="525" t="str">
        <f>IF(AND($B4009&gt;='111'!$N$11,$B4009&lt;='111'!$O$11,OR($L4009=$O$7,$M4009=$O$7)),"x","")</f>
        <v/>
      </c>
      <c r="P4009" s="525" t="str">
        <f>IF(AND($L4009=$O$7,$B4009&lt;'111'!$N$11),"x","")</f>
        <v/>
      </c>
      <c r="Q4009" s="525" t="str">
        <f>IF(AND($M4009=$O$7,$B4009&lt;'111'!$N$11),"x","")</f>
        <v/>
      </c>
      <c r="R4009" s="525" t="str">
        <f>IF(ISERROR(FIND('112'!$M$9,G4009,1)),"",IF((AND(FIND('112'!$M$9,G4009,1)&gt;=1,$B4009&gt;='112'!$N$8,$B4009&lt;='112'!$O$8,OR($L4009='112'!$I$6,$M4009='112'!$I$6))),"x",""))</f>
        <v/>
      </c>
      <c r="S4009" s="525" t="str">
        <f>IF(ISERROR(FIND('112'!$M$9,G4009,1)),"",IF((AND(LEFT(G4009,2)=LEFT('112'!$M$9,2),B4009&lt;'112'!$N$8,$L4009='112'!$I$6)),"x",""))</f>
        <v/>
      </c>
      <c r="T4009" s="525" t="str">
        <f>IF(ISERROR(FIND('112'!$M$9,G4009,1)),"",IF((AND(RIGHT(G4009,2)=RIGHT('112'!$M$9,2),B4009&lt;'112'!$N$8,$M4009='112'!$I$6)),"x",""))</f>
        <v/>
      </c>
      <c r="U4009" s="525" t="str">
        <f>IF(AND(B4009&gt;='IN-NX'!$P$3,B4009&lt;='IN-NX'!$Q$3,'IN-NX'!$D$7=D4009,OR(LEFT(L4009,2)="15",AND(LEFT(M4009,2)&lt;&gt;"15",LEFT(M4009,2)&lt;&gt;"33"))),"x","")</f>
        <v/>
      </c>
      <c r="V4009" s="525" t="str">
        <f>IF(AND(OR(LEFT(TH!L4009,2)="15",LEFT(TH!M4009,2)="15"),'152-CT'!$J$8=TH!F4009),"x","")</f>
        <v/>
      </c>
      <c r="W4009" s="525" t="str">
        <f>IF(AND(OR(LEFT(TH!L4009,2)="15",LEFT(TH!M4009,2)="15"),TK!$E$7=TH!F4009),"x","")</f>
        <v/>
      </c>
      <c r="X4009" s="525" t="str">
        <f>IF(AND('341-CT'!$E$9=H4009,OR(LEFT(L4009,3)=$X$7,LEFT(M4009,3)=$X$7)),"x","")</f>
        <v/>
      </c>
      <c r="Y4009" s="525" t="str">
        <f>IF(OR(TH!L4009=TH!$Y$7,M4009=TH!$Y$7),"x","")</f>
        <v/>
      </c>
      <c r="Z4009" s="525" t="str">
        <f>IF(AND(B4009&lt;=NKC!$N$8,B4009&gt;=NKC!$M$8),"x","")</f>
        <v/>
      </c>
      <c r="AA4009" s="535">
        <v>3</v>
      </c>
      <c r="AB4009" s="536"/>
      <c r="AC4009" s="536" t="str">
        <f>VLOOKUP(F4009,NXT!$B$12:$B$686,1,0)</f>
        <v>Thùng 39x39x72</v>
      </c>
    </row>
    <row r="4010" spans="1:29" s="503" customFormat="1" ht="15.75" customHeight="1">
      <c r="A4010" s="517" t="str">
        <f>IF(B4010&lt;&gt;"",IF(AND(B4010&gt;=_TM1,B4010&lt;=_TM2,OR(TH!L4010="1111",TH!M4010="1111")),TH!D4010,""),"")</f>
        <v/>
      </c>
      <c r="B4010" s="531">
        <f t="shared" si="492"/>
        <v>8</v>
      </c>
      <c r="C4010" s="315">
        <f t="shared" si="493"/>
        <v>42977</v>
      </c>
      <c r="D4010" s="315" t="s">
        <v>1180</v>
      </c>
      <c r="E4010" s="315">
        <v>42977</v>
      </c>
      <c r="F4010" s="250" t="s">
        <v>689</v>
      </c>
      <c r="G4010" s="314" t="s">
        <v>1078</v>
      </c>
      <c r="H4010" s="473" t="s">
        <v>1501</v>
      </c>
      <c r="I4010" s="307">
        <v>10</v>
      </c>
      <c r="J4010" s="307">
        <v>78559</v>
      </c>
      <c r="K4010" s="532">
        <f t="shared" si="494"/>
        <v>785590</v>
      </c>
      <c r="L4010" s="534" t="s">
        <v>292</v>
      </c>
      <c r="M4010" s="534" t="s">
        <v>8</v>
      </c>
      <c r="N4010" s="525" t="str">
        <f>IF(AND('331-CT'!$E$7=TH!H4010,OR(L4010="331",M4010="331")),"331",IF(AND(OR(L4010="131",M4010="131"),H4010='131-CT'!$E$7),"131",""))</f>
        <v/>
      </c>
      <c r="O4010" s="525" t="str">
        <f>IF(AND($B4010&gt;='111'!$N$11,$B4010&lt;='111'!$O$11,OR($L4010=$O$7,$M4010=$O$7)),"x","")</f>
        <v/>
      </c>
      <c r="P4010" s="525" t="str">
        <f>IF(AND($L4010=$O$7,$B4010&lt;'111'!$N$11),"x","")</f>
        <v/>
      </c>
      <c r="Q4010" s="525" t="str">
        <f>IF(AND($M4010=$O$7,$B4010&lt;'111'!$N$11),"x","")</f>
        <v/>
      </c>
      <c r="R4010" s="525" t="str">
        <f>IF(ISERROR(FIND('112'!$M$9,G4010,1)),"",IF((AND(FIND('112'!$M$9,G4010,1)&gt;=1,$B4010&gt;='112'!$N$8,$B4010&lt;='112'!$O$8,OR($L4010='112'!$I$6,$M4010='112'!$I$6))),"x",""))</f>
        <v/>
      </c>
      <c r="S4010" s="525" t="str">
        <f>IF(ISERROR(FIND('112'!$M$9,G4010,1)),"",IF((AND(LEFT(G4010,2)=LEFT('112'!$M$9,2),B4010&lt;'112'!$N$8,$L4010='112'!$I$6)),"x",""))</f>
        <v/>
      </c>
      <c r="T4010" s="525" t="str">
        <f>IF(ISERROR(FIND('112'!$M$9,G4010,1)),"",IF((AND(RIGHT(G4010,2)=RIGHT('112'!$M$9,2),B4010&lt;'112'!$N$8,$M4010='112'!$I$6)),"x",""))</f>
        <v/>
      </c>
      <c r="U4010" s="525" t="str">
        <f>IF(AND(B4010&gt;='IN-NX'!$P$3,B4010&lt;='IN-NX'!$Q$3,'IN-NX'!$D$7=D4010,OR(LEFT(L4010,2)="15",AND(LEFT(M4010,2)&lt;&gt;"15",LEFT(M4010,2)&lt;&gt;"33"))),"x","")</f>
        <v/>
      </c>
      <c r="V4010" s="525" t="str">
        <f>IF(AND(OR(LEFT(TH!L4010,2)="15",LEFT(TH!M4010,2)="15"),'152-CT'!$J$8=TH!F4010),"x","")</f>
        <v/>
      </c>
      <c r="W4010" s="525" t="str">
        <f>IF(AND(OR(LEFT(TH!L4010,2)="15",LEFT(TH!M4010,2)="15"),TK!$E$7=TH!F4010),"x","")</f>
        <v/>
      </c>
      <c r="X4010" s="525" t="str">
        <f>IF(AND('341-CT'!$E$9=H4010,OR(LEFT(L4010,3)=$X$7,LEFT(M4010,3)=$X$7)),"x","")</f>
        <v/>
      </c>
      <c r="Y4010" s="525" t="str">
        <f>IF(OR(TH!L4010=TH!$Y$7,M4010=TH!$Y$7),"x","")</f>
        <v/>
      </c>
      <c r="Z4010" s="525" t="str">
        <f>IF(AND(B4010&lt;=NKC!$N$8,B4010&gt;=NKC!$M$8),"x","")</f>
        <v/>
      </c>
      <c r="AA4010" s="535">
        <v>3</v>
      </c>
      <c r="AB4010" s="536"/>
      <c r="AC4010" s="536" t="str">
        <f>VLOOKUP(F4010,NXT!$B$12:$B$686,1,0)</f>
        <v>Thùng 67x67x67</v>
      </c>
    </row>
    <row r="4011" spans="1:29" s="503" customFormat="1" ht="15.75" customHeight="1">
      <c r="A4011" s="517" t="str">
        <f>IF(B4011&lt;&gt;"",IF(AND(B4011&gt;=_TM1,B4011&lt;=_TM2,OR(TH!L4011="1111",TH!M4011="1111")),TH!D4011,""),"")</f>
        <v/>
      </c>
      <c r="B4011" s="531">
        <f t="shared" si="492"/>
        <v>8</v>
      </c>
      <c r="C4011" s="315">
        <f t="shared" si="493"/>
        <v>42977</v>
      </c>
      <c r="D4011" s="315" t="s">
        <v>1180</v>
      </c>
      <c r="E4011" s="315">
        <v>42977</v>
      </c>
      <c r="F4011" s="250" t="s">
        <v>1448</v>
      </c>
      <c r="G4011" s="314" t="s">
        <v>1078</v>
      </c>
      <c r="H4011" s="473" t="s">
        <v>1501</v>
      </c>
      <c r="I4011" s="307">
        <v>20</v>
      </c>
      <c r="J4011" s="307">
        <v>147800</v>
      </c>
      <c r="K4011" s="532">
        <f t="shared" si="494"/>
        <v>2956000</v>
      </c>
      <c r="L4011" s="534" t="s">
        <v>292</v>
      </c>
      <c r="M4011" s="534" t="s">
        <v>8</v>
      </c>
      <c r="N4011" s="525" t="str">
        <f>IF(AND('331-CT'!$E$7=TH!H4011,OR(L4011="331",M4011="331")),"331",IF(AND(OR(L4011="131",M4011="131"),H4011='131-CT'!$E$7),"131",""))</f>
        <v/>
      </c>
      <c r="O4011" s="525" t="str">
        <f>IF(AND($B4011&gt;='111'!$N$11,$B4011&lt;='111'!$O$11,OR($L4011=$O$7,$M4011=$O$7)),"x","")</f>
        <v/>
      </c>
      <c r="P4011" s="525" t="str">
        <f>IF(AND($L4011=$O$7,$B4011&lt;'111'!$N$11),"x","")</f>
        <v/>
      </c>
      <c r="Q4011" s="525" t="str">
        <f>IF(AND($M4011=$O$7,$B4011&lt;'111'!$N$11),"x","")</f>
        <v/>
      </c>
      <c r="R4011" s="525" t="str">
        <f>IF(ISERROR(FIND('112'!$M$9,G4011,1)),"",IF((AND(FIND('112'!$M$9,G4011,1)&gt;=1,$B4011&gt;='112'!$N$8,$B4011&lt;='112'!$O$8,OR($L4011='112'!$I$6,$M4011='112'!$I$6))),"x",""))</f>
        <v/>
      </c>
      <c r="S4011" s="525" t="str">
        <f>IF(ISERROR(FIND('112'!$M$9,G4011,1)),"",IF((AND(LEFT(G4011,2)=LEFT('112'!$M$9,2),B4011&lt;'112'!$N$8,$L4011='112'!$I$6)),"x",""))</f>
        <v/>
      </c>
      <c r="T4011" s="525" t="str">
        <f>IF(ISERROR(FIND('112'!$M$9,G4011,1)),"",IF((AND(RIGHT(G4011,2)=RIGHT('112'!$M$9,2),B4011&lt;'112'!$N$8,$M4011='112'!$I$6)),"x",""))</f>
        <v/>
      </c>
      <c r="U4011" s="525" t="str">
        <f>IF(AND(B4011&gt;='IN-NX'!$P$3,B4011&lt;='IN-NX'!$Q$3,'IN-NX'!$D$7=D4011,OR(LEFT(L4011,2)="15",AND(LEFT(M4011,2)&lt;&gt;"15",LEFT(M4011,2)&lt;&gt;"33"))),"x","")</f>
        <v/>
      </c>
      <c r="V4011" s="525" t="str">
        <f>IF(AND(OR(LEFT(TH!L4011,2)="15",LEFT(TH!M4011,2)="15"),'152-CT'!$J$8=TH!F4011),"x","")</f>
        <v/>
      </c>
      <c r="W4011" s="525" t="str">
        <f>IF(AND(OR(LEFT(TH!L4011,2)="15",LEFT(TH!M4011,2)="15"),TK!$E$7=TH!F4011),"x","")</f>
        <v/>
      </c>
      <c r="X4011" s="525" t="str">
        <f>IF(AND('341-CT'!$E$9=H4011,OR(LEFT(L4011,3)=$X$7,LEFT(M4011,3)=$X$7)),"x","")</f>
        <v/>
      </c>
      <c r="Y4011" s="525" t="str">
        <f>IF(OR(TH!L4011=TH!$Y$7,M4011=TH!$Y$7),"x","")</f>
        <v/>
      </c>
      <c r="Z4011" s="525" t="str">
        <f>IF(AND(B4011&lt;=NKC!$N$8,B4011&gt;=NKC!$M$8),"x","")</f>
        <v/>
      </c>
      <c r="AA4011" s="535">
        <v>3</v>
      </c>
      <c r="AB4011" s="536"/>
      <c r="AC4011" s="536" t="str">
        <f>VLOOKUP(F4011,NXT!$B$12:$B$686,1,0)</f>
        <v>Thùng 142x92x55</v>
      </c>
    </row>
    <row r="4012" spans="1:29" s="503" customFormat="1" ht="15.75" customHeight="1">
      <c r="A4012" s="517" t="str">
        <f>IF(B4012&lt;&gt;"",IF(AND(B4012&gt;=_TM1,B4012&lt;=_TM2,OR(TH!L4012="1111",TH!M4012="1111")),TH!D4012,""),"")</f>
        <v/>
      </c>
      <c r="B4012" s="531">
        <f t="shared" si="492"/>
        <v>8</v>
      </c>
      <c r="C4012" s="315">
        <f t="shared" si="493"/>
        <v>42977</v>
      </c>
      <c r="D4012" s="315" t="s">
        <v>1180</v>
      </c>
      <c r="E4012" s="315">
        <v>42977</v>
      </c>
      <c r="F4012" s="250" t="s">
        <v>659</v>
      </c>
      <c r="G4012" s="314" t="s">
        <v>1078</v>
      </c>
      <c r="H4012" s="473" t="s">
        <v>1501</v>
      </c>
      <c r="I4012" s="307">
        <v>4</v>
      </c>
      <c r="J4012" s="307">
        <v>84951</v>
      </c>
      <c r="K4012" s="532">
        <f t="shared" si="494"/>
        <v>339804</v>
      </c>
      <c r="L4012" s="534" t="s">
        <v>292</v>
      </c>
      <c r="M4012" s="534" t="s">
        <v>8</v>
      </c>
      <c r="N4012" s="525" t="str">
        <f>IF(AND('331-CT'!$E$7=TH!H4012,OR(L4012="331",M4012="331")),"331",IF(AND(OR(L4012="131",M4012="131"),H4012='131-CT'!$E$7),"131",""))</f>
        <v/>
      </c>
      <c r="O4012" s="525" t="str">
        <f>IF(AND($B4012&gt;='111'!$N$11,$B4012&lt;='111'!$O$11,OR($L4012=$O$7,$M4012=$O$7)),"x","")</f>
        <v/>
      </c>
      <c r="P4012" s="525" t="str">
        <f>IF(AND($L4012=$O$7,$B4012&lt;'111'!$N$11),"x","")</f>
        <v/>
      </c>
      <c r="Q4012" s="525" t="str">
        <f>IF(AND($M4012=$O$7,$B4012&lt;'111'!$N$11),"x","")</f>
        <v/>
      </c>
      <c r="R4012" s="525" t="str">
        <f>IF(ISERROR(FIND('112'!$M$9,G4012,1)),"",IF((AND(FIND('112'!$M$9,G4012,1)&gt;=1,$B4012&gt;='112'!$N$8,$B4012&lt;='112'!$O$8,OR($L4012='112'!$I$6,$M4012='112'!$I$6))),"x",""))</f>
        <v/>
      </c>
      <c r="S4012" s="525" t="str">
        <f>IF(ISERROR(FIND('112'!$M$9,G4012,1)),"",IF((AND(LEFT(G4012,2)=LEFT('112'!$M$9,2),B4012&lt;'112'!$N$8,$L4012='112'!$I$6)),"x",""))</f>
        <v/>
      </c>
      <c r="T4012" s="525" t="str">
        <f>IF(ISERROR(FIND('112'!$M$9,G4012,1)),"",IF((AND(RIGHT(G4012,2)=RIGHT('112'!$M$9,2),B4012&lt;'112'!$N$8,$M4012='112'!$I$6)),"x",""))</f>
        <v/>
      </c>
      <c r="U4012" s="525" t="str">
        <f>IF(AND(B4012&gt;='IN-NX'!$P$3,B4012&lt;='IN-NX'!$Q$3,'IN-NX'!$D$7=D4012,OR(LEFT(L4012,2)="15",AND(LEFT(M4012,2)&lt;&gt;"15",LEFT(M4012,2)&lt;&gt;"33"))),"x","")</f>
        <v/>
      </c>
      <c r="V4012" s="525" t="str">
        <f>IF(AND(OR(LEFT(TH!L4012,2)="15",LEFT(TH!M4012,2)="15"),'152-CT'!$J$8=TH!F4012),"x","")</f>
        <v/>
      </c>
      <c r="W4012" s="525" t="str">
        <f>IF(AND(OR(LEFT(TH!L4012,2)="15",LEFT(TH!M4012,2)="15"),TK!$E$7=TH!F4012),"x","")</f>
        <v/>
      </c>
      <c r="X4012" s="525" t="str">
        <f>IF(AND('341-CT'!$E$9=H4012,OR(LEFT(L4012,3)=$X$7,LEFT(M4012,3)=$X$7)),"x","")</f>
        <v/>
      </c>
      <c r="Y4012" s="525" t="str">
        <f>IF(OR(TH!L4012=TH!$Y$7,M4012=TH!$Y$7),"x","")</f>
        <v/>
      </c>
      <c r="Z4012" s="525" t="str">
        <f>IF(AND(B4012&lt;=NKC!$N$8,B4012&gt;=NKC!$M$8),"x","")</f>
        <v/>
      </c>
      <c r="AA4012" s="535">
        <v>3</v>
      </c>
      <c r="AB4012" s="536"/>
      <c r="AC4012" s="536" t="str">
        <f>VLOOKUP(F4012,NXT!$B$12:$B$686,1,0)</f>
        <v>Thùng 62x62x87</v>
      </c>
    </row>
    <row r="4013" spans="1:29" s="503" customFormat="1" ht="15.75" customHeight="1">
      <c r="A4013" s="517" t="str">
        <f>IF(B4013&lt;&gt;"",IF(AND(B4013&gt;=_TM1,B4013&lt;=_TM2,OR(TH!L4013="1111",TH!M4013="1111")),TH!D4013,""),"")</f>
        <v/>
      </c>
      <c r="B4013" s="531">
        <f t="shared" si="492"/>
        <v>8</v>
      </c>
      <c r="C4013" s="315">
        <f t="shared" si="493"/>
        <v>42977</v>
      </c>
      <c r="D4013" s="315" t="s">
        <v>1180</v>
      </c>
      <c r="E4013" s="315">
        <v>42977</v>
      </c>
      <c r="F4013" s="250" t="s">
        <v>697</v>
      </c>
      <c r="G4013" s="314" t="s">
        <v>1078</v>
      </c>
      <c r="H4013" s="473" t="s">
        <v>1501</v>
      </c>
      <c r="I4013" s="307">
        <v>12</v>
      </c>
      <c r="J4013" s="307">
        <v>70081</v>
      </c>
      <c r="K4013" s="532">
        <f t="shared" si="494"/>
        <v>840972</v>
      </c>
      <c r="L4013" s="534" t="s">
        <v>292</v>
      </c>
      <c r="M4013" s="534" t="s">
        <v>8</v>
      </c>
      <c r="N4013" s="525" t="str">
        <f>IF(AND('331-CT'!$E$7=TH!H4013,OR(L4013="331",M4013="331")),"331",IF(AND(OR(L4013="131",M4013="131"),H4013='131-CT'!$E$7),"131",""))</f>
        <v/>
      </c>
      <c r="O4013" s="525" t="str">
        <f>IF(AND($B4013&gt;='111'!$N$11,$B4013&lt;='111'!$O$11,OR($L4013=$O$7,$M4013=$O$7)),"x","")</f>
        <v/>
      </c>
      <c r="P4013" s="525" t="str">
        <f>IF(AND($L4013=$O$7,$B4013&lt;'111'!$N$11),"x","")</f>
        <v/>
      </c>
      <c r="Q4013" s="525" t="str">
        <f>IF(AND($M4013=$O$7,$B4013&lt;'111'!$N$11),"x","")</f>
        <v/>
      </c>
      <c r="R4013" s="525" t="str">
        <f>IF(ISERROR(FIND('112'!$M$9,G4013,1)),"",IF((AND(FIND('112'!$M$9,G4013,1)&gt;=1,$B4013&gt;='112'!$N$8,$B4013&lt;='112'!$O$8,OR($L4013='112'!$I$6,$M4013='112'!$I$6))),"x",""))</f>
        <v/>
      </c>
      <c r="S4013" s="525" t="str">
        <f>IF(ISERROR(FIND('112'!$M$9,G4013,1)),"",IF((AND(LEFT(G4013,2)=LEFT('112'!$M$9,2),B4013&lt;'112'!$N$8,$L4013='112'!$I$6)),"x",""))</f>
        <v/>
      </c>
      <c r="T4013" s="525" t="str">
        <f>IF(ISERROR(FIND('112'!$M$9,G4013,1)),"",IF((AND(RIGHT(G4013,2)=RIGHT('112'!$M$9,2),B4013&lt;'112'!$N$8,$M4013='112'!$I$6)),"x",""))</f>
        <v/>
      </c>
      <c r="U4013" s="525" t="str">
        <f>IF(AND(B4013&gt;='IN-NX'!$P$3,B4013&lt;='IN-NX'!$Q$3,'IN-NX'!$D$7=D4013,OR(LEFT(L4013,2)="15",AND(LEFT(M4013,2)&lt;&gt;"15",LEFT(M4013,2)&lt;&gt;"33"))),"x","")</f>
        <v/>
      </c>
      <c r="V4013" s="525" t="str">
        <f>IF(AND(OR(LEFT(TH!L4013,2)="15",LEFT(TH!M4013,2)="15"),'152-CT'!$J$8=TH!F4013),"x","")</f>
        <v/>
      </c>
      <c r="W4013" s="525" t="str">
        <f>IF(AND(OR(LEFT(TH!L4013,2)="15",LEFT(TH!M4013,2)="15"),TK!$E$7=TH!F4013),"x","")</f>
        <v/>
      </c>
      <c r="X4013" s="525" t="str">
        <f>IF(AND('341-CT'!$E$9=H4013,OR(LEFT(L4013,3)=$X$7,LEFT(M4013,3)=$X$7)),"x","")</f>
        <v/>
      </c>
      <c r="Y4013" s="525" t="str">
        <f>IF(OR(TH!L4013=TH!$Y$7,M4013=TH!$Y$7),"x","")</f>
        <v/>
      </c>
      <c r="Z4013" s="525" t="str">
        <f>IF(AND(B4013&lt;=NKC!$N$8,B4013&gt;=NKC!$M$8),"x","")</f>
        <v/>
      </c>
      <c r="AA4013" s="535">
        <v>3</v>
      </c>
      <c r="AB4013" s="536"/>
      <c r="AC4013" s="536" t="str">
        <f>VLOOKUP(F4013,NXT!$B$12:$B$686,1,0)</f>
        <v>Thùng 72x47x87</v>
      </c>
    </row>
    <row r="4014" spans="1:29" s="503" customFormat="1" ht="15.75" customHeight="1">
      <c r="A4014" s="517" t="str">
        <f>IF(B4014&lt;&gt;"",IF(AND(B4014&gt;=_TM1,B4014&lt;=_TM2,OR(TH!L4014="1111",TH!M4014="1111")),TH!D4014,""),"")</f>
        <v/>
      </c>
      <c r="B4014" s="531">
        <f t="shared" si="492"/>
        <v>8</v>
      </c>
      <c r="C4014" s="315">
        <f t="shared" si="493"/>
        <v>42977</v>
      </c>
      <c r="D4014" s="315" t="s">
        <v>1180</v>
      </c>
      <c r="E4014" s="315">
        <v>42977</v>
      </c>
      <c r="F4014" s="250" t="s">
        <v>693</v>
      </c>
      <c r="G4014" s="314" t="s">
        <v>1078</v>
      </c>
      <c r="H4014" s="473" t="s">
        <v>1501</v>
      </c>
      <c r="I4014" s="307">
        <v>20</v>
      </c>
      <c r="J4014" s="307">
        <v>100912</v>
      </c>
      <c r="K4014" s="532">
        <f t="shared" si="494"/>
        <v>2018240</v>
      </c>
      <c r="L4014" s="534" t="s">
        <v>292</v>
      </c>
      <c r="M4014" s="534" t="s">
        <v>8</v>
      </c>
      <c r="N4014" s="525" t="str">
        <f>IF(AND('331-CT'!$E$7=TH!H4014,OR(L4014="331",M4014="331")),"331",IF(AND(OR(L4014="131",M4014="131"),H4014='131-CT'!$E$7),"131",""))</f>
        <v/>
      </c>
      <c r="O4014" s="525" t="str">
        <f>IF(AND($B4014&gt;='111'!$N$11,$B4014&lt;='111'!$O$11,OR($L4014=$O$7,$M4014=$O$7)),"x","")</f>
        <v/>
      </c>
      <c r="P4014" s="525" t="str">
        <f>IF(AND($L4014=$O$7,$B4014&lt;'111'!$N$11),"x","")</f>
        <v/>
      </c>
      <c r="Q4014" s="525" t="str">
        <f>IF(AND($M4014=$O$7,$B4014&lt;'111'!$N$11),"x","")</f>
        <v/>
      </c>
      <c r="R4014" s="525" t="str">
        <f>IF(ISERROR(FIND('112'!$M$9,G4014,1)),"",IF((AND(FIND('112'!$M$9,G4014,1)&gt;=1,$B4014&gt;='112'!$N$8,$B4014&lt;='112'!$O$8,OR($L4014='112'!$I$6,$M4014='112'!$I$6))),"x",""))</f>
        <v/>
      </c>
      <c r="S4014" s="525" t="str">
        <f>IF(ISERROR(FIND('112'!$M$9,G4014,1)),"",IF((AND(LEFT(G4014,2)=LEFT('112'!$M$9,2),B4014&lt;'112'!$N$8,$L4014='112'!$I$6)),"x",""))</f>
        <v/>
      </c>
      <c r="T4014" s="525" t="str">
        <f>IF(ISERROR(FIND('112'!$M$9,G4014,1)),"",IF((AND(RIGHT(G4014,2)=RIGHT('112'!$M$9,2),B4014&lt;'112'!$N$8,$M4014='112'!$I$6)),"x",""))</f>
        <v/>
      </c>
      <c r="U4014" s="525" t="str">
        <f>IF(AND(B4014&gt;='IN-NX'!$P$3,B4014&lt;='IN-NX'!$Q$3,'IN-NX'!$D$7=D4014,OR(LEFT(L4014,2)="15",AND(LEFT(M4014,2)&lt;&gt;"15",LEFT(M4014,2)&lt;&gt;"33"))),"x","")</f>
        <v/>
      </c>
      <c r="V4014" s="525" t="str">
        <f>IF(AND(OR(LEFT(TH!L4014,2)="15",LEFT(TH!M4014,2)="15"),'152-CT'!$J$8=TH!F4014),"x","")</f>
        <v/>
      </c>
      <c r="W4014" s="525" t="str">
        <f>IF(AND(OR(LEFT(TH!L4014,2)="15",LEFT(TH!M4014,2)="15"),TK!$E$7=TH!F4014),"x","")</f>
        <v/>
      </c>
      <c r="X4014" s="525" t="str">
        <f>IF(AND('341-CT'!$E$9=H4014,OR(LEFT(L4014,3)=$X$7,LEFT(M4014,3)=$X$7)),"x","")</f>
        <v/>
      </c>
      <c r="Y4014" s="525" t="str">
        <f>IF(OR(TH!L4014=TH!$Y$7,M4014=TH!$Y$7),"x","")</f>
        <v/>
      </c>
      <c r="Z4014" s="525" t="str">
        <f>IF(AND(B4014&lt;=NKC!$N$8,B4014&gt;=NKC!$M$8),"x","")</f>
        <v/>
      </c>
      <c r="AA4014" s="535">
        <v>3</v>
      </c>
      <c r="AB4014" s="536"/>
      <c r="AC4014" s="536" t="str">
        <f>VLOOKUP(F4014,NXT!$B$12:$B$686,1,0)</f>
        <v>Thùng 172x47x59</v>
      </c>
    </row>
    <row r="4015" spans="1:29" s="503" customFormat="1" ht="15.75" customHeight="1">
      <c r="A4015" s="517" t="str">
        <f>IF(B4015&lt;&gt;"",IF(AND(B4015&gt;=_TM1,B4015&lt;=_TM2,OR(TH!L4015="1111",TH!M4015="1111")),TH!D4015,""),"")</f>
        <v/>
      </c>
      <c r="B4015" s="531">
        <f t="shared" si="489"/>
        <v>8</v>
      </c>
      <c r="C4015" s="315">
        <f t="shared" si="490"/>
        <v>42977</v>
      </c>
      <c r="D4015" s="315" t="s">
        <v>1180</v>
      </c>
      <c r="E4015" s="315">
        <v>42977</v>
      </c>
      <c r="F4015" s="250" t="s">
        <v>1001</v>
      </c>
      <c r="G4015" s="314" t="s">
        <v>1078</v>
      </c>
      <c r="H4015" s="473" t="s">
        <v>1501</v>
      </c>
      <c r="I4015" s="307">
        <v>8</v>
      </c>
      <c r="J4015" s="307">
        <v>168546</v>
      </c>
      <c r="K4015" s="532">
        <f t="shared" ref="K4015:K4034" si="495">ROUND(I4015*J4015,0)</f>
        <v>1348368</v>
      </c>
      <c r="L4015" s="534" t="s">
        <v>292</v>
      </c>
      <c r="M4015" s="534" t="s">
        <v>8</v>
      </c>
      <c r="N4015" s="525" t="str">
        <f>IF(AND('331-CT'!$E$7=TH!H4015,OR(L4015="331",M4015="331")),"331",IF(AND(OR(L4015="131",M4015="131"),H4015='131-CT'!$E$7),"131",""))</f>
        <v/>
      </c>
      <c r="O4015" s="525" t="str">
        <f>IF(AND($B4015&gt;='111'!$N$11,$B4015&lt;='111'!$O$11,OR($L4015=$O$7,$M4015=$O$7)),"x","")</f>
        <v/>
      </c>
      <c r="P4015" s="525" t="str">
        <f>IF(AND($L4015=$O$7,$B4015&lt;'111'!$N$11),"x","")</f>
        <v/>
      </c>
      <c r="Q4015" s="525" t="str">
        <f>IF(AND($M4015=$O$7,$B4015&lt;'111'!$N$11),"x","")</f>
        <v/>
      </c>
      <c r="R4015" s="525" t="str">
        <f>IF(ISERROR(FIND('112'!$M$9,G4015,1)),"",IF((AND(FIND('112'!$M$9,G4015,1)&gt;=1,$B4015&gt;='112'!$N$8,$B4015&lt;='112'!$O$8,OR($L4015='112'!$I$6,$M4015='112'!$I$6))),"x",""))</f>
        <v/>
      </c>
      <c r="S4015" s="525" t="str">
        <f>IF(ISERROR(FIND('112'!$M$9,G4015,1)),"",IF((AND(LEFT(G4015,2)=LEFT('112'!$M$9,2),B4015&lt;'112'!$N$8,$L4015='112'!$I$6)),"x",""))</f>
        <v/>
      </c>
      <c r="T4015" s="525" t="str">
        <f>IF(ISERROR(FIND('112'!$M$9,G4015,1)),"",IF((AND(RIGHT(G4015,2)=RIGHT('112'!$M$9,2),B4015&lt;'112'!$N$8,$M4015='112'!$I$6)),"x",""))</f>
        <v/>
      </c>
      <c r="U4015" s="525" t="str">
        <f>IF(AND(B4015&gt;='IN-NX'!$P$3,B4015&lt;='IN-NX'!$Q$3,'IN-NX'!$D$7=D4015,OR(LEFT(L4015,2)="15",AND(LEFT(M4015,2)&lt;&gt;"15",LEFT(M4015,2)&lt;&gt;"33"))),"x","")</f>
        <v/>
      </c>
      <c r="V4015" s="525" t="str">
        <f>IF(AND(OR(LEFT(TH!L4015,2)="15",LEFT(TH!M4015,2)="15"),'152-CT'!$J$8=TH!F4015),"x","")</f>
        <v/>
      </c>
      <c r="W4015" s="525" t="str">
        <f>IF(AND(OR(LEFT(TH!L4015,2)="15",LEFT(TH!M4015,2)="15"),TK!$E$7=TH!F4015),"x","")</f>
        <v/>
      </c>
      <c r="X4015" s="525" t="str">
        <f>IF(AND('341-CT'!$E$9=H4015,OR(LEFT(L4015,3)=$X$7,LEFT(M4015,3)=$X$7)),"x","")</f>
        <v/>
      </c>
      <c r="Y4015" s="525" t="str">
        <f>IF(OR(TH!L4015=TH!$Y$7,M4015=TH!$Y$7),"x","")</f>
        <v/>
      </c>
      <c r="Z4015" s="525" t="str">
        <f>IF(AND(B4015&lt;=NKC!$N$8,B4015&gt;=NKC!$M$8),"x","")</f>
        <v/>
      </c>
      <c r="AA4015" s="535">
        <v>3</v>
      </c>
      <c r="AB4015" s="536"/>
      <c r="AC4015" s="536" t="str">
        <f>VLOOKUP(F4015,NXT!$B$12:$B$686,1,0)</f>
        <v>Thùng 112x112x55</v>
      </c>
    </row>
    <row r="4016" spans="1:29" s="503" customFormat="1" ht="15.75" customHeight="1">
      <c r="A4016" s="517" t="str">
        <f>IF(B4016&lt;&gt;"",IF(AND(B4016&gt;=_TM1,B4016&lt;=_TM2,OR(TH!L4016="1111",TH!M4016="1111")),TH!D4016,""),"")</f>
        <v/>
      </c>
      <c r="B4016" s="531">
        <f t="shared" si="489"/>
        <v>8</v>
      </c>
      <c r="C4016" s="315">
        <f t="shared" si="490"/>
        <v>42977</v>
      </c>
      <c r="D4016" s="315" t="s">
        <v>1180</v>
      </c>
      <c r="E4016" s="315">
        <v>42977</v>
      </c>
      <c r="F4016" s="250" t="s">
        <v>1234</v>
      </c>
      <c r="G4016" s="314" t="s">
        <v>1078</v>
      </c>
      <c r="H4016" s="473" t="s">
        <v>1501</v>
      </c>
      <c r="I4016" s="307">
        <v>11</v>
      </c>
      <c r="J4016" s="307">
        <v>105416</v>
      </c>
      <c r="K4016" s="532">
        <f t="shared" si="495"/>
        <v>1159576</v>
      </c>
      <c r="L4016" s="534" t="s">
        <v>292</v>
      </c>
      <c r="M4016" s="534" t="s">
        <v>8</v>
      </c>
      <c r="N4016" s="525" t="str">
        <f>IF(AND('331-CT'!$E$7=TH!H4016,OR(L4016="331",M4016="331")),"331",IF(AND(OR(L4016="131",M4016="131"),H4016='131-CT'!$E$7),"131",""))</f>
        <v/>
      </c>
      <c r="O4016" s="525" t="str">
        <f>IF(AND($B4016&gt;='111'!$N$11,$B4016&lt;='111'!$O$11,OR($L4016=$O$7,$M4016=$O$7)),"x","")</f>
        <v/>
      </c>
      <c r="P4016" s="525" t="str">
        <f>IF(AND($L4016=$O$7,$B4016&lt;'111'!$N$11),"x","")</f>
        <v/>
      </c>
      <c r="Q4016" s="525" t="str">
        <f>IF(AND($M4016=$O$7,$B4016&lt;'111'!$N$11),"x","")</f>
        <v/>
      </c>
      <c r="R4016" s="525" t="str">
        <f>IF(ISERROR(FIND('112'!$M$9,G4016,1)),"",IF((AND(FIND('112'!$M$9,G4016,1)&gt;=1,$B4016&gt;='112'!$N$8,$B4016&lt;='112'!$O$8,OR($L4016='112'!$I$6,$M4016='112'!$I$6))),"x",""))</f>
        <v/>
      </c>
      <c r="S4016" s="525" t="str">
        <f>IF(ISERROR(FIND('112'!$M$9,G4016,1)),"",IF((AND(LEFT(G4016,2)=LEFT('112'!$M$9,2),B4016&lt;'112'!$N$8,$L4016='112'!$I$6)),"x",""))</f>
        <v/>
      </c>
      <c r="T4016" s="525" t="str">
        <f>IF(ISERROR(FIND('112'!$M$9,G4016,1)),"",IF((AND(RIGHT(G4016,2)=RIGHT('112'!$M$9,2),B4016&lt;'112'!$N$8,$M4016='112'!$I$6)),"x",""))</f>
        <v/>
      </c>
      <c r="U4016" s="525" t="str">
        <f>IF(AND(B4016&gt;='IN-NX'!$P$3,B4016&lt;='IN-NX'!$Q$3,'IN-NX'!$D$7=D4016,OR(LEFT(L4016,2)="15",AND(LEFT(M4016,2)&lt;&gt;"15",LEFT(M4016,2)&lt;&gt;"33"))),"x","")</f>
        <v/>
      </c>
      <c r="V4016" s="525" t="str">
        <f>IF(AND(OR(LEFT(TH!L4016,2)="15",LEFT(TH!M4016,2)="15"),'152-CT'!$J$8=TH!F4016),"x","")</f>
        <v/>
      </c>
      <c r="W4016" s="525" t="str">
        <f>IF(AND(OR(LEFT(TH!L4016,2)="15",LEFT(TH!M4016,2)="15"),TK!$E$7=TH!F4016),"x","")</f>
        <v/>
      </c>
      <c r="X4016" s="525" t="str">
        <f>IF(AND('341-CT'!$E$9=H4016,OR(LEFT(L4016,3)=$X$7,LEFT(M4016,3)=$X$7)),"x","")</f>
        <v/>
      </c>
      <c r="Y4016" s="525" t="str">
        <f>IF(OR(TH!L4016=TH!$Y$7,M4016=TH!$Y$7),"x","")</f>
        <v/>
      </c>
      <c r="Z4016" s="525" t="str">
        <f>IF(AND(B4016&lt;=NKC!$N$8,B4016&gt;=NKC!$M$8),"x","")</f>
        <v/>
      </c>
      <c r="AA4016" s="535">
        <v>3</v>
      </c>
      <c r="AB4016" s="536"/>
      <c r="AC4016" s="536" t="str">
        <f>VLOOKUP(F4016,NXT!$B$12:$B$686,1,0)</f>
        <v>Thùng 182x47x59</v>
      </c>
    </row>
    <row r="4017" spans="1:29" s="503" customFormat="1" ht="15.75" customHeight="1">
      <c r="A4017" s="517" t="str">
        <f>IF(B4017&lt;&gt;"",IF(AND(B4017&gt;=_TM1,B4017&lt;=_TM2,OR(TH!L4017="1111",TH!M4017="1111")),TH!D4017,""),"")</f>
        <v/>
      </c>
      <c r="B4017" s="531">
        <f t="shared" si="489"/>
        <v>8</v>
      </c>
      <c r="C4017" s="315">
        <f t="shared" si="490"/>
        <v>42977</v>
      </c>
      <c r="D4017" s="315" t="s">
        <v>1180</v>
      </c>
      <c r="E4017" s="315">
        <v>42977</v>
      </c>
      <c r="F4017" s="250" t="s">
        <v>698</v>
      </c>
      <c r="G4017" s="314" t="s">
        <v>1078</v>
      </c>
      <c r="H4017" s="473" t="s">
        <v>1501</v>
      </c>
      <c r="I4017" s="307">
        <v>10</v>
      </c>
      <c r="J4017" s="307">
        <v>139671</v>
      </c>
      <c r="K4017" s="532">
        <f t="shared" si="495"/>
        <v>1396710</v>
      </c>
      <c r="L4017" s="534" t="s">
        <v>292</v>
      </c>
      <c r="M4017" s="534" t="s">
        <v>8</v>
      </c>
      <c r="N4017" s="525" t="str">
        <f>IF(AND('331-CT'!$E$7=TH!H4017,OR(L4017="331",M4017="331")),"331",IF(AND(OR(L4017="131",M4017="131"),H4017='131-CT'!$E$7),"131",""))</f>
        <v/>
      </c>
      <c r="O4017" s="525" t="str">
        <f>IF(AND($B4017&gt;='111'!$N$11,$B4017&lt;='111'!$O$11,OR($L4017=$O$7,$M4017=$O$7)),"x","")</f>
        <v/>
      </c>
      <c r="P4017" s="525" t="str">
        <f>IF(AND($L4017=$O$7,$B4017&lt;'111'!$N$11),"x","")</f>
        <v/>
      </c>
      <c r="Q4017" s="525" t="str">
        <f>IF(AND($M4017=$O$7,$B4017&lt;'111'!$N$11),"x","")</f>
        <v/>
      </c>
      <c r="R4017" s="525" t="str">
        <f>IF(ISERROR(FIND('112'!$M$9,G4017,1)),"",IF((AND(FIND('112'!$M$9,G4017,1)&gt;=1,$B4017&gt;='112'!$N$8,$B4017&lt;='112'!$O$8,OR($L4017='112'!$I$6,$M4017='112'!$I$6))),"x",""))</f>
        <v/>
      </c>
      <c r="S4017" s="525" t="str">
        <f>IF(ISERROR(FIND('112'!$M$9,G4017,1)),"",IF((AND(LEFT(G4017,2)=LEFT('112'!$M$9,2),B4017&lt;'112'!$N$8,$L4017='112'!$I$6)),"x",""))</f>
        <v/>
      </c>
      <c r="T4017" s="525" t="str">
        <f>IF(ISERROR(FIND('112'!$M$9,G4017,1)),"",IF((AND(RIGHT(G4017,2)=RIGHT('112'!$M$9,2),B4017&lt;'112'!$N$8,$M4017='112'!$I$6)),"x",""))</f>
        <v/>
      </c>
      <c r="U4017" s="525" t="str">
        <f>IF(AND(B4017&gt;='IN-NX'!$P$3,B4017&lt;='IN-NX'!$Q$3,'IN-NX'!$D$7=D4017,OR(LEFT(L4017,2)="15",AND(LEFT(M4017,2)&lt;&gt;"15",LEFT(M4017,2)&lt;&gt;"33"))),"x","")</f>
        <v/>
      </c>
      <c r="V4017" s="525" t="str">
        <f>IF(AND(OR(LEFT(TH!L4017,2)="15",LEFT(TH!M4017,2)="15"),'152-CT'!$J$8=TH!F4017),"x","")</f>
        <v/>
      </c>
      <c r="W4017" s="525" t="str">
        <f>IF(AND(OR(LEFT(TH!L4017,2)="15",LEFT(TH!M4017,2)="15"),TK!$E$7=TH!F4017),"x","")</f>
        <v/>
      </c>
      <c r="X4017" s="525" t="str">
        <f>IF(AND('341-CT'!$E$9=H4017,OR(LEFT(L4017,3)=$X$7,LEFT(M4017,3)=$X$7)),"x","")</f>
        <v/>
      </c>
      <c r="Y4017" s="525" t="str">
        <f>IF(OR(TH!L4017=TH!$Y$7,M4017=TH!$Y$7),"x","")</f>
        <v/>
      </c>
      <c r="Z4017" s="525" t="str">
        <f>IF(AND(B4017&lt;=NKC!$N$8,B4017&gt;=NKC!$M$8),"x","")</f>
        <v/>
      </c>
      <c r="AA4017" s="535">
        <v>3</v>
      </c>
      <c r="AB4017" s="536"/>
      <c r="AC4017" s="536" t="str">
        <f>VLOOKUP(F4017,NXT!$B$12:$B$686,1,0)</f>
        <v>Thùng 139x88x55</v>
      </c>
    </row>
    <row r="4018" spans="1:29" s="503" customFormat="1" ht="15.75" customHeight="1">
      <c r="A4018" s="517" t="str">
        <f>IF(B4018&lt;&gt;"",IF(AND(B4018&gt;=_TM1,B4018&lt;=_TM2,OR(TH!L4018="1111",TH!M4018="1111")),TH!D4018,""),"")</f>
        <v/>
      </c>
      <c r="B4018" s="531">
        <f t="shared" si="489"/>
        <v>8</v>
      </c>
      <c r="C4018" s="315">
        <f t="shared" si="490"/>
        <v>42977</v>
      </c>
      <c r="D4018" s="315" t="s">
        <v>1180</v>
      </c>
      <c r="E4018" s="315">
        <v>42977</v>
      </c>
      <c r="F4018" s="250" t="s">
        <v>648</v>
      </c>
      <c r="G4018" s="314" t="s">
        <v>1078</v>
      </c>
      <c r="H4018" s="473" t="s">
        <v>1501</v>
      </c>
      <c r="I4018" s="307">
        <v>7</v>
      </c>
      <c r="J4018" s="307">
        <v>50707</v>
      </c>
      <c r="K4018" s="532">
        <f t="shared" si="495"/>
        <v>354949</v>
      </c>
      <c r="L4018" s="534" t="s">
        <v>292</v>
      </c>
      <c r="M4018" s="534" t="s">
        <v>8</v>
      </c>
      <c r="N4018" s="525" t="str">
        <f>IF(AND('331-CT'!$E$7=TH!H4018,OR(L4018="331",M4018="331")),"331",IF(AND(OR(L4018="131",M4018="131"),H4018='131-CT'!$E$7),"131",""))</f>
        <v/>
      </c>
      <c r="O4018" s="525" t="str">
        <f>IF(AND($B4018&gt;='111'!$N$11,$B4018&lt;='111'!$O$11,OR($L4018=$O$7,$M4018=$O$7)),"x","")</f>
        <v/>
      </c>
      <c r="P4018" s="525" t="str">
        <f>IF(AND($L4018=$O$7,$B4018&lt;'111'!$N$11),"x","")</f>
        <v/>
      </c>
      <c r="Q4018" s="525" t="str">
        <f>IF(AND($M4018=$O$7,$B4018&lt;'111'!$N$11),"x","")</f>
        <v/>
      </c>
      <c r="R4018" s="525" t="str">
        <f>IF(ISERROR(FIND('112'!$M$9,G4018,1)),"",IF((AND(FIND('112'!$M$9,G4018,1)&gt;=1,$B4018&gt;='112'!$N$8,$B4018&lt;='112'!$O$8,OR($L4018='112'!$I$6,$M4018='112'!$I$6))),"x",""))</f>
        <v/>
      </c>
      <c r="S4018" s="525" t="str">
        <f>IF(ISERROR(FIND('112'!$M$9,G4018,1)),"",IF((AND(LEFT(G4018,2)=LEFT('112'!$M$9,2),B4018&lt;'112'!$N$8,$L4018='112'!$I$6)),"x",""))</f>
        <v/>
      </c>
      <c r="T4018" s="525" t="str">
        <f>IF(ISERROR(FIND('112'!$M$9,G4018,1)),"",IF((AND(RIGHT(G4018,2)=RIGHT('112'!$M$9,2),B4018&lt;'112'!$N$8,$M4018='112'!$I$6)),"x",""))</f>
        <v/>
      </c>
      <c r="U4018" s="525" t="str">
        <f>IF(AND(B4018&gt;='IN-NX'!$P$3,B4018&lt;='IN-NX'!$Q$3,'IN-NX'!$D$7=D4018,OR(LEFT(L4018,2)="15",AND(LEFT(M4018,2)&lt;&gt;"15",LEFT(M4018,2)&lt;&gt;"33"))),"x","")</f>
        <v/>
      </c>
      <c r="V4018" s="525" t="str">
        <f>IF(AND(OR(LEFT(TH!L4018,2)="15",LEFT(TH!M4018,2)="15"),'152-CT'!$J$8=TH!F4018),"x","")</f>
        <v/>
      </c>
      <c r="W4018" s="525" t="str">
        <f>IF(AND(OR(LEFT(TH!L4018,2)="15",LEFT(TH!M4018,2)="15"),TK!$E$7=TH!F4018),"x","")</f>
        <v/>
      </c>
      <c r="X4018" s="525" t="str">
        <f>IF(AND('341-CT'!$E$9=H4018,OR(LEFT(L4018,3)=$X$7,LEFT(M4018,3)=$X$7)),"x","")</f>
        <v/>
      </c>
      <c r="Y4018" s="525" t="str">
        <f>IF(OR(TH!L4018=TH!$Y$7,M4018=TH!$Y$7),"x","")</f>
        <v/>
      </c>
      <c r="Z4018" s="525" t="str">
        <f>IF(AND(B4018&lt;=NKC!$N$8,B4018&gt;=NKC!$M$8),"x","")</f>
        <v/>
      </c>
      <c r="AA4018" s="535">
        <v>3</v>
      </c>
      <c r="AB4018" s="536"/>
      <c r="AC4018" s="536" t="str">
        <f>VLOOKUP(F4018,NXT!$B$12:$B$686,1,0)</f>
        <v>Thùng 72x42x53</v>
      </c>
    </row>
    <row r="4019" spans="1:29" s="503" customFormat="1" ht="15.75" customHeight="1">
      <c r="A4019" s="517" t="str">
        <f>IF(B4019&lt;&gt;"",IF(AND(B4019&gt;=_TM1,B4019&lt;=_TM2,OR(TH!L4019="1111",TH!M4019="1111")),TH!D4019,""),"")</f>
        <v/>
      </c>
      <c r="B4019" s="531">
        <f t="shared" si="489"/>
        <v>8</v>
      </c>
      <c r="C4019" s="315">
        <f t="shared" si="490"/>
        <v>42977</v>
      </c>
      <c r="D4019" s="315" t="s">
        <v>1180</v>
      </c>
      <c r="E4019" s="315">
        <v>42977</v>
      </c>
      <c r="F4019" s="250" t="s">
        <v>661</v>
      </c>
      <c r="G4019" s="314" t="s">
        <v>1078</v>
      </c>
      <c r="H4019" s="473" t="s">
        <v>1501</v>
      </c>
      <c r="I4019" s="307">
        <v>7</v>
      </c>
      <c r="J4019" s="307">
        <v>66074</v>
      </c>
      <c r="K4019" s="532">
        <f t="shared" si="495"/>
        <v>462518</v>
      </c>
      <c r="L4019" s="534" t="s">
        <v>292</v>
      </c>
      <c r="M4019" s="534" t="s">
        <v>8</v>
      </c>
      <c r="N4019" s="525" t="str">
        <f>IF(AND('331-CT'!$E$7=TH!H4019,OR(L4019="331",M4019="331")),"331",IF(AND(OR(L4019="131",M4019="131"),H4019='131-CT'!$E$7),"131",""))</f>
        <v/>
      </c>
      <c r="O4019" s="525" t="str">
        <f>IF(AND($B4019&gt;='111'!$N$11,$B4019&lt;='111'!$O$11,OR($L4019=$O$7,$M4019=$O$7)),"x","")</f>
        <v/>
      </c>
      <c r="P4019" s="525" t="str">
        <f>IF(AND($L4019=$O$7,$B4019&lt;'111'!$N$11),"x","")</f>
        <v/>
      </c>
      <c r="Q4019" s="525" t="str">
        <f>IF(AND($M4019=$O$7,$B4019&lt;'111'!$N$11),"x","")</f>
        <v/>
      </c>
      <c r="R4019" s="525" t="str">
        <f>IF(ISERROR(FIND('112'!$M$9,G4019,1)),"",IF((AND(FIND('112'!$M$9,G4019,1)&gt;=1,$B4019&gt;='112'!$N$8,$B4019&lt;='112'!$O$8,OR($L4019='112'!$I$6,$M4019='112'!$I$6))),"x",""))</f>
        <v/>
      </c>
      <c r="S4019" s="525" t="str">
        <f>IF(ISERROR(FIND('112'!$M$9,G4019,1)),"",IF((AND(LEFT(G4019,2)=LEFT('112'!$M$9,2),B4019&lt;'112'!$N$8,$L4019='112'!$I$6)),"x",""))</f>
        <v/>
      </c>
      <c r="T4019" s="525" t="str">
        <f>IF(ISERROR(FIND('112'!$M$9,G4019,1)),"",IF((AND(RIGHT(G4019,2)=RIGHT('112'!$M$9,2),B4019&lt;'112'!$N$8,$M4019='112'!$I$6)),"x",""))</f>
        <v/>
      </c>
      <c r="U4019" s="525" t="str">
        <f>IF(AND(B4019&gt;='IN-NX'!$P$3,B4019&lt;='IN-NX'!$Q$3,'IN-NX'!$D$7=D4019,OR(LEFT(L4019,2)="15",AND(LEFT(M4019,2)&lt;&gt;"15",LEFT(M4019,2)&lt;&gt;"33"))),"x","")</f>
        <v/>
      </c>
      <c r="V4019" s="525" t="str">
        <f>IF(AND(OR(LEFT(TH!L4019,2)="15",LEFT(TH!M4019,2)="15"),'152-CT'!$J$8=TH!F4019),"x","")</f>
        <v/>
      </c>
      <c r="W4019" s="525" t="str">
        <f>IF(AND(OR(LEFT(TH!L4019,2)="15",LEFT(TH!M4019,2)="15"),TK!$E$7=TH!F4019),"x","")</f>
        <v/>
      </c>
      <c r="X4019" s="525" t="str">
        <f>IF(AND('341-CT'!$E$9=H4019,OR(LEFT(L4019,3)=$X$7,LEFT(M4019,3)=$X$7)),"x","")</f>
        <v/>
      </c>
      <c r="Y4019" s="525" t="str">
        <f>IF(OR(TH!L4019=TH!$Y$7,M4019=TH!$Y$7),"x","")</f>
        <v/>
      </c>
      <c r="Z4019" s="525" t="str">
        <f>IF(AND(B4019&lt;=NKC!$N$8,B4019&gt;=NKC!$M$8),"x","")</f>
        <v/>
      </c>
      <c r="AA4019" s="535">
        <v>3</v>
      </c>
      <c r="AB4019" s="536"/>
      <c r="AC4019" s="536" t="str">
        <f>VLOOKUP(F4019,NXT!$B$12:$B$686,1,0)</f>
        <v>Thùng 62x62x53</v>
      </c>
    </row>
    <row r="4020" spans="1:29" s="503" customFormat="1" ht="15.75" customHeight="1">
      <c r="A4020" s="517" t="str">
        <f>IF(B4020&lt;&gt;"",IF(AND(B4020&gt;=_TM1,B4020&lt;=_TM2,OR(TH!L4020="1111",TH!M4020="1111")),TH!D4020,""),"")</f>
        <v/>
      </c>
      <c r="B4020" s="531">
        <f t="shared" si="489"/>
        <v>8</v>
      </c>
      <c r="C4020" s="315">
        <f t="shared" si="490"/>
        <v>42977</v>
      </c>
      <c r="D4020" s="315" t="s">
        <v>1180</v>
      </c>
      <c r="E4020" s="315">
        <v>42977</v>
      </c>
      <c r="F4020" s="250" t="s">
        <v>1449</v>
      </c>
      <c r="G4020" s="314" t="s">
        <v>1078</v>
      </c>
      <c r="H4020" s="473" t="s">
        <v>1501</v>
      </c>
      <c r="I4020" s="307">
        <v>120</v>
      </c>
      <c r="J4020" s="307">
        <v>91348</v>
      </c>
      <c r="K4020" s="532">
        <f t="shared" si="495"/>
        <v>10961760</v>
      </c>
      <c r="L4020" s="534" t="s">
        <v>292</v>
      </c>
      <c r="M4020" s="534" t="s">
        <v>8</v>
      </c>
      <c r="N4020" s="525" t="str">
        <f>IF(AND('331-CT'!$E$7=TH!H4020,OR(L4020="331",M4020="331")),"331",IF(AND(OR(L4020="131",M4020="131"),H4020='131-CT'!$E$7),"131",""))</f>
        <v/>
      </c>
      <c r="O4020" s="525" t="str">
        <f>IF(AND($B4020&gt;='111'!$N$11,$B4020&lt;='111'!$O$11,OR($L4020=$O$7,$M4020=$O$7)),"x","")</f>
        <v/>
      </c>
      <c r="P4020" s="525" t="str">
        <f>IF(AND($L4020=$O$7,$B4020&lt;'111'!$N$11),"x","")</f>
        <v/>
      </c>
      <c r="Q4020" s="525" t="str">
        <f>IF(AND($M4020=$O$7,$B4020&lt;'111'!$N$11),"x","")</f>
        <v/>
      </c>
      <c r="R4020" s="525" t="str">
        <f>IF(ISERROR(FIND('112'!$M$9,G4020,1)),"",IF((AND(FIND('112'!$M$9,G4020,1)&gt;=1,$B4020&gt;='112'!$N$8,$B4020&lt;='112'!$O$8,OR($L4020='112'!$I$6,$M4020='112'!$I$6))),"x",""))</f>
        <v/>
      </c>
      <c r="S4020" s="525" t="str">
        <f>IF(ISERROR(FIND('112'!$M$9,G4020,1)),"",IF((AND(LEFT(G4020,2)=LEFT('112'!$M$9,2),B4020&lt;'112'!$N$8,$L4020='112'!$I$6)),"x",""))</f>
        <v/>
      </c>
      <c r="T4020" s="525" t="str">
        <f>IF(ISERROR(FIND('112'!$M$9,G4020,1)),"",IF((AND(RIGHT(G4020,2)=RIGHT('112'!$M$9,2),B4020&lt;'112'!$N$8,$M4020='112'!$I$6)),"x",""))</f>
        <v/>
      </c>
      <c r="U4020" s="525" t="str">
        <f>IF(AND(B4020&gt;='IN-NX'!$P$3,B4020&lt;='IN-NX'!$Q$3,'IN-NX'!$D$7=D4020,OR(LEFT(L4020,2)="15",AND(LEFT(M4020,2)&lt;&gt;"15",LEFT(M4020,2)&lt;&gt;"33"))),"x","")</f>
        <v/>
      </c>
      <c r="V4020" s="525" t="str">
        <f>IF(AND(OR(LEFT(TH!L4020,2)="15",LEFT(TH!M4020,2)="15"),'152-CT'!$J$8=TH!F4020),"x","")</f>
        <v/>
      </c>
      <c r="W4020" s="525" t="str">
        <f>IF(AND(OR(LEFT(TH!L4020,2)="15",LEFT(TH!M4020,2)="15"),TK!$E$7=TH!F4020),"x","")</f>
        <v/>
      </c>
      <c r="X4020" s="525" t="str">
        <f>IF(AND('341-CT'!$E$9=H4020,OR(LEFT(L4020,3)=$X$7,LEFT(M4020,3)=$X$7)),"x","")</f>
        <v/>
      </c>
      <c r="Y4020" s="525" t="str">
        <f>IF(OR(TH!L4020=TH!$Y$7,M4020=TH!$Y$7),"x","")</f>
        <v/>
      </c>
      <c r="Z4020" s="525" t="str">
        <f>IF(AND(B4020&lt;=NKC!$N$8,B4020&gt;=NKC!$M$8),"x","")</f>
        <v/>
      </c>
      <c r="AA4020" s="535">
        <v>3</v>
      </c>
      <c r="AB4020" s="536"/>
      <c r="AC4020" s="536" t="str">
        <f>VLOOKUP(F4020,NXT!$B$12:$B$686,1,0)</f>
        <v>Thùng 82x82x53</v>
      </c>
    </row>
    <row r="4021" spans="1:29" s="503" customFormat="1" ht="15.75" customHeight="1">
      <c r="A4021" s="517" t="str">
        <f>IF(B4021&lt;&gt;"",IF(AND(B4021&gt;=_TM1,B4021&lt;=_TM2,OR(TH!L4021="1111",TH!M4021="1111")),TH!D4021,""),"")</f>
        <v/>
      </c>
      <c r="B4021" s="531">
        <f t="shared" si="489"/>
        <v>8</v>
      </c>
      <c r="C4021" s="315">
        <f t="shared" si="490"/>
        <v>42977</v>
      </c>
      <c r="D4021" s="315" t="s">
        <v>1180</v>
      </c>
      <c r="E4021" s="315">
        <v>42977</v>
      </c>
      <c r="F4021" s="250" t="s">
        <v>679</v>
      </c>
      <c r="G4021" s="314" t="s">
        <v>1078</v>
      </c>
      <c r="H4021" s="473" t="s">
        <v>1501</v>
      </c>
      <c r="I4021" s="307">
        <v>24</v>
      </c>
      <c r="J4021" s="307">
        <v>75191</v>
      </c>
      <c r="K4021" s="532">
        <f t="shared" si="495"/>
        <v>1804584</v>
      </c>
      <c r="L4021" s="534" t="s">
        <v>292</v>
      </c>
      <c r="M4021" s="534" t="s">
        <v>8</v>
      </c>
      <c r="N4021" s="525" t="str">
        <f>IF(AND('331-CT'!$E$7=TH!H4021,OR(L4021="331",M4021="331")),"331",IF(AND(OR(L4021="131",M4021="131"),H4021='131-CT'!$E$7),"131",""))</f>
        <v/>
      </c>
      <c r="O4021" s="525" t="str">
        <f>IF(AND($B4021&gt;='111'!$N$11,$B4021&lt;='111'!$O$11,OR($L4021=$O$7,$M4021=$O$7)),"x","")</f>
        <v/>
      </c>
      <c r="P4021" s="525" t="str">
        <f>IF(AND($L4021=$O$7,$B4021&lt;'111'!$N$11),"x","")</f>
        <v/>
      </c>
      <c r="Q4021" s="525" t="str">
        <f>IF(AND($M4021=$O$7,$B4021&lt;'111'!$N$11),"x","")</f>
        <v/>
      </c>
      <c r="R4021" s="525" t="str">
        <f>IF(ISERROR(FIND('112'!$M$9,G4021,1)),"",IF((AND(FIND('112'!$M$9,G4021,1)&gt;=1,$B4021&gt;='112'!$N$8,$B4021&lt;='112'!$O$8,OR($L4021='112'!$I$6,$M4021='112'!$I$6))),"x",""))</f>
        <v/>
      </c>
      <c r="S4021" s="525" t="str">
        <f>IF(ISERROR(FIND('112'!$M$9,G4021,1)),"",IF((AND(LEFT(G4021,2)=LEFT('112'!$M$9,2),B4021&lt;'112'!$N$8,$L4021='112'!$I$6)),"x",""))</f>
        <v/>
      </c>
      <c r="T4021" s="525" t="str">
        <f>IF(ISERROR(FIND('112'!$M$9,G4021,1)),"",IF((AND(RIGHT(G4021,2)=RIGHT('112'!$M$9,2),B4021&lt;'112'!$N$8,$M4021='112'!$I$6)),"x",""))</f>
        <v/>
      </c>
      <c r="U4021" s="525" t="str">
        <f>IF(AND(B4021&gt;='IN-NX'!$P$3,B4021&lt;='IN-NX'!$Q$3,'IN-NX'!$D$7=D4021,OR(LEFT(L4021,2)="15",AND(LEFT(M4021,2)&lt;&gt;"15",LEFT(M4021,2)&lt;&gt;"33"))),"x","")</f>
        <v/>
      </c>
      <c r="V4021" s="525" t="str">
        <f>IF(AND(OR(LEFT(TH!L4021,2)="15",LEFT(TH!M4021,2)="15"),'152-CT'!$J$8=TH!F4021),"x","")</f>
        <v/>
      </c>
      <c r="W4021" s="525" t="str">
        <f>IF(AND(OR(LEFT(TH!L4021,2)="15",LEFT(TH!M4021,2)="15"),TK!$E$7=TH!F4021),"x","")</f>
        <v/>
      </c>
      <c r="X4021" s="525" t="str">
        <f>IF(AND('341-CT'!$E$9=H4021,OR(LEFT(L4021,3)=$X$7,LEFT(M4021,3)=$X$7)),"x","")</f>
        <v/>
      </c>
      <c r="Y4021" s="525" t="str">
        <f>IF(OR(TH!L4021=TH!$Y$7,M4021=TH!$Y$7),"x","")</f>
        <v/>
      </c>
      <c r="Z4021" s="525" t="str">
        <f>IF(AND(B4021&lt;=NKC!$N$8,B4021&gt;=NKC!$M$8),"x","")</f>
        <v/>
      </c>
      <c r="AA4021" s="535">
        <v>3</v>
      </c>
      <c r="AB4021" s="536"/>
      <c r="AC4021" s="536" t="str">
        <f>VLOOKUP(F4021,NXT!$B$12:$B$686,1,0)</f>
        <v>Thùng 162x37x49</v>
      </c>
    </row>
    <row r="4022" spans="1:29" s="503" customFormat="1" ht="15.75" customHeight="1">
      <c r="A4022" s="517" t="str">
        <f>IF(B4022&lt;&gt;"",IF(AND(B4022&gt;=_TM1,B4022&lt;=_TM2,OR(TH!L4022="1111",TH!M4022="1111")),TH!D4022,""),"")</f>
        <v/>
      </c>
      <c r="B4022" s="531">
        <f t="shared" si="489"/>
        <v>8</v>
      </c>
      <c r="C4022" s="315">
        <f t="shared" si="490"/>
        <v>42977</v>
      </c>
      <c r="D4022" s="315" t="s">
        <v>1180</v>
      </c>
      <c r="E4022" s="315">
        <v>42977</v>
      </c>
      <c r="F4022" s="250" t="s">
        <v>737</v>
      </c>
      <c r="G4022" s="314" t="s">
        <v>1078</v>
      </c>
      <c r="H4022" s="473" t="s">
        <v>1501</v>
      </c>
      <c r="I4022" s="307">
        <v>5</v>
      </c>
      <c r="J4022" s="307">
        <v>97166</v>
      </c>
      <c r="K4022" s="532">
        <f t="shared" si="495"/>
        <v>485830</v>
      </c>
      <c r="L4022" s="534" t="s">
        <v>292</v>
      </c>
      <c r="M4022" s="534" t="s">
        <v>8</v>
      </c>
      <c r="N4022" s="525" t="str">
        <f>IF(AND('331-CT'!$E$7=TH!H4022,OR(L4022="331",M4022="331")),"331",IF(AND(OR(L4022="131",M4022="131"),H4022='131-CT'!$E$7),"131",""))</f>
        <v/>
      </c>
      <c r="O4022" s="525" t="str">
        <f>IF(AND($B4022&gt;='111'!$N$11,$B4022&lt;='111'!$O$11,OR($L4022=$O$7,$M4022=$O$7)),"x","")</f>
        <v/>
      </c>
      <c r="P4022" s="525" t="str">
        <f>IF(AND($L4022=$O$7,$B4022&lt;'111'!$N$11),"x","")</f>
        <v/>
      </c>
      <c r="Q4022" s="525" t="str">
        <f>IF(AND($M4022=$O$7,$B4022&lt;'111'!$N$11),"x","")</f>
        <v/>
      </c>
      <c r="R4022" s="525" t="str">
        <f>IF(ISERROR(FIND('112'!$M$9,G4022,1)),"",IF((AND(FIND('112'!$M$9,G4022,1)&gt;=1,$B4022&gt;='112'!$N$8,$B4022&lt;='112'!$O$8,OR($L4022='112'!$I$6,$M4022='112'!$I$6))),"x",""))</f>
        <v/>
      </c>
      <c r="S4022" s="525" t="str">
        <f>IF(ISERROR(FIND('112'!$M$9,G4022,1)),"",IF((AND(LEFT(G4022,2)=LEFT('112'!$M$9,2),B4022&lt;'112'!$N$8,$L4022='112'!$I$6)),"x",""))</f>
        <v/>
      </c>
      <c r="T4022" s="525" t="str">
        <f>IF(ISERROR(FIND('112'!$M$9,G4022,1)),"",IF((AND(RIGHT(G4022,2)=RIGHT('112'!$M$9,2),B4022&lt;'112'!$N$8,$M4022='112'!$I$6)),"x",""))</f>
        <v/>
      </c>
      <c r="U4022" s="525" t="str">
        <f>IF(AND(B4022&gt;='IN-NX'!$P$3,B4022&lt;='IN-NX'!$Q$3,'IN-NX'!$D$7=D4022,OR(LEFT(L4022,2)="15",AND(LEFT(M4022,2)&lt;&gt;"15",LEFT(M4022,2)&lt;&gt;"33"))),"x","")</f>
        <v/>
      </c>
      <c r="V4022" s="525" t="str">
        <f>IF(AND(OR(LEFT(TH!L4022,2)="15",LEFT(TH!M4022,2)="15"),'152-CT'!$J$8=TH!F4022),"x","")</f>
        <v/>
      </c>
      <c r="W4022" s="525" t="str">
        <f>IF(AND(OR(LEFT(TH!L4022,2)="15",LEFT(TH!M4022,2)="15"),TK!$E$7=TH!F4022),"x","")</f>
        <v/>
      </c>
      <c r="X4022" s="525" t="str">
        <f>IF(AND('341-CT'!$E$9=H4022,OR(LEFT(L4022,3)=$X$7,LEFT(M4022,3)=$X$7)),"x","")</f>
        <v/>
      </c>
      <c r="Y4022" s="525" t="str">
        <f>IF(OR(TH!L4022=TH!$Y$7,M4022=TH!$Y$7),"x","")</f>
        <v/>
      </c>
      <c r="Z4022" s="525" t="str">
        <f>IF(AND(B4022&lt;=NKC!$N$8,B4022&gt;=NKC!$M$8),"x","")</f>
        <v/>
      </c>
      <c r="AA4022" s="535">
        <v>3</v>
      </c>
      <c r="AB4022" s="536"/>
      <c r="AC4022" s="536" t="str">
        <f>VLOOKUP(F4022,NXT!$B$12:$B$686,1,0)</f>
        <v>Thùng 125x45x80</v>
      </c>
    </row>
    <row r="4023" spans="1:29" s="503" customFormat="1" ht="15.75" customHeight="1">
      <c r="A4023" s="517" t="str">
        <f>IF(B4023&lt;&gt;"",IF(AND(B4023&gt;=_TM1,B4023&lt;=_TM2,OR(TH!L4023="1111",TH!M4023="1111")),TH!D4023,""),"")</f>
        <v/>
      </c>
      <c r="B4023" s="531">
        <f t="shared" si="489"/>
        <v>8</v>
      </c>
      <c r="C4023" s="315">
        <f t="shared" si="490"/>
        <v>42977</v>
      </c>
      <c r="D4023" s="315" t="s">
        <v>1180</v>
      </c>
      <c r="E4023" s="315">
        <v>42977</v>
      </c>
      <c r="F4023" s="250" t="s">
        <v>1386</v>
      </c>
      <c r="G4023" s="314" t="s">
        <v>1078</v>
      </c>
      <c r="H4023" s="473" t="s">
        <v>1501</v>
      </c>
      <c r="I4023" s="307">
        <v>25</v>
      </c>
      <c r="J4023" s="307">
        <v>52818</v>
      </c>
      <c r="K4023" s="532">
        <f t="shared" si="495"/>
        <v>1320450</v>
      </c>
      <c r="L4023" s="534" t="s">
        <v>292</v>
      </c>
      <c r="M4023" s="534" t="s">
        <v>8</v>
      </c>
      <c r="N4023" s="525" t="str">
        <f>IF(AND('331-CT'!$E$7=TH!H4023,OR(L4023="331",M4023="331")),"331",IF(AND(OR(L4023="131",M4023="131"),H4023='131-CT'!$E$7),"131",""))</f>
        <v/>
      </c>
      <c r="O4023" s="525" t="str">
        <f>IF(AND($B4023&gt;='111'!$N$11,$B4023&lt;='111'!$O$11,OR($L4023=$O$7,$M4023=$O$7)),"x","")</f>
        <v/>
      </c>
      <c r="P4023" s="525" t="str">
        <f>IF(AND($L4023=$O$7,$B4023&lt;'111'!$N$11),"x","")</f>
        <v/>
      </c>
      <c r="Q4023" s="525" t="str">
        <f>IF(AND($M4023=$O$7,$B4023&lt;'111'!$N$11),"x","")</f>
        <v/>
      </c>
      <c r="R4023" s="525" t="str">
        <f>IF(ISERROR(FIND('112'!$M$9,G4023,1)),"",IF((AND(FIND('112'!$M$9,G4023,1)&gt;=1,$B4023&gt;='112'!$N$8,$B4023&lt;='112'!$O$8,OR($L4023='112'!$I$6,$M4023='112'!$I$6))),"x",""))</f>
        <v/>
      </c>
      <c r="S4023" s="525" t="str">
        <f>IF(ISERROR(FIND('112'!$M$9,G4023,1)),"",IF((AND(LEFT(G4023,2)=LEFT('112'!$M$9,2),B4023&lt;'112'!$N$8,$L4023='112'!$I$6)),"x",""))</f>
        <v/>
      </c>
      <c r="T4023" s="525" t="str">
        <f>IF(ISERROR(FIND('112'!$M$9,G4023,1)),"",IF((AND(RIGHT(G4023,2)=RIGHT('112'!$M$9,2),B4023&lt;'112'!$N$8,$M4023='112'!$I$6)),"x",""))</f>
        <v/>
      </c>
      <c r="U4023" s="525" t="str">
        <f>IF(AND(B4023&gt;='IN-NX'!$P$3,B4023&lt;='IN-NX'!$Q$3,'IN-NX'!$D$7=D4023,OR(LEFT(L4023,2)="15",AND(LEFT(M4023,2)&lt;&gt;"15",LEFT(M4023,2)&lt;&gt;"33"))),"x","")</f>
        <v/>
      </c>
      <c r="V4023" s="525" t="str">
        <f>IF(AND(OR(LEFT(TH!L4023,2)="15",LEFT(TH!M4023,2)="15"),'152-CT'!$J$8=TH!F4023),"x","")</f>
        <v/>
      </c>
      <c r="W4023" s="525" t="str">
        <f>IF(AND(OR(LEFT(TH!L4023,2)="15",LEFT(TH!M4023,2)="15"),TK!$E$7=TH!F4023),"x","")</f>
        <v/>
      </c>
      <c r="X4023" s="525" t="str">
        <f>IF(AND('341-CT'!$E$9=H4023,OR(LEFT(L4023,3)=$X$7,LEFT(M4023,3)=$X$7)),"x","")</f>
        <v/>
      </c>
      <c r="Y4023" s="525" t="str">
        <f>IF(OR(TH!L4023=TH!$Y$7,M4023=TH!$Y$7),"x","")</f>
        <v/>
      </c>
      <c r="Z4023" s="525" t="str">
        <f>IF(AND(B4023&lt;=NKC!$N$8,B4023&gt;=NKC!$M$8),"x","")</f>
        <v/>
      </c>
      <c r="AA4023" s="535">
        <v>3</v>
      </c>
      <c r="AB4023" s="536"/>
      <c r="AC4023" s="536" t="str">
        <f>VLOOKUP(F4023,NXT!$B$12:$B$686,1,0)</f>
        <v>Thùng 105x79x27</v>
      </c>
    </row>
    <row r="4024" spans="1:29" s="503" customFormat="1" ht="15.75" customHeight="1">
      <c r="A4024" s="517" t="str">
        <f>IF(B4024&lt;&gt;"",IF(AND(B4024&gt;=_TM1,B4024&lt;=_TM2,OR(TH!L4024="1111",TH!M4024="1111")),TH!D4024,""),"")</f>
        <v/>
      </c>
      <c r="B4024" s="531">
        <f t="shared" si="489"/>
        <v>8</v>
      </c>
      <c r="C4024" s="315">
        <f t="shared" si="490"/>
        <v>42977</v>
      </c>
      <c r="D4024" s="315" t="s">
        <v>1180</v>
      </c>
      <c r="E4024" s="315">
        <v>42977</v>
      </c>
      <c r="F4024" s="250" t="s">
        <v>619</v>
      </c>
      <c r="G4024" s="314" t="s">
        <v>1078</v>
      </c>
      <c r="H4024" s="473" t="s">
        <v>1501</v>
      </c>
      <c r="I4024" s="307">
        <v>370</v>
      </c>
      <c r="J4024" s="307">
        <v>20243</v>
      </c>
      <c r="K4024" s="532">
        <f t="shared" si="495"/>
        <v>7489910</v>
      </c>
      <c r="L4024" s="534" t="s">
        <v>292</v>
      </c>
      <c r="M4024" s="534" t="s">
        <v>8</v>
      </c>
      <c r="N4024" s="525" t="str">
        <f>IF(AND('331-CT'!$E$7=TH!H4024,OR(L4024="331",M4024="331")),"331",IF(AND(OR(L4024="131",M4024="131"),H4024='131-CT'!$E$7),"131",""))</f>
        <v/>
      </c>
      <c r="O4024" s="525" t="str">
        <f>IF(AND($B4024&gt;='111'!$N$11,$B4024&lt;='111'!$O$11,OR($L4024=$O$7,$M4024=$O$7)),"x","")</f>
        <v/>
      </c>
      <c r="P4024" s="525" t="str">
        <f>IF(AND($L4024=$O$7,$B4024&lt;'111'!$N$11),"x","")</f>
        <v/>
      </c>
      <c r="Q4024" s="525" t="str">
        <f>IF(AND($M4024=$O$7,$B4024&lt;'111'!$N$11),"x","")</f>
        <v/>
      </c>
      <c r="R4024" s="525" t="str">
        <f>IF(ISERROR(FIND('112'!$M$9,G4024,1)),"",IF((AND(FIND('112'!$M$9,G4024,1)&gt;=1,$B4024&gt;='112'!$N$8,$B4024&lt;='112'!$O$8,OR($L4024='112'!$I$6,$M4024='112'!$I$6))),"x",""))</f>
        <v/>
      </c>
      <c r="S4024" s="525" t="str">
        <f>IF(ISERROR(FIND('112'!$M$9,G4024,1)),"",IF((AND(LEFT(G4024,2)=LEFT('112'!$M$9,2),B4024&lt;'112'!$N$8,$L4024='112'!$I$6)),"x",""))</f>
        <v/>
      </c>
      <c r="T4024" s="525" t="str">
        <f>IF(ISERROR(FIND('112'!$M$9,G4024,1)),"",IF((AND(RIGHT(G4024,2)=RIGHT('112'!$M$9,2),B4024&lt;'112'!$N$8,$M4024='112'!$I$6)),"x",""))</f>
        <v/>
      </c>
      <c r="U4024" s="525" t="str">
        <f>IF(AND(B4024&gt;='IN-NX'!$P$3,B4024&lt;='IN-NX'!$Q$3,'IN-NX'!$D$7=D4024,OR(LEFT(L4024,2)="15",AND(LEFT(M4024,2)&lt;&gt;"15",LEFT(M4024,2)&lt;&gt;"33"))),"x","")</f>
        <v/>
      </c>
      <c r="V4024" s="525" t="str">
        <f>IF(AND(OR(LEFT(TH!L4024,2)="15",LEFT(TH!M4024,2)="15"),'152-CT'!$J$8=TH!F4024),"x","")</f>
        <v/>
      </c>
      <c r="W4024" s="525" t="str">
        <f>IF(AND(OR(LEFT(TH!L4024,2)="15",LEFT(TH!M4024,2)="15"),TK!$E$7=TH!F4024),"x","")</f>
        <v/>
      </c>
      <c r="X4024" s="525" t="str">
        <f>IF(AND('341-CT'!$E$9=H4024,OR(LEFT(L4024,3)=$X$7,LEFT(M4024,3)=$X$7)),"x","")</f>
        <v/>
      </c>
      <c r="Y4024" s="525" t="str">
        <f>IF(OR(TH!L4024=TH!$Y$7,M4024=TH!$Y$7),"x","")</f>
        <v/>
      </c>
      <c r="Z4024" s="525" t="str">
        <f>IF(AND(B4024&lt;=NKC!$N$8,B4024&gt;=NKC!$M$8),"x","")</f>
        <v/>
      </c>
      <c r="AA4024" s="535">
        <v>3</v>
      </c>
      <c r="AB4024" s="536"/>
      <c r="AC4024" s="536" t="str">
        <f>VLOOKUP(F4024,NXT!$B$12:$B$686,1,0)</f>
        <v>Thùng 40x40x52</v>
      </c>
    </row>
    <row r="4025" spans="1:29" s="503" customFormat="1" ht="15.75" customHeight="1">
      <c r="A4025" s="517" t="str">
        <f>IF(B4025&lt;&gt;"",IF(AND(B4025&gt;=_TM1,B4025&lt;=_TM2,OR(TH!L4025="1111",TH!M4025="1111")),TH!D4025,""),"")</f>
        <v/>
      </c>
      <c r="B4025" s="531">
        <f t="shared" si="489"/>
        <v>8</v>
      </c>
      <c r="C4025" s="315">
        <f t="shared" si="490"/>
        <v>42977</v>
      </c>
      <c r="D4025" s="315" t="s">
        <v>1180</v>
      </c>
      <c r="E4025" s="315">
        <v>42977</v>
      </c>
      <c r="F4025" s="250" t="s">
        <v>1388</v>
      </c>
      <c r="G4025" s="314" t="s">
        <v>1078</v>
      </c>
      <c r="H4025" s="473" t="s">
        <v>1501</v>
      </c>
      <c r="I4025" s="307">
        <v>10</v>
      </c>
      <c r="J4025" s="307">
        <v>43330</v>
      </c>
      <c r="K4025" s="532">
        <f t="shared" si="495"/>
        <v>433300</v>
      </c>
      <c r="L4025" s="534" t="s">
        <v>292</v>
      </c>
      <c r="M4025" s="534" t="s">
        <v>8</v>
      </c>
      <c r="N4025" s="525" t="str">
        <f>IF(AND('331-CT'!$E$7=TH!H4025,OR(L4025="331",M4025="331")),"331",IF(AND(OR(L4025="131",M4025="131"),H4025='131-CT'!$E$7),"131",""))</f>
        <v/>
      </c>
      <c r="O4025" s="525" t="str">
        <f>IF(AND($B4025&gt;='111'!$N$11,$B4025&lt;='111'!$O$11,OR($L4025=$O$7,$M4025=$O$7)),"x","")</f>
        <v/>
      </c>
      <c r="P4025" s="525" t="str">
        <f>IF(AND($L4025=$O$7,$B4025&lt;'111'!$N$11),"x","")</f>
        <v/>
      </c>
      <c r="Q4025" s="525" t="str">
        <f>IF(AND($M4025=$O$7,$B4025&lt;'111'!$N$11),"x","")</f>
        <v/>
      </c>
      <c r="R4025" s="525" t="str">
        <f>IF(ISERROR(FIND('112'!$M$9,G4025,1)),"",IF((AND(FIND('112'!$M$9,G4025,1)&gt;=1,$B4025&gt;='112'!$N$8,$B4025&lt;='112'!$O$8,OR($L4025='112'!$I$6,$M4025='112'!$I$6))),"x",""))</f>
        <v/>
      </c>
      <c r="S4025" s="525" t="str">
        <f>IF(ISERROR(FIND('112'!$M$9,G4025,1)),"",IF((AND(LEFT(G4025,2)=LEFT('112'!$M$9,2),B4025&lt;'112'!$N$8,$L4025='112'!$I$6)),"x",""))</f>
        <v/>
      </c>
      <c r="T4025" s="525" t="str">
        <f>IF(ISERROR(FIND('112'!$M$9,G4025,1)),"",IF((AND(RIGHT(G4025,2)=RIGHT('112'!$M$9,2),B4025&lt;'112'!$N$8,$M4025='112'!$I$6)),"x",""))</f>
        <v/>
      </c>
      <c r="U4025" s="525" t="str">
        <f>IF(AND(B4025&gt;='IN-NX'!$P$3,B4025&lt;='IN-NX'!$Q$3,'IN-NX'!$D$7=D4025,OR(LEFT(L4025,2)="15",AND(LEFT(M4025,2)&lt;&gt;"15",LEFT(M4025,2)&lt;&gt;"33"))),"x","")</f>
        <v/>
      </c>
      <c r="V4025" s="525" t="str">
        <f>IF(AND(OR(LEFT(TH!L4025,2)="15",LEFT(TH!M4025,2)="15"),'152-CT'!$J$8=TH!F4025),"x","")</f>
        <v/>
      </c>
      <c r="W4025" s="525" t="str">
        <f>IF(AND(OR(LEFT(TH!L4025,2)="15",LEFT(TH!M4025,2)="15"),TK!$E$7=TH!F4025),"x","")</f>
        <v/>
      </c>
      <c r="X4025" s="525" t="str">
        <f>IF(AND('341-CT'!$E$9=H4025,OR(LEFT(L4025,3)=$X$7,LEFT(M4025,3)=$X$7)),"x","")</f>
        <v/>
      </c>
      <c r="Y4025" s="525" t="str">
        <f>IF(OR(TH!L4025=TH!$Y$7,M4025=TH!$Y$7),"x","")</f>
        <v/>
      </c>
      <c r="Z4025" s="525" t="str">
        <f>IF(AND(B4025&lt;=NKC!$N$8,B4025&gt;=NKC!$M$8),"x","")</f>
        <v/>
      </c>
      <c r="AA4025" s="535">
        <v>3</v>
      </c>
      <c r="AB4025" s="536"/>
      <c r="AC4025" s="536" t="str">
        <f>VLOOKUP(F4025,NXT!$B$12:$B$686,1,0)</f>
        <v>Thùng 75x35x43</v>
      </c>
    </row>
    <row r="4026" spans="1:29" s="503" customFormat="1" ht="15.75" customHeight="1">
      <c r="A4026" s="517" t="str">
        <f>IF(B4026&lt;&gt;"",IF(AND(B4026&gt;=_TM1,B4026&lt;=_TM2,OR(TH!L4026="1111",TH!M4026="1111")),TH!D4026,""),"")</f>
        <v/>
      </c>
      <c r="B4026" s="531">
        <f t="shared" si="489"/>
        <v>8</v>
      </c>
      <c r="C4026" s="315">
        <f t="shared" si="490"/>
        <v>42977</v>
      </c>
      <c r="D4026" s="315" t="s">
        <v>1180</v>
      </c>
      <c r="E4026" s="315">
        <v>42977</v>
      </c>
      <c r="F4026" s="250" t="s">
        <v>1450</v>
      </c>
      <c r="G4026" s="314" t="s">
        <v>1078</v>
      </c>
      <c r="H4026" s="473" t="s">
        <v>1501</v>
      </c>
      <c r="I4026" s="307">
        <v>20</v>
      </c>
      <c r="J4026" s="307">
        <v>96033</v>
      </c>
      <c r="K4026" s="532">
        <f t="shared" si="495"/>
        <v>1920660</v>
      </c>
      <c r="L4026" s="534" t="s">
        <v>292</v>
      </c>
      <c r="M4026" s="534" t="s">
        <v>8</v>
      </c>
      <c r="N4026" s="525" t="str">
        <f>IF(AND('331-CT'!$E$7=TH!H4026,OR(L4026="331",M4026="331")),"331",IF(AND(OR(L4026="131",M4026="131"),H4026='131-CT'!$E$7),"131",""))</f>
        <v/>
      </c>
      <c r="O4026" s="525" t="str">
        <f>IF(AND($B4026&gt;='111'!$N$11,$B4026&lt;='111'!$O$11,OR($L4026=$O$7,$M4026=$O$7)),"x","")</f>
        <v/>
      </c>
      <c r="P4026" s="525" t="str">
        <f>IF(AND($L4026=$O$7,$B4026&lt;'111'!$N$11),"x","")</f>
        <v/>
      </c>
      <c r="Q4026" s="525" t="str">
        <f>IF(AND($M4026=$O$7,$B4026&lt;'111'!$N$11),"x","")</f>
        <v/>
      </c>
      <c r="R4026" s="525" t="str">
        <f>IF(ISERROR(FIND('112'!$M$9,G4026,1)),"",IF((AND(FIND('112'!$M$9,G4026,1)&gt;=1,$B4026&gt;='112'!$N$8,$B4026&lt;='112'!$O$8,OR($L4026='112'!$I$6,$M4026='112'!$I$6))),"x",""))</f>
        <v/>
      </c>
      <c r="S4026" s="525" t="str">
        <f>IF(ISERROR(FIND('112'!$M$9,G4026,1)),"",IF((AND(LEFT(G4026,2)=LEFT('112'!$M$9,2),B4026&lt;'112'!$N$8,$L4026='112'!$I$6)),"x",""))</f>
        <v/>
      </c>
      <c r="T4026" s="525" t="str">
        <f>IF(ISERROR(FIND('112'!$M$9,G4026,1)),"",IF((AND(RIGHT(G4026,2)=RIGHT('112'!$M$9,2),B4026&lt;'112'!$N$8,$M4026='112'!$I$6)),"x",""))</f>
        <v/>
      </c>
      <c r="U4026" s="525" t="str">
        <f>IF(AND(B4026&gt;='IN-NX'!$P$3,B4026&lt;='IN-NX'!$Q$3,'IN-NX'!$D$7=D4026,OR(LEFT(L4026,2)="15",AND(LEFT(M4026,2)&lt;&gt;"15",LEFT(M4026,2)&lt;&gt;"33"))),"x","")</f>
        <v/>
      </c>
      <c r="V4026" s="525" t="str">
        <f>IF(AND(OR(LEFT(TH!L4026,2)="15",LEFT(TH!M4026,2)="15"),'152-CT'!$J$8=TH!F4026),"x","")</f>
        <v/>
      </c>
      <c r="W4026" s="525" t="str">
        <f>IF(AND(OR(LEFT(TH!L4026,2)="15",LEFT(TH!M4026,2)="15"),TK!$E$7=TH!F4026),"x","")</f>
        <v/>
      </c>
      <c r="X4026" s="525" t="str">
        <f>IF(AND('341-CT'!$E$9=H4026,OR(LEFT(L4026,3)=$X$7,LEFT(M4026,3)=$X$7)),"x","")</f>
        <v/>
      </c>
      <c r="Y4026" s="525" t="str">
        <f>IF(OR(TH!L4026=TH!$Y$7,M4026=TH!$Y$7),"x","")</f>
        <v/>
      </c>
      <c r="Z4026" s="525" t="str">
        <f>IF(AND(B4026&lt;=NKC!$N$8,B4026&gt;=NKC!$M$8),"x","")</f>
        <v/>
      </c>
      <c r="AA4026" s="535">
        <v>3</v>
      </c>
      <c r="AB4026" s="536"/>
      <c r="AC4026" s="536" t="str">
        <f>VLOOKUP(F4026,NXT!$B$12:$B$686,1,0)</f>
        <v>Thùng 205x105x11</v>
      </c>
    </row>
    <row r="4027" spans="1:29" s="503" customFormat="1" ht="15.75" customHeight="1">
      <c r="A4027" s="517" t="str">
        <f>IF(B4027&lt;&gt;"",IF(AND(B4027&gt;=_TM1,B4027&lt;=_TM2,OR(TH!L4027="1111",TH!M4027="1111")),TH!D4027,""),"")</f>
        <v/>
      </c>
      <c r="B4027" s="531">
        <f t="shared" si="489"/>
        <v>8</v>
      </c>
      <c r="C4027" s="315">
        <f t="shared" si="490"/>
        <v>42977</v>
      </c>
      <c r="D4027" s="315" t="s">
        <v>1180</v>
      </c>
      <c r="E4027" s="315">
        <v>42977</v>
      </c>
      <c r="F4027" s="250" t="s">
        <v>624</v>
      </c>
      <c r="G4027" s="314" t="s">
        <v>1078</v>
      </c>
      <c r="H4027" s="473" t="s">
        <v>1501</v>
      </c>
      <c r="I4027" s="307">
        <v>18</v>
      </c>
      <c r="J4027" s="307">
        <v>35395</v>
      </c>
      <c r="K4027" s="532">
        <f t="shared" si="495"/>
        <v>637110</v>
      </c>
      <c r="L4027" s="534" t="s">
        <v>292</v>
      </c>
      <c r="M4027" s="534" t="s">
        <v>8</v>
      </c>
      <c r="N4027" s="525" t="str">
        <f>IF(AND('331-CT'!$E$7=TH!H4027,OR(L4027="331",M4027="331")),"331",IF(AND(OR(L4027="131",M4027="131"),H4027='131-CT'!$E$7),"131",""))</f>
        <v/>
      </c>
      <c r="O4027" s="525" t="str">
        <f>IF(AND($B4027&gt;='111'!$N$11,$B4027&lt;='111'!$O$11,OR($L4027=$O$7,$M4027=$O$7)),"x","")</f>
        <v/>
      </c>
      <c r="P4027" s="525" t="str">
        <f>IF(AND($L4027=$O$7,$B4027&lt;'111'!$N$11),"x","")</f>
        <v/>
      </c>
      <c r="Q4027" s="525" t="str">
        <f>IF(AND($M4027=$O$7,$B4027&lt;'111'!$N$11),"x","")</f>
        <v/>
      </c>
      <c r="R4027" s="525" t="str">
        <f>IF(ISERROR(FIND('112'!$M$9,G4027,1)),"",IF((AND(FIND('112'!$M$9,G4027,1)&gt;=1,$B4027&gt;='112'!$N$8,$B4027&lt;='112'!$O$8,OR($L4027='112'!$I$6,$M4027='112'!$I$6))),"x",""))</f>
        <v/>
      </c>
      <c r="S4027" s="525" t="str">
        <f>IF(ISERROR(FIND('112'!$M$9,G4027,1)),"",IF((AND(LEFT(G4027,2)=LEFT('112'!$M$9,2),B4027&lt;'112'!$N$8,$L4027='112'!$I$6)),"x",""))</f>
        <v/>
      </c>
      <c r="T4027" s="525" t="str">
        <f>IF(ISERROR(FIND('112'!$M$9,G4027,1)),"",IF((AND(RIGHT(G4027,2)=RIGHT('112'!$M$9,2),B4027&lt;'112'!$N$8,$M4027='112'!$I$6)),"x",""))</f>
        <v/>
      </c>
      <c r="U4027" s="525" t="str">
        <f>IF(AND(B4027&gt;='IN-NX'!$P$3,B4027&lt;='IN-NX'!$Q$3,'IN-NX'!$D$7=D4027,OR(LEFT(L4027,2)="15",AND(LEFT(M4027,2)&lt;&gt;"15",LEFT(M4027,2)&lt;&gt;"33"))),"x","")</f>
        <v/>
      </c>
      <c r="V4027" s="525" t="str">
        <f>IF(AND(OR(LEFT(TH!L4027,2)="15",LEFT(TH!M4027,2)="15"),'152-CT'!$J$8=TH!F4027),"x","")</f>
        <v/>
      </c>
      <c r="W4027" s="525" t="str">
        <f>IF(AND(OR(LEFT(TH!L4027,2)="15",LEFT(TH!M4027,2)="15"),TK!$E$7=TH!F4027),"x","")</f>
        <v/>
      </c>
      <c r="X4027" s="525" t="str">
        <f>IF(AND('341-CT'!$E$9=H4027,OR(LEFT(L4027,3)=$X$7,LEFT(M4027,3)=$X$7)),"x","")</f>
        <v/>
      </c>
      <c r="Y4027" s="525" t="str">
        <f>IF(OR(TH!L4027=TH!$Y$7,M4027=TH!$Y$7),"x","")</f>
        <v/>
      </c>
      <c r="Z4027" s="525" t="str">
        <f>IF(AND(B4027&lt;=NKC!$N$8,B4027&gt;=NKC!$M$8),"x","")</f>
        <v/>
      </c>
      <c r="AA4027" s="535">
        <v>3</v>
      </c>
      <c r="AB4027" s="536"/>
      <c r="AC4027" s="536" t="str">
        <f>VLOOKUP(F4027,NXT!$B$12:$B$686,1,0)</f>
        <v>Thùng 62x62x42</v>
      </c>
    </row>
    <row r="4028" spans="1:29" s="503" customFormat="1" ht="15.75" customHeight="1">
      <c r="A4028" s="517" t="str">
        <f>IF(B4028&lt;&gt;"",IF(AND(B4028&gt;=_TM1,B4028&lt;=_TM2,OR(TH!L4028="1111",TH!M4028="1111")),TH!D4028,""),"")</f>
        <v/>
      </c>
      <c r="B4028" s="531">
        <f t="shared" si="489"/>
        <v>8</v>
      </c>
      <c r="C4028" s="315">
        <f t="shared" si="490"/>
        <v>42977</v>
      </c>
      <c r="D4028" s="315" t="s">
        <v>1180</v>
      </c>
      <c r="E4028" s="315">
        <v>42977</v>
      </c>
      <c r="F4028" s="250" t="s">
        <v>1389</v>
      </c>
      <c r="G4028" s="314" t="s">
        <v>1078</v>
      </c>
      <c r="H4028" s="473" t="s">
        <v>1501</v>
      </c>
      <c r="I4028" s="307">
        <v>25</v>
      </c>
      <c r="J4028" s="307">
        <v>64995</v>
      </c>
      <c r="K4028" s="532">
        <f t="shared" si="495"/>
        <v>1624875</v>
      </c>
      <c r="L4028" s="534" t="s">
        <v>292</v>
      </c>
      <c r="M4028" s="534" t="s">
        <v>8</v>
      </c>
      <c r="N4028" s="525" t="str">
        <f>IF(AND('331-CT'!$E$7=TH!H4028,OR(L4028="331",M4028="331")),"331",IF(AND(OR(L4028="131",M4028="131"),H4028='131-CT'!$E$7),"131",""))</f>
        <v/>
      </c>
      <c r="O4028" s="525" t="str">
        <f>IF(AND($B4028&gt;='111'!$N$11,$B4028&lt;='111'!$O$11,OR($L4028=$O$7,$M4028=$O$7)),"x","")</f>
        <v/>
      </c>
      <c r="P4028" s="525" t="str">
        <f>IF(AND($L4028=$O$7,$B4028&lt;'111'!$N$11),"x","")</f>
        <v/>
      </c>
      <c r="Q4028" s="525" t="str">
        <f>IF(AND($M4028=$O$7,$B4028&lt;'111'!$N$11),"x","")</f>
        <v/>
      </c>
      <c r="R4028" s="525" t="str">
        <f>IF(ISERROR(FIND('112'!$M$9,G4028,1)),"",IF((AND(FIND('112'!$M$9,G4028,1)&gt;=1,$B4028&gt;='112'!$N$8,$B4028&lt;='112'!$O$8,OR($L4028='112'!$I$6,$M4028='112'!$I$6))),"x",""))</f>
        <v/>
      </c>
      <c r="S4028" s="525" t="str">
        <f>IF(ISERROR(FIND('112'!$M$9,G4028,1)),"",IF((AND(LEFT(G4028,2)=LEFT('112'!$M$9,2),B4028&lt;'112'!$N$8,$L4028='112'!$I$6)),"x",""))</f>
        <v/>
      </c>
      <c r="T4028" s="525" t="str">
        <f>IF(ISERROR(FIND('112'!$M$9,G4028,1)),"",IF((AND(RIGHT(G4028,2)=RIGHT('112'!$M$9,2),B4028&lt;'112'!$N$8,$M4028='112'!$I$6)),"x",""))</f>
        <v/>
      </c>
      <c r="U4028" s="525" t="str">
        <f>IF(AND(B4028&gt;='IN-NX'!$P$3,B4028&lt;='IN-NX'!$Q$3,'IN-NX'!$D$7=D4028,OR(LEFT(L4028,2)="15",AND(LEFT(M4028,2)&lt;&gt;"15",LEFT(M4028,2)&lt;&gt;"33"))),"x","")</f>
        <v/>
      </c>
      <c r="V4028" s="525" t="str">
        <f>IF(AND(OR(LEFT(TH!L4028,2)="15",LEFT(TH!M4028,2)="15"),'152-CT'!$J$8=TH!F4028),"x","")</f>
        <v/>
      </c>
      <c r="W4028" s="525" t="str">
        <f>IF(AND(OR(LEFT(TH!L4028,2)="15",LEFT(TH!M4028,2)="15"),TK!$E$7=TH!F4028),"x","")</f>
        <v/>
      </c>
      <c r="X4028" s="525" t="str">
        <f>IF(AND('341-CT'!$E$9=H4028,OR(LEFT(L4028,3)=$X$7,LEFT(M4028,3)=$X$7)),"x","")</f>
        <v/>
      </c>
      <c r="Y4028" s="525" t="str">
        <f>IF(OR(TH!L4028=TH!$Y$7,M4028=TH!$Y$7),"x","")</f>
        <v/>
      </c>
      <c r="Z4028" s="525" t="str">
        <f>IF(AND(B4028&lt;=NKC!$N$8,B4028&gt;=NKC!$M$8),"x","")</f>
        <v/>
      </c>
      <c r="AA4028" s="535">
        <v>3</v>
      </c>
      <c r="AB4028" s="536"/>
      <c r="AC4028" s="536" t="str">
        <f>VLOOKUP(F4028,NXT!$B$12:$B$686,1,0)</f>
        <v>Thùng 55x55x79</v>
      </c>
    </row>
    <row r="4029" spans="1:29" s="503" customFormat="1" ht="15.75" customHeight="1">
      <c r="A4029" s="517" t="str">
        <f>IF(B4029&lt;&gt;"",IF(AND(B4029&gt;=_TM1,B4029&lt;=_TM2,OR(TH!L4029="1111",TH!M4029="1111")),TH!D4029,""),"")</f>
        <v/>
      </c>
      <c r="B4029" s="531">
        <f t="shared" si="489"/>
        <v>8</v>
      </c>
      <c r="C4029" s="315">
        <f t="shared" si="490"/>
        <v>42977</v>
      </c>
      <c r="D4029" s="315" t="s">
        <v>1180</v>
      </c>
      <c r="E4029" s="315">
        <v>42977</v>
      </c>
      <c r="F4029" s="250" t="s">
        <v>1451</v>
      </c>
      <c r="G4029" s="314" t="s">
        <v>1078</v>
      </c>
      <c r="H4029" s="473" t="s">
        <v>1501</v>
      </c>
      <c r="I4029" s="307">
        <v>7</v>
      </c>
      <c r="J4029" s="307">
        <v>221144</v>
      </c>
      <c r="K4029" s="532">
        <f t="shared" si="495"/>
        <v>1548008</v>
      </c>
      <c r="L4029" s="534" t="s">
        <v>292</v>
      </c>
      <c r="M4029" s="534" t="s">
        <v>8</v>
      </c>
      <c r="N4029" s="525" t="str">
        <f>IF(AND('331-CT'!$E$7=TH!H4029,OR(L4029="331",M4029="331")),"331",IF(AND(OR(L4029="131",M4029="131"),H4029='131-CT'!$E$7),"131",""))</f>
        <v/>
      </c>
      <c r="O4029" s="525" t="str">
        <f>IF(AND($B4029&gt;='111'!$N$11,$B4029&lt;='111'!$O$11,OR($L4029=$O$7,$M4029=$O$7)),"x","")</f>
        <v/>
      </c>
      <c r="P4029" s="525" t="str">
        <f>IF(AND($L4029=$O$7,$B4029&lt;'111'!$N$11),"x","")</f>
        <v/>
      </c>
      <c r="Q4029" s="525" t="str">
        <f>IF(AND($M4029=$O$7,$B4029&lt;'111'!$N$11),"x","")</f>
        <v/>
      </c>
      <c r="R4029" s="525" t="str">
        <f>IF(ISERROR(FIND('112'!$M$9,G4029,1)),"",IF((AND(FIND('112'!$M$9,G4029,1)&gt;=1,$B4029&gt;='112'!$N$8,$B4029&lt;='112'!$O$8,OR($L4029='112'!$I$6,$M4029='112'!$I$6))),"x",""))</f>
        <v/>
      </c>
      <c r="S4029" s="525" t="str">
        <f>IF(ISERROR(FIND('112'!$M$9,G4029,1)),"",IF((AND(LEFT(G4029,2)=LEFT('112'!$M$9,2),B4029&lt;'112'!$N$8,$L4029='112'!$I$6)),"x",""))</f>
        <v/>
      </c>
      <c r="T4029" s="525" t="str">
        <f>IF(ISERROR(FIND('112'!$M$9,G4029,1)),"",IF((AND(RIGHT(G4029,2)=RIGHT('112'!$M$9,2),B4029&lt;'112'!$N$8,$M4029='112'!$I$6)),"x",""))</f>
        <v/>
      </c>
      <c r="U4029" s="525" t="str">
        <f>IF(AND(B4029&gt;='IN-NX'!$P$3,B4029&lt;='IN-NX'!$Q$3,'IN-NX'!$D$7=D4029,OR(LEFT(L4029,2)="15",AND(LEFT(M4029,2)&lt;&gt;"15",LEFT(M4029,2)&lt;&gt;"33"))),"x","")</f>
        <v/>
      </c>
      <c r="V4029" s="525" t="str">
        <f>IF(AND(OR(LEFT(TH!L4029,2)="15",LEFT(TH!M4029,2)="15"),'152-CT'!$J$8=TH!F4029),"x","")</f>
        <v/>
      </c>
      <c r="W4029" s="525" t="str">
        <f>IF(AND(OR(LEFT(TH!L4029,2)="15",LEFT(TH!M4029,2)="15"),TK!$E$7=TH!F4029),"x","")</f>
        <v/>
      </c>
      <c r="X4029" s="525" t="str">
        <f>IF(AND('341-CT'!$E$9=H4029,OR(LEFT(L4029,3)=$X$7,LEFT(M4029,3)=$X$7)),"x","")</f>
        <v/>
      </c>
      <c r="Y4029" s="525" t="str">
        <f>IF(OR(TH!L4029=TH!$Y$7,M4029=TH!$Y$7),"x","")</f>
        <v/>
      </c>
      <c r="Z4029" s="525" t="str">
        <f>IF(AND(B4029&lt;=NKC!$N$8,B4029&gt;=NKC!$M$8),"x","")</f>
        <v/>
      </c>
      <c r="AA4029" s="535">
        <v>3</v>
      </c>
      <c r="AB4029" s="536"/>
      <c r="AC4029" s="536" t="str">
        <f>VLOOKUP(F4029,NXT!$B$12:$B$686,1,0)</f>
        <v>Thùng 132x132x55</v>
      </c>
    </row>
    <row r="4030" spans="1:29" s="503" customFormat="1" ht="15.75" customHeight="1">
      <c r="A4030" s="517" t="str">
        <f>IF(B4030&lt;&gt;"",IF(AND(B4030&gt;=_TM1,B4030&lt;=_TM2,OR(TH!L4030="1111",TH!M4030="1111")),TH!D4030,""),"")</f>
        <v/>
      </c>
      <c r="B4030" s="531">
        <f t="shared" si="489"/>
        <v>8</v>
      </c>
      <c r="C4030" s="315">
        <f t="shared" si="490"/>
        <v>42977</v>
      </c>
      <c r="D4030" s="315" t="s">
        <v>1180</v>
      </c>
      <c r="E4030" s="315">
        <v>42977</v>
      </c>
      <c r="F4030" s="250" t="s">
        <v>690</v>
      </c>
      <c r="G4030" s="314" t="s">
        <v>1078</v>
      </c>
      <c r="H4030" s="473" t="s">
        <v>1501</v>
      </c>
      <c r="I4030" s="307">
        <v>4</v>
      </c>
      <c r="J4030" s="307">
        <v>125841</v>
      </c>
      <c r="K4030" s="532">
        <f t="shared" si="495"/>
        <v>503364</v>
      </c>
      <c r="L4030" s="534" t="s">
        <v>292</v>
      </c>
      <c r="M4030" s="534" t="s">
        <v>8</v>
      </c>
      <c r="N4030" s="525" t="str">
        <f>IF(AND('331-CT'!$E$7=TH!H4030,OR(L4030="331",M4030="331")),"331",IF(AND(OR(L4030="131",M4030="131"),H4030='131-CT'!$E$7),"131",""))</f>
        <v/>
      </c>
      <c r="O4030" s="525" t="str">
        <f>IF(AND($B4030&gt;='111'!$N$11,$B4030&lt;='111'!$O$11,OR($L4030=$O$7,$M4030=$O$7)),"x","")</f>
        <v/>
      </c>
      <c r="P4030" s="525" t="str">
        <f>IF(AND($L4030=$O$7,$B4030&lt;'111'!$N$11),"x","")</f>
        <v/>
      </c>
      <c r="Q4030" s="525" t="str">
        <f>IF(AND($M4030=$O$7,$B4030&lt;'111'!$N$11),"x","")</f>
        <v/>
      </c>
      <c r="R4030" s="525" t="str">
        <f>IF(ISERROR(FIND('112'!$M$9,G4030,1)),"",IF((AND(FIND('112'!$M$9,G4030,1)&gt;=1,$B4030&gt;='112'!$N$8,$B4030&lt;='112'!$O$8,OR($L4030='112'!$I$6,$M4030='112'!$I$6))),"x",""))</f>
        <v/>
      </c>
      <c r="S4030" s="525" t="str">
        <f>IF(ISERROR(FIND('112'!$M$9,G4030,1)),"",IF((AND(LEFT(G4030,2)=LEFT('112'!$M$9,2),B4030&lt;'112'!$N$8,$L4030='112'!$I$6)),"x",""))</f>
        <v/>
      </c>
      <c r="T4030" s="525" t="str">
        <f>IF(ISERROR(FIND('112'!$M$9,G4030,1)),"",IF((AND(RIGHT(G4030,2)=RIGHT('112'!$M$9,2),B4030&lt;'112'!$N$8,$M4030='112'!$I$6)),"x",""))</f>
        <v/>
      </c>
      <c r="U4030" s="525" t="str">
        <f>IF(AND(B4030&gt;='IN-NX'!$P$3,B4030&lt;='IN-NX'!$Q$3,'IN-NX'!$D$7=D4030,OR(LEFT(L4030,2)="15",AND(LEFT(M4030,2)&lt;&gt;"15",LEFT(M4030,2)&lt;&gt;"33"))),"x","")</f>
        <v/>
      </c>
      <c r="V4030" s="525" t="str">
        <f>IF(AND(OR(LEFT(TH!L4030,2)="15",LEFT(TH!M4030,2)="15"),'152-CT'!$J$8=TH!F4030),"x","")</f>
        <v/>
      </c>
      <c r="W4030" s="525" t="str">
        <f>IF(AND(OR(LEFT(TH!L4030,2)="15",LEFT(TH!M4030,2)="15"),TK!$E$7=TH!F4030),"x","")</f>
        <v/>
      </c>
      <c r="X4030" s="525" t="str">
        <f>IF(AND('341-CT'!$E$9=H4030,OR(LEFT(L4030,3)=$X$7,LEFT(M4030,3)=$X$7)),"x","")</f>
        <v/>
      </c>
      <c r="Y4030" s="525" t="str">
        <f>IF(OR(TH!L4030=TH!$Y$7,M4030=TH!$Y$7),"x","")</f>
        <v/>
      </c>
      <c r="Z4030" s="525" t="str">
        <f>IF(AND(B4030&lt;=NKC!$N$8,B4030&gt;=NKC!$M$8),"x","")</f>
        <v/>
      </c>
      <c r="AA4030" s="535">
        <v>3</v>
      </c>
      <c r="AB4030" s="536"/>
      <c r="AC4030" s="536" t="str">
        <f>VLOOKUP(F4030,NXT!$B$12:$B$686,1,0)</f>
        <v>Thùng 82x82x87</v>
      </c>
    </row>
    <row r="4031" spans="1:29" s="503" customFormat="1" ht="15.75" customHeight="1">
      <c r="A4031" s="517" t="str">
        <f>IF(B4031&lt;&gt;"",IF(AND(B4031&gt;=_TM1,B4031&lt;=_TM2,OR(TH!L4031="1111",TH!M4031="1111")),TH!D4031,""),"")</f>
        <v/>
      </c>
      <c r="B4031" s="531">
        <f t="shared" si="489"/>
        <v>8</v>
      </c>
      <c r="C4031" s="315">
        <f t="shared" si="490"/>
        <v>42977</v>
      </c>
      <c r="D4031" s="315" t="s">
        <v>1180</v>
      </c>
      <c r="E4031" s="315">
        <v>42977</v>
      </c>
      <c r="F4031" s="250" t="s">
        <v>1452</v>
      </c>
      <c r="G4031" s="314" t="s">
        <v>1078</v>
      </c>
      <c r="H4031" s="473" t="s">
        <v>1501</v>
      </c>
      <c r="I4031" s="307">
        <v>20</v>
      </c>
      <c r="J4031" s="307">
        <v>76293</v>
      </c>
      <c r="K4031" s="532">
        <f t="shared" si="495"/>
        <v>1525860</v>
      </c>
      <c r="L4031" s="534" t="s">
        <v>292</v>
      </c>
      <c r="M4031" s="534" t="s">
        <v>8</v>
      </c>
      <c r="N4031" s="525" t="str">
        <f>IF(AND('331-CT'!$E$7=TH!H4031,OR(L4031="331",M4031="331")),"331",IF(AND(OR(L4031="131",M4031="131"),H4031='131-CT'!$E$7),"131",""))</f>
        <v/>
      </c>
      <c r="O4031" s="525" t="str">
        <f>IF(AND($B4031&gt;='111'!$N$11,$B4031&lt;='111'!$O$11,OR($L4031=$O$7,$M4031=$O$7)),"x","")</f>
        <v/>
      </c>
      <c r="P4031" s="525" t="str">
        <f>IF(AND($L4031=$O$7,$B4031&lt;'111'!$N$11),"x","")</f>
        <v/>
      </c>
      <c r="Q4031" s="525" t="str">
        <f>IF(AND($M4031=$O$7,$B4031&lt;'111'!$N$11),"x","")</f>
        <v/>
      </c>
      <c r="R4031" s="525" t="str">
        <f>IF(ISERROR(FIND('112'!$M$9,G4031,1)),"",IF((AND(FIND('112'!$M$9,G4031,1)&gt;=1,$B4031&gt;='112'!$N$8,$B4031&lt;='112'!$O$8,OR($L4031='112'!$I$6,$M4031='112'!$I$6))),"x",""))</f>
        <v/>
      </c>
      <c r="S4031" s="525" t="str">
        <f>IF(ISERROR(FIND('112'!$M$9,G4031,1)),"",IF((AND(LEFT(G4031,2)=LEFT('112'!$M$9,2),B4031&lt;'112'!$N$8,$L4031='112'!$I$6)),"x",""))</f>
        <v/>
      </c>
      <c r="T4031" s="525" t="str">
        <f>IF(ISERROR(FIND('112'!$M$9,G4031,1)),"",IF((AND(RIGHT(G4031,2)=RIGHT('112'!$M$9,2),B4031&lt;'112'!$N$8,$M4031='112'!$I$6)),"x",""))</f>
        <v/>
      </c>
      <c r="U4031" s="525" t="str">
        <f>IF(AND(B4031&gt;='IN-NX'!$P$3,B4031&lt;='IN-NX'!$Q$3,'IN-NX'!$D$7=D4031,OR(LEFT(L4031,2)="15",AND(LEFT(M4031,2)&lt;&gt;"15",LEFT(M4031,2)&lt;&gt;"33"))),"x","")</f>
        <v/>
      </c>
      <c r="V4031" s="525" t="str">
        <f>IF(AND(OR(LEFT(TH!L4031,2)="15",LEFT(TH!M4031,2)="15"),'152-CT'!$J$8=TH!F4031),"x","")</f>
        <v/>
      </c>
      <c r="W4031" s="525" t="str">
        <f>IF(AND(OR(LEFT(TH!L4031,2)="15",LEFT(TH!M4031,2)="15"),TK!$E$7=TH!F4031),"x","")</f>
        <v/>
      </c>
      <c r="X4031" s="525" t="str">
        <f>IF(AND('341-CT'!$E$9=H4031,OR(LEFT(L4031,3)=$X$7,LEFT(M4031,3)=$X$7)),"x","")</f>
        <v/>
      </c>
      <c r="Y4031" s="525" t="str">
        <f>IF(OR(TH!L4031=TH!$Y$7,M4031=TH!$Y$7),"x","")</f>
        <v/>
      </c>
      <c r="Z4031" s="525" t="str">
        <f>IF(AND(B4031&lt;=NKC!$N$8,B4031&gt;=NKC!$M$8),"x","")</f>
        <v/>
      </c>
      <c r="AA4031" s="535">
        <v>3</v>
      </c>
      <c r="AB4031" s="536"/>
      <c r="AC4031" s="536" t="str">
        <f>VLOOKUP(F4031,NXT!$B$12:$B$686,1,0)</f>
        <v>Thùng 205x76x25</v>
      </c>
    </row>
    <row r="4032" spans="1:29" s="503" customFormat="1" ht="15.75" customHeight="1">
      <c r="A4032" s="517" t="str">
        <f>IF(B4032&lt;&gt;"",IF(AND(B4032&gt;=_TM1,B4032&lt;=_TM2,OR(TH!L4032="1111",TH!M4032="1111")),TH!D4032,""),"")</f>
        <v/>
      </c>
      <c r="B4032" s="531">
        <f t="shared" si="489"/>
        <v>8</v>
      </c>
      <c r="C4032" s="315">
        <f t="shared" si="490"/>
        <v>42977</v>
      </c>
      <c r="D4032" s="315" t="s">
        <v>1180</v>
      </c>
      <c r="E4032" s="315">
        <v>42977</v>
      </c>
      <c r="F4032" s="250" t="s">
        <v>1387</v>
      </c>
      <c r="G4032" s="314" t="s">
        <v>1078</v>
      </c>
      <c r="H4032" s="473" t="s">
        <v>1501</v>
      </c>
      <c r="I4032" s="307">
        <v>5</v>
      </c>
      <c r="J4032" s="307">
        <v>100180</v>
      </c>
      <c r="K4032" s="532">
        <f t="shared" si="495"/>
        <v>500900</v>
      </c>
      <c r="L4032" s="534" t="s">
        <v>292</v>
      </c>
      <c r="M4032" s="534" t="s">
        <v>8</v>
      </c>
      <c r="N4032" s="525" t="str">
        <f>IF(AND('331-CT'!$E$7=TH!H4032,OR(L4032="331",M4032="331")),"331",IF(AND(OR(L4032="131",M4032="131"),H4032='131-CT'!$E$7),"131",""))</f>
        <v/>
      </c>
      <c r="O4032" s="525" t="str">
        <f>IF(AND($B4032&gt;='111'!$N$11,$B4032&lt;='111'!$O$11,OR($L4032=$O$7,$M4032=$O$7)),"x","")</f>
        <v/>
      </c>
      <c r="P4032" s="525" t="str">
        <f>IF(AND($L4032=$O$7,$B4032&lt;'111'!$N$11),"x","")</f>
        <v/>
      </c>
      <c r="Q4032" s="525" t="str">
        <f>IF(AND($M4032=$O$7,$B4032&lt;'111'!$N$11),"x","")</f>
        <v/>
      </c>
      <c r="R4032" s="525" t="str">
        <f>IF(ISERROR(FIND('112'!$M$9,G4032,1)),"",IF((AND(FIND('112'!$M$9,G4032,1)&gt;=1,$B4032&gt;='112'!$N$8,$B4032&lt;='112'!$O$8,OR($L4032='112'!$I$6,$M4032='112'!$I$6))),"x",""))</f>
        <v/>
      </c>
      <c r="S4032" s="525" t="str">
        <f>IF(ISERROR(FIND('112'!$M$9,G4032,1)),"",IF((AND(LEFT(G4032,2)=LEFT('112'!$M$9,2),B4032&lt;'112'!$N$8,$L4032='112'!$I$6)),"x",""))</f>
        <v/>
      </c>
      <c r="T4032" s="525" t="str">
        <f>IF(ISERROR(FIND('112'!$M$9,G4032,1)),"",IF((AND(RIGHT(G4032,2)=RIGHT('112'!$M$9,2),B4032&lt;'112'!$N$8,$M4032='112'!$I$6)),"x",""))</f>
        <v/>
      </c>
      <c r="U4032" s="525" t="str">
        <f>IF(AND(B4032&gt;='IN-NX'!$P$3,B4032&lt;='IN-NX'!$Q$3,'IN-NX'!$D$7=D4032,OR(LEFT(L4032,2)="15",AND(LEFT(M4032,2)&lt;&gt;"15",LEFT(M4032,2)&lt;&gt;"33"))),"x","")</f>
        <v/>
      </c>
      <c r="V4032" s="525" t="str">
        <f>IF(AND(OR(LEFT(TH!L4032,2)="15",LEFT(TH!M4032,2)="15"),'152-CT'!$J$8=TH!F4032),"x","")</f>
        <v/>
      </c>
      <c r="W4032" s="525" t="str">
        <f>IF(AND(OR(LEFT(TH!L4032,2)="15",LEFT(TH!M4032,2)="15"),TK!$E$7=TH!F4032),"x","")</f>
        <v/>
      </c>
      <c r="X4032" s="525" t="str">
        <f>IF(AND('341-CT'!$E$9=H4032,OR(LEFT(L4032,3)=$X$7,LEFT(M4032,3)=$X$7)),"x","")</f>
        <v/>
      </c>
      <c r="Y4032" s="525" t="str">
        <f>IF(OR(TH!L4032=TH!$Y$7,M4032=TH!$Y$7),"x","")</f>
        <v/>
      </c>
      <c r="Z4032" s="525" t="str">
        <f>IF(AND(B4032&lt;=NKC!$N$8,B4032&gt;=NKC!$M$8),"x","")</f>
        <v/>
      </c>
      <c r="AA4032" s="535">
        <v>3</v>
      </c>
      <c r="AB4032" s="536"/>
      <c r="AC4032" s="536" t="str">
        <f>VLOOKUP(F4032,NXT!$B$12:$B$686,1,0)</f>
        <v>Thùng 165x75x16</v>
      </c>
    </row>
    <row r="4033" spans="1:29" s="503" customFormat="1" ht="15.75" customHeight="1">
      <c r="A4033" s="517" t="str">
        <f>IF(B4033&lt;&gt;"",IF(AND(B4033&gt;=_TM1,B4033&lt;=_TM2,OR(TH!L4033="1111",TH!M4033="1111")),TH!D4033,""),"")</f>
        <v/>
      </c>
      <c r="B4033" s="531">
        <f t="shared" si="489"/>
        <v>8</v>
      </c>
      <c r="C4033" s="315">
        <f t="shared" si="490"/>
        <v>42977</v>
      </c>
      <c r="D4033" s="315" t="s">
        <v>1180</v>
      </c>
      <c r="E4033" s="315">
        <v>42977</v>
      </c>
      <c r="F4033" s="250" t="s">
        <v>1385</v>
      </c>
      <c r="G4033" s="314" t="s">
        <v>1078</v>
      </c>
      <c r="H4033" s="473" t="s">
        <v>1501</v>
      </c>
      <c r="I4033" s="307">
        <v>112</v>
      </c>
      <c r="J4033" s="307">
        <v>27113</v>
      </c>
      <c r="K4033" s="532">
        <f t="shared" si="495"/>
        <v>3036656</v>
      </c>
      <c r="L4033" s="534" t="s">
        <v>292</v>
      </c>
      <c r="M4033" s="534" t="s">
        <v>8</v>
      </c>
      <c r="N4033" s="525" t="str">
        <f>IF(AND('331-CT'!$E$7=TH!H4033,OR(L4033="331",M4033="331")),"331",IF(AND(OR(L4033="131",M4033="131"),H4033='131-CT'!$E$7),"131",""))</f>
        <v/>
      </c>
      <c r="O4033" s="525" t="str">
        <f>IF(AND($B4033&gt;='111'!$N$11,$B4033&lt;='111'!$O$11,OR($L4033=$O$7,$M4033=$O$7)),"x","")</f>
        <v/>
      </c>
      <c r="P4033" s="525" t="str">
        <f>IF(AND($L4033=$O$7,$B4033&lt;'111'!$N$11),"x","")</f>
        <v/>
      </c>
      <c r="Q4033" s="525" t="str">
        <f>IF(AND($M4033=$O$7,$B4033&lt;'111'!$N$11),"x","")</f>
        <v/>
      </c>
      <c r="R4033" s="525" t="str">
        <f>IF(ISERROR(FIND('112'!$M$9,G4033,1)),"",IF((AND(FIND('112'!$M$9,G4033,1)&gt;=1,$B4033&gt;='112'!$N$8,$B4033&lt;='112'!$O$8,OR($L4033='112'!$I$6,$M4033='112'!$I$6))),"x",""))</f>
        <v/>
      </c>
      <c r="S4033" s="525" t="str">
        <f>IF(ISERROR(FIND('112'!$M$9,G4033,1)),"",IF((AND(LEFT(G4033,2)=LEFT('112'!$M$9,2),B4033&lt;'112'!$N$8,$L4033='112'!$I$6)),"x",""))</f>
        <v/>
      </c>
      <c r="T4033" s="525" t="str">
        <f>IF(ISERROR(FIND('112'!$M$9,G4033,1)),"",IF((AND(RIGHT(G4033,2)=RIGHT('112'!$M$9,2),B4033&lt;'112'!$N$8,$M4033='112'!$I$6)),"x",""))</f>
        <v/>
      </c>
      <c r="U4033" s="525" t="str">
        <f>IF(AND(B4033&gt;='IN-NX'!$P$3,B4033&lt;='IN-NX'!$Q$3,'IN-NX'!$D$7=D4033,OR(LEFT(L4033,2)="15",AND(LEFT(M4033,2)&lt;&gt;"15",LEFT(M4033,2)&lt;&gt;"33"))),"x","")</f>
        <v/>
      </c>
      <c r="V4033" s="525" t="str">
        <f>IF(AND(OR(LEFT(TH!L4033,2)="15",LEFT(TH!M4033,2)="15"),'152-CT'!$J$8=TH!F4033),"x","")</f>
        <v/>
      </c>
      <c r="W4033" s="525" t="str">
        <f>IF(AND(OR(LEFT(TH!L4033,2)="15",LEFT(TH!M4033,2)="15"),TK!$E$7=TH!F4033),"x","")</f>
        <v/>
      </c>
      <c r="X4033" s="525" t="str">
        <f>IF(AND('341-CT'!$E$9=H4033,OR(LEFT(L4033,3)=$X$7,LEFT(M4033,3)=$X$7)),"x","")</f>
        <v/>
      </c>
      <c r="Y4033" s="525" t="str">
        <f>IF(OR(TH!L4033=TH!$Y$7,M4033=TH!$Y$7),"x","")</f>
        <v/>
      </c>
      <c r="Z4033" s="525" t="str">
        <f>IF(AND(B4033&lt;=NKC!$N$8,B4033&gt;=NKC!$M$8),"x","")</f>
        <v/>
      </c>
      <c r="AA4033" s="535">
        <v>3</v>
      </c>
      <c r="AB4033" s="536"/>
      <c r="AC4033" s="536" t="str">
        <f>VLOOKUP(F4033,NXT!$B$12:$B$686,1,0)</f>
        <v>Thùng 55x33x80</v>
      </c>
    </row>
    <row r="4034" spans="1:29" s="503" customFormat="1" ht="15.75" customHeight="1">
      <c r="A4034" s="517" t="str">
        <f>IF(B4034&lt;&gt;"",IF(AND(B4034&gt;=_TM1,B4034&lt;=_TM2,OR(TH!L4034="1111",TH!M4034="1111")),TH!D4034,""),"")</f>
        <v/>
      </c>
      <c r="B4034" s="531">
        <f t="shared" si="489"/>
        <v>8</v>
      </c>
      <c r="C4034" s="315">
        <f t="shared" si="490"/>
        <v>42977</v>
      </c>
      <c r="D4034" s="315" t="s">
        <v>1180</v>
      </c>
      <c r="E4034" s="315">
        <v>42977</v>
      </c>
      <c r="F4034" s="250" t="s">
        <v>625</v>
      </c>
      <c r="G4034" s="314" t="s">
        <v>1078</v>
      </c>
      <c r="H4034" s="473" t="s">
        <v>1501</v>
      </c>
      <c r="I4034" s="307">
        <v>12</v>
      </c>
      <c r="J4034" s="307">
        <v>38139</v>
      </c>
      <c r="K4034" s="532">
        <f t="shared" si="495"/>
        <v>457668</v>
      </c>
      <c r="L4034" s="534" t="s">
        <v>292</v>
      </c>
      <c r="M4034" s="534" t="s">
        <v>8</v>
      </c>
      <c r="N4034" s="525" t="str">
        <f>IF(AND('331-CT'!$E$7=TH!H4034,OR(L4034="331",M4034="331")),"331",IF(AND(OR(L4034="131",M4034="131"),H4034='131-CT'!$E$7),"131",""))</f>
        <v/>
      </c>
      <c r="O4034" s="525" t="str">
        <f>IF(AND($B4034&gt;='111'!$N$11,$B4034&lt;='111'!$O$11,OR($L4034=$O$7,$M4034=$O$7)),"x","")</f>
        <v/>
      </c>
      <c r="P4034" s="525" t="str">
        <f>IF(AND($L4034=$O$7,$B4034&lt;'111'!$N$11),"x","")</f>
        <v/>
      </c>
      <c r="Q4034" s="525" t="str">
        <f>IF(AND($M4034=$O$7,$B4034&lt;'111'!$N$11),"x","")</f>
        <v/>
      </c>
      <c r="R4034" s="525" t="str">
        <f>IF(ISERROR(FIND('112'!$M$9,G4034,1)),"",IF((AND(FIND('112'!$M$9,G4034,1)&gt;=1,$B4034&gt;='112'!$N$8,$B4034&lt;='112'!$O$8,OR($L4034='112'!$I$6,$M4034='112'!$I$6))),"x",""))</f>
        <v/>
      </c>
      <c r="S4034" s="525" t="str">
        <f>IF(ISERROR(FIND('112'!$M$9,G4034,1)),"",IF((AND(LEFT(G4034,2)=LEFT('112'!$M$9,2),B4034&lt;'112'!$N$8,$L4034='112'!$I$6)),"x",""))</f>
        <v/>
      </c>
      <c r="T4034" s="525" t="str">
        <f>IF(ISERROR(FIND('112'!$M$9,G4034,1)),"",IF((AND(RIGHT(G4034,2)=RIGHT('112'!$M$9,2),B4034&lt;'112'!$N$8,$M4034='112'!$I$6)),"x",""))</f>
        <v/>
      </c>
      <c r="U4034" s="525" t="str">
        <f>IF(AND(B4034&gt;='IN-NX'!$P$3,B4034&lt;='IN-NX'!$Q$3,'IN-NX'!$D$7=D4034,OR(LEFT(L4034,2)="15",AND(LEFT(M4034,2)&lt;&gt;"15",LEFT(M4034,2)&lt;&gt;"33"))),"x","")</f>
        <v/>
      </c>
      <c r="V4034" s="525" t="str">
        <f>IF(AND(OR(LEFT(TH!L4034,2)="15",LEFT(TH!M4034,2)="15"),'152-CT'!$J$8=TH!F4034),"x","")</f>
        <v/>
      </c>
      <c r="W4034" s="525" t="str">
        <f>IF(AND(OR(LEFT(TH!L4034,2)="15",LEFT(TH!M4034,2)="15"),TK!$E$7=TH!F4034),"x","")</f>
        <v/>
      </c>
      <c r="X4034" s="525" t="str">
        <f>IF(AND('341-CT'!$E$9=H4034,OR(LEFT(L4034,3)=$X$7,LEFT(M4034,3)=$X$7)),"x","")</f>
        <v/>
      </c>
      <c r="Y4034" s="525" t="str">
        <f>IF(OR(TH!L4034=TH!$Y$7,M4034=TH!$Y$7),"x","")</f>
        <v/>
      </c>
      <c r="Z4034" s="525" t="str">
        <f>IF(AND(B4034&lt;=NKC!$N$8,B4034&gt;=NKC!$M$8),"x","")</f>
        <v/>
      </c>
      <c r="AA4034" s="535">
        <v>3</v>
      </c>
      <c r="AB4034" s="536"/>
      <c r="AC4034" s="536" t="str">
        <f>VLOOKUP(F4034,NXT!$B$12:$B$686,1,0)</f>
        <v>Thùng 72x62x42</v>
      </c>
    </row>
    <row r="4035" spans="1:29" s="503" customFormat="1" ht="15.75" customHeight="1">
      <c r="A4035" s="517" t="str">
        <f>IF(B4035&lt;&gt;"",IF(AND(B4035&gt;=_TM1,B4035&lt;=_TM2,OR(TH!L4035="1111",TH!M4035="1111")),TH!D4035,""),"")</f>
        <v/>
      </c>
      <c r="B4035" s="531">
        <f t="shared" ref="B4035:B4054" si="496">IF(C4035&lt;&gt;"",MONTH(C4035),"")</f>
        <v>8</v>
      </c>
      <c r="C4035" s="315">
        <f t="shared" ref="C4035:C4054" si="497">E4035</f>
        <v>42977</v>
      </c>
      <c r="D4035" s="315" t="s">
        <v>1180</v>
      </c>
      <c r="E4035" s="315">
        <v>42977</v>
      </c>
      <c r="F4035" s="250" t="s">
        <v>1453</v>
      </c>
      <c r="G4035" s="314" t="s">
        <v>1078</v>
      </c>
      <c r="H4035" s="473" t="s">
        <v>1501</v>
      </c>
      <c r="I4035" s="307">
        <v>16</v>
      </c>
      <c r="J4035" s="307">
        <v>39685</v>
      </c>
      <c r="K4035" s="532">
        <f t="shared" ref="K4035:K4054" si="498">ROUND(I4035*J4035,0)</f>
        <v>634960</v>
      </c>
      <c r="L4035" s="534" t="s">
        <v>292</v>
      </c>
      <c r="M4035" s="534" t="s">
        <v>8</v>
      </c>
      <c r="N4035" s="525" t="str">
        <f>IF(AND('331-CT'!$E$7=TH!H4035,OR(L4035="331",M4035="331")),"331",IF(AND(OR(L4035="131",M4035="131"),H4035='131-CT'!$E$7),"131",""))</f>
        <v/>
      </c>
      <c r="O4035" s="525" t="str">
        <f>IF(AND($B4035&gt;='111'!$N$11,$B4035&lt;='111'!$O$11,OR($L4035=$O$7,$M4035=$O$7)),"x","")</f>
        <v/>
      </c>
      <c r="P4035" s="525" t="str">
        <f>IF(AND($L4035=$O$7,$B4035&lt;'111'!$N$11),"x","")</f>
        <v/>
      </c>
      <c r="Q4035" s="525" t="str">
        <f>IF(AND($M4035=$O$7,$B4035&lt;'111'!$N$11),"x","")</f>
        <v/>
      </c>
      <c r="R4035" s="525" t="str">
        <f>IF(ISERROR(FIND('112'!$M$9,G4035,1)),"",IF((AND(FIND('112'!$M$9,G4035,1)&gt;=1,$B4035&gt;='112'!$N$8,$B4035&lt;='112'!$O$8,OR($L4035='112'!$I$6,$M4035='112'!$I$6))),"x",""))</f>
        <v/>
      </c>
      <c r="S4035" s="525" t="str">
        <f>IF(ISERROR(FIND('112'!$M$9,G4035,1)),"",IF((AND(LEFT(G4035,2)=LEFT('112'!$M$9,2),B4035&lt;'112'!$N$8,$L4035='112'!$I$6)),"x",""))</f>
        <v/>
      </c>
      <c r="T4035" s="525" t="str">
        <f>IF(ISERROR(FIND('112'!$M$9,G4035,1)),"",IF((AND(RIGHT(G4035,2)=RIGHT('112'!$M$9,2),B4035&lt;'112'!$N$8,$M4035='112'!$I$6)),"x",""))</f>
        <v/>
      </c>
      <c r="U4035" s="525" t="str">
        <f>IF(AND(B4035&gt;='IN-NX'!$P$3,B4035&lt;='IN-NX'!$Q$3,'IN-NX'!$D$7=D4035,OR(LEFT(L4035,2)="15",AND(LEFT(M4035,2)&lt;&gt;"15",LEFT(M4035,2)&lt;&gt;"33"))),"x","")</f>
        <v/>
      </c>
      <c r="V4035" s="525" t="str">
        <f>IF(AND(OR(LEFT(TH!L4035,2)="15",LEFT(TH!M4035,2)="15"),'152-CT'!$J$8=TH!F4035),"x","")</f>
        <v/>
      </c>
      <c r="W4035" s="525" t="str">
        <f>IF(AND(OR(LEFT(TH!L4035,2)="15",LEFT(TH!M4035,2)="15"),TK!$E$7=TH!F4035),"x","")</f>
        <v/>
      </c>
      <c r="X4035" s="525" t="str">
        <f>IF(AND('341-CT'!$E$9=H4035,OR(LEFT(L4035,3)=$X$7,LEFT(M4035,3)=$X$7)),"x","")</f>
        <v/>
      </c>
      <c r="Y4035" s="525" t="str">
        <f>IF(OR(TH!L4035=TH!$Y$7,M4035=TH!$Y$7),"x","")</f>
        <v/>
      </c>
      <c r="Z4035" s="525" t="str">
        <f>IF(AND(B4035&lt;=NKC!$N$8,B4035&gt;=NKC!$M$8),"x","")</f>
        <v/>
      </c>
      <c r="AA4035" s="535">
        <v>3</v>
      </c>
      <c r="AB4035" s="536"/>
      <c r="AC4035" s="536" t="str">
        <f>VLOOKUP(F4035,NXT!$B$12:$B$686,1,0)</f>
        <v>Thùng 46x46x52</v>
      </c>
    </row>
    <row r="4036" spans="1:29" s="503" customFormat="1" ht="15.75" customHeight="1">
      <c r="A4036" s="517" t="str">
        <f>IF(B4036&lt;&gt;"",IF(AND(B4036&gt;=_TM1,B4036&lt;=_TM2,OR(TH!L4036="1111",TH!M4036="1111")),TH!D4036,""),"")</f>
        <v/>
      </c>
      <c r="B4036" s="531">
        <f t="shared" si="496"/>
        <v>8</v>
      </c>
      <c r="C4036" s="315">
        <f t="shared" si="497"/>
        <v>42977</v>
      </c>
      <c r="D4036" s="315" t="s">
        <v>1180</v>
      </c>
      <c r="E4036" s="315">
        <v>42977</v>
      </c>
      <c r="F4036" s="250" t="s">
        <v>1454</v>
      </c>
      <c r="G4036" s="314" t="s">
        <v>1078</v>
      </c>
      <c r="H4036" s="473" t="s">
        <v>1501</v>
      </c>
      <c r="I4036" s="307">
        <v>10</v>
      </c>
      <c r="J4036" s="307">
        <v>118538</v>
      </c>
      <c r="K4036" s="532">
        <f t="shared" si="498"/>
        <v>1185380</v>
      </c>
      <c r="L4036" s="534" t="s">
        <v>292</v>
      </c>
      <c r="M4036" s="534" t="s">
        <v>8</v>
      </c>
      <c r="N4036" s="525" t="str">
        <f>IF(AND('331-CT'!$E$7=TH!H4036,OR(L4036="331",M4036="331")),"331",IF(AND(OR(L4036="131",M4036="131"),H4036='131-CT'!$E$7),"131",""))</f>
        <v/>
      </c>
      <c r="O4036" s="525" t="str">
        <f>IF(AND($B4036&gt;='111'!$N$11,$B4036&lt;='111'!$O$11,OR($L4036=$O$7,$M4036=$O$7)),"x","")</f>
        <v/>
      </c>
      <c r="P4036" s="525" t="str">
        <f>IF(AND($L4036=$O$7,$B4036&lt;'111'!$N$11),"x","")</f>
        <v/>
      </c>
      <c r="Q4036" s="525" t="str">
        <f>IF(AND($M4036=$O$7,$B4036&lt;'111'!$N$11),"x","")</f>
        <v/>
      </c>
      <c r="R4036" s="525" t="str">
        <f>IF(ISERROR(FIND('112'!$M$9,G4036,1)),"",IF((AND(FIND('112'!$M$9,G4036,1)&gt;=1,$B4036&gt;='112'!$N$8,$B4036&lt;='112'!$O$8,OR($L4036='112'!$I$6,$M4036='112'!$I$6))),"x",""))</f>
        <v/>
      </c>
      <c r="S4036" s="525" t="str">
        <f>IF(ISERROR(FIND('112'!$M$9,G4036,1)),"",IF((AND(LEFT(G4036,2)=LEFT('112'!$M$9,2),B4036&lt;'112'!$N$8,$L4036='112'!$I$6)),"x",""))</f>
        <v/>
      </c>
      <c r="T4036" s="525" t="str">
        <f>IF(ISERROR(FIND('112'!$M$9,G4036,1)),"",IF((AND(RIGHT(G4036,2)=RIGHT('112'!$M$9,2),B4036&lt;'112'!$N$8,$M4036='112'!$I$6)),"x",""))</f>
        <v/>
      </c>
      <c r="U4036" s="525" t="str">
        <f>IF(AND(B4036&gt;='IN-NX'!$P$3,B4036&lt;='IN-NX'!$Q$3,'IN-NX'!$D$7=D4036,OR(LEFT(L4036,2)="15",AND(LEFT(M4036,2)&lt;&gt;"15",LEFT(M4036,2)&lt;&gt;"33"))),"x","")</f>
        <v/>
      </c>
      <c r="V4036" s="525" t="str">
        <f>IF(AND(OR(LEFT(TH!L4036,2)="15",LEFT(TH!M4036,2)="15"),'152-CT'!$J$8=TH!F4036),"x","")</f>
        <v/>
      </c>
      <c r="W4036" s="525" t="str">
        <f>IF(AND(OR(LEFT(TH!L4036,2)="15",LEFT(TH!M4036,2)="15"),TK!$E$7=TH!F4036),"x","")</f>
        <v/>
      </c>
      <c r="X4036" s="525" t="str">
        <f>IF(AND('341-CT'!$E$9=H4036,OR(LEFT(L4036,3)=$X$7,LEFT(M4036,3)=$X$7)),"x","")</f>
        <v/>
      </c>
      <c r="Y4036" s="525" t="str">
        <f>IF(OR(TH!L4036=TH!$Y$7,M4036=TH!$Y$7),"x","")</f>
        <v/>
      </c>
      <c r="Z4036" s="525" t="str">
        <f>IF(AND(B4036&lt;=NKC!$N$8,B4036&gt;=NKC!$M$8),"x","")</f>
        <v/>
      </c>
      <c r="AA4036" s="535">
        <v>3</v>
      </c>
      <c r="AB4036" s="536"/>
      <c r="AC4036" s="536" t="str">
        <f>VLOOKUP(F4036,NXT!$B$12:$B$686,1,0)</f>
        <v>Thùng 98x98x42</v>
      </c>
    </row>
    <row r="4037" spans="1:29" s="503" customFormat="1" ht="15.75" customHeight="1">
      <c r="A4037" s="517" t="str">
        <f>IF(B4037&lt;&gt;"",IF(AND(B4037&gt;=_TM1,B4037&lt;=_TM2,OR(TH!L4037="1111",TH!M4037="1111")),TH!D4037,""),"")</f>
        <v/>
      </c>
      <c r="B4037" s="531">
        <f t="shared" si="496"/>
        <v>8</v>
      </c>
      <c r="C4037" s="315">
        <f t="shared" si="497"/>
        <v>42977</v>
      </c>
      <c r="D4037" s="315" t="s">
        <v>1180</v>
      </c>
      <c r="E4037" s="315">
        <v>42977</v>
      </c>
      <c r="F4037" s="250" t="s">
        <v>1455</v>
      </c>
      <c r="G4037" s="314" t="s">
        <v>1078</v>
      </c>
      <c r="H4037" s="473" t="s">
        <v>1501</v>
      </c>
      <c r="I4037" s="307">
        <v>24</v>
      </c>
      <c r="J4037" s="307">
        <v>40074</v>
      </c>
      <c r="K4037" s="532">
        <f t="shared" si="498"/>
        <v>961776</v>
      </c>
      <c r="L4037" s="534" t="s">
        <v>292</v>
      </c>
      <c r="M4037" s="534" t="s">
        <v>8</v>
      </c>
      <c r="N4037" s="525" t="str">
        <f>IF(AND('331-CT'!$E$7=TH!H4037,OR(L4037="331",M4037="331")),"331",IF(AND(OR(L4037="131",M4037="131"),H4037='131-CT'!$E$7),"131",""))</f>
        <v/>
      </c>
      <c r="O4037" s="525" t="str">
        <f>IF(AND($B4037&gt;='111'!$N$11,$B4037&lt;='111'!$O$11,OR($L4037=$O$7,$M4037=$O$7)),"x","")</f>
        <v/>
      </c>
      <c r="P4037" s="525" t="str">
        <f>IF(AND($L4037=$O$7,$B4037&lt;'111'!$N$11),"x","")</f>
        <v/>
      </c>
      <c r="Q4037" s="525" t="str">
        <f>IF(AND($M4037=$O$7,$B4037&lt;'111'!$N$11),"x","")</f>
        <v/>
      </c>
      <c r="R4037" s="525" t="str">
        <f>IF(ISERROR(FIND('112'!$M$9,G4037,1)),"",IF((AND(FIND('112'!$M$9,G4037,1)&gt;=1,$B4037&gt;='112'!$N$8,$B4037&lt;='112'!$O$8,OR($L4037='112'!$I$6,$M4037='112'!$I$6))),"x",""))</f>
        <v/>
      </c>
      <c r="S4037" s="525" t="str">
        <f>IF(ISERROR(FIND('112'!$M$9,G4037,1)),"",IF((AND(LEFT(G4037,2)=LEFT('112'!$M$9,2),B4037&lt;'112'!$N$8,$L4037='112'!$I$6)),"x",""))</f>
        <v/>
      </c>
      <c r="T4037" s="525" t="str">
        <f>IF(ISERROR(FIND('112'!$M$9,G4037,1)),"",IF((AND(RIGHT(G4037,2)=RIGHT('112'!$M$9,2),B4037&lt;'112'!$N$8,$M4037='112'!$I$6)),"x",""))</f>
        <v/>
      </c>
      <c r="U4037" s="525" t="str">
        <f>IF(AND(B4037&gt;='IN-NX'!$P$3,B4037&lt;='IN-NX'!$Q$3,'IN-NX'!$D$7=D4037,OR(LEFT(L4037,2)="15",AND(LEFT(M4037,2)&lt;&gt;"15",LEFT(M4037,2)&lt;&gt;"33"))),"x","")</f>
        <v/>
      </c>
      <c r="V4037" s="525" t="str">
        <f>IF(AND(OR(LEFT(TH!L4037,2)="15",LEFT(TH!M4037,2)="15"),'152-CT'!$J$8=TH!F4037),"x","")</f>
        <v/>
      </c>
      <c r="W4037" s="525" t="str">
        <f>IF(AND(OR(LEFT(TH!L4037,2)="15",LEFT(TH!M4037,2)="15"),TK!$E$7=TH!F4037),"x","")</f>
        <v/>
      </c>
      <c r="X4037" s="525" t="str">
        <f>IF(AND('341-CT'!$E$9=H4037,OR(LEFT(L4037,3)=$X$7,LEFT(M4037,3)=$X$7)),"x","")</f>
        <v/>
      </c>
      <c r="Y4037" s="525" t="str">
        <f>IF(OR(TH!L4037=TH!$Y$7,M4037=TH!$Y$7),"x","")</f>
        <v/>
      </c>
      <c r="Z4037" s="525" t="str">
        <f>IF(AND(B4037&lt;=NKC!$N$8,B4037&gt;=NKC!$M$8),"x","")</f>
        <v/>
      </c>
      <c r="AA4037" s="535">
        <v>3</v>
      </c>
      <c r="AB4037" s="536"/>
      <c r="AC4037" s="536" t="str">
        <f>VLOOKUP(F4037,NXT!$B$12:$B$686,1,0)</f>
        <v>Thùng 46x46x53</v>
      </c>
    </row>
    <row r="4038" spans="1:29" s="503" customFormat="1" ht="15.75" customHeight="1">
      <c r="A4038" s="517" t="str">
        <f>IF(B4038&lt;&gt;"",IF(AND(B4038&gt;=_TM1,B4038&lt;=_TM2,OR(TH!L4038="1111",TH!M4038="1111")),TH!D4038,""),"")</f>
        <v/>
      </c>
      <c r="B4038" s="531">
        <f t="shared" si="496"/>
        <v>8</v>
      </c>
      <c r="C4038" s="315">
        <f t="shared" si="497"/>
        <v>42977</v>
      </c>
      <c r="D4038" s="315" t="s">
        <v>1180</v>
      </c>
      <c r="E4038" s="315">
        <v>42977</v>
      </c>
      <c r="F4038" s="250" t="s">
        <v>1456</v>
      </c>
      <c r="G4038" s="314" t="s">
        <v>1078</v>
      </c>
      <c r="H4038" s="473" t="s">
        <v>1501</v>
      </c>
      <c r="I4038" s="307">
        <v>12</v>
      </c>
      <c r="J4038" s="307">
        <v>66055</v>
      </c>
      <c r="K4038" s="532">
        <f t="shared" si="498"/>
        <v>792660</v>
      </c>
      <c r="L4038" s="534" t="s">
        <v>292</v>
      </c>
      <c r="M4038" s="534" t="s">
        <v>8</v>
      </c>
      <c r="N4038" s="525" t="str">
        <f>IF(AND('331-CT'!$E$7=TH!H4038,OR(L4038="331",M4038="331")),"331",IF(AND(OR(L4038="131",M4038="131"),H4038='131-CT'!$E$7),"131",""))</f>
        <v/>
      </c>
      <c r="O4038" s="525" t="str">
        <f>IF(AND($B4038&gt;='111'!$N$11,$B4038&lt;='111'!$O$11,OR($L4038=$O$7,$M4038=$O$7)),"x","")</f>
        <v/>
      </c>
      <c r="P4038" s="525" t="str">
        <f>IF(AND($L4038=$O$7,$B4038&lt;'111'!$N$11),"x","")</f>
        <v/>
      </c>
      <c r="Q4038" s="525" t="str">
        <f>IF(AND($M4038=$O$7,$B4038&lt;'111'!$N$11),"x","")</f>
        <v/>
      </c>
      <c r="R4038" s="525" t="str">
        <f>IF(ISERROR(FIND('112'!$M$9,G4038,1)),"",IF((AND(FIND('112'!$M$9,G4038,1)&gt;=1,$B4038&gt;='112'!$N$8,$B4038&lt;='112'!$O$8,OR($L4038='112'!$I$6,$M4038='112'!$I$6))),"x",""))</f>
        <v/>
      </c>
      <c r="S4038" s="525" t="str">
        <f>IF(ISERROR(FIND('112'!$M$9,G4038,1)),"",IF((AND(LEFT(G4038,2)=LEFT('112'!$M$9,2),B4038&lt;'112'!$N$8,$L4038='112'!$I$6)),"x",""))</f>
        <v/>
      </c>
      <c r="T4038" s="525" t="str">
        <f>IF(ISERROR(FIND('112'!$M$9,G4038,1)),"",IF((AND(RIGHT(G4038,2)=RIGHT('112'!$M$9,2),B4038&lt;'112'!$N$8,$M4038='112'!$I$6)),"x",""))</f>
        <v/>
      </c>
      <c r="U4038" s="525" t="str">
        <f>IF(AND(B4038&gt;='IN-NX'!$P$3,B4038&lt;='IN-NX'!$Q$3,'IN-NX'!$D$7=D4038,OR(LEFT(L4038,2)="15",AND(LEFT(M4038,2)&lt;&gt;"15",LEFT(M4038,2)&lt;&gt;"33"))),"x","")</f>
        <v/>
      </c>
      <c r="V4038" s="525" t="str">
        <f>IF(AND(OR(LEFT(TH!L4038,2)="15",LEFT(TH!M4038,2)="15"),'152-CT'!$J$8=TH!F4038),"x","")</f>
        <v/>
      </c>
      <c r="W4038" s="525" t="str">
        <f>IF(AND(OR(LEFT(TH!L4038,2)="15",LEFT(TH!M4038,2)="15"),TK!$E$7=TH!F4038),"x","")</f>
        <v/>
      </c>
      <c r="X4038" s="525" t="str">
        <f>IF(AND('341-CT'!$E$9=H4038,OR(LEFT(L4038,3)=$X$7,LEFT(M4038,3)=$X$7)),"x","")</f>
        <v/>
      </c>
      <c r="Y4038" s="525" t="str">
        <f>IF(OR(TH!L4038=TH!$Y$7,M4038=TH!$Y$7),"x","")</f>
        <v/>
      </c>
      <c r="Z4038" s="525" t="str">
        <f>IF(AND(B4038&lt;=NKC!$N$8,B4038&gt;=NKC!$M$8),"x","")</f>
        <v/>
      </c>
      <c r="AA4038" s="535">
        <v>3</v>
      </c>
      <c r="AB4038" s="536"/>
      <c r="AC4038" s="536" t="str">
        <f>VLOOKUP(F4038,NXT!$B$12:$B$686,1,0)</f>
        <v>Thùng 61x61x62</v>
      </c>
    </row>
    <row r="4039" spans="1:29" s="503" customFormat="1" ht="15.75" customHeight="1">
      <c r="A4039" s="517" t="str">
        <f>IF(B4039&lt;&gt;"",IF(AND(B4039&gt;=_TM1,B4039&lt;=_TM2,OR(TH!L4039="1111",TH!M4039="1111")),TH!D4039,""),"")</f>
        <v/>
      </c>
      <c r="B4039" s="531">
        <f t="shared" si="496"/>
        <v>8</v>
      </c>
      <c r="C4039" s="315">
        <f t="shared" si="497"/>
        <v>42977</v>
      </c>
      <c r="D4039" s="315" t="s">
        <v>1180</v>
      </c>
      <c r="E4039" s="315">
        <v>42977</v>
      </c>
      <c r="F4039" s="250" t="s">
        <v>1240</v>
      </c>
      <c r="G4039" s="314" t="s">
        <v>1078</v>
      </c>
      <c r="H4039" s="473" t="s">
        <v>1501</v>
      </c>
      <c r="I4039" s="307">
        <v>16</v>
      </c>
      <c r="J4039" s="307">
        <v>63974</v>
      </c>
      <c r="K4039" s="532">
        <f t="shared" si="498"/>
        <v>1023584</v>
      </c>
      <c r="L4039" s="534" t="s">
        <v>292</v>
      </c>
      <c r="M4039" s="534" t="s">
        <v>8</v>
      </c>
      <c r="N4039" s="525" t="str">
        <f>IF(AND('331-CT'!$E$7=TH!H4039,OR(L4039="331",M4039="331")),"331",IF(AND(OR(L4039="131",M4039="131"),H4039='131-CT'!$E$7),"131",""))</f>
        <v/>
      </c>
      <c r="O4039" s="525" t="str">
        <f>IF(AND($B4039&gt;='111'!$N$11,$B4039&lt;='111'!$O$11,OR($L4039=$O$7,$M4039=$O$7)),"x","")</f>
        <v/>
      </c>
      <c r="P4039" s="525" t="str">
        <f>IF(AND($L4039=$O$7,$B4039&lt;'111'!$N$11),"x","")</f>
        <v/>
      </c>
      <c r="Q4039" s="525" t="str">
        <f>IF(AND($M4039=$O$7,$B4039&lt;'111'!$N$11),"x","")</f>
        <v/>
      </c>
      <c r="R4039" s="525" t="str">
        <f>IF(ISERROR(FIND('112'!$M$9,G4039,1)),"",IF((AND(FIND('112'!$M$9,G4039,1)&gt;=1,$B4039&gt;='112'!$N$8,$B4039&lt;='112'!$O$8,OR($L4039='112'!$I$6,$M4039='112'!$I$6))),"x",""))</f>
        <v/>
      </c>
      <c r="S4039" s="525" t="str">
        <f>IF(ISERROR(FIND('112'!$M$9,G4039,1)),"",IF((AND(LEFT(G4039,2)=LEFT('112'!$M$9,2),B4039&lt;'112'!$N$8,$L4039='112'!$I$6)),"x",""))</f>
        <v/>
      </c>
      <c r="T4039" s="525" t="str">
        <f>IF(ISERROR(FIND('112'!$M$9,G4039,1)),"",IF((AND(RIGHT(G4039,2)=RIGHT('112'!$M$9,2),B4039&lt;'112'!$N$8,$M4039='112'!$I$6)),"x",""))</f>
        <v/>
      </c>
      <c r="U4039" s="525" t="str">
        <f>IF(AND(B4039&gt;='IN-NX'!$P$3,B4039&lt;='IN-NX'!$Q$3,'IN-NX'!$D$7=D4039,OR(LEFT(L4039,2)="15",AND(LEFT(M4039,2)&lt;&gt;"15",LEFT(M4039,2)&lt;&gt;"33"))),"x","")</f>
        <v/>
      </c>
      <c r="V4039" s="525" t="str">
        <f>IF(AND(OR(LEFT(TH!L4039,2)="15",LEFT(TH!M4039,2)="15"),'152-CT'!$J$8=TH!F4039),"x","")</f>
        <v/>
      </c>
      <c r="W4039" s="525" t="str">
        <f>IF(AND(OR(LEFT(TH!L4039,2)="15",LEFT(TH!M4039,2)="15"),TK!$E$7=TH!F4039),"x","")</f>
        <v/>
      </c>
      <c r="X4039" s="525" t="str">
        <f>IF(AND('341-CT'!$E$9=H4039,OR(LEFT(L4039,3)=$X$7,LEFT(M4039,3)=$X$7)),"x","")</f>
        <v/>
      </c>
      <c r="Y4039" s="525" t="str">
        <f>IF(OR(TH!L4039=TH!$Y$7,M4039=TH!$Y$7),"x","")</f>
        <v/>
      </c>
      <c r="Z4039" s="525" t="str">
        <f>IF(AND(B4039&lt;=NKC!$N$8,B4039&gt;=NKC!$M$8),"x","")</f>
        <v/>
      </c>
      <c r="AA4039" s="535">
        <v>3</v>
      </c>
      <c r="AB4039" s="536"/>
      <c r="AC4039" s="536" t="str">
        <f>VLOOKUP(F4039,NXT!$B$12:$B$686,1,0)</f>
        <v>Thùng 62x60x59</v>
      </c>
    </row>
    <row r="4040" spans="1:29" s="503" customFormat="1" ht="15.75" customHeight="1">
      <c r="A4040" s="517" t="str">
        <f>IF(B4040&lt;&gt;"",IF(AND(B4040&gt;=_TM1,B4040&lt;=_TM2,OR(TH!L4040="1111",TH!M4040="1111")),TH!D4040,""),"")</f>
        <v/>
      </c>
      <c r="B4040" s="531">
        <f t="shared" si="496"/>
        <v>8</v>
      </c>
      <c r="C4040" s="315">
        <f t="shared" si="497"/>
        <v>42977</v>
      </c>
      <c r="D4040" s="315" t="s">
        <v>1180</v>
      </c>
      <c r="E4040" s="315">
        <v>42977</v>
      </c>
      <c r="F4040" s="250" t="s">
        <v>1457</v>
      </c>
      <c r="G4040" s="314" t="s">
        <v>1078</v>
      </c>
      <c r="H4040" s="473" t="s">
        <v>1501</v>
      </c>
      <c r="I4040" s="307">
        <v>16</v>
      </c>
      <c r="J4040" s="307">
        <v>45136</v>
      </c>
      <c r="K4040" s="532">
        <f t="shared" si="498"/>
        <v>722176</v>
      </c>
      <c r="L4040" s="534" t="s">
        <v>292</v>
      </c>
      <c r="M4040" s="534" t="s">
        <v>8</v>
      </c>
      <c r="N4040" s="525" t="str">
        <f>IF(AND('331-CT'!$E$7=TH!H4040,OR(L4040="331",M4040="331")),"331",IF(AND(OR(L4040="131",M4040="131"),H4040='131-CT'!$E$7),"131",""))</f>
        <v/>
      </c>
      <c r="O4040" s="525" t="str">
        <f>IF(AND($B4040&gt;='111'!$N$11,$B4040&lt;='111'!$O$11,OR($L4040=$O$7,$M4040=$O$7)),"x","")</f>
        <v/>
      </c>
      <c r="P4040" s="525" t="str">
        <f>IF(AND($L4040=$O$7,$B4040&lt;'111'!$N$11),"x","")</f>
        <v/>
      </c>
      <c r="Q4040" s="525" t="str">
        <f>IF(AND($M4040=$O$7,$B4040&lt;'111'!$N$11),"x","")</f>
        <v/>
      </c>
      <c r="R4040" s="525" t="str">
        <f>IF(ISERROR(FIND('112'!$M$9,G4040,1)),"",IF((AND(FIND('112'!$M$9,G4040,1)&gt;=1,$B4040&gt;='112'!$N$8,$B4040&lt;='112'!$O$8,OR($L4040='112'!$I$6,$M4040='112'!$I$6))),"x",""))</f>
        <v/>
      </c>
      <c r="S4040" s="525" t="str">
        <f>IF(ISERROR(FIND('112'!$M$9,G4040,1)),"",IF((AND(LEFT(G4040,2)=LEFT('112'!$M$9,2),B4040&lt;'112'!$N$8,$L4040='112'!$I$6)),"x",""))</f>
        <v/>
      </c>
      <c r="T4040" s="525" t="str">
        <f>IF(ISERROR(FIND('112'!$M$9,G4040,1)),"",IF((AND(RIGHT(G4040,2)=RIGHT('112'!$M$9,2),B4040&lt;'112'!$N$8,$M4040='112'!$I$6)),"x",""))</f>
        <v/>
      </c>
      <c r="U4040" s="525" t="str">
        <f>IF(AND(B4040&gt;='IN-NX'!$P$3,B4040&lt;='IN-NX'!$Q$3,'IN-NX'!$D$7=D4040,OR(LEFT(L4040,2)="15",AND(LEFT(M4040,2)&lt;&gt;"15",LEFT(M4040,2)&lt;&gt;"33"))),"x","")</f>
        <v/>
      </c>
      <c r="V4040" s="525" t="str">
        <f>IF(AND(OR(LEFT(TH!L4040,2)="15",LEFT(TH!M4040,2)="15"),'152-CT'!$J$8=TH!F4040),"x","")</f>
        <v/>
      </c>
      <c r="W4040" s="525" t="str">
        <f>IF(AND(OR(LEFT(TH!L4040,2)="15",LEFT(TH!M4040,2)="15"),TK!$E$7=TH!F4040),"x","")</f>
        <v/>
      </c>
      <c r="X4040" s="525" t="str">
        <f>IF(AND('341-CT'!$E$9=H4040,OR(LEFT(L4040,3)=$X$7,LEFT(M4040,3)=$X$7)),"x","")</f>
        <v/>
      </c>
      <c r="Y4040" s="525" t="str">
        <f>IF(OR(TH!L4040=TH!$Y$7,M4040=TH!$Y$7),"x","")</f>
        <v/>
      </c>
      <c r="Z4040" s="525" t="str">
        <f>IF(AND(B4040&lt;=NKC!$N$8,B4040&gt;=NKC!$M$8),"x","")</f>
        <v/>
      </c>
      <c r="AA4040" s="535">
        <v>3</v>
      </c>
      <c r="AB4040" s="536"/>
      <c r="AC4040" s="536" t="str">
        <f>VLOOKUP(F4040,NXT!$B$12:$B$686,1,0)</f>
        <v>Thùng 54x44x59</v>
      </c>
    </row>
    <row r="4041" spans="1:29" s="503" customFormat="1" ht="15.75" customHeight="1">
      <c r="A4041" s="517" t="str">
        <f>IF(B4041&lt;&gt;"",IF(AND(B4041&gt;=_TM1,B4041&lt;=_TM2,OR(TH!L4041="1111",TH!M4041="1111")),TH!D4041,""),"")</f>
        <v/>
      </c>
      <c r="B4041" s="531">
        <f t="shared" si="496"/>
        <v>8</v>
      </c>
      <c r="C4041" s="315">
        <f t="shared" si="497"/>
        <v>42977</v>
      </c>
      <c r="D4041" s="315" t="s">
        <v>1180</v>
      </c>
      <c r="E4041" s="315">
        <v>42977</v>
      </c>
      <c r="F4041" s="250" t="s">
        <v>747</v>
      </c>
      <c r="G4041" s="314" t="s">
        <v>1078</v>
      </c>
      <c r="H4041" s="473" t="s">
        <v>1501</v>
      </c>
      <c r="I4041" s="307">
        <v>10</v>
      </c>
      <c r="J4041" s="307">
        <v>327116</v>
      </c>
      <c r="K4041" s="532">
        <f t="shared" si="498"/>
        <v>3271160</v>
      </c>
      <c r="L4041" s="534" t="s">
        <v>292</v>
      </c>
      <c r="M4041" s="534" t="s">
        <v>8</v>
      </c>
      <c r="N4041" s="525" t="str">
        <f>IF(AND('331-CT'!$E$7=TH!H4041,OR(L4041="331",M4041="331")),"331",IF(AND(OR(L4041="131",M4041="131"),H4041='131-CT'!$E$7),"131",""))</f>
        <v/>
      </c>
      <c r="O4041" s="525" t="str">
        <f>IF(AND($B4041&gt;='111'!$N$11,$B4041&lt;='111'!$O$11,OR($L4041=$O$7,$M4041=$O$7)),"x","")</f>
        <v/>
      </c>
      <c r="P4041" s="525" t="str">
        <f>IF(AND($L4041=$O$7,$B4041&lt;'111'!$N$11),"x","")</f>
        <v/>
      </c>
      <c r="Q4041" s="525" t="str">
        <f>IF(AND($M4041=$O$7,$B4041&lt;'111'!$N$11),"x","")</f>
        <v/>
      </c>
      <c r="R4041" s="525" t="str">
        <f>IF(ISERROR(FIND('112'!$M$9,G4041,1)),"",IF((AND(FIND('112'!$M$9,G4041,1)&gt;=1,$B4041&gt;='112'!$N$8,$B4041&lt;='112'!$O$8,OR($L4041='112'!$I$6,$M4041='112'!$I$6))),"x",""))</f>
        <v/>
      </c>
      <c r="S4041" s="525" t="str">
        <f>IF(ISERROR(FIND('112'!$M$9,G4041,1)),"",IF((AND(LEFT(G4041,2)=LEFT('112'!$M$9,2),B4041&lt;'112'!$N$8,$L4041='112'!$I$6)),"x",""))</f>
        <v/>
      </c>
      <c r="T4041" s="525" t="str">
        <f>IF(ISERROR(FIND('112'!$M$9,G4041,1)),"",IF((AND(RIGHT(G4041,2)=RIGHT('112'!$M$9,2),B4041&lt;'112'!$N$8,$M4041='112'!$I$6)),"x",""))</f>
        <v/>
      </c>
      <c r="U4041" s="525" t="str">
        <f>IF(AND(B4041&gt;='IN-NX'!$P$3,B4041&lt;='IN-NX'!$Q$3,'IN-NX'!$D$7=D4041,OR(LEFT(L4041,2)="15",AND(LEFT(M4041,2)&lt;&gt;"15",LEFT(M4041,2)&lt;&gt;"33"))),"x","")</f>
        <v/>
      </c>
      <c r="V4041" s="525" t="str">
        <f>IF(AND(OR(LEFT(TH!L4041,2)="15",LEFT(TH!M4041,2)="15"),'152-CT'!$J$8=TH!F4041),"x","")</f>
        <v/>
      </c>
      <c r="W4041" s="525" t="str">
        <f>IF(AND(OR(LEFT(TH!L4041,2)="15",LEFT(TH!M4041,2)="15"),TK!$E$7=TH!F4041),"x","")</f>
        <v/>
      </c>
      <c r="X4041" s="525" t="str">
        <f>IF(AND('341-CT'!$E$9=H4041,OR(LEFT(L4041,3)=$X$7,LEFT(M4041,3)=$X$7)),"x","")</f>
        <v/>
      </c>
      <c r="Y4041" s="525" t="str">
        <f>IF(OR(TH!L4041=TH!$Y$7,M4041=TH!$Y$7),"x","")</f>
        <v/>
      </c>
      <c r="Z4041" s="525" t="str">
        <f>IF(AND(B4041&lt;=NKC!$N$8,B4041&gt;=NKC!$M$8),"x","")</f>
        <v/>
      </c>
      <c r="AA4041" s="535">
        <v>3</v>
      </c>
      <c r="AB4041" s="536"/>
      <c r="AC4041" s="536" t="str">
        <f>VLOOKUP(F4041,NXT!$B$12:$B$686,1,0)</f>
        <v>Giấy tấm 135x240</v>
      </c>
    </row>
    <row r="4042" spans="1:29" s="503" customFormat="1" ht="15.75" customHeight="1">
      <c r="A4042" s="517" t="str">
        <f>IF(B4042&lt;&gt;"",IF(AND(B4042&gt;=_TM1,B4042&lt;=_TM2,OR(TH!L4042="1111",TH!M4042="1111")),TH!D4042,""),"")</f>
        <v/>
      </c>
      <c r="B4042" s="531">
        <f t="shared" si="496"/>
        <v>8</v>
      </c>
      <c r="C4042" s="315">
        <f t="shared" si="497"/>
        <v>42977</v>
      </c>
      <c r="D4042" s="315" t="s">
        <v>1180</v>
      </c>
      <c r="E4042" s="315">
        <v>42977</v>
      </c>
      <c r="F4042" s="250" t="s">
        <v>1459</v>
      </c>
      <c r="G4042" s="314" t="s">
        <v>1078</v>
      </c>
      <c r="H4042" s="473" t="s">
        <v>1501</v>
      </c>
      <c r="I4042" s="307">
        <v>50</v>
      </c>
      <c r="J4042" s="307">
        <v>41048</v>
      </c>
      <c r="K4042" s="532">
        <f t="shared" si="498"/>
        <v>2052400</v>
      </c>
      <c r="L4042" s="534" t="s">
        <v>292</v>
      </c>
      <c r="M4042" s="534" t="s">
        <v>8</v>
      </c>
      <c r="N4042" s="525" t="str">
        <f>IF(AND('331-CT'!$E$7=TH!H4042,OR(L4042="331",M4042="331")),"331",IF(AND(OR(L4042="131",M4042="131"),H4042='131-CT'!$E$7),"131",""))</f>
        <v/>
      </c>
      <c r="O4042" s="525" t="str">
        <f>IF(AND($B4042&gt;='111'!$N$11,$B4042&lt;='111'!$O$11,OR($L4042=$O$7,$M4042=$O$7)),"x","")</f>
        <v/>
      </c>
      <c r="P4042" s="525" t="str">
        <f>IF(AND($L4042=$O$7,$B4042&lt;'111'!$N$11),"x","")</f>
        <v/>
      </c>
      <c r="Q4042" s="525" t="str">
        <f>IF(AND($M4042=$O$7,$B4042&lt;'111'!$N$11),"x","")</f>
        <v/>
      </c>
      <c r="R4042" s="525" t="str">
        <f>IF(ISERROR(FIND('112'!$M$9,G4042,1)),"",IF((AND(FIND('112'!$M$9,G4042,1)&gt;=1,$B4042&gt;='112'!$N$8,$B4042&lt;='112'!$O$8,OR($L4042='112'!$I$6,$M4042='112'!$I$6))),"x",""))</f>
        <v/>
      </c>
      <c r="S4042" s="525" t="str">
        <f>IF(ISERROR(FIND('112'!$M$9,G4042,1)),"",IF((AND(LEFT(G4042,2)=LEFT('112'!$M$9,2),B4042&lt;'112'!$N$8,$L4042='112'!$I$6)),"x",""))</f>
        <v/>
      </c>
      <c r="T4042" s="525" t="str">
        <f>IF(ISERROR(FIND('112'!$M$9,G4042,1)),"",IF((AND(RIGHT(G4042,2)=RIGHT('112'!$M$9,2),B4042&lt;'112'!$N$8,$M4042='112'!$I$6)),"x",""))</f>
        <v/>
      </c>
      <c r="U4042" s="525" t="str">
        <f>IF(AND(B4042&gt;='IN-NX'!$P$3,B4042&lt;='IN-NX'!$Q$3,'IN-NX'!$D$7=D4042,OR(LEFT(L4042,2)="15",AND(LEFT(M4042,2)&lt;&gt;"15",LEFT(M4042,2)&lt;&gt;"33"))),"x","")</f>
        <v/>
      </c>
      <c r="V4042" s="525" t="str">
        <f>IF(AND(OR(LEFT(TH!L4042,2)="15",LEFT(TH!M4042,2)="15"),'152-CT'!$J$8=TH!F4042),"x","")</f>
        <v/>
      </c>
      <c r="W4042" s="525" t="str">
        <f>IF(AND(OR(LEFT(TH!L4042,2)="15",LEFT(TH!M4042,2)="15"),TK!$E$7=TH!F4042),"x","")</f>
        <v/>
      </c>
      <c r="X4042" s="525" t="str">
        <f>IF(AND('341-CT'!$E$9=H4042,OR(LEFT(L4042,3)=$X$7,LEFT(M4042,3)=$X$7)),"x","")</f>
        <v/>
      </c>
      <c r="Y4042" s="525" t="str">
        <f>IF(OR(TH!L4042=TH!$Y$7,M4042=TH!$Y$7),"x","")</f>
        <v/>
      </c>
      <c r="Z4042" s="525" t="str">
        <f>IF(AND(B4042&lt;=NKC!$N$8,B4042&gt;=NKC!$M$8),"x","")</f>
        <v/>
      </c>
      <c r="AA4042" s="535">
        <v>3</v>
      </c>
      <c r="AB4042" s="536"/>
      <c r="AC4042" s="536" t="str">
        <f>VLOOKUP(F4042,NXT!$B$12:$B$686,1,0)</f>
        <v>Thùng 56x32x80</v>
      </c>
    </row>
    <row r="4043" spans="1:29" s="503" customFormat="1" ht="15.75" customHeight="1">
      <c r="A4043" s="517" t="str">
        <f>IF(B4043&lt;&gt;"",IF(AND(B4043&gt;=_TM1,B4043&lt;=_TM2,OR(TH!L4043="1111",TH!M4043="1111")),TH!D4043,""),"")</f>
        <v/>
      </c>
      <c r="B4043" s="531">
        <f t="shared" si="496"/>
        <v>8</v>
      </c>
      <c r="C4043" s="315">
        <f t="shared" si="497"/>
        <v>42977</v>
      </c>
      <c r="D4043" s="315" t="s">
        <v>1180</v>
      </c>
      <c r="E4043" s="315">
        <v>42977</v>
      </c>
      <c r="F4043" s="250" t="s">
        <v>1460</v>
      </c>
      <c r="G4043" s="314" t="s">
        <v>1078</v>
      </c>
      <c r="H4043" s="473" t="s">
        <v>1501</v>
      </c>
      <c r="I4043" s="307">
        <v>30</v>
      </c>
      <c r="J4043" s="307">
        <v>42767</v>
      </c>
      <c r="K4043" s="532">
        <f t="shared" si="498"/>
        <v>1283010</v>
      </c>
      <c r="L4043" s="534" t="s">
        <v>292</v>
      </c>
      <c r="M4043" s="534" t="s">
        <v>8</v>
      </c>
      <c r="N4043" s="525" t="str">
        <f>IF(AND('331-CT'!$E$7=TH!H4043,OR(L4043="331",M4043="331")),"331",IF(AND(OR(L4043="131",M4043="131"),H4043='131-CT'!$E$7),"131",""))</f>
        <v/>
      </c>
      <c r="O4043" s="525" t="str">
        <f>IF(AND($B4043&gt;='111'!$N$11,$B4043&lt;='111'!$O$11,OR($L4043=$O$7,$M4043=$O$7)),"x","")</f>
        <v/>
      </c>
      <c r="P4043" s="525" t="str">
        <f>IF(AND($L4043=$O$7,$B4043&lt;'111'!$N$11),"x","")</f>
        <v/>
      </c>
      <c r="Q4043" s="525" t="str">
        <f>IF(AND($M4043=$O$7,$B4043&lt;'111'!$N$11),"x","")</f>
        <v/>
      </c>
      <c r="R4043" s="525" t="str">
        <f>IF(ISERROR(FIND('112'!$M$9,G4043,1)),"",IF((AND(FIND('112'!$M$9,G4043,1)&gt;=1,$B4043&gt;='112'!$N$8,$B4043&lt;='112'!$O$8,OR($L4043='112'!$I$6,$M4043='112'!$I$6))),"x",""))</f>
        <v/>
      </c>
      <c r="S4043" s="525" t="str">
        <f>IF(ISERROR(FIND('112'!$M$9,G4043,1)),"",IF((AND(LEFT(G4043,2)=LEFT('112'!$M$9,2),B4043&lt;'112'!$N$8,$L4043='112'!$I$6)),"x",""))</f>
        <v/>
      </c>
      <c r="T4043" s="525" t="str">
        <f>IF(ISERROR(FIND('112'!$M$9,G4043,1)),"",IF((AND(RIGHT(G4043,2)=RIGHT('112'!$M$9,2),B4043&lt;'112'!$N$8,$M4043='112'!$I$6)),"x",""))</f>
        <v/>
      </c>
      <c r="U4043" s="525" t="str">
        <f>IF(AND(B4043&gt;='IN-NX'!$P$3,B4043&lt;='IN-NX'!$Q$3,'IN-NX'!$D$7=D4043,OR(LEFT(L4043,2)="15",AND(LEFT(M4043,2)&lt;&gt;"15",LEFT(M4043,2)&lt;&gt;"33"))),"x","")</f>
        <v/>
      </c>
      <c r="V4043" s="525" t="str">
        <f>IF(AND(OR(LEFT(TH!L4043,2)="15",LEFT(TH!M4043,2)="15"),'152-CT'!$J$8=TH!F4043),"x","")</f>
        <v/>
      </c>
      <c r="W4043" s="525" t="str">
        <f>IF(AND(OR(LEFT(TH!L4043,2)="15",LEFT(TH!M4043,2)="15"),TK!$E$7=TH!F4043),"x","")</f>
        <v/>
      </c>
      <c r="X4043" s="525" t="str">
        <f>IF(AND('341-CT'!$E$9=H4043,OR(LEFT(L4043,3)=$X$7,LEFT(M4043,3)=$X$7)),"x","")</f>
        <v/>
      </c>
      <c r="Y4043" s="525" t="str">
        <f>IF(OR(TH!L4043=TH!$Y$7,M4043=TH!$Y$7),"x","")</f>
        <v/>
      </c>
      <c r="Z4043" s="525" t="str">
        <f>IF(AND(B4043&lt;=NKC!$N$8,B4043&gt;=NKC!$M$8),"x","")</f>
        <v/>
      </c>
      <c r="AA4043" s="535">
        <v>3</v>
      </c>
      <c r="AB4043" s="536"/>
      <c r="AC4043" s="536" t="str">
        <f>VLOOKUP(F4043,NXT!$B$12:$B$686,1,0)</f>
        <v>Thùng 56x56x34</v>
      </c>
    </row>
    <row r="4044" spans="1:29" s="503" customFormat="1" ht="15.75" customHeight="1">
      <c r="A4044" s="517" t="str">
        <f>IF(B4044&lt;&gt;"",IF(AND(B4044&gt;=_TM1,B4044&lt;=_TM2,OR(TH!L4044="1111",TH!M4044="1111")),TH!D4044,""),"")</f>
        <v/>
      </c>
      <c r="B4044" s="531">
        <f t="shared" si="496"/>
        <v>8</v>
      </c>
      <c r="C4044" s="315">
        <f t="shared" si="497"/>
        <v>42977</v>
      </c>
      <c r="D4044" s="315" t="s">
        <v>1180</v>
      </c>
      <c r="E4044" s="315">
        <v>42977</v>
      </c>
      <c r="F4044" s="250" t="s">
        <v>1461</v>
      </c>
      <c r="G4044" s="314" t="s">
        <v>1078</v>
      </c>
      <c r="H4044" s="473" t="s">
        <v>1501</v>
      </c>
      <c r="I4044" s="307">
        <v>10</v>
      </c>
      <c r="J4044" s="307">
        <v>219245</v>
      </c>
      <c r="K4044" s="532">
        <f t="shared" si="498"/>
        <v>2192450</v>
      </c>
      <c r="L4044" s="534" t="s">
        <v>292</v>
      </c>
      <c r="M4044" s="534" t="s">
        <v>8</v>
      </c>
      <c r="N4044" s="525" t="str">
        <f>IF(AND('331-CT'!$E$7=TH!H4044,OR(L4044="331",M4044="331")),"331",IF(AND(OR(L4044="131",M4044="131"),H4044='131-CT'!$E$7),"131",""))</f>
        <v/>
      </c>
      <c r="O4044" s="525" t="str">
        <f>IF(AND($B4044&gt;='111'!$N$11,$B4044&lt;='111'!$O$11,OR($L4044=$O$7,$M4044=$O$7)),"x","")</f>
        <v/>
      </c>
      <c r="P4044" s="525" t="str">
        <f>IF(AND($L4044=$O$7,$B4044&lt;'111'!$N$11),"x","")</f>
        <v/>
      </c>
      <c r="Q4044" s="525" t="str">
        <f>IF(AND($M4044=$O$7,$B4044&lt;'111'!$N$11),"x","")</f>
        <v/>
      </c>
      <c r="R4044" s="525" t="str">
        <f>IF(ISERROR(FIND('112'!$M$9,G4044,1)),"",IF((AND(FIND('112'!$M$9,G4044,1)&gt;=1,$B4044&gt;='112'!$N$8,$B4044&lt;='112'!$O$8,OR($L4044='112'!$I$6,$M4044='112'!$I$6))),"x",""))</f>
        <v/>
      </c>
      <c r="S4044" s="525" t="str">
        <f>IF(ISERROR(FIND('112'!$M$9,G4044,1)),"",IF((AND(LEFT(G4044,2)=LEFT('112'!$M$9,2),B4044&lt;'112'!$N$8,$L4044='112'!$I$6)),"x",""))</f>
        <v/>
      </c>
      <c r="T4044" s="525" t="str">
        <f>IF(ISERROR(FIND('112'!$M$9,G4044,1)),"",IF((AND(RIGHT(G4044,2)=RIGHT('112'!$M$9,2),B4044&lt;'112'!$N$8,$M4044='112'!$I$6)),"x",""))</f>
        <v/>
      </c>
      <c r="U4044" s="525" t="str">
        <f>IF(AND(B4044&gt;='IN-NX'!$P$3,B4044&lt;='IN-NX'!$Q$3,'IN-NX'!$D$7=D4044,OR(LEFT(L4044,2)="15",AND(LEFT(M4044,2)&lt;&gt;"15",LEFT(M4044,2)&lt;&gt;"33"))),"x","")</f>
        <v/>
      </c>
      <c r="V4044" s="525" t="str">
        <f>IF(AND(OR(LEFT(TH!L4044,2)="15",LEFT(TH!M4044,2)="15"),'152-CT'!$J$8=TH!F4044),"x","")</f>
        <v/>
      </c>
      <c r="W4044" s="525" t="str">
        <f>IF(AND(OR(LEFT(TH!L4044,2)="15",LEFT(TH!M4044,2)="15"),TK!$E$7=TH!F4044),"x","")</f>
        <v/>
      </c>
      <c r="X4044" s="525" t="str">
        <f>IF(AND('341-CT'!$E$9=H4044,OR(LEFT(L4044,3)=$X$7,LEFT(M4044,3)=$X$7)),"x","")</f>
        <v/>
      </c>
      <c r="Y4044" s="525" t="str">
        <f>IF(OR(TH!L4044=TH!$Y$7,M4044=TH!$Y$7),"x","")</f>
        <v/>
      </c>
      <c r="Z4044" s="525" t="str">
        <f>IF(AND(B4044&lt;=NKC!$N$8,B4044&gt;=NKC!$M$8),"x","")</f>
        <v/>
      </c>
      <c r="AA4044" s="535">
        <v>3</v>
      </c>
      <c r="AB4044" s="536"/>
      <c r="AC4044" s="536" t="str">
        <f>VLOOKUP(F4044,NXT!$B$12:$B$686,1,0)</f>
        <v>Thùng 246x126x12</v>
      </c>
    </row>
    <row r="4045" spans="1:29" s="503" customFormat="1" ht="15.75" customHeight="1">
      <c r="A4045" s="517" t="str">
        <f>IF(B4045&lt;&gt;"",IF(AND(B4045&gt;=_TM1,B4045&lt;=_TM2,OR(TH!L4045="1111",TH!M4045="1111")),TH!D4045,""),"")</f>
        <v/>
      </c>
      <c r="B4045" s="531">
        <f t="shared" si="496"/>
        <v>8</v>
      </c>
      <c r="C4045" s="315">
        <f t="shared" si="497"/>
        <v>42977</v>
      </c>
      <c r="D4045" s="315" t="s">
        <v>1180</v>
      </c>
      <c r="E4045" s="315">
        <v>42977</v>
      </c>
      <c r="F4045" s="250" t="s">
        <v>1462</v>
      </c>
      <c r="G4045" s="314" t="s">
        <v>1078</v>
      </c>
      <c r="H4045" s="473" t="s">
        <v>1501</v>
      </c>
      <c r="I4045" s="307">
        <v>20</v>
      </c>
      <c r="J4045" s="307">
        <v>43640</v>
      </c>
      <c r="K4045" s="532">
        <f t="shared" si="498"/>
        <v>872800</v>
      </c>
      <c r="L4045" s="534" t="s">
        <v>292</v>
      </c>
      <c r="M4045" s="534" t="s">
        <v>8</v>
      </c>
      <c r="N4045" s="525" t="str">
        <f>IF(AND('331-CT'!$E$7=TH!H4045,OR(L4045="331",M4045="331")),"331",IF(AND(OR(L4045="131",M4045="131"),H4045='131-CT'!$E$7),"131",""))</f>
        <v/>
      </c>
      <c r="O4045" s="525" t="str">
        <f>IF(AND($B4045&gt;='111'!$N$11,$B4045&lt;='111'!$O$11,OR($L4045=$O$7,$M4045=$O$7)),"x","")</f>
        <v/>
      </c>
      <c r="P4045" s="525" t="str">
        <f>IF(AND($L4045=$O$7,$B4045&lt;'111'!$N$11),"x","")</f>
        <v/>
      </c>
      <c r="Q4045" s="525" t="str">
        <f>IF(AND($M4045=$O$7,$B4045&lt;'111'!$N$11),"x","")</f>
        <v/>
      </c>
      <c r="R4045" s="525" t="str">
        <f>IF(ISERROR(FIND('112'!$M$9,G4045,1)),"",IF((AND(FIND('112'!$M$9,G4045,1)&gt;=1,$B4045&gt;='112'!$N$8,$B4045&lt;='112'!$O$8,OR($L4045='112'!$I$6,$M4045='112'!$I$6))),"x",""))</f>
        <v/>
      </c>
      <c r="S4045" s="525" t="str">
        <f>IF(ISERROR(FIND('112'!$M$9,G4045,1)),"",IF((AND(LEFT(G4045,2)=LEFT('112'!$M$9,2),B4045&lt;'112'!$N$8,$L4045='112'!$I$6)),"x",""))</f>
        <v/>
      </c>
      <c r="T4045" s="525" t="str">
        <f>IF(ISERROR(FIND('112'!$M$9,G4045,1)),"",IF((AND(RIGHT(G4045,2)=RIGHT('112'!$M$9,2),B4045&lt;'112'!$N$8,$M4045='112'!$I$6)),"x",""))</f>
        <v/>
      </c>
      <c r="U4045" s="525" t="str">
        <f>IF(AND(B4045&gt;='IN-NX'!$P$3,B4045&lt;='IN-NX'!$Q$3,'IN-NX'!$D$7=D4045,OR(LEFT(L4045,2)="15",AND(LEFT(M4045,2)&lt;&gt;"15",LEFT(M4045,2)&lt;&gt;"33"))),"x","")</f>
        <v/>
      </c>
      <c r="V4045" s="525" t="str">
        <f>IF(AND(OR(LEFT(TH!L4045,2)="15",LEFT(TH!M4045,2)="15"),'152-CT'!$J$8=TH!F4045),"x","")</f>
        <v/>
      </c>
      <c r="W4045" s="525" t="str">
        <f>IF(AND(OR(LEFT(TH!L4045,2)="15",LEFT(TH!M4045,2)="15"),TK!$E$7=TH!F4045),"x","")</f>
        <v/>
      </c>
      <c r="X4045" s="525" t="str">
        <f>IF(AND('341-CT'!$E$9=H4045,OR(LEFT(L4045,3)=$X$7,LEFT(M4045,3)=$X$7)),"x","")</f>
        <v/>
      </c>
      <c r="Y4045" s="525" t="str">
        <f>IF(OR(TH!L4045=TH!$Y$7,M4045=TH!$Y$7),"x","")</f>
        <v/>
      </c>
      <c r="Z4045" s="525" t="str">
        <f>IF(AND(B4045&lt;=NKC!$N$8,B4045&gt;=NKC!$M$8),"x","")</f>
        <v/>
      </c>
      <c r="AA4045" s="535">
        <v>3</v>
      </c>
      <c r="AB4045" s="536"/>
      <c r="AC4045" s="536" t="str">
        <f>VLOOKUP(F4045,NXT!$B$12:$B$686,1,0)</f>
        <v>Thùng 66x27x80</v>
      </c>
    </row>
    <row r="4046" spans="1:29" s="503" customFormat="1" ht="15.75" customHeight="1">
      <c r="A4046" s="517" t="str">
        <f>IF(B4046&lt;&gt;"",IF(AND(B4046&gt;=_TM1,B4046&lt;=_TM2,OR(TH!L4046="1111",TH!M4046="1111")),TH!D4046,""),"")</f>
        <v/>
      </c>
      <c r="B4046" s="531">
        <f t="shared" si="496"/>
        <v>8</v>
      </c>
      <c r="C4046" s="315">
        <f t="shared" si="497"/>
        <v>42977</v>
      </c>
      <c r="D4046" s="315" t="s">
        <v>1180</v>
      </c>
      <c r="E4046" s="315">
        <v>42977</v>
      </c>
      <c r="F4046" s="250" t="s">
        <v>1463</v>
      </c>
      <c r="G4046" s="314" t="s">
        <v>1078</v>
      </c>
      <c r="H4046" s="473" t="s">
        <v>1501</v>
      </c>
      <c r="I4046" s="307">
        <v>10</v>
      </c>
      <c r="J4046" s="307">
        <v>83023</v>
      </c>
      <c r="K4046" s="532">
        <f t="shared" si="498"/>
        <v>830230</v>
      </c>
      <c r="L4046" s="534" t="s">
        <v>292</v>
      </c>
      <c r="M4046" s="534" t="s">
        <v>8</v>
      </c>
      <c r="N4046" s="525" t="str">
        <f>IF(AND('331-CT'!$E$7=TH!H4046,OR(L4046="331",M4046="331")),"331",IF(AND(OR(L4046="131",M4046="131"),H4046='131-CT'!$E$7),"131",""))</f>
        <v/>
      </c>
      <c r="O4046" s="525" t="str">
        <f>IF(AND($B4046&gt;='111'!$N$11,$B4046&lt;='111'!$O$11,OR($L4046=$O$7,$M4046=$O$7)),"x","")</f>
        <v/>
      </c>
      <c r="P4046" s="525" t="str">
        <f>IF(AND($L4046=$O$7,$B4046&lt;'111'!$N$11),"x","")</f>
        <v/>
      </c>
      <c r="Q4046" s="525" t="str">
        <f>IF(AND($M4046=$O$7,$B4046&lt;'111'!$N$11),"x","")</f>
        <v/>
      </c>
      <c r="R4046" s="525" t="str">
        <f>IF(ISERROR(FIND('112'!$M$9,G4046,1)),"",IF((AND(FIND('112'!$M$9,G4046,1)&gt;=1,$B4046&gt;='112'!$N$8,$B4046&lt;='112'!$O$8,OR($L4046='112'!$I$6,$M4046='112'!$I$6))),"x",""))</f>
        <v/>
      </c>
      <c r="S4046" s="525" t="str">
        <f>IF(ISERROR(FIND('112'!$M$9,G4046,1)),"",IF((AND(LEFT(G4046,2)=LEFT('112'!$M$9,2),B4046&lt;'112'!$N$8,$L4046='112'!$I$6)),"x",""))</f>
        <v/>
      </c>
      <c r="T4046" s="525" t="str">
        <f>IF(ISERROR(FIND('112'!$M$9,G4046,1)),"",IF((AND(RIGHT(G4046,2)=RIGHT('112'!$M$9,2),B4046&lt;'112'!$N$8,$M4046='112'!$I$6)),"x",""))</f>
        <v/>
      </c>
      <c r="U4046" s="525" t="str">
        <f>IF(AND(B4046&gt;='IN-NX'!$P$3,B4046&lt;='IN-NX'!$Q$3,'IN-NX'!$D$7=D4046,OR(LEFT(L4046,2)="15",AND(LEFT(M4046,2)&lt;&gt;"15",LEFT(M4046,2)&lt;&gt;"33"))),"x","")</f>
        <v/>
      </c>
      <c r="V4046" s="525" t="str">
        <f>IF(AND(OR(LEFT(TH!L4046,2)="15",LEFT(TH!M4046,2)="15"),'152-CT'!$J$8=TH!F4046),"x","")</f>
        <v/>
      </c>
      <c r="W4046" s="525" t="str">
        <f>IF(AND(OR(LEFT(TH!L4046,2)="15",LEFT(TH!M4046,2)="15"),TK!$E$7=TH!F4046),"x","")</f>
        <v/>
      </c>
      <c r="X4046" s="525" t="str">
        <f>IF(AND('341-CT'!$E$9=H4046,OR(LEFT(L4046,3)=$X$7,LEFT(M4046,3)=$X$7)),"x","")</f>
        <v/>
      </c>
      <c r="Y4046" s="525" t="str">
        <f>IF(OR(TH!L4046=TH!$Y$7,M4046=TH!$Y$7),"x","")</f>
        <v/>
      </c>
      <c r="Z4046" s="525" t="str">
        <f>IF(AND(B4046&lt;=NKC!$N$8,B4046&gt;=NKC!$M$8),"x","")</f>
        <v/>
      </c>
      <c r="AA4046" s="535">
        <v>3</v>
      </c>
      <c r="AB4046" s="536"/>
      <c r="AC4046" s="536" t="str">
        <f>VLOOKUP(F4046,NXT!$B$12:$B$686,1,0)</f>
        <v>Thùng 96x80x28</v>
      </c>
    </row>
    <row r="4047" spans="1:29" s="503" customFormat="1" ht="15.75" customHeight="1">
      <c r="A4047" s="517" t="str">
        <f>IF(B4047&lt;&gt;"",IF(AND(B4047&gt;=_TM1,B4047&lt;=_TM2,OR(TH!L4047="1111",TH!M4047="1111")),TH!D4047,""),"")</f>
        <v/>
      </c>
      <c r="B4047" s="531">
        <f t="shared" si="496"/>
        <v>8</v>
      </c>
      <c r="C4047" s="315">
        <f t="shared" si="497"/>
        <v>42977</v>
      </c>
      <c r="D4047" s="315" t="s">
        <v>1180</v>
      </c>
      <c r="E4047" s="315">
        <v>42977</v>
      </c>
      <c r="F4047" s="250" t="s">
        <v>1464</v>
      </c>
      <c r="G4047" s="314" t="s">
        <v>1078</v>
      </c>
      <c r="H4047" s="473" t="s">
        <v>1501</v>
      </c>
      <c r="I4047" s="307">
        <v>16</v>
      </c>
      <c r="J4047" s="307">
        <v>74045</v>
      </c>
      <c r="K4047" s="532">
        <f t="shared" si="498"/>
        <v>1184720</v>
      </c>
      <c r="L4047" s="534" t="s">
        <v>292</v>
      </c>
      <c r="M4047" s="534" t="s">
        <v>8</v>
      </c>
      <c r="N4047" s="525" t="str">
        <f>IF(AND('331-CT'!$E$7=TH!H4047,OR(L4047="331",M4047="331")),"331",IF(AND(OR(L4047="131",M4047="131"),H4047='131-CT'!$E$7),"131",""))</f>
        <v/>
      </c>
      <c r="O4047" s="525" t="str">
        <f>IF(AND($B4047&gt;='111'!$N$11,$B4047&lt;='111'!$O$11,OR($L4047=$O$7,$M4047=$O$7)),"x","")</f>
        <v/>
      </c>
      <c r="P4047" s="525" t="str">
        <f>IF(AND($L4047=$O$7,$B4047&lt;'111'!$N$11),"x","")</f>
        <v/>
      </c>
      <c r="Q4047" s="525" t="str">
        <f>IF(AND($M4047=$O$7,$B4047&lt;'111'!$N$11),"x","")</f>
        <v/>
      </c>
      <c r="R4047" s="525" t="str">
        <f>IF(ISERROR(FIND('112'!$M$9,G4047,1)),"",IF((AND(FIND('112'!$M$9,G4047,1)&gt;=1,$B4047&gt;='112'!$N$8,$B4047&lt;='112'!$O$8,OR($L4047='112'!$I$6,$M4047='112'!$I$6))),"x",""))</f>
        <v/>
      </c>
      <c r="S4047" s="525" t="str">
        <f>IF(ISERROR(FIND('112'!$M$9,G4047,1)),"",IF((AND(LEFT(G4047,2)=LEFT('112'!$M$9,2),B4047&lt;'112'!$N$8,$L4047='112'!$I$6)),"x",""))</f>
        <v/>
      </c>
      <c r="T4047" s="525" t="str">
        <f>IF(ISERROR(FIND('112'!$M$9,G4047,1)),"",IF((AND(RIGHT(G4047,2)=RIGHT('112'!$M$9,2),B4047&lt;'112'!$N$8,$M4047='112'!$I$6)),"x",""))</f>
        <v/>
      </c>
      <c r="U4047" s="525" t="str">
        <f>IF(AND(B4047&gt;='IN-NX'!$P$3,B4047&lt;='IN-NX'!$Q$3,'IN-NX'!$D$7=D4047,OR(LEFT(L4047,2)="15",AND(LEFT(M4047,2)&lt;&gt;"15",LEFT(M4047,2)&lt;&gt;"33"))),"x","")</f>
        <v/>
      </c>
      <c r="V4047" s="525" t="str">
        <f>IF(AND(OR(LEFT(TH!L4047,2)="15",LEFT(TH!M4047,2)="15"),'152-CT'!$J$8=TH!F4047),"x","")</f>
        <v/>
      </c>
      <c r="W4047" s="525" t="str">
        <f>IF(AND(OR(LEFT(TH!L4047,2)="15",LEFT(TH!M4047,2)="15"),TK!$E$7=TH!F4047),"x","")</f>
        <v/>
      </c>
      <c r="X4047" s="525" t="str">
        <f>IF(AND('341-CT'!$E$9=H4047,OR(LEFT(L4047,3)=$X$7,LEFT(M4047,3)=$X$7)),"x","")</f>
        <v/>
      </c>
      <c r="Y4047" s="525" t="str">
        <f>IF(OR(TH!L4047=TH!$Y$7,M4047=TH!$Y$7),"x","")</f>
        <v/>
      </c>
      <c r="Z4047" s="525" t="str">
        <f>IF(AND(B4047&lt;=NKC!$N$8,B4047&gt;=NKC!$M$8),"x","")</f>
        <v/>
      </c>
      <c r="AA4047" s="535">
        <v>3</v>
      </c>
      <c r="AB4047" s="536"/>
      <c r="AC4047" s="536" t="str">
        <f>VLOOKUP(F4047,NXT!$B$12:$B$686,1,0)</f>
        <v>Thùng 54x54x102</v>
      </c>
    </row>
    <row r="4048" spans="1:29" s="503" customFormat="1" ht="15.75" customHeight="1">
      <c r="A4048" s="517" t="str">
        <f>IF(B4048&lt;&gt;"",IF(AND(B4048&gt;=_TM1,B4048&lt;=_TM2,OR(TH!L4048="1111",TH!M4048="1111")),TH!D4048,""),"")</f>
        <v/>
      </c>
      <c r="B4048" s="531">
        <f t="shared" si="496"/>
        <v>8</v>
      </c>
      <c r="C4048" s="315">
        <f t="shared" si="497"/>
        <v>42977</v>
      </c>
      <c r="D4048" s="315" t="s">
        <v>1180</v>
      </c>
      <c r="E4048" s="315">
        <v>42977</v>
      </c>
      <c r="F4048" s="250" t="s">
        <v>1465</v>
      </c>
      <c r="G4048" s="314" t="s">
        <v>1078</v>
      </c>
      <c r="H4048" s="473" t="s">
        <v>1501</v>
      </c>
      <c r="I4048" s="307">
        <v>20</v>
      </c>
      <c r="J4048" s="307">
        <v>90177</v>
      </c>
      <c r="K4048" s="532">
        <f t="shared" si="498"/>
        <v>1803540</v>
      </c>
      <c r="L4048" s="534" t="s">
        <v>292</v>
      </c>
      <c r="M4048" s="534" t="s">
        <v>8</v>
      </c>
      <c r="N4048" s="525" t="str">
        <f>IF(AND('331-CT'!$E$7=TH!H4048,OR(L4048="331",M4048="331")),"331",IF(AND(OR(L4048="131",M4048="131"),H4048='131-CT'!$E$7),"131",""))</f>
        <v/>
      </c>
      <c r="O4048" s="525" t="str">
        <f>IF(AND($B4048&gt;='111'!$N$11,$B4048&lt;='111'!$O$11,OR($L4048=$O$7,$M4048=$O$7)),"x","")</f>
        <v/>
      </c>
      <c r="P4048" s="525" t="str">
        <f>IF(AND($L4048=$O$7,$B4048&lt;'111'!$N$11),"x","")</f>
        <v/>
      </c>
      <c r="Q4048" s="525" t="str">
        <f>IF(AND($M4048=$O$7,$B4048&lt;'111'!$N$11),"x","")</f>
        <v/>
      </c>
      <c r="R4048" s="525" t="str">
        <f>IF(ISERROR(FIND('112'!$M$9,G4048,1)),"",IF((AND(FIND('112'!$M$9,G4048,1)&gt;=1,$B4048&gt;='112'!$N$8,$B4048&lt;='112'!$O$8,OR($L4048='112'!$I$6,$M4048='112'!$I$6))),"x",""))</f>
        <v/>
      </c>
      <c r="S4048" s="525" t="str">
        <f>IF(ISERROR(FIND('112'!$M$9,G4048,1)),"",IF((AND(LEFT(G4048,2)=LEFT('112'!$M$9,2),B4048&lt;'112'!$N$8,$L4048='112'!$I$6)),"x",""))</f>
        <v/>
      </c>
      <c r="T4048" s="525" t="str">
        <f>IF(ISERROR(FIND('112'!$M$9,G4048,1)),"",IF((AND(RIGHT(G4048,2)=RIGHT('112'!$M$9,2),B4048&lt;'112'!$N$8,$M4048='112'!$I$6)),"x",""))</f>
        <v/>
      </c>
      <c r="U4048" s="525" t="str">
        <f>IF(AND(B4048&gt;='IN-NX'!$P$3,B4048&lt;='IN-NX'!$Q$3,'IN-NX'!$D$7=D4048,OR(LEFT(L4048,2)="15",AND(LEFT(M4048,2)&lt;&gt;"15",LEFT(M4048,2)&lt;&gt;"33"))),"x","")</f>
        <v/>
      </c>
      <c r="V4048" s="525" t="str">
        <f>IF(AND(OR(LEFT(TH!L4048,2)="15",LEFT(TH!M4048,2)="15"),'152-CT'!$J$8=TH!F4048),"x","")</f>
        <v/>
      </c>
      <c r="W4048" s="525" t="str">
        <f>IF(AND(OR(LEFT(TH!L4048,2)="15",LEFT(TH!M4048,2)="15"),TK!$E$7=TH!F4048),"x","")</f>
        <v/>
      </c>
      <c r="X4048" s="525" t="str">
        <f>IF(AND('341-CT'!$E$9=H4048,OR(LEFT(L4048,3)=$X$7,LEFT(M4048,3)=$X$7)),"x","")</f>
        <v/>
      </c>
      <c r="Y4048" s="525" t="str">
        <f>IF(OR(TH!L4048=TH!$Y$7,M4048=TH!$Y$7),"x","")</f>
        <v/>
      </c>
      <c r="Z4048" s="525" t="str">
        <f>IF(AND(B4048&lt;=NKC!$N$8,B4048&gt;=NKC!$M$8),"x","")</f>
        <v/>
      </c>
      <c r="AA4048" s="535">
        <v>3</v>
      </c>
      <c r="AB4048" s="536"/>
      <c r="AC4048" s="536" t="str">
        <f>VLOOKUP(F4048,NXT!$B$12:$B$686,1,0)</f>
        <v>Thùng 141x81x12</v>
      </c>
    </row>
    <row r="4049" spans="1:29" s="503" customFormat="1" ht="15.75" customHeight="1">
      <c r="A4049" s="517" t="str">
        <f>IF(B4049&lt;&gt;"",IF(AND(B4049&gt;=_TM1,B4049&lt;=_TM2,OR(TH!L4049="1111",TH!M4049="1111")),TH!D4049,""),"")</f>
        <v/>
      </c>
      <c r="B4049" s="531">
        <f t="shared" si="496"/>
        <v>8</v>
      </c>
      <c r="C4049" s="315">
        <f t="shared" si="497"/>
        <v>42977</v>
      </c>
      <c r="D4049" s="315" t="s">
        <v>1180</v>
      </c>
      <c r="E4049" s="315">
        <v>42977</v>
      </c>
      <c r="F4049" s="250" t="s">
        <v>1466</v>
      </c>
      <c r="G4049" s="314" t="s">
        <v>1078</v>
      </c>
      <c r="H4049" s="473" t="s">
        <v>1501</v>
      </c>
      <c r="I4049" s="307">
        <v>20</v>
      </c>
      <c r="J4049" s="307">
        <v>38124</v>
      </c>
      <c r="K4049" s="532">
        <f t="shared" si="498"/>
        <v>762480</v>
      </c>
      <c r="L4049" s="534" t="s">
        <v>292</v>
      </c>
      <c r="M4049" s="534" t="s">
        <v>8</v>
      </c>
      <c r="N4049" s="525" t="str">
        <f>IF(AND('331-CT'!$E$7=TH!H4049,OR(L4049="331",M4049="331")),"331",IF(AND(OR(L4049="131",M4049="131"),H4049='131-CT'!$E$7),"131",""))</f>
        <v/>
      </c>
      <c r="O4049" s="525" t="str">
        <f>IF(AND($B4049&gt;='111'!$N$11,$B4049&lt;='111'!$O$11,OR($L4049=$O$7,$M4049=$O$7)),"x","")</f>
        <v/>
      </c>
      <c r="P4049" s="525" t="str">
        <f>IF(AND($L4049=$O$7,$B4049&lt;'111'!$N$11),"x","")</f>
        <v/>
      </c>
      <c r="Q4049" s="525" t="str">
        <f>IF(AND($M4049=$O$7,$B4049&lt;'111'!$N$11),"x","")</f>
        <v/>
      </c>
      <c r="R4049" s="525" t="str">
        <f>IF(ISERROR(FIND('112'!$M$9,G4049,1)),"",IF((AND(FIND('112'!$M$9,G4049,1)&gt;=1,$B4049&gt;='112'!$N$8,$B4049&lt;='112'!$O$8,OR($L4049='112'!$I$6,$M4049='112'!$I$6))),"x",""))</f>
        <v/>
      </c>
      <c r="S4049" s="525" t="str">
        <f>IF(ISERROR(FIND('112'!$M$9,G4049,1)),"",IF((AND(LEFT(G4049,2)=LEFT('112'!$M$9,2),B4049&lt;'112'!$N$8,$L4049='112'!$I$6)),"x",""))</f>
        <v/>
      </c>
      <c r="T4049" s="525" t="str">
        <f>IF(ISERROR(FIND('112'!$M$9,G4049,1)),"",IF((AND(RIGHT(G4049,2)=RIGHT('112'!$M$9,2),B4049&lt;'112'!$N$8,$M4049='112'!$I$6)),"x",""))</f>
        <v/>
      </c>
      <c r="U4049" s="525" t="str">
        <f>IF(AND(B4049&gt;='IN-NX'!$P$3,B4049&lt;='IN-NX'!$Q$3,'IN-NX'!$D$7=D4049,OR(LEFT(L4049,2)="15",AND(LEFT(M4049,2)&lt;&gt;"15",LEFT(M4049,2)&lt;&gt;"33"))),"x","")</f>
        <v/>
      </c>
      <c r="V4049" s="525" t="str">
        <f>IF(AND(OR(LEFT(TH!L4049,2)="15",LEFT(TH!M4049,2)="15"),'152-CT'!$J$8=TH!F4049),"x","")</f>
        <v/>
      </c>
      <c r="W4049" s="525" t="str">
        <f>IF(AND(OR(LEFT(TH!L4049,2)="15",LEFT(TH!M4049,2)="15"),TK!$E$7=TH!F4049),"x","")</f>
        <v/>
      </c>
      <c r="X4049" s="525" t="str">
        <f>IF(AND('341-CT'!$E$9=H4049,OR(LEFT(L4049,3)=$X$7,LEFT(M4049,3)=$X$7)),"x","")</f>
        <v/>
      </c>
      <c r="Y4049" s="525" t="str">
        <f>IF(OR(TH!L4049=TH!$Y$7,M4049=TH!$Y$7),"x","")</f>
        <v/>
      </c>
      <c r="Z4049" s="525" t="str">
        <f>IF(AND(B4049&lt;=NKC!$N$8,B4049&gt;=NKC!$M$8),"x","")</f>
        <v/>
      </c>
      <c r="AA4049" s="535">
        <v>3</v>
      </c>
      <c r="AB4049" s="536"/>
      <c r="AC4049" s="536" t="str">
        <f>VLOOKUP(F4049,NXT!$B$12:$B$686,1,0)</f>
        <v>Thùng 66x36x47</v>
      </c>
    </row>
    <row r="4050" spans="1:29" s="503" customFormat="1" ht="15.75" customHeight="1">
      <c r="A4050" s="517" t="str">
        <f>IF(B4050&lt;&gt;"",IF(AND(B4050&gt;=_TM1,B4050&lt;=_TM2,OR(TH!L4050="1111",TH!M4050="1111")),TH!D4050,""),"")</f>
        <v/>
      </c>
      <c r="B4050" s="531">
        <f t="shared" si="496"/>
        <v>8</v>
      </c>
      <c r="C4050" s="315">
        <f t="shared" si="497"/>
        <v>42977</v>
      </c>
      <c r="D4050" s="315" t="s">
        <v>1180</v>
      </c>
      <c r="E4050" s="315">
        <v>42977</v>
      </c>
      <c r="F4050" s="250" t="s">
        <v>1467</v>
      </c>
      <c r="G4050" s="314" t="s">
        <v>1078</v>
      </c>
      <c r="H4050" s="473" t="s">
        <v>1501</v>
      </c>
      <c r="I4050" s="307">
        <v>2</v>
      </c>
      <c r="J4050" s="307">
        <v>58722</v>
      </c>
      <c r="K4050" s="532">
        <f t="shared" si="498"/>
        <v>117444</v>
      </c>
      <c r="L4050" s="534" t="s">
        <v>292</v>
      </c>
      <c r="M4050" s="534" t="s">
        <v>8</v>
      </c>
      <c r="N4050" s="525" t="str">
        <f>IF(AND('331-CT'!$E$7=TH!H4050,OR(L4050="331",M4050="331")),"331",IF(AND(OR(L4050="131",M4050="131"),H4050='131-CT'!$E$7),"131",""))</f>
        <v/>
      </c>
      <c r="O4050" s="525" t="str">
        <f>IF(AND($B4050&gt;='111'!$N$11,$B4050&lt;='111'!$O$11,OR($L4050=$O$7,$M4050=$O$7)),"x","")</f>
        <v/>
      </c>
      <c r="P4050" s="525" t="str">
        <f>IF(AND($L4050=$O$7,$B4050&lt;'111'!$N$11),"x","")</f>
        <v/>
      </c>
      <c r="Q4050" s="525" t="str">
        <f>IF(AND($M4050=$O$7,$B4050&lt;'111'!$N$11),"x","")</f>
        <v/>
      </c>
      <c r="R4050" s="525" t="str">
        <f>IF(ISERROR(FIND('112'!$M$9,G4050,1)),"",IF((AND(FIND('112'!$M$9,G4050,1)&gt;=1,$B4050&gt;='112'!$N$8,$B4050&lt;='112'!$O$8,OR($L4050='112'!$I$6,$M4050='112'!$I$6))),"x",""))</f>
        <v/>
      </c>
      <c r="S4050" s="525" t="str">
        <f>IF(ISERROR(FIND('112'!$M$9,G4050,1)),"",IF((AND(LEFT(G4050,2)=LEFT('112'!$M$9,2),B4050&lt;'112'!$N$8,$L4050='112'!$I$6)),"x",""))</f>
        <v/>
      </c>
      <c r="T4050" s="525" t="str">
        <f>IF(ISERROR(FIND('112'!$M$9,G4050,1)),"",IF((AND(RIGHT(G4050,2)=RIGHT('112'!$M$9,2),B4050&lt;'112'!$N$8,$M4050='112'!$I$6)),"x",""))</f>
        <v/>
      </c>
      <c r="U4050" s="525" t="str">
        <f>IF(AND(B4050&gt;='IN-NX'!$P$3,B4050&lt;='IN-NX'!$Q$3,'IN-NX'!$D$7=D4050,OR(LEFT(L4050,2)="15",AND(LEFT(M4050,2)&lt;&gt;"15",LEFT(M4050,2)&lt;&gt;"33"))),"x","")</f>
        <v/>
      </c>
      <c r="V4050" s="525" t="str">
        <f>IF(AND(OR(LEFT(TH!L4050,2)="15",LEFT(TH!M4050,2)="15"),'152-CT'!$J$8=TH!F4050),"x","")</f>
        <v/>
      </c>
      <c r="W4050" s="525" t="str">
        <f>IF(AND(OR(LEFT(TH!L4050,2)="15",LEFT(TH!M4050,2)="15"),TK!$E$7=TH!F4050),"x","")</f>
        <v/>
      </c>
      <c r="X4050" s="525" t="str">
        <f>IF(AND('341-CT'!$E$9=H4050,OR(LEFT(L4050,3)=$X$7,LEFT(M4050,3)=$X$7)),"x","")</f>
        <v/>
      </c>
      <c r="Y4050" s="525" t="str">
        <f>IF(OR(TH!L4050=TH!$Y$7,M4050=TH!$Y$7),"x","")</f>
        <v/>
      </c>
      <c r="Z4050" s="525" t="str">
        <f>IF(AND(B4050&lt;=NKC!$N$8,B4050&gt;=NKC!$M$8),"x","")</f>
        <v/>
      </c>
      <c r="AA4050" s="535">
        <v>3</v>
      </c>
      <c r="AB4050" s="536"/>
      <c r="AC4050" s="536" t="str">
        <f>VLOOKUP(F4050,NXT!$B$12:$B$686,1,0)</f>
        <v>Thùng 54.2x54.2x54.4</v>
      </c>
    </row>
    <row r="4051" spans="1:29" s="503" customFormat="1" ht="15.75" customHeight="1">
      <c r="A4051" s="517" t="str">
        <f>IF(B4051&lt;&gt;"",IF(AND(B4051&gt;=_TM1,B4051&lt;=_TM2,OR(TH!L4051="1111",TH!M4051="1111")),TH!D4051,""),"")</f>
        <v/>
      </c>
      <c r="B4051" s="531">
        <f t="shared" si="496"/>
        <v>8</v>
      </c>
      <c r="C4051" s="315">
        <f t="shared" si="497"/>
        <v>42977</v>
      </c>
      <c r="D4051" s="315" t="s">
        <v>1180</v>
      </c>
      <c r="E4051" s="315">
        <v>42977</v>
      </c>
      <c r="F4051" s="250" t="s">
        <v>1468</v>
      </c>
      <c r="G4051" s="314" t="s">
        <v>1078</v>
      </c>
      <c r="H4051" s="473" t="s">
        <v>1501</v>
      </c>
      <c r="I4051" s="307">
        <v>2</v>
      </c>
      <c r="J4051" s="307">
        <v>58722</v>
      </c>
      <c r="K4051" s="532">
        <f t="shared" si="498"/>
        <v>117444</v>
      </c>
      <c r="L4051" s="534" t="s">
        <v>292</v>
      </c>
      <c r="M4051" s="534" t="s">
        <v>8</v>
      </c>
      <c r="N4051" s="525" t="str">
        <f>IF(AND('331-CT'!$E$7=TH!H4051,OR(L4051="331",M4051="331")),"331",IF(AND(OR(L4051="131",M4051="131"),H4051='131-CT'!$E$7),"131",""))</f>
        <v/>
      </c>
      <c r="O4051" s="525" t="str">
        <f>IF(AND($B4051&gt;='111'!$N$11,$B4051&lt;='111'!$O$11,OR($L4051=$O$7,$M4051=$O$7)),"x","")</f>
        <v/>
      </c>
      <c r="P4051" s="525" t="str">
        <f>IF(AND($L4051=$O$7,$B4051&lt;'111'!$N$11),"x","")</f>
        <v/>
      </c>
      <c r="Q4051" s="525" t="str">
        <f>IF(AND($M4051=$O$7,$B4051&lt;'111'!$N$11),"x","")</f>
        <v/>
      </c>
      <c r="R4051" s="525" t="str">
        <f>IF(ISERROR(FIND('112'!$M$9,G4051,1)),"",IF((AND(FIND('112'!$M$9,G4051,1)&gt;=1,$B4051&gt;='112'!$N$8,$B4051&lt;='112'!$O$8,OR($L4051='112'!$I$6,$M4051='112'!$I$6))),"x",""))</f>
        <v/>
      </c>
      <c r="S4051" s="525" t="str">
        <f>IF(ISERROR(FIND('112'!$M$9,G4051,1)),"",IF((AND(LEFT(G4051,2)=LEFT('112'!$M$9,2),B4051&lt;'112'!$N$8,$L4051='112'!$I$6)),"x",""))</f>
        <v/>
      </c>
      <c r="T4051" s="525" t="str">
        <f>IF(ISERROR(FIND('112'!$M$9,G4051,1)),"",IF((AND(RIGHT(G4051,2)=RIGHT('112'!$M$9,2),B4051&lt;'112'!$N$8,$M4051='112'!$I$6)),"x",""))</f>
        <v/>
      </c>
      <c r="U4051" s="525" t="str">
        <f>IF(AND(B4051&gt;='IN-NX'!$P$3,B4051&lt;='IN-NX'!$Q$3,'IN-NX'!$D$7=D4051,OR(LEFT(L4051,2)="15",AND(LEFT(M4051,2)&lt;&gt;"15",LEFT(M4051,2)&lt;&gt;"33"))),"x","")</f>
        <v/>
      </c>
      <c r="V4051" s="525" t="str">
        <f>IF(AND(OR(LEFT(TH!L4051,2)="15",LEFT(TH!M4051,2)="15"),'152-CT'!$J$8=TH!F4051),"x","")</f>
        <v/>
      </c>
      <c r="W4051" s="525" t="str">
        <f>IF(AND(OR(LEFT(TH!L4051,2)="15",LEFT(TH!M4051,2)="15"),TK!$E$7=TH!F4051),"x","")</f>
        <v/>
      </c>
      <c r="X4051" s="525" t="str">
        <f>IF(AND('341-CT'!$E$9=H4051,OR(LEFT(L4051,3)=$X$7,LEFT(M4051,3)=$X$7)),"x","")</f>
        <v/>
      </c>
      <c r="Y4051" s="525" t="str">
        <f>IF(OR(TH!L4051=TH!$Y$7,M4051=TH!$Y$7),"x","")</f>
        <v/>
      </c>
      <c r="Z4051" s="525" t="str">
        <f>IF(AND(B4051&lt;=NKC!$N$8,B4051&gt;=NKC!$M$8),"x","")</f>
        <v/>
      </c>
      <c r="AA4051" s="535">
        <v>3</v>
      </c>
      <c r="AB4051" s="536"/>
      <c r="AC4051" s="536" t="str">
        <f>VLOOKUP(F4051,NXT!$B$12:$B$686,1,0)</f>
        <v>Thùng 50x50x41.5</v>
      </c>
    </row>
    <row r="4052" spans="1:29" s="503" customFormat="1" ht="15.75" customHeight="1">
      <c r="A4052" s="517" t="str">
        <f>IF(B4052&lt;&gt;"",IF(AND(B4052&gt;=_TM1,B4052&lt;=_TM2,OR(TH!L4052="1111",TH!M4052="1111")),TH!D4052,""),"")</f>
        <v/>
      </c>
      <c r="B4052" s="531">
        <f t="shared" si="496"/>
        <v>8</v>
      </c>
      <c r="C4052" s="315">
        <f t="shared" si="497"/>
        <v>42977</v>
      </c>
      <c r="D4052" s="315" t="s">
        <v>1180</v>
      </c>
      <c r="E4052" s="315">
        <v>42977</v>
      </c>
      <c r="F4052" s="250" t="s">
        <v>1469</v>
      </c>
      <c r="G4052" s="314" t="s">
        <v>1078</v>
      </c>
      <c r="H4052" s="473" t="s">
        <v>1501</v>
      </c>
      <c r="I4052" s="307">
        <v>2</v>
      </c>
      <c r="J4052" s="307">
        <v>58722</v>
      </c>
      <c r="K4052" s="532">
        <f t="shared" si="498"/>
        <v>117444</v>
      </c>
      <c r="L4052" s="534" t="s">
        <v>292</v>
      </c>
      <c r="M4052" s="534" t="s">
        <v>8</v>
      </c>
      <c r="N4052" s="525" t="str">
        <f>IF(AND('331-CT'!$E$7=TH!H4052,OR(L4052="331",M4052="331")),"331",IF(AND(OR(L4052="131",M4052="131"),H4052='131-CT'!$E$7),"131",""))</f>
        <v/>
      </c>
      <c r="O4052" s="525" t="str">
        <f>IF(AND($B4052&gt;='111'!$N$11,$B4052&lt;='111'!$O$11,OR($L4052=$O$7,$M4052=$O$7)),"x","")</f>
        <v/>
      </c>
      <c r="P4052" s="525" t="str">
        <f>IF(AND($L4052=$O$7,$B4052&lt;'111'!$N$11),"x","")</f>
        <v/>
      </c>
      <c r="Q4052" s="525" t="str">
        <f>IF(AND($M4052=$O$7,$B4052&lt;'111'!$N$11),"x","")</f>
        <v/>
      </c>
      <c r="R4052" s="525" t="str">
        <f>IF(ISERROR(FIND('112'!$M$9,G4052,1)),"",IF((AND(FIND('112'!$M$9,G4052,1)&gt;=1,$B4052&gt;='112'!$N$8,$B4052&lt;='112'!$O$8,OR($L4052='112'!$I$6,$M4052='112'!$I$6))),"x",""))</f>
        <v/>
      </c>
      <c r="S4052" s="525" t="str">
        <f>IF(ISERROR(FIND('112'!$M$9,G4052,1)),"",IF((AND(LEFT(G4052,2)=LEFT('112'!$M$9,2),B4052&lt;'112'!$N$8,$L4052='112'!$I$6)),"x",""))</f>
        <v/>
      </c>
      <c r="T4052" s="525" t="str">
        <f>IF(ISERROR(FIND('112'!$M$9,G4052,1)),"",IF((AND(RIGHT(G4052,2)=RIGHT('112'!$M$9,2),B4052&lt;'112'!$N$8,$M4052='112'!$I$6)),"x",""))</f>
        <v/>
      </c>
      <c r="U4052" s="525" t="str">
        <f>IF(AND(B4052&gt;='IN-NX'!$P$3,B4052&lt;='IN-NX'!$Q$3,'IN-NX'!$D$7=D4052,OR(LEFT(L4052,2)="15",AND(LEFT(M4052,2)&lt;&gt;"15",LEFT(M4052,2)&lt;&gt;"33"))),"x","")</f>
        <v/>
      </c>
      <c r="V4052" s="525" t="str">
        <f>IF(AND(OR(LEFT(TH!L4052,2)="15",LEFT(TH!M4052,2)="15"),'152-CT'!$J$8=TH!F4052),"x","")</f>
        <v/>
      </c>
      <c r="W4052" s="525" t="str">
        <f>IF(AND(OR(LEFT(TH!L4052,2)="15",LEFT(TH!M4052,2)="15"),TK!$E$7=TH!F4052),"x","")</f>
        <v/>
      </c>
      <c r="X4052" s="525" t="str">
        <f>IF(AND('341-CT'!$E$9=H4052,OR(LEFT(L4052,3)=$X$7,LEFT(M4052,3)=$X$7)),"x","")</f>
        <v/>
      </c>
      <c r="Y4052" s="525" t="str">
        <f>IF(OR(TH!L4052=TH!$Y$7,M4052=TH!$Y$7),"x","")</f>
        <v/>
      </c>
      <c r="Z4052" s="525" t="str">
        <f>IF(AND(B4052&lt;=NKC!$N$8,B4052&gt;=NKC!$M$8),"x","")</f>
        <v/>
      </c>
      <c r="AA4052" s="535">
        <v>3</v>
      </c>
      <c r="AB4052" s="536"/>
      <c r="AC4052" s="536" t="str">
        <f>VLOOKUP(F4052,NXT!$B$12:$B$686,1,0)</f>
        <v>Thùng 55.1x55.1x52</v>
      </c>
    </row>
    <row r="4053" spans="1:29" s="503" customFormat="1" ht="15.75" customHeight="1">
      <c r="A4053" s="517" t="str">
        <f>IF(B4053&lt;&gt;"",IF(AND(B4053&gt;=_TM1,B4053&lt;=_TM2,OR(TH!L4053="1111",TH!M4053="1111")),TH!D4053,""),"")</f>
        <v/>
      </c>
      <c r="B4053" s="531">
        <f t="shared" si="496"/>
        <v>8</v>
      </c>
      <c r="C4053" s="315">
        <f t="shared" si="497"/>
        <v>42977</v>
      </c>
      <c r="D4053" s="315" t="s">
        <v>1180</v>
      </c>
      <c r="E4053" s="315">
        <v>42977</v>
      </c>
      <c r="F4053" s="250" t="s">
        <v>1470</v>
      </c>
      <c r="G4053" s="314" t="s">
        <v>1078</v>
      </c>
      <c r="H4053" s="473" t="s">
        <v>1501</v>
      </c>
      <c r="I4053" s="307">
        <v>6</v>
      </c>
      <c r="J4053" s="307">
        <v>58722</v>
      </c>
      <c r="K4053" s="532">
        <f t="shared" si="498"/>
        <v>352332</v>
      </c>
      <c r="L4053" s="534" t="s">
        <v>292</v>
      </c>
      <c r="M4053" s="534" t="s">
        <v>8</v>
      </c>
      <c r="N4053" s="525" t="str">
        <f>IF(AND('331-CT'!$E$7=TH!H4053,OR(L4053="331",M4053="331")),"331",IF(AND(OR(L4053="131",M4053="131"),H4053='131-CT'!$E$7),"131",""))</f>
        <v/>
      </c>
      <c r="O4053" s="525" t="str">
        <f>IF(AND($B4053&gt;='111'!$N$11,$B4053&lt;='111'!$O$11,OR($L4053=$O$7,$M4053=$O$7)),"x","")</f>
        <v/>
      </c>
      <c r="P4053" s="525" t="str">
        <f>IF(AND($L4053=$O$7,$B4053&lt;'111'!$N$11),"x","")</f>
        <v/>
      </c>
      <c r="Q4053" s="525" t="str">
        <f>IF(AND($M4053=$O$7,$B4053&lt;'111'!$N$11),"x","")</f>
        <v/>
      </c>
      <c r="R4053" s="525" t="str">
        <f>IF(ISERROR(FIND('112'!$M$9,G4053,1)),"",IF((AND(FIND('112'!$M$9,G4053,1)&gt;=1,$B4053&gt;='112'!$N$8,$B4053&lt;='112'!$O$8,OR($L4053='112'!$I$6,$M4053='112'!$I$6))),"x",""))</f>
        <v/>
      </c>
      <c r="S4053" s="525" t="str">
        <f>IF(ISERROR(FIND('112'!$M$9,G4053,1)),"",IF((AND(LEFT(G4053,2)=LEFT('112'!$M$9,2),B4053&lt;'112'!$N$8,$L4053='112'!$I$6)),"x",""))</f>
        <v/>
      </c>
      <c r="T4053" s="525" t="str">
        <f>IF(ISERROR(FIND('112'!$M$9,G4053,1)),"",IF((AND(RIGHT(G4053,2)=RIGHT('112'!$M$9,2),B4053&lt;'112'!$N$8,$M4053='112'!$I$6)),"x",""))</f>
        <v/>
      </c>
      <c r="U4053" s="525" t="str">
        <f>IF(AND(B4053&gt;='IN-NX'!$P$3,B4053&lt;='IN-NX'!$Q$3,'IN-NX'!$D$7=D4053,OR(LEFT(L4053,2)="15",AND(LEFT(M4053,2)&lt;&gt;"15",LEFT(M4053,2)&lt;&gt;"33"))),"x","")</f>
        <v/>
      </c>
      <c r="V4053" s="525" t="str">
        <f>IF(AND(OR(LEFT(TH!L4053,2)="15",LEFT(TH!M4053,2)="15"),'152-CT'!$J$8=TH!F4053),"x","")</f>
        <v/>
      </c>
      <c r="W4053" s="525" t="str">
        <f>IF(AND(OR(LEFT(TH!L4053,2)="15",LEFT(TH!M4053,2)="15"),TK!$E$7=TH!F4053),"x","")</f>
        <v/>
      </c>
      <c r="X4053" s="525" t="str">
        <f>IF(AND('341-CT'!$E$9=H4053,OR(LEFT(L4053,3)=$X$7,LEFT(M4053,3)=$X$7)),"x","")</f>
        <v/>
      </c>
      <c r="Y4053" s="525" t="str">
        <f>IF(OR(TH!L4053=TH!$Y$7,M4053=TH!$Y$7),"x","")</f>
        <v/>
      </c>
      <c r="Z4053" s="525" t="str">
        <f>IF(AND(B4053&lt;=NKC!$N$8,B4053&gt;=NKC!$M$8),"x","")</f>
        <v/>
      </c>
      <c r="AA4053" s="535">
        <v>3</v>
      </c>
      <c r="AB4053" s="536"/>
      <c r="AC4053" s="536" t="str">
        <f>VLOOKUP(F4053,NXT!$B$12:$B$686,1,0)</f>
        <v>Thùng 56.2x56.2x44.4</v>
      </c>
    </row>
    <row r="4054" spans="1:29" s="503" customFormat="1" ht="15.75" customHeight="1">
      <c r="A4054" s="517" t="str">
        <f>IF(B4054&lt;&gt;"",IF(AND(B4054&gt;=_TM1,B4054&lt;=_TM2,OR(TH!L4054="1111",TH!M4054="1111")),TH!D4054,""),"")</f>
        <v/>
      </c>
      <c r="B4054" s="531">
        <f t="shared" si="496"/>
        <v>8</v>
      </c>
      <c r="C4054" s="315">
        <f t="shared" si="497"/>
        <v>42977</v>
      </c>
      <c r="D4054" s="315" t="s">
        <v>1180</v>
      </c>
      <c r="E4054" s="315">
        <v>42977</v>
      </c>
      <c r="F4054" s="250" t="s">
        <v>1631</v>
      </c>
      <c r="G4054" s="314" t="s">
        <v>1078</v>
      </c>
      <c r="H4054" s="473" t="s">
        <v>1501</v>
      </c>
      <c r="I4054" s="307">
        <v>2</v>
      </c>
      <c r="J4054" s="307">
        <v>58722</v>
      </c>
      <c r="K4054" s="532">
        <f t="shared" si="498"/>
        <v>117444</v>
      </c>
      <c r="L4054" s="534" t="s">
        <v>292</v>
      </c>
      <c r="M4054" s="534" t="s">
        <v>8</v>
      </c>
      <c r="N4054" s="525" t="str">
        <f>IF(AND('331-CT'!$E$7=TH!H4054,OR(L4054="331",M4054="331")),"331",IF(AND(OR(L4054="131",M4054="131"),H4054='131-CT'!$E$7),"131",""))</f>
        <v/>
      </c>
      <c r="O4054" s="525" t="str">
        <f>IF(AND($B4054&gt;='111'!$N$11,$B4054&lt;='111'!$O$11,OR($L4054=$O$7,$M4054=$O$7)),"x","")</f>
        <v/>
      </c>
      <c r="P4054" s="525" t="str">
        <f>IF(AND($L4054=$O$7,$B4054&lt;'111'!$N$11),"x","")</f>
        <v/>
      </c>
      <c r="Q4054" s="525" t="str">
        <f>IF(AND($M4054=$O$7,$B4054&lt;'111'!$N$11),"x","")</f>
        <v/>
      </c>
      <c r="R4054" s="525" t="str">
        <f>IF(ISERROR(FIND('112'!$M$9,G4054,1)),"",IF((AND(FIND('112'!$M$9,G4054,1)&gt;=1,$B4054&gt;='112'!$N$8,$B4054&lt;='112'!$O$8,OR($L4054='112'!$I$6,$M4054='112'!$I$6))),"x",""))</f>
        <v/>
      </c>
      <c r="S4054" s="525" t="str">
        <f>IF(ISERROR(FIND('112'!$M$9,G4054,1)),"",IF((AND(LEFT(G4054,2)=LEFT('112'!$M$9,2),B4054&lt;'112'!$N$8,$L4054='112'!$I$6)),"x",""))</f>
        <v/>
      </c>
      <c r="T4054" s="525" t="str">
        <f>IF(ISERROR(FIND('112'!$M$9,G4054,1)),"",IF((AND(RIGHT(G4054,2)=RIGHT('112'!$M$9,2),B4054&lt;'112'!$N$8,$M4054='112'!$I$6)),"x",""))</f>
        <v/>
      </c>
      <c r="U4054" s="525" t="str">
        <f>IF(AND(B4054&gt;='IN-NX'!$P$3,B4054&lt;='IN-NX'!$Q$3,'IN-NX'!$D$7=D4054,OR(LEFT(L4054,2)="15",AND(LEFT(M4054,2)&lt;&gt;"15",LEFT(M4054,2)&lt;&gt;"33"))),"x","")</f>
        <v/>
      </c>
      <c r="V4054" s="525" t="str">
        <f>IF(AND(OR(LEFT(TH!L4054,2)="15",LEFT(TH!M4054,2)="15"),'152-CT'!$J$8=TH!F4054),"x","")</f>
        <v/>
      </c>
      <c r="W4054" s="525" t="str">
        <f>IF(AND(OR(LEFT(TH!L4054,2)="15",LEFT(TH!M4054,2)="15"),TK!$E$7=TH!F4054),"x","")</f>
        <v/>
      </c>
      <c r="X4054" s="525" t="str">
        <f>IF(AND('341-CT'!$E$9=H4054,OR(LEFT(L4054,3)=$X$7,LEFT(M4054,3)=$X$7)),"x","")</f>
        <v/>
      </c>
      <c r="Y4054" s="525" t="str">
        <f>IF(OR(TH!L4054=TH!$Y$7,M4054=TH!$Y$7),"x","")</f>
        <v/>
      </c>
      <c r="Z4054" s="525" t="str">
        <f>IF(AND(B4054&lt;=NKC!$N$8,B4054&gt;=NKC!$M$8),"x","")</f>
        <v/>
      </c>
      <c r="AA4054" s="535">
        <v>3</v>
      </c>
      <c r="AB4054" s="536"/>
      <c r="AC4054" s="536" t="str">
        <f>VLOOKUP(F4054,NXT!$B$12:$B$686,1,0)</f>
        <v>Thùng 62.5x62.5x55</v>
      </c>
    </row>
    <row r="4055" spans="1:29" s="503" customFormat="1" ht="15.75" customHeight="1">
      <c r="A4055" s="517" t="str">
        <f>IF(B4055&lt;&gt;"",IF(AND(B4055&gt;=_TM1,B4055&lt;=_TM2,OR(TH!L4055="1111",TH!M4055="1111")),TH!D4055,""),"")</f>
        <v/>
      </c>
      <c r="B4055" s="531">
        <f t="shared" si="489"/>
        <v>8</v>
      </c>
      <c r="C4055" s="315">
        <f t="shared" si="490"/>
        <v>42977</v>
      </c>
      <c r="D4055" s="315" t="s">
        <v>1180</v>
      </c>
      <c r="E4055" s="315">
        <v>42977</v>
      </c>
      <c r="F4055" s="250" t="s">
        <v>1632</v>
      </c>
      <c r="G4055" s="314" t="s">
        <v>1078</v>
      </c>
      <c r="H4055" s="473" t="s">
        <v>1501</v>
      </c>
      <c r="I4055" s="307">
        <v>2</v>
      </c>
      <c r="J4055" s="307">
        <v>58722</v>
      </c>
      <c r="K4055" s="532">
        <f t="shared" ref="K4055:K4074" si="499">ROUND(I4055*J4055,0)</f>
        <v>117444</v>
      </c>
      <c r="L4055" s="534" t="s">
        <v>292</v>
      </c>
      <c r="M4055" s="534" t="s">
        <v>8</v>
      </c>
      <c r="N4055" s="525" t="str">
        <f>IF(AND('331-CT'!$E$7=TH!H4055,OR(L4055="331",M4055="331")),"331",IF(AND(OR(L4055="131",M4055="131"),H4055='131-CT'!$E$7),"131",""))</f>
        <v/>
      </c>
      <c r="O4055" s="525" t="str">
        <f>IF(AND($B4055&gt;='111'!$N$11,$B4055&lt;='111'!$O$11,OR($L4055=$O$7,$M4055=$O$7)),"x","")</f>
        <v/>
      </c>
      <c r="P4055" s="525" t="str">
        <f>IF(AND($L4055=$O$7,$B4055&lt;'111'!$N$11),"x","")</f>
        <v/>
      </c>
      <c r="Q4055" s="525" t="str">
        <f>IF(AND($M4055=$O$7,$B4055&lt;'111'!$N$11),"x","")</f>
        <v/>
      </c>
      <c r="R4055" s="525" t="str">
        <f>IF(ISERROR(FIND('112'!$M$9,G4055,1)),"",IF((AND(FIND('112'!$M$9,G4055,1)&gt;=1,$B4055&gt;='112'!$N$8,$B4055&lt;='112'!$O$8,OR($L4055='112'!$I$6,$M4055='112'!$I$6))),"x",""))</f>
        <v/>
      </c>
      <c r="S4055" s="525" t="str">
        <f>IF(ISERROR(FIND('112'!$M$9,G4055,1)),"",IF((AND(LEFT(G4055,2)=LEFT('112'!$M$9,2),B4055&lt;'112'!$N$8,$L4055='112'!$I$6)),"x",""))</f>
        <v/>
      </c>
      <c r="T4055" s="525" t="str">
        <f>IF(ISERROR(FIND('112'!$M$9,G4055,1)),"",IF((AND(RIGHT(G4055,2)=RIGHT('112'!$M$9,2),B4055&lt;'112'!$N$8,$M4055='112'!$I$6)),"x",""))</f>
        <v/>
      </c>
      <c r="U4055" s="525" t="str">
        <f>IF(AND(B4055&gt;='IN-NX'!$P$3,B4055&lt;='IN-NX'!$Q$3,'IN-NX'!$D$7=D4055,OR(LEFT(L4055,2)="15",AND(LEFT(M4055,2)&lt;&gt;"15",LEFT(M4055,2)&lt;&gt;"33"))),"x","")</f>
        <v/>
      </c>
      <c r="V4055" s="525" t="str">
        <f>IF(AND(OR(LEFT(TH!L4055,2)="15",LEFT(TH!M4055,2)="15"),'152-CT'!$J$8=TH!F4055),"x","")</f>
        <v/>
      </c>
      <c r="W4055" s="525" t="str">
        <f>IF(AND(OR(LEFT(TH!L4055,2)="15",LEFT(TH!M4055,2)="15"),TK!$E$7=TH!F4055),"x","")</f>
        <v/>
      </c>
      <c r="X4055" s="525" t="str">
        <f>IF(AND('341-CT'!$E$9=H4055,OR(LEFT(L4055,3)=$X$7,LEFT(M4055,3)=$X$7)),"x","")</f>
        <v/>
      </c>
      <c r="Y4055" s="525" t="str">
        <f>IF(OR(TH!L4055=TH!$Y$7,M4055=TH!$Y$7),"x","")</f>
        <v/>
      </c>
      <c r="Z4055" s="525" t="str">
        <f>IF(AND(B4055&lt;=NKC!$N$8,B4055&gt;=NKC!$M$8),"x","")</f>
        <v/>
      </c>
      <c r="AA4055" s="535">
        <v>3</v>
      </c>
      <c r="AB4055" s="536"/>
      <c r="AC4055" s="536" t="str">
        <f>VLOOKUP(F4055,NXT!$B$12:$B$686,1,0)</f>
        <v>Thùng 61.4x59.3x54.4</v>
      </c>
    </row>
    <row r="4056" spans="1:29" s="503" customFormat="1" ht="15.75" customHeight="1">
      <c r="A4056" s="517" t="str">
        <f>IF(B4056&lt;&gt;"",IF(AND(B4056&gt;=_TM1,B4056&lt;=_TM2,OR(TH!L4056="1111",TH!M4056="1111")),TH!D4056,""),"")</f>
        <v/>
      </c>
      <c r="B4056" s="531">
        <f t="shared" si="489"/>
        <v>8</v>
      </c>
      <c r="C4056" s="315">
        <f t="shared" si="490"/>
        <v>42977</v>
      </c>
      <c r="D4056" s="315" t="s">
        <v>1180</v>
      </c>
      <c r="E4056" s="315">
        <v>42977</v>
      </c>
      <c r="F4056" s="250" t="s">
        <v>1633</v>
      </c>
      <c r="G4056" s="314" t="s">
        <v>1078</v>
      </c>
      <c r="H4056" s="473" t="s">
        <v>1501</v>
      </c>
      <c r="I4056" s="307">
        <v>2</v>
      </c>
      <c r="J4056" s="307">
        <v>58722</v>
      </c>
      <c r="K4056" s="532">
        <f t="shared" si="499"/>
        <v>117444</v>
      </c>
      <c r="L4056" s="534" t="s">
        <v>292</v>
      </c>
      <c r="M4056" s="534" t="s">
        <v>8</v>
      </c>
      <c r="N4056" s="525" t="str">
        <f>IF(AND('331-CT'!$E$7=TH!H4056,OR(L4056="331",M4056="331")),"331",IF(AND(OR(L4056="131",M4056="131"),H4056='131-CT'!$E$7),"131",""))</f>
        <v/>
      </c>
      <c r="O4056" s="525" t="str">
        <f>IF(AND($B4056&gt;='111'!$N$11,$B4056&lt;='111'!$O$11,OR($L4056=$O$7,$M4056=$O$7)),"x","")</f>
        <v/>
      </c>
      <c r="P4056" s="525" t="str">
        <f>IF(AND($L4056=$O$7,$B4056&lt;'111'!$N$11),"x","")</f>
        <v/>
      </c>
      <c r="Q4056" s="525" t="str">
        <f>IF(AND($M4056=$O$7,$B4056&lt;'111'!$N$11),"x","")</f>
        <v/>
      </c>
      <c r="R4056" s="525" t="str">
        <f>IF(ISERROR(FIND('112'!$M$9,G4056,1)),"",IF((AND(FIND('112'!$M$9,G4056,1)&gt;=1,$B4056&gt;='112'!$N$8,$B4056&lt;='112'!$O$8,OR($L4056='112'!$I$6,$M4056='112'!$I$6))),"x",""))</f>
        <v/>
      </c>
      <c r="S4056" s="525" t="str">
        <f>IF(ISERROR(FIND('112'!$M$9,G4056,1)),"",IF((AND(LEFT(G4056,2)=LEFT('112'!$M$9,2),B4056&lt;'112'!$N$8,$L4056='112'!$I$6)),"x",""))</f>
        <v/>
      </c>
      <c r="T4056" s="525" t="str">
        <f>IF(ISERROR(FIND('112'!$M$9,G4056,1)),"",IF((AND(RIGHT(G4056,2)=RIGHT('112'!$M$9,2),B4056&lt;'112'!$N$8,$M4056='112'!$I$6)),"x",""))</f>
        <v/>
      </c>
      <c r="U4056" s="525" t="str">
        <f>IF(AND(B4056&gt;='IN-NX'!$P$3,B4056&lt;='IN-NX'!$Q$3,'IN-NX'!$D$7=D4056,OR(LEFT(L4056,2)="15",AND(LEFT(M4056,2)&lt;&gt;"15",LEFT(M4056,2)&lt;&gt;"33"))),"x","")</f>
        <v/>
      </c>
      <c r="V4056" s="525" t="str">
        <f>IF(AND(OR(LEFT(TH!L4056,2)="15",LEFT(TH!M4056,2)="15"),'152-CT'!$J$8=TH!F4056),"x","")</f>
        <v/>
      </c>
      <c r="W4056" s="525" t="str">
        <f>IF(AND(OR(LEFT(TH!L4056,2)="15",LEFT(TH!M4056,2)="15"),TK!$E$7=TH!F4056),"x","")</f>
        <v/>
      </c>
      <c r="X4056" s="525" t="str">
        <f>IF(AND('341-CT'!$E$9=H4056,OR(LEFT(L4056,3)=$X$7,LEFT(M4056,3)=$X$7)),"x","")</f>
        <v/>
      </c>
      <c r="Y4056" s="525" t="str">
        <f>IF(OR(TH!L4056=TH!$Y$7,M4056=TH!$Y$7),"x","")</f>
        <v/>
      </c>
      <c r="Z4056" s="525" t="str">
        <f>IF(AND(B4056&lt;=NKC!$N$8,B4056&gt;=NKC!$M$8),"x","")</f>
        <v/>
      </c>
      <c r="AA4056" s="535">
        <v>3</v>
      </c>
      <c r="AB4056" s="536"/>
      <c r="AC4056" s="536" t="str">
        <f>VLOOKUP(F4056,NXT!$B$12:$B$686,1,0)</f>
        <v>Thùng 60.2x46.7x54.4</v>
      </c>
    </row>
    <row r="4057" spans="1:29" s="503" customFormat="1" ht="15.75" customHeight="1">
      <c r="A4057" s="517" t="str">
        <f>IF(B4057&lt;&gt;"",IF(AND(B4057&gt;=_TM1,B4057&lt;=_TM2,OR(TH!L4057="1111",TH!M4057="1111")),TH!D4057,""),"")</f>
        <v/>
      </c>
      <c r="B4057" s="531">
        <f t="shared" si="489"/>
        <v>8</v>
      </c>
      <c r="C4057" s="315">
        <f t="shared" si="490"/>
        <v>42977</v>
      </c>
      <c r="D4057" s="315" t="s">
        <v>1180</v>
      </c>
      <c r="E4057" s="315">
        <v>42977</v>
      </c>
      <c r="F4057" s="250" t="s">
        <v>1634</v>
      </c>
      <c r="G4057" s="314" t="s">
        <v>1078</v>
      </c>
      <c r="H4057" s="473" t="s">
        <v>1501</v>
      </c>
      <c r="I4057" s="307">
        <v>2</v>
      </c>
      <c r="J4057" s="307">
        <v>58722</v>
      </c>
      <c r="K4057" s="532">
        <f t="shared" si="499"/>
        <v>117444</v>
      </c>
      <c r="L4057" s="534" t="s">
        <v>292</v>
      </c>
      <c r="M4057" s="534" t="s">
        <v>8</v>
      </c>
      <c r="N4057" s="525" t="str">
        <f>IF(AND('331-CT'!$E$7=TH!H4057,OR(L4057="331",M4057="331")),"331",IF(AND(OR(L4057="131",M4057="131"),H4057='131-CT'!$E$7),"131",""))</f>
        <v/>
      </c>
      <c r="O4057" s="525" t="str">
        <f>IF(AND($B4057&gt;='111'!$N$11,$B4057&lt;='111'!$O$11,OR($L4057=$O$7,$M4057=$O$7)),"x","")</f>
        <v/>
      </c>
      <c r="P4057" s="525" t="str">
        <f>IF(AND($L4057=$O$7,$B4057&lt;'111'!$N$11),"x","")</f>
        <v/>
      </c>
      <c r="Q4057" s="525" t="str">
        <f>IF(AND($M4057=$O$7,$B4057&lt;'111'!$N$11),"x","")</f>
        <v/>
      </c>
      <c r="R4057" s="525" t="str">
        <f>IF(ISERROR(FIND('112'!$M$9,G4057,1)),"",IF((AND(FIND('112'!$M$9,G4057,1)&gt;=1,$B4057&gt;='112'!$N$8,$B4057&lt;='112'!$O$8,OR($L4057='112'!$I$6,$M4057='112'!$I$6))),"x",""))</f>
        <v/>
      </c>
      <c r="S4057" s="525" t="str">
        <f>IF(ISERROR(FIND('112'!$M$9,G4057,1)),"",IF((AND(LEFT(G4057,2)=LEFT('112'!$M$9,2),B4057&lt;'112'!$N$8,$L4057='112'!$I$6)),"x",""))</f>
        <v/>
      </c>
      <c r="T4057" s="525" t="str">
        <f>IF(ISERROR(FIND('112'!$M$9,G4057,1)),"",IF((AND(RIGHT(G4057,2)=RIGHT('112'!$M$9,2),B4057&lt;'112'!$N$8,$M4057='112'!$I$6)),"x",""))</f>
        <v/>
      </c>
      <c r="U4057" s="525" t="str">
        <f>IF(AND(B4057&gt;='IN-NX'!$P$3,B4057&lt;='IN-NX'!$Q$3,'IN-NX'!$D$7=D4057,OR(LEFT(L4057,2)="15",AND(LEFT(M4057,2)&lt;&gt;"15",LEFT(M4057,2)&lt;&gt;"33"))),"x","")</f>
        <v/>
      </c>
      <c r="V4057" s="525" t="str">
        <f>IF(AND(OR(LEFT(TH!L4057,2)="15",LEFT(TH!M4057,2)="15"),'152-CT'!$J$8=TH!F4057),"x","")</f>
        <v/>
      </c>
      <c r="W4057" s="525" t="str">
        <f>IF(AND(OR(LEFT(TH!L4057,2)="15",LEFT(TH!M4057,2)="15"),TK!$E$7=TH!F4057),"x","")</f>
        <v/>
      </c>
      <c r="X4057" s="525" t="str">
        <f>IF(AND('341-CT'!$E$9=H4057,OR(LEFT(L4057,3)=$X$7,LEFT(M4057,3)=$X$7)),"x","")</f>
        <v/>
      </c>
      <c r="Y4057" s="525" t="str">
        <f>IF(OR(TH!L4057=TH!$Y$7,M4057=TH!$Y$7),"x","")</f>
        <v/>
      </c>
      <c r="Z4057" s="525" t="str">
        <f>IF(AND(B4057&lt;=NKC!$N$8,B4057&gt;=NKC!$M$8),"x","")</f>
        <v/>
      </c>
      <c r="AA4057" s="535">
        <v>3</v>
      </c>
      <c r="AB4057" s="536"/>
      <c r="AC4057" s="536" t="str">
        <f>VLOOKUP(F4057,NXT!$B$12:$B$686,1,0)</f>
        <v>Thùng 57.2x57.2x61.4</v>
      </c>
    </row>
    <row r="4058" spans="1:29" s="503" customFormat="1" ht="15.75" customHeight="1">
      <c r="A4058" s="517" t="str">
        <f>IF(B4058&lt;&gt;"",IF(AND(B4058&gt;=_TM1,B4058&lt;=_TM2,OR(TH!L4058="1111",TH!M4058="1111")),TH!D4058,""),"")</f>
        <v/>
      </c>
      <c r="B4058" s="531">
        <f t="shared" si="489"/>
        <v>8</v>
      </c>
      <c r="C4058" s="315">
        <f t="shared" si="490"/>
        <v>42977</v>
      </c>
      <c r="D4058" s="315" t="s">
        <v>1180</v>
      </c>
      <c r="E4058" s="315">
        <v>42977</v>
      </c>
      <c r="F4058" s="250" t="s">
        <v>1471</v>
      </c>
      <c r="G4058" s="314" t="s">
        <v>1078</v>
      </c>
      <c r="H4058" s="473" t="s">
        <v>1501</v>
      </c>
      <c r="I4058" s="307">
        <v>2</v>
      </c>
      <c r="J4058" s="307">
        <v>117443</v>
      </c>
      <c r="K4058" s="532">
        <f t="shared" si="499"/>
        <v>234886</v>
      </c>
      <c r="L4058" s="534" t="s">
        <v>292</v>
      </c>
      <c r="M4058" s="534" t="s">
        <v>8</v>
      </c>
      <c r="N4058" s="525" t="str">
        <f>IF(AND('331-CT'!$E$7=TH!H4058,OR(L4058="331",M4058="331")),"331",IF(AND(OR(L4058="131",M4058="131"),H4058='131-CT'!$E$7),"131",""))</f>
        <v/>
      </c>
      <c r="O4058" s="525" t="str">
        <f>IF(AND($B4058&gt;='111'!$N$11,$B4058&lt;='111'!$O$11,OR($L4058=$O$7,$M4058=$O$7)),"x","")</f>
        <v/>
      </c>
      <c r="P4058" s="525" t="str">
        <f>IF(AND($L4058=$O$7,$B4058&lt;'111'!$N$11),"x","")</f>
        <v/>
      </c>
      <c r="Q4058" s="525" t="str">
        <f>IF(AND($M4058=$O$7,$B4058&lt;'111'!$N$11),"x","")</f>
        <v/>
      </c>
      <c r="R4058" s="525" t="str">
        <f>IF(ISERROR(FIND('112'!$M$9,G4058,1)),"",IF((AND(FIND('112'!$M$9,G4058,1)&gt;=1,$B4058&gt;='112'!$N$8,$B4058&lt;='112'!$O$8,OR($L4058='112'!$I$6,$M4058='112'!$I$6))),"x",""))</f>
        <v/>
      </c>
      <c r="S4058" s="525" t="str">
        <f>IF(ISERROR(FIND('112'!$M$9,G4058,1)),"",IF((AND(LEFT(G4058,2)=LEFT('112'!$M$9,2),B4058&lt;'112'!$N$8,$L4058='112'!$I$6)),"x",""))</f>
        <v/>
      </c>
      <c r="T4058" s="525" t="str">
        <f>IF(ISERROR(FIND('112'!$M$9,G4058,1)),"",IF((AND(RIGHT(G4058,2)=RIGHT('112'!$M$9,2),B4058&lt;'112'!$N$8,$M4058='112'!$I$6)),"x",""))</f>
        <v/>
      </c>
      <c r="U4058" s="525" t="str">
        <f>IF(AND(B4058&gt;='IN-NX'!$P$3,B4058&lt;='IN-NX'!$Q$3,'IN-NX'!$D$7=D4058,OR(LEFT(L4058,2)="15",AND(LEFT(M4058,2)&lt;&gt;"15",LEFT(M4058,2)&lt;&gt;"33"))),"x","")</f>
        <v/>
      </c>
      <c r="V4058" s="525" t="str">
        <f>IF(AND(OR(LEFT(TH!L4058,2)="15",LEFT(TH!M4058,2)="15"),'152-CT'!$J$8=TH!F4058),"x","")</f>
        <v/>
      </c>
      <c r="W4058" s="525" t="str">
        <f>IF(AND(OR(LEFT(TH!L4058,2)="15",LEFT(TH!M4058,2)="15"),TK!$E$7=TH!F4058),"x","")</f>
        <v/>
      </c>
      <c r="X4058" s="525" t="str">
        <f>IF(AND('341-CT'!$E$9=H4058,OR(LEFT(L4058,3)=$X$7,LEFT(M4058,3)=$X$7)),"x","")</f>
        <v/>
      </c>
      <c r="Y4058" s="525" t="str">
        <f>IF(OR(TH!L4058=TH!$Y$7,M4058=TH!$Y$7),"x","")</f>
        <v/>
      </c>
      <c r="Z4058" s="525" t="str">
        <f>IF(AND(B4058&lt;=NKC!$N$8,B4058&gt;=NKC!$M$8),"x","")</f>
        <v/>
      </c>
      <c r="AA4058" s="535">
        <v>3</v>
      </c>
      <c r="AB4058" s="536"/>
      <c r="AC4058" s="536" t="str">
        <f>VLOOKUP(F4058,NXT!$B$12:$B$686,1,0)</f>
        <v>Thùng 134.5x75x16</v>
      </c>
    </row>
    <row r="4059" spans="1:29" s="503" customFormat="1" ht="15.75" customHeight="1">
      <c r="A4059" s="517" t="str">
        <f>IF(B4059&lt;&gt;"",IF(AND(B4059&gt;=_TM1,B4059&lt;=_TM2,OR(TH!L4059="1111",TH!M4059="1111")),TH!D4059,""),"")</f>
        <v/>
      </c>
      <c r="B4059" s="531">
        <f t="shared" si="489"/>
        <v>8</v>
      </c>
      <c r="C4059" s="315">
        <f t="shared" si="490"/>
        <v>42977</v>
      </c>
      <c r="D4059" s="315" t="s">
        <v>1180</v>
      </c>
      <c r="E4059" s="315">
        <v>42977</v>
      </c>
      <c r="F4059" s="250" t="s">
        <v>1472</v>
      </c>
      <c r="G4059" s="314" t="s">
        <v>1078</v>
      </c>
      <c r="H4059" s="473" t="s">
        <v>1501</v>
      </c>
      <c r="I4059" s="307">
        <v>2</v>
      </c>
      <c r="J4059" s="307">
        <v>117443</v>
      </c>
      <c r="K4059" s="532">
        <f t="shared" si="499"/>
        <v>234886</v>
      </c>
      <c r="L4059" s="534" t="s">
        <v>292</v>
      </c>
      <c r="M4059" s="534" t="s">
        <v>8</v>
      </c>
      <c r="N4059" s="525" t="str">
        <f>IF(AND('331-CT'!$E$7=TH!H4059,OR(L4059="331",M4059="331")),"331",IF(AND(OR(L4059="131",M4059="131"),H4059='131-CT'!$E$7),"131",""))</f>
        <v/>
      </c>
      <c r="O4059" s="525" t="str">
        <f>IF(AND($B4059&gt;='111'!$N$11,$B4059&lt;='111'!$O$11,OR($L4059=$O$7,$M4059=$O$7)),"x","")</f>
        <v/>
      </c>
      <c r="P4059" s="525" t="str">
        <f>IF(AND($L4059=$O$7,$B4059&lt;'111'!$N$11),"x","")</f>
        <v/>
      </c>
      <c r="Q4059" s="525" t="str">
        <f>IF(AND($M4059=$O$7,$B4059&lt;'111'!$N$11),"x","")</f>
        <v/>
      </c>
      <c r="R4059" s="525" t="str">
        <f>IF(ISERROR(FIND('112'!$M$9,G4059,1)),"",IF((AND(FIND('112'!$M$9,G4059,1)&gt;=1,$B4059&gt;='112'!$N$8,$B4059&lt;='112'!$O$8,OR($L4059='112'!$I$6,$M4059='112'!$I$6))),"x",""))</f>
        <v/>
      </c>
      <c r="S4059" s="525" t="str">
        <f>IF(ISERROR(FIND('112'!$M$9,G4059,1)),"",IF((AND(LEFT(G4059,2)=LEFT('112'!$M$9,2),B4059&lt;'112'!$N$8,$L4059='112'!$I$6)),"x",""))</f>
        <v/>
      </c>
      <c r="T4059" s="525" t="str">
        <f>IF(ISERROR(FIND('112'!$M$9,G4059,1)),"",IF((AND(RIGHT(G4059,2)=RIGHT('112'!$M$9,2),B4059&lt;'112'!$N$8,$M4059='112'!$I$6)),"x",""))</f>
        <v/>
      </c>
      <c r="U4059" s="525" t="str">
        <f>IF(AND(B4059&gt;='IN-NX'!$P$3,B4059&lt;='IN-NX'!$Q$3,'IN-NX'!$D$7=D4059,OR(LEFT(L4059,2)="15",AND(LEFT(M4059,2)&lt;&gt;"15",LEFT(M4059,2)&lt;&gt;"33"))),"x","")</f>
        <v/>
      </c>
      <c r="V4059" s="525" t="str">
        <f>IF(AND(OR(LEFT(TH!L4059,2)="15",LEFT(TH!M4059,2)="15"),'152-CT'!$J$8=TH!F4059),"x","")</f>
        <v/>
      </c>
      <c r="W4059" s="525" t="str">
        <f>IF(AND(OR(LEFT(TH!L4059,2)="15",LEFT(TH!M4059,2)="15"),TK!$E$7=TH!F4059),"x","")</f>
        <v/>
      </c>
      <c r="X4059" s="525" t="str">
        <f>IF(AND('341-CT'!$E$9=H4059,OR(LEFT(L4059,3)=$X$7,LEFT(M4059,3)=$X$7)),"x","")</f>
        <v/>
      </c>
      <c r="Y4059" s="525" t="str">
        <f>IF(OR(TH!L4059=TH!$Y$7,M4059=TH!$Y$7),"x","")</f>
        <v/>
      </c>
      <c r="Z4059" s="525" t="str">
        <f>IF(AND(B4059&lt;=NKC!$N$8,B4059&gt;=NKC!$M$8),"x","")</f>
        <v/>
      </c>
      <c r="AA4059" s="535">
        <v>3</v>
      </c>
      <c r="AB4059" s="536"/>
      <c r="AC4059" s="536" t="str">
        <f>VLOOKUP(F4059,NXT!$B$12:$B$686,1,0)</f>
        <v>Thùng 136.5x77x18</v>
      </c>
    </row>
    <row r="4060" spans="1:29" s="503" customFormat="1" ht="15.75" customHeight="1">
      <c r="A4060" s="517" t="str">
        <f>IF(B4060&lt;&gt;"",IF(AND(B4060&gt;=_TM1,B4060&lt;=_TM2,OR(TH!L4060="1111",TH!M4060="1111")),TH!D4060,""),"")</f>
        <v/>
      </c>
      <c r="B4060" s="531">
        <f t="shared" si="489"/>
        <v>8</v>
      </c>
      <c r="C4060" s="315">
        <f t="shared" si="490"/>
        <v>42977</v>
      </c>
      <c r="D4060" s="315" t="s">
        <v>1180</v>
      </c>
      <c r="E4060" s="315">
        <v>42977</v>
      </c>
      <c r="F4060" s="250" t="s">
        <v>619</v>
      </c>
      <c r="G4060" s="314" t="s">
        <v>1078</v>
      </c>
      <c r="H4060" s="473" t="s">
        <v>1501</v>
      </c>
      <c r="I4060" s="307">
        <v>60</v>
      </c>
      <c r="J4060" s="307">
        <v>30985</v>
      </c>
      <c r="K4060" s="532">
        <f t="shared" si="499"/>
        <v>1859100</v>
      </c>
      <c r="L4060" s="534" t="s">
        <v>292</v>
      </c>
      <c r="M4060" s="534" t="s">
        <v>8</v>
      </c>
      <c r="N4060" s="525" t="str">
        <f>IF(AND('331-CT'!$E$7=TH!H4060,OR(L4060="331",M4060="331")),"331",IF(AND(OR(L4060="131",M4060="131"),H4060='131-CT'!$E$7),"131",""))</f>
        <v/>
      </c>
      <c r="O4060" s="525" t="str">
        <f>IF(AND($B4060&gt;='111'!$N$11,$B4060&lt;='111'!$O$11,OR($L4060=$O$7,$M4060=$O$7)),"x","")</f>
        <v/>
      </c>
      <c r="P4060" s="525" t="str">
        <f>IF(AND($L4060=$O$7,$B4060&lt;'111'!$N$11),"x","")</f>
        <v/>
      </c>
      <c r="Q4060" s="525" t="str">
        <f>IF(AND($M4060=$O$7,$B4060&lt;'111'!$N$11),"x","")</f>
        <v/>
      </c>
      <c r="R4060" s="525" t="str">
        <f>IF(ISERROR(FIND('112'!$M$9,G4060,1)),"",IF((AND(FIND('112'!$M$9,G4060,1)&gt;=1,$B4060&gt;='112'!$N$8,$B4060&lt;='112'!$O$8,OR($L4060='112'!$I$6,$M4060='112'!$I$6))),"x",""))</f>
        <v/>
      </c>
      <c r="S4060" s="525" t="str">
        <f>IF(ISERROR(FIND('112'!$M$9,G4060,1)),"",IF((AND(LEFT(G4060,2)=LEFT('112'!$M$9,2),B4060&lt;'112'!$N$8,$L4060='112'!$I$6)),"x",""))</f>
        <v/>
      </c>
      <c r="T4060" s="525" t="str">
        <f>IF(ISERROR(FIND('112'!$M$9,G4060,1)),"",IF((AND(RIGHT(G4060,2)=RIGHT('112'!$M$9,2),B4060&lt;'112'!$N$8,$M4060='112'!$I$6)),"x",""))</f>
        <v/>
      </c>
      <c r="U4060" s="525" t="str">
        <f>IF(AND(B4060&gt;='IN-NX'!$P$3,B4060&lt;='IN-NX'!$Q$3,'IN-NX'!$D$7=D4060,OR(LEFT(L4060,2)="15",AND(LEFT(M4060,2)&lt;&gt;"15",LEFT(M4060,2)&lt;&gt;"33"))),"x","")</f>
        <v/>
      </c>
      <c r="V4060" s="525" t="str">
        <f>IF(AND(OR(LEFT(TH!L4060,2)="15",LEFT(TH!M4060,2)="15"),'152-CT'!$J$8=TH!F4060),"x","")</f>
        <v/>
      </c>
      <c r="W4060" s="525" t="str">
        <f>IF(AND(OR(LEFT(TH!L4060,2)="15",LEFT(TH!M4060,2)="15"),TK!$E$7=TH!F4060),"x","")</f>
        <v/>
      </c>
      <c r="X4060" s="525" t="str">
        <f>IF(AND('341-CT'!$E$9=H4060,OR(LEFT(L4060,3)=$X$7,LEFT(M4060,3)=$X$7)),"x","")</f>
        <v/>
      </c>
      <c r="Y4060" s="525" t="str">
        <f>IF(OR(TH!L4060=TH!$Y$7,M4060=TH!$Y$7),"x","")</f>
        <v/>
      </c>
      <c r="Z4060" s="525" t="str">
        <f>IF(AND(B4060&lt;=NKC!$N$8,B4060&gt;=NKC!$M$8),"x","")</f>
        <v/>
      </c>
      <c r="AA4060" s="535">
        <v>3</v>
      </c>
      <c r="AB4060" s="536"/>
      <c r="AC4060" s="536" t="str">
        <f>VLOOKUP(F4060,NXT!$B$12:$B$686,1,0)</f>
        <v>Thùng 40x40x52</v>
      </c>
    </row>
    <row r="4061" spans="1:29" s="503" customFormat="1" ht="15.75" customHeight="1">
      <c r="A4061" s="517" t="str">
        <f>IF(B4061&lt;&gt;"",IF(AND(B4061&gt;=_TM1,B4061&lt;=_TM2,OR(TH!L4061="1111",TH!M4061="1111")),TH!D4061,""),"")</f>
        <v/>
      </c>
      <c r="B4061" s="531">
        <f t="shared" si="489"/>
        <v>8</v>
      </c>
      <c r="C4061" s="315">
        <f t="shared" si="490"/>
        <v>42977</v>
      </c>
      <c r="D4061" s="315" t="s">
        <v>1180</v>
      </c>
      <c r="E4061" s="315">
        <v>42977</v>
      </c>
      <c r="F4061" s="250" t="s">
        <v>750</v>
      </c>
      <c r="G4061" s="314" t="s">
        <v>1078</v>
      </c>
      <c r="H4061" s="473" t="s">
        <v>1501</v>
      </c>
      <c r="I4061" s="307">
        <v>30</v>
      </c>
      <c r="J4061" s="307">
        <v>71278</v>
      </c>
      <c r="K4061" s="532">
        <f t="shared" si="499"/>
        <v>2138340</v>
      </c>
      <c r="L4061" s="534" t="s">
        <v>292</v>
      </c>
      <c r="M4061" s="534" t="s">
        <v>8</v>
      </c>
      <c r="N4061" s="525" t="str">
        <f>IF(AND('331-CT'!$E$7=TH!H4061,OR(L4061="331",M4061="331")),"331",IF(AND(OR(L4061="131",M4061="131"),H4061='131-CT'!$E$7),"131",""))</f>
        <v/>
      </c>
      <c r="O4061" s="525" t="str">
        <f>IF(AND($B4061&gt;='111'!$N$11,$B4061&lt;='111'!$O$11,OR($L4061=$O$7,$M4061=$O$7)),"x","")</f>
        <v/>
      </c>
      <c r="P4061" s="525" t="str">
        <f>IF(AND($L4061=$O$7,$B4061&lt;'111'!$N$11),"x","")</f>
        <v/>
      </c>
      <c r="Q4061" s="525" t="str">
        <f>IF(AND($M4061=$O$7,$B4061&lt;'111'!$N$11),"x","")</f>
        <v/>
      </c>
      <c r="R4061" s="525" t="str">
        <f>IF(ISERROR(FIND('112'!$M$9,G4061,1)),"",IF((AND(FIND('112'!$M$9,G4061,1)&gt;=1,$B4061&gt;='112'!$N$8,$B4061&lt;='112'!$O$8,OR($L4061='112'!$I$6,$M4061='112'!$I$6))),"x",""))</f>
        <v/>
      </c>
      <c r="S4061" s="525" t="str">
        <f>IF(ISERROR(FIND('112'!$M$9,G4061,1)),"",IF((AND(LEFT(G4061,2)=LEFT('112'!$M$9,2),B4061&lt;'112'!$N$8,$L4061='112'!$I$6)),"x",""))</f>
        <v/>
      </c>
      <c r="T4061" s="525" t="str">
        <f>IF(ISERROR(FIND('112'!$M$9,G4061,1)),"",IF((AND(RIGHT(G4061,2)=RIGHT('112'!$M$9,2),B4061&lt;'112'!$N$8,$M4061='112'!$I$6)),"x",""))</f>
        <v/>
      </c>
      <c r="U4061" s="525" t="str">
        <f>IF(AND(B4061&gt;='IN-NX'!$P$3,B4061&lt;='IN-NX'!$Q$3,'IN-NX'!$D$7=D4061,OR(LEFT(L4061,2)="15",AND(LEFT(M4061,2)&lt;&gt;"15",LEFT(M4061,2)&lt;&gt;"33"))),"x","")</f>
        <v/>
      </c>
      <c r="V4061" s="525" t="str">
        <f>IF(AND(OR(LEFT(TH!L4061,2)="15",LEFT(TH!M4061,2)="15"),'152-CT'!$J$8=TH!F4061),"x","")</f>
        <v/>
      </c>
      <c r="W4061" s="525" t="str">
        <f>IF(AND(OR(LEFT(TH!L4061,2)="15",LEFT(TH!M4061,2)="15"),TK!$E$7=TH!F4061),"x","")</f>
        <v/>
      </c>
      <c r="X4061" s="525" t="str">
        <f>IF(AND('341-CT'!$E$9=H4061,OR(LEFT(L4061,3)=$X$7,LEFT(M4061,3)=$X$7)),"x","")</f>
        <v/>
      </c>
      <c r="Y4061" s="525" t="str">
        <f>IF(OR(TH!L4061=TH!$Y$7,M4061=TH!$Y$7),"x","")</f>
        <v/>
      </c>
      <c r="Z4061" s="525" t="str">
        <f>IF(AND(B4061&lt;=NKC!$N$8,B4061&gt;=NKC!$M$8),"x","")</f>
        <v/>
      </c>
      <c r="AA4061" s="535">
        <v>3</v>
      </c>
      <c r="AB4061" s="536"/>
      <c r="AC4061" s="536" t="str">
        <f>VLOOKUP(F4061,NXT!$B$12:$B$686,1,0)</f>
        <v>Thùng 145x45x45</v>
      </c>
    </row>
    <row r="4062" spans="1:29" s="503" customFormat="1" ht="15.75" customHeight="1">
      <c r="A4062" s="517" t="str">
        <f>IF(B4062&lt;&gt;"",IF(AND(B4062&gt;=_TM1,B4062&lt;=_TM2,OR(TH!L4062="1111",TH!M4062="1111")),TH!D4062,""),"")</f>
        <v/>
      </c>
      <c r="B4062" s="531">
        <f t="shared" si="489"/>
        <v>8</v>
      </c>
      <c r="C4062" s="315">
        <f t="shared" si="490"/>
        <v>42977</v>
      </c>
      <c r="D4062" s="315" t="s">
        <v>1180</v>
      </c>
      <c r="E4062" s="315">
        <v>42977</v>
      </c>
      <c r="F4062" s="250" t="s">
        <v>1389</v>
      </c>
      <c r="G4062" s="314" t="s">
        <v>1078</v>
      </c>
      <c r="H4062" s="473" t="s">
        <v>1501</v>
      </c>
      <c r="I4062" s="307">
        <v>11</v>
      </c>
      <c r="J4062" s="307">
        <v>40318</v>
      </c>
      <c r="K4062" s="532">
        <f t="shared" si="499"/>
        <v>443498</v>
      </c>
      <c r="L4062" s="534" t="s">
        <v>292</v>
      </c>
      <c r="M4062" s="534" t="s">
        <v>8</v>
      </c>
      <c r="N4062" s="525" t="str">
        <f>IF(AND('331-CT'!$E$7=TH!H4062,OR(L4062="331",M4062="331")),"331",IF(AND(OR(L4062="131",M4062="131"),H4062='131-CT'!$E$7),"131",""))</f>
        <v/>
      </c>
      <c r="O4062" s="525" t="str">
        <f>IF(AND($B4062&gt;='111'!$N$11,$B4062&lt;='111'!$O$11,OR($L4062=$O$7,$M4062=$O$7)),"x","")</f>
        <v/>
      </c>
      <c r="P4062" s="525" t="str">
        <f>IF(AND($L4062=$O$7,$B4062&lt;'111'!$N$11),"x","")</f>
        <v/>
      </c>
      <c r="Q4062" s="525" t="str">
        <f>IF(AND($M4062=$O$7,$B4062&lt;'111'!$N$11),"x","")</f>
        <v/>
      </c>
      <c r="R4062" s="525" t="str">
        <f>IF(ISERROR(FIND('112'!$M$9,G4062,1)),"",IF((AND(FIND('112'!$M$9,G4062,1)&gt;=1,$B4062&gt;='112'!$N$8,$B4062&lt;='112'!$O$8,OR($L4062='112'!$I$6,$M4062='112'!$I$6))),"x",""))</f>
        <v/>
      </c>
      <c r="S4062" s="525" t="str">
        <f>IF(ISERROR(FIND('112'!$M$9,G4062,1)),"",IF((AND(LEFT(G4062,2)=LEFT('112'!$M$9,2),B4062&lt;'112'!$N$8,$L4062='112'!$I$6)),"x",""))</f>
        <v/>
      </c>
      <c r="T4062" s="525" t="str">
        <f>IF(ISERROR(FIND('112'!$M$9,G4062,1)),"",IF((AND(RIGHT(G4062,2)=RIGHT('112'!$M$9,2),B4062&lt;'112'!$N$8,$M4062='112'!$I$6)),"x",""))</f>
        <v/>
      </c>
      <c r="U4062" s="525" t="str">
        <f>IF(AND(B4062&gt;='IN-NX'!$P$3,B4062&lt;='IN-NX'!$Q$3,'IN-NX'!$D$7=D4062,OR(LEFT(L4062,2)="15",AND(LEFT(M4062,2)&lt;&gt;"15",LEFT(M4062,2)&lt;&gt;"33"))),"x","")</f>
        <v/>
      </c>
      <c r="V4062" s="525" t="str">
        <f>IF(AND(OR(LEFT(TH!L4062,2)="15",LEFT(TH!M4062,2)="15"),'152-CT'!$J$8=TH!F4062),"x","")</f>
        <v/>
      </c>
      <c r="W4062" s="525" t="str">
        <f>IF(AND(OR(LEFT(TH!L4062,2)="15",LEFT(TH!M4062,2)="15"),TK!$E$7=TH!F4062),"x","")</f>
        <v/>
      </c>
      <c r="X4062" s="525" t="str">
        <f>IF(AND('341-CT'!$E$9=H4062,OR(LEFT(L4062,3)=$X$7,LEFT(M4062,3)=$X$7)),"x","")</f>
        <v/>
      </c>
      <c r="Y4062" s="525" t="str">
        <f>IF(OR(TH!L4062=TH!$Y$7,M4062=TH!$Y$7),"x","")</f>
        <v/>
      </c>
      <c r="Z4062" s="525" t="str">
        <f>IF(AND(B4062&lt;=NKC!$N$8,B4062&gt;=NKC!$M$8),"x","")</f>
        <v/>
      </c>
      <c r="AA4062" s="535">
        <v>3</v>
      </c>
      <c r="AB4062" s="536"/>
      <c r="AC4062" s="536" t="str">
        <f>VLOOKUP(F4062,NXT!$B$12:$B$686,1,0)</f>
        <v>Thùng 55x55x79</v>
      </c>
    </row>
    <row r="4063" spans="1:29" s="503" customFormat="1" ht="15.75" customHeight="1">
      <c r="A4063" s="517" t="str">
        <f>IF(B4063&lt;&gt;"",IF(AND(B4063&gt;=_TM1,B4063&lt;=_TM2,OR(TH!L4063="1111",TH!M4063="1111")),TH!D4063,""),"")</f>
        <v/>
      </c>
      <c r="B4063" s="531">
        <f t="shared" si="489"/>
        <v>8</v>
      </c>
      <c r="C4063" s="315">
        <f t="shared" si="490"/>
        <v>42977</v>
      </c>
      <c r="D4063" s="315" t="s">
        <v>1180</v>
      </c>
      <c r="E4063" s="315">
        <v>42977</v>
      </c>
      <c r="F4063" s="250" t="s">
        <v>1473</v>
      </c>
      <c r="G4063" s="314" t="s">
        <v>1078</v>
      </c>
      <c r="H4063" s="473" t="s">
        <v>1501</v>
      </c>
      <c r="I4063" s="307">
        <v>4</v>
      </c>
      <c r="J4063" s="307">
        <v>62917</v>
      </c>
      <c r="K4063" s="532">
        <f t="shared" si="499"/>
        <v>251668</v>
      </c>
      <c r="L4063" s="534" t="s">
        <v>292</v>
      </c>
      <c r="M4063" s="534" t="s">
        <v>8</v>
      </c>
      <c r="N4063" s="525" t="str">
        <f>IF(AND('331-CT'!$E$7=TH!H4063,OR(L4063="331",M4063="331")),"331",IF(AND(OR(L4063="131",M4063="131"),H4063='131-CT'!$E$7),"131",""))</f>
        <v/>
      </c>
      <c r="O4063" s="525" t="str">
        <f>IF(AND($B4063&gt;='111'!$N$11,$B4063&lt;='111'!$O$11,OR($L4063=$O$7,$M4063=$O$7)),"x","")</f>
        <v/>
      </c>
      <c r="P4063" s="525" t="str">
        <f>IF(AND($L4063=$O$7,$B4063&lt;'111'!$N$11),"x","")</f>
        <v/>
      </c>
      <c r="Q4063" s="525" t="str">
        <f>IF(AND($M4063=$O$7,$B4063&lt;'111'!$N$11),"x","")</f>
        <v/>
      </c>
      <c r="R4063" s="525" t="str">
        <f>IF(ISERROR(FIND('112'!$M$9,G4063,1)),"",IF((AND(FIND('112'!$M$9,G4063,1)&gt;=1,$B4063&gt;='112'!$N$8,$B4063&lt;='112'!$O$8,OR($L4063='112'!$I$6,$M4063='112'!$I$6))),"x",""))</f>
        <v/>
      </c>
      <c r="S4063" s="525" t="str">
        <f>IF(ISERROR(FIND('112'!$M$9,G4063,1)),"",IF((AND(LEFT(G4063,2)=LEFT('112'!$M$9,2),B4063&lt;'112'!$N$8,$L4063='112'!$I$6)),"x",""))</f>
        <v/>
      </c>
      <c r="T4063" s="525" t="str">
        <f>IF(ISERROR(FIND('112'!$M$9,G4063,1)),"",IF((AND(RIGHT(G4063,2)=RIGHT('112'!$M$9,2),B4063&lt;'112'!$N$8,$M4063='112'!$I$6)),"x",""))</f>
        <v/>
      </c>
      <c r="U4063" s="525" t="str">
        <f>IF(AND(B4063&gt;='IN-NX'!$P$3,B4063&lt;='IN-NX'!$Q$3,'IN-NX'!$D$7=D4063,OR(LEFT(L4063,2)="15",AND(LEFT(M4063,2)&lt;&gt;"15",LEFT(M4063,2)&lt;&gt;"33"))),"x","")</f>
        <v/>
      </c>
      <c r="V4063" s="525" t="str">
        <f>IF(AND(OR(LEFT(TH!L4063,2)="15",LEFT(TH!M4063,2)="15"),'152-CT'!$J$8=TH!F4063),"x","")</f>
        <v/>
      </c>
      <c r="W4063" s="525" t="str">
        <f>IF(AND(OR(LEFT(TH!L4063,2)="15",LEFT(TH!M4063,2)="15"),TK!$E$7=TH!F4063),"x","")</f>
        <v/>
      </c>
      <c r="X4063" s="525" t="str">
        <f>IF(AND('341-CT'!$E$9=H4063,OR(LEFT(L4063,3)=$X$7,LEFT(M4063,3)=$X$7)),"x","")</f>
        <v/>
      </c>
      <c r="Y4063" s="525" t="str">
        <f>IF(OR(TH!L4063=TH!$Y$7,M4063=TH!$Y$7),"x","")</f>
        <v/>
      </c>
      <c r="Z4063" s="525" t="str">
        <f>IF(AND(B4063&lt;=NKC!$N$8,B4063&gt;=NKC!$M$8),"x","")</f>
        <v/>
      </c>
      <c r="AA4063" s="535">
        <v>3</v>
      </c>
      <c r="AB4063" s="536"/>
      <c r="AC4063" s="536" t="str">
        <f>VLOOKUP(F4063,NXT!$B$12:$B$686,1,0)</f>
        <v>Thùng 145x45x78</v>
      </c>
    </row>
    <row r="4064" spans="1:29" s="503" customFormat="1" ht="15.75" customHeight="1">
      <c r="A4064" s="517" t="str">
        <f>IF(B4064&lt;&gt;"",IF(AND(B4064&gt;=_TM1,B4064&lt;=_TM2,OR(TH!L4064="1111",TH!M4064="1111")),TH!D4064,""),"")</f>
        <v/>
      </c>
      <c r="B4064" s="531">
        <f t="shared" si="489"/>
        <v>8</v>
      </c>
      <c r="C4064" s="315">
        <f t="shared" si="490"/>
        <v>42977</v>
      </c>
      <c r="D4064" s="315" t="s">
        <v>1180</v>
      </c>
      <c r="E4064" s="315">
        <v>42977</v>
      </c>
      <c r="F4064" s="250" t="s">
        <v>793</v>
      </c>
      <c r="G4064" s="314" t="s">
        <v>1078</v>
      </c>
      <c r="H4064" s="473" t="s">
        <v>1501</v>
      </c>
      <c r="I4064" s="307">
        <v>5</v>
      </c>
      <c r="J4064" s="307">
        <v>99058</v>
      </c>
      <c r="K4064" s="532">
        <f t="shared" si="499"/>
        <v>495290</v>
      </c>
      <c r="L4064" s="534" t="s">
        <v>292</v>
      </c>
      <c r="M4064" s="534" t="s">
        <v>8</v>
      </c>
      <c r="N4064" s="525" t="str">
        <f>IF(AND('331-CT'!$E$7=TH!H4064,OR(L4064="331",M4064="331")),"331",IF(AND(OR(L4064="131",M4064="131"),H4064='131-CT'!$E$7),"131",""))</f>
        <v/>
      </c>
      <c r="O4064" s="525" t="str">
        <f>IF(AND($B4064&gt;='111'!$N$11,$B4064&lt;='111'!$O$11,OR($L4064=$O$7,$M4064=$O$7)),"x","")</f>
        <v/>
      </c>
      <c r="P4064" s="525" t="str">
        <f>IF(AND($L4064=$O$7,$B4064&lt;'111'!$N$11),"x","")</f>
        <v/>
      </c>
      <c r="Q4064" s="525" t="str">
        <f>IF(AND($M4064=$O$7,$B4064&lt;'111'!$N$11),"x","")</f>
        <v/>
      </c>
      <c r="R4064" s="525" t="str">
        <f>IF(ISERROR(FIND('112'!$M$9,G4064,1)),"",IF((AND(FIND('112'!$M$9,G4064,1)&gt;=1,$B4064&gt;='112'!$N$8,$B4064&lt;='112'!$O$8,OR($L4064='112'!$I$6,$M4064='112'!$I$6))),"x",""))</f>
        <v/>
      </c>
      <c r="S4064" s="525" t="str">
        <f>IF(ISERROR(FIND('112'!$M$9,G4064,1)),"",IF((AND(LEFT(G4064,2)=LEFT('112'!$M$9,2),B4064&lt;'112'!$N$8,$L4064='112'!$I$6)),"x",""))</f>
        <v/>
      </c>
      <c r="T4064" s="525" t="str">
        <f>IF(ISERROR(FIND('112'!$M$9,G4064,1)),"",IF((AND(RIGHT(G4064,2)=RIGHT('112'!$M$9,2),B4064&lt;'112'!$N$8,$M4064='112'!$I$6)),"x",""))</f>
        <v/>
      </c>
      <c r="U4064" s="525" t="str">
        <f>IF(AND(B4064&gt;='IN-NX'!$P$3,B4064&lt;='IN-NX'!$Q$3,'IN-NX'!$D$7=D4064,OR(LEFT(L4064,2)="15",AND(LEFT(M4064,2)&lt;&gt;"15",LEFT(M4064,2)&lt;&gt;"33"))),"x","")</f>
        <v/>
      </c>
      <c r="V4064" s="525" t="str">
        <f>IF(AND(OR(LEFT(TH!L4064,2)="15",LEFT(TH!M4064,2)="15"),'152-CT'!$J$8=TH!F4064),"x","")</f>
        <v/>
      </c>
      <c r="W4064" s="525" t="str">
        <f>IF(AND(OR(LEFT(TH!L4064,2)="15",LEFT(TH!M4064,2)="15"),TK!$E$7=TH!F4064),"x","")</f>
        <v/>
      </c>
      <c r="X4064" s="525" t="str">
        <f>IF(AND('341-CT'!$E$9=H4064,OR(LEFT(L4064,3)=$X$7,LEFT(M4064,3)=$X$7)),"x","")</f>
        <v/>
      </c>
      <c r="Y4064" s="525" t="str">
        <f>IF(OR(TH!L4064=TH!$Y$7,M4064=TH!$Y$7),"x","")</f>
        <v/>
      </c>
      <c r="Z4064" s="525" t="str">
        <f>IF(AND(B4064&lt;=NKC!$N$8,B4064&gt;=NKC!$M$8),"x","")</f>
        <v/>
      </c>
      <c r="AA4064" s="535">
        <v>3</v>
      </c>
      <c r="AB4064" s="536"/>
      <c r="AC4064" s="536" t="str">
        <f>VLOOKUP(F4064,NXT!$B$12:$B$686,1,0)</f>
        <v>Thùng 206x106x13</v>
      </c>
    </row>
    <row r="4065" spans="1:29" s="503" customFormat="1" ht="15.75" customHeight="1">
      <c r="A4065" s="517" t="str">
        <f>IF(B4065&lt;&gt;"",IF(AND(B4065&gt;=_TM1,B4065&lt;=_TM2,OR(TH!L4065="1111",TH!M4065="1111")),TH!D4065,""),"")</f>
        <v/>
      </c>
      <c r="B4065" s="531">
        <f t="shared" si="489"/>
        <v>8</v>
      </c>
      <c r="C4065" s="315">
        <f t="shared" si="490"/>
        <v>42977</v>
      </c>
      <c r="D4065" s="315" t="s">
        <v>1180</v>
      </c>
      <c r="E4065" s="315">
        <v>42977</v>
      </c>
      <c r="F4065" s="250" t="s">
        <v>1474</v>
      </c>
      <c r="G4065" s="314" t="s">
        <v>1078</v>
      </c>
      <c r="H4065" s="473" t="s">
        <v>1501</v>
      </c>
      <c r="I4065" s="307">
        <v>5</v>
      </c>
      <c r="J4065" s="307">
        <v>56464</v>
      </c>
      <c r="K4065" s="532">
        <f t="shared" si="499"/>
        <v>282320</v>
      </c>
      <c r="L4065" s="534" t="s">
        <v>292</v>
      </c>
      <c r="M4065" s="534" t="s">
        <v>8</v>
      </c>
      <c r="N4065" s="525" t="str">
        <f>IF(AND('331-CT'!$E$7=TH!H4065,OR(L4065="331",M4065="331")),"331",IF(AND(OR(L4065="131",M4065="131"),H4065='131-CT'!$E$7),"131",""))</f>
        <v/>
      </c>
      <c r="O4065" s="525" t="str">
        <f>IF(AND($B4065&gt;='111'!$N$11,$B4065&lt;='111'!$O$11,OR($L4065=$O$7,$M4065=$O$7)),"x","")</f>
        <v/>
      </c>
      <c r="P4065" s="525" t="str">
        <f>IF(AND($L4065=$O$7,$B4065&lt;'111'!$N$11),"x","")</f>
        <v/>
      </c>
      <c r="Q4065" s="525" t="str">
        <f>IF(AND($M4065=$O$7,$B4065&lt;'111'!$N$11),"x","")</f>
        <v/>
      </c>
      <c r="R4065" s="525" t="str">
        <f>IF(ISERROR(FIND('112'!$M$9,G4065,1)),"",IF((AND(FIND('112'!$M$9,G4065,1)&gt;=1,$B4065&gt;='112'!$N$8,$B4065&lt;='112'!$O$8,OR($L4065='112'!$I$6,$M4065='112'!$I$6))),"x",""))</f>
        <v/>
      </c>
      <c r="S4065" s="525" t="str">
        <f>IF(ISERROR(FIND('112'!$M$9,G4065,1)),"",IF((AND(LEFT(G4065,2)=LEFT('112'!$M$9,2),B4065&lt;'112'!$N$8,$L4065='112'!$I$6)),"x",""))</f>
        <v/>
      </c>
      <c r="T4065" s="525" t="str">
        <f>IF(ISERROR(FIND('112'!$M$9,G4065,1)),"",IF((AND(RIGHT(G4065,2)=RIGHT('112'!$M$9,2),B4065&lt;'112'!$N$8,$M4065='112'!$I$6)),"x",""))</f>
        <v/>
      </c>
      <c r="U4065" s="525" t="str">
        <f>IF(AND(B4065&gt;='IN-NX'!$P$3,B4065&lt;='IN-NX'!$Q$3,'IN-NX'!$D$7=D4065,OR(LEFT(L4065,2)="15",AND(LEFT(M4065,2)&lt;&gt;"15",LEFT(M4065,2)&lt;&gt;"33"))),"x","")</f>
        <v/>
      </c>
      <c r="V4065" s="525" t="str">
        <f>IF(AND(OR(LEFT(TH!L4065,2)="15",LEFT(TH!M4065,2)="15"),'152-CT'!$J$8=TH!F4065),"x","")</f>
        <v/>
      </c>
      <c r="W4065" s="525" t="str">
        <f>IF(AND(OR(LEFT(TH!L4065,2)="15",LEFT(TH!M4065,2)="15"),TK!$E$7=TH!F4065),"x","")</f>
        <v/>
      </c>
      <c r="X4065" s="525" t="str">
        <f>IF(AND('341-CT'!$E$9=H4065,OR(LEFT(L4065,3)=$X$7,LEFT(M4065,3)=$X$7)),"x","")</f>
        <v/>
      </c>
      <c r="Y4065" s="525" t="str">
        <f>IF(OR(TH!L4065=TH!$Y$7,M4065=TH!$Y$7),"x","")</f>
        <v/>
      </c>
      <c r="Z4065" s="525" t="str">
        <f>IF(AND(B4065&lt;=NKC!$N$8,B4065&gt;=NKC!$M$8),"x","")</f>
        <v/>
      </c>
      <c r="AA4065" s="535">
        <v>3</v>
      </c>
      <c r="AB4065" s="536"/>
      <c r="AC4065" s="536" t="str">
        <f>VLOOKUP(F4065,NXT!$B$12:$B$686,1,0)</f>
        <v>Thùng 125x45x78</v>
      </c>
    </row>
    <row r="4066" spans="1:29" s="503" customFormat="1" ht="15.75" customHeight="1">
      <c r="A4066" s="517" t="str">
        <f>IF(B4066&lt;&gt;"",IF(AND(B4066&gt;=_TM1,B4066&lt;=_TM2,OR(TH!L4066="1111",TH!M4066="1111")),TH!D4066,""),"")</f>
        <v/>
      </c>
      <c r="B4066" s="531">
        <f t="shared" si="489"/>
        <v>8</v>
      </c>
      <c r="C4066" s="315">
        <f t="shared" si="490"/>
        <v>42977</v>
      </c>
      <c r="D4066" s="315" t="s">
        <v>1180</v>
      </c>
      <c r="E4066" s="315">
        <v>42977</v>
      </c>
      <c r="F4066" s="250" t="s">
        <v>1475</v>
      </c>
      <c r="G4066" s="314" t="s">
        <v>1078</v>
      </c>
      <c r="H4066" s="473" t="s">
        <v>1501</v>
      </c>
      <c r="I4066" s="307">
        <v>4</v>
      </c>
      <c r="J4066" s="307">
        <v>88134</v>
      </c>
      <c r="K4066" s="532">
        <f t="shared" si="499"/>
        <v>352536</v>
      </c>
      <c r="L4066" s="534" t="s">
        <v>292</v>
      </c>
      <c r="M4066" s="534" t="s">
        <v>8</v>
      </c>
      <c r="N4066" s="525" t="str">
        <f>IF(AND('331-CT'!$E$7=TH!H4066,OR(L4066="331",M4066="331")),"331",IF(AND(OR(L4066="131",M4066="131"),H4066='131-CT'!$E$7),"131",""))</f>
        <v/>
      </c>
      <c r="O4066" s="525" t="str">
        <f>IF(AND($B4066&gt;='111'!$N$11,$B4066&lt;='111'!$O$11,OR($L4066=$O$7,$M4066=$O$7)),"x","")</f>
        <v/>
      </c>
      <c r="P4066" s="525" t="str">
        <f>IF(AND($L4066=$O$7,$B4066&lt;'111'!$N$11),"x","")</f>
        <v/>
      </c>
      <c r="Q4066" s="525" t="str">
        <f>IF(AND($M4066=$O$7,$B4066&lt;'111'!$N$11),"x","")</f>
        <v/>
      </c>
      <c r="R4066" s="525" t="str">
        <f>IF(ISERROR(FIND('112'!$M$9,G4066,1)),"",IF((AND(FIND('112'!$M$9,G4066,1)&gt;=1,$B4066&gt;='112'!$N$8,$B4066&lt;='112'!$O$8,OR($L4066='112'!$I$6,$M4066='112'!$I$6))),"x",""))</f>
        <v/>
      </c>
      <c r="S4066" s="525" t="str">
        <f>IF(ISERROR(FIND('112'!$M$9,G4066,1)),"",IF((AND(LEFT(G4066,2)=LEFT('112'!$M$9,2),B4066&lt;'112'!$N$8,$L4066='112'!$I$6)),"x",""))</f>
        <v/>
      </c>
      <c r="T4066" s="525" t="str">
        <f>IF(ISERROR(FIND('112'!$M$9,G4066,1)),"",IF((AND(RIGHT(G4066,2)=RIGHT('112'!$M$9,2),B4066&lt;'112'!$N$8,$M4066='112'!$I$6)),"x",""))</f>
        <v/>
      </c>
      <c r="U4066" s="525" t="str">
        <f>IF(AND(B4066&gt;='IN-NX'!$P$3,B4066&lt;='IN-NX'!$Q$3,'IN-NX'!$D$7=D4066,OR(LEFT(L4066,2)="15",AND(LEFT(M4066,2)&lt;&gt;"15",LEFT(M4066,2)&lt;&gt;"33"))),"x","")</f>
        <v/>
      </c>
      <c r="V4066" s="525" t="str">
        <f>IF(AND(OR(LEFT(TH!L4066,2)="15",LEFT(TH!M4066,2)="15"),'152-CT'!$J$8=TH!F4066),"x","")</f>
        <v/>
      </c>
      <c r="W4066" s="525" t="str">
        <f>IF(AND(OR(LEFT(TH!L4066,2)="15",LEFT(TH!M4066,2)="15"),TK!$E$7=TH!F4066),"x","")</f>
        <v/>
      </c>
      <c r="X4066" s="525" t="str">
        <f>IF(AND('341-CT'!$E$9=H4066,OR(LEFT(L4066,3)=$X$7,LEFT(M4066,3)=$X$7)),"x","")</f>
        <v/>
      </c>
      <c r="Y4066" s="525" t="str">
        <f>IF(OR(TH!L4066=TH!$Y$7,M4066=TH!$Y$7),"x","")</f>
        <v/>
      </c>
      <c r="Z4066" s="525" t="str">
        <f>IF(AND(B4066&lt;=NKC!$N$8,B4066&gt;=NKC!$M$8),"x","")</f>
        <v/>
      </c>
      <c r="AA4066" s="535">
        <v>3</v>
      </c>
      <c r="AB4066" s="536"/>
      <c r="AC4066" s="536" t="str">
        <f>VLOOKUP(F4066,NXT!$B$12:$B$686,1,0)</f>
        <v>Thùng 206x96x13</v>
      </c>
    </row>
    <row r="4067" spans="1:29" s="503" customFormat="1" ht="15.75" customHeight="1">
      <c r="A4067" s="517" t="str">
        <f>IF(B4067&lt;&gt;"",IF(AND(B4067&gt;=_TM1,B4067&lt;=_TM2,OR(TH!L4067="1111",TH!M4067="1111")),TH!D4067,""),"")</f>
        <v/>
      </c>
      <c r="B4067" s="531">
        <f t="shared" si="489"/>
        <v>8</v>
      </c>
      <c r="C4067" s="315">
        <f t="shared" si="490"/>
        <v>42977</v>
      </c>
      <c r="D4067" s="315" t="s">
        <v>1180</v>
      </c>
      <c r="E4067" s="315">
        <v>42977</v>
      </c>
      <c r="F4067" s="250" t="s">
        <v>646</v>
      </c>
      <c r="G4067" s="314" t="s">
        <v>1078</v>
      </c>
      <c r="H4067" s="473" t="s">
        <v>1501</v>
      </c>
      <c r="I4067" s="307">
        <v>6</v>
      </c>
      <c r="J4067" s="307">
        <v>48013</v>
      </c>
      <c r="K4067" s="532">
        <f t="shared" si="499"/>
        <v>288078</v>
      </c>
      <c r="L4067" s="534" t="s">
        <v>292</v>
      </c>
      <c r="M4067" s="534" t="s">
        <v>8</v>
      </c>
      <c r="N4067" s="525" t="str">
        <f>IF(AND('331-CT'!$E$7=TH!H4067,OR(L4067="331",M4067="331")),"331",IF(AND(OR(L4067="131",M4067="131"),H4067='131-CT'!$E$7),"131",""))</f>
        <v/>
      </c>
      <c r="O4067" s="525" t="str">
        <f>IF(AND($B4067&gt;='111'!$N$11,$B4067&lt;='111'!$O$11,OR($L4067=$O$7,$M4067=$O$7)),"x","")</f>
        <v/>
      </c>
      <c r="P4067" s="525" t="str">
        <f>IF(AND($L4067=$O$7,$B4067&lt;'111'!$N$11),"x","")</f>
        <v/>
      </c>
      <c r="Q4067" s="525" t="str">
        <f>IF(AND($M4067=$O$7,$B4067&lt;'111'!$N$11),"x","")</f>
        <v/>
      </c>
      <c r="R4067" s="525" t="str">
        <f>IF(ISERROR(FIND('112'!$M$9,G4067,1)),"",IF((AND(FIND('112'!$M$9,G4067,1)&gt;=1,$B4067&gt;='112'!$N$8,$B4067&lt;='112'!$O$8,OR($L4067='112'!$I$6,$M4067='112'!$I$6))),"x",""))</f>
        <v/>
      </c>
      <c r="S4067" s="525" t="str">
        <f>IF(ISERROR(FIND('112'!$M$9,G4067,1)),"",IF((AND(LEFT(G4067,2)=LEFT('112'!$M$9,2),B4067&lt;'112'!$N$8,$L4067='112'!$I$6)),"x",""))</f>
        <v/>
      </c>
      <c r="T4067" s="525" t="str">
        <f>IF(ISERROR(FIND('112'!$M$9,G4067,1)),"",IF((AND(RIGHT(G4067,2)=RIGHT('112'!$M$9,2),B4067&lt;'112'!$N$8,$M4067='112'!$I$6)),"x",""))</f>
        <v/>
      </c>
      <c r="U4067" s="525" t="str">
        <f>IF(AND(B4067&gt;='IN-NX'!$P$3,B4067&lt;='IN-NX'!$Q$3,'IN-NX'!$D$7=D4067,OR(LEFT(L4067,2)="15",AND(LEFT(M4067,2)&lt;&gt;"15",LEFT(M4067,2)&lt;&gt;"33"))),"x","")</f>
        <v/>
      </c>
      <c r="V4067" s="525" t="str">
        <f>IF(AND(OR(LEFT(TH!L4067,2)="15",LEFT(TH!M4067,2)="15"),'152-CT'!$J$8=TH!F4067),"x","")</f>
        <v/>
      </c>
      <c r="W4067" s="525" t="str">
        <f>IF(AND(OR(LEFT(TH!L4067,2)="15",LEFT(TH!M4067,2)="15"),TK!$E$7=TH!F4067),"x","")</f>
        <v/>
      </c>
      <c r="X4067" s="525" t="str">
        <f>IF(AND('341-CT'!$E$9=H4067,OR(LEFT(L4067,3)=$X$7,LEFT(M4067,3)=$X$7)),"x","")</f>
        <v/>
      </c>
      <c r="Y4067" s="525" t="str">
        <f>IF(OR(TH!L4067=TH!$Y$7,M4067=TH!$Y$7),"x","")</f>
        <v/>
      </c>
      <c r="Z4067" s="525" t="str">
        <f>IF(AND(B4067&lt;=NKC!$N$8,B4067&gt;=NKC!$M$8),"x","")</f>
        <v/>
      </c>
      <c r="AA4067" s="535">
        <v>3</v>
      </c>
      <c r="AB4067" s="536"/>
      <c r="AC4067" s="536" t="str">
        <f>VLOOKUP(F4067,NXT!$B$12:$B$686,1,0)</f>
        <v>Thùng 55x55x38</v>
      </c>
    </row>
    <row r="4068" spans="1:29" s="503" customFormat="1" ht="15.75" customHeight="1">
      <c r="A4068" s="517" t="str">
        <f>IF(B4068&lt;&gt;"",IF(AND(B4068&gt;=_TM1,B4068&lt;=_TM2,OR(TH!L4068="1111",TH!M4068="1111")),TH!D4068,""),"")</f>
        <v/>
      </c>
      <c r="B4068" s="531">
        <f t="shared" si="489"/>
        <v>8</v>
      </c>
      <c r="C4068" s="315">
        <f t="shared" si="490"/>
        <v>42977</v>
      </c>
      <c r="D4068" s="315" t="s">
        <v>1180</v>
      </c>
      <c r="E4068" s="315">
        <v>42977</v>
      </c>
      <c r="F4068" s="250" t="s">
        <v>1476</v>
      </c>
      <c r="G4068" s="314" t="s">
        <v>1078</v>
      </c>
      <c r="H4068" s="473" t="s">
        <v>1501</v>
      </c>
      <c r="I4068" s="307">
        <v>31</v>
      </c>
      <c r="J4068" s="307">
        <v>26203</v>
      </c>
      <c r="K4068" s="532">
        <f t="shared" si="499"/>
        <v>812293</v>
      </c>
      <c r="L4068" s="534" t="s">
        <v>292</v>
      </c>
      <c r="M4068" s="534" t="s">
        <v>8</v>
      </c>
      <c r="N4068" s="525" t="str">
        <f>IF(AND('331-CT'!$E$7=TH!H4068,OR(L4068="331",M4068="331")),"331",IF(AND(OR(L4068="131",M4068="131"),H4068='131-CT'!$E$7),"131",""))</f>
        <v/>
      </c>
      <c r="O4068" s="525" t="str">
        <f>IF(AND($B4068&gt;='111'!$N$11,$B4068&lt;='111'!$O$11,OR($L4068=$O$7,$M4068=$O$7)),"x","")</f>
        <v/>
      </c>
      <c r="P4068" s="525" t="str">
        <f>IF(AND($L4068=$O$7,$B4068&lt;'111'!$N$11),"x","")</f>
        <v/>
      </c>
      <c r="Q4068" s="525" t="str">
        <f>IF(AND($M4068=$O$7,$B4068&lt;'111'!$N$11),"x","")</f>
        <v/>
      </c>
      <c r="R4068" s="525" t="str">
        <f>IF(ISERROR(FIND('112'!$M$9,G4068,1)),"",IF((AND(FIND('112'!$M$9,G4068,1)&gt;=1,$B4068&gt;='112'!$N$8,$B4068&lt;='112'!$O$8,OR($L4068='112'!$I$6,$M4068='112'!$I$6))),"x",""))</f>
        <v/>
      </c>
      <c r="S4068" s="525" t="str">
        <f>IF(ISERROR(FIND('112'!$M$9,G4068,1)),"",IF((AND(LEFT(G4068,2)=LEFT('112'!$M$9,2),B4068&lt;'112'!$N$8,$L4068='112'!$I$6)),"x",""))</f>
        <v/>
      </c>
      <c r="T4068" s="525" t="str">
        <f>IF(ISERROR(FIND('112'!$M$9,G4068,1)),"",IF((AND(RIGHT(G4068,2)=RIGHT('112'!$M$9,2),B4068&lt;'112'!$N$8,$M4068='112'!$I$6)),"x",""))</f>
        <v/>
      </c>
      <c r="U4068" s="525" t="str">
        <f>IF(AND(B4068&gt;='IN-NX'!$P$3,B4068&lt;='IN-NX'!$Q$3,'IN-NX'!$D$7=D4068,OR(LEFT(L4068,2)="15",AND(LEFT(M4068,2)&lt;&gt;"15",LEFT(M4068,2)&lt;&gt;"33"))),"x","")</f>
        <v/>
      </c>
      <c r="V4068" s="525" t="str">
        <f>IF(AND(OR(LEFT(TH!L4068,2)="15",LEFT(TH!M4068,2)="15"),'152-CT'!$J$8=TH!F4068),"x","")</f>
        <v/>
      </c>
      <c r="W4068" s="525" t="str">
        <f>IF(AND(OR(LEFT(TH!L4068,2)="15",LEFT(TH!M4068,2)="15"),TK!$E$7=TH!F4068),"x","")</f>
        <v/>
      </c>
      <c r="X4068" s="525" t="str">
        <f>IF(AND('341-CT'!$E$9=H4068,OR(LEFT(L4068,3)=$X$7,LEFT(M4068,3)=$X$7)),"x","")</f>
        <v/>
      </c>
      <c r="Y4068" s="525" t="str">
        <f>IF(OR(TH!L4068=TH!$Y$7,M4068=TH!$Y$7),"x","")</f>
        <v/>
      </c>
      <c r="Z4068" s="525" t="str">
        <f>IF(AND(B4068&lt;=NKC!$N$8,B4068&gt;=NKC!$M$8),"x","")</f>
        <v/>
      </c>
      <c r="AA4068" s="535">
        <v>3</v>
      </c>
      <c r="AB4068" s="536"/>
      <c r="AC4068" s="536" t="str">
        <f>VLOOKUP(F4068,NXT!$B$12:$B$686,1,0)</f>
        <v>Thùng 51.5x51.5x40</v>
      </c>
    </row>
    <row r="4069" spans="1:29" s="503" customFormat="1" ht="15.75" customHeight="1">
      <c r="A4069" s="517" t="str">
        <f>IF(B4069&lt;&gt;"",IF(AND(B4069&gt;=_TM1,B4069&lt;=_TM2,OR(TH!L4069="1111",TH!M4069="1111")),TH!D4069,""),"")</f>
        <v/>
      </c>
      <c r="B4069" s="531">
        <f t="shared" si="489"/>
        <v>8</v>
      </c>
      <c r="C4069" s="315">
        <f t="shared" si="490"/>
        <v>42977</v>
      </c>
      <c r="D4069" s="315" t="s">
        <v>1180</v>
      </c>
      <c r="E4069" s="315">
        <v>42977</v>
      </c>
      <c r="F4069" s="250" t="s">
        <v>1477</v>
      </c>
      <c r="G4069" s="314" t="s">
        <v>1078</v>
      </c>
      <c r="H4069" s="473" t="s">
        <v>1501</v>
      </c>
      <c r="I4069" s="307">
        <v>31</v>
      </c>
      <c r="J4069" s="307">
        <v>62406</v>
      </c>
      <c r="K4069" s="532">
        <f t="shared" si="499"/>
        <v>1934586</v>
      </c>
      <c r="L4069" s="534" t="s">
        <v>292</v>
      </c>
      <c r="M4069" s="534" t="s">
        <v>8</v>
      </c>
      <c r="N4069" s="525" t="str">
        <f>IF(AND('331-CT'!$E$7=TH!H4069,OR(L4069="331",M4069="331")),"331",IF(AND(OR(L4069="131",M4069="131"),H4069='131-CT'!$E$7),"131",""))</f>
        <v/>
      </c>
      <c r="O4069" s="525" t="str">
        <f>IF(AND($B4069&gt;='111'!$N$11,$B4069&lt;='111'!$O$11,OR($L4069=$O$7,$M4069=$O$7)),"x","")</f>
        <v/>
      </c>
      <c r="P4069" s="525" t="str">
        <f>IF(AND($L4069=$O$7,$B4069&lt;'111'!$N$11),"x","")</f>
        <v/>
      </c>
      <c r="Q4069" s="525" t="str">
        <f>IF(AND($M4069=$O$7,$B4069&lt;'111'!$N$11),"x","")</f>
        <v/>
      </c>
      <c r="R4069" s="525" t="str">
        <f>IF(ISERROR(FIND('112'!$M$9,G4069,1)),"",IF((AND(FIND('112'!$M$9,G4069,1)&gt;=1,$B4069&gt;='112'!$N$8,$B4069&lt;='112'!$O$8,OR($L4069='112'!$I$6,$M4069='112'!$I$6))),"x",""))</f>
        <v/>
      </c>
      <c r="S4069" s="525" t="str">
        <f>IF(ISERROR(FIND('112'!$M$9,G4069,1)),"",IF((AND(LEFT(G4069,2)=LEFT('112'!$M$9,2),B4069&lt;'112'!$N$8,$L4069='112'!$I$6)),"x",""))</f>
        <v/>
      </c>
      <c r="T4069" s="525" t="str">
        <f>IF(ISERROR(FIND('112'!$M$9,G4069,1)),"",IF((AND(RIGHT(G4069,2)=RIGHT('112'!$M$9,2),B4069&lt;'112'!$N$8,$M4069='112'!$I$6)),"x",""))</f>
        <v/>
      </c>
      <c r="U4069" s="525" t="str">
        <f>IF(AND(B4069&gt;='IN-NX'!$P$3,B4069&lt;='IN-NX'!$Q$3,'IN-NX'!$D$7=D4069,OR(LEFT(L4069,2)="15",AND(LEFT(M4069,2)&lt;&gt;"15",LEFT(M4069,2)&lt;&gt;"33"))),"x","")</f>
        <v/>
      </c>
      <c r="V4069" s="525" t="str">
        <f>IF(AND(OR(LEFT(TH!L4069,2)="15",LEFT(TH!M4069,2)="15"),'152-CT'!$J$8=TH!F4069),"x","")</f>
        <v/>
      </c>
      <c r="W4069" s="525" t="str">
        <f>IF(AND(OR(LEFT(TH!L4069,2)="15",LEFT(TH!M4069,2)="15"),TK!$E$7=TH!F4069),"x","")</f>
        <v/>
      </c>
      <c r="X4069" s="525" t="str">
        <f>IF(AND('341-CT'!$E$9=H4069,OR(LEFT(L4069,3)=$X$7,LEFT(M4069,3)=$X$7)),"x","")</f>
        <v/>
      </c>
      <c r="Y4069" s="525" t="str">
        <f>IF(OR(TH!L4069=TH!$Y$7,M4069=TH!$Y$7),"x","")</f>
        <v/>
      </c>
      <c r="Z4069" s="525" t="str">
        <f>IF(AND(B4069&lt;=NKC!$N$8,B4069&gt;=NKC!$M$8),"x","")</f>
        <v/>
      </c>
      <c r="AA4069" s="535">
        <v>3</v>
      </c>
      <c r="AB4069" s="536"/>
      <c r="AC4069" s="536" t="str">
        <f>VLOOKUP(F4069,NXT!$B$12:$B$686,1,0)</f>
        <v>Thùng 89.5x89.5x40</v>
      </c>
    </row>
    <row r="4070" spans="1:29" s="503" customFormat="1" ht="15.75" customHeight="1">
      <c r="A4070" s="517" t="str">
        <f>IF(B4070&lt;&gt;"",IF(AND(B4070&gt;=_TM1,B4070&lt;=_TM2,OR(TH!L4070="1111",TH!M4070="1111")),TH!D4070,""),"")</f>
        <v/>
      </c>
      <c r="B4070" s="531">
        <f t="shared" si="489"/>
        <v>8</v>
      </c>
      <c r="C4070" s="315">
        <f t="shared" si="490"/>
        <v>42977</v>
      </c>
      <c r="D4070" s="315" t="s">
        <v>1180</v>
      </c>
      <c r="E4070" s="315">
        <v>42977</v>
      </c>
      <c r="F4070" s="250" t="s">
        <v>1478</v>
      </c>
      <c r="G4070" s="314" t="s">
        <v>1078</v>
      </c>
      <c r="H4070" s="473" t="s">
        <v>1501</v>
      </c>
      <c r="I4070" s="307">
        <v>62</v>
      </c>
      <c r="J4070" s="307">
        <v>34881</v>
      </c>
      <c r="K4070" s="532">
        <f t="shared" si="499"/>
        <v>2162622</v>
      </c>
      <c r="L4070" s="534" t="s">
        <v>292</v>
      </c>
      <c r="M4070" s="534" t="s">
        <v>8</v>
      </c>
      <c r="N4070" s="525" t="str">
        <f>IF(AND('331-CT'!$E$7=TH!H4070,OR(L4070="331",M4070="331")),"331",IF(AND(OR(L4070="131",M4070="131"),H4070='131-CT'!$E$7),"131",""))</f>
        <v/>
      </c>
      <c r="O4070" s="525" t="str">
        <f>IF(AND($B4070&gt;='111'!$N$11,$B4070&lt;='111'!$O$11,OR($L4070=$O$7,$M4070=$O$7)),"x","")</f>
        <v/>
      </c>
      <c r="P4070" s="525" t="str">
        <f>IF(AND($L4070=$O$7,$B4070&lt;'111'!$N$11),"x","")</f>
        <v/>
      </c>
      <c r="Q4070" s="525" t="str">
        <f>IF(AND($M4070=$O$7,$B4070&lt;'111'!$N$11),"x","")</f>
        <v/>
      </c>
      <c r="R4070" s="525" t="str">
        <f>IF(ISERROR(FIND('112'!$M$9,G4070,1)),"",IF((AND(FIND('112'!$M$9,G4070,1)&gt;=1,$B4070&gt;='112'!$N$8,$B4070&lt;='112'!$O$8,OR($L4070='112'!$I$6,$M4070='112'!$I$6))),"x",""))</f>
        <v/>
      </c>
      <c r="S4070" s="525" t="str">
        <f>IF(ISERROR(FIND('112'!$M$9,G4070,1)),"",IF((AND(LEFT(G4070,2)=LEFT('112'!$M$9,2),B4070&lt;'112'!$N$8,$L4070='112'!$I$6)),"x",""))</f>
        <v/>
      </c>
      <c r="T4070" s="525" t="str">
        <f>IF(ISERROR(FIND('112'!$M$9,G4070,1)),"",IF((AND(RIGHT(G4070,2)=RIGHT('112'!$M$9,2),B4070&lt;'112'!$N$8,$M4070='112'!$I$6)),"x",""))</f>
        <v/>
      </c>
      <c r="U4070" s="525" t="str">
        <f>IF(AND(B4070&gt;='IN-NX'!$P$3,B4070&lt;='IN-NX'!$Q$3,'IN-NX'!$D$7=D4070,OR(LEFT(L4070,2)="15",AND(LEFT(M4070,2)&lt;&gt;"15",LEFT(M4070,2)&lt;&gt;"33"))),"x","")</f>
        <v/>
      </c>
      <c r="V4070" s="525" t="str">
        <f>IF(AND(OR(LEFT(TH!L4070,2)="15",LEFT(TH!M4070,2)="15"),'152-CT'!$J$8=TH!F4070),"x","")</f>
        <v/>
      </c>
      <c r="W4070" s="525" t="str">
        <f>IF(AND(OR(LEFT(TH!L4070,2)="15",LEFT(TH!M4070,2)="15"),TK!$E$7=TH!F4070),"x","")</f>
        <v/>
      </c>
      <c r="X4070" s="525" t="str">
        <f>IF(AND('341-CT'!$E$9=H4070,OR(LEFT(L4070,3)=$X$7,LEFT(M4070,3)=$X$7)),"x","")</f>
        <v/>
      </c>
      <c r="Y4070" s="525" t="str">
        <f>IF(OR(TH!L4070=TH!$Y$7,M4070=TH!$Y$7),"x","")</f>
        <v/>
      </c>
      <c r="Z4070" s="525" t="str">
        <f>IF(AND(B4070&lt;=NKC!$N$8,B4070&gt;=NKC!$M$8),"x","")</f>
        <v/>
      </c>
      <c r="AA4070" s="535">
        <v>3</v>
      </c>
      <c r="AB4070" s="536"/>
      <c r="AC4070" s="536" t="str">
        <f>VLOOKUP(F4070,NXT!$B$12:$B$686,1,0)</f>
        <v>Thùng 44.5x44.5x49</v>
      </c>
    </row>
    <row r="4071" spans="1:29" s="503" customFormat="1" ht="15.75" customHeight="1">
      <c r="A4071" s="517" t="str">
        <f>IF(B4071&lt;&gt;"",IF(AND(B4071&gt;=_TM1,B4071&lt;=_TM2,OR(TH!L4071="1111",TH!M4071="1111")),TH!D4071,""),"")</f>
        <v/>
      </c>
      <c r="B4071" s="531">
        <f t="shared" si="489"/>
        <v>8</v>
      </c>
      <c r="C4071" s="315">
        <f t="shared" si="490"/>
        <v>42977</v>
      </c>
      <c r="D4071" s="315" t="s">
        <v>1180</v>
      </c>
      <c r="E4071" s="315">
        <v>42977</v>
      </c>
      <c r="F4071" s="250" t="s">
        <v>792</v>
      </c>
      <c r="G4071" s="314" t="s">
        <v>1078</v>
      </c>
      <c r="H4071" s="473" t="s">
        <v>1501</v>
      </c>
      <c r="I4071" s="307">
        <v>12</v>
      </c>
      <c r="J4071" s="307">
        <v>29572</v>
      </c>
      <c r="K4071" s="532">
        <f t="shared" si="499"/>
        <v>354864</v>
      </c>
      <c r="L4071" s="534" t="s">
        <v>292</v>
      </c>
      <c r="M4071" s="534" t="s">
        <v>8</v>
      </c>
      <c r="N4071" s="525" t="str">
        <f>IF(AND('331-CT'!$E$7=TH!H4071,OR(L4071="331",M4071="331")),"331",IF(AND(OR(L4071="131",M4071="131"),H4071='131-CT'!$E$7),"131",""))</f>
        <v/>
      </c>
      <c r="O4071" s="525" t="str">
        <f>IF(AND($B4071&gt;='111'!$N$11,$B4071&lt;='111'!$O$11,OR($L4071=$O$7,$M4071=$O$7)),"x","")</f>
        <v/>
      </c>
      <c r="P4071" s="525" t="str">
        <f>IF(AND($L4071=$O$7,$B4071&lt;'111'!$N$11),"x","")</f>
        <v/>
      </c>
      <c r="Q4071" s="525" t="str">
        <f>IF(AND($M4071=$O$7,$B4071&lt;'111'!$N$11),"x","")</f>
        <v/>
      </c>
      <c r="R4071" s="525" t="str">
        <f>IF(ISERROR(FIND('112'!$M$9,G4071,1)),"",IF((AND(FIND('112'!$M$9,G4071,1)&gt;=1,$B4071&gt;='112'!$N$8,$B4071&lt;='112'!$O$8,OR($L4071='112'!$I$6,$M4071='112'!$I$6))),"x",""))</f>
        <v/>
      </c>
      <c r="S4071" s="525" t="str">
        <f>IF(ISERROR(FIND('112'!$M$9,G4071,1)),"",IF((AND(LEFT(G4071,2)=LEFT('112'!$M$9,2),B4071&lt;'112'!$N$8,$L4071='112'!$I$6)),"x",""))</f>
        <v/>
      </c>
      <c r="T4071" s="525" t="str">
        <f>IF(ISERROR(FIND('112'!$M$9,G4071,1)),"",IF((AND(RIGHT(G4071,2)=RIGHT('112'!$M$9,2),B4071&lt;'112'!$N$8,$M4071='112'!$I$6)),"x",""))</f>
        <v/>
      </c>
      <c r="U4071" s="525" t="str">
        <f>IF(AND(B4071&gt;='IN-NX'!$P$3,B4071&lt;='IN-NX'!$Q$3,'IN-NX'!$D$7=D4071,OR(LEFT(L4071,2)="15",AND(LEFT(M4071,2)&lt;&gt;"15",LEFT(M4071,2)&lt;&gt;"33"))),"x","")</f>
        <v/>
      </c>
      <c r="V4071" s="525" t="str">
        <f>IF(AND(OR(LEFT(TH!L4071,2)="15",LEFT(TH!M4071,2)="15"),'152-CT'!$J$8=TH!F4071),"x","")</f>
        <v/>
      </c>
      <c r="W4071" s="525" t="str">
        <f>IF(AND(OR(LEFT(TH!L4071,2)="15",LEFT(TH!M4071,2)="15"),TK!$E$7=TH!F4071),"x","")</f>
        <v/>
      </c>
      <c r="X4071" s="525" t="str">
        <f>IF(AND('341-CT'!$E$9=H4071,OR(LEFT(L4071,3)=$X$7,LEFT(M4071,3)=$X$7)),"x","")</f>
        <v/>
      </c>
      <c r="Y4071" s="525" t="str">
        <f>IF(OR(TH!L4071=TH!$Y$7,M4071=TH!$Y$7),"x","")</f>
        <v/>
      </c>
      <c r="Z4071" s="525" t="str">
        <f>IF(AND(B4071&lt;=NKC!$N$8,B4071&gt;=NKC!$M$8),"x","")</f>
        <v/>
      </c>
      <c r="AA4071" s="535">
        <v>3</v>
      </c>
      <c r="AB4071" s="536"/>
      <c r="AC4071" s="536" t="str">
        <f>VLOOKUP(F4071,NXT!$B$12:$B$686,1,0)</f>
        <v>Thùng 47x47x69</v>
      </c>
    </row>
    <row r="4072" spans="1:29" s="503" customFormat="1" ht="15.75" customHeight="1">
      <c r="A4072" s="517" t="str">
        <f>IF(B4072&lt;&gt;"",IF(AND(B4072&gt;=_TM1,B4072&lt;=_TM2,OR(TH!L4072="1111",TH!M4072="1111")),TH!D4072,""),"")</f>
        <v/>
      </c>
      <c r="B4072" s="531">
        <f t="shared" si="489"/>
        <v>8</v>
      </c>
      <c r="C4072" s="315">
        <f t="shared" si="490"/>
        <v>42977</v>
      </c>
      <c r="D4072" s="315" t="s">
        <v>1180</v>
      </c>
      <c r="E4072" s="315">
        <v>42977</v>
      </c>
      <c r="F4072" s="250" t="s">
        <v>1479</v>
      </c>
      <c r="G4072" s="314" t="s">
        <v>1078</v>
      </c>
      <c r="H4072" s="473" t="s">
        <v>1501</v>
      </c>
      <c r="I4072" s="307">
        <v>25</v>
      </c>
      <c r="J4072" s="307">
        <v>23253</v>
      </c>
      <c r="K4072" s="532">
        <f t="shared" si="499"/>
        <v>581325</v>
      </c>
      <c r="L4072" s="534" t="s">
        <v>292</v>
      </c>
      <c r="M4072" s="534" t="s">
        <v>8</v>
      </c>
      <c r="N4072" s="525" t="str">
        <f>IF(AND('331-CT'!$E$7=TH!H4072,OR(L4072="331",M4072="331")),"331",IF(AND(OR(L4072="131",M4072="131"),H4072='131-CT'!$E$7),"131",""))</f>
        <v/>
      </c>
      <c r="O4072" s="525" t="str">
        <f>IF(AND($B4072&gt;='111'!$N$11,$B4072&lt;='111'!$O$11,OR($L4072=$O$7,$M4072=$O$7)),"x","")</f>
        <v/>
      </c>
      <c r="P4072" s="525" t="str">
        <f>IF(AND($L4072=$O$7,$B4072&lt;'111'!$N$11),"x","")</f>
        <v/>
      </c>
      <c r="Q4072" s="525" t="str">
        <f>IF(AND($M4072=$O$7,$B4072&lt;'111'!$N$11),"x","")</f>
        <v/>
      </c>
      <c r="R4072" s="525" t="str">
        <f>IF(ISERROR(FIND('112'!$M$9,G4072,1)),"",IF((AND(FIND('112'!$M$9,G4072,1)&gt;=1,$B4072&gt;='112'!$N$8,$B4072&lt;='112'!$O$8,OR($L4072='112'!$I$6,$M4072='112'!$I$6))),"x",""))</f>
        <v/>
      </c>
      <c r="S4072" s="525" t="str">
        <f>IF(ISERROR(FIND('112'!$M$9,G4072,1)),"",IF((AND(LEFT(G4072,2)=LEFT('112'!$M$9,2),B4072&lt;'112'!$N$8,$L4072='112'!$I$6)),"x",""))</f>
        <v/>
      </c>
      <c r="T4072" s="525" t="str">
        <f>IF(ISERROR(FIND('112'!$M$9,G4072,1)),"",IF((AND(RIGHT(G4072,2)=RIGHT('112'!$M$9,2),B4072&lt;'112'!$N$8,$M4072='112'!$I$6)),"x",""))</f>
        <v/>
      </c>
      <c r="U4072" s="525" t="str">
        <f>IF(AND(B4072&gt;='IN-NX'!$P$3,B4072&lt;='IN-NX'!$Q$3,'IN-NX'!$D$7=D4072,OR(LEFT(L4072,2)="15",AND(LEFT(M4072,2)&lt;&gt;"15",LEFT(M4072,2)&lt;&gt;"33"))),"x","")</f>
        <v/>
      </c>
      <c r="V4072" s="525" t="str">
        <f>IF(AND(OR(LEFT(TH!L4072,2)="15",LEFT(TH!M4072,2)="15"),'152-CT'!$J$8=TH!F4072),"x","")</f>
        <v/>
      </c>
      <c r="W4072" s="525" t="str">
        <f>IF(AND(OR(LEFT(TH!L4072,2)="15",LEFT(TH!M4072,2)="15"),TK!$E$7=TH!F4072),"x","")</f>
        <v/>
      </c>
      <c r="X4072" s="525" t="str">
        <f>IF(AND('341-CT'!$E$9=H4072,OR(LEFT(L4072,3)=$X$7,LEFT(M4072,3)=$X$7)),"x","")</f>
        <v/>
      </c>
      <c r="Y4072" s="525" t="str">
        <f>IF(OR(TH!L4072=TH!$Y$7,M4072=TH!$Y$7),"x","")</f>
        <v/>
      </c>
      <c r="Z4072" s="525" t="str">
        <f>IF(AND(B4072&lt;=NKC!$N$8,B4072&gt;=NKC!$M$8),"x","")</f>
        <v/>
      </c>
      <c r="AA4072" s="535">
        <v>3</v>
      </c>
      <c r="AB4072" s="536"/>
      <c r="AC4072" s="536" t="str">
        <f>VLOOKUP(F4072,NXT!$B$12:$B$686,1,0)</f>
        <v>Thùng 32.5x32.5x47</v>
      </c>
    </row>
    <row r="4073" spans="1:29" s="503" customFormat="1" ht="15.75" customHeight="1">
      <c r="A4073" s="517" t="str">
        <f>IF(B4073&lt;&gt;"",IF(AND(B4073&gt;=_TM1,B4073&lt;=_TM2,OR(TH!L4073="1111",TH!M4073="1111")),TH!D4073,""),"")</f>
        <v/>
      </c>
      <c r="B4073" s="531">
        <f t="shared" si="489"/>
        <v>8</v>
      </c>
      <c r="C4073" s="315">
        <f t="shared" si="490"/>
        <v>42977</v>
      </c>
      <c r="D4073" s="315" t="s">
        <v>1180</v>
      </c>
      <c r="E4073" s="315">
        <v>42977</v>
      </c>
      <c r="F4073" s="250" t="s">
        <v>754</v>
      </c>
      <c r="G4073" s="314" t="s">
        <v>1078</v>
      </c>
      <c r="H4073" s="473" t="s">
        <v>1501</v>
      </c>
      <c r="I4073" s="307">
        <v>18</v>
      </c>
      <c r="J4073" s="307">
        <v>65793</v>
      </c>
      <c r="K4073" s="532">
        <f t="shared" si="499"/>
        <v>1184274</v>
      </c>
      <c r="L4073" s="534" t="s">
        <v>292</v>
      </c>
      <c r="M4073" s="534" t="s">
        <v>8</v>
      </c>
      <c r="N4073" s="525" t="str">
        <f>IF(AND('331-CT'!$E$7=TH!H4073,OR(L4073="331",M4073="331")),"331",IF(AND(OR(L4073="131",M4073="131"),H4073='131-CT'!$E$7),"131",""))</f>
        <v/>
      </c>
      <c r="O4073" s="525" t="str">
        <f>IF(AND($B4073&gt;='111'!$N$11,$B4073&lt;='111'!$O$11,OR($L4073=$O$7,$M4073=$O$7)),"x","")</f>
        <v/>
      </c>
      <c r="P4073" s="525" t="str">
        <f>IF(AND($L4073=$O$7,$B4073&lt;'111'!$N$11),"x","")</f>
        <v/>
      </c>
      <c r="Q4073" s="525" t="str">
        <f>IF(AND($M4073=$O$7,$B4073&lt;'111'!$N$11),"x","")</f>
        <v/>
      </c>
      <c r="R4073" s="525" t="str">
        <f>IF(ISERROR(FIND('112'!$M$9,G4073,1)),"",IF((AND(FIND('112'!$M$9,G4073,1)&gt;=1,$B4073&gt;='112'!$N$8,$B4073&lt;='112'!$O$8,OR($L4073='112'!$I$6,$M4073='112'!$I$6))),"x",""))</f>
        <v/>
      </c>
      <c r="S4073" s="525" t="str">
        <f>IF(ISERROR(FIND('112'!$M$9,G4073,1)),"",IF((AND(LEFT(G4073,2)=LEFT('112'!$M$9,2),B4073&lt;'112'!$N$8,$L4073='112'!$I$6)),"x",""))</f>
        <v/>
      </c>
      <c r="T4073" s="525" t="str">
        <f>IF(ISERROR(FIND('112'!$M$9,G4073,1)),"",IF((AND(RIGHT(G4073,2)=RIGHT('112'!$M$9,2),B4073&lt;'112'!$N$8,$M4073='112'!$I$6)),"x",""))</f>
        <v/>
      </c>
      <c r="U4073" s="525" t="str">
        <f>IF(AND(B4073&gt;='IN-NX'!$P$3,B4073&lt;='IN-NX'!$Q$3,'IN-NX'!$D$7=D4073,OR(LEFT(L4073,2)="15",AND(LEFT(M4073,2)&lt;&gt;"15",LEFT(M4073,2)&lt;&gt;"33"))),"x","")</f>
        <v/>
      </c>
      <c r="V4073" s="525" t="str">
        <f>IF(AND(OR(LEFT(TH!L4073,2)="15",LEFT(TH!M4073,2)="15"),'152-CT'!$J$8=TH!F4073),"x","")</f>
        <v/>
      </c>
      <c r="W4073" s="525" t="str">
        <f>IF(AND(OR(LEFT(TH!L4073,2)="15",LEFT(TH!M4073,2)="15"),TK!$E$7=TH!F4073),"x","")</f>
        <v/>
      </c>
      <c r="X4073" s="525" t="str">
        <f>IF(AND('341-CT'!$E$9=H4073,OR(LEFT(L4073,3)=$X$7,LEFT(M4073,3)=$X$7)),"x","")</f>
        <v/>
      </c>
      <c r="Y4073" s="525" t="str">
        <f>IF(OR(TH!L4073=TH!$Y$7,M4073=TH!$Y$7),"x","")</f>
        <v/>
      </c>
      <c r="Z4073" s="525" t="str">
        <f>IF(AND(B4073&lt;=NKC!$N$8,B4073&gt;=NKC!$M$8),"x","")</f>
        <v/>
      </c>
      <c r="AA4073" s="535">
        <v>3</v>
      </c>
      <c r="AB4073" s="536"/>
      <c r="AC4073" s="536" t="str">
        <f>VLOOKUP(F4073,NXT!$B$12:$B$686,1,0)</f>
        <v>Thùng 95x35x80</v>
      </c>
    </row>
    <row r="4074" spans="1:29" s="503" customFormat="1" ht="15.75" customHeight="1">
      <c r="A4074" s="517" t="str">
        <f>IF(B4074&lt;&gt;"",IF(AND(B4074&gt;=_TM1,B4074&lt;=_TM2,OR(TH!L4074="1111",TH!M4074="1111")),TH!D4074,""),"")</f>
        <v/>
      </c>
      <c r="B4074" s="531">
        <f t="shared" si="489"/>
        <v>8</v>
      </c>
      <c r="C4074" s="315">
        <f t="shared" si="490"/>
        <v>42977</v>
      </c>
      <c r="D4074" s="315" t="s">
        <v>1180</v>
      </c>
      <c r="E4074" s="315">
        <v>42977</v>
      </c>
      <c r="F4074" s="250" t="s">
        <v>1480</v>
      </c>
      <c r="G4074" s="314" t="s">
        <v>1078</v>
      </c>
      <c r="H4074" s="473" t="s">
        <v>1501</v>
      </c>
      <c r="I4074" s="307">
        <v>22</v>
      </c>
      <c r="J4074" s="307">
        <v>57458</v>
      </c>
      <c r="K4074" s="532">
        <f t="shared" si="499"/>
        <v>1264076</v>
      </c>
      <c r="L4074" s="534" t="s">
        <v>292</v>
      </c>
      <c r="M4074" s="534" t="s">
        <v>8</v>
      </c>
      <c r="N4074" s="525" t="str">
        <f>IF(AND('331-CT'!$E$7=TH!H4074,OR(L4074="331",M4074="331")),"331",IF(AND(OR(L4074="131",M4074="131"),H4074='131-CT'!$E$7),"131",""))</f>
        <v/>
      </c>
      <c r="O4074" s="525" t="str">
        <f>IF(AND($B4074&gt;='111'!$N$11,$B4074&lt;='111'!$O$11,OR($L4074=$O$7,$M4074=$O$7)),"x","")</f>
        <v/>
      </c>
      <c r="P4074" s="525" t="str">
        <f>IF(AND($L4074=$O$7,$B4074&lt;'111'!$N$11),"x","")</f>
        <v/>
      </c>
      <c r="Q4074" s="525" t="str">
        <f>IF(AND($M4074=$O$7,$B4074&lt;'111'!$N$11),"x","")</f>
        <v/>
      </c>
      <c r="R4074" s="525" t="str">
        <f>IF(ISERROR(FIND('112'!$M$9,G4074,1)),"",IF((AND(FIND('112'!$M$9,G4074,1)&gt;=1,$B4074&gt;='112'!$N$8,$B4074&lt;='112'!$O$8,OR($L4074='112'!$I$6,$M4074='112'!$I$6))),"x",""))</f>
        <v/>
      </c>
      <c r="S4074" s="525" t="str">
        <f>IF(ISERROR(FIND('112'!$M$9,G4074,1)),"",IF((AND(LEFT(G4074,2)=LEFT('112'!$M$9,2),B4074&lt;'112'!$N$8,$L4074='112'!$I$6)),"x",""))</f>
        <v/>
      </c>
      <c r="T4074" s="525" t="str">
        <f>IF(ISERROR(FIND('112'!$M$9,G4074,1)),"",IF((AND(RIGHT(G4074,2)=RIGHT('112'!$M$9,2),B4074&lt;'112'!$N$8,$M4074='112'!$I$6)),"x",""))</f>
        <v/>
      </c>
      <c r="U4074" s="525" t="str">
        <f>IF(AND(B4074&gt;='IN-NX'!$P$3,B4074&lt;='IN-NX'!$Q$3,'IN-NX'!$D$7=D4074,OR(LEFT(L4074,2)="15",AND(LEFT(M4074,2)&lt;&gt;"15",LEFT(M4074,2)&lt;&gt;"33"))),"x","")</f>
        <v/>
      </c>
      <c r="V4074" s="525" t="str">
        <f>IF(AND(OR(LEFT(TH!L4074,2)="15",LEFT(TH!M4074,2)="15"),'152-CT'!$J$8=TH!F4074),"x","")</f>
        <v/>
      </c>
      <c r="W4074" s="525" t="str">
        <f>IF(AND(OR(LEFT(TH!L4074,2)="15",LEFT(TH!M4074,2)="15"),TK!$E$7=TH!F4074),"x","")</f>
        <v/>
      </c>
      <c r="X4074" s="525" t="str">
        <f>IF(AND('341-CT'!$E$9=H4074,OR(LEFT(L4074,3)=$X$7,LEFT(M4074,3)=$X$7)),"x","")</f>
        <v/>
      </c>
      <c r="Y4074" s="525" t="str">
        <f>IF(OR(TH!L4074=TH!$Y$7,M4074=TH!$Y$7),"x","")</f>
        <v/>
      </c>
      <c r="Z4074" s="525" t="str">
        <f>IF(AND(B4074&lt;=NKC!$N$8,B4074&gt;=NKC!$M$8),"x","")</f>
        <v/>
      </c>
      <c r="AA4074" s="535">
        <v>3</v>
      </c>
      <c r="AB4074" s="536"/>
      <c r="AC4074" s="536" t="str">
        <f>VLOOKUP(F4074,NXT!$B$12:$B$686,1,0)</f>
        <v>Thùng 55x55x63</v>
      </c>
    </row>
    <row r="4075" spans="1:29" s="503" customFormat="1" ht="15.75" customHeight="1">
      <c r="A4075" s="517" t="str">
        <f>IF(B4075&lt;&gt;"",IF(AND(B4075&gt;=_TM1,B4075&lt;=_TM2,OR(TH!L4075="1111",TH!M4075="1111")),TH!D4075,""),"")</f>
        <v/>
      </c>
      <c r="B4075" s="531">
        <f t="shared" ref="B4075:B4094" si="500">IF(C4075&lt;&gt;"",MONTH(C4075),"")</f>
        <v>8</v>
      </c>
      <c r="C4075" s="315">
        <f t="shared" ref="C4075:C4094" si="501">E4075</f>
        <v>42977</v>
      </c>
      <c r="D4075" s="315" t="s">
        <v>1180</v>
      </c>
      <c r="E4075" s="315">
        <v>42977</v>
      </c>
      <c r="F4075" s="250" t="s">
        <v>627</v>
      </c>
      <c r="G4075" s="314" t="s">
        <v>1078</v>
      </c>
      <c r="H4075" s="473" t="s">
        <v>1501</v>
      </c>
      <c r="I4075" s="307">
        <v>48</v>
      </c>
      <c r="J4075" s="307">
        <v>50980</v>
      </c>
      <c r="K4075" s="532">
        <f t="shared" ref="K4075:K4094" si="502">ROUND(I4075*J4075,0)</f>
        <v>2447040</v>
      </c>
      <c r="L4075" s="534" t="s">
        <v>292</v>
      </c>
      <c r="M4075" s="534" t="s">
        <v>8</v>
      </c>
      <c r="N4075" s="525" t="str">
        <f>IF(AND('331-CT'!$E$7=TH!H4075,OR(L4075="331",M4075="331")),"331",IF(AND(OR(L4075="131",M4075="131"),H4075='131-CT'!$E$7),"131",""))</f>
        <v/>
      </c>
      <c r="O4075" s="525" t="str">
        <f>IF(AND($B4075&gt;='111'!$N$11,$B4075&lt;='111'!$O$11,OR($L4075=$O$7,$M4075=$O$7)),"x","")</f>
        <v/>
      </c>
      <c r="P4075" s="525" t="str">
        <f>IF(AND($L4075=$O$7,$B4075&lt;'111'!$N$11),"x","")</f>
        <v/>
      </c>
      <c r="Q4075" s="525" t="str">
        <f>IF(AND($M4075=$O$7,$B4075&lt;'111'!$N$11),"x","")</f>
        <v/>
      </c>
      <c r="R4075" s="525" t="str">
        <f>IF(ISERROR(FIND('112'!$M$9,G4075,1)),"",IF((AND(FIND('112'!$M$9,G4075,1)&gt;=1,$B4075&gt;='112'!$N$8,$B4075&lt;='112'!$O$8,OR($L4075='112'!$I$6,$M4075='112'!$I$6))),"x",""))</f>
        <v/>
      </c>
      <c r="S4075" s="525" t="str">
        <f>IF(ISERROR(FIND('112'!$M$9,G4075,1)),"",IF((AND(LEFT(G4075,2)=LEFT('112'!$M$9,2),B4075&lt;'112'!$N$8,$L4075='112'!$I$6)),"x",""))</f>
        <v/>
      </c>
      <c r="T4075" s="525" t="str">
        <f>IF(ISERROR(FIND('112'!$M$9,G4075,1)),"",IF((AND(RIGHT(G4075,2)=RIGHT('112'!$M$9,2),B4075&lt;'112'!$N$8,$M4075='112'!$I$6)),"x",""))</f>
        <v/>
      </c>
      <c r="U4075" s="525" t="str">
        <f>IF(AND(B4075&gt;='IN-NX'!$P$3,B4075&lt;='IN-NX'!$Q$3,'IN-NX'!$D$7=D4075,OR(LEFT(L4075,2)="15",AND(LEFT(M4075,2)&lt;&gt;"15",LEFT(M4075,2)&lt;&gt;"33"))),"x","")</f>
        <v/>
      </c>
      <c r="V4075" s="525" t="str">
        <f>IF(AND(OR(LEFT(TH!L4075,2)="15",LEFT(TH!M4075,2)="15"),'152-CT'!$J$8=TH!F4075),"x","")</f>
        <v/>
      </c>
      <c r="W4075" s="525" t="str">
        <f>IF(AND(OR(LEFT(TH!L4075,2)="15",LEFT(TH!M4075,2)="15"),TK!$E$7=TH!F4075),"x","")</f>
        <v/>
      </c>
      <c r="X4075" s="525" t="str">
        <f>IF(AND('341-CT'!$E$9=H4075,OR(LEFT(L4075,3)=$X$7,LEFT(M4075,3)=$X$7)),"x","")</f>
        <v/>
      </c>
      <c r="Y4075" s="525" t="str">
        <f>IF(OR(TH!L4075=TH!$Y$7,M4075=TH!$Y$7),"x","")</f>
        <v/>
      </c>
      <c r="Z4075" s="525" t="str">
        <f>IF(AND(B4075&lt;=NKC!$N$8,B4075&gt;=NKC!$M$8),"x","")</f>
        <v/>
      </c>
      <c r="AA4075" s="535">
        <v>3</v>
      </c>
      <c r="AB4075" s="536"/>
      <c r="AC4075" s="536" t="str">
        <f>VLOOKUP(F4075,NXT!$B$12:$B$686,1,0)</f>
        <v>Thùng 55x55x55</v>
      </c>
    </row>
    <row r="4076" spans="1:29" s="503" customFormat="1" ht="15.75" customHeight="1">
      <c r="A4076" s="517" t="str">
        <f>IF(B4076&lt;&gt;"",IF(AND(B4076&gt;=_TM1,B4076&lt;=_TM2,OR(TH!L4076="1111",TH!M4076="1111")),TH!D4076,""),"")</f>
        <v/>
      </c>
      <c r="B4076" s="531">
        <f t="shared" si="500"/>
        <v>8</v>
      </c>
      <c r="C4076" s="315">
        <f t="shared" si="501"/>
        <v>42977</v>
      </c>
      <c r="D4076" s="315" t="s">
        <v>1180</v>
      </c>
      <c r="E4076" s="315">
        <v>42977</v>
      </c>
      <c r="F4076" s="250" t="s">
        <v>737</v>
      </c>
      <c r="G4076" s="314" t="s">
        <v>1078</v>
      </c>
      <c r="H4076" s="473" t="s">
        <v>1501</v>
      </c>
      <c r="I4076" s="307">
        <v>20</v>
      </c>
      <c r="J4076" s="307">
        <v>92454</v>
      </c>
      <c r="K4076" s="532">
        <f t="shared" si="502"/>
        <v>1849080</v>
      </c>
      <c r="L4076" s="534" t="s">
        <v>292</v>
      </c>
      <c r="M4076" s="534" t="s">
        <v>8</v>
      </c>
      <c r="N4076" s="525" t="str">
        <f>IF(AND('331-CT'!$E$7=TH!H4076,OR(L4076="331",M4076="331")),"331",IF(AND(OR(L4076="131",M4076="131"),H4076='131-CT'!$E$7),"131",""))</f>
        <v/>
      </c>
      <c r="O4076" s="525" t="str">
        <f>IF(AND($B4076&gt;='111'!$N$11,$B4076&lt;='111'!$O$11,OR($L4076=$O$7,$M4076=$O$7)),"x","")</f>
        <v/>
      </c>
      <c r="P4076" s="525" t="str">
        <f>IF(AND($L4076=$O$7,$B4076&lt;'111'!$N$11),"x","")</f>
        <v/>
      </c>
      <c r="Q4076" s="525" t="str">
        <f>IF(AND($M4076=$O$7,$B4076&lt;'111'!$N$11),"x","")</f>
        <v/>
      </c>
      <c r="R4076" s="525" t="str">
        <f>IF(ISERROR(FIND('112'!$M$9,G4076,1)),"",IF((AND(FIND('112'!$M$9,G4076,1)&gt;=1,$B4076&gt;='112'!$N$8,$B4076&lt;='112'!$O$8,OR($L4076='112'!$I$6,$M4076='112'!$I$6))),"x",""))</f>
        <v/>
      </c>
      <c r="S4076" s="525" t="str">
        <f>IF(ISERROR(FIND('112'!$M$9,G4076,1)),"",IF((AND(LEFT(G4076,2)=LEFT('112'!$M$9,2),B4076&lt;'112'!$N$8,$L4076='112'!$I$6)),"x",""))</f>
        <v/>
      </c>
      <c r="T4076" s="525" t="str">
        <f>IF(ISERROR(FIND('112'!$M$9,G4076,1)),"",IF((AND(RIGHT(G4076,2)=RIGHT('112'!$M$9,2),B4076&lt;'112'!$N$8,$M4076='112'!$I$6)),"x",""))</f>
        <v/>
      </c>
      <c r="U4076" s="525" t="str">
        <f>IF(AND(B4076&gt;='IN-NX'!$P$3,B4076&lt;='IN-NX'!$Q$3,'IN-NX'!$D$7=D4076,OR(LEFT(L4076,2)="15",AND(LEFT(M4076,2)&lt;&gt;"15",LEFT(M4076,2)&lt;&gt;"33"))),"x","")</f>
        <v/>
      </c>
      <c r="V4076" s="525" t="str">
        <f>IF(AND(OR(LEFT(TH!L4076,2)="15",LEFT(TH!M4076,2)="15"),'152-CT'!$J$8=TH!F4076),"x","")</f>
        <v/>
      </c>
      <c r="W4076" s="525" t="str">
        <f>IF(AND(OR(LEFT(TH!L4076,2)="15",LEFT(TH!M4076,2)="15"),TK!$E$7=TH!F4076),"x","")</f>
        <v/>
      </c>
      <c r="X4076" s="525" t="str">
        <f>IF(AND('341-CT'!$E$9=H4076,OR(LEFT(L4076,3)=$X$7,LEFT(M4076,3)=$X$7)),"x","")</f>
        <v/>
      </c>
      <c r="Y4076" s="525" t="str">
        <f>IF(OR(TH!L4076=TH!$Y$7,M4076=TH!$Y$7),"x","")</f>
        <v/>
      </c>
      <c r="Z4076" s="525" t="str">
        <f>IF(AND(B4076&lt;=NKC!$N$8,B4076&gt;=NKC!$M$8),"x","")</f>
        <v/>
      </c>
      <c r="AA4076" s="535">
        <v>3</v>
      </c>
      <c r="AB4076" s="536"/>
      <c r="AC4076" s="536" t="str">
        <f>VLOOKUP(F4076,NXT!$B$12:$B$686,1,0)</f>
        <v>Thùng 125x45x80</v>
      </c>
    </row>
    <row r="4077" spans="1:29" s="503" customFormat="1" ht="15.75" customHeight="1">
      <c r="A4077" s="517" t="str">
        <f>IF(B4077&lt;&gt;"",IF(AND(B4077&gt;=_TM1,B4077&lt;=_TM2,OR(TH!L4077="1111",TH!M4077="1111")),TH!D4077,""),"")</f>
        <v/>
      </c>
      <c r="B4077" s="531">
        <f t="shared" si="500"/>
        <v>8</v>
      </c>
      <c r="C4077" s="315">
        <f t="shared" si="501"/>
        <v>42977</v>
      </c>
      <c r="D4077" s="315" t="s">
        <v>1180</v>
      </c>
      <c r="E4077" s="315">
        <v>42977</v>
      </c>
      <c r="F4077" s="250" t="s">
        <v>1481</v>
      </c>
      <c r="G4077" s="314" t="s">
        <v>1078</v>
      </c>
      <c r="H4077" s="473" t="s">
        <v>1501</v>
      </c>
      <c r="I4077" s="307">
        <v>6</v>
      </c>
      <c r="J4077" s="307">
        <v>151722</v>
      </c>
      <c r="K4077" s="532">
        <f t="shared" si="502"/>
        <v>910332</v>
      </c>
      <c r="L4077" s="534" t="s">
        <v>292</v>
      </c>
      <c r="M4077" s="534" t="s">
        <v>8</v>
      </c>
      <c r="N4077" s="525" t="str">
        <f>IF(AND('331-CT'!$E$7=TH!H4077,OR(L4077="331",M4077="331")),"331",IF(AND(OR(L4077="131",M4077="131"),H4077='131-CT'!$E$7),"131",""))</f>
        <v/>
      </c>
      <c r="O4077" s="525" t="str">
        <f>IF(AND($B4077&gt;='111'!$N$11,$B4077&lt;='111'!$O$11,OR($L4077=$O$7,$M4077=$O$7)),"x","")</f>
        <v/>
      </c>
      <c r="P4077" s="525" t="str">
        <f>IF(AND($L4077=$O$7,$B4077&lt;'111'!$N$11),"x","")</f>
        <v/>
      </c>
      <c r="Q4077" s="525" t="str">
        <f>IF(AND($M4077=$O$7,$B4077&lt;'111'!$N$11),"x","")</f>
        <v/>
      </c>
      <c r="R4077" s="525" t="str">
        <f>IF(ISERROR(FIND('112'!$M$9,G4077,1)),"",IF((AND(FIND('112'!$M$9,G4077,1)&gt;=1,$B4077&gt;='112'!$N$8,$B4077&lt;='112'!$O$8,OR($L4077='112'!$I$6,$M4077='112'!$I$6))),"x",""))</f>
        <v/>
      </c>
      <c r="S4077" s="525" t="str">
        <f>IF(ISERROR(FIND('112'!$M$9,G4077,1)),"",IF((AND(LEFT(G4077,2)=LEFT('112'!$M$9,2),B4077&lt;'112'!$N$8,$L4077='112'!$I$6)),"x",""))</f>
        <v/>
      </c>
      <c r="T4077" s="525" t="str">
        <f>IF(ISERROR(FIND('112'!$M$9,G4077,1)),"",IF((AND(RIGHT(G4077,2)=RIGHT('112'!$M$9,2),B4077&lt;'112'!$N$8,$M4077='112'!$I$6)),"x",""))</f>
        <v/>
      </c>
      <c r="U4077" s="525" t="str">
        <f>IF(AND(B4077&gt;='IN-NX'!$P$3,B4077&lt;='IN-NX'!$Q$3,'IN-NX'!$D$7=D4077,OR(LEFT(L4077,2)="15",AND(LEFT(M4077,2)&lt;&gt;"15",LEFT(M4077,2)&lt;&gt;"33"))),"x","")</f>
        <v/>
      </c>
      <c r="V4077" s="525" t="str">
        <f>IF(AND(OR(LEFT(TH!L4077,2)="15",LEFT(TH!M4077,2)="15"),'152-CT'!$J$8=TH!F4077),"x","")</f>
        <v/>
      </c>
      <c r="W4077" s="525" t="str">
        <f>IF(AND(OR(LEFT(TH!L4077,2)="15",LEFT(TH!M4077,2)="15"),TK!$E$7=TH!F4077),"x","")</f>
        <v/>
      </c>
      <c r="X4077" s="525" t="str">
        <f>IF(AND('341-CT'!$E$9=H4077,OR(LEFT(L4077,3)=$X$7,LEFT(M4077,3)=$X$7)),"x","")</f>
        <v/>
      </c>
      <c r="Y4077" s="525" t="str">
        <f>IF(OR(TH!L4077=TH!$Y$7,M4077=TH!$Y$7),"x","")</f>
        <v/>
      </c>
      <c r="Z4077" s="525" t="str">
        <f>IF(AND(B4077&lt;=NKC!$N$8,B4077&gt;=NKC!$M$8),"x","")</f>
        <v/>
      </c>
      <c r="AA4077" s="535">
        <v>3</v>
      </c>
      <c r="AB4077" s="536"/>
      <c r="AC4077" s="536" t="str">
        <f>VLOOKUP(F4077,NXT!$B$12:$B$686,1,0)</f>
        <v>Thùng 115x115x31</v>
      </c>
    </row>
    <row r="4078" spans="1:29" s="503" customFormat="1" ht="15.75" customHeight="1">
      <c r="A4078" s="517" t="str">
        <f>IF(B4078&lt;&gt;"",IF(AND(B4078&gt;=_TM1,B4078&lt;=_TM2,OR(TH!L4078="1111",TH!M4078="1111")),TH!D4078,""),"")</f>
        <v/>
      </c>
      <c r="B4078" s="531">
        <f t="shared" si="500"/>
        <v>8</v>
      </c>
      <c r="C4078" s="315">
        <f t="shared" si="501"/>
        <v>42977</v>
      </c>
      <c r="D4078" s="315" t="s">
        <v>1180</v>
      </c>
      <c r="E4078" s="315">
        <v>42977</v>
      </c>
      <c r="F4078" s="250" t="s">
        <v>274</v>
      </c>
      <c r="G4078" s="314" t="s">
        <v>1078</v>
      </c>
      <c r="H4078" s="473" t="s">
        <v>1501</v>
      </c>
      <c r="I4078" s="307">
        <v>1253</v>
      </c>
      <c r="J4078" s="307">
        <v>11221</v>
      </c>
      <c r="K4078" s="532">
        <f t="shared" si="502"/>
        <v>14059913</v>
      </c>
      <c r="L4078" s="534" t="s">
        <v>292</v>
      </c>
      <c r="M4078" s="534" t="s">
        <v>8</v>
      </c>
      <c r="N4078" s="525" t="str">
        <f>IF(AND('331-CT'!$E$7=TH!H4078,OR(L4078="331",M4078="331")),"331",IF(AND(OR(L4078="131",M4078="131"),H4078='131-CT'!$E$7),"131",""))</f>
        <v/>
      </c>
      <c r="O4078" s="525" t="str">
        <f>IF(AND($B4078&gt;='111'!$N$11,$B4078&lt;='111'!$O$11,OR($L4078=$O$7,$M4078=$O$7)),"x","")</f>
        <v/>
      </c>
      <c r="P4078" s="525" t="str">
        <f>IF(AND($L4078=$O$7,$B4078&lt;'111'!$N$11),"x","")</f>
        <v/>
      </c>
      <c r="Q4078" s="525" t="str">
        <f>IF(AND($M4078=$O$7,$B4078&lt;'111'!$N$11),"x","")</f>
        <v/>
      </c>
      <c r="R4078" s="525" t="str">
        <f>IF(ISERROR(FIND('112'!$M$9,G4078,1)),"",IF((AND(FIND('112'!$M$9,G4078,1)&gt;=1,$B4078&gt;='112'!$N$8,$B4078&lt;='112'!$O$8,OR($L4078='112'!$I$6,$M4078='112'!$I$6))),"x",""))</f>
        <v/>
      </c>
      <c r="S4078" s="525" t="str">
        <f>IF(ISERROR(FIND('112'!$M$9,G4078,1)),"",IF((AND(LEFT(G4078,2)=LEFT('112'!$M$9,2),B4078&lt;'112'!$N$8,$L4078='112'!$I$6)),"x",""))</f>
        <v/>
      </c>
      <c r="T4078" s="525" t="str">
        <f>IF(ISERROR(FIND('112'!$M$9,G4078,1)),"",IF((AND(RIGHT(G4078,2)=RIGHT('112'!$M$9,2),B4078&lt;'112'!$N$8,$M4078='112'!$I$6)),"x",""))</f>
        <v/>
      </c>
      <c r="U4078" s="525" t="str">
        <f>IF(AND(B4078&gt;='IN-NX'!$P$3,B4078&lt;='IN-NX'!$Q$3,'IN-NX'!$D$7=D4078,OR(LEFT(L4078,2)="15",AND(LEFT(M4078,2)&lt;&gt;"15",LEFT(M4078,2)&lt;&gt;"33"))),"x","")</f>
        <v/>
      </c>
      <c r="V4078" s="525" t="str">
        <f>IF(AND(OR(LEFT(TH!L4078,2)="15",LEFT(TH!M4078,2)="15"),'152-CT'!$J$8=TH!F4078),"x","")</f>
        <v/>
      </c>
      <c r="W4078" s="525" t="str">
        <f>IF(AND(OR(LEFT(TH!L4078,2)="15",LEFT(TH!M4078,2)="15"),TK!$E$7=TH!F4078),"x","")</f>
        <v>x</v>
      </c>
      <c r="X4078" s="525" t="str">
        <f>IF(AND('341-CT'!$E$9=H4078,OR(LEFT(L4078,3)=$X$7,LEFT(M4078,3)=$X$7)),"x","")</f>
        <v/>
      </c>
      <c r="Y4078" s="525" t="str">
        <f>IF(OR(TH!L4078=TH!$Y$7,M4078=TH!$Y$7),"x","")</f>
        <v/>
      </c>
      <c r="Z4078" s="525" t="str">
        <f>IF(AND(B4078&lt;=NKC!$N$8,B4078&gt;=NKC!$M$8),"x","")</f>
        <v/>
      </c>
      <c r="AA4078" s="535">
        <v>3</v>
      </c>
      <c r="AB4078" s="536"/>
      <c r="AC4078" s="536" t="str">
        <f>VLOOKUP(F4078,NXT!$B$12:$B$686,1,0)</f>
        <v>Giấy 2 lớp</v>
      </c>
    </row>
    <row r="4079" spans="1:29" s="503" customFormat="1" ht="15.75" customHeight="1">
      <c r="A4079" s="517" t="str">
        <f>IF(B4079&lt;&gt;"",IF(AND(B4079&gt;=_TM1,B4079&lt;=_TM2,OR(TH!L4079="1111",TH!M4079="1111")),TH!D4079,""),"")</f>
        <v/>
      </c>
      <c r="B4079" s="531">
        <f t="shared" si="500"/>
        <v>8</v>
      </c>
      <c r="C4079" s="315">
        <f t="shared" si="501"/>
        <v>42977</v>
      </c>
      <c r="D4079" s="315" t="s">
        <v>1180</v>
      </c>
      <c r="E4079" s="315">
        <v>42977</v>
      </c>
      <c r="F4079" s="250" t="s">
        <v>619</v>
      </c>
      <c r="G4079" s="314" t="s">
        <v>1078</v>
      </c>
      <c r="H4079" s="473" t="s">
        <v>1501</v>
      </c>
      <c r="I4079" s="307">
        <v>12</v>
      </c>
      <c r="J4079" s="307">
        <v>32632</v>
      </c>
      <c r="K4079" s="532">
        <f t="shared" si="502"/>
        <v>391584</v>
      </c>
      <c r="L4079" s="534" t="s">
        <v>292</v>
      </c>
      <c r="M4079" s="534" t="s">
        <v>8</v>
      </c>
      <c r="N4079" s="525" t="str">
        <f>IF(AND('331-CT'!$E$7=TH!H4079,OR(L4079="331",M4079="331")),"331",IF(AND(OR(L4079="131",M4079="131"),H4079='131-CT'!$E$7),"131",""))</f>
        <v/>
      </c>
      <c r="O4079" s="525" t="str">
        <f>IF(AND($B4079&gt;='111'!$N$11,$B4079&lt;='111'!$O$11,OR($L4079=$O$7,$M4079=$O$7)),"x","")</f>
        <v/>
      </c>
      <c r="P4079" s="525" t="str">
        <f>IF(AND($L4079=$O$7,$B4079&lt;'111'!$N$11),"x","")</f>
        <v/>
      </c>
      <c r="Q4079" s="525" t="str">
        <f>IF(AND($M4079=$O$7,$B4079&lt;'111'!$N$11),"x","")</f>
        <v/>
      </c>
      <c r="R4079" s="525" t="str">
        <f>IF(ISERROR(FIND('112'!$M$9,G4079,1)),"",IF((AND(FIND('112'!$M$9,G4079,1)&gt;=1,$B4079&gt;='112'!$N$8,$B4079&lt;='112'!$O$8,OR($L4079='112'!$I$6,$M4079='112'!$I$6))),"x",""))</f>
        <v/>
      </c>
      <c r="S4079" s="525" t="str">
        <f>IF(ISERROR(FIND('112'!$M$9,G4079,1)),"",IF((AND(LEFT(G4079,2)=LEFT('112'!$M$9,2),B4079&lt;'112'!$N$8,$L4079='112'!$I$6)),"x",""))</f>
        <v/>
      </c>
      <c r="T4079" s="525" t="str">
        <f>IF(ISERROR(FIND('112'!$M$9,G4079,1)),"",IF((AND(RIGHT(G4079,2)=RIGHT('112'!$M$9,2),B4079&lt;'112'!$N$8,$M4079='112'!$I$6)),"x",""))</f>
        <v/>
      </c>
      <c r="U4079" s="525" t="str">
        <f>IF(AND(B4079&gt;='IN-NX'!$P$3,B4079&lt;='IN-NX'!$Q$3,'IN-NX'!$D$7=D4079,OR(LEFT(L4079,2)="15",AND(LEFT(M4079,2)&lt;&gt;"15",LEFT(M4079,2)&lt;&gt;"33"))),"x","")</f>
        <v/>
      </c>
      <c r="V4079" s="525" t="str">
        <f>IF(AND(OR(LEFT(TH!L4079,2)="15",LEFT(TH!M4079,2)="15"),'152-CT'!$J$8=TH!F4079),"x","")</f>
        <v/>
      </c>
      <c r="W4079" s="525" t="str">
        <f>IF(AND(OR(LEFT(TH!L4079,2)="15",LEFT(TH!M4079,2)="15"),TK!$E$7=TH!F4079),"x","")</f>
        <v/>
      </c>
      <c r="X4079" s="525" t="str">
        <f>IF(AND('341-CT'!$E$9=H4079,OR(LEFT(L4079,3)=$X$7,LEFT(M4079,3)=$X$7)),"x","")</f>
        <v/>
      </c>
      <c r="Y4079" s="525" t="str">
        <f>IF(OR(TH!L4079=TH!$Y$7,M4079=TH!$Y$7),"x","")</f>
        <v/>
      </c>
      <c r="Z4079" s="525" t="str">
        <f>IF(AND(B4079&lt;=NKC!$N$8,B4079&gt;=NKC!$M$8),"x","")</f>
        <v/>
      </c>
      <c r="AA4079" s="535">
        <v>3</v>
      </c>
      <c r="AB4079" s="536"/>
      <c r="AC4079" s="536" t="str">
        <f>VLOOKUP(F4079,NXT!$B$12:$B$686,1,0)</f>
        <v>Thùng 40x40x52</v>
      </c>
    </row>
    <row r="4080" spans="1:29" s="503" customFormat="1" ht="15.75" customHeight="1">
      <c r="A4080" s="517" t="str">
        <f>IF(B4080&lt;&gt;"",IF(AND(B4080&gt;=_TM1,B4080&lt;=_TM2,OR(TH!L4080="1111",TH!M4080="1111")),TH!D4080,""),"")</f>
        <v/>
      </c>
      <c r="B4080" s="531">
        <f t="shared" si="500"/>
        <v>8</v>
      </c>
      <c r="C4080" s="315">
        <f t="shared" si="501"/>
        <v>42977</v>
      </c>
      <c r="D4080" s="315" t="s">
        <v>1180</v>
      </c>
      <c r="E4080" s="315">
        <v>42977</v>
      </c>
      <c r="F4080" s="250" t="s">
        <v>708</v>
      </c>
      <c r="G4080" s="314" t="s">
        <v>1078</v>
      </c>
      <c r="H4080" s="473" t="s">
        <v>1501</v>
      </c>
      <c r="I4080" s="307">
        <v>48</v>
      </c>
      <c r="J4080" s="307">
        <v>35387</v>
      </c>
      <c r="K4080" s="532">
        <f t="shared" si="502"/>
        <v>1698576</v>
      </c>
      <c r="L4080" s="534" t="s">
        <v>292</v>
      </c>
      <c r="M4080" s="534" t="s">
        <v>8</v>
      </c>
      <c r="N4080" s="525" t="str">
        <f>IF(AND('331-CT'!$E$7=TH!H4080,OR(L4080="331",M4080="331")),"331",IF(AND(OR(L4080="131",M4080="131"),H4080='131-CT'!$E$7),"131",""))</f>
        <v/>
      </c>
      <c r="O4080" s="525" t="str">
        <f>IF(AND($B4080&gt;='111'!$N$11,$B4080&lt;='111'!$O$11,OR($L4080=$O$7,$M4080=$O$7)),"x","")</f>
        <v/>
      </c>
      <c r="P4080" s="525" t="str">
        <f>IF(AND($L4080=$O$7,$B4080&lt;'111'!$N$11),"x","")</f>
        <v/>
      </c>
      <c r="Q4080" s="525" t="str">
        <f>IF(AND($M4080=$O$7,$B4080&lt;'111'!$N$11),"x","")</f>
        <v/>
      </c>
      <c r="R4080" s="525" t="str">
        <f>IF(ISERROR(FIND('112'!$M$9,G4080,1)),"",IF((AND(FIND('112'!$M$9,G4080,1)&gt;=1,$B4080&gt;='112'!$N$8,$B4080&lt;='112'!$O$8,OR($L4080='112'!$I$6,$M4080='112'!$I$6))),"x",""))</f>
        <v/>
      </c>
      <c r="S4080" s="525" t="str">
        <f>IF(ISERROR(FIND('112'!$M$9,G4080,1)),"",IF((AND(LEFT(G4080,2)=LEFT('112'!$M$9,2),B4080&lt;'112'!$N$8,$L4080='112'!$I$6)),"x",""))</f>
        <v/>
      </c>
      <c r="T4080" s="525" t="str">
        <f>IF(ISERROR(FIND('112'!$M$9,G4080,1)),"",IF((AND(RIGHT(G4080,2)=RIGHT('112'!$M$9,2),B4080&lt;'112'!$N$8,$M4080='112'!$I$6)),"x",""))</f>
        <v/>
      </c>
      <c r="U4080" s="525" t="str">
        <f>IF(AND(B4080&gt;='IN-NX'!$P$3,B4080&lt;='IN-NX'!$Q$3,'IN-NX'!$D$7=D4080,OR(LEFT(L4080,2)="15",AND(LEFT(M4080,2)&lt;&gt;"15",LEFT(M4080,2)&lt;&gt;"33"))),"x","")</f>
        <v/>
      </c>
      <c r="V4080" s="525" t="str">
        <f>IF(AND(OR(LEFT(TH!L4080,2)="15",LEFT(TH!M4080,2)="15"),'152-CT'!$J$8=TH!F4080),"x","")</f>
        <v/>
      </c>
      <c r="W4080" s="525" t="str">
        <f>IF(AND(OR(LEFT(TH!L4080,2)="15",LEFT(TH!M4080,2)="15"),TK!$E$7=TH!F4080),"x","")</f>
        <v/>
      </c>
      <c r="X4080" s="525" t="str">
        <f>IF(AND('341-CT'!$E$9=H4080,OR(LEFT(L4080,3)=$X$7,LEFT(M4080,3)=$X$7)),"x","")</f>
        <v/>
      </c>
      <c r="Y4080" s="525" t="str">
        <f>IF(OR(TH!L4080=TH!$Y$7,M4080=TH!$Y$7),"x","")</f>
        <v/>
      </c>
      <c r="Z4080" s="525" t="str">
        <f>IF(AND(B4080&lt;=NKC!$N$8,B4080&gt;=NKC!$M$8),"x","")</f>
        <v/>
      </c>
      <c r="AA4080" s="535">
        <v>3</v>
      </c>
      <c r="AB4080" s="536"/>
      <c r="AC4080" s="536" t="str">
        <f>VLOOKUP(F4080,NXT!$B$12:$B$686,1,0)</f>
        <v>Thùng 44x44x52</v>
      </c>
    </row>
    <row r="4081" spans="1:29" s="503" customFormat="1" ht="15.75" customHeight="1">
      <c r="A4081" s="517" t="str">
        <f>IF(B4081&lt;&gt;"",IF(AND(B4081&gt;=_TM1,B4081&lt;=_TM2,OR(TH!L4081="1111",TH!M4081="1111")),TH!D4081,""),"")</f>
        <v/>
      </c>
      <c r="B4081" s="531">
        <f t="shared" si="500"/>
        <v>8</v>
      </c>
      <c r="C4081" s="315">
        <f t="shared" si="501"/>
        <v>42977</v>
      </c>
      <c r="D4081" s="315" t="s">
        <v>1180</v>
      </c>
      <c r="E4081" s="315">
        <v>42977</v>
      </c>
      <c r="F4081" s="250" t="s">
        <v>1225</v>
      </c>
      <c r="G4081" s="314" t="s">
        <v>1078</v>
      </c>
      <c r="H4081" s="473" t="s">
        <v>1501</v>
      </c>
      <c r="I4081" s="307">
        <v>24</v>
      </c>
      <c r="J4081" s="307">
        <v>20647</v>
      </c>
      <c r="K4081" s="532">
        <f t="shared" si="502"/>
        <v>495528</v>
      </c>
      <c r="L4081" s="534" t="s">
        <v>292</v>
      </c>
      <c r="M4081" s="534" t="s">
        <v>8</v>
      </c>
      <c r="N4081" s="525" t="str">
        <f>IF(AND('331-CT'!$E$7=TH!H4081,OR(L4081="331",M4081="331")),"331",IF(AND(OR(L4081="131",M4081="131"),H4081='131-CT'!$E$7),"131",""))</f>
        <v/>
      </c>
      <c r="O4081" s="525" t="str">
        <f>IF(AND($B4081&gt;='111'!$N$11,$B4081&lt;='111'!$O$11,OR($L4081=$O$7,$M4081=$O$7)),"x","")</f>
        <v/>
      </c>
      <c r="P4081" s="525" t="str">
        <f>IF(AND($L4081=$O$7,$B4081&lt;'111'!$N$11),"x","")</f>
        <v/>
      </c>
      <c r="Q4081" s="525" t="str">
        <f>IF(AND($M4081=$O$7,$B4081&lt;'111'!$N$11),"x","")</f>
        <v/>
      </c>
      <c r="R4081" s="525" t="str">
        <f>IF(ISERROR(FIND('112'!$M$9,G4081,1)),"",IF((AND(FIND('112'!$M$9,G4081,1)&gt;=1,$B4081&gt;='112'!$N$8,$B4081&lt;='112'!$O$8,OR($L4081='112'!$I$6,$M4081='112'!$I$6))),"x",""))</f>
        <v/>
      </c>
      <c r="S4081" s="525" t="str">
        <f>IF(ISERROR(FIND('112'!$M$9,G4081,1)),"",IF((AND(LEFT(G4081,2)=LEFT('112'!$M$9,2),B4081&lt;'112'!$N$8,$L4081='112'!$I$6)),"x",""))</f>
        <v/>
      </c>
      <c r="T4081" s="525" t="str">
        <f>IF(ISERROR(FIND('112'!$M$9,G4081,1)),"",IF((AND(RIGHT(G4081,2)=RIGHT('112'!$M$9,2),B4081&lt;'112'!$N$8,$M4081='112'!$I$6)),"x",""))</f>
        <v/>
      </c>
      <c r="U4081" s="525" t="str">
        <f>IF(AND(B4081&gt;='IN-NX'!$P$3,B4081&lt;='IN-NX'!$Q$3,'IN-NX'!$D$7=D4081,OR(LEFT(L4081,2)="15",AND(LEFT(M4081,2)&lt;&gt;"15",LEFT(M4081,2)&lt;&gt;"33"))),"x","")</f>
        <v/>
      </c>
      <c r="V4081" s="525" t="str">
        <f>IF(AND(OR(LEFT(TH!L4081,2)="15",LEFT(TH!M4081,2)="15"),'152-CT'!$J$8=TH!F4081),"x","")</f>
        <v/>
      </c>
      <c r="W4081" s="525" t="str">
        <f>IF(AND(OR(LEFT(TH!L4081,2)="15",LEFT(TH!M4081,2)="15"),TK!$E$7=TH!F4081),"x","")</f>
        <v/>
      </c>
      <c r="X4081" s="525" t="str">
        <f>IF(AND('341-CT'!$E$9=H4081,OR(LEFT(L4081,3)=$X$7,LEFT(M4081,3)=$X$7)),"x","")</f>
        <v/>
      </c>
      <c r="Y4081" s="525" t="str">
        <f>IF(OR(TH!L4081=TH!$Y$7,M4081=TH!$Y$7),"x","")</f>
        <v/>
      </c>
      <c r="Z4081" s="525" t="str">
        <f>IF(AND(B4081&lt;=NKC!$N$8,B4081&gt;=NKC!$M$8),"x","")</f>
        <v/>
      </c>
      <c r="AA4081" s="535">
        <v>3</v>
      </c>
      <c r="AB4081" s="536"/>
      <c r="AC4081" s="536" t="str">
        <f>VLOOKUP(F4081,NXT!$B$12:$B$686,1,0)</f>
        <v>Thùng 41.5x41.5x49</v>
      </c>
    </row>
    <row r="4082" spans="1:29" s="503" customFormat="1" ht="15.75" customHeight="1">
      <c r="A4082" s="517" t="str">
        <f>IF(B4082&lt;&gt;"",IF(AND(B4082&gt;=_TM1,B4082&lt;=_TM2,OR(TH!L4082="1111",TH!M4082="1111")),TH!D4082,""),"")</f>
        <v/>
      </c>
      <c r="B4082" s="531">
        <f t="shared" si="500"/>
        <v>8</v>
      </c>
      <c r="C4082" s="315">
        <f t="shared" si="501"/>
        <v>42977</v>
      </c>
      <c r="D4082" s="315" t="s">
        <v>1180</v>
      </c>
      <c r="E4082" s="315">
        <v>42977</v>
      </c>
      <c r="F4082" s="250" t="s">
        <v>704</v>
      </c>
      <c r="G4082" s="314" t="s">
        <v>1078</v>
      </c>
      <c r="H4082" s="473" t="s">
        <v>1501</v>
      </c>
      <c r="I4082" s="307">
        <v>110</v>
      </c>
      <c r="J4082" s="307">
        <v>17606</v>
      </c>
      <c r="K4082" s="532">
        <f t="shared" si="502"/>
        <v>1936660</v>
      </c>
      <c r="L4082" s="534" t="s">
        <v>292</v>
      </c>
      <c r="M4082" s="534" t="s">
        <v>8</v>
      </c>
      <c r="N4082" s="525" t="str">
        <f>IF(AND('331-CT'!$E$7=TH!H4082,OR(L4082="331",M4082="331")),"331",IF(AND(OR(L4082="131",M4082="131"),H4082='131-CT'!$E$7),"131",""))</f>
        <v/>
      </c>
      <c r="O4082" s="525" t="str">
        <f>IF(AND($B4082&gt;='111'!$N$11,$B4082&lt;='111'!$O$11,OR($L4082=$O$7,$M4082=$O$7)),"x","")</f>
        <v/>
      </c>
      <c r="P4082" s="525" t="str">
        <f>IF(AND($L4082=$O$7,$B4082&lt;'111'!$N$11),"x","")</f>
        <v/>
      </c>
      <c r="Q4082" s="525" t="str">
        <f>IF(AND($M4082=$O$7,$B4082&lt;'111'!$N$11),"x","")</f>
        <v/>
      </c>
      <c r="R4082" s="525" t="str">
        <f>IF(ISERROR(FIND('112'!$M$9,G4082,1)),"",IF((AND(FIND('112'!$M$9,G4082,1)&gt;=1,$B4082&gt;='112'!$N$8,$B4082&lt;='112'!$O$8,OR($L4082='112'!$I$6,$M4082='112'!$I$6))),"x",""))</f>
        <v/>
      </c>
      <c r="S4082" s="525" t="str">
        <f>IF(ISERROR(FIND('112'!$M$9,G4082,1)),"",IF((AND(LEFT(G4082,2)=LEFT('112'!$M$9,2),B4082&lt;'112'!$N$8,$L4082='112'!$I$6)),"x",""))</f>
        <v/>
      </c>
      <c r="T4082" s="525" t="str">
        <f>IF(ISERROR(FIND('112'!$M$9,G4082,1)),"",IF((AND(RIGHT(G4082,2)=RIGHT('112'!$M$9,2),B4082&lt;'112'!$N$8,$M4082='112'!$I$6)),"x",""))</f>
        <v/>
      </c>
      <c r="U4082" s="525" t="str">
        <f>IF(AND(B4082&gt;='IN-NX'!$P$3,B4082&lt;='IN-NX'!$Q$3,'IN-NX'!$D$7=D4082,OR(LEFT(L4082,2)="15",AND(LEFT(M4082,2)&lt;&gt;"15",LEFT(M4082,2)&lt;&gt;"33"))),"x","")</f>
        <v/>
      </c>
      <c r="V4082" s="525" t="str">
        <f>IF(AND(OR(LEFT(TH!L4082,2)="15",LEFT(TH!M4082,2)="15"),'152-CT'!$J$8=TH!F4082),"x","")</f>
        <v/>
      </c>
      <c r="W4082" s="525" t="str">
        <f>IF(AND(OR(LEFT(TH!L4082,2)="15",LEFT(TH!M4082,2)="15"),TK!$E$7=TH!F4082),"x","")</f>
        <v/>
      </c>
      <c r="X4082" s="525" t="str">
        <f>IF(AND('341-CT'!$E$9=H4082,OR(LEFT(L4082,3)=$X$7,LEFT(M4082,3)=$X$7)),"x","")</f>
        <v/>
      </c>
      <c r="Y4082" s="525" t="str">
        <f>IF(OR(TH!L4082=TH!$Y$7,M4082=TH!$Y$7),"x","")</f>
        <v/>
      </c>
      <c r="Z4082" s="525" t="str">
        <f>IF(AND(B4082&lt;=NKC!$N$8,B4082&gt;=NKC!$M$8),"x","")</f>
        <v/>
      </c>
      <c r="AA4082" s="535">
        <v>3</v>
      </c>
      <c r="AB4082" s="536"/>
      <c r="AC4082" s="536" t="str">
        <f>VLOOKUP(F4082,NXT!$B$12:$B$686,1,0)</f>
        <v>Thùng 37x37x49</v>
      </c>
    </row>
    <row r="4083" spans="1:29" s="503" customFormat="1" ht="15.75" customHeight="1">
      <c r="A4083" s="517" t="str">
        <f>IF(B4083&lt;&gt;"",IF(AND(B4083&gt;=_TM1,B4083&lt;=_TM2,OR(TH!L4083="1111",TH!M4083="1111")),TH!D4083,""),"")</f>
        <v/>
      </c>
      <c r="B4083" s="531">
        <f t="shared" si="500"/>
        <v>8</v>
      </c>
      <c r="C4083" s="315">
        <f t="shared" si="501"/>
        <v>42977</v>
      </c>
      <c r="D4083" s="315" t="s">
        <v>1180</v>
      </c>
      <c r="E4083" s="315">
        <v>42977</v>
      </c>
      <c r="F4083" s="250" t="s">
        <v>1245</v>
      </c>
      <c r="G4083" s="314" t="s">
        <v>1078</v>
      </c>
      <c r="H4083" s="473" t="s">
        <v>1501</v>
      </c>
      <c r="I4083" s="307">
        <v>18</v>
      </c>
      <c r="J4083" s="307">
        <v>15457</v>
      </c>
      <c r="K4083" s="532">
        <f t="shared" si="502"/>
        <v>278226</v>
      </c>
      <c r="L4083" s="534" t="s">
        <v>292</v>
      </c>
      <c r="M4083" s="534" t="s">
        <v>8</v>
      </c>
      <c r="N4083" s="525" t="str">
        <f>IF(AND('331-CT'!$E$7=TH!H4083,OR(L4083="331",M4083="331")),"331",IF(AND(OR(L4083="131",M4083="131"),H4083='131-CT'!$E$7),"131",""))</f>
        <v/>
      </c>
      <c r="O4083" s="525" t="str">
        <f>IF(AND($B4083&gt;='111'!$N$11,$B4083&lt;='111'!$O$11,OR($L4083=$O$7,$M4083=$O$7)),"x","")</f>
        <v/>
      </c>
      <c r="P4083" s="525" t="str">
        <f>IF(AND($L4083=$O$7,$B4083&lt;'111'!$N$11),"x","")</f>
        <v/>
      </c>
      <c r="Q4083" s="525" t="str">
        <f>IF(AND($M4083=$O$7,$B4083&lt;'111'!$N$11),"x","")</f>
        <v/>
      </c>
      <c r="R4083" s="525" t="str">
        <f>IF(ISERROR(FIND('112'!$M$9,G4083,1)),"",IF((AND(FIND('112'!$M$9,G4083,1)&gt;=1,$B4083&gt;='112'!$N$8,$B4083&lt;='112'!$O$8,OR($L4083='112'!$I$6,$M4083='112'!$I$6))),"x",""))</f>
        <v/>
      </c>
      <c r="S4083" s="525" t="str">
        <f>IF(ISERROR(FIND('112'!$M$9,G4083,1)),"",IF((AND(LEFT(G4083,2)=LEFT('112'!$M$9,2),B4083&lt;'112'!$N$8,$L4083='112'!$I$6)),"x",""))</f>
        <v/>
      </c>
      <c r="T4083" s="525" t="str">
        <f>IF(ISERROR(FIND('112'!$M$9,G4083,1)),"",IF((AND(RIGHT(G4083,2)=RIGHT('112'!$M$9,2),B4083&lt;'112'!$N$8,$M4083='112'!$I$6)),"x",""))</f>
        <v/>
      </c>
      <c r="U4083" s="525" t="str">
        <f>IF(AND(B4083&gt;='IN-NX'!$P$3,B4083&lt;='IN-NX'!$Q$3,'IN-NX'!$D$7=D4083,OR(LEFT(L4083,2)="15",AND(LEFT(M4083,2)&lt;&gt;"15",LEFT(M4083,2)&lt;&gt;"33"))),"x","")</f>
        <v/>
      </c>
      <c r="V4083" s="525" t="str">
        <f>IF(AND(OR(LEFT(TH!L4083,2)="15",LEFT(TH!M4083,2)="15"),'152-CT'!$J$8=TH!F4083),"x","")</f>
        <v/>
      </c>
      <c r="W4083" s="525" t="str">
        <f>IF(AND(OR(LEFT(TH!L4083,2)="15",LEFT(TH!M4083,2)="15"),TK!$E$7=TH!F4083),"x","")</f>
        <v/>
      </c>
      <c r="X4083" s="525" t="str">
        <f>IF(AND('341-CT'!$E$9=H4083,OR(LEFT(L4083,3)=$X$7,LEFT(M4083,3)=$X$7)),"x","")</f>
        <v/>
      </c>
      <c r="Y4083" s="525" t="str">
        <f>IF(OR(TH!L4083=TH!$Y$7,M4083=TH!$Y$7),"x","")</f>
        <v/>
      </c>
      <c r="Z4083" s="525" t="str">
        <f>IF(AND(B4083&lt;=NKC!$N$8,B4083&gt;=NKC!$M$8),"x","")</f>
        <v/>
      </c>
      <c r="AA4083" s="535">
        <v>3</v>
      </c>
      <c r="AB4083" s="536"/>
      <c r="AC4083" s="536" t="str">
        <f>VLOOKUP(F4083,NXT!$B$12:$B$686,1,0)</f>
        <v>Thùng 36.5x32.5x48</v>
      </c>
    </row>
    <row r="4084" spans="1:29" s="503" customFormat="1" ht="15.75" customHeight="1">
      <c r="A4084" s="517" t="str">
        <f>IF(B4084&lt;&gt;"",IF(AND(B4084&gt;=_TM1,B4084&lt;=_TM2,OR(TH!L4084="1111",TH!M4084="1111")),TH!D4084,""),"")</f>
        <v/>
      </c>
      <c r="B4084" s="531">
        <f t="shared" si="500"/>
        <v>8</v>
      </c>
      <c r="C4084" s="315">
        <f t="shared" si="501"/>
        <v>42977</v>
      </c>
      <c r="D4084" s="315" t="s">
        <v>1180</v>
      </c>
      <c r="E4084" s="315">
        <v>42977</v>
      </c>
      <c r="F4084" s="250" t="s">
        <v>709</v>
      </c>
      <c r="G4084" s="314" t="s">
        <v>1078</v>
      </c>
      <c r="H4084" s="473" t="s">
        <v>1501</v>
      </c>
      <c r="I4084" s="307">
        <v>60</v>
      </c>
      <c r="J4084" s="307">
        <v>40038</v>
      </c>
      <c r="K4084" s="532">
        <f t="shared" si="502"/>
        <v>2402280</v>
      </c>
      <c r="L4084" s="534" t="s">
        <v>292</v>
      </c>
      <c r="M4084" s="534" t="s">
        <v>8</v>
      </c>
      <c r="N4084" s="525" t="str">
        <f>IF(AND('331-CT'!$E$7=TH!H4084,OR(L4084="331",M4084="331")),"331",IF(AND(OR(L4084="131",M4084="131"),H4084='131-CT'!$E$7),"131",""))</f>
        <v/>
      </c>
      <c r="O4084" s="525" t="str">
        <f>IF(AND($B4084&gt;='111'!$N$11,$B4084&lt;='111'!$O$11,OR($L4084=$O$7,$M4084=$O$7)),"x","")</f>
        <v/>
      </c>
      <c r="P4084" s="525" t="str">
        <f>IF(AND($L4084=$O$7,$B4084&lt;'111'!$N$11),"x","")</f>
        <v/>
      </c>
      <c r="Q4084" s="525" t="str">
        <f>IF(AND($M4084=$O$7,$B4084&lt;'111'!$N$11),"x","")</f>
        <v/>
      </c>
      <c r="R4084" s="525" t="str">
        <f>IF(ISERROR(FIND('112'!$M$9,G4084,1)),"",IF((AND(FIND('112'!$M$9,G4084,1)&gt;=1,$B4084&gt;='112'!$N$8,$B4084&lt;='112'!$O$8,OR($L4084='112'!$I$6,$M4084='112'!$I$6))),"x",""))</f>
        <v/>
      </c>
      <c r="S4084" s="525" t="str">
        <f>IF(ISERROR(FIND('112'!$M$9,G4084,1)),"",IF((AND(LEFT(G4084,2)=LEFT('112'!$M$9,2),B4084&lt;'112'!$N$8,$L4084='112'!$I$6)),"x",""))</f>
        <v/>
      </c>
      <c r="T4084" s="525" t="str">
        <f>IF(ISERROR(FIND('112'!$M$9,G4084,1)),"",IF((AND(RIGHT(G4084,2)=RIGHT('112'!$M$9,2),B4084&lt;'112'!$N$8,$M4084='112'!$I$6)),"x",""))</f>
        <v/>
      </c>
      <c r="U4084" s="525" t="str">
        <f>IF(AND(B4084&gt;='IN-NX'!$P$3,B4084&lt;='IN-NX'!$Q$3,'IN-NX'!$D$7=D4084,OR(LEFT(L4084,2)="15",AND(LEFT(M4084,2)&lt;&gt;"15",LEFT(M4084,2)&lt;&gt;"33"))),"x","")</f>
        <v/>
      </c>
      <c r="V4084" s="525" t="str">
        <f>IF(AND(OR(LEFT(TH!L4084,2)="15",LEFT(TH!M4084,2)="15"),'152-CT'!$J$8=TH!F4084),"x","")</f>
        <v/>
      </c>
      <c r="W4084" s="525" t="str">
        <f>IF(AND(OR(LEFT(TH!L4084,2)="15",LEFT(TH!M4084,2)="15"),TK!$E$7=TH!F4084),"x","")</f>
        <v/>
      </c>
      <c r="X4084" s="525" t="str">
        <f>IF(AND('341-CT'!$E$9=H4084,OR(LEFT(L4084,3)=$X$7,LEFT(M4084,3)=$X$7)),"x","")</f>
        <v/>
      </c>
      <c r="Y4084" s="525" t="str">
        <f>IF(OR(TH!L4084=TH!$Y$7,M4084=TH!$Y$7),"x","")</f>
        <v/>
      </c>
      <c r="Z4084" s="525" t="str">
        <f>IF(AND(B4084&lt;=NKC!$N$8,B4084&gt;=NKC!$M$8),"x","")</f>
        <v/>
      </c>
      <c r="AA4084" s="535">
        <v>3</v>
      </c>
      <c r="AB4084" s="536"/>
      <c r="AC4084" s="536" t="str">
        <f>VLOOKUP(F4084,NXT!$B$12:$B$686,1,0)</f>
        <v>Thùng 48x48x52</v>
      </c>
    </row>
    <row r="4085" spans="1:29" s="503" customFormat="1" ht="15.75" customHeight="1">
      <c r="A4085" s="517" t="str">
        <f>IF(B4085&lt;&gt;"",IF(AND(B4085&gt;=_TM1,B4085&lt;=_TM2,OR(TH!L4085="1111",TH!M4085="1111")),TH!D4085,""),"")</f>
        <v/>
      </c>
      <c r="B4085" s="531">
        <f t="shared" si="500"/>
        <v>8</v>
      </c>
      <c r="C4085" s="315">
        <f t="shared" si="501"/>
        <v>42977</v>
      </c>
      <c r="D4085" s="315" t="s">
        <v>1180</v>
      </c>
      <c r="E4085" s="315">
        <v>42977</v>
      </c>
      <c r="F4085" s="250" t="s">
        <v>1482</v>
      </c>
      <c r="G4085" s="314" t="s">
        <v>1078</v>
      </c>
      <c r="H4085" s="473" t="s">
        <v>1501</v>
      </c>
      <c r="I4085" s="307">
        <v>10</v>
      </c>
      <c r="J4085" s="307">
        <v>20083</v>
      </c>
      <c r="K4085" s="532">
        <f t="shared" si="502"/>
        <v>200830</v>
      </c>
      <c r="L4085" s="534" t="s">
        <v>292</v>
      </c>
      <c r="M4085" s="534" t="s">
        <v>8</v>
      </c>
      <c r="N4085" s="525" t="str">
        <f>IF(AND('331-CT'!$E$7=TH!H4085,OR(L4085="331",M4085="331")),"331",IF(AND(OR(L4085="131",M4085="131"),H4085='131-CT'!$E$7),"131",""))</f>
        <v/>
      </c>
      <c r="O4085" s="525" t="str">
        <f>IF(AND($B4085&gt;='111'!$N$11,$B4085&lt;='111'!$O$11,OR($L4085=$O$7,$M4085=$O$7)),"x","")</f>
        <v/>
      </c>
      <c r="P4085" s="525" t="str">
        <f>IF(AND($L4085=$O$7,$B4085&lt;'111'!$N$11),"x","")</f>
        <v/>
      </c>
      <c r="Q4085" s="525" t="str">
        <f>IF(AND($M4085=$O$7,$B4085&lt;'111'!$N$11),"x","")</f>
        <v/>
      </c>
      <c r="R4085" s="525" t="str">
        <f>IF(ISERROR(FIND('112'!$M$9,G4085,1)),"",IF((AND(FIND('112'!$M$9,G4085,1)&gt;=1,$B4085&gt;='112'!$N$8,$B4085&lt;='112'!$O$8,OR($L4085='112'!$I$6,$M4085='112'!$I$6))),"x",""))</f>
        <v/>
      </c>
      <c r="S4085" s="525" t="str">
        <f>IF(ISERROR(FIND('112'!$M$9,G4085,1)),"",IF((AND(LEFT(G4085,2)=LEFT('112'!$M$9,2),B4085&lt;'112'!$N$8,$L4085='112'!$I$6)),"x",""))</f>
        <v/>
      </c>
      <c r="T4085" s="525" t="str">
        <f>IF(ISERROR(FIND('112'!$M$9,G4085,1)),"",IF((AND(RIGHT(G4085,2)=RIGHT('112'!$M$9,2),B4085&lt;'112'!$N$8,$M4085='112'!$I$6)),"x",""))</f>
        <v/>
      </c>
      <c r="U4085" s="525" t="str">
        <f>IF(AND(B4085&gt;='IN-NX'!$P$3,B4085&lt;='IN-NX'!$Q$3,'IN-NX'!$D$7=D4085,OR(LEFT(L4085,2)="15",AND(LEFT(M4085,2)&lt;&gt;"15",LEFT(M4085,2)&lt;&gt;"33"))),"x","")</f>
        <v/>
      </c>
      <c r="V4085" s="525" t="str">
        <f>IF(AND(OR(LEFT(TH!L4085,2)="15",LEFT(TH!M4085,2)="15"),'152-CT'!$J$8=TH!F4085),"x","")</f>
        <v/>
      </c>
      <c r="W4085" s="525" t="str">
        <f>IF(AND(OR(LEFT(TH!L4085,2)="15",LEFT(TH!M4085,2)="15"),TK!$E$7=TH!F4085),"x","")</f>
        <v/>
      </c>
      <c r="X4085" s="525" t="str">
        <f>IF(AND('341-CT'!$E$9=H4085,OR(LEFT(L4085,3)=$X$7,LEFT(M4085,3)=$X$7)),"x","")</f>
        <v/>
      </c>
      <c r="Y4085" s="525" t="str">
        <f>IF(OR(TH!L4085=TH!$Y$7,M4085=TH!$Y$7),"x","")</f>
        <v/>
      </c>
      <c r="Z4085" s="525" t="str">
        <f>IF(AND(B4085&lt;=NKC!$N$8,B4085&gt;=NKC!$M$8),"x","")</f>
        <v/>
      </c>
      <c r="AA4085" s="535">
        <v>3</v>
      </c>
      <c r="AB4085" s="536"/>
      <c r="AC4085" s="536" t="str">
        <f>VLOOKUP(F4085,NXT!$B$12:$B$686,1,0)</f>
        <v>Thùng 41x41x48</v>
      </c>
    </row>
    <row r="4086" spans="1:29" s="503" customFormat="1" ht="15.75" customHeight="1">
      <c r="A4086" s="517" t="str">
        <f>IF(B4086&lt;&gt;"",IF(AND(B4086&gt;=_TM1,B4086&lt;=_TM2,OR(TH!L4086="1111",TH!M4086="1111")),TH!D4086,""),"")</f>
        <v/>
      </c>
      <c r="B4086" s="531">
        <f t="shared" si="500"/>
        <v>8</v>
      </c>
      <c r="C4086" s="315">
        <f t="shared" si="501"/>
        <v>42977</v>
      </c>
      <c r="D4086" s="315" t="s">
        <v>1180</v>
      </c>
      <c r="E4086" s="315">
        <v>42977</v>
      </c>
      <c r="F4086" s="250" t="s">
        <v>712</v>
      </c>
      <c r="G4086" s="314" t="s">
        <v>1078</v>
      </c>
      <c r="H4086" s="473" t="s">
        <v>1501</v>
      </c>
      <c r="I4086" s="307">
        <v>98</v>
      </c>
      <c r="J4086" s="307">
        <v>47897</v>
      </c>
      <c r="K4086" s="532">
        <f t="shared" si="502"/>
        <v>4693906</v>
      </c>
      <c r="L4086" s="534" t="s">
        <v>292</v>
      </c>
      <c r="M4086" s="534" t="s">
        <v>8</v>
      </c>
      <c r="N4086" s="525" t="str">
        <f>IF(AND('331-CT'!$E$7=TH!H4086,OR(L4086="331",M4086="331")),"331",IF(AND(OR(L4086="131",M4086="131"),H4086='131-CT'!$E$7),"131",""))</f>
        <v/>
      </c>
      <c r="O4086" s="525" t="str">
        <f>IF(AND($B4086&gt;='111'!$N$11,$B4086&lt;='111'!$O$11,OR($L4086=$O$7,$M4086=$O$7)),"x","")</f>
        <v/>
      </c>
      <c r="P4086" s="525" t="str">
        <f>IF(AND($L4086=$O$7,$B4086&lt;'111'!$N$11),"x","")</f>
        <v/>
      </c>
      <c r="Q4086" s="525" t="str">
        <f>IF(AND($M4086=$O$7,$B4086&lt;'111'!$N$11),"x","")</f>
        <v/>
      </c>
      <c r="R4086" s="525" t="str">
        <f>IF(ISERROR(FIND('112'!$M$9,G4086,1)),"",IF((AND(FIND('112'!$M$9,G4086,1)&gt;=1,$B4086&gt;='112'!$N$8,$B4086&lt;='112'!$O$8,OR($L4086='112'!$I$6,$M4086='112'!$I$6))),"x",""))</f>
        <v/>
      </c>
      <c r="S4086" s="525" t="str">
        <f>IF(ISERROR(FIND('112'!$M$9,G4086,1)),"",IF((AND(LEFT(G4086,2)=LEFT('112'!$M$9,2),B4086&lt;'112'!$N$8,$L4086='112'!$I$6)),"x",""))</f>
        <v/>
      </c>
      <c r="T4086" s="525" t="str">
        <f>IF(ISERROR(FIND('112'!$M$9,G4086,1)),"",IF((AND(RIGHT(G4086,2)=RIGHT('112'!$M$9,2),B4086&lt;'112'!$N$8,$M4086='112'!$I$6)),"x",""))</f>
        <v/>
      </c>
      <c r="U4086" s="525" t="str">
        <f>IF(AND(B4086&gt;='IN-NX'!$P$3,B4086&lt;='IN-NX'!$Q$3,'IN-NX'!$D$7=D4086,OR(LEFT(L4086,2)="15",AND(LEFT(M4086,2)&lt;&gt;"15",LEFT(M4086,2)&lt;&gt;"33"))),"x","")</f>
        <v/>
      </c>
      <c r="V4086" s="525" t="str">
        <f>IF(AND(OR(LEFT(TH!L4086,2)="15",LEFT(TH!M4086,2)="15"),'152-CT'!$J$8=TH!F4086),"x","")</f>
        <v/>
      </c>
      <c r="W4086" s="525" t="str">
        <f>IF(AND(OR(LEFT(TH!L4086,2)="15",LEFT(TH!M4086,2)="15"),TK!$E$7=TH!F4086),"x","")</f>
        <v/>
      </c>
      <c r="X4086" s="525" t="str">
        <f>IF(AND('341-CT'!$E$9=H4086,OR(LEFT(L4086,3)=$X$7,LEFT(M4086,3)=$X$7)),"x","")</f>
        <v/>
      </c>
      <c r="Y4086" s="525" t="str">
        <f>IF(OR(TH!L4086=TH!$Y$7,M4086=TH!$Y$7),"x","")</f>
        <v/>
      </c>
      <c r="Z4086" s="525" t="str">
        <f>IF(AND(B4086&lt;=NKC!$N$8,B4086&gt;=NKC!$M$8),"x","")</f>
        <v/>
      </c>
      <c r="AA4086" s="535">
        <v>3</v>
      </c>
      <c r="AB4086" s="536"/>
      <c r="AC4086" s="536" t="str">
        <f>VLOOKUP(F4086,NXT!$B$12:$B$686,1,0)</f>
        <v>Thùng 55x53x52</v>
      </c>
    </row>
    <row r="4087" spans="1:29" s="503" customFormat="1" ht="15.75" customHeight="1">
      <c r="A4087" s="517" t="str">
        <f>IF(B4087&lt;&gt;"",IF(AND(B4087&gt;=_TM1,B4087&lt;=_TM2,OR(TH!L4087="1111",TH!M4087="1111")),TH!D4087,""),"")</f>
        <v/>
      </c>
      <c r="B4087" s="531">
        <f t="shared" si="500"/>
        <v>8</v>
      </c>
      <c r="C4087" s="315">
        <f t="shared" si="501"/>
        <v>42977</v>
      </c>
      <c r="D4087" s="315" t="s">
        <v>1180</v>
      </c>
      <c r="E4087" s="315">
        <v>42977</v>
      </c>
      <c r="F4087" s="250" t="s">
        <v>1227</v>
      </c>
      <c r="G4087" s="314" t="s">
        <v>1078</v>
      </c>
      <c r="H4087" s="473" t="s">
        <v>1501</v>
      </c>
      <c r="I4087" s="307">
        <v>24</v>
      </c>
      <c r="J4087" s="307">
        <v>21150</v>
      </c>
      <c r="K4087" s="532">
        <f t="shared" si="502"/>
        <v>507600</v>
      </c>
      <c r="L4087" s="534" t="s">
        <v>292</v>
      </c>
      <c r="M4087" s="534" t="s">
        <v>8</v>
      </c>
      <c r="N4087" s="525" t="str">
        <f>IF(AND('331-CT'!$E$7=TH!H4087,OR(L4087="331",M4087="331")),"331",IF(AND(OR(L4087="131",M4087="131"),H4087='131-CT'!$E$7),"131",""))</f>
        <v/>
      </c>
      <c r="O4087" s="525" t="str">
        <f>IF(AND($B4087&gt;='111'!$N$11,$B4087&lt;='111'!$O$11,OR($L4087=$O$7,$M4087=$O$7)),"x","")</f>
        <v/>
      </c>
      <c r="P4087" s="525" t="str">
        <f>IF(AND($L4087=$O$7,$B4087&lt;'111'!$N$11),"x","")</f>
        <v/>
      </c>
      <c r="Q4087" s="525" t="str">
        <f>IF(AND($M4087=$O$7,$B4087&lt;'111'!$N$11),"x","")</f>
        <v/>
      </c>
      <c r="R4087" s="525" t="str">
        <f>IF(ISERROR(FIND('112'!$M$9,G4087,1)),"",IF((AND(FIND('112'!$M$9,G4087,1)&gt;=1,$B4087&gt;='112'!$N$8,$B4087&lt;='112'!$O$8,OR($L4087='112'!$I$6,$M4087='112'!$I$6))),"x",""))</f>
        <v/>
      </c>
      <c r="S4087" s="525" t="str">
        <f>IF(ISERROR(FIND('112'!$M$9,G4087,1)),"",IF((AND(LEFT(G4087,2)=LEFT('112'!$M$9,2),B4087&lt;'112'!$N$8,$L4087='112'!$I$6)),"x",""))</f>
        <v/>
      </c>
      <c r="T4087" s="525" t="str">
        <f>IF(ISERROR(FIND('112'!$M$9,G4087,1)),"",IF((AND(RIGHT(G4087,2)=RIGHT('112'!$M$9,2),B4087&lt;'112'!$N$8,$M4087='112'!$I$6)),"x",""))</f>
        <v/>
      </c>
      <c r="U4087" s="525" t="str">
        <f>IF(AND(B4087&gt;='IN-NX'!$P$3,B4087&lt;='IN-NX'!$Q$3,'IN-NX'!$D$7=D4087,OR(LEFT(L4087,2)="15",AND(LEFT(M4087,2)&lt;&gt;"15",LEFT(M4087,2)&lt;&gt;"33"))),"x","")</f>
        <v/>
      </c>
      <c r="V4087" s="525" t="str">
        <f>IF(AND(OR(LEFT(TH!L4087,2)="15",LEFT(TH!M4087,2)="15"),'152-CT'!$J$8=TH!F4087),"x","")</f>
        <v/>
      </c>
      <c r="W4087" s="525" t="str">
        <f>IF(AND(OR(LEFT(TH!L4087,2)="15",LEFT(TH!M4087,2)="15"),TK!$E$7=TH!F4087),"x","")</f>
        <v/>
      </c>
      <c r="X4087" s="525" t="str">
        <f>IF(AND('341-CT'!$E$9=H4087,OR(LEFT(L4087,3)=$X$7,LEFT(M4087,3)=$X$7)),"x","")</f>
        <v/>
      </c>
      <c r="Y4087" s="525" t="str">
        <f>IF(OR(TH!L4087=TH!$Y$7,M4087=TH!$Y$7),"x","")</f>
        <v/>
      </c>
      <c r="Z4087" s="525" t="str">
        <f>IF(AND(B4087&lt;=NKC!$N$8,B4087&gt;=NKC!$M$8),"x","")</f>
        <v/>
      </c>
      <c r="AA4087" s="535">
        <v>3</v>
      </c>
      <c r="AB4087" s="536"/>
      <c r="AC4087" s="536" t="str">
        <f>VLOOKUP(F4087,NXT!$B$12:$B$686,1,0)</f>
        <v>Thùng 43.5x43.5x45</v>
      </c>
    </row>
    <row r="4088" spans="1:29" s="503" customFormat="1" ht="15.75" customHeight="1">
      <c r="A4088" s="517" t="str">
        <f>IF(B4088&lt;&gt;"",IF(AND(B4088&gt;=_TM1,B4088&lt;=_TM2,OR(TH!L4088="1111",TH!M4088="1111")),TH!D4088,""),"")</f>
        <v/>
      </c>
      <c r="B4088" s="531">
        <f t="shared" si="500"/>
        <v>8</v>
      </c>
      <c r="C4088" s="315">
        <f t="shared" si="501"/>
        <v>42977</v>
      </c>
      <c r="D4088" s="315" t="s">
        <v>1180</v>
      </c>
      <c r="E4088" s="315">
        <v>42977</v>
      </c>
      <c r="F4088" s="250" t="s">
        <v>642</v>
      </c>
      <c r="G4088" s="314" t="s">
        <v>1078</v>
      </c>
      <c r="H4088" s="473" t="s">
        <v>1501</v>
      </c>
      <c r="I4088" s="307">
        <v>24</v>
      </c>
      <c r="J4088" s="307">
        <v>19435</v>
      </c>
      <c r="K4088" s="532">
        <f t="shared" si="502"/>
        <v>466440</v>
      </c>
      <c r="L4088" s="534" t="s">
        <v>292</v>
      </c>
      <c r="M4088" s="534" t="s">
        <v>8</v>
      </c>
      <c r="N4088" s="525" t="str">
        <f>IF(AND('331-CT'!$E$7=TH!H4088,OR(L4088="331",M4088="331")),"331",IF(AND(OR(L4088="131",M4088="131"),H4088='131-CT'!$E$7),"131",""))</f>
        <v/>
      </c>
      <c r="O4088" s="525" t="str">
        <f>IF(AND($B4088&gt;='111'!$N$11,$B4088&lt;='111'!$O$11,OR($L4088=$O$7,$M4088=$O$7)),"x","")</f>
        <v/>
      </c>
      <c r="P4088" s="525" t="str">
        <f>IF(AND($L4088=$O$7,$B4088&lt;'111'!$N$11),"x","")</f>
        <v/>
      </c>
      <c r="Q4088" s="525" t="str">
        <f>IF(AND($M4088=$O$7,$B4088&lt;'111'!$N$11),"x","")</f>
        <v/>
      </c>
      <c r="R4088" s="525" t="str">
        <f>IF(ISERROR(FIND('112'!$M$9,G4088,1)),"",IF((AND(FIND('112'!$M$9,G4088,1)&gt;=1,$B4088&gt;='112'!$N$8,$B4088&lt;='112'!$O$8,OR($L4088='112'!$I$6,$M4088='112'!$I$6))),"x",""))</f>
        <v/>
      </c>
      <c r="S4088" s="525" t="str">
        <f>IF(ISERROR(FIND('112'!$M$9,G4088,1)),"",IF((AND(LEFT(G4088,2)=LEFT('112'!$M$9,2),B4088&lt;'112'!$N$8,$L4088='112'!$I$6)),"x",""))</f>
        <v/>
      </c>
      <c r="T4088" s="525" t="str">
        <f>IF(ISERROR(FIND('112'!$M$9,G4088,1)),"",IF((AND(RIGHT(G4088,2)=RIGHT('112'!$M$9,2),B4088&lt;'112'!$N$8,$M4088='112'!$I$6)),"x",""))</f>
        <v/>
      </c>
      <c r="U4088" s="525" t="str">
        <f>IF(AND(B4088&gt;='IN-NX'!$P$3,B4088&lt;='IN-NX'!$Q$3,'IN-NX'!$D$7=D4088,OR(LEFT(L4088,2)="15",AND(LEFT(M4088,2)&lt;&gt;"15",LEFT(M4088,2)&lt;&gt;"33"))),"x","")</f>
        <v/>
      </c>
      <c r="V4088" s="525" t="str">
        <f>IF(AND(OR(LEFT(TH!L4088,2)="15",LEFT(TH!M4088,2)="15"),'152-CT'!$J$8=TH!F4088),"x","")</f>
        <v/>
      </c>
      <c r="W4088" s="525" t="str">
        <f>IF(AND(OR(LEFT(TH!L4088,2)="15",LEFT(TH!M4088,2)="15"),TK!$E$7=TH!F4088),"x","")</f>
        <v/>
      </c>
      <c r="X4088" s="525" t="str">
        <f>IF(AND('341-CT'!$E$9=H4088,OR(LEFT(L4088,3)=$X$7,LEFT(M4088,3)=$X$7)),"x","")</f>
        <v/>
      </c>
      <c r="Y4088" s="525" t="str">
        <f>IF(OR(TH!L4088=TH!$Y$7,M4088=TH!$Y$7),"x","")</f>
        <v/>
      </c>
      <c r="Z4088" s="525" t="str">
        <f>IF(AND(B4088&lt;=NKC!$N$8,B4088&gt;=NKC!$M$8),"x","")</f>
        <v/>
      </c>
      <c r="AA4088" s="535">
        <v>3</v>
      </c>
      <c r="AB4088" s="536"/>
      <c r="AC4088" s="536" t="str">
        <f>VLOOKUP(F4088,NXT!$B$12:$B$686,1,0)</f>
        <v>Thùng 41x41x45</v>
      </c>
    </row>
    <row r="4089" spans="1:29" s="503" customFormat="1" ht="15.75" customHeight="1">
      <c r="A4089" s="517" t="str">
        <f>IF(B4089&lt;&gt;"",IF(AND(B4089&gt;=_TM1,B4089&lt;=_TM2,OR(TH!L4089="1111",TH!M4089="1111")),TH!D4089,""),"")</f>
        <v/>
      </c>
      <c r="B4089" s="531">
        <f t="shared" si="500"/>
        <v>8</v>
      </c>
      <c r="C4089" s="315">
        <f t="shared" si="501"/>
        <v>42977</v>
      </c>
      <c r="D4089" s="315" t="s">
        <v>1180</v>
      </c>
      <c r="E4089" s="315">
        <v>42977</v>
      </c>
      <c r="F4089" s="250" t="s">
        <v>708</v>
      </c>
      <c r="G4089" s="314" t="s">
        <v>1078</v>
      </c>
      <c r="H4089" s="473" t="s">
        <v>1501</v>
      </c>
      <c r="I4089" s="307">
        <v>24</v>
      </c>
      <c r="J4089" s="307">
        <v>23119</v>
      </c>
      <c r="K4089" s="532">
        <f t="shared" si="502"/>
        <v>554856</v>
      </c>
      <c r="L4089" s="534" t="s">
        <v>292</v>
      </c>
      <c r="M4089" s="534" t="s">
        <v>8</v>
      </c>
      <c r="N4089" s="525" t="str">
        <f>IF(AND('331-CT'!$E$7=TH!H4089,OR(L4089="331",M4089="331")),"331",IF(AND(OR(L4089="131",M4089="131"),H4089='131-CT'!$E$7),"131",""))</f>
        <v/>
      </c>
      <c r="O4089" s="525" t="str">
        <f>IF(AND($B4089&gt;='111'!$N$11,$B4089&lt;='111'!$O$11,OR($L4089=$O$7,$M4089=$O$7)),"x","")</f>
        <v/>
      </c>
      <c r="P4089" s="525" t="str">
        <f>IF(AND($L4089=$O$7,$B4089&lt;'111'!$N$11),"x","")</f>
        <v/>
      </c>
      <c r="Q4089" s="525" t="str">
        <f>IF(AND($M4089=$O$7,$B4089&lt;'111'!$N$11),"x","")</f>
        <v/>
      </c>
      <c r="R4089" s="525" t="str">
        <f>IF(ISERROR(FIND('112'!$M$9,G4089,1)),"",IF((AND(FIND('112'!$M$9,G4089,1)&gt;=1,$B4089&gt;='112'!$N$8,$B4089&lt;='112'!$O$8,OR($L4089='112'!$I$6,$M4089='112'!$I$6))),"x",""))</f>
        <v/>
      </c>
      <c r="S4089" s="525" t="str">
        <f>IF(ISERROR(FIND('112'!$M$9,G4089,1)),"",IF((AND(LEFT(G4089,2)=LEFT('112'!$M$9,2),B4089&lt;'112'!$N$8,$L4089='112'!$I$6)),"x",""))</f>
        <v/>
      </c>
      <c r="T4089" s="525" t="str">
        <f>IF(ISERROR(FIND('112'!$M$9,G4089,1)),"",IF((AND(RIGHT(G4089,2)=RIGHT('112'!$M$9,2),B4089&lt;'112'!$N$8,$M4089='112'!$I$6)),"x",""))</f>
        <v/>
      </c>
      <c r="U4089" s="525" t="str">
        <f>IF(AND(B4089&gt;='IN-NX'!$P$3,B4089&lt;='IN-NX'!$Q$3,'IN-NX'!$D$7=D4089,OR(LEFT(L4089,2)="15",AND(LEFT(M4089,2)&lt;&gt;"15",LEFT(M4089,2)&lt;&gt;"33"))),"x","")</f>
        <v/>
      </c>
      <c r="V4089" s="525" t="str">
        <f>IF(AND(OR(LEFT(TH!L4089,2)="15",LEFT(TH!M4089,2)="15"),'152-CT'!$J$8=TH!F4089),"x","")</f>
        <v/>
      </c>
      <c r="W4089" s="525" t="str">
        <f>IF(AND(OR(LEFT(TH!L4089,2)="15",LEFT(TH!M4089,2)="15"),TK!$E$7=TH!F4089),"x","")</f>
        <v/>
      </c>
      <c r="X4089" s="525" t="str">
        <f>IF(AND('341-CT'!$E$9=H4089,OR(LEFT(L4089,3)=$X$7,LEFT(M4089,3)=$X$7)),"x","")</f>
        <v/>
      </c>
      <c r="Y4089" s="525" t="str">
        <f>IF(OR(TH!L4089=TH!$Y$7,M4089=TH!$Y$7),"x","")</f>
        <v/>
      </c>
      <c r="Z4089" s="525" t="str">
        <f>IF(AND(B4089&lt;=NKC!$N$8,B4089&gt;=NKC!$M$8),"x","")</f>
        <v/>
      </c>
      <c r="AA4089" s="535">
        <v>3</v>
      </c>
      <c r="AB4089" s="536"/>
      <c r="AC4089" s="536" t="str">
        <f>VLOOKUP(F4089,NXT!$B$12:$B$686,1,0)</f>
        <v>Thùng 44x44x52</v>
      </c>
    </row>
    <row r="4090" spans="1:29" s="503" customFormat="1" ht="15.75" customHeight="1">
      <c r="A4090" s="517" t="str">
        <f>IF(B4090&lt;&gt;"",IF(AND(B4090&gt;=_TM1,B4090&lt;=_TM2,OR(TH!L4090="1111",TH!M4090="1111")),TH!D4090,""),"")</f>
        <v/>
      </c>
      <c r="B4090" s="531">
        <f t="shared" si="500"/>
        <v>8</v>
      </c>
      <c r="C4090" s="315">
        <f t="shared" si="501"/>
        <v>42977</v>
      </c>
      <c r="D4090" s="315" t="s">
        <v>1180</v>
      </c>
      <c r="E4090" s="315">
        <v>42977</v>
      </c>
      <c r="F4090" s="250" t="s">
        <v>714</v>
      </c>
      <c r="G4090" s="314" t="s">
        <v>1078</v>
      </c>
      <c r="H4090" s="473" t="s">
        <v>1501</v>
      </c>
      <c r="I4090" s="307">
        <v>24</v>
      </c>
      <c r="J4090" s="307">
        <v>31261</v>
      </c>
      <c r="K4090" s="532">
        <f t="shared" si="502"/>
        <v>750264</v>
      </c>
      <c r="L4090" s="534" t="s">
        <v>292</v>
      </c>
      <c r="M4090" s="534" t="s">
        <v>8</v>
      </c>
      <c r="N4090" s="525" t="str">
        <f>IF(AND('331-CT'!$E$7=TH!H4090,OR(L4090="331",M4090="331")),"331",IF(AND(OR(L4090="131",M4090="131"),H4090='131-CT'!$E$7),"131",""))</f>
        <v/>
      </c>
      <c r="O4090" s="525" t="str">
        <f>IF(AND($B4090&gt;='111'!$N$11,$B4090&lt;='111'!$O$11,OR($L4090=$O$7,$M4090=$O$7)),"x","")</f>
        <v/>
      </c>
      <c r="P4090" s="525" t="str">
        <f>IF(AND($L4090=$O$7,$B4090&lt;'111'!$N$11),"x","")</f>
        <v/>
      </c>
      <c r="Q4090" s="525" t="str">
        <f>IF(AND($M4090=$O$7,$B4090&lt;'111'!$N$11),"x","")</f>
        <v/>
      </c>
      <c r="R4090" s="525" t="str">
        <f>IF(ISERROR(FIND('112'!$M$9,G4090,1)),"",IF((AND(FIND('112'!$M$9,G4090,1)&gt;=1,$B4090&gt;='112'!$N$8,$B4090&lt;='112'!$O$8,OR($L4090='112'!$I$6,$M4090='112'!$I$6))),"x",""))</f>
        <v/>
      </c>
      <c r="S4090" s="525" t="str">
        <f>IF(ISERROR(FIND('112'!$M$9,G4090,1)),"",IF((AND(LEFT(G4090,2)=LEFT('112'!$M$9,2),B4090&lt;'112'!$N$8,$L4090='112'!$I$6)),"x",""))</f>
        <v/>
      </c>
      <c r="T4090" s="525" t="str">
        <f>IF(ISERROR(FIND('112'!$M$9,G4090,1)),"",IF((AND(RIGHT(G4090,2)=RIGHT('112'!$M$9,2),B4090&lt;'112'!$N$8,$M4090='112'!$I$6)),"x",""))</f>
        <v/>
      </c>
      <c r="U4090" s="525" t="str">
        <f>IF(AND(B4090&gt;='IN-NX'!$P$3,B4090&lt;='IN-NX'!$Q$3,'IN-NX'!$D$7=D4090,OR(LEFT(L4090,2)="15",AND(LEFT(M4090,2)&lt;&gt;"15",LEFT(M4090,2)&lt;&gt;"33"))),"x","")</f>
        <v/>
      </c>
      <c r="V4090" s="525" t="str">
        <f>IF(AND(OR(LEFT(TH!L4090,2)="15",LEFT(TH!M4090,2)="15"),'152-CT'!$J$8=TH!F4090),"x","")</f>
        <v/>
      </c>
      <c r="W4090" s="525" t="str">
        <f>IF(AND(OR(LEFT(TH!L4090,2)="15",LEFT(TH!M4090,2)="15"),TK!$E$7=TH!F4090),"x","")</f>
        <v/>
      </c>
      <c r="X4090" s="525" t="str">
        <f>IF(AND('341-CT'!$E$9=H4090,OR(LEFT(L4090,3)=$X$7,LEFT(M4090,3)=$X$7)),"x","")</f>
        <v/>
      </c>
      <c r="Y4090" s="525" t="str">
        <f>IF(OR(TH!L4090=TH!$Y$7,M4090=TH!$Y$7),"x","")</f>
        <v/>
      </c>
      <c r="Z4090" s="525" t="str">
        <f>IF(AND(B4090&lt;=NKC!$N$8,B4090&gt;=NKC!$M$8),"x","")</f>
        <v/>
      </c>
      <c r="AA4090" s="535">
        <v>3</v>
      </c>
      <c r="AB4090" s="536"/>
      <c r="AC4090" s="536" t="str">
        <f>VLOOKUP(F4090,NXT!$B$12:$B$686,1,0)</f>
        <v>Thùng 55x55x48</v>
      </c>
    </row>
    <row r="4091" spans="1:29" s="503" customFormat="1" ht="15.75" customHeight="1">
      <c r="A4091" s="517" t="str">
        <f>IF(B4091&lt;&gt;"",IF(AND(B4091&gt;=_TM1,B4091&lt;=_TM2,OR(TH!L4091="1111",TH!M4091="1111")),TH!D4091,""),"")</f>
        <v/>
      </c>
      <c r="B4091" s="531">
        <f t="shared" si="500"/>
        <v>8</v>
      </c>
      <c r="C4091" s="315">
        <f t="shared" si="501"/>
        <v>42977</v>
      </c>
      <c r="D4091" s="315" t="s">
        <v>1180</v>
      </c>
      <c r="E4091" s="315">
        <v>42977</v>
      </c>
      <c r="F4091" s="250" t="s">
        <v>1483</v>
      </c>
      <c r="G4091" s="314" t="s">
        <v>1078</v>
      </c>
      <c r="H4091" s="473" t="s">
        <v>1501</v>
      </c>
      <c r="I4091" s="307">
        <v>36</v>
      </c>
      <c r="J4091" s="307">
        <v>6867</v>
      </c>
      <c r="K4091" s="532">
        <f t="shared" si="502"/>
        <v>247212</v>
      </c>
      <c r="L4091" s="534" t="s">
        <v>292</v>
      </c>
      <c r="M4091" s="534" t="s">
        <v>8</v>
      </c>
      <c r="N4091" s="525" t="str">
        <f>IF(AND('331-CT'!$E$7=TH!H4091,OR(L4091="331",M4091="331")),"331",IF(AND(OR(L4091="131",M4091="131"),H4091='131-CT'!$E$7),"131",""))</f>
        <v/>
      </c>
      <c r="O4091" s="525" t="str">
        <f>IF(AND($B4091&gt;='111'!$N$11,$B4091&lt;='111'!$O$11,OR($L4091=$O$7,$M4091=$O$7)),"x","")</f>
        <v/>
      </c>
      <c r="P4091" s="525" t="str">
        <f>IF(AND($L4091=$O$7,$B4091&lt;'111'!$N$11),"x","")</f>
        <v/>
      </c>
      <c r="Q4091" s="525" t="str">
        <f>IF(AND($M4091=$O$7,$B4091&lt;'111'!$N$11),"x","")</f>
        <v/>
      </c>
      <c r="R4091" s="525" t="str">
        <f>IF(ISERROR(FIND('112'!$M$9,G4091,1)),"",IF((AND(FIND('112'!$M$9,G4091,1)&gt;=1,$B4091&gt;='112'!$N$8,$B4091&lt;='112'!$O$8,OR($L4091='112'!$I$6,$M4091='112'!$I$6))),"x",""))</f>
        <v/>
      </c>
      <c r="S4091" s="525" t="str">
        <f>IF(ISERROR(FIND('112'!$M$9,G4091,1)),"",IF((AND(LEFT(G4091,2)=LEFT('112'!$M$9,2),B4091&lt;'112'!$N$8,$L4091='112'!$I$6)),"x",""))</f>
        <v/>
      </c>
      <c r="T4091" s="525" t="str">
        <f>IF(ISERROR(FIND('112'!$M$9,G4091,1)),"",IF((AND(RIGHT(G4091,2)=RIGHT('112'!$M$9,2),B4091&lt;'112'!$N$8,$M4091='112'!$I$6)),"x",""))</f>
        <v/>
      </c>
      <c r="U4091" s="525" t="str">
        <f>IF(AND(B4091&gt;='IN-NX'!$P$3,B4091&lt;='IN-NX'!$Q$3,'IN-NX'!$D$7=D4091,OR(LEFT(L4091,2)="15",AND(LEFT(M4091,2)&lt;&gt;"15",LEFT(M4091,2)&lt;&gt;"33"))),"x","")</f>
        <v/>
      </c>
      <c r="V4091" s="525" t="str">
        <f>IF(AND(OR(LEFT(TH!L4091,2)="15",LEFT(TH!M4091,2)="15"),'152-CT'!$J$8=TH!F4091),"x","")</f>
        <v/>
      </c>
      <c r="W4091" s="525" t="str">
        <f>IF(AND(OR(LEFT(TH!L4091,2)="15",LEFT(TH!M4091,2)="15"),TK!$E$7=TH!F4091),"x","")</f>
        <v/>
      </c>
      <c r="X4091" s="525" t="str">
        <f>IF(AND('341-CT'!$E$9=H4091,OR(LEFT(L4091,3)=$X$7,LEFT(M4091,3)=$X$7)),"x","")</f>
        <v/>
      </c>
      <c r="Y4091" s="525" t="str">
        <f>IF(OR(TH!L4091=TH!$Y$7,M4091=TH!$Y$7),"x","")</f>
        <v/>
      </c>
      <c r="Z4091" s="525" t="str">
        <f>IF(AND(B4091&lt;=NKC!$N$8,B4091&gt;=NKC!$M$8),"x","")</f>
        <v/>
      </c>
      <c r="AA4091" s="535">
        <v>3</v>
      </c>
      <c r="AB4091" s="536"/>
      <c r="AC4091" s="536" t="str">
        <f>VLOOKUP(F4091,NXT!$B$12:$B$686,1,0)</f>
        <v>Thùng 25x25x22</v>
      </c>
    </row>
    <row r="4092" spans="1:29" s="503" customFormat="1" ht="15.75" customHeight="1">
      <c r="A4092" s="517" t="str">
        <f>IF(B4092&lt;&gt;"",IF(AND(B4092&gt;=_TM1,B4092&lt;=_TM2,OR(TH!L4092="1111",TH!M4092="1111")),TH!D4092,""),"")</f>
        <v/>
      </c>
      <c r="B4092" s="531">
        <f t="shared" si="500"/>
        <v>8</v>
      </c>
      <c r="C4092" s="315">
        <f t="shared" si="501"/>
        <v>42977</v>
      </c>
      <c r="D4092" s="315" t="s">
        <v>1180</v>
      </c>
      <c r="E4092" s="315">
        <v>42977</v>
      </c>
      <c r="F4092" s="250" t="s">
        <v>761</v>
      </c>
      <c r="G4092" s="314" t="s">
        <v>1078</v>
      </c>
      <c r="H4092" s="473" t="s">
        <v>1501</v>
      </c>
      <c r="I4092" s="307">
        <v>30</v>
      </c>
      <c r="J4092" s="307">
        <v>23863</v>
      </c>
      <c r="K4092" s="532">
        <f t="shared" si="502"/>
        <v>715890</v>
      </c>
      <c r="L4092" s="534" t="s">
        <v>292</v>
      </c>
      <c r="M4092" s="534" t="s">
        <v>8</v>
      </c>
      <c r="N4092" s="525" t="str">
        <f>IF(AND('331-CT'!$E$7=TH!H4092,OR(L4092="331",M4092="331")),"331",IF(AND(OR(L4092="131",M4092="131"),H4092='131-CT'!$E$7),"131",""))</f>
        <v/>
      </c>
      <c r="O4092" s="525" t="str">
        <f>IF(AND($B4092&gt;='111'!$N$11,$B4092&lt;='111'!$O$11,OR($L4092=$O$7,$M4092=$O$7)),"x","")</f>
        <v/>
      </c>
      <c r="P4092" s="525" t="str">
        <f>IF(AND($L4092=$O$7,$B4092&lt;'111'!$N$11),"x","")</f>
        <v/>
      </c>
      <c r="Q4092" s="525" t="str">
        <f>IF(AND($M4092=$O$7,$B4092&lt;'111'!$N$11),"x","")</f>
        <v/>
      </c>
      <c r="R4092" s="525" t="str">
        <f>IF(ISERROR(FIND('112'!$M$9,G4092,1)),"",IF((AND(FIND('112'!$M$9,G4092,1)&gt;=1,$B4092&gt;='112'!$N$8,$B4092&lt;='112'!$O$8,OR($L4092='112'!$I$6,$M4092='112'!$I$6))),"x",""))</f>
        <v/>
      </c>
      <c r="S4092" s="525" t="str">
        <f>IF(ISERROR(FIND('112'!$M$9,G4092,1)),"",IF((AND(LEFT(G4092,2)=LEFT('112'!$M$9,2),B4092&lt;'112'!$N$8,$L4092='112'!$I$6)),"x",""))</f>
        <v/>
      </c>
      <c r="T4092" s="525" t="str">
        <f>IF(ISERROR(FIND('112'!$M$9,G4092,1)),"",IF((AND(RIGHT(G4092,2)=RIGHT('112'!$M$9,2),B4092&lt;'112'!$N$8,$M4092='112'!$I$6)),"x",""))</f>
        <v/>
      </c>
      <c r="U4092" s="525" t="str">
        <f>IF(AND(B4092&gt;='IN-NX'!$P$3,B4092&lt;='IN-NX'!$Q$3,'IN-NX'!$D$7=D4092,OR(LEFT(L4092,2)="15",AND(LEFT(M4092,2)&lt;&gt;"15",LEFT(M4092,2)&lt;&gt;"33"))),"x","")</f>
        <v/>
      </c>
      <c r="V4092" s="525" t="str">
        <f>IF(AND(OR(LEFT(TH!L4092,2)="15",LEFT(TH!M4092,2)="15"),'152-CT'!$J$8=TH!F4092),"x","")</f>
        <v/>
      </c>
      <c r="W4092" s="525" t="str">
        <f>IF(AND(OR(LEFT(TH!L4092,2)="15",LEFT(TH!M4092,2)="15"),TK!$E$7=TH!F4092),"x","")</f>
        <v/>
      </c>
      <c r="X4092" s="525" t="str">
        <f>IF(AND('341-CT'!$E$9=H4092,OR(LEFT(L4092,3)=$X$7,LEFT(M4092,3)=$X$7)),"x","")</f>
        <v/>
      </c>
      <c r="Y4092" s="525" t="str">
        <f>IF(OR(TH!L4092=TH!$Y$7,M4092=TH!$Y$7),"x","")</f>
        <v/>
      </c>
      <c r="Z4092" s="525" t="str">
        <f>IF(AND(B4092&lt;=NKC!$N$8,B4092&gt;=NKC!$M$8),"x","")</f>
        <v/>
      </c>
      <c r="AA4092" s="535">
        <v>3</v>
      </c>
      <c r="AB4092" s="536"/>
      <c r="AC4092" s="536" t="str">
        <f>VLOOKUP(F4092,NXT!$B$12:$B$686,1,0)</f>
        <v>Thùng 45x45x52</v>
      </c>
    </row>
    <row r="4093" spans="1:29" s="503" customFormat="1" ht="15.75" customHeight="1">
      <c r="A4093" s="517" t="str">
        <f>IF(B4093&lt;&gt;"",IF(AND(B4093&gt;=_TM1,B4093&lt;=_TM2,OR(TH!L4093="1111",TH!M4093="1111")),TH!D4093,""),"")</f>
        <v/>
      </c>
      <c r="B4093" s="531">
        <f t="shared" si="500"/>
        <v>8</v>
      </c>
      <c r="C4093" s="315">
        <f t="shared" si="501"/>
        <v>42977</v>
      </c>
      <c r="D4093" s="315" t="s">
        <v>1180</v>
      </c>
      <c r="E4093" s="315">
        <v>42977</v>
      </c>
      <c r="F4093" s="250" t="s">
        <v>1041</v>
      </c>
      <c r="G4093" s="314" t="s">
        <v>1078</v>
      </c>
      <c r="H4093" s="473" t="s">
        <v>1501</v>
      </c>
      <c r="I4093" s="307">
        <v>12</v>
      </c>
      <c r="J4093" s="307">
        <v>21706</v>
      </c>
      <c r="K4093" s="532">
        <f t="shared" si="502"/>
        <v>260472</v>
      </c>
      <c r="L4093" s="534" t="s">
        <v>292</v>
      </c>
      <c r="M4093" s="534" t="s">
        <v>8</v>
      </c>
      <c r="N4093" s="525" t="str">
        <f>IF(AND('331-CT'!$E$7=TH!H4093,OR(L4093="331",M4093="331")),"331",IF(AND(OR(L4093="131",M4093="131"),H4093='131-CT'!$E$7),"131",""))</f>
        <v/>
      </c>
      <c r="O4093" s="525" t="str">
        <f>IF(AND($B4093&gt;='111'!$N$11,$B4093&lt;='111'!$O$11,OR($L4093=$O$7,$M4093=$O$7)),"x","")</f>
        <v/>
      </c>
      <c r="P4093" s="525" t="str">
        <f>IF(AND($L4093=$O$7,$B4093&lt;'111'!$N$11),"x","")</f>
        <v/>
      </c>
      <c r="Q4093" s="525" t="str">
        <f>IF(AND($M4093=$O$7,$B4093&lt;'111'!$N$11),"x","")</f>
        <v/>
      </c>
      <c r="R4093" s="525" t="str">
        <f>IF(ISERROR(FIND('112'!$M$9,G4093,1)),"",IF((AND(FIND('112'!$M$9,G4093,1)&gt;=1,$B4093&gt;='112'!$N$8,$B4093&lt;='112'!$O$8,OR($L4093='112'!$I$6,$M4093='112'!$I$6))),"x",""))</f>
        <v/>
      </c>
      <c r="S4093" s="525" t="str">
        <f>IF(ISERROR(FIND('112'!$M$9,G4093,1)),"",IF((AND(LEFT(G4093,2)=LEFT('112'!$M$9,2),B4093&lt;'112'!$N$8,$L4093='112'!$I$6)),"x",""))</f>
        <v/>
      </c>
      <c r="T4093" s="525" t="str">
        <f>IF(ISERROR(FIND('112'!$M$9,G4093,1)),"",IF((AND(RIGHT(G4093,2)=RIGHT('112'!$M$9,2),B4093&lt;'112'!$N$8,$M4093='112'!$I$6)),"x",""))</f>
        <v/>
      </c>
      <c r="U4093" s="525" t="str">
        <f>IF(AND(B4093&gt;='IN-NX'!$P$3,B4093&lt;='IN-NX'!$Q$3,'IN-NX'!$D$7=D4093,OR(LEFT(L4093,2)="15",AND(LEFT(M4093,2)&lt;&gt;"15",LEFT(M4093,2)&lt;&gt;"33"))),"x","")</f>
        <v/>
      </c>
      <c r="V4093" s="525" t="str">
        <f>IF(AND(OR(LEFT(TH!L4093,2)="15",LEFT(TH!M4093,2)="15"),'152-CT'!$J$8=TH!F4093),"x","")</f>
        <v/>
      </c>
      <c r="W4093" s="525" t="str">
        <f>IF(AND(OR(LEFT(TH!L4093,2)="15",LEFT(TH!M4093,2)="15"),TK!$E$7=TH!F4093),"x","")</f>
        <v/>
      </c>
      <c r="X4093" s="525" t="str">
        <f>IF(AND('341-CT'!$E$9=H4093,OR(LEFT(L4093,3)=$X$7,LEFT(M4093,3)=$X$7)),"x","")</f>
        <v/>
      </c>
      <c r="Y4093" s="525" t="str">
        <f>IF(OR(TH!L4093=TH!$Y$7,M4093=TH!$Y$7),"x","")</f>
        <v/>
      </c>
      <c r="Z4093" s="525" t="str">
        <f>IF(AND(B4093&lt;=NKC!$N$8,B4093&gt;=NKC!$M$8),"x","")</f>
        <v/>
      </c>
      <c r="AA4093" s="535">
        <v>3</v>
      </c>
      <c r="AB4093" s="536"/>
      <c r="AC4093" s="536" t="str">
        <f>VLOOKUP(F4093,NXT!$B$12:$B$686,1,0)</f>
        <v>Thùng 43x43x49</v>
      </c>
    </row>
    <row r="4094" spans="1:29" s="503" customFormat="1" ht="15.75" customHeight="1">
      <c r="A4094" s="517" t="str">
        <f>IF(B4094&lt;&gt;"",IF(AND(B4094&gt;=_TM1,B4094&lt;=_TM2,OR(TH!L4094="1111",TH!M4094="1111")),TH!D4094,""),"")</f>
        <v/>
      </c>
      <c r="B4094" s="531">
        <f t="shared" si="500"/>
        <v>8</v>
      </c>
      <c r="C4094" s="315">
        <f t="shared" si="501"/>
        <v>42977</v>
      </c>
      <c r="D4094" s="315" t="s">
        <v>1180</v>
      </c>
      <c r="E4094" s="315">
        <v>42977</v>
      </c>
      <c r="F4094" s="250" t="s">
        <v>1049</v>
      </c>
      <c r="G4094" s="314" t="s">
        <v>1078</v>
      </c>
      <c r="H4094" s="473" t="s">
        <v>1501</v>
      </c>
      <c r="I4094" s="307">
        <v>18</v>
      </c>
      <c r="J4094" s="307">
        <v>24661</v>
      </c>
      <c r="K4094" s="532">
        <f t="shared" si="502"/>
        <v>443898</v>
      </c>
      <c r="L4094" s="534" t="s">
        <v>292</v>
      </c>
      <c r="M4094" s="534" t="s">
        <v>8</v>
      </c>
      <c r="N4094" s="525" t="str">
        <f>IF(AND('331-CT'!$E$7=TH!H4094,OR(L4094="331",M4094="331")),"331",IF(AND(OR(L4094="131",M4094="131"),H4094='131-CT'!$E$7),"131",""))</f>
        <v/>
      </c>
      <c r="O4094" s="525" t="str">
        <f>IF(AND($B4094&gt;='111'!$N$11,$B4094&lt;='111'!$O$11,OR($L4094=$O$7,$M4094=$O$7)),"x","")</f>
        <v/>
      </c>
      <c r="P4094" s="525" t="str">
        <f>IF(AND($L4094=$O$7,$B4094&lt;'111'!$N$11),"x","")</f>
        <v/>
      </c>
      <c r="Q4094" s="525" t="str">
        <f>IF(AND($M4094=$O$7,$B4094&lt;'111'!$N$11),"x","")</f>
        <v/>
      </c>
      <c r="R4094" s="525" t="str">
        <f>IF(ISERROR(FIND('112'!$M$9,G4094,1)),"",IF((AND(FIND('112'!$M$9,G4094,1)&gt;=1,$B4094&gt;='112'!$N$8,$B4094&lt;='112'!$O$8,OR($L4094='112'!$I$6,$M4094='112'!$I$6))),"x",""))</f>
        <v/>
      </c>
      <c r="S4094" s="525" t="str">
        <f>IF(ISERROR(FIND('112'!$M$9,G4094,1)),"",IF((AND(LEFT(G4094,2)=LEFT('112'!$M$9,2),B4094&lt;'112'!$N$8,$L4094='112'!$I$6)),"x",""))</f>
        <v/>
      </c>
      <c r="T4094" s="525" t="str">
        <f>IF(ISERROR(FIND('112'!$M$9,G4094,1)),"",IF((AND(RIGHT(G4094,2)=RIGHT('112'!$M$9,2),B4094&lt;'112'!$N$8,$M4094='112'!$I$6)),"x",""))</f>
        <v/>
      </c>
      <c r="U4094" s="525" t="str">
        <f>IF(AND(B4094&gt;='IN-NX'!$P$3,B4094&lt;='IN-NX'!$Q$3,'IN-NX'!$D$7=D4094,OR(LEFT(L4094,2)="15",AND(LEFT(M4094,2)&lt;&gt;"15",LEFT(M4094,2)&lt;&gt;"33"))),"x","")</f>
        <v/>
      </c>
      <c r="V4094" s="525" t="str">
        <f>IF(AND(OR(LEFT(TH!L4094,2)="15",LEFT(TH!M4094,2)="15"),'152-CT'!$J$8=TH!F4094),"x","")</f>
        <v/>
      </c>
      <c r="W4094" s="525" t="str">
        <f>IF(AND(OR(LEFT(TH!L4094,2)="15",LEFT(TH!M4094,2)="15"),TK!$E$7=TH!F4094),"x","")</f>
        <v/>
      </c>
      <c r="X4094" s="525" t="str">
        <f>IF(AND('341-CT'!$E$9=H4094,OR(LEFT(L4094,3)=$X$7,LEFT(M4094,3)=$X$7)),"x","")</f>
        <v/>
      </c>
      <c r="Y4094" s="525" t="str">
        <f>IF(OR(TH!L4094=TH!$Y$7,M4094=TH!$Y$7),"x","")</f>
        <v/>
      </c>
      <c r="Z4094" s="525" t="str">
        <f>IF(AND(B4094&lt;=NKC!$N$8,B4094&gt;=NKC!$M$8),"x","")</f>
        <v/>
      </c>
      <c r="AA4094" s="535">
        <v>3</v>
      </c>
      <c r="AB4094" s="536"/>
      <c r="AC4094" s="536" t="str">
        <f>VLOOKUP(F4094,NXT!$B$12:$B$686,1,0)</f>
        <v>Thùng 47x47x49</v>
      </c>
    </row>
    <row r="4095" spans="1:29" s="503" customFormat="1" ht="15.75" customHeight="1">
      <c r="A4095" s="517" t="str">
        <f>IF(B4095&lt;&gt;"",IF(AND(B4095&gt;=_TM1,B4095&lt;=_TM2,OR(TH!L4095="1111",TH!M4095="1111")),TH!D4095,""),"")</f>
        <v/>
      </c>
      <c r="B4095" s="531">
        <f t="shared" si="489"/>
        <v>8</v>
      </c>
      <c r="C4095" s="315">
        <f t="shared" si="490"/>
        <v>42977</v>
      </c>
      <c r="D4095" s="315" t="s">
        <v>1180</v>
      </c>
      <c r="E4095" s="315">
        <v>42977</v>
      </c>
      <c r="F4095" s="250" t="s">
        <v>1484</v>
      </c>
      <c r="G4095" s="314" t="s">
        <v>1078</v>
      </c>
      <c r="H4095" s="473" t="s">
        <v>1501</v>
      </c>
      <c r="I4095" s="307">
        <v>12</v>
      </c>
      <c r="J4095" s="307">
        <v>19791</v>
      </c>
      <c r="K4095" s="532">
        <f t="shared" si="491"/>
        <v>237492</v>
      </c>
      <c r="L4095" s="534" t="s">
        <v>292</v>
      </c>
      <c r="M4095" s="534" t="s">
        <v>8</v>
      </c>
      <c r="N4095" s="525" t="str">
        <f>IF(AND('331-CT'!$E$7=TH!H4095,OR(L4095="331",M4095="331")),"331",IF(AND(OR(L4095="131",M4095="131"),H4095='131-CT'!$E$7),"131",""))</f>
        <v/>
      </c>
      <c r="O4095" s="525" t="str">
        <f>IF(AND($B4095&gt;='111'!$N$11,$B4095&lt;='111'!$O$11,OR($L4095=$O$7,$M4095=$O$7)),"x","")</f>
        <v/>
      </c>
      <c r="P4095" s="525" t="str">
        <f>IF(AND($L4095=$O$7,$B4095&lt;'111'!$N$11),"x","")</f>
        <v/>
      </c>
      <c r="Q4095" s="525" t="str">
        <f>IF(AND($M4095=$O$7,$B4095&lt;'111'!$N$11),"x","")</f>
        <v/>
      </c>
      <c r="R4095" s="525" t="str">
        <f>IF(ISERROR(FIND('112'!$M$9,G4095,1)),"",IF((AND(FIND('112'!$M$9,G4095,1)&gt;=1,$B4095&gt;='112'!$N$8,$B4095&lt;='112'!$O$8,OR($L4095='112'!$I$6,$M4095='112'!$I$6))),"x",""))</f>
        <v/>
      </c>
      <c r="S4095" s="525" t="str">
        <f>IF(ISERROR(FIND('112'!$M$9,G4095,1)),"",IF((AND(LEFT(G4095,2)=LEFT('112'!$M$9,2),B4095&lt;'112'!$N$8,$L4095='112'!$I$6)),"x",""))</f>
        <v/>
      </c>
      <c r="T4095" s="525" t="str">
        <f>IF(ISERROR(FIND('112'!$M$9,G4095,1)),"",IF((AND(RIGHT(G4095,2)=RIGHT('112'!$M$9,2),B4095&lt;'112'!$N$8,$M4095='112'!$I$6)),"x",""))</f>
        <v/>
      </c>
      <c r="U4095" s="525" t="str">
        <f>IF(AND(B4095&gt;='IN-NX'!$P$3,B4095&lt;='IN-NX'!$Q$3,'IN-NX'!$D$7=D4095,OR(LEFT(L4095,2)="15",AND(LEFT(M4095,2)&lt;&gt;"15",LEFT(M4095,2)&lt;&gt;"33"))),"x","")</f>
        <v/>
      </c>
      <c r="V4095" s="525" t="str">
        <f>IF(AND(OR(LEFT(TH!L4095,2)="15",LEFT(TH!M4095,2)="15"),'152-CT'!$J$8=TH!F4095),"x","")</f>
        <v/>
      </c>
      <c r="W4095" s="525" t="str">
        <f>IF(AND(OR(LEFT(TH!L4095,2)="15",LEFT(TH!M4095,2)="15"),TK!$E$7=TH!F4095),"x","")</f>
        <v/>
      </c>
      <c r="X4095" s="525" t="str">
        <f>IF(AND('341-CT'!$E$9=H4095,OR(LEFT(L4095,3)=$X$7,LEFT(M4095,3)=$X$7)),"x","")</f>
        <v/>
      </c>
      <c r="Y4095" s="525" t="str">
        <f>IF(OR(TH!L4095=TH!$Y$7,M4095=TH!$Y$7),"x","")</f>
        <v/>
      </c>
      <c r="Z4095" s="525" t="str">
        <f>IF(AND(B4095&lt;=NKC!$N$8,B4095&gt;=NKC!$M$8),"x","")</f>
        <v/>
      </c>
      <c r="AA4095" s="535">
        <v>3</v>
      </c>
      <c r="AB4095" s="536"/>
      <c r="AC4095" s="536" t="str">
        <f>VLOOKUP(F4095,NXT!$B$12:$B$686,1,0)</f>
        <v>Thùng 46x46x32</v>
      </c>
    </row>
    <row r="4096" spans="1:29" s="503" customFormat="1" ht="15.75" customHeight="1">
      <c r="A4096" s="517" t="str">
        <f>IF(B4096&lt;&gt;"",IF(AND(B4096&gt;=_TM1,B4096&lt;=_TM2,OR(TH!L4096="1111",TH!M4096="1111")),TH!D4096,""),"")</f>
        <v/>
      </c>
      <c r="B4096" s="531">
        <f t="shared" si="467"/>
        <v>8</v>
      </c>
      <c r="C4096" s="315">
        <f t="shared" si="367"/>
        <v>42977</v>
      </c>
      <c r="D4096" s="315" t="s">
        <v>1180</v>
      </c>
      <c r="E4096" s="315">
        <v>42977</v>
      </c>
      <c r="F4096" s="250" t="s">
        <v>1485</v>
      </c>
      <c r="G4096" s="314" t="s">
        <v>1078</v>
      </c>
      <c r="H4096" s="473" t="s">
        <v>1501</v>
      </c>
      <c r="I4096" s="307">
        <v>24</v>
      </c>
      <c r="J4096" s="307">
        <v>7545</v>
      </c>
      <c r="K4096" s="532">
        <f t="shared" si="468"/>
        <v>181080</v>
      </c>
      <c r="L4096" s="534" t="s">
        <v>292</v>
      </c>
      <c r="M4096" s="534" t="s">
        <v>8</v>
      </c>
      <c r="N4096" s="525" t="str">
        <f>IF(AND('331-CT'!$E$7=TH!H4096,OR(L4096="331",M4096="331")),"331",IF(AND(OR(L4096="131",M4096="131"),H4096='131-CT'!$E$7),"131",""))</f>
        <v/>
      </c>
      <c r="O4096" s="525" t="str">
        <f>IF(AND($B4096&gt;='111'!$N$11,$B4096&lt;='111'!$O$11,OR($L4096=$O$7,$M4096=$O$7)),"x","")</f>
        <v/>
      </c>
      <c r="P4096" s="525" t="str">
        <f>IF(AND($L4096=$O$7,$B4096&lt;'111'!$N$11),"x","")</f>
        <v/>
      </c>
      <c r="Q4096" s="525" t="str">
        <f>IF(AND($M4096=$O$7,$B4096&lt;'111'!$N$11),"x","")</f>
        <v/>
      </c>
      <c r="R4096" s="525" t="str">
        <f>IF(ISERROR(FIND('112'!$M$9,G4096,1)),"",IF((AND(FIND('112'!$M$9,G4096,1)&gt;=1,$B4096&gt;='112'!$N$8,$B4096&lt;='112'!$O$8,OR($L4096='112'!$I$6,$M4096='112'!$I$6))),"x",""))</f>
        <v/>
      </c>
      <c r="S4096" s="525" t="str">
        <f>IF(ISERROR(FIND('112'!$M$9,G4096,1)),"",IF((AND(LEFT(G4096,2)=LEFT('112'!$M$9,2),B4096&lt;'112'!$N$8,$L4096='112'!$I$6)),"x",""))</f>
        <v/>
      </c>
      <c r="T4096" s="525" t="str">
        <f>IF(ISERROR(FIND('112'!$M$9,G4096,1)),"",IF((AND(RIGHT(G4096,2)=RIGHT('112'!$M$9,2),B4096&lt;'112'!$N$8,$M4096='112'!$I$6)),"x",""))</f>
        <v/>
      </c>
      <c r="U4096" s="525" t="str">
        <f>IF(AND(B4096&gt;='IN-NX'!$P$3,B4096&lt;='IN-NX'!$Q$3,'IN-NX'!$D$7=D4096,OR(LEFT(L4096,2)="15",AND(LEFT(M4096,2)&lt;&gt;"15",LEFT(M4096,2)&lt;&gt;"33"))),"x","")</f>
        <v/>
      </c>
      <c r="V4096" s="525" t="str">
        <f>IF(AND(OR(LEFT(TH!L4096,2)="15",LEFT(TH!M4096,2)="15"),'152-CT'!$J$8=TH!F4096),"x","")</f>
        <v/>
      </c>
      <c r="W4096" s="525" t="str">
        <f>IF(AND(OR(LEFT(TH!L4096,2)="15",LEFT(TH!M4096,2)="15"),TK!$E$7=TH!F4096),"x","")</f>
        <v/>
      </c>
      <c r="X4096" s="525" t="str">
        <f>IF(AND('341-CT'!$E$9=H4096,OR(LEFT(L4096,3)=$X$7,LEFT(M4096,3)=$X$7)),"x","")</f>
        <v/>
      </c>
      <c r="Y4096" s="525" t="str">
        <f>IF(OR(TH!L4096=TH!$Y$7,M4096=TH!$Y$7),"x","")</f>
        <v/>
      </c>
      <c r="Z4096" s="525" t="str">
        <f>IF(AND(B4096&lt;=NKC!$N$8,B4096&gt;=NKC!$M$8),"x","")</f>
        <v/>
      </c>
      <c r="AA4096" s="535">
        <v>3</v>
      </c>
      <c r="AB4096" s="536"/>
      <c r="AC4096" s="536" t="str">
        <f>VLOOKUP(F4096,NXT!$B$12:$B$686,1,0)</f>
        <v>Thùng 26x26x24</v>
      </c>
    </row>
    <row r="4097" spans="1:29" s="503" customFormat="1" ht="15.75" customHeight="1">
      <c r="A4097" s="517" t="str">
        <f>IF(B4097&lt;&gt;"",IF(AND(B4097&gt;=_TM1,B4097&lt;=_TM2,OR(TH!L4097="1111",TH!M4097="1111")),TH!D4097,""),"")</f>
        <v/>
      </c>
      <c r="B4097" s="531">
        <f t="shared" si="467"/>
        <v>8</v>
      </c>
      <c r="C4097" s="315">
        <f t="shared" si="367"/>
        <v>42977</v>
      </c>
      <c r="D4097" s="315" t="s">
        <v>1180</v>
      </c>
      <c r="E4097" s="315">
        <v>42977</v>
      </c>
      <c r="F4097" s="250" t="s">
        <v>1486</v>
      </c>
      <c r="G4097" s="314" t="s">
        <v>1078</v>
      </c>
      <c r="H4097" s="473" t="s">
        <v>1501</v>
      </c>
      <c r="I4097" s="307">
        <v>12</v>
      </c>
      <c r="J4097" s="307">
        <v>7660</v>
      </c>
      <c r="K4097" s="532">
        <f t="shared" si="468"/>
        <v>91920</v>
      </c>
      <c r="L4097" s="534" t="s">
        <v>292</v>
      </c>
      <c r="M4097" s="534" t="s">
        <v>8</v>
      </c>
      <c r="N4097" s="525" t="str">
        <f>IF(AND('331-CT'!$E$7=TH!H4097,OR(L4097="331",M4097="331")),"331",IF(AND(OR(L4097="131",M4097="131"),H4097='131-CT'!$E$7),"131",""))</f>
        <v/>
      </c>
      <c r="O4097" s="525" t="str">
        <f>IF(AND($B4097&gt;='111'!$N$11,$B4097&lt;='111'!$O$11,OR($L4097=$O$7,$M4097=$O$7)),"x","")</f>
        <v/>
      </c>
      <c r="P4097" s="525" t="str">
        <f>IF(AND($L4097=$O$7,$B4097&lt;'111'!$N$11),"x","")</f>
        <v/>
      </c>
      <c r="Q4097" s="525" t="str">
        <f>IF(AND($M4097=$O$7,$B4097&lt;'111'!$N$11),"x","")</f>
        <v/>
      </c>
      <c r="R4097" s="525" t="str">
        <f>IF(ISERROR(FIND('112'!$M$9,G4097,1)),"",IF((AND(FIND('112'!$M$9,G4097,1)&gt;=1,$B4097&gt;='112'!$N$8,$B4097&lt;='112'!$O$8,OR($L4097='112'!$I$6,$M4097='112'!$I$6))),"x",""))</f>
        <v/>
      </c>
      <c r="S4097" s="525" t="str">
        <f>IF(ISERROR(FIND('112'!$M$9,G4097,1)),"",IF((AND(LEFT(G4097,2)=LEFT('112'!$M$9,2),B4097&lt;'112'!$N$8,$L4097='112'!$I$6)),"x",""))</f>
        <v/>
      </c>
      <c r="T4097" s="525" t="str">
        <f>IF(ISERROR(FIND('112'!$M$9,G4097,1)),"",IF((AND(RIGHT(G4097,2)=RIGHT('112'!$M$9,2),B4097&lt;'112'!$N$8,$M4097='112'!$I$6)),"x",""))</f>
        <v/>
      </c>
      <c r="U4097" s="525" t="str">
        <f>IF(AND(B4097&gt;='IN-NX'!$P$3,B4097&lt;='IN-NX'!$Q$3,'IN-NX'!$D$7=D4097,OR(LEFT(L4097,2)="15",AND(LEFT(M4097,2)&lt;&gt;"15",LEFT(M4097,2)&lt;&gt;"33"))),"x","")</f>
        <v/>
      </c>
      <c r="V4097" s="525" t="str">
        <f>IF(AND(OR(LEFT(TH!L4097,2)="15",LEFT(TH!M4097,2)="15"),'152-CT'!$J$8=TH!F4097),"x","")</f>
        <v/>
      </c>
      <c r="W4097" s="525" t="str">
        <f>IF(AND(OR(LEFT(TH!L4097,2)="15",LEFT(TH!M4097,2)="15"),TK!$E$7=TH!F4097),"x","")</f>
        <v/>
      </c>
      <c r="X4097" s="525" t="str">
        <f>IF(AND('341-CT'!$E$9=H4097,OR(LEFT(L4097,3)=$X$7,LEFT(M4097,3)=$X$7)),"x","")</f>
        <v/>
      </c>
      <c r="Y4097" s="525" t="str">
        <f>IF(OR(TH!L4097=TH!$Y$7,M4097=TH!$Y$7),"x","")</f>
        <v/>
      </c>
      <c r="Z4097" s="525" t="str">
        <f>IF(AND(B4097&lt;=NKC!$N$8,B4097&gt;=NKC!$M$8),"x","")</f>
        <v/>
      </c>
      <c r="AA4097" s="535">
        <v>3</v>
      </c>
      <c r="AB4097" s="536"/>
      <c r="AC4097" s="536" t="str">
        <f>VLOOKUP(F4097,NXT!$B$12:$B$686,1,0)</f>
        <v>Thùng 32x32x9</v>
      </c>
    </row>
    <row r="4098" spans="1:29" s="503" customFormat="1" ht="15.75" customHeight="1">
      <c r="A4098" s="517" t="str">
        <f>IF(B4098&lt;&gt;"",IF(AND(B4098&gt;=_TM1,B4098&lt;=_TM2,OR(TH!L4098="1111",TH!M4098="1111")),TH!D4098,""),"")</f>
        <v/>
      </c>
      <c r="B4098" s="531">
        <f t="shared" si="467"/>
        <v>8</v>
      </c>
      <c r="C4098" s="315">
        <f t="shared" si="367"/>
        <v>42977</v>
      </c>
      <c r="D4098" s="315" t="s">
        <v>1180</v>
      </c>
      <c r="E4098" s="315">
        <v>42977</v>
      </c>
      <c r="F4098" s="250" t="s">
        <v>1487</v>
      </c>
      <c r="G4098" s="314" t="s">
        <v>1078</v>
      </c>
      <c r="H4098" s="473" t="s">
        <v>1501</v>
      </c>
      <c r="I4098" s="307">
        <v>4</v>
      </c>
      <c r="J4098" s="307">
        <v>66847</v>
      </c>
      <c r="K4098" s="532">
        <f t="shared" si="468"/>
        <v>267388</v>
      </c>
      <c r="L4098" s="534" t="s">
        <v>292</v>
      </c>
      <c r="M4098" s="534" t="s">
        <v>8</v>
      </c>
      <c r="N4098" s="525" t="str">
        <f>IF(AND('331-CT'!$E$7=TH!H4098,OR(L4098="331",M4098="331")),"331",IF(AND(OR(L4098="131",M4098="131"),H4098='131-CT'!$E$7),"131",""))</f>
        <v/>
      </c>
      <c r="O4098" s="525" t="str">
        <f>IF(AND($B4098&gt;='111'!$N$11,$B4098&lt;='111'!$O$11,OR($L4098=$O$7,$M4098=$O$7)),"x","")</f>
        <v/>
      </c>
      <c r="P4098" s="525" t="str">
        <f>IF(AND($L4098=$O$7,$B4098&lt;'111'!$N$11),"x","")</f>
        <v/>
      </c>
      <c r="Q4098" s="525" t="str">
        <f>IF(AND($M4098=$O$7,$B4098&lt;'111'!$N$11),"x","")</f>
        <v/>
      </c>
      <c r="R4098" s="525" t="str">
        <f>IF(ISERROR(FIND('112'!$M$9,G4098,1)),"",IF((AND(FIND('112'!$M$9,G4098,1)&gt;=1,$B4098&gt;='112'!$N$8,$B4098&lt;='112'!$O$8,OR($L4098='112'!$I$6,$M4098='112'!$I$6))),"x",""))</f>
        <v/>
      </c>
      <c r="S4098" s="525" t="str">
        <f>IF(ISERROR(FIND('112'!$M$9,G4098,1)),"",IF((AND(LEFT(G4098,2)=LEFT('112'!$M$9,2),B4098&lt;'112'!$N$8,$L4098='112'!$I$6)),"x",""))</f>
        <v/>
      </c>
      <c r="T4098" s="525" t="str">
        <f>IF(ISERROR(FIND('112'!$M$9,G4098,1)),"",IF((AND(RIGHT(G4098,2)=RIGHT('112'!$M$9,2),B4098&lt;'112'!$N$8,$M4098='112'!$I$6)),"x",""))</f>
        <v/>
      </c>
      <c r="U4098" s="525" t="str">
        <f>IF(AND(B4098&gt;='IN-NX'!$P$3,B4098&lt;='IN-NX'!$Q$3,'IN-NX'!$D$7=D4098,OR(LEFT(L4098,2)="15",AND(LEFT(M4098,2)&lt;&gt;"15",LEFT(M4098,2)&lt;&gt;"33"))),"x","")</f>
        <v/>
      </c>
      <c r="V4098" s="525" t="str">
        <f>IF(AND(OR(LEFT(TH!L4098,2)="15",LEFT(TH!M4098,2)="15"),'152-CT'!$J$8=TH!F4098),"x","")</f>
        <v/>
      </c>
      <c r="W4098" s="525" t="str">
        <f>IF(AND(OR(LEFT(TH!L4098,2)="15",LEFT(TH!M4098,2)="15"),TK!$E$7=TH!F4098),"x","")</f>
        <v/>
      </c>
      <c r="X4098" s="525" t="str">
        <f>IF(AND('341-CT'!$E$9=H4098,OR(LEFT(L4098,3)=$X$7,LEFT(M4098,3)=$X$7)),"x","")</f>
        <v/>
      </c>
      <c r="Y4098" s="525" t="str">
        <f>IF(OR(TH!L4098=TH!$Y$7,M4098=TH!$Y$7),"x","")</f>
        <v/>
      </c>
      <c r="Z4098" s="525" t="str">
        <f>IF(AND(B4098&lt;=NKC!$N$8,B4098&gt;=NKC!$M$8),"x","")</f>
        <v/>
      </c>
      <c r="AA4098" s="535">
        <v>3</v>
      </c>
      <c r="AB4098" s="536"/>
      <c r="AC4098" s="536" t="str">
        <f>VLOOKUP(F4098,NXT!$B$12:$B$686,1,0)</f>
        <v>Thùng 157x91x9</v>
      </c>
    </row>
    <row r="4099" spans="1:29" s="503" customFormat="1" ht="15.75" customHeight="1">
      <c r="A4099" s="517" t="str">
        <f>IF(B4099&lt;&gt;"",IF(AND(B4099&gt;=_TM1,B4099&lt;=_TM2,OR(TH!L4099="1111",TH!M4099="1111")),TH!D4099,""),"")</f>
        <v/>
      </c>
      <c r="B4099" s="531">
        <f t="shared" si="467"/>
        <v>8</v>
      </c>
      <c r="C4099" s="315">
        <f t="shared" si="367"/>
        <v>42977</v>
      </c>
      <c r="D4099" s="315" t="s">
        <v>1180</v>
      </c>
      <c r="E4099" s="315">
        <v>42977</v>
      </c>
      <c r="F4099" s="250" t="s">
        <v>1488</v>
      </c>
      <c r="G4099" s="314" t="s">
        <v>1078</v>
      </c>
      <c r="H4099" s="473" t="s">
        <v>1501</v>
      </c>
      <c r="I4099" s="307">
        <v>4</v>
      </c>
      <c r="J4099" s="307">
        <v>76145</v>
      </c>
      <c r="K4099" s="532">
        <f t="shared" si="468"/>
        <v>304580</v>
      </c>
      <c r="L4099" s="534" t="s">
        <v>292</v>
      </c>
      <c r="M4099" s="534" t="s">
        <v>8</v>
      </c>
      <c r="N4099" s="525" t="str">
        <f>IF(AND('331-CT'!$E$7=TH!H4099,OR(L4099="331",M4099="331")),"331",IF(AND(OR(L4099="131",M4099="131"),H4099='131-CT'!$E$7),"131",""))</f>
        <v/>
      </c>
      <c r="O4099" s="525" t="str">
        <f>IF(AND($B4099&gt;='111'!$N$11,$B4099&lt;='111'!$O$11,OR($L4099=$O$7,$M4099=$O$7)),"x","")</f>
        <v/>
      </c>
      <c r="P4099" s="525" t="str">
        <f>IF(AND($L4099=$O$7,$B4099&lt;'111'!$N$11),"x","")</f>
        <v/>
      </c>
      <c r="Q4099" s="525" t="str">
        <f>IF(AND($M4099=$O$7,$B4099&lt;'111'!$N$11),"x","")</f>
        <v/>
      </c>
      <c r="R4099" s="525" t="str">
        <f>IF(ISERROR(FIND('112'!$M$9,G4099,1)),"",IF((AND(FIND('112'!$M$9,G4099,1)&gt;=1,$B4099&gt;='112'!$N$8,$B4099&lt;='112'!$O$8,OR($L4099='112'!$I$6,$M4099='112'!$I$6))),"x",""))</f>
        <v/>
      </c>
      <c r="S4099" s="525" t="str">
        <f>IF(ISERROR(FIND('112'!$M$9,G4099,1)),"",IF((AND(LEFT(G4099,2)=LEFT('112'!$M$9,2),B4099&lt;'112'!$N$8,$L4099='112'!$I$6)),"x",""))</f>
        <v/>
      </c>
      <c r="T4099" s="525" t="str">
        <f>IF(ISERROR(FIND('112'!$M$9,G4099,1)),"",IF((AND(RIGHT(G4099,2)=RIGHT('112'!$M$9,2),B4099&lt;'112'!$N$8,$M4099='112'!$I$6)),"x",""))</f>
        <v/>
      </c>
      <c r="U4099" s="525" t="str">
        <f>IF(AND(B4099&gt;='IN-NX'!$P$3,B4099&lt;='IN-NX'!$Q$3,'IN-NX'!$D$7=D4099,OR(LEFT(L4099,2)="15",AND(LEFT(M4099,2)&lt;&gt;"15",LEFT(M4099,2)&lt;&gt;"33"))),"x","")</f>
        <v/>
      </c>
      <c r="V4099" s="525" t="str">
        <f>IF(AND(OR(LEFT(TH!L4099,2)="15",LEFT(TH!M4099,2)="15"),'152-CT'!$J$8=TH!F4099),"x","")</f>
        <v/>
      </c>
      <c r="W4099" s="525" t="str">
        <f>IF(AND(OR(LEFT(TH!L4099,2)="15",LEFT(TH!M4099,2)="15"),TK!$E$7=TH!F4099),"x","")</f>
        <v/>
      </c>
      <c r="X4099" s="525" t="str">
        <f>IF(AND('341-CT'!$E$9=H4099,OR(LEFT(L4099,3)=$X$7,LEFT(M4099,3)=$X$7)),"x","")</f>
        <v/>
      </c>
      <c r="Y4099" s="525" t="str">
        <f>IF(OR(TH!L4099=TH!$Y$7,M4099=TH!$Y$7),"x","")</f>
        <v/>
      </c>
      <c r="Z4099" s="525" t="str">
        <f>IF(AND(B4099&lt;=NKC!$N$8,B4099&gt;=NKC!$M$8),"x","")</f>
        <v/>
      </c>
      <c r="AA4099" s="535">
        <v>3</v>
      </c>
      <c r="AB4099" s="536"/>
      <c r="AC4099" s="536" t="str">
        <f>VLOOKUP(F4099,NXT!$B$12:$B$686,1,0)</f>
        <v>Thùng 157x92x22</v>
      </c>
    </row>
    <row r="4100" spans="1:29" s="503" customFormat="1" ht="15.75" customHeight="1">
      <c r="A4100" s="517" t="str">
        <f>IF(B4100&lt;&gt;"",IF(AND(B4100&gt;=_TM1,B4100&lt;=_TM2,OR(TH!L4100="1111",TH!M4100="1111")),TH!D4100,""),"")</f>
        <v/>
      </c>
      <c r="B4100" s="531">
        <f t="shared" si="467"/>
        <v>8</v>
      </c>
      <c r="C4100" s="315">
        <f t="shared" si="367"/>
        <v>42977</v>
      </c>
      <c r="D4100" s="315" t="s">
        <v>1180</v>
      </c>
      <c r="E4100" s="315">
        <v>42977</v>
      </c>
      <c r="F4100" s="250" t="s">
        <v>1489</v>
      </c>
      <c r="G4100" s="314" t="s">
        <v>1078</v>
      </c>
      <c r="H4100" s="473" t="s">
        <v>1501</v>
      </c>
      <c r="I4100" s="307">
        <v>8</v>
      </c>
      <c r="J4100" s="307">
        <v>76721</v>
      </c>
      <c r="K4100" s="532">
        <f t="shared" si="468"/>
        <v>613768</v>
      </c>
      <c r="L4100" s="534" t="s">
        <v>292</v>
      </c>
      <c r="M4100" s="534" t="s">
        <v>8</v>
      </c>
      <c r="N4100" s="525" t="str">
        <f>IF(AND('331-CT'!$E$7=TH!H4100,OR(L4100="331",M4100="331")),"331",IF(AND(OR(L4100="131",M4100="131"),H4100='131-CT'!$E$7),"131",""))</f>
        <v/>
      </c>
      <c r="O4100" s="525" t="str">
        <f>IF(AND($B4100&gt;='111'!$N$11,$B4100&lt;='111'!$O$11,OR($L4100=$O$7,$M4100=$O$7)),"x","")</f>
        <v/>
      </c>
      <c r="P4100" s="525" t="str">
        <f>IF(AND($L4100=$O$7,$B4100&lt;'111'!$N$11),"x","")</f>
        <v/>
      </c>
      <c r="Q4100" s="525" t="str">
        <f>IF(AND($M4100=$O$7,$B4100&lt;'111'!$N$11),"x","")</f>
        <v/>
      </c>
      <c r="R4100" s="525" t="str">
        <f>IF(ISERROR(FIND('112'!$M$9,G4100,1)),"",IF((AND(FIND('112'!$M$9,G4100,1)&gt;=1,$B4100&gt;='112'!$N$8,$B4100&lt;='112'!$O$8,OR($L4100='112'!$I$6,$M4100='112'!$I$6))),"x",""))</f>
        <v/>
      </c>
      <c r="S4100" s="525" t="str">
        <f>IF(ISERROR(FIND('112'!$M$9,G4100,1)),"",IF((AND(LEFT(G4100,2)=LEFT('112'!$M$9,2),B4100&lt;'112'!$N$8,$L4100='112'!$I$6)),"x",""))</f>
        <v/>
      </c>
      <c r="T4100" s="525" t="str">
        <f>IF(ISERROR(FIND('112'!$M$9,G4100,1)),"",IF((AND(RIGHT(G4100,2)=RIGHT('112'!$M$9,2),B4100&lt;'112'!$N$8,$M4100='112'!$I$6)),"x",""))</f>
        <v/>
      </c>
      <c r="U4100" s="525" t="str">
        <f>IF(AND(B4100&gt;='IN-NX'!$P$3,B4100&lt;='IN-NX'!$Q$3,'IN-NX'!$D$7=D4100,OR(LEFT(L4100,2)="15",AND(LEFT(M4100,2)&lt;&gt;"15",LEFT(M4100,2)&lt;&gt;"33"))),"x","")</f>
        <v/>
      </c>
      <c r="V4100" s="525" t="str">
        <f>IF(AND(OR(LEFT(TH!L4100,2)="15",LEFT(TH!M4100,2)="15"),'152-CT'!$J$8=TH!F4100),"x","")</f>
        <v/>
      </c>
      <c r="W4100" s="525" t="str">
        <f>IF(AND(OR(LEFT(TH!L4100,2)="15",LEFT(TH!M4100,2)="15"),TK!$E$7=TH!F4100),"x","")</f>
        <v/>
      </c>
      <c r="X4100" s="525" t="str">
        <f>IF(AND('341-CT'!$E$9=H4100,OR(LEFT(L4100,3)=$X$7,LEFT(M4100,3)=$X$7)),"x","")</f>
        <v/>
      </c>
      <c r="Y4100" s="525" t="str">
        <f>IF(OR(TH!L4100=TH!$Y$7,M4100=TH!$Y$7),"x","")</f>
        <v/>
      </c>
      <c r="Z4100" s="525" t="str">
        <f>IF(AND(B4100&lt;=NKC!$N$8,B4100&gt;=NKC!$M$8),"x","")</f>
        <v/>
      </c>
      <c r="AA4100" s="535">
        <v>3</v>
      </c>
      <c r="AB4100" s="536"/>
      <c r="AC4100" s="536" t="str">
        <f>VLOOKUP(F4100,NXT!$B$12:$B$686,1,0)</f>
        <v>Thùng 75x75x36</v>
      </c>
    </row>
    <row r="4101" spans="1:29" s="503" customFormat="1" ht="15.75" customHeight="1">
      <c r="A4101" s="517" t="str">
        <f>IF(B4101&lt;&gt;"",IF(AND(B4101&gt;=_TM1,B4101&lt;=_TM2,OR(TH!L4101="1111",TH!M4101="1111")),TH!D4101,""),"")</f>
        <v/>
      </c>
      <c r="B4101" s="531">
        <f t="shared" si="467"/>
        <v>8</v>
      </c>
      <c r="C4101" s="315">
        <f t="shared" si="367"/>
        <v>42977</v>
      </c>
      <c r="D4101" s="315" t="s">
        <v>1180</v>
      </c>
      <c r="E4101" s="315">
        <v>42977</v>
      </c>
      <c r="F4101" s="250" t="s">
        <v>999</v>
      </c>
      <c r="G4101" s="314" t="s">
        <v>1078</v>
      </c>
      <c r="H4101" s="473" t="s">
        <v>1501</v>
      </c>
      <c r="I4101" s="307">
        <v>20</v>
      </c>
      <c r="J4101" s="307">
        <v>82564</v>
      </c>
      <c r="K4101" s="532">
        <f t="shared" si="468"/>
        <v>1651280</v>
      </c>
      <c r="L4101" s="534" t="s">
        <v>292</v>
      </c>
      <c r="M4101" s="534" t="s">
        <v>8</v>
      </c>
      <c r="N4101" s="525" t="str">
        <f>IF(AND('331-CT'!$E$7=TH!H4101,OR(L4101="331",M4101="331")),"331",IF(AND(OR(L4101="131",M4101="131"),H4101='131-CT'!$E$7),"131",""))</f>
        <v/>
      </c>
      <c r="O4101" s="525" t="str">
        <f>IF(AND($B4101&gt;='111'!$N$11,$B4101&lt;='111'!$O$11,OR($L4101=$O$7,$M4101=$O$7)),"x","")</f>
        <v/>
      </c>
      <c r="P4101" s="525" t="str">
        <f>IF(AND($L4101=$O$7,$B4101&lt;'111'!$N$11),"x","")</f>
        <v/>
      </c>
      <c r="Q4101" s="525" t="str">
        <f>IF(AND($M4101=$O$7,$B4101&lt;'111'!$N$11),"x","")</f>
        <v/>
      </c>
      <c r="R4101" s="525" t="str">
        <f>IF(ISERROR(FIND('112'!$M$9,G4101,1)),"",IF((AND(FIND('112'!$M$9,G4101,1)&gt;=1,$B4101&gt;='112'!$N$8,$B4101&lt;='112'!$O$8,OR($L4101='112'!$I$6,$M4101='112'!$I$6))),"x",""))</f>
        <v/>
      </c>
      <c r="S4101" s="525" t="str">
        <f>IF(ISERROR(FIND('112'!$M$9,G4101,1)),"",IF((AND(LEFT(G4101,2)=LEFT('112'!$M$9,2),B4101&lt;'112'!$N$8,$L4101='112'!$I$6)),"x",""))</f>
        <v/>
      </c>
      <c r="T4101" s="525" t="str">
        <f>IF(ISERROR(FIND('112'!$M$9,G4101,1)),"",IF((AND(RIGHT(G4101,2)=RIGHT('112'!$M$9,2),B4101&lt;'112'!$N$8,$M4101='112'!$I$6)),"x",""))</f>
        <v/>
      </c>
      <c r="U4101" s="525" t="str">
        <f>IF(AND(B4101&gt;='IN-NX'!$P$3,B4101&lt;='IN-NX'!$Q$3,'IN-NX'!$D$7=D4101,OR(LEFT(L4101,2)="15",AND(LEFT(M4101,2)&lt;&gt;"15",LEFT(M4101,2)&lt;&gt;"33"))),"x","")</f>
        <v/>
      </c>
      <c r="V4101" s="525" t="str">
        <f>IF(AND(OR(LEFT(TH!L4101,2)="15",LEFT(TH!M4101,2)="15"),'152-CT'!$J$8=TH!F4101),"x","")</f>
        <v/>
      </c>
      <c r="W4101" s="525" t="str">
        <f>IF(AND(OR(LEFT(TH!L4101,2)="15",LEFT(TH!M4101,2)="15"),TK!$E$7=TH!F4101),"x","")</f>
        <v/>
      </c>
      <c r="X4101" s="525" t="str">
        <f>IF(AND('341-CT'!$E$9=H4101,OR(LEFT(L4101,3)=$X$7,LEFT(M4101,3)=$X$7)),"x","")</f>
        <v/>
      </c>
      <c r="Y4101" s="525" t="str">
        <f>IF(OR(TH!L4101=TH!$Y$7,M4101=TH!$Y$7),"x","")</f>
        <v/>
      </c>
      <c r="Z4101" s="525" t="str">
        <f>IF(AND(B4101&lt;=NKC!$N$8,B4101&gt;=NKC!$M$8),"x","")</f>
        <v/>
      </c>
      <c r="AA4101" s="535">
        <v>3</v>
      </c>
      <c r="AB4101" s="536"/>
      <c r="AC4101" s="536" t="str">
        <f>VLOOKUP(F4101,NXT!$B$12:$B$686,1,0)</f>
        <v>Thùng 165x40x52</v>
      </c>
    </row>
    <row r="4102" spans="1:29" s="503" customFormat="1" ht="15.75" customHeight="1">
      <c r="A4102" s="517" t="str">
        <f>IF(B4102&lt;&gt;"",IF(AND(B4102&gt;=_TM1,B4102&lt;=_TM2,OR(TH!L4102="1111",TH!M4102="1111")),TH!D4102,""),"")</f>
        <v/>
      </c>
      <c r="B4102" s="531">
        <f t="shared" si="467"/>
        <v>8</v>
      </c>
      <c r="C4102" s="315">
        <f t="shared" si="367"/>
        <v>42977</v>
      </c>
      <c r="D4102" s="315" t="s">
        <v>1180</v>
      </c>
      <c r="E4102" s="315">
        <v>42977</v>
      </c>
      <c r="F4102" s="250" t="s">
        <v>629</v>
      </c>
      <c r="G4102" s="314" t="s">
        <v>1078</v>
      </c>
      <c r="H4102" s="473" t="s">
        <v>1501</v>
      </c>
      <c r="I4102" s="307">
        <v>36</v>
      </c>
      <c r="J4102" s="307">
        <v>38661</v>
      </c>
      <c r="K4102" s="532">
        <f t="shared" si="468"/>
        <v>1391796</v>
      </c>
      <c r="L4102" s="534" t="s">
        <v>292</v>
      </c>
      <c r="M4102" s="534" t="s">
        <v>8</v>
      </c>
      <c r="N4102" s="525" t="str">
        <f>IF(AND('331-CT'!$E$7=TH!H4102,OR(L4102="331",M4102="331")),"331",IF(AND(OR(L4102="131",M4102="131"),H4102='131-CT'!$E$7),"131",""))</f>
        <v/>
      </c>
      <c r="O4102" s="525" t="str">
        <f>IF(AND($B4102&gt;='111'!$N$11,$B4102&lt;='111'!$O$11,OR($L4102=$O$7,$M4102=$O$7)),"x","")</f>
        <v/>
      </c>
      <c r="P4102" s="525" t="str">
        <f>IF(AND($L4102=$O$7,$B4102&lt;'111'!$N$11),"x","")</f>
        <v/>
      </c>
      <c r="Q4102" s="525" t="str">
        <f>IF(AND($M4102=$O$7,$B4102&lt;'111'!$N$11),"x","")</f>
        <v/>
      </c>
      <c r="R4102" s="525" t="str">
        <f>IF(ISERROR(FIND('112'!$M$9,G4102,1)),"",IF((AND(FIND('112'!$M$9,G4102,1)&gt;=1,$B4102&gt;='112'!$N$8,$B4102&lt;='112'!$O$8,OR($L4102='112'!$I$6,$M4102='112'!$I$6))),"x",""))</f>
        <v/>
      </c>
      <c r="S4102" s="525" t="str">
        <f>IF(ISERROR(FIND('112'!$M$9,G4102,1)),"",IF((AND(LEFT(G4102,2)=LEFT('112'!$M$9,2),B4102&lt;'112'!$N$8,$L4102='112'!$I$6)),"x",""))</f>
        <v/>
      </c>
      <c r="T4102" s="525" t="str">
        <f>IF(ISERROR(FIND('112'!$M$9,G4102,1)),"",IF((AND(RIGHT(G4102,2)=RIGHT('112'!$M$9,2),B4102&lt;'112'!$N$8,$M4102='112'!$I$6)),"x",""))</f>
        <v/>
      </c>
      <c r="U4102" s="525" t="str">
        <f>IF(AND(B4102&gt;='IN-NX'!$P$3,B4102&lt;='IN-NX'!$Q$3,'IN-NX'!$D$7=D4102,OR(LEFT(L4102,2)="15",AND(LEFT(M4102,2)&lt;&gt;"15",LEFT(M4102,2)&lt;&gt;"33"))),"x","")</f>
        <v/>
      </c>
      <c r="V4102" s="525" t="str">
        <f>IF(AND(OR(LEFT(TH!L4102,2)="15",LEFT(TH!M4102,2)="15"),'152-CT'!$J$8=TH!F4102),"x","")</f>
        <v/>
      </c>
      <c r="W4102" s="525" t="str">
        <f>IF(AND(OR(LEFT(TH!L4102,2)="15",LEFT(TH!M4102,2)="15"),TK!$E$7=TH!F4102),"x","")</f>
        <v/>
      </c>
      <c r="X4102" s="525" t="str">
        <f>IF(AND('341-CT'!$E$9=H4102,OR(LEFT(L4102,3)=$X$7,LEFT(M4102,3)=$X$7)),"x","")</f>
        <v/>
      </c>
      <c r="Y4102" s="525" t="str">
        <f>IF(OR(TH!L4102=TH!$Y$7,M4102=TH!$Y$7),"x","")</f>
        <v/>
      </c>
      <c r="Z4102" s="525" t="str">
        <f>IF(AND(B4102&lt;=NKC!$N$8,B4102&gt;=NKC!$M$8),"x","")</f>
        <v/>
      </c>
      <c r="AA4102" s="535">
        <v>3</v>
      </c>
      <c r="AB4102" s="536"/>
      <c r="AC4102" s="536" t="str">
        <f>VLOOKUP(F4102,NXT!$B$12:$B$686,1,0)</f>
        <v>Thùng 55x30x79</v>
      </c>
    </row>
    <row r="4103" spans="1:29" s="503" customFormat="1" ht="15.75" customHeight="1">
      <c r="A4103" s="517" t="str">
        <f>IF(B4103&lt;&gt;"",IF(AND(B4103&gt;=_TM1,B4103&lt;=_TM2,OR(TH!L4103="1111",TH!M4103="1111")),TH!D4103,""),"")</f>
        <v/>
      </c>
      <c r="B4103" s="531">
        <f t="shared" si="467"/>
        <v>8</v>
      </c>
      <c r="C4103" s="315">
        <f t="shared" si="367"/>
        <v>42977</v>
      </c>
      <c r="D4103" s="315" t="s">
        <v>1180</v>
      </c>
      <c r="E4103" s="315">
        <v>42977</v>
      </c>
      <c r="F4103" s="250" t="s">
        <v>629</v>
      </c>
      <c r="G4103" s="314" t="s">
        <v>1078</v>
      </c>
      <c r="H4103" s="473" t="s">
        <v>1501</v>
      </c>
      <c r="I4103" s="307">
        <v>16</v>
      </c>
      <c r="J4103" s="307">
        <v>40725</v>
      </c>
      <c r="K4103" s="532">
        <f t="shared" si="468"/>
        <v>651600</v>
      </c>
      <c r="L4103" s="534" t="s">
        <v>292</v>
      </c>
      <c r="M4103" s="534" t="s">
        <v>8</v>
      </c>
      <c r="N4103" s="525" t="str">
        <f>IF(AND('331-CT'!$E$7=TH!H4103,OR(L4103="331",M4103="331")),"331",IF(AND(OR(L4103="131",M4103="131"),H4103='131-CT'!$E$7),"131",""))</f>
        <v/>
      </c>
      <c r="O4103" s="525" t="str">
        <f>IF(AND($B4103&gt;='111'!$N$11,$B4103&lt;='111'!$O$11,OR($L4103=$O$7,$M4103=$O$7)),"x","")</f>
        <v/>
      </c>
      <c r="P4103" s="525" t="str">
        <f>IF(AND($L4103=$O$7,$B4103&lt;'111'!$N$11),"x","")</f>
        <v/>
      </c>
      <c r="Q4103" s="525" t="str">
        <f>IF(AND($M4103=$O$7,$B4103&lt;'111'!$N$11),"x","")</f>
        <v/>
      </c>
      <c r="R4103" s="525" t="str">
        <f>IF(ISERROR(FIND('112'!$M$9,G4103,1)),"",IF((AND(FIND('112'!$M$9,G4103,1)&gt;=1,$B4103&gt;='112'!$N$8,$B4103&lt;='112'!$O$8,OR($L4103='112'!$I$6,$M4103='112'!$I$6))),"x",""))</f>
        <v/>
      </c>
      <c r="S4103" s="525" t="str">
        <f>IF(ISERROR(FIND('112'!$M$9,G4103,1)),"",IF((AND(LEFT(G4103,2)=LEFT('112'!$M$9,2),B4103&lt;'112'!$N$8,$L4103='112'!$I$6)),"x",""))</f>
        <v/>
      </c>
      <c r="T4103" s="525" t="str">
        <f>IF(ISERROR(FIND('112'!$M$9,G4103,1)),"",IF((AND(RIGHT(G4103,2)=RIGHT('112'!$M$9,2),B4103&lt;'112'!$N$8,$M4103='112'!$I$6)),"x",""))</f>
        <v/>
      </c>
      <c r="U4103" s="525" t="str">
        <f>IF(AND(B4103&gt;='IN-NX'!$P$3,B4103&lt;='IN-NX'!$Q$3,'IN-NX'!$D$7=D4103,OR(LEFT(L4103,2)="15",AND(LEFT(M4103,2)&lt;&gt;"15",LEFT(M4103,2)&lt;&gt;"33"))),"x","")</f>
        <v/>
      </c>
      <c r="V4103" s="525" t="str">
        <f>IF(AND(OR(LEFT(TH!L4103,2)="15",LEFT(TH!M4103,2)="15"),'152-CT'!$J$8=TH!F4103),"x","")</f>
        <v/>
      </c>
      <c r="W4103" s="525" t="str">
        <f>IF(AND(OR(LEFT(TH!L4103,2)="15",LEFT(TH!M4103,2)="15"),TK!$E$7=TH!F4103),"x","")</f>
        <v/>
      </c>
      <c r="X4103" s="525" t="str">
        <f>IF(AND('341-CT'!$E$9=H4103,OR(LEFT(L4103,3)=$X$7,LEFT(M4103,3)=$X$7)),"x","")</f>
        <v/>
      </c>
      <c r="Y4103" s="525" t="str">
        <f>IF(OR(TH!L4103=TH!$Y$7,M4103=TH!$Y$7),"x","")</f>
        <v/>
      </c>
      <c r="Z4103" s="525" t="str">
        <f>IF(AND(B4103&lt;=NKC!$N$8,B4103&gt;=NKC!$M$8),"x","")</f>
        <v/>
      </c>
      <c r="AA4103" s="535">
        <v>3</v>
      </c>
      <c r="AB4103" s="536"/>
      <c r="AC4103" s="536" t="str">
        <f>VLOOKUP(F4103,NXT!$B$12:$B$686,1,0)</f>
        <v>Thùng 55x30x79</v>
      </c>
    </row>
    <row r="4104" spans="1:29" s="503" customFormat="1" ht="15.75" customHeight="1">
      <c r="A4104" s="517" t="str">
        <f>IF(B4104&lt;&gt;"",IF(AND(B4104&gt;=_TM1,B4104&lt;=_TM2,OR(TH!L4104="1111",TH!M4104="1111")),TH!D4104,""),"")</f>
        <v/>
      </c>
      <c r="B4104" s="531">
        <f t="shared" si="467"/>
        <v>8</v>
      </c>
      <c r="C4104" s="315">
        <f t="shared" si="367"/>
        <v>42977</v>
      </c>
      <c r="D4104" s="315" t="s">
        <v>1180</v>
      </c>
      <c r="E4104" s="315">
        <v>42977</v>
      </c>
      <c r="F4104" s="250" t="s">
        <v>1490</v>
      </c>
      <c r="G4104" s="314" t="s">
        <v>1078</v>
      </c>
      <c r="H4104" s="473" t="s">
        <v>1501</v>
      </c>
      <c r="I4104" s="307">
        <v>8</v>
      </c>
      <c r="J4104" s="307">
        <v>128888</v>
      </c>
      <c r="K4104" s="532">
        <f t="shared" si="468"/>
        <v>1031104</v>
      </c>
      <c r="L4104" s="534" t="s">
        <v>292</v>
      </c>
      <c r="M4104" s="534" t="s">
        <v>8</v>
      </c>
      <c r="N4104" s="525" t="str">
        <f>IF(AND('331-CT'!$E$7=TH!H4104,OR(L4104="331",M4104="331")),"331",IF(AND(OR(L4104="131",M4104="131"),H4104='131-CT'!$E$7),"131",""))</f>
        <v/>
      </c>
      <c r="O4104" s="525" t="str">
        <f>IF(AND($B4104&gt;='111'!$N$11,$B4104&lt;='111'!$O$11,OR($L4104=$O$7,$M4104=$O$7)),"x","")</f>
        <v/>
      </c>
      <c r="P4104" s="525" t="str">
        <f>IF(AND($L4104=$O$7,$B4104&lt;'111'!$N$11),"x","")</f>
        <v/>
      </c>
      <c r="Q4104" s="525" t="str">
        <f>IF(AND($M4104=$O$7,$B4104&lt;'111'!$N$11),"x","")</f>
        <v/>
      </c>
      <c r="R4104" s="525" t="str">
        <f>IF(ISERROR(FIND('112'!$M$9,G4104,1)),"",IF((AND(FIND('112'!$M$9,G4104,1)&gt;=1,$B4104&gt;='112'!$N$8,$B4104&lt;='112'!$O$8,OR($L4104='112'!$I$6,$M4104='112'!$I$6))),"x",""))</f>
        <v/>
      </c>
      <c r="S4104" s="525" t="str">
        <f>IF(ISERROR(FIND('112'!$M$9,G4104,1)),"",IF((AND(LEFT(G4104,2)=LEFT('112'!$M$9,2),B4104&lt;'112'!$N$8,$L4104='112'!$I$6)),"x",""))</f>
        <v/>
      </c>
      <c r="T4104" s="525" t="str">
        <f>IF(ISERROR(FIND('112'!$M$9,G4104,1)),"",IF((AND(RIGHT(G4104,2)=RIGHT('112'!$M$9,2),B4104&lt;'112'!$N$8,$M4104='112'!$I$6)),"x",""))</f>
        <v/>
      </c>
      <c r="U4104" s="525" t="str">
        <f>IF(AND(B4104&gt;='IN-NX'!$P$3,B4104&lt;='IN-NX'!$Q$3,'IN-NX'!$D$7=D4104,OR(LEFT(L4104,2)="15",AND(LEFT(M4104,2)&lt;&gt;"15",LEFT(M4104,2)&lt;&gt;"33"))),"x","")</f>
        <v/>
      </c>
      <c r="V4104" s="525" t="str">
        <f>IF(AND(OR(LEFT(TH!L4104,2)="15",LEFT(TH!M4104,2)="15"),'152-CT'!$J$8=TH!F4104),"x","")</f>
        <v/>
      </c>
      <c r="W4104" s="525" t="str">
        <f>IF(AND(OR(LEFT(TH!L4104,2)="15",LEFT(TH!M4104,2)="15"),TK!$E$7=TH!F4104),"x","")</f>
        <v/>
      </c>
      <c r="X4104" s="525" t="str">
        <f>IF(AND('341-CT'!$E$9=H4104,OR(LEFT(L4104,3)=$X$7,LEFT(M4104,3)=$X$7)),"x","")</f>
        <v/>
      </c>
      <c r="Y4104" s="525" t="str">
        <f>IF(OR(TH!L4104=TH!$Y$7,M4104=TH!$Y$7),"x","")</f>
        <v/>
      </c>
      <c r="Z4104" s="525" t="str">
        <f>IF(AND(B4104&lt;=NKC!$N$8,B4104&gt;=NKC!$M$8),"x","")</f>
        <v/>
      </c>
      <c r="AA4104" s="535">
        <v>3</v>
      </c>
      <c r="AB4104" s="536"/>
      <c r="AC4104" s="536" t="str">
        <f>VLOOKUP(F4104,NXT!$B$12:$B$686,1,0)</f>
        <v>Thùng 165x95x14</v>
      </c>
    </row>
    <row r="4105" spans="1:29" s="503" customFormat="1" ht="15.75" customHeight="1">
      <c r="A4105" s="517" t="str">
        <f>IF(B4105&lt;&gt;"",IF(AND(B4105&gt;=_TM1,B4105&lt;=_TM2,OR(TH!L4105="1111",TH!M4105="1111")),TH!D4105,""),"")</f>
        <v/>
      </c>
      <c r="B4105" s="531">
        <f t="shared" si="467"/>
        <v>8</v>
      </c>
      <c r="C4105" s="315">
        <f t="shared" si="367"/>
        <v>42977</v>
      </c>
      <c r="D4105" s="315" t="s">
        <v>1180</v>
      </c>
      <c r="E4105" s="315">
        <v>42977</v>
      </c>
      <c r="F4105" s="250" t="s">
        <v>1491</v>
      </c>
      <c r="G4105" s="314" t="s">
        <v>1078</v>
      </c>
      <c r="H4105" s="473" t="s">
        <v>1501</v>
      </c>
      <c r="I4105" s="307">
        <v>8</v>
      </c>
      <c r="J4105" s="307">
        <v>80742</v>
      </c>
      <c r="K4105" s="532">
        <f t="shared" si="468"/>
        <v>645936</v>
      </c>
      <c r="L4105" s="534" t="s">
        <v>292</v>
      </c>
      <c r="M4105" s="534" t="s">
        <v>8</v>
      </c>
      <c r="N4105" s="525" t="str">
        <f>IF(AND('331-CT'!$E$7=TH!H4105,OR(L4105="331",M4105="331")),"331",IF(AND(OR(L4105="131",M4105="131"),H4105='131-CT'!$E$7),"131",""))</f>
        <v/>
      </c>
      <c r="O4105" s="525" t="str">
        <f>IF(AND($B4105&gt;='111'!$N$11,$B4105&lt;='111'!$O$11,OR($L4105=$O$7,$M4105=$O$7)),"x","")</f>
        <v/>
      </c>
      <c r="P4105" s="525" t="str">
        <f>IF(AND($L4105=$O$7,$B4105&lt;'111'!$N$11),"x","")</f>
        <v/>
      </c>
      <c r="Q4105" s="525" t="str">
        <f>IF(AND($M4105=$O$7,$B4105&lt;'111'!$N$11),"x","")</f>
        <v/>
      </c>
      <c r="R4105" s="525" t="str">
        <f>IF(ISERROR(FIND('112'!$M$9,G4105,1)),"",IF((AND(FIND('112'!$M$9,G4105,1)&gt;=1,$B4105&gt;='112'!$N$8,$B4105&lt;='112'!$O$8,OR($L4105='112'!$I$6,$M4105='112'!$I$6))),"x",""))</f>
        <v/>
      </c>
      <c r="S4105" s="525" t="str">
        <f>IF(ISERROR(FIND('112'!$M$9,G4105,1)),"",IF((AND(LEFT(G4105,2)=LEFT('112'!$M$9,2),B4105&lt;'112'!$N$8,$L4105='112'!$I$6)),"x",""))</f>
        <v/>
      </c>
      <c r="T4105" s="525" t="str">
        <f>IF(ISERROR(FIND('112'!$M$9,G4105,1)),"",IF((AND(RIGHT(G4105,2)=RIGHT('112'!$M$9,2),B4105&lt;'112'!$N$8,$M4105='112'!$I$6)),"x",""))</f>
        <v/>
      </c>
      <c r="U4105" s="525" t="str">
        <f>IF(AND(B4105&gt;='IN-NX'!$P$3,B4105&lt;='IN-NX'!$Q$3,'IN-NX'!$D$7=D4105,OR(LEFT(L4105,2)="15",AND(LEFT(M4105,2)&lt;&gt;"15",LEFT(M4105,2)&lt;&gt;"33"))),"x","")</f>
        <v/>
      </c>
      <c r="V4105" s="525" t="str">
        <f>IF(AND(OR(LEFT(TH!L4105,2)="15",LEFT(TH!M4105,2)="15"),'152-CT'!$J$8=TH!F4105),"x","")</f>
        <v/>
      </c>
      <c r="W4105" s="525" t="str">
        <f>IF(AND(OR(LEFT(TH!L4105,2)="15",LEFT(TH!M4105,2)="15"),TK!$E$7=TH!F4105),"x","")</f>
        <v/>
      </c>
      <c r="X4105" s="525" t="str">
        <f>IF(AND('341-CT'!$E$9=H4105,OR(LEFT(L4105,3)=$X$7,LEFT(M4105,3)=$X$7)),"x","")</f>
        <v/>
      </c>
      <c r="Y4105" s="525" t="str">
        <f>IF(OR(TH!L4105=TH!$Y$7,M4105=TH!$Y$7),"x","")</f>
        <v/>
      </c>
      <c r="Z4105" s="525" t="str">
        <f>IF(AND(B4105&lt;=NKC!$N$8,B4105&gt;=NKC!$M$8),"x","")</f>
        <v/>
      </c>
      <c r="AA4105" s="535">
        <v>3</v>
      </c>
      <c r="AB4105" s="536"/>
      <c r="AC4105" s="536" t="str">
        <f>VLOOKUP(F4105,NXT!$B$12:$B$686,1,0)</f>
        <v>Thùng 85x79x28</v>
      </c>
    </row>
    <row r="4106" spans="1:29" s="503" customFormat="1" ht="15.75" customHeight="1">
      <c r="A4106" s="517" t="str">
        <f>IF(B4106&lt;&gt;"",IF(AND(B4106&gt;=_TM1,B4106&lt;=_TM2,OR(TH!L4106="1111",TH!M4106="1111")),TH!D4106,""),"")</f>
        <v/>
      </c>
      <c r="B4106" s="531">
        <f t="shared" si="467"/>
        <v>8</v>
      </c>
      <c r="C4106" s="315">
        <f t="shared" si="367"/>
        <v>42977</v>
      </c>
      <c r="D4106" s="315" t="s">
        <v>1180</v>
      </c>
      <c r="E4106" s="315">
        <v>42977</v>
      </c>
      <c r="F4106" s="250" t="s">
        <v>1492</v>
      </c>
      <c r="G4106" s="314" t="s">
        <v>1078</v>
      </c>
      <c r="H4106" s="473" t="s">
        <v>1501</v>
      </c>
      <c r="I4106" s="307">
        <v>8</v>
      </c>
      <c r="J4106" s="307">
        <v>156177</v>
      </c>
      <c r="K4106" s="532">
        <f t="shared" si="468"/>
        <v>1249416</v>
      </c>
      <c r="L4106" s="534" t="s">
        <v>292</v>
      </c>
      <c r="M4106" s="534" t="s">
        <v>8</v>
      </c>
      <c r="N4106" s="525" t="str">
        <f>IF(AND('331-CT'!$E$7=TH!H4106,OR(L4106="331",M4106="331")),"331",IF(AND(OR(L4106="131",M4106="131"),H4106='131-CT'!$E$7),"131",""))</f>
        <v/>
      </c>
      <c r="O4106" s="525" t="str">
        <f>IF(AND($B4106&gt;='111'!$N$11,$B4106&lt;='111'!$O$11,OR($L4106=$O$7,$M4106=$O$7)),"x","")</f>
        <v/>
      </c>
      <c r="P4106" s="525" t="str">
        <f>IF(AND($L4106=$O$7,$B4106&lt;'111'!$N$11),"x","")</f>
        <v/>
      </c>
      <c r="Q4106" s="525" t="str">
        <f>IF(AND($M4106=$O$7,$B4106&lt;'111'!$N$11),"x","")</f>
        <v/>
      </c>
      <c r="R4106" s="525" t="str">
        <f>IF(ISERROR(FIND('112'!$M$9,G4106,1)),"",IF((AND(FIND('112'!$M$9,G4106,1)&gt;=1,$B4106&gt;='112'!$N$8,$B4106&lt;='112'!$O$8,OR($L4106='112'!$I$6,$M4106='112'!$I$6))),"x",""))</f>
        <v/>
      </c>
      <c r="S4106" s="525" t="str">
        <f>IF(ISERROR(FIND('112'!$M$9,G4106,1)),"",IF((AND(LEFT(G4106,2)=LEFT('112'!$M$9,2),B4106&lt;'112'!$N$8,$L4106='112'!$I$6)),"x",""))</f>
        <v/>
      </c>
      <c r="T4106" s="525" t="str">
        <f>IF(ISERROR(FIND('112'!$M$9,G4106,1)),"",IF((AND(RIGHT(G4106,2)=RIGHT('112'!$M$9,2),B4106&lt;'112'!$N$8,$M4106='112'!$I$6)),"x",""))</f>
        <v/>
      </c>
      <c r="U4106" s="525" t="str">
        <f>IF(AND(B4106&gt;='IN-NX'!$P$3,B4106&lt;='IN-NX'!$Q$3,'IN-NX'!$D$7=D4106,OR(LEFT(L4106,2)="15",AND(LEFT(M4106,2)&lt;&gt;"15",LEFT(M4106,2)&lt;&gt;"33"))),"x","")</f>
        <v/>
      </c>
      <c r="V4106" s="525" t="str">
        <f>IF(AND(OR(LEFT(TH!L4106,2)="15",LEFT(TH!M4106,2)="15"),'152-CT'!$J$8=TH!F4106),"x","")</f>
        <v/>
      </c>
      <c r="W4106" s="525" t="str">
        <f>IF(AND(OR(LEFT(TH!L4106,2)="15",LEFT(TH!M4106,2)="15"),TK!$E$7=TH!F4106),"x","")</f>
        <v/>
      </c>
      <c r="X4106" s="525" t="str">
        <f>IF(AND('341-CT'!$E$9=H4106,OR(LEFT(L4106,3)=$X$7,LEFT(M4106,3)=$X$7)),"x","")</f>
        <v/>
      </c>
      <c r="Y4106" s="525" t="str">
        <f>IF(OR(TH!L4106=TH!$Y$7,M4106=TH!$Y$7),"x","")</f>
        <v/>
      </c>
      <c r="Z4106" s="525" t="str">
        <f>IF(AND(B4106&lt;=NKC!$N$8,B4106&gt;=NKC!$M$8),"x","")</f>
        <v/>
      </c>
      <c r="AA4106" s="535">
        <v>3</v>
      </c>
      <c r="AB4106" s="536"/>
      <c r="AC4106" s="536" t="str">
        <f>VLOOKUP(F4106,NXT!$B$12:$B$686,1,0)</f>
        <v>Thùng 185x105x14</v>
      </c>
    </row>
    <row r="4107" spans="1:29" s="503" customFormat="1" ht="15.75" customHeight="1">
      <c r="A4107" s="517" t="str">
        <f>IF(B4107&lt;&gt;"",IF(AND(B4107&gt;=_TM1,B4107&lt;=_TM2,OR(TH!L4107="1111",TH!M4107="1111")),TH!D4107,""),"")</f>
        <v/>
      </c>
      <c r="B4107" s="531">
        <f t="shared" si="467"/>
        <v>8</v>
      </c>
      <c r="C4107" s="315">
        <f t="shared" si="367"/>
        <v>42977</v>
      </c>
      <c r="D4107" s="315" t="s">
        <v>1180</v>
      </c>
      <c r="E4107" s="315">
        <v>42977</v>
      </c>
      <c r="F4107" s="250" t="s">
        <v>1493</v>
      </c>
      <c r="G4107" s="314" t="s">
        <v>1078</v>
      </c>
      <c r="H4107" s="473" t="s">
        <v>1501</v>
      </c>
      <c r="I4107" s="307">
        <v>16</v>
      </c>
      <c r="J4107" s="307">
        <v>85520</v>
      </c>
      <c r="K4107" s="532">
        <f t="shared" si="468"/>
        <v>1368320</v>
      </c>
      <c r="L4107" s="534" t="s">
        <v>292</v>
      </c>
      <c r="M4107" s="534" t="s">
        <v>8</v>
      </c>
      <c r="N4107" s="525" t="str">
        <f>IF(AND('331-CT'!$E$7=TH!H4107,OR(L4107="331",M4107="331")),"331",IF(AND(OR(L4107="131",M4107="131"),H4107='131-CT'!$E$7),"131",""))</f>
        <v/>
      </c>
      <c r="O4107" s="525" t="str">
        <f>IF(AND($B4107&gt;='111'!$N$11,$B4107&lt;='111'!$O$11,OR($L4107=$O$7,$M4107=$O$7)),"x","")</f>
        <v/>
      </c>
      <c r="P4107" s="525" t="str">
        <f>IF(AND($L4107=$O$7,$B4107&lt;'111'!$N$11),"x","")</f>
        <v/>
      </c>
      <c r="Q4107" s="525" t="str">
        <f>IF(AND($M4107=$O$7,$B4107&lt;'111'!$N$11),"x","")</f>
        <v/>
      </c>
      <c r="R4107" s="525" t="str">
        <f>IF(ISERROR(FIND('112'!$M$9,G4107,1)),"",IF((AND(FIND('112'!$M$9,G4107,1)&gt;=1,$B4107&gt;='112'!$N$8,$B4107&lt;='112'!$O$8,OR($L4107='112'!$I$6,$M4107='112'!$I$6))),"x",""))</f>
        <v/>
      </c>
      <c r="S4107" s="525" t="str">
        <f>IF(ISERROR(FIND('112'!$M$9,G4107,1)),"",IF((AND(LEFT(G4107,2)=LEFT('112'!$M$9,2),B4107&lt;'112'!$N$8,$L4107='112'!$I$6)),"x",""))</f>
        <v/>
      </c>
      <c r="T4107" s="525" t="str">
        <f>IF(ISERROR(FIND('112'!$M$9,G4107,1)),"",IF((AND(RIGHT(G4107,2)=RIGHT('112'!$M$9,2),B4107&lt;'112'!$N$8,$M4107='112'!$I$6)),"x",""))</f>
        <v/>
      </c>
      <c r="U4107" s="525" t="str">
        <f>IF(AND(B4107&gt;='IN-NX'!$P$3,B4107&lt;='IN-NX'!$Q$3,'IN-NX'!$D$7=D4107,OR(LEFT(L4107,2)="15",AND(LEFT(M4107,2)&lt;&gt;"15",LEFT(M4107,2)&lt;&gt;"33"))),"x","")</f>
        <v/>
      </c>
      <c r="V4107" s="525" t="str">
        <f>IF(AND(OR(LEFT(TH!L4107,2)="15",LEFT(TH!M4107,2)="15"),'152-CT'!$J$8=TH!F4107),"x","")</f>
        <v/>
      </c>
      <c r="W4107" s="525" t="str">
        <f>IF(AND(OR(LEFT(TH!L4107,2)="15",LEFT(TH!M4107,2)="15"),TK!$E$7=TH!F4107),"x","")</f>
        <v/>
      </c>
      <c r="X4107" s="525" t="str">
        <f>IF(AND('341-CT'!$E$9=H4107,OR(LEFT(L4107,3)=$X$7,LEFT(M4107,3)=$X$7)),"x","")</f>
        <v/>
      </c>
      <c r="Y4107" s="525" t="str">
        <f>IF(OR(TH!L4107=TH!$Y$7,M4107=TH!$Y$7),"x","")</f>
        <v/>
      </c>
      <c r="Z4107" s="525" t="str">
        <f>IF(AND(B4107&lt;=NKC!$N$8,B4107&gt;=NKC!$M$8),"x","")</f>
        <v/>
      </c>
      <c r="AA4107" s="535">
        <v>3</v>
      </c>
      <c r="AB4107" s="536"/>
      <c r="AC4107" s="536" t="str">
        <f>VLOOKUP(F4107,NXT!$B$12:$B$686,1,0)</f>
        <v>Thùng 95x79x28</v>
      </c>
    </row>
    <row r="4108" spans="1:29" s="503" customFormat="1" ht="15.75" customHeight="1">
      <c r="A4108" s="517" t="str">
        <f>IF(B4108&lt;&gt;"",IF(AND(B4108&gt;=_TM1,B4108&lt;=_TM2,OR(TH!L4108="1111",TH!M4108="1111")),TH!D4108,""),"")</f>
        <v/>
      </c>
      <c r="B4108" s="531">
        <f t="shared" si="467"/>
        <v>8</v>
      </c>
      <c r="C4108" s="315">
        <f t="shared" si="367"/>
        <v>42977</v>
      </c>
      <c r="D4108" s="315" t="s">
        <v>1180</v>
      </c>
      <c r="E4108" s="315">
        <v>42977</v>
      </c>
      <c r="F4108" s="250" t="s">
        <v>1494</v>
      </c>
      <c r="G4108" s="314" t="s">
        <v>1078</v>
      </c>
      <c r="H4108" s="473" t="s">
        <v>1501</v>
      </c>
      <c r="I4108" s="307">
        <v>8</v>
      </c>
      <c r="J4108" s="307">
        <v>166765</v>
      </c>
      <c r="K4108" s="532">
        <f t="shared" si="468"/>
        <v>1334120</v>
      </c>
      <c r="L4108" s="534" t="s">
        <v>292</v>
      </c>
      <c r="M4108" s="534" t="s">
        <v>8</v>
      </c>
      <c r="N4108" s="525" t="str">
        <f>IF(AND('331-CT'!$E$7=TH!H4108,OR(L4108="331",M4108="331")),"331",IF(AND(OR(L4108="131",M4108="131"),H4108='131-CT'!$E$7),"131",""))</f>
        <v/>
      </c>
      <c r="O4108" s="525" t="str">
        <f>IF(AND($B4108&gt;='111'!$N$11,$B4108&lt;='111'!$O$11,OR($L4108=$O$7,$M4108=$O$7)),"x","")</f>
        <v/>
      </c>
      <c r="P4108" s="525" t="str">
        <f>IF(AND($L4108=$O$7,$B4108&lt;'111'!$N$11),"x","")</f>
        <v/>
      </c>
      <c r="Q4108" s="525" t="str">
        <f>IF(AND($M4108=$O$7,$B4108&lt;'111'!$N$11),"x","")</f>
        <v/>
      </c>
      <c r="R4108" s="525" t="str">
        <f>IF(ISERROR(FIND('112'!$M$9,G4108,1)),"",IF((AND(FIND('112'!$M$9,G4108,1)&gt;=1,$B4108&gt;='112'!$N$8,$B4108&lt;='112'!$O$8,OR($L4108='112'!$I$6,$M4108='112'!$I$6))),"x",""))</f>
        <v/>
      </c>
      <c r="S4108" s="525" t="str">
        <f>IF(ISERROR(FIND('112'!$M$9,G4108,1)),"",IF((AND(LEFT(G4108,2)=LEFT('112'!$M$9,2),B4108&lt;'112'!$N$8,$L4108='112'!$I$6)),"x",""))</f>
        <v/>
      </c>
      <c r="T4108" s="525" t="str">
        <f>IF(ISERROR(FIND('112'!$M$9,G4108,1)),"",IF((AND(RIGHT(G4108,2)=RIGHT('112'!$M$9,2),B4108&lt;'112'!$N$8,$M4108='112'!$I$6)),"x",""))</f>
        <v/>
      </c>
      <c r="U4108" s="525" t="str">
        <f>IF(AND(B4108&gt;='IN-NX'!$P$3,B4108&lt;='IN-NX'!$Q$3,'IN-NX'!$D$7=D4108,OR(LEFT(L4108,2)="15",AND(LEFT(M4108,2)&lt;&gt;"15",LEFT(M4108,2)&lt;&gt;"33"))),"x","")</f>
        <v/>
      </c>
      <c r="V4108" s="525" t="str">
        <f>IF(AND(OR(LEFT(TH!L4108,2)="15",LEFT(TH!M4108,2)="15"),'152-CT'!$J$8=TH!F4108),"x","")</f>
        <v/>
      </c>
      <c r="W4108" s="525" t="str">
        <f>IF(AND(OR(LEFT(TH!L4108,2)="15",LEFT(TH!M4108,2)="15"),TK!$E$7=TH!F4108),"x","")</f>
        <v/>
      </c>
      <c r="X4108" s="525" t="str">
        <f>IF(AND('341-CT'!$E$9=H4108,OR(LEFT(L4108,3)=$X$7,LEFT(M4108,3)=$X$7)),"x","")</f>
        <v/>
      </c>
      <c r="Y4108" s="525" t="str">
        <f>IF(OR(TH!L4108=TH!$Y$7,M4108=TH!$Y$7),"x","")</f>
        <v/>
      </c>
      <c r="Z4108" s="525" t="str">
        <f>IF(AND(B4108&lt;=NKC!$N$8,B4108&gt;=NKC!$M$8),"x","")</f>
        <v/>
      </c>
      <c r="AA4108" s="535">
        <v>3</v>
      </c>
      <c r="AB4108" s="536"/>
      <c r="AC4108" s="536" t="str">
        <f>VLOOKUP(F4108,NXT!$B$12:$B$686,1,0)</f>
        <v>Thùng 205x105x14</v>
      </c>
    </row>
    <row r="4109" spans="1:29" s="503" customFormat="1" ht="15.75" customHeight="1">
      <c r="A4109" s="517" t="str">
        <f>IF(B4109&lt;&gt;"",IF(AND(B4109&gt;=_TM1,B4109&lt;=_TM2,OR(TH!L4109="1111",TH!M4109="1111")),TH!D4109,""),"")</f>
        <v/>
      </c>
      <c r="B4109" s="531">
        <f t="shared" ref="B4109:B4111" si="503">IF(C4109&lt;&gt;"",MONTH(C4109),"")</f>
        <v>8</v>
      </c>
      <c r="C4109" s="315">
        <f t="shared" ref="C4109:C4111" si="504">E4109</f>
        <v>42977</v>
      </c>
      <c r="D4109" s="315" t="s">
        <v>1180</v>
      </c>
      <c r="E4109" s="315">
        <v>42977</v>
      </c>
      <c r="F4109" s="250" t="s">
        <v>652</v>
      </c>
      <c r="G4109" s="314" t="s">
        <v>1078</v>
      </c>
      <c r="H4109" s="473" t="s">
        <v>1501</v>
      </c>
      <c r="I4109" s="307">
        <v>150</v>
      </c>
      <c r="J4109" s="307">
        <v>66309</v>
      </c>
      <c r="K4109" s="532">
        <f t="shared" ref="K4109:K4111" si="505">ROUND(I4109*J4109,0)</f>
        <v>9946350</v>
      </c>
      <c r="L4109" s="534" t="s">
        <v>292</v>
      </c>
      <c r="M4109" s="534" t="s">
        <v>8</v>
      </c>
      <c r="N4109" s="525" t="str">
        <f>IF(AND('331-CT'!$E$7=TH!H4109,OR(L4109="331",M4109="331")),"331",IF(AND(OR(L4109="131",M4109="131"),H4109='131-CT'!$E$7),"131",""))</f>
        <v/>
      </c>
      <c r="O4109" s="525" t="str">
        <f>IF(AND($B4109&gt;='111'!$N$11,$B4109&lt;='111'!$O$11,OR($L4109=$O$7,$M4109=$O$7)),"x","")</f>
        <v/>
      </c>
      <c r="P4109" s="525" t="str">
        <f>IF(AND($L4109=$O$7,$B4109&lt;'111'!$N$11),"x","")</f>
        <v/>
      </c>
      <c r="Q4109" s="525" t="str">
        <f>IF(AND($M4109=$O$7,$B4109&lt;'111'!$N$11),"x","")</f>
        <v/>
      </c>
      <c r="R4109" s="525" t="str">
        <f>IF(ISERROR(FIND('112'!$M$9,G4109,1)),"",IF((AND(FIND('112'!$M$9,G4109,1)&gt;=1,$B4109&gt;='112'!$N$8,$B4109&lt;='112'!$O$8,OR($L4109='112'!$I$6,$M4109='112'!$I$6))),"x",""))</f>
        <v/>
      </c>
      <c r="S4109" s="525" t="str">
        <f>IF(ISERROR(FIND('112'!$M$9,G4109,1)),"",IF((AND(LEFT(G4109,2)=LEFT('112'!$M$9,2),B4109&lt;'112'!$N$8,$L4109='112'!$I$6)),"x",""))</f>
        <v/>
      </c>
      <c r="T4109" s="525" t="str">
        <f>IF(ISERROR(FIND('112'!$M$9,G4109,1)),"",IF((AND(RIGHT(G4109,2)=RIGHT('112'!$M$9,2),B4109&lt;'112'!$N$8,$M4109='112'!$I$6)),"x",""))</f>
        <v/>
      </c>
      <c r="U4109" s="525" t="str">
        <f>IF(AND(B4109&gt;='IN-NX'!$P$3,B4109&lt;='IN-NX'!$Q$3,'IN-NX'!$D$7=D4109,OR(LEFT(L4109,2)="15",AND(LEFT(M4109,2)&lt;&gt;"15",LEFT(M4109,2)&lt;&gt;"33"))),"x","")</f>
        <v/>
      </c>
      <c r="V4109" s="525" t="str">
        <f>IF(AND(OR(LEFT(TH!L4109,2)="15",LEFT(TH!M4109,2)="15"),'152-CT'!$J$8=TH!F4109),"x","")</f>
        <v/>
      </c>
      <c r="W4109" s="525" t="str">
        <f>IF(AND(OR(LEFT(TH!L4109,2)="15",LEFT(TH!M4109,2)="15"),TK!$E$7=TH!F4109),"x","")</f>
        <v/>
      </c>
      <c r="X4109" s="525" t="str">
        <f>IF(AND('341-CT'!$E$9=H4109,OR(LEFT(L4109,3)=$X$7,LEFT(M4109,3)=$X$7)),"x","")</f>
        <v/>
      </c>
      <c r="Y4109" s="525" t="str">
        <f>IF(OR(TH!L4109=TH!$Y$7,M4109=TH!$Y$7),"x","")</f>
        <v/>
      </c>
      <c r="Z4109" s="525" t="str">
        <f>IF(AND(B4109&lt;=NKC!$N$8,B4109&gt;=NKC!$M$8),"x","")</f>
        <v/>
      </c>
      <c r="AA4109" s="535">
        <v>3</v>
      </c>
      <c r="AB4109" s="536"/>
      <c r="AC4109" s="536" t="str">
        <f>VLOOKUP(F4109,NXT!$B$12:$B$686,1,0)</f>
        <v>Thùng 42x42x42</v>
      </c>
    </row>
    <row r="4110" spans="1:29" s="503" customFormat="1" ht="15.75" customHeight="1">
      <c r="A4110" s="517" t="str">
        <f>IF(B4110&lt;&gt;"",IF(AND(B4110&gt;=_TM1,B4110&lt;=_TM2,OR(TH!L4110="1111",TH!M4110="1111")),TH!D4110,""),"")</f>
        <v/>
      </c>
      <c r="B4110" s="531">
        <f t="shared" si="503"/>
        <v>8</v>
      </c>
      <c r="C4110" s="315">
        <f t="shared" si="504"/>
        <v>42977</v>
      </c>
      <c r="D4110" s="315" t="s">
        <v>1180</v>
      </c>
      <c r="E4110" s="315">
        <v>42977</v>
      </c>
      <c r="F4110" s="250" t="s">
        <v>1495</v>
      </c>
      <c r="G4110" s="314" t="s">
        <v>1078</v>
      </c>
      <c r="H4110" s="473" t="s">
        <v>1501</v>
      </c>
      <c r="I4110" s="307">
        <v>20</v>
      </c>
      <c r="J4110" s="307">
        <v>65461</v>
      </c>
      <c r="K4110" s="532">
        <f t="shared" si="505"/>
        <v>1309220</v>
      </c>
      <c r="L4110" s="534" t="s">
        <v>292</v>
      </c>
      <c r="M4110" s="534" t="s">
        <v>8</v>
      </c>
      <c r="N4110" s="525" t="str">
        <f>IF(AND('331-CT'!$E$7=TH!H4110,OR(L4110="331",M4110="331")),"331",IF(AND(OR(L4110="131",M4110="131"),H4110='131-CT'!$E$7),"131",""))</f>
        <v/>
      </c>
      <c r="O4110" s="525" t="str">
        <f>IF(AND($B4110&gt;='111'!$N$11,$B4110&lt;='111'!$O$11,OR($L4110=$O$7,$M4110=$O$7)),"x","")</f>
        <v/>
      </c>
      <c r="P4110" s="525" t="str">
        <f>IF(AND($L4110=$O$7,$B4110&lt;'111'!$N$11),"x","")</f>
        <v/>
      </c>
      <c r="Q4110" s="525" t="str">
        <f>IF(AND($M4110=$O$7,$B4110&lt;'111'!$N$11),"x","")</f>
        <v/>
      </c>
      <c r="R4110" s="525" t="str">
        <f>IF(ISERROR(FIND('112'!$M$9,G4110,1)),"",IF((AND(FIND('112'!$M$9,G4110,1)&gt;=1,$B4110&gt;='112'!$N$8,$B4110&lt;='112'!$O$8,OR($L4110='112'!$I$6,$M4110='112'!$I$6))),"x",""))</f>
        <v/>
      </c>
      <c r="S4110" s="525" t="str">
        <f>IF(ISERROR(FIND('112'!$M$9,G4110,1)),"",IF((AND(LEFT(G4110,2)=LEFT('112'!$M$9,2),B4110&lt;'112'!$N$8,$L4110='112'!$I$6)),"x",""))</f>
        <v/>
      </c>
      <c r="T4110" s="525" t="str">
        <f>IF(ISERROR(FIND('112'!$M$9,G4110,1)),"",IF((AND(RIGHT(G4110,2)=RIGHT('112'!$M$9,2),B4110&lt;'112'!$N$8,$M4110='112'!$I$6)),"x",""))</f>
        <v/>
      </c>
      <c r="U4110" s="525" t="str">
        <f>IF(AND(B4110&gt;='IN-NX'!$P$3,B4110&lt;='IN-NX'!$Q$3,'IN-NX'!$D$7=D4110,OR(LEFT(L4110,2)="15",AND(LEFT(M4110,2)&lt;&gt;"15",LEFT(M4110,2)&lt;&gt;"33"))),"x","")</f>
        <v/>
      </c>
      <c r="V4110" s="525" t="str">
        <f>IF(AND(OR(LEFT(TH!L4110,2)="15",LEFT(TH!M4110,2)="15"),'152-CT'!$J$8=TH!F4110),"x","")</f>
        <v/>
      </c>
      <c r="W4110" s="525" t="str">
        <f>IF(AND(OR(LEFT(TH!L4110,2)="15",LEFT(TH!M4110,2)="15"),TK!$E$7=TH!F4110),"x","")</f>
        <v/>
      </c>
      <c r="X4110" s="525" t="str">
        <f>IF(AND('341-CT'!$E$9=H4110,OR(LEFT(L4110,3)=$X$7,LEFT(M4110,3)=$X$7)),"x","")</f>
        <v/>
      </c>
      <c r="Y4110" s="525" t="str">
        <f>IF(OR(TH!L4110=TH!$Y$7,M4110=TH!$Y$7),"x","")</f>
        <v/>
      </c>
      <c r="Z4110" s="525" t="str">
        <f>IF(AND(B4110&lt;=NKC!$N$8,B4110&gt;=NKC!$M$8),"x","")</f>
        <v/>
      </c>
      <c r="AA4110" s="535">
        <v>3</v>
      </c>
      <c r="AB4110" s="536"/>
      <c r="AC4110" s="536" t="str">
        <f>VLOOKUP(F4110,NXT!$B$12:$B$686,1,0)</f>
        <v>Thùng 52x52x87</v>
      </c>
    </row>
    <row r="4111" spans="1:29" s="503" customFormat="1" ht="15.75" customHeight="1">
      <c r="A4111" s="517" t="str">
        <f>IF(B4111&lt;&gt;"",IF(AND(B4111&gt;=_TM1,B4111&lt;=_TM2,OR(TH!L4111="1111",TH!M4111="1111")),TH!D4111,""),"")</f>
        <v/>
      </c>
      <c r="B4111" s="531">
        <f t="shared" si="503"/>
        <v>8</v>
      </c>
      <c r="C4111" s="315">
        <f t="shared" si="504"/>
        <v>42977</v>
      </c>
      <c r="D4111" s="315" t="s">
        <v>1180</v>
      </c>
      <c r="E4111" s="315">
        <v>42977</v>
      </c>
      <c r="F4111" s="250" t="s">
        <v>1496</v>
      </c>
      <c r="G4111" s="314" t="s">
        <v>1078</v>
      </c>
      <c r="H4111" s="473" t="s">
        <v>1501</v>
      </c>
      <c r="I4111" s="307">
        <v>15</v>
      </c>
      <c r="J4111" s="307">
        <v>91901</v>
      </c>
      <c r="K4111" s="532">
        <f t="shared" si="505"/>
        <v>1378515</v>
      </c>
      <c r="L4111" s="534" t="s">
        <v>292</v>
      </c>
      <c r="M4111" s="534" t="s">
        <v>8</v>
      </c>
      <c r="N4111" s="525" t="str">
        <f>IF(AND('331-CT'!$E$7=TH!H4111,OR(L4111="331",M4111="331")),"331",IF(AND(OR(L4111="131",M4111="131"),H4111='131-CT'!$E$7),"131",""))</f>
        <v/>
      </c>
      <c r="O4111" s="525" t="str">
        <f>IF(AND($B4111&gt;='111'!$N$11,$B4111&lt;='111'!$O$11,OR($L4111=$O$7,$M4111=$O$7)),"x","")</f>
        <v/>
      </c>
      <c r="P4111" s="525" t="str">
        <f>IF(AND($L4111=$O$7,$B4111&lt;'111'!$N$11),"x","")</f>
        <v/>
      </c>
      <c r="Q4111" s="525" t="str">
        <f>IF(AND($M4111=$O$7,$B4111&lt;'111'!$N$11),"x","")</f>
        <v/>
      </c>
      <c r="R4111" s="525" t="str">
        <f>IF(ISERROR(FIND('112'!$M$9,G4111,1)),"",IF((AND(FIND('112'!$M$9,G4111,1)&gt;=1,$B4111&gt;='112'!$N$8,$B4111&lt;='112'!$O$8,OR($L4111='112'!$I$6,$M4111='112'!$I$6))),"x",""))</f>
        <v/>
      </c>
      <c r="S4111" s="525" t="str">
        <f>IF(ISERROR(FIND('112'!$M$9,G4111,1)),"",IF((AND(LEFT(G4111,2)=LEFT('112'!$M$9,2),B4111&lt;'112'!$N$8,$L4111='112'!$I$6)),"x",""))</f>
        <v/>
      </c>
      <c r="T4111" s="525" t="str">
        <f>IF(ISERROR(FIND('112'!$M$9,G4111,1)),"",IF((AND(RIGHT(G4111,2)=RIGHT('112'!$M$9,2),B4111&lt;'112'!$N$8,$M4111='112'!$I$6)),"x",""))</f>
        <v/>
      </c>
      <c r="U4111" s="525" t="str">
        <f>IF(AND(B4111&gt;='IN-NX'!$P$3,B4111&lt;='IN-NX'!$Q$3,'IN-NX'!$D$7=D4111,OR(LEFT(L4111,2)="15",AND(LEFT(M4111,2)&lt;&gt;"15",LEFT(M4111,2)&lt;&gt;"33"))),"x","")</f>
        <v/>
      </c>
      <c r="V4111" s="525" t="str">
        <f>IF(AND(OR(LEFT(TH!L4111,2)="15",LEFT(TH!M4111,2)="15"),'152-CT'!$J$8=TH!F4111),"x","")</f>
        <v/>
      </c>
      <c r="W4111" s="525" t="str">
        <f>IF(AND(OR(LEFT(TH!L4111,2)="15",LEFT(TH!M4111,2)="15"),TK!$E$7=TH!F4111),"x","")</f>
        <v/>
      </c>
      <c r="X4111" s="525" t="str">
        <f>IF(AND('341-CT'!$E$9=H4111,OR(LEFT(L4111,3)=$X$7,LEFT(M4111,3)=$X$7)),"x","")</f>
        <v/>
      </c>
      <c r="Y4111" s="525" t="str">
        <f>IF(OR(TH!L4111=TH!$Y$7,M4111=TH!$Y$7),"x","")</f>
        <v/>
      </c>
      <c r="Z4111" s="525" t="str">
        <f>IF(AND(B4111&lt;=NKC!$N$8,B4111&gt;=NKC!$M$8),"x","")</f>
        <v/>
      </c>
      <c r="AA4111" s="535">
        <v>3</v>
      </c>
      <c r="AB4111" s="536"/>
      <c r="AC4111" s="536" t="str">
        <f>VLOOKUP(F4111,NXT!$B$12:$B$686,1,0)</f>
        <v>Thùng 52x52x113</v>
      </c>
    </row>
    <row r="4112" spans="1:29" s="503" customFormat="1" ht="15.75" customHeight="1">
      <c r="A4112" s="517" t="str">
        <f>IF(B4112&lt;&gt;"",IF(AND(B4112&gt;=_TM1,B4112&lt;=_TM2,OR(TH!L4112="1111",TH!M4112="1111")),TH!D4112,""),"")</f>
        <v/>
      </c>
      <c r="B4112" s="531">
        <f t="shared" si="467"/>
        <v>8</v>
      </c>
      <c r="C4112" s="315">
        <f t="shared" si="367"/>
        <v>42977</v>
      </c>
      <c r="D4112" s="315" t="s">
        <v>1180</v>
      </c>
      <c r="E4112" s="315">
        <v>42977</v>
      </c>
      <c r="F4112" s="250" t="s">
        <v>1497</v>
      </c>
      <c r="G4112" s="314" t="s">
        <v>1078</v>
      </c>
      <c r="H4112" s="473" t="s">
        <v>1501</v>
      </c>
      <c r="I4112" s="307">
        <v>30</v>
      </c>
      <c r="J4112" s="307">
        <v>46664</v>
      </c>
      <c r="K4112" s="532">
        <f t="shared" si="468"/>
        <v>1399920</v>
      </c>
      <c r="L4112" s="534" t="s">
        <v>292</v>
      </c>
      <c r="M4112" s="534" t="s">
        <v>8</v>
      </c>
      <c r="N4112" s="525" t="str">
        <f>IF(AND('331-CT'!$E$7=TH!H4112,OR(L4112="331",M4112="331")),"331",IF(AND(OR(L4112="131",M4112="131"),H4112='131-CT'!$E$7),"131",""))</f>
        <v/>
      </c>
      <c r="O4112" s="525" t="str">
        <f>IF(AND($B4112&gt;='111'!$N$11,$B4112&lt;='111'!$O$11,OR($L4112=$O$7,$M4112=$O$7)),"x","")</f>
        <v/>
      </c>
      <c r="P4112" s="525" t="str">
        <f>IF(AND($L4112=$O$7,$B4112&lt;'111'!$N$11),"x","")</f>
        <v/>
      </c>
      <c r="Q4112" s="525" t="str">
        <f>IF(AND($M4112=$O$7,$B4112&lt;'111'!$N$11),"x","")</f>
        <v/>
      </c>
      <c r="R4112" s="525" t="str">
        <f>IF(ISERROR(FIND('112'!$M$9,G4112,1)),"",IF((AND(FIND('112'!$M$9,G4112,1)&gt;=1,$B4112&gt;='112'!$N$8,$B4112&lt;='112'!$O$8,OR($L4112='112'!$I$6,$M4112='112'!$I$6))),"x",""))</f>
        <v/>
      </c>
      <c r="S4112" s="525" t="str">
        <f>IF(ISERROR(FIND('112'!$M$9,G4112,1)),"",IF((AND(LEFT(G4112,2)=LEFT('112'!$M$9,2),B4112&lt;'112'!$N$8,$L4112='112'!$I$6)),"x",""))</f>
        <v/>
      </c>
      <c r="T4112" s="525" t="str">
        <f>IF(ISERROR(FIND('112'!$M$9,G4112,1)),"",IF((AND(RIGHT(G4112,2)=RIGHT('112'!$M$9,2),B4112&lt;'112'!$N$8,$M4112='112'!$I$6)),"x",""))</f>
        <v/>
      </c>
      <c r="U4112" s="525" t="str">
        <f>IF(AND(B4112&gt;='IN-NX'!$P$3,B4112&lt;='IN-NX'!$Q$3,'IN-NX'!$D$7=D4112,OR(LEFT(L4112,2)="15",AND(LEFT(M4112,2)&lt;&gt;"15",LEFT(M4112,2)&lt;&gt;"33"))),"x","")</f>
        <v/>
      </c>
      <c r="V4112" s="525" t="str">
        <f>IF(AND(OR(LEFT(TH!L4112,2)="15",LEFT(TH!M4112,2)="15"),'152-CT'!$J$8=TH!F4112),"x","")</f>
        <v/>
      </c>
      <c r="W4112" s="525" t="str">
        <f>IF(AND(OR(LEFT(TH!L4112,2)="15",LEFT(TH!M4112,2)="15"),TK!$E$7=TH!F4112),"x","")</f>
        <v/>
      </c>
      <c r="X4112" s="525" t="str">
        <f>IF(AND('341-CT'!$E$9=H4112,OR(LEFT(L4112,3)=$X$7,LEFT(M4112,3)=$X$7)),"x","")</f>
        <v/>
      </c>
      <c r="Y4112" s="525" t="str">
        <f>IF(OR(TH!L4112=TH!$Y$7,M4112=TH!$Y$7),"x","")</f>
        <v/>
      </c>
      <c r="Z4112" s="525" t="str">
        <f>IF(AND(B4112&lt;=NKC!$N$8,B4112&gt;=NKC!$M$8),"x","")</f>
        <v/>
      </c>
      <c r="AA4112" s="535">
        <v>3</v>
      </c>
      <c r="AB4112" s="536"/>
      <c r="AC4112" s="536" t="str">
        <f>VLOOKUP(F4112,NXT!$B$12:$B$686,1,0)</f>
        <v>Thùng 54x49x66</v>
      </c>
    </row>
    <row r="4113" spans="1:29" s="503" customFormat="1" ht="15.75" customHeight="1">
      <c r="A4113" s="517" t="str">
        <f>IF(B4113&lt;&gt;"",IF(AND(B4113&gt;=_TM1,B4113&lt;=_TM2,OR(TH!L4113="1111",TH!M4113="1111")),TH!D4113,""),"")</f>
        <v/>
      </c>
      <c r="B4113" s="531">
        <f t="shared" si="467"/>
        <v>8</v>
      </c>
      <c r="C4113" s="315">
        <f t="shared" si="367"/>
        <v>42977</v>
      </c>
      <c r="D4113" s="315" t="s">
        <v>1180</v>
      </c>
      <c r="E4113" s="315">
        <v>42977</v>
      </c>
      <c r="F4113" s="250" t="s">
        <v>1237</v>
      </c>
      <c r="G4113" s="314" t="s">
        <v>1078</v>
      </c>
      <c r="H4113" s="473" t="s">
        <v>1501</v>
      </c>
      <c r="I4113" s="307">
        <v>30</v>
      </c>
      <c r="J4113" s="307">
        <v>41053</v>
      </c>
      <c r="K4113" s="532">
        <f t="shared" si="468"/>
        <v>1231590</v>
      </c>
      <c r="L4113" s="534" t="s">
        <v>292</v>
      </c>
      <c r="M4113" s="534" t="s">
        <v>8</v>
      </c>
      <c r="N4113" s="525" t="str">
        <f>IF(AND('331-CT'!$E$7=TH!H4113,OR(L4113="331",M4113="331")),"331",IF(AND(OR(L4113="131",M4113="131"),H4113='131-CT'!$E$7),"131",""))</f>
        <v/>
      </c>
      <c r="O4113" s="525" t="str">
        <f>IF(AND($B4113&gt;='111'!$N$11,$B4113&lt;='111'!$O$11,OR($L4113=$O$7,$M4113=$O$7)),"x","")</f>
        <v/>
      </c>
      <c r="P4113" s="525" t="str">
        <f>IF(AND($L4113=$O$7,$B4113&lt;'111'!$N$11),"x","")</f>
        <v/>
      </c>
      <c r="Q4113" s="525" t="str">
        <f>IF(AND($M4113=$O$7,$B4113&lt;'111'!$N$11),"x","")</f>
        <v/>
      </c>
      <c r="R4113" s="525" t="str">
        <f>IF(ISERROR(FIND('112'!$M$9,G4113,1)),"",IF((AND(FIND('112'!$M$9,G4113,1)&gt;=1,$B4113&gt;='112'!$N$8,$B4113&lt;='112'!$O$8,OR($L4113='112'!$I$6,$M4113='112'!$I$6))),"x",""))</f>
        <v/>
      </c>
      <c r="S4113" s="525" t="str">
        <f>IF(ISERROR(FIND('112'!$M$9,G4113,1)),"",IF((AND(LEFT(G4113,2)=LEFT('112'!$M$9,2),B4113&lt;'112'!$N$8,$L4113='112'!$I$6)),"x",""))</f>
        <v/>
      </c>
      <c r="T4113" s="525" t="str">
        <f>IF(ISERROR(FIND('112'!$M$9,G4113,1)),"",IF((AND(RIGHT(G4113,2)=RIGHT('112'!$M$9,2),B4113&lt;'112'!$N$8,$M4113='112'!$I$6)),"x",""))</f>
        <v/>
      </c>
      <c r="U4113" s="525" t="str">
        <f>IF(AND(B4113&gt;='IN-NX'!$P$3,B4113&lt;='IN-NX'!$Q$3,'IN-NX'!$D$7=D4113,OR(LEFT(L4113,2)="15",AND(LEFT(M4113,2)&lt;&gt;"15",LEFT(M4113,2)&lt;&gt;"33"))),"x","")</f>
        <v/>
      </c>
      <c r="V4113" s="525" t="str">
        <f>IF(AND(OR(LEFT(TH!L4113,2)="15",LEFT(TH!M4113,2)="15"),'152-CT'!$J$8=TH!F4113),"x","")</f>
        <v/>
      </c>
      <c r="W4113" s="525" t="str">
        <f>IF(AND(OR(LEFT(TH!L4113,2)="15",LEFT(TH!M4113,2)="15"),TK!$E$7=TH!F4113),"x","")</f>
        <v/>
      </c>
      <c r="X4113" s="525" t="str">
        <f>IF(AND('341-CT'!$E$9=H4113,OR(LEFT(L4113,3)=$X$7,LEFT(M4113,3)=$X$7)),"x","")</f>
        <v/>
      </c>
      <c r="Y4113" s="525" t="str">
        <f>IF(OR(TH!L4113=TH!$Y$7,M4113=TH!$Y$7),"x","")</f>
        <v/>
      </c>
      <c r="Z4113" s="525" t="str">
        <f>IF(AND(B4113&lt;=NKC!$N$8,B4113&gt;=NKC!$M$8),"x","")</f>
        <v/>
      </c>
      <c r="AA4113" s="535">
        <v>3</v>
      </c>
      <c r="AB4113" s="536"/>
      <c r="AC4113" s="536" t="str">
        <f>VLOOKUP(F4113,NXT!$B$12:$B$686,1,0)</f>
        <v>Thùng 52x52x58</v>
      </c>
    </row>
    <row r="4114" spans="1:29" s="503" customFormat="1" ht="15.75" customHeight="1">
      <c r="A4114" s="517" t="str">
        <f>IF(B4114&lt;&gt;"",IF(AND(B4114&gt;=_TM1,B4114&lt;=_TM2,OR(TH!L4114="1111",TH!M4114="1111")),TH!D4114,""),"")</f>
        <v/>
      </c>
      <c r="B4114" s="531">
        <f t="shared" si="467"/>
        <v>8</v>
      </c>
      <c r="C4114" s="315">
        <f t="shared" si="367"/>
        <v>42977</v>
      </c>
      <c r="D4114" s="315" t="s">
        <v>1180</v>
      </c>
      <c r="E4114" s="315">
        <v>42977</v>
      </c>
      <c r="F4114" s="249" t="s">
        <v>494</v>
      </c>
      <c r="G4114" s="314" t="s">
        <v>1078</v>
      </c>
      <c r="H4114" s="473" t="s">
        <v>1501</v>
      </c>
      <c r="I4114" s="307"/>
      <c r="J4114" s="307"/>
      <c r="K4114" s="532">
        <v>15162538</v>
      </c>
      <c r="L4114" s="534" t="s">
        <v>9</v>
      </c>
      <c r="M4114" s="534" t="s">
        <v>8</v>
      </c>
      <c r="N4114" s="525" t="str">
        <f>IF(AND('331-CT'!$E$7=TH!H4114,OR(L4114="331",M4114="331")),"331",IF(AND(OR(L4114="131",M4114="131"),H4114='131-CT'!$E$7),"131",""))</f>
        <v/>
      </c>
      <c r="O4114" s="525" t="str">
        <f>IF(AND($B4114&gt;='111'!$N$11,$B4114&lt;='111'!$O$11,OR($L4114=$O$7,$M4114=$O$7)),"x","")</f>
        <v/>
      </c>
      <c r="P4114" s="525" t="str">
        <f>IF(AND($L4114=$O$7,$B4114&lt;'111'!$N$11),"x","")</f>
        <v/>
      </c>
      <c r="Q4114" s="525" t="str">
        <f>IF(AND($M4114=$O$7,$B4114&lt;'111'!$N$11),"x","")</f>
        <v/>
      </c>
      <c r="R4114" s="525" t="str">
        <f>IF(ISERROR(FIND('112'!$M$9,G4114,1)),"",IF((AND(FIND('112'!$M$9,G4114,1)&gt;=1,$B4114&gt;='112'!$N$8,$B4114&lt;='112'!$O$8,OR($L4114='112'!$I$6,$M4114='112'!$I$6))),"x",""))</f>
        <v/>
      </c>
      <c r="S4114" s="525" t="str">
        <f>IF(ISERROR(FIND('112'!$M$9,G4114,1)),"",IF((AND(LEFT(G4114,2)=LEFT('112'!$M$9,2),B4114&lt;'112'!$N$8,$L4114='112'!$I$6)),"x",""))</f>
        <v/>
      </c>
      <c r="T4114" s="525" t="str">
        <f>IF(ISERROR(FIND('112'!$M$9,G4114,1)),"",IF((AND(RIGHT(G4114,2)=RIGHT('112'!$M$9,2),B4114&lt;'112'!$N$8,$M4114='112'!$I$6)),"x",""))</f>
        <v/>
      </c>
      <c r="U4114" s="525" t="str">
        <f>IF(AND(B4114&gt;='IN-NX'!$P$3,B4114&lt;='IN-NX'!$Q$3,'IN-NX'!$D$7=D4114,OR(LEFT(L4114,2)="15",AND(LEFT(M4114,2)&lt;&gt;"15",LEFT(M4114,2)&lt;&gt;"33"))),"x","")</f>
        <v/>
      </c>
      <c r="V4114" s="525" t="str">
        <f>IF(AND(OR(LEFT(TH!L4114,2)="15",LEFT(TH!M4114,2)="15"),'152-CT'!$J$8=TH!F4114),"x","")</f>
        <v/>
      </c>
      <c r="W4114" s="525" t="str">
        <f>IF(AND(OR(LEFT(TH!L4114,2)="15",LEFT(TH!M4114,2)="15"),TK!$E$7=TH!F4114),"x","")</f>
        <v/>
      </c>
      <c r="X4114" s="525" t="str">
        <f>IF(AND('341-CT'!$E$9=H4114,OR(LEFT(L4114,3)=$X$7,LEFT(M4114,3)=$X$7)),"x","")</f>
        <v/>
      </c>
      <c r="Y4114" s="525" t="str">
        <f>IF(OR(TH!L4114=TH!$Y$7,M4114=TH!$Y$7),"x","")</f>
        <v/>
      </c>
      <c r="Z4114" s="525" t="str">
        <f>IF(AND(B4114&lt;=NKC!$N$8,B4114&gt;=NKC!$M$8),"x","")</f>
        <v/>
      </c>
      <c r="AA4114" s="535">
        <v>3</v>
      </c>
      <c r="AB4114" s="536"/>
    </row>
    <row r="4115" spans="1:29" s="503" customFormat="1" ht="15.75" customHeight="1">
      <c r="A4115" s="517" t="str">
        <f>IF(B4115&lt;&gt;"",IF(AND(B4115&gt;=_TM1,B4115&lt;=_TM2,OR(TH!L4115="1111",TH!M4115="1111")),TH!D4115,""),"")</f>
        <v/>
      </c>
      <c r="B4115" s="531">
        <f t="shared" ref="B4115:B4123" si="506">IF(C4115&lt;&gt;"",MONTH(C4115),"")</f>
        <v>9</v>
      </c>
      <c r="C4115" s="315">
        <f t="shared" ref="C4115:C4123" si="507">E4115</f>
        <v>42979</v>
      </c>
      <c r="D4115" s="315" t="s">
        <v>1180</v>
      </c>
      <c r="E4115" s="315">
        <v>42979</v>
      </c>
      <c r="F4115" s="250" t="s">
        <v>1217</v>
      </c>
      <c r="G4115" s="314" t="s">
        <v>1610</v>
      </c>
      <c r="H4115" s="248" t="s">
        <v>1612</v>
      </c>
      <c r="I4115" s="307">
        <v>3045</v>
      </c>
      <c r="J4115" s="307">
        <v>5782</v>
      </c>
      <c r="K4115" s="532">
        <f t="shared" ref="K4115:K4122" si="508">ROUND(I4115*J4115,0)</f>
        <v>17606190</v>
      </c>
      <c r="L4115" s="534" t="s">
        <v>292</v>
      </c>
      <c r="M4115" s="534" t="s">
        <v>8</v>
      </c>
      <c r="N4115" s="525" t="str">
        <f>IF(AND('331-CT'!$E$7=TH!H4115,OR(L4115="331",M4115="331")),"331",IF(AND(OR(L4115="131",M4115="131"),H4115='131-CT'!$E$7),"131",""))</f>
        <v/>
      </c>
      <c r="O4115" s="525" t="str">
        <f>IF(AND($B4115&gt;='111'!$N$11,$B4115&lt;='111'!$O$11,OR($L4115=$O$7,$M4115=$O$7)),"x","")</f>
        <v/>
      </c>
      <c r="P4115" s="525" t="str">
        <f>IF(AND($L4115=$O$7,$B4115&lt;'111'!$N$11),"x","")</f>
        <v/>
      </c>
      <c r="Q4115" s="525" t="str">
        <f>IF(AND($M4115=$O$7,$B4115&lt;'111'!$N$11),"x","")</f>
        <v/>
      </c>
      <c r="R4115" s="525" t="str">
        <f>IF(ISERROR(FIND('112'!$M$9,G4115,1)),"",IF((AND(FIND('112'!$M$9,G4115,1)&gt;=1,$B4115&gt;='112'!$N$8,$B4115&lt;='112'!$O$8,OR($L4115='112'!$I$6,$M4115='112'!$I$6))),"x",""))</f>
        <v/>
      </c>
      <c r="S4115" s="525" t="str">
        <f>IF(ISERROR(FIND('112'!$M$9,G4115,1)),"",IF((AND(LEFT(G4115,2)=LEFT('112'!$M$9,2),B4115&lt;'112'!$N$8,$L4115='112'!$I$6)),"x",""))</f>
        <v/>
      </c>
      <c r="T4115" s="525" t="str">
        <f>IF(ISERROR(FIND('112'!$M$9,G4115,1)),"",IF((AND(RIGHT(G4115,2)=RIGHT('112'!$M$9,2),B4115&lt;'112'!$N$8,$M4115='112'!$I$6)),"x",""))</f>
        <v/>
      </c>
      <c r="U4115" s="525" t="str">
        <f>IF(AND(B4115&gt;='IN-NX'!$P$3,B4115&lt;='IN-NX'!$Q$3,'IN-NX'!$D$7=D4115,OR(LEFT(L4115,2)="15",AND(LEFT(M4115,2)&lt;&gt;"15",LEFT(M4115,2)&lt;&gt;"33"))),"x","")</f>
        <v/>
      </c>
      <c r="V4115" s="525" t="str">
        <f>IF(AND(OR(LEFT(TH!L4115,2)="15",LEFT(TH!M4115,2)="15"),'152-CT'!$J$8=TH!F4115),"x","")</f>
        <v/>
      </c>
      <c r="W4115" s="525" t="str">
        <f>IF(AND(OR(LEFT(TH!L4115,2)="15",LEFT(TH!M4115,2)="15"),TK!$E$7=TH!F4115),"x","")</f>
        <v/>
      </c>
      <c r="X4115" s="525" t="str">
        <f>IF(AND('341-CT'!$E$9=H4115,OR(LEFT(L4115,3)=$X$7,LEFT(M4115,3)=$X$7)),"x","")</f>
        <v/>
      </c>
      <c r="Y4115" s="525" t="str">
        <f>IF(OR(TH!L4115=TH!$Y$7,M4115=TH!$Y$7),"x","")</f>
        <v/>
      </c>
      <c r="Z4115" s="525" t="str">
        <f>IF(AND(B4115&lt;=NKC!$N$8,B4115&gt;=NKC!$M$8),"x","")</f>
        <v/>
      </c>
      <c r="AA4115" s="535">
        <v>3</v>
      </c>
      <c r="AB4115" s="536"/>
      <c r="AC4115" s="536" t="str">
        <f>VLOOKUP(F4115,NXT!$B$12:$B$686,1,0)</f>
        <v>Thùng 50x29.5x19</v>
      </c>
    </row>
    <row r="4116" spans="1:29" s="503" customFormat="1" ht="15.75" customHeight="1">
      <c r="A4116" s="517" t="str">
        <f>IF(B4116&lt;&gt;"",IF(AND(B4116&gt;=_TM1,B4116&lt;=_TM2,OR(TH!L4116="1111",TH!M4116="1111")),TH!D4116,""),"")</f>
        <v/>
      </c>
      <c r="B4116" s="531">
        <f t="shared" si="506"/>
        <v>9</v>
      </c>
      <c r="C4116" s="315">
        <f t="shared" si="507"/>
        <v>42979</v>
      </c>
      <c r="D4116" s="315" t="s">
        <v>1180</v>
      </c>
      <c r="E4116" s="315">
        <v>42979</v>
      </c>
      <c r="F4116" s="250" t="s">
        <v>1611</v>
      </c>
      <c r="G4116" s="314" t="s">
        <v>1610</v>
      </c>
      <c r="H4116" s="248" t="s">
        <v>1612</v>
      </c>
      <c r="I4116" s="307">
        <v>300</v>
      </c>
      <c r="J4116" s="307">
        <v>4998</v>
      </c>
      <c r="K4116" s="532">
        <f t="shared" si="508"/>
        <v>1499400</v>
      </c>
      <c r="L4116" s="534" t="s">
        <v>292</v>
      </c>
      <c r="M4116" s="534" t="s">
        <v>8</v>
      </c>
      <c r="N4116" s="525" t="str">
        <f>IF(AND('331-CT'!$E$7=TH!H4116,OR(L4116="331",M4116="331")),"331",IF(AND(OR(L4116="131",M4116="131"),H4116='131-CT'!$E$7),"131",""))</f>
        <v/>
      </c>
      <c r="O4116" s="525" t="str">
        <f>IF(AND($B4116&gt;='111'!$N$11,$B4116&lt;='111'!$O$11,OR($L4116=$O$7,$M4116=$O$7)),"x","")</f>
        <v/>
      </c>
      <c r="P4116" s="525" t="str">
        <f>IF(AND($L4116=$O$7,$B4116&lt;'111'!$N$11),"x","")</f>
        <v/>
      </c>
      <c r="Q4116" s="525" t="str">
        <f>IF(AND($M4116=$O$7,$B4116&lt;'111'!$N$11),"x","")</f>
        <v/>
      </c>
      <c r="R4116" s="525" t="str">
        <f>IF(ISERROR(FIND('112'!$M$9,G4116,1)),"",IF((AND(FIND('112'!$M$9,G4116,1)&gt;=1,$B4116&gt;='112'!$N$8,$B4116&lt;='112'!$O$8,OR($L4116='112'!$I$6,$M4116='112'!$I$6))),"x",""))</f>
        <v/>
      </c>
      <c r="S4116" s="525" t="str">
        <f>IF(ISERROR(FIND('112'!$M$9,G4116,1)),"",IF((AND(LEFT(G4116,2)=LEFT('112'!$M$9,2),B4116&lt;'112'!$N$8,$L4116='112'!$I$6)),"x",""))</f>
        <v/>
      </c>
      <c r="T4116" s="525" t="str">
        <f>IF(ISERROR(FIND('112'!$M$9,G4116,1)),"",IF((AND(RIGHT(G4116,2)=RIGHT('112'!$M$9,2),B4116&lt;'112'!$N$8,$M4116='112'!$I$6)),"x",""))</f>
        <v/>
      </c>
      <c r="U4116" s="525" t="str">
        <f>IF(AND(B4116&gt;='IN-NX'!$P$3,B4116&lt;='IN-NX'!$Q$3,'IN-NX'!$D$7=D4116,OR(LEFT(L4116,2)="15",AND(LEFT(M4116,2)&lt;&gt;"15",LEFT(M4116,2)&lt;&gt;"33"))),"x","")</f>
        <v/>
      </c>
      <c r="V4116" s="525" t="str">
        <f>IF(AND(OR(LEFT(TH!L4116,2)="15",LEFT(TH!M4116,2)="15"),'152-CT'!$J$8=TH!F4116),"x","")</f>
        <v/>
      </c>
      <c r="W4116" s="525" t="str">
        <f>IF(AND(OR(LEFT(TH!L4116,2)="15",LEFT(TH!M4116,2)="15"),TK!$E$7=TH!F4116),"x","")</f>
        <v/>
      </c>
      <c r="X4116" s="525" t="str">
        <f>IF(AND('341-CT'!$E$9=H4116,OR(LEFT(L4116,3)=$X$7,LEFT(M4116,3)=$X$7)),"x","")</f>
        <v/>
      </c>
      <c r="Y4116" s="525" t="str">
        <f>IF(OR(TH!L4116=TH!$Y$7,M4116=TH!$Y$7),"x","")</f>
        <v/>
      </c>
      <c r="Z4116" s="525" t="str">
        <f>IF(AND(B4116&lt;=NKC!$N$8,B4116&gt;=NKC!$M$8),"x","")</f>
        <v/>
      </c>
      <c r="AA4116" s="535">
        <v>3</v>
      </c>
      <c r="AB4116" s="536"/>
      <c r="AC4116" s="536" t="str">
        <f>VLOOKUP(F4116,NXT!$B$12:$B$686,1,0)</f>
        <v>Thùng 24x18x17</v>
      </c>
    </row>
    <row r="4117" spans="1:29" s="503" customFormat="1" ht="15.75" customHeight="1">
      <c r="A4117" s="517" t="str">
        <f>IF(B4117&lt;&gt;"",IF(AND(B4117&gt;=_TM1,B4117&lt;=_TM2,OR(TH!L4117="1111",TH!M4117="1111")),TH!D4117,""),"")</f>
        <v/>
      </c>
      <c r="B4117" s="531">
        <f t="shared" si="506"/>
        <v>9</v>
      </c>
      <c r="C4117" s="315">
        <f t="shared" si="507"/>
        <v>42979</v>
      </c>
      <c r="D4117" s="315" t="s">
        <v>1180</v>
      </c>
      <c r="E4117" s="315">
        <v>42979</v>
      </c>
      <c r="F4117" s="250" t="s">
        <v>1290</v>
      </c>
      <c r="G4117" s="314" t="s">
        <v>1610</v>
      </c>
      <c r="H4117" s="248" t="s">
        <v>1612</v>
      </c>
      <c r="I4117" s="307">
        <v>3455</v>
      </c>
      <c r="J4117" s="307">
        <v>12250</v>
      </c>
      <c r="K4117" s="532">
        <f t="shared" si="508"/>
        <v>42323750</v>
      </c>
      <c r="L4117" s="534" t="s">
        <v>292</v>
      </c>
      <c r="M4117" s="534" t="s">
        <v>8</v>
      </c>
      <c r="N4117" s="525" t="str">
        <f>IF(AND('331-CT'!$E$7=TH!H4117,OR(L4117="331",M4117="331")),"331",IF(AND(OR(L4117="131",M4117="131"),H4117='131-CT'!$E$7),"131",""))</f>
        <v/>
      </c>
      <c r="O4117" s="525" t="str">
        <f>IF(AND($B4117&gt;='111'!$N$11,$B4117&lt;='111'!$O$11,OR($L4117=$O$7,$M4117=$O$7)),"x","")</f>
        <v/>
      </c>
      <c r="P4117" s="525" t="str">
        <f>IF(AND($L4117=$O$7,$B4117&lt;'111'!$N$11),"x","")</f>
        <v/>
      </c>
      <c r="Q4117" s="525" t="str">
        <f>IF(AND($M4117=$O$7,$B4117&lt;'111'!$N$11),"x","")</f>
        <v/>
      </c>
      <c r="R4117" s="525" t="str">
        <f>IF(ISERROR(FIND('112'!$M$9,G4117,1)),"",IF((AND(FIND('112'!$M$9,G4117,1)&gt;=1,$B4117&gt;='112'!$N$8,$B4117&lt;='112'!$O$8,OR($L4117='112'!$I$6,$M4117='112'!$I$6))),"x",""))</f>
        <v/>
      </c>
      <c r="S4117" s="525" t="str">
        <f>IF(ISERROR(FIND('112'!$M$9,G4117,1)),"",IF((AND(LEFT(G4117,2)=LEFT('112'!$M$9,2),B4117&lt;'112'!$N$8,$L4117='112'!$I$6)),"x",""))</f>
        <v/>
      </c>
      <c r="T4117" s="525" t="str">
        <f>IF(ISERROR(FIND('112'!$M$9,G4117,1)),"",IF((AND(RIGHT(G4117,2)=RIGHT('112'!$M$9,2),B4117&lt;'112'!$N$8,$M4117='112'!$I$6)),"x",""))</f>
        <v/>
      </c>
      <c r="U4117" s="525" t="str">
        <f>IF(AND(B4117&gt;='IN-NX'!$P$3,B4117&lt;='IN-NX'!$Q$3,'IN-NX'!$D$7=D4117,OR(LEFT(L4117,2)="15",AND(LEFT(M4117,2)&lt;&gt;"15",LEFT(M4117,2)&lt;&gt;"33"))),"x","")</f>
        <v/>
      </c>
      <c r="V4117" s="525" t="str">
        <f>IF(AND(OR(LEFT(TH!L4117,2)="15",LEFT(TH!M4117,2)="15"),'152-CT'!$J$8=TH!F4117),"x","")</f>
        <v/>
      </c>
      <c r="W4117" s="525" t="str">
        <f>IF(AND(OR(LEFT(TH!L4117,2)="15",LEFT(TH!M4117,2)="15"),TK!$E$7=TH!F4117),"x","")</f>
        <v/>
      </c>
      <c r="X4117" s="525" t="str">
        <f>IF(AND('341-CT'!$E$9=H4117,OR(LEFT(L4117,3)=$X$7,LEFT(M4117,3)=$X$7)),"x","")</f>
        <v/>
      </c>
      <c r="Y4117" s="525" t="str">
        <f>IF(OR(TH!L4117=TH!$Y$7,M4117=TH!$Y$7),"x","")</f>
        <v/>
      </c>
      <c r="Z4117" s="525" t="str">
        <f>IF(AND(B4117&lt;=NKC!$N$8,B4117&gt;=NKC!$M$8),"x","")</f>
        <v/>
      </c>
      <c r="AA4117" s="535">
        <v>3</v>
      </c>
      <c r="AB4117" s="536"/>
      <c r="AC4117" s="536" t="str">
        <f>VLOOKUP(F4117,NXT!$B$12:$B$686,1,0)</f>
        <v>Thùng 41.5x30x17.5</v>
      </c>
    </row>
    <row r="4118" spans="1:29" s="503" customFormat="1" ht="15.75" customHeight="1">
      <c r="A4118" s="517" t="str">
        <f>IF(B4118&lt;&gt;"",IF(AND(B4118&gt;=_TM1,B4118&lt;=_TM2,OR(TH!L4118="1111",TH!M4118="1111")),TH!D4118,""),"")</f>
        <v/>
      </c>
      <c r="B4118" s="531">
        <f t="shared" si="506"/>
        <v>9</v>
      </c>
      <c r="C4118" s="315">
        <f t="shared" si="507"/>
        <v>42979</v>
      </c>
      <c r="D4118" s="315" t="s">
        <v>1180</v>
      </c>
      <c r="E4118" s="315">
        <v>42979</v>
      </c>
      <c r="F4118" s="250" t="s">
        <v>1308</v>
      </c>
      <c r="G4118" s="314" t="s">
        <v>1610</v>
      </c>
      <c r="H4118" s="248" t="s">
        <v>1612</v>
      </c>
      <c r="I4118" s="307">
        <v>60</v>
      </c>
      <c r="J4118" s="307">
        <v>9886</v>
      </c>
      <c r="K4118" s="532">
        <f t="shared" si="508"/>
        <v>593160</v>
      </c>
      <c r="L4118" s="534" t="s">
        <v>292</v>
      </c>
      <c r="M4118" s="534" t="s">
        <v>8</v>
      </c>
      <c r="N4118" s="525" t="str">
        <f>IF(AND('331-CT'!$E$7=TH!H4118,OR(L4118="331",M4118="331")),"331",IF(AND(OR(L4118="131",M4118="131"),H4118='131-CT'!$E$7),"131",""))</f>
        <v/>
      </c>
      <c r="O4118" s="525" t="str">
        <f>IF(AND($B4118&gt;='111'!$N$11,$B4118&lt;='111'!$O$11,OR($L4118=$O$7,$M4118=$O$7)),"x","")</f>
        <v/>
      </c>
      <c r="P4118" s="525" t="str">
        <f>IF(AND($L4118=$O$7,$B4118&lt;'111'!$N$11),"x","")</f>
        <v/>
      </c>
      <c r="Q4118" s="525" t="str">
        <f>IF(AND($M4118=$O$7,$B4118&lt;'111'!$N$11),"x","")</f>
        <v/>
      </c>
      <c r="R4118" s="525" t="str">
        <f>IF(ISERROR(FIND('112'!$M$9,G4118,1)),"",IF((AND(FIND('112'!$M$9,G4118,1)&gt;=1,$B4118&gt;='112'!$N$8,$B4118&lt;='112'!$O$8,OR($L4118='112'!$I$6,$M4118='112'!$I$6))),"x",""))</f>
        <v/>
      </c>
      <c r="S4118" s="525" t="str">
        <f>IF(ISERROR(FIND('112'!$M$9,G4118,1)),"",IF((AND(LEFT(G4118,2)=LEFT('112'!$M$9,2),B4118&lt;'112'!$N$8,$L4118='112'!$I$6)),"x",""))</f>
        <v/>
      </c>
      <c r="T4118" s="525" t="str">
        <f>IF(ISERROR(FIND('112'!$M$9,G4118,1)),"",IF((AND(RIGHT(G4118,2)=RIGHT('112'!$M$9,2),B4118&lt;'112'!$N$8,$M4118='112'!$I$6)),"x",""))</f>
        <v/>
      </c>
      <c r="U4118" s="525" t="str">
        <f>IF(AND(B4118&gt;='IN-NX'!$P$3,B4118&lt;='IN-NX'!$Q$3,'IN-NX'!$D$7=D4118,OR(LEFT(L4118,2)="15",AND(LEFT(M4118,2)&lt;&gt;"15",LEFT(M4118,2)&lt;&gt;"33"))),"x","")</f>
        <v/>
      </c>
      <c r="V4118" s="525" t="str">
        <f>IF(AND(OR(LEFT(TH!L4118,2)="15",LEFT(TH!M4118,2)="15"),'152-CT'!$J$8=TH!F4118),"x","")</f>
        <v/>
      </c>
      <c r="W4118" s="525" t="str">
        <f>IF(AND(OR(LEFT(TH!L4118,2)="15",LEFT(TH!M4118,2)="15"),TK!$E$7=TH!F4118),"x","")</f>
        <v/>
      </c>
      <c r="X4118" s="525" t="str">
        <f>IF(AND('341-CT'!$E$9=H4118,OR(LEFT(L4118,3)=$X$7,LEFT(M4118,3)=$X$7)),"x","")</f>
        <v/>
      </c>
      <c r="Y4118" s="525" t="str">
        <f>IF(OR(TH!L4118=TH!$Y$7,M4118=TH!$Y$7),"x","")</f>
        <v/>
      </c>
      <c r="Z4118" s="525" t="str">
        <f>IF(AND(B4118&lt;=NKC!$N$8,B4118&gt;=NKC!$M$8),"x","")</f>
        <v/>
      </c>
      <c r="AA4118" s="535">
        <v>3</v>
      </c>
      <c r="AB4118" s="536"/>
      <c r="AC4118" s="536" t="str">
        <f>VLOOKUP(F4118,NXT!$B$12:$B$686,1,0)</f>
        <v>Thùng 183x15.9x10</v>
      </c>
    </row>
    <row r="4119" spans="1:29" s="503" customFormat="1" ht="15.75" customHeight="1">
      <c r="A4119" s="517" t="str">
        <f>IF(B4119&lt;&gt;"",IF(AND(B4119&gt;=_TM1,B4119&lt;=_TM2,OR(TH!L4119="1111",TH!M4119="1111")),TH!D4119,""),"")</f>
        <v/>
      </c>
      <c r="B4119" s="531">
        <f t="shared" si="506"/>
        <v>9</v>
      </c>
      <c r="C4119" s="315">
        <f t="shared" si="507"/>
        <v>42979</v>
      </c>
      <c r="D4119" s="315" t="s">
        <v>1180</v>
      </c>
      <c r="E4119" s="315">
        <v>42979</v>
      </c>
      <c r="F4119" s="250" t="s">
        <v>1435</v>
      </c>
      <c r="G4119" s="314" t="s">
        <v>1610</v>
      </c>
      <c r="H4119" s="248" t="s">
        <v>1612</v>
      </c>
      <c r="I4119" s="307">
        <v>12</v>
      </c>
      <c r="J4119" s="307">
        <v>8155</v>
      </c>
      <c r="K4119" s="532">
        <f t="shared" si="508"/>
        <v>97860</v>
      </c>
      <c r="L4119" s="534" t="s">
        <v>292</v>
      </c>
      <c r="M4119" s="534" t="s">
        <v>8</v>
      </c>
      <c r="N4119" s="525" t="str">
        <f>IF(AND('331-CT'!$E$7=TH!H4119,OR(L4119="331",M4119="331")),"331",IF(AND(OR(L4119="131",M4119="131"),H4119='131-CT'!$E$7),"131",""))</f>
        <v/>
      </c>
      <c r="O4119" s="525" t="str">
        <f>IF(AND($B4119&gt;='111'!$N$11,$B4119&lt;='111'!$O$11,OR($L4119=$O$7,$M4119=$O$7)),"x","")</f>
        <v/>
      </c>
      <c r="P4119" s="525" t="str">
        <f>IF(AND($L4119=$O$7,$B4119&lt;'111'!$N$11),"x","")</f>
        <v/>
      </c>
      <c r="Q4119" s="525" t="str">
        <f>IF(AND($M4119=$O$7,$B4119&lt;'111'!$N$11),"x","")</f>
        <v/>
      </c>
      <c r="R4119" s="525" t="str">
        <f>IF(ISERROR(FIND('112'!$M$9,G4119,1)),"",IF((AND(FIND('112'!$M$9,G4119,1)&gt;=1,$B4119&gt;='112'!$N$8,$B4119&lt;='112'!$O$8,OR($L4119='112'!$I$6,$M4119='112'!$I$6))),"x",""))</f>
        <v/>
      </c>
      <c r="S4119" s="525" t="str">
        <f>IF(ISERROR(FIND('112'!$M$9,G4119,1)),"",IF((AND(LEFT(G4119,2)=LEFT('112'!$M$9,2),B4119&lt;'112'!$N$8,$L4119='112'!$I$6)),"x",""))</f>
        <v/>
      </c>
      <c r="T4119" s="525" t="str">
        <f>IF(ISERROR(FIND('112'!$M$9,G4119,1)),"",IF((AND(RIGHT(G4119,2)=RIGHT('112'!$M$9,2),B4119&lt;'112'!$N$8,$M4119='112'!$I$6)),"x",""))</f>
        <v/>
      </c>
      <c r="U4119" s="525" t="str">
        <f>IF(AND(B4119&gt;='IN-NX'!$P$3,B4119&lt;='IN-NX'!$Q$3,'IN-NX'!$D$7=D4119,OR(LEFT(L4119,2)="15",AND(LEFT(M4119,2)&lt;&gt;"15",LEFT(M4119,2)&lt;&gt;"33"))),"x","")</f>
        <v/>
      </c>
      <c r="V4119" s="525" t="str">
        <f>IF(AND(OR(LEFT(TH!L4119,2)="15",LEFT(TH!M4119,2)="15"),'152-CT'!$J$8=TH!F4119),"x","")</f>
        <v/>
      </c>
      <c r="W4119" s="525" t="str">
        <f>IF(AND(OR(LEFT(TH!L4119,2)="15",LEFT(TH!M4119,2)="15"),TK!$E$7=TH!F4119),"x","")</f>
        <v/>
      </c>
      <c r="X4119" s="525" t="str">
        <f>IF(AND('341-CT'!$E$9=H4119,OR(LEFT(L4119,3)=$X$7,LEFT(M4119,3)=$X$7)),"x","")</f>
        <v/>
      </c>
      <c r="Y4119" s="525" t="str">
        <f>IF(OR(TH!L4119=TH!$Y$7,M4119=TH!$Y$7),"x","")</f>
        <v/>
      </c>
      <c r="Z4119" s="525" t="str">
        <f>IF(AND(B4119&lt;=NKC!$N$8,B4119&gt;=NKC!$M$8),"x","")</f>
        <v/>
      </c>
      <c r="AA4119" s="535">
        <v>3</v>
      </c>
      <c r="AB4119" s="536"/>
      <c r="AC4119" s="536" t="str">
        <f>VLOOKUP(F4119,NXT!$B$12:$B$686,1,0)</f>
        <v>Thùng 42.5x31.5x20.5</v>
      </c>
    </row>
    <row r="4120" spans="1:29" s="503" customFormat="1" ht="15.75" customHeight="1">
      <c r="A4120" s="517" t="str">
        <f>IF(B4120&lt;&gt;"",IF(AND(B4120&gt;=_TM1,B4120&lt;=_TM2,OR(TH!L4120="1111",TH!M4120="1111")),TH!D4120,""),"")</f>
        <v/>
      </c>
      <c r="B4120" s="531">
        <f t="shared" si="506"/>
        <v>9</v>
      </c>
      <c r="C4120" s="315">
        <f t="shared" si="507"/>
        <v>42979</v>
      </c>
      <c r="D4120" s="315" t="s">
        <v>1180</v>
      </c>
      <c r="E4120" s="315">
        <v>42979</v>
      </c>
      <c r="F4120" s="250" t="s">
        <v>1316</v>
      </c>
      <c r="G4120" s="314" t="s">
        <v>1610</v>
      </c>
      <c r="H4120" s="248" t="s">
        <v>1612</v>
      </c>
      <c r="I4120" s="307">
        <v>540</v>
      </c>
      <c r="J4120" s="307">
        <v>10268</v>
      </c>
      <c r="K4120" s="532">
        <f t="shared" si="508"/>
        <v>5544720</v>
      </c>
      <c r="L4120" s="534" t="s">
        <v>292</v>
      </c>
      <c r="M4120" s="534" t="s">
        <v>8</v>
      </c>
      <c r="N4120" s="525" t="str">
        <f>IF(AND('331-CT'!$E$7=TH!H4120,OR(L4120="331",M4120="331")),"331",IF(AND(OR(L4120="131",M4120="131"),H4120='131-CT'!$E$7),"131",""))</f>
        <v/>
      </c>
      <c r="O4120" s="525" t="str">
        <f>IF(AND($B4120&gt;='111'!$N$11,$B4120&lt;='111'!$O$11,OR($L4120=$O$7,$M4120=$O$7)),"x","")</f>
        <v/>
      </c>
      <c r="P4120" s="525" t="str">
        <f>IF(AND($L4120=$O$7,$B4120&lt;'111'!$N$11),"x","")</f>
        <v/>
      </c>
      <c r="Q4120" s="525" t="str">
        <f>IF(AND($M4120=$O$7,$B4120&lt;'111'!$N$11),"x","")</f>
        <v/>
      </c>
      <c r="R4120" s="525" t="str">
        <f>IF(ISERROR(FIND('112'!$M$9,G4120,1)),"",IF((AND(FIND('112'!$M$9,G4120,1)&gt;=1,$B4120&gt;='112'!$N$8,$B4120&lt;='112'!$O$8,OR($L4120='112'!$I$6,$M4120='112'!$I$6))),"x",""))</f>
        <v/>
      </c>
      <c r="S4120" s="525" t="str">
        <f>IF(ISERROR(FIND('112'!$M$9,G4120,1)),"",IF((AND(LEFT(G4120,2)=LEFT('112'!$M$9,2),B4120&lt;'112'!$N$8,$L4120='112'!$I$6)),"x",""))</f>
        <v/>
      </c>
      <c r="T4120" s="525" t="str">
        <f>IF(ISERROR(FIND('112'!$M$9,G4120,1)),"",IF((AND(RIGHT(G4120,2)=RIGHT('112'!$M$9,2),B4120&lt;'112'!$N$8,$M4120='112'!$I$6)),"x",""))</f>
        <v/>
      </c>
      <c r="U4120" s="525" t="str">
        <f>IF(AND(B4120&gt;='IN-NX'!$P$3,B4120&lt;='IN-NX'!$Q$3,'IN-NX'!$D$7=D4120,OR(LEFT(L4120,2)="15",AND(LEFT(M4120,2)&lt;&gt;"15",LEFT(M4120,2)&lt;&gt;"33"))),"x","")</f>
        <v/>
      </c>
      <c r="V4120" s="525" t="str">
        <f>IF(AND(OR(LEFT(TH!L4120,2)="15",LEFT(TH!M4120,2)="15"),'152-CT'!$J$8=TH!F4120),"x","")</f>
        <v/>
      </c>
      <c r="W4120" s="525" t="str">
        <f>IF(AND(OR(LEFT(TH!L4120,2)="15",LEFT(TH!M4120,2)="15"),TK!$E$7=TH!F4120),"x","")</f>
        <v/>
      </c>
      <c r="X4120" s="525" t="str">
        <f>IF(AND('341-CT'!$E$9=H4120,OR(LEFT(L4120,3)=$X$7,LEFT(M4120,3)=$X$7)),"x","")</f>
        <v/>
      </c>
      <c r="Y4120" s="525" t="str">
        <f>IF(OR(TH!L4120=TH!$Y$7,M4120=TH!$Y$7),"x","")</f>
        <v/>
      </c>
      <c r="Z4120" s="525" t="str">
        <f>IF(AND(B4120&lt;=NKC!$N$8,B4120&gt;=NKC!$M$8),"x","")</f>
        <v/>
      </c>
      <c r="AA4120" s="535">
        <v>3</v>
      </c>
      <c r="AB4120" s="536"/>
      <c r="AC4120" s="536" t="str">
        <f>VLOOKUP(F4120,NXT!$B$12:$B$686,1,0)</f>
        <v>Thùng 183x19.2x8.2</v>
      </c>
    </row>
    <row r="4121" spans="1:29" s="503" customFormat="1" ht="15.75" customHeight="1">
      <c r="A4121" s="517" t="str">
        <f>IF(B4121&lt;&gt;"",IF(AND(B4121&gt;=_TM1,B4121&lt;=_TM2,OR(TH!L4121="1111",TH!M4121="1111")),TH!D4121,""),"")</f>
        <v/>
      </c>
      <c r="B4121" s="531">
        <f t="shared" si="506"/>
        <v>9</v>
      </c>
      <c r="C4121" s="315">
        <f t="shared" si="507"/>
        <v>42979</v>
      </c>
      <c r="D4121" s="315" t="s">
        <v>1180</v>
      </c>
      <c r="E4121" s="315">
        <v>42979</v>
      </c>
      <c r="F4121" s="250" t="s">
        <v>1679</v>
      </c>
      <c r="G4121" s="314" t="s">
        <v>1610</v>
      </c>
      <c r="H4121" s="248" t="s">
        <v>1612</v>
      </c>
      <c r="I4121" s="307">
        <v>1450</v>
      </c>
      <c r="J4121" s="307">
        <v>11177</v>
      </c>
      <c r="K4121" s="532">
        <f t="shared" si="508"/>
        <v>16206650</v>
      </c>
      <c r="L4121" s="534" t="s">
        <v>292</v>
      </c>
      <c r="M4121" s="534" t="s">
        <v>8</v>
      </c>
      <c r="N4121" s="525" t="str">
        <f>IF(AND('331-CT'!$E$7=TH!H4121,OR(L4121="331",M4121="331")),"331",IF(AND(OR(L4121="131",M4121="131"),H4121='131-CT'!$E$7),"131",""))</f>
        <v/>
      </c>
      <c r="O4121" s="525" t="str">
        <f>IF(AND($B4121&gt;='111'!$N$11,$B4121&lt;='111'!$O$11,OR($L4121=$O$7,$M4121=$O$7)),"x","")</f>
        <v/>
      </c>
      <c r="P4121" s="525" t="str">
        <f>IF(AND($L4121=$O$7,$B4121&lt;'111'!$N$11),"x","")</f>
        <v/>
      </c>
      <c r="Q4121" s="525" t="str">
        <f>IF(AND($M4121=$O$7,$B4121&lt;'111'!$N$11),"x","")</f>
        <v/>
      </c>
      <c r="R4121" s="525" t="str">
        <f>IF(ISERROR(FIND('112'!$M$9,G4121,1)),"",IF((AND(FIND('112'!$M$9,G4121,1)&gt;=1,$B4121&gt;='112'!$N$8,$B4121&lt;='112'!$O$8,OR($L4121='112'!$I$6,$M4121='112'!$I$6))),"x",""))</f>
        <v/>
      </c>
      <c r="S4121" s="525" t="str">
        <f>IF(ISERROR(FIND('112'!$M$9,G4121,1)),"",IF((AND(LEFT(G4121,2)=LEFT('112'!$M$9,2),B4121&lt;'112'!$N$8,$L4121='112'!$I$6)),"x",""))</f>
        <v/>
      </c>
      <c r="T4121" s="525" t="str">
        <f>IF(ISERROR(FIND('112'!$M$9,G4121,1)),"",IF((AND(RIGHT(G4121,2)=RIGHT('112'!$M$9,2),B4121&lt;'112'!$N$8,$M4121='112'!$I$6)),"x",""))</f>
        <v/>
      </c>
      <c r="U4121" s="525" t="str">
        <f>IF(AND(B4121&gt;='IN-NX'!$P$3,B4121&lt;='IN-NX'!$Q$3,'IN-NX'!$D$7=D4121,OR(LEFT(L4121,2)="15",AND(LEFT(M4121,2)&lt;&gt;"15",LEFT(M4121,2)&lt;&gt;"33"))),"x","")</f>
        <v/>
      </c>
      <c r="V4121" s="525" t="str">
        <f>IF(AND(OR(LEFT(TH!L4121,2)="15",LEFT(TH!M4121,2)="15"),'152-CT'!$J$8=TH!F4121),"x","")</f>
        <v/>
      </c>
      <c r="W4121" s="525" t="str">
        <f>IF(AND(OR(LEFT(TH!L4121,2)="15",LEFT(TH!M4121,2)="15"),TK!$E$7=TH!F4121),"x","")</f>
        <v/>
      </c>
      <c r="X4121" s="525" t="str">
        <f>IF(AND('341-CT'!$E$9=H4121,OR(LEFT(L4121,3)=$X$7,LEFT(M4121,3)=$X$7)),"x","")</f>
        <v/>
      </c>
      <c r="Y4121" s="525" t="str">
        <f>IF(OR(TH!L4121=TH!$Y$7,M4121=TH!$Y$7),"x","")</f>
        <v/>
      </c>
      <c r="Z4121" s="525" t="str">
        <f>IF(AND(B4121&lt;=NKC!$N$8,B4121&gt;=NKC!$M$8),"x","")</f>
        <v/>
      </c>
      <c r="AA4121" s="535">
        <v>3</v>
      </c>
      <c r="AB4121" s="536"/>
      <c r="AC4121" s="536" t="str">
        <f>VLOOKUP(F4121,NXT!$B$12:$B$686,1,0)</f>
        <v>Thùng 183x19.7x9.7</v>
      </c>
    </row>
    <row r="4122" spans="1:29" s="503" customFormat="1" ht="15.75" customHeight="1">
      <c r="A4122" s="517" t="str">
        <f>IF(B4122&lt;&gt;"",IF(AND(B4122&gt;=_TM1,B4122&lt;=_TM2,OR(TH!L4122="1111",TH!M4122="1111")),TH!D4122,""),"")</f>
        <v/>
      </c>
      <c r="B4122" s="531">
        <f t="shared" si="506"/>
        <v>9</v>
      </c>
      <c r="C4122" s="315">
        <f t="shared" si="507"/>
        <v>42979</v>
      </c>
      <c r="D4122" s="315" t="s">
        <v>1180</v>
      </c>
      <c r="E4122" s="315">
        <v>42979</v>
      </c>
      <c r="F4122" s="250" t="s">
        <v>1217</v>
      </c>
      <c r="G4122" s="314" t="s">
        <v>1610</v>
      </c>
      <c r="H4122" s="248" t="s">
        <v>1612</v>
      </c>
      <c r="I4122" s="307">
        <v>3045</v>
      </c>
      <c r="J4122" s="307">
        <v>5782</v>
      </c>
      <c r="K4122" s="532">
        <f t="shared" si="508"/>
        <v>17606190</v>
      </c>
      <c r="L4122" s="534" t="s">
        <v>292</v>
      </c>
      <c r="M4122" s="534" t="s">
        <v>8</v>
      </c>
      <c r="N4122" s="525" t="str">
        <f>IF(AND('331-CT'!$E$7=TH!H4122,OR(L4122="331",M4122="331")),"331",IF(AND(OR(L4122="131",M4122="131"),H4122='131-CT'!$E$7),"131",""))</f>
        <v/>
      </c>
      <c r="O4122" s="525" t="str">
        <f>IF(AND($B4122&gt;='111'!$N$11,$B4122&lt;='111'!$O$11,OR($L4122=$O$7,$M4122=$O$7)),"x","")</f>
        <v/>
      </c>
      <c r="P4122" s="525" t="str">
        <f>IF(AND($L4122=$O$7,$B4122&lt;'111'!$N$11),"x","")</f>
        <v/>
      </c>
      <c r="Q4122" s="525" t="str">
        <f>IF(AND($M4122=$O$7,$B4122&lt;'111'!$N$11),"x","")</f>
        <v/>
      </c>
      <c r="R4122" s="525" t="str">
        <f>IF(ISERROR(FIND('112'!$M$9,G4122,1)),"",IF((AND(FIND('112'!$M$9,G4122,1)&gt;=1,$B4122&gt;='112'!$N$8,$B4122&lt;='112'!$O$8,OR($L4122='112'!$I$6,$M4122='112'!$I$6))),"x",""))</f>
        <v/>
      </c>
      <c r="S4122" s="525" t="str">
        <f>IF(ISERROR(FIND('112'!$M$9,G4122,1)),"",IF((AND(LEFT(G4122,2)=LEFT('112'!$M$9,2),B4122&lt;'112'!$N$8,$L4122='112'!$I$6)),"x",""))</f>
        <v/>
      </c>
      <c r="T4122" s="525" t="str">
        <f>IF(ISERROR(FIND('112'!$M$9,G4122,1)),"",IF((AND(RIGHT(G4122,2)=RIGHT('112'!$M$9,2),B4122&lt;'112'!$N$8,$M4122='112'!$I$6)),"x",""))</f>
        <v/>
      </c>
      <c r="U4122" s="525" t="str">
        <f>IF(AND(B4122&gt;='IN-NX'!$P$3,B4122&lt;='IN-NX'!$Q$3,'IN-NX'!$D$7=D4122,OR(LEFT(L4122,2)="15",AND(LEFT(M4122,2)&lt;&gt;"15",LEFT(M4122,2)&lt;&gt;"33"))),"x","")</f>
        <v/>
      </c>
      <c r="V4122" s="525" t="str">
        <f>IF(AND(OR(LEFT(TH!L4122,2)="15",LEFT(TH!M4122,2)="15"),'152-CT'!$J$8=TH!F4122),"x","")</f>
        <v/>
      </c>
      <c r="W4122" s="525" t="str">
        <f>IF(AND(OR(LEFT(TH!L4122,2)="15",LEFT(TH!M4122,2)="15"),TK!$E$7=TH!F4122),"x","")</f>
        <v/>
      </c>
      <c r="X4122" s="525" t="str">
        <f>IF(AND('341-CT'!$E$9=H4122,OR(LEFT(L4122,3)=$X$7,LEFT(M4122,3)=$X$7)),"x","")</f>
        <v/>
      </c>
      <c r="Y4122" s="525" t="str">
        <f>IF(OR(TH!L4122=TH!$Y$7,M4122=TH!$Y$7),"x","")</f>
        <v/>
      </c>
      <c r="Z4122" s="525" t="str">
        <f>IF(AND(B4122&lt;=NKC!$N$8,B4122&gt;=NKC!$M$8),"x","")</f>
        <v/>
      </c>
      <c r="AA4122" s="535">
        <v>3</v>
      </c>
      <c r="AB4122" s="536"/>
      <c r="AC4122" s="536" t="str">
        <f>VLOOKUP(F4122,NXT!$B$12:$B$686,1,0)</f>
        <v>Thùng 50x29.5x19</v>
      </c>
    </row>
    <row r="4123" spans="1:29" s="503" customFormat="1" ht="15.75" customHeight="1">
      <c r="A4123" s="517" t="str">
        <f>IF(B4123&lt;&gt;"",IF(AND(B4123&gt;=_TM1,B4123&lt;=_TM2,OR(TH!L4123="1111",TH!M4123="1111")),TH!D4123,""),"")</f>
        <v/>
      </c>
      <c r="B4123" s="531">
        <f t="shared" si="506"/>
        <v>9</v>
      </c>
      <c r="C4123" s="315">
        <f t="shared" si="507"/>
        <v>42979</v>
      </c>
      <c r="D4123" s="315" t="s">
        <v>1180</v>
      </c>
      <c r="E4123" s="315">
        <v>42979</v>
      </c>
      <c r="F4123" s="249" t="s">
        <v>494</v>
      </c>
      <c r="G4123" s="314" t="s">
        <v>1610</v>
      </c>
      <c r="H4123" s="248" t="s">
        <v>1612</v>
      </c>
      <c r="I4123" s="307"/>
      <c r="J4123" s="307"/>
      <c r="K4123" s="532">
        <v>10147792</v>
      </c>
      <c r="L4123" s="534" t="s">
        <v>9</v>
      </c>
      <c r="M4123" s="534" t="s">
        <v>8</v>
      </c>
      <c r="N4123" s="525" t="str">
        <f>IF(AND('331-CT'!$E$7=TH!H4123,OR(L4123="331",M4123="331")),"331",IF(AND(OR(L4123="131",M4123="131"),H4123='131-CT'!$E$7),"131",""))</f>
        <v/>
      </c>
      <c r="O4123" s="525" t="str">
        <f>IF(AND($B4123&gt;='111'!$N$11,$B4123&lt;='111'!$O$11,OR($L4123=$O$7,$M4123=$O$7)),"x","")</f>
        <v/>
      </c>
      <c r="P4123" s="525" t="str">
        <f>IF(AND($L4123=$O$7,$B4123&lt;'111'!$N$11),"x","")</f>
        <v/>
      </c>
      <c r="Q4123" s="525" t="str">
        <f>IF(AND($M4123=$O$7,$B4123&lt;'111'!$N$11),"x","")</f>
        <v/>
      </c>
      <c r="R4123" s="525" t="str">
        <f>IF(ISERROR(FIND('112'!$M$9,G4123,1)),"",IF((AND(FIND('112'!$M$9,G4123,1)&gt;=1,$B4123&gt;='112'!$N$8,$B4123&lt;='112'!$O$8,OR($L4123='112'!$I$6,$M4123='112'!$I$6))),"x",""))</f>
        <v/>
      </c>
      <c r="S4123" s="525" t="str">
        <f>IF(ISERROR(FIND('112'!$M$9,G4123,1)),"",IF((AND(LEFT(G4123,2)=LEFT('112'!$M$9,2),B4123&lt;'112'!$N$8,$L4123='112'!$I$6)),"x",""))</f>
        <v/>
      </c>
      <c r="T4123" s="525" t="str">
        <f>IF(ISERROR(FIND('112'!$M$9,G4123,1)),"",IF((AND(RIGHT(G4123,2)=RIGHT('112'!$M$9,2),B4123&lt;'112'!$N$8,$M4123='112'!$I$6)),"x",""))</f>
        <v/>
      </c>
      <c r="U4123" s="525" t="str">
        <f>IF(AND(B4123&gt;='IN-NX'!$P$3,B4123&lt;='IN-NX'!$Q$3,'IN-NX'!$D$7=D4123,OR(LEFT(L4123,2)="15",AND(LEFT(M4123,2)&lt;&gt;"15",LEFT(M4123,2)&lt;&gt;"33"))),"x","")</f>
        <v/>
      </c>
      <c r="V4123" s="525" t="str">
        <f>IF(AND(OR(LEFT(TH!L4123,2)="15",LEFT(TH!M4123,2)="15"),'152-CT'!$J$8=TH!F4123),"x","")</f>
        <v/>
      </c>
      <c r="W4123" s="525" t="str">
        <f>IF(AND(OR(LEFT(TH!L4123,2)="15",LEFT(TH!M4123,2)="15"),TK!$E$7=TH!F4123),"x","")</f>
        <v/>
      </c>
      <c r="X4123" s="525" t="str">
        <f>IF(AND('341-CT'!$E$9=H4123,OR(LEFT(L4123,3)=$X$7,LEFT(M4123,3)=$X$7)),"x","")</f>
        <v/>
      </c>
      <c r="Y4123" s="525" t="str">
        <f>IF(OR(TH!L4123=TH!$Y$7,M4123=TH!$Y$7),"x","")</f>
        <v/>
      </c>
      <c r="Z4123" s="525" t="str">
        <f>IF(AND(B4123&lt;=NKC!$N$8,B4123&gt;=NKC!$M$8),"x","")</f>
        <v/>
      </c>
      <c r="AA4123" s="535">
        <v>3</v>
      </c>
      <c r="AB4123" s="536"/>
      <c r="AC4123" s="536"/>
    </row>
    <row r="4124" spans="1:29" s="503" customFormat="1" ht="15.75" customHeight="1">
      <c r="A4124" s="517" t="str">
        <f>IF(B4124&lt;&gt;"",IF(AND(B4124&gt;=_TM1,B4124&lt;=_TM2,OR(TH!L4124="1111",TH!M4124="1111")),TH!D4124,""),"")</f>
        <v/>
      </c>
      <c r="B4124" s="531">
        <f t="shared" ref="B4124:B4243" si="509">IF(C4124&lt;&gt;"",MONTH(C4124),"")</f>
        <v>9</v>
      </c>
      <c r="C4124" s="315">
        <f t="shared" ref="C4124:C4243" si="510">E4124</f>
        <v>42982</v>
      </c>
      <c r="D4124" s="315" t="s">
        <v>1180</v>
      </c>
      <c r="E4124" s="315">
        <v>42982</v>
      </c>
      <c r="F4124" s="245" t="s">
        <v>274</v>
      </c>
      <c r="G4124" s="314" t="s">
        <v>1613</v>
      </c>
      <c r="H4124" s="248" t="s">
        <v>1612</v>
      </c>
      <c r="I4124" s="307">
        <v>2800</v>
      </c>
      <c r="J4124" s="307">
        <v>18130</v>
      </c>
      <c r="K4124" s="532">
        <f t="shared" ref="K4124:K4242" si="511">ROUND(I4124*J4124,0)</f>
        <v>50764000</v>
      </c>
      <c r="L4124" s="534" t="s">
        <v>292</v>
      </c>
      <c r="M4124" s="534" t="s">
        <v>8</v>
      </c>
      <c r="N4124" s="525" t="str">
        <f>IF(AND('331-CT'!$E$7=TH!H4124,OR(L4124="331",M4124="331")),"331",IF(AND(OR(L4124="131",M4124="131"),H4124='131-CT'!$E$7),"131",""))</f>
        <v/>
      </c>
      <c r="O4124" s="525" t="str">
        <f>IF(AND($B4124&gt;='111'!$N$11,$B4124&lt;='111'!$O$11,OR($L4124=$O$7,$M4124=$O$7)),"x","")</f>
        <v/>
      </c>
      <c r="P4124" s="525" t="str">
        <f>IF(AND($L4124=$O$7,$B4124&lt;'111'!$N$11),"x","")</f>
        <v/>
      </c>
      <c r="Q4124" s="525" t="str">
        <f>IF(AND($M4124=$O$7,$B4124&lt;'111'!$N$11),"x","")</f>
        <v/>
      </c>
      <c r="R4124" s="525" t="str">
        <f>IF(ISERROR(FIND('112'!$M$9,G4124,1)),"",IF((AND(FIND('112'!$M$9,G4124,1)&gt;=1,$B4124&gt;='112'!$N$8,$B4124&lt;='112'!$O$8,OR($L4124='112'!$I$6,$M4124='112'!$I$6))),"x",""))</f>
        <v/>
      </c>
      <c r="S4124" s="525" t="str">
        <f>IF(ISERROR(FIND('112'!$M$9,G4124,1)),"",IF((AND(LEFT(G4124,2)=LEFT('112'!$M$9,2),B4124&lt;'112'!$N$8,$L4124='112'!$I$6)),"x",""))</f>
        <v/>
      </c>
      <c r="T4124" s="525" t="str">
        <f>IF(ISERROR(FIND('112'!$M$9,G4124,1)),"",IF((AND(RIGHT(G4124,2)=RIGHT('112'!$M$9,2),B4124&lt;'112'!$N$8,$M4124='112'!$I$6)),"x",""))</f>
        <v/>
      </c>
      <c r="U4124" s="525" t="str">
        <f>IF(AND(B4124&gt;='IN-NX'!$P$3,B4124&lt;='IN-NX'!$Q$3,'IN-NX'!$D$7=D4124,OR(LEFT(L4124,2)="15",AND(LEFT(M4124,2)&lt;&gt;"15",LEFT(M4124,2)&lt;&gt;"33"))),"x","")</f>
        <v/>
      </c>
      <c r="V4124" s="525" t="str">
        <f>IF(AND(OR(LEFT(TH!L4124,2)="15",LEFT(TH!M4124,2)="15"),'152-CT'!$J$8=TH!F4124),"x","")</f>
        <v/>
      </c>
      <c r="W4124" s="525" t="str">
        <f>IF(AND(OR(LEFT(TH!L4124,2)="15",LEFT(TH!M4124,2)="15"),TK!$E$7=TH!F4124),"x","")</f>
        <v>x</v>
      </c>
      <c r="X4124" s="525" t="str">
        <f>IF(AND('341-CT'!$E$9=H4124,OR(LEFT(L4124,3)=$X$7,LEFT(M4124,3)=$X$7)),"x","")</f>
        <v/>
      </c>
      <c r="Y4124" s="525" t="str">
        <f>IF(OR(TH!L4124=TH!$Y$7,M4124=TH!$Y$7),"x","")</f>
        <v/>
      </c>
      <c r="Z4124" s="525" t="str">
        <f>IF(AND(B4124&lt;=NKC!$N$8,B4124&gt;=NKC!$M$8),"x","")</f>
        <v/>
      </c>
      <c r="AA4124" s="535">
        <v>3</v>
      </c>
      <c r="AB4124" s="536"/>
      <c r="AC4124" s="536" t="str">
        <f>VLOOKUP(F4124,NXT!$B$12:$B$686,1,0)</f>
        <v>Giấy 2 lớp</v>
      </c>
    </row>
    <row r="4125" spans="1:29" s="503" customFormat="1" ht="15.75" customHeight="1">
      <c r="A4125" s="517" t="str">
        <f>IF(B4125&lt;&gt;"",IF(AND(B4125&gt;=_TM1,B4125&lt;=_TM2,OR(TH!L4125="1111",TH!M4125="1111")),TH!D4125,""),"")</f>
        <v/>
      </c>
      <c r="B4125" s="531">
        <f t="shared" si="509"/>
        <v>9</v>
      </c>
      <c r="C4125" s="315">
        <f t="shared" si="510"/>
        <v>42982</v>
      </c>
      <c r="D4125" s="315" t="s">
        <v>1180</v>
      </c>
      <c r="E4125" s="315">
        <v>42982</v>
      </c>
      <c r="F4125" s="245" t="s">
        <v>273</v>
      </c>
      <c r="G4125" s="314" t="s">
        <v>1613</v>
      </c>
      <c r="H4125" s="248" t="s">
        <v>1612</v>
      </c>
      <c r="I4125" s="307">
        <v>3080</v>
      </c>
      <c r="J4125" s="307">
        <v>18179</v>
      </c>
      <c r="K4125" s="532">
        <f t="shared" si="511"/>
        <v>55991320</v>
      </c>
      <c r="L4125" s="534" t="s">
        <v>292</v>
      </c>
      <c r="M4125" s="534" t="s">
        <v>8</v>
      </c>
      <c r="N4125" s="525" t="str">
        <f>IF(AND('331-CT'!$E$7=TH!H4125,OR(L4125="331",M4125="331")),"331",IF(AND(OR(L4125="131",M4125="131"),H4125='131-CT'!$E$7),"131",""))</f>
        <v/>
      </c>
      <c r="O4125" s="525" t="str">
        <f>IF(AND($B4125&gt;='111'!$N$11,$B4125&lt;='111'!$O$11,OR($L4125=$O$7,$M4125=$O$7)),"x","")</f>
        <v/>
      </c>
      <c r="P4125" s="525" t="str">
        <f>IF(AND($L4125=$O$7,$B4125&lt;'111'!$N$11),"x","")</f>
        <v/>
      </c>
      <c r="Q4125" s="525" t="str">
        <f>IF(AND($M4125=$O$7,$B4125&lt;'111'!$N$11),"x","")</f>
        <v/>
      </c>
      <c r="R4125" s="525" t="str">
        <f>IF(ISERROR(FIND('112'!$M$9,G4125,1)),"",IF((AND(FIND('112'!$M$9,G4125,1)&gt;=1,$B4125&gt;='112'!$N$8,$B4125&lt;='112'!$O$8,OR($L4125='112'!$I$6,$M4125='112'!$I$6))),"x",""))</f>
        <v/>
      </c>
      <c r="S4125" s="525" t="str">
        <f>IF(ISERROR(FIND('112'!$M$9,G4125,1)),"",IF((AND(LEFT(G4125,2)=LEFT('112'!$M$9,2),B4125&lt;'112'!$N$8,$L4125='112'!$I$6)),"x",""))</f>
        <v/>
      </c>
      <c r="T4125" s="525" t="str">
        <f>IF(ISERROR(FIND('112'!$M$9,G4125,1)),"",IF((AND(RIGHT(G4125,2)=RIGHT('112'!$M$9,2),B4125&lt;'112'!$N$8,$M4125='112'!$I$6)),"x",""))</f>
        <v/>
      </c>
      <c r="U4125" s="525" t="str">
        <f>IF(AND(B4125&gt;='IN-NX'!$P$3,B4125&lt;='IN-NX'!$Q$3,'IN-NX'!$D$7=D4125,OR(LEFT(L4125,2)="15",AND(LEFT(M4125,2)&lt;&gt;"15",LEFT(M4125,2)&lt;&gt;"33"))),"x","")</f>
        <v/>
      </c>
      <c r="V4125" s="525" t="str">
        <f>IF(AND(OR(LEFT(TH!L4125,2)="15",LEFT(TH!M4125,2)="15"),'152-CT'!$J$8=TH!F4125),"x","")</f>
        <v>x</v>
      </c>
      <c r="W4125" s="525" t="str">
        <f>IF(AND(OR(LEFT(TH!L4125,2)="15",LEFT(TH!M4125,2)="15"),TK!$E$7=TH!F4125),"x","")</f>
        <v/>
      </c>
      <c r="X4125" s="525" t="str">
        <f>IF(AND('341-CT'!$E$9=H4125,OR(LEFT(L4125,3)=$X$7,LEFT(M4125,3)=$X$7)),"x","")</f>
        <v/>
      </c>
      <c r="Y4125" s="525" t="str">
        <f>IF(OR(TH!L4125=TH!$Y$7,M4125=TH!$Y$7),"x","")</f>
        <v/>
      </c>
      <c r="Z4125" s="525" t="str">
        <f>IF(AND(B4125&lt;=NKC!$N$8,B4125&gt;=NKC!$M$8),"x","")</f>
        <v/>
      </c>
      <c r="AA4125" s="535">
        <v>3</v>
      </c>
      <c r="AB4125" s="536"/>
      <c r="AC4125" s="536" t="str">
        <f>VLOOKUP(F4125,NXT!$B$12:$B$686,1,0)</f>
        <v>Giấy 3 lớp</v>
      </c>
    </row>
    <row r="4126" spans="1:29" s="503" customFormat="1" ht="15.75" customHeight="1">
      <c r="A4126" s="517" t="str">
        <f>IF(B4126&lt;&gt;"",IF(AND(B4126&gt;=_TM1,B4126&lt;=_TM2,OR(TH!L4126="1111",TH!M4126="1111")),TH!D4126,""),"")</f>
        <v/>
      </c>
      <c r="B4126" s="531">
        <f t="shared" si="509"/>
        <v>9</v>
      </c>
      <c r="C4126" s="315">
        <f t="shared" si="510"/>
        <v>42982</v>
      </c>
      <c r="D4126" s="315" t="s">
        <v>1180</v>
      </c>
      <c r="E4126" s="315">
        <v>42982</v>
      </c>
      <c r="F4126" s="249" t="s">
        <v>1320</v>
      </c>
      <c r="G4126" s="314" t="s">
        <v>1613</v>
      </c>
      <c r="H4126" s="248" t="s">
        <v>1612</v>
      </c>
      <c r="I4126" s="307"/>
      <c r="J4126" s="307"/>
      <c r="K4126" s="532">
        <v>10675532</v>
      </c>
      <c r="L4126" s="534" t="s">
        <v>9</v>
      </c>
      <c r="M4126" s="534" t="s">
        <v>8</v>
      </c>
      <c r="N4126" s="525" t="str">
        <f>IF(AND('331-CT'!$E$7=TH!H4126,OR(L4126="331",M4126="331")),"331",IF(AND(OR(L4126="131",M4126="131"),H4126='131-CT'!$E$7),"131",""))</f>
        <v/>
      </c>
      <c r="O4126" s="525" t="str">
        <f>IF(AND($B4126&gt;='111'!$N$11,$B4126&lt;='111'!$O$11,OR($L4126=$O$7,$M4126=$O$7)),"x","")</f>
        <v/>
      </c>
      <c r="P4126" s="525" t="str">
        <f>IF(AND($L4126=$O$7,$B4126&lt;'111'!$N$11),"x","")</f>
        <v/>
      </c>
      <c r="Q4126" s="525" t="str">
        <f>IF(AND($M4126=$O$7,$B4126&lt;'111'!$N$11),"x","")</f>
        <v/>
      </c>
      <c r="R4126" s="525" t="str">
        <f>IF(ISERROR(FIND('112'!$M$9,G4126,1)),"",IF((AND(FIND('112'!$M$9,G4126,1)&gt;=1,$B4126&gt;='112'!$N$8,$B4126&lt;='112'!$O$8,OR($L4126='112'!$I$6,$M4126='112'!$I$6))),"x",""))</f>
        <v/>
      </c>
      <c r="S4126" s="525" t="str">
        <f>IF(ISERROR(FIND('112'!$M$9,G4126,1)),"",IF((AND(LEFT(G4126,2)=LEFT('112'!$M$9,2),B4126&lt;'112'!$N$8,$L4126='112'!$I$6)),"x",""))</f>
        <v/>
      </c>
      <c r="T4126" s="525" t="str">
        <f>IF(ISERROR(FIND('112'!$M$9,G4126,1)),"",IF((AND(RIGHT(G4126,2)=RIGHT('112'!$M$9,2),B4126&lt;'112'!$N$8,$M4126='112'!$I$6)),"x",""))</f>
        <v/>
      </c>
      <c r="U4126" s="525" t="str">
        <f>IF(AND(B4126&gt;='IN-NX'!$P$3,B4126&lt;='IN-NX'!$Q$3,'IN-NX'!$D$7=D4126,OR(LEFT(L4126,2)="15",AND(LEFT(M4126,2)&lt;&gt;"15",LEFT(M4126,2)&lt;&gt;"33"))),"x","")</f>
        <v/>
      </c>
      <c r="V4126" s="525" t="str">
        <f>IF(AND(OR(LEFT(TH!L4126,2)="15",LEFT(TH!M4126,2)="15"),'152-CT'!$J$8=TH!F4126),"x","")</f>
        <v/>
      </c>
      <c r="W4126" s="525" t="str">
        <f>IF(AND(OR(LEFT(TH!L4126,2)="15",LEFT(TH!M4126,2)="15"),TK!$E$7=TH!F4126),"x","")</f>
        <v/>
      </c>
      <c r="X4126" s="525" t="str">
        <f>IF(AND('341-CT'!$E$9=H4126,OR(LEFT(L4126,3)=$X$7,LEFT(M4126,3)=$X$7)),"x","")</f>
        <v/>
      </c>
      <c r="Y4126" s="525" t="str">
        <f>IF(OR(TH!L4126=TH!$Y$7,M4126=TH!$Y$7),"x","")</f>
        <v/>
      </c>
      <c r="Z4126" s="525" t="str">
        <f>IF(AND(B4126&lt;=NKC!$N$8,B4126&gt;=NKC!$M$8),"x","")</f>
        <v/>
      </c>
      <c r="AA4126" s="535">
        <v>3</v>
      </c>
      <c r="AB4126" s="536"/>
      <c r="AC4126" s="536"/>
    </row>
    <row r="4127" spans="1:29" s="503" customFormat="1" ht="15.75" customHeight="1">
      <c r="A4127" s="517" t="str">
        <f>IF(B4127&lt;&gt;"",IF(AND(B4127&gt;=_TM1,B4127&lt;=_TM2,OR(TH!L4127="1111",TH!M4127="1111")),TH!D4127,""),"")</f>
        <v/>
      </c>
      <c r="B4127" s="531">
        <f t="shared" si="509"/>
        <v>9</v>
      </c>
      <c r="C4127" s="315">
        <f t="shared" si="510"/>
        <v>42983</v>
      </c>
      <c r="D4127" s="315" t="s">
        <v>1180</v>
      </c>
      <c r="E4127" s="315">
        <v>42983</v>
      </c>
      <c r="F4127" s="250" t="s">
        <v>1023</v>
      </c>
      <c r="G4127" s="314" t="s">
        <v>1614</v>
      </c>
      <c r="H4127" s="248" t="s">
        <v>1612</v>
      </c>
      <c r="I4127" s="307">
        <v>20</v>
      </c>
      <c r="J4127" s="307">
        <v>80843</v>
      </c>
      <c r="K4127" s="532">
        <f t="shared" ref="K4127:K4132" si="512">ROUND(I4127*J4127,0)</f>
        <v>1616860</v>
      </c>
      <c r="L4127" s="534" t="s">
        <v>292</v>
      </c>
      <c r="M4127" s="534" t="s">
        <v>8</v>
      </c>
      <c r="N4127" s="525" t="str">
        <f>IF(AND('331-CT'!$E$7=TH!H4127,OR(L4127="331",M4127="331")),"331",IF(AND(OR(L4127="131",M4127="131"),H4127='131-CT'!$E$7),"131",""))</f>
        <v/>
      </c>
      <c r="O4127" s="525" t="str">
        <f>IF(AND($B4127&gt;='111'!$N$11,$B4127&lt;='111'!$O$11,OR($L4127=$O$7,$M4127=$O$7)),"x","")</f>
        <v/>
      </c>
      <c r="P4127" s="525" t="str">
        <f>IF(AND($L4127=$O$7,$B4127&lt;'111'!$N$11),"x","")</f>
        <v/>
      </c>
      <c r="Q4127" s="525" t="str">
        <f>IF(AND($M4127=$O$7,$B4127&lt;'111'!$N$11),"x","")</f>
        <v/>
      </c>
      <c r="R4127" s="525" t="str">
        <f>IF(ISERROR(FIND('112'!$M$9,G4127,1)),"",IF((AND(FIND('112'!$M$9,G4127,1)&gt;=1,$B4127&gt;='112'!$N$8,$B4127&lt;='112'!$O$8,OR($L4127='112'!$I$6,$M4127='112'!$I$6))),"x",""))</f>
        <v/>
      </c>
      <c r="S4127" s="525" t="str">
        <f>IF(ISERROR(FIND('112'!$M$9,G4127,1)),"",IF((AND(LEFT(G4127,2)=LEFT('112'!$M$9,2),B4127&lt;'112'!$N$8,$L4127='112'!$I$6)),"x",""))</f>
        <v/>
      </c>
      <c r="T4127" s="525" t="str">
        <f>IF(ISERROR(FIND('112'!$M$9,G4127,1)),"",IF((AND(RIGHT(G4127,2)=RIGHT('112'!$M$9,2),B4127&lt;'112'!$N$8,$M4127='112'!$I$6)),"x",""))</f>
        <v/>
      </c>
      <c r="U4127" s="525" t="str">
        <f>IF(AND(B4127&gt;='IN-NX'!$P$3,B4127&lt;='IN-NX'!$Q$3,'IN-NX'!$D$7=D4127,OR(LEFT(L4127,2)="15",AND(LEFT(M4127,2)&lt;&gt;"15",LEFT(M4127,2)&lt;&gt;"33"))),"x","")</f>
        <v/>
      </c>
      <c r="V4127" s="525" t="str">
        <f>IF(AND(OR(LEFT(TH!L4127,2)="15",LEFT(TH!M4127,2)="15"),'152-CT'!$J$8=TH!F4127),"x","")</f>
        <v/>
      </c>
      <c r="W4127" s="525" t="str">
        <f>IF(AND(OR(LEFT(TH!L4127,2)="15",LEFT(TH!M4127,2)="15"),TK!$E$7=TH!F4127),"x","")</f>
        <v/>
      </c>
      <c r="X4127" s="525" t="str">
        <f>IF(AND('341-CT'!$E$9=H4127,OR(LEFT(L4127,3)=$X$7,LEFT(M4127,3)=$X$7)),"x","")</f>
        <v/>
      </c>
      <c r="Y4127" s="525" t="str">
        <f>IF(OR(TH!L4127=TH!$Y$7,M4127=TH!$Y$7),"x","")</f>
        <v/>
      </c>
      <c r="Z4127" s="525" t="str">
        <f>IF(AND(B4127&lt;=NKC!$N$8,B4127&gt;=NKC!$M$8),"x","")</f>
        <v/>
      </c>
      <c r="AA4127" s="535">
        <v>3</v>
      </c>
      <c r="AB4127" s="536"/>
      <c r="AC4127" s="536" t="str">
        <f>VLOOKUP(F4127,NXT!$B$12:$B$686,1,0)</f>
        <v>Thùng 68x68x68</v>
      </c>
    </row>
    <row r="4128" spans="1:29" s="503" customFormat="1" ht="15.75" customHeight="1">
      <c r="A4128" s="517" t="str">
        <f>IF(B4128&lt;&gt;"",IF(AND(B4128&gt;=_TM1,B4128&lt;=_TM2,OR(TH!L4128="1111",TH!M4128="1111")),TH!D4128,""),"")</f>
        <v/>
      </c>
      <c r="B4128" s="531">
        <f t="shared" si="509"/>
        <v>9</v>
      </c>
      <c r="C4128" s="315">
        <f t="shared" si="510"/>
        <v>42983</v>
      </c>
      <c r="D4128" s="315" t="s">
        <v>1180</v>
      </c>
      <c r="E4128" s="315">
        <v>42983</v>
      </c>
      <c r="F4128" s="250" t="s">
        <v>1635</v>
      </c>
      <c r="G4128" s="314" t="s">
        <v>1614</v>
      </c>
      <c r="H4128" s="248" t="s">
        <v>1612</v>
      </c>
      <c r="I4128" s="307">
        <v>10</v>
      </c>
      <c r="J4128" s="307">
        <v>162723</v>
      </c>
      <c r="K4128" s="532">
        <f t="shared" si="512"/>
        <v>1627230</v>
      </c>
      <c r="L4128" s="534" t="s">
        <v>292</v>
      </c>
      <c r="M4128" s="534" t="s">
        <v>8</v>
      </c>
      <c r="N4128" s="525" t="str">
        <f>IF(AND('331-CT'!$E$7=TH!H4128,OR(L4128="331",M4128="331")),"331",IF(AND(OR(L4128="131",M4128="131"),H4128='131-CT'!$E$7),"131",""))</f>
        <v/>
      </c>
      <c r="O4128" s="525" t="str">
        <f>IF(AND($B4128&gt;='111'!$N$11,$B4128&lt;='111'!$O$11,OR($L4128=$O$7,$M4128=$O$7)),"x","")</f>
        <v/>
      </c>
      <c r="P4128" s="525" t="str">
        <f>IF(AND($L4128=$O$7,$B4128&lt;'111'!$N$11),"x","")</f>
        <v/>
      </c>
      <c r="Q4128" s="525" t="str">
        <f>IF(AND($M4128=$O$7,$B4128&lt;'111'!$N$11),"x","")</f>
        <v/>
      </c>
      <c r="R4128" s="525" t="str">
        <f>IF(ISERROR(FIND('112'!$M$9,G4128,1)),"",IF((AND(FIND('112'!$M$9,G4128,1)&gt;=1,$B4128&gt;='112'!$N$8,$B4128&lt;='112'!$O$8,OR($L4128='112'!$I$6,$M4128='112'!$I$6))),"x",""))</f>
        <v/>
      </c>
      <c r="S4128" s="525" t="str">
        <f>IF(ISERROR(FIND('112'!$M$9,G4128,1)),"",IF((AND(LEFT(G4128,2)=LEFT('112'!$M$9,2),B4128&lt;'112'!$N$8,$L4128='112'!$I$6)),"x",""))</f>
        <v/>
      </c>
      <c r="T4128" s="525" t="str">
        <f>IF(ISERROR(FIND('112'!$M$9,G4128,1)),"",IF((AND(RIGHT(G4128,2)=RIGHT('112'!$M$9,2),B4128&lt;'112'!$N$8,$M4128='112'!$I$6)),"x",""))</f>
        <v/>
      </c>
      <c r="U4128" s="525" t="str">
        <f>IF(AND(B4128&gt;='IN-NX'!$P$3,B4128&lt;='IN-NX'!$Q$3,'IN-NX'!$D$7=D4128,OR(LEFT(L4128,2)="15",AND(LEFT(M4128,2)&lt;&gt;"15",LEFT(M4128,2)&lt;&gt;"33"))),"x","")</f>
        <v/>
      </c>
      <c r="V4128" s="525" t="str">
        <f>IF(AND(OR(LEFT(TH!L4128,2)="15",LEFT(TH!M4128,2)="15"),'152-CT'!$J$8=TH!F4128),"x","")</f>
        <v/>
      </c>
      <c r="W4128" s="525" t="str">
        <f>IF(AND(OR(LEFT(TH!L4128,2)="15",LEFT(TH!M4128,2)="15"),TK!$E$7=TH!F4128),"x","")</f>
        <v/>
      </c>
      <c r="X4128" s="525" t="str">
        <f>IF(AND('341-CT'!$E$9=H4128,OR(LEFT(L4128,3)=$X$7,LEFT(M4128,3)=$X$7)),"x","")</f>
        <v/>
      </c>
      <c r="Y4128" s="525" t="str">
        <f>IF(OR(TH!L4128=TH!$Y$7,M4128=TH!$Y$7),"x","")</f>
        <v/>
      </c>
      <c r="Z4128" s="525" t="str">
        <f>IF(AND(B4128&lt;=NKC!$N$8,B4128&gt;=NKC!$M$8),"x","")</f>
        <v/>
      </c>
      <c r="AA4128" s="535">
        <v>3</v>
      </c>
      <c r="AB4128" s="536"/>
      <c r="AC4128" s="536" t="str">
        <f>VLOOKUP(F4128,NXT!$B$12:$B$686,1,0)</f>
        <v>Thùng 113x113x55</v>
      </c>
    </row>
    <row r="4129" spans="1:29" s="503" customFormat="1" ht="15.75" customHeight="1">
      <c r="A4129" s="517" t="str">
        <f>IF(B4129&lt;&gt;"",IF(AND(B4129&gt;=_TM1,B4129&lt;=_TM2,OR(TH!L4129="1111",TH!M4129="1111")),TH!D4129,""),"")</f>
        <v/>
      </c>
      <c r="B4129" s="531">
        <f t="shared" si="509"/>
        <v>9</v>
      </c>
      <c r="C4129" s="315">
        <f t="shared" si="510"/>
        <v>42983</v>
      </c>
      <c r="D4129" s="315" t="s">
        <v>1180</v>
      </c>
      <c r="E4129" s="315">
        <v>42983</v>
      </c>
      <c r="F4129" s="250" t="s">
        <v>1636</v>
      </c>
      <c r="G4129" s="314" t="s">
        <v>1614</v>
      </c>
      <c r="H4129" s="248" t="s">
        <v>1612</v>
      </c>
      <c r="I4129" s="307">
        <v>4</v>
      </c>
      <c r="J4129" s="307">
        <v>87396</v>
      </c>
      <c r="K4129" s="532">
        <f t="shared" si="512"/>
        <v>349584</v>
      </c>
      <c r="L4129" s="534" t="s">
        <v>292</v>
      </c>
      <c r="M4129" s="534" t="s">
        <v>8</v>
      </c>
      <c r="N4129" s="525" t="str">
        <f>IF(AND('331-CT'!$E$7=TH!H4129,OR(L4129="331",M4129="331")),"331",IF(AND(OR(L4129="131",M4129="131"),H4129='131-CT'!$E$7),"131",""))</f>
        <v/>
      </c>
      <c r="O4129" s="525" t="str">
        <f>IF(AND($B4129&gt;='111'!$N$11,$B4129&lt;='111'!$O$11,OR($L4129=$O$7,$M4129=$O$7)),"x","")</f>
        <v/>
      </c>
      <c r="P4129" s="525" t="str">
        <f>IF(AND($L4129=$O$7,$B4129&lt;'111'!$N$11),"x","")</f>
        <v/>
      </c>
      <c r="Q4129" s="525" t="str">
        <f>IF(AND($M4129=$O$7,$B4129&lt;'111'!$N$11),"x","")</f>
        <v/>
      </c>
      <c r="R4129" s="525" t="str">
        <f>IF(ISERROR(FIND('112'!$M$9,G4129,1)),"",IF((AND(FIND('112'!$M$9,G4129,1)&gt;=1,$B4129&gt;='112'!$N$8,$B4129&lt;='112'!$O$8,OR($L4129='112'!$I$6,$M4129='112'!$I$6))),"x",""))</f>
        <v/>
      </c>
      <c r="S4129" s="525" t="str">
        <f>IF(ISERROR(FIND('112'!$M$9,G4129,1)),"",IF((AND(LEFT(G4129,2)=LEFT('112'!$M$9,2),B4129&lt;'112'!$N$8,$L4129='112'!$I$6)),"x",""))</f>
        <v/>
      </c>
      <c r="T4129" s="525" t="str">
        <f>IF(ISERROR(FIND('112'!$M$9,G4129,1)),"",IF((AND(RIGHT(G4129,2)=RIGHT('112'!$M$9,2),B4129&lt;'112'!$N$8,$M4129='112'!$I$6)),"x",""))</f>
        <v/>
      </c>
      <c r="U4129" s="525" t="str">
        <f>IF(AND(B4129&gt;='IN-NX'!$P$3,B4129&lt;='IN-NX'!$Q$3,'IN-NX'!$D$7=D4129,OR(LEFT(L4129,2)="15",AND(LEFT(M4129,2)&lt;&gt;"15",LEFT(M4129,2)&lt;&gt;"33"))),"x","")</f>
        <v/>
      </c>
      <c r="V4129" s="525" t="str">
        <f>IF(AND(OR(LEFT(TH!L4129,2)="15",LEFT(TH!M4129,2)="15"),'152-CT'!$J$8=TH!F4129),"x","")</f>
        <v/>
      </c>
      <c r="W4129" s="525" t="str">
        <f>IF(AND(OR(LEFT(TH!L4129,2)="15",LEFT(TH!M4129,2)="15"),TK!$E$7=TH!F4129),"x","")</f>
        <v/>
      </c>
      <c r="X4129" s="525" t="str">
        <f>IF(AND('341-CT'!$E$9=H4129,OR(LEFT(L4129,3)=$X$7,LEFT(M4129,3)=$X$7)),"x","")</f>
        <v/>
      </c>
      <c r="Y4129" s="525" t="str">
        <f>IF(OR(TH!L4129=TH!$Y$7,M4129=TH!$Y$7),"x","")</f>
        <v/>
      </c>
      <c r="Z4129" s="525" t="str">
        <f>IF(AND(B4129&lt;=NKC!$N$8,B4129&gt;=NKC!$M$8),"x","")</f>
        <v/>
      </c>
      <c r="AA4129" s="535">
        <v>3</v>
      </c>
      <c r="AB4129" s="536"/>
      <c r="AC4129" s="536" t="str">
        <f>VLOOKUP(F4129,NXT!$B$12:$B$686,1,0)</f>
        <v>Thùng 63x63x88</v>
      </c>
    </row>
    <row r="4130" spans="1:29" s="503" customFormat="1" ht="15.75" customHeight="1">
      <c r="A4130" s="517" t="str">
        <f>IF(B4130&lt;&gt;"",IF(AND(B4130&gt;=_TM1,B4130&lt;=_TM2,OR(TH!L4130="1111",TH!M4130="1111")),TH!D4130,""),"")</f>
        <v/>
      </c>
      <c r="B4130" s="531">
        <f t="shared" si="509"/>
        <v>9</v>
      </c>
      <c r="C4130" s="315">
        <f t="shared" si="510"/>
        <v>42983</v>
      </c>
      <c r="D4130" s="315" t="s">
        <v>1180</v>
      </c>
      <c r="E4130" s="315">
        <v>42983</v>
      </c>
      <c r="F4130" s="250" t="s">
        <v>1637</v>
      </c>
      <c r="G4130" s="314" t="s">
        <v>1614</v>
      </c>
      <c r="H4130" s="248" t="s">
        <v>1612</v>
      </c>
      <c r="I4130" s="307">
        <v>9</v>
      </c>
      <c r="J4130" s="307">
        <v>187468</v>
      </c>
      <c r="K4130" s="532">
        <f t="shared" si="512"/>
        <v>1687212</v>
      </c>
      <c r="L4130" s="534" t="s">
        <v>292</v>
      </c>
      <c r="M4130" s="534" t="s">
        <v>8</v>
      </c>
      <c r="N4130" s="525" t="str">
        <f>IF(AND('331-CT'!$E$7=TH!H4130,OR(L4130="331",M4130="331")),"331",IF(AND(OR(L4130="131",M4130="131"),H4130='131-CT'!$E$7),"131",""))</f>
        <v/>
      </c>
      <c r="O4130" s="525" t="str">
        <f>IF(AND($B4130&gt;='111'!$N$11,$B4130&lt;='111'!$O$11,OR($L4130=$O$7,$M4130=$O$7)),"x","")</f>
        <v/>
      </c>
      <c r="P4130" s="525" t="str">
        <f>IF(AND($L4130=$O$7,$B4130&lt;'111'!$N$11),"x","")</f>
        <v/>
      </c>
      <c r="Q4130" s="525" t="str">
        <f>IF(AND($M4130=$O$7,$B4130&lt;'111'!$N$11),"x","")</f>
        <v/>
      </c>
      <c r="R4130" s="525" t="str">
        <f>IF(ISERROR(FIND('112'!$M$9,G4130,1)),"",IF((AND(FIND('112'!$M$9,G4130,1)&gt;=1,$B4130&gt;='112'!$N$8,$B4130&lt;='112'!$O$8,OR($L4130='112'!$I$6,$M4130='112'!$I$6))),"x",""))</f>
        <v/>
      </c>
      <c r="S4130" s="525" t="str">
        <f>IF(ISERROR(FIND('112'!$M$9,G4130,1)),"",IF((AND(LEFT(G4130,2)=LEFT('112'!$M$9,2),B4130&lt;'112'!$N$8,$L4130='112'!$I$6)),"x",""))</f>
        <v/>
      </c>
      <c r="T4130" s="525" t="str">
        <f>IF(ISERROR(FIND('112'!$M$9,G4130,1)),"",IF((AND(RIGHT(G4130,2)=RIGHT('112'!$M$9,2),B4130&lt;'112'!$N$8,$M4130='112'!$I$6)),"x",""))</f>
        <v/>
      </c>
      <c r="U4130" s="525" t="str">
        <f>IF(AND(B4130&gt;='IN-NX'!$P$3,B4130&lt;='IN-NX'!$Q$3,'IN-NX'!$D$7=D4130,OR(LEFT(L4130,2)="15",AND(LEFT(M4130,2)&lt;&gt;"15",LEFT(M4130,2)&lt;&gt;"33"))),"x","")</f>
        <v/>
      </c>
      <c r="V4130" s="525" t="str">
        <f>IF(AND(OR(LEFT(TH!L4130,2)="15",LEFT(TH!M4130,2)="15"),'152-CT'!$J$8=TH!F4130),"x","")</f>
        <v/>
      </c>
      <c r="W4130" s="525" t="str">
        <f>IF(AND(OR(LEFT(TH!L4130,2)="15",LEFT(TH!M4130,2)="15"),TK!$E$7=TH!F4130),"x","")</f>
        <v/>
      </c>
      <c r="X4130" s="525" t="str">
        <f>IF(AND('341-CT'!$E$9=H4130,OR(LEFT(L4130,3)=$X$7,LEFT(M4130,3)=$X$7)),"x","")</f>
        <v/>
      </c>
      <c r="Y4130" s="525" t="str">
        <f>IF(OR(TH!L4130=TH!$Y$7,M4130=TH!$Y$7),"x","")</f>
        <v/>
      </c>
      <c r="Z4130" s="525" t="str">
        <f>IF(AND(B4130&lt;=NKC!$N$8,B4130&gt;=NKC!$M$8),"x","")</f>
        <v/>
      </c>
      <c r="AA4130" s="535">
        <v>3</v>
      </c>
      <c r="AB4130" s="536"/>
      <c r="AC4130" s="536" t="str">
        <f>VLOOKUP(F4130,NXT!$B$12:$B$686,1,0)</f>
        <v>Thùng 183x93x58</v>
      </c>
    </row>
    <row r="4131" spans="1:29" s="503" customFormat="1" ht="15.75" customHeight="1">
      <c r="A4131" s="517" t="str">
        <f>IF(B4131&lt;&gt;"",IF(AND(B4131&gt;=_TM1,B4131&lt;=_TM2,OR(TH!L4131="1111",TH!M4131="1111")),TH!D4131,""),"")</f>
        <v/>
      </c>
      <c r="B4131" s="531">
        <f t="shared" si="509"/>
        <v>9</v>
      </c>
      <c r="C4131" s="315">
        <f t="shared" si="510"/>
        <v>42983</v>
      </c>
      <c r="D4131" s="315" t="s">
        <v>1180</v>
      </c>
      <c r="E4131" s="315">
        <v>42983</v>
      </c>
      <c r="F4131" s="250" t="s">
        <v>1638</v>
      </c>
      <c r="G4131" s="314" t="s">
        <v>1614</v>
      </c>
      <c r="H4131" s="248" t="s">
        <v>1612</v>
      </c>
      <c r="I4131" s="307">
        <v>24</v>
      </c>
      <c r="J4131" s="307">
        <v>50396</v>
      </c>
      <c r="K4131" s="532">
        <f t="shared" si="512"/>
        <v>1209504</v>
      </c>
      <c r="L4131" s="534" t="s">
        <v>292</v>
      </c>
      <c r="M4131" s="534" t="s">
        <v>8</v>
      </c>
      <c r="N4131" s="525" t="str">
        <f>IF(AND('331-CT'!$E$7=TH!H4131,OR(L4131="331",M4131="331")),"331",IF(AND(OR(L4131="131",M4131="131"),H4131='131-CT'!$E$7),"131",""))</f>
        <v/>
      </c>
      <c r="O4131" s="525" t="str">
        <f>IF(AND($B4131&gt;='111'!$N$11,$B4131&lt;='111'!$O$11,OR($L4131=$O$7,$M4131=$O$7)),"x","")</f>
        <v/>
      </c>
      <c r="P4131" s="525" t="str">
        <f>IF(AND($L4131=$O$7,$B4131&lt;'111'!$N$11),"x","")</f>
        <v/>
      </c>
      <c r="Q4131" s="525" t="str">
        <f>IF(AND($M4131=$O$7,$B4131&lt;'111'!$N$11),"x","")</f>
        <v/>
      </c>
      <c r="R4131" s="525" t="str">
        <f>IF(ISERROR(FIND('112'!$M$9,G4131,1)),"",IF((AND(FIND('112'!$M$9,G4131,1)&gt;=1,$B4131&gt;='112'!$N$8,$B4131&lt;='112'!$O$8,OR($L4131='112'!$I$6,$M4131='112'!$I$6))),"x",""))</f>
        <v/>
      </c>
      <c r="S4131" s="525" t="str">
        <f>IF(ISERROR(FIND('112'!$M$9,G4131,1)),"",IF((AND(LEFT(G4131,2)=LEFT('112'!$M$9,2),B4131&lt;'112'!$N$8,$L4131='112'!$I$6)),"x",""))</f>
        <v/>
      </c>
      <c r="T4131" s="525" t="str">
        <f>IF(ISERROR(FIND('112'!$M$9,G4131,1)),"",IF((AND(RIGHT(G4131,2)=RIGHT('112'!$M$9,2),B4131&lt;'112'!$N$8,$M4131='112'!$I$6)),"x",""))</f>
        <v/>
      </c>
      <c r="U4131" s="525" t="str">
        <f>IF(AND(B4131&gt;='IN-NX'!$P$3,B4131&lt;='IN-NX'!$Q$3,'IN-NX'!$D$7=D4131,OR(LEFT(L4131,2)="15",AND(LEFT(M4131,2)&lt;&gt;"15",LEFT(M4131,2)&lt;&gt;"33"))),"x","")</f>
        <v/>
      </c>
      <c r="V4131" s="525" t="str">
        <f>IF(AND(OR(LEFT(TH!L4131,2)="15",LEFT(TH!M4131,2)="15"),'152-CT'!$J$8=TH!F4131),"x","")</f>
        <v/>
      </c>
      <c r="W4131" s="525" t="str">
        <f>IF(AND(OR(LEFT(TH!L4131,2)="15",LEFT(TH!M4131,2)="15"),TK!$E$7=TH!F4131),"x","")</f>
        <v/>
      </c>
      <c r="X4131" s="525" t="str">
        <f>IF(AND('341-CT'!$E$9=H4131,OR(LEFT(L4131,3)=$X$7,LEFT(M4131,3)=$X$7)),"x","")</f>
        <v/>
      </c>
      <c r="Y4131" s="525" t="str">
        <f>IF(OR(TH!L4131=TH!$Y$7,M4131=TH!$Y$7),"x","")</f>
        <v/>
      </c>
      <c r="Z4131" s="525" t="str">
        <f>IF(AND(B4131&lt;=NKC!$N$8,B4131&gt;=NKC!$M$8),"x","")</f>
        <v/>
      </c>
      <c r="AA4131" s="535">
        <v>3</v>
      </c>
      <c r="AB4131" s="536"/>
      <c r="AC4131" s="536" t="str">
        <f>VLOOKUP(F4131,NXT!$B$12:$B$686,1,0)</f>
        <v>Thùng 51x51x60</v>
      </c>
    </row>
    <row r="4132" spans="1:29" s="503" customFormat="1" ht="15.75" customHeight="1">
      <c r="A4132" s="517" t="str">
        <f>IF(B4132&lt;&gt;"",IF(AND(B4132&gt;=_TM1,B4132&lt;=_TM2,OR(TH!L4132="1111",TH!M4132="1111")),TH!D4132,""),"")</f>
        <v/>
      </c>
      <c r="B4132" s="531">
        <f t="shared" si="509"/>
        <v>9</v>
      </c>
      <c r="C4132" s="315">
        <f t="shared" si="510"/>
        <v>42983</v>
      </c>
      <c r="D4132" s="315" t="s">
        <v>1180</v>
      </c>
      <c r="E4132" s="315">
        <v>42983</v>
      </c>
      <c r="F4132" s="250" t="s">
        <v>1639</v>
      </c>
      <c r="G4132" s="314" t="s">
        <v>1614</v>
      </c>
      <c r="H4132" s="248" t="s">
        <v>1612</v>
      </c>
      <c r="I4132" s="307">
        <v>14</v>
      </c>
      <c r="J4132" s="307">
        <v>56000</v>
      </c>
      <c r="K4132" s="532">
        <f t="shared" si="512"/>
        <v>784000</v>
      </c>
      <c r="L4132" s="534" t="s">
        <v>292</v>
      </c>
      <c r="M4132" s="534" t="s">
        <v>8</v>
      </c>
      <c r="N4132" s="525" t="str">
        <f>IF(AND('331-CT'!$E$7=TH!H4132,OR(L4132="331",M4132="331")),"331",IF(AND(OR(L4132="131",M4132="131"),H4132='131-CT'!$E$7),"131",""))</f>
        <v/>
      </c>
      <c r="O4132" s="525" t="str">
        <f>IF(AND($B4132&gt;='111'!$N$11,$B4132&lt;='111'!$O$11,OR($L4132=$O$7,$M4132=$O$7)),"x","")</f>
        <v/>
      </c>
      <c r="P4132" s="525" t="str">
        <f>IF(AND($L4132=$O$7,$B4132&lt;'111'!$N$11),"x","")</f>
        <v/>
      </c>
      <c r="Q4132" s="525" t="str">
        <f>IF(AND($M4132=$O$7,$B4132&lt;'111'!$N$11),"x","")</f>
        <v/>
      </c>
      <c r="R4132" s="525" t="str">
        <f>IF(ISERROR(FIND('112'!$M$9,G4132,1)),"",IF((AND(FIND('112'!$M$9,G4132,1)&gt;=1,$B4132&gt;='112'!$N$8,$B4132&lt;='112'!$O$8,OR($L4132='112'!$I$6,$M4132='112'!$I$6))),"x",""))</f>
        <v/>
      </c>
      <c r="S4132" s="525" t="str">
        <f>IF(ISERROR(FIND('112'!$M$9,G4132,1)),"",IF((AND(LEFT(G4132,2)=LEFT('112'!$M$9,2),B4132&lt;'112'!$N$8,$L4132='112'!$I$6)),"x",""))</f>
        <v/>
      </c>
      <c r="T4132" s="525" t="str">
        <f>IF(ISERROR(FIND('112'!$M$9,G4132,1)),"",IF((AND(RIGHT(G4132,2)=RIGHT('112'!$M$9,2),B4132&lt;'112'!$N$8,$M4132='112'!$I$6)),"x",""))</f>
        <v/>
      </c>
      <c r="U4132" s="525" t="str">
        <f>IF(AND(B4132&gt;='IN-NX'!$P$3,B4132&lt;='IN-NX'!$Q$3,'IN-NX'!$D$7=D4132,OR(LEFT(L4132,2)="15",AND(LEFT(M4132,2)&lt;&gt;"15",LEFT(M4132,2)&lt;&gt;"33"))),"x","")</f>
        <v/>
      </c>
      <c r="V4132" s="525" t="str">
        <f>IF(AND(OR(LEFT(TH!L4132,2)="15",LEFT(TH!M4132,2)="15"),'152-CT'!$J$8=TH!F4132),"x","")</f>
        <v/>
      </c>
      <c r="W4132" s="525" t="str">
        <f>IF(AND(OR(LEFT(TH!L4132,2)="15",LEFT(TH!M4132,2)="15"),TK!$E$7=TH!F4132),"x","")</f>
        <v/>
      </c>
      <c r="X4132" s="525" t="str">
        <f>IF(AND('341-CT'!$E$9=H4132,OR(LEFT(L4132,3)=$X$7,LEFT(M4132,3)=$X$7)),"x","")</f>
        <v/>
      </c>
      <c r="Y4132" s="525" t="str">
        <f>IF(OR(TH!L4132=TH!$Y$7,M4132=TH!$Y$7),"x","")</f>
        <v/>
      </c>
      <c r="Z4132" s="525" t="str">
        <f>IF(AND(B4132&lt;=NKC!$N$8,B4132&gt;=NKC!$M$8),"x","")</f>
        <v/>
      </c>
      <c r="AA4132" s="535">
        <v>3</v>
      </c>
      <c r="AB4132" s="536"/>
      <c r="AC4132" s="536" t="str">
        <f>VLOOKUP(F4132,NXT!$B$12:$B$686,1,0)</f>
        <v>Thùng 63x38x87</v>
      </c>
    </row>
    <row r="4133" spans="1:29" s="503" customFormat="1" ht="15.75" customHeight="1">
      <c r="A4133" s="517" t="str">
        <f>IF(B4133&lt;&gt;"",IF(AND(B4133&gt;=_TM1,B4133&lt;=_TM2,OR(TH!L4133="1111",TH!M4133="1111")),TH!D4133,""),"")</f>
        <v/>
      </c>
      <c r="B4133" s="531">
        <f t="shared" ref="B4133:B4140" si="513">IF(C4133&lt;&gt;"",MONTH(C4133),"")</f>
        <v>9</v>
      </c>
      <c r="C4133" s="315">
        <f t="shared" ref="C4133:C4140" si="514">E4133</f>
        <v>42983</v>
      </c>
      <c r="D4133" s="315" t="s">
        <v>1180</v>
      </c>
      <c r="E4133" s="315">
        <v>42983</v>
      </c>
      <c r="F4133" s="250" t="s">
        <v>1640</v>
      </c>
      <c r="G4133" s="314" t="s">
        <v>1614</v>
      </c>
      <c r="H4133" s="248" t="s">
        <v>1612</v>
      </c>
      <c r="I4133" s="307">
        <v>5</v>
      </c>
      <c r="J4133" s="307">
        <v>166493</v>
      </c>
      <c r="K4133" s="532">
        <f t="shared" ref="K4133:K4140" si="515">ROUND(I4133*J4133,0)</f>
        <v>832465</v>
      </c>
      <c r="L4133" s="534" t="s">
        <v>292</v>
      </c>
      <c r="M4133" s="534" t="s">
        <v>8</v>
      </c>
      <c r="N4133" s="525" t="str">
        <f>IF(AND('331-CT'!$E$7=TH!H4133,OR(L4133="331",M4133="331")),"331",IF(AND(OR(L4133="131",M4133="131"),H4133='131-CT'!$E$7),"131",""))</f>
        <v/>
      </c>
      <c r="O4133" s="525" t="str">
        <f>IF(AND($B4133&gt;='111'!$N$11,$B4133&lt;='111'!$O$11,OR($L4133=$O$7,$M4133=$O$7)),"x","")</f>
        <v/>
      </c>
      <c r="P4133" s="525" t="str">
        <f>IF(AND($L4133=$O$7,$B4133&lt;'111'!$N$11),"x","")</f>
        <v/>
      </c>
      <c r="Q4133" s="525" t="str">
        <f>IF(AND($M4133=$O$7,$B4133&lt;'111'!$N$11),"x","")</f>
        <v/>
      </c>
      <c r="R4133" s="525" t="str">
        <f>IF(ISERROR(FIND('112'!$M$9,G4133,1)),"",IF((AND(FIND('112'!$M$9,G4133,1)&gt;=1,$B4133&gt;='112'!$N$8,$B4133&lt;='112'!$O$8,OR($L4133='112'!$I$6,$M4133='112'!$I$6))),"x",""))</f>
        <v/>
      </c>
      <c r="S4133" s="525" t="str">
        <f>IF(ISERROR(FIND('112'!$M$9,G4133,1)),"",IF((AND(LEFT(G4133,2)=LEFT('112'!$M$9,2),B4133&lt;'112'!$N$8,$L4133='112'!$I$6)),"x",""))</f>
        <v/>
      </c>
      <c r="T4133" s="525" t="str">
        <f>IF(ISERROR(FIND('112'!$M$9,G4133,1)),"",IF((AND(RIGHT(G4133,2)=RIGHT('112'!$M$9,2),B4133&lt;'112'!$N$8,$M4133='112'!$I$6)),"x",""))</f>
        <v/>
      </c>
      <c r="U4133" s="525" t="str">
        <f>IF(AND(B4133&gt;='IN-NX'!$P$3,B4133&lt;='IN-NX'!$Q$3,'IN-NX'!$D$7=D4133,OR(LEFT(L4133,2)="15",AND(LEFT(M4133,2)&lt;&gt;"15",LEFT(M4133,2)&lt;&gt;"33"))),"x","")</f>
        <v/>
      </c>
      <c r="V4133" s="525" t="str">
        <f>IF(AND(OR(LEFT(TH!L4133,2)="15",LEFT(TH!M4133,2)="15"),'152-CT'!$J$8=TH!F4133),"x","")</f>
        <v/>
      </c>
      <c r="W4133" s="525" t="str">
        <f>IF(AND(OR(LEFT(TH!L4133,2)="15",LEFT(TH!M4133,2)="15"),TK!$E$7=TH!F4133),"x","")</f>
        <v/>
      </c>
      <c r="X4133" s="525" t="str">
        <f>IF(AND('341-CT'!$E$9=H4133,OR(LEFT(L4133,3)=$X$7,LEFT(M4133,3)=$X$7)),"x","")</f>
        <v/>
      </c>
      <c r="Y4133" s="525" t="str">
        <f>IF(OR(TH!L4133=TH!$Y$7,M4133=TH!$Y$7),"x","")</f>
        <v/>
      </c>
      <c r="Z4133" s="525" t="str">
        <f>IF(AND(B4133&lt;=NKC!$N$8,B4133&gt;=NKC!$M$8),"x","")</f>
        <v/>
      </c>
      <c r="AA4133" s="535">
        <v>3</v>
      </c>
      <c r="AB4133" s="536"/>
      <c r="AC4133" s="536" t="str">
        <f>VLOOKUP(F4133,NXT!$B$12:$B$686,1,0)</f>
        <v>Thùng 213x89x33</v>
      </c>
    </row>
    <row r="4134" spans="1:29" s="503" customFormat="1" ht="15.75" customHeight="1">
      <c r="A4134" s="517" t="str">
        <f>IF(B4134&lt;&gt;"",IF(AND(B4134&gt;=_TM1,B4134&lt;=_TM2,OR(TH!L4134="1111",TH!M4134="1111")),TH!D4134,""),"")</f>
        <v/>
      </c>
      <c r="B4134" s="531">
        <f t="shared" si="513"/>
        <v>9</v>
      </c>
      <c r="C4134" s="315">
        <f t="shared" si="514"/>
        <v>42983</v>
      </c>
      <c r="D4134" s="315" t="s">
        <v>1180</v>
      </c>
      <c r="E4134" s="315">
        <v>42983</v>
      </c>
      <c r="F4134" s="250" t="s">
        <v>1641</v>
      </c>
      <c r="G4134" s="314" t="s">
        <v>1614</v>
      </c>
      <c r="H4134" s="248" t="s">
        <v>1612</v>
      </c>
      <c r="I4134" s="307">
        <v>5</v>
      </c>
      <c r="J4134" s="307">
        <v>150068</v>
      </c>
      <c r="K4134" s="532">
        <f t="shared" si="515"/>
        <v>750340</v>
      </c>
      <c r="L4134" s="534" t="s">
        <v>292</v>
      </c>
      <c r="M4134" s="534" t="s">
        <v>8</v>
      </c>
      <c r="N4134" s="525" t="str">
        <f>IF(AND('331-CT'!$E$7=TH!H4134,OR(L4134="331",M4134="331")),"331",IF(AND(OR(L4134="131",M4134="131"),H4134='131-CT'!$E$7),"131",""))</f>
        <v/>
      </c>
      <c r="O4134" s="525" t="str">
        <f>IF(AND($B4134&gt;='111'!$N$11,$B4134&lt;='111'!$O$11,OR($L4134=$O$7,$M4134=$O$7)),"x","")</f>
        <v/>
      </c>
      <c r="P4134" s="525" t="str">
        <f>IF(AND($L4134=$O$7,$B4134&lt;'111'!$N$11),"x","")</f>
        <v/>
      </c>
      <c r="Q4134" s="525" t="str">
        <f>IF(AND($M4134=$O$7,$B4134&lt;'111'!$N$11),"x","")</f>
        <v/>
      </c>
      <c r="R4134" s="525" t="str">
        <f>IF(ISERROR(FIND('112'!$M$9,G4134,1)),"",IF((AND(FIND('112'!$M$9,G4134,1)&gt;=1,$B4134&gt;='112'!$N$8,$B4134&lt;='112'!$O$8,OR($L4134='112'!$I$6,$M4134='112'!$I$6))),"x",""))</f>
        <v/>
      </c>
      <c r="S4134" s="525" t="str">
        <f>IF(ISERROR(FIND('112'!$M$9,G4134,1)),"",IF((AND(LEFT(G4134,2)=LEFT('112'!$M$9,2),B4134&lt;'112'!$N$8,$L4134='112'!$I$6)),"x",""))</f>
        <v/>
      </c>
      <c r="T4134" s="525" t="str">
        <f>IF(ISERROR(FIND('112'!$M$9,G4134,1)),"",IF((AND(RIGHT(G4134,2)=RIGHT('112'!$M$9,2),B4134&lt;'112'!$N$8,$M4134='112'!$I$6)),"x",""))</f>
        <v/>
      </c>
      <c r="U4134" s="525" t="str">
        <f>IF(AND(B4134&gt;='IN-NX'!$P$3,B4134&lt;='IN-NX'!$Q$3,'IN-NX'!$D$7=D4134,OR(LEFT(L4134,2)="15",AND(LEFT(M4134,2)&lt;&gt;"15",LEFT(M4134,2)&lt;&gt;"33"))),"x","")</f>
        <v/>
      </c>
      <c r="V4134" s="525" t="str">
        <f>IF(AND(OR(LEFT(TH!L4134,2)="15",LEFT(TH!M4134,2)="15"),'152-CT'!$J$8=TH!F4134),"x","")</f>
        <v/>
      </c>
      <c r="W4134" s="525" t="str">
        <f>IF(AND(OR(LEFT(TH!L4134,2)="15",LEFT(TH!M4134,2)="15"),TK!$E$7=TH!F4134),"x","")</f>
        <v/>
      </c>
      <c r="X4134" s="525" t="str">
        <f>IF(AND('341-CT'!$E$9=H4134,OR(LEFT(L4134,3)=$X$7,LEFT(M4134,3)=$X$7)),"x","")</f>
        <v/>
      </c>
      <c r="Y4134" s="525" t="str">
        <f>IF(OR(TH!L4134=TH!$Y$7,M4134=TH!$Y$7),"x","")</f>
        <v/>
      </c>
      <c r="Z4134" s="525" t="str">
        <f>IF(AND(B4134&lt;=NKC!$N$8,B4134&gt;=NKC!$M$8),"x","")</f>
        <v/>
      </c>
      <c r="AA4134" s="535">
        <v>3</v>
      </c>
      <c r="AB4134" s="536"/>
      <c r="AC4134" s="536" t="str">
        <f>VLOOKUP(F4134,NXT!$B$12:$B$686,1,0)</f>
        <v>Thùng 140x89x56</v>
      </c>
    </row>
    <row r="4135" spans="1:29" s="503" customFormat="1" ht="15.75" customHeight="1">
      <c r="A4135" s="517" t="str">
        <f>IF(B4135&lt;&gt;"",IF(AND(B4135&gt;=_TM1,B4135&lt;=_TM2,OR(TH!L4135="1111",TH!M4135="1111")),TH!D4135,""),"")</f>
        <v/>
      </c>
      <c r="B4135" s="531">
        <f t="shared" si="513"/>
        <v>9</v>
      </c>
      <c r="C4135" s="315">
        <f t="shared" si="514"/>
        <v>42983</v>
      </c>
      <c r="D4135" s="315" t="s">
        <v>1180</v>
      </c>
      <c r="E4135" s="315">
        <v>42983</v>
      </c>
      <c r="F4135" s="250" t="s">
        <v>1642</v>
      </c>
      <c r="G4135" s="314" t="s">
        <v>1614</v>
      </c>
      <c r="H4135" s="248" t="s">
        <v>1612</v>
      </c>
      <c r="I4135" s="307">
        <v>12</v>
      </c>
      <c r="J4135" s="307">
        <v>99076</v>
      </c>
      <c r="K4135" s="532">
        <f t="shared" si="515"/>
        <v>1188912</v>
      </c>
      <c r="L4135" s="534" t="s">
        <v>292</v>
      </c>
      <c r="M4135" s="534" t="s">
        <v>8</v>
      </c>
      <c r="N4135" s="525" t="str">
        <f>IF(AND('331-CT'!$E$7=TH!H4135,OR(L4135="331",M4135="331")),"331",IF(AND(OR(L4135="131",M4135="131"),H4135='131-CT'!$E$7),"131",""))</f>
        <v/>
      </c>
      <c r="O4135" s="525" t="str">
        <f>IF(AND($B4135&gt;='111'!$N$11,$B4135&lt;='111'!$O$11,OR($L4135=$O$7,$M4135=$O$7)),"x","")</f>
        <v/>
      </c>
      <c r="P4135" s="525" t="str">
        <f>IF(AND($L4135=$O$7,$B4135&lt;'111'!$N$11),"x","")</f>
        <v/>
      </c>
      <c r="Q4135" s="525" t="str">
        <f>IF(AND($M4135=$O$7,$B4135&lt;'111'!$N$11),"x","")</f>
        <v/>
      </c>
      <c r="R4135" s="525" t="str">
        <f>IF(ISERROR(FIND('112'!$M$9,G4135,1)),"",IF((AND(FIND('112'!$M$9,G4135,1)&gt;=1,$B4135&gt;='112'!$N$8,$B4135&lt;='112'!$O$8,OR($L4135='112'!$I$6,$M4135='112'!$I$6))),"x",""))</f>
        <v/>
      </c>
      <c r="S4135" s="525" t="str">
        <f>IF(ISERROR(FIND('112'!$M$9,G4135,1)),"",IF((AND(LEFT(G4135,2)=LEFT('112'!$M$9,2),B4135&lt;'112'!$N$8,$L4135='112'!$I$6)),"x",""))</f>
        <v/>
      </c>
      <c r="T4135" s="525" t="str">
        <f>IF(ISERROR(FIND('112'!$M$9,G4135,1)),"",IF((AND(RIGHT(G4135,2)=RIGHT('112'!$M$9,2),B4135&lt;'112'!$N$8,$M4135='112'!$I$6)),"x",""))</f>
        <v/>
      </c>
      <c r="U4135" s="525" t="str">
        <f>IF(AND(B4135&gt;='IN-NX'!$P$3,B4135&lt;='IN-NX'!$Q$3,'IN-NX'!$D$7=D4135,OR(LEFT(L4135,2)="15",AND(LEFT(M4135,2)&lt;&gt;"15",LEFT(M4135,2)&lt;&gt;"33"))),"x","")</f>
        <v/>
      </c>
      <c r="V4135" s="525" t="str">
        <f>IF(AND(OR(LEFT(TH!L4135,2)="15",LEFT(TH!M4135,2)="15"),'152-CT'!$J$8=TH!F4135),"x","")</f>
        <v/>
      </c>
      <c r="W4135" s="525" t="str">
        <f>IF(AND(OR(LEFT(TH!L4135,2)="15",LEFT(TH!M4135,2)="15"),TK!$E$7=TH!F4135),"x","")</f>
        <v/>
      </c>
      <c r="X4135" s="525" t="str">
        <f>IF(AND('341-CT'!$E$9=H4135,OR(LEFT(L4135,3)=$X$7,LEFT(M4135,3)=$X$7)),"x","")</f>
        <v/>
      </c>
      <c r="Y4135" s="525" t="str">
        <f>IF(OR(TH!L4135=TH!$Y$7,M4135=TH!$Y$7),"x","")</f>
        <v/>
      </c>
      <c r="Z4135" s="525" t="str">
        <f>IF(AND(B4135&lt;=NKC!$N$8,B4135&gt;=NKC!$M$8),"x","")</f>
        <v/>
      </c>
      <c r="AA4135" s="535">
        <v>3</v>
      </c>
      <c r="AB4135" s="536"/>
      <c r="AC4135" s="536" t="str">
        <f>VLOOKUP(F4135,NXT!$B$12:$B$686,1,0)</f>
        <v>Thùng 163x48x60</v>
      </c>
    </row>
    <row r="4136" spans="1:29" s="503" customFormat="1" ht="15.75" customHeight="1">
      <c r="A4136" s="517" t="str">
        <f>IF(B4136&lt;&gt;"",IF(AND(B4136&gt;=_TM1,B4136&lt;=_TM2,OR(TH!L4136="1111",TH!M4136="1111")),TH!D4136,""),"")</f>
        <v/>
      </c>
      <c r="B4136" s="531">
        <f t="shared" si="513"/>
        <v>9</v>
      </c>
      <c r="C4136" s="315">
        <f t="shared" si="514"/>
        <v>42983</v>
      </c>
      <c r="D4136" s="315" t="s">
        <v>1180</v>
      </c>
      <c r="E4136" s="315">
        <v>42983</v>
      </c>
      <c r="F4136" s="250" t="s">
        <v>1643</v>
      </c>
      <c r="G4136" s="314" t="s">
        <v>1614</v>
      </c>
      <c r="H4136" s="248" t="s">
        <v>1612</v>
      </c>
      <c r="I4136" s="307">
        <v>7</v>
      </c>
      <c r="J4136" s="307">
        <v>52601</v>
      </c>
      <c r="K4136" s="532">
        <f t="shared" si="515"/>
        <v>368207</v>
      </c>
      <c r="L4136" s="534" t="s">
        <v>292</v>
      </c>
      <c r="M4136" s="534" t="s">
        <v>8</v>
      </c>
      <c r="N4136" s="525" t="str">
        <f>IF(AND('331-CT'!$E$7=TH!H4136,OR(L4136="331",M4136="331")),"331",IF(AND(OR(L4136="131",M4136="131"),H4136='131-CT'!$E$7),"131",""))</f>
        <v/>
      </c>
      <c r="O4136" s="525" t="str">
        <f>IF(AND($B4136&gt;='111'!$N$11,$B4136&lt;='111'!$O$11,OR($L4136=$O$7,$M4136=$O$7)),"x","")</f>
        <v/>
      </c>
      <c r="P4136" s="525" t="str">
        <f>IF(AND($L4136=$O$7,$B4136&lt;'111'!$N$11),"x","")</f>
        <v/>
      </c>
      <c r="Q4136" s="525" t="str">
        <f>IF(AND($M4136=$O$7,$B4136&lt;'111'!$N$11),"x","")</f>
        <v/>
      </c>
      <c r="R4136" s="525" t="str">
        <f>IF(ISERROR(FIND('112'!$M$9,G4136,1)),"",IF((AND(FIND('112'!$M$9,G4136,1)&gt;=1,$B4136&gt;='112'!$N$8,$B4136&lt;='112'!$O$8,OR($L4136='112'!$I$6,$M4136='112'!$I$6))),"x",""))</f>
        <v/>
      </c>
      <c r="S4136" s="525" t="str">
        <f>IF(ISERROR(FIND('112'!$M$9,G4136,1)),"",IF((AND(LEFT(G4136,2)=LEFT('112'!$M$9,2),B4136&lt;'112'!$N$8,$L4136='112'!$I$6)),"x",""))</f>
        <v/>
      </c>
      <c r="T4136" s="525" t="str">
        <f>IF(ISERROR(FIND('112'!$M$9,G4136,1)),"",IF((AND(RIGHT(G4136,2)=RIGHT('112'!$M$9,2),B4136&lt;'112'!$N$8,$M4136='112'!$I$6)),"x",""))</f>
        <v/>
      </c>
      <c r="U4136" s="525" t="str">
        <f>IF(AND(B4136&gt;='IN-NX'!$P$3,B4136&lt;='IN-NX'!$Q$3,'IN-NX'!$D$7=D4136,OR(LEFT(L4136,2)="15",AND(LEFT(M4136,2)&lt;&gt;"15",LEFT(M4136,2)&lt;&gt;"33"))),"x","")</f>
        <v/>
      </c>
      <c r="V4136" s="525" t="str">
        <f>IF(AND(OR(LEFT(TH!L4136,2)="15",LEFT(TH!M4136,2)="15"),'152-CT'!$J$8=TH!F4136),"x","")</f>
        <v/>
      </c>
      <c r="W4136" s="525" t="str">
        <f>IF(AND(OR(LEFT(TH!L4136,2)="15",LEFT(TH!M4136,2)="15"),TK!$E$7=TH!F4136),"x","")</f>
        <v/>
      </c>
      <c r="X4136" s="525" t="str">
        <f>IF(AND('341-CT'!$E$9=H4136,OR(LEFT(L4136,3)=$X$7,LEFT(M4136,3)=$X$7)),"x","")</f>
        <v/>
      </c>
      <c r="Y4136" s="525" t="str">
        <f>IF(OR(TH!L4136=TH!$Y$7,M4136=TH!$Y$7),"x","")</f>
        <v/>
      </c>
      <c r="Z4136" s="525" t="str">
        <f>IF(AND(B4136&lt;=NKC!$N$8,B4136&gt;=NKC!$M$8),"x","")</f>
        <v/>
      </c>
      <c r="AA4136" s="535">
        <v>3</v>
      </c>
      <c r="AB4136" s="536"/>
      <c r="AC4136" s="536" t="str">
        <f>VLOOKUP(F4136,NXT!$B$12:$B$686,1,0)</f>
        <v>Thùng 73x43x54</v>
      </c>
    </row>
    <row r="4137" spans="1:29" s="503" customFormat="1" ht="15.75" customHeight="1">
      <c r="A4137" s="517" t="str">
        <f>IF(B4137&lt;&gt;"",IF(AND(B4137&gt;=_TM1,B4137&lt;=_TM2,OR(TH!L4137="1111",TH!M4137="1111")),TH!D4137,""),"")</f>
        <v/>
      </c>
      <c r="B4137" s="531">
        <f t="shared" si="513"/>
        <v>9</v>
      </c>
      <c r="C4137" s="315">
        <f t="shared" si="514"/>
        <v>42983</v>
      </c>
      <c r="D4137" s="315" t="s">
        <v>1180</v>
      </c>
      <c r="E4137" s="315">
        <v>42983</v>
      </c>
      <c r="F4137" s="250" t="s">
        <v>1644</v>
      </c>
      <c r="G4137" s="314" t="s">
        <v>1614</v>
      </c>
      <c r="H4137" s="248" t="s">
        <v>1612</v>
      </c>
      <c r="I4137" s="307">
        <v>24</v>
      </c>
      <c r="J4137" s="307">
        <v>44095</v>
      </c>
      <c r="K4137" s="532">
        <f t="shared" si="515"/>
        <v>1058280</v>
      </c>
      <c r="L4137" s="534" t="s">
        <v>292</v>
      </c>
      <c r="M4137" s="534" t="s">
        <v>8</v>
      </c>
      <c r="N4137" s="525" t="str">
        <f>IF(AND('331-CT'!$E$7=TH!H4137,OR(L4137="331",M4137="331")),"331",IF(AND(OR(L4137="131",M4137="131"),H4137='131-CT'!$E$7),"131",""))</f>
        <v/>
      </c>
      <c r="O4137" s="525" t="str">
        <f>IF(AND($B4137&gt;='111'!$N$11,$B4137&lt;='111'!$O$11,OR($L4137=$O$7,$M4137=$O$7)),"x","")</f>
        <v/>
      </c>
      <c r="P4137" s="525" t="str">
        <f>IF(AND($L4137=$O$7,$B4137&lt;'111'!$N$11),"x","")</f>
        <v/>
      </c>
      <c r="Q4137" s="525" t="str">
        <f>IF(AND($M4137=$O$7,$B4137&lt;'111'!$N$11),"x","")</f>
        <v/>
      </c>
      <c r="R4137" s="525" t="str">
        <f>IF(ISERROR(FIND('112'!$M$9,G4137,1)),"",IF((AND(FIND('112'!$M$9,G4137,1)&gt;=1,$B4137&gt;='112'!$N$8,$B4137&lt;='112'!$O$8,OR($L4137='112'!$I$6,$M4137='112'!$I$6))),"x",""))</f>
        <v/>
      </c>
      <c r="S4137" s="525" t="str">
        <f>IF(ISERROR(FIND('112'!$M$9,G4137,1)),"",IF((AND(LEFT(G4137,2)=LEFT('112'!$M$9,2),B4137&lt;'112'!$N$8,$L4137='112'!$I$6)),"x",""))</f>
        <v/>
      </c>
      <c r="T4137" s="525" t="str">
        <f>IF(ISERROR(FIND('112'!$M$9,G4137,1)),"",IF((AND(RIGHT(G4137,2)=RIGHT('112'!$M$9,2),B4137&lt;'112'!$N$8,$M4137='112'!$I$6)),"x",""))</f>
        <v/>
      </c>
      <c r="U4137" s="525" t="str">
        <f>IF(AND(B4137&gt;='IN-NX'!$P$3,B4137&lt;='IN-NX'!$Q$3,'IN-NX'!$D$7=D4137,OR(LEFT(L4137,2)="15",AND(LEFT(M4137,2)&lt;&gt;"15",LEFT(M4137,2)&lt;&gt;"33"))),"x","")</f>
        <v/>
      </c>
      <c r="V4137" s="525" t="str">
        <f>IF(AND(OR(LEFT(TH!L4137,2)="15",LEFT(TH!M4137,2)="15"),'152-CT'!$J$8=TH!F4137),"x","")</f>
        <v/>
      </c>
      <c r="W4137" s="525" t="str">
        <f>IF(AND(OR(LEFT(TH!L4137,2)="15",LEFT(TH!M4137,2)="15"),TK!$E$7=TH!F4137),"x","")</f>
        <v/>
      </c>
      <c r="X4137" s="525" t="str">
        <f>IF(AND('341-CT'!$E$9=H4137,OR(LEFT(L4137,3)=$X$7,LEFT(M4137,3)=$X$7)),"x","")</f>
        <v/>
      </c>
      <c r="Y4137" s="525" t="str">
        <f>IF(OR(TH!L4137=TH!$Y$7,M4137=TH!$Y$7),"x","")</f>
        <v/>
      </c>
      <c r="Z4137" s="525" t="str">
        <f>IF(AND(B4137&lt;=NKC!$N$8,B4137&gt;=NKC!$M$8),"x","")</f>
        <v/>
      </c>
      <c r="AA4137" s="535">
        <v>3</v>
      </c>
      <c r="AB4137" s="536"/>
      <c r="AC4137" s="536" t="str">
        <f>VLOOKUP(F4137,NXT!$B$12:$B$686,1,0)</f>
        <v>Thùng 66x28x79</v>
      </c>
    </row>
    <row r="4138" spans="1:29" s="503" customFormat="1" ht="15.75" customHeight="1">
      <c r="A4138" s="517" t="str">
        <f>IF(B4138&lt;&gt;"",IF(AND(B4138&gt;=_TM1,B4138&lt;=_TM2,OR(TH!L4138="1111",TH!M4138="1111")),TH!D4138,""),"")</f>
        <v/>
      </c>
      <c r="B4138" s="531">
        <f t="shared" si="513"/>
        <v>9</v>
      </c>
      <c r="C4138" s="315">
        <f t="shared" si="514"/>
        <v>42983</v>
      </c>
      <c r="D4138" s="315" t="s">
        <v>1180</v>
      </c>
      <c r="E4138" s="315">
        <v>42983</v>
      </c>
      <c r="F4138" s="250" t="s">
        <v>1645</v>
      </c>
      <c r="G4138" s="314" t="s">
        <v>1614</v>
      </c>
      <c r="H4138" s="248" t="s">
        <v>1612</v>
      </c>
      <c r="I4138" s="307">
        <v>10</v>
      </c>
      <c r="J4138" s="307">
        <v>150023</v>
      </c>
      <c r="K4138" s="532">
        <f t="shared" si="515"/>
        <v>1500230</v>
      </c>
      <c r="L4138" s="534" t="s">
        <v>292</v>
      </c>
      <c r="M4138" s="534" t="s">
        <v>8</v>
      </c>
      <c r="N4138" s="525" t="str">
        <f>IF(AND('331-CT'!$E$7=TH!H4138,OR(L4138="331",M4138="331")),"331",IF(AND(OR(L4138="131",M4138="131"),H4138='131-CT'!$E$7),"131",""))</f>
        <v/>
      </c>
      <c r="O4138" s="525" t="str">
        <f>IF(AND($B4138&gt;='111'!$N$11,$B4138&lt;='111'!$O$11,OR($L4138=$O$7,$M4138=$O$7)),"x","")</f>
        <v/>
      </c>
      <c r="P4138" s="525" t="str">
        <f>IF(AND($L4138=$O$7,$B4138&lt;'111'!$N$11),"x","")</f>
        <v/>
      </c>
      <c r="Q4138" s="525" t="str">
        <f>IF(AND($M4138=$O$7,$B4138&lt;'111'!$N$11),"x","")</f>
        <v/>
      </c>
      <c r="R4138" s="525" t="str">
        <f>IF(ISERROR(FIND('112'!$M$9,G4138,1)),"",IF((AND(FIND('112'!$M$9,G4138,1)&gt;=1,$B4138&gt;='112'!$N$8,$B4138&lt;='112'!$O$8,OR($L4138='112'!$I$6,$M4138='112'!$I$6))),"x",""))</f>
        <v/>
      </c>
      <c r="S4138" s="525" t="str">
        <f>IF(ISERROR(FIND('112'!$M$9,G4138,1)),"",IF((AND(LEFT(G4138,2)=LEFT('112'!$M$9,2),B4138&lt;'112'!$N$8,$L4138='112'!$I$6)),"x",""))</f>
        <v/>
      </c>
      <c r="T4138" s="525" t="str">
        <f>IF(ISERROR(FIND('112'!$M$9,G4138,1)),"",IF((AND(RIGHT(G4138,2)=RIGHT('112'!$M$9,2),B4138&lt;'112'!$N$8,$M4138='112'!$I$6)),"x",""))</f>
        <v/>
      </c>
      <c r="U4138" s="525" t="str">
        <f>IF(AND(B4138&gt;='IN-NX'!$P$3,B4138&lt;='IN-NX'!$Q$3,'IN-NX'!$D$7=D4138,OR(LEFT(L4138,2)="15",AND(LEFT(M4138,2)&lt;&gt;"15",LEFT(M4138,2)&lt;&gt;"33"))),"x","")</f>
        <v/>
      </c>
      <c r="V4138" s="525" t="str">
        <f>IF(AND(OR(LEFT(TH!L4138,2)="15",LEFT(TH!M4138,2)="15"),'152-CT'!$J$8=TH!F4138),"x","")</f>
        <v/>
      </c>
      <c r="W4138" s="525" t="str">
        <f>IF(AND(OR(LEFT(TH!L4138,2)="15",LEFT(TH!M4138,2)="15"),TK!$E$7=TH!F4138),"x","")</f>
        <v/>
      </c>
      <c r="X4138" s="525" t="str">
        <f>IF(AND('341-CT'!$E$9=H4138,OR(LEFT(L4138,3)=$X$7,LEFT(M4138,3)=$X$7)),"x","")</f>
        <v/>
      </c>
      <c r="Y4138" s="525" t="str">
        <f>IF(OR(TH!L4138=TH!$Y$7,M4138=TH!$Y$7),"x","")</f>
        <v/>
      </c>
      <c r="Z4138" s="525" t="str">
        <f>IF(AND(B4138&lt;=NKC!$N$8,B4138&gt;=NKC!$M$8),"x","")</f>
        <v/>
      </c>
      <c r="AA4138" s="535">
        <v>3</v>
      </c>
      <c r="AB4138" s="536"/>
      <c r="AC4138" s="536" t="str">
        <f>VLOOKUP(F4138,NXT!$B$12:$B$686,1,0)</f>
        <v>Thùng 143x93x55</v>
      </c>
    </row>
    <row r="4139" spans="1:29" s="503" customFormat="1" ht="15.75" customHeight="1">
      <c r="A4139" s="517" t="str">
        <f>IF(B4139&lt;&gt;"",IF(AND(B4139&gt;=_TM1,B4139&lt;=_TM2,OR(TH!L4139="1111",TH!M4139="1111")),TH!D4139,""),"")</f>
        <v/>
      </c>
      <c r="B4139" s="531">
        <f t="shared" si="513"/>
        <v>9</v>
      </c>
      <c r="C4139" s="315">
        <f t="shared" si="514"/>
        <v>42983</v>
      </c>
      <c r="D4139" s="315" t="s">
        <v>1180</v>
      </c>
      <c r="E4139" s="315">
        <v>42983</v>
      </c>
      <c r="F4139" s="250" t="s">
        <v>1017</v>
      </c>
      <c r="G4139" s="314" t="s">
        <v>1614</v>
      </c>
      <c r="H4139" s="248" t="s">
        <v>1612</v>
      </c>
      <c r="I4139" s="307">
        <v>8</v>
      </c>
      <c r="J4139" s="307">
        <v>126886</v>
      </c>
      <c r="K4139" s="532">
        <f t="shared" si="515"/>
        <v>1015088</v>
      </c>
      <c r="L4139" s="534" t="s">
        <v>292</v>
      </c>
      <c r="M4139" s="534" t="s">
        <v>8</v>
      </c>
      <c r="N4139" s="525" t="str">
        <f>IF(AND('331-CT'!$E$7=TH!H4139,OR(L4139="331",M4139="331")),"331",IF(AND(OR(L4139="131",M4139="131"),H4139='131-CT'!$E$7),"131",""))</f>
        <v/>
      </c>
      <c r="O4139" s="525" t="str">
        <f>IF(AND($B4139&gt;='111'!$N$11,$B4139&lt;='111'!$O$11,OR($L4139=$O$7,$M4139=$O$7)),"x","")</f>
        <v/>
      </c>
      <c r="P4139" s="525" t="str">
        <f>IF(AND($L4139=$O$7,$B4139&lt;'111'!$N$11),"x","")</f>
        <v/>
      </c>
      <c r="Q4139" s="525" t="str">
        <f>IF(AND($M4139=$O$7,$B4139&lt;'111'!$N$11),"x","")</f>
        <v/>
      </c>
      <c r="R4139" s="525" t="str">
        <f>IF(ISERROR(FIND('112'!$M$9,G4139,1)),"",IF((AND(FIND('112'!$M$9,G4139,1)&gt;=1,$B4139&gt;='112'!$N$8,$B4139&lt;='112'!$O$8,OR($L4139='112'!$I$6,$M4139='112'!$I$6))),"x",""))</f>
        <v/>
      </c>
      <c r="S4139" s="525" t="str">
        <f>IF(ISERROR(FIND('112'!$M$9,G4139,1)),"",IF((AND(LEFT(G4139,2)=LEFT('112'!$M$9,2),B4139&lt;'112'!$N$8,$L4139='112'!$I$6)),"x",""))</f>
        <v/>
      </c>
      <c r="T4139" s="525" t="str">
        <f>IF(ISERROR(FIND('112'!$M$9,G4139,1)),"",IF((AND(RIGHT(G4139,2)=RIGHT('112'!$M$9,2),B4139&lt;'112'!$N$8,$M4139='112'!$I$6)),"x",""))</f>
        <v/>
      </c>
      <c r="U4139" s="525" t="str">
        <f>IF(AND(B4139&gt;='IN-NX'!$P$3,B4139&lt;='IN-NX'!$Q$3,'IN-NX'!$D$7=D4139,OR(LEFT(L4139,2)="15",AND(LEFT(M4139,2)&lt;&gt;"15",LEFT(M4139,2)&lt;&gt;"33"))),"x","")</f>
        <v/>
      </c>
      <c r="V4139" s="525" t="str">
        <f>IF(AND(OR(LEFT(TH!L4139,2)="15",LEFT(TH!M4139,2)="15"),'152-CT'!$J$8=TH!F4139),"x","")</f>
        <v/>
      </c>
      <c r="W4139" s="525" t="str">
        <f>IF(AND(OR(LEFT(TH!L4139,2)="15",LEFT(TH!M4139,2)="15"),TK!$E$7=TH!F4139),"x","")</f>
        <v/>
      </c>
      <c r="X4139" s="525" t="str">
        <f>IF(AND('341-CT'!$E$9=H4139,OR(LEFT(L4139,3)=$X$7,LEFT(M4139,3)=$X$7)),"x","")</f>
        <v/>
      </c>
      <c r="Y4139" s="525" t="str">
        <f>IF(OR(TH!L4139=TH!$Y$7,M4139=TH!$Y$7),"x","")</f>
        <v/>
      </c>
      <c r="Z4139" s="525" t="str">
        <f>IF(AND(B4139&lt;=NKC!$N$8,B4139&gt;=NKC!$M$8),"x","")</f>
        <v/>
      </c>
      <c r="AA4139" s="535">
        <v>3</v>
      </c>
      <c r="AB4139" s="536"/>
      <c r="AC4139" s="536" t="str">
        <f>VLOOKUP(F4139,NXT!$B$12:$B$686,1,0)</f>
        <v>Thùng 135x80x50</v>
      </c>
    </row>
    <row r="4140" spans="1:29" s="503" customFormat="1" ht="15.75" customHeight="1">
      <c r="A4140" s="517" t="str">
        <f>IF(B4140&lt;&gt;"",IF(AND(B4140&gt;=_TM1,B4140&lt;=_TM2,OR(TH!L4140="1111",TH!M4140="1111")),TH!D4140,""),"")</f>
        <v/>
      </c>
      <c r="B4140" s="531">
        <f t="shared" si="513"/>
        <v>9</v>
      </c>
      <c r="C4140" s="315">
        <f t="shared" si="514"/>
        <v>42983</v>
      </c>
      <c r="D4140" s="315" t="s">
        <v>1180</v>
      </c>
      <c r="E4140" s="315">
        <v>42983</v>
      </c>
      <c r="F4140" s="250" t="s">
        <v>612</v>
      </c>
      <c r="G4140" s="314" t="s">
        <v>1614</v>
      </c>
      <c r="H4140" s="248" t="s">
        <v>1612</v>
      </c>
      <c r="I4140" s="307">
        <v>300</v>
      </c>
      <c r="J4140" s="307">
        <v>68950</v>
      </c>
      <c r="K4140" s="532">
        <f t="shared" si="515"/>
        <v>20685000</v>
      </c>
      <c r="L4140" s="534" t="s">
        <v>292</v>
      </c>
      <c r="M4140" s="534" t="s">
        <v>8</v>
      </c>
      <c r="N4140" s="525" t="str">
        <f>IF(AND('331-CT'!$E$7=TH!H4140,OR(L4140="331",M4140="331")),"331",IF(AND(OR(L4140="131",M4140="131"),H4140='131-CT'!$E$7),"131",""))</f>
        <v/>
      </c>
      <c r="O4140" s="525" t="str">
        <f>IF(AND($B4140&gt;='111'!$N$11,$B4140&lt;='111'!$O$11,OR($L4140=$O$7,$M4140=$O$7)),"x","")</f>
        <v/>
      </c>
      <c r="P4140" s="525" t="str">
        <f>IF(AND($L4140=$O$7,$B4140&lt;'111'!$N$11),"x","")</f>
        <v/>
      </c>
      <c r="Q4140" s="525" t="str">
        <f>IF(AND($M4140=$O$7,$B4140&lt;'111'!$N$11),"x","")</f>
        <v/>
      </c>
      <c r="R4140" s="525" t="str">
        <f>IF(ISERROR(FIND('112'!$M$9,G4140,1)),"",IF((AND(FIND('112'!$M$9,G4140,1)&gt;=1,$B4140&gt;='112'!$N$8,$B4140&lt;='112'!$O$8,OR($L4140='112'!$I$6,$M4140='112'!$I$6))),"x",""))</f>
        <v/>
      </c>
      <c r="S4140" s="525" t="str">
        <f>IF(ISERROR(FIND('112'!$M$9,G4140,1)),"",IF((AND(LEFT(G4140,2)=LEFT('112'!$M$9,2),B4140&lt;'112'!$N$8,$L4140='112'!$I$6)),"x",""))</f>
        <v/>
      </c>
      <c r="T4140" s="525" t="str">
        <f>IF(ISERROR(FIND('112'!$M$9,G4140,1)),"",IF((AND(RIGHT(G4140,2)=RIGHT('112'!$M$9,2),B4140&lt;'112'!$N$8,$M4140='112'!$I$6)),"x",""))</f>
        <v/>
      </c>
      <c r="U4140" s="525" t="str">
        <f>IF(AND(B4140&gt;='IN-NX'!$P$3,B4140&lt;='IN-NX'!$Q$3,'IN-NX'!$D$7=D4140,OR(LEFT(L4140,2)="15",AND(LEFT(M4140,2)&lt;&gt;"15",LEFT(M4140,2)&lt;&gt;"33"))),"x","")</f>
        <v/>
      </c>
      <c r="V4140" s="525" t="str">
        <f>IF(AND(OR(LEFT(TH!L4140,2)="15",LEFT(TH!M4140,2)="15"),'152-CT'!$J$8=TH!F4140),"x","")</f>
        <v/>
      </c>
      <c r="W4140" s="525" t="str">
        <f>IF(AND(OR(LEFT(TH!L4140,2)="15",LEFT(TH!M4140,2)="15"),TK!$E$7=TH!F4140),"x","")</f>
        <v/>
      </c>
      <c r="X4140" s="525" t="str">
        <f>IF(AND('341-CT'!$E$9=H4140,OR(LEFT(L4140,3)=$X$7,LEFT(M4140,3)=$X$7)),"x","")</f>
        <v/>
      </c>
      <c r="Y4140" s="525" t="str">
        <f>IF(OR(TH!L4140=TH!$Y$7,M4140=TH!$Y$7),"x","")</f>
        <v/>
      </c>
      <c r="Z4140" s="525" t="str">
        <f>IF(AND(B4140&lt;=NKC!$N$8,B4140&gt;=NKC!$M$8),"x","")</f>
        <v/>
      </c>
      <c r="AA4140" s="535">
        <v>3</v>
      </c>
      <c r="AB4140" s="536"/>
      <c r="AC4140" s="536" t="str">
        <f>VLOOKUP(F4140,NXT!$B$12:$B$686,1,0)</f>
        <v>Thùng 72x72x43</v>
      </c>
    </row>
    <row r="4141" spans="1:29" s="503" customFormat="1" ht="15.75" customHeight="1">
      <c r="A4141" s="517" t="str">
        <f>IF(B4141&lt;&gt;"",IF(AND(B4141&gt;=_TM1,B4141&lt;=_TM2,OR(TH!L4141="1111",TH!M4141="1111")),TH!D4141,""),"")</f>
        <v/>
      </c>
      <c r="B4141" s="531">
        <f t="shared" si="509"/>
        <v>9</v>
      </c>
      <c r="C4141" s="315">
        <f t="shared" si="510"/>
        <v>42983</v>
      </c>
      <c r="D4141" s="315" t="s">
        <v>1180</v>
      </c>
      <c r="E4141" s="315">
        <v>42983</v>
      </c>
      <c r="F4141" s="250" t="s">
        <v>611</v>
      </c>
      <c r="G4141" s="314" t="s">
        <v>1614</v>
      </c>
      <c r="H4141" s="248" t="s">
        <v>1612</v>
      </c>
      <c r="I4141" s="307">
        <v>150</v>
      </c>
      <c r="J4141" s="307">
        <v>41492</v>
      </c>
      <c r="K4141" s="532">
        <f t="shared" ref="K4141:K4152" si="516">ROUND(I4141*J4141,0)</f>
        <v>6223800</v>
      </c>
      <c r="L4141" s="534" t="s">
        <v>292</v>
      </c>
      <c r="M4141" s="534" t="s">
        <v>8</v>
      </c>
      <c r="N4141" s="525" t="str">
        <f>IF(AND('331-CT'!$E$7=TH!H4141,OR(L4141="331",M4141="331")),"331",IF(AND(OR(L4141="131",M4141="131"),H4141='131-CT'!$E$7),"131",""))</f>
        <v/>
      </c>
      <c r="O4141" s="525" t="str">
        <f>IF(AND($B4141&gt;='111'!$N$11,$B4141&lt;='111'!$O$11,OR($L4141=$O$7,$M4141=$O$7)),"x","")</f>
        <v/>
      </c>
      <c r="P4141" s="525" t="str">
        <f>IF(AND($L4141=$O$7,$B4141&lt;'111'!$N$11),"x","")</f>
        <v/>
      </c>
      <c r="Q4141" s="525" t="str">
        <f>IF(AND($M4141=$O$7,$B4141&lt;'111'!$N$11),"x","")</f>
        <v/>
      </c>
      <c r="R4141" s="525" t="str">
        <f>IF(ISERROR(FIND('112'!$M$9,G4141,1)),"",IF((AND(FIND('112'!$M$9,G4141,1)&gt;=1,$B4141&gt;='112'!$N$8,$B4141&lt;='112'!$O$8,OR($L4141='112'!$I$6,$M4141='112'!$I$6))),"x",""))</f>
        <v/>
      </c>
      <c r="S4141" s="525" t="str">
        <f>IF(ISERROR(FIND('112'!$M$9,G4141,1)),"",IF((AND(LEFT(G4141,2)=LEFT('112'!$M$9,2),B4141&lt;'112'!$N$8,$L4141='112'!$I$6)),"x",""))</f>
        <v/>
      </c>
      <c r="T4141" s="525" t="str">
        <f>IF(ISERROR(FIND('112'!$M$9,G4141,1)),"",IF((AND(RIGHT(G4141,2)=RIGHT('112'!$M$9,2),B4141&lt;'112'!$N$8,$M4141='112'!$I$6)),"x",""))</f>
        <v/>
      </c>
      <c r="U4141" s="525" t="str">
        <f>IF(AND(B4141&gt;='IN-NX'!$P$3,B4141&lt;='IN-NX'!$Q$3,'IN-NX'!$D$7=D4141,OR(LEFT(L4141,2)="15",AND(LEFT(M4141,2)&lt;&gt;"15",LEFT(M4141,2)&lt;&gt;"33"))),"x","")</f>
        <v/>
      </c>
      <c r="V4141" s="525" t="str">
        <f>IF(AND(OR(LEFT(TH!L4141,2)="15",LEFT(TH!M4141,2)="15"),'152-CT'!$J$8=TH!F4141),"x","")</f>
        <v/>
      </c>
      <c r="W4141" s="525" t="str">
        <f>IF(AND(OR(LEFT(TH!L4141,2)="15",LEFT(TH!M4141,2)="15"),TK!$E$7=TH!F4141),"x","")</f>
        <v/>
      </c>
      <c r="X4141" s="525" t="str">
        <f>IF(AND('341-CT'!$E$9=H4141,OR(LEFT(L4141,3)=$X$7,LEFT(M4141,3)=$X$7)),"x","")</f>
        <v/>
      </c>
      <c r="Y4141" s="525" t="str">
        <f>IF(OR(TH!L4141=TH!$Y$7,M4141=TH!$Y$7),"x","")</f>
        <v/>
      </c>
      <c r="Z4141" s="525" t="str">
        <f>IF(AND(B4141&lt;=NKC!$N$8,B4141&gt;=NKC!$M$8),"x","")</f>
        <v/>
      </c>
      <c r="AA4141" s="535">
        <v>3</v>
      </c>
      <c r="AB4141" s="536"/>
      <c r="AC4141" s="536" t="str">
        <f>VLOOKUP(F4141,NXT!$B$12:$B$686,1,0)</f>
        <v>Thùng 47x47x59</v>
      </c>
    </row>
    <row r="4142" spans="1:29" s="503" customFormat="1" ht="15.75" customHeight="1">
      <c r="A4142" s="517" t="str">
        <f>IF(B4142&lt;&gt;"",IF(AND(B4142&gt;=_TM1,B4142&lt;=_TM2,OR(TH!L4142="1111",TH!M4142="1111")),TH!D4142,""),"")</f>
        <v/>
      </c>
      <c r="B4142" s="531">
        <f t="shared" si="509"/>
        <v>9</v>
      </c>
      <c r="C4142" s="315">
        <f t="shared" si="510"/>
        <v>42983</v>
      </c>
      <c r="D4142" s="315" t="s">
        <v>1180</v>
      </c>
      <c r="E4142" s="315">
        <v>42983</v>
      </c>
      <c r="F4142" s="250" t="s">
        <v>1646</v>
      </c>
      <c r="G4142" s="314" t="s">
        <v>1614</v>
      </c>
      <c r="H4142" s="248" t="s">
        <v>1612</v>
      </c>
      <c r="I4142" s="307">
        <v>24</v>
      </c>
      <c r="J4142" s="307">
        <v>42490</v>
      </c>
      <c r="K4142" s="532">
        <f t="shared" si="516"/>
        <v>1019760</v>
      </c>
      <c r="L4142" s="534" t="s">
        <v>292</v>
      </c>
      <c r="M4142" s="534" t="s">
        <v>8</v>
      </c>
      <c r="N4142" s="525" t="str">
        <f>IF(AND('331-CT'!$E$7=TH!H4142,OR(L4142="331",M4142="331")),"331",IF(AND(OR(L4142="131",M4142="131"),H4142='131-CT'!$E$7),"131",""))</f>
        <v/>
      </c>
      <c r="O4142" s="525" t="str">
        <f>IF(AND($B4142&gt;='111'!$N$11,$B4142&lt;='111'!$O$11,OR($L4142=$O$7,$M4142=$O$7)),"x","")</f>
        <v/>
      </c>
      <c r="P4142" s="525" t="str">
        <f>IF(AND($L4142=$O$7,$B4142&lt;'111'!$N$11),"x","")</f>
        <v/>
      </c>
      <c r="Q4142" s="525" t="str">
        <f>IF(AND($M4142=$O$7,$B4142&lt;'111'!$N$11),"x","")</f>
        <v/>
      </c>
      <c r="R4142" s="525" t="str">
        <f>IF(ISERROR(FIND('112'!$M$9,G4142,1)),"",IF((AND(FIND('112'!$M$9,G4142,1)&gt;=1,$B4142&gt;='112'!$N$8,$B4142&lt;='112'!$O$8,OR($L4142='112'!$I$6,$M4142='112'!$I$6))),"x",""))</f>
        <v/>
      </c>
      <c r="S4142" s="525" t="str">
        <f>IF(ISERROR(FIND('112'!$M$9,G4142,1)),"",IF((AND(LEFT(G4142,2)=LEFT('112'!$M$9,2),B4142&lt;'112'!$N$8,$L4142='112'!$I$6)),"x",""))</f>
        <v/>
      </c>
      <c r="T4142" s="525" t="str">
        <f>IF(ISERROR(FIND('112'!$M$9,G4142,1)),"",IF((AND(RIGHT(G4142,2)=RIGHT('112'!$M$9,2),B4142&lt;'112'!$N$8,$M4142='112'!$I$6)),"x",""))</f>
        <v/>
      </c>
      <c r="U4142" s="525" t="str">
        <f>IF(AND(B4142&gt;='IN-NX'!$P$3,B4142&lt;='IN-NX'!$Q$3,'IN-NX'!$D$7=D4142,OR(LEFT(L4142,2)="15",AND(LEFT(M4142,2)&lt;&gt;"15",LEFT(M4142,2)&lt;&gt;"33"))),"x","")</f>
        <v/>
      </c>
      <c r="V4142" s="525" t="str">
        <f>IF(AND(OR(LEFT(TH!L4142,2)="15",LEFT(TH!M4142,2)="15"),'152-CT'!$J$8=TH!F4142),"x","")</f>
        <v/>
      </c>
      <c r="W4142" s="525" t="str">
        <f>IF(AND(OR(LEFT(TH!L4142,2)="15",LEFT(TH!M4142,2)="15"),TK!$E$7=TH!F4142),"x","")</f>
        <v/>
      </c>
      <c r="X4142" s="525" t="str">
        <f>IF(AND('341-CT'!$E$9=H4142,OR(LEFT(L4142,3)=$X$7,LEFT(M4142,3)=$X$7)),"x","")</f>
        <v/>
      </c>
      <c r="Y4142" s="525" t="str">
        <f>IF(OR(TH!L4142=TH!$Y$7,M4142=TH!$Y$7),"x","")</f>
        <v/>
      </c>
      <c r="Z4142" s="525" t="str">
        <f>IF(AND(B4142&lt;=NKC!$N$8,B4142&gt;=NKC!$M$8),"x","")</f>
        <v/>
      </c>
      <c r="AA4142" s="535">
        <v>3</v>
      </c>
      <c r="AB4142" s="536"/>
      <c r="AC4142" s="536" t="str">
        <f>VLOOKUP(F4142,NXT!$B$12:$B$686,1,0)</f>
        <v>Thùng 48x32x89</v>
      </c>
    </row>
    <row r="4143" spans="1:29" s="503" customFormat="1" ht="15.75" customHeight="1">
      <c r="A4143" s="517" t="str">
        <f>IF(B4143&lt;&gt;"",IF(AND(B4143&gt;=_TM1,B4143&lt;=_TM2,OR(TH!L4143="1111",TH!M4143="1111")),TH!D4143,""),"")</f>
        <v/>
      </c>
      <c r="B4143" s="531">
        <f t="shared" si="509"/>
        <v>9</v>
      </c>
      <c r="C4143" s="315">
        <f t="shared" si="510"/>
        <v>42983</v>
      </c>
      <c r="D4143" s="315" t="s">
        <v>1180</v>
      </c>
      <c r="E4143" s="315">
        <v>42983</v>
      </c>
      <c r="F4143" s="250" t="s">
        <v>1395</v>
      </c>
      <c r="G4143" s="314" t="s">
        <v>1614</v>
      </c>
      <c r="H4143" s="248" t="s">
        <v>1612</v>
      </c>
      <c r="I4143" s="307">
        <v>8</v>
      </c>
      <c r="J4143" s="307">
        <v>54891</v>
      </c>
      <c r="K4143" s="532">
        <f t="shared" si="516"/>
        <v>439128</v>
      </c>
      <c r="L4143" s="534" t="s">
        <v>292</v>
      </c>
      <c r="M4143" s="534" t="s">
        <v>8</v>
      </c>
      <c r="N4143" s="525" t="str">
        <f>IF(AND('331-CT'!$E$7=TH!H4143,OR(L4143="331",M4143="331")),"331",IF(AND(OR(L4143="131",M4143="131"),H4143='131-CT'!$E$7),"131",""))</f>
        <v/>
      </c>
      <c r="O4143" s="525" t="str">
        <f>IF(AND($B4143&gt;='111'!$N$11,$B4143&lt;='111'!$O$11,OR($L4143=$O$7,$M4143=$O$7)),"x","")</f>
        <v/>
      </c>
      <c r="P4143" s="525" t="str">
        <f>IF(AND($L4143=$O$7,$B4143&lt;'111'!$N$11),"x","")</f>
        <v/>
      </c>
      <c r="Q4143" s="525" t="str">
        <f>IF(AND($M4143=$O$7,$B4143&lt;'111'!$N$11),"x","")</f>
        <v/>
      </c>
      <c r="R4143" s="525" t="str">
        <f>IF(ISERROR(FIND('112'!$M$9,G4143,1)),"",IF((AND(FIND('112'!$M$9,G4143,1)&gt;=1,$B4143&gt;='112'!$N$8,$B4143&lt;='112'!$O$8,OR($L4143='112'!$I$6,$M4143='112'!$I$6))),"x",""))</f>
        <v/>
      </c>
      <c r="S4143" s="525" t="str">
        <f>IF(ISERROR(FIND('112'!$M$9,G4143,1)),"",IF((AND(LEFT(G4143,2)=LEFT('112'!$M$9,2),B4143&lt;'112'!$N$8,$L4143='112'!$I$6)),"x",""))</f>
        <v/>
      </c>
      <c r="T4143" s="525" t="str">
        <f>IF(ISERROR(FIND('112'!$M$9,G4143,1)),"",IF((AND(RIGHT(G4143,2)=RIGHT('112'!$M$9,2),B4143&lt;'112'!$N$8,$M4143='112'!$I$6)),"x",""))</f>
        <v/>
      </c>
      <c r="U4143" s="525" t="str">
        <f>IF(AND(B4143&gt;='IN-NX'!$P$3,B4143&lt;='IN-NX'!$Q$3,'IN-NX'!$D$7=D4143,OR(LEFT(L4143,2)="15",AND(LEFT(M4143,2)&lt;&gt;"15",LEFT(M4143,2)&lt;&gt;"33"))),"x","")</f>
        <v/>
      </c>
      <c r="V4143" s="525" t="str">
        <f>IF(AND(OR(LEFT(TH!L4143,2)="15",LEFT(TH!M4143,2)="15"),'152-CT'!$J$8=TH!F4143),"x","")</f>
        <v/>
      </c>
      <c r="W4143" s="525" t="str">
        <f>IF(AND(OR(LEFT(TH!L4143,2)="15",LEFT(TH!M4143,2)="15"),TK!$E$7=TH!F4143),"x","")</f>
        <v/>
      </c>
      <c r="X4143" s="525" t="str">
        <f>IF(AND('341-CT'!$E$9=H4143,OR(LEFT(L4143,3)=$X$7,LEFT(M4143,3)=$X$7)),"x","")</f>
        <v/>
      </c>
      <c r="Y4143" s="525" t="str">
        <f>IF(OR(TH!L4143=TH!$Y$7,M4143=TH!$Y$7),"x","")</f>
        <v/>
      </c>
      <c r="Z4143" s="525" t="str">
        <f>IF(AND(B4143&lt;=NKC!$N$8,B4143&gt;=NKC!$M$8),"x","")</f>
        <v/>
      </c>
      <c r="AA4143" s="535">
        <v>3</v>
      </c>
      <c r="AB4143" s="536"/>
      <c r="AC4143" s="536" t="str">
        <f>VLOOKUP(F4143,NXT!$B$12:$B$686,1,0)</f>
        <v>Thùng 52x52x61</v>
      </c>
    </row>
    <row r="4144" spans="1:29" s="503" customFormat="1" ht="15.75" customHeight="1">
      <c r="A4144" s="517" t="str">
        <f>IF(B4144&lt;&gt;"",IF(AND(B4144&gt;=_TM1,B4144&lt;=_TM2,OR(TH!L4144="1111",TH!M4144="1111")),TH!D4144,""),"")</f>
        <v/>
      </c>
      <c r="B4144" s="531">
        <f t="shared" si="509"/>
        <v>9</v>
      </c>
      <c r="C4144" s="315">
        <f t="shared" si="510"/>
        <v>42983</v>
      </c>
      <c r="D4144" s="315" t="s">
        <v>1180</v>
      </c>
      <c r="E4144" s="315">
        <v>42983</v>
      </c>
      <c r="F4144" s="250" t="s">
        <v>1169</v>
      </c>
      <c r="G4144" s="314" t="s">
        <v>1614</v>
      </c>
      <c r="H4144" s="248" t="s">
        <v>1612</v>
      </c>
      <c r="I4144" s="307">
        <v>28</v>
      </c>
      <c r="J4144" s="307">
        <v>70793</v>
      </c>
      <c r="K4144" s="532">
        <f t="shared" si="516"/>
        <v>1982204</v>
      </c>
      <c r="L4144" s="534" t="s">
        <v>292</v>
      </c>
      <c r="M4144" s="534" t="s">
        <v>8</v>
      </c>
      <c r="N4144" s="525" t="str">
        <f>IF(AND('331-CT'!$E$7=TH!H4144,OR(L4144="331",M4144="331")),"331",IF(AND(OR(L4144="131",M4144="131"),H4144='131-CT'!$E$7),"131",""))</f>
        <v/>
      </c>
      <c r="O4144" s="525" t="str">
        <f>IF(AND($B4144&gt;='111'!$N$11,$B4144&lt;='111'!$O$11,OR($L4144=$O$7,$M4144=$O$7)),"x","")</f>
        <v/>
      </c>
      <c r="P4144" s="525" t="str">
        <f>IF(AND($L4144=$O$7,$B4144&lt;'111'!$N$11),"x","")</f>
        <v/>
      </c>
      <c r="Q4144" s="525" t="str">
        <f>IF(AND($M4144=$O$7,$B4144&lt;'111'!$N$11),"x","")</f>
        <v/>
      </c>
      <c r="R4144" s="525" t="str">
        <f>IF(ISERROR(FIND('112'!$M$9,G4144,1)),"",IF((AND(FIND('112'!$M$9,G4144,1)&gt;=1,$B4144&gt;='112'!$N$8,$B4144&lt;='112'!$O$8,OR($L4144='112'!$I$6,$M4144='112'!$I$6))),"x",""))</f>
        <v/>
      </c>
      <c r="S4144" s="525" t="str">
        <f>IF(ISERROR(FIND('112'!$M$9,G4144,1)),"",IF((AND(LEFT(G4144,2)=LEFT('112'!$M$9,2),B4144&lt;'112'!$N$8,$L4144='112'!$I$6)),"x",""))</f>
        <v/>
      </c>
      <c r="T4144" s="525" t="str">
        <f>IF(ISERROR(FIND('112'!$M$9,G4144,1)),"",IF((AND(RIGHT(G4144,2)=RIGHT('112'!$M$9,2),B4144&lt;'112'!$N$8,$M4144='112'!$I$6)),"x",""))</f>
        <v/>
      </c>
      <c r="U4144" s="525" t="str">
        <f>IF(AND(B4144&gt;='IN-NX'!$P$3,B4144&lt;='IN-NX'!$Q$3,'IN-NX'!$D$7=D4144,OR(LEFT(L4144,2)="15",AND(LEFT(M4144,2)&lt;&gt;"15",LEFT(M4144,2)&lt;&gt;"33"))),"x","")</f>
        <v/>
      </c>
      <c r="V4144" s="525" t="str">
        <f>IF(AND(OR(LEFT(TH!L4144,2)="15",LEFT(TH!M4144,2)="15"),'152-CT'!$J$8=TH!F4144),"x","")</f>
        <v/>
      </c>
      <c r="W4144" s="525" t="str">
        <f>IF(AND(OR(LEFT(TH!L4144,2)="15",LEFT(TH!M4144,2)="15"),TK!$E$7=TH!F4144),"x","")</f>
        <v/>
      </c>
      <c r="X4144" s="525" t="str">
        <f>IF(AND('341-CT'!$E$9=H4144,OR(LEFT(L4144,3)=$X$7,LEFT(M4144,3)=$X$7)),"x","")</f>
        <v/>
      </c>
      <c r="Y4144" s="525" t="str">
        <f>IF(OR(TH!L4144=TH!$Y$7,M4144=TH!$Y$7),"x","")</f>
        <v/>
      </c>
      <c r="Z4144" s="525" t="str">
        <f>IF(AND(B4144&lt;=NKC!$N$8,B4144&gt;=NKC!$M$8),"x","")</f>
        <v/>
      </c>
      <c r="AA4144" s="535">
        <v>3</v>
      </c>
      <c r="AB4144" s="536"/>
      <c r="AC4144" s="536" t="str">
        <f>VLOOKUP(F4144,NXT!$B$12:$B$686,1,0)</f>
        <v>Thùng 62x62x68</v>
      </c>
    </row>
    <row r="4145" spans="1:29" s="503" customFormat="1" ht="15.75" customHeight="1">
      <c r="A4145" s="517" t="str">
        <f>IF(B4145&lt;&gt;"",IF(AND(B4145&gt;=_TM1,B4145&lt;=_TM2,OR(TH!L4145="1111",TH!M4145="1111")),TH!D4145,""),"")</f>
        <v/>
      </c>
      <c r="B4145" s="531">
        <f t="shared" si="509"/>
        <v>9</v>
      </c>
      <c r="C4145" s="315">
        <f t="shared" si="510"/>
        <v>42983</v>
      </c>
      <c r="D4145" s="315" t="s">
        <v>1180</v>
      </c>
      <c r="E4145" s="315">
        <v>42983</v>
      </c>
      <c r="F4145" s="250" t="s">
        <v>1647</v>
      </c>
      <c r="G4145" s="314" t="s">
        <v>1614</v>
      </c>
      <c r="H4145" s="248" t="s">
        <v>1612</v>
      </c>
      <c r="I4145" s="307">
        <v>12</v>
      </c>
      <c r="J4145" s="307">
        <v>41810</v>
      </c>
      <c r="K4145" s="532">
        <f t="shared" si="516"/>
        <v>501720</v>
      </c>
      <c r="L4145" s="534" t="s">
        <v>292</v>
      </c>
      <c r="M4145" s="534" t="s">
        <v>8</v>
      </c>
      <c r="N4145" s="525" t="str">
        <f>IF(AND('331-CT'!$E$7=TH!H4145,OR(L4145="331",M4145="331")),"331",IF(AND(OR(L4145="131",M4145="131"),H4145='131-CT'!$E$7),"131",""))</f>
        <v/>
      </c>
      <c r="O4145" s="525" t="str">
        <f>IF(AND($B4145&gt;='111'!$N$11,$B4145&lt;='111'!$O$11,OR($L4145=$O$7,$M4145=$O$7)),"x","")</f>
        <v/>
      </c>
      <c r="P4145" s="525" t="str">
        <f>IF(AND($L4145=$O$7,$B4145&lt;'111'!$N$11),"x","")</f>
        <v/>
      </c>
      <c r="Q4145" s="525" t="str">
        <f>IF(AND($M4145=$O$7,$B4145&lt;'111'!$N$11),"x","")</f>
        <v/>
      </c>
      <c r="R4145" s="525" t="str">
        <f>IF(ISERROR(FIND('112'!$M$9,G4145,1)),"",IF((AND(FIND('112'!$M$9,G4145,1)&gt;=1,$B4145&gt;='112'!$N$8,$B4145&lt;='112'!$O$8,OR($L4145='112'!$I$6,$M4145='112'!$I$6))),"x",""))</f>
        <v/>
      </c>
      <c r="S4145" s="525" t="str">
        <f>IF(ISERROR(FIND('112'!$M$9,G4145,1)),"",IF((AND(LEFT(G4145,2)=LEFT('112'!$M$9,2),B4145&lt;'112'!$N$8,$L4145='112'!$I$6)),"x",""))</f>
        <v/>
      </c>
      <c r="T4145" s="525" t="str">
        <f>IF(ISERROR(FIND('112'!$M$9,G4145,1)),"",IF((AND(RIGHT(G4145,2)=RIGHT('112'!$M$9,2),B4145&lt;'112'!$N$8,$M4145='112'!$I$6)),"x",""))</f>
        <v/>
      </c>
      <c r="U4145" s="525" t="str">
        <f>IF(AND(B4145&gt;='IN-NX'!$P$3,B4145&lt;='IN-NX'!$Q$3,'IN-NX'!$D$7=D4145,OR(LEFT(L4145,2)="15",AND(LEFT(M4145,2)&lt;&gt;"15",LEFT(M4145,2)&lt;&gt;"33"))),"x","")</f>
        <v/>
      </c>
      <c r="V4145" s="525" t="str">
        <f>IF(AND(OR(LEFT(TH!L4145,2)="15",LEFT(TH!M4145,2)="15"),'152-CT'!$J$8=TH!F4145),"x","")</f>
        <v/>
      </c>
      <c r="W4145" s="525" t="str">
        <f>IF(AND(OR(LEFT(TH!L4145,2)="15",LEFT(TH!M4145,2)="15"),TK!$E$7=TH!F4145),"x","")</f>
        <v/>
      </c>
      <c r="X4145" s="525" t="str">
        <f>IF(AND('341-CT'!$E$9=H4145,OR(LEFT(L4145,3)=$X$7,LEFT(M4145,3)=$X$7)),"x","")</f>
        <v/>
      </c>
      <c r="Y4145" s="525" t="str">
        <f>IF(OR(TH!L4145=TH!$Y$7,M4145=TH!$Y$7),"x","")</f>
        <v/>
      </c>
      <c r="Z4145" s="525" t="str">
        <f>IF(AND(B4145&lt;=NKC!$N$8,B4145&gt;=NKC!$M$8),"x","")</f>
        <v/>
      </c>
      <c r="AA4145" s="535">
        <v>3</v>
      </c>
      <c r="AB4145" s="536"/>
      <c r="AC4145" s="536" t="str">
        <f>VLOOKUP(F4145,NXT!$B$12:$B$686,1,0)</f>
        <v>Thùng 64x54x25</v>
      </c>
    </row>
    <row r="4146" spans="1:29" s="503" customFormat="1" ht="15.75" customHeight="1">
      <c r="A4146" s="517" t="str">
        <f>IF(B4146&lt;&gt;"",IF(AND(B4146&gt;=_TM1,B4146&lt;=_TM2,OR(TH!L4146="1111",TH!M4146="1111")),TH!D4146,""),"")</f>
        <v/>
      </c>
      <c r="B4146" s="531">
        <f t="shared" si="509"/>
        <v>9</v>
      </c>
      <c r="C4146" s="315">
        <f t="shared" si="510"/>
        <v>42983</v>
      </c>
      <c r="D4146" s="315" t="s">
        <v>1180</v>
      </c>
      <c r="E4146" s="315">
        <v>42983</v>
      </c>
      <c r="F4146" s="250" t="s">
        <v>1648</v>
      </c>
      <c r="G4146" s="314" t="s">
        <v>1614</v>
      </c>
      <c r="H4146" s="248" t="s">
        <v>1612</v>
      </c>
      <c r="I4146" s="307">
        <v>6</v>
      </c>
      <c r="J4146" s="307">
        <v>97722</v>
      </c>
      <c r="K4146" s="532">
        <f t="shared" si="516"/>
        <v>586332</v>
      </c>
      <c r="L4146" s="534" t="s">
        <v>292</v>
      </c>
      <c r="M4146" s="534" t="s">
        <v>8</v>
      </c>
      <c r="N4146" s="525" t="str">
        <f>IF(AND('331-CT'!$E$7=TH!H4146,OR(L4146="331",M4146="331")),"331",IF(AND(OR(L4146="131",M4146="131"),H4146='131-CT'!$E$7),"131",""))</f>
        <v/>
      </c>
      <c r="O4146" s="525" t="str">
        <f>IF(AND($B4146&gt;='111'!$N$11,$B4146&lt;='111'!$O$11,OR($L4146=$O$7,$M4146=$O$7)),"x","")</f>
        <v/>
      </c>
      <c r="P4146" s="525" t="str">
        <f>IF(AND($L4146=$O$7,$B4146&lt;'111'!$N$11),"x","")</f>
        <v/>
      </c>
      <c r="Q4146" s="525" t="str">
        <f>IF(AND($M4146=$O$7,$B4146&lt;'111'!$N$11),"x","")</f>
        <v/>
      </c>
      <c r="R4146" s="525" t="str">
        <f>IF(ISERROR(FIND('112'!$M$9,G4146,1)),"",IF((AND(FIND('112'!$M$9,G4146,1)&gt;=1,$B4146&gt;='112'!$N$8,$B4146&lt;='112'!$O$8,OR($L4146='112'!$I$6,$M4146='112'!$I$6))),"x",""))</f>
        <v/>
      </c>
      <c r="S4146" s="525" t="str">
        <f>IF(ISERROR(FIND('112'!$M$9,G4146,1)),"",IF((AND(LEFT(G4146,2)=LEFT('112'!$M$9,2),B4146&lt;'112'!$N$8,$L4146='112'!$I$6)),"x",""))</f>
        <v/>
      </c>
      <c r="T4146" s="525" t="str">
        <f>IF(ISERROR(FIND('112'!$M$9,G4146,1)),"",IF((AND(RIGHT(G4146,2)=RIGHT('112'!$M$9,2),B4146&lt;'112'!$N$8,$M4146='112'!$I$6)),"x",""))</f>
        <v/>
      </c>
      <c r="U4146" s="525" t="str">
        <f>IF(AND(B4146&gt;='IN-NX'!$P$3,B4146&lt;='IN-NX'!$Q$3,'IN-NX'!$D$7=D4146,OR(LEFT(L4146,2)="15",AND(LEFT(M4146,2)&lt;&gt;"15",LEFT(M4146,2)&lt;&gt;"33"))),"x","")</f>
        <v/>
      </c>
      <c r="V4146" s="525" t="str">
        <f>IF(AND(OR(LEFT(TH!L4146,2)="15",LEFT(TH!M4146,2)="15"),'152-CT'!$J$8=TH!F4146),"x","")</f>
        <v/>
      </c>
      <c r="W4146" s="525" t="str">
        <f>IF(AND(OR(LEFT(TH!L4146,2)="15",LEFT(TH!M4146,2)="15"),TK!$E$7=TH!F4146),"x","")</f>
        <v/>
      </c>
      <c r="X4146" s="525" t="str">
        <f>IF(AND('341-CT'!$E$9=H4146,OR(LEFT(L4146,3)=$X$7,LEFT(M4146,3)=$X$7)),"x","")</f>
        <v/>
      </c>
      <c r="Y4146" s="525" t="str">
        <f>IF(OR(TH!L4146=TH!$Y$7,M4146=TH!$Y$7),"x","")</f>
        <v/>
      </c>
      <c r="Z4146" s="525" t="str">
        <f>IF(AND(B4146&lt;=NKC!$N$8,B4146&gt;=NKC!$M$8),"x","")</f>
        <v/>
      </c>
      <c r="AA4146" s="535">
        <v>3</v>
      </c>
      <c r="AB4146" s="536"/>
      <c r="AC4146" s="536" t="str">
        <f>VLOOKUP(F4146,NXT!$B$12:$B$686,1,0)</f>
        <v>Thùng 62x62x110</v>
      </c>
    </row>
    <row r="4147" spans="1:29" s="503" customFormat="1" ht="15.75" customHeight="1">
      <c r="A4147" s="517" t="str">
        <f>IF(B4147&lt;&gt;"",IF(AND(B4147&gt;=_TM1,B4147&lt;=_TM2,OR(TH!L4147="1111",TH!M4147="1111")),TH!D4147,""),"")</f>
        <v/>
      </c>
      <c r="B4147" s="531">
        <f t="shared" ref="B4147:B4152" si="517">IF(C4147&lt;&gt;"",MONTH(C4147),"")</f>
        <v>9</v>
      </c>
      <c r="C4147" s="315">
        <f t="shared" ref="C4147:C4152" si="518">E4147</f>
        <v>42983</v>
      </c>
      <c r="D4147" s="315" t="s">
        <v>1180</v>
      </c>
      <c r="E4147" s="315">
        <v>42983</v>
      </c>
      <c r="F4147" s="250" t="s">
        <v>1649</v>
      </c>
      <c r="G4147" s="314" t="s">
        <v>1614</v>
      </c>
      <c r="H4147" s="248" t="s">
        <v>1612</v>
      </c>
      <c r="I4147" s="307">
        <v>6</v>
      </c>
      <c r="J4147" s="307">
        <v>52339</v>
      </c>
      <c r="K4147" s="532">
        <f t="shared" si="516"/>
        <v>314034</v>
      </c>
      <c r="L4147" s="534" t="s">
        <v>292</v>
      </c>
      <c r="M4147" s="534" t="s">
        <v>8</v>
      </c>
      <c r="N4147" s="525" t="str">
        <f>IF(AND('331-CT'!$E$7=TH!H4147,OR(L4147="331",M4147="331")),"331",IF(AND(OR(L4147="131",M4147="131"),H4147='131-CT'!$E$7),"131",""))</f>
        <v/>
      </c>
      <c r="O4147" s="525" t="str">
        <f>IF(AND($B4147&gt;='111'!$N$11,$B4147&lt;='111'!$O$11,OR($L4147=$O$7,$M4147=$O$7)),"x","")</f>
        <v/>
      </c>
      <c r="P4147" s="525" t="str">
        <f>IF(AND($L4147=$O$7,$B4147&lt;'111'!$N$11),"x","")</f>
        <v/>
      </c>
      <c r="Q4147" s="525" t="str">
        <f>IF(AND($M4147=$O$7,$B4147&lt;'111'!$N$11),"x","")</f>
        <v/>
      </c>
      <c r="R4147" s="525" t="str">
        <f>IF(ISERROR(FIND('112'!$M$9,G4147,1)),"",IF((AND(FIND('112'!$M$9,G4147,1)&gt;=1,$B4147&gt;='112'!$N$8,$B4147&lt;='112'!$O$8,OR($L4147='112'!$I$6,$M4147='112'!$I$6))),"x",""))</f>
        <v/>
      </c>
      <c r="S4147" s="525" t="str">
        <f>IF(ISERROR(FIND('112'!$M$9,G4147,1)),"",IF((AND(LEFT(G4147,2)=LEFT('112'!$M$9,2),B4147&lt;'112'!$N$8,$L4147='112'!$I$6)),"x",""))</f>
        <v/>
      </c>
      <c r="T4147" s="525" t="str">
        <f>IF(ISERROR(FIND('112'!$M$9,G4147,1)),"",IF((AND(RIGHT(G4147,2)=RIGHT('112'!$M$9,2),B4147&lt;'112'!$N$8,$M4147='112'!$I$6)),"x",""))</f>
        <v/>
      </c>
      <c r="U4147" s="525" t="str">
        <f>IF(AND(B4147&gt;='IN-NX'!$P$3,B4147&lt;='IN-NX'!$Q$3,'IN-NX'!$D$7=D4147,OR(LEFT(L4147,2)="15",AND(LEFT(M4147,2)&lt;&gt;"15",LEFT(M4147,2)&lt;&gt;"33"))),"x","")</f>
        <v/>
      </c>
      <c r="V4147" s="525" t="str">
        <f>IF(AND(OR(LEFT(TH!L4147,2)="15",LEFT(TH!M4147,2)="15"),'152-CT'!$J$8=TH!F4147),"x","")</f>
        <v/>
      </c>
      <c r="W4147" s="525" t="str">
        <f>IF(AND(OR(LEFT(TH!L4147,2)="15",LEFT(TH!M4147,2)="15"),TK!$E$7=TH!F4147),"x","")</f>
        <v/>
      </c>
      <c r="X4147" s="525" t="str">
        <f>IF(AND('341-CT'!$E$9=H4147,OR(LEFT(L4147,3)=$X$7,LEFT(M4147,3)=$X$7)),"x","")</f>
        <v/>
      </c>
      <c r="Y4147" s="525" t="str">
        <f>IF(OR(TH!L4147=TH!$Y$7,M4147=TH!$Y$7),"x","")</f>
        <v/>
      </c>
      <c r="Z4147" s="525" t="str">
        <f>IF(AND(B4147&lt;=NKC!$N$8,B4147&gt;=NKC!$M$8),"x","")</f>
        <v/>
      </c>
      <c r="AA4147" s="535">
        <v>3</v>
      </c>
      <c r="AB4147" s="536"/>
      <c r="AC4147" s="536" t="str">
        <f>VLOOKUP(F4147,NXT!$B$12:$B$686,1,0)</f>
        <v>Thùng 46x46x78</v>
      </c>
    </row>
    <row r="4148" spans="1:29" s="503" customFormat="1" ht="15.75" customHeight="1">
      <c r="A4148" s="517" t="str">
        <f>IF(B4148&lt;&gt;"",IF(AND(B4148&gt;=_TM1,B4148&lt;=_TM2,OR(TH!L4148="1111",TH!M4148="1111")),TH!D4148,""),"")</f>
        <v/>
      </c>
      <c r="B4148" s="531">
        <f t="shared" si="517"/>
        <v>9</v>
      </c>
      <c r="C4148" s="315">
        <f t="shared" si="518"/>
        <v>42983</v>
      </c>
      <c r="D4148" s="315" t="s">
        <v>1180</v>
      </c>
      <c r="E4148" s="315">
        <v>42983</v>
      </c>
      <c r="F4148" s="250" t="s">
        <v>1650</v>
      </c>
      <c r="G4148" s="314" t="s">
        <v>1614</v>
      </c>
      <c r="H4148" s="248" t="s">
        <v>1612</v>
      </c>
      <c r="I4148" s="307">
        <v>18</v>
      </c>
      <c r="J4148" s="307">
        <v>84816</v>
      </c>
      <c r="K4148" s="532">
        <f t="shared" si="516"/>
        <v>1526688</v>
      </c>
      <c r="L4148" s="534" t="s">
        <v>292</v>
      </c>
      <c r="M4148" s="534" t="s">
        <v>8</v>
      </c>
      <c r="N4148" s="525" t="str">
        <f>IF(AND('331-CT'!$E$7=TH!H4148,OR(L4148="331",M4148="331")),"331",IF(AND(OR(L4148="131",M4148="131"),H4148='131-CT'!$E$7),"131",""))</f>
        <v/>
      </c>
      <c r="O4148" s="525" t="str">
        <f>IF(AND($B4148&gt;='111'!$N$11,$B4148&lt;='111'!$O$11,OR($L4148=$O$7,$M4148=$O$7)),"x","")</f>
        <v/>
      </c>
      <c r="P4148" s="525" t="str">
        <f>IF(AND($L4148=$O$7,$B4148&lt;'111'!$N$11),"x","")</f>
        <v/>
      </c>
      <c r="Q4148" s="525" t="str">
        <f>IF(AND($M4148=$O$7,$B4148&lt;'111'!$N$11),"x","")</f>
        <v/>
      </c>
      <c r="R4148" s="525" t="str">
        <f>IF(ISERROR(FIND('112'!$M$9,G4148,1)),"",IF((AND(FIND('112'!$M$9,G4148,1)&gt;=1,$B4148&gt;='112'!$N$8,$B4148&lt;='112'!$O$8,OR($L4148='112'!$I$6,$M4148='112'!$I$6))),"x",""))</f>
        <v/>
      </c>
      <c r="S4148" s="525" t="str">
        <f>IF(ISERROR(FIND('112'!$M$9,G4148,1)),"",IF((AND(LEFT(G4148,2)=LEFT('112'!$M$9,2),B4148&lt;'112'!$N$8,$L4148='112'!$I$6)),"x",""))</f>
        <v/>
      </c>
      <c r="T4148" s="525" t="str">
        <f>IF(ISERROR(FIND('112'!$M$9,G4148,1)),"",IF((AND(RIGHT(G4148,2)=RIGHT('112'!$M$9,2),B4148&lt;'112'!$N$8,$M4148='112'!$I$6)),"x",""))</f>
        <v/>
      </c>
      <c r="U4148" s="525" t="str">
        <f>IF(AND(B4148&gt;='IN-NX'!$P$3,B4148&lt;='IN-NX'!$Q$3,'IN-NX'!$D$7=D4148,OR(LEFT(L4148,2)="15",AND(LEFT(M4148,2)&lt;&gt;"15",LEFT(M4148,2)&lt;&gt;"33"))),"x","")</f>
        <v/>
      </c>
      <c r="V4148" s="525" t="str">
        <f>IF(AND(OR(LEFT(TH!L4148,2)="15",LEFT(TH!M4148,2)="15"),'152-CT'!$J$8=TH!F4148),"x","")</f>
        <v/>
      </c>
      <c r="W4148" s="525" t="str">
        <f>IF(AND(OR(LEFT(TH!L4148,2)="15",LEFT(TH!M4148,2)="15"),TK!$E$7=TH!F4148),"x","")</f>
        <v/>
      </c>
      <c r="X4148" s="525" t="str">
        <f>IF(AND('341-CT'!$E$9=H4148,OR(LEFT(L4148,3)=$X$7,LEFT(M4148,3)=$X$7)),"x","")</f>
        <v/>
      </c>
      <c r="Y4148" s="525" t="str">
        <f>IF(OR(TH!L4148=TH!$Y$7,M4148=TH!$Y$7),"x","")</f>
        <v/>
      </c>
      <c r="Z4148" s="525" t="str">
        <f>IF(AND(B4148&lt;=NKC!$N$8,B4148&gt;=NKC!$M$8),"x","")</f>
        <v/>
      </c>
      <c r="AA4148" s="535">
        <v>3</v>
      </c>
      <c r="AB4148" s="536"/>
      <c r="AC4148" s="536" t="str">
        <f>VLOOKUP(F4148,NXT!$B$12:$B$686,1,0)</f>
        <v>Thùng 52x52x134</v>
      </c>
    </row>
    <row r="4149" spans="1:29" s="503" customFormat="1" ht="15.75" customHeight="1">
      <c r="A4149" s="517" t="str">
        <f>IF(B4149&lt;&gt;"",IF(AND(B4149&gt;=_TM1,B4149&lt;=_TM2,OR(TH!L4149="1111",TH!M4149="1111")),TH!D4149,""),"")</f>
        <v/>
      </c>
      <c r="B4149" s="531">
        <f t="shared" si="517"/>
        <v>9</v>
      </c>
      <c r="C4149" s="315">
        <f t="shared" si="518"/>
        <v>42983</v>
      </c>
      <c r="D4149" s="315" t="s">
        <v>1180</v>
      </c>
      <c r="E4149" s="315">
        <v>42983</v>
      </c>
      <c r="F4149" s="249" t="s">
        <v>494</v>
      </c>
      <c r="G4149" s="314" t="s">
        <v>1614</v>
      </c>
      <c r="H4149" s="248" t="s">
        <v>1612</v>
      </c>
      <c r="I4149" s="307"/>
      <c r="J4149" s="307"/>
      <c r="K4149" s="532">
        <v>4726658</v>
      </c>
      <c r="L4149" s="534" t="s">
        <v>9</v>
      </c>
      <c r="M4149" s="534" t="s">
        <v>8</v>
      </c>
      <c r="N4149" s="525" t="str">
        <f>IF(AND('331-CT'!$E$7=TH!H4149,OR(L4149="331",M4149="331")),"331",IF(AND(OR(L4149="131",M4149="131"),H4149='131-CT'!$E$7),"131",""))</f>
        <v/>
      </c>
      <c r="O4149" s="525" t="str">
        <f>IF(AND($B4149&gt;='111'!$N$11,$B4149&lt;='111'!$O$11,OR($L4149=$O$7,$M4149=$O$7)),"x","")</f>
        <v/>
      </c>
      <c r="P4149" s="525" t="str">
        <f>IF(AND($L4149=$O$7,$B4149&lt;'111'!$N$11),"x","")</f>
        <v/>
      </c>
      <c r="Q4149" s="525" t="str">
        <f>IF(AND($M4149=$O$7,$B4149&lt;'111'!$N$11),"x","")</f>
        <v/>
      </c>
      <c r="R4149" s="525" t="str">
        <f>IF(ISERROR(FIND('112'!$M$9,G4149,1)),"",IF((AND(FIND('112'!$M$9,G4149,1)&gt;=1,$B4149&gt;='112'!$N$8,$B4149&lt;='112'!$O$8,OR($L4149='112'!$I$6,$M4149='112'!$I$6))),"x",""))</f>
        <v/>
      </c>
      <c r="S4149" s="525" t="str">
        <f>IF(ISERROR(FIND('112'!$M$9,G4149,1)),"",IF((AND(LEFT(G4149,2)=LEFT('112'!$M$9,2),B4149&lt;'112'!$N$8,$L4149='112'!$I$6)),"x",""))</f>
        <v/>
      </c>
      <c r="T4149" s="525" t="str">
        <f>IF(ISERROR(FIND('112'!$M$9,G4149,1)),"",IF((AND(RIGHT(G4149,2)=RIGHT('112'!$M$9,2),B4149&lt;'112'!$N$8,$M4149='112'!$I$6)),"x",""))</f>
        <v/>
      </c>
      <c r="U4149" s="525" t="str">
        <f>IF(AND(B4149&gt;='IN-NX'!$P$3,B4149&lt;='IN-NX'!$Q$3,'IN-NX'!$D$7=D4149,OR(LEFT(L4149,2)="15",AND(LEFT(M4149,2)&lt;&gt;"15",LEFT(M4149,2)&lt;&gt;"33"))),"x","")</f>
        <v/>
      </c>
      <c r="V4149" s="525" t="str">
        <f>IF(AND(OR(LEFT(TH!L4149,2)="15",LEFT(TH!M4149,2)="15"),'152-CT'!$J$8=TH!F4149),"x","")</f>
        <v/>
      </c>
      <c r="W4149" s="525" t="str">
        <f>IF(AND(OR(LEFT(TH!L4149,2)="15",LEFT(TH!M4149,2)="15"),TK!$E$7=TH!F4149),"x","")</f>
        <v/>
      </c>
      <c r="X4149" s="525" t="str">
        <f>IF(AND('341-CT'!$E$9=H4149,OR(LEFT(L4149,3)=$X$7,LEFT(M4149,3)=$X$7)),"x","")</f>
        <v/>
      </c>
      <c r="Y4149" s="525" t="str">
        <f>IF(OR(TH!L4149=TH!$Y$7,M4149=TH!$Y$7),"x","")</f>
        <v/>
      </c>
      <c r="Z4149" s="525" t="str">
        <f>IF(AND(B4149&lt;=NKC!$N$8,B4149&gt;=NKC!$M$8),"x","")</f>
        <v/>
      </c>
      <c r="AA4149" s="535">
        <v>3</v>
      </c>
      <c r="AB4149" s="536"/>
      <c r="AC4149" s="536"/>
    </row>
    <row r="4150" spans="1:29" s="503" customFormat="1" ht="15.75" customHeight="1">
      <c r="A4150" s="517" t="str">
        <f>IF(B4150&lt;&gt;"",IF(AND(B4150&gt;=_TM1,B4150&lt;=_TM2,OR(TH!L4150="1111",TH!M4150="1111")),TH!D4150,""),"")</f>
        <v/>
      </c>
      <c r="B4150" s="531">
        <f t="shared" si="517"/>
        <v>9</v>
      </c>
      <c r="C4150" s="315">
        <f t="shared" si="518"/>
        <v>42987</v>
      </c>
      <c r="D4150" s="315" t="s">
        <v>1180</v>
      </c>
      <c r="E4150" s="315">
        <v>42987</v>
      </c>
      <c r="F4150" s="250" t="s">
        <v>1616</v>
      </c>
      <c r="G4150" s="314" t="s">
        <v>1615</v>
      </c>
      <c r="H4150" s="248" t="s">
        <v>1612</v>
      </c>
      <c r="I4150" s="307">
        <v>1</v>
      </c>
      <c r="J4150" s="307">
        <v>150822</v>
      </c>
      <c r="K4150" s="532">
        <f t="shared" si="516"/>
        <v>150822</v>
      </c>
      <c r="L4150" s="534" t="s">
        <v>292</v>
      </c>
      <c r="M4150" s="534" t="s">
        <v>8</v>
      </c>
      <c r="N4150" s="525" t="str">
        <f>IF(AND('331-CT'!$E$7=TH!H4150,OR(L4150="331",M4150="331")),"331",IF(AND(OR(L4150="131",M4150="131"),H4150='131-CT'!$E$7),"131",""))</f>
        <v/>
      </c>
      <c r="O4150" s="525" t="str">
        <f>IF(AND($B4150&gt;='111'!$N$11,$B4150&lt;='111'!$O$11,OR($L4150=$O$7,$M4150=$O$7)),"x","")</f>
        <v/>
      </c>
      <c r="P4150" s="525" t="str">
        <f>IF(AND($L4150=$O$7,$B4150&lt;'111'!$N$11),"x","")</f>
        <v/>
      </c>
      <c r="Q4150" s="525" t="str">
        <f>IF(AND($M4150=$O$7,$B4150&lt;'111'!$N$11),"x","")</f>
        <v/>
      </c>
      <c r="R4150" s="525" t="str">
        <f>IF(ISERROR(FIND('112'!$M$9,G4150,1)),"",IF((AND(FIND('112'!$M$9,G4150,1)&gt;=1,$B4150&gt;='112'!$N$8,$B4150&lt;='112'!$O$8,OR($L4150='112'!$I$6,$M4150='112'!$I$6))),"x",""))</f>
        <v/>
      </c>
      <c r="S4150" s="525" t="str">
        <f>IF(ISERROR(FIND('112'!$M$9,G4150,1)),"",IF((AND(LEFT(G4150,2)=LEFT('112'!$M$9,2),B4150&lt;'112'!$N$8,$L4150='112'!$I$6)),"x",""))</f>
        <v/>
      </c>
      <c r="T4150" s="525" t="str">
        <f>IF(ISERROR(FIND('112'!$M$9,G4150,1)),"",IF((AND(RIGHT(G4150,2)=RIGHT('112'!$M$9,2),B4150&lt;'112'!$N$8,$M4150='112'!$I$6)),"x",""))</f>
        <v/>
      </c>
      <c r="U4150" s="525" t="str">
        <f>IF(AND(B4150&gt;='IN-NX'!$P$3,B4150&lt;='IN-NX'!$Q$3,'IN-NX'!$D$7=D4150,OR(LEFT(L4150,2)="15",AND(LEFT(M4150,2)&lt;&gt;"15",LEFT(M4150,2)&lt;&gt;"33"))),"x","")</f>
        <v/>
      </c>
      <c r="V4150" s="525" t="str">
        <f>IF(AND(OR(LEFT(TH!L4150,2)="15",LEFT(TH!M4150,2)="15"),'152-CT'!$J$8=TH!F4150),"x","")</f>
        <v/>
      </c>
      <c r="W4150" s="525" t="str">
        <f>IF(AND(OR(LEFT(TH!L4150,2)="15",LEFT(TH!M4150,2)="15"),TK!$E$7=TH!F4150),"x","")</f>
        <v/>
      </c>
      <c r="X4150" s="525" t="str">
        <f>IF(AND('341-CT'!$E$9=H4150,OR(LEFT(L4150,3)=$X$7,LEFT(M4150,3)=$X$7)),"x","")</f>
        <v/>
      </c>
      <c r="Y4150" s="525" t="str">
        <f>IF(OR(TH!L4150=TH!$Y$7,M4150=TH!$Y$7),"x","")</f>
        <v/>
      </c>
      <c r="Z4150" s="525" t="str">
        <f>IF(AND(B4150&lt;=NKC!$N$8,B4150&gt;=NKC!$M$8),"x","")</f>
        <v/>
      </c>
      <c r="AA4150" s="535">
        <v>3</v>
      </c>
      <c r="AB4150" s="536"/>
      <c r="AC4150" s="536" t="str">
        <f>VLOOKUP(F4150,NXT!$B$12:$B$686,1,0)</f>
        <v>Thùng 215x60x111.5</v>
      </c>
    </row>
    <row r="4151" spans="1:29" s="503" customFormat="1" ht="15.75" customHeight="1">
      <c r="A4151" s="517" t="str">
        <f>IF(B4151&lt;&gt;"",IF(AND(B4151&gt;=_TM1,B4151&lt;=_TM2,OR(TH!L4151="1111",TH!M4151="1111")),TH!D4151,""),"")</f>
        <v/>
      </c>
      <c r="B4151" s="531">
        <f t="shared" si="517"/>
        <v>9</v>
      </c>
      <c r="C4151" s="315">
        <f t="shared" si="518"/>
        <v>42987</v>
      </c>
      <c r="D4151" s="315" t="s">
        <v>1180</v>
      </c>
      <c r="E4151" s="315">
        <v>42987</v>
      </c>
      <c r="F4151" s="250" t="s">
        <v>1617</v>
      </c>
      <c r="G4151" s="314" t="s">
        <v>1615</v>
      </c>
      <c r="H4151" s="248" t="s">
        <v>1612</v>
      </c>
      <c r="I4151" s="307">
        <v>1</v>
      </c>
      <c r="J4151" s="307">
        <v>20090</v>
      </c>
      <c r="K4151" s="532">
        <f t="shared" si="516"/>
        <v>20090</v>
      </c>
      <c r="L4151" s="534" t="s">
        <v>292</v>
      </c>
      <c r="M4151" s="534" t="s">
        <v>8</v>
      </c>
      <c r="N4151" s="525" t="str">
        <f>IF(AND('331-CT'!$E$7=TH!H4151,OR(L4151="331",M4151="331")),"331",IF(AND(OR(L4151="131",M4151="131"),H4151='131-CT'!$E$7),"131",""))</f>
        <v/>
      </c>
      <c r="O4151" s="525" t="str">
        <f>IF(AND($B4151&gt;='111'!$N$11,$B4151&lt;='111'!$O$11,OR($L4151=$O$7,$M4151=$O$7)),"x","")</f>
        <v/>
      </c>
      <c r="P4151" s="525" t="str">
        <f>IF(AND($L4151=$O$7,$B4151&lt;'111'!$N$11),"x","")</f>
        <v/>
      </c>
      <c r="Q4151" s="525" t="str">
        <f>IF(AND($M4151=$O$7,$B4151&lt;'111'!$N$11),"x","")</f>
        <v/>
      </c>
      <c r="R4151" s="525" t="str">
        <f>IF(ISERROR(FIND('112'!$M$9,G4151,1)),"",IF((AND(FIND('112'!$M$9,G4151,1)&gt;=1,$B4151&gt;='112'!$N$8,$B4151&lt;='112'!$O$8,OR($L4151='112'!$I$6,$M4151='112'!$I$6))),"x",""))</f>
        <v/>
      </c>
      <c r="S4151" s="525" t="str">
        <f>IF(ISERROR(FIND('112'!$M$9,G4151,1)),"",IF((AND(LEFT(G4151,2)=LEFT('112'!$M$9,2),B4151&lt;'112'!$N$8,$L4151='112'!$I$6)),"x",""))</f>
        <v/>
      </c>
      <c r="T4151" s="525" t="str">
        <f>IF(ISERROR(FIND('112'!$M$9,G4151,1)),"",IF((AND(RIGHT(G4151,2)=RIGHT('112'!$M$9,2),B4151&lt;'112'!$N$8,$M4151='112'!$I$6)),"x",""))</f>
        <v/>
      </c>
      <c r="U4151" s="525" t="str">
        <f>IF(AND(B4151&gt;='IN-NX'!$P$3,B4151&lt;='IN-NX'!$Q$3,'IN-NX'!$D$7=D4151,OR(LEFT(L4151,2)="15",AND(LEFT(M4151,2)&lt;&gt;"15",LEFT(M4151,2)&lt;&gt;"33"))),"x","")</f>
        <v/>
      </c>
      <c r="V4151" s="525" t="str">
        <f>IF(AND(OR(LEFT(TH!L4151,2)="15",LEFT(TH!M4151,2)="15"),'152-CT'!$J$8=TH!F4151),"x","")</f>
        <v/>
      </c>
      <c r="W4151" s="525" t="str">
        <f>IF(AND(OR(LEFT(TH!L4151,2)="15",LEFT(TH!M4151,2)="15"),TK!$E$7=TH!F4151),"x","")</f>
        <v/>
      </c>
      <c r="X4151" s="525" t="str">
        <f>IF(AND('341-CT'!$E$9=H4151,OR(LEFT(L4151,3)=$X$7,LEFT(M4151,3)=$X$7)),"x","")</f>
        <v/>
      </c>
      <c r="Y4151" s="525" t="str">
        <f>IF(OR(TH!L4151=TH!$Y$7,M4151=TH!$Y$7),"x","")</f>
        <v/>
      </c>
      <c r="Z4151" s="525" t="str">
        <f>IF(AND(B4151&lt;=NKC!$N$8,B4151&gt;=NKC!$M$8),"x","")</f>
        <v/>
      </c>
      <c r="AA4151" s="535">
        <v>3</v>
      </c>
      <c r="AB4151" s="536"/>
      <c r="AC4151" s="536" t="str">
        <f>VLOOKUP(F4151,NXT!$B$12:$B$686,1,0)</f>
        <v>Lót 60x214</v>
      </c>
    </row>
    <row r="4152" spans="1:29" s="503" customFormat="1" ht="15.75" customHeight="1">
      <c r="A4152" s="517" t="str">
        <f>IF(B4152&lt;&gt;"",IF(AND(B4152&gt;=_TM1,B4152&lt;=_TM2,OR(TH!L4152="1111",TH!M4152="1111")),TH!D4152,""),"")</f>
        <v/>
      </c>
      <c r="B4152" s="531">
        <f t="shared" si="517"/>
        <v>9</v>
      </c>
      <c r="C4152" s="315">
        <f t="shared" si="518"/>
        <v>42987</v>
      </c>
      <c r="D4152" s="315" t="s">
        <v>1180</v>
      </c>
      <c r="E4152" s="315">
        <v>42987</v>
      </c>
      <c r="F4152" s="250" t="s">
        <v>1618</v>
      </c>
      <c r="G4152" s="314" t="s">
        <v>1615</v>
      </c>
      <c r="H4152" s="248" t="s">
        <v>1612</v>
      </c>
      <c r="I4152" s="307">
        <v>1</v>
      </c>
      <c r="J4152" s="307">
        <v>23961</v>
      </c>
      <c r="K4152" s="532">
        <f t="shared" si="516"/>
        <v>23961</v>
      </c>
      <c r="L4152" s="534" t="s">
        <v>292</v>
      </c>
      <c r="M4152" s="534" t="s">
        <v>8</v>
      </c>
      <c r="N4152" s="525" t="str">
        <f>IF(AND('331-CT'!$E$7=TH!H4152,OR(L4152="331",M4152="331")),"331",IF(AND(OR(L4152="131",M4152="131"),H4152='131-CT'!$E$7),"131",""))</f>
        <v/>
      </c>
      <c r="O4152" s="525" t="str">
        <f>IF(AND($B4152&gt;='111'!$N$11,$B4152&lt;='111'!$O$11,OR($L4152=$O$7,$M4152=$O$7)),"x","")</f>
        <v/>
      </c>
      <c r="P4152" s="525" t="str">
        <f>IF(AND($L4152=$O$7,$B4152&lt;'111'!$N$11),"x","")</f>
        <v/>
      </c>
      <c r="Q4152" s="525" t="str">
        <f>IF(AND($M4152=$O$7,$B4152&lt;'111'!$N$11),"x","")</f>
        <v/>
      </c>
      <c r="R4152" s="525" t="str">
        <f>IF(ISERROR(FIND('112'!$M$9,G4152,1)),"",IF((AND(FIND('112'!$M$9,G4152,1)&gt;=1,$B4152&gt;='112'!$N$8,$B4152&lt;='112'!$O$8,OR($L4152='112'!$I$6,$M4152='112'!$I$6))),"x",""))</f>
        <v/>
      </c>
      <c r="S4152" s="525" t="str">
        <f>IF(ISERROR(FIND('112'!$M$9,G4152,1)),"",IF((AND(LEFT(G4152,2)=LEFT('112'!$M$9,2),B4152&lt;'112'!$N$8,$L4152='112'!$I$6)),"x",""))</f>
        <v/>
      </c>
      <c r="T4152" s="525" t="str">
        <f>IF(ISERROR(FIND('112'!$M$9,G4152,1)),"",IF((AND(RIGHT(G4152,2)=RIGHT('112'!$M$9,2),B4152&lt;'112'!$N$8,$M4152='112'!$I$6)),"x",""))</f>
        <v/>
      </c>
      <c r="U4152" s="525" t="str">
        <f>IF(AND(B4152&gt;='IN-NX'!$P$3,B4152&lt;='IN-NX'!$Q$3,'IN-NX'!$D$7=D4152,OR(LEFT(L4152,2)="15",AND(LEFT(M4152,2)&lt;&gt;"15",LEFT(M4152,2)&lt;&gt;"33"))),"x","")</f>
        <v/>
      </c>
      <c r="V4152" s="525" t="str">
        <f>IF(AND(OR(LEFT(TH!L4152,2)="15",LEFT(TH!M4152,2)="15"),'152-CT'!$J$8=TH!F4152),"x","")</f>
        <v/>
      </c>
      <c r="W4152" s="525" t="str">
        <f>IF(AND(OR(LEFT(TH!L4152,2)="15",LEFT(TH!M4152,2)="15"),TK!$E$7=TH!F4152),"x","")</f>
        <v/>
      </c>
      <c r="X4152" s="525" t="str">
        <f>IF(AND('341-CT'!$E$9=H4152,OR(LEFT(L4152,3)=$X$7,LEFT(M4152,3)=$X$7)),"x","")</f>
        <v/>
      </c>
      <c r="Y4152" s="525" t="str">
        <f>IF(OR(TH!L4152=TH!$Y$7,M4152=TH!$Y$7),"x","")</f>
        <v/>
      </c>
      <c r="Z4152" s="525" t="str">
        <f>IF(AND(B4152&lt;=NKC!$N$8,B4152&gt;=NKC!$M$8),"x","")</f>
        <v/>
      </c>
      <c r="AA4152" s="535">
        <v>3</v>
      </c>
      <c r="AB4152" s="536"/>
      <c r="AC4152" s="536" t="str">
        <f>VLOOKUP(F4152,NXT!$B$12:$B$686,1,0)</f>
        <v>Lót 100x150</v>
      </c>
    </row>
    <row r="4153" spans="1:29" s="503" customFormat="1" ht="15.75" customHeight="1">
      <c r="A4153" s="517" t="str">
        <f>IF(B4153&lt;&gt;"",IF(AND(B4153&gt;=_TM1,B4153&lt;=_TM2,OR(TH!L4153="1111",TH!M4153="1111")),TH!D4153,""),"")</f>
        <v/>
      </c>
      <c r="B4153" s="531">
        <f t="shared" ref="B4153:B4175" si="519">IF(C4153&lt;&gt;"",MONTH(C4153),"")</f>
        <v>9</v>
      </c>
      <c r="C4153" s="315">
        <f t="shared" ref="C4153:C4175" si="520">E4153</f>
        <v>42987</v>
      </c>
      <c r="D4153" s="315" t="s">
        <v>1180</v>
      </c>
      <c r="E4153" s="315">
        <v>42987</v>
      </c>
      <c r="F4153" s="250" t="s">
        <v>1217</v>
      </c>
      <c r="G4153" s="314" t="s">
        <v>1615</v>
      </c>
      <c r="H4153" s="248" t="s">
        <v>1612</v>
      </c>
      <c r="I4153" s="307">
        <v>9135</v>
      </c>
      <c r="J4153" s="307">
        <v>5782</v>
      </c>
      <c r="K4153" s="532">
        <f t="shared" ref="K4153:K4157" si="521">ROUND(I4153*J4153,0)</f>
        <v>52818570</v>
      </c>
      <c r="L4153" s="534" t="s">
        <v>292</v>
      </c>
      <c r="M4153" s="534" t="s">
        <v>8</v>
      </c>
      <c r="N4153" s="525" t="str">
        <f>IF(AND('331-CT'!$E$7=TH!H4153,OR(L4153="331",M4153="331")),"331",IF(AND(OR(L4153="131",M4153="131"),H4153='131-CT'!$E$7),"131",""))</f>
        <v/>
      </c>
      <c r="O4153" s="525" t="str">
        <f>IF(AND($B4153&gt;='111'!$N$11,$B4153&lt;='111'!$O$11,OR($L4153=$O$7,$M4153=$O$7)),"x","")</f>
        <v/>
      </c>
      <c r="P4153" s="525" t="str">
        <f>IF(AND($L4153=$O$7,$B4153&lt;'111'!$N$11),"x","")</f>
        <v/>
      </c>
      <c r="Q4153" s="525" t="str">
        <f>IF(AND($M4153=$O$7,$B4153&lt;'111'!$N$11),"x","")</f>
        <v/>
      </c>
      <c r="R4153" s="525" t="str">
        <f>IF(ISERROR(FIND('112'!$M$9,G4153,1)),"",IF((AND(FIND('112'!$M$9,G4153,1)&gt;=1,$B4153&gt;='112'!$N$8,$B4153&lt;='112'!$O$8,OR($L4153='112'!$I$6,$M4153='112'!$I$6))),"x",""))</f>
        <v/>
      </c>
      <c r="S4153" s="525" t="str">
        <f>IF(ISERROR(FIND('112'!$M$9,G4153,1)),"",IF((AND(LEFT(G4153,2)=LEFT('112'!$M$9,2),B4153&lt;'112'!$N$8,$L4153='112'!$I$6)),"x",""))</f>
        <v/>
      </c>
      <c r="T4153" s="525" t="str">
        <f>IF(ISERROR(FIND('112'!$M$9,G4153,1)),"",IF((AND(RIGHT(G4153,2)=RIGHT('112'!$M$9,2),B4153&lt;'112'!$N$8,$M4153='112'!$I$6)),"x",""))</f>
        <v/>
      </c>
      <c r="U4153" s="525" t="str">
        <f>IF(AND(B4153&gt;='IN-NX'!$P$3,B4153&lt;='IN-NX'!$Q$3,'IN-NX'!$D$7=D4153,OR(LEFT(L4153,2)="15",AND(LEFT(M4153,2)&lt;&gt;"15",LEFT(M4153,2)&lt;&gt;"33"))),"x","")</f>
        <v/>
      </c>
      <c r="V4153" s="525" t="str">
        <f>IF(AND(OR(LEFT(TH!L4153,2)="15",LEFT(TH!M4153,2)="15"),'152-CT'!$J$8=TH!F4153),"x","")</f>
        <v/>
      </c>
      <c r="W4153" s="525" t="str">
        <f>IF(AND(OR(LEFT(TH!L4153,2)="15",LEFT(TH!M4153,2)="15"),TK!$E$7=TH!F4153),"x","")</f>
        <v/>
      </c>
      <c r="X4153" s="525" t="str">
        <f>IF(AND('341-CT'!$E$9=H4153,OR(LEFT(L4153,3)=$X$7,LEFT(M4153,3)=$X$7)),"x","")</f>
        <v/>
      </c>
      <c r="Y4153" s="525" t="str">
        <f>IF(OR(TH!L4153=TH!$Y$7,M4153=TH!$Y$7),"x","")</f>
        <v/>
      </c>
      <c r="Z4153" s="525" t="str">
        <f>IF(AND(B4153&lt;=NKC!$N$8,B4153&gt;=NKC!$M$8),"x","")</f>
        <v/>
      </c>
      <c r="AA4153" s="535">
        <v>3</v>
      </c>
      <c r="AB4153" s="536"/>
      <c r="AC4153" s="536" t="str">
        <f>VLOOKUP(F4153,NXT!$B$12:$B$686,1,0)</f>
        <v>Thùng 50x29.5x19</v>
      </c>
    </row>
    <row r="4154" spans="1:29" s="503" customFormat="1" ht="15.75" customHeight="1">
      <c r="A4154" s="517" t="str">
        <f>IF(B4154&lt;&gt;"",IF(AND(B4154&gt;=_TM1,B4154&lt;=_TM2,OR(TH!L4154="1111",TH!M4154="1111")),TH!D4154,""),"")</f>
        <v/>
      </c>
      <c r="B4154" s="531">
        <f t="shared" si="519"/>
        <v>9</v>
      </c>
      <c r="C4154" s="315">
        <f t="shared" si="520"/>
        <v>42987</v>
      </c>
      <c r="D4154" s="315" t="s">
        <v>1180</v>
      </c>
      <c r="E4154" s="315">
        <v>42987</v>
      </c>
      <c r="F4154" s="249" t="s">
        <v>494</v>
      </c>
      <c r="G4154" s="314" t="s">
        <v>1615</v>
      </c>
      <c r="H4154" s="248" t="s">
        <v>1612</v>
      </c>
      <c r="I4154" s="307"/>
      <c r="J4154" s="307"/>
      <c r="K4154" s="532">
        <v>5301344</v>
      </c>
      <c r="L4154" s="534" t="s">
        <v>9</v>
      </c>
      <c r="M4154" s="534" t="s">
        <v>8</v>
      </c>
      <c r="N4154" s="525" t="str">
        <f>IF(AND('331-CT'!$E$7=TH!H4154,OR(L4154="331",M4154="331")),"331",IF(AND(OR(L4154="131",M4154="131"),H4154='131-CT'!$E$7),"131",""))</f>
        <v/>
      </c>
      <c r="O4154" s="525" t="str">
        <f>IF(AND($B4154&gt;='111'!$N$11,$B4154&lt;='111'!$O$11,OR($L4154=$O$7,$M4154=$O$7)),"x","")</f>
        <v/>
      </c>
      <c r="P4154" s="525" t="str">
        <f>IF(AND($L4154=$O$7,$B4154&lt;'111'!$N$11),"x","")</f>
        <v/>
      </c>
      <c r="Q4154" s="525" t="str">
        <f>IF(AND($M4154=$O$7,$B4154&lt;'111'!$N$11),"x","")</f>
        <v/>
      </c>
      <c r="R4154" s="525" t="str">
        <f>IF(ISERROR(FIND('112'!$M$9,G4154,1)),"",IF((AND(FIND('112'!$M$9,G4154,1)&gt;=1,$B4154&gt;='112'!$N$8,$B4154&lt;='112'!$O$8,OR($L4154='112'!$I$6,$M4154='112'!$I$6))),"x",""))</f>
        <v/>
      </c>
      <c r="S4154" s="525" t="str">
        <f>IF(ISERROR(FIND('112'!$M$9,G4154,1)),"",IF((AND(LEFT(G4154,2)=LEFT('112'!$M$9,2),B4154&lt;'112'!$N$8,$L4154='112'!$I$6)),"x",""))</f>
        <v/>
      </c>
      <c r="T4154" s="525" t="str">
        <f>IF(ISERROR(FIND('112'!$M$9,G4154,1)),"",IF((AND(RIGHT(G4154,2)=RIGHT('112'!$M$9,2),B4154&lt;'112'!$N$8,$M4154='112'!$I$6)),"x",""))</f>
        <v/>
      </c>
      <c r="U4154" s="525" t="str">
        <f>IF(AND(B4154&gt;='IN-NX'!$P$3,B4154&lt;='IN-NX'!$Q$3,'IN-NX'!$D$7=D4154,OR(LEFT(L4154,2)="15",AND(LEFT(M4154,2)&lt;&gt;"15",LEFT(M4154,2)&lt;&gt;"33"))),"x","")</f>
        <v/>
      </c>
      <c r="V4154" s="525" t="str">
        <f>IF(AND(OR(LEFT(TH!L4154,2)="15",LEFT(TH!M4154,2)="15"),'152-CT'!$J$8=TH!F4154),"x","")</f>
        <v/>
      </c>
      <c r="W4154" s="525" t="str">
        <f>IF(AND(OR(LEFT(TH!L4154,2)="15",LEFT(TH!M4154,2)="15"),TK!$E$7=TH!F4154),"x","")</f>
        <v/>
      </c>
      <c r="X4154" s="525" t="str">
        <f>IF(AND('341-CT'!$E$9=H4154,OR(LEFT(L4154,3)=$X$7,LEFT(M4154,3)=$X$7)),"x","")</f>
        <v/>
      </c>
      <c r="Y4154" s="525" t="str">
        <f>IF(OR(TH!L4154=TH!$Y$7,M4154=TH!$Y$7),"x","")</f>
        <v/>
      </c>
      <c r="Z4154" s="525" t="str">
        <f>IF(AND(B4154&lt;=NKC!$N$8,B4154&gt;=NKC!$M$8),"x","")</f>
        <v/>
      </c>
      <c r="AA4154" s="535">
        <v>3</v>
      </c>
      <c r="AB4154" s="536"/>
      <c r="AC4154" s="536"/>
    </row>
    <row r="4155" spans="1:29" s="503" customFormat="1" ht="15.75" customHeight="1">
      <c r="A4155" s="517" t="str">
        <f>IF(B4155&lt;&gt;"",IF(AND(B4155&gt;=_TM1,B4155&lt;=_TM2,OR(TH!L4155="1111",TH!M4155="1111")),TH!D4155,""),"")</f>
        <v/>
      </c>
      <c r="B4155" s="531">
        <f t="shared" si="519"/>
        <v>9</v>
      </c>
      <c r="C4155" s="315">
        <f t="shared" si="520"/>
        <v>42991</v>
      </c>
      <c r="D4155" s="315" t="s">
        <v>1180</v>
      </c>
      <c r="E4155" s="315">
        <v>42991</v>
      </c>
      <c r="F4155" s="250" t="s">
        <v>1130</v>
      </c>
      <c r="G4155" s="314" t="s">
        <v>1619</v>
      </c>
      <c r="H4155" s="248" t="s">
        <v>1612</v>
      </c>
      <c r="I4155" s="307">
        <v>500</v>
      </c>
      <c r="J4155" s="307">
        <v>6997</v>
      </c>
      <c r="K4155" s="532">
        <f t="shared" si="521"/>
        <v>3498500</v>
      </c>
      <c r="L4155" s="534" t="s">
        <v>292</v>
      </c>
      <c r="M4155" s="534" t="s">
        <v>8</v>
      </c>
      <c r="N4155" s="525" t="str">
        <f>IF(AND('331-CT'!$E$7=TH!H4155,OR(L4155="331",M4155="331")),"331",IF(AND(OR(L4155="131",M4155="131"),H4155='131-CT'!$E$7),"131",""))</f>
        <v/>
      </c>
      <c r="O4155" s="525" t="str">
        <f>IF(AND($B4155&gt;='111'!$N$11,$B4155&lt;='111'!$O$11,OR($L4155=$O$7,$M4155=$O$7)),"x","")</f>
        <v/>
      </c>
      <c r="P4155" s="525" t="str">
        <f>IF(AND($L4155=$O$7,$B4155&lt;'111'!$N$11),"x","")</f>
        <v/>
      </c>
      <c r="Q4155" s="525" t="str">
        <f>IF(AND($M4155=$O$7,$B4155&lt;'111'!$N$11),"x","")</f>
        <v/>
      </c>
      <c r="R4155" s="525" t="str">
        <f>IF(ISERROR(FIND('112'!$M$9,G4155,1)),"",IF((AND(FIND('112'!$M$9,G4155,1)&gt;=1,$B4155&gt;='112'!$N$8,$B4155&lt;='112'!$O$8,OR($L4155='112'!$I$6,$M4155='112'!$I$6))),"x",""))</f>
        <v/>
      </c>
      <c r="S4155" s="525" t="str">
        <f>IF(ISERROR(FIND('112'!$M$9,G4155,1)),"",IF((AND(LEFT(G4155,2)=LEFT('112'!$M$9,2),B4155&lt;'112'!$N$8,$L4155='112'!$I$6)),"x",""))</f>
        <v/>
      </c>
      <c r="T4155" s="525" t="str">
        <f>IF(ISERROR(FIND('112'!$M$9,G4155,1)),"",IF((AND(RIGHT(G4155,2)=RIGHT('112'!$M$9,2),B4155&lt;'112'!$N$8,$M4155='112'!$I$6)),"x",""))</f>
        <v/>
      </c>
      <c r="U4155" s="525" t="str">
        <f>IF(AND(B4155&gt;='IN-NX'!$P$3,B4155&lt;='IN-NX'!$Q$3,'IN-NX'!$D$7=D4155,OR(LEFT(L4155,2)="15",AND(LEFT(M4155,2)&lt;&gt;"15",LEFT(M4155,2)&lt;&gt;"33"))),"x","")</f>
        <v/>
      </c>
      <c r="V4155" s="525" t="str">
        <f>IF(AND(OR(LEFT(TH!L4155,2)="15",LEFT(TH!M4155,2)="15"),'152-CT'!$J$8=TH!F4155),"x","")</f>
        <v/>
      </c>
      <c r="W4155" s="525" t="str">
        <f>IF(AND(OR(LEFT(TH!L4155,2)="15",LEFT(TH!M4155,2)="15"),TK!$E$7=TH!F4155),"x","")</f>
        <v/>
      </c>
      <c r="X4155" s="525" t="str">
        <f>IF(AND('341-CT'!$E$9=H4155,OR(LEFT(L4155,3)=$X$7,LEFT(M4155,3)=$X$7)),"x","")</f>
        <v/>
      </c>
      <c r="Y4155" s="525" t="str">
        <f>IF(OR(TH!L4155=TH!$Y$7,M4155=TH!$Y$7),"x","")</f>
        <v/>
      </c>
      <c r="Z4155" s="525" t="str">
        <f>IF(AND(B4155&lt;=NKC!$N$8,B4155&gt;=NKC!$M$8),"x","")</f>
        <v/>
      </c>
      <c r="AA4155" s="535">
        <v>3</v>
      </c>
      <c r="AB4155" s="536"/>
      <c r="AC4155" s="536" t="str">
        <f>VLOOKUP(F4155,NXT!$B$12:$B$686,1,0)</f>
        <v>Giấy tấm 70x120</v>
      </c>
    </row>
    <row r="4156" spans="1:29" s="503" customFormat="1" ht="15.75" customHeight="1">
      <c r="A4156" s="517" t="str">
        <f>IF(B4156&lt;&gt;"",IF(AND(B4156&gt;=_TM1,B4156&lt;=_TM2,OR(TH!L4156="1111",TH!M4156="1111")),TH!D4156,""),"")</f>
        <v/>
      </c>
      <c r="B4156" s="531">
        <f t="shared" si="519"/>
        <v>9</v>
      </c>
      <c r="C4156" s="315">
        <f t="shared" si="520"/>
        <v>42991</v>
      </c>
      <c r="D4156" s="315" t="s">
        <v>1180</v>
      </c>
      <c r="E4156" s="315">
        <v>42991</v>
      </c>
      <c r="F4156" s="250" t="s">
        <v>1620</v>
      </c>
      <c r="G4156" s="314" t="s">
        <v>1619</v>
      </c>
      <c r="H4156" s="248" t="s">
        <v>1612</v>
      </c>
      <c r="I4156" s="307">
        <v>100</v>
      </c>
      <c r="J4156" s="307">
        <v>21991</v>
      </c>
      <c r="K4156" s="532">
        <f t="shared" si="521"/>
        <v>2199100</v>
      </c>
      <c r="L4156" s="534" t="s">
        <v>292</v>
      </c>
      <c r="M4156" s="534" t="s">
        <v>8</v>
      </c>
      <c r="N4156" s="525" t="str">
        <f>IF(AND('331-CT'!$E$7=TH!H4156,OR(L4156="331",M4156="331")),"331",IF(AND(OR(L4156="131",M4156="131"),H4156='131-CT'!$E$7),"131",""))</f>
        <v/>
      </c>
      <c r="O4156" s="525" t="str">
        <f>IF(AND($B4156&gt;='111'!$N$11,$B4156&lt;='111'!$O$11,OR($L4156=$O$7,$M4156=$O$7)),"x","")</f>
        <v/>
      </c>
      <c r="P4156" s="525" t="str">
        <f>IF(AND($L4156=$O$7,$B4156&lt;'111'!$N$11),"x","")</f>
        <v/>
      </c>
      <c r="Q4156" s="525" t="str">
        <f>IF(AND($M4156=$O$7,$B4156&lt;'111'!$N$11),"x","")</f>
        <v/>
      </c>
      <c r="R4156" s="525" t="str">
        <f>IF(ISERROR(FIND('112'!$M$9,G4156,1)),"",IF((AND(FIND('112'!$M$9,G4156,1)&gt;=1,$B4156&gt;='112'!$N$8,$B4156&lt;='112'!$O$8,OR($L4156='112'!$I$6,$M4156='112'!$I$6))),"x",""))</f>
        <v/>
      </c>
      <c r="S4156" s="525" t="str">
        <f>IF(ISERROR(FIND('112'!$M$9,G4156,1)),"",IF((AND(LEFT(G4156,2)=LEFT('112'!$M$9,2),B4156&lt;'112'!$N$8,$L4156='112'!$I$6)),"x",""))</f>
        <v/>
      </c>
      <c r="T4156" s="525" t="str">
        <f>IF(ISERROR(FIND('112'!$M$9,G4156,1)),"",IF((AND(RIGHT(G4156,2)=RIGHT('112'!$M$9,2),B4156&lt;'112'!$N$8,$M4156='112'!$I$6)),"x",""))</f>
        <v/>
      </c>
      <c r="U4156" s="525" t="str">
        <f>IF(AND(B4156&gt;='IN-NX'!$P$3,B4156&lt;='IN-NX'!$Q$3,'IN-NX'!$D$7=D4156,OR(LEFT(L4156,2)="15",AND(LEFT(M4156,2)&lt;&gt;"15",LEFT(M4156,2)&lt;&gt;"33"))),"x","")</f>
        <v/>
      </c>
      <c r="V4156" s="525" t="str">
        <f>IF(AND(OR(LEFT(TH!L4156,2)="15",LEFT(TH!M4156,2)="15"),'152-CT'!$J$8=TH!F4156),"x","")</f>
        <v/>
      </c>
      <c r="W4156" s="525" t="str">
        <f>IF(AND(OR(LEFT(TH!L4156,2)="15",LEFT(TH!M4156,2)="15"),TK!$E$7=TH!F4156),"x","")</f>
        <v/>
      </c>
      <c r="X4156" s="525" t="str">
        <f>IF(AND('341-CT'!$E$9=H4156,OR(LEFT(L4156,3)=$X$7,LEFT(M4156,3)=$X$7)),"x","")</f>
        <v/>
      </c>
      <c r="Y4156" s="525" t="str">
        <f>IF(OR(TH!L4156=TH!$Y$7,M4156=TH!$Y$7),"x","")</f>
        <v/>
      </c>
      <c r="Z4156" s="525" t="str">
        <f>IF(AND(B4156&lt;=NKC!$N$8,B4156&gt;=NKC!$M$8),"x","")</f>
        <v/>
      </c>
      <c r="AA4156" s="535">
        <v>3</v>
      </c>
      <c r="AB4156" s="536"/>
      <c r="AC4156" s="536" t="str">
        <f>VLOOKUP(F4156,NXT!$B$12:$B$686,1,0)</f>
        <v>Giấy tấm 70x220</v>
      </c>
    </row>
    <row r="4157" spans="1:29" s="503" customFormat="1" ht="15.75" customHeight="1">
      <c r="A4157" s="517" t="str">
        <f>IF(B4157&lt;&gt;"",IF(AND(B4157&gt;=_TM1,B4157&lt;=_TM2,OR(TH!L4157="1111",TH!M4157="1111")),TH!D4157,""),"")</f>
        <v/>
      </c>
      <c r="B4157" s="531">
        <f t="shared" si="519"/>
        <v>9</v>
      </c>
      <c r="C4157" s="315">
        <f t="shared" si="520"/>
        <v>42991</v>
      </c>
      <c r="D4157" s="315" t="s">
        <v>1180</v>
      </c>
      <c r="E4157" s="315">
        <v>42991</v>
      </c>
      <c r="F4157" s="245" t="s">
        <v>273</v>
      </c>
      <c r="G4157" s="314" t="s">
        <v>1619</v>
      </c>
      <c r="H4157" s="248" t="s">
        <v>1612</v>
      </c>
      <c r="I4157" s="307">
        <v>4500</v>
      </c>
      <c r="J4157" s="307">
        <v>18179</v>
      </c>
      <c r="K4157" s="532">
        <f t="shared" si="521"/>
        <v>81805500</v>
      </c>
      <c r="L4157" s="534" t="s">
        <v>292</v>
      </c>
      <c r="M4157" s="534" t="s">
        <v>8</v>
      </c>
      <c r="N4157" s="525" t="str">
        <f>IF(AND('331-CT'!$E$7=TH!H4157,OR(L4157="331",M4157="331")),"331",IF(AND(OR(L4157="131",M4157="131"),H4157='131-CT'!$E$7),"131",""))</f>
        <v/>
      </c>
      <c r="O4157" s="525" t="str">
        <f>IF(AND($B4157&gt;='111'!$N$11,$B4157&lt;='111'!$O$11,OR($L4157=$O$7,$M4157=$O$7)),"x","")</f>
        <v/>
      </c>
      <c r="P4157" s="525" t="str">
        <f>IF(AND($L4157=$O$7,$B4157&lt;'111'!$N$11),"x","")</f>
        <v/>
      </c>
      <c r="Q4157" s="525" t="str">
        <f>IF(AND($M4157=$O$7,$B4157&lt;'111'!$N$11),"x","")</f>
        <v/>
      </c>
      <c r="R4157" s="525" t="str">
        <f>IF(ISERROR(FIND('112'!$M$9,G4157,1)),"",IF((AND(FIND('112'!$M$9,G4157,1)&gt;=1,$B4157&gt;='112'!$N$8,$B4157&lt;='112'!$O$8,OR($L4157='112'!$I$6,$M4157='112'!$I$6))),"x",""))</f>
        <v/>
      </c>
      <c r="S4157" s="525" t="str">
        <f>IF(ISERROR(FIND('112'!$M$9,G4157,1)),"",IF((AND(LEFT(G4157,2)=LEFT('112'!$M$9,2),B4157&lt;'112'!$N$8,$L4157='112'!$I$6)),"x",""))</f>
        <v/>
      </c>
      <c r="T4157" s="525" t="str">
        <f>IF(ISERROR(FIND('112'!$M$9,G4157,1)),"",IF((AND(RIGHT(G4157,2)=RIGHT('112'!$M$9,2),B4157&lt;'112'!$N$8,$M4157='112'!$I$6)),"x",""))</f>
        <v/>
      </c>
      <c r="U4157" s="525" t="str">
        <f>IF(AND(B4157&gt;='IN-NX'!$P$3,B4157&lt;='IN-NX'!$Q$3,'IN-NX'!$D$7=D4157,OR(LEFT(L4157,2)="15",AND(LEFT(M4157,2)&lt;&gt;"15",LEFT(M4157,2)&lt;&gt;"33"))),"x","")</f>
        <v/>
      </c>
      <c r="V4157" s="525" t="str">
        <f>IF(AND(OR(LEFT(TH!L4157,2)="15",LEFT(TH!M4157,2)="15"),'152-CT'!$J$8=TH!F4157),"x","")</f>
        <v>x</v>
      </c>
      <c r="W4157" s="525" t="str">
        <f>IF(AND(OR(LEFT(TH!L4157,2)="15",LEFT(TH!M4157,2)="15"),TK!$E$7=TH!F4157),"x","")</f>
        <v/>
      </c>
      <c r="X4157" s="525" t="str">
        <f>IF(AND('341-CT'!$E$9=H4157,OR(LEFT(L4157,3)=$X$7,LEFT(M4157,3)=$X$7)),"x","")</f>
        <v/>
      </c>
      <c r="Y4157" s="525" t="str">
        <f>IF(OR(TH!L4157=TH!$Y$7,M4157=TH!$Y$7),"x","")</f>
        <v/>
      </c>
      <c r="Z4157" s="525" t="str">
        <f>IF(AND(B4157&lt;=NKC!$N$8,B4157&gt;=NKC!$M$8),"x","")</f>
        <v/>
      </c>
      <c r="AA4157" s="535">
        <v>3</v>
      </c>
      <c r="AB4157" s="536"/>
      <c r="AC4157" s="536" t="str">
        <f>VLOOKUP(F4157,NXT!$B$12:$B$686,1,0)</f>
        <v>Giấy 3 lớp</v>
      </c>
    </row>
    <row r="4158" spans="1:29" s="503" customFormat="1" ht="15.75" customHeight="1">
      <c r="A4158" s="517" t="str">
        <f>IF(B4158&lt;&gt;"",IF(AND(B4158&gt;=_TM1,B4158&lt;=_TM2,OR(TH!L4158="1111",TH!M4158="1111")),TH!D4158,""),"")</f>
        <v/>
      </c>
      <c r="B4158" s="531">
        <f t="shared" si="519"/>
        <v>9</v>
      </c>
      <c r="C4158" s="315">
        <f t="shared" si="520"/>
        <v>42991</v>
      </c>
      <c r="D4158" s="315" t="s">
        <v>1180</v>
      </c>
      <c r="E4158" s="315">
        <v>42991</v>
      </c>
      <c r="F4158" s="249" t="s">
        <v>1320</v>
      </c>
      <c r="G4158" s="314" t="s">
        <v>1619</v>
      </c>
      <c r="H4158" s="248" t="s">
        <v>1612</v>
      </c>
      <c r="I4158" s="307"/>
      <c r="J4158" s="307"/>
      <c r="K4158" s="532">
        <v>8750310</v>
      </c>
      <c r="L4158" s="534" t="s">
        <v>9</v>
      </c>
      <c r="M4158" s="534" t="s">
        <v>8</v>
      </c>
      <c r="N4158" s="525" t="str">
        <f>IF(AND('331-CT'!$E$7=TH!H4158,OR(L4158="331",M4158="331")),"331",IF(AND(OR(L4158="131",M4158="131"),H4158='131-CT'!$E$7),"131",""))</f>
        <v/>
      </c>
      <c r="O4158" s="525" t="str">
        <f>IF(AND($B4158&gt;='111'!$N$11,$B4158&lt;='111'!$O$11,OR($L4158=$O$7,$M4158=$O$7)),"x","")</f>
        <v/>
      </c>
      <c r="P4158" s="525" t="str">
        <f>IF(AND($L4158=$O$7,$B4158&lt;'111'!$N$11),"x","")</f>
        <v/>
      </c>
      <c r="Q4158" s="525" t="str">
        <f>IF(AND($M4158=$O$7,$B4158&lt;'111'!$N$11),"x","")</f>
        <v/>
      </c>
      <c r="R4158" s="525" t="str">
        <f>IF(ISERROR(FIND('112'!$M$9,G4158,1)),"",IF((AND(FIND('112'!$M$9,G4158,1)&gt;=1,$B4158&gt;='112'!$N$8,$B4158&lt;='112'!$O$8,OR($L4158='112'!$I$6,$M4158='112'!$I$6))),"x",""))</f>
        <v/>
      </c>
      <c r="S4158" s="525" t="str">
        <f>IF(ISERROR(FIND('112'!$M$9,G4158,1)),"",IF((AND(LEFT(G4158,2)=LEFT('112'!$M$9,2),B4158&lt;'112'!$N$8,$L4158='112'!$I$6)),"x",""))</f>
        <v/>
      </c>
      <c r="T4158" s="525" t="str">
        <f>IF(ISERROR(FIND('112'!$M$9,G4158,1)),"",IF((AND(RIGHT(G4158,2)=RIGHT('112'!$M$9,2),B4158&lt;'112'!$N$8,$M4158='112'!$I$6)),"x",""))</f>
        <v/>
      </c>
      <c r="U4158" s="525" t="str">
        <f>IF(AND(B4158&gt;='IN-NX'!$P$3,B4158&lt;='IN-NX'!$Q$3,'IN-NX'!$D$7=D4158,OR(LEFT(L4158,2)="15",AND(LEFT(M4158,2)&lt;&gt;"15",LEFT(M4158,2)&lt;&gt;"33"))),"x","")</f>
        <v/>
      </c>
      <c r="V4158" s="525" t="str">
        <f>IF(AND(OR(LEFT(TH!L4158,2)="15",LEFT(TH!M4158,2)="15"),'152-CT'!$J$8=TH!F4158),"x","")</f>
        <v/>
      </c>
      <c r="W4158" s="525" t="str">
        <f>IF(AND(OR(LEFT(TH!L4158,2)="15",LEFT(TH!M4158,2)="15"),TK!$E$7=TH!F4158),"x","")</f>
        <v/>
      </c>
      <c r="X4158" s="525" t="str">
        <f>IF(AND('341-CT'!$E$9=H4158,OR(LEFT(L4158,3)=$X$7,LEFT(M4158,3)=$X$7)),"x","")</f>
        <v/>
      </c>
      <c r="Y4158" s="525" t="str">
        <f>IF(OR(TH!L4158=TH!$Y$7,M4158=TH!$Y$7),"x","")</f>
        <v/>
      </c>
      <c r="Z4158" s="525" t="str">
        <f>IF(AND(B4158&lt;=NKC!$N$8,B4158&gt;=NKC!$M$8),"x","")</f>
        <v/>
      </c>
      <c r="AA4158" s="535">
        <v>3</v>
      </c>
      <c r="AB4158" s="536"/>
      <c r="AC4158" s="536"/>
    </row>
    <row r="4159" spans="1:29" s="503" customFormat="1" ht="15.75" customHeight="1">
      <c r="A4159" s="517" t="str">
        <f>IF(B4159&lt;&gt;"",IF(AND(B4159&gt;=_TM1,B4159&lt;=_TM2,OR(TH!L4159="1111",TH!M4159="1111")),TH!D4159,""),"")</f>
        <v/>
      </c>
      <c r="B4159" s="531">
        <f t="shared" ref="B4159:B4170" si="522">IF(C4159&lt;&gt;"",MONTH(C4159),"")</f>
        <v>9</v>
      </c>
      <c r="C4159" s="315">
        <f t="shared" ref="C4159:C4170" si="523">E4159</f>
        <v>42995</v>
      </c>
      <c r="D4159" s="315" t="s">
        <v>1180</v>
      </c>
      <c r="E4159" s="315">
        <v>42995</v>
      </c>
      <c r="F4159" s="250" t="s">
        <v>1622</v>
      </c>
      <c r="G4159" s="314" t="s">
        <v>1621</v>
      </c>
      <c r="H4159" s="248" t="s">
        <v>1612</v>
      </c>
      <c r="I4159" s="307">
        <v>509</v>
      </c>
      <c r="J4159" s="307">
        <v>26460</v>
      </c>
      <c r="K4159" s="532">
        <f t="shared" ref="K4159:K4170" si="524">ROUND(I4159*J4159,0)</f>
        <v>13468140</v>
      </c>
      <c r="L4159" s="534" t="s">
        <v>292</v>
      </c>
      <c r="M4159" s="534" t="s">
        <v>8</v>
      </c>
      <c r="N4159" s="525" t="str">
        <f>IF(AND('331-CT'!$E$7=TH!H4159,OR(L4159="331",M4159="331")),"331",IF(AND(OR(L4159="131",M4159="131"),H4159='131-CT'!$E$7),"131",""))</f>
        <v/>
      </c>
      <c r="O4159" s="525" t="str">
        <f>IF(AND($B4159&gt;='111'!$N$11,$B4159&lt;='111'!$O$11,OR($L4159=$O$7,$M4159=$O$7)),"x","")</f>
        <v/>
      </c>
      <c r="P4159" s="525" t="str">
        <f>IF(AND($L4159=$O$7,$B4159&lt;'111'!$N$11),"x","")</f>
        <v/>
      </c>
      <c r="Q4159" s="525" t="str">
        <f>IF(AND($M4159=$O$7,$B4159&lt;'111'!$N$11),"x","")</f>
        <v/>
      </c>
      <c r="R4159" s="525" t="str">
        <f>IF(ISERROR(FIND('112'!$M$9,G4159,1)),"",IF((AND(FIND('112'!$M$9,G4159,1)&gt;=1,$B4159&gt;='112'!$N$8,$B4159&lt;='112'!$O$8,OR($L4159='112'!$I$6,$M4159='112'!$I$6))),"x",""))</f>
        <v/>
      </c>
      <c r="S4159" s="525" t="str">
        <f>IF(ISERROR(FIND('112'!$M$9,G4159,1)),"",IF((AND(LEFT(G4159,2)=LEFT('112'!$M$9,2),B4159&lt;'112'!$N$8,$L4159='112'!$I$6)),"x",""))</f>
        <v/>
      </c>
      <c r="T4159" s="525" t="str">
        <f>IF(ISERROR(FIND('112'!$M$9,G4159,1)),"",IF((AND(RIGHT(G4159,2)=RIGHT('112'!$M$9,2),B4159&lt;'112'!$N$8,$M4159='112'!$I$6)),"x",""))</f>
        <v/>
      </c>
      <c r="U4159" s="525" t="str">
        <f>IF(AND(B4159&gt;='IN-NX'!$P$3,B4159&lt;='IN-NX'!$Q$3,'IN-NX'!$D$7=D4159,OR(LEFT(L4159,2)="15",AND(LEFT(M4159,2)&lt;&gt;"15",LEFT(M4159,2)&lt;&gt;"33"))),"x","")</f>
        <v/>
      </c>
      <c r="V4159" s="525" t="str">
        <f>IF(AND(OR(LEFT(TH!L4159,2)="15",LEFT(TH!M4159,2)="15"),'152-CT'!$J$8=TH!F4159),"x","")</f>
        <v/>
      </c>
      <c r="W4159" s="525" t="str">
        <f>IF(AND(OR(LEFT(TH!L4159,2)="15",LEFT(TH!M4159,2)="15"),TK!$E$7=TH!F4159),"x","")</f>
        <v/>
      </c>
      <c r="X4159" s="525" t="str">
        <f>IF(AND('341-CT'!$E$9=H4159,OR(LEFT(L4159,3)=$X$7,LEFT(M4159,3)=$X$7)),"x","")</f>
        <v/>
      </c>
      <c r="Y4159" s="525" t="str">
        <f>IF(OR(TH!L4159=TH!$Y$7,M4159=TH!$Y$7),"x","")</f>
        <v/>
      </c>
      <c r="Z4159" s="525" t="str">
        <f>IF(AND(B4159&lt;=NKC!$N$8,B4159&gt;=NKC!$M$8),"x","")</f>
        <v/>
      </c>
      <c r="AA4159" s="535">
        <v>3</v>
      </c>
      <c r="AB4159" s="536"/>
      <c r="AC4159" s="536" t="str">
        <f>VLOOKUP(F4159,NXT!$B$12:$B$686,1,0)</f>
        <v>Thùng 480x300x570</v>
      </c>
    </row>
    <row r="4160" spans="1:29" s="503" customFormat="1" ht="15.75" customHeight="1">
      <c r="A4160" s="517" t="str">
        <f>IF(B4160&lt;&gt;"",IF(AND(B4160&gt;=_TM1,B4160&lt;=_TM2,OR(TH!L4160="1111",TH!M4160="1111")),TH!D4160,""),"")</f>
        <v/>
      </c>
      <c r="B4160" s="531">
        <f t="shared" si="522"/>
        <v>9</v>
      </c>
      <c r="C4160" s="315">
        <f t="shared" si="523"/>
        <v>42995</v>
      </c>
      <c r="D4160" s="315" t="s">
        <v>1180</v>
      </c>
      <c r="E4160" s="315">
        <v>42995</v>
      </c>
      <c r="F4160" s="245" t="s">
        <v>274</v>
      </c>
      <c r="G4160" s="314" t="s">
        <v>1621</v>
      </c>
      <c r="H4160" s="248" t="s">
        <v>1612</v>
      </c>
      <c r="I4160" s="307">
        <v>552</v>
      </c>
      <c r="J4160" s="307">
        <v>10290</v>
      </c>
      <c r="K4160" s="532">
        <f t="shared" si="524"/>
        <v>5680080</v>
      </c>
      <c r="L4160" s="534" t="s">
        <v>292</v>
      </c>
      <c r="M4160" s="534" t="s">
        <v>8</v>
      </c>
      <c r="N4160" s="525" t="str">
        <f>IF(AND('331-CT'!$E$7=TH!H4160,OR(L4160="331",M4160="331")),"331",IF(AND(OR(L4160="131",M4160="131"),H4160='131-CT'!$E$7),"131",""))</f>
        <v/>
      </c>
      <c r="O4160" s="525" t="str">
        <f>IF(AND($B4160&gt;='111'!$N$11,$B4160&lt;='111'!$O$11,OR($L4160=$O$7,$M4160=$O$7)),"x","")</f>
        <v/>
      </c>
      <c r="P4160" s="525" t="str">
        <f>IF(AND($L4160=$O$7,$B4160&lt;'111'!$N$11),"x","")</f>
        <v/>
      </c>
      <c r="Q4160" s="525" t="str">
        <f>IF(AND($M4160=$O$7,$B4160&lt;'111'!$N$11),"x","")</f>
        <v/>
      </c>
      <c r="R4160" s="525" t="str">
        <f>IF(ISERROR(FIND('112'!$M$9,G4160,1)),"",IF((AND(FIND('112'!$M$9,G4160,1)&gt;=1,$B4160&gt;='112'!$N$8,$B4160&lt;='112'!$O$8,OR($L4160='112'!$I$6,$M4160='112'!$I$6))),"x",""))</f>
        <v/>
      </c>
      <c r="S4160" s="525" t="str">
        <f>IF(ISERROR(FIND('112'!$M$9,G4160,1)),"",IF((AND(LEFT(G4160,2)=LEFT('112'!$M$9,2),B4160&lt;'112'!$N$8,$L4160='112'!$I$6)),"x",""))</f>
        <v/>
      </c>
      <c r="T4160" s="525" t="str">
        <f>IF(ISERROR(FIND('112'!$M$9,G4160,1)),"",IF((AND(RIGHT(G4160,2)=RIGHT('112'!$M$9,2),B4160&lt;'112'!$N$8,$M4160='112'!$I$6)),"x",""))</f>
        <v/>
      </c>
      <c r="U4160" s="525" t="str">
        <f>IF(AND(B4160&gt;='IN-NX'!$P$3,B4160&lt;='IN-NX'!$Q$3,'IN-NX'!$D$7=D4160,OR(LEFT(L4160,2)="15",AND(LEFT(M4160,2)&lt;&gt;"15",LEFT(M4160,2)&lt;&gt;"33"))),"x","")</f>
        <v/>
      </c>
      <c r="V4160" s="525" t="str">
        <f>IF(AND(OR(LEFT(TH!L4160,2)="15",LEFT(TH!M4160,2)="15"),'152-CT'!$J$8=TH!F4160),"x","")</f>
        <v/>
      </c>
      <c r="W4160" s="525" t="str">
        <f>IF(AND(OR(LEFT(TH!L4160,2)="15",LEFT(TH!M4160,2)="15"),TK!$E$7=TH!F4160),"x","")</f>
        <v>x</v>
      </c>
      <c r="X4160" s="525" t="str">
        <f>IF(AND('341-CT'!$E$9=H4160,OR(LEFT(L4160,3)=$X$7,LEFT(M4160,3)=$X$7)),"x","")</f>
        <v/>
      </c>
      <c r="Y4160" s="525" t="str">
        <f>IF(OR(TH!L4160=TH!$Y$7,M4160=TH!$Y$7),"x","")</f>
        <v/>
      </c>
      <c r="Z4160" s="525" t="str">
        <f>IF(AND(B4160&lt;=NKC!$N$8,B4160&gt;=NKC!$M$8),"x","")</f>
        <v/>
      </c>
      <c r="AA4160" s="535">
        <v>3</v>
      </c>
      <c r="AB4160" s="536"/>
      <c r="AC4160" s="536" t="str">
        <f>VLOOKUP(F4160,NXT!$B$12:$B$686,1,0)</f>
        <v>Giấy 2 lớp</v>
      </c>
    </row>
    <row r="4161" spans="1:29" s="503" customFormat="1" ht="15.75" customHeight="1">
      <c r="A4161" s="517" t="str">
        <f>IF(B4161&lt;&gt;"",IF(AND(B4161&gt;=_TM1,B4161&lt;=_TM2,OR(TH!L4161="1111",TH!M4161="1111")),TH!D4161,""),"")</f>
        <v/>
      </c>
      <c r="B4161" s="531">
        <f t="shared" si="522"/>
        <v>9</v>
      </c>
      <c r="C4161" s="315">
        <f t="shared" si="523"/>
        <v>42995</v>
      </c>
      <c r="D4161" s="315" t="s">
        <v>1180</v>
      </c>
      <c r="E4161" s="315">
        <v>42995</v>
      </c>
      <c r="F4161" s="250" t="s">
        <v>1217</v>
      </c>
      <c r="G4161" s="314" t="s">
        <v>1621</v>
      </c>
      <c r="H4161" s="248" t="s">
        <v>1612</v>
      </c>
      <c r="I4161" s="307">
        <v>3045</v>
      </c>
      <c r="J4161" s="307">
        <v>5782</v>
      </c>
      <c r="K4161" s="532">
        <f t="shared" si="524"/>
        <v>17606190</v>
      </c>
      <c r="L4161" s="534" t="s">
        <v>292</v>
      </c>
      <c r="M4161" s="534" t="s">
        <v>8</v>
      </c>
      <c r="N4161" s="525" t="str">
        <f>IF(AND('331-CT'!$E$7=TH!H4161,OR(L4161="331",M4161="331")),"331",IF(AND(OR(L4161="131",M4161="131"),H4161='131-CT'!$E$7),"131",""))</f>
        <v/>
      </c>
      <c r="O4161" s="525" t="str">
        <f>IF(AND($B4161&gt;='111'!$N$11,$B4161&lt;='111'!$O$11,OR($L4161=$O$7,$M4161=$O$7)),"x","")</f>
        <v/>
      </c>
      <c r="P4161" s="525" t="str">
        <f>IF(AND($L4161=$O$7,$B4161&lt;'111'!$N$11),"x","")</f>
        <v/>
      </c>
      <c r="Q4161" s="525" t="str">
        <f>IF(AND($M4161=$O$7,$B4161&lt;'111'!$N$11),"x","")</f>
        <v/>
      </c>
      <c r="R4161" s="525" t="str">
        <f>IF(ISERROR(FIND('112'!$M$9,G4161,1)),"",IF((AND(FIND('112'!$M$9,G4161,1)&gt;=1,$B4161&gt;='112'!$N$8,$B4161&lt;='112'!$O$8,OR($L4161='112'!$I$6,$M4161='112'!$I$6))),"x",""))</f>
        <v/>
      </c>
      <c r="S4161" s="525" t="str">
        <f>IF(ISERROR(FIND('112'!$M$9,G4161,1)),"",IF((AND(LEFT(G4161,2)=LEFT('112'!$M$9,2),B4161&lt;'112'!$N$8,$L4161='112'!$I$6)),"x",""))</f>
        <v/>
      </c>
      <c r="T4161" s="525" t="str">
        <f>IF(ISERROR(FIND('112'!$M$9,G4161,1)),"",IF((AND(RIGHT(G4161,2)=RIGHT('112'!$M$9,2),B4161&lt;'112'!$N$8,$M4161='112'!$I$6)),"x",""))</f>
        <v/>
      </c>
      <c r="U4161" s="525" t="str">
        <f>IF(AND(B4161&gt;='IN-NX'!$P$3,B4161&lt;='IN-NX'!$Q$3,'IN-NX'!$D$7=D4161,OR(LEFT(L4161,2)="15",AND(LEFT(M4161,2)&lt;&gt;"15",LEFT(M4161,2)&lt;&gt;"33"))),"x","")</f>
        <v/>
      </c>
      <c r="V4161" s="525" t="str">
        <f>IF(AND(OR(LEFT(TH!L4161,2)="15",LEFT(TH!M4161,2)="15"),'152-CT'!$J$8=TH!F4161),"x","")</f>
        <v/>
      </c>
      <c r="W4161" s="525" t="str">
        <f>IF(AND(OR(LEFT(TH!L4161,2)="15",LEFT(TH!M4161,2)="15"),TK!$E$7=TH!F4161),"x","")</f>
        <v/>
      </c>
      <c r="X4161" s="525" t="str">
        <f>IF(AND('341-CT'!$E$9=H4161,OR(LEFT(L4161,3)=$X$7,LEFT(M4161,3)=$X$7)),"x","")</f>
        <v/>
      </c>
      <c r="Y4161" s="525" t="str">
        <f>IF(OR(TH!L4161=TH!$Y$7,M4161=TH!$Y$7),"x","")</f>
        <v/>
      </c>
      <c r="Z4161" s="525" t="str">
        <f>IF(AND(B4161&lt;=NKC!$N$8,B4161&gt;=NKC!$M$8),"x","")</f>
        <v/>
      </c>
      <c r="AA4161" s="535">
        <v>3</v>
      </c>
      <c r="AB4161" s="536"/>
      <c r="AC4161" s="536" t="str">
        <f>VLOOKUP(F4161,NXT!$B$12:$B$686,1,0)</f>
        <v>Thùng 50x29.5x19</v>
      </c>
    </row>
    <row r="4162" spans="1:29" s="503" customFormat="1" ht="15.75" customHeight="1">
      <c r="A4162" s="517" t="str">
        <f>IF(B4162&lt;&gt;"",IF(AND(B4162&gt;=_TM1,B4162&lt;=_TM2,OR(TH!L4162="1111",TH!M4162="1111")),TH!D4162,""),"")</f>
        <v/>
      </c>
      <c r="B4162" s="531">
        <f t="shared" si="522"/>
        <v>9</v>
      </c>
      <c r="C4162" s="315">
        <f t="shared" si="523"/>
        <v>42995</v>
      </c>
      <c r="D4162" s="315" t="s">
        <v>1180</v>
      </c>
      <c r="E4162" s="315">
        <v>42995</v>
      </c>
      <c r="F4162" s="249" t="s">
        <v>494</v>
      </c>
      <c r="G4162" s="314" t="s">
        <v>1621</v>
      </c>
      <c r="H4162" s="248" t="s">
        <v>1612</v>
      </c>
      <c r="I4162" s="307"/>
      <c r="J4162" s="307"/>
      <c r="K4162" s="532">
        <v>3675441</v>
      </c>
      <c r="L4162" s="534" t="s">
        <v>9</v>
      </c>
      <c r="M4162" s="534" t="s">
        <v>8</v>
      </c>
      <c r="N4162" s="525" t="str">
        <f>IF(AND('331-CT'!$E$7=TH!H4162,OR(L4162="331",M4162="331")),"331",IF(AND(OR(L4162="131",M4162="131"),H4162='131-CT'!$E$7),"131",""))</f>
        <v/>
      </c>
      <c r="O4162" s="525" t="str">
        <f>IF(AND($B4162&gt;='111'!$N$11,$B4162&lt;='111'!$O$11,OR($L4162=$O$7,$M4162=$O$7)),"x","")</f>
        <v/>
      </c>
      <c r="P4162" s="525" t="str">
        <f>IF(AND($L4162=$O$7,$B4162&lt;'111'!$N$11),"x","")</f>
        <v/>
      </c>
      <c r="Q4162" s="525" t="str">
        <f>IF(AND($M4162=$O$7,$B4162&lt;'111'!$N$11),"x","")</f>
        <v/>
      </c>
      <c r="R4162" s="525" t="str">
        <f>IF(ISERROR(FIND('112'!$M$9,G4162,1)),"",IF((AND(FIND('112'!$M$9,G4162,1)&gt;=1,$B4162&gt;='112'!$N$8,$B4162&lt;='112'!$O$8,OR($L4162='112'!$I$6,$M4162='112'!$I$6))),"x",""))</f>
        <v/>
      </c>
      <c r="S4162" s="525" t="str">
        <f>IF(ISERROR(FIND('112'!$M$9,G4162,1)),"",IF((AND(LEFT(G4162,2)=LEFT('112'!$M$9,2),B4162&lt;'112'!$N$8,$L4162='112'!$I$6)),"x",""))</f>
        <v/>
      </c>
      <c r="T4162" s="525" t="str">
        <f>IF(ISERROR(FIND('112'!$M$9,G4162,1)),"",IF((AND(RIGHT(G4162,2)=RIGHT('112'!$M$9,2),B4162&lt;'112'!$N$8,$M4162='112'!$I$6)),"x",""))</f>
        <v/>
      </c>
      <c r="U4162" s="525" t="str">
        <f>IF(AND(B4162&gt;='IN-NX'!$P$3,B4162&lt;='IN-NX'!$Q$3,'IN-NX'!$D$7=D4162,OR(LEFT(L4162,2)="15",AND(LEFT(M4162,2)&lt;&gt;"15",LEFT(M4162,2)&lt;&gt;"33"))),"x","")</f>
        <v/>
      </c>
      <c r="V4162" s="525" t="str">
        <f>IF(AND(OR(LEFT(TH!L4162,2)="15",LEFT(TH!M4162,2)="15"),'152-CT'!$J$8=TH!F4162),"x","")</f>
        <v/>
      </c>
      <c r="W4162" s="525" t="str">
        <f>IF(AND(OR(LEFT(TH!L4162,2)="15",LEFT(TH!M4162,2)="15"),TK!$E$7=TH!F4162),"x","")</f>
        <v/>
      </c>
      <c r="X4162" s="525" t="str">
        <f>IF(AND('341-CT'!$E$9=H4162,OR(LEFT(L4162,3)=$X$7,LEFT(M4162,3)=$X$7)),"x","")</f>
        <v/>
      </c>
      <c r="Y4162" s="525" t="str">
        <f>IF(OR(TH!L4162=TH!$Y$7,M4162=TH!$Y$7),"x","")</f>
        <v/>
      </c>
      <c r="Z4162" s="525" t="str">
        <f>IF(AND(B4162&lt;=NKC!$N$8,B4162&gt;=NKC!$M$8),"x","")</f>
        <v/>
      </c>
      <c r="AA4162" s="535">
        <v>3</v>
      </c>
      <c r="AB4162" s="536"/>
      <c r="AC4162" s="536"/>
    </row>
    <row r="4163" spans="1:29" s="503" customFormat="1" ht="15.75" customHeight="1">
      <c r="A4163" s="517" t="str">
        <f>IF(B4163&lt;&gt;"",IF(AND(B4163&gt;=_TM1,B4163&lt;=_TM2,OR(TH!L4163="1111",TH!M4163="1111")),TH!D4163,""),"")</f>
        <v/>
      </c>
      <c r="B4163" s="531">
        <f t="shared" si="522"/>
        <v>9</v>
      </c>
      <c r="C4163" s="315">
        <f t="shared" si="523"/>
        <v>42999</v>
      </c>
      <c r="D4163" s="315" t="s">
        <v>1180</v>
      </c>
      <c r="E4163" s="315">
        <v>42999</v>
      </c>
      <c r="F4163" s="250" t="s">
        <v>560</v>
      </c>
      <c r="G4163" s="314" t="s">
        <v>1623</v>
      </c>
      <c r="H4163" s="248" t="s">
        <v>1612</v>
      </c>
      <c r="I4163" s="307">
        <v>980</v>
      </c>
      <c r="J4163" s="307">
        <v>17248</v>
      </c>
      <c r="K4163" s="532">
        <f t="shared" si="524"/>
        <v>16903040</v>
      </c>
      <c r="L4163" s="534" t="s">
        <v>292</v>
      </c>
      <c r="M4163" s="534" t="s">
        <v>8</v>
      </c>
      <c r="N4163" s="525" t="str">
        <f>IF(AND('331-CT'!$E$7=TH!H4163,OR(L4163="331",M4163="331")),"331",IF(AND(OR(L4163="131",M4163="131"),H4163='131-CT'!$E$7),"131",""))</f>
        <v/>
      </c>
      <c r="O4163" s="525" t="str">
        <f>IF(AND($B4163&gt;='111'!$N$11,$B4163&lt;='111'!$O$11,OR($L4163=$O$7,$M4163=$O$7)),"x","")</f>
        <v/>
      </c>
      <c r="P4163" s="525" t="str">
        <f>IF(AND($L4163=$O$7,$B4163&lt;'111'!$N$11),"x","")</f>
        <v/>
      </c>
      <c r="Q4163" s="525" t="str">
        <f>IF(AND($M4163=$O$7,$B4163&lt;'111'!$N$11),"x","")</f>
        <v/>
      </c>
      <c r="R4163" s="525" t="str">
        <f>IF(ISERROR(FIND('112'!$M$9,G4163,1)),"",IF((AND(FIND('112'!$M$9,G4163,1)&gt;=1,$B4163&gt;='112'!$N$8,$B4163&lt;='112'!$O$8,OR($L4163='112'!$I$6,$M4163='112'!$I$6))),"x",""))</f>
        <v/>
      </c>
      <c r="S4163" s="525" t="str">
        <f>IF(ISERROR(FIND('112'!$M$9,G4163,1)),"",IF((AND(LEFT(G4163,2)=LEFT('112'!$M$9,2),B4163&lt;'112'!$N$8,$L4163='112'!$I$6)),"x",""))</f>
        <v/>
      </c>
      <c r="T4163" s="525" t="str">
        <f>IF(ISERROR(FIND('112'!$M$9,G4163,1)),"",IF((AND(RIGHT(G4163,2)=RIGHT('112'!$M$9,2),B4163&lt;'112'!$N$8,$M4163='112'!$I$6)),"x",""))</f>
        <v/>
      </c>
      <c r="U4163" s="525" t="str">
        <f>IF(AND(B4163&gt;='IN-NX'!$P$3,B4163&lt;='IN-NX'!$Q$3,'IN-NX'!$D$7=D4163,OR(LEFT(L4163,2)="15",AND(LEFT(M4163,2)&lt;&gt;"15",LEFT(M4163,2)&lt;&gt;"33"))),"x","")</f>
        <v/>
      </c>
      <c r="V4163" s="525" t="str">
        <f>IF(AND(OR(LEFT(TH!L4163,2)="15",LEFT(TH!M4163,2)="15"),'152-CT'!$J$8=TH!F4163),"x","")</f>
        <v/>
      </c>
      <c r="W4163" s="525" t="str">
        <f>IF(AND(OR(LEFT(TH!L4163,2)="15",LEFT(TH!M4163,2)="15"),TK!$E$7=TH!F4163),"x","")</f>
        <v/>
      </c>
      <c r="X4163" s="525" t="str">
        <f>IF(AND('341-CT'!$E$9=H4163,OR(LEFT(L4163,3)=$X$7,LEFT(M4163,3)=$X$7)),"x","")</f>
        <v/>
      </c>
      <c r="Y4163" s="525" t="str">
        <f>IF(OR(TH!L4163=TH!$Y$7,M4163=TH!$Y$7),"x","")</f>
        <v/>
      </c>
      <c r="Z4163" s="525" t="str">
        <f>IF(AND(B4163&lt;=NKC!$N$8,B4163&gt;=NKC!$M$8),"x","")</f>
        <v/>
      </c>
      <c r="AA4163" s="535">
        <v>3</v>
      </c>
      <c r="AB4163" s="536"/>
      <c r="AC4163" s="536" t="str">
        <f>VLOOKUP(F4163,NXT!$B$12:$B$686,1,0)</f>
        <v>Giấy tấm 120x240</v>
      </c>
    </row>
    <row r="4164" spans="1:29" s="503" customFormat="1" ht="15.75" customHeight="1">
      <c r="A4164" s="517" t="str">
        <f>IF(B4164&lt;&gt;"",IF(AND(B4164&gt;=_TM1,B4164&lt;=_TM2,OR(TH!L4164="1111",TH!M4164="1111")),TH!D4164,""),"")</f>
        <v/>
      </c>
      <c r="B4164" s="531">
        <f t="shared" si="522"/>
        <v>9</v>
      </c>
      <c r="C4164" s="315">
        <f t="shared" si="523"/>
        <v>42999</v>
      </c>
      <c r="D4164" s="315" t="s">
        <v>1180</v>
      </c>
      <c r="E4164" s="315">
        <v>42999</v>
      </c>
      <c r="F4164" s="245" t="s">
        <v>274</v>
      </c>
      <c r="G4164" s="314" t="s">
        <v>1623</v>
      </c>
      <c r="H4164" s="248" t="s">
        <v>1612</v>
      </c>
      <c r="I4164" s="307">
        <v>2800</v>
      </c>
      <c r="J4164" s="307">
        <v>18130</v>
      </c>
      <c r="K4164" s="532">
        <f t="shared" si="524"/>
        <v>50764000</v>
      </c>
      <c r="L4164" s="534" t="s">
        <v>292</v>
      </c>
      <c r="M4164" s="534" t="s">
        <v>8</v>
      </c>
      <c r="N4164" s="525" t="str">
        <f>IF(AND('331-CT'!$E$7=TH!H4164,OR(L4164="331",M4164="331")),"331",IF(AND(OR(L4164="131",M4164="131"),H4164='131-CT'!$E$7),"131",""))</f>
        <v/>
      </c>
      <c r="O4164" s="525" t="str">
        <f>IF(AND($B4164&gt;='111'!$N$11,$B4164&lt;='111'!$O$11,OR($L4164=$O$7,$M4164=$O$7)),"x","")</f>
        <v/>
      </c>
      <c r="P4164" s="525" t="str">
        <f>IF(AND($L4164=$O$7,$B4164&lt;'111'!$N$11),"x","")</f>
        <v/>
      </c>
      <c r="Q4164" s="525" t="str">
        <f>IF(AND($M4164=$O$7,$B4164&lt;'111'!$N$11),"x","")</f>
        <v/>
      </c>
      <c r="R4164" s="525" t="str">
        <f>IF(ISERROR(FIND('112'!$M$9,G4164,1)),"",IF((AND(FIND('112'!$M$9,G4164,1)&gt;=1,$B4164&gt;='112'!$N$8,$B4164&lt;='112'!$O$8,OR($L4164='112'!$I$6,$M4164='112'!$I$6))),"x",""))</f>
        <v/>
      </c>
      <c r="S4164" s="525" t="str">
        <f>IF(ISERROR(FIND('112'!$M$9,G4164,1)),"",IF((AND(LEFT(G4164,2)=LEFT('112'!$M$9,2),B4164&lt;'112'!$N$8,$L4164='112'!$I$6)),"x",""))</f>
        <v/>
      </c>
      <c r="T4164" s="525" t="str">
        <f>IF(ISERROR(FIND('112'!$M$9,G4164,1)),"",IF((AND(RIGHT(G4164,2)=RIGHT('112'!$M$9,2),B4164&lt;'112'!$N$8,$M4164='112'!$I$6)),"x",""))</f>
        <v/>
      </c>
      <c r="U4164" s="525" t="str">
        <f>IF(AND(B4164&gt;='IN-NX'!$P$3,B4164&lt;='IN-NX'!$Q$3,'IN-NX'!$D$7=D4164,OR(LEFT(L4164,2)="15",AND(LEFT(M4164,2)&lt;&gt;"15",LEFT(M4164,2)&lt;&gt;"33"))),"x","")</f>
        <v/>
      </c>
      <c r="V4164" s="525" t="str">
        <f>IF(AND(OR(LEFT(TH!L4164,2)="15",LEFT(TH!M4164,2)="15"),'152-CT'!$J$8=TH!F4164),"x","")</f>
        <v/>
      </c>
      <c r="W4164" s="525" t="str">
        <f>IF(AND(OR(LEFT(TH!L4164,2)="15",LEFT(TH!M4164,2)="15"),TK!$E$7=TH!F4164),"x","")</f>
        <v>x</v>
      </c>
      <c r="X4164" s="525" t="str">
        <f>IF(AND('341-CT'!$E$9=H4164,OR(LEFT(L4164,3)=$X$7,LEFT(M4164,3)=$X$7)),"x","")</f>
        <v/>
      </c>
      <c r="Y4164" s="525" t="str">
        <f>IF(OR(TH!L4164=TH!$Y$7,M4164=TH!$Y$7),"x","")</f>
        <v/>
      </c>
      <c r="Z4164" s="525" t="str">
        <f>IF(AND(B4164&lt;=NKC!$N$8,B4164&gt;=NKC!$M$8),"x","")</f>
        <v/>
      </c>
      <c r="AA4164" s="535">
        <v>3</v>
      </c>
      <c r="AB4164" s="536"/>
      <c r="AC4164" s="536" t="str">
        <f>VLOOKUP(F4164,NXT!$B$12:$B$686,1,0)</f>
        <v>Giấy 2 lớp</v>
      </c>
    </row>
    <row r="4165" spans="1:29" s="503" customFormat="1" ht="15.75" customHeight="1">
      <c r="A4165" s="517" t="str">
        <f>IF(B4165&lt;&gt;"",IF(AND(B4165&gt;=_TM1,B4165&lt;=_TM2,OR(TH!L4165="1111",TH!M4165="1111")),TH!D4165,""),"")</f>
        <v/>
      </c>
      <c r="B4165" s="531">
        <f t="shared" si="522"/>
        <v>9</v>
      </c>
      <c r="C4165" s="315">
        <f t="shared" si="523"/>
        <v>42999</v>
      </c>
      <c r="D4165" s="315" t="s">
        <v>1180</v>
      </c>
      <c r="E4165" s="315">
        <v>42999</v>
      </c>
      <c r="F4165" s="250" t="s">
        <v>1217</v>
      </c>
      <c r="G4165" s="314" t="s">
        <v>1623</v>
      </c>
      <c r="H4165" s="248" t="s">
        <v>1612</v>
      </c>
      <c r="I4165" s="307">
        <v>3045</v>
      </c>
      <c r="J4165" s="307">
        <v>5782</v>
      </c>
      <c r="K4165" s="532">
        <f t="shared" si="524"/>
        <v>17606190</v>
      </c>
      <c r="L4165" s="534" t="s">
        <v>292</v>
      </c>
      <c r="M4165" s="534" t="s">
        <v>8</v>
      </c>
      <c r="N4165" s="525" t="str">
        <f>IF(AND('331-CT'!$E$7=TH!H4165,OR(L4165="331",M4165="331")),"331",IF(AND(OR(L4165="131",M4165="131"),H4165='131-CT'!$E$7),"131",""))</f>
        <v/>
      </c>
      <c r="O4165" s="525" t="str">
        <f>IF(AND($B4165&gt;='111'!$N$11,$B4165&lt;='111'!$O$11,OR($L4165=$O$7,$M4165=$O$7)),"x","")</f>
        <v/>
      </c>
      <c r="P4165" s="525" t="str">
        <f>IF(AND($L4165=$O$7,$B4165&lt;'111'!$N$11),"x","")</f>
        <v/>
      </c>
      <c r="Q4165" s="525" t="str">
        <f>IF(AND($M4165=$O$7,$B4165&lt;'111'!$N$11),"x","")</f>
        <v/>
      </c>
      <c r="R4165" s="525" t="str">
        <f>IF(ISERROR(FIND('112'!$M$9,G4165,1)),"",IF((AND(FIND('112'!$M$9,G4165,1)&gt;=1,$B4165&gt;='112'!$N$8,$B4165&lt;='112'!$O$8,OR($L4165='112'!$I$6,$M4165='112'!$I$6))),"x",""))</f>
        <v/>
      </c>
      <c r="S4165" s="525" t="str">
        <f>IF(ISERROR(FIND('112'!$M$9,G4165,1)),"",IF((AND(LEFT(G4165,2)=LEFT('112'!$M$9,2),B4165&lt;'112'!$N$8,$L4165='112'!$I$6)),"x",""))</f>
        <v/>
      </c>
      <c r="T4165" s="525" t="str">
        <f>IF(ISERROR(FIND('112'!$M$9,G4165,1)),"",IF((AND(RIGHT(G4165,2)=RIGHT('112'!$M$9,2),B4165&lt;'112'!$N$8,$M4165='112'!$I$6)),"x",""))</f>
        <v/>
      </c>
      <c r="U4165" s="525" t="str">
        <f>IF(AND(B4165&gt;='IN-NX'!$P$3,B4165&lt;='IN-NX'!$Q$3,'IN-NX'!$D$7=D4165,OR(LEFT(L4165,2)="15",AND(LEFT(M4165,2)&lt;&gt;"15",LEFT(M4165,2)&lt;&gt;"33"))),"x","")</f>
        <v/>
      </c>
      <c r="V4165" s="525" t="str">
        <f>IF(AND(OR(LEFT(TH!L4165,2)="15",LEFT(TH!M4165,2)="15"),'152-CT'!$J$8=TH!F4165),"x","")</f>
        <v/>
      </c>
      <c r="W4165" s="525" t="str">
        <f>IF(AND(OR(LEFT(TH!L4165,2)="15",LEFT(TH!M4165,2)="15"),TK!$E$7=TH!F4165),"x","")</f>
        <v/>
      </c>
      <c r="X4165" s="525" t="str">
        <f>IF(AND('341-CT'!$E$9=H4165,OR(LEFT(L4165,3)=$X$7,LEFT(M4165,3)=$X$7)),"x","")</f>
        <v/>
      </c>
      <c r="Y4165" s="525" t="str">
        <f>IF(OR(TH!L4165=TH!$Y$7,M4165=TH!$Y$7),"x","")</f>
        <v/>
      </c>
      <c r="Z4165" s="525" t="str">
        <f>IF(AND(B4165&lt;=NKC!$N$8,B4165&gt;=NKC!$M$8),"x","")</f>
        <v/>
      </c>
      <c r="AA4165" s="535">
        <v>3</v>
      </c>
      <c r="AB4165" s="536"/>
      <c r="AC4165" s="536" t="str">
        <f>VLOOKUP(F4165,NXT!$B$12:$B$686,1,0)</f>
        <v>Thùng 50x29.5x19</v>
      </c>
    </row>
    <row r="4166" spans="1:29" s="503" customFormat="1" ht="15.75" customHeight="1">
      <c r="A4166" s="517" t="str">
        <f>IF(B4166&lt;&gt;"",IF(AND(B4166&gt;=_TM1,B4166&lt;=_TM2,OR(TH!L4166="1111",TH!M4166="1111")),TH!D4166,""),"")</f>
        <v/>
      </c>
      <c r="B4166" s="531">
        <f t="shared" si="522"/>
        <v>9</v>
      </c>
      <c r="C4166" s="315">
        <f t="shared" si="523"/>
        <v>42999</v>
      </c>
      <c r="D4166" s="315" t="s">
        <v>1180</v>
      </c>
      <c r="E4166" s="315">
        <v>42999</v>
      </c>
      <c r="F4166" s="249" t="s">
        <v>494</v>
      </c>
      <c r="G4166" s="314" t="s">
        <v>1623</v>
      </c>
      <c r="H4166" s="248" t="s">
        <v>1612</v>
      </c>
      <c r="I4166" s="307"/>
      <c r="J4166" s="307"/>
      <c r="K4166" s="532">
        <v>8527323</v>
      </c>
      <c r="L4166" s="534" t="s">
        <v>9</v>
      </c>
      <c r="M4166" s="534" t="s">
        <v>8</v>
      </c>
      <c r="N4166" s="525" t="str">
        <f>IF(AND('331-CT'!$E$7=TH!H4166,OR(L4166="331",M4166="331")),"331",IF(AND(OR(L4166="131",M4166="131"),H4166='131-CT'!$E$7),"131",""))</f>
        <v/>
      </c>
      <c r="O4166" s="525" t="str">
        <f>IF(AND($B4166&gt;='111'!$N$11,$B4166&lt;='111'!$O$11,OR($L4166=$O$7,$M4166=$O$7)),"x","")</f>
        <v/>
      </c>
      <c r="P4166" s="525" t="str">
        <f>IF(AND($L4166=$O$7,$B4166&lt;'111'!$N$11),"x","")</f>
        <v/>
      </c>
      <c r="Q4166" s="525" t="str">
        <f>IF(AND($M4166=$O$7,$B4166&lt;'111'!$N$11),"x","")</f>
        <v/>
      </c>
      <c r="R4166" s="525" t="str">
        <f>IF(ISERROR(FIND('112'!$M$9,G4166,1)),"",IF((AND(FIND('112'!$M$9,G4166,1)&gt;=1,$B4166&gt;='112'!$N$8,$B4166&lt;='112'!$O$8,OR($L4166='112'!$I$6,$M4166='112'!$I$6))),"x",""))</f>
        <v/>
      </c>
      <c r="S4166" s="525" t="str">
        <f>IF(ISERROR(FIND('112'!$M$9,G4166,1)),"",IF((AND(LEFT(G4166,2)=LEFT('112'!$M$9,2),B4166&lt;'112'!$N$8,$L4166='112'!$I$6)),"x",""))</f>
        <v/>
      </c>
      <c r="T4166" s="525" t="str">
        <f>IF(ISERROR(FIND('112'!$M$9,G4166,1)),"",IF((AND(RIGHT(G4166,2)=RIGHT('112'!$M$9,2),B4166&lt;'112'!$N$8,$M4166='112'!$I$6)),"x",""))</f>
        <v/>
      </c>
      <c r="U4166" s="525" t="str">
        <f>IF(AND(B4166&gt;='IN-NX'!$P$3,B4166&lt;='IN-NX'!$Q$3,'IN-NX'!$D$7=D4166,OR(LEFT(L4166,2)="15",AND(LEFT(M4166,2)&lt;&gt;"15",LEFT(M4166,2)&lt;&gt;"33"))),"x","")</f>
        <v/>
      </c>
      <c r="V4166" s="525" t="str">
        <f>IF(AND(OR(LEFT(TH!L4166,2)="15",LEFT(TH!M4166,2)="15"),'152-CT'!$J$8=TH!F4166),"x","")</f>
        <v/>
      </c>
      <c r="W4166" s="525" t="str">
        <f>IF(AND(OR(LEFT(TH!L4166,2)="15",LEFT(TH!M4166,2)="15"),TK!$E$7=TH!F4166),"x","")</f>
        <v/>
      </c>
      <c r="X4166" s="525" t="str">
        <f>IF(AND('341-CT'!$E$9=H4166,OR(LEFT(L4166,3)=$X$7,LEFT(M4166,3)=$X$7)),"x","")</f>
        <v/>
      </c>
      <c r="Y4166" s="525" t="str">
        <f>IF(OR(TH!L4166=TH!$Y$7,M4166=TH!$Y$7),"x","")</f>
        <v/>
      </c>
      <c r="Z4166" s="525" t="str">
        <f>IF(AND(B4166&lt;=NKC!$N$8,B4166&gt;=NKC!$M$8),"x","")</f>
        <v/>
      </c>
      <c r="AA4166" s="535">
        <v>3</v>
      </c>
      <c r="AB4166" s="536"/>
      <c r="AC4166" s="536"/>
    </row>
    <row r="4167" spans="1:29" s="503" customFormat="1" ht="15.75" customHeight="1">
      <c r="A4167" s="517" t="str">
        <f>IF(B4167&lt;&gt;"",IF(AND(B4167&gt;=_TM1,B4167&lt;=_TM2,OR(TH!L4167="1111",TH!M4167="1111")),TH!D4167,""),"")</f>
        <v/>
      </c>
      <c r="B4167" s="531">
        <f t="shared" si="522"/>
        <v>9</v>
      </c>
      <c r="C4167" s="315">
        <f t="shared" si="523"/>
        <v>43001</v>
      </c>
      <c r="D4167" s="315" t="s">
        <v>1180</v>
      </c>
      <c r="E4167" s="315">
        <v>43001</v>
      </c>
      <c r="F4167" s="245" t="s">
        <v>503</v>
      </c>
      <c r="G4167" s="314" t="s">
        <v>1624</v>
      </c>
      <c r="H4167" s="248" t="s">
        <v>1612</v>
      </c>
      <c r="I4167" s="307">
        <v>2106</v>
      </c>
      <c r="J4167" s="307">
        <v>8330</v>
      </c>
      <c r="K4167" s="532">
        <f t="shared" si="524"/>
        <v>17542980</v>
      </c>
      <c r="L4167" s="534" t="s">
        <v>292</v>
      </c>
      <c r="M4167" s="534" t="s">
        <v>8</v>
      </c>
      <c r="N4167" s="525" t="str">
        <f>IF(AND('331-CT'!$E$7=TH!H4167,OR(L4167="331",M4167="331")),"331",IF(AND(OR(L4167="131",M4167="131"),H4167='131-CT'!$E$7),"131",""))</f>
        <v/>
      </c>
      <c r="O4167" s="525" t="str">
        <f>IF(AND($B4167&gt;='111'!$N$11,$B4167&lt;='111'!$O$11,OR($L4167=$O$7,$M4167=$O$7)),"x","")</f>
        <v/>
      </c>
      <c r="P4167" s="525" t="str">
        <f>IF(AND($L4167=$O$7,$B4167&lt;'111'!$N$11),"x","")</f>
        <v/>
      </c>
      <c r="Q4167" s="525" t="str">
        <f>IF(AND($M4167=$O$7,$B4167&lt;'111'!$N$11),"x","")</f>
        <v/>
      </c>
      <c r="R4167" s="525" t="str">
        <f>IF(ISERROR(FIND('112'!$M$9,G4167,1)),"",IF((AND(FIND('112'!$M$9,G4167,1)&gt;=1,$B4167&gt;='112'!$N$8,$B4167&lt;='112'!$O$8,OR($L4167='112'!$I$6,$M4167='112'!$I$6))),"x",""))</f>
        <v/>
      </c>
      <c r="S4167" s="525" t="str">
        <f>IF(ISERROR(FIND('112'!$M$9,G4167,1)),"",IF((AND(LEFT(G4167,2)=LEFT('112'!$M$9,2),B4167&lt;'112'!$N$8,$L4167='112'!$I$6)),"x",""))</f>
        <v/>
      </c>
      <c r="T4167" s="525" t="str">
        <f>IF(ISERROR(FIND('112'!$M$9,G4167,1)),"",IF((AND(RIGHT(G4167,2)=RIGHT('112'!$M$9,2),B4167&lt;'112'!$N$8,$M4167='112'!$I$6)),"x",""))</f>
        <v/>
      </c>
      <c r="U4167" s="525" t="str">
        <f>IF(AND(B4167&gt;='IN-NX'!$P$3,B4167&lt;='IN-NX'!$Q$3,'IN-NX'!$D$7=D4167,OR(LEFT(L4167,2)="15",AND(LEFT(M4167,2)&lt;&gt;"15",LEFT(M4167,2)&lt;&gt;"33"))),"x","")</f>
        <v/>
      </c>
      <c r="V4167" s="525" t="str">
        <f>IF(AND(OR(LEFT(TH!L4167,2)="15",LEFT(TH!M4167,2)="15"),'152-CT'!$J$8=TH!F4167),"x","")</f>
        <v/>
      </c>
      <c r="W4167" s="525" t="str">
        <f>IF(AND(OR(LEFT(TH!L4167,2)="15",LEFT(TH!M4167,2)="15"),TK!$E$7=TH!F4167),"x","")</f>
        <v/>
      </c>
      <c r="X4167" s="525" t="str">
        <f>IF(AND('341-CT'!$E$9=H4167,OR(LEFT(L4167,3)=$X$7,LEFT(M4167,3)=$X$7)),"x","")</f>
        <v/>
      </c>
      <c r="Y4167" s="525" t="str">
        <f>IF(OR(TH!L4167=TH!$Y$7,M4167=TH!$Y$7),"x","")</f>
        <v/>
      </c>
      <c r="Z4167" s="525" t="str">
        <f>IF(AND(B4167&lt;=NKC!$N$8,B4167&gt;=NKC!$M$8),"x","")</f>
        <v/>
      </c>
      <c r="AA4167" s="535">
        <v>3</v>
      </c>
      <c r="AB4167" s="536"/>
      <c r="AC4167" s="536" t="str">
        <f>VLOOKUP(F4167,NXT!$B$12:$B$686,1,0)</f>
        <v>Giấy 5 lớp</v>
      </c>
    </row>
    <row r="4168" spans="1:29" s="503" customFormat="1" ht="15.75" customHeight="1">
      <c r="A4168" s="517" t="str">
        <f>IF(B4168&lt;&gt;"",IF(AND(B4168&gt;=_TM1,B4168&lt;=_TM2,OR(TH!L4168="1111",TH!M4168="1111")),TH!D4168,""),"")</f>
        <v/>
      </c>
      <c r="B4168" s="531">
        <f t="shared" si="522"/>
        <v>9</v>
      </c>
      <c r="C4168" s="315">
        <f t="shared" si="523"/>
        <v>43001</v>
      </c>
      <c r="D4168" s="315" t="s">
        <v>1180</v>
      </c>
      <c r="E4168" s="315">
        <v>43001</v>
      </c>
      <c r="F4168" s="250" t="s">
        <v>1217</v>
      </c>
      <c r="G4168" s="314" t="s">
        <v>1624</v>
      </c>
      <c r="H4168" s="248" t="s">
        <v>1612</v>
      </c>
      <c r="I4168" s="307">
        <v>3045</v>
      </c>
      <c r="J4168" s="307">
        <v>5782</v>
      </c>
      <c r="K4168" s="532">
        <f t="shared" si="524"/>
        <v>17606190</v>
      </c>
      <c r="L4168" s="534" t="s">
        <v>292</v>
      </c>
      <c r="M4168" s="534" t="s">
        <v>8</v>
      </c>
      <c r="N4168" s="525" t="str">
        <f>IF(AND('331-CT'!$E$7=TH!H4168,OR(L4168="331",M4168="331")),"331",IF(AND(OR(L4168="131",M4168="131"),H4168='131-CT'!$E$7),"131",""))</f>
        <v/>
      </c>
      <c r="O4168" s="525" t="str">
        <f>IF(AND($B4168&gt;='111'!$N$11,$B4168&lt;='111'!$O$11,OR($L4168=$O$7,$M4168=$O$7)),"x","")</f>
        <v/>
      </c>
      <c r="P4168" s="525" t="str">
        <f>IF(AND($L4168=$O$7,$B4168&lt;'111'!$N$11),"x","")</f>
        <v/>
      </c>
      <c r="Q4168" s="525" t="str">
        <f>IF(AND($M4168=$O$7,$B4168&lt;'111'!$N$11),"x","")</f>
        <v/>
      </c>
      <c r="R4168" s="525" t="str">
        <f>IF(ISERROR(FIND('112'!$M$9,G4168,1)),"",IF((AND(FIND('112'!$M$9,G4168,1)&gt;=1,$B4168&gt;='112'!$N$8,$B4168&lt;='112'!$O$8,OR($L4168='112'!$I$6,$M4168='112'!$I$6))),"x",""))</f>
        <v/>
      </c>
      <c r="S4168" s="525" t="str">
        <f>IF(ISERROR(FIND('112'!$M$9,G4168,1)),"",IF((AND(LEFT(G4168,2)=LEFT('112'!$M$9,2),B4168&lt;'112'!$N$8,$L4168='112'!$I$6)),"x",""))</f>
        <v/>
      </c>
      <c r="T4168" s="525" t="str">
        <f>IF(ISERROR(FIND('112'!$M$9,G4168,1)),"",IF((AND(RIGHT(G4168,2)=RIGHT('112'!$M$9,2),B4168&lt;'112'!$N$8,$M4168='112'!$I$6)),"x",""))</f>
        <v/>
      </c>
      <c r="U4168" s="525" t="str">
        <f>IF(AND(B4168&gt;='IN-NX'!$P$3,B4168&lt;='IN-NX'!$Q$3,'IN-NX'!$D$7=D4168,OR(LEFT(L4168,2)="15",AND(LEFT(M4168,2)&lt;&gt;"15",LEFT(M4168,2)&lt;&gt;"33"))),"x","")</f>
        <v/>
      </c>
      <c r="V4168" s="525" t="str">
        <f>IF(AND(OR(LEFT(TH!L4168,2)="15",LEFT(TH!M4168,2)="15"),'152-CT'!$J$8=TH!F4168),"x","")</f>
        <v/>
      </c>
      <c r="W4168" s="525" t="str">
        <f>IF(AND(OR(LEFT(TH!L4168,2)="15",LEFT(TH!M4168,2)="15"),TK!$E$7=TH!F4168),"x","")</f>
        <v/>
      </c>
      <c r="X4168" s="525" t="str">
        <f>IF(AND('341-CT'!$E$9=H4168,OR(LEFT(L4168,3)=$X$7,LEFT(M4168,3)=$X$7)),"x","")</f>
        <v/>
      </c>
      <c r="Y4168" s="525" t="str">
        <f>IF(OR(TH!L4168=TH!$Y$7,M4168=TH!$Y$7),"x","")</f>
        <v/>
      </c>
      <c r="Z4168" s="525" t="str">
        <f>IF(AND(B4168&lt;=NKC!$N$8,B4168&gt;=NKC!$M$8),"x","")</f>
        <v/>
      </c>
      <c r="AA4168" s="535">
        <v>3</v>
      </c>
      <c r="AB4168" s="536"/>
      <c r="AC4168" s="536" t="str">
        <f>VLOOKUP(F4168,NXT!$B$12:$B$686,1,0)</f>
        <v>Thùng 50x29.5x19</v>
      </c>
    </row>
    <row r="4169" spans="1:29" s="503" customFormat="1" ht="15.75" customHeight="1">
      <c r="A4169" s="517" t="str">
        <f>IF(B4169&lt;&gt;"",IF(AND(B4169&gt;=_TM1,B4169&lt;=_TM2,OR(TH!L4169="1111",TH!M4169="1111")),TH!D4169,""),"")</f>
        <v/>
      </c>
      <c r="B4169" s="531">
        <f t="shared" si="522"/>
        <v>9</v>
      </c>
      <c r="C4169" s="315">
        <f t="shared" si="523"/>
        <v>43001</v>
      </c>
      <c r="D4169" s="315" t="s">
        <v>1180</v>
      </c>
      <c r="E4169" s="315">
        <v>43001</v>
      </c>
      <c r="F4169" s="249" t="s">
        <v>494</v>
      </c>
      <c r="G4169" s="314" t="s">
        <v>1624</v>
      </c>
      <c r="H4169" s="248" t="s">
        <v>1612</v>
      </c>
      <c r="I4169" s="307"/>
      <c r="J4169" s="307"/>
      <c r="K4169" s="532">
        <v>3514917</v>
      </c>
      <c r="L4169" s="534" t="s">
        <v>9</v>
      </c>
      <c r="M4169" s="534" t="s">
        <v>8</v>
      </c>
      <c r="N4169" s="525" t="str">
        <f>IF(AND('331-CT'!$E$7=TH!H4169,OR(L4169="331",M4169="331")),"331",IF(AND(OR(L4169="131",M4169="131"),H4169='131-CT'!$E$7),"131",""))</f>
        <v/>
      </c>
      <c r="O4169" s="525" t="str">
        <f>IF(AND($B4169&gt;='111'!$N$11,$B4169&lt;='111'!$O$11,OR($L4169=$O$7,$M4169=$O$7)),"x","")</f>
        <v/>
      </c>
      <c r="P4169" s="525" t="str">
        <f>IF(AND($L4169=$O$7,$B4169&lt;'111'!$N$11),"x","")</f>
        <v/>
      </c>
      <c r="Q4169" s="525" t="str">
        <f>IF(AND($M4169=$O$7,$B4169&lt;'111'!$N$11),"x","")</f>
        <v/>
      </c>
      <c r="R4169" s="525" t="str">
        <f>IF(ISERROR(FIND('112'!$M$9,G4169,1)),"",IF((AND(FIND('112'!$M$9,G4169,1)&gt;=1,$B4169&gt;='112'!$N$8,$B4169&lt;='112'!$O$8,OR($L4169='112'!$I$6,$M4169='112'!$I$6))),"x",""))</f>
        <v/>
      </c>
      <c r="S4169" s="525" t="str">
        <f>IF(ISERROR(FIND('112'!$M$9,G4169,1)),"",IF((AND(LEFT(G4169,2)=LEFT('112'!$M$9,2),B4169&lt;'112'!$N$8,$L4169='112'!$I$6)),"x",""))</f>
        <v/>
      </c>
      <c r="T4169" s="525" t="str">
        <f>IF(ISERROR(FIND('112'!$M$9,G4169,1)),"",IF((AND(RIGHT(G4169,2)=RIGHT('112'!$M$9,2),B4169&lt;'112'!$N$8,$M4169='112'!$I$6)),"x",""))</f>
        <v/>
      </c>
      <c r="U4169" s="525" t="str">
        <f>IF(AND(B4169&gt;='IN-NX'!$P$3,B4169&lt;='IN-NX'!$Q$3,'IN-NX'!$D$7=D4169,OR(LEFT(L4169,2)="15",AND(LEFT(M4169,2)&lt;&gt;"15",LEFT(M4169,2)&lt;&gt;"33"))),"x","")</f>
        <v/>
      </c>
      <c r="V4169" s="525" t="str">
        <f>IF(AND(OR(LEFT(TH!L4169,2)="15",LEFT(TH!M4169,2)="15"),'152-CT'!$J$8=TH!F4169),"x","")</f>
        <v/>
      </c>
      <c r="W4169" s="525" t="str">
        <f>IF(AND(OR(LEFT(TH!L4169,2)="15",LEFT(TH!M4169,2)="15"),TK!$E$7=TH!F4169),"x","")</f>
        <v/>
      </c>
      <c r="X4169" s="525" t="str">
        <f>IF(AND('341-CT'!$E$9=H4169,OR(LEFT(L4169,3)=$X$7,LEFT(M4169,3)=$X$7)),"x","")</f>
        <v/>
      </c>
      <c r="Y4169" s="525" t="str">
        <f>IF(OR(TH!L4169=TH!$Y$7,M4169=TH!$Y$7),"x","")</f>
        <v/>
      </c>
      <c r="Z4169" s="525" t="str">
        <f>IF(AND(B4169&lt;=NKC!$N$8,B4169&gt;=NKC!$M$8),"x","")</f>
        <v/>
      </c>
      <c r="AA4169" s="535">
        <v>3</v>
      </c>
      <c r="AB4169" s="536"/>
      <c r="AC4169" s="536"/>
    </row>
    <row r="4170" spans="1:29" s="503" customFormat="1" ht="15.75" customHeight="1">
      <c r="A4170" s="517" t="str">
        <f>IF(B4170&lt;&gt;"",IF(AND(B4170&gt;=_TM1,B4170&lt;=_TM2,OR(TH!L4170="1111",TH!M4170="1111")),TH!D4170,""),"")</f>
        <v/>
      </c>
      <c r="B4170" s="531">
        <f t="shared" si="522"/>
        <v>9</v>
      </c>
      <c r="C4170" s="315">
        <f t="shared" si="523"/>
        <v>43003</v>
      </c>
      <c r="D4170" s="315" t="s">
        <v>1180</v>
      </c>
      <c r="E4170" s="315">
        <v>43003</v>
      </c>
      <c r="F4170" s="250" t="s">
        <v>1217</v>
      </c>
      <c r="G4170" s="314" t="s">
        <v>1625</v>
      </c>
      <c r="H4170" s="248" t="s">
        <v>1612</v>
      </c>
      <c r="I4170" s="307">
        <v>9135</v>
      </c>
      <c r="J4170" s="307">
        <v>5782</v>
      </c>
      <c r="K4170" s="532">
        <f t="shared" si="524"/>
        <v>52818570</v>
      </c>
      <c r="L4170" s="534" t="s">
        <v>292</v>
      </c>
      <c r="M4170" s="534" t="s">
        <v>8</v>
      </c>
      <c r="N4170" s="525" t="str">
        <f>IF(AND('331-CT'!$E$7=TH!H4170,OR(L4170="331",M4170="331")),"331",IF(AND(OR(L4170="131",M4170="131"),H4170='131-CT'!$E$7),"131",""))</f>
        <v/>
      </c>
      <c r="O4170" s="525" t="str">
        <f>IF(AND($B4170&gt;='111'!$N$11,$B4170&lt;='111'!$O$11,OR($L4170=$O$7,$M4170=$O$7)),"x","")</f>
        <v/>
      </c>
      <c r="P4170" s="525" t="str">
        <f>IF(AND($L4170=$O$7,$B4170&lt;'111'!$N$11),"x","")</f>
        <v/>
      </c>
      <c r="Q4170" s="525" t="str">
        <f>IF(AND($M4170=$O$7,$B4170&lt;'111'!$N$11),"x","")</f>
        <v/>
      </c>
      <c r="R4170" s="525" t="str">
        <f>IF(ISERROR(FIND('112'!$M$9,G4170,1)),"",IF((AND(FIND('112'!$M$9,G4170,1)&gt;=1,$B4170&gt;='112'!$N$8,$B4170&lt;='112'!$O$8,OR($L4170='112'!$I$6,$M4170='112'!$I$6))),"x",""))</f>
        <v/>
      </c>
      <c r="S4170" s="525" t="str">
        <f>IF(ISERROR(FIND('112'!$M$9,G4170,1)),"",IF((AND(LEFT(G4170,2)=LEFT('112'!$M$9,2),B4170&lt;'112'!$N$8,$L4170='112'!$I$6)),"x",""))</f>
        <v/>
      </c>
      <c r="T4170" s="525" t="str">
        <f>IF(ISERROR(FIND('112'!$M$9,G4170,1)),"",IF((AND(RIGHT(G4170,2)=RIGHT('112'!$M$9,2),B4170&lt;'112'!$N$8,$M4170='112'!$I$6)),"x",""))</f>
        <v/>
      </c>
      <c r="U4170" s="525" t="str">
        <f>IF(AND(B4170&gt;='IN-NX'!$P$3,B4170&lt;='IN-NX'!$Q$3,'IN-NX'!$D$7=D4170,OR(LEFT(L4170,2)="15",AND(LEFT(M4170,2)&lt;&gt;"15",LEFT(M4170,2)&lt;&gt;"33"))),"x","")</f>
        <v/>
      </c>
      <c r="V4170" s="525" t="str">
        <f>IF(AND(OR(LEFT(TH!L4170,2)="15",LEFT(TH!M4170,2)="15"),'152-CT'!$J$8=TH!F4170),"x","")</f>
        <v/>
      </c>
      <c r="W4170" s="525" t="str">
        <f>IF(AND(OR(LEFT(TH!L4170,2)="15",LEFT(TH!M4170,2)="15"),TK!$E$7=TH!F4170),"x","")</f>
        <v/>
      </c>
      <c r="X4170" s="525" t="str">
        <f>IF(AND('341-CT'!$E$9=H4170,OR(LEFT(L4170,3)=$X$7,LEFT(M4170,3)=$X$7)),"x","")</f>
        <v/>
      </c>
      <c r="Y4170" s="525" t="str">
        <f>IF(OR(TH!L4170=TH!$Y$7,M4170=TH!$Y$7),"x","")</f>
        <v/>
      </c>
      <c r="Z4170" s="525" t="str">
        <f>IF(AND(B4170&lt;=NKC!$N$8,B4170&gt;=NKC!$M$8),"x","")</f>
        <v/>
      </c>
      <c r="AA4170" s="535">
        <v>3</v>
      </c>
      <c r="AB4170" s="536"/>
      <c r="AC4170" s="536" t="str">
        <f>VLOOKUP(F4170,NXT!$B$12:$B$686,1,0)</f>
        <v>Thùng 50x29.5x19</v>
      </c>
    </row>
    <row r="4171" spans="1:29" s="503" customFormat="1" ht="15.75" customHeight="1">
      <c r="A4171" s="517" t="str">
        <f>IF(B4171&lt;&gt;"",IF(AND(B4171&gt;=_TM1,B4171&lt;=_TM2,OR(TH!L4171="1111",TH!M4171="1111")),TH!D4171,""),"")</f>
        <v/>
      </c>
      <c r="B4171" s="531">
        <f t="shared" si="519"/>
        <v>9</v>
      </c>
      <c r="C4171" s="315">
        <f t="shared" si="520"/>
        <v>43003</v>
      </c>
      <c r="D4171" s="315" t="s">
        <v>1180</v>
      </c>
      <c r="E4171" s="315">
        <v>43003</v>
      </c>
      <c r="F4171" s="249" t="s">
        <v>494</v>
      </c>
      <c r="G4171" s="314" t="s">
        <v>1625</v>
      </c>
      <c r="H4171" s="248" t="s">
        <v>1612</v>
      </c>
      <c r="I4171" s="307"/>
      <c r="J4171" s="307"/>
      <c r="K4171" s="532">
        <v>5281857</v>
      </c>
      <c r="L4171" s="534" t="s">
        <v>9</v>
      </c>
      <c r="M4171" s="534" t="s">
        <v>8</v>
      </c>
      <c r="N4171" s="525" t="str">
        <f>IF(AND('331-CT'!$E$7=TH!H4171,OR(L4171="331",M4171="331")),"331",IF(AND(OR(L4171="131",M4171="131"),H4171='131-CT'!$E$7),"131",""))</f>
        <v/>
      </c>
      <c r="O4171" s="525" t="str">
        <f>IF(AND($B4171&gt;='111'!$N$11,$B4171&lt;='111'!$O$11,OR($L4171=$O$7,$M4171=$O$7)),"x","")</f>
        <v/>
      </c>
      <c r="P4171" s="525" t="str">
        <f>IF(AND($L4171=$O$7,$B4171&lt;'111'!$N$11),"x","")</f>
        <v/>
      </c>
      <c r="Q4171" s="525" t="str">
        <f>IF(AND($M4171=$O$7,$B4171&lt;'111'!$N$11),"x","")</f>
        <v/>
      </c>
      <c r="R4171" s="525" t="str">
        <f>IF(ISERROR(FIND('112'!$M$9,G4171,1)),"",IF((AND(FIND('112'!$M$9,G4171,1)&gt;=1,$B4171&gt;='112'!$N$8,$B4171&lt;='112'!$O$8,OR($L4171='112'!$I$6,$M4171='112'!$I$6))),"x",""))</f>
        <v/>
      </c>
      <c r="S4171" s="525" t="str">
        <f>IF(ISERROR(FIND('112'!$M$9,G4171,1)),"",IF((AND(LEFT(G4171,2)=LEFT('112'!$M$9,2),B4171&lt;'112'!$N$8,$L4171='112'!$I$6)),"x",""))</f>
        <v/>
      </c>
      <c r="T4171" s="525" t="str">
        <f>IF(ISERROR(FIND('112'!$M$9,G4171,1)),"",IF((AND(RIGHT(G4171,2)=RIGHT('112'!$M$9,2),B4171&lt;'112'!$N$8,$M4171='112'!$I$6)),"x",""))</f>
        <v/>
      </c>
      <c r="U4171" s="525" t="str">
        <f>IF(AND(B4171&gt;='IN-NX'!$P$3,B4171&lt;='IN-NX'!$Q$3,'IN-NX'!$D$7=D4171,OR(LEFT(L4171,2)="15",AND(LEFT(M4171,2)&lt;&gt;"15",LEFT(M4171,2)&lt;&gt;"33"))),"x","")</f>
        <v/>
      </c>
      <c r="V4171" s="525" t="str">
        <f>IF(AND(OR(LEFT(TH!L4171,2)="15",LEFT(TH!M4171,2)="15"),'152-CT'!$J$8=TH!F4171),"x","")</f>
        <v/>
      </c>
      <c r="W4171" s="525" t="str">
        <f>IF(AND(OR(LEFT(TH!L4171,2)="15",LEFT(TH!M4171,2)="15"),TK!$E$7=TH!F4171),"x","")</f>
        <v/>
      </c>
      <c r="X4171" s="525" t="str">
        <f>IF(AND('341-CT'!$E$9=H4171,OR(LEFT(L4171,3)=$X$7,LEFT(M4171,3)=$X$7)),"x","")</f>
        <v/>
      </c>
      <c r="Y4171" s="525" t="str">
        <f>IF(OR(TH!L4171=TH!$Y$7,M4171=TH!$Y$7),"x","")</f>
        <v/>
      </c>
      <c r="Z4171" s="525" t="str">
        <f>IF(AND(B4171&lt;=NKC!$N$8,B4171&gt;=NKC!$M$8),"x","")</f>
        <v/>
      </c>
      <c r="AA4171" s="535">
        <v>3</v>
      </c>
      <c r="AB4171" s="536"/>
      <c r="AC4171" s="536"/>
    </row>
    <row r="4172" spans="1:29" s="503" customFormat="1" ht="15.75" customHeight="1">
      <c r="A4172" s="517" t="str">
        <f>IF(B4172&lt;&gt;"",IF(AND(B4172&gt;=_TM1,B4172&lt;=_TM2,OR(TH!L4172="1111",TH!M4172="1111")),TH!D4172,""),"")</f>
        <v/>
      </c>
      <c r="B4172" s="531">
        <f t="shared" si="519"/>
        <v>9</v>
      </c>
      <c r="C4172" s="315">
        <f t="shared" si="520"/>
        <v>43004</v>
      </c>
      <c r="D4172" s="315" t="s">
        <v>1180</v>
      </c>
      <c r="E4172" s="315">
        <v>43004</v>
      </c>
      <c r="F4172" s="250" t="s">
        <v>1217</v>
      </c>
      <c r="G4172" s="314" t="s">
        <v>1626</v>
      </c>
      <c r="H4172" s="248" t="s">
        <v>1612</v>
      </c>
      <c r="I4172" s="307">
        <v>3045</v>
      </c>
      <c r="J4172" s="307">
        <v>5782</v>
      </c>
      <c r="K4172" s="532">
        <f t="shared" ref="K4172:K4175" si="525">ROUND(I4172*J4172,0)</f>
        <v>17606190</v>
      </c>
      <c r="L4172" s="534" t="s">
        <v>292</v>
      </c>
      <c r="M4172" s="534" t="s">
        <v>8</v>
      </c>
      <c r="N4172" s="525" t="str">
        <f>IF(AND('331-CT'!$E$7=TH!H4172,OR(L4172="331",M4172="331")),"331",IF(AND(OR(L4172="131",M4172="131"),H4172='131-CT'!$E$7),"131",""))</f>
        <v/>
      </c>
      <c r="O4172" s="525" t="str">
        <f>IF(AND($B4172&gt;='111'!$N$11,$B4172&lt;='111'!$O$11,OR($L4172=$O$7,$M4172=$O$7)),"x","")</f>
        <v/>
      </c>
      <c r="P4172" s="525" t="str">
        <f>IF(AND($L4172=$O$7,$B4172&lt;'111'!$N$11),"x","")</f>
        <v/>
      </c>
      <c r="Q4172" s="525" t="str">
        <f>IF(AND($M4172=$O$7,$B4172&lt;'111'!$N$11),"x","")</f>
        <v/>
      </c>
      <c r="R4172" s="525" t="str">
        <f>IF(ISERROR(FIND('112'!$M$9,G4172,1)),"",IF((AND(FIND('112'!$M$9,G4172,1)&gt;=1,$B4172&gt;='112'!$N$8,$B4172&lt;='112'!$O$8,OR($L4172='112'!$I$6,$M4172='112'!$I$6))),"x",""))</f>
        <v/>
      </c>
      <c r="S4172" s="525" t="str">
        <f>IF(ISERROR(FIND('112'!$M$9,G4172,1)),"",IF((AND(LEFT(G4172,2)=LEFT('112'!$M$9,2),B4172&lt;'112'!$N$8,$L4172='112'!$I$6)),"x",""))</f>
        <v/>
      </c>
      <c r="T4172" s="525" t="str">
        <f>IF(ISERROR(FIND('112'!$M$9,G4172,1)),"",IF((AND(RIGHT(G4172,2)=RIGHT('112'!$M$9,2),B4172&lt;'112'!$N$8,$M4172='112'!$I$6)),"x",""))</f>
        <v/>
      </c>
      <c r="U4172" s="525" t="str">
        <f>IF(AND(B4172&gt;='IN-NX'!$P$3,B4172&lt;='IN-NX'!$Q$3,'IN-NX'!$D$7=D4172,OR(LEFT(L4172,2)="15",AND(LEFT(M4172,2)&lt;&gt;"15",LEFT(M4172,2)&lt;&gt;"33"))),"x","")</f>
        <v/>
      </c>
      <c r="V4172" s="525" t="str">
        <f>IF(AND(OR(LEFT(TH!L4172,2)="15",LEFT(TH!M4172,2)="15"),'152-CT'!$J$8=TH!F4172),"x","")</f>
        <v/>
      </c>
      <c r="W4172" s="525" t="str">
        <f>IF(AND(OR(LEFT(TH!L4172,2)="15",LEFT(TH!M4172,2)="15"),TK!$E$7=TH!F4172),"x","")</f>
        <v/>
      </c>
      <c r="X4172" s="525" t="str">
        <f>IF(AND('341-CT'!$E$9=H4172,OR(LEFT(L4172,3)=$X$7,LEFT(M4172,3)=$X$7)),"x","")</f>
        <v/>
      </c>
      <c r="Y4172" s="525" t="str">
        <f>IF(OR(TH!L4172=TH!$Y$7,M4172=TH!$Y$7),"x","")</f>
        <v/>
      </c>
      <c r="Z4172" s="525" t="str">
        <f>IF(AND(B4172&lt;=NKC!$N$8,B4172&gt;=NKC!$M$8),"x","")</f>
        <v/>
      </c>
      <c r="AA4172" s="535">
        <v>3</v>
      </c>
      <c r="AB4172" s="536"/>
      <c r="AC4172" s="536" t="str">
        <f>VLOOKUP(F4172,NXT!$B$12:$B$686,1,0)</f>
        <v>Thùng 50x29.5x19</v>
      </c>
    </row>
    <row r="4173" spans="1:29" s="503" customFormat="1" ht="15.75" customHeight="1">
      <c r="A4173" s="517" t="str">
        <f>IF(B4173&lt;&gt;"",IF(AND(B4173&gt;=_TM1,B4173&lt;=_TM2,OR(TH!L4173="1111",TH!M4173="1111")),TH!D4173,""),"")</f>
        <v/>
      </c>
      <c r="B4173" s="531">
        <f t="shared" si="519"/>
        <v>9</v>
      </c>
      <c r="C4173" s="315">
        <f t="shared" si="520"/>
        <v>43004</v>
      </c>
      <c r="D4173" s="315" t="s">
        <v>1180</v>
      </c>
      <c r="E4173" s="315">
        <v>43004</v>
      </c>
      <c r="F4173" s="250" t="s">
        <v>1308</v>
      </c>
      <c r="G4173" s="314" t="s">
        <v>1626</v>
      </c>
      <c r="H4173" s="248" t="s">
        <v>1612</v>
      </c>
      <c r="I4173" s="307">
        <f>125+485</f>
        <v>610</v>
      </c>
      <c r="J4173" s="307">
        <v>10925</v>
      </c>
      <c r="K4173" s="532">
        <f t="shared" si="525"/>
        <v>6664250</v>
      </c>
      <c r="L4173" s="534" t="s">
        <v>292</v>
      </c>
      <c r="M4173" s="534" t="s">
        <v>8</v>
      </c>
      <c r="N4173" s="525" t="str">
        <f>IF(AND('331-CT'!$E$7=TH!H4173,OR(L4173="331",M4173="331")),"331",IF(AND(OR(L4173="131",M4173="131"),H4173='131-CT'!$E$7),"131",""))</f>
        <v/>
      </c>
      <c r="O4173" s="525" t="str">
        <f>IF(AND($B4173&gt;='111'!$N$11,$B4173&lt;='111'!$O$11,OR($L4173=$O$7,$M4173=$O$7)),"x","")</f>
        <v/>
      </c>
      <c r="P4173" s="525" t="str">
        <f>IF(AND($L4173=$O$7,$B4173&lt;'111'!$N$11),"x","")</f>
        <v/>
      </c>
      <c r="Q4173" s="525" t="str">
        <f>IF(AND($M4173=$O$7,$B4173&lt;'111'!$N$11),"x","")</f>
        <v/>
      </c>
      <c r="R4173" s="525" t="str">
        <f>IF(ISERROR(FIND('112'!$M$9,G4173,1)),"",IF((AND(FIND('112'!$M$9,G4173,1)&gt;=1,$B4173&gt;='112'!$N$8,$B4173&lt;='112'!$O$8,OR($L4173='112'!$I$6,$M4173='112'!$I$6))),"x",""))</f>
        <v/>
      </c>
      <c r="S4173" s="525" t="str">
        <f>IF(ISERROR(FIND('112'!$M$9,G4173,1)),"",IF((AND(LEFT(G4173,2)=LEFT('112'!$M$9,2),B4173&lt;'112'!$N$8,$L4173='112'!$I$6)),"x",""))</f>
        <v/>
      </c>
      <c r="T4173" s="525" t="str">
        <f>IF(ISERROR(FIND('112'!$M$9,G4173,1)),"",IF((AND(RIGHT(G4173,2)=RIGHT('112'!$M$9,2),B4173&lt;'112'!$N$8,$M4173='112'!$I$6)),"x",""))</f>
        <v/>
      </c>
      <c r="U4173" s="525" t="str">
        <f>IF(AND(B4173&gt;='IN-NX'!$P$3,B4173&lt;='IN-NX'!$Q$3,'IN-NX'!$D$7=D4173,OR(LEFT(L4173,2)="15",AND(LEFT(M4173,2)&lt;&gt;"15",LEFT(M4173,2)&lt;&gt;"33"))),"x","")</f>
        <v/>
      </c>
      <c r="V4173" s="525" t="str">
        <f>IF(AND(OR(LEFT(TH!L4173,2)="15",LEFT(TH!M4173,2)="15"),'152-CT'!$J$8=TH!F4173),"x","")</f>
        <v/>
      </c>
      <c r="W4173" s="525" t="str">
        <f>IF(AND(OR(LEFT(TH!L4173,2)="15",LEFT(TH!M4173,2)="15"),TK!$E$7=TH!F4173),"x","")</f>
        <v/>
      </c>
      <c r="X4173" s="525" t="str">
        <f>IF(AND('341-CT'!$E$9=H4173,OR(LEFT(L4173,3)=$X$7,LEFT(M4173,3)=$X$7)),"x","")</f>
        <v/>
      </c>
      <c r="Y4173" s="525" t="str">
        <f>IF(OR(TH!L4173=TH!$Y$7,M4173=TH!$Y$7),"x","")</f>
        <v/>
      </c>
      <c r="Z4173" s="525" t="str">
        <f>IF(AND(B4173&lt;=NKC!$N$8,B4173&gt;=NKC!$M$8),"x","")</f>
        <v/>
      </c>
      <c r="AA4173" s="535">
        <v>3</v>
      </c>
      <c r="AB4173" s="536"/>
      <c r="AC4173" s="536" t="str">
        <f>VLOOKUP(F4173,NXT!$B$12:$B$686,1,0)</f>
        <v>Thùng 183x15.9x10</v>
      </c>
    </row>
    <row r="4174" spans="1:29" s="503" customFormat="1" ht="15.75" customHeight="1">
      <c r="A4174" s="517" t="str">
        <f>IF(B4174&lt;&gt;"",IF(AND(B4174&gt;=_TM1,B4174&lt;=_TM2,OR(TH!L4174="1111",TH!M4174="1111")),TH!D4174,""),"")</f>
        <v/>
      </c>
      <c r="B4174" s="531">
        <f t="shared" si="519"/>
        <v>9</v>
      </c>
      <c r="C4174" s="315">
        <f t="shared" si="520"/>
        <v>43004</v>
      </c>
      <c r="D4174" s="315" t="s">
        <v>1180</v>
      </c>
      <c r="E4174" s="315">
        <v>43004</v>
      </c>
      <c r="F4174" s="250" t="s">
        <v>1316</v>
      </c>
      <c r="G4174" s="314" t="s">
        <v>1626</v>
      </c>
      <c r="H4174" s="248" t="s">
        <v>1612</v>
      </c>
      <c r="I4174" s="307">
        <v>125</v>
      </c>
      <c r="J4174" s="307">
        <v>11348</v>
      </c>
      <c r="K4174" s="532">
        <f t="shared" si="525"/>
        <v>1418500</v>
      </c>
      <c r="L4174" s="534" t="s">
        <v>292</v>
      </c>
      <c r="M4174" s="534" t="s">
        <v>8</v>
      </c>
      <c r="N4174" s="525" t="str">
        <f>IF(AND('331-CT'!$E$7=TH!H4174,OR(L4174="331",M4174="331")),"331",IF(AND(OR(L4174="131",M4174="131"),H4174='131-CT'!$E$7),"131",""))</f>
        <v/>
      </c>
      <c r="O4174" s="525" t="str">
        <f>IF(AND($B4174&gt;='111'!$N$11,$B4174&lt;='111'!$O$11,OR($L4174=$O$7,$M4174=$O$7)),"x","")</f>
        <v/>
      </c>
      <c r="P4174" s="525" t="str">
        <f>IF(AND($L4174=$O$7,$B4174&lt;'111'!$N$11),"x","")</f>
        <v/>
      </c>
      <c r="Q4174" s="525" t="str">
        <f>IF(AND($M4174=$O$7,$B4174&lt;'111'!$N$11),"x","")</f>
        <v/>
      </c>
      <c r="R4174" s="525" t="str">
        <f>IF(ISERROR(FIND('112'!$M$9,G4174,1)),"",IF((AND(FIND('112'!$M$9,G4174,1)&gt;=1,$B4174&gt;='112'!$N$8,$B4174&lt;='112'!$O$8,OR($L4174='112'!$I$6,$M4174='112'!$I$6))),"x",""))</f>
        <v/>
      </c>
      <c r="S4174" s="525" t="str">
        <f>IF(ISERROR(FIND('112'!$M$9,G4174,1)),"",IF((AND(LEFT(G4174,2)=LEFT('112'!$M$9,2),B4174&lt;'112'!$N$8,$L4174='112'!$I$6)),"x",""))</f>
        <v/>
      </c>
      <c r="T4174" s="525" t="str">
        <f>IF(ISERROR(FIND('112'!$M$9,G4174,1)),"",IF((AND(RIGHT(G4174,2)=RIGHT('112'!$M$9,2),B4174&lt;'112'!$N$8,$M4174='112'!$I$6)),"x",""))</f>
        <v/>
      </c>
      <c r="U4174" s="525" t="str">
        <f>IF(AND(B4174&gt;='IN-NX'!$P$3,B4174&lt;='IN-NX'!$Q$3,'IN-NX'!$D$7=D4174,OR(LEFT(L4174,2)="15",AND(LEFT(M4174,2)&lt;&gt;"15",LEFT(M4174,2)&lt;&gt;"33"))),"x","")</f>
        <v/>
      </c>
      <c r="V4174" s="525" t="str">
        <f>IF(AND(OR(LEFT(TH!L4174,2)="15",LEFT(TH!M4174,2)="15"),'152-CT'!$J$8=TH!F4174),"x","")</f>
        <v/>
      </c>
      <c r="W4174" s="525" t="str">
        <f>IF(AND(OR(LEFT(TH!L4174,2)="15",LEFT(TH!M4174,2)="15"),TK!$E$7=TH!F4174),"x","")</f>
        <v/>
      </c>
      <c r="X4174" s="525" t="str">
        <f>IF(AND('341-CT'!$E$9=H4174,OR(LEFT(L4174,3)=$X$7,LEFT(M4174,3)=$X$7)),"x","")</f>
        <v/>
      </c>
      <c r="Y4174" s="525" t="str">
        <f>IF(OR(TH!L4174=TH!$Y$7,M4174=TH!$Y$7),"x","")</f>
        <v/>
      </c>
      <c r="Z4174" s="525" t="str">
        <f>IF(AND(B4174&lt;=NKC!$N$8,B4174&gt;=NKC!$M$8),"x","")</f>
        <v/>
      </c>
      <c r="AA4174" s="535">
        <v>3</v>
      </c>
      <c r="AB4174" s="536"/>
      <c r="AC4174" s="536" t="str">
        <f>VLOOKUP(F4174,NXT!$B$12:$B$686,1,0)</f>
        <v>Thùng 183x19.2x8.2</v>
      </c>
    </row>
    <row r="4175" spans="1:29" s="503" customFormat="1" ht="15.75" customHeight="1">
      <c r="A4175" s="517" t="str">
        <f>IF(B4175&lt;&gt;"",IF(AND(B4175&gt;=_TM1,B4175&lt;=_TM2,OR(TH!L4175="1111",TH!M4175="1111")),TH!D4175,""),"")</f>
        <v/>
      </c>
      <c r="B4175" s="531">
        <f t="shared" si="519"/>
        <v>9</v>
      </c>
      <c r="C4175" s="315">
        <f t="shared" si="520"/>
        <v>43004</v>
      </c>
      <c r="D4175" s="315" t="s">
        <v>1180</v>
      </c>
      <c r="E4175" s="315">
        <v>43004</v>
      </c>
      <c r="F4175" s="250" t="s">
        <v>1316</v>
      </c>
      <c r="G4175" s="314" t="s">
        <v>1626</v>
      </c>
      <c r="H4175" s="248" t="s">
        <v>1612</v>
      </c>
      <c r="I4175" s="307">
        <v>610</v>
      </c>
      <c r="J4175" s="307">
        <v>10808</v>
      </c>
      <c r="K4175" s="532">
        <f t="shared" si="525"/>
        <v>6592880</v>
      </c>
      <c r="L4175" s="534" t="s">
        <v>292</v>
      </c>
      <c r="M4175" s="534" t="s">
        <v>8</v>
      </c>
      <c r="N4175" s="525" t="str">
        <f>IF(AND('331-CT'!$E$7=TH!H4175,OR(L4175="331",M4175="331")),"331",IF(AND(OR(L4175="131",M4175="131"),H4175='131-CT'!$E$7),"131",""))</f>
        <v/>
      </c>
      <c r="O4175" s="525" t="str">
        <f>IF(AND($B4175&gt;='111'!$N$11,$B4175&lt;='111'!$O$11,OR($L4175=$O$7,$M4175=$O$7)),"x","")</f>
        <v/>
      </c>
      <c r="P4175" s="525" t="str">
        <f>IF(AND($L4175=$O$7,$B4175&lt;'111'!$N$11),"x","")</f>
        <v/>
      </c>
      <c r="Q4175" s="525" t="str">
        <f>IF(AND($M4175=$O$7,$B4175&lt;'111'!$N$11),"x","")</f>
        <v/>
      </c>
      <c r="R4175" s="525" t="str">
        <f>IF(ISERROR(FIND('112'!$M$9,G4175,1)),"",IF((AND(FIND('112'!$M$9,G4175,1)&gt;=1,$B4175&gt;='112'!$N$8,$B4175&lt;='112'!$O$8,OR($L4175='112'!$I$6,$M4175='112'!$I$6))),"x",""))</f>
        <v/>
      </c>
      <c r="S4175" s="525" t="str">
        <f>IF(ISERROR(FIND('112'!$M$9,G4175,1)),"",IF((AND(LEFT(G4175,2)=LEFT('112'!$M$9,2),B4175&lt;'112'!$N$8,$L4175='112'!$I$6)),"x",""))</f>
        <v/>
      </c>
      <c r="T4175" s="525" t="str">
        <f>IF(ISERROR(FIND('112'!$M$9,G4175,1)),"",IF((AND(RIGHT(G4175,2)=RIGHT('112'!$M$9,2),B4175&lt;'112'!$N$8,$M4175='112'!$I$6)),"x",""))</f>
        <v/>
      </c>
      <c r="U4175" s="525" t="str">
        <f>IF(AND(B4175&gt;='IN-NX'!$P$3,B4175&lt;='IN-NX'!$Q$3,'IN-NX'!$D$7=D4175,OR(LEFT(L4175,2)="15",AND(LEFT(M4175,2)&lt;&gt;"15",LEFT(M4175,2)&lt;&gt;"33"))),"x","")</f>
        <v/>
      </c>
      <c r="V4175" s="525" t="str">
        <f>IF(AND(OR(LEFT(TH!L4175,2)="15",LEFT(TH!M4175,2)="15"),'152-CT'!$J$8=TH!F4175),"x","")</f>
        <v/>
      </c>
      <c r="W4175" s="525" t="str">
        <f>IF(AND(OR(LEFT(TH!L4175,2)="15",LEFT(TH!M4175,2)="15"),TK!$E$7=TH!F4175),"x","")</f>
        <v/>
      </c>
      <c r="X4175" s="525" t="str">
        <f>IF(AND('341-CT'!$E$9=H4175,OR(LEFT(L4175,3)=$X$7,LEFT(M4175,3)=$X$7)),"x","")</f>
        <v/>
      </c>
      <c r="Y4175" s="525" t="str">
        <f>IF(OR(TH!L4175=TH!$Y$7,M4175=TH!$Y$7),"x","")</f>
        <v/>
      </c>
      <c r="Z4175" s="525" t="str">
        <f>IF(AND(B4175&lt;=NKC!$N$8,B4175&gt;=NKC!$M$8),"x","")</f>
        <v/>
      </c>
      <c r="AA4175" s="535">
        <v>3</v>
      </c>
      <c r="AB4175" s="536"/>
      <c r="AC4175" s="536" t="str">
        <f>VLOOKUP(F4175,NXT!$B$12:$B$686,1,0)</f>
        <v>Thùng 183x19.2x8.2</v>
      </c>
    </row>
    <row r="4176" spans="1:29" s="503" customFormat="1" ht="15.75" customHeight="1">
      <c r="A4176" s="517" t="str">
        <f>IF(B4176&lt;&gt;"",IF(AND(B4176&gt;=_TM1,B4176&lt;=_TM2,OR(TH!L4176="1111",TH!M4176="1111")),TH!D4176,""),"")</f>
        <v/>
      </c>
      <c r="B4176" s="531">
        <f t="shared" si="509"/>
        <v>9</v>
      </c>
      <c r="C4176" s="315">
        <f t="shared" si="510"/>
        <v>43004</v>
      </c>
      <c r="D4176" s="315" t="s">
        <v>1180</v>
      </c>
      <c r="E4176" s="315">
        <v>43004</v>
      </c>
      <c r="F4176" s="250" t="s">
        <v>1627</v>
      </c>
      <c r="G4176" s="314" t="s">
        <v>1626</v>
      </c>
      <c r="H4176" s="248" t="s">
        <v>1612</v>
      </c>
      <c r="I4176" s="307">
        <v>115</v>
      </c>
      <c r="J4176" s="307">
        <v>9902</v>
      </c>
      <c r="K4176" s="532">
        <f t="shared" si="511"/>
        <v>1138730</v>
      </c>
      <c r="L4176" s="534" t="s">
        <v>292</v>
      </c>
      <c r="M4176" s="534" t="s">
        <v>8</v>
      </c>
      <c r="N4176" s="525" t="str">
        <f>IF(AND('331-CT'!$E$7=TH!H4176,OR(L4176="331",M4176="331")),"331",IF(AND(OR(L4176="131",M4176="131"),H4176='131-CT'!$E$7),"131",""))</f>
        <v/>
      </c>
      <c r="O4176" s="525" t="str">
        <f>IF(AND($B4176&gt;='111'!$N$11,$B4176&lt;='111'!$O$11,OR($L4176=$O$7,$M4176=$O$7)),"x","")</f>
        <v/>
      </c>
      <c r="P4176" s="525" t="str">
        <f>IF(AND($L4176=$O$7,$B4176&lt;'111'!$N$11),"x","")</f>
        <v/>
      </c>
      <c r="Q4176" s="525" t="str">
        <f>IF(AND($M4176=$O$7,$B4176&lt;'111'!$N$11),"x","")</f>
        <v/>
      </c>
      <c r="R4176" s="525" t="str">
        <f>IF(ISERROR(FIND('112'!$M$9,G4176,1)),"",IF((AND(FIND('112'!$M$9,G4176,1)&gt;=1,$B4176&gt;='112'!$N$8,$B4176&lt;='112'!$O$8,OR($L4176='112'!$I$6,$M4176='112'!$I$6))),"x",""))</f>
        <v/>
      </c>
      <c r="S4176" s="525" t="str">
        <f>IF(ISERROR(FIND('112'!$M$9,G4176,1)),"",IF((AND(LEFT(G4176,2)=LEFT('112'!$M$9,2),B4176&lt;'112'!$N$8,$L4176='112'!$I$6)),"x",""))</f>
        <v/>
      </c>
      <c r="T4176" s="525" t="str">
        <f>IF(ISERROR(FIND('112'!$M$9,G4176,1)),"",IF((AND(RIGHT(G4176,2)=RIGHT('112'!$M$9,2),B4176&lt;'112'!$N$8,$M4176='112'!$I$6)),"x",""))</f>
        <v/>
      </c>
      <c r="U4176" s="525" t="str">
        <f>IF(AND(B4176&gt;='IN-NX'!$P$3,B4176&lt;='IN-NX'!$Q$3,'IN-NX'!$D$7=D4176,OR(LEFT(L4176,2)="15",AND(LEFT(M4176,2)&lt;&gt;"15",LEFT(M4176,2)&lt;&gt;"33"))),"x","")</f>
        <v/>
      </c>
      <c r="V4176" s="525" t="str">
        <f>IF(AND(OR(LEFT(TH!L4176,2)="15",LEFT(TH!M4176,2)="15"),'152-CT'!$J$8=TH!F4176),"x","")</f>
        <v/>
      </c>
      <c r="W4176" s="525" t="str">
        <f>IF(AND(OR(LEFT(TH!L4176,2)="15",LEFT(TH!M4176,2)="15"),TK!$E$7=TH!F4176),"x","")</f>
        <v/>
      </c>
      <c r="X4176" s="525" t="str">
        <f>IF(AND('341-CT'!$E$9=H4176,OR(LEFT(L4176,3)=$X$7,LEFT(M4176,3)=$X$7)),"x","")</f>
        <v/>
      </c>
      <c r="Y4176" s="525" t="str">
        <f>IF(OR(TH!L4176=TH!$Y$7,M4176=TH!$Y$7),"x","")</f>
        <v/>
      </c>
      <c r="Z4176" s="525" t="str">
        <f>IF(AND(B4176&lt;=NKC!$N$8,B4176&gt;=NKC!$M$8),"x","")</f>
        <v/>
      </c>
      <c r="AA4176" s="535">
        <v>3</v>
      </c>
      <c r="AB4176" s="536"/>
      <c r="AC4176" s="536" t="str">
        <f>VLOOKUP(F4176,NXT!$B$12:$B$686,1,0)</f>
        <v>Thùng 11.4x12.9x183</v>
      </c>
    </row>
    <row r="4177" spans="1:29" s="503" customFormat="1" ht="15.75" customHeight="1">
      <c r="A4177" s="517" t="str">
        <f>IF(B4177&lt;&gt;"",IF(AND(B4177&gt;=_TM1,B4177&lt;=_TM2,OR(TH!L4177="1111",TH!M4177="1111")),TH!D4177,""),"")</f>
        <v/>
      </c>
      <c r="B4177" s="531">
        <f t="shared" si="509"/>
        <v>9</v>
      </c>
      <c r="C4177" s="315">
        <f t="shared" si="510"/>
        <v>43004</v>
      </c>
      <c r="D4177" s="315" t="s">
        <v>1180</v>
      </c>
      <c r="E4177" s="315">
        <v>43004</v>
      </c>
      <c r="F4177" s="673" t="s">
        <v>768</v>
      </c>
      <c r="G4177" s="314" t="s">
        <v>1626</v>
      </c>
      <c r="H4177" s="248" t="s">
        <v>1612</v>
      </c>
      <c r="I4177" s="307">
        <v>640</v>
      </c>
      <c r="J4177" s="307">
        <v>392</v>
      </c>
      <c r="K4177" s="532">
        <f t="shared" si="511"/>
        <v>250880</v>
      </c>
      <c r="L4177" s="534" t="s">
        <v>292</v>
      </c>
      <c r="M4177" s="534" t="s">
        <v>8</v>
      </c>
      <c r="N4177" s="525" t="str">
        <f>IF(AND('331-CT'!$E$7=TH!H4177,OR(L4177="331",M4177="331")),"331",IF(AND(OR(L4177="131",M4177="131"),H4177='131-CT'!$E$7),"131",""))</f>
        <v/>
      </c>
      <c r="O4177" s="525" t="str">
        <f>IF(AND($B4177&gt;='111'!$N$11,$B4177&lt;='111'!$O$11,OR($L4177=$O$7,$M4177=$O$7)),"x","")</f>
        <v/>
      </c>
      <c r="P4177" s="525" t="str">
        <f>IF(AND($L4177=$O$7,$B4177&lt;'111'!$N$11),"x","")</f>
        <v/>
      </c>
      <c r="Q4177" s="525" t="str">
        <f>IF(AND($M4177=$O$7,$B4177&lt;'111'!$N$11),"x","")</f>
        <v/>
      </c>
      <c r="R4177" s="525" t="str">
        <f>IF(ISERROR(FIND('112'!$M$9,G4177,1)),"",IF((AND(FIND('112'!$M$9,G4177,1)&gt;=1,$B4177&gt;='112'!$N$8,$B4177&lt;='112'!$O$8,OR($L4177='112'!$I$6,$M4177='112'!$I$6))),"x",""))</f>
        <v/>
      </c>
      <c r="S4177" s="525" t="str">
        <f>IF(ISERROR(FIND('112'!$M$9,G4177,1)),"",IF((AND(LEFT(G4177,2)=LEFT('112'!$M$9,2),B4177&lt;'112'!$N$8,$L4177='112'!$I$6)),"x",""))</f>
        <v/>
      </c>
      <c r="T4177" s="525" t="str">
        <f>IF(ISERROR(FIND('112'!$M$9,G4177,1)),"",IF((AND(RIGHT(G4177,2)=RIGHT('112'!$M$9,2),B4177&lt;'112'!$N$8,$M4177='112'!$I$6)),"x",""))</f>
        <v/>
      </c>
      <c r="U4177" s="525" t="str">
        <f>IF(AND(B4177&gt;='IN-NX'!$P$3,B4177&lt;='IN-NX'!$Q$3,'IN-NX'!$D$7=D4177,OR(LEFT(L4177,2)="15",AND(LEFT(M4177,2)&lt;&gt;"15",LEFT(M4177,2)&lt;&gt;"33"))),"x","")</f>
        <v/>
      </c>
      <c r="V4177" s="525" t="str">
        <f>IF(AND(OR(LEFT(TH!L4177,2)="15",LEFT(TH!M4177,2)="15"),'152-CT'!$J$8=TH!F4177),"x","")</f>
        <v/>
      </c>
      <c r="W4177" s="525" t="str">
        <f>IF(AND(OR(LEFT(TH!L4177,2)="15",LEFT(TH!M4177,2)="15"),TK!$E$7=TH!F4177),"x","")</f>
        <v/>
      </c>
      <c r="X4177" s="525" t="str">
        <f>IF(AND('341-CT'!$E$9=H4177,OR(LEFT(L4177,3)=$X$7,LEFT(M4177,3)=$X$7)),"x","")</f>
        <v/>
      </c>
      <c r="Y4177" s="525" t="str">
        <f>IF(OR(TH!L4177=TH!$Y$7,M4177=TH!$Y$7),"x","")</f>
        <v/>
      </c>
      <c r="Z4177" s="525" t="str">
        <f>IF(AND(B4177&lt;=NKC!$N$8,B4177&gt;=NKC!$M$8),"x","")</f>
        <v/>
      </c>
      <c r="AA4177" s="535">
        <v>3</v>
      </c>
      <c r="AB4177" s="536"/>
      <c r="AC4177" s="536" t="str">
        <f>VLOOKUP(F4177,NXT!$B$12:$B$686,1,0)</f>
        <v>In decal</v>
      </c>
    </row>
    <row r="4178" spans="1:29" s="503" customFormat="1" ht="15.75" customHeight="1">
      <c r="A4178" s="517" t="str">
        <f>IF(B4178&lt;&gt;"",IF(AND(B4178&gt;=_TM1,B4178&lt;=_TM2,OR(TH!L4178="1111",TH!M4178="1111")),TH!D4178,""),"")</f>
        <v/>
      </c>
      <c r="B4178" s="531">
        <f t="shared" si="509"/>
        <v>9</v>
      </c>
      <c r="C4178" s="315">
        <f t="shared" si="510"/>
        <v>43004</v>
      </c>
      <c r="D4178" s="315" t="s">
        <v>1180</v>
      </c>
      <c r="E4178" s="315">
        <v>43004</v>
      </c>
      <c r="F4178" s="249" t="s">
        <v>494</v>
      </c>
      <c r="G4178" s="314" t="s">
        <v>1626</v>
      </c>
      <c r="H4178" s="248" t="s">
        <v>1612</v>
      </c>
      <c r="I4178" s="307"/>
      <c r="J4178" s="307"/>
      <c r="K4178" s="532">
        <v>3367143</v>
      </c>
      <c r="L4178" s="534" t="s">
        <v>9</v>
      </c>
      <c r="M4178" s="534" t="s">
        <v>8</v>
      </c>
      <c r="N4178" s="525" t="str">
        <f>IF(AND('331-CT'!$E$7=TH!H4178,OR(L4178="331",M4178="331")),"331",IF(AND(OR(L4178="131",M4178="131"),H4178='131-CT'!$E$7),"131",""))</f>
        <v/>
      </c>
      <c r="O4178" s="525" t="str">
        <f>IF(AND($B4178&gt;='111'!$N$11,$B4178&lt;='111'!$O$11,OR($L4178=$O$7,$M4178=$O$7)),"x","")</f>
        <v/>
      </c>
      <c r="P4178" s="525" t="str">
        <f>IF(AND($L4178=$O$7,$B4178&lt;'111'!$N$11),"x","")</f>
        <v/>
      </c>
      <c r="Q4178" s="525" t="str">
        <f>IF(AND($M4178=$O$7,$B4178&lt;'111'!$N$11),"x","")</f>
        <v/>
      </c>
      <c r="R4178" s="525" t="str">
        <f>IF(ISERROR(FIND('112'!$M$9,G4178,1)),"",IF((AND(FIND('112'!$M$9,G4178,1)&gt;=1,$B4178&gt;='112'!$N$8,$B4178&lt;='112'!$O$8,OR($L4178='112'!$I$6,$M4178='112'!$I$6))),"x",""))</f>
        <v/>
      </c>
      <c r="S4178" s="525" t="str">
        <f>IF(ISERROR(FIND('112'!$M$9,G4178,1)),"",IF((AND(LEFT(G4178,2)=LEFT('112'!$M$9,2),B4178&lt;'112'!$N$8,$L4178='112'!$I$6)),"x",""))</f>
        <v/>
      </c>
      <c r="T4178" s="525" t="str">
        <f>IF(ISERROR(FIND('112'!$M$9,G4178,1)),"",IF((AND(RIGHT(G4178,2)=RIGHT('112'!$M$9,2),B4178&lt;'112'!$N$8,$M4178='112'!$I$6)),"x",""))</f>
        <v/>
      </c>
      <c r="U4178" s="525" t="str">
        <f>IF(AND(B4178&gt;='IN-NX'!$P$3,B4178&lt;='IN-NX'!$Q$3,'IN-NX'!$D$7=D4178,OR(LEFT(L4178,2)="15",AND(LEFT(M4178,2)&lt;&gt;"15",LEFT(M4178,2)&lt;&gt;"33"))),"x","")</f>
        <v/>
      </c>
      <c r="V4178" s="525" t="str">
        <f>IF(AND(OR(LEFT(TH!L4178,2)="15",LEFT(TH!M4178,2)="15"),'152-CT'!$J$8=TH!F4178),"x","")</f>
        <v/>
      </c>
      <c r="W4178" s="525" t="str">
        <f>IF(AND(OR(LEFT(TH!L4178,2)="15",LEFT(TH!M4178,2)="15"),TK!$E$7=TH!F4178),"x","")</f>
        <v/>
      </c>
      <c r="X4178" s="525" t="str">
        <f>IF(AND('341-CT'!$E$9=H4178,OR(LEFT(L4178,3)=$X$7,LEFT(M4178,3)=$X$7)),"x","")</f>
        <v/>
      </c>
      <c r="Y4178" s="525" t="str">
        <f>IF(OR(TH!L4178=TH!$Y$7,M4178=TH!$Y$7),"x","")</f>
        <v/>
      </c>
      <c r="Z4178" s="525" t="str">
        <f>IF(AND(B4178&lt;=NKC!$N$8,B4178&gt;=NKC!$M$8),"x","")</f>
        <v/>
      </c>
      <c r="AA4178" s="535">
        <v>3</v>
      </c>
      <c r="AB4178" s="536"/>
      <c r="AC4178" s="536"/>
    </row>
    <row r="4179" spans="1:29" s="503" customFormat="1" ht="15.75" customHeight="1">
      <c r="A4179" s="517" t="str">
        <f>IF(B4179&lt;&gt;"",IF(AND(B4179&gt;=_TM1,B4179&lt;=_TM2,OR(TH!L4179="1111",TH!M4179="1111")),TH!D4179,""),"")</f>
        <v/>
      </c>
      <c r="B4179" s="531">
        <f t="shared" si="509"/>
        <v>9</v>
      </c>
      <c r="C4179" s="315">
        <f t="shared" si="510"/>
        <v>43005</v>
      </c>
      <c r="D4179" s="315" t="s">
        <v>1180</v>
      </c>
      <c r="E4179" s="315">
        <v>43005</v>
      </c>
      <c r="F4179" s="250" t="s">
        <v>1329</v>
      </c>
      <c r="G4179" s="314" t="s">
        <v>1629</v>
      </c>
      <c r="H4179" s="248" t="s">
        <v>1612</v>
      </c>
      <c r="I4179" s="307">
        <v>48</v>
      </c>
      <c r="J4179" s="307">
        <v>35304</v>
      </c>
      <c r="K4179" s="532">
        <f t="shared" ref="K4179:K4184" si="526">ROUND(I4179*J4179,0)</f>
        <v>1694592</v>
      </c>
      <c r="L4179" s="534" t="s">
        <v>292</v>
      </c>
      <c r="M4179" s="534" t="s">
        <v>8</v>
      </c>
      <c r="N4179" s="525" t="str">
        <f>IF(AND('331-CT'!$E$7=TH!H4179,OR(L4179="331",M4179="331")),"331",IF(AND(OR(L4179="131",M4179="131"),H4179='131-CT'!$E$7),"131",""))</f>
        <v/>
      </c>
      <c r="O4179" s="525" t="str">
        <f>IF(AND($B4179&gt;='111'!$N$11,$B4179&lt;='111'!$O$11,OR($L4179=$O$7,$M4179=$O$7)),"x","")</f>
        <v/>
      </c>
      <c r="P4179" s="525" t="str">
        <f>IF(AND($L4179=$O$7,$B4179&lt;'111'!$N$11),"x","")</f>
        <v/>
      </c>
      <c r="Q4179" s="525" t="str">
        <f>IF(AND($M4179=$O$7,$B4179&lt;'111'!$N$11),"x","")</f>
        <v/>
      </c>
      <c r="R4179" s="525" t="str">
        <f>IF(ISERROR(FIND('112'!$M$9,G4179,1)),"",IF((AND(FIND('112'!$M$9,G4179,1)&gt;=1,$B4179&gt;='112'!$N$8,$B4179&lt;='112'!$O$8,OR($L4179='112'!$I$6,$M4179='112'!$I$6))),"x",""))</f>
        <v/>
      </c>
      <c r="S4179" s="525" t="str">
        <f>IF(ISERROR(FIND('112'!$M$9,G4179,1)),"",IF((AND(LEFT(G4179,2)=LEFT('112'!$M$9,2),B4179&lt;'112'!$N$8,$L4179='112'!$I$6)),"x",""))</f>
        <v/>
      </c>
      <c r="T4179" s="525" t="str">
        <f>IF(ISERROR(FIND('112'!$M$9,G4179,1)),"",IF((AND(RIGHT(G4179,2)=RIGHT('112'!$M$9,2),B4179&lt;'112'!$N$8,$M4179='112'!$I$6)),"x",""))</f>
        <v/>
      </c>
      <c r="U4179" s="525" t="str">
        <f>IF(AND(B4179&gt;='IN-NX'!$P$3,B4179&lt;='IN-NX'!$Q$3,'IN-NX'!$D$7=D4179,OR(LEFT(L4179,2)="15",AND(LEFT(M4179,2)&lt;&gt;"15",LEFT(M4179,2)&lt;&gt;"33"))),"x","")</f>
        <v/>
      </c>
      <c r="V4179" s="525" t="str">
        <f>IF(AND(OR(LEFT(TH!L4179,2)="15",LEFT(TH!M4179,2)="15"),'152-CT'!$J$8=TH!F4179),"x","")</f>
        <v/>
      </c>
      <c r="W4179" s="525" t="str">
        <f>IF(AND(OR(LEFT(TH!L4179,2)="15",LEFT(TH!M4179,2)="15"),TK!$E$7=TH!F4179),"x","")</f>
        <v/>
      </c>
      <c r="X4179" s="525" t="str">
        <f>IF(AND('341-CT'!$E$9=H4179,OR(LEFT(L4179,3)=$X$7,LEFT(M4179,3)=$X$7)),"x","")</f>
        <v/>
      </c>
      <c r="Y4179" s="525" t="str">
        <f>IF(OR(TH!L4179=TH!$Y$7,M4179=TH!$Y$7),"x","")</f>
        <v/>
      </c>
      <c r="Z4179" s="525" t="str">
        <f>IF(AND(B4179&lt;=NKC!$N$8,B4179&gt;=NKC!$M$8),"x","")</f>
        <v/>
      </c>
      <c r="AA4179" s="535">
        <v>3</v>
      </c>
      <c r="AB4179" s="536"/>
      <c r="AC4179" s="536" t="str">
        <f>VLOOKUP(F4179,NXT!$B$12:$B$686,1,0)</f>
        <v>Thùng 42.2x42.2x51.2</v>
      </c>
    </row>
    <row r="4180" spans="1:29" s="503" customFormat="1" ht="15.75" customHeight="1">
      <c r="A4180" s="517" t="str">
        <f>IF(B4180&lt;&gt;"",IF(AND(B4180&gt;=_TM1,B4180&lt;=_TM2,OR(TH!L4180="1111",TH!M4180="1111")),TH!D4180,""),"")</f>
        <v/>
      </c>
      <c r="B4180" s="531">
        <f t="shared" si="509"/>
        <v>9</v>
      </c>
      <c r="C4180" s="315">
        <f t="shared" si="510"/>
        <v>43005</v>
      </c>
      <c r="D4180" s="315" t="s">
        <v>1180</v>
      </c>
      <c r="E4180" s="315">
        <v>43005</v>
      </c>
      <c r="F4180" s="250" t="s">
        <v>1337</v>
      </c>
      <c r="G4180" s="314" t="s">
        <v>1629</v>
      </c>
      <c r="H4180" s="248" t="s">
        <v>1612</v>
      </c>
      <c r="I4180" s="307">
        <v>48</v>
      </c>
      <c r="J4180" s="307">
        <v>46055</v>
      </c>
      <c r="K4180" s="532">
        <f t="shared" si="526"/>
        <v>2210640</v>
      </c>
      <c r="L4180" s="534" t="s">
        <v>292</v>
      </c>
      <c r="M4180" s="534" t="s">
        <v>8</v>
      </c>
      <c r="N4180" s="525" t="str">
        <f>IF(AND('331-CT'!$E$7=TH!H4180,OR(L4180="331",M4180="331")),"331",IF(AND(OR(L4180="131",M4180="131"),H4180='131-CT'!$E$7),"131",""))</f>
        <v/>
      </c>
      <c r="O4180" s="525" t="str">
        <f>IF(AND($B4180&gt;='111'!$N$11,$B4180&lt;='111'!$O$11,OR($L4180=$O$7,$M4180=$O$7)),"x","")</f>
        <v/>
      </c>
      <c r="P4180" s="525" t="str">
        <f>IF(AND($L4180=$O$7,$B4180&lt;'111'!$N$11),"x","")</f>
        <v/>
      </c>
      <c r="Q4180" s="525" t="str">
        <f>IF(AND($M4180=$O$7,$B4180&lt;'111'!$N$11),"x","")</f>
        <v/>
      </c>
      <c r="R4180" s="525" t="str">
        <f>IF(ISERROR(FIND('112'!$M$9,G4180,1)),"",IF((AND(FIND('112'!$M$9,G4180,1)&gt;=1,$B4180&gt;='112'!$N$8,$B4180&lt;='112'!$O$8,OR($L4180='112'!$I$6,$M4180='112'!$I$6))),"x",""))</f>
        <v/>
      </c>
      <c r="S4180" s="525" t="str">
        <f>IF(ISERROR(FIND('112'!$M$9,G4180,1)),"",IF((AND(LEFT(G4180,2)=LEFT('112'!$M$9,2),B4180&lt;'112'!$N$8,$L4180='112'!$I$6)),"x",""))</f>
        <v/>
      </c>
      <c r="T4180" s="525" t="str">
        <f>IF(ISERROR(FIND('112'!$M$9,G4180,1)),"",IF((AND(RIGHT(G4180,2)=RIGHT('112'!$M$9,2),B4180&lt;'112'!$N$8,$M4180='112'!$I$6)),"x",""))</f>
        <v/>
      </c>
      <c r="U4180" s="525" t="str">
        <f>IF(AND(B4180&gt;='IN-NX'!$P$3,B4180&lt;='IN-NX'!$Q$3,'IN-NX'!$D$7=D4180,OR(LEFT(L4180,2)="15",AND(LEFT(M4180,2)&lt;&gt;"15",LEFT(M4180,2)&lt;&gt;"33"))),"x","")</f>
        <v/>
      </c>
      <c r="V4180" s="525" t="str">
        <f>IF(AND(OR(LEFT(TH!L4180,2)="15",LEFT(TH!M4180,2)="15"),'152-CT'!$J$8=TH!F4180),"x","")</f>
        <v/>
      </c>
      <c r="W4180" s="525" t="str">
        <f>IF(AND(OR(LEFT(TH!L4180,2)="15",LEFT(TH!M4180,2)="15"),TK!$E$7=TH!F4180),"x","")</f>
        <v/>
      </c>
      <c r="X4180" s="525" t="str">
        <f>IF(AND('341-CT'!$E$9=H4180,OR(LEFT(L4180,3)=$X$7,LEFT(M4180,3)=$X$7)),"x","")</f>
        <v/>
      </c>
      <c r="Y4180" s="525" t="str">
        <f>IF(OR(TH!L4180=TH!$Y$7,M4180=TH!$Y$7),"x","")</f>
        <v/>
      </c>
      <c r="Z4180" s="525" t="str">
        <f>IF(AND(B4180&lt;=NKC!$N$8,B4180&gt;=NKC!$M$8),"x","")</f>
        <v/>
      </c>
      <c r="AA4180" s="535">
        <v>3</v>
      </c>
      <c r="AB4180" s="536"/>
      <c r="AC4180" s="536" t="str">
        <f>VLOOKUP(F4180,NXT!$B$12:$B$686,1,0)</f>
        <v>Thùng 49.2x49.2x54.2</v>
      </c>
    </row>
    <row r="4181" spans="1:29" s="503" customFormat="1" ht="15.75" customHeight="1">
      <c r="A4181" s="517" t="str">
        <f>IF(B4181&lt;&gt;"",IF(AND(B4181&gt;=_TM1,B4181&lt;=_TM2,OR(TH!L4181="1111",TH!M4181="1111")),TH!D4181,""),"")</f>
        <v/>
      </c>
      <c r="B4181" s="531">
        <f t="shared" si="509"/>
        <v>9</v>
      </c>
      <c r="C4181" s="315">
        <f t="shared" si="510"/>
        <v>43005</v>
      </c>
      <c r="D4181" s="315" t="s">
        <v>1180</v>
      </c>
      <c r="E4181" s="315">
        <v>43005</v>
      </c>
      <c r="F4181" s="250" t="s">
        <v>1628</v>
      </c>
      <c r="G4181" s="314" t="s">
        <v>1629</v>
      </c>
      <c r="H4181" s="248" t="s">
        <v>1612</v>
      </c>
      <c r="I4181" s="307">
        <v>140</v>
      </c>
      <c r="J4181" s="307">
        <v>72166</v>
      </c>
      <c r="K4181" s="532">
        <f t="shared" si="526"/>
        <v>10103240</v>
      </c>
      <c r="L4181" s="534" t="s">
        <v>292</v>
      </c>
      <c r="M4181" s="534" t="s">
        <v>8</v>
      </c>
      <c r="N4181" s="525" t="str">
        <f>IF(AND('331-CT'!$E$7=TH!H4181,OR(L4181="331",M4181="331")),"331",IF(AND(OR(L4181="131",M4181="131"),H4181='131-CT'!$E$7),"131",""))</f>
        <v/>
      </c>
      <c r="O4181" s="525" t="str">
        <f>IF(AND($B4181&gt;='111'!$N$11,$B4181&lt;='111'!$O$11,OR($L4181=$O$7,$M4181=$O$7)),"x","")</f>
        <v/>
      </c>
      <c r="P4181" s="525" t="str">
        <f>IF(AND($L4181=$O$7,$B4181&lt;'111'!$N$11),"x","")</f>
        <v/>
      </c>
      <c r="Q4181" s="525" t="str">
        <f>IF(AND($M4181=$O$7,$B4181&lt;'111'!$N$11),"x","")</f>
        <v/>
      </c>
      <c r="R4181" s="525" t="str">
        <f>IF(ISERROR(FIND('112'!$M$9,G4181,1)),"",IF((AND(FIND('112'!$M$9,G4181,1)&gt;=1,$B4181&gt;='112'!$N$8,$B4181&lt;='112'!$O$8,OR($L4181='112'!$I$6,$M4181='112'!$I$6))),"x",""))</f>
        <v/>
      </c>
      <c r="S4181" s="525" t="str">
        <f>IF(ISERROR(FIND('112'!$M$9,G4181,1)),"",IF((AND(LEFT(G4181,2)=LEFT('112'!$M$9,2),B4181&lt;'112'!$N$8,$L4181='112'!$I$6)),"x",""))</f>
        <v/>
      </c>
      <c r="T4181" s="525" t="str">
        <f>IF(ISERROR(FIND('112'!$M$9,G4181,1)),"",IF((AND(RIGHT(G4181,2)=RIGHT('112'!$M$9,2),B4181&lt;'112'!$N$8,$M4181='112'!$I$6)),"x",""))</f>
        <v/>
      </c>
      <c r="U4181" s="525" t="str">
        <f>IF(AND(B4181&gt;='IN-NX'!$P$3,B4181&lt;='IN-NX'!$Q$3,'IN-NX'!$D$7=D4181,OR(LEFT(L4181,2)="15",AND(LEFT(M4181,2)&lt;&gt;"15",LEFT(M4181,2)&lt;&gt;"33"))),"x","")</f>
        <v/>
      </c>
      <c r="V4181" s="525" t="str">
        <f>IF(AND(OR(LEFT(TH!L4181,2)="15",LEFT(TH!M4181,2)="15"),'152-CT'!$J$8=TH!F4181),"x","")</f>
        <v/>
      </c>
      <c r="W4181" s="525" t="str">
        <f>IF(AND(OR(LEFT(TH!L4181,2)="15",LEFT(TH!M4181,2)="15"),TK!$E$7=TH!F4181),"x","")</f>
        <v/>
      </c>
      <c r="X4181" s="525" t="str">
        <f>IF(AND('341-CT'!$E$9=H4181,OR(LEFT(L4181,3)=$X$7,LEFT(M4181,3)=$X$7)),"x","")</f>
        <v/>
      </c>
      <c r="Y4181" s="525" t="str">
        <f>IF(OR(TH!L4181=TH!$Y$7,M4181=TH!$Y$7),"x","")</f>
        <v/>
      </c>
      <c r="Z4181" s="525" t="str">
        <f>IF(AND(B4181&lt;=NKC!$N$8,B4181&gt;=NKC!$M$8),"x","")</f>
        <v/>
      </c>
      <c r="AA4181" s="535">
        <v>3</v>
      </c>
      <c r="AB4181" s="536"/>
      <c r="AC4181" s="536" t="str">
        <f>VLOOKUP(F4181,NXT!$B$12:$B$686,1,0)</f>
        <v>Thùng 102x50x47</v>
      </c>
    </row>
    <row r="4182" spans="1:29" s="503" customFormat="1" ht="15.75" customHeight="1">
      <c r="A4182" s="517" t="str">
        <f>IF(B4182&lt;&gt;"",IF(AND(B4182&gt;=_TM1,B4182&lt;=_TM2,OR(TH!L4182="1111",TH!M4182="1111")),TH!D4182,""),"")</f>
        <v/>
      </c>
      <c r="B4182" s="531">
        <f t="shared" ref="B4182:B4184" si="527">IF(C4182&lt;&gt;"",MONTH(C4182),"")</f>
        <v>9</v>
      </c>
      <c r="C4182" s="315">
        <f t="shared" ref="C4182:C4184" si="528">E4182</f>
        <v>43005</v>
      </c>
      <c r="D4182" s="315" t="s">
        <v>1180</v>
      </c>
      <c r="E4182" s="315">
        <v>43005</v>
      </c>
      <c r="F4182" s="250" t="s">
        <v>1348</v>
      </c>
      <c r="G4182" s="314" t="s">
        <v>1629</v>
      </c>
      <c r="H4182" s="248" t="s">
        <v>1612</v>
      </c>
      <c r="I4182" s="307">
        <v>40</v>
      </c>
      <c r="J4182" s="307">
        <v>38353</v>
      </c>
      <c r="K4182" s="532">
        <f t="shared" si="526"/>
        <v>1534120</v>
      </c>
      <c r="L4182" s="534" t="s">
        <v>292</v>
      </c>
      <c r="M4182" s="534" t="s">
        <v>8</v>
      </c>
      <c r="N4182" s="525" t="str">
        <f>IF(AND('331-CT'!$E$7=TH!H4182,OR(L4182="331",M4182="331")),"331",IF(AND(OR(L4182="131",M4182="131"),H4182='131-CT'!$E$7),"131",""))</f>
        <v/>
      </c>
      <c r="O4182" s="525" t="str">
        <f>IF(AND($B4182&gt;='111'!$N$11,$B4182&lt;='111'!$O$11,OR($L4182=$O$7,$M4182=$O$7)),"x","")</f>
        <v/>
      </c>
      <c r="P4182" s="525" t="str">
        <f>IF(AND($L4182=$O$7,$B4182&lt;'111'!$N$11),"x","")</f>
        <v/>
      </c>
      <c r="Q4182" s="525" t="str">
        <f>IF(AND($M4182=$O$7,$B4182&lt;'111'!$N$11),"x","")</f>
        <v/>
      </c>
      <c r="R4182" s="525" t="str">
        <f>IF(ISERROR(FIND('112'!$M$9,G4182,1)),"",IF((AND(FIND('112'!$M$9,G4182,1)&gt;=1,$B4182&gt;='112'!$N$8,$B4182&lt;='112'!$O$8,OR($L4182='112'!$I$6,$M4182='112'!$I$6))),"x",""))</f>
        <v/>
      </c>
      <c r="S4182" s="525" t="str">
        <f>IF(ISERROR(FIND('112'!$M$9,G4182,1)),"",IF((AND(LEFT(G4182,2)=LEFT('112'!$M$9,2),B4182&lt;'112'!$N$8,$L4182='112'!$I$6)),"x",""))</f>
        <v/>
      </c>
      <c r="T4182" s="525" t="str">
        <f>IF(ISERROR(FIND('112'!$M$9,G4182,1)),"",IF((AND(RIGHT(G4182,2)=RIGHT('112'!$M$9,2),B4182&lt;'112'!$N$8,$M4182='112'!$I$6)),"x",""))</f>
        <v/>
      </c>
      <c r="U4182" s="525" t="str">
        <f>IF(AND(B4182&gt;='IN-NX'!$P$3,B4182&lt;='IN-NX'!$Q$3,'IN-NX'!$D$7=D4182,OR(LEFT(L4182,2)="15",AND(LEFT(M4182,2)&lt;&gt;"15",LEFT(M4182,2)&lt;&gt;"33"))),"x","")</f>
        <v/>
      </c>
      <c r="V4182" s="525" t="str">
        <f>IF(AND(OR(LEFT(TH!L4182,2)="15",LEFT(TH!M4182,2)="15"),'152-CT'!$J$8=TH!F4182),"x","")</f>
        <v/>
      </c>
      <c r="W4182" s="525" t="str">
        <f>IF(AND(OR(LEFT(TH!L4182,2)="15",LEFT(TH!M4182,2)="15"),TK!$E$7=TH!F4182),"x","")</f>
        <v/>
      </c>
      <c r="X4182" s="525" t="str">
        <f>IF(AND('341-CT'!$E$9=H4182,OR(LEFT(L4182,3)=$X$7,LEFT(M4182,3)=$X$7)),"x","")</f>
        <v/>
      </c>
      <c r="Y4182" s="525" t="str">
        <f>IF(OR(TH!L4182=TH!$Y$7,M4182=TH!$Y$7),"x","")</f>
        <v/>
      </c>
      <c r="Z4182" s="525" t="str">
        <f>IF(AND(B4182&lt;=NKC!$N$8,B4182&gt;=NKC!$M$8),"x","")</f>
        <v/>
      </c>
      <c r="AA4182" s="535">
        <v>3</v>
      </c>
      <c r="AB4182" s="536"/>
      <c r="AC4182" s="536" t="str">
        <f>VLOOKUP(F4182,NXT!$B$12:$B$686,1,0)</f>
        <v>Thùng 96x96x18</v>
      </c>
    </row>
    <row r="4183" spans="1:29" s="503" customFormat="1" ht="15.75" customHeight="1">
      <c r="A4183" s="517" t="str">
        <f>IF(B4183&lt;&gt;"",IF(AND(B4183&gt;=_TM1,B4183&lt;=_TM2,OR(TH!L4183="1111",TH!M4183="1111")),TH!D4183,""),"")</f>
        <v/>
      </c>
      <c r="B4183" s="531">
        <f t="shared" si="527"/>
        <v>9</v>
      </c>
      <c r="C4183" s="315">
        <f t="shared" si="528"/>
        <v>43005</v>
      </c>
      <c r="D4183" s="315" t="s">
        <v>1180</v>
      </c>
      <c r="E4183" s="315">
        <v>43005</v>
      </c>
      <c r="F4183" s="250" t="s">
        <v>1349</v>
      </c>
      <c r="G4183" s="314" t="s">
        <v>1629</v>
      </c>
      <c r="H4183" s="248" t="s">
        <v>1612</v>
      </c>
      <c r="I4183" s="307">
        <v>40</v>
      </c>
      <c r="J4183" s="307">
        <v>40643</v>
      </c>
      <c r="K4183" s="532">
        <f t="shared" si="526"/>
        <v>1625720</v>
      </c>
      <c r="L4183" s="534" t="s">
        <v>292</v>
      </c>
      <c r="M4183" s="534" t="s">
        <v>8</v>
      </c>
      <c r="N4183" s="525" t="str">
        <f>IF(AND('331-CT'!$E$7=TH!H4183,OR(L4183="331",M4183="331")),"331",IF(AND(OR(L4183="131",M4183="131"),H4183='131-CT'!$E$7),"131",""))</f>
        <v/>
      </c>
      <c r="O4183" s="525" t="str">
        <f>IF(AND($B4183&gt;='111'!$N$11,$B4183&lt;='111'!$O$11,OR($L4183=$O$7,$M4183=$O$7)),"x","")</f>
        <v/>
      </c>
      <c r="P4183" s="525" t="str">
        <f>IF(AND($L4183=$O$7,$B4183&lt;'111'!$N$11),"x","")</f>
        <v/>
      </c>
      <c r="Q4183" s="525" t="str">
        <f>IF(AND($M4183=$O$7,$B4183&lt;'111'!$N$11),"x","")</f>
        <v/>
      </c>
      <c r="R4183" s="525" t="str">
        <f>IF(ISERROR(FIND('112'!$M$9,G4183,1)),"",IF((AND(FIND('112'!$M$9,G4183,1)&gt;=1,$B4183&gt;='112'!$N$8,$B4183&lt;='112'!$O$8,OR($L4183='112'!$I$6,$M4183='112'!$I$6))),"x",""))</f>
        <v/>
      </c>
      <c r="S4183" s="525" t="str">
        <f>IF(ISERROR(FIND('112'!$M$9,G4183,1)),"",IF((AND(LEFT(G4183,2)=LEFT('112'!$M$9,2),B4183&lt;'112'!$N$8,$L4183='112'!$I$6)),"x",""))</f>
        <v/>
      </c>
      <c r="T4183" s="525" t="str">
        <f>IF(ISERROR(FIND('112'!$M$9,G4183,1)),"",IF((AND(RIGHT(G4183,2)=RIGHT('112'!$M$9,2),B4183&lt;'112'!$N$8,$M4183='112'!$I$6)),"x",""))</f>
        <v/>
      </c>
      <c r="U4183" s="525" t="str">
        <f>IF(AND(B4183&gt;='IN-NX'!$P$3,B4183&lt;='IN-NX'!$Q$3,'IN-NX'!$D$7=D4183,OR(LEFT(L4183,2)="15",AND(LEFT(M4183,2)&lt;&gt;"15",LEFT(M4183,2)&lt;&gt;"33"))),"x","")</f>
        <v/>
      </c>
      <c r="V4183" s="525" t="str">
        <f>IF(AND(OR(LEFT(TH!L4183,2)="15",LEFT(TH!M4183,2)="15"),'152-CT'!$J$8=TH!F4183),"x","")</f>
        <v/>
      </c>
      <c r="W4183" s="525" t="str">
        <f>IF(AND(OR(LEFT(TH!L4183,2)="15",LEFT(TH!M4183,2)="15"),TK!$E$7=TH!F4183),"x","")</f>
        <v/>
      </c>
      <c r="X4183" s="525" t="str">
        <f>IF(AND('341-CT'!$E$9=H4183,OR(LEFT(L4183,3)=$X$7,LEFT(M4183,3)=$X$7)),"x","")</f>
        <v/>
      </c>
      <c r="Y4183" s="525" t="str">
        <f>IF(OR(TH!L4183=TH!$Y$7,M4183=TH!$Y$7),"x","")</f>
        <v/>
      </c>
      <c r="Z4183" s="525" t="str">
        <f>IF(AND(B4183&lt;=NKC!$N$8,B4183&gt;=NKC!$M$8),"x","")</f>
        <v/>
      </c>
      <c r="AA4183" s="535">
        <v>3</v>
      </c>
      <c r="AB4183" s="536"/>
      <c r="AC4183" s="536" t="str">
        <f>VLOOKUP(F4183,NXT!$B$12:$B$686,1,0)</f>
        <v>Thùng 98x98x19</v>
      </c>
    </row>
    <row r="4184" spans="1:29" s="503" customFormat="1" ht="15.75" customHeight="1">
      <c r="A4184" s="517" t="str">
        <f>IF(B4184&lt;&gt;"",IF(AND(B4184&gt;=_TM1,B4184&lt;=_TM2,OR(TH!L4184="1111",TH!M4184="1111")),TH!D4184,""),"")</f>
        <v/>
      </c>
      <c r="B4184" s="531">
        <f t="shared" si="527"/>
        <v>9</v>
      </c>
      <c r="C4184" s="315">
        <f t="shared" si="528"/>
        <v>43005</v>
      </c>
      <c r="D4184" s="315" t="s">
        <v>1180</v>
      </c>
      <c r="E4184" s="315">
        <v>43005</v>
      </c>
      <c r="F4184" s="245" t="s">
        <v>503</v>
      </c>
      <c r="G4184" s="314" t="s">
        <v>1629</v>
      </c>
      <c r="H4184" s="248" t="s">
        <v>1612</v>
      </c>
      <c r="I4184" s="307">
        <v>2071</v>
      </c>
      <c r="J4184" s="307">
        <v>8330</v>
      </c>
      <c r="K4184" s="532">
        <f t="shared" si="526"/>
        <v>17251430</v>
      </c>
      <c r="L4184" s="534" t="s">
        <v>292</v>
      </c>
      <c r="M4184" s="534" t="s">
        <v>8</v>
      </c>
      <c r="N4184" s="525" t="str">
        <f>IF(AND('331-CT'!$E$7=TH!H4184,OR(L4184="331",M4184="331")),"331",IF(AND(OR(L4184="131",M4184="131"),H4184='131-CT'!$E$7),"131",""))</f>
        <v/>
      </c>
      <c r="O4184" s="525" t="str">
        <f>IF(AND($B4184&gt;='111'!$N$11,$B4184&lt;='111'!$O$11,OR($L4184=$O$7,$M4184=$O$7)),"x","")</f>
        <v/>
      </c>
      <c r="P4184" s="525" t="str">
        <f>IF(AND($L4184=$O$7,$B4184&lt;'111'!$N$11),"x","")</f>
        <v/>
      </c>
      <c r="Q4184" s="525" t="str">
        <f>IF(AND($M4184=$O$7,$B4184&lt;'111'!$N$11),"x","")</f>
        <v/>
      </c>
      <c r="R4184" s="525" t="str">
        <f>IF(ISERROR(FIND('112'!$M$9,G4184,1)),"",IF((AND(FIND('112'!$M$9,G4184,1)&gt;=1,$B4184&gt;='112'!$N$8,$B4184&lt;='112'!$O$8,OR($L4184='112'!$I$6,$M4184='112'!$I$6))),"x",""))</f>
        <v/>
      </c>
      <c r="S4184" s="525" t="str">
        <f>IF(ISERROR(FIND('112'!$M$9,G4184,1)),"",IF((AND(LEFT(G4184,2)=LEFT('112'!$M$9,2),B4184&lt;'112'!$N$8,$L4184='112'!$I$6)),"x",""))</f>
        <v/>
      </c>
      <c r="T4184" s="525" t="str">
        <f>IF(ISERROR(FIND('112'!$M$9,G4184,1)),"",IF((AND(RIGHT(G4184,2)=RIGHT('112'!$M$9,2),B4184&lt;'112'!$N$8,$M4184='112'!$I$6)),"x",""))</f>
        <v/>
      </c>
      <c r="U4184" s="525" t="str">
        <f>IF(AND(B4184&gt;='IN-NX'!$P$3,B4184&lt;='IN-NX'!$Q$3,'IN-NX'!$D$7=D4184,OR(LEFT(L4184,2)="15",AND(LEFT(M4184,2)&lt;&gt;"15",LEFT(M4184,2)&lt;&gt;"33"))),"x","")</f>
        <v/>
      </c>
      <c r="V4184" s="525" t="str">
        <f>IF(AND(OR(LEFT(TH!L4184,2)="15",LEFT(TH!M4184,2)="15"),'152-CT'!$J$8=TH!F4184),"x","")</f>
        <v/>
      </c>
      <c r="W4184" s="525" t="str">
        <f>IF(AND(OR(LEFT(TH!L4184,2)="15",LEFT(TH!M4184,2)="15"),TK!$E$7=TH!F4184),"x","")</f>
        <v/>
      </c>
      <c r="X4184" s="525" t="str">
        <f>IF(AND('341-CT'!$E$9=H4184,OR(LEFT(L4184,3)=$X$7,LEFT(M4184,3)=$X$7)),"x","")</f>
        <v/>
      </c>
      <c r="Y4184" s="525" t="str">
        <f>IF(OR(TH!L4184=TH!$Y$7,M4184=TH!$Y$7),"x","")</f>
        <v/>
      </c>
      <c r="Z4184" s="525" t="str">
        <f>IF(AND(B4184&lt;=NKC!$N$8,B4184&gt;=NKC!$M$8),"x","")</f>
        <v/>
      </c>
      <c r="AA4184" s="535">
        <v>3</v>
      </c>
      <c r="AB4184" s="536"/>
      <c r="AC4184" s="536" t="str">
        <f>VLOOKUP(F4184,NXT!$B$12:$B$686,1,0)</f>
        <v>Giấy 5 lớp</v>
      </c>
    </row>
    <row r="4185" spans="1:29" s="503" customFormat="1" ht="15.75" customHeight="1">
      <c r="A4185" s="517" t="str">
        <f>IF(B4185&lt;&gt;"",IF(AND(B4185&gt;=_TM1,B4185&lt;=_TM2,OR(TH!L4185="1111",TH!M4185="1111")),TH!D4185,""),"")</f>
        <v/>
      </c>
      <c r="B4185" s="531">
        <f t="shared" ref="B4185:B4240" si="529">IF(C4185&lt;&gt;"",MONTH(C4185),"")</f>
        <v>9</v>
      </c>
      <c r="C4185" s="315">
        <f t="shared" ref="C4185:C4240" si="530">E4185</f>
        <v>43005</v>
      </c>
      <c r="D4185" s="315" t="s">
        <v>1180</v>
      </c>
      <c r="E4185" s="315">
        <v>43005</v>
      </c>
      <c r="F4185" s="249" t="s">
        <v>494</v>
      </c>
      <c r="G4185" s="314" t="s">
        <v>1629</v>
      </c>
      <c r="H4185" s="248" t="s">
        <v>1612</v>
      </c>
      <c r="I4185" s="307"/>
      <c r="J4185" s="307"/>
      <c r="K4185" s="532">
        <v>3441974</v>
      </c>
      <c r="L4185" s="534" t="s">
        <v>9</v>
      </c>
      <c r="M4185" s="534" t="s">
        <v>8</v>
      </c>
      <c r="N4185" s="525" t="str">
        <f>IF(AND('331-CT'!$E$7=TH!H4185,OR(L4185="331",M4185="331")),"331",IF(AND(OR(L4185="131",M4185="131"),H4185='131-CT'!$E$7),"131",""))</f>
        <v/>
      </c>
      <c r="O4185" s="525" t="str">
        <f>IF(AND($B4185&gt;='111'!$N$11,$B4185&lt;='111'!$O$11,OR($L4185=$O$7,$M4185=$O$7)),"x","")</f>
        <v/>
      </c>
      <c r="P4185" s="525" t="str">
        <f>IF(AND($L4185=$O$7,$B4185&lt;'111'!$N$11),"x","")</f>
        <v/>
      </c>
      <c r="Q4185" s="525" t="str">
        <f>IF(AND($M4185=$O$7,$B4185&lt;'111'!$N$11),"x","")</f>
        <v/>
      </c>
      <c r="R4185" s="525" t="str">
        <f>IF(ISERROR(FIND('112'!$M$9,G4185,1)),"",IF((AND(FIND('112'!$M$9,G4185,1)&gt;=1,$B4185&gt;='112'!$N$8,$B4185&lt;='112'!$O$8,OR($L4185='112'!$I$6,$M4185='112'!$I$6))),"x",""))</f>
        <v/>
      </c>
      <c r="S4185" s="525" t="str">
        <f>IF(ISERROR(FIND('112'!$M$9,G4185,1)),"",IF((AND(LEFT(G4185,2)=LEFT('112'!$M$9,2),B4185&lt;'112'!$N$8,$L4185='112'!$I$6)),"x",""))</f>
        <v/>
      </c>
      <c r="T4185" s="525" t="str">
        <f>IF(ISERROR(FIND('112'!$M$9,G4185,1)),"",IF((AND(RIGHT(G4185,2)=RIGHT('112'!$M$9,2),B4185&lt;'112'!$N$8,$M4185='112'!$I$6)),"x",""))</f>
        <v/>
      </c>
      <c r="U4185" s="525" t="str">
        <f>IF(AND(B4185&gt;='IN-NX'!$P$3,B4185&lt;='IN-NX'!$Q$3,'IN-NX'!$D$7=D4185,OR(LEFT(L4185,2)="15",AND(LEFT(M4185,2)&lt;&gt;"15",LEFT(M4185,2)&lt;&gt;"33"))),"x","")</f>
        <v/>
      </c>
      <c r="V4185" s="525" t="str">
        <f>IF(AND(OR(LEFT(TH!L4185,2)="15",LEFT(TH!M4185,2)="15"),'152-CT'!$J$8=TH!F4185),"x","")</f>
        <v/>
      </c>
      <c r="W4185" s="525" t="str">
        <f>IF(AND(OR(LEFT(TH!L4185,2)="15",LEFT(TH!M4185,2)="15"),TK!$E$7=TH!F4185),"x","")</f>
        <v/>
      </c>
      <c r="X4185" s="525" t="str">
        <f>IF(AND('341-CT'!$E$9=H4185,OR(LEFT(L4185,3)=$X$7,LEFT(M4185,3)=$X$7)),"x","")</f>
        <v/>
      </c>
      <c r="Y4185" s="525" t="str">
        <f>IF(OR(TH!L4185=TH!$Y$7,M4185=TH!$Y$7),"x","")</f>
        <v/>
      </c>
      <c r="Z4185" s="525" t="str">
        <f>IF(AND(B4185&lt;=NKC!$N$8,B4185&gt;=NKC!$M$8),"x","")</f>
        <v/>
      </c>
      <c r="AA4185" s="535">
        <v>3</v>
      </c>
      <c r="AB4185" s="536"/>
      <c r="AC4185" s="536"/>
    </row>
    <row r="4186" spans="1:29" s="503" customFormat="1" ht="15.75" customHeight="1">
      <c r="A4186" s="517" t="str">
        <f>IF(B4186&lt;&gt;"",IF(AND(B4186&gt;=_TM1,B4186&lt;=_TM2,OR(TH!L4186="1111",TH!M4186="1111")),TH!D4186,""),"")</f>
        <v/>
      </c>
      <c r="B4186" s="531">
        <f t="shared" ref="B4186:B4194" si="531">IF(C4186&lt;&gt;"",MONTH(C4186),"")</f>
        <v>9</v>
      </c>
      <c r="C4186" s="315">
        <f t="shared" ref="C4186:C4194" si="532">E4186</f>
        <v>43006</v>
      </c>
      <c r="D4186" s="315" t="s">
        <v>1180</v>
      </c>
      <c r="E4186" s="315">
        <v>43006</v>
      </c>
      <c r="F4186" s="250" t="s">
        <v>1651</v>
      </c>
      <c r="G4186" s="314" t="s">
        <v>1630</v>
      </c>
      <c r="H4186" s="248" t="s">
        <v>1612</v>
      </c>
      <c r="I4186" s="307">
        <v>16</v>
      </c>
      <c r="J4186" s="307">
        <v>69745</v>
      </c>
      <c r="K4186" s="532">
        <f t="shared" ref="K4186:K4194" si="533">ROUND(I4186*J4186,0)</f>
        <v>1115920</v>
      </c>
      <c r="L4186" s="534" t="s">
        <v>292</v>
      </c>
      <c r="M4186" s="534" t="s">
        <v>8</v>
      </c>
      <c r="N4186" s="525" t="str">
        <f>IF(AND('331-CT'!$E$7=TH!H4186,OR(L4186="331",M4186="331")),"331",IF(AND(OR(L4186="131",M4186="131"),H4186='131-CT'!$E$7),"131",""))</f>
        <v/>
      </c>
      <c r="O4186" s="525" t="str">
        <f>IF(AND($B4186&gt;='111'!$N$11,$B4186&lt;='111'!$O$11,OR($L4186=$O$7,$M4186=$O$7)),"x","")</f>
        <v/>
      </c>
      <c r="P4186" s="525" t="str">
        <f>IF(AND($L4186=$O$7,$B4186&lt;'111'!$N$11),"x","")</f>
        <v/>
      </c>
      <c r="Q4186" s="525" t="str">
        <f>IF(AND($M4186=$O$7,$B4186&lt;'111'!$N$11),"x","")</f>
        <v/>
      </c>
      <c r="R4186" s="525" t="str">
        <f>IF(ISERROR(FIND('112'!$M$9,G4186,1)),"",IF((AND(FIND('112'!$M$9,G4186,1)&gt;=1,$B4186&gt;='112'!$N$8,$B4186&lt;='112'!$O$8,OR($L4186='112'!$I$6,$M4186='112'!$I$6))),"x",""))</f>
        <v/>
      </c>
      <c r="S4186" s="525" t="str">
        <f>IF(ISERROR(FIND('112'!$M$9,G4186,1)),"",IF((AND(LEFT(G4186,2)=LEFT('112'!$M$9,2),B4186&lt;'112'!$N$8,$L4186='112'!$I$6)),"x",""))</f>
        <v/>
      </c>
      <c r="T4186" s="525" t="str">
        <f>IF(ISERROR(FIND('112'!$M$9,G4186,1)),"",IF((AND(RIGHT(G4186,2)=RIGHT('112'!$M$9,2),B4186&lt;'112'!$N$8,$M4186='112'!$I$6)),"x",""))</f>
        <v/>
      </c>
      <c r="U4186" s="525" t="str">
        <f>IF(AND(B4186&gt;='IN-NX'!$P$3,B4186&lt;='IN-NX'!$Q$3,'IN-NX'!$D$7=D4186,OR(LEFT(L4186,2)="15",AND(LEFT(M4186,2)&lt;&gt;"15",LEFT(M4186,2)&lt;&gt;"33"))),"x","")</f>
        <v/>
      </c>
      <c r="V4186" s="525" t="str">
        <f>IF(AND(OR(LEFT(TH!L4186,2)="15",LEFT(TH!M4186,2)="15"),'152-CT'!$J$8=TH!F4186),"x","")</f>
        <v/>
      </c>
      <c r="W4186" s="525" t="str">
        <f>IF(AND(OR(LEFT(TH!L4186,2)="15",LEFT(TH!M4186,2)="15"),TK!$E$7=TH!F4186),"x","")</f>
        <v/>
      </c>
      <c r="X4186" s="525" t="str">
        <f>IF(AND('341-CT'!$E$9=H4186,OR(LEFT(L4186,3)=$X$7,LEFT(M4186,3)=$X$7)),"x","")</f>
        <v/>
      </c>
      <c r="Y4186" s="525" t="str">
        <f>IF(OR(TH!L4186=TH!$Y$7,M4186=TH!$Y$7),"x","")</f>
        <v/>
      </c>
      <c r="Z4186" s="525" t="str">
        <f>IF(AND(B4186&lt;=NKC!$N$8,B4186&gt;=NKC!$M$8),"x","")</f>
        <v/>
      </c>
      <c r="AA4186" s="535">
        <v>3</v>
      </c>
      <c r="AB4186" s="536"/>
      <c r="AC4186" s="536" t="str">
        <f>VLOOKUP(F4186,NXT!$B$12:$B$686,1,0)</f>
        <v>Thùng 63x63x63</v>
      </c>
    </row>
    <row r="4187" spans="1:29" s="503" customFormat="1" ht="15.75" customHeight="1">
      <c r="A4187" s="517" t="str">
        <f>IF(B4187&lt;&gt;"",IF(AND(B4187&gt;=_TM1,B4187&lt;=_TM2,OR(TH!L4187="1111",TH!M4187="1111")),TH!D4187,""),"")</f>
        <v/>
      </c>
      <c r="B4187" s="531">
        <f t="shared" si="531"/>
        <v>9</v>
      </c>
      <c r="C4187" s="315">
        <f t="shared" si="532"/>
        <v>43006</v>
      </c>
      <c r="D4187" s="315" t="s">
        <v>1180</v>
      </c>
      <c r="E4187" s="315">
        <v>43006</v>
      </c>
      <c r="F4187" s="250" t="s">
        <v>1652</v>
      </c>
      <c r="G4187" s="314" t="s">
        <v>1630</v>
      </c>
      <c r="H4187" s="248" t="s">
        <v>1612</v>
      </c>
      <c r="I4187" s="307">
        <v>24</v>
      </c>
      <c r="J4187" s="307">
        <v>45005</v>
      </c>
      <c r="K4187" s="532">
        <f t="shared" si="533"/>
        <v>1080120</v>
      </c>
      <c r="L4187" s="534" t="s">
        <v>292</v>
      </c>
      <c r="M4187" s="534" t="s">
        <v>8</v>
      </c>
      <c r="N4187" s="525" t="str">
        <f>IF(AND('331-CT'!$E$7=TH!H4187,OR(L4187="331",M4187="331")),"331",IF(AND(OR(L4187="131",M4187="131"),H4187='131-CT'!$E$7),"131",""))</f>
        <v/>
      </c>
      <c r="O4187" s="525" t="str">
        <f>IF(AND($B4187&gt;='111'!$N$11,$B4187&lt;='111'!$O$11,OR($L4187=$O$7,$M4187=$O$7)),"x","")</f>
        <v/>
      </c>
      <c r="P4187" s="525" t="str">
        <f>IF(AND($L4187=$O$7,$B4187&lt;'111'!$N$11),"x","")</f>
        <v/>
      </c>
      <c r="Q4187" s="525" t="str">
        <f>IF(AND($M4187=$O$7,$B4187&lt;'111'!$N$11),"x","")</f>
        <v/>
      </c>
      <c r="R4187" s="525" t="str">
        <f>IF(ISERROR(FIND('112'!$M$9,G4187,1)),"",IF((AND(FIND('112'!$M$9,G4187,1)&gt;=1,$B4187&gt;='112'!$N$8,$B4187&lt;='112'!$O$8,OR($L4187='112'!$I$6,$M4187='112'!$I$6))),"x",""))</f>
        <v/>
      </c>
      <c r="S4187" s="525" t="str">
        <f>IF(ISERROR(FIND('112'!$M$9,G4187,1)),"",IF((AND(LEFT(G4187,2)=LEFT('112'!$M$9,2),B4187&lt;'112'!$N$8,$L4187='112'!$I$6)),"x",""))</f>
        <v/>
      </c>
      <c r="T4187" s="525" t="str">
        <f>IF(ISERROR(FIND('112'!$M$9,G4187,1)),"",IF((AND(RIGHT(G4187,2)=RIGHT('112'!$M$9,2),B4187&lt;'112'!$N$8,$M4187='112'!$I$6)),"x",""))</f>
        <v/>
      </c>
      <c r="U4187" s="525" t="str">
        <f>IF(AND(B4187&gt;='IN-NX'!$P$3,B4187&lt;='IN-NX'!$Q$3,'IN-NX'!$D$7=D4187,OR(LEFT(L4187,2)="15",AND(LEFT(M4187,2)&lt;&gt;"15",LEFT(M4187,2)&lt;&gt;"33"))),"x","")</f>
        <v/>
      </c>
      <c r="V4187" s="525" t="str">
        <f>IF(AND(OR(LEFT(TH!L4187,2)="15",LEFT(TH!M4187,2)="15"),'152-CT'!$J$8=TH!F4187),"x","")</f>
        <v/>
      </c>
      <c r="W4187" s="525" t="str">
        <f>IF(AND(OR(LEFT(TH!L4187,2)="15",LEFT(TH!M4187,2)="15"),TK!$E$7=TH!F4187),"x","")</f>
        <v/>
      </c>
      <c r="X4187" s="525" t="str">
        <f>IF(AND('341-CT'!$E$9=H4187,OR(LEFT(L4187,3)=$X$7,LEFT(M4187,3)=$X$7)),"x","")</f>
        <v/>
      </c>
      <c r="Y4187" s="525" t="str">
        <f>IF(OR(TH!L4187=TH!$Y$7,M4187=TH!$Y$7),"x","")</f>
        <v/>
      </c>
      <c r="Z4187" s="525" t="str">
        <f>IF(AND(B4187&lt;=NKC!$N$8,B4187&gt;=NKC!$M$8),"x","")</f>
        <v/>
      </c>
      <c r="AA4187" s="535">
        <v>3</v>
      </c>
      <c r="AB4187" s="536"/>
      <c r="AC4187" s="536" t="str">
        <f>VLOOKUP(F4187,NXT!$B$12:$B$686,1,0)</f>
        <v>Thùng 48x48x59</v>
      </c>
    </row>
    <row r="4188" spans="1:29" s="503" customFormat="1" ht="15.75" customHeight="1">
      <c r="A4188" s="517" t="str">
        <f>IF(B4188&lt;&gt;"",IF(AND(B4188&gt;=_TM1,B4188&lt;=_TM2,OR(TH!L4188="1111",TH!M4188="1111")),TH!D4188,""),"")</f>
        <v/>
      </c>
      <c r="B4188" s="531">
        <f t="shared" si="531"/>
        <v>9</v>
      </c>
      <c r="C4188" s="315">
        <f t="shared" si="532"/>
        <v>43006</v>
      </c>
      <c r="D4188" s="315" t="s">
        <v>1180</v>
      </c>
      <c r="E4188" s="315">
        <v>43006</v>
      </c>
      <c r="F4188" s="250" t="s">
        <v>1653</v>
      </c>
      <c r="G4188" s="314" t="s">
        <v>1630</v>
      </c>
      <c r="H4188" s="248" t="s">
        <v>1612</v>
      </c>
      <c r="I4188" s="307">
        <v>24</v>
      </c>
      <c r="J4188" s="307">
        <v>42043</v>
      </c>
      <c r="K4188" s="532">
        <f t="shared" si="533"/>
        <v>1009032</v>
      </c>
      <c r="L4188" s="534" t="s">
        <v>292</v>
      </c>
      <c r="M4188" s="534" t="s">
        <v>8</v>
      </c>
      <c r="N4188" s="525" t="str">
        <f>IF(AND('331-CT'!$E$7=TH!H4188,OR(L4188="331",M4188="331")),"331",IF(AND(OR(L4188="131",M4188="131"),H4188='131-CT'!$E$7),"131",""))</f>
        <v/>
      </c>
      <c r="O4188" s="525" t="str">
        <f>IF(AND($B4188&gt;='111'!$N$11,$B4188&lt;='111'!$O$11,OR($L4188=$O$7,$M4188=$O$7)),"x","")</f>
        <v/>
      </c>
      <c r="P4188" s="525" t="str">
        <f>IF(AND($L4188=$O$7,$B4188&lt;'111'!$N$11),"x","")</f>
        <v/>
      </c>
      <c r="Q4188" s="525" t="str">
        <f>IF(AND($M4188=$O$7,$B4188&lt;'111'!$N$11),"x","")</f>
        <v/>
      </c>
      <c r="R4188" s="525" t="str">
        <f>IF(ISERROR(FIND('112'!$M$9,G4188,1)),"",IF((AND(FIND('112'!$M$9,G4188,1)&gt;=1,$B4188&gt;='112'!$N$8,$B4188&lt;='112'!$O$8,OR($L4188='112'!$I$6,$M4188='112'!$I$6))),"x",""))</f>
        <v/>
      </c>
      <c r="S4188" s="525" t="str">
        <f>IF(ISERROR(FIND('112'!$M$9,G4188,1)),"",IF((AND(LEFT(G4188,2)=LEFT('112'!$M$9,2),B4188&lt;'112'!$N$8,$L4188='112'!$I$6)),"x",""))</f>
        <v/>
      </c>
      <c r="T4188" s="525" t="str">
        <f>IF(ISERROR(FIND('112'!$M$9,G4188,1)),"",IF((AND(RIGHT(G4188,2)=RIGHT('112'!$M$9,2),B4188&lt;'112'!$N$8,$M4188='112'!$I$6)),"x",""))</f>
        <v/>
      </c>
      <c r="U4188" s="525" t="str">
        <f>IF(AND(B4188&gt;='IN-NX'!$P$3,B4188&lt;='IN-NX'!$Q$3,'IN-NX'!$D$7=D4188,OR(LEFT(L4188,2)="15",AND(LEFT(M4188,2)&lt;&gt;"15",LEFT(M4188,2)&lt;&gt;"33"))),"x","")</f>
        <v/>
      </c>
      <c r="V4188" s="525" t="str">
        <f>IF(AND(OR(LEFT(TH!L4188,2)="15",LEFT(TH!M4188,2)="15"),'152-CT'!$J$8=TH!F4188),"x","")</f>
        <v/>
      </c>
      <c r="W4188" s="525" t="str">
        <f>IF(AND(OR(LEFT(TH!L4188,2)="15",LEFT(TH!M4188,2)="15"),TK!$E$7=TH!F4188),"x","")</f>
        <v/>
      </c>
      <c r="X4188" s="525" t="str">
        <f>IF(AND('341-CT'!$E$9=H4188,OR(LEFT(L4188,3)=$X$7,LEFT(M4188,3)=$X$7)),"x","")</f>
        <v/>
      </c>
      <c r="Y4188" s="525" t="str">
        <f>IF(OR(TH!L4188=TH!$Y$7,M4188=TH!$Y$7),"x","")</f>
        <v/>
      </c>
      <c r="Z4188" s="525" t="str">
        <f>IF(AND(B4188&lt;=NKC!$N$8,B4188&gt;=NKC!$M$8),"x","")</f>
        <v/>
      </c>
      <c r="AA4188" s="535">
        <v>3</v>
      </c>
      <c r="AB4188" s="536"/>
      <c r="AC4188" s="536" t="str">
        <f>VLOOKUP(F4188,NXT!$B$12:$B$686,1,0)</f>
        <v>Thùng 42x42x72</v>
      </c>
    </row>
    <row r="4189" spans="1:29" s="503" customFormat="1" ht="15.75" customHeight="1">
      <c r="A4189" s="517" t="str">
        <f>IF(B4189&lt;&gt;"",IF(AND(B4189&gt;=_TM1,B4189&lt;=_TM2,OR(TH!L4189="1111",TH!M4189="1111")),TH!D4189,""),"")</f>
        <v/>
      </c>
      <c r="B4189" s="531">
        <f t="shared" si="531"/>
        <v>9</v>
      </c>
      <c r="C4189" s="315">
        <f t="shared" si="532"/>
        <v>43006</v>
      </c>
      <c r="D4189" s="315" t="s">
        <v>1180</v>
      </c>
      <c r="E4189" s="315">
        <v>43006</v>
      </c>
      <c r="F4189" s="250" t="s">
        <v>1453</v>
      </c>
      <c r="G4189" s="314" t="s">
        <v>1630</v>
      </c>
      <c r="H4189" s="248" t="s">
        <v>1612</v>
      </c>
      <c r="I4189" s="307">
        <v>24</v>
      </c>
      <c r="J4189" s="307">
        <v>39685</v>
      </c>
      <c r="K4189" s="532">
        <f t="shared" si="533"/>
        <v>952440</v>
      </c>
      <c r="L4189" s="534" t="s">
        <v>292</v>
      </c>
      <c r="M4189" s="534" t="s">
        <v>8</v>
      </c>
      <c r="N4189" s="525" t="str">
        <f>IF(AND('331-CT'!$E$7=TH!H4189,OR(L4189="331",M4189="331")),"331",IF(AND(OR(L4189="131",M4189="131"),H4189='131-CT'!$E$7),"131",""))</f>
        <v/>
      </c>
      <c r="O4189" s="525" t="str">
        <f>IF(AND($B4189&gt;='111'!$N$11,$B4189&lt;='111'!$O$11,OR($L4189=$O$7,$M4189=$O$7)),"x","")</f>
        <v/>
      </c>
      <c r="P4189" s="525" t="str">
        <f>IF(AND($L4189=$O$7,$B4189&lt;'111'!$N$11),"x","")</f>
        <v/>
      </c>
      <c r="Q4189" s="525" t="str">
        <f>IF(AND($M4189=$O$7,$B4189&lt;'111'!$N$11),"x","")</f>
        <v/>
      </c>
      <c r="R4189" s="525" t="str">
        <f>IF(ISERROR(FIND('112'!$M$9,G4189,1)),"",IF((AND(FIND('112'!$M$9,G4189,1)&gt;=1,$B4189&gt;='112'!$N$8,$B4189&lt;='112'!$O$8,OR($L4189='112'!$I$6,$M4189='112'!$I$6))),"x",""))</f>
        <v/>
      </c>
      <c r="S4189" s="525" t="str">
        <f>IF(ISERROR(FIND('112'!$M$9,G4189,1)),"",IF((AND(LEFT(G4189,2)=LEFT('112'!$M$9,2),B4189&lt;'112'!$N$8,$L4189='112'!$I$6)),"x",""))</f>
        <v/>
      </c>
      <c r="T4189" s="525" t="str">
        <f>IF(ISERROR(FIND('112'!$M$9,G4189,1)),"",IF((AND(RIGHT(G4189,2)=RIGHT('112'!$M$9,2),B4189&lt;'112'!$N$8,$M4189='112'!$I$6)),"x",""))</f>
        <v/>
      </c>
      <c r="U4189" s="525" t="str">
        <f>IF(AND(B4189&gt;='IN-NX'!$P$3,B4189&lt;='IN-NX'!$Q$3,'IN-NX'!$D$7=D4189,OR(LEFT(L4189,2)="15",AND(LEFT(M4189,2)&lt;&gt;"15",LEFT(M4189,2)&lt;&gt;"33"))),"x","")</f>
        <v/>
      </c>
      <c r="V4189" s="525" t="str">
        <f>IF(AND(OR(LEFT(TH!L4189,2)="15",LEFT(TH!M4189,2)="15"),'152-CT'!$J$8=TH!F4189),"x","")</f>
        <v/>
      </c>
      <c r="W4189" s="525" t="str">
        <f>IF(AND(OR(LEFT(TH!L4189,2)="15",LEFT(TH!M4189,2)="15"),TK!$E$7=TH!F4189),"x","")</f>
        <v/>
      </c>
      <c r="X4189" s="525" t="str">
        <f>IF(AND('341-CT'!$E$9=H4189,OR(LEFT(L4189,3)=$X$7,LEFT(M4189,3)=$X$7)),"x","")</f>
        <v/>
      </c>
      <c r="Y4189" s="525" t="str">
        <f>IF(OR(TH!L4189=TH!$Y$7,M4189=TH!$Y$7),"x","")</f>
        <v/>
      </c>
      <c r="Z4189" s="525" t="str">
        <f>IF(AND(B4189&lt;=NKC!$N$8,B4189&gt;=NKC!$M$8),"x","")</f>
        <v/>
      </c>
      <c r="AA4189" s="535">
        <v>3</v>
      </c>
      <c r="AB4189" s="536"/>
      <c r="AC4189" s="536" t="str">
        <f>VLOOKUP(F4189,NXT!$B$12:$B$686,1,0)</f>
        <v>Thùng 46x46x52</v>
      </c>
    </row>
    <row r="4190" spans="1:29" s="503" customFormat="1" ht="15.75" customHeight="1">
      <c r="A4190" s="517" t="str">
        <f>IF(B4190&lt;&gt;"",IF(AND(B4190&gt;=_TM1,B4190&lt;=_TM2,OR(TH!L4190="1111",TH!M4190="1111")),TH!D4190,""),"")</f>
        <v/>
      </c>
      <c r="B4190" s="531">
        <f t="shared" si="531"/>
        <v>9</v>
      </c>
      <c r="C4190" s="315">
        <f t="shared" si="532"/>
        <v>43006</v>
      </c>
      <c r="D4190" s="315" t="s">
        <v>1180</v>
      </c>
      <c r="E4190" s="315">
        <v>43006</v>
      </c>
      <c r="F4190" s="250" t="s">
        <v>1654</v>
      </c>
      <c r="G4190" s="314" t="s">
        <v>1630</v>
      </c>
      <c r="H4190" s="248" t="s">
        <v>1612</v>
      </c>
      <c r="I4190" s="307">
        <v>6</v>
      </c>
      <c r="J4190" s="307">
        <v>156650</v>
      </c>
      <c r="K4190" s="532">
        <f t="shared" si="533"/>
        <v>939900</v>
      </c>
      <c r="L4190" s="534" t="s">
        <v>292</v>
      </c>
      <c r="M4190" s="534" t="s">
        <v>8</v>
      </c>
      <c r="N4190" s="525" t="str">
        <f>IF(AND('331-CT'!$E$7=TH!H4190,OR(L4190="331",M4190="331")),"331",IF(AND(OR(L4190="131",M4190="131"),H4190='131-CT'!$E$7),"131",""))</f>
        <v/>
      </c>
      <c r="O4190" s="525" t="str">
        <f>IF(AND($B4190&gt;='111'!$N$11,$B4190&lt;='111'!$O$11,OR($L4190=$O$7,$M4190=$O$7)),"x","")</f>
        <v/>
      </c>
      <c r="P4190" s="525" t="str">
        <f>IF(AND($L4190=$O$7,$B4190&lt;'111'!$N$11),"x","")</f>
        <v/>
      </c>
      <c r="Q4190" s="525" t="str">
        <f>IF(AND($M4190=$O$7,$B4190&lt;'111'!$N$11),"x","")</f>
        <v/>
      </c>
      <c r="R4190" s="525" t="str">
        <f>IF(ISERROR(FIND('112'!$M$9,G4190,1)),"",IF((AND(FIND('112'!$M$9,G4190,1)&gt;=1,$B4190&gt;='112'!$N$8,$B4190&lt;='112'!$O$8,OR($L4190='112'!$I$6,$M4190='112'!$I$6))),"x",""))</f>
        <v/>
      </c>
      <c r="S4190" s="525" t="str">
        <f>IF(ISERROR(FIND('112'!$M$9,G4190,1)),"",IF((AND(LEFT(G4190,2)=LEFT('112'!$M$9,2),B4190&lt;'112'!$N$8,$L4190='112'!$I$6)),"x",""))</f>
        <v/>
      </c>
      <c r="T4190" s="525" t="str">
        <f>IF(ISERROR(FIND('112'!$M$9,G4190,1)),"",IF((AND(RIGHT(G4190,2)=RIGHT('112'!$M$9,2),B4190&lt;'112'!$N$8,$M4190='112'!$I$6)),"x",""))</f>
        <v/>
      </c>
      <c r="U4190" s="525" t="str">
        <f>IF(AND(B4190&gt;='IN-NX'!$P$3,B4190&lt;='IN-NX'!$Q$3,'IN-NX'!$D$7=D4190,OR(LEFT(L4190,2)="15",AND(LEFT(M4190,2)&lt;&gt;"15",LEFT(M4190,2)&lt;&gt;"33"))),"x","")</f>
        <v/>
      </c>
      <c r="V4190" s="525" t="str">
        <f>IF(AND(OR(LEFT(TH!L4190,2)="15",LEFT(TH!M4190,2)="15"),'152-CT'!$J$8=TH!F4190),"x","")</f>
        <v/>
      </c>
      <c r="W4190" s="525" t="str">
        <f>IF(AND(OR(LEFT(TH!L4190,2)="15",LEFT(TH!M4190,2)="15"),TK!$E$7=TH!F4190),"x","")</f>
        <v/>
      </c>
      <c r="X4190" s="525" t="str">
        <f>IF(AND('341-CT'!$E$9=H4190,OR(LEFT(L4190,3)=$X$7,LEFT(M4190,3)=$X$7)),"x","")</f>
        <v/>
      </c>
      <c r="Y4190" s="525" t="str">
        <f>IF(OR(TH!L4190=TH!$Y$7,M4190=TH!$Y$7),"x","")</f>
        <v/>
      </c>
      <c r="Z4190" s="525" t="str">
        <f>IF(AND(B4190&lt;=NKC!$N$8,B4190&gt;=NKC!$M$8),"x","")</f>
        <v/>
      </c>
      <c r="AA4190" s="535">
        <v>3</v>
      </c>
      <c r="AB4190" s="536"/>
      <c r="AC4190" s="536" t="str">
        <f>VLOOKUP(F4190,NXT!$B$12:$B$686,1,0)</f>
        <v>Thùng 123x123x18</v>
      </c>
    </row>
    <row r="4191" spans="1:29" s="503" customFormat="1" ht="15.75" customHeight="1">
      <c r="A4191" s="517" t="str">
        <f>IF(B4191&lt;&gt;"",IF(AND(B4191&gt;=_TM1,B4191&lt;=_TM2,OR(TH!L4191="1111",TH!M4191="1111")),TH!D4191,""),"")</f>
        <v/>
      </c>
      <c r="B4191" s="531">
        <f t="shared" si="531"/>
        <v>9</v>
      </c>
      <c r="C4191" s="315">
        <f t="shared" si="532"/>
        <v>43006</v>
      </c>
      <c r="D4191" s="315" t="s">
        <v>1180</v>
      </c>
      <c r="E4191" s="315">
        <v>43006</v>
      </c>
      <c r="F4191" s="250" t="s">
        <v>1655</v>
      </c>
      <c r="G4191" s="314" t="s">
        <v>1630</v>
      </c>
      <c r="H4191" s="248" t="s">
        <v>1612</v>
      </c>
      <c r="I4191" s="307">
        <v>6</v>
      </c>
      <c r="J4191" s="307">
        <v>94674</v>
      </c>
      <c r="K4191" s="532">
        <f t="shared" si="533"/>
        <v>568044</v>
      </c>
      <c r="L4191" s="534" t="s">
        <v>292</v>
      </c>
      <c r="M4191" s="534" t="s">
        <v>8</v>
      </c>
      <c r="N4191" s="525" t="str">
        <f>IF(AND('331-CT'!$E$7=TH!H4191,OR(L4191="331",M4191="331")),"331",IF(AND(OR(L4191="131",M4191="131"),H4191='131-CT'!$E$7),"131",""))</f>
        <v/>
      </c>
      <c r="O4191" s="525" t="str">
        <f>IF(AND($B4191&gt;='111'!$N$11,$B4191&lt;='111'!$O$11,OR($L4191=$O$7,$M4191=$O$7)),"x","")</f>
        <v/>
      </c>
      <c r="P4191" s="525" t="str">
        <f>IF(AND($L4191=$O$7,$B4191&lt;'111'!$N$11),"x","")</f>
        <v/>
      </c>
      <c r="Q4191" s="525" t="str">
        <f>IF(AND($M4191=$O$7,$B4191&lt;'111'!$N$11),"x","")</f>
        <v/>
      </c>
      <c r="R4191" s="525" t="str">
        <f>IF(ISERROR(FIND('112'!$M$9,G4191,1)),"",IF((AND(FIND('112'!$M$9,G4191,1)&gt;=1,$B4191&gt;='112'!$N$8,$B4191&lt;='112'!$O$8,OR($L4191='112'!$I$6,$M4191='112'!$I$6))),"x",""))</f>
        <v/>
      </c>
      <c r="S4191" s="525" t="str">
        <f>IF(ISERROR(FIND('112'!$M$9,G4191,1)),"",IF((AND(LEFT(G4191,2)=LEFT('112'!$M$9,2),B4191&lt;'112'!$N$8,$L4191='112'!$I$6)),"x",""))</f>
        <v/>
      </c>
      <c r="T4191" s="525" t="str">
        <f>IF(ISERROR(FIND('112'!$M$9,G4191,1)),"",IF((AND(RIGHT(G4191,2)=RIGHT('112'!$M$9,2),B4191&lt;'112'!$N$8,$M4191='112'!$I$6)),"x",""))</f>
        <v/>
      </c>
      <c r="U4191" s="525" t="str">
        <f>IF(AND(B4191&gt;='IN-NX'!$P$3,B4191&lt;='IN-NX'!$Q$3,'IN-NX'!$D$7=D4191,OR(LEFT(L4191,2)="15",AND(LEFT(M4191,2)&lt;&gt;"15",LEFT(M4191,2)&lt;&gt;"33"))),"x","")</f>
        <v/>
      </c>
      <c r="V4191" s="525" t="str">
        <f>IF(AND(OR(LEFT(TH!L4191,2)="15",LEFT(TH!M4191,2)="15"),'152-CT'!$J$8=TH!F4191),"x","")</f>
        <v/>
      </c>
      <c r="W4191" s="525" t="str">
        <f>IF(AND(OR(LEFT(TH!L4191,2)="15",LEFT(TH!M4191,2)="15"),TK!$E$7=TH!F4191),"x","")</f>
        <v/>
      </c>
      <c r="X4191" s="525" t="str">
        <f>IF(AND('341-CT'!$E$9=H4191,OR(LEFT(L4191,3)=$X$7,LEFT(M4191,3)=$X$7)),"x","")</f>
        <v/>
      </c>
      <c r="Y4191" s="525" t="str">
        <f>IF(OR(TH!L4191=TH!$Y$7,M4191=TH!$Y$7),"x","")</f>
        <v/>
      </c>
      <c r="Z4191" s="525" t="str">
        <f>IF(AND(B4191&lt;=NKC!$N$8,B4191&gt;=NKC!$M$8),"x","")</f>
        <v/>
      </c>
      <c r="AA4191" s="535">
        <v>3</v>
      </c>
      <c r="AB4191" s="536"/>
      <c r="AC4191" s="536" t="str">
        <f>VLOOKUP(F4191,NXT!$B$12:$B$686,1,0)</f>
        <v>Thùng 68x68x84</v>
      </c>
    </row>
    <row r="4192" spans="1:29" s="503" customFormat="1" ht="15.75" customHeight="1">
      <c r="A4192" s="517" t="str">
        <f>IF(B4192&lt;&gt;"",IF(AND(B4192&gt;=_TM1,B4192&lt;=_TM2,OR(TH!L4192="1111",TH!M4192="1111")),TH!D4192,""),"")</f>
        <v/>
      </c>
      <c r="B4192" s="531">
        <f t="shared" si="531"/>
        <v>9</v>
      </c>
      <c r="C4192" s="315">
        <f t="shared" si="532"/>
        <v>43006</v>
      </c>
      <c r="D4192" s="315" t="s">
        <v>1180</v>
      </c>
      <c r="E4192" s="315">
        <v>43006</v>
      </c>
      <c r="F4192" s="250" t="s">
        <v>630</v>
      </c>
      <c r="G4192" s="314" t="s">
        <v>1630</v>
      </c>
      <c r="H4192" s="248" t="s">
        <v>1612</v>
      </c>
      <c r="I4192" s="307">
        <v>12</v>
      </c>
      <c r="J4192" s="307">
        <v>38272</v>
      </c>
      <c r="K4192" s="532">
        <f t="shared" si="533"/>
        <v>459264</v>
      </c>
      <c r="L4192" s="534" t="s">
        <v>292</v>
      </c>
      <c r="M4192" s="534" t="s">
        <v>8</v>
      </c>
      <c r="N4192" s="525" t="str">
        <f>IF(AND('331-CT'!$E$7=TH!H4192,OR(L4192="331",M4192="331")),"331",IF(AND(OR(L4192="131",M4192="131"),H4192='131-CT'!$E$7),"131",""))</f>
        <v/>
      </c>
      <c r="O4192" s="525" t="str">
        <f>IF(AND($B4192&gt;='111'!$N$11,$B4192&lt;='111'!$O$11,OR($L4192=$O$7,$M4192=$O$7)),"x","")</f>
        <v/>
      </c>
      <c r="P4192" s="525" t="str">
        <f>IF(AND($L4192=$O$7,$B4192&lt;'111'!$N$11),"x","")</f>
        <v/>
      </c>
      <c r="Q4192" s="525" t="str">
        <f>IF(AND($M4192=$O$7,$B4192&lt;'111'!$N$11),"x","")</f>
        <v/>
      </c>
      <c r="R4192" s="525" t="str">
        <f>IF(ISERROR(FIND('112'!$M$9,G4192,1)),"",IF((AND(FIND('112'!$M$9,G4192,1)&gt;=1,$B4192&gt;='112'!$N$8,$B4192&lt;='112'!$O$8,OR($L4192='112'!$I$6,$M4192='112'!$I$6))),"x",""))</f>
        <v/>
      </c>
      <c r="S4192" s="525" t="str">
        <f>IF(ISERROR(FIND('112'!$M$9,G4192,1)),"",IF((AND(LEFT(G4192,2)=LEFT('112'!$M$9,2),B4192&lt;'112'!$N$8,$L4192='112'!$I$6)),"x",""))</f>
        <v/>
      </c>
      <c r="T4192" s="525" t="str">
        <f>IF(ISERROR(FIND('112'!$M$9,G4192,1)),"",IF((AND(RIGHT(G4192,2)=RIGHT('112'!$M$9,2),B4192&lt;'112'!$N$8,$M4192='112'!$I$6)),"x",""))</f>
        <v/>
      </c>
      <c r="U4192" s="525" t="str">
        <f>IF(AND(B4192&gt;='IN-NX'!$P$3,B4192&lt;='IN-NX'!$Q$3,'IN-NX'!$D$7=D4192,OR(LEFT(L4192,2)="15",AND(LEFT(M4192,2)&lt;&gt;"15",LEFT(M4192,2)&lt;&gt;"33"))),"x","")</f>
        <v/>
      </c>
      <c r="V4192" s="525" t="str">
        <f>IF(AND(OR(LEFT(TH!L4192,2)="15",LEFT(TH!M4192,2)="15"),'152-CT'!$J$8=TH!F4192),"x","")</f>
        <v/>
      </c>
      <c r="W4192" s="525" t="str">
        <f>IF(AND(OR(LEFT(TH!L4192,2)="15",LEFT(TH!M4192,2)="15"),TK!$E$7=TH!F4192),"x","")</f>
        <v/>
      </c>
      <c r="X4192" s="525" t="str">
        <f>IF(AND('341-CT'!$E$9=H4192,OR(LEFT(L4192,3)=$X$7,LEFT(M4192,3)=$X$7)),"x","")</f>
        <v/>
      </c>
      <c r="Y4192" s="525" t="str">
        <f>IF(OR(TH!L4192=TH!$Y$7,M4192=TH!$Y$7),"x","")</f>
        <v/>
      </c>
      <c r="Z4192" s="525" t="str">
        <f>IF(AND(B4192&lt;=NKC!$N$8,B4192&gt;=NKC!$M$8),"x","")</f>
        <v/>
      </c>
      <c r="AA4192" s="535">
        <v>3</v>
      </c>
      <c r="AB4192" s="536"/>
      <c r="AC4192" s="536" t="str">
        <f>VLOOKUP(F4192,NXT!$B$12:$B$686,1,0)</f>
        <v>Thùng 65x35x50</v>
      </c>
    </row>
    <row r="4193" spans="1:29" s="503" customFormat="1" ht="15.75" customHeight="1">
      <c r="A4193" s="517" t="str">
        <f>IF(B4193&lt;&gt;"",IF(AND(B4193&gt;=_TM1,B4193&lt;=_TM2,OR(TH!L4193="1111",TH!M4193="1111")),TH!D4193,""),"")</f>
        <v/>
      </c>
      <c r="B4193" s="531">
        <f t="shared" si="531"/>
        <v>9</v>
      </c>
      <c r="C4193" s="315">
        <f t="shared" si="532"/>
        <v>43006</v>
      </c>
      <c r="D4193" s="315" t="s">
        <v>1180</v>
      </c>
      <c r="E4193" s="315">
        <v>43006</v>
      </c>
      <c r="F4193" s="250" t="s">
        <v>757</v>
      </c>
      <c r="G4193" s="314" t="s">
        <v>1630</v>
      </c>
      <c r="H4193" s="248" t="s">
        <v>1612</v>
      </c>
      <c r="I4193" s="307">
        <v>12</v>
      </c>
      <c r="J4193" s="307">
        <v>49132</v>
      </c>
      <c r="K4193" s="532">
        <f t="shared" si="533"/>
        <v>589584</v>
      </c>
      <c r="L4193" s="534" t="s">
        <v>292</v>
      </c>
      <c r="M4193" s="534" t="s">
        <v>8</v>
      </c>
      <c r="N4193" s="525" t="str">
        <f>IF(AND('331-CT'!$E$7=TH!H4193,OR(L4193="331",M4193="331")),"331",IF(AND(OR(L4193="131",M4193="131"),H4193='131-CT'!$E$7),"131",""))</f>
        <v/>
      </c>
      <c r="O4193" s="525" t="str">
        <f>IF(AND($B4193&gt;='111'!$N$11,$B4193&lt;='111'!$O$11,OR($L4193=$O$7,$M4193=$O$7)),"x","")</f>
        <v/>
      </c>
      <c r="P4193" s="525" t="str">
        <f>IF(AND($L4193=$O$7,$B4193&lt;'111'!$N$11),"x","")</f>
        <v/>
      </c>
      <c r="Q4193" s="525" t="str">
        <f>IF(AND($M4193=$O$7,$B4193&lt;'111'!$N$11),"x","")</f>
        <v/>
      </c>
      <c r="R4193" s="525" t="str">
        <f>IF(ISERROR(FIND('112'!$M$9,G4193,1)),"",IF((AND(FIND('112'!$M$9,G4193,1)&gt;=1,$B4193&gt;='112'!$N$8,$B4193&lt;='112'!$O$8,OR($L4193='112'!$I$6,$M4193='112'!$I$6))),"x",""))</f>
        <v/>
      </c>
      <c r="S4193" s="525" t="str">
        <f>IF(ISERROR(FIND('112'!$M$9,G4193,1)),"",IF((AND(LEFT(G4193,2)=LEFT('112'!$M$9,2),B4193&lt;'112'!$N$8,$L4193='112'!$I$6)),"x",""))</f>
        <v/>
      </c>
      <c r="T4193" s="525" t="str">
        <f>IF(ISERROR(FIND('112'!$M$9,G4193,1)),"",IF((AND(RIGHT(G4193,2)=RIGHT('112'!$M$9,2),B4193&lt;'112'!$N$8,$M4193='112'!$I$6)),"x",""))</f>
        <v/>
      </c>
      <c r="U4193" s="525" t="str">
        <f>IF(AND(B4193&gt;='IN-NX'!$P$3,B4193&lt;='IN-NX'!$Q$3,'IN-NX'!$D$7=D4193,OR(LEFT(L4193,2)="15",AND(LEFT(M4193,2)&lt;&gt;"15",LEFT(M4193,2)&lt;&gt;"33"))),"x","")</f>
        <v/>
      </c>
      <c r="V4193" s="525" t="str">
        <f>IF(AND(OR(LEFT(TH!L4193,2)="15",LEFT(TH!M4193,2)="15"),'152-CT'!$J$8=TH!F4193),"x","")</f>
        <v/>
      </c>
      <c r="W4193" s="525" t="str">
        <f>IF(AND(OR(LEFT(TH!L4193,2)="15",LEFT(TH!M4193,2)="15"),TK!$E$7=TH!F4193),"x","")</f>
        <v/>
      </c>
      <c r="X4193" s="525" t="str">
        <f>IF(AND('341-CT'!$E$9=H4193,OR(LEFT(L4193,3)=$X$7,LEFT(M4193,3)=$X$7)),"x","")</f>
        <v/>
      </c>
      <c r="Y4193" s="525" t="str">
        <f>IF(OR(TH!L4193=TH!$Y$7,M4193=TH!$Y$7),"x","")</f>
        <v/>
      </c>
      <c r="Z4193" s="525" t="str">
        <f>IF(AND(B4193&lt;=NKC!$N$8,B4193&gt;=NKC!$M$8),"x","")</f>
        <v/>
      </c>
      <c r="AA4193" s="535">
        <v>3</v>
      </c>
      <c r="AB4193" s="536"/>
      <c r="AC4193" s="536" t="str">
        <f>VLOOKUP(F4193,NXT!$B$12:$B$686,1,0)</f>
        <v>Thùng 45x45x80</v>
      </c>
    </row>
    <row r="4194" spans="1:29" s="503" customFormat="1" ht="15.75" customHeight="1">
      <c r="A4194" s="517" t="str">
        <f>IF(B4194&lt;&gt;"",IF(AND(B4194&gt;=_TM1,B4194&lt;=_TM2,OR(TH!L4194="1111",TH!M4194="1111")),TH!D4194,""),"")</f>
        <v/>
      </c>
      <c r="B4194" s="531">
        <f t="shared" si="531"/>
        <v>9</v>
      </c>
      <c r="C4194" s="315">
        <f t="shared" si="532"/>
        <v>43006</v>
      </c>
      <c r="D4194" s="315" t="s">
        <v>1180</v>
      </c>
      <c r="E4194" s="315">
        <v>43006</v>
      </c>
      <c r="F4194" s="250" t="s">
        <v>627</v>
      </c>
      <c r="G4194" s="314" t="s">
        <v>1630</v>
      </c>
      <c r="H4194" s="248" t="s">
        <v>1612</v>
      </c>
      <c r="I4194" s="307">
        <v>75</v>
      </c>
      <c r="J4194" s="307">
        <v>50980</v>
      </c>
      <c r="K4194" s="532">
        <f t="shared" si="533"/>
        <v>3823500</v>
      </c>
      <c r="L4194" s="534" t="s">
        <v>292</v>
      </c>
      <c r="M4194" s="534" t="s">
        <v>8</v>
      </c>
      <c r="N4194" s="525" t="str">
        <f>IF(AND('331-CT'!$E$7=TH!H4194,OR(L4194="331",M4194="331")),"331",IF(AND(OR(L4194="131",M4194="131"),H4194='131-CT'!$E$7),"131",""))</f>
        <v/>
      </c>
      <c r="O4194" s="525" t="str">
        <f>IF(AND($B4194&gt;='111'!$N$11,$B4194&lt;='111'!$O$11,OR($L4194=$O$7,$M4194=$O$7)),"x","")</f>
        <v/>
      </c>
      <c r="P4194" s="525" t="str">
        <f>IF(AND($L4194=$O$7,$B4194&lt;'111'!$N$11),"x","")</f>
        <v/>
      </c>
      <c r="Q4194" s="525" t="str">
        <f>IF(AND($M4194=$O$7,$B4194&lt;'111'!$N$11),"x","")</f>
        <v/>
      </c>
      <c r="R4194" s="525" t="str">
        <f>IF(ISERROR(FIND('112'!$M$9,G4194,1)),"",IF((AND(FIND('112'!$M$9,G4194,1)&gt;=1,$B4194&gt;='112'!$N$8,$B4194&lt;='112'!$O$8,OR($L4194='112'!$I$6,$M4194='112'!$I$6))),"x",""))</f>
        <v/>
      </c>
      <c r="S4194" s="525" t="str">
        <f>IF(ISERROR(FIND('112'!$M$9,G4194,1)),"",IF((AND(LEFT(G4194,2)=LEFT('112'!$M$9,2),B4194&lt;'112'!$N$8,$L4194='112'!$I$6)),"x",""))</f>
        <v/>
      </c>
      <c r="T4194" s="525" t="str">
        <f>IF(ISERROR(FIND('112'!$M$9,G4194,1)),"",IF((AND(RIGHT(G4194,2)=RIGHT('112'!$M$9,2),B4194&lt;'112'!$N$8,$M4194='112'!$I$6)),"x",""))</f>
        <v/>
      </c>
      <c r="U4194" s="525" t="str">
        <f>IF(AND(B4194&gt;='IN-NX'!$P$3,B4194&lt;='IN-NX'!$Q$3,'IN-NX'!$D$7=D4194,OR(LEFT(L4194,2)="15",AND(LEFT(M4194,2)&lt;&gt;"15",LEFT(M4194,2)&lt;&gt;"33"))),"x","")</f>
        <v/>
      </c>
      <c r="V4194" s="525" t="str">
        <f>IF(AND(OR(LEFT(TH!L4194,2)="15",LEFT(TH!M4194,2)="15"),'152-CT'!$J$8=TH!F4194),"x","")</f>
        <v/>
      </c>
      <c r="W4194" s="525" t="str">
        <f>IF(AND(OR(LEFT(TH!L4194,2)="15",LEFT(TH!M4194,2)="15"),TK!$E$7=TH!F4194),"x","")</f>
        <v/>
      </c>
      <c r="X4194" s="525" t="str">
        <f>IF(AND('341-CT'!$E$9=H4194,OR(LEFT(L4194,3)=$X$7,LEFT(M4194,3)=$X$7)),"x","")</f>
        <v/>
      </c>
      <c r="Y4194" s="525" t="str">
        <f>IF(OR(TH!L4194=TH!$Y$7,M4194=TH!$Y$7),"x","")</f>
        <v/>
      </c>
      <c r="Z4194" s="525" t="str">
        <f>IF(AND(B4194&lt;=NKC!$N$8,B4194&gt;=NKC!$M$8),"x","")</f>
        <v/>
      </c>
      <c r="AA4194" s="535">
        <v>3</v>
      </c>
      <c r="AB4194" s="536"/>
      <c r="AC4194" s="536" t="str">
        <f>VLOOKUP(F4194,NXT!$B$12:$B$686,1,0)</f>
        <v>Thùng 55x55x55</v>
      </c>
    </row>
    <row r="4195" spans="1:29" s="503" customFormat="1" ht="15.75" customHeight="1">
      <c r="A4195" s="517" t="str">
        <f>IF(B4195&lt;&gt;"",IF(AND(B4195&gt;=_TM1,B4195&lt;=_TM2,OR(TH!L4195="1111",TH!M4195="1111")),TH!D4195,""),"")</f>
        <v/>
      </c>
      <c r="B4195" s="531">
        <f t="shared" si="529"/>
        <v>9</v>
      </c>
      <c r="C4195" s="315">
        <f t="shared" si="530"/>
        <v>43006</v>
      </c>
      <c r="D4195" s="315" t="s">
        <v>1180</v>
      </c>
      <c r="E4195" s="315">
        <v>43006</v>
      </c>
      <c r="F4195" s="250" t="s">
        <v>1656</v>
      </c>
      <c r="G4195" s="314" t="s">
        <v>1630</v>
      </c>
      <c r="H4195" s="248" t="s">
        <v>1612</v>
      </c>
      <c r="I4195" s="307">
        <v>12</v>
      </c>
      <c r="J4195" s="307">
        <v>140882</v>
      </c>
      <c r="K4195" s="532">
        <f t="shared" ref="K4195:K4210" si="534">ROUND(I4195*J4195,0)</f>
        <v>1690584</v>
      </c>
      <c r="L4195" s="534" t="s">
        <v>292</v>
      </c>
      <c r="M4195" s="534" t="s">
        <v>8</v>
      </c>
      <c r="N4195" s="525" t="str">
        <f>IF(AND('331-CT'!$E$7=TH!H4195,OR(L4195="331",M4195="331")),"331",IF(AND(OR(L4195="131",M4195="131"),H4195='131-CT'!$E$7),"131",""))</f>
        <v/>
      </c>
      <c r="O4195" s="525" t="str">
        <f>IF(AND($B4195&gt;='111'!$N$11,$B4195&lt;='111'!$O$11,OR($L4195=$O$7,$M4195=$O$7)),"x","")</f>
        <v/>
      </c>
      <c r="P4195" s="525" t="str">
        <f>IF(AND($L4195=$O$7,$B4195&lt;'111'!$N$11),"x","")</f>
        <v/>
      </c>
      <c r="Q4195" s="525" t="str">
        <f>IF(AND($M4195=$O$7,$B4195&lt;'111'!$N$11),"x","")</f>
        <v/>
      </c>
      <c r="R4195" s="525" t="str">
        <f>IF(ISERROR(FIND('112'!$M$9,G4195,1)),"",IF((AND(FIND('112'!$M$9,G4195,1)&gt;=1,$B4195&gt;='112'!$N$8,$B4195&lt;='112'!$O$8,OR($L4195='112'!$I$6,$M4195='112'!$I$6))),"x",""))</f>
        <v/>
      </c>
      <c r="S4195" s="525" t="str">
        <f>IF(ISERROR(FIND('112'!$M$9,G4195,1)),"",IF((AND(LEFT(G4195,2)=LEFT('112'!$M$9,2),B4195&lt;'112'!$N$8,$L4195='112'!$I$6)),"x",""))</f>
        <v/>
      </c>
      <c r="T4195" s="525" t="str">
        <f>IF(ISERROR(FIND('112'!$M$9,G4195,1)),"",IF((AND(RIGHT(G4195,2)=RIGHT('112'!$M$9,2),B4195&lt;'112'!$N$8,$M4195='112'!$I$6)),"x",""))</f>
        <v/>
      </c>
      <c r="U4195" s="525" t="str">
        <f>IF(AND(B4195&gt;='IN-NX'!$P$3,B4195&lt;='IN-NX'!$Q$3,'IN-NX'!$D$7=D4195,OR(LEFT(L4195,2)="15",AND(LEFT(M4195,2)&lt;&gt;"15",LEFT(M4195,2)&lt;&gt;"33"))),"x","")</f>
        <v/>
      </c>
      <c r="V4195" s="525" t="str">
        <f>IF(AND(OR(LEFT(TH!L4195,2)="15",LEFT(TH!M4195,2)="15"),'152-CT'!$J$8=TH!F4195),"x","")</f>
        <v/>
      </c>
      <c r="W4195" s="525" t="str">
        <f>IF(AND(OR(LEFT(TH!L4195,2)="15",LEFT(TH!M4195,2)="15"),TK!$E$7=TH!F4195),"x","")</f>
        <v/>
      </c>
      <c r="X4195" s="525" t="str">
        <f>IF(AND('341-CT'!$E$9=H4195,OR(LEFT(L4195,3)=$X$7,LEFT(M4195,3)=$X$7)),"x","")</f>
        <v/>
      </c>
      <c r="Y4195" s="525" t="str">
        <f>IF(OR(TH!L4195=TH!$Y$7,M4195=TH!$Y$7),"x","")</f>
        <v/>
      </c>
      <c r="Z4195" s="525" t="str">
        <f>IF(AND(B4195&lt;=NKC!$N$8,B4195&gt;=NKC!$M$8),"x","")</f>
        <v/>
      </c>
      <c r="AA4195" s="535">
        <v>3</v>
      </c>
      <c r="AB4195" s="536"/>
      <c r="AC4195" s="536" t="str">
        <f>VLOOKUP(F4195,NXT!$B$12:$B$686,1,0)</f>
        <v>Thùng 105x105x51</v>
      </c>
    </row>
    <row r="4196" spans="1:29" s="503" customFormat="1" ht="15.75" customHeight="1">
      <c r="A4196" s="517" t="str">
        <f>IF(B4196&lt;&gt;"",IF(AND(B4196&gt;=_TM1,B4196&lt;=_TM2,OR(TH!L4196="1111",TH!M4196="1111")),TH!D4196,""),"")</f>
        <v/>
      </c>
      <c r="B4196" s="531">
        <f t="shared" si="529"/>
        <v>9</v>
      </c>
      <c r="C4196" s="315">
        <f t="shared" si="530"/>
        <v>43006</v>
      </c>
      <c r="D4196" s="315" t="s">
        <v>1180</v>
      </c>
      <c r="E4196" s="315">
        <v>43006</v>
      </c>
      <c r="F4196" s="250" t="s">
        <v>1657</v>
      </c>
      <c r="G4196" s="314" t="s">
        <v>1630</v>
      </c>
      <c r="H4196" s="248" t="s">
        <v>1612</v>
      </c>
      <c r="I4196" s="307">
        <v>24</v>
      </c>
      <c r="J4196" s="307">
        <v>38849</v>
      </c>
      <c r="K4196" s="532">
        <f t="shared" si="534"/>
        <v>932376</v>
      </c>
      <c r="L4196" s="534" t="s">
        <v>292</v>
      </c>
      <c r="M4196" s="534" t="s">
        <v>8</v>
      </c>
      <c r="N4196" s="525" t="str">
        <f>IF(AND('331-CT'!$E$7=TH!H4196,OR(L4196="331",M4196="331")),"331",IF(AND(OR(L4196="131",M4196="131"),H4196='131-CT'!$E$7),"131",""))</f>
        <v/>
      </c>
      <c r="O4196" s="525" t="str">
        <f>IF(AND($B4196&gt;='111'!$N$11,$B4196&lt;='111'!$O$11,OR($L4196=$O$7,$M4196=$O$7)),"x","")</f>
        <v/>
      </c>
      <c r="P4196" s="525" t="str">
        <f>IF(AND($L4196=$O$7,$B4196&lt;'111'!$N$11),"x","")</f>
        <v/>
      </c>
      <c r="Q4196" s="525" t="str">
        <f>IF(AND($M4196=$O$7,$B4196&lt;'111'!$N$11),"x","")</f>
        <v/>
      </c>
      <c r="R4196" s="525" t="str">
        <f>IF(ISERROR(FIND('112'!$M$9,G4196,1)),"",IF((AND(FIND('112'!$M$9,G4196,1)&gt;=1,$B4196&gt;='112'!$N$8,$B4196&lt;='112'!$O$8,OR($L4196='112'!$I$6,$M4196='112'!$I$6))),"x",""))</f>
        <v/>
      </c>
      <c r="S4196" s="525" t="str">
        <f>IF(ISERROR(FIND('112'!$M$9,G4196,1)),"",IF((AND(LEFT(G4196,2)=LEFT('112'!$M$9,2),B4196&lt;'112'!$N$8,$L4196='112'!$I$6)),"x",""))</f>
        <v/>
      </c>
      <c r="T4196" s="525" t="str">
        <f>IF(ISERROR(FIND('112'!$M$9,G4196,1)),"",IF((AND(RIGHT(G4196,2)=RIGHT('112'!$M$9,2),B4196&lt;'112'!$N$8,$M4196='112'!$I$6)),"x",""))</f>
        <v/>
      </c>
      <c r="U4196" s="525" t="str">
        <f>IF(AND(B4196&gt;='IN-NX'!$P$3,B4196&lt;='IN-NX'!$Q$3,'IN-NX'!$D$7=D4196,OR(LEFT(L4196,2)="15",AND(LEFT(M4196,2)&lt;&gt;"15",LEFT(M4196,2)&lt;&gt;"33"))),"x","")</f>
        <v/>
      </c>
      <c r="V4196" s="525" t="str">
        <f>IF(AND(OR(LEFT(TH!L4196,2)="15",LEFT(TH!M4196,2)="15"),'152-CT'!$J$8=TH!F4196),"x","")</f>
        <v/>
      </c>
      <c r="W4196" s="525" t="str">
        <f>IF(AND(OR(LEFT(TH!L4196,2)="15",LEFT(TH!M4196,2)="15"),TK!$E$7=TH!F4196),"x","")</f>
        <v/>
      </c>
      <c r="X4196" s="525" t="str">
        <f>IF(AND('341-CT'!$E$9=H4196,OR(LEFT(L4196,3)=$X$7,LEFT(M4196,3)=$X$7)),"x","")</f>
        <v/>
      </c>
      <c r="Y4196" s="525" t="str">
        <f>IF(OR(TH!L4196=TH!$Y$7,M4196=TH!$Y$7),"x","")</f>
        <v/>
      </c>
      <c r="Z4196" s="525" t="str">
        <f>IF(AND(B4196&lt;=NKC!$N$8,B4196&gt;=NKC!$M$8),"x","")</f>
        <v/>
      </c>
      <c r="AA4196" s="535">
        <v>3</v>
      </c>
      <c r="AB4196" s="536"/>
      <c r="AC4196" s="536" t="str">
        <f>VLOOKUP(F4196,NXT!$B$12:$B$686,1,0)</f>
        <v>Thùng 45x45x53</v>
      </c>
    </row>
    <row r="4197" spans="1:29" s="503" customFormat="1" ht="15.75" customHeight="1">
      <c r="A4197" s="517" t="str">
        <f>IF(B4197&lt;&gt;"",IF(AND(B4197&gt;=_TM1,B4197&lt;=_TM2,OR(TH!L4197="1111",TH!M4197="1111")),TH!D4197,""),"")</f>
        <v/>
      </c>
      <c r="B4197" s="531">
        <f t="shared" si="529"/>
        <v>9</v>
      </c>
      <c r="C4197" s="315">
        <f t="shared" si="530"/>
        <v>43006</v>
      </c>
      <c r="D4197" s="315" t="s">
        <v>1180</v>
      </c>
      <c r="E4197" s="315">
        <v>43006</v>
      </c>
      <c r="F4197" s="250" t="s">
        <v>1177</v>
      </c>
      <c r="G4197" s="314" t="s">
        <v>1630</v>
      </c>
      <c r="H4197" s="248" t="s">
        <v>1612</v>
      </c>
      <c r="I4197" s="307">
        <v>18</v>
      </c>
      <c r="J4197" s="307">
        <v>73103</v>
      </c>
      <c r="K4197" s="532">
        <f t="shared" si="534"/>
        <v>1315854</v>
      </c>
      <c r="L4197" s="534" t="s">
        <v>292</v>
      </c>
      <c r="M4197" s="534" t="s">
        <v>8</v>
      </c>
      <c r="N4197" s="525" t="str">
        <f>IF(AND('331-CT'!$E$7=TH!H4197,OR(L4197="331",M4197="331")),"331",IF(AND(OR(L4197="131",M4197="131"),H4197='131-CT'!$E$7),"131",""))</f>
        <v/>
      </c>
      <c r="O4197" s="525" t="str">
        <f>IF(AND($B4197&gt;='111'!$N$11,$B4197&lt;='111'!$O$11,OR($L4197=$O$7,$M4197=$O$7)),"x","")</f>
        <v/>
      </c>
      <c r="P4197" s="525" t="str">
        <f>IF(AND($L4197=$O$7,$B4197&lt;'111'!$N$11),"x","")</f>
        <v/>
      </c>
      <c r="Q4197" s="525" t="str">
        <f>IF(AND($M4197=$O$7,$B4197&lt;'111'!$N$11),"x","")</f>
        <v/>
      </c>
      <c r="R4197" s="525" t="str">
        <f>IF(ISERROR(FIND('112'!$M$9,G4197,1)),"",IF((AND(FIND('112'!$M$9,G4197,1)&gt;=1,$B4197&gt;='112'!$N$8,$B4197&lt;='112'!$O$8,OR($L4197='112'!$I$6,$M4197='112'!$I$6))),"x",""))</f>
        <v/>
      </c>
      <c r="S4197" s="525" t="str">
        <f>IF(ISERROR(FIND('112'!$M$9,G4197,1)),"",IF((AND(LEFT(G4197,2)=LEFT('112'!$M$9,2),B4197&lt;'112'!$N$8,$L4197='112'!$I$6)),"x",""))</f>
        <v/>
      </c>
      <c r="T4197" s="525" t="str">
        <f>IF(ISERROR(FIND('112'!$M$9,G4197,1)),"",IF((AND(RIGHT(G4197,2)=RIGHT('112'!$M$9,2),B4197&lt;'112'!$N$8,$M4197='112'!$I$6)),"x",""))</f>
        <v/>
      </c>
      <c r="U4197" s="525" t="str">
        <f>IF(AND(B4197&gt;='IN-NX'!$P$3,B4197&lt;='IN-NX'!$Q$3,'IN-NX'!$D$7=D4197,OR(LEFT(L4197,2)="15",AND(LEFT(M4197,2)&lt;&gt;"15",LEFT(M4197,2)&lt;&gt;"33"))),"x","")</f>
        <v/>
      </c>
      <c r="V4197" s="525" t="str">
        <f>IF(AND(OR(LEFT(TH!L4197,2)="15",LEFT(TH!M4197,2)="15"),'152-CT'!$J$8=TH!F4197),"x","")</f>
        <v/>
      </c>
      <c r="W4197" s="525" t="str">
        <f>IF(AND(OR(LEFT(TH!L4197,2)="15",LEFT(TH!M4197,2)="15"),TK!$E$7=TH!F4197),"x","")</f>
        <v/>
      </c>
      <c r="X4197" s="525" t="str">
        <f>IF(AND('341-CT'!$E$9=H4197,OR(LEFT(L4197,3)=$X$7,LEFT(M4197,3)=$X$7)),"x","")</f>
        <v/>
      </c>
      <c r="Y4197" s="525" t="str">
        <f>IF(OR(TH!L4197=TH!$Y$7,M4197=TH!$Y$7),"x","")</f>
        <v/>
      </c>
      <c r="Z4197" s="525" t="str">
        <f>IF(AND(B4197&lt;=NKC!$N$8,B4197&gt;=NKC!$M$8),"x","")</f>
        <v/>
      </c>
      <c r="AA4197" s="535">
        <v>3</v>
      </c>
      <c r="AB4197" s="536"/>
      <c r="AC4197" s="536" t="str">
        <f>VLOOKUP(F4197,NXT!$B$12:$B$686,1,0)</f>
        <v>Thùng 125x45x53</v>
      </c>
    </row>
    <row r="4198" spans="1:29" s="503" customFormat="1" ht="15.75" customHeight="1">
      <c r="A4198" s="517" t="str">
        <f>IF(B4198&lt;&gt;"",IF(AND(B4198&gt;=_TM1,B4198&lt;=_TM2,OR(TH!L4198="1111",TH!M4198="1111")),TH!D4198,""),"")</f>
        <v/>
      </c>
      <c r="B4198" s="531">
        <f t="shared" si="529"/>
        <v>9</v>
      </c>
      <c r="C4198" s="315">
        <f t="shared" si="530"/>
        <v>43006</v>
      </c>
      <c r="D4198" s="315" t="s">
        <v>1180</v>
      </c>
      <c r="E4198" s="315">
        <v>43006</v>
      </c>
      <c r="F4198" s="250" t="s">
        <v>667</v>
      </c>
      <c r="G4198" s="314" t="s">
        <v>1630</v>
      </c>
      <c r="H4198" s="248" t="s">
        <v>1612</v>
      </c>
      <c r="I4198" s="307">
        <v>24</v>
      </c>
      <c r="J4198" s="307">
        <v>64523</v>
      </c>
      <c r="K4198" s="532">
        <f t="shared" si="534"/>
        <v>1548552</v>
      </c>
      <c r="L4198" s="534" t="s">
        <v>292</v>
      </c>
      <c r="M4198" s="534" t="s">
        <v>8</v>
      </c>
      <c r="N4198" s="525" t="str">
        <f>IF(AND('331-CT'!$E$7=TH!H4198,OR(L4198="331",M4198="331")),"331",IF(AND(OR(L4198="131",M4198="131"),H4198='131-CT'!$E$7),"131",""))</f>
        <v/>
      </c>
      <c r="O4198" s="525" t="str">
        <f>IF(AND($B4198&gt;='111'!$N$11,$B4198&lt;='111'!$O$11,OR($L4198=$O$7,$M4198=$O$7)),"x","")</f>
        <v/>
      </c>
      <c r="P4198" s="525" t="str">
        <f>IF(AND($L4198=$O$7,$B4198&lt;'111'!$N$11),"x","")</f>
        <v/>
      </c>
      <c r="Q4198" s="525" t="str">
        <f>IF(AND($M4198=$O$7,$B4198&lt;'111'!$N$11),"x","")</f>
        <v/>
      </c>
      <c r="R4198" s="525" t="str">
        <f>IF(ISERROR(FIND('112'!$M$9,G4198,1)),"",IF((AND(FIND('112'!$M$9,G4198,1)&gt;=1,$B4198&gt;='112'!$N$8,$B4198&lt;='112'!$O$8,OR($L4198='112'!$I$6,$M4198='112'!$I$6))),"x",""))</f>
        <v/>
      </c>
      <c r="S4198" s="525" t="str">
        <f>IF(ISERROR(FIND('112'!$M$9,G4198,1)),"",IF((AND(LEFT(G4198,2)=LEFT('112'!$M$9,2),B4198&lt;'112'!$N$8,$L4198='112'!$I$6)),"x",""))</f>
        <v/>
      </c>
      <c r="T4198" s="525" t="str">
        <f>IF(ISERROR(FIND('112'!$M$9,G4198,1)),"",IF((AND(RIGHT(G4198,2)=RIGHT('112'!$M$9,2),B4198&lt;'112'!$N$8,$M4198='112'!$I$6)),"x",""))</f>
        <v/>
      </c>
      <c r="U4198" s="525" t="str">
        <f>IF(AND(B4198&gt;='IN-NX'!$P$3,B4198&lt;='IN-NX'!$Q$3,'IN-NX'!$D$7=D4198,OR(LEFT(L4198,2)="15",AND(LEFT(M4198,2)&lt;&gt;"15",LEFT(M4198,2)&lt;&gt;"33"))),"x","")</f>
        <v/>
      </c>
      <c r="V4198" s="525" t="str">
        <f>IF(AND(OR(LEFT(TH!L4198,2)="15",LEFT(TH!M4198,2)="15"),'152-CT'!$J$8=TH!F4198),"x","")</f>
        <v/>
      </c>
      <c r="W4198" s="525" t="str">
        <f>IF(AND(OR(LEFT(TH!L4198,2)="15",LEFT(TH!M4198,2)="15"),TK!$E$7=TH!F4198),"x","")</f>
        <v/>
      </c>
      <c r="X4198" s="525" t="str">
        <f>IF(AND('341-CT'!$E$9=H4198,OR(LEFT(L4198,3)=$X$7,LEFT(M4198,3)=$X$7)),"x","")</f>
        <v/>
      </c>
      <c r="Y4198" s="525" t="str">
        <f>IF(OR(TH!L4198=TH!$Y$7,M4198=TH!$Y$7),"x","")</f>
        <v/>
      </c>
      <c r="Z4198" s="525" t="str">
        <f>IF(AND(B4198&lt;=NKC!$N$8,B4198&gt;=NKC!$M$8),"x","")</f>
        <v/>
      </c>
      <c r="AA4198" s="535">
        <v>3</v>
      </c>
      <c r="AB4198" s="536"/>
      <c r="AC4198" s="536" t="str">
        <f>VLOOKUP(F4198,NXT!$B$12:$B$686,1,0)</f>
        <v>Thùng 55x55x78</v>
      </c>
    </row>
    <row r="4199" spans="1:29" s="503" customFormat="1" ht="15.75" customHeight="1">
      <c r="A4199" s="517" t="str">
        <f>IF(B4199&lt;&gt;"",IF(AND(B4199&gt;=_TM1,B4199&lt;=_TM2,OR(TH!L4199="1111",TH!M4199="1111")),TH!D4199,""),"")</f>
        <v/>
      </c>
      <c r="B4199" s="531">
        <f t="shared" si="529"/>
        <v>9</v>
      </c>
      <c r="C4199" s="315">
        <f t="shared" si="530"/>
        <v>43006</v>
      </c>
      <c r="D4199" s="315" t="s">
        <v>1180</v>
      </c>
      <c r="E4199" s="315">
        <v>43006</v>
      </c>
      <c r="F4199" s="250" t="s">
        <v>756</v>
      </c>
      <c r="G4199" s="314" t="s">
        <v>1630</v>
      </c>
      <c r="H4199" s="248" t="s">
        <v>1612</v>
      </c>
      <c r="I4199" s="307">
        <v>18</v>
      </c>
      <c r="J4199" s="307">
        <v>41516</v>
      </c>
      <c r="K4199" s="532">
        <f t="shared" si="534"/>
        <v>747288</v>
      </c>
      <c r="L4199" s="534" t="s">
        <v>292</v>
      </c>
      <c r="M4199" s="534" t="s">
        <v>8</v>
      </c>
      <c r="N4199" s="525" t="str">
        <f>IF(AND('331-CT'!$E$7=TH!H4199,OR(L4199="331",M4199="331")),"331",IF(AND(OR(L4199="131",M4199="131"),H4199='131-CT'!$E$7),"131",""))</f>
        <v/>
      </c>
      <c r="O4199" s="525" t="str">
        <f>IF(AND($B4199&gt;='111'!$N$11,$B4199&lt;='111'!$O$11,OR($L4199=$O$7,$M4199=$O$7)),"x","")</f>
        <v/>
      </c>
      <c r="P4199" s="525" t="str">
        <f>IF(AND($L4199=$O$7,$B4199&lt;'111'!$N$11),"x","")</f>
        <v/>
      </c>
      <c r="Q4199" s="525" t="str">
        <f>IF(AND($M4199=$O$7,$B4199&lt;'111'!$N$11),"x","")</f>
        <v/>
      </c>
      <c r="R4199" s="525" t="str">
        <f>IF(ISERROR(FIND('112'!$M$9,G4199,1)),"",IF((AND(FIND('112'!$M$9,G4199,1)&gt;=1,$B4199&gt;='112'!$N$8,$B4199&lt;='112'!$O$8,OR($L4199='112'!$I$6,$M4199='112'!$I$6))),"x",""))</f>
        <v/>
      </c>
      <c r="S4199" s="525" t="str">
        <f>IF(ISERROR(FIND('112'!$M$9,G4199,1)),"",IF((AND(LEFT(G4199,2)=LEFT('112'!$M$9,2),B4199&lt;'112'!$N$8,$L4199='112'!$I$6)),"x",""))</f>
        <v/>
      </c>
      <c r="T4199" s="525" t="str">
        <f>IF(ISERROR(FIND('112'!$M$9,G4199,1)),"",IF((AND(RIGHT(G4199,2)=RIGHT('112'!$M$9,2),B4199&lt;'112'!$N$8,$M4199='112'!$I$6)),"x",""))</f>
        <v/>
      </c>
      <c r="U4199" s="525" t="str">
        <f>IF(AND(B4199&gt;='IN-NX'!$P$3,B4199&lt;='IN-NX'!$Q$3,'IN-NX'!$D$7=D4199,OR(LEFT(L4199,2)="15",AND(LEFT(M4199,2)&lt;&gt;"15",LEFT(M4199,2)&lt;&gt;"33"))),"x","")</f>
        <v/>
      </c>
      <c r="V4199" s="525" t="str">
        <f>IF(AND(OR(LEFT(TH!L4199,2)="15",LEFT(TH!M4199,2)="15"),'152-CT'!$J$8=TH!F4199),"x","")</f>
        <v/>
      </c>
      <c r="W4199" s="525" t="str">
        <f>IF(AND(OR(LEFT(TH!L4199,2)="15",LEFT(TH!M4199,2)="15"),TK!$E$7=TH!F4199),"x","")</f>
        <v/>
      </c>
      <c r="X4199" s="525" t="str">
        <f>IF(AND('341-CT'!$E$9=H4199,OR(LEFT(L4199,3)=$X$7,LEFT(M4199,3)=$X$7)),"x","")</f>
        <v/>
      </c>
      <c r="Y4199" s="525" t="str">
        <f>IF(OR(TH!L4199=TH!$Y$7,M4199=TH!$Y$7),"x","")</f>
        <v/>
      </c>
      <c r="Z4199" s="525" t="str">
        <f>IF(AND(B4199&lt;=NKC!$N$8,B4199&gt;=NKC!$M$8),"x","")</f>
        <v/>
      </c>
      <c r="AA4199" s="535">
        <v>3</v>
      </c>
      <c r="AB4199" s="536"/>
      <c r="AC4199" s="536" t="str">
        <f>VLOOKUP(F4199,NXT!$B$12:$B$686,1,0)</f>
        <v>Thùng 45x45x60</v>
      </c>
    </row>
    <row r="4200" spans="1:29" s="503" customFormat="1" ht="15.75" customHeight="1">
      <c r="A4200" s="517" t="str">
        <f>IF(B4200&lt;&gt;"",IF(AND(B4200&gt;=_TM1,B4200&lt;=_TM2,OR(TH!L4200="1111",TH!M4200="1111")),TH!D4200,""),"")</f>
        <v/>
      </c>
      <c r="B4200" s="531">
        <f t="shared" si="529"/>
        <v>9</v>
      </c>
      <c r="C4200" s="315">
        <f t="shared" si="530"/>
        <v>43006</v>
      </c>
      <c r="D4200" s="315" t="s">
        <v>1180</v>
      </c>
      <c r="E4200" s="315">
        <v>43006</v>
      </c>
      <c r="F4200" s="250" t="s">
        <v>1018</v>
      </c>
      <c r="G4200" s="314" t="s">
        <v>1630</v>
      </c>
      <c r="H4200" s="248" t="s">
        <v>1612</v>
      </c>
      <c r="I4200" s="307">
        <v>24</v>
      </c>
      <c r="J4200" s="307">
        <v>56046</v>
      </c>
      <c r="K4200" s="532">
        <f t="shared" si="534"/>
        <v>1345104</v>
      </c>
      <c r="L4200" s="534" t="s">
        <v>292</v>
      </c>
      <c r="M4200" s="534" t="s">
        <v>8</v>
      </c>
      <c r="N4200" s="525" t="str">
        <f>IF(AND('331-CT'!$E$7=TH!H4200,OR(L4200="331",M4200="331")),"331",IF(AND(OR(L4200="131",M4200="131"),H4200='131-CT'!$E$7),"131",""))</f>
        <v/>
      </c>
      <c r="O4200" s="525" t="str">
        <f>IF(AND($B4200&gt;='111'!$N$11,$B4200&lt;='111'!$O$11,OR($L4200=$O$7,$M4200=$O$7)),"x","")</f>
        <v/>
      </c>
      <c r="P4200" s="525" t="str">
        <f>IF(AND($L4200=$O$7,$B4200&lt;'111'!$N$11),"x","")</f>
        <v/>
      </c>
      <c r="Q4200" s="525" t="str">
        <f>IF(AND($M4200=$O$7,$B4200&lt;'111'!$N$11),"x","")</f>
        <v/>
      </c>
      <c r="R4200" s="525" t="str">
        <f>IF(ISERROR(FIND('112'!$M$9,G4200,1)),"",IF((AND(FIND('112'!$M$9,G4200,1)&gt;=1,$B4200&gt;='112'!$N$8,$B4200&lt;='112'!$O$8,OR($L4200='112'!$I$6,$M4200='112'!$I$6))),"x",""))</f>
        <v/>
      </c>
      <c r="S4200" s="525" t="str">
        <f>IF(ISERROR(FIND('112'!$M$9,G4200,1)),"",IF((AND(LEFT(G4200,2)=LEFT('112'!$M$9,2),B4200&lt;'112'!$N$8,$L4200='112'!$I$6)),"x",""))</f>
        <v/>
      </c>
      <c r="T4200" s="525" t="str">
        <f>IF(ISERROR(FIND('112'!$M$9,G4200,1)),"",IF((AND(RIGHT(G4200,2)=RIGHT('112'!$M$9,2),B4200&lt;'112'!$N$8,$M4200='112'!$I$6)),"x",""))</f>
        <v/>
      </c>
      <c r="U4200" s="525" t="str">
        <f>IF(AND(B4200&gt;='IN-NX'!$P$3,B4200&lt;='IN-NX'!$Q$3,'IN-NX'!$D$7=D4200,OR(LEFT(L4200,2)="15",AND(LEFT(M4200,2)&lt;&gt;"15",LEFT(M4200,2)&lt;&gt;"33"))),"x","")</f>
        <v/>
      </c>
      <c r="V4200" s="525" t="str">
        <f>IF(AND(OR(LEFT(TH!L4200,2)="15",LEFT(TH!M4200,2)="15"),'152-CT'!$J$8=TH!F4200),"x","")</f>
        <v/>
      </c>
      <c r="W4200" s="525" t="str">
        <f>IF(AND(OR(LEFT(TH!L4200,2)="15",LEFT(TH!M4200,2)="15"),TK!$E$7=TH!F4200),"x","")</f>
        <v/>
      </c>
      <c r="X4200" s="525" t="str">
        <f>IF(AND('341-CT'!$E$9=H4200,OR(LEFT(L4200,3)=$X$7,LEFT(M4200,3)=$X$7)),"x","")</f>
        <v/>
      </c>
      <c r="Y4200" s="525" t="str">
        <f>IF(OR(TH!L4200=TH!$Y$7,M4200=TH!$Y$7),"x","")</f>
        <v/>
      </c>
      <c r="Z4200" s="525" t="str">
        <f>IF(AND(B4200&lt;=NKC!$N$8,B4200&gt;=NKC!$M$8),"x","")</f>
        <v/>
      </c>
      <c r="AA4200" s="535">
        <v>3</v>
      </c>
      <c r="AB4200" s="536"/>
      <c r="AC4200" s="536" t="str">
        <f>VLOOKUP(F4200,NXT!$B$12:$B$686,1,0)</f>
        <v>Thùng 55x55x60</v>
      </c>
    </row>
    <row r="4201" spans="1:29" s="503" customFormat="1" ht="15.75" customHeight="1">
      <c r="A4201" s="517" t="str">
        <f>IF(B4201&lt;&gt;"",IF(AND(B4201&gt;=_TM1,B4201&lt;=_TM2,OR(TH!L4201="1111",TH!M4201="1111")),TH!D4201,""),"")</f>
        <v/>
      </c>
      <c r="B4201" s="531">
        <f t="shared" si="529"/>
        <v>9</v>
      </c>
      <c r="C4201" s="315">
        <f t="shared" si="530"/>
        <v>43006</v>
      </c>
      <c r="D4201" s="315" t="s">
        <v>1180</v>
      </c>
      <c r="E4201" s="315">
        <v>43006</v>
      </c>
      <c r="F4201" s="250" t="s">
        <v>1658</v>
      </c>
      <c r="G4201" s="314" t="s">
        <v>1630</v>
      </c>
      <c r="H4201" s="248" t="s">
        <v>1612</v>
      </c>
      <c r="I4201" s="307">
        <v>10</v>
      </c>
      <c r="J4201" s="307">
        <v>213093</v>
      </c>
      <c r="K4201" s="532">
        <f t="shared" si="534"/>
        <v>2130930</v>
      </c>
      <c r="L4201" s="534" t="s">
        <v>292</v>
      </c>
      <c r="M4201" s="534" t="s">
        <v>8</v>
      </c>
      <c r="N4201" s="525" t="str">
        <f>IF(AND('331-CT'!$E$7=TH!H4201,OR(L4201="331",M4201="331")),"331",IF(AND(OR(L4201="131",M4201="131"),H4201='131-CT'!$E$7),"131",""))</f>
        <v/>
      </c>
      <c r="O4201" s="525" t="str">
        <f>IF(AND($B4201&gt;='111'!$N$11,$B4201&lt;='111'!$O$11,OR($L4201=$O$7,$M4201=$O$7)),"x","")</f>
        <v/>
      </c>
      <c r="P4201" s="525" t="str">
        <f>IF(AND($L4201=$O$7,$B4201&lt;'111'!$N$11),"x","")</f>
        <v/>
      </c>
      <c r="Q4201" s="525" t="str">
        <f>IF(AND($M4201=$O$7,$B4201&lt;'111'!$N$11),"x","")</f>
        <v/>
      </c>
      <c r="R4201" s="525" t="str">
        <f>IF(ISERROR(FIND('112'!$M$9,G4201,1)),"",IF((AND(FIND('112'!$M$9,G4201,1)&gt;=1,$B4201&gt;='112'!$N$8,$B4201&lt;='112'!$O$8,OR($L4201='112'!$I$6,$M4201='112'!$I$6))),"x",""))</f>
        <v/>
      </c>
      <c r="S4201" s="525" t="str">
        <f>IF(ISERROR(FIND('112'!$M$9,G4201,1)),"",IF((AND(LEFT(G4201,2)=LEFT('112'!$M$9,2),B4201&lt;'112'!$N$8,$L4201='112'!$I$6)),"x",""))</f>
        <v/>
      </c>
      <c r="T4201" s="525" t="str">
        <f>IF(ISERROR(FIND('112'!$M$9,G4201,1)),"",IF((AND(RIGHT(G4201,2)=RIGHT('112'!$M$9,2),B4201&lt;'112'!$N$8,$M4201='112'!$I$6)),"x",""))</f>
        <v/>
      </c>
      <c r="U4201" s="525" t="str">
        <f>IF(AND(B4201&gt;='IN-NX'!$P$3,B4201&lt;='IN-NX'!$Q$3,'IN-NX'!$D$7=D4201,OR(LEFT(L4201,2)="15",AND(LEFT(M4201,2)&lt;&gt;"15",LEFT(M4201,2)&lt;&gt;"33"))),"x","")</f>
        <v/>
      </c>
      <c r="V4201" s="525" t="str">
        <f>IF(AND(OR(LEFT(TH!L4201,2)="15",LEFT(TH!M4201,2)="15"),'152-CT'!$J$8=TH!F4201),"x","")</f>
        <v/>
      </c>
      <c r="W4201" s="525" t="str">
        <f>IF(AND(OR(LEFT(TH!L4201,2)="15",LEFT(TH!M4201,2)="15"),TK!$E$7=TH!F4201),"x","")</f>
        <v/>
      </c>
      <c r="X4201" s="525" t="str">
        <f>IF(AND('341-CT'!$E$9=H4201,OR(LEFT(L4201,3)=$X$7,LEFT(M4201,3)=$X$7)),"x","")</f>
        <v/>
      </c>
      <c r="Y4201" s="525" t="str">
        <f>IF(OR(TH!L4201=TH!$Y$7,M4201=TH!$Y$7),"x","")</f>
        <v/>
      </c>
      <c r="Z4201" s="525" t="str">
        <f>IF(AND(B4201&lt;=NKC!$N$8,B4201&gt;=NKC!$M$8),"x","")</f>
        <v/>
      </c>
      <c r="AA4201" s="535">
        <v>3</v>
      </c>
      <c r="AB4201" s="536"/>
      <c r="AC4201" s="536" t="str">
        <f>VLOOKUP(F4201,NXT!$B$12:$B$686,1,0)</f>
        <v>Thùng 133x133x55</v>
      </c>
    </row>
    <row r="4202" spans="1:29" s="503" customFormat="1" ht="15.75" customHeight="1">
      <c r="A4202" s="517" t="str">
        <f>IF(B4202&lt;&gt;"",IF(AND(B4202&gt;=_TM1,B4202&lt;=_TM2,OR(TH!L4202="1111",TH!M4202="1111")),TH!D4202,""),"")</f>
        <v/>
      </c>
      <c r="B4202" s="531">
        <f t="shared" si="529"/>
        <v>9</v>
      </c>
      <c r="C4202" s="315">
        <f t="shared" si="530"/>
        <v>43006</v>
      </c>
      <c r="D4202" s="315" t="s">
        <v>1180</v>
      </c>
      <c r="E4202" s="315">
        <v>43006</v>
      </c>
      <c r="F4202" s="250" t="s">
        <v>679</v>
      </c>
      <c r="G4202" s="314" t="s">
        <v>1630</v>
      </c>
      <c r="H4202" s="248" t="s">
        <v>1612</v>
      </c>
      <c r="I4202" s="307">
        <v>32</v>
      </c>
      <c r="J4202" s="307">
        <v>71395</v>
      </c>
      <c r="K4202" s="532">
        <f t="shared" si="534"/>
        <v>2284640</v>
      </c>
      <c r="L4202" s="534" t="s">
        <v>292</v>
      </c>
      <c r="M4202" s="534" t="s">
        <v>8</v>
      </c>
      <c r="N4202" s="525" t="str">
        <f>IF(AND('331-CT'!$E$7=TH!H4202,OR(L4202="331",M4202="331")),"331",IF(AND(OR(L4202="131",M4202="131"),H4202='131-CT'!$E$7),"131",""))</f>
        <v/>
      </c>
      <c r="O4202" s="525" t="str">
        <f>IF(AND($B4202&gt;='111'!$N$11,$B4202&lt;='111'!$O$11,OR($L4202=$O$7,$M4202=$O$7)),"x","")</f>
        <v/>
      </c>
      <c r="P4202" s="525" t="str">
        <f>IF(AND($L4202=$O$7,$B4202&lt;'111'!$N$11),"x","")</f>
        <v/>
      </c>
      <c r="Q4202" s="525" t="str">
        <f>IF(AND($M4202=$O$7,$B4202&lt;'111'!$N$11),"x","")</f>
        <v/>
      </c>
      <c r="R4202" s="525" t="str">
        <f>IF(ISERROR(FIND('112'!$M$9,G4202,1)),"",IF((AND(FIND('112'!$M$9,G4202,1)&gt;=1,$B4202&gt;='112'!$N$8,$B4202&lt;='112'!$O$8,OR($L4202='112'!$I$6,$M4202='112'!$I$6))),"x",""))</f>
        <v/>
      </c>
      <c r="S4202" s="525" t="str">
        <f>IF(ISERROR(FIND('112'!$M$9,G4202,1)),"",IF((AND(LEFT(G4202,2)=LEFT('112'!$M$9,2),B4202&lt;'112'!$N$8,$L4202='112'!$I$6)),"x",""))</f>
        <v/>
      </c>
      <c r="T4202" s="525" t="str">
        <f>IF(ISERROR(FIND('112'!$M$9,G4202,1)),"",IF((AND(RIGHT(G4202,2)=RIGHT('112'!$M$9,2),B4202&lt;'112'!$N$8,$M4202='112'!$I$6)),"x",""))</f>
        <v/>
      </c>
      <c r="U4202" s="525" t="str">
        <f>IF(AND(B4202&gt;='IN-NX'!$P$3,B4202&lt;='IN-NX'!$Q$3,'IN-NX'!$D$7=D4202,OR(LEFT(L4202,2)="15",AND(LEFT(M4202,2)&lt;&gt;"15",LEFT(M4202,2)&lt;&gt;"33"))),"x","")</f>
        <v/>
      </c>
      <c r="V4202" s="525" t="str">
        <f>IF(AND(OR(LEFT(TH!L4202,2)="15",LEFT(TH!M4202,2)="15"),'152-CT'!$J$8=TH!F4202),"x","")</f>
        <v/>
      </c>
      <c r="W4202" s="525" t="str">
        <f>IF(AND(OR(LEFT(TH!L4202,2)="15",LEFT(TH!M4202,2)="15"),TK!$E$7=TH!F4202),"x","")</f>
        <v/>
      </c>
      <c r="X4202" s="525" t="str">
        <f>IF(AND('341-CT'!$E$9=H4202,OR(LEFT(L4202,3)=$X$7,LEFT(M4202,3)=$X$7)),"x","")</f>
        <v/>
      </c>
      <c r="Y4202" s="525" t="str">
        <f>IF(OR(TH!L4202=TH!$Y$7,M4202=TH!$Y$7),"x","")</f>
        <v/>
      </c>
      <c r="Z4202" s="525" t="str">
        <f>IF(AND(B4202&lt;=NKC!$N$8,B4202&gt;=NKC!$M$8),"x","")</f>
        <v/>
      </c>
      <c r="AA4202" s="535">
        <v>3</v>
      </c>
      <c r="AB4202" s="536"/>
      <c r="AC4202" s="536" t="str">
        <f>VLOOKUP(F4202,NXT!$B$12:$B$686,1,0)</f>
        <v>Thùng 162x37x49</v>
      </c>
    </row>
    <row r="4203" spans="1:29" s="503" customFormat="1" ht="15.75" customHeight="1">
      <c r="A4203" s="517" t="str">
        <f>IF(B4203&lt;&gt;"",IF(AND(B4203&gt;=_TM1,B4203&lt;=_TM2,OR(TH!L4203="1111",TH!M4203="1111")),TH!D4203,""),"")</f>
        <v/>
      </c>
      <c r="B4203" s="531">
        <f t="shared" si="529"/>
        <v>9</v>
      </c>
      <c r="C4203" s="315">
        <f t="shared" si="530"/>
        <v>43006</v>
      </c>
      <c r="D4203" s="315" t="s">
        <v>1180</v>
      </c>
      <c r="E4203" s="315">
        <v>43006</v>
      </c>
      <c r="F4203" s="250" t="s">
        <v>1389</v>
      </c>
      <c r="G4203" s="314" t="s">
        <v>1630</v>
      </c>
      <c r="H4203" s="248" t="s">
        <v>1612</v>
      </c>
      <c r="I4203" s="307">
        <v>10</v>
      </c>
      <c r="J4203" s="307">
        <v>64995</v>
      </c>
      <c r="K4203" s="532">
        <f t="shared" si="534"/>
        <v>649950</v>
      </c>
      <c r="L4203" s="534" t="s">
        <v>292</v>
      </c>
      <c r="M4203" s="534" t="s">
        <v>8</v>
      </c>
      <c r="N4203" s="525" t="str">
        <f>IF(AND('331-CT'!$E$7=TH!H4203,OR(L4203="331",M4203="331")),"331",IF(AND(OR(L4203="131",M4203="131"),H4203='131-CT'!$E$7),"131",""))</f>
        <v/>
      </c>
      <c r="O4203" s="525" t="str">
        <f>IF(AND($B4203&gt;='111'!$N$11,$B4203&lt;='111'!$O$11,OR($L4203=$O$7,$M4203=$O$7)),"x","")</f>
        <v/>
      </c>
      <c r="P4203" s="525" t="str">
        <f>IF(AND($L4203=$O$7,$B4203&lt;'111'!$N$11),"x","")</f>
        <v/>
      </c>
      <c r="Q4203" s="525" t="str">
        <f>IF(AND($M4203=$O$7,$B4203&lt;'111'!$N$11),"x","")</f>
        <v/>
      </c>
      <c r="R4203" s="525" t="str">
        <f>IF(ISERROR(FIND('112'!$M$9,G4203,1)),"",IF((AND(FIND('112'!$M$9,G4203,1)&gt;=1,$B4203&gt;='112'!$N$8,$B4203&lt;='112'!$O$8,OR($L4203='112'!$I$6,$M4203='112'!$I$6))),"x",""))</f>
        <v/>
      </c>
      <c r="S4203" s="525" t="str">
        <f>IF(ISERROR(FIND('112'!$M$9,G4203,1)),"",IF((AND(LEFT(G4203,2)=LEFT('112'!$M$9,2),B4203&lt;'112'!$N$8,$L4203='112'!$I$6)),"x",""))</f>
        <v/>
      </c>
      <c r="T4203" s="525" t="str">
        <f>IF(ISERROR(FIND('112'!$M$9,G4203,1)),"",IF((AND(RIGHT(G4203,2)=RIGHT('112'!$M$9,2),B4203&lt;'112'!$N$8,$M4203='112'!$I$6)),"x",""))</f>
        <v/>
      </c>
      <c r="U4203" s="525" t="str">
        <f>IF(AND(B4203&gt;='IN-NX'!$P$3,B4203&lt;='IN-NX'!$Q$3,'IN-NX'!$D$7=D4203,OR(LEFT(L4203,2)="15",AND(LEFT(M4203,2)&lt;&gt;"15",LEFT(M4203,2)&lt;&gt;"33"))),"x","")</f>
        <v/>
      </c>
      <c r="V4203" s="525" t="str">
        <f>IF(AND(OR(LEFT(TH!L4203,2)="15",LEFT(TH!M4203,2)="15"),'152-CT'!$J$8=TH!F4203),"x","")</f>
        <v/>
      </c>
      <c r="W4203" s="525" t="str">
        <f>IF(AND(OR(LEFT(TH!L4203,2)="15",LEFT(TH!M4203,2)="15"),TK!$E$7=TH!F4203),"x","")</f>
        <v/>
      </c>
      <c r="X4203" s="525" t="str">
        <f>IF(AND('341-CT'!$E$9=H4203,OR(LEFT(L4203,3)=$X$7,LEFT(M4203,3)=$X$7)),"x","")</f>
        <v/>
      </c>
      <c r="Y4203" s="525" t="str">
        <f>IF(OR(TH!L4203=TH!$Y$7,M4203=TH!$Y$7),"x","")</f>
        <v/>
      </c>
      <c r="Z4203" s="525" t="str">
        <f>IF(AND(B4203&lt;=NKC!$N$8,B4203&gt;=NKC!$M$8),"x","")</f>
        <v/>
      </c>
      <c r="AA4203" s="535">
        <v>3</v>
      </c>
      <c r="AB4203" s="536"/>
      <c r="AC4203" s="536" t="str">
        <f>VLOOKUP(F4203,NXT!$B$12:$B$686,1,0)</f>
        <v>Thùng 55x55x79</v>
      </c>
    </row>
    <row r="4204" spans="1:29" s="503" customFormat="1" ht="15.75" customHeight="1">
      <c r="A4204" s="517" t="str">
        <f>IF(B4204&lt;&gt;"",IF(AND(B4204&gt;=_TM1,B4204&lt;=_TM2,OR(TH!L4204="1111",TH!M4204="1111")),TH!D4204,""),"")</f>
        <v/>
      </c>
      <c r="B4204" s="531">
        <f t="shared" si="529"/>
        <v>9</v>
      </c>
      <c r="C4204" s="315">
        <f t="shared" si="530"/>
        <v>43006</v>
      </c>
      <c r="D4204" s="315" t="s">
        <v>1180</v>
      </c>
      <c r="E4204" s="315">
        <v>43006</v>
      </c>
      <c r="F4204" s="250" t="s">
        <v>1659</v>
      </c>
      <c r="G4204" s="314" t="s">
        <v>1630</v>
      </c>
      <c r="H4204" s="248" t="s">
        <v>1612</v>
      </c>
      <c r="I4204" s="307">
        <v>12</v>
      </c>
      <c r="J4204" s="307">
        <v>230834</v>
      </c>
      <c r="K4204" s="532">
        <f t="shared" si="534"/>
        <v>2770008</v>
      </c>
      <c r="L4204" s="534" t="s">
        <v>292</v>
      </c>
      <c r="M4204" s="534" t="s">
        <v>8</v>
      </c>
      <c r="N4204" s="525" t="str">
        <f>IF(AND('331-CT'!$E$7=TH!H4204,OR(L4204="331",M4204="331")),"331",IF(AND(OR(L4204="131",M4204="131"),H4204='131-CT'!$E$7),"131",""))</f>
        <v/>
      </c>
      <c r="O4204" s="525" t="str">
        <f>IF(AND($B4204&gt;='111'!$N$11,$B4204&lt;='111'!$O$11,OR($L4204=$O$7,$M4204=$O$7)),"x","")</f>
        <v/>
      </c>
      <c r="P4204" s="525" t="str">
        <f>IF(AND($L4204=$O$7,$B4204&lt;'111'!$N$11),"x","")</f>
        <v/>
      </c>
      <c r="Q4204" s="525" t="str">
        <f>IF(AND($M4204=$O$7,$B4204&lt;'111'!$N$11),"x","")</f>
        <v/>
      </c>
      <c r="R4204" s="525" t="str">
        <f>IF(ISERROR(FIND('112'!$M$9,G4204,1)),"",IF((AND(FIND('112'!$M$9,G4204,1)&gt;=1,$B4204&gt;='112'!$N$8,$B4204&lt;='112'!$O$8,OR($L4204='112'!$I$6,$M4204='112'!$I$6))),"x",""))</f>
        <v/>
      </c>
      <c r="S4204" s="525" t="str">
        <f>IF(ISERROR(FIND('112'!$M$9,G4204,1)),"",IF((AND(LEFT(G4204,2)=LEFT('112'!$M$9,2),B4204&lt;'112'!$N$8,$L4204='112'!$I$6)),"x",""))</f>
        <v/>
      </c>
      <c r="T4204" s="525" t="str">
        <f>IF(ISERROR(FIND('112'!$M$9,G4204,1)),"",IF((AND(RIGHT(G4204,2)=RIGHT('112'!$M$9,2),B4204&lt;'112'!$N$8,$M4204='112'!$I$6)),"x",""))</f>
        <v/>
      </c>
      <c r="U4204" s="525" t="str">
        <f>IF(AND(B4204&gt;='IN-NX'!$P$3,B4204&lt;='IN-NX'!$Q$3,'IN-NX'!$D$7=D4204,OR(LEFT(L4204,2)="15",AND(LEFT(M4204,2)&lt;&gt;"15",LEFT(M4204,2)&lt;&gt;"33"))),"x","")</f>
        <v/>
      </c>
      <c r="V4204" s="525" t="str">
        <f>IF(AND(OR(LEFT(TH!L4204,2)="15",LEFT(TH!M4204,2)="15"),'152-CT'!$J$8=TH!F4204),"x","")</f>
        <v/>
      </c>
      <c r="W4204" s="525" t="str">
        <f>IF(AND(OR(LEFT(TH!L4204,2)="15",LEFT(TH!M4204,2)="15"),TK!$E$7=TH!F4204),"x","")</f>
        <v/>
      </c>
      <c r="X4204" s="525" t="str">
        <f>IF(AND('341-CT'!$E$9=H4204,OR(LEFT(L4204,3)=$X$7,LEFT(M4204,3)=$X$7)),"x","")</f>
        <v/>
      </c>
      <c r="Y4204" s="525" t="str">
        <f>IF(OR(TH!L4204=TH!$Y$7,M4204=TH!$Y$7),"x","")</f>
        <v/>
      </c>
      <c r="Z4204" s="525" t="str">
        <f>IF(AND(B4204&lt;=NKC!$N$8,B4204&gt;=NKC!$M$8),"x","")</f>
        <v/>
      </c>
      <c r="AA4204" s="535">
        <v>3</v>
      </c>
      <c r="AB4204" s="536"/>
      <c r="AC4204" s="536" t="str">
        <f>VLOOKUP(F4204,NXT!$B$12:$B$686,1,0)</f>
        <v>Thùng 306x116x12</v>
      </c>
    </row>
    <row r="4205" spans="1:29" s="503" customFormat="1" ht="15.75" customHeight="1">
      <c r="A4205" s="517" t="str">
        <f>IF(B4205&lt;&gt;"",IF(AND(B4205&gt;=_TM1,B4205&lt;=_TM2,OR(TH!L4205="1111",TH!M4205="1111")),TH!D4205,""),"")</f>
        <v/>
      </c>
      <c r="B4205" s="531">
        <f t="shared" si="529"/>
        <v>9</v>
      </c>
      <c r="C4205" s="315">
        <f t="shared" si="530"/>
        <v>43006</v>
      </c>
      <c r="D4205" s="315" t="s">
        <v>1180</v>
      </c>
      <c r="E4205" s="315">
        <v>43006</v>
      </c>
      <c r="F4205" s="250" t="s">
        <v>1660</v>
      </c>
      <c r="G4205" s="314" t="s">
        <v>1630</v>
      </c>
      <c r="H4205" s="248" t="s">
        <v>1612</v>
      </c>
      <c r="I4205" s="307">
        <v>12</v>
      </c>
      <c r="J4205" s="307">
        <v>72758</v>
      </c>
      <c r="K4205" s="532">
        <f t="shared" si="534"/>
        <v>873096</v>
      </c>
      <c r="L4205" s="534" t="s">
        <v>292</v>
      </c>
      <c r="M4205" s="534" t="s">
        <v>8</v>
      </c>
      <c r="N4205" s="525" t="str">
        <f>IF(AND('331-CT'!$E$7=TH!H4205,OR(L4205="331",M4205="331")),"331",IF(AND(OR(L4205="131",M4205="131"),H4205='131-CT'!$E$7),"131",""))</f>
        <v/>
      </c>
      <c r="O4205" s="525" t="str">
        <f>IF(AND($B4205&gt;='111'!$N$11,$B4205&lt;='111'!$O$11,OR($L4205=$O$7,$M4205=$O$7)),"x","")</f>
        <v/>
      </c>
      <c r="P4205" s="525" t="str">
        <f>IF(AND($L4205=$O$7,$B4205&lt;'111'!$N$11),"x","")</f>
        <v/>
      </c>
      <c r="Q4205" s="525" t="str">
        <f>IF(AND($M4205=$O$7,$B4205&lt;'111'!$N$11),"x","")</f>
        <v/>
      </c>
      <c r="R4205" s="525" t="str">
        <f>IF(ISERROR(FIND('112'!$M$9,G4205,1)),"",IF((AND(FIND('112'!$M$9,G4205,1)&gt;=1,$B4205&gt;='112'!$N$8,$B4205&lt;='112'!$O$8,OR($L4205='112'!$I$6,$M4205='112'!$I$6))),"x",""))</f>
        <v/>
      </c>
      <c r="S4205" s="525" t="str">
        <f>IF(ISERROR(FIND('112'!$M$9,G4205,1)),"",IF((AND(LEFT(G4205,2)=LEFT('112'!$M$9,2),B4205&lt;'112'!$N$8,$L4205='112'!$I$6)),"x",""))</f>
        <v/>
      </c>
      <c r="T4205" s="525" t="str">
        <f>IF(ISERROR(FIND('112'!$M$9,G4205,1)),"",IF((AND(RIGHT(G4205,2)=RIGHT('112'!$M$9,2),B4205&lt;'112'!$N$8,$M4205='112'!$I$6)),"x",""))</f>
        <v/>
      </c>
      <c r="U4205" s="525" t="str">
        <f>IF(AND(B4205&gt;='IN-NX'!$P$3,B4205&lt;='IN-NX'!$Q$3,'IN-NX'!$D$7=D4205,OR(LEFT(L4205,2)="15",AND(LEFT(M4205,2)&lt;&gt;"15",LEFT(M4205,2)&lt;&gt;"33"))),"x","")</f>
        <v/>
      </c>
      <c r="V4205" s="525" t="str">
        <f>IF(AND(OR(LEFT(TH!L4205,2)="15",LEFT(TH!M4205,2)="15"),'152-CT'!$J$8=TH!F4205),"x","")</f>
        <v/>
      </c>
      <c r="W4205" s="525" t="str">
        <f>IF(AND(OR(LEFT(TH!L4205,2)="15",LEFT(TH!M4205,2)="15"),TK!$E$7=TH!F4205),"x","")</f>
        <v/>
      </c>
      <c r="X4205" s="525" t="str">
        <f>IF(AND('341-CT'!$E$9=H4205,OR(LEFT(L4205,3)=$X$7,LEFT(M4205,3)=$X$7)),"x","")</f>
        <v/>
      </c>
      <c r="Y4205" s="525" t="str">
        <f>IF(OR(TH!L4205=TH!$Y$7,M4205=TH!$Y$7),"x","")</f>
        <v/>
      </c>
      <c r="Z4205" s="525" t="str">
        <f>IF(AND(B4205&lt;=NKC!$N$8,B4205&gt;=NKC!$M$8),"x","")</f>
        <v/>
      </c>
      <c r="AA4205" s="535">
        <v>3</v>
      </c>
      <c r="AB4205" s="536"/>
      <c r="AC4205" s="536" t="str">
        <f>VLOOKUP(F4205,NXT!$B$12:$B$686,1,0)</f>
        <v>Thùng 52x52x107</v>
      </c>
    </row>
    <row r="4206" spans="1:29" s="503" customFormat="1" ht="15.75" customHeight="1">
      <c r="A4206" s="517" t="str">
        <f>IF(B4206&lt;&gt;"",IF(AND(B4206&gt;=_TM1,B4206&lt;=_TM2,OR(TH!L4206="1111",TH!M4206="1111")),TH!D4206,""),"")</f>
        <v/>
      </c>
      <c r="B4206" s="531">
        <f t="shared" si="529"/>
        <v>9</v>
      </c>
      <c r="C4206" s="315">
        <f t="shared" si="530"/>
        <v>43006</v>
      </c>
      <c r="D4206" s="315" t="s">
        <v>1180</v>
      </c>
      <c r="E4206" s="315">
        <v>43006</v>
      </c>
      <c r="F4206" s="250" t="s">
        <v>619</v>
      </c>
      <c r="G4206" s="314" t="s">
        <v>1630</v>
      </c>
      <c r="H4206" s="248" t="s">
        <v>1612</v>
      </c>
      <c r="I4206" s="307">
        <v>72</v>
      </c>
      <c r="J4206" s="307">
        <v>30985</v>
      </c>
      <c r="K4206" s="532">
        <f t="shared" si="534"/>
        <v>2230920</v>
      </c>
      <c r="L4206" s="534" t="s">
        <v>292</v>
      </c>
      <c r="M4206" s="534" t="s">
        <v>8</v>
      </c>
      <c r="N4206" s="525" t="str">
        <f>IF(AND('331-CT'!$E$7=TH!H4206,OR(L4206="331",M4206="331")),"331",IF(AND(OR(L4206="131",M4206="131"),H4206='131-CT'!$E$7),"131",""))</f>
        <v/>
      </c>
      <c r="O4206" s="525" t="str">
        <f>IF(AND($B4206&gt;='111'!$N$11,$B4206&lt;='111'!$O$11,OR($L4206=$O$7,$M4206=$O$7)),"x","")</f>
        <v/>
      </c>
      <c r="P4206" s="525" t="str">
        <f>IF(AND($L4206=$O$7,$B4206&lt;'111'!$N$11),"x","")</f>
        <v/>
      </c>
      <c r="Q4206" s="525" t="str">
        <f>IF(AND($M4206=$O$7,$B4206&lt;'111'!$N$11),"x","")</f>
        <v/>
      </c>
      <c r="R4206" s="525" t="str">
        <f>IF(ISERROR(FIND('112'!$M$9,G4206,1)),"",IF((AND(FIND('112'!$M$9,G4206,1)&gt;=1,$B4206&gt;='112'!$N$8,$B4206&lt;='112'!$O$8,OR($L4206='112'!$I$6,$M4206='112'!$I$6))),"x",""))</f>
        <v/>
      </c>
      <c r="S4206" s="525" t="str">
        <f>IF(ISERROR(FIND('112'!$M$9,G4206,1)),"",IF((AND(LEFT(G4206,2)=LEFT('112'!$M$9,2),B4206&lt;'112'!$N$8,$L4206='112'!$I$6)),"x",""))</f>
        <v/>
      </c>
      <c r="T4206" s="525" t="str">
        <f>IF(ISERROR(FIND('112'!$M$9,G4206,1)),"",IF((AND(RIGHT(G4206,2)=RIGHT('112'!$M$9,2),B4206&lt;'112'!$N$8,$M4206='112'!$I$6)),"x",""))</f>
        <v/>
      </c>
      <c r="U4206" s="525" t="str">
        <f>IF(AND(B4206&gt;='IN-NX'!$P$3,B4206&lt;='IN-NX'!$Q$3,'IN-NX'!$D$7=D4206,OR(LEFT(L4206,2)="15",AND(LEFT(M4206,2)&lt;&gt;"15",LEFT(M4206,2)&lt;&gt;"33"))),"x","")</f>
        <v/>
      </c>
      <c r="V4206" s="525" t="str">
        <f>IF(AND(OR(LEFT(TH!L4206,2)="15",LEFT(TH!M4206,2)="15"),'152-CT'!$J$8=TH!F4206),"x","")</f>
        <v/>
      </c>
      <c r="W4206" s="525" t="str">
        <f>IF(AND(OR(LEFT(TH!L4206,2)="15",LEFT(TH!M4206,2)="15"),TK!$E$7=TH!F4206),"x","")</f>
        <v/>
      </c>
      <c r="X4206" s="525" t="str">
        <f>IF(AND('341-CT'!$E$9=H4206,OR(LEFT(L4206,3)=$X$7,LEFT(M4206,3)=$X$7)),"x","")</f>
        <v/>
      </c>
      <c r="Y4206" s="525" t="str">
        <f>IF(OR(TH!L4206=TH!$Y$7,M4206=TH!$Y$7),"x","")</f>
        <v/>
      </c>
      <c r="Z4206" s="525" t="str">
        <f>IF(AND(B4206&lt;=NKC!$N$8,B4206&gt;=NKC!$M$8),"x","")</f>
        <v/>
      </c>
      <c r="AA4206" s="535">
        <v>3</v>
      </c>
      <c r="AB4206" s="536"/>
      <c r="AC4206" s="536" t="str">
        <f>VLOOKUP(F4206,NXT!$B$12:$B$686,1,0)</f>
        <v>Thùng 40x40x52</v>
      </c>
    </row>
    <row r="4207" spans="1:29" s="503" customFormat="1" ht="15.75" customHeight="1">
      <c r="A4207" s="517" t="str">
        <f>IF(B4207&lt;&gt;"",IF(AND(B4207&gt;=_TM1,B4207&lt;=_TM2,OR(TH!L4207="1111",TH!M4207="1111")),TH!D4207,""),"")</f>
        <v/>
      </c>
      <c r="B4207" s="531">
        <f t="shared" si="529"/>
        <v>9</v>
      </c>
      <c r="C4207" s="315">
        <f t="shared" si="530"/>
        <v>43006</v>
      </c>
      <c r="D4207" s="315" t="s">
        <v>1180</v>
      </c>
      <c r="E4207" s="315">
        <v>43006</v>
      </c>
      <c r="F4207" s="250" t="s">
        <v>1661</v>
      </c>
      <c r="G4207" s="314" t="s">
        <v>1630</v>
      </c>
      <c r="H4207" s="248" t="s">
        <v>1612</v>
      </c>
      <c r="I4207" s="307">
        <v>14</v>
      </c>
      <c r="J4207" s="307">
        <v>75868</v>
      </c>
      <c r="K4207" s="532">
        <f t="shared" si="534"/>
        <v>1062152</v>
      </c>
      <c r="L4207" s="534" t="s">
        <v>292</v>
      </c>
      <c r="M4207" s="534" t="s">
        <v>8</v>
      </c>
      <c r="N4207" s="525" t="str">
        <f>IF(AND('331-CT'!$E$7=TH!H4207,OR(L4207="331",M4207="331")),"331",IF(AND(OR(L4207="131",M4207="131"),H4207='131-CT'!$E$7),"131",""))</f>
        <v/>
      </c>
      <c r="O4207" s="525" t="str">
        <f>IF(AND($B4207&gt;='111'!$N$11,$B4207&lt;='111'!$O$11,OR($L4207=$O$7,$M4207=$O$7)),"x","")</f>
        <v/>
      </c>
      <c r="P4207" s="525" t="str">
        <f>IF(AND($L4207=$O$7,$B4207&lt;'111'!$N$11),"x","")</f>
        <v/>
      </c>
      <c r="Q4207" s="525" t="str">
        <f>IF(AND($M4207=$O$7,$B4207&lt;'111'!$N$11),"x","")</f>
        <v/>
      </c>
      <c r="R4207" s="525" t="str">
        <f>IF(ISERROR(FIND('112'!$M$9,G4207,1)),"",IF((AND(FIND('112'!$M$9,G4207,1)&gt;=1,$B4207&gt;='112'!$N$8,$B4207&lt;='112'!$O$8,OR($L4207='112'!$I$6,$M4207='112'!$I$6))),"x",""))</f>
        <v/>
      </c>
      <c r="S4207" s="525" t="str">
        <f>IF(ISERROR(FIND('112'!$M$9,G4207,1)),"",IF((AND(LEFT(G4207,2)=LEFT('112'!$M$9,2),B4207&lt;'112'!$N$8,$L4207='112'!$I$6)),"x",""))</f>
        <v/>
      </c>
      <c r="T4207" s="525" t="str">
        <f>IF(ISERROR(FIND('112'!$M$9,G4207,1)),"",IF((AND(RIGHT(G4207,2)=RIGHT('112'!$M$9,2),B4207&lt;'112'!$N$8,$M4207='112'!$I$6)),"x",""))</f>
        <v/>
      </c>
      <c r="U4207" s="525" t="str">
        <f>IF(AND(B4207&gt;='IN-NX'!$P$3,B4207&lt;='IN-NX'!$Q$3,'IN-NX'!$D$7=D4207,OR(LEFT(L4207,2)="15",AND(LEFT(M4207,2)&lt;&gt;"15",LEFT(M4207,2)&lt;&gt;"33"))),"x","")</f>
        <v/>
      </c>
      <c r="V4207" s="525" t="str">
        <f>IF(AND(OR(LEFT(TH!L4207,2)="15",LEFT(TH!M4207,2)="15"),'152-CT'!$J$8=TH!F4207),"x","")</f>
        <v/>
      </c>
      <c r="W4207" s="525" t="str">
        <f>IF(AND(OR(LEFT(TH!L4207,2)="15",LEFT(TH!M4207,2)="15"),TK!$E$7=TH!F4207),"x","")</f>
        <v/>
      </c>
      <c r="X4207" s="525" t="str">
        <f>IF(AND('341-CT'!$E$9=H4207,OR(LEFT(L4207,3)=$X$7,LEFT(M4207,3)=$X$7)),"x","")</f>
        <v/>
      </c>
      <c r="Y4207" s="525" t="str">
        <f>IF(OR(TH!L4207=TH!$Y$7,M4207=TH!$Y$7),"x","")</f>
        <v/>
      </c>
      <c r="Z4207" s="525" t="str">
        <f>IF(AND(B4207&lt;=NKC!$N$8,B4207&gt;=NKC!$M$8),"x","")</f>
        <v/>
      </c>
      <c r="AA4207" s="535">
        <v>3</v>
      </c>
      <c r="AB4207" s="536"/>
      <c r="AC4207" s="536" t="str">
        <f>VLOOKUP(F4207,NXT!$B$12:$B$686,1,0)</f>
        <v>Thùng 145x45x46</v>
      </c>
    </row>
    <row r="4208" spans="1:29" s="503" customFormat="1" ht="15.75" customHeight="1">
      <c r="A4208" s="517" t="str">
        <f>IF(B4208&lt;&gt;"",IF(AND(B4208&gt;=_TM1,B4208&lt;=_TM2,OR(TH!L4208="1111",TH!M4208="1111")),TH!D4208,""),"")</f>
        <v/>
      </c>
      <c r="B4208" s="531">
        <f t="shared" si="529"/>
        <v>9</v>
      </c>
      <c r="C4208" s="315">
        <f t="shared" si="530"/>
        <v>43006</v>
      </c>
      <c r="D4208" s="315" t="s">
        <v>1180</v>
      </c>
      <c r="E4208" s="315">
        <v>43006</v>
      </c>
      <c r="F4208" s="250" t="s">
        <v>1389</v>
      </c>
      <c r="G4208" s="314" t="s">
        <v>1630</v>
      </c>
      <c r="H4208" s="248" t="s">
        <v>1612</v>
      </c>
      <c r="I4208" s="307">
        <v>6</v>
      </c>
      <c r="J4208" s="307">
        <v>40318</v>
      </c>
      <c r="K4208" s="532">
        <f t="shared" si="534"/>
        <v>241908</v>
      </c>
      <c r="L4208" s="534" t="s">
        <v>292</v>
      </c>
      <c r="M4208" s="534" t="s">
        <v>8</v>
      </c>
      <c r="N4208" s="525" t="str">
        <f>IF(AND('331-CT'!$E$7=TH!H4208,OR(L4208="331",M4208="331")),"331",IF(AND(OR(L4208="131",M4208="131"),H4208='131-CT'!$E$7),"131",""))</f>
        <v/>
      </c>
      <c r="O4208" s="525" t="str">
        <f>IF(AND($B4208&gt;='111'!$N$11,$B4208&lt;='111'!$O$11,OR($L4208=$O$7,$M4208=$O$7)),"x","")</f>
        <v/>
      </c>
      <c r="P4208" s="525" t="str">
        <f>IF(AND($L4208=$O$7,$B4208&lt;'111'!$N$11),"x","")</f>
        <v/>
      </c>
      <c r="Q4208" s="525" t="str">
        <f>IF(AND($M4208=$O$7,$B4208&lt;'111'!$N$11),"x","")</f>
        <v/>
      </c>
      <c r="R4208" s="525" t="str">
        <f>IF(ISERROR(FIND('112'!$M$9,G4208,1)),"",IF((AND(FIND('112'!$M$9,G4208,1)&gt;=1,$B4208&gt;='112'!$N$8,$B4208&lt;='112'!$O$8,OR($L4208='112'!$I$6,$M4208='112'!$I$6))),"x",""))</f>
        <v/>
      </c>
      <c r="S4208" s="525" t="str">
        <f>IF(ISERROR(FIND('112'!$M$9,G4208,1)),"",IF((AND(LEFT(G4208,2)=LEFT('112'!$M$9,2),B4208&lt;'112'!$N$8,$L4208='112'!$I$6)),"x",""))</f>
        <v/>
      </c>
      <c r="T4208" s="525" t="str">
        <f>IF(ISERROR(FIND('112'!$M$9,G4208,1)),"",IF((AND(RIGHT(G4208,2)=RIGHT('112'!$M$9,2),B4208&lt;'112'!$N$8,$M4208='112'!$I$6)),"x",""))</f>
        <v/>
      </c>
      <c r="U4208" s="525" t="str">
        <f>IF(AND(B4208&gt;='IN-NX'!$P$3,B4208&lt;='IN-NX'!$Q$3,'IN-NX'!$D$7=D4208,OR(LEFT(L4208,2)="15",AND(LEFT(M4208,2)&lt;&gt;"15",LEFT(M4208,2)&lt;&gt;"33"))),"x","")</f>
        <v/>
      </c>
      <c r="V4208" s="525" t="str">
        <f>IF(AND(OR(LEFT(TH!L4208,2)="15",LEFT(TH!M4208,2)="15"),'152-CT'!$J$8=TH!F4208),"x","")</f>
        <v/>
      </c>
      <c r="W4208" s="525" t="str">
        <f>IF(AND(OR(LEFT(TH!L4208,2)="15",LEFT(TH!M4208,2)="15"),TK!$E$7=TH!F4208),"x","")</f>
        <v/>
      </c>
      <c r="X4208" s="525" t="str">
        <f>IF(AND('341-CT'!$E$9=H4208,OR(LEFT(L4208,3)=$X$7,LEFT(M4208,3)=$X$7)),"x","")</f>
        <v/>
      </c>
      <c r="Y4208" s="525" t="str">
        <f>IF(OR(TH!L4208=TH!$Y$7,M4208=TH!$Y$7),"x","")</f>
        <v/>
      </c>
      <c r="Z4208" s="525" t="str">
        <f>IF(AND(B4208&lt;=NKC!$N$8,B4208&gt;=NKC!$M$8),"x","")</f>
        <v/>
      </c>
      <c r="AA4208" s="535">
        <v>3</v>
      </c>
      <c r="AB4208" s="536"/>
      <c r="AC4208" s="536" t="str">
        <f>VLOOKUP(F4208,NXT!$B$12:$B$686,1,0)</f>
        <v>Thùng 55x55x79</v>
      </c>
    </row>
    <row r="4209" spans="1:29" s="503" customFormat="1" ht="15.75" customHeight="1">
      <c r="A4209" s="517" t="str">
        <f>IF(B4209&lt;&gt;"",IF(AND(B4209&gt;=_TM1,B4209&lt;=_TM2,OR(TH!L4209="1111",TH!M4209="1111")),TH!D4209,""),"")</f>
        <v/>
      </c>
      <c r="B4209" s="531">
        <f t="shared" si="529"/>
        <v>9</v>
      </c>
      <c r="C4209" s="315">
        <f t="shared" si="530"/>
        <v>43006</v>
      </c>
      <c r="D4209" s="315" t="s">
        <v>1180</v>
      </c>
      <c r="E4209" s="315">
        <v>43006</v>
      </c>
      <c r="F4209" s="250" t="s">
        <v>1662</v>
      </c>
      <c r="G4209" s="314" t="s">
        <v>1630</v>
      </c>
      <c r="H4209" s="248" t="s">
        <v>1612</v>
      </c>
      <c r="I4209" s="307">
        <v>2</v>
      </c>
      <c r="J4209" s="307">
        <v>63412</v>
      </c>
      <c r="K4209" s="532">
        <f t="shared" si="534"/>
        <v>126824</v>
      </c>
      <c r="L4209" s="534" t="s">
        <v>292</v>
      </c>
      <c r="M4209" s="534" t="s">
        <v>8</v>
      </c>
      <c r="N4209" s="525" t="str">
        <f>IF(AND('331-CT'!$E$7=TH!H4209,OR(L4209="331",M4209="331")),"331",IF(AND(OR(L4209="131",M4209="131"),H4209='131-CT'!$E$7),"131",""))</f>
        <v/>
      </c>
      <c r="O4209" s="525" t="str">
        <f>IF(AND($B4209&gt;='111'!$N$11,$B4209&lt;='111'!$O$11,OR($L4209=$O$7,$M4209=$O$7)),"x","")</f>
        <v/>
      </c>
      <c r="P4209" s="525" t="str">
        <f>IF(AND($L4209=$O$7,$B4209&lt;'111'!$N$11),"x","")</f>
        <v/>
      </c>
      <c r="Q4209" s="525" t="str">
        <f>IF(AND($M4209=$O$7,$B4209&lt;'111'!$N$11),"x","")</f>
        <v/>
      </c>
      <c r="R4209" s="525" t="str">
        <f>IF(ISERROR(FIND('112'!$M$9,G4209,1)),"",IF((AND(FIND('112'!$M$9,G4209,1)&gt;=1,$B4209&gt;='112'!$N$8,$B4209&lt;='112'!$O$8,OR($L4209='112'!$I$6,$M4209='112'!$I$6))),"x",""))</f>
        <v/>
      </c>
      <c r="S4209" s="525" t="str">
        <f>IF(ISERROR(FIND('112'!$M$9,G4209,1)),"",IF((AND(LEFT(G4209,2)=LEFT('112'!$M$9,2),B4209&lt;'112'!$N$8,$L4209='112'!$I$6)),"x",""))</f>
        <v/>
      </c>
      <c r="T4209" s="525" t="str">
        <f>IF(ISERROR(FIND('112'!$M$9,G4209,1)),"",IF((AND(RIGHT(G4209,2)=RIGHT('112'!$M$9,2),B4209&lt;'112'!$N$8,$M4209='112'!$I$6)),"x",""))</f>
        <v/>
      </c>
      <c r="U4209" s="525" t="str">
        <f>IF(AND(B4209&gt;='IN-NX'!$P$3,B4209&lt;='IN-NX'!$Q$3,'IN-NX'!$D$7=D4209,OR(LEFT(L4209,2)="15",AND(LEFT(M4209,2)&lt;&gt;"15",LEFT(M4209,2)&lt;&gt;"33"))),"x","")</f>
        <v/>
      </c>
      <c r="V4209" s="525" t="str">
        <f>IF(AND(OR(LEFT(TH!L4209,2)="15",LEFT(TH!M4209,2)="15"),'152-CT'!$J$8=TH!F4209),"x","")</f>
        <v/>
      </c>
      <c r="W4209" s="525" t="str">
        <f>IF(AND(OR(LEFT(TH!L4209,2)="15",LEFT(TH!M4209,2)="15"),TK!$E$7=TH!F4209),"x","")</f>
        <v/>
      </c>
      <c r="X4209" s="525" t="str">
        <f>IF(AND('341-CT'!$E$9=H4209,OR(LEFT(L4209,3)=$X$7,LEFT(M4209,3)=$X$7)),"x","")</f>
        <v/>
      </c>
      <c r="Y4209" s="525" t="str">
        <f>IF(OR(TH!L4209=TH!$Y$7,M4209=TH!$Y$7),"x","")</f>
        <v/>
      </c>
      <c r="Z4209" s="525" t="str">
        <f>IF(AND(B4209&lt;=NKC!$N$8,B4209&gt;=NKC!$M$8),"x","")</f>
        <v/>
      </c>
      <c r="AA4209" s="535">
        <v>3</v>
      </c>
      <c r="AB4209" s="536"/>
      <c r="AC4209" s="536" t="str">
        <f>VLOOKUP(F4209,NXT!$B$12:$B$686,1,0)</f>
        <v>Thùng 145x45x79</v>
      </c>
    </row>
    <row r="4210" spans="1:29" s="503" customFormat="1" ht="15.75" customHeight="1">
      <c r="A4210" s="517" t="str">
        <f>IF(B4210&lt;&gt;"",IF(AND(B4210&gt;=_TM1,B4210&lt;=_TM2,OR(TH!L4210="1111",TH!M4210="1111")),TH!D4210,""),"")</f>
        <v/>
      </c>
      <c r="B4210" s="531">
        <f t="shared" si="529"/>
        <v>9</v>
      </c>
      <c r="C4210" s="315">
        <f t="shared" si="530"/>
        <v>43006</v>
      </c>
      <c r="D4210" s="315" t="s">
        <v>1180</v>
      </c>
      <c r="E4210" s="315">
        <v>43006</v>
      </c>
      <c r="F4210" s="250" t="s">
        <v>1663</v>
      </c>
      <c r="G4210" s="314" t="s">
        <v>1630</v>
      </c>
      <c r="H4210" s="248" t="s">
        <v>1612</v>
      </c>
      <c r="I4210" s="307">
        <v>6</v>
      </c>
      <c r="J4210" s="307">
        <v>99864</v>
      </c>
      <c r="K4210" s="532">
        <f t="shared" si="534"/>
        <v>599184</v>
      </c>
      <c r="L4210" s="534" t="s">
        <v>292</v>
      </c>
      <c r="M4210" s="534" t="s">
        <v>8</v>
      </c>
      <c r="N4210" s="525" t="str">
        <f>IF(AND('331-CT'!$E$7=TH!H4210,OR(L4210="331",M4210="331")),"331",IF(AND(OR(L4210="131",M4210="131"),H4210='131-CT'!$E$7),"131",""))</f>
        <v/>
      </c>
      <c r="O4210" s="525" t="str">
        <f>IF(AND($B4210&gt;='111'!$N$11,$B4210&lt;='111'!$O$11,OR($L4210=$O$7,$M4210=$O$7)),"x","")</f>
        <v/>
      </c>
      <c r="P4210" s="525" t="str">
        <f>IF(AND($L4210=$O$7,$B4210&lt;'111'!$N$11),"x","")</f>
        <v/>
      </c>
      <c r="Q4210" s="525" t="str">
        <f>IF(AND($M4210=$O$7,$B4210&lt;'111'!$N$11),"x","")</f>
        <v/>
      </c>
      <c r="R4210" s="525" t="str">
        <f>IF(ISERROR(FIND('112'!$M$9,G4210,1)),"",IF((AND(FIND('112'!$M$9,G4210,1)&gt;=1,$B4210&gt;='112'!$N$8,$B4210&lt;='112'!$O$8,OR($L4210='112'!$I$6,$M4210='112'!$I$6))),"x",""))</f>
        <v/>
      </c>
      <c r="S4210" s="525" t="str">
        <f>IF(ISERROR(FIND('112'!$M$9,G4210,1)),"",IF((AND(LEFT(G4210,2)=LEFT('112'!$M$9,2),B4210&lt;'112'!$N$8,$L4210='112'!$I$6)),"x",""))</f>
        <v/>
      </c>
      <c r="T4210" s="525" t="str">
        <f>IF(ISERROR(FIND('112'!$M$9,G4210,1)),"",IF((AND(RIGHT(G4210,2)=RIGHT('112'!$M$9,2),B4210&lt;'112'!$N$8,$M4210='112'!$I$6)),"x",""))</f>
        <v/>
      </c>
      <c r="U4210" s="525" t="str">
        <f>IF(AND(B4210&gt;='IN-NX'!$P$3,B4210&lt;='IN-NX'!$Q$3,'IN-NX'!$D$7=D4210,OR(LEFT(L4210,2)="15",AND(LEFT(M4210,2)&lt;&gt;"15",LEFT(M4210,2)&lt;&gt;"33"))),"x","")</f>
        <v/>
      </c>
      <c r="V4210" s="525" t="str">
        <f>IF(AND(OR(LEFT(TH!L4210,2)="15",LEFT(TH!M4210,2)="15"),'152-CT'!$J$8=TH!F4210),"x","")</f>
        <v/>
      </c>
      <c r="W4210" s="525" t="str">
        <f>IF(AND(OR(LEFT(TH!L4210,2)="15",LEFT(TH!M4210,2)="15"),TK!$E$7=TH!F4210),"x","")</f>
        <v/>
      </c>
      <c r="X4210" s="525" t="str">
        <f>IF(AND('341-CT'!$E$9=H4210,OR(LEFT(L4210,3)=$X$7,LEFT(M4210,3)=$X$7)),"x","")</f>
        <v/>
      </c>
      <c r="Y4210" s="525" t="str">
        <f>IF(OR(TH!L4210=TH!$Y$7,M4210=TH!$Y$7),"x","")</f>
        <v/>
      </c>
      <c r="Z4210" s="525" t="str">
        <f>IF(AND(B4210&lt;=NKC!$N$8,B4210&gt;=NKC!$M$8),"x","")</f>
        <v/>
      </c>
      <c r="AA4210" s="535">
        <v>3</v>
      </c>
      <c r="AB4210" s="536"/>
      <c r="AC4210" s="536" t="str">
        <f>VLOOKUP(F4210,NXT!$B$12:$B$686,1,0)</f>
        <v>Thùng 206x106x14</v>
      </c>
    </row>
    <row r="4211" spans="1:29" s="503" customFormat="1" ht="15.75" customHeight="1">
      <c r="A4211" s="517" t="str">
        <f>IF(B4211&lt;&gt;"",IF(AND(B4211&gt;=_TM1,B4211&lt;=_TM2,OR(TH!L4211="1111",TH!M4211="1111")),TH!D4211,""),"")</f>
        <v/>
      </c>
      <c r="B4211" s="531">
        <f t="shared" ref="B4211:B4226" si="535">IF(C4211&lt;&gt;"",MONTH(C4211),"")</f>
        <v>9</v>
      </c>
      <c r="C4211" s="315">
        <f t="shared" ref="C4211:C4226" si="536">E4211</f>
        <v>43006</v>
      </c>
      <c r="D4211" s="315" t="s">
        <v>1180</v>
      </c>
      <c r="E4211" s="315">
        <v>43006</v>
      </c>
      <c r="F4211" s="250" t="s">
        <v>1664</v>
      </c>
      <c r="G4211" s="314" t="s">
        <v>1630</v>
      </c>
      <c r="H4211" s="248" t="s">
        <v>1612</v>
      </c>
      <c r="I4211" s="307">
        <v>6</v>
      </c>
      <c r="J4211" s="307">
        <v>56909</v>
      </c>
      <c r="K4211" s="532">
        <f t="shared" ref="K4211:K4226" si="537">ROUND(I4211*J4211,0)</f>
        <v>341454</v>
      </c>
      <c r="L4211" s="534" t="s">
        <v>292</v>
      </c>
      <c r="M4211" s="534" t="s">
        <v>8</v>
      </c>
      <c r="N4211" s="525" t="str">
        <f>IF(AND('331-CT'!$E$7=TH!H4211,OR(L4211="331",M4211="331")),"331",IF(AND(OR(L4211="131",M4211="131"),H4211='131-CT'!$E$7),"131",""))</f>
        <v/>
      </c>
      <c r="O4211" s="525" t="str">
        <f>IF(AND($B4211&gt;='111'!$N$11,$B4211&lt;='111'!$O$11,OR($L4211=$O$7,$M4211=$O$7)),"x","")</f>
        <v/>
      </c>
      <c r="P4211" s="525" t="str">
        <f>IF(AND($L4211=$O$7,$B4211&lt;'111'!$N$11),"x","")</f>
        <v/>
      </c>
      <c r="Q4211" s="525" t="str">
        <f>IF(AND($M4211=$O$7,$B4211&lt;'111'!$N$11),"x","")</f>
        <v/>
      </c>
      <c r="R4211" s="525" t="str">
        <f>IF(ISERROR(FIND('112'!$M$9,G4211,1)),"",IF((AND(FIND('112'!$M$9,G4211,1)&gt;=1,$B4211&gt;='112'!$N$8,$B4211&lt;='112'!$O$8,OR($L4211='112'!$I$6,$M4211='112'!$I$6))),"x",""))</f>
        <v/>
      </c>
      <c r="S4211" s="525" t="str">
        <f>IF(ISERROR(FIND('112'!$M$9,G4211,1)),"",IF((AND(LEFT(G4211,2)=LEFT('112'!$M$9,2),B4211&lt;'112'!$N$8,$L4211='112'!$I$6)),"x",""))</f>
        <v/>
      </c>
      <c r="T4211" s="525" t="str">
        <f>IF(ISERROR(FIND('112'!$M$9,G4211,1)),"",IF((AND(RIGHT(G4211,2)=RIGHT('112'!$M$9,2),B4211&lt;'112'!$N$8,$M4211='112'!$I$6)),"x",""))</f>
        <v/>
      </c>
      <c r="U4211" s="525" t="str">
        <f>IF(AND(B4211&gt;='IN-NX'!$P$3,B4211&lt;='IN-NX'!$Q$3,'IN-NX'!$D$7=D4211,OR(LEFT(L4211,2)="15",AND(LEFT(M4211,2)&lt;&gt;"15",LEFT(M4211,2)&lt;&gt;"33"))),"x","")</f>
        <v/>
      </c>
      <c r="V4211" s="525" t="str">
        <f>IF(AND(OR(LEFT(TH!L4211,2)="15",LEFT(TH!M4211,2)="15"),'152-CT'!$J$8=TH!F4211),"x","")</f>
        <v/>
      </c>
      <c r="W4211" s="525" t="str">
        <f>IF(AND(OR(LEFT(TH!L4211,2)="15",LEFT(TH!M4211,2)="15"),TK!$E$7=TH!F4211),"x","")</f>
        <v/>
      </c>
      <c r="X4211" s="525" t="str">
        <f>IF(AND('341-CT'!$E$9=H4211,OR(LEFT(L4211,3)=$X$7,LEFT(M4211,3)=$X$7)),"x","")</f>
        <v/>
      </c>
      <c r="Y4211" s="525" t="str">
        <f>IF(OR(TH!L4211=TH!$Y$7,M4211=TH!$Y$7),"x","")</f>
        <v/>
      </c>
      <c r="Z4211" s="525" t="str">
        <f>IF(AND(B4211&lt;=NKC!$N$8,B4211&gt;=NKC!$M$8),"x","")</f>
        <v/>
      </c>
      <c r="AA4211" s="535">
        <v>3</v>
      </c>
      <c r="AB4211" s="536"/>
      <c r="AC4211" s="536" t="str">
        <f>VLOOKUP(F4211,NXT!$B$12:$B$686,1,0)</f>
        <v>Thùng 125x45x79</v>
      </c>
    </row>
    <row r="4212" spans="1:29" s="503" customFormat="1" ht="15.75" customHeight="1">
      <c r="A4212" s="517" t="str">
        <f>IF(B4212&lt;&gt;"",IF(AND(B4212&gt;=_TM1,B4212&lt;=_TM2,OR(TH!L4212="1111",TH!M4212="1111")),TH!D4212,""),"")</f>
        <v/>
      </c>
      <c r="B4212" s="531">
        <f t="shared" si="535"/>
        <v>9</v>
      </c>
      <c r="C4212" s="315">
        <f t="shared" si="536"/>
        <v>43006</v>
      </c>
      <c r="D4212" s="315" t="s">
        <v>1180</v>
      </c>
      <c r="E4212" s="315">
        <v>43006</v>
      </c>
      <c r="F4212" s="250" t="s">
        <v>1392</v>
      </c>
      <c r="G4212" s="314" t="s">
        <v>1630</v>
      </c>
      <c r="H4212" s="248" t="s">
        <v>1612</v>
      </c>
      <c r="I4212" s="307">
        <v>3</v>
      </c>
      <c r="J4212" s="307">
        <v>88914</v>
      </c>
      <c r="K4212" s="532">
        <f t="shared" si="537"/>
        <v>266742</v>
      </c>
      <c r="L4212" s="534" t="s">
        <v>292</v>
      </c>
      <c r="M4212" s="534" t="s">
        <v>8</v>
      </c>
      <c r="N4212" s="525" t="str">
        <f>IF(AND('331-CT'!$E$7=TH!H4212,OR(L4212="331",M4212="331")),"331",IF(AND(OR(L4212="131",M4212="131"),H4212='131-CT'!$E$7),"131",""))</f>
        <v/>
      </c>
      <c r="O4212" s="525" t="str">
        <f>IF(AND($B4212&gt;='111'!$N$11,$B4212&lt;='111'!$O$11,OR($L4212=$O$7,$M4212=$O$7)),"x","")</f>
        <v/>
      </c>
      <c r="P4212" s="525" t="str">
        <f>IF(AND($L4212=$O$7,$B4212&lt;'111'!$N$11),"x","")</f>
        <v/>
      </c>
      <c r="Q4212" s="525" t="str">
        <f>IF(AND($M4212=$O$7,$B4212&lt;'111'!$N$11),"x","")</f>
        <v/>
      </c>
      <c r="R4212" s="525" t="str">
        <f>IF(ISERROR(FIND('112'!$M$9,G4212,1)),"",IF((AND(FIND('112'!$M$9,G4212,1)&gt;=1,$B4212&gt;='112'!$N$8,$B4212&lt;='112'!$O$8,OR($L4212='112'!$I$6,$M4212='112'!$I$6))),"x",""))</f>
        <v/>
      </c>
      <c r="S4212" s="525" t="str">
        <f>IF(ISERROR(FIND('112'!$M$9,G4212,1)),"",IF((AND(LEFT(G4212,2)=LEFT('112'!$M$9,2),B4212&lt;'112'!$N$8,$L4212='112'!$I$6)),"x",""))</f>
        <v/>
      </c>
      <c r="T4212" s="525" t="str">
        <f>IF(ISERROR(FIND('112'!$M$9,G4212,1)),"",IF((AND(RIGHT(G4212,2)=RIGHT('112'!$M$9,2),B4212&lt;'112'!$N$8,$M4212='112'!$I$6)),"x",""))</f>
        <v/>
      </c>
      <c r="U4212" s="525" t="str">
        <f>IF(AND(B4212&gt;='IN-NX'!$P$3,B4212&lt;='IN-NX'!$Q$3,'IN-NX'!$D$7=D4212,OR(LEFT(L4212,2)="15",AND(LEFT(M4212,2)&lt;&gt;"15",LEFT(M4212,2)&lt;&gt;"33"))),"x","")</f>
        <v/>
      </c>
      <c r="V4212" s="525" t="str">
        <f>IF(AND(OR(LEFT(TH!L4212,2)="15",LEFT(TH!M4212,2)="15"),'152-CT'!$J$8=TH!F4212),"x","")</f>
        <v/>
      </c>
      <c r="W4212" s="525" t="str">
        <f>IF(AND(OR(LEFT(TH!L4212,2)="15",LEFT(TH!M4212,2)="15"),TK!$E$7=TH!F4212),"x","")</f>
        <v/>
      </c>
      <c r="X4212" s="525" t="str">
        <f>IF(AND('341-CT'!$E$9=H4212,OR(LEFT(L4212,3)=$X$7,LEFT(M4212,3)=$X$7)),"x","")</f>
        <v/>
      </c>
      <c r="Y4212" s="525" t="str">
        <f>IF(OR(TH!L4212=TH!$Y$7,M4212=TH!$Y$7),"x","")</f>
        <v/>
      </c>
      <c r="Z4212" s="525" t="str">
        <f>IF(AND(B4212&lt;=NKC!$N$8,B4212&gt;=NKC!$M$8),"x","")</f>
        <v/>
      </c>
      <c r="AA4212" s="535">
        <v>3</v>
      </c>
      <c r="AB4212" s="536"/>
      <c r="AC4212" s="536" t="str">
        <f>VLOOKUP(F4212,NXT!$B$12:$B$686,1,0)</f>
        <v>Thùng 206x96x14</v>
      </c>
    </row>
    <row r="4213" spans="1:29" s="503" customFormat="1" ht="15.75" customHeight="1">
      <c r="A4213" s="517" t="str">
        <f>IF(B4213&lt;&gt;"",IF(AND(B4213&gt;=_TM1,B4213&lt;=_TM2,OR(TH!L4213="1111",TH!M4213="1111")),TH!D4213,""),"")</f>
        <v/>
      </c>
      <c r="B4213" s="531">
        <f t="shared" si="535"/>
        <v>9</v>
      </c>
      <c r="C4213" s="315">
        <f t="shared" si="536"/>
        <v>43006</v>
      </c>
      <c r="D4213" s="315" t="s">
        <v>1180</v>
      </c>
      <c r="E4213" s="315">
        <v>43006</v>
      </c>
      <c r="F4213" s="250" t="s">
        <v>1665</v>
      </c>
      <c r="G4213" s="314" t="s">
        <v>1630</v>
      </c>
      <c r="H4213" s="248" t="s">
        <v>1612</v>
      </c>
      <c r="I4213" s="307">
        <v>27</v>
      </c>
      <c r="J4213" s="307">
        <v>145326</v>
      </c>
      <c r="K4213" s="532">
        <f t="shared" si="537"/>
        <v>3923802</v>
      </c>
      <c r="L4213" s="534" t="s">
        <v>292</v>
      </c>
      <c r="M4213" s="534" t="s">
        <v>8</v>
      </c>
      <c r="N4213" s="525" t="str">
        <f>IF(AND('331-CT'!$E$7=TH!H4213,OR(L4213="331",M4213="331")),"331",IF(AND(OR(L4213="131",M4213="131"),H4213='131-CT'!$E$7),"131",""))</f>
        <v/>
      </c>
      <c r="O4213" s="525" t="str">
        <f>IF(AND($B4213&gt;='111'!$N$11,$B4213&lt;='111'!$O$11,OR($L4213=$O$7,$M4213=$O$7)),"x","")</f>
        <v/>
      </c>
      <c r="P4213" s="525" t="str">
        <f>IF(AND($L4213=$O$7,$B4213&lt;'111'!$N$11),"x","")</f>
        <v/>
      </c>
      <c r="Q4213" s="525" t="str">
        <f>IF(AND($M4213=$O$7,$B4213&lt;'111'!$N$11),"x","")</f>
        <v/>
      </c>
      <c r="R4213" s="525" t="str">
        <f>IF(ISERROR(FIND('112'!$M$9,G4213,1)),"",IF((AND(FIND('112'!$M$9,G4213,1)&gt;=1,$B4213&gt;='112'!$N$8,$B4213&lt;='112'!$O$8,OR($L4213='112'!$I$6,$M4213='112'!$I$6))),"x",""))</f>
        <v/>
      </c>
      <c r="S4213" s="525" t="str">
        <f>IF(ISERROR(FIND('112'!$M$9,G4213,1)),"",IF((AND(LEFT(G4213,2)=LEFT('112'!$M$9,2),B4213&lt;'112'!$N$8,$L4213='112'!$I$6)),"x",""))</f>
        <v/>
      </c>
      <c r="T4213" s="525" t="str">
        <f>IF(ISERROR(FIND('112'!$M$9,G4213,1)),"",IF((AND(RIGHT(G4213,2)=RIGHT('112'!$M$9,2),B4213&lt;'112'!$N$8,$M4213='112'!$I$6)),"x",""))</f>
        <v/>
      </c>
      <c r="U4213" s="525" t="str">
        <f>IF(AND(B4213&gt;='IN-NX'!$P$3,B4213&lt;='IN-NX'!$Q$3,'IN-NX'!$D$7=D4213,OR(LEFT(L4213,2)="15",AND(LEFT(M4213,2)&lt;&gt;"15",LEFT(M4213,2)&lt;&gt;"33"))),"x","")</f>
        <v/>
      </c>
      <c r="V4213" s="525" t="str">
        <f>IF(AND(OR(LEFT(TH!L4213,2)="15",LEFT(TH!M4213,2)="15"),'152-CT'!$J$8=TH!F4213),"x","")</f>
        <v/>
      </c>
      <c r="W4213" s="525" t="str">
        <f>IF(AND(OR(LEFT(TH!L4213,2)="15",LEFT(TH!M4213,2)="15"),TK!$E$7=TH!F4213),"x","")</f>
        <v/>
      </c>
      <c r="X4213" s="525" t="str">
        <f>IF(AND('341-CT'!$E$9=H4213,OR(LEFT(L4213,3)=$X$7,LEFT(M4213,3)=$X$7)),"x","")</f>
        <v/>
      </c>
      <c r="Y4213" s="525" t="str">
        <f>IF(OR(TH!L4213=TH!$Y$7,M4213=TH!$Y$7),"x","")</f>
        <v/>
      </c>
      <c r="Z4213" s="525" t="str">
        <f>IF(AND(B4213&lt;=NKC!$N$8,B4213&gt;=NKC!$M$8),"x","")</f>
        <v/>
      </c>
      <c r="AA4213" s="535">
        <v>3</v>
      </c>
      <c r="AB4213" s="536"/>
      <c r="AC4213" s="536" t="str">
        <f>VLOOKUP(F4213,NXT!$B$12:$B$686,1,0)</f>
        <v>Thùng 115x115x32</v>
      </c>
    </row>
    <row r="4214" spans="1:29" s="503" customFormat="1" ht="15.75" customHeight="1">
      <c r="A4214" s="517" t="str">
        <f>IF(B4214&lt;&gt;"",IF(AND(B4214&gt;=_TM1,B4214&lt;=_TM2,OR(TH!L4214="1111",TH!M4214="1111")),TH!D4214,""),"")</f>
        <v/>
      </c>
      <c r="B4214" s="531">
        <f t="shared" si="535"/>
        <v>9</v>
      </c>
      <c r="C4214" s="315">
        <f t="shared" si="536"/>
        <v>43006</v>
      </c>
      <c r="D4214" s="315" t="s">
        <v>1180</v>
      </c>
      <c r="E4214" s="315">
        <v>43006</v>
      </c>
      <c r="F4214" s="250" t="s">
        <v>646</v>
      </c>
      <c r="G4214" s="314" t="s">
        <v>1630</v>
      </c>
      <c r="H4214" s="248" t="s">
        <v>1612</v>
      </c>
      <c r="I4214" s="307">
        <v>27</v>
      </c>
      <c r="J4214" s="307">
        <v>45685</v>
      </c>
      <c r="K4214" s="532">
        <f t="shared" si="537"/>
        <v>1233495</v>
      </c>
      <c r="L4214" s="534" t="s">
        <v>292</v>
      </c>
      <c r="M4214" s="534" t="s">
        <v>8</v>
      </c>
      <c r="N4214" s="525" t="str">
        <f>IF(AND('331-CT'!$E$7=TH!H4214,OR(L4214="331",M4214="331")),"331",IF(AND(OR(L4214="131",M4214="131"),H4214='131-CT'!$E$7),"131",""))</f>
        <v/>
      </c>
      <c r="O4214" s="525" t="str">
        <f>IF(AND($B4214&gt;='111'!$N$11,$B4214&lt;='111'!$O$11,OR($L4214=$O$7,$M4214=$O$7)),"x","")</f>
        <v/>
      </c>
      <c r="P4214" s="525" t="str">
        <f>IF(AND($L4214=$O$7,$B4214&lt;'111'!$N$11),"x","")</f>
        <v/>
      </c>
      <c r="Q4214" s="525" t="str">
        <f>IF(AND($M4214=$O$7,$B4214&lt;'111'!$N$11),"x","")</f>
        <v/>
      </c>
      <c r="R4214" s="525" t="str">
        <f>IF(ISERROR(FIND('112'!$M$9,G4214,1)),"",IF((AND(FIND('112'!$M$9,G4214,1)&gt;=1,$B4214&gt;='112'!$N$8,$B4214&lt;='112'!$O$8,OR($L4214='112'!$I$6,$M4214='112'!$I$6))),"x",""))</f>
        <v/>
      </c>
      <c r="S4214" s="525" t="str">
        <f>IF(ISERROR(FIND('112'!$M$9,G4214,1)),"",IF((AND(LEFT(G4214,2)=LEFT('112'!$M$9,2),B4214&lt;'112'!$N$8,$L4214='112'!$I$6)),"x",""))</f>
        <v/>
      </c>
      <c r="T4214" s="525" t="str">
        <f>IF(ISERROR(FIND('112'!$M$9,G4214,1)),"",IF((AND(RIGHT(G4214,2)=RIGHT('112'!$M$9,2),B4214&lt;'112'!$N$8,$M4214='112'!$I$6)),"x",""))</f>
        <v/>
      </c>
      <c r="U4214" s="525" t="str">
        <f>IF(AND(B4214&gt;='IN-NX'!$P$3,B4214&lt;='IN-NX'!$Q$3,'IN-NX'!$D$7=D4214,OR(LEFT(L4214,2)="15",AND(LEFT(M4214,2)&lt;&gt;"15",LEFT(M4214,2)&lt;&gt;"33"))),"x","")</f>
        <v/>
      </c>
      <c r="V4214" s="525" t="str">
        <f>IF(AND(OR(LEFT(TH!L4214,2)="15",LEFT(TH!M4214,2)="15"),'152-CT'!$J$8=TH!F4214),"x","")</f>
        <v/>
      </c>
      <c r="W4214" s="525" t="str">
        <f>IF(AND(OR(LEFT(TH!L4214,2)="15",LEFT(TH!M4214,2)="15"),TK!$E$7=TH!F4214),"x","")</f>
        <v/>
      </c>
      <c r="X4214" s="525" t="str">
        <f>IF(AND('341-CT'!$E$9=H4214,OR(LEFT(L4214,3)=$X$7,LEFT(M4214,3)=$X$7)),"x","")</f>
        <v/>
      </c>
      <c r="Y4214" s="525" t="str">
        <f>IF(OR(TH!L4214=TH!$Y$7,M4214=TH!$Y$7),"x","")</f>
        <v/>
      </c>
      <c r="Z4214" s="525" t="str">
        <f>IF(AND(B4214&lt;=NKC!$N$8,B4214&gt;=NKC!$M$8),"x","")</f>
        <v/>
      </c>
      <c r="AA4214" s="535">
        <v>3</v>
      </c>
      <c r="AB4214" s="536"/>
      <c r="AC4214" s="536" t="str">
        <f>VLOOKUP(F4214,NXT!$B$12:$B$686,1,0)</f>
        <v>Thùng 55x55x38</v>
      </c>
    </row>
    <row r="4215" spans="1:29" s="503" customFormat="1" ht="15.75" customHeight="1">
      <c r="A4215" s="517" t="str">
        <f>IF(B4215&lt;&gt;"",IF(AND(B4215&gt;=_TM1,B4215&lt;=_TM2,OR(TH!L4215="1111",TH!M4215="1111")),TH!D4215,""),"")</f>
        <v/>
      </c>
      <c r="B4215" s="531">
        <f t="shared" si="535"/>
        <v>9</v>
      </c>
      <c r="C4215" s="315">
        <f t="shared" si="536"/>
        <v>43006</v>
      </c>
      <c r="D4215" s="315" t="s">
        <v>1180</v>
      </c>
      <c r="E4215" s="315">
        <v>43006</v>
      </c>
      <c r="F4215" s="250" t="s">
        <v>1666</v>
      </c>
      <c r="G4215" s="314" t="s">
        <v>1630</v>
      </c>
      <c r="H4215" s="248" t="s">
        <v>1612</v>
      </c>
      <c r="I4215" s="307">
        <v>6</v>
      </c>
      <c r="J4215" s="307">
        <v>96026</v>
      </c>
      <c r="K4215" s="532">
        <f t="shared" si="537"/>
        <v>576156</v>
      </c>
      <c r="L4215" s="534" t="s">
        <v>292</v>
      </c>
      <c r="M4215" s="534" t="s">
        <v>8</v>
      </c>
      <c r="N4215" s="525" t="str">
        <f>IF(AND('331-CT'!$E$7=TH!H4215,OR(L4215="331",M4215="331")),"331",IF(AND(OR(L4215="131",M4215="131"),H4215='131-CT'!$E$7),"131",""))</f>
        <v/>
      </c>
      <c r="O4215" s="525" t="str">
        <f>IF(AND($B4215&gt;='111'!$N$11,$B4215&lt;='111'!$O$11,OR($L4215=$O$7,$M4215=$O$7)),"x","")</f>
        <v/>
      </c>
      <c r="P4215" s="525" t="str">
        <f>IF(AND($L4215=$O$7,$B4215&lt;'111'!$N$11),"x","")</f>
        <v/>
      </c>
      <c r="Q4215" s="525" t="str">
        <f>IF(AND($M4215=$O$7,$B4215&lt;'111'!$N$11),"x","")</f>
        <v/>
      </c>
      <c r="R4215" s="525" t="str">
        <f>IF(ISERROR(FIND('112'!$M$9,G4215,1)),"",IF((AND(FIND('112'!$M$9,G4215,1)&gt;=1,$B4215&gt;='112'!$N$8,$B4215&lt;='112'!$O$8,OR($L4215='112'!$I$6,$M4215='112'!$I$6))),"x",""))</f>
        <v/>
      </c>
      <c r="S4215" s="525" t="str">
        <f>IF(ISERROR(FIND('112'!$M$9,G4215,1)),"",IF((AND(LEFT(G4215,2)=LEFT('112'!$M$9,2),B4215&lt;'112'!$N$8,$L4215='112'!$I$6)),"x",""))</f>
        <v/>
      </c>
      <c r="T4215" s="525" t="str">
        <f>IF(ISERROR(FIND('112'!$M$9,G4215,1)),"",IF((AND(RIGHT(G4215,2)=RIGHT('112'!$M$9,2),B4215&lt;'112'!$N$8,$M4215='112'!$I$6)),"x",""))</f>
        <v/>
      </c>
      <c r="U4215" s="525" t="str">
        <f>IF(AND(B4215&gt;='IN-NX'!$P$3,B4215&lt;='IN-NX'!$Q$3,'IN-NX'!$D$7=D4215,OR(LEFT(L4215,2)="15",AND(LEFT(M4215,2)&lt;&gt;"15",LEFT(M4215,2)&lt;&gt;"33"))),"x","")</f>
        <v/>
      </c>
      <c r="V4215" s="525" t="str">
        <f>IF(AND(OR(LEFT(TH!L4215,2)="15",LEFT(TH!M4215,2)="15"),'152-CT'!$J$8=TH!F4215),"x","")</f>
        <v/>
      </c>
      <c r="W4215" s="525" t="str">
        <f>IF(AND(OR(LEFT(TH!L4215,2)="15",LEFT(TH!M4215,2)="15"),TK!$E$7=TH!F4215),"x","")</f>
        <v/>
      </c>
      <c r="X4215" s="525" t="str">
        <f>IF(AND('341-CT'!$E$9=H4215,OR(LEFT(L4215,3)=$X$7,LEFT(M4215,3)=$X$7)),"x","")</f>
        <v/>
      </c>
      <c r="Y4215" s="525" t="str">
        <f>IF(OR(TH!L4215=TH!$Y$7,M4215=TH!$Y$7),"x","")</f>
        <v/>
      </c>
      <c r="Z4215" s="525" t="str">
        <f>IF(AND(B4215&lt;=NKC!$N$8,B4215&gt;=NKC!$M$8),"x","")</f>
        <v/>
      </c>
      <c r="AA4215" s="535">
        <v>3</v>
      </c>
      <c r="AB4215" s="536"/>
      <c r="AC4215" s="536" t="str">
        <f>VLOOKUP(F4215,NXT!$B$12:$B$686,1,0)</f>
        <v>Thùng 185x40x53</v>
      </c>
    </row>
    <row r="4216" spans="1:29" s="503" customFormat="1" ht="15.75" customHeight="1">
      <c r="A4216" s="517" t="str">
        <f>IF(B4216&lt;&gt;"",IF(AND(B4216&gt;=_TM1,B4216&lt;=_TM2,OR(TH!L4216="1111",TH!M4216="1111")),TH!D4216,""),"")</f>
        <v/>
      </c>
      <c r="B4216" s="531">
        <f t="shared" si="535"/>
        <v>9</v>
      </c>
      <c r="C4216" s="315">
        <f t="shared" si="536"/>
        <v>43006</v>
      </c>
      <c r="D4216" s="315" t="s">
        <v>1180</v>
      </c>
      <c r="E4216" s="315">
        <v>43006</v>
      </c>
      <c r="F4216" s="250" t="s">
        <v>1667</v>
      </c>
      <c r="G4216" s="314" t="s">
        <v>1630</v>
      </c>
      <c r="H4216" s="248" t="s">
        <v>1612</v>
      </c>
      <c r="I4216" s="307">
        <v>10</v>
      </c>
      <c r="J4216" s="307">
        <v>25825</v>
      </c>
      <c r="K4216" s="532">
        <f t="shared" si="537"/>
        <v>258250</v>
      </c>
      <c r="L4216" s="534" t="s">
        <v>292</v>
      </c>
      <c r="M4216" s="534" t="s">
        <v>8</v>
      </c>
      <c r="N4216" s="525" t="str">
        <f>IF(AND('331-CT'!$E$7=TH!H4216,OR(L4216="331",M4216="331")),"331",IF(AND(OR(L4216="131",M4216="131"),H4216='131-CT'!$E$7),"131",""))</f>
        <v/>
      </c>
      <c r="O4216" s="525" t="str">
        <f>IF(AND($B4216&gt;='111'!$N$11,$B4216&lt;='111'!$O$11,OR($L4216=$O$7,$M4216=$O$7)),"x","")</f>
        <v/>
      </c>
      <c r="P4216" s="525" t="str">
        <f>IF(AND($L4216=$O$7,$B4216&lt;'111'!$N$11),"x","")</f>
        <v/>
      </c>
      <c r="Q4216" s="525" t="str">
        <f>IF(AND($M4216=$O$7,$B4216&lt;'111'!$N$11),"x","")</f>
        <v/>
      </c>
      <c r="R4216" s="525" t="str">
        <f>IF(ISERROR(FIND('112'!$M$9,G4216,1)),"",IF((AND(FIND('112'!$M$9,G4216,1)&gt;=1,$B4216&gt;='112'!$N$8,$B4216&lt;='112'!$O$8,OR($L4216='112'!$I$6,$M4216='112'!$I$6))),"x",""))</f>
        <v/>
      </c>
      <c r="S4216" s="525" t="str">
        <f>IF(ISERROR(FIND('112'!$M$9,G4216,1)),"",IF((AND(LEFT(G4216,2)=LEFT('112'!$M$9,2),B4216&lt;'112'!$N$8,$L4216='112'!$I$6)),"x",""))</f>
        <v/>
      </c>
      <c r="T4216" s="525" t="str">
        <f>IF(ISERROR(FIND('112'!$M$9,G4216,1)),"",IF((AND(RIGHT(G4216,2)=RIGHT('112'!$M$9,2),B4216&lt;'112'!$N$8,$M4216='112'!$I$6)),"x",""))</f>
        <v/>
      </c>
      <c r="U4216" s="525" t="str">
        <f>IF(AND(B4216&gt;='IN-NX'!$P$3,B4216&lt;='IN-NX'!$Q$3,'IN-NX'!$D$7=D4216,OR(LEFT(L4216,2)="15",AND(LEFT(M4216,2)&lt;&gt;"15",LEFT(M4216,2)&lt;&gt;"33"))),"x","")</f>
        <v/>
      </c>
      <c r="V4216" s="525" t="str">
        <f>IF(AND(OR(LEFT(TH!L4216,2)="15",LEFT(TH!M4216,2)="15"),'152-CT'!$J$8=TH!F4216),"x","")</f>
        <v/>
      </c>
      <c r="W4216" s="525" t="str">
        <f>IF(AND(OR(LEFT(TH!L4216,2)="15",LEFT(TH!M4216,2)="15"),TK!$E$7=TH!F4216),"x","")</f>
        <v/>
      </c>
      <c r="X4216" s="525" t="str">
        <f>IF(AND('341-CT'!$E$9=H4216,OR(LEFT(L4216,3)=$X$7,LEFT(M4216,3)=$X$7)),"x","")</f>
        <v/>
      </c>
      <c r="Y4216" s="525" t="str">
        <f>IF(OR(TH!L4216=TH!$Y$7,M4216=TH!$Y$7),"x","")</f>
        <v/>
      </c>
      <c r="Z4216" s="525" t="str">
        <f>IF(AND(B4216&lt;=NKC!$N$8,B4216&gt;=NKC!$M$8),"x","")</f>
        <v/>
      </c>
      <c r="AA4216" s="535">
        <v>3</v>
      </c>
      <c r="AB4216" s="536"/>
      <c r="AC4216" s="536" t="str">
        <f>VLOOKUP(F4216,NXT!$B$12:$B$686,1,0)</f>
        <v>Thùng 51x51x40</v>
      </c>
    </row>
    <row r="4217" spans="1:29" s="503" customFormat="1" ht="15.75" customHeight="1">
      <c r="A4217" s="517" t="str">
        <f>IF(B4217&lt;&gt;"",IF(AND(B4217&gt;=_TM1,B4217&lt;=_TM2,OR(TH!L4217="1111",TH!M4217="1111")),TH!D4217,""),"")</f>
        <v/>
      </c>
      <c r="B4217" s="531">
        <f t="shared" si="535"/>
        <v>9</v>
      </c>
      <c r="C4217" s="315">
        <f t="shared" si="536"/>
        <v>43006</v>
      </c>
      <c r="D4217" s="315" t="s">
        <v>1180</v>
      </c>
      <c r="E4217" s="315">
        <v>43006</v>
      </c>
      <c r="F4217" s="250" t="s">
        <v>1668</v>
      </c>
      <c r="G4217" s="314" t="s">
        <v>1630</v>
      </c>
      <c r="H4217" s="248" t="s">
        <v>1612</v>
      </c>
      <c r="I4217" s="307">
        <v>10</v>
      </c>
      <c r="J4217" s="307">
        <v>61834</v>
      </c>
      <c r="K4217" s="532">
        <f t="shared" si="537"/>
        <v>618340</v>
      </c>
      <c r="L4217" s="534" t="s">
        <v>292</v>
      </c>
      <c r="M4217" s="534" t="s">
        <v>8</v>
      </c>
      <c r="N4217" s="525" t="str">
        <f>IF(AND('331-CT'!$E$7=TH!H4217,OR(L4217="331",M4217="331")),"331",IF(AND(OR(L4217="131",M4217="131"),H4217='131-CT'!$E$7),"131",""))</f>
        <v/>
      </c>
      <c r="O4217" s="525" t="str">
        <f>IF(AND($B4217&gt;='111'!$N$11,$B4217&lt;='111'!$O$11,OR($L4217=$O$7,$M4217=$O$7)),"x","")</f>
        <v/>
      </c>
      <c r="P4217" s="525" t="str">
        <f>IF(AND($L4217=$O$7,$B4217&lt;'111'!$N$11),"x","")</f>
        <v/>
      </c>
      <c r="Q4217" s="525" t="str">
        <f>IF(AND($M4217=$O$7,$B4217&lt;'111'!$N$11),"x","")</f>
        <v/>
      </c>
      <c r="R4217" s="525" t="str">
        <f>IF(ISERROR(FIND('112'!$M$9,G4217,1)),"",IF((AND(FIND('112'!$M$9,G4217,1)&gt;=1,$B4217&gt;='112'!$N$8,$B4217&lt;='112'!$O$8,OR($L4217='112'!$I$6,$M4217='112'!$I$6))),"x",""))</f>
        <v/>
      </c>
      <c r="S4217" s="525" t="str">
        <f>IF(ISERROR(FIND('112'!$M$9,G4217,1)),"",IF((AND(LEFT(G4217,2)=LEFT('112'!$M$9,2),B4217&lt;'112'!$N$8,$L4217='112'!$I$6)),"x",""))</f>
        <v/>
      </c>
      <c r="T4217" s="525" t="str">
        <f>IF(ISERROR(FIND('112'!$M$9,G4217,1)),"",IF((AND(RIGHT(G4217,2)=RIGHT('112'!$M$9,2),B4217&lt;'112'!$N$8,$M4217='112'!$I$6)),"x",""))</f>
        <v/>
      </c>
      <c r="U4217" s="525" t="str">
        <f>IF(AND(B4217&gt;='IN-NX'!$P$3,B4217&lt;='IN-NX'!$Q$3,'IN-NX'!$D$7=D4217,OR(LEFT(L4217,2)="15",AND(LEFT(M4217,2)&lt;&gt;"15",LEFT(M4217,2)&lt;&gt;"33"))),"x","")</f>
        <v/>
      </c>
      <c r="V4217" s="525" t="str">
        <f>IF(AND(OR(LEFT(TH!L4217,2)="15",LEFT(TH!M4217,2)="15"),'152-CT'!$J$8=TH!F4217),"x","")</f>
        <v/>
      </c>
      <c r="W4217" s="525" t="str">
        <f>IF(AND(OR(LEFT(TH!L4217,2)="15",LEFT(TH!M4217,2)="15"),TK!$E$7=TH!F4217),"x","")</f>
        <v/>
      </c>
      <c r="X4217" s="525" t="str">
        <f>IF(AND('341-CT'!$E$9=H4217,OR(LEFT(L4217,3)=$X$7,LEFT(M4217,3)=$X$7)),"x","")</f>
        <v/>
      </c>
      <c r="Y4217" s="525" t="str">
        <f>IF(OR(TH!L4217=TH!$Y$7,M4217=TH!$Y$7),"x","")</f>
        <v/>
      </c>
      <c r="Z4217" s="525" t="str">
        <f>IF(AND(B4217&lt;=NKC!$N$8,B4217&gt;=NKC!$M$8),"x","")</f>
        <v/>
      </c>
      <c r="AA4217" s="535">
        <v>3</v>
      </c>
      <c r="AB4217" s="536"/>
      <c r="AC4217" s="536" t="str">
        <f>VLOOKUP(F4217,NXT!$B$12:$B$686,1,0)</f>
        <v>Thùng 89x89x40</v>
      </c>
    </row>
    <row r="4218" spans="1:29" s="503" customFormat="1" ht="15.75" customHeight="1">
      <c r="A4218" s="517" t="str">
        <f>IF(B4218&lt;&gt;"",IF(AND(B4218&gt;=_TM1,B4218&lt;=_TM2,OR(TH!L4218="1111",TH!M4218="1111")),TH!D4218,""),"")</f>
        <v/>
      </c>
      <c r="B4218" s="531">
        <f t="shared" si="535"/>
        <v>9</v>
      </c>
      <c r="C4218" s="315">
        <f t="shared" si="536"/>
        <v>43006</v>
      </c>
      <c r="D4218" s="315" t="s">
        <v>1180</v>
      </c>
      <c r="E4218" s="315">
        <v>43006</v>
      </c>
      <c r="F4218" s="250" t="s">
        <v>708</v>
      </c>
      <c r="G4218" s="314" t="s">
        <v>1630</v>
      </c>
      <c r="H4218" s="248" t="s">
        <v>1612</v>
      </c>
      <c r="I4218" s="307">
        <v>32</v>
      </c>
      <c r="J4218" s="307">
        <v>35387</v>
      </c>
      <c r="K4218" s="532">
        <f t="shared" si="537"/>
        <v>1132384</v>
      </c>
      <c r="L4218" s="534" t="s">
        <v>292</v>
      </c>
      <c r="M4218" s="534" t="s">
        <v>8</v>
      </c>
      <c r="N4218" s="525" t="str">
        <f>IF(AND('331-CT'!$E$7=TH!H4218,OR(L4218="331",M4218="331")),"331",IF(AND(OR(L4218="131",M4218="131"),H4218='131-CT'!$E$7),"131",""))</f>
        <v/>
      </c>
      <c r="O4218" s="525" t="str">
        <f>IF(AND($B4218&gt;='111'!$N$11,$B4218&lt;='111'!$O$11,OR($L4218=$O$7,$M4218=$O$7)),"x","")</f>
        <v/>
      </c>
      <c r="P4218" s="525" t="str">
        <f>IF(AND($L4218=$O$7,$B4218&lt;'111'!$N$11),"x","")</f>
        <v/>
      </c>
      <c r="Q4218" s="525" t="str">
        <f>IF(AND($M4218=$O$7,$B4218&lt;'111'!$N$11),"x","")</f>
        <v/>
      </c>
      <c r="R4218" s="525" t="str">
        <f>IF(ISERROR(FIND('112'!$M$9,G4218,1)),"",IF((AND(FIND('112'!$M$9,G4218,1)&gt;=1,$B4218&gt;='112'!$N$8,$B4218&lt;='112'!$O$8,OR($L4218='112'!$I$6,$M4218='112'!$I$6))),"x",""))</f>
        <v/>
      </c>
      <c r="S4218" s="525" t="str">
        <f>IF(ISERROR(FIND('112'!$M$9,G4218,1)),"",IF((AND(LEFT(G4218,2)=LEFT('112'!$M$9,2),B4218&lt;'112'!$N$8,$L4218='112'!$I$6)),"x",""))</f>
        <v/>
      </c>
      <c r="T4218" s="525" t="str">
        <f>IF(ISERROR(FIND('112'!$M$9,G4218,1)),"",IF((AND(RIGHT(G4218,2)=RIGHT('112'!$M$9,2),B4218&lt;'112'!$N$8,$M4218='112'!$I$6)),"x",""))</f>
        <v/>
      </c>
      <c r="U4218" s="525" t="str">
        <f>IF(AND(B4218&gt;='IN-NX'!$P$3,B4218&lt;='IN-NX'!$Q$3,'IN-NX'!$D$7=D4218,OR(LEFT(L4218,2)="15",AND(LEFT(M4218,2)&lt;&gt;"15",LEFT(M4218,2)&lt;&gt;"33"))),"x","")</f>
        <v/>
      </c>
      <c r="V4218" s="525" t="str">
        <f>IF(AND(OR(LEFT(TH!L4218,2)="15",LEFT(TH!M4218,2)="15"),'152-CT'!$J$8=TH!F4218),"x","")</f>
        <v/>
      </c>
      <c r="W4218" s="525" t="str">
        <f>IF(AND(OR(LEFT(TH!L4218,2)="15",LEFT(TH!M4218,2)="15"),TK!$E$7=TH!F4218),"x","")</f>
        <v/>
      </c>
      <c r="X4218" s="525" t="str">
        <f>IF(AND('341-CT'!$E$9=H4218,OR(LEFT(L4218,3)=$X$7,LEFT(M4218,3)=$X$7)),"x","")</f>
        <v/>
      </c>
      <c r="Y4218" s="525" t="str">
        <f>IF(OR(TH!L4218=TH!$Y$7,M4218=TH!$Y$7),"x","")</f>
        <v/>
      </c>
      <c r="Z4218" s="525" t="str">
        <f>IF(AND(B4218&lt;=NKC!$N$8,B4218&gt;=NKC!$M$8),"x","")</f>
        <v/>
      </c>
      <c r="AA4218" s="535">
        <v>3</v>
      </c>
      <c r="AB4218" s="536"/>
      <c r="AC4218" s="536" t="str">
        <f>VLOOKUP(F4218,NXT!$B$12:$B$686,1,0)</f>
        <v>Thùng 44x44x52</v>
      </c>
    </row>
    <row r="4219" spans="1:29" s="503" customFormat="1" ht="15.75" customHeight="1">
      <c r="A4219" s="517" t="str">
        <f>IF(B4219&lt;&gt;"",IF(AND(B4219&gt;=_TM1,B4219&lt;=_TM2,OR(TH!L4219="1111",TH!M4219="1111")),TH!D4219,""),"")</f>
        <v/>
      </c>
      <c r="B4219" s="531">
        <f t="shared" si="535"/>
        <v>9</v>
      </c>
      <c r="C4219" s="315">
        <f t="shared" si="536"/>
        <v>43006</v>
      </c>
      <c r="D4219" s="315" t="s">
        <v>1180</v>
      </c>
      <c r="E4219" s="315">
        <v>43006</v>
      </c>
      <c r="F4219" s="250" t="s">
        <v>1669</v>
      </c>
      <c r="G4219" s="314" t="s">
        <v>1630</v>
      </c>
      <c r="H4219" s="248" t="s">
        <v>1612</v>
      </c>
      <c r="I4219" s="307">
        <v>35</v>
      </c>
      <c r="J4219" s="307">
        <v>14128</v>
      </c>
      <c r="K4219" s="532">
        <f t="shared" si="537"/>
        <v>494480</v>
      </c>
      <c r="L4219" s="534" t="s">
        <v>292</v>
      </c>
      <c r="M4219" s="534" t="s">
        <v>8</v>
      </c>
      <c r="N4219" s="525" t="str">
        <f>IF(AND('331-CT'!$E$7=TH!H4219,OR(L4219="331",M4219="331")),"331",IF(AND(OR(L4219="131",M4219="131"),H4219='131-CT'!$E$7),"131",""))</f>
        <v/>
      </c>
      <c r="O4219" s="525" t="str">
        <f>IF(AND($B4219&gt;='111'!$N$11,$B4219&lt;='111'!$O$11,OR($L4219=$O$7,$M4219=$O$7)),"x","")</f>
        <v/>
      </c>
      <c r="P4219" s="525" t="str">
        <f>IF(AND($L4219=$O$7,$B4219&lt;'111'!$N$11),"x","")</f>
        <v/>
      </c>
      <c r="Q4219" s="525" t="str">
        <f>IF(AND($M4219=$O$7,$B4219&lt;'111'!$N$11),"x","")</f>
        <v/>
      </c>
      <c r="R4219" s="525" t="str">
        <f>IF(ISERROR(FIND('112'!$M$9,G4219,1)),"",IF((AND(FIND('112'!$M$9,G4219,1)&gt;=1,$B4219&gt;='112'!$N$8,$B4219&lt;='112'!$O$8,OR($L4219='112'!$I$6,$M4219='112'!$I$6))),"x",""))</f>
        <v/>
      </c>
      <c r="S4219" s="525" t="str">
        <f>IF(ISERROR(FIND('112'!$M$9,G4219,1)),"",IF((AND(LEFT(G4219,2)=LEFT('112'!$M$9,2),B4219&lt;'112'!$N$8,$L4219='112'!$I$6)),"x",""))</f>
        <v/>
      </c>
      <c r="T4219" s="525" t="str">
        <f>IF(ISERROR(FIND('112'!$M$9,G4219,1)),"",IF((AND(RIGHT(G4219,2)=RIGHT('112'!$M$9,2),B4219&lt;'112'!$N$8,$M4219='112'!$I$6)),"x",""))</f>
        <v/>
      </c>
      <c r="U4219" s="525" t="str">
        <f>IF(AND(B4219&gt;='IN-NX'!$P$3,B4219&lt;='IN-NX'!$Q$3,'IN-NX'!$D$7=D4219,OR(LEFT(L4219,2)="15",AND(LEFT(M4219,2)&lt;&gt;"15",LEFT(M4219,2)&lt;&gt;"33"))),"x","")</f>
        <v/>
      </c>
      <c r="V4219" s="525" t="str">
        <f>IF(AND(OR(LEFT(TH!L4219,2)="15",LEFT(TH!M4219,2)="15"),'152-CT'!$J$8=TH!F4219),"x","")</f>
        <v/>
      </c>
      <c r="W4219" s="525" t="str">
        <f>IF(AND(OR(LEFT(TH!L4219,2)="15",LEFT(TH!M4219,2)="15"),TK!$E$7=TH!F4219),"x","")</f>
        <v/>
      </c>
      <c r="X4219" s="525" t="str">
        <f>IF(AND('341-CT'!$E$9=H4219,OR(LEFT(L4219,3)=$X$7,LEFT(M4219,3)=$X$7)),"x","")</f>
        <v/>
      </c>
      <c r="Y4219" s="525" t="str">
        <f>IF(OR(TH!L4219=TH!$Y$7,M4219=TH!$Y$7),"x","")</f>
        <v/>
      </c>
      <c r="Z4219" s="525" t="str">
        <f>IF(AND(B4219&lt;=NKC!$N$8,B4219&gt;=NKC!$M$8),"x","")</f>
        <v/>
      </c>
      <c r="AA4219" s="535">
        <v>3</v>
      </c>
      <c r="AB4219" s="536"/>
      <c r="AC4219" s="536" t="str">
        <f>VLOOKUP(F4219,NXT!$B$12:$B$686,1,0)</f>
        <v>Thùng 32x32x47</v>
      </c>
    </row>
    <row r="4220" spans="1:29" s="503" customFormat="1" ht="15.75" customHeight="1">
      <c r="A4220" s="517" t="str">
        <f>IF(B4220&lt;&gt;"",IF(AND(B4220&gt;=_TM1,B4220&lt;=_TM2,OR(TH!L4220="1111",TH!M4220="1111")),TH!D4220,""),"")</f>
        <v/>
      </c>
      <c r="B4220" s="531">
        <f t="shared" si="535"/>
        <v>9</v>
      </c>
      <c r="C4220" s="315">
        <f t="shared" si="536"/>
        <v>43006</v>
      </c>
      <c r="D4220" s="315" t="s">
        <v>1180</v>
      </c>
      <c r="E4220" s="315">
        <v>43006</v>
      </c>
      <c r="F4220" s="250" t="s">
        <v>646</v>
      </c>
      <c r="G4220" s="314" t="s">
        <v>1630</v>
      </c>
      <c r="H4220" s="248" t="s">
        <v>1612</v>
      </c>
      <c r="I4220" s="307">
        <v>3</v>
      </c>
      <c r="J4220" s="307">
        <v>48013</v>
      </c>
      <c r="K4220" s="532">
        <f t="shared" si="537"/>
        <v>144039</v>
      </c>
      <c r="L4220" s="534" t="s">
        <v>292</v>
      </c>
      <c r="M4220" s="534" t="s">
        <v>8</v>
      </c>
      <c r="N4220" s="525" t="str">
        <f>IF(AND('331-CT'!$E$7=TH!H4220,OR(L4220="331",M4220="331")),"331",IF(AND(OR(L4220="131",M4220="131"),H4220='131-CT'!$E$7),"131",""))</f>
        <v/>
      </c>
      <c r="O4220" s="525" t="str">
        <f>IF(AND($B4220&gt;='111'!$N$11,$B4220&lt;='111'!$O$11,OR($L4220=$O$7,$M4220=$O$7)),"x","")</f>
        <v/>
      </c>
      <c r="P4220" s="525" t="str">
        <f>IF(AND($L4220=$O$7,$B4220&lt;'111'!$N$11),"x","")</f>
        <v/>
      </c>
      <c r="Q4220" s="525" t="str">
        <f>IF(AND($M4220=$O$7,$B4220&lt;'111'!$N$11),"x","")</f>
        <v/>
      </c>
      <c r="R4220" s="525" t="str">
        <f>IF(ISERROR(FIND('112'!$M$9,G4220,1)),"",IF((AND(FIND('112'!$M$9,G4220,1)&gt;=1,$B4220&gt;='112'!$N$8,$B4220&lt;='112'!$O$8,OR($L4220='112'!$I$6,$M4220='112'!$I$6))),"x",""))</f>
        <v/>
      </c>
      <c r="S4220" s="525" t="str">
        <f>IF(ISERROR(FIND('112'!$M$9,G4220,1)),"",IF((AND(LEFT(G4220,2)=LEFT('112'!$M$9,2),B4220&lt;'112'!$N$8,$L4220='112'!$I$6)),"x",""))</f>
        <v/>
      </c>
      <c r="T4220" s="525" t="str">
        <f>IF(ISERROR(FIND('112'!$M$9,G4220,1)),"",IF((AND(RIGHT(G4220,2)=RIGHT('112'!$M$9,2),B4220&lt;'112'!$N$8,$M4220='112'!$I$6)),"x",""))</f>
        <v/>
      </c>
      <c r="U4220" s="525" t="str">
        <f>IF(AND(B4220&gt;='IN-NX'!$P$3,B4220&lt;='IN-NX'!$Q$3,'IN-NX'!$D$7=D4220,OR(LEFT(L4220,2)="15",AND(LEFT(M4220,2)&lt;&gt;"15",LEFT(M4220,2)&lt;&gt;"33"))),"x","")</f>
        <v/>
      </c>
      <c r="V4220" s="525" t="str">
        <f>IF(AND(OR(LEFT(TH!L4220,2)="15",LEFT(TH!M4220,2)="15"),'152-CT'!$J$8=TH!F4220),"x","")</f>
        <v/>
      </c>
      <c r="W4220" s="525" t="str">
        <f>IF(AND(OR(LEFT(TH!L4220,2)="15",LEFT(TH!M4220,2)="15"),TK!$E$7=TH!F4220),"x","")</f>
        <v/>
      </c>
      <c r="X4220" s="525" t="str">
        <f>IF(AND('341-CT'!$E$9=H4220,OR(LEFT(L4220,3)=$X$7,LEFT(M4220,3)=$X$7)),"x","")</f>
        <v/>
      </c>
      <c r="Y4220" s="525" t="str">
        <f>IF(OR(TH!L4220=TH!$Y$7,M4220=TH!$Y$7),"x","")</f>
        <v/>
      </c>
      <c r="Z4220" s="525" t="str">
        <f>IF(AND(B4220&lt;=NKC!$N$8,B4220&gt;=NKC!$M$8),"x","")</f>
        <v/>
      </c>
      <c r="AA4220" s="535">
        <v>3</v>
      </c>
      <c r="AB4220" s="536"/>
      <c r="AC4220" s="536" t="str">
        <f>VLOOKUP(F4220,NXT!$B$12:$B$686,1,0)</f>
        <v>Thùng 55x55x38</v>
      </c>
    </row>
    <row r="4221" spans="1:29" s="503" customFormat="1" ht="15.75" customHeight="1">
      <c r="A4221" s="517" t="str">
        <f>IF(B4221&lt;&gt;"",IF(AND(B4221&gt;=_TM1,B4221&lt;=_TM2,OR(TH!L4221="1111",TH!M4221="1111")),TH!D4221,""),"")</f>
        <v/>
      </c>
      <c r="B4221" s="531">
        <f t="shared" si="535"/>
        <v>9</v>
      </c>
      <c r="C4221" s="315">
        <f t="shared" si="536"/>
        <v>43006</v>
      </c>
      <c r="D4221" s="315" t="s">
        <v>1180</v>
      </c>
      <c r="E4221" s="315">
        <v>43006</v>
      </c>
      <c r="F4221" s="250" t="s">
        <v>1478</v>
      </c>
      <c r="G4221" s="314" t="s">
        <v>1630</v>
      </c>
      <c r="H4221" s="248" t="s">
        <v>1612</v>
      </c>
      <c r="I4221" s="307">
        <v>8</v>
      </c>
      <c r="J4221" s="307">
        <v>38608</v>
      </c>
      <c r="K4221" s="532">
        <f t="shared" si="537"/>
        <v>308864</v>
      </c>
      <c r="L4221" s="534" t="s">
        <v>292</v>
      </c>
      <c r="M4221" s="534" t="s">
        <v>8</v>
      </c>
      <c r="N4221" s="525" t="str">
        <f>IF(AND('331-CT'!$E$7=TH!H4221,OR(L4221="331",M4221="331")),"331",IF(AND(OR(L4221="131",M4221="131"),H4221='131-CT'!$E$7),"131",""))</f>
        <v/>
      </c>
      <c r="O4221" s="525" t="str">
        <f>IF(AND($B4221&gt;='111'!$N$11,$B4221&lt;='111'!$O$11,OR($L4221=$O$7,$M4221=$O$7)),"x","")</f>
        <v/>
      </c>
      <c r="P4221" s="525" t="str">
        <f>IF(AND($L4221=$O$7,$B4221&lt;'111'!$N$11),"x","")</f>
        <v/>
      </c>
      <c r="Q4221" s="525" t="str">
        <f>IF(AND($M4221=$O$7,$B4221&lt;'111'!$N$11),"x","")</f>
        <v/>
      </c>
      <c r="R4221" s="525" t="str">
        <f>IF(ISERROR(FIND('112'!$M$9,G4221,1)),"",IF((AND(FIND('112'!$M$9,G4221,1)&gt;=1,$B4221&gt;='112'!$N$8,$B4221&lt;='112'!$O$8,OR($L4221='112'!$I$6,$M4221='112'!$I$6))),"x",""))</f>
        <v/>
      </c>
      <c r="S4221" s="525" t="str">
        <f>IF(ISERROR(FIND('112'!$M$9,G4221,1)),"",IF((AND(LEFT(G4221,2)=LEFT('112'!$M$9,2),B4221&lt;'112'!$N$8,$L4221='112'!$I$6)),"x",""))</f>
        <v/>
      </c>
      <c r="T4221" s="525" t="str">
        <f>IF(ISERROR(FIND('112'!$M$9,G4221,1)),"",IF((AND(RIGHT(G4221,2)=RIGHT('112'!$M$9,2),B4221&lt;'112'!$N$8,$M4221='112'!$I$6)),"x",""))</f>
        <v/>
      </c>
      <c r="U4221" s="525" t="str">
        <f>IF(AND(B4221&gt;='IN-NX'!$P$3,B4221&lt;='IN-NX'!$Q$3,'IN-NX'!$D$7=D4221,OR(LEFT(L4221,2)="15",AND(LEFT(M4221,2)&lt;&gt;"15",LEFT(M4221,2)&lt;&gt;"33"))),"x","")</f>
        <v/>
      </c>
      <c r="V4221" s="525" t="str">
        <f>IF(AND(OR(LEFT(TH!L4221,2)="15",LEFT(TH!M4221,2)="15"),'152-CT'!$J$8=TH!F4221),"x","")</f>
        <v/>
      </c>
      <c r="W4221" s="525" t="str">
        <f>IF(AND(OR(LEFT(TH!L4221,2)="15",LEFT(TH!M4221,2)="15"),TK!$E$7=TH!F4221),"x","")</f>
        <v/>
      </c>
      <c r="X4221" s="525" t="str">
        <f>IF(AND('341-CT'!$E$9=H4221,OR(LEFT(L4221,3)=$X$7,LEFT(M4221,3)=$X$7)),"x","")</f>
        <v/>
      </c>
      <c r="Y4221" s="525" t="str">
        <f>IF(OR(TH!L4221=TH!$Y$7,M4221=TH!$Y$7),"x","")</f>
        <v/>
      </c>
      <c r="Z4221" s="525" t="str">
        <f>IF(AND(B4221&lt;=NKC!$N$8,B4221&gt;=NKC!$M$8),"x","")</f>
        <v/>
      </c>
      <c r="AA4221" s="535">
        <v>3</v>
      </c>
      <c r="AB4221" s="536"/>
      <c r="AC4221" s="536" t="str">
        <f>VLOOKUP(F4221,NXT!$B$12:$B$686,1,0)</f>
        <v>Thùng 44.5x44.5x49</v>
      </c>
    </row>
    <row r="4222" spans="1:29" s="503" customFormat="1" ht="15.75" customHeight="1">
      <c r="A4222" s="517" t="str">
        <f>IF(B4222&lt;&gt;"",IF(AND(B4222&gt;=_TM1,B4222&lt;=_TM2,OR(TH!L4222="1111",TH!M4222="1111")),TH!D4222,""),"")</f>
        <v/>
      </c>
      <c r="B4222" s="531">
        <f t="shared" si="535"/>
        <v>9</v>
      </c>
      <c r="C4222" s="315">
        <f t="shared" si="536"/>
        <v>43006</v>
      </c>
      <c r="D4222" s="315" t="s">
        <v>1180</v>
      </c>
      <c r="E4222" s="315">
        <v>43006</v>
      </c>
      <c r="F4222" s="250" t="s">
        <v>1476</v>
      </c>
      <c r="G4222" s="314" t="s">
        <v>1630</v>
      </c>
      <c r="H4222" s="248" t="s">
        <v>1612</v>
      </c>
      <c r="I4222" s="307">
        <v>11</v>
      </c>
      <c r="J4222" s="307">
        <v>26203</v>
      </c>
      <c r="K4222" s="532">
        <f t="shared" si="537"/>
        <v>288233</v>
      </c>
      <c r="L4222" s="534" t="s">
        <v>292</v>
      </c>
      <c r="M4222" s="534" t="s">
        <v>8</v>
      </c>
      <c r="N4222" s="525" t="str">
        <f>IF(AND('331-CT'!$E$7=TH!H4222,OR(L4222="331",M4222="331")),"331",IF(AND(OR(L4222="131",M4222="131"),H4222='131-CT'!$E$7),"131",""))</f>
        <v/>
      </c>
      <c r="O4222" s="525" t="str">
        <f>IF(AND($B4222&gt;='111'!$N$11,$B4222&lt;='111'!$O$11,OR($L4222=$O$7,$M4222=$O$7)),"x","")</f>
        <v/>
      </c>
      <c r="P4222" s="525" t="str">
        <f>IF(AND($L4222=$O$7,$B4222&lt;'111'!$N$11),"x","")</f>
        <v/>
      </c>
      <c r="Q4222" s="525" t="str">
        <f>IF(AND($M4222=$O$7,$B4222&lt;'111'!$N$11),"x","")</f>
        <v/>
      </c>
      <c r="R4222" s="525" t="str">
        <f>IF(ISERROR(FIND('112'!$M$9,G4222,1)),"",IF((AND(FIND('112'!$M$9,G4222,1)&gt;=1,$B4222&gt;='112'!$N$8,$B4222&lt;='112'!$O$8,OR($L4222='112'!$I$6,$M4222='112'!$I$6))),"x",""))</f>
        <v/>
      </c>
      <c r="S4222" s="525" t="str">
        <f>IF(ISERROR(FIND('112'!$M$9,G4222,1)),"",IF((AND(LEFT(G4222,2)=LEFT('112'!$M$9,2),B4222&lt;'112'!$N$8,$L4222='112'!$I$6)),"x",""))</f>
        <v/>
      </c>
      <c r="T4222" s="525" t="str">
        <f>IF(ISERROR(FIND('112'!$M$9,G4222,1)),"",IF((AND(RIGHT(G4222,2)=RIGHT('112'!$M$9,2),B4222&lt;'112'!$N$8,$M4222='112'!$I$6)),"x",""))</f>
        <v/>
      </c>
      <c r="U4222" s="525" t="str">
        <f>IF(AND(B4222&gt;='IN-NX'!$P$3,B4222&lt;='IN-NX'!$Q$3,'IN-NX'!$D$7=D4222,OR(LEFT(L4222,2)="15",AND(LEFT(M4222,2)&lt;&gt;"15",LEFT(M4222,2)&lt;&gt;"33"))),"x","")</f>
        <v/>
      </c>
      <c r="V4222" s="525" t="str">
        <f>IF(AND(OR(LEFT(TH!L4222,2)="15",LEFT(TH!M4222,2)="15"),'152-CT'!$J$8=TH!F4222),"x","")</f>
        <v/>
      </c>
      <c r="W4222" s="525" t="str">
        <f>IF(AND(OR(LEFT(TH!L4222,2)="15",LEFT(TH!M4222,2)="15"),TK!$E$7=TH!F4222),"x","")</f>
        <v/>
      </c>
      <c r="X4222" s="525" t="str">
        <f>IF(AND('341-CT'!$E$9=H4222,OR(LEFT(L4222,3)=$X$7,LEFT(M4222,3)=$X$7)),"x","")</f>
        <v/>
      </c>
      <c r="Y4222" s="525" t="str">
        <f>IF(OR(TH!L4222=TH!$Y$7,M4222=TH!$Y$7),"x","")</f>
        <v/>
      </c>
      <c r="Z4222" s="525" t="str">
        <f>IF(AND(B4222&lt;=NKC!$N$8,B4222&gt;=NKC!$M$8),"x","")</f>
        <v/>
      </c>
      <c r="AA4222" s="535">
        <v>3</v>
      </c>
      <c r="AB4222" s="536"/>
      <c r="AC4222" s="536" t="str">
        <f>VLOOKUP(F4222,NXT!$B$12:$B$686,1,0)</f>
        <v>Thùng 51.5x51.5x40</v>
      </c>
    </row>
    <row r="4223" spans="1:29" s="503" customFormat="1" ht="15.75" customHeight="1">
      <c r="A4223" s="517" t="str">
        <f>IF(B4223&lt;&gt;"",IF(AND(B4223&gt;=_TM1,B4223&lt;=_TM2,OR(TH!L4223="1111",TH!M4223="1111")),TH!D4223,""),"")</f>
        <v/>
      </c>
      <c r="B4223" s="531">
        <f t="shared" si="535"/>
        <v>9</v>
      </c>
      <c r="C4223" s="315">
        <f t="shared" si="536"/>
        <v>43006</v>
      </c>
      <c r="D4223" s="315" t="s">
        <v>1180</v>
      </c>
      <c r="E4223" s="315">
        <v>43006</v>
      </c>
      <c r="F4223" s="250" t="s">
        <v>1477</v>
      </c>
      <c r="G4223" s="314" t="s">
        <v>1630</v>
      </c>
      <c r="H4223" s="248" t="s">
        <v>1612</v>
      </c>
      <c r="I4223" s="307">
        <v>11</v>
      </c>
      <c r="J4223" s="307">
        <v>62406</v>
      </c>
      <c r="K4223" s="532">
        <f t="shared" si="537"/>
        <v>686466</v>
      </c>
      <c r="L4223" s="534" t="s">
        <v>292</v>
      </c>
      <c r="M4223" s="534" t="s">
        <v>8</v>
      </c>
      <c r="N4223" s="525" t="str">
        <f>IF(AND('331-CT'!$E$7=TH!H4223,OR(L4223="331",M4223="331")),"331",IF(AND(OR(L4223="131",M4223="131"),H4223='131-CT'!$E$7),"131",""))</f>
        <v/>
      </c>
      <c r="O4223" s="525" t="str">
        <f>IF(AND($B4223&gt;='111'!$N$11,$B4223&lt;='111'!$O$11,OR($L4223=$O$7,$M4223=$O$7)),"x","")</f>
        <v/>
      </c>
      <c r="P4223" s="525" t="str">
        <f>IF(AND($L4223=$O$7,$B4223&lt;'111'!$N$11),"x","")</f>
        <v/>
      </c>
      <c r="Q4223" s="525" t="str">
        <f>IF(AND($M4223=$O$7,$B4223&lt;'111'!$N$11),"x","")</f>
        <v/>
      </c>
      <c r="R4223" s="525" t="str">
        <f>IF(ISERROR(FIND('112'!$M$9,G4223,1)),"",IF((AND(FIND('112'!$M$9,G4223,1)&gt;=1,$B4223&gt;='112'!$N$8,$B4223&lt;='112'!$O$8,OR($L4223='112'!$I$6,$M4223='112'!$I$6))),"x",""))</f>
        <v/>
      </c>
      <c r="S4223" s="525" t="str">
        <f>IF(ISERROR(FIND('112'!$M$9,G4223,1)),"",IF((AND(LEFT(G4223,2)=LEFT('112'!$M$9,2),B4223&lt;'112'!$N$8,$L4223='112'!$I$6)),"x",""))</f>
        <v/>
      </c>
      <c r="T4223" s="525" t="str">
        <f>IF(ISERROR(FIND('112'!$M$9,G4223,1)),"",IF((AND(RIGHT(G4223,2)=RIGHT('112'!$M$9,2),B4223&lt;'112'!$N$8,$M4223='112'!$I$6)),"x",""))</f>
        <v/>
      </c>
      <c r="U4223" s="525" t="str">
        <f>IF(AND(B4223&gt;='IN-NX'!$P$3,B4223&lt;='IN-NX'!$Q$3,'IN-NX'!$D$7=D4223,OR(LEFT(L4223,2)="15",AND(LEFT(M4223,2)&lt;&gt;"15",LEFT(M4223,2)&lt;&gt;"33"))),"x","")</f>
        <v/>
      </c>
      <c r="V4223" s="525" t="str">
        <f>IF(AND(OR(LEFT(TH!L4223,2)="15",LEFT(TH!M4223,2)="15"),'152-CT'!$J$8=TH!F4223),"x","")</f>
        <v/>
      </c>
      <c r="W4223" s="525" t="str">
        <f>IF(AND(OR(LEFT(TH!L4223,2)="15",LEFT(TH!M4223,2)="15"),TK!$E$7=TH!F4223),"x","")</f>
        <v/>
      </c>
      <c r="X4223" s="525" t="str">
        <f>IF(AND('341-CT'!$E$9=H4223,OR(LEFT(L4223,3)=$X$7,LEFT(M4223,3)=$X$7)),"x","")</f>
        <v/>
      </c>
      <c r="Y4223" s="525" t="str">
        <f>IF(OR(TH!L4223=TH!$Y$7,M4223=TH!$Y$7),"x","")</f>
        <v/>
      </c>
      <c r="Z4223" s="525" t="str">
        <f>IF(AND(B4223&lt;=NKC!$N$8,B4223&gt;=NKC!$M$8),"x","")</f>
        <v/>
      </c>
      <c r="AA4223" s="535">
        <v>3</v>
      </c>
      <c r="AB4223" s="536"/>
      <c r="AC4223" s="536" t="str">
        <f>VLOOKUP(F4223,NXT!$B$12:$B$686,1,0)</f>
        <v>Thùng 89.5x89.5x40</v>
      </c>
    </row>
    <row r="4224" spans="1:29" s="503" customFormat="1" ht="15.75" customHeight="1">
      <c r="A4224" s="517" t="str">
        <f>IF(B4224&lt;&gt;"",IF(AND(B4224&gt;=_TM1,B4224&lt;=_TM2,OR(TH!L4224="1111",TH!M4224="1111")),TH!D4224,""),"")</f>
        <v/>
      </c>
      <c r="B4224" s="531">
        <f t="shared" si="535"/>
        <v>9</v>
      </c>
      <c r="C4224" s="315">
        <f t="shared" si="536"/>
        <v>43006</v>
      </c>
      <c r="D4224" s="315" t="s">
        <v>1180</v>
      </c>
      <c r="E4224" s="315">
        <v>43006</v>
      </c>
      <c r="F4224" s="250" t="s">
        <v>619</v>
      </c>
      <c r="G4224" s="314" t="s">
        <v>1630</v>
      </c>
      <c r="H4224" s="248" t="s">
        <v>1612</v>
      </c>
      <c r="I4224" s="307">
        <v>15</v>
      </c>
      <c r="J4224" s="307">
        <v>32632</v>
      </c>
      <c r="K4224" s="532">
        <f t="shared" si="537"/>
        <v>489480</v>
      </c>
      <c r="L4224" s="534" t="s">
        <v>292</v>
      </c>
      <c r="M4224" s="534" t="s">
        <v>8</v>
      </c>
      <c r="N4224" s="525" t="str">
        <f>IF(AND('331-CT'!$E$7=TH!H4224,OR(L4224="331",M4224="331")),"331",IF(AND(OR(L4224="131",M4224="131"),H4224='131-CT'!$E$7),"131",""))</f>
        <v/>
      </c>
      <c r="O4224" s="525" t="str">
        <f>IF(AND($B4224&gt;='111'!$N$11,$B4224&lt;='111'!$O$11,OR($L4224=$O$7,$M4224=$O$7)),"x","")</f>
        <v/>
      </c>
      <c r="P4224" s="525" t="str">
        <f>IF(AND($L4224=$O$7,$B4224&lt;'111'!$N$11),"x","")</f>
        <v/>
      </c>
      <c r="Q4224" s="525" t="str">
        <f>IF(AND($M4224=$O$7,$B4224&lt;'111'!$N$11),"x","")</f>
        <v/>
      </c>
      <c r="R4224" s="525" t="str">
        <f>IF(ISERROR(FIND('112'!$M$9,G4224,1)),"",IF((AND(FIND('112'!$M$9,G4224,1)&gt;=1,$B4224&gt;='112'!$N$8,$B4224&lt;='112'!$O$8,OR($L4224='112'!$I$6,$M4224='112'!$I$6))),"x",""))</f>
        <v/>
      </c>
      <c r="S4224" s="525" t="str">
        <f>IF(ISERROR(FIND('112'!$M$9,G4224,1)),"",IF((AND(LEFT(G4224,2)=LEFT('112'!$M$9,2),B4224&lt;'112'!$N$8,$L4224='112'!$I$6)),"x",""))</f>
        <v/>
      </c>
      <c r="T4224" s="525" t="str">
        <f>IF(ISERROR(FIND('112'!$M$9,G4224,1)),"",IF((AND(RIGHT(G4224,2)=RIGHT('112'!$M$9,2),B4224&lt;'112'!$N$8,$M4224='112'!$I$6)),"x",""))</f>
        <v/>
      </c>
      <c r="U4224" s="525" t="str">
        <f>IF(AND(B4224&gt;='IN-NX'!$P$3,B4224&lt;='IN-NX'!$Q$3,'IN-NX'!$D$7=D4224,OR(LEFT(L4224,2)="15",AND(LEFT(M4224,2)&lt;&gt;"15",LEFT(M4224,2)&lt;&gt;"33"))),"x","")</f>
        <v/>
      </c>
      <c r="V4224" s="525" t="str">
        <f>IF(AND(OR(LEFT(TH!L4224,2)="15",LEFT(TH!M4224,2)="15"),'152-CT'!$J$8=TH!F4224),"x","")</f>
        <v/>
      </c>
      <c r="W4224" s="525" t="str">
        <f>IF(AND(OR(LEFT(TH!L4224,2)="15",LEFT(TH!M4224,2)="15"),TK!$E$7=TH!F4224),"x","")</f>
        <v/>
      </c>
      <c r="X4224" s="525" t="str">
        <f>IF(AND('341-CT'!$E$9=H4224,OR(LEFT(L4224,3)=$X$7,LEFT(M4224,3)=$X$7)),"x","")</f>
        <v/>
      </c>
      <c r="Y4224" s="525" t="str">
        <f>IF(OR(TH!L4224=TH!$Y$7,M4224=TH!$Y$7),"x","")</f>
        <v/>
      </c>
      <c r="Z4224" s="525" t="str">
        <f>IF(AND(B4224&lt;=NKC!$N$8,B4224&gt;=NKC!$M$8),"x","")</f>
        <v/>
      </c>
      <c r="AA4224" s="535">
        <v>3</v>
      </c>
      <c r="AB4224" s="536"/>
      <c r="AC4224" s="536" t="str">
        <f>VLOOKUP(F4224,NXT!$B$12:$B$686,1,0)</f>
        <v>Thùng 40x40x52</v>
      </c>
    </row>
    <row r="4225" spans="1:29" s="503" customFormat="1" ht="15.75" customHeight="1">
      <c r="A4225" s="517" t="str">
        <f>IF(B4225&lt;&gt;"",IF(AND(B4225&gt;=_TM1,B4225&lt;=_TM2,OR(TH!L4225="1111",TH!M4225="1111")),TH!D4225,""),"")</f>
        <v/>
      </c>
      <c r="B4225" s="531">
        <f t="shared" si="535"/>
        <v>9</v>
      </c>
      <c r="C4225" s="315">
        <f t="shared" si="536"/>
        <v>43006</v>
      </c>
      <c r="D4225" s="315" t="s">
        <v>1180</v>
      </c>
      <c r="E4225" s="315">
        <v>43006</v>
      </c>
      <c r="F4225" s="250" t="s">
        <v>750</v>
      </c>
      <c r="G4225" s="314" t="s">
        <v>1630</v>
      </c>
      <c r="H4225" s="248" t="s">
        <v>1612</v>
      </c>
      <c r="I4225" s="307">
        <v>14</v>
      </c>
      <c r="J4225" s="307">
        <v>75069</v>
      </c>
      <c r="K4225" s="532">
        <f t="shared" si="537"/>
        <v>1050966</v>
      </c>
      <c r="L4225" s="534" t="s">
        <v>292</v>
      </c>
      <c r="M4225" s="534" t="s">
        <v>8</v>
      </c>
      <c r="N4225" s="525" t="str">
        <f>IF(AND('331-CT'!$E$7=TH!H4225,OR(L4225="331",M4225="331")),"331",IF(AND(OR(L4225="131",M4225="131"),H4225='131-CT'!$E$7),"131",""))</f>
        <v/>
      </c>
      <c r="O4225" s="525" t="str">
        <f>IF(AND($B4225&gt;='111'!$N$11,$B4225&lt;='111'!$O$11,OR($L4225=$O$7,$M4225=$O$7)),"x","")</f>
        <v/>
      </c>
      <c r="P4225" s="525" t="str">
        <f>IF(AND($L4225=$O$7,$B4225&lt;'111'!$N$11),"x","")</f>
        <v/>
      </c>
      <c r="Q4225" s="525" t="str">
        <f>IF(AND($M4225=$O$7,$B4225&lt;'111'!$N$11),"x","")</f>
        <v/>
      </c>
      <c r="R4225" s="525" t="str">
        <f>IF(ISERROR(FIND('112'!$M$9,G4225,1)),"",IF((AND(FIND('112'!$M$9,G4225,1)&gt;=1,$B4225&gt;='112'!$N$8,$B4225&lt;='112'!$O$8,OR($L4225='112'!$I$6,$M4225='112'!$I$6))),"x",""))</f>
        <v/>
      </c>
      <c r="S4225" s="525" t="str">
        <f>IF(ISERROR(FIND('112'!$M$9,G4225,1)),"",IF((AND(LEFT(G4225,2)=LEFT('112'!$M$9,2),B4225&lt;'112'!$N$8,$L4225='112'!$I$6)),"x",""))</f>
        <v/>
      </c>
      <c r="T4225" s="525" t="str">
        <f>IF(ISERROR(FIND('112'!$M$9,G4225,1)),"",IF((AND(RIGHT(G4225,2)=RIGHT('112'!$M$9,2),B4225&lt;'112'!$N$8,$M4225='112'!$I$6)),"x",""))</f>
        <v/>
      </c>
      <c r="U4225" s="525" t="str">
        <f>IF(AND(B4225&gt;='IN-NX'!$P$3,B4225&lt;='IN-NX'!$Q$3,'IN-NX'!$D$7=D4225,OR(LEFT(L4225,2)="15",AND(LEFT(M4225,2)&lt;&gt;"15",LEFT(M4225,2)&lt;&gt;"33"))),"x","")</f>
        <v/>
      </c>
      <c r="V4225" s="525" t="str">
        <f>IF(AND(OR(LEFT(TH!L4225,2)="15",LEFT(TH!M4225,2)="15"),'152-CT'!$J$8=TH!F4225),"x","")</f>
        <v/>
      </c>
      <c r="W4225" s="525" t="str">
        <f>IF(AND(OR(LEFT(TH!L4225,2)="15",LEFT(TH!M4225,2)="15"),TK!$E$7=TH!F4225),"x","")</f>
        <v/>
      </c>
      <c r="X4225" s="525" t="str">
        <f>IF(AND('341-CT'!$E$9=H4225,OR(LEFT(L4225,3)=$X$7,LEFT(M4225,3)=$X$7)),"x","")</f>
        <v/>
      </c>
      <c r="Y4225" s="525" t="str">
        <f>IF(OR(TH!L4225=TH!$Y$7,M4225=TH!$Y$7),"x","")</f>
        <v/>
      </c>
      <c r="Z4225" s="525" t="str">
        <f>IF(AND(B4225&lt;=NKC!$N$8,B4225&gt;=NKC!$M$8),"x","")</f>
        <v/>
      </c>
      <c r="AA4225" s="535">
        <v>3</v>
      </c>
      <c r="AB4225" s="536"/>
      <c r="AC4225" s="536" t="str">
        <f>VLOOKUP(F4225,NXT!$B$12:$B$686,1,0)</f>
        <v>Thùng 145x45x45</v>
      </c>
    </row>
    <row r="4226" spans="1:29" s="503" customFormat="1" ht="15.75" customHeight="1">
      <c r="A4226" s="517" t="str">
        <f>IF(B4226&lt;&gt;"",IF(AND(B4226&gt;=_TM1,B4226&lt;=_TM2,OR(TH!L4226="1111",TH!M4226="1111")),TH!D4226,""),"")</f>
        <v/>
      </c>
      <c r="B4226" s="531">
        <f t="shared" si="535"/>
        <v>9</v>
      </c>
      <c r="C4226" s="315">
        <f t="shared" si="536"/>
        <v>43006</v>
      </c>
      <c r="D4226" s="315" t="s">
        <v>1180</v>
      </c>
      <c r="E4226" s="315">
        <v>43006</v>
      </c>
      <c r="F4226" s="250" t="s">
        <v>1481</v>
      </c>
      <c r="G4226" s="314" t="s">
        <v>1630</v>
      </c>
      <c r="H4226" s="248" t="s">
        <v>1612</v>
      </c>
      <c r="I4226" s="307">
        <v>3</v>
      </c>
      <c r="J4226" s="307">
        <v>151722</v>
      </c>
      <c r="K4226" s="532">
        <f t="shared" si="537"/>
        <v>455166</v>
      </c>
      <c r="L4226" s="534" t="s">
        <v>292</v>
      </c>
      <c r="M4226" s="534" t="s">
        <v>8</v>
      </c>
      <c r="N4226" s="525" t="str">
        <f>IF(AND('331-CT'!$E$7=TH!H4226,OR(L4226="331",M4226="331")),"331",IF(AND(OR(L4226="131",M4226="131"),H4226='131-CT'!$E$7),"131",""))</f>
        <v/>
      </c>
      <c r="O4226" s="525" t="str">
        <f>IF(AND($B4226&gt;='111'!$N$11,$B4226&lt;='111'!$O$11,OR($L4226=$O$7,$M4226=$O$7)),"x","")</f>
        <v/>
      </c>
      <c r="P4226" s="525" t="str">
        <f>IF(AND($L4226=$O$7,$B4226&lt;'111'!$N$11),"x","")</f>
        <v/>
      </c>
      <c r="Q4226" s="525" t="str">
        <f>IF(AND($M4226=$O$7,$B4226&lt;'111'!$N$11),"x","")</f>
        <v/>
      </c>
      <c r="R4226" s="525" t="str">
        <f>IF(ISERROR(FIND('112'!$M$9,G4226,1)),"",IF((AND(FIND('112'!$M$9,G4226,1)&gt;=1,$B4226&gt;='112'!$N$8,$B4226&lt;='112'!$O$8,OR($L4226='112'!$I$6,$M4226='112'!$I$6))),"x",""))</f>
        <v/>
      </c>
      <c r="S4226" s="525" t="str">
        <f>IF(ISERROR(FIND('112'!$M$9,G4226,1)),"",IF((AND(LEFT(G4226,2)=LEFT('112'!$M$9,2),B4226&lt;'112'!$N$8,$L4226='112'!$I$6)),"x",""))</f>
        <v/>
      </c>
      <c r="T4226" s="525" t="str">
        <f>IF(ISERROR(FIND('112'!$M$9,G4226,1)),"",IF((AND(RIGHT(G4226,2)=RIGHT('112'!$M$9,2),B4226&lt;'112'!$N$8,$M4226='112'!$I$6)),"x",""))</f>
        <v/>
      </c>
      <c r="U4226" s="525" t="str">
        <f>IF(AND(B4226&gt;='IN-NX'!$P$3,B4226&lt;='IN-NX'!$Q$3,'IN-NX'!$D$7=D4226,OR(LEFT(L4226,2)="15",AND(LEFT(M4226,2)&lt;&gt;"15",LEFT(M4226,2)&lt;&gt;"33"))),"x","")</f>
        <v/>
      </c>
      <c r="V4226" s="525" t="str">
        <f>IF(AND(OR(LEFT(TH!L4226,2)="15",LEFT(TH!M4226,2)="15"),'152-CT'!$J$8=TH!F4226),"x","")</f>
        <v/>
      </c>
      <c r="W4226" s="525" t="str">
        <f>IF(AND(OR(LEFT(TH!L4226,2)="15",LEFT(TH!M4226,2)="15"),TK!$E$7=TH!F4226),"x","")</f>
        <v/>
      </c>
      <c r="X4226" s="525" t="str">
        <f>IF(AND('341-CT'!$E$9=H4226,OR(LEFT(L4226,3)=$X$7,LEFT(M4226,3)=$X$7)),"x","")</f>
        <v/>
      </c>
      <c r="Y4226" s="525" t="str">
        <f>IF(OR(TH!L4226=TH!$Y$7,M4226=TH!$Y$7),"x","")</f>
        <v/>
      </c>
      <c r="Z4226" s="525" t="str">
        <f>IF(AND(B4226&lt;=NKC!$N$8,B4226&gt;=NKC!$M$8),"x","")</f>
        <v/>
      </c>
      <c r="AA4226" s="535">
        <v>3</v>
      </c>
      <c r="AB4226" s="536"/>
      <c r="AC4226" s="536" t="str">
        <f>VLOOKUP(F4226,NXT!$B$12:$B$686,1,0)</f>
        <v>Thùng 115x115x31</v>
      </c>
    </row>
    <row r="4227" spans="1:29" s="503" customFormat="1" ht="15.75" customHeight="1">
      <c r="A4227" s="517" t="str">
        <f>IF(B4227&lt;&gt;"",IF(AND(B4227&gt;=_TM1,B4227&lt;=_TM2,OR(TH!L4227="1111",TH!M4227="1111")),TH!D4227,""),"")</f>
        <v/>
      </c>
      <c r="B4227" s="531">
        <f t="shared" si="529"/>
        <v>9</v>
      </c>
      <c r="C4227" s="315">
        <f t="shared" si="530"/>
        <v>43006</v>
      </c>
      <c r="D4227" s="315" t="s">
        <v>1180</v>
      </c>
      <c r="E4227" s="315">
        <v>43006</v>
      </c>
      <c r="F4227" s="250" t="s">
        <v>643</v>
      </c>
      <c r="G4227" s="314" t="s">
        <v>1630</v>
      </c>
      <c r="H4227" s="248" t="s">
        <v>1612</v>
      </c>
      <c r="I4227" s="307">
        <v>13</v>
      </c>
      <c r="J4227" s="307">
        <v>90427</v>
      </c>
      <c r="K4227" s="532">
        <f t="shared" ref="K4227:K4234" si="538">ROUND(I4227*J4227,0)</f>
        <v>1175551</v>
      </c>
      <c r="L4227" s="534" t="s">
        <v>292</v>
      </c>
      <c r="M4227" s="534" t="s">
        <v>8</v>
      </c>
      <c r="N4227" s="525" t="str">
        <f>IF(AND('331-CT'!$E$7=TH!H4227,OR(L4227="331",M4227="331")),"331",IF(AND(OR(L4227="131",M4227="131"),H4227='131-CT'!$E$7),"131",""))</f>
        <v/>
      </c>
      <c r="O4227" s="525" t="str">
        <f>IF(AND($B4227&gt;='111'!$N$11,$B4227&lt;='111'!$O$11,OR($L4227=$O$7,$M4227=$O$7)),"x","")</f>
        <v/>
      </c>
      <c r="P4227" s="525" t="str">
        <f>IF(AND($L4227=$O$7,$B4227&lt;'111'!$N$11),"x","")</f>
        <v/>
      </c>
      <c r="Q4227" s="525" t="str">
        <f>IF(AND($M4227=$O$7,$B4227&lt;'111'!$N$11),"x","")</f>
        <v/>
      </c>
      <c r="R4227" s="525" t="str">
        <f>IF(ISERROR(FIND('112'!$M$9,G4227,1)),"",IF((AND(FIND('112'!$M$9,G4227,1)&gt;=1,$B4227&gt;='112'!$N$8,$B4227&lt;='112'!$O$8,OR($L4227='112'!$I$6,$M4227='112'!$I$6))),"x",""))</f>
        <v/>
      </c>
      <c r="S4227" s="525" t="str">
        <f>IF(ISERROR(FIND('112'!$M$9,G4227,1)),"",IF((AND(LEFT(G4227,2)=LEFT('112'!$M$9,2),B4227&lt;'112'!$N$8,$L4227='112'!$I$6)),"x",""))</f>
        <v/>
      </c>
      <c r="T4227" s="525" t="str">
        <f>IF(ISERROR(FIND('112'!$M$9,G4227,1)),"",IF((AND(RIGHT(G4227,2)=RIGHT('112'!$M$9,2),B4227&lt;'112'!$N$8,$M4227='112'!$I$6)),"x",""))</f>
        <v/>
      </c>
      <c r="U4227" s="525" t="str">
        <f>IF(AND(B4227&gt;='IN-NX'!$P$3,B4227&lt;='IN-NX'!$Q$3,'IN-NX'!$D$7=D4227,OR(LEFT(L4227,2)="15",AND(LEFT(M4227,2)&lt;&gt;"15",LEFT(M4227,2)&lt;&gt;"33"))),"x","")</f>
        <v/>
      </c>
      <c r="V4227" s="525" t="str">
        <f>IF(AND(OR(LEFT(TH!L4227,2)="15",LEFT(TH!M4227,2)="15"),'152-CT'!$J$8=TH!F4227),"x","")</f>
        <v/>
      </c>
      <c r="W4227" s="525" t="str">
        <f>IF(AND(OR(LEFT(TH!L4227,2)="15",LEFT(TH!M4227,2)="15"),TK!$E$7=TH!F4227),"x","")</f>
        <v/>
      </c>
      <c r="X4227" s="525" t="str">
        <f>IF(AND('341-CT'!$E$9=H4227,OR(LEFT(L4227,3)=$X$7,LEFT(M4227,3)=$X$7)),"x","")</f>
        <v/>
      </c>
      <c r="Y4227" s="525" t="str">
        <f>IF(OR(TH!L4227=TH!$Y$7,M4227=TH!$Y$7),"x","")</f>
        <v/>
      </c>
      <c r="Z4227" s="525" t="str">
        <f>IF(AND(B4227&lt;=NKC!$N$8,B4227&gt;=NKC!$M$8),"x","")</f>
        <v/>
      </c>
      <c r="AA4227" s="535">
        <v>3</v>
      </c>
      <c r="AB4227" s="536"/>
      <c r="AC4227" s="536" t="str">
        <f>VLOOKUP(F4227,NXT!$B$12:$B$686,1,0)</f>
        <v>Thùng 185x40x52</v>
      </c>
    </row>
    <row r="4228" spans="1:29" s="503" customFormat="1" ht="15.75" customHeight="1">
      <c r="A4228" s="517" t="str">
        <f>IF(B4228&lt;&gt;"",IF(AND(B4228&gt;=_TM1,B4228&lt;=_TM2,OR(TH!L4228="1111",TH!M4228="1111")),TH!D4228,""),"")</f>
        <v/>
      </c>
      <c r="B4228" s="531">
        <f t="shared" si="529"/>
        <v>9</v>
      </c>
      <c r="C4228" s="315">
        <f t="shared" si="530"/>
        <v>43006</v>
      </c>
      <c r="D4228" s="315" t="s">
        <v>1180</v>
      </c>
      <c r="E4228" s="315">
        <v>43006</v>
      </c>
      <c r="F4228" s="250" t="s">
        <v>1479</v>
      </c>
      <c r="G4228" s="314" t="s">
        <v>1630</v>
      </c>
      <c r="H4228" s="248" t="s">
        <v>1612</v>
      </c>
      <c r="I4228" s="307">
        <v>4</v>
      </c>
      <c r="J4228" s="307">
        <v>14426</v>
      </c>
      <c r="K4228" s="532">
        <f t="shared" si="538"/>
        <v>57704</v>
      </c>
      <c r="L4228" s="534" t="s">
        <v>292</v>
      </c>
      <c r="M4228" s="534" t="s">
        <v>8</v>
      </c>
      <c r="N4228" s="525" t="str">
        <f>IF(AND('331-CT'!$E$7=TH!H4228,OR(L4228="331",M4228="331")),"331",IF(AND(OR(L4228="131",M4228="131"),H4228='131-CT'!$E$7),"131",""))</f>
        <v/>
      </c>
      <c r="O4228" s="525" t="str">
        <f>IF(AND($B4228&gt;='111'!$N$11,$B4228&lt;='111'!$O$11,OR($L4228=$O$7,$M4228=$O$7)),"x","")</f>
        <v/>
      </c>
      <c r="P4228" s="525" t="str">
        <f>IF(AND($L4228=$O$7,$B4228&lt;'111'!$N$11),"x","")</f>
        <v/>
      </c>
      <c r="Q4228" s="525" t="str">
        <f>IF(AND($M4228=$O$7,$B4228&lt;'111'!$N$11),"x","")</f>
        <v/>
      </c>
      <c r="R4228" s="525" t="str">
        <f>IF(ISERROR(FIND('112'!$M$9,G4228,1)),"",IF((AND(FIND('112'!$M$9,G4228,1)&gt;=1,$B4228&gt;='112'!$N$8,$B4228&lt;='112'!$O$8,OR($L4228='112'!$I$6,$M4228='112'!$I$6))),"x",""))</f>
        <v/>
      </c>
      <c r="S4228" s="525" t="str">
        <f>IF(ISERROR(FIND('112'!$M$9,G4228,1)),"",IF((AND(LEFT(G4228,2)=LEFT('112'!$M$9,2),B4228&lt;'112'!$N$8,$L4228='112'!$I$6)),"x",""))</f>
        <v/>
      </c>
      <c r="T4228" s="525" t="str">
        <f>IF(ISERROR(FIND('112'!$M$9,G4228,1)),"",IF((AND(RIGHT(G4228,2)=RIGHT('112'!$M$9,2),B4228&lt;'112'!$N$8,$M4228='112'!$I$6)),"x",""))</f>
        <v/>
      </c>
      <c r="U4228" s="525" t="str">
        <f>IF(AND(B4228&gt;='IN-NX'!$P$3,B4228&lt;='IN-NX'!$Q$3,'IN-NX'!$D$7=D4228,OR(LEFT(L4228,2)="15",AND(LEFT(M4228,2)&lt;&gt;"15",LEFT(M4228,2)&lt;&gt;"33"))),"x","")</f>
        <v/>
      </c>
      <c r="V4228" s="525" t="str">
        <f>IF(AND(OR(LEFT(TH!L4228,2)="15",LEFT(TH!M4228,2)="15"),'152-CT'!$J$8=TH!F4228),"x","")</f>
        <v/>
      </c>
      <c r="W4228" s="525" t="str">
        <f>IF(AND(OR(LEFT(TH!L4228,2)="15",LEFT(TH!M4228,2)="15"),TK!$E$7=TH!F4228),"x","")</f>
        <v/>
      </c>
      <c r="X4228" s="525" t="str">
        <f>IF(AND('341-CT'!$E$9=H4228,OR(LEFT(L4228,3)=$X$7,LEFT(M4228,3)=$X$7)),"x","")</f>
        <v/>
      </c>
      <c r="Y4228" s="525" t="str">
        <f>IF(OR(TH!L4228=TH!$Y$7,M4228=TH!$Y$7),"x","")</f>
        <v/>
      </c>
      <c r="Z4228" s="525" t="str">
        <f>IF(AND(B4228&lt;=NKC!$N$8,B4228&gt;=NKC!$M$8),"x","")</f>
        <v/>
      </c>
      <c r="AA4228" s="535">
        <v>3</v>
      </c>
      <c r="AB4228" s="536"/>
      <c r="AC4228" s="536" t="str">
        <f>VLOOKUP(F4228,NXT!$B$12:$B$686,1,0)</f>
        <v>Thùng 32.5x32.5x47</v>
      </c>
    </row>
    <row r="4229" spans="1:29" s="503" customFormat="1" ht="15.75" customHeight="1">
      <c r="A4229" s="517" t="str">
        <f>IF(B4229&lt;&gt;"",IF(AND(B4229&gt;=_TM1,B4229&lt;=_TM2,OR(TH!L4229="1111",TH!M4229="1111")),TH!D4229,""),"")</f>
        <v/>
      </c>
      <c r="B4229" s="531">
        <f t="shared" si="529"/>
        <v>9</v>
      </c>
      <c r="C4229" s="315">
        <f t="shared" si="530"/>
        <v>43006</v>
      </c>
      <c r="D4229" s="315" t="s">
        <v>1180</v>
      </c>
      <c r="E4229" s="315">
        <v>43006</v>
      </c>
      <c r="F4229" s="250" t="s">
        <v>1670</v>
      </c>
      <c r="G4229" s="314" t="s">
        <v>1630</v>
      </c>
      <c r="H4229" s="248" t="s">
        <v>1612</v>
      </c>
      <c r="I4229" s="307">
        <v>12</v>
      </c>
      <c r="J4229" s="307">
        <v>90982</v>
      </c>
      <c r="K4229" s="532">
        <f t="shared" si="538"/>
        <v>1091784</v>
      </c>
      <c r="L4229" s="534" t="s">
        <v>292</v>
      </c>
      <c r="M4229" s="534" t="s">
        <v>8</v>
      </c>
      <c r="N4229" s="525" t="str">
        <f>IF(AND('331-CT'!$E$7=TH!H4229,OR(L4229="331",M4229="331")),"331",IF(AND(OR(L4229="131",M4229="131"),H4229='131-CT'!$E$7),"131",""))</f>
        <v/>
      </c>
      <c r="O4229" s="525" t="str">
        <f>IF(AND($B4229&gt;='111'!$N$11,$B4229&lt;='111'!$O$11,OR($L4229=$O$7,$M4229=$O$7)),"x","")</f>
        <v/>
      </c>
      <c r="P4229" s="525" t="str">
        <f>IF(AND($L4229=$O$7,$B4229&lt;'111'!$N$11),"x","")</f>
        <v/>
      </c>
      <c r="Q4229" s="525" t="str">
        <f>IF(AND($M4229=$O$7,$B4229&lt;'111'!$N$11),"x","")</f>
        <v/>
      </c>
      <c r="R4229" s="525" t="str">
        <f>IF(ISERROR(FIND('112'!$M$9,G4229,1)),"",IF((AND(FIND('112'!$M$9,G4229,1)&gt;=1,$B4229&gt;='112'!$N$8,$B4229&lt;='112'!$O$8,OR($L4229='112'!$I$6,$M4229='112'!$I$6))),"x",""))</f>
        <v/>
      </c>
      <c r="S4229" s="525" t="str">
        <f>IF(ISERROR(FIND('112'!$M$9,G4229,1)),"",IF((AND(LEFT(G4229,2)=LEFT('112'!$M$9,2),B4229&lt;'112'!$N$8,$L4229='112'!$I$6)),"x",""))</f>
        <v/>
      </c>
      <c r="T4229" s="525" t="str">
        <f>IF(ISERROR(FIND('112'!$M$9,G4229,1)),"",IF((AND(RIGHT(G4229,2)=RIGHT('112'!$M$9,2),B4229&lt;'112'!$N$8,$M4229='112'!$I$6)),"x",""))</f>
        <v/>
      </c>
      <c r="U4229" s="525" t="str">
        <f>IF(AND(B4229&gt;='IN-NX'!$P$3,B4229&lt;='IN-NX'!$Q$3,'IN-NX'!$D$7=D4229,OR(LEFT(L4229,2)="15",AND(LEFT(M4229,2)&lt;&gt;"15",LEFT(M4229,2)&lt;&gt;"33"))),"x","")</f>
        <v/>
      </c>
      <c r="V4229" s="525" t="str">
        <f>IF(AND(OR(LEFT(TH!L4229,2)="15",LEFT(TH!M4229,2)="15"),'152-CT'!$J$8=TH!F4229),"x","")</f>
        <v/>
      </c>
      <c r="W4229" s="525" t="str">
        <f>IF(AND(OR(LEFT(TH!L4229,2)="15",LEFT(TH!M4229,2)="15"),TK!$E$7=TH!F4229),"x","")</f>
        <v/>
      </c>
      <c r="X4229" s="525" t="str">
        <f>IF(AND('341-CT'!$E$9=H4229,OR(LEFT(L4229,3)=$X$7,LEFT(M4229,3)=$X$7)),"x","")</f>
        <v/>
      </c>
      <c r="Y4229" s="525" t="str">
        <f>IF(OR(TH!L4229=TH!$Y$7,M4229=TH!$Y$7),"x","")</f>
        <v/>
      </c>
      <c r="Z4229" s="525" t="str">
        <f>IF(AND(B4229&lt;=NKC!$N$8,B4229&gt;=NKC!$M$8),"x","")</f>
        <v/>
      </c>
      <c r="AA4229" s="535">
        <v>3</v>
      </c>
      <c r="AB4229" s="536"/>
      <c r="AC4229" s="536" t="str">
        <f>VLOOKUP(F4229,NXT!$B$12:$B$686,1,0)</f>
        <v>Thùng 62x62x11</v>
      </c>
    </row>
    <row r="4230" spans="1:29" s="503" customFormat="1" ht="15.75" customHeight="1">
      <c r="A4230" s="517" t="str">
        <f>IF(B4230&lt;&gt;"",IF(AND(B4230&gt;=_TM1,B4230&lt;=_TM2,OR(TH!L4230="1111",TH!M4230="1111")),TH!D4230,""),"")</f>
        <v/>
      </c>
      <c r="B4230" s="531">
        <f t="shared" si="529"/>
        <v>9</v>
      </c>
      <c r="C4230" s="315">
        <f t="shared" si="530"/>
        <v>43006</v>
      </c>
      <c r="D4230" s="315" t="s">
        <v>1180</v>
      </c>
      <c r="E4230" s="315">
        <v>43006</v>
      </c>
      <c r="F4230" s="250" t="s">
        <v>1671</v>
      </c>
      <c r="G4230" s="314" t="s">
        <v>1630</v>
      </c>
      <c r="H4230" s="248" t="s">
        <v>1612</v>
      </c>
      <c r="I4230" s="307">
        <v>15</v>
      </c>
      <c r="J4230" s="307">
        <v>37440</v>
      </c>
      <c r="K4230" s="532">
        <f t="shared" si="538"/>
        <v>561600</v>
      </c>
      <c r="L4230" s="534" t="s">
        <v>292</v>
      </c>
      <c r="M4230" s="534" t="s">
        <v>8</v>
      </c>
      <c r="N4230" s="525" t="str">
        <f>IF(AND('331-CT'!$E$7=TH!H4230,OR(L4230="331",M4230="331")),"331",IF(AND(OR(L4230="131",M4230="131"),H4230='131-CT'!$E$7),"131",""))</f>
        <v/>
      </c>
      <c r="O4230" s="525" t="str">
        <f>IF(AND($B4230&gt;='111'!$N$11,$B4230&lt;='111'!$O$11,OR($L4230=$O$7,$M4230=$O$7)),"x","")</f>
        <v/>
      </c>
      <c r="P4230" s="525" t="str">
        <f>IF(AND($L4230=$O$7,$B4230&lt;'111'!$N$11),"x","")</f>
        <v/>
      </c>
      <c r="Q4230" s="525" t="str">
        <f>IF(AND($M4230=$O$7,$B4230&lt;'111'!$N$11),"x","")</f>
        <v/>
      </c>
      <c r="R4230" s="525" t="str">
        <f>IF(ISERROR(FIND('112'!$M$9,G4230,1)),"",IF((AND(FIND('112'!$M$9,G4230,1)&gt;=1,$B4230&gt;='112'!$N$8,$B4230&lt;='112'!$O$8,OR($L4230='112'!$I$6,$M4230='112'!$I$6))),"x",""))</f>
        <v/>
      </c>
      <c r="S4230" s="525" t="str">
        <f>IF(ISERROR(FIND('112'!$M$9,G4230,1)),"",IF((AND(LEFT(G4230,2)=LEFT('112'!$M$9,2),B4230&lt;'112'!$N$8,$L4230='112'!$I$6)),"x",""))</f>
        <v/>
      </c>
      <c r="T4230" s="525" t="str">
        <f>IF(ISERROR(FIND('112'!$M$9,G4230,1)),"",IF((AND(RIGHT(G4230,2)=RIGHT('112'!$M$9,2),B4230&lt;'112'!$N$8,$M4230='112'!$I$6)),"x",""))</f>
        <v/>
      </c>
      <c r="U4230" s="525" t="str">
        <f>IF(AND(B4230&gt;='IN-NX'!$P$3,B4230&lt;='IN-NX'!$Q$3,'IN-NX'!$D$7=D4230,OR(LEFT(L4230,2)="15",AND(LEFT(M4230,2)&lt;&gt;"15",LEFT(M4230,2)&lt;&gt;"33"))),"x","")</f>
        <v/>
      </c>
      <c r="V4230" s="525" t="str">
        <f>IF(AND(OR(LEFT(TH!L4230,2)="15",LEFT(TH!M4230,2)="15"),'152-CT'!$J$8=TH!F4230),"x","")</f>
        <v/>
      </c>
      <c r="W4230" s="525" t="str">
        <f>IF(AND(OR(LEFT(TH!L4230,2)="15",LEFT(TH!M4230,2)="15"),TK!$E$7=TH!F4230),"x","")</f>
        <v/>
      </c>
      <c r="X4230" s="525" t="str">
        <f>IF(AND('341-CT'!$E$9=H4230,OR(LEFT(L4230,3)=$X$7,LEFT(M4230,3)=$X$7)),"x","")</f>
        <v/>
      </c>
      <c r="Y4230" s="525" t="str">
        <f>IF(OR(TH!L4230=TH!$Y$7,M4230=TH!$Y$7),"x","")</f>
        <v/>
      </c>
      <c r="Z4230" s="525" t="str">
        <f>IF(AND(B4230&lt;=NKC!$N$8,B4230&gt;=NKC!$M$8),"x","")</f>
        <v/>
      </c>
      <c r="AA4230" s="535">
        <v>3</v>
      </c>
      <c r="AB4230" s="536"/>
      <c r="AC4230" s="536" t="str">
        <f>VLOOKUP(F4230,NXT!$B$12:$B$686,1,0)</f>
        <v>Thùng 40x40x72</v>
      </c>
    </row>
    <row r="4231" spans="1:29" s="503" customFormat="1" ht="15.75" customHeight="1">
      <c r="A4231" s="517" t="str">
        <f>IF(B4231&lt;&gt;"",IF(AND(B4231&gt;=_TM1,B4231&lt;=_TM2,OR(TH!L4231="1111",TH!M4231="1111")),TH!D4231,""),"")</f>
        <v/>
      </c>
      <c r="B4231" s="531">
        <f t="shared" ref="B4231:B4234" si="539">IF(C4231&lt;&gt;"",MONTH(C4231),"")</f>
        <v>9</v>
      </c>
      <c r="C4231" s="315">
        <f t="shared" ref="C4231:C4234" si="540">E4231</f>
        <v>43006</v>
      </c>
      <c r="D4231" s="315" t="s">
        <v>1180</v>
      </c>
      <c r="E4231" s="315">
        <v>43006</v>
      </c>
      <c r="F4231" s="250" t="s">
        <v>1173</v>
      </c>
      <c r="G4231" s="314" t="s">
        <v>1630</v>
      </c>
      <c r="H4231" s="248" t="s">
        <v>1612</v>
      </c>
      <c r="I4231" s="307">
        <v>20</v>
      </c>
      <c r="J4231" s="307">
        <v>55548</v>
      </c>
      <c r="K4231" s="532">
        <f t="shared" si="538"/>
        <v>1110960</v>
      </c>
      <c r="L4231" s="534" t="s">
        <v>292</v>
      </c>
      <c r="M4231" s="534" t="s">
        <v>8</v>
      </c>
      <c r="N4231" s="525" t="str">
        <f>IF(AND('331-CT'!$E$7=TH!H4231,OR(L4231="331",M4231="331")),"331",IF(AND(OR(L4231="131",M4231="131"),H4231='131-CT'!$E$7),"131",""))</f>
        <v/>
      </c>
      <c r="O4231" s="525" t="str">
        <f>IF(AND($B4231&gt;='111'!$N$11,$B4231&lt;='111'!$O$11,OR($L4231=$O$7,$M4231=$O$7)),"x","")</f>
        <v/>
      </c>
      <c r="P4231" s="525" t="str">
        <f>IF(AND($L4231=$O$7,$B4231&lt;'111'!$N$11),"x","")</f>
        <v/>
      </c>
      <c r="Q4231" s="525" t="str">
        <f>IF(AND($M4231=$O$7,$B4231&lt;'111'!$N$11),"x","")</f>
        <v/>
      </c>
      <c r="R4231" s="525" t="str">
        <f>IF(ISERROR(FIND('112'!$M$9,G4231,1)),"",IF((AND(FIND('112'!$M$9,G4231,1)&gt;=1,$B4231&gt;='112'!$N$8,$B4231&lt;='112'!$O$8,OR($L4231='112'!$I$6,$M4231='112'!$I$6))),"x",""))</f>
        <v/>
      </c>
      <c r="S4231" s="525" t="str">
        <f>IF(ISERROR(FIND('112'!$M$9,G4231,1)),"",IF((AND(LEFT(G4231,2)=LEFT('112'!$M$9,2),B4231&lt;'112'!$N$8,$L4231='112'!$I$6)),"x",""))</f>
        <v/>
      </c>
      <c r="T4231" s="525" t="str">
        <f>IF(ISERROR(FIND('112'!$M$9,G4231,1)),"",IF((AND(RIGHT(G4231,2)=RIGHT('112'!$M$9,2),B4231&lt;'112'!$N$8,$M4231='112'!$I$6)),"x",""))</f>
        <v/>
      </c>
      <c r="U4231" s="525" t="str">
        <f>IF(AND(B4231&gt;='IN-NX'!$P$3,B4231&lt;='IN-NX'!$Q$3,'IN-NX'!$D$7=D4231,OR(LEFT(L4231,2)="15",AND(LEFT(M4231,2)&lt;&gt;"15",LEFT(M4231,2)&lt;&gt;"33"))),"x","")</f>
        <v/>
      </c>
      <c r="V4231" s="525" t="str">
        <f>IF(AND(OR(LEFT(TH!L4231,2)="15",LEFT(TH!M4231,2)="15"),'152-CT'!$J$8=TH!F4231),"x","")</f>
        <v/>
      </c>
      <c r="W4231" s="525" t="str">
        <f>IF(AND(OR(LEFT(TH!L4231,2)="15",LEFT(TH!M4231,2)="15"),TK!$E$7=TH!F4231),"x","")</f>
        <v/>
      </c>
      <c r="X4231" s="525" t="str">
        <f>IF(AND('341-CT'!$E$9=H4231,OR(LEFT(L4231,3)=$X$7,LEFT(M4231,3)=$X$7)),"x","")</f>
        <v/>
      </c>
      <c r="Y4231" s="525" t="str">
        <f>IF(OR(TH!L4231=TH!$Y$7,M4231=TH!$Y$7),"x","")</f>
        <v/>
      </c>
      <c r="Z4231" s="525" t="str">
        <f>IF(AND(B4231&lt;=NKC!$N$8,B4231&gt;=NKC!$M$8),"x","")</f>
        <v/>
      </c>
      <c r="AA4231" s="535">
        <v>3</v>
      </c>
      <c r="AB4231" s="536"/>
      <c r="AC4231" s="536" t="str">
        <f>VLOOKUP(F4231,NXT!$B$12:$B$686,1,0)</f>
        <v>Giấy tấm 130x243</v>
      </c>
    </row>
    <row r="4232" spans="1:29" s="503" customFormat="1" ht="15.75" customHeight="1">
      <c r="A4232" s="517" t="str">
        <f>IF(B4232&lt;&gt;"",IF(AND(B4232&gt;=_TM1,B4232&lt;=_TM2,OR(TH!L4232="1111",TH!M4232="1111")),TH!D4232,""),"")</f>
        <v/>
      </c>
      <c r="B4232" s="531">
        <f t="shared" si="539"/>
        <v>9</v>
      </c>
      <c r="C4232" s="315">
        <f t="shared" si="540"/>
        <v>43006</v>
      </c>
      <c r="D4232" s="315" t="s">
        <v>1180</v>
      </c>
      <c r="E4232" s="315">
        <v>43006</v>
      </c>
      <c r="F4232" s="250" t="s">
        <v>1672</v>
      </c>
      <c r="G4232" s="314" t="s">
        <v>1630</v>
      </c>
      <c r="H4232" s="248" t="s">
        <v>1612</v>
      </c>
      <c r="I4232" s="307">
        <v>20</v>
      </c>
      <c r="J4232" s="307">
        <v>81384</v>
      </c>
      <c r="K4232" s="532">
        <f t="shared" si="538"/>
        <v>1627680</v>
      </c>
      <c r="L4232" s="534" t="s">
        <v>292</v>
      </c>
      <c r="M4232" s="534" t="s">
        <v>8</v>
      </c>
      <c r="N4232" s="525" t="str">
        <f>IF(AND('331-CT'!$E$7=TH!H4232,OR(L4232="331",M4232="331")),"331",IF(AND(OR(L4232="131",M4232="131"),H4232='131-CT'!$E$7),"131",""))</f>
        <v/>
      </c>
      <c r="O4232" s="525" t="str">
        <f>IF(AND($B4232&gt;='111'!$N$11,$B4232&lt;='111'!$O$11,OR($L4232=$O$7,$M4232=$O$7)),"x","")</f>
        <v/>
      </c>
      <c r="P4232" s="525" t="str">
        <f>IF(AND($L4232=$O$7,$B4232&lt;'111'!$N$11),"x","")</f>
        <v/>
      </c>
      <c r="Q4232" s="525" t="str">
        <f>IF(AND($M4232=$O$7,$B4232&lt;'111'!$N$11),"x","")</f>
        <v/>
      </c>
      <c r="R4232" s="525" t="str">
        <f>IF(ISERROR(FIND('112'!$M$9,G4232,1)),"",IF((AND(FIND('112'!$M$9,G4232,1)&gt;=1,$B4232&gt;='112'!$N$8,$B4232&lt;='112'!$O$8,OR($L4232='112'!$I$6,$M4232='112'!$I$6))),"x",""))</f>
        <v/>
      </c>
      <c r="S4232" s="525" t="str">
        <f>IF(ISERROR(FIND('112'!$M$9,G4232,1)),"",IF((AND(LEFT(G4232,2)=LEFT('112'!$M$9,2),B4232&lt;'112'!$N$8,$L4232='112'!$I$6)),"x",""))</f>
        <v/>
      </c>
      <c r="T4232" s="525" t="str">
        <f>IF(ISERROR(FIND('112'!$M$9,G4232,1)),"",IF((AND(RIGHT(G4232,2)=RIGHT('112'!$M$9,2),B4232&lt;'112'!$N$8,$M4232='112'!$I$6)),"x",""))</f>
        <v/>
      </c>
      <c r="U4232" s="525" t="str">
        <f>IF(AND(B4232&gt;='IN-NX'!$P$3,B4232&lt;='IN-NX'!$Q$3,'IN-NX'!$D$7=D4232,OR(LEFT(L4232,2)="15",AND(LEFT(M4232,2)&lt;&gt;"15",LEFT(M4232,2)&lt;&gt;"33"))),"x","")</f>
        <v/>
      </c>
      <c r="V4232" s="525" t="str">
        <f>IF(AND(OR(LEFT(TH!L4232,2)="15",LEFT(TH!M4232,2)="15"),'152-CT'!$J$8=TH!F4232),"x","")</f>
        <v/>
      </c>
      <c r="W4232" s="525" t="str">
        <f>IF(AND(OR(LEFT(TH!L4232,2)="15",LEFT(TH!M4232,2)="15"),TK!$E$7=TH!F4232),"x","")</f>
        <v/>
      </c>
      <c r="X4232" s="525" t="str">
        <f>IF(AND('341-CT'!$E$9=H4232,OR(LEFT(L4232,3)=$X$7,LEFT(M4232,3)=$X$7)),"x","")</f>
        <v/>
      </c>
      <c r="Y4232" s="525" t="str">
        <f>IF(OR(TH!L4232=TH!$Y$7,M4232=TH!$Y$7),"x","")</f>
        <v/>
      </c>
      <c r="Z4232" s="525" t="str">
        <f>IF(AND(B4232&lt;=NKC!$N$8,B4232&gt;=NKC!$M$8),"x","")</f>
        <v/>
      </c>
      <c r="AA4232" s="535">
        <v>3</v>
      </c>
      <c r="AB4232" s="536"/>
      <c r="AC4232" s="536" t="str">
        <f>VLOOKUP(F4232,NXT!$B$12:$B$686,1,0)</f>
        <v>Thùng 93x86x18</v>
      </c>
    </row>
    <row r="4233" spans="1:29" s="503" customFormat="1" ht="15.75" customHeight="1">
      <c r="A4233" s="517" t="str">
        <f>IF(B4233&lt;&gt;"",IF(AND(B4233&gt;=_TM1,B4233&lt;=_TM2,OR(TH!L4233="1111",TH!M4233="1111")),TH!D4233,""),"")</f>
        <v/>
      </c>
      <c r="B4233" s="531">
        <f t="shared" si="539"/>
        <v>9</v>
      </c>
      <c r="C4233" s="315">
        <f t="shared" si="540"/>
        <v>43006</v>
      </c>
      <c r="D4233" s="315" t="s">
        <v>1180</v>
      </c>
      <c r="E4233" s="315">
        <v>43006</v>
      </c>
      <c r="F4233" s="250" t="s">
        <v>689</v>
      </c>
      <c r="G4233" s="314" t="s">
        <v>1630</v>
      </c>
      <c r="H4233" s="248" t="s">
        <v>1612</v>
      </c>
      <c r="I4233" s="307">
        <v>6</v>
      </c>
      <c r="J4233" s="307">
        <v>82562</v>
      </c>
      <c r="K4233" s="532">
        <f t="shared" si="538"/>
        <v>495372</v>
      </c>
      <c r="L4233" s="534" t="s">
        <v>292</v>
      </c>
      <c r="M4233" s="534" t="s">
        <v>8</v>
      </c>
      <c r="N4233" s="525" t="str">
        <f>IF(AND('331-CT'!$E$7=TH!H4233,OR(L4233="331",M4233="331")),"331",IF(AND(OR(L4233="131",M4233="131"),H4233='131-CT'!$E$7),"131",""))</f>
        <v/>
      </c>
      <c r="O4233" s="525" t="str">
        <f>IF(AND($B4233&gt;='111'!$N$11,$B4233&lt;='111'!$O$11,OR($L4233=$O$7,$M4233=$O$7)),"x","")</f>
        <v/>
      </c>
      <c r="P4233" s="525" t="str">
        <f>IF(AND($L4233=$O$7,$B4233&lt;'111'!$N$11),"x","")</f>
        <v/>
      </c>
      <c r="Q4233" s="525" t="str">
        <f>IF(AND($M4233=$O$7,$B4233&lt;'111'!$N$11),"x","")</f>
        <v/>
      </c>
      <c r="R4233" s="525" t="str">
        <f>IF(ISERROR(FIND('112'!$M$9,G4233,1)),"",IF((AND(FIND('112'!$M$9,G4233,1)&gt;=1,$B4233&gt;='112'!$N$8,$B4233&lt;='112'!$O$8,OR($L4233='112'!$I$6,$M4233='112'!$I$6))),"x",""))</f>
        <v/>
      </c>
      <c r="S4233" s="525" t="str">
        <f>IF(ISERROR(FIND('112'!$M$9,G4233,1)),"",IF((AND(LEFT(G4233,2)=LEFT('112'!$M$9,2),B4233&lt;'112'!$N$8,$L4233='112'!$I$6)),"x",""))</f>
        <v/>
      </c>
      <c r="T4233" s="525" t="str">
        <f>IF(ISERROR(FIND('112'!$M$9,G4233,1)),"",IF((AND(RIGHT(G4233,2)=RIGHT('112'!$M$9,2),B4233&lt;'112'!$N$8,$M4233='112'!$I$6)),"x",""))</f>
        <v/>
      </c>
      <c r="U4233" s="525" t="str">
        <f>IF(AND(B4233&gt;='IN-NX'!$P$3,B4233&lt;='IN-NX'!$Q$3,'IN-NX'!$D$7=D4233,OR(LEFT(L4233,2)="15",AND(LEFT(M4233,2)&lt;&gt;"15",LEFT(M4233,2)&lt;&gt;"33"))),"x","")</f>
        <v/>
      </c>
      <c r="V4233" s="525" t="str">
        <f>IF(AND(OR(LEFT(TH!L4233,2)="15",LEFT(TH!M4233,2)="15"),'152-CT'!$J$8=TH!F4233),"x","")</f>
        <v/>
      </c>
      <c r="W4233" s="525" t="str">
        <f>IF(AND(OR(LEFT(TH!L4233,2)="15",LEFT(TH!M4233,2)="15"),TK!$E$7=TH!F4233),"x","")</f>
        <v/>
      </c>
      <c r="X4233" s="525" t="str">
        <f>IF(AND('341-CT'!$E$9=H4233,OR(LEFT(L4233,3)=$X$7,LEFT(M4233,3)=$X$7)),"x","")</f>
        <v/>
      </c>
      <c r="Y4233" s="525" t="str">
        <f>IF(OR(TH!L4233=TH!$Y$7,M4233=TH!$Y$7),"x","")</f>
        <v/>
      </c>
      <c r="Z4233" s="525" t="str">
        <f>IF(AND(B4233&lt;=NKC!$N$8,B4233&gt;=NKC!$M$8),"x","")</f>
        <v/>
      </c>
      <c r="AA4233" s="535">
        <v>3</v>
      </c>
      <c r="AB4233" s="536"/>
      <c r="AC4233" s="536" t="str">
        <f>VLOOKUP(F4233,NXT!$B$12:$B$686,1,0)</f>
        <v>Thùng 67x67x67</v>
      </c>
    </row>
    <row r="4234" spans="1:29" s="503" customFormat="1" ht="15.75" customHeight="1">
      <c r="A4234" s="517" t="str">
        <f>IF(B4234&lt;&gt;"",IF(AND(B4234&gt;=_TM1,B4234&lt;=_TM2,OR(TH!L4234="1111",TH!M4234="1111")),TH!D4234,""),"")</f>
        <v/>
      </c>
      <c r="B4234" s="531">
        <f t="shared" si="539"/>
        <v>9</v>
      </c>
      <c r="C4234" s="315">
        <f t="shared" si="540"/>
        <v>43006</v>
      </c>
      <c r="D4234" s="315" t="s">
        <v>1180</v>
      </c>
      <c r="E4234" s="315">
        <v>43006</v>
      </c>
      <c r="F4234" s="250" t="s">
        <v>1451</v>
      </c>
      <c r="G4234" s="314" t="s">
        <v>1630</v>
      </c>
      <c r="H4234" s="248" t="s">
        <v>1612</v>
      </c>
      <c r="I4234" s="307">
        <v>8</v>
      </c>
      <c r="J4234" s="307">
        <v>221143</v>
      </c>
      <c r="K4234" s="532">
        <f t="shared" si="538"/>
        <v>1769144</v>
      </c>
      <c r="L4234" s="534" t="s">
        <v>292</v>
      </c>
      <c r="M4234" s="534" t="s">
        <v>8</v>
      </c>
      <c r="N4234" s="525" t="str">
        <f>IF(AND('331-CT'!$E$7=TH!H4234,OR(L4234="331",M4234="331")),"331",IF(AND(OR(L4234="131",M4234="131"),H4234='131-CT'!$E$7),"131",""))</f>
        <v/>
      </c>
      <c r="O4234" s="525" t="str">
        <f>IF(AND($B4234&gt;='111'!$N$11,$B4234&lt;='111'!$O$11,OR($L4234=$O$7,$M4234=$O$7)),"x","")</f>
        <v/>
      </c>
      <c r="P4234" s="525" t="str">
        <f>IF(AND($L4234=$O$7,$B4234&lt;'111'!$N$11),"x","")</f>
        <v/>
      </c>
      <c r="Q4234" s="525" t="str">
        <f>IF(AND($M4234=$O$7,$B4234&lt;'111'!$N$11),"x","")</f>
        <v/>
      </c>
      <c r="R4234" s="525" t="str">
        <f>IF(ISERROR(FIND('112'!$M$9,G4234,1)),"",IF((AND(FIND('112'!$M$9,G4234,1)&gt;=1,$B4234&gt;='112'!$N$8,$B4234&lt;='112'!$O$8,OR($L4234='112'!$I$6,$M4234='112'!$I$6))),"x",""))</f>
        <v/>
      </c>
      <c r="S4234" s="525" t="str">
        <f>IF(ISERROR(FIND('112'!$M$9,G4234,1)),"",IF((AND(LEFT(G4234,2)=LEFT('112'!$M$9,2),B4234&lt;'112'!$N$8,$L4234='112'!$I$6)),"x",""))</f>
        <v/>
      </c>
      <c r="T4234" s="525" t="str">
        <f>IF(ISERROR(FIND('112'!$M$9,G4234,1)),"",IF((AND(RIGHT(G4234,2)=RIGHT('112'!$M$9,2),B4234&lt;'112'!$N$8,$M4234='112'!$I$6)),"x",""))</f>
        <v/>
      </c>
      <c r="U4234" s="525" t="str">
        <f>IF(AND(B4234&gt;='IN-NX'!$P$3,B4234&lt;='IN-NX'!$Q$3,'IN-NX'!$D$7=D4234,OR(LEFT(L4234,2)="15",AND(LEFT(M4234,2)&lt;&gt;"15",LEFT(M4234,2)&lt;&gt;"33"))),"x","")</f>
        <v/>
      </c>
      <c r="V4234" s="525" t="str">
        <f>IF(AND(OR(LEFT(TH!L4234,2)="15",LEFT(TH!M4234,2)="15"),'152-CT'!$J$8=TH!F4234),"x","")</f>
        <v/>
      </c>
      <c r="W4234" s="525" t="str">
        <f>IF(AND(OR(LEFT(TH!L4234,2)="15",LEFT(TH!M4234,2)="15"),TK!$E$7=TH!F4234),"x","")</f>
        <v/>
      </c>
      <c r="X4234" s="525" t="str">
        <f>IF(AND('341-CT'!$E$9=H4234,OR(LEFT(L4234,3)=$X$7,LEFT(M4234,3)=$X$7)),"x","")</f>
        <v/>
      </c>
      <c r="Y4234" s="525" t="str">
        <f>IF(OR(TH!L4234=TH!$Y$7,M4234=TH!$Y$7),"x","")</f>
        <v/>
      </c>
      <c r="Z4234" s="525" t="str">
        <f>IF(AND(B4234&lt;=NKC!$N$8,B4234&gt;=NKC!$M$8),"x","")</f>
        <v/>
      </c>
      <c r="AA4234" s="535">
        <v>3</v>
      </c>
      <c r="AB4234" s="536"/>
      <c r="AC4234" s="536" t="str">
        <f>VLOOKUP(F4234,NXT!$B$12:$B$686,1,0)</f>
        <v>Thùng 132x132x55</v>
      </c>
    </row>
    <row r="4235" spans="1:29" s="503" customFormat="1" ht="15.75" customHeight="1">
      <c r="A4235" s="517" t="str">
        <f>IF(B4235&lt;&gt;"",IF(AND(B4235&gt;=_TM1,B4235&lt;=_TM2,OR(TH!L4235="1111",TH!M4235="1111")),TH!D4235,""),"")</f>
        <v/>
      </c>
      <c r="B4235" s="531">
        <f t="shared" ref="B4235:B4238" si="541">IF(C4235&lt;&gt;"",MONTH(C4235),"")</f>
        <v>9</v>
      </c>
      <c r="C4235" s="315">
        <f t="shared" ref="C4235:C4238" si="542">E4235</f>
        <v>43006</v>
      </c>
      <c r="D4235" s="315" t="s">
        <v>1180</v>
      </c>
      <c r="E4235" s="315">
        <v>43006</v>
      </c>
      <c r="F4235" s="250" t="s">
        <v>659</v>
      </c>
      <c r="G4235" s="314" t="s">
        <v>1630</v>
      </c>
      <c r="H4235" s="248" t="s">
        <v>1612</v>
      </c>
      <c r="I4235" s="307">
        <v>4</v>
      </c>
      <c r="J4235" s="307">
        <v>84951</v>
      </c>
      <c r="K4235" s="532">
        <f t="shared" ref="K4235:K4238" si="543">ROUND(I4235*J4235,0)</f>
        <v>339804</v>
      </c>
      <c r="L4235" s="534" t="s">
        <v>292</v>
      </c>
      <c r="M4235" s="534" t="s">
        <v>8</v>
      </c>
      <c r="N4235" s="525" t="str">
        <f>IF(AND('331-CT'!$E$7=TH!H4235,OR(L4235="331",M4235="331")),"331",IF(AND(OR(L4235="131",M4235="131"),H4235='131-CT'!$E$7),"131",""))</f>
        <v/>
      </c>
      <c r="O4235" s="525" t="str">
        <f>IF(AND($B4235&gt;='111'!$N$11,$B4235&lt;='111'!$O$11,OR($L4235=$O$7,$M4235=$O$7)),"x","")</f>
        <v/>
      </c>
      <c r="P4235" s="525" t="str">
        <f>IF(AND($L4235=$O$7,$B4235&lt;'111'!$N$11),"x","")</f>
        <v/>
      </c>
      <c r="Q4235" s="525" t="str">
        <f>IF(AND($M4235=$O$7,$B4235&lt;'111'!$N$11),"x","")</f>
        <v/>
      </c>
      <c r="R4235" s="525" t="str">
        <f>IF(ISERROR(FIND('112'!$M$9,G4235,1)),"",IF((AND(FIND('112'!$M$9,G4235,1)&gt;=1,$B4235&gt;='112'!$N$8,$B4235&lt;='112'!$O$8,OR($L4235='112'!$I$6,$M4235='112'!$I$6))),"x",""))</f>
        <v/>
      </c>
      <c r="S4235" s="525" t="str">
        <f>IF(ISERROR(FIND('112'!$M$9,G4235,1)),"",IF((AND(LEFT(G4235,2)=LEFT('112'!$M$9,2),B4235&lt;'112'!$N$8,$L4235='112'!$I$6)),"x",""))</f>
        <v/>
      </c>
      <c r="T4235" s="525" t="str">
        <f>IF(ISERROR(FIND('112'!$M$9,G4235,1)),"",IF((AND(RIGHT(G4235,2)=RIGHT('112'!$M$9,2),B4235&lt;'112'!$N$8,$M4235='112'!$I$6)),"x",""))</f>
        <v/>
      </c>
      <c r="U4235" s="525" t="str">
        <f>IF(AND(B4235&gt;='IN-NX'!$P$3,B4235&lt;='IN-NX'!$Q$3,'IN-NX'!$D$7=D4235,OR(LEFT(L4235,2)="15",AND(LEFT(M4235,2)&lt;&gt;"15",LEFT(M4235,2)&lt;&gt;"33"))),"x","")</f>
        <v/>
      </c>
      <c r="V4235" s="525" t="str">
        <f>IF(AND(OR(LEFT(TH!L4235,2)="15",LEFT(TH!M4235,2)="15"),'152-CT'!$J$8=TH!F4235),"x","")</f>
        <v/>
      </c>
      <c r="W4235" s="525" t="str">
        <f>IF(AND(OR(LEFT(TH!L4235,2)="15",LEFT(TH!M4235,2)="15"),TK!$E$7=TH!F4235),"x","")</f>
        <v/>
      </c>
      <c r="X4235" s="525" t="str">
        <f>IF(AND('341-CT'!$E$9=H4235,OR(LEFT(L4235,3)=$X$7,LEFT(M4235,3)=$X$7)),"x","")</f>
        <v/>
      </c>
      <c r="Y4235" s="525" t="str">
        <f>IF(OR(TH!L4235=TH!$Y$7,M4235=TH!$Y$7),"x","")</f>
        <v/>
      </c>
      <c r="Z4235" s="525" t="str">
        <f>IF(AND(B4235&lt;=NKC!$N$8,B4235&gt;=NKC!$M$8),"x","")</f>
        <v/>
      </c>
      <c r="AA4235" s="535">
        <v>3</v>
      </c>
      <c r="AB4235" s="536"/>
      <c r="AC4235" s="536" t="str">
        <f>VLOOKUP(F4235,NXT!$B$12:$B$686,1,0)</f>
        <v>Thùng 62x62x87</v>
      </c>
    </row>
    <row r="4236" spans="1:29" s="503" customFormat="1" ht="15.75" customHeight="1">
      <c r="A4236" s="517" t="str">
        <f>IF(B4236&lt;&gt;"",IF(AND(B4236&gt;=_TM1,B4236&lt;=_TM2,OR(TH!L4236="1111",TH!M4236="1111")),TH!D4236,""),"")</f>
        <v/>
      </c>
      <c r="B4236" s="531">
        <f t="shared" si="541"/>
        <v>9</v>
      </c>
      <c r="C4236" s="315">
        <f t="shared" si="542"/>
        <v>43006</v>
      </c>
      <c r="D4236" s="315" t="s">
        <v>1180</v>
      </c>
      <c r="E4236" s="315">
        <v>43006</v>
      </c>
      <c r="F4236" s="250" t="s">
        <v>690</v>
      </c>
      <c r="G4236" s="314" t="s">
        <v>1630</v>
      </c>
      <c r="H4236" s="248" t="s">
        <v>1612</v>
      </c>
      <c r="I4236" s="307">
        <v>4</v>
      </c>
      <c r="J4236" s="307">
        <v>125841</v>
      </c>
      <c r="K4236" s="532">
        <f t="shared" si="543"/>
        <v>503364</v>
      </c>
      <c r="L4236" s="534" t="s">
        <v>292</v>
      </c>
      <c r="M4236" s="534" t="s">
        <v>8</v>
      </c>
      <c r="N4236" s="525" t="str">
        <f>IF(AND('331-CT'!$E$7=TH!H4236,OR(L4236="331",M4236="331")),"331",IF(AND(OR(L4236="131",M4236="131"),H4236='131-CT'!$E$7),"131",""))</f>
        <v/>
      </c>
      <c r="O4236" s="525" t="str">
        <f>IF(AND($B4236&gt;='111'!$N$11,$B4236&lt;='111'!$O$11,OR($L4236=$O$7,$M4236=$O$7)),"x","")</f>
        <v/>
      </c>
      <c r="P4236" s="525" t="str">
        <f>IF(AND($L4236=$O$7,$B4236&lt;'111'!$N$11),"x","")</f>
        <v/>
      </c>
      <c r="Q4236" s="525" t="str">
        <f>IF(AND($M4236=$O$7,$B4236&lt;'111'!$N$11),"x","")</f>
        <v/>
      </c>
      <c r="R4236" s="525" t="str">
        <f>IF(ISERROR(FIND('112'!$M$9,G4236,1)),"",IF((AND(FIND('112'!$M$9,G4236,1)&gt;=1,$B4236&gt;='112'!$N$8,$B4236&lt;='112'!$O$8,OR($L4236='112'!$I$6,$M4236='112'!$I$6))),"x",""))</f>
        <v/>
      </c>
      <c r="S4236" s="525" t="str">
        <f>IF(ISERROR(FIND('112'!$M$9,G4236,1)),"",IF((AND(LEFT(G4236,2)=LEFT('112'!$M$9,2),B4236&lt;'112'!$N$8,$L4236='112'!$I$6)),"x",""))</f>
        <v/>
      </c>
      <c r="T4236" s="525" t="str">
        <f>IF(ISERROR(FIND('112'!$M$9,G4236,1)),"",IF((AND(RIGHT(G4236,2)=RIGHT('112'!$M$9,2),B4236&lt;'112'!$N$8,$M4236='112'!$I$6)),"x",""))</f>
        <v/>
      </c>
      <c r="U4236" s="525" t="str">
        <f>IF(AND(B4236&gt;='IN-NX'!$P$3,B4236&lt;='IN-NX'!$Q$3,'IN-NX'!$D$7=D4236,OR(LEFT(L4236,2)="15",AND(LEFT(M4236,2)&lt;&gt;"15",LEFT(M4236,2)&lt;&gt;"33"))),"x","")</f>
        <v/>
      </c>
      <c r="V4236" s="525" t="str">
        <f>IF(AND(OR(LEFT(TH!L4236,2)="15",LEFT(TH!M4236,2)="15"),'152-CT'!$J$8=TH!F4236),"x","")</f>
        <v/>
      </c>
      <c r="W4236" s="525" t="str">
        <f>IF(AND(OR(LEFT(TH!L4236,2)="15",LEFT(TH!M4236,2)="15"),TK!$E$7=TH!F4236),"x","")</f>
        <v/>
      </c>
      <c r="X4236" s="525" t="str">
        <f>IF(AND('341-CT'!$E$9=H4236,OR(LEFT(L4236,3)=$X$7,LEFT(M4236,3)=$X$7)),"x","")</f>
        <v/>
      </c>
      <c r="Y4236" s="525" t="str">
        <f>IF(OR(TH!L4236=TH!$Y$7,M4236=TH!$Y$7),"x","")</f>
        <v/>
      </c>
      <c r="Z4236" s="525" t="str">
        <f>IF(AND(B4236&lt;=NKC!$N$8,B4236&gt;=NKC!$M$8),"x","")</f>
        <v/>
      </c>
      <c r="AA4236" s="535">
        <v>3</v>
      </c>
      <c r="AB4236" s="536"/>
      <c r="AC4236" s="536" t="str">
        <f>VLOOKUP(F4236,NXT!$B$12:$B$686,1,0)</f>
        <v>Thùng 82x82x87</v>
      </c>
    </row>
    <row r="4237" spans="1:29" s="503" customFormat="1" ht="15.75" customHeight="1">
      <c r="A4237" s="517" t="str">
        <f>IF(B4237&lt;&gt;"",IF(AND(B4237&gt;=_TM1,B4237&lt;=_TM2,OR(TH!L4237="1111",TH!M4237="1111")),TH!D4237,""),"")</f>
        <v/>
      </c>
      <c r="B4237" s="531">
        <f t="shared" si="541"/>
        <v>9</v>
      </c>
      <c r="C4237" s="315">
        <f t="shared" si="542"/>
        <v>43006</v>
      </c>
      <c r="D4237" s="315" t="s">
        <v>1180</v>
      </c>
      <c r="E4237" s="315">
        <v>43006</v>
      </c>
      <c r="F4237" s="250" t="s">
        <v>691</v>
      </c>
      <c r="G4237" s="314" t="s">
        <v>1630</v>
      </c>
      <c r="H4237" s="248" t="s">
        <v>1612</v>
      </c>
      <c r="I4237" s="307">
        <v>30</v>
      </c>
      <c r="J4237" s="307">
        <v>54518</v>
      </c>
      <c r="K4237" s="532">
        <f t="shared" si="543"/>
        <v>1635540</v>
      </c>
      <c r="L4237" s="534" t="s">
        <v>292</v>
      </c>
      <c r="M4237" s="534" t="s">
        <v>8</v>
      </c>
      <c r="N4237" s="525" t="str">
        <f>IF(AND('331-CT'!$E$7=TH!H4237,OR(L4237="331",M4237="331")),"331",IF(AND(OR(L4237="131",M4237="131"),H4237='131-CT'!$E$7),"131",""))</f>
        <v/>
      </c>
      <c r="O4237" s="525" t="str">
        <f>IF(AND($B4237&gt;='111'!$N$11,$B4237&lt;='111'!$O$11,OR($L4237=$O$7,$M4237=$O$7)),"x","")</f>
        <v/>
      </c>
      <c r="P4237" s="525" t="str">
        <f>IF(AND($L4237=$O$7,$B4237&lt;'111'!$N$11),"x","")</f>
        <v/>
      </c>
      <c r="Q4237" s="525" t="str">
        <f>IF(AND($M4237=$O$7,$B4237&lt;'111'!$N$11),"x","")</f>
        <v/>
      </c>
      <c r="R4237" s="525" t="str">
        <f>IF(ISERROR(FIND('112'!$M$9,G4237,1)),"",IF((AND(FIND('112'!$M$9,G4237,1)&gt;=1,$B4237&gt;='112'!$N$8,$B4237&lt;='112'!$O$8,OR($L4237='112'!$I$6,$M4237='112'!$I$6))),"x",""))</f>
        <v/>
      </c>
      <c r="S4237" s="525" t="str">
        <f>IF(ISERROR(FIND('112'!$M$9,G4237,1)),"",IF((AND(LEFT(G4237,2)=LEFT('112'!$M$9,2),B4237&lt;'112'!$N$8,$L4237='112'!$I$6)),"x",""))</f>
        <v/>
      </c>
      <c r="T4237" s="525" t="str">
        <f>IF(ISERROR(FIND('112'!$M$9,G4237,1)),"",IF((AND(RIGHT(G4237,2)=RIGHT('112'!$M$9,2),B4237&lt;'112'!$N$8,$M4237='112'!$I$6)),"x",""))</f>
        <v/>
      </c>
      <c r="U4237" s="525" t="str">
        <f>IF(AND(B4237&gt;='IN-NX'!$P$3,B4237&lt;='IN-NX'!$Q$3,'IN-NX'!$D$7=D4237,OR(LEFT(L4237,2)="15",AND(LEFT(M4237,2)&lt;&gt;"15",LEFT(M4237,2)&lt;&gt;"33"))),"x","")</f>
        <v/>
      </c>
      <c r="V4237" s="525" t="str">
        <f>IF(AND(OR(LEFT(TH!L4237,2)="15",LEFT(TH!M4237,2)="15"),'152-CT'!$J$8=TH!F4237),"x","")</f>
        <v/>
      </c>
      <c r="W4237" s="525" t="str">
        <f>IF(AND(OR(LEFT(TH!L4237,2)="15",LEFT(TH!M4237,2)="15"),TK!$E$7=TH!F4237),"x","")</f>
        <v/>
      </c>
      <c r="X4237" s="525" t="str">
        <f>IF(AND('341-CT'!$E$9=H4237,OR(LEFT(L4237,3)=$X$7,LEFT(M4237,3)=$X$7)),"x","")</f>
        <v/>
      </c>
      <c r="Y4237" s="525" t="str">
        <f>IF(OR(TH!L4237=TH!$Y$7,M4237=TH!$Y$7),"x","")</f>
        <v/>
      </c>
      <c r="Z4237" s="525" t="str">
        <f>IF(AND(B4237&lt;=NKC!$N$8,B4237&gt;=NKC!$M$8),"x","")</f>
        <v/>
      </c>
      <c r="AA4237" s="535">
        <v>3</v>
      </c>
      <c r="AB4237" s="536"/>
      <c r="AC4237" s="536" t="str">
        <f>VLOOKUP(F4237,NXT!$B$12:$B$686,1,0)</f>
        <v>Thùng 62x37x87</v>
      </c>
    </row>
    <row r="4238" spans="1:29" s="503" customFormat="1" ht="15.75" customHeight="1">
      <c r="A4238" s="517" t="str">
        <f>IF(B4238&lt;&gt;"",IF(AND(B4238&gt;=_TM1,B4238&lt;=_TM2,OR(TH!L4238="1111",TH!M4238="1111")),TH!D4238,""),"")</f>
        <v/>
      </c>
      <c r="B4238" s="531">
        <f t="shared" si="541"/>
        <v>9</v>
      </c>
      <c r="C4238" s="315">
        <f t="shared" si="542"/>
        <v>43006</v>
      </c>
      <c r="D4238" s="315" t="s">
        <v>1180</v>
      </c>
      <c r="E4238" s="315">
        <v>43006</v>
      </c>
      <c r="F4238" s="250" t="s">
        <v>1673</v>
      </c>
      <c r="G4238" s="314" t="s">
        <v>1630</v>
      </c>
      <c r="H4238" s="248" t="s">
        <v>1612</v>
      </c>
      <c r="I4238" s="307">
        <v>6</v>
      </c>
      <c r="J4238" s="307">
        <v>186258</v>
      </c>
      <c r="K4238" s="532">
        <f t="shared" si="543"/>
        <v>1117548</v>
      </c>
      <c r="L4238" s="534" t="s">
        <v>292</v>
      </c>
      <c r="M4238" s="534" t="s">
        <v>8</v>
      </c>
      <c r="N4238" s="525" t="str">
        <f>IF(AND('331-CT'!$E$7=TH!H4238,OR(L4238="331",M4238="331")),"331",IF(AND(OR(L4238="131",M4238="131"),H4238='131-CT'!$E$7),"131",""))</f>
        <v/>
      </c>
      <c r="O4238" s="525" t="str">
        <f>IF(AND($B4238&gt;='111'!$N$11,$B4238&lt;='111'!$O$11,OR($L4238=$O$7,$M4238=$O$7)),"x","")</f>
        <v/>
      </c>
      <c r="P4238" s="525" t="str">
        <f>IF(AND($L4238=$O$7,$B4238&lt;'111'!$N$11),"x","")</f>
        <v/>
      </c>
      <c r="Q4238" s="525" t="str">
        <f>IF(AND($M4238=$O$7,$B4238&lt;'111'!$N$11),"x","")</f>
        <v/>
      </c>
      <c r="R4238" s="525" t="str">
        <f>IF(ISERROR(FIND('112'!$M$9,G4238,1)),"",IF((AND(FIND('112'!$M$9,G4238,1)&gt;=1,$B4238&gt;='112'!$N$8,$B4238&lt;='112'!$O$8,OR($L4238='112'!$I$6,$M4238='112'!$I$6))),"x",""))</f>
        <v/>
      </c>
      <c r="S4238" s="525" t="str">
        <f>IF(ISERROR(FIND('112'!$M$9,G4238,1)),"",IF((AND(LEFT(G4238,2)=LEFT('112'!$M$9,2),B4238&lt;'112'!$N$8,$L4238='112'!$I$6)),"x",""))</f>
        <v/>
      </c>
      <c r="T4238" s="525" t="str">
        <f>IF(ISERROR(FIND('112'!$M$9,G4238,1)),"",IF((AND(RIGHT(G4238,2)=RIGHT('112'!$M$9,2),B4238&lt;'112'!$N$8,$M4238='112'!$I$6)),"x",""))</f>
        <v/>
      </c>
      <c r="U4238" s="525" t="str">
        <f>IF(AND(B4238&gt;='IN-NX'!$P$3,B4238&lt;='IN-NX'!$Q$3,'IN-NX'!$D$7=D4238,OR(LEFT(L4238,2)="15",AND(LEFT(M4238,2)&lt;&gt;"15",LEFT(M4238,2)&lt;&gt;"33"))),"x","")</f>
        <v/>
      </c>
      <c r="V4238" s="525" t="str">
        <f>IF(AND(OR(LEFT(TH!L4238,2)="15",LEFT(TH!M4238,2)="15"),'152-CT'!$J$8=TH!F4238),"x","")</f>
        <v/>
      </c>
      <c r="W4238" s="525" t="str">
        <f>IF(AND(OR(LEFT(TH!L4238,2)="15",LEFT(TH!M4238,2)="15"),TK!$E$7=TH!F4238),"x","")</f>
        <v/>
      </c>
      <c r="X4238" s="525" t="str">
        <f>IF(AND('341-CT'!$E$9=H4238,OR(LEFT(L4238,3)=$X$7,LEFT(M4238,3)=$X$7)),"x","")</f>
        <v/>
      </c>
      <c r="Y4238" s="525" t="str">
        <f>IF(OR(TH!L4238=TH!$Y$7,M4238=TH!$Y$7),"x","")</f>
        <v/>
      </c>
      <c r="Z4238" s="525" t="str">
        <f>IF(AND(B4238&lt;=NKC!$N$8,B4238&gt;=NKC!$M$8),"x","")</f>
        <v/>
      </c>
      <c r="AA4238" s="535">
        <v>3</v>
      </c>
      <c r="AB4238" s="536"/>
      <c r="AC4238" s="536" t="str">
        <f>VLOOKUP(F4238,NXT!$B$12:$B$686,1,0)</f>
        <v>Thùng 183x93x57</v>
      </c>
    </row>
    <row r="4239" spans="1:29" s="503" customFormat="1" ht="15.75" customHeight="1">
      <c r="A4239" s="517" t="str">
        <f>IF(B4239&lt;&gt;"",IF(AND(B4239&gt;=_TM1,B4239&lt;=_TM2,OR(TH!L4239="1111",TH!M4239="1111")),TH!D4239,""),"")</f>
        <v/>
      </c>
      <c r="B4239" s="531">
        <f t="shared" si="529"/>
        <v>9</v>
      </c>
      <c r="C4239" s="315">
        <f t="shared" si="530"/>
        <v>43006</v>
      </c>
      <c r="D4239" s="315" t="s">
        <v>1180</v>
      </c>
      <c r="E4239" s="315">
        <v>43006</v>
      </c>
      <c r="F4239" s="250" t="s">
        <v>611</v>
      </c>
      <c r="G4239" s="314" t="s">
        <v>1630</v>
      </c>
      <c r="H4239" s="248" t="s">
        <v>1612</v>
      </c>
      <c r="I4239" s="307">
        <v>10</v>
      </c>
      <c r="J4239" s="307">
        <v>43698</v>
      </c>
      <c r="K4239" s="532">
        <f t="shared" ref="K4239:K4240" si="544">ROUND(I4239*J4239,0)</f>
        <v>436980</v>
      </c>
      <c r="L4239" s="534" t="s">
        <v>292</v>
      </c>
      <c r="M4239" s="534" t="s">
        <v>8</v>
      </c>
      <c r="N4239" s="525" t="str">
        <f>IF(AND('331-CT'!$E$7=TH!H4239,OR(L4239="331",M4239="331")),"331",IF(AND(OR(L4239="131",M4239="131"),H4239='131-CT'!$E$7),"131",""))</f>
        <v/>
      </c>
      <c r="O4239" s="525" t="str">
        <f>IF(AND($B4239&gt;='111'!$N$11,$B4239&lt;='111'!$O$11,OR($L4239=$O$7,$M4239=$O$7)),"x","")</f>
        <v/>
      </c>
      <c r="P4239" s="525" t="str">
        <f>IF(AND($L4239=$O$7,$B4239&lt;'111'!$N$11),"x","")</f>
        <v/>
      </c>
      <c r="Q4239" s="525" t="str">
        <f>IF(AND($M4239=$O$7,$B4239&lt;'111'!$N$11),"x","")</f>
        <v/>
      </c>
      <c r="R4239" s="525" t="str">
        <f>IF(ISERROR(FIND('112'!$M$9,G4239,1)),"",IF((AND(FIND('112'!$M$9,G4239,1)&gt;=1,$B4239&gt;='112'!$N$8,$B4239&lt;='112'!$O$8,OR($L4239='112'!$I$6,$M4239='112'!$I$6))),"x",""))</f>
        <v/>
      </c>
      <c r="S4239" s="525" t="str">
        <f>IF(ISERROR(FIND('112'!$M$9,G4239,1)),"",IF((AND(LEFT(G4239,2)=LEFT('112'!$M$9,2),B4239&lt;'112'!$N$8,$L4239='112'!$I$6)),"x",""))</f>
        <v/>
      </c>
      <c r="T4239" s="525" t="str">
        <f>IF(ISERROR(FIND('112'!$M$9,G4239,1)),"",IF((AND(RIGHT(G4239,2)=RIGHT('112'!$M$9,2),B4239&lt;'112'!$N$8,$M4239='112'!$I$6)),"x",""))</f>
        <v/>
      </c>
      <c r="U4239" s="525" t="str">
        <f>IF(AND(B4239&gt;='IN-NX'!$P$3,B4239&lt;='IN-NX'!$Q$3,'IN-NX'!$D$7=D4239,OR(LEFT(L4239,2)="15",AND(LEFT(M4239,2)&lt;&gt;"15",LEFT(M4239,2)&lt;&gt;"33"))),"x","")</f>
        <v/>
      </c>
      <c r="V4239" s="525" t="str">
        <f>IF(AND(OR(LEFT(TH!L4239,2)="15",LEFT(TH!M4239,2)="15"),'152-CT'!$J$8=TH!F4239),"x","")</f>
        <v/>
      </c>
      <c r="W4239" s="525" t="str">
        <f>IF(AND(OR(LEFT(TH!L4239,2)="15",LEFT(TH!M4239,2)="15"),TK!$E$7=TH!F4239),"x","")</f>
        <v/>
      </c>
      <c r="X4239" s="525" t="str">
        <f>IF(AND('341-CT'!$E$9=H4239,OR(LEFT(L4239,3)=$X$7,LEFT(M4239,3)=$X$7)),"x","")</f>
        <v/>
      </c>
      <c r="Y4239" s="525" t="str">
        <f>IF(OR(TH!L4239=TH!$Y$7,M4239=TH!$Y$7),"x","")</f>
        <v/>
      </c>
      <c r="Z4239" s="525" t="str">
        <f>IF(AND(B4239&lt;=NKC!$N$8,B4239&gt;=NKC!$M$8),"x","")</f>
        <v/>
      </c>
      <c r="AA4239" s="535">
        <v>3</v>
      </c>
      <c r="AB4239" s="536"/>
      <c r="AC4239" s="536" t="str">
        <f>VLOOKUP(F4239,NXT!$B$12:$B$686,1,0)</f>
        <v>Thùng 47x47x59</v>
      </c>
    </row>
    <row r="4240" spans="1:29" s="503" customFormat="1" ht="15.75" customHeight="1">
      <c r="A4240" s="517" t="str">
        <f>IF(B4240&lt;&gt;"",IF(AND(B4240&gt;=_TM1,B4240&lt;=_TM2,OR(TH!L4240="1111",TH!M4240="1111")),TH!D4240,""),"")</f>
        <v/>
      </c>
      <c r="B4240" s="531">
        <f t="shared" si="529"/>
        <v>9</v>
      </c>
      <c r="C4240" s="315">
        <f t="shared" si="530"/>
        <v>43006</v>
      </c>
      <c r="D4240" s="315" t="s">
        <v>1180</v>
      </c>
      <c r="E4240" s="315">
        <v>43006</v>
      </c>
      <c r="F4240" s="250" t="s">
        <v>693</v>
      </c>
      <c r="G4240" s="314" t="s">
        <v>1630</v>
      </c>
      <c r="H4240" s="248" t="s">
        <v>1612</v>
      </c>
      <c r="I4240" s="307">
        <v>10</v>
      </c>
      <c r="J4240" s="307">
        <v>100912</v>
      </c>
      <c r="K4240" s="532">
        <f t="shared" si="544"/>
        <v>1009120</v>
      </c>
      <c r="L4240" s="534" t="s">
        <v>292</v>
      </c>
      <c r="M4240" s="534" t="s">
        <v>8</v>
      </c>
      <c r="N4240" s="525" t="str">
        <f>IF(AND('331-CT'!$E$7=TH!H4240,OR(L4240="331",M4240="331")),"331",IF(AND(OR(L4240="131",M4240="131"),H4240='131-CT'!$E$7),"131",""))</f>
        <v/>
      </c>
      <c r="O4240" s="525" t="str">
        <f>IF(AND($B4240&gt;='111'!$N$11,$B4240&lt;='111'!$O$11,OR($L4240=$O$7,$M4240=$O$7)),"x","")</f>
        <v/>
      </c>
      <c r="P4240" s="525" t="str">
        <f>IF(AND($L4240=$O$7,$B4240&lt;'111'!$N$11),"x","")</f>
        <v/>
      </c>
      <c r="Q4240" s="525" t="str">
        <f>IF(AND($M4240=$O$7,$B4240&lt;'111'!$N$11),"x","")</f>
        <v/>
      </c>
      <c r="R4240" s="525" t="str">
        <f>IF(ISERROR(FIND('112'!$M$9,G4240,1)),"",IF((AND(FIND('112'!$M$9,G4240,1)&gt;=1,$B4240&gt;='112'!$N$8,$B4240&lt;='112'!$O$8,OR($L4240='112'!$I$6,$M4240='112'!$I$6))),"x",""))</f>
        <v/>
      </c>
      <c r="S4240" s="525" t="str">
        <f>IF(ISERROR(FIND('112'!$M$9,G4240,1)),"",IF((AND(LEFT(G4240,2)=LEFT('112'!$M$9,2),B4240&lt;'112'!$N$8,$L4240='112'!$I$6)),"x",""))</f>
        <v/>
      </c>
      <c r="T4240" s="525" t="str">
        <f>IF(ISERROR(FIND('112'!$M$9,G4240,1)),"",IF((AND(RIGHT(G4240,2)=RIGHT('112'!$M$9,2),B4240&lt;'112'!$N$8,$M4240='112'!$I$6)),"x",""))</f>
        <v/>
      </c>
      <c r="U4240" s="525" t="str">
        <f>IF(AND(B4240&gt;='IN-NX'!$P$3,B4240&lt;='IN-NX'!$Q$3,'IN-NX'!$D$7=D4240,OR(LEFT(L4240,2)="15",AND(LEFT(M4240,2)&lt;&gt;"15",LEFT(M4240,2)&lt;&gt;"33"))),"x","")</f>
        <v/>
      </c>
      <c r="V4240" s="525" t="str">
        <f>IF(AND(OR(LEFT(TH!L4240,2)="15",LEFT(TH!M4240,2)="15"),'152-CT'!$J$8=TH!F4240),"x","")</f>
        <v/>
      </c>
      <c r="W4240" s="525" t="str">
        <f>IF(AND(OR(LEFT(TH!L4240,2)="15",LEFT(TH!M4240,2)="15"),TK!$E$7=TH!F4240),"x","")</f>
        <v/>
      </c>
      <c r="X4240" s="525" t="str">
        <f>IF(AND('341-CT'!$E$9=H4240,OR(LEFT(L4240,3)=$X$7,LEFT(M4240,3)=$X$7)),"x","")</f>
        <v/>
      </c>
      <c r="Y4240" s="525" t="str">
        <f>IF(OR(TH!L4240=TH!$Y$7,M4240=TH!$Y$7),"x","")</f>
        <v/>
      </c>
      <c r="Z4240" s="525" t="str">
        <f>IF(AND(B4240&lt;=NKC!$N$8,B4240&gt;=NKC!$M$8),"x","")</f>
        <v/>
      </c>
      <c r="AA4240" s="535">
        <v>3</v>
      </c>
      <c r="AB4240" s="536"/>
      <c r="AC4240" s="536" t="str">
        <f>VLOOKUP(F4240,NXT!$B$12:$B$686,1,0)</f>
        <v>Thùng 172x47x59</v>
      </c>
    </row>
    <row r="4241" spans="1:29" s="503" customFormat="1" ht="15.75" customHeight="1">
      <c r="A4241" s="517" t="str">
        <f>IF(B4241&lt;&gt;"",IF(AND(B4241&gt;=_TM1,B4241&lt;=_TM2,OR(TH!L4241="1111",TH!M4241="1111")),TH!D4241,""),"")</f>
        <v/>
      </c>
      <c r="B4241" s="531">
        <f t="shared" si="509"/>
        <v>9</v>
      </c>
      <c r="C4241" s="315">
        <f t="shared" si="510"/>
        <v>43006</v>
      </c>
      <c r="D4241" s="315" t="s">
        <v>1180</v>
      </c>
      <c r="E4241" s="315">
        <v>43006</v>
      </c>
      <c r="F4241" s="250" t="s">
        <v>1230</v>
      </c>
      <c r="G4241" s="314" t="s">
        <v>1630</v>
      </c>
      <c r="H4241" s="248" t="s">
        <v>1612</v>
      </c>
      <c r="I4241" s="307">
        <v>5</v>
      </c>
      <c r="J4241" s="307">
        <v>108142</v>
      </c>
      <c r="K4241" s="532">
        <f t="shared" si="511"/>
        <v>540710</v>
      </c>
      <c r="L4241" s="534" t="s">
        <v>292</v>
      </c>
      <c r="M4241" s="534" t="s">
        <v>8</v>
      </c>
      <c r="N4241" s="525" t="str">
        <f>IF(AND('331-CT'!$E$7=TH!H4241,OR(L4241="331",M4241="331")),"331",IF(AND(OR(L4241="131",M4241="131"),H4241='131-CT'!$E$7),"131",""))</f>
        <v/>
      </c>
      <c r="O4241" s="525" t="str">
        <f>IF(AND($B4241&gt;='111'!$N$11,$B4241&lt;='111'!$O$11,OR($L4241=$O$7,$M4241=$O$7)),"x","")</f>
        <v/>
      </c>
      <c r="P4241" s="525" t="str">
        <f>IF(AND($L4241=$O$7,$B4241&lt;'111'!$N$11),"x","")</f>
        <v/>
      </c>
      <c r="Q4241" s="525" t="str">
        <f>IF(AND($M4241=$O$7,$B4241&lt;'111'!$N$11),"x","")</f>
        <v/>
      </c>
      <c r="R4241" s="525" t="str">
        <f>IF(ISERROR(FIND('112'!$M$9,G4241,1)),"",IF((AND(FIND('112'!$M$9,G4241,1)&gt;=1,$B4241&gt;='112'!$N$8,$B4241&lt;='112'!$O$8,OR($L4241='112'!$I$6,$M4241='112'!$I$6))),"x",""))</f>
        <v/>
      </c>
      <c r="S4241" s="525" t="str">
        <f>IF(ISERROR(FIND('112'!$M$9,G4241,1)),"",IF((AND(LEFT(G4241,2)=LEFT('112'!$M$9,2),B4241&lt;'112'!$N$8,$L4241='112'!$I$6)),"x",""))</f>
        <v/>
      </c>
      <c r="T4241" s="525" t="str">
        <f>IF(ISERROR(FIND('112'!$M$9,G4241,1)),"",IF((AND(RIGHT(G4241,2)=RIGHT('112'!$M$9,2),B4241&lt;'112'!$N$8,$M4241='112'!$I$6)),"x",""))</f>
        <v/>
      </c>
      <c r="U4241" s="525" t="str">
        <f>IF(AND(B4241&gt;='IN-NX'!$P$3,B4241&lt;='IN-NX'!$Q$3,'IN-NX'!$D$7=D4241,OR(LEFT(L4241,2)="15",AND(LEFT(M4241,2)&lt;&gt;"15",LEFT(M4241,2)&lt;&gt;"33"))),"x","")</f>
        <v/>
      </c>
      <c r="V4241" s="525" t="str">
        <f>IF(AND(OR(LEFT(TH!L4241,2)="15",LEFT(TH!M4241,2)="15"),'152-CT'!$J$8=TH!F4241),"x","")</f>
        <v/>
      </c>
      <c r="W4241" s="525" t="str">
        <f>IF(AND(OR(LEFT(TH!L4241,2)="15",LEFT(TH!M4241,2)="15"),TK!$E$7=TH!F4241),"x","")</f>
        <v/>
      </c>
      <c r="X4241" s="525" t="str">
        <f>IF(AND('341-CT'!$E$9=H4241,OR(LEFT(L4241,3)=$X$7,LEFT(M4241,3)=$X$7)),"x","")</f>
        <v/>
      </c>
      <c r="Y4241" s="525" t="str">
        <f>IF(OR(TH!L4241=TH!$Y$7,M4241=TH!$Y$7),"x","")</f>
        <v/>
      </c>
      <c r="Z4241" s="525" t="str">
        <f>IF(AND(B4241&lt;=NKC!$N$8,B4241&gt;=NKC!$M$8),"x","")</f>
        <v/>
      </c>
      <c r="AA4241" s="535">
        <v>3</v>
      </c>
      <c r="AB4241" s="536"/>
      <c r="AC4241" s="536" t="str">
        <f>VLOOKUP(F4241,NXT!$B$12:$B$686,1,0)</f>
        <v>Thùng 112x84x37</v>
      </c>
    </row>
    <row r="4242" spans="1:29" s="503" customFormat="1" ht="15.75" customHeight="1">
      <c r="A4242" s="517" t="str">
        <f>IF(B4242&lt;&gt;"",IF(AND(B4242&gt;=_TM1,B4242&lt;=_TM2,OR(TH!L4242="1111",TH!M4242="1111")),TH!D4242,""),"")</f>
        <v/>
      </c>
      <c r="B4242" s="531">
        <f t="shared" si="509"/>
        <v>9</v>
      </c>
      <c r="C4242" s="315">
        <f t="shared" si="510"/>
        <v>43006</v>
      </c>
      <c r="D4242" s="315" t="s">
        <v>1180</v>
      </c>
      <c r="E4242" s="315">
        <v>43006</v>
      </c>
      <c r="F4242" s="250" t="s">
        <v>649</v>
      </c>
      <c r="G4242" s="314" t="s">
        <v>1630</v>
      </c>
      <c r="H4242" s="248" t="s">
        <v>1612</v>
      </c>
      <c r="I4242" s="307">
        <v>8</v>
      </c>
      <c r="J4242" s="307">
        <v>71071</v>
      </c>
      <c r="K4242" s="532">
        <f t="shared" si="511"/>
        <v>568568</v>
      </c>
      <c r="L4242" s="534" t="s">
        <v>292</v>
      </c>
      <c r="M4242" s="534" t="s">
        <v>8</v>
      </c>
      <c r="N4242" s="525" t="str">
        <f>IF(AND('331-CT'!$E$7=TH!H4242,OR(L4242="331",M4242="331")),"331",IF(AND(OR(L4242="131",M4242="131"),H4242='131-CT'!$E$7),"131",""))</f>
        <v/>
      </c>
      <c r="O4242" s="525" t="str">
        <f>IF(AND($B4242&gt;='111'!$N$11,$B4242&lt;='111'!$O$11,OR($L4242=$O$7,$M4242=$O$7)),"x","")</f>
        <v/>
      </c>
      <c r="P4242" s="525" t="str">
        <f>IF(AND($L4242=$O$7,$B4242&lt;'111'!$N$11),"x","")</f>
        <v/>
      </c>
      <c r="Q4242" s="525" t="str">
        <f>IF(AND($M4242=$O$7,$B4242&lt;'111'!$N$11),"x","")</f>
        <v/>
      </c>
      <c r="R4242" s="525" t="str">
        <f>IF(ISERROR(FIND('112'!$M$9,G4242,1)),"",IF((AND(FIND('112'!$M$9,G4242,1)&gt;=1,$B4242&gt;='112'!$N$8,$B4242&lt;='112'!$O$8,OR($L4242='112'!$I$6,$M4242='112'!$I$6))),"x",""))</f>
        <v/>
      </c>
      <c r="S4242" s="525" t="str">
        <f>IF(ISERROR(FIND('112'!$M$9,G4242,1)),"",IF((AND(LEFT(G4242,2)=LEFT('112'!$M$9,2),B4242&lt;'112'!$N$8,$L4242='112'!$I$6)),"x",""))</f>
        <v/>
      </c>
      <c r="T4242" s="525" t="str">
        <f>IF(ISERROR(FIND('112'!$M$9,G4242,1)),"",IF((AND(RIGHT(G4242,2)=RIGHT('112'!$M$9,2),B4242&lt;'112'!$N$8,$M4242='112'!$I$6)),"x",""))</f>
        <v/>
      </c>
      <c r="U4242" s="525" t="str">
        <f>IF(AND(B4242&gt;='IN-NX'!$P$3,B4242&lt;='IN-NX'!$Q$3,'IN-NX'!$D$7=D4242,OR(LEFT(L4242,2)="15",AND(LEFT(M4242,2)&lt;&gt;"15",LEFT(M4242,2)&lt;&gt;"33"))),"x","")</f>
        <v/>
      </c>
      <c r="V4242" s="525" t="str">
        <f>IF(AND(OR(LEFT(TH!L4242,2)="15",LEFT(TH!M4242,2)="15"),'152-CT'!$J$8=TH!F4242),"x","")</f>
        <v/>
      </c>
      <c r="W4242" s="525" t="str">
        <f>IF(AND(OR(LEFT(TH!L4242,2)="15",LEFT(TH!M4242,2)="15"),TK!$E$7=TH!F4242),"x","")</f>
        <v/>
      </c>
      <c r="X4242" s="525" t="str">
        <f>IF(AND('341-CT'!$E$9=H4242,OR(LEFT(L4242,3)=$X$7,LEFT(M4242,3)=$X$7)),"x","")</f>
        <v/>
      </c>
      <c r="Y4242" s="525" t="str">
        <f>IF(OR(TH!L4242=TH!$Y$7,M4242=TH!$Y$7),"x","")</f>
        <v/>
      </c>
      <c r="Z4242" s="525" t="str">
        <f>IF(AND(B4242&lt;=NKC!$N$8,B4242&gt;=NKC!$M$8),"x","")</f>
        <v/>
      </c>
      <c r="AA4242" s="535">
        <v>3</v>
      </c>
      <c r="AB4242" s="536"/>
      <c r="AC4242" s="536" t="str">
        <f>VLOOKUP(F4242,NXT!$B$12:$B$686,1,0)</f>
        <v>Thùng 62x62x62</v>
      </c>
    </row>
    <row r="4243" spans="1:29" s="503" customFormat="1" ht="15.75" customHeight="1">
      <c r="A4243" s="517" t="str">
        <f>IF(B4243&lt;&gt;"",IF(AND(B4243&gt;=_TM1,B4243&lt;=_TM2,OR(TH!L4243="1111",TH!M4243="1111")),TH!D4243,""),"")</f>
        <v/>
      </c>
      <c r="B4243" s="531">
        <f t="shared" si="509"/>
        <v>9</v>
      </c>
      <c r="C4243" s="315">
        <f t="shared" si="510"/>
        <v>43006</v>
      </c>
      <c r="D4243" s="315" t="s">
        <v>1180</v>
      </c>
      <c r="E4243" s="315">
        <v>43006</v>
      </c>
      <c r="F4243" s="249" t="s">
        <v>494</v>
      </c>
      <c r="G4243" s="314" t="s">
        <v>1630</v>
      </c>
      <c r="H4243" s="248" t="s">
        <v>1612</v>
      </c>
      <c r="I4243" s="307"/>
      <c r="J4243" s="307"/>
      <c r="K4243" s="532">
        <v>5739692</v>
      </c>
      <c r="L4243" s="534" t="s">
        <v>9</v>
      </c>
      <c r="M4243" s="534" t="s">
        <v>8</v>
      </c>
      <c r="N4243" s="525" t="str">
        <f>IF(AND('331-CT'!$E$7=TH!H4243,OR(L4243="331",M4243="331")),"331",IF(AND(OR(L4243="131",M4243="131"),H4243='131-CT'!$E$7),"131",""))</f>
        <v/>
      </c>
      <c r="O4243" s="525" t="str">
        <f>IF(AND($B4243&gt;='111'!$N$11,$B4243&lt;='111'!$O$11,OR($L4243=$O$7,$M4243=$O$7)),"x","")</f>
        <v/>
      </c>
      <c r="P4243" s="525" t="str">
        <f>IF(AND($L4243=$O$7,$B4243&lt;'111'!$N$11),"x","")</f>
        <v/>
      </c>
      <c r="Q4243" s="525" t="str">
        <f>IF(AND($M4243=$O$7,$B4243&lt;'111'!$N$11),"x","")</f>
        <v/>
      </c>
      <c r="R4243" s="525" t="str">
        <f>IF(ISERROR(FIND('112'!$M$9,G4243,1)),"",IF((AND(FIND('112'!$M$9,G4243,1)&gt;=1,$B4243&gt;='112'!$N$8,$B4243&lt;='112'!$O$8,OR($L4243='112'!$I$6,$M4243='112'!$I$6))),"x",""))</f>
        <v/>
      </c>
      <c r="S4243" s="525" t="str">
        <f>IF(ISERROR(FIND('112'!$M$9,G4243,1)),"",IF((AND(LEFT(G4243,2)=LEFT('112'!$M$9,2),B4243&lt;'112'!$N$8,$L4243='112'!$I$6)),"x",""))</f>
        <v/>
      </c>
      <c r="T4243" s="525" t="str">
        <f>IF(ISERROR(FIND('112'!$M$9,G4243,1)),"",IF((AND(RIGHT(G4243,2)=RIGHT('112'!$M$9,2),B4243&lt;'112'!$N$8,$M4243='112'!$I$6)),"x",""))</f>
        <v/>
      </c>
      <c r="U4243" s="525" t="str">
        <f>IF(AND(B4243&gt;='IN-NX'!$P$3,B4243&lt;='IN-NX'!$Q$3,'IN-NX'!$D$7=D4243,OR(LEFT(L4243,2)="15",AND(LEFT(M4243,2)&lt;&gt;"15",LEFT(M4243,2)&lt;&gt;"33"))),"x","")</f>
        <v/>
      </c>
      <c r="V4243" s="525" t="str">
        <f>IF(AND(OR(LEFT(TH!L4243,2)="15",LEFT(TH!M4243,2)="15"),'152-CT'!$J$8=TH!F4243),"x","")</f>
        <v/>
      </c>
      <c r="W4243" s="525" t="str">
        <f>IF(AND(OR(LEFT(TH!L4243,2)="15",LEFT(TH!M4243,2)="15"),TK!$E$7=TH!F4243),"x","")</f>
        <v/>
      </c>
      <c r="X4243" s="525" t="str">
        <f>IF(AND('341-CT'!$E$9=H4243,OR(LEFT(L4243,3)=$X$7,LEFT(M4243,3)=$X$7)),"x","")</f>
        <v/>
      </c>
      <c r="Y4243" s="525" t="str">
        <f>IF(OR(TH!L4243=TH!$Y$7,M4243=TH!$Y$7),"x","")</f>
        <v/>
      </c>
      <c r="Z4243" s="525" t="str">
        <f>IF(AND(B4243&lt;=NKC!$N$8,B4243&gt;=NKC!$M$8),"x","")</f>
        <v/>
      </c>
      <c r="AA4243" s="535">
        <v>3</v>
      </c>
      <c r="AB4243" s="536"/>
      <c r="AC4243" s="536"/>
    </row>
    <row r="4244" spans="1:29" s="576" customFormat="1" ht="15.75" customHeight="1">
      <c r="A4244" s="517" t="str">
        <f>IF(B4244&lt;&gt;"",IF(AND(B4244&gt;=_TM1,B4244&lt;=_TM2,OR(TH!L4244="1111",TH!M4244="1111")),TH!D4244,""),"")</f>
        <v/>
      </c>
      <c r="B4244" s="518">
        <f t="shared" ref="B4244:B4304" si="545">IF(C4244&lt;&gt;"",MONTH(C4244),"")</f>
        <v>7</v>
      </c>
      <c r="C4244" s="571">
        <f>E4244</f>
        <v>42920</v>
      </c>
      <c r="D4244" s="571" t="s">
        <v>996</v>
      </c>
      <c r="E4244" s="571">
        <v>42920</v>
      </c>
      <c r="F4244" s="572" t="s">
        <v>1114</v>
      </c>
      <c r="G4244" s="579" t="s">
        <v>1287</v>
      </c>
      <c r="H4244" s="574" t="s">
        <v>800</v>
      </c>
      <c r="I4244" s="523">
        <v>300</v>
      </c>
      <c r="J4244" s="523">
        <v>5390</v>
      </c>
      <c r="K4244" s="575">
        <f t="shared" ref="K4244:K4257" si="546">ROUND(I4244*J4244,0)</f>
        <v>1617000</v>
      </c>
      <c r="L4244" s="591" t="s">
        <v>160</v>
      </c>
      <c r="M4244" s="591" t="s">
        <v>292</v>
      </c>
      <c r="N4244" s="525" t="str">
        <f>IF(AND('331-CT'!$E$7=TH!H4244,OR(L4244="331",M4244="331")),"331",IF(AND(OR(L4244="131",M4244="131"),H4244='131-CT'!$E$7),"131",""))</f>
        <v/>
      </c>
      <c r="O4244" s="525" t="str">
        <f>IF(AND($B4244&gt;='111'!$N$11,$B4244&lt;='111'!$O$11,OR($L4244=$O$7,$M4244=$O$7)),"x","")</f>
        <v/>
      </c>
      <c r="P4244" s="525" t="str">
        <f>IF(AND($L4244=$O$7,$B4244&lt;'111'!$N$11),"x","")</f>
        <v/>
      </c>
      <c r="Q4244" s="525" t="str">
        <f>IF(AND($M4244=$O$7,$B4244&lt;'111'!$N$11),"x","")</f>
        <v/>
      </c>
      <c r="R4244" s="525" t="str">
        <f>IF(ISERROR(FIND('112'!$M$9,G4244,1)),"",IF((AND(FIND('112'!$M$9,G4244,1)&gt;=1,$B4244&gt;='112'!$N$8,$B4244&lt;='112'!$O$8,OR($L4244='112'!$I$6,$M4244='112'!$I$6))),"x",""))</f>
        <v/>
      </c>
      <c r="S4244" s="525" t="str">
        <f>IF(ISERROR(FIND('112'!$M$9,G4244,1)),"",IF((AND(LEFT(G4244,2)=LEFT('112'!$M$9,2),B4244&lt;'112'!$N$8,$L4244='112'!$I$6)),"x",""))</f>
        <v/>
      </c>
      <c r="T4244" s="525" t="str">
        <f>IF(ISERROR(FIND('112'!$M$9,G4244,1)),"",IF((AND(RIGHT(G4244,2)=RIGHT('112'!$M$9,2),B4244&lt;'112'!$N$8,$M4244='112'!$I$6)),"x",""))</f>
        <v/>
      </c>
      <c r="U4244" s="525" t="str">
        <f>IF(AND(B4244&gt;='IN-NX'!$P$3,B4244&lt;='IN-NX'!$Q$3,'IN-NX'!$D$7=D4244,OR(LEFT(L4244,2)="15",AND(LEFT(M4244,2)&lt;&gt;"15",LEFT(M4244,2)&lt;&gt;"33"))),"x","")</f>
        <v/>
      </c>
      <c r="V4244" s="525" t="str">
        <f>IF(AND(OR(LEFT(TH!L4244,2)="15",LEFT(TH!M4244,2)="15"),'152-CT'!$J$8=TH!F4244),"x","")</f>
        <v/>
      </c>
      <c r="W4244" s="525" t="str">
        <f>IF(AND(OR(LEFT(TH!L4244,2)="15",LEFT(TH!M4244,2)="15"),TK!$E$7=TH!F4244),"x","")</f>
        <v/>
      </c>
      <c r="X4244" s="525" t="str">
        <f>IF(AND('341-CT'!$E$9=H4244,OR(LEFT(L4244,3)=$X$7,LEFT(M4244,3)=$X$7)),"x","")</f>
        <v/>
      </c>
      <c r="Y4244" s="525" t="str">
        <f>IF(OR(TH!L4244=TH!$Y$7,M4244=TH!$Y$7),"x","")</f>
        <v/>
      </c>
      <c r="Z4244" s="525" t="str">
        <f>IF(AND(B4244&lt;=NKC!$N$8,B4244&gt;=NKC!$M$8),"x","")</f>
        <v/>
      </c>
      <c r="AA4244" s="526"/>
      <c r="AB4244" s="527"/>
    </row>
    <row r="4245" spans="1:29" s="576" customFormat="1" ht="15.75" customHeight="1">
      <c r="A4245" s="517" t="str">
        <f>IF(B4245&lt;&gt;"",IF(AND(B4245&gt;=_TM1,B4245&lt;=_TM2,OR(TH!L4245="1111",TH!M4245="1111")),TH!D4245,""),"")</f>
        <v/>
      </c>
      <c r="B4245" s="518">
        <f t="shared" si="545"/>
        <v>7</v>
      </c>
      <c r="C4245" s="571">
        <f t="shared" ref="C4245:C4290" si="547">E4245</f>
        <v>42921</v>
      </c>
      <c r="D4245" s="571" t="s">
        <v>996</v>
      </c>
      <c r="E4245" s="571">
        <v>42921</v>
      </c>
      <c r="F4245" s="572" t="s">
        <v>1290</v>
      </c>
      <c r="G4245" s="579" t="s">
        <v>1288</v>
      </c>
      <c r="H4245" s="574" t="s">
        <v>800</v>
      </c>
      <c r="I4245" s="523">
        <v>3530</v>
      </c>
      <c r="J4245" s="523">
        <v>12250</v>
      </c>
      <c r="K4245" s="575">
        <f t="shared" si="546"/>
        <v>43242500</v>
      </c>
      <c r="L4245" s="591" t="s">
        <v>160</v>
      </c>
      <c r="M4245" s="591" t="s">
        <v>292</v>
      </c>
      <c r="N4245" s="525" t="str">
        <f>IF(AND('331-CT'!$E$7=TH!H4245,OR(L4245="331",M4245="331")),"331",IF(AND(OR(L4245="131",M4245="131"),H4245='131-CT'!$E$7),"131",""))</f>
        <v/>
      </c>
      <c r="O4245" s="525" t="str">
        <f>IF(AND($B4245&gt;='111'!$N$11,$B4245&lt;='111'!$O$11,OR($L4245=$O$7,$M4245=$O$7)),"x","")</f>
        <v/>
      </c>
      <c r="P4245" s="525" t="str">
        <f>IF(AND($L4245=$O$7,$B4245&lt;'111'!$N$11),"x","")</f>
        <v/>
      </c>
      <c r="Q4245" s="525" t="str">
        <f>IF(AND($M4245=$O$7,$B4245&lt;'111'!$N$11),"x","")</f>
        <v/>
      </c>
      <c r="R4245" s="525" t="str">
        <f>IF(ISERROR(FIND('112'!$M$9,G4245,1)),"",IF((AND(FIND('112'!$M$9,G4245,1)&gt;=1,$B4245&gt;='112'!$N$8,$B4245&lt;='112'!$O$8,OR($L4245='112'!$I$6,$M4245='112'!$I$6))),"x",""))</f>
        <v/>
      </c>
      <c r="S4245" s="525" t="str">
        <f>IF(ISERROR(FIND('112'!$M$9,G4245,1)),"",IF((AND(LEFT(G4245,2)=LEFT('112'!$M$9,2),B4245&lt;'112'!$N$8,$L4245='112'!$I$6)),"x",""))</f>
        <v/>
      </c>
      <c r="T4245" s="525" t="str">
        <f>IF(ISERROR(FIND('112'!$M$9,G4245,1)),"",IF((AND(RIGHT(G4245,2)=RIGHT('112'!$M$9,2),B4245&lt;'112'!$N$8,$M4245='112'!$I$6)),"x",""))</f>
        <v/>
      </c>
      <c r="U4245" s="525" t="str">
        <f>IF(AND(B4245&gt;='IN-NX'!$P$3,B4245&lt;='IN-NX'!$Q$3,'IN-NX'!$D$7=D4245,OR(LEFT(L4245,2)="15",AND(LEFT(M4245,2)&lt;&gt;"15",LEFT(M4245,2)&lt;&gt;"33"))),"x","")</f>
        <v/>
      </c>
      <c r="V4245" s="525" t="str">
        <f>IF(AND(OR(LEFT(TH!L4245,2)="15",LEFT(TH!M4245,2)="15"),'152-CT'!$J$8=TH!F4245),"x","")</f>
        <v/>
      </c>
      <c r="W4245" s="525" t="str">
        <f>IF(AND(OR(LEFT(TH!L4245,2)="15",LEFT(TH!M4245,2)="15"),TK!$E$7=TH!F4245),"x","")</f>
        <v/>
      </c>
      <c r="X4245" s="525" t="str">
        <f>IF(AND('341-CT'!$E$9=H4245,OR(LEFT(L4245,3)=$X$7,LEFT(M4245,3)=$X$7)),"x","")</f>
        <v/>
      </c>
      <c r="Y4245" s="525" t="str">
        <f>IF(OR(TH!L4245=TH!$Y$7,M4245=TH!$Y$7),"x","")</f>
        <v/>
      </c>
      <c r="Z4245" s="525" t="str">
        <f>IF(AND(B4245&lt;=NKC!$N$8,B4245&gt;=NKC!$M$8),"x","")</f>
        <v/>
      </c>
      <c r="AA4245" s="526"/>
      <c r="AB4245" s="527"/>
    </row>
    <row r="4246" spans="1:29" s="576" customFormat="1" ht="15.75" customHeight="1">
      <c r="A4246" s="517" t="str">
        <f>IF(B4246&lt;&gt;"",IF(AND(B4246&gt;=_TM1,B4246&lt;=_TM2,OR(TH!L4246="1111",TH!M4246="1111")),TH!D4246,""),"")</f>
        <v/>
      </c>
      <c r="B4246" s="518">
        <f t="shared" si="545"/>
        <v>7</v>
      </c>
      <c r="C4246" s="571">
        <f t="shared" si="547"/>
        <v>42921</v>
      </c>
      <c r="D4246" s="571" t="s">
        <v>996</v>
      </c>
      <c r="E4246" s="571">
        <v>42921</v>
      </c>
      <c r="F4246" s="572" t="s">
        <v>1217</v>
      </c>
      <c r="G4246" s="579" t="s">
        <v>1289</v>
      </c>
      <c r="H4246" s="574" t="s">
        <v>800</v>
      </c>
      <c r="I4246" s="523">
        <v>2030</v>
      </c>
      <c r="J4246" s="523">
        <v>8624</v>
      </c>
      <c r="K4246" s="575">
        <f t="shared" si="546"/>
        <v>17506720</v>
      </c>
      <c r="L4246" s="591" t="s">
        <v>160</v>
      </c>
      <c r="M4246" s="591" t="s">
        <v>292</v>
      </c>
      <c r="N4246" s="525" t="str">
        <f>IF(AND('331-CT'!$E$7=TH!H4246,OR(L4246="331",M4246="331")),"331",IF(AND(OR(L4246="131",M4246="131"),H4246='131-CT'!$E$7),"131",""))</f>
        <v/>
      </c>
      <c r="O4246" s="525" t="str">
        <f>IF(AND($B4246&gt;='111'!$N$11,$B4246&lt;='111'!$O$11,OR($L4246=$O$7,$M4246=$O$7)),"x","")</f>
        <v/>
      </c>
      <c r="P4246" s="525" t="str">
        <f>IF(AND($L4246=$O$7,$B4246&lt;'111'!$N$11),"x","")</f>
        <v/>
      </c>
      <c r="Q4246" s="525" t="str">
        <f>IF(AND($M4246=$O$7,$B4246&lt;'111'!$N$11),"x","")</f>
        <v/>
      </c>
      <c r="R4246" s="525" t="str">
        <f>IF(ISERROR(FIND('112'!$M$9,G4246,1)),"",IF((AND(FIND('112'!$M$9,G4246,1)&gt;=1,$B4246&gt;='112'!$N$8,$B4246&lt;='112'!$O$8,OR($L4246='112'!$I$6,$M4246='112'!$I$6))),"x",""))</f>
        <v/>
      </c>
      <c r="S4246" s="525" t="str">
        <f>IF(ISERROR(FIND('112'!$M$9,G4246,1)),"",IF((AND(LEFT(G4246,2)=LEFT('112'!$M$9,2),B4246&lt;'112'!$N$8,$L4246='112'!$I$6)),"x",""))</f>
        <v/>
      </c>
      <c r="T4246" s="525" t="str">
        <f>IF(ISERROR(FIND('112'!$M$9,G4246,1)),"",IF((AND(RIGHT(G4246,2)=RIGHT('112'!$M$9,2),B4246&lt;'112'!$N$8,$M4246='112'!$I$6)),"x",""))</f>
        <v/>
      </c>
      <c r="U4246" s="525" t="str">
        <f>IF(AND(B4246&gt;='IN-NX'!$P$3,B4246&lt;='IN-NX'!$Q$3,'IN-NX'!$D$7=D4246,OR(LEFT(L4246,2)="15",AND(LEFT(M4246,2)&lt;&gt;"15",LEFT(M4246,2)&lt;&gt;"33"))),"x","")</f>
        <v/>
      </c>
      <c r="V4246" s="525" t="str">
        <f>IF(AND(OR(LEFT(TH!L4246,2)="15",LEFT(TH!M4246,2)="15"),'152-CT'!$J$8=TH!F4246),"x","")</f>
        <v/>
      </c>
      <c r="W4246" s="525" t="str">
        <f>IF(AND(OR(LEFT(TH!L4246,2)="15",LEFT(TH!M4246,2)="15"),TK!$E$7=TH!F4246),"x","")</f>
        <v/>
      </c>
      <c r="X4246" s="525" t="str">
        <f>IF(AND('341-CT'!$E$9=H4246,OR(LEFT(L4246,3)=$X$7,LEFT(M4246,3)=$X$7)),"x","")</f>
        <v/>
      </c>
      <c r="Y4246" s="525" t="str">
        <f>IF(OR(TH!L4246=TH!$Y$7,M4246=TH!$Y$7),"x","")</f>
        <v/>
      </c>
      <c r="Z4246" s="525" t="str">
        <f>IF(AND(B4246&lt;=NKC!$N$8,B4246&gt;=NKC!$M$8),"x","")</f>
        <v/>
      </c>
      <c r="AA4246" s="526"/>
      <c r="AB4246" s="527"/>
    </row>
    <row r="4247" spans="1:29" s="576" customFormat="1" ht="15.75" customHeight="1">
      <c r="A4247" s="517" t="str">
        <f>IF(B4247&lt;&gt;"",IF(AND(B4247&gt;=_TM1,B4247&lt;=_TM2,OR(TH!L4247="1111",TH!M4247="1111")),TH!D4247,""),"")</f>
        <v/>
      </c>
      <c r="B4247" s="518">
        <f t="shared" si="545"/>
        <v>7</v>
      </c>
      <c r="C4247" s="571">
        <f t="shared" si="547"/>
        <v>42922</v>
      </c>
      <c r="D4247" s="571" t="s">
        <v>996</v>
      </c>
      <c r="E4247" s="571">
        <v>42922</v>
      </c>
      <c r="F4247" s="572" t="s">
        <v>380</v>
      </c>
      <c r="G4247" s="579" t="s">
        <v>1291</v>
      </c>
      <c r="H4247" s="574" t="s">
        <v>800</v>
      </c>
      <c r="I4247" s="523">
        <v>1607</v>
      </c>
      <c r="J4247" s="523">
        <v>8232</v>
      </c>
      <c r="K4247" s="575">
        <f t="shared" si="546"/>
        <v>13228824</v>
      </c>
      <c r="L4247" s="591" t="s">
        <v>160</v>
      </c>
      <c r="M4247" s="591" t="s">
        <v>292</v>
      </c>
      <c r="N4247" s="525" t="str">
        <f>IF(AND('331-CT'!$E$7=TH!H4247,OR(L4247="331",M4247="331")),"331",IF(AND(OR(L4247="131",M4247="131"),H4247='131-CT'!$E$7),"131",""))</f>
        <v/>
      </c>
      <c r="O4247" s="525" t="str">
        <f>IF(AND($B4247&gt;='111'!$N$11,$B4247&lt;='111'!$O$11,OR($L4247=$O$7,$M4247=$O$7)),"x","")</f>
        <v/>
      </c>
      <c r="P4247" s="525" t="str">
        <f>IF(AND($L4247=$O$7,$B4247&lt;'111'!$N$11),"x","")</f>
        <v/>
      </c>
      <c r="Q4247" s="525" t="str">
        <f>IF(AND($M4247=$O$7,$B4247&lt;'111'!$N$11),"x","")</f>
        <v/>
      </c>
      <c r="R4247" s="525" t="str">
        <f>IF(ISERROR(FIND('112'!$M$9,G4247,1)),"",IF((AND(FIND('112'!$M$9,G4247,1)&gt;=1,$B4247&gt;='112'!$N$8,$B4247&lt;='112'!$O$8,OR($L4247='112'!$I$6,$M4247='112'!$I$6))),"x",""))</f>
        <v/>
      </c>
      <c r="S4247" s="525" t="str">
        <f>IF(ISERROR(FIND('112'!$M$9,G4247,1)),"",IF((AND(LEFT(G4247,2)=LEFT('112'!$M$9,2),B4247&lt;'112'!$N$8,$L4247='112'!$I$6)),"x",""))</f>
        <v/>
      </c>
      <c r="T4247" s="525" t="str">
        <f>IF(ISERROR(FIND('112'!$M$9,G4247,1)),"",IF((AND(RIGHT(G4247,2)=RIGHT('112'!$M$9,2),B4247&lt;'112'!$N$8,$M4247='112'!$I$6)),"x",""))</f>
        <v/>
      </c>
      <c r="U4247" s="525" t="str">
        <f>IF(AND(B4247&gt;='IN-NX'!$P$3,B4247&lt;='IN-NX'!$Q$3,'IN-NX'!$D$7=D4247,OR(LEFT(L4247,2)="15",AND(LEFT(M4247,2)&lt;&gt;"15",LEFT(M4247,2)&lt;&gt;"33"))),"x","")</f>
        <v/>
      </c>
      <c r="V4247" s="525" t="str">
        <f>IF(AND(OR(LEFT(TH!L4247,2)="15",LEFT(TH!M4247,2)="15"),'152-CT'!$J$8=TH!F4247),"x","")</f>
        <v/>
      </c>
      <c r="W4247" s="525" t="str">
        <f>IF(AND(OR(LEFT(TH!L4247,2)="15",LEFT(TH!M4247,2)="15"),TK!$E$7=TH!F4247),"x","")</f>
        <v/>
      </c>
      <c r="X4247" s="525" t="str">
        <f>IF(AND('341-CT'!$E$9=H4247,OR(LEFT(L4247,3)=$X$7,LEFT(M4247,3)=$X$7)),"x","")</f>
        <v/>
      </c>
      <c r="Y4247" s="525" t="str">
        <f>IF(OR(TH!L4247=TH!$Y$7,M4247=TH!$Y$7),"x","")</f>
        <v/>
      </c>
      <c r="Z4247" s="525" t="str">
        <f>IF(AND(B4247&lt;=NKC!$N$8,B4247&gt;=NKC!$M$8),"x","")</f>
        <v/>
      </c>
      <c r="AA4247" s="526"/>
      <c r="AB4247" s="527"/>
    </row>
    <row r="4248" spans="1:29" s="576" customFormat="1" ht="15.75" customHeight="1">
      <c r="A4248" s="517" t="str">
        <f>IF(B4248&lt;&gt;"",IF(AND(B4248&gt;=_TM1,B4248&lt;=_TM2,OR(TH!L4248="1111",TH!M4248="1111")),TH!D4248,""),"")</f>
        <v/>
      </c>
      <c r="B4248" s="518">
        <f t="shared" si="545"/>
        <v>7</v>
      </c>
      <c r="C4248" s="571">
        <f t="shared" si="547"/>
        <v>42922</v>
      </c>
      <c r="D4248" s="571" t="s">
        <v>996</v>
      </c>
      <c r="E4248" s="571">
        <v>42922</v>
      </c>
      <c r="F4248" s="577" t="s">
        <v>1217</v>
      </c>
      <c r="G4248" s="579" t="s">
        <v>1292</v>
      </c>
      <c r="H4248" s="574" t="s">
        <v>800</v>
      </c>
      <c r="I4248" s="523">
        <v>2030</v>
      </c>
      <c r="J4248" s="523">
        <v>8624</v>
      </c>
      <c r="K4248" s="575">
        <f t="shared" si="546"/>
        <v>17506720</v>
      </c>
      <c r="L4248" s="591" t="s">
        <v>160</v>
      </c>
      <c r="M4248" s="591" t="s">
        <v>292</v>
      </c>
      <c r="N4248" s="525" t="str">
        <f>IF(AND('331-CT'!$E$7=TH!H4248,OR(L4248="331",M4248="331")),"331",IF(AND(OR(L4248="131",M4248="131"),H4248='131-CT'!$E$7),"131",""))</f>
        <v/>
      </c>
      <c r="O4248" s="525" t="str">
        <f>IF(AND($B4248&gt;='111'!$N$11,$B4248&lt;='111'!$O$11,OR($L4248=$O$7,$M4248=$O$7)),"x","")</f>
        <v/>
      </c>
      <c r="P4248" s="525" t="str">
        <f>IF(AND($L4248=$O$7,$B4248&lt;'111'!$N$11),"x","")</f>
        <v/>
      </c>
      <c r="Q4248" s="525" t="str">
        <f>IF(AND($M4248=$O$7,$B4248&lt;'111'!$N$11),"x","")</f>
        <v/>
      </c>
      <c r="R4248" s="525" t="str">
        <f>IF(ISERROR(FIND('112'!$M$9,G4248,1)),"",IF((AND(FIND('112'!$M$9,G4248,1)&gt;=1,$B4248&gt;='112'!$N$8,$B4248&lt;='112'!$O$8,OR($L4248='112'!$I$6,$M4248='112'!$I$6))),"x",""))</f>
        <v/>
      </c>
      <c r="S4248" s="525" t="str">
        <f>IF(ISERROR(FIND('112'!$M$9,G4248,1)),"",IF((AND(LEFT(G4248,2)=LEFT('112'!$M$9,2),B4248&lt;'112'!$N$8,$L4248='112'!$I$6)),"x",""))</f>
        <v/>
      </c>
      <c r="T4248" s="525" t="str">
        <f>IF(ISERROR(FIND('112'!$M$9,G4248,1)),"",IF((AND(RIGHT(G4248,2)=RIGHT('112'!$M$9,2),B4248&lt;'112'!$N$8,$M4248='112'!$I$6)),"x",""))</f>
        <v/>
      </c>
      <c r="U4248" s="525" t="str">
        <f>IF(AND(B4248&gt;='IN-NX'!$P$3,B4248&lt;='IN-NX'!$Q$3,'IN-NX'!$D$7=D4248,OR(LEFT(L4248,2)="15",AND(LEFT(M4248,2)&lt;&gt;"15",LEFT(M4248,2)&lt;&gt;"33"))),"x","")</f>
        <v/>
      </c>
      <c r="V4248" s="525" t="str">
        <f>IF(AND(OR(LEFT(TH!L4248,2)="15",LEFT(TH!M4248,2)="15"),'152-CT'!$J$8=TH!F4248),"x","")</f>
        <v/>
      </c>
      <c r="W4248" s="525" t="str">
        <f>IF(AND(OR(LEFT(TH!L4248,2)="15",LEFT(TH!M4248,2)="15"),TK!$E$7=TH!F4248),"x","")</f>
        <v/>
      </c>
      <c r="X4248" s="525" t="str">
        <f>IF(AND('341-CT'!$E$9=H4248,OR(LEFT(L4248,3)=$X$7,LEFT(M4248,3)=$X$7)),"x","")</f>
        <v/>
      </c>
      <c r="Y4248" s="525" t="str">
        <f>IF(OR(TH!L4248=TH!$Y$7,M4248=TH!$Y$7),"x","")</f>
        <v/>
      </c>
      <c r="Z4248" s="525" t="str">
        <f>IF(AND(B4248&lt;=NKC!$N$8,B4248&gt;=NKC!$M$8),"x","")</f>
        <v/>
      </c>
      <c r="AA4248" s="526"/>
      <c r="AB4248" s="527"/>
    </row>
    <row r="4249" spans="1:29" s="576" customFormat="1" ht="15.75" customHeight="1">
      <c r="A4249" s="517" t="str">
        <f>IF(B4249&lt;&gt;"",IF(AND(B4249&gt;=_TM1,B4249&lt;=_TM2,OR(TH!L4249="1111",TH!M4249="1111")),TH!D4249,""),"")</f>
        <v/>
      </c>
      <c r="B4249" s="518">
        <f t="shared" si="545"/>
        <v>7</v>
      </c>
      <c r="C4249" s="571">
        <f t="shared" si="547"/>
        <v>42923</v>
      </c>
      <c r="D4249" s="571" t="s">
        <v>996</v>
      </c>
      <c r="E4249" s="571">
        <v>42923</v>
      </c>
      <c r="F4249" s="520" t="s">
        <v>1217</v>
      </c>
      <c r="G4249" s="579" t="s">
        <v>1293</v>
      </c>
      <c r="H4249" s="574" t="s">
        <v>800</v>
      </c>
      <c r="I4249" s="523">
        <v>2030</v>
      </c>
      <c r="J4249" s="523">
        <v>8624</v>
      </c>
      <c r="K4249" s="575">
        <f t="shared" si="546"/>
        <v>17506720</v>
      </c>
      <c r="L4249" s="591" t="s">
        <v>160</v>
      </c>
      <c r="M4249" s="591" t="s">
        <v>292</v>
      </c>
      <c r="N4249" s="525" t="str">
        <f>IF(AND('331-CT'!$E$7=TH!H4249,OR(L4249="331",M4249="331")),"331",IF(AND(OR(L4249="131",M4249="131"),H4249='131-CT'!$E$7),"131",""))</f>
        <v/>
      </c>
      <c r="O4249" s="525" t="str">
        <f>IF(AND($B4249&gt;='111'!$N$11,$B4249&lt;='111'!$O$11,OR($L4249=$O$7,$M4249=$O$7)),"x","")</f>
        <v/>
      </c>
      <c r="P4249" s="525" t="str">
        <f>IF(AND($L4249=$O$7,$B4249&lt;'111'!$N$11),"x","")</f>
        <v/>
      </c>
      <c r="Q4249" s="525" t="str">
        <f>IF(AND($M4249=$O$7,$B4249&lt;'111'!$N$11),"x","")</f>
        <v/>
      </c>
      <c r="R4249" s="525" t="str">
        <f>IF(ISERROR(FIND('112'!$M$9,G4249,1)),"",IF((AND(FIND('112'!$M$9,G4249,1)&gt;=1,$B4249&gt;='112'!$N$8,$B4249&lt;='112'!$O$8,OR($L4249='112'!$I$6,$M4249='112'!$I$6))),"x",""))</f>
        <v/>
      </c>
      <c r="S4249" s="525" t="str">
        <f>IF(ISERROR(FIND('112'!$M$9,G4249,1)),"",IF((AND(LEFT(G4249,2)=LEFT('112'!$M$9,2),B4249&lt;'112'!$N$8,$L4249='112'!$I$6)),"x",""))</f>
        <v/>
      </c>
      <c r="T4249" s="525" t="str">
        <f>IF(ISERROR(FIND('112'!$M$9,G4249,1)),"",IF((AND(RIGHT(G4249,2)=RIGHT('112'!$M$9,2),B4249&lt;'112'!$N$8,$M4249='112'!$I$6)),"x",""))</f>
        <v/>
      </c>
      <c r="U4249" s="525" t="str">
        <f>IF(AND(B4249&gt;='IN-NX'!$P$3,B4249&lt;='IN-NX'!$Q$3,'IN-NX'!$D$7=D4249,OR(LEFT(L4249,2)="15",AND(LEFT(M4249,2)&lt;&gt;"15",LEFT(M4249,2)&lt;&gt;"33"))),"x","")</f>
        <v/>
      </c>
      <c r="V4249" s="525" t="str">
        <f>IF(AND(OR(LEFT(TH!L4249,2)="15",LEFT(TH!M4249,2)="15"),'152-CT'!$J$8=TH!F4249),"x","")</f>
        <v/>
      </c>
      <c r="W4249" s="525" t="str">
        <f>IF(AND(OR(LEFT(TH!L4249,2)="15",LEFT(TH!M4249,2)="15"),TK!$E$7=TH!F4249),"x","")</f>
        <v/>
      </c>
      <c r="X4249" s="525" t="str">
        <f>IF(AND('341-CT'!$E$9=H4249,OR(LEFT(L4249,3)=$X$7,LEFT(M4249,3)=$X$7)),"x","")</f>
        <v/>
      </c>
      <c r="Y4249" s="525" t="str">
        <f>IF(OR(TH!L4249=TH!$Y$7,M4249=TH!$Y$7),"x","")</f>
        <v/>
      </c>
      <c r="Z4249" s="525" t="str">
        <f>IF(AND(B4249&lt;=NKC!$N$8,B4249&gt;=NKC!$M$8),"x","")</f>
        <v/>
      </c>
      <c r="AA4249" s="526"/>
      <c r="AB4249" s="527"/>
    </row>
    <row r="4250" spans="1:29" s="576" customFormat="1" ht="15.75" customHeight="1">
      <c r="A4250" s="517" t="str">
        <f>IF(B4250&lt;&gt;"",IF(AND(B4250&gt;=_TM1,B4250&lt;=_TM2,OR(TH!L4250="1111",TH!M4250="1111")),TH!D4250,""),"")</f>
        <v/>
      </c>
      <c r="B4250" s="518">
        <f t="shared" si="545"/>
        <v>7</v>
      </c>
      <c r="C4250" s="571">
        <f t="shared" si="547"/>
        <v>42923</v>
      </c>
      <c r="D4250" s="571" t="s">
        <v>996</v>
      </c>
      <c r="E4250" s="571">
        <v>42923</v>
      </c>
      <c r="F4250" s="520" t="s">
        <v>380</v>
      </c>
      <c r="G4250" s="579" t="s">
        <v>1294</v>
      </c>
      <c r="H4250" s="574" t="s">
        <v>800</v>
      </c>
      <c r="I4250" s="523">
        <v>2084</v>
      </c>
      <c r="J4250" s="523">
        <v>8232</v>
      </c>
      <c r="K4250" s="575">
        <f t="shared" si="546"/>
        <v>17155488</v>
      </c>
      <c r="L4250" s="591" t="s">
        <v>160</v>
      </c>
      <c r="M4250" s="591" t="s">
        <v>292</v>
      </c>
      <c r="N4250" s="525" t="str">
        <f>IF(AND('331-CT'!$E$7=TH!H4250,OR(L4250="331",M4250="331")),"331",IF(AND(OR(L4250="131",M4250="131"),H4250='131-CT'!$E$7),"131",""))</f>
        <v/>
      </c>
      <c r="O4250" s="525" t="str">
        <f>IF(AND($B4250&gt;='111'!$N$11,$B4250&lt;='111'!$O$11,OR($L4250=$O$7,$M4250=$O$7)),"x","")</f>
        <v/>
      </c>
      <c r="P4250" s="525" t="str">
        <f>IF(AND($L4250=$O$7,$B4250&lt;'111'!$N$11),"x","")</f>
        <v/>
      </c>
      <c r="Q4250" s="525" t="str">
        <f>IF(AND($M4250=$O$7,$B4250&lt;'111'!$N$11),"x","")</f>
        <v/>
      </c>
      <c r="R4250" s="525" t="str">
        <f>IF(ISERROR(FIND('112'!$M$9,G4250,1)),"",IF((AND(FIND('112'!$M$9,G4250,1)&gt;=1,$B4250&gt;='112'!$N$8,$B4250&lt;='112'!$O$8,OR($L4250='112'!$I$6,$M4250='112'!$I$6))),"x",""))</f>
        <v/>
      </c>
      <c r="S4250" s="525" t="str">
        <f>IF(ISERROR(FIND('112'!$M$9,G4250,1)),"",IF((AND(LEFT(G4250,2)=LEFT('112'!$M$9,2),B4250&lt;'112'!$N$8,$L4250='112'!$I$6)),"x",""))</f>
        <v/>
      </c>
      <c r="T4250" s="525" t="str">
        <f>IF(ISERROR(FIND('112'!$M$9,G4250,1)),"",IF((AND(RIGHT(G4250,2)=RIGHT('112'!$M$9,2),B4250&lt;'112'!$N$8,$M4250='112'!$I$6)),"x",""))</f>
        <v/>
      </c>
      <c r="U4250" s="525" t="str">
        <f>IF(AND(B4250&gt;='IN-NX'!$P$3,B4250&lt;='IN-NX'!$Q$3,'IN-NX'!$D$7=D4250,OR(LEFT(L4250,2)="15",AND(LEFT(M4250,2)&lt;&gt;"15",LEFT(M4250,2)&lt;&gt;"33"))),"x","")</f>
        <v/>
      </c>
      <c r="V4250" s="525" t="str">
        <f>IF(AND(OR(LEFT(TH!L4250,2)="15",LEFT(TH!M4250,2)="15"),'152-CT'!$J$8=TH!F4250),"x","")</f>
        <v/>
      </c>
      <c r="W4250" s="525" t="str">
        <f>IF(AND(OR(LEFT(TH!L4250,2)="15",LEFT(TH!M4250,2)="15"),TK!$E$7=TH!F4250),"x","")</f>
        <v/>
      </c>
      <c r="X4250" s="525" t="str">
        <f>IF(AND('341-CT'!$E$9=H4250,OR(LEFT(L4250,3)=$X$7,LEFT(M4250,3)=$X$7)),"x","")</f>
        <v/>
      </c>
      <c r="Y4250" s="525" t="str">
        <f>IF(OR(TH!L4250=TH!$Y$7,M4250=TH!$Y$7),"x","")</f>
        <v/>
      </c>
      <c r="Z4250" s="525" t="str">
        <f>IF(AND(B4250&lt;=NKC!$N$8,B4250&gt;=NKC!$M$8),"x","")</f>
        <v/>
      </c>
      <c r="AA4250" s="526"/>
      <c r="AB4250" s="527"/>
    </row>
    <row r="4251" spans="1:29" s="576" customFormat="1" ht="15.75" customHeight="1">
      <c r="A4251" s="517" t="str">
        <f>IF(B4251&lt;&gt;"",IF(AND(B4251&gt;=_TM1,B4251&lt;=_TM2,OR(TH!L4251="1111",TH!M4251="1111")),TH!D4251,""),"")</f>
        <v/>
      </c>
      <c r="B4251" s="518">
        <f t="shared" si="545"/>
        <v>7</v>
      </c>
      <c r="C4251" s="571">
        <f t="shared" si="547"/>
        <v>42924</v>
      </c>
      <c r="D4251" s="571" t="s">
        <v>996</v>
      </c>
      <c r="E4251" s="571">
        <v>42924</v>
      </c>
      <c r="F4251" s="520" t="s">
        <v>1217</v>
      </c>
      <c r="G4251" s="579" t="s">
        <v>1295</v>
      </c>
      <c r="H4251" s="574" t="s">
        <v>800</v>
      </c>
      <c r="I4251" s="523">
        <v>2030</v>
      </c>
      <c r="J4251" s="523">
        <v>8624</v>
      </c>
      <c r="K4251" s="575">
        <f t="shared" si="546"/>
        <v>17506720</v>
      </c>
      <c r="L4251" s="591" t="s">
        <v>160</v>
      </c>
      <c r="M4251" s="591" t="s">
        <v>292</v>
      </c>
      <c r="N4251" s="525" t="str">
        <f>IF(AND('331-CT'!$E$7=TH!H4251,OR(L4251="331",M4251="331")),"331",IF(AND(OR(L4251="131",M4251="131"),H4251='131-CT'!$E$7),"131",""))</f>
        <v/>
      </c>
      <c r="O4251" s="525" t="str">
        <f>IF(AND($B4251&gt;='111'!$N$11,$B4251&lt;='111'!$O$11,OR($L4251=$O$7,$M4251=$O$7)),"x","")</f>
        <v/>
      </c>
      <c r="P4251" s="525" t="str">
        <f>IF(AND($L4251=$O$7,$B4251&lt;'111'!$N$11),"x","")</f>
        <v/>
      </c>
      <c r="Q4251" s="525" t="str">
        <f>IF(AND($M4251=$O$7,$B4251&lt;'111'!$N$11),"x","")</f>
        <v/>
      </c>
      <c r="R4251" s="525" t="str">
        <f>IF(ISERROR(FIND('112'!$M$9,G4251,1)),"",IF((AND(FIND('112'!$M$9,G4251,1)&gt;=1,$B4251&gt;='112'!$N$8,$B4251&lt;='112'!$O$8,OR($L4251='112'!$I$6,$M4251='112'!$I$6))),"x",""))</f>
        <v/>
      </c>
      <c r="S4251" s="525" t="str">
        <f>IF(ISERROR(FIND('112'!$M$9,G4251,1)),"",IF((AND(LEFT(G4251,2)=LEFT('112'!$M$9,2),B4251&lt;'112'!$N$8,$L4251='112'!$I$6)),"x",""))</f>
        <v/>
      </c>
      <c r="T4251" s="525" t="str">
        <f>IF(ISERROR(FIND('112'!$M$9,G4251,1)),"",IF((AND(RIGHT(G4251,2)=RIGHT('112'!$M$9,2),B4251&lt;'112'!$N$8,$M4251='112'!$I$6)),"x",""))</f>
        <v/>
      </c>
      <c r="U4251" s="525" t="str">
        <f>IF(AND(B4251&gt;='IN-NX'!$P$3,B4251&lt;='IN-NX'!$Q$3,'IN-NX'!$D$7=D4251,OR(LEFT(L4251,2)="15",AND(LEFT(M4251,2)&lt;&gt;"15",LEFT(M4251,2)&lt;&gt;"33"))),"x","")</f>
        <v/>
      </c>
      <c r="V4251" s="525" t="str">
        <f>IF(AND(OR(LEFT(TH!L4251,2)="15",LEFT(TH!M4251,2)="15"),'152-CT'!$J$8=TH!F4251),"x","")</f>
        <v/>
      </c>
      <c r="W4251" s="525" t="str">
        <f>IF(AND(OR(LEFT(TH!L4251,2)="15",LEFT(TH!M4251,2)="15"),TK!$E$7=TH!F4251),"x","")</f>
        <v/>
      </c>
      <c r="X4251" s="525" t="str">
        <f>IF(AND('341-CT'!$E$9=H4251,OR(LEFT(L4251,3)=$X$7,LEFT(M4251,3)=$X$7)),"x","")</f>
        <v/>
      </c>
      <c r="Y4251" s="525" t="str">
        <f>IF(OR(TH!L4251=TH!$Y$7,M4251=TH!$Y$7),"x","")</f>
        <v/>
      </c>
      <c r="Z4251" s="525" t="str">
        <f>IF(AND(B4251&lt;=NKC!$N$8,B4251&gt;=NKC!$M$8),"x","")</f>
        <v/>
      </c>
      <c r="AA4251" s="526"/>
      <c r="AB4251" s="527"/>
    </row>
    <row r="4252" spans="1:29" s="576" customFormat="1" ht="15.75" customHeight="1">
      <c r="A4252" s="517" t="str">
        <f>IF(B4252&lt;&gt;"",IF(AND(B4252&gt;=_TM1,B4252&lt;=_TM2,OR(TH!L4252="1111",TH!M4252="1111")),TH!D4252,""),"")</f>
        <v/>
      </c>
      <c r="B4252" s="518">
        <f t="shared" si="545"/>
        <v>7</v>
      </c>
      <c r="C4252" s="571">
        <f t="shared" si="547"/>
        <v>42925</v>
      </c>
      <c r="D4252" s="571" t="s">
        <v>996</v>
      </c>
      <c r="E4252" s="571">
        <v>42925</v>
      </c>
      <c r="F4252" s="572" t="s">
        <v>380</v>
      </c>
      <c r="G4252" s="579" t="s">
        <v>1296</v>
      </c>
      <c r="H4252" s="574" t="s">
        <v>800</v>
      </c>
      <c r="I4252" s="523">
        <v>1631</v>
      </c>
      <c r="J4252" s="523">
        <v>8232</v>
      </c>
      <c r="K4252" s="575">
        <f t="shared" si="546"/>
        <v>13426392</v>
      </c>
      <c r="L4252" s="591" t="s">
        <v>160</v>
      </c>
      <c r="M4252" s="591" t="s">
        <v>292</v>
      </c>
      <c r="N4252" s="525" t="str">
        <f>IF(AND('331-CT'!$E$7=TH!H4252,OR(L4252="331",M4252="331")),"331",IF(AND(OR(L4252="131",M4252="131"),H4252='131-CT'!$E$7),"131",""))</f>
        <v/>
      </c>
      <c r="O4252" s="525" t="str">
        <f>IF(AND($B4252&gt;='111'!$N$11,$B4252&lt;='111'!$O$11,OR($L4252=$O$7,$M4252=$O$7)),"x","")</f>
        <v/>
      </c>
      <c r="P4252" s="525" t="str">
        <f>IF(AND($L4252=$O$7,$B4252&lt;'111'!$N$11),"x","")</f>
        <v/>
      </c>
      <c r="Q4252" s="525" t="str">
        <f>IF(AND($M4252=$O$7,$B4252&lt;'111'!$N$11),"x","")</f>
        <v/>
      </c>
      <c r="R4252" s="525" t="str">
        <f>IF(ISERROR(FIND('112'!$M$9,G4252,1)),"",IF((AND(FIND('112'!$M$9,G4252,1)&gt;=1,$B4252&gt;='112'!$N$8,$B4252&lt;='112'!$O$8,OR($L4252='112'!$I$6,$M4252='112'!$I$6))),"x",""))</f>
        <v/>
      </c>
      <c r="S4252" s="525" t="str">
        <f>IF(ISERROR(FIND('112'!$M$9,G4252,1)),"",IF((AND(LEFT(G4252,2)=LEFT('112'!$M$9,2),B4252&lt;'112'!$N$8,$L4252='112'!$I$6)),"x",""))</f>
        <v/>
      </c>
      <c r="T4252" s="525" t="str">
        <f>IF(ISERROR(FIND('112'!$M$9,G4252,1)),"",IF((AND(RIGHT(G4252,2)=RIGHT('112'!$M$9,2),B4252&lt;'112'!$N$8,$M4252='112'!$I$6)),"x",""))</f>
        <v/>
      </c>
      <c r="U4252" s="525" t="str">
        <f>IF(AND(B4252&gt;='IN-NX'!$P$3,B4252&lt;='IN-NX'!$Q$3,'IN-NX'!$D$7=D4252,OR(LEFT(L4252,2)="15",AND(LEFT(M4252,2)&lt;&gt;"15",LEFT(M4252,2)&lt;&gt;"33"))),"x","")</f>
        <v/>
      </c>
      <c r="V4252" s="525" t="str">
        <f>IF(AND(OR(LEFT(TH!L4252,2)="15",LEFT(TH!M4252,2)="15"),'152-CT'!$J$8=TH!F4252),"x","")</f>
        <v/>
      </c>
      <c r="W4252" s="525" t="str">
        <f>IF(AND(OR(LEFT(TH!L4252,2)="15",LEFT(TH!M4252,2)="15"),TK!$E$7=TH!F4252),"x","")</f>
        <v/>
      </c>
      <c r="X4252" s="525" t="str">
        <f>IF(AND('341-CT'!$E$9=H4252,OR(LEFT(L4252,3)=$X$7,LEFT(M4252,3)=$X$7)),"x","")</f>
        <v/>
      </c>
      <c r="Y4252" s="525" t="str">
        <f>IF(OR(TH!L4252=TH!$Y$7,M4252=TH!$Y$7),"x","")</f>
        <v/>
      </c>
      <c r="Z4252" s="525" t="str">
        <f>IF(AND(B4252&lt;=NKC!$N$8,B4252&gt;=NKC!$M$8),"x","")</f>
        <v/>
      </c>
      <c r="AA4252" s="526"/>
      <c r="AB4252" s="527"/>
    </row>
    <row r="4253" spans="1:29" s="576" customFormat="1" ht="15.75" customHeight="1">
      <c r="A4253" s="517" t="str">
        <f>IF(B4253&lt;&gt;"",IF(AND(B4253&gt;=_TM1,B4253&lt;=_TM2,OR(TH!L4253="1111",TH!M4253="1111")),TH!D4253,""),"")</f>
        <v/>
      </c>
      <c r="B4253" s="518">
        <f t="shared" si="545"/>
        <v>7</v>
      </c>
      <c r="C4253" s="571">
        <f t="shared" si="547"/>
        <v>42925</v>
      </c>
      <c r="D4253" s="571" t="s">
        <v>996</v>
      </c>
      <c r="E4253" s="571">
        <v>42925</v>
      </c>
      <c r="F4253" s="520" t="s">
        <v>1217</v>
      </c>
      <c r="G4253" s="579" t="s">
        <v>1297</v>
      </c>
      <c r="H4253" s="574" t="s">
        <v>800</v>
      </c>
      <c r="I4253" s="523">
        <v>2030</v>
      </c>
      <c r="J4253" s="523">
        <v>8624</v>
      </c>
      <c r="K4253" s="575">
        <f t="shared" si="546"/>
        <v>17506720</v>
      </c>
      <c r="L4253" s="591" t="s">
        <v>160</v>
      </c>
      <c r="M4253" s="591" t="s">
        <v>292</v>
      </c>
      <c r="N4253" s="525" t="str">
        <f>IF(AND('331-CT'!$E$7=TH!H4253,OR(L4253="331",M4253="331")),"331",IF(AND(OR(L4253="131",M4253="131"),H4253='131-CT'!$E$7),"131",""))</f>
        <v/>
      </c>
      <c r="O4253" s="525" t="str">
        <f>IF(AND($B4253&gt;='111'!$N$11,$B4253&lt;='111'!$O$11,OR($L4253=$O$7,$M4253=$O$7)),"x","")</f>
        <v/>
      </c>
      <c r="P4253" s="525" t="str">
        <f>IF(AND($L4253=$O$7,$B4253&lt;'111'!$N$11),"x","")</f>
        <v/>
      </c>
      <c r="Q4253" s="525" t="str">
        <f>IF(AND($M4253=$O$7,$B4253&lt;'111'!$N$11),"x","")</f>
        <v/>
      </c>
      <c r="R4253" s="525" t="str">
        <f>IF(ISERROR(FIND('112'!$M$9,G4253,1)),"",IF((AND(FIND('112'!$M$9,G4253,1)&gt;=1,$B4253&gt;='112'!$N$8,$B4253&lt;='112'!$O$8,OR($L4253='112'!$I$6,$M4253='112'!$I$6))),"x",""))</f>
        <v/>
      </c>
      <c r="S4253" s="525" t="str">
        <f>IF(ISERROR(FIND('112'!$M$9,G4253,1)),"",IF((AND(LEFT(G4253,2)=LEFT('112'!$M$9,2),B4253&lt;'112'!$N$8,$L4253='112'!$I$6)),"x",""))</f>
        <v/>
      </c>
      <c r="T4253" s="525" t="str">
        <f>IF(ISERROR(FIND('112'!$M$9,G4253,1)),"",IF((AND(RIGHT(G4253,2)=RIGHT('112'!$M$9,2),B4253&lt;'112'!$N$8,$M4253='112'!$I$6)),"x",""))</f>
        <v/>
      </c>
      <c r="U4253" s="525" t="str">
        <f>IF(AND(B4253&gt;='IN-NX'!$P$3,B4253&lt;='IN-NX'!$Q$3,'IN-NX'!$D$7=D4253,OR(LEFT(L4253,2)="15",AND(LEFT(M4253,2)&lt;&gt;"15",LEFT(M4253,2)&lt;&gt;"33"))),"x","")</f>
        <v/>
      </c>
      <c r="V4253" s="525" t="str">
        <f>IF(AND(OR(LEFT(TH!L4253,2)="15",LEFT(TH!M4253,2)="15"),'152-CT'!$J$8=TH!F4253),"x","")</f>
        <v/>
      </c>
      <c r="W4253" s="525" t="str">
        <f>IF(AND(OR(LEFT(TH!L4253,2)="15",LEFT(TH!M4253,2)="15"),TK!$E$7=TH!F4253),"x","")</f>
        <v/>
      </c>
      <c r="X4253" s="525" t="str">
        <f>IF(AND('341-CT'!$E$9=H4253,OR(LEFT(L4253,3)=$X$7,LEFT(M4253,3)=$X$7)),"x","")</f>
        <v/>
      </c>
      <c r="Y4253" s="525" t="str">
        <f>IF(OR(TH!L4253=TH!$Y$7,M4253=TH!$Y$7),"x","")</f>
        <v/>
      </c>
      <c r="Z4253" s="525" t="str">
        <f>IF(AND(B4253&lt;=NKC!$N$8,B4253&gt;=NKC!$M$8),"x","")</f>
        <v/>
      </c>
      <c r="AA4253" s="526"/>
      <c r="AB4253" s="527"/>
    </row>
    <row r="4254" spans="1:29" s="576" customFormat="1" ht="15.75" customHeight="1">
      <c r="A4254" s="517" t="str">
        <f>IF(B4254&lt;&gt;"",IF(AND(B4254&gt;=_TM1,B4254&lt;=_TM2,OR(TH!L4254="1111",TH!M4254="1111")),TH!D4254,""),"")</f>
        <v/>
      </c>
      <c r="B4254" s="518">
        <f t="shared" si="545"/>
        <v>7</v>
      </c>
      <c r="C4254" s="571">
        <f t="shared" si="547"/>
        <v>42926</v>
      </c>
      <c r="D4254" s="571" t="s">
        <v>996</v>
      </c>
      <c r="E4254" s="571">
        <v>42926</v>
      </c>
      <c r="F4254" s="520" t="s">
        <v>380</v>
      </c>
      <c r="G4254" s="579" t="s">
        <v>1298</v>
      </c>
      <c r="H4254" s="574" t="s">
        <v>800</v>
      </c>
      <c r="I4254" s="523">
        <v>1905</v>
      </c>
      <c r="J4254" s="523">
        <v>8232</v>
      </c>
      <c r="K4254" s="575">
        <f t="shared" si="546"/>
        <v>15681960</v>
      </c>
      <c r="L4254" s="591" t="s">
        <v>160</v>
      </c>
      <c r="M4254" s="591" t="s">
        <v>292</v>
      </c>
      <c r="N4254" s="525" t="str">
        <f>IF(AND('331-CT'!$E$7=TH!H4254,OR(L4254="331",M4254="331")),"331",IF(AND(OR(L4254="131",M4254="131"),H4254='131-CT'!$E$7),"131",""))</f>
        <v/>
      </c>
      <c r="O4254" s="525" t="str">
        <f>IF(AND($B4254&gt;='111'!$N$11,$B4254&lt;='111'!$O$11,OR($L4254=$O$7,$M4254=$O$7)),"x","")</f>
        <v/>
      </c>
      <c r="P4254" s="525" t="str">
        <f>IF(AND($L4254=$O$7,$B4254&lt;'111'!$N$11),"x","")</f>
        <v/>
      </c>
      <c r="Q4254" s="525" t="str">
        <f>IF(AND($M4254=$O$7,$B4254&lt;'111'!$N$11),"x","")</f>
        <v/>
      </c>
      <c r="R4254" s="525" t="str">
        <f>IF(ISERROR(FIND('112'!$M$9,G4254,1)),"",IF((AND(FIND('112'!$M$9,G4254,1)&gt;=1,$B4254&gt;='112'!$N$8,$B4254&lt;='112'!$O$8,OR($L4254='112'!$I$6,$M4254='112'!$I$6))),"x",""))</f>
        <v/>
      </c>
      <c r="S4254" s="525" t="str">
        <f>IF(ISERROR(FIND('112'!$M$9,G4254,1)),"",IF((AND(LEFT(G4254,2)=LEFT('112'!$M$9,2),B4254&lt;'112'!$N$8,$L4254='112'!$I$6)),"x",""))</f>
        <v/>
      </c>
      <c r="T4254" s="525" t="str">
        <f>IF(ISERROR(FIND('112'!$M$9,G4254,1)),"",IF((AND(RIGHT(G4254,2)=RIGHT('112'!$M$9,2),B4254&lt;'112'!$N$8,$M4254='112'!$I$6)),"x",""))</f>
        <v/>
      </c>
      <c r="U4254" s="525" t="str">
        <f>IF(AND(B4254&gt;='IN-NX'!$P$3,B4254&lt;='IN-NX'!$Q$3,'IN-NX'!$D$7=D4254,OR(LEFT(L4254,2)="15",AND(LEFT(M4254,2)&lt;&gt;"15",LEFT(M4254,2)&lt;&gt;"33"))),"x","")</f>
        <v/>
      </c>
      <c r="V4254" s="525" t="str">
        <f>IF(AND(OR(LEFT(TH!L4254,2)="15",LEFT(TH!M4254,2)="15"),'152-CT'!$J$8=TH!F4254),"x","")</f>
        <v/>
      </c>
      <c r="W4254" s="525" t="str">
        <f>IF(AND(OR(LEFT(TH!L4254,2)="15",LEFT(TH!M4254,2)="15"),TK!$E$7=TH!F4254),"x","")</f>
        <v/>
      </c>
      <c r="X4254" s="525" t="str">
        <f>IF(AND('341-CT'!$E$9=H4254,OR(LEFT(L4254,3)=$X$7,LEFT(M4254,3)=$X$7)),"x","")</f>
        <v/>
      </c>
      <c r="Y4254" s="525" t="str">
        <f>IF(OR(TH!L4254=TH!$Y$7,M4254=TH!$Y$7),"x","")</f>
        <v/>
      </c>
      <c r="Z4254" s="525" t="str">
        <f>IF(AND(B4254&lt;=NKC!$N$8,B4254&gt;=NKC!$M$8),"x","")</f>
        <v/>
      </c>
      <c r="AA4254" s="526"/>
      <c r="AB4254" s="527"/>
    </row>
    <row r="4255" spans="1:29" s="576" customFormat="1" ht="15.75" customHeight="1">
      <c r="A4255" s="517" t="str">
        <f>IF(B4255&lt;&gt;"",IF(AND(B4255&gt;=_TM1,B4255&lt;=_TM2,OR(TH!L4255="1111",TH!M4255="1111")),TH!D4255,""),"")</f>
        <v/>
      </c>
      <c r="B4255" s="518">
        <f t="shared" si="545"/>
        <v>7</v>
      </c>
      <c r="C4255" s="571">
        <f t="shared" si="547"/>
        <v>42926</v>
      </c>
      <c r="D4255" s="571" t="s">
        <v>996</v>
      </c>
      <c r="E4255" s="571">
        <v>42926</v>
      </c>
      <c r="F4255" s="520" t="s">
        <v>1217</v>
      </c>
      <c r="G4255" s="579" t="s">
        <v>1299</v>
      </c>
      <c r="H4255" s="574" t="s">
        <v>800</v>
      </c>
      <c r="I4255" s="523">
        <v>2030</v>
      </c>
      <c r="J4255" s="523">
        <v>8624</v>
      </c>
      <c r="K4255" s="575">
        <f t="shared" si="546"/>
        <v>17506720</v>
      </c>
      <c r="L4255" s="591" t="s">
        <v>160</v>
      </c>
      <c r="M4255" s="591" t="s">
        <v>292</v>
      </c>
      <c r="N4255" s="525" t="str">
        <f>IF(AND('331-CT'!$E$7=TH!H4255,OR(L4255="331",M4255="331")),"331",IF(AND(OR(L4255="131",M4255="131"),H4255='131-CT'!$E$7),"131",""))</f>
        <v/>
      </c>
      <c r="O4255" s="525" t="str">
        <f>IF(AND($B4255&gt;='111'!$N$11,$B4255&lt;='111'!$O$11,OR($L4255=$O$7,$M4255=$O$7)),"x","")</f>
        <v/>
      </c>
      <c r="P4255" s="525" t="str">
        <f>IF(AND($L4255=$O$7,$B4255&lt;'111'!$N$11),"x","")</f>
        <v/>
      </c>
      <c r="Q4255" s="525" t="str">
        <f>IF(AND($M4255=$O$7,$B4255&lt;'111'!$N$11),"x","")</f>
        <v/>
      </c>
      <c r="R4255" s="525" t="str">
        <f>IF(ISERROR(FIND('112'!$M$9,G4255,1)),"",IF((AND(FIND('112'!$M$9,G4255,1)&gt;=1,$B4255&gt;='112'!$N$8,$B4255&lt;='112'!$O$8,OR($L4255='112'!$I$6,$M4255='112'!$I$6))),"x",""))</f>
        <v/>
      </c>
      <c r="S4255" s="525" t="str">
        <f>IF(ISERROR(FIND('112'!$M$9,G4255,1)),"",IF((AND(LEFT(G4255,2)=LEFT('112'!$M$9,2),B4255&lt;'112'!$N$8,$L4255='112'!$I$6)),"x",""))</f>
        <v/>
      </c>
      <c r="T4255" s="525" t="str">
        <f>IF(ISERROR(FIND('112'!$M$9,G4255,1)),"",IF((AND(RIGHT(G4255,2)=RIGHT('112'!$M$9,2),B4255&lt;'112'!$N$8,$M4255='112'!$I$6)),"x",""))</f>
        <v/>
      </c>
      <c r="U4255" s="525" t="str">
        <f>IF(AND(B4255&gt;='IN-NX'!$P$3,B4255&lt;='IN-NX'!$Q$3,'IN-NX'!$D$7=D4255,OR(LEFT(L4255,2)="15",AND(LEFT(M4255,2)&lt;&gt;"15",LEFT(M4255,2)&lt;&gt;"33"))),"x","")</f>
        <v/>
      </c>
      <c r="V4255" s="525" t="str">
        <f>IF(AND(OR(LEFT(TH!L4255,2)="15",LEFT(TH!M4255,2)="15"),'152-CT'!$J$8=TH!F4255),"x","")</f>
        <v/>
      </c>
      <c r="W4255" s="525" t="str">
        <f>IF(AND(OR(LEFT(TH!L4255,2)="15",LEFT(TH!M4255,2)="15"),TK!$E$7=TH!F4255),"x","")</f>
        <v/>
      </c>
      <c r="X4255" s="525" t="str">
        <f>IF(AND('341-CT'!$E$9=H4255,OR(LEFT(L4255,3)=$X$7,LEFT(M4255,3)=$X$7)),"x","")</f>
        <v/>
      </c>
      <c r="Y4255" s="525" t="str">
        <f>IF(OR(TH!L4255=TH!$Y$7,M4255=TH!$Y$7),"x","")</f>
        <v/>
      </c>
      <c r="Z4255" s="525" t="str">
        <f>IF(AND(B4255&lt;=NKC!$N$8,B4255&gt;=NKC!$M$8),"x","")</f>
        <v/>
      </c>
      <c r="AA4255" s="526"/>
      <c r="AB4255" s="527"/>
    </row>
    <row r="4256" spans="1:29" s="576" customFormat="1" ht="15.75" customHeight="1">
      <c r="A4256" s="517" t="str">
        <f>IF(B4256&lt;&gt;"",IF(AND(B4256&gt;=_TM1,B4256&lt;=_TM2,OR(TH!L4256="1111",TH!M4256="1111")),TH!D4256,""),"")</f>
        <v/>
      </c>
      <c r="B4256" s="518">
        <f t="shared" si="545"/>
        <v>7</v>
      </c>
      <c r="C4256" s="571">
        <f t="shared" si="547"/>
        <v>42926</v>
      </c>
      <c r="D4256" s="571" t="s">
        <v>996</v>
      </c>
      <c r="E4256" s="571">
        <v>42926</v>
      </c>
      <c r="F4256" s="520" t="s">
        <v>380</v>
      </c>
      <c r="G4256" s="579" t="s">
        <v>1301</v>
      </c>
      <c r="H4256" s="574" t="s">
        <v>800</v>
      </c>
      <c r="I4256" s="523">
        <v>1869</v>
      </c>
      <c r="J4256" s="523">
        <v>8232</v>
      </c>
      <c r="K4256" s="575">
        <f t="shared" si="546"/>
        <v>15385608</v>
      </c>
      <c r="L4256" s="591" t="s">
        <v>160</v>
      </c>
      <c r="M4256" s="591" t="s">
        <v>292</v>
      </c>
      <c r="N4256" s="525" t="str">
        <f>IF(AND('331-CT'!$E$7=TH!H4256,OR(L4256="331",M4256="331")),"331",IF(AND(OR(L4256="131",M4256="131"),H4256='131-CT'!$E$7),"131",""))</f>
        <v/>
      </c>
      <c r="O4256" s="525" t="str">
        <f>IF(AND($B4256&gt;='111'!$N$11,$B4256&lt;='111'!$O$11,OR($L4256=$O$7,$M4256=$O$7)),"x","")</f>
        <v/>
      </c>
      <c r="P4256" s="525" t="str">
        <f>IF(AND($L4256=$O$7,$B4256&lt;'111'!$N$11),"x","")</f>
        <v/>
      </c>
      <c r="Q4256" s="525" t="str">
        <f>IF(AND($M4256=$O$7,$B4256&lt;'111'!$N$11),"x","")</f>
        <v/>
      </c>
      <c r="R4256" s="525" t="str">
        <f>IF(ISERROR(FIND('112'!$M$9,G4256,1)),"",IF((AND(FIND('112'!$M$9,G4256,1)&gt;=1,$B4256&gt;='112'!$N$8,$B4256&lt;='112'!$O$8,OR($L4256='112'!$I$6,$M4256='112'!$I$6))),"x",""))</f>
        <v/>
      </c>
      <c r="S4256" s="525" t="str">
        <f>IF(ISERROR(FIND('112'!$M$9,G4256,1)),"",IF((AND(LEFT(G4256,2)=LEFT('112'!$M$9,2),B4256&lt;'112'!$N$8,$L4256='112'!$I$6)),"x",""))</f>
        <v/>
      </c>
      <c r="T4256" s="525" t="str">
        <f>IF(ISERROR(FIND('112'!$M$9,G4256,1)),"",IF((AND(RIGHT(G4256,2)=RIGHT('112'!$M$9,2),B4256&lt;'112'!$N$8,$M4256='112'!$I$6)),"x",""))</f>
        <v/>
      </c>
      <c r="U4256" s="525" t="str">
        <f>IF(AND(B4256&gt;='IN-NX'!$P$3,B4256&lt;='IN-NX'!$Q$3,'IN-NX'!$D$7=D4256,OR(LEFT(L4256,2)="15",AND(LEFT(M4256,2)&lt;&gt;"15",LEFT(M4256,2)&lt;&gt;"33"))),"x","")</f>
        <v/>
      </c>
      <c r="V4256" s="525" t="str">
        <f>IF(AND(OR(LEFT(TH!L4256,2)="15",LEFT(TH!M4256,2)="15"),'152-CT'!$J$8=TH!F4256),"x","")</f>
        <v/>
      </c>
      <c r="W4256" s="525" t="str">
        <f>IF(AND(OR(LEFT(TH!L4256,2)="15",LEFT(TH!M4256,2)="15"),TK!$E$7=TH!F4256),"x","")</f>
        <v/>
      </c>
      <c r="X4256" s="525" t="str">
        <f>IF(AND('341-CT'!$E$9=H4256,OR(LEFT(L4256,3)=$X$7,LEFT(M4256,3)=$X$7)),"x","")</f>
        <v/>
      </c>
      <c r="Y4256" s="525" t="str">
        <f>IF(OR(TH!L4256=TH!$Y$7,M4256=TH!$Y$7),"x","")</f>
        <v/>
      </c>
      <c r="Z4256" s="525" t="str">
        <f>IF(AND(B4256&lt;=NKC!$N$8,B4256&gt;=NKC!$M$8),"x","")</f>
        <v/>
      </c>
      <c r="AA4256" s="526"/>
      <c r="AB4256" s="527"/>
    </row>
    <row r="4257" spans="1:28" s="576" customFormat="1" ht="15.75" customHeight="1">
      <c r="A4257" s="517" t="str">
        <f>IF(B4257&lt;&gt;"",IF(AND(B4257&gt;=_TM1,B4257&lt;=_TM2,OR(TH!L4257="1111",TH!M4257="1111")),TH!D4257,""),"")</f>
        <v/>
      </c>
      <c r="B4257" s="518">
        <f t="shared" si="545"/>
        <v>7</v>
      </c>
      <c r="C4257" s="571">
        <f t="shared" si="547"/>
        <v>42927</v>
      </c>
      <c r="D4257" s="571" t="s">
        <v>996</v>
      </c>
      <c r="E4257" s="571">
        <v>42927</v>
      </c>
      <c r="F4257" s="572" t="s">
        <v>1217</v>
      </c>
      <c r="G4257" s="579" t="s">
        <v>1300</v>
      </c>
      <c r="H4257" s="574" t="s">
        <v>800</v>
      </c>
      <c r="I4257" s="523">
        <v>2030</v>
      </c>
      <c r="J4257" s="523">
        <v>8624</v>
      </c>
      <c r="K4257" s="575">
        <f t="shared" si="546"/>
        <v>17506720</v>
      </c>
      <c r="L4257" s="591" t="s">
        <v>160</v>
      </c>
      <c r="M4257" s="591" t="s">
        <v>292</v>
      </c>
      <c r="N4257" s="525" t="str">
        <f>IF(AND('331-CT'!$E$7=TH!H4257,OR(L4257="331",M4257="331")),"331",IF(AND(OR(L4257="131",M4257="131"),H4257='131-CT'!$E$7),"131",""))</f>
        <v/>
      </c>
      <c r="O4257" s="525" t="str">
        <f>IF(AND($B4257&gt;='111'!$N$11,$B4257&lt;='111'!$O$11,OR($L4257=$O$7,$M4257=$O$7)),"x","")</f>
        <v/>
      </c>
      <c r="P4257" s="525" t="str">
        <f>IF(AND($L4257=$O$7,$B4257&lt;'111'!$N$11),"x","")</f>
        <v/>
      </c>
      <c r="Q4257" s="525" t="str">
        <f>IF(AND($M4257=$O$7,$B4257&lt;'111'!$N$11),"x","")</f>
        <v/>
      </c>
      <c r="R4257" s="525" t="str">
        <f>IF(ISERROR(FIND('112'!$M$9,G4257,1)),"",IF((AND(FIND('112'!$M$9,G4257,1)&gt;=1,$B4257&gt;='112'!$N$8,$B4257&lt;='112'!$O$8,OR($L4257='112'!$I$6,$M4257='112'!$I$6))),"x",""))</f>
        <v/>
      </c>
      <c r="S4257" s="525" t="str">
        <f>IF(ISERROR(FIND('112'!$M$9,G4257,1)),"",IF((AND(LEFT(G4257,2)=LEFT('112'!$M$9,2),B4257&lt;'112'!$N$8,$L4257='112'!$I$6)),"x",""))</f>
        <v/>
      </c>
      <c r="T4257" s="525" t="str">
        <f>IF(ISERROR(FIND('112'!$M$9,G4257,1)),"",IF((AND(RIGHT(G4257,2)=RIGHT('112'!$M$9,2),B4257&lt;'112'!$N$8,$M4257='112'!$I$6)),"x",""))</f>
        <v/>
      </c>
      <c r="U4257" s="525" t="str">
        <f>IF(AND(B4257&gt;='IN-NX'!$P$3,B4257&lt;='IN-NX'!$Q$3,'IN-NX'!$D$7=D4257,OR(LEFT(L4257,2)="15",AND(LEFT(M4257,2)&lt;&gt;"15",LEFT(M4257,2)&lt;&gt;"33"))),"x","")</f>
        <v/>
      </c>
      <c r="V4257" s="525" t="str">
        <f>IF(AND(OR(LEFT(TH!L4257,2)="15",LEFT(TH!M4257,2)="15"),'152-CT'!$J$8=TH!F4257),"x","")</f>
        <v/>
      </c>
      <c r="W4257" s="525" t="str">
        <f>IF(AND(OR(LEFT(TH!L4257,2)="15",LEFT(TH!M4257,2)="15"),TK!$E$7=TH!F4257),"x","")</f>
        <v/>
      </c>
      <c r="X4257" s="525" t="str">
        <f>IF(AND('341-CT'!$E$9=H4257,OR(LEFT(L4257,3)=$X$7,LEFT(M4257,3)=$X$7)),"x","")</f>
        <v/>
      </c>
      <c r="Y4257" s="525" t="str">
        <f>IF(OR(TH!L4257=TH!$Y$7,M4257=TH!$Y$7),"x","")</f>
        <v/>
      </c>
      <c r="Z4257" s="525" t="str">
        <f>IF(AND(B4257&lt;=NKC!$N$8,B4257&gt;=NKC!$M$8),"x","")</f>
        <v/>
      </c>
      <c r="AA4257" s="526"/>
      <c r="AB4257" s="527"/>
    </row>
    <row r="4258" spans="1:28" s="576" customFormat="1" ht="15.75" customHeight="1">
      <c r="A4258" s="517" t="str">
        <f>IF(B4258&lt;&gt;"",IF(AND(B4258&gt;=_TM1,B4258&lt;=_TM2,OR(TH!L4258="1111",TH!M4258="1111")),TH!D4258,""),"")</f>
        <v/>
      </c>
      <c r="B4258" s="518">
        <f t="shared" si="545"/>
        <v>7</v>
      </c>
      <c r="C4258" s="571">
        <f t="shared" si="547"/>
        <v>42927</v>
      </c>
      <c r="D4258" s="571" t="s">
        <v>996</v>
      </c>
      <c r="E4258" s="571">
        <v>42927</v>
      </c>
      <c r="F4258" s="520" t="s">
        <v>1304</v>
      </c>
      <c r="G4258" s="579" t="s">
        <v>1302</v>
      </c>
      <c r="H4258" s="574" t="s">
        <v>800</v>
      </c>
      <c r="I4258" s="523">
        <v>292</v>
      </c>
      <c r="J4258" s="523">
        <v>10780</v>
      </c>
      <c r="K4258" s="575">
        <f>ROUND(I4258*J4258,0)</f>
        <v>3147760</v>
      </c>
      <c r="L4258" s="591" t="s">
        <v>160</v>
      </c>
      <c r="M4258" s="591" t="s">
        <v>292</v>
      </c>
      <c r="N4258" s="525" t="str">
        <f>IF(AND('331-CT'!$E$7=TH!H4258,OR(L4258="331",M4258="331")),"331",IF(AND(OR(L4258="131",M4258="131"),H4258='131-CT'!$E$7),"131",""))</f>
        <v/>
      </c>
      <c r="O4258" s="525" t="str">
        <f>IF(AND($B4258&gt;='111'!$N$11,$B4258&lt;='111'!$O$11,OR($L4258=$O$7,$M4258=$O$7)),"x","")</f>
        <v/>
      </c>
      <c r="P4258" s="525" t="str">
        <f>IF(AND($L4258=$O$7,$B4258&lt;'111'!$N$11),"x","")</f>
        <v/>
      </c>
      <c r="Q4258" s="525" t="str">
        <f>IF(AND($M4258=$O$7,$B4258&lt;'111'!$N$11),"x","")</f>
        <v/>
      </c>
      <c r="R4258" s="525" t="str">
        <f>IF(ISERROR(FIND('112'!$M$9,G4258,1)),"",IF((AND(FIND('112'!$M$9,G4258,1)&gt;=1,$B4258&gt;='112'!$N$8,$B4258&lt;='112'!$O$8,OR($L4258='112'!$I$6,$M4258='112'!$I$6))),"x",""))</f>
        <v/>
      </c>
      <c r="S4258" s="525" t="str">
        <f>IF(ISERROR(FIND('112'!$M$9,G4258,1)),"",IF((AND(LEFT(G4258,2)=LEFT('112'!$M$9,2),B4258&lt;'112'!$N$8,$L4258='112'!$I$6)),"x",""))</f>
        <v/>
      </c>
      <c r="T4258" s="525" t="str">
        <f>IF(ISERROR(FIND('112'!$M$9,G4258,1)),"",IF((AND(RIGHT(G4258,2)=RIGHT('112'!$M$9,2),B4258&lt;'112'!$N$8,$M4258='112'!$I$6)),"x",""))</f>
        <v/>
      </c>
      <c r="U4258" s="525" t="str">
        <f>IF(AND(B4258&gt;='IN-NX'!$P$3,B4258&lt;='IN-NX'!$Q$3,'IN-NX'!$D$7=D4258,OR(LEFT(L4258,2)="15",AND(LEFT(M4258,2)&lt;&gt;"15",LEFT(M4258,2)&lt;&gt;"33"))),"x","")</f>
        <v/>
      </c>
      <c r="V4258" s="525" t="str">
        <f>IF(AND(OR(LEFT(TH!L4258,2)="15",LEFT(TH!M4258,2)="15"),'152-CT'!$J$8=TH!F4258),"x","")</f>
        <v/>
      </c>
      <c r="W4258" s="525" t="str">
        <f>IF(AND(OR(LEFT(TH!L4258,2)="15",LEFT(TH!M4258,2)="15"),TK!$E$7=TH!F4258),"x","")</f>
        <v/>
      </c>
      <c r="X4258" s="525" t="str">
        <f>IF(AND('341-CT'!$E$9=H4258,OR(LEFT(L4258,3)=$X$7,LEFT(M4258,3)=$X$7)),"x","")</f>
        <v/>
      </c>
      <c r="Y4258" s="525" t="str">
        <f>IF(OR(TH!L4258=TH!$Y$7,M4258=TH!$Y$7),"x","")</f>
        <v/>
      </c>
      <c r="Z4258" s="525" t="str">
        <f>IF(AND(B4258&lt;=NKC!$N$8,B4258&gt;=NKC!$M$8),"x","")</f>
        <v/>
      </c>
      <c r="AA4258" s="526"/>
      <c r="AB4258" s="527"/>
    </row>
    <row r="4259" spans="1:28" s="576" customFormat="1" ht="15.75" customHeight="1">
      <c r="A4259" s="517" t="str">
        <f>IF(B4259&lt;&gt;"",IF(AND(B4259&gt;=_TM1,B4259&lt;=_TM2,OR(TH!L4259="1111",TH!M4259="1111")),TH!D4259,""),"")</f>
        <v/>
      </c>
      <c r="B4259" s="518">
        <f t="shared" si="545"/>
        <v>7</v>
      </c>
      <c r="C4259" s="571">
        <f t="shared" si="547"/>
        <v>42927</v>
      </c>
      <c r="D4259" s="571" t="s">
        <v>996</v>
      </c>
      <c r="E4259" s="571">
        <v>42927</v>
      </c>
      <c r="F4259" s="577" t="s">
        <v>1305</v>
      </c>
      <c r="G4259" s="579" t="s">
        <v>1302</v>
      </c>
      <c r="H4259" s="574" t="s">
        <v>800</v>
      </c>
      <c r="I4259" s="523">
        <v>2628</v>
      </c>
      <c r="J4259" s="523">
        <v>2450</v>
      </c>
      <c r="K4259" s="575">
        <f>ROUND(I4259*J4259,0)</f>
        <v>6438600</v>
      </c>
      <c r="L4259" s="591" t="s">
        <v>160</v>
      </c>
      <c r="M4259" s="591" t="s">
        <v>292</v>
      </c>
      <c r="N4259" s="525" t="str">
        <f>IF(AND('331-CT'!$E$7=TH!H4259,OR(L4259="331",M4259="331")),"331",IF(AND(OR(L4259="131",M4259="131"),H4259='131-CT'!$E$7),"131",""))</f>
        <v/>
      </c>
      <c r="O4259" s="525" t="str">
        <f>IF(AND($B4259&gt;='111'!$N$11,$B4259&lt;='111'!$O$11,OR($L4259=$O$7,$M4259=$O$7)),"x","")</f>
        <v/>
      </c>
      <c r="P4259" s="525" t="str">
        <f>IF(AND($L4259=$O$7,$B4259&lt;'111'!$N$11),"x","")</f>
        <v/>
      </c>
      <c r="Q4259" s="525" t="str">
        <f>IF(AND($M4259=$O$7,$B4259&lt;'111'!$N$11),"x","")</f>
        <v/>
      </c>
      <c r="R4259" s="525" t="str">
        <f>IF(ISERROR(FIND('112'!$M$9,G4259,1)),"",IF((AND(FIND('112'!$M$9,G4259,1)&gt;=1,$B4259&gt;='112'!$N$8,$B4259&lt;='112'!$O$8,OR($L4259='112'!$I$6,$M4259='112'!$I$6))),"x",""))</f>
        <v/>
      </c>
      <c r="S4259" s="525" t="str">
        <f>IF(ISERROR(FIND('112'!$M$9,G4259,1)),"",IF((AND(LEFT(G4259,2)=LEFT('112'!$M$9,2),B4259&lt;'112'!$N$8,$L4259='112'!$I$6)),"x",""))</f>
        <v/>
      </c>
      <c r="T4259" s="525" t="str">
        <f>IF(ISERROR(FIND('112'!$M$9,G4259,1)),"",IF((AND(RIGHT(G4259,2)=RIGHT('112'!$M$9,2),B4259&lt;'112'!$N$8,$M4259='112'!$I$6)),"x",""))</f>
        <v/>
      </c>
      <c r="U4259" s="525" t="str">
        <f>IF(AND(B4259&gt;='IN-NX'!$P$3,B4259&lt;='IN-NX'!$Q$3,'IN-NX'!$D$7=D4259,OR(LEFT(L4259,2)="15",AND(LEFT(M4259,2)&lt;&gt;"15",LEFT(M4259,2)&lt;&gt;"33"))),"x","")</f>
        <v/>
      </c>
      <c r="V4259" s="525" t="str">
        <f>IF(AND(OR(LEFT(TH!L4259,2)="15",LEFT(TH!M4259,2)="15"),'152-CT'!$J$8=TH!F4259),"x","")</f>
        <v/>
      </c>
      <c r="W4259" s="525" t="str">
        <f>IF(AND(OR(LEFT(TH!L4259,2)="15",LEFT(TH!M4259,2)="15"),TK!$E$7=TH!F4259),"x","")</f>
        <v/>
      </c>
      <c r="X4259" s="525" t="str">
        <f>IF(AND('341-CT'!$E$9=H4259,OR(LEFT(L4259,3)=$X$7,LEFT(M4259,3)=$X$7)),"x","")</f>
        <v/>
      </c>
      <c r="Y4259" s="525" t="str">
        <f>IF(OR(TH!L4259=TH!$Y$7,M4259=TH!$Y$7),"x","")</f>
        <v/>
      </c>
      <c r="Z4259" s="525" t="str">
        <f>IF(AND(B4259&lt;=NKC!$N$8,B4259&gt;=NKC!$M$8),"x","")</f>
        <v/>
      </c>
      <c r="AA4259" s="526"/>
      <c r="AB4259" s="527"/>
    </row>
    <row r="4260" spans="1:28" s="576" customFormat="1" ht="15.75" customHeight="1">
      <c r="A4260" s="517" t="str">
        <f>IF(B4260&lt;&gt;"",IF(AND(B4260&gt;=_TM1,B4260&lt;=_TM2,OR(TH!L4260="1111",TH!M4260="1111")),TH!D4260,""),"")</f>
        <v/>
      </c>
      <c r="B4260" s="518">
        <f t="shared" si="545"/>
        <v>7</v>
      </c>
      <c r="C4260" s="571">
        <f t="shared" si="547"/>
        <v>42927</v>
      </c>
      <c r="D4260" s="571" t="s">
        <v>996</v>
      </c>
      <c r="E4260" s="571">
        <v>42927</v>
      </c>
      <c r="F4260" s="572" t="s">
        <v>1306</v>
      </c>
      <c r="G4260" s="579" t="s">
        <v>1302</v>
      </c>
      <c r="H4260" s="574" t="s">
        <v>800</v>
      </c>
      <c r="I4260" s="523">
        <v>7884</v>
      </c>
      <c r="J4260" s="523">
        <v>735</v>
      </c>
      <c r="K4260" s="575">
        <f t="shared" ref="K4260:K4261" si="548">ROUND(I4260*J4260,0)</f>
        <v>5794740</v>
      </c>
      <c r="L4260" s="591" t="s">
        <v>160</v>
      </c>
      <c r="M4260" s="591" t="s">
        <v>292</v>
      </c>
      <c r="N4260" s="525" t="str">
        <f>IF(AND('331-CT'!$E$7=TH!H4260,OR(L4260="331",M4260="331")),"331",IF(AND(OR(L4260="131",M4260="131"),H4260='131-CT'!$E$7),"131",""))</f>
        <v/>
      </c>
      <c r="O4260" s="525" t="str">
        <f>IF(AND($B4260&gt;='111'!$N$11,$B4260&lt;='111'!$O$11,OR($L4260=$O$7,$M4260=$O$7)),"x","")</f>
        <v/>
      </c>
      <c r="P4260" s="525" t="str">
        <f>IF(AND($L4260=$O$7,$B4260&lt;'111'!$N$11),"x","")</f>
        <v/>
      </c>
      <c r="Q4260" s="525" t="str">
        <f>IF(AND($M4260=$O$7,$B4260&lt;'111'!$N$11),"x","")</f>
        <v/>
      </c>
      <c r="R4260" s="525" t="str">
        <f>IF(ISERROR(FIND('112'!$M$9,G4260,1)),"",IF((AND(FIND('112'!$M$9,G4260,1)&gt;=1,$B4260&gt;='112'!$N$8,$B4260&lt;='112'!$O$8,OR($L4260='112'!$I$6,$M4260='112'!$I$6))),"x",""))</f>
        <v/>
      </c>
      <c r="S4260" s="525" t="str">
        <f>IF(ISERROR(FIND('112'!$M$9,G4260,1)),"",IF((AND(LEFT(G4260,2)=LEFT('112'!$M$9,2),B4260&lt;'112'!$N$8,$L4260='112'!$I$6)),"x",""))</f>
        <v/>
      </c>
      <c r="T4260" s="525" t="str">
        <f>IF(ISERROR(FIND('112'!$M$9,G4260,1)),"",IF((AND(RIGHT(G4260,2)=RIGHT('112'!$M$9,2),B4260&lt;'112'!$N$8,$M4260='112'!$I$6)),"x",""))</f>
        <v/>
      </c>
      <c r="U4260" s="525" t="str">
        <f>IF(AND(B4260&gt;='IN-NX'!$P$3,B4260&lt;='IN-NX'!$Q$3,'IN-NX'!$D$7=D4260,OR(LEFT(L4260,2)="15",AND(LEFT(M4260,2)&lt;&gt;"15",LEFT(M4260,2)&lt;&gt;"33"))),"x","")</f>
        <v/>
      </c>
      <c r="V4260" s="525" t="str">
        <f>IF(AND(OR(LEFT(TH!L4260,2)="15",LEFT(TH!M4260,2)="15"),'152-CT'!$J$8=TH!F4260),"x","")</f>
        <v/>
      </c>
      <c r="W4260" s="525" t="str">
        <f>IF(AND(OR(LEFT(TH!L4260,2)="15",LEFT(TH!M4260,2)="15"),TK!$E$7=TH!F4260),"x","")</f>
        <v/>
      </c>
      <c r="X4260" s="525" t="str">
        <f>IF(AND('341-CT'!$E$9=H4260,OR(LEFT(L4260,3)=$X$7,LEFT(M4260,3)=$X$7)),"x","")</f>
        <v/>
      </c>
      <c r="Y4260" s="525" t="str">
        <f>IF(OR(TH!L4260=TH!$Y$7,M4260=TH!$Y$7),"x","")</f>
        <v/>
      </c>
      <c r="Z4260" s="525" t="str">
        <f>IF(AND(B4260&lt;=NKC!$N$8,B4260&gt;=NKC!$M$8),"x","")</f>
        <v/>
      </c>
      <c r="AA4260" s="526"/>
      <c r="AB4260" s="527"/>
    </row>
    <row r="4261" spans="1:28" s="576" customFormat="1" ht="15.75" customHeight="1">
      <c r="A4261" s="517" t="str">
        <f>IF(B4261&lt;&gt;"",IF(AND(B4261&gt;=_TM1,B4261&lt;=_TM2,OR(TH!L4261="1111",TH!M4261="1111")),TH!D4261,""),"")</f>
        <v/>
      </c>
      <c r="B4261" s="518">
        <f t="shared" si="545"/>
        <v>7</v>
      </c>
      <c r="C4261" s="571">
        <f t="shared" si="547"/>
        <v>42933</v>
      </c>
      <c r="D4261" s="571" t="s">
        <v>996</v>
      </c>
      <c r="E4261" s="571">
        <v>42933</v>
      </c>
      <c r="F4261" s="572" t="s">
        <v>1312</v>
      </c>
      <c r="G4261" s="579" t="s">
        <v>1311</v>
      </c>
      <c r="H4261" s="574" t="s">
        <v>800</v>
      </c>
      <c r="I4261" s="523">
        <v>540</v>
      </c>
      <c r="J4261" s="523">
        <v>18853</v>
      </c>
      <c r="K4261" s="575">
        <f t="shared" si="548"/>
        <v>10180620</v>
      </c>
      <c r="L4261" s="591" t="s">
        <v>160</v>
      </c>
      <c r="M4261" s="591" t="s">
        <v>292</v>
      </c>
      <c r="N4261" s="525" t="str">
        <f>IF(AND('331-CT'!$E$7=TH!H4261,OR(L4261="331",M4261="331")),"331",IF(AND(OR(L4261="131",M4261="131"),H4261='131-CT'!$E$7),"131",""))</f>
        <v/>
      </c>
      <c r="O4261" s="525" t="str">
        <f>IF(AND($B4261&gt;='111'!$N$11,$B4261&lt;='111'!$O$11,OR($L4261=$O$7,$M4261=$O$7)),"x","")</f>
        <v/>
      </c>
      <c r="P4261" s="525" t="str">
        <f>IF(AND($L4261=$O$7,$B4261&lt;'111'!$N$11),"x","")</f>
        <v/>
      </c>
      <c r="Q4261" s="525" t="str">
        <f>IF(AND($M4261=$O$7,$B4261&lt;'111'!$N$11),"x","")</f>
        <v/>
      </c>
      <c r="R4261" s="525" t="str">
        <f>IF(ISERROR(FIND('112'!$M$9,G4261,1)),"",IF((AND(FIND('112'!$M$9,G4261,1)&gt;=1,$B4261&gt;='112'!$N$8,$B4261&lt;='112'!$O$8,OR($L4261='112'!$I$6,$M4261='112'!$I$6))),"x",""))</f>
        <v/>
      </c>
      <c r="S4261" s="525" t="str">
        <f>IF(ISERROR(FIND('112'!$M$9,G4261,1)),"",IF((AND(LEFT(G4261,2)=LEFT('112'!$M$9,2),B4261&lt;'112'!$N$8,$L4261='112'!$I$6)),"x",""))</f>
        <v/>
      </c>
      <c r="T4261" s="525" t="str">
        <f>IF(ISERROR(FIND('112'!$M$9,G4261,1)),"",IF((AND(RIGHT(G4261,2)=RIGHT('112'!$M$9,2),B4261&lt;'112'!$N$8,$M4261='112'!$I$6)),"x",""))</f>
        <v/>
      </c>
      <c r="U4261" s="525" t="str">
        <f>IF(AND(B4261&gt;='IN-NX'!$P$3,B4261&lt;='IN-NX'!$Q$3,'IN-NX'!$D$7=D4261,OR(LEFT(L4261,2)="15",AND(LEFT(M4261,2)&lt;&gt;"15",LEFT(M4261,2)&lt;&gt;"33"))),"x","")</f>
        <v/>
      </c>
      <c r="V4261" s="525" t="str">
        <f>IF(AND(OR(LEFT(TH!L4261,2)="15",LEFT(TH!M4261,2)="15"),'152-CT'!$J$8=TH!F4261),"x","")</f>
        <v/>
      </c>
      <c r="W4261" s="525" t="str">
        <f>IF(AND(OR(LEFT(TH!L4261,2)="15",LEFT(TH!M4261,2)="15"),TK!$E$7=TH!F4261),"x","")</f>
        <v/>
      </c>
      <c r="X4261" s="525" t="str">
        <f>IF(AND('341-CT'!$E$9=H4261,OR(LEFT(L4261,3)=$X$7,LEFT(M4261,3)=$X$7)),"x","")</f>
        <v/>
      </c>
      <c r="Y4261" s="525" t="str">
        <f>IF(OR(TH!L4261=TH!$Y$7,M4261=TH!$Y$7),"x","")</f>
        <v/>
      </c>
      <c r="Z4261" s="525" t="str">
        <f>IF(AND(B4261&lt;=NKC!$N$8,B4261&gt;=NKC!$M$8),"x","")</f>
        <v/>
      </c>
      <c r="AA4261" s="526"/>
      <c r="AB4261" s="527"/>
    </row>
    <row r="4262" spans="1:28" s="576" customFormat="1" ht="15.75" customHeight="1">
      <c r="A4262" s="517" t="str">
        <f>IF(B4262&lt;&gt;"",IF(AND(B4262&gt;=_TM1,B4262&lt;=_TM2,OR(TH!L4262="1111",TH!M4262="1111")),TH!D4262,""),"")</f>
        <v/>
      </c>
      <c r="B4262" s="518">
        <f t="shared" si="545"/>
        <v>7</v>
      </c>
      <c r="C4262" s="571">
        <f t="shared" si="547"/>
        <v>42933</v>
      </c>
      <c r="D4262" s="571" t="s">
        <v>996</v>
      </c>
      <c r="E4262" s="571">
        <v>42933</v>
      </c>
      <c r="F4262" s="572" t="s">
        <v>1313</v>
      </c>
      <c r="G4262" s="579" t="s">
        <v>1311</v>
      </c>
      <c r="H4262" s="574" t="s">
        <v>800</v>
      </c>
      <c r="I4262" s="523">
        <v>290</v>
      </c>
      <c r="J4262" s="523">
        <v>13045</v>
      </c>
      <c r="K4262" s="575">
        <f>ROUND(I4262*J4262,0)</f>
        <v>3783050</v>
      </c>
      <c r="L4262" s="591" t="s">
        <v>160</v>
      </c>
      <c r="M4262" s="591" t="s">
        <v>292</v>
      </c>
      <c r="N4262" s="525" t="str">
        <f>IF(AND('331-CT'!$E$7=TH!H4262,OR(L4262="331",M4262="331")),"331",IF(AND(OR(L4262="131",M4262="131"),H4262='131-CT'!$E$7),"131",""))</f>
        <v/>
      </c>
      <c r="O4262" s="525" t="str">
        <f>IF(AND($B4262&gt;='111'!$N$11,$B4262&lt;='111'!$O$11,OR($L4262=$O$7,$M4262=$O$7)),"x","")</f>
        <v/>
      </c>
      <c r="P4262" s="525" t="str">
        <f>IF(AND($L4262=$O$7,$B4262&lt;'111'!$N$11),"x","")</f>
        <v/>
      </c>
      <c r="Q4262" s="525" t="str">
        <f>IF(AND($M4262=$O$7,$B4262&lt;'111'!$N$11),"x","")</f>
        <v/>
      </c>
      <c r="R4262" s="525" t="str">
        <f>IF(ISERROR(FIND('112'!$M$9,G4262,1)),"",IF((AND(FIND('112'!$M$9,G4262,1)&gt;=1,$B4262&gt;='112'!$N$8,$B4262&lt;='112'!$O$8,OR($L4262='112'!$I$6,$M4262='112'!$I$6))),"x",""))</f>
        <v/>
      </c>
      <c r="S4262" s="525" t="str">
        <f>IF(ISERROR(FIND('112'!$M$9,G4262,1)),"",IF((AND(LEFT(G4262,2)=LEFT('112'!$M$9,2),B4262&lt;'112'!$N$8,$L4262='112'!$I$6)),"x",""))</f>
        <v/>
      </c>
      <c r="T4262" s="525" t="str">
        <f>IF(ISERROR(FIND('112'!$M$9,G4262,1)),"",IF((AND(RIGHT(G4262,2)=RIGHT('112'!$M$9,2),B4262&lt;'112'!$N$8,$M4262='112'!$I$6)),"x",""))</f>
        <v/>
      </c>
      <c r="U4262" s="525" t="str">
        <f>IF(AND(B4262&gt;='IN-NX'!$P$3,B4262&lt;='IN-NX'!$Q$3,'IN-NX'!$D$7=D4262,OR(LEFT(L4262,2)="15",AND(LEFT(M4262,2)&lt;&gt;"15",LEFT(M4262,2)&lt;&gt;"33"))),"x","")</f>
        <v/>
      </c>
      <c r="V4262" s="525" t="str">
        <f>IF(AND(OR(LEFT(TH!L4262,2)="15",LEFT(TH!M4262,2)="15"),'152-CT'!$J$8=TH!F4262),"x","")</f>
        <v/>
      </c>
      <c r="W4262" s="525" t="str">
        <f>IF(AND(OR(LEFT(TH!L4262,2)="15",LEFT(TH!M4262,2)="15"),TK!$E$7=TH!F4262),"x","")</f>
        <v/>
      </c>
      <c r="X4262" s="525" t="str">
        <f>IF(AND('341-CT'!$E$9=H4262,OR(LEFT(L4262,3)=$X$7,LEFT(M4262,3)=$X$7)),"x","")</f>
        <v/>
      </c>
      <c r="Y4262" s="525" t="str">
        <f>IF(OR(TH!L4262=TH!$Y$7,M4262=TH!$Y$7),"x","")</f>
        <v/>
      </c>
      <c r="Z4262" s="525" t="str">
        <f>IF(AND(B4262&lt;=NKC!$N$8,B4262&gt;=NKC!$M$8),"x","")</f>
        <v/>
      </c>
      <c r="AA4262" s="526"/>
      <c r="AB4262" s="527"/>
    </row>
    <row r="4263" spans="1:28" s="576" customFormat="1" ht="15.75" customHeight="1">
      <c r="A4263" s="517" t="str">
        <f>IF(B4263&lt;&gt;"",IF(AND(B4263&gt;=_TM1,B4263&lt;=_TM2,OR(TH!L4263="1111",TH!M4263="1111")),TH!D4263,""),"")</f>
        <v/>
      </c>
      <c r="B4263" s="518">
        <f t="shared" si="545"/>
        <v>7</v>
      </c>
      <c r="C4263" s="571">
        <f t="shared" si="547"/>
        <v>42933</v>
      </c>
      <c r="D4263" s="571" t="s">
        <v>996</v>
      </c>
      <c r="E4263" s="571">
        <v>42933</v>
      </c>
      <c r="F4263" s="572" t="s">
        <v>1314</v>
      </c>
      <c r="G4263" s="579" t="s">
        <v>1311</v>
      </c>
      <c r="H4263" s="574" t="s">
        <v>800</v>
      </c>
      <c r="I4263" s="523">
        <v>395</v>
      </c>
      <c r="J4263" s="523">
        <v>16340</v>
      </c>
      <c r="K4263" s="575">
        <f>ROUND(I4263*J4263,0)</f>
        <v>6454300</v>
      </c>
      <c r="L4263" s="591" t="s">
        <v>160</v>
      </c>
      <c r="M4263" s="591" t="s">
        <v>292</v>
      </c>
      <c r="N4263" s="525" t="str">
        <f>IF(AND('331-CT'!$E$7=TH!H4263,OR(L4263="331",M4263="331")),"331",IF(AND(OR(L4263="131",M4263="131"),H4263='131-CT'!$E$7),"131",""))</f>
        <v/>
      </c>
      <c r="O4263" s="525" t="str">
        <f>IF(AND($B4263&gt;='111'!$N$11,$B4263&lt;='111'!$O$11,OR($L4263=$O$7,$M4263=$O$7)),"x","")</f>
        <v/>
      </c>
      <c r="P4263" s="525" t="str">
        <f>IF(AND($L4263=$O$7,$B4263&lt;'111'!$N$11),"x","")</f>
        <v/>
      </c>
      <c r="Q4263" s="525" t="str">
        <f>IF(AND($M4263=$O$7,$B4263&lt;'111'!$N$11),"x","")</f>
        <v/>
      </c>
      <c r="R4263" s="525" t="str">
        <f>IF(ISERROR(FIND('112'!$M$9,G4263,1)),"",IF((AND(FIND('112'!$M$9,G4263,1)&gt;=1,$B4263&gt;='112'!$N$8,$B4263&lt;='112'!$O$8,OR($L4263='112'!$I$6,$M4263='112'!$I$6))),"x",""))</f>
        <v/>
      </c>
      <c r="S4263" s="525" t="str">
        <f>IF(ISERROR(FIND('112'!$M$9,G4263,1)),"",IF((AND(LEFT(G4263,2)=LEFT('112'!$M$9,2),B4263&lt;'112'!$N$8,$L4263='112'!$I$6)),"x",""))</f>
        <v/>
      </c>
      <c r="T4263" s="525" t="str">
        <f>IF(ISERROR(FIND('112'!$M$9,G4263,1)),"",IF((AND(RIGHT(G4263,2)=RIGHT('112'!$M$9,2),B4263&lt;'112'!$N$8,$M4263='112'!$I$6)),"x",""))</f>
        <v/>
      </c>
      <c r="U4263" s="525" t="str">
        <f>IF(AND(B4263&gt;='IN-NX'!$P$3,B4263&lt;='IN-NX'!$Q$3,'IN-NX'!$D$7=D4263,OR(LEFT(L4263,2)="15",AND(LEFT(M4263,2)&lt;&gt;"15",LEFT(M4263,2)&lt;&gt;"33"))),"x","")</f>
        <v/>
      </c>
      <c r="V4263" s="525" t="str">
        <f>IF(AND(OR(LEFT(TH!L4263,2)="15",LEFT(TH!M4263,2)="15"),'152-CT'!$J$8=TH!F4263),"x","")</f>
        <v/>
      </c>
      <c r="W4263" s="525" t="str">
        <f>IF(AND(OR(LEFT(TH!L4263,2)="15",LEFT(TH!M4263,2)="15"),TK!$E$7=TH!F4263),"x","")</f>
        <v/>
      </c>
      <c r="X4263" s="525" t="str">
        <f>IF(AND('341-CT'!$E$9=H4263,OR(LEFT(L4263,3)=$X$7,LEFT(M4263,3)=$X$7)),"x","")</f>
        <v/>
      </c>
      <c r="Y4263" s="525" t="str">
        <f>IF(OR(TH!L4263=TH!$Y$7,M4263=TH!$Y$7),"x","")</f>
        <v/>
      </c>
      <c r="Z4263" s="525" t="str">
        <f>IF(AND(B4263&lt;=NKC!$N$8,B4263&gt;=NKC!$M$8),"x","")</f>
        <v/>
      </c>
      <c r="AA4263" s="526"/>
      <c r="AB4263" s="527"/>
    </row>
    <row r="4264" spans="1:28" s="576" customFormat="1" ht="15.75" customHeight="1">
      <c r="A4264" s="517" t="str">
        <f>IF(B4264&lt;&gt;"",IF(AND(B4264&gt;=_TM1,B4264&lt;=_TM2,OR(TH!L4264="1111",TH!M4264="1111")),TH!D4264,""),"")</f>
        <v/>
      </c>
      <c r="B4264" s="518">
        <f t="shared" si="545"/>
        <v>7</v>
      </c>
      <c r="C4264" s="571">
        <f t="shared" si="547"/>
        <v>42935</v>
      </c>
      <c r="D4264" s="571" t="s">
        <v>996</v>
      </c>
      <c r="E4264" s="571">
        <v>42935</v>
      </c>
      <c r="F4264" s="520" t="s">
        <v>1340</v>
      </c>
      <c r="G4264" s="579" t="s">
        <v>1307</v>
      </c>
      <c r="H4264" s="574" t="s">
        <v>800</v>
      </c>
      <c r="I4264" s="523">
        <v>600</v>
      </c>
      <c r="J4264" s="523">
        <v>16166</v>
      </c>
      <c r="K4264" s="575">
        <f t="shared" ref="K4264:K4290" si="549">ROUND(I4264*J4264,0)</f>
        <v>9699600</v>
      </c>
      <c r="L4264" s="591" t="s">
        <v>160</v>
      </c>
      <c r="M4264" s="591" t="s">
        <v>292</v>
      </c>
      <c r="N4264" s="525" t="str">
        <f>IF(AND('331-CT'!$E$7=TH!H4264,OR(L4264="331",M4264="331")),"331",IF(AND(OR(L4264="131",M4264="131"),H4264='131-CT'!$E$7),"131",""))</f>
        <v/>
      </c>
      <c r="O4264" s="525" t="str">
        <f>IF(AND($B4264&gt;='111'!$N$11,$B4264&lt;='111'!$O$11,OR($L4264=$O$7,$M4264=$O$7)),"x","")</f>
        <v/>
      </c>
      <c r="P4264" s="525" t="str">
        <f>IF(AND($L4264=$O$7,$B4264&lt;'111'!$N$11),"x","")</f>
        <v/>
      </c>
      <c r="Q4264" s="525" t="str">
        <f>IF(AND($M4264=$O$7,$B4264&lt;'111'!$N$11),"x","")</f>
        <v/>
      </c>
      <c r="R4264" s="525" t="str">
        <f>IF(ISERROR(FIND('112'!$M$9,G4264,1)),"",IF((AND(FIND('112'!$M$9,G4264,1)&gt;=1,$B4264&gt;='112'!$N$8,$B4264&lt;='112'!$O$8,OR($L4264='112'!$I$6,$M4264='112'!$I$6))),"x",""))</f>
        <v/>
      </c>
      <c r="S4264" s="525" t="str">
        <f>IF(ISERROR(FIND('112'!$M$9,G4264,1)),"",IF((AND(LEFT(G4264,2)=LEFT('112'!$M$9,2),B4264&lt;'112'!$N$8,$L4264='112'!$I$6)),"x",""))</f>
        <v/>
      </c>
      <c r="T4264" s="525" t="str">
        <f>IF(ISERROR(FIND('112'!$M$9,G4264,1)),"",IF((AND(RIGHT(G4264,2)=RIGHT('112'!$M$9,2),B4264&lt;'112'!$N$8,$M4264='112'!$I$6)),"x",""))</f>
        <v/>
      </c>
      <c r="U4264" s="525" t="str">
        <f>IF(AND(B4264&gt;='IN-NX'!$P$3,B4264&lt;='IN-NX'!$Q$3,'IN-NX'!$D$7=D4264,OR(LEFT(L4264,2)="15",AND(LEFT(M4264,2)&lt;&gt;"15",LEFT(M4264,2)&lt;&gt;"33"))),"x","")</f>
        <v/>
      </c>
      <c r="V4264" s="525" t="str">
        <f>IF(AND(OR(LEFT(TH!L4264,2)="15",LEFT(TH!M4264,2)="15"),'152-CT'!$J$8=TH!F4264),"x","")</f>
        <v/>
      </c>
      <c r="W4264" s="525" t="str">
        <f>IF(AND(OR(LEFT(TH!L4264,2)="15",LEFT(TH!M4264,2)="15"),TK!$E$7=TH!F4264),"x","")</f>
        <v/>
      </c>
      <c r="X4264" s="525" t="str">
        <f>IF(AND('341-CT'!$E$9=H4264,OR(LEFT(L4264,3)=$X$7,LEFT(M4264,3)=$X$7)),"x","")</f>
        <v/>
      </c>
      <c r="Y4264" s="525" t="str">
        <f>IF(OR(TH!L4264=TH!$Y$7,M4264=TH!$Y$7),"x","")</f>
        <v/>
      </c>
      <c r="Z4264" s="525" t="str">
        <f>IF(AND(B4264&lt;=NKC!$N$8,B4264&gt;=NKC!$M$8),"x","")</f>
        <v/>
      </c>
      <c r="AA4264" s="526"/>
      <c r="AB4264" s="527"/>
    </row>
    <row r="4265" spans="1:28" s="576" customFormat="1" ht="15.75" customHeight="1">
      <c r="A4265" s="517" t="str">
        <f>IF(B4265&lt;&gt;"",IF(AND(B4265&gt;=_TM1,B4265&lt;=_TM2,OR(TH!L4265="1111",TH!M4265="1111")),TH!D4265,""),"")</f>
        <v/>
      </c>
      <c r="B4265" s="518">
        <f t="shared" si="545"/>
        <v>7</v>
      </c>
      <c r="C4265" s="571">
        <f t="shared" si="547"/>
        <v>42935</v>
      </c>
      <c r="D4265" s="571" t="s">
        <v>996</v>
      </c>
      <c r="E4265" s="571">
        <v>42935</v>
      </c>
      <c r="F4265" s="520" t="s">
        <v>1308</v>
      </c>
      <c r="G4265" s="579" t="s">
        <v>1307</v>
      </c>
      <c r="H4265" s="574" t="s">
        <v>800</v>
      </c>
      <c r="I4265" s="523">
        <v>60</v>
      </c>
      <c r="J4265" s="523">
        <v>14149</v>
      </c>
      <c r="K4265" s="575">
        <f t="shared" si="549"/>
        <v>848940</v>
      </c>
      <c r="L4265" s="591" t="s">
        <v>160</v>
      </c>
      <c r="M4265" s="591" t="s">
        <v>292</v>
      </c>
      <c r="N4265" s="525" t="str">
        <f>IF(AND('331-CT'!$E$7=TH!H4265,OR(L4265="331",M4265="331")),"331",IF(AND(OR(L4265="131",M4265="131"),H4265='131-CT'!$E$7),"131",""))</f>
        <v/>
      </c>
      <c r="O4265" s="525" t="str">
        <f>IF(AND($B4265&gt;='111'!$N$11,$B4265&lt;='111'!$O$11,OR($L4265=$O$7,$M4265=$O$7)),"x","")</f>
        <v/>
      </c>
      <c r="P4265" s="525" t="str">
        <f>IF(AND($L4265=$O$7,$B4265&lt;'111'!$N$11),"x","")</f>
        <v/>
      </c>
      <c r="Q4265" s="525" t="str">
        <f>IF(AND($M4265=$O$7,$B4265&lt;'111'!$N$11),"x","")</f>
        <v/>
      </c>
      <c r="R4265" s="525" t="str">
        <f>IF(ISERROR(FIND('112'!$M$9,G4265,1)),"",IF((AND(FIND('112'!$M$9,G4265,1)&gt;=1,$B4265&gt;='112'!$N$8,$B4265&lt;='112'!$O$8,OR($L4265='112'!$I$6,$M4265='112'!$I$6))),"x",""))</f>
        <v/>
      </c>
      <c r="S4265" s="525" t="str">
        <f>IF(ISERROR(FIND('112'!$M$9,G4265,1)),"",IF((AND(LEFT(G4265,2)=LEFT('112'!$M$9,2),B4265&lt;'112'!$N$8,$L4265='112'!$I$6)),"x",""))</f>
        <v/>
      </c>
      <c r="T4265" s="525" t="str">
        <f>IF(ISERROR(FIND('112'!$M$9,G4265,1)),"",IF((AND(RIGHT(G4265,2)=RIGHT('112'!$M$9,2),B4265&lt;'112'!$N$8,$M4265='112'!$I$6)),"x",""))</f>
        <v/>
      </c>
      <c r="U4265" s="525" t="str">
        <f>IF(AND(B4265&gt;='IN-NX'!$P$3,B4265&lt;='IN-NX'!$Q$3,'IN-NX'!$D$7=D4265,OR(LEFT(L4265,2)="15",AND(LEFT(M4265,2)&lt;&gt;"15",LEFT(M4265,2)&lt;&gt;"33"))),"x","")</f>
        <v/>
      </c>
      <c r="V4265" s="525" t="str">
        <f>IF(AND(OR(LEFT(TH!L4265,2)="15",LEFT(TH!M4265,2)="15"),'152-CT'!$J$8=TH!F4265),"x","")</f>
        <v/>
      </c>
      <c r="W4265" s="525" t="str">
        <f>IF(AND(OR(LEFT(TH!L4265,2)="15",LEFT(TH!M4265,2)="15"),TK!$E$7=TH!F4265),"x","")</f>
        <v/>
      </c>
      <c r="X4265" s="525" t="str">
        <f>IF(AND('341-CT'!$E$9=H4265,OR(LEFT(L4265,3)=$X$7,LEFT(M4265,3)=$X$7)),"x","")</f>
        <v/>
      </c>
      <c r="Y4265" s="525" t="str">
        <f>IF(OR(TH!L4265=TH!$Y$7,M4265=TH!$Y$7),"x","")</f>
        <v/>
      </c>
      <c r="Z4265" s="525" t="str">
        <f>IF(AND(B4265&lt;=NKC!$N$8,B4265&gt;=NKC!$M$8),"x","")</f>
        <v/>
      </c>
      <c r="AA4265" s="526"/>
      <c r="AB4265" s="527"/>
    </row>
    <row r="4266" spans="1:28" s="576" customFormat="1" ht="15.75" customHeight="1">
      <c r="A4266" s="517" t="str">
        <f>IF(B4266&lt;&gt;"",IF(AND(B4266&gt;=_TM1,B4266&lt;=_TM2,OR(TH!L4266="1111",TH!M4266="1111")),TH!D4266,""),"")</f>
        <v/>
      </c>
      <c r="B4266" s="518">
        <f t="shared" si="545"/>
        <v>7</v>
      </c>
      <c r="C4266" s="571">
        <f t="shared" si="547"/>
        <v>42940</v>
      </c>
      <c r="D4266" s="571" t="s">
        <v>996</v>
      </c>
      <c r="E4266" s="571">
        <v>42940</v>
      </c>
      <c r="F4266" s="520" t="s">
        <v>1328</v>
      </c>
      <c r="G4266" s="579" t="s">
        <v>1310</v>
      </c>
      <c r="H4266" s="574" t="s">
        <v>800</v>
      </c>
      <c r="I4266" s="523">
        <v>296</v>
      </c>
      <c r="J4266" s="523">
        <v>32753</v>
      </c>
      <c r="K4266" s="575">
        <f t="shared" si="549"/>
        <v>9694888</v>
      </c>
      <c r="L4266" s="591" t="s">
        <v>160</v>
      </c>
      <c r="M4266" s="591" t="s">
        <v>292</v>
      </c>
      <c r="N4266" s="525" t="str">
        <f>IF(AND('331-CT'!$E$7=TH!H4266,OR(L4266="331",M4266="331")),"331",IF(AND(OR(L4266="131",M4266="131"),H4266='131-CT'!$E$7),"131",""))</f>
        <v/>
      </c>
      <c r="O4266" s="525" t="str">
        <f>IF(AND($B4266&gt;='111'!$N$11,$B4266&lt;='111'!$O$11,OR($L4266=$O$7,$M4266=$O$7)),"x","")</f>
        <v/>
      </c>
      <c r="P4266" s="525" t="str">
        <f>IF(AND($L4266=$O$7,$B4266&lt;'111'!$N$11),"x","")</f>
        <v/>
      </c>
      <c r="Q4266" s="525" t="str">
        <f>IF(AND($M4266=$O$7,$B4266&lt;'111'!$N$11),"x","")</f>
        <v/>
      </c>
      <c r="R4266" s="525" t="str">
        <f>IF(ISERROR(FIND('112'!$M$9,G4266,1)),"",IF((AND(FIND('112'!$M$9,G4266,1)&gt;=1,$B4266&gt;='112'!$N$8,$B4266&lt;='112'!$O$8,OR($L4266='112'!$I$6,$M4266='112'!$I$6))),"x",""))</f>
        <v/>
      </c>
      <c r="S4266" s="525" t="str">
        <f>IF(ISERROR(FIND('112'!$M$9,G4266,1)),"",IF((AND(LEFT(G4266,2)=LEFT('112'!$M$9,2),B4266&lt;'112'!$N$8,$L4266='112'!$I$6)),"x",""))</f>
        <v/>
      </c>
      <c r="T4266" s="525" t="str">
        <f>IF(ISERROR(FIND('112'!$M$9,G4266,1)),"",IF((AND(RIGHT(G4266,2)=RIGHT('112'!$M$9,2),B4266&lt;'112'!$N$8,$M4266='112'!$I$6)),"x",""))</f>
        <v/>
      </c>
      <c r="U4266" s="525" t="str">
        <f>IF(AND(B4266&gt;='IN-NX'!$P$3,B4266&lt;='IN-NX'!$Q$3,'IN-NX'!$D$7=D4266,OR(LEFT(L4266,2)="15",AND(LEFT(M4266,2)&lt;&gt;"15",LEFT(M4266,2)&lt;&gt;"33"))),"x","")</f>
        <v/>
      </c>
      <c r="V4266" s="525" t="str">
        <f>IF(AND(OR(LEFT(TH!L4266,2)="15",LEFT(TH!M4266,2)="15"),'152-CT'!$J$8=TH!F4266),"x","")</f>
        <v/>
      </c>
      <c r="W4266" s="525" t="str">
        <f>IF(AND(OR(LEFT(TH!L4266,2)="15",LEFT(TH!M4266,2)="15"),TK!$E$7=TH!F4266),"x","")</f>
        <v/>
      </c>
      <c r="X4266" s="525" t="str">
        <f>IF(AND('341-CT'!$E$9=H4266,OR(LEFT(L4266,3)=$X$7,LEFT(M4266,3)=$X$7)),"x","")</f>
        <v/>
      </c>
      <c r="Y4266" s="525" t="str">
        <f>IF(OR(TH!L4266=TH!$Y$7,M4266=TH!$Y$7),"x","")</f>
        <v/>
      </c>
      <c r="Z4266" s="525" t="str">
        <f>IF(AND(B4266&lt;=NKC!$N$8,B4266&gt;=NKC!$M$8),"x","")</f>
        <v/>
      </c>
      <c r="AA4266" s="526"/>
      <c r="AB4266" s="527"/>
    </row>
    <row r="4267" spans="1:28" s="576" customFormat="1" ht="15.75" customHeight="1">
      <c r="A4267" s="517" t="str">
        <f>IF(B4267&lt;&gt;"",IF(AND(B4267&gt;=_TM1,B4267&lt;=_TM2,OR(TH!L4267="1111",TH!M4267="1111")),TH!D4267,""),"")</f>
        <v/>
      </c>
      <c r="B4267" s="518">
        <f t="shared" si="545"/>
        <v>7</v>
      </c>
      <c r="C4267" s="571">
        <f t="shared" si="547"/>
        <v>42940</v>
      </c>
      <c r="D4267" s="571" t="s">
        <v>996</v>
      </c>
      <c r="E4267" s="571">
        <v>42940</v>
      </c>
      <c r="F4267" s="520" t="s">
        <v>1329</v>
      </c>
      <c r="G4267" s="579" t="s">
        <v>1310</v>
      </c>
      <c r="H4267" s="574" t="s">
        <v>800</v>
      </c>
      <c r="I4267" s="523">
        <v>224</v>
      </c>
      <c r="J4267" s="523">
        <v>31243</v>
      </c>
      <c r="K4267" s="575">
        <f t="shared" si="549"/>
        <v>6998432</v>
      </c>
      <c r="L4267" s="591" t="s">
        <v>160</v>
      </c>
      <c r="M4267" s="591" t="s">
        <v>292</v>
      </c>
      <c r="N4267" s="525" t="str">
        <f>IF(AND('331-CT'!$E$7=TH!H4267,OR(L4267="331",M4267="331")),"331",IF(AND(OR(L4267="131",M4267="131"),H4267='131-CT'!$E$7),"131",""))</f>
        <v/>
      </c>
      <c r="O4267" s="525" t="str">
        <f>IF(AND($B4267&gt;='111'!$N$11,$B4267&lt;='111'!$O$11,OR($L4267=$O$7,$M4267=$O$7)),"x","")</f>
        <v/>
      </c>
      <c r="P4267" s="525" t="str">
        <f>IF(AND($L4267=$O$7,$B4267&lt;'111'!$N$11),"x","")</f>
        <v/>
      </c>
      <c r="Q4267" s="525" t="str">
        <f>IF(AND($M4267=$O$7,$B4267&lt;'111'!$N$11),"x","")</f>
        <v/>
      </c>
      <c r="R4267" s="525" t="str">
        <f>IF(ISERROR(FIND('112'!$M$9,G4267,1)),"",IF((AND(FIND('112'!$M$9,G4267,1)&gt;=1,$B4267&gt;='112'!$N$8,$B4267&lt;='112'!$O$8,OR($L4267='112'!$I$6,$M4267='112'!$I$6))),"x",""))</f>
        <v/>
      </c>
      <c r="S4267" s="525" t="str">
        <f>IF(ISERROR(FIND('112'!$M$9,G4267,1)),"",IF((AND(LEFT(G4267,2)=LEFT('112'!$M$9,2),B4267&lt;'112'!$N$8,$L4267='112'!$I$6)),"x",""))</f>
        <v/>
      </c>
      <c r="T4267" s="525" t="str">
        <f>IF(ISERROR(FIND('112'!$M$9,G4267,1)),"",IF((AND(RIGHT(G4267,2)=RIGHT('112'!$M$9,2),B4267&lt;'112'!$N$8,$M4267='112'!$I$6)),"x",""))</f>
        <v/>
      </c>
      <c r="U4267" s="525" t="str">
        <f>IF(AND(B4267&gt;='IN-NX'!$P$3,B4267&lt;='IN-NX'!$Q$3,'IN-NX'!$D$7=D4267,OR(LEFT(L4267,2)="15",AND(LEFT(M4267,2)&lt;&gt;"15",LEFT(M4267,2)&lt;&gt;"33"))),"x","")</f>
        <v/>
      </c>
      <c r="V4267" s="525" t="str">
        <f>IF(AND(OR(LEFT(TH!L4267,2)="15",LEFT(TH!M4267,2)="15"),'152-CT'!$J$8=TH!F4267),"x","")</f>
        <v/>
      </c>
      <c r="W4267" s="525" t="str">
        <f>IF(AND(OR(LEFT(TH!L4267,2)="15",LEFT(TH!M4267,2)="15"),TK!$E$7=TH!F4267),"x","")</f>
        <v/>
      </c>
      <c r="X4267" s="525" t="str">
        <f>IF(AND('341-CT'!$E$9=H4267,OR(LEFT(L4267,3)=$X$7,LEFT(M4267,3)=$X$7)),"x","")</f>
        <v/>
      </c>
      <c r="Y4267" s="525" t="str">
        <f>IF(OR(TH!L4267=TH!$Y$7,M4267=TH!$Y$7),"x","")</f>
        <v/>
      </c>
      <c r="Z4267" s="525" t="str">
        <f>IF(AND(B4267&lt;=NKC!$N$8,B4267&gt;=NKC!$M$8),"x","")</f>
        <v/>
      </c>
      <c r="AA4267" s="526"/>
      <c r="AB4267" s="527"/>
    </row>
    <row r="4268" spans="1:28" s="576" customFormat="1" ht="15.75" customHeight="1">
      <c r="A4268" s="517" t="str">
        <f>IF(B4268&lt;&gt;"",IF(AND(B4268&gt;=_TM1,B4268&lt;=_TM2,OR(TH!L4268="1111",TH!M4268="1111")),TH!D4268,""),"")</f>
        <v/>
      </c>
      <c r="B4268" s="518">
        <f t="shared" si="545"/>
        <v>7</v>
      </c>
      <c r="C4268" s="571">
        <f t="shared" si="547"/>
        <v>42940</v>
      </c>
      <c r="D4268" s="571" t="s">
        <v>996</v>
      </c>
      <c r="E4268" s="571">
        <v>42940</v>
      </c>
      <c r="F4268" s="520" t="s">
        <v>1330</v>
      </c>
      <c r="G4268" s="579" t="s">
        <v>1310</v>
      </c>
      <c r="H4268" s="574" t="s">
        <v>800</v>
      </c>
      <c r="I4268" s="523">
        <v>100</v>
      </c>
      <c r="J4268" s="523">
        <v>32991</v>
      </c>
      <c r="K4268" s="575">
        <f t="shared" si="549"/>
        <v>3299100</v>
      </c>
      <c r="L4268" s="591" t="s">
        <v>160</v>
      </c>
      <c r="M4268" s="591" t="s">
        <v>292</v>
      </c>
      <c r="N4268" s="525" t="str">
        <f>IF(AND('331-CT'!$E$7=TH!H4268,OR(L4268="331",M4268="331")),"331",IF(AND(OR(L4268="131",M4268="131"),H4268='131-CT'!$E$7),"131",""))</f>
        <v/>
      </c>
      <c r="O4268" s="525" t="str">
        <f>IF(AND($B4268&gt;='111'!$N$11,$B4268&lt;='111'!$O$11,OR($L4268=$O$7,$M4268=$O$7)),"x","")</f>
        <v/>
      </c>
      <c r="P4268" s="525" t="str">
        <f>IF(AND($L4268=$O$7,$B4268&lt;'111'!$N$11),"x","")</f>
        <v/>
      </c>
      <c r="Q4268" s="525" t="str">
        <f>IF(AND($M4268=$O$7,$B4268&lt;'111'!$N$11),"x","")</f>
        <v/>
      </c>
      <c r="R4268" s="525" t="str">
        <f>IF(ISERROR(FIND('112'!$M$9,G4268,1)),"",IF((AND(FIND('112'!$M$9,G4268,1)&gt;=1,$B4268&gt;='112'!$N$8,$B4268&lt;='112'!$O$8,OR($L4268='112'!$I$6,$M4268='112'!$I$6))),"x",""))</f>
        <v/>
      </c>
      <c r="S4268" s="525" t="str">
        <f>IF(ISERROR(FIND('112'!$M$9,G4268,1)),"",IF((AND(LEFT(G4268,2)=LEFT('112'!$M$9,2),B4268&lt;'112'!$N$8,$L4268='112'!$I$6)),"x",""))</f>
        <v/>
      </c>
      <c r="T4268" s="525" t="str">
        <f>IF(ISERROR(FIND('112'!$M$9,G4268,1)),"",IF((AND(RIGHT(G4268,2)=RIGHT('112'!$M$9,2),B4268&lt;'112'!$N$8,$M4268='112'!$I$6)),"x",""))</f>
        <v/>
      </c>
      <c r="U4268" s="525" t="str">
        <f>IF(AND(B4268&gt;='IN-NX'!$P$3,B4268&lt;='IN-NX'!$Q$3,'IN-NX'!$D$7=D4268,OR(LEFT(L4268,2)="15",AND(LEFT(M4268,2)&lt;&gt;"15",LEFT(M4268,2)&lt;&gt;"33"))),"x","")</f>
        <v/>
      </c>
      <c r="V4268" s="525" t="str">
        <f>IF(AND(OR(LEFT(TH!L4268,2)="15",LEFT(TH!M4268,2)="15"),'152-CT'!$J$8=TH!F4268),"x","")</f>
        <v/>
      </c>
      <c r="W4268" s="525" t="str">
        <f>IF(AND(OR(LEFT(TH!L4268,2)="15",LEFT(TH!M4268,2)="15"),TK!$E$7=TH!F4268),"x","")</f>
        <v/>
      </c>
      <c r="X4268" s="525" t="str">
        <f>IF(AND('341-CT'!$E$9=H4268,OR(LEFT(L4268,3)=$X$7,LEFT(M4268,3)=$X$7)),"x","")</f>
        <v/>
      </c>
      <c r="Y4268" s="525" t="str">
        <f>IF(OR(TH!L4268=TH!$Y$7,M4268=TH!$Y$7),"x","")</f>
        <v/>
      </c>
      <c r="Z4268" s="525" t="str">
        <f>IF(AND(B4268&lt;=NKC!$N$8,B4268&gt;=NKC!$M$8),"x","")</f>
        <v/>
      </c>
      <c r="AA4268" s="526"/>
      <c r="AB4268" s="527"/>
    </row>
    <row r="4269" spans="1:28" s="576" customFormat="1" ht="15.75" customHeight="1">
      <c r="A4269" s="517" t="str">
        <f>IF(B4269&lt;&gt;"",IF(AND(B4269&gt;=_TM1,B4269&lt;=_TM2,OR(TH!L4269="1111",TH!M4269="1111")),TH!D4269,""),"")</f>
        <v/>
      </c>
      <c r="B4269" s="518">
        <f t="shared" si="545"/>
        <v>7</v>
      </c>
      <c r="C4269" s="571">
        <f t="shared" si="547"/>
        <v>42940</v>
      </c>
      <c r="D4269" s="571" t="s">
        <v>996</v>
      </c>
      <c r="E4269" s="571">
        <v>42940</v>
      </c>
      <c r="F4269" s="520" t="s">
        <v>1331</v>
      </c>
      <c r="G4269" s="579" t="s">
        <v>1310</v>
      </c>
      <c r="H4269" s="574" t="s">
        <v>800</v>
      </c>
      <c r="I4269" s="523">
        <v>116</v>
      </c>
      <c r="J4269" s="523">
        <v>39619</v>
      </c>
      <c r="K4269" s="575">
        <f t="shared" si="549"/>
        <v>4595804</v>
      </c>
      <c r="L4269" s="591" t="s">
        <v>160</v>
      </c>
      <c r="M4269" s="591" t="s">
        <v>292</v>
      </c>
      <c r="N4269" s="525" t="str">
        <f>IF(AND('331-CT'!$E$7=TH!H4269,OR(L4269="331",M4269="331")),"331",IF(AND(OR(L4269="131",M4269="131"),H4269='131-CT'!$E$7),"131",""))</f>
        <v/>
      </c>
      <c r="O4269" s="525" t="str">
        <f>IF(AND($B4269&gt;='111'!$N$11,$B4269&lt;='111'!$O$11,OR($L4269=$O$7,$M4269=$O$7)),"x","")</f>
        <v/>
      </c>
      <c r="P4269" s="525" t="str">
        <f>IF(AND($L4269=$O$7,$B4269&lt;'111'!$N$11),"x","")</f>
        <v/>
      </c>
      <c r="Q4269" s="525" t="str">
        <f>IF(AND($M4269=$O$7,$B4269&lt;'111'!$N$11),"x","")</f>
        <v/>
      </c>
      <c r="R4269" s="525" t="str">
        <f>IF(ISERROR(FIND('112'!$M$9,G4269,1)),"",IF((AND(FIND('112'!$M$9,G4269,1)&gt;=1,$B4269&gt;='112'!$N$8,$B4269&lt;='112'!$O$8,OR($L4269='112'!$I$6,$M4269='112'!$I$6))),"x",""))</f>
        <v/>
      </c>
      <c r="S4269" s="525" t="str">
        <f>IF(ISERROR(FIND('112'!$M$9,G4269,1)),"",IF((AND(LEFT(G4269,2)=LEFT('112'!$M$9,2),B4269&lt;'112'!$N$8,$L4269='112'!$I$6)),"x",""))</f>
        <v/>
      </c>
      <c r="T4269" s="525" t="str">
        <f>IF(ISERROR(FIND('112'!$M$9,G4269,1)),"",IF((AND(RIGHT(G4269,2)=RIGHT('112'!$M$9,2),B4269&lt;'112'!$N$8,$M4269='112'!$I$6)),"x",""))</f>
        <v/>
      </c>
      <c r="U4269" s="525" t="str">
        <f>IF(AND(B4269&gt;='IN-NX'!$P$3,B4269&lt;='IN-NX'!$Q$3,'IN-NX'!$D$7=D4269,OR(LEFT(L4269,2)="15",AND(LEFT(M4269,2)&lt;&gt;"15",LEFT(M4269,2)&lt;&gt;"33"))),"x","")</f>
        <v/>
      </c>
      <c r="V4269" s="525" t="str">
        <f>IF(AND(OR(LEFT(TH!L4269,2)="15",LEFT(TH!M4269,2)="15"),'152-CT'!$J$8=TH!F4269),"x","")</f>
        <v/>
      </c>
      <c r="W4269" s="525" t="str">
        <f>IF(AND(OR(LEFT(TH!L4269,2)="15",LEFT(TH!M4269,2)="15"),TK!$E$7=TH!F4269),"x","")</f>
        <v/>
      </c>
      <c r="X4269" s="525" t="str">
        <f>IF(AND('341-CT'!$E$9=H4269,OR(LEFT(L4269,3)=$X$7,LEFT(M4269,3)=$X$7)),"x","")</f>
        <v/>
      </c>
      <c r="Y4269" s="525" t="str">
        <f>IF(OR(TH!L4269=TH!$Y$7,M4269=TH!$Y$7),"x","")</f>
        <v/>
      </c>
      <c r="Z4269" s="525" t="str">
        <f>IF(AND(B4269&lt;=NKC!$N$8,B4269&gt;=NKC!$M$8),"x","")</f>
        <v/>
      </c>
      <c r="AA4269" s="526"/>
      <c r="AB4269" s="527"/>
    </row>
    <row r="4270" spans="1:28" s="576" customFormat="1" ht="15.75" customHeight="1">
      <c r="A4270" s="517" t="str">
        <f>IF(B4270&lt;&gt;"",IF(AND(B4270&gt;=_TM1,B4270&lt;=_TM2,OR(TH!L4270="1111",TH!M4270="1111")),TH!D4270,""),"")</f>
        <v/>
      </c>
      <c r="B4270" s="518">
        <f t="shared" si="545"/>
        <v>7</v>
      </c>
      <c r="C4270" s="571">
        <f t="shared" si="547"/>
        <v>42940</v>
      </c>
      <c r="D4270" s="571" t="s">
        <v>996</v>
      </c>
      <c r="E4270" s="571">
        <v>42940</v>
      </c>
      <c r="F4270" s="572" t="s">
        <v>1332</v>
      </c>
      <c r="G4270" s="579" t="s">
        <v>1310</v>
      </c>
      <c r="H4270" s="574" t="s">
        <v>800</v>
      </c>
      <c r="I4270" s="523">
        <v>132</v>
      </c>
      <c r="J4270" s="523">
        <v>49811</v>
      </c>
      <c r="K4270" s="575">
        <f t="shared" si="549"/>
        <v>6575052</v>
      </c>
      <c r="L4270" s="591" t="s">
        <v>160</v>
      </c>
      <c r="M4270" s="591" t="s">
        <v>292</v>
      </c>
      <c r="N4270" s="525" t="str">
        <f>IF(AND('331-CT'!$E$7=TH!H4270,OR(L4270="331",M4270="331")),"331",IF(AND(OR(L4270="131",M4270="131"),H4270='131-CT'!$E$7),"131",""))</f>
        <v/>
      </c>
      <c r="O4270" s="525" t="str">
        <f>IF(AND($B4270&gt;='111'!$N$11,$B4270&lt;='111'!$O$11,OR($L4270=$O$7,$M4270=$O$7)),"x","")</f>
        <v/>
      </c>
      <c r="P4270" s="525" t="str">
        <f>IF(AND($L4270=$O$7,$B4270&lt;'111'!$N$11),"x","")</f>
        <v/>
      </c>
      <c r="Q4270" s="525" t="str">
        <f>IF(AND($M4270=$O$7,$B4270&lt;'111'!$N$11),"x","")</f>
        <v/>
      </c>
      <c r="R4270" s="525" t="str">
        <f>IF(ISERROR(FIND('112'!$M$9,G4270,1)),"",IF((AND(FIND('112'!$M$9,G4270,1)&gt;=1,$B4270&gt;='112'!$N$8,$B4270&lt;='112'!$O$8,OR($L4270='112'!$I$6,$M4270='112'!$I$6))),"x",""))</f>
        <v/>
      </c>
      <c r="S4270" s="525" t="str">
        <f>IF(ISERROR(FIND('112'!$M$9,G4270,1)),"",IF((AND(LEFT(G4270,2)=LEFT('112'!$M$9,2),B4270&lt;'112'!$N$8,$L4270='112'!$I$6)),"x",""))</f>
        <v/>
      </c>
      <c r="T4270" s="525" t="str">
        <f>IF(ISERROR(FIND('112'!$M$9,G4270,1)),"",IF((AND(RIGHT(G4270,2)=RIGHT('112'!$M$9,2),B4270&lt;'112'!$N$8,$M4270='112'!$I$6)),"x",""))</f>
        <v/>
      </c>
      <c r="U4270" s="525" t="str">
        <f>IF(AND(B4270&gt;='IN-NX'!$P$3,B4270&lt;='IN-NX'!$Q$3,'IN-NX'!$D$7=D4270,OR(LEFT(L4270,2)="15",AND(LEFT(M4270,2)&lt;&gt;"15",LEFT(M4270,2)&lt;&gt;"33"))),"x","")</f>
        <v/>
      </c>
      <c r="V4270" s="525" t="str">
        <f>IF(AND(OR(LEFT(TH!L4270,2)="15",LEFT(TH!M4270,2)="15"),'152-CT'!$J$8=TH!F4270),"x","")</f>
        <v/>
      </c>
      <c r="W4270" s="525" t="str">
        <f>IF(AND(OR(LEFT(TH!L4270,2)="15",LEFT(TH!M4270,2)="15"),TK!$E$7=TH!F4270),"x","")</f>
        <v/>
      </c>
      <c r="X4270" s="525" t="str">
        <f>IF(AND('341-CT'!$E$9=H4270,OR(LEFT(L4270,3)=$X$7,LEFT(M4270,3)=$X$7)),"x","")</f>
        <v/>
      </c>
      <c r="Y4270" s="525" t="str">
        <f>IF(OR(TH!L4270=TH!$Y$7,M4270=TH!$Y$7),"x","")</f>
        <v/>
      </c>
      <c r="Z4270" s="525" t="str">
        <f>IF(AND(B4270&lt;=NKC!$N$8,B4270&gt;=NKC!$M$8),"x","")</f>
        <v/>
      </c>
      <c r="AA4270" s="526"/>
      <c r="AB4270" s="527"/>
    </row>
    <row r="4271" spans="1:28" s="576" customFormat="1" ht="15.75" customHeight="1">
      <c r="A4271" s="517" t="str">
        <f>IF(B4271&lt;&gt;"",IF(AND(B4271&gt;=_TM1,B4271&lt;=_TM2,OR(TH!L4271="1111",TH!M4271="1111")),TH!D4271,""),"")</f>
        <v/>
      </c>
      <c r="B4271" s="518">
        <f t="shared" si="545"/>
        <v>7</v>
      </c>
      <c r="C4271" s="571">
        <f t="shared" si="547"/>
        <v>42940</v>
      </c>
      <c r="D4271" s="571" t="s">
        <v>996</v>
      </c>
      <c r="E4271" s="571">
        <v>42940</v>
      </c>
      <c r="F4271" s="572" t="s">
        <v>1333</v>
      </c>
      <c r="G4271" s="579" t="s">
        <v>1310</v>
      </c>
      <c r="H4271" s="574" t="s">
        <v>800</v>
      </c>
      <c r="I4271" s="729">
        <v>100</v>
      </c>
      <c r="J4271" s="729">
        <v>36553</v>
      </c>
      <c r="K4271" s="575">
        <f t="shared" si="549"/>
        <v>3655300</v>
      </c>
      <c r="L4271" s="591" t="s">
        <v>160</v>
      </c>
      <c r="M4271" s="591" t="s">
        <v>292</v>
      </c>
      <c r="N4271" s="525" t="str">
        <f>IF(AND('331-CT'!$E$7=TH!H4271,OR(L4271="331",M4271="331")),"331",IF(AND(OR(L4271="131",M4271="131"),H4271='131-CT'!$E$7),"131",""))</f>
        <v/>
      </c>
      <c r="O4271" s="525" t="str">
        <f>IF(AND($B4271&gt;='111'!$N$11,$B4271&lt;='111'!$O$11,OR($L4271=$O$7,$M4271=$O$7)),"x","")</f>
        <v/>
      </c>
      <c r="P4271" s="525" t="str">
        <f>IF(AND($L4271=$O$7,$B4271&lt;'111'!$N$11),"x","")</f>
        <v/>
      </c>
      <c r="Q4271" s="525" t="str">
        <f>IF(AND($M4271=$O$7,$B4271&lt;'111'!$N$11),"x","")</f>
        <v/>
      </c>
      <c r="R4271" s="525" t="str">
        <f>IF(ISERROR(FIND('112'!$M$9,G4271,1)),"",IF((AND(FIND('112'!$M$9,G4271,1)&gt;=1,$B4271&gt;='112'!$N$8,$B4271&lt;='112'!$O$8,OR($L4271='112'!$I$6,$M4271='112'!$I$6))),"x",""))</f>
        <v/>
      </c>
      <c r="S4271" s="525" t="str">
        <f>IF(ISERROR(FIND('112'!$M$9,G4271,1)),"",IF((AND(LEFT(G4271,2)=LEFT('112'!$M$9,2),B4271&lt;'112'!$N$8,$L4271='112'!$I$6)),"x",""))</f>
        <v/>
      </c>
      <c r="T4271" s="525" t="str">
        <f>IF(ISERROR(FIND('112'!$M$9,G4271,1)),"",IF((AND(RIGHT(G4271,2)=RIGHT('112'!$M$9,2),B4271&lt;'112'!$N$8,$M4271='112'!$I$6)),"x",""))</f>
        <v/>
      </c>
      <c r="U4271" s="525" t="str">
        <f>IF(AND(B4271&gt;='IN-NX'!$P$3,B4271&lt;='IN-NX'!$Q$3,'IN-NX'!$D$7=D4271,OR(LEFT(L4271,2)="15",AND(LEFT(M4271,2)&lt;&gt;"15",LEFT(M4271,2)&lt;&gt;"33"))),"x","")</f>
        <v/>
      </c>
      <c r="V4271" s="525" t="str">
        <f>IF(AND(OR(LEFT(TH!L4271,2)="15",LEFT(TH!M4271,2)="15"),'152-CT'!$J$8=TH!F4271),"x","")</f>
        <v/>
      </c>
      <c r="W4271" s="525" t="str">
        <f>IF(AND(OR(LEFT(TH!L4271,2)="15",LEFT(TH!M4271,2)="15"),TK!$E$7=TH!F4271),"x","")</f>
        <v/>
      </c>
      <c r="X4271" s="525" t="str">
        <f>IF(AND('341-CT'!$E$9=H4271,OR(LEFT(L4271,3)=$X$7,LEFT(M4271,3)=$X$7)),"x","")</f>
        <v/>
      </c>
      <c r="Y4271" s="525" t="str">
        <f>IF(OR(TH!L4271=TH!$Y$7,M4271=TH!$Y$7),"x","")</f>
        <v/>
      </c>
      <c r="Z4271" s="525" t="str">
        <f>IF(AND(B4271&lt;=NKC!$N$8,B4271&gt;=NKC!$M$8),"x","")</f>
        <v/>
      </c>
      <c r="AA4271" s="526"/>
      <c r="AB4271" s="527"/>
    </row>
    <row r="4272" spans="1:28" s="576" customFormat="1" ht="15.75" customHeight="1">
      <c r="A4272" s="517" t="str">
        <f>IF(B4272&lt;&gt;"",IF(AND(B4272&gt;=_TM1,B4272&lt;=_TM2,OR(TH!L4272="1111",TH!M4272="1111")),TH!D4272,""),"")</f>
        <v/>
      </c>
      <c r="B4272" s="518">
        <f t="shared" si="545"/>
        <v>7</v>
      </c>
      <c r="C4272" s="571">
        <f t="shared" si="547"/>
        <v>42940</v>
      </c>
      <c r="D4272" s="571" t="s">
        <v>996</v>
      </c>
      <c r="E4272" s="571">
        <v>42940</v>
      </c>
      <c r="F4272" s="520" t="s">
        <v>1334</v>
      </c>
      <c r="G4272" s="579" t="s">
        <v>1310</v>
      </c>
      <c r="H4272" s="574" t="s">
        <v>800</v>
      </c>
      <c r="I4272" s="523">
        <v>60</v>
      </c>
      <c r="J4272" s="523">
        <v>37677</v>
      </c>
      <c r="K4272" s="575">
        <f t="shared" si="549"/>
        <v>2260620</v>
      </c>
      <c r="L4272" s="591" t="s">
        <v>160</v>
      </c>
      <c r="M4272" s="591" t="s">
        <v>292</v>
      </c>
      <c r="N4272" s="525" t="str">
        <f>IF(AND('331-CT'!$E$7=TH!H4272,OR(L4272="331",M4272="331")),"331",IF(AND(OR(L4272="131",M4272="131"),H4272='131-CT'!$E$7),"131",""))</f>
        <v/>
      </c>
      <c r="O4272" s="525" t="str">
        <f>IF(AND($B4272&gt;='111'!$N$11,$B4272&lt;='111'!$O$11,OR($L4272=$O$7,$M4272=$O$7)),"x","")</f>
        <v/>
      </c>
      <c r="P4272" s="525" t="str">
        <f>IF(AND($L4272=$O$7,$B4272&lt;'111'!$N$11),"x","")</f>
        <v/>
      </c>
      <c r="Q4272" s="525" t="str">
        <f>IF(AND($M4272=$O$7,$B4272&lt;'111'!$N$11),"x","")</f>
        <v/>
      </c>
      <c r="R4272" s="525" t="str">
        <f>IF(ISERROR(FIND('112'!$M$9,G4272,1)),"",IF((AND(FIND('112'!$M$9,G4272,1)&gt;=1,$B4272&gt;='112'!$N$8,$B4272&lt;='112'!$O$8,OR($L4272='112'!$I$6,$M4272='112'!$I$6))),"x",""))</f>
        <v/>
      </c>
      <c r="S4272" s="525" t="str">
        <f>IF(ISERROR(FIND('112'!$M$9,G4272,1)),"",IF((AND(LEFT(G4272,2)=LEFT('112'!$M$9,2),B4272&lt;'112'!$N$8,$L4272='112'!$I$6)),"x",""))</f>
        <v/>
      </c>
      <c r="T4272" s="525" t="str">
        <f>IF(ISERROR(FIND('112'!$M$9,G4272,1)),"",IF((AND(RIGHT(G4272,2)=RIGHT('112'!$M$9,2),B4272&lt;'112'!$N$8,$M4272='112'!$I$6)),"x",""))</f>
        <v/>
      </c>
      <c r="U4272" s="525" t="str">
        <f>IF(AND(B4272&gt;='IN-NX'!$P$3,B4272&lt;='IN-NX'!$Q$3,'IN-NX'!$D$7=D4272,OR(LEFT(L4272,2)="15",AND(LEFT(M4272,2)&lt;&gt;"15",LEFT(M4272,2)&lt;&gt;"33"))),"x","")</f>
        <v/>
      </c>
      <c r="V4272" s="525" t="str">
        <f>IF(AND(OR(LEFT(TH!L4272,2)="15",LEFT(TH!M4272,2)="15"),'152-CT'!$J$8=TH!F4272),"x","")</f>
        <v/>
      </c>
      <c r="W4272" s="525" t="str">
        <f>IF(AND(OR(LEFT(TH!L4272,2)="15",LEFT(TH!M4272,2)="15"),TK!$E$7=TH!F4272),"x","")</f>
        <v/>
      </c>
      <c r="X4272" s="525" t="str">
        <f>IF(AND('341-CT'!$E$9=H4272,OR(LEFT(L4272,3)=$X$7,LEFT(M4272,3)=$X$7)),"x","")</f>
        <v/>
      </c>
      <c r="Y4272" s="525" t="str">
        <f>IF(OR(TH!L4272=TH!$Y$7,M4272=TH!$Y$7),"x","")</f>
        <v/>
      </c>
      <c r="Z4272" s="525" t="str">
        <f>IF(AND(B4272&lt;=NKC!$N$8,B4272&gt;=NKC!$M$8),"x","")</f>
        <v/>
      </c>
      <c r="AA4272" s="526"/>
      <c r="AB4272" s="527"/>
    </row>
    <row r="4273" spans="1:28" s="576" customFormat="1" ht="15.75" customHeight="1">
      <c r="A4273" s="517" t="str">
        <f>IF(B4273&lt;&gt;"",IF(AND(B4273&gt;=_TM1,B4273&lt;=_TM2,OR(TH!L4273="1111",TH!M4273="1111")),TH!D4273,""),"")</f>
        <v/>
      </c>
      <c r="B4273" s="518">
        <f t="shared" si="545"/>
        <v>7</v>
      </c>
      <c r="C4273" s="571">
        <f t="shared" si="547"/>
        <v>42940</v>
      </c>
      <c r="D4273" s="571" t="s">
        <v>996</v>
      </c>
      <c r="E4273" s="571">
        <v>42940</v>
      </c>
      <c r="F4273" s="520" t="s">
        <v>1335</v>
      </c>
      <c r="G4273" s="579" t="s">
        <v>1310</v>
      </c>
      <c r="H4273" s="574" t="s">
        <v>800</v>
      </c>
      <c r="I4273" s="523">
        <v>100</v>
      </c>
      <c r="J4273" s="523">
        <v>43122</v>
      </c>
      <c r="K4273" s="575">
        <f t="shared" si="549"/>
        <v>4312200</v>
      </c>
      <c r="L4273" s="591" t="s">
        <v>160</v>
      </c>
      <c r="M4273" s="591" t="s">
        <v>292</v>
      </c>
      <c r="N4273" s="525" t="str">
        <f>IF(AND('331-CT'!$E$7=TH!H4273,OR(L4273="331",M4273="331")),"331",IF(AND(OR(L4273="131",M4273="131"),H4273='131-CT'!$E$7),"131",""))</f>
        <v/>
      </c>
      <c r="O4273" s="525" t="str">
        <f>IF(AND($B4273&gt;='111'!$N$11,$B4273&lt;='111'!$O$11,OR($L4273=$O$7,$M4273=$O$7)),"x","")</f>
        <v/>
      </c>
      <c r="P4273" s="525" t="str">
        <f>IF(AND($L4273=$O$7,$B4273&lt;'111'!$N$11),"x","")</f>
        <v/>
      </c>
      <c r="Q4273" s="525" t="str">
        <f>IF(AND($M4273=$O$7,$B4273&lt;'111'!$N$11),"x","")</f>
        <v/>
      </c>
      <c r="R4273" s="525" t="str">
        <f>IF(ISERROR(FIND('112'!$M$9,G4273,1)),"",IF((AND(FIND('112'!$M$9,G4273,1)&gt;=1,$B4273&gt;='112'!$N$8,$B4273&lt;='112'!$O$8,OR($L4273='112'!$I$6,$M4273='112'!$I$6))),"x",""))</f>
        <v/>
      </c>
      <c r="S4273" s="525" t="str">
        <f>IF(ISERROR(FIND('112'!$M$9,G4273,1)),"",IF((AND(LEFT(G4273,2)=LEFT('112'!$M$9,2),B4273&lt;'112'!$N$8,$L4273='112'!$I$6)),"x",""))</f>
        <v/>
      </c>
      <c r="T4273" s="525" t="str">
        <f>IF(ISERROR(FIND('112'!$M$9,G4273,1)),"",IF((AND(RIGHT(G4273,2)=RIGHT('112'!$M$9,2),B4273&lt;'112'!$N$8,$M4273='112'!$I$6)),"x",""))</f>
        <v/>
      </c>
      <c r="U4273" s="525" t="str">
        <f>IF(AND(B4273&gt;='IN-NX'!$P$3,B4273&lt;='IN-NX'!$Q$3,'IN-NX'!$D$7=D4273,OR(LEFT(L4273,2)="15",AND(LEFT(M4273,2)&lt;&gt;"15",LEFT(M4273,2)&lt;&gt;"33"))),"x","")</f>
        <v/>
      </c>
      <c r="V4273" s="525" t="str">
        <f>IF(AND(OR(LEFT(TH!L4273,2)="15",LEFT(TH!M4273,2)="15"),'152-CT'!$J$8=TH!F4273),"x","")</f>
        <v/>
      </c>
      <c r="W4273" s="525" t="str">
        <f>IF(AND(OR(LEFT(TH!L4273,2)="15",LEFT(TH!M4273,2)="15"),TK!$E$7=TH!F4273),"x","")</f>
        <v/>
      </c>
      <c r="X4273" s="525" t="str">
        <f>IF(AND('341-CT'!$E$9=H4273,OR(LEFT(L4273,3)=$X$7,LEFT(M4273,3)=$X$7)),"x","")</f>
        <v/>
      </c>
      <c r="Y4273" s="525" t="str">
        <f>IF(OR(TH!L4273=TH!$Y$7,M4273=TH!$Y$7),"x","")</f>
        <v/>
      </c>
      <c r="Z4273" s="525" t="str">
        <f>IF(AND(B4273&lt;=NKC!$N$8,B4273&gt;=NKC!$M$8),"x","")</f>
        <v/>
      </c>
      <c r="AA4273" s="526"/>
      <c r="AB4273" s="527"/>
    </row>
    <row r="4274" spans="1:28" s="576" customFormat="1" ht="15.75" customHeight="1">
      <c r="A4274" s="517" t="str">
        <f>IF(B4274&lt;&gt;"",IF(AND(B4274&gt;=_TM1,B4274&lt;=_TM2,OR(TH!L4274="1111",TH!M4274="1111")),TH!D4274,""),"")</f>
        <v/>
      </c>
      <c r="B4274" s="518">
        <f t="shared" si="545"/>
        <v>7</v>
      </c>
      <c r="C4274" s="571">
        <f t="shared" si="547"/>
        <v>42940</v>
      </c>
      <c r="D4274" s="571" t="s">
        <v>996</v>
      </c>
      <c r="E4274" s="571">
        <v>42940</v>
      </c>
      <c r="F4274" s="577" t="s">
        <v>1336</v>
      </c>
      <c r="G4274" s="579" t="s">
        <v>1310</v>
      </c>
      <c r="H4274" s="574" t="s">
        <v>800</v>
      </c>
      <c r="I4274" s="523">
        <v>200</v>
      </c>
      <c r="J4274" s="523">
        <v>41932</v>
      </c>
      <c r="K4274" s="575">
        <f t="shared" si="549"/>
        <v>8386400</v>
      </c>
      <c r="L4274" s="591" t="s">
        <v>160</v>
      </c>
      <c r="M4274" s="591" t="s">
        <v>292</v>
      </c>
      <c r="N4274" s="525" t="str">
        <f>IF(AND('331-CT'!$E$7=TH!H4274,OR(L4274="331",M4274="331")),"331",IF(AND(OR(L4274="131",M4274="131"),H4274='131-CT'!$E$7),"131",""))</f>
        <v/>
      </c>
      <c r="O4274" s="525" t="str">
        <f>IF(AND($B4274&gt;='111'!$N$11,$B4274&lt;='111'!$O$11,OR($L4274=$O$7,$M4274=$O$7)),"x","")</f>
        <v/>
      </c>
      <c r="P4274" s="525" t="str">
        <f>IF(AND($L4274=$O$7,$B4274&lt;'111'!$N$11),"x","")</f>
        <v/>
      </c>
      <c r="Q4274" s="525" t="str">
        <f>IF(AND($M4274=$O$7,$B4274&lt;'111'!$N$11),"x","")</f>
        <v/>
      </c>
      <c r="R4274" s="525" t="str">
        <f>IF(ISERROR(FIND('112'!$M$9,G4274,1)),"",IF((AND(FIND('112'!$M$9,G4274,1)&gt;=1,$B4274&gt;='112'!$N$8,$B4274&lt;='112'!$O$8,OR($L4274='112'!$I$6,$M4274='112'!$I$6))),"x",""))</f>
        <v/>
      </c>
      <c r="S4274" s="525" t="str">
        <f>IF(ISERROR(FIND('112'!$M$9,G4274,1)),"",IF((AND(LEFT(G4274,2)=LEFT('112'!$M$9,2),B4274&lt;'112'!$N$8,$L4274='112'!$I$6)),"x",""))</f>
        <v/>
      </c>
      <c r="T4274" s="525" t="str">
        <f>IF(ISERROR(FIND('112'!$M$9,G4274,1)),"",IF((AND(RIGHT(G4274,2)=RIGHT('112'!$M$9,2),B4274&lt;'112'!$N$8,$M4274='112'!$I$6)),"x",""))</f>
        <v/>
      </c>
      <c r="U4274" s="525" t="str">
        <f>IF(AND(B4274&gt;='IN-NX'!$P$3,B4274&lt;='IN-NX'!$Q$3,'IN-NX'!$D$7=D4274,OR(LEFT(L4274,2)="15",AND(LEFT(M4274,2)&lt;&gt;"15",LEFT(M4274,2)&lt;&gt;"33"))),"x","")</f>
        <v/>
      </c>
      <c r="V4274" s="525" t="str">
        <f>IF(AND(OR(LEFT(TH!L4274,2)="15",LEFT(TH!M4274,2)="15"),'152-CT'!$J$8=TH!F4274),"x","")</f>
        <v/>
      </c>
      <c r="W4274" s="525" t="str">
        <f>IF(AND(OR(LEFT(TH!L4274,2)="15",LEFT(TH!M4274,2)="15"),TK!$E$7=TH!F4274),"x","")</f>
        <v/>
      </c>
      <c r="X4274" s="525" t="str">
        <f>IF(AND('341-CT'!$E$9=H4274,OR(LEFT(L4274,3)=$X$7,LEFT(M4274,3)=$X$7)),"x","")</f>
        <v/>
      </c>
      <c r="Y4274" s="525" t="str">
        <f>IF(OR(TH!L4274=TH!$Y$7,M4274=TH!$Y$7),"x","")</f>
        <v/>
      </c>
      <c r="Z4274" s="525" t="str">
        <f>IF(AND(B4274&lt;=NKC!$N$8,B4274&gt;=NKC!$M$8),"x","")</f>
        <v/>
      </c>
      <c r="AA4274" s="526"/>
      <c r="AB4274" s="527"/>
    </row>
    <row r="4275" spans="1:28" s="576" customFormat="1" ht="15.75" customHeight="1">
      <c r="A4275" s="517" t="str">
        <f>IF(B4275&lt;&gt;"",IF(AND(B4275&gt;=_TM1,B4275&lt;=_TM2,OR(TH!L4275="1111",TH!M4275="1111")),TH!D4275,""),"")</f>
        <v/>
      </c>
      <c r="B4275" s="518">
        <f t="shared" si="545"/>
        <v>7</v>
      </c>
      <c r="C4275" s="571">
        <f t="shared" si="547"/>
        <v>42940</v>
      </c>
      <c r="D4275" s="571" t="s">
        <v>996</v>
      </c>
      <c r="E4275" s="571">
        <v>42940</v>
      </c>
      <c r="F4275" s="572" t="s">
        <v>1337</v>
      </c>
      <c r="G4275" s="579" t="s">
        <v>1310</v>
      </c>
      <c r="H4275" s="574" t="s">
        <v>800</v>
      </c>
      <c r="I4275" s="523">
        <v>232</v>
      </c>
      <c r="J4275" s="523">
        <v>40757</v>
      </c>
      <c r="K4275" s="575">
        <f t="shared" si="549"/>
        <v>9455624</v>
      </c>
      <c r="L4275" s="591" t="s">
        <v>160</v>
      </c>
      <c r="M4275" s="591" t="s">
        <v>292</v>
      </c>
      <c r="N4275" s="525" t="str">
        <f>IF(AND('331-CT'!$E$7=TH!H4275,OR(L4275="331",M4275="331")),"331",IF(AND(OR(L4275="131",M4275="131"),H4275='131-CT'!$E$7),"131",""))</f>
        <v/>
      </c>
      <c r="O4275" s="525" t="str">
        <f>IF(AND($B4275&gt;='111'!$N$11,$B4275&lt;='111'!$O$11,OR($L4275=$O$7,$M4275=$O$7)),"x","")</f>
        <v/>
      </c>
      <c r="P4275" s="525" t="str">
        <f>IF(AND($L4275=$O$7,$B4275&lt;'111'!$N$11),"x","")</f>
        <v/>
      </c>
      <c r="Q4275" s="525" t="str">
        <f>IF(AND($M4275=$O$7,$B4275&lt;'111'!$N$11),"x","")</f>
        <v/>
      </c>
      <c r="R4275" s="525" t="str">
        <f>IF(ISERROR(FIND('112'!$M$9,G4275,1)),"",IF((AND(FIND('112'!$M$9,G4275,1)&gt;=1,$B4275&gt;='112'!$N$8,$B4275&lt;='112'!$O$8,OR($L4275='112'!$I$6,$M4275='112'!$I$6))),"x",""))</f>
        <v/>
      </c>
      <c r="S4275" s="525" t="str">
        <f>IF(ISERROR(FIND('112'!$M$9,G4275,1)),"",IF((AND(LEFT(G4275,2)=LEFT('112'!$M$9,2),B4275&lt;'112'!$N$8,$L4275='112'!$I$6)),"x",""))</f>
        <v/>
      </c>
      <c r="T4275" s="525" t="str">
        <f>IF(ISERROR(FIND('112'!$M$9,G4275,1)),"",IF((AND(RIGHT(G4275,2)=RIGHT('112'!$M$9,2),B4275&lt;'112'!$N$8,$M4275='112'!$I$6)),"x",""))</f>
        <v/>
      </c>
      <c r="U4275" s="525" t="str">
        <f>IF(AND(B4275&gt;='IN-NX'!$P$3,B4275&lt;='IN-NX'!$Q$3,'IN-NX'!$D$7=D4275,OR(LEFT(L4275,2)="15",AND(LEFT(M4275,2)&lt;&gt;"15",LEFT(M4275,2)&lt;&gt;"33"))),"x","")</f>
        <v/>
      </c>
      <c r="V4275" s="525" t="str">
        <f>IF(AND(OR(LEFT(TH!L4275,2)="15",LEFT(TH!M4275,2)="15"),'152-CT'!$J$8=TH!F4275),"x","")</f>
        <v/>
      </c>
      <c r="W4275" s="525" t="str">
        <f>IF(AND(OR(LEFT(TH!L4275,2)="15",LEFT(TH!M4275,2)="15"),TK!$E$7=TH!F4275),"x","")</f>
        <v/>
      </c>
      <c r="X4275" s="525" t="str">
        <f>IF(AND('341-CT'!$E$9=H4275,OR(LEFT(L4275,3)=$X$7,LEFT(M4275,3)=$X$7)),"x","")</f>
        <v/>
      </c>
      <c r="Y4275" s="525" t="str">
        <f>IF(OR(TH!L4275=TH!$Y$7,M4275=TH!$Y$7),"x","")</f>
        <v/>
      </c>
      <c r="Z4275" s="525" t="str">
        <f>IF(AND(B4275&lt;=NKC!$N$8,B4275&gt;=NKC!$M$8),"x","")</f>
        <v/>
      </c>
      <c r="AA4275" s="526"/>
      <c r="AB4275" s="527"/>
    </row>
    <row r="4276" spans="1:28" s="576" customFormat="1" ht="15.75" customHeight="1">
      <c r="A4276" s="517" t="str">
        <f>IF(B4276&lt;&gt;"",IF(AND(B4276&gt;=_TM1,B4276&lt;=_TM2,OR(TH!L4276="1111",TH!M4276="1111")),TH!D4276,""),"")</f>
        <v/>
      </c>
      <c r="B4276" s="518">
        <f t="shared" si="545"/>
        <v>7</v>
      </c>
      <c r="C4276" s="571">
        <f t="shared" si="547"/>
        <v>42940</v>
      </c>
      <c r="D4276" s="571" t="s">
        <v>996</v>
      </c>
      <c r="E4276" s="571">
        <v>42940</v>
      </c>
      <c r="F4276" s="572" t="s">
        <v>1338</v>
      </c>
      <c r="G4276" s="579" t="s">
        <v>1310</v>
      </c>
      <c r="H4276" s="574" t="s">
        <v>800</v>
      </c>
      <c r="I4276" s="523">
        <v>136</v>
      </c>
      <c r="J4276" s="523">
        <v>19963</v>
      </c>
      <c r="K4276" s="575">
        <f t="shared" si="549"/>
        <v>2714968</v>
      </c>
      <c r="L4276" s="591" t="s">
        <v>160</v>
      </c>
      <c r="M4276" s="591" t="s">
        <v>292</v>
      </c>
      <c r="N4276" s="525" t="str">
        <f>IF(AND('331-CT'!$E$7=TH!H4276,OR(L4276="331",M4276="331")),"331",IF(AND(OR(L4276="131",M4276="131"),H4276='131-CT'!$E$7),"131",""))</f>
        <v/>
      </c>
      <c r="O4276" s="525" t="str">
        <f>IF(AND($B4276&gt;='111'!$N$11,$B4276&lt;='111'!$O$11,OR($L4276=$O$7,$M4276=$O$7)),"x","")</f>
        <v/>
      </c>
      <c r="P4276" s="525" t="str">
        <f>IF(AND($L4276=$O$7,$B4276&lt;'111'!$N$11),"x","")</f>
        <v/>
      </c>
      <c r="Q4276" s="525" t="str">
        <f>IF(AND($M4276=$O$7,$B4276&lt;'111'!$N$11),"x","")</f>
        <v/>
      </c>
      <c r="R4276" s="525" t="str">
        <f>IF(ISERROR(FIND('112'!$M$9,G4276,1)),"",IF((AND(FIND('112'!$M$9,G4276,1)&gt;=1,$B4276&gt;='112'!$N$8,$B4276&lt;='112'!$O$8,OR($L4276='112'!$I$6,$M4276='112'!$I$6))),"x",""))</f>
        <v/>
      </c>
      <c r="S4276" s="525" t="str">
        <f>IF(ISERROR(FIND('112'!$M$9,G4276,1)),"",IF((AND(LEFT(G4276,2)=LEFT('112'!$M$9,2),B4276&lt;'112'!$N$8,$L4276='112'!$I$6)),"x",""))</f>
        <v/>
      </c>
      <c r="T4276" s="525" t="str">
        <f>IF(ISERROR(FIND('112'!$M$9,G4276,1)),"",IF((AND(RIGHT(G4276,2)=RIGHT('112'!$M$9,2),B4276&lt;'112'!$N$8,$M4276='112'!$I$6)),"x",""))</f>
        <v/>
      </c>
      <c r="U4276" s="525" t="str">
        <f>IF(AND(B4276&gt;='IN-NX'!$P$3,B4276&lt;='IN-NX'!$Q$3,'IN-NX'!$D$7=D4276,OR(LEFT(L4276,2)="15",AND(LEFT(M4276,2)&lt;&gt;"15",LEFT(M4276,2)&lt;&gt;"33"))),"x","")</f>
        <v/>
      </c>
      <c r="V4276" s="525" t="str">
        <f>IF(AND(OR(LEFT(TH!L4276,2)="15",LEFT(TH!M4276,2)="15"),'152-CT'!$J$8=TH!F4276),"x","")</f>
        <v/>
      </c>
      <c r="W4276" s="525" t="str">
        <f>IF(AND(OR(LEFT(TH!L4276,2)="15",LEFT(TH!M4276,2)="15"),TK!$E$7=TH!F4276),"x","")</f>
        <v/>
      </c>
      <c r="X4276" s="525" t="str">
        <f>IF(AND('341-CT'!$E$9=H4276,OR(LEFT(L4276,3)=$X$7,LEFT(M4276,3)=$X$7)),"x","")</f>
        <v/>
      </c>
      <c r="Y4276" s="525" t="str">
        <f>IF(OR(TH!L4276=TH!$Y$7,M4276=TH!$Y$7),"x","")</f>
        <v/>
      </c>
      <c r="Z4276" s="525" t="str">
        <f>IF(AND(B4276&lt;=NKC!$N$8,B4276&gt;=NKC!$M$8),"x","")</f>
        <v/>
      </c>
      <c r="AA4276" s="526"/>
      <c r="AB4276" s="527"/>
    </row>
    <row r="4277" spans="1:28" s="576" customFormat="1" ht="15.75" customHeight="1">
      <c r="A4277" s="517" t="str">
        <f>IF(B4277&lt;&gt;"",IF(AND(B4277&gt;=_TM1,B4277&lt;=_TM2,OR(TH!L4277="1111",TH!M4277="1111")),TH!D4277,""),"")</f>
        <v/>
      </c>
      <c r="B4277" s="518">
        <f t="shared" si="545"/>
        <v>7</v>
      </c>
      <c r="C4277" s="571">
        <f t="shared" si="547"/>
        <v>42940</v>
      </c>
      <c r="D4277" s="571" t="s">
        <v>996</v>
      </c>
      <c r="E4277" s="571">
        <v>42940</v>
      </c>
      <c r="F4277" s="577" t="s">
        <v>1339</v>
      </c>
      <c r="G4277" s="579" t="s">
        <v>1310</v>
      </c>
      <c r="H4277" s="574" t="s">
        <v>800</v>
      </c>
      <c r="I4277" s="523">
        <v>136</v>
      </c>
      <c r="J4277" s="523">
        <v>21206</v>
      </c>
      <c r="K4277" s="575">
        <f t="shared" si="549"/>
        <v>2884016</v>
      </c>
      <c r="L4277" s="591" t="s">
        <v>160</v>
      </c>
      <c r="M4277" s="591" t="s">
        <v>292</v>
      </c>
      <c r="N4277" s="525" t="str">
        <f>IF(AND('331-CT'!$E$7=TH!H4277,OR(L4277="331",M4277="331")),"331",IF(AND(OR(L4277="131",M4277="131"),H4277='131-CT'!$E$7),"131",""))</f>
        <v/>
      </c>
      <c r="O4277" s="525" t="str">
        <f>IF(AND($B4277&gt;='111'!$N$11,$B4277&lt;='111'!$O$11,OR($L4277=$O$7,$M4277=$O$7)),"x","")</f>
        <v/>
      </c>
      <c r="P4277" s="525" t="str">
        <f>IF(AND($L4277=$O$7,$B4277&lt;'111'!$N$11),"x","")</f>
        <v/>
      </c>
      <c r="Q4277" s="525" t="str">
        <f>IF(AND($M4277=$O$7,$B4277&lt;'111'!$N$11),"x","")</f>
        <v/>
      </c>
      <c r="R4277" s="525" t="str">
        <f>IF(ISERROR(FIND('112'!$M$9,G4277,1)),"",IF((AND(FIND('112'!$M$9,G4277,1)&gt;=1,$B4277&gt;='112'!$N$8,$B4277&lt;='112'!$O$8,OR($L4277='112'!$I$6,$M4277='112'!$I$6))),"x",""))</f>
        <v/>
      </c>
      <c r="S4277" s="525" t="str">
        <f>IF(ISERROR(FIND('112'!$M$9,G4277,1)),"",IF((AND(LEFT(G4277,2)=LEFT('112'!$M$9,2),B4277&lt;'112'!$N$8,$L4277='112'!$I$6)),"x",""))</f>
        <v/>
      </c>
      <c r="T4277" s="525" t="str">
        <f>IF(ISERROR(FIND('112'!$M$9,G4277,1)),"",IF((AND(RIGHT(G4277,2)=RIGHT('112'!$M$9,2),B4277&lt;'112'!$N$8,$M4277='112'!$I$6)),"x",""))</f>
        <v/>
      </c>
      <c r="U4277" s="525" t="str">
        <f>IF(AND(B4277&gt;='IN-NX'!$P$3,B4277&lt;='IN-NX'!$Q$3,'IN-NX'!$D$7=D4277,OR(LEFT(L4277,2)="15",AND(LEFT(M4277,2)&lt;&gt;"15",LEFT(M4277,2)&lt;&gt;"33"))),"x","")</f>
        <v/>
      </c>
      <c r="V4277" s="525" t="str">
        <f>IF(AND(OR(LEFT(TH!L4277,2)="15",LEFT(TH!M4277,2)="15"),'152-CT'!$J$8=TH!F4277),"x","")</f>
        <v/>
      </c>
      <c r="W4277" s="525" t="str">
        <f>IF(AND(OR(LEFT(TH!L4277,2)="15",LEFT(TH!M4277,2)="15"),TK!$E$7=TH!F4277),"x","")</f>
        <v/>
      </c>
      <c r="X4277" s="525" t="str">
        <f>IF(AND('341-CT'!$E$9=H4277,OR(LEFT(L4277,3)=$X$7,LEFT(M4277,3)=$X$7)),"x","")</f>
        <v/>
      </c>
      <c r="Y4277" s="525" t="str">
        <f>IF(OR(TH!L4277=TH!$Y$7,M4277=TH!$Y$7),"x","")</f>
        <v/>
      </c>
      <c r="Z4277" s="525" t="str">
        <f>IF(AND(B4277&lt;=NKC!$N$8,B4277&gt;=NKC!$M$8),"x","")</f>
        <v/>
      </c>
      <c r="AA4277" s="526"/>
      <c r="AB4277" s="527"/>
    </row>
    <row r="4278" spans="1:28" s="576" customFormat="1" ht="15.75" customHeight="1">
      <c r="A4278" s="517" t="str">
        <f>IF(B4278&lt;&gt;"",IF(AND(B4278&gt;=_TM1,B4278&lt;=_TM2,OR(TH!L4278="1111",TH!M4278="1111")),TH!D4278,""),"")</f>
        <v/>
      </c>
      <c r="B4278" s="518">
        <f t="shared" si="545"/>
        <v>7</v>
      </c>
      <c r="C4278" s="571">
        <f t="shared" si="547"/>
        <v>42942</v>
      </c>
      <c r="D4278" s="571" t="s">
        <v>996</v>
      </c>
      <c r="E4278" s="571">
        <v>42942</v>
      </c>
      <c r="F4278" s="577" t="s">
        <v>1316</v>
      </c>
      <c r="G4278" s="579" t="s">
        <v>1315</v>
      </c>
      <c r="H4278" s="574" t="s">
        <v>800</v>
      </c>
      <c r="I4278" s="523">
        <v>600</v>
      </c>
      <c r="J4278" s="523">
        <v>12100</v>
      </c>
      <c r="K4278" s="575">
        <f t="shared" si="549"/>
        <v>7260000</v>
      </c>
      <c r="L4278" s="591" t="s">
        <v>160</v>
      </c>
      <c r="M4278" s="591" t="s">
        <v>292</v>
      </c>
      <c r="N4278" s="525" t="str">
        <f>IF(AND('331-CT'!$E$7=TH!H4278,OR(L4278="331",M4278="331")),"331",IF(AND(OR(L4278="131",M4278="131"),H4278='131-CT'!$E$7),"131",""))</f>
        <v/>
      </c>
      <c r="O4278" s="525" t="str">
        <f>IF(AND($B4278&gt;='111'!$N$11,$B4278&lt;='111'!$O$11,OR($L4278=$O$7,$M4278=$O$7)),"x","")</f>
        <v/>
      </c>
      <c r="P4278" s="525" t="str">
        <f>IF(AND($L4278=$O$7,$B4278&lt;'111'!$N$11),"x","")</f>
        <v/>
      </c>
      <c r="Q4278" s="525" t="str">
        <f>IF(AND($M4278=$O$7,$B4278&lt;'111'!$N$11),"x","")</f>
        <v/>
      </c>
      <c r="R4278" s="525" t="str">
        <f>IF(ISERROR(FIND('112'!$M$9,G4278,1)),"",IF((AND(FIND('112'!$M$9,G4278,1)&gt;=1,$B4278&gt;='112'!$N$8,$B4278&lt;='112'!$O$8,OR($L4278='112'!$I$6,$M4278='112'!$I$6))),"x",""))</f>
        <v/>
      </c>
      <c r="S4278" s="525" t="str">
        <f>IF(ISERROR(FIND('112'!$M$9,G4278,1)),"",IF((AND(LEFT(G4278,2)=LEFT('112'!$M$9,2),B4278&lt;'112'!$N$8,$L4278='112'!$I$6)),"x",""))</f>
        <v/>
      </c>
      <c r="T4278" s="525" t="str">
        <f>IF(ISERROR(FIND('112'!$M$9,G4278,1)),"",IF((AND(RIGHT(G4278,2)=RIGHT('112'!$M$9,2),B4278&lt;'112'!$N$8,$M4278='112'!$I$6)),"x",""))</f>
        <v/>
      </c>
      <c r="U4278" s="525" t="str">
        <f>IF(AND(B4278&gt;='IN-NX'!$P$3,B4278&lt;='IN-NX'!$Q$3,'IN-NX'!$D$7=D4278,OR(LEFT(L4278,2)="15",AND(LEFT(M4278,2)&lt;&gt;"15",LEFT(M4278,2)&lt;&gt;"33"))),"x","")</f>
        <v/>
      </c>
      <c r="V4278" s="525" t="str">
        <f>IF(AND(OR(LEFT(TH!L4278,2)="15",LEFT(TH!M4278,2)="15"),'152-CT'!$J$8=TH!F4278),"x","")</f>
        <v/>
      </c>
      <c r="W4278" s="525" t="str">
        <f>IF(AND(OR(LEFT(TH!L4278,2)="15",LEFT(TH!M4278,2)="15"),TK!$E$7=TH!F4278),"x","")</f>
        <v/>
      </c>
      <c r="X4278" s="525" t="str">
        <f>IF(AND('341-CT'!$E$9=H4278,OR(LEFT(L4278,3)=$X$7,LEFT(M4278,3)=$X$7)),"x","")</f>
        <v/>
      </c>
      <c r="Y4278" s="525" t="str">
        <f>IF(OR(TH!L4278=TH!$Y$7,M4278=TH!$Y$7),"x","")</f>
        <v/>
      </c>
      <c r="Z4278" s="525" t="str">
        <f>IF(AND(B4278&lt;=NKC!$N$8,B4278&gt;=NKC!$M$8),"x","")</f>
        <v/>
      </c>
      <c r="AA4278" s="526"/>
      <c r="AB4278" s="527"/>
    </row>
    <row r="4279" spans="1:28" s="576" customFormat="1" ht="15.75" customHeight="1">
      <c r="A4279" s="517" t="str">
        <f>IF(B4279&lt;&gt;"",IF(AND(B4279&gt;=_TM1,B4279&lt;=_TM2,OR(TH!L4279="1111",TH!M4279="1111")),TH!D4279,""),"")</f>
        <v/>
      </c>
      <c r="B4279" s="518">
        <f t="shared" si="545"/>
        <v>7</v>
      </c>
      <c r="C4279" s="571">
        <f t="shared" si="547"/>
        <v>42942</v>
      </c>
      <c r="D4279" s="571" t="s">
        <v>996</v>
      </c>
      <c r="E4279" s="571">
        <v>42942</v>
      </c>
      <c r="F4279" s="520" t="s">
        <v>1321</v>
      </c>
      <c r="G4279" s="579" t="s">
        <v>1315</v>
      </c>
      <c r="H4279" s="574" t="s">
        <v>800</v>
      </c>
      <c r="I4279" s="523">
        <v>112</v>
      </c>
      <c r="J4279" s="523">
        <v>10150</v>
      </c>
      <c r="K4279" s="575">
        <f t="shared" si="549"/>
        <v>1136800</v>
      </c>
      <c r="L4279" s="591" t="s">
        <v>160</v>
      </c>
      <c r="M4279" s="591" t="s">
        <v>292</v>
      </c>
      <c r="N4279" s="525" t="str">
        <f>IF(AND('331-CT'!$E$7=TH!H4279,OR(L4279="331",M4279="331")),"331",IF(AND(OR(L4279="131",M4279="131"),H4279='131-CT'!$E$7),"131",""))</f>
        <v/>
      </c>
      <c r="O4279" s="525" t="str">
        <f>IF(AND($B4279&gt;='111'!$N$11,$B4279&lt;='111'!$O$11,OR($L4279=$O$7,$M4279=$O$7)),"x","")</f>
        <v/>
      </c>
      <c r="P4279" s="525" t="str">
        <f>IF(AND($L4279=$O$7,$B4279&lt;'111'!$N$11),"x","")</f>
        <v/>
      </c>
      <c r="Q4279" s="525" t="str">
        <f>IF(AND($M4279=$O$7,$B4279&lt;'111'!$N$11),"x","")</f>
        <v/>
      </c>
      <c r="R4279" s="525" t="str">
        <f>IF(ISERROR(FIND('112'!$M$9,G4279,1)),"",IF((AND(FIND('112'!$M$9,G4279,1)&gt;=1,$B4279&gt;='112'!$N$8,$B4279&lt;='112'!$O$8,OR($L4279='112'!$I$6,$M4279='112'!$I$6))),"x",""))</f>
        <v/>
      </c>
      <c r="S4279" s="525" t="str">
        <f>IF(ISERROR(FIND('112'!$M$9,G4279,1)),"",IF((AND(LEFT(G4279,2)=LEFT('112'!$M$9,2),B4279&lt;'112'!$N$8,$L4279='112'!$I$6)),"x",""))</f>
        <v/>
      </c>
      <c r="T4279" s="525" t="str">
        <f>IF(ISERROR(FIND('112'!$M$9,G4279,1)),"",IF((AND(RIGHT(G4279,2)=RIGHT('112'!$M$9,2),B4279&lt;'112'!$N$8,$M4279='112'!$I$6)),"x",""))</f>
        <v/>
      </c>
      <c r="U4279" s="525" t="str">
        <f>IF(AND(B4279&gt;='IN-NX'!$P$3,B4279&lt;='IN-NX'!$Q$3,'IN-NX'!$D$7=D4279,OR(LEFT(L4279,2)="15",AND(LEFT(M4279,2)&lt;&gt;"15",LEFT(M4279,2)&lt;&gt;"33"))),"x","")</f>
        <v/>
      </c>
      <c r="V4279" s="525" t="str">
        <f>IF(AND(OR(LEFT(TH!L4279,2)="15",LEFT(TH!M4279,2)="15"),'152-CT'!$J$8=TH!F4279),"x","")</f>
        <v/>
      </c>
      <c r="W4279" s="525" t="str">
        <f>IF(AND(OR(LEFT(TH!L4279,2)="15",LEFT(TH!M4279,2)="15"),TK!$E$7=TH!F4279),"x","")</f>
        <v/>
      </c>
      <c r="X4279" s="525" t="str">
        <f>IF(AND('341-CT'!$E$9=H4279,OR(LEFT(L4279,3)=$X$7,LEFT(M4279,3)=$X$7)),"x","")</f>
        <v/>
      </c>
      <c r="Y4279" s="525" t="str">
        <f>IF(OR(TH!L4279=TH!$Y$7,M4279=TH!$Y$7),"x","")</f>
        <v/>
      </c>
      <c r="Z4279" s="525" t="str">
        <f>IF(AND(B4279&lt;=NKC!$N$8,B4279&gt;=NKC!$M$8),"x","")</f>
        <v/>
      </c>
      <c r="AA4279" s="526"/>
      <c r="AB4279" s="527"/>
    </row>
    <row r="4280" spans="1:28" s="576" customFormat="1" ht="15.75" customHeight="1">
      <c r="A4280" s="517" t="str">
        <f>IF(B4280&lt;&gt;"",IF(AND(B4280&gt;=_TM1,B4280&lt;=_TM2,OR(TH!L4280="1111",TH!M4280="1111")),TH!D4280,""),"")</f>
        <v/>
      </c>
      <c r="B4280" s="518">
        <f t="shared" si="545"/>
        <v>7</v>
      </c>
      <c r="C4280" s="571">
        <f t="shared" si="547"/>
        <v>42943</v>
      </c>
      <c r="D4280" s="571" t="s">
        <v>996</v>
      </c>
      <c r="E4280" s="571">
        <v>42943</v>
      </c>
      <c r="F4280" s="572" t="s">
        <v>1321</v>
      </c>
      <c r="G4280" s="579" t="s">
        <v>1317</v>
      </c>
      <c r="H4280" s="574" t="s">
        <v>800</v>
      </c>
      <c r="I4280" s="523">
        <v>680</v>
      </c>
      <c r="J4280" s="523">
        <v>10150</v>
      </c>
      <c r="K4280" s="575">
        <f t="shared" si="549"/>
        <v>6902000</v>
      </c>
      <c r="L4280" s="591" t="s">
        <v>160</v>
      </c>
      <c r="M4280" s="591" t="s">
        <v>292</v>
      </c>
      <c r="N4280" s="525" t="str">
        <f>IF(AND('331-CT'!$E$7=TH!H4280,OR(L4280="331",M4280="331")),"331",IF(AND(OR(L4280="131",M4280="131"),H4280='131-CT'!$E$7),"131",""))</f>
        <v/>
      </c>
      <c r="O4280" s="525" t="str">
        <f>IF(AND($B4280&gt;='111'!$N$11,$B4280&lt;='111'!$O$11,OR($L4280=$O$7,$M4280=$O$7)),"x","")</f>
        <v/>
      </c>
      <c r="P4280" s="525" t="str">
        <f>IF(AND($L4280=$O$7,$B4280&lt;'111'!$N$11),"x","")</f>
        <v/>
      </c>
      <c r="Q4280" s="525" t="str">
        <f>IF(AND($M4280=$O$7,$B4280&lt;'111'!$N$11),"x","")</f>
        <v/>
      </c>
      <c r="R4280" s="525" t="str">
        <f>IF(ISERROR(FIND('112'!$M$9,G4280,1)),"",IF((AND(FIND('112'!$M$9,G4280,1)&gt;=1,$B4280&gt;='112'!$N$8,$B4280&lt;='112'!$O$8,OR($L4280='112'!$I$6,$M4280='112'!$I$6))),"x",""))</f>
        <v/>
      </c>
      <c r="S4280" s="525" t="str">
        <f>IF(ISERROR(FIND('112'!$M$9,G4280,1)),"",IF((AND(LEFT(G4280,2)=LEFT('112'!$M$9,2),B4280&lt;'112'!$N$8,$L4280='112'!$I$6)),"x",""))</f>
        <v/>
      </c>
      <c r="T4280" s="525" t="str">
        <f>IF(ISERROR(FIND('112'!$M$9,G4280,1)),"",IF((AND(RIGHT(G4280,2)=RIGHT('112'!$M$9,2),B4280&lt;'112'!$N$8,$M4280='112'!$I$6)),"x",""))</f>
        <v/>
      </c>
      <c r="U4280" s="525" t="str">
        <f>IF(AND(B4280&gt;='IN-NX'!$P$3,B4280&lt;='IN-NX'!$Q$3,'IN-NX'!$D$7=D4280,OR(LEFT(L4280,2)="15",AND(LEFT(M4280,2)&lt;&gt;"15",LEFT(M4280,2)&lt;&gt;"33"))),"x","")</f>
        <v/>
      </c>
      <c r="V4280" s="525" t="str">
        <f>IF(AND(OR(LEFT(TH!L4280,2)="15",LEFT(TH!M4280,2)="15"),'152-CT'!$J$8=TH!F4280),"x","")</f>
        <v/>
      </c>
      <c r="W4280" s="525" t="str">
        <f>IF(AND(OR(LEFT(TH!L4280,2)="15",LEFT(TH!M4280,2)="15"),TK!$E$7=TH!F4280),"x","")</f>
        <v/>
      </c>
      <c r="X4280" s="525" t="str">
        <f>IF(AND('341-CT'!$E$9=H4280,OR(LEFT(L4280,3)=$X$7,LEFT(M4280,3)=$X$7)),"x","")</f>
        <v/>
      </c>
      <c r="Y4280" s="525" t="str">
        <f>IF(OR(TH!L4280=TH!$Y$7,M4280=TH!$Y$7),"x","")</f>
        <v/>
      </c>
      <c r="Z4280" s="525" t="str">
        <f>IF(AND(B4280&lt;=NKC!$N$8,B4280&gt;=NKC!$M$8),"x","")</f>
        <v/>
      </c>
      <c r="AA4280" s="526"/>
      <c r="AB4280" s="527"/>
    </row>
    <row r="4281" spans="1:28" s="576" customFormat="1" ht="15.75" customHeight="1">
      <c r="A4281" s="517" t="str">
        <f>IF(B4281&lt;&gt;"",IF(AND(B4281&gt;=_TM1,B4281&lt;=_TM2,OR(TH!L4281="1111",TH!M4281="1111")),TH!D4281,""),"")</f>
        <v/>
      </c>
      <c r="B4281" s="518">
        <f t="shared" si="545"/>
        <v>7</v>
      </c>
      <c r="C4281" s="571">
        <f t="shared" si="547"/>
        <v>42943</v>
      </c>
      <c r="D4281" s="571" t="s">
        <v>996</v>
      </c>
      <c r="E4281" s="571">
        <v>42943</v>
      </c>
      <c r="F4281" s="572" t="s">
        <v>1316</v>
      </c>
      <c r="G4281" s="579" t="s">
        <v>1318</v>
      </c>
      <c r="H4281" s="574" t="s">
        <v>800</v>
      </c>
      <c r="I4281" s="523">
        <v>720</v>
      </c>
      <c r="J4281" s="523">
        <v>12100</v>
      </c>
      <c r="K4281" s="575">
        <f t="shared" si="549"/>
        <v>8712000</v>
      </c>
      <c r="L4281" s="591" t="s">
        <v>160</v>
      </c>
      <c r="M4281" s="591" t="s">
        <v>292</v>
      </c>
      <c r="N4281" s="525" t="str">
        <f>IF(AND('331-CT'!$E$7=TH!H4281,OR(L4281="331",M4281="331")),"331",IF(AND(OR(L4281="131",M4281="131"),H4281='131-CT'!$E$7),"131",""))</f>
        <v/>
      </c>
      <c r="O4281" s="525" t="str">
        <f>IF(AND($B4281&gt;='111'!$N$11,$B4281&lt;='111'!$O$11,OR($L4281=$O$7,$M4281=$O$7)),"x","")</f>
        <v/>
      </c>
      <c r="P4281" s="525" t="str">
        <f>IF(AND($L4281=$O$7,$B4281&lt;'111'!$N$11),"x","")</f>
        <v/>
      </c>
      <c r="Q4281" s="525" t="str">
        <f>IF(AND($M4281=$O$7,$B4281&lt;'111'!$N$11),"x","")</f>
        <v/>
      </c>
      <c r="R4281" s="525" t="str">
        <f>IF(ISERROR(FIND('112'!$M$9,G4281,1)),"",IF((AND(FIND('112'!$M$9,G4281,1)&gt;=1,$B4281&gt;='112'!$N$8,$B4281&lt;='112'!$O$8,OR($L4281='112'!$I$6,$M4281='112'!$I$6))),"x",""))</f>
        <v/>
      </c>
      <c r="S4281" s="525" t="str">
        <f>IF(ISERROR(FIND('112'!$M$9,G4281,1)),"",IF((AND(LEFT(G4281,2)=LEFT('112'!$M$9,2),B4281&lt;'112'!$N$8,$L4281='112'!$I$6)),"x",""))</f>
        <v/>
      </c>
      <c r="T4281" s="525" t="str">
        <f>IF(ISERROR(FIND('112'!$M$9,G4281,1)),"",IF((AND(RIGHT(G4281,2)=RIGHT('112'!$M$9,2),B4281&lt;'112'!$N$8,$M4281='112'!$I$6)),"x",""))</f>
        <v/>
      </c>
      <c r="U4281" s="525" t="str">
        <f>IF(AND(B4281&gt;='IN-NX'!$P$3,B4281&lt;='IN-NX'!$Q$3,'IN-NX'!$D$7=D4281,OR(LEFT(L4281,2)="15",AND(LEFT(M4281,2)&lt;&gt;"15",LEFT(M4281,2)&lt;&gt;"33"))),"x","")</f>
        <v/>
      </c>
      <c r="V4281" s="525" t="str">
        <f>IF(AND(OR(LEFT(TH!L4281,2)="15",LEFT(TH!M4281,2)="15"),'152-CT'!$J$8=TH!F4281),"x","")</f>
        <v/>
      </c>
      <c r="W4281" s="525" t="str">
        <f>IF(AND(OR(LEFT(TH!L4281,2)="15",LEFT(TH!M4281,2)="15"),TK!$E$7=TH!F4281),"x","")</f>
        <v/>
      </c>
      <c r="X4281" s="525" t="str">
        <f>IF(AND('341-CT'!$E$9=H4281,OR(LEFT(L4281,3)=$X$7,LEFT(M4281,3)=$X$7)),"x","")</f>
        <v/>
      </c>
      <c r="Y4281" s="525" t="str">
        <f>IF(OR(TH!L4281=TH!$Y$7,M4281=TH!$Y$7),"x","")</f>
        <v/>
      </c>
      <c r="Z4281" s="525" t="str">
        <f>IF(AND(B4281&lt;=NKC!$N$8,B4281&gt;=NKC!$M$8),"x","")</f>
        <v/>
      </c>
      <c r="AA4281" s="526"/>
      <c r="AB4281" s="527"/>
    </row>
    <row r="4282" spans="1:28" s="576" customFormat="1" ht="15.75" customHeight="1">
      <c r="A4282" s="517" t="str">
        <f>IF(B4282&lt;&gt;"",IF(AND(B4282&gt;=_TM1,B4282&lt;=_TM2,OR(TH!L4282="1111",TH!M4282="1111")),TH!D4282,""),"")</f>
        <v/>
      </c>
      <c r="B4282" s="518">
        <f t="shared" si="545"/>
        <v>7</v>
      </c>
      <c r="C4282" s="571">
        <f t="shared" si="547"/>
        <v>42943</v>
      </c>
      <c r="D4282" s="571" t="s">
        <v>996</v>
      </c>
      <c r="E4282" s="571">
        <v>42943</v>
      </c>
      <c r="F4282" s="580" t="s">
        <v>503</v>
      </c>
      <c r="G4282" s="579" t="s">
        <v>1319</v>
      </c>
      <c r="H4282" s="574" t="s">
        <v>800</v>
      </c>
      <c r="I4282" s="523">
        <v>2100</v>
      </c>
      <c r="J4282" s="523">
        <v>8300</v>
      </c>
      <c r="K4282" s="575">
        <f t="shared" si="549"/>
        <v>17430000</v>
      </c>
      <c r="L4282" s="591" t="s">
        <v>160</v>
      </c>
      <c r="M4282" s="591" t="s">
        <v>292</v>
      </c>
      <c r="N4282" s="525" t="str">
        <f>IF(AND('331-CT'!$E$7=TH!H4282,OR(L4282="331",M4282="331")),"331",IF(AND(OR(L4282="131",M4282="131"),H4282='131-CT'!$E$7),"131",""))</f>
        <v/>
      </c>
      <c r="O4282" s="525" t="str">
        <f>IF(AND($B4282&gt;='111'!$N$11,$B4282&lt;='111'!$O$11,OR($L4282=$O$7,$M4282=$O$7)),"x","")</f>
        <v/>
      </c>
      <c r="P4282" s="525" t="str">
        <f>IF(AND($L4282=$O$7,$B4282&lt;'111'!$N$11),"x","")</f>
        <v/>
      </c>
      <c r="Q4282" s="525" t="str">
        <f>IF(AND($M4282=$O$7,$B4282&lt;'111'!$N$11),"x","")</f>
        <v/>
      </c>
      <c r="R4282" s="525" t="str">
        <f>IF(ISERROR(FIND('112'!$M$9,G4282,1)),"",IF((AND(FIND('112'!$M$9,G4282,1)&gt;=1,$B4282&gt;='112'!$N$8,$B4282&lt;='112'!$O$8,OR($L4282='112'!$I$6,$M4282='112'!$I$6))),"x",""))</f>
        <v/>
      </c>
      <c r="S4282" s="525" t="str">
        <f>IF(ISERROR(FIND('112'!$M$9,G4282,1)),"",IF((AND(LEFT(G4282,2)=LEFT('112'!$M$9,2),B4282&lt;'112'!$N$8,$L4282='112'!$I$6)),"x",""))</f>
        <v/>
      </c>
      <c r="T4282" s="525" t="str">
        <f>IF(ISERROR(FIND('112'!$M$9,G4282,1)),"",IF((AND(RIGHT(G4282,2)=RIGHT('112'!$M$9,2),B4282&lt;'112'!$N$8,$M4282='112'!$I$6)),"x",""))</f>
        <v/>
      </c>
      <c r="U4282" s="525" t="str">
        <f>IF(AND(B4282&gt;='IN-NX'!$P$3,B4282&lt;='IN-NX'!$Q$3,'IN-NX'!$D$7=D4282,OR(LEFT(L4282,2)="15",AND(LEFT(M4282,2)&lt;&gt;"15",LEFT(M4282,2)&lt;&gt;"33"))),"x","")</f>
        <v/>
      </c>
      <c r="V4282" s="525" t="str">
        <f>IF(AND(OR(LEFT(TH!L4282,2)="15",LEFT(TH!M4282,2)="15"),'152-CT'!$J$8=TH!F4282),"x","")</f>
        <v/>
      </c>
      <c r="W4282" s="525" t="str">
        <f>IF(AND(OR(LEFT(TH!L4282,2)="15",LEFT(TH!M4282,2)="15"),TK!$E$7=TH!F4282),"x","")</f>
        <v/>
      </c>
      <c r="X4282" s="525" t="str">
        <f>IF(AND('341-CT'!$E$9=H4282,OR(LEFT(L4282,3)=$X$7,LEFT(M4282,3)=$X$7)),"x","")</f>
        <v/>
      </c>
      <c r="Y4282" s="525" t="str">
        <f>IF(OR(TH!L4282=TH!$Y$7,M4282=TH!$Y$7),"x","")</f>
        <v/>
      </c>
      <c r="Z4282" s="525" t="str">
        <f>IF(AND(B4282&lt;=NKC!$N$8,B4282&gt;=NKC!$M$8),"x","")</f>
        <v/>
      </c>
      <c r="AA4282" s="526"/>
      <c r="AB4282" s="527"/>
    </row>
    <row r="4283" spans="1:28" s="576" customFormat="1" ht="15.75" customHeight="1">
      <c r="A4283" s="517" t="str">
        <f>IF(B4283&lt;&gt;"",IF(AND(B4283&gt;=_TM1,B4283&lt;=_TM2,OR(TH!L4283="1111",TH!M4283="1111")),TH!D4283,""),"")</f>
        <v/>
      </c>
      <c r="B4283" s="518">
        <f t="shared" si="545"/>
        <v>7</v>
      </c>
      <c r="C4283" s="571">
        <f t="shared" si="547"/>
        <v>42947</v>
      </c>
      <c r="D4283" s="571" t="s">
        <v>996</v>
      </c>
      <c r="E4283" s="571">
        <v>42947</v>
      </c>
      <c r="F4283" s="580" t="s">
        <v>1316</v>
      </c>
      <c r="G4283" s="579" t="s">
        <v>1323</v>
      </c>
      <c r="H4283" s="574" t="s">
        <v>800</v>
      </c>
      <c r="I4283" s="523">
        <v>850</v>
      </c>
      <c r="J4283" s="523">
        <v>10100</v>
      </c>
      <c r="K4283" s="575">
        <f t="shared" si="549"/>
        <v>8585000</v>
      </c>
      <c r="L4283" s="591" t="s">
        <v>160</v>
      </c>
      <c r="M4283" s="591" t="s">
        <v>292</v>
      </c>
      <c r="N4283" s="525" t="str">
        <f>IF(AND('331-CT'!$E$7=TH!H4283,OR(L4283="331",M4283="331")),"331",IF(AND(OR(L4283="131",M4283="131"),H4283='131-CT'!$E$7),"131",""))</f>
        <v/>
      </c>
      <c r="O4283" s="525" t="str">
        <f>IF(AND($B4283&gt;='111'!$N$11,$B4283&lt;='111'!$O$11,OR($L4283=$O$7,$M4283=$O$7)),"x","")</f>
        <v/>
      </c>
      <c r="P4283" s="525" t="str">
        <f>IF(AND($L4283=$O$7,$B4283&lt;'111'!$N$11),"x","")</f>
        <v/>
      </c>
      <c r="Q4283" s="525" t="str">
        <f>IF(AND($M4283=$O$7,$B4283&lt;'111'!$N$11),"x","")</f>
        <v/>
      </c>
      <c r="R4283" s="525" t="str">
        <f>IF(ISERROR(FIND('112'!$M$9,G4283,1)),"",IF((AND(FIND('112'!$M$9,G4283,1)&gt;=1,$B4283&gt;='112'!$N$8,$B4283&lt;='112'!$O$8,OR($L4283='112'!$I$6,$M4283='112'!$I$6))),"x",""))</f>
        <v/>
      </c>
      <c r="S4283" s="525" t="str">
        <f>IF(ISERROR(FIND('112'!$M$9,G4283,1)),"",IF((AND(LEFT(G4283,2)=LEFT('112'!$M$9,2),B4283&lt;'112'!$N$8,$L4283='112'!$I$6)),"x",""))</f>
        <v/>
      </c>
      <c r="T4283" s="525" t="str">
        <f>IF(ISERROR(FIND('112'!$M$9,G4283,1)),"",IF((AND(RIGHT(G4283,2)=RIGHT('112'!$M$9,2),B4283&lt;'112'!$N$8,$M4283='112'!$I$6)),"x",""))</f>
        <v/>
      </c>
      <c r="U4283" s="525" t="str">
        <f>IF(AND(B4283&gt;='IN-NX'!$P$3,B4283&lt;='IN-NX'!$Q$3,'IN-NX'!$D$7=D4283,OR(LEFT(L4283,2)="15",AND(LEFT(M4283,2)&lt;&gt;"15",LEFT(M4283,2)&lt;&gt;"33"))),"x","")</f>
        <v/>
      </c>
      <c r="V4283" s="525" t="str">
        <f>IF(AND(OR(LEFT(TH!L4283,2)="15",LEFT(TH!M4283,2)="15"),'152-CT'!$J$8=TH!F4283),"x","")</f>
        <v/>
      </c>
      <c r="W4283" s="525" t="str">
        <f>IF(AND(OR(LEFT(TH!L4283,2)="15",LEFT(TH!M4283,2)="15"),TK!$E$7=TH!F4283),"x","")</f>
        <v/>
      </c>
      <c r="X4283" s="525" t="str">
        <f>IF(AND('341-CT'!$E$9=H4283,OR(LEFT(L4283,3)=$X$7,LEFT(M4283,3)=$X$7)),"x","")</f>
        <v/>
      </c>
      <c r="Y4283" s="525" t="str">
        <f>IF(OR(TH!L4283=TH!$Y$7,M4283=TH!$Y$7),"x","")</f>
        <v/>
      </c>
      <c r="Z4283" s="525" t="str">
        <f>IF(AND(B4283&lt;=NKC!$N$8,B4283&gt;=NKC!$M$8),"x","")</f>
        <v/>
      </c>
      <c r="AA4283" s="526"/>
      <c r="AB4283" s="527"/>
    </row>
    <row r="4284" spans="1:28" s="576" customFormat="1" ht="15.75" customHeight="1">
      <c r="A4284" s="517" t="str">
        <f>IF(B4284&lt;&gt;"",IF(AND(B4284&gt;=_TM1,B4284&lt;=_TM2,OR(TH!L4284="1111",TH!M4284="1111")),TH!D4284,""),"")</f>
        <v/>
      </c>
      <c r="B4284" s="518">
        <f t="shared" si="545"/>
        <v>7</v>
      </c>
      <c r="C4284" s="571">
        <f t="shared" si="547"/>
        <v>42947</v>
      </c>
      <c r="D4284" s="571" t="s">
        <v>996</v>
      </c>
      <c r="E4284" s="571">
        <v>42947</v>
      </c>
      <c r="F4284" s="577" t="s">
        <v>1324</v>
      </c>
      <c r="G4284" s="579" t="s">
        <v>1323</v>
      </c>
      <c r="H4284" s="574" t="s">
        <v>800</v>
      </c>
      <c r="I4284" s="523">
        <v>130</v>
      </c>
      <c r="J4284" s="523">
        <v>9000</v>
      </c>
      <c r="K4284" s="575">
        <f t="shared" si="549"/>
        <v>1170000</v>
      </c>
      <c r="L4284" s="591" t="s">
        <v>160</v>
      </c>
      <c r="M4284" s="591" t="s">
        <v>292</v>
      </c>
      <c r="N4284" s="525" t="str">
        <f>IF(AND('331-CT'!$E$7=TH!H4284,OR(L4284="331",M4284="331")),"331",IF(AND(OR(L4284="131",M4284="131"),H4284='131-CT'!$E$7),"131",""))</f>
        <v/>
      </c>
      <c r="O4284" s="525" t="str">
        <f>IF(AND($B4284&gt;='111'!$N$11,$B4284&lt;='111'!$O$11,OR($L4284=$O$7,$M4284=$O$7)),"x","")</f>
        <v/>
      </c>
      <c r="P4284" s="525" t="str">
        <f>IF(AND($L4284=$O$7,$B4284&lt;'111'!$N$11),"x","")</f>
        <v/>
      </c>
      <c r="Q4284" s="525" t="str">
        <f>IF(AND($M4284=$O$7,$B4284&lt;'111'!$N$11),"x","")</f>
        <v/>
      </c>
      <c r="R4284" s="525" t="str">
        <f>IF(ISERROR(FIND('112'!$M$9,G4284,1)),"",IF((AND(FIND('112'!$M$9,G4284,1)&gt;=1,$B4284&gt;='112'!$N$8,$B4284&lt;='112'!$O$8,OR($L4284='112'!$I$6,$M4284='112'!$I$6))),"x",""))</f>
        <v/>
      </c>
      <c r="S4284" s="525" t="str">
        <f>IF(ISERROR(FIND('112'!$M$9,G4284,1)),"",IF((AND(LEFT(G4284,2)=LEFT('112'!$M$9,2),B4284&lt;'112'!$N$8,$L4284='112'!$I$6)),"x",""))</f>
        <v/>
      </c>
      <c r="T4284" s="525" t="str">
        <f>IF(ISERROR(FIND('112'!$M$9,G4284,1)),"",IF((AND(RIGHT(G4284,2)=RIGHT('112'!$M$9,2),B4284&lt;'112'!$N$8,$M4284='112'!$I$6)),"x",""))</f>
        <v/>
      </c>
      <c r="U4284" s="525" t="str">
        <f>IF(AND(B4284&gt;='IN-NX'!$P$3,B4284&lt;='IN-NX'!$Q$3,'IN-NX'!$D$7=D4284,OR(LEFT(L4284,2)="15",AND(LEFT(M4284,2)&lt;&gt;"15",LEFT(M4284,2)&lt;&gt;"33"))),"x","")</f>
        <v/>
      </c>
      <c r="V4284" s="525" t="str">
        <f>IF(AND(OR(LEFT(TH!L4284,2)="15",LEFT(TH!M4284,2)="15"),'152-CT'!$J$8=TH!F4284),"x","")</f>
        <v/>
      </c>
      <c r="W4284" s="525" t="str">
        <f>IF(AND(OR(LEFT(TH!L4284,2)="15",LEFT(TH!M4284,2)="15"),TK!$E$7=TH!F4284),"x","")</f>
        <v/>
      </c>
      <c r="X4284" s="525" t="str">
        <f>IF(AND('341-CT'!$E$9=H4284,OR(LEFT(L4284,3)=$X$7,LEFT(M4284,3)=$X$7)),"x","")</f>
        <v/>
      </c>
      <c r="Y4284" s="525" t="str">
        <f>IF(OR(TH!L4284=TH!$Y$7,M4284=TH!$Y$7),"x","")</f>
        <v/>
      </c>
      <c r="Z4284" s="525" t="str">
        <f>IF(AND(B4284&lt;=NKC!$N$8,B4284&gt;=NKC!$M$8),"x","")</f>
        <v/>
      </c>
      <c r="AA4284" s="526"/>
      <c r="AB4284" s="527"/>
    </row>
    <row r="4285" spans="1:28" s="576" customFormat="1" ht="15.75" customHeight="1">
      <c r="A4285" s="517" t="str">
        <f>IF(B4285&lt;&gt;"",IF(AND(B4285&gt;=_TM1,B4285&lt;=_TM2,OR(TH!L4285="1111",TH!M4285="1111")),TH!D4285,""),"")</f>
        <v/>
      </c>
      <c r="B4285" s="518">
        <f t="shared" si="545"/>
        <v>7</v>
      </c>
      <c r="C4285" s="571">
        <f t="shared" si="547"/>
        <v>42947</v>
      </c>
      <c r="D4285" s="571" t="s">
        <v>996</v>
      </c>
      <c r="E4285" s="571">
        <v>42947</v>
      </c>
      <c r="F4285" s="577" t="s">
        <v>1321</v>
      </c>
      <c r="G4285" s="579" t="s">
        <v>1323</v>
      </c>
      <c r="H4285" s="574" t="s">
        <v>800</v>
      </c>
      <c r="I4285" s="523">
        <v>460</v>
      </c>
      <c r="J4285" s="523">
        <v>10150</v>
      </c>
      <c r="K4285" s="575">
        <f t="shared" si="549"/>
        <v>4669000</v>
      </c>
      <c r="L4285" s="591" t="s">
        <v>160</v>
      </c>
      <c r="M4285" s="591" t="s">
        <v>292</v>
      </c>
      <c r="N4285" s="525" t="str">
        <f>IF(AND('331-CT'!$E$7=TH!H4285,OR(L4285="331",M4285="331")),"331",IF(AND(OR(L4285="131",M4285="131"),H4285='131-CT'!$E$7),"131",""))</f>
        <v/>
      </c>
      <c r="O4285" s="525" t="str">
        <f>IF(AND($B4285&gt;='111'!$N$11,$B4285&lt;='111'!$O$11,OR($L4285=$O$7,$M4285=$O$7)),"x","")</f>
        <v/>
      </c>
      <c r="P4285" s="525" t="str">
        <f>IF(AND($L4285=$O$7,$B4285&lt;'111'!$N$11),"x","")</f>
        <v/>
      </c>
      <c r="Q4285" s="525" t="str">
        <f>IF(AND($M4285=$O$7,$B4285&lt;'111'!$N$11),"x","")</f>
        <v/>
      </c>
      <c r="R4285" s="525" t="str">
        <f>IF(ISERROR(FIND('112'!$M$9,G4285,1)),"",IF((AND(FIND('112'!$M$9,G4285,1)&gt;=1,$B4285&gt;='112'!$N$8,$B4285&lt;='112'!$O$8,OR($L4285='112'!$I$6,$M4285='112'!$I$6))),"x",""))</f>
        <v/>
      </c>
      <c r="S4285" s="525" t="str">
        <f>IF(ISERROR(FIND('112'!$M$9,G4285,1)),"",IF((AND(LEFT(G4285,2)=LEFT('112'!$M$9,2),B4285&lt;'112'!$N$8,$L4285='112'!$I$6)),"x",""))</f>
        <v/>
      </c>
      <c r="T4285" s="525" t="str">
        <f>IF(ISERROR(FIND('112'!$M$9,G4285,1)),"",IF((AND(RIGHT(G4285,2)=RIGHT('112'!$M$9,2),B4285&lt;'112'!$N$8,$M4285='112'!$I$6)),"x",""))</f>
        <v/>
      </c>
      <c r="U4285" s="525" t="str">
        <f>IF(AND(B4285&gt;='IN-NX'!$P$3,B4285&lt;='IN-NX'!$Q$3,'IN-NX'!$D$7=D4285,OR(LEFT(L4285,2)="15",AND(LEFT(M4285,2)&lt;&gt;"15",LEFT(M4285,2)&lt;&gt;"33"))),"x","")</f>
        <v/>
      </c>
      <c r="V4285" s="525" t="str">
        <f>IF(AND(OR(LEFT(TH!L4285,2)="15",LEFT(TH!M4285,2)="15"),'152-CT'!$J$8=TH!F4285),"x","")</f>
        <v/>
      </c>
      <c r="W4285" s="525" t="str">
        <f>IF(AND(OR(LEFT(TH!L4285,2)="15",LEFT(TH!M4285,2)="15"),TK!$E$7=TH!F4285),"x","")</f>
        <v/>
      </c>
      <c r="X4285" s="525" t="str">
        <f>IF(AND('341-CT'!$E$9=H4285,OR(LEFT(L4285,3)=$X$7,LEFT(M4285,3)=$X$7)),"x","")</f>
        <v/>
      </c>
      <c r="Y4285" s="525" t="str">
        <f>IF(OR(TH!L4285=TH!$Y$7,M4285=TH!$Y$7),"x","")</f>
        <v/>
      </c>
      <c r="Z4285" s="525" t="str">
        <f>IF(AND(B4285&lt;=NKC!$N$8,B4285&gt;=NKC!$M$8),"x","")</f>
        <v/>
      </c>
      <c r="AA4285" s="526"/>
      <c r="AB4285" s="527"/>
    </row>
    <row r="4286" spans="1:28" s="576" customFormat="1" ht="15.75" customHeight="1">
      <c r="A4286" s="517" t="str">
        <f>IF(B4286&lt;&gt;"",IF(AND(B4286&gt;=_TM1,B4286&lt;=_TM2,OR(TH!L4286="1111",TH!M4286="1111")),TH!D4286,""),"")</f>
        <v/>
      </c>
      <c r="B4286" s="518">
        <f t="shared" si="545"/>
        <v>7</v>
      </c>
      <c r="C4286" s="571">
        <f t="shared" si="547"/>
        <v>42947</v>
      </c>
      <c r="D4286" s="571" t="s">
        <v>996</v>
      </c>
      <c r="E4286" s="571">
        <v>42947</v>
      </c>
      <c r="F4286" s="520" t="s">
        <v>503</v>
      </c>
      <c r="G4286" s="579" t="s">
        <v>1326</v>
      </c>
      <c r="H4286" s="574" t="s">
        <v>800</v>
      </c>
      <c r="I4286" s="523">
        <v>2050</v>
      </c>
      <c r="J4286" s="523">
        <v>8300</v>
      </c>
      <c r="K4286" s="575">
        <f t="shared" si="549"/>
        <v>17015000</v>
      </c>
      <c r="L4286" s="591" t="s">
        <v>160</v>
      </c>
      <c r="M4286" s="591" t="s">
        <v>292</v>
      </c>
      <c r="N4286" s="525" t="str">
        <f>IF(AND('331-CT'!$E$7=TH!H4286,OR(L4286="331",M4286="331")),"331",IF(AND(OR(L4286="131",M4286="131"),H4286='131-CT'!$E$7),"131",""))</f>
        <v/>
      </c>
      <c r="O4286" s="525" t="str">
        <f>IF(AND($B4286&gt;='111'!$N$11,$B4286&lt;='111'!$O$11,OR($L4286=$O$7,$M4286=$O$7)),"x","")</f>
        <v/>
      </c>
      <c r="P4286" s="525" t="str">
        <f>IF(AND($L4286=$O$7,$B4286&lt;'111'!$N$11),"x","")</f>
        <v/>
      </c>
      <c r="Q4286" s="525" t="str">
        <f>IF(AND($M4286=$O$7,$B4286&lt;'111'!$N$11),"x","")</f>
        <v/>
      </c>
      <c r="R4286" s="525" t="str">
        <f>IF(ISERROR(FIND('112'!$M$9,G4286,1)),"",IF((AND(FIND('112'!$M$9,G4286,1)&gt;=1,$B4286&gt;='112'!$N$8,$B4286&lt;='112'!$O$8,OR($L4286='112'!$I$6,$M4286='112'!$I$6))),"x",""))</f>
        <v/>
      </c>
      <c r="S4286" s="525" t="str">
        <f>IF(ISERROR(FIND('112'!$M$9,G4286,1)),"",IF((AND(LEFT(G4286,2)=LEFT('112'!$M$9,2),B4286&lt;'112'!$N$8,$L4286='112'!$I$6)),"x",""))</f>
        <v/>
      </c>
      <c r="T4286" s="525" t="str">
        <f>IF(ISERROR(FIND('112'!$M$9,G4286,1)),"",IF((AND(RIGHT(G4286,2)=RIGHT('112'!$M$9,2),B4286&lt;'112'!$N$8,$M4286='112'!$I$6)),"x",""))</f>
        <v/>
      </c>
      <c r="U4286" s="525" t="str">
        <f>IF(AND(B4286&gt;='IN-NX'!$P$3,B4286&lt;='IN-NX'!$Q$3,'IN-NX'!$D$7=D4286,OR(LEFT(L4286,2)="15",AND(LEFT(M4286,2)&lt;&gt;"15",LEFT(M4286,2)&lt;&gt;"33"))),"x","")</f>
        <v/>
      </c>
      <c r="V4286" s="525" t="str">
        <f>IF(AND(OR(LEFT(TH!L4286,2)="15",LEFT(TH!M4286,2)="15"),'152-CT'!$J$8=TH!F4286),"x","")</f>
        <v/>
      </c>
      <c r="W4286" s="525" t="str">
        <f>IF(AND(OR(LEFT(TH!L4286,2)="15",LEFT(TH!M4286,2)="15"),TK!$E$7=TH!F4286),"x","")</f>
        <v/>
      </c>
      <c r="X4286" s="525" t="str">
        <f>IF(AND('341-CT'!$E$9=H4286,OR(LEFT(L4286,3)=$X$7,LEFT(M4286,3)=$X$7)),"x","")</f>
        <v/>
      </c>
      <c r="Y4286" s="525" t="str">
        <f>IF(OR(TH!L4286=TH!$Y$7,M4286=TH!$Y$7),"x","")</f>
        <v/>
      </c>
      <c r="Z4286" s="525" t="str">
        <f>IF(AND(B4286&lt;=NKC!$N$8,B4286&gt;=NKC!$M$8),"x","")</f>
        <v/>
      </c>
      <c r="AA4286" s="526"/>
      <c r="AB4286" s="527"/>
    </row>
    <row r="4287" spans="1:28" s="576" customFormat="1" ht="15.75" customHeight="1">
      <c r="A4287" s="517" t="str">
        <f>IF(B4287&lt;&gt;"",IF(AND(B4287&gt;=_TM1,B4287&lt;=_TM2,OR(TH!L4287="1111",TH!M4287="1111")),TH!D4287,""),"")</f>
        <v/>
      </c>
      <c r="B4287" s="518">
        <f t="shared" ref="B4287" si="550">IF(C4287&lt;&gt;"",MONTH(C4287),"")</f>
        <v>7</v>
      </c>
      <c r="C4287" s="571">
        <f t="shared" ref="C4287" si="551">E4287</f>
        <v>42947</v>
      </c>
      <c r="D4287" s="571" t="s">
        <v>996</v>
      </c>
      <c r="E4287" s="571">
        <v>42947</v>
      </c>
      <c r="F4287" s="577" t="s">
        <v>274</v>
      </c>
      <c r="G4287" s="579" t="s">
        <v>1327</v>
      </c>
      <c r="H4287" s="574" t="s">
        <v>800</v>
      </c>
      <c r="I4287" s="523">
        <v>2180</v>
      </c>
      <c r="J4287" s="523">
        <v>18350</v>
      </c>
      <c r="K4287" s="575">
        <f t="shared" ref="K4287" si="552">ROUND(I4287*J4287,0)</f>
        <v>40003000</v>
      </c>
      <c r="L4287" s="591" t="s">
        <v>160</v>
      </c>
      <c r="M4287" s="591" t="s">
        <v>292</v>
      </c>
      <c r="N4287" s="525" t="str">
        <f>IF(AND('331-CT'!$E$7=TH!H4287,OR(L4287="331",M4287="331")),"331",IF(AND(OR(L4287="131",M4287="131"),H4287='131-CT'!$E$7),"131",""))</f>
        <v/>
      </c>
      <c r="O4287" s="525" t="str">
        <f>IF(AND($B4287&gt;='111'!$N$11,$B4287&lt;='111'!$O$11,OR($L4287=$O$7,$M4287=$O$7)),"x","")</f>
        <v/>
      </c>
      <c r="P4287" s="525" t="str">
        <f>IF(AND($L4287=$O$7,$B4287&lt;'111'!$N$11),"x","")</f>
        <v/>
      </c>
      <c r="Q4287" s="525" t="str">
        <f>IF(AND($M4287=$O$7,$B4287&lt;'111'!$N$11),"x","")</f>
        <v/>
      </c>
      <c r="R4287" s="525" t="str">
        <f>IF(ISERROR(FIND('112'!$M$9,G4287,1)),"",IF((AND(FIND('112'!$M$9,G4287,1)&gt;=1,$B4287&gt;='112'!$N$8,$B4287&lt;='112'!$O$8,OR($L4287='112'!$I$6,$M4287='112'!$I$6))),"x",""))</f>
        <v/>
      </c>
      <c r="S4287" s="525" t="str">
        <f>IF(ISERROR(FIND('112'!$M$9,G4287,1)),"",IF((AND(LEFT(G4287,2)=LEFT('112'!$M$9,2),B4287&lt;'112'!$N$8,$L4287='112'!$I$6)),"x",""))</f>
        <v/>
      </c>
      <c r="T4287" s="525" t="str">
        <f>IF(ISERROR(FIND('112'!$M$9,G4287,1)),"",IF((AND(RIGHT(G4287,2)=RIGHT('112'!$M$9,2),B4287&lt;'112'!$N$8,$M4287='112'!$I$6)),"x",""))</f>
        <v/>
      </c>
      <c r="U4287" s="525" t="str">
        <f>IF(AND(B4287&gt;='IN-NX'!$P$3,B4287&lt;='IN-NX'!$Q$3,'IN-NX'!$D$7=D4287,OR(LEFT(L4287,2)="15",AND(LEFT(M4287,2)&lt;&gt;"15",LEFT(M4287,2)&lt;&gt;"33"))),"x","")</f>
        <v/>
      </c>
      <c r="V4287" s="525" t="str">
        <f>IF(AND(OR(LEFT(TH!L4287,2)="15",LEFT(TH!M4287,2)="15"),'152-CT'!$J$8=TH!F4287),"x","")</f>
        <v/>
      </c>
      <c r="W4287" s="525" t="str">
        <f>IF(AND(OR(LEFT(TH!L4287,2)="15",LEFT(TH!M4287,2)="15"),TK!$E$7=TH!F4287),"x","")</f>
        <v>x</v>
      </c>
      <c r="X4287" s="525" t="str">
        <f>IF(AND('341-CT'!$E$9=H4287,OR(LEFT(L4287,3)=$X$7,LEFT(M4287,3)=$X$7)),"x","")</f>
        <v/>
      </c>
      <c r="Y4287" s="525" t="str">
        <f>IF(OR(TH!L4287=TH!$Y$7,M4287=TH!$Y$7),"x","")</f>
        <v/>
      </c>
      <c r="Z4287" s="525" t="str">
        <f>IF(AND(B4287&lt;=NKC!$N$8,B4287&gt;=NKC!$M$8),"x","")</f>
        <v/>
      </c>
      <c r="AA4287" s="526"/>
      <c r="AB4287" s="527"/>
    </row>
    <row r="4288" spans="1:28" s="576" customFormat="1" ht="15.75" customHeight="1">
      <c r="A4288" s="517" t="str">
        <f>IF(B4288&lt;&gt;"",IF(AND(B4288&gt;=_TM1,B4288&lt;=_TM2,OR(TH!L4288="1111",TH!M4288="1111")),TH!D4288,""),"")</f>
        <v/>
      </c>
      <c r="B4288" s="518">
        <f t="shared" si="545"/>
        <v>7</v>
      </c>
      <c r="C4288" s="571">
        <f t="shared" si="547"/>
        <v>42947</v>
      </c>
      <c r="D4288" s="571" t="s">
        <v>996</v>
      </c>
      <c r="E4288" s="571">
        <v>42947</v>
      </c>
      <c r="F4288" s="577" t="s">
        <v>1182</v>
      </c>
      <c r="G4288" s="579" t="s">
        <v>1327</v>
      </c>
      <c r="H4288" s="574" t="s">
        <v>800</v>
      </c>
      <c r="I4288" s="523">
        <v>529</v>
      </c>
      <c r="J4288" s="523">
        <v>34300</v>
      </c>
      <c r="K4288" s="575">
        <f t="shared" si="549"/>
        <v>18144700</v>
      </c>
      <c r="L4288" s="591" t="s">
        <v>160</v>
      </c>
      <c r="M4288" s="591" t="s">
        <v>292</v>
      </c>
      <c r="N4288" s="525" t="str">
        <f>IF(AND('331-CT'!$E$7=TH!H4288,OR(L4288="331",M4288="331")),"331",IF(AND(OR(L4288="131",M4288="131"),H4288='131-CT'!$E$7),"131",""))</f>
        <v/>
      </c>
      <c r="O4288" s="525" t="str">
        <f>IF(AND($B4288&gt;='111'!$N$11,$B4288&lt;='111'!$O$11,OR($L4288=$O$7,$M4288=$O$7)),"x","")</f>
        <v/>
      </c>
      <c r="P4288" s="525" t="str">
        <f>IF(AND($L4288=$O$7,$B4288&lt;'111'!$N$11),"x","")</f>
        <v/>
      </c>
      <c r="Q4288" s="525" t="str">
        <f>IF(AND($M4288=$O$7,$B4288&lt;'111'!$N$11),"x","")</f>
        <v/>
      </c>
      <c r="R4288" s="525" t="str">
        <f>IF(ISERROR(FIND('112'!$M$9,G4288,1)),"",IF((AND(FIND('112'!$M$9,G4288,1)&gt;=1,$B4288&gt;='112'!$N$8,$B4288&lt;='112'!$O$8,OR($L4288='112'!$I$6,$M4288='112'!$I$6))),"x",""))</f>
        <v/>
      </c>
      <c r="S4288" s="525" t="str">
        <f>IF(ISERROR(FIND('112'!$M$9,G4288,1)),"",IF((AND(LEFT(G4288,2)=LEFT('112'!$M$9,2),B4288&lt;'112'!$N$8,$L4288='112'!$I$6)),"x",""))</f>
        <v/>
      </c>
      <c r="T4288" s="525" t="str">
        <f>IF(ISERROR(FIND('112'!$M$9,G4288,1)),"",IF((AND(RIGHT(G4288,2)=RIGHT('112'!$M$9,2),B4288&lt;'112'!$N$8,$M4288='112'!$I$6)),"x",""))</f>
        <v/>
      </c>
      <c r="U4288" s="525" t="str">
        <f>IF(AND(B4288&gt;='IN-NX'!$P$3,B4288&lt;='IN-NX'!$Q$3,'IN-NX'!$D$7=D4288,OR(LEFT(L4288,2)="15",AND(LEFT(M4288,2)&lt;&gt;"15",LEFT(M4288,2)&lt;&gt;"33"))),"x","")</f>
        <v/>
      </c>
      <c r="V4288" s="525" t="str">
        <f>IF(AND(OR(LEFT(TH!L4288,2)="15",LEFT(TH!M4288,2)="15"),'152-CT'!$J$8=TH!F4288),"x","")</f>
        <v/>
      </c>
      <c r="W4288" s="525" t="str">
        <f>IF(AND(OR(LEFT(TH!L4288,2)="15",LEFT(TH!M4288,2)="15"),TK!$E$7=TH!F4288),"x","")</f>
        <v/>
      </c>
      <c r="X4288" s="525" t="str">
        <f>IF(AND('341-CT'!$E$9=H4288,OR(LEFT(L4288,3)=$X$7,LEFT(M4288,3)=$X$7)),"x","")</f>
        <v/>
      </c>
      <c r="Y4288" s="525" t="str">
        <f>IF(OR(TH!L4288=TH!$Y$7,M4288=TH!$Y$7),"x","")</f>
        <v/>
      </c>
      <c r="Z4288" s="525" t="str">
        <f>IF(AND(B4288&lt;=NKC!$N$8,B4288&gt;=NKC!$M$8),"x","")</f>
        <v/>
      </c>
      <c r="AA4288" s="526"/>
      <c r="AB4288" s="527"/>
    </row>
    <row r="4289" spans="1:28" s="576" customFormat="1" ht="15.75" customHeight="1">
      <c r="A4289" s="517" t="str">
        <f>IF(B4289&lt;&gt;"",IF(AND(B4289&gt;=_TM1,B4289&lt;=_TM2,OR(TH!L4289="1111",TH!M4289="1111")),TH!D4289,""),"")</f>
        <v/>
      </c>
      <c r="B4289" s="518">
        <f t="shared" si="545"/>
        <v>7</v>
      </c>
      <c r="C4289" s="571">
        <f t="shared" si="547"/>
        <v>42947</v>
      </c>
      <c r="D4289" s="571" t="s">
        <v>996</v>
      </c>
      <c r="E4289" s="571">
        <v>42947</v>
      </c>
      <c r="F4289" s="520" t="s">
        <v>1183</v>
      </c>
      <c r="G4289" s="579" t="s">
        <v>1327</v>
      </c>
      <c r="H4289" s="574" t="s">
        <v>800</v>
      </c>
      <c r="I4289" s="523">
        <v>987</v>
      </c>
      <c r="J4289" s="523">
        <v>31360</v>
      </c>
      <c r="K4289" s="575">
        <f t="shared" si="549"/>
        <v>30952320</v>
      </c>
      <c r="L4289" s="591" t="s">
        <v>160</v>
      </c>
      <c r="M4289" s="591" t="s">
        <v>292</v>
      </c>
      <c r="N4289" s="525" t="str">
        <f>IF(AND('331-CT'!$E$7=TH!H4289,OR(L4289="331",M4289="331")),"331",IF(AND(OR(L4289="131",M4289="131"),H4289='131-CT'!$E$7),"131",""))</f>
        <v/>
      </c>
      <c r="O4289" s="525" t="str">
        <f>IF(AND($B4289&gt;='111'!$N$11,$B4289&lt;='111'!$O$11,OR($L4289=$O$7,$M4289=$O$7)),"x","")</f>
        <v/>
      </c>
      <c r="P4289" s="525" t="str">
        <f>IF(AND($L4289=$O$7,$B4289&lt;'111'!$N$11),"x","")</f>
        <v/>
      </c>
      <c r="Q4289" s="525" t="str">
        <f>IF(AND($M4289=$O$7,$B4289&lt;'111'!$N$11),"x","")</f>
        <v/>
      </c>
      <c r="R4289" s="525" t="str">
        <f>IF(ISERROR(FIND('112'!$M$9,G4289,1)),"",IF((AND(FIND('112'!$M$9,G4289,1)&gt;=1,$B4289&gt;='112'!$N$8,$B4289&lt;='112'!$O$8,OR($L4289='112'!$I$6,$M4289='112'!$I$6))),"x",""))</f>
        <v/>
      </c>
      <c r="S4289" s="525" t="str">
        <f>IF(ISERROR(FIND('112'!$M$9,G4289,1)),"",IF((AND(LEFT(G4289,2)=LEFT('112'!$M$9,2),B4289&lt;'112'!$N$8,$L4289='112'!$I$6)),"x",""))</f>
        <v/>
      </c>
      <c r="T4289" s="525" t="str">
        <f>IF(ISERROR(FIND('112'!$M$9,G4289,1)),"",IF((AND(RIGHT(G4289,2)=RIGHT('112'!$M$9,2),B4289&lt;'112'!$N$8,$M4289='112'!$I$6)),"x",""))</f>
        <v/>
      </c>
      <c r="U4289" s="525" t="str">
        <f>IF(AND(B4289&gt;='IN-NX'!$P$3,B4289&lt;='IN-NX'!$Q$3,'IN-NX'!$D$7=D4289,OR(LEFT(L4289,2)="15",AND(LEFT(M4289,2)&lt;&gt;"15",LEFT(M4289,2)&lt;&gt;"33"))),"x","")</f>
        <v/>
      </c>
      <c r="V4289" s="525" t="str">
        <f>IF(AND(OR(LEFT(TH!L4289,2)="15",LEFT(TH!M4289,2)="15"),'152-CT'!$J$8=TH!F4289),"x","")</f>
        <v/>
      </c>
      <c r="W4289" s="525" t="str">
        <f>IF(AND(OR(LEFT(TH!L4289,2)="15",LEFT(TH!M4289,2)="15"),TK!$E$7=TH!F4289),"x","")</f>
        <v/>
      </c>
      <c r="X4289" s="525" t="str">
        <f>IF(AND('341-CT'!$E$9=H4289,OR(LEFT(L4289,3)=$X$7,LEFT(M4289,3)=$X$7)),"x","")</f>
        <v/>
      </c>
      <c r="Y4289" s="525" t="str">
        <f>IF(OR(TH!L4289=TH!$Y$7,M4289=TH!$Y$7),"x","")</f>
        <v/>
      </c>
      <c r="Z4289" s="525" t="str">
        <f>IF(AND(B4289&lt;=NKC!$N$8,B4289&gt;=NKC!$M$8),"x","")</f>
        <v/>
      </c>
      <c r="AA4289" s="526"/>
      <c r="AB4289" s="527"/>
    </row>
    <row r="4290" spans="1:28" s="576" customFormat="1" ht="15.75" customHeight="1">
      <c r="A4290" s="517" t="str">
        <f>IF(B4290&lt;&gt;"",IF(AND(B4290&gt;=_TM1,B4290&lt;=_TM2,OR(TH!L4290="1111",TH!M4290="1111")),TH!D4290,""),"")</f>
        <v/>
      </c>
      <c r="B4290" s="518">
        <f t="shared" si="545"/>
        <v>7</v>
      </c>
      <c r="C4290" s="571">
        <f t="shared" si="547"/>
        <v>42947</v>
      </c>
      <c r="D4290" s="571" t="s">
        <v>996</v>
      </c>
      <c r="E4290" s="571">
        <v>42947</v>
      </c>
      <c r="F4290" s="577" t="s">
        <v>273</v>
      </c>
      <c r="G4290" s="579" t="s">
        <v>1327</v>
      </c>
      <c r="H4290" s="574" t="s">
        <v>800</v>
      </c>
      <c r="I4290" s="523">
        <v>1600</v>
      </c>
      <c r="J4290" s="523">
        <v>18130</v>
      </c>
      <c r="K4290" s="575">
        <f t="shared" si="549"/>
        <v>29008000</v>
      </c>
      <c r="L4290" s="591" t="s">
        <v>160</v>
      </c>
      <c r="M4290" s="591" t="s">
        <v>292</v>
      </c>
      <c r="N4290" s="525" t="str">
        <f>IF(AND('331-CT'!$E$7=TH!H4290,OR(L4290="331",M4290="331")),"331",IF(AND(OR(L4290="131",M4290="131"),H4290='131-CT'!$E$7),"131",""))</f>
        <v/>
      </c>
      <c r="O4290" s="525" t="str">
        <f>IF(AND($B4290&gt;='111'!$N$11,$B4290&lt;='111'!$O$11,OR($L4290=$O$7,$M4290=$O$7)),"x","")</f>
        <v/>
      </c>
      <c r="P4290" s="525" t="str">
        <f>IF(AND($L4290=$O$7,$B4290&lt;'111'!$N$11),"x","")</f>
        <v/>
      </c>
      <c r="Q4290" s="525" t="str">
        <f>IF(AND($M4290=$O$7,$B4290&lt;'111'!$N$11),"x","")</f>
        <v/>
      </c>
      <c r="R4290" s="525" t="str">
        <f>IF(ISERROR(FIND('112'!$M$9,G4290,1)),"",IF((AND(FIND('112'!$M$9,G4290,1)&gt;=1,$B4290&gt;='112'!$N$8,$B4290&lt;='112'!$O$8,OR($L4290='112'!$I$6,$M4290='112'!$I$6))),"x",""))</f>
        <v/>
      </c>
      <c r="S4290" s="525" t="str">
        <f>IF(ISERROR(FIND('112'!$M$9,G4290,1)),"",IF((AND(LEFT(G4290,2)=LEFT('112'!$M$9,2),B4290&lt;'112'!$N$8,$L4290='112'!$I$6)),"x",""))</f>
        <v/>
      </c>
      <c r="T4290" s="525" t="str">
        <f>IF(ISERROR(FIND('112'!$M$9,G4290,1)),"",IF((AND(RIGHT(G4290,2)=RIGHT('112'!$M$9,2),B4290&lt;'112'!$N$8,$M4290='112'!$I$6)),"x",""))</f>
        <v/>
      </c>
      <c r="U4290" s="525" t="str">
        <f>IF(AND(B4290&gt;='IN-NX'!$P$3,B4290&lt;='IN-NX'!$Q$3,'IN-NX'!$D$7=D4290,OR(LEFT(L4290,2)="15",AND(LEFT(M4290,2)&lt;&gt;"15",LEFT(M4290,2)&lt;&gt;"33"))),"x","")</f>
        <v/>
      </c>
      <c r="V4290" s="525" t="str">
        <f>IF(AND(OR(LEFT(TH!L4290,2)="15",LEFT(TH!M4290,2)="15"),'152-CT'!$J$8=TH!F4290),"x","")</f>
        <v>x</v>
      </c>
      <c r="W4290" s="525" t="str">
        <f>IF(AND(OR(LEFT(TH!L4290,2)="15",LEFT(TH!M4290,2)="15"),TK!$E$7=TH!F4290),"x","")</f>
        <v/>
      </c>
      <c r="X4290" s="525" t="str">
        <f>IF(AND('341-CT'!$E$9=H4290,OR(LEFT(L4290,3)=$X$7,LEFT(M4290,3)=$X$7)),"x","")</f>
        <v/>
      </c>
      <c r="Y4290" s="525" t="str">
        <f>IF(OR(TH!L4290=TH!$Y$7,M4290=TH!$Y$7),"x","")</f>
        <v/>
      </c>
      <c r="Z4290" s="525" t="str">
        <f>IF(AND(B4290&lt;=NKC!$N$8,B4290&gt;=NKC!$M$8),"x","")</f>
        <v/>
      </c>
      <c r="AA4290" s="526"/>
      <c r="AB4290" s="527"/>
    </row>
    <row r="4291" spans="1:28" s="576" customFormat="1" ht="15.75" customHeight="1">
      <c r="A4291" s="517" t="str">
        <f>IF(B4291&lt;&gt;"",IF(AND(B4291&gt;=_TM1,B4291&lt;=_TM2,OR(TH!L4291="1111",TH!M4291="1111")),TH!D4291,""),"")</f>
        <v/>
      </c>
      <c r="B4291" s="518">
        <f t="shared" si="545"/>
        <v>7</v>
      </c>
      <c r="C4291" s="571">
        <f t="shared" ref="C4291:C4305" si="553">E4291</f>
        <v>42947</v>
      </c>
      <c r="D4291" s="571" t="s">
        <v>996</v>
      </c>
      <c r="E4291" s="571">
        <v>42947</v>
      </c>
      <c r="F4291" s="577" t="s">
        <v>1343</v>
      </c>
      <c r="G4291" s="579" t="s">
        <v>1341</v>
      </c>
      <c r="H4291" s="574" t="s">
        <v>800</v>
      </c>
      <c r="I4291" s="523">
        <v>53</v>
      </c>
      <c r="J4291" s="523">
        <v>56629.684378208076</v>
      </c>
      <c r="K4291" s="575">
        <f t="shared" ref="K4291:K4315" si="554">ROUND(I4291*J4291,0)</f>
        <v>3001373</v>
      </c>
      <c r="L4291" s="591" t="s">
        <v>160</v>
      </c>
      <c r="M4291" s="591" t="s">
        <v>292</v>
      </c>
      <c r="N4291" s="525" t="str">
        <f>IF(AND('331-CT'!$E$7=TH!H4291,OR(L4291="331",M4291="331")),"331",IF(AND(OR(L4291="131",M4291="131"),H4291='131-CT'!$E$7),"131",""))</f>
        <v/>
      </c>
      <c r="O4291" s="525" t="str">
        <f>IF(AND($B4291&gt;='111'!$N$11,$B4291&lt;='111'!$O$11,OR($L4291=$O$7,$M4291=$O$7)),"x","")</f>
        <v/>
      </c>
      <c r="P4291" s="525" t="str">
        <f>IF(AND($L4291=$O$7,$B4291&lt;'111'!$N$11),"x","")</f>
        <v/>
      </c>
      <c r="Q4291" s="525" t="str">
        <f>IF(AND($M4291=$O$7,$B4291&lt;'111'!$N$11),"x","")</f>
        <v/>
      </c>
      <c r="R4291" s="525" t="str">
        <f>IF(ISERROR(FIND('112'!$M$9,G4291,1)),"",IF((AND(FIND('112'!$M$9,G4291,1)&gt;=1,$B4291&gt;='112'!$N$8,$B4291&lt;='112'!$O$8,OR($L4291='112'!$I$6,$M4291='112'!$I$6))),"x",""))</f>
        <v/>
      </c>
      <c r="S4291" s="525" t="str">
        <f>IF(ISERROR(FIND('112'!$M$9,G4291,1)),"",IF((AND(LEFT(G4291,2)=LEFT('112'!$M$9,2),B4291&lt;'112'!$N$8,$L4291='112'!$I$6)),"x",""))</f>
        <v/>
      </c>
      <c r="T4291" s="525" t="str">
        <f>IF(ISERROR(FIND('112'!$M$9,G4291,1)),"",IF((AND(RIGHT(G4291,2)=RIGHT('112'!$M$9,2),B4291&lt;'112'!$N$8,$M4291='112'!$I$6)),"x",""))</f>
        <v/>
      </c>
      <c r="U4291" s="525" t="str">
        <f>IF(AND(B4291&gt;='IN-NX'!$P$3,B4291&lt;='IN-NX'!$Q$3,'IN-NX'!$D$7=D4291,OR(LEFT(L4291,2)="15",AND(LEFT(M4291,2)&lt;&gt;"15",LEFT(M4291,2)&lt;&gt;"33"))),"x","")</f>
        <v/>
      </c>
      <c r="V4291" s="525" t="str">
        <f>IF(AND(OR(LEFT(TH!L4291,2)="15",LEFT(TH!M4291,2)="15"),'152-CT'!$J$8=TH!F4291),"x","")</f>
        <v/>
      </c>
      <c r="W4291" s="525" t="str">
        <f>IF(AND(OR(LEFT(TH!L4291,2)="15",LEFT(TH!M4291,2)="15"),TK!$E$7=TH!F4291),"x","")</f>
        <v/>
      </c>
      <c r="X4291" s="525" t="str">
        <f>IF(AND('341-CT'!$E$9=H4291,OR(LEFT(L4291,3)=$X$7,LEFT(M4291,3)=$X$7)),"x","")</f>
        <v/>
      </c>
      <c r="Y4291" s="525" t="str">
        <f>IF(OR(TH!L4291=TH!$Y$7,M4291=TH!$Y$7),"x","")</f>
        <v/>
      </c>
      <c r="Z4291" s="525" t="str">
        <f>IF(AND(B4291&lt;=NKC!$N$8,B4291&gt;=NKC!$M$8),"x","")</f>
        <v/>
      </c>
      <c r="AA4291" s="526"/>
      <c r="AB4291" s="527"/>
    </row>
    <row r="4292" spans="1:28" s="576" customFormat="1" ht="15.75" customHeight="1">
      <c r="A4292" s="517" t="str">
        <f>IF(B4292&lt;&gt;"",IF(AND(B4292&gt;=_TM1,B4292&lt;=_TM2,OR(TH!L4292="1111",TH!M4292="1111")),TH!D4292,""),"")</f>
        <v/>
      </c>
      <c r="B4292" s="518">
        <f t="shared" si="545"/>
        <v>7</v>
      </c>
      <c r="C4292" s="571">
        <f t="shared" si="553"/>
        <v>42947</v>
      </c>
      <c r="D4292" s="571" t="s">
        <v>996</v>
      </c>
      <c r="E4292" s="571">
        <v>42947</v>
      </c>
      <c r="F4292" s="577" t="s">
        <v>1344</v>
      </c>
      <c r="G4292" s="579" t="s">
        <v>1341</v>
      </c>
      <c r="H4292" s="574" t="s">
        <v>800</v>
      </c>
      <c r="I4292" s="523">
        <v>53</v>
      </c>
      <c r="J4292" s="523">
        <v>57396.212680094868</v>
      </c>
      <c r="K4292" s="575">
        <f t="shared" si="554"/>
        <v>3041999</v>
      </c>
      <c r="L4292" s="591" t="s">
        <v>160</v>
      </c>
      <c r="M4292" s="591" t="s">
        <v>292</v>
      </c>
      <c r="N4292" s="525" t="str">
        <f>IF(AND('331-CT'!$E$7=TH!H4292,OR(L4292="331",M4292="331")),"331",IF(AND(OR(L4292="131",M4292="131"),H4292='131-CT'!$E$7),"131",""))</f>
        <v/>
      </c>
      <c r="O4292" s="525" t="str">
        <f>IF(AND($B4292&gt;='111'!$N$11,$B4292&lt;='111'!$O$11,OR($L4292=$O$7,$M4292=$O$7)),"x","")</f>
        <v/>
      </c>
      <c r="P4292" s="525" t="str">
        <f>IF(AND($L4292=$O$7,$B4292&lt;'111'!$N$11),"x","")</f>
        <v/>
      </c>
      <c r="Q4292" s="525" t="str">
        <f>IF(AND($M4292=$O$7,$B4292&lt;'111'!$N$11),"x","")</f>
        <v/>
      </c>
      <c r="R4292" s="525" t="str">
        <f>IF(ISERROR(FIND('112'!$M$9,G4292,1)),"",IF((AND(FIND('112'!$M$9,G4292,1)&gt;=1,$B4292&gt;='112'!$N$8,$B4292&lt;='112'!$O$8,OR($L4292='112'!$I$6,$M4292='112'!$I$6))),"x",""))</f>
        <v/>
      </c>
      <c r="S4292" s="525" t="str">
        <f>IF(ISERROR(FIND('112'!$M$9,G4292,1)),"",IF((AND(LEFT(G4292,2)=LEFT('112'!$M$9,2),B4292&lt;'112'!$N$8,$L4292='112'!$I$6)),"x",""))</f>
        <v/>
      </c>
      <c r="T4292" s="525" t="str">
        <f>IF(ISERROR(FIND('112'!$M$9,G4292,1)),"",IF((AND(RIGHT(G4292,2)=RIGHT('112'!$M$9,2),B4292&lt;'112'!$N$8,$M4292='112'!$I$6)),"x",""))</f>
        <v/>
      </c>
      <c r="U4292" s="525" t="str">
        <f>IF(AND(B4292&gt;='IN-NX'!$P$3,B4292&lt;='IN-NX'!$Q$3,'IN-NX'!$D$7=D4292,OR(LEFT(L4292,2)="15",AND(LEFT(M4292,2)&lt;&gt;"15",LEFT(M4292,2)&lt;&gt;"33"))),"x","")</f>
        <v/>
      </c>
      <c r="V4292" s="525" t="str">
        <f>IF(AND(OR(LEFT(TH!L4292,2)="15",LEFT(TH!M4292,2)="15"),'152-CT'!$J$8=TH!F4292),"x","")</f>
        <v/>
      </c>
      <c r="W4292" s="525" t="str">
        <f>IF(AND(OR(LEFT(TH!L4292,2)="15",LEFT(TH!M4292,2)="15"),TK!$E$7=TH!F4292),"x","")</f>
        <v/>
      </c>
      <c r="X4292" s="525" t="str">
        <f>IF(AND('341-CT'!$E$9=H4292,OR(LEFT(L4292,3)=$X$7,LEFT(M4292,3)=$X$7)),"x","")</f>
        <v/>
      </c>
      <c r="Y4292" s="525" t="str">
        <f>IF(OR(TH!L4292=TH!$Y$7,M4292=TH!$Y$7),"x","")</f>
        <v/>
      </c>
      <c r="Z4292" s="525" t="str">
        <f>IF(AND(B4292&lt;=NKC!$N$8,B4292&gt;=NKC!$M$8),"x","")</f>
        <v/>
      </c>
      <c r="AA4292" s="526"/>
      <c r="AB4292" s="527"/>
    </row>
    <row r="4293" spans="1:28" s="576" customFormat="1" ht="15.75" customHeight="1">
      <c r="A4293" s="517" t="str">
        <f>IF(B4293&lt;&gt;"",IF(AND(B4293&gt;=_TM1,B4293&lt;=_TM2,OR(TH!L4293="1111",TH!M4293="1111")),TH!D4293,""),"")</f>
        <v/>
      </c>
      <c r="B4293" s="518">
        <f t="shared" si="545"/>
        <v>7</v>
      </c>
      <c r="C4293" s="571">
        <f t="shared" si="553"/>
        <v>42947</v>
      </c>
      <c r="D4293" s="571" t="s">
        <v>996</v>
      </c>
      <c r="E4293" s="571">
        <v>42947</v>
      </c>
      <c r="F4293" s="577" t="s">
        <v>1345</v>
      </c>
      <c r="G4293" s="579" t="s">
        <v>1341</v>
      </c>
      <c r="H4293" s="574" t="s">
        <v>800</v>
      </c>
      <c r="I4293" s="523">
        <v>54</v>
      </c>
      <c r="J4293" s="523">
        <v>46733.759849906193</v>
      </c>
      <c r="K4293" s="575">
        <f t="shared" si="554"/>
        <v>2523623</v>
      </c>
      <c r="L4293" s="591" t="s">
        <v>160</v>
      </c>
      <c r="M4293" s="591" t="s">
        <v>292</v>
      </c>
      <c r="N4293" s="525" t="str">
        <f>IF(AND('331-CT'!$E$7=TH!H4293,OR(L4293="331",M4293="331")),"331",IF(AND(OR(L4293="131",M4293="131"),H4293='131-CT'!$E$7),"131",""))</f>
        <v/>
      </c>
      <c r="O4293" s="525" t="str">
        <f>IF(AND($B4293&gt;='111'!$N$11,$B4293&lt;='111'!$O$11,OR($L4293=$O$7,$M4293=$O$7)),"x","")</f>
        <v/>
      </c>
      <c r="P4293" s="525" t="str">
        <f>IF(AND($L4293=$O$7,$B4293&lt;'111'!$N$11),"x","")</f>
        <v/>
      </c>
      <c r="Q4293" s="525" t="str">
        <f>IF(AND($M4293=$O$7,$B4293&lt;'111'!$N$11),"x","")</f>
        <v/>
      </c>
      <c r="R4293" s="525" t="str">
        <f>IF(ISERROR(FIND('112'!$M$9,G4293,1)),"",IF((AND(FIND('112'!$M$9,G4293,1)&gt;=1,$B4293&gt;='112'!$N$8,$B4293&lt;='112'!$O$8,OR($L4293='112'!$I$6,$M4293='112'!$I$6))),"x",""))</f>
        <v/>
      </c>
      <c r="S4293" s="525" t="str">
        <f>IF(ISERROR(FIND('112'!$M$9,G4293,1)),"",IF((AND(LEFT(G4293,2)=LEFT('112'!$M$9,2),B4293&lt;'112'!$N$8,$L4293='112'!$I$6)),"x",""))</f>
        <v/>
      </c>
      <c r="T4293" s="525" t="str">
        <f>IF(ISERROR(FIND('112'!$M$9,G4293,1)),"",IF((AND(RIGHT(G4293,2)=RIGHT('112'!$M$9,2),B4293&lt;'112'!$N$8,$M4293='112'!$I$6)),"x",""))</f>
        <v/>
      </c>
      <c r="U4293" s="525" t="str">
        <f>IF(AND(B4293&gt;='IN-NX'!$P$3,B4293&lt;='IN-NX'!$Q$3,'IN-NX'!$D$7=D4293,OR(LEFT(L4293,2)="15",AND(LEFT(M4293,2)&lt;&gt;"15",LEFT(M4293,2)&lt;&gt;"33"))),"x","")</f>
        <v/>
      </c>
      <c r="V4293" s="525" t="str">
        <f>IF(AND(OR(LEFT(TH!L4293,2)="15",LEFT(TH!M4293,2)="15"),'152-CT'!$J$8=TH!F4293),"x","")</f>
        <v/>
      </c>
      <c r="W4293" s="525" t="str">
        <f>IF(AND(OR(LEFT(TH!L4293,2)="15",LEFT(TH!M4293,2)="15"),TK!$E$7=TH!F4293),"x","")</f>
        <v/>
      </c>
      <c r="X4293" s="525" t="str">
        <f>IF(AND('341-CT'!$E$9=H4293,OR(LEFT(L4293,3)=$X$7,LEFT(M4293,3)=$X$7)),"x","")</f>
        <v/>
      </c>
      <c r="Y4293" s="525" t="str">
        <f>IF(OR(TH!L4293=TH!$Y$7,M4293=TH!$Y$7),"x","")</f>
        <v/>
      </c>
      <c r="Z4293" s="525" t="str">
        <f>IF(AND(B4293&lt;=NKC!$N$8,B4293&gt;=NKC!$M$8),"x","")</f>
        <v/>
      </c>
      <c r="AA4293" s="526"/>
      <c r="AB4293" s="527"/>
    </row>
    <row r="4294" spans="1:28" s="576" customFormat="1" ht="15.75" customHeight="1">
      <c r="A4294" s="517" t="str">
        <f>IF(B4294&lt;&gt;"",IF(AND(B4294&gt;=_TM1,B4294&lt;=_TM2,OR(TH!L4294="1111",TH!M4294="1111")),TH!D4294,""),"")</f>
        <v/>
      </c>
      <c r="B4294" s="518">
        <f t="shared" si="545"/>
        <v>7</v>
      </c>
      <c r="C4294" s="571">
        <f t="shared" si="553"/>
        <v>42947</v>
      </c>
      <c r="D4294" s="571" t="s">
        <v>996</v>
      </c>
      <c r="E4294" s="571">
        <v>42947</v>
      </c>
      <c r="F4294" s="577" t="s">
        <v>1346</v>
      </c>
      <c r="G4294" s="579" t="s">
        <v>1341</v>
      </c>
      <c r="H4294" s="574" t="s">
        <v>800</v>
      </c>
      <c r="I4294" s="523">
        <v>54</v>
      </c>
      <c r="J4294" s="523">
        <v>51505.093183239522</v>
      </c>
      <c r="K4294" s="575">
        <f t="shared" si="554"/>
        <v>2781275</v>
      </c>
      <c r="L4294" s="591" t="s">
        <v>160</v>
      </c>
      <c r="M4294" s="591" t="s">
        <v>292</v>
      </c>
      <c r="N4294" s="525" t="str">
        <f>IF(AND('331-CT'!$E$7=TH!H4294,OR(L4294="331",M4294="331")),"331",IF(AND(OR(L4294="131",M4294="131"),H4294='131-CT'!$E$7),"131",""))</f>
        <v/>
      </c>
      <c r="O4294" s="525" t="str">
        <f>IF(AND($B4294&gt;='111'!$N$11,$B4294&lt;='111'!$O$11,OR($L4294=$O$7,$M4294=$O$7)),"x","")</f>
        <v/>
      </c>
      <c r="P4294" s="525" t="str">
        <f>IF(AND($L4294=$O$7,$B4294&lt;'111'!$N$11),"x","")</f>
        <v/>
      </c>
      <c r="Q4294" s="525" t="str">
        <f>IF(AND($M4294=$O$7,$B4294&lt;'111'!$N$11),"x","")</f>
        <v/>
      </c>
      <c r="R4294" s="525" t="str">
        <f>IF(ISERROR(FIND('112'!$M$9,G4294,1)),"",IF((AND(FIND('112'!$M$9,G4294,1)&gt;=1,$B4294&gt;='112'!$N$8,$B4294&lt;='112'!$O$8,OR($L4294='112'!$I$6,$M4294='112'!$I$6))),"x",""))</f>
        <v/>
      </c>
      <c r="S4294" s="525" t="str">
        <f>IF(ISERROR(FIND('112'!$M$9,G4294,1)),"",IF((AND(LEFT(G4294,2)=LEFT('112'!$M$9,2),B4294&lt;'112'!$N$8,$L4294='112'!$I$6)),"x",""))</f>
        <v/>
      </c>
      <c r="T4294" s="525" t="str">
        <f>IF(ISERROR(FIND('112'!$M$9,G4294,1)),"",IF((AND(RIGHT(G4294,2)=RIGHT('112'!$M$9,2),B4294&lt;'112'!$N$8,$M4294='112'!$I$6)),"x",""))</f>
        <v/>
      </c>
      <c r="U4294" s="525" t="str">
        <f>IF(AND(B4294&gt;='IN-NX'!$P$3,B4294&lt;='IN-NX'!$Q$3,'IN-NX'!$D$7=D4294,OR(LEFT(L4294,2)="15",AND(LEFT(M4294,2)&lt;&gt;"15",LEFT(M4294,2)&lt;&gt;"33"))),"x","")</f>
        <v/>
      </c>
      <c r="V4294" s="525" t="str">
        <f>IF(AND(OR(LEFT(TH!L4294,2)="15",LEFT(TH!M4294,2)="15"),'152-CT'!$J$8=TH!F4294),"x","")</f>
        <v/>
      </c>
      <c r="W4294" s="525" t="str">
        <f>IF(AND(OR(LEFT(TH!L4294,2)="15",LEFT(TH!M4294,2)="15"),TK!$E$7=TH!F4294),"x","")</f>
        <v/>
      </c>
      <c r="X4294" s="525" t="str">
        <f>IF(AND('341-CT'!$E$9=H4294,OR(LEFT(L4294,3)=$X$7,LEFT(M4294,3)=$X$7)),"x","")</f>
        <v/>
      </c>
      <c r="Y4294" s="525" t="str">
        <f>IF(OR(TH!L4294=TH!$Y$7,M4294=TH!$Y$7),"x","")</f>
        <v/>
      </c>
      <c r="Z4294" s="525" t="str">
        <f>IF(AND(B4294&lt;=NKC!$N$8,B4294&gt;=NKC!$M$8),"x","")</f>
        <v/>
      </c>
      <c r="AA4294" s="526"/>
      <c r="AB4294" s="527"/>
    </row>
    <row r="4295" spans="1:28" s="576" customFormat="1" ht="15.75" customHeight="1">
      <c r="A4295" s="517" t="str">
        <f>IF(B4295&lt;&gt;"",IF(AND(B4295&gt;=_TM1,B4295&lt;=_TM2,OR(TH!L4295="1111",TH!M4295="1111")),TH!D4295,""),"")</f>
        <v/>
      </c>
      <c r="B4295" s="518">
        <f t="shared" si="545"/>
        <v>7</v>
      </c>
      <c r="C4295" s="571">
        <f t="shared" si="553"/>
        <v>42947</v>
      </c>
      <c r="D4295" s="571" t="s">
        <v>996</v>
      </c>
      <c r="E4295" s="571">
        <v>42947</v>
      </c>
      <c r="F4295" s="572" t="s">
        <v>1330</v>
      </c>
      <c r="G4295" s="579" t="s">
        <v>1342</v>
      </c>
      <c r="H4295" s="574" t="s">
        <v>800</v>
      </c>
      <c r="I4295" s="523">
        <v>144</v>
      </c>
      <c r="J4295" s="523">
        <v>32235.718183239529</v>
      </c>
      <c r="K4295" s="575">
        <f t="shared" si="554"/>
        <v>4641943</v>
      </c>
      <c r="L4295" s="591" t="s">
        <v>160</v>
      </c>
      <c r="M4295" s="591" t="s">
        <v>292</v>
      </c>
      <c r="N4295" s="525" t="str">
        <f>IF(AND('331-CT'!$E$7=TH!H4295,OR(L4295="331",M4295="331")),"331",IF(AND(OR(L4295="131",M4295="131"),H4295='131-CT'!$E$7),"131",""))</f>
        <v/>
      </c>
      <c r="O4295" s="525" t="str">
        <f>IF(AND($B4295&gt;='111'!$N$11,$B4295&lt;='111'!$O$11,OR($L4295=$O$7,$M4295=$O$7)),"x","")</f>
        <v/>
      </c>
      <c r="P4295" s="525" t="str">
        <f>IF(AND($L4295=$O$7,$B4295&lt;'111'!$N$11),"x","")</f>
        <v/>
      </c>
      <c r="Q4295" s="525" t="str">
        <f>IF(AND($M4295=$O$7,$B4295&lt;'111'!$N$11),"x","")</f>
        <v/>
      </c>
      <c r="R4295" s="525" t="str">
        <f>IF(ISERROR(FIND('112'!$M$9,G4295,1)),"",IF((AND(FIND('112'!$M$9,G4295,1)&gt;=1,$B4295&gt;='112'!$N$8,$B4295&lt;='112'!$O$8,OR($L4295='112'!$I$6,$M4295='112'!$I$6))),"x",""))</f>
        <v/>
      </c>
      <c r="S4295" s="525" t="str">
        <f>IF(ISERROR(FIND('112'!$M$9,G4295,1)),"",IF((AND(LEFT(G4295,2)=LEFT('112'!$M$9,2),B4295&lt;'112'!$N$8,$L4295='112'!$I$6)),"x",""))</f>
        <v/>
      </c>
      <c r="T4295" s="525" t="str">
        <f>IF(ISERROR(FIND('112'!$M$9,G4295,1)),"",IF((AND(RIGHT(G4295,2)=RIGHT('112'!$M$9,2),B4295&lt;'112'!$N$8,$M4295='112'!$I$6)),"x",""))</f>
        <v/>
      </c>
      <c r="U4295" s="525" t="str">
        <f>IF(AND(B4295&gt;='IN-NX'!$P$3,B4295&lt;='IN-NX'!$Q$3,'IN-NX'!$D$7=D4295,OR(LEFT(L4295,2)="15",AND(LEFT(M4295,2)&lt;&gt;"15",LEFT(M4295,2)&lt;&gt;"33"))),"x","")</f>
        <v/>
      </c>
      <c r="V4295" s="525" t="str">
        <f>IF(AND(OR(LEFT(TH!L4295,2)="15",LEFT(TH!M4295,2)="15"),'152-CT'!$J$8=TH!F4295),"x","")</f>
        <v/>
      </c>
      <c r="W4295" s="525" t="str">
        <f>IF(AND(OR(LEFT(TH!L4295,2)="15",LEFT(TH!M4295,2)="15"),TK!$E$7=TH!F4295),"x","")</f>
        <v/>
      </c>
      <c r="X4295" s="525" t="str">
        <f>IF(AND('341-CT'!$E$9=H4295,OR(LEFT(L4295,3)=$X$7,LEFT(M4295,3)=$X$7)),"x","")</f>
        <v/>
      </c>
      <c r="Y4295" s="525" t="str">
        <f>IF(OR(TH!L4295=TH!$Y$7,M4295=TH!$Y$7),"x","")</f>
        <v/>
      </c>
      <c r="Z4295" s="525" t="str">
        <f>IF(AND(B4295&lt;=NKC!$N$8,B4295&gt;=NKC!$M$8),"x","")</f>
        <v/>
      </c>
      <c r="AA4295" s="526"/>
      <c r="AB4295" s="527"/>
    </row>
    <row r="4296" spans="1:28" s="576" customFormat="1" ht="15.75" customHeight="1">
      <c r="A4296" s="517" t="str">
        <f>IF(B4296&lt;&gt;"",IF(AND(B4296&gt;=_TM1,B4296&lt;=_TM2,OR(TH!L4296="1111",TH!M4296="1111")),TH!D4296,""),"")</f>
        <v/>
      </c>
      <c r="B4296" s="518">
        <f t="shared" si="545"/>
        <v>7</v>
      </c>
      <c r="C4296" s="571">
        <f t="shared" si="553"/>
        <v>42947</v>
      </c>
      <c r="D4296" s="571" t="s">
        <v>996</v>
      </c>
      <c r="E4296" s="571">
        <v>42947</v>
      </c>
      <c r="F4296" s="572" t="s">
        <v>1347</v>
      </c>
      <c r="G4296" s="579" t="s">
        <v>1342</v>
      </c>
      <c r="H4296" s="574" t="s">
        <v>800</v>
      </c>
      <c r="I4296" s="523">
        <v>96</v>
      </c>
      <c r="J4296" s="523">
        <v>32901.624433239522</v>
      </c>
      <c r="K4296" s="575">
        <f t="shared" si="554"/>
        <v>3158556</v>
      </c>
      <c r="L4296" s="591" t="s">
        <v>160</v>
      </c>
      <c r="M4296" s="591" t="s">
        <v>292</v>
      </c>
      <c r="N4296" s="525" t="str">
        <f>IF(AND('331-CT'!$E$7=TH!H4296,OR(L4296="331",M4296="331")),"331",IF(AND(OR(L4296="131",M4296="131"),H4296='131-CT'!$E$7),"131",""))</f>
        <v/>
      </c>
      <c r="O4296" s="525" t="str">
        <f>IF(AND($B4296&gt;='111'!$N$11,$B4296&lt;='111'!$O$11,OR($L4296=$O$7,$M4296=$O$7)),"x","")</f>
        <v/>
      </c>
      <c r="P4296" s="525" t="str">
        <f>IF(AND($L4296=$O$7,$B4296&lt;'111'!$N$11),"x","")</f>
        <v/>
      </c>
      <c r="Q4296" s="525" t="str">
        <f>IF(AND($M4296=$O$7,$B4296&lt;'111'!$N$11),"x","")</f>
        <v/>
      </c>
      <c r="R4296" s="525" t="str">
        <f>IF(ISERROR(FIND('112'!$M$9,G4296,1)),"",IF((AND(FIND('112'!$M$9,G4296,1)&gt;=1,$B4296&gt;='112'!$N$8,$B4296&lt;='112'!$O$8,OR($L4296='112'!$I$6,$M4296='112'!$I$6))),"x",""))</f>
        <v/>
      </c>
      <c r="S4296" s="525" t="str">
        <f>IF(ISERROR(FIND('112'!$M$9,G4296,1)),"",IF((AND(LEFT(G4296,2)=LEFT('112'!$M$9,2),B4296&lt;'112'!$N$8,$L4296='112'!$I$6)),"x",""))</f>
        <v/>
      </c>
      <c r="T4296" s="525" t="str">
        <f>IF(ISERROR(FIND('112'!$M$9,G4296,1)),"",IF((AND(RIGHT(G4296,2)=RIGHT('112'!$M$9,2),B4296&lt;'112'!$N$8,$M4296='112'!$I$6)),"x",""))</f>
        <v/>
      </c>
      <c r="U4296" s="525" t="str">
        <f>IF(AND(B4296&gt;='IN-NX'!$P$3,B4296&lt;='IN-NX'!$Q$3,'IN-NX'!$D$7=D4296,OR(LEFT(L4296,2)="15",AND(LEFT(M4296,2)&lt;&gt;"15",LEFT(M4296,2)&lt;&gt;"33"))),"x","")</f>
        <v/>
      </c>
      <c r="V4296" s="525" t="str">
        <f>IF(AND(OR(LEFT(TH!L4296,2)="15",LEFT(TH!M4296,2)="15"),'152-CT'!$J$8=TH!F4296),"x","")</f>
        <v/>
      </c>
      <c r="W4296" s="525" t="str">
        <f>IF(AND(OR(LEFT(TH!L4296,2)="15",LEFT(TH!M4296,2)="15"),TK!$E$7=TH!F4296),"x","")</f>
        <v/>
      </c>
      <c r="X4296" s="525" t="str">
        <f>IF(AND('341-CT'!$E$9=H4296,OR(LEFT(L4296,3)=$X$7,LEFT(M4296,3)=$X$7)),"x","")</f>
        <v/>
      </c>
      <c r="Y4296" s="525" t="str">
        <f>IF(OR(TH!L4296=TH!$Y$7,M4296=TH!$Y$7),"x","")</f>
        <v/>
      </c>
      <c r="Z4296" s="525" t="str">
        <f>IF(AND(B4296&lt;=NKC!$N$8,B4296&gt;=NKC!$M$8),"x","")</f>
        <v/>
      </c>
      <c r="AA4296" s="526"/>
      <c r="AB4296" s="527"/>
    </row>
    <row r="4297" spans="1:28" s="576" customFormat="1" ht="15.75" customHeight="1">
      <c r="A4297" s="517" t="str">
        <f>IF(B4297&lt;&gt;"",IF(AND(B4297&gt;=_TM1,B4297&lt;=_TM2,OR(TH!L4297="1111",TH!M4297="1111")),TH!D4297,""),"")</f>
        <v/>
      </c>
      <c r="B4297" s="518">
        <f t="shared" si="545"/>
        <v>7</v>
      </c>
      <c r="C4297" s="571">
        <f t="shared" si="553"/>
        <v>42947</v>
      </c>
      <c r="D4297" s="571" t="s">
        <v>996</v>
      </c>
      <c r="E4297" s="571">
        <v>42947</v>
      </c>
      <c r="F4297" s="520" t="s">
        <v>1331</v>
      </c>
      <c r="G4297" s="579" t="s">
        <v>1342</v>
      </c>
      <c r="H4297" s="574" t="s">
        <v>800</v>
      </c>
      <c r="I4297" s="523">
        <v>96</v>
      </c>
      <c r="J4297" s="523">
        <v>39965.134849906193</v>
      </c>
      <c r="K4297" s="575">
        <f t="shared" si="554"/>
        <v>3836653</v>
      </c>
      <c r="L4297" s="591" t="s">
        <v>160</v>
      </c>
      <c r="M4297" s="591" t="s">
        <v>292</v>
      </c>
      <c r="N4297" s="525" t="str">
        <f>IF(AND('331-CT'!$E$7=TH!H4297,OR(L4297="331",M4297="331")),"331",IF(AND(OR(L4297="131",M4297="131"),H4297='131-CT'!$E$7),"131",""))</f>
        <v/>
      </c>
      <c r="O4297" s="525" t="str">
        <f>IF(AND($B4297&gt;='111'!$N$11,$B4297&lt;='111'!$O$11,OR($L4297=$O$7,$M4297=$O$7)),"x","")</f>
        <v/>
      </c>
      <c r="P4297" s="525" t="str">
        <f>IF(AND($L4297=$O$7,$B4297&lt;'111'!$N$11),"x","")</f>
        <v/>
      </c>
      <c r="Q4297" s="525" t="str">
        <f>IF(AND($M4297=$O$7,$B4297&lt;'111'!$N$11),"x","")</f>
        <v/>
      </c>
      <c r="R4297" s="525" t="str">
        <f>IF(ISERROR(FIND('112'!$M$9,G4297,1)),"",IF((AND(FIND('112'!$M$9,G4297,1)&gt;=1,$B4297&gt;='112'!$N$8,$B4297&lt;='112'!$O$8,OR($L4297='112'!$I$6,$M4297='112'!$I$6))),"x",""))</f>
        <v/>
      </c>
      <c r="S4297" s="525" t="str">
        <f>IF(ISERROR(FIND('112'!$M$9,G4297,1)),"",IF((AND(LEFT(G4297,2)=LEFT('112'!$M$9,2),B4297&lt;'112'!$N$8,$L4297='112'!$I$6)),"x",""))</f>
        <v/>
      </c>
      <c r="T4297" s="525" t="str">
        <f>IF(ISERROR(FIND('112'!$M$9,G4297,1)),"",IF((AND(RIGHT(G4297,2)=RIGHT('112'!$M$9,2),B4297&lt;'112'!$N$8,$M4297='112'!$I$6)),"x",""))</f>
        <v/>
      </c>
      <c r="U4297" s="525" t="str">
        <f>IF(AND(B4297&gt;='IN-NX'!$P$3,B4297&lt;='IN-NX'!$Q$3,'IN-NX'!$D$7=D4297,OR(LEFT(L4297,2)="15",AND(LEFT(M4297,2)&lt;&gt;"15",LEFT(M4297,2)&lt;&gt;"33"))),"x","")</f>
        <v/>
      </c>
      <c r="V4297" s="525" t="str">
        <f>IF(AND(OR(LEFT(TH!L4297,2)="15",LEFT(TH!M4297,2)="15"),'152-CT'!$J$8=TH!F4297),"x","")</f>
        <v/>
      </c>
      <c r="W4297" s="525" t="str">
        <f>IF(AND(OR(LEFT(TH!L4297,2)="15",LEFT(TH!M4297,2)="15"),TK!$E$7=TH!F4297),"x","")</f>
        <v/>
      </c>
      <c r="X4297" s="525" t="str">
        <f>IF(AND('341-CT'!$E$9=H4297,OR(LEFT(L4297,3)=$X$7,LEFT(M4297,3)=$X$7)),"x","")</f>
        <v/>
      </c>
      <c r="Y4297" s="525" t="str">
        <f>IF(OR(TH!L4297=TH!$Y$7,M4297=TH!$Y$7),"x","")</f>
        <v/>
      </c>
      <c r="Z4297" s="525" t="str">
        <f>IF(AND(B4297&lt;=NKC!$N$8,B4297&gt;=NKC!$M$8),"x","")</f>
        <v/>
      </c>
      <c r="AA4297" s="526"/>
      <c r="AB4297" s="527"/>
    </row>
    <row r="4298" spans="1:28" s="576" customFormat="1" ht="15.75" customHeight="1">
      <c r="A4298" s="517" t="str">
        <f>IF(B4298&lt;&gt;"",IF(AND(B4298&gt;=_TM1,B4298&lt;=_TM2,OR(TH!L4298="1111",TH!M4298="1111")),TH!D4298,""),"")</f>
        <v/>
      </c>
      <c r="B4298" s="518">
        <f t="shared" si="545"/>
        <v>7</v>
      </c>
      <c r="C4298" s="571">
        <f t="shared" si="553"/>
        <v>42947</v>
      </c>
      <c r="D4298" s="571" t="s">
        <v>996</v>
      </c>
      <c r="E4298" s="571">
        <v>42947</v>
      </c>
      <c r="F4298" s="577" t="s">
        <v>1332</v>
      </c>
      <c r="G4298" s="579" t="s">
        <v>1342</v>
      </c>
      <c r="H4298" s="574" t="s">
        <v>800</v>
      </c>
      <c r="I4298" s="523">
        <v>144</v>
      </c>
      <c r="J4298" s="523">
        <v>51723.259849906193</v>
      </c>
      <c r="K4298" s="575">
        <f t="shared" si="554"/>
        <v>7448149</v>
      </c>
      <c r="L4298" s="591" t="s">
        <v>160</v>
      </c>
      <c r="M4298" s="591" t="s">
        <v>292</v>
      </c>
      <c r="N4298" s="525" t="str">
        <f>IF(AND('331-CT'!$E$7=TH!H4298,OR(L4298="331",M4298="331")),"331",IF(AND(OR(L4298="131",M4298="131"),H4298='131-CT'!$E$7),"131",""))</f>
        <v/>
      </c>
      <c r="O4298" s="525" t="str">
        <f>IF(AND($B4298&gt;='111'!$N$11,$B4298&lt;='111'!$O$11,OR($L4298=$O$7,$M4298=$O$7)),"x","")</f>
        <v/>
      </c>
      <c r="P4298" s="525" t="str">
        <f>IF(AND($L4298=$O$7,$B4298&lt;'111'!$N$11),"x","")</f>
        <v/>
      </c>
      <c r="Q4298" s="525" t="str">
        <f>IF(AND($M4298=$O$7,$B4298&lt;'111'!$N$11),"x","")</f>
        <v/>
      </c>
      <c r="R4298" s="525" t="str">
        <f>IF(ISERROR(FIND('112'!$M$9,G4298,1)),"",IF((AND(FIND('112'!$M$9,G4298,1)&gt;=1,$B4298&gt;='112'!$N$8,$B4298&lt;='112'!$O$8,OR($L4298='112'!$I$6,$M4298='112'!$I$6))),"x",""))</f>
        <v/>
      </c>
      <c r="S4298" s="525" t="str">
        <f>IF(ISERROR(FIND('112'!$M$9,G4298,1)),"",IF((AND(LEFT(G4298,2)=LEFT('112'!$M$9,2),B4298&lt;'112'!$N$8,$L4298='112'!$I$6)),"x",""))</f>
        <v/>
      </c>
      <c r="T4298" s="525" t="str">
        <f>IF(ISERROR(FIND('112'!$M$9,G4298,1)),"",IF((AND(RIGHT(G4298,2)=RIGHT('112'!$M$9,2),B4298&lt;'112'!$N$8,$M4298='112'!$I$6)),"x",""))</f>
        <v/>
      </c>
      <c r="U4298" s="525" t="str">
        <f>IF(AND(B4298&gt;='IN-NX'!$P$3,B4298&lt;='IN-NX'!$Q$3,'IN-NX'!$D$7=D4298,OR(LEFT(L4298,2)="15",AND(LEFT(M4298,2)&lt;&gt;"15",LEFT(M4298,2)&lt;&gt;"33"))),"x","")</f>
        <v/>
      </c>
      <c r="V4298" s="525" t="str">
        <f>IF(AND(OR(LEFT(TH!L4298,2)="15",LEFT(TH!M4298,2)="15"),'152-CT'!$J$8=TH!F4298),"x","")</f>
        <v/>
      </c>
      <c r="W4298" s="525" t="str">
        <f>IF(AND(OR(LEFT(TH!L4298,2)="15",LEFT(TH!M4298,2)="15"),TK!$E$7=TH!F4298),"x","")</f>
        <v/>
      </c>
      <c r="X4298" s="525" t="str">
        <f>IF(AND('341-CT'!$E$9=H4298,OR(LEFT(L4298,3)=$X$7,LEFT(M4298,3)=$X$7)),"x","")</f>
        <v/>
      </c>
      <c r="Y4298" s="525" t="str">
        <f>IF(OR(TH!L4298=TH!$Y$7,M4298=TH!$Y$7),"x","")</f>
        <v/>
      </c>
      <c r="Z4298" s="525" t="str">
        <f>IF(AND(B4298&lt;=NKC!$N$8,B4298&gt;=NKC!$M$8),"x","")</f>
        <v/>
      </c>
      <c r="AA4298" s="526"/>
      <c r="AB4298" s="527"/>
    </row>
    <row r="4299" spans="1:28" s="576" customFormat="1" ht="15.75" customHeight="1">
      <c r="A4299" s="517" t="str">
        <f>IF(B4299&lt;&gt;"",IF(AND(B4299&gt;=_TM1,B4299&lt;=_TM2,OR(TH!L4299="1111",TH!M4299="1111")),TH!D4299,""),"")</f>
        <v/>
      </c>
      <c r="B4299" s="518">
        <f t="shared" si="545"/>
        <v>7</v>
      </c>
      <c r="C4299" s="571">
        <f t="shared" si="553"/>
        <v>42947</v>
      </c>
      <c r="D4299" s="571" t="s">
        <v>996</v>
      </c>
      <c r="E4299" s="571">
        <v>42947</v>
      </c>
      <c r="F4299" s="577" t="s">
        <v>1335</v>
      </c>
      <c r="G4299" s="579" t="s">
        <v>1342</v>
      </c>
      <c r="H4299" s="574" t="s">
        <v>800</v>
      </c>
      <c r="I4299" s="523">
        <v>144</v>
      </c>
      <c r="J4299" s="523">
        <v>43839.093183239529</v>
      </c>
      <c r="K4299" s="575">
        <f t="shared" si="554"/>
        <v>6312829</v>
      </c>
      <c r="L4299" s="591" t="s">
        <v>160</v>
      </c>
      <c r="M4299" s="591" t="s">
        <v>292</v>
      </c>
      <c r="N4299" s="525" t="str">
        <f>IF(AND('331-CT'!$E$7=TH!H4299,OR(L4299="331",M4299="331")),"331",IF(AND(OR(L4299="131",M4299="131"),H4299='131-CT'!$E$7),"131",""))</f>
        <v/>
      </c>
      <c r="O4299" s="525" t="str">
        <f>IF(AND($B4299&gt;='111'!$N$11,$B4299&lt;='111'!$O$11,OR($L4299=$O$7,$M4299=$O$7)),"x","")</f>
        <v/>
      </c>
      <c r="P4299" s="525" t="str">
        <f>IF(AND($L4299=$O$7,$B4299&lt;'111'!$N$11),"x","")</f>
        <v/>
      </c>
      <c r="Q4299" s="525" t="str">
        <f>IF(AND($M4299=$O$7,$B4299&lt;'111'!$N$11),"x","")</f>
        <v/>
      </c>
      <c r="R4299" s="525" t="str">
        <f>IF(ISERROR(FIND('112'!$M$9,G4299,1)),"",IF((AND(FIND('112'!$M$9,G4299,1)&gt;=1,$B4299&gt;='112'!$N$8,$B4299&lt;='112'!$O$8,OR($L4299='112'!$I$6,$M4299='112'!$I$6))),"x",""))</f>
        <v/>
      </c>
      <c r="S4299" s="525" t="str">
        <f>IF(ISERROR(FIND('112'!$M$9,G4299,1)),"",IF((AND(LEFT(G4299,2)=LEFT('112'!$M$9,2),B4299&lt;'112'!$N$8,$L4299='112'!$I$6)),"x",""))</f>
        <v/>
      </c>
      <c r="T4299" s="525" t="str">
        <f>IF(ISERROR(FIND('112'!$M$9,G4299,1)),"",IF((AND(RIGHT(G4299,2)=RIGHT('112'!$M$9,2),B4299&lt;'112'!$N$8,$M4299='112'!$I$6)),"x",""))</f>
        <v/>
      </c>
      <c r="U4299" s="525" t="str">
        <f>IF(AND(B4299&gt;='IN-NX'!$P$3,B4299&lt;='IN-NX'!$Q$3,'IN-NX'!$D$7=D4299,OR(LEFT(L4299,2)="15",AND(LEFT(M4299,2)&lt;&gt;"15",LEFT(M4299,2)&lt;&gt;"33"))),"x","")</f>
        <v/>
      </c>
      <c r="V4299" s="525" t="str">
        <f>IF(AND(OR(LEFT(TH!L4299,2)="15",LEFT(TH!M4299,2)="15"),'152-CT'!$J$8=TH!F4299),"x","")</f>
        <v/>
      </c>
      <c r="W4299" s="525" t="str">
        <f>IF(AND(OR(LEFT(TH!L4299,2)="15",LEFT(TH!M4299,2)="15"),TK!$E$7=TH!F4299),"x","")</f>
        <v/>
      </c>
      <c r="X4299" s="525" t="str">
        <f>IF(AND('341-CT'!$E$9=H4299,OR(LEFT(L4299,3)=$X$7,LEFT(M4299,3)=$X$7)),"x","")</f>
        <v/>
      </c>
      <c r="Y4299" s="525" t="str">
        <f>IF(OR(TH!L4299=TH!$Y$7,M4299=TH!$Y$7),"x","")</f>
        <v/>
      </c>
      <c r="Z4299" s="525" t="str">
        <f>IF(AND(B4299&lt;=NKC!$N$8,B4299&gt;=NKC!$M$8),"x","")</f>
        <v/>
      </c>
      <c r="AA4299" s="526"/>
      <c r="AB4299" s="527"/>
    </row>
    <row r="4300" spans="1:28" s="576" customFormat="1" ht="15.75" customHeight="1">
      <c r="A4300" s="517" t="str">
        <f>IF(B4300&lt;&gt;"",IF(AND(B4300&gt;=_TM1,B4300&lt;=_TM2,OR(TH!L4300="1111",TH!M4300="1111")),TH!D4300,""),"")</f>
        <v/>
      </c>
      <c r="B4300" s="518">
        <f t="shared" si="545"/>
        <v>7</v>
      </c>
      <c r="C4300" s="571">
        <f t="shared" si="553"/>
        <v>42947</v>
      </c>
      <c r="D4300" s="571" t="s">
        <v>996</v>
      </c>
      <c r="E4300" s="571">
        <v>42947</v>
      </c>
      <c r="F4300" s="577" t="s">
        <v>1337</v>
      </c>
      <c r="G4300" s="579" t="s">
        <v>1342</v>
      </c>
      <c r="H4300" s="574" t="s">
        <v>800</v>
      </c>
      <c r="I4300" s="523">
        <v>128</v>
      </c>
      <c r="J4300" s="523">
        <v>40427.291099906193</v>
      </c>
      <c r="K4300" s="575">
        <f t="shared" si="554"/>
        <v>5174693</v>
      </c>
      <c r="L4300" s="591" t="s">
        <v>160</v>
      </c>
      <c r="M4300" s="591" t="s">
        <v>292</v>
      </c>
      <c r="N4300" s="525" t="str">
        <f>IF(AND('331-CT'!$E$7=TH!H4300,OR(L4300="331",M4300="331")),"331",IF(AND(OR(L4300="131",M4300="131"),H4300='131-CT'!$E$7),"131",""))</f>
        <v/>
      </c>
      <c r="O4300" s="525" t="str">
        <f>IF(AND($B4300&gt;='111'!$N$11,$B4300&lt;='111'!$O$11,OR($L4300=$O$7,$M4300=$O$7)),"x","")</f>
        <v/>
      </c>
      <c r="P4300" s="525" t="str">
        <f>IF(AND($L4300=$O$7,$B4300&lt;'111'!$N$11),"x","")</f>
        <v/>
      </c>
      <c r="Q4300" s="525" t="str">
        <f>IF(AND($M4300=$O$7,$B4300&lt;'111'!$N$11),"x","")</f>
        <v/>
      </c>
      <c r="R4300" s="525" t="str">
        <f>IF(ISERROR(FIND('112'!$M$9,G4300,1)),"",IF((AND(FIND('112'!$M$9,G4300,1)&gt;=1,$B4300&gt;='112'!$N$8,$B4300&lt;='112'!$O$8,OR($L4300='112'!$I$6,$M4300='112'!$I$6))),"x",""))</f>
        <v/>
      </c>
      <c r="S4300" s="525" t="str">
        <f>IF(ISERROR(FIND('112'!$M$9,G4300,1)),"",IF((AND(LEFT(G4300,2)=LEFT('112'!$M$9,2),B4300&lt;'112'!$N$8,$L4300='112'!$I$6)),"x",""))</f>
        <v/>
      </c>
      <c r="T4300" s="525" t="str">
        <f>IF(ISERROR(FIND('112'!$M$9,G4300,1)),"",IF((AND(RIGHT(G4300,2)=RIGHT('112'!$M$9,2),B4300&lt;'112'!$N$8,$M4300='112'!$I$6)),"x",""))</f>
        <v/>
      </c>
      <c r="U4300" s="525" t="str">
        <f>IF(AND(B4300&gt;='IN-NX'!$P$3,B4300&lt;='IN-NX'!$Q$3,'IN-NX'!$D$7=D4300,OR(LEFT(L4300,2)="15",AND(LEFT(M4300,2)&lt;&gt;"15",LEFT(M4300,2)&lt;&gt;"33"))),"x","")</f>
        <v/>
      </c>
      <c r="V4300" s="525" t="str">
        <f>IF(AND(OR(LEFT(TH!L4300,2)="15",LEFT(TH!M4300,2)="15"),'152-CT'!$J$8=TH!F4300),"x","")</f>
        <v/>
      </c>
      <c r="W4300" s="525" t="str">
        <f>IF(AND(OR(LEFT(TH!L4300,2)="15",LEFT(TH!M4300,2)="15"),TK!$E$7=TH!F4300),"x","")</f>
        <v/>
      </c>
      <c r="X4300" s="525" t="str">
        <f>IF(AND('341-CT'!$E$9=H4300,OR(LEFT(L4300,3)=$X$7,LEFT(M4300,3)=$X$7)),"x","")</f>
        <v/>
      </c>
      <c r="Y4300" s="525" t="str">
        <f>IF(OR(TH!L4300=TH!$Y$7,M4300=TH!$Y$7),"x","")</f>
        <v/>
      </c>
      <c r="Z4300" s="525" t="str">
        <f>IF(AND(B4300&lt;=NKC!$N$8,B4300&gt;=NKC!$M$8),"x","")</f>
        <v/>
      </c>
      <c r="AA4300" s="526"/>
      <c r="AB4300" s="527"/>
    </row>
    <row r="4301" spans="1:28" s="576" customFormat="1" ht="15.75" customHeight="1">
      <c r="A4301" s="517" t="str">
        <f>IF(B4301&lt;&gt;"",IF(AND(B4301&gt;=_TM1,B4301&lt;=_TM2,OR(TH!L4301="1111",TH!M4301="1111")),TH!D4301,""),"")</f>
        <v/>
      </c>
      <c r="B4301" s="518">
        <f t="shared" si="545"/>
        <v>7</v>
      </c>
      <c r="C4301" s="571">
        <f t="shared" si="553"/>
        <v>42947</v>
      </c>
      <c r="D4301" s="571" t="s">
        <v>996</v>
      </c>
      <c r="E4301" s="571">
        <v>42947</v>
      </c>
      <c r="F4301" s="577" t="s">
        <v>1348</v>
      </c>
      <c r="G4301" s="579" t="s">
        <v>1342</v>
      </c>
      <c r="H4301" s="574" t="s">
        <v>800</v>
      </c>
      <c r="I4301" s="523">
        <v>20</v>
      </c>
      <c r="J4301" s="523">
        <v>33360.759849906186</v>
      </c>
      <c r="K4301" s="575">
        <f t="shared" si="554"/>
        <v>667215</v>
      </c>
      <c r="L4301" s="591" t="s">
        <v>160</v>
      </c>
      <c r="M4301" s="591" t="s">
        <v>292</v>
      </c>
      <c r="N4301" s="525" t="str">
        <f>IF(AND('331-CT'!$E$7=TH!H4301,OR(L4301="331",M4301="331")),"331",IF(AND(OR(L4301="131",M4301="131"),H4301='131-CT'!$E$7),"131",""))</f>
        <v/>
      </c>
      <c r="O4301" s="525" t="str">
        <f>IF(AND($B4301&gt;='111'!$N$11,$B4301&lt;='111'!$O$11,OR($L4301=$O$7,$M4301=$O$7)),"x","")</f>
        <v/>
      </c>
      <c r="P4301" s="525" t="str">
        <f>IF(AND($L4301=$O$7,$B4301&lt;'111'!$N$11),"x","")</f>
        <v/>
      </c>
      <c r="Q4301" s="525" t="str">
        <f>IF(AND($M4301=$O$7,$B4301&lt;'111'!$N$11),"x","")</f>
        <v/>
      </c>
      <c r="R4301" s="525" t="str">
        <f>IF(ISERROR(FIND('112'!$M$9,G4301,1)),"",IF((AND(FIND('112'!$M$9,G4301,1)&gt;=1,$B4301&gt;='112'!$N$8,$B4301&lt;='112'!$O$8,OR($L4301='112'!$I$6,$M4301='112'!$I$6))),"x",""))</f>
        <v/>
      </c>
      <c r="S4301" s="525" t="str">
        <f>IF(ISERROR(FIND('112'!$M$9,G4301,1)),"",IF((AND(LEFT(G4301,2)=LEFT('112'!$M$9,2),B4301&lt;'112'!$N$8,$L4301='112'!$I$6)),"x",""))</f>
        <v/>
      </c>
      <c r="T4301" s="525" t="str">
        <f>IF(ISERROR(FIND('112'!$M$9,G4301,1)),"",IF((AND(RIGHT(G4301,2)=RIGHT('112'!$M$9,2),B4301&lt;'112'!$N$8,$M4301='112'!$I$6)),"x",""))</f>
        <v/>
      </c>
      <c r="U4301" s="525" t="str">
        <f>IF(AND(B4301&gt;='IN-NX'!$P$3,B4301&lt;='IN-NX'!$Q$3,'IN-NX'!$D$7=D4301,OR(LEFT(L4301,2)="15",AND(LEFT(M4301,2)&lt;&gt;"15",LEFT(M4301,2)&lt;&gt;"33"))),"x","")</f>
        <v/>
      </c>
      <c r="V4301" s="525" t="str">
        <f>IF(AND(OR(LEFT(TH!L4301,2)="15",LEFT(TH!M4301,2)="15"),'152-CT'!$J$8=TH!F4301),"x","")</f>
        <v/>
      </c>
      <c r="W4301" s="525" t="str">
        <f>IF(AND(OR(LEFT(TH!L4301,2)="15",LEFT(TH!M4301,2)="15"),TK!$E$7=TH!F4301),"x","")</f>
        <v/>
      </c>
      <c r="X4301" s="525" t="str">
        <f>IF(AND('341-CT'!$E$9=H4301,OR(LEFT(L4301,3)=$X$7,LEFT(M4301,3)=$X$7)),"x","")</f>
        <v/>
      </c>
      <c r="Y4301" s="525" t="str">
        <f>IF(OR(TH!L4301=TH!$Y$7,M4301=TH!$Y$7),"x","")</f>
        <v/>
      </c>
      <c r="Z4301" s="525" t="str">
        <f>IF(AND(B4301&lt;=NKC!$N$8,B4301&gt;=NKC!$M$8),"x","")</f>
        <v/>
      </c>
      <c r="AA4301" s="526"/>
      <c r="AB4301" s="527"/>
    </row>
    <row r="4302" spans="1:28" s="576" customFormat="1" ht="15.75" customHeight="1">
      <c r="A4302" s="517" t="str">
        <f>IF(B4302&lt;&gt;"",IF(AND(B4302&gt;=_TM1,B4302&lt;=_TM2,OR(TH!L4302="1111",TH!M4302="1111")),TH!D4302,""),"")</f>
        <v/>
      </c>
      <c r="B4302" s="518">
        <f t="shared" si="545"/>
        <v>7</v>
      </c>
      <c r="C4302" s="571">
        <f t="shared" si="553"/>
        <v>42947</v>
      </c>
      <c r="D4302" s="571" t="s">
        <v>996</v>
      </c>
      <c r="E4302" s="571">
        <v>42947</v>
      </c>
      <c r="F4302" s="577" t="s">
        <v>1349</v>
      </c>
      <c r="G4302" s="579" t="s">
        <v>1342</v>
      </c>
      <c r="H4302" s="574" t="s">
        <v>800</v>
      </c>
      <c r="I4302" s="523">
        <v>20</v>
      </c>
      <c r="J4302" s="523">
        <v>33360.759849906186</v>
      </c>
      <c r="K4302" s="575">
        <f t="shared" si="554"/>
        <v>667215</v>
      </c>
      <c r="L4302" s="591" t="s">
        <v>160</v>
      </c>
      <c r="M4302" s="591" t="s">
        <v>292</v>
      </c>
      <c r="N4302" s="525" t="str">
        <f>IF(AND('331-CT'!$E$7=TH!H4302,OR(L4302="331",M4302="331")),"331",IF(AND(OR(L4302="131",M4302="131"),H4302='131-CT'!$E$7),"131",""))</f>
        <v/>
      </c>
      <c r="O4302" s="525" t="str">
        <f>IF(AND($B4302&gt;='111'!$N$11,$B4302&lt;='111'!$O$11,OR($L4302=$O$7,$M4302=$O$7)),"x","")</f>
        <v/>
      </c>
      <c r="P4302" s="525" t="str">
        <f>IF(AND($L4302=$O$7,$B4302&lt;'111'!$N$11),"x","")</f>
        <v/>
      </c>
      <c r="Q4302" s="525" t="str">
        <f>IF(AND($M4302=$O$7,$B4302&lt;'111'!$N$11),"x","")</f>
        <v/>
      </c>
      <c r="R4302" s="525" t="str">
        <f>IF(ISERROR(FIND('112'!$M$9,G4302,1)),"",IF((AND(FIND('112'!$M$9,G4302,1)&gt;=1,$B4302&gt;='112'!$N$8,$B4302&lt;='112'!$O$8,OR($L4302='112'!$I$6,$M4302='112'!$I$6))),"x",""))</f>
        <v/>
      </c>
      <c r="S4302" s="525" t="str">
        <f>IF(ISERROR(FIND('112'!$M$9,G4302,1)),"",IF((AND(LEFT(G4302,2)=LEFT('112'!$M$9,2),B4302&lt;'112'!$N$8,$L4302='112'!$I$6)),"x",""))</f>
        <v/>
      </c>
      <c r="T4302" s="525" t="str">
        <f>IF(ISERROR(FIND('112'!$M$9,G4302,1)),"",IF((AND(RIGHT(G4302,2)=RIGHT('112'!$M$9,2),B4302&lt;'112'!$N$8,$M4302='112'!$I$6)),"x",""))</f>
        <v/>
      </c>
      <c r="U4302" s="525" t="str">
        <f>IF(AND(B4302&gt;='IN-NX'!$P$3,B4302&lt;='IN-NX'!$Q$3,'IN-NX'!$D$7=D4302,OR(LEFT(L4302,2)="15",AND(LEFT(M4302,2)&lt;&gt;"15",LEFT(M4302,2)&lt;&gt;"33"))),"x","")</f>
        <v/>
      </c>
      <c r="V4302" s="525" t="str">
        <f>IF(AND(OR(LEFT(TH!L4302,2)="15",LEFT(TH!M4302,2)="15"),'152-CT'!$J$8=TH!F4302),"x","")</f>
        <v/>
      </c>
      <c r="W4302" s="525" t="str">
        <f>IF(AND(OR(LEFT(TH!L4302,2)="15",LEFT(TH!M4302,2)="15"),TK!$E$7=TH!F4302),"x","")</f>
        <v/>
      </c>
      <c r="X4302" s="525" t="str">
        <f>IF(AND('341-CT'!$E$9=H4302,OR(LEFT(L4302,3)=$X$7,LEFT(M4302,3)=$X$7)),"x","")</f>
        <v/>
      </c>
      <c r="Y4302" s="525" t="str">
        <f>IF(OR(TH!L4302=TH!$Y$7,M4302=TH!$Y$7),"x","")</f>
        <v/>
      </c>
      <c r="Z4302" s="525" t="str">
        <f>IF(AND(B4302&lt;=NKC!$N$8,B4302&gt;=NKC!$M$8),"x","")</f>
        <v/>
      </c>
      <c r="AA4302" s="526"/>
      <c r="AB4302" s="527"/>
    </row>
    <row r="4303" spans="1:28" s="576" customFormat="1" ht="15.75" customHeight="1">
      <c r="A4303" s="517" t="str">
        <f>IF(B4303&lt;&gt;"",IF(AND(B4303&gt;=_TM1,B4303&lt;=_TM2,OR(TH!L4303="1111",TH!M4303="1111")),TH!D4303,""),"")</f>
        <v/>
      </c>
      <c r="B4303" s="518">
        <f t="shared" si="545"/>
        <v>7</v>
      </c>
      <c r="C4303" s="571">
        <f t="shared" si="553"/>
        <v>42947</v>
      </c>
      <c r="D4303" s="571" t="s">
        <v>996</v>
      </c>
      <c r="E4303" s="571">
        <v>42947</v>
      </c>
      <c r="F4303" s="577" t="s">
        <v>1350</v>
      </c>
      <c r="G4303" s="579" t="s">
        <v>1342</v>
      </c>
      <c r="H4303" s="574" t="s">
        <v>800</v>
      </c>
      <c r="I4303" s="523">
        <v>30</v>
      </c>
      <c r="J4303" s="523">
        <v>19221.926516572861</v>
      </c>
      <c r="K4303" s="575">
        <f t="shared" si="554"/>
        <v>576658</v>
      </c>
      <c r="L4303" s="591" t="s">
        <v>160</v>
      </c>
      <c r="M4303" s="591" t="s">
        <v>292</v>
      </c>
      <c r="N4303" s="525" t="str">
        <f>IF(AND('331-CT'!$E$7=TH!H4303,OR(L4303="331",M4303="331")),"331",IF(AND(OR(L4303="131",M4303="131"),H4303='131-CT'!$E$7),"131",""))</f>
        <v/>
      </c>
      <c r="O4303" s="525" t="str">
        <f>IF(AND($B4303&gt;='111'!$N$11,$B4303&lt;='111'!$O$11,OR($L4303=$O$7,$M4303=$O$7)),"x","")</f>
        <v/>
      </c>
      <c r="P4303" s="525" t="str">
        <f>IF(AND($L4303=$O$7,$B4303&lt;'111'!$N$11),"x","")</f>
        <v/>
      </c>
      <c r="Q4303" s="525" t="str">
        <f>IF(AND($M4303=$O$7,$B4303&lt;'111'!$N$11),"x","")</f>
        <v/>
      </c>
      <c r="R4303" s="525" t="str">
        <f>IF(ISERROR(FIND('112'!$M$9,G4303,1)),"",IF((AND(FIND('112'!$M$9,G4303,1)&gt;=1,$B4303&gt;='112'!$N$8,$B4303&lt;='112'!$O$8,OR($L4303='112'!$I$6,$M4303='112'!$I$6))),"x",""))</f>
        <v/>
      </c>
      <c r="S4303" s="525" t="str">
        <f>IF(ISERROR(FIND('112'!$M$9,G4303,1)),"",IF((AND(LEFT(G4303,2)=LEFT('112'!$M$9,2),B4303&lt;'112'!$N$8,$L4303='112'!$I$6)),"x",""))</f>
        <v/>
      </c>
      <c r="T4303" s="525" t="str">
        <f>IF(ISERROR(FIND('112'!$M$9,G4303,1)),"",IF((AND(RIGHT(G4303,2)=RIGHT('112'!$M$9,2),B4303&lt;'112'!$N$8,$M4303='112'!$I$6)),"x",""))</f>
        <v/>
      </c>
      <c r="U4303" s="525" t="str">
        <f>IF(AND(B4303&gt;='IN-NX'!$P$3,B4303&lt;='IN-NX'!$Q$3,'IN-NX'!$D$7=D4303,OR(LEFT(L4303,2)="15",AND(LEFT(M4303,2)&lt;&gt;"15",LEFT(M4303,2)&lt;&gt;"33"))),"x","")</f>
        <v/>
      </c>
      <c r="V4303" s="525" t="str">
        <f>IF(AND(OR(LEFT(TH!L4303,2)="15",LEFT(TH!M4303,2)="15"),'152-CT'!$J$8=TH!F4303),"x","")</f>
        <v/>
      </c>
      <c r="W4303" s="525" t="str">
        <f>IF(AND(OR(LEFT(TH!L4303,2)="15",LEFT(TH!M4303,2)="15"),TK!$E$7=TH!F4303),"x","")</f>
        <v/>
      </c>
      <c r="X4303" s="525" t="str">
        <f>IF(AND('341-CT'!$E$9=H4303,OR(LEFT(L4303,3)=$X$7,LEFT(M4303,3)=$X$7)),"x","")</f>
        <v/>
      </c>
      <c r="Y4303" s="525" t="str">
        <f>IF(OR(TH!L4303=TH!$Y$7,M4303=TH!$Y$7),"x","")</f>
        <v/>
      </c>
      <c r="Z4303" s="525" t="str">
        <f>IF(AND(B4303&lt;=NKC!$N$8,B4303&gt;=NKC!$M$8),"x","")</f>
        <v/>
      </c>
      <c r="AA4303" s="526"/>
      <c r="AB4303" s="527"/>
    </row>
    <row r="4304" spans="1:28" s="576" customFormat="1" ht="15.75" customHeight="1">
      <c r="A4304" s="517" t="str">
        <f>IF(B4304&lt;&gt;"",IF(AND(B4304&gt;=_TM1,B4304&lt;=_TM2,OR(TH!L4304="1111",TH!M4304="1111")),TH!D4304,""),"")</f>
        <v/>
      </c>
      <c r="B4304" s="518">
        <f t="shared" si="545"/>
        <v>7</v>
      </c>
      <c r="C4304" s="571">
        <f t="shared" si="553"/>
        <v>42947</v>
      </c>
      <c r="D4304" s="571" t="s">
        <v>996</v>
      </c>
      <c r="E4304" s="571">
        <v>42947</v>
      </c>
      <c r="F4304" s="577" t="s">
        <v>1351</v>
      </c>
      <c r="G4304" s="579" t="s">
        <v>1342</v>
      </c>
      <c r="H4304" s="574" t="s">
        <v>800</v>
      </c>
      <c r="I4304" s="523">
        <v>30</v>
      </c>
      <c r="J4304" s="523">
        <v>20501.593183239525</v>
      </c>
      <c r="K4304" s="575">
        <f t="shared" si="554"/>
        <v>615048</v>
      </c>
      <c r="L4304" s="591" t="s">
        <v>160</v>
      </c>
      <c r="M4304" s="591" t="s">
        <v>292</v>
      </c>
      <c r="N4304" s="525" t="str">
        <f>IF(AND('331-CT'!$E$7=TH!H4304,OR(L4304="331",M4304="331")),"331",IF(AND(OR(L4304="131",M4304="131"),H4304='131-CT'!$E$7),"131",""))</f>
        <v/>
      </c>
      <c r="O4304" s="525" t="str">
        <f>IF(AND($B4304&gt;='111'!$N$11,$B4304&lt;='111'!$O$11,OR($L4304=$O$7,$M4304=$O$7)),"x","")</f>
        <v/>
      </c>
      <c r="P4304" s="525" t="str">
        <f>IF(AND($L4304=$O$7,$B4304&lt;'111'!$N$11),"x","")</f>
        <v/>
      </c>
      <c r="Q4304" s="525" t="str">
        <f>IF(AND($M4304=$O$7,$B4304&lt;'111'!$N$11),"x","")</f>
        <v/>
      </c>
      <c r="R4304" s="525" t="str">
        <f>IF(ISERROR(FIND('112'!$M$9,G4304,1)),"",IF((AND(FIND('112'!$M$9,G4304,1)&gt;=1,$B4304&gt;='112'!$N$8,$B4304&lt;='112'!$O$8,OR($L4304='112'!$I$6,$M4304='112'!$I$6))),"x",""))</f>
        <v/>
      </c>
      <c r="S4304" s="525" t="str">
        <f>IF(ISERROR(FIND('112'!$M$9,G4304,1)),"",IF((AND(LEFT(G4304,2)=LEFT('112'!$M$9,2),B4304&lt;'112'!$N$8,$L4304='112'!$I$6)),"x",""))</f>
        <v/>
      </c>
      <c r="T4304" s="525" t="str">
        <f>IF(ISERROR(FIND('112'!$M$9,G4304,1)),"",IF((AND(RIGHT(G4304,2)=RIGHT('112'!$M$9,2),B4304&lt;'112'!$N$8,$M4304='112'!$I$6)),"x",""))</f>
        <v/>
      </c>
      <c r="U4304" s="525" t="str">
        <f>IF(AND(B4304&gt;='IN-NX'!$P$3,B4304&lt;='IN-NX'!$Q$3,'IN-NX'!$D$7=D4304,OR(LEFT(L4304,2)="15",AND(LEFT(M4304,2)&lt;&gt;"15",LEFT(M4304,2)&lt;&gt;"33"))),"x","")</f>
        <v/>
      </c>
      <c r="V4304" s="525" t="str">
        <f>IF(AND(OR(LEFT(TH!L4304,2)="15",LEFT(TH!M4304,2)="15"),'152-CT'!$J$8=TH!F4304),"x","")</f>
        <v/>
      </c>
      <c r="W4304" s="525" t="str">
        <f>IF(AND(OR(LEFT(TH!L4304,2)="15",LEFT(TH!M4304,2)="15"),TK!$E$7=TH!F4304),"x","")</f>
        <v/>
      </c>
      <c r="X4304" s="525" t="str">
        <f>IF(AND('341-CT'!$E$9=H4304,OR(LEFT(L4304,3)=$X$7,LEFT(M4304,3)=$X$7)),"x","")</f>
        <v/>
      </c>
      <c r="Y4304" s="525" t="str">
        <f>IF(OR(TH!L4304=TH!$Y$7,M4304=TH!$Y$7),"x","")</f>
        <v/>
      </c>
      <c r="Z4304" s="525" t="str">
        <f>IF(AND(B4304&lt;=NKC!$N$8,B4304&gt;=NKC!$M$8),"x","")</f>
        <v/>
      </c>
      <c r="AA4304" s="526"/>
      <c r="AB4304" s="527"/>
    </row>
    <row r="4305" spans="1:30" s="576" customFormat="1" ht="15.75" customHeight="1">
      <c r="A4305" s="517" t="str">
        <f>IF(B4305&lt;&gt;"",IF(AND(B4305&gt;=_TM1,B4305&lt;=_TM2,OR(TH!L4305="1111",TH!M4305="1111")),TH!D4305,""),"")</f>
        <v/>
      </c>
      <c r="B4305" s="518">
        <f t="shared" ref="B4305:B4382" si="555">IF(C4305&lt;&gt;"",MONTH(C4305),"")</f>
        <v>7</v>
      </c>
      <c r="C4305" s="571">
        <f t="shared" si="553"/>
        <v>42947</v>
      </c>
      <c r="D4305" s="571" t="s">
        <v>996</v>
      </c>
      <c r="E4305" s="571">
        <v>42947</v>
      </c>
      <c r="F4305" s="572"/>
      <c r="G4305" s="579"/>
      <c r="H4305" s="574" t="s">
        <v>800</v>
      </c>
      <c r="I4305" s="523"/>
      <c r="J4305" s="523"/>
      <c r="K4305" s="575">
        <f t="shared" si="554"/>
        <v>0</v>
      </c>
      <c r="L4305" s="591" t="s">
        <v>160</v>
      </c>
      <c r="M4305" s="591" t="s">
        <v>292</v>
      </c>
      <c r="N4305" s="525" t="str">
        <f>IF(AND('331-CT'!$E$7=TH!H4305,OR(L4305="331",M4305="331")),"331",IF(AND(OR(L4305="131",M4305="131"),H4305='131-CT'!$E$7),"131",""))</f>
        <v/>
      </c>
      <c r="O4305" s="525" t="str">
        <f>IF(AND($B4305&gt;='111'!$N$11,$B4305&lt;='111'!$O$11,OR($L4305=$O$7,$M4305=$O$7)),"x","")</f>
        <v/>
      </c>
      <c r="P4305" s="525" t="str">
        <f>IF(AND($L4305=$O$7,$B4305&lt;'111'!$N$11),"x","")</f>
        <v/>
      </c>
      <c r="Q4305" s="525" t="str">
        <f>IF(AND($M4305=$O$7,$B4305&lt;'111'!$N$11),"x","")</f>
        <v/>
      </c>
      <c r="R4305" s="525" t="str">
        <f>IF(ISERROR(FIND('112'!$M$9,G4305,1)),"",IF((AND(FIND('112'!$M$9,G4305,1)&gt;=1,$B4305&gt;='112'!$N$8,$B4305&lt;='112'!$O$8,OR($L4305='112'!$I$6,$M4305='112'!$I$6))),"x",""))</f>
        <v/>
      </c>
      <c r="S4305" s="525" t="str">
        <f>IF(ISERROR(FIND('112'!$M$9,G4305,1)),"",IF((AND(LEFT(G4305,2)=LEFT('112'!$M$9,2),B4305&lt;'112'!$N$8,$L4305='112'!$I$6)),"x",""))</f>
        <v/>
      </c>
      <c r="T4305" s="525" t="str">
        <f>IF(ISERROR(FIND('112'!$M$9,G4305,1)),"",IF((AND(RIGHT(G4305,2)=RIGHT('112'!$M$9,2),B4305&lt;'112'!$N$8,$M4305='112'!$I$6)),"x",""))</f>
        <v/>
      </c>
      <c r="U4305" s="525" t="str">
        <f>IF(AND(B4305&gt;='IN-NX'!$P$3,B4305&lt;='IN-NX'!$Q$3,'IN-NX'!$D$7=D4305,OR(LEFT(L4305,2)="15",AND(LEFT(M4305,2)&lt;&gt;"15",LEFT(M4305,2)&lt;&gt;"33"))),"x","")</f>
        <v/>
      </c>
      <c r="V4305" s="525" t="str">
        <f>IF(AND(OR(LEFT(TH!L4305,2)="15",LEFT(TH!M4305,2)="15"),'152-CT'!$J$8=TH!F4305),"x","")</f>
        <v/>
      </c>
      <c r="W4305" s="525" t="str">
        <f>IF(AND(OR(LEFT(TH!L4305,2)="15",LEFT(TH!M4305,2)="15"),TK!$E$7=TH!F4305),"x","")</f>
        <v/>
      </c>
      <c r="X4305" s="525" t="str">
        <f>IF(AND('341-CT'!$E$9=H4305,OR(LEFT(L4305,3)=$X$7,LEFT(M4305,3)=$X$7)),"x","")</f>
        <v/>
      </c>
      <c r="Y4305" s="525" t="str">
        <f>IF(OR(TH!L4305=TH!$Y$7,M4305=TH!$Y$7),"x","")</f>
        <v/>
      </c>
      <c r="Z4305" s="525" t="str">
        <f>IF(AND(B4305&lt;=NKC!$N$8,B4305&gt;=NKC!$M$8),"x","")</f>
        <v/>
      </c>
      <c r="AA4305" s="526"/>
      <c r="AB4305" s="527"/>
    </row>
    <row r="4306" spans="1:30" s="746" customFormat="1" ht="15.75" customHeight="1">
      <c r="A4306" s="517" t="str">
        <f>IF(B4306&lt;&gt;"",IF(AND(B4306&gt;=_TM1,B4306&lt;=_TM2,OR(TH!L4306="1111",TH!M4306="1111")),TH!D4306,""),"")</f>
        <v/>
      </c>
      <c r="B4306" s="735">
        <f t="shared" ref="B4306:B4319" si="556">IF(C4306&lt;&gt;"",MONTH(C4306),"")</f>
        <v>7</v>
      </c>
      <c r="C4306" s="736">
        <f>E4306</f>
        <v>42947</v>
      </c>
      <c r="D4306" s="737" t="s">
        <v>376</v>
      </c>
      <c r="E4306" s="736">
        <v>42947</v>
      </c>
      <c r="F4306" s="738" t="s">
        <v>1343</v>
      </c>
      <c r="G4306" s="739" t="s">
        <v>1341</v>
      </c>
      <c r="H4306" s="740" t="s">
        <v>1184</v>
      </c>
      <c r="I4306" s="741">
        <v>53</v>
      </c>
      <c r="J4306" s="741">
        <v>56629.684378208076</v>
      </c>
      <c r="K4306" s="742">
        <f t="shared" si="554"/>
        <v>3001373</v>
      </c>
      <c r="L4306" s="743" t="s">
        <v>292</v>
      </c>
      <c r="M4306" s="743" t="s">
        <v>158</v>
      </c>
      <c r="N4306" s="525" t="str">
        <f>IF(AND('331-CT'!$E$7=TH!H4306,OR(L4306="331",M4306="331")),"331",IF(AND(OR(L4306="131",M4306="131"),H4306='131-CT'!$E$7),"131",""))</f>
        <v/>
      </c>
      <c r="O4306" s="525" t="str">
        <f>IF(AND($B4306&gt;='111'!$N$11,$B4306&lt;='111'!$O$11,OR($L4306=$O$7,$M4306=$O$7)),"x","")</f>
        <v/>
      </c>
      <c r="P4306" s="525" t="str">
        <f>IF(AND($L4306=$O$7,$B4306&lt;'111'!$N$11),"x","")</f>
        <v/>
      </c>
      <c r="Q4306" s="525" t="str">
        <f>IF(AND($M4306=$O$7,$B4306&lt;'111'!$N$11),"x","")</f>
        <v/>
      </c>
      <c r="R4306" s="525" t="str">
        <f>IF(ISERROR(FIND('112'!$M$9,G4306,1)),"",IF((AND(FIND('112'!$M$9,G4306,1)&gt;=1,$B4306&gt;='112'!$N$8,$B4306&lt;='112'!$O$8,OR($L4306='112'!$I$6,$M4306='112'!$I$6))),"x",""))</f>
        <v/>
      </c>
      <c r="S4306" s="525" t="str">
        <f>IF(ISERROR(FIND('112'!$M$9,G4306,1)),"",IF((AND(LEFT(G4306,2)=LEFT('112'!$M$9,2),B4306&lt;'112'!$N$8,$L4306='112'!$I$6)),"x",""))</f>
        <v/>
      </c>
      <c r="T4306" s="525" t="str">
        <f>IF(ISERROR(FIND('112'!$M$9,G4306,1)),"",IF((AND(RIGHT(G4306,2)=RIGHT('112'!$M$9,2),B4306&lt;'112'!$N$8,$M4306='112'!$I$6)),"x",""))</f>
        <v/>
      </c>
      <c r="U4306" s="525" t="str">
        <f>IF(AND(B4306&gt;='IN-NX'!$P$3,B4306&lt;='IN-NX'!$Q$3,'IN-NX'!$D$7=D4306,OR(LEFT(L4306,2)="15",AND(LEFT(M4306,2)&lt;&gt;"15",LEFT(M4306,2)&lt;&gt;"33"))),"x","")</f>
        <v/>
      </c>
      <c r="V4306" s="525" t="str">
        <f>IF(AND(OR(LEFT(TH!L4306,2)="15",LEFT(TH!M4306,2)="15"),'152-CT'!$J$8=TH!F4306),"x","")</f>
        <v/>
      </c>
      <c r="W4306" s="525" t="str">
        <f>IF(AND(OR(LEFT(TH!L4306,2)="15",LEFT(TH!M4306,2)="15"),TK!$E$7=TH!F4306),"x","")</f>
        <v/>
      </c>
      <c r="X4306" s="525" t="str">
        <f>IF(AND('341-CT'!$E$9=H4306,OR(LEFT(L4306,3)=$X$7,LEFT(M4306,3)=$X$7)),"x","")</f>
        <v/>
      </c>
      <c r="Y4306" s="525" t="str">
        <f>IF(OR(TH!L4306=TH!$Y$7,M4306=TH!$Y$7),"x","")</f>
        <v/>
      </c>
      <c r="Z4306" s="525" t="str">
        <f>IF(AND(B4306&lt;=NKC!$N$8,B4306&gt;=NKC!$M$8),"x","")</f>
        <v/>
      </c>
      <c r="AA4306" s="744"/>
      <c r="AB4306" s="745"/>
    </row>
    <row r="4307" spans="1:30" s="746" customFormat="1" ht="15.75" customHeight="1">
      <c r="A4307" s="517" t="str">
        <f>IF(B4307&lt;&gt;"",IF(AND(B4307&gt;=_TM1,B4307&lt;=_TM2,OR(TH!L4307="1111",TH!M4307="1111")),TH!D4307,""),"")</f>
        <v/>
      </c>
      <c r="B4307" s="735">
        <f t="shared" si="556"/>
        <v>7</v>
      </c>
      <c r="C4307" s="736">
        <f t="shared" ref="C4307:C4319" si="557">E4307</f>
        <v>42947</v>
      </c>
      <c r="D4307" s="737" t="s">
        <v>376</v>
      </c>
      <c r="E4307" s="736">
        <v>42947</v>
      </c>
      <c r="F4307" s="738" t="s">
        <v>1344</v>
      </c>
      <c r="G4307" s="739" t="s">
        <v>1341</v>
      </c>
      <c r="H4307" s="740" t="s">
        <v>1184</v>
      </c>
      <c r="I4307" s="741">
        <v>53</v>
      </c>
      <c r="J4307" s="741">
        <v>57396.212680094868</v>
      </c>
      <c r="K4307" s="742">
        <f t="shared" si="554"/>
        <v>3041999</v>
      </c>
      <c r="L4307" s="743" t="s">
        <v>292</v>
      </c>
      <c r="M4307" s="743" t="s">
        <v>158</v>
      </c>
      <c r="N4307" s="525" t="str">
        <f>IF(AND('331-CT'!$E$7=TH!H4307,OR(L4307="331",M4307="331")),"331",IF(AND(OR(L4307="131",M4307="131"),H4307='131-CT'!$E$7),"131",""))</f>
        <v/>
      </c>
      <c r="O4307" s="525" t="str">
        <f>IF(AND($B4307&gt;='111'!$N$11,$B4307&lt;='111'!$O$11,OR($L4307=$O$7,$M4307=$O$7)),"x","")</f>
        <v/>
      </c>
      <c r="P4307" s="525" t="str">
        <f>IF(AND($L4307=$O$7,$B4307&lt;'111'!$N$11),"x","")</f>
        <v/>
      </c>
      <c r="Q4307" s="525" t="str">
        <f>IF(AND($M4307=$O$7,$B4307&lt;'111'!$N$11),"x","")</f>
        <v/>
      </c>
      <c r="R4307" s="525" t="str">
        <f>IF(ISERROR(FIND('112'!$M$9,G4307,1)),"",IF((AND(FIND('112'!$M$9,G4307,1)&gt;=1,$B4307&gt;='112'!$N$8,$B4307&lt;='112'!$O$8,OR($L4307='112'!$I$6,$M4307='112'!$I$6))),"x",""))</f>
        <v/>
      </c>
      <c r="S4307" s="525" t="str">
        <f>IF(ISERROR(FIND('112'!$M$9,G4307,1)),"",IF((AND(LEFT(G4307,2)=LEFT('112'!$M$9,2),B4307&lt;'112'!$N$8,$L4307='112'!$I$6)),"x",""))</f>
        <v/>
      </c>
      <c r="T4307" s="525" t="str">
        <f>IF(ISERROR(FIND('112'!$M$9,G4307,1)),"",IF((AND(RIGHT(G4307,2)=RIGHT('112'!$M$9,2),B4307&lt;'112'!$N$8,$M4307='112'!$I$6)),"x",""))</f>
        <v/>
      </c>
      <c r="U4307" s="525" t="str">
        <f>IF(AND(B4307&gt;='IN-NX'!$P$3,B4307&lt;='IN-NX'!$Q$3,'IN-NX'!$D$7=D4307,OR(LEFT(L4307,2)="15",AND(LEFT(M4307,2)&lt;&gt;"15",LEFT(M4307,2)&lt;&gt;"33"))),"x","")</f>
        <v/>
      </c>
      <c r="V4307" s="525" t="str">
        <f>IF(AND(OR(LEFT(TH!L4307,2)="15",LEFT(TH!M4307,2)="15"),'152-CT'!$J$8=TH!F4307),"x","")</f>
        <v/>
      </c>
      <c r="W4307" s="525" t="str">
        <f>IF(AND(OR(LEFT(TH!L4307,2)="15",LEFT(TH!M4307,2)="15"),TK!$E$7=TH!F4307),"x","")</f>
        <v/>
      </c>
      <c r="X4307" s="525" t="str">
        <f>IF(AND('341-CT'!$E$9=H4307,OR(LEFT(L4307,3)=$X$7,LEFT(M4307,3)=$X$7)),"x","")</f>
        <v/>
      </c>
      <c r="Y4307" s="525" t="str">
        <f>IF(OR(TH!L4307=TH!$Y$7,M4307=TH!$Y$7),"x","")</f>
        <v/>
      </c>
      <c r="Z4307" s="525" t="str">
        <f>IF(AND(B4307&lt;=NKC!$N$8,B4307&gt;=NKC!$M$8),"x","")</f>
        <v/>
      </c>
      <c r="AA4307" s="744"/>
      <c r="AB4307" s="745"/>
    </row>
    <row r="4308" spans="1:30" s="746" customFormat="1" ht="15.75" customHeight="1">
      <c r="A4308" s="517" t="str">
        <f>IF(B4308&lt;&gt;"",IF(AND(B4308&gt;=_TM1,B4308&lt;=_TM2,OR(TH!L4308="1111",TH!M4308="1111")),TH!D4308,""),"")</f>
        <v/>
      </c>
      <c r="B4308" s="735">
        <f t="shared" si="556"/>
        <v>7</v>
      </c>
      <c r="C4308" s="736">
        <f t="shared" si="557"/>
        <v>42947</v>
      </c>
      <c r="D4308" s="737" t="s">
        <v>376</v>
      </c>
      <c r="E4308" s="736">
        <v>42947</v>
      </c>
      <c r="F4308" s="747" t="s">
        <v>1345</v>
      </c>
      <c r="G4308" s="739" t="s">
        <v>1341</v>
      </c>
      <c r="H4308" s="740" t="s">
        <v>1184</v>
      </c>
      <c r="I4308" s="741">
        <v>54</v>
      </c>
      <c r="J4308" s="741">
        <v>46733.759849906193</v>
      </c>
      <c r="K4308" s="742">
        <f t="shared" si="554"/>
        <v>2523623</v>
      </c>
      <c r="L4308" s="743" t="s">
        <v>292</v>
      </c>
      <c r="M4308" s="743" t="s">
        <v>158</v>
      </c>
      <c r="N4308" s="525" t="str">
        <f>IF(AND('331-CT'!$E$7=TH!H4308,OR(L4308="331",M4308="331")),"331",IF(AND(OR(L4308="131",M4308="131"),H4308='131-CT'!$E$7),"131",""))</f>
        <v/>
      </c>
      <c r="O4308" s="525" t="str">
        <f>IF(AND($B4308&gt;='111'!$N$11,$B4308&lt;='111'!$O$11,OR($L4308=$O$7,$M4308=$O$7)),"x","")</f>
        <v/>
      </c>
      <c r="P4308" s="525" t="str">
        <f>IF(AND($L4308=$O$7,$B4308&lt;'111'!$N$11),"x","")</f>
        <v/>
      </c>
      <c r="Q4308" s="525" t="str">
        <f>IF(AND($M4308=$O$7,$B4308&lt;'111'!$N$11),"x","")</f>
        <v/>
      </c>
      <c r="R4308" s="525" t="str">
        <f>IF(ISERROR(FIND('112'!$M$9,G4308,1)),"",IF((AND(FIND('112'!$M$9,G4308,1)&gt;=1,$B4308&gt;='112'!$N$8,$B4308&lt;='112'!$O$8,OR($L4308='112'!$I$6,$M4308='112'!$I$6))),"x",""))</f>
        <v/>
      </c>
      <c r="S4308" s="525" t="str">
        <f>IF(ISERROR(FIND('112'!$M$9,G4308,1)),"",IF((AND(LEFT(G4308,2)=LEFT('112'!$M$9,2),B4308&lt;'112'!$N$8,$L4308='112'!$I$6)),"x",""))</f>
        <v/>
      </c>
      <c r="T4308" s="525" t="str">
        <f>IF(ISERROR(FIND('112'!$M$9,G4308,1)),"",IF((AND(RIGHT(G4308,2)=RIGHT('112'!$M$9,2),B4308&lt;'112'!$N$8,$M4308='112'!$I$6)),"x",""))</f>
        <v/>
      </c>
      <c r="U4308" s="525" t="str">
        <f>IF(AND(B4308&gt;='IN-NX'!$P$3,B4308&lt;='IN-NX'!$Q$3,'IN-NX'!$D$7=D4308,OR(LEFT(L4308,2)="15",AND(LEFT(M4308,2)&lt;&gt;"15",LEFT(M4308,2)&lt;&gt;"33"))),"x","")</f>
        <v/>
      </c>
      <c r="V4308" s="525" t="str">
        <f>IF(AND(OR(LEFT(TH!L4308,2)="15",LEFT(TH!M4308,2)="15"),'152-CT'!$J$8=TH!F4308),"x","")</f>
        <v/>
      </c>
      <c r="W4308" s="525" t="str">
        <f>IF(AND(OR(LEFT(TH!L4308,2)="15",LEFT(TH!M4308,2)="15"),TK!$E$7=TH!F4308),"x","")</f>
        <v/>
      </c>
      <c r="X4308" s="525" t="str">
        <f>IF(AND('341-CT'!$E$9=H4308,OR(LEFT(L4308,3)=$X$7,LEFT(M4308,3)=$X$7)),"x","")</f>
        <v/>
      </c>
      <c r="Y4308" s="525" t="str">
        <f>IF(OR(TH!L4308=TH!$Y$7,M4308=TH!$Y$7),"x","")</f>
        <v/>
      </c>
      <c r="Z4308" s="525" t="str">
        <f>IF(AND(B4308&lt;=NKC!$N$8,B4308&gt;=NKC!$M$8),"x","")</f>
        <v/>
      </c>
      <c r="AA4308" s="744"/>
      <c r="AB4308" s="745"/>
    </row>
    <row r="4309" spans="1:30" s="746" customFormat="1" ht="15.75" customHeight="1">
      <c r="A4309" s="517" t="str">
        <f>IF(B4309&lt;&gt;"",IF(AND(B4309&gt;=_TM1,B4309&lt;=_TM2,OR(TH!L4309="1111",TH!M4309="1111")),TH!D4309,""),"")</f>
        <v/>
      </c>
      <c r="B4309" s="735">
        <f t="shared" si="556"/>
        <v>7</v>
      </c>
      <c r="C4309" s="736">
        <f t="shared" si="557"/>
        <v>42947</v>
      </c>
      <c r="D4309" s="737" t="s">
        <v>376</v>
      </c>
      <c r="E4309" s="736">
        <v>42947</v>
      </c>
      <c r="F4309" s="747" t="s">
        <v>1346</v>
      </c>
      <c r="G4309" s="739" t="s">
        <v>1341</v>
      </c>
      <c r="H4309" s="740" t="s">
        <v>1184</v>
      </c>
      <c r="I4309" s="741">
        <v>54</v>
      </c>
      <c r="J4309" s="741">
        <v>51505.093183239522</v>
      </c>
      <c r="K4309" s="742">
        <f t="shared" si="554"/>
        <v>2781275</v>
      </c>
      <c r="L4309" s="743" t="s">
        <v>292</v>
      </c>
      <c r="M4309" s="743" t="s">
        <v>158</v>
      </c>
      <c r="N4309" s="525" t="str">
        <f>IF(AND('331-CT'!$E$7=TH!H4309,OR(L4309="331",M4309="331")),"331",IF(AND(OR(L4309="131",M4309="131"),H4309='131-CT'!$E$7),"131",""))</f>
        <v/>
      </c>
      <c r="O4309" s="525" t="str">
        <f>IF(AND($B4309&gt;='111'!$N$11,$B4309&lt;='111'!$O$11,OR($L4309=$O$7,$M4309=$O$7)),"x","")</f>
        <v/>
      </c>
      <c r="P4309" s="525" t="str">
        <f>IF(AND($L4309=$O$7,$B4309&lt;'111'!$N$11),"x","")</f>
        <v/>
      </c>
      <c r="Q4309" s="525" t="str">
        <f>IF(AND($M4309=$O$7,$B4309&lt;'111'!$N$11),"x","")</f>
        <v/>
      </c>
      <c r="R4309" s="525" t="str">
        <f>IF(ISERROR(FIND('112'!$M$9,G4309,1)),"",IF((AND(FIND('112'!$M$9,G4309,1)&gt;=1,$B4309&gt;='112'!$N$8,$B4309&lt;='112'!$O$8,OR($L4309='112'!$I$6,$M4309='112'!$I$6))),"x",""))</f>
        <v/>
      </c>
      <c r="S4309" s="525" t="str">
        <f>IF(ISERROR(FIND('112'!$M$9,G4309,1)),"",IF((AND(LEFT(G4309,2)=LEFT('112'!$M$9,2),B4309&lt;'112'!$N$8,$L4309='112'!$I$6)),"x",""))</f>
        <v/>
      </c>
      <c r="T4309" s="525" t="str">
        <f>IF(ISERROR(FIND('112'!$M$9,G4309,1)),"",IF((AND(RIGHT(G4309,2)=RIGHT('112'!$M$9,2),B4309&lt;'112'!$N$8,$M4309='112'!$I$6)),"x",""))</f>
        <v/>
      </c>
      <c r="U4309" s="525" t="str">
        <f>IF(AND(B4309&gt;='IN-NX'!$P$3,B4309&lt;='IN-NX'!$Q$3,'IN-NX'!$D$7=D4309,OR(LEFT(L4309,2)="15",AND(LEFT(M4309,2)&lt;&gt;"15",LEFT(M4309,2)&lt;&gt;"33"))),"x","")</f>
        <v/>
      </c>
      <c r="V4309" s="525" t="str">
        <f>IF(AND(OR(LEFT(TH!L4309,2)="15",LEFT(TH!M4309,2)="15"),'152-CT'!$J$8=TH!F4309),"x","")</f>
        <v/>
      </c>
      <c r="W4309" s="525" t="str">
        <f>IF(AND(OR(LEFT(TH!L4309,2)="15",LEFT(TH!M4309,2)="15"),TK!$E$7=TH!F4309),"x","")</f>
        <v/>
      </c>
      <c r="X4309" s="525" t="str">
        <f>IF(AND('341-CT'!$E$9=H4309,OR(LEFT(L4309,3)=$X$7,LEFT(M4309,3)=$X$7)),"x","")</f>
        <v/>
      </c>
      <c r="Y4309" s="525" t="str">
        <f>IF(OR(TH!L4309=TH!$Y$7,M4309=TH!$Y$7),"x","")</f>
        <v/>
      </c>
      <c r="Z4309" s="525" t="str">
        <f>IF(AND(B4309&lt;=NKC!$N$8,B4309&gt;=NKC!$M$8),"x","")</f>
        <v/>
      </c>
      <c r="AA4309" s="744"/>
      <c r="AB4309" s="745"/>
    </row>
    <row r="4310" spans="1:30" s="746" customFormat="1" ht="15.75" customHeight="1">
      <c r="A4310" s="517" t="str">
        <f>IF(B4310&lt;&gt;"",IF(AND(B4310&gt;=_TM1,B4310&lt;=_TM2,OR(TH!L4310="1111",TH!M4310="1111")),TH!D4310,""),"")</f>
        <v/>
      </c>
      <c r="B4310" s="735">
        <f t="shared" si="556"/>
        <v>7</v>
      </c>
      <c r="C4310" s="736">
        <f t="shared" si="557"/>
        <v>42947</v>
      </c>
      <c r="D4310" s="737" t="s">
        <v>376</v>
      </c>
      <c r="E4310" s="736">
        <v>42947</v>
      </c>
      <c r="F4310" s="748" t="s">
        <v>1330</v>
      </c>
      <c r="G4310" s="739" t="s">
        <v>1342</v>
      </c>
      <c r="H4310" s="740" t="s">
        <v>1184</v>
      </c>
      <c r="I4310" s="741">
        <v>144</v>
      </c>
      <c r="J4310" s="741">
        <v>32235.718183239529</v>
      </c>
      <c r="K4310" s="742">
        <f t="shared" si="554"/>
        <v>4641943</v>
      </c>
      <c r="L4310" s="743" t="s">
        <v>292</v>
      </c>
      <c r="M4310" s="743" t="s">
        <v>158</v>
      </c>
      <c r="N4310" s="525" t="str">
        <f>IF(AND('331-CT'!$E$7=TH!H4310,OR(L4310="331",M4310="331")),"331",IF(AND(OR(L4310="131",M4310="131"),H4310='131-CT'!$E$7),"131",""))</f>
        <v/>
      </c>
      <c r="O4310" s="525" t="str">
        <f>IF(AND($B4310&gt;='111'!$N$11,$B4310&lt;='111'!$O$11,OR($L4310=$O$7,$M4310=$O$7)),"x","")</f>
        <v/>
      </c>
      <c r="P4310" s="525" t="str">
        <f>IF(AND($L4310=$O$7,$B4310&lt;'111'!$N$11),"x","")</f>
        <v/>
      </c>
      <c r="Q4310" s="525" t="str">
        <f>IF(AND($M4310=$O$7,$B4310&lt;'111'!$N$11),"x","")</f>
        <v/>
      </c>
      <c r="R4310" s="525" t="str">
        <f>IF(ISERROR(FIND('112'!$M$9,G4310,1)),"",IF((AND(FIND('112'!$M$9,G4310,1)&gt;=1,$B4310&gt;='112'!$N$8,$B4310&lt;='112'!$O$8,OR($L4310='112'!$I$6,$M4310='112'!$I$6))),"x",""))</f>
        <v/>
      </c>
      <c r="S4310" s="525" t="str">
        <f>IF(ISERROR(FIND('112'!$M$9,G4310,1)),"",IF((AND(LEFT(G4310,2)=LEFT('112'!$M$9,2),B4310&lt;'112'!$N$8,$L4310='112'!$I$6)),"x",""))</f>
        <v/>
      </c>
      <c r="T4310" s="525" t="str">
        <f>IF(ISERROR(FIND('112'!$M$9,G4310,1)),"",IF((AND(RIGHT(G4310,2)=RIGHT('112'!$M$9,2),B4310&lt;'112'!$N$8,$M4310='112'!$I$6)),"x",""))</f>
        <v/>
      </c>
      <c r="U4310" s="525" t="str">
        <f>IF(AND(B4310&gt;='IN-NX'!$P$3,B4310&lt;='IN-NX'!$Q$3,'IN-NX'!$D$7=D4310,OR(LEFT(L4310,2)="15",AND(LEFT(M4310,2)&lt;&gt;"15",LEFT(M4310,2)&lt;&gt;"33"))),"x","")</f>
        <v/>
      </c>
      <c r="V4310" s="525" t="str">
        <f>IF(AND(OR(LEFT(TH!L4310,2)="15",LEFT(TH!M4310,2)="15"),'152-CT'!$J$8=TH!F4310),"x","")</f>
        <v/>
      </c>
      <c r="W4310" s="525" t="str">
        <f>IF(AND(OR(LEFT(TH!L4310,2)="15",LEFT(TH!M4310,2)="15"),TK!$E$7=TH!F4310),"x","")</f>
        <v/>
      </c>
      <c r="X4310" s="525" t="str">
        <f>IF(AND('341-CT'!$E$9=H4310,OR(LEFT(L4310,3)=$X$7,LEFT(M4310,3)=$X$7)),"x","")</f>
        <v/>
      </c>
      <c r="Y4310" s="525" t="str">
        <f>IF(OR(TH!L4310=TH!$Y$7,M4310=TH!$Y$7),"x","")</f>
        <v/>
      </c>
      <c r="Z4310" s="525" t="str">
        <f>IF(AND(B4310&lt;=NKC!$N$8,B4310&gt;=NKC!$M$8),"x","")</f>
        <v/>
      </c>
      <c r="AA4310" s="744"/>
      <c r="AB4310" s="745"/>
    </row>
    <row r="4311" spans="1:30" s="746" customFormat="1" ht="15.75" customHeight="1">
      <c r="A4311" s="517" t="str">
        <f>IF(B4311&lt;&gt;"",IF(AND(B4311&gt;=_TM1,B4311&lt;=_TM2,OR(TH!L4311="1111",TH!M4311="1111")),TH!D4311,""),"")</f>
        <v/>
      </c>
      <c r="B4311" s="735">
        <f t="shared" si="556"/>
        <v>7</v>
      </c>
      <c r="C4311" s="736">
        <f t="shared" si="557"/>
        <v>42947</v>
      </c>
      <c r="D4311" s="737" t="s">
        <v>376</v>
      </c>
      <c r="E4311" s="736">
        <v>42947</v>
      </c>
      <c r="F4311" s="748" t="s">
        <v>1347</v>
      </c>
      <c r="G4311" s="739" t="s">
        <v>1342</v>
      </c>
      <c r="H4311" s="740" t="s">
        <v>1184</v>
      </c>
      <c r="I4311" s="741">
        <v>96</v>
      </c>
      <c r="J4311" s="741">
        <v>32901.624433239522</v>
      </c>
      <c r="K4311" s="742">
        <f t="shared" si="554"/>
        <v>3158556</v>
      </c>
      <c r="L4311" s="743" t="s">
        <v>292</v>
      </c>
      <c r="M4311" s="743" t="s">
        <v>158</v>
      </c>
      <c r="N4311" s="525" t="str">
        <f>IF(AND('331-CT'!$E$7=TH!H4311,OR(L4311="331",M4311="331")),"331",IF(AND(OR(L4311="131",M4311="131"),H4311='131-CT'!$E$7),"131",""))</f>
        <v/>
      </c>
      <c r="O4311" s="525" t="str">
        <f>IF(AND($B4311&gt;='111'!$N$11,$B4311&lt;='111'!$O$11,OR($L4311=$O$7,$M4311=$O$7)),"x","")</f>
        <v/>
      </c>
      <c r="P4311" s="525" t="str">
        <f>IF(AND($L4311=$O$7,$B4311&lt;'111'!$N$11),"x","")</f>
        <v/>
      </c>
      <c r="Q4311" s="525" t="str">
        <f>IF(AND($M4311=$O$7,$B4311&lt;'111'!$N$11),"x","")</f>
        <v/>
      </c>
      <c r="R4311" s="525" t="str">
        <f>IF(ISERROR(FIND('112'!$M$9,G4311,1)),"",IF((AND(FIND('112'!$M$9,G4311,1)&gt;=1,$B4311&gt;='112'!$N$8,$B4311&lt;='112'!$O$8,OR($L4311='112'!$I$6,$M4311='112'!$I$6))),"x",""))</f>
        <v/>
      </c>
      <c r="S4311" s="525" t="str">
        <f>IF(ISERROR(FIND('112'!$M$9,G4311,1)),"",IF((AND(LEFT(G4311,2)=LEFT('112'!$M$9,2),B4311&lt;'112'!$N$8,$L4311='112'!$I$6)),"x",""))</f>
        <v/>
      </c>
      <c r="T4311" s="525" t="str">
        <f>IF(ISERROR(FIND('112'!$M$9,G4311,1)),"",IF((AND(RIGHT(G4311,2)=RIGHT('112'!$M$9,2),B4311&lt;'112'!$N$8,$M4311='112'!$I$6)),"x",""))</f>
        <v/>
      </c>
      <c r="U4311" s="525" t="str">
        <f>IF(AND(B4311&gt;='IN-NX'!$P$3,B4311&lt;='IN-NX'!$Q$3,'IN-NX'!$D$7=D4311,OR(LEFT(L4311,2)="15",AND(LEFT(M4311,2)&lt;&gt;"15",LEFT(M4311,2)&lt;&gt;"33"))),"x","")</f>
        <v/>
      </c>
      <c r="V4311" s="525" t="str">
        <f>IF(AND(OR(LEFT(TH!L4311,2)="15",LEFT(TH!M4311,2)="15"),'152-CT'!$J$8=TH!F4311),"x","")</f>
        <v/>
      </c>
      <c r="W4311" s="525" t="str">
        <f>IF(AND(OR(LEFT(TH!L4311,2)="15",LEFT(TH!M4311,2)="15"),TK!$E$7=TH!F4311),"x","")</f>
        <v/>
      </c>
      <c r="X4311" s="525" t="str">
        <f>IF(AND('341-CT'!$E$9=H4311,OR(LEFT(L4311,3)=$X$7,LEFT(M4311,3)=$X$7)),"x","")</f>
        <v/>
      </c>
      <c r="Y4311" s="525" t="str">
        <f>IF(OR(TH!L4311=TH!$Y$7,M4311=TH!$Y$7),"x","")</f>
        <v/>
      </c>
      <c r="Z4311" s="525" t="str">
        <f>IF(AND(B4311&lt;=NKC!$N$8,B4311&gt;=NKC!$M$8),"x","")</f>
        <v/>
      </c>
      <c r="AA4311" s="744"/>
      <c r="AB4311" s="745"/>
    </row>
    <row r="4312" spans="1:30" s="746" customFormat="1" ht="15.75" customHeight="1">
      <c r="A4312" s="517" t="str">
        <f>IF(B4312&lt;&gt;"",IF(AND(B4312&gt;=_TM1,B4312&lt;=_TM2,OR(TH!L4312="1111",TH!M4312="1111")),TH!D4312,""),"")</f>
        <v/>
      </c>
      <c r="B4312" s="735">
        <f t="shared" si="556"/>
        <v>7</v>
      </c>
      <c r="C4312" s="736">
        <f t="shared" si="557"/>
        <v>42947</v>
      </c>
      <c r="D4312" s="737" t="s">
        <v>376</v>
      </c>
      <c r="E4312" s="736">
        <v>42947</v>
      </c>
      <c r="F4312" s="748" t="s">
        <v>1331</v>
      </c>
      <c r="G4312" s="739" t="s">
        <v>1342</v>
      </c>
      <c r="H4312" s="740" t="s">
        <v>1184</v>
      </c>
      <c r="I4312" s="741">
        <v>96</v>
      </c>
      <c r="J4312" s="741">
        <v>39965.134849906193</v>
      </c>
      <c r="K4312" s="742">
        <f t="shared" si="554"/>
        <v>3836653</v>
      </c>
      <c r="L4312" s="743" t="s">
        <v>292</v>
      </c>
      <c r="M4312" s="743" t="s">
        <v>158</v>
      </c>
      <c r="N4312" s="525" t="str">
        <f>IF(AND('331-CT'!$E$7=TH!H4312,OR(L4312="331",M4312="331")),"331",IF(AND(OR(L4312="131",M4312="131"),H4312='131-CT'!$E$7),"131",""))</f>
        <v/>
      </c>
      <c r="O4312" s="525" t="str">
        <f>IF(AND($B4312&gt;='111'!$N$11,$B4312&lt;='111'!$O$11,OR($L4312=$O$7,$M4312=$O$7)),"x","")</f>
        <v/>
      </c>
      <c r="P4312" s="525" t="str">
        <f>IF(AND($L4312=$O$7,$B4312&lt;'111'!$N$11),"x","")</f>
        <v/>
      </c>
      <c r="Q4312" s="525" t="str">
        <f>IF(AND($M4312=$O$7,$B4312&lt;'111'!$N$11),"x","")</f>
        <v/>
      </c>
      <c r="R4312" s="525" t="str">
        <f>IF(ISERROR(FIND('112'!$M$9,G4312,1)),"",IF((AND(FIND('112'!$M$9,G4312,1)&gt;=1,$B4312&gt;='112'!$N$8,$B4312&lt;='112'!$O$8,OR($L4312='112'!$I$6,$M4312='112'!$I$6))),"x",""))</f>
        <v/>
      </c>
      <c r="S4312" s="525" t="str">
        <f>IF(ISERROR(FIND('112'!$M$9,G4312,1)),"",IF((AND(LEFT(G4312,2)=LEFT('112'!$M$9,2),B4312&lt;'112'!$N$8,$L4312='112'!$I$6)),"x",""))</f>
        <v/>
      </c>
      <c r="T4312" s="525" t="str">
        <f>IF(ISERROR(FIND('112'!$M$9,G4312,1)),"",IF((AND(RIGHT(G4312,2)=RIGHT('112'!$M$9,2),B4312&lt;'112'!$N$8,$M4312='112'!$I$6)),"x",""))</f>
        <v/>
      </c>
      <c r="U4312" s="525" t="str">
        <f>IF(AND(B4312&gt;='IN-NX'!$P$3,B4312&lt;='IN-NX'!$Q$3,'IN-NX'!$D$7=D4312,OR(LEFT(L4312,2)="15",AND(LEFT(M4312,2)&lt;&gt;"15",LEFT(M4312,2)&lt;&gt;"33"))),"x","")</f>
        <v/>
      </c>
      <c r="V4312" s="525" t="str">
        <f>IF(AND(OR(LEFT(TH!L4312,2)="15",LEFT(TH!M4312,2)="15"),'152-CT'!$J$8=TH!F4312),"x","")</f>
        <v/>
      </c>
      <c r="W4312" s="525" t="str">
        <f>IF(AND(OR(LEFT(TH!L4312,2)="15",LEFT(TH!M4312,2)="15"),TK!$E$7=TH!F4312),"x","")</f>
        <v/>
      </c>
      <c r="X4312" s="525" t="str">
        <f>IF(AND('341-CT'!$E$9=H4312,OR(LEFT(L4312,3)=$X$7,LEFT(M4312,3)=$X$7)),"x","")</f>
        <v/>
      </c>
      <c r="Y4312" s="525" t="str">
        <f>IF(OR(TH!L4312=TH!$Y$7,M4312=TH!$Y$7),"x","")</f>
        <v/>
      </c>
      <c r="Z4312" s="525" t="str">
        <f>IF(AND(B4312&lt;=NKC!$N$8,B4312&gt;=NKC!$M$8),"x","")</f>
        <v/>
      </c>
      <c r="AA4312" s="744"/>
      <c r="AB4312" s="745"/>
    </row>
    <row r="4313" spans="1:30" s="746" customFormat="1" ht="15.75" customHeight="1">
      <c r="A4313" s="517" t="str">
        <f>IF(B4313&lt;&gt;"",IF(AND(B4313&gt;=_TM1,B4313&lt;=_TM2,OR(TH!L4313="1111",TH!M4313="1111")),TH!D4313,""),"")</f>
        <v/>
      </c>
      <c r="B4313" s="735">
        <f t="shared" si="556"/>
        <v>7</v>
      </c>
      <c r="C4313" s="736">
        <f t="shared" si="557"/>
        <v>42947</v>
      </c>
      <c r="D4313" s="737" t="s">
        <v>376</v>
      </c>
      <c r="E4313" s="736">
        <v>42947</v>
      </c>
      <c r="F4313" s="748" t="s">
        <v>1332</v>
      </c>
      <c r="G4313" s="739" t="s">
        <v>1342</v>
      </c>
      <c r="H4313" s="740" t="s">
        <v>1184</v>
      </c>
      <c r="I4313" s="741">
        <v>144</v>
      </c>
      <c r="J4313" s="741">
        <v>51723.259849906193</v>
      </c>
      <c r="K4313" s="742">
        <f t="shared" si="554"/>
        <v>7448149</v>
      </c>
      <c r="L4313" s="743" t="s">
        <v>292</v>
      </c>
      <c r="M4313" s="743" t="s">
        <v>158</v>
      </c>
      <c r="N4313" s="525" t="str">
        <f>IF(AND('331-CT'!$E$7=TH!H4313,OR(L4313="331",M4313="331")),"331",IF(AND(OR(L4313="131",M4313="131"),H4313='131-CT'!$E$7),"131",""))</f>
        <v/>
      </c>
      <c r="O4313" s="525" t="str">
        <f>IF(AND($B4313&gt;='111'!$N$11,$B4313&lt;='111'!$O$11,OR($L4313=$O$7,$M4313=$O$7)),"x","")</f>
        <v/>
      </c>
      <c r="P4313" s="525" t="str">
        <f>IF(AND($L4313=$O$7,$B4313&lt;'111'!$N$11),"x","")</f>
        <v/>
      </c>
      <c r="Q4313" s="525" t="str">
        <f>IF(AND($M4313=$O$7,$B4313&lt;'111'!$N$11),"x","")</f>
        <v/>
      </c>
      <c r="R4313" s="525" t="str">
        <f>IF(ISERROR(FIND('112'!$M$9,G4313,1)),"",IF((AND(FIND('112'!$M$9,G4313,1)&gt;=1,$B4313&gt;='112'!$N$8,$B4313&lt;='112'!$O$8,OR($L4313='112'!$I$6,$M4313='112'!$I$6))),"x",""))</f>
        <v/>
      </c>
      <c r="S4313" s="525" t="str">
        <f>IF(ISERROR(FIND('112'!$M$9,G4313,1)),"",IF((AND(LEFT(G4313,2)=LEFT('112'!$M$9,2),B4313&lt;'112'!$N$8,$L4313='112'!$I$6)),"x",""))</f>
        <v/>
      </c>
      <c r="T4313" s="525" t="str">
        <f>IF(ISERROR(FIND('112'!$M$9,G4313,1)),"",IF((AND(RIGHT(G4313,2)=RIGHT('112'!$M$9,2),B4313&lt;'112'!$N$8,$M4313='112'!$I$6)),"x",""))</f>
        <v/>
      </c>
      <c r="U4313" s="525" t="str">
        <f>IF(AND(B4313&gt;='IN-NX'!$P$3,B4313&lt;='IN-NX'!$Q$3,'IN-NX'!$D$7=D4313,OR(LEFT(L4313,2)="15",AND(LEFT(M4313,2)&lt;&gt;"15",LEFT(M4313,2)&lt;&gt;"33"))),"x","")</f>
        <v/>
      </c>
      <c r="V4313" s="525" t="str">
        <f>IF(AND(OR(LEFT(TH!L4313,2)="15",LEFT(TH!M4313,2)="15"),'152-CT'!$J$8=TH!F4313),"x","")</f>
        <v/>
      </c>
      <c r="W4313" s="525" t="str">
        <f>IF(AND(OR(LEFT(TH!L4313,2)="15",LEFT(TH!M4313,2)="15"),TK!$E$7=TH!F4313),"x","")</f>
        <v/>
      </c>
      <c r="X4313" s="525" t="str">
        <f>IF(AND('341-CT'!$E$9=H4313,OR(LEFT(L4313,3)=$X$7,LEFT(M4313,3)=$X$7)),"x","")</f>
        <v/>
      </c>
      <c r="Y4313" s="525" t="str">
        <f>IF(OR(TH!L4313=TH!$Y$7,M4313=TH!$Y$7),"x","")</f>
        <v/>
      </c>
      <c r="Z4313" s="525" t="str">
        <f>IF(AND(B4313&lt;=NKC!$N$8,B4313&gt;=NKC!$M$8),"x","")</f>
        <v/>
      </c>
      <c r="AA4313" s="744"/>
      <c r="AB4313" s="745"/>
    </row>
    <row r="4314" spans="1:30" s="746" customFormat="1" ht="15.75" customHeight="1">
      <c r="A4314" s="517" t="str">
        <f>IF(B4314&lt;&gt;"",IF(AND(B4314&gt;=_TM1,B4314&lt;=_TM2,OR(TH!L4314="1111",TH!M4314="1111")),TH!D4314,""),"")</f>
        <v/>
      </c>
      <c r="B4314" s="735">
        <f t="shared" si="556"/>
        <v>7</v>
      </c>
      <c r="C4314" s="736">
        <f t="shared" si="557"/>
        <v>42947</v>
      </c>
      <c r="D4314" s="737" t="s">
        <v>376</v>
      </c>
      <c r="E4314" s="736">
        <v>42947</v>
      </c>
      <c r="F4314" s="748" t="s">
        <v>1335</v>
      </c>
      <c r="G4314" s="739" t="s">
        <v>1342</v>
      </c>
      <c r="H4314" s="740" t="s">
        <v>1184</v>
      </c>
      <c r="I4314" s="741">
        <v>144</v>
      </c>
      <c r="J4314" s="741">
        <v>43839.093183239529</v>
      </c>
      <c r="K4314" s="742">
        <f t="shared" si="554"/>
        <v>6312829</v>
      </c>
      <c r="L4314" s="743" t="s">
        <v>292</v>
      </c>
      <c r="M4314" s="743" t="s">
        <v>158</v>
      </c>
      <c r="N4314" s="525" t="str">
        <f>IF(AND('331-CT'!$E$7=TH!H4314,OR(L4314="331",M4314="331")),"331",IF(AND(OR(L4314="131",M4314="131"),H4314='131-CT'!$E$7),"131",""))</f>
        <v/>
      </c>
      <c r="O4314" s="525" t="str">
        <f>IF(AND($B4314&gt;='111'!$N$11,$B4314&lt;='111'!$O$11,OR($L4314=$O$7,$M4314=$O$7)),"x","")</f>
        <v/>
      </c>
      <c r="P4314" s="525" t="str">
        <f>IF(AND($L4314=$O$7,$B4314&lt;'111'!$N$11),"x","")</f>
        <v/>
      </c>
      <c r="Q4314" s="525" t="str">
        <f>IF(AND($M4314=$O$7,$B4314&lt;'111'!$N$11),"x","")</f>
        <v/>
      </c>
      <c r="R4314" s="525" t="str">
        <f>IF(ISERROR(FIND('112'!$M$9,G4314,1)),"",IF((AND(FIND('112'!$M$9,G4314,1)&gt;=1,$B4314&gt;='112'!$N$8,$B4314&lt;='112'!$O$8,OR($L4314='112'!$I$6,$M4314='112'!$I$6))),"x",""))</f>
        <v/>
      </c>
      <c r="S4314" s="525" t="str">
        <f>IF(ISERROR(FIND('112'!$M$9,G4314,1)),"",IF((AND(LEFT(G4314,2)=LEFT('112'!$M$9,2),B4314&lt;'112'!$N$8,$L4314='112'!$I$6)),"x",""))</f>
        <v/>
      </c>
      <c r="T4314" s="525" t="str">
        <f>IF(ISERROR(FIND('112'!$M$9,G4314,1)),"",IF((AND(RIGHT(G4314,2)=RIGHT('112'!$M$9,2),B4314&lt;'112'!$N$8,$M4314='112'!$I$6)),"x",""))</f>
        <v/>
      </c>
      <c r="U4314" s="525" t="str">
        <f>IF(AND(B4314&gt;='IN-NX'!$P$3,B4314&lt;='IN-NX'!$Q$3,'IN-NX'!$D$7=D4314,OR(LEFT(L4314,2)="15",AND(LEFT(M4314,2)&lt;&gt;"15",LEFT(M4314,2)&lt;&gt;"33"))),"x","")</f>
        <v/>
      </c>
      <c r="V4314" s="525" t="str">
        <f>IF(AND(OR(LEFT(TH!L4314,2)="15",LEFT(TH!M4314,2)="15"),'152-CT'!$J$8=TH!F4314),"x","")</f>
        <v/>
      </c>
      <c r="W4314" s="525" t="str">
        <f>IF(AND(OR(LEFT(TH!L4314,2)="15",LEFT(TH!M4314,2)="15"),TK!$E$7=TH!F4314),"x","")</f>
        <v/>
      </c>
      <c r="X4314" s="525" t="str">
        <f>IF(AND('341-CT'!$E$9=H4314,OR(LEFT(L4314,3)=$X$7,LEFT(M4314,3)=$X$7)),"x","")</f>
        <v/>
      </c>
      <c r="Y4314" s="525" t="str">
        <f>IF(OR(TH!L4314=TH!$Y$7,M4314=TH!$Y$7),"x","")</f>
        <v/>
      </c>
      <c r="Z4314" s="525" t="str">
        <f>IF(AND(B4314&lt;=NKC!$N$8,B4314&gt;=NKC!$M$8),"x","")</f>
        <v/>
      </c>
      <c r="AA4314" s="744"/>
      <c r="AB4314" s="745"/>
    </row>
    <row r="4315" spans="1:30" s="746" customFormat="1" ht="15.75" customHeight="1">
      <c r="A4315" s="517" t="str">
        <f>IF(B4315&lt;&gt;"",IF(AND(B4315&gt;=_TM1,B4315&lt;=_TM2,OR(TH!L4315="1111",TH!M4315="1111")),TH!D4315,""),"")</f>
        <v/>
      </c>
      <c r="B4315" s="735">
        <f t="shared" si="556"/>
        <v>7</v>
      </c>
      <c r="C4315" s="736">
        <f t="shared" si="557"/>
        <v>42947</v>
      </c>
      <c r="D4315" s="737" t="s">
        <v>376</v>
      </c>
      <c r="E4315" s="736">
        <v>42947</v>
      </c>
      <c r="F4315" s="748" t="s">
        <v>1337</v>
      </c>
      <c r="G4315" s="739" t="s">
        <v>1342</v>
      </c>
      <c r="H4315" s="740" t="s">
        <v>1184</v>
      </c>
      <c r="I4315" s="741">
        <v>128</v>
      </c>
      <c r="J4315" s="741">
        <v>40427.291099906193</v>
      </c>
      <c r="K4315" s="742">
        <f t="shared" si="554"/>
        <v>5174693</v>
      </c>
      <c r="L4315" s="743" t="s">
        <v>292</v>
      </c>
      <c r="M4315" s="743" t="s">
        <v>158</v>
      </c>
      <c r="N4315" s="525" t="str">
        <f>IF(AND('331-CT'!$E$7=TH!H4315,OR(L4315="331",M4315="331")),"331",IF(AND(OR(L4315="131",M4315="131"),H4315='131-CT'!$E$7),"131",""))</f>
        <v/>
      </c>
      <c r="O4315" s="525" t="str">
        <f>IF(AND($B4315&gt;='111'!$N$11,$B4315&lt;='111'!$O$11,OR($L4315=$O$7,$M4315=$O$7)),"x","")</f>
        <v/>
      </c>
      <c r="P4315" s="525" t="str">
        <f>IF(AND($L4315=$O$7,$B4315&lt;'111'!$N$11),"x","")</f>
        <v/>
      </c>
      <c r="Q4315" s="525" t="str">
        <f>IF(AND($M4315=$O$7,$B4315&lt;'111'!$N$11),"x","")</f>
        <v/>
      </c>
      <c r="R4315" s="525" t="str">
        <f>IF(ISERROR(FIND('112'!$M$9,G4315,1)),"",IF((AND(FIND('112'!$M$9,G4315,1)&gt;=1,$B4315&gt;='112'!$N$8,$B4315&lt;='112'!$O$8,OR($L4315='112'!$I$6,$M4315='112'!$I$6))),"x",""))</f>
        <v/>
      </c>
      <c r="S4315" s="525" t="str">
        <f>IF(ISERROR(FIND('112'!$M$9,G4315,1)),"",IF((AND(LEFT(G4315,2)=LEFT('112'!$M$9,2),B4315&lt;'112'!$N$8,$L4315='112'!$I$6)),"x",""))</f>
        <v/>
      </c>
      <c r="T4315" s="525" t="str">
        <f>IF(ISERROR(FIND('112'!$M$9,G4315,1)),"",IF((AND(RIGHT(G4315,2)=RIGHT('112'!$M$9,2),B4315&lt;'112'!$N$8,$M4315='112'!$I$6)),"x",""))</f>
        <v/>
      </c>
      <c r="U4315" s="525" t="str">
        <f>IF(AND(B4315&gt;='IN-NX'!$P$3,B4315&lt;='IN-NX'!$Q$3,'IN-NX'!$D$7=D4315,OR(LEFT(L4315,2)="15",AND(LEFT(M4315,2)&lt;&gt;"15",LEFT(M4315,2)&lt;&gt;"33"))),"x","")</f>
        <v/>
      </c>
      <c r="V4315" s="525" t="str">
        <f>IF(AND(OR(LEFT(TH!L4315,2)="15",LEFT(TH!M4315,2)="15"),'152-CT'!$J$8=TH!F4315),"x","")</f>
        <v/>
      </c>
      <c r="W4315" s="525" t="str">
        <f>IF(AND(OR(LEFT(TH!L4315,2)="15",LEFT(TH!M4315,2)="15"),TK!$E$7=TH!F4315),"x","")</f>
        <v/>
      </c>
      <c r="X4315" s="525" t="str">
        <f>IF(AND('341-CT'!$E$9=H4315,OR(LEFT(L4315,3)=$X$7,LEFT(M4315,3)=$X$7)),"x","")</f>
        <v/>
      </c>
      <c r="Y4315" s="525" t="str">
        <f>IF(OR(TH!L4315=TH!$Y$7,M4315=TH!$Y$7),"x","")</f>
        <v/>
      </c>
      <c r="Z4315" s="525" t="str">
        <f>IF(AND(B4315&lt;=NKC!$N$8,B4315&gt;=NKC!$M$8),"x","")</f>
        <v/>
      </c>
      <c r="AA4315" s="744"/>
      <c r="AB4315" s="745"/>
    </row>
    <row r="4316" spans="1:30" s="746" customFormat="1" ht="15.75" customHeight="1">
      <c r="A4316" s="517" t="str">
        <f>IF(B4316&lt;&gt;"",IF(AND(B4316&gt;=_TM1,B4316&lt;=_TM2,OR(TH!L4316="1111",TH!M4316="1111")),TH!D4316,""),"")</f>
        <v/>
      </c>
      <c r="B4316" s="735">
        <f t="shared" si="556"/>
        <v>7</v>
      </c>
      <c r="C4316" s="736">
        <f t="shared" si="557"/>
        <v>42947</v>
      </c>
      <c r="D4316" s="737" t="s">
        <v>376</v>
      </c>
      <c r="E4316" s="736">
        <v>42947</v>
      </c>
      <c r="F4316" s="748" t="s">
        <v>1348</v>
      </c>
      <c r="G4316" s="739" t="s">
        <v>1342</v>
      </c>
      <c r="H4316" s="740" t="s">
        <v>1184</v>
      </c>
      <c r="I4316" s="741">
        <v>20</v>
      </c>
      <c r="J4316" s="741">
        <v>33360.759849906186</v>
      </c>
      <c r="K4316" s="742">
        <f t="shared" ref="K4316:K4319" si="558">ROUND(I4316*J4316,0)</f>
        <v>667215</v>
      </c>
      <c r="L4316" s="743" t="s">
        <v>292</v>
      </c>
      <c r="M4316" s="743" t="s">
        <v>158</v>
      </c>
      <c r="N4316" s="525" t="str">
        <f>IF(AND('331-CT'!$E$7=TH!H4316,OR(L4316="331",M4316="331")),"331",IF(AND(OR(L4316="131",M4316="131"),H4316='131-CT'!$E$7),"131",""))</f>
        <v/>
      </c>
      <c r="O4316" s="525" t="str">
        <f>IF(AND($B4316&gt;='111'!$N$11,$B4316&lt;='111'!$O$11,OR($L4316=$O$7,$M4316=$O$7)),"x","")</f>
        <v/>
      </c>
      <c r="P4316" s="525" t="str">
        <f>IF(AND($L4316=$O$7,$B4316&lt;'111'!$N$11),"x","")</f>
        <v/>
      </c>
      <c r="Q4316" s="525" t="str">
        <f>IF(AND($M4316=$O$7,$B4316&lt;'111'!$N$11),"x","")</f>
        <v/>
      </c>
      <c r="R4316" s="525" t="str">
        <f>IF(ISERROR(FIND('112'!$M$9,G4316,1)),"",IF((AND(FIND('112'!$M$9,G4316,1)&gt;=1,$B4316&gt;='112'!$N$8,$B4316&lt;='112'!$O$8,OR($L4316='112'!$I$6,$M4316='112'!$I$6))),"x",""))</f>
        <v/>
      </c>
      <c r="S4316" s="525" t="str">
        <f>IF(ISERROR(FIND('112'!$M$9,G4316,1)),"",IF((AND(LEFT(G4316,2)=LEFT('112'!$M$9,2),B4316&lt;'112'!$N$8,$L4316='112'!$I$6)),"x",""))</f>
        <v/>
      </c>
      <c r="T4316" s="525" t="str">
        <f>IF(ISERROR(FIND('112'!$M$9,G4316,1)),"",IF((AND(RIGHT(G4316,2)=RIGHT('112'!$M$9,2),B4316&lt;'112'!$N$8,$M4316='112'!$I$6)),"x",""))</f>
        <v/>
      </c>
      <c r="U4316" s="525" t="str">
        <f>IF(AND(B4316&gt;='IN-NX'!$P$3,B4316&lt;='IN-NX'!$Q$3,'IN-NX'!$D$7=D4316,OR(LEFT(L4316,2)="15",AND(LEFT(M4316,2)&lt;&gt;"15",LEFT(M4316,2)&lt;&gt;"33"))),"x","")</f>
        <v/>
      </c>
      <c r="V4316" s="525" t="str">
        <f>IF(AND(OR(LEFT(TH!L4316,2)="15",LEFT(TH!M4316,2)="15"),'152-CT'!$J$8=TH!F4316),"x","")</f>
        <v/>
      </c>
      <c r="W4316" s="525" t="str">
        <f>IF(AND(OR(LEFT(TH!L4316,2)="15",LEFT(TH!M4316,2)="15"),TK!$E$7=TH!F4316),"x","")</f>
        <v/>
      </c>
      <c r="X4316" s="525" t="str">
        <f>IF(AND('341-CT'!$E$9=H4316,OR(LEFT(L4316,3)=$X$7,LEFT(M4316,3)=$X$7)),"x","")</f>
        <v/>
      </c>
      <c r="Y4316" s="525" t="str">
        <f>IF(OR(TH!L4316=TH!$Y$7,M4316=TH!$Y$7),"x","")</f>
        <v/>
      </c>
      <c r="Z4316" s="525" t="str">
        <f>IF(AND(B4316&lt;=NKC!$N$8,B4316&gt;=NKC!$M$8),"x","")</f>
        <v/>
      </c>
      <c r="AA4316" s="744"/>
      <c r="AB4316" s="745"/>
    </row>
    <row r="4317" spans="1:30" s="746" customFormat="1" ht="15.75" customHeight="1">
      <c r="A4317" s="517" t="str">
        <f>IF(B4317&lt;&gt;"",IF(AND(B4317&gt;=_TM1,B4317&lt;=_TM2,OR(TH!L4317="1111",TH!M4317="1111")),TH!D4317,""),"")</f>
        <v/>
      </c>
      <c r="B4317" s="735">
        <f t="shared" si="556"/>
        <v>7</v>
      </c>
      <c r="C4317" s="736">
        <f t="shared" si="557"/>
        <v>42947</v>
      </c>
      <c r="D4317" s="737" t="s">
        <v>376</v>
      </c>
      <c r="E4317" s="736">
        <v>42947</v>
      </c>
      <c r="F4317" s="738" t="s">
        <v>1349</v>
      </c>
      <c r="G4317" s="739" t="s">
        <v>1342</v>
      </c>
      <c r="H4317" s="740" t="s">
        <v>1184</v>
      </c>
      <c r="I4317" s="741">
        <v>20</v>
      </c>
      <c r="J4317" s="741">
        <v>33360.759849906186</v>
      </c>
      <c r="K4317" s="742">
        <f t="shared" si="558"/>
        <v>667215</v>
      </c>
      <c r="L4317" s="743" t="s">
        <v>292</v>
      </c>
      <c r="M4317" s="743" t="s">
        <v>158</v>
      </c>
      <c r="N4317" s="525" t="str">
        <f>IF(AND('331-CT'!$E$7=TH!H4317,OR(L4317="331",M4317="331")),"331",IF(AND(OR(L4317="131",M4317="131"),H4317='131-CT'!$E$7),"131",""))</f>
        <v/>
      </c>
      <c r="O4317" s="525" t="str">
        <f>IF(AND($B4317&gt;='111'!$N$11,$B4317&lt;='111'!$O$11,OR($L4317=$O$7,$M4317=$O$7)),"x","")</f>
        <v/>
      </c>
      <c r="P4317" s="525" t="str">
        <f>IF(AND($L4317=$O$7,$B4317&lt;'111'!$N$11),"x","")</f>
        <v/>
      </c>
      <c r="Q4317" s="525" t="str">
        <f>IF(AND($M4317=$O$7,$B4317&lt;'111'!$N$11),"x","")</f>
        <v/>
      </c>
      <c r="R4317" s="525" t="str">
        <f>IF(ISERROR(FIND('112'!$M$9,G4317,1)),"",IF((AND(FIND('112'!$M$9,G4317,1)&gt;=1,$B4317&gt;='112'!$N$8,$B4317&lt;='112'!$O$8,OR($L4317='112'!$I$6,$M4317='112'!$I$6))),"x",""))</f>
        <v/>
      </c>
      <c r="S4317" s="525" t="str">
        <f>IF(ISERROR(FIND('112'!$M$9,G4317,1)),"",IF((AND(LEFT(G4317,2)=LEFT('112'!$M$9,2),B4317&lt;'112'!$N$8,$L4317='112'!$I$6)),"x",""))</f>
        <v/>
      </c>
      <c r="T4317" s="525" t="str">
        <f>IF(ISERROR(FIND('112'!$M$9,G4317,1)),"",IF((AND(RIGHT(G4317,2)=RIGHT('112'!$M$9,2),B4317&lt;'112'!$N$8,$M4317='112'!$I$6)),"x",""))</f>
        <v/>
      </c>
      <c r="U4317" s="525" t="str">
        <f>IF(AND(B4317&gt;='IN-NX'!$P$3,B4317&lt;='IN-NX'!$Q$3,'IN-NX'!$D$7=D4317,OR(LEFT(L4317,2)="15",AND(LEFT(M4317,2)&lt;&gt;"15",LEFT(M4317,2)&lt;&gt;"33"))),"x","")</f>
        <v/>
      </c>
      <c r="V4317" s="525" t="str">
        <f>IF(AND(OR(LEFT(TH!L4317,2)="15",LEFT(TH!M4317,2)="15"),'152-CT'!$J$8=TH!F4317),"x","")</f>
        <v/>
      </c>
      <c r="W4317" s="525" t="str">
        <f>IF(AND(OR(LEFT(TH!L4317,2)="15",LEFT(TH!M4317,2)="15"),TK!$E$7=TH!F4317),"x","")</f>
        <v/>
      </c>
      <c r="X4317" s="525" t="str">
        <f>IF(AND('341-CT'!$E$9=H4317,OR(LEFT(L4317,3)=$X$7,LEFT(M4317,3)=$X$7)),"x","")</f>
        <v/>
      </c>
      <c r="Y4317" s="525" t="str">
        <f>IF(OR(TH!L4317=TH!$Y$7,M4317=TH!$Y$7),"x","")</f>
        <v/>
      </c>
      <c r="Z4317" s="525" t="str">
        <f>IF(AND(B4317&lt;=NKC!$N$8,B4317&gt;=NKC!$M$8),"x","")</f>
        <v/>
      </c>
      <c r="AA4317" s="744"/>
      <c r="AB4317" s="745"/>
      <c r="AD4317" s="745"/>
    </row>
    <row r="4318" spans="1:30" s="746" customFormat="1" ht="15.75" customHeight="1">
      <c r="A4318" s="517" t="str">
        <f>IF(B4318&lt;&gt;"",IF(AND(B4318&gt;=_TM1,B4318&lt;=_TM2,OR(TH!L4318="1111",TH!M4318="1111")),TH!D4318,""),"")</f>
        <v/>
      </c>
      <c r="B4318" s="735">
        <f t="shared" si="556"/>
        <v>7</v>
      </c>
      <c r="C4318" s="736">
        <f t="shared" si="557"/>
        <v>42947</v>
      </c>
      <c r="D4318" s="737" t="s">
        <v>376</v>
      </c>
      <c r="E4318" s="736">
        <v>42947</v>
      </c>
      <c r="F4318" s="748" t="s">
        <v>1350</v>
      </c>
      <c r="G4318" s="749" t="s">
        <v>1342</v>
      </c>
      <c r="H4318" s="740" t="s">
        <v>1184</v>
      </c>
      <c r="I4318" s="741">
        <v>30</v>
      </c>
      <c r="J4318" s="741">
        <v>19221.926516572861</v>
      </c>
      <c r="K4318" s="742">
        <f t="shared" si="558"/>
        <v>576658</v>
      </c>
      <c r="L4318" s="743" t="s">
        <v>292</v>
      </c>
      <c r="M4318" s="743" t="s">
        <v>158</v>
      </c>
      <c r="N4318" s="525" t="str">
        <f>IF(AND('331-CT'!$E$7=TH!H4318,OR(L4318="331",M4318="331")),"331",IF(AND(OR(L4318="131",M4318="131"),H4318='131-CT'!$E$7),"131",""))</f>
        <v/>
      </c>
      <c r="O4318" s="525" t="str">
        <f>IF(AND($B4318&gt;='111'!$N$11,$B4318&lt;='111'!$O$11,OR($L4318=$O$7,$M4318=$O$7)),"x","")</f>
        <v/>
      </c>
      <c r="P4318" s="525" t="str">
        <f>IF(AND($L4318=$O$7,$B4318&lt;'111'!$N$11),"x","")</f>
        <v/>
      </c>
      <c r="Q4318" s="525" t="str">
        <f>IF(AND($M4318=$O$7,$B4318&lt;'111'!$N$11),"x","")</f>
        <v/>
      </c>
      <c r="R4318" s="525" t="str">
        <f>IF(ISERROR(FIND('112'!$M$9,G4318,1)),"",IF((AND(FIND('112'!$M$9,G4318,1)&gt;=1,$B4318&gt;='112'!$N$8,$B4318&lt;='112'!$O$8,OR($L4318='112'!$I$6,$M4318='112'!$I$6))),"x",""))</f>
        <v/>
      </c>
      <c r="S4318" s="525" t="str">
        <f>IF(ISERROR(FIND('112'!$M$9,G4318,1)),"",IF((AND(LEFT(G4318,2)=LEFT('112'!$M$9,2),B4318&lt;'112'!$N$8,$L4318='112'!$I$6)),"x",""))</f>
        <v/>
      </c>
      <c r="T4318" s="525" t="str">
        <f>IF(ISERROR(FIND('112'!$M$9,G4318,1)),"",IF((AND(RIGHT(G4318,2)=RIGHT('112'!$M$9,2),B4318&lt;'112'!$N$8,$M4318='112'!$I$6)),"x",""))</f>
        <v/>
      </c>
      <c r="U4318" s="525" t="str">
        <f>IF(AND(B4318&gt;='IN-NX'!$P$3,B4318&lt;='IN-NX'!$Q$3,'IN-NX'!$D$7=D4318,OR(LEFT(L4318,2)="15",AND(LEFT(M4318,2)&lt;&gt;"15",LEFT(M4318,2)&lt;&gt;"33"))),"x","")</f>
        <v/>
      </c>
      <c r="V4318" s="525" t="str">
        <f>IF(AND(OR(LEFT(TH!L4318,2)="15",LEFT(TH!M4318,2)="15"),'152-CT'!$J$8=TH!F4318),"x","")</f>
        <v/>
      </c>
      <c r="W4318" s="525" t="str">
        <f>IF(AND(OR(LEFT(TH!L4318,2)="15",LEFT(TH!M4318,2)="15"),TK!$E$7=TH!F4318),"x","")</f>
        <v/>
      </c>
      <c r="X4318" s="525" t="str">
        <f>IF(AND('341-CT'!$E$9=H4318,OR(LEFT(L4318,3)=$X$7,LEFT(M4318,3)=$X$7)),"x","")</f>
        <v/>
      </c>
      <c r="Y4318" s="525" t="str">
        <f>IF(OR(TH!L4318=TH!$Y$7,M4318=TH!$Y$7),"x","")</f>
        <v/>
      </c>
      <c r="Z4318" s="525" t="str">
        <f>IF(AND(B4318&lt;=NKC!$N$8,B4318&gt;=NKC!$M$8),"x","")</f>
        <v/>
      </c>
      <c r="AA4318" s="744"/>
      <c r="AB4318" s="745"/>
    </row>
    <row r="4319" spans="1:30" s="746" customFormat="1" ht="15.75" customHeight="1">
      <c r="A4319" s="517" t="str">
        <f>IF(B4319&lt;&gt;"",IF(AND(B4319&gt;=_TM1,B4319&lt;=_TM2,OR(TH!L4319="1111",TH!M4319="1111")),TH!D4319,""),"")</f>
        <v/>
      </c>
      <c r="B4319" s="735">
        <f t="shared" si="556"/>
        <v>7</v>
      </c>
      <c r="C4319" s="736">
        <f t="shared" si="557"/>
        <v>42947</v>
      </c>
      <c r="D4319" s="737" t="s">
        <v>376</v>
      </c>
      <c r="E4319" s="736">
        <v>42947</v>
      </c>
      <c r="F4319" s="748" t="s">
        <v>1351</v>
      </c>
      <c r="G4319" s="749" t="s">
        <v>1342</v>
      </c>
      <c r="H4319" s="740" t="s">
        <v>1184</v>
      </c>
      <c r="I4319" s="741">
        <v>30</v>
      </c>
      <c r="J4319" s="741">
        <v>20501.593183239525</v>
      </c>
      <c r="K4319" s="742">
        <f t="shared" si="558"/>
        <v>615048</v>
      </c>
      <c r="L4319" s="743" t="s">
        <v>292</v>
      </c>
      <c r="M4319" s="743" t="s">
        <v>158</v>
      </c>
      <c r="N4319" s="525" t="str">
        <f>IF(AND('331-CT'!$E$7=TH!H4319,OR(L4319="331",M4319="331")),"331",IF(AND(OR(L4319="131",M4319="131"),H4319='131-CT'!$E$7),"131",""))</f>
        <v/>
      </c>
      <c r="O4319" s="525" t="str">
        <f>IF(AND($B4319&gt;='111'!$N$11,$B4319&lt;='111'!$O$11,OR($L4319=$O$7,$M4319=$O$7)),"x","")</f>
        <v/>
      </c>
      <c r="P4319" s="525" t="str">
        <f>IF(AND($L4319=$O$7,$B4319&lt;'111'!$N$11),"x","")</f>
        <v/>
      </c>
      <c r="Q4319" s="525" t="str">
        <f>IF(AND($M4319=$O$7,$B4319&lt;'111'!$N$11),"x","")</f>
        <v/>
      </c>
      <c r="R4319" s="525" t="str">
        <f>IF(ISERROR(FIND('112'!$M$9,G4319,1)),"",IF((AND(FIND('112'!$M$9,G4319,1)&gt;=1,$B4319&gt;='112'!$N$8,$B4319&lt;='112'!$O$8,OR($L4319='112'!$I$6,$M4319='112'!$I$6))),"x",""))</f>
        <v/>
      </c>
      <c r="S4319" s="525" t="str">
        <f>IF(ISERROR(FIND('112'!$M$9,G4319,1)),"",IF((AND(LEFT(G4319,2)=LEFT('112'!$M$9,2),B4319&lt;'112'!$N$8,$L4319='112'!$I$6)),"x",""))</f>
        <v/>
      </c>
      <c r="T4319" s="525" t="str">
        <f>IF(ISERROR(FIND('112'!$M$9,G4319,1)),"",IF((AND(RIGHT(G4319,2)=RIGHT('112'!$M$9,2),B4319&lt;'112'!$N$8,$M4319='112'!$I$6)),"x",""))</f>
        <v/>
      </c>
      <c r="U4319" s="525" t="str">
        <f>IF(AND(B4319&gt;='IN-NX'!$P$3,B4319&lt;='IN-NX'!$Q$3,'IN-NX'!$D$7=D4319,OR(LEFT(L4319,2)="15",AND(LEFT(M4319,2)&lt;&gt;"15",LEFT(M4319,2)&lt;&gt;"33"))),"x","")</f>
        <v/>
      </c>
      <c r="V4319" s="525" t="str">
        <f>IF(AND(OR(LEFT(TH!L4319,2)="15",LEFT(TH!M4319,2)="15"),'152-CT'!$J$8=TH!F4319),"x","")</f>
        <v/>
      </c>
      <c r="W4319" s="525" t="str">
        <f>IF(AND(OR(LEFT(TH!L4319,2)="15",LEFT(TH!M4319,2)="15"),TK!$E$7=TH!F4319),"x","")</f>
        <v/>
      </c>
      <c r="X4319" s="525" t="str">
        <f>IF(AND('341-CT'!$E$9=H4319,OR(LEFT(L4319,3)=$X$7,LEFT(M4319,3)=$X$7)),"x","")</f>
        <v/>
      </c>
      <c r="Y4319" s="525" t="str">
        <f>IF(OR(TH!L4319=TH!$Y$7,M4319=TH!$Y$7),"x","")</f>
        <v/>
      </c>
      <c r="Z4319" s="525" t="str">
        <f>IF(AND(B4319&lt;=NKC!$N$8,B4319&gt;=NKC!$M$8),"x","")</f>
        <v/>
      </c>
      <c r="AA4319" s="744"/>
      <c r="AB4319" s="745"/>
    </row>
    <row r="4320" spans="1:30" s="689" customFormat="1" ht="15.75" customHeight="1">
      <c r="A4320" s="517" t="str">
        <f>IF(B4320&lt;&gt;"",IF(AND(B4320&gt;=_TM1,B4320&lt;=_TM2,OR(TH!L4320="1111",TH!M4320="1111")),TH!D4320,""),"")</f>
        <v/>
      </c>
      <c r="B4320" s="685">
        <f t="shared" si="555"/>
        <v>7</v>
      </c>
      <c r="C4320" s="671">
        <f>E4320</f>
        <v>42926</v>
      </c>
      <c r="D4320" s="718" t="s">
        <v>997</v>
      </c>
      <c r="E4320" s="671">
        <v>42926</v>
      </c>
      <c r="F4320" s="673" t="s">
        <v>418</v>
      </c>
      <c r="G4320" s="674" t="s">
        <v>1341</v>
      </c>
      <c r="H4320" s="675" t="s">
        <v>801</v>
      </c>
      <c r="I4320" s="676">
        <v>68</v>
      </c>
      <c r="J4320" s="676">
        <v>40626</v>
      </c>
      <c r="K4320" s="677">
        <f>ROUND(I4320*J4320,0)</f>
        <v>2762568</v>
      </c>
      <c r="L4320" s="678" t="s">
        <v>158</v>
      </c>
      <c r="M4320" s="678" t="s">
        <v>292</v>
      </c>
      <c r="N4320" s="525" t="str">
        <f>IF(AND('331-CT'!$E$7=TH!H4320,OR(L4320="331",M4320="331")),"331",IF(AND(OR(L4320="131",M4320="131"),H4320='131-CT'!$E$7),"131",""))</f>
        <v/>
      </c>
      <c r="O4320" s="525" t="str">
        <f>IF(AND($B4320&gt;='111'!$N$11,$B4320&lt;='111'!$O$11,OR($L4320=$O$7,$M4320=$O$7)),"x","")</f>
        <v/>
      </c>
      <c r="P4320" s="525" t="str">
        <f>IF(AND($L4320=$O$7,$B4320&lt;'111'!$N$11),"x","")</f>
        <v/>
      </c>
      <c r="Q4320" s="525" t="str">
        <f>IF(AND($M4320=$O$7,$B4320&lt;'111'!$N$11),"x","")</f>
        <v/>
      </c>
      <c r="R4320" s="525" t="str">
        <f>IF(ISERROR(FIND('112'!$M$9,G4320,1)),"",IF((AND(FIND('112'!$M$9,G4320,1)&gt;=1,$B4320&gt;='112'!$N$8,$B4320&lt;='112'!$O$8,OR($L4320='112'!$I$6,$M4320='112'!$I$6))),"x",""))</f>
        <v/>
      </c>
      <c r="S4320" s="525" t="str">
        <f>IF(ISERROR(FIND('112'!$M$9,G4320,1)),"",IF((AND(LEFT(G4320,2)=LEFT('112'!$M$9,2),B4320&lt;'112'!$N$8,$L4320='112'!$I$6)),"x",""))</f>
        <v/>
      </c>
      <c r="T4320" s="525" t="str">
        <f>IF(ISERROR(FIND('112'!$M$9,G4320,1)),"",IF((AND(RIGHT(G4320,2)=RIGHT('112'!$M$9,2),B4320&lt;'112'!$N$8,$M4320='112'!$I$6)),"x",""))</f>
        <v/>
      </c>
      <c r="U4320" s="525" t="str">
        <f>IF(AND(B4320&gt;='IN-NX'!$P$3,B4320&lt;='IN-NX'!$Q$3,'IN-NX'!$D$7=D4320,OR(LEFT(L4320,2)="15",AND(LEFT(M4320,2)&lt;&gt;"15",LEFT(M4320,2)&lt;&gt;"33"))),"x","")</f>
        <v/>
      </c>
      <c r="V4320" s="525" t="str">
        <f>IF(AND(OR(LEFT(TH!L4320,2)="15",LEFT(TH!M4320,2)="15"),'152-CT'!$J$8=TH!F4320),"x","")</f>
        <v/>
      </c>
      <c r="W4320" s="525" t="str">
        <f>IF(AND(OR(LEFT(TH!L4320,2)="15",LEFT(TH!M4320,2)="15"),TK!$E$7=TH!F4320),"x","")</f>
        <v/>
      </c>
      <c r="X4320" s="525" t="str">
        <f>IF(AND('341-CT'!$E$9=H4320,OR(LEFT(L4320,3)=$X$7,LEFT(M4320,3)=$X$7)),"x","")</f>
        <v/>
      </c>
      <c r="Y4320" s="525" t="str">
        <f>IF(OR(TH!L4320=TH!$Y$7,M4320=TH!$Y$7),"x","")</f>
        <v/>
      </c>
      <c r="Z4320" s="525" t="str">
        <f>IF(AND(B4320&lt;=NKC!$N$8,B4320&gt;=NKC!$M$8),"x","")</f>
        <v/>
      </c>
      <c r="AA4320" s="687"/>
      <c r="AB4320" s="688"/>
    </row>
    <row r="4321" spans="1:30" s="689" customFormat="1" ht="15.75" customHeight="1">
      <c r="A4321" s="517" t="str">
        <f>IF(B4321&lt;&gt;"",IF(AND(B4321&gt;=_TM1,B4321&lt;=_TM2,OR(TH!L4321="1111",TH!M4321="1111")),TH!D4321,""),"")</f>
        <v/>
      </c>
      <c r="B4321" s="685">
        <f t="shared" si="555"/>
        <v>7</v>
      </c>
      <c r="C4321" s="671">
        <f t="shared" ref="C4321:C4333" si="559">E4321</f>
        <v>42927</v>
      </c>
      <c r="D4321" s="718" t="s">
        <v>997</v>
      </c>
      <c r="E4321" s="671">
        <v>42927</v>
      </c>
      <c r="F4321" s="673" t="s">
        <v>418</v>
      </c>
      <c r="G4321" s="674" t="s">
        <v>1341</v>
      </c>
      <c r="H4321" s="675" t="s">
        <v>801</v>
      </c>
      <c r="I4321" s="676">
        <v>69</v>
      </c>
      <c r="J4321" s="676">
        <v>40626</v>
      </c>
      <c r="K4321" s="677">
        <f>ROUND(I4321*J4321,0)</f>
        <v>2803194</v>
      </c>
      <c r="L4321" s="678" t="s">
        <v>158</v>
      </c>
      <c r="M4321" s="678" t="s">
        <v>292</v>
      </c>
      <c r="N4321" s="525" t="str">
        <f>IF(AND('331-CT'!$E$7=TH!H4321,OR(L4321="331",M4321="331")),"331",IF(AND(OR(L4321="131",M4321="131"),H4321='131-CT'!$E$7),"131",""))</f>
        <v/>
      </c>
      <c r="O4321" s="525" t="str">
        <f>IF(AND($B4321&gt;='111'!$N$11,$B4321&lt;='111'!$O$11,OR($L4321=$O$7,$M4321=$O$7)),"x","")</f>
        <v/>
      </c>
      <c r="P4321" s="525" t="str">
        <f>IF(AND($L4321=$O$7,$B4321&lt;'111'!$N$11),"x","")</f>
        <v/>
      </c>
      <c r="Q4321" s="525" t="str">
        <f>IF(AND($M4321=$O$7,$B4321&lt;'111'!$N$11),"x","")</f>
        <v/>
      </c>
      <c r="R4321" s="525" t="str">
        <f>IF(ISERROR(FIND('112'!$M$9,G4321,1)),"",IF((AND(FIND('112'!$M$9,G4321,1)&gt;=1,$B4321&gt;='112'!$N$8,$B4321&lt;='112'!$O$8,OR($L4321='112'!$I$6,$M4321='112'!$I$6))),"x",""))</f>
        <v/>
      </c>
      <c r="S4321" s="525" t="str">
        <f>IF(ISERROR(FIND('112'!$M$9,G4321,1)),"",IF((AND(LEFT(G4321,2)=LEFT('112'!$M$9,2),B4321&lt;'112'!$N$8,$L4321='112'!$I$6)),"x",""))</f>
        <v/>
      </c>
      <c r="T4321" s="525" t="str">
        <f>IF(ISERROR(FIND('112'!$M$9,G4321,1)),"",IF((AND(RIGHT(G4321,2)=RIGHT('112'!$M$9,2),B4321&lt;'112'!$N$8,$M4321='112'!$I$6)),"x",""))</f>
        <v/>
      </c>
      <c r="U4321" s="525" t="str">
        <f>IF(AND(B4321&gt;='IN-NX'!$P$3,B4321&lt;='IN-NX'!$Q$3,'IN-NX'!$D$7=D4321,OR(LEFT(L4321,2)="15",AND(LEFT(M4321,2)&lt;&gt;"15",LEFT(M4321,2)&lt;&gt;"33"))),"x","")</f>
        <v/>
      </c>
      <c r="V4321" s="525" t="str">
        <f>IF(AND(OR(LEFT(TH!L4321,2)="15",LEFT(TH!M4321,2)="15"),'152-CT'!$J$8=TH!F4321),"x","")</f>
        <v/>
      </c>
      <c r="W4321" s="525" t="str">
        <f>IF(AND(OR(LEFT(TH!L4321,2)="15",LEFT(TH!M4321,2)="15"),TK!$E$7=TH!F4321),"x","")</f>
        <v/>
      </c>
      <c r="X4321" s="525" t="str">
        <f>IF(AND('341-CT'!$E$9=H4321,OR(LEFT(L4321,3)=$X$7,LEFT(M4321,3)=$X$7)),"x","")</f>
        <v/>
      </c>
      <c r="Y4321" s="525" t="str">
        <f>IF(OR(TH!L4321=TH!$Y$7,M4321=TH!$Y$7),"x","")</f>
        <v/>
      </c>
      <c r="Z4321" s="525" t="str">
        <f>IF(AND(B4321&lt;=NKC!$N$8,B4321&gt;=NKC!$M$8),"x","")</f>
        <v/>
      </c>
      <c r="AA4321" s="687"/>
      <c r="AB4321" s="688"/>
    </row>
    <row r="4322" spans="1:30" s="689" customFormat="1" ht="15.75" customHeight="1">
      <c r="A4322" s="517" t="str">
        <f>IF(B4322&lt;&gt;"",IF(AND(B4322&gt;=_TM1,B4322&lt;=_TM2,OR(TH!L4322="1111",TH!M4322="1111")),TH!D4322,""),"")</f>
        <v/>
      </c>
      <c r="B4322" s="685">
        <f t="shared" si="555"/>
        <v>7</v>
      </c>
      <c r="C4322" s="671">
        <f t="shared" si="559"/>
        <v>42928</v>
      </c>
      <c r="D4322" s="718" t="s">
        <v>997</v>
      </c>
      <c r="E4322" s="671">
        <v>42928</v>
      </c>
      <c r="F4322" s="720" t="s">
        <v>335</v>
      </c>
      <c r="G4322" s="674" t="s">
        <v>1341</v>
      </c>
      <c r="H4322" s="675" t="s">
        <v>801</v>
      </c>
      <c r="I4322" s="676">
        <v>46</v>
      </c>
      <c r="J4322" s="676">
        <v>49572</v>
      </c>
      <c r="K4322" s="677">
        <f t="shared" ref="K4322:K4336" si="560">ROUND(I4322*J4322,0)</f>
        <v>2280312</v>
      </c>
      <c r="L4322" s="678" t="s">
        <v>158</v>
      </c>
      <c r="M4322" s="678" t="s">
        <v>292</v>
      </c>
      <c r="N4322" s="525" t="str">
        <f>IF(AND('331-CT'!$E$7=TH!H4322,OR(L4322="331",M4322="331")),"331",IF(AND(OR(L4322="131",M4322="131"),H4322='131-CT'!$E$7),"131",""))</f>
        <v/>
      </c>
      <c r="O4322" s="525" t="str">
        <f>IF(AND($B4322&gt;='111'!$N$11,$B4322&lt;='111'!$O$11,OR($L4322=$O$7,$M4322=$O$7)),"x","")</f>
        <v/>
      </c>
      <c r="P4322" s="525" t="str">
        <f>IF(AND($L4322=$O$7,$B4322&lt;'111'!$N$11),"x","")</f>
        <v/>
      </c>
      <c r="Q4322" s="525" t="str">
        <f>IF(AND($M4322=$O$7,$B4322&lt;'111'!$N$11),"x","")</f>
        <v/>
      </c>
      <c r="R4322" s="525" t="str">
        <f>IF(ISERROR(FIND('112'!$M$9,G4322,1)),"",IF((AND(FIND('112'!$M$9,G4322,1)&gt;=1,$B4322&gt;='112'!$N$8,$B4322&lt;='112'!$O$8,OR($L4322='112'!$I$6,$M4322='112'!$I$6))),"x",""))</f>
        <v/>
      </c>
      <c r="S4322" s="525" t="str">
        <f>IF(ISERROR(FIND('112'!$M$9,G4322,1)),"",IF((AND(LEFT(G4322,2)=LEFT('112'!$M$9,2),B4322&lt;'112'!$N$8,$L4322='112'!$I$6)),"x",""))</f>
        <v/>
      </c>
      <c r="T4322" s="525" t="str">
        <f>IF(ISERROR(FIND('112'!$M$9,G4322,1)),"",IF((AND(RIGHT(G4322,2)=RIGHT('112'!$M$9,2),B4322&lt;'112'!$N$8,$M4322='112'!$I$6)),"x",""))</f>
        <v/>
      </c>
      <c r="U4322" s="525" t="str">
        <f>IF(AND(B4322&gt;='IN-NX'!$P$3,B4322&lt;='IN-NX'!$Q$3,'IN-NX'!$D$7=D4322,OR(LEFT(L4322,2)="15",AND(LEFT(M4322,2)&lt;&gt;"15",LEFT(M4322,2)&lt;&gt;"33"))),"x","")</f>
        <v/>
      </c>
      <c r="V4322" s="525" t="str">
        <f>IF(AND(OR(LEFT(TH!L4322,2)="15",LEFT(TH!M4322,2)="15"),'152-CT'!$J$8=TH!F4322),"x","")</f>
        <v/>
      </c>
      <c r="W4322" s="525" t="str">
        <f>IF(AND(OR(LEFT(TH!L4322,2)="15",LEFT(TH!M4322,2)="15"),TK!$E$7=TH!F4322),"x","")</f>
        <v/>
      </c>
      <c r="X4322" s="525" t="str">
        <f>IF(AND('341-CT'!$E$9=H4322,OR(LEFT(L4322,3)=$X$7,LEFT(M4322,3)=$X$7)),"x","")</f>
        <v/>
      </c>
      <c r="Y4322" s="525" t="str">
        <f>IF(OR(TH!L4322=TH!$Y$7,M4322=TH!$Y$7),"x","")</f>
        <v/>
      </c>
      <c r="Z4322" s="525" t="str">
        <f>IF(AND(B4322&lt;=NKC!$N$8,B4322&gt;=NKC!$M$8),"x","")</f>
        <v/>
      </c>
      <c r="AA4322" s="687"/>
      <c r="AB4322" s="688"/>
    </row>
    <row r="4323" spans="1:30" s="689" customFormat="1" ht="15.75" customHeight="1">
      <c r="A4323" s="517" t="str">
        <f>IF(B4323&lt;&gt;"",IF(AND(B4323&gt;=_TM1,B4323&lt;=_TM2,OR(TH!L4323="1111",TH!M4323="1111")),TH!D4323,""),"")</f>
        <v/>
      </c>
      <c r="B4323" s="685">
        <f t="shared" si="555"/>
        <v>7</v>
      </c>
      <c r="C4323" s="671">
        <f t="shared" si="559"/>
        <v>42929</v>
      </c>
      <c r="D4323" s="718" t="s">
        <v>997</v>
      </c>
      <c r="E4323" s="671">
        <v>42929</v>
      </c>
      <c r="F4323" s="720" t="s">
        <v>347</v>
      </c>
      <c r="G4323" s="674" t="s">
        <v>1341</v>
      </c>
      <c r="H4323" s="675" t="s">
        <v>801</v>
      </c>
      <c r="I4323" s="676">
        <v>52</v>
      </c>
      <c r="J4323" s="676">
        <v>48807</v>
      </c>
      <c r="K4323" s="677">
        <f t="shared" si="560"/>
        <v>2537964</v>
      </c>
      <c r="L4323" s="678" t="s">
        <v>158</v>
      </c>
      <c r="M4323" s="678" t="s">
        <v>292</v>
      </c>
      <c r="N4323" s="525" t="str">
        <f>IF(AND('331-CT'!$E$7=TH!H4323,OR(L4323="331",M4323="331")),"331",IF(AND(OR(L4323="131",M4323="131"),H4323='131-CT'!$E$7),"131",""))</f>
        <v/>
      </c>
      <c r="O4323" s="525" t="str">
        <f>IF(AND($B4323&gt;='111'!$N$11,$B4323&lt;='111'!$O$11,OR($L4323=$O$7,$M4323=$O$7)),"x","")</f>
        <v/>
      </c>
      <c r="P4323" s="525" t="str">
        <f>IF(AND($L4323=$O$7,$B4323&lt;'111'!$N$11),"x","")</f>
        <v/>
      </c>
      <c r="Q4323" s="525" t="str">
        <f>IF(AND($M4323=$O$7,$B4323&lt;'111'!$N$11),"x","")</f>
        <v/>
      </c>
      <c r="R4323" s="525" t="str">
        <f>IF(ISERROR(FIND('112'!$M$9,G4323,1)),"",IF((AND(FIND('112'!$M$9,G4323,1)&gt;=1,$B4323&gt;='112'!$N$8,$B4323&lt;='112'!$O$8,OR($L4323='112'!$I$6,$M4323='112'!$I$6))),"x",""))</f>
        <v/>
      </c>
      <c r="S4323" s="525" t="str">
        <f>IF(ISERROR(FIND('112'!$M$9,G4323,1)),"",IF((AND(LEFT(G4323,2)=LEFT('112'!$M$9,2),B4323&lt;'112'!$N$8,$L4323='112'!$I$6)),"x",""))</f>
        <v/>
      </c>
      <c r="T4323" s="525" t="str">
        <f>IF(ISERROR(FIND('112'!$M$9,G4323,1)),"",IF((AND(RIGHT(G4323,2)=RIGHT('112'!$M$9,2),B4323&lt;'112'!$N$8,$M4323='112'!$I$6)),"x",""))</f>
        <v/>
      </c>
      <c r="U4323" s="525" t="str">
        <f>IF(AND(B4323&gt;='IN-NX'!$P$3,B4323&lt;='IN-NX'!$Q$3,'IN-NX'!$D$7=D4323,OR(LEFT(L4323,2)="15",AND(LEFT(M4323,2)&lt;&gt;"15",LEFT(M4323,2)&lt;&gt;"33"))),"x","")</f>
        <v/>
      </c>
      <c r="V4323" s="525" t="str">
        <f>IF(AND(OR(LEFT(TH!L4323,2)="15",LEFT(TH!M4323,2)="15"),'152-CT'!$J$8=TH!F4323),"x","")</f>
        <v/>
      </c>
      <c r="W4323" s="525" t="str">
        <f>IF(AND(OR(LEFT(TH!L4323,2)="15",LEFT(TH!M4323,2)="15"),TK!$E$7=TH!F4323),"x","")</f>
        <v/>
      </c>
      <c r="X4323" s="525" t="str">
        <f>IF(AND('341-CT'!$E$9=H4323,OR(LEFT(L4323,3)=$X$7,LEFT(M4323,3)=$X$7)),"x","")</f>
        <v/>
      </c>
      <c r="Y4323" s="525" t="str">
        <f>IF(OR(TH!L4323=TH!$Y$7,M4323=TH!$Y$7),"x","")</f>
        <v/>
      </c>
      <c r="Z4323" s="525" t="str">
        <f>IF(AND(B4323&lt;=NKC!$N$8,B4323&gt;=NKC!$M$8),"x","")</f>
        <v/>
      </c>
      <c r="AA4323" s="687"/>
      <c r="AB4323" s="688"/>
    </row>
    <row r="4324" spans="1:30" s="689" customFormat="1" ht="15.75" customHeight="1">
      <c r="A4324" s="517" t="str">
        <f>IF(B4324&lt;&gt;"",IF(AND(B4324&gt;=_TM1,B4324&lt;=_TM2,OR(TH!L4324="1111",TH!M4324="1111")),TH!D4324,""),"")</f>
        <v/>
      </c>
      <c r="B4324" s="685">
        <f t="shared" si="555"/>
        <v>7</v>
      </c>
      <c r="C4324" s="671">
        <f t="shared" si="559"/>
        <v>42930</v>
      </c>
      <c r="D4324" s="718" t="s">
        <v>997</v>
      </c>
      <c r="E4324" s="671">
        <v>42930</v>
      </c>
      <c r="F4324" s="719" t="s">
        <v>336</v>
      </c>
      <c r="G4324" s="674" t="s">
        <v>1342</v>
      </c>
      <c r="H4324" s="675" t="s">
        <v>801</v>
      </c>
      <c r="I4324" s="676">
        <v>74</v>
      </c>
      <c r="J4324" s="676">
        <v>53961</v>
      </c>
      <c r="K4324" s="677">
        <f t="shared" si="560"/>
        <v>3993114</v>
      </c>
      <c r="L4324" s="678" t="s">
        <v>158</v>
      </c>
      <c r="M4324" s="678" t="s">
        <v>292</v>
      </c>
      <c r="N4324" s="525" t="str">
        <f>IF(AND('331-CT'!$E$7=TH!H4324,OR(L4324="331",M4324="331")),"331",IF(AND(OR(L4324="131",M4324="131"),H4324='131-CT'!$E$7),"131",""))</f>
        <v/>
      </c>
      <c r="O4324" s="525" t="str">
        <f>IF(AND($B4324&gt;='111'!$N$11,$B4324&lt;='111'!$O$11,OR($L4324=$O$7,$M4324=$O$7)),"x","")</f>
        <v/>
      </c>
      <c r="P4324" s="525" t="str">
        <f>IF(AND($L4324=$O$7,$B4324&lt;'111'!$N$11),"x","")</f>
        <v/>
      </c>
      <c r="Q4324" s="525" t="str">
        <f>IF(AND($M4324=$O$7,$B4324&lt;'111'!$N$11),"x","")</f>
        <v/>
      </c>
      <c r="R4324" s="525" t="str">
        <f>IF(ISERROR(FIND('112'!$M$9,G4324,1)),"",IF((AND(FIND('112'!$M$9,G4324,1)&gt;=1,$B4324&gt;='112'!$N$8,$B4324&lt;='112'!$O$8,OR($L4324='112'!$I$6,$M4324='112'!$I$6))),"x",""))</f>
        <v/>
      </c>
      <c r="S4324" s="525" t="str">
        <f>IF(ISERROR(FIND('112'!$M$9,G4324,1)),"",IF((AND(LEFT(G4324,2)=LEFT('112'!$M$9,2),B4324&lt;'112'!$N$8,$L4324='112'!$I$6)),"x",""))</f>
        <v/>
      </c>
      <c r="T4324" s="525" t="str">
        <f>IF(ISERROR(FIND('112'!$M$9,G4324,1)),"",IF((AND(RIGHT(G4324,2)=RIGHT('112'!$M$9,2),B4324&lt;'112'!$N$8,$M4324='112'!$I$6)),"x",""))</f>
        <v/>
      </c>
      <c r="U4324" s="525" t="str">
        <f>IF(AND(B4324&gt;='IN-NX'!$P$3,B4324&lt;='IN-NX'!$Q$3,'IN-NX'!$D$7=D4324,OR(LEFT(L4324,2)="15",AND(LEFT(M4324,2)&lt;&gt;"15",LEFT(M4324,2)&lt;&gt;"33"))),"x","")</f>
        <v/>
      </c>
      <c r="V4324" s="525" t="str">
        <f>IF(AND(OR(LEFT(TH!L4324,2)="15",LEFT(TH!M4324,2)="15"),'152-CT'!$J$8=TH!F4324),"x","")</f>
        <v/>
      </c>
      <c r="W4324" s="525" t="str">
        <f>IF(AND(OR(LEFT(TH!L4324,2)="15",LEFT(TH!M4324,2)="15"),TK!$E$7=TH!F4324),"x","")</f>
        <v/>
      </c>
      <c r="X4324" s="525" t="str">
        <f>IF(AND('341-CT'!$E$9=H4324,OR(LEFT(L4324,3)=$X$7,LEFT(M4324,3)=$X$7)),"x","")</f>
        <v/>
      </c>
      <c r="Y4324" s="525" t="str">
        <f>IF(OR(TH!L4324=TH!$Y$7,M4324=TH!$Y$7),"x","")</f>
        <v/>
      </c>
      <c r="Z4324" s="525" t="str">
        <f>IF(AND(B4324&lt;=NKC!$N$8,B4324&gt;=NKC!$M$8),"x","")</f>
        <v/>
      </c>
      <c r="AA4324" s="687"/>
      <c r="AB4324" s="688"/>
    </row>
    <row r="4325" spans="1:30" s="689" customFormat="1" ht="15.75" customHeight="1">
      <c r="A4325" s="517" t="str">
        <f>IF(B4325&lt;&gt;"",IF(AND(B4325&gt;=_TM1,B4325&lt;=_TM2,OR(TH!L4325="1111",TH!M4325="1111")),TH!D4325,""),"")</f>
        <v/>
      </c>
      <c r="B4325" s="685">
        <f t="shared" si="555"/>
        <v>7</v>
      </c>
      <c r="C4325" s="671">
        <f t="shared" si="559"/>
        <v>42931</v>
      </c>
      <c r="D4325" s="718" t="s">
        <v>997</v>
      </c>
      <c r="E4325" s="671">
        <v>42931</v>
      </c>
      <c r="F4325" s="719" t="s">
        <v>360</v>
      </c>
      <c r="G4325" s="674" t="s">
        <v>1342</v>
      </c>
      <c r="H4325" s="675" t="s">
        <v>801</v>
      </c>
      <c r="I4325" s="676">
        <v>151</v>
      </c>
      <c r="J4325" s="676">
        <v>18053</v>
      </c>
      <c r="K4325" s="677">
        <f t="shared" si="560"/>
        <v>2726003</v>
      </c>
      <c r="L4325" s="678" t="s">
        <v>158</v>
      </c>
      <c r="M4325" s="678" t="s">
        <v>292</v>
      </c>
      <c r="N4325" s="525" t="str">
        <f>IF(AND('331-CT'!$E$7=TH!H4325,OR(L4325="331",M4325="331")),"331",IF(AND(OR(L4325="131",M4325="131"),H4325='131-CT'!$E$7),"131",""))</f>
        <v/>
      </c>
      <c r="O4325" s="525" t="str">
        <f>IF(AND($B4325&gt;='111'!$N$11,$B4325&lt;='111'!$O$11,OR($L4325=$O$7,$M4325=$O$7)),"x","")</f>
        <v/>
      </c>
      <c r="P4325" s="525" t="str">
        <f>IF(AND($L4325=$O$7,$B4325&lt;'111'!$N$11),"x","")</f>
        <v/>
      </c>
      <c r="Q4325" s="525" t="str">
        <f>IF(AND($M4325=$O$7,$B4325&lt;'111'!$N$11),"x","")</f>
        <v/>
      </c>
      <c r="R4325" s="525" t="str">
        <f>IF(ISERROR(FIND('112'!$M$9,G4325,1)),"",IF((AND(FIND('112'!$M$9,G4325,1)&gt;=1,$B4325&gt;='112'!$N$8,$B4325&lt;='112'!$O$8,OR($L4325='112'!$I$6,$M4325='112'!$I$6))),"x",""))</f>
        <v/>
      </c>
      <c r="S4325" s="525" t="str">
        <f>IF(ISERROR(FIND('112'!$M$9,G4325,1)),"",IF((AND(LEFT(G4325,2)=LEFT('112'!$M$9,2),B4325&lt;'112'!$N$8,$L4325='112'!$I$6)),"x",""))</f>
        <v/>
      </c>
      <c r="T4325" s="525" t="str">
        <f>IF(ISERROR(FIND('112'!$M$9,G4325,1)),"",IF((AND(RIGHT(G4325,2)=RIGHT('112'!$M$9,2),B4325&lt;'112'!$N$8,$M4325='112'!$I$6)),"x",""))</f>
        <v/>
      </c>
      <c r="U4325" s="525" t="str">
        <f>IF(AND(B4325&gt;='IN-NX'!$P$3,B4325&lt;='IN-NX'!$Q$3,'IN-NX'!$D$7=D4325,OR(LEFT(L4325,2)="15",AND(LEFT(M4325,2)&lt;&gt;"15",LEFT(M4325,2)&lt;&gt;"33"))),"x","")</f>
        <v/>
      </c>
      <c r="V4325" s="525" t="str">
        <f>IF(AND(OR(LEFT(TH!L4325,2)="15",LEFT(TH!M4325,2)="15"),'152-CT'!$J$8=TH!F4325),"x","")</f>
        <v/>
      </c>
      <c r="W4325" s="525" t="str">
        <f>IF(AND(OR(LEFT(TH!L4325,2)="15",LEFT(TH!M4325,2)="15"),TK!$E$7=TH!F4325),"x","")</f>
        <v/>
      </c>
      <c r="X4325" s="525" t="str">
        <f>IF(AND('341-CT'!$E$9=H4325,OR(LEFT(L4325,3)=$X$7,LEFT(M4325,3)=$X$7)),"x","")</f>
        <v/>
      </c>
      <c r="Y4325" s="525" t="str">
        <f>IF(OR(TH!L4325=TH!$Y$7,M4325=TH!$Y$7),"x","")</f>
        <v/>
      </c>
      <c r="Z4325" s="525" t="str">
        <f>IF(AND(B4325&lt;=NKC!$N$8,B4325&gt;=NKC!$M$8),"x","")</f>
        <v/>
      </c>
      <c r="AA4325" s="687"/>
      <c r="AB4325" s="688"/>
    </row>
    <row r="4326" spans="1:30" s="689" customFormat="1" ht="15.75" customHeight="1">
      <c r="A4326" s="517" t="str">
        <f>IF(B4326&lt;&gt;"",IF(AND(B4326&gt;=_TM1,B4326&lt;=_TM2,OR(TH!L4326="1111",TH!M4326="1111")),TH!D4326,""),"")</f>
        <v/>
      </c>
      <c r="B4326" s="685">
        <f t="shared" si="555"/>
        <v>7</v>
      </c>
      <c r="C4326" s="671">
        <f t="shared" si="559"/>
        <v>42932</v>
      </c>
      <c r="D4326" s="718" t="s">
        <v>997</v>
      </c>
      <c r="E4326" s="671">
        <v>42932</v>
      </c>
      <c r="F4326" s="719" t="s">
        <v>325</v>
      </c>
      <c r="G4326" s="674" t="s">
        <v>1342</v>
      </c>
      <c r="H4326" s="675" t="s">
        <v>801</v>
      </c>
      <c r="I4326" s="676">
        <v>100</v>
      </c>
      <c r="J4326" s="676">
        <v>34041</v>
      </c>
      <c r="K4326" s="677">
        <f t="shared" si="560"/>
        <v>3404100</v>
      </c>
      <c r="L4326" s="678" t="s">
        <v>158</v>
      </c>
      <c r="M4326" s="678" t="s">
        <v>292</v>
      </c>
      <c r="N4326" s="525" t="str">
        <f>IF(AND('331-CT'!$E$7=TH!H4326,OR(L4326="331",M4326="331")),"331",IF(AND(OR(L4326="131",M4326="131"),H4326='131-CT'!$E$7),"131",""))</f>
        <v/>
      </c>
      <c r="O4326" s="525" t="str">
        <f>IF(AND($B4326&gt;='111'!$N$11,$B4326&lt;='111'!$O$11,OR($L4326=$O$7,$M4326=$O$7)),"x","")</f>
        <v/>
      </c>
      <c r="P4326" s="525" t="str">
        <f>IF(AND($L4326=$O$7,$B4326&lt;'111'!$N$11),"x","")</f>
        <v/>
      </c>
      <c r="Q4326" s="525" t="str">
        <f>IF(AND($M4326=$O$7,$B4326&lt;'111'!$N$11),"x","")</f>
        <v/>
      </c>
      <c r="R4326" s="525" t="str">
        <f>IF(ISERROR(FIND('112'!$M$9,G4326,1)),"",IF((AND(FIND('112'!$M$9,G4326,1)&gt;=1,$B4326&gt;='112'!$N$8,$B4326&lt;='112'!$O$8,OR($L4326='112'!$I$6,$M4326='112'!$I$6))),"x",""))</f>
        <v/>
      </c>
      <c r="S4326" s="525" t="str">
        <f>IF(ISERROR(FIND('112'!$M$9,G4326,1)),"",IF((AND(LEFT(G4326,2)=LEFT('112'!$M$9,2),B4326&lt;'112'!$N$8,$L4326='112'!$I$6)),"x",""))</f>
        <v/>
      </c>
      <c r="T4326" s="525" t="str">
        <f>IF(ISERROR(FIND('112'!$M$9,G4326,1)),"",IF((AND(RIGHT(G4326,2)=RIGHT('112'!$M$9,2),B4326&lt;'112'!$N$8,$M4326='112'!$I$6)),"x",""))</f>
        <v/>
      </c>
      <c r="U4326" s="525" t="str">
        <f>IF(AND(B4326&gt;='IN-NX'!$P$3,B4326&lt;='IN-NX'!$Q$3,'IN-NX'!$D$7=D4326,OR(LEFT(L4326,2)="15",AND(LEFT(M4326,2)&lt;&gt;"15",LEFT(M4326,2)&lt;&gt;"33"))),"x","")</f>
        <v/>
      </c>
      <c r="V4326" s="525" t="str">
        <f>IF(AND(OR(LEFT(TH!L4326,2)="15",LEFT(TH!M4326,2)="15"),'152-CT'!$J$8=TH!F4326),"x","")</f>
        <v/>
      </c>
      <c r="W4326" s="525" t="str">
        <f>IF(AND(OR(LEFT(TH!L4326,2)="15",LEFT(TH!M4326,2)="15"),TK!$E$7=TH!F4326),"x","")</f>
        <v/>
      </c>
      <c r="X4326" s="525" t="str">
        <f>IF(AND('341-CT'!$E$9=H4326,OR(LEFT(L4326,3)=$X$7,LEFT(M4326,3)=$X$7)),"x","")</f>
        <v/>
      </c>
      <c r="Y4326" s="525" t="str">
        <f>IF(OR(TH!L4326=TH!$Y$7,M4326=TH!$Y$7),"x","")</f>
        <v/>
      </c>
      <c r="Z4326" s="525" t="str">
        <f>IF(AND(B4326&lt;=NKC!$N$8,B4326&gt;=NKC!$M$8),"x","")</f>
        <v/>
      </c>
      <c r="AA4326" s="687"/>
      <c r="AB4326" s="688"/>
    </row>
    <row r="4327" spans="1:30" s="689" customFormat="1" ht="15.75" customHeight="1">
      <c r="A4327" s="517" t="str">
        <f>IF(B4327&lt;&gt;"",IF(AND(B4327&gt;=_TM1,B4327&lt;=_TM2,OR(TH!L4327="1111",TH!M4327="1111")),TH!D4327,""),"")</f>
        <v/>
      </c>
      <c r="B4327" s="685">
        <f t="shared" si="555"/>
        <v>7</v>
      </c>
      <c r="C4327" s="671">
        <f t="shared" si="559"/>
        <v>42933</v>
      </c>
      <c r="D4327" s="718" t="s">
        <v>997</v>
      </c>
      <c r="E4327" s="671">
        <v>42933</v>
      </c>
      <c r="F4327" s="719" t="s">
        <v>364</v>
      </c>
      <c r="G4327" s="674" t="s">
        <v>1342</v>
      </c>
      <c r="H4327" s="675" t="s">
        <v>801</v>
      </c>
      <c r="I4327" s="676">
        <v>136</v>
      </c>
      <c r="J4327" s="676">
        <v>49995</v>
      </c>
      <c r="K4327" s="677">
        <f t="shared" si="560"/>
        <v>6799320</v>
      </c>
      <c r="L4327" s="678" t="s">
        <v>158</v>
      </c>
      <c r="M4327" s="678" t="s">
        <v>292</v>
      </c>
      <c r="N4327" s="525" t="str">
        <f>IF(AND('331-CT'!$E$7=TH!H4327,OR(L4327="331",M4327="331")),"331",IF(AND(OR(L4327="131",M4327="131"),H4327='131-CT'!$E$7),"131",""))</f>
        <v/>
      </c>
      <c r="O4327" s="525" t="str">
        <f>IF(AND($B4327&gt;='111'!$N$11,$B4327&lt;='111'!$O$11,OR($L4327=$O$7,$M4327=$O$7)),"x","")</f>
        <v/>
      </c>
      <c r="P4327" s="525" t="str">
        <f>IF(AND($L4327=$O$7,$B4327&lt;'111'!$N$11),"x","")</f>
        <v/>
      </c>
      <c r="Q4327" s="525" t="str">
        <f>IF(AND($M4327=$O$7,$B4327&lt;'111'!$N$11),"x","")</f>
        <v/>
      </c>
      <c r="R4327" s="525" t="str">
        <f>IF(ISERROR(FIND('112'!$M$9,G4327,1)),"",IF((AND(FIND('112'!$M$9,G4327,1)&gt;=1,$B4327&gt;='112'!$N$8,$B4327&lt;='112'!$O$8,OR($L4327='112'!$I$6,$M4327='112'!$I$6))),"x",""))</f>
        <v/>
      </c>
      <c r="S4327" s="525" t="str">
        <f>IF(ISERROR(FIND('112'!$M$9,G4327,1)),"",IF((AND(LEFT(G4327,2)=LEFT('112'!$M$9,2),B4327&lt;'112'!$N$8,$L4327='112'!$I$6)),"x",""))</f>
        <v/>
      </c>
      <c r="T4327" s="525" t="str">
        <f>IF(ISERROR(FIND('112'!$M$9,G4327,1)),"",IF((AND(RIGHT(G4327,2)=RIGHT('112'!$M$9,2),B4327&lt;'112'!$N$8,$M4327='112'!$I$6)),"x",""))</f>
        <v/>
      </c>
      <c r="U4327" s="525" t="str">
        <f>IF(AND(B4327&gt;='IN-NX'!$P$3,B4327&lt;='IN-NX'!$Q$3,'IN-NX'!$D$7=D4327,OR(LEFT(L4327,2)="15",AND(LEFT(M4327,2)&lt;&gt;"15",LEFT(M4327,2)&lt;&gt;"33"))),"x","")</f>
        <v/>
      </c>
      <c r="V4327" s="525" t="str">
        <f>IF(AND(OR(LEFT(TH!L4327,2)="15",LEFT(TH!M4327,2)="15"),'152-CT'!$J$8=TH!F4327),"x","")</f>
        <v/>
      </c>
      <c r="W4327" s="525" t="str">
        <f>IF(AND(OR(LEFT(TH!L4327,2)="15",LEFT(TH!M4327,2)="15"),TK!$E$7=TH!F4327),"x","")</f>
        <v/>
      </c>
      <c r="X4327" s="525" t="str">
        <f>IF(AND('341-CT'!$E$9=H4327,OR(LEFT(L4327,3)=$X$7,LEFT(M4327,3)=$X$7)),"x","")</f>
        <v/>
      </c>
      <c r="Y4327" s="525" t="str">
        <f>IF(OR(TH!L4327=TH!$Y$7,M4327=TH!$Y$7),"x","")</f>
        <v/>
      </c>
      <c r="Z4327" s="525" t="str">
        <f>IF(AND(B4327&lt;=NKC!$N$8,B4327&gt;=NKC!$M$8),"x","")</f>
        <v/>
      </c>
      <c r="AA4327" s="687"/>
      <c r="AB4327" s="688"/>
    </row>
    <row r="4328" spans="1:30" s="689" customFormat="1" ht="15.75" customHeight="1">
      <c r="A4328" s="517" t="str">
        <f>IF(B4328&lt;&gt;"",IF(AND(B4328&gt;=_TM1,B4328&lt;=_TM2,OR(TH!L4328="1111",TH!M4328="1111")),TH!D4328,""),"")</f>
        <v/>
      </c>
      <c r="B4328" s="685">
        <f t="shared" si="555"/>
        <v>7</v>
      </c>
      <c r="C4328" s="671">
        <f t="shared" si="559"/>
        <v>42934</v>
      </c>
      <c r="D4328" s="718" t="s">
        <v>997</v>
      </c>
      <c r="E4328" s="671">
        <v>42934</v>
      </c>
      <c r="F4328" s="719" t="s">
        <v>338</v>
      </c>
      <c r="G4328" s="674" t="s">
        <v>1342</v>
      </c>
      <c r="H4328" s="675" t="s">
        <v>801</v>
      </c>
      <c r="I4328" s="676">
        <v>120</v>
      </c>
      <c r="J4328" s="676">
        <v>47200</v>
      </c>
      <c r="K4328" s="677">
        <f t="shared" si="560"/>
        <v>5664000</v>
      </c>
      <c r="L4328" s="678" t="s">
        <v>158</v>
      </c>
      <c r="M4328" s="678" t="s">
        <v>292</v>
      </c>
      <c r="N4328" s="525" t="str">
        <f>IF(AND('331-CT'!$E$7=TH!H4328,OR(L4328="331",M4328="331")),"331",IF(AND(OR(L4328="131",M4328="131"),H4328='131-CT'!$E$7),"131",""))</f>
        <v/>
      </c>
      <c r="O4328" s="525" t="str">
        <f>IF(AND($B4328&gt;='111'!$N$11,$B4328&lt;='111'!$O$11,OR($L4328=$O$7,$M4328=$O$7)),"x","")</f>
        <v/>
      </c>
      <c r="P4328" s="525" t="str">
        <f>IF(AND($L4328=$O$7,$B4328&lt;'111'!$N$11),"x","")</f>
        <v/>
      </c>
      <c r="Q4328" s="525" t="str">
        <f>IF(AND($M4328=$O$7,$B4328&lt;'111'!$N$11),"x","")</f>
        <v/>
      </c>
      <c r="R4328" s="525" t="str">
        <f>IF(ISERROR(FIND('112'!$M$9,G4328,1)),"",IF((AND(FIND('112'!$M$9,G4328,1)&gt;=1,$B4328&gt;='112'!$N$8,$B4328&lt;='112'!$O$8,OR($L4328='112'!$I$6,$M4328='112'!$I$6))),"x",""))</f>
        <v/>
      </c>
      <c r="S4328" s="525" t="str">
        <f>IF(ISERROR(FIND('112'!$M$9,G4328,1)),"",IF((AND(LEFT(G4328,2)=LEFT('112'!$M$9,2),B4328&lt;'112'!$N$8,$L4328='112'!$I$6)),"x",""))</f>
        <v/>
      </c>
      <c r="T4328" s="525" t="str">
        <f>IF(ISERROR(FIND('112'!$M$9,G4328,1)),"",IF((AND(RIGHT(G4328,2)=RIGHT('112'!$M$9,2),B4328&lt;'112'!$N$8,$M4328='112'!$I$6)),"x",""))</f>
        <v/>
      </c>
      <c r="U4328" s="525" t="str">
        <f>IF(AND(B4328&gt;='IN-NX'!$P$3,B4328&lt;='IN-NX'!$Q$3,'IN-NX'!$D$7=D4328,OR(LEFT(L4328,2)="15",AND(LEFT(M4328,2)&lt;&gt;"15",LEFT(M4328,2)&lt;&gt;"33"))),"x","")</f>
        <v/>
      </c>
      <c r="V4328" s="525" t="str">
        <f>IF(AND(OR(LEFT(TH!L4328,2)="15",LEFT(TH!M4328,2)="15"),'152-CT'!$J$8=TH!F4328),"x","")</f>
        <v/>
      </c>
      <c r="W4328" s="525" t="str">
        <f>IF(AND(OR(LEFT(TH!L4328,2)="15",LEFT(TH!M4328,2)="15"),TK!$E$7=TH!F4328),"x","")</f>
        <v/>
      </c>
      <c r="X4328" s="525" t="str">
        <f>IF(AND('341-CT'!$E$9=H4328,OR(LEFT(L4328,3)=$X$7,LEFT(M4328,3)=$X$7)),"x","")</f>
        <v/>
      </c>
      <c r="Y4328" s="525" t="str">
        <f>IF(OR(TH!L4328=TH!$Y$7,M4328=TH!$Y$7),"x","")</f>
        <v/>
      </c>
      <c r="Z4328" s="525" t="str">
        <f>IF(AND(B4328&lt;=NKC!$N$8,B4328&gt;=NKC!$M$8),"x","")</f>
        <v/>
      </c>
      <c r="AA4328" s="687"/>
      <c r="AB4328" s="688"/>
    </row>
    <row r="4329" spans="1:30" s="689" customFormat="1" ht="15.75" customHeight="1">
      <c r="A4329" s="517" t="str">
        <f>IF(B4329&lt;&gt;"",IF(AND(B4329&gt;=_TM1,B4329&lt;=_TM2,OR(TH!L4329="1111",TH!M4329="1111")),TH!D4329,""),"")</f>
        <v/>
      </c>
      <c r="B4329" s="685">
        <f t="shared" si="555"/>
        <v>7</v>
      </c>
      <c r="C4329" s="671">
        <f t="shared" si="559"/>
        <v>42935</v>
      </c>
      <c r="D4329" s="718" t="s">
        <v>997</v>
      </c>
      <c r="E4329" s="671">
        <v>42935</v>
      </c>
      <c r="F4329" s="719" t="s">
        <v>396</v>
      </c>
      <c r="G4329" s="674" t="s">
        <v>1342</v>
      </c>
      <c r="H4329" s="675" t="s">
        <v>801</v>
      </c>
      <c r="I4329" s="676">
        <v>99</v>
      </c>
      <c r="J4329" s="676">
        <v>46444</v>
      </c>
      <c r="K4329" s="677">
        <f t="shared" si="560"/>
        <v>4597956</v>
      </c>
      <c r="L4329" s="678" t="s">
        <v>158</v>
      </c>
      <c r="M4329" s="678" t="s">
        <v>292</v>
      </c>
      <c r="N4329" s="525" t="str">
        <f>IF(AND('331-CT'!$E$7=TH!H4329,OR(L4329="331",M4329="331")),"331",IF(AND(OR(L4329="131",M4329="131"),H4329='131-CT'!$E$7),"131",""))</f>
        <v/>
      </c>
      <c r="O4329" s="525" t="str">
        <f>IF(AND($B4329&gt;='111'!$N$11,$B4329&lt;='111'!$O$11,OR($L4329=$O$7,$M4329=$O$7)),"x","")</f>
        <v/>
      </c>
      <c r="P4329" s="525" t="str">
        <f>IF(AND($L4329=$O$7,$B4329&lt;'111'!$N$11),"x","")</f>
        <v/>
      </c>
      <c r="Q4329" s="525" t="str">
        <f>IF(AND($M4329=$O$7,$B4329&lt;'111'!$N$11),"x","")</f>
        <v/>
      </c>
      <c r="R4329" s="525" t="str">
        <f>IF(ISERROR(FIND('112'!$M$9,G4329,1)),"",IF((AND(FIND('112'!$M$9,G4329,1)&gt;=1,$B4329&gt;='112'!$N$8,$B4329&lt;='112'!$O$8,OR($L4329='112'!$I$6,$M4329='112'!$I$6))),"x",""))</f>
        <v/>
      </c>
      <c r="S4329" s="525" t="str">
        <f>IF(ISERROR(FIND('112'!$M$9,G4329,1)),"",IF((AND(LEFT(G4329,2)=LEFT('112'!$M$9,2),B4329&lt;'112'!$N$8,$L4329='112'!$I$6)),"x",""))</f>
        <v/>
      </c>
      <c r="T4329" s="525" t="str">
        <f>IF(ISERROR(FIND('112'!$M$9,G4329,1)),"",IF((AND(RIGHT(G4329,2)=RIGHT('112'!$M$9,2),B4329&lt;'112'!$N$8,$M4329='112'!$I$6)),"x",""))</f>
        <v/>
      </c>
      <c r="U4329" s="525" t="str">
        <f>IF(AND(B4329&gt;='IN-NX'!$P$3,B4329&lt;='IN-NX'!$Q$3,'IN-NX'!$D$7=D4329,OR(LEFT(L4329,2)="15",AND(LEFT(M4329,2)&lt;&gt;"15",LEFT(M4329,2)&lt;&gt;"33"))),"x","")</f>
        <v/>
      </c>
      <c r="V4329" s="525" t="str">
        <f>IF(AND(OR(LEFT(TH!L4329,2)="15",LEFT(TH!M4329,2)="15"),'152-CT'!$J$8=TH!F4329),"x","")</f>
        <v/>
      </c>
      <c r="W4329" s="525" t="str">
        <f>IF(AND(OR(LEFT(TH!L4329,2)="15",LEFT(TH!M4329,2)="15"),TK!$E$7=TH!F4329),"x","")</f>
        <v/>
      </c>
      <c r="X4329" s="525" t="str">
        <f>IF(AND('341-CT'!$E$9=H4329,OR(LEFT(L4329,3)=$X$7,LEFT(M4329,3)=$X$7)),"x","")</f>
        <v/>
      </c>
      <c r="Y4329" s="525" t="str">
        <f>IF(OR(TH!L4329=TH!$Y$7,M4329=TH!$Y$7),"x","")</f>
        <v/>
      </c>
      <c r="Z4329" s="525" t="str">
        <f>IF(AND(B4329&lt;=NKC!$N$8,B4329&gt;=NKC!$M$8),"x","")</f>
        <v/>
      </c>
      <c r="AA4329" s="687"/>
      <c r="AB4329" s="688"/>
    </row>
    <row r="4330" spans="1:30" s="689" customFormat="1" ht="15.75" customHeight="1">
      <c r="A4330" s="517" t="str">
        <f>IF(B4330&lt;&gt;"",IF(AND(B4330&gt;=_TM1,B4330&lt;=_TM2,OR(TH!L4330="1111",TH!M4330="1111")),TH!D4330,""),"")</f>
        <v/>
      </c>
      <c r="B4330" s="685">
        <f t="shared" si="555"/>
        <v>7</v>
      </c>
      <c r="C4330" s="671">
        <f t="shared" si="559"/>
        <v>42936</v>
      </c>
      <c r="D4330" s="718" t="s">
        <v>997</v>
      </c>
      <c r="E4330" s="671">
        <v>42936</v>
      </c>
      <c r="F4330" s="719" t="s">
        <v>409</v>
      </c>
      <c r="G4330" s="674" t="s">
        <v>1342</v>
      </c>
      <c r="H4330" s="675" t="s">
        <v>801</v>
      </c>
      <c r="I4330" s="676">
        <v>25</v>
      </c>
      <c r="J4330" s="676">
        <v>23084</v>
      </c>
      <c r="K4330" s="677">
        <f t="shared" si="560"/>
        <v>577100</v>
      </c>
      <c r="L4330" s="678" t="s">
        <v>158</v>
      </c>
      <c r="M4330" s="678" t="s">
        <v>292</v>
      </c>
      <c r="N4330" s="525" t="str">
        <f>IF(AND('331-CT'!$E$7=TH!H4330,OR(L4330="331",M4330="331")),"331",IF(AND(OR(L4330="131",M4330="131"),H4330='131-CT'!$E$7),"131",""))</f>
        <v/>
      </c>
      <c r="O4330" s="525" t="str">
        <f>IF(AND($B4330&gt;='111'!$N$11,$B4330&lt;='111'!$O$11,OR($L4330=$O$7,$M4330=$O$7)),"x","")</f>
        <v/>
      </c>
      <c r="P4330" s="525" t="str">
        <f>IF(AND($L4330=$O$7,$B4330&lt;'111'!$N$11),"x","")</f>
        <v/>
      </c>
      <c r="Q4330" s="525" t="str">
        <f>IF(AND($M4330=$O$7,$B4330&lt;'111'!$N$11),"x","")</f>
        <v/>
      </c>
      <c r="R4330" s="525" t="str">
        <f>IF(ISERROR(FIND('112'!$M$9,G4330,1)),"",IF((AND(FIND('112'!$M$9,G4330,1)&gt;=1,$B4330&gt;='112'!$N$8,$B4330&lt;='112'!$O$8,OR($L4330='112'!$I$6,$M4330='112'!$I$6))),"x",""))</f>
        <v/>
      </c>
      <c r="S4330" s="525" t="str">
        <f>IF(ISERROR(FIND('112'!$M$9,G4330,1)),"",IF((AND(LEFT(G4330,2)=LEFT('112'!$M$9,2),B4330&lt;'112'!$N$8,$L4330='112'!$I$6)),"x",""))</f>
        <v/>
      </c>
      <c r="T4330" s="525" t="str">
        <f>IF(ISERROR(FIND('112'!$M$9,G4330,1)),"",IF((AND(RIGHT(G4330,2)=RIGHT('112'!$M$9,2),B4330&lt;'112'!$N$8,$M4330='112'!$I$6)),"x",""))</f>
        <v/>
      </c>
      <c r="U4330" s="525" t="str">
        <f>IF(AND(B4330&gt;='IN-NX'!$P$3,B4330&lt;='IN-NX'!$Q$3,'IN-NX'!$D$7=D4330,OR(LEFT(L4330,2)="15",AND(LEFT(M4330,2)&lt;&gt;"15",LEFT(M4330,2)&lt;&gt;"33"))),"x","")</f>
        <v/>
      </c>
      <c r="V4330" s="525" t="str">
        <f>IF(AND(OR(LEFT(TH!L4330,2)="15",LEFT(TH!M4330,2)="15"),'152-CT'!$J$8=TH!F4330),"x","")</f>
        <v/>
      </c>
      <c r="W4330" s="525" t="str">
        <f>IF(AND(OR(LEFT(TH!L4330,2)="15",LEFT(TH!M4330,2)="15"),TK!$E$7=TH!F4330),"x","")</f>
        <v/>
      </c>
      <c r="X4330" s="525" t="str">
        <f>IF(AND('341-CT'!$E$9=H4330,OR(LEFT(L4330,3)=$X$7,LEFT(M4330,3)=$X$7)),"x","")</f>
        <v/>
      </c>
      <c r="Y4330" s="525" t="str">
        <f>IF(OR(TH!L4330=TH!$Y$7,M4330=TH!$Y$7),"x","")</f>
        <v/>
      </c>
      <c r="Z4330" s="525" t="str">
        <f>IF(AND(B4330&lt;=NKC!$N$8,B4330&gt;=NKC!$M$8),"x","")</f>
        <v/>
      </c>
      <c r="AA4330" s="687"/>
      <c r="AB4330" s="688"/>
    </row>
    <row r="4331" spans="1:30" s="689" customFormat="1" ht="15.75" customHeight="1">
      <c r="A4331" s="517" t="str">
        <f>IF(B4331&lt;&gt;"",IF(AND(B4331&gt;=_TM1,B4331&lt;=_TM2,OR(TH!L4331="1111",TH!M4331="1111")),TH!D4331,""),"")</f>
        <v/>
      </c>
      <c r="B4331" s="685">
        <f t="shared" si="555"/>
        <v>7</v>
      </c>
      <c r="C4331" s="671">
        <f t="shared" si="559"/>
        <v>42937</v>
      </c>
      <c r="D4331" s="718" t="s">
        <v>997</v>
      </c>
      <c r="E4331" s="671">
        <v>42937</v>
      </c>
      <c r="F4331" s="719" t="s">
        <v>409</v>
      </c>
      <c r="G4331" s="674" t="s">
        <v>1342</v>
      </c>
      <c r="H4331" s="675" t="s">
        <v>801</v>
      </c>
      <c r="I4331" s="676">
        <v>25</v>
      </c>
      <c r="J4331" s="676">
        <v>23084</v>
      </c>
      <c r="K4331" s="677">
        <f t="shared" si="560"/>
        <v>577100</v>
      </c>
      <c r="L4331" s="678" t="s">
        <v>158</v>
      </c>
      <c r="M4331" s="678" t="s">
        <v>292</v>
      </c>
      <c r="N4331" s="525" t="str">
        <f>IF(AND('331-CT'!$E$7=TH!H4331,OR(L4331="331",M4331="331")),"331",IF(AND(OR(L4331="131",M4331="131"),H4331='131-CT'!$E$7),"131",""))</f>
        <v/>
      </c>
      <c r="O4331" s="525" t="str">
        <f>IF(AND($B4331&gt;='111'!$N$11,$B4331&lt;='111'!$O$11,OR($L4331=$O$7,$M4331=$O$7)),"x","")</f>
        <v/>
      </c>
      <c r="P4331" s="525" t="str">
        <f>IF(AND($L4331=$O$7,$B4331&lt;'111'!$N$11),"x","")</f>
        <v/>
      </c>
      <c r="Q4331" s="525" t="str">
        <f>IF(AND($M4331=$O$7,$B4331&lt;'111'!$N$11),"x","")</f>
        <v/>
      </c>
      <c r="R4331" s="525" t="str">
        <f>IF(ISERROR(FIND('112'!$M$9,G4331,1)),"",IF((AND(FIND('112'!$M$9,G4331,1)&gt;=1,$B4331&gt;='112'!$N$8,$B4331&lt;='112'!$O$8,OR($L4331='112'!$I$6,$M4331='112'!$I$6))),"x",""))</f>
        <v/>
      </c>
      <c r="S4331" s="525" t="str">
        <f>IF(ISERROR(FIND('112'!$M$9,G4331,1)),"",IF((AND(LEFT(G4331,2)=LEFT('112'!$M$9,2),B4331&lt;'112'!$N$8,$L4331='112'!$I$6)),"x",""))</f>
        <v/>
      </c>
      <c r="T4331" s="525" t="str">
        <f>IF(ISERROR(FIND('112'!$M$9,G4331,1)),"",IF((AND(RIGHT(G4331,2)=RIGHT('112'!$M$9,2),B4331&lt;'112'!$N$8,$M4331='112'!$I$6)),"x",""))</f>
        <v/>
      </c>
      <c r="U4331" s="525" t="str">
        <f>IF(AND(B4331&gt;='IN-NX'!$P$3,B4331&lt;='IN-NX'!$Q$3,'IN-NX'!$D$7=D4331,OR(LEFT(L4331,2)="15",AND(LEFT(M4331,2)&lt;&gt;"15",LEFT(M4331,2)&lt;&gt;"33"))),"x","")</f>
        <v/>
      </c>
      <c r="V4331" s="525" t="str">
        <f>IF(AND(OR(LEFT(TH!L4331,2)="15",LEFT(TH!M4331,2)="15"),'152-CT'!$J$8=TH!F4331),"x","")</f>
        <v/>
      </c>
      <c r="W4331" s="525" t="str">
        <f>IF(AND(OR(LEFT(TH!L4331,2)="15",LEFT(TH!M4331,2)="15"),TK!$E$7=TH!F4331),"x","")</f>
        <v/>
      </c>
      <c r="X4331" s="525" t="str">
        <f>IF(AND('341-CT'!$E$9=H4331,OR(LEFT(L4331,3)=$X$7,LEFT(M4331,3)=$X$7)),"x","")</f>
        <v/>
      </c>
      <c r="Y4331" s="525" t="str">
        <f>IF(OR(TH!L4331=TH!$Y$7,M4331=TH!$Y$7),"x","")</f>
        <v/>
      </c>
      <c r="Z4331" s="525" t="str">
        <f>IF(AND(B4331&lt;=NKC!$N$8,B4331&gt;=NKC!$M$8),"x","")</f>
        <v/>
      </c>
      <c r="AA4331" s="687"/>
      <c r="AB4331" s="688"/>
      <c r="AD4331" s="688"/>
    </row>
    <row r="4332" spans="1:30" s="689" customFormat="1" ht="15.75" customHeight="1">
      <c r="A4332" s="517" t="str">
        <f>IF(B4332&lt;&gt;"",IF(AND(B4332&gt;=_TM1,B4332&lt;=_TM2,OR(TH!L4332="1111",TH!M4332="1111")),TH!D4332,""),"")</f>
        <v/>
      </c>
      <c r="B4332" s="685">
        <f t="shared" si="555"/>
        <v>7</v>
      </c>
      <c r="C4332" s="671">
        <f t="shared" si="559"/>
        <v>42938</v>
      </c>
      <c r="D4332" s="718" t="s">
        <v>997</v>
      </c>
      <c r="E4332" s="671">
        <v>42938</v>
      </c>
      <c r="F4332" s="719" t="s">
        <v>430</v>
      </c>
      <c r="G4332" s="686" t="s">
        <v>1342</v>
      </c>
      <c r="H4332" s="675" t="s">
        <v>801</v>
      </c>
      <c r="I4332" s="676">
        <v>23</v>
      </c>
      <c r="J4332" s="676">
        <v>19195</v>
      </c>
      <c r="K4332" s="677">
        <f t="shared" si="560"/>
        <v>441485</v>
      </c>
      <c r="L4332" s="678" t="s">
        <v>158</v>
      </c>
      <c r="M4332" s="678" t="s">
        <v>292</v>
      </c>
      <c r="N4332" s="525" t="str">
        <f>IF(AND('331-CT'!$E$7=TH!H4332,OR(L4332="331",M4332="331")),"331",IF(AND(OR(L4332="131",M4332="131"),H4332='131-CT'!$E$7),"131",""))</f>
        <v/>
      </c>
      <c r="O4332" s="525" t="str">
        <f>IF(AND($B4332&gt;='111'!$N$11,$B4332&lt;='111'!$O$11,OR($L4332=$O$7,$M4332=$O$7)),"x","")</f>
        <v/>
      </c>
      <c r="P4332" s="525" t="str">
        <f>IF(AND($L4332=$O$7,$B4332&lt;'111'!$N$11),"x","")</f>
        <v/>
      </c>
      <c r="Q4332" s="525" t="str">
        <f>IF(AND($M4332=$O$7,$B4332&lt;'111'!$N$11),"x","")</f>
        <v/>
      </c>
      <c r="R4332" s="525" t="str">
        <f>IF(ISERROR(FIND('112'!$M$9,G4332,1)),"",IF((AND(FIND('112'!$M$9,G4332,1)&gt;=1,$B4332&gt;='112'!$N$8,$B4332&lt;='112'!$O$8,OR($L4332='112'!$I$6,$M4332='112'!$I$6))),"x",""))</f>
        <v/>
      </c>
      <c r="S4332" s="525" t="str">
        <f>IF(ISERROR(FIND('112'!$M$9,G4332,1)),"",IF((AND(LEFT(G4332,2)=LEFT('112'!$M$9,2),B4332&lt;'112'!$N$8,$L4332='112'!$I$6)),"x",""))</f>
        <v/>
      </c>
      <c r="T4332" s="525" t="str">
        <f>IF(ISERROR(FIND('112'!$M$9,G4332,1)),"",IF((AND(RIGHT(G4332,2)=RIGHT('112'!$M$9,2),B4332&lt;'112'!$N$8,$M4332='112'!$I$6)),"x",""))</f>
        <v/>
      </c>
      <c r="U4332" s="525" t="str">
        <f>IF(AND(B4332&gt;='IN-NX'!$P$3,B4332&lt;='IN-NX'!$Q$3,'IN-NX'!$D$7=D4332,OR(LEFT(L4332,2)="15",AND(LEFT(M4332,2)&lt;&gt;"15",LEFT(M4332,2)&lt;&gt;"33"))),"x","")</f>
        <v/>
      </c>
      <c r="V4332" s="525" t="str">
        <f>IF(AND(OR(LEFT(TH!L4332,2)="15",LEFT(TH!M4332,2)="15"),'152-CT'!$J$8=TH!F4332),"x","")</f>
        <v/>
      </c>
      <c r="W4332" s="525" t="str">
        <f>IF(AND(OR(LEFT(TH!L4332,2)="15",LEFT(TH!M4332,2)="15"),TK!$E$7=TH!F4332),"x","")</f>
        <v/>
      </c>
      <c r="X4332" s="525" t="str">
        <f>IF(AND('341-CT'!$E$9=H4332,OR(LEFT(L4332,3)=$X$7,LEFT(M4332,3)=$X$7)),"x","")</f>
        <v/>
      </c>
      <c r="Y4332" s="525" t="str">
        <f>IF(OR(TH!L4332=TH!$Y$7,M4332=TH!$Y$7),"x","")</f>
        <v/>
      </c>
      <c r="Z4332" s="525" t="str">
        <f>IF(AND(B4332&lt;=NKC!$N$8,B4332&gt;=NKC!$M$8),"x","")</f>
        <v/>
      </c>
      <c r="AA4332" s="687"/>
      <c r="AB4332" s="688"/>
    </row>
    <row r="4333" spans="1:30" s="689" customFormat="1" ht="15.75" customHeight="1">
      <c r="A4333" s="517" t="str">
        <f>IF(B4333&lt;&gt;"",IF(AND(B4333&gt;=_TM1,B4333&lt;=_TM2,OR(TH!L4333="1111",TH!M4333="1111")),TH!D4333,""),"")</f>
        <v/>
      </c>
      <c r="B4333" s="685">
        <f t="shared" si="555"/>
        <v>7</v>
      </c>
      <c r="C4333" s="671">
        <f t="shared" si="559"/>
        <v>42939</v>
      </c>
      <c r="D4333" s="718" t="s">
        <v>997</v>
      </c>
      <c r="E4333" s="671">
        <v>42939</v>
      </c>
      <c r="F4333" s="719" t="s">
        <v>430</v>
      </c>
      <c r="G4333" s="686" t="s">
        <v>1342</v>
      </c>
      <c r="H4333" s="675" t="s">
        <v>801</v>
      </c>
      <c r="I4333" s="676">
        <v>25</v>
      </c>
      <c r="J4333" s="676">
        <v>19195</v>
      </c>
      <c r="K4333" s="677">
        <f t="shared" si="560"/>
        <v>479875</v>
      </c>
      <c r="L4333" s="678" t="s">
        <v>158</v>
      </c>
      <c r="M4333" s="678" t="s">
        <v>292</v>
      </c>
      <c r="N4333" s="525" t="str">
        <f>IF(AND('331-CT'!$E$7=TH!H4333,OR(L4333="331",M4333="331")),"331",IF(AND(OR(L4333="131",M4333="131"),H4333='131-CT'!$E$7),"131",""))</f>
        <v/>
      </c>
      <c r="O4333" s="525" t="str">
        <f>IF(AND($B4333&gt;='111'!$N$11,$B4333&lt;='111'!$O$11,OR($L4333=$O$7,$M4333=$O$7)),"x","")</f>
        <v/>
      </c>
      <c r="P4333" s="525" t="str">
        <f>IF(AND($L4333=$O$7,$B4333&lt;'111'!$N$11),"x","")</f>
        <v/>
      </c>
      <c r="Q4333" s="525" t="str">
        <f>IF(AND($M4333=$O$7,$B4333&lt;'111'!$N$11),"x","")</f>
        <v/>
      </c>
      <c r="R4333" s="525" t="str">
        <f>IF(ISERROR(FIND('112'!$M$9,G4333,1)),"",IF((AND(FIND('112'!$M$9,G4333,1)&gt;=1,$B4333&gt;='112'!$N$8,$B4333&lt;='112'!$O$8,OR($L4333='112'!$I$6,$M4333='112'!$I$6))),"x",""))</f>
        <v/>
      </c>
      <c r="S4333" s="525" t="str">
        <f>IF(ISERROR(FIND('112'!$M$9,G4333,1)),"",IF((AND(LEFT(G4333,2)=LEFT('112'!$M$9,2),B4333&lt;'112'!$N$8,$L4333='112'!$I$6)),"x",""))</f>
        <v/>
      </c>
      <c r="T4333" s="525" t="str">
        <f>IF(ISERROR(FIND('112'!$M$9,G4333,1)),"",IF((AND(RIGHT(G4333,2)=RIGHT('112'!$M$9,2),B4333&lt;'112'!$N$8,$M4333='112'!$I$6)),"x",""))</f>
        <v/>
      </c>
      <c r="U4333" s="525" t="str">
        <f>IF(AND(B4333&gt;='IN-NX'!$P$3,B4333&lt;='IN-NX'!$Q$3,'IN-NX'!$D$7=D4333,OR(LEFT(L4333,2)="15",AND(LEFT(M4333,2)&lt;&gt;"15",LEFT(M4333,2)&lt;&gt;"33"))),"x","")</f>
        <v/>
      </c>
      <c r="V4333" s="525" t="str">
        <f>IF(AND(OR(LEFT(TH!L4333,2)="15",LEFT(TH!M4333,2)="15"),'152-CT'!$J$8=TH!F4333),"x","")</f>
        <v/>
      </c>
      <c r="W4333" s="525" t="str">
        <f>IF(AND(OR(LEFT(TH!L4333,2)="15",LEFT(TH!M4333,2)="15"),TK!$E$7=TH!F4333),"x","")</f>
        <v/>
      </c>
      <c r="X4333" s="525" t="str">
        <f>IF(AND('341-CT'!$E$9=H4333,OR(LEFT(L4333,3)=$X$7,LEFT(M4333,3)=$X$7)),"x","")</f>
        <v/>
      </c>
      <c r="Y4333" s="525" t="str">
        <f>IF(OR(TH!L4333=TH!$Y$7,M4333=TH!$Y$7),"x","")</f>
        <v/>
      </c>
      <c r="Z4333" s="525" t="str">
        <f>IF(AND(B4333&lt;=NKC!$N$8,B4333&gt;=NKC!$M$8),"x","")</f>
        <v/>
      </c>
      <c r="AA4333" s="687"/>
      <c r="AB4333" s="688"/>
    </row>
    <row r="4334" spans="1:30" s="689" customFormat="1" ht="15.75" customHeight="1">
      <c r="A4334" s="517" t="str">
        <f>IF(B4334&lt;&gt;"",IF(AND(B4334&gt;=_TM1,B4334&lt;=_TM2,OR(TH!L4334="1111",TH!M4334="1111")),TH!D4334,""),"")</f>
        <v/>
      </c>
      <c r="B4334" s="685" t="str">
        <f t="shared" si="555"/>
        <v/>
      </c>
      <c r="C4334" s="671"/>
      <c r="D4334" s="671"/>
      <c r="E4334" s="679"/>
      <c r="F4334" s="722"/>
      <c r="G4334" s="686"/>
      <c r="H4334" s="675"/>
      <c r="I4334" s="676"/>
      <c r="J4334" s="676"/>
      <c r="K4334" s="677">
        <f t="shared" si="560"/>
        <v>0</v>
      </c>
      <c r="L4334" s="678" t="s">
        <v>158</v>
      </c>
      <c r="M4334" s="678" t="s">
        <v>292</v>
      </c>
      <c r="N4334" s="525" t="str">
        <f>IF(AND('331-CT'!$E$7=TH!H4334,OR(L4334="331",M4334="331")),"331",IF(AND(OR(L4334="131",M4334="131"),H4334='131-CT'!$E$7),"131",""))</f>
        <v/>
      </c>
      <c r="O4334" s="525" t="str">
        <f>IF(AND($B4334&gt;='111'!$N$11,$B4334&lt;='111'!$O$11,OR($L4334=$O$7,$M4334=$O$7)),"x","")</f>
        <v/>
      </c>
      <c r="P4334" s="525" t="str">
        <f>IF(AND($L4334=$O$7,$B4334&lt;'111'!$N$11),"x","")</f>
        <v/>
      </c>
      <c r="Q4334" s="525" t="str">
        <f>IF(AND($M4334=$O$7,$B4334&lt;'111'!$N$11),"x","")</f>
        <v/>
      </c>
      <c r="R4334" s="525" t="str">
        <f>IF(ISERROR(FIND('112'!$M$9,G4334,1)),"",IF((AND(FIND('112'!$M$9,G4334,1)&gt;=1,$B4334&gt;='112'!$N$8,$B4334&lt;='112'!$O$8,OR($L4334='112'!$I$6,$M4334='112'!$I$6))),"x",""))</f>
        <v/>
      </c>
      <c r="S4334" s="525" t="str">
        <f>IF(ISERROR(FIND('112'!$M$9,G4334,1)),"",IF((AND(LEFT(G4334,2)=LEFT('112'!$M$9,2),B4334&lt;'112'!$N$8,$L4334='112'!$I$6)),"x",""))</f>
        <v/>
      </c>
      <c r="T4334" s="525" t="str">
        <f>IF(ISERROR(FIND('112'!$M$9,G4334,1)),"",IF((AND(RIGHT(G4334,2)=RIGHT('112'!$M$9,2),B4334&lt;'112'!$N$8,$M4334='112'!$I$6)),"x",""))</f>
        <v/>
      </c>
      <c r="U4334" s="525" t="str">
        <f>IF(AND(B4334&gt;='IN-NX'!$P$3,B4334&lt;='IN-NX'!$Q$3,'IN-NX'!$D$7=D4334,OR(LEFT(L4334,2)="15",AND(LEFT(M4334,2)&lt;&gt;"15",LEFT(M4334,2)&lt;&gt;"33"))),"x","")</f>
        <v/>
      </c>
      <c r="V4334" s="525" t="str">
        <f>IF(AND(OR(LEFT(TH!L4334,2)="15",LEFT(TH!M4334,2)="15"),'152-CT'!$J$8=TH!F4334),"x","")</f>
        <v/>
      </c>
      <c r="W4334" s="525" t="str">
        <f>IF(AND(OR(LEFT(TH!L4334,2)="15",LEFT(TH!M4334,2)="15"),TK!$E$7=TH!F4334),"x","")</f>
        <v/>
      </c>
      <c r="X4334" s="525" t="str">
        <f>IF(AND('341-CT'!$E$9=H4334,OR(LEFT(L4334,3)=$X$7,LEFT(M4334,3)=$X$7)),"x","")</f>
        <v/>
      </c>
      <c r="Y4334" s="525" t="str">
        <f>IF(OR(TH!L4334=TH!$Y$7,M4334=TH!$Y$7),"x","")</f>
        <v/>
      </c>
      <c r="Z4334" s="525" t="str">
        <f>IF(AND(B4334&lt;=NKC!$N$8,B4334&gt;=NKC!$M$8),"x","")</f>
        <v/>
      </c>
      <c r="AA4334" s="687"/>
    </row>
    <row r="4335" spans="1:30" s="689" customFormat="1" ht="15.75" customHeight="1">
      <c r="A4335" s="517" t="str">
        <f>IF(B4335&lt;&gt;"",IF(AND(B4335&gt;=_TM1,B4335&lt;=_TM2,OR(TH!L4335="1111",TH!M4335="1111")),TH!D4335,""),"")</f>
        <v/>
      </c>
      <c r="B4335" s="685" t="str">
        <f t="shared" si="555"/>
        <v/>
      </c>
      <c r="C4335" s="671"/>
      <c r="D4335" s="671"/>
      <c r="E4335" s="679"/>
      <c r="F4335" s="734"/>
      <c r="G4335" s="686"/>
      <c r="H4335" s="675"/>
      <c r="I4335" s="676"/>
      <c r="J4335" s="676"/>
      <c r="K4335" s="677">
        <f t="shared" si="560"/>
        <v>0</v>
      </c>
      <c r="L4335" s="678" t="s">
        <v>158</v>
      </c>
      <c r="M4335" s="678" t="s">
        <v>292</v>
      </c>
      <c r="N4335" s="525" t="str">
        <f>IF(AND('331-CT'!$E$7=TH!H4335,OR(L4335="331",M4335="331")),"331",IF(AND(OR(L4335="131",M4335="131"),H4335='131-CT'!$E$7),"131",""))</f>
        <v/>
      </c>
      <c r="O4335" s="525" t="str">
        <f>IF(AND($B4335&gt;='111'!$N$11,$B4335&lt;='111'!$O$11,OR($L4335=$O$7,$M4335=$O$7)),"x","")</f>
        <v/>
      </c>
      <c r="P4335" s="525" t="str">
        <f>IF(AND($L4335=$O$7,$B4335&lt;'111'!$N$11),"x","")</f>
        <v/>
      </c>
      <c r="Q4335" s="525" t="str">
        <f>IF(AND($M4335=$O$7,$B4335&lt;'111'!$N$11),"x","")</f>
        <v/>
      </c>
      <c r="R4335" s="525" t="str">
        <f>IF(ISERROR(FIND('112'!$M$9,G4335,1)),"",IF((AND(FIND('112'!$M$9,G4335,1)&gt;=1,$B4335&gt;='112'!$N$8,$B4335&lt;='112'!$O$8,OR($L4335='112'!$I$6,$M4335='112'!$I$6))),"x",""))</f>
        <v/>
      </c>
      <c r="S4335" s="525" t="str">
        <f>IF(ISERROR(FIND('112'!$M$9,G4335,1)),"",IF((AND(LEFT(G4335,2)=LEFT('112'!$M$9,2),B4335&lt;'112'!$N$8,$L4335='112'!$I$6)),"x",""))</f>
        <v/>
      </c>
      <c r="T4335" s="525" t="str">
        <f>IF(ISERROR(FIND('112'!$M$9,G4335,1)),"",IF((AND(RIGHT(G4335,2)=RIGHT('112'!$M$9,2),B4335&lt;'112'!$N$8,$M4335='112'!$I$6)),"x",""))</f>
        <v/>
      </c>
      <c r="U4335" s="525" t="str">
        <f>IF(AND(B4335&gt;='IN-NX'!$P$3,B4335&lt;='IN-NX'!$Q$3,'IN-NX'!$D$7=D4335,OR(LEFT(L4335,2)="15",AND(LEFT(M4335,2)&lt;&gt;"15",LEFT(M4335,2)&lt;&gt;"33"))),"x","")</f>
        <v/>
      </c>
      <c r="V4335" s="525" t="str">
        <f>IF(AND(OR(LEFT(TH!L4335,2)="15",LEFT(TH!M4335,2)="15"),'152-CT'!$J$8=TH!F4335),"x","")</f>
        <v/>
      </c>
      <c r="W4335" s="525" t="str">
        <f>IF(AND(OR(LEFT(TH!L4335,2)="15",LEFT(TH!M4335,2)="15"),TK!$E$7=TH!F4335),"x","")</f>
        <v/>
      </c>
      <c r="X4335" s="525" t="str">
        <f>IF(AND('341-CT'!$E$9=H4335,OR(LEFT(L4335,3)=$X$7,LEFT(M4335,3)=$X$7)),"x","")</f>
        <v/>
      </c>
      <c r="Y4335" s="525" t="str">
        <f>IF(OR(TH!L4335=TH!$Y$7,M4335=TH!$Y$7),"x","")</f>
        <v/>
      </c>
      <c r="Z4335" s="525" t="str">
        <f>IF(AND(B4335&lt;=NKC!$N$8,B4335&gt;=NKC!$M$8),"x","")</f>
        <v/>
      </c>
      <c r="AA4335" s="687"/>
    </row>
    <row r="4336" spans="1:30" s="689" customFormat="1" ht="15.75" customHeight="1">
      <c r="A4336" s="517" t="str">
        <f>IF(B4336&lt;&gt;"",IF(AND(B4336&gt;=_TM1,B4336&lt;=_TM2,OR(TH!L4336="1111",TH!M4336="1111")),TH!D4336,""),"")</f>
        <v/>
      </c>
      <c r="B4336" s="685" t="str">
        <f t="shared" si="555"/>
        <v/>
      </c>
      <c r="C4336" s="671"/>
      <c r="D4336" s="671"/>
      <c r="E4336" s="679"/>
      <c r="F4336" s="673"/>
      <c r="G4336" s="686"/>
      <c r="H4336" s="675"/>
      <c r="I4336" s="676"/>
      <c r="J4336" s="676"/>
      <c r="K4336" s="677">
        <f t="shared" si="560"/>
        <v>0</v>
      </c>
      <c r="L4336" s="678" t="s">
        <v>158</v>
      </c>
      <c r="M4336" s="678" t="s">
        <v>292</v>
      </c>
      <c r="N4336" s="525" t="str">
        <f>IF(AND('331-CT'!$E$7=TH!H4336,OR(L4336="331",M4336="331")),"331",IF(AND(OR(L4336="131",M4336="131"),H4336='131-CT'!$E$7),"131",""))</f>
        <v/>
      </c>
      <c r="O4336" s="525" t="str">
        <f>IF(AND($B4336&gt;='111'!$N$11,$B4336&lt;='111'!$O$11,OR($L4336=$O$7,$M4336=$O$7)),"x","")</f>
        <v/>
      </c>
      <c r="P4336" s="525" t="str">
        <f>IF(AND($L4336=$O$7,$B4336&lt;'111'!$N$11),"x","")</f>
        <v/>
      </c>
      <c r="Q4336" s="525" t="str">
        <f>IF(AND($M4336=$O$7,$B4336&lt;'111'!$N$11),"x","")</f>
        <v/>
      </c>
      <c r="R4336" s="525" t="str">
        <f>IF(ISERROR(FIND('112'!$M$9,G4336,1)),"",IF((AND(FIND('112'!$M$9,G4336,1)&gt;=1,$B4336&gt;='112'!$N$8,$B4336&lt;='112'!$O$8,OR($L4336='112'!$I$6,$M4336='112'!$I$6))),"x",""))</f>
        <v/>
      </c>
      <c r="S4336" s="525" t="str">
        <f>IF(ISERROR(FIND('112'!$M$9,G4336,1)),"",IF((AND(LEFT(G4336,2)=LEFT('112'!$M$9,2),B4336&lt;'112'!$N$8,$L4336='112'!$I$6)),"x",""))</f>
        <v/>
      </c>
      <c r="T4336" s="525" t="str">
        <f>IF(ISERROR(FIND('112'!$M$9,G4336,1)),"",IF((AND(RIGHT(G4336,2)=RIGHT('112'!$M$9,2),B4336&lt;'112'!$N$8,$M4336='112'!$I$6)),"x",""))</f>
        <v/>
      </c>
      <c r="U4336" s="525" t="str">
        <f>IF(AND(B4336&gt;='IN-NX'!$P$3,B4336&lt;='IN-NX'!$Q$3,'IN-NX'!$D$7=D4336,OR(LEFT(L4336,2)="15",AND(LEFT(M4336,2)&lt;&gt;"15",LEFT(M4336,2)&lt;&gt;"33"))),"x","")</f>
        <v/>
      </c>
      <c r="V4336" s="525" t="str">
        <f>IF(AND(OR(LEFT(TH!L4336,2)="15",LEFT(TH!M4336,2)="15"),'152-CT'!$J$8=TH!F4336),"x","")</f>
        <v/>
      </c>
      <c r="W4336" s="525" t="str">
        <f>IF(AND(OR(LEFT(TH!L4336,2)="15",LEFT(TH!M4336,2)="15"),TK!$E$7=TH!F4336),"x","")</f>
        <v/>
      </c>
      <c r="X4336" s="525" t="str">
        <f>IF(AND('341-CT'!$E$9=H4336,OR(LEFT(L4336,3)=$X$7,LEFT(M4336,3)=$X$7)),"x","")</f>
        <v/>
      </c>
      <c r="Y4336" s="525" t="str">
        <f>IF(OR(TH!L4336=TH!$Y$7,M4336=TH!$Y$7),"x","")</f>
        <v/>
      </c>
      <c r="Z4336" s="525" t="str">
        <f>IF(AND(B4336&lt;=NKC!$N$8,B4336&gt;=NKC!$M$8),"x","")</f>
        <v/>
      </c>
      <c r="AA4336" s="687"/>
    </row>
    <row r="4337" spans="1:31" s="503" customFormat="1" ht="15.75" customHeight="1">
      <c r="A4337" s="517" t="str">
        <f>IF(B4337&lt;&gt;"",IF(AND(B4337&gt;=_TM1,B4337&lt;=_TM2,OR(TH!L4337="1111",TH!M4337="1111")),TH!D4337,""),"")</f>
        <v/>
      </c>
      <c r="B4337" s="531" t="str">
        <f t="shared" si="555"/>
        <v/>
      </c>
      <c r="C4337" s="315"/>
      <c r="D4337" s="315"/>
      <c r="E4337" s="545"/>
      <c r="F4337" s="245"/>
      <c r="G4337" s="541"/>
      <c r="H4337" s="473"/>
      <c r="I4337" s="307"/>
      <c r="J4337" s="307"/>
      <c r="K4337" s="532"/>
      <c r="L4337" s="539"/>
      <c r="M4337" s="539"/>
      <c r="N4337" s="525" t="str">
        <f>IF(AND('331-CT'!$E$7=TH!H4337,OR(L4337="331",M4337="331")),"331",IF(AND(OR(L4337="131",M4337="131"),H4337='131-CT'!$E$7),"131",""))</f>
        <v/>
      </c>
      <c r="O4337" s="525" t="str">
        <f>IF(AND($B4337&gt;='111'!$N$11,$B4337&lt;='111'!$O$11,OR($L4337=$O$7,$M4337=$O$7)),"x","")</f>
        <v/>
      </c>
      <c r="P4337" s="525" t="str">
        <f>IF(AND($L4337=$O$7,$B4337&lt;'111'!$N$11),"x","")</f>
        <v/>
      </c>
      <c r="Q4337" s="525" t="str">
        <f>IF(AND($M4337=$O$7,$B4337&lt;'111'!$N$11),"x","")</f>
        <v/>
      </c>
      <c r="R4337" s="525" t="str">
        <f>IF(ISERROR(FIND('112'!$M$9,G4337,1)),"",IF((AND(FIND('112'!$M$9,G4337,1)&gt;=1,$B4337&gt;='112'!$N$8,$B4337&lt;='112'!$O$8,OR($L4337='112'!$I$6,$M4337='112'!$I$6))),"x",""))</f>
        <v/>
      </c>
      <c r="S4337" s="525" t="str">
        <f>IF(ISERROR(FIND('112'!$M$9,G4337,1)),"",IF((AND(LEFT(G4337,2)=LEFT('112'!$M$9,2),B4337&lt;'112'!$N$8,$L4337='112'!$I$6)),"x",""))</f>
        <v/>
      </c>
      <c r="T4337" s="525" t="str">
        <f>IF(ISERROR(FIND('112'!$M$9,G4337,1)),"",IF((AND(RIGHT(G4337,2)=RIGHT('112'!$M$9,2),B4337&lt;'112'!$N$8,$M4337='112'!$I$6)),"x",""))</f>
        <v/>
      </c>
      <c r="U4337" s="525" t="str">
        <f>IF(AND(B4337&gt;='IN-NX'!$P$3,B4337&lt;='IN-NX'!$Q$3,'IN-NX'!$D$7=D4337,OR(LEFT(L4337,2)="15",AND(LEFT(M4337,2)&lt;&gt;"15",LEFT(M4337,2)&lt;&gt;"33"))),"x","")</f>
        <v/>
      </c>
      <c r="V4337" s="525" t="str">
        <f>IF(AND(OR(LEFT(TH!L4337,2)="15",LEFT(TH!M4337,2)="15"),'152-CT'!$J$8=TH!F4337),"x","")</f>
        <v/>
      </c>
      <c r="W4337" s="525" t="str">
        <f>IF(AND(OR(LEFT(TH!L4337,2)="15",LEFT(TH!M4337,2)="15"),TK!$E$7=TH!F4337),"x","")</f>
        <v/>
      </c>
      <c r="X4337" s="525" t="str">
        <f>IF(AND('341-CT'!$E$9=H4337,OR(LEFT(L4337,3)=$X$7,LEFT(M4337,3)=$X$7)),"x","")</f>
        <v/>
      </c>
      <c r="Y4337" s="525" t="str">
        <f>IF(OR(TH!L4337=TH!$Y$7,M4337=TH!$Y$7),"x","")</f>
        <v/>
      </c>
      <c r="Z4337" s="525" t="str">
        <f>IF(AND(B4337&lt;=NKC!$N$8,B4337&gt;=NKC!$M$8),"x","")</f>
        <v/>
      </c>
      <c r="AA4337" s="535"/>
      <c r="AB4337" s="536"/>
      <c r="AD4337" s="536"/>
    </row>
    <row r="4338" spans="1:31" s="503" customFormat="1" ht="15.75" customHeight="1">
      <c r="A4338" s="517" t="str">
        <f>IF(B4338&lt;&gt;"",IF(AND(B4338&gt;=_TM1,B4338&lt;=_TM2,OR(TH!L4338="1111",TH!M4338="1111")),TH!D4338,""),"")</f>
        <v/>
      </c>
      <c r="B4338" s="531" t="str">
        <f t="shared" si="555"/>
        <v/>
      </c>
      <c r="C4338" s="315"/>
      <c r="D4338" s="315"/>
      <c r="E4338" s="545"/>
      <c r="F4338" s="246"/>
      <c r="G4338" s="314"/>
      <c r="H4338" s="472"/>
      <c r="I4338" s="307"/>
      <c r="J4338" s="307"/>
      <c r="K4338" s="532"/>
      <c r="L4338" s="533"/>
      <c r="M4338" s="533"/>
      <c r="N4338" s="525" t="str">
        <f>IF(AND('331-CT'!$E$7=TH!H4338,OR(L4338="331",M4338="331")),"331",IF(AND(OR(L4338="131",M4338="131"),H4338='131-CT'!$E$7),"131",""))</f>
        <v/>
      </c>
      <c r="O4338" s="525" t="str">
        <f>IF(AND($B4338&gt;='111'!$N$11,$B4338&lt;='111'!$O$11,OR($L4338=$O$7,$M4338=$O$7)),"x","")</f>
        <v/>
      </c>
      <c r="P4338" s="525" t="str">
        <f>IF(AND($L4338=$O$7,$B4338&lt;'111'!$N$11),"x","")</f>
        <v/>
      </c>
      <c r="Q4338" s="525" t="str">
        <f>IF(AND($M4338=$O$7,$B4338&lt;'111'!$N$11),"x","")</f>
        <v/>
      </c>
      <c r="R4338" s="525" t="str">
        <f>IF(ISERROR(FIND('112'!$M$9,G4338,1)),"",IF((AND(FIND('112'!$M$9,G4338,1)&gt;=1,$B4338&gt;='112'!$N$8,$B4338&lt;='112'!$O$8,OR($L4338='112'!$I$6,$M4338='112'!$I$6))),"x",""))</f>
        <v/>
      </c>
      <c r="S4338" s="525" t="str">
        <f>IF(ISERROR(FIND('112'!$M$9,G4338,1)),"",IF((AND(LEFT(G4338,2)=LEFT('112'!$M$9,2),B4338&lt;'112'!$N$8,$L4338='112'!$I$6)),"x",""))</f>
        <v/>
      </c>
      <c r="T4338" s="525" t="str">
        <f>IF(ISERROR(FIND('112'!$M$9,G4338,1)),"",IF((AND(RIGHT(G4338,2)=RIGHT('112'!$M$9,2),B4338&lt;'112'!$N$8,$M4338='112'!$I$6)),"x",""))</f>
        <v/>
      </c>
      <c r="U4338" s="525" t="str">
        <f>IF(AND(B4338&gt;='IN-NX'!$P$3,B4338&lt;='IN-NX'!$Q$3,'IN-NX'!$D$7=D4338,OR(LEFT(L4338,2)="15",AND(LEFT(M4338,2)&lt;&gt;"15",LEFT(M4338,2)&lt;&gt;"33"))),"x","")</f>
        <v/>
      </c>
      <c r="V4338" s="525" t="str">
        <f>IF(AND(OR(LEFT(TH!L4338,2)="15",LEFT(TH!M4338,2)="15"),'152-CT'!$J$8=TH!F4338),"x","")</f>
        <v/>
      </c>
      <c r="W4338" s="525" t="str">
        <f>IF(AND(OR(LEFT(TH!L4338,2)="15",LEFT(TH!M4338,2)="15"),TK!$E$7=TH!F4338),"x","")</f>
        <v/>
      </c>
      <c r="X4338" s="525" t="str">
        <f>IF(AND('341-CT'!$E$9=H4338,OR(LEFT(L4338,3)=$X$7,LEFT(M4338,3)=$X$7)),"x","")</f>
        <v/>
      </c>
      <c r="Y4338" s="525" t="str">
        <f>IF(OR(TH!L4338=TH!$Y$7,M4338=TH!$Y$7),"x","")</f>
        <v/>
      </c>
      <c r="Z4338" s="525" t="str">
        <f>IF(AND(B4338&lt;=NKC!$N$8,B4338&gt;=NKC!$M$8),"x","")</f>
        <v/>
      </c>
      <c r="AA4338" s="535"/>
      <c r="AB4338" s="536"/>
    </row>
    <row r="4339" spans="1:31" s="503" customFormat="1" ht="15.75" customHeight="1">
      <c r="A4339" s="517" t="str">
        <f>IF(B4339&lt;&gt;"",IF(AND(B4339&gt;=_TM1,B4339&lt;=_TM2,OR(TH!L4339="1111",TH!M4339="1111")),TH!D4339,""),"")</f>
        <v/>
      </c>
      <c r="B4339" s="531" t="str">
        <f t="shared" si="555"/>
        <v/>
      </c>
      <c r="C4339" s="315"/>
      <c r="D4339" s="315"/>
      <c r="E4339" s="545"/>
      <c r="F4339" s="246"/>
      <c r="G4339" s="314"/>
      <c r="H4339" s="472"/>
      <c r="I4339" s="307"/>
      <c r="J4339" s="307"/>
      <c r="K4339" s="532"/>
      <c r="L4339" s="533"/>
      <c r="M4339" s="533"/>
      <c r="N4339" s="525" t="str">
        <f>IF(AND('331-CT'!$E$7=TH!H4339,OR(L4339="331",M4339="331")),"331",IF(AND(OR(L4339="131",M4339="131"),H4339='131-CT'!$E$7),"131",""))</f>
        <v/>
      </c>
      <c r="O4339" s="525" t="str">
        <f>IF(AND($B4339&gt;='111'!$N$11,$B4339&lt;='111'!$O$11,OR($L4339=$O$7,$M4339=$O$7)),"x","")</f>
        <v/>
      </c>
      <c r="P4339" s="525" t="str">
        <f>IF(AND($L4339=$O$7,$B4339&lt;'111'!$N$11),"x","")</f>
        <v/>
      </c>
      <c r="Q4339" s="525" t="str">
        <f>IF(AND($M4339=$O$7,$B4339&lt;'111'!$N$11),"x","")</f>
        <v/>
      </c>
      <c r="R4339" s="525" t="str">
        <f>IF(ISERROR(FIND('112'!$M$9,G4339,1)),"",IF((AND(FIND('112'!$M$9,G4339,1)&gt;=1,$B4339&gt;='112'!$N$8,$B4339&lt;='112'!$O$8,OR($L4339='112'!$I$6,$M4339='112'!$I$6))),"x",""))</f>
        <v/>
      </c>
      <c r="S4339" s="525" t="str">
        <f>IF(ISERROR(FIND('112'!$M$9,G4339,1)),"",IF((AND(LEFT(G4339,2)=LEFT('112'!$M$9,2),B4339&lt;'112'!$N$8,$L4339='112'!$I$6)),"x",""))</f>
        <v/>
      </c>
      <c r="T4339" s="525" t="str">
        <f>IF(ISERROR(FIND('112'!$M$9,G4339,1)),"",IF((AND(RIGHT(G4339,2)=RIGHT('112'!$M$9,2),B4339&lt;'112'!$N$8,$M4339='112'!$I$6)),"x",""))</f>
        <v/>
      </c>
      <c r="U4339" s="525" t="str">
        <f>IF(AND(B4339&gt;='IN-NX'!$P$3,B4339&lt;='IN-NX'!$Q$3,'IN-NX'!$D$7=D4339,OR(LEFT(L4339,2)="15",AND(LEFT(M4339,2)&lt;&gt;"15",LEFT(M4339,2)&lt;&gt;"33"))),"x","")</f>
        <v/>
      </c>
      <c r="V4339" s="525" t="str">
        <f>IF(AND(OR(LEFT(TH!L4339,2)="15",LEFT(TH!M4339,2)="15"),'152-CT'!$J$8=TH!F4339),"x","")</f>
        <v/>
      </c>
      <c r="W4339" s="525" t="str">
        <f>IF(AND(OR(LEFT(TH!L4339,2)="15",LEFT(TH!M4339,2)="15"),TK!$E$7=TH!F4339),"x","")</f>
        <v/>
      </c>
      <c r="X4339" s="525" t="str">
        <f>IF(AND('341-CT'!$E$9=H4339,OR(LEFT(L4339,3)=$X$7,LEFT(M4339,3)=$X$7)),"x","")</f>
        <v/>
      </c>
      <c r="Y4339" s="525" t="str">
        <f>IF(OR(TH!L4339=TH!$Y$7,M4339=TH!$Y$7),"x","")</f>
        <v/>
      </c>
      <c r="Z4339" s="525" t="str">
        <f>IF(AND(B4339&lt;=NKC!$N$8,B4339&gt;=NKC!$M$8),"x","")</f>
        <v/>
      </c>
      <c r="AA4339" s="535"/>
      <c r="AB4339" s="536"/>
    </row>
    <row r="4340" spans="1:31" s="503" customFormat="1" ht="15.75" customHeight="1">
      <c r="A4340" s="517" t="str">
        <f>IF(B4340&lt;&gt;"",IF(AND(B4340&gt;=_TM1,B4340&lt;=_TM2,OR(TH!L4340="1111",TH!M4340="1111")),TH!D4340,""),"")</f>
        <v/>
      </c>
      <c r="B4340" s="531" t="str">
        <f t="shared" si="555"/>
        <v/>
      </c>
      <c r="C4340" s="315"/>
      <c r="D4340" s="315"/>
      <c r="E4340" s="545"/>
      <c r="F4340" s="246"/>
      <c r="G4340" s="314"/>
      <c r="H4340" s="472"/>
      <c r="I4340" s="307"/>
      <c r="J4340" s="307"/>
      <c r="K4340" s="532"/>
      <c r="L4340" s="533"/>
      <c r="M4340" s="533"/>
      <c r="N4340" s="525" t="str">
        <f>IF(AND('331-CT'!$E$7=TH!H4340,OR(L4340="331",M4340="331")),"331",IF(AND(OR(L4340="131",M4340="131"),H4340='131-CT'!$E$7),"131",""))</f>
        <v/>
      </c>
      <c r="O4340" s="525" t="str">
        <f>IF(AND($B4340&gt;='111'!$N$11,$B4340&lt;='111'!$O$11,OR($L4340=$O$7,$M4340=$O$7)),"x","")</f>
        <v/>
      </c>
      <c r="P4340" s="525" t="str">
        <f>IF(AND($L4340=$O$7,$B4340&lt;'111'!$N$11),"x","")</f>
        <v/>
      </c>
      <c r="Q4340" s="525" t="str">
        <f>IF(AND($M4340=$O$7,$B4340&lt;'111'!$N$11),"x","")</f>
        <v/>
      </c>
      <c r="R4340" s="525" t="str">
        <f>IF(ISERROR(FIND('112'!$M$9,G4340,1)),"",IF((AND(FIND('112'!$M$9,G4340,1)&gt;=1,$B4340&gt;='112'!$N$8,$B4340&lt;='112'!$O$8,OR($L4340='112'!$I$6,$M4340='112'!$I$6))),"x",""))</f>
        <v/>
      </c>
      <c r="S4340" s="525" t="str">
        <f>IF(ISERROR(FIND('112'!$M$9,G4340,1)),"",IF((AND(LEFT(G4340,2)=LEFT('112'!$M$9,2),B4340&lt;'112'!$N$8,$L4340='112'!$I$6)),"x",""))</f>
        <v/>
      </c>
      <c r="T4340" s="525" t="str">
        <f>IF(ISERROR(FIND('112'!$M$9,G4340,1)),"",IF((AND(RIGHT(G4340,2)=RIGHT('112'!$M$9,2),B4340&lt;'112'!$N$8,$M4340='112'!$I$6)),"x",""))</f>
        <v/>
      </c>
      <c r="U4340" s="525" t="str">
        <f>IF(AND(B4340&gt;='IN-NX'!$P$3,B4340&lt;='IN-NX'!$Q$3,'IN-NX'!$D$7=D4340,OR(LEFT(L4340,2)="15",AND(LEFT(M4340,2)&lt;&gt;"15",LEFT(M4340,2)&lt;&gt;"33"))),"x","")</f>
        <v/>
      </c>
      <c r="V4340" s="525" t="str">
        <f>IF(AND(OR(LEFT(TH!L4340,2)="15",LEFT(TH!M4340,2)="15"),'152-CT'!$J$8=TH!F4340),"x","")</f>
        <v/>
      </c>
      <c r="W4340" s="525" t="str">
        <f>IF(AND(OR(LEFT(TH!L4340,2)="15",LEFT(TH!M4340,2)="15"),TK!$E$7=TH!F4340),"x","")</f>
        <v/>
      </c>
      <c r="X4340" s="525" t="str">
        <f>IF(AND('341-CT'!$E$9=H4340,OR(LEFT(L4340,3)=$X$7,LEFT(M4340,3)=$X$7)),"x","")</f>
        <v/>
      </c>
      <c r="Y4340" s="525" t="str">
        <f>IF(OR(TH!L4340=TH!$Y$7,M4340=TH!$Y$7),"x","")</f>
        <v/>
      </c>
      <c r="Z4340" s="525" t="str">
        <f>IF(AND(B4340&lt;=NKC!$N$8,B4340&gt;=NKC!$M$8),"x","")</f>
        <v/>
      </c>
      <c r="AA4340" s="535"/>
      <c r="AB4340" s="536"/>
    </row>
    <row r="4341" spans="1:31" s="503" customFormat="1" ht="15.75" customHeight="1">
      <c r="A4341" s="517" t="str">
        <f>IF(B4341&lt;&gt;"",IF(AND(B4341&gt;=_TM1,B4341&lt;=_TM2,OR(TH!L4341="1111",TH!M4341="1111")),TH!D4341,""),"")</f>
        <v/>
      </c>
      <c r="B4341" s="531" t="str">
        <f t="shared" si="555"/>
        <v/>
      </c>
      <c r="C4341" s="315"/>
      <c r="D4341" s="315"/>
      <c r="E4341" s="545"/>
      <c r="F4341" s="249"/>
      <c r="G4341" s="314"/>
      <c r="H4341" s="473"/>
      <c r="I4341" s="307"/>
      <c r="J4341" s="307"/>
      <c r="K4341" s="532"/>
      <c r="L4341" s="533"/>
      <c r="M4341" s="533"/>
      <c r="N4341" s="525" t="str">
        <f>IF(AND('331-CT'!$E$7=TH!H4341,OR(L4341="331",M4341="331")),"331",IF(AND(OR(L4341="131",M4341="131"),H4341='131-CT'!$E$7),"131",""))</f>
        <v/>
      </c>
      <c r="O4341" s="525" t="str">
        <f>IF(AND($B4341&gt;='111'!$N$11,$B4341&lt;='111'!$O$11,OR($L4341=$O$7,$M4341=$O$7)),"x","")</f>
        <v/>
      </c>
      <c r="P4341" s="525" t="str">
        <f>IF(AND($L4341=$O$7,$B4341&lt;'111'!$N$11),"x","")</f>
        <v/>
      </c>
      <c r="Q4341" s="525" t="str">
        <f>IF(AND($M4341=$O$7,$B4341&lt;'111'!$N$11),"x","")</f>
        <v/>
      </c>
      <c r="R4341" s="525" t="str">
        <f>IF(ISERROR(FIND('112'!$M$9,G4341,1)),"",IF((AND(FIND('112'!$M$9,G4341,1)&gt;=1,$B4341&gt;='112'!$N$8,$B4341&lt;='112'!$O$8,OR($L4341='112'!$I$6,$M4341='112'!$I$6))),"x",""))</f>
        <v/>
      </c>
      <c r="S4341" s="525" t="str">
        <f>IF(ISERROR(FIND('112'!$M$9,G4341,1)),"",IF((AND(LEFT(G4341,2)=LEFT('112'!$M$9,2),B4341&lt;'112'!$N$8,$L4341='112'!$I$6)),"x",""))</f>
        <v/>
      </c>
      <c r="T4341" s="525" t="str">
        <f>IF(ISERROR(FIND('112'!$M$9,G4341,1)),"",IF((AND(RIGHT(G4341,2)=RIGHT('112'!$M$9,2),B4341&lt;'112'!$N$8,$M4341='112'!$I$6)),"x",""))</f>
        <v/>
      </c>
      <c r="U4341" s="525" t="str">
        <f>IF(AND(B4341&gt;='IN-NX'!$P$3,B4341&lt;='IN-NX'!$Q$3,'IN-NX'!$D$7=D4341,OR(LEFT(L4341,2)="15",AND(LEFT(M4341,2)&lt;&gt;"15",LEFT(M4341,2)&lt;&gt;"33"))),"x","")</f>
        <v/>
      </c>
      <c r="V4341" s="525" t="str">
        <f>IF(AND(OR(LEFT(TH!L4341,2)="15",LEFT(TH!M4341,2)="15"),'152-CT'!$J$8=TH!F4341),"x","")</f>
        <v/>
      </c>
      <c r="W4341" s="525" t="str">
        <f>IF(AND(OR(LEFT(TH!L4341,2)="15",LEFT(TH!M4341,2)="15"),TK!$E$7=TH!F4341),"x","")</f>
        <v/>
      </c>
      <c r="X4341" s="525" t="str">
        <f>IF(AND('341-CT'!$E$9=H4341,OR(LEFT(L4341,3)=$X$7,LEFT(M4341,3)=$X$7)),"x","")</f>
        <v/>
      </c>
      <c r="Y4341" s="525" t="str">
        <f>IF(OR(TH!L4341=TH!$Y$7,M4341=TH!$Y$7),"x","")</f>
        <v/>
      </c>
      <c r="Z4341" s="525" t="str">
        <f>IF(AND(B4341&lt;=NKC!$N$8,B4341&gt;=NKC!$M$8),"x","")</f>
        <v/>
      </c>
      <c r="AA4341" s="535"/>
      <c r="AB4341" s="536"/>
    </row>
    <row r="4342" spans="1:31" s="503" customFormat="1" ht="15.75" customHeight="1">
      <c r="A4342" s="517" t="str">
        <f>IF(B4342&lt;&gt;"",IF(AND(B4342&gt;=_TM1,B4342&lt;=_TM2,OR(TH!L4342="1111",TH!M4342="1111")),TH!D4342,""),"")</f>
        <v/>
      </c>
      <c r="B4342" s="531" t="str">
        <f t="shared" si="555"/>
        <v/>
      </c>
      <c r="C4342" s="315"/>
      <c r="D4342" s="315"/>
      <c r="E4342" s="545"/>
      <c r="F4342" s="245"/>
      <c r="G4342" s="314"/>
      <c r="H4342" s="473"/>
      <c r="I4342" s="307"/>
      <c r="J4342" s="307"/>
      <c r="K4342" s="532"/>
      <c r="L4342" s="533"/>
      <c r="M4342" s="533"/>
      <c r="N4342" s="525" t="str">
        <f>IF(AND('331-CT'!$E$7=TH!H4342,OR(L4342="331",M4342="331")),"331",IF(AND(OR(L4342="131",M4342="131"),H4342='131-CT'!$E$7),"131",""))</f>
        <v/>
      </c>
      <c r="O4342" s="525" t="str">
        <f>IF(AND($B4342&gt;='111'!$N$11,$B4342&lt;='111'!$O$11,OR($L4342=$O$7,$M4342=$O$7)),"x","")</f>
        <v/>
      </c>
      <c r="P4342" s="525" t="str">
        <f>IF(AND($L4342=$O$7,$B4342&lt;'111'!$N$11),"x","")</f>
        <v/>
      </c>
      <c r="Q4342" s="525" t="str">
        <f>IF(AND($M4342=$O$7,$B4342&lt;'111'!$N$11),"x","")</f>
        <v/>
      </c>
      <c r="R4342" s="525" t="str">
        <f>IF(ISERROR(FIND('112'!$M$9,G4342,1)),"",IF((AND(FIND('112'!$M$9,G4342,1)&gt;=1,$B4342&gt;='112'!$N$8,$B4342&lt;='112'!$O$8,OR($L4342='112'!$I$6,$M4342='112'!$I$6))),"x",""))</f>
        <v/>
      </c>
      <c r="S4342" s="525" t="str">
        <f>IF(ISERROR(FIND('112'!$M$9,G4342,1)),"",IF((AND(LEFT(G4342,2)=LEFT('112'!$M$9,2),B4342&lt;'112'!$N$8,$L4342='112'!$I$6)),"x",""))</f>
        <v/>
      </c>
      <c r="T4342" s="525" t="str">
        <f>IF(ISERROR(FIND('112'!$M$9,G4342,1)),"",IF((AND(RIGHT(G4342,2)=RIGHT('112'!$M$9,2),B4342&lt;'112'!$N$8,$M4342='112'!$I$6)),"x",""))</f>
        <v/>
      </c>
      <c r="U4342" s="525" t="str">
        <f>IF(AND(B4342&gt;='IN-NX'!$P$3,B4342&lt;='IN-NX'!$Q$3,'IN-NX'!$D$7=D4342,OR(LEFT(L4342,2)="15",AND(LEFT(M4342,2)&lt;&gt;"15",LEFT(M4342,2)&lt;&gt;"33"))),"x","")</f>
        <v/>
      </c>
      <c r="V4342" s="525" t="str">
        <f>IF(AND(OR(LEFT(TH!L4342,2)="15",LEFT(TH!M4342,2)="15"),'152-CT'!$J$8=TH!F4342),"x","")</f>
        <v/>
      </c>
      <c r="W4342" s="525" t="str">
        <f>IF(AND(OR(LEFT(TH!L4342,2)="15",LEFT(TH!M4342,2)="15"),TK!$E$7=TH!F4342),"x","")</f>
        <v/>
      </c>
      <c r="X4342" s="525" t="str">
        <f>IF(AND('341-CT'!$E$9=H4342,OR(LEFT(L4342,3)=$X$7,LEFT(M4342,3)=$X$7)),"x","")</f>
        <v/>
      </c>
      <c r="Y4342" s="525" t="str">
        <f>IF(OR(TH!L4342=TH!$Y$7,M4342=TH!$Y$7),"x","")</f>
        <v/>
      </c>
      <c r="Z4342" s="525" t="str">
        <f>IF(AND(B4342&lt;=NKC!$N$8,B4342&gt;=NKC!$M$8),"x","")</f>
        <v/>
      </c>
      <c r="AA4342" s="535"/>
      <c r="AB4342" s="536"/>
    </row>
    <row r="4343" spans="1:31" s="503" customFormat="1" ht="15.75" customHeight="1">
      <c r="A4343" s="517" t="str">
        <f>IF(B4343&lt;&gt;"",IF(AND(B4343&gt;=_TM1,B4343&lt;=_TM2,OR(TH!L4343="1111",TH!M4343="1111")),TH!D4343,""),"")</f>
        <v/>
      </c>
      <c r="B4343" s="531" t="str">
        <f t="shared" si="555"/>
        <v/>
      </c>
      <c r="C4343" s="315"/>
      <c r="D4343" s="315"/>
      <c r="E4343" s="280"/>
      <c r="F4343" s="246"/>
      <c r="G4343" s="314"/>
      <c r="H4343" s="473"/>
      <c r="I4343" s="307"/>
      <c r="J4343" s="307"/>
      <c r="K4343" s="532"/>
      <c r="L4343" s="534"/>
      <c r="M4343" s="534"/>
      <c r="N4343" s="525" t="str">
        <f>IF(AND('331-CT'!$E$7=TH!H4343,OR(L4343="331",M4343="331")),"331",IF(AND(OR(L4343="131",M4343="131"),H4343='131-CT'!$E$7),"131",""))</f>
        <v/>
      </c>
      <c r="O4343" s="525" t="str">
        <f>IF(AND($B4343&gt;='111'!$N$11,$B4343&lt;='111'!$O$11,OR($L4343=$O$7,$M4343=$O$7)),"x","")</f>
        <v/>
      </c>
      <c r="P4343" s="525" t="str">
        <f>IF(AND($L4343=$O$7,$B4343&lt;'111'!$N$11),"x","")</f>
        <v/>
      </c>
      <c r="Q4343" s="525" t="str">
        <f>IF(AND($M4343=$O$7,$B4343&lt;'111'!$N$11),"x","")</f>
        <v/>
      </c>
      <c r="R4343" s="525" t="str">
        <f>IF(ISERROR(FIND('112'!$M$9,G4343,1)),"",IF((AND(FIND('112'!$M$9,G4343,1)&gt;=1,$B4343&gt;='112'!$N$8,$B4343&lt;='112'!$O$8,OR($L4343='112'!$I$6,$M4343='112'!$I$6))),"x",""))</f>
        <v/>
      </c>
      <c r="S4343" s="525" t="str">
        <f>IF(ISERROR(FIND('112'!$M$9,G4343,1)),"",IF((AND(LEFT(G4343,2)=LEFT('112'!$M$9,2),B4343&lt;'112'!$N$8,$L4343='112'!$I$6)),"x",""))</f>
        <v/>
      </c>
      <c r="T4343" s="525" t="str">
        <f>IF(ISERROR(FIND('112'!$M$9,G4343,1)),"",IF((AND(RIGHT(G4343,2)=RIGHT('112'!$M$9,2),B4343&lt;'112'!$N$8,$M4343='112'!$I$6)),"x",""))</f>
        <v/>
      </c>
      <c r="U4343" s="525" t="str">
        <f>IF(AND(B4343&gt;='IN-NX'!$P$3,B4343&lt;='IN-NX'!$Q$3,'IN-NX'!$D$7=D4343,OR(LEFT(L4343,2)="15",AND(LEFT(M4343,2)&lt;&gt;"15",LEFT(M4343,2)&lt;&gt;"33"))),"x","")</f>
        <v/>
      </c>
      <c r="V4343" s="525" t="str">
        <f>IF(AND(OR(LEFT(TH!L4343,2)="15",LEFT(TH!M4343,2)="15"),'152-CT'!$J$8=TH!F4343),"x","")</f>
        <v/>
      </c>
      <c r="W4343" s="525" t="str">
        <f>IF(AND(OR(LEFT(TH!L4343,2)="15",LEFT(TH!M4343,2)="15"),TK!$E$7=TH!F4343),"x","")</f>
        <v/>
      </c>
      <c r="X4343" s="525" t="str">
        <f>IF(AND('341-CT'!$E$9=H4343,OR(LEFT(L4343,3)=$X$7,LEFT(M4343,3)=$X$7)),"x","")</f>
        <v/>
      </c>
      <c r="Y4343" s="525" t="str">
        <f>IF(OR(TH!L4343=TH!$Y$7,M4343=TH!$Y$7),"x","")</f>
        <v/>
      </c>
      <c r="Z4343" s="525" t="str">
        <f>IF(AND(B4343&lt;=NKC!$N$8,B4343&gt;=NKC!$M$8),"x","")</f>
        <v/>
      </c>
      <c r="AA4343" s="535"/>
    </row>
    <row r="4344" spans="1:31" s="503" customFormat="1" ht="15.75" customHeight="1">
      <c r="A4344" s="517" t="str">
        <f>IF(B4344&lt;&gt;"",IF(AND(B4344&gt;=_TM1,B4344&lt;=_TM2,OR(TH!L4344="1111",TH!M4344="1111")),TH!D4344,""),"")</f>
        <v/>
      </c>
      <c r="B4344" s="531" t="str">
        <f t="shared" si="555"/>
        <v/>
      </c>
      <c r="C4344" s="315"/>
      <c r="D4344" s="315"/>
      <c r="E4344" s="545"/>
      <c r="F4344" s="249"/>
      <c r="G4344" s="541"/>
      <c r="H4344" s="473"/>
      <c r="I4344" s="307"/>
      <c r="J4344" s="307"/>
      <c r="K4344" s="532"/>
      <c r="L4344" s="539"/>
      <c r="M4344" s="539"/>
      <c r="N4344" s="525" t="str">
        <f>IF(AND('331-CT'!$E$7=TH!H4344,OR(L4344="331",M4344="331")),"331",IF(AND(OR(L4344="131",M4344="131"),H4344='131-CT'!$E$7),"131",""))</f>
        <v/>
      </c>
      <c r="O4344" s="525" t="str">
        <f>IF(AND($B4344&gt;='111'!$N$11,$B4344&lt;='111'!$O$11,OR($L4344=$O$7,$M4344=$O$7)),"x","")</f>
        <v/>
      </c>
      <c r="P4344" s="525" t="str">
        <f>IF(AND($L4344=$O$7,$B4344&lt;'111'!$N$11),"x","")</f>
        <v/>
      </c>
      <c r="Q4344" s="525" t="str">
        <f>IF(AND($M4344=$O$7,$B4344&lt;'111'!$N$11),"x","")</f>
        <v/>
      </c>
      <c r="R4344" s="525" t="str">
        <f>IF(ISERROR(FIND('112'!$M$9,G4344,1)),"",IF((AND(FIND('112'!$M$9,G4344,1)&gt;=1,$B4344&gt;='112'!$N$8,$B4344&lt;='112'!$O$8,OR($L4344='112'!$I$6,$M4344='112'!$I$6))),"x",""))</f>
        <v/>
      </c>
      <c r="S4344" s="525" t="str">
        <f>IF(ISERROR(FIND('112'!$M$9,G4344,1)),"",IF((AND(LEFT(G4344,2)=LEFT('112'!$M$9,2),B4344&lt;'112'!$N$8,$L4344='112'!$I$6)),"x",""))</f>
        <v/>
      </c>
      <c r="T4344" s="525" t="str">
        <f>IF(ISERROR(FIND('112'!$M$9,G4344,1)),"",IF((AND(RIGHT(G4344,2)=RIGHT('112'!$M$9,2),B4344&lt;'112'!$N$8,$M4344='112'!$I$6)),"x",""))</f>
        <v/>
      </c>
      <c r="U4344" s="525" t="str">
        <f>IF(AND(B4344&gt;='IN-NX'!$P$3,B4344&lt;='IN-NX'!$Q$3,'IN-NX'!$D$7=D4344,OR(LEFT(L4344,2)="15",AND(LEFT(M4344,2)&lt;&gt;"15",LEFT(M4344,2)&lt;&gt;"33"))),"x","")</f>
        <v/>
      </c>
      <c r="V4344" s="525" t="str">
        <f>IF(AND(OR(LEFT(TH!L4344,2)="15",LEFT(TH!M4344,2)="15"),'152-CT'!$J$8=TH!F4344),"x","")</f>
        <v/>
      </c>
      <c r="W4344" s="525" t="str">
        <f>IF(AND(OR(LEFT(TH!L4344,2)="15",LEFT(TH!M4344,2)="15"),TK!$E$7=TH!F4344),"x","")</f>
        <v/>
      </c>
      <c r="X4344" s="525" t="str">
        <f>IF(AND('341-CT'!$E$9=H4344,OR(LEFT(L4344,3)=$X$7,LEFT(M4344,3)=$X$7)),"x","")</f>
        <v/>
      </c>
      <c r="Y4344" s="525" t="str">
        <f>IF(OR(TH!L4344=TH!$Y$7,M4344=TH!$Y$7),"x","")</f>
        <v/>
      </c>
      <c r="Z4344" s="525" t="str">
        <f>IF(AND(B4344&lt;=NKC!$N$8,B4344&gt;=NKC!$M$8),"x","")</f>
        <v/>
      </c>
      <c r="AA4344" s="546"/>
      <c r="AB4344" s="536"/>
      <c r="AE4344" s="536"/>
    </row>
    <row r="4345" spans="1:31" s="503" customFormat="1" ht="15.75" customHeight="1">
      <c r="A4345" s="517" t="str">
        <f>IF(B4345&lt;&gt;"",IF(AND(B4345&gt;=_TM1,B4345&lt;=_TM2,OR(TH!L4345="1111",TH!M4345="1111")),TH!D4345,""),"")</f>
        <v/>
      </c>
      <c r="B4345" s="531" t="str">
        <f t="shared" si="555"/>
        <v/>
      </c>
      <c r="C4345" s="315"/>
      <c r="D4345" s="315"/>
      <c r="E4345" s="545"/>
      <c r="F4345" s="245"/>
      <c r="G4345" s="541"/>
      <c r="H4345" s="473"/>
      <c r="I4345" s="307"/>
      <c r="J4345" s="307"/>
      <c r="K4345" s="532"/>
      <c r="L4345" s="539"/>
      <c r="M4345" s="539"/>
      <c r="N4345" s="525" t="str">
        <f>IF(AND('331-CT'!$E$7=TH!H4345,OR(L4345="331",M4345="331")),"331",IF(AND(OR(L4345="131",M4345="131"),H4345='131-CT'!$E$7),"131",""))</f>
        <v/>
      </c>
      <c r="O4345" s="525" t="str">
        <f>IF(AND($B4345&gt;='111'!$N$11,$B4345&lt;='111'!$O$11,OR($L4345=$O$7,$M4345=$O$7)),"x","")</f>
        <v/>
      </c>
      <c r="P4345" s="525" t="str">
        <f>IF(AND($L4345=$O$7,$B4345&lt;'111'!$N$11),"x","")</f>
        <v/>
      </c>
      <c r="Q4345" s="525" t="str">
        <f>IF(AND($M4345=$O$7,$B4345&lt;'111'!$N$11),"x","")</f>
        <v/>
      </c>
      <c r="R4345" s="525" t="str">
        <f>IF(ISERROR(FIND('112'!$M$9,G4345,1)),"",IF((AND(FIND('112'!$M$9,G4345,1)&gt;=1,$B4345&gt;='112'!$N$8,$B4345&lt;='112'!$O$8,OR($L4345='112'!$I$6,$M4345='112'!$I$6))),"x",""))</f>
        <v/>
      </c>
      <c r="S4345" s="525" t="str">
        <f>IF(ISERROR(FIND('112'!$M$9,G4345,1)),"",IF((AND(LEFT(G4345,2)=LEFT('112'!$M$9,2),B4345&lt;'112'!$N$8,$L4345='112'!$I$6)),"x",""))</f>
        <v/>
      </c>
      <c r="T4345" s="525" t="str">
        <f>IF(ISERROR(FIND('112'!$M$9,G4345,1)),"",IF((AND(RIGHT(G4345,2)=RIGHT('112'!$M$9,2),B4345&lt;'112'!$N$8,$M4345='112'!$I$6)),"x",""))</f>
        <v/>
      </c>
      <c r="U4345" s="525" t="str">
        <f>IF(AND(B4345&gt;='IN-NX'!$P$3,B4345&lt;='IN-NX'!$Q$3,'IN-NX'!$D$7=D4345,OR(LEFT(L4345,2)="15",AND(LEFT(M4345,2)&lt;&gt;"15",LEFT(M4345,2)&lt;&gt;"33"))),"x","")</f>
        <v/>
      </c>
      <c r="V4345" s="525" t="str">
        <f>IF(AND(OR(LEFT(TH!L4345,2)="15",LEFT(TH!M4345,2)="15"),'152-CT'!$J$8=TH!F4345),"x","")</f>
        <v/>
      </c>
      <c r="W4345" s="525" t="str">
        <f>IF(AND(OR(LEFT(TH!L4345,2)="15",LEFT(TH!M4345,2)="15"),TK!$E$7=TH!F4345),"x","")</f>
        <v/>
      </c>
      <c r="X4345" s="525" t="str">
        <f>IF(AND('341-CT'!$E$9=H4345,OR(LEFT(L4345,3)=$X$7,LEFT(M4345,3)=$X$7)),"x","")</f>
        <v/>
      </c>
      <c r="Y4345" s="525" t="str">
        <f>IF(OR(TH!L4345=TH!$Y$7,M4345=TH!$Y$7),"x","")</f>
        <v/>
      </c>
      <c r="Z4345" s="525" t="str">
        <f>IF(AND(B4345&lt;=NKC!$N$8,B4345&gt;=NKC!$M$8),"x","")</f>
        <v/>
      </c>
      <c r="AA4345" s="546"/>
      <c r="AB4345" s="536"/>
      <c r="AE4345" s="536"/>
    </row>
    <row r="4346" spans="1:31" s="503" customFormat="1" ht="15.75" customHeight="1">
      <c r="A4346" s="517" t="str">
        <f>IF(B4346&lt;&gt;"",IF(AND(B4346&gt;=_TM1,B4346&lt;=_TM2,OR(TH!L4346="1111",TH!M4346="1111")),TH!D4346,""),"")</f>
        <v/>
      </c>
      <c r="B4346" s="531" t="str">
        <f t="shared" si="555"/>
        <v/>
      </c>
      <c r="C4346" s="315"/>
      <c r="D4346" s="544"/>
      <c r="E4346" s="545"/>
      <c r="F4346" s="245"/>
      <c r="G4346" s="541"/>
      <c r="H4346" s="472"/>
      <c r="I4346" s="307"/>
      <c r="J4346" s="307"/>
      <c r="K4346" s="532"/>
      <c r="L4346" s="539"/>
      <c r="M4346" s="539"/>
      <c r="N4346" s="525" t="str">
        <f>IF(AND('331-CT'!$E$7=TH!H4346,OR(L4346="331",M4346="331")),"331",IF(AND(OR(L4346="131",M4346="131"),H4346='131-CT'!$E$7),"131",""))</f>
        <v/>
      </c>
      <c r="O4346" s="525" t="str">
        <f>IF(AND($B4346&gt;='111'!$N$11,$B4346&lt;='111'!$O$11,OR($L4346=$O$7,$M4346=$O$7)),"x","")</f>
        <v/>
      </c>
      <c r="P4346" s="525" t="str">
        <f>IF(AND($L4346=$O$7,$B4346&lt;'111'!$N$11),"x","")</f>
        <v/>
      </c>
      <c r="Q4346" s="525" t="str">
        <f>IF(AND($M4346=$O$7,$B4346&lt;'111'!$N$11),"x","")</f>
        <v/>
      </c>
      <c r="R4346" s="525" t="str">
        <f>IF(ISERROR(FIND('112'!$M$9,G4346,1)),"",IF((AND(FIND('112'!$M$9,G4346,1)&gt;=1,$B4346&gt;='112'!$N$8,$B4346&lt;='112'!$O$8,OR($L4346='112'!$I$6,$M4346='112'!$I$6))),"x",""))</f>
        <v/>
      </c>
      <c r="S4346" s="525" t="str">
        <f>IF(ISERROR(FIND('112'!$M$9,G4346,1)),"",IF((AND(LEFT(G4346,2)=LEFT('112'!$M$9,2),B4346&lt;'112'!$N$8,$L4346='112'!$I$6)),"x",""))</f>
        <v/>
      </c>
      <c r="T4346" s="525" t="str">
        <f>IF(ISERROR(FIND('112'!$M$9,G4346,1)),"",IF((AND(RIGHT(G4346,2)=RIGHT('112'!$M$9,2),B4346&lt;'112'!$N$8,$M4346='112'!$I$6)),"x",""))</f>
        <v/>
      </c>
      <c r="U4346" s="525" t="str">
        <f>IF(AND(B4346&gt;='IN-NX'!$P$3,B4346&lt;='IN-NX'!$Q$3,'IN-NX'!$D$7=D4346,OR(LEFT(L4346,2)="15",AND(LEFT(M4346,2)&lt;&gt;"15",LEFT(M4346,2)&lt;&gt;"33"))),"x","")</f>
        <v/>
      </c>
      <c r="V4346" s="525" t="str">
        <f>IF(AND(OR(LEFT(TH!L4346,2)="15",LEFT(TH!M4346,2)="15"),'152-CT'!$J$8=TH!F4346),"x","")</f>
        <v/>
      </c>
      <c r="W4346" s="525" t="str">
        <f>IF(AND(OR(LEFT(TH!L4346,2)="15",LEFT(TH!M4346,2)="15"),TK!$E$7=TH!F4346),"x","")</f>
        <v/>
      </c>
      <c r="X4346" s="525" t="str">
        <f>IF(AND('341-CT'!$E$9=H4346,OR(LEFT(L4346,3)=$X$7,LEFT(M4346,3)=$X$7)),"x","")</f>
        <v/>
      </c>
      <c r="Y4346" s="525" t="str">
        <f>IF(OR(TH!L4346=TH!$Y$7,M4346=TH!$Y$7),"x","")</f>
        <v/>
      </c>
      <c r="Z4346" s="525" t="str">
        <f>IF(AND(B4346&lt;=NKC!$N$8,B4346&gt;=NKC!$M$8),"x","")</f>
        <v/>
      </c>
      <c r="AA4346" s="546"/>
      <c r="AB4346" s="536"/>
      <c r="AE4346" s="536"/>
    </row>
    <row r="4347" spans="1:31" s="503" customFormat="1" ht="15.75" customHeight="1">
      <c r="A4347" s="517" t="str">
        <f>IF(B4347&lt;&gt;"",IF(AND(B4347&gt;=_TM1,B4347&lt;=_TM2,OR(TH!L4347="1111",TH!M4347="1111")),TH!D4347,""),"")</f>
        <v/>
      </c>
      <c r="B4347" s="531" t="str">
        <f t="shared" si="555"/>
        <v/>
      </c>
      <c r="C4347" s="315"/>
      <c r="D4347" s="315"/>
      <c r="E4347" s="545"/>
      <c r="F4347" s="249"/>
      <c r="G4347" s="541"/>
      <c r="H4347" s="473"/>
      <c r="I4347" s="307"/>
      <c r="J4347" s="307"/>
      <c r="K4347" s="532"/>
      <c r="L4347" s="551"/>
      <c r="M4347" s="551"/>
      <c r="N4347" s="525" t="str">
        <f>IF(AND('331-CT'!$E$7=TH!H4347,OR(L4347="331",M4347="331")),"331",IF(AND(OR(L4347="131",M4347="131"),H4347='131-CT'!$E$7),"131",""))</f>
        <v/>
      </c>
      <c r="O4347" s="525" t="str">
        <f>IF(AND($B4347&gt;='111'!$N$11,$B4347&lt;='111'!$O$11,OR($L4347=$O$7,$M4347=$O$7)),"x","")</f>
        <v/>
      </c>
      <c r="P4347" s="525" t="str">
        <f>IF(AND($L4347=$O$7,$B4347&lt;'111'!$N$11),"x","")</f>
        <v/>
      </c>
      <c r="Q4347" s="525" t="str">
        <f>IF(AND($M4347=$O$7,$B4347&lt;'111'!$N$11),"x","")</f>
        <v/>
      </c>
      <c r="R4347" s="525" t="str">
        <f>IF(ISERROR(FIND('112'!$M$9,G4347,1)),"",IF((AND(FIND('112'!$M$9,G4347,1)&gt;=1,$B4347&gt;='112'!$N$8,$B4347&lt;='112'!$O$8,OR($L4347='112'!$I$6,$M4347='112'!$I$6))),"x",""))</f>
        <v/>
      </c>
      <c r="S4347" s="525" t="str">
        <f>IF(ISERROR(FIND('112'!$M$9,G4347,1)),"",IF((AND(LEFT(G4347,2)=LEFT('112'!$M$9,2),B4347&lt;'112'!$N$8,$L4347='112'!$I$6)),"x",""))</f>
        <v/>
      </c>
      <c r="T4347" s="525" t="str">
        <f>IF(ISERROR(FIND('112'!$M$9,G4347,1)),"",IF((AND(RIGHT(G4347,2)=RIGHT('112'!$M$9,2),B4347&lt;'112'!$N$8,$M4347='112'!$I$6)),"x",""))</f>
        <v/>
      </c>
      <c r="U4347" s="525" t="str">
        <f>IF(AND(B4347&gt;='IN-NX'!$P$3,B4347&lt;='IN-NX'!$Q$3,'IN-NX'!$D$7=D4347,OR(LEFT(L4347,2)="15",AND(LEFT(M4347,2)&lt;&gt;"15",LEFT(M4347,2)&lt;&gt;"33"))),"x","")</f>
        <v/>
      </c>
      <c r="V4347" s="525" t="str">
        <f>IF(AND(OR(LEFT(TH!L4347,2)="15",LEFT(TH!M4347,2)="15"),'152-CT'!$J$8=TH!F4347),"x","")</f>
        <v/>
      </c>
      <c r="W4347" s="525" t="str">
        <f>IF(AND(OR(LEFT(TH!L4347,2)="15",LEFT(TH!M4347,2)="15"),TK!$E$7=TH!F4347),"x","")</f>
        <v/>
      </c>
      <c r="X4347" s="525" t="str">
        <f>IF(AND('341-CT'!$E$9=H4347,OR(LEFT(L4347,3)=$X$7,LEFT(M4347,3)=$X$7)),"x","")</f>
        <v/>
      </c>
      <c r="Y4347" s="525" t="str">
        <f>IF(OR(TH!L4347=TH!$Y$7,M4347=TH!$Y$7),"x","")</f>
        <v/>
      </c>
      <c r="Z4347" s="525" t="str">
        <f>IF(AND(B4347&lt;=NKC!$N$8,B4347&gt;=NKC!$M$8),"x","")</f>
        <v/>
      </c>
      <c r="AA4347" s="546"/>
      <c r="AB4347" s="536"/>
      <c r="AE4347" s="536"/>
    </row>
    <row r="4348" spans="1:31" s="503" customFormat="1" ht="15.75" customHeight="1">
      <c r="A4348" s="517" t="str">
        <f>IF(B4348&lt;&gt;"",IF(AND(B4348&gt;=_TM1,B4348&lt;=_TM2,OR(TH!L4348="1111",TH!M4348="1111")),TH!D4348,""),"")</f>
        <v/>
      </c>
      <c r="B4348" s="531" t="str">
        <f t="shared" si="555"/>
        <v/>
      </c>
      <c r="C4348" s="315"/>
      <c r="D4348" s="315"/>
      <c r="E4348" s="545"/>
      <c r="F4348" s="245"/>
      <c r="G4348" s="541"/>
      <c r="H4348" s="473"/>
      <c r="I4348" s="307"/>
      <c r="J4348" s="307"/>
      <c r="K4348" s="532"/>
      <c r="L4348" s="539"/>
      <c r="M4348" s="552"/>
      <c r="N4348" s="525" t="str">
        <f>IF(AND('331-CT'!$E$7=TH!H4348,OR(L4348="331",M4348="331")),"331",IF(AND(OR(L4348="131",M4348="131"),H4348='131-CT'!$E$7),"131",""))</f>
        <v/>
      </c>
      <c r="O4348" s="525" t="str">
        <f>IF(AND($B4348&gt;='111'!$N$11,$B4348&lt;='111'!$O$11,OR($L4348=$O$7,$M4348=$O$7)),"x","")</f>
        <v/>
      </c>
      <c r="P4348" s="525" t="str">
        <f>IF(AND($L4348=$O$7,$B4348&lt;'111'!$N$11),"x","")</f>
        <v/>
      </c>
      <c r="Q4348" s="525" t="str">
        <f>IF(AND($M4348=$O$7,$B4348&lt;'111'!$N$11),"x","")</f>
        <v/>
      </c>
      <c r="R4348" s="525" t="str">
        <f>IF(ISERROR(FIND('112'!$M$9,G4348,1)),"",IF((AND(FIND('112'!$M$9,G4348,1)&gt;=1,$B4348&gt;='112'!$N$8,$B4348&lt;='112'!$O$8,OR($L4348='112'!$I$6,$M4348='112'!$I$6))),"x",""))</f>
        <v/>
      </c>
      <c r="S4348" s="525" t="str">
        <f>IF(ISERROR(FIND('112'!$M$9,G4348,1)),"",IF((AND(LEFT(G4348,2)=LEFT('112'!$M$9,2),B4348&lt;'112'!$N$8,$L4348='112'!$I$6)),"x",""))</f>
        <v/>
      </c>
      <c r="T4348" s="525" t="str">
        <f>IF(ISERROR(FIND('112'!$M$9,G4348,1)),"",IF((AND(RIGHT(G4348,2)=RIGHT('112'!$M$9,2),B4348&lt;'112'!$N$8,$M4348='112'!$I$6)),"x",""))</f>
        <v/>
      </c>
      <c r="U4348" s="525" t="str">
        <f>IF(AND(B4348&gt;='IN-NX'!$P$3,B4348&lt;='IN-NX'!$Q$3,'IN-NX'!$D$7=D4348,OR(LEFT(L4348,2)="15",AND(LEFT(M4348,2)&lt;&gt;"15",LEFT(M4348,2)&lt;&gt;"33"))),"x","")</f>
        <v/>
      </c>
      <c r="V4348" s="525" t="str">
        <f>IF(AND(OR(LEFT(TH!L4348,2)="15",LEFT(TH!M4348,2)="15"),'152-CT'!$J$8=TH!F4348),"x","")</f>
        <v/>
      </c>
      <c r="W4348" s="525" t="str">
        <f>IF(AND(OR(LEFT(TH!L4348,2)="15",LEFT(TH!M4348,2)="15"),TK!$E$7=TH!F4348),"x","")</f>
        <v/>
      </c>
      <c r="X4348" s="525" t="str">
        <f>IF(AND('341-CT'!$E$9=H4348,OR(LEFT(L4348,3)=$X$7,LEFT(M4348,3)=$X$7)),"x","")</f>
        <v/>
      </c>
      <c r="Y4348" s="525" t="str">
        <f>IF(OR(TH!L4348=TH!$Y$7,M4348=TH!$Y$7),"x","")</f>
        <v/>
      </c>
      <c r="Z4348" s="525" t="str">
        <f>IF(AND(B4348&lt;=NKC!$N$8,B4348&gt;=NKC!$M$8),"x","")</f>
        <v/>
      </c>
      <c r="AA4348" s="546"/>
      <c r="AB4348" s="536"/>
      <c r="AE4348" s="536"/>
    </row>
    <row r="4349" spans="1:31" s="503" customFormat="1" ht="15.75" customHeight="1">
      <c r="A4349" s="517" t="str">
        <f>IF(B4349&lt;&gt;"",IF(AND(B4349&gt;=_TM1,B4349&lt;=_TM2,OR(TH!L4349="1111",TH!M4349="1111")),TH!D4349,""),"")</f>
        <v/>
      </c>
      <c r="B4349" s="531" t="str">
        <f t="shared" si="555"/>
        <v/>
      </c>
      <c r="C4349" s="315"/>
      <c r="D4349" s="544"/>
      <c r="E4349" s="545"/>
      <c r="F4349" s="245"/>
      <c r="G4349" s="541"/>
      <c r="H4349" s="472"/>
      <c r="I4349" s="307"/>
      <c r="J4349" s="307"/>
      <c r="K4349" s="532"/>
      <c r="L4349" s="551"/>
      <c r="M4349" s="551"/>
      <c r="N4349" s="525" t="str">
        <f>IF(AND('331-CT'!$E$7=TH!H4349,OR(L4349="331",M4349="331")),"331",IF(AND(OR(L4349="131",M4349="131"),H4349='131-CT'!$E$7),"131",""))</f>
        <v/>
      </c>
      <c r="O4349" s="525" t="str">
        <f>IF(AND($B4349&gt;='111'!$N$11,$B4349&lt;='111'!$O$11,OR($L4349=$O$7,$M4349=$O$7)),"x","")</f>
        <v/>
      </c>
      <c r="P4349" s="525" t="str">
        <f>IF(AND($L4349=$O$7,$B4349&lt;'111'!$N$11),"x","")</f>
        <v/>
      </c>
      <c r="Q4349" s="525" t="str">
        <f>IF(AND($M4349=$O$7,$B4349&lt;'111'!$N$11),"x","")</f>
        <v/>
      </c>
      <c r="R4349" s="525" t="str">
        <f>IF(ISERROR(FIND('112'!$M$9,G4349,1)),"",IF((AND(FIND('112'!$M$9,G4349,1)&gt;=1,$B4349&gt;='112'!$N$8,$B4349&lt;='112'!$O$8,OR($L4349='112'!$I$6,$M4349='112'!$I$6))),"x",""))</f>
        <v/>
      </c>
      <c r="S4349" s="525" t="str">
        <f>IF(ISERROR(FIND('112'!$M$9,G4349,1)),"",IF((AND(LEFT(G4349,2)=LEFT('112'!$M$9,2),B4349&lt;'112'!$N$8,$L4349='112'!$I$6)),"x",""))</f>
        <v/>
      </c>
      <c r="T4349" s="525" t="str">
        <f>IF(ISERROR(FIND('112'!$M$9,G4349,1)),"",IF((AND(RIGHT(G4349,2)=RIGHT('112'!$M$9,2),B4349&lt;'112'!$N$8,$M4349='112'!$I$6)),"x",""))</f>
        <v/>
      </c>
      <c r="U4349" s="525" t="str">
        <f>IF(AND(B4349&gt;='IN-NX'!$P$3,B4349&lt;='IN-NX'!$Q$3,'IN-NX'!$D$7=D4349,OR(LEFT(L4349,2)="15",AND(LEFT(M4349,2)&lt;&gt;"15",LEFT(M4349,2)&lt;&gt;"33"))),"x","")</f>
        <v/>
      </c>
      <c r="V4349" s="525" t="str">
        <f>IF(AND(OR(LEFT(TH!L4349,2)="15",LEFT(TH!M4349,2)="15"),'152-CT'!$J$8=TH!F4349),"x","")</f>
        <v/>
      </c>
      <c r="W4349" s="525" t="str">
        <f>IF(AND(OR(LEFT(TH!L4349,2)="15",LEFT(TH!M4349,2)="15"),TK!$E$7=TH!F4349),"x","")</f>
        <v/>
      </c>
      <c r="X4349" s="525" t="str">
        <f>IF(AND('341-CT'!$E$9=H4349,OR(LEFT(L4349,3)=$X$7,LEFT(M4349,3)=$X$7)),"x","")</f>
        <v/>
      </c>
      <c r="Y4349" s="525" t="str">
        <f>IF(OR(TH!L4349=TH!$Y$7,M4349=TH!$Y$7),"x","")</f>
        <v/>
      </c>
      <c r="Z4349" s="525" t="str">
        <f>IF(AND(B4349&lt;=NKC!$N$8,B4349&gt;=NKC!$M$8),"x","")</f>
        <v/>
      </c>
      <c r="AA4349" s="546"/>
      <c r="AB4349" s="536"/>
      <c r="AE4349" s="536"/>
    </row>
    <row r="4350" spans="1:31" s="503" customFormat="1" ht="15.75" customHeight="1">
      <c r="A4350" s="517" t="str">
        <f>IF(B4350&lt;&gt;"",IF(AND(B4350&gt;=_TM1,B4350&lt;=_TM2,OR(TH!L4350="1111",TH!M4350="1111")),TH!D4350,""),"")</f>
        <v/>
      </c>
      <c r="B4350" s="531" t="str">
        <f t="shared" si="555"/>
        <v/>
      </c>
      <c r="C4350" s="315"/>
      <c r="D4350" s="315"/>
      <c r="E4350" s="545"/>
      <c r="F4350" s="249"/>
      <c r="G4350" s="541"/>
      <c r="H4350" s="473"/>
      <c r="I4350" s="307"/>
      <c r="J4350" s="307"/>
      <c r="K4350" s="532"/>
      <c r="L4350" s="539"/>
      <c r="M4350" s="551"/>
      <c r="N4350" s="525" t="str">
        <f>IF(AND('331-CT'!$E$7=TH!H4350,OR(L4350="331",M4350="331")),"331",IF(AND(OR(L4350="131",M4350="131"),H4350='131-CT'!$E$7),"131",""))</f>
        <v/>
      </c>
      <c r="O4350" s="525" t="str">
        <f>IF(AND($B4350&gt;='111'!$N$11,$B4350&lt;='111'!$O$11,OR($L4350=$O$7,$M4350=$O$7)),"x","")</f>
        <v/>
      </c>
      <c r="P4350" s="525" t="str">
        <f>IF(AND($L4350=$O$7,$B4350&lt;'111'!$N$11),"x","")</f>
        <v/>
      </c>
      <c r="Q4350" s="525" t="str">
        <f>IF(AND($M4350=$O$7,$B4350&lt;'111'!$N$11),"x","")</f>
        <v/>
      </c>
      <c r="R4350" s="525" t="str">
        <f>IF(ISERROR(FIND('112'!$M$9,G4350,1)),"",IF((AND(FIND('112'!$M$9,G4350,1)&gt;=1,$B4350&gt;='112'!$N$8,$B4350&lt;='112'!$O$8,OR($L4350='112'!$I$6,$M4350='112'!$I$6))),"x",""))</f>
        <v/>
      </c>
      <c r="S4350" s="525" t="str">
        <f>IF(ISERROR(FIND('112'!$M$9,G4350,1)),"",IF((AND(LEFT(G4350,2)=LEFT('112'!$M$9,2),B4350&lt;'112'!$N$8,$L4350='112'!$I$6)),"x",""))</f>
        <v/>
      </c>
      <c r="T4350" s="525" t="str">
        <f>IF(ISERROR(FIND('112'!$M$9,G4350,1)),"",IF((AND(RIGHT(G4350,2)=RIGHT('112'!$M$9,2),B4350&lt;'112'!$N$8,$M4350='112'!$I$6)),"x",""))</f>
        <v/>
      </c>
      <c r="U4350" s="525" t="str">
        <f>IF(AND(B4350&gt;='IN-NX'!$P$3,B4350&lt;='IN-NX'!$Q$3,'IN-NX'!$D$7=D4350,OR(LEFT(L4350,2)="15",AND(LEFT(M4350,2)&lt;&gt;"15",LEFT(M4350,2)&lt;&gt;"33"))),"x","")</f>
        <v/>
      </c>
      <c r="V4350" s="525" t="str">
        <f>IF(AND(OR(LEFT(TH!L4350,2)="15",LEFT(TH!M4350,2)="15"),'152-CT'!$J$8=TH!F4350),"x","")</f>
        <v/>
      </c>
      <c r="W4350" s="525" t="str">
        <f>IF(AND(OR(LEFT(TH!L4350,2)="15",LEFT(TH!M4350,2)="15"),TK!$E$7=TH!F4350),"x","")</f>
        <v/>
      </c>
      <c r="X4350" s="525" t="str">
        <f>IF(AND('341-CT'!$E$9=H4350,OR(LEFT(L4350,3)=$X$7,LEFT(M4350,3)=$X$7)),"x","")</f>
        <v/>
      </c>
      <c r="Y4350" s="525" t="str">
        <f>IF(OR(TH!L4350=TH!$Y$7,M4350=TH!$Y$7),"x","")</f>
        <v/>
      </c>
      <c r="Z4350" s="525" t="str">
        <f>IF(AND(B4350&lt;=NKC!$N$8,B4350&gt;=NKC!$M$8),"x","")</f>
        <v/>
      </c>
      <c r="AA4350" s="546"/>
      <c r="AB4350" s="536"/>
      <c r="AE4350" s="536"/>
    </row>
    <row r="4351" spans="1:31" s="503" customFormat="1" ht="15.75" customHeight="1">
      <c r="A4351" s="517" t="str">
        <f>IF(B4351&lt;&gt;"",IF(AND(B4351&gt;=_TM1,B4351&lt;=_TM2,OR(TH!L4351="1111",TH!M4351="1111")),TH!D4351,""),"")</f>
        <v/>
      </c>
      <c r="B4351" s="531" t="str">
        <f t="shared" si="555"/>
        <v/>
      </c>
      <c r="C4351" s="315"/>
      <c r="D4351" s="315"/>
      <c r="E4351" s="545"/>
      <c r="F4351" s="249"/>
      <c r="G4351" s="541"/>
      <c r="H4351" s="473"/>
      <c r="I4351" s="307"/>
      <c r="J4351" s="307"/>
      <c r="K4351" s="532"/>
      <c r="L4351" s="551"/>
      <c r="M4351" s="551"/>
      <c r="N4351" s="525" t="str">
        <f>IF(AND('331-CT'!$E$7=TH!H4351,OR(L4351="331",M4351="331")),"331",IF(AND(OR(L4351="131",M4351="131"),H4351='131-CT'!$E$7),"131",""))</f>
        <v/>
      </c>
      <c r="O4351" s="525" t="str">
        <f>IF(AND($B4351&gt;='111'!$N$11,$B4351&lt;='111'!$O$11,OR($L4351=$O$7,$M4351=$O$7)),"x","")</f>
        <v/>
      </c>
      <c r="P4351" s="525" t="str">
        <f>IF(AND($L4351=$O$7,$B4351&lt;'111'!$N$11),"x","")</f>
        <v/>
      </c>
      <c r="Q4351" s="525" t="str">
        <f>IF(AND($M4351=$O$7,$B4351&lt;'111'!$N$11),"x","")</f>
        <v/>
      </c>
      <c r="R4351" s="525" t="str">
        <f>IF(ISERROR(FIND('112'!$M$9,G4351,1)),"",IF((AND(FIND('112'!$M$9,G4351,1)&gt;=1,$B4351&gt;='112'!$N$8,$B4351&lt;='112'!$O$8,OR($L4351='112'!$I$6,$M4351='112'!$I$6))),"x",""))</f>
        <v/>
      </c>
      <c r="S4351" s="525" t="str">
        <f>IF(ISERROR(FIND('112'!$M$9,G4351,1)),"",IF((AND(LEFT(G4351,2)=LEFT('112'!$M$9,2),B4351&lt;'112'!$N$8,$L4351='112'!$I$6)),"x",""))</f>
        <v/>
      </c>
      <c r="T4351" s="525" t="str">
        <f>IF(ISERROR(FIND('112'!$M$9,G4351,1)),"",IF((AND(RIGHT(G4351,2)=RIGHT('112'!$M$9,2),B4351&lt;'112'!$N$8,$M4351='112'!$I$6)),"x",""))</f>
        <v/>
      </c>
      <c r="U4351" s="525" t="str">
        <f>IF(AND(B4351&gt;='IN-NX'!$P$3,B4351&lt;='IN-NX'!$Q$3,'IN-NX'!$D$7=D4351,OR(LEFT(L4351,2)="15",AND(LEFT(M4351,2)&lt;&gt;"15",LEFT(M4351,2)&lt;&gt;"33"))),"x","")</f>
        <v/>
      </c>
      <c r="V4351" s="525" t="str">
        <f>IF(AND(OR(LEFT(TH!L4351,2)="15",LEFT(TH!M4351,2)="15"),'152-CT'!$J$8=TH!F4351),"x","")</f>
        <v/>
      </c>
      <c r="W4351" s="525" t="str">
        <f>IF(AND(OR(LEFT(TH!L4351,2)="15",LEFT(TH!M4351,2)="15"),TK!$E$7=TH!F4351),"x","")</f>
        <v/>
      </c>
      <c r="X4351" s="525" t="str">
        <f>IF(AND('341-CT'!$E$9=H4351,OR(LEFT(L4351,3)=$X$7,LEFT(M4351,3)=$X$7)),"x","")</f>
        <v/>
      </c>
      <c r="Y4351" s="525" t="str">
        <f>IF(OR(TH!L4351=TH!$Y$7,M4351=TH!$Y$7),"x","")</f>
        <v/>
      </c>
      <c r="Z4351" s="525" t="str">
        <f>IF(AND(B4351&lt;=NKC!$N$8,B4351&gt;=NKC!$M$8),"x","")</f>
        <v/>
      </c>
      <c r="AA4351" s="546"/>
      <c r="AB4351" s="536"/>
      <c r="AE4351" s="536"/>
    </row>
    <row r="4352" spans="1:31" s="503" customFormat="1" ht="15.75" customHeight="1">
      <c r="A4352" s="517" t="str">
        <f>IF(B4352&lt;&gt;"",IF(AND(B4352&gt;=_TM1,B4352&lt;=_TM2,OR(TH!L4352="1111",TH!M4352="1111")),TH!D4352,""),"")</f>
        <v/>
      </c>
      <c r="B4352" s="531" t="str">
        <f t="shared" si="555"/>
        <v/>
      </c>
      <c r="C4352" s="315"/>
      <c r="D4352" s="544"/>
      <c r="E4352" s="545"/>
      <c r="F4352" s="245"/>
      <c r="G4352" s="541"/>
      <c r="H4352" s="472"/>
      <c r="I4352" s="307"/>
      <c r="J4352" s="307"/>
      <c r="K4352" s="532"/>
      <c r="L4352" s="551"/>
      <c r="M4352" s="551"/>
      <c r="N4352" s="525" t="str">
        <f>IF(AND('331-CT'!$E$7=TH!H4352,OR(L4352="331",M4352="331")),"331",IF(AND(OR(L4352="131",M4352="131"),H4352='131-CT'!$E$7),"131",""))</f>
        <v/>
      </c>
      <c r="O4352" s="525" t="str">
        <f>IF(AND($B4352&gt;='111'!$N$11,$B4352&lt;='111'!$O$11,OR($L4352=$O$7,$M4352=$O$7)),"x","")</f>
        <v/>
      </c>
      <c r="P4352" s="525" t="str">
        <f>IF(AND($L4352=$O$7,$B4352&lt;'111'!$N$11),"x","")</f>
        <v/>
      </c>
      <c r="Q4352" s="525" t="str">
        <f>IF(AND($M4352=$O$7,$B4352&lt;'111'!$N$11),"x","")</f>
        <v/>
      </c>
      <c r="R4352" s="525" t="str">
        <f>IF(ISERROR(FIND('112'!$M$9,G4352,1)),"",IF((AND(FIND('112'!$M$9,G4352,1)&gt;=1,$B4352&gt;='112'!$N$8,$B4352&lt;='112'!$O$8,OR($L4352='112'!$I$6,$M4352='112'!$I$6))),"x",""))</f>
        <v/>
      </c>
      <c r="S4352" s="525" t="str">
        <f>IF(ISERROR(FIND('112'!$M$9,G4352,1)),"",IF((AND(LEFT(G4352,2)=LEFT('112'!$M$9,2),B4352&lt;'112'!$N$8,$L4352='112'!$I$6)),"x",""))</f>
        <v/>
      </c>
      <c r="T4352" s="525" t="str">
        <f>IF(ISERROR(FIND('112'!$M$9,G4352,1)),"",IF((AND(RIGHT(G4352,2)=RIGHT('112'!$M$9,2),B4352&lt;'112'!$N$8,$M4352='112'!$I$6)),"x",""))</f>
        <v/>
      </c>
      <c r="U4352" s="525" t="str">
        <f>IF(AND(B4352&gt;='IN-NX'!$P$3,B4352&lt;='IN-NX'!$Q$3,'IN-NX'!$D$7=D4352,OR(LEFT(L4352,2)="15",AND(LEFT(M4352,2)&lt;&gt;"15",LEFT(M4352,2)&lt;&gt;"33"))),"x","")</f>
        <v/>
      </c>
      <c r="V4352" s="525" t="str">
        <f>IF(AND(OR(LEFT(TH!L4352,2)="15",LEFT(TH!M4352,2)="15"),'152-CT'!$J$8=TH!F4352),"x","")</f>
        <v/>
      </c>
      <c r="W4352" s="525" t="str">
        <f>IF(AND(OR(LEFT(TH!L4352,2)="15",LEFT(TH!M4352,2)="15"),TK!$E$7=TH!F4352),"x","")</f>
        <v/>
      </c>
      <c r="X4352" s="525" t="str">
        <f>IF(AND('341-CT'!$E$9=H4352,OR(LEFT(L4352,3)=$X$7,LEFT(M4352,3)=$X$7)),"x","")</f>
        <v/>
      </c>
      <c r="Y4352" s="525" t="str">
        <f>IF(OR(TH!L4352=TH!$Y$7,M4352=TH!$Y$7),"x","")</f>
        <v/>
      </c>
      <c r="Z4352" s="525" t="str">
        <f>IF(AND(B4352&lt;=NKC!$N$8,B4352&gt;=NKC!$M$8),"x","")</f>
        <v/>
      </c>
      <c r="AA4352" s="546"/>
      <c r="AB4352" s="536"/>
      <c r="AE4352" s="536"/>
    </row>
    <row r="4353" spans="1:31" s="503" customFormat="1" ht="15.75" customHeight="1">
      <c r="A4353" s="517" t="str">
        <f>IF(B4353&lt;&gt;"",IF(AND(B4353&gt;=_TM1,B4353&lt;=_TM2,OR(TH!L4353="1111",TH!M4353="1111")),TH!D4353,""),"")</f>
        <v/>
      </c>
      <c r="B4353" s="531" t="str">
        <f t="shared" si="555"/>
        <v/>
      </c>
      <c r="C4353" s="315"/>
      <c r="D4353" s="315"/>
      <c r="E4353" s="545"/>
      <c r="F4353" s="245"/>
      <c r="G4353" s="541"/>
      <c r="H4353" s="473"/>
      <c r="I4353" s="307"/>
      <c r="J4353" s="307"/>
      <c r="K4353" s="532"/>
      <c r="L4353" s="551"/>
      <c r="M4353" s="551"/>
      <c r="N4353" s="525" t="str">
        <f>IF(AND('331-CT'!$E$7=TH!H4353,OR(L4353="331",M4353="331")),"331",IF(AND(OR(L4353="131",M4353="131"),H4353='131-CT'!$E$7),"131",""))</f>
        <v/>
      </c>
      <c r="O4353" s="525" t="str">
        <f>IF(AND($B4353&gt;='111'!$N$11,$B4353&lt;='111'!$O$11,OR($L4353=$O$7,$M4353=$O$7)),"x","")</f>
        <v/>
      </c>
      <c r="P4353" s="525" t="str">
        <f>IF(AND($L4353=$O$7,$B4353&lt;'111'!$N$11),"x","")</f>
        <v/>
      </c>
      <c r="Q4353" s="525" t="str">
        <f>IF(AND($M4353=$O$7,$B4353&lt;'111'!$N$11),"x","")</f>
        <v/>
      </c>
      <c r="R4353" s="525" t="str">
        <f>IF(ISERROR(FIND('112'!$M$9,G4353,1)),"",IF((AND(FIND('112'!$M$9,G4353,1)&gt;=1,$B4353&gt;='112'!$N$8,$B4353&lt;='112'!$O$8,OR($L4353='112'!$I$6,$M4353='112'!$I$6))),"x",""))</f>
        <v/>
      </c>
      <c r="S4353" s="525" t="str">
        <f>IF(ISERROR(FIND('112'!$M$9,G4353,1)),"",IF((AND(LEFT(G4353,2)=LEFT('112'!$M$9,2),B4353&lt;'112'!$N$8,$L4353='112'!$I$6)),"x",""))</f>
        <v/>
      </c>
      <c r="T4353" s="525" t="str">
        <f>IF(ISERROR(FIND('112'!$M$9,G4353,1)),"",IF((AND(RIGHT(G4353,2)=RIGHT('112'!$M$9,2),B4353&lt;'112'!$N$8,$M4353='112'!$I$6)),"x",""))</f>
        <v/>
      </c>
      <c r="U4353" s="525" t="str">
        <f>IF(AND(B4353&gt;='IN-NX'!$P$3,B4353&lt;='IN-NX'!$Q$3,'IN-NX'!$D$7=D4353,OR(LEFT(L4353,2)="15",AND(LEFT(M4353,2)&lt;&gt;"15",LEFT(M4353,2)&lt;&gt;"33"))),"x","")</f>
        <v/>
      </c>
      <c r="V4353" s="525" t="str">
        <f>IF(AND(OR(LEFT(TH!L4353,2)="15",LEFT(TH!M4353,2)="15"),'152-CT'!$J$8=TH!F4353),"x","")</f>
        <v/>
      </c>
      <c r="W4353" s="525" t="str">
        <f>IF(AND(OR(LEFT(TH!L4353,2)="15",LEFT(TH!M4353,2)="15"),TK!$E$7=TH!F4353),"x","")</f>
        <v/>
      </c>
      <c r="X4353" s="525" t="str">
        <f>IF(AND('341-CT'!$E$9=H4353,OR(LEFT(L4353,3)=$X$7,LEFT(M4353,3)=$X$7)),"x","")</f>
        <v/>
      </c>
      <c r="Y4353" s="525" t="str">
        <f>IF(OR(TH!L4353=TH!$Y$7,M4353=TH!$Y$7),"x","")</f>
        <v/>
      </c>
      <c r="Z4353" s="525" t="str">
        <f>IF(AND(B4353&lt;=NKC!$N$8,B4353&gt;=NKC!$M$8),"x","")</f>
        <v/>
      </c>
      <c r="AA4353" s="546"/>
      <c r="AB4353" s="536"/>
      <c r="AE4353" s="536"/>
    </row>
    <row r="4354" spans="1:31" s="503" customFormat="1" ht="15.75" customHeight="1">
      <c r="A4354" s="517" t="str">
        <f>IF(B4354&lt;&gt;"",IF(AND(B4354&gt;=_TM1,B4354&lt;=_TM2,OR(TH!L4354="1111",TH!M4354="1111")),TH!D4354,""),"")</f>
        <v/>
      </c>
      <c r="B4354" s="531" t="str">
        <f t="shared" si="555"/>
        <v/>
      </c>
      <c r="C4354" s="315"/>
      <c r="D4354" s="315"/>
      <c r="E4354" s="545"/>
      <c r="F4354" s="249"/>
      <c r="G4354" s="541"/>
      <c r="H4354" s="473"/>
      <c r="I4354" s="307"/>
      <c r="J4354" s="307"/>
      <c r="K4354" s="532"/>
      <c r="L4354" s="539"/>
      <c r="M4354" s="551"/>
      <c r="N4354" s="525" t="str">
        <f>IF(AND('331-CT'!$E$7=TH!H4354,OR(L4354="331",M4354="331")),"331",IF(AND(OR(L4354="131",M4354="131"),H4354='131-CT'!$E$7),"131",""))</f>
        <v/>
      </c>
      <c r="O4354" s="525" t="str">
        <f>IF(AND($B4354&gt;='111'!$N$11,$B4354&lt;='111'!$O$11,OR($L4354=$O$7,$M4354=$O$7)),"x","")</f>
        <v/>
      </c>
      <c r="P4354" s="525" t="str">
        <f>IF(AND($L4354=$O$7,$B4354&lt;'111'!$N$11),"x","")</f>
        <v/>
      </c>
      <c r="Q4354" s="525" t="str">
        <f>IF(AND($M4354=$O$7,$B4354&lt;'111'!$N$11),"x","")</f>
        <v/>
      </c>
      <c r="R4354" s="525" t="str">
        <f>IF(ISERROR(FIND('112'!$M$9,G4354,1)),"",IF((AND(FIND('112'!$M$9,G4354,1)&gt;=1,$B4354&gt;='112'!$N$8,$B4354&lt;='112'!$O$8,OR($L4354='112'!$I$6,$M4354='112'!$I$6))),"x",""))</f>
        <v/>
      </c>
      <c r="S4354" s="525" t="str">
        <f>IF(ISERROR(FIND('112'!$M$9,G4354,1)),"",IF((AND(LEFT(G4354,2)=LEFT('112'!$M$9,2),B4354&lt;'112'!$N$8,$L4354='112'!$I$6)),"x",""))</f>
        <v/>
      </c>
      <c r="T4354" s="525" t="str">
        <f>IF(ISERROR(FIND('112'!$M$9,G4354,1)),"",IF((AND(RIGHT(G4354,2)=RIGHT('112'!$M$9,2),B4354&lt;'112'!$N$8,$M4354='112'!$I$6)),"x",""))</f>
        <v/>
      </c>
      <c r="U4354" s="525" t="str">
        <f>IF(AND(B4354&gt;='IN-NX'!$P$3,B4354&lt;='IN-NX'!$Q$3,'IN-NX'!$D$7=D4354,OR(LEFT(L4354,2)="15",AND(LEFT(M4354,2)&lt;&gt;"15",LEFT(M4354,2)&lt;&gt;"33"))),"x","")</f>
        <v/>
      </c>
      <c r="V4354" s="525" t="str">
        <f>IF(AND(OR(LEFT(TH!L4354,2)="15",LEFT(TH!M4354,2)="15"),'152-CT'!$J$8=TH!F4354),"x","")</f>
        <v/>
      </c>
      <c r="W4354" s="525" t="str">
        <f>IF(AND(OR(LEFT(TH!L4354,2)="15",LEFT(TH!M4354,2)="15"),TK!$E$7=TH!F4354),"x","")</f>
        <v/>
      </c>
      <c r="X4354" s="525" t="str">
        <f>IF(AND('341-CT'!$E$9=H4354,OR(LEFT(L4354,3)=$X$7,LEFT(M4354,3)=$X$7)),"x","")</f>
        <v/>
      </c>
      <c r="Y4354" s="525" t="str">
        <f>IF(OR(TH!L4354=TH!$Y$7,M4354=TH!$Y$7),"x","")</f>
        <v/>
      </c>
      <c r="Z4354" s="525" t="str">
        <f>IF(AND(B4354&lt;=NKC!$N$8,B4354&gt;=NKC!$M$8),"x","")</f>
        <v/>
      </c>
      <c r="AA4354" s="546"/>
      <c r="AB4354" s="536"/>
      <c r="AE4354" s="536"/>
    </row>
    <row r="4355" spans="1:31" s="503" customFormat="1" ht="15.75" customHeight="1">
      <c r="A4355" s="517" t="str">
        <f>IF(B4355&lt;&gt;"",IF(AND(B4355&gt;=_TM1,B4355&lt;=_TM2,OR(TH!L4355="1111",TH!M4355="1111")),TH!D4355,""),"")</f>
        <v/>
      </c>
      <c r="B4355" s="531" t="str">
        <f t="shared" si="555"/>
        <v/>
      </c>
      <c r="C4355" s="315"/>
      <c r="D4355" s="544"/>
      <c r="E4355" s="545"/>
      <c r="F4355" s="245"/>
      <c r="G4355" s="541"/>
      <c r="H4355" s="472"/>
      <c r="I4355" s="307"/>
      <c r="J4355" s="307"/>
      <c r="K4355" s="532"/>
      <c r="L4355" s="551"/>
      <c r="M4355" s="551"/>
      <c r="N4355" s="525" t="str">
        <f>IF(AND('331-CT'!$E$7=TH!H4355,OR(L4355="331",M4355="331")),"331",IF(AND(OR(L4355="131",M4355="131"),H4355='131-CT'!$E$7),"131",""))</f>
        <v/>
      </c>
      <c r="O4355" s="525" t="str">
        <f>IF(AND($B4355&gt;='111'!$N$11,$B4355&lt;='111'!$O$11,OR($L4355=$O$7,$M4355=$O$7)),"x","")</f>
        <v/>
      </c>
      <c r="P4355" s="525" t="str">
        <f>IF(AND($L4355=$O$7,$B4355&lt;'111'!$N$11),"x","")</f>
        <v/>
      </c>
      <c r="Q4355" s="525" t="str">
        <f>IF(AND($M4355=$O$7,$B4355&lt;'111'!$N$11),"x","")</f>
        <v/>
      </c>
      <c r="R4355" s="525" t="str">
        <f>IF(ISERROR(FIND('112'!$M$9,G4355,1)),"",IF((AND(FIND('112'!$M$9,G4355,1)&gt;=1,$B4355&gt;='112'!$N$8,$B4355&lt;='112'!$O$8,OR($L4355='112'!$I$6,$M4355='112'!$I$6))),"x",""))</f>
        <v/>
      </c>
      <c r="S4355" s="525" t="str">
        <f>IF(ISERROR(FIND('112'!$M$9,G4355,1)),"",IF((AND(LEFT(G4355,2)=LEFT('112'!$M$9,2),B4355&lt;'112'!$N$8,$L4355='112'!$I$6)),"x",""))</f>
        <v/>
      </c>
      <c r="T4355" s="525" t="str">
        <f>IF(ISERROR(FIND('112'!$M$9,G4355,1)),"",IF((AND(RIGHT(G4355,2)=RIGHT('112'!$M$9,2),B4355&lt;'112'!$N$8,$M4355='112'!$I$6)),"x",""))</f>
        <v/>
      </c>
      <c r="U4355" s="525" t="str">
        <f>IF(AND(B4355&gt;='IN-NX'!$P$3,B4355&lt;='IN-NX'!$Q$3,'IN-NX'!$D$7=D4355,OR(LEFT(L4355,2)="15",AND(LEFT(M4355,2)&lt;&gt;"15",LEFT(M4355,2)&lt;&gt;"33"))),"x","")</f>
        <v/>
      </c>
      <c r="V4355" s="525" t="str">
        <f>IF(AND(OR(LEFT(TH!L4355,2)="15",LEFT(TH!M4355,2)="15"),'152-CT'!$J$8=TH!F4355),"x","")</f>
        <v/>
      </c>
      <c r="W4355" s="525" t="str">
        <f>IF(AND(OR(LEFT(TH!L4355,2)="15",LEFT(TH!M4355,2)="15"),TK!$E$7=TH!F4355),"x","")</f>
        <v/>
      </c>
      <c r="X4355" s="525" t="str">
        <f>IF(AND('341-CT'!$E$9=H4355,OR(LEFT(L4355,3)=$X$7,LEFT(M4355,3)=$X$7)),"x","")</f>
        <v/>
      </c>
      <c r="Y4355" s="525" t="str">
        <f>IF(OR(TH!L4355=TH!$Y$7,M4355=TH!$Y$7),"x","")</f>
        <v/>
      </c>
      <c r="Z4355" s="525" t="str">
        <f>IF(AND(B4355&lt;=NKC!$N$8,B4355&gt;=NKC!$M$8),"x","")</f>
        <v/>
      </c>
      <c r="AA4355" s="546"/>
      <c r="AB4355" s="536"/>
      <c r="AE4355" s="536"/>
    </row>
    <row r="4356" spans="1:31" s="503" customFormat="1" ht="15.75" customHeight="1">
      <c r="A4356" s="517" t="str">
        <f>IF(B4356&lt;&gt;"",IF(AND(B4356&gt;=_TM1,B4356&lt;=_TM2,OR(TH!L4356="1111",TH!M4356="1111")),TH!D4356,""),"")</f>
        <v/>
      </c>
      <c r="B4356" s="531" t="str">
        <f t="shared" si="555"/>
        <v/>
      </c>
      <c r="C4356" s="315"/>
      <c r="D4356" s="315"/>
      <c r="E4356" s="545"/>
      <c r="F4356" s="245"/>
      <c r="G4356" s="541"/>
      <c r="H4356" s="473"/>
      <c r="I4356" s="307"/>
      <c r="J4356" s="307"/>
      <c r="K4356" s="532"/>
      <c r="L4356" s="551"/>
      <c r="M4356" s="551"/>
      <c r="N4356" s="525" t="str">
        <f>IF(AND('331-CT'!$E$7=TH!H4356,OR(L4356="331",M4356="331")),"331",IF(AND(OR(L4356="131",M4356="131"),H4356='131-CT'!$E$7),"131",""))</f>
        <v/>
      </c>
      <c r="O4356" s="525" t="str">
        <f>IF(AND($B4356&gt;='111'!$N$11,$B4356&lt;='111'!$O$11,OR($L4356=$O$7,$M4356=$O$7)),"x","")</f>
        <v/>
      </c>
      <c r="P4356" s="525" t="str">
        <f>IF(AND($L4356=$O$7,$B4356&lt;'111'!$N$11),"x","")</f>
        <v/>
      </c>
      <c r="Q4356" s="525" t="str">
        <f>IF(AND($M4356=$O$7,$B4356&lt;'111'!$N$11),"x","")</f>
        <v/>
      </c>
      <c r="R4356" s="525" t="str">
        <f>IF(ISERROR(FIND('112'!$M$9,G4356,1)),"",IF((AND(FIND('112'!$M$9,G4356,1)&gt;=1,$B4356&gt;='112'!$N$8,$B4356&lt;='112'!$O$8,OR($L4356='112'!$I$6,$M4356='112'!$I$6))),"x",""))</f>
        <v/>
      </c>
      <c r="S4356" s="525" t="str">
        <f>IF(ISERROR(FIND('112'!$M$9,G4356,1)),"",IF((AND(LEFT(G4356,2)=LEFT('112'!$M$9,2),B4356&lt;'112'!$N$8,$L4356='112'!$I$6)),"x",""))</f>
        <v/>
      </c>
      <c r="T4356" s="525" t="str">
        <f>IF(ISERROR(FIND('112'!$M$9,G4356,1)),"",IF((AND(RIGHT(G4356,2)=RIGHT('112'!$M$9,2),B4356&lt;'112'!$N$8,$M4356='112'!$I$6)),"x",""))</f>
        <v/>
      </c>
      <c r="U4356" s="525" t="str">
        <f>IF(AND(B4356&gt;='IN-NX'!$P$3,B4356&lt;='IN-NX'!$Q$3,'IN-NX'!$D$7=D4356,OR(LEFT(L4356,2)="15",AND(LEFT(M4356,2)&lt;&gt;"15",LEFT(M4356,2)&lt;&gt;"33"))),"x","")</f>
        <v/>
      </c>
      <c r="V4356" s="525" t="str">
        <f>IF(AND(OR(LEFT(TH!L4356,2)="15",LEFT(TH!M4356,2)="15"),'152-CT'!$J$8=TH!F4356),"x","")</f>
        <v/>
      </c>
      <c r="W4356" s="525" t="str">
        <f>IF(AND(OR(LEFT(TH!L4356,2)="15",LEFT(TH!M4356,2)="15"),TK!$E$7=TH!F4356),"x","")</f>
        <v/>
      </c>
      <c r="X4356" s="525" t="str">
        <f>IF(AND('341-CT'!$E$9=H4356,OR(LEFT(L4356,3)=$X$7,LEFT(M4356,3)=$X$7)),"x","")</f>
        <v/>
      </c>
      <c r="Y4356" s="525" t="str">
        <f>IF(OR(TH!L4356=TH!$Y$7,M4356=TH!$Y$7),"x","")</f>
        <v/>
      </c>
      <c r="Z4356" s="525" t="str">
        <f>IF(AND(B4356&lt;=NKC!$N$8,B4356&gt;=NKC!$M$8),"x","")</f>
        <v/>
      </c>
      <c r="AA4356" s="546"/>
      <c r="AB4356" s="536"/>
      <c r="AE4356" s="536"/>
    </row>
    <row r="4357" spans="1:31" s="503" customFormat="1" ht="15.75" customHeight="1">
      <c r="A4357" s="517" t="str">
        <f>IF(B4357&lt;&gt;"",IF(AND(B4357&gt;=_TM1,B4357&lt;=_TM2,OR(TH!L4357="1111",TH!M4357="1111")),TH!D4357,""),"")</f>
        <v/>
      </c>
      <c r="B4357" s="531" t="str">
        <f t="shared" si="555"/>
        <v/>
      </c>
      <c r="C4357" s="315"/>
      <c r="D4357" s="315"/>
      <c r="E4357" s="545"/>
      <c r="F4357" s="245"/>
      <c r="G4357" s="541"/>
      <c r="H4357" s="473"/>
      <c r="I4357" s="307"/>
      <c r="J4357" s="307"/>
      <c r="K4357" s="532"/>
      <c r="L4357" s="551"/>
      <c r="M4357" s="551"/>
      <c r="N4357" s="525" t="str">
        <f>IF(AND('331-CT'!$E$7=TH!H4357,OR(L4357="331",M4357="331")),"331",IF(AND(OR(L4357="131",M4357="131"),H4357='131-CT'!$E$7),"131",""))</f>
        <v/>
      </c>
      <c r="O4357" s="525" t="str">
        <f>IF(AND($B4357&gt;='111'!$N$11,$B4357&lt;='111'!$O$11,OR($L4357=$O$7,$M4357=$O$7)),"x","")</f>
        <v/>
      </c>
      <c r="P4357" s="525" t="str">
        <f>IF(AND($L4357=$O$7,$B4357&lt;'111'!$N$11),"x","")</f>
        <v/>
      </c>
      <c r="Q4357" s="525" t="str">
        <f>IF(AND($M4357=$O$7,$B4357&lt;'111'!$N$11),"x","")</f>
        <v/>
      </c>
      <c r="R4357" s="525" t="str">
        <f>IF(ISERROR(FIND('112'!$M$9,G4357,1)),"",IF((AND(FIND('112'!$M$9,G4357,1)&gt;=1,$B4357&gt;='112'!$N$8,$B4357&lt;='112'!$O$8,OR($L4357='112'!$I$6,$M4357='112'!$I$6))),"x",""))</f>
        <v/>
      </c>
      <c r="S4357" s="525" t="str">
        <f>IF(ISERROR(FIND('112'!$M$9,G4357,1)),"",IF((AND(LEFT(G4357,2)=LEFT('112'!$M$9,2),B4357&lt;'112'!$N$8,$L4357='112'!$I$6)),"x",""))</f>
        <v/>
      </c>
      <c r="T4357" s="525" t="str">
        <f>IF(ISERROR(FIND('112'!$M$9,G4357,1)),"",IF((AND(RIGHT(G4357,2)=RIGHT('112'!$M$9,2),B4357&lt;'112'!$N$8,$M4357='112'!$I$6)),"x",""))</f>
        <v/>
      </c>
      <c r="U4357" s="525" t="str">
        <f>IF(AND(B4357&gt;='IN-NX'!$P$3,B4357&lt;='IN-NX'!$Q$3,'IN-NX'!$D$7=D4357,OR(LEFT(L4357,2)="15",AND(LEFT(M4357,2)&lt;&gt;"15",LEFT(M4357,2)&lt;&gt;"33"))),"x","")</f>
        <v/>
      </c>
      <c r="V4357" s="525" t="str">
        <f>IF(AND(OR(LEFT(TH!L4357,2)="15",LEFT(TH!M4357,2)="15"),'152-CT'!$J$8=TH!F4357),"x","")</f>
        <v/>
      </c>
      <c r="W4357" s="525" t="str">
        <f>IF(AND(OR(LEFT(TH!L4357,2)="15",LEFT(TH!M4357,2)="15"),TK!$E$7=TH!F4357),"x","")</f>
        <v/>
      </c>
      <c r="X4357" s="525" t="str">
        <f>IF(AND('341-CT'!$E$9=H4357,OR(LEFT(L4357,3)=$X$7,LEFT(M4357,3)=$X$7)),"x","")</f>
        <v/>
      </c>
      <c r="Y4357" s="525" t="str">
        <f>IF(OR(TH!L4357=TH!$Y$7,M4357=TH!$Y$7),"x","")</f>
        <v/>
      </c>
      <c r="Z4357" s="525" t="str">
        <f>IF(AND(B4357&lt;=NKC!$N$8,B4357&gt;=NKC!$M$8),"x","")</f>
        <v/>
      </c>
      <c r="AA4357" s="546"/>
      <c r="AB4357" s="536"/>
      <c r="AE4357" s="536"/>
    </row>
    <row r="4358" spans="1:31" s="503" customFormat="1" ht="15.75" customHeight="1">
      <c r="A4358" s="517" t="str">
        <f>IF(B4358&lt;&gt;"",IF(AND(B4358&gt;=_TM1,B4358&lt;=_TM2,OR(TH!L4358="1111",TH!M4358="1111")),TH!D4358,""),"")</f>
        <v/>
      </c>
      <c r="B4358" s="531" t="str">
        <f t="shared" si="555"/>
        <v/>
      </c>
      <c r="C4358" s="315"/>
      <c r="D4358" s="544"/>
      <c r="E4358" s="545"/>
      <c r="F4358" s="249"/>
      <c r="G4358" s="541"/>
      <c r="H4358" s="472"/>
      <c r="I4358" s="307"/>
      <c r="J4358" s="307"/>
      <c r="K4358" s="532"/>
      <c r="L4358" s="539"/>
      <c r="M4358" s="551"/>
      <c r="N4358" s="525" t="str">
        <f>IF(AND('331-CT'!$E$7=TH!H4358,OR(L4358="331",M4358="331")),"331",IF(AND(OR(L4358="131",M4358="131"),H4358='131-CT'!$E$7),"131",""))</f>
        <v/>
      </c>
      <c r="O4358" s="525" t="str">
        <f>IF(AND($B4358&gt;='111'!$N$11,$B4358&lt;='111'!$O$11,OR($L4358=$O$7,$M4358=$O$7)),"x","")</f>
        <v/>
      </c>
      <c r="P4358" s="525" t="str">
        <f>IF(AND($L4358=$O$7,$B4358&lt;'111'!$N$11),"x","")</f>
        <v/>
      </c>
      <c r="Q4358" s="525" t="str">
        <f>IF(AND($M4358=$O$7,$B4358&lt;'111'!$N$11),"x","")</f>
        <v/>
      </c>
      <c r="R4358" s="525" t="str">
        <f>IF(ISERROR(FIND('112'!$M$9,G4358,1)),"",IF((AND(FIND('112'!$M$9,G4358,1)&gt;=1,$B4358&gt;='112'!$N$8,$B4358&lt;='112'!$O$8,OR($L4358='112'!$I$6,$M4358='112'!$I$6))),"x",""))</f>
        <v/>
      </c>
      <c r="S4358" s="525" t="str">
        <f>IF(ISERROR(FIND('112'!$M$9,G4358,1)),"",IF((AND(LEFT(G4358,2)=LEFT('112'!$M$9,2),B4358&lt;'112'!$N$8,$L4358='112'!$I$6)),"x",""))</f>
        <v/>
      </c>
      <c r="T4358" s="525" t="str">
        <f>IF(ISERROR(FIND('112'!$M$9,G4358,1)),"",IF((AND(RIGHT(G4358,2)=RIGHT('112'!$M$9,2),B4358&lt;'112'!$N$8,$M4358='112'!$I$6)),"x",""))</f>
        <v/>
      </c>
      <c r="U4358" s="525" t="str">
        <f>IF(AND(B4358&gt;='IN-NX'!$P$3,B4358&lt;='IN-NX'!$Q$3,'IN-NX'!$D$7=D4358,OR(LEFT(L4358,2)="15",AND(LEFT(M4358,2)&lt;&gt;"15",LEFT(M4358,2)&lt;&gt;"33"))),"x","")</f>
        <v/>
      </c>
      <c r="V4358" s="525" t="str">
        <f>IF(AND(OR(LEFT(TH!L4358,2)="15",LEFT(TH!M4358,2)="15"),'152-CT'!$J$8=TH!F4358),"x","")</f>
        <v/>
      </c>
      <c r="W4358" s="525" t="str">
        <f>IF(AND(OR(LEFT(TH!L4358,2)="15",LEFT(TH!M4358,2)="15"),TK!$E$7=TH!F4358),"x","")</f>
        <v/>
      </c>
      <c r="X4358" s="525" t="str">
        <f>IF(AND('341-CT'!$E$9=H4358,OR(LEFT(L4358,3)=$X$7,LEFT(M4358,3)=$X$7)),"x","")</f>
        <v/>
      </c>
      <c r="Y4358" s="525" t="str">
        <f>IF(OR(TH!L4358=TH!$Y$7,M4358=TH!$Y$7),"x","")</f>
        <v/>
      </c>
      <c r="Z4358" s="525" t="str">
        <f>IF(AND(B4358&lt;=NKC!$N$8,B4358&gt;=NKC!$M$8),"x","")</f>
        <v/>
      </c>
      <c r="AA4358" s="546"/>
      <c r="AB4358" s="536"/>
      <c r="AE4358" s="536"/>
    </row>
    <row r="4359" spans="1:31" s="503" customFormat="1" ht="15.75" customHeight="1">
      <c r="A4359" s="517" t="str">
        <f>IF(B4359&lt;&gt;"",IF(AND(B4359&gt;=_TM1,B4359&lt;=_TM2,OR(TH!L4359="1111",TH!M4359="1111")),TH!D4359,""),"")</f>
        <v/>
      </c>
      <c r="B4359" s="531" t="str">
        <f t="shared" si="555"/>
        <v/>
      </c>
      <c r="C4359" s="544"/>
      <c r="D4359" s="537"/>
      <c r="E4359" s="548"/>
      <c r="F4359" s="246"/>
      <c r="G4359" s="541"/>
      <c r="H4359" s="473"/>
      <c r="I4359" s="307"/>
      <c r="J4359" s="307"/>
      <c r="K4359" s="532"/>
      <c r="L4359" s="539"/>
      <c r="M4359" s="539"/>
      <c r="N4359" s="525" t="str">
        <f>IF(AND('331-CT'!$E$7=TH!H4359,OR(L4359="331",M4359="331")),"331",IF(AND(OR(L4359="131",M4359="131"),H4359='131-CT'!$E$7),"131",""))</f>
        <v/>
      </c>
      <c r="O4359" s="525" t="str">
        <f>IF(AND($B4359&gt;='111'!$N$11,$B4359&lt;='111'!$O$11,OR($L4359=$O$7,$M4359=$O$7)),"x","")</f>
        <v/>
      </c>
      <c r="P4359" s="525" t="str">
        <f>IF(AND($L4359=$O$7,$B4359&lt;'111'!$N$11),"x","")</f>
        <v/>
      </c>
      <c r="Q4359" s="525" t="str">
        <f>IF(AND($M4359=$O$7,$B4359&lt;'111'!$N$11),"x","")</f>
        <v/>
      </c>
      <c r="R4359" s="525" t="str">
        <f>IF(ISERROR(FIND('112'!$M$9,G4359,1)),"",IF((AND(FIND('112'!$M$9,G4359,1)&gt;=1,$B4359&gt;='112'!$N$8,$B4359&lt;='112'!$O$8,OR($L4359='112'!$I$6,$M4359='112'!$I$6))),"x",""))</f>
        <v/>
      </c>
      <c r="S4359" s="525" t="str">
        <f>IF(ISERROR(FIND('112'!$M$9,G4359,1)),"",IF((AND(LEFT(G4359,2)=LEFT('112'!$M$9,2),B4359&lt;'112'!$N$8,$L4359='112'!$I$6)),"x",""))</f>
        <v/>
      </c>
      <c r="T4359" s="525" t="str">
        <f>IF(ISERROR(FIND('112'!$M$9,G4359,1)),"",IF((AND(RIGHT(G4359,2)=RIGHT('112'!$M$9,2),B4359&lt;'112'!$N$8,$M4359='112'!$I$6)),"x",""))</f>
        <v/>
      </c>
      <c r="U4359" s="525" t="str">
        <f>IF(AND(B4359&gt;='IN-NX'!$P$3,B4359&lt;='IN-NX'!$Q$3,'IN-NX'!$D$7=D4359,OR(LEFT(L4359,2)="15",AND(LEFT(M4359,2)&lt;&gt;"15",LEFT(M4359,2)&lt;&gt;"33"))),"x","")</f>
        <v/>
      </c>
      <c r="V4359" s="525" t="str">
        <f>IF(AND(OR(LEFT(TH!L4359,2)="15",LEFT(TH!M4359,2)="15"),'152-CT'!$J$8=TH!F4359),"x","")</f>
        <v/>
      </c>
      <c r="W4359" s="525" t="str">
        <f>IF(AND(OR(LEFT(TH!L4359,2)="15",LEFT(TH!M4359,2)="15"),TK!$E$7=TH!F4359),"x","")</f>
        <v/>
      </c>
      <c r="X4359" s="525" t="str">
        <f>IF(AND('341-CT'!$E$9=H4359,OR(LEFT(L4359,3)=$X$7,LEFT(M4359,3)=$X$7)),"x","")</f>
        <v/>
      </c>
      <c r="Y4359" s="525" t="str">
        <f>IF(OR(TH!L4359=TH!$Y$7,M4359=TH!$Y$7),"x","")</f>
        <v/>
      </c>
      <c r="Z4359" s="525" t="str">
        <f>IF(AND(B4359&lt;=NKC!$N$8,B4359&gt;=NKC!$M$8),"x","")</f>
        <v/>
      </c>
      <c r="AA4359" s="535"/>
      <c r="AB4359" s="536"/>
      <c r="AC4359" s="536"/>
      <c r="AD4359" s="536"/>
    </row>
    <row r="4360" spans="1:31" s="503" customFormat="1" ht="15.75" customHeight="1">
      <c r="A4360" s="517" t="str">
        <f>IF(B4360&lt;&gt;"",IF(AND(B4360&gt;=_TM1,B4360&lt;=_TM2,OR(TH!L4360="1111",TH!M4360="1111")),TH!D4360,""),"")</f>
        <v/>
      </c>
      <c r="B4360" s="531" t="str">
        <f t="shared" si="555"/>
        <v/>
      </c>
      <c r="C4360" s="544"/>
      <c r="D4360" s="537"/>
      <c r="E4360" s="548"/>
      <c r="F4360" s="246"/>
      <c r="G4360" s="541"/>
      <c r="H4360" s="473"/>
      <c r="I4360" s="307"/>
      <c r="J4360" s="307"/>
      <c r="K4360" s="532"/>
      <c r="L4360" s="539"/>
      <c r="M4360" s="539"/>
      <c r="N4360" s="525" t="str">
        <f>IF(AND('331-CT'!$E$7=TH!H4360,OR(L4360="331",M4360="331")),"331",IF(AND(OR(L4360="131",M4360="131"),H4360='131-CT'!$E$7),"131",""))</f>
        <v/>
      </c>
      <c r="O4360" s="525" t="str">
        <f>IF(AND($B4360&gt;='111'!$N$11,$B4360&lt;='111'!$O$11,OR($L4360=$O$7,$M4360=$O$7)),"x","")</f>
        <v/>
      </c>
      <c r="P4360" s="525" t="str">
        <f>IF(AND($L4360=$O$7,$B4360&lt;'111'!$N$11),"x","")</f>
        <v/>
      </c>
      <c r="Q4360" s="525" t="str">
        <f>IF(AND($M4360=$O$7,$B4360&lt;'111'!$N$11),"x","")</f>
        <v/>
      </c>
      <c r="R4360" s="525" t="str">
        <f>IF(ISERROR(FIND('112'!$M$9,G4360,1)),"",IF((AND(FIND('112'!$M$9,G4360,1)&gt;=1,$B4360&gt;='112'!$N$8,$B4360&lt;='112'!$O$8,OR($L4360='112'!$I$6,$M4360='112'!$I$6))),"x",""))</f>
        <v/>
      </c>
      <c r="S4360" s="525" t="str">
        <f>IF(ISERROR(FIND('112'!$M$9,G4360,1)),"",IF((AND(LEFT(G4360,2)=LEFT('112'!$M$9,2),B4360&lt;'112'!$N$8,$L4360='112'!$I$6)),"x",""))</f>
        <v/>
      </c>
      <c r="T4360" s="525" t="str">
        <f>IF(ISERROR(FIND('112'!$M$9,G4360,1)),"",IF((AND(RIGHT(G4360,2)=RIGHT('112'!$M$9,2),B4360&lt;'112'!$N$8,$M4360='112'!$I$6)),"x",""))</f>
        <v/>
      </c>
      <c r="U4360" s="525" t="str">
        <f>IF(AND(B4360&gt;='IN-NX'!$P$3,B4360&lt;='IN-NX'!$Q$3,'IN-NX'!$D$7=D4360,OR(LEFT(L4360,2)="15",AND(LEFT(M4360,2)&lt;&gt;"15",LEFT(M4360,2)&lt;&gt;"33"))),"x","")</f>
        <v/>
      </c>
      <c r="V4360" s="525" t="str">
        <f>IF(AND(OR(LEFT(TH!L4360,2)="15",LEFT(TH!M4360,2)="15"),'152-CT'!$J$8=TH!F4360),"x","")</f>
        <v/>
      </c>
      <c r="W4360" s="525" t="str">
        <f>IF(AND(OR(LEFT(TH!L4360,2)="15",LEFT(TH!M4360,2)="15"),TK!$E$7=TH!F4360),"x","")</f>
        <v/>
      </c>
      <c r="X4360" s="525" t="str">
        <f>IF(AND('341-CT'!$E$9=H4360,OR(LEFT(L4360,3)=$X$7,LEFT(M4360,3)=$X$7)),"x","")</f>
        <v/>
      </c>
      <c r="Y4360" s="525" t="str">
        <f>IF(OR(TH!L4360=TH!$Y$7,M4360=TH!$Y$7),"x","")</f>
        <v/>
      </c>
      <c r="Z4360" s="525" t="str">
        <f>IF(AND(B4360&lt;=NKC!$N$8,B4360&gt;=NKC!$M$8),"x","")</f>
        <v/>
      </c>
      <c r="AA4360" s="535"/>
      <c r="AB4360" s="536"/>
      <c r="AC4360" s="536"/>
      <c r="AD4360" s="536"/>
    </row>
    <row r="4361" spans="1:31" s="503" customFormat="1" ht="15.75" customHeight="1">
      <c r="A4361" s="517" t="str">
        <f>IF(B4361&lt;&gt;"",IF(AND(B4361&gt;=_TM1,B4361&lt;=_TM2,OR(TH!L4361="1111",TH!M4361="1111")),TH!D4361,""),"")</f>
        <v/>
      </c>
      <c r="B4361" s="531" t="str">
        <f t="shared" si="555"/>
        <v/>
      </c>
      <c r="C4361" s="544"/>
      <c r="D4361" s="537"/>
      <c r="E4361" s="548"/>
      <c r="F4361" s="247"/>
      <c r="G4361" s="541"/>
      <c r="H4361" s="473"/>
      <c r="I4361" s="307"/>
      <c r="J4361" s="307"/>
      <c r="K4361" s="532"/>
      <c r="L4361" s="534"/>
      <c r="M4361" s="539"/>
      <c r="N4361" s="525" t="str">
        <f>IF(AND('331-CT'!$E$7=TH!H4361,OR(L4361="331",M4361="331")),"331",IF(AND(OR(L4361="131",M4361="131"),H4361='131-CT'!$E$7),"131",""))</f>
        <v/>
      </c>
      <c r="O4361" s="525" t="str">
        <f>IF(AND($B4361&gt;='111'!$N$11,$B4361&lt;='111'!$O$11,OR($L4361=$O$7,$M4361=$O$7)),"x","")</f>
        <v/>
      </c>
      <c r="P4361" s="525" t="str">
        <f>IF(AND($L4361=$O$7,$B4361&lt;'111'!$N$11),"x","")</f>
        <v/>
      </c>
      <c r="Q4361" s="525" t="str">
        <f>IF(AND($M4361=$O$7,$B4361&lt;'111'!$N$11),"x","")</f>
        <v/>
      </c>
      <c r="R4361" s="525" t="str">
        <f>IF(ISERROR(FIND('112'!$M$9,G4361,1)),"",IF((AND(FIND('112'!$M$9,G4361,1)&gt;=1,$B4361&gt;='112'!$N$8,$B4361&lt;='112'!$O$8,OR($L4361='112'!$I$6,$M4361='112'!$I$6))),"x",""))</f>
        <v/>
      </c>
      <c r="S4361" s="525" t="str">
        <f>IF(ISERROR(FIND('112'!$M$9,G4361,1)),"",IF((AND(LEFT(G4361,2)=LEFT('112'!$M$9,2),B4361&lt;'112'!$N$8,$L4361='112'!$I$6)),"x",""))</f>
        <v/>
      </c>
      <c r="T4361" s="525" t="str">
        <f>IF(ISERROR(FIND('112'!$M$9,G4361,1)),"",IF((AND(RIGHT(G4361,2)=RIGHT('112'!$M$9,2),B4361&lt;'112'!$N$8,$M4361='112'!$I$6)),"x",""))</f>
        <v/>
      </c>
      <c r="U4361" s="525" t="str">
        <f>IF(AND(B4361&gt;='IN-NX'!$P$3,B4361&lt;='IN-NX'!$Q$3,'IN-NX'!$D$7=D4361,OR(LEFT(L4361,2)="15",AND(LEFT(M4361,2)&lt;&gt;"15",LEFT(M4361,2)&lt;&gt;"33"))),"x","")</f>
        <v/>
      </c>
      <c r="V4361" s="525" t="str">
        <f>IF(AND(OR(LEFT(TH!L4361,2)="15",LEFT(TH!M4361,2)="15"),'152-CT'!$J$8=TH!F4361),"x","")</f>
        <v/>
      </c>
      <c r="W4361" s="525" t="str">
        <f>IF(AND(OR(LEFT(TH!L4361,2)="15",LEFT(TH!M4361,2)="15"),TK!$E$7=TH!F4361),"x","")</f>
        <v/>
      </c>
      <c r="X4361" s="525" t="str">
        <f>IF(AND('341-CT'!$E$9=H4361,OR(LEFT(L4361,3)=$X$7,LEFT(M4361,3)=$X$7)),"x","")</f>
        <v/>
      </c>
      <c r="Y4361" s="525" t="str">
        <f>IF(OR(TH!L4361=TH!$Y$7,M4361=TH!$Y$7),"x","")</f>
        <v/>
      </c>
      <c r="Z4361" s="525" t="str">
        <f>IF(AND(B4361&lt;=NKC!$N$8,B4361&gt;=NKC!$M$8),"x","")</f>
        <v/>
      </c>
      <c r="AA4361" s="535"/>
      <c r="AD4361" s="536"/>
    </row>
    <row r="4362" spans="1:31" s="503" customFormat="1" ht="15.75" customHeight="1">
      <c r="A4362" s="517" t="str">
        <f>IF(B4362&lt;&gt;"",IF(AND(B4362&gt;=_TM1,B4362&lt;=_TM2,OR(TH!L4362="1111",TH!M4362="1111")),TH!D4362,""),"")</f>
        <v/>
      </c>
      <c r="B4362" s="531" t="str">
        <f t="shared" si="555"/>
        <v/>
      </c>
      <c r="C4362" s="315"/>
      <c r="D4362" s="315"/>
      <c r="E4362" s="545"/>
      <c r="F4362" s="246"/>
      <c r="G4362" s="314"/>
      <c r="H4362" s="473"/>
      <c r="I4362" s="307"/>
      <c r="J4362" s="307"/>
      <c r="K4362" s="532"/>
      <c r="L4362" s="533"/>
      <c r="M4362" s="533"/>
      <c r="N4362" s="525" t="str">
        <f>IF(AND('331-CT'!$E$7=TH!H4362,OR(L4362="331",M4362="331")),"331",IF(AND(OR(L4362="131",M4362="131"),H4362='131-CT'!$E$7),"131",""))</f>
        <v/>
      </c>
      <c r="O4362" s="525" t="str">
        <f>IF(AND($B4362&gt;='111'!$N$11,$B4362&lt;='111'!$O$11,OR($L4362=$O$7,$M4362=$O$7)),"x","")</f>
        <v/>
      </c>
      <c r="P4362" s="525" t="str">
        <f>IF(AND($L4362=$O$7,$B4362&lt;'111'!$N$11),"x","")</f>
        <v/>
      </c>
      <c r="Q4362" s="525" t="str">
        <f>IF(AND($M4362=$O$7,$B4362&lt;'111'!$N$11),"x","")</f>
        <v/>
      </c>
      <c r="R4362" s="525" t="str">
        <f>IF(ISERROR(FIND('112'!$M$9,G4362,1)),"",IF((AND(FIND('112'!$M$9,G4362,1)&gt;=1,$B4362&gt;='112'!$N$8,$B4362&lt;='112'!$O$8,OR($L4362='112'!$I$6,$M4362='112'!$I$6))),"x",""))</f>
        <v/>
      </c>
      <c r="S4362" s="525" t="str">
        <f>IF(ISERROR(FIND('112'!$M$9,G4362,1)),"",IF((AND(LEFT(G4362,2)=LEFT('112'!$M$9,2),B4362&lt;'112'!$N$8,$L4362='112'!$I$6)),"x",""))</f>
        <v/>
      </c>
      <c r="T4362" s="525" t="str">
        <f>IF(ISERROR(FIND('112'!$M$9,G4362,1)),"",IF((AND(RIGHT(G4362,2)=RIGHT('112'!$M$9,2),B4362&lt;'112'!$N$8,$M4362='112'!$I$6)),"x",""))</f>
        <v/>
      </c>
      <c r="U4362" s="525" t="str">
        <f>IF(AND(B4362&gt;='IN-NX'!$P$3,B4362&lt;='IN-NX'!$Q$3,'IN-NX'!$D$7=D4362,OR(LEFT(L4362,2)="15",AND(LEFT(M4362,2)&lt;&gt;"15",LEFT(M4362,2)&lt;&gt;"33"))),"x","")</f>
        <v/>
      </c>
      <c r="V4362" s="525" t="str">
        <f>IF(AND(OR(LEFT(TH!L4362,2)="15",LEFT(TH!M4362,2)="15"),'152-CT'!$J$8=TH!F4362),"x","")</f>
        <v/>
      </c>
      <c r="W4362" s="525" t="str">
        <f>IF(AND(OR(LEFT(TH!L4362,2)="15",LEFT(TH!M4362,2)="15"),TK!$E$7=TH!F4362),"x","")</f>
        <v/>
      </c>
      <c r="X4362" s="525" t="str">
        <f>IF(AND('341-CT'!$E$9=H4362,OR(LEFT(L4362,3)=$X$7,LEFT(M4362,3)=$X$7)),"x","")</f>
        <v/>
      </c>
      <c r="Y4362" s="525" t="str">
        <f>IF(OR(TH!L4362=TH!$Y$7,M4362=TH!$Y$7),"x","")</f>
        <v/>
      </c>
      <c r="Z4362" s="525" t="str">
        <f>IF(AND(B4362&lt;=NKC!$N$8,B4362&gt;=NKC!$M$8),"x","")</f>
        <v/>
      </c>
      <c r="AA4362" s="535"/>
      <c r="AB4362" s="536"/>
    </row>
    <row r="4363" spans="1:31" s="503" customFormat="1" ht="15.75" customHeight="1">
      <c r="A4363" s="517" t="str">
        <f>IF(B4363&lt;&gt;"",IF(AND(B4363&gt;=_TM1,B4363&lt;=_TM2,OR(TH!L4363="1111",TH!M4363="1111")),TH!D4363,""),"")</f>
        <v/>
      </c>
      <c r="B4363" s="531" t="str">
        <f t="shared" si="555"/>
        <v/>
      </c>
      <c r="C4363" s="315"/>
      <c r="D4363" s="315"/>
      <c r="E4363" s="545"/>
      <c r="F4363" s="247"/>
      <c r="G4363" s="314"/>
      <c r="H4363" s="473"/>
      <c r="I4363" s="307"/>
      <c r="J4363" s="307"/>
      <c r="K4363" s="532"/>
      <c r="L4363" s="533"/>
      <c r="M4363" s="533"/>
      <c r="N4363" s="525" t="str">
        <f>IF(AND('331-CT'!$E$7=TH!H4363,OR(L4363="331",M4363="331")),"331",IF(AND(OR(L4363="131",M4363="131"),H4363='131-CT'!$E$7),"131",""))</f>
        <v/>
      </c>
      <c r="O4363" s="525" t="str">
        <f>IF(AND($B4363&gt;='111'!$N$11,$B4363&lt;='111'!$O$11,OR($L4363=$O$7,$M4363=$O$7)),"x","")</f>
        <v/>
      </c>
      <c r="P4363" s="525" t="str">
        <f>IF(AND($L4363=$O$7,$B4363&lt;'111'!$N$11),"x","")</f>
        <v/>
      </c>
      <c r="Q4363" s="525" t="str">
        <f>IF(AND($M4363=$O$7,$B4363&lt;'111'!$N$11),"x","")</f>
        <v/>
      </c>
      <c r="R4363" s="525" t="str">
        <f>IF(ISERROR(FIND('112'!$M$9,G4363,1)),"",IF((AND(FIND('112'!$M$9,G4363,1)&gt;=1,$B4363&gt;='112'!$N$8,$B4363&lt;='112'!$O$8,OR($L4363='112'!$I$6,$M4363='112'!$I$6))),"x",""))</f>
        <v/>
      </c>
      <c r="S4363" s="525" t="str">
        <f>IF(ISERROR(FIND('112'!$M$9,G4363,1)),"",IF((AND(LEFT(G4363,2)=LEFT('112'!$M$9,2),B4363&lt;'112'!$N$8,$L4363='112'!$I$6)),"x",""))</f>
        <v/>
      </c>
      <c r="T4363" s="525" t="str">
        <f>IF(ISERROR(FIND('112'!$M$9,G4363,1)),"",IF((AND(RIGHT(G4363,2)=RIGHT('112'!$M$9,2),B4363&lt;'112'!$N$8,$M4363='112'!$I$6)),"x",""))</f>
        <v/>
      </c>
      <c r="U4363" s="525" t="str">
        <f>IF(AND(B4363&gt;='IN-NX'!$P$3,B4363&lt;='IN-NX'!$Q$3,'IN-NX'!$D$7=D4363,OR(LEFT(L4363,2)="15",AND(LEFT(M4363,2)&lt;&gt;"15",LEFT(M4363,2)&lt;&gt;"33"))),"x","")</f>
        <v/>
      </c>
      <c r="V4363" s="525" t="str">
        <f>IF(AND(OR(LEFT(TH!L4363,2)="15",LEFT(TH!M4363,2)="15"),'152-CT'!$J$8=TH!F4363),"x","")</f>
        <v/>
      </c>
      <c r="W4363" s="525" t="str">
        <f>IF(AND(OR(LEFT(TH!L4363,2)="15",LEFT(TH!M4363,2)="15"),TK!$E$7=TH!F4363),"x","")</f>
        <v/>
      </c>
      <c r="X4363" s="525" t="str">
        <f>IF(AND('341-CT'!$E$9=H4363,OR(LEFT(L4363,3)=$X$7,LEFT(M4363,3)=$X$7)),"x","")</f>
        <v/>
      </c>
      <c r="Y4363" s="525" t="str">
        <f>IF(OR(TH!L4363=TH!$Y$7,M4363=TH!$Y$7),"x","")</f>
        <v/>
      </c>
      <c r="Z4363" s="525" t="str">
        <f>IF(AND(B4363&lt;=NKC!$N$8,B4363&gt;=NKC!$M$8),"x","")</f>
        <v/>
      </c>
      <c r="AA4363" s="535"/>
      <c r="AB4363" s="536"/>
      <c r="AD4363" s="536"/>
    </row>
    <row r="4364" spans="1:31" s="503" customFormat="1" ht="15.75" customHeight="1">
      <c r="A4364" s="517" t="str">
        <f>IF(B4364&lt;&gt;"",IF(AND(B4364&gt;=_TM1,B4364&lt;=_TM2,OR(TH!L4364="1111",TH!M4364="1111")),TH!D4364,""),"")</f>
        <v/>
      </c>
      <c r="B4364" s="531" t="str">
        <f t="shared" si="555"/>
        <v/>
      </c>
      <c r="C4364" s="315"/>
      <c r="D4364" s="315"/>
      <c r="E4364" s="545"/>
      <c r="F4364" s="246"/>
      <c r="G4364" s="314"/>
      <c r="H4364" s="473"/>
      <c r="I4364" s="307"/>
      <c r="J4364" s="307"/>
      <c r="K4364" s="532"/>
      <c r="L4364" s="533"/>
      <c r="M4364" s="533"/>
      <c r="N4364" s="525" t="str">
        <f>IF(AND('331-CT'!$E$7=TH!H4364,OR(L4364="331",M4364="331")),"331",IF(AND(OR(L4364="131",M4364="131"),H4364='131-CT'!$E$7),"131",""))</f>
        <v/>
      </c>
      <c r="O4364" s="525" t="str">
        <f>IF(AND($B4364&gt;='111'!$N$11,$B4364&lt;='111'!$O$11,OR($L4364=$O$7,$M4364=$O$7)),"x","")</f>
        <v/>
      </c>
      <c r="P4364" s="525" t="str">
        <f>IF(AND($L4364=$O$7,$B4364&lt;'111'!$N$11),"x","")</f>
        <v/>
      </c>
      <c r="Q4364" s="525" t="str">
        <f>IF(AND($M4364=$O$7,$B4364&lt;'111'!$N$11),"x","")</f>
        <v/>
      </c>
      <c r="R4364" s="525" t="str">
        <f>IF(ISERROR(FIND('112'!$M$9,G4364,1)),"",IF((AND(FIND('112'!$M$9,G4364,1)&gt;=1,$B4364&gt;='112'!$N$8,$B4364&lt;='112'!$O$8,OR($L4364='112'!$I$6,$M4364='112'!$I$6))),"x",""))</f>
        <v/>
      </c>
      <c r="S4364" s="525" t="str">
        <f>IF(ISERROR(FIND('112'!$M$9,G4364,1)),"",IF((AND(LEFT(G4364,2)=LEFT('112'!$M$9,2),B4364&lt;'112'!$N$8,$L4364='112'!$I$6)),"x",""))</f>
        <v/>
      </c>
      <c r="T4364" s="525" t="str">
        <f>IF(ISERROR(FIND('112'!$M$9,G4364,1)),"",IF((AND(RIGHT(G4364,2)=RIGHT('112'!$M$9,2),B4364&lt;'112'!$N$8,$M4364='112'!$I$6)),"x",""))</f>
        <v/>
      </c>
      <c r="U4364" s="525" t="str">
        <f>IF(AND(B4364&gt;='IN-NX'!$P$3,B4364&lt;='IN-NX'!$Q$3,'IN-NX'!$D$7=D4364,OR(LEFT(L4364,2)="15",AND(LEFT(M4364,2)&lt;&gt;"15",LEFT(M4364,2)&lt;&gt;"33"))),"x","")</f>
        <v/>
      </c>
      <c r="V4364" s="525" t="str">
        <f>IF(AND(OR(LEFT(TH!L4364,2)="15",LEFT(TH!M4364,2)="15"),'152-CT'!$J$8=TH!F4364),"x","")</f>
        <v/>
      </c>
      <c r="W4364" s="525" t="str">
        <f>IF(AND(OR(LEFT(TH!L4364,2)="15",LEFT(TH!M4364,2)="15"),TK!$E$7=TH!F4364),"x","")</f>
        <v/>
      </c>
      <c r="X4364" s="525" t="str">
        <f>IF(AND('341-CT'!$E$9=H4364,OR(LEFT(L4364,3)=$X$7,LEFT(M4364,3)=$X$7)),"x","")</f>
        <v/>
      </c>
      <c r="Y4364" s="525" t="str">
        <f>IF(OR(TH!L4364=TH!$Y$7,M4364=TH!$Y$7),"x","")</f>
        <v/>
      </c>
      <c r="Z4364" s="525" t="str">
        <f>IF(AND(B4364&lt;=NKC!$N$8,B4364&gt;=NKC!$M$8),"x","")</f>
        <v/>
      </c>
      <c r="AA4364" s="535"/>
      <c r="AB4364" s="536"/>
      <c r="AD4364" s="536"/>
    </row>
    <row r="4365" spans="1:31" s="503" customFormat="1" ht="15.75" customHeight="1">
      <c r="A4365" s="517" t="str">
        <f>IF(B4365&lt;&gt;"",IF(AND(B4365&gt;=_TM1,B4365&lt;=_TM2,OR(TH!L4365="1111",TH!M4365="1111")),TH!D4365,""),"")</f>
        <v/>
      </c>
      <c r="B4365" s="531" t="str">
        <f t="shared" si="555"/>
        <v/>
      </c>
      <c r="C4365" s="315"/>
      <c r="D4365" s="315"/>
      <c r="E4365" s="545"/>
      <c r="F4365" s="247"/>
      <c r="G4365" s="314"/>
      <c r="H4365" s="473"/>
      <c r="I4365" s="307"/>
      <c r="J4365" s="307"/>
      <c r="K4365" s="532"/>
      <c r="L4365" s="533"/>
      <c r="M4365" s="533"/>
      <c r="N4365" s="525" t="str">
        <f>IF(AND('331-CT'!$E$7=TH!H4365,OR(L4365="331",M4365="331")),"331",IF(AND(OR(L4365="131",M4365="131"),H4365='131-CT'!$E$7),"131",""))</f>
        <v/>
      </c>
      <c r="O4365" s="525" t="str">
        <f>IF(AND($B4365&gt;='111'!$N$11,$B4365&lt;='111'!$O$11,OR($L4365=$O$7,$M4365=$O$7)),"x","")</f>
        <v/>
      </c>
      <c r="P4365" s="525" t="str">
        <f>IF(AND($L4365=$O$7,$B4365&lt;'111'!$N$11),"x","")</f>
        <v/>
      </c>
      <c r="Q4365" s="525" t="str">
        <f>IF(AND($M4365=$O$7,$B4365&lt;'111'!$N$11),"x","")</f>
        <v/>
      </c>
      <c r="R4365" s="525" t="str">
        <f>IF(ISERROR(FIND('112'!$M$9,G4365,1)),"",IF((AND(FIND('112'!$M$9,G4365,1)&gt;=1,$B4365&gt;='112'!$N$8,$B4365&lt;='112'!$O$8,OR($L4365='112'!$I$6,$M4365='112'!$I$6))),"x",""))</f>
        <v/>
      </c>
      <c r="S4365" s="525" t="str">
        <f>IF(ISERROR(FIND('112'!$M$9,G4365,1)),"",IF((AND(LEFT(G4365,2)=LEFT('112'!$M$9,2),B4365&lt;'112'!$N$8,$L4365='112'!$I$6)),"x",""))</f>
        <v/>
      </c>
      <c r="T4365" s="525" t="str">
        <f>IF(ISERROR(FIND('112'!$M$9,G4365,1)),"",IF((AND(RIGHT(G4365,2)=RIGHT('112'!$M$9,2),B4365&lt;'112'!$N$8,$M4365='112'!$I$6)),"x",""))</f>
        <v/>
      </c>
      <c r="U4365" s="525" t="str">
        <f>IF(AND(B4365&gt;='IN-NX'!$P$3,B4365&lt;='IN-NX'!$Q$3,'IN-NX'!$D$7=D4365,OR(LEFT(L4365,2)="15",AND(LEFT(M4365,2)&lt;&gt;"15",LEFT(M4365,2)&lt;&gt;"33"))),"x","")</f>
        <v/>
      </c>
      <c r="V4365" s="525" t="str">
        <f>IF(AND(OR(LEFT(TH!L4365,2)="15",LEFT(TH!M4365,2)="15"),'152-CT'!$J$8=TH!F4365),"x","")</f>
        <v/>
      </c>
      <c r="W4365" s="525" t="str">
        <f>IF(AND(OR(LEFT(TH!L4365,2)="15",LEFT(TH!M4365,2)="15"),TK!$E$7=TH!F4365),"x","")</f>
        <v/>
      </c>
      <c r="X4365" s="525" t="str">
        <f>IF(AND('341-CT'!$E$9=H4365,OR(LEFT(L4365,3)=$X$7,LEFT(M4365,3)=$X$7)),"x","")</f>
        <v/>
      </c>
      <c r="Y4365" s="525" t="str">
        <f>IF(OR(TH!L4365=TH!$Y$7,M4365=TH!$Y$7),"x","")</f>
        <v/>
      </c>
      <c r="Z4365" s="525" t="str">
        <f>IF(AND(B4365&lt;=NKC!$N$8,B4365&gt;=NKC!$M$8),"x","")</f>
        <v/>
      </c>
      <c r="AA4365" s="535"/>
      <c r="AB4365" s="536"/>
    </row>
    <row r="4366" spans="1:31" s="503" customFormat="1" ht="15.75" customHeight="1">
      <c r="A4366" s="517" t="str">
        <f>IF(B4366&lt;&gt;"",IF(AND(B4366&gt;=_TM1,B4366&lt;=_TM2,OR(TH!L4366="1111",TH!M4366="1111")),TH!D4366,""),"")</f>
        <v/>
      </c>
      <c r="B4366" s="531" t="str">
        <f t="shared" si="555"/>
        <v/>
      </c>
      <c r="C4366" s="315"/>
      <c r="D4366" s="315"/>
      <c r="E4366" s="545"/>
      <c r="F4366" s="245"/>
      <c r="G4366" s="314"/>
      <c r="H4366" s="473"/>
      <c r="I4366" s="307"/>
      <c r="J4366" s="307"/>
      <c r="K4366" s="532"/>
      <c r="L4366" s="533"/>
      <c r="M4366" s="533"/>
      <c r="N4366" s="525" t="str">
        <f>IF(AND('331-CT'!$E$7=TH!H4366,OR(L4366="331",M4366="331")),"331",IF(AND(OR(L4366="131",M4366="131"),H4366='131-CT'!$E$7),"131",""))</f>
        <v/>
      </c>
      <c r="O4366" s="525" t="str">
        <f>IF(AND($B4366&gt;='111'!$N$11,$B4366&lt;='111'!$O$11,OR($L4366=$O$7,$M4366=$O$7)),"x","")</f>
        <v/>
      </c>
      <c r="P4366" s="525" t="str">
        <f>IF(AND($L4366=$O$7,$B4366&lt;'111'!$N$11),"x","")</f>
        <v/>
      </c>
      <c r="Q4366" s="525" t="str">
        <f>IF(AND($M4366=$O$7,$B4366&lt;'111'!$N$11),"x","")</f>
        <v/>
      </c>
      <c r="R4366" s="525" t="str">
        <f>IF(ISERROR(FIND('112'!$M$9,G4366,1)),"",IF((AND(FIND('112'!$M$9,G4366,1)&gt;=1,$B4366&gt;='112'!$N$8,$B4366&lt;='112'!$O$8,OR($L4366='112'!$I$6,$M4366='112'!$I$6))),"x",""))</f>
        <v/>
      </c>
      <c r="S4366" s="525" t="str">
        <f>IF(ISERROR(FIND('112'!$M$9,G4366,1)),"",IF((AND(LEFT(G4366,2)=LEFT('112'!$M$9,2),B4366&lt;'112'!$N$8,$L4366='112'!$I$6)),"x",""))</f>
        <v/>
      </c>
      <c r="T4366" s="525" t="str">
        <f>IF(ISERROR(FIND('112'!$M$9,G4366,1)),"",IF((AND(RIGHT(G4366,2)=RIGHT('112'!$M$9,2),B4366&lt;'112'!$N$8,$M4366='112'!$I$6)),"x",""))</f>
        <v/>
      </c>
      <c r="U4366" s="525" t="str">
        <f>IF(AND(B4366&gt;='IN-NX'!$P$3,B4366&lt;='IN-NX'!$Q$3,'IN-NX'!$D$7=D4366,OR(LEFT(L4366,2)="15",AND(LEFT(M4366,2)&lt;&gt;"15",LEFT(M4366,2)&lt;&gt;"33"))),"x","")</f>
        <v/>
      </c>
      <c r="V4366" s="525" t="str">
        <f>IF(AND(OR(LEFT(TH!L4366,2)="15",LEFT(TH!M4366,2)="15"),'152-CT'!$J$8=TH!F4366),"x","")</f>
        <v/>
      </c>
      <c r="W4366" s="525" t="str">
        <f>IF(AND(OR(LEFT(TH!L4366,2)="15",LEFT(TH!M4366,2)="15"),TK!$E$7=TH!F4366),"x","")</f>
        <v/>
      </c>
      <c r="X4366" s="525" t="str">
        <f>IF(AND('341-CT'!$E$9=H4366,OR(LEFT(L4366,3)=$X$7,LEFT(M4366,3)=$X$7)),"x","")</f>
        <v/>
      </c>
      <c r="Y4366" s="525" t="str">
        <f>IF(OR(TH!L4366=TH!$Y$7,M4366=TH!$Y$7),"x","")</f>
        <v/>
      </c>
      <c r="Z4366" s="525" t="str">
        <f>IF(AND(B4366&lt;=NKC!$N$8,B4366&gt;=NKC!$M$8),"x","")</f>
        <v/>
      </c>
      <c r="AA4366" s="535"/>
      <c r="AB4366" s="536"/>
    </row>
    <row r="4367" spans="1:31" s="503" customFormat="1" ht="15.75" customHeight="1">
      <c r="A4367" s="517" t="str">
        <f>IF(B4367&lt;&gt;"",IF(AND(B4367&gt;=_TM1,B4367&lt;=_TM2,OR(TH!L4367="1111",TH!M4367="1111")),TH!D4367,""),"")</f>
        <v/>
      </c>
      <c r="B4367" s="531" t="str">
        <f t="shared" si="555"/>
        <v/>
      </c>
      <c r="C4367" s="315"/>
      <c r="D4367" s="315"/>
      <c r="E4367" s="545"/>
      <c r="F4367" s="245"/>
      <c r="G4367" s="314"/>
      <c r="H4367" s="473"/>
      <c r="I4367" s="307"/>
      <c r="J4367" s="307"/>
      <c r="K4367" s="532"/>
      <c r="L4367" s="533"/>
      <c r="M4367" s="533"/>
      <c r="N4367" s="525" t="str">
        <f>IF(AND('331-CT'!$E$7=TH!H4367,OR(L4367="331",M4367="331")),"331",IF(AND(OR(L4367="131",M4367="131"),H4367='131-CT'!$E$7),"131",""))</f>
        <v/>
      </c>
      <c r="O4367" s="525" t="str">
        <f>IF(AND($B4367&gt;='111'!$N$11,$B4367&lt;='111'!$O$11,OR($L4367=$O$7,$M4367=$O$7)),"x","")</f>
        <v/>
      </c>
      <c r="P4367" s="525" t="str">
        <f>IF(AND($L4367=$O$7,$B4367&lt;'111'!$N$11),"x","")</f>
        <v/>
      </c>
      <c r="Q4367" s="525" t="str">
        <f>IF(AND($M4367=$O$7,$B4367&lt;'111'!$N$11),"x","")</f>
        <v/>
      </c>
      <c r="R4367" s="525" t="str">
        <f>IF(ISERROR(FIND('112'!$M$9,G4367,1)),"",IF((AND(FIND('112'!$M$9,G4367,1)&gt;=1,$B4367&gt;='112'!$N$8,$B4367&lt;='112'!$O$8,OR($L4367='112'!$I$6,$M4367='112'!$I$6))),"x",""))</f>
        <v/>
      </c>
      <c r="S4367" s="525" t="str">
        <f>IF(ISERROR(FIND('112'!$M$9,G4367,1)),"",IF((AND(LEFT(G4367,2)=LEFT('112'!$M$9,2),B4367&lt;'112'!$N$8,$L4367='112'!$I$6)),"x",""))</f>
        <v/>
      </c>
      <c r="T4367" s="525" t="str">
        <f>IF(ISERROR(FIND('112'!$M$9,G4367,1)),"",IF((AND(RIGHT(G4367,2)=RIGHT('112'!$M$9,2),B4367&lt;'112'!$N$8,$M4367='112'!$I$6)),"x",""))</f>
        <v/>
      </c>
      <c r="U4367" s="525" t="str">
        <f>IF(AND(B4367&gt;='IN-NX'!$P$3,B4367&lt;='IN-NX'!$Q$3,'IN-NX'!$D$7=D4367,OR(LEFT(L4367,2)="15",AND(LEFT(M4367,2)&lt;&gt;"15",LEFT(M4367,2)&lt;&gt;"33"))),"x","")</f>
        <v/>
      </c>
      <c r="V4367" s="525" t="str">
        <f>IF(AND(OR(LEFT(TH!L4367,2)="15",LEFT(TH!M4367,2)="15"),'152-CT'!$J$8=TH!F4367),"x","")</f>
        <v/>
      </c>
      <c r="W4367" s="525" t="str">
        <f>IF(AND(OR(LEFT(TH!L4367,2)="15",LEFT(TH!M4367,2)="15"),TK!$E$7=TH!F4367),"x","")</f>
        <v/>
      </c>
      <c r="X4367" s="525" t="str">
        <f>IF(AND('341-CT'!$E$9=H4367,OR(LEFT(L4367,3)=$X$7,LEFT(M4367,3)=$X$7)),"x","")</f>
        <v/>
      </c>
      <c r="Y4367" s="525" t="str">
        <f>IF(OR(TH!L4367=TH!$Y$7,M4367=TH!$Y$7),"x","")</f>
        <v/>
      </c>
      <c r="Z4367" s="525" t="str">
        <f>IF(AND(B4367&lt;=NKC!$N$8,B4367&gt;=NKC!$M$8),"x","")</f>
        <v/>
      </c>
      <c r="AA4367" s="535"/>
      <c r="AB4367" s="536"/>
    </row>
    <row r="4368" spans="1:31" s="503" customFormat="1" ht="15.75" customHeight="1">
      <c r="A4368" s="517" t="str">
        <f>IF(B4368&lt;&gt;"",IF(AND(B4368&gt;=_TM1,B4368&lt;=_TM2,OR(TH!L4368="1111",TH!M4368="1111")),TH!D4368,""),"")</f>
        <v/>
      </c>
      <c r="B4368" s="531" t="str">
        <f t="shared" si="555"/>
        <v/>
      </c>
      <c r="C4368" s="315"/>
      <c r="D4368" s="315"/>
      <c r="E4368" s="545"/>
      <c r="F4368" s="246"/>
      <c r="G4368" s="314"/>
      <c r="H4368" s="472"/>
      <c r="I4368" s="307"/>
      <c r="J4368" s="307"/>
      <c r="K4368" s="532"/>
      <c r="L4368" s="533"/>
      <c r="M4368" s="533"/>
      <c r="N4368" s="525" t="str">
        <f>IF(AND('331-CT'!$E$7=TH!H4368,OR(L4368="331",M4368="331")),"331",IF(AND(OR(L4368="131",M4368="131"),H4368='131-CT'!$E$7),"131",""))</f>
        <v/>
      </c>
      <c r="O4368" s="525" t="str">
        <f>IF(AND($B4368&gt;='111'!$N$11,$B4368&lt;='111'!$O$11,OR($L4368=$O$7,$M4368=$O$7)),"x","")</f>
        <v/>
      </c>
      <c r="P4368" s="525" t="str">
        <f>IF(AND($L4368=$O$7,$B4368&lt;'111'!$N$11),"x","")</f>
        <v/>
      </c>
      <c r="Q4368" s="525" t="str">
        <f>IF(AND($M4368=$O$7,$B4368&lt;'111'!$N$11),"x","")</f>
        <v/>
      </c>
      <c r="R4368" s="525" t="str">
        <f>IF(ISERROR(FIND('112'!$M$9,G4368,1)),"",IF((AND(FIND('112'!$M$9,G4368,1)&gt;=1,$B4368&gt;='112'!$N$8,$B4368&lt;='112'!$O$8,OR($L4368='112'!$I$6,$M4368='112'!$I$6))),"x",""))</f>
        <v/>
      </c>
      <c r="S4368" s="525" t="str">
        <f>IF(ISERROR(FIND('112'!$M$9,G4368,1)),"",IF((AND(LEFT(G4368,2)=LEFT('112'!$M$9,2),B4368&lt;'112'!$N$8,$L4368='112'!$I$6)),"x",""))</f>
        <v/>
      </c>
      <c r="T4368" s="525" t="str">
        <f>IF(ISERROR(FIND('112'!$M$9,G4368,1)),"",IF((AND(RIGHT(G4368,2)=RIGHT('112'!$M$9,2),B4368&lt;'112'!$N$8,$M4368='112'!$I$6)),"x",""))</f>
        <v/>
      </c>
      <c r="U4368" s="525" t="str">
        <f>IF(AND(B4368&gt;='IN-NX'!$P$3,B4368&lt;='IN-NX'!$Q$3,'IN-NX'!$D$7=D4368,OR(LEFT(L4368,2)="15",AND(LEFT(M4368,2)&lt;&gt;"15",LEFT(M4368,2)&lt;&gt;"33"))),"x","")</f>
        <v/>
      </c>
      <c r="V4368" s="525" t="str">
        <f>IF(AND(OR(LEFT(TH!L4368,2)="15",LEFT(TH!M4368,2)="15"),'152-CT'!$J$8=TH!F4368),"x","")</f>
        <v/>
      </c>
      <c r="W4368" s="525" t="str">
        <f>IF(AND(OR(LEFT(TH!L4368,2)="15",LEFT(TH!M4368,2)="15"),TK!$E$7=TH!F4368),"x","")</f>
        <v/>
      </c>
      <c r="X4368" s="525" t="str">
        <f>IF(AND('341-CT'!$E$9=H4368,OR(LEFT(L4368,3)=$X$7,LEFT(M4368,3)=$X$7)),"x","")</f>
        <v/>
      </c>
      <c r="Y4368" s="525" t="str">
        <f>IF(OR(TH!L4368=TH!$Y$7,M4368=TH!$Y$7),"x","")</f>
        <v/>
      </c>
      <c r="Z4368" s="525" t="str">
        <f>IF(AND(B4368&lt;=NKC!$N$8,B4368&gt;=NKC!$M$8),"x","")</f>
        <v/>
      </c>
      <c r="AA4368" s="535"/>
      <c r="AB4368" s="536"/>
    </row>
    <row r="4369" spans="1:30" s="503" customFormat="1" ht="15.75" customHeight="1">
      <c r="A4369" s="517" t="str">
        <f>IF(B4369&lt;&gt;"",IF(AND(B4369&gt;=_TM1,B4369&lt;=_TM2,OR(TH!L4369="1111",TH!M4369="1111")),TH!D4369,""),"")</f>
        <v/>
      </c>
      <c r="B4369" s="531" t="str">
        <f t="shared" si="555"/>
        <v/>
      </c>
      <c r="C4369" s="315"/>
      <c r="D4369" s="315"/>
      <c r="E4369" s="545"/>
      <c r="F4369" s="246"/>
      <c r="G4369" s="314"/>
      <c r="H4369" s="472"/>
      <c r="I4369" s="307"/>
      <c r="J4369" s="307"/>
      <c r="K4369" s="532"/>
      <c r="L4369" s="533"/>
      <c r="M4369" s="533"/>
      <c r="N4369" s="525" t="str">
        <f>IF(AND('331-CT'!$E$7=TH!H4369,OR(L4369="331",M4369="331")),"331",IF(AND(OR(L4369="131",M4369="131"),H4369='131-CT'!$E$7),"131",""))</f>
        <v/>
      </c>
      <c r="O4369" s="525" t="str">
        <f>IF(AND($B4369&gt;='111'!$N$11,$B4369&lt;='111'!$O$11,OR($L4369=$O$7,$M4369=$O$7)),"x","")</f>
        <v/>
      </c>
      <c r="P4369" s="525" t="str">
        <f>IF(AND($L4369=$O$7,$B4369&lt;'111'!$N$11),"x","")</f>
        <v/>
      </c>
      <c r="Q4369" s="525" t="str">
        <f>IF(AND($M4369=$O$7,$B4369&lt;'111'!$N$11),"x","")</f>
        <v/>
      </c>
      <c r="R4369" s="525" t="str">
        <f>IF(ISERROR(FIND('112'!$M$9,G4369,1)),"",IF((AND(FIND('112'!$M$9,G4369,1)&gt;=1,$B4369&gt;='112'!$N$8,$B4369&lt;='112'!$O$8,OR($L4369='112'!$I$6,$M4369='112'!$I$6))),"x",""))</f>
        <v/>
      </c>
      <c r="S4369" s="525" t="str">
        <f>IF(ISERROR(FIND('112'!$M$9,G4369,1)),"",IF((AND(LEFT(G4369,2)=LEFT('112'!$M$9,2),B4369&lt;'112'!$N$8,$L4369='112'!$I$6)),"x",""))</f>
        <v/>
      </c>
      <c r="T4369" s="525" t="str">
        <f>IF(ISERROR(FIND('112'!$M$9,G4369,1)),"",IF((AND(RIGHT(G4369,2)=RIGHT('112'!$M$9,2),B4369&lt;'112'!$N$8,$M4369='112'!$I$6)),"x",""))</f>
        <v/>
      </c>
      <c r="U4369" s="525" t="str">
        <f>IF(AND(B4369&gt;='IN-NX'!$P$3,B4369&lt;='IN-NX'!$Q$3,'IN-NX'!$D$7=D4369,OR(LEFT(L4369,2)="15",AND(LEFT(M4369,2)&lt;&gt;"15",LEFT(M4369,2)&lt;&gt;"33"))),"x","")</f>
        <v/>
      </c>
      <c r="V4369" s="525" t="str">
        <f>IF(AND(OR(LEFT(TH!L4369,2)="15",LEFT(TH!M4369,2)="15"),'152-CT'!$J$8=TH!F4369),"x","")</f>
        <v/>
      </c>
      <c r="W4369" s="525" t="str">
        <f>IF(AND(OR(LEFT(TH!L4369,2)="15",LEFT(TH!M4369,2)="15"),TK!$E$7=TH!F4369),"x","")</f>
        <v/>
      </c>
      <c r="X4369" s="525" t="str">
        <f>IF(AND('341-CT'!$E$9=H4369,OR(LEFT(L4369,3)=$X$7,LEFT(M4369,3)=$X$7)),"x","")</f>
        <v/>
      </c>
      <c r="Y4369" s="525" t="str">
        <f>IF(OR(TH!L4369=TH!$Y$7,M4369=TH!$Y$7),"x","")</f>
        <v/>
      </c>
      <c r="Z4369" s="525" t="str">
        <f>IF(AND(B4369&lt;=NKC!$N$8,B4369&gt;=NKC!$M$8),"x","")</f>
        <v/>
      </c>
      <c r="AA4369" s="535"/>
      <c r="AB4369" s="536"/>
    </row>
    <row r="4370" spans="1:30" s="503" customFormat="1" ht="15.75" customHeight="1">
      <c r="A4370" s="517" t="str">
        <f>IF(B4370&lt;&gt;"",IF(AND(B4370&gt;=_TM1,B4370&lt;=_TM2,OR(TH!L4370="1111",TH!M4370="1111")),TH!D4370,""),"")</f>
        <v/>
      </c>
      <c r="B4370" s="531" t="str">
        <f t="shared" si="555"/>
        <v/>
      </c>
      <c r="C4370" s="315"/>
      <c r="D4370" s="315"/>
      <c r="E4370" s="545"/>
      <c r="F4370" s="246"/>
      <c r="G4370" s="314"/>
      <c r="H4370" s="472"/>
      <c r="I4370" s="307"/>
      <c r="J4370" s="307"/>
      <c r="K4370" s="532"/>
      <c r="L4370" s="533"/>
      <c r="M4370" s="533"/>
      <c r="N4370" s="525" t="str">
        <f>IF(AND('331-CT'!$E$7=TH!H4370,OR(L4370="331",M4370="331")),"331",IF(AND(OR(L4370="131",M4370="131"),H4370='131-CT'!$E$7),"131",""))</f>
        <v/>
      </c>
      <c r="O4370" s="525" t="str">
        <f>IF(AND($B4370&gt;='111'!$N$11,$B4370&lt;='111'!$O$11,OR($L4370=$O$7,$M4370=$O$7)),"x","")</f>
        <v/>
      </c>
      <c r="P4370" s="525" t="str">
        <f>IF(AND($L4370=$O$7,$B4370&lt;'111'!$N$11),"x","")</f>
        <v/>
      </c>
      <c r="Q4370" s="525" t="str">
        <f>IF(AND($M4370=$O$7,$B4370&lt;'111'!$N$11),"x","")</f>
        <v/>
      </c>
      <c r="R4370" s="525" t="str">
        <f>IF(ISERROR(FIND('112'!$M$9,G4370,1)),"",IF((AND(FIND('112'!$M$9,G4370,1)&gt;=1,$B4370&gt;='112'!$N$8,$B4370&lt;='112'!$O$8,OR($L4370='112'!$I$6,$M4370='112'!$I$6))),"x",""))</f>
        <v/>
      </c>
      <c r="S4370" s="525" t="str">
        <f>IF(ISERROR(FIND('112'!$M$9,G4370,1)),"",IF((AND(LEFT(G4370,2)=LEFT('112'!$M$9,2),B4370&lt;'112'!$N$8,$L4370='112'!$I$6)),"x",""))</f>
        <v/>
      </c>
      <c r="T4370" s="525" t="str">
        <f>IF(ISERROR(FIND('112'!$M$9,G4370,1)),"",IF((AND(RIGHT(G4370,2)=RIGHT('112'!$M$9,2),B4370&lt;'112'!$N$8,$M4370='112'!$I$6)),"x",""))</f>
        <v/>
      </c>
      <c r="U4370" s="525" t="str">
        <f>IF(AND(B4370&gt;='IN-NX'!$P$3,B4370&lt;='IN-NX'!$Q$3,'IN-NX'!$D$7=D4370,OR(LEFT(L4370,2)="15",AND(LEFT(M4370,2)&lt;&gt;"15",LEFT(M4370,2)&lt;&gt;"33"))),"x","")</f>
        <v/>
      </c>
      <c r="V4370" s="525" t="str">
        <f>IF(AND(OR(LEFT(TH!L4370,2)="15",LEFT(TH!M4370,2)="15"),'152-CT'!$J$8=TH!F4370),"x","")</f>
        <v/>
      </c>
      <c r="W4370" s="525" t="str">
        <f>IF(AND(OR(LEFT(TH!L4370,2)="15",LEFT(TH!M4370,2)="15"),TK!$E$7=TH!F4370),"x","")</f>
        <v/>
      </c>
      <c r="X4370" s="525" t="str">
        <f>IF(AND('341-CT'!$E$9=H4370,OR(LEFT(L4370,3)=$X$7,LEFT(M4370,3)=$X$7)),"x","")</f>
        <v/>
      </c>
      <c r="Y4370" s="525" t="str">
        <f>IF(OR(TH!L4370=TH!$Y$7,M4370=TH!$Y$7),"x","")</f>
        <v/>
      </c>
      <c r="Z4370" s="525" t="str">
        <f>IF(AND(B4370&lt;=NKC!$N$8,B4370&gt;=NKC!$M$8),"x","")</f>
        <v/>
      </c>
      <c r="AA4370" s="535"/>
      <c r="AB4370" s="536"/>
    </row>
    <row r="4371" spans="1:30" s="503" customFormat="1" ht="15.75" customHeight="1">
      <c r="A4371" s="517" t="str">
        <f>IF(B4371&lt;&gt;"",IF(AND(B4371&gt;=_TM1,B4371&lt;=_TM2,OR(TH!L4371="1111",TH!M4371="1111")),TH!D4371,""),"")</f>
        <v/>
      </c>
      <c r="B4371" s="531" t="str">
        <f t="shared" si="555"/>
        <v/>
      </c>
      <c r="C4371" s="315"/>
      <c r="D4371" s="315"/>
      <c r="E4371" s="545"/>
      <c r="F4371" s="245"/>
      <c r="G4371" s="314"/>
      <c r="H4371" s="472"/>
      <c r="I4371" s="307"/>
      <c r="J4371" s="307"/>
      <c r="K4371" s="532"/>
      <c r="L4371" s="533"/>
      <c r="M4371" s="533"/>
      <c r="N4371" s="525" t="str">
        <f>IF(AND('331-CT'!$E$7=TH!H4371,OR(L4371="331",M4371="331")),"331",IF(AND(OR(L4371="131",M4371="131"),H4371='131-CT'!$E$7),"131",""))</f>
        <v/>
      </c>
      <c r="O4371" s="525" t="str">
        <f>IF(AND($B4371&gt;='111'!$N$11,$B4371&lt;='111'!$O$11,OR($L4371=$O$7,$M4371=$O$7)),"x","")</f>
        <v/>
      </c>
      <c r="P4371" s="525" t="str">
        <f>IF(AND($L4371=$O$7,$B4371&lt;'111'!$N$11),"x","")</f>
        <v/>
      </c>
      <c r="Q4371" s="525" t="str">
        <f>IF(AND($M4371=$O$7,$B4371&lt;'111'!$N$11),"x","")</f>
        <v/>
      </c>
      <c r="R4371" s="525" t="str">
        <f>IF(ISERROR(FIND('112'!$M$9,G4371,1)),"",IF((AND(FIND('112'!$M$9,G4371,1)&gt;=1,$B4371&gt;='112'!$N$8,$B4371&lt;='112'!$O$8,OR($L4371='112'!$I$6,$M4371='112'!$I$6))),"x",""))</f>
        <v/>
      </c>
      <c r="S4371" s="525" t="str">
        <f>IF(ISERROR(FIND('112'!$M$9,G4371,1)),"",IF((AND(LEFT(G4371,2)=LEFT('112'!$M$9,2),B4371&lt;'112'!$N$8,$L4371='112'!$I$6)),"x",""))</f>
        <v/>
      </c>
      <c r="T4371" s="525" t="str">
        <f>IF(ISERROR(FIND('112'!$M$9,G4371,1)),"",IF((AND(RIGHT(G4371,2)=RIGHT('112'!$M$9,2),B4371&lt;'112'!$N$8,$M4371='112'!$I$6)),"x",""))</f>
        <v/>
      </c>
      <c r="U4371" s="525" t="str">
        <f>IF(AND(B4371&gt;='IN-NX'!$P$3,B4371&lt;='IN-NX'!$Q$3,'IN-NX'!$D$7=D4371,OR(LEFT(L4371,2)="15",AND(LEFT(M4371,2)&lt;&gt;"15",LEFT(M4371,2)&lt;&gt;"33"))),"x","")</f>
        <v/>
      </c>
      <c r="V4371" s="525" t="str">
        <f>IF(AND(OR(LEFT(TH!L4371,2)="15",LEFT(TH!M4371,2)="15"),'152-CT'!$J$8=TH!F4371),"x","")</f>
        <v/>
      </c>
      <c r="W4371" s="525" t="str">
        <f>IF(AND(OR(LEFT(TH!L4371,2)="15",LEFT(TH!M4371,2)="15"),TK!$E$7=TH!F4371),"x","")</f>
        <v/>
      </c>
      <c r="X4371" s="525" t="str">
        <f>IF(AND('341-CT'!$E$9=H4371,OR(LEFT(L4371,3)=$X$7,LEFT(M4371,3)=$X$7)),"x","")</f>
        <v/>
      </c>
      <c r="Y4371" s="525" t="str">
        <f>IF(OR(TH!L4371=TH!$Y$7,M4371=TH!$Y$7),"x","")</f>
        <v/>
      </c>
      <c r="Z4371" s="525" t="str">
        <f>IF(AND(B4371&lt;=NKC!$N$8,B4371&gt;=NKC!$M$8),"x","")</f>
        <v/>
      </c>
      <c r="AA4371" s="535"/>
      <c r="AB4371" s="536"/>
    </row>
    <row r="4372" spans="1:30" s="503" customFormat="1" ht="15.75" customHeight="1">
      <c r="A4372" s="517" t="str">
        <f>IF(B4372&lt;&gt;"",IF(AND(B4372&gt;=_TM1,B4372&lt;=_TM2,OR(TH!L4372="1111",TH!M4372="1111")),TH!D4372,""),"")</f>
        <v/>
      </c>
      <c r="B4372" s="531" t="str">
        <f t="shared" si="555"/>
        <v/>
      </c>
      <c r="C4372" s="315"/>
      <c r="D4372" s="315"/>
      <c r="E4372" s="545"/>
      <c r="F4372" s="245"/>
      <c r="G4372" s="314"/>
      <c r="H4372" s="472"/>
      <c r="I4372" s="307"/>
      <c r="J4372" s="307"/>
      <c r="K4372" s="532"/>
      <c r="L4372" s="533"/>
      <c r="M4372" s="533"/>
      <c r="N4372" s="525" t="str">
        <f>IF(AND('331-CT'!$E$7=TH!H4372,OR(L4372="331",M4372="331")),"331",IF(AND(OR(L4372="131",M4372="131"),H4372='131-CT'!$E$7),"131",""))</f>
        <v/>
      </c>
      <c r="O4372" s="525" t="str">
        <f>IF(AND($B4372&gt;='111'!$N$11,$B4372&lt;='111'!$O$11,OR($L4372=$O$7,$M4372=$O$7)),"x","")</f>
        <v/>
      </c>
      <c r="P4372" s="525" t="str">
        <f>IF(AND($L4372=$O$7,$B4372&lt;'111'!$N$11),"x","")</f>
        <v/>
      </c>
      <c r="Q4372" s="525" t="str">
        <f>IF(AND($M4372=$O$7,$B4372&lt;'111'!$N$11),"x","")</f>
        <v/>
      </c>
      <c r="R4372" s="525" t="str">
        <f>IF(ISERROR(FIND('112'!$M$9,G4372,1)),"",IF((AND(FIND('112'!$M$9,G4372,1)&gt;=1,$B4372&gt;='112'!$N$8,$B4372&lt;='112'!$O$8,OR($L4372='112'!$I$6,$M4372='112'!$I$6))),"x",""))</f>
        <v/>
      </c>
      <c r="S4372" s="525" t="str">
        <f>IF(ISERROR(FIND('112'!$M$9,G4372,1)),"",IF((AND(LEFT(G4372,2)=LEFT('112'!$M$9,2),B4372&lt;'112'!$N$8,$L4372='112'!$I$6)),"x",""))</f>
        <v/>
      </c>
      <c r="T4372" s="525" t="str">
        <f>IF(ISERROR(FIND('112'!$M$9,G4372,1)),"",IF((AND(RIGHT(G4372,2)=RIGHT('112'!$M$9,2),B4372&lt;'112'!$N$8,$M4372='112'!$I$6)),"x",""))</f>
        <v/>
      </c>
      <c r="U4372" s="525" t="str">
        <f>IF(AND(B4372&gt;='IN-NX'!$P$3,B4372&lt;='IN-NX'!$Q$3,'IN-NX'!$D$7=D4372,OR(LEFT(L4372,2)="15",AND(LEFT(M4372,2)&lt;&gt;"15",LEFT(M4372,2)&lt;&gt;"33"))),"x","")</f>
        <v/>
      </c>
      <c r="V4372" s="525" t="str">
        <f>IF(AND(OR(LEFT(TH!L4372,2)="15",LEFT(TH!M4372,2)="15"),'152-CT'!$J$8=TH!F4372),"x","")</f>
        <v/>
      </c>
      <c r="W4372" s="525" t="str">
        <f>IF(AND(OR(LEFT(TH!L4372,2)="15",LEFT(TH!M4372,2)="15"),TK!$E$7=TH!F4372),"x","")</f>
        <v/>
      </c>
      <c r="X4372" s="525" t="str">
        <f>IF(AND('341-CT'!$E$9=H4372,OR(LEFT(L4372,3)=$X$7,LEFT(M4372,3)=$X$7)),"x","")</f>
        <v/>
      </c>
      <c r="Y4372" s="525" t="str">
        <f>IF(OR(TH!L4372=TH!$Y$7,M4372=TH!$Y$7),"x","")</f>
        <v/>
      </c>
      <c r="Z4372" s="525" t="str">
        <f>IF(AND(B4372&lt;=NKC!$N$8,B4372&gt;=NKC!$M$8),"x","")</f>
        <v/>
      </c>
      <c r="AA4372" s="535"/>
      <c r="AB4372" s="536"/>
    </row>
    <row r="4373" spans="1:30" s="503" customFormat="1" ht="15.75" customHeight="1">
      <c r="A4373" s="517" t="str">
        <f>IF(B4373&lt;&gt;"",IF(AND(B4373&gt;=_TM1,B4373&lt;=_TM2,OR(TH!L4373="1111",TH!M4373="1111")),TH!D4373,""),"")</f>
        <v/>
      </c>
      <c r="B4373" s="531" t="str">
        <f t="shared" si="555"/>
        <v/>
      </c>
      <c r="C4373" s="315"/>
      <c r="D4373" s="315"/>
      <c r="E4373" s="545"/>
      <c r="F4373" s="245"/>
      <c r="G4373" s="314"/>
      <c r="H4373" s="472"/>
      <c r="I4373" s="307"/>
      <c r="J4373" s="307"/>
      <c r="K4373" s="532"/>
      <c r="L4373" s="533"/>
      <c r="M4373" s="533"/>
      <c r="N4373" s="525" t="str">
        <f>IF(AND('331-CT'!$E$7=TH!H4373,OR(L4373="331",M4373="331")),"331",IF(AND(OR(L4373="131",M4373="131"),H4373='131-CT'!$E$7),"131",""))</f>
        <v/>
      </c>
      <c r="O4373" s="525" t="str">
        <f>IF(AND($B4373&gt;='111'!$N$11,$B4373&lt;='111'!$O$11,OR($L4373=$O$7,$M4373=$O$7)),"x","")</f>
        <v/>
      </c>
      <c r="P4373" s="525" t="str">
        <f>IF(AND($L4373=$O$7,$B4373&lt;'111'!$N$11),"x","")</f>
        <v/>
      </c>
      <c r="Q4373" s="525" t="str">
        <f>IF(AND($M4373=$O$7,$B4373&lt;'111'!$N$11),"x","")</f>
        <v/>
      </c>
      <c r="R4373" s="525" t="str">
        <f>IF(ISERROR(FIND('112'!$M$9,G4373,1)),"",IF((AND(FIND('112'!$M$9,G4373,1)&gt;=1,$B4373&gt;='112'!$N$8,$B4373&lt;='112'!$O$8,OR($L4373='112'!$I$6,$M4373='112'!$I$6))),"x",""))</f>
        <v/>
      </c>
      <c r="S4373" s="525" t="str">
        <f>IF(ISERROR(FIND('112'!$M$9,G4373,1)),"",IF((AND(LEFT(G4373,2)=LEFT('112'!$M$9,2),B4373&lt;'112'!$N$8,$L4373='112'!$I$6)),"x",""))</f>
        <v/>
      </c>
      <c r="T4373" s="525" t="str">
        <f>IF(ISERROR(FIND('112'!$M$9,G4373,1)),"",IF((AND(RIGHT(G4373,2)=RIGHT('112'!$M$9,2),B4373&lt;'112'!$N$8,$M4373='112'!$I$6)),"x",""))</f>
        <v/>
      </c>
      <c r="U4373" s="525" t="str">
        <f>IF(AND(B4373&gt;='IN-NX'!$P$3,B4373&lt;='IN-NX'!$Q$3,'IN-NX'!$D$7=D4373,OR(LEFT(L4373,2)="15",AND(LEFT(M4373,2)&lt;&gt;"15",LEFT(M4373,2)&lt;&gt;"33"))),"x","")</f>
        <v/>
      </c>
      <c r="V4373" s="525" t="str">
        <f>IF(AND(OR(LEFT(TH!L4373,2)="15",LEFT(TH!M4373,2)="15"),'152-CT'!$J$8=TH!F4373),"x","")</f>
        <v/>
      </c>
      <c r="W4373" s="525" t="str">
        <f>IF(AND(OR(LEFT(TH!L4373,2)="15",LEFT(TH!M4373,2)="15"),TK!$E$7=TH!F4373),"x","")</f>
        <v/>
      </c>
      <c r="X4373" s="525" t="str">
        <f>IF(AND('341-CT'!$E$9=H4373,OR(LEFT(L4373,3)=$X$7,LEFT(M4373,3)=$X$7)),"x","")</f>
        <v/>
      </c>
      <c r="Y4373" s="525" t="str">
        <f>IF(OR(TH!L4373=TH!$Y$7,M4373=TH!$Y$7),"x","")</f>
        <v/>
      </c>
      <c r="Z4373" s="525" t="str">
        <f>IF(AND(B4373&lt;=NKC!$N$8,B4373&gt;=NKC!$M$8),"x","")</f>
        <v/>
      </c>
      <c r="AA4373" s="535"/>
      <c r="AB4373" s="536"/>
    </row>
    <row r="4374" spans="1:30" s="503" customFormat="1" ht="15.75" customHeight="1">
      <c r="A4374" s="517" t="str">
        <f>IF(B4374&lt;&gt;"",IF(AND(B4374&gt;=_TM1,B4374&lt;=_TM2,OR(TH!L4374="1111",TH!M4374="1111")),TH!D4374,""),"")</f>
        <v/>
      </c>
      <c r="B4374" s="531" t="str">
        <f t="shared" si="555"/>
        <v/>
      </c>
      <c r="C4374" s="315"/>
      <c r="D4374" s="315"/>
      <c r="E4374" s="545"/>
      <c r="F4374" s="246"/>
      <c r="G4374" s="314"/>
      <c r="H4374" s="473"/>
      <c r="I4374" s="307"/>
      <c r="J4374" s="307"/>
      <c r="K4374" s="532"/>
      <c r="L4374" s="533"/>
      <c r="M4374" s="533"/>
      <c r="N4374" s="525" t="str">
        <f>IF(AND('331-CT'!$E$7=TH!H4374,OR(L4374="331",M4374="331")),"331",IF(AND(OR(L4374="131",M4374="131"),H4374='131-CT'!$E$7),"131",""))</f>
        <v/>
      </c>
      <c r="O4374" s="525" t="str">
        <f>IF(AND($B4374&gt;='111'!$N$11,$B4374&lt;='111'!$O$11,OR($L4374=$O$7,$M4374=$O$7)),"x","")</f>
        <v/>
      </c>
      <c r="P4374" s="525" t="str">
        <f>IF(AND($L4374=$O$7,$B4374&lt;'111'!$N$11),"x","")</f>
        <v/>
      </c>
      <c r="Q4374" s="525" t="str">
        <f>IF(AND($M4374=$O$7,$B4374&lt;'111'!$N$11),"x","")</f>
        <v/>
      </c>
      <c r="R4374" s="525" t="str">
        <f>IF(ISERROR(FIND('112'!$M$9,G4374,1)),"",IF((AND(FIND('112'!$M$9,G4374,1)&gt;=1,$B4374&gt;='112'!$N$8,$B4374&lt;='112'!$O$8,OR($L4374='112'!$I$6,$M4374='112'!$I$6))),"x",""))</f>
        <v/>
      </c>
      <c r="S4374" s="525" t="str">
        <f>IF(ISERROR(FIND('112'!$M$9,G4374,1)),"",IF((AND(LEFT(G4374,2)=LEFT('112'!$M$9,2),B4374&lt;'112'!$N$8,$L4374='112'!$I$6)),"x",""))</f>
        <v/>
      </c>
      <c r="T4374" s="525" t="str">
        <f>IF(ISERROR(FIND('112'!$M$9,G4374,1)),"",IF((AND(RIGHT(G4374,2)=RIGHT('112'!$M$9,2),B4374&lt;'112'!$N$8,$M4374='112'!$I$6)),"x",""))</f>
        <v/>
      </c>
      <c r="U4374" s="525" t="str">
        <f>IF(AND(B4374&gt;='IN-NX'!$P$3,B4374&lt;='IN-NX'!$Q$3,'IN-NX'!$D$7=D4374,OR(LEFT(L4374,2)="15",AND(LEFT(M4374,2)&lt;&gt;"15",LEFT(M4374,2)&lt;&gt;"33"))),"x","")</f>
        <v/>
      </c>
      <c r="V4374" s="525" t="str">
        <f>IF(AND(OR(LEFT(TH!L4374,2)="15",LEFT(TH!M4374,2)="15"),'152-CT'!$J$8=TH!F4374),"x","")</f>
        <v/>
      </c>
      <c r="W4374" s="525" t="str">
        <f>IF(AND(OR(LEFT(TH!L4374,2)="15",LEFT(TH!M4374,2)="15"),TK!$E$7=TH!F4374),"x","")</f>
        <v/>
      </c>
      <c r="X4374" s="525" t="str">
        <f>IF(AND('341-CT'!$E$9=H4374,OR(LEFT(L4374,3)=$X$7,LEFT(M4374,3)=$X$7)),"x","")</f>
        <v/>
      </c>
      <c r="Y4374" s="525" t="str">
        <f>IF(OR(TH!L4374=TH!$Y$7,M4374=TH!$Y$7),"x","")</f>
        <v/>
      </c>
      <c r="Z4374" s="525" t="str">
        <f>IF(AND(B4374&lt;=NKC!$N$8,B4374&gt;=NKC!$M$8),"x","")</f>
        <v/>
      </c>
      <c r="AA4374" s="535"/>
      <c r="AB4374" s="536"/>
      <c r="AD4374" s="536"/>
    </row>
    <row r="4375" spans="1:30" s="503" customFormat="1" ht="15.75" customHeight="1">
      <c r="A4375" s="517" t="str">
        <f>IF(B4375&lt;&gt;"",IF(AND(B4375&gt;=_TM1,B4375&lt;=_TM2,OR(TH!L4375="1111",TH!M4375="1111")),TH!D4375,""),"")</f>
        <v/>
      </c>
      <c r="B4375" s="531" t="str">
        <f t="shared" si="555"/>
        <v/>
      </c>
      <c r="C4375" s="315"/>
      <c r="D4375" s="315"/>
      <c r="E4375" s="545"/>
      <c r="F4375" s="246"/>
      <c r="G4375" s="314"/>
      <c r="H4375" s="473"/>
      <c r="I4375" s="307"/>
      <c r="J4375" s="307"/>
      <c r="K4375" s="532"/>
      <c r="L4375" s="533"/>
      <c r="M4375" s="533"/>
      <c r="N4375" s="525" t="str">
        <f>IF(AND('331-CT'!$E$7=TH!H4375,OR(L4375="331",M4375="331")),"331",IF(AND(OR(L4375="131",M4375="131"),H4375='131-CT'!$E$7),"131",""))</f>
        <v/>
      </c>
      <c r="O4375" s="525" t="str">
        <f>IF(AND($B4375&gt;='111'!$N$11,$B4375&lt;='111'!$O$11,OR($L4375=$O$7,$M4375=$O$7)),"x","")</f>
        <v/>
      </c>
      <c r="P4375" s="525" t="str">
        <f>IF(AND($L4375=$O$7,$B4375&lt;'111'!$N$11),"x","")</f>
        <v/>
      </c>
      <c r="Q4375" s="525" t="str">
        <f>IF(AND($M4375=$O$7,$B4375&lt;'111'!$N$11),"x","")</f>
        <v/>
      </c>
      <c r="R4375" s="525" t="str">
        <f>IF(ISERROR(FIND('112'!$M$9,G4375,1)),"",IF((AND(FIND('112'!$M$9,G4375,1)&gt;=1,$B4375&gt;='112'!$N$8,$B4375&lt;='112'!$O$8,OR($L4375='112'!$I$6,$M4375='112'!$I$6))),"x",""))</f>
        <v/>
      </c>
      <c r="S4375" s="525" t="str">
        <f>IF(ISERROR(FIND('112'!$M$9,G4375,1)),"",IF((AND(LEFT(G4375,2)=LEFT('112'!$M$9,2),B4375&lt;'112'!$N$8,$L4375='112'!$I$6)),"x",""))</f>
        <v/>
      </c>
      <c r="T4375" s="525" t="str">
        <f>IF(ISERROR(FIND('112'!$M$9,G4375,1)),"",IF((AND(RIGHT(G4375,2)=RIGHT('112'!$M$9,2),B4375&lt;'112'!$N$8,$M4375='112'!$I$6)),"x",""))</f>
        <v/>
      </c>
      <c r="U4375" s="525" t="str">
        <f>IF(AND(B4375&gt;='IN-NX'!$P$3,B4375&lt;='IN-NX'!$Q$3,'IN-NX'!$D$7=D4375,OR(LEFT(L4375,2)="15",AND(LEFT(M4375,2)&lt;&gt;"15",LEFT(M4375,2)&lt;&gt;"33"))),"x","")</f>
        <v/>
      </c>
      <c r="V4375" s="525" t="str">
        <f>IF(AND(OR(LEFT(TH!L4375,2)="15",LEFT(TH!M4375,2)="15"),'152-CT'!$J$8=TH!F4375),"x","")</f>
        <v/>
      </c>
      <c r="W4375" s="525" t="str">
        <f>IF(AND(OR(LEFT(TH!L4375,2)="15",LEFT(TH!M4375,2)="15"),TK!$E$7=TH!F4375),"x","")</f>
        <v/>
      </c>
      <c r="X4375" s="525" t="str">
        <f>IF(AND('341-CT'!$E$9=H4375,OR(LEFT(L4375,3)=$X$7,LEFT(M4375,3)=$X$7)),"x","")</f>
        <v/>
      </c>
      <c r="Y4375" s="525" t="str">
        <f>IF(OR(TH!L4375=TH!$Y$7,M4375=TH!$Y$7),"x","")</f>
        <v/>
      </c>
      <c r="Z4375" s="525" t="str">
        <f>IF(AND(B4375&lt;=NKC!$N$8,B4375&gt;=NKC!$M$8),"x","")</f>
        <v/>
      </c>
      <c r="AA4375" s="535"/>
      <c r="AB4375" s="536"/>
    </row>
    <row r="4376" spans="1:30" s="503" customFormat="1" ht="15.75" customHeight="1">
      <c r="A4376" s="517" t="str">
        <f>IF(B4376&lt;&gt;"",IF(AND(B4376&gt;=_TM1,B4376&lt;=_TM2,OR(TH!L4376="1111",TH!M4376="1111")),TH!D4376,""),"")</f>
        <v/>
      </c>
      <c r="B4376" s="531" t="str">
        <f t="shared" si="555"/>
        <v/>
      </c>
      <c r="C4376" s="315"/>
      <c r="D4376" s="315"/>
      <c r="E4376" s="545"/>
      <c r="F4376" s="245"/>
      <c r="G4376" s="314"/>
      <c r="H4376" s="473"/>
      <c r="I4376" s="307"/>
      <c r="J4376" s="307"/>
      <c r="K4376" s="532"/>
      <c r="L4376" s="533"/>
      <c r="M4376" s="533"/>
      <c r="N4376" s="525" t="str">
        <f>IF(AND('331-CT'!$E$7=TH!H4376,OR(L4376="331",M4376="331")),"331",IF(AND(OR(L4376="131",M4376="131"),H4376='131-CT'!$E$7),"131",""))</f>
        <v/>
      </c>
      <c r="O4376" s="525" t="str">
        <f>IF(AND($B4376&gt;='111'!$N$11,$B4376&lt;='111'!$O$11,OR($L4376=$O$7,$M4376=$O$7)),"x","")</f>
        <v/>
      </c>
      <c r="P4376" s="525" t="str">
        <f>IF(AND($L4376=$O$7,$B4376&lt;'111'!$N$11),"x","")</f>
        <v/>
      </c>
      <c r="Q4376" s="525" t="str">
        <f>IF(AND($M4376=$O$7,$B4376&lt;'111'!$N$11),"x","")</f>
        <v/>
      </c>
      <c r="R4376" s="525" t="str">
        <f>IF(ISERROR(FIND('112'!$M$9,G4376,1)),"",IF((AND(FIND('112'!$M$9,G4376,1)&gt;=1,$B4376&gt;='112'!$N$8,$B4376&lt;='112'!$O$8,OR($L4376='112'!$I$6,$M4376='112'!$I$6))),"x",""))</f>
        <v/>
      </c>
      <c r="S4376" s="525" t="str">
        <f>IF(ISERROR(FIND('112'!$M$9,G4376,1)),"",IF((AND(LEFT(G4376,2)=LEFT('112'!$M$9,2),B4376&lt;'112'!$N$8,$L4376='112'!$I$6)),"x",""))</f>
        <v/>
      </c>
      <c r="T4376" s="525" t="str">
        <f>IF(ISERROR(FIND('112'!$M$9,G4376,1)),"",IF((AND(RIGHT(G4376,2)=RIGHT('112'!$M$9,2),B4376&lt;'112'!$N$8,$M4376='112'!$I$6)),"x",""))</f>
        <v/>
      </c>
      <c r="U4376" s="525" t="str">
        <f>IF(AND(B4376&gt;='IN-NX'!$P$3,B4376&lt;='IN-NX'!$Q$3,'IN-NX'!$D$7=D4376,OR(LEFT(L4376,2)="15",AND(LEFT(M4376,2)&lt;&gt;"15",LEFT(M4376,2)&lt;&gt;"33"))),"x","")</f>
        <v/>
      </c>
      <c r="V4376" s="525" t="str">
        <f>IF(AND(OR(LEFT(TH!L4376,2)="15",LEFT(TH!M4376,2)="15"),'152-CT'!$J$8=TH!F4376),"x","")</f>
        <v/>
      </c>
      <c r="W4376" s="525" t="str">
        <f>IF(AND(OR(LEFT(TH!L4376,2)="15",LEFT(TH!M4376,2)="15"),TK!$E$7=TH!F4376),"x","")</f>
        <v/>
      </c>
      <c r="X4376" s="525" t="str">
        <f>IF(AND('341-CT'!$E$9=H4376,OR(LEFT(L4376,3)=$X$7,LEFT(M4376,3)=$X$7)),"x","")</f>
        <v/>
      </c>
      <c r="Y4376" s="525" t="str">
        <f>IF(OR(TH!L4376=TH!$Y$7,M4376=TH!$Y$7),"x","")</f>
        <v/>
      </c>
      <c r="Z4376" s="525" t="str">
        <f>IF(AND(B4376&lt;=NKC!$N$8,B4376&gt;=NKC!$M$8),"x","")</f>
        <v/>
      </c>
      <c r="AA4376" s="535"/>
      <c r="AB4376" s="536"/>
    </row>
    <row r="4377" spans="1:30" s="503" customFormat="1" ht="15.75" customHeight="1">
      <c r="A4377" s="517" t="str">
        <f>IF(B4377&lt;&gt;"",IF(AND(B4377&gt;=_TM1,B4377&lt;=_TM2,OR(TH!L4377="1111",TH!M4377="1111")),TH!D4377,""),"")</f>
        <v/>
      </c>
      <c r="B4377" s="531" t="str">
        <f t="shared" si="555"/>
        <v/>
      </c>
      <c r="C4377" s="315"/>
      <c r="D4377" s="315"/>
      <c r="E4377" s="545"/>
      <c r="F4377" s="246"/>
      <c r="G4377" s="314"/>
      <c r="H4377" s="473"/>
      <c r="I4377" s="307"/>
      <c r="J4377" s="307"/>
      <c r="K4377" s="532"/>
      <c r="L4377" s="533"/>
      <c r="M4377" s="533"/>
      <c r="N4377" s="525" t="str">
        <f>IF(AND('331-CT'!$E$7=TH!H4377,OR(L4377="331",M4377="331")),"331",IF(AND(OR(L4377="131",M4377="131"),H4377='131-CT'!$E$7),"131",""))</f>
        <v/>
      </c>
      <c r="O4377" s="525" t="str">
        <f>IF(AND($B4377&gt;='111'!$N$11,$B4377&lt;='111'!$O$11,OR($L4377=$O$7,$M4377=$O$7)),"x","")</f>
        <v/>
      </c>
      <c r="P4377" s="525" t="str">
        <f>IF(AND($L4377=$O$7,$B4377&lt;'111'!$N$11),"x","")</f>
        <v/>
      </c>
      <c r="Q4377" s="525" t="str">
        <f>IF(AND($M4377=$O$7,$B4377&lt;'111'!$N$11),"x","")</f>
        <v/>
      </c>
      <c r="R4377" s="525" t="str">
        <f>IF(ISERROR(FIND('112'!$M$9,G4377,1)),"",IF((AND(FIND('112'!$M$9,G4377,1)&gt;=1,$B4377&gt;='112'!$N$8,$B4377&lt;='112'!$O$8,OR($L4377='112'!$I$6,$M4377='112'!$I$6))),"x",""))</f>
        <v/>
      </c>
      <c r="S4377" s="525" t="str">
        <f>IF(ISERROR(FIND('112'!$M$9,G4377,1)),"",IF((AND(LEFT(G4377,2)=LEFT('112'!$M$9,2),B4377&lt;'112'!$N$8,$L4377='112'!$I$6)),"x",""))</f>
        <v/>
      </c>
      <c r="T4377" s="525" t="str">
        <f>IF(ISERROR(FIND('112'!$M$9,G4377,1)),"",IF((AND(RIGHT(G4377,2)=RIGHT('112'!$M$9,2),B4377&lt;'112'!$N$8,$M4377='112'!$I$6)),"x",""))</f>
        <v/>
      </c>
      <c r="U4377" s="525" t="str">
        <f>IF(AND(B4377&gt;='IN-NX'!$P$3,B4377&lt;='IN-NX'!$Q$3,'IN-NX'!$D$7=D4377,OR(LEFT(L4377,2)="15",AND(LEFT(M4377,2)&lt;&gt;"15",LEFT(M4377,2)&lt;&gt;"33"))),"x","")</f>
        <v/>
      </c>
      <c r="V4377" s="525" t="str">
        <f>IF(AND(OR(LEFT(TH!L4377,2)="15",LEFT(TH!M4377,2)="15"),'152-CT'!$J$8=TH!F4377),"x","")</f>
        <v/>
      </c>
      <c r="W4377" s="525" t="str">
        <f>IF(AND(OR(LEFT(TH!L4377,2)="15",LEFT(TH!M4377,2)="15"),TK!$E$7=TH!F4377),"x","")</f>
        <v/>
      </c>
      <c r="X4377" s="525" t="str">
        <f>IF(AND('341-CT'!$E$9=H4377,OR(LEFT(L4377,3)=$X$7,LEFT(M4377,3)=$X$7)),"x","")</f>
        <v/>
      </c>
      <c r="Y4377" s="525" t="str">
        <f>IF(OR(TH!L4377=TH!$Y$7,M4377=TH!$Y$7),"x","")</f>
        <v/>
      </c>
      <c r="Z4377" s="525" t="str">
        <f>IF(AND(B4377&lt;=NKC!$N$8,B4377&gt;=NKC!$M$8),"x","")</f>
        <v/>
      </c>
      <c r="AA4377" s="535"/>
      <c r="AB4377" s="536"/>
    </row>
    <row r="4378" spans="1:30" s="503" customFormat="1" ht="15.75" customHeight="1">
      <c r="A4378" s="517" t="str">
        <f>IF(B4378&lt;&gt;"",IF(AND(B4378&gt;=_TM1,B4378&lt;=_TM2,OR(TH!L4378="1111",TH!M4378="1111")),TH!D4378,""),"")</f>
        <v/>
      </c>
      <c r="B4378" s="531" t="str">
        <f t="shared" si="555"/>
        <v/>
      </c>
      <c r="C4378" s="315"/>
      <c r="D4378" s="315"/>
      <c r="E4378" s="545"/>
      <c r="F4378" s="245"/>
      <c r="G4378" s="314"/>
      <c r="H4378" s="473"/>
      <c r="I4378" s="307"/>
      <c r="J4378" s="307"/>
      <c r="K4378" s="532"/>
      <c r="L4378" s="533"/>
      <c r="M4378" s="533"/>
      <c r="N4378" s="525" t="str">
        <f>IF(AND('331-CT'!$E$7=TH!H4378,OR(L4378="331",M4378="331")),"331",IF(AND(OR(L4378="131",M4378="131"),H4378='131-CT'!$E$7),"131",""))</f>
        <v/>
      </c>
      <c r="O4378" s="525" t="str">
        <f>IF(AND($B4378&gt;='111'!$N$11,$B4378&lt;='111'!$O$11,OR($L4378=$O$7,$M4378=$O$7)),"x","")</f>
        <v/>
      </c>
      <c r="P4378" s="525" t="str">
        <f>IF(AND($L4378=$O$7,$B4378&lt;'111'!$N$11),"x","")</f>
        <v/>
      </c>
      <c r="Q4378" s="525" t="str">
        <f>IF(AND($M4378=$O$7,$B4378&lt;'111'!$N$11),"x","")</f>
        <v/>
      </c>
      <c r="R4378" s="525" t="str">
        <f>IF(ISERROR(FIND('112'!$M$9,G4378,1)),"",IF((AND(FIND('112'!$M$9,G4378,1)&gt;=1,$B4378&gt;='112'!$N$8,$B4378&lt;='112'!$O$8,OR($L4378='112'!$I$6,$M4378='112'!$I$6))),"x",""))</f>
        <v/>
      </c>
      <c r="S4378" s="525" t="str">
        <f>IF(ISERROR(FIND('112'!$M$9,G4378,1)),"",IF((AND(LEFT(G4378,2)=LEFT('112'!$M$9,2),B4378&lt;'112'!$N$8,$L4378='112'!$I$6)),"x",""))</f>
        <v/>
      </c>
      <c r="T4378" s="525" t="str">
        <f>IF(ISERROR(FIND('112'!$M$9,G4378,1)),"",IF((AND(RIGHT(G4378,2)=RIGHT('112'!$M$9,2),B4378&lt;'112'!$N$8,$M4378='112'!$I$6)),"x",""))</f>
        <v/>
      </c>
      <c r="U4378" s="525" t="str">
        <f>IF(AND(B4378&gt;='IN-NX'!$P$3,B4378&lt;='IN-NX'!$Q$3,'IN-NX'!$D$7=D4378,OR(LEFT(L4378,2)="15",AND(LEFT(M4378,2)&lt;&gt;"15",LEFT(M4378,2)&lt;&gt;"33"))),"x","")</f>
        <v/>
      </c>
      <c r="V4378" s="525" t="str">
        <f>IF(AND(OR(LEFT(TH!L4378,2)="15",LEFT(TH!M4378,2)="15"),'152-CT'!$J$8=TH!F4378),"x","")</f>
        <v/>
      </c>
      <c r="W4378" s="525" t="str">
        <f>IF(AND(OR(LEFT(TH!L4378,2)="15",LEFT(TH!M4378,2)="15"),TK!$E$7=TH!F4378),"x","")</f>
        <v/>
      </c>
      <c r="X4378" s="525" t="str">
        <f>IF(AND('341-CT'!$E$9=H4378,OR(LEFT(L4378,3)=$X$7,LEFT(M4378,3)=$X$7)),"x","")</f>
        <v/>
      </c>
      <c r="Y4378" s="525" t="str">
        <f>IF(OR(TH!L4378=TH!$Y$7,M4378=TH!$Y$7),"x","")</f>
        <v/>
      </c>
      <c r="Z4378" s="525" t="str">
        <f>IF(AND(B4378&lt;=NKC!$N$8,B4378&gt;=NKC!$M$8),"x","")</f>
        <v/>
      </c>
      <c r="AA4378" s="535"/>
      <c r="AB4378" s="536"/>
    </row>
    <row r="4379" spans="1:30" s="503" customFormat="1" ht="15.75" customHeight="1">
      <c r="A4379" s="517" t="str">
        <f>IF(B4379&lt;&gt;"",IF(AND(B4379&gt;=_TM1,B4379&lt;=_TM2,OR(TH!L4379="1111",TH!M4379="1111")),TH!D4379,""),"")</f>
        <v/>
      </c>
      <c r="B4379" s="531" t="str">
        <f t="shared" si="555"/>
        <v/>
      </c>
      <c r="C4379" s="315"/>
      <c r="D4379" s="315"/>
      <c r="E4379" s="545"/>
      <c r="F4379" s="245"/>
      <c r="G4379" s="314"/>
      <c r="H4379" s="473"/>
      <c r="I4379" s="307"/>
      <c r="J4379" s="307"/>
      <c r="K4379" s="532"/>
      <c r="L4379" s="533"/>
      <c r="M4379" s="533"/>
      <c r="N4379" s="525" t="str">
        <f>IF(AND('331-CT'!$E$7=TH!H4379,OR(L4379="331",M4379="331")),"331",IF(AND(OR(L4379="131",M4379="131"),H4379='131-CT'!$E$7),"131",""))</f>
        <v/>
      </c>
      <c r="O4379" s="525" t="str">
        <f>IF(AND($B4379&gt;='111'!$N$11,$B4379&lt;='111'!$O$11,OR($L4379=$O$7,$M4379=$O$7)),"x","")</f>
        <v/>
      </c>
      <c r="P4379" s="525" t="str">
        <f>IF(AND($L4379=$O$7,$B4379&lt;'111'!$N$11),"x","")</f>
        <v/>
      </c>
      <c r="Q4379" s="525" t="str">
        <f>IF(AND($M4379=$O$7,$B4379&lt;'111'!$N$11),"x","")</f>
        <v/>
      </c>
      <c r="R4379" s="525" t="str">
        <f>IF(ISERROR(FIND('112'!$M$9,G4379,1)),"",IF((AND(FIND('112'!$M$9,G4379,1)&gt;=1,$B4379&gt;='112'!$N$8,$B4379&lt;='112'!$O$8,OR($L4379='112'!$I$6,$M4379='112'!$I$6))),"x",""))</f>
        <v/>
      </c>
      <c r="S4379" s="525" t="str">
        <f>IF(ISERROR(FIND('112'!$M$9,G4379,1)),"",IF((AND(LEFT(G4379,2)=LEFT('112'!$M$9,2),B4379&lt;'112'!$N$8,$L4379='112'!$I$6)),"x",""))</f>
        <v/>
      </c>
      <c r="T4379" s="525" t="str">
        <f>IF(ISERROR(FIND('112'!$M$9,G4379,1)),"",IF((AND(RIGHT(G4379,2)=RIGHT('112'!$M$9,2),B4379&lt;'112'!$N$8,$M4379='112'!$I$6)),"x",""))</f>
        <v/>
      </c>
      <c r="U4379" s="525" t="str">
        <f>IF(AND(B4379&gt;='IN-NX'!$P$3,B4379&lt;='IN-NX'!$Q$3,'IN-NX'!$D$7=D4379,OR(LEFT(L4379,2)="15",AND(LEFT(M4379,2)&lt;&gt;"15",LEFT(M4379,2)&lt;&gt;"33"))),"x","")</f>
        <v/>
      </c>
      <c r="V4379" s="525" t="str">
        <f>IF(AND(OR(LEFT(TH!L4379,2)="15",LEFT(TH!M4379,2)="15"),'152-CT'!$J$8=TH!F4379),"x","")</f>
        <v/>
      </c>
      <c r="W4379" s="525" t="str">
        <f>IF(AND(OR(LEFT(TH!L4379,2)="15",LEFT(TH!M4379,2)="15"),TK!$E$7=TH!F4379),"x","")</f>
        <v/>
      </c>
      <c r="X4379" s="525" t="str">
        <f>IF(AND('341-CT'!$E$9=H4379,OR(LEFT(L4379,3)=$X$7,LEFT(M4379,3)=$X$7)),"x","")</f>
        <v/>
      </c>
      <c r="Y4379" s="525" t="str">
        <f>IF(OR(TH!L4379=TH!$Y$7,M4379=TH!$Y$7),"x","")</f>
        <v/>
      </c>
      <c r="Z4379" s="525" t="str">
        <f>IF(AND(B4379&lt;=NKC!$N$8,B4379&gt;=NKC!$M$8),"x","")</f>
        <v/>
      </c>
      <c r="AA4379" s="535"/>
      <c r="AB4379" s="536"/>
    </row>
    <row r="4380" spans="1:30" s="503" customFormat="1" ht="15.75" customHeight="1">
      <c r="A4380" s="517" t="str">
        <f>IF(B4380&lt;&gt;"",IF(AND(B4380&gt;=_TM1,B4380&lt;=_TM2,OR(TH!L4380="1111",TH!M4380="1111")),TH!D4380,""),"")</f>
        <v/>
      </c>
      <c r="B4380" s="531" t="str">
        <f t="shared" si="555"/>
        <v/>
      </c>
      <c r="C4380" s="315"/>
      <c r="D4380" s="315"/>
      <c r="E4380" s="545"/>
      <c r="F4380" s="246"/>
      <c r="G4380" s="314"/>
      <c r="H4380" s="473"/>
      <c r="I4380" s="307"/>
      <c r="J4380" s="307"/>
      <c r="K4380" s="532"/>
      <c r="L4380" s="533"/>
      <c r="M4380" s="533"/>
      <c r="N4380" s="525" t="str">
        <f>IF(AND('331-CT'!$E$7=TH!H4380,OR(L4380="331",M4380="331")),"331",IF(AND(OR(L4380="131",M4380="131"),H4380='131-CT'!$E$7),"131",""))</f>
        <v/>
      </c>
      <c r="O4380" s="525" t="str">
        <f>IF(AND($B4380&gt;='111'!$N$11,$B4380&lt;='111'!$O$11,OR($L4380=$O$7,$M4380=$O$7)),"x","")</f>
        <v/>
      </c>
      <c r="P4380" s="525" t="str">
        <f>IF(AND($L4380=$O$7,$B4380&lt;'111'!$N$11),"x","")</f>
        <v/>
      </c>
      <c r="Q4380" s="525" t="str">
        <f>IF(AND($M4380=$O$7,$B4380&lt;'111'!$N$11),"x","")</f>
        <v/>
      </c>
      <c r="R4380" s="525" t="str">
        <f>IF(ISERROR(FIND('112'!$M$9,G4380,1)),"",IF((AND(FIND('112'!$M$9,G4380,1)&gt;=1,$B4380&gt;='112'!$N$8,$B4380&lt;='112'!$O$8,OR($L4380='112'!$I$6,$M4380='112'!$I$6))),"x",""))</f>
        <v/>
      </c>
      <c r="S4380" s="525" t="str">
        <f>IF(ISERROR(FIND('112'!$M$9,G4380,1)),"",IF((AND(LEFT(G4380,2)=LEFT('112'!$M$9,2),B4380&lt;'112'!$N$8,$L4380='112'!$I$6)),"x",""))</f>
        <v/>
      </c>
      <c r="T4380" s="525" t="str">
        <f>IF(ISERROR(FIND('112'!$M$9,G4380,1)),"",IF((AND(RIGHT(G4380,2)=RIGHT('112'!$M$9,2),B4380&lt;'112'!$N$8,$M4380='112'!$I$6)),"x",""))</f>
        <v/>
      </c>
      <c r="U4380" s="525" t="str">
        <f>IF(AND(B4380&gt;='IN-NX'!$P$3,B4380&lt;='IN-NX'!$Q$3,'IN-NX'!$D$7=D4380,OR(LEFT(L4380,2)="15",AND(LEFT(M4380,2)&lt;&gt;"15",LEFT(M4380,2)&lt;&gt;"33"))),"x","")</f>
        <v/>
      </c>
      <c r="V4380" s="525" t="str">
        <f>IF(AND(OR(LEFT(TH!L4380,2)="15",LEFT(TH!M4380,2)="15"),'152-CT'!$J$8=TH!F4380),"x","")</f>
        <v/>
      </c>
      <c r="W4380" s="525" t="str">
        <f>IF(AND(OR(LEFT(TH!L4380,2)="15",LEFT(TH!M4380,2)="15"),TK!$E$7=TH!F4380),"x","")</f>
        <v/>
      </c>
      <c r="X4380" s="525" t="str">
        <f>IF(AND('341-CT'!$E$9=H4380,OR(LEFT(L4380,3)=$X$7,LEFT(M4380,3)=$X$7)),"x","")</f>
        <v/>
      </c>
      <c r="Y4380" s="525" t="str">
        <f>IF(OR(TH!L4380=TH!$Y$7,M4380=TH!$Y$7),"x","")</f>
        <v/>
      </c>
      <c r="Z4380" s="525" t="str">
        <f>IF(AND(B4380&lt;=NKC!$N$8,B4380&gt;=NKC!$M$8),"x","")</f>
        <v/>
      </c>
      <c r="AA4380" s="535"/>
      <c r="AB4380" s="536"/>
      <c r="AC4380" s="536"/>
    </row>
    <row r="4381" spans="1:30" s="503" customFormat="1" ht="15.75" customHeight="1">
      <c r="A4381" s="517" t="str">
        <f>IF(B4381&lt;&gt;"",IF(AND(B4381&gt;=_TM1,B4381&lt;=_TM2,OR(TH!L4381="1111",TH!M4381="1111")),TH!D4381,""),"")</f>
        <v/>
      </c>
      <c r="B4381" s="531" t="str">
        <f t="shared" si="555"/>
        <v/>
      </c>
      <c r="C4381" s="315"/>
      <c r="D4381" s="315"/>
      <c r="E4381" s="545"/>
      <c r="F4381" s="249"/>
      <c r="G4381" s="314"/>
      <c r="H4381" s="473"/>
      <c r="I4381" s="307"/>
      <c r="J4381" s="307"/>
      <c r="K4381" s="532"/>
      <c r="L4381" s="533"/>
      <c r="M4381" s="533"/>
      <c r="N4381" s="525" t="str">
        <f>IF(AND('331-CT'!$E$7=TH!H4381,OR(L4381="331",M4381="331")),"331",IF(AND(OR(L4381="131",M4381="131"),H4381='131-CT'!$E$7),"131",""))</f>
        <v/>
      </c>
      <c r="O4381" s="525" t="str">
        <f>IF(AND($B4381&gt;='111'!$N$11,$B4381&lt;='111'!$O$11,OR($L4381=$O$7,$M4381=$O$7)),"x","")</f>
        <v/>
      </c>
      <c r="P4381" s="525" t="str">
        <f>IF(AND($L4381=$O$7,$B4381&lt;'111'!$N$11),"x","")</f>
        <v/>
      </c>
      <c r="Q4381" s="525" t="str">
        <f>IF(AND($M4381=$O$7,$B4381&lt;'111'!$N$11),"x","")</f>
        <v/>
      </c>
      <c r="R4381" s="525" t="str">
        <f>IF(ISERROR(FIND('112'!$M$9,G4381,1)),"",IF((AND(FIND('112'!$M$9,G4381,1)&gt;=1,$B4381&gt;='112'!$N$8,$B4381&lt;='112'!$O$8,OR($L4381='112'!$I$6,$M4381='112'!$I$6))),"x",""))</f>
        <v/>
      </c>
      <c r="S4381" s="525" t="str">
        <f>IF(ISERROR(FIND('112'!$M$9,G4381,1)),"",IF((AND(LEFT(G4381,2)=LEFT('112'!$M$9,2),B4381&lt;'112'!$N$8,$L4381='112'!$I$6)),"x",""))</f>
        <v/>
      </c>
      <c r="T4381" s="525" t="str">
        <f>IF(ISERROR(FIND('112'!$M$9,G4381,1)),"",IF((AND(RIGHT(G4381,2)=RIGHT('112'!$M$9,2),B4381&lt;'112'!$N$8,$M4381='112'!$I$6)),"x",""))</f>
        <v/>
      </c>
      <c r="U4381" s="525" t="str">
        <f>IF(AND(B4381&gt;='IN-NX'!$P$3,B4381&lt;='IN-NX'!$Q$3,'IN-NX'!$D$7=D4381,OR(LEFT(L4381,2)="15",AND(LEFT(M4381,2)&lt;&gt;"15",LEFT(M4381,2)&lt;&gt;"33"))),"x","")</f>
        <v/>
      </c>
      <c r="V4381" s="525" t="str">
        <f>IF(AND(OR(LEFT(TH!L4381,2)="15",LEFT(TH!M4381,2)="15"),'152-CT'!$J$8=TH!F4381),"x","")</f>
        <v/>
      </c>
      <c r="W4381" s="525" t="str">
        <f>IF(AND(OR(LEFT(TH!L4381,2)="15",LEFT(TH!M4381,2)="15"),TK!$E$7=TH!F4381),"x","")</f>
        <v/>
      </c>
      <c r="X4381" s="525" t="str">
        <f>IF(AND('341-CT'!$E$9=H4381,OR(LEFT(L4381,3)=$X$7,LEFT(M4381,3)=$X$7)),"x","")</f>
        <v/>
      </c>
      <c r="Y4381" s="525" t="str">
        <f>IF(OR(TH!L4381=TH!$Y$7,M4381=TH!$Y$7),"x","")</f>
        <v/>
      </c>
      <c r="Z4381" s="525" t="str">
        <f>IF(AND(B4381&lt;=NKC!$N$8,B4381&gt;=NKC!$M$8),"x","")</f>
        <v/>
      </c>
      <c r="AA4381" s="535"/>
      <c r="AB4381" s="536"/>
    </row>
    <row r="4382" spans="1:30" s="503" customFormat="1" ht="15.75" customHeight="1">
      <c r="A4382" s="517" t="str">
        <f>IF(B4382&lt;&gt;"",IF(AND(B4382&gt;=_TM1,B4382&lt;=_TM2,OR(TH!L4382="1111",TH!M4382="1111")),TH!D4382,""),"")</f>
        <v/>
      </c>
      <c r="B4382" s="531" t="str">
        <f t="shared" si="555"/>
        <v/>
      </c>
      <c r="C4382" s="315"/>
      <c r="D4382" s="315"/>
      <c r="E4382" s="545"/>
      <c r="F4382" s="245"/>
      <c r="G4382" s="314"/>
      <c r="H4382" s="473"/>
      <c r="I4382" s="307"/>
      <c r="J4382" s="307"/>
      <c r="K4382" s="532"/>
      <c r="L4382" s="533"/>
      <c r="M4382" s="533"/>
      <c r="N4382" s="525" t="str">
        <f>IF(AND('331-CT'!$E$7=TH!H4382,OR(L4382="331",M4382="331")),"331",IF(AND(OR(L4382="131",M4382="131"),H4382='131-CT'!$E$7),"131",""))</f>
        <v/>
      </c>
      <c r="O4382" s="525" t="str">
        <f>IF(AND($B4382&gt;='111'!$N$11,$B4382&lt;='111'!$O$11,OR($L4382=$O$7,$M4382=$O$7)),"x","")</f>
        <v/>
      </c>
      <c r="P4382" s="525" t="str">
        <f>IF(AND($L4382=$O$7,$B4382&lt;'111'!$N$11),"x","")</f>
        <v/>
      </c>
      <c r="Q4382" s="525" t="str">
        <f>IF(AND($M4382=$O$7,$B4382&lt;'111'!$N$11),"x","")</f>
        <v/>
      </c>
      <c r="R4382" s="525" t="str">
        <f>IF(ISERROR(FIND('112'!$M$9,G4382,1)),"",IF((AND(FIND('112'!$M$9,G4382,1)&gt;=1,$B4382&gt;='112'!$N$8,$B4382&lt;='112'!$O$8,OR($L4382='112'!$I$6,$M4382='112'!$I$6))),"x",""))</f>
        <v/>
      </c>
      <c r="S4382" s="525" t="str">
        <f>IF(ISERROR(FIND('112'!$M$9,G4382,1)),"",IF((AND(LEFT(G4382,2)=LEFT('112'!$M$9,2),B4382&lt;'112'!$N$8,$L4382='112'!$I$6)),"x",""))</f>
        <v/>
      </c>
      <c r="T4382" s="525" t="str">
        <f>IF(ISERROR(FIND('112'!$M$9,G4382,1)),"",IF((AND(RIGHT(G4382,2)=RIGHT('112'!$M$9,2),B4382&lt;'112'!$N$8,$M4382='112'!$I$6)),"x",""))</f>
        <v/>
      </c>
      <c r="U4382" s="525" t="str">
        <f>IF(AND(B4382&gt;='IN-NX'!$P$3,B4382&lt;='IN-NX'!$Q$3,'IN-NX'!$D$7=D4382,OR(LEFT(L4382,2)="15",AND(LEFT(M4382,2)&lt;&gt;"15",LEFT(M4382,2)&lt;&gt;"33"))),"x","")</f>
        <v/>
      </c>
      <c r="V4382" s="525" t="str">
        <f>IF(AND(OR(LEFT(TH!L4382,2)="15",LEFT(TH!M4382,2)="15"),'152-CT'!$J$8=TH!F4382),"x","")</f>
        <v/>
      </c>
      <c r="W4382" s="525" t="str">
        <f>IF(AND(OR(LEFT(TH!L4382,2)="15",LEFT(TH!M4382,2)="15"),TK!$E$7=TH!F4382),"x","")</f>
        <v/>
      </c>
      <c r="X4382" s="525" t="str">
        <f>IF(AND('341-CT'!$E$9=H4382,OR(LEFT(L4382,3)=$X$7,LEFT(M4382,3)=$X$7)),"x","")</f>
        <v/>
      </c>
      <c r="Y4382" s="525" t="str">
        <f>IF(OR(TH!L4382=TH!$Y$7,M4382=TH!$Y$7),"x","")</f>
        <v/>
      </c>
      <c r="Z4382" s="525" t="str">
        <f>IF(AND(B4382&lt;=NKC!$N$8,B4382&gt;=NKC!$M$8),"x","")</f>
        <v/>
      </c>
      <c r="AA4382" s="535"/>
      <c r="AB4382" s="536"/>
    </row>
    <row r="4383" spans="1:30" s="503" customFormat="1" ht="15.75" customHeight="1">
      <c r="A4383" s="517" t="str">
        <f>IF(B4383&lt;&gt;"",IF(AND(B4383&gt;=_TM1,B4383&lt;=_TM2,OR(TH!L4383="1111",TH!M4383="1111")),TH!D4383,""),"")</f>
        <v/>
      </c>
      <c r="B4383" s="531" t="str">
        <f t="shared" ref="B4383:B4446" si="561">IF(C4383&lt;&gt;"",MONTH(C4383),"")</f>
        <v/>
      </c>
      <c r="C4383" s="315"/>
      <c r="D4383" s="315"/>
      <c r="E4383" s="545"/>
      <c r="F4383" s="246"/>
      <c r="G4383" s="314"/>
      <c r="H4383" s="473"/>
      <c r="I4383" s="307"/>
      <c r="J4383" s="307"/>
      <c r="K4383" s="532"/>
      <c r="L4383" s="533"/>
      <c r="M4383" s="533"/>
      <c r="N4383" s="525" t="str">
        <f>IF(AND('331-CT'!$E$7=TH!H4383,OR(L4383="331",M4383="331")),"331",IF(AND(OR(L4383="131",M4383="131"),H4383='131-CT'!$E$7),"131",""))</f>
        <v/>
      </c>
      <c r="O4383" s="525" t="str">
        <f>IF(AND($B4383&gt;='111'!$N$11,$B4383&lt;='111'!$O$11,OR($L4383=$O$7,$M4383=$O$7)),"x","")</f>
        <v/>
      </c>
      <c r="P4383" s="525" t="str">
        <f>IF(AND($L4383=$O$7,$B4383&lt;'111'!$N$11),"x","")</f>
        <v/>
      </c>
      <c r="Q4383" s="525" t="str">
        <f>IF(AND($M4383=$O$7,$B4383&lt;'111'!$N$11),"x","")</f>
        <v/>
      </c>
      <c r="R4383" s="525" t="str">
        <f>IF(ISERROR(FIND('112'!$M$9,G4383,1)),"",IF((AND(FIND('112'!$M$9,G4383,1)&gt;=1,$B4383&gt;='112'!$N$8,$B4383&lt;='112'!$O$8,OR($L4383='112'!$I$6,$M4383='112'!$I$6))),"x",""))</f>
        <v/>
      </c>
      <c r="S4383" s="525" t="str">
        <f>IF(ISERROR(FIND('112'!$M$9,G4383,1)),"",IF((AND(LEFT(G4383,2)=LEFT('112'!$M$9,2),B4383&lt;'112'!$N$8,$L4383='112'!$I$6)),"x",""))</f>
        <v/>
      </c>
      <c r="T4383" s="525" t="str">
        <f>IF(ISERROR(FIND('112'!$M$9,G4383,1)),"",IF((AND(RIGHT(G4383,2)=RIGHT('112'!$M$9,2),B4383&lt;'112'!$N$8,$M4383='112'!$I$6)),"x",""))</f>
        <v/>
      </c>
      <c r="U4383" s="525" t="str">
        <f>IF(AND(B4383&gt;='IN-NX'!$P$3,B4383&lt;='IN-NX'!$Q$3,'IN-NX'!$D$7=D4383,OR(LEFT(L4383,2)="15",AND(LEFT(M4383,2)&lt;&gt;"15",LEFT(M4383,2)&lt;&gt;"33"))),"x","")</f>
        <v/>
      </c>
      <c r="V4383" s="525" t="str">
        <f>IF(AND(OR(LEFT(TH!L4383,2)="15",LEFT(TH!M4383,2)="15"),'152-CT'!$J$8=TH!F4383),"x","")</f>
        <v/>
      </c>
      <c r="W4383" s="525" t="str">
        <f>IF(AND(OR(LEFT(TH!L4383,2)="15",LEFT(TH!M4383,2)="15"),TK!$E$7=TH!F4383),"x","")</f>
        <v/>
      </c>
      <c r="X4383" s="525" t="str">
        <f>IF(AND('341-CT'!$E$9=H4383,OR(LEFT(L4383,3)=$X$7,LEFT(M4383,3)=$X$7)),"x","")</f>
        <v/>
      </c>
      <c r="Y4383" s="525" t="str">
        <f>IF(OR(TH!L4383=TH!$Y$7,M4383=TH!$Y$7),"x","")</f>
        <v/>
      </c>
      <c r="Z4383" s="525" t="str">
        <f>IF(AND(B4383&lt;=NKC!$N$8,B4383&gt;=NKC!$M$8),"x","")</f>
        <v/>
      </c>
      <c r="AA4383" s="535"/>
      <c r="AB4383" s="536"/>
    </row>
    <row r="4384" spans="1:30" s="503" customFormat="1" ht="15.75" customHeight="1">
      <c r="A4384" s="517" t="str">
        <f>IF(B4384&lt;&gt;"",IF(AND(B4384&gt;=_TM1,B4384&lt;=_TM2,OR(TH!L4384="1111",TH!M4384="1111")),TH!D4384,""),"")</f>
        <v/>
      </c>
      <c r="B4384" s="531" t="str">
        <f t="shared" si="561"/>
        <v/>
      </c>
      <c r="C4384" s="315"/>
      <c r="D4384" s="315"/>
      <c r="E4384" s="545"/>
      <c r="F4384" s="245"/>
      <c r="G4384" s="314"/>
      <c r="H4384" s="473"/>
      <c r="I4384" s="309"/>
      <c r="J4384" s="309"/>
      <c r="K4384" s="532"/>
      <c r="L4384" s="533"/>
      <c r="M4384" s="533"/>
      <c r="N4384" s="525" t="str">
        <f>IF(AND('331-CT'!$E$7=TH!H4384,OR(L4384="331",M4384="331")),"331",IF(AND(OR(L4384="131",M4384="131"),H4384='131-CT'!$E$7),"131",""))</f>
        <v/>
      </c>
      <c r="O4384" s="525" t="str">
        <f>IF(AND($B4384&gt;='111'!$N$11,$B4384&lt;='111'!$O$11,OR($L4384=$O$7,$M4384=$O$7)),"x","")</f>
        <v/>
      </c>
      <c r="P4384" s="525" t="str">
        <f>IF(AND($L4384=$O$7,$B4384&lt;'111'!$N$11),"x","")</f>
        <v/>
      </c>
      <c r="Q4384" s="525" t="str">
        <f>IF(AND($M4384=$O$7,$B4384&lt;'111'!$N$11),"x","")</f>
        <v/>
      </c>
      <c r="R4384" s="525" t="str">
        <f>IF(ISERROR(FIND('112'!$M$9,G4384,1)),"",IF((AND(FIND('112'!$M$9,G4384,1)&gt;=1,$B4384&gt;='112'!$N$8,$B4384&lt;='112'!$O$8,OR($L4384='112'!$I$6,$M4384='112'!$I$6))),"x",""))</f>
        <v/>
      </c>
      <c r="S4384" s="525" t="str">
        <f>IF(ISERROR(FIND('112'!$M$9,G4384,1)),"",IF((AND(LEFT(G4384,2)=LEFT('112'!$M$9,2),B4384&lt;'112'!$N$8,$L4384='112'!$I$6)),"x",""))</f>
        <v/>
      </c>
      <c r="T4384" s="525" t="str">
        <f>IF(ISERROR(FIND('112'!$M$9,G4384,1)),"",IF((AND(RIGHT(G4384,2)=RIGHT('112'!$M$9,2),B4384&lt;'112'!$N$8,$M4384='112'!$I$6)),"x",""))</f>
        <v/>
      </c>
      <c r="U4384" s="525" t="str">
        <f>IF(AND(B4384&gt;='IN-NX'!$P$3,B4384&lt;='IN-NX'!$Q$3,'IN-NX'!$D$7=D4384,OR(LEFT(L4384,2)="15",AND(LEFT(M4384,2)&lt;&gt;"15",LEFT(M4384,2)&lt;&gt;"33"))),"x","")</f>
        <v/>
      </c>
      <c r="V4384" s="525" t="str">
        <f>IF(AND(OR(LEFT(TH!L4384,2)="15",LEFT(TH!M4384,2)="15"),'152-CT'!$J$8=TH!F4384),"x","")</f>
        <v/>
      </c>
      <c r="W4384" s="525" t="str">
        <f>IF(AND(OR(LEFT(TH!L4384,2)="15",LEFT(TH!M4384,2)="15"),TK!$E$7=TH!F4384),"x","")</f>
        <v/>
      </c>
      <c r="X4384" s="525" t="str">
        <f>IF(AND('341-CT'!$E$9=H4384,OR(LEFT(L4384,3)=$X$7,LEFT(M4384,3)=$X$7)),"x","")</f>
        <v/>
      </c>
      <c r="Y4384" s="525" t="str">
        <f>IF(OR(TH!L4384=TH!$Y$7,M4384=TH!$Y$7),"x","")</f>
        <v/>
      </c>
      <c r="Z4384" s="525" t="str">
        <f>IF(AND(B4384&lt;=NKC!$N$8,B4384&gt;=NKC!$M$8),"x","")</f>
        <v/>
      </c>
      <c r="AA4384" s="535"/>
      <c r="AB4384" s="536"/>
    </row>
    <row r="4385" spans="1:29" s="503" customFormat="1" ht="15.75" customHeight="1">
      <c r="A4385" s="517" t="str">
        <f>IF(B4385&lt;&gt;"",IF(AND(B4385&gt;=_TM1,B4385&lt;=_TM2,OR(TH!L4385="1111",TH!M4385="1111")),TH!D4385,""),"")</f>
        <v/>
      </c>
      <c r="B4385" s="531" t="str">
        <f t="shared" si="561"/>
        <v/>
      </c>
      <c r="C4385" s="315"/>
      <c r="D4385" s="315"/>
      <c r="E4385" s="545"/>
      <c r="F4385" s="246"/>
      <c r="G4385" s="314"/>
      <c r="H4385" s="473"/>
      <c r="I4385" s="307"/>
      <c r="J4385" s="307"/>
      <c r="K4385" s="532"/>
      <c r="L4385" s="533"/>
      <c r="M4385" s="533"/>
      <c r="N4385" s="525" t="str">
        <f>IF(AND('331-CT'!$E$7=TH!H4385,OR(L4385="331",M4385="331")),"331",IF(AND(OR(L4385="131",M4385="131"),H4385='131-CT'!$E$7),"131",""))</f>
        <v/>
      </c>
      <c r="O4385" s="525" t="str">
        <f>IF(AND($B4385&gt;='111'!$N$11,$B4385&lt;='111'!$O$11,OR($L4385=$O$7,$M4385=$O$7)),"x","")</f>
        <v/>
      </c>
      <c r="P4385" s="525" t="str">
        <f>IF(AND($L4385=$O$7,$B4385&lt;'111'!$N$11),"x","")</f>
        <v/>
      </c>
      <c r="Q4385" s="525" t="str">
        <f>IF(AND($M4385=$O$7,$B4385&lt;'111'!$N$11),"x","")</f>
        <v/>
      </c>
      <c r="R4385" s="525" t="str">
        <f>IF(ISERROR(FIND('112'!$M$9,G4385,1)),"",IF((AND(FIND('112'!$M$9,G4385,1)&gt;=1,$B4385&gt;='112'!$N$8,$B4385&lt;='112'!$O$8,OR($L4385='112'!$I$6,$M4385='112'!$I$6))),"x",""))</f>
        <v/>
      </c>
      <c r="S4385" s="525" t="str">
        <f>IF(ISERROR(FIND('112'!$M$9,G4385,1)),"",IF((AND(LEFT(G4385,2)=LEFT('112'!$M$9,2),B4385&lt;'112'!$N$8,$L4385='112'!$I$6)),"x",""))</f>
        <v/>
      </c>
      <c r="T4385" s="525" t="str">
        <f>IF(ISERROR(FIND('112'!$M$9,G4385,1)),"",IF((AND(RIGHT(G4385,2)=RIGHT('112'!$M$9,2),B4385&lt;'112'!$N$8,$M4385='112'!$I$6)),"x",""))</f>
        <v/>
      </c>
      <c r="U4385" s="525" t="str">
        <f>IF(AND(B4385&gt;='IN-NX'!$P$3,B4385&lt;='IN-NX'!$Q$3,'IN-NX'!$D$7=D4385,OR(LEFT(L4385,2)="15",AND(LEFT(M4385,2)&lt;&gt;"15",LEFT(M4385,2)&lt;&gt;"33"))),"x","")</f>
        <v/>
      </c>
      <c r="V4385" s="525" t="str">
        <f>IF(AND(OR(LEFT(TH!L4385,2)="15",LEFT(TH!M4385,2)="15"),'152-CT'!$J$8=TH!F4385),"x","")</f>
        <v/>
      </c>
      <c r="W4385" s="525" t="str">
        <f>IF(AND(OR(LEFT(TH!L4385,2)="15",LEFT(TH!M4385,2)="15"),TK!$E$7=TH!F4385),"x","")</f>
        <v/>
      </c>
      <c r="X4385" s="525" t="str">
        <f>IF(AND('341-CT'!$E$9=H4385,OR(LEFT(L4385,3)=$X$7,LEFT(M4385,3)=$X$7)),"x","")</f>
        <v/>
      </c>
      <c r="Y4385" s="525" t="str">
        <f>IF(OR(TH!L4385=TH!$Y$7,M4385=TH!$Y$7),"x","")</f>
        <v/>
      </c>
      <c r="Z4385" s="525" t="str">
        <f>IF(AND(B4385&lt;=NKC!$N$8,B4385&gt;=NKC!$M$8),"x","")</f>
        <v/>
      </c>
      <c r="AA4385" s="535"/>
      <c r="AB4385" s="536"/>
    </row>
    <row r="4386" spans="1:29" s="503" customFormat="1" ht="15.75" customHeight="1">
      <c r="A4386" s="517" t="str">
        <f>IF(B4386&lt;&gt;"",IF(AND(B4386&gt;=_TM1,B4386&lt;=_TM2,OR(TH!L4386="1111",TH!M4386="1111")),TH!D4386,""),"")</f>
        <v/>
      </c>
      <c r="B4386" s="531" t="str">
        <f t="shared" si="561"/>
        <v/>
      </c>
      <c r="C4386" s="315"/>
      <c r="D4386" s="315"/>
      <c r="E4386" s="545"/>
      <c r="F4386" s="246"/>
      <c r="G4386" s="314"/>
      <c r="H4386" s="473"/>
      <c r="I4386" s="307"/>
      <c r="J4386" s="307"/>
      <c r="K4386" s="532"/>
      <c r="L4386" s="533"/>
      <c r="M4386" s="533"/>
      <c r="N4386" s="525" t="str">
        <f>IF(AND('331-CT'!$E$7=TH!H4386,OR(L4386="331",M4386="331")),"331",IF(AND(OR(L4386="131",M4386="131"),H4386='131-CT'!$E$7),"131",""))</f>
        <v/>
      </c>
      <c r="O4386" s="525" t="str">
        <f>IF(AND($B4386&gt;='111'!$N$11,$B4386&lt;='111'!$O$11,OR($L4386=$O$7,$M4386=$O$7)),"x","")</f>
        <v/>
      </c>
      <c r="P4386" s="525" t="str">
        <f>IF(AND($L4386=$O$7,$B4386&lt;'111'!$N$11),"x","")</f>
        <v/>
      </c>
      <c r="Q4386" s="525" t="str">
        <f>IF(AND($M4386=$O$7,$B4386&lt;'111'!$N$11),"x","")</f>
        <v/>
      </c>
      <c r="R4386" s="525" t="str">
        <f>IF(ISERROR(FIND('112'!$M$9,G4386,1)),"",IF((AND(FIND('112'!$M$9,G4386,1)&gt;=1,$B4386&gt;='112'!$N$8,$B4386&lt;='112'!$O$8,OR($L4386='112'!$I$6,$M4386='112'!$I$6))),"x",""))</f>
        <v/>
      </c>
      <c r="S4386" s="525" t="str">
        <f>IF(ISERROR(FIND('112'!$M$9,G4386,1)),"",IF((AND(LEFT(G4386,2)=LEFT('112'!$M$9,2),B4386&lt;'112'!$N$8,$L4386='112'!$I$6)),"x",""))</f>
        <v/>
      </c>
      <c r="T4386" s="525" t="str">
        <f>IF(ISERROR(FIND('112'!$M$9,G4386,1)),"",IF((AND(RIGHT(G4386,2)=RIGHT('112'!$M$9,2),B4386&lt;'112'!$N$8,$M4386='112'!$I$6)),"x",""))</f>
        <v/>
      </c>
      <c r="U4386" s="525" t="str">
        <f>IF(AND(B4386&gt;='IN-NX'!$P$3,B4386&lt;='IN-NX'!$Q$3,'IN-NX'!$D$7=D4386,OR(LEFT(L4386,2)="15",AND(LEFT(M4386,2)&lt;&gt;"15",LEFT(M4386,2)&lt;&gt;"33"))),"x","")</f>
        <v/>
      </c>
      <c r="V4386" s="525" t="str">
        <f>IF(AND(OR(LEFT(TH!L4386,2)="15",LEFT(TH!M4386,2)="15"),'152-CT'!$J$8=TH!F4386),"x","")</f>
        <v/>
      </c>
      <c r="W4386" s="525" t="str">
        <f>IF(AND(OR(LEFT(TH!L4386,2)="15",LEFT(TH!M4386,2)="15"),TK!$E$7=TH!F4386),"x","")</f>
        <v/>
      </c>
      <c r="X4386" s="525" t="str">
        <f>IF(AND('341-CT'!$E$9=H4386,OR(LEFT(L4386,3)=$X$7,LEFT(M4386,3)=$X$7)),"x","")</f>
        <v/>
      </c>
      <c r="Y4386" s="525" t="str">
        <f>IF(OR(TH!L4386=TH!$Y$7,M4386=TH!$Y$7),"x","")</f>
        <v/>
      </c>
      <c r="Z4386" s="525" t="str">
        <f>IF(AND(B4386&lt;=NKC!$N$8,B4386&gt;=NKC!$M$8),"x","")</f>
        <v/>
      </c>
      <c r="AA4386" s="535"/>
      <c r="AB4386" s="536"/>
    </row>
    <row r="4387" spans="1:29" s="503" customFormat="1" ht="15.75" customHeight="1">
      <c r="A4387" s="517" t="str">
        <f>IF(B4387&lt;&gt;"",IF(AND(B4387&gt;=_TM1,B4387&lt;=_TM2,OR(TH!L4387="1111",TH!M4387="1111")),TH!D4387,""),"")</f>
        <v/>
      </c>
      <c r="B4387" s="531" t="str">
        <f t="shared" si="561"/>
        <v/>
      </c>
      <c r="C4387" s="315"/>
      <c r="D4387" s="315"/>
      <c r="E4387" s="545"/>
      <c r="F4387" s="245"/>
      <c r="G4387" s="314"/>
      <c r="H4387" s="473"/>
      <c r="I4387" s="307"/>
      <c r="J4387" s="307"/>
      <c r="K4387" s="532"/>
      <c r="L4387" s="533"/>
      <c r="M4387" s="533"/>
      <c r="N4387" s="525" t="str">
        <f>IF(AND('331-CT'!$E$7=TH!H4387,OR(L4387="331",M4387="331")),"331",IF(AND(OR(L4387="131",M4387="131"),H4387='131-CT'!$E$7),"131",""))</f>
        <v/>
      </c>
      <c r="O4387" s="525" t="str">
        <f>IF(AND($B4387&gt;='111'!$N$11,$B4387&lt;='111'!$O$11,OR($L4387=$O$7,$M4387=$O$7)),"x","")</f>
        <v/>
      </c>
      <c r="P4387" s="525" t="str">
        <f>IF(AND($L4387=$O$7,$B4387&lt;'111'!$N$11),"x","")</f>
        <v/>
      </c>
      <c r="Q4387" s="525" t="str">
        <f>IF(AND($M4387=$O$7,$B4387&lt;'111'!$N$11),"x","")</f>
        <v/>
      </c>
      <c r="R4387" s="525" t="str">
        <f>IF(ISERROR(FIND('112'!$M$9,G4387,1)),"",IF((AND(FIND('112'!$M$9,G4387,1)&gt;=1,$B4387&gt;='112'!$N$8,$B4387&lt;='112'!$O$8,OR($L4387='112'!$I$6,$M4387='112'!$I$6))),"x",""))</f>
        <v/>
      </c>
      <c r="S4387" s="525" t="str">
        <f>IF(ISERROR(FIND('112'!$M$9,G4387,1)),"",IF((AND(LEFT(G4387,2)=LEFT('112'!$M$9,2),B4387&lt;'112'!$N$8,$L4387='112'!$I$6)),"x",""))</f>
        <v/>
      </c>
      <c r="T4387" s="525" t="str">
        <f>IF(ISERROR(FIND('112'!$M$9,G4387,1)),"",IF((AND(RIGHT(G4387,2)=RIGHT('112'!$M$9,2),B4387&lt;'112'!$N$8,$M4387='112'!$I$6)),"x",""))</f>
        <v/>
      </c>
      <c r="U4387" s="525" t="str">
        <f>IF(AND(B4387&gt;='IN-NX'!$P$3,B4387&lt;='IN-NX'!$Q$3,'IN-NX'!$D$7=D4387,OR(LEFT(L4387,2)="15",AND(LEFT(M4387,2)&lt;&gt;"15",LEFT(M4387,2)&lt;&gt;"33"))),"x","")</f>
        <v/>
      </c>
      <c r="V4387" s="525" t="str">
        <f>IF(AND(OR(LEFT(TH!L4387,2)="15",LEFT(TH!M4387,2)="15"),'152-CT'!$J$8=TH!F4387),"x","")</f>
        <v/>
      </c>
      <c r="W4387" s="525" t="str">
        <f>IF(AND(OR(LEFT(TH!L4387,2)="15",LEFT(TH!M4387,2)="15"),TK!$E$7=TH!F4387),"x","")</f>
        <v/>
      </c>
      <c r="X4387" s="525" t="str">
        <f>IF(AND('341-CT'!$E$9=H4387,OR(LEFT(L4387,3)=$X$7,LEFT(M4387,3)=$X$7)),"x","")</f>
        <v/>
      </c>
      <c r="Y4387" s="525" t="str">
        <f>IF(OR(TH!L4387=TH!$Y$7,M4387=TH!$Y$7),"x","")</f>
        <v/>
      </c>
      <c r="Z4387" s="525" t="str">
        <f>IF(AND(B4387&lt;=NKC!$N$8,B4387&gt;=NKC!$M$8),"x","")</f>
        <v/>
      </c>
      <c r="AA4387" s="535"/>
      <c r="AB4387" s="536"/>
      <c r="AC4387" s="536"/>
    </row>
    <row r="4388" spans="1:29" s="503" customFormat="1" ht="15.75" customHeight="1">
      <c r="A4388" s="517" t="str">
        <f>IF(B4388&lt;&gt;"",IF(AND(B4388&gt;=_TM1,B4388&lt;=_TM2,OR(TH!L4388="1111",TH!M4388="1111")),TH!D4388,""),"")</f>
        <v/>
      </c>
      <c r="B4388" s="531" t="str">
        <f t="shared" si="561"/>
        <v/>
      </c>
      <c r="C4388" s="315"/>
      <c r="D4388" s="315"/>
      <c r="E4388" s="545"/>
      <c r="F4388" s="245"/>
      <c r="G4388" s="314"/>
      <c r="H4388" s="473"/>
      <c r="I4388" s="553"/>
      <c r="J4388" s="309"/>
      <c r="K4388" s="532"/>
      <c r="L4388" s="533"/>
      <c r="M4388" s="533"/>
      <c r="N4388" s="525" t="str">
        <f>IF(AND('331-CT'!$E$7=TH!H4388,OR(L4388="331",M4388="331")),"331",IF(AND(OR(L4388="131",M4388="131"),H4388='131-CT'!$E$7),"131",""))</f>
        <v/>
      </c>
      <c r="O4388" s="525" t="str">
        <f>IF(AND($B4388&gt;='111'!$N$11,$B4388&lt;='111'!$O$11,OR($L4388=$O$7,$M4388=$O$7)),"x","")</f>
        <v/>
      </c>
      <c r="P4388" s="525" t="str">
        <f>IF(AND($L4388=$O$7,$B4388&lt;'111'!$N$11),"x","")</f>
        <v/>
      </c>
      <c r="Q4388" s="525" t="str">
        <f>IF(AND($M4388=$O$7,$B4388&lt;'111'!$N$11),"x","")</f>
        <v/>
      </c>
      <c r="R4388" s="525" t="str">
        <f>IF(ISERROR(FIND('112'!$M$9,G4388,1)),"",IF((AND(FIND('112'!$M$9,G4388,1)&gt;=1,$B4388&gt;='112'!$N$8,$B4388&lt;='112'!$O$8,OR($L4388='112'!$I$6,$M4388='112'!$I$6))),"x",""))</f>
        <v/>
      </c>
      <c r="S4388" s="525" t="str">
        <f>IF(ISERROR(FIND('112'!$M$9,G4388,1)),"",IF((AND(LEFT(G4388,2)=LEFT('112'!$M$9,2),B4388&lt;'112'!$N$8,$L4388='112'!$I$6)),"x",""))</f>
        <v/>
      </c>
      <c r="T4388" s="525" t="str">
        <f>IF(ISERROR(FIND('112'!$M$9,G4388,1)),"",IF((AND(RIGHT(G4388,2)=RIGHT('112'!$M$9,2),B4388&lt;'112'!$N$8,$M4388='112'!$I$6)),"x",""))</f>
        <v/>
      </c>
      <c r="U4388" s="525" t="str">
        <f>IF(AND(B4388&gt;='IN-NX'!$P$3,B4388&lt;='IN-NX'!$Q$3,'IN-NX'!$D$7=D4388,OR(LEFT(L4388,2)="15",AND(LEFT(M4388,2)&lt;&gt;"15",LEFT(M4388,2)&lt;&gt;"33"))),"x","")</f>
        <v/>
      </c>
      <c r="V4388" s="525" t="str">
        <f>IF(AND(OR(LEFT(TH!L4388,2)="15",LEFT(TH!M4388,2)="15"),'152-CT'!$J$8=TH!F4388),"x","")</f>
        <v/>
      </c>
      <c r="W4388" s="525" t="str">
        <f>IF(AND(OR(LEFT(TH!L4388,2)="15",LEFT(TH!M4388,2)="15"),TK!$E$7=TH!F4388),"x","")</f>
        <v/>
      </c>
      <c r="X4388" s="525" t="str">
        <f>IF(AND('341-CT'!$E$9=H4388,OR(LEFT(L4388,3)=$X$7,LEFT(M4388,3)=$X$7)),"x","")</f>
        <v/>
      </c>
      <c r="Y4388" s="525" t="str">
        <f>IF(OR(TH!L4388=TH!$Y$7,M4388=TH!$Y$7),"x","")</f>
        <v/>
      </c>
      <c r="Z4388" s="525" t="str">
        <f>IF(AND(B4388&lt;=NKC!$N$8,B4388&gt;=NKC!$M$8),"x","")</f>
        <v/>
      </c>
      <c r="AA4388" s="535"/>
      <c r="AB4388" s="536"/>
    </row>
    <row r="4389" spans="1:29" s="503" customFormat="1" ht="15.75" customHeight="1">
      <c r="A4389" s="517" t="str">
        <f>IF(B4389&lt;&gt;"",IF(AND(B4389&gt;=_TM1,B4389&lt;=_TM2,OR(TH!L4389="1111",TH!M4389="1111")),TH!D4389,""),"")</f>
        <v/>
      </c>
      <c r="B4389" s="531" t="str">
        <f t="shared" si="561"/>
        <v/>
      </c>
      <c r="C4389" s="315"/>
      <c r="D4389" s="315"/>
      <c r="E4389" s="545"/>
      <c r="F4389" s="246"/>
      <c r="G4389" s="314"/>
      <c r="H4389" s="473"/>
      <c r="I4389" s="307"/>
      <c r="J4389" s="307"/>
      <c r="K4389" s="532"/>
      <c r="L4389" s="533"/>
      <c r="M4389" s="533"/>
      <c r="N4389" s="525" t="str">
        <f>IF(AND('331-CT'!$E$7=TH!H4389,OR(L4389="331",M4389="331")),"331",IF(AND(OR(L4389="131",M4389="131"),H4389='131-CT'!$E$7),"131",""))</f>
        <v/>
      </c>
      <c r="O4389" s="525" t="str">
        <f>IF(AND($B4389&gt;='111'!$N$11,$B4389&lt;='111'!$O$11,OR($L4389=$O$7,$M4389=$O$7)),"x","")</f>
        <v/>
      </c>
      <c r="P4389" s="525" t="str">
        <f>IF(AND($L4389=$O$7,$B4389&lt;'111'!$N$11),"x","")</f>
        <v/>
      </c>
      <c r="Q4389" s="525" t="str">
        <f>IF(AND($M4389=$O$7,$B4389&lt;'111'!$N$11),"x","")</f>
        <v/>
      </c>
      <c r="R4389" s="525" t="str">
        <f>IF(ISERROR(FIND('112'!$M$9,G4389,1)),"",IF((AND(FIND('112'!$M$9,G4389,1)&gt;=1,$B4389&gt;='112'!$N$8,$B4389&lt;='112'!$O$8,OR($L4389='112'!$I$6,$M4389='112'!$I$6))),"x",""))</f>
        <v/>
      </c>
      <c r="S4389" s="525" t="str">
        <f>IF(ISERROR(FIND('112'!$M$9,G4389,1)),"",IF((AND(LEFT(G4389,2)=LEFT('112'!$M$9,2),B4389&lt;'112'!$N$8,$L4389='112'!$I$6)),"x",""))</f>
        <v/>
      </c>
      <c r="T4389" s="525" t="str">
        <f>IF(ISERROR(FIND('112'!$M$9,G4389,1)),"",IF((AND(RIGHT(G4389,2)=RIGHT('112'!$M$9,2),B4389&lt;'112'!$N$8,$M4389='112'!$I$6)),"x",""))</f>
        <v/>
      </c>
      <c r="U4389" s="525" t="str">
        <f>IF(AND(B4389&gt;='IN-NX'!$P$3,B4389&lt;='IN-NX'!$Q$3,'IN-NX'!$D$7=D4389,OR(LEFT(L4389,2)="15",AND(LEFT(M4389,2)&lt;&gt;"15",LEFT(M4389,2)&lt;&gt;"33"))),"x","")</f>
        <v/>
      </c>
      <c r="V4389" s="525" t="str">
        <f>IF(AND(OR(LEFT(TH!L4389,2)="15",LEFT(TH!M4389,2)="15"),'152-CT'!$J$8=TH!F4389),"x","")</f>
        <v/>
      </c>
      <c r="W4389" s="525" t="str">
        <f>IF(AND(OR(LEFT(TH!L4389,2)="15",LEFT(TH!M4389,2)="15"),TK!$E$7=TH!F4389),"x","")</f>
        <v/>
      </c>
      <c r="X4389" s="525" t="str">
        <f>IF(AND('341-CT'!$E$9=H4389,OR(LEFT(L4389,3)=$X$7,LEFT(M4389,3)=$X$7)),"x","")</f>
        <v/>
      </c>
      <c r="Y4389" s="525" t="str">
        <f>IF(OR(TH!L4389=TH!$Y$7,M4389=TH!$Y$7),"x","")</f>
        <v/>
      </c>
      <c r="Z4389" s="525" t="str">
        <f>IF(AND(B4389&lt;=NKC!$N$8,B4389&gt;=NKC!$M$8),"x","")</f>
        <v/>
      </c>
      <c r="AA4389" s="535"/>
      <c r="AB4389" s="536"/>
    </row>
    <row r="4390" spans="1:29" s="503" customFormat="1" ht="15.75" customHeight="1">
      <c r="A4390" s="517" t="str">
        <f>IF(B4390&lt;&gt;"",IF(AND(B4390&gt;=_TM1,B4390&lt;=_TM2,OR(TH!L4390="1111",TH!M4390="1111")),TH!D4390,""),"")</f>
        <v/>
      </c>
      <c r="B4390" s="531" t="str">
        <f t="shared" si="561"/>
        <v/>
      </c>
      <c r="C4390" s="315"/>
      <c r="D4390" s="315"/>
      <c r="E4390" s="545"/>
      <c r="F4390" s="246"/>
      <c r="G4390" s="314"/>
      <c r="H4390" s="473"/>
      <c r="I4390" s="307"/>
      <c r="J4390" s="307"/>
      <c r="K4390" s="532"/>
      <c r="L4390" s="533"/>
      <c r="M4390" s="533"/>
      <c r="N4390" s="525" t="str">
        <f>IF(AND('331-CT'!$E$7=TH!H4390,OR(L4390="331",M4390="331")),"331",IF(AND(OR(L4390="131",M4390="131"),H4390='131-CT'!$E$7),"131",""))</f>
        <v/>
      </c>
      <c r="O4390" s="525" t="str">
        <f>IF(AND($B4390&gt;='111'!$N$11,$B4390&lt;='111'!$O$11,OR($L4390=$O$7,$M4390=$O$7)),"x","")</f>
        <v/>
      </c>
      <c r="P4390" s="525" t="str">
        <f>IF(AND($L4390=$O$7,$B4390&lt;'111'!$N$11),"x","")</f>
        <v/>
      </c>
      <c r="Q4390" s="525" t="str">
        <f>IF(AND($M4390=$O$7,$B4390&lt;'111'!$N$11),"x","")</f>
        <v/>
      </c>
      <c r="R4390" s="525" t="str">
        <f>IF(ISERROR(FIND('112'!$M$9,G4390,1)),"",IF((AND(FIND('112'!$M$9,G4390,1)&gt;=1,$B4390&gt;='112'!$N$8,$B4390&lt;='112'!$O$8,OR($L4390='112'!$I$6,$M4390='112'!$I$6))),"x",""))</f>
        <v/>
      </c>
      <c r="S4390" s="525" t="str">
        <f>IF(ISERROR(FIND('112'!$M$9,G4390,1)),"",IF((AND(LEFT(G4390,2)=LEFT('112'!$M$9,2),B4390&lt;'112'!$N$8,$L4390='112'!$I$6)),"x",""))</f>
        <v/>
      </c>
      <c r="T4390" s="525" t="str">
        <f>IF(ISERROR(FIND('112'!$M$9,G4390,1)),"",IF((AND(RIGHT(G4390,2)=RIGHT('112'!$M$9,2),B4390&lt;'112'!$N$8,$M4390='112'!$I$6)),"x",""))</f>
        <v/>
      </c>
      <c r="U4390" s="525" t="str">
        <f>IF(AND(B4390&gt;='IN-NX'!$P$3,B4390&lt;='IN-NX'!$Q$3,'IN-NX'!$D$7=D4390,OR(LEFT(L4390,2)="15",AND(LEFT(M4390,2)&lt;&gt;"15",LEFT(M4390,2)&lt;&gt;"33"))),"x","")</f>
        <v/>
      </c>
      <c r="V4390" s="525" t="str">
        <f>IF(AND(OR(LEFT(TH!L4390,2)="15",LEFT(TH!M4390,2)="15"),'152-CT'!$J$8=TH!F4390),"x","")</f>
        <v/>
      </c>
      <c r="W4390" s="525" t="str">
        <f>IF(AND(OR(LEFT(TH!L4390,2)="15",LEFT(TH!M4390,2)="15"),TK!$E$7=TH!F4390),"x","")</f>
        <v/>
      </c>
      <c r="X4390" s="525" t="str">
        <f>IF(AND('341-CT'!$E$9=H4390,OR(LEFT(L4390,3)=$X$7,LEFT(M4390,3)=$X$7)),"x","")</f>
        <v/>
      </c>
      <c r="Y4390" s="525" t="str">
        <f>IF(OR(TH!L4390=TH!$Y$7,M4390=TH!$Y$7),"x","")</f>
        <v/>
      </c>
      <c r="Z4390" s="525" t="str">
        <f>IF(AND(B4390&lt;=NKC!$N$8,B4390&gt;=NKC!$M$8),"x","")</f>
        <v/>
      </c>
      <c r="AA4390" s="535"/>
      <c r="AB4390" s="536"/>
    </row>
    <row r="4391" spans="1:29" s="503" customFormat="1" ht="15.75" customHeight="1">
      <c r="A4391" s="517" t="str">
        <f>IF(B4391&lt;&gt;"",IF(AND(B4391&gt;=_TM1,B4391&lt;=_TM2,OR(TH!L4391="1111",TH!M4391="1111")),TH!D4391,""),"")</f>
        <v/>
      </c>
      <c r="B4391" s="531" t="str">
        <f t="shared" si="561"/>
        <v/>
      </c>
      <c r="C4391" s="315"/>
      <c r="D4391" s="315"/>
      <c r="E4391" s="545"/>
      <c r="F4391" s="246"/>
      <c r="G4391" s="314"/>
      <c r="H4391" s="473"/>
      <c r="I4391" s="307"/>
      <c r="J4391" s="307"/>
      <c r="K4391" s="532"/>
      <c r="L4391" s="533"/>
      <c r="M4391" s="533"/>
      <c r="N4391" s="525" t="str">
        <f>IF(AND('331-CT'!$E$7=TH!H4391,OR(L4391="331",M4391="331")),"331",IF(AND(OR(L4391="131",M4391="131"),H4391='131-CT'!$E$7),"131",""))</f>
        <v/>
      </c>
      <c r="O4391" s="525" t="str">
        <f>IF(AND($B4391&gt;='111'!$N$11,$B4391&lt;='111'!$O$11,OR($L4391=$O$7,$M4391=$O$7)),"x","")</f>
        <v/>
      </c>
      <c r="P4391" s="525" t="str">
        <f>IF(AND($L4391=$O$7,$B4391&lt;'111'!$N$11),"x","")</f>
        <v/>
      </c>
      <c r="Q4391" s="525" t="str">
        <f>IF(AND($M4391=$O$7,$B4391&lt;'111'!$N$11),"x","")</f>
        <v/>
      </c>
      <c r="R4391" s="525" t="str">
        <f>IF(ISERROR(FIND('112'!$M$9,G4391,1)),"",IF((AND(FIND('112'!$M$9,G4391,1)&gt;=1,$B4391&gt;='112'!$N$8,$B4391&lt;='112'!$O$8,OR($L4391='112'!$I$6,$M4391='112'!$I$6))),"x",""))</f>
        <v/>
      </c>
      <c r="S4391" s="525" t="str">
        <f>IF(ISERROR(FIND('112'!$M$9,G4391,1)),"",IF((AND(LEFT(G4391,2)=LEFT('112'!$M$9,2),B4391&lt;'112'!$N$8,$L4391='112'!$I$6)),"x",""))</f>
        <v/>
      </c>
      <c r="T4391" s="525" t="str">
        <f>IF(ISERROR(FIND('112'!$M$9,G4391,1)),"",IF((AND(RIGHT(G4391,2)=RIGHT('112'!$M$9,2),B4391&lt;'112'!$N$8,$M4391='112'!$I$6)),"x",""))</f>
        <v/>
      </c>
      <c r="U4391" s="525" t="str">
        <f>IF(AND(B4391&gt;='IN-NX'!$P$3,B4391&lt;='IN-NX'!$Q$3,'IN-NX'!$D$7=D4391,OR(LEFT(L4391,2)="15",AND(LEFT(M4391,2)&lt;&gt;"15",LEFT(M4391,2)&lt;&gt;"33"))),"x","")</f>
        <v/>
      </c>
      <c r="V4391" s="525" t="str">
        <f>IF(AND(OR(LEFT(TH!L4391,2)="15",LEFT(TH!M4391,2)="15"),'152-CT'!$J$8=TH!F4391),"x","")</f>
        <v/>
      </c>
      <c r="W4391" s="525" t="str">
        <f>IF(AND(OR(LEFT(TH!L4391,2)="15",LEFT(TH!M4391,2)="15"),TK!$E$7=TH!F4391),"x","")</f>
        <v/>
      </c>
      <c r="X4391" s="525" t="str">
        <f>IF(AND('341-CT'!$E$9=H4391,OR(LEFT(L4391,3)=$X$7,LEFT(M4391,3)=$X$7)),"x","")</f>
        <v/>
      </c>
      <c r="Y4391" s="525" t="str">
        <f>IF(OR(TH!L4391=TH!$Y$7,M4391=TH!$Y$7),"x","")</f>
        <v/>
      </c>
      <c r="Z4391" s="525" t="str">
        <f>IF(AND(B4391&lt;=NKC!$N$8,B4391&gt;=NKC!$M$8),"x","")</f>
        <v/>
      </c>
      <c r="AA4391" s="535"/>
      <c r="AB4391" s="536"/>
    </row>
    <row r="4392" spans="1:29" s="503" customFormat="1" ht="15.75" customHeight="1">
      <c r="A4392" s="517" t="str">
        <f>IF(B4392&lt;&gt;"",IF(AND(B4392&gt;=_TM1,B4392&lt;=_TM2,OR(TH!L4392="1111",TH!M4392="1111")),TH!D4392,""),"")</f>
        <v/>
      </c>
      <c r="B4392" s="531" t="str">
        <f t="shared" si="561"/>
        <v/>
      </c>
      <c r="C4392" s="315"/>
      <c r="D4392" s="315"/>
      <c r="E4392" s="545"/>
      <c r="F4392" s="246"/>
      <c r="G4392" s="314"/>
      <c r="H4392" s="473"/>
      <c r="I4392" s="307"/>
      <c r="J4392" s="307"/>
      <c r="K4392" s="532"/>
      <c r="L4392" s="533"/>
      <c r="M4392" s="533"/>
      <c r="N4392" s="525" t="str">
        <f>IF(AND('331-CT'!$E$7=TH!H4392,OR(L4392="331",M4392="331")),"331",IF(AND(OR(L4392="131",M4392="131"),H4392='131-CT'!$E$7),"131",""))</f>
        <v/>
      </c>
      <c r="O4392" s="525" t="str">
        <f>IF(AND($B4392&gt;='111'!$N$11,$B4392&lt;='111'!$O$11,OR($L4392=$O$7,$M4392=$O$7)),"x","")</f>
        <v/>
      </c>
      <c r="P4392" s="525" t="str">
        <f>IF(AND($L4392=$O$7,$B4392&lt;'111'!$N$11),"x","")</f>
        <v/>
      </c>
      <c r="Q4392" s="525" t="str">
        <f>IF(AND($M4392=$O$7,$B4392&lt;'111'!$N$11),"x","")</f>
        <v/>
      </c>
      <c r="R4392" s="525" t="str">
        <f>IF(ISERROR(FIND('112'!$M$9,G4392,1)),"",IF((AND(FIND('112'!$M$9,G4392,1)&gt;=1,$B4392&gt;='112'!$N$8,$B4392&lt;='112'!$O$8,OR($L4392='112'!$I$6,$M4392='112'!$I$6))),"x",""))</f>
        <v/>
      </c>
      <c r="S4392" s="525" t="str">
        <f>IF(ISERROR(FIND('112'!$M$9,G4392,1)),"",IF((AND(LEFT(G4392,2)=LEFT('112'!$M$9,2),B4392&lt;'112'!$N$8,$L4392='112'!$I$6)),"x",""))</f>
        <v/>
      </c>
      <c r="T4392" s="525" t="str">
        <f>IF(ISERROR(FIND('112'!$M$9,G4392,1)),"",IF((AND(RIGHT(G4392,2)=RIGHT('112'!$M$9,2),B4392&lt;'112'!$N$8,$M4392='112'!$I$6)),"x",""))</f>
        <v/>
      </c>
      <c r="U4392" s="525" t="str">
        <f>IF(AND(B4392&gt;='IN-NX'!$P$3,B4392&lt;='IN-NX'!$Q$3,'IN-NX'!$D$7=D4392,OR(LEFT(L4392,2)="15",AND(LEFT(M4392,2)&lt;&gt;"15",LEFT(M4392,2)&lt;&gt;"33"))),"x","")</f>
        <v/>
      </c>
      <c r="V4392" s="525" t="str">
        <f>IF(AND(OR(LEFT(TH!L4392,2)="15",LEFT(TH!M4392,2)="15"),'152-CT'!$J$8=TH!F4392),"x","")</f>
        <v/>
      </c>
      <c r="W4392" s="525" t="str">
        <f>IF(AND(OR(LEFT(TH!L4392,2)="15",LEFT(TH!M4392,2)="15"),TK!$E$7=TH!F4392),"x","")</f>
        <v/>
      </c>
      <c r="X4392" s="525" t="str">
        <f>IF(AND('341-CT'!$E$9=H4392,OR(LEFT(L4392,3)=$X$7,LEFT(M4392,3)=$X$7)),"x","")</f>
        <v/>
      </c>
      <c r="Y4392" s="525" t="str">
        <f>IF(OR(TH!L4392=TH!$Y$7,M4392=TH!$Y$7),"x","")</f>
        <v/>
      </c>
      <c r="Z4392" s="525" t="str">
        <f>IF(AND(B4392&lt;=NKC!$N$8,B4392&gt;=NKC!$M$8),"x","")</f>
        <v/>
      </c>
      <c r="AA4392" s="535"/>
      <c r="AB4392" s="536"/>
    </row>
    <row r="4393" spans="1:29" s="503" customFormat="1" ht="15.75" customHeight="1">
      <c r="A4393" s="517" t="str">
        <f>IF(B4393&lt;&gt;"",IF(AND(B4393&gt;=_TM1,B4393&lt;=_TM2,OR(TH!L4393="1111",TH!M4393="1111")),TH!D4393,""),"")</f>
        <v/>
      </c>
      <c r="B4393" s="531" t="str">
        <f t="shared" si="561"/>
        <v/>
      </c>
      <c r="C4393" s="315"/>
      <c r="D4393" s="315"/>
      <c r="E4393" s="545"/>
      <c r="F4393" s="246"/>
      <c r="G4393" s="314"/>
      <c r="H4393" s="473"/>
      <c r="I4393" s="307"/>
      <c r="J4393" s="307"/>
      <c r="K4393" s="532"/>
      <c r="L4393" s="533"/>
      <c r="M4393" s="533"/>
      <c r="N4393" s="525" t="str">
        <f>IF(AND('331-CT'!$E$7=TH!H4393,OR(L4393="331",M4393="331")),"331",IF(AND(OR(L4393="131",M4393="131"),H4393='131-CT'!$E$7),"131",""))</f>
        <v/>
      </c>
      <c r="O4393" s="525" t="str">
        <f>IF(AND($B4393&gt;='111'!$N$11,$B4393&lt;='111'!$O$11,OR($L4393=$O$7,$M4393=$O$7)),"x","")</f>
        <v/>
      </c>
      <c r="P4393" s="525" t="str">
        <f>IF(AND($L4393=$O$7,$B4393&lt;'111'!$N$11),"x","")</f>
        <v/>
      </c>
      <c r="Q4393" s="525" t="str">
        <f>IF(AND($M4393=$O$7,$B4393&lt;'111'!$N$11),"x","")</f>
        <v/>
      </c>
      <c r="R4393" s="525" t="str">
        <f>IF(ISERROR(FIND('112'!$M$9,G4393,1)),"",IF((AND(FIND('112'!$M$9,G4393,1)&gt;=1,$B4393&gt;='112'!$N$8,$B4393&lt;='112'!$O$8,OR($L4393='112'!$I$6,$M4393='112'!$I$6))),"x",""))</f>
        <v/>
      </c>
      <c r="S4393" s="525" t="str">
        <f>IF(ISERROR(FIND('112'!$M$9,G4393,1)),"",IF((AND(LEFT(G4393,2)=LEFT('112'!$M$9,2),B4393&lt;'112'!$N$8,$L4393='112'!$I$6)),"x",""))</f>
        <v/>
      </c>
      <c r="T4393" s="525" t="str">
        <f>IF(ISERROR(FIND('112'!$M$9,G4393,1)),"",IF((AND(RIGHT(G4393,2)=RIGHT('112'!$M$9,2),B4393&lt;'112'!$N$8,$M4393='112'!$I$6)),"x",""))</f>
        <v/>
      </c>
      <c r="U4393" s="525" t="str">
        <f>IF(AND(B4393&gt;='IN-NX'!$P$3,B4393&lt;='IN-NX'!$Q$3,'IN-NX'!$D$7=D4393,OR(LEFT(L4393,2)="15",AND(LEFT(M4393,2)&lt;&gt;"15",LEFT(M4393,2)&lt;&gt;"33"))),"x","")</f>
        <v/>
      </c>
      <c r="V4393" s="525" t="str">
        <f>IF(AND(OR(LEFT(TH!L4393,2)="15",LEFT(TH!M4393,2)="15"),'152-CT'!$J$8=TH!F4393),"x","")</f>
        <v/>
      </c>
      <c r="W4393" s="525" t="str">
        <f>IF(AND(OR(LEFT(TH!L4393,2)="15",LEFT(TH!M4393,2)="15"),TK!$E$7=TH!F4393),"x","")</f>
        <v/>
      </c>
      <c r="X4393" s="525" t="str">
        <f>IF(AND('341-CT'!$E$9=H4393,OR(LEFT(L4393,3)=$X$7,LEFT(M4393,3)=$X$7)),"x","")</f>
        <v/>
      </c>
      <c r="Y4393" s="525" t="str">
        <f>IF(OR(TH!L4393=TH!$Y$7,M4393=TH!$Y$7),"x","")</f>
        <v/>
      </c>
      <c r="Z4393" s="525" t="str">
        <f>IF(AND(B4393&lt;=NKC!$N$8,B4393&gt;=NKC!$M$8),"x","")</f>
        <v/>
      </c>
      <c r="AA4393" s="535"/>
      <c r="AB4393" s="536"/>
    </row>
    <row r="4394" spans="1:29" s="503" customFormat="1" ht="15.75" customHeight="1">
      <c r="A4394" s="517" t="str">
        <f>IF(B4394&lt;&gt;"",IF(AND(B4394&gt;=_TM1,B4394&lt;=_TM2,OR(TH!L4394="1111",TH!M4394="1111")),TH!D4394,""),"")</f>
        <v/>
      </c>
      <c r="B4394" s="531" t="str">
        <f t="shared" si="561"/>
        <v/>
      </c>
      <c r="C4394" s="315"/>
      <c r="D4394" s="315"/>
      <c r="E4394" s="545"/>
      <c r="F4394" s="246"/>
      <c r="G4394" s="314"/>
      <c r="H4394" s="473"/>
      <c r="I4394" s="307"/>
      <c r="J4394" s="307"/>
      <c r="K4394" s="532"/>
      <c r="L4394" s="533"/>
      <c r="M4394" s="533"/>
      <c r="N4394" s="525" t="str">
        <f>IF(AND('331-CT'!$E$7=TH!H4394,OR(L4394="331",M4394="331")),"331",IF(AND(OR(L4394="131",M4394="131"),H4394='131-CT'!$E$7),"131",""))</f>
        <v/>
      </c>
      <c r="O4394" s="525" t="str">
        <f>IF(AND($B4394&gt;='111'!$N$11,$B4394&lt;='111'!$O$11,OR($L4394=$O$7,$M4394=$O$7)),"x","")</f>
        <v/>
      </c>
      <c r="P4394" s="525" t="str">
        <f>IF(AND($L4394=$O$7,$B4394&lt;'111'!$N$11),"x","")</f>
        <v/>
      </c>
      <c r="Q4394" s="525" t="str">
        <f>IF(AND($M4394=$O$7,$B4394&lt;'111'!$N$11),"x","")</f>
        <v/>
      </c>
      <c r="R4394" s="525" t="str">
        <f>IF(ISERROR(FIND('112'!$M$9,G4394,1)),"",IF((AND(FIND('112'!$M$9,G4394,1)&gt;=1,$B4394&gt;='112'!$N$8,$B4394&lt;='112'!$O$8,OR($L4394='112'!$I$6,$M4394='112'!$I$6))),"x",""))</f>
        <v/>
      </c>
      <c r="S4394" s="525" t="str">
        <f>IF(ISERROR(FIND('112'!$M$9,G4394,1)),"",IF((AND(LEFT(G4394,2)=LEFT('112'!$M$9,2),B4394&lt;'112'!$N$8,$L4394='112'!$I$6)),"x",""))</f>
        <v/>
      </c>
      <c r="T4394" s="525" t="str">
        <f>IF(ISERROR(FIND('112'!$M$9,G4394,1)),"",IF((AND(RIGHT(G4394,2)=RIGHT('112'!$M$9,2),B4394&lt;'112'!$N$8,$M4394='112'!$I$6)),"x",""))</f>
        <v/>
      </c>
      <c r="U4394" s="525" t="str">
        <f>IF(AND(B4394&gt;='IN-NX'!$P$3,B4394&lt;='IN-NX'!$Q$3,'IN-NX'!$D$7=D4394,OR(LEFT(L4394,2)="15",AND(LEFT(M4394,2)&lt;&gt;"15",LEFT(M4394,2)&lt;&gt;"33"))),"x","")</f>
        <v/>
      </c>
      <c r="V4394" s="525" t="str">
        <f>IF(AND(OR(LEFT(TH!L4394,2)="15",LEFT(TH!M4394,2)="15"),'152-CT'!$J$8=TH!F4394),"x","")</f>
        <v/>
      </c>
      <c r="W4394" s="525" t="str">
        <f>IF(AND(OR(LEFT(TH!L4394,2)="15",LEFT(TH!M4394,2)="15"),TK!$E$7=TH!F4394),"x","")</f>
        <v/>
      </c>
      <c r="X4394" s="525" t="str">
        <f>IF(AND('341-CT'!$E$9=H4394,OR(LEFT(L4394,3)=$X$7,LEFT(M4394,3)=$X$7)),"x","")</f>
        <v/>
      </c>
      <c r="Y4394" s="525" t="str">
        <f>IF(OR(TH!L4394=TH!$Y$7,M4394=TH!$Y$7),"x","")</f>
        <v/>
      </c>
      <c r="Z4394" s="525" t="str">
        <f>IF(AND(B4394&lt;=NKC!$N$8,B4394&gt;=NKC!$M$8),"x","")</f>
        <v/>
      </c>
      <c r="AA4394" s="535"/>
      <c r="AB4394" s="536"/>
    </row>
    <row r="4395" spans="1:29" s="503" customFormat="1" ht="15.75" customHeight="1">
      <c r="A4395" s="517" t="str">
        <f>IF(B4395&lt;&gt;"",IF(AND(B4395&gt;=_TM1,B4395&lt;=_TM2,OR(TH!L4395="1111",TH!M4395="1111")),TH!D4395,""),"")</f>
        <v/>
      </c>
      <c r="B4395" s="531" t="str">
        <f t="shared" si="561"/>
        <v/>
      </c>
      <c r="C4395" s="315"/>
      <c r="D4395" s="315"/>
      <c r="E4395" s="545"/>
      <c r="F4395" s="246"/>
      <c r="G4395" s="314"/>
      <c r="H4395" s="473"/>
      <c r="I4395" s="307"/>
      <c r="J4395" s="307"/>
      <c r="K4395" s="532"/>
      <c r="L4395" s="533"/>
      <c r="M4395" s="533"/>
      <c r="N4395" s="525" t="str">
        <f>IF(AND('331-CT'!$E$7=TH!H4395,OR(L4395="331",M4395="331")),"331",IF(AND(OR(L4395="131",M4395="131"),H4395='131-CT'!$E$7),"131",""))</f>
        <v/>
      </c>
      <c r="O4395" s="525" t="str">
        <f>IF(AND($B4395&gt;='111'!$N$11,$B4395&lt;='111'!$O$11,OR($L4395=$O$7,$M4395=$O$7)),"x","")</f>
        <v/>
      </c>
      <c r="P4395" s="525" t="str">
        <f>IF(AND($L4395=$O$7,$B4395&lt;'111'!$N$11),"x","")</f>
        <v/>
      </c>
      <c r="Q4395" s="525" t="str">
        <f>IF(AND($M4395=$O$7,$B4395&lt;'111'!$N$11),"x","")</f>
        <v/>
      </c>
      <c r="R4395" s="525" t="str">
        <f>IF(ISERROR(FIND('112'!$M$9,G4395,1)),"",IF((AND(FIND('112'!$M$9,G4395,1)&gt;=1,$B4395&gt;='112'!$N$8,$B4395&lt;='112'!$O$8,OR($L4395='112'!$I$6,$M4395='112'!$I$6))),"x",""))</f>
        <v/>
      </c>
      <c r="S4395" s="525" t="str">
        <f>IF(ISERROR(FIND('112'!$M$9,G4395,1)),"",IF((AND(LEFT(G4395,2)=LEFT('112'!$M$9,2),B4395&lt;'112'!$N$8,$L4395='112'!$I$6)),"x",""))</f>
        <v/>
      </c>
      <c r="T4395" s="525" t="str">
        <f>IF(ISERROR(FIND('112'!$M$9,G4395,1)),"",IF((AND(RIGHT(G4395,2)=RIGHT('112'!$M$9,2),B4395&lt;'112'!$N$8,$M4395='112'!$I$6)),"x",""))</f>
        <v/>
      </c>
      <c r="U4395" s="525" t="str">
        <f>IF(AND(B4395&gt;='IN-NX'!$P$3,B4395&lt;='IN-NX'!$Q$3,'IN-NX'!$D$7=D4395,OR(LEFT(L4395,2)="15",AND(LEFT(M4395,2)&lt;&gt;"15",LEFT(M4395,2)&lt;&gt;"33"))),"x","")</f>
        <v/>
      </c>
      <c r="V4395" s="525" t="str">
        <f>IF(AND(OR(LEFT(TH!L4395,2)="15",LEFT(TH!M4395,2)="15"),'152-CT'!$J$8=TH!F4395),"x","")</f>
        <v/>
      </c>
      <c r="W4395" s="525" t="str">
        <f>IF(AND(OR(LEFT(TH!L4395,2)="15",LEFT(TH!M4395,2)="15"),TK!$E$7=TH!F4395),"x","")</f>
        <v/>
      </c>
      <c r="X4395" s="525" t="str">
        <f>IF(AND('341-CT'!$E$9=H4395,OR(LEFT(L4395,3)=$X$7,LEFT(M4395,3)=$X$7)),"x","")</f>
        <v/>
      </c>
      <c r="Y4395" s="525" t="str">
        <f>IF(OR(TH!L4395=TH!$Y$7,M4395=TH!$Y$7),"x","")</f>
        <v/>
      </c>
      <c r="Z4395" s="525" t="str">
        <f>IF(AND(B4395&lt;=NKC!$N$8,B4395&gt;=NKC!$M$8),"x","")</f>
        <v/>
      </c>
      <c r="AA4395" s="535"/>
      <c r="AB4395" s="536"/>
    </row>
    <row r="4396" spans="1:29" s="503" customFormat="1" ht="15.75" customHeight="1">
      <c r="A4396" s="517" t="str">
        <f>IF(B4396&lt;&gt;"",IF(AND(B4396&gt;=_TM1,B4396&lt;=_TM2,OR(TH!L4396="1111",TH!M4396="1111")),TH!D4396,""),"")</f>
        <v/>
      </c>
      <c r="B4396" s="531" t="str">
        <f t="shared" si="561"/>
        <v/>
      </c>
      <c r="C4396" s="315"/>
      <c r="D4396" s="315"/>
      <c r="E4396" s="545"/>
      <c r="F4396" s="245"/>
      <c r="G4396" s="314"/>
      <c r="H4396" s="473"/>
      <c r="I4396" s="307"/>
      <c r="J4396" s="307"/>
      <c r="K4396" s="532"/>
      <c r="L4396" s="533"/>
      <c r="M4396" s="533"/>
      <c r="N4396" s="525" t="str">
        <f>IF(AND('331-CT'!$E$7=TH!H4396,OR(L4396="331",M4396="331")),"331",IF(AND(OR(L4396="131",M4396="131"),H4396='131-CT'!$E$7),"131",""))</f>
        <v/>
      </c>
      <c r="O4396" s="525" t="str">
        <f>IF(AND($B4396&gt;='111'!$N$11,$B4396&lt;='111'!$O$11,OR($L4396=$O$7,$M4396=$O$7)),"x","")</f>
        <v/>
      </c>
      <c r="P4396" s="525" t="str">
        <f>IF(AND($L4396=$O$7,$B4396&lt;'111'!$N$11),"x","")</f>
        <v/>
      </c>
      <c r="Q4396" s="525" t="str">
        <f>IF(AND($M4396=$O$7,$B4396&lt;'111'!$N$11),"x","")</f>
        <v/>
      </c>
      <c r="R4396" s="525" t="str">
        <f>IF(ISERROR(FIND('112'!$M$9,G4396,1)),"",IF((AND(FIND('112'!$M$9,G4396,1)&gt;=1,$B4396&gt;='112'!$N$8,$B4396&lt;='112'!$O$8,OR($L4396='112'!$I$6,$M4396='112'!$I$6))),"x",""))</f>
        <v/>
      </c>
      <c r="S4396" s="525" t="str">
        <f>IF(ISERROR(FIND('112'!$M$9,G4396,1)),"",IF((AND(LEFT(G4396,2)=LEFT('112'!$M$9,2),B4396&lt;'112'!$N$8,$L4396='112'!$I$6)),"x",""))</f>
        <v/>
      </c>
      <c r="T4396" s="525" t="str">
        <f>IF(ISERROR(FIND('112'!$M$9,G4396,1)),"",IF((AND(RIGHT(G4396,2)=RIGHT('112'!$M$9,2),B4396&lt;'112'!$N$8,$M4396='112'!$I$6)),"x",""))</f>
        <v/>
      </c>
      <c r="U4396" s="525" t="str">
        <f>IF(AND(B4396&gt;='IN-NX'!$P$3,B4396&lt;='IN-NX'!$Q$3,'IN-NX'!$D$7=D4396,OR(LEFT(L4396,2)="15",AND(LEFT(M4396,2)&lt;&gt;"15",LEFT(M4396,2)&lt;&gt;"33"))),"x","")</f>
        <v/>
      </c>
      <c r="V4396" s="525" t="str">
        <f>IF(AND(OR(LEFT(TH!L4396,2)="15",LEFT(TH!M4396,2)="15"),'152-CT'!$J$8=TH!F4396),"x","")</f>
        <v/>
      </c>
      <c r="W4396" s="525" t="str">
        <f>IF(AND(OR(LEFT(TH!L4396,2)="15",LEFT(TH!M4396,2)="15"),TK!$E$7=TH!F4396),"x","")</f>
        <v/>
      </c>
      <c r="X4396" s="525" t="str">
        <f>IF(AND('341-CT'!$E$9=H4396,OR(LEFT(L4396,3)=$X$7,LEFT(M4396,3)=$X$7)),"x","")</f>
        <v/>
      </c>
      <c r="Y4396" s="525" t="str">
        <f>IF(OR(TH!L4396=TH!$Y$7,M4396=TH!$Y$7),"x","")</f>
        <v/>
      </c>
      <c r="Z4396" s="525" t="str">
        <f>IF(AND(B4396&lt;=NKC!$N$8,B4396&gt;=NKC!$M$8),"x","")</f>
        <v/>
      </c>
      <c r="AA4396" s="535"/>
      <c r="AB4396" s="536"/>
    </row>
    <row r="4397" spans="1:29" s="503" customFormat="1" ht="15.75" customHeight="1">
      <c r="A4397" s="517" t="str">
        <f>IF(B4397&lt;&gt;"",IF(AND(B4397&gt;=_TM1,B4397&lt;=_TM2,OR(TH!L4397="1111",TH!M4397="1111")),TH!D4397,""),"")</f>
        <v/>
      </c>
      <c r="B4397" s="531" t="str">
        <f t="shared" si="561"/>
        <v/>
      </c>
      <c r="C4397" s="315"/>
      <c r="D4397" s="315"/>
      <c r="E4397" s="545"/>
      <c r="F4397" s="247"/>
      <c r="G4397" s="314"/>
      <c r="H4397" s="473"/>
      <c r="I4397" s="307"/>
      <c r="J4397" s="307"/>
      <c r="K4397" s="532"/>
      <c r="L4397" s="533"/>
      <c r="M4397" s="533"/>
      <c r="N4397" s="525" t="str">
        <f>IF(AND('331-CT'!$E$7=TH!H4397,OR(L4397="331",M4397="331")),"331",IF(AND(OR(L4397="131",M4397="131"),H4397='131-CT'!$E$7),"131",""))</f>
        <v/>
      </c>
      <c r="O4397" s="525" t="str">
        <f>IF(AND($B4397&gt;='111'!$N$11,$B4397&lt;='111'!$O$11,OR($L4397=$O$7,$M4397=$O$7)),"x","")</f>
        <v/>
      </c>
      <c r="P4397" s="525" t="str">
        <f>IF(AND($L4397=$O$7,$B4397&lt;'111'!$N$11),"x","")</f>
        <v/>
      </c>
      <c r="Q4397" s="525" t="str">
        <f>IF(AND($M4397=$O$7,$B4397&lt;'111'!$N$11),"x","")</f>
        <v/>
      </c>
      <c r="R4397" s="525" t="str">
        <f>IF(ISERROR(FIND('112'!$M$9,G4397,1)),"",IF((AND(FIND('112'!$M$9,G4397,1)&gt;=1,$B4397&gt;='112'!$N$8,$B4397&lt;='112'!$O$8,OR($L4397='112'!$I$6,$M4397='112'!$I$6))),"x",""))</f>
        <v/>
      </c>
      <c r="S4397" s="525" t="str">
        <f>IF(ISERROR(FIND('112'!$M$9,G4397,1)),"",IF((AND(LEFT(G4397,2)=LEFT('112'!$M$9,2),B4397&lt;'112'!$N$8,$L4397='112'!$I$6)),"x",""))</f>
        <v/>
      </c>
      <c r="T4397" s="525" t="str">
        <f>IF(ISERROR(FIND('112'!$M$9,G4397,1)),"",IF((AND(RIGHT(G4397,2)=RIGHT('112'!$M$9,2),B4397&lt;'112'!$N$8,$M4397='112'!$I$6)),"x",""))</f>
        <v/>
      </c>
      <c r="U4397" s="525" t="str">
        <f>IF(AND(B4397&gt;='IN-NX'!$P$3,B4397&lt;='IN-NX'!$Q$3,'IN-NX'!$D$7=D4397,OR(LEFT(L4397,2)="15",AND(LEFT(M4397,2)&lt;&gt;"15",LEFT(M4397,2)&lt;&gt;"33"))),"x","")</f>
        <v/>
      </c>
      <c r="V4397" s="525" t="str">
        <f>IF(AND(OR(LEFT(TH!L4397,2)="15",LEFT(TH!M4397,2)="15"),'152-CT'!$J$8=TH!F4397),"x","")</f>
        <v/>
      </c>
      <c r="W4397" s="525" t="str">
        <f>IF(AND(OR(LEFT(TH!L4397,2)="15",LEFT(TH!M4397,2)="15"),TK!$E$7=TH!F4397),"x","")</f>
        <v/>
      </c>
      <c r="X4397" s="525" t="str">
        <f>IF(AND('341-CT'!$E$9=H4397,OR(LEFT(L4397,3)=$X$7,LEFT(M4397,3)=$X$7)),"x","")</f>
        <v/>
      </c>
      <c r="Y4397" s="525" t="str">
        <f>IF(OR(TH!L4397=TH!$Y$7,M4397=TH!$Y$7),"x","")</f>
        <v/>
      </c>
      <c r="Z4397" s="525" t="str">
        <f>IF(AND(B4397&lt;=NKC!$N$8,B4397&gt;=NKC!$M$8),"x","")</f>
        <v/>
      </c>
      <c r="AA4397" s="535"/>
      <c r="AB4397" s="536"/>
    </row>
    <row r="4398" spans="1:29" s="503" customFormat="1" ht="15.75" customHeight="1">
      <c r="A4398" s="517" t="str">
        <f>IF(B4398&lt;&gt;"",IF(AND(B4398&gt;=_TM1,B4398&lt;=_TM2,OR(TH!L4398="1111",TH!M4398="1111")),TH!D4398,""),"")</f>
        <v/>
      </c>
      <c r="B4398" s="531" t="str">
        <f t="shared" si="561"/>
        <v/>
      </c>
      <c r="C4398" s="315"/>
      <c r="D4398" s="315"/>
      <c r="E4398" s="545"/>
      <c r="F4398" s="247"/>
      <c r="G4398" s="314"/>
      <c r="H4398" s="473"/>
      <c r="I4398" s="307"/>
      <c r="J4398" s="307"/>
      <c r="K4398" s="532"/>
      <c r="L4398" s="533"/>
      <c r="M4398" s="533"/>
      <c r="N4398" s="525" t="str">
        <f>IF(AND('331-CT'!$E$7=TH!H4398,OR(L4398="331",M4398="331")),"331",IF(AND(OR(L4398="131",M4398="131"),H4398='131-CT'!$E$7),"131",""))</f>
        <v/>
      </c>
      <c r="O4398" s="525" t="str">
        <f>IF(AND($B4398&gt;='111'!$N$11,$B4398&lt;='111'!$O$11,OR($L4398=$O$7,$M4398=$O$7)),"x","")</f>
        <v/>
      </c>
      <c r="P4398" s="525" t="str">
        <f>IF(AND($L4398=$O$7,$B4398&lt;'111'!$N$11),"x","")</f>
        <v/>
      </c>
      <c r="Q4398" s="525" t="str">
        <f>IF(AND($M4398=$O$7,$B4398&lt;'111'!$N$11),"x","")</f>
        <v/>
      </c>
      <c r="R4398" s="525" t="str">
        <f>IF(ISERROR(FIND('112'!$M$9,G4398,1)),"",IF((AND(FIND('112'!$M$9,G4398,1)&gt;=1,$B4398&gt;='112'!$N$8,$B4398&lt;='112'!$O$8,OR($L4398='112'!$I$6,$M4398='112'!$I$6))),"x",""))</f>
        <v/>
      </c>
      <c r="S4398" s="525" t="str">
        <f>IF(ISERROR(FIND('112'!$M$9,G4398,1)),"",IF((AND(LEFT(G4398,2)=LEFT('112'!$M$9,2),B4398&lt;'112'!$N$8,$L4398='112'!$I$6)),"x",""))</f>
        <v/>
      </c>
      <c r="T4398" s="525" t="str">
        <f>IF(ISERROR(FIND('112'!$M$9,G4398,1)),"",IF((AND(RIGHT(G4398,2)=RIGHT('112'!$M$9,2),B4398&lt;'112'!$N$8,$M4398='112'!$I$6)),"x",""))</f>
        <v/>
      </c>
      <c r="U4398" s="525" t="str">
        <f>IF(AND(B4398&gt;='IN-NX'!$P$3,B4398&lt;='IN-NX'!$Q$3,'IN-NX'!$D$7=D4398,OR(LEFT(L4398,2)="15",AND(LEFT(M4398,2)&lt;&gt;"15",LEFT(M4398,2)&lt;&gt;"33"))),"x","")</f>
        <v/>
      </c>
      <c r="V4398" s="525" t="str">
        <f>IF(AND(OR(LEFT(TH!L4398,2)="15",LEFT(TH!M4398,2)="15"),'152-CT'!$J$8=TH!F4398),"x","")</f>
        <v/>
      </c>
      <c r="W4398" s="525" t="str">
        <f>IF(AND(OR(LEFT(TH!L4398,2)="15",LEFT(TH!M4398,2)="15"),TK!$E$7=TH!F4398),"x","")</f>
        <v/>
      </c>
      <c r="X4398" s="525" t="str">
        <f>IF(AND('341-CT'!$E$9=H4398,OR(LEFT(L4398,3)=$X$7,LEFT(M4398,3)=$X$7)),"x","")</f>
        <v/>
      </c>
      <c r="Y4398" s="525" t="str">
        <f>IF(OR(TH!L4398=TH!$Y$7,M4398=TH!$Y$7),"x","")</f>
        <v/>
      </c>
      <c r="Z4398" s="525" t="str">
        <f>IF(AND(B4398&lt;=NKC!$N$8,B4398&gt;=NKC!$M$8),"x","")</f>
        <v/>
      </c>
      <c r="AA4398" s="535"/>
      <c r="AB4398" s="536"/>
    </row>
    <row r="4399" spans="1:29" s="503" customFormat="1" ht="15.75" customHeight="1">
      <c r="A4399" s="517" t="str">
        <f>IF(B4399&lt;&gt;"",IF(AND(B4399&gt;=_TM1,B4399&lt;=_TM2,OR(TH!L4399="1111",TH!M4399="1111")),TH!D4399,""),"")</f>
        <v/>
      </c>
      <c r="B4399" s="531" t="str">
        <f t="shared" si="561"/>
        <v/>
      </c>
      <c r="C4399" s="315"/>
      <c r="D4399" s="315"/>
      <c r="E4399" s="545"/>
      <c r="F4399" s="247"/>
      <c r="G4399" s="314"/>
      <c r="H4399" s="473"/>
      <c r="I4399" s="307"/>
      <c r="J4399" s="307"/>
      <c r="K4399" s="532"/>
      <c r="L4399" s="533"/>
      <c r="M4399" s="533"/>
      <c r="N4399" s="525" t="str">
        <f>IF(AND('331-CT'!$E$7=TH!H4399,OR(L4399="331",M4399="331")),"331",IF(AND(OR(L4399="131",M4399="131"),H4399='131-CT'!$E$7),"131",""))</f>
        <v/>
      </c>
      <c r="O4399" s="525" t="str">
        <f>IF(AND($B4399&gt;='111'!$N$11,$B4399&lt;='111'!$O$11,OR($L4399=$O$7,$M4399=$O$7)),"x","")</f>
        <v/>
      </c>
      <c r="P4399" s="525" t="str">
        <f>IF(AND($L4399=$O$7,$B4399&lt;'111'!$N$11),"x","")</f>
        <v/>
      </c>
      <c r="Q4399" s="525" t="str">
        <f>IF(AND($M4399=$O$7,$B4399&lt;'111'!$N$11),"x","")</f>
        <v/>
      </c>
      <c r="R4399" s="525" t="str">
        <f>IF(ISERROR(FIND('112'!$M$9,G4399,1)),"",IF((AND(FIND('112'!$M$9,G4399,1)&gt;=1,$B4399&gt;='112'!$N$8,$B4399&lt;='112'!$O$8,OR($L4399='112'!$I$6,$M4399='112'!$I$6))),"x",""))</f>
        <v/>
      </c>
      <c r="S4399" s="525" t="str">
        <f>IF(ISERROR(FIND('112'!$M$9,G4399,1)),"",IF((AND(LEFT(G4399,2)=LEFT('112'!$M$9,2),B4399&lt;'112'!$N$8,$L4399='112'!$I$6)),"x",""))</f>
        <v/>
      </c>
      <c r="T4399" s="525" t="str">
        <f>IF(ISERROR(FIND('112'!$M$9,G4399,1)),"",IF((AND(RIGHT(G4399,2)=RIGHT('112'!$M$9,2),B4399&lt;'112'!$N$8,$M4399='112'!$I$6)),"x",""))</f>
        <v/>
      </c>
      <c r="U4399" s="525" t="str">
        <f>IF(AND(B4399&gt;='IN-NX'!$P$3,B4399&lt;='IN-NX'!$Q$3,'IN-NX'!$D$7=D4399,OR(LEFT(L4399,2)="15",AND(LEFT(M4399,2)&lt;&gt;"15",LEFT(M4399,2)&lt;&gt;"33"))),"x","")</f>
        <v/>
      </c>
      <c r="V4399" s="525" t="str">
        <f>IF(AND(OR(LEFT(TH!L4399,2)="15",LEFT(TH!M4399,2)="15"),'152-CT'!$J$8=TH!F4399),"x","")</f>
        <v/>
      </c>
      <c r="W4399" s="525" t="str">
        <f>IF(AND(OR(LEFT(TH!L4399,2)="15",LEFT(TH!M4399,2)="15"),TK!$E$7=TH!F4399),"x","")</f>
        <v/>
      </c>
      <c r="X4399" s="525" t="str">
        <f>IF(AND('341-CT'!$E$9=H4399,OR(LEFT(L4399,3)=$X$7,LEFT(M4399,3)=$X$7)),"x","")</f>
        <v/>
      </c>
      <c r="Y4399" s="525" t="str">
        <f>IF(OR(TH!L4399=TH!$Y$7,M4399=TH!$Y$7),"x","")</f>
        <v/>
      </c>
      <c r="Z4399" s="525" t="str">
        <f>IF(AND(B4399&lt;=NKC!$N$8,B4399&gt;=NKC!$M$8),"x","")</f>
        <v/>
      </c>
      <c r="AA4399" s="535"/>
      <c r="AB4399" s="536"/>
    </row>
    <row r="4400" spans="1:29" s="503" customFormat="1" ht="15.75" customHeight="1">
      <c r="A4400" s="517" t="str">
        <f>IF(B4400&lt;&gt;"",IF(AND(B4400&gt;=_TM1,B4400&lt;=_TM2,OR(TH!L4400="1111",TH!M4400="1111")),TH!D4400,""),"")</f>
        <v/>
      </c>
      <c r="B4400" s="531" t="str">
        <f t="shared" si="561"/>
        <v/>
      </c>
      <c r="C4400" s="315"/>
      <c r="D4400" s="315"/>
      <c r="E4400" s="545"/>
      <c r="F4400" s="246"/>
      <c r="G4400" s="314"/>
      <c r="H4400" s="473"/>
      <c r="I4400" s="307"/>
      <c r="J4400" s="307"/>
      <c r="K4400" s="532"/>
      <c r="L4400" s="533"/>
      <c r="M4400" s="533"/>
      <c r="N4400" s="525" t="str">
        <f>IF(AND('331-CT'!$E$7=TH!H4400,OR(L4400="331",M4400="331")),"331",IF(AND(OR(L4400="131",M4400="131"),H4400='131-CT'!$E$7),"131",""))</f>
        <v/>
      </c>
      <c r="O4400" s="525" t="str">
        <f>IF(AND($B4400&gt;='111'!$N$11,$B4400&lt;='111'!$O$11,OR($L4400=$O$7,$M4400=$O$7)),"x","")</f>
        <v/>
      </c>
      <c r="P4400" s="525" t="str">
        <f>IF(AND($L4400=$O$7,$B4400&lt;'111'!$N$11),"x","")</f>
        <v/>
      </c>
      <c r="Q4400" s="525" t="str">
        <f>IF(AND($M4400=$O$7,$B4400&lt;'111'!$N$11),"x","")</f>
        <v/>
      </c>
      <c r="R4400" s="525" t="str">
        <f>IF(ISERROR(FIND('112'!$M$9,G4400,1)),"",IF((AND(FIND('112'!$M$9,G4400,1)&gt;=1,$B4400&gt;='112'!$N$8,$B4400&lt;='112'!$O$8,OR($L4400='112'!$I$6,$M4400='112'!$I$6))),"x",""))</f>
        <v/>
      </c>
      <c r="S4400" s="525" t="str">
        <f>IF(ISERROR(FIND('112'!$M$9,G4400,1)),"",IF((AND(LEFT(G4400,2)=LEFT('112'!$M$9,2),B4400&lt;'112'!$N$8,$L4400='112'!$I$6)),"x",""))</f>
        <v/>
      </c>
      <c r="T4400" s="525" t="str">
        <f>IF(ISERROR(FIND('112'!$M$9,G4400,1)),"",IF((AND(RIGHT(G4400,2)=RIGHT('112'!$M$9,2),B4400&lt;'112'!$N$8,$M4400='112'!$I$6)),"x",""))</f>
        <v/>
      </c>
      <c r="U4400" s="525" t="str">
        <f>IF(AND(B4400&gt;='IN-NX'!$P$3,B4400&lt;='IN-NX'!$Q$3,'IN-NX'!$D$7=D4400,OR(LEFT(L4400,2)="15",AND(LEFT(M4400,2)&lt;&gt;"15",LEFT(M4400,2)&lt;&gt;"33"))),"x","")</f>
        <v/>
      </c>
      <c r="V4400" s="525" t="str">
        <f>IF(AND(OR(LEFT(TH!L4400,2)="15",LEFT(TH!M4400,2)="15"),'152-CT'!$J$8=TH!F4400),"x","")</f>
        <v/>
      </c>
      <c r="W4400" s="525" t="str">
        <f>IF(AND(OR(LEFT(TH!L4400,2)="15",LEFT(TH!M4400,2)="15"),TK!$E$7=TH!F4400),"x","")</f>
        <v/>
      </c>
      <c r="X4400" s="525" t="str">
        <f>IF(AND('341-CT'!$E$9=H4400,OR(LEFT(L4400,3)=$X$7,LEFT(M4400,3)=$X$7)),"x","")</f>
        <v/>
      </c>
      <c r="Y4400" s="525" t="str">
        <f>IF(OR(TH!L4400=TH!$Y$7,M4400=TH!$Y$7),"x","")</f>
        <v/>
      </c>
      <c r="Z4400" s="525" t="str">
        <f>IF(AND(B4400&lt;=NKC!$N$8,B4400&gt;=NKC!$M$8),"x","")</f>
        <v/>
      </c>
      <c r="AA4400" s="535"/>
      <c r="AB4400" s="536"/>
    </row>
    <row r="4401" spans="1:30" s="503" customFormat="1" ht="15.75" customHeight="1">
      <c r="A4401" s="517" t="str">
        <f>IF(B4401&lt;&gt;"",IF(AND(B4401&gt;=_TM1,B4401&lt;=_TM2,OR(TH!L4401="1111",TH!M4401="1111")),TH!D4401,""),"")</f>
        <v/>
      </c>
      <c r="B4401" s="531" t="str">
        <f t="shared" si="561"/>
        <v/>
      </c>
      <c r="C4401" s="315"/>
      <c r="D4401" s="315"/>
      <c r="E4401" s="545"/>
      <c r="F4401" s="247"/>
      <c r="G4401" s="314"/>
      <c r="H4401" s="473"/>
      <c r="I4401" s="307"/>
      <c r="J4401" s="307"/>
      <c r="K4401" s="532"/>
      <c r="L4401" s="533"/>
      <c r="M4401" s="533"/>
      <c r="N4401" s="525" t="str">
        <f>IF(AND('331-CT'!$E$7=TH!H4401,OR(L4401="331",M4401="331")),"331",IF(AND(OR(L4401="131",M4401="131"),H4401='131-CT'!$E$7),"131",""))</f>
        <v/>
      </c>
      <c r="O4401" s="525" t="str">
        <f>IF(AND($B4401&gt;='111'!$N$11,$B4401&lt;='111'!$O$11,OR($L4401=$O$7,$M4401=$O$7)),"x","")</f>
        <v/>
      </c>
      <c r="P4401" s="525" t="str">
        <f>IF(AND($L4401=$O$7,$B4401&lt;'111'!$N$11),"x","")</f>
        <v/>
      </c>
      <c r="Q4401" s="525" t="str">
        <f>IF(AND($M4401=$O$7,$B4401&lt;'111'!$N$11),"x","")</f>
        <v/>
      </c>
      <c r="R4401" s="525" t="str">
        <f>IF(ISERROR(FIND('112'!$M$9,G4401,1)),"",IF((AND(FIND('112'!$M$9,G4401,1)&gt;=1,$B4401&gt;='112'!$N$8,$B4401&lt;='112'!$O$8,OR($L4401='112'!$I$6,$M4401='112'!$I$6))),"x",""))</f>
        <v/>
      </c>
      <c r="S4401" s="525" t="str">
        <f>IF(ISERROR(FIND('112'!$M$9,G4401,1)),"",IF((AND(LEFT(G4401,2)=LEFT('112'!$M$9,2),B4401&lt;'112'!$N$8,$L4401='112'!$I$6)),"x",""))</f>
        <v/>
      </c>
      <c r="T4401" s="525" t="str">
        <f>IF(ISERROR(FIND('112'!$M$9,G4401,1)),"",IF((AND(RIGHT(G4401,2)=RIGHT('112'!$M$9,2),B4401&lt;'112'!$N$8,$M4401='112'!$I$6)),"x",""))</f>
        <v/>
      </c>
      <c r="U4401" s="525" t="str">
        <f>IF(AND(B4401&gt;='IN-NX'!$P$3,B4401&lt;='IN-NX'!$Q$3,'IN-NX'!$D$7=D4401,OR(LEFT(L4401,2)="15",AND(LEFT(M4401,2)&lt;&gt;"15",LEFT(M4401,2)&lt;&gt;"33"))),"x","")</f>
        <v/>
      </c>
      <c r="V4401" s="525" t="str">
        <f>IF(AND(OR(LEFT(TH!L4401,2)="15",LEFT(TH!M4401,2)="15"),'152-CT'!$J$8=TH!F4401),"x","")</f>
        <v/>
      </c>
      <c r="W4401" s="525" t="str">
        <f>IF(AND(OR(LEFT(TH!L4401,2)="15",LEFT(TH!M4401,2)="15"),TK!$E$7=TH!F4401),"x","")</f>
        <v/>
      </c>
      <c r="X4401" s="525" t="str">
        <f>IF(AND('341-CT'!$E$9=H4401,OR(LEFT(L4401,3)=$X$7,LEFT(M4401,3)=$X$7)),"x","")</f>
        <v/>
      </c>
      <c r="Y4401" s="525" t="str">
        <f>IF(OR(TH!L4401=TH!$Y$7,M4401=TH!$Y$7),"x","")</f>
        <v/>
      </c>
      <c r="Z4401" s="525" t="str">
        <f>IF(AND(B4401&lt;=NKC!$N$8,B4401&gt;=NKC!$M$8),"x","")</f>
        <v/>
      </c>
      <c r="AA4401" s="535"/>
      <c r="AB4401" s="536"/>
    </row>
    <row r="4402" spans="1:30" s="503" customFormat="1" ht="15.75" customHeight="1">
      <c r="A4402" s="517" t="str">
        <f>IF(B4402&lt;&gt;"",IF(AND(B4402&gt;=_TM1,B4402&lt;=_TM2,OR(TH!L4402="1111",TH!M4402="1111")),TH!D4402,""),"")</f>
        <v/>
      </c>
      <c r="B4402" s="531" t="str">
        <f t="shared" si="561"/>
        <v/>
      </c>
      <c r="C4402" s="315"/>
      <c r="D4402" s="315"/>
      <c r="E4402" s="545"/>
      <c r="F4402" s="247"/>
      <c r="G4402" s="314"/>
      <c r="H4402" s="473"/>
      <c r="I4402" s="307"/>
      <c r="J4402" s="307"/>
      <c r="K4402" s="532"/>
      <c r="L4402" s="533"/>
      <c r="M4402" s="533"/>
      <c r="N4402" s="525" t="str">
        <f>IF(AND('331-CT'!$E$7=TH!H4402,OR(L4402="331",M4402="331")),"331",IF(AND(OR(L4402="131",M4402="131"),H4402='131-CT'!$E$7),"131",""))</f>
        <v/>
      </c>
      <c r="O4402" s="525" t="str">
        <f>IF(AND($B4402&gt;='111'!$N$11,$B4402&lt;='111'!$O$11,OR($L4402=$O$7,$M4402=$O$7)),"x","")</f>
        <v/>
      </c>
      <c r="P4402" s="525" t="str">
        <f>IF(AND($L4402=$O$7,$B4402&lt;'111'!$N$11),"x","")</f>
        <v/>
      </c>
      <c r="Q4402" s="525" t="str">
        <f>IF(AND($M4402=$O$7,$B4402&lt;'111'!$N$11),"x","")</f>
        <v/>
      </c>
      <c r="R4402" s="525" t="str">
        <f>IF(ISERROR(FIND('112'!$M$9,G4402,1)),"",IF((AND(FIND('112'!$M$9,G4402,1)&gt;=1,$B4402&gt;='112'!$N$8,$B4402&lt;='112'!$O$8,OR($L4402='112'!$I$6,$M4402='112'!$I$6))),"x",""))</f>
        <v/>
      </c>
      <c r="S4402" s="525" t="str">
        <f>IF(ISERROR(FIND('112'!$M$9,G4402,1)),"",IF((AND(LEFT(G4402,2)=LEFT('112'!$M$9,2),B4402&lt;'112'!$N$8,$L4402='112'!$I$6)),"x",""))</f>
        <v/>
      </c>
      <c r="T4402" s="525" t="str">
        <f>IF(ISERROR(FIND('112'!$M$9,G4402,1)),"",IF((AND(RIGHT(G4402,2)=RIGHT('112'!$M$9,2),B4402&lt;'112'!$N$8,$M4402='112'!$I$6)),"x",""))</f>
        <v/>
      </c>
      <c r="U4402" s="525" t="str">
        <f>IF(AND(B4402&gt;='IN-NX'!$P$3,B4402&lt;='IN-NX'!$Q$3,'IN-NX'!$D$7=D4402,OR(LEFT(L4402,2)="15",AND(LEFT(M4402,2)&lt;&gt;"15",LEFT(M4402,2)&lt;&gt;"33"))),"x","")</f>
        <v/>
      </c>
      <c r="V4402" s="525" t="str">
        <f>IF(AND(OR(LEFT(TH!L4402,2)="15",LEFT(TH!M4402,2)="15"),'152-CT'!$J$8=TH!F4402),"x","")</f>
        <v/>
      </c>
      <c r="W4402" s="525" t="str">
        <f>IF(AND(OR(LEFT(TH!L4402,2)="15",LEFT(TH!M4402,2)="15"),TK!$E$7=TH!F4402),"x","")</f>
        <v/>
      </c>
      <c r="X4402" s="525" t="str">
        <f>IF(AND('341-CT'!$E$9=H4402,OR(LEFT(L4402,3)=$X$7,LEFT(M4402,3)=$X$7)),"x","")</f>
        <v/>
      </c>
      <c r="Y4402" s="525" t="str">
        <f>IF(OR(TH!L4402=TH!$Y$7,M4402=TH!$Y$7),"x","")</f>
        <v/>
      </c>
      <c r="Z4402" s="525" t="str">
        <f>IF(AND(B4402&lt;=NKC!$N$8,B4402&gt;=NKC!$M$8),"x","")</f>
        <v/>
      </c>
      <c r="AA4402" s="535"/>
      <c r="AB4402" s="536"/>
    </row>
    <row r="4403" spans="1:30" s="503" customFormat="1" ht="15.75" customHeight="1">
      <c r="A4403" s="517" t="str">
        <f>IF(B4403&lt;&gt;"",IF(AND(B4403&gt;=_TM1,B4403&lt;=_TM2,OR(TH!L4403="1111",TH!M4403="1111")),TH!D4403,""),"")</f>
        <v/>
      </c>
      <c r="B4403" s="531" t="str">
        <f t="shared" si="561"/>
        <v/>
      </c>
      <c r="C4403" s="315"/>
      <c r="D4403" s="315"/>
      <c r="E4403" s="545"/>
      <c r="F4403" s="245"/>
      <c r="G4403" s="314"/>
      <c r="H4403" s="473"/>
      <c r="I4403" s="307"/>
      <c r="J4403" s="307"/>
      <c r="K4403" s="532"/>
      <c r="L4403" s="533"/>
      <c r="M4403" s="533"/>
      <c r="N4403" s="525" t="str">
        <f>IF(AND('331-CT'!$E$7=TH!H4403,OR(L4403="331",M4403="331")),"331",IF(AND(OR(L4403="131",M4403="131"),H4403='131-CT'!$E$7),"131",""))</f>
        <v/>
      </c>
      <c r="O4403" s="525" t="str">
        <f>IF(AND($B4403&gt;='111'!$N$11,$B4403&lt;='111'!$O$11,OR($L4403=$O$7,$M4403=$O$7)),"x","")</f>
        <v/>
      </c>
      <c r="P4403" s="525" t="str">
        <f>IF(AND($L4403=$O$7,$B4403&lt;'111'!$N$11),"x","")</f>
        <v/>
      </c>
      <c r="Q4403" s="525" t="str">
        <f>IF(AND($M4403=$O$7,$B4403&lt;'111'!$N$11),"x","")</f>
        <v/>
      </c>
      <c r="R4403" s="525" t="str">
        <f>IF(ISERROR(FIND('112'!$M$9,G4403,1)),"",IF((AND(FIND('112'!$M$9,G4403,1)&gt;=1,$B4403&gt;='112'!$N$8,$B4403&lt;='112'!$O$8,OR($L4403='112'!$I$6,$M4403='112'!$I$6))),"x",""))</f>
        <v/>
      </c>
      <c r="S4403" s="525" t="str">
        <f>IF(ISERROR(FIND('112'!$M$9,G4403,1)),"",IF((AND(LEFT(G4403,2)=LEFT('112'!$M$9,2),B4403&lt;'112'!$N$8,$L4403='112'!$I$6)),"x",""))</f>
        <v/>
      </c>
      <c r="T4403" s="525" t="str">
        <f>IF(ISERROR(FIND('112'!$M$9,G4403,1)),"",IF((AND(RIGHT(G4403,2)=RIGHT('112'!$M$9,2),B4403&lt;'112'!$N$8,$M4403='112'!$I$6)),"x",""))</f>
        <v/>
      </c>
      <c r="U4403" s="525" t="str">
        <f>IF(AND(B4403&gt;='IN-NX'!$P$3,B4403&lt;='IN-NX'!$Q$3,'IN-NX'!$D$7=D4403,OR(LEFT(L4403,2)="15",AND(LEFT(M4403,2)&lt;&gt;"15",LEFT(M4403,2)&lt;&gt;"33"))),"x","")</f>
        <v/>
      </c>
      <c r="V4403" s="525" t="str">
        <f>IF(AND(OR(LEFT(TH!L4403,2)="15",LEFT(TH!M4403,2)="15"),'152-CT'!$J$8=TH!F4403),"x","")</f>
        <v/>
      </c>
      <c r="W4403" s="525" t="str">
        <f>IF(AND(OR(LEFT(TH!L4403,2)="15",LEFT(TH!M4403,2)="15"),TK!$E$7=TH!F4403),"x","")</f>
        <v/>
      </c>
      <c r="X4403" s="525" t="str">
        <f>IF(AND('341-CT'!$E$9=H4403,OR(LEFT(L4403,3)=$X$7,LEFT(M4403,3)=$X$7)),"x","")</f>
        <v/>
      </c>
      <c r="Y4403" s="525" t="str">
        <f>IF(OR(TH!L4403=TH!$Y$7,M4403=TH!$Y$7),"x","")</f>
        <v/>
      </c>
      <c r="Z4403" s="525" t="str">
        <f>IF(AND(B4403&lt;=NKC!$N$8,B4403&gt;=NKC!$M$8),"x","")</f>
        <v/>
      </c>
      <c r="AA4403" s="535"/>
      <c r="AB4403" s="536"/>
      <c r="AC4403" s="278"/>
      <c r="AD4403" s="278"/>
    </row>
    <row r="4404" spans="1:30" s="503" customFormat="1" ht="15.75" customHeight="1">
      <c r="A4404" s="517" t="str">
        <f>IF(B4404&lt;&gt;"",IF(AND(B4404&gt;=_TM1,B4404&lt;=_TM2,OR(TH!L4404="1111",TH!M4404="1111")),TH!D4404,""),"")</f>
        <v/>
      </c>
      <c r="B4404" s="531" t="str">
        <f t="shared" si="561"/>
        <v/>
      </c>
      <c r="C4404" s="315"/>
      <c r="D4404" s="315"/>
      <c r="E4404" s="545"/>
      <c r="F4404" s="245"/>
      <c r="G4404" s="314"/>
      <c r="H4404" s="473"/>
      <c r="I4404" s="307"/>
      <c r="J4404" s="307"/>
      <c r="K4404" s="532"/>
      <c r="L4404" s="533"/>
      <c r="M4404" s="533"/>
      <c r="N4404" s="525" t="str">
        <f>IF(AND('331-CT'!$E$7=TH!H4404,OR(L4404="331",M4404="331")),"331",IF(AND(OR(L4404="131",M4404="131"),H4404='131-CT'!$E$7),"131",""))</f>
        <v/>
      </c>
      <c r="O4404" s="525" t="str">
        <f>IF(AND($B4404&gt;='111'!$N$11,$B4404&lt;='111'!$O$11,OR($L4404=$O$7,$M4404=$O$7)),"x","")</f>
        <v/>
      </c>
      <c r="P4404" s="525" t="str">
        <f>IF(AND($L4404=$O$7,$B4404&lt;'111'!$N$11),"x","")</f>
        <v/>
      </c>
      <c r="Q4404" s="525" t="str">
        <f>IF(AND($M4404=$O$7,$B4404&lt;'111'!$N$11),"x","")</f>
        <v/>
      </c>
      <c r="R4404" s="525" t="str">
        <f>IF(ISERROR(FIND('112'!$M$9,G4404,1)),"",IF((AND(FIND('112'!$M$9,G4404,1)&gt;=1,$B4404&gt;='112'!$N$8,$B4404&lt;='112'!$O$8,OR($L4404='112'!$I$6,$M4404='112'!$I$6))),"x",""))</f>
        <v/>
      </c>
      <c r="S4404" s="525" t="str">
        <f>IF(ISERROR(FIND('112'!$M$9,G4404,1)),"",IF((AND(LEFT(G4404,2)=LEFT('112'!$M$9,2),B4404&lt;'112'!$N$8,$L4404='112'!$I$6)),"x",""))</f>
        <v/>
      </c>
      <c r="T4404" s="525" t="str">
        <f>IF(ISERROR(FIND('112'!$M$9,G4404,1)),"",IF((AND(RIGHT(G4404,2)=RIGHT('112'!$M$9,2),B4404&lt;'112'!$N$8,$M4404='112'!$I$6)),"x",""))</f>
        <v/>
      </c>
      <c r="U4404" s="525" t="str">
        <f>IF(AND(B4404&gt;='IN-NX'!$P$3,B4404&lt;='IN-NX'!$Q$3,'IN-NX'!$D$7=D4404,OR(LEFT(L4404,2)="15",AND(LEFT(M4404,2)&lt;&gt;"15",LEFT(M4404,2)&lt;&gt;"33"))),"x","")</f>
        <v/>
      </c>
      <c r="V4404" s="525" t="str">
        <f>IF(AND(OR(LEFT(TH!L4404,2)="15",LEFT(TH!M4404,2)="15"),'152-CT'!$J$8=TH!F4404),"x","")</f>
        <v/>
      </c>
      <c r="W4404" s="525" t="str">
        <f>IF(AND(OR(LEFT(TH!L4404,2)="15",LEFT(TH!M4404,2)="15"),TK!$E$7=TH!F4404),"x","")</f>
        <v/>
      </c>
      <c r="X4404" s="525" t="str">
        <f>IF(AND('341-CT'!$E$9=H4404,OR(LEFT(L4404,3)=$X$7,LEFT(M4404,3)=$X$7)),"x","")</f>
        <v/>
      </c>
      <c r="Y4404" s="525" t="str">
        <f>IF(OR(TH!L4404=TH!$Y$7,M4404=TH!$Y$7),"x","")</f>
        <v/>
      </c>
      <c r="Z4404" s="525" t="str">
        <f>IF(AND(B4404&lt;=NKC!$N$8,B4404&gt;=NKC!$M$8),"x","")</f>
        <v/>
      </c>
      <c r="AA4404" s="535"/>
      <c r="AB4404" s="536"/>
    </row>
    <row r="4405" spans="1:30" s="503" customFormat="1" ht="15.75" customHeight="1">
      <c r="A4405" s="517" t="str">
        <f>IF(B4405&lt;&gt;"",IF(AND(B4405&gt;=_TM1,B4405&lt;=_TM2,OR(TH!L4405="1111",TH!M4405="1111")),TH!D4405,""),"")</f>
        <v/>
      </c>
      <c r="B4405" s="531" t="str">
        <f t="shared" si="561"/>
        <v/>
      </c>
      <c r="C4405" s="315"/>
      <c r="D4405" s="315"/>
      <c r="E4405" s="545"/>
      <c r="F4405" s="249"/>
      <c r="G4405" s="314"/>
      <c r="H4405" s="473"/>
      <c r="I4405" s="307"/>
      <c r="J4405" s="307"/>
      <c r="K4405" s="532"/>
      <c r="L4405" s="533"/>
      <c r="M4405" s="533"/>
      <c r="N4405" s="525" t="str">
        <f>IF(AND('331-CT'!$E$7=TH!H4405,OR(L4405="331",M4405="331")),"331",IF(AND(OR(L4405="131",M4405="131"),H4405='131-CT'!$E$7),"131",""))</f>
        <v/>
      </c>
      <c r="O4405" s="525" t="str">
        <f>IF(AND($B4405&gt;='111'!$N$11,$B4405&lt;='111'!$O$11,OR($L4405=$O$7,$M4405=$O$7)),"x","")</f>
        <v/>
      </c>
      <c r="P4405" s="525" t="str">
        <f>IF(AND($L4405=$O$7,$B4405&lt;'111'!$N$11),"x","")</f>
        <v/>
      </c>
      <c r="Q4405" s="525" t="str">
        <f>IF(AND($M4405=$O$7,$B4405&lt;'111'!$N$11),"x","")</f>
        <v/>
      </c>
      <c r="R4405" s="525" t="str">
        <f>IF(ISERROR(FIND('112'!$M$9,G4405,1)),"",IF((AND(FIND('112'!$M$9,G4405,1)&gt;=1,$B4405&gt;='112'!$N$8,$B4405&lt;='112'!$O$8,OR($L4405='112'!$I$6,$M4405='112'!$I$6))),"x",""))</f>
        <v/>
      </c>
      <c r="S4405" s="525" t="str">
        <f>IF(ISERROR(FIND('112'!$M$9,G4405,1)),"",IF((AND(LEFT(G4405,2)=LEFT('112'!$M$9,2),B4405&lt;'112'!$N$8,$L4405='112'!$I$6)),"x",""))</f>
        <v/>
      </c>
      <c r="T4405" s="525" t="str">
        <f>IF(ISERROR(FIND('112'!$M$9,G4405,1)),"",IF((AND(RIGHT(G4405,2)=RIGHT('112'!$M$9,2),B4405&lt;'112'!$N$8,$M4405='112'!$I$6)),"x",""))</f>
        <v/>
      </c>
      <c r="U4405" s="525" t="str">
        <f>IF(AND(B4405&gt;='IN-NX'!$P$3,B4405&lt;='IN-NX'!$Q$3,'IN-NX'!$D$7=D4405,OR(LEFT(L4405,2)="15",AND(LEFT(M4405,2)&lt;&gt;"15",LEFT(M4405,2)&lt;&gt;"33"))),"x","")</f>
        <v/>
      </c>
      <c r="V4405" s="525" t="str">
        <f>IF(AND(OR(LEFT(TH!L4405,2)="15",LEFT(TH!M4405,2)="15"),'152-CT'!$J$8=TH!F4405),"x","")</f>
        <v/>
      </c>
      <c r="W4405" s="525" t="str">
        <f>IF(AND(OR(LEFT(TH!L4405,2)="15",LEFT(TH!M4405,2)="15"),TK!$E$7=TH!F4405),"x","")</f>
        <v/>
      </c>
      <c r="X4405" s="525" t="str">
        <f>IF(AND('341-CT'!$E$9=H4405,OR(LEFT(L4405,3)=$X$7,LEFT(M4405,3)=$X$7)),"x","")</f>
        <v/>
      </c>
      <c r="Y4405" s="525" t="str">
        <f>IF(OR(TH!L4405=TH!$Y$7,M4405=TH!$Y$7),"x","")</f>
        <v/>
      </c>
      <c r="Z4405" s="525" t="str">
        <f>IF(AND(B4405&lt;=NKC!$N$8,B4405&gt;=NKC!$M$8),"x","")</f>
        <v/>
      </c>
      <c r="AA4405" s="535"/>
      <c r="AB4405" s="536"/>
      <c r="AC4405" s="536"/>
    </row>
    <row r="4406" spans="1:30" s="503" customFormat="1" ht="15.75" customHeight="1">
      <c r="A4406" s="517" t="str">
        <f>IF(B4406&lt;&gt;"",IF(AND(B4406&gt;=_TM1,B4406&lt;=_TM2,OR(TH!L4406="1111",TH!M4406="1111")),TH!D4406,""),"")</f>
        <v/>
      </c>
      <c r="B4406" s="531" t="str">
        <f t="shared" si="561"/>
        <v/>
      </c>
      <c r="C4406" s="315"/>
      <c r="D4406" s="315"/>
      <c r="E4406" s="545"/>
      <c r="F4406" s="249"/>
      <c r="G4406" s="314"/>
      <c r="H4406" s="473"/>
      <c r="I4406" s="307"/>
      <c r="J4406" s="307"/>
      <c r="K4406" s="532"/>
      <c r="L4406" s="533"/>
      <c r="M4406" s="533"/>
      <c r="N4406" s="525" t="str">
        <f>IF(AND('331-CT'!$E$7=TH!H4406,OR(L4406="331",M4406="331")),"331",IF(AND(OR(L4406="131",M4406="131"),H4406='131-CT'!$E$7),"131",""))</f>
        <v/>
      </c>
      <c r="O4406" s="525" t="str">
        <f>IF(AND($B4406&gt;='111'!$N$11,$B4406&lt;='111'!$O$11,OR($L4406=$O$7,$M4406=$O$7)),"x","")</f>
        <v/>
      </c>
      <c r="P4406" s="525" t="str">
        <f>IF(AND($L4406=$O$7,$B4406&lt;'111'!$N$11),"x","")</f>
        <v/>
      </c>
      <c r="Q4406" s="525" t="str">
        <f>IF(AND($M4406=$O$7,$B4406&lt;'111'!$N$11),"x","")</f>
        <v/>
      </c>
      <c r="R4406" s="525" t="str">
        <f>IF(ISERROR(FIND('112'!$M$9,G4406,1)),"",IF((AND(FIND('112'!$M$9,G4406,1)&gt;=1,$B4406&gt;='112'!$N$8,$B4406&lt;='112'!$O$8,OR($L4406='112'!$I$6,$M4406='112'!$I$6))),"x",""))</f>
        <v/>
      </c>
      <c r="S4406" s="525" t="str">
        <f>IF(ISERROR(FIND('112'!$M$9,G4406,1)),"",IF((AND(LEFT(G4406,2)=LEFT('112'!$M$9,2),B4406&lt;'112'!$N$8,$L4406='112'!$I$6)),"x",""))</f>
        <v/>
      </c>
      <c r="T4406" s="525" t="str">
        <f>IF(ISERROR(FIND('112'!$M$9,G4406,1)),"",IF((AND(RIGHT(G4406,2)=RIGHT('112'!$M$9,2),B4406&lt;'112'!$N$8,$M4406='112'!$I$6)),"x",""))</f>
        <v/>
      </c>
      <c r="U4406" s="525" t="str">
        <f>IF(AND(B4406&gt;='IN-NX'!$P$3,B4406&lt;='IN-NX'!$Q$3,'IN-NX'!$D$7=D4406,OR(LEFT(L4406,2)="15",AND(LEFT(M4406,2)&lt;&gt;"15",LEFT(M4406,2)&lt;&gt;"33"))),"x","")</f>
        <v/>
      </c>
      <c r="V4406" s="525" t="str">
        <f>IF(AND(OR(LEFT(TH!L4406,2)="15",LEFT(TH!M4406,2)="15"),'152-CT'!$J$8=TH!F4406),"x","")</f>
        <v/>
      </c>
      <c r="W4406" s="525" t="str">
        <f>IF(AND(OR(LEFT(TH!L4406,2)="15",LEFT(TH!M4406,2)="15"),TK!$E$7=TH!F4406),"x","")</f>
        <v/>
      </c>
      <c r="X4406" s="525" t="str">
        <f>IF(AND('341-CT'!$E$9=H4406,OR(LEFT(L4406,3)=$X$7,LEFT(M4406,3)=$X$7)),"x","")</f>
        <v/>
      </c>
      <c r="Y4406" s="525" t="str">
        <f>IF(OR(TH!L4406=TH!$Y$7,M4406=TH!$Y$7),"x","")</f>
        <v/>
      </c>
      <c r="Z4406" s="525" t="str">
        <f>IF(AND(B4406&lt;=NKC!$N$8,B4406&gt;=NKC!$M$8),"x","")</f>
        <v/>
      </c>
      <c r="AA4406" s="535"/>
      <c r="AB4406" s="536"/>
      <c r="AC4406" s="536"/>
    </row>
    <row r="4407" spans="1:30" s="503" customFormat="1" ht="15.75" customHeight="1">
      <c r="A4407" s="517" t="str">
        <f>IF(B4407&lt;&gt;"",IF(AND(B4407&gt;=_TM1,B4407&lt;=_TM2,OR(TH!L4407="1111",TH!M4407="1111")),TH!D4407,""),"")</f>
        <v/>
      </c>
      <c r="B4407" s="531" t="str">
        <f t="shared" si="561"/>
        <v/>
      </c>
      <c r="C4407" s="315"/>
      <c r="D4407" s="315"/>
      <c r="E4407" s="545"/>
      <c r="F4407" s="247"/>
      <c r="G4407" s="314"/>
      <c r="H4407" s="473"/>
      <c r="I4407" s="307"/>
      <c r="J4407" s="307"/>
      <c r="K4407" s="532"/>
      <c r="L4407" s="533"/>
      <c r="M4407" s="533"/>
      <c r="N4407" s="525" t="str">
        <f>IF(AND('331-CT'!$E$7=TH!H4407,OR(L4407="331",M4407="331")),"331",IF(AND(OR(L4407="131",M4407="131"),H4407='131-CT'!$E$7),"131",""))</f>
        <v/>
      </c>
      <c r="O4407" s="525" t="str">
        <f>IF(AND($B4407&gt;='111'!$N$11,$B4407&lt;='111'!$O$11,OR($L4407=$O$7,$M4407=$O$7)),"x","")</f>
        <v/>
      </c>
      <c r="P4407" s="525" t="str">
        <f>IF(AND($L4407=$O$7,$B4407&lt;'111'!$N$11),"x","")</f>
        <v/>
      </c>
      <c r="Q4407" s="525" t="str">
        <f>IF(AND($M4407=$O$7,$B4407&lt;'111'!$N$11),"x","")</f>
        <v/>
      </c>
      <c r="R4407" s="525" t="str">
        <f>IF(ISERROR(FIND('112'!$M$9,G4407,1)),"",IF((AND(FIND('112'!$M$9,G4407,1)&gt;=1,$B4407&gt;='112'!$N$8,$B4407&lt;='112'!$O$8,OR($L4407='112'!$I$6,$M4407='112'!$I$6))),"x",""))</f>
        <v/>
      </c>
      <c r="S4407" s="525" t="str">
        <f>IF(ISERROR(FIND('112'!$M$9,G4407,1)),"",IF((AND(LEFT(G4407,2)=LEFT('112'!$M$9,2),B4407&lt;'112'!$N$8,$L4407='112'!$I$6)),"x",""))</f>
        <v/>
      </c>
      <c r="T4407" s="525" t="str">
        <f>IF(ISERROR(FIND('112'!$M$9,G4407,1)),"",IF((AND(RIGHT(G4407,2)=RIGHT('112'!$M$9,2),B4407&lt;'112'!$N$8,$M4407='112'!$I$6)),"x",""))</f>
        <v/>
      </c>
      <c r="U4407" s="525" t="str">
        <f>IF(AND(B4407&gt;='IN-NX'!$P$3,B4407&lt;='IN-NX'!$Q$3,'IN-NX'!$D$7=D4407,OR(LEFT(L4407,2)="15",AND(LEFT(M4407,2)&lt;&gt;"15",LEFT(M4407,2)&lt;&gt;"33"))),"x","")</f>
        <v/>
      </c>
      <c r="V4407" s="525" t="str">
        <f>IF(AND(OR(LEFT(TH!L4407,2)="15",LEFT(TH!M4407,2)="15"),'152-CT'!$J$8=TH!F4407),"x","")</f>
        <v/>
      </c>
      <c r="W4407" s="525" t="str">
        <f>IF(AND(OR(LEFT(TH!L4407,2)="15",LEFT(TH!M4407,2)="15"),TK!$E$7=TH!F4407),"x","")</f>
        <v/>
      </c>
      <c r="X4407" s="525" t="str">
        <f>IF(AND('341-CT'!$E$9=H4407,OR(LEFT(L4407,3)=$X$7,LEFT(M4407,3)=$X$7)),"x","")</f>
        <v/>
      </c>
      <c r="Y4407" s="525" t="str">
        <f>IF(OR(TH!L4407=TH!$Y$7,M4407=TH!$Y$7),"x","")</f>
        <v/>
      </c>
      <c r="Z4407" s="525" t="str">
        <f>IF(AND(B4407&lt;=NKC!$N$8,B4407&gt;=NKC!$M$8),"x","")</f>
        <v/>
      </c>
      <c r="AA4407" s="535"/>
      <c r="AB4407" s="536"/>
    </row>
    <row r="4408" spans="1:30" s="503" customFormat="1" ht="15.75" customHeight="1">
      <c r="A4408" s="517" t="str">
        <f>IF(B4408&lt;&gt;"",IF(AND(B4408&gt;=_TM1,B4408&lt;=_TM2,OR(TH!L4408="1111",TH!M4408="1111")),TH!D4408,""),"")</f>
        <v/>
      </c>
      <c r="B4408" s="531" t="str">
        <f t="shared" si="561"/>
        <v/>
      </c>
      <c r="C4408" s="315"/>
      <c r="D4408" s="315"/>
      <c r="E4408" s="545"/>
      <c r="F4408" s="247"/>
      <c r="G4408" s="314"/>
      <c r="H4408" s="473"/>
      <c r="I4408" s="307"/>
      <c r="J4408" s="307"/>
      <c r="K4408" s="532"/>
      <c r="L4408" s="533"/>
      <c r="M4408" s="533"/>
      <c r="N4408" s="525" t="str">
        <f>IF(AND('331-CT'!$E$7=TH!H4408,OR(L4408="331",M4408="331")),"331",IF(AND(OR(L4408="131",M4408="131"),H4408='131-CT'!$E$7),"131",""))</f>
        <v/>
      </c>
      <c r="O4408" s="525" t="str">
        <f>IF(AND($B4408&gt;='111'!$N$11,$B4408&lt;='111'!$O$11,OR($L4408=$O$7,$M4408=$O$7)),"x","")</f>
        <v/>
      </c>
      <c r="P4408" s="525" t="str">
        <f>IF(AND($L4408=$O$7,$B4408&lt;'111'!$N$11),"x","")</f>
        <v/>
      </c>
      <c r="Q4408" s="525" t="str">
        <f>IF(AND($M4408=$O$7,$B4408&lt;'111'!$N$11),"x","")</f>
        <v/>
      </c>
      <c r="R4408" s="525" t="str">
        <f>IF(ISERROR(FIND('112'!$M$9,G4408,1)),"",IF((AND(FIND('112'!$M$9,G4408,1)&gt;=1,$B4408&gt;='112'!$N$8,$B4408&lt;='112'!$O$8,OR($L4408='112'!$I$6,$M4408='112'!$I$6))),"x",""))</f>
        <v/>
      </c>
      <c r="S4408" s="525" t="str">
        <f>IF(ISERROR(FIND('112'!$M$9,G4408,1)),"",IF((AND(LEFT(G4408,2)=LEFT('112'!$M$9,2),B4408&lt;'112'!$N$8,$L4408='112'!$I$6)),"x",""))</f>
        <v/>
      </c>
      <c r="T4408" s="525" t="str">
        <f>IF(ISERROR(FIND('112'!$M$9,G4408,1)),"",IF((AND(RIGHT(G4408,2)=RIGHT('112'!$M$9,2),B4408&lt;'112'!$N$8,$M4408='112'!$I$6)),"x",""))</f>
        <v/>
      </c>
      <c r="U4408" s="525" t="str">
        <f>IF(AND(B4408&gt;='IN-NX'!$P$3,B4408&lt;='IN-NX'!$Q$3,'IN-NX'!$D$7=D4408,OR(LEFT(L4408,2)="15",AND(LEFT(M4408,2)&lt;&gt;"15",LEFT(M4408,2)&lt;&gt;"33"))),"x","")</f>
        <v/>
      </c>
      <c r="V4408" s="525" t="str">
        <f>IF(AND(OR(LEFT(TH!L4408,2)="15",LEFT(TH!M4408,2)="15"),'152-CT'!$J$8=TH!F4408),"x","")</f>
        <v/>
      </c>
      <c r="W4408" s="525" t="str">
        <f>IF(AND(OR(LEFT(TH!L4408,2)="15",LEFT(TH!M4408,2)="15"),TK!$E$7=TH!F4408),"x","")</f>
        <v/>
      </c>
      <c r="X4408" s="525" t="str">
        <f>IF(AND('341-CT'!$E$9=H4408,OR(LEFT(L4408,3)=$X$7,LEFT(M4408,3)=$X$7)),"x","")</f>
        <v/>
      </c>
      <c r="Y4408" s="525" t="str">
        <f>IF(OR(TH!L4408=TH!$Y$7,M4408=TH!$Y$7),"x","")</f>
        <v/>
      </c>
      <c r="Z4408" s="525" t="str">
        <f>IF(AND(B4408&lt;=NKC!$N$8,B4408&gt;=NKC!$M$8),"x","")</f>
        <v/>
      </c>
      <c r="AA4408" s="535"/>
      <c r="AB4408" s="536"/>
      <c r="AC4408" s="536"/>
    </row>
    <row r="4409" spans="1:30" s="503" customFormat="1" ht="15.75" customHeight="1">
      <c r="A4409" s="517" t="str">
        <f>IF(B4409&lt;&gt;"",IF(AND(B4409&gt;=_TM1,B4409&lt;=_TM2,OR(TH!L4409="1111",TH!M4409="1111")),TH!D4409,""),"")</f>
        <v/>
      </c>
      <c r="B4409" s="531" t="str">
        <f t="shared" si="561"/>
        <v/>
      </c>
      <c r="C4409" s="315"/>
      <c r="D4409" s="315"/>
      <c r="E4409" s="545"/>
      <c r="F4409" s="247"/>
      <c r="G4409" s="314"/>
      <c r="H4409" s="473"/>
      <c r="I4409" s="307"/>
      <c r="J4409" s="307"/>
      <c r="K4409" s="532"/>
      <c r="L4409" s="533"/>
      <c r="M4409" s="533"/>
      <c r="N4409" s="525" t="str">
        <f>IF(AND('331-CT'!$E$7=TH!H4409,OR(L4409="331",M4409="331")),"331",IF(AND(OR(L4409="131",M4409="131"),H4409='131-CT'!$E$7),"131",""))</f>
        <v/>
      </c>
      <c r="O4409" s="525" t="str">
        <f>IF(AND($B4409&gt;='111'!$N$11,$B4409&lt;='111'!$O$11,OR($L4409=$O$7,$M4409=$O$7)),"x","")</f>
        <v/>
      </c>
      <c r="P4409" s="525" t="str">
        <f>IF(AND($L4409=$O$7,$B4409&lt;'111'!$N$11),"x","")</f>
        <v/>
      </c>
      <c r="Q4409" s="525" t="str">
        <f>IF(AND($M4409=$O$7,$B4409&lt;'111'!$N$11),"x","")</f>
        <v/>
      </c>
      <c r="R4409" s="525" t="str">
        <f>IF(ISERROR(FIND('112'!$M$9,G4409,1)),"",IF((AND(FIND('112'!$M$9,G4409,1)&gt;=1,$B4409&gt;='112'!$N$8,$B4409&lt;='112'!$O$8,OR($L4409='112'!$I$6,$M4409='112'!$I$6))),"x",""))</f>
        <v/>
      </c>
      <c r="S4409" s="525" t="str">
        <f>IF(ISERROR(FIND('112'!$M$9,G4409,1)),"",IF((AND(LEFT(G4409,2)=LEFT('112'!$M$9,2),B4409&lt;'112'!$N$8,$L4409='112'!$I$6)),"x",""))</f>
        <v/>
      </c>
      <c r="T4409" s="525" t="str">
        <f>IF(ISERROR(FIND('112'!$M$9,G4409,1)),"",IF((AND(RIGHT(G4409,2)=RIGHT('112'!$M$9,2),B4409&lt;'112'!$N$8,$M4409='112'!$I$6)),"x",""))</f>
        <v/>
      </c>
      <c r="U4409" s="525" t="str">
        <f>IF(AND(B4409&gt;='IN-NX'!$P$3,B4409&lt;='IN-NX'!$Q$3,'IN-NX'!$D$7=D4409,OR(LEFT(L4409,2)="15",AND(LEFT(M4409,2)&lt;&gt;"15",LEFT(M4409,2)&lt;&gt;"33"))),"x","")</f>
        <v/>
      </c>
      <c r="V4409" s="525" t="str">
        <f>IF(AND(OR(LEFT(TH!L4409,2)="15",LEFT(TH!M4409,2)="15"),'152-CT'!$J$8=TH!F4409),"x","")</f>
        <v/>
      </c>
      <c r="W4409" s="525" t="str">
        <f>IF(AND(OR(LEFT(TH!L4409,2)="15",LEFT(TH!M4409,2)="15"),TK!$E$7=TH!F4409),"x","")</f>
        <v/>
      </c>
      <c r="X4409" s="525" t="str">
        <f>IF(AND('341-CT'!$E$9=H4409,OR(LEFT(L4409,3)=$X$7,LEFT(M4409,3)=$X$7)),"x","")</f>
        <v/>
      </c>
      <c r="Y4409" s="525" t="str">
        <f>IF(OR(TH!L4409=TH!$Y$7,M4409=TH!$Y$7),"x","")</f>
        <v/>
      </c>
      <c r="Z4409" s="525" t="str">
        <f>IF(AND(B4409&lt;=NKC!$N$8,B4409&gt;=NKC!$M$8),"x","")</f>
        <v/>
      </c>
      <c r="AA4409" s="535"/>
      <c r="AB4409" s="536"/>
    </row>
    <row r="4410" spans="1:30" s="503" customFormat="1" ht="15.75" customHeight="1">
      <c r="A4410" s="517" t="str">
        <f>IF(B4410&lt;&gt;"",IF(AND(B4410&gt;=_TM1,B4410&lt;=_TM2,OR(TH!L4410="1111",TH!M4410="1111")),TH!D4410,""),"")</f>
        <v/>
      </c>
      <c r="B4410" s="531" t="str">
        <f t="shared" si="561"/>
        <v/>
      </c>
      <c r="C4410" s="315"/>
      <c r="D4410" s="315"/>
      <c r="E4410" s="545"/>
      <c r="F4410" s="247"/>
      <c r="G4410" s="314"/>
      <c r="H4410" s="473"/>
      <c r="I4410" s="307"/>
      <c r="J4410" s="307"/>
      <c r="K4410" s="532"/>
      <c r="L4410" s="533"/>
      <c r="M4410" s="533"/>
      <c r="N4410" s="525" t="str">
        <f>IF(AND('331-CT'!$E$7=TH!H4410,OR(L4410="331",M4410="331")),"331",IF(AND(OR(L4410="131",M4410="131"),H4410='131-CT'!$E$7),"131",""))</f>
        <v/>
      </c>
      <c r="O4410" s="525" t="str">
        <f>IF(AND($B4410&gt;='111'!$N$11,$B4410&lt;='111'!$O$11,OR($L4410=$O$7,$M4410=$O$7)),"x","")</f>
        <v/>
      </c>
      <c r="P4410" s="525" t="str">
        <f>IF(AND($L4410=$O$7,$B4410&lt;'111'!$N$11),"x","")</f>
        <v/>
      </c>
      <c r="Q4410" s="525" t="str">
        <f>IF(AND($M4410=$O$7,$B4410&lt;'111'!$N$11),"x","")</f>
        <v/>
      </c>
      <c r="R4410" s="525" t="str">
        <f>IF(ISERROR(FIND('112'!$M$9,G4410,1)),"",IF((AND(FIND('112'!$M$9,G4410,1)&gt;=1,$B4410&gt;='112'!$N$8,$B4410&lt;='112'!$O$8,OR($L4410='112'!$I$6,$M4410='112'!$I$6))),"x",""))</f>
        <v/>
      </c>
      <c r="S4410" s="525" t="str">
        <f>IF(ISERROR(FIND('112'!$M$9,G4410,1)),"",IF((AND(LEFT(G4410,2)=LEFT('112'!$M$9,2),B4410&lt;'112'!$N$8,$L4410='112'!$I$6)),"x",""))</f>
        <v/>
      </c>
      <c r="T4410" s="525" t="str">
        <f>IF(ISERROR(FIND('112'!$M$9,G4410,1)),"",IF((AND(RIGHT(G4410,2)=RIGHT('112'!$M$9,2),B4410&lt;'112'!$N$8,$M4410='112'!$I$6)),"x",""))</f>
        <v/>
      </c>
      <c r="U4410" s="525" t="str">
        <f>IF(AND(B4410&gt;='IN-NX'!$P$3,B4410&lt;='IN-NX'!$Q$3,'IN-NX'!$D$7=D4410,OR(LEFT(L4410,2)="15",AND(LEFT(M4410,2)&lt;&gt;"15",LEFT(M4410,2)&lt;&gt;"33"))),"x","")</f>
        <v/>
      </c>
      <c r="V4410" s="525" t="str">
        <f>IF(AND(OR(LEFT(TH!L4410,2)="15",LEFT(TH!M4410,2)="15"),'152-CT'!$J$8=TH!F4410),"x","")</f>
        <v/>
      </c>
      <c r="W4410" s="525" t="str">
        <f>IF(AND(OR(LEFT(TH!L4410,2)="15",LEFT(TH!M4410,2)="15"),TK!$E$7=TH!F4410),"x","")</f>
        <v/>
      </c>
      <c r="X4410" s="525" t="str">
        <f>IF(AND('341-CT'!$E$9=H4410,OR(LEFT(L4410,3)=$X$7,LEFT(M4410,3)=$X$7)),"x","")</f>
        <v/>
      </c>
      <c r="Y4410" s="525" t="str">
        <f>IF(OR(TH!L4410=TH!$Y$7,M4410=TH!$Y$7),"x","")</f>
        <v/>
      </c>
      <c r="Z4410" s="525" t="str">
        <f>IF(AND(B4410&lt;=NKC!$N$8,B4410&gt;=NKC!$M$8),"x","")</f>
        <v/>
      </c>
      <c r="AA4410" s="535"/>
      <c r="AB4410" s="536"/>
    </row>
    <row r="4411" spans="1:30" s="503" customFormat="1" ht="15.75" customHeight="1">
      <c r="A4411" s="517" t="str">
        <f>IF(B4411&lt;&gt;"",IF(AND(B4411&gt;=_TM1,B4411&lt;=_TM2,OR(TH!L4411="1111",TH!M4411="1111")),TH!D4411,""),"")</f>
        <v/>
      </c>
      <c r="B4411" s="531" t="str">
        <f t="shared" si="561"/>
        <v/>
      </c>
      <c r="C4411" s="315"/>
      <c r="D4411" s="315"/>
      <c r="E4411" s="545"/>
      <c r="F4411" s="247"/>
      <c r="G4411" s="314"/>
      <c r="H4411" s="473"/>
      <c r="I4411" s="307"/>
      <c r="J4411" s="307"/>
      <c r="K4411" s="532"/>
      <c r="L4411" s="533"/>
      <c r="M4411" s="533"/>
      <c r="N4411" s="525" t="str">
        <f>IF(AND('331-CT'!$E$7=TH!H4411,OR(L4411="331",M4411="331")),"331",IF(AND(OR(L4411="131",M4411="131"),H4411='131-CT'!$E$7),"131",""))</f>
        <v/>
      </c>
      <c r="O4411" s="525" t="str">
        <f>IF(AND($B4411&gt;='111'!$N$11,$B4411&lt;='111'!$O$11,OR($L4411=$O$7,$M4411=$O$7)),"x","")</f>
        <v/>
      </c>
      <c r="P4411" s="525" t="str">
        <f>IF(AND($L4411=$O$7,$B4411&lt;'111'!$N$11),"x","")</f>
        <v/>
      </c>
      <c r="Q4411" s="525" t="str">
        <f>IF(AND($M4411=$O$7,$B4411&lt;'111'!$N$11),"x","")</f>
        <v/>
      </c>
      <c r="R4411" s="525" t="str">
        <f>IF(ISERROR(FIND('112'!$M$9,G4411,1)),"",IF((AND(FIND('112'!$M$9,G4411,1)&gt;=1,$B4411&gt;='112'!$N$8,$B4411&lt;='112'!$O$8,OR($L4411='112'!$I$6,$M4411='112'!$I$6))),"x",""))</f>
        <v/>
      </c>
      <c r="S4411" s="525" t="str">
        <f>IF(ISERROR(FIND('112'!$M$9,G4411,1)),"",IF((AND(LEFT(G4411,2)=LEFT('112'!$M$9,2),B4411&lt;'112'!$N$8,$L4411='112'!$I$6)),"x",""))</f>
        <v/>
      </c>
      <c r="T4411" s="525" t="str">
        <f>IF(ISERROR(FIND('112'!$M$9,G4411,1)),"",IF((AND(RIGHT(G4411,2)=RIGHT('112'!$M$9,2),B4411&lt;'112'!$N$8,$M4411='112'!$I$6)),"x",""))</f>
        <v/>
      </c>
      <c r="U4411" s="525" t="str">
        <f>IF(AND(B4411&gt;='IN-NX'!$P$3,B4411&lt;='IN-NX'!$Q$3,'IN-NX'!$D$7=D4411,OR(LEFT(L4411,2)="15",AND(LEFT(M4411,2)&lt;&gt;"15",LEFT(M4411,2)&lt;&gt;"33"))),"x","")</f>
        <v/>
      </c>
      <c r="V4411" s="525" t="str">
        <f>IF(AND(OR(LEFT(TH!L4411,2)="15",LEFT(TH!M4411,2)="15"),'152-CT'!$J$8=TH!F4411),"x","")</f>
        <v/>
      </c>
      <c r="W4411" s="525" t="str">
        <f>IF(AND(OR(LEFT(TH!L4411,2)="15",LEFT(TH!M4411,2)="15"),TK!$E$7=TH!F4411),"x","")</f>
        <v/>
      </c>
      <c r="X4411" s="525" t="str">
        <f>IF(AND('341-CT'!$E$9=H4411,OR(LEFT(L4411,3)=$X$7,LEFT(M4411,3)=$X$7)),"x","")</f>
        <v/>
      </c>
      <c r="Y4411" s="525" t="str">
        <f>IF(OR(TH!L4411=TH!$Y$7,M4411=TH!$Y$7),"x","")</f>
        <v/>
      </c>
      <c r="Z4411" s="525" t="str">
        <f>IF(AND(B4411&lt;=NKC!$N$8,B4411&gt;=NKC!$M$8),"x","")</f>
        <v/>
      </c>
      <c r="AA4411" s="535"/>
      <c r="AB4411" s="536"/>
    </row>
    <row r="4412" spans="1:30" s="503" customFormat="1" ht="15.75" customHeight="1">
      <c r="A4412" s="517" t="str">
        <f>IF(B4412&lt;&gt;"",IF(AND(B4412&gt;=_TM1,B4412&lt;=_TM2,OR(TH!L4412="1111",TH!M4412="1111")),TH!D4412,""),"")</f>
        <v/>
      </c>
      <c r="B4412" s="531" t="str">
        <f t="shared" si="561"/>
        <v/>
      </c>
      <c r="C4412" s="315"/>
      <c r="D4412" s="315"/>
      <c r="E4412" s="545"/>
      <c r="F4412" s="247"/>
      <c r="G4412" s="314"/>
      <c r="H4412" s="473"/>
      <c r="I4412" s="307"/>
      <c r="J4412" s="307"/>
      <c r="K4412" s="532"/>
      <c r="L4412" s="533"/>
      <c r="M4412" s="533"/>
      <c r="N4412" s="525" t="str">
        <f>IF(AND('331-CT'!$E$7=TH!H4412,OR(L4412="331",M4412="331")),"331",IF(AND(OR(L4412="131",M4412="131"),H4412='131-CT'!$E$7),"131",""))</f>
        <v/>
      </c>
      <c r="O4412" s="525" t="str">
        <f>IF(AND($B4412&gt;='111'!$N$11,$B4412&lt;='111'!$O$11,OR($L4412=$O$7,$M4412=$O$7)),"x","")</f>
        <v/>
      </c>
      <c r="P4412" s="525" t="str">
        <f>IF(AND($L4412=$O$7,$B4412&lt;'111'!$N$11),"x","")</f>
        <v/>
      </c>
      <c r="Q4412" s="525" t="str">
        <f>IF(AND($M4412=$O$7,$B4412&lt;'111'!$N$11),"x","")</f>
        <v/>
      </c>
      <c r="R4412" s="525" t="str">
        <f>IF(ISERROR(FIND('112'!$M$9,G4412,1)),"",IF((AND(FIND('112'!$M$9,G4412,1)&gt;=1,$B4412&gt;='112'!$N$8,$B4412&lt;='112'!$O$8,OR($L4412='112'!$I$6,$M4412='112'!$I$6))),"x",""))</f>
        <v/>
      </c>
      <c r="S4412" s="525" t="str">
        <f>IF(ISERROR(FIND('112'!$M$9,G4412,1)),"",IF((AND(LEFT(G4412,2)=LEFT('112'!$M$9,2),B4412&lt;'112'!$N$8,$L4412='112'!$I$6)),"x",""))</f>
        <v/>
      </c>
      <c r="T4412" s="525" t="str">
        <f>IF(ISERROR(FIND('112'!$M$9,G4412,1)),"",IF((AND(RIGHT(G4412,2)=RIGHT('112'!$M$9,2),B4412&lt;'112'!$N$8,$M4412='112'!$I$6)),"x",""))</f>
        <v/>
      </c>
      <c r="U4412" s="525" t="str">
        <f>IF(AND(B4412&gt;='IN-NX'!$P$3,B4412&lt;='IN-NX'!$Q$3,'IN-NX'!$D$7=D4412,OR(LEFT(L4412,2)="15",AND(LEFT(M4412,2)&lt;&gt;"15",LEFT(M4412,2)&lt;&gt;"33"))),"x","")</f>
        <v/>
      </c>
      <c r="V4412" s="525" t="str">
        <f>IF(AND(OR(LEFT(TH!L4412,2)="15",LEFT(TH!M4412,2)="15"),'152-CT'!$J$8=TH!F4412),"x","")</f>
        <v/>
      </c>
      <c r="W4412" s="525" t="str">
        <f>IF(AND(OR(LEFT(TH!L4412,2)="15",LEFT(TH!M4412,2)="15"),TK!$E$7=TH!F4412),"x","")</f>
        <v/>
      </c>
      <c r="X4412" s="525" t="str">
        <f>IF(AND('341-CT'!$E$9=H4412,OR(LEFT(L4412,3)=$X$7,LEFT(M4412,3)=$X$7)),"x","")</f>
        <v/>
      </c>
      <c r="Y4412" s="525" t="str">
        <f>IF(OR(TH!L4412=TH!$Y$7,M4412=TH!$Y$7),"x","")</f>
        <v/>
      </c>
      <c r="Z4412" s="525" t="str">
        <f>IF(AND(B4412&lt;=NKC!$N$8,B4412&gt;=NKC!$M$8),"x","")</f>
        <v/>
      </c>
      <c r="AA4412" s="535"/>
      <c r="AB4412" s="536"/>
    </row>
    <row r="4413" spans="1:30" s="503" customFormat="1" ht="15.75" customHeight="1">
      <c r="A4413" s="517" t="str">
        <f>IF(B4413&lt;&gt;"",IF(AND(B4413&gt;=_TM1,B4413&lt;=_TM2,OR(TH!L4413="1111",TH!M4413="1111")),TH!D4413,""),"")</f>
        <v/>
      </c>
      <c r="B4413" s="531" t="str">
        <f t="shared" si="561"/>
        <v/>
      </c>
      <c r="C4413" s="315"/>
      <c r="D4413" s="315"/>
      <c r="E4413" s="545"/>
      <c r="F4413" s="249"/>
      <c r="G4413" s="314"/>
      <c r="H4413" s="473"/>
      <c r="I4413" s="307"/>
      <c r="J4413" s="307"/>
      <c r="K4413" s="532"/>
      <c r="L4413" s="533"/>
      <c r="M4413" s="533"/>
      <c r="N4413" s="525" t="str">
        <f>IF(AND('331-CT'!$E$7=TH!H4413,OR(L4413="331",M4413="331")),"331",IF(AND(OR(L4413="131",M4413="131"),H4413='131-CT'!$E$7),"131",""))</f>
        <v/>
      </c>
      <c r="O4413" s="525" t="str">
        <f>IF(AND($B4413&gt;='111'!$N$11,$B4413&lt;='111'!$O$11,OR($L4413=$O$7,$M4413=$O$7)),"x","")</f>
        <v/>
      </c>
      <c r="P4413" s="525" t="str">
        <f>IF(AND($L4413=$O$7,$B4413&lt;'111'!$N$11),"x","")</f>
        <v/>
      </c>
      <c r="Q4413" s="525" t="str">
        <f>IF(AND($M4413=$O$7,$B4413&lt;'111'!$N$11),"x","")</f>
        <v/>
      </c>
      <c r="R4413" s="525" t="str">
        <f>IF(ISERROR(FIND('112'!$M$9,G4413,1)),"",IF((AND(FIND('112'!$M$9,G4413,1)&gt;=1,$B4413&gt;='112'!$N$8,$B4413&lt;='112'!$O$8,OR($L4413='112'!$I$6,$M4413='112'!$I$6))),"x",""))</f>
        <v/>
      </c>
      <c r="S4413" s="525" t="str">
        <f>IF(ISERROR(FIND('112'!$M$9,G4413,1)),"",IF((AND(LEFT(G4413,2)=LEFT('112'!$M$9,2),B4413&lt;'112'!$N$8,$L4413='112'!$I$6)),"x",""))</f>
        <v/>
      </c>
      <c r="T4413" s="525" t="str">
        <f>IF(ISERROR(FIND('112'!$M$9,G4413,1)),"",IF((AND(RIGHT(G4413,2)=RIGHT('112'!$M$9,2),B4413&lt;'112'!$N$8,$M4413='112'!$I$6)),"x",""))</f>
        <v/>
      </c>
      <c r="U4413" s="525" t="str">
        <f>IF(AND(B4413&gt;='IN-NX'!$P$3,B4413&lt;='IN-NX'!$Q$3,'IN-NX'!$D$7=D4413,OR(LEFT(L4413,2)="15",AND(LEFT(M4413,2)&lt;&gt;"15",LEFT(M4413,2)&lt;&gt;"33"))),"x","")</f>
        <v/>
      </c>
      <c r="V4413" s="525" t="str">
        <f>IF(AND(OR(LEFT(TH!L4413,2)="15",LEFT(TH!M4413,2)="15"),'152-CT'!$J$8=TH!F4413),"x","")</f>
        <v/>
      </c>
      <c r="W4413" s="525" t="str">
        <f>IF(AND(OR(LEFT(TH!L4413,2)="15",LEFT(TH!M4413,2)="15"),TK!$E$7=TH!F4413),"x","")</f>
        <v/>
      </c>
      <c r="X4413" s="525" t="str">
        <f>IF(AND('341-CT'!$E$9=H4413,OR(LEFT(L4413,3)=$X$7,LEFT(M4413,3)=$X$7)),"x","")</f>
        <v/>
      </c>
      <c r="Y4413" s="525" t="str">
        <f>IF(OR(TH!L4413=TH!$Y$7,M4413=TH!$Y$7),"x","")</f>
        <v/>
      </c>
      <c r="Z4413" s="525" t="str">
        <f>IF(AND(B4413&lt;=NKC!$N$8,B4413&gt;=NKC!$M$8),"x","")</f>
        <v/>
      </c>
      <c r="AA4413" s="535"/>
      <c r="AB4413" s="536"/>
    </row>
    <row r="4414" spans="1:30" s="503" customFormat="1" ht="15.75" customHeight="1">
      <c r="A4414" s="517" t="str">
        <f>IF(B4414&lt;&gt;"",IF(AND(B4414&gt;=_TM1,B4414&lt;=_TM2,OR(TH!L4414="1111",TH!M4414="1111")),TH!D4414,""),"")</f>
        <v/>
      </c>
      <c r="B4414" s="531" t="str">
        <f t="shared" si="561"/>
        <v/>
      </c>
      <c r="C4414" s="315"/>
      <c r="D4414" s="315"/>
      <c r="E4414" s="545"/>
      <c r="F4414" s="247"/>
      <c r="G4414" s="314"/>
      <c r="H4414" s="473"/>
      <c r="I4414" s="307"/>
      <c r="J4414" s="307"/>
      <c r="K4414" s="532"/>
      <c r="L4414" s="533"/>
      <c r="M4414" s="533"/>
      <c r="N4414" s="525" t="str">
        <f>IF(AND('331-CT'!$E$7=TH!H4414,OR(L4414="331",M4414="331")),"331",IF(AND(OR(L4414="131",M4414="131"),H4414='131-CT'!$E$7),"131",""))</f>
        <v/>
      </c>
      <c r="O4414" s="525" t="str">
        <f>IF(AND($B4414&gt;='111'!$N$11,$B4414&lt;='111'!$O$11,OR($L4414=$O$7,$M4414=$O$7)),"x","")</f>
        <v/>
      </c>
      <c r="P4414" s="525" t="str">
        <f>IF(AND($L4414=$O$7,$B4414&lt;'111'!$N$11),"x","")</f>
        <v/>
      </c>
      <c r="Q4414" s="525" t="str">
        <f>IF(AND($M4414=$O$7,$B4414&lt;'111'!$N$11),"x","")</f>
        <v/>
      </c>
      <c r="R4414" s="525" t="str">
        <f>IF(ISERROR(FIND('112'!$M$9,G4414,1)),"",IF((AND(FIND('112'!$M$9,G4414,1)&gt;=1,$B4414&gt;='112'!$N$8,$B4414&lt;='112'!$O$8,OR($L4414='112'!$I$6,$M4414='112'!$I$6))),"x",""))</f>
        <v/>
      </c>
      <c r="S4414" s="525" t="str">
        <f>IF(ISERROR(FIND('112'!$M$9,G4414,1)),"",IF((AND(LEFT(G4414,2)=LEFT('112'!$M$9,2),B4414&lt;'112'!$N$8,$L4414='112'!$I$6)),"x",""))</f>
        <v/>
      </c>
      <c r="T4414" s="525" t="str">
        <f>IF(ISERROR(FIND('112'!$M$9,G4414,1)),"",IF((AND(RIGHT(G4414,2)=RIGHT('112'!$M$9,2),B4414&lt;'112'!$N$8,$M4414='112'!$I$6)),"x",""))</f>
        <v/>
      </c>
      <c r="U4414" s="525" t="str">
        <f>IF(AND(B4414&gt;='IN-NX'!$P$3,B4414&lt;='IN-NX'!$Q$3,'IN-NX'!$D$7=D4414,OR(LEFT(L4414,2)="15",AND(LEFT(M4414,2)&lt;&gt;"15",LEFT(M4414,2)&lt;&gt;"33"))),"x","")</f>
        <v/>
      </c>
      <c r="V4414" s="525" t="str">
        <f>IF(AND(OR(LEFT(TH!L4414,2)="15",LEFT(TH!M4414,2)="15"),'152-CT'!$J$8=TH!F4414),"x","")</f>
        <v/>
      </c>
      <c r="W4414" s="525" t="str">
        <f>IF(AND(OR(LEFT(TH!L4414,2)="15",LEFT(TH!M4414,2)="15"),TK!$E$7=TH!F4414),"x","")</f>
        <v/>
      </c>
      <c r="X4414" s="525" t="str">
        <f>IF(AND('341-CT'!$E$9=H4414,OR(LEFT(L4414,3)=$X$7,LEFT(M4414,3)=$X$7)),"x","")</f>
        <v/>
      </c>
      <c r="Y4414" s="525" t="str">
        <f>IF(OR(TH!L4414=TH!$Y$7,M4414=TH!$Y$7),"x","")</f>
        <v/>
      </c>
      <c r="Z4414" s="525" t="str">
        <f>IF(AND(B4414&lt;=NKC!$N$8,B4414&gt;=NKC!$M$8),"x","")</f>
        <v/>
      </c>
      <c r="AA4414" s="535"/>
      <c r="AB4414" s="536"/>
    </row>
    <row r="4415" spans="1:30" s="503" customFormat="1" ht="15.75" customHeight="1">
      <c r="A4415" s="517" t="str">
        <f>IF(B4415&lt;&gt;"",IF(AND(B4415&gt;=_TM1,B4415&lt;=_TM2,OR(TH!L4415="1111",TH!M4415="1111")),TH!D4415,""),"")</f>
        <v/>
      </c>
      <c r="B4415" s="531" t="str">
        <f t="shared" si="561"/>
        <v/>
      </c>
      <c r="C4415" s="315"/>
      <c r="D4415" s="315"/>
      <c r="E4415" s="545"/>
      <c r="F4415" s="247"/>
      <c r="G4415" s="314"/>
      <c r="H4415" s="473"/>
      <c r="I4415" s="307"/>
      <c r="J4415" s="307"/>
      <c r="K4415" s="532"/>
      <c r="L4415" s="533"/>
      <c r="M4415" s="533"/>
      <c r="N4415" s="525" t="str">
        <f>IF(AND('331-CT'!$E$7=TH!H4415,OR(L4415="331",M4415="331")),"331",IF(AND(OR(L4415="131",M4415="131"),H4415='131-CT'!$E$7),"131",""))</f>
        <v/>
      </c>
      <c r="O4415" s="525" t="str">
        <f>IF(AND($B4415&gt;='111'!$N$11,$B4415&lt;='111'!$O$11,OR($L4415=$O$7,$M4415=$O$7)),"x","")</f>
        <v/>
      </c>
      <c r="P4415" s="525" t="str">
        <f>IF(AND($L4415=$O$7,$B4415&lt;'111'!$N$11),"x","")</f>
        <v/>
      </c>
      <c r="Q4415" s="525" t="str">
        <f>IF(AND($M4415=$O$7,$B4415&lt;'111'!$N$11),"x","")</f>
        <v/>
      </c>
      <c r="R4415" s="525" t="str">
        <f>IF(ISERROR(FIND('112'!$M$9,G4415,1)),"",IF((AND(FIND('112'!$M$9,G4415,1)&gt;=1,$B4415&gt;='112'!$N$8,$B4415&lt;='112'!$O$8,OR($L4415='112'!$I$6,$M4415='112'!$I$6))),"x",""))</f>
        <v/>
      </c>
      <c r="S4415" s="525" t="str">
        <f>IF(ISERROR(FIND('112'!$M$9,G4415,1)),"",IF((AND(LEFT(G4415,2)=LEFT('112'!$M$9,2),B4415&lt;'112'!$N$8,$L4415='112'!$I$6)),"x",""))</f>
        <v/>
      </c>
      <c r="T4415" s="525" t="str">
        <f>IF(ISERROR(FIND('112'!$M$9,G4415,1)),"",IF((AND(RIGHT(G4415,2)=RIGHT('112'!$M$9,2),B4415&lt;'112'!$N$8,$M4415='112'!$I$6)),"x",""))</f>
        <v/>
      </c>
      <c r="U4415" s="525" t="str">
        <f>IF(AND(B4415&gt;='IN-NX'!$P$3,B4415&lt;='IN-NX'!$Q$3,'IN-NX'!$D$7=D4415,OR(LEFT(L4415,2)="15",AND(LEFT(M4415,2)&lt;&gt;"15",LEFT(M4415,2)&lt;&gt;"33"))),"x","")</f>
        <v/>
      </c>
      <c r="V4415" s="525" t="str">
        <f>IF(AND(OR(LEFT(TH!L4415,2)="15",LEFT(TH!M4415,2)="15"),'152-CT'!$J$8=TH!F4415),"x","")</f>
        <v/>
      </c>
      <c r="W4415" s="525" t="str">
        <f>IF(AND(OR(LEFT(TH!L4415,2)="15",LEFT(TH!M4415,2)="15"),TK!$E$7=TH!F4415),"x","")</f>
        <v/>
      </c>
      <c r="X4415" s="525" t="str">
        <f>IF(AND('341-CT'!$E$9=H4415,OR(LEFT(L4415,3)=$X$7,LEFT(M4415,3)=$X$7)),"x","")</f>
        <v/>
      </c>
      <c r="Y4415" s="525" t="str">
        <f>IF(OR(TH!L4415=TH!$Y$7,M4415=TH!$Y$7),"x","")</f>
        <v/>
      </c>
      <c r="Z4415" s="525" t="str">
        <f>IF(AND(B4415&lt;=NKC!$N$8,B4415&gt;=NKC!$M$8),"x","")</f>
        <v/>
      </c>
      <c r="AA4415" s="535"/>
      <c r="AB4415" s="536"/>
    </row>
    <row r="4416" spans="1:30" s="503" customFormat="1" ht="15.75" customHeight="1">
      <c r="A4416" s="517" t="str">
        <f>IF(B4416&lt;&gt;"",IF(AND(B4416&gt;=_TM1,B4416&lt;=_TM2,OR(TH!L4416="1111",TH!M4416="1111")),TH!D4416,""),"")</f>
        <v/>
      </c>
      <c r="B4416" s="531" t="str">
        <f t="shared" si="561"/>
        <v/>
      </c>
      <c r="C4416" s="315"/>
      <c r="D4416" s="315"/>
      <c r="E4416" s="545"/>
      <c r="F4416" s="247"/>
      <c r="G4416" s="314"/>
      <c r="H4416" s="473"/>
      <c r="I4416" s="307"/>
      <c r="J4416" s="307"/>
      <c r="K4416" s="532"/>
      <c r="L4416" s="533"/>
      <c r="M4416" s="533"/>
      <c r="N4416" s="525" t="str">
        <f>IF(AND('331-CT'!$E$7=TH!H4416,OR(L4416="331",M4416="331")),"331",IF(AND(OR(L4416="131",M4416="131"),H4416='131-CT'!$E$7),"131",""))</f>
        <v/>
      </c>
      <c r="O4416" s="525" t="str">
        <f>IF(AND($B4416&gt;='111'!$N$11,$B4416&lt;='111'!$O$11,OR($L4416=$O$7,$M4416=$O$7)),"x","")</f>
        <v/>
      </c>
      <c r="P4416" s="525" t="str">
        <f>IF(AND($L4416=$O$7,$B4416&lt;'111'!$N$11),"x","")</f>
        <v/>
      </c>
      <c r="Q4416" s="525" t="str">
        <f>IF(AND($M4416=$O$7,$B4416&lt;'111'!$N$11),"x","")</f>
        <v/>
      </c>
      <c r="R4416" s="525" t="str">
        <f>IF(ISERROR(FIND('112'!$M$9,G4416,1)),"",IF((AND(FIND('112'!$M$9,G4416,1)&gt;=1,$B4416&gt;='112'!$N$8,$B4416&lt;='112'!$O$8,OR($L4416='112'!$I$6,$M4416='112'!$I$6))),"x",""))</f>
        <v/>
      </c>
      <c r="S4416" s="525" t="str">
        <f>IF(ISERROR(FIND('112'!$M$9,G4416,1)),"",IF((AND(LEFT(G4416,2)=LEFT('112'!$M$9,2),B4416&lt;'112'!$N$8,$L4416='112'!$I$6)),"x",""))</f>
        <v/>
      </c>
      <c r="T4416" s="525" t="str">
        <f>IF(ISERROR(FIND('112'!$M$9,G4416,1)),"",IF((AND(RIGHT(G4416,2)=RIGHT('112'!$M$9,2),B4416&lt;'112'!$N$8,$M4416='112'!$I$6)),"x",""))</f>
        <v/>
      </c>
      <c r="U4416" s="525" t="str">
        <f>IF(AND(B4416&gt;='IN-NX'!$P$3,B4416&lt;='IN-NX'!$Q$3,'IN-NX'!$D$7=D4416,OR(LEFT(L4416,2)="15",AND(LEFT(M4416,2)&lt;&gt;"15",LEFT(M4416,2)&lt;&gt;"33"))),"x","")</f>
        <v/>
      </c>
      <c r="V4416" s="525" t="str">
        <f>IF(AND(OR(LEFT(TH!L4416,2)="15",LEFT(TH!M4416,2)="15"),'152-CT'!$J$8=TH!F4416),"x","")</f>
        <v/>
      </c>
      <c r="W4416" s="525" t="str">
        <f>IF(AND(OR(LEFT(TH!L4416,2)="15",LEFT(TH!M4416,2)="15"),TK!$E$7=TH!F4416),"x","")</f>
        <v/>
      </c>
      <c r="X4416" s="525" t="str">
        <f>IF(AND('341-CT'!$E$9=H4416,OR(LEFT(L4416,3)=$X$7,LEFT(M4416,3)=$X$7)),"x","")</f>
        <v/>
      </c>
      <c r="Y4416" s="525" t="str">
        <f>IF(OR(TH!L4416=TH!$Y$7,M4416=TH!$Y$7),"x","")</f>
        <v/>
      </c>
      <c r="Z4416" s="525" t="str">
        <f>IF(AND(B4416&lt;=NKC!$N$8,B4416&gt;=NKC!$M$8),"x","")</f>
        <v/>
      </c>
      <c r="AA4416" s="535"/>
      <c r="AB4416" s="536"/>
    </row>
    <row r="4417" spans="1:30" s="503" customFormat="1" ht="15.75" customHeight="1">
      <c r="A4417" s="517" t="str">
        <f>IF(B4417&lt;&gt;"",IF(AND(B4417&gt;=_TM1,B4417&lt;=_TM2,OR(TH!L4417="1111",TH!M4417="1111")),TH!D4417,""),"")</f>
        <v/>
      </c>
      <c r="B4417" s="531" t="str">
        <f t="shared" si="561"/>
        <v/>
      </c>
      <c r="C4417" s="315"/>
      <c r="D4417" s="315"/>
      <c r="E4417" s="545"/>
      <c r="F4417" s="250"/>
      <c r="G4417" s="314"/>
      <c r="H4417" s="473"/>
      <c r="I4417" s="307"/>
      <c r="J4417" s="307"/>
      <c r="K4417" s="532"/>
      <c r="L4417" s="533"/>
      <c r="M4417" s="533"/>
      <c r="N4417" s="525" t="str">
        <f>IF(AND('331-CT'!$E$7=TH!H4417,OR(L4417="331",M4417="331")),"331",IF(AND(OR(L4417="131",M4417="131"),H4417='131-CT'!$E$7),"131",""))</f>
        <v/>
      </c>
      <c r="O4417" s="525" t="str">
        <f>IF(AND($B4417&gt;='111'!$N$11,$B4417&lt;='111'!$O$11,OR($L4417=$O$7,$M4417=$O$7)),"x","")</f>
        <v/>
      </c>
      <c r="P4417" s="525" t="str">
        <f>IF(AND($L4417=$O$7,$B4417&lt;'111'!$N$11),"x","")</f>
        <v/>
      </c>
      <c r="Q4417" s="525" t="str">
        <f>IF(AND($M4417=$O$7,$B4417&lt;'111'!$N$11),"x","")</f>
        <v/>
      </c>
      <c r="R4417" s="525" t="str">
        <f>IF(ISERROR(FIND('112'!$M$9,G4417,1)),"",IF((AND(FIND('112'!$M$9,G4417,1)&gt;=1,$B4417&gt;='112'!$N$8,$B4417&lt;='112'!$O$8,OR($L4417='112'!$I$6,$M4417='112'!$I$6))),"x",""))</f>
        <v/>
      </c>
      <c r="S4417" s="525" t="str">
        <f>IF(ISERROR(FIND('112'!$M$9,G4417,1)),"",IF((AND(LEFT(G4417,2)=LEFT('112'!$M$9,2),B4417&lt;'112'!$N$8,$L4417='112'!$I$6)),"x",""))</f>
        <v/>
      </c>
      <c r="T4417" s="525" t="str">
        <f>IF(ISERROR(FIND('112'!$M$9,G4417,1)),"",IF((AND(RIGHT(G4417,2)=RIGHT('112'!$M$9,2),B4417&lt;'112'!$N$8,$M4417='112'!$I$6)),"x",""))</f>
        <v/>
      </c>
      <c r="U4417" s="525" t="str">
        <f>IF(AND(B4417&gt;='IN-NX'!$P$3,B4417&lt;='IN-NX'!$Q$3,'IN-NX'!$D$7=D4417,OR(LEFT(L4417,2)="15",AND(LEFT(M4417,2)&lt;&gt;"15",LEFT(M4417,2)&lt;&gt;"33"))),"x","")</f>
        <v/>
      </c>
      <c r="V4417" s="525" t="str">
        <f>IF(AND(OR(LEFT(TH!L4417,2)="15",LEFT(TH!M4417,2)="15"),'152-CT'!$J$8=TH!F4417),"x","")</f>
        <v/>
      </c>
      <c r="W4417" s="525" t="str">
        <f>IF(AND(OR(LEFT(TH!L4417,2)="15",LEFT(TH!M4417,2)="15"),TK!$E$7=TH!F4417),"x","")</f>
        <v/>
      </c>
      <c r="X4417" s="525" t="str">
        <f>IF(AND('341-CT'!$E$9=H4417,OR(LEFT(L4417,3)=$X$7,LEFT(M4417,3)=$X$7)),"x","")</f>
        <v/>
      </c>
      <c r="Y4417" s="525" t="str">
        <f>IF(OR(TH!L4417=TH!$Y$7,M4417=TH!$Y$7),"x","")</f>
        <v/>
      </c>
      <c r="Z4417" s="525" t="str">
        <f>IF(AND(B4417&lt;=NKC!$N$8,B4417&gt;=NKC!$M$8),"x","")</f>
        <v/>
      </c>
      <c r="AA4417" s="535"/>
      <c r="AB4417" s="536"/>
    </row>
    <row r="4418" spans="1:30" s="503" customFormat="1" ht="15.75" customHeight="1">
      <c r="A4418" s="517" t="str">
        <f>IF(B4418&lt;&gt;"",IF(AND(B4418&gt;=_TM1,B4418&lt;=_TM2,OR(TH!L4418="1111",TH!M4418="1111")),TH!D4418,""),"")</f>
        <v/>
      </c>
      <c r="B4418" s="531" t="str">
        <f t="shared" si="561"/>
        <v/>
      </c>
      <c r="C4418" s="315"/>
      <c r="D4418" s="315"/>
      <c r="E4418" s="545"/>
      <c r="F4418" s="247"/>
      <c r="G4418" s="314"/>
      <c r="H4418" s="473"/>
      <c r="I4418" s="307"/>
      <c r="J4418" s="307"/>
      <c r="K4418" s="532"/>
      <c r="L4418" s="533"/>
      <c r="M4418" s="533"/>
      <c r="N4418" s="525" t="str">
        <f>IF(AND('331-CT'!$E$7=TH!H4418,OR(L4418="331",M4418="331")),"331",IF(AND(OR(L4418="131",M4418="131"),H4418='131-CT'!$E$7),"131",""))</f>
        <v/>
      </c>
      <c r="O4418" s="525" t="str">
        <f>IF(AND($B4418&gt;='111'!$N$11,$B4418&lt;='111'!$O$11,OR($L4418=$O$7,$M4418=$O$7)),"x","")</f>
        <v/>
      </c>
      <c r="P4418" s="525" t="str">
        <f>IF(AND($L4418=$O$7,$B4418&lt;'111'!$N$11),"x","")</f>
        <v/>
      </c>
      <c r="Q4418" s="525" t="str">
        <f>IF(AND($M4418=$O$7,$B4418&lt;'111'!$N$11),"x","")</f>
        <v/>
      </c>
      <c r="R4418" s="525" t="str">
        <f>IF(ISERROR(FIND('112'!$M$9,G4418,1)),"",IF((AND(FIND('112'!$M$9,G4418,1)&gt;=1,$B4418&gt;='112'!$N$8,$B4418&lt;='112'!$O$8,OR($L4418='112'!$I$6,$M4418='112'!$I$6))),"x",""))</f>
        <v/>
      </c>
      <c r="S4418" s="525" t="str">
        <f>IF(ISERROR(FIND('112'!$M$9,G4418,1)),"",IF((AND(LEFT(G4418,2)=LEFT('112'!$M$9,2),B4418&lt;'112'!$N$8,$L4418='112'!$I$6)),"x",""))</f>
        <v/>
      </c>
      <c r="T4418" s="525" t="str">
        <f>IF(ISERROR(FIND('112'!$M$9,G4418,1)),"",IF((AND(RIGHT(G4418,2)=RIGHT('112'!$M$9,2),B4418&lt;'112'!$N$8,$M4418='112'!$I$6)),"x",""))</f>
        <v/>
      </c>
      <c r="U4418" s="525" t="str">
        <f>IF(AND(B4418&gt;='IN-NX'!$P$3,B4418&lt;='IN-NX'!$Q$3,'IN-NX'!$D$7=D4418,OR(LEFT(L4418,2)="15",AND(LEFT(M4418,2)&lt;&gt;"15",LEFT(M4418,2)&lt;&gt;"33"))),"x","")</f>
        <v/>
      </c>
      <c r="V4418" s="525" t="str">
        <f>IF(AND(OR(LEFT(TH!L4418,2)="15",LEFT(TH!M4418,2)="15"),'152-CT'!$J$8=TH!F4418),"x","")</f>
        <v/>
      </c>
      <c r="W4418" s="525" t="str">
        <f>IF(AND(OR(LEFT(TH!L4418,2)="15",LEFT(TH!M4418,2)="15"),TK!$E$7=TH!F4418),"x","")</f>
        <v/>
      </c>
      <c r="X4418" s="525" t="str">
        <f>IF(AND('341-CT'!$E$9=H4418,OR(LEFT(L4418,3)=$X$7,LEFT(M4418,3)=$X$7)),"x","")</f>
        <v/>
      </c>
      <c r="Y4418" s="525" t="str">
        <f>IF(OR(TH!L4418=TH!$Y$7,M4418=TH!$Y$7),"x","")</f>
        <v/>
      </c>
      <c r="Z4418" s="525" t="str">
        <f>IF(AND(B4418&lt;=NKC!$N$8,B4418&gt;=NKC!$M$8),"x","")</f>
        <v/>
      </c>
      <c r="AA4418" s="535"/>
      <c r="AB4418" s="536"/>
      <c r="AC4418" s="536"/>
    </row>
    <row r="4419" spans="1:30" s="503" customFormat="1" ht="15.75" customHeight="1">
      <c r="A4419" s="517" t="str">
        <f>IF(B4419&lt;&gt;"",IF(AND(B4419&gt;=_TM1,B4419&lt;=_TM2,OR(TH!L4419="1111",TH!M4419="1111")),TH!D4419,""),"")</f>
        <v/>
      </c>
      <c r="B4419" s="531" t="str">
        <f t="shared" si="561"/>
        <v/>
      </c>
      <c r="C4419" s="315"/>
      <c r="D4419" s="315"/>
      <c r="E4419" s="545"/>
      <c r="F4419" s="249"/>
      <c r="G4419" s="314"/>
      <c r="H4419" s="473"/>
      <c r="I4419" s="307"/>
      <c r="J4419" s="307"/>
      <c r="K4419" s="532"/>
      <c r="L4419" s="533"/>
      <c r="M4419" s="533"/>
      <c r="N4419" s="525" t="str">
        <f>IF(AND('331-CT'!$E$7=TH!H4419,OR(L4419="331",M4419="331")),"331",IF(AND(OR(L4419="131",M4419="131"),H4419='131-CT'!$E$7),"131",""))</f>
        <v/>
      </c>
      <c r="O4419" s="525" t="str">
        <f>IF(AND($B4419&gt;='111'!$N$11,$B4419&lt;='111'!$O$11,OR($L4419=$O$7,$M4419=$O$7)),"x","")</f>
        <v/>
      </c>
      <c r="P4419" s="525" t="str">
        <f>IF(AND($L4419=$O$7,$B4419&lt;'111'!$N$11),"x","")</f>
        <v/>
      </c>
      <c r="Q4419" s="525" t="str">
        <f>IF(AND($M4419=$O$7,$B4419&lt;'111'!$N$11),"x","")</f>
        <v/>
      </c>
      <c r="R4419" s="525" t="str">
        <f>IF(ISERROR(FIND('112'!$M$9,G4419,1)),"",IF((AND(FIND('112'!$M$9,G4419,1)&gt;=1,$B4419&gt;='112'!$N$8,$B4419&lt;='112'!$O$8,OR($L4419='112'!$I$6,$M4419='112'!$I$6))),"x",""))</f>
        <v/>
      </c>
      <c r="S4419" s="525" t="str">
        <f>IF(ISERROR(FIND('112'!$M$9,G4419,1)),"",IF((AND(LEFT(G4419,2)=LEFT('112'!$M$9,2),B4419&lt;'112'!$N$8,$L4419='112'!$I$6)),"x",""))</f>
        <v/>
      </c>
      <c r="T4419" s="525" t="str">
        <f>IF(ISERROR(FIND('112'!$M$9,G4419,1)),"",IF((AND(RIGHT(G4419,2)=RIGHT('112'!$M$9,2),B4419&lt;'112'!$N$8,$M4419='112'!$I$6)),"x",""))</f>
        <v/>
      </c>
      <c r="U4419" s="525" t="str">
        <f>IF(AND(B4419&gt;='IN-NX'!$P$3,B4419&lt;='IN-NX'!$Q$3,'IN-NX'!$D$7=D4419,OR(LEFT(L4419,2)="15",AND(LEFT(M4419,2)&lt;&gt;"15",LEFT(M4419,2)&lt;&gt;"33"))),"x","")</f>
        <v/>
      </c>
      <c r="V4419" s="525" t="str">
        <f>IF(AND(OR(LEFT(TH!L4419,2)="15",LEFT(TH!M4419,2)="15"),'152-CT'!$J$8=TH!F4419),"x","")</f>
        <v/>
      </c>
      <c r="W4419" s="525" t="str">
        <f>IF(AND(OR(LEFT(TH!L4419,2)="15",LEFT(TH!M4419,2)="15"),TK!$E$7=TH!F4419),"x","")</f>
        <v/>
      </c>
      <c r="X4419" s="525" t="str">
        <f>IF(AND('341-CT'!$E$9=H4419,OR(LEFT(L4419,3)=$X$7,LEFT(M4419,3)=$X$7)),"x","")</f>
        <v/>
      </c>
      <c r="Y4419" s="525" t="str">
        <f>IF(OR(TH!L4419=TH!$Y$7,M4419=TH!$Y$7),"x","")</f>
        <v/>
      </c>
      <c r="Z4419" s="525" t="str">
        <f>IF(AND(B4419&lt;=NKC!$N$8,B4419&gt;=NKC!$M$8),"x","")</f>
        <v/>
      </c>
      <c r="AA4419" s="535"/>
      <c r="AB4419" s="536"/>
      <c r="AC4419" s="536"/>
    </row>
    <row r="4420" spans="1:30" s="503" customFormat="1" ht="15.75" customHeight="1">
      <c r="A4420" s="517" t="str">
        <f>IF(B4420&lt;&gt;"",IF(AND(B4420&gt;=_TM1,B4420&lt;=_TM2,OR(TH!L4420="1111",TH!M4420="1111")),TH!D4420,""),"")</f>
        <v/>
      </c>
      <c r="B4420" s="531" t="str">
        <f t="shared" si="561"/>
        <v/>
      </c>
      <c r="C4420" s="315"/>
      <c r="D4420" s="315"/>
      <c r="E4420" s="545"/>
      <c r="F4420" s="249"/>
      <c r="G4420" s="314"/>
      <c r="H4420" s="473"/>
      <c r="I4420" s="307"/>
      <c r="J4420" s="307"/>
      <c r="K4420" s="532"/>
      <c r="L4420" s="533"/>
      <c r="M4420" s="533"/>
      <c r="N4420" s="525" t="str">
        <f>IF(AND('331-CT'!$E$7=TH!H4420,OR(L4420="331",M4420="331")),"331",IF(AND(OR(L4420="131",M4420="131"),H4420='131-CT'!$E$7),"131",""))</f>
        <v/>
      </c>
      <c r="O4420" s="525" t="str">
        <f>IF(AND($B4420&gt;='111'!$N$11,$B4420&lt;='111'!$O$11,OR($L4420=$O$7,$M4420=$O$7)),"x","")</f>
        <v/>
      </c>
      <c r="P4420" s="525" t="str">
        <f>IF(AND($L4420=$O$7,$B4420&lt;'111'!$N$11),"x","")</f>
        <v/>
      </c>
      <c r="Q4420" s="525" t="str">
        <f>IF(AND($M4420=$O$7,$B4420&lt;'111'!$N$11),"x","")</f>
        <v/>
      </c>
      <c r="R4420" s="525" t="str">
        <f>IF(ISERROR(FIND('112'!$M$9,G4420,1)),"",IF((AND(FIND('112'!$M$9,G4420,1)&gt;=1,$B4420&gt;='112'!$N$8,$B4420&lt;='112'!$O$8,OR($L4420='112'!$I$6,$M4420='112'!$I$6))),"x",""))</f>
        <v/>
      </c>
      <c r="S4420" s="525" t="str">
        <f>IF(ISERROR(FIND('112'!$M$9,G4420,1)),"",IF((AND(LEFT(G4420,2)=LEFT('112'!$M$9,2),B4420&lt;'112'!$N$8,$L4420='112'!$I$6)),"x",""))</f>
        <v/>
      </c>
      <c r="T4420" s="525" t="str">
        <f>IF(ISERROR(FIND('112'!$M$9,G4420,1)),"",IF((AND(RIGHT(G4420,2)=RIGHT('112'!$M$9,2),B4420&lt;'112'!$N$8,$M4420='112'!$I$6)),"x",""))</f>
        <v/>
      </c>
      <c r="U4420" s="525" t="str">
        <f>IF(AND(B4420&gt;='IN-NX'!$P$3,B4420&lt;='IN-NX'!$Q$3,'IN-NX'!$D$7=D4420,OR(LEFT(L4420,2)="15",AND(LEFT(M4420,2)&lt;&gt;"15",LEFT(M4420,2)&lt;&gt;"33"))),"x","")</f>
        <v/>
      </c>
      <c r="V4420" s="525" t="str">
        <f>IF(AND(OR(LEFT(TH!L4420,2)="15",LEFT(TH!M4420,2)="15"),'152-CT'!$J$8=TH!F4420),"x","")</f>
        <v/>
      </c>
      <c r="W4420" s="525" t="str">
        <f>IF(AND(OR(LEFT(TH!L4420,2)="15",LEFT(TH!M4420,2)="15"),TK!$E$7=TH!F4420),"x","")</f>
        <v/>
      </c>
      <c r="X4420" s="525" t="str">
        <f>IF(AND('341-CT'!$E$9=H4420,OR(LEFT(L4420,3)=$X$7,LEFT(M4420,3)=$X$7)),"x","")</f>
        <v/>
      </c>
      <c r="Y4420" s="525" t="str">
        <f>IF(OR(TH!L4420=TH!$Y$7,M4420=TH!$Y$7),"x","")</f>
        <v/>
      </c>
      <c r="Z4420" s="525" t="str">
        <f>IF(AND(B4420&lt;=NKC!$N$8,B4420&gt;=NKC!$M$8),"x","")</f>
        <v/>
      </c>
      <c r="AA4420" s="535"/>
      <c r="AB4420" s="536"/>
      <c r="AC4420" s="536"/>
    </row>
    <row r="4421" spans="1:30" s="503" customFormat="1" ht="15.75" customHeight="1">
      <c r="A4421" s="517" t="str">
        <f>IF(B4421&lt;&gt;"",IF(AND(B4421&gt;=_TM1,B4421&lt;=_TM2,OR(TH!L4421="1111",TH!M4421="1111")),TH!D4421,""),"")</f>
        <v/>
      </c>
      <c r="B4421" s="531" t="str">
        <f t="shared" si="561"/>
        <v/>
      </c>
      <c r="C4421" s="315"/>
      <c r="D4421" s="315"/>
      <c r="E4421" s="545"/>
      <c r="F4421" s="248"/>
      <c r="G4421" s="314"/>
      <c r="H4421" s="473"/>
      <c r="I4421" s="307"/>
      <c r="J4421" s="307"/>
      <c r="K4421" s="532"/>
      <c r="L4421" s="533"/>
      <c r="M4421" s="533"/>
      <c r="N4421" s="525" t="str">
        <f>IF(AND('331-CT'!$E$7=TH!H4421,OR(L4421="331",M4421="331")),"331",IF(AND(OR(L4421="131",M4421="131"),H4421='131-CT'!$E$7),"131",""))</f>
        <v/>
      </c>
      <c r="O4421" s="525" t="str">
        <f>IF(AND($B4421&gt;='111'!$N$11,$B4421&lt;='111'!$O$11,OR($L4421=$O$7,$M4421=$O$7)),"x","")</f>
        <v/>
      </c>
      <c r="P4421" s="525" t="str">
        <f>IF(AND($L4421=$O$7,$B4421&lt;'111'!$N$11),"x","")</f>
        <v/>
      </c>
      <c r="Q4421" s="525" t="str">
        <f>IF(AND($M4421=$O$7,$B4421&lt;'111'!$N$11),"x","")</f>
        <v/>
      </c>
      <c r="R4421" s="525" t="str">
        <f>IF(ISERROR(FIND('112'!$M$9,G4421,1)),"",IF((AND(FIND('112'!$M$9,G4421,1)&gt;=1,$B4421&gt;='112'!$N$8,$B4421&lt;='112'!$O$8,OR($L4421='112'!$I$6,$M4421='112'!$I$6))),"x",""))</f>
        <v/>
      </c>
      <c r="S4421" s="525" t="str">
        <f>IF(ISERROR(FIND('112'!$M$9,G4421,1)),"",IF((AND(LEFT(G4421,2)=LEFT('112'!$M$9,2),B4421&lt;'112'!$N$8,$L4421='112'!$I$6)),"x",""))</f>
        <v/>
      </c>
      <c r="T4421" s="525" t="str">
        <f>IF(ISERROR(FIND('112'!$M$9,G4421,1)),"",IF((AND(RIGHT(G4421,2)=RIGHT('112'!$M$9,2),B4421&lt;'112'!$N$8,$M4421='112'!$I$6)),"x",""))</f>
        <v/>
      </c>
      <c r="U4421" s="525" t="str">
        <f>IF(AND(B4421&gt;='IN-NX'!$P$3,B4421&lt;='IN-NX'!$Q$3,'IN-NX'!$D$7=D4421,OR(LEFT(L4421,2)="15",AND(LEFT(M4421,2)&lt;&gt;"15",LEFT(M4421,2)&lt;&gt;"33"))),"x","")</f>
        <v/>
      </c>
      <c r="V4421" s="525" t="str">
        <f>IF(AND(OR(LEFT(TH!L4421,2)="15",LEFT(TH!M4421,2)="15"),'152-CT'!$J$8=TH!F4421),"x","")</f>
        <v/>
      </c>
      <c r="W4421" s="525" t="str">
        <f>IF(AND(OR(LEFT(TH!L4421,2)="15",LEFT(TH!M4421,2)="15"),TK!$E$7=TH!F4421),"x","")</f>
        <v/>
      </c>
      <c r="X4421" s="525" t="str">
        <f>IF(AND('341-CT'!$E$9=H4421,OR(LEFT(L4421,3)=$X$7,LEFT(M4421,3)=$X$7)),"x","")</f>
        <v/>
      </c>
      <c r="Y4421" s="525" t="str">
        <f>IF(OR(TH!L4421=TH!$Y$7,M4421=TH!$Y$7),"x","")</f>
        <v/>
      </c>
      <c r="Z4421" s="525" t="str">
        <f>IF(AND(B4421&lt;=NKC!$N$8,B4421&gt;=NKC!$M$8),"x","")</f>
        <v/>
      </c>
      <c r="AA4421" s="535"/>
      <c r="AB4421" s="536"/>
    </row>
    <row r="4422" spans="1:30" s="503" customFormat="1" ht="15.75" customHeight="1">
      <c r="A4422" s="517" t="str">
        <f>IF(B4422&lt;&gt;"",IF(AND(B4422&gt;=_TM1,B4422&lt;=_TM2,OR(TH!L4422="1111",TH!M4422="1111")),TH!D4422,""),"")</f>
        <v/>
      </c>
      <c r="B4422" s="531" t="str">
        <f t="shared" si="561"/>
        <v/>
      </c>
      <c r="C4422" s="315"/>
      <c r="D4422" s="315"/>
      <c r="E4422" s="545"/>
      <c r="F4422" s="249"/>
      <c r="G4422" s="314"/>
      <c r="H4422" s="473"/>
      <c r="I4422" s="307"/>
      <c r="J4422" s="307"/>
      <c r="K4422" s="532"/>
      <c r="L4422" s="533"/>
      <c r="M4422" s="533"/>
      <c r="N4422" s="525" t="str">
        <f>IF(AND('331-CT'!$E$7=TH!H4422,OR(L4422="331",M4422="331")),"331",IF(AND(OR(L4422="131",M4422="131"),H4422='131-CT'!$E$7),"131",""))</f>
        <v/>
      </c>
      <c r="O4422" s="525" t="str">
        <f>IF(AND($B4422&gt;='111'!$N$11,$B4422&lt;='111'!$O$11,OR($L4422=$O$7,$M4422=$O$7)),"x","")</f>
        <v/>
      </c>
      <c r="P4422" s="525" t="str">
        <f>IF(AND($L4422=$O$7,$B4422&lt;'111'!$N$11),"x","")</f>
        <v/>
      </c>
      <c r="Q4422" s="525" t="str">
        <f>IF(AND($M4422=$O$7,$B4422&lt;'111'!$N$11),"x","")</f>
        <v/>
      </c>
      <c r="R4422" s="525" t="str">
        <f>IF(ISERROR(FIND('112'!$M$9,G4422,1)),"",IF((AND(FIND('112'!$M$9,G4422,1)&gt;=1,$B4422&gt;='112'!$N$8,$B4422&lt;='112'!$O$8,OR($L4422='112'!$I$6,$M4422='112'!$I$6))),"x",""))</f>
        <v/>
      </c>
      <c r="S4422" s="525" t="str">
        <f>IF(ISERROR(FIND('112'!$M$9,G4422,1)),"",IF((AND(LEFT(G4422,2)=LEFT('112'!$M$9,2),B4422&lt;'112'!$N$8,$L4422='112'!$I$6)),"x",""))</f>
        <v/>
      </c>
      <c r="T4422" s="525" t="str">
        <f>IF(ISERROR(FIND('112'!$M$9,G4422,1)),"",IF((AND(RIGHT(G4422,2)=RIGHT('112'!$M$9,2),B4422&lt;'112'!$N$8,$M4422='112'!$I$6)),"x",""))</f>
        <v/>
      </c>
      <c r="U4422" s="525" t="str">
        <f>IF(AND(B4422&gt;='IN-NX'!$P$3,B4422&lt;='IN-NX'!$Q$3,'IN-NX'!$D$7=D4422,OR(LEFT(L4422,2)="15",AND(LEFT(M4422,2)&lt;&gt;"15",LEFT(M4422,2)&lt;&gt;"33"))),"x","")</f>
        <v/>
      </c>
      <c r="V4422" s="525" t="str">
        <f>IF(AND(OR(LEFT(TH!L4422,2)="15",LEFT(TH!M4422,2)="15"),'152-CT'!$J$8=TH!F4422),"x","")</f>
        <v/>
      </c>
      <c r="W4422" s="525" t="str">
        <f>IF(AND(OR(LEFT(TH!L4422,2)="15",LEFT(TH!M4422,2)="15"),TK!$E$7=TH!F4422),"x","")</f>
        <v/>
      </c>
      <c r="X4422" s="525" t="str">
        <f>IF(AND('341-CT'!$E$9=H4422,OR(LEFT(L4422,3)=$X$7,LEFT(M4422,3)=$X$7)),"x","")</f>
        <v/>
      </c>
      <c r="Y4422" s="525" t="str">
        <f>IF(OR(TH!L4422=TH!$Y$7,M4422=TH!$Y$7),"x","")</f>
        <v/>
      </c>
      <c r="Z4422" s="525" t="str">
        <f>IF(AND(B4422&lt;=NKC!$N$8,B4422&gt;=NKC!$M$8),"x","")</f>
        <v/>
      </c>
      <c r="AA4422" s="535"/>
      <c r="AB4422" s="536"/>
    </row>
    <row r="4423" spans="1:30" s="503" customFormat="1" ht="15.75" customHeight="1">
      <c r="A4423" s="517" t="str">
        <f>IF(B4423&lt;&gt;"",IF(AND(B4423&gt;=_TM1,B4423&lt;=_TM2,OR(TH!L4423="1111",TH!M4423="1111")),TH!D4423,""),"")</f>
        <v/>
      </c>
      <c r="B4423" s="531" t="str">
        <f t="shared" si="561"/>
        <v/>
      </c>
      <c r="C4423" s="315"/>
      <c r="D4423" s="315"/>
      <c r="E4423" s="545"/>
      <c r="F4423" s="249"/>
      <c r="G4423" s="314"/>
      <c r="H4423" s="473"/>
      <c r="I4423" s="307"/>
      <c r="J4423" s="307"/>
      <c r="K4423" s="532"/>
      <c r="L4423" s="533"/>
      <c r="M4423" s="533"/>
      <c r="N4423" s="525" t="str">
        <f>IF(AND('331-CT'!$E$7=TH!H4423,OR(L4423="331",M4423="331")),"331",IF(AND(OR(L4423="131",M4423="131"),H4423='131-CT'!$E$7),"131",""))</f>
        <v/>
      </c>
      <c r="O4423" s="525" t="str">
        <f>IF(AND($B4423&gt;='111'!$N$11,$B4423&lt;='111'!$O$11,OR($L4423=$O$7,$M4423=$O$7)),"x","")</f>
        <v/>
      </c>
      <c r="P4423" s="525" t="str">
        <f>IF(AND($L4423=$O$7,$B4423&lt;'111'!$N$11),"x","")</f>
        <v/>
      </c>
      <c r="Q4423" s="525" t="str">
        <f>IF(AND($M4423=$O$7,$B4423&lt;'111'!$N$11),"x","")</f>
        <v/>
      </c>
      <c r="R4423" s="525" t="str">
        <f>IF(ISERROR(FIND('112'!$M$9,G4423,1)),"",IF((AND(FIND('112'!$M$9,G4423,1)&gt;=1,$B4423&gt;='112'!$N$8,$B4423&lt;='112'!$O$8,OR($L4423='112'!$I$6,$M4423='112'!$I$6))),"x",""))</f>
        <v/>
      </c>
      <c r="S4423" s="525" t="str">
        <f>IF(ISERROR(FIND('112'!$M$9,G4423,1)),"",IF((AND(LEFT(G4423,2)=LEFT('112'!$M$9,2),B4423&lt;'112'!$N$8,$L4423='112'!$I$6)),"x",""))</f>
        <v/>
      </c>
      <c r="T4423" s="525" t="str">
        <f>IF(ISERROR(FIND('112'!$M$9,G4423,1)),"",IF((AND(RIGHT(G4423,2)=RIGHT('112'!$M$9,2),B4423&lt;'112'!$N$8,$M4423='112'!$I$6)),"x",""))</f>
        <v/>
      </c>
      <c r="U4423" s="525" t="str">
        <f>IF(AND(B4423&gt;='IN-NX'!$P$3,B4423&lt;='IN-NX'!$Q$3,'IN-NX'!$D$7=D4423,OR(LEFT(L4423,2)="15",AND(LEFT(M4423,2)&lt;&gt;"15",LEFT(M4423,2)&lt;&gt;"33"))),"x","")</f>
        <v/>
      </c>
      <c r="V4423" s="525" t="str">
        <f>IF(AND(OR(LEFT(TH!L4423,2)="15",LEFT(TH!M4423,2)="15"),'152-CT'!$J$8=TH!F4423),"x","")</f>
        <v/>
      </c>
      <c r="W4423" s="525" t="str">
        <f>IF(AND(OR(LEFT(TH!L4423,2)="15",LEFT(TH!M4423,2)="15"),TK!$E$7=TH!F4423),"x","")</f>
        <v/>
      </c>
      <c r="X4423" s="525" t="str">
        <f>IF(AND('341-CT'!$E$9=H4423,OR(LEFT(L4423,3)=$X$7,LEFT(M4423,3)=$X$7)),"x","")</f>
        <v/>
      </c>
      <c r="Y4423" s="525" t="str">
        <f>IF(OR(TH!L4423=TH!$Y$7,M4423=TH!$Y$7),"x","")</f>
        <v/>
      </c>
      <c r="Z4423" s="525" t="str">
        <f>IF(AND(B4423&lt;=NKC!$N$8,B4423&gt;=NKC!$M$8),"x","")</f>
        <v/>
      </c>
      <c r="AA4423" s="535"/>
      <c r="AB4423" s="536"/>
      <c r="AC4423" s="536"/>
    </row>
    <row r="4424" spans="1:30" s="503" customFormat="1" ht="15.75" customHeight="1">
      <c r="A4424" s="517" t="str">
        <f>IF(B4424&lt;&gt;"",IF(AND(B4424&gt;=_TM1,B4424&lt;=_TM2,OR(TH!L4424="1111",TH!M4424="1111")),TH!D4424,""),"")</f>
        <v/>
      </c>
      <c r="B4424" s="531" t="str">
        <f t="shared" si="561"/>
        <v/>
      </c>
      <c r="C4424" s="315"/>
      <c r="D4424" s="315"/>
      <c r="E4424" s="545"/>
      <c r="F4424" s="247"/>
      <c r="G4424" s="314"/>
      <c r="H4424" s="473"/>
      <c r="I4424" s="307"/>
      <c r="J4424" s="307"/>
      <c r="K4424" s="532"/>
      <c r="L4424" s="533"/>
      <c r="M4424" s="533"/>
      <c r="N4424" s="525" t="str">
        <f>IF(AND('331-CT'!$E$7=TH!H4424,OR(L4424="331",M4424="331")),"331",IF(AND(OR(L4424="131",M4424="131"),H4424='131-CT'!$E$7),"131",""))</f>
        <v/>
      </c>
      <c r="O4424" s="525" t="str">
        <f>IF(AND($B4424&gt;='111'!$N$11,$B4424&lt;='111'!$O$11,OR($L4424=$O$7,$M4424=$O$7)),"x","")</f>
        <v/>
      </c>
      <c r="P4424" s="525" t="str">
        <f>IF(AND($L4424=$O$7,$B4424&lt;'111'!$N$11),"x","")</f>
        <v/>
      </c>
      <c r="Q4424" s="525" t="str">
        <f>IF(AND($M4424=$O$7,$B4424&lt;'111'!$N$11),"x","")</f>
        <v/>
      </c>
      <c r="R4424" s="525" t="str">
        <f>IF(ISERROR(FIND('112'!$M$9,G4424,1)),"",IF((AND(FIND('112'!$M$9,G4424,1)&gt;=1,$B4424&gt;='112'!$N$8,$B4424&lt;='112'!$O$8,OR($L4424='112'!$I$6,$M4424='112'!$I$6))),"x",""))</f>
        <v/>
      </c>
      <c r="S4424" s="525" t="str">
        <f>IF(ISERROR(FIND('112'!$M$9,G4424,1)),"",IF((AND(LEFT(G4424,2)=LEFT('112'!$M$9,2),B4424&lt;'112'!$N$8,$L4424='112'!$I$6)),"x",""))</f>
        <v/>
      </c>
      <c r="T4424" s="525" t="str">
        <f>IF(ISERROR(FIND('112'!$M$9,G4424,1)),"",IF((AND(RIGHT(G4424,2)=RIGHT('112'!$M$9,2),B4424&lt;'112'!$N$8,$M4424='112'!$I$6)),"x",""))</f>
        <v/>
      </c>
      <c r="U4424" s="525" t="str">
        <f>IF(AND(B4424&gt;='IN-NX'!$P$3,B4424&lt;='IN-NX'!$Q$3,'IN-NX'!$D$7=D4424,OR(LEFT(L4424,2)="15",AND(LEFT(M4424,2)&lt;&gt;"15",LEFT(M4424,2)&lt;&gt;"33"))),"x","")</f>
        <v/>
      </c>
      <c r="V4424" s="525" t="str">
        <f>IF(AND(OR(LEFT(TH!L4424,2)="15",LEFT(TH!M4424,2)="15"),'152-CT'!$J$8=TH!F4424),"x","")</f>
        <v/>
      </c>
      <c r="W4424" s="525" t="str">
        <f>IF(AND(OR(LEFT(TH!L4424,2)="15",LEFT(TH!M4424,2)="15"),TK!$E$7=TH!F4424),"x","")</f>
        <v/>
      </c>
      <c r="X4424" s="525" t="str">
        <f>IF(AND('341-CT'!$E$9=H4424,OR(LEFT(L4424,3)=$X$7,LEFT(M4424,3)=$X$7)),"x","")</f>
        <v/>
      </c>
      <c r="Y4424" s="525" t="str">
        <f>IF(OR(TH!L4424=TH!$Y$7,M4424=TH!$Y$7),"x","")</f>
        <v/>
      </c>
      <c r="Z4424" s="525" t="str">
        <f>IF(AND(B4424&lt;=NKC!$N$8,B4424&gt;=NKC!$M$8),"x","")</f>
        <v/>
      </c>
      <c r="AA4424" s="535"/>
      <c r="AB4424" s="536"/>
    </row>
    <row r="4425" spans="1:30" s="503" customFormat="1" ht="15.75" customHeight="1">
      <c r="A4425" s="517" t="str">
        <f>IF(B4425&lt;&gt;"",IF(AND(B4425&gt;=_TM1,B4425&lt;=_TM2,OR(TH!L4425="1111",TH!M4425="1111")),TH!D4425,""),"")</f>
        <v/>
      </c>
      <c r="B4425" s="531" t="str">
        <f t="shared" si="561"/>
        <v/>
      </c>
      <c r="C4425" s="315"/>
      <c r="D4425" s="315"/>
      <c r="E4425" s="545"/>
      <c r="F4425" s="247"/>
      <c r="G4425" s="314"/>
      <c r="H4425" s="473"/>
      <c r="I4425" s="307"/>
      <c r="J4425" s="307"/>
      <c r="K4425" s="532"/>
      <c r="L4425" s="533"/>
      <c r="M4425" s="533"/>
      <c r="N4425" s="525" t="str">
        <f>IF(AND('331-CT'!$E$7=TH!H4425,OR(L4425="331",M4425="331")),"331",IF(AND(OR(L4425="131",M4425="131"),H4425='131-CT'!$E$7),"131",""))</f>
        <v/>
      </c>
      <c r="O4425" s="525" t="str">
        <f>IF(AND($B4425&gt;='111'!$N$11,$B4425&lt;='111'!$O$11,OR($L4425=$O$7,$M4425=$O$7)),"x","")</f>
        <v/>
      </c>
      <c r="P4425" s="525" t="str">
        <f>IF(AND($L4425=$O$7,$B4425&lt;'111'!$N$11),"x","")</f>
        <v/>
      </c>
      <c r="Q4425" s="525" t="str">
        <f>IF(AND($M4425=$O$7,$B4425&lt;'111'!$N$11),"x","")</f>
        <v/>
      </c>
      <c r="R4425" s="525" t="str">
        <f>IF(ISERROR(FIND('112'!$M$9,G4425,1)),"",IF((AND(FIND('112'!$M$9,G4425,1)&gt;=1,$B4425&gt;='112'!$N$8,$B4425&lt;='112'!$O$8,OR($L4425='112'!$I$6,$M4425='112'!$I$6))),"x",""))</f>
        <v/>
      </c>
      <c r="S4425" s="525" t="str">
        <f>IF(ISERROR(FIND('112'!$M$9,G4425,1)),"",IF((AND(LEFT(G4425,2)=LEFT('112'!$M$9,2),B4425&lt;'112'!$N$8,$L4425='112'!$I$6)),"x",""))</f>
        <v/>
      </c>
      <c r="T4425" s="525" t="str">
        <f>IF(ISERROR(FIND('112'!$M$9,G4425,1)),"",IF((AND(RIGHT(G4425,2)=RIGHT('112'!$M$9,2),B4425&lt;'112'!$N$8,$M4425='112'!$I$6)),"x",""))</f>
        <v/>
      </c>
      <c r="U4425" s="525" t="str">
        <f>IF(AND(B4425&gt;='IN-NX'!$P$3,B4425&lt;='IN-NX'!$Q$3,'IN-NX'!$D$7=D4425,OR(LEFT(L4425,2)="15",AND(LEFT(M4425,2)&lt;&gt;"15",LEFT(M4425,2)&lt;&gt;"33"))),"x","")</f>
        <v/>
      </c>
      <c r="V4425" s="525" t="str">
        <f>IF(AND(OR(LEFT(TH!L4425,2)="15",LEFT(TH!M4425,2)="15"),'152-CT'!$J$8=TH!F4425),"x","")</f>
        <v/>
      </c>
      <c r="W4425" s="525" t="str">
        <f>IF(AND(OR(LEFT(TH!L4425,2)="15",LEFT(TH!M4425,2)="15"),TK!$E$7=TH!F4425),"x","")</f>
        <v/>
      </c>
      <c r="X4425" s="525" t="str">
        <f>IF(AND('341-CT'!$E$9=H4425,OR(LEFT(L4425,3)=$X$7,LEFT(M4425,3)=$X$7)),"x","")</f>
        <v/>
      </c>
      <c r="Y4425" s="525" t="str">
        <f>IF(OR(TH!L4425=TH!$Y$7,M4425=TH!$Y$7),"x","")</f>
        <v/>
      </c>
      <c r="Z4425" s="525" t="str">
        <f>IF(AND(B4425&lt;=NKC!$N$8,B4425&gt;=NKC!$M$8),"x","")</f>
        <v/>
      </c>
      <c r="AA4425" s="535"/>
      <c r="AB4425" s="536"/>
    </row>
    <row r="4426" spans="1:30" s="503" customFormat="1" ht="15.75" customHeight="1">
      <c r="A4426" s="517" t="str">
        <f>IF(B4426&lt;&gt;"",IF(AND(B4426&gt;=_TM1,B4426&lt;=_TM2,OR(TH!L4426="1111",TH!M4426="1111")),TH!D4426,""),"")</f>
        <v/>
      </c>
      <c r="B4426" s="531" t="str">
        <f t="shared" si="561"/>
        <v/>
      </c>
      <c r="C4426" s="315"/>
      <c r="D4426" s="315"/>
      <c r="E4426" s="545"/>
      <c r="F4426" s="247"/>
      <c r="G4426" s="314"/>
      <c r="H4426" s="473"/>
      <c r="I4426" s="307"/>
      <c r="J4426" s="307"/>
      <c r="K4426" s="532"/>
      <c r="L4426" s="533"/>
      <c r="M4426" s="533"/>
      <c r="N4426" s="525" t="str">
        <f>IF(AND('331-CT'!$E$7=TH!H4426,OR(L4426="331",M4426="331")),"331",IF(AND(OR(L4426="131",M4426="131"),H4426='131-CT'!$E$7),"131",""))</f>
        <v/>
      </c>
      <c r="O4426" s="525" t="str">
        <f>IF(AND($B4426&gt;='111'!$N$11,$B4426&lt;='111'!$O$11,OR($L4426=$O$7,$M4426=$O$7)),"x","")</f>
        <v/>
      </c>
      <c r="P4426" s="525" t="str">
        <f>IF(AND($L4426=$O$7,$B4426&lt;'111'!$N$11),"x","")</f>
        <v/>
      </c>
      <c r="Q4426" s="525" t="str">
        <f>IF(AND($M4426=$O$7,$B4426&lt;'111'!$N$11),"x","")</f>
        <v/>
      </c>
      <c r="R4426" s="525" t="str">
        <f>IF(ISERROR(FIND('112'!$M$9,G4426,1)),"",IF((AND(FIND('112'!$M$9,G4426,1)&gt;=1,$B4426&gt;='112'!$N$8,$B4426&lt;='112'!$O$8,OR($L4426='112'!$I$6,$M4426='112'!$I$6))),"x",""))</f>
        <v/>
      </c>
      <c r="S4426" s="525" t="str">
        <f>IF(ISERROR(FIND('112'!$M$9,G4426,1)),"",IF((AND(LEFT(G4426,2)=LEFT('112'!$M$9,2),B4426&lt;'112'!$N$8,$L4426='112'!$I$6)),"x",""))</f>
        <v/>
      </c>
      <c r="T4426" s="525" t="str">
        <f>IF(ISERROR(FIND('112'!$M$9,G4426,1)),"",IF((AND(RIGHT(G4426,2)=RIGHT('112'!$M$9,2),B4426&lt;'112'!$N$8,$M4426='112'!$I$6)),"x",""))</f>
        <v/>
      </c>
      <c r="U4426" s="525" t="str">
        <f>IF(AND(B4426&gt;='IN-NX'!$P$3,B4426&lt;='IN-NX'!$Q$3,'IN-NX'!$D$7=D4426,OR(LEFT(L4426,2)="15",AND(LEFT(M4426,2)&lt;&gt;"15",LEFT(M4426,2)&lt;&gt;"33"))),"x","")</f>
        <v/>
      </c>
      <c r="V4426" s="525" t="str">
        <f>IF(AND(OR(LEFT(TH!L4426,2)="15",LEFT(TH!M4426,2)="15"),'152-CT'!$J$8=TH!F4426),"x","")</f>
        <v/>
      </c>
      <c r="W4426" s="525" t="str">
        <f>IF(AND(OR(LEFT(TH!L4426,2)="15",LEFT(TH!M4426,2)="15"),TK!$E$7=TH!F4426),"x","")</f>
        <v/>
      </c>
      <c r="X4426" s="525" t="str">
        <f>IF(AND('341-CT'!$E$9=H4426,OR(LEFT(L4426,3)=$X$7,LEFT(M4426,3)=$X$7)),"x","")</f>
        <v/>
      </c>
      <c r="Y4426" s="525" t="str">
        <f>IF(OR(TH!L4426=TH!$Y$7,M4426=TH!$Y$7),"x","")</f>
        <v/>
      </c>
      <c r="Z4426" s="525" t="str">
        <f>IF(AND(B4426&lt;=NKC!$N$8,B4426&gt;=NKC!$M$8),"x","")</f>
        <v/>
      </c>
      <c r="AA4426" s="535"/>
      <c r="AB4426" s="536"/>
    </row>
    <row r="4427" spans="1:30" s="503" customFormat="1" ht="15.75" customHeight="1">
      <c r="A4427" s="517" t="str">
        <f>IF(B4427&lt;&gt;"",IF(AND(B4427&gt;=_TM1,B4427&lt;=_TM2,OR(TH!L4427="1111",TH!M4427="1111")),TH!D4427,""),"")</f>
        <v/>
      </c>
      <c r="B4427" s="531" t="str">
        <f t="shared" si="561"/>
        <v/>
      </c>
      <c r="C4427" s="315"/>
      <c r="D4427" s="315"/>
      <c r="E4427" s="545"/>
      <c r="F4427" s="247"/>
      <c r="G4427" s="314"/>
      <c r="H4427" s="473"/>
      <c r="I4427" s="554"/>
      <c r="J4427" s="307"/>
      <c r="K4427" s="532"/>
      <c r="L4427" s="533"/>
      <c r="M4427" s="533"/>
      <c r="N4427" s="525" t="str">
        <f>IF(AND('331-CT'!$E$7=TH!H4427,OR(L4427="331",M4427="331")),"331",IF(AND(OR(L4427="131",M4427="131"),H4427='131-CT'!$E$7),"131",""))</f>
        <v/>
      </c>
      <c r="O4427" s="525" t="str">
        <f>IF(AND($B4427&gt;='111'!$N$11,$B4427&lt;='111'!$O$11,OR($L4427=$O$7,$M4427=$O$7)),"x","")</f>
        <v/>
      </c>
      <c r="P4427" s="525" t="str">
        <f>IF(AND($L4427=$O$7,$B4427&lt;'111'!$N$11),"x","")</f>
        <v/>
      </c>
      <c r="Q4427" s="525" t="str">
        <f>IF(AND($M4427=$O$7,$B4427&lt;'111'!$N$11),"x","")</f>
        <v/>
      </c>
      <c r="R4427" s="525" t="str">
        <f>IF(ISERROR(FIND('112'!$M$9,G4427,1)),"",IF((AND(FIND('112'!$M$9,G4427,1)&gt;=1,$B4427&gt;='112'!$N$8,$B4427&lt;='112'!$O$8,OR($L4427='112'!$I$6,$M4427='112'!$I$6))),"x",""))</f>
        <v/>
      </c>
      <c r="S4427" s="525" t="str">
        <f>IF(ISERROR(FIND('112'!$M$9,G4427,1)),"",IF((AND(LEFT(G4427,2)=LEFT('112'!$M$9,2),B4427&lt;'112'!$N$8,$L4427='112'!$I$6)),"x",""))</f>
        <v/>
      </c>
      <c r="T4427" s="525" t="str">
        <f>IF(ISERROR(FIND('112'!$M$9,G4427,1)),"",IF((AND(RIGHT(G4427,2)=RIGHT('112'!$M$9,2),B4427&lt;'112'!$N$8,$M4427='112'!$I$6)),"x",""))</f>
        <v/>
      </c>
      <c r="U4427" s="525" t="str">
        <f>IF(AND(B4427&gt;='IN-NX'!$P$3,B4427&lt;='IN-NX'!$Q$3,'IN-NX'!$D$7=D4427,OR(LEFT(L4427,2)="15",AND(LEFT(M4427,2)&lt;&gt;"15",LEFT(M4427,2)&lt;&gt;"33"))),"x","")</f>
        <v/>
      </c>
      <c r="V4427" s="525" t="str">
        <f>IF(AND(OR(LEFT(TH!L4427,2)="15",LEFT(TH!M4427,2)="15"),'152-CT'!$J$8=TH!F4427),"x","")</f>
        <v/>
      </c>
      <c r="W4427" s="525" t="str">
        <f>IF(AND(OR(LEFT(TH!L4427,2)="15",LEFT(TH!M4427,2)="15"),TK!$E$7=TH!F4427),"x","")</f>
        <v/>
      </c>
      <c r="X4427" s="525" t="str">
        <f>IF(AND('341-CT'!$E$9=H4427,OR(LEFT(L4427,3)=$X$7,LEFT(M4427,3)=$X$7)),"x","")</f>
        <v/>
      </c>
      <c r="Y4427" s="525" t="str">
        <f>IF(OR(TH!L4427=TH!$Y$7,M4427=TH!$Y$7),"x","")</f>
        <v/>
      </c>
      <c r="Z4427" s="525" t="str">
        <f>IF(AND(B4427&lt;=NKC!$N$8,B4427&gt;=NKC!$M$8),"x","")</f>
        <v/>
      </c>
      <c r="AA4427" s="535"/>
      <c r="AB4427" s="536"/>
    </row>
    <row r="4428" spans="1:30" s="503" customFormat="1" ht="15.75" customHeight="1">
      <c r="A4428" s="517" t="str">
        <f>IF(B4428&lt;&gt;"",IF(AND(B4428&gt;=_TM1,B4428&lt;=_TM2,OR(TH!L4428="1111",TH!M4428="1111")),TH!D4428,""),"")</f>
        <v/>
      </c>
      <c r="B4428" s="531" t="str">
        <f t="shared" si="561"/>
        <v/>
      </c>
      <c r="C4428" s="315"/>
      <c r="D4428" s="315"/>
      <c r="E4428" s="545"/>
      <c r="F4428" s="248"/>
      <c r="G4428" s="314"/>
      <c r="H4428" s="473"/>
      <c r="I4428" s="284"/>
      <c r="J4428" s="284"/>
      <c r="K4428" s="532"/>
      <c r="L4428" s="533"/>
      <c r="M4428" s="533"/>
      <c r="N4428" s="525" t="str">
        <f>IF(AND('331-CT'!$E$7=TH!H4428,OR(L4428="331",M4428="331")),"331",IF(AND(OR(L4428="131",M4428="131"),H4428='131-CT'!$E$7),"131",""))</f>
        <v/>
      </c>
      <c r="O4428" s="525" t="str">
        <f>IF(AND($B4428&gt;='111'!$N$11,$B4428&lt;='111'!$O$11,OR($L4428=$O$7,$M4428=$O$7)),"x","")</f>
        <v/>
      </c>
      <c r="P4428" s="525" t="str">
        <f>IF(AND($L4428=$O$7,$B4428&lt;'111'!$N$11),"x","")</f>
        <v/>
      </c>
      <c r="Q4428" s="525" t="str">
        <f>IF(AND($M4428=$O$7,$B4428&lt;'111'!$N$11),"x","")</f>
        <v/>
      </c>
      <c r="R4428" s="525" t="str">
        <f>IF(ISERROR(FIND('112'!$M$9,G4428,1)),"",IF((AND(FIND('112'!$M$9,G4428,1)&gt;=1,$B4428&gt;='112'!$N$8,$B4428&lt;='112'!$O$8,OR($L4428='112'!$I$6,$M4428='112'!$I$6))),"x",""))</f>
        <v/>
      </c>
      <c r="S4428" s="525" t="str">
        <f>IF(ISERROR(FIND('112'!$M$9,G4428,1)),"",IF((AND(LEFT(G4428,2)=LEFT('112'!$M$9,2),B4428&lt;'112'!$N$8,$L4428='112'!$I$6)),"x",""))</f>
        <v/>
      </c>
      <c r="T4428" s="525" t="str">
        <f>IF(ISERROR(FIND('112'!$M$9,G4428,1)),"",IF((AND(RIGHT(G4428,2)=RIGHT('112'!$M$9,2),B4428&lt;'112'!$N$8,$M4428='112'!$I$6)),"x",""))</f>
        <v/>
      </c>
      <c r="U4428" s="525" t="str">
        <f>IF(AND(B4428&gt;='IN-NX'!$P$3,B4428&lt;='IN-NX'!$Q$3,'IN-NX'!$D$7=D4428,OR(LEFT(L4428,2)="15",AND(LEFT(M4428,2)&lt;&gt;"15",LEFT(M4428,2)&lt;&gt;"33"))),"x","")</f>
        <v/>
      </c>
      <c r="V4428" s="525" t="str">
        <f>IF(AND(OR(LEFT(TH!L4428,2)="15",LEFT(TH!M4428,2)="15"),'152-CT'!$J$8=TH!F4428),"x","")</f>
        <v/>
      </c>
      <c r="W4428" s="525" t="str">
        <f>IF(AND(OR(LEFT(TH!L4428,2)="15",LEFT(TH!M4428,2)="15"),TK!$E$7=TH!F4428),"x","")</f>
        <v/>
      </c>
      <c r="X4428" s="525" t="str">
        <f>IF(AND('341-CT'!$E$9=H4428,OR(LEFT(L4428,3)=$X$7,LEFT(M4428,3)=$X$7)),"x","")</f>
        <v/>
      </c>
      <c r="Y4428" s="525" t="str">
        <f>IF(OR(TH!L4428=TH!$Y$7,M4428=TH!$Y$7),"x","")</f>
        <v/>
      </c>
      <c r="Z4428" s="525" t="str">
        <f>IF(AND(B4428&lt;=NKC!$N$8,B4428&gt;=NKC!$M$8),"x","")</f>
        <v/>
      </c>
      <c r="AA4428" s="535"/>
      <c r="AB4428" s="536"/>
    </row>
    <row r="4429" spans="1:30" s="503" customFormat="1" ht="15.75" customHeight="1">
      <c r="A4429" s="517" t="str">
        <f>IF(B4429&lt;&gt;"",IF(AND(B4429&gt;=_TM1,B4429&lt;=_TM2,OR(TH!L4429="1111",TH!M4429="1111")),TH!D4429,""),"")</f>
        <v/>
      </c>
      <c r="B4429" s="531" t="str">
        <f t="shared" si="561"/>
        <v/>
      </c>
      <c r="C4429" s="315"/>
      <c r="D4429" s="315"/>
      <c r="E4429" s="545"/>
      <c r="F4429" s="247"/>
      <c r="G4429" s="314"/>
      <c r="H4429" s="473"/>
      <c r="I4429" s="307"/>
      <c r="J4429" s="307"/>
      <c r="K4429" s="532"/>
      <c r="L4429" s="533"/>
      <c r="M4429" s="533"/>
      <c r="N4429" s="525" t="str">
        <f>IF(AND('331-CT'!$E$7=TH!H4429,OR(L4429="331",M4429="331")),"331",IF(AND(OR(L4429="131",M4429="131"),H4429='131-CT'!$E$7),"131",""))</f>
        <v/>
      </c>
      <c r="O4429" s="525" t="str">
        <f>IF(AND($B4429&gt;='111'!$N$11,$B4429&lt;='111'!$O$11,OR($L4429=$O$7,$M4429=$O$7)),"x","")</f>
        <v/>
      </c>
      <c r="P4429" s="525" t="str">
        <f>IF(AND($L4429=$O$7,$B4429&lt;'111'!$N$11),"x","")</f>
        <v/>
      </c>
      <c r="Q4429" s="525" t="str">
        <f>IF(AND($M4429=$O$7,$B4429&lt;'111'!$N$11),"x","")</f>
        <v/>
      </c>
      <c r="R4429" s="525" t="str">
        <f>IF(ISERROR(FIND('112'!$M$9,G4429,1)),"",IF((AND(FIND('112'!$M$9,G4429,1)&gt;=1,$B4429&gt;='112'!$N$8,$B4429&lt;='112'!$O$8,OR($L4429='112'!$I$6,$M4429='112'!$I$6))),"x",""))</f>
        <v/>
      </c>
      <c r="S4429" s="525" t="str">
        <f>IF(ISERROR(FIND('112'!$M$9,G4429,1)),"",IF((AND(LEFT(G4429,2)=LEFT('112'!$M$9,2),B4429&lt;'112'!$N$8,$L4429='112'!$I$6)),"x",""))</f>
        <v/>
      </c>
      <c r="T4429" s="525" t="str">
        <f>IF(ISERROR(FIND('112'!$M$9,G4429,1)),"",IF((AND(RIGHT(G4429,2)=RIGHT('112'!$M$9,2),B4429&lt;'112'!$N$8,$M4429='112'!$I$6)),"x",""))</f>
        <v/>
      </c>
      <c r="U4429" s="525" t="str">
        <f>IF(AND(B4429&gt;='IN-NX'!$P$3,B4429&lt;='IN-NX'!$Q$3,'IN-NX'!$D$7=D4429,OR(LEFT(L4429,2)="15",AND(LEFT(M4429,2)&lt;&gt;"15",LEFT(M4429,2)&lt;&gt;"33"))),"x","")</f>
        <v/>
      </c>
      <c r="V4429" s="525" t="str">
        <f>IF(AND(OR(LEFT(TH!L4429,2)="15",LEFT(TH!M4429,2)="15"),'152-CT'!$J$8=TH!F4429),"x","")</f>
        <v/>
      </c>
      <c r="W4429" s="525" t="str">
        <f>IF(AND(OR(LEFT(TH!L4429,2)="15",LEFT(TH!M4429,2)="15"),TK!$E$7=TH!F4429),"x","")</f>
        <v/>
      </c>
      <c r="X4429" s="525" t="str">
        <f>IF(AND('341-CT'!$E$9=H4429,OR(LEFT(L4429,3)=$X$7,LEFT(M4429,3)=$X$7)),"x","")</f>
        <v/>
      </c>
      <c r="Y4429" s="525" t="str">
        <f>IF(OR(TH!L4429=TH!$Y$7,M4429=TH!$Y$7),"x","")</f>
        <v/>
      </c>
      <c r="Z4429" s="525" t="str">
        <f>IF(AND(B4429&lt;=NKC!$N$8,B4429&gt;=NKC!$M$8),"x","")</f>
        <v/>
      </c>
      <c r="AA4429" s="535"/>
      <c r="AB4429" s="536"/>
      <c r="AC4429" s="536"/>
    </row>
    <row r="4430" spans="1:30" s="503" customFormat="1" ht="15.75" customHeight="1">
      <c r="A4430" s="517" t="str">
        <f>IF(B4430&lt;&gt;"",IF(AND(B4430&gt;=_TM1,B4430&lt;=_TM2,OR(TH!L4430="1111",TH!M4430="1111")),TH!D4430,""),"")</f>
        <v/>
      </c>
      <c r="B4430" s="531" t="str">
        <f t="shared" si="561"/>
        <v/>
      </c>
      <c r="C4430" s="315"/>
      <c r="D4430" s="315"/>
      <c r="E4430" s="545"/>
      <c r="F4430" s="247"/>
      <c r="G4430" s="314"/>
      <c r="H4430" s="473"/>
      <c r="I4430" s="307"/>
      <c r="J4430" s="307"/>
      <c r="K4430" s="532"/>
      <c r="L4430" s="533"/>
      <c r="M4430" s="533"/>
      <c r="N4430" s="525" t="str">
        <f>IF(AND('331-CT'!$E$7=TH!H4430,OR(L4430="331",M4430="331")),"331",IF(AND(OR(L4430="131",M4430="131"),H4430='131-CT'!$E$7),"131",""))</f>
        <v/>
      </c>
      <c r="O4430" s="525" t="str">
        <f>IF(AND($B4430&gt;='111'!$N$11,$B4430&lt;='111'!$O$11,OR($L4430=$O$7,$M4430=$O$7)),"x","")</f>
        <v/>
      </c>
      <c r="P4430" s="525" t="str">
        <f>IF(AND($L4430=$O$7,$B4430&lt;'111'!$N$11),"x","")</f>
        <v/>
      </c>
      <c r="Q4430" s="525" t="str">
        <f>IF(AND($M4430=$O$7,$B4430&lt;'111'!$N$11),"x","")</f>
        <v/>
      </c>
      <c r="R4430" s="525" t="str">
        <f>IF(ISERROR(FIND('112'!$M$9,G4430,1)),"",IF((AND(FIND('112'!$M$9,G4430,1)&gt;=1,$B4430&gt;='112'!$N$8,$B4430&lt;='112'!$O$8,OR($L4430='112'!$I$6,$M4430='112'!$I$6))),"x",""))</f>
        <v/>
      </c>
      <c r="S4430" s="525" t="str">
        <f>IF(ISERROR(FIND('112'!$M$9,G4430,1)),"",IF((AND(LEFT(G4430,2)=LEFT('112'!$M$9,2),B4430&lt;'112'!$N$8,$L4430='112'!$I$6)),"x",""))</f>
        <v/>
      </c>
      <c r="T4430" s="525" t="str">
        <f>IF(ISERROR(FIND('112'!$M$9,G4430,1)),"",IF((AND(RIGHT(G4430,2)=RIGHT('112'!$M$9,2),B4430&lt;'112'!$N$8,$M4430='112'!$I$6)),"x",""))</f>
        <v/>
      </c>
      <c r="U4430" s="525" t="str">
        <f>IF(AND(B4430&gt;='IN-NX'!$P$3,B4430&lt;='IN-NX'!$Q$3,'IN-NX'!$D$7=D4430,OR(LEFT(L4430,2)="15",AND(LEFT(M4430,2)&lt;&gt;"15",LEFT(M4430,2)&lt;&gt;"33"))),"x","")</f>
        <v/>
      </c>
      <c r="V4430" s="525" t="str">
        <f>IF(AND(OR(LEFT(TH!L4430,2)="15",LEFT(TH!M4430,2)="15"),'152-CT'!$J$8=TH!F4430),"x","")</f>
        <v/>
      </c>
      <c r="W4430" s="525" t="str">
        <f>IF(AND(OR(LEFT(TH!L4430,2)="15",LEFT(TH!M4430,2)="15"),TK!$E$7=TH!F4430),"x","")</f>
        <v/>
      </c>
      <c r="X4430" s="525" t="str">
        <f>IF(AND('341-CT'!$E$9=H4430,OR(LEFT(L4430,3)=$X$7,LEFT(M4430,3)=$X$7)),"x","")</f>
        <v/>
      </c>
      <c r="Y4430" s="525" t="str">
        <f>IF(OR(TH!L4430=TH!$Y$7,M4430=TH!$Y$7),"x","")</f>
        <v/>
      </c>
      <c r="Z4430" s="525" t="str">
        <f>IF(AND(B4430&lt;=NKC!$N$8,B4430&gt;=NKC!$M$8),"x","")</f>
        <v/>
      </c>
      <c r="AA4430" s="535"/>
      <c r="AB4430" s="536"/>
    </row>
    <row r="4431" spans="1:30" s="503" customFormat="1" ht="15.75" customHeight="1">
      <c r="A4431" s="517" t="str">
        <f>IF(B4431&lt;&gt;"",IF(AND(B4431&gt;=_TM1,B4431&lt;=_TM2,OR(TH!L4431="1111",TH!M4431="1111")),TH!D4431,""),"")</f>
        <v/>
      </c>
      <c r="B4431" s="531" t="str">
        <f t="shared" si="561"/>
        <v/>
      </c>
      <c r="C4431" s="315"/>
      <c r="D4431" s="315"/>
      <c r="E4431" s="545"/>
      <c r="F4431" s="247"/>
      <c r="G4431" s="314"/>
      <c r="H4431" s="473"/>
      <c r="I4431" s="307"/>
      <c r="J4431" s="307"/>
      <c r="K4431" s="532"/>
      <c r="L4431" s="533"/>
      <c r="M4431" s="533"/>
      <c r="N4431" s="525" t="str">
        <f>IF(AND('331-CT'!$E$7=TH!H4431,OR(L4431="331",M4431="331")),"331",IF(AND(OR(L4431="131",M4431="131"),H4431='131-CT'!$E$7),"131",""))</f>
        <v/>
      </c>
      <c r="O4431" s="525" t="str">
        <f>IF(AND($B4431&gt;='111'!$N$11,$B4431&lt;='111'!$O$11,OR($L4431=$O$7,$M4431=$O$7)),"x","")</f>
        <v/>
      </c>
      <c r="P4431" s="525" t="str">
        <f>IF(AND($L4431=$O$7,$B4431&lt;'111'!$N$11),"x","")</f>
        <v/>
      </c>
      <c r="Q4431" s="525" t="str">
        <f>IF(AND($M4431=$O$7,$B4431&lt;'111'!$N$11),"x","")</f>
        <v/>
      </c>
      <c r="R4431" s="525" t="str">
        <f>IF(ISERROR(FIND('112'!$M$9,G4431,1)),"",IF((AND(FIND('112'!$M$9,G4431,1)&gt;=1,$B4431&gt;='112'!$N$8,$B4431&lt;='112'!$O$8,OR($L4431='112'!$I$6,$M4431='112'!$I$6))),"x",""))</f>
        <v/>
      </c>
      <c r="S4431" s="525" t="str">
        <f>IF(ISERROR(FIND('112'!$M$9,G4431,1)),"",IF((AND(LEFT(G4431,2)=LEFT('112'!$M$9,2),B4431&lt;'112'!$N$8,$L4431='112'!$I$6)),"x",""))</f>
        <v/>
      </c>
      <c r="T4431" s="525" t="str">
        <f>IF(ISERROR(FIND('112'!$M$9,G4431,1)),"",IF((AND(RIGHT(G4431,2)=RIGHT('112'!$M$9,2),B4431&lt;'112'!$N$8,$M4431='112'!$I$6)),"x",""))</f>
        <v/>
      </c>
      <c r="U4431" s="525" t="str">
        <f>IF(AND(B4431&gt;='IN-NX'!$P$3,B4431&lt;='IN-NX'!$Q$3,'IN-NX'!$D$7=D4431,OR(LEFT(L4431,2)="15",AND(LEFT(M4431,2)&lt;&gt;"15",LEFT(M4431,2)&lt;&gt;"33"))),"x","")</f>
        <v/>
      </c>
      <c r="V4431" s="525" t="str">
        <f>IF(AND(OR(LEFT(TH!L4431,2)="15",LEFT(TH!M4431,2)="15"),'152-CT'!$J$8=TH!F4431),"x","")</f>
        <v/>
      </c>
      <c r="W4431" s="525" t="str">
        <f>IF(AND(OR(LEFT(TH!L4431,2)="15",LEFT(TH!M4431,2)="15"),TK!$E$7=TH!F4431),"x","")</f>
        <v/>
      </c>
      <c r="X4431" s="525" t="str">
        <f>IF(AND('341-CT'!$E$9=H4431,OR(LEFT(L4431,3)=$X$7,LEFT(M4431,3)=$X$7)),"x","")</f>
        <v/>
      </c>
      <c r="Y4431" s="525" t="str">
        <f>IF(OR(TH!L4431=TH!$Y$7,M4431=TH!$Y$7),"x","")</f>
        <v/>
      </c>
      <c r="Z4431" s="525" t="str">
        <f>IF(AND(B4431&lt;=NKC!$N$8,B4431&gt;=NKC!$M$8),"x","")</f>
        <v/>
      </c>
      <c r="AA4431" s="535"/>
      <c r="AB4431" s="536"/>
    </row>
    <row r="4432" spans="1:30" s="503" customFormat="1" ht="15.75" customHeight="1">
      <c r="A4432" s="517" t="str">
        <f>IF(B4432&lt;&gt;"",IF(AND(B4432&gt;=_TM1,B4432&lt;=_TM2,OR(TH!L4432="1111",TH!M4432="1111")),TH!D4432,""),"")</f>
        <v/>
      </c>
      <c r="B4432" s="531" t="str">
        <f t="shared" si="561"/>
        <v/>
      </c>
      <c r="C4432" s="315"/>
      <c r="D4432" s="315"/>
      <c r="E4432" s="545"/>
      <c r="F4432" s="247"/>
      <c r="G4432" s="314"/>
      <c r="H4432" s="473"/>
      <c r="I4432" s="307"/>
      <c r="J4432" s="307"/>
      <c r="K4432" s="532"/>
      <c r="L4432" s="533"/>
      <c r="M4432" s="533"/>
      <c r="N4432" s="525" t="str">
        <f>IF(AND('331-CT'!$E$7=TH!H4432,OR(L4432="331",M4432="331")),"331",IF(AND(OR(L4432="131",M4432="131"),H4432='131-CT'!$E$7),"131",""))</f>
        <v/>
      </c>
      <c r="O4432" s="525" t="str">
        <f>IF(AND($B4432&gt;='111'!$N$11,$B4432&lt;='111'!$O$11,OR($L4432=$O$7,$M4432=$O$7)),"x","")</f>
        <v/>
      </c>
      <c r="P4432" s="525" t="str">
        <f>IF(AND($L4432=$O$7,$B4432&lt;'111'!$N$11),"x","")</f>
        <v/>
      </c>
      <c r="Q4432" s="525" t="str">
        <f>IF(AND($M4432=$O$7,$B4432&lt;'111'!$N$11),"x","")</f>
        <v/>
      </c>
      <c r="R4432" s="525" t="str">
        <f>IF(ISERROR(FIND('112'!$M$9,G4432,1)),"",IF((AND(FIND('112'!$M$9,G4432,1)&gt;=1,$B4432&gt;='112'!$N$8,$B4432&lt;='112'!$O$8,OR($L4432='112'!$I$6,$M4432='112'!$I$6))),"x",""))</f>
        <v/>
      </c>
      <c r="S4432" s="525" t="str">
        <f>IF(ISERROR(FIND('112'!$M$9,G4432,1)),"",IF((AND(LEFT(G4432,2)=LEFT('112'!$M$9,2),B4432&lt;'112'!$N$8,$L4432='112'!$I$6)),"x",""))</f>
        <v/>
      </c>
      <c r="T4432" s="525" t="str">
        <f>IF(ISERROR(FIND('112'!$M$9,G4432,1)),"",IF((AND(RIGHT(G4432,2)=RIGHT('112'!$M$9,2),B4432&lt;'112'!$N$8,$M4432='112'!$I$6)),"x",""))</f>
        <v/>
      </c>
      <c r="U4432" s="525" t="str">
        <f>IF(AND(B4432&gt;='IN-NX'!$P$3,B4432&lt;='IN-NX'!$Q$3,'IN-NX'!$D$7=D4432,OR(LEFT(L4432,2)="15",AND(LEFT(M4432,2)&lt;&gt;"15",LEFT(M4432,2)&lt;&gt;"33"))),"x","")</f>
        <v/>
      </c>
      <c r="V4432" s="525" t="str">
        <f>IF(AND(OR(LEFT(TH!L4432,2)="15",LEFT(TH!M4432,2)="15"),'152-CT'!$J$8=TH!F4432),"x","")</f>
        <v/>
      </c>
      <c r="W4432" s="525" t="str">
        <f>IF(AND(OR(LEFT(TH!L4432,2)="15",LEFT(TH!M4432,2)="15"),TK!$E$7=TH!F4432),"x","")</f>
        <v/>
      </c>
      <c r="X4432" s="525" t="str">
        <f>IF(AND('341-CT'!$E$9=H4432,OR(LEFT(L4432,3)=$X$7,LEFT(M4432,3)=$X$7)),"x","")</f>
        <v/>
      </c>
      <c r="Y4432" s="525" t="str">
        <f>IF(OR(TH!L4432=TH!$Y$7,M4432=TH!$Y$7),"x","")</f>
        <v/>
      </c>
      <c r="Z4432" s="525" t="str">
        <f>IF(AND(B4432&lt;=NKC!$N$8,B4432&gt;=NKC!$M$8),"x","")</f>
        <v/>
      </c>
      <c r="AA4432" s="535"/>
      <c r="AB4432" s="536"/>
      <c r="AC4432" s="536"/>
      <c r="AD4432" s="536"/>
    </row>
    <row r="4433" spans="1:30" s="503" customFormat="1" ht="15.75" customHeight="1">
      <c r="A4433" s="517" t="str">
        <f>IF(B4433&lt;&gt;"",IF(AND(B4433&gt;=_TM1,B4433&lt;=_TM2,OR(TH!L4433="1111",TH!M4433="1111")),TH!D4433,""),"")</f>
        <v/>
      </c>
      <c r="B4433" s="531" t="str">
        <f t="shared" si="561"/>
        <v/>
      </c>
      <c r="C4433" s="315"/>
      <c r="D4433" s="315"/>
      <c r="E4433" s="545"/>
      <c r="F4433" s="249"/>
      <c r="G4433" s="314"/>
      <c r="H4433" s="473"/>
      <c r="I4433" s="307"/>
      <c r="J4433" s="307"/>
      <c r="K4433" s="532"/>
      <c r="L4433" s="533"/>
      <c r="M4433" s="533"/>
      <c r="N4433" s="525" t="str">
        <f>IF(AND('331-CT'!$E$7=TH!H4433,OR(L4433="331",M4433="331")),"331",IF(AND(OR(L4433="131",M4433="131"),H4433='131-CT'!$E$7),"131",""))</f>
        <v/>
      </c>
      <c r="O4433" s="525" t="str">
        <f>IF(AND($B4433&gt;='111'!$N$11,$B4433&lt;='111'!$O$11,OR($L4433=$O$7,$M4433=$O$7)),"x","")</f>
        <v/>
      </c>
      <c r="P4433" s="525" t="str">
        <f>IF(AND($L4433=$O$7,$B4433&lt;'111'!$N$11),"x","")</f>
        <v/>
      </c>
      <c r="Q4433" s="525" t="str">
        <f>IF(AND($M4433=$O$7,$B4433&lt;'111'!$N$11),"x","")</f>
        <v/>
      </c>
      <c r="R4433" s="525" t="str">
        <f>IF(ISERROR(FIND('112'!$M$9,G4433,1)),"",IF((AND(FIND('112'!$M$9,G4433,1)&gt;=1,$B4433&gt;='112'!$N$8,$B4433&lt;='112'!$O$8,OR($L4433='112'!$I$6,$M4433='112'!$I$6))),"x",""))</f>
        <v/>
      </c>
      <c r="S4433" s="525" t="str">
        <f>IF(ISERROR(FIND('112'!$M$9,G4433,1)),"",IF((AND(LEFT(G4433,2)=LEFT('112'!$M$9,2),B4433&lt;'112'!$N$8,$L4433='112'!$I$6)),"x",""))</f>
        <v/>
      </c>
      <c r="T4433" s="525" t="str">
        <f>IF(ISERROR(FIND('112'!$M$9,G4433,1)),"",IF((AND(RIGHT(G4433,2)=RIGHT('112'!$M$9,2),B4433&lt;'112'!$N$8,$M4433='112'!$I$6)),"x",""))</f>
        <v/>
      </c>
      <c r="U4433" s="525" t="str">
        <f>IF(AND(B4433&gt;='IN-NX'!$P$3,B4433&lt;='IN-NX'!$Q$3,'IN-NX'!$D$7=D4433,OR(LEFT(L4433,2)="15",AND(LEFT(M4433,2)&lt;&gt;"15",LEFT(M4433,2)&lt;&gt;"33"))),"x","")</f>
        <v/>
      </c>
      <c r="V4433" s="525" t="str">
        <f>IF(AND(OR(LEFT(TH!L4433,2)="15",LEFT(TH!M4433,2)="15"),'152-CT'!$J$8=TH!F4433),"x","")</f>
        <v/>
      </c>
      <c r="W4433" s="525" t="str">
        <f>IF(AND(OR(LEFT(TH!L4433,2)="15",LEFT(TH!M4433,2)="15"),TK!$E$7=TH!F4433),"x","")</f>
        <v/>
      </c>
      <c r="X4433" s="525" t="str">
        <f>IF(AND('341-CT'!$E$9=H4433,OR(LEFT(L4433,3)=$X$7,LEFT(M4433,3)=$X$7)),"x","")</f>
        <v/>
      </c>
      <c r="Y4433" s="525" t="str">
        <f>IF(OR(TH!L4433=TH!$Y$7,M4433=TH!$Y$7),"x","")</f>
        <v/>
      </c>
      <c r="Z4433" s="525" t="str">
        <f>IF(AND(B4433&lt;=NKC!$N$8,B4433&gt;=NKC!$M$8),"x","")</f>
        <v/>
      </c>
      <c r="AA4433" s="535"/>
      <c r="AB4433" s="536"/>
      <c r="AD4433" s="536"/>
    </row>
    <row r="4434" spans="1:30" s="503" customFormat="1" ht="15.75" customHeight="1">
      <c r="A4434" s="517" t="str">
        <f>IF(B4434&lt;&gt;"",IF(AND(B4434&gt;=_TM1,B4434&lt;=_TM2,OR(TH!L4434="1111",TH!M4434="1111")),TH!D4434,""),"")</f>
        <v/>
      </c>
      <c r="B4434" s="531" t="str">
        <f t="shared" si="561"/>
        <v/>
      </c>
      <c r="C4434" s="315"/>
      <c r="D4434" s="315"/>
      <c r="E4434" s="545"/>
      <c r="F4434" s="249"/>
      <c r="G4434" s="314"/>
      <c r="H4434" s="473"/>
      <c r="I4434" s="307"/>
      <c r="J4434" s="307"/>
      <c r="K4434" s="532"/>
      <c r="L4434" s="533"/>
      <c r="M4434" s="533"/>
      <c r="N4434" s="525" t="str">
        <f>IF(AND('331-CT'!$E$7=TH!H4434,OR(L4434="331",M4434="331")),"331",IF(AND(OR(L4434="131",M4434="131"),H4434='131-CT'!$E$7),"131",""))</f>
        <v/>
      </c>
      <c r="O4434" s="525" t="str">
        <f>IF(AND($B4434&gt;='111'!$N$11,$B4434&lt;='111'!$O$11,OR($L4434=$O$7,$M4434=$O$7)),"x","")</f>
        <v/>
      </c>
      <c r="P4434" s="525" t="str">
        <f>IF(AND($L4434=$O$7,$B4434&lt;'111'!$N$11),"x","")</f>
        <v/>
      </c>
      <c r="Q4434" s="525" t="str">
        <f>IF(AND($M4434=$O$7,$B4434&lt;'111'!$N$11),"x","")</f>
        <v/>
      </c>
      <c r="R4434" s="525" t="str">
        <f>IF(ISERROR(FIND('112'!$M$9,G4434,1)),"",IF((AND(FIND('112'!$M$9,G4434,1)&gt;=1,$B4434&gt;='112'!$N$8,$B4434&lt;='112'!$O$8,OR($L4434='112'!$I$6,$M4434='112'!$I$6))),"x",""))</f>
        <v/>
      </c>
      <c r="S4434" s="525" t="str">
        <f>IF(ISERROR(FIND('112'!$M$9,G4434,1)),"",IF((AND(LEFT(G4434,2)=LEFT('112'!$M$9,2),B4434&lt;'112'!$N$8,$L4434='112'!$I$6)),"x",""))</f>
        <v/>
      </c>
      <c r="T4434" s="525" t="str">
        <f>IF(ISERROR(FIND('112'!$M$9,G4434,1)),"",IF((AND(RIGHT(G4434,2)=RIGHT('112'!$M$9,2),B4434&lt;'112'!$N$8,$M4434='112'!$I$6)),"x",""))</f>
        <v/>
      </c>
      <c r="U4434" s="525" t="str">
        <f>IF(AND(B4434&gt;='IN-NX'!$P$3,B4434&lt;='IN-NX'!$Q$3,'IN-NX'!$D$7=D4434,OR(LEFT(L4434,2)="15",AND(LEFT(M4434,2)&lt;&gt;"15",LEFT(M4434,2)&lt;&gt;"33"))),"x","")</f>
        <v/>
      </c>
      <c r="V4434" s="525" t="str">
        <f>IF(AND(OR(LEFT(TH!L4434,2)="15",LEFT(TH!M4434,2)="15"),'152-CT'!$J$8=TH!F4434),"x","")</f>
        <v/>
      </c>
      <c r="W4434" s="525" t="str">
        <f>IF(AND(OR(LEFT(TH!L4434,2)="15",LEFT(TH!M4434,2)="15"),TK!$E$7=TH!F4434),"x","")</f>
        <v/>
      </c>
      <c r="X4434" s="525" t="str">
        <f>IF(AND('341-CT'!$E$9=H4434,OR(LEFT(L4434,3)=$X$7,LEFT(M4434,3)=$X$7)),"x","")</f>
        <v/>
      </c>
      <c r="Y4434" s="525" t="str">
        <f>IF(OR(TH!L4434=TH!$Y$7,M4434=TH!$Y$7),"x","")</f>
        <v/>
      </c>
      <c r="Z4434" s="525" t="str">
        <f>IF(AND(B4434&lt;=NKC!$N$8,B4434&gt;=NKC!$M$8),"x","")</f>
        <v/>
      </c>
      <c r="AA4434" s="535"/>
      <c r="AB4434" s="536"/>
    </row>
    <row r="4435" spans="1:30" s="503" customFormat="1" ht="15.75" customHeight="1">
      <c r="A4435" s="517" t="str">
        <f>IF(B4435&lt;&gt;"",IF(AND(B4435&gt;=_TM1,B4435&lt;=_TM2,OR(TH!L4435="1111",TH!M4435="1111")),TH!D4435,""),"")</f>
        <v/>
      </c>
      <c r="B4435" s="531" t="str">
        <f t="shared" si="561"/>
        <v/>
      </c>
      <c r="C4435" s="315"/>
      <c r="D4435" s="315"/>
      <c r="E4435" s="545"/>
      <c r="F4435" s="247"/>
      <c r="G4435" s="314"/>
      <c r="H4435" s="473"/>
      <c r="I4435" s="550"/>
      <c r="J4435" s="550"/>
      <c r="K4435" s="532"/>
      <c r="L4435" s="533"/>
      <c r="M4435" s="533"/>
      <c r="N4435" s="525" t="str">
        <f>IF(AND('331-CT'!$E$7=TH!H4435,OR(L4435="331",M4435="331")),"331",IF(AND(OR(L4435="131",M4435="131"),H4435='131-CT'!$E$7),"131",""))</f>
        <v/>
      </c>
      <c r="O4435" s="525" t="str">
        <f>IF(AND($B4435&gt;='111'!$N$11,$B4435&lt;='111'!$O$11,OR($L4435=$O$7,$M4435=$O$7)),"x","")</f>
        <v/>
      </c>
      <c r="P4435" s="525" t="str">
        <f>IF(AND($L4435=$O$7,$B4435&lt;'111'!$N$11),"x","")</f>
        <v/>
      </c>
      <c r="Q4435" s="525" t="str">
        <f>IF(AND($M4435=$O$7,$B4435&lt;'111'!$N$11),"x","")</f>
        <v/>
      </c>
      <c r="R4435" s="525" t="str">
        <f>IF(ISERROR(FIND('112'!$M$9,G4435,1)),"",IF((AND(FIND('112'!$M$9,G4435,1)&gt;=1,$B4435&gt;='112'!$N$8,$B4435&lt;='112'!$O$8,OR($L4435='112'!$I$6,$M4435='112'!$I$6))),"x",""))</f>
        <v/>
      </c>
      <c r="S4435" s="525" t="str">
        <f>IF(ISERROR(FIND('112'!$M$9,G4435,1)),"",IF((AND(LEFT(G4435,2)=LEFT('112'!$M$9,2),B4435&lt;'112'!$N$8,$L4435='112'!$I$6)),"x",""))</f>
        <v/>
      </c>
      <c r="T4435" s="525" t="str">
        <f>IF(ISERROR(FIND('112'!$M$9,G4435,1)),"",IF((AND(RIGHT(G4435,2)=RIGHT('112'!$M$9,2),B4435&lt;'112'!$N$8,$M4435='112'!$I$6)),"x",""))</f>
        <v/>
      </c>
      <c r="U4435" s="525" t="str">
        <f>IF(AND(B4435&gt;='IN-NX'!$P$3,B4435&lt;='IN-NX'!$Q$3,'IN-NX'!$D$7=D4435,OR(LEFT(L4435,2)="15",AND(LEFT(M4435,2)&lt;&gt;"15",LEFT(M4435,2)&lt;&gt;"33"))),"x","")</f>
        <v/>
      </c>
      <c r="V4435" s="525" t="str">
        <f>IF(AND(OR(LEFT(TH!L4435,2)="15",LEFT(TH!M4435,2)="15"),'152-CT'!$J$8=TH!F4435),"x","")</f>
        <v/>
      </c>
      <c r="W4435" s="525" t="str">
        <f>IF(AND(OR(LEFT(TH!L4435,2)="15",LEFT(TH!M4435,2)="15"),TK!$E$7=TH!F4435),"x","")</f>
        <v/>
      </c>
      <c r="X4435" s="525" t="str">
        <f>IF(AND('341-CT'!$E$9=H4435,OR(LEFT(L4435,3)=$X$7,LEFT(M4435,3)=$X$7)),"x","")</f>
        <v/>
      </c>
      <c r="Y4435" s="525" t="str">
        <f>IF(OR(TH!L4435=TH!$Y$7,M4435=TH!$Y$7),"x","")</f>
        <v/>
      </c>
      <c r="Z4435" s="525" t="str">
        <f>IF(AND(B4435&lt;=NKC!$N$8,B4435&gt;=NKC!$M$8),"x","")</f>
        <v/>
      </c>
      <c r="AA4435" s="535"/>
      <c r="AB4435" s="536"/>
      <c r="AD4435" s="536"/>
    </row>
    <row r="4436" spans="1:30" s="503" customFormat="1" ht="15.75" customHeight="1">
      <c r="A4436" s="517" t="str">
        <f>IF(B4436&lt;&gt;"",IF(AND(B4436&gt;=_TM1,B4436&lt;=_TM2,OR(TH!L4436="1111",TH!M4436="1111")),TH!D4436,""),"")</f>
        <v/>
      </c>
      <c r="B4436" s="531" t="str">
        <f t="shared" si="561"/>
        <v/>
      </c>
      <c r="C4436" s="315"/>
      <c r="D4436" s="315"/>
      <c r="E4436" s="545"/>
      <c r="F4436" s="249"/>
      <c r="G4436" s="314"/>
      <c r="H4436" s="473"/>
      <c r="I4436" s="307"/>
      <c r="J4436" s="307"/>
      <c r="K4436" s="532"/>
      <c r="L4436" s="533"/>
      <c r="M4436" s="533"/>
      <c r="N4436" s="525" t="str">
        <f>IF(AND('331-CT'!$E$7=TH!H4436,OR(L4436="331",M4436="331")),"331",IF(AND(OR(L4436="131",M4436="131"),H4436='131-CT'!$E$7),"131",""))</f>
        <v/>
      </c>
      <c r="O4436" s="525" t="str">
        <f>IF(AND($B4436&gt;='111'!$N$11,$B4436&lt;='111'!$O$11,OR($L4436=$O$7,$M4436=$O$7)),"x","")</f>
        <v/>
      </c>
      <c r="P4436" s="525" t="str">
        <f>IF(AND($L4436=$O$7,$B4436&lt;'111'!$N$11),"x","")</f>
        <v/>
      </c>
      <c r="Q4436" s="525" t="str">
        <f>IF(AND($M4436=$O$7,$B4436&lt;'111'!$N$11),"x","")</f>
        <v/>
      </c>
      <c r="R4436" s="525" t="str">
        <f>IF(ISERROR(FIND('112'!$M$9,G4436,1)),"",IF((AND(FIND('112'!$M$9,G4436,1)&gt;=1,$B4436&gt;='112'!$N$8,$B4436&lt;='112'!$O$8,OR($L4436='112'!$I$6,$M4436='112'!$I$6))),"x",""))</f>
        <v/>
      </c>
      <c r="S4436" s="525" t="str">
        <f>IF(ISERROR(FIND('112'!$M$9,G4436,1)),"",IF((AND(LEFT(G4436,2)=LEFT('112'!$M$9,2),B4436&lt;'112'!$N$8,$L4436='112'!$I$6)),"x",""))</f>
        <v/>
      </c>
      <c r="T4436" s="525" t="str">
        <f>IF(ISERROR(FIND('112'!$M$9,G4436,1)),"",IF((AND(RIGHT(G4436,2)=RIGHT('112'!$M$9,2),B4436&lt;'112'!$N$8,$M4436='112'!$I$6)),"x",""))</f>
        <v/>
      </c>
      <c r="U4436" s="525" t="str">
        <f>IF(AND(B4436&gt;='IN-NX'!$P$3,B4436&lt;='IN-NX'!$Q$3,'IN-NX'!$D$7=D4436,OR(LEFT(L4436,2)="15",AND(LEFT(M4436,2)&lt;&gt;"15",LEFT(M4436,2)&lt;&gt;"33"))),"x","")</f>
        <v/>
      </c>
      <c r="V4436" s="525" t="str">
        <f>IF(AND(OR(LEFT(TH!L4436,2)="15",LEFT(TH!M4436,2)="15"),'152-CT'!$J$8=TH!F4436),"x","")</f>
        <v/>
      </c>
      <c r="W4436" s="525" t="str">
        <f>IF(AND(OR(LEFT(TH!L4436,2)="15",LEFT(TH!M4436,2)="15"),TK!$E$7=TH!F4436),"x","")</f>
        <v/>
      </c>
      <c r="X4436" s="525" t="str">
        <f>IF(AND('341-CT'!$E$9=H4436,OR(LEFT(L4436,3)=$X$7,LEFT(M4436,3)=$X$7)),"x","")</f>
        <v/>
      </c>
      <c r="Y4436" s="525" t="str">
        <f>IF(OR(TH!L4436=TH!$Y$7,M4436=TH!$Y$7),"x","")</f>
        <v/>
      </c>
      <c r="Z4436" s="525" t="str">
        <f>IF(AND(B4436&lt;=NKC!$N$8,B4436&gt;=NKC!$M$8),"x","")</f>
        <v/>
      </c>
      <c r="AA4436" s="535"/>
      <c r="AB4436" s="536"/>
    </row>
    <row r="4437" spans="1:30" s="503" customFormat="1" ht="15.75" customHeight="1">
      <c r="A4437" s="517" t="str">
        <f>IF(B4437&lt;&gt;"",IF(AND(B4437&gt;=_TM1,B4437&lt;=_TM2,OR(TH!L4437="1111",TH!M4437="1111")),TH!D4437,""),"")</f>
        <v/>
      </c>
      <c r="B4437" s="531" t="str">
        <f t="shared" si="561"/>
        <v/>
      </c>
      <c r="C4437" s="315"/>
      <c r="D4437" s="315"/>
      <c r="E4437" s="545"/>
      <c r="F4437" s="247"/>
      <c r="G4437" s="314"/>
      <c r="H4437" s="473"/>
      <c r="I4437" s="307"/>
      <c r="J4437" s="307"/>
      <c r="K4437" s="532"/>
      <c r="L4437" s="533"/>
      <c r="M4437" s="533"/>
      <c r="N4437" s="525" t="str">
        <f>IF(AND('331-CT'!$E$7=TH!H4437,OR(L4437="331",M4437="331")),"331",IF(AND(OR(L4437="131",M4437="131"),H4437='131-CT'!$E$7),"131",""))</f>
        <v/>
      </c>
      <c r="O4437" s="525" t="str">
        <f>IF(AND($B4437&gt;='111'!$N$11,$B4437&lt;='111'!$O$11,OR($L4437=$O$7,$M4437=$O$7)),"x","")</f>
        <v/>
      </c>
      <c r="P4437" s="525" t="str">
        <f>IF(AND($L4437=$O$7,$B4437&lt;'111'!$N$11),"x","")</f>
        <v/>
      </c>
      <c r="Q4437" s="525" t="str">
        <f>IF(AND($M4437=$O$7,$B4437&lt;'111'!$N$11),"x","")</f>
        <v/>
      </c>
      <c r="R4437" s="525" t="str">
        <f>IF(ISERROR(FIND('112'!$M$9,G4437,1)),"",IF((AND(FIND('112'!$M$9,G4437,1)&gt;=1,$B4437&gt;='112'!$N$8,$B4437&lt;='112'!$O$8,OR($L4437='112'!$I$6,$M4437='112'!$I$6))),"x",""))</f>
        <v/>
      </c>
      <c r="S4437" s="525" t="str">
        <f>IF(ISERROR(FIND('112'!$M$9,G4437,1)),"",IF((AND(LEFT(G4437,2)=LEFT('112'!$M$9,2),B4437&lt;'112'!$N$8,$L4437='112'!$I$6)),"x",""))</f>
        <v/>
      </c>
      <c r="T4437" s="525" t="str">
        <f>IF(ISERROR(FIND('112'!$M$9,G4437,1)),"",IF((AND(RIGHT(G4437,2)=RIGHT('112'!$M$9,2),B4437&lt;'112'!$N$8,$M4437='112'!$I$6)),"x",""))</f>
        <v/>
      </c>
      <c r="U4437" s="525" t="str">
        <f>IF(AND(B4437&gt;='IN-NX'!$P$3,B4437&lt;='IN-NX'!$Q$3,'IN-NX'!$D$7=D4437,OR(LEFT(L4437,2)="15",AND(LEFT(M4437,2)&lt;&gt;"15",LEFT(M4437,2)&lt;&gt;"33"))),"x","")</f>
        <v/>
      </c>
      <c r="V4437" s="525" t="str">
        <f>IF(AND(OR(LEFT(TH!L4437,2)="15",LEFT(TH!M4437,2)="15"),'152-CT'!$J$8=TH!F4437),"x","")</f>
        <v/>
      </c>
      <c r="W4437" s="525" t="str">
        <f>IF(AND(OR(LEFT(TH!L4437,2)="15",LEFT(TH!M4437,2)="15"),TK!$E$7=TH!F4437),"x","")</f>
        <v/>
      </c>
      <c r="X4437" s="525" t="str">
        <f>IF(AND('341-CT'!$E$9=H4437,OR(LEFT(L4437,3)=$X$7,LEFT(M4437,3)=$X$7)),"x","")</f>
        <v/>
      </c>
      <c r="Y4437" s="525" t="str">
        <f>IF(OR(TH!L4437=TH!$Y$7,M4437=TH!$Y$7),"x","")</f>
        <v/>
      </c>
      <c r="Z4437" s="525" t="str">
        <f>IF(AND(B4437&lt;=NKC!$N$8,B4437&gt;=NKC!$M$8),"x","")</f>
        <v/>
      </c>
      <c r="AA4437" s="535"/>
      <c r="AB4437" s="536"/>
      <c r="AC4437" s="536"/>
    </row>
    <row r="4438" spans="1:30" s="503" customFormat="1" ht="15.75" customHeight="1">
      <c r="A4438" s="517" t="str">
        <f>IF(B4438&lt;&gt;"",IF(AND(B4438&gt;=_TM1,B4438&lt;=_TM2,OR(TH!L4438="1111",TH!M4438="1111")),TH!D4438,""),"")</f>
        <v/>
      </c>
      <c r="B4438" s="531" t="str">
        <f t="shared" si="561"/>
        <v/>
      </c>
      <c r="C4438" s="315"/>
      <c r="D4438" s="315"/>
      <c r="E4438" s="545"/>
      <c r="F4438" s="248"/>
      <c r="G4438" s="314"/>
      <c r="H4438" s="473"/>
      <c r="I4438" s="307"/>
      <c r="J4438" s="307"/>
      <c r="K4438" s="532"/>
      <c r="L4438" s="533"/>
      <c r="M4438" s="533"/>
      <c r="N4438" s="525" t="str">
        <f>IF(AND('331-CT'!$E$7=TH!H4438,OR(L4438="331",M4438="331")),"331",IF(AND(OR(L4438="131",M4438="131"),H4438='131-CT'!$E$7),"131",""))</f>
        <v/>
      </c>
      <c r="O4438" s="525" t="str">
        <f>IF(AND($B4438&gt;='111'!$N$11,$B4438&lt;='111'!$O$11,OR($L4438=$O$7,$M4438=$O$7)),"x","")</f>
        <v/>
      </c>
      <c r="P4438" s="525" t="str">
        <f>IF(AND($L4438=$O$7,$B4438&lt;'111'!$N$11),"x","")</f>
        <v/>
      </c>
      <c r="Q4438" s="525" t="str">
        <f>IF(AND($M4438=$O$7,$B4438&lt;'111'!$N$11),"x","")</f>
        <v/>
      </c>
      <c r="R4438" s="525" t="str">
        <f>IF(ISERROR(FIND('112'!$M$9,G4438,1)),"",IF((AND(FIND('112'!$M$9,G4438,1)&gt;=1,$B4438&gt;='112'!$N$8,$B4438&lt;='112'!$O$8,OR($L4438='112'!$I$6,$M4438='112'!$I$6))),"x",""))</f>
        <v/>
      </c>
      <c r="S4438" s="525" t="str">
        <f>IF(ISERROR(FIND('112'!$M$9,G4438,1)),"",IF((AND(LEFT(G4438,2)=LEFT('112'!$M$9,2),B4438&lt;'112'!$N$8,$L4438='112'!$I$6)),"x",""))</f>
        <v/>
      </c>
      <c r="T4438" s="525" t="str">
        <f>IF(ISERROR(FIND('112'!$M$9,G4438,1)),"",IF((AND(RIGHT(G4438,2)=RIGHT('112'!$M$9,2),B4438&lt;'112'!$N$8,$M4438='112'!$I$6)),"x",""))</f>
        <v/>
      </c>
      <c r="U4438" s="525" t="str">
        <f>IF(AND(B4438&gt;='IN-NX'!$P$3,B4438&lt;='IN-NX'!$Q$3,'IN-NX'!$D$7=D4438,OR(LEFT(L4438,2)="15",AND(LEFT(M4438,2)&lt;&gt;"15",LEFT(M4438,2)&lt;&gt;"33"))),"x","")</f>
        <v/>
      </c>
      <c r="V4438" s="525" t="str">
        <f>IF(AND(OR(LEFT(TH!L4438,2)="15",LEFT(TH!M4438,2)="15"),'152-CT'!$J$8=TH!F4438),"x","")</f>
        <v/>
      </c>
      <c r="W4438" s="525" t="str">
        <f>IF(AND(OR(LEFT(TH!L4438,2)="15",LEFT(TH!M4438,2)="15"),TK!$E$7=TH!F4438),"x","")</f>
        <v/>
      </c>
      <c r="X4438" s="525" t="str">
        <f>IF(AND('341-CT'!$E$9=H4438,OR(LEFT(L4438,3)=$X$7,LEFT(M4438,3)=$X$7)),"x","")</f>
        <v/>
      </c>
      <c r="Y4438" s="525" t="str">
        <f>IF(OR(TH!L4438=TH!$Y$7,M4438=TH!$Y$7),"x","")</f>
        <v/>
      </c>
      <c r="Z4438" s="525" t="str">
        <f>IF(AND(B4438&lt;=NKC!$N$8,B4438&gt;=NKC!$M$8),"x","")</f>
        <v/>
      </c>
      <c r="AA4438" s="535"/>
      <c r="AB4438" s="536"/>
    </row>
    <row r="4439" spans="1:30" s="503" customFormat="1" ht="15.75" customHeight="1">
      <c r="A4439" s="517" t="str">
        <f>IF(B4439&lt;&gt;"",IF(AND(B4439&gt;=_TM1,B4439&lt;=_TM2,OR(TH!L4439="1111",TH!M4439="1111")),TH!D4439,""),"")</f>
        <v/>
      </c>
      <c r="B4439" s="531" t="str">
        <f t="shared" si="561"/>
        <v/>
      </c>
      <c r="C4439" s="315"/>
      <c r="D4439" s="315"/>
      <c r="E4439" s="545"/>
      <c r="F4439" s="249"/>
      <c r="G4439" s="314"/>
      <c r="H4439" s="473"/>
      <c r="I4439" s="307"/>
      <c r="J4439" s="307"/>
      <c r="K4439" s="532"/>
      <c r="L4439" s="533"/>
      <c r="M4439" s="533"/>
      <c r="N4439" s="525" t="str">
        <f>IF(AND('331-CT'!$E$7=TH!H4439,OR(L4439="331",M4439="331")),"331",IF(AND(OR(L4439="131",M4439="131"),H4439='131-CT'!$E$7),"131",""))</f>
        <v/>
      </c>
      <c r="O4439" s="525" t="str">
        <f>IF(AND($B4439&gt;='111'!$N$11,$B4439&lt;='111'!$O$11,OR($L4439=$O$7,$M4439=$O$7)),"x","")</f>
        <v/>
      </c>
      <c r="P4439" s="525" t="str">
        <f>IF(AND($L4439=$O$7,$B4439&lt;'111'!$N$11),"x","")</f>
        <v/>
      </c>
      <c r="Q4439" s="525" t="str">
        <f>IF(AND($M4439=$O$7,$B4439&lt;'111'!$N$11),"x","")</f>
        <v/>
      </c>
      <c r="R4439" s="525" t="str">
        <f>IF(ISERROR(FIND('112'!$M$9,G4439,1)),"",IF((AND(FIND('112'!$M$9,G4439,1)&gt;=1,$B4439&gt;='112'!$N$8,$B4439&lt;='112'!$O$8,OR($L4439='112'!$I$6,$M4439='112'!$I$6))),"x",""))</f>
        <v/>
      </c>
      <c r="S4439" s="525" t="str">
        <f>IF(ISERROR(FIND('112'!$M$9,G4439,1)),"",IF((AND(LEFT(G4439,2)=LEFT('112'!$M$9,2),B4439&lt;'112'!$N$8,$L4439='112'!$I$6)),"x",""))</f>
        <v/>
      </c>
      <c r="T4439" s="525" t="str">
        <f>IF(ISERROR(FIND('112'!$M$9,G4439,1)),"",IF((AND(RIGHT(G4439,2)=RIGHT('112'!$M$9,2),B4439&lt;'112'!$N$8,$M4439='112'!$I$6)),"x",""))</f>
        <v/>
      </c>
      <c r="U4439" s="525" t="str">
        <f>IF(AND(B4439&gt;='IN-NX'!$P$3,B4439&lt;='IN-NX'!$Q$3,'IN-NX'!$D$7=D4439,OR(LEFT(L4439,2)="15",AND(LEFT(M4439,2)&lt;&gt;"15",LEFT(M4439,2)&lt;&gt;"33"))),"x","")</f>
        <v/>
      </c>
      <c r="V4439" s="525" t="str">
        <f>IF(AND(OR(LEFT(TH!L4439,2)="15",LEFT(TH!M4439,2)="15"),'152-CT'!$J$8=TH!F4439),"x","")</f>
        <v/>
      </c>
      <c r="W4439" s="525" t="str">
        <f>IF(AND(OR(LEFT(TH!L4439,2)="15",LEFT(TH!M4439,2)="15"),TK!$E$7=TH!F4439),"x","")</f>
        <v/>
      </c>
      <c r="X4439" s="525" t="str">
        <f>IF(AND('341-CT'!$E$9=H4439,OR(LEFT(L4439,3)=$X$7,LEFT(M4439,3)=$X$7)),"x","")</f>
        <v/>
      </c>
      <c r="Y4439" s="525" t="str">
        <f>IF(OR(TH!L4439=TH!$Y$7,M4439=TH!$Y$7),"x","")</f>
        <v/>
      </c>
      <c r="Z4439" s="525" t="str">
        <f>IF(AND(B4439&lt;=NKC!$N$8,B4439&gt;=NKC!$M$8),"x","")</f>
        <v/>
      </c>
      <c r="AA4439" s="535"/>
      <c r="AB4439" s="536"/>
    </row>
    <row r="4440" spans="1:30" s="503" customFormat="1" ht="15.75" customHeight="1">
      <c r="A4440" s="517" t="str">
        <f>IF(B4440&lt;&gt;"",IF(AND(B4440&gt;=_TM1,B4440&lt;=_TM2,OR(TH!L4440="1111",TH!M4440="1111")),TH!D4440,""),"")</f>
        <v/>
      </c>
      <c r="B4440" s="531" t="str">
        <f t="shared" si="561"/>
        <v/>
      </c>
      <c r="C4440" s="315"/>
      <c r="D4440" s="315"/>
      <c r="E4440" s="545"/>
      <c r="F4440" s="249"/>
      <c r="G4440" s="314"/>
      <c r="H4440" s="473"/>
      <c r="I4440" s="307"/>
      <c r="J4440" s="307"/>
      <c r="K4440" s="532"/>
      <c r="L4440" s="533"/>
      <c r="M4440" s="533"/>
      <c r="N4440" s="525" t="str">
        <f>IF(AND('331-CT'!$E$7=TH!H4440,OR(L4440="331",M4440="331")),"331",IF(AND(OR(L4440="131",M4440="131"),H4440='131-CT'!$E$7),"131",""))</f>
        <v/>
      </c>
      <c r="O4440" s="525" t="str">
        <f>IF(AND($B4440&gt;='111'!$N$11,$B4440&lt;='111'!$O$11,OR($L4440=$O$7,$M4440=$O$7)),"x","")</f>
        <v/>
      </c>
      <c r="P4440" s="525" t="str">
        <f>IF(AND($L4440=$O$7,$B4440&lt;'111'!$N$11),"x","")</f>
        <v/>
      </c>
      <c r="Q4440" s="525" t="str">
        <f>IF(AND($M4440=$O$7,$B4440&lt;'111'!$N$11),"x","")</f>
        <v/>
      </c>
      <c r="R4440" s="525" t="str">
        <f>IF(ISERROR(FIND('112'!$M$9,G4440,1)),"",IF((AND(FIND('112'!$M$9,G4440,1)&gt;=1,$B4440&gt;='112'!$N$8,$B4440&lt;='112'!$O$8,OR($L4440='112'!$I$6,$M4440='112'!$I$6))),"x",""))</f>
        <v/>
      </c>
      <c r="S4440" s="525" t="str">
        <f>IF(ISERROR(FIND('112'!$M$9,G4440,1)),"",IF((AND(LEFT(G4440,2)=LEFT('112'!$M$9,2),B4440&lt;'112'!$N$8,$L4440='112'!$I$6)),"x",""))</f>
        <v/>
      </c>
      <c r="T4440" s="525" t="str">
        <f>IF(ISERROR(FIND('112'!$M$9,G4440,1)),"",IF((AND(RIGHT(G4440,2)=RIGHT('112'!$M$9,2),B4440&lt;'112'!$N$8,$M4440='112'!$I$6)),"x",""))</f>
        <v/>
      </c>
      <c r="U4440" s="525" t="str">
        <f>IF(AND(B4440&gt;='IN-NX'!$P$3,B4440&lt;='IN-NX'!$Q$3,'IN-NX'!$D$7=D4440,OR(LEFT(L4440,2)="15",AND(LEFT(M4440,2)&lt;&gt;"15",LEFT(M4440,2)&lt;&gt;"33"))),"x","")</f>
        <v/>
      </c>
      <c r="V4440" s="525" t="str">
        <f>IF(AND(OR(LEFT(TH!L4440,2)="15",LEFT(TH!M4440,2)="15"),'152-CT'!$J$8=TH!F4440),"x","")</f>
        <v/>
      </c>
      <c r="W4440" s="525" t="str">
        <f>IF(AND(OR(LEFT(TH!L4440,2)="15",LEFT(TH!M4440,2)="15"),TK!$E$7=TH!F4440),"x","")</f>
        <v/>
      </c>
      <c r="X4440" s="525" t="str">
        <f>IF(AND('341-CT'!$E$9=H4440,OR(LEFT(L4440,3)=$X$7,LEFT(M4440,3)=$X$7)),"x","")</f>
        <v/>
      </c>
      <c r="Y4440" s="525" t="str">
        <f>IF(OR(TH!L4440=TH!$Y$7,M4440=TH!$Y$7),"x","")</f>
        <v/>
      </c>
      <c r="Z4440" s="525" t="str">
        <f>IF(AND(B4440&lt;=NKC!$N$8,B4440&gt;=NKC!$M$8),"x","")</f>
        <v/>
      </c>
      <c r="AA4440" s="535"/>
      <c r="AB4440" s="536"/>
      <c r="AD4440" s="536"/>
    </row>
    <row r="4441" spans="1:30" s="503" customFormat="1" ht="15.75" customHeight="1">
      <c r="A4441" s="517" t="str">
        <f>IF(B4441&lt;&gt;"",IF(AND(B4441&gt;=_TM1,B4441&lt;=_TM2,OR(TH!L4441="1111",TH!M4441="1111")),TH!D4441,""),"")</f>
        <v/>
      </c>
      <c r="B4441" s="531" t="str">
        <f t="shared" si="561"/>
        <v/>
      </c>
      <c r="C4441" s="315"/>
      <c r="D4441" s="315"/>
      <c r="E4441" s="545"/>
      <c r="F4441" s="250"/>
      <c r="G4441" s="314"/>
      <c r="H4441" s="473"/>
      <c r="I4441" s="307"/>
      <c r="J4441" s="307"/>
      <c r="K4441" s="532"/>
      <c r="L4441" s="533"/>
      <c r="M4441" s="533"/>
      <c r="N4441" s="525" t="str">
        <f>IF(AND('331-CT'!$E$7=TH!H4441,OR(L4441="331",M4441="331")),"331",IF(AND(OR(L4441="131",M4441="131"),H4441='131-CT'!$E$7),"131",""))</f>
        <v/>
      </c>
      <c r="O4441" s="525" t="str">
        <f>IF(AND($B4441&gt;='111'!$N$11,$B4441&lt;='111'!$O$11,OR($L4441=$O$7,$M4441=$O$7)),"x","")</f>
        <v/>
      </c>
      <c r="P4441" s="525" t="str">
        <f>IF(AND($L4441=$O$7,$B4441&lt;'111'!$N$11),"x","")</f>
        <v/>
      </c>
      <c r="Q4441" s="525" t="str">
        <f>IF(AND($M4441=$O$7,$B4441&lt;'111'!$N$11),"x","")</f>
        <v/>
      </c>
      <c r="R4441" s="525" t="str">
        <f>IF(ISERROR(FIND('112'!$M$9,G4441,1)),"",IF((AND(FIND('112'!$M$9,G4441,1)&gt;=1,$B4441&gt;='112'!$N$8,$B4441&lt;='112'!$O$8,OR($L4441='112'!$I$6,$M4441='112'!$I$6))),"x",""))</f>
        <v/>
      </c>
      <c r="S4441" s="525" t="str">
        <f>IF(ISERROR(FIND('112'!$M$9,G4441,1)),"",IF((AND(LEFT(G4441,2)=LEFT('112'!$M$9,2),B4441&lt;'112'!$N$8,$L4441='112'!$I$6)),"x",""))</f>
        <v/>
      </c>
      <c r="T4441" s="525" t="str">
        <f>IF(ISERROR(FIND('112'!$M$9,G4441,1)),"",IF((AND(RIGHT(G4441,2)=RIGHT('112'!$M$9,2),B4441&lt;'112'!$N$8,$M4441='112'!$I$6)),"x",""))</f>
        <v/>
      </c>
      <c r="U4441" s="525" t="str">
        <f>IF(AND(B4441&gt;='IN-NX'!$P$3,B4441&lt;='IN-NX'!$Q$3,'IN-NX'!$D$7=D4441,OR(LEFT(L4441,2)="15",AND(LEFT(M4441,2)&lt;&gt;"15",LEFT(M4441,2)&lt;&gt;"33"))),"x","")</f>
        <v/>
      </c>
      <c r="V4441" s="525" t="str">
        <f>IF(AND(OR(LEFT(TH!L4441,2)="15",LEFT(TH!M4441,2)="15"),'152-CT'!$J$8=TH!F4441),"x","")</f>
        <v/>
      </c>
      <c r="W4441" s="525" t="str">
        <f>IF(AND(OR(LEFT(TH!L4441,2)="15",LEFT(TH!M4441,2)="15"),TK!$E$7=TH!F4441),"x","")</f>
        <v/>
      </c>
      <c r="X4441" s="525" t="str">
        <f>IF(AND('341-CT'!$E$9=H4441,OR(LEFT(L4441,3)=$X$7,LEFT(M4441,3)=$X$7)),"x","")</f>
        <v/>
      </c>
      <c r="Y4441" s="525" t="str">
        <f>IF(OR(TH!L4441=TH!$Y$7,M4441=TH!$Y$7),"x","")</f>
        <v/>
      </c>
      <c r="Z4441" s="525" t="str">
        <f>IF(AND(B4441&lt;=NKC!$N$8,B4441&gt;=NKC!$M$8),"x","")</f>
        <v/>
      </c>
      <c r="AA4441" s="535"/>
      <c r="AB4441" s="536"/>
    </row>
    <row r="4442" spans="1:30" s="503" customFormat="1" ht="15.75" customHeight="1">
      <c r="A4442" s="517" t="str">
        <f>IF(B4442&lt;&gt;"",IF(AND(B4442&gt;=_TM1,B4442&lt;=_TM2,OR(TH!L4442="1111",TH!M4442="1111")),TH!D4442,""),"")</f>
        <v/>
      </c>
      <c r="B4442" s="531" t="str">
        <f t="shared" si="561"/>
        <v/>
      </c>
      <c r="C4442" s="315"/>
      <c r="D4442" s="315"/>
      <c r="E4442" s="545"/>
      <c r="F4442" s="248"/>
      <c r="G4442" s="314"/>
      <c r="H4442" s="473"/>
      <c r="I4442" s="307"/>
      <c r="J4442" s="307"/>
      <c r="K4442" s="532"/>
      <c r="L4442" s="533"/>
      <c r="M4442" s="533"/>
      <c r="N4442" s="525" t="str">
        <f>IF(AND('331-CT'!$E$7=TH!H4442,OR(L4442="331",M4442="331")),"331",IF(AND(OR(L4442="131",M4442="131"),H4442='131-CT'!$E$7),"131",""))</f>
        <v/>
      </c>
      <c r="O4442" s="525" t="str">
        <f>IF(AND($B4442&gt;='111'!$N$11,$B4442&lt;='111'!$O$11,OR($L4442=$O$7,$M4442=$O$7)),"x","")</f>
        <v/>
      </c>
      <c r="P4442" s="525" t="str">
        <f>IF(AND($L4442=$O$7,$B4442&lt;'111'!$N$11),"x","")</f>
        <v/>
      </c>
      <c r="Q4442" s="525" t="str">
        <f>IF(AND($M4442=$O$7,$B4442&lt;'111'!$N$11),"x","")</f>
        <v/>
      </c>
      <c r="R4442" s="525" t="str">
        <f>IF(ISERROR(FIND('112'!$M$9,G4442,1)),"",IF((AND(FIND('112'!$M$9,G4442,1)&gt;=1,$B4442&gt;='112'!$N$8,$B4442&lt;='112'!$O$8,OR($L4442='112'!$I$6,$M4442='112'!$I$6))),"x",""))</f>
        <v/>
      </c>
      <c r="S4442" s="525" t="str">
        <f>IF(ISERROR(FIND('112'!$M$9,G4442,1)),"",IF((AND(LEFT(G4442,2)=LEFT('112'!$M$9,2),B4442&lt;'112'!$N$8,$L4442='112'!$I$6)),"x",""))</f>
        <v/>
      </c>
      <c r="T4442" s="525" t="str">
        <f>IF(ISERROR(FIND('112'!$M$9,G4442,1)),"",IF((AND(RIGHT(G4442,2)=RIGHT('112'!$M$9,2),B4442&lt;'112'!$N$8,$M4442='112'!$I$6)),"x",""))</f>
        <v/>
      </c>
      <c r="U4442" s="525" t="str">
        <f>IF(AND(B4442&gt;='IN-NX'!$P$3,B4442&lt;='IN-NX'!$Q$3,'IN-NX'!$D$7=D4442,OR(LEFT(L4442,2)="15",AND(LEFT(M4442,2)&lt;&gt;"15",LEFT(M4442,2)&lt;&gt;"33"))),"x","")</f>
        <v/>
      </c>
      <c r="V4442" s="525" t="str">
        <f>IF(AND(OR(LEFT(TH!L4442,2)="15",LEFT(TH!M4442,2)="15"),'152-CT'!$J$8=TH!F4442),"x","")</f>
        <v/>
      </c>
      <c r="W4442" s="525" t="str">
        <f>IF(AND(OR(LEFT(TH!L4442,2)="15",LEFT(TH!M4442,2)="15"),TK!$E$7=TH!F4442),"x","")</f>
        <v/>
      </c>
      <c r="X4442" s="525" t="str">
        <f>IF(AND('341-CT'!$E$9=H4442,OR(LEFT(L4442,3)=$X$7,LEFT(M4442,3)=$X$7)),"x","")</f>
        <v/>
      </c>
      <c r="Y4442" s="525" t="str">
        <f>IF(OR(TH!L4442=TH!$Y$7,M4442=TH!$Y$7),"x","")</f>
        <v/>
      </c>
      <c r="Z4442" s="525" t="str">
        <f>IF(AND(B4442&lt;=NKC!$N$8,B4442&gt;=NKC!$M$8),"x","")</f>
        <v/>
      </c>
      <c r="AA4442" s="535"/>
      <c r="AB4442" s="536"/>
    </row>
    <row r="4443" spans="1:30" s="503" customFormat="1" ht="15.75" customHeight="1">
      <c r="A4443" s="517" t="str">
        <f>IF(B4443&lt;&gt;"",IF(AND(B4443&gt;=_TM1,B4443&lt;=_TM2,OR(TH!L4443="1111",TH!M4443="1111")),TH!D4443,""),"")</f>
        <v/>
      </c>
      <c r="B4443" s="531" t="str">
        <f t="shared" si="561"/>
        <v/>
      </c>
      <c r="C4443" s="315"/>
      <c r="D4443" s="315"/>
      <c r="E4443" s="545"/>
      <c r="F4443" s="249"/>
      <c r="G4443" s="314"/>
      <c r="H4443" s="473"/>
      <c r="I4443" s="307"/>
      <c r="J4443" s="307"/>
      <c r="K4443" s="532"/>
      <c r="L4443" s="533"/>
      <c r="M4443" s="533"/>
      <c r="N4443" s="525" t="str">
        <f>IF(AND('331-CT'!$E$7=TH!H4443,OR(L4443="331",M4443="331")),"331",IF(AND(OR(L4443="131",M4443="131"),H4443='131-CT'!$E$7),"131",""))</f>
        <v/>
      </c>
      <c r="O4443" s="525" t="str">
        <f>IF(AND($B4443&gt;='111'!$N$11,$B4443&lt;='111'!$O$11,OR($L4443=$O$7,$M4443=$O$7)),"x","")</f>
        <v/>
      </c>
      <c r="P4443" s="525" t="str">
        <f>IF(AND($L4443=$O$7,$B4443&lt;'111'!$N$11),"x","")</f>
        <v/>
      </c>
      <c r="Q4443" s="525" t="str">
        <f>IF(AND($M4443=$O$7,$B4443&lt;'111'!$N$11),"x","")</f>
        <v/>
      </c>
      <c r="R4443" s="525" t="str">
        <f>IF(ISERROR(FIND('112'!$M$9,G4443,1)),"",IF((AND(FIND('112'!$M$9,G4443,1)&gt;=1,$B4443&gt;='112'!$N$8,$B4443&lt;='112'!$O$8,OR($L4443='112'!$I$6,$M4443='112'!$I$6))),"x",""))</f>
        <v/>
      </c>
      <c r="S4443" s="525" t="str">
        <f>IF(ISERROR(FIND('112'!$M$9,G4443,1)),"",IF((AND(LEFT(G4443,2)=LEFT('112'!$M$9,2),B4443&lt;'112'!$N$8,$L4443='112'!$I$6)),"x",""))</f>
        <v/>
      </c>
      <c r="T4443" s="525" t="str">
        <f>IF(ISERROR(FIND('112'!$M$9,G4443,1)),"",IF((AND(RIGHT(G4443,2)=RIGHT('112'!$M$9,2),B4443&lt;'112'!$N$8,$M4443='112'!$I$6)),"x",""))</f>
        <v/>
      </c>
      <c r="U4443" s="525" t="str">
        <f>IF(AND(B4443&gt;='IN-NX'!$P$3,B4443&lt;='IN-NX'!$Q$3,'IN-NX'!$D$7=D4443,OR(LEFT(L4443,2)="15",AND(LEFT(M4443,2)&lt;&gt;"15",LEFT(M4443,2)&lt;&gt;"33"))),"x","")</f>
        <v/>
      </c>
      <c r="V4443" s="525" t="str">
        <f>IF(AND(OR(LEFT(TH!L4443,2)="15",LEFT(TH!M4443,2)="15"),'152-CT'!$J$8=TH!F4443),"x","")</f>
        <v/>
      </c>
      <c r="W4443" s="525" t="str">
        <f>IF(AND(OR(LEFT(TH!L4443,2)="15",LEFT(TH!M4443,2)="15"),TK!$E$7=TH!F4443),"x","")</f>
        <v/>
      </c>
      <c r="X4443" s="525" t="str">
        <f>IF(AND('341-CT'!$E$9=H4443,OR(LEFT(L4443,3)=$X$7,LEFT(M4443,3)=$X$7)),"x","")</f>
        <v/>
      </c>
      <c r="Y4443" s="525" t="str">
        <f>IF(OR(TH!L4443=TH!$Y$7,M4443=TH!$Y$7),"x","")</f>
        <v/>
      </c>
      <c r="Z4443" s="525" t="str">
        <f>IF(AND(B4443&lt;=NKC!$N$8,B4443&gt;=NKC!$M$8),"x","")</f>
        <v/>
      </c>
      <c r="AA4443" s="535"/>
      <c r="AB4443" s="536"/>
    </row>
    <row r="4444" spans="1:30" s="503" customFormat="1" ht="15.75" customHeight="1">
      <c r="A4444" s="517" t="str">
        <f>IF(B4444&lt;&gt;"",IF(AND(B4444&gt;=_TM1,B4444&lt;=_TM2,OR(TH!L4444="1111",TH!M4444="1111")),TH!D4444,""),"")</f>
        <v/>
      </c>
      <c r="B4444" s="531" t="str">
        <f t="shared" si="561"/>
        <v/>
      </c>
      <c r="C4444" s="315"/>
      <c r="D4444" s="537"/>
      <c r="E4444" s="280"/>
      <c r="F4444" s="249"/>
      <c r="G4444" s="314"/>
      <c r="H4444" s="473"/>
      <c r="I4444" s="307"/>
      <c r="J4444" s="307"/>
      <c r="K4444" s="532"/>
      <c r="L4444" s="534"/>
      <c r="M4444" s="534"/>
      <c r="N4444" s="525" t="str">
        <f>IF(AND('331-CT'!$E$7=TH!H4444,OR(L4444="331",M4444="331")),"331",IF(AND(OR(L4444="131",M4444="131"),H4444='131-CT'!$E$7),"131",""))</f>
        <v/>
      </c>
      <c r="O4444" s="525" t="str">
        <f>IF(AND($B4444&gt;='111'!$N$11,$B4444&lt;='111'!$O$11,OR($L4444=$O$7,$M4444=$O$7)),"x","")</f>
        <v/>
      </c>
      <c r="P4444" s="525" t="str">
        <f>IF(AND($L4444=$O$7,$B4444&lt;'111'!$N$11),"x","")</f>
        <v/>
      </c>
      <c r="Q4444" s="525" t="str">
        <f>IF(AND($M4444=$O$7,$B4444&lt;'111'!$N$11),"x","")</f>
        <v/>
      </c>
      <c r="R4444" s="525" t="str">
        <f>IF(ISERROR(FIND('112'!$M$9,G4444,1)),"",IF((AND(FIND('112'!$M$9,G4444,1)&gt;=1,$B4444&gt;='112'!$N$8,$B4444&lt;='112'!$O$8,OR($L4444='112'!$I$6,$M4444='112'!$I$6))),"x",""))</f>
        <v/>
      </c>
      <c r="S4444" s="525" t="str">
        <f>IF(ISERROR(FIND('112'!$M$9,G4444,1)),"",IF((AND(LEFT(G4444,2)=LEFT('112'!$M$9,2),B4444&lt;'112'!$N$8,$L4444='112'!$I$6)),"x",""))</f>
        <v/>
      </c>
      <c r="T4444" s="525" t="str">
        <f>IF(ISERROR(FIND('112'!$M$9,G4444,1)),"",IF((AND(RIGHT(G4444,2)=RIGHT('112'!$M$9,2),B4444&lt;'112'!$N$8,$M4444='112'!$I$6)),"x",""))</f>
        <v/>
      </c>
      <c r="U4444" s="525" t="str">
        <f>IF(AND(B4444&gt;='IN-NX'!$P$3,B4444&lt;='IN-NX'!$Q$3,'IN-NX'!$D$7=D4444,OR(LEFT(L4444,2)="15",AND(LEFT(M4444,2)&lt;&gt;"15",LEFT(M4444,2)&lt;&gt;"33"))),"x","")</f>
        <v/>
      </c>
      <c r="V4444" s="525" t="str">
        <f>IF(AND(OR(LEFT(TH!L4444,2)="15",LEFT(TH!M4444,2)="15"),'152-CT'!$J$8=TH!F4444),"x","")</f>
        <v/>
      </c>
      <c r="W4444" s="525" t="str">
        <f>IF(AND(OR(LEFT(TH!L4444,2)="15",LEFT(TH!M4444,2)="15"),TK!$E$7=TH!F4444),"x","")</f>
        <v/>
      </c>
      <c r="X4444" s="525" t="str">
        <f>IF(AND('341-CT'!$E$9=H4444,OR(LEFT(L4444,3)=$X$7,LEFT(M4444,3)=$X$7)),"x","")</f>
        <v/>
      </c>
      <c r="Y4444" s="525" t="str">
        <f>IF(OR(TH!L4444=TH!$Y$7,M4444=TH!$Y$7),"x","")</f>
        <v/>
      </c>
      <c r="Z4444" s="525" t="str">
        <f>IF(AND(B4444&lt;=NKC!$N$8,B4444&gt;=NKC!$M$8),"x","")</f>
        <v/>
      </c>
      <c r="AA4444" s="535"/>
    </row>
    <row r="4445" spans="1:30" s="503" customFormat="1" ht="15.75" customHeight="1">
      <c r="A4445" s="517" t="str">
        <f>IF(B4445&lt;&gt;"",IF(AND(B4445&gt;=_TM1,B4445&lt;=_TM2,OR(TH!L4445="1111",TH!M4445="1111")),TH!D4445,""),"")</f>
        <v/>
      </c>
      <c r="B4445" s="531" t="str">
        <f t="shared" si="561"/>
        <v/>
      </c>
      <c r="C4445" s="315"/>
      <c r="D4445" s="537"/>
      <c r="E4445" s="280"/>
      <c r="F4445" s="247"/>
      <c r="G4445" s="314"/>
      <c r="H4445" s="473"/>
      <c r="I4445" s="543"/>
      <c r="J4445" s="307"/>
      <c r="K4445" s="532"/>
      <c r="L4445" s="534"/>
      <c r="M4445" s="534"/>
      <c r="N4445" s="525" t="str">
        <f>IF(AND('331-CT'!$E$7=TH!H4445,OR(L4445="331",M4445="331")),"331",IF(AND(OR(L4445="131",M4445="131"),H4445='131-CT'!$E$7),"131",""))</f>
        <v/>
      </c>
      <c r="O4445" s="525" t="str">
        <f>IF(AND($B4445&gt;='111'!$N$11,$B4445&lt;='111'!$O$11,OR($L4445=$O$7,$M4445=$O$7)),"x","")</f>
        <v/>
      </c>
      <c r="P4445" s="525" t="str">
        <f>IF(AND($L4445=$O$7,$B4445&lt;'111'!$N$11),"x","")</f>
        <v/>
      </c>
      <c r="Q4445" s="525" t="str">
        <f>IF(AND($M4445=$O$7,$B4445&lt;'111'!$N$11),"x","")</f>
        <v/>
      </c>
      <c r="R4445" s="525" t="str">
        <f>IF(ISERROR(FIND('112'!$M$9,G4445,1)),"",IF((AND(FIND('112'!$M$9,G4445,1)&gt;=1,$B4445&gt;='112'!$N$8,$B4445&lt;='112'!$O$8,OR($L4445='112'!$I$6,$M4445='112'!$I$6))),"x",""))</f>
        <v/>
      </c>
      <c r="S4445" s="525" t="str">
        <f>IF(ISERROR(FIND('112'!$M$9,G4445,1)),"",IF((AND(LEFT(G4445,2)=LEFT('112'!$M$9,2),B4445&lt;'112'!$N$8,$L4445='112'!$I$6)),"x",""))</f>
        <v/>
      </c>
      <c r="T4445" s="525" t="str">
        <f>IF(ISERROR(FIND('112'!$M$9,G4445,1)),"",IF((AND(RIGHT(G4445,2)=RIGHT('112'!$M$9,2),B4445&lt;'112'!$N$8,$M4445='112'!$I$6)),"x",""))</f>
        <v/>
      </c>
      <c r="U4445" s="525" t="str">
        <f>IF(AND(B4445&gt;='IN-NX'!$P$3,B4445&lt;='IN-NX'!$Q$3,'IN-NX'!$D$7=D4445,OR(LEFT(L4445,2)="15",AND(LEFT(M4445,2)&lt;&gt;"15",LEFT(M4445,2)&lt;&gt;"33"))),"x","")</f>
        <v/>
      </c>
      <c r="V4445" s="525" t="str">
        <f>IF(AND(OR(LEFT(TH!L4445,2)="15",LEFT(TH!M4445,2)="15"),'152-CT'!$J$8=TH!F4445),"x","")</f>
        <v/>
      </c>
      <c r="W4445" s="525" t="str">
        <f>IF(AND(OR(LEFT(TH!L4445,2)="15",LEFT(TH!M4445,2)="15"),TK!$E$7=TH!F4445),"x","")</f>
        <v/>
      </c>
      <c r="X4445" s="525" t="str">
        <f>IF(AND('341-CT'!$E$9=H4445,OR(LEFT(L4445,3)=$X$7,LEFT(M4445,3)=$X$7)),"x","")</f>
        <v/>
      </c>
      <c r="Y4445" s="525" t="str">
        <f>IF(OR(TH!L4445=TH!$Y$7,M4445=TH!$Y$7),"x","")</f>
        <v/>
      </c>
      <c r="Z4445" s="525" t="str">
        <f>IF(AND(B4445&lt;=NKC!$N$8,B4445&gt;=NKC!$M$8),"x","")</f>
        <v/>
      </c>
      <c r="AA4445" s="535"/>
    </row>
    <row r="4446" spans="1:30" s="503" customFormat="1" ht="15.75" customHeight="1">
      <c r="A4446" s="517" t="str">
        <f>IF(B4446&lt;&gt;"",IF(AND(B4446&gt;=_TM1,B4446&lt;=_TM2,OR(TH!L4446="1111",TH!M4446="1111")),TH!D4446,""),"")</f>
        <v/>
      </c>
      <c r="B4446" s="531" t="str">
        <f t="shared" si="561"/>
        <v/>
      </c>
      <c r="C4446" s="315"/>
      <c r="D4446" s="537"/>
      <c r="E4446" s="280"/>
      <c r="F4446" s="247"/>
      <c r="G4446" s="314"/>
      <c r="H4446" s="472"/>
      <c r="I4446" s="307"/>
      <c r="J4446" s="307"/>
      <c r="K4446" s="532"/>
      <c r="L4446" s="534"/>
      <c r="M4446" s="534"/>
      <c r="N4446" s="525" t="str">
        <f>IF(AND('331-CT'!$E$7=TH!H4446,OR(L4446="331",M4446="331")),"331",IF(AND(OR(L4446="131",M4446="131"),H4446='131-CT'!$E$7),"131",""))</f>
        <v/>
      </c>
      <c r="O4446" s="525" t="str">
        <f>IF(AND($B4446&gt;='111'!$N$11,$B4446&lt;='111'!$O$11,OR($L4446=$O$7,$M4446=$O$7)),"x","")</f>
        <v/>
      </c>
      <c r="P4446" s="525" t="str">
        <f>IF(AND($L4446=$O$7,$B4446&lt;'111'!$N$11),"x","")</f>
        <v/>
      </c>
      <c r="Q4446" s="525" t="str">
        <f>IF(AND($M4446=$O$7,$B4446&lt;'111'!$N$11),"x","")</f>
        <v/>
      </c>
      <c r="R4446" s="525" t="str">
        <f>IF(ISERROR(FIND('112'!$M$9,G4446,1)),"",IF((AND(FIND('112'!$M$9,G4446,1)&gt;=1,$B4446&gt;='112'!$N$8,$B4446&lt;='112'!$O$8,OR($L4446='112'!$I$6,$M4446='112'!$I$6))),"x",""))</f>
        <v/>
      </c>
      <c r="S4446" s="525" t="str">
        <f>IF(ISERROR(FIND('112'!$M$9,G4446,1)),"",IF((AND(LEFT(G4446,2)=LEFT('112'!$M$9,2),B4446&lt;'112'!$N$8,$L4446='112'!$I$6)),"x",""))</f>
        <v/>
      </c>
      <c r="T4446" s="525" t="str">
        <f>IF(ISERROR(FIND('112'!$M$9,G4446,1)),"",IF((AND(RIGHT(G4446,2)=RIGHT('112'!$M$9,2),B4446&lt;'112'!$N$8,$M4446='112'!$I$6)),"x",""))</f>
        <v/>
      </c>
      <c r="U4446" s="525" t="str">
        <f>IF(AND(B4446&gt;='IN-NX'!$P$3,B4446&lt;='IN-NX'!$Q$3,'IN-NX'!$D$7=D4446,OR(LEFT(L4446,2)="15",AND(LEFT(M4446,2)&lt;&gt;"15",LEFT(M4446,2)&lt;&gt;"33"))),"x","")</f>
        <v/>
      </c>
      <c r="V4446" s="525" t="str">
        <f>IF(AND(OR(LEFT(TH!L4446,2)="15",LEFT(TH!M4446,2)="15"),'152-CT'!$J$8=TH!F4446),"x","")</f>
        <v/>
      </c>
      <c r="W4446" s="525" t="str">
        <f>IF(AND(OR(LEFT(TH!L4446,2)="15",LEFT(TH!M4446,2)="15"),TK!$E$7=TH!F4446),"x","")</f>
        <v/>
      </c>
      <c r="X4446" s="525" t="str">
        <f>IF(AND('341-CT'!$E$9=H4446,OR(LEFT(L4446,3)=$X$7,LEFT(M4446,3)=$X$7)),"x","")</f>
        <v/>
      </c>
      <c r="Y4446" s="525" t="str">
        <f>IF(OR(TH!L4446=TH!$Y$7,M4446=TH!$Y$7),"x","")</f>
        <v/>
      </c>
      <c r="Z4446" s="525" t="str">
        <f>IF(AND(B4446&lt;=NKC!$N$8,B4446&gt;=NKC!$M$8),"x","")</f>
        <v/>
      </c>
      <c r="AA4446" s="535"/>
    </row>
    <row r="4447" spans="1:30" s="503" customFormat="1" ht="15.75" customHeight="1">
      <c r="A4447" s="517" t="str">
        <f>IF(B4447&lt;&gt;"",IF(AND(B4447&gt;=_TM1,B4447&lt;=_TM2,OR(TH!L4447="1111",TH!M4447="1111")),TH!D4447,""),"")</f>
        <v/>
      </c>
      <c r="B4447" s="531" t="str">
        <f t="shared" ref="B4447:B4513" si="562">IF(C4447&lt;&gt;"",MONTH(C4447),"")</f>
        <v/>
      </c>
      <c r="C4447" s="315"/>
      <c r="D4447" s="537"/>
      <c r="E4447" s="280"/>
      <c r="F4447" s="247"/>
      <c r="G4447" s="314"/>
      <c r="H4447" s="472"/>
      <c r="I4447" s="307"/>
      <c r="J4447" s="307"/>
      <c r="K4447" s="532"/>
      <c r="L4447" s="534"/>
      <c r="M4447" s="534"/>
      <c r="N4447" s="525" t="str">
        <f>IF(AND('331-CT'!$E$7=TH!H4447,OR(L4447="331",M4447="331")),"331",IF(AND(OR(L4447="131",M4447="131"),H4447='131-CT'!$E$7),"131",""))</f>
        <v/>
      </c>
      <c r="O4447" s="525" t="str">
        <f>IF(AND($B4447&gt;='111'!$N$11,$B4447&lt;='111'!$O$11,OR($L4447=$O$7,$M4447=$O$7)),"x","")</f>
        <v/>
      </c>
      <c r="P4447" s="525" t="str">
        <f>IF(AND($L4447=$O$7,$B4447&lt;'111'!$N$11),"x","")</f>
        <v/>
      </c>
      <c r="Q4447" s="525" t="str">
        <f>IF(AND($M4447=$O$7,$B4447&lt;'111'!$N$11),"x","")</f>
        <v/>
      </c>
      <c r="R4447" s="525" t="str">
        <f>IF(ISERROR(FIND('112'!$M$9,G4447,1)),"",IF((AND(FIND('112'!$M$9,G4447,1)&gt;=1,$B4447&gt;='112'!$N$8,$B4447&lt;='112'!$O$8,OR($L4447='112'!$I$6,$M4447='112'!$I$6))),"x",""))</f>
        <v/>
      </c>
      <c r="S4447" s="525" t="str">
        <f>IF(ISERROR(FIND('112'!$M$9,G4447,1)),"",IF((AND(LEFT(G4447,2)=LEFT('112'!$M$9,2),B4447&lt;'112'!$N$8,$L4447='112'!$I$6)),"x",""))</f>
        <v/>
      </c>
      <c r="T4447" s="525" t="str">
        <f>IF(ISERROR(FIND('112'!$M$9,G4447,1)),"",IF((AND(RIGHT(G4447,2)=RIGHT('112'!$M$9,2),B4447&lt;'112'!$N$8,$M4447='112'!$I$6)),"x",""))</f>
        <v/>
      </c>
      <c r="U4447" s="525" t="str">
        <f>IF(AND(B4447&gt;='IN-NX'!$P$3,B4447&lt;='IN-NX'!$Q$3,'IN-NX'!$D$7=D4447,OR(LEFT(L4447,2)="15",AND(LEFT(M4447,2)&lt;&gt;"15",LEFT(M4447,2)&lt;&gt;"33"))),"x","")</f>
        <v/>
      </c>
      <c r="V4447" s="525" t="str">
        <f>IF(AND(OR(LEFT(TH!L4447,2)="15",LEFT(TH!M4447,2)="15"),'152-CT'!$J$8=TH!F4447),"x","")</f>
        <v/>
      </c>
      <c r="W4447" s="525" t="str">
        <f>IF(AND(OR(LEFT(TH!L4447,2)="15",LEFT(TH!M4447,2)="15"),TK!$E$7=TH!F4447),"x","")</f>
        <v/>
      </c>
      <c r="X4447" s="525" t="str">
        <f>IF(AND('341-CT'!$E$9=H4447,OR(LEFT(L4447,3)=$X$7,LEFT(M4447,3)=$X$7)),"x","")</f>
        <v/>
      </c>
      <c r="Y4447" s="525" t="str">
        <f>IF(OR(TH!L4447=TH!$Y$7,M4447=TH!$Y$7),"x","")</f>
        <v/>
      </c>
      <c r="Z4447" s="525" t="str">
        <f>IF(AND(B4447&lt;=NKC!$N$8,B4447&gt;=NKC!$M$8),"x","")</f>
        <v/>
      </c>
      <c r="AA4447" s="535"/>
    </row>
    <row r="4448" spans="1:30" s="503" customFormat="1" ht="15.75" customHeight="1">
      <c r="A4448" s="517" t="str">
        <f>IF(B4448&lt;&gt;"",IF(AND(B4448&gt;=_TM1,B4448&lt;=_TM2,OR(TH!L4448="1111",TH!M4448="1111")),TH!D4448,""),"")</f>
        <v/>
      </c>
      <c r="B4448" s="531" t="str">
        <f t="shared" si="562"/>
        <v/>
      </c>
      <c r="C4448" s="315"/>
      <c r="D4448" s="537"/>
      <c r="E4448" s="280"/>
      <c r="F4448" s="247"/>
      <c r="G4448" s="538"/>
      <c r="H4448" s="473"/>
      <c r="I4448" s="307"/>
      <c r="J4448" s="307"/>
      <c r="K4448" s="532"/>
      <c r="L4448" s="534"/>
      <c r="M4448" s="534"/>
      <c r="N4448" s="525" t="str">
        <f>IF(AND('331-CT'!$E$7=TH!H4448,OR(L4448="331",M4448="331")),"331",IF(AND(OR(L4448="131",M4448="131"),H4448='131-CT'!$E$7),"131",""))</f>
        <v/>
      </c>
      <c r="O4448" s="525" t="str">
        <f>IF(AND($B4448&gt;='111'!$N$11,$B4448&lt;='111'!$O$11,OR($L4448=$O$7,$M4448=$O$7)),"x","")</f>
        <v/>
      </c>
      <c r="P4448" s="525" t="str">
        <f>IF(AND($L4448=$O$7,$B4448&lt;'111'!$N$11),"x","")</f>
        <v/>
      </c>
      <c r="Q4448" s="525" t="str">
        <f>IF(AND($M4448=$O$7,$B4448&lt;'111'!$N$11),"x","")</f>
        <v/>
      </c>
      <c r="R4448" s="525" t="str">
        <f>IF(ISERROR(FIND('112'!$M$9,G4448,1)),"",IF((AND(FIND('112'!$M$9,G4448,1)&gt;=1,$B4448&gt;='112'!$N$8,$B4448&lt;='112'!$O$8,OR($L4448='112'!$I$6,$M4448='112'!$I$6))),"x",""))</f>
        <v/>
      </c>
      <c r="S4448" s="525" t="str">
        <f>IF(ISERROR(FIND('112'!$M$9,G4448,1)),"",IF((AND(LEFT(G4448,2)=LEFT('112'!$M$9,2),B4448&lt;'112'!$N$8,$L4448='112'!$I$6)),"x",""))</f>
        <v/>
      </c>
      <c r="T4448" s="525" t="str">
        <f>IF(ISERROR(FIND('112'!$M$9,G4448,1)),"",IF((AND(RIGHT(G4448,2)=RIGHT('112'!$M$9,2),B4448&lt;'112'!$N$8,$M4448='112'!$I$6)),"x",""))</f>
        <v/>
      </c>
      <c r="U4448" s="525" t="str">
        <f>IF(AND(B4448&gt;='IN-NX'!$P$3,B4448&lt;='IN-NX'!$Q$3,'IN-NX'!$D$7=D4448,OR(LEFT(L4448,2)="15",AND(LEFT(M4448,2)&lt;&gt;"15",LEFT(M4448,2)&lt;&gt;"33"))),"x","")</f>
        <v/>
      </c>
      <c r="V4448" s="525" t="str">
        <f>IF(AND(OR(LEFT(TH!L4448,2)="15",LEFT(TH!M4448,2)="15"),'152-CT'!$J$8=TH!F4448),"x","")</f>
        <v/>
      </c>
      <c r="W4448" s="525" t="str">
        <f>IF(AND(OR(LEFT(TH!L4448,2)="15",LEFT(TH!M4448,2)="15"),TK!$E$7=TH!F4448),"x","")</f>
        <v/>
      </c>
      <c r="X4448" s="525" t="str">
        <f>IF(AND('341-CT'!$E$9=H4448,OR(LEFT(L4448,3)=$X$7,LEFT(M4448,3)=$X$7)),"x","")</f>
        <v/>
      </c>
      <c r="Y4448" s="525" t="str">
        <f>IF(OR(TH!L4448=TH!$Y$7,M4448=TH!$Y$7),"x","")</f>
        <v/>
      </c>
      <c r="Z4448" s="525" t="str">
        <f>IF(AND(B4448&lt;=NKC!$N$8,B4448&gt;=NKC!$M$8),"x","")</f>
        <v/>
      </c>
      <c r="AA4448" s="535"/>
    </row>
    <row r="4449" spans="1:28" s="503" customFormat="1" ht="15.75" customHeight="1">
      <c r="A4449" s="517" t="str">
        <f>IF(B4449&lt;&gt;"",IF(AND(B4449&gt;=_TM1,B4449&lt;=_TM2,OR(TH!L4449="1111",TH!M4449="1111")),TH!D4449,""),"")</f>
        <v/>
      </c>
      <c r="B4449" s="531" t="str">
        <f t="shared" si="562"/>
        <v/>
      </c>
      <c r="C4449" s="315"/>
      <c r="D4449" s="537"/>
      <c r="E4449" s="280"/>
      <c r="F4449" s="247"/>
      <c r="G4449" s="538"/>
      <c r="H4449" s="473"/>
      <c r="I4449" s="307"/>
      <c r="J4449" s="307"/>
      <c r="K4449" s="532"/>
      <c r="L4449" s="534"/>
      <c r="M4449" s="534"/>
      <c r="N4449" s="525" t="str">
        <f>IF(AND('331-CT'!$E$7=TH!H4449,OR(L4449="331",M4449="331")),"331",IF(AND(OR(L4449="131",M4449="131"),H4449='131-CT'!$E$7),"131",""))</f>
        <v/>
      </c>
      <c r="O4449" s="525" t="str">
        <f>IF(AND($B4449&gt;='111'!$N$11,$B4449&lt;='111'!$O$11,OR($L4449=$O$7,$M4449=$O$7)),"x","")</f>
        <v/>
      </c>
      <c r="P4449" s="525" t="str">
        <f>IF(AND($L4449=$O$7,$B4449&lt;'111'!$N$11),"x","")</f>
        <v/>
      </c>
      <c r="Q4449" s="525" t="str">
        <f>IF(AND($M4449=$O$7,$B4449&lt;'111'!$N$11),"x","")</f>
        <v/>
      </c>
      <c r="R4449" s="525" t="str">
        <f>IF(ISERROR(FIND('112'!$M$9,G4449,1)),"",IF((AND(FIND('112'!$M$9,G4449,1)&gt;=1,$B4449&gt;='112'!$N$8,$B4449&lt;='112'!$O$8,OR($L4449='112'!$I$6,$M4449='112'!$I$6))),"x",""))</f>
        <v/>
      </c>
      <c r="S4449" s="525" t="str">
        <f>IF(ISERROR(FIND('112'!$M$9,G4449,1)),"",IF((AND(LEFT(G4449,2)=LEFT('112'!$M$9,2),B4449&lt;'112'!$N$8,$L4449='112'!$I$6)),"x",""))</f>
        <v/>
      </c>
      <c r="T4449" s="525" t="str">
        <f>IF(ISERROR(FIND('112'!$M$9,G4449,1)),"",IF((AND(RIGHT(G4449,2)=RIGHT('112'!$M$9,2),B4449&lt;'112'!$N$8,$M4449='112'!$I$6)),"x",""))</f>
        <v/>
      </c>
      <c r="U4449" s="525" t="str">
        <f>IF(AND(B4449&gt;='IN-NX'!$P$3,B4449&lt;='IN-NX'!$Q$3,'IN-NX'!$D$7=D4449,OR(LEFT(L4449,2)="15",AND(LEFT(M4449,2)&lt;&gt;"15",LEFT(M4449,2)&lt;&gt;"33"))),"x","")</f>
        <v/>
      </c>
      <c r="V4449" s="525" t="str">
        <f>IF(AND(OR(LEFT(TH!L4449,2)="15",LEFT(TH!M4449,2)="15"),'152-CT'!$J$8=TH!F4449),"x","")</f>
        <v/>
      </c>
      <c r="W4449" s="525" t="str">
        <f>IF(AND(OR(LEFT(TH!L4449,2)="15",LEFT(TH!M4449,2)="15"),TK!$E$7=TH!F4449),"x","")</f>
        <v/>
      </c>
      <c r="X4449" s="525" t="str">
        <f>IF(AND('341-CT'!$E$9=H4449,OR(LEFT(L4449,3)=$X$7,LEFT(M4449,3)=$X$7)),"x","")</f>
        <v/>
      </c>
      <c r="Y4449" s="525" t="str">
        <f>IF(OR(TH!L4449=TH!$Y$7,M4449=TH!$Y$7),"x","")</f>
        <v/>
      </c>
      <c r="Z4449" s="525" t="str">
        <f>IF(AND(B4449&lt;=NKC!$N$8,B4449&gt;=NKC!$M$8),"x","")</f>
        <v/>
      </c>
      <c r="AA4449" s="535"/>
    </row>
    <row r="4450" spans="1:28" s="503" customFormat="1" ht="15.75" customHeight="1">
      <c r="A4450" s="517" t="str">
        <f>IF(B4450&lt;&gt;"",IF(AND(B4450&gt;=_TM1,B4450&lt;=_TM2,OR(TH!L4450="1111",TH!M4450="1111")),TH!D4450,""),"")</f>
        <v/>
      </c>
      <c r="B4450" s="531" t="str">
        <f t="shared" si="562"/>
        <v/>
      </c>
      <c r="C4450" s="315"/>
      <c r="D4450" s="537"/>
      <c r="E4450" s="545"/>
      <c r="F4450" s="249"/>
      <c r="G4450" s="314"/>
      <c r="H4450" s="473"/>
      <c r="I4450" s="307"/>
      <c r="J4450" s="307"/>
      <c r="K4450" s="532"/>
      <c r="L4450" s="533"/>
      <c r="M4450" s="533"/>
      <c r="N4450" s="525" t="str">
        <f>IF(AND('331-CT'!$E$7=TH!H4450,OR(L4450="331",M4450="331")),"331",IF(AND(OR(L4450="131",M4450="131"),H4450='131-CT'!$E$7),"131",""))</f>
        <v/>
      </c>
      <c r="O4450" s="525" t="str">
        <f>IF(AND($B4450&gt;='111'!$N$11,$B4450&lt;='111'!$O$11,OR($L4450=$O$7,$M4450=$O$7)),"x","")</f>
        <v/>
      </c>
      <c r="P4450" s="525" t="str">
        <f>IF(AND($L4450=$O$7,$B4450&lt;'111'!$N$11),"x","")</f>
        <v/>
      </c>
      <c r="Q4450" s="525" t="str">
        <f>IF(AND($M4450=$O$7,$B4450&lt;'111'!$N$11),"x","")</f>
        <v/>
      </c>
      <c r="R4450" s="525" t="str">
        <f>IF(ISERROR(FIND('112'!$M$9,G4450,1)),"",IF((AND(FIND('112'!$M$9,G4450,1)&gt;=1,$B4450&gt;='112'!$N$8,$B4450&lt;='112'!$O$8,OR($L4450='112'!$I$6,$M4450='112'!$I$6))),"x",""))</f>
        <v/>
      </c>
      <c r="S4450" s="525" t="str">
        <f>IF(ISERROR(FIND('112'!$M$9,G4450,1)),"",IF((AND(LEFT(G4450,2)=LEFT('112'!$M$9,2),B4450&lt;'112'!$N$8,$L4450='112'!$I$6)),"x",""))</f>
        <v/>
      </c>
      <c r="T4450" s="525" t="str">
        <f>IF(ISERROR(FIND('112'!$M$9,G4450,1)),"",IF((AND(RIGHT(G4450,2)=RIGHT('112'!$M$9,2),B4450&lt;'112'!$N$8,$M4450='112'!$I$6)),"x",""))</f>
        <v/>
      </c>
      <c r="U4450" s="525" t="str">
        <f>IF(AND(B4450&gt;='IN-NX'!$P$3,B4450&lt;='IN-NX'!$Q$3,'IN-NX'!$D$7=D4450,OR(LEFT(L4450,2)="15",AND(LEFT(M4450,2)&lt;&gt;"15",LEFT(M4450,2)&lt;&gt;"33"))),"x","")</f>
        <v/>
      </c>
      <c r="V4450" s="525" t="str">
        <f>IF(AND(OR(LEFT(TH!L4450,2)="15",LEFT(TH!M4450,2)="15"),'152-CT'!$J$8=TH!F4450),"x","")</f>
        <v/>
      </c>
      <c r="W4450" s="525" t="str">
        <f>IF(AND(OR(LEFT(TH!L4450,2)="15",LEFT(TH!M4450,2)="15"),TK!$E$7=TH!F4450),"x","")</f>
        <v/>
      </c>
      <c r="X4450" s="525" t="str">
        <f>IF(AND('341-CT'!$E$9=H4450,OR(LEFT(L4450,3)=$X$7,LEFT(M4450,3)=$X$7)),"x","")</f>
        <v/>
      </c>
      <c r="Y4450" s="525" t="str">
        <f>IF(OR(TH!L4450=TH!$Y$7,M4450=TH!$Y$7),"x","")</f>
        <v/>
      </c>
      <c r="Z4450" s="525" t="str">
        <f>IF(AND(B4450&lt;=NKC!$N$8,B4450&gt;=NKC!$M$8),"x","")</f>
        <v/>
      </c>
      <c r="AA4450" s="535"/>
      <c r="AB4450" s="536"/>
    </row>
    <row r="4451" spans="1:28" s="503" customFormat="1" ht="15.75" customHeight="1">
      <c r="A4451" s="517" t="str">
        <f>IF(B4451&lt;&gt;"",IF(AND(B4451&gt;=_TM1,B4451&lt;=_TM2,OR(TH!L4451="1111",TH!M4451="1111")),TH!D4451,""),"")</f>
        <v/>
      </c>
      <c r="B4451" s="531" t="str">
        <f t="shared" si="562"/>
        <v/>
      </c>
      <c r="C4451" s="315"/>
      <c r="D4451" s="537"/>
      <c r="E4451" s="545"/>
      <c r="F4451" s="249"/>
      <c r="G4451" s="314"/>
      <c r="H4451" s="473"/>
      <c r="I4451" s="307"/>
      <c r="J4451" s="307"/>
      <c r="K4451" s="532"/>
      <c r="L4451" s="534"/>
      <c r="M4451" s="533"/>
      <c r="N4451" s="525" t="str">
        <f>IF(AND('331-CT'!$E$7=TH!H4451,OR(L4451="331",M4451="331")),"331",IF(AND(OR(L4451="131",M4451="131"),H4451='131-CT'!$E$7),"131",""))</f>
        <v/>
      </c>
      <c r="O4451" s="525" t="str">
        <f>IF(AND($B4451&gt;='111'!$N$11,$B4451&lt;='111'!$O$11,OR($L4451=$O$7,$M4451=$O$7)),"x","")</f>
        <v/>
      </c>
      <c r="P4451" s="525" t="str">
        <f>IF(AND($L4451=$O$7,$B4451&lt;'111'!$N$11),"x","")</f>
        <v/>
      </c>
      <c r="Q4451" s="525" t="str">
        <f>IF(AND($M4451=$O$7,$B4451&lt;'111'!$N$11),"x","")</f>
        <v/>
      </c>
      <c r="R4451" s="525" t="str">
        <f>IF(ISERROR(FIND('112'!$M$9,G4451,1)),"",IF((AND(FIND('112'!$M$9,G4451,1)&gt;=1,$B4451&gt;='112'!$N$8,$B4451&lt;='112'!$O$8,OR($L4451='112'!$I$6,$M4451='112'!$I$6))),"x",""))</f>
        <v/>
      </c>
      <c r="S4451" s="525" t="str">
        <f>IF(ISERROR(FIND('112'!$M$9,G4451,1)),"",IF((AND(LEFT(G4451,2)=LEFT('112'!$M$9,2),B4451&lt;'112'!$N$8,$L4451='112'!$I$6)),"x",""))</f>
        <v/>
      </c>
      <c r="T4451" s="525" t="str">
        <f>IF(ISERROR(FIND('112'!$M$9,G4451,1)),"",IF((AND(RIGHT(G4451,2)=RIGHT('112'!$M$9,2),B4451&lt;'112'!$N$8,$M4451='112'!$I$6)),"x",""))</f>
        <v/>
      </c>
      <c r="U4451" s="525" t="str">
        <f>IF(AND(B4451&gt;='IN-NX'!$P$3,B4451&lt;='IN-NX'!$Q$3,'IN-NX'!$D$7=D4451,OR(LEFT(L4451,2)="15",AND(LEFT(M4451,2)&lt;&gt;"15",LEFT(M4451,2)&lt;&gt;"33"))),"x","")</f>
        <v/>
      </c>
      <c r="V4451" s="525" t="str">
        <f>IF(AND(OR(LEFT(TH!L4451,2)="15",LEFT(TH!M4451,2)="15"),'152-CT'!$J$8=TH!F4451),"x","")</f>
        <v/>
      </c>
      <c r="W4451" s="525" t="str">
        <f>IF(AND(OR(LEFT(TH!L4451,2)="15",LEFT(TH!M4451,2)="15"),TK!$E$7=TH!F4451),"x","")</f>
        <v/>
      </c>
      <c r="X4451" s="525" t="str">
        <f>IF(AND('341-CT'!$E$9=H4451,OR(LEFT(L4451,3)=$X$7,LEFT(M4451,3)=$X$7)),"x","")</f>
        <v/>
      </c>
      <c r="Y4451" s="525" t="str">
        <f>IF(OR(TH!L4451=TH!$Y$7,M4451=TH!$Y$7),"x","")</f>
        <v/>
      </c>
      <c r="Z4451" s="525" t="str">
        <f>IF(AND(B4451&lt;=NKC!$N$8,B4451&gt;=NKC!$M$8),"x","")</f>
        <v/>
      </c>
      <c r="AA4451" s="535"/>
      <c r="AB4451" s="536"/>
    </row>
    <row r="4452" spans="1:28" s="503" customFormat="1" ht="15.75" customHeight="1">
      <c r="A4452" s="517" t="str">
        <f>IF(B4452&lt;&gt;"",IF(AND(B4452&gt;=_TM1,B4452&lt;=_TM2,OR(TH!L4452="1111",TH!M4452="1111")),TH!D4452,""),"")</f>
        <v/>
      </c>
      <c r="B4452" s="531" t="str">
        <f t="shared" si="562"/>
        <v/>
      </c>
      <c r="C4452" s="315"/>
      <c r="D4452" s="537"/>
      <c r="E4452" s="280"/>
      <c r="F4452" s="247"/>
      <c r="G4452" s="538"/>
      <c r="H4452" s="473"/>
      <c r="I4452" s="307"/>
      <c r="J4452" s="307"/>
      <c r="K4452" s="532"/>
      <c r="L4452" s="539"/>
      <c r="M4452" s="539"/>
      <c r="N4452" s="525" t="str">
        <f>IF(AND('331-CT'!$E$7=TH!H4452,OR(L4452="331",M4452="331")),"331",IF(AND(OR(L4452="131",M4452="131"),H4452='131-CT'!$E$7),"131",""))</f>
        <v/>
      </c>
      <c r="O4452" s="525" t="str">
        <f>IF(AND($B4452&gt;='111'!$N$11,$B4452&lt;='111'!$O$11,OR($L4452=$O$7,$M4452=$O$7)),"x","")</f>
        <v/>
      </c>
      <c r="P4452" s="525" t="str">
        <f>IF(AND($L4452=$O$7,$B4452&lt;'111'!$N$11),"x","")</f>
        <v/>
      </c>
      <c r="Q4452" s="525" t="str">
        <f>IF(AND($M4452=$O$7,$B4452&lt;'111'!$N$11),"x","")</f>
        <v/>
      </c>
      <c r="R4452" s="525" t="str">
        <f>IF(ISERROR(FIND('112'!$M$9,G4452,1)),"",IF((AND(FIND('112'!$M$9,G4452,1)&gt;=1,$B4452&gt;='112'!$N$8,$B4452&lt;='112'!$O$8,OR($L4452='112'!$I$6,$M4452='112'!$I$6))),"x",""))</f>
        <v/>
      </c>
      <c r="S4452" s="525" t="str">
        <f>IF(ISERROR(FIND('112'!$M$9,G4452,1)),"",IF((AND(LEFT(G4452,2)=LEFT('112'!$M$9,2),B4452&lt;'112'!$N$8,$L4452='112'!$I$6)),"x",""))</f>
        <v/>
      </c>
      <c r="T4452" s="525" t="str">
        <f>IF(ISERROR(FIND('112'!$M$9,G4452,1)),"",IF((AND(RIGHT(G4452,2)=RIGHT('112'!$M$9,2),B4452&lt;'112'!$N$8,$M4452='112'!$I$6)),"x",""))</f>
        <v/>
      </c>
      <c r="U4452" s="525" t="str">
        <f>IF(AND(B4452&gt;='IN-NX'!$P$3,B4452&lt;='IN-NX'!$Q$3,'IN-NX'!$D$7=D4452,OR(LEFT(L4452,2)="15",AND(LEFT(M4452,2)&lt;&gt;"15",LEFT(M4452,2)&lt;&gt;"33"))),"x","")</f>
        <v/>
      </c>
      <c r="V4452" s="525" t="str">
        <f>IF(AND(OR(LEFT(TH!L4452,2)="15",LEFT(TH!M4452,2)="15"),'152-CT'!$J$8=TH!F4452),"x","")</f>
        <v/>
      </c>
      <c r="W4452" s="525" t="str">
        <f>IF(AND(OR(LEFT(TH!L4452,2)="15",LEFT(TH!M4452,2)="15"),TK!$E$7=TH!F4452),"x","")</f>
        <v/>
      </c>
      <c r="X4452" s="525" t="str">
        <f>IF(AND('341-CT'!$E$9=H4452,OR(LEFT(L4452,3)=$X$7,LEFT(M4452,3)=$X$7)),"x","")</f>
        <v/>
      </c>
      <c r="Y4452" s="525" t="str">
        <f>IF(OR(TH!L4452=TH!$Y$7,M4452=TH!$Y$7),"x","")</f>
        <v/>
      </c>
      <c r="Z4452" s="525" t="str">
        <f>IF(AND(B4452&lt;=NKC!$N$8,B4452&gt;=NKC!$M$8),"x","")</f>
        <v/>
      </c>
      <c r="AA4452" s="535"/>
      <c r="AB4452" s="536"/>
    </row>
    <row r="4453" spans="1:28" s="503" customFormat="1" ht="15.75" customHeight="1">
      <c r="A4453" s="517" t="str">
        <f>IF(B4453&lt;&gt;"",IF(AND(B4453&gt;=_TM1,B4453&lt;=_TM2,OR(TH!L4453="1111",TH!M4453="1111")),TH!D4453,""),"")</f>
        <v/>
      </c>
      <c r="B4453" s="531" t="str">
        <f t="shared" si="562"/>
        <v/>
      </c>
      <c r="C4453" s="315"/>
      <c r="D4453" s="537"/>
      <c r="E4453" s="280"/>
      <c r="F4453" s="247"/>
      <c r="G4453" s="538"/>
      <c r="H4453" s="473"/>
      <c r="I4453" s="307"/>
      <c r="J4453" s="307"/>
      <c r="K4453" s="532"/>
      <c r="L4453" s="539"/>
      <c r="M4453" s="539"/>
      <c r="N4453" s="525" t="str">
        <f>IF(AND('331-CT'!$E$7=TH!H4453,OR(L4453="331",M4453="331")),"331",IF(AND(OR(L4453="131",M4453="131"),H4453='131-CT'!$E$7),"131",""))</f>
        <v/>
      </c>
      <c r="O4453" s="525" t="str">
        <f>IF(AND($B4453&gt;='111'!$N$11,$B4453&lt;='111'!$O$11,OR($L4453=$O$7,$M4453=$O$7)),"x","")</f>
        <v/>
      </c>
      <c r="P4453" s="525" t="str">
        <f>IF(AND($L4453=$O$7,$B4453&lt;'111'!$N$11),"x","")</f>
        <v/>
      </c>
      <c r="Q4453" s="525" t="str">
        <f>IF(AND($M4453=$O$7,$B4453&lt;'111'!$N$11),"x","")</f>
        <v/>
      </c>
      <c r="R4453" s="525" t="str">
        <f>IF(ISERROR(FIND('112'!$M$9,G4453,1)),"",IF((AND(FIND('112'!$M$9,G4453,1)&gt;=1,$B4453&gt;='112'!$N$8,$B4453&lt;='112'!$O$8,OR($L4453='112'!$I$6,$M4453='112'!$I$6))),"x",""))</f>
        <v/>
      </c>
      <c r="S4453" s="525" t="str">
        <f>IF(ISERROR(FIND('112'!$M$9,G4453,1)),"",IF((AND(LEFT(G4453,2)=LEFT('112'!$M$9,2),B4453&lt;'112'!$N$8,$L4453='112'!$I$6)),"x",""))</f>
        <v/>
      </c>
      <c r="T4453" s="525" t="str">
        <f>IF(ISERROR(FIND('112'!$M$9,G4453,1)),"",IF((AND(RIGHT(G4453,2)=RIGHT('112'!$M$9,2),B4453&lt;'112'!$N$8,$M4453='112'!$I$6)),"x",""))</f>
        <v/>
      </c>
      <c r="U4453" s="525" t="str">
        <f>IF(AND(B4453&gt;='IN-NX'!$P$3,B4453&lt;='IN-NX'!$Q$3,'IN-NX'!$D$7=D4453,OR(LEFT(L4453,2)="15",AND(LEFT(M4453,2)&lt;&gt;"15",LEFT(M4453,2)&lt;&gt;"33"))),"x","")</f>
        <v/>
      </c>
      <c r="V4453" s="525" t="str">
        <f>IF(AND(OR(LEFT(TH!L4453,2)="15",LEFT(TH!M4453,2)="15"),'152-CT'!$J$8=TH!F4453),"x","")</f>
        <v/>
      </c>
      <c r="W4453" s="525" t="str">
        <f>IF(AND(OR(LEFT(TH!L4453,2)="15",LEFT(TH!M4453,2)="15"),TK!$E$7=TH!F4453),"x","")</f>
        <v/>
      </c>
      <c r="X4453" s="525" t="str">
        <f>IF(AND('341-CT'!$E$9=H4453,OR(LEFT(L4453,3)=$X$7,LEFT(M4453,3)=$X$7)),"x","")</f>
        <v/>
      </c>
      <c r="Y4453" s="525" t="str">
        <f>IF(OR(TH!L4453=TH!$Y$7,M4453=TH!$Y$7),"x","")</f>
        <v/>
      </c>
      <c r="Z4453" s="525" t="str">
        <f>IF(AND(B4453&lt;=NKC!$N$8,B4453&gt;=NKC!$M$8),"x","")</f>
        <v/>
      </c>
      <c r="AA4453" s="535"/>
      <c r="AB4453" s="536"/>
    </row>
    <row r="4454" spans="1:28" s="503" customFormat="1" ht="15.75" customHeight="1">
      <c r="A4454" s="517" t="str">
        <f>IF(B4454&lt;&gt;"",IF(AND(B4454&gt;=_TM1,B4454&lt;=_TM2,OR(TH!L4454="1111",TH!M4454="1111")),TH!D4454,""),"")</f>
        <v/>
      </c>
      <c r="B4454" s="531" t="str">
        <f t="shared" si="562"/>
        <v/>
      </c>
      <c r="C4454" s="315"/>
      <c r="D4454" s="537"/>
      <c r="E4454" s="280"/>
      <c r="F4454" s="247"/>
      <c r="G4454" s="538"/>
      <c r="H4454" s="473"/>
      <c r="I4454" s="307"/>
      <c r="J4454" s="307"/>
      <c r="K4454" s="532"/>
      <c r="L4454" s="539"/>
      <c r="M4454" s="539"/>
      <c r="N4454" s="525" t="str">
        <f>IF(AND('331-CT'!$E$7=TH!H4454,OR(L4454="331",M4454="331")),"331",IF(AND(OR(L4454="131",M4454="131"),H4454='131-CT'!$E$7),"131",""))</f>
        <v/>
      </c>
      <c r="O4454" s="525" t="str">
        <f>IF(AND($B4454&gt;='111'!$N$11,$B4454&lt;='111'!$O$11,OR($L4454=$O$7,$M4454=$O$7)),"x","")</f>
        <v/>
      </c>
      <c r="P4454" s="525" t="str">
        <f>IF(AND($L4454=$O$7,$B4454&lt;'111'!$N$11),"x","")</f>
        <v/>
      </c>
      <c r="Q4454" s="525" t="str">
        <f>IF(AND($M4454=$O$7,$B4454&lt;'111'!$N$11),"x","")</f>
        <v/>
      </c>
      <c r="R4454" s="525" t="str">
        <f>IF(ISERROR(FIND('112'!$M$9,G4454,1)),"",IF((AND(FIND('112'!$M$9,G4454,1)&gt;=1,$B4454&gt;='112'!$N$8,$B4454&lt;='112'!$O$8,OR($L4454='112'!$I$6,$M4454='112'!$I$6))),"x",""))</f>
        <v/>
      </c>
      <c r="S4454" s="525" t="str">
        <f>IF(ISERROR(FIND('112'!$M$9,G4454,1)),"",IF((AND(LEFT(G4454,2)=LEFT('112'!$M$9,2),B4454&lt;'112'!$N$8,$L4454='112'!$I$6)),"x",""))</f>
        <v/>
      </c>
      <c r="T4454" s="525" t="str">
        <f>IF(ISERROR(FIND('112'!$M$9,G4454,1)),"",IF((AND(RIGHT(G4454,2)=RIGHT('112'!$M$9,2),B4454&lt;'112'!$N$8,$M4454='112'!$I$6)),"x",""))</f>
        <v/>
      </c>
      <c r="U4454" s="525" t="str">
        <f>IF(AND(B4454&gt;='IN-NX'!$P$3,B4454&lt;='IN-NX'!$Q$3,'IN-NX'!$D$7=D4454,OR(LEFT(L4454,2)="15",AND(LEFT(M4454,2)&lt;&gt;"15",LEFT(M4454,2)&lt;&gt;"33"))),"x","")</f>
        <v/>
      </c>
      <c r="V4454" s="525" t="str">
        <f>IF(AND(OR(LEFT(TH!L4454,2)="15",LEFT(TH!M4454,2)="15"),'152-CT'!$J$8=TH!F4454),"x","")</f>
        <v/>
      </c>
      <c r="W4454" s="525" t="str">
        <f>IF(AND(OR(LEFT(TH!L4454,2)="15",LEFT(TH!M4454,2)="15"),TK!$E$7=TH!F4454),"x","")</f>
        <v/>
      </c>
      <c r="X4454" s="525" t="str">
        <f>IF(AND('341-CT'!$E$9=H4454,OR(LEFT(L4454,3)=$X$7,LEFT(M4454,3)=$X$7)),"x","")</f>
        <v/>
      </c>
      <c r="Y4454" s="525" t="str">
        <f>IF(OR(TH!L4454=TH!$Y$7,M4454=TH!$Y$7),"x","")</f>
        <v/>
      </c>
      <c r="Z4454" s="525" t="str">
        <f>IF(AND(B4454&lt;=NKC!$N$8,B4454&gt;=NKC!$M$8),"x","")</f>
        <v/>
      </c>
      <c r="AA4454" s="535"/>
      <c r="AB4454" s="536"/>
    </row>
    <row r="4455" spans="1:28" s="503" customFormat="1" ht="15.75" customHeight="1">
      <c r="A4455" s="517" t="str">
        <f>IF(B4455&lt;&gt;"",IF(AND(B4455&gt;=_TM1,B4455&lt;=_TM2,OR(TH!L4455="1111",TH!M4455="1111")),TH!D4455,""),"")</f>
        <v/>
      </c>
      <c r="B4455" s="531" t="str">
        <f t="shared" si="562"/>
        <v/>
      </c>
      <c r="C4455" s="315"/>
      <c r="D4455" s="537"/>
      <c r="E4455" s="280"/>
      <c r="F4455" s="247"/>
      <c r="G4455" s="538"/>
      <c r="H4455" s="473"/>
      <c r="I4455" s="307"/>
      <c r="J4455" s="307"/>
      <c r="K4455" s="532"/>
      <c r="L4455" s="539"/>
      <c r="M4455" s="539"/>
      <c r="N4455" s="525" t="str">
        <f>IF(AND('331-CT'!$E$7=TH!H4455,OR(L4455="331",M4455="331")),"331",IF(AND(OR(L4455="131",M4455="131"),H4455='131-CT'!$E$7),"131",""))</f>
        <v/>
      </c>
      <c r="O4455" s="525" t="str">
        <f>IF(AND($B4455&gt;='111'!$N$11,$B4455&lt;='111'!$O$11,OR($L4455=$O$7,$M4455=$O$7)),"x","")</f>
        <v/>
      </c>
      <c r="P4455" s="525" t="str">
        <f>IF(AND($L4455=$O$7,$B4455&lt;'111'!$N$11),"x","")</f>
        <v/>
      </c>
      <c r="Q4455" s="525" t="str">
        <f>IF(AND($M4455=$O$7,$B4455&lt;'111'!$N$11),"x","")</f>
        <v/>
      </c>
      <c r="R4455" s="525" t="str">
        <f>IF(ISERROR(FIND('112'!$M$9,G4455,1)),"",IF((AND(FIND('112'!$M$9,G4455,1)&gt;=1,$B4455&gt;='112'!$N$8,$B4455&lt;='112'!$O$8,OR($L4455='112'!$I$6,$M4455='112'!$I$6))),"x",""))</f>
        <v/>
      </c>
      <c r="S4455" s="525" t="str">
        <f>IF(ISERROR(FIND('112'!$M$9,G4455,1)),"",IF((AND(LEFT(G4455,2)=LEFT('112'!$M$9,2),B4455&lt;'112'!$N$8,$L4455='112'!$I$6)),"x",""))</f>
        <v/>
      </c>
      <c r="T4455" s="525" t="str">
        <f>IF(ISERROR(FIND('112'!$M$9,G4455,1)),"",IF((AND(RIGHT(G4455,2)=RIGHT('112'!$M$9,2),B4455&lt;'112'!$N$8,$M4455='112'!$I$6)),"x",""))</f>
        <v/>
      </c>
      <c r="U4455" s="525" t="str">
        <f>IF(AND(B4455&gt;='IN-NX'!$P$3,B4455&lt;='IN-NX'!$Q$3,'IN-NX'!$D$7=D4455,OR(LEFT(L4455,2)="15",AND(LEFT(M4455,2)&lt;&gt;"15",LEFT(M4455,2)&lt;&gt;"33"))),"x","")</f>
        <v/>
      </c>
      <c r="V4455" s="525" t="str">
        <f>IF(AND(OR(LEFT(TH!L4455,2)="15",LEFT(TH!M4455,2)="15"),'152-CT'!$J$8=TH!F4455),"x","")</f>
        <v/>
      </c>
      <c r="W4455" s="525" t="str">
        <f>IF(AND(OR(LEFT(TH!L4455,2)="15",LEFT(TH!M4455,2)="15"),TK!$E$7=TH!F4455),"x","")</f>
        <v/>
      </c>
      <c r="X4455" s="525" t="str">
        <f>IF(AND('341-CT'!$E$9=H4455,OR(LEFT(L4455,3)=$X$7,LEFT(M4455,3)=$X$7)),"x","")</f>
        <v/>
      </c>
      <c r="Y4455" s="525" t="str">
        <f>IF(OR(TH!L4455=TH!$Y$7,M4455=TH!$Y$7),"x","")</f>
        <v/>
      </c>
      <c r="Z4455" s="525" t="str">
        <f>IF(AND(B4455&lt;=NKC!$N$8,B4455&gt;=NKC!$M$8),"x","")</f>
        <v/>
      </c>
      <c r="AA4455" s="535"/>
      <c r="AB4455" s="536"/>
    </row>
    <row r="4456" spans="1:28" s="503" customFormat="1" ht="15.75" customHeight="1">
      <c r="A4456" s="517" t="str">
        <f>IF(B4456&lt;&gt;"",IF(AND(B4456&gt;=_TM1,B4456&lt;=_TM2,OR(TH!L4456="1111",TH!M4456="1111")),TH!D4456,""),"")</f>
        <v/>
      </c>
      <c r="B4456" s="531" t="str">
        <f t="shared" si="562"/>
        <v/>
      </c>
      <c r="C4456" s="315"/>
      <c r="D4456" s="537"/>
      <c r="E4456" s="280"/>
      <c r="F4456" s="247"/>
      <c r="G4456" s="538"/>
      <c r="H4456" s="473"/>
      <c r="I4456" s="307"/>
      <c r="J4456" s="307"/>
      <c r="K4456" s="532"/>
      <c r="L4456" s="534"/>
      <c r="M4456" s="539"/>
      <c r="N4456" s="525" t="str">
        <f>IF(AND('331-CT'!$E$7=TH!H4456,OR(L4456="331",M4456="331")),"331",IF(AND(OR(L4456="131",M4456="131"),H4456='131-CT'!$E$7),"131",""))</f>
        <v/>
      </c>
      <c r="O4456" s="525" t="str">
        <f>IF(AND($B4456&gt;='111'!$N$11,$B4456&lt;='111'!$O$11,OR($L4456=$O$7,$M4456=$O$7)),"x","")</f>
        <v/>
      </c>
      <c r="P4456" s="525" t="str">
        <f>IF(AND($L4456=$O$7,$B4456&lt;'111'!$N$11),"x","")</f>
        <v/>
      </c>
      <c r="Q4456" s="525" t="str">
        <f>IF(AND($M4456=$O$7,$B4456&lt;'111'!$N$11),"x","")</f>
        <v/>
      </c>
      <c r="R4456" s="525" t="str">
        <f>IF(ISERROR(FIND('112'!$M$9,G4456,1)),"",IF((AND(FIND('112'!$M$9,G4456,1)&gt;=1,$B4456&gt;='112'!$N$8,$B4456&lt;='112'!$O$8,OR($L4456='112'!$I$6,$M4456='112'!$I$6))),"x",""))</f>
        <v/>
      </c>
      <c r="S4456" s="525" t="str">
        <f>IF(ISERROR(FIND('112'!$M$9,G4456,1)),"",IF((AND(LEFT(G4456,2)=LEFT('112'!$M$9,2),B4456&lt;'112'!$N$8,$L4456='112'!$I$6)),"x",""))</f>
        <v/>
      </c>
      <c r="T4456" s="525" t="str">
        <f>IF(ISERROR(FIND('112'!$M$9,G4456,1)),"",IF((AND(RIGHT(G4456,2)=RIGHT('112'!$M$9,2),B4456&lt;'112'!$N$8,$M4456='112'!$I$6)),"x",""))</f>
        <v/>
      </c>
      <c r="U4456" s="525" t="str">
        <f>IF(AND(B4456&gt;='IN-NX'!$P$3,B4456&lt;='IN-NX'!$Q$3,'IN-NX'!$D$7=D4456,OR(LEFT(L4456,2)="15",AND(LEFT(M4456,2)&lt;&gt;"15",LEFT(M4456,2)&lt;&gt;"33"))),"x","")</f>
        <v/>
      </c>
      <c r="V4456" s="525" t="str">
        <f>IF(AND(OR(LEFT(TH!L4456,2)="15",LEFT(TH!M4456,2)="15"),'152-CT'!$J$8=TH!F4456),"x","")</f>
        <v/>
      </c>
      <c r="W4456" s="525" t="str">
        <f>IF(AND(OR(LEFT(TH!L4456,2)="15",LEFT(TH!M4456,2)="15"),TK!$E$7=TH!F4456),"x","")</f>
        <v/>
      </c>
      <c r="X4456" s="525" t="str">
        <f>IF(AND('341-CT'!$E$9=H4456,OR(LEFT(L4456,3)=$X$7,LEFT(M4456,3)=$X$7)),"x","")</f>
        <v/>
      </c>
      <c r="Y4456" s="525" t="str">
        <f>IF(OR(TH!L4456=TH!$Y$7,M4456=TH!$Y$7),"x","")</f>
        <v/>
      </c>
      <c r="Z4456" s="525" t="str">
        <f>IF(AND(B4456&lt;=NKC!$N$8,B4456&gt;=NKC!$M$8),"x","")</f>
        <v/>
      </c>
      <c r="AA4456" s="535"/>
    </row>
    <row r="4457" spans="1:28" s="503" customFormat="1" ht="15.75" customHeight="1">
      <c r="A4457" s="517" t="str">
        <f>IF(B4457&lt;&gt;"",IF(AND(B4457&gt;=_TM1,B4457&lt;=_TM2,OR(TH!L4457="1111",TH!M4457="1111")),TH!D4457,""),"")</f>
        <v/>
      </c>
      <c r="B4457" s="531" t="str">
        <f t="shared" si="562"/>
        <v/>
      </c>
      <c r="C4457" s="315"/>
      <c r="D4457" s="537"/>
      <c r="E4457" s="280"/>
      <c r="F4457" s="249"/>
      <c r="G4457" s="314"/>
      <c r="H4457" s="473"/>
      <c r="I4457" s="307"/>
      <c r="J4457" s="307"/>
      <c r="K4457" s="532"/>
      <c r="L4457" s="534"/>
      <c r="M4457" s="534"/>
      <c r="N4457" s="525" t="str">
        <f>IF(AND('331-CT'!$E$7=TH!H4457,OR(L4457="331",M4457="331")),"331",IF(AND(OR(L4457="131",M4457="131"),H4457='131-CT'!$E$7),"131",""))</f>
        <v/>
      </c>
      <c r="O4457" s="525" t="str">
        <f>IF(AND($B4457&gt;='111'!$N$11,$B4457&lt;='111'!$O$11,OR($L4457=$O$7,$M4457=$O$7)),"x","")</f>
        <v/>
      </c>
      <c r="P4457" s="525" t="str">
        <f>IF(AND($L4457=$O$7,$B4457&lt;'111'!$N$11),"x","")</f>
        <v/>
      </c>
      <c r="Q4457" s="525" t="str">
        <f>IF(AND($M4457=$O$7,$B4457&lt;'111'!$N$11),"x","")</f>
        <v/>
      </c>
      <c r="R4457" s="525" t="str">
        <f>IF(ISERROR(FIND('112'!$M$9,G4457,1)),"",IF((AND(FIND('112'!$M$9,G4457,1)&gt;=1,$B4457&gt;='112'!$N$8,$B4457&lt;='112'!$O$8,OR($L4457='112'!$I$6,$M4457='112'!$I$6))),"x",""))</f>
        <v/>
      </c>
      <c r="S4457" s="525" t="str">
        <f>IF(ISERROR(FIND('112'!$M$9,G4457,1)),"",IF((AND(LEFT(G4457,2)=LEFT('112'!$M$9,2),B4457&lt;'112'!$N$8,$L4457='112'!$I$6)),"x",""))</f>
        <v/>
      </c>
      <c r="T4457" s="525" t="str">
        <f>IF(ISERROR(FIND('112'!$M$9,G4457,1)),"",IF((AND(RIGHT(G4457,2)=RIGHT('112'!$M$9,2),B4457&lt;'112'!$N$8,$M4457='112'!$I$6)),"x",""))</f>
        <v/>
      </c>
      <c r="U4457" s="525" t="str">
        <f>IF(AND(B4457&gt;='IN-NX'!$P$3,B4457&lt;='IN-NX'!$Q$3,'IN-NX'!$D$7=D4457,OR(LEFT(L4457,2)="15",AND(LEFT(M4457,2)&lt;&gt;"15",LEFT(M4457,2)&lt;&gt;"33"))),"x","")</f>
        <v/>
      </c>
      <c r="V4457" s="525" t="str">
        <f>IF(AND(OR(LEFT(TH!L4457,2)="15",LEFT(TH!M4457,2)="15"),'152-CT'!$J$8=TH!F4457),"x","")</f>
        <v/>
      </c>
      <c r="W4457" s="525" t="str">
        <f>IF(AND(OR(LEFT(TH!L4457,2)="15",LEFT(TH!M4457,2)="15"),TK!$E$7=TH!F4457),"x","")</f>
        <v/>
      </c>
      <c r="X4457" s="525" t="str">
        <f>IF(AND('341-CT'!$E$9=H4457,OR(LEFT(L4457,3)=$X$7,LEFT(M4457,3)=$X$7)),"x","")</f>
        <v/>
      </c>
      <c r="Y4457" s="525" t="str">
        <f>IF(OR(TH!L4457=TH!$Y$7,M4457=TH!$Y$7),"x","")</f>
        <v/>
      </c>
      <c r="Z4457" s="525" t="str">
        <f>IF(AND(B4457&lt;=NKC!$N$8,B4457&gt;=NKC!$M$8),"x","")</f>
        <v/>
      </c>
      <c r="AA4457" s="535"/>
    </row>
    <row r="4458" spans="1:28" s="503" customFormat="1" ht="15.75" customHeight="1">
      <c r="A4458" s="517" t="str">
        <f>IF(B4458&lt;&gt;"",IF(AND(B4458&gt;=_TM1,B4458&lt;=_TM2,OR(TH!L4458="1111",TH!M4458="1111")),TH!D4458,""),"")</f>
        <v/>
      </c>
      <c r="B4458" s="531" t="str">
        <f t="shared" si="562"/>
        <v/>
      </c>
      <c r="C4458" s="315"/>
      <c r="D4458" s="537"/>
      <c r="E4458" s="280"/>
      <c r="F4458" s="249"/>
      <c r="G4458" s="314"/>
      <c r="H4458" s="473"/>
      <c r="I4458" s="307"/>
      <c r="J4458" s="307"/>
      <c r="K4458" s="532"/>
      <c r="L4458" s="534"/>
      <c r="M4458" s="534"/>
      <c r="N4458" s="525" t="str">
        <f>IF(AND('331-CT'!$E$7=TH!H4458,OR(L4458="331",M4458="331")),"331",IF(AND(OR(L4458="131",M4458="131"),H4458='131-CT'!$E$7),"131",""))</f>
        <v/>
      </c>
      <c r="O4458" s="525" t="str">
        <f>IF(AND($B4458&gt;='111'!$N$11,$B4458&lt;='111'!$O$11,OR($L4458=$O$7,$M4458=$O$7)),"x","")</f>
        <v/>
      </c>
      <c r="P4458" s="525" t="str">
        <f>IF(AND($L4458=$O$7,$B4458&lt;'111'!$N$11),"x","")</f>
        <v/>
      </c>
      <c r="Q4458" s="525" t="str">
        <f>IF(AND($M4458=$O$7,$B4458&lt;'111'!$N$11),"x","")</f>
        <v/>
      </c>
      <c r="R4458" s="525" t="str">
        <f>IF(ISERROR(FIND('112'!$M$9,G4458,1)),"",IF((AND(FIND('112'!$M$9,G4458,1)&gt;=1,$B4458&gt;='112'!$N$8,$B4458&lt;='112'!$O$8,OR($L4458='112'!$I$6,$M4458='112'!$I$6))),"x",""))</f>
        <v/>
      </c>
      <c r="S4458" s="525" t="str">
        <f>IF(ISERROR(FIND('112'!$M$9,G4458,1)),"",IF((AND(LEFT(G4458,2)=LEFT('112'!$M$9,2),B4458&lt;'112'!$N$8,$L4458='112'!$I$6)),"x",""))</f>
        <v/>
      </c>
      <c r="T4458" s="525" t="str">
        <f>IF(ISERROR(FIND('112'!$M$9,G4458,1)),"",IF((AND(RIGHT(G4458,2)=RIGHT('112'!$M$9,2),B4458&lt;'112'!$N$8,$M4458='112'!$I$6)),"x",""))</f>
        <v/>
      </c>
      <c r="U4458" s="525" t="str">
        <f>IF(AND(B4458&gt;='IN-NX'!$P$3,B4458&lt;='IN-NX'!$Q$3,'IN-NX'!$D$7=D4458,OR(LEFT(L4458,2)="15",AND(LEFT(M4458,2)&lt;&gt;"15",LEFT(M4458,2)&lt;&gt;"33"))),"x","")</f>
        <v/>
      </c>
      <c r="V4458" s="525" t="str">
        <f>IF(AND(OR(LEFT(TH!L4458,2)="15",LEFT(TH!M4458,2)="15"),'152-CT'!$J$8=TH!F4458),"x","")</f>
        <v/>
      </c>
      <c r="W4458" s="525" t="str">
        <f>IF(AND(OR(LEFT(TH!L4458,2)="15",LEFT(TH!M4458,2)="15"),TK!$E$7=TH!F4458),"x","")</f>
        <v/>
      </c>
      <c r="X4458" s="525" t="str">
        <f>IF(AND('341-CT'!$E$9=H4458,OR(LEFT(L4458,3)=$X$7,LEFT(M4458,3)=$X$7)),"x","")</f>
        <v/>
      </c>
      <c r="Y4458" s="525" t="str">
        <f>IF(OR(TH!L4458=TH!$Y$7,M4458=TH!$Y$7),"x","")</f>
        <v/>
      </c>
      <c r="Z4458" s="525" t="str">
        <f>IF(AND(B4458&lt;=NKC!$N$8,B4458&gt;=NKC!$M$8),"x","")</f>
        <v/>
      </c>
      <c r="AA4458" s="535"/>
    </row>
    <row r="4459" spans="1:28" s="503" customFormat="1" ht="15.75" customHeight="1">
      <c r="A4459" s="517" t="str">
        <f>IF(B4459&lt;&gt;"",IF(AND(B4459&gt;=_TM1,B4459&lt;=_TM2,OR(TH!L4459="1111",TH!M4459="1111")),TH!D4459,""),"")</f>
        <v/>
      </c>
      <c r="B4459" s="531" t="str">
        <f t="shared" si="562"/>
        <v/>
      </c>
      <c r="C4459" s="315"/>
      <c r="D4459" s="537"/>
      <c r="E4459" s="280"/>
      <c r="F4459" s="247"/>
      <c r="G4459" s="314"/>
      <c r="H4459" s="473"/>
      <c r="I4459" s="543"/>
      <c r="J4459" s="307"/>
      <c r="K4459" s="532"/>
      <c r="L4459" s="534"/>
      <c r="M4459" s="534"/>
      <c r="N4459" s="525" t="str">
        <f>IF(AND('331-CT'!$E$7=TH!H4459,OR(L4459="331",M4459="331")),"331",IF(AND(OR(L4459="131",M4459="131"),H4459='131-CT'!$E$7),"131",""))</f>
        <v/>
      </c>
      <c r="O4459" s="525" t="str">
        <f>IF(AND($B4459&gt;='111'!$N$11,$B4459&lt;='111'!$O$11,OR($L4459=$O$7,$M4459=$O$7)),"x","")</f>
        <v/>
      </c>
      <c r="P4459" s="525" t="str">
        <f>IF(AND($L4459=$O$7,$B4459&lt;'111'!$N$11),"x","")</f>
        <v/>
      </c>
      <c r="Q4459" s="525" t="str">
        <f>IF(AND($M4459=$O$7,$B4459&lt;'111'!$N$11),"x","")</f>
        <v/>
      </c>
      <c r="R4459" s="525" t="str">
        <f>IF(ISERROR(FIND('112'!$M$9,G4459,1)),"",IF((AND(FIND('112'!$M$9,G4459,1)&gt;=1,$B4459&gt;='112'!$N$8,$B4459&lt;='112'!$O$8,OR($L4459='112'!$I$6,$M4459='112'!$I$6))),"x",""))</f>
        <v/>
      </c>
      <c r="S4459" s="525" t="str">
        <f>IF(ISERROR(FIND('112'!$M$9,G4459,1)),"",IF((AND(LEFT(G4459,2)=LEFT('112'!$M$9,2),B4459&lt;'112'!$N$8,$L4459='112'!$I$6)),"x",""))</f>
        <v/>
      </c>
      <c r="T4459" s="525" t="str">
        <f>IF(ISERROR(FIND('112'!$M$9,G4459,1)),"",IF((AND(RIGHT(G4459,2)=RIGHT('112'!$M$9,2),B4459&lt;'112'!$N$8,$M4459='112'!$I$6)),"x",""))</f>
        <v/>
      </c>
      <c r="U4459" s="525" t="str">
        <f>IF(AND(B4459&gt;='IN-NX'!$P$3,B4459&lt;='IN-NX'!$Q$3,'IN-NX'!$D$7=D4459,OR(LEFT(L4459,2)="15",AND(LEFT(M4459,2)&lt;&gt;"15",LEFT(M4459,2)&lt;&gt;"33"))),"x","")</f>
        <v/>
      </c>
      <c r="V4459" s="525" t="str">
        <f>IF(AND(OR(LEFT(TH!L4459,2)="15",LEFT(TH!M4459,2)="15"),'152-CT'!$J$8=TH!F4459),"x","")</f>
        <v/>
      </c>
      <c r="W4459" s="525" t="str">
        <f>IF(AND(OR(LEFT(TH!L4459,2)="15",LEFT(TH!M4459,2)="15"),TK!$E$7=TH!F4459),"x","")</f>
        <v/>
      </c>
      <c r="X4459" s="525" t="str">
        <f>IF(AND('341-CT'!$E$9=H4459,OR(LEFT(L4459,3)=$X$7,LEFT(M4459,3)=$X$7)),"x","")</f>
        <v/>
      </c>
      <c r="Y4459" s="525" t="str">
        <f>IF(OR(TH!L4459=TH!$Y$7,M4459=TH!$Y$7),"x","")</f>
        <v/>
      </c>
      <c r="Z4459" s="525" t="str">
        <f>IF(AND(B4459&lt;=NKC!$N$8,B4459&gt;=NKC!$M$8),"x","")</f>
        <v/>
      </c>
      <c r="AA4459" s="535"/>
    </row>
    <row r="4460" spans="1:28" s="503" customFormat="1" ht="15.75" customHeight="1">
      <c r="A4460" s="517" t="str">
        <f>IF(B4460&lt;&gt;"",IF(AND(B4460&gt;=_TM1,B4460&lt;=_TM2,OR(TH!L4460="1111",TH!M4460="1111")),TH!D4460,""),"")</f>
        <v/>
      </c>
      <c r="B4460" s="531" t="str">
        <f t="shared" si="562"/>
        <v/>
      </c>
      <c r="C4460" s="315"/>
      <c r="D4460" s="537"/>
      <c r="E4460" s="280"/>
      <c r="F4460" s="247"/>
      <c r="G4460" s="314"/>
      <c r="H4460" s="472"/>
      <c r="I4460" s="543"/>
      <c r="J4460" s="307"/>
      <c r="K4460" s="532"/>
      <c r="L4460" s="534"/>
      <c r="M4460" s="534"/>
      <c r="N4460" s="525" t="str">
        <f>IF(AND('331-CT'!$E$7=TH!H4460,OR(L4460="331",M4460="331")),"331",IF(AND(OR(L4460="131",M4460="131"),H4460='131-CT'!$E$7),"131",""))</f>
        <v/>
      </c>
      <c r="O4460" s="525" t="str">
        <f>IF(AND($B4460&gt;='111'!$N$11,$B4460&lt;='111'!$O$11,OR($L4460=$O$7,$M4460=$O$7)),"x","")</f>
        <v/>
      </c>
      <c r="P4460" s="525" t="str">
        <f>IF(AND($L4460=$O$7,$B4460&lt;'111'!$N$11),"x","")</f>
        <v/>
      </c>
      <c r="Q4460" s="525" t="str">
        <f>IF(AND($M4460=$O$7,$B4460&lt;'111'!$N$11),"x","")</f>
        <v/>
      </c>
      <c r="R4460" s="525" t="str">
        <f>IF(ISERROR(FIND('112'!$M$9,G4460,1)),"",IF((AND(FIND('112'!$M$9,G4460,1)&gt;=1,$B4460&gt;='112'!$N$8,$B4460&lt;='112'!$O$8,OR($L4460='112'!$I$6,$M4460='112'!$I$6))),"x",""))</f>
        <v/>
      </c>
      <c r="S4460" s="525" t="str">
        <f>IF(ISERROR(FIND('112'!$M$9,G4460,1)),"",IF((AND(LEFT(G4460,2)=LEFT('112'!$M$9,2),B4460&lt;'112'!$N$8,$L4460='112'!$I$6)),"x",""))</f>
        <v/>
      </c>
      <c r="T4460" s="525" t="str">
        <f>IF(ISERROR(FIND('112'!$M$9,G4460,1)),"",IF((AND(RIGHT(G4460,2)=RIGHT('112'!$M$9,2),B4460&lt;'112'!$N$8,$M4460='112'!$I$6)),"x",""))</f>
        <v/>
      </c>
      <c r="U4460" s="525" t="str">
        <f>IF(AND(B4460&gt;='IN-NX'!$P$3,B4460&lt;='IN-NX'!$Q$3,'IN-NX'!$D$7=D4460,OR(LEFT(L4460,2)="15",AND(LEFT(M4460,2)&lt;&gt;"15",LEFT(M4460,2)&lt;&gt;"33"))),"x","")</f>
        <v/>
      </c>
      <c r="V4460" s="525" t="str">
        <f>IF(AND(OR(LEFT(TH!L4460,2)="15",LEFT(TH!M4460,2)="15"),'152-CT'!$J$8=TH!F4460),"x","")</f>
        <v/>
      </c>
      <c r="W4460" s="525" t="str">
        <f>IF(AND(OR(LEFT(TH!L4460,2)="15",LEFT(TH!M4460,2)="15"),TK!$E$7=TH!F4460),"x","")</f>
        <v/>
      </c>
      <c r="X4460" s="525" t="str">
        <f>IF(AND('341-CT'!$E$9=H4460,OR(LEFT(L4460,3)=$X$7,LEFT(M4460,3)=$X$7)),"x","")</f>
        <v/>
      </c>
      <c r="Y4460" s="525" t="str">
        <f>IF(OR(TH!L4460=TH!$Y$7,M4460=TH!$Y$7),"x","")</f>
        <v/>
      </c>
      <c r="Z4460" s="525" t="str">
        <f>IF(AND(B4460&lt;=NKC!$N$8,B4460&gt;=NKC!$M$8),"x","")</f>
        <v/>
      </c>
      <c r="AA4460" s="535"/>
    </row>
    <row r="4461" spans="1:28" s="503" customFormat="1" ht="15.75" customHeight="1">
      <c r="A4461" s="517" t="str">
        <f>IF(B4461&lt;&gt;"",IF(AND(B4461&gt;=_TM1,B4461&lt;=_TM2,OR(TH!L4461="1111",TH!M4461="1111")),TH!D4461,""),"")</f>
        <v/>
      </c>
      <c r="B4461" s="531" t="str">
        <f t="shared" si="562"/>
        <v/>
      </c>
      <c r="C4461" s="315"/>
      <c r="D4461" s="537"/>
      <c r="E4461" s="280"/>
      <c r="F4461" s="247"/>
      <c r="G4461" s="314"/>
      <c r="H4461" s="473"/>
      <c r="I4461" s="543"/>
      <c r="J4461" s="307"/>
      <c r="K4461" s="532"/>
      <c r="L4461" s="534"/>
      <c r="M4461" s="534"/>
      <c r="N4461" s="525" t="str">
        <f>IF(AND('331-CT'!$E$7=TH!H4461,OR(L4461="331",M4461="331")),"331",IF(AND(OR(L4461="131",M4461="131"),H4461='131-CT'!$E$7),"131",""))</f>
        <v/>
      </c>
      <c r="O4461" s="525" t="str">
        <f>IF(AND($B4461&gt;='111'!$N$11,$B4461&lt;='111'!$O$11,OR($L4461=$O$7,$M4461=$O$7)),"x","")</f>
        <v/>
      </c>
      <c r="P4461" s="525" t="str">
        <f>IF(AND($L4461=$O$7,$B4461&lt;'111'!$N$11),"x","")</f>
        <v/>
      </c>
      <c r="Q4461" s="525" t="str">
        <f>IF(AND($M4461=$O$7,$B4461&lt;'111'!$N$11),"x","")</f>
        <v/>
      </c>
      <c r="R4461" s="525" t="str">
        <f>IF(ISERROR(FIND('112'!$M$9,G4461,1)),"",IF((AND(FIND('112'!$M$9,G4461,1)&gt;=1,$B4461&gt;='112'!$N$8,$B4461&lt;='112'!$O$8,OR($L4461='112'!$I$6,$M4461='112'!$I$6))),"x",""))</f>
        <v/>
      </c>
      <c r="S4461" s="525" t="str">
        <f>IF(ISERROR(FIND('112'!$M$9,G4461,1)),"",IF((AND(LEFT(G4461,2)=LEFT('112'!$M$9,2),B4461&lt;'112'!$N$8,$L4461='112'!$I$6)),"x",""))</f>
        <v/>
      </c>
      <c r="T4461" s="525" t="str">
        <f>IF(ISERROR(FIND('112'!$M$9,G4461,1)),"",IF((AND(RIGHT(G4461,2)=RIGHT('112'!$M$9,2),B4461&lt;'112'!$N$8,$M4461='112'!$I$6)),"x",""))</f>
        <v/>
      </c>
      <c r="U4461" s="525" t="str">
        <f>IF(AND(B4461&gt;='IN-NX'!$P$3,B4461&lt;='IN-NX'!$Q$3,'IN-NX'!$D$7=D4461,OR(LEFT(L4461,2)="15",AND(LEFT(M4461,2)&lt;&gt;"15",LEFT(M4461,2)&lt;&gt;"33"))),"x","")</f>
        <v/>
      </c>
      <c r="V4461" s="525" t="str">
        <f>IF(AND(OR(LEFT(TH!L4461,2)="15",LEFT(TH!M4461,2)="15"),'152-CT'!$J$8=TH!F4461),"x","")</f>
        <v/>
      </c>
      <c r="W4461" s="525" t="str">
        <f>IF(AND(OR(LEFT(TH!L4461,2)="15",LEFT(TH!M4461,2)="15"),TK!$E$7=TH!F4461),"x","")</f>
        <v/>
      </c>
      <c r="X4461" s="525" t="str">
        <f>IF(AND('341-CT'!$E$9=H4461,OR(LEFT(L4461,3)=$X$7,LEFT(M4461,3)=$X$7)),"x","")</f>
        <v/>
      </c>
      <c r="Y4461" s="525" t="str">
        <f>IF(OR(TH!L4461=TH!$Y$7,M4461=TH!$Y$7),"x","")</f>
        <v/>
      </c>
      <c r="Z4461" s="525" t="str">
        <f>IF(AND(B4461&lt;=NKC!$N$8,B4461&gt;=NKC!$M$8),"x","")</f>
        <v/>
      </c>
      <c r="AA4461" s="535"/>
    </row>
    <row r="4462" spans="1:28" s="503" customFormat="1" ht="15.75" customHeight="1">
      <c r="A4462" s="517" t="str">
        <f>IF(B4462&lt;&gt;"",IF(AND(B4462&gt;=_TM1,B4462&lt;=_TM2,OR(TH!L4462="1111",TH!M4462="1111")),TH!D4462,""),"")</f>
        <v/>
      </c>
      <c r="B4462" s="531" t="str">
        <f t="shared" si="562"/>
        <v/>
      </c>
      <c r="C4462" s="315"/>
      <c r="D4462" s="315"/>
      <c r="E4462" s="280"/>
      <c r="F4462" s="247"/>
      <c r="G4462" s="314"/>
      <c r="H4462" s="472"/>
      <c r="I4462" s="307"/>
      <c r="J4462" s="307"/>
      <c r="K4462" s="532"/>
      <c r="L4462" s="534"/>
      <c r="M4462" s="534"/>
      <c r="N4462" s="525" t="str">
        <f>IF(AND('331-CT'!$E$7=TH!H4462,OR(L4462="331",M4462="331")),"331",IF(AND(OR(L4462="131",M4462="131"),H4462='131-CT'!$E$7),"131",""))</f>
        <v/>
      </c>
      <c r="O4462" s="525" t="str">
        <f>IF(AND($B4462&gt;='111'!$N$11,$B4462&lt;='111'!$O$11,OR($L4462=$O$7,$M4462=$O$7)),"x","")</f>
        <v/>
      </c>
      <c r="P4462" s="525" t="str">
        <f>IF(AND($L4462=$O$7,$B4462&lt;'111'!$N$11),"x","")</f>
        <v/>
      </c>
      <c r="Q4462" s="525" t="str">
        <f>IF(AND($M4462=$O$7,$B4462&lt;'111'!$N$11),"x","")</f>
        <v/>
      </c>
      <c r="R4462" s="525" t="str">
        <f>IF(ISERROR(FIND('112'!$M$9,G4462,1)),"",IF((AND(FIND('112'!$M$9,G4462,1)&gt;=1,$B4462&gt;='112'!$N$8,$B4462&lt;='112'!$O$8,OR($L4462='112'!$I$6,$M4462='112'!$I$6))),"x",""))</f>
        <v/>
      </c>
      <c r="S4462" s="525" t="str">
        <f>IF(ISERROR(FIND('112'!$M$9,G4462,1)),"",IF((AND(LEFT(G4462,2)=LEFT('112'!$M$9,2),B4462&lt;'112'!$N$8,$L4462='112'!$I$6)),"x",""))</f>
        <v/>
      </c>
      <c r="T4462" s="525" t="str">
        <f>IF(ISERROR(FIND('112'!$M$9,G4462,1)),"",IF((AND(RIGHT(G4462,2)=RIGHT('112'!$M$9,2),B4462&lt;'112'!$N$8,$M4462='112'!$I$6)),"x",""))</f>
        <v/>
      </c>
      <c r="U4462" s="525" t="str">
        <f>IF(AND(B4462&gt;='IN-NX'!$P$3,B4462&lt;='IN-NX'!$Q$3,'IN-NX'!$D$7=D4462,OR(LEFT(L4462,2)="15",AND(LEFT(M4462,2)&lt;&gt;"15",LEFT(M4462,2)&lt;&gt;"33"))),"x","")</f>
        <v/>
      </c>
      <c r="V4462" s="525" t="str">
        <f>IF(AND(OR(LEFT(TH!L4462,2)="15",LEFT(TH!M4462,2)="15"),'152-CT'!$J$8=TH!F4462),"x","")</f>
        <v/>
      </c>
      <c r="W4462" s="525" t="str">
        <f>IF(AND(OR(LEFT(TH!L4462,2)="15",LEFT(TH!M4462,2)="15"),TK!$E$7=TH!F4462),"x","")</f>
        <v/>
      </c>
      <c r="X4462" s="525" t="str">
        <f>IF(AND('341-CT'!$E$9=H4462,OR(LEFT(L4462,3)=$X$7,LEFT(M4462,3)=$X$7)),"x","")</f>
        <v/>
      </c>
      <c r="Y4462" s="525" t="str">
        <f>IF(OR(TH!L4462=TH!$Y$7,M4462=TH!$Y$7),"x","")</f>
        <v/>
      </c>
      <c r="Z4462" s="525" t="str">
        <f>IF(AND(B4462&lt;=NKC!$N$8,B4462&gt;=NKC!$M$8),"x","")</f>
        <v/>
      </c>
      <c r="AA4462" s="535"/>
    </row>
    <row r="4463" spans="1:28" s="503" customFormat="1" ht="15.75" customHeight="1">
      <c r="A4463" s="517" t="str">
        <f>IF(B4463&lt;&gt;"",IF(AND(B4463&gt;=_TM1,B4463&lt;=_TM2,OR(TH!L4463="1111",TH!M4463="1111")),TH!D4463,""),"")</f>
        <v/>
      </c>
      <c r="B4463" s="531" t="str">
        <f t="shared" si="562"/>
        <v/>
      </c>
      <c r="C4463" s="315"/>
      <c r="D4463" s="315"/>
      <c r="E4463" s="280"/>
      <c r="F4463" s="247"/>
      <c r="G4463" s="314"/>
      <c r="H4463" s="473"/>
      <c r="I4463" s="307"/>
      <c r="J4463" s="307"/>
      <c r="K4463" s="532"/>
      <c r="L4463" s="534"/>
      <c r="M4463" s="534"/>
      <c r="N4463" s="525" t="str">
        <f>IF(AND('331-CT'!$E$7=TH!H4463,OR(L4463="331",M4463="331")),"331",IF(AND(OR(L4463="131",M4463="131"),H4463='131-CT'!$E$7),"131",""))</f>
        <v/>
      </c>
      <c r="O4463" s="525" t="str">
        <f>IF(AND($B4463&gt;='111'!$N$11,$B4463&lt;='111'!$O$11,OR($L4463=$O$7,$M4463=$O$7)),"x","")</f>
        <v/>
      </c>
      <c r="P4463" s="525" t="str">
        <f>IF(AND($L4463=$O$7,$B4463&lt;'111'!$N$11),"x","")</f>
        <v/>
      </c>
      <c r="Q4463" s="525" t="str">
        <f>IF(AND($M4463=$O$7,$B4463&lt;'111'!$N$11),"x","")</f>
        <v/>
      </c>
      <c r="R4463" s="525" t="str">
        <f>IF(ISERROR(FIND('112'!$M$9,G4463,1)),"",IF((AND(FIND('112'!$M$9,G4463,1)&gt;=1,$B4463&gt;='112'!$N$8,$B4463&lt;='112'!$O$8,OR($L4463='112'!$I$6,$M4463='112'!$I$6))),"x",""))</f>
        <v/>
      </c>
      <c r="S4463" s="525" t="str">
        <f>IF(ISERROR(FIND('112'!$M$9,G4463,1)),"",IF((AND(LEFT(G4463,2)=LEFT('112'!$M$9,2),B4463&lt;'112'!$N$8,$L4463='112'!$I$6)),"x",""))</f>
        <v/>
      </c>
      <c r="T4463" s="525" t="str">
        <f>IF(ISERROR(FIND('112'!$M$9,G4463,1)),"",IF((AND(RIGHT(G4463,2)=RIGHT('112'!$M$9,2),B4463&lt;'112'!$N$8,$M4463='112'!$I$6)),"x",""))</f>
        <v/>
      </c>
      <c r="U4463" s="525" t="str">
        <f>IF(AND(B4463&gt;='IN-NX'!$P$3,B4463&lt;='IN-NX'!$Q$3,'IN-NX'!$D$7=D4463,OR(LEFT(L4463,2)="15",AND(LEFT(M4463,2)&lt;&gt;"15",LEFT(M4463,2)&lt;&gt;"33"))),"x","")</f>
        <v/>
      </c>
      <c r="V4463" s="525" t="str">
        <f>IF(AND(OR(LEFT(TH!L4463,2)="15",LEFT(TH!M4463,2)="15"),'152-CT'!$J$8=TH!F4463),"x","")</f>
        <v/>
      </c>
      <c r="W4463" s="525" t="str">
        <f>IF(AND(OR(LEFT(TH!L4463,2)="15",LEFT(TH!M4463,2)="15"),TK!$E$7=TH!F4463),"x","")</f>
        <v/>
      </c>
      <c r="X4463" s="525" t="str">
        <f>IF(AND('341-CT'!$E$9=H4463,OR(LEFT(L4463,3)=$X$7,LEFT(M4463,3)=$X$7)),"x","")</f>
        <v/>
      </c>
      <c r="Y4463" s="525" t="str">
        <f>IF(OR(TH!L4463=TH!$Y$7,M4463=TH!$Y$7),"x","")</f>
        <v/>
      </c>
      <c r="Z4463" s="525" t="str">
        <f>IF(AND(B4463&lt;=NKC!$N$8,B4463&gt;=NKC!$M$8),"x","")</f>
        <v/>
      </c>
      <c r="AA4463" s="535"/>
    </row>
    <row r="4464" spans="1:28" s="503" customFormat="1" ht="15.75" customHeight="1">
      <c r="A4464" s="517" t="str">
        <f>IF(B4464&lt;&gt;"",IF(AND(B4464&gt;=_TM1,B4464&lt;=_TM2,OR(TH!L4464="1111",TH!M4464="1111")),TH!D4464,""),"")</f>
        <v/>
      </c>
      <c r="B4464" s="531" t="str">
        <f t="shared" si="562"/>
        <v/>
      </c>
      <c r="C4464" s="315"/>
      <c r="D4464" s="315"/>
      <c r="E4464" s="545"/>
      <c r="F4464" s="249"/>
      <c r="G4464" s="314"/>
      <c r="H4464" s="473"/>
      <c r="I4464" s="307"/>
      <c r="J4464" s="307"/>
      <c r="K4464" s="542"/>
      <c r="L4464" s="533"/>
      <c r="M4464" s="539"/>
      <c r="N4464" s="525" t="str">
        <f>IF(AND('331-CT'!$E$7=TH!H4464,OR(L4464="331",M4464="331")),"331",IF(AND(OR(L4464="131",M4464="131"),H4464='131-CT'!$E$7),"131",""))</f>
        <v/>
      </c>
      <c r="O4464" s="525" t="str">
        <f>IF(AND($B4464&gt;='111'!$N$11,$B4464&lt;='111'!$O$11,OR($L4464=$O$7,$M4464=$O$7)),"x","")</f>
        <v/>
      </c>
      <c r="P4464" s="525" t="str">
        <f>IF(AND($L4464=$O$7,$B4464&lt;'111'!$N$11),"x","")</f>
        <v/>
      </c>
      <c r="Q4464" s="525" t="str">
        <f>IF(AND($M4464=$O$7,$B4464&lt;'111'!$N$11),"x","")</f>
        <v/>
      </c>
      <c r="R4464" s="525" t="str">
        <f>IF(ISERROR(FIND('112'!$M$9,G4464,1)),"",IF((AND(FIND('112'!$M$9,G4464,1)&gt;=1,$B4464&gt;='112'!$N$8,$B4464&lt;='112'!$O$8,OR($L4464='112'!$I$6,$M4464='112'!$I$6))),"x",""))</f>
        <v/>
      </c>
      <c r="S4464" s="525" t="str">
        <f>IF(ISERROR(FIND('112'!$M$9,G4464,1)),"",IF((AND(LEFT(G4464,2)=LEFT('112'!$M$9,2),B4464&lt;'112'!$N$8,$L4464='112'!$I$6)),"x",""))</f>
        <v/>
      </c>
      <c r="T4464" s="525" t="str">
        <f>IF(ISERROR(FIND('112'!$M$9,G4464,1)),"",IF((AND(RIGHT(G4464,2)=RIGHT('112'!$M$9,2),B4464&lt;'112'!$N$8,$M4464='112'!$I$6)),"x",""))</f>
        <v/>
      </c>
      <c r="U4464" s="525" t="str">
        <f>IF(AND(B4464&gt;='IN-NX'!$P$3,B4464&lt;='IN-NX'!$Q$3,'IN-NX'!$D$7=D4464,OR(LEFT(L4464,2)="15",AND(LEFT(M4464,2)&lt;&gt;"15",LEFT(M4464,2)&lt;&gt;"33"))),"x","")</f>
        <v/>
      </c>
      <c r="V4464" s="525" t="str">
        <f>IF(AND(OR(LEFT(TH!L4464,2)="15",LEFT(TH!M4464,2)="15"),'152-CT'!$J$8=TH!F4464),"x","")</f>
        <v/>
      </c>
      <c r="W4464" s="525" t="str">
        <f>IF(AND(OR(LEFT(TH!L4464,2)="15",LEFT(TH!M4464,2)="15"),TK!$E$7=TH!F4464),"x","")</f>
        <v/>
      </c>
      <c r="X4464" s="525" t="str">
        <f>IF(AND('341-CT'!$E$9=H4464,OR(LEFT(L4464,3)=$X$7,LEFT(M4464,3)=$X$7)),"x","")</f>
        <v/>
      </c>
      <c r="Y4464" s="525" t="str">
        <f>IF(OR(TH!L4464=TH!$Y$7,M4464=TH!$Y$7),"x","")</f>
        <v/>
      </c>
      <c r="Z4464" s="525" t="str">
        <f>IF(AND(B4464&lt;=NKC!$N$8,B4464&gt;=NKC!$M$8),"x","")</f>
        <v/>
      </c>
      <c r="AA4464" s="535"/>
      <c r="AB4464" s="536"/>
    </row>
    <row r="4465" spans="1:28" s="503" customFormat="1" ht="15.75" customHeight="1">
      <c r="A4465" s="517" t="str">
        <f>IF(B4465&lt;&gt;"",IF(AND(B4465&gt;=_TM1,B4465&lt;=_TM2,OR(TH!L4465="1111",TH!M4465="1111")),TH!D4465,""),"")</f>
        <v/>
      </c>
      <c r="B4465" s="531" t="str">
        <f t="shared" si="562"/>
        <v/>
      </c>
      <c r="C4465" s="315"/>
      <c r="D4465" s="315"/>
      <c r="E4465" s="545"/>
      <c r="F4465" s="249"/>
      <c r="G4465" s="314"/>
      <c r="H4465" s="473"/>
      <c r="I4465" s="307"/>
      <c r="J4465" s="307"/>
      <c r="K4465" s="542"/>
      <c r="L4465" s="534"/>
      <c r="M4465" s="539"/>
      <c r="N4465" s="525" t="str">
        <f>IF(AND('331-CT'!$E$7=TH!H4465,OR(L4465="331",M4465="331")),"331",IF(AND(OR(L4465="131",M4465="131"),H4465='131-CT'!$E$7),"131",""))</f>
        <v/>
      </c>
      <c r="O4465" s="525" t="str">
        <f>IF(AND($B4465&gt;='111'!$N$11,$B4465&lt;='111'!$O$11,OR($L4465=$O$7,$M4465=$O$7)),"x","")</f>
        <v/>
      </c>
      <c r="P4465" s="525" t="str">
        <f>IF(AND($L4465=$O$7,$B4465&lt;'111'!$N$11),"x","")</f>
        <v/>
      </c>
      <c r="Q4465" s="525" t="str">
        <f>IF(AND($M4465=$O$7,$B4465&lt;'111'!$N$11),"x","")</f>
        <v/>
      </c>
      <c r="R4465" s="525" t="str">
        <f>IF(ISERROR(FIND('112'!$M$9,G4465,1)),"",IF((AND(FIND('112'!$M$9,G4465,1)&gt;=1,$B4465&gt;='112'!$N$8,$B4465&lt;='112'!$O$8,OR($L4465='112'!$I$6,$M4465='112'!$I$6))),"x",""))</f>
        <v/>
      </c>
      <c r="S4465" s="525" t="str">
        <f>IF(ISERROR(FIND('112'!$M$9,G4465,1)),"",IF((AND(LEFT(G4465,2)=LEFT('112'!$M$9,2),B4465&lt;'112'!$N$8,$L4465='112'!$I$6)),"x",""))</f>
        <v/>
      </c>
      <c r="T4465" s="525" t="str">
        <f>IF(ISERROR(FIND('112'!$M$9,G4465,1)),"",IF((AND(RIGHT(G4465,2)=RIGHT('112'!$M$9,2),B4465&lt;'112'!$N$8,$M4465='112'!$I$6)),"x",""))</f>
        <v/>
      </c>
      <c r="U4465" s="525" t="str">
        <f>IF(AND(B4465&gt;='IN-NX'!$P$3,B4465&lt;='IN-NX'!$Q$3,'IN-NX'!$D$7=D4465,OR(LEFT(L4465,2)="15",AND(LEFT(M4465,2)&lt;&gt;"15",LEFT(M4465,2)&lt;&gt;"33"))),"x","")</f>
        <v/>
      </c>
      <c r="V4465" s="525" t="str">
        <f>IF(AND(OR(LEFT(TH!L4465,2)="15",LEFT(TH!M4465,2)="15"),'152-CT'!$J$8=TH!F4465),"x","")</f>
        <v/>
      </c>
      <c r="W4465" s="525" t="str">
        <f>IF(AND(OR(LEFT(TH!L4465,2)="15",LEFT(TH!M4465,2)="15"),TK!$E$7=TH!F4465),"x","")</f>
        <v/>
      </c>
      <c r="X4465" s="525" t="str">
        <f>IF(AND('341-CT'!$E$9=H4465,OR(LEFT(L4465,3)=$X$7,LEFT(M4465,3)=$X$7)),"x","")</f>
        <v/>
      </c>
      <c r="Y4465" s="525" t="str">
        <f>IF(OR(TH!L4465=TH!$Y$7,M4465=TH!$Y$7),"x","")</f>
        <v/>
      </c>
      <c r="Z4465" s="525" t="str">
        <f>IF(AND(B4465&lt;=NKC!$N$8,B4465&gt;=NKC!$M$8),"x","")</f>
        <v/>
      </c>
      <c r="AA4465" s="535"/>
      <c r="AB4465" s="536"/>
    </row>
    <row r="4466" spans="1:28" s="503" customFormat="1" ht="15.75" customHeight="1">
      <c r="A4466" s="517" t="str">
        <f>IF(B4466&lt;&gt;"",IF(AND(B4466&gt;=_TM1,B4466&lt;=_TM2,OR(TH!L4466="1111",TH!M4466="1111")),TH!D4466,""),"")</f>
        <v/>
      </c>
      <c r="B4466" s="531" t="str">
        <f t="shared" si="562"/>
        <v/>
      </c>
      <c r="C4466" s="315"/>
      <c r="D4466" s="537"/>
      <c r="E4466" s="280"/>
      <c r="F4466" s="249"/>
      <c r="G4466" s="314"/>
      <c r="H4466" s="472"/>
      <c r="I4466" s="307"/>
      <c r="J4466" s="307"/>
      <c r="K4466" s="532"/>
      <c r="L4466" s="534"/>
      <c r="M4466" s="534"/>
      <c r="N4466" s="525" t="str">
        <f>IF(AND('331-CT'!$E$7=TH!H4466,OR(L4466="331",M4466="331")),"331",IF(AND(OR(L4466="131",M4466="131"),H4466='131-CT'!$E$7),"131",""))</f>
        <v/>
      </c>
      <c r="O4466" s="525" t="str">
        <f>IF(AND($B4466&gt;='111'!$N$11,$B4466&lt;='111'!$O$11,OR($L4466=$O$7,$M4466=$O$7)),"x","")</f>
        <v/>
      </c>
      <c r="P4466" s="525" t="str">
        <f>IF(AND($L4466=$O$7,$B4466&lt;'111'!$N$11),"x","")</f>
        <v/>
      </c>
      <c r="Q4466" s="525" t="str">
        <f>IF(AND($M4466=$O$7,$B4466&lt;'111'!$N$11),"x","")</f>
        <v/>
      </c>
      <c r="R4466" s="525" t="str">
        <f>IF(ISERROR(FIND('112'!$M$9,G4466,1)),"",IF((AND(FIND('112'!$M$9,G4466,1)&gt;=1,$B4466&gt;='112'!$N$8,$B4466&lt;='112'!$O$8,OR($L4466='112'!$I$6,$M4466='112'!$I$6))),"x",""))</f>
        <v/>
      </c>
      <c r="S4466" s="525" t="str">
        <f>IF(ISERROR(FIND('112'!$M$9,G4466,1)),"",IF((AND(LEFT(G4466,2)=LEFT('112'!$M$9,2),B4466&lt;'112'!$N$8,$L4466='112'!$I$6)),"x",""))</f>
        <v/>
      </c>
      <c r="T4466" s="525" t="str">
        <f>IF(ISERROR(FIND('112'!$M$9,G4466,1)),"",IF((AND(RIGHT(G4466,2)=RIGHT('112'!$M$9,2),B4466&lt;'112'!$N$8,$M4466='112'!$I$6)),"x",""))</f>
        <v/>
      </c>
      <c r="U4466" s="525" t="str">
        <f>IF(AND(B4466&gt;='IN-NX'!$P$3,B4466&lt;='IN-NX'!$Q$3,'IN-NX'!$D$7=D4466,OR(LEFT(L4466,2)="15",AND(LEFT(M4466,2)&lt;&gt;"15",LEFT(M4466,2)&lt;&gt;"33"))),"x","")</f>
        <v/>
      </c>
      <c r="V4466" s="525" t="str">
        <f>IF(AND(OR(LEFT(TH!L4466,2)="15",LEFT(TH!M4466,2)="15"),'152-CT'!$J$8=TH!F4466),"x","")</f>
        <v/>
      </c>
      <c r="W4466" s="525" t="str">
        <f>IF(AND(OR(LEFT(TH!L4466,2)="15",LEFT(TH!M4466,2)="15"),TK!$E$7=TH!F4466),"x","")</f>
        <v/>
      </c>
      <c r="X4466" s="525" t="str">
        <f>IF(AND('341-CT'!$E$9=H4466,OR(LEFT(L4466,3)=$X$7,LEFT(M4466,3)=$X$7)),"x","")</f>
        <v/>
      </c>
      <c r="Y4466" s="525" t="str">
        <f>IF(OR(TH!L4466=TH!$Y$7,M4466=TH!$Y$7),"x","")</f>
        <v/>
      </c>
      <c r="Z4466" s="525" t="str">
        <f>IF(AND(B4466&lt;=NKC!$N$8,B4466&gt;=NKC!$M$8),"x","")</f>
        <v/>
      </c>
      <c r="AA4466" s="535"/>
    </row>
    <row r="4467" spans="1:28" s="503" customFormat="1" ht="15.75" customHeight="1">
      <c r="A4467" s="517" t="str">
        <f>IF(B4467&lt;&gt;"",IF(AND(B4467&gt;=_TM1,B4467&lt;=_TM2,OR(TH!L4467="1111",TH!M4467="1111")),TH!D4467,""),"")</f>
        <v/>
      </c>
      <c r="B4467" s="531" t="str">
        <f t="shared" si="562"/>
        <v/>
      </c>
      <c r="C4467" s="315"/>
      <c r="D4467" s="537"/>
      <c r="E4467" s="280"/>
      <c r="F4467" s="247"/>
      <c r="G4467" s="314"/>
      <c r="H4467" s="473"/>
      <c r="I4467" s="543"/>
      <c r="J4467" s="307"/>
      <c r="K4467" s="532"/>
      <c r="L4467" s="534"/>
      <c r="M4467" s="534"/>
      <c r="N4467" s="525" t="str">
        <f>IF(AND('331-CT'!$E$7=TH!H4467,OR(L4467="331",M4467="331")),"331",IF(AND(OR(L4467="131",M4467="131"),H4467='131-CT'!$E$7),"131",""))</f>
        <v/>
      </c>
      <c r="O4467" s="525" t="str">
        <f>IF(AND($B4467&gt;='111'!$N$11,$B4467&lt;='111'!$O$11,OR($L4467=$O$7,$M4467=$O$7)),"x","")</f>
        <v/>
      </c>
      <c r="P4467" s="525" t="str">
        <f>IF(AND($L4467=$O$7,$B4467&lt;'111'!$N$11),"x","")</f>
        <v/>
      </c>
      <c r="Q4467" s="525" t="str">
        <f>IF(AND($M4467=$O$7,$B4467&lt;'111'!$N$11),"x","")</f>
        <v/>
      </c>
      <c r="R4467" s="525" t="str">
        <f>IF(ISERROR(FIND('112'!$M$9,G4467,1)),"",IF((AND(FIND('112'!$M$9,G4467,1)&gt;=1,$B4467&gt;='112'!$N$8,$B4467&lt;='112'!$O$8,OR($L4467='112'!$I$6,$M4467='112'!$I$6))),"x",""))</f>
        <v/>
      </c>
      <c r="S4467" s="525" t="str">
        <f>IF(ISERROR(FIND('112'!$M$9,G4467,1)),"",IF((AND(LEFT(G4467,2)=LEFT('112'!$M$9,2),B4467&lt;'112'!$N$8,$L4467='112'!$I$6)),"x",""))</f>
        <v/>
      </c>
      <c r="T4467" s="525" t="str">
        <f>IF(ISERROR(FIND('112'!$M$9,G4467,1)),"",IF((AND(RIGHT(G4467,2)=RIGHT('112'!$M$9,2),B4467&lt;'112'!$N$8,$M4467='112'!$I$6)),"x",""))</f>
        <v/>
      </c>
      <c r="U4467" s="525" t="str">
        <f>IF(AND(B4467&gt;='IN-NX'!$P$3,B4467&lt;='IN-NX'!$Q$3,'IN-NX'!$D$7=D4467,OR(LEFT(L4467,2)="15",AND(LEFT(M4467,2)&lt;&gt;"15",LEFT(M4467,2)&lt;&gt;"33"))),"x","")</f>
        <v/>
      </c>
      <c r="V4467" s="525" t="str">
        <f>IF(AND(OR(LEFT(TH!L4467,2)="15",LEFT(TH!M4467,2)="15"),'152-CT'!$J$8=TH!F4467),"x","")</f>
        <v/>
      </c>
      <c r="W4467" s="525" t="str">
        <f>IF(AND(OR(LEFT(TH!L4467,2)="15",LEFT(TH!M4467,2)="15"),TK!$E$7=TH!F4467),"x","")</f>
        <v/>
      </c>
      <c r="X4467" s="525" t="str">
        <f>IF(AND('341-CT'!$E$9=H4467,OR(LEFT(L4467,3)=$X$7,LEFT(M4467,3)=$X$7)),"x","")</f>
        <v/>
      </c>
      <c r="Y4467" s="525" t="str">
        <f>IF(OR(TH!L4467=TH!$Y$7,M4467=TH!$Y$7),"x","")</f>
        <v/>
      </c>
      <c r="Z4467" s="525" t="str">
        <f>IF(AND(B4467&lt;=NKC!$N$8,B4467&gt;=NKC!$M$8),"x","")</f>
        <v/>
      </c>
      <c r="AA4467" s="535"/>
    </row>
    <row r="4468" spans="1:28" s="503" customFormat="1" ht="15.75" customHeight="1">
      <c r="A4468" s="517" t="str">
        <f>IF(B4468&lt;&gt;"",IF(AND(B4468&gt;=_TM1,B4468&lt;=_TM2,OR(TH!L4468="1111",TH!M4468="1111")),TH!D4468,""),"")</f>
        <v/>
      </c>
      <c r="B4468" s="531" t="str">
        <f t="shared" si="562"/>
        <v/>
      </c>
      <c r="C4468" s="315"/>
      <c r="D4468" s="537"/>
      <c r="E4468" s="280"/>
      <c r="F4468" s="250"/>
      <c r="G4468" s="538"/>
      <c r="H4468" s="473"/>
      <c r="I4468" s="307"/>
      <c r="J4468" s="307"/>
      <c r="K4468" s="532"/>
      <c r="L4468" s="539"/>
      <c r="M4468" s="539"/>
      <c r="N4468" s="525" t="str">
        <f>IF(AND('331-CT'!$E$7=TH!H4468,OR(L4468="331",M4468="331")),"331",IF(AND(OR(L4468="131",M4468="131"),H4468='131-CT'!$E$7),"131",""))</f>
        <v/>
      </c>
      <c r="O4468" s="525" t="str">
        <f>IF(AND($B4468&gt;='111'!$N$11,$B4468&lt;='111'!$O$11,OR($L4468=$O$7,$M4468=$O$7)),"x","")</f>
        <v/>
      </c>
      <c r="P4468" s="525" t="str">
        <f>IF(AND($L4468=$O$7,$B4468&lt;'111'!$N$11),"x","")</f>
        <v/>
      </c>
      <c r="Q4468" s="525" t="str">
        <f>IF(AND($M4468=$O$7,$B4468&lt;'111'!$N$11),"x","")</f>
        <v/>
      </c>
      <c r="R4468" s="525" t="str">
        <f>IF(ISERROR(FIND('112'!$M$9,G4468,1)),"",IF((AND(FIND('112'!$M$9,G4468,1)&gt;=1,$B4468&gt;='112'!$N$8,$B4468&lt;='112'!$O$8,OR($L4468='112'!$I$6,$M4468='112'!$I$6))),"x",""))</f>
        <v/>
      </c>
      <c r="S4468" s="525" t="str">
        <f>IF(ISERROR(FIND('112'!$M$9,G4468,1)),"",IF((AND(LEFT(G4468,2)=LEFT('112'!$M$9,2),B4468&lt;'112'!$N$8,$L4468='112'!$I$6)),"x",""))</f>
        <v/>
      </c>
      <c r="T4468" s="525" t="str">
        <f>IF(ISERROR(FIND('112'!$M$9,G4468,1)),"",IF((AND(RIGHT(G4468,2)=RIGHT('112'!$M$9,2),B4468&lt;'112'!$N$8,$M4468='112'!$I$6)),"x",""))</f>
        <v/>
      </c>
      <c r="U4468" s="525" t="str">
        <f>IF(AND(B4468&gt;='IN-NX'!$P$3,B4468&lt;='IN-NX'!$Q$3,'IN-NX'!$D$7=D4468,OR(LEFT(L4468,2)="15",AND(LEFT(M4468,2)&lt;&gt;"15",LEFT(M4468,2)&lt;&gt;"33"))),"x","")</f>
        <v/>
      </c>
      <c r="V4468" s="525" t="str">
        <f>IF(AND(OR(LEFT(TH!L4468,2)="15",LEFT(TH!M4468,2)="15"),'152-CT'!$J$8=TH!F4468),"x","")</f>
        <v/>
      </c>
      <c r="W4468" s="525" t="str">
        <f>IF(AND(OR(LEFT(TH!L4468,2)="15",LEFT(TH!M4468,2)="15"),TK!$E$7=TH!F4468),"x","")</f>
        <v/>
      </c>
      <c r="X4468" s="525" t="str">
        <f>IF(AND('341-CT'!$E$9=H4468,OR(LEFT(L4468,3)=$X$7,LEFT(M4468,3)=$X$7)),"x","")</f>
        <v/>
      </c>
      <c r="Y4468" s="525" t="str">
        <f>IF(OR(TH!L4468=TH!$Y$7,M4468=TH!$Y$7),"x","")</f>
        <v/>
      </c>
      <c r="Z4468" s="525" t="str">
        <f>IF(AND(B4468&lt;=NKC!$N$8,B4468&gt;=NKC!$M$8),"x","")</f>
        <v/>
      </c>
      <c r="AA4468" s="535"/>
      <c r="AB4468" s="536"/>
    </row>
    <row r="4469" spans="1:28" s="503" customFormat="1" ht="15.75" customHeight="1">
      <c r="A4469" s="517" t="str">
        <f>IF(B4469&lt;&gt;"",IF(AND(B4469&gt;=_TM1,B4469&lt;=_TM2,OR(TH!L4469="1111",TH!M4469="1111")),TH!D4469,""),"")</f>
        <v/>
      </c>
      <c r="B4469" s="531" t="str">
        <f t="shared" si="562"/>
        <v/>
      </c>
      <c r="C4469" s="315"/>
      <c r="D4469" s="537"/>
      <c r="E4469" s="280"/>
      <c r="F4469" s="250"/>
      <c r="G4469" s="538"/>
      <c r="H4469" s="473"/>
      <c r="I4469" s="307"/>
      <c r="J4469" s="307"/>
      <c r="K4469" s="532"/>
      <c r="L4469" s="539"/>
      <c r="M4469" s="539"/>
      <c r="N4469" s="525" t="str">
        <f>IF(AND('331-CT'!$E$7=TH!H4469,OR(L4469="331",M4469="331")),"331",IF(AND(OR(L4469="131",M4469="131"),H4469='131-CT'!$E$7),"131",""))</f>
        <v/>
      </c>
      <c r="O4469" s="525" t="str">
        <f>IF(AND($B4469&gt;='111'!$N$11,$B4469&lt;='111'!$O$11,OR($L4469=$O$7,$M4469=$O$7)),"x","")</f>
        <v/>
      </c>
      <c r="P4469" s="525" t="str">
        <f>IF(AND($L4469=$O$7,$B4469&lt;'111'!$N$11),"x","")</f>
        <v/>
      </c>
      <c r="Q4469" s="525" t="str">
        <f>IF(AND($M4469=$O$7,$B4469&lt;'111'!$N$11),"x","")</f>
        <v/>
      </c>
      <c r="R4469" s="525" t="str">
        <f>IF(ISERROR(FIND('112'!$M$9,G4469,1)),"",IF((AND(FIND('112'!$M$9,G4469,1)&gt;=1,$B4469&gt;='112'!$N$8,$B4469&lt;='112'!$O$8,OR($L4469='112'!$I$6,$M4469='112'!$I$6))),"x",""))</f>
        <v/>
      </c>
      <c r="S4469" s="525" t="str">
        <f>IF(ISERROR(FIND('112'!$M$9,G4469,1)),"",IF((AND(LEFT(G4469,2)=LEFT('112'!$M$9,2),B4469&lt;'112'!$N$8,$L4469='112'!$I$6)),"x",""))</f>
        <v/>
      </c>
      <c r="T4469" s="525" t="str">
        <f>IF(ISERROR(FIND('112'!$M$9,G4469,1)),"",IF((AND(RIGHT(G4469,2)=RIGHT('112'!$M$9,2),B4469&lt;'112'!$N$8,$M4469='112'!$I$6)),"x",""))</f>
        <v/>
      </c>
      <c r="U4469" s="525" t="str">
        <f>IF(AND(B4469&gt;='IN-NX'!$P$3,B4469&lt;='IN-NX'!$Q$3,'IN-NX'!$D$7=D4469,OR(LEFT(L4469,2)="15",AND(LEFT(M4469,2)&lt;&gt;"15",LEFT(M4469,2)&lt;&gt;"33"))),"x","")</f>
        <v/>
      </c>
      <c r="V4469" s="525" t="str">
        <f>IF(AND(OR(LEFT(TH!L4469,2)="15",LEFT(TH!M4469,2)="15"),'152-CT'!$J$8=TH!F4469),"x","")</f>
        <v/>
      </c>
      <c r="W4469" s="525" t="str">
        <f>IF(AND(OR(LEFT(TH!L4469,2)="15",LEFT(TH!M4469,2)="15"),TK!$E$7=TH!F4469),"x","")</f>
        <v/>
      </c>
      <c r="X4469" s="525" t="str">
        <f>IF(AND('341-CT'!$E$9=H4469,OR(LEFT(L4469,3)=$X$7,LEFT(M4469,3)=$X$7)),"x","")</f>
        <v/>
      </c>
      <c r="Y4469" s="525" t="str">
        <f>IF(OR(TH!L4469=TH!$Y$7,M4469=TH!$Y$7),"x","")</f>
        <v/>
      </c>
      <c r="Z4469" s="525" t="str">
        <f>IF(AND(B4469&lt;=NKC!$N$8,B4469&gt;=NKC!$M$8),"x","")</f>
        <v/>
      </c>
      <c r="AA4469" s="535"/>
      <c r="AB4469" s="536"/>
    </row>
    <row r="4470" spans="1:28" s="503" customFormat="1" ht="15.75" customHeight="1">
      <c r="A4470" s="517" t="str">
        <f>IF(B4470&lt;&gt;"",IF(AND(B4470&gt;=_TM1,B4470&lt;=_TM2,OR(TH!L4470="1111",TH!M4470="1111")),TH!D4470,""),"")</f>
        <v/>
      </c>
      <c r="B4470" s="531" t="str">
        <f t="shared" si="562"/>
        <v/>
      </c>
      <c r="C4470" s="315"/>
      <c r="D4470" s="537"/>
      <c r="E4470" s="280"/>
      <c r="F4470" s="250"/>
      <c r="G4470" s="538"/>
      <c r="H4470" s="473"/>
      <c r="I4470" s="307"/>
      <c r="J4470" s="307"/>
      <c r="K4470" s="532"/>
      <c r="L4470" s="539"/>
      <c r="M4470" s="539"/>
      <c r="N4470" s="525" t="str">
        <f>IF(AND('331-CT'!$E$7=TH!H4470,OR(L4470="331",M4470="331")),"331",IF(AND(OR(L4470="131",M4470="131"),H4470='131-CT'!$E$7),"131",""))</f>
        <v/>
      </c>
      <c r="O4470" s="525" t="str">
        <f>IF(AND($B4470&gt;='111'!$N$11,$B4470&lt;='111'!$O$11,OR($L4470=$O$7,$M4470=$O$7)),"x","")</f>
        <v/>
      </c>
      <c r="P4470" s="525" t="str">
        <f>IF(AND($L4470=$O$7,$B4470&lt;'111'!$N$11),"x","")</f>
        <v/>
      </c>
      <c r="Q4470" s="525" t="str">
        <f>IF(AND($M4470=$O$7,$B4470&lt;'111'!$N$11),"x","")</f>
        <v/>
      </c>
      <c r="R4470" s="525" t="str">
        <f>IF(ISERROR(FIND('112'!$M$9,G4470,1)),"",IF((AND(FIND('112'!$M$9,G4470,1)&gt;=1,$B4470&gt;='112'!$N$8,$B4470&lt;='112'!$O$8,OR($L4470='112'!$I$6,$M4470='112'!$I$6))),"x",""))</f>
        <v/>
      </c>
      <c r="S4470" s="525" t="str">
        <f>IF(ISERROR(FIND('112'!$M$9,G4470,1)),"",IF((AND(LEFT(G4470,2)=LEFT('112'!$M$9,2),B4470&lt;'112'!$N$8,$L4470='112'!$I$6)),"x",""))</f>
        <v/>
      </c>
      <c r="T4470" s="525" t="str">
        <f>IF(ISERROR(FIND('112'!$M$9,G4470,1)),"",IF((AND(RIGHT(G4470,2)=RIGHT('112'!$M$9,2),B4470&lt;'112'!$N$8,$M4470='112'!$I$6)),"x",""))</f>
        <v/>
      </c>
      <c r="U4470" s="525" t="str">
        <f>IF(AND(B4470&gt;='IN-NX'!$P$3,B4470&lt;='IN-NX'!$Q$3,'IN-NX'!$D$7=D4470,OR(LEFT(L4470,2)="15",AND(LEFT(M4470,2)&lt;&gt;"15",LEFT(M4470,2)&lt;&gt;"33"))),"x","")</f>
        <v/>
      </c>
      <c r="V4470" s="525" t="str">
        <f>IF(AND(OR(LEFT(TH!L4470,2)="15",LEFT(TH!M4470,2)="15"),'152-CT'!$J$8=TH!F4470),"x","")</f>
        <v/>
      </c>
      <c r="W4470" s="525" t="str">
        <f>IF(AND(OR(LEFT(TH!L4470,2)="15",LEFT(TH!M4470,2)="15"),TK!$E$7=TH!F4470),"x","")</f>
        <v/>
      </c>
      <c r="X4470" s="525" t="str">
        <f>IF(AND('341-CT'!$E$9=H4470,OR(LEFT(L4470,3)=$X$7,LEFT(M4470,3)=$X$7)),"x","")</f>
        <v/>
      </c>
      <c r="Y4470" s="525" t="str">
        <f>IF(OR(TH!L4470=TH!$Y$7,M4470=TH!$Y$7),"x","")</f>
        <v/>
      </c>
      <c r="Z4470" s="525" t="str">
        <f>IF(AND(B4470&lt;=NKC!$N$8,B4470&gt;=NKC!$M$8),"x","")</f>
        <v/>
      </c>
      <c r="AA4470" s="535"/>
      <c r="AB4470" s="536"/>
    </row>
    <row r="4471" spans="1:28" s="503" customFormat="1" ht="15.75" customHeight="1">
      <c r="A4471" s="517" t="str">
        <f>IF(B4471&lt;&gt;"",IF(AND(B4471&gt;=_TM1,B4471&lt;=_TM2,OR(TH!L4471="1111",TH!M4471="1111")),TH!D4471,""),"")</f>
        <v/>
      </c>
      <c r="B4471" s="531" t="str">
        <f t="shared" si="562"/>
        <v/>
      </c>
      <c r="C4471" s="315"/>
      <c r="D4471" s="537"/>
      <c r="E4471" s="280"/>
      <c r="F4471" s="250"/>
      <c r="G4471" s="538"/>
      <c r="H4471" s="473"/>
      <c r="I4471" s="307"/>
      <c r="J4471" s="307"/>
      <c r="K4471" s="532"/>
      <c r="L4471" s="539"/>
      <c r="M4471" s="539"/>
      <c r="N4471" s="525" t="str">
        <f>IF(AND('331-CT'!$E$7=TH!H4471,OR(L4471="331",M4471="331")),"331",IF(AND(OR(L4471="131",M4471="131"),H4471='131-CT'!$E$7),"131",""))</f>
        <v/>
      </c>
      <c r="O4471" s="525" t="str">
        <f>IF(AND($B4471&gt;='111'!$N$11,$B4471&lt;='111'!$O$11,OR($L4471=$O$7,$M4471=$O$7)),"x","")</f>
        <v/>
      </c>
      <c r="P4471" s="525" t="str">
        <f>IF(AND($L4471=$O$7,$B4471&lt;'111'!$N$11),"x","")</f>
        <v/>
      </c>
      <c r="Q4471" s="525" t="str">
        <f>IF(AND($M4471=$O$7,$B4471&lt;'111'!$N$11),"x","")</f>
        <v/>
      </c>
      <c r="R4471" s="525" t="str">
        <f>IF(ISERROR(FIND('112'!$M$9,G4471,1)),"",IF((AND(FIND('112'!$M$9,G4471,1)&gt;=1,$B4471&gt;='112'!$N$8,$B4471&lt;='112'!$O$8,OR($L4471='112'!$I$6,$M4471='112'!$I$6))),"x",""))</f>
        <v/>
      </c>
      <c r="S4471" s="525" t="str">
        <f>IF(ISERROR(FIND('112'!$M$9,G4471,1)),"",IF((AND(LEFT(G4471,2)=LEFT('112'!$M$9,2),B4471&lt;'112'!$N$8,$L4471='112'!$I$6)),"x",""))</f>
        <v/>
      </c>
      <c r="T4471" s="525" t="str">
        <f>IF(ISERROR(FIND('112'!$M$9,G4471,1)),"",IF((AND(RIGHT(G4471,2)=RIGHT('112'!$M$9,2),B4471&lt;'112'!$N$8,$M4471='112'!$I$6)),"x",""))</f>
        <v/>
      </c>
      <c r="U4471" s="525" t="str">
        <f>IF(AND(B4471&gt;='IN-NX'!$P$3,B4471&lt;='IN-NX'!$Q$3,'IN-NX'!$D$7=D4471,OR(LEFT(L4471,2)="15",AND(LEFT(M4471,2)&lt;&gt;"15",LEFT(M4471,2)&lt;&gt;"33"))),"x","")</f>
        <v/>
      </c>
      <c r="V4471" s="525" t="str">
        <f>IF(AND(OR(LEFT(TH!L4471,2)="15",LEFT(TH!M4471,2)="15"),'152-CT'!$J$8=TH!F4471),"x","")</f>
        <v/>
      </c>
      <c r="W4471" s="525" t="str">
        <f>IF(AND(OR(LEFT(TH!L4471,2)="15",LEFT(TH!M4471,2)="15"),TK!$E$7=TH!F4471),"x","")</f>
        <v/>
      </c>
      <c r="X4471" s="525" t="str">
        <f>IF(AND('341-CT'!$E$9=H4471,OR(LEFT(L4471,3)=$X$7,LEFT(M4471,3)=$X$7)),"x","")</f>
        <v/>
      </c>
      <c r="Y4471" s="525" t="str">
        <f>IF(OR(TH!L4471=TH!$Y$7,M4471=TH!$Y$7),"x","")</f>
        <v/>
      </c>
      <c r="Z4471" s="525" t="str">
        <f>IF(AND(B4471&lt;=NKC!$N$8,B4471&gt;=NKC!$M$8),"x","")</f>
        <v/>
      </c>
      <c r="AA4471" s="535"/>
      <c r="AB4471" s="536"/>
    </row>
    <row r="4472" spans="1:28" s="503" customFormat="1" ht="15.75" customHeight="1">
      <c r="A4472" s="517" t="str">
        <f>IF(B4472&lt;&gt;"",IF(AND(B4472&gt;=_TM1,B4472&lt;=_TM2,OR(TH!L4472="1111",TH!M4472="1111")),TH!D4472,""),"")</f>
        <v/>
      </c>
      <c r="B4472" s="531" t="str">
        <f t="shared" si="562"/>
        <v/>
      </c>
      <c r="C4472" s="315"/>
      <c r="D4472" s="537"/>
      <c r="E4472" s="280"/>
      <c r="F4472" s="250"/>
      <c r="G4472" s="538"/>
      <c r="H4472" s="473"/>
      <c r="I4472" s="307"/>
      <c r="J4472" s="307"/>
      <c r="K4472" s="532"/>
      <c r="L4472" s="539"/>
      <c r="M4472" s="539"/>
      <c r="N4472" s="525" t="str">
        <f>IF(AND('331-CT'!$E$7=TH!H4472,OR(L4472="331",M4472="331")),"331",IF(AND(OR(L4472="131",M4472="131"),H4472='131-CT'!$E$7),"131",""))</f>
        <v/>
      </c>
      <c r="O4472" s="525" t="str">
        <f>IF(AND($B4472&gt;='111'!$N$11,$B4472&lt;='111'!$O$11,OR($L4472=$O$7,$M4472=$O$7)),"x","")</f>
        <v/>
      </c>
      <c r="P4472" s="525" t="str">
        <f>IF(AND($L4472=$O$7,$B4472&lt;'111'!$N$11),"x","")</f>
        <v/>
      </c>
      <c r="Q4472" s="525" t="str">
        <f>IF(AND($M4472=$O$7,$B4472&lt;'111'!$N$11),"x","")</f>
        <v/>
      </c>
      <c r="R4472" s="525" t="str">
        <f>IF(ISERROR(FIND('112'!$M$9,G4472,1)),"",IF((AND(FIND('112'!$M$9,G4472,1)&gt;=1,$B4472&gt;='112'!$N$8,$B4472&lt;='112'!$O$8,OR($L4472='112'!$I$6,$M4472='112'!$I$6))),"x",""))</f>
        <v/>
      </c>
      <c r="S4472" s="525" t="str">
        <f>IF(ISERROR(FIND('112'!$M$9,G4472,1)),"",IF((AND(LEFT(G4472,2)=LEFT('112'!$M$9,2),B4472&lt;'112'!$N$8,$L4472='112'!$I$6)),"x",""))</f>
        <v/>
      </c>
      <c r="T4472" s="525" t="str">
        <f>IF(ISERROR(FIND('112'!$M$9,G4472,1)),"",IF((AND(RIGHT(G4472,2)=RIGHT('112'!$M$9,2),B4472&lt;'112'!$N$8,$M4472='112'!$I$6)),"x",""))</f>
        <v/>
      </c>
      <c r="U4472" s="525" t="str">
        <f>IF(AND(B4472&gt;='IN-NX'!$P$3,B4472&lt;='IN-NX'!$Q$3,'IN-NX'!$D$7=D4472,OR(LEFT(L4472,2)="15",AND(LEFT(M4472,2)&lt;&gt;"15",LEFT(M4472,2)&lt;&gt;"33"))),"x","")</f>
        <v/>
      </c>
      <c r="V4472" s="525" t="str">
        <f>IF(AND(OR(LEFT(TH!L4472,2)="15",LEFT(TH!M4472,2)="15"),'152-CT'!$J$8=TH!F4472),"x","")</f>
        <v/>
      </c>
      <c r="W4472" s="525" t="str">
        <f>IF(AND(OR(LEFT(TH!L4472,2)="15",LEFT(TH!M4472,2)="15"),TK!$E$7=TH!F4472),"x","")</f>
        <v/>
      </c>
      <c r="X4472" s="525" t="str">
        <f>IF(AND('341-CT'!$E$9=H4472,OR(LEFT(L4472,3)=$X$7,LEFT(M4472,3)=$X$7)),"x","")</f>
        <v/>
      </c>
      <c r="Y4472" s="525" t="str">
        <f>IF(OR(TH!L4472=TH!$Y$7,M4472=TH!$Y$7),"x","")</f>
        <v/>
      </c>
      <c r="Z4472" s="525" t="str">
        <f>IF(AND(B4472&lt;=NKC!$N$8,B4472&gt;=NKC!$M$8),"x","")</f>
        <v/>
      </c>
      <c r="AA4472" s="535"/>
      <c r="AB4472" s="536"/>
    </row>
    <row r="4473" spans="1:28" s="503" customFormat="1" ht="15.75" customHeight="1">
      <c r="A4473" s="517" t="str">
        <f>IF(B4473&lt;&gt;"",IF(AND(B4473&gt;=_TM1,B4473&lt;=_TM2,OR(TH!L4473="1111",TH!M4473="1111")),TH!D4473,""),"")</f>
        <v/>
      </c>
      <c r="B4473" s="531" t="str">
        <f t="shared" si="562"/>
        <v/>
      </c>
      <c r="C4473" s="315"/>
      <c r="D4473" s="537"/>
      <c r="E4473" s="280"/>
      <c r="F4473" s="250"/>
      <c r="G4473" s="538"/>
      <c r="H4473" s="473"/>
      <c r="I4473" s="307"/>
      <c r="J4473" s="307"/>
      <c r="K4473" s="532"/>
      <c r="L4473" s="539"/>
      <c r="M4473" s="539"/>
      <c r="N4473" s="525" t="str">
        <f>IF(AND('331-CT'!$E$7=TH!H4473,OR(L4473="331",M4473="331")),"331",IF(AND(OR(L4473="131",M4473="131"),H4473='131-CT'!$E$7),"131",""))</f>
        <v/>
      </c>
      <c r="O4473" s="525" t="str">
        <f>IF(AND($B4473&gt;='111'!$N$11,$B4473&lt;='111'!$O$11,OR($L4473=$O$7,$M4473=$O$7)),"x","")</f>
        <v/>
      </c>
      <c r="P4473" s="525" t="str">
        <f>IF(AND($L4473=$O$7,$B4473&lt;'111'!$N$11),"x","")</f>
        <v/>
      </c>
      <c r="Q4473" s="525" t="str">
        <f>IF(AND($M4473=$O$7,$B4473&lt;'111'!$N$11),"x","")</f>
        <v/>
      </c>
      <c r="R4473" s="525" t="str">
        <f>IF(ISERROR(FIND('112'!$M$9,G4473,1)),"",IF((AND(FIND('112'!$M$9,G4473,1)&gt;=1,$B4473&gt;='112'!$N$8,$B4473&lt;='112'!$O$8,OR($L4473='112'!$I$6,$M4473='112'!$I$6))),"x",""))</f>
        <v/>
      </c>
      <c r="S4473" s="525" t="str">
        <f>IF(ISERROR(FIND('112'!$M$9,G4473,1)),"",IF((AND(LEFT(G4473,2)=LEFT('112'!$M$9,2),B4473&lt;'112'!$N$8,$L4473='112'!$I$6)),"x",""))</f>
        <v/>
      </c>
      <c r="T4473" s="525" t="str">
        <f>IF(ISERROR(FIND('112'!$M$9,G4473,1)),"",IF((AND(RIGHT(G4473,2)=RIGHT('112'!$M$9,2),B4473&lt;'112'!$N$8,$M4473='112'!$I$6)),"x",""))</f>
        <v/>
      </c>
      <c r="U4473" s="525" t="str">
        <f>IF(AND(B4473&gt;='IN-NX'!$P$3,B4473&lt;='IN-NX'!$Q$3,'IN-NX'!$D$7=D4473,OR(LEFT(L4473,2)="15",AND(LEFT(M4473,2)&lt;&gt;"15",LEFT(M4473,2)&lt;&gt;"33"))),"x","")</f>
        <v/>
      </c>
      <c r="V4473" s="525" t="str">
        <f>IF(AND(OR(LEFT(TH!L4473,2)="15",LEFT(TH!M4473,2)="15"),'152-CT'!$J$8=TH!F4473),"x","")</f>
        <v/>
      </c>
      <c r="W4473" s="525" t="str">
        <f>IF(AND(OR(LEFT(TH!L4473,2)="15",LEFT(TH!M4473,2)="15"),TK!$E$7=TH!F4473),"x","")</f>
        <v/>
      </c>
      <c r="X4473" s="525" t="str">
        <f>IF(AND('341-CT'!$E$9=H4473,OR(LEFT(L4473,3)=$X$7,LEFT(M4473,3)=$X$7)),"x","")</f>
        <v/>
      </c>
      <c r="Y4473" s="525" t="str">
        <f>IF(OR(TH!L4473=TH!$Y$7,M4473=TH!$Y$7),"x","")</f>
        <v/>
      </c>
      <c r="Z4473" s="525" t="str">
        <f>IF(AND(B4473&lt;=NKC!$N$8,B4473&gt;=NKC!$M$8),"x","")</f>
        <v/>
      </c>
      <c r="AA4473" s="535"/>
      <c r="AB4473" s="536"/>
    </row>
    <row r="4474" spans="1:28" s="503" customFormat="1" ht="15.75" customHeight="1">
      <c r="A4474" s="517" t="str">
        <f>IF(B4474&lt;&gt;"",IF(AND(B4474&gt;=_TM1,B4474&lt;=_TM2,OR(TH!L4474="1111",TH!M4474="1111")),TH!D4474,""),"")</f>
        <v/>
      </c>
      <c r="B4474" s="531" t="str">
        <f t="shared" si="562"/>
        <v/>
      </c>
      <c r="C4474" s="315"/>
      <c r="D4474" s="537"/>
      <c r="E4474" s="280"/>
      <c r="F4474" s="250"/>
      <c r="G4474" s="538"/>
      <c r="H4474" s="473"/>
      <c r="I4474" s="307"/>
      <c r="J4474" s="307"/>
      <c r="K4474" s="532"/>
      <c r="L4474" s="539"/>
      <c r="M4474" s="539"/>
      <c r="N4474" s="525" t="str">
        <f>IF(AND('331-CT'!$E$7=TH!H4474,OR(L4474="331",M4474="331")),"331",IF(AND(OR(L4474="131",M4474="131"),H4474='131-CT'!$E$7),"131",""))</f>
        <v/>
      </c>
      <c r="O4474" s="525" t="str">
        <f>IF(AND($B4474&gt;='111'!$N$11,$B4474&lt;='111'!$O$11,OR($L4474=$O$7,$M4474=$O$7)),"x","")</f>
        <v/>
      </c>
      <c r="P4474" s="525" t="str">
        <f>IF(AND($L4474=$O$7,$B4474&lt;'111'!$N$11),"x","")</f>
        <v/>
      </c>
      <c r="Q4474" s="525" t="str">
        <f>IF(AND($M4474=$O$7,$B4474&lt;'111'!$N$11),"x","")</f>
        <v/>
      </c>
      <c r="R4474" s="525" t="str">
        <f>IF(ISERROR(FIND('112'!$M$9,G4474,1)),"",IF((AND(FIND('112'!$M$9,G4474,1)&gt;=1,$B4474&gt;='112'!$N$8,$B4474&lt;='112'!$O$8,OR($L4474='112'!$I$6,$M4474='112'!$I$6))),"x",""))</f>
        <v/>
      </c>
      <c r="S4474" s="525" t="str">
        <f>IF(ISERROR(FIND('112'!$M$9,G4474,1)),"",IF((AND(LEFT(G4474,2)=LEFT('112'!$M$9,2),B4474&lt;'112'!$N$8,$L4474='112'!$I$6)),"x",""))</f>
        <v/>
      </c>
      <c r="T4474" s="525" t="str">
        <f>IF(ISERROR(FIND('112'!$M$9,G4474,1)),"",IF((AND(RIGHT(G4474,2)=RIGHT('112'!$M$9,2),B4474&lt;'112'!$N$8,$M4474='112'!$I$6)),"x",""))</f>
        <v/>
      </c>
      <c r="U4474" s="525" t="str">
        <f>IF(AND(B4474&gt;='IN-NX'!$P$3,B4474&lt;='IN-NX'!$Q$3,'IN-NX'!$D$7=D4474,OR(LEFT(L4474,2)="15",AND(LEFT(M4474,2)&lt;&gt;"15",LEFT(M4474,2)&lt;&gt;"33"))),"x","")</f>
        <v/>
      </c>
      <c r="V4474" s="525" t="str">
        <f>IF(AND(OR(LEFT(TH!L4474,2)="15",LEFT(TH!M4474,2)="15"),'152-CT'!$J$8=TH!F4474),"x","")</f>
        <v/>
      </c>
      <c r="W4474" s="525" t="str">
        <f>IF(AND(OR(LEFT(TH!L4474,2)="15",LEFT(TH!M4474,2)="15"),TK!$E$7=TH!F4474),"x","")</f>
        <v/>
      </c>
      <c r="X4474" s="525" t="str">
        <f>IF(AND('341-CT'!$E$9=H4474,OR(LEFT(L4474,3)=$X$7,LEFT(M4474,3)=$X$7)),"x","")</f>
        <v/>
      </c>
      <c r="Y4474" s="525" t="str">
        <f>IF(OR(TH!L4474=TH!$Y$7,M4474=TH!$Y$7),"x","")</f>
        <v/>
      </c>
      <c r="Z4474" s="525" t="str">
        <f>IF(AND(B4474&lt;=NKC!$N$8,B4474&gt;=NKC!$M$8),"x","")</f>
        <v/>
      </c>
      <c r="AA4474" s="535"/>
      <c r="AB4474" s="536"/>
    </row>
    <row r="4475" spans="1:28" s="503" customFormat="1" ht="15.75" customHeight="1">
      <c r="A4475" s="517" t="str">
        <f>IF(B4475&lt;&gt;"",IF(AND(B4475&gt;=_TM1,B4475&lt;=_TM2,OR(TH!L4475="1111",TH!M4475="1111")),TH!D4475,""),"")</f>
        <v/>
      </c>
      <c r="B4475" s="531" t="str">
        <f t="shared" si="562"/>
        <v/>
      </c>
      <c r="C4475" s="315"/>
      <c r="D4475" s="537"/>
      <c r="E4475" s="280"/>
      <c r="F4475" s="250"/>
      <c r="G4475" s="538"/>
      <c r="H4475" s="473"/>
      <c r="I4475" s="307"/>
      <c r="J4475" s="307"/>
      <c r="K4475" s="532"/>
      <c r="L4475" s="539"/>
      <c r="M4475" s="539"/>
      <c r="N4475" s="525" t="str">
        <f>IF(AND('331-CT'!$E$7=TH!H4475,OR(L4475="331",M4475="331")),"331",IF(AND(OR(L4475="131",M4475="131"),H4475='131-CT'!$E$7),"131",""))</f>
        <v/>
      </c>
      <c r="O4475" s="525" t="str">
        <f>IF(AND($B4475&gt;='111'!$N$11,$B4475&lt;='111'!$O$11,OR($L4475=$O$7,$M4475=$O$7)),"x","")</f>
        <v/>
      </c>
      <c r="P4475" s="525" t="str">
        <f>IF(AND($L4475=$O$7,$B4475&lt;'111'!$N$11),"x","")</f>
        <v/>
      </c>
      <c r="Q4475" s="525" t="str">
        <f>IF(AND($M4475=$O$7,$B4475&lt;'111'!$N$11),"x","")</f>
        <v/>
      </c>
      <c r="R4475" s="525" t="str">
        <f>IF(ISERROR(FIND('112'!$M$9,G4475,1)),"",IF((AND(FIND('112'!$M$9,G4475,1)&gt;=1,$B4475&gt;='112'!$N$8,$B4475&lt;='112'!$O$8,OR($L4475='112'!$I$6,$M4475='112'!$I$6))),"x",""))</f>
        <v/>
      </c>
      <c r="S4475" s="525" t="str">
        <f>IF(ISERROR(FIND('112'!$M$9,G4475,1)),"",IF((AND(LEFT(G4475,2)=LEFT('112'!$M$9,2),B4475&lt;'112'!$N$8,$L4475='112'!$I$6)),"x",""))</f>
        <v/>
      </c>
      <c r="T4475" s="525" t="str">
        <f>IF(ISERROR(FIND('112'!$M$9,G4475,1)),"",IF((AND(RIGHT(G4475,2)=RIGHT('112'!$M$9,2),B4475&lt;'112'!$N$8,$M4475='112'!$I$6)),"x",""))</f>
        <v/>
      </c>
      <c r="U4475" s="525" t="str">
        <f>IF(AND(B4475&gt;='IN-NX'!$P$3,B4475&lt;='IN-NX'!$Q$3,'IN-NX'!$D$7=D4475,OR(LEFT(L4475,2)="15",AND(LEFT(M4475,2)&lt;&gt;"15",LEFT(M4475,2)&lt;&gt;"33"))),"x","")</f>
        <v/>
      </c>
      <c r="V4475" s="525" t="str">
        <f>IF(AND(OR(LEFT(TH!L4475,2)="15",LEFT(TH!M4475,2)="15"),'152-CT'!$J$8=TH!F4475),"x","")</f>
        <v/>
      </c>
      <c r="W4475" s="525" t="str">
        <f>IF(AND(OR(LEFT(TH!L4475,2)="15",LEFT(TH!M4475,2)="15"),TK!$E$7=TH!F4475),"x","")</f>
        <v/>
      </c>
      <c r="X4475" s="525" t="str">
        <f>IF(AND('341-CT'!$E$9=H4475,OR(LEFT(L4475,3)=$X$7,LEFT(M4475,3)=$X$7)),"x","")</f>
        <v/>
      </c>
      <c r="Y4475" s="525" t="str">
        <f>IF(OR(TH!L4475=TH!$Y$7,M4475=TH!$Y$7),"x","")</f>
        <v/>
      </c>
      <c r="Z4475" s="525" t="str">
        <f>IF(AND(B4475&lt;=NKC!$N$8,B4475&gt;=NKC!$M$8),"x","")</f>
        <v/>
      </c>
      <c r="AA4475" s="535"/>
      <c r="AB4475" s="536"/>
    </row>
    <row r="4476" spans="1:28" s="503" customFormat="1" ht="15.75" customHeight="1">
      <c r="A4476" s="517" t="str">
        <f>IF(B4476&lt;&gt;"",IF(AND(B4476&gt;=_TM1,B4476&lt;=_TM2,OR(TH!L4476="1111",TH!M4476="1111")),TH!D4476,""),"")</f>
        <v/>
      </c>
      <c r="B4476" s="531" t="str">
        <f t="shared" si="562"/>
        <v/>
      </c>
      <c r="C4476" s="315"/>
      <c r="D4476" s="537"/>
      <c r="E4476" s="280"/>
      <c r="F4476" s="248"/>
      <c r="G4476" s="538"/>
      <c r="H4476" s="473"/>
      <c r="I4476" s="307"/>
      <c r="J4476" s="307"/>
      <c r="K4476" s="532"/>
      <c r="L4476" s="539"/>
      <c r="M4476" s="539"/>
      <c r="N4476" s="525" t="str">
        <f>IF(AND('331-CT'!$E$7=TH!H4476,OR(L4476="331",M4476="331")),"331",IF(AND(OR(L4476="131",M4476="131"),H4476='131-CT'!$E$7),"131",""))</f>
        <v/>
      </c>
      <c r="O4476" s="525" t="str">
        <f>IF(AND($B4476&gt;='111'!$N$11,$B4476&lt;='111'!$O$11,OR($L4476=$O$7,$M4476=$O$7)),"x","")</f>
        <v/>
      </c>
      <c r="P4476" s="525" t="str">
        <f>IF(AND($L4476=$O$7,$B4476&lt;'111'!$N$11),"x","")</f>
        <v/>
      </c>
      <c r="Q4476" s="525" t="str">
        <f>IF(AND($M4476=$O$7,$B4476&lt;'111'!$N$11),"x","")</f>
        <v/>
      </c>
      <c r="R4476" s="525" t="str">
        <f>IF(ISERROR(FIND('112'!$M$9,G4476,1)),"",IF((AND(FIND('112'!$M$9,G4476,1)&gt;=1,$B4476&gt;='112'!$N$8,$B4476&lt;='112'!$O$8,OR($L4476='112'!$I$6,$M4476='112'!$I$6))),"x",""))</f>
        <v/>
      </c>
      <c r="S4476" s="525" t="str">
        <f>IF(ISERROR(FIND('112'!$M$9,G4476,1)),"",IF((AND(LEFT(G4476,2)=LEFT('112'!$M$9,2),B4476&lt;'112'!$N$8,$L4476='112'!$I$6)),"x",""))</f>
        <v/>
      </c>
      <c r="T4476" s="525" t="str">
        <f>IF(ISERROR(FIND('112'!$M$9,G4476,1)),"",IF((AND(RIGHT(G4476,2)=RIGHT('112'!$M$9,2),B4476&lt;'112'!$N$8,$M4476='112'!$I$6)),"x",""))</f>
        <v/>
      </c>
      <c r="U4476" s="525" t="str">
        <f>IF(AND(B4476&gt;='IN-NX'!$P$3,B4476&lt;='IN-NX'!$Q$3,'IN-NX'!$D$7=D4476,OR(LEFT(L4476,2)="15",AND(LEFT(M4476,2)&lt;&gt;"15",LEFT(M4476,2)&lt;&gt;"33"))),"x","")</f>
        <v/>
      </c>
      <c r="V4476" s="525" t="str">
        <f>IF(AND(OR(LEFT(TH!L4476,2)="15",LEFT(TH!M4476,2)="15"),'152-CT'!$J$8=TH!F4476),"x","")</f>
        <v/>
      </c>
      <c r="W4476" s="525" t="str">
        <f>IF(AND(OR(LEFT(TH!L4476,2)="15",LEFT(TH!M4476,2)="15"),TK!$E$7=TH!F4476),"x","")</f>
        <v/>
      </c>
      <c r="X4476" s="525" t="str">
        <f>IF(AND('341-CT'!$E$9=H4476,OR(LEFT(L4476,3)=$X$7,LEFT(M4476,3)=$X$7)),"x","")</f>
        <v/>
      </c>
      <c r="Y4476" s="525" t="str">
        <f>IF(OR(TH!L4476=TH!$Y$7,M4476=TH!$Y$7),"x","")</f>
        <v/>
      </c>
      <c r="Z4476" s="525" t="str">
        <f>IF(AND(B4476&lt;=NKC!$N$8,B4476&gt;=NKC!$M$8),"x","")</f>
        <v/>
      </c>
      <c r="AA4476" s="535"/>
      <c r="AB4476" s="536"/>
    </row>
    <row r="4477" spans="1:28" s="503" customFormat="1" ht="15.75" customHeight="1">
      <c r="A4477" s="517" t="str">
        <f>IF(B4477&lt;&gt;"",IF(AND(B4477&gt;=_TM1,B4477&lt;=_TM2,OR(TH!L4477="1111",TH!M4477="1111")),TH!D4477,""),"")</f>
        <v/>
      </c>
      <c r="B4477" s="531" t="str">
        <f t="shared" si="562"/>
        <v/>
      </c>
      <c r="C4477" s="315"/>
      <c r="D4477" s="537"/>
      <c r="E4477" s="280"/>
      <c r="F4477" s="250"/>
      <c r="G4477" s="538"/>
      <c r="H4477" s="473"/>
      <c r="I4477" s="307"/>
      <c r="J4477" s="307"/>
      <c r="K4477" s="532"/>
      <c r="L4477" s="539"/>
      <c r="M4477" s="539"/>
      <c r="N4477" s="525" t="str">
        <f>IF(AND('331-CT'!$E$7=TH!H4477,OR(L4477="331",M4477="331")),"331",IF(AND(OR(L4477="131",M4477="131"),H4477='131-CT'!$E$7),"131",""))</f>
        <v/>
      </c>
      <c r="O4477" s="525" t="str">
        <f>IF(AND($B4477&gt;='111'!$N$11,$B4477&lt;='111'!$O$11,OR($L4477=$O$7,$M4477=$O$7)),"x","")</f>
        <v/>
      </c>
      <c r="P4477" s="525" t="str">
        <f>IF(AND($L4477=$O$7,$B4477&lt;'111'!$N$11),"x","")</f>
        <v/>
      </c>
      <c r="Q4477" s="525" t="str">
        <f>IF(AND($M4477=$O$7,$B4477&lt;'111'!$N$11),"x","")</f>
        <v/>
      </c>
      <c r="R4477" s="525" t="str">
        <f>IF(ISERROR(FIND('112'!$M$9,G4477,1)),"",IF((AND(FIND('112'!$M$9,G4477,1)&gt;=1,$B4477&gt;='112'!$N$8,$B4477&lt;='112'!$O$8,OR($L4477='112'!$I$6,$M4477='112'!$I$6))),"x",""))</f>
        <v/>
      </c>
      <c r="S4477" s="525" t="str">
        <f>IF(ISERROR(FIND('112'!$M$9,G4477,1)),"",IF((AND(LEFT(G4477,2)=LEFT('112'!$M$9,2),B4477&lt;'112'!$N$8,$L4477='112'!$I$6)),"x",""))</f>
        <v/>
      </c>
      <c r="T4477" s="525" t="str">
        <f>IF(ISERROR(FIND('112'!$M$9,G4477,1)),"",IF((AND(RIGHT(G4477,2)=RIGHT('112'!$M$9,2),B4477&lt;'112'!$N$8,$M4477='112'!$I$6)),"x",""))</f>
        <v/>
      </c>
      <c r="U4477" s="525" t="str">
        <f>IF(AND(B4477&gt;='IN-NX'!$P$3,B4477&lt;='IN-NX'!$Q$3,'IN-NX'!$D$7=D4477,OR(LEFT(L4477,2)="15",AND(LEFT(M4477,2)&lt;&gt;"15",LEFT(M4477,2)&lt;&gt;"33"))),"x","")</f>
        <v/>
      </c>
      <c r="V4477" s="525" t="str">
        <f>IF(AND(OR(LEFT(TH!L4477,2)="15",LEFT(TH!M4477,2)="15"),'152-CT'!$J$8=TH!F4477),"x","")</f>
        <v/>
      </c>
      <c r="W4477" s="525" t="str">
        <f>IF(AND(OR(LEFT(TH!L4477,2)="15",LEFT(TH!M4477,2)="15"),TK!$E$7=TH!F4477),"x","")</f>
        <v/>
      </c>
      <c r="X4477" s="525" t="str">
        <f>IF(AND('341-CT'!$E$9=H4477,OR(LEFT(L4477,3)=$X$7,LEFT(M4477,3)=$X$7)),"x","")</f>
        <v/>
      </c>
      <c r="Y4477" s="525" t="str">
        <f>IF(OR(TH!L4477=TH!$Y$7,M4477=TH!$Y$7),"x","")</f>
        <v/>
      </c>
      <c r="Z4477" s="525" t="str">
        <f>IF(AND(B4477&lt;=NKC!$N$8,B4477&gt;=NKC!$M$8),"x","")</f>
        <v/>
      </c>
      <c r="AA4477" s="535"/>
      <c r="AB4477" s="536"/>
    </row>
    <row r="4478" spans="1:28" s="503" customFormat="1" ht="15.75" customHeight="1">
      <c r="A4478" s="517" t="str">
        <f>IF(B4478&lt;&gt;"",IF(AND(B4478&gt;=_TM1,B4478&lt;=_TM2,OR(TH!L4478="1111",TH!M4478="1111")),TH!D4478,""),"")</f>
        <v/>
      </c>
      <c r="B4478" s="531" t="str">
        <f t="shared" si="562"/>
        <v/>
      </c>
      <c r="C4478" s="315"/>
      <c r="D4478" s="537"/>
      <c r="E4478" s="280"/>
      <c r="F4478" s="250"/>
      <c r="G4478" s="538"/>
      <c r="H4478" s="473"/>
      <c r="I4478" s="307"/>
      <c r="J4478" s="307"/>
      <c r="K4478" s="532"/>
      <c r="L4478" s="534"/>
      <c r="M4478" s="539"/>
      <c r="N4478" s="525" t="str">
        <f>IF(AND('331-CT'!$E$7=TH!H4478,OR(L4478="331",M4478="331")),"331",IF(AND(OR(L4478="131",M4478="131"),H4478='131-CT'!$E$7),"131",""))</f>
        <v/>
      </c>
      <c r="O4478" s="525" t="str">
        <f>IF(AND($B4478&gt;='111'!$N$11,$B4478&lt;='111'!$O$11,OR($L4478=$O$7,$M4478=$O$7)),"x","")</f>
        <v/>
      </c>
      <c r="P4478" s="525" t="str">
        <f>IF(AND($L4478=$O$7,$B4478&lt;'111'!$N$11),"x","")</f>
        <v/>
      </c>
      <c r="Q4478" s="525" t="str">
        <f>IF(AND($M4478=$O$7,$B4478&lt;'111'!$N$11),"x","")</f>
        <v/>
      </c>
      <c r="R4478" s="525" t="str">
        <f>IF(ISERROR(FIND('112'!$M$9,G4478,1)),"",IF((AND(FIND('112'!$M$9,G4478,1)&gt;=1,$B4478&gt;='112'!$N$8,$B4478&lt;='112'!$O$8,OR($L4478='112'!$I$6,$M4478='112'!$I$6))),"x",""))</f>
        <v/>
      </c>
      <c r="S4478" s="525" t="str">
        <f>IF(ISERROR(FIND('112'!$M$9,G4478,1)),"",IF((AND(LEFT(G4478,2)=LEFT('112'!$M$9,2),B4478&lt;'112'!$N$8,$L4478='112'!$I$6)),"x",""))</f>
        <v/>
      </c>
      <c r="T4478" s="525" t="str">
        <f>IF(ISERROR(FIND('112'!$M$9,G4478,1)),"",IF((AND(RIGHT(G4478,2)=RIGHT('112'!$M$9,2),B4478&lt;'112'!$N$8,$M4478='112'!$I$6)),"x",""))</f>
        <v/>
      </c>
      <c r="U4478" s="525" t="str">
        <f>IF(AND(B4478&gt;='IN-NX'!$P$3,B4478&lt;='IN-NX'!$Q$3,'IN-NX'!$D$7=D4478,OR(LEFT(L4478,2)="15",AND(LEFT(M4478,2)&lt;&gt;"15",LEFT(M4478,2)&lt;&gt;"33"))),"x","")</f>
        <v/>
      </c>
      <c r="V4478" s="525" t="str">
        <f>IF(AND(OR(LEFT(TH!L4478,2)="15",LEFT(TH!M4478,2)="15"),'152-CT'!$J$8=TH!F4478),"x","")</f>
        <v/>
      </c>
      <c r="W4478" s="525" t="str">
        <f>IF(AND(OR(LEFT(TH!L4478,2)="15",LEFT(TH!M4478,2)="15"),TK!$E$7=TH!F4478),"x","")</f>
        <v/>
      </c>
      <c r="X4478" s="525" t="str">
        <f>IF(AND('341-CT'!$E$9=H4478,OR(LEFT(L4478,3)=$X$7,LEFT(M4478,3)=$X$7)),"x","")</f>
        <v/>
      </c>
      <c r="Y4478" s="525" t="str">
        <f>IF(OR(TH!L4478=TH!$Y$7,M4478=TH!$Y$7),"x","")</f>
        <v/>
      </c>
      <c r="Z4478" s="525" t="str">
        <f>IF(AND(B4478&lt;=NKC!$N$8,B4478&gt;=NKC!$M$8),"x","")</f>
        <v/>
      </c>
      <c r="AA4478" s="535"/>
      <c r="AB4478" s="536"/>
    </row>
    <row r="4479" spans="1:28" s="503" customFormat="1" ht="15.75" customHeight="1">
      <c r="A4479" s="517" t="str">
        <f>IF(B4479&lt;&gt;"",IF(AND(B4479&gt;=_TM1,B4479&lt;=_TM2,OR(TH!L4479="1111",TH!M4479="1111")),TH!D4479,""),"")</f>
        <v/>
      </c>
      <c r="B4479" s="531" t="str">
        <f t="shared" si="562"/>
        <v/>
      </c>
      <c r="C4479" s="315"/>
      <c r="D4479" s="315"/>
      <c r="E4479" s="545"/>
      <c r="F4479" s="248"/>
      <c r="G4479" s="314"/>
      <c r="H4479" s="474"/>
      <c r="I4479" s="307"/>
      <c r="J4479" s="307"/>
      <c r="K4479" s="532"/>
      <c r="L4479" s="533"/>
      <c r="M4479" s="533"/>
      <c r="N4479" s="525" t="str">
        <f>IF(AND('331-CT'!$E$7=TH!H4479,OR(L4479="331",M4479="331")),"331",IF(AND(OR(L4479="131",M4479="131"),H4479='131-CT'!$E$7),"131",""))</f>
        <v/>
      </c>
      <c r="O4479" s="525" t="str">
        <f>IF(AND($B4479&gt;='111'!$N$11,$B4479&lt;='111'!$O$11,OR($L4479=$O$7,$M4479=$O$7)),"x","")</f>
        <v/>
      </c>
      <c r="P4479" s="525" t="str">
        <f>IF(AND($L4479=$O$7,$B4479&lt;'111'!$N$11),"x","")</f>
        <v/>
      </c>
      <c r="Q4479" s="525" t="str">
        <f>IF(AND($M4479=$O$7,$B4479&lt;'111'!$N$11),"x","")</f>
        <v/>
      </c>
      <c r="R4479" s="525" t="str">
        <f>IF(ISERROR(FIND('112'!$M$9,G4479,1)),"",IF((AND(FIND('112'!$M$9,G4479,1)&gt;=1,$B4479&gt;='112'!$N$8,$B4479&lt;='112'!$O$8,OR($L4479='112'!$I$6,$M4479='112'!$I$6))),"x",""))</f>
        <v/>
      </c>
      <c r="S4479" s="525" t="str">
        <f>IF(ISERROR(FIND('112'!$M$9,G4479,1)),"",IF((AND(LEFT(G4479,2)=LEFT('112'!$M$9,2),B4479&lt;'112'!$N$8,$L4479='112'!$I$6)),"x",""))</f>
        <v/>
      </c>
      <c r="T4479" s="525" t="str">
        <f>IF(ISERROR(FIND('112'!$M$9,G4479,1)),"",IF((AND(RIGHT(G4479,2)=RIGHT('112'!$M$9,2),B4479&lt;'112'!$N$8,$M4479='112'!$I$6)),"x",""))</f>
        <v/>
      </c>
      <c r="U4479" s="525" t="str">
        <f>IF(AND(B4479&gt;='IN-NX'!$P$3,B4479&lt;='IN-NX'!$Q$3,'IN-NX'!$D$7=D4479,OR(LEFT(L4479,2)="15",AND(LEFT(M4479,2)&lt;&gt;"15",LEFT(M4479,2)&lt;&gt;"33"))),"x","")</f>
        <v/>
      </c>
      <c r="V4479" s="525" t="str">
        <f>IF(AND(OR(LEFT(TH!L4479,2)="15",LEFT(TH!M4479,2)="15"),'152-CT'!$J$8=TH!F4479),"x","")</f>
        <v/>
      </c>
      <c r="W4479" s="525" t="str">
        <f>IF(AND(OR(LEFT(TH!L4479,2)="15",LEFT(TH!M4479,2)="15"),TK!$E$7=TH!F4479),"x","")</f>
        <v/>
      </c>
      <c r="X4479" s="525" t="str">
        <f>IF(AND('341-CT'!$E$9=H4479,OR(LEFT(L4479,3)=$X$7,LEFT(M4479,3)=$X$7)),"x","")</f>
        <v/>
      </c>
      <c r="Y4479" s="525" t="str">
        <f>IF(OR(TH!L4479=TH!$Y$7,M4479=TH!$Y$7),"x","")</f>
        <v/>
      </c>
      <c r="Z4479" s="525" t="str">
        <f>IF(AND(B4479&lt;=NKC!$N$8,B4479&gt;=NKC!$M$8),"x","")</f>
        <v/>
      </c>
      <c r="AA4479" s="535"/>
      <c r="AB4479" s="536"/>
    </row>
    <row r="4480" spans="1:28" s="503" customFormat="1" ht="15.75" customHeight="1">
      <c r="A4480" s="517" t="str">
        <f>IF(B4480&lt;&gt;"",IF(AND(B4480&gt;=_TM1,B4480&lt;=_TM2,OR(TH!L4480="1111",TH!M4480="1111")),TH!D4480,""),"")</f>
        <v/>
      </c>
      <c r="B4480" s="531" t="str">
        <f t="shared" si="562"/>
        <v/>
      </c>
      <c r="C4480" s="315"/>
      <c r="D4480" s="315"/>
      <c r="E4480" s="545"/>
      <c r="F4480" s="249"/>
      <c r="G4480" s="314"/>
      <c r="H4480" s="474"/>
      <c r="I4480" s="307"/>
      <c r="J4480" s="307"/>
      <c r="K4480" s="532"/>
      <c r="L4480" s="533"/>
      <c r="M4480" s="533"/>
      <c r="N4480" s="525" t="str">
        <f>IF(AND('331-CT'!$E$7=TH!H4480,OR(L4480="331",M4480="331")),"331",IF(AND(OR(L4480="131",M4480="131"),H4480='131-CT'!$E$7),"131",""))</f>
        <v/>
      </c>
      <c r="O4480" s="525" t="str">
        <f>IF(AND($B4480&gt;='111'!$N$11,$B4480&lt;='111'!$O$11,OR($L4480=$O$7,$M4480=$O$7)),"x","")</f>
        <v/>
      </c>
      <c r="P4480" s="525" t="str">
        <f>IF(AND($L4480=$O$7,$B4480&lt;'111'!$N$11),"x","")</f>
        <v/>
      </c>
      <c r="Q4480" s="525" t="str">
        <f>IF(AND($M4480=$O$7,$B4480&lt;'111'!$N$11),"x","")</f>
        <v/>
      </c>
      <c r="R4480" s="525" t="str">
        <f>IF(ISERROR(FIND('112'!$M$9,G4480,1)),"",IF((AND(FIND('112'!$M$9,G4480,1)&gt;=1,$B4480&gt;='112'!$N$8,$B4480&lt;='112'!$O$8,OR($L4480='112'!$I$6,$M4480='112'!$I$6))),"x",""))</f>
        <v/>
      </c>
      <c r="S4480" s="525" t="str">
        <f>IF(ISERROR(FIND('112'!$M$9,G4480,1)),"",IF((AND(LEFT(G4480,2)=LEFT('112'!$M$9,2),B4480&lt;'112'!$N$8,$L4480='112'!$I$6)),"x",""))</f>
        <v/>
      </c>
      <c r="T4480" s="525" t="str">
        <f>IF(ISERROR(FIND('112'!$M$9,G4480,1)),"",IF((AND(RIGHT(G4480,2)=RIGHT('112'!$M$9,2),B4480&lt;'112'!$N$8,$M4480='112'!$I$6)),"x",""))</f>
        <v/>
      </c>
      <c r="U4480" s="525" t="str">
        <f>IF(AND(B4480&gt;='IN-NX'!$P$3,B4480&lt;='IN-NX'!$Q$3,'IN-NX'!$D$7=D4480,OR(LEFT(L4480,2)="15",AND(LEFT(M4480,2)&lt;&gt;"15",LEFT(M4480,2)&lt;&gt;"33"))),"x","")</f>
        <v/>
      </c>
      <c r="V4480" s="525" t="str">
        <f>IF(AND(OR(LEFT(TH!L4480,2)="15",LEFT(TH!M4480,2)="15"),'152-CT'!$J$8=TH!F4480),"x","")</f>
        <v/>
      </c>
      <c r="W4480" s="525" t="str">
        <f>IF(AND(OR(LEFT(TH!L4480,2)="15",LEFT(TH!M4480,2)="15"),TK!$E$7=TH!F4480),"x","")</f>
        <v/>
      </c>
      <c r="X4480" s="525" t="str">
        <f>IF(AND('341-CT'!$E$9=H4480,OR(LEFT(L4480,3)=$X$7,LEFT(M4480,3)=$X$7)),"x","")</f>
        <v/>
      </c>
      <c r="Y4480" s="525" t="str">
        <f>IF(OR(TH!L4480=TH!$Y$7,M4480=TH!$Y$7),"x","")</f>
        <v/>
      </c>
      <c r="Z4480" s="525" t="str">
        <f>IF(AND(B4480&lt;=NKC!$N$8,B4480&gt;=NKC!$M$8),"x","")</f>
        <v/>
      </c>
      <c r="AA4480" s="535"/>
      <c r="AB4480" s="536"/>
    </row>
    <row r="4481" spans="1:30" s="503" customFormat="1" ht="15.75" customHeight="1">
      <c r="A4481" s="517" t="str">
        <f>IF(B4481&lt;&gt;"",IF(AND(B4481&gt;=_TM1,B4481&lt;=_TM2,OR(TH!L4481="1111",TH!M4481="1111")),TH!D4481,""),"")</f>
        <v/>
      </c>
      <c r="B4481" s="531" t="str">
        <f t="shared" si="562"/>
        <v/>
      </c>
      <c r="C4481" s="315"/>
      <c r="D4481" s="315"/>
      <c r="E4481" s="545"/>
      <c r="F4481" s="249"/>
      <c r="G4481" s="314"/>
      <c r="H4481" s="474"/>
      <c r="I4481" s="307"/>
      <c r="J4481" s="307"/>
      <c r="K4481" s="532"/>
      <c r="L4481" s="533"/>
      <c r="M4481" s="533"/>
      <c r="N4481" s="525" t="str">
        <f>IF(AND('331-CT'!$E$7=TH!H4481,OR(L4481="331",M4481="331")),"331",IF(AND(OR(L4481="131",M4481="131"),H4481='131-CT'!$E$7),"131",""))</f>
        <v/>
      </c>
      <c r="O4481" s="525" t="str">
        <f>IF(AND($B4481&gt;='111'!$N$11,$B4481&lt;='111'!$O$11,OR($L4481=$O$7,$M4481=$O$7)),"x","")</f>
        <v/>
      </c>
      <c r="P4481" s="525" t="str">
        <f>IF(AND($L4481=$O$7,$B4481&lt;'111'!$N$11),"x","")</f>
        <v/>
      </c>
      <c r="Q4481" s="525" t="str">
        <f>IF(AND($M4481=$O$7,$B4481&lt;'111'!$N$11),"x","")</f>
        <v/>
      </c>
      <c r="R4481" s="525" t="str">
        <f>IF(ISERROR(FIND('112'!$M$9,G4481,1)),"",IF((AND(FIND('112'!$M$9,G4481,1)&gt;=1,$B4481&gt;='112'!$N$8,$B4481&lt;='112'!$O$8,OR($L4481='112'!$I$6,$M4481='112'!$I$6))),"x",""))</f>
        <v/>
      </c>
      <c r="S4481" s="525" t="str">
        <f>IF(ISERROR(FIND('112'!$M$9,G4481,1)),"",IF((AND(LEFT(G4481,2)=LEFT('112'!$M$9,2),B4481&lt;'112'!$N$8,$L4481='112'!$I$6)),"x",""))</f>
        <v/>
      </c>
      <c r="T4481" s="525" t="str">
        <f>IF(ISERROR(FIND('112'!$M$9,G4481,1)),"",IF((AND(RIGHT(G4481,2)=RIGHT('112'!$M$9,2),B4481&lt;'112'!$N$8,$M4481='112'!$I$6)),"x",""))</f>
        <v/>
      </c>
      <c r="U4481" s="525" t="str">
        <f>IF(AND(B4481&gt;='IN-NX'!$P$3,B4481&lt;='IN-NX'!$Q$3,'IN-NX'!$D$7=D4481,OR(LEFT(L4481,2)="15",AND(LEFT(M4481,2)&lt;&gt;"15",LEFT(M4481,2)&lt;&gt;"33"))),"x","")</f>
        <v/>
      </c>
      <c r="V4481" s="525" t="str">
        <f>IF(AND(OR(LEFT(TH!L4481,2)="15",LEFT(TH!M4481,2)="15"),'152-CT'!$J$8=TH!F4481),"x","")</f>
        <v/>
      </c>
      <c r="W4481" s="525" t="str">
        <f>IF(AND(OR(LEFT(TH!L4481,2)="15",LEFT(TH!M4481,2)="15"),TK!$E$7=TH!F4481),"x","")</f>
        <v/>
      </c>
      <c r="X4481" s="525" t="str">
        <f>IF(AND('341-CT'!$E$9=H4481,OR(LEFT(L4481,3)=$X$7,LEFT(M4481,3)=$X$7)),"x","")</f>
        <v/>
      </c>
      <c r="Y4481" s="525" t="str">
        <f>IF(OR(TH!L4481=TH!$Y$7,M4481=TH!$Y$7),"x","")</f>
        <v/>
      </c>
      <c r="Z4481" s="525" t="str">
        <f>IF(AND(B4481&lt;=NKC!$N$8,B4481&gt;=NKC!$M$8),"x","")</f>
        <v/>
      </c>
      <c r="AA4481" s="535"/>
      <c r="AB4481" s="536"/>
    </row>
    <row r="4482" spans="1:30" s="503" customFormat="1" ht="15.75" customHeight="1">
      <c r="A4482" s="517" t="str">
        <f>IF(B4482&lt;&gt;"",IF(AND(B4482&gt;=_TM1,B4482&lt;=_TM2,OR(TH!L4482="1111",TH!M4482="1111")),TH!D4482,""),"")</f>
        <v/>
      </c>
      <c r="B4482" s="531" t="str">
        <f t="shared" si="562"/>
        <v/>
      </c>
      <c r="C4482" s="315"/>
      <c r="D4482" s="537"/>
      <c r="E4482" s="280"/>
      <c r="F4482" s="249"/>
      <c r="G4482" s="314"/>
      <c r="H4482" s="473"/>
      <c r="I4482" s="543"/>
      <c r="J4482" s="307"/>
      <c r="K4482" s="532"/>
      <c r="L4482" s="534"/>
      <c r="M4482" s="534"/>
      <c r="N4482" s="525" t="str">
        <f>IF(AND('331-CT'!$E$7=TH!H4482,OR(L4482="331",M4482="331")),"331",IF(AND(OR(L4482="131",M4482="131"),H4482='131-CT'!$E$7),"131",""))</f>
        <v/>
      </c>
      <c r="O4482" s="525" t="str">
        <f>IF(AND($B4482&gt;='111'!$N$11,$B4482&lt;='111'!$O$11,OR($L4482=$O$7,$M4482=$O$7)),"x","")</f>
        <v/>
      </c>
      <c r="P4482" s="525" t="str">
        <f>IF(AND($L4482=$O$7,$B4482&lt;'111'!$N$11),"x","")</f>
        <v/>
      </c>
      <c r="Q4482" s="525" t="str">
        <f>IF(AND($M4482=$O$7,$B4482&lt;'111'!$N$11),"x","")</f>
        <v/>
      </c>
      <c r="R4482" s="525" t="str">
        <f>IF(ISERROR(FIND('112'!$M$9,G4482,1)),"",IF((AND(FIND('112'!$M$9,G4482,1)&gt;=1,$B4482&gt;='112'!$N$8,$B4482&lt;='112'!$O$8,OR($L4482='112'!$I$6,$M4482='112'!$I$6))),"x",""))</f>
        <v/>
      </c>
      <c r="S4482" s="525" t="str">
        <f>IF(ISERROR(FIND('112'!$M$9,G4482,1)),"",IF((AND(LEFT(G4482,2)=LEFT('112'!$M$9,2),B4482&lt;'112'!$N$8,$L4482='112'!$I$6)),"x",""))</f>
        <v/>
      </c>
      <c r="T4482" s="525" t="str">
        <f>IF(ISERROR(FIND('112'!$M$9,G4482,1)),"",IF((AND(RIGHT(G4482,2)=RIGHT('112'!$M$9,2),B4482&lt;'112'!$N$8,$M4482='112'!$I$6)),"x",""))</f>
        <v/>
      </c>
      <c r="U4482" s="525" t="str">
        <f>IF(AND(B4482&gt;='IN-NX'!$P$3,B4482&lt;='IN-NX'!$Q$3,'IN-NX'!$D$7=D4482,OR(LEFT(L4482,2)="15",AND(LEFT(M4482,2)&lt;&gt;"15",LEFT(M4482,2)&lt;&gt;"33"))),"x","")</f>
        <v/>
      </c>
      <c r="V4482" s="525" t="str">
        <f>IF(AND(OR(LEFT(TH!L4482,2)="15",LEFT(TH!M4482,2)="15"),'152-CT'!$J$8=TH!F4482),"x","")</f>
        <v/>
      </c>
      <c r="W4482" s="525" t="str">
        <f>IF(AND(OR(LEFT(TH!L4482,2)="15",LEFT(TH!M4482,2)="15"),TK!$E$7=TH!F4482),"x","")</f>
        <v/>
      </c>
      <c r="X4482" s="525" t="str">
        <f>IF(AND('341-CT'!$E$9=H4482,OR(LEFT(L4482,3)=$X$7,LEFT(M4482,3)=$X$7)),"x","")</f>
        <v/>
      </c>
      <c r="Y4482" s="525" t="str">
        <f>IF(OR(TH!L4482=TH!$Y$7,M4482=TH!$Y$7),"x","")</f>
        <v/>
      </c>
      <c r="Z4482" s="525" t="str">
        <f>IF(AND(B4482&lt;=NKC!$N$8,B4482&gt;=NKC!$M$8),"x","")</f>
        <v/>
      </c>
      <c r="AA4482" s="535"/>
    </row>
    <row r="4483" spans="1:30" s="503" customFormat="1" ht="15.75" customHeight="1">
      <c r="A4483" s="517" t="str">
        <f>IF(B4483&lt;&gt;"",IF(AND(B4483&gt;=_TM1,B4483&lt;=_TM2,OR(TH!L4483="1111",TH!M4483="1111")),TH!D4483,""),"")</f>
        <v/>
      </c>
      <c r="B4483" s="531" t="str">
        <f t="shared" si="562"/>
        <v/>
      </c>
      <c r="C4483" s="315"/>
      <c r="D4483" s="537"/>
      <c r="E4483" s="280"/>
      <c r="F4483" s="249"/>
      <c r="G4483" s="314"/>
      <c r="H4483" s="472"/>
      <c r="I4483" s="543"/>
      <c r="J4483" s="307"/>
      <c r="K4483" s="532"/>
      <c r="L4483" s="534"/>
      <c r="M4483" s="534"/>
      <c r="N4483" s="525" t="str">
        <f>IF(AND('331-CT'!$E$7=TH!H4483,OR(L4483="331",M4483="331")),"331",IF(AND(OR(L4483="131",M4483="131"),H4483='131-CT'!$E$7),"131",""))</f>
        <v/>
      </c>
      <c r="O4483" s="525" t="str">
        <f>IF(AND($B4483&gt;='111'!$N$11,$B4483&lt;='111'!$O$11,OR($L4483=$O$7,$M4483=$O$7)),"x","")</f>
        <v/>
      </c>
      <c r="P4483" s="525" t="str">
        <f>IF(AND($L4483=$O$7,$B4483&lt;'111'!$N$11),"x","")</f>
        <v/>
      </c>
      <c r="Q4483" s="525" t="str">
        <f>IF(AND($M4483=$O$7,$B4483&lt;'111'!$N$11),"x","")</f>
        <v/>
      </c>
      <c r="R4483" s="525" t="str">
        <f>IF(ISERROR(FIND('112'!$M$9,G4483,1)),"",IF((AND(FIND('112'!$M$9,G4483,1)&gt;=1,$B4483&gt;='112'!$N$8,$B4483&lt;='112'!$O$8,OR($L4483='112'!$I$6,$M4483='112'!$I$6))),"x",""))</f>
        <v/>
      </c>
      <c r="S4483" s="525" t="str">
        <f>IF(ISERROR(FIND('112'!$M$9,G4483,1)),"",IF((AND(LEFT(G4483,2)=LEFT('112'!$M$9,2),B4483&lt;'112'!$N$8,$L4483='112'!$I$6)),"x",""))</f>
        <v/>
      </c>
      <c r="T4483" s="525" t="str">
        <f>IF(ISERROR(FIND('112'!$M$9,G4483,1)),"",IF((AND(RIGHT(G4483,2)=RIGHT('112'!$M$9,2),B4483&lt;'112'!$N$8,$M4483='112'!$I$6)),"x",""))</f>
        <v/>
      </c>
      <c r="U4483" s="525" t="str">
        <f>IF(AND(B4483&gt;='IN-NX'!$P$3,B4483&lt;='IN-NX'!$Q$3,'IN-NX'!$D$7=D4483,OR(LEFT(L4483,2)="15",AND(LEFT(M4483,2)&lt;&gt;"15",LEFT(M4483,2)&lt;&gt;"33"))),"x","")</f>
        <v/>
      </c>
      <c r="V4483" s="525" t="str">
        <f>IF(AND(OR(LEFT(TH!L4483,2)="15",LEFT(TH!M4483,2)="15"),'152-CT'!$J$8=TH!F4483),"x","")</f>
        <v/>
      </c>
      <c r="W4483" s="525" t="str">
        <f>IF(AND(OR(LEFT(TH!L4483,2)="15",LEFT(TH!M4483,2)="15"),TK!$E$7=TH!F4483),"x","")</f>
        <v/>
      </c>
      <c r="X4483" s="525" t="str">
        <f>IF(AND('341-CT'!$E$9=H4483,OR(LEFT(L4483,3)=$X$7,LEFT(M4483,3)=$X$7)),"x","")</f>
        <v/>
      </c>
      <c r="Y4483" s="525" t="str">
        <f>IF(OR(TH!L4483=TH!$Y$7,M4483=TH!$Y$7),"x","")</f>
        <v/>
      </c>
      <c r="Z4483" s="525" t="str">
        <f>IF(AND(B4483&lt;=NKC!$N$8,B4483&gt;=NKC!$M$8),"x","")</f>
        <v/>
      </c>
      <c r="AA4483" s="535"/>
    </row>
    <row r="4484" spans="1:30" s="503" customFormat="1" ht="15.75" customHeight="1">
      <c r="A4484" s="517" t="str">
        <f>IF(B4484&lt;&gt;"",IF(AND(B4484&gt;=_TM1,B4484&lt;=_TM2,OR(TH!L4484="1111",TH!M4484="1111")),TH!D4484,""),"")</f>
        <v/>
      </c>
      <c r="B4484" s="531" t="str">
        <f t="shared" si="562"/>
        <v/>
      </c>
      <c r="C4484" s="315"/>
      <c r="D4484" s="537"/>
      <c r="E4484" s="280"/>
      <c r="F4484" s="247"/>
      <c r="G4484" s="314"/>
      <c r="H4484" s="473"/>
      <c r="I4484" s="543"/>
      <c r="J4484" s="307"/>
      <c r="K4484" s="532"/>
      <c r="L4484" s="534"/>
      <c r="M4484" s="534"/>
      <c r="N4484" s="525" t="str">
        <f>IF(AND('331-CT'!$E$7=TH!H4484,OR(L4484="331",M4484="331")),"331",IF(AND(OR(L4484="131",M4484="131"),H4484='131-CT'!$E$7),"131",""))</f>
        <v/>
      </c>
      <c r="O4484" s="525" t="str">
        <f>IF(AND($B4484&gt;='111'!$N$11,$B4484&lt;='111'!$O$11,OR($L4484=$O$7,$M4484=$O$7)),"x","")</f>
        <v/>
      </c>
      <c r="P4484" s="525" t="str">
        <f>IF(AND($L4484=$O$7,$B4484&lt;'111'!$N$11),"x","")</f>
        <v/>
      </c>
      <c r="Q4484" s="525" t="str">
        <f>IF(AND($M4484=$O$7,$B4484&lt;'111'!$N$11),"x","")</f>
        <v/>
      </c>
      <c r="R4484" s="525" t="str">
        <f>IF(ISERROR(FIND('112'!$M$9,G4484,1)),"",IF((AND(FIND('112'!$M$9,G4484,1)&gt;=1,$B4484&gt;='112'!$N$8,$B4484&lt;='112'!$O$8,OR($L4484='112'!$I$6,$M4484='112'!$I$6))),"x",""))</f>
        <v/>
      </c>
      <c r="S4484" s="525" t="str">
        <f>IF(ISERROR(FIND('112'!$M$9,G4484,1)),"",IF((AND(LEFT(G4484,2)=LEFT('112'!$M$9,2),B4484&lt;'112'!$N$8,$L4484='112'!$I$6)),"x",""))</f>
        <v/>
      </c>
      <c r="T4484" s="525" t="str">
        <f>IF(ISERROR(FIND('112'!$M$9,G4484,1)),"",IF((AND(RIGHT(G4484,2)=RIGHT('112'!$M$9,2),B4484&lt;'112'!$N$8,$M4484='112'!$I$6)),"x",""))</f>
        <v/>
      </c>
      <c r="U4484" s="525" t="str">
        <f>IF(AND(B4484&gt;='IN-NX'!$P$3,B4484&lt;='IN-NX'!$Q$3,'IN-NX'!$D$7=D4484,OR(LEFT(L4484,2)="15",AND(LEFT(M4484,2)&lt;&gt;"15",LEFT(M4484,2)&lt;&gt;"33"))),"x","")</f>
        <v/>
      </c>
      <c r="V4484" s="525" t="str">
        <f>IF(AND(OR(LEFT(TH!L4484,2)="15",LEFT(TH!M4484,2)="15"),'152-CT'!$J$8=TH!F4484),"x","")</f>
        <v/>
      </c>
      <c r="W4484" s="525" t="str">
        <f>IF(AND(OR(LEFT(TH!L4484,2)="15",LEFT(TH!M4484,2)="15"),TK!$E$7=TH!F4484),"x","")</f>
        <v/>
      </c>
      <c r="X4484" s="525" t="str">
        <f>IF(AND('341-CT'!$E$9=H4484,OR(LEFT(L4484,3)=$X$7,LEFT(M4484,3)=$X$7)),"x","")</f>
        <v/>
      </c>
      <c r="Y4484" s="525" t="str">
        <f>IF(OR(TH!L4484=TH!$Y$7,M4484=TH!$Y$7),"x","")</f>
        <v/>
      </c>
      <c r="Z4484" s="525" t="str">
        <f>IF(AND(B4484&lt;=NKC!$N$8,B4484&gt;=NKC!$M$8),"x","")</f>
        <v/>
      </c>
      <c r="AA4484" s="535"/>
    </row>
    <row r="4485" spans="1:30" s="503" customFormat="1" ht="15.75" customHeight="1">
      <c r="A4485" s="517" t="str">
        <f>IF(B4485&lt;&gt;"",IF(AND(B4485&gt;=_TM1,B4485&lt;=_TM2,OR(TH!L4485="1111",TH!M4485="1111")),TH!D4485,""),"")</f>
        <v/>
      </c>
      <c r="B4485" s="531" t="str">
        <f t="shared" si="562"/>
        <v/>
      </c>
      <c r="C4485" s="315"/>
      <c r="D4485" s="537"/>
      <c r="E4485" s="280"/>
      <c r="F4485" s="247"/>
      <c r="G4485" s="314"/>
      <c r="H4485" s="473"/>
      <c r="I4485" s="543"/>
      <c r="J4485" s="307"/>
      <c r="K4485" s="532"/>
      <c r="L4485" s="534"/>
      <c r="M4485" s="534"/>
      <c r="N4485" s="525" t="str">
        <f>IF(AND('331-CT'!$E$7=TH!H4485,OR(L4485="331",M4485="331")),"331",IF(AND(OR(L4485="131",M4485="131"),H4485='131-CT'!$E$7),"131",""))</f>
        <v/>
      </c>
      <c r="O4485" s="525" t="str">
        <f>IF(AND($B4485&gt;='111'!$N$11,$B4485&lt;='111'!$O$11,OR($L4485=$O$7,$M4485=$O$7)),"x","")</f>
        <v/>
      </c>
      <c r="P4485" s="525" t="str">
        <f>IF(AND($L4485=$O$7,$B4485&lt;'111'!$N$11),"x","")</f>
        <v/>
      </c>
      <c r="Q4485" s="525" t="str">
        <f>IF(AND($M4485=$O$7,$B4485&lt;'111'!$N$11),"x","")</f>
        <v/>
      </c>
      <c r="R4485" s="525" t="str">
        <f>IF(ISERROR(FIND('112'!$M$9,G4485,1)),"",IF((AND(FIND('112'!$M$9,G4485,1)&gt;=1,$B4485&gt;='112'!$N$8,$B4485&lt;='112'!$O$8,OR($L4485='112'!$I$6,$M4485='112'!$I$6))),"x",""))</f>
        <v/>
      </c>
      <c r="S4485" s="525" t="str">
        <f>IF(ISERROR(FIND('112'!$M$9,G4485,1)),"",IF((AND(LEFT(G4485,2)=LEFT('112'!$M$9,2),B4485&lt;'112'!$N$8,$L4485='112'!$I$6)),"x",""))</f>
        <v/>
      </c>
      <c r="T4485" s="525" t="str">
        <f>IF(ISERROR(FIND('112'!$M$9,G4485,1)),"",IF((AND(RIGHT(G4485,2)=RIGHT('112'!$M$9,2),B4485&lt;'112'!$N$8,$M4485='112'!$I$6)),"x",""))</f>
        <v/>
      </c>
      <c r="U4485" s="525" t="str">
        <f>IF(AND(B4485&gt;='IN-NX'!$P$3,B4485&lt;='IN-NX'!$Q$3,'IN-NX'!$D$7=D4485,OR(LEFT(L4485,2)="15",AND(LEFT(M4485,2)&lt;&gt;"15",LEFT(M4485,2)&lt;&gt;"33"))),"x","")</f>
        <v/>
      </c>
      <c r="V4485" s="525" t="str">
        <f>IF(AND(OR(LEFT(TH!L4485,2)="15",LEFT(TH!M4485,2)="15"),'152-CT'!$J$8=TH!F4485),"x","")</f>
        <v/>
      </c>
      <c r="W4485" s="525" t="str">
        <f>IF(AND(OR(LEFT(TH!L4485,2)="15",LEFT(TH!M4485,2)="15"),TK!$E$7=TH!F4485),"x","")</f>
        <v/>
      </c>
      <c r="X4485" s="525" t="str">
        <f>IF(AND('341-CT'!$E$9=H4485,OR(LEFT(L4485,3)=$X$7,LEFT(M4485,3)=$X$7)),"x","")</f>
        <v/>
      </c>
      <c r="Y4485" s="525" t="str">
        <f>IF(OR(TH!L4485=TH!$Y$7,M4485=TH!$Y$7),"x","")</f>
        <v/>
      </c>
      <c r="Z4485" s="525" t="str">
        <f>IF(AND(B4485&lt;=NKC!$N$8,B4485&gt;=NKC!$M$8),"x","")</f>
        <v/>
      </c>
      <c r="AA4485" s="535"/>
    </row>
    <row r="4486" spans="1:30" s="503" customFormat="1" ht="15.75" customHeight="1">
      <c r="A4486" s="517" t="str">
        <f>IF(B4486&lt;&gt;"",IF(AND(B4486&gt;=_TM1,B4486&lt;=_TM2,OR(TH!L4486="1111",TH!M4486="1111")),TH!D4486,""),"")</f>
        <v/>
      </c>
      <c r="B4486" s="531" t="str">
        <f t="shared" si="562"/>
        <v/>
      </c>
      <c r="C4486" s="315"/>
      <c r="D4486" s="315"/>
      <c r="E4486" s="545"/>
      <c r="F4486" s="248"/>
      <c r="G4486" s="314"/>
      <c r="H4486" s="472"/>
      <c r="I4486" s="307"/>
      <c r="J4486" s="307"/>
      <c r="K4486" s="532"/>
      <c r="L4486" s="533"/>
      <c r="M4486" s="533"/>
      <c r="N4486" s="525" t="str">
        <f>IF(AND('331-CT'!$E$7=TH!H4486,OR(L4486="331",M4486="331")),"331",IF(AND(OR(L4486="131",M4486="131"),H4486='131-CT'!$E$7),"131",""))</f>
        <v/>
      </c>
      <c r="O4486" s="525" t="str">
        <f>IF(AND($B4486&gt;='111'!$N$11,$B4486&lt;='111'!$O$11,OR($L4486=$O$7,$M4486=$O$7)),"x","")</f>
        <v/>
      </c>
      <c r="P4486" s="525" t="str">
        <f>IF(AND($L4486=$O$7,$B4486&lt;'111'!$N$11),"x","")</f>
        <v/>
      </c>
      <c r="Q4486" s="525" t="str">
        <f>IF(AND($M4486=$O$7,$B4486&lt;'111'!$N$11),"x","")</f>
        <v/>
      </c>
      <c r="R4486" s="525" t="str">
        <f>IF(ISERROR(FIND('112'!$M$9,G4486,1)),"",IF((AND(FIND('112'!$M$9,G4486,1)&gt;=1,$B4486&gt;='112'!$N$8,$B4486&lt;='112'!$O$8,OR($L4486='112'!$I$6,$M4486='112'!$I$6))),"x",""))</f>
        <v/>
      </c>
      <c r="S4486" s="525" t="str">
        <f>IF(ISERROR(FIND('112'!$M$9,G4486,1)),"",IF((AND(LEFT(G4486,2)=LEFT('112'!$M$9,2),B4486&lt;'112'!$N$8,$L4486='112'!$I$6)),"x",""))</f>
        <v/>
      </c>
      <c r="T4486" s="525" t="str">
        <f>IF(ISERROR(FIND('112'!$M$9,G4486,1)),"",IF((AND(RIGHT(G4486,2)=RIGHT('112'!$M$9,2),B4486&lt;'112'!$N$8,$M4486='112'!$I$6)),"x",""))</f>
        <v/>
      </c>
      <c r="U4486" s="525" t="str">
        <f>IF(AND(B4486&gt;='IN-NX'!$P$3,B4486&lt;='IN-NX'!$Q$3,'IN-NX'!$D$7=D4486,OR(LEFT(L4486,2)="15",AND(LEFT(M4486,2)&lt;&gt;"15",LEFT(M4486,2)&lt;&gt;"33"))),"x","")</f>
        <v/>
      </c>
      <c r="V4486" s="525" t="str">
        <f>IF(AND(OR(LEFT(TH!L4486,2)="15",LEFT(TH!M4486,2)="15"),'152-CT'!$J$8=TH!F4486),"x","")</f>
        <v/>
      </c>
      <c r="W4486" s="525" t="str">
        <f>IF(AND(OR(LEFT(TH!L4486,2)="15",LEFT(TH!M4486,2)="15"),TK!$E$7=TH!F4486),"x","")</f>
        <v/>
      </c>
      <c r="X4486" s="525" t="str">
        <f>IF(AND('341-CT'!$E$9=H4486,OR(LEFT(L4486,3)=$X$7,LEFT(M4486,3)=$X$7)),"x","")</f>
        <v/>
      </c>
      <c r="Y4486" s="525" t="str">
        <f>IF(OR(TH!L4486=TH!$Y$7,M4486=TH!$Y$7),"x","")</f>
        <v/>
      </c>
      <c r="Z4486" s="525" t="str">
        <f>IF(AND(B4486&lt;=NKC!$N$8,B4486&gt;=NKC!$M$8),"x","")</f>
        <v/>
      </c>
      <c r="AA4486" s="535"/>
      <c r="AB4486" s="536"/>
      <c r="AD4486" s="536"/>
    </row>
    <row r="4487" spans="1:30" s="503" customFormat="1" ht="15.75" customHeight="1">
      <c r="A4487" s="517" t="str">
        <f>IF(B4487&lt;&gt;"",IF(AND(B4487&gt;=_TM1,B4487&lt;=_TM2,OR(TH!L4487="1111",TH!M4487="1111")),TH!D4487,""),"")</f>
        <v/>
      </c>
      <c r="B4487" s="531" t="str">
        <f t="shared" si="562"/>
        <v/>
      </c>
      <c r="C4487" s="315"/>
      <c r="D4487" s="315"/>
      <c r="E4487" s="545"/>
      <c r="F4487" s="248"/>
      <c r="G4487" s="314"/>
      <c r="H4487" s="472"/>
      <c r="I4487" s="307"/>
      <c r="J4487" s="307"/>
      <c r="K4487" s="532"/>
      <c r="L4487" s="533"/>
      <c r="M4487" s="533"/>
      <c r="N4487" s="525" t="str">
        <f>IF(AND('331-CT'!$E$7=TH!H4487,OR(L4487="331",M4487="331")),"331",IF(AND(OR(L4487="131",M4487="131"),H4487='131-CT'!$E$7),"131",""))</f>
        <v/>
      </c>
      <c r="O4487" s="525" t="str">
        <f>IF(AND($B4487&gt;='111'!$N$11,$B4487&lt;='111'!$O$11,OR($L4487=$O$7,$M4487=$O$7)),"x","")</f>
        <v/>
      </c>
      <c r="P4487" s="525" t="str">
        <f>IF(AND($L4487=$O$7,$B4487&lt;'111'!$N$11),"x","")</f>
        <v/>
      </c>
      <c r="Q4487" s="525" t="str">
        <f>IF(AND($M4487=$O$7,$B4487&lt;'111'!$N$11),"x","")</f>
        <v/>
      </c>
      <c r="R4487" s="525" t="str">
        <f>IF(ISERROR(FIND('112'!$M$9,G4487,1)),"",IF((AND(FIND('112'!$M$9,G4487,1)&gt;=1,$B4487&gt;='112'!$N$8,$B4487&lt;='112'!$O$8,OR($L4487='112'!$I$6,$M4487='112'!$I$6))),"x",""))</f>
        <v/>
      </c>
      <c r="S4487" s="525" t="str">
        <f>IF(ISERROR(FIND('112'!$M$9,G4487,1)),"",IF((AND(LEFT(G4487,2)=LEFT('112'!$M$9,2),B4487&lt;'112'!$N$8,$L4487='112'!$I$6)),"x",""))</f>
        <v/>
      </c>
      <c r="T4487" s="525" t="str">
        <f>IF(ISERROR(FIND('112'!$M$9,G4487,1)),"",IF((AND(RIGHT(G4487,2)=RIGHT('112'!$M$9,2),B4487&lt;'112'!$N$8,$M4487='112'!$I$6)),"x",""))</f>
        <v/>
      </c>
      <c r="U4487" s="525" t="str">
        <f>IF(AND(B4487&gt;='IN-NX'!$P$3,B4487&lt;='IN-NX'!$Q$3,'IN-NX'!$D$7=D4487,OR(LEFT(L4487,2)="15",AND(LEFT(M4487,2)&lt;&gt;"15",LEFT(M4487,2)&lt;&gt;"33"))),"x","")</f>
        <v/>
      </c>
      <c r="V4487" s="525" t="str">
        <f>IF(AND(OR(LEFT(TH!L4487,2)="15",LEFT(TH!M4487,2)="15"),'152-CT'!$J$8=TH!F4487),"x","")</f>
        <v/>
      </c>
      <c r="W4487" s="525" t="str">
        <f>IF(AND(OR(LEFT(TH!L4487,2)="15",LEFT(TH!M4487,2)="15"),TK!$E$7=TH!F4487),"x","")</f>
        <v/>
      </c>
      <c r="X4487" s="525" t="str">
        <f>IF(AND('341-CT'!$E$9=H4487,OR(LEFT(L4487,3)=$X$7,LEFT(M4487,3)=$X$7)),"x","")</f>
        <v/>
      </c>
      <c r="Y4487" s="525" t="str">
        <f>IF(OR(TH!L4487=TH!$Y$7,M4487=TH!$Y$7),"x","")</f>
        <v/>
      </c>
      <c r="Z4487" s="525" t="str">
        <f>IF(AND(B4487&lt;=NKC!$N$8,B4487&gt;=NKC!$M$8),"x","")</f>
        <v/>
      </c>
      <c r="AA4487" s="535"/>
      <c r="AB4487" s="536"/>
    </row>
    <row r="4488" spans="1:30" s="503" customFormat="1" ht="15.75" customHeight="1">
      <c r="A4488" s="517" t="str">
        <f>IF(B4488&lt;&gt;"",IF(AND(B4488&gt;=_TM1,B4488&lt;=_TM2,OR(TH!L4488="1111",TH!M4488="1111")),TH!D4488,""),"")</f>
        <v/>
      </c>
      <c r="B4488" s="531" t="str">
        <f t="shared" si="562"/>
        <v/>
      </c>
      <c r="C4488" s="315"/>
      <c r="D4488" s="315"/>
      <c r="E4488" s="545"/>
      <c r="F4488" s="248"/>
      <c r="G4488" s="314"/>
      <c r="H4488" s="472"/>
      <c r="I4488" s="307"/>
      <c r="J4488" s="307"/>
      <c r="K4488" s="532"/>
      <c r="L4488" s="533"/>
      <c r="M4488" s="533"/>
      <c r="N4488" s="525" t="str">
        <f>IF(AND('331-CT'!$E$7=TH!H4488,OR(L4488="331",M4488="331")),"331",IF(AND(OR(L4488="131",M4488="131"),H4488='131-CT'!$E$7),"131",""))</f>
        <v/>
      </c>
      <c r="O4488" s="525" t="str">
        <f>IF(AND($B4488&gt;='111'!$N$11,$B4488&lt;='111'!$O$11,OR($L4488=$O$7,$M4488=$O$7)),"x","")</f>
        <v/>
      </c>
      <c r="P4488" s="525" t="str">
        <f>IF(AND($L4488=$O$7,$B4488&lt;'111'!$N$11),"x","")</f>
        <v/>
      </c>
      <c r="Q4488" s="525" t="str">
        <f>IF(AND($M4488=$O$7,$B4488&lt;'111'!$N$11),"x","")</f>
        <v/>
      </c>
      <c r="R4488" s="525" t="str">
        <f>IF(ISERROR(FIND('112'!$M$9,G4488,1)),"",IF((AND(FIND('112'!$M$9,G4488,1)&gt;=1,$B4488&gt;='112'!$N$8,$B4488&lt;='112'!$O$8,OR($L4488='112'!$I$6,$M4488='112'!$I$6))),"x",""))</f>
        <v/>
      </c>
      <c r="S4488" s="525" t="str">
        <f>IF(ISERROR(FIND('112'!$M$9,G4488,1)),"",IF((AND(LEFT(G4488,2)=LEFT('112'!$M$9,2),B4488&lt;'112'!$N$8,$L4488='112'!$I$6)),"x",""))</f>
        <v/>
      </c>
      <c r="T4488" s="525" t="str">
        <f>IF(ISERROR(FIND('112'!$M$9,G4488,1)),"",IF((AND(RIGHT(G4488,2)=RIGHT('112'!$M$9,2),B4488&lt;'112'!$N$8,$M4488='112'!$I$6)),"x",""))</f>
        <v/>
      </c>
      <c r="U4488" s="525" t="str">
        <f>IF(AND(B4488&gt;='IN-NX'!$P$3,B4488&lt;='IN-NX'!$Q$3,'IN-NX'!$D$7=D4488,OR(LEFT(L4488,2)="15",AND(LEFT(M4488,2)&lt;&gt;"15",LEFT(M4488,2)&lt;&gt;"33"))),"x","")</f>
        <v/>
      </c>
      <c r="V4488" s="525" t="str">
        <f>IF(AND(OR(LEFT(TH!L4488,2)="15",LEFT(TH!M4488,2)="15"),'152-CT'!$J$8=TH!F4488),"x","")</f>
        <v/>
      </c>
      <c r="W4488" s="525" t="str">
        <f>IF(AND(OR(LEFT(TH!L4488,2)="15",LEFT(TH!M4488,2)="15"),TK!$E$7=TH!F4488),"x","")</f>
        <v/>
      </c>
      <c r="X4488" s="525" t="str">
        <f>IF(AND('341-CT'!$E$9=H4488,OR(LEFT(L4488,3)=$X$7,LEFT(M4488,3)=$X$7)),"x","")</f>
        <v/>
      </c>
      <c r="Y4488" s="525" t="str">
        <f>IF(OR(TH!L4488=TH!$Y$7,M4488=TH!$Y$7),"x","")</f>
        <v/>
      </c>
      <c r="Z4488" s="525" t="str">
        <f>IF(AND(B4488&lt;=NKC!$N$8,B4488&gt;=NKC!$M$8),"x","")</f>
        <v/>
      </c>
      <c r="AA4488" s="535"/>
      <c r="AB4488" s="536"/>
    </row>
    <row r="4489" spans="1:30" s="503" customFormat="1" ht="15.75" customHeight="1">
      <c r="A4489" s="517" t="str">
        <f>IF(B4489&lt;&gt;"",IF(AND(B4489&gt;=_TM1,B4489&lt;=_TM2,OR(TH!L4489="1111",TH!M4489="1111")),TH!D4489,""),"")</f>
        <v/>
      </c>
      <c r="B4489" s="531" t="str">
        <f t="shared" si="562"/>
        <v/>
      </c>
      <c r="C4489" s="315"/>
      <c r="D4489" s="315"/>
      <c r="E4489" s="545"/>
      <c r="F4489" s="248"/>
      <c r="G4489" s="314"/>
      <c r="H4489" s="472"/>
      <c r="I4489" s="307"/>
      <c r="J4489" s="307"/>
      <c r="K4489" s="532"/>
      <c r="L4489" s="533"/>
      <c r="M4489" s="533"/>
      <c r="N4489" s="525" t="str">
        <f>IF(AND('331-CT'!$E$7=TH!H4489,OR(L4489="331",M4489="331")),"331",IF(AND(OR(L4489="131",M4489="131"),H4489='131-CT'!$E$7),"131",""))</f>
        <v/>
      </c>
      <c r="O4489" s="525" t="str">
        <f>IF(AND($B4489&gt;='111'!$N$11,$B4489&lt;='111'!$O$11,OR($L4489=$O$7,$M4489=$O$7)),"x","")</f>
        <v/>
      </c>
      <c r="P4489" s="525" t="str">
        <f>IF(AND($L4489=$O$7,$B4489&lt;'111'!$N$11),"x","")</f>
        <v/>
      </c>
      <c r="Q4489" s="525" t="str">
        <f>IF(AND($M4489=$O$7,$B4489&lt;'111'!$N$11),"x","")</f>
        <v/>
      </c>
      <c r="R4489" s="525" t="str">
        <f>IF(ISERROR(FIND('112'!$M$9,G4489,1)),"",IF((AND(FIND('112'!$M$9,G4489,1)&gt;=1,$B4489&gt;='112'!$N$8,$B4489&lt;='112'!$O$8,OR($L4489='112'!$I$6,$M4489='112'!$I$6))),"x",""))</f>
        <v/>
      </c>
      <c r="S4489" s="525" t="str">
        <f>IF(ISERROR(FIND('112'!$M$9,G4489,1)),"",IF((AND(LEFT(G4489,2)=LEFT('112'!$M$9,2),B4489&lt;'112'!$N$8,$L4489='112'!$I$6)),"x",""))</f>
        <v/>
      </c>
      <c r="T4489" s="525" t="str">
        <f>IF(ISERROR(FIND('112'!$M$9,G4489,1)),"",IF((AND(RIGHT(G4489,2)=RIGHT('112'!$M$9,2),B4489&lt;'112'!$N$8,$M4489='112'!$I$6)),"x",""))</f>
        <v/>
      </c>
      <c r="U4489" s="525" t="str">
        <f>IF(AND(B4489&gt;='IN-NX'!$P$3,B4489&lt;='IN-NX'!$Q$3,'IN-NX'!$D$7=D4489,OR(LEFT(L4489,2)="15",AND(LEFT(M4489,2)&lt;&gt;"15",LEFT(M4489,2)&lt;&gt;"33"))),"x","")</f>
        <v/>
      </c>
      <c r="V4489" s="525" t="str">
        <f>IF(AND(OR(LEFT(TH!L4489,2)="15",LEFT(TH!M4489,2)="15"),'152-CT'!$J$8=TH!F4489),"x","")</f>
        <v/>
      </c>
      <c r="W4489" s="525" t="str">
        <f>IF(AND(OR(LEFT(TH!L4489,2)="15",LEFT(TH!M4489,2)="15"),TK!$E$7=TH!F4489),"x","")</f>
        <v/>
      </c>
      <c r="X4489" s="525" t="str">
        <f>IF(AND('341-CT'!$E$9=H4489,OR(LEFT(L4489,3)=$X$7,LEFT(M4489,3)=$X$7)),"x","")</f>
        <v/>
      </c>
      <c r="Y4489" s="525" t="str">
        <f>IF(OR(TH!L4489=TH!$Y$7,M4489=TH!$Y$7),"x","")</f>
        <v/>
      </c>
      <c r="Z4489" s="525" t="str">
        <f>IF(AND(B4489&lt;=NKC!$N$8,B4489&gt;=NKC!$M$8),"x","")</f>
        <v/>
      </c>
      <c r="AA4489" s="535"/>
      <c r="AB4489" s="536"/>
      <c r="AD4489" s="536"/>
    </row>
    <row r="4490" spans="1:30" s="503" customFormat="1" ht="15.75" customHeight="1">
      <c r="A4490" s="517" t="str">
        <f>IF(B4490&lt;&gt;"",IF(AND(B4490&gt;=_TM1,B4490&lt;=_TM2,OR(TH!L4490="1111",TH!M4490="1111")),TH!D4490,""),"")</f>
        <v/>
      </c>
      <c r="B4490" s="531" t="str">
        <f t="shared" si="562"/>
        <v/>
      </c>
      <c r="C4490" s="315"/>
      <c r="D4490" s="315"/>
      <c r="E4490" s="545"/>
      <c r="F4490" s="249"/>
      <c r="G4490" s="314"/>
      <c r="H4490" s="472"/>
      <c r="I4490" s="307"/>
      <c r="J4490" s="307"/>
      <c r="K4490" s="532"/>
      <c r="L4490" s="533"/>
      <c r="M4490" s="533"/>
      <c r="N4490" s="525" t="str">
        <f>IF(AND('331-CT'!$E$7=TH!H4490,OR(L4490="331",M4490="331")),"331",IF(AND(OR(L4490="131",M4490="131"),H4490='131-CT'!$E$7),"131",""))</f>
        <v/>
      </c>
      <c r="O4490" s="525" t="str">
        <f>IF(AND($B4490&gt;='111'!$N$11,$B4490&lt;='111'!$O$11,OR($L4490=$O$7,$M4490=$O$7)),"x","")</f>
        <v/>
      </c>
      <c r="P4490" s="525" t="str">
        <f>IF(AND($L4490=$O$7,$B4490&lt;'111'!$N$11),"x","")</f>
        <v/>
      </c>
      <c r="Q4490" s="525" t="str">
        <f>IF(AND($M4490=$O$7,$B4490&lt;'111'!$N$11),"x","")</f>
        <v/>
      </c>
      <c r="R4490" s="525" t="str">
        <f>IF(ISERROR(FIND('112'!$M$9,G4490,1)),"",IF((AND(FIND('112'!$M$9,G4490,1)&gt;=1,$B4490&gt;='112'!$N$8,$B4490&lt;='112'!$O$8,OR($L4490='112'!$I$6,$M4490='112'!$I$6))),"x",""))</f>
        <v/>
      </c>
      <c r="S4490" s="525" t="str">
        <f>IF(ISERROR(FIND('112'!$M$9,G4490,1)),"",IF((AND(LEFT(G4490,2)=LEFT('112'!$M$9,2),B4490&lt;'112'!$N$8,$L4490='112'!$I$6)),"x",""))</f>
        <v/>
      </c>
      <c r="T4490" s="525" t="str">
        <f>IF(ISERROR(FIND('112'!$M$9,G4490,1)),"",IF((AND(RIGHT(G4490,2)=RIGHT('112'!$M$9,2),B4490&lt;'112'!$N$8,$M4490='112'!$I$6)),"x",""))</f>
        <v/>
      </c>
      <c r="U4490" s="525" t="str">
        <f>IF(AND(B4490&gt;='IN-NX'!$P$3,B4490&lt;='IN-NX'!$Q$3,'IN-NX'!$D$7=D4490,OR(LEFT(L4490,2)="15",AND(LEFT(M4490,2)&lt;&gt;"15",LEFT(M4490,2)&lt;&gt;"33"))),"x","")</f>
        <v/>
      </c>
      <c r="V4490" s="525" t="str">
        <f>IF(AND(OR(LEFT(TH!L4490,2)="15",LEFT(TH!M4490,2)="15"),'152-CT'!$J$8=TH!F4490),"x","")</f>
        <v/>
      </c>
      <c r="W4490" s="525" t="str">
        <f>IF(AND(OR(LEFT(TH!L4490,2)="15",LEFT(TH!M4490,2)="15"),TK!$E$7=TH!F4490),"x","")</f>
        <v/>
      </c>
      <c r="X4490" s="525" t="str">
        <f>IF(AND('341-CT'!$E$9=H4490,OR(LEFT(L4490,3)=$X$7,LEFT(M4490,3)=$X$7)),"x","")</f>
        <v/>
      </c>
      <c r="Y4490" s="525" t="str">
        <f>IF(OR(TH!L4490=TH!$Y$7,M4490=TH!$Y$7),"x","")</f>
        <v/>
      </c>
      <c r="Z4490" s="525" t="str">
        <f>IF(AND(B4490&lt;=NKC!$N$8,B4490&gt;=NKC!$M$8),"x","")</f>
        <v/>
      </c>
      <c r="AA4490" s="535"/>
      <c r="AB4490" s="536"/>
    </row>
    <row r="4491" spans="1:30" s="503" customFormat="1" ht="15.75" customHeight="1">
      <c r="A4491" s="517" t="str">
        <f>IF(B4491&lt;&gt;"",IF(AND(B4491&gt;=_TM1,B4491&lt;=_TM2,OR(TH!L4491="1111",TH!M4491="1111")),TH!D4491,""),"")</f>
        <v/>
      </c>
      <c r="B4491" s="531" t="str">
        <f t="shared" si="562"/>
        <v/>
      </c>
      <c r="C4491" s="315"/>
      <c r="D4491" s="537"/>
      <c r="E4491" s="280"/>
      <c r="F4491" s="249"/>
      <c r="G4491" s="314"/>
      <c r="H4491" s="473"/>
      <c r="I4491" s="543"/>
      <c r="J4491" s="307"/>
      <c r="K4491" s="532"/>
      <c r="L4491" s="534"/>
      <c r="M4491" s="534"/>
      <c r="N4491" s="525" t="str">
        <f>IF(AND('331-CT'!$E$7=TH!H4491,OR(L4491="331",M4491="331")),"331",IF(AND(OR(L4491="131",M4491="131"),H4491='131-CT'!$E$7),"131",""))</f>
        <v/>
      </c>
      <c r="O4491" s="525" t="str">
        <f>IF(AND($B4491&gt;='111'!$N$11,$B4491&lt;='111'!$O$11,OR($L4491=$O$7,$M4491=$O$7)),"x","")</f>
        <v/>
      </c>
      <c r="P4491" s="525" t="str">
        <f>IF(AND($L4491=$O$7,$B4491&lt;'111'!$N$11),"x","")</f>
        <v/>
      </c>
      <c r="Q4491" s="525" t="str">
        <f>IF(AND($M4491=$O$7,$B4491&lt;'111'!$N$11),"x","")</f>
        <v/>
      </c>
      <c r="R4491" s="525" t="str">
        <f>IF(ISERROR(FIND('112'!$M$9,G4491,1)),"",IF((AND(FIND('112'!$M$9,G4491,1)&gt;=1,$B4491&gt;='112'!$N$8,$B4491&lt;='112'!$O$8,OR($L4491='112'!$I$6,$M4491='112'!$I$6))),"x",""))</f>
        <v/>
      </c>
      <c r="S4491" s="525" t="str">
        <f>IF(ISERROR(FIND('112'!$M$9,G4491,1)),"",IF((AND(LEFT(G4491,2)=LEFT('112'!$M$9,2),B4491&lt;'112'!$N$8,$L4491='112'!$I$6)),"x",""))</f>
        <v/>
      </c>
      <c r="T4491" s="525" t="str">
        <f>IF(ISERROR(FIND('112'!$M$9,G4491,1)),"",IF((AND(RIGHT(G4491,2)=RIGHT('112'!$M$9,2),B4491&lt;'112'!$N$8,$M4491='112'!$I$6)),"x",""))</f>
        <v/>
      </c>
      <c r="U4491" s="525" t="str">
        <f>IF(AND(B4491&gt;='IN-NX'!$P$3,B4491&lt;='IN-NX'!$Q$3,'IN-NX'!$D$7=D4491,OR(LEFT(L4491,2)="15",AND(LEFT(M4491,2)&lt;&gt;"15",LEFT(M4491,2)&lt;&gt;"33"))),"x","")</f>
        <v/>
      </c>
      <c r="V4491" s="525" t="str">
        <f>IF(AND(OR(LEFT(TH!L4491,2)="15",LEFT(TH!M4491,2)="15"),'152-CT'!$J$8=TH!F4491),"x","")</f>
        <v/>
      </c>
      <c r="W4491" s="525" t="str">
        <f>IF(AND(OR(LEFT(TH!L4491,2)="15",LEFT(TH!M4491,2)="15"),TK!$E$7=TH!F4491),"x","")</f>
        <v/>
      </c>
      <c r="X4491" s="525" t="str">
        <f>IF(AND('341-CT'!$E$9=H4491,OR(LEFT(L4491,3)=$X$7,LEFT(M4491,3)=$X$7)),"x","")</f>
        <v/>
      </c>
      <c r="Y4491" s="525" t="str">
        <f>IF(OR(TH!L4491=TH!$Y$7,M4491=TH!$Y$7),"x","")</f>
        <v/>
      </c>
      <c r="Z4491" s="525" t="str">
        <f>IF(AND(B4491&lt;=NKC!$N$8,B4491&gt;=NKC!$M$8),"x","")</f>
        <v/>
      </c>
      <c r="AA4491" s="535"/>
    </row>
    <row r="4492" spans="1:30" s="503" customFormat="1" ht="15.75" customHeight="1">
      <c r="A4492" s="517" t="str">
        <f>IF(B4492&lt;&gt;"",IF(AND(B4492&gt;=_TM1,B4492&lt;=_TM2,OR(TH!L4492="1111",TH!M4492="1111")),TH!D4492,""),"")</f>
        <v/>
      </c>
      <c r="B4492" s="531" t="str">
        <f t="shared" si="562"/>
        <v/>
      </c>
      <c r="C4492" s="315"/>
      <c r="D4492" s="537"/>
      <c r="E4492" s="280"/>
      <c r="F4492" s="247"/>
      <c r="G4492" s="314"/>
      <c r="H4492" s="472"/>
      <c r="I4492" s="543"/>
      <c r="J4492" s="307"/>
      <c r="K4492" s="532"/>
      <c r="L4492" s="534"/>
      <c r="M4492" s="534"/>
      <c r="N4492" s="525" t="str">
        <f>IF(AND('331-CT'!$E$7=TH!H4492,OR(L4492="331",M4492="331")),"331",IF(AND(OR(L4492="131",M4492="131"),H4492='131-CT'!$E$7),"131",""))</f>
        <v/>
      </c>
      <c r="O4492" s="525" t="str">
        <f>IF(AND($B4492&gt;='111'!$N$11,$B4492&lt;='111'!$O$11,OR($L4492=$O$7,$M4492=$O$7)),"x","")</f>
        <v/>
      </c>
      <c r="P4492" s="525" t="str">
        <f>IF(AND($L4492=$O$7,$B4492&lt;'111'!$N$11),"x","")</f>
        <v/>
      </c>
      <c r="Q4492" s="525" t="str">
        <f>IF(AND($M4492=$O$7,$B4492&lt;'111'!$N$11),"x","")</f>
        <v/>
      </c>
      <c r="R4492" s="525" t="str">
        <f>IF(ISERROR(FIND('112'!$M$9,G4492,1)),"",IF((AND(FIND('112'!$M$9,G4492,1)&gt;=1,$B4492&gt;='112'!$N$8,$B4492&lt;='112'!$O$8,OR($L4492='112'!$I$6,$M4492='112'!$I$6))),"x",""))</f>
        <v/>
      </c>
      <c r="S4492" s="525" t="str">
        <f>IF(ISERROR(FIND('112'!$M$9,G4492,1)),"",IF((AND(LEFT(G4492,2)=LEFT('112'!$M$9,2),B4492&lt;'112'!$N$8,$L4492='112'!$I$6)),"x",""))</f>
        <v/>
      </c>
      <c r="T4492" s="525" t="str">
        <f>IF(ISERROR(FIND('112'!$M$9,G4492,1)),"",IF((AND(RIGHT(G4492,2)=RIGHT('112'!$M$9,2),B4492&lt;'112'!$N$8,$M4492='112'!$I$6)),"x",""))</f>
        <v/>
      </c>
      <c r="U4492" s="525" t="str">
        <f>IF(AND(B4492&gt;='IN-NX'!$P$3,B4492&lt;='IN-NX'!$Q$3,'IN-NX'!$D$7=D4492,OR(LEFT(L4492,2)="15",AND(LEFT(M4492,2)&lt;&gt;"15",LEFT(M4492,2)&lt;&gt;"33"))),"x","")</f>
        <v/>
      </c>
      <c r="V4492" s="525" t="str">
        <f>IF(AND(OR(LEFT(TH!L4492,2)="15",LEFT(TH!M4492,2)="15"),'152-CT'!$J$8=TH!F4492),"x","")</f>
        <v/>
      </c>
      <c r="W4492" s="525" t="str">
        <f>IF(AND(OR(LEFT(TH!L4492,2)="15",LEFT(TH!M4492,2)="15"),TK!$E$7=TH!F4492),"x","")</f>
        <v/>
      </c>
      <c r="X4492" s="525" t="str">
        <f>IF(AND('341-CT'!$E$9=H4492,OR(LEFT(L4492,3)=$X$7,LEFT(M4492,3)=$X$7)),"x","")</f>
        <v/>
      </c>
      <c r="Y4492" s="525" t="str">
        <f>IF(OR(TH!L4492=TH!$Y$7,M4492=TH!$Y$7),"x","")</f>
        <v/>
      </c>
      <c r="Z4492" s="525" t="str">
        <f>IF(AND(B4492&lt;=NKC!$N$8,B4492&gt;=NKC!$M$8),"x","")</f>
        <v/>
      </c>
      <c r="AA4492" s="535"/>
    </row>
    <row r="4493" spans="1:30" s="503" customFormat="1" ht="15.75" customHeight="1">
      <c r="A4493" s="517" t="str">
        <f>IF(B4493&lt;&gt;"",IF(AND(B4493&gt;=_TM1,B4493&lt;=_TM2,OR(TH!L4493="1111",TH!M4493="1111")),TH!D4493,""),"")</f>
        <v/>
      </c>
      <c r="B4493" s="531" t="str">
        <f>IF(C4493&lt;&gt;"",MONTH(C4493),"")</f>
        <v/>
      </c>
      <c r="C4493" s="315"/>
      <c r="D4493" s="537"/>
      <c r="E4493" s="280"/>
      <c r="F4493" s="247"/>
      <c r="G4493" s="314"/>
      <c r="H4493" s="472"/>
      <c r="I4493" s="543"/>
      <c r="J4493" s="307"/>
      <c r="K4493" s="532"/>
      <c r="L4493" s="534"/>
      <c r="M4493" s="534"/>
      <c r="N4493" s="525" t="str">
        <f>IF(AND('331-CT'!$E$7=TH!H4493,OR(L4493="331",M4493="331")),"331",IF(AND(OR(L4493="131",M4493="131"),H4493='131-CT'!$E$7),"131",""))</f>
        <v/>
      </c>
      <c r="O4493" s="525" t="str">
        <f>IF(AND($B4493&gt;='111'!$N$11,$B4493&lt;='111'!$O$11,OR($L4493=$O$7,$M4493=$O$7)),"x","")</f>
        <v/>
      </c>
      <c r="P4493" s="525" t="str">
        <f>IF(AND($L4493=$O$7,$B4493&lt;'111'!$N$11),"x","")</f>
        <v/>
      </c>
      <c r="Q4493" s="525" t="str">
        <f>IF(AND($M4493=$O$7,$B4493&lt;'111'!$N$11),"x","")</f>
        <v/>
      </c>
      <c r="R4493" s="525" t="str">
        <f>IF(ISERROR(FIND('112'!$M$9,G4493,1)),"",IF((AND(FIND('112'!$M$9,G4493,1)&gt;=1,$B4493&gt;='112'!$N$8,$B4493&lt;='112'!$O$8,OR($L4493='112'!$I$6,$M4493='112'!$I$6))),"x",""))</f>
        <v/>
      </c>
      <c r="S4493" s="525" t="str">
        <f>IF(ISERROR(FIND('112'!$M$9,G4493,1)),"",IF((AND(LEFT(G4493,2)=LEFT('112'!$M$9,2),B4493&lt;'112'!$N$8,$L4493='112'!$I$6)),"x",""))</f>
        <v/>
      </c>
      <c r="T4493" s="525" t="str">
        <f>IF(ISERROR(FIND('112'!$M$9,G4493,1)),"",IF((AND(RIGHT(G4493,2)=RIGHT('112'!$M$9,2),B4493&lt;'112'!$N$8,$M4493='112'!$I$6)),"x",""))</f>
        <v/>
      </c>
      <c r="U4493" s="525" t="str">
        <f>IF(AND(B4493&gt;='IN-NX'!$P$3,B4493&lt;='IN-NX'!$Q$3,'IN-NX'!$D$7=D4493,OR(LEFT(L4493,2)="15",AND(LEFT(M4493,2)&lt;&gt;"15",LEFT(M4493,2)&lt;&gt;"33"))),"x","")</f>
        <v/>
      </c>
      <c r="V4493" s="525" t="str">
        <f>IF(AND(OR(LEFT(TH!L4493,2)="15",LEFT(TH!M4493,2)="15"),'152-CT'!$J$8=TH!F4493),"x","")</f>
        <v/>
      </c>
      <c r="W4493" s="525" t="str">
        <f>IF(AND(OR(LEFT(TH!L4493,2)="15",LEFT(TH!M4493,2)="15"),TK!$E$7=TH!F4493),"x","")</f>
        <v/>
      </c>
      <c r="X4493" s="525" t="str">
        <f>IF(AND('341-CT'!$E$9=H4493,OR(LEFT(L4493,3)=$X$7,LEFT(M4493,3)=$X$7)),"x","")</f>
        <v/>
      </c>
      <c r="Y4493" s="525" t="str">
        <f>IF(OR(TH!L4493=TH!$Y$7,M4493=TH!$Y$7),"x","")</f>
        <v/>
      </c>
      <c r="Z4493" s="525" t="str">
        <f>IF(AND(B4493&lt;=NKC!$N$8,B4493&gt;=NKC!$M$8),"x","")</f>
        <v/>
      </c>
      <c r="AA4493" s="535"/>
    </row>
    <row r="4494" spans="1:30" s="503" customFormat="1" ht="15.75" customHeight="1">
      <c r="A4494" s="517" t="str">
        <f>IF(B4494&lt;&gt;"",IF(AND(B4494&gt;=_TM1,B4494&lt;=_TM2,OR(TH!L4494="1111",TH!M4494="1111")),TH!D4494,""),"")</f>
        <v/>
      </c>
      <c r="B4494" s="531" t="str">
        <f>IF(C4494&lt;&gt;"",MONTH(C4494),"")</f>
        <v/>
      </c>
      <c r="C4494" s="315"/>
      <c r="D4494" s="537"/>
      <c r="E4494" s="280"/>
      <c r="F4494" s="247"/>
      <c r="G4494" s="314"/>
      <c r="H4494" s="472"/>
      <c r="I4494" s="543"/>
      <c r="J4494" s="307"/>
      <c r="K4494" s="532"/>
      <c r="L4494" s="534"/>
      <c r="M4494" s="534"/>
      <c r="N4494" s="525" t="str">
        <f>IF(AND('331-CT'!$E$7=TH!H4494,OR(L4494="331",M4494="331")),"331",IF(AND(OR(L4494="131",M4494="131"),H4494='131-CT'!$E$7),"131",""))</f>
        <v/>
      </c>
      <c r="O4494" s="525" t="str">
        <f>IF(AND($B4494&gt;='111'!$N$11,$B4494&lt;='111'!$O$11,OR($L4494=$O$7,$M4494=$O$7)),"x","")</f>
        <v/>
      </c>
      <c r="P4494" s="525" t="str">
        <f>IF(AND($L4494=$O$7,$B4494&lt;'111'!$N$11),"x","")</f>
        <v/>
      </c>
      <c r="Q4494" s="525" t="str">
        <f>IF(AND($M4494=$O$7,$B4494&lt;'111'!$N$11),"x","")</f>
        <v/>
      </c>
      <c r="R4494" s="525" t="str">
        <f>IF(ISERROR(FIND('112'!$M$9,G4494,1)),"",IF((AND(FIND('112'!$M$9,G4494,1)&gt;=1,$B4494&gt;='112'!$N$8,$B4494&lt;='112'!$O$8,OR($L4494='112'!$I$6,$M4494='112'!$I$6))),"x",""))</f>
        <v/>
      </c>
      <c r="S4494" s="525" t="str">
        <f>IF(ISERROR(FIND('112'!$M$9,G4494,1)),"",IF((AND(LEFT(G4494,2)=LEFT('112'!$M$9,2),B4494&lt;'112'!$N$8,$L4494='112'!$I$6)),"x",""))</f>
        <v/>
      </c>
      <c r="T4494" s="525" t="str">
        <f>IF(ISERROR(FIND('112'!$M$9,G4494,1)),"",IF((AND(RIGHT(G4494,2)=RIGHT('112'!$M$9,2),B4494&lt;'112'!$N$8,$M4494='112'!$I$6)),"x",""))</f>
        <v/>
      </c>
      <c r="U4494" s="525" t="str">
        <f>IF(AND(B4494&gt;='IN-NX'!$P$3,B4494&lt;='IN-NX'!$Q$3,'IN-NX'!$D$7=D4494,OR(LEFT(L4494,2)="15",AND(LEFT(M4494,2)&lt;&gt;"15",LEFT(M4494,2)&lt;&gt;"33"))),"x","")</f>
        <v/>
      </c>
      <c r="V4494" s="525" t="str">
        <f>IF(AND(OR(LEFT(TH!L4494,2)="15",LEFT(TH!M4494,2)="15"),'152-CT'!$J$8=TH!F4494),"x","")</f>
        <v/>
      </c>
      <c r="W4494" s="525" t="str">
        <f>IF(AND(OR(LEFT(TH!L4494,2)="15",LEFT(TH!M4494,2)="15"),TK!$E$7=TH!F4494),"x","")</f>
        <v/>
      </c>
      <c r="X4494" s="525" t="str">
        <f>IF(AND('341-CT'!$E$9=H4494,OR(LEFT(L4494,3)=$X$7,LEFT(M4494,3)=$X$7)),"x","")</f>
        <v/>
      </c>
      <c r="Y4494" s="525" t="str">
        <f>IF(OR(TH!L4494=TH!$Y$7,M4494=TH!$Y$7),"x","")</f>
        <v/>
      </c>
      <c r="Z4494" s="525" t="str">
        <f>IF(AND(B4494&lt;=NKC!$N$8,B4494&gt;=NKC!$M$8),"x","")</f>
        <v/>
      </c>
      <c r="AA4494" s="535"/>
    </row>
    <row r="4495" spans="1:30" s="503" customFormat="1" ht="15.75" customHeight="1">
      <c r="A4495" s="517" t="str">
        <f>IF(B4495&lt;&gt;"",IF(AND(B4495&gt;=_TM1,B4495&lt;=_TM2,OR(TH!L4495="1111",TH!M4495="1111")),TH!D4495,""),"")</f>
        <v/>
      </c>
      <c r="B4495" s="531" t="str">
        <f>IF(C4495&lt;&gt;"",MONTH(C4495),"")</f>
        <v/>
      </c>
      <c r="C4495" s="315"/>
      <c r="D4495" s="537"/>
      <c r="E4495" s="280"/>
      <c r="F4495" s="247"/>
      <c r="G4495" s="314"/>
      <c r="H4495" s="472"/>
      <c r="I4495" s="543"/>
      <c r="J4495" s="307"/>
      <c r="K4495" s="532"/>
      <c r="L4495" s="534"/>
      <c r="M4495" s="534"/>
      <c r="N4495" s="525" t="str">
        <f>IF(AND('331-CT'!$E$7=TH!H4495,OR(L4495="331",M4495="331")),"331",IF(AND(OR(L4495="131",M4495="131"),H4495='131-CT'!$E$7),"131",""))</f>
        <v/>
      </c>
      <c r="O4495" s="525" t="str">
        <f>IF(AND($B4495&gt;='111'!$N$11,$B4495&lt;='111'!$O$11,OR($L4495=$O$7,$M4495=$O$7)),"x","")</f>
        <v/>
      </c>
      <c r="P4495" s="525" t="str">
        <f>IF(AND($L4495=$O$7,$B4495&lt;'111'!$N$11),"x","")</f>
        <v/>
      </c>
      <c r="Q4495" s="525" t="str">
        <f>IF(AND($M4495=$O$7,$B4495&lt;'111'!$N$11),"x","")</f>
        <v/>
      </c>
      <c r="R4495" s="525" t="str">
        <f>IF(ISERROR(FIND('112'!$M$9,G4495,1)),"",IF((AND(FIND('112'!$M$9,G4495,1)&gt;=1,$B4495&gt;='112'!$N$8,$B4495&lt;='112'!$O$8,OR($L4495='112'!$I$6,$M4495='112'!$I$6))),"x",""))</f>
        <v/>
      </c>
      <c r="S4495" s="525" t="str">
        <f>IF(ISERROR(FIND('112'!$M$9,G4495,1)),"",IF((AND(LEFT(G4495,2)=LEFT('112'!$M$9,2),B4495&lt;'112'!$N$8,$L4495='112'!$I$6)),"x",""))</f>
        <v/>
      </c>
      <c r="T4495" s="525" t="str">
        <f>IF(ISERROR(FIND('112'!$M$9,G4495,1)),"",IF((AND(RIGHT(G4495,2)=RIGHT('112'!$M$9,2),B4495&lt;'112'!$N$8,$M4495='112'!$I$6)),"x",""))</f>
        <v/>
      </c>
      <c r="U4495" s="525" t="str">
        <f>IF(AND(B4495&gt;='IN-NX'!$P$3,B4495&lt;='IN-NX'!$Q$3,'IN-NX'!$D$7=D4495,OR(LEFT(L4495,2)="15",AND(LEFT(M4495,2)&lt;&gt;"15",LEFT(M4495,2)&lt;&gt;"33"))),"x","")</f>
        <v/>
      </c>
      <c r="V4495" s="525" t="str">
        <f>IF(AND(OR(LEFT(TH!L4495,2)="15",LEFT(TH!M4495,2)="15"),'152-CT'!$J$8=TH!F4495),"x","")</f>
        <v/>
      </c>
      <c r="W4495" s="525" t="str">
        <f>IF(AND(OR(LEFT(TH!L4495,2)="15",LEFT(TH!M4495,2)="15"),TK!$E$7=TH!F4495),"x","")</f>
        <v/>
      </c>
      <c r="X4495" s="525" t="str">
        <f>IF(AND('341-CT'!$E$9=H4495,OR(LEFT(L4495,3)=$X$7,LEFT(M4495,3)=$X$7)),"x","")</f>
        <v/>
      </c>
      <c r="Y4495" s="525" t="str">
        <f>IF(OR(TH!L4495=TH!$Y$7,M4495=TH!$Y$7),"x","")</f>
        <v/>
      </c>
      <c r="Z4495" s="525" t="str">
        <f>IF(AND(B4495&lt;=NKC!$N$8,B4495&gt;=NKC!$M$8),"x","")</f>
        <v/>
      </c>
      <c r="AA4495" s="535"/>
    </row>
    <row r="4496" spans="1:30" s="503" customFormat="1" ht="15.75" customHeight="1">
      <c r="A4496" s="517" t="str">
        <f>IF(B4496&lt;&gt;"",IF(AND(B4496&gt;=_TM1,B4496&lt;=_TM2,OR(TH!L4496="1111",TH!M4496="1111")),TH!D4496,""),"")</f>
        <v/>
      </c>
      <c r="B4496" s="531" t="str">
        <f t="shared" si="562"/>
        <v/>
      </c>
      <c r="C4496" s="315"/>
      <c r="D4496" s="315"/>
      <c r="E4496" s="280"/>
      <c r="F4496" s="247"/>
      <c r="G4496" s="314"/>
      <c r="H4496" s="472"/>
      <c r="I4496" s="307"/>
      <c r="J4496" s="307"/>
      <c r="K4496" s="532"/>
      <c r="L4496" s="534"/>
      <c r="M4496" s="534"/>
      <c r="N4496" s="525" t="str">
        <f>IF(AND('331-CT'!$E$7=TH!H4496,OR(L4496="331",M4496="331")),"331",IF(AND(OR(L4496="131",M4496="131"),H4496='131-CT'!$E$7),"131",""))</f>
        <v/>
      </c>
      <c r="O4496" s="525" t="str">
        <f>IF(AND($B4496&gt;='111'!$N$11,$B4496&lt;='111'!$O$11,OR($L4496=$O$7,$M4496=$O$7)),"x","")</f>
        <v/>
      </c>
      <c r="P4496" s="525" t="str">
        <f>IF(AND($L4496=$O$7,$B4496&lt;'111'!$N$11),"x","")</f>
        <v/>
      </c>
      <c r="Q4496" s="525" t="str">
        <f>IF(AND($M4496=$O$7,$B4496&lt;'111'!$N$11),"x","")</f>
        <v/>
      </c>
      <c r="R4496" s="525" t="str">
        <f>IF(ISERROR(FIND('112'!$M$9,G4496,1)),"",IF((AND(FIND('112'!$M$9,G4496,1)&gt;=1,$B4496&gt;='112'!$N$8,$B4496&lt;='112'!$O$8,OR($L4496='112'!$I$6,$M4496='112'!$I$6))),"x",""))</f>
        <v/>
      </c>
      <c r="S4496" s="525" t="str">
        <f>IF(ISERROR(FIND('112'!$M$9,G4496,1)),"",IF((AND(LEFT(G4496,2)=LEFT('112'!$M$9,2),B4496&lt;'112'!$N$8,$L4496='112'!$I$6)),"x",""))</f>
        <v/>
      </c>
      <c r="T4496" s="525" t="str">
        <f>IF(ISERROR(FIND('112'!$M$9,G4496,1)),"",IF((AND(RIGHT(G4496,2)=RIGHT('112'!$M$9,2),B4496&lt;'112'!$N$8,$M4496='112'!$I$6)),"x",""))</f>
        <v/>
      </c>
      <c r="U4496" s="525" t="str">
        <f>IF(AND(B4496&gt;='IN-NX'!$P$3,B4496&lt;='IN-NX'!$Q$3,'IN-NX'!$D$7=D4496,OR(LEFT(L4496,2)="15",AND(LEFT(M4496,2)&lt;&gt;"15",LEFT(M4496,2)&lt;&gt;"33"))),"x","")</f>
        <v/>
      </c>
      <c r="V4496" s="525" t="str">
        <f>IF(AND(OR(LEFT(TH!L4496,2)="15",LEFT(TH!M4496,2)="15"),'152-CT'!$J$8=TH!F4496),"x","")</f>
        <v/>
      </c>
      <c r="W4496" s="525" t="str">
        <f>IF(AND(OR(LEFT(TH!L4496,2)="15",LEFT(TH!M4496,2)="15"),TK!$E$7=TH!F4496),"x","")</f>
        <v/>
      </c>
      <c r="X4496" s="525" t="str">
        <f>IF(AND('341-CT'!$E$9=H4496,OR(LEFT(L4496,3)=$X$7,LEFT(M4496,3)=$X$7)),"x","")</f>
        <v/>
      </c>
      <c r="Y4496" s="525" t="str">
        <f>IF(OR(TH!L4496=TH!$Y$7,M4496=TH!$Y$7),"x","")</f>
        <v/>
      </c>
      <c r="Z4496" s="525" t="str">
        <f>IF(AND(B4496&lt;=NKC!$N$8,B4496&gt;=NKC!$M$8),"x","")</f>
        <v/>
      </c>
      <c r="AA4496" s="535"/>
    </row>
    <row r="4497" spans="1:30" s="503" customFormat="1" ht="15.75" customHeight="1">
      <c r="A4497" s="517" t="str">
        <f>IF(B4497&lt;&gt;"",IF(AND(B4497&gt;=_TM1,B4497&lt;=_TM2,OR(TH!L4497="1111",TH!M4497="1111")),TH!D4497,""),"")</f>
        <v/>
      </c>
      <c r="B4497" s="531" t="str">
        <f t="shared" si="562"/>
        <v/>
      </c>
      <c r="C4497" s="315"/>
      <c r="D4497" s="315"/>
      <c r="E4497" s="545"/>
      <c r="F4497" s="248"/>
      <c r="G4497" s="314"/>
      <c r="H4497" s="473"/>
      <c r="I4497" s="307"/>
      <c r="J4497" s="307"/>
      <c r="K4497" s="532"/>
      <c r="L4497" s="533"/>
      <c r="M4497" s="533"/>
      <c r="N4497" s="525" t="str">
        <f>IF(AND('331-CT'!$E$7=TH!H4497,OR(L4497="331",M4497="331")),"331",IF(AND(OR(L4497="131",M4497="131"),H4497='131-CT'!$E$7),"131",""))</f>
        <v/>
      </c>
      <c r="O4497" s="525" t="str">
        <f>IF(AND($B4497&gt;='111'!$N$11,$B4497&lt;='111'!$O$11,OR($L4497=$O$7,$M4497=$O$7)),"x","")</f>
        <v/>
      </c>
      <c r="P4497" s="525" t="str">
        <f>IF(AND($L4497=$O$7,$B4497&lt;'111'!$N$11),"x","")</f>
        <v/>
      </c>
      <c r="Q4497" s="525" t="str">
        <f>IF(AND($M4497=$O$7,$B4497&lt;'111'!$N$11),"x","")</f>
        <v/>
      </c>
      <c r="R4497" s="525" t="str">
        <f>IF(ISERROR(FIND('112'!$M$9,G4497,1)),"",IF((AND(FIND('112'!$M$9,G4497,1)&gt;=1,$B4497&gt;='112'!$N$8,$B4497&lt;='112'!$O$8,OR($L4497='112'!$I$6,$M4497='112'!$I$6))),"x",""))</f>
        <v/>
      </c>
      <c r="S4497" s="525" t="str">
        <f>IF(ISERROR(FIND('112'!$M$9,G4497,1)),"",IF((AND(LEFT(G4497,2)=LEFT('112'!$M$9,2),B4497&lt;'112'!$N$8,$L4497='112'!$I$6)),"x",""))</f>
        <v/>
      </c>
      <c r="T4497" s="525" t="str">
        <f>IF(ISERROR(FIND('112'!$M$9,G4497,1)),"",IF((AND(RIGHT(G4497,2)=RIGHT('112'!$M$9,2),B4497&lt;'112'!$N$8,$M4497='112'!$I$6)),"x",""))</f>
        <v/>
      </c>
      <c r="U4497" s="525" t="str">
        <f>IF(AND(B4497&gt;='IN-NX'!$P$3,B4497&lt;='IN-NX'!$Q$3,'IN-NX'!$D$7=D4497,OR(LEFT(L4497,2)="15",AND(LEFT(M4497,2)&lt;&gt;"15",LEFT(M4497,2)&lt;&gt;"33"))),"x","")</f>
        <v/>
      </c>
      <c r="V4497" s="525" t="str">
        <f>IF(AND(OR(LEFT(TH!L4497,2)="15",LEFT(TH!M4497,2)="15"),'152-CT'!$J$8=TH!F4497),"x","")</f>
        <v/>
      </c>
      <c r="W4497" s="525" t="str">
        <f>IF(AND(OR(LEFT(TH!L4497,2)="15",LEFT(TH!M4497,2)="15"),TK!$E$7=TH!F4497),"x","")</f>
        <v/>
      </c>
      <c r="X4497" s="525" t="str">
        <f>IF(AND('341-CT'!$E$9=H4497,OR(LEFT(L4497,3)=$X$7,LEFT(M4497,3)=$X$7)),"x","")</f>
        <v/>
      </c>
      <c r="Y4497" s="525" t="str">
        <f>IF(OR(TH!L4497=TH!$Y$7,M4497=TH!$Y$7),"x","")</f>
        <v/>
      </c>
      <c r="Z4497" s="525" t="str">
        <f>IF(AND(B4497&lt;=NKC!$N$8,B4497&gt;=NKC!$M$8),"x","")</f>
        <v/>
      </c>
      <c r="AA4497" s="535"/>
      <c r="AB4497" s="536"/>
    </row>
    <row r="4498" spans="1:30" s="503" customFormat="1" ht="15.75" customHeight="1">
      <c r="A4498" s="517" t="str">
        <f>IF(B4498&lt;&gt;"",IF(AND(B4498&gt;=_TM1,B4498&lt;=_TM2,OR(TH!L4498="1111",TH!M4498="1111")),TH!D4498,""),"")</f>
        <v/>
      </c>
      <c r="B4498" s="531" t="str">
        <f t="shared" si="562"/>
        <v/>
      </c>
      <c r="C4498" s="315"/>
      <c r="D4498" s="315"/>
      <c r="E4498" s="545"/>
      <c r="F4498" s="248"/>
      <c r="G4498" s="314"/>
      <c r="H4498" s="473"/>
      <c r="I4498" s="307"/>
      <c r="J4498" s="307"/>
      <c r="K4498" s="532"/>
      <c r="L4498" s="533"/>
      <c r="M4498" s="533"/>
      <c r="N4498" s="525" t="str">
        <f>IF(AND('331-CT'!$E$7=TH!H4498,OR(L4498="331",M4498="331")),"331",IF(AND(OR(L4498="131",M4498="131"),H4498='131-CT'!$E$7),"131",""))</f>
        <v/>
      </c>
      <c r="O4498" s="525" t="str">
        <f>IF(AND($B4498&gt;='111'!$N$11,$B4498&lt;='111'!$O$11,OR($L4498=$O$7,$M4498=$O$7)),"x","")</f>
        <v/>
      </c>
      <c r="P4498" s="525" t="str">
        <f>IF(AND($L4498=$O$7,$B4498&lt;'111'!$N$11),"x","")</f>
        <v/>
      </c>
      <c r="Q4498" s="525" t="str">
        <f>IF(AND($M4498=$O$7,$B4498&lt;'111'!$N$11),"x","")</f>
        <v/>
      </c>
      <c r="R4498" s="525" t="str">
        <f>IF(ISERROR(FIND('112'!$M$9,G4498,1)),"",IF((AND(FIND('112'!$M$9,G4498,1)&gt;=1,$B4498&gt;='112'!$N$8,$B4498&lt;='112'!$O$8,OR($L4498='112'!$I$6,$M4498='112'!$I$6))),"x",""))</f>
        <v/>
      </c>
      <c r="S4498" s="525" t="str">
        <f>IF(ISERROR(FIND('112'!$M$9,G4498,1)),"",IF((AND(LEFT(G4498,2)=LEFT('112'!$M$9,2),B4498&lt;'112'!$N$8,$L4498='112'!$I$6)),"x",""))</f>
        <v/>
      </c>
      <c r="T4498" s="525" t="str">
        <f>IF(ISERROR(FIND('112'!$M$9,G4498,1)),"",IF((AND(RIGHT(G4498,2)=RIGHT('112'!$M$9,2),B4498&lt;'112'!$N$8,$M4498='112'!$I$6)),"x",""))</f>
        <v/>
      </c>
      <c r="U4498" s="525" t="str">
        <f>IF(AND(B4498&gt;='IN-NX'!$P$3,B4498&lt;='IN-NX'!$Q$3,'IN-NX'!$D$7=D4498,OR(LEFT(L4498,2)="15",AND(LEFT(M4498,2)&lt;&gt;"15",LEFT(M4498,2)&lt;&gt;"33"))),"x","")</f>
        <v/>
      </c>
      <c r="V4498" s="525" t="str">
        <f>IF(AND(OR(LEFT(TH!L4498,2)="15",LEFT(TH!M4498,2)="15"),'152-CT'!$J$8=TH!F4498),"x","")</f>
        <v/>
      </c>
      <c r="W4498" s="525" t="str">
        <f>IF(AND(OR(LEFT(TH!L4498,2)="15",LEFT(TH!M4498,2)="15"),TK!$E$7=TH!F4498),"x","")</f>
        <v/>
      </c>
      <c r="X4498" s="525" t="str">
        <f>IF(AND('341-CT'!$E$9=H4498,OR(LEFT(L4498,3)=$X$7,LEFT(M4498,3)=$X$7)),"x","")</f>
        <v/>
      </c>
      <c r="Y4498" s="525" t="str">
        <f>IF(OR(TH!L4498=TH!$Y$7,M4498=TH!$Y$7),"x","")</f>
        <v/>
      </c>
      <c r="Z4498" s="525" t="str">
        <f>IF(AND(B4498&lt;=NKC!$N$8,B4498&gt;=NKC!$M$8),"x","")</f>
        <v/>
      </c>
      <c r="AA4498" s="535"/>
      <c r="AB4498" s="536"/>
      <c r="AD4498" s="536"/>
    </row>
    <row r="4499" spans="1:30" s="503" customFormat="1" ht="15.75" customHeight="1">
      <c r="A4499" s="517" t="str">
        <f>IF(B4499&lt;&gt;"",IF(AND(B4499&gt;=_TM1,B4499&lt;=_TM2,OR(TH!L4499="1111",TH!M4499="1111")),TH!D4499,""),"")</f>
        <v/>
      </c>
      <c r="B4499" s="531" t="str">
        <f t="shared" si="562"/>
        <v/>
      </c>
      <c r="C4499" s="315"/>
      <c r="D4499" s="315"/>
      <c r="E4499" s="545"/>
      <c r="F4499" s="248"/>
      <c r="G4499" s="314"/>
      <c r="H4499" s="473"/>
      <c r="I4499" s="307"/>
      <c r="J4499" s="307"/>
      <c r="K4499" s="532"/>
      <c r="L4499" s="533"/>
      <c r="M4499" s="533"/>
      <c r="N4499" s="525" t="str">
        <f>IF(AND('331-CT'!$E$7=TH!H4499,OR(L4499="331",M4499="331")),"331",IF(AND(OR(L4499="131",M4499="131"),H4499='131-CT'!$E$7),"131",""))</f>
        <v/>
      </c>
      <c r="O4499" s="525" t="str">
        <f>IF(AND($B4499&gt;='111'!$N$11,$B4499&lt;='111'!$O$11,OR($L4499=$O$7,$M4499=$O$7)),"x","")</f>
        <v/>
      </c>
      <c r="P4499" s="525" t="str">
        <f>IF(AND($L4499=$O$7,$B4499&lt;'111'!$N$11),"x","")</f>
        <v/>
      </c>
      <c r="Q4499" s="525" t="str">
        <f>IF(AND($M4499=$O$7,$B4499&lt;'111'!$N$11),"x","")</f>
        <v/>
      </c>
      <c r="R4499" s="525" t="str">
        <f>IF(ISERROR(FIND('112'!$M$9,G4499,1)),"",IF((AND(FIND('112'!$M$9,G4499,1)&gt;=1,$B4499&gt;='112'!$N$8,$B4499&lt;='112'!$O$8,OR($L4499='112'!$I$6,$M4499='112'!$I$6))),"x",""))</f>
        <v/>
      </c>
      <c r="S4499" s="525" t="str">
        <f>IF(ISERROR(FIND('112'!$M$9,G4499,1)),"",IF((AND(LEFT(G4499,2)=LEFT('112'!$M$9,2),B4499&lt;'112'!$N$8,$L4499='112'!$I$6)),"x",""))</f>
        <v/>
      </c>
      <c r="T4499" s="525" t="str">
        <f>IF(ISERROR(FIND('112'!$M$9,G4499,1)),"",IF((AND(RIGHT(G4499,2)=RIGHT('112'!$M$9,2),B4499&lt;'112'!$N$8,$M4499='112'!$I$6)),"x",""))</f>
        <v/>
      </c>
      <c r="U4499" s="525" t="str">
        <f>IF(AND(B4499&gt;='IN-NX'!$P$3,B4499&lt;='IN-NX'!$Q$3,'IN-NX'!$D$7=D4499,OR(LEFT(L4499,2)="15",AND(LEFT(M4499,2)&lt;&gt;"15",LEFT(M4499,2)&lt;&gt;"33"))),"x","")</f>
        <v/>
      </c>
      <c r="V4499" s="525" t="str">
        <f>IF(AND(OR(LEFT(TH!L4499,2)="15",LEFT(TH!M4499,2)="15"),'152-CT'!$J$8=TH!F4499),"x","")</f>
        <v/>
      </c>
      <c r="W4499" s="525" t="str">
        <f>IF(AND(OR(LEFT(TH!L4499,2)="15",LEFT(TH!M4499,2)="15"),TK!$E$7=TH!F4499),"x","")</f>
        <v/>
      </c>
      <c r="X4499" s="525" t="str">
        <f>IF(AND('341-CT'!$E$9=H4499,OR(LEFT(L4499,3)=$X$7,LEFT(M4499,3)=$X$7)),"x","")</f>
        <v/>
      </c>
      <c r="Y4499" s="525" t="str">
        <f>IF(OR(TH!L4499=TH!$Y$7,M4499=TH!$Y$7),"x","")</f>
        <v/>
      </c>
      <c r="Z4499" s="525" t="str">
        <f>IF(AND(B4499&lt;=NKC!$N$8,B4499&gt;=NKC!$M$8),"x","")</f>
        <v/>
      </c>
      <c r="AA4499" s="535"/>
      <c r="AB4499" s="536"/>
    </row>
    <row r="4500" spans="1:30" s="503" customFormat="1" ht="15.75" customHeight="1">
      <c r="A4500" s="517" t="str">
        <f>IF(B4500&lt;&gt;"",IF(AND(B4500&gt;=_TM1,B4500&lt;=_TM2,OR(TH!L4500="1111",TH!M4500="1111")),TH!D4500,""),"")</f>
        <v/>
      </c>
      <c r="B4500" s="531" t="str">
        <f t="shared" si="562"/>
        <v/>
      </c>
      <c r="C4500" s="315"/>
      <c r="D4500" s="315"/>
      <c r="E4500" s="545"/>
      <c r="F4500" s="248"/>
      <c r="G4500" s="314"/>
      <c r="H4500" s="473"/>
      <c r="I4500" s="307"/>
      <c r="J4500" s="307"/>
      <c r="K4500" s="532"/>
      <c r="L4500" s="533"/>
      <c r="M4500" s="533"/>
      <c r="N4500" s="525" t="str">
        <f>IF(AND('331-CT'!$E$7=TH!H4500,OR(L4500="331",M4500="331")),"331",IF(AND(OR(L4500="131",M4500="131"),H4500='131-CT'!$E$7),"131",""))</f>
        <v/>
      </c>
      <c r="O4500" s="525" t="str">
        <f>IF(AND($B4500&gt;='111'!$N$11,$B4500&lt;='111'!$O$11,OR($L4500=$O$7,$M4500=$O$7)),"x","")</f>
        <v/>
      </c>
      <c r="P4500" s="525" t="str">
        <f>IF(AND($L4500=$O$7,$B4500&lt;'111'!$N$11),"x","")</f>
        <v/>
      </c>
      <c r="Q4500" s="525" t="str">
        <f>IF(AND($M4500=$O$7,$B4500&lt;'111'!$N$11),"x","")</f>
        <v/>
      </c>
      <c r="R4500" s="525" t="str">
        <f>IF(ISERROR(FIND('112'!$M$9,G4500,1)),"",IF((AND(FIND('112'!$M$9,G4500,1)&gt;=1,$B4500&gt;='112'!$N$8,$B4500&lt;='112'!$O$8,OR($L4500='112'!$I$6,$M4500='112'!$I$6))),"x",""))</f>
        <v/>
      </c>
      <c r="S4500" s="525" t="str">
        <f>IF(ISERROR(FIND('112'!$M$9,G4500,1)),"",IF((AND(LEFT(G4500,2)=LEFT('112'!$M$9,2),B4500&lt;'112'!$N$8,$L4500='112'!$I$6)),"x",""))</f>
        <v/>
      </c>
      <c r="T4500" s="525" t="str">
        <f>IF(ISERROR(FIND('112'!$M$9,G4500,1)),"",IF((AND(RIGHT(G4500,2)=RIGHT('112'!$M$9,2),B4500&lt;'112'!$N$8,$M4500='112'!$I$6)),"x",""))</f>
        <v/>
      </c>
      <c r="U4500" s="525" t="str">
        <f>IF(AND(B4500&gt;='IN-NX'!$P$3,B4500&lt;='IN-NX'!$Q$3,'IN-NX'!$D$7=D4500,OR(LEFT(L4500,2)="15",AND(LEFT(M4500,2)&lt;&gt;"15",LEFT(M4500,2)&lt;&gt;"33"))),"x","")</f>
        <v/>
      </c>
      <c r="V4500" s="525" t="str">
        <f>IF(AND(OR(LEFT(TH!L4500,2)="15",LEFT(TH!M4500,2)="15"),'152-CT'!$J$8=TH!F4500),"x","")</f>
        <v/>
      </c>
      <c r="W4500" s="525" t="str">
        <f>IF(AND(OR(LEFT(TH!L4500,2)="15",LEFT(TH!M4500,2)="15"),TK!$E$7=TH!F4500),"x","")</f>
        <v/>
      </c>
      <c r="X4500" s="525" t="str">
        <f>IF(AND('341-CT'!$E$9=H4500,OR(LEFT(L4500,3)=$X$7,LEFT(M4500,3)=$X$7)),"x","")</f>
        <v/>
      </c>
      <c r="Y4500" s="525" t="str">
        <f>IF(OR(TH!L4500=TH!$Y$7,M4500=TH!$Y$7),"x","")</f>
        <v/>
      </c>
      <c r="Z4500" s="525" t="str">
        <f>IF(AND(B4500&lt;=NKC!$N$8,B4500&gt;=NKC!$M$8),"x","")</f>
        <v/>
      </c>
      <c r="AA4500" s="535"/>
      <c r="AB4500" s="536"/>
    </row>
    <row r="4501" spans="1:30" s="503" customFormat="1" ht="15.75" customHeight="1">
      <c r="A4501" s="517" t="str">
        <f>IF(B4501&lt;&gt;"",IF(AND(B4501&gt;=_TM1,B4501&lt;=_TM2,OR(TH!L4501="1111",TH!M4501="1111")),TH!D4501,""),"")</f>
        <v/>
      </c>
      <c r="B4501" s="531" t="str">
        <f t="shared" si="562"/>
        <v/>
      </c>
      <c r="C4501" s="315"/>
      <c r="D4501" s="315"/>
      <c r="E4501" s="545"/>
      <c r="F4501" s="249"/>
      <c r="G4501" s="314"/>
      <c r="H4501" s="473"/>
      <c r="I4501" s="307"/>
      <c r="J4501" s="307"/>
      <c r="K4501" s="532"/>
      <c r="L4501" s="533"/>
      <c r="M4501" s="533"/>
      <c r="N4501" s="525" t="str">
        <f>IF(AND('331-CT'!$E$7=TH!H4501,OR(L4501="331",M4501="331")),"331",IF(AND(OR(L4501="131",M4501="131"),H4501='131-CT'!$E$7),"131",""))</f>
        <v/>
      </c>
      <c r="O4501" s="525" t="str">
        <f>IF(AND($B4501&gt;='111'!$N$11,$B4501&lt;='111'!$O$11,OR($L4501=$O$7,$M4501=$O$7)),"x","")</f>
        <v/>
      </c>
      <c r="P4501" s="525" t="str">
        <f>IF(AND($L4501=$O$7,$B4501&lt;'111'!$N$11),"x","")</f>
        <v/>
      </c>
      <c r="Q4501" s="525" t="str">
        <f>IF(AND($M4501=$O$7,$B4501&lt;'111'!$N$11),"x","")</f>
        <v/>
      </c>
      <c r="R4501" s="525" t="str">
        <f>IF(ISERROR(FIND('112'!$M$9,G4501,1)),"",IF((AND(FIND('112'!$M$9,G4501,1)&gt;=1,$B4501&gt;='112'!$N$8,$B4501&lt;='112'!$O$8,OR($L4501='112'!$I$6,$M4501='112'!$I$6))),"x",""))</f>
        <v/>
      </c>
      <c r="S4501" s="525" t="str">
        <f>IF(ISERROR(FIND('112'!$M$9,G4501,1)),"",IF((AND(LEFT(G4501,2)=LEFT('112'!$M$9,2),B4501&lt;'112'!$N$8,$L4501='112'!$I$6)),"x",""))</f>
        <v/>
      </c>
      <c r="T4501" s="525" t="str">
        <f>IF(ISERROR(FIND('112'!$M$9,G4501,1)),"",IF((AND(RIGHT(G4501,2)=RIGHT('112'!$M$9,2),B4501&lt;'112'!$N$8,$M4501='112'!$I$6)),"x",""))</f>
        <v/>
      </c>
      <c r="U4501" s="525" t="str">
        <f>IF(AND(B4501&gt;='IN-NX'!$P$3,B4501&lt;='IN-NX'!$Q$3,'IN-NX'!$D$7=D4501,OR(LEFT(L4501,2)="15",AND(LEFT(M4501,2)&lt;&gt;"15",LEFT(M4501,2)&lt;&gt;"33"))),"x","")</f>
        <v/>
      </c>
      <c r="V4501" s="525" t="str">
        <f>IF(AND(OR(LEFT(TH!L4501,2)="15",LEFT(TH!M4501,2)="15"),'152-CT'!$J$8=TH!F4501),"x","")</f>
        <v/>
      </c>
      <c r="W4501" s="525" t="str">
        <f>IF(AND(OR(LEFT(TH!L4501,2)="15",LEFT(TH!M4501,2)="15"),TK!$E$7=TH!F4501),"x","")</f>
        <v/>
      </c>
      <c r="X4501" s="525" t="str">
        <f>IF(AND('341-CT'!$E$9=H4501,OR(LEFT(L4501,3)=$X$7,LEFT(M4501,3)=$X$7)),"x","")</f>
        <v/>
      </c>
      <c r="Y4501" s="525" t="str">
        <f>IF(OR(TH!L4501=TH!$Y$7,M4501=TH!$Y$7),"x","")</f>
        <v/>
      </c>
      <c r="Z4501" s="525" t="str">
        <f>IF(AND(B4501&lt;=NKC!$N$8,B4501&gt;=NKC!$M$8),"x","")</f>
        <v/>
      </c>
      <c r="AA4501" s="535"/>
      <c r="AB4501" s="536"/>
      <c r="AD4501" s="536"/>
    </row>
    <row r="4502" spans="1:30" s="503" customFormat="1" ht="15.75" customHeight="1">
      <c r="A4502" s="517" t="str">
        <f>IF(B4502&lt;&gt;"",IF(AND(B4502&gt;=_TM1,B4502&lt;=_TM2,OR(TH!L4502="1111",TH!M4502="1111")),TH!D4502,""),"")</f>
        <v/>
      </c>
      <c r="B4502" s="531" t="str">
        <f t="shared" si="562"/>
        <v/>
      </c>
      <c r="C4502" s="315"/>
      <c r="D4502" s="537"/>
      <c r="E4502" s="280"/>
      <c r="F4502" s="249"/>
      <c r="G4502" s="314"/>
      <c r="H4502" s="473"/>
      <c r="I4502" s="543"/>
      <c r="J4502" s="307"/>
      <c r="K4502" s="532"/>
      <c r="L4502" s="534"/>
      <c r="M4502" s="534"/>
      <c r="N4502" s="525" t="str">
        <f>IF(AND('331-CT'!$E$7=TH!H4502,OR(L4502="331",M4502="331")),"331",IF(AND(OR(L4502="131",M4502="131"),H4502='131-CT'!$E$7),"131",""))</f>
        <v/>
      </c>
      <c r="O4502" s="525" t="str">
        <f>IF(AND($B4502&gt;='111'!$N$11,$B4502&lt;='111'!$O$11,OR($L4502=$O$7,$M4502=$O$7)),"x","")</f>
        <v/>
      </c>
      <c r="P4502" s="525" t="str">
        <f>IF(AND($L4502=$O$7,$B4502&lt;'111'!$N$11),"x","")</f>
        <v/>
      </c>
      <c r="Q4502" s="525" t="str">
        <f>IF(AND($M4502=$O$7,$B4502&lt;'111'!$N$11),"x","")</f>
        <v/>
      </c>
      <c r="R4502" s="525" t="str">
        <f>IF(ISERROR(FIND('112'!$M$9,G4502,1)),"",IF((AND(FIND('112'!$M$9,G4502,1)&gt;=1,$B4502&gt;='112'!$N$8,$B4502&lt;='112'!$O$8,OR($L4502='112'!$I$6,$M4502='112'!$I$6))),"x",""))</f>
        <v/>
      </c>
      <c r="S4502" s="525" t="str">
        <f>IF(ISERROR(FIND('112'!$M$9,G4502,1)),"",IF((AND(LEFT(G4502,2)=LEFT('112'!$M$9,2),B4502&lt;'112'!$N$8,$L4502='112'!$I$6)),"x",""))</f>
        <v/>
      </c>
      <c r="T4502" s="525" t="str">
        <f>IF(ISERROR(FIND('112'!$M$9,G4502,1)),"",IF((AND(RIGHT(G4502,2)=RIGHT('112'!$M$9,2),B4502&lt;'112'!$N$8,$M4502='112'!$I$6)),"x",""))</f>
        <v/>
      </c>
      <c r="U4502" s="525" t="str">
        <f>IF(AND(B4502&gt;='IN-NX'!$P$3,B4502&lt;='IN-NX'!$Q$3,'IN-NX'!$D$7=D4502,OR(LEFT(L4502,2)="15",AND(LEFT(M4502,2)&lt;&gt;"15",LEFT(M4502,2)&lt;&gt;"33"))),"x","")</f>
        <v/>
      </c>
      <c r="V4502" s="525" t="str">
        <f>IF(AND(OR(LEFT(TH!L4502,2)="15",LEFT(TH!M4502,2)="15"),'152-CT'!$J$8=TH!F4502),"x","")</f>
        <v/>
      </c>
      <c r="W4502" s="525" t="str">
        <f>IF(AND(OR(LEFT(TH!L4502,2)="15",LEFT(TH!M4502,2)="15"),TK!$E$7=TH!F4502),"x","")</f>
        <v/>
      </c>
      <c r="X4502" s="525" t="str">
        <f>IF(AND('341-CT'!$E$9=H4502,OR(LEFT(L4502,3)=$X$7,LEFT(M4502,3)=$X$7)),"x","")</f>
        <v/>
      </c>
      <c r="Y4502" s="525" t="str">
        <f>IF(OR(TH!L4502=TH!$Y$7,M4502=TH!$Y$7),"x","")</f>
        <v/>
      </c>
      <c r="Z4502" s="525" t="str">
        <f>IF(AND(B4502&lt;=NKC!$N$8,B4502&gt;=NKC!$M$8),"x","")</f>
        <v/>
      </c>
      <c r="AA4502" s="535"/>
    </row>
    <row r="4503" spans="1:30" s="503" customFormat="1" ht="15.75" customHeight="1">
      <c r="A4503" s="517" t="str">
        <f>IF(B4503&lt;&gt;"",IF(AND(B4503&gt;=_TM1,B4503&lt;=_TM2,OR(TH!L4503="1111",TH!M4503="1111")),TH!D4503,""),"")</f>
        <v/>
      </c>
      <c r="B4503" s="531" t="str">
        <f t="shared" si="562"/>
        <v/>
      </c>
      <c r="C4503" s="315"/>
      <c r="D4503" s="537"/>
      <c r="E4503" s="280"/>
      <c r="F4503" s="247"/>
      <c r="G4503" s="314"/>
      <c r="H4503" s="473"/>
      <c r="I4503" s="543"/>
      <c r="J4503" s="307"/>
      <c r="K4503" s="532"/>
      <c r="L4503" s="534"/>
      <c r="M4503" s="534"/>
      <c r="N4503" s="525" t="str">
        <f>IF(AND('331-CT'!$E$7=TH!H4503,OR(L4503="331",M4503="331")),"331",IF(AND(OR(L4503="131",M4503="131"),H4503='131-CT'!$E$7),"131",""))</f>
        <v/>
      </c>
      <c r="O4503" s="525" t="str">
        <f>IF(AND($B4503&gt;='111'!$N$11,$B4503&lt;='111'!$O$11,OR($L4503=$O$7,$M4503=$O$7)),"x","")</f>
        <v/>
      </c>
      <c r="P4503" s="525" t="str">
        <f>IF(AND($L4503=$O$7,$B4503&lt;'111'!$N$11),"x","")</f>
        <v/>
      </c>
      <c r="Q4503" s="525" t="str">
        <f>IF(AND($M4503=$O$7,$B4503&lt;'111'!$N$11),"x","")</f>
        <v/>
      </c>
      <c r="R4503" s="525" t="str">
        <f>IF(ISERROR(FIND('112'!$M$9,G4503,1)),"",IF((AND(FIND('112'!$M$9,G4503,1)&gt;=1,$B4503&gt;='112'!$N$8,$B4503&lt;='112'!$O$8,OR($L4503='112'!$I$6,$M4503='112'!$I$6))),"x",""))</f>
        <v/>
      </c>
      <c r="S4503" s="525" t="str">
        <f>IF(ISERROR(FIND('112'!$M$9,G4503,1)),"",IF((AND(LEFT(G4503,2)=LEFT('112'!$M$9,2),B4503&lt;'112'!$N$8,$L4503='112'!$I$6)),"x",""))</f>
        <v/>
      </c>
      <c r="T4503" s="525" t="str">
        <f>IF(ISERROR(FIND('112'!$M$9,G4503,1)),"",IF((AND(RIGHT(G4503,2)=RIGHT('112'!$M$9,2),B4503&lt;'112'!$N$8,$M4503='112'!$I$6)),"x",""))</f>
        <v/>
      </c>
      <c r="U4503" s="525" t="str">
        <f>IF(AND(B4503&gt;='IN-NX'!$P$3,B4503&lt;='IN-NX'!$Q$3,'IN-NX'!$D$7=D4503,OR(LEFT(L4503,2)="15",AND(LEFT(M4503,2)&lt;&gt;"15",LEFT(M4503,2)&lt;&gt;"33"))),"x","")</f>
        <v/>
      </c>
      <c r="V4503" s="525" t="str">
        <f>IF(AND(OR(LEFT(TH!L4503,2)="15",LEFT(TH!M4503,2)="15"),'152-CT'!$J$8=TH!F4503),"x","")</f>
        <v/>
      </c>
      <c r="W4503" s="525" t="str">
        <f>IF(AND(OR(LEFT(TH!L4503,2)="15",LEFT(TH!M4503,2)="15"),TK!$E$7=TH!F4503),"x","")</f>
        <v/>
      </c>
      <c r="X4503" s="525" t="str">
        <f>IF(AND('341-CT'!$E$9=H4503,OR(LEFT(L4503,3)=$X$7,LEFT(M4503,3)=$X$7)),"x","")</f>
        <v/>
      </c>
      <c r="Y4503" s="525" t="str">
        <f>IF(OR(TH!L4503=TH!$Y$7,M4503=TH!$Y$7),"x","")</f>
        <v/>
      </c>
      <c r="Z4503" s="525" t="str">
        <f>IF(AND(B4503&lt;=NKC!$N$8,B4503&gt;=NKC!$M$8),"x","")</f>
        <v/>
      </c>
      <c r="AA4503" s="535"/>
    </row>
    <row r="4504" spans="1:30" s="503" customFormat="1" ht="15.75" customHeight="1">
      <c r="A4504" s="517" t="str">
        <f>IF(B4504&lt;&gt;"",IF(AND(B4504&gt;=_TM1,B4504&lt;=_TM2,OR(TH!L4504="1111",TH!M4504="1111")),TH!D4504,""),"")</f>
        <v/>
      </c>
      <c r="B4504" s="531" t="str">
        <f t="shared" si="562"/>
        <v/>
      </c>
      <c r="C4504" s="315"/>
      <c r="D4504" s="537"/>
      <c r="E4504" s="280"/>
      <c r="F4504" s="247"/>
      <c r="G4504" s="314"/>
      <c r="H4504" s="472"/>
      <c r="I4504" s="307"/>
      <c r="J4504" s="307"/>
      <c r="K4504" s="532"/>
      <c r="L4504" s="534"/>
      <c r="M4504" s="534"/>
      <c r="N4504" s="525" t="str">
        <f>IF(AND('331-CT'!$E$7=TH!H4504,OR(L4504="331",M4504="331")),"331",IF(AND(OR(L4504="131",M4504="131"),H4504='131-CT'!$E$7),"131",""))</f>
        <v/>
      </c>
      <c r="O4504" s="525" t="str">
        <f>IF(AND($B4504&gt;='111'!$N$11,$B4504&lt;='111'!$O$11,OR($L4504=$O$7,$M4504=$O$7)),"x","")</f>
        <v/>
      </c>
      <c r="P4504" s="525" t="str">
        <f>IF(AND($L4504=$O$7,$B4504&lt;'111'!$N$11),"x","")</f>
        <v/>
      </c>
      <c r="Q4504" s="525" t="str">
        <f>IF(AND($M4504=$O$7,$B4504&lt;'111'!$N$11),"x","")</f>
        <v/>
      </c>
      <c r="R4504" s="525" t="str">
        <f>IF(ISERROR(FIND('112'!$M$9,G4504,1)),"",IF((AND(FIND('112'!$M$9,G4504,1)&gt;=1,$B4504&gt;='112'!$N$8,$B4504&lt;='112'!$O$8,OR($L4504='112'!$I$6,$M4504='112'!$I$6))),"x",""))</f>
        <v/>
      </c>
      <c r="S4504" s="525" t="str">
        <f>IF(ISERROR(FIND('112'!$M$9,G4504,1)),"",IF((AND(LEFT(G4504,2)=LEFT('112'!$M$9,2),B4504&lt;'112'!$N$8,$L4504='112'!$I$6)),"x",""))</f>
        <v/>
      </c>
      <c r="T4504" s="525" t="str">
        <f>IF(ISERROR(FIND('112'!$M$9,G4504,1)),"",IF((AND(RIGHT(G4504,2)=RIGHT('112'!$M$9,2),B4504&lt;'112'!$N$8,$M4504='112'!$I$6)),"x",""))</f>
        <v/>
      </c>
      <c r="U4504" s="525" t="str">
        <f>IF(AND(B4504&gt;='IN-NX'!$P$3,B4504&lt;='IN-NX'!$Q$3,'IN-NX'!$D$7=D4504,OR(LEFT(L4504,2)="15",AND(LEFT(M4504,2)&lt;&gt;"15",LEFT(M4504,2)&lt;&gt;"33"))),"x","")</f>
        <v/>
      </c>
      <c r="V4504" s="525" t="str">
        <f>IF(AND(OR(LEFT(TH!L4504,2)="15",LEFT(TH!M4504,2)="15"),'152-CT'!$J$8=TH!F4504),"x","")</f>
        <v/>
      </c>
      <c r="W4504" s="525" t="str">
        <f>IF(AND(OR(LEFT(TH!L4504,2)="15",LEFT(TH!M4504,2)="15"),TK!$E$7=TH!F4504),"x","")</f>
        <v/>
      </c>
      <c r="X4504" s="525" t="str">
        <f>IF(AND('341-CT'!$E$9=H4504,OR(LEFT(L4504,3)=$X$7,LEFT(M4504,3)=$X$7)),"x","")</f>
        <v/>
      </c>
      <c r="Y4504" s="525" t="str">
        <f>IF(OR(TH!L4504=TH!$Y$7,M4504=TH!$Y$7),"x","")</f>
        <v/>
      </c>
      <c r="Z4504" s="525" t="str">
        <f>IF(AND(B4504&lt;=NKC!$N$8,B4504&gt;=NKC!$M$8),"x","")</f>
        <v/>
      </c>
      <c r="AA4504" s="535"/>
    </row>
    <row r="4505" spans="1:30" s="503" customFormat="1" ht="15.75" customHeight="1">
      <c r="A4505" s="517" t="str">
        <f>IF(B4505&lt;&gt;"",IF(AND(B4505&gt;=_TM1,B4505&lt;=_TM2,OR(TH!L4505="1111",TH!M4505="1111")),TH!D4505,""),"")</f>
        <v/>
      </c>
      <c r="B4505" s="531" t="str">
        <f t="shared" si="562"/>
        <v/>
      </c>
      <c r="C4505" s="315"/>
      <c r="D4505" s="537"/>
      <c r="E4505" s="280"/>
      <c r="F4505" s="247"/>
      <c r="G4505" s="314"/>
      <c r="H4505" s="472"/>
      <c r="I4505" s="307"/>
      <c r="J4505" s="307"/>
      <c r="K4505" s="532"/>
      <c r="L4505" s="534"/>
      <c r="M4505" s="534"/>
      <c r="N4505" s="525" t="str">
        <f>IF(AND('331-CT'!$E$7=TH!H4505,OR(L4505="331",M4505="331")),"331",IF(AND(OR(L4505="131",M4505="131"),H4505='131-CT'!$E$7),"131",""))</f>
        <v/>
      </c>
      <c r="O4505" s="525" t="str">
        <f>IF(AND($B4505&gt;='111'!$N$11,$B4505&lt;='111'!$O$11,OR($L4505=$O$7,$M4505=$O$7)),"x","")</f>
        <v/>
      </c>
      <c r="P4505" s="525" t="str">
        <f>IF(AND($L4505=$O$7,$B4505&lt;'111'!$N$11),"x","")</f>
        <v/>
      </c>
      <c r="Q4505" s="525" t="str">
        <f>IF(AND($M4505=$O$7,$B4505&lt;'111'!$N$11),"x","")</f>
        <v/>
      </c>
      <c r="R4505" s="525" t="str">
        <f>IF(ISERROR(FIND('112'!$M$9,G4505,1)),"",IF((AND(FIND('112'!$M$9,G4505,1)&gt;=1,$B4505&gt;='112'!$N$8,$B4505&lt;='112'!$O$8,OR($L4505='112'!$I$6,$M4505='112'!$I$6))),"x",""))</f>
        <v/>
      </c>
      <c r="S4505" s="525" t="str">
        <f>IF(ISERROR(FIND('112'!$M$9,G4505,1)),"",IF((AND(LEFT(G4505,2)=LEFT('112'!$M$9,2),B4505&lt;'112'!$N$8,$L4505='112'!$I$6)),"x",""))</f>
        <v/>
      </c>
      <c r="T4505" s="525" t="str">
        <f>IF(ISERROR(FIND('112'!$M$9,G4505,1)),"",IF((AND(RIGHT(G4505,2)=RIGHT('112'!$M$9,2),B4505&lt;'112'!$N$8,$M4505='112'!$I$6)),"x",""))</f>
        <v/>
      </c>
      <c r="U4505" s="525" t="str">
        <f>IF(AND(B4505&gt;='IN-NX'!$P$3,B4505&lt;='IN-NX'!$Q$3,'IN-NX'!$D$7=D4505,OR(LEFT(L4505,2)="15",AND(LEFT(M4505,2)&lt;&gt;"15",LEFT(M4505,2)&lt;&gt;"33"))),"x","")</f>
        <v/>
      </c>
      <c r="V4505" s="525" t="str">
        <f>IF(AND(OR(LEFT(TH!L4505,2)="15",LEFT(TH!M4505,2)="15"),'152-CT'!$J$8=TH!F4505),"x","")</f>
        <v/>
      </c>
      <c r="W4505" s="525" t="str">
        <f>IF(AND(OR(LEFT(TH!L4505,2)="15",LEFT(TH!M4505,2)="15"),TK!$E$7=TH!F4505),"x","")</f>
        <v/>
      </c>
      <c r="X4505" s="525" t="str">
        <f>IF(AND('341-CT'!$E$9=H4505,OR(LEFT(L4505,3)=$X$7,LEFT(M4505,3)=$X$7)),"x","")</f>
        <v/>
      </c>
      <c r="Y4505" s="525" t="str">
        <f>IF(OR(TH!L4505=TH!$Y$7,M4505=TH!$Y$7),"x","")</f>
        <v/>
      </c>
      <c r="Z4505" s="525" t="str">
        <f>IF(AND(B4505&lt;=NKC!$N$8,B4505&gt;=NKC!$M$8),"x","")</f>
        <v/>
      </c>
      <c r="AA4505" s="535"/>
    </row>
    <row r="4506" spans="1:30" s="503" customFormat="1" ht="15.75" customHeight="1">
      <c r="A4506" s="517" t="str">
        <f>IF(B4506&lt;&gt;"",IF(AND(B4506&gt;=_TM1,B4506&lt;=_TM2,OR(TH!L4506="1111",TH!M4506="1111")),TH!D4506,""),"")</f>
        <v/>
      </c>
      <c r="B4506" s="531" t="str">
        <f t="shared" si="562"/>
        <v/>
      </c>
      <c r="C4506" s="315"/>
      <c r="D4506" s="537"/>
      <c r="E4506" s="280"/>
      <c r="F4506" s="249"/>
      <c r="G4506" s="314"/>
      <c r="H4506" s="473"/>
      <c r="I4506" s="307"/>
      <c r="J4506" s="307"/>
      <c r="K4506" s="532"/>
      <c r="L4506" s="534"/>
      <c r="M4506" s="534"/>
      <c r="N4506" s="525" t="str">
        <f>IF(AND('331-CT'!$E$7=TH!H4506,OR(L4506="331",M4506="331")),"331",IF(AND(OR(L4506="131",M4506="131"),H4506='131-CT'!$E$7),"131",""))</f>
        <v/>
      </c>
      <c r="O4506" s="525" t="str">
        <f>IF(AND($B4506&gt;='111'!$N$11,$B4506&lt;='111'!$O$11,OR($L4506=$O$7,$M4506=$O$7)),"x","")</f>
        <v/>
      </c>
      <c r="P4506" s="525" t="str">
        <f>IF(AND($L4506=$O$7,$B4506&lt;'111'!$N$11),"x","")</f>
        <v/>
      </c>
      <c r="Q4506" s="525" t="str">
        <f>IF(AND($M4506=$O$7,$B4506&lt;'111'!$N$11),"x","")</f>
        <v/>
      </c>
      <c r="R4506" s="525" t="str">
        <f>IF(ISERROR(FIND('112'!$M$9,G4506,1)),"",IF((AND(FIND('112'!$M$9,G4506,1)&gt;=1,$B4506&gt;='112'!$N$8,$B4506&lt;='112'!$O$8,OR($L4506='112'!$I$6,$M4506='112'!$I$6))),"x",""))</f>
        <v/>
      </c>
      <c r="S4506" s="525" t="str">
        <f>IF(ISERROR(FIND('112'!$M$9,G4506,1)),"",IF((AND(LEFT(G4506,2)=LEFT('112'!$M$9,2),B4506&lt;'112'!$N$8,$L4506='112'!$I$6)),"x",""))</f>
        <v/>
      </c>
      <c r="T4506" s="525" t="str">
        <f>IF(ISERROR(FIND('112'!$M$9,G4506,1)),"",IF((AND(RIGHT(G4506,2)=RIGHT('112'!$M$9,2),B4506&lt;'112'!$N$8,$M4506='112'!$I$6)),"x",""))</f>
        <v/>
      </c>
      <c r="U4506" s="525" t="str">
        <f>IF(AND(B4506&gt;='IN-NX'!$P$3,B4506&lt;='IN-NX'!$Q$3,'IN-NX'!$D$7=D4506,OR(LEFT(L4506,2)="15",AND(LEFT(M4506,2)&lt;&gt;"15",LEFT(M4506,2)&lt;&gt;"33"))),"x","")</f>
        <v/>
      </c>
      <c r="V4506" s="525" t="str">
        <f>IF(AND(OR(LEFT(TH!L4506,2)="15",LEFT(TH!M4506,2)="15"),'152-CT'!$J$8=TH!F4506),"x","")</f>
        <v/>
      </c>
      <c r="W4506" s="525" t="str">
        <f>IF(AND(OR(LEFT(TH!L4506,2)="15",LEFT(TH!M4506,2)="15"),TK!$E$7=TH!F4506),"x","")</f>
        <v/>
      </c>
      <c r="X4506" s="525" t="str">
        <f>IF(AND('341-CT'!$E$9=H4506,OR(LEFT(L4506,3)=$X$7,LEFT(M4506,3)=$X$7)),"x","")</f>
        <v/>
      </c>
      <c r="Y4506" s="525" t="str">
        <f>IF(OR(TH!L4506=TH!$Y$7,M4506=TH!$Y$7),"x","")</f>
        <v/>
      </c>
      <c r="Z4506" s="525" t="str">
        <f>IF(AND(B4506&lt;=NKC!$N$8,B4506&gt;=NKC!$M$8),"x","")</f>
        <v/>
      </c>
      <c r="AA4506" s="535"/>
    </row>
    <row r="4507" spans="1:30" s="503" customFormat="1" ht="15.75" customHeight="1">
      <c r="A4507" s="517" t="str">
        <f>IF(B4507&lt;&gt;"",IF(AND(B4507&gt;=_TM1,B4507&lt;=_TM2,OR(TH!L4507="1111",TH!M4507="1111")),TH!D4507,""),"")</f>
        <v/>
      </c>
      <c r="B4507" s="531" t="str">
        <f t="shared" si="562"/>
        <v/>
      </c>
      <c r="C4507" s="315"/>
      <c r="D4507" s="315"/>
      <c r="E4507" s="545"/>
      <c r="F4507" s="248"/>
      <c r="G4507" s="314"/>
      <c r="H4507" s="473"/>
      <c r="I4507" s="307"/>
      <c r="J4507" s="307"/>
      <c r="K4507" s="532"/>
      <c r="L4507" s="533"/>
      <c r="M4507" s="533"/>
      <c r="N4507" s="525" t="str">
        <f>IF(AND('331-CT'!$E$7=TH!H4507,OR(L4507="331",M4507="331")),"331",IF(AND(OR(L4507="131",M4507="131"),H4507='131-CT'!$E$7),"131",""))</f>
        <v/>
      </c>
      <c r="O4507" s="525" t="str">
        <f>IF(AND($B4507&gt;='111'!$N$11,$B4507&lt;='111'!$O$11,OR($L4507=$O$7,$M4507=$O$7)),"x","")</f>
        <v/>
      </c>
      <c r="P4507" s="525" t="str">
        <f>IF(AND($L4507=$O$7,$B4507&lt;'111'!$N$11),"x","")</f>
        <v/>
      </c>
      <c r="Q4507" s="525" t="str">
        <f>IF(AND($M4507=$O$7,$B4507&lt;'111'!$N$11),"x","")</f>
        <v/>
      </c>
      <c r="R4507" s="525" t="str">
        <f>IF(ISERROR(FIND('112'!$M$9,G4507,1)),"",IF((AND(FIND('112'!$M$9,G4507,1)&gt;=1,$B4507&gt;='112'!$N$8,$B4507&lt;='112'!$O$8,OR($L4507='112'!$I$6,$M4507='112'!$I$6))),"x",""))</f>
        <v/>
      </c>
      <c r="S4507" s="525" t="str">
        <f>IF(ISERROR(FIND('112'!$M$9,G4507,1)),"",IF((AND(LEFT(G4507,2)=LEFT('112'!$M$9,2),B4507&lt;'112'!$N$8,$L4507='112'!$I$6)),"x",""))</f>
        <v/>
      </c>
      <c r="T4507" s="525" t="str">
        <f>IF(ISERROR(FIND('112'!$M$9,G4507,1)),"",IF((AND(RIGHT(G4507,2)=RIGHT('112'!$M$9,2),B4507&lt;'112'!$N$8,$M4507='112'!$I$6)),"x",""))</f>
        <v/>
      </c>
      <c r="U4507" s="525" t="str">
        <f>IF(AND(B4507&gt;='IN-NX'!$P$3,B4507&lt;='IN-NX'!$Q$3,'IN-NX'!$D$7=D4507,OR(LEFT(L4507,2)="15",AND(LEFT(M4507,2)&lt;&gt;"15",LEFT(M4507,2)&lt;&gt;"33"))),"x","")</f>
        <v/>
      </c>
      <c r="V4507" s="525" t="str">
        <f>IF(AND(OR(LEFT(TH!L4507,2)="15",LEFT(TH!M4507,2)="15"),'152-CT'!$J$8=TH!F4507),"x","")</f>
        <v/>
      </c>
      <c r="W4507" s="525" t="str">
        <f>IF(AND(OR(LEFT(TH!L4507,2)="15",LEFT(TH!M4507,2)="15"),TK!$E$7=TH!F4507),"x","")</f>
        <v/>
      </c>
      <c r="X4507" s="525" t="str">
        <f>IF(AND('341-CT'!$E$9=H4507,OR(LEFT(L4507,3)=$X$7,LEFT(M4507,3)=$X$7)),"x","")</f>
        <v/>
      </c>
      <c r="Y4507" s="525" t="str">
        <f>IF(OR(TH!L4507=TH!$Y$7,M4507=TH!$Y$7),"x","")</f>
        <v/>
      </c>
      <c r="Z4507" s="525" t="str">
        <f>IF(AND(B4507&lt;=NKC!$N$8,B4507&gt;=NKC!$M$8),"x","")</f>
        <v/>
      </c>
      <c r="AA4507" s="535"/>
      <c r="AB4507" s="536"/>
    </row>
    <row r="4508" spans="1:30" s="503" customFormat="1" ht="15.75" customHeight="1">
      <c r="A4508" s="517" t="str">
        <f>IF(B4508&lt;&gt;"",IF(AND(B4508&gt;=_TM1,B4508&lt;=_TM2,OR(TH!L4508="1111",TH!M4508="1111")),TH!D4508,""),"")</f>
        <v/>
      </c>
      <c r="B4508" s="531" t="str">
        <f t="shared" si="562"/>
        <v/>
      </c>
      <c r="C4508" s="315"/>
      <c r="D4508" s="315"/>
      <c r="E4508" s="545"/>
      <c r="F4508" s="249"/>
      <c r="G4508" s="314"/>
      <c r="H4508" s="473"/>
      <c r="I4508" s="307"/>
      <c r="J4508" s="307"/>
      <c r="K4508" s="532"/>
      <c r="L4508" s="533"/>
      <c r="M4508" s="533"/>
      <c r="N4508" s="525" t="str">
        <f>IF(AND('331-CT'!$E$7=TH!H4508,OR(L4508="331",M4508="331")),"331",IF(AND(OR(L4508="131",M4508="131"),H4508='131-CT'!$E$7),"131",""))</f>
        <v/>
      </c>
      <c r="O4508" s="525" t="str">
        <f>IF(AND($B4508&gt;='111'!$N$11,$B4508&lt;='111'!$O$11,OR($L4508=$O$7,$M4508=$O$7)),"x","")</f>
        <v/>
      </c>
      <c r="P4508" s="525" t="str">
        <f>IF(AND($L4508=$O$7,$B4508&lt;'111'!$N$11),"x","")</f>
        <v/>
      </c>
      <c r="Q4508" s="525" t="str">
        <f>IF(AND($M4508=$O$7,$B4508&lt;'111'!$N$11),"x","")</f>
        <v/>
      </c>
      <c r="R4508" s="525" t="str">
        <f>IF(ISERROR(FIND('112'!$M$9,G4508,1)),"",IF((AND(FIND('112'!$M$9,G4508,1)&gt;=1,$B4508&gt;='112'!$N$8,$B4508&lt;='112'!$O$8,OR($L4508='112'!$I$6,$M4508='112'!$I$6))),"x",""))</f>
        <v/>
      </c>
      <c r="S4508" s="525" t="str">
        <f>IF(ISERROR(FIND('112'!$M$9,G4508,1)),"",IF((AND(LEFT(G4508,2)=LEFT('112'!$M$9,2),B4508&lt;'112'!$N$8,$L4508='112'!$I$6)),"x",""))</f>
        <v/>
      </c>
      <c r="T4508" s="525" t="str">
        <f>IF(ISERROR(FIND('112'!$M$9,G4508,1)),"",IF((AND(RIGHT(G4508,2)=RIGHT('112'!$M$9,2),B4508&lt;'112'!$N$8,$M4508='112'!$I$6)),"x",""))</f>
        <v/>
      </c>
      <c r="U4508" s="525" t="str">
        <f>IF(AND(B4508&gt;='IN-NX'!$P$3,B4508&lt;='IN-NX'!$Q$3,'IN-NX'!$D$7=D4508,OR(LEFT(L4508,2)="15",AND(LEFT(M4508,2)&lt;&gt;"15",LEFT(M4508,2)&lt;&gt;"33"))),"x","")</f>
        <v/>
      </c>
      <c r="V4508" s="525" t="str">
        <f>IF(AND(OR(LEFT(TH!L4508,2)="15",LEFT(TH!M4508,2)="15"),'152-CT'!$J$8=TH!F4508),"x","")</f>
        <v/>
      </c>
      <c r="W4508" s="525" t="str">
        <f>IF(AND(OR(LEFT(TH!L4508,2)="15",LEFT(TH!M4508,2)="15"),TK!$E$7=TH!F4508),"x","")</f>
        <v/>
      </c>
      <c r="X4508" s="525" t="str">
        <f>IF(AND('341-CT'!$E$9=H4508,OR(LEFT(L4508,3)=$X$7,LEFT(M4508,3)=$X$7)),"x","")</f>
        <v/>
      </c>
      <c r="Y4508" s="525" t="str">
        <f>IF(OR(TH!L4508=TH!$Y$7,M4508=TH!$Y$7),"x","")</f>
        <v/>
      </c>
      <c r="Z4508" s="525" t="str">
        <f>IF(AND(B4508&lt;=NKC!$N$8,B4508&gt;=NKC!$M$8),"x","")</f>
        <v/>
      </c>
      <c r="AA4508" s="535"/>
      <c r="AB4508" s="536"/>
    </row>
    <row r="4509" spans="1:30" s="503" customFormat="1" ht="15.75" customHeight="1">
      <c r="A4509" s="517" t="str">
        <f>IF(B4509&lt;&gt;"",IF(AND(B4509&gt;=_TM1,B4509&lt;=_TM2,OR(TH!L4509="1111",TH!M4509="1111")),TH!D4509,""),"")</f>
        <v/>
      </c>
      <c r="B4509" s="531" t="str">
        <f t="shared" si="562"/>
        <v/>
      </c>
      <c r="C4509" s="315"/>
      <c r="D4509" s="315"/>
      <c r="E4509" s="545"/>
      <c r="F4509" s="249"/>
      <c r="G4509" s="314"/>
      <c r="H4509" s="473"/>
      <c r="I4509" s="307"/>
      <c r="J4509" s="307"/>
      <c r="K4509" s="532"/>
      <c r="L4509" s="533"/>
      <c r="M4509" s="533"/>
      <c r="N4509" s="525" t="str">
        <f>IF(AND('331-CT'!$E$7=TH!H4509,OR(L4509="331",M4509="331")),"331",IF(AND(OR(L4509="131",M4509="131"),H4509='131-CT'!$E$7),"131",""))</f>
        <v/>
      </c>
      <c r="O4509" s="525" t="str">
        <f>IF(AND($B4509&gt;='111'!$N$11,$B4509&lt;='111'!$O$11,OR($L4509=$O$7,$M4509=$O$7)),"x","")</f>
        <v/>
      </c>
      <c r="P4509" s="525" t="str">
        <f>IF(AND($L4509=$O$7,$B4509&lt;'111'!$N$11),"x","")</f>
        <v/>
      </c>
      <c r="Q4509" s="525" t="str">
        <f>IF(AND($M4509=$O$7,$B4509&lt;'111'!$N$11),"x","")</f>
        <v/>
      </c>
      <c r="R4509" s="525" t="str">
        <f>IF(ISERROR(FIND('112'!$M$9,G4509,1)),"",IF((AND(FIND('112'!$M$9,G4509,1)&gt;=1,$B4509&gt;='112'!$N$8,$B4509&lt;='112'!$O$8,OR($L4509='112'!$I$6,$M4509='112'!$I$6))),"x",""))</f>
        <v/>
      </c>
      <c r="S4509" s="525" t="str">
        <f>IF(ISERROR(FIND('112'!$M$9,G4509,1)),"",IF((AND(LEFT(G4509,2)=LEFT('112'!$M$9,2),B4509&lt;'112'!$N$8,$L4509='112'!$I$6)),"x",""))</f>
        <v/>
      </c>
      <c r="T4509" s="525" t="str">
        <f>IF(ISERROR(FIND('112'!$M$9,G4509,1)),"",IF((AND(RIGHT(G4509,2)=RIGHT('112'!$M$9,2),B4509&lt;'112'!$N$8,$M4509='112'!$I$6)),"x",""))</f>
        <v/>
      </c>
      <c r="U4509" s="525" t="str">
        <f>IF(AND(B4509&gt;='IN-NX'!$P$3,B4509&lt;='IN-NX'!$Q$3,'IN-NX'!$D$7=D4509,OR(LEFT(L4509,2)="15",AND(LEFT(M4509,2)&lt;&gt;"15",LEFT(M4509,2)&lt;&gt;"33"))),"x","")</f>
        <v/>
      </c>
      <c r="V4509" s="525" t="str">
        <f>IF(AND(OR(LEFT(TH!L4509,2)="15",LEFT(TH!M4509,2)="15"),'152-CT'!$J$8=TH!F4509),"x","")</f>
        <v/>
      </c>
      <c r="W4509" s="525" t="str">
        <f>IF(AND(OR(LEFT(TH!L4509,2)="15",LEFT(TH!M4509,2)="15"),TK!$E$7=TH!F4509),"x","")</f>
        <v/>
      </c>
      <c r="X4509" s="525" t="str">
        <f>IF(AND('341-CT'!$E$9=H4509,OR(LEFT(L4509,3)=$X$7,LEFT(M4509,3)=$X$7)),"x","")</f>
        <v/>
      </c>
      <c r="Y4509" s="525" t="str">
        <f>IF(OR(TH!L4509=TH!$Y$7,M4509=TH!$Y$7),"x","")</f>
        <v/>
      </c>
      <c r="Z4509" s="525" t="str">
        <f>IF(AND(B4509&lt;=NKC!$N$8,B4509&gt;=NKC!$M$8),"x","")</f>
        <v/>
      </c>
      <c r="AA4509" s="535"/>
      <c r="AB4509" s="536"/>
    </row>
    <row r="4510" spans="1:30" s="503" customFormat="1" ht="15.75" customHeight="1">
      <c r="A4510" s="517" t="str">
        <f>IF(B4510&lt;&gt;"",IF(AND(B4510&gt;=_TM1,B4510&lt;=_TM2,OR(TH!L4510="1111",TH!M4510="1111")),TH!D4510,""),"")</f>
        <v/>
      </c>
      <c r="B4510" s="531" t="str">
        <f t="shared" si="562"/>
        <v/>
      </c>
      <c r="C4510" s="315"/>
      <c r="D4510" s="315"/>
      <c r="E4510" s="280"/>
      <c r="F4510" s="247"/>
      <c r="G4510" s="314"/>
      <c r="H4510" s="472"/>
      <c r="I4510" s="307"/>
      <c r="J4510" s="307"/>
      <c r="K4510" s="532"/>
      <c r="L4510" s="534"/>
      <c r="M4510" s="534"/>
      <c r="N4510" s="525" t="str">
        <f>IF(AND('331-CT'!$E$7=TH!H4510,OR(L4510="331",M4510="331")),"331",IF(AND(OR(L4510="131",M4510="131"),H4510='131-CT'!$E$7),"131",""))</f>
        <v/>
      </c>
      <c r="O4510" s="525" t="str">
        <f>IF(AND($B4510&gt;='111'!$N$11,$B4510&lt;='111'!$O$11,OR($L4510=$O$7,$M4510=$O$7)),"x","")</f>
        <v/>
      </c>
      <c r="P4510" s="525" t="str">
        <f>IF(AND($L4510=$O$7,$B4510&lt;'111'!$N$11),"x","")</f>
        <v/>
      </c>
      <c r="Q4510" s="525" t="str">
        <f>IF(AND($M4510=$O$7,$B4510&lt;'111'!$N$11),"x","")</f>
        <v/>
      </c>
      <c r="R4510" s="525" t="str">
        <f>IF(ISERROR(FIND('112'!$M$9,G4510,1)),"",IF((AND(FIND('112'!$M$9,G4510,1)&gt;=1,$B4510&gt;='112'!$N$8,$B4510&lt;='112'!$O$8,OR($L4510='112'!$I$6,$M4510='112'!$I$6))),"x",""))</f>
        <v/>
      </c>
      <c r="S4510" s="525" t="str">
        <f>IF(ISERROR(FIND('112'!$M$9,G4510,1)),"",IF((AND(LEFT(G4510,2)=LEFT('112'!$M$9,2),B4510&lt;'112'!$N$8,$L4510='112'!$I$6)),"x",""))</f>
        <v/>
      </c>
      <c r="T4510" s="525" t="str">
        <f>IF(ISERROR(FIND('112'!$M$9,G4510,1)),"",IF((AND(RIGHT(G4510,2)=RIGHT('112'!$M$9,2),B4510&lt;'112'!$N$8,$M4510='112'!$I$6)),"x",""))</f>
        <v/>
      </c>
      <c r="U4510" s="525" t="str">
        <f>IF(AND(B4510&gt;='IN-NX'!$P$3,B4510&lt;='IN-NX'!$Q$3,'IN-NX'!$D$7=D4510,OR(LEFT(L4510,2)="15",AND(LEFT(M4510,2)&lt;&gt;"15",LEFT(M4510,2)&lt;&gt;"33"))),"x","")</f>
        <v/>
      </c>
      <c r="V4510" s="525" t="str">
        <f>IF(AND(OR(LEFT(TH!L4510,2)="15",LEFT(TH!M4510,2)="15"),'152-CT'!$J$8=TH!F4510),"x","")</f>
        <v/>
      </c>
      <c r="W4510" s="525" t="str">
        <f>IF(AND(OR(LEFT(TH!L4510,2)="15",LEFT(TH!M4510,2)="15"),TK!$E$7=TH!F4510),"x","")</f>
        <v/>
      </c>
      <c r="X4510" s="525" t="str">
        <f>IF(AND('341-CT'!$E$9=H4510,OR(LEFT(L4510,3)=$X$7,LEFT(M4510,3)=$X$7)),"x","")</f>
        <v/>
      </c>
      <c r="Y4510" s="525" t="str">
        <f>IF(OR(TH!L4510=TH!$Y$7,M4510=TH!$Y$7),"x","")</f>
        <v/>
      </c>
      <c r="Z4510" s="525" t="str">
        <f>IF(AND(B4510&lt;=NKC!$N$8,B4510&gt;=NKC!$M$8),"x","")</f>
        <v/>
      </c>
      <c r="AA4510" s="535"/>
    </row>
    <row r="4511" spans="1:30" s="503" customFormat="1" ht="15.75" customHeight="1">
      <c r="A4511" s="517" t="str">
        <f>IF(B4511&lt;&gt;"",IF(AND(B4511&gt;=_TM1,B4511&lt;=_TM2,OR(TH!L4511="1111",TH!M4511="1111")),TH!D4511,""),"")</f>
        <v/>
      </c>
      <c r="B4511" s="531" t="str">
        <f t="shared" si="562"/>
        <v/>
      </c>
      <c r="C4511" s="315"/>
      <c r="D4511" s="315"/>
      <c r="E4511" s="280"/>
      <c r="F4511" s="247"/>
      <c r="G4511" s="314"/>
      <c r="H4511" s="473"/>
      <c r="I4511" s="307"/>
      <c r="J4511" s="307"/>
      <c r="K4511" s="532"/>
      <c r="L4511" s="534"/>
      <c r="M4511" s="534"/>
      <c r="N4511" s="525" t="str">
        <f>IF(AND('331-CT'!$E$7=TH!H4511,OR(L4511="331",M4511="331")),"331",IF(AND(OR(L4511="131",M4511="131"),H4511='131-CT'!$E$7),"131",""))</f>
        <v/>
      </c>
      <c r="O4511" s="525" t="str">
        <f>IF(AND($B4511&gt;='111'!$N$11,$B4511&lt;='111'!$O$11,OR($L4511=$O$7,$M4511=$O$7)),"x","")</f>
        <v/>
      </c>
      <c r="P4511" s="525" t="str">
        <f>IF(AND($L4511=$O$7,$B4511&lt;'111'!$N$11),"x","")</f>
        <v/>
      </c>
      <c r="Q4511" s="525" t="str">
        <f>IF(AND($M4511=$O$7,$B4511&lt;'111'!$N$11),"x","")</f>
        <v/>
      </c>
      <c r="R4511" s="525" t="str">
        <f>IF(ISERROR(FIND('112'!$M$9,G4511,1)),"",IF((AND(FIND('112'!$M$9,G4511,1)&gt;=1,$B4511&gt;='112'!$N$8,$B4511&lt;='112'!$O$8,OR($L4511='112'!$I$6,$M4511='112'!$I$6))),"x",""))</f>
        <v/>
      </c>
      <c r="S4511" s="525" t="str">
        <f>IF(ISERROR(FIND('112'!$M$9,G4511,1)),"",IF((AND(LEFT(G4511,2)=LEFT('112'!$M$9,2),B4511&lt;'112'!$N$8,$L4511='112'!$I$6)),"x",""))</f>
        <v/>
      </c>
      <c r="T4511" s="525" t="str">
        <f>IF(ISERROR(FIND('112'!$M$9,G4511,1)),"",IF((AND(RIGHT(G4511,2)=RIGHT('112'!$M$9,2),B4511&lt;'112'!$N$8,$M4511='112'!$I$6)),"x",""))</f>
        <v/>
      </c>
      <c r="U4511" s="525" t="str">
        <f>IF(AND(B4511&gt;='IN-NX'!$P$3,B4511&lt;='IN-NX'!$Q$3,'IN-NX'!$D$7=D4511,OR(LEFT(L4511,2)="15",AND(LEFT(M4511,2)&lt;&gt;"15",LEFT(M4511,2)&lt;&gt;"33"))),"x","")</f>
        <v/>
      </c>
      <c r="V4511" s="525" t="str">
        <f>IF(AND(OR(LEFT(TH!L4511,2)="15",LEFT(TH!M4511,2)="15"),'152-CT'!$J$8=TH!F4511),"x","")</f>
        <v/>
      </c>
      <c r="W4511" s="525" t="str">
        <f>IF(AND(OR(LEFT(TH!L4511,2)="15",LEFT(TH!M4511,2)="15"),TK!$E$7=TH!F4511),"x","")</f>
        <v/>
      </c>
      <c r="X4511" s="525" t="str">
        <f>IF(AND('341-CT'!$E$9=H4511,OR(LEFT(L4511,3)=$X$7,LEFT(M4511,3)=$X$7)),"x","")</f>
        <v/>
      </c>
      <c r="Y4511" s="525" t="str">
        <f>IF(OR(TH!L4511=TH!$Y$7,M4511=TH!$Y$7),"x","")</f>
        <v/>
      </c>
      <c r="Z4511" s="525" t="str">
        <f>IF(AND(B4511&lt;=NKC!$N$8,B4511&gt;=NKC!$M$8),"x","")</f>
        <v/>
      </c>
      <c r="AA4511" s="535"/>
    </row>
    <row r="4512" spans="1:30" s="503" customFormat="1" ht="15.75" customHeight="1">
      <c r="A4512" s="517" t="str">
        <f>IF(B4512&lt;&gt;"",IF(AND(B4512&gt;=_TM1,B4512&lt;=_TM2,OR(TH!L4512="1111",TH!M4512="1111")),TH!D4512,""),"")</f>
        <v/>
      </c>
      <c r="B4512" s="531" t="str">
        <f t="shared" si="562"/>
        <v/>
      </c>
      <c r="C4512" s="315"/>
      <c r="D4512" s="315"/>
      <c r="E4512" s="280"/>
      <c r="F4512" s="247"/>
      <c r="G4512" s="314"/>
      <c r="H4512" s="473"/>
      <c r="I4512" s="307"/>
      <c r="J4512" s="307"/>
      <c r="K4512" s="532"/>
      <c r="L4512" s="534"/>
      <c r="M4512" s="534"/>
      <c r="N4512" s="525" t="str">
        <f>IF(AND('331-CT'!$E$7=TH!H4512,OR(L4512="331",M4512="331")),"331",IF(AND(OR(L4512="131",M4512="131"),H4512='131-CT'!$E$7),"131",""))</f>
        <v/>
      </c>
      <c r="O4512" s="525" t="str">
        <f>IF(AND($B4512&gt;='111'!$N$11,$B4512&lt;='111'!$O$11,OR($L4512=$O$7,$M4512=$O$7)),"x","")</f>
        <v/>
      </c>
      <c r="P4512" s="525" t="str">
        <f>IF(AND($L4512=$O$7,$B4512&lt;'111'!$N$11),"x","")</f>
        <v/>
      </c>
      <c r="Q4512" s="525" t="str">
        <f>IF(AND($M4512=$O$7,$B4512&lt;'111'!$N$11),"x","")</f>
        <v/>
      </c>
      <c r="R4512" s="525" t="str">
        <f>IF(ISERROR(FIND('112'!$M$9,G4512,1)),"",IF((AND(FIND('112'!$M$9,G4512,1)&gt;=1,$B4512&gt;='112'!$N$8,$B4512&lt;='112'!$O$8,OR($L4512='112'!$I$6,$M4512='112'!$I$6))),"x",""))</f>
        <v/>
      </c>
      <c r="S4512" s="525" t="str">
        <f>IF(ISERROR(FIND('112'!$M$9,G4512,1)),"",IF((AND(LEFT(G4512,2)=LEFT('112'!$M$9,2),B4512&lt;'112'!$N$8,$L4512='112'!$I$6)),"x",""))</f>
        <v/>
      </c>
      <c r="T4512" s="525" t="str">
        <f>IF(ISERROR(FIND('112'!$M$9,G4512,1)),"",IF((AND(RIGHT(G4512,2)=RIGHT('112'!$M$9,2),B4512&lt;'112'!$N$8,$M4512='112'!$I$6)),"x",""))</f>
        <v/>
      </c>
      <c r="U4512" s="525" t="str">
        <f>IF(AND(B4512&gt;='IN-NX'!$P$3,B4512&lt;='IN-NX'!$Q$3,'IN-NX'!$D$7=D4512,OR(LEFT(L4512,2)="15",AND(LEFT(M4512,2)&lt;&gt;"15",LEFT(M4512,2)&lt;&gt;"33"))),"x","")</f>
        <v/>
      </c>
      <c r="V4512" s="525" t="str">
        <f>IF(AND(OR(LEFT(TH!L4512,2)="15",LEFT(TH!M4512,2)="15"),'152-CT'!$J$8=TH!F4512),"x","")</f>
        <v/>
      </c>
      <c r="W4512" s="525" t="str">
        <f>IF(AND(OR(LEFT(TH!L4512,2)="15",LEFT(TH!M4512,2)="15"),TK!$E$7=TH!F4512),"x","")</f>
        <v/>
      </c>
      <c r="X4512" s="525" t="str">
        <f>IF(AND('341-CT'!$E$9=H4512,OR(LEFT(L4512,3)=$X$7,LEFT(M4512,3)=$X$7)),"x","")</f>
        <v/>
      </c>
      <c r="Y4512" s="525" t="str">
        <f>IF(OR(TH!L4512=TH!$Y$7,M4512=TH!$Y$7),"x","")</f>
        <v/>
      </c>
      <c r="Z4512" s="525" t="str">
        <f>IF(AND(B4512&lt;=NKC!$N$8,B4512&gt;=NKC!$M$8),"x","")</f>
        <v/>
      </c>
      <c r="AA4512" s="535"/>
    </row>
    <row r="4513" spans="1:28" s="503" customFormat="1" ht="15.75" customHeight="1">
      <c r="A4513" s="517" t="str">
        <f>IF(B4513&lt;&gt;"",IF(AND(B4513&gt;=_TM1,B4513&lt;=_TM2,OR(TH!L4513="1111",TH!M4513="1111")),TH!D4513,""),"")</f>
        <v/>
      </c>
      <c r="B4513" s="531" t="str">
        <f t="shared" si="562"/>
        <v/>
      </c>
      <c r="C4513" s="315"/>
      <c r="D4513" s="315"/>
      <c r="E4513" s="280"/>
      <c r="F4513" s="247"/>
      <c r="G4513" s="314"/>
      <c r="H4513" s="472"/>
      <c r="I4513" s="307"/>
      <c r="J4513" s="307"/>
      <c r="K4513" s="532"/>
      <c r="L4513" s="534"/>
      <c r="M4513" s="534"/>
      <c r="N4513" s="525" t="str">
        <f>IF(AND('331-CT'!$E$7=TH!H4513,OR(L4513="331",M4513="331")),"331",IF(AND(OR(L4513="131",M4513="131"),H4513='131-CT'!$E$7),"131",""))</f>
        <v/>
      </c>
      <c r="O4513" s="525" t="str">
        <f>IF(AND($B4513&gt;='111'!$N$11,$B4513&lt;='111'!$O$11,OR($L4513=$O$7,$M4513=$O$7)),"x","")</f>
        <v/>
      </c>
      <c r="P4513" s="525" t="str">
        <f>IF(AND($L4513=$O$7,$B4513&lt;'111'!$N$11),"x","")</f>
        <v/>
      </c>
      <c r="Q4513" s="525" t="str">
        <f>IF(AND($M4513=$O$7,$B4513&lt;'111'!$N$11),"x","")</f>
        <v/>
      </c>
      <c r="R4513" s="525" t="str">
        <f>IF(ISERROR(FIND('112'!$M$9,G4513,1)),"",IF((AND(FIND('112'!$M$9,G4513,1)&gt;=1,$B4513&gt;='112'!$N$8,$B4513&lt;='112'!$O$8,OR($L4513='112'!$I$6,$M4513='112'!$I$6))),"x",""))</f>
        <v/>
      </c>
      <c r="S4513" s="525" t="str">
        <f>IF(ISERROR(FIND('112'!$M$9,G4513,1)),"",IF((AND(LEFT(G4513,2)=LEFT('112'!$M$9,2),B4513&lt;'112'!$N$8,$L4513='112'!$I$6)),"x",""))</f>
        <v/>
      </c>
      <c r="T4513" s="525" t="str">
        <f>IF(ISERROR(FIND('112'!$M$9,G4513,1)),"",IF((AND(RIGHT(G4513,2)=RIGHT('112'!$M$9,2),B4513&lt;'112'!$N$8,$M4513='112'!$I$6)),"x",""))</f>
        <v/>
      </c>
      <c r="U4513" s="525" t="str">
        <f>IF(AND(B4513&gt;='IN-NX'!$P$3,B4513&lt;='IN-NX'!$Q$3,'IN-NX'!$D$7=D4513,OR(LEFT(L4513,2)="15",AND(LEFT(M4513,2)&lt;&gt;"15",LEFT(M4513,2)&lt;&gt;"33"))),"x","")</f>
        <v/>
      </c>
      <c r="V4513" s="525" t="str">
        <f>IF(AND(OR(LEFT(TH!L4513,2)="15",LEFT(TH!M4513,2)="15"),'152-CT'!$J$8=TH!F4513),"x","")</f>
        <v/>
      </c>
      <c r="W4513" s="525" t="str">
        <f>IF(AND(OR(LEFT(TH!L4513,2)="15",LEFT(TH!M4513,2)="15"),TK!$E$7=TH!F4513),"x","")</f>
        <v/>
      </c>
      <c r="X4513" s="525" t="str">
        <f>IF(AND('341-CT'!$E$9=H4513,OR(LEFT(L4513,3)=$X$7,LEFT(M4513,3)=$X$7)),"x","")</f>
        <v/>
      </c>
      <c r="Y4513" s="525" t="str">
        <f>IF(OR(TH!L4513=TH!$Y$7,M4513=TH!$Y$7),"x","")</f>
        <v/>
      </c>
      <c r="Z4513" s="525" t="str">
        <f>IF(AND(B4513&lt;=NKC!$N$8,B4513&gt;=NKC!$M$8),"x","")</f>
        <v/>
      </c>
      <c r="AA4513" s="535"/>
    </row>
    <row r="4514" spans="1:28" s="503" customFormat="1" ht="15.75" customHeight="1">
      <c r="A4514" s="517" t="str">
        <f>IF(B4514&lt;&gt;"",IF(AND(B4514&gt;=_TM1,B4514&lt;=_TM2,OR(TH!L4514="1111",TH!M4514="1111")),TH!D4514,""),"")</f>
        <v/>
      </c>
      <c r="B4514" s="531" t="str">
        <f t="shared" ref="B4514:B4577" si="563">IF(C4514&lt;&gt;"",MONTH(C4514),"")</f>
        <v/>
      </c>
      <c r="C4514" s="315"/>
      <c r="D4514" s="315"/>
      <c r="E4514" s="280"/>
      <c r="F4514" s="247"/>
      <c r="G4514" s="314"/>
      <c r="H4514" s="473"/>
      <c r="I4514" s="307"/>
      <c r="J4514" s="307"/>
      <c r="K4514" s="532"/>
      <c r="L4514" s="534"/>
      <c r="M4514" s="534"/>
      <c r="N4514" s="525" t="str">
        <f>IF(AND('331-CT'!$E$7=TH!H4514,OR(L4514="331",M4514="331")),"331",IF(AND(OR(L4514="131",M4514="131"),H4514='131-CT'!$E$7),"131",""))</f>
        <v/>
      </c>
      <c r="O4514" s="525" t="str">
        <f>IF(AND($B4514&gt;='111'!$N$11,$B4514&lt;='111'!$O$11,OR($L4514=$O$7,$M4514=$O$7)),"x","")</f>
        <v/>
      </c>
      <c r="P4514" s="525" t="str">
        <f>IF(AND($L4514=$O$7,$B4514&lt;'111'!$N$11),"x","")</f>
        <v/>
      </c>
      <c r="Q4514" s="525" t="str">
        <f>IF(AND($M4514=$O$7,$B4514&lt;'111'!$N$11),"x","")</f>
        <v/>
      </c>
      <c r="R4514" s="525" t="str">
        <f>IF(ISERROR(FIND('112'!$M$9,G4514,1)),"",IF((AND(FIND('112'!$M$9,G4514,1)&gt;=1,$B4514&gt;='112'!$N$8,$B4514&lt;='112'!$O$8,OR($L4514='112'!$I$6,$M4514='112'!$I$6))),"x",""))</f>
        <v/>
      </c>
      <c r="S4514" s="525" t="str">
        <f>IF(ISERROR(FIND('112'!$M$9,G4514,1)),"",IF((AND(LEFT(G4514,2)=LEFT('112'!$M$9,2),B4514&lt;'112'!$N$8,$L4514='112'!$I$6)),"x",""))</f>
        <v/>
      </c>
      <c r="T4514" s="525" t="str">
        <f>IF(ISERROR(FIND('112'!$M$9,G4514,1)),"",IF((AND(RIGHT(G4514,2)=RIGHT('112'!$M$9,2),B4514&lt;'112'!$N$8,$M4514='112'!$I$6)),"x",""))</f>
        <v/>
      </c>
      <c r="U4514" s="525" t="str">
        <f>IF(AND(B4514&gt;='IN-NX'!$P$3,B4514&lt;='IN-NX'!$Q$3,'IN-NX'!$D$7=D4514,OR(LEFT(L4514,2)="15",AND(LEFT(M4514,2)&lt;&gt;"15",LEFT(M4514,2)&lt;&gt;"33"))),"x","")</f>
        <v/>
      </c>
      <c r="V4514" s="525" t="str">
        <f>IF(AND(OR(LEFT(TH!L4514,2)="15",LEFT(TH!M4514,2)="15"),'152-CT'!$J$8=TH!F4514),"x","")</f>
        <v/>
      </c>
      <c r="W4514" s="525" t="str">
        <f>IF(AND(OR(LEFT(TH!L4514,2)="15",LEFT(TH!M4514,2)="15"),TK!$E$7=TH!F4514),"x","")</f>
        <v/>
      </c>
      <c r="X4514" s="525" t="str">
        <f>IF(AND('341-CT'!$E$9=H4514,OR(LEFT(L4514,3)=$X$7,LEFT(M4514,3)=$X$7)),"x","")</f>
        <v/>
      </c>
      <c r="Y4514" s="525" t="str">
        <f>IF(OR(TH!L4514=TH!$Y$7,M4514=TH!$Y$7),"x","")</f>
        <v/>
      </c>
      <c r="Z4514" s="525" t="str">
        <f>IF(AND(B4514&lt;=NKC!$N$8,B4514&gt;=NKC!$M$8),"x","")</f>
        <v/>
      </c>
      <c r="AA4514" s="535"/>
    </row>
    <row r="4515" spans="1:28" s="503" customFormat="1" ht="15.75" customHeight="1">
      <c r="A4515" s="517" t="str">
        <f>IF(B4515&lt;&gt;"",IF(AND(B4515&gt;=_TM1,B4515&lt;=_TM2,OR(TH!L4515="1111",TH!M4515="1111")),TH!D4515,""),"")</f>
        <v/>
      </c>
      <c r="B4515" s="531" t="str">
        <f t="shared" si="563"/>
        <v/>
      </c>
      <c r="C4515" s="315"/>
      <c r="D4515" s="315"/>
      <c r="E4515" s="280"/>
      <c r="F4515" s="247"/>
      <c r="G4515" s="314"/>
      <c r="H4515" s="473"/>
      <c r="I4515" s="307"/>
      <c r="J4515" s="307"/>
      <c r="K4515" s="532"/>
      <c r="L4515" s="534"/>
      <c r="M4515" s="534"/>
      <c r="N4515" s="525" t="str">
        <f>IF(AND('331-CT'!$E$7=TH!H4515,OR(L4515="331",M4515="331")),"331",IF(AND(OR(L4515="131",M4515="131"),H4515='131-CT'!$E$7),"131",""))</f>
        <v/>
      </c>
      <c r="O4515" s="525" t="str">
        <f>IF(AND($B4515&gt;='111'!$N$11,$B4515&lt;='111'!$O$11,OR($L4515=$O$7,$M4515=$O$7)),"x","")</f>
        <v/>
      </c>
      <c r="P4515" s="525" t="str">
        <f>IF(AND($L4515=$O$7,$B4515&lt;'111'!$N$11),"x","")</f>
        <v/>
      </c>
      <c r="Q4515" s="525" t="str">
        <f>IF(AND($M4515=$O$7,$B4515&lt;'111'!$N$11),"x","")</f>
        <v/>
      </c>
      <c r="R4515" s="525" t="str">
        <f>IF(ISERROR(FIND('112'!$M$9,G4515,1)),"",IF((AND(FIND('112'!$M$9,G4515,1)&gt;=1,$B4515&gt;='112'!$N$8,$B4515&lt;='112'!$O$8,OR($L4515='112'!$I$6,$M4515='112'!$I$6))),"x",""))</f>
        <v/>
      </c>
      <c r="S4515" s="525" t="str">
        <f>IF(ISERROR(FIND('112'!$M$9,G4515,1)),"",IF((AND(LEFT(G4515,2)=LEFT('112'!$M$9,2),B4515&lt;'112'!$N$8,$L4515='112'!$I$6)),"x",""))</f>
        <v/>
      </c>
      <c r="T4515" s="525" t="str">
        <f>IF(ISERROR(FIND('112'!$M$9,G4515,1)),"",IF((AND(RIGHT(G4515,2)=RIGHT('112'!$M$9,2),B4515&lt;'112'!$N$8,$M4515='112'!$I$6)),"x",""))</f>
        <v/>
      </c>
      <c r="U4515" s="525" t="str">
        <f>IF(AND(B4515&gt;='IN-NX'!$P$3,B4515&lt;='IN-NX'!$Q$3,'IN-NX'!$D$7=D4515,OR(LEFT(L4515,2)="15",AND(LEFT(M4515,2)&lt;&gt;"15",LEFT(M4515,2)&lt;&gt;"33"))),"x","")</f>
        <v/>
      </c>
      <c r="V4515" s="525" t="str">
        <f>IF(AND(OR(LEFT(TH!L4515,2)="15",LEFT(TH!M4515,2)="15"),'152-CT'!$J$8=TH!F4515),"x","")</f>
        <v/>
      </c>
      <c r="W4515" s="525" t="str">
        <f>IF(AND(OR(LEFT(TH!L4515,2)="15",LEFT(TH!M4515,2)="15"),TK!$E$7=TH!F4515),"x","")</f>
        <v/>
      </c>
      <c r="X4515" s="525" t="str">
        <f>IF(AND('341-CT'!$E$9=H4515,OR(LEFT(L4515,3)=$X$7,LEFT(M4515,3)=$X$7)),"x","")</f>
        <v/>
      </c>
      <c r="Y4515" s="525" t="str">
        <f>IF(OR(TH!L4515=TH!$Y$7,M4515=TH!$Y$7),"x","")</f>
        <v/>
      </c>
      <c r="Z4515" s="525" t="str">
        <f>IF(AND(B4515&lt;=NKC!$N$8,B4515&gt;=NKC!$M$8),"x","")</f>
        <v/>
      </c>
      <c r="AA4515" s="535"/>
    </row>
    <row r="4516" spans="1:28" s="503" customFormat="1" ht="15.75" customHeight="1">
      <c r="A4516" s="517" t="str">
        <f>IF(B4516&lt;&gt;"",IF(AND(B4516&gt;=_TM1,B4516&lt;=_TM2,OR(TH!L4516="1111",TH!M4516="1111")),TH!D4516,""),"")</f>
        <v/>
      </c>
      <c r="B4516" s="531" t="str">
        <f t="shared" si="563"/>
        <v/>
      </c>
      <c r="C4516" s="315"/>
      <c r="D4516" s="315"/>
      <c r="E4516" s="280"/>
      <c r="F4516" s="247"/>
      <c r="G4516" s="314"/>
      <c r="H4516" s="473"/>
      <c r="I4516" s="307"/>
      <c r="J4516" s="307"/>
      <c r="K4516" s="532"/>
      <c r="L4516" s="534"/>
      <c r="M4516" s="534"/>
      <c r="N4516" s="525" t="str">
        <f>IF(AND('331-CT'!$E$7=TH!H4516,OR(L4516="331",M4516="331")),"331",IF(AND(OR(L4516="131",M4516="131"),H4516='131-CT'!$E$7),"131",""))</f>
        <v/>
      </c>
      <c r="O4516" s="525" t="str">
        <f>IF(AND($B4516&gt;='111'!$N$11,$B4516&lt;='111'!$O$11,OR($L4516=$O$7,$M4516=$O$7)),"x","")</f>
        <v/>
      </c>
      <c r="P4516" s="525" t="str">
        <f>IF(AND($L4516=$O$7,$B4516&lt;'111'!$N$11),"x","")</f>
        <v/>
      </c>
      <c r="Q4516" s="525" t="str">
        <f>IF(AND($M4516=$O$7,$B4516&lt;'111'!$N$11),"x","")</f>
        <v/>
      </c>
      <c r="R4516" s="525" t="str">
        <f>IF(ISERROR(FIND('112'!$M$9,G4516,1)),"",IF((AND(FIND('112'!$M$9,G4516,1)&gt;=1,$B4516&gt;='112'!$N$8,$B4516&lt;='112'!$O$8,OR($L4516='112'!$I$6,$M4516='112'!$I$6))),"x",""))</f>
        <v/>
      </c>
      <c r="S4516" s="525" t="str">
        <f>IF(ISERROR(FIND('112'!$M$9,G4516,1)),"",IF((AND(LEFT(G4516,2)=LEFT('112'!$M$9,2),B4516&lt;'112'!$N$8,$L4516='112'!$I$6)),"x",""))</f>
        <v/>
      </c>
      <c r="T4516" s="525" t="str">
        <f>IF(ISERROR(FIND('112'!$M$9,G4516,1)),"",IF((AND(RIGHT(G4516,2)=RIGHT('112'!$M$9,2),B4516&lt;'112'!$N$8,$M4516='112'!$I$6)),"x",""))</f>
        <v/>
      </c>
      <c r="U4516" s="525" t="str">
        <f>IF(AND(B4516&gt;='IN-NX'!$P$3,B4516&lt;='IN-NX'!$Q$3,'IN-NX'!$D$7=D4516,OR(LEFT(L4516,2)="15",AND(LEFT(M4516,2)&lt;&gt;"15",LEFT(M4516,2)&lt;&gt;"33"))),"x","")</f>
        <v/>
      </c>
      <c r="V4516" s="525" t="str">
        <f>IF(AND(OR(LEFT(TH!L4516,2)="15",LEFT(TH!M4516,2)="15"),'152-CT'!$J$8=TH!F4516),"x","")</f>
        <v/>
      </c>
      <c r="W4516" s="525" t="str">
        <f>IF(AND(OR(LEFT(TH!L4516,2)="15",LEFT(TH!M4516,2)="15"),TK!$E$7=TH!F4516),"x","")</f>
        <v/>
      </c>
      <c r="X4516" s="525" t="str">
        <f>IF(AND('341-CT'!$E$9=H4516,OR(LEFT(L4516,3)=$X$7,LEFT(M4516,3)=$X$7)),"x","")</f>
        <v/>
      </c>
      <c r="Y4516" s="525" t="str">
        <f>IF(OR(TH!L4516=TH!$Y$7,M4516=TH!$Y$7),"x","")</f>
        <v/>
      </c>
      <c r="Z4516" s="525" t="str">
        <f>IF(AND(B4516&lt;=NKC!$N$8,B4516&gt;=NKC!$M$8),"x","")</f>
        <v/>
      </c>
      <c r="AA4516" s="535"/>
    </row>
    <row r="4517" spans="1:28" s="503" customFormat="1" ht="15.75" customHeight="1">
      <c r="A4517" s="517" t="str">
        <f>IF(B4517&lt;&gt;"",IF(AND(B4517&gt;=_TM1,B4517&lt;=_TM2,OR(TH!L4517="1111",TH!M4517="1111")),TH!D4517,""),"")</f>
        <v/>
      </c>
      <c r="B4517" s="531" t="str">
        <f t="shared" si="563"/>
        <v/>
      </c>
      <c r="C4517" s="315"/>
      <c r="D4517" s="315"/>
      <c r="E4517" s="280"/>
      <c r="F4517" s="247"/>
      <c r="G4517" s="314"/>
      <c r="H4517" s="473"/>
      <c r="I4517" s="307"/>
      <c r="J4517" s="307"/>
      <c r="K4517" s="532"/>
      <c r="L4517" s="534"/>
      <c r="M4517" s="534"/>
      <c r="N4517" s="525" t="str">
        <f>IF(AND('331-CT'!$E$7=TH!H4517,OR(L4517="331",M4517="331")),"331",IF(AND(OR(L4517="131",M4517="131"),H4517='131-CT'!$E$7),"131",""))</f>
        <v/>
      </c>
      <c r="O4517" s="525" t="str">
        <f>IF(AND($B4517&gt;='111'!$N$11,$B4517&lt;='111'!$O$11,OR($L4517=$O$7,$M4517=$O$7)),"x","")</f>
        <v/>
      </c>
      <c r="P4517" s="525" t="str">
        <f>IF(AND($L4517=$O$7,$B4517&lt;'111'!$N$11),"x","")</f>
        <v/>
      </c>
      <c r="Q4517" s="525" t="str">
        <f>IF(AND($M4517=$O$7,$B4517&lt;'111'!$N$11),"x","")</f>
        <v/>
      </c>
      <c r="R4517" s="525" t="str">
        <f>IF(ISERROR(FIND('112'!$M$9,G4517,1)),"",IF((AND(FIND('112'!$M$9,G4517,1)&gt;=1,$B4517&gt;='112'!$N$8,$B4517&lt;='112'!$O$8,OR($L4517='112'!$I$6,$M4517='112'!$I$6))),"x",""))</f>
        <v/>
      </c>
      <c r="S4517" s="525" t="str">
        <f>IF(ISERROR(FIND('112'!$M$9,G4517,1)),"",IF((AND(LEFT(G4517,2)=LEFT('112'!$M$9,2),B4517&lt;'112'!$N$8,$L4517='112'!$I$6)),"x",""))</f>
        <v/>
      </c>
      <c r="T4517" s="525" t="str">
        <f>IF(ISERROR(FIND('112'!$M$9,G4517,1)),"",IF((AND(RIGHT(G4517,2)=RIGHT('112'!$M$9,2),B4517&lt;'112'!$N$8,$M4517='112'!$I$6)),"x",""))</f>
        <v/>
      </c>
      <c r="U4517" s="525" t="str">
        <f>IF(AND(B4517&gt;='IN-NX'!$P$3,B4517&lt;='IN-NX'!$Q$3,'IN-NX'!$D$7=D4517,OR(LEFT(L4517,2)="15",AND(LEFT(M4517,2)&lt;&gt;"15",LEFT(M4517,2)&lt;&gt;"33"))),"x","")</f>
        <v/>
      </c>
      <c r="V4517" s="525" t="str">
        <f>IF(AND(OR(LEFT(TH!L4517,2)="15",LEFT(TH!M4517,2)="15"),'152-CT'!$J$8=TH!F4517),"x","")</f>
        <v/>
      </c>
      <c r="W4517" s="525" t="str">
        <f>IF(AND(OR(LEFT(TH!L4517,2)="15",LEFT(TH!M4517,2)="15"),TK!$E$7=TH!F4517),"x","")</f>
        <v/>
      </c>
      <c r="X4517" s="525" t="str">
        <f>IF(AND('341-CT'!$E$9=H4517,OR(LEFT(L4517,3)=$X$7,LEFT(M4517,3)=$X$7)),"x","")</f>
        <v/>
      </c>
      <c r="Y4517" s="525" t="str">
        <f>IF(OR(TH!L4517=TH!$Y$7,M4517=TH!$Y$7),"x","")</f>
        <v/>
      </c>
      <c r="Z4517" s="525" t="str">
        <f>IF(AND(B4517&lt;=NKC!$N$8,B4517&gt;=NKC!$M$8),"x","")</f>
        <v/>
      </c>
      <c r="AA4517" s="535"/>
    </row>
    <row r="4518" spans="1:28" s="503" customFormat="1" ht="15.75" customHeight="1">
      <c r="A4518" s="517" t="str">
        <f>IF(B4518&lt;&gt;"",IF(AND(B4518&gt;=_TM1,B4518&lt;=_TM2,OR(TH!L4518="1111",TH!M4518="1111")),TH!D4518,""),"")</f>
        <v/>
      </c>
      <c r="B4518" s="531" t="str">
        <f t="shared" si="563"/>
        <v/>
      </c>
      <c r="C4518" s="315"/>
      <c r="D4518" s="537"/>
      <c r="E4518" s="280"/>
      <c r="F4518" s="247"/>
      <c r="G4518" s="538"/>
      <c r="H4518" s="473"/>
      <c r="I4518" s="307"/>
      <c r="J4518" s="307"/>
      <c r="K4518" s="532"/>
      <c r="L4518" s="539"/>
      <c r="M4518" s="539"/>
      <c r="N4518" s="525" t="str">
        <f>IF(AND('331-CT'!$E$7=TH!H4518,OR(L4518="331",M4518="331")),"331",IF(AND(OR(L4518="131",M4518="131"),H4518='131-CT'!$E$7),"131",""))</f>
        <v/>
      </c>
      <c r="O4518" s="525" t="str">
        <f>IF(AND($B4518&gt;='111'!$N$11,$B4518&lt;='111'!$O$11,OR($L4518=$O$7,$M4518=$O$7)),"x","")</f>
        <v/>
      </c>
      <c r="P4518" s="525" t="str">
        <f>IF(AND($L4518=$O$7,$B4518&lt;'111'!$N$11),"x","")</f>
        <v/>
      </c>
      <c r="Q4518" s="525" t="str">
        <f>IF(AND($M4518=$O$7,$B4518&lt;'111'!$N$11),"x","")</f>
        <v/>
      </c>
      <c r="R4518" s="525" t="str">
        <f>IF(ISERROR(FIND('112'!$M$9,G4518,1)),"",IF((AND(FIND('112'!$M$9,G4518,1)&gt;=1,$B4518&gt;='112'!$N$8,$B4518&lt;='112'!$O$8,OR($L4518='112'!$I$6,$M4518='112'!$I$6))),"x",""))</f>
        <v/>
      </c>
      <c r="S4518" s="525" t="str">
        <f>IF(ISERROR(FIND('112'!$M$9,G4518,1)),"",IF((AND(LEFT(G4518,2)=LEFT('112'!$M$9,2),B4518&lt;'112'!$N$8,$L4518='112'!$I$6)),"x",""))</f>
        <v/>
      </c>
      <c r="T4518" s="525" t="str">
        <f>IF(ISERROR(FIND('112'!$M$9,G4518,1)),"",IF((AND(RIGHT(G4518,2)=RIGHT('112'!$M$9,2),B4518&lt;'112'!$N$8,$M4518='112'!$I$6)),"x",""))</f>
        <v/>
      </c>
      <c r="U4518" s="525" t="str">
        <f>IF(AND(B4518&gt;='IN-NX'!$P$3,B4518&lt;='IN-NX'!$Q$3,'IN-NX'!$D$7=D4518,OR(LEFT(L4518,2)="15",AND(LEFT(M4518,2)&lt;&gt;"15",LEFT(M4518,2)&lt;&gt;"33"))),"x","")</f>
        <v/>
      </c>
      <c r="V4518" s="525" t="str">
        <f>IF(AND(OR(LEFT(TH!L4518,2)="15",LEFT(TH!M4518,2)="15"),'152-CT'!$J$8=TH!F4518),"x","")</f>
        <v/>
      </c>
      <c r="W4518" s="525" t="str">
        <f>IF(AND(OR(LEFT(TH!L4518,2)="15",LEFT(TH!M4518,2)="15"),TK!$E$7=TH!F4518),"x","")</f>
        <v/>
      </c>
      <c r="X4518" s="525" t="str">
        <f>IF(AND('341-CT'!$E$9=H4518,OR(LEFT(L4518,3)=$X$7,LEFT(M4518,3)=$X$7)),"x","")</f>
        <v/>
      </c>
      <c r="Y4518" s="525" t="str">
        <f>IF(OR(TH!L4518=TH!$Y$7,M4518=TH!$Y$7),"x","")</f>
        <v/>
      </c>
      <c r="Z4518" s="525" t="str">
        <f>IF(AND(B4518&lt;=NKC!$N$8,B4518&gt;=NKC!$M$8),"x","")</f>
        <v/>
      </c>
      <c r="AA4518" s="535"/>
      <c r="AB4518" s="536"/>
    </row>
    <row r="4519" spans="1:28" s="503" customFormat="1" ht="15.75" customHeight="1">
      <c r="A4519" s="517" t="str">
        <f>IF(B4519&lt;&gt;"",IF(AND(B4519&gt;=_TM1,B4519&lt;=_TM2,OR(TH!L4519="1111",TH!M4519="1111")),TH!D4519,""),"")</f>
        <v/>
      </c>
      <c r="B4519" s="531" t="str">
        <f t="shared" si="563"/>
        <v/>
      </c>
      <c r="C4519" s="315"/>
      <c r="D4519" s="537"/>
      <c r="E4519" s="280"/>
      <c r="F4519" s="247"/>
      <c r="G4519" s="538"/>
      <c r="H4519" s="473"/>
      <c r="I4519" s="307"/>
      <c r="J4519" s="307"/>
      <c r="K4519" s="532"/>
      <c r="L4519" s="539"/>
      <c r="M4519" s="539"/>
      <c r="N4519" s="525" t="str">
        <f>IF(AND('331-CT'!$E$7=TH!H4519,OR(L4519="331",M4519="331")),"331",IF(AND(OR(L4519="131",M4519="131"),H4519='131-CT'!$E$7),"131",""))</f>
        <v/>
      </c>
      <c r="O4519" s="525" t="str">
        <f>IF(AND($B4519&gt;='111'!$N$11,$B4519&lt;='111'!$O$11,OR($L4519=$O$7,$M4519=$O$7)),"x","")</f>
        <v/>
      </c>
      <c r="P4519" s="525" t="str">
        <f>IF(AND($L4519=$O$7,$B4519&lt;'111'!$N$11),"x","")</f>
        <v/>
      </c>
      <c r="Q4519" s="525" t="str">
        <f>IF(AND($M4519=$O$7,$B4519&lt;'111'!$N$11),"x","")</f>
        <v/>
      </c>
      <c r="R4519" s="525" t="str">
        <f>IF(ISERROR(FIND('112'!$M$9,G4519,1)),"",IF((AND(FIND('112'!$M$9,G4519,1)&gt;=1,$B4519&gt;='112'!$N$8,$B4519&lt;='112'!$O$8,OR($L4519='112'!$I$6,$M4519='112'!$I$6))),"x",""))</f>
        <v/>
      </c>
      <c r="S4519" s="525" t="str">
        <f>IF(ISERROR(FIND('112'!$M$9,G4519,1)),"",IF((AND(LEFT(G4519,2)=LEFT('112'!$M$9,2),B4519&lt;'112'!$N$8,$L4519='112'!$I$6)),"x",""))</f>
        <v/>
      </c>
      <c r="T4519" s="525" t="str">
        <f>IF(ISERROR(FIND('112'!$M$9,G4519,1)),"",IF((AND(RIGHT(G4519,2)=RIGHT('112'!$M$9,2),B4519&lt;'112'!$N$8,$M4519='112'!$I$6)),"x",""))</f>
        <v/>
      </c>
      <c r="U4519" s="525" t="str">
        <f>IF(AND(B4519&gt;='IN-NX'!$P$3,B4519&lt;='IN-NX'!$Q$3,'IN-NX'!$D$7=D4519,OR(LEFT(L4519,2)="15",AND(LEFT(M4519,2)&lt;&gt;"15",LEFT(M4519,2)&lt;&gt;"33"))),"x","")</f>
        <v/>
      </c>
      <c r="V4519" s="525" t="str">
        <f>IF(AND(OR(LEFT(TH!L4519,2)="15",LEFT(TH!M4519,2)="15"),'152-CT'!$J$8=TH!F4519),"x","")</f>
        <v/>
      </c>
      <c r="W4519" s="525" t="str">
        <f>IF(AND(OR(LEFT(TH!L4519,2)="15",LEFT(TH!M4519,2)="15"),TK!$E$7=TH!F4519),"x","")</f>
        <v/>
      </c>
      <c r="X4519" s="525" t="str">
        <f>IF(AND('341-CT'!$E$9=H4519,OR(LEFT(L4519,3)=$X$7,LEFT(M4519,3)=$X$7)),"x","")</f>
        <v/>
      </c>
      <c r="Y4519" s="525" t="str">
        <f>IF(OR(TH!L4519=TH!$Y$7,M4519=TH!$Y$7),"x","")</f>
        <v/>
      </c>
      <c r="Z4519" s="525" t="str">
        <f>IF(AND(B4519&lt;=NKC!$N$8,B4519&gt;=NKC!$M$8),"x","")</f>
        <v/>
      </c>
      <c r="AA4519" s="535"/>
      <c r="AB4519" s="536"/>
    </row>
    <row r="4520" spans="1:28" s="503" customFormat="1" ht="15.75" customHeight="1">
      <c r="A4520" s="517" t="str">
        <f>IF(B4520&lt;&gt;"",IF(AND(B4520&gt;=_TM1,B4520&lt;=_TM2,OR(TH!L4520="1111",TH!M4520="1111")),TH!D4520,""),"")</f>
        <v/>
      </c>
      <c r="B4520" s="531" t="str">
        <f t="shared" si="563"/>
        <v/>
      </c>
      <c r="C4520" s="315"/>
      <c r="D4520" s="537"/>
      <c r="E4520" s="280"/>
      <c r="F4520" s="247"/>
      <c r="G4520" s="538"/>
      <c r="H4520" s="473"/>
      <c r="I4520" s="307"/>
      <c r="J4520" s="307"/>
      <c r="K4520" s="532"/>
      <c r="L4520" s="534"/>
      <c r="M4520" s="539"/>
      <c r="N4520" s="525" t="str">
        <f>IF(AND('331-CT'!$E$7=TH!H4520,OR(L4520="331",M4520="331")),"331",IF(AND(OR(L4520="131",M4520="131"),H4520='131-CT'!$E$7),"131",""))</f>
        <v/>
      </c>
      <c r="O4520" s="525" t="str">
        <f>IF(AND($B4520&gt;='111'!$N$11,$B4520&lt;='111'!$O$11,OR($L4520=$O$7,$M4520=$O$7)),"x","")</f>
        <v/>
      </c>
      <c r="P4520" s="525" t="str">
        <f>IF(AND($L4520=$O$7,$B4520&lt;'111'!$N$11),"x","")</f>
        <v/>
      </c>
      <c r="Q4520" s="525" t="str">
        <f>IF(AND($M4520=$O$7,$B4520&lt;'111'!$N$11),"x","")</f>
        <v/>
      </c>
      <c r="R4520" s="525" t="str">
        <f>IF(ISERROR(FIND('112'!$M$9,G4520,1)),"",IF((AND(FIND('112'!$M$9,G4520,1)&gt;=1,$B4520&gt;='112'!$N$8,$B4520&lt;='112'!$O$8,OR($L4520='112'!$I$6,$M4520='112'!$I$6))),"x",""))</f>
        <v/>
      </c>
      <c r="S4520" s="525" t="str">
        <f>IF(ISERROR(FIND('112'!$M$9,G4520,1)),"",IF((AND(LEFT(G4520,2)=LEFT('112'!$M$9,2),B4520&lt;'112'!$N$8,$L4520='112'!$I$6)),"x",""))</f>
        <v/>
      </c>
      <c r="T4520" s="525" t="str">
        <f>IF(ISERROR(FIND('112'!$M$9,G4520,1)),"",IF((AND(RIGHT(G4520,2)=RIGHT('112'!$M$9,2),B4520&lt;'112'!$N$8,$M4520='112'!$I$6)),"x",""))</f>
        <v/>
      </c>
      <c r="U4520" s="525" t="str">
        <f>IF(AND(B4520&gt;='IN-NX'!$P$3,B4520&lt;='IN-NX'!$Q$3,'IN-NX'!$D$7=D4520,OR(LEFT(L4520,2)="15",AND(LEFT(M4520,2)&lt;&gt;"15",LEFT(M4520,2)&lt;&gt;"33"))),"x","")</f>
        <v/>
      </c>
      <c r="V4520" s="525" t="str">
        <f>IF(AND(OR(LEFT(TH!L4520,2)="15",LEFT(TH!M4520,2)="15"),'152-CT'!$J$8=TH!F4520),"x","")</f>
        <v/>
      </c>
      <c r="W4520" s="525" t="str">
        <f>IF(AND(OR(LEFT(TH!L4520,2)="15",LEFT(TH!M4520,2)="15"),TK!$E$7=TH!F4520),"x","")</f>
        <v/>
      </c>
      <c r="X4520" s="525" t="str">
        <f>IF(AND('341-CT'!$E$9=H4520,OR(LEFT(L4520,3)=$X$7,LEFT(M4520,3)=$X$7)),"x","")</f>
        <v/>
      </c>
      <c r="Y4520" s="525" t="str">
        <f>IF(OR(TH!L4520=TH!$Y$7,M4520=TH!$Y$7),"x","")</f>
        <v/>
      </c>
      <c r="Z4520" s="525" t="str">
        <f>IF(AND(B4520&lt;=NKC!$N$8,B4520&gt;=NKC!$M$8),"x","")</f>
        <v/>
      </c>
      <c r="AA4520" s="535"/>
    </row>
    <row r="4521" spans="1:28" s="503" customFormat="1" ht="15.75" customHeight="1">
      <c r="A4521" s="517" t="str">
        <f>IF(B4521&lt;&gt;"",IF(AND(B4521&gt;=_TM1,B4521&lt;=_TM2,OR(TH!L4521="1111",TH!M4521="1111")),TH!D4521,""),"")</f>
        <v/>
      </c>
      <c r="B4521" s="531" t="str">
        <f t="shared" si="563"/>
        <v/>
      </c>
      <c r="C4521" s="315"/>
      <c r="D4521" s="537"/>
      <c r="E4521" s="280"/>
      <c r="F4521" s="249"/>
      <c r="G4521" s="314"/>
      <c r="H4521" s="473"/>
      <c r="I4521" s="307"/>
      <c r="J4521" s="307"/>
      <c r="K4521" s="532"/>
      <c r="L4521" s="534"/>
      <c r="M4521" s="534"/>
      <c r="N4521" s="525" t="str">
        <f>IF(AND('331-CT'!$E$7=TH!H4521,OR(L4521="331",M4521="331")),"331",IF(AND(OR(L4521="131",M4521="131"),H4521='131-CT'!$E$7),"131",""))</f>
        <v/>
      </c>
      <c r="O4521" s="525" t="str">
        <f>IF(AND($B4521&gt;='111'!$N$11,$B4521&lt;='111'!$O$11,OR($L4521=$O$7,$M4521=$O$7)),"x","")</f>
        <v/>
      </c>
      <c r="P4521" s="525" t="str">
        <f>IF(AND($L4521=$O$7,$B4521&lt;'111'!$N$11),"x","")</f>
        <v/>
      </c>
      <c r="Q4521" s="525" t="str">
        <f>IF(AND($M4521=$O$7,$B4521&lt;'111'!$N$11),"x","")</f>
        <v/>
      </c>
      <c r="R4521" s="525" t="str">
        <f>IF(ISERROR(FIND('112'!$M$9,G4521,1)),"",IF((AND(FIND('112'!$M$9,G4521,1)&gt;=1,$B4521&gt;='112'!$N$8,$B4521&lt;='112'!$O$8,OR($L4521='112'!$I$6,$M4521='112'!$I$6))),"x",""))</f>
        <v/>
      </c>
      <c r="S4521" s="525" t="str">
        <f>IF(ISERROR(FIND('112'!$M$9,G4521,1)),"",IF((AND(LEFT(G4521,2)=LEFT('112'!$M$9,2),B4521&lt;'112'!$N$8,$L4521='112'!$I$6)),"x",""))</f>
        <v/>
      </c>
      <c r="T4521" s="525" t="str">
        <f>IF(ISERROR(FIND('112'!$M$9,G4521,1)),"",IF((AND(RIGHT(G4521,2)=RIGHT('112'!$M$9,2),B4521&lt;'112'!$N$8,$M4521='112'!$I$6)),"x",""))</f>
        <v/>
      </c>
      <c r="U4521" s="525" t="str">
        <f>IF(AND(B4521&gt;='IN-NX'!$P$3,B4521&lt;='IN-NX'!$Q$3,'IN-NX'!$D$7=D4521,OR(LEFT(L4521,2)="15",AND(LEFT(M4521,2)&lt;&gt;"15",LEFT(M4521,2)&lt;&gt;"33"))),"x","")</f>
        <v/>
      </c>
      <c r="V4521" s="525" t="str">
        <f>IF(AND(OR(LEFT(TH!L4521,2)="15",LEFT(TH!M4521,2)="15"),'152-CT'!$J$8=TH!F4521),"x","")</f>
        <v/>
      </c>
      <c r="W4521" s="525" t="str">
        <f>IF(AND(OR(LEFT(TH!L4521,2)="15",LEFT(TH!M4521,2)="15"),TK!$E$7=TH!F4521),"x","")</f>
        <v/>
      </c>
      <c r="X4521" s="525" t="str">
        <f>IF(AND('341-CT'!$E$9=H4521,OR(LEFT(L4521,3)=$X$7,LEFT(M4521,3)=$X$7)),"x","")</f>
        <v/>
      </c>
      <c r="Y4521" s="525" t="str">
        <f>IF(OR(TH!L4521=TH!$Y$7,M4521=TH!$Y$7),"x","")</f>
        <v/>
      </c>
      <c r="Z4521" s="525" t="str">
        <f>IF(AND(B4521&lt;=NKC!$N$8,B4521&gt;=NKC!$M$8),"x","")</f>
        <v/>
      </c>
      <c r="AA4521" s="535"/>
    </row>
    <row r="4522" spans="1:28" s="503" customFormat="1" ht="15.75" customHeight="1">
      <c r="A4522" s="517" t="str">
        <f>IF(B4522&lt;&gt;"",IF(AND(B4522&gt;=_TM1,B4522&lt;=_TM2,OR(TH!L4522="1111",TH!M4522="1111")),TH!D4522,""),"")</f>
        <v/>
      </c>
      <c r="B4522" s="531" t="str">
        <f t="shared" si="563"/>
        <v/>
      </c>
      <c r="C4522" s="315"/>
      <c r="D4522" s="537"/>
      <c r="E4522" s="545"/>
      <c r="F4522" s="247"/>
      <c r="G4522" s="314"/>
      <c r="H4522" s="473"/>
      <c r="I4522" s="307"/>
      <c r="J4522" s="307"/>
      <c r="K4522" s="532"/>
      <c r="L4522" s="533"/>
      <c r="M4522" s="533"/>
      <c r="N4522" s="525" t="str">
        <f>IF(AND('331-CT'!$E$7=TH!H4522,OR(L4522="331",M4522="331")),"331",IF(AND(OR(L4522="131",M4522="131"),H4522='131-CT'!$E$7),"131",""))</f>
        <v/>
      </c>
      <c r="O4522" s="525" t="str">
        <f>IF(AND($B4522&gt;='111'!$N$11,$B4522&lt;='111'!$O$11,OR($L4522=$O$7,$M4522=$O$7)),"x","")</f>
        <v/>
      </c>
      <c r="P4522" s="525" t="str">
        <f>IF(AND($L4522=$O$7,$B4522&lt;'111'!$N$11),"x","")</f>
        <v/>
      </c>
      <c r="Q4522" s="525" t="str">
        <f>IF(AND($M4522=$O$7,$B4522&lt;'111'!$N$11),"x","")</f>
        <v/>
      </c>
      <c r="R4522" s="525" t="str">
        <f>IF(ISERROR(FIND('112'!$M$9,G4522,1)),"",IF((AND(FIND('112'!$M$9,G4522,1)&gt;=1,$B4522&gt;='112'!$N$8,$B4522&lt;='112'!$O$8,OR($L4522='112'!$I$6,$M4522='112'!$I$6))),"x",""))</f>
        <v/>
      </c>
      <c r="S4522" s="525" t="str">
        <f>IF(ISERROR(FIND('112'!$M$9,G4522,1)),"",IF((AND(LEFT(G4522,2)=LEFT('112'!$M$9,2),B4522&lt;'112'!$N$8,$L4522='112'!$I$6)),"x",""))</f>
        <v/>
      </c>
      <c r="T4522" s="525" t="str">
        <f>IF(ISERROR(FIND('112'!$M$9,G4522,1)),"",IF((AND(RIGHT(G4522,2)=RIGHT('112'!$M$9,2),B4522&lt;'112'!$N$8,$M4522='112'!$I$6)),"x",""))</f>
        <v/>
      </c>
      <c r="U4522" s="525" t="str">
        <f>IF(AND(B4522&gt;='IN-NX'!$P$3,B4522&lt;='IN-NX'!$Q$3,'IN-NX'!$D$7=D4522,OR(LEFT(L4522,2)="15",AND(LEFT(M4522,2)&lt;&gt;"15",LEFT(M4522,2)&lt;&gt;"33"))),"x","")</f>
        <v/>
      </c>
      <c r="V4522" s="525" t="str">
        <f>IF(AND(OR(LEFT(TH!L4522,2)="15",LEFT(TH!M4522,2)="15"),'152-CT'!$J$8=TH!F4522),"x","")</f>
        <v/>
      </c>
      <c r="W4522" s="525" t="str">
        <f>IF(AND(OR(LEFT(TH!L4522,2)="15",LEFT(TH!M4522,2)="15"),TK!$E$7=TH!F4522),"x","")</f>
        <v/>
      </c>
      <c r="X4522" s="525" t="str">
        <f>IF(AND('341-CT'!$E$9=H4522,OR(LEFT(L4522,3)=$X$7,LEFT(M4522,3)=$X$7)),"x","")</f>
        <v/>
      </c>
      <c r="Y4522" s="525" t="str">
        <f>IF(OR(TH!L4522=TH!$Y$7,M4522=TH!$Y$7),"x","")</f>
        <v/>
      </c>
      <c r="Z4522" s="525" t="str">
        <f>IF(AND(B4522&lt;=NKC!$N$8,B4522&gt;=NKC!$M$8),"x","")</f>
        <v/>
      </c>
      <c r="AA4522" s="535"/>
    </row>
    <row r="4523" spans="1:28" s="503" customFormat="1" ht="15.75" customHeight="1">
      <c r="A4523" s="517" t="str">
        <f>IF(B4523&lt;&gt;"",IF(AND(B4523&gt;=_TM1,B4523&lt;=_TM2,OR(TH!L4523="1111",TH!M4523="1111")),TH!D4523,""),"")</f>
        <v/>
      </c>
      <c r="B4523" s="531" t="str">
        <f t="shared" si="563"/>
        <v/>
      </c>
      <c r="C4523" s="315"/>
      <c r="D4523" s="537"/>
      <c r="E4523" s="545"/>
      <c r="F4523" s="249"/>
      <c r="G4523" s="314"/>
      <c r="H4523" s="473"/>
      <c r="I4523" s="307"/>
      <c r="J4523" s="307"/>
      <c r="K4523" s="532"/>
      <c r="L4523" s="533"/>
      <c r="M4523" s="533"/>
      <c r="N4523" s="525" t="str">
        <f>IF(AND('331-CT'!$E$7=TH!H4523,OR(L4523="331",M4523="331")),"331",IF(AND(OR(L4523="131",M4523="131"),H4523='131-CT'!$E$7),"131",""))</f>
        <v/>
      </c>
      <c r="O4523" s="525" t="str">
        <f>IF(AND($B4523&gt;='111'!$N$11,$B4523&lt;='111'!$O$11,OR($L4523=$O$7,$M4523=$O$7)),"x","")</f>
        <v/>
      </c>
      <c r="P4523" s="525" t="str">
        <f>IF(AND($L4523=$O$7,$B4523&lt;'111'!$N$11),"x","")</f>
        <v/>
      </c>
      <c r="Q4523" s="525" t="str">
        <f>IF(AND($M4523=$O$7,$B4523&lt;'111'!$N$11),"x","")</f>
        <v/>
      </c>
      <c r="R4523" s="525" t="str">
        <f>IF(ISERROR(FIND('112'!$M$9,G4523,1)),"",IF((AND(FIND('112'!$M$9,G4523,1)&gt;=1,$B4523&gt;='112'!$N$8,$B4523&lt;='112'!$O$8,OR($L4523='112'!$I$6,$M4523='112'!$I$6))),"x",""))</f>
        <v/>
      </c>
      <c r="S4523" s="525" t="str">
        <f>IF(ISERROR(FIND('112'!$M$9,G4523,1)),"",IF((AND(LEFT(G4523,2)=LEFT('112'!$M$9,2),B4523&lt;'112'!$N$8,$L4523='112'!$I$6)),"x",""))</f>
        <v/>
      </c>
      <c r="T4523" s="525" t="str">
        <f>IF(ISERROR(FIND('112'!$M$9,G4523,1)),"",IF((AND(RIGHT(G4523,2)=RIGHT('112'!$M$9,2),B4523&lt;'112'!$N$8,$M4523='112'!$I$6)),"x",""))</f>
        <v/>
      </c>
      <c r="U4523" s="525" t="str">
        <f>IF(AND(B4523&gt;='IN-NX'!$P$3,B4523&lt;='IN-NX'!$Q$3,'IN-NX'!$D$7=D4523,OR(LEFT(L4523,2)="15",AND(LEFT(M4523,2)&lt;&gt;"15",LEFT(M4523,2)&lt;&gt;"33"))),"x","")</f>
        <v/>
      </c>
      <c r="V4523" s="525" t="str">
        <f>IF(AND(OR(LEFT(TH!L4523,2)="15",LEFT(TH!M4523,2)="15"),'152-CT'!$J$8=TH!F4523),"x","")</f>
        <v/>
      </c>
      <c r="W4523" s="525" t="str">
        <f>IF(AND(OR(LEFT(TH!L4523,2)="15",LEFT(TH!M4523,2)="15"),TK!$E$7=TH!F4523),"x","")</f>
        <v/>
      </c>
      <c r="X4523" s="525" t="str">
        <f>IF(AND('341-CT'!$E$9=H4523,OR(LEFT(L4523,3)=$X$7,LEFT(M4523,3)=$X$7)),"x","")</f>
        <v/>
      </c>
      <c r="Y4523" s="525" t="str">
        <f>IF(OR(TH!L4523=TH!$Y$7,M4523=TH!$Y$7),"x","")</f>
        <v/>
      </c>
      <c r="Z4523" s="525" t="str">
        <f>IF(AND(B4523&lt;=NKC!$N$8,B4523&gt;=NKC!$M$8),"x","")</f>
        <v/>
      </c>
      <c r="AA4523" s="535"/>
    </row>
    <row r="4524" spans="1:28" s="503" customFormat="1" ht="15.75" customHeight="1">
      <c r="A4524" s="517" t="str">
        <f>IF(B4524&lt;&gt;"",IF(AND(B4524&gt;=_TM1,B4524&lt;=_TM2,OR(TH!L4524="1111",TH!M4524="1111")),TH!D4524,""),"")</f>
        <v/>
      </c>
      <c r="B4524" s="531" t="str">
        <f t="shared" si="563"/>
        <v/>
      </c>
      <c r="C4524" s="315"/>
      <c r="D4524" s="537"/>
      <c r="E4524" s="545"/>
      <c r="F4524" s="249"/>
      <c r="G4524" s="314"/>
      <c r="H4524" s="473"/>
      <c r="I4524" s="307"/>
      <c r="J4524" s="307"/>
      <c r="K4524" s="532"/>
      <c r="L4524" s="533"/>
      <c r="M4524" s="533"/>
      <c r="N4524" s="525" t="str">
        <f>IF(AND('331-CT'!$E$7=TH!H4524,OR(L4524="331",M4524="331")),"331",IF(AND(OR(L4524="131",M4524="131"),H4524='131-CT'!$E$7),"131",""))</f>
        <v/>
      </c>
      <c r="O4524" s="525" t="str">
        <f>IF(AND($B4524&gt;='111'!$N$11,$B4524&lt;='111'!$O$11,OR($L4524=$O$7,$M4524=$O$7)),"x","")</f>
        <v/>
      </c>
      <c r="P4524" s="525" t="str">
        <f>IF(AND($L4524=$O$7,$B4524&lt;'111'!$N$11),"x","")</f>
        <v/>
      </c>
      <c r="Q4524" s="525" t="str">
        <f>IF(AND($M4524=$O$7,$B4524&lt;'111'!$N$11),"x","")</f>
        <v/>
      </c>
      <c r="R4524" s="525" t="str">
        <f>IF(ISERROR(FIND('112'!$M$9,G4524,1)),"",IF((AND(FIND('112'!$M$9,G4524,1)&gt;=1,$B4524&gt;='112'!$N$8,$B4524&lt;='112'!$O$8,OR($L4524='112'!$I$6,$M4524='112'!$I$6))),"x",""))</f>
        <v/>
      </c>
      <c r="S4524" s="525" t="str">
        <f>IF(ISERROR(FIND('112'!$M$9,G4524,1)),"",IF((AND(LEFT(G4524,2)=LEFT('112'!$M$9,2),B4524&lt;'112'!$N$8,$L4524='112'!$I$6)),"x",""))</f>
        <v/>
      </c>
      <c r="T4524" s="525" t="str">
        <f>IF(ISERROR(FIND('112'!$M$9,G4524,1)),"",IF((AND(RIGHT(G4524,2)=RIGHT('112'!$M$9,2),B4524&lt;'112'!$N$8,$M4524='112'!$I$6)),"x",""))</f>
        <v/>
      </c>
      <c r="U4524" s="525" t="str">
        <f>IF(AND(B4524&gt;='IN-NX'!$P$3,B4524&lt;='IN-NX'!$Q$3,'IN-NX'!$D$7=D4524,OR(LEFT(L4524,2)="15",AND(LEFT(M4524,2)&lt;&gt;"15",LEFT(M4524,2)&lt;&gt;"33"))),"x","")</f>
        <v/>
      </c>
      <c r="V4524" s="525" t="str">
        <f>IF(AND(OR(LEFT(TH!L4524,2)="15",LEFT(TH!M4524,2)="15"),'152-CT'!$J$8=TH!F4524),"x","")</f>
        <v/>
      </c>
      <c r="W4524" s="525" t="str">
        <f>IF(AND(OR(LEFT(TH!L4524,2)="15",LEFT(TH!M4524,2)="15"),TK!$E$7=TH!F4524),"x","")</f>
        <v/>
      </c>
      <c r="X4524" s="525" t="str">
        <f>IF(AND('341-CT'!$E$9=H4524,OR(LEFT(L4524,3)=$X$7,LEFT(M4524,3)=$X$7)),"x","")</f>
        <v/>
      </c>
      <c r="Y4524" s="525" t="str">
        <f>IF(OR(TH!L4524=TH!$Y$7,M4524=TH!$Y$7),"x","")</f>
        <v/>
      </c>
      <c r="Z4524" s="525" t="str">
        <f>IF(AND(B4524&lt;=NKC!$N$8,B4524&gt;=NKC!$M$8),"x","")</f>
        <v/>
      </c>
      <c r="AA4524" s="535"/>
    </row>
    <row r="4525" spans="1:28" s="503" customFormat="1" ht="15.75" customHeight="1">
      <c r="A4525" s="517" t="str">
        <f>IF(B4525&lt;&gt;"",IF(AND(B4525&gt;=_TM1,B4525&lt;=_TM2,OR(TH!L4525="1111",TH!M4525="1111")),TH!D4525,""),"")</f>
        <v/>
      </c>
      <c r="B4525" s="531" t="str">
        <f t="shared" si="563"/>
        <v/>
      </c>
      <c r="C4525" s="315"/>
      <c r="D4525" s="537"/>
      <c r="E4525" s="280"/>
      <c r="F4525" s="249"/>
      <c r="G4525" s="314"/>
      <c r="H4525" s="473"/>
      <c r="I4525" s="307"/>
      <c r="J4525" s="307"/>
      <c r="K4525" s="532"/>
      <c r="L4525" s="534"/>
      <c r="M4525" s="534"/>
      <c r="N4525" s="525" t="str">
        <f>IF(AND('331-CT'!$E$7=TH!H4525,OR(L4525="331",M4525="331")),"331",IF(AND(OR(L4525="131",M4525="131"),H4525='131-CT'!$E$7),"131",""))</f>
        <v/>
      </c>
      <c r="O4525" s="525" t="str">
        <f>IF(AND($B4525&gt;='111'!$N$11,$B4525&lt;='111'!$O$11,OR($L4525=$O$7,$M4525=$O$7)),"x","")</f>
        <v/>
      </c>
      <c r="P4525" s="525" t="str">
        <f>IF(AND($L4525=$O$7,$B4525&lt;'111'!$N$11),"x","")</f>
        <v/>
      </c>
      <c r="Q4525" s="525" t="str">
        <f>IF(AND($M4525=$O$7,$B4525&lt;'111'!$N$11),"x","")</f>
        <v/>
      </c>
      <c r="R4525" s="525" t="str">
        <f>IF(ISERROR(FIND('112'!$M$9,G4525,1)),"",IF((AND(FIND('112'!$M$9,G4525,1)&gt;=1,$B4525&gt;='112'!$N$8,$B4525&lt;='112'!$O$8,OR($L4525='112'!$I$6,$M4525='112'!$I$6))),"x",""))</f>
        <v/>
      </c>
      <c r="S4525" s="525" t="str">
        <f>IF(ISERROR(FIND('112'!$M$9,G4525,1)),"",IF((AND(LEFT(G4525,2)=LEFT('112'!$M$9,2),B4525&lt;'112'!$N$8,$L4525='112'!$I$6)),"x",""))</f>
        <v/>
      </c>
      <c r="T4525" s="525" t="str">
        <f>IF(ISERROR(FIND('112'!$M$9,G4525,1)),"",IF((AND(RIGHT(G4525,2)=RIGHT('112'!$M$9,2),B4525&lt;'112'!$N$8,$M4525='112'!$I$6)),"x",""))</f>
        <v/>
      </c>
      <c r="U4525" s="525" t="str">
        <f>IF(AND(B4525&gt;='IN-NX'!$P$3,B4525&lt;='IN-NX'!$Q$3,'IN-NX'!$D$7=D4525,OR(LEFT(L4525,2)="15",AND(LEFT(M4525,2)&lt;&gt;"15",LEFT(M4525,2)&lt;&gt;"33"))),"x","")</f>
        <v/>
      </c>
      <c r="V4525" s="525" t="str">
        <f>IF(AND(OR(LEFT(TH!L4525,2)="15",LEFT(TH!M4525,2)="15"),'152-CT'!$J$8=TH!F4525),"x","")</f>
        <v/>
      </c>
      <c r="W4525" s="525" t="str">
        <f>IF(AND(OR(LEFT(TH!L4525,2)="15",LEFT(TH!M4525,2)="15"),TK!$E$7=TH!F4525),"x","")</f>
        <v/>
      </c>
      <c r="X4525" s="525" t="str">
        <f>IF(AND('341-CT'!$E$9=H4525,OR(LEFT(L4525,3)=$X$7,LEFT(M4525,3)=$X$7)),"x","")</f>
        <v/>
      </c>
      <c r="Y4525" s="525" t="str">
        <f>IF(OR(TH!L4525=TH!$Y$7,M4525=TH!$Y$7),"x","")</f>
        <v/>
      </c>
      <c r="Z4525" s="525" t="str">
        <f>IF(AND(B4525&lt;=NKC!$N$8,B4525&gt;=NKC!$M$8),"x","")</f>
        <v/>
      </c>
      <c r="AA4525" s="535"/>
    </row>
    <row r="4526" spans="1:28" s="503" customFormat="1" ht="15.75" customHeight="1">
      <c r="A4526" s="517" t="str">
        <f>IF(B4526&lt;&gt;"",IF(AND(B4526&gt;=_TM1,B4526&lt;=_TM2,OR(TH!L4526="1111",TH!M4526="1111")),TH!D4526,""),"")</f>
        <v/>
      </c>
      <c r="B4526" s="531" t="str">
        <f t="shared" si="563"/>
        <v/>
      </c>
      <c r="C4526" s="315"/>
      <c r="D4526" s="537"/>
      <c r="E4526" s="545"/>
      <c r="F4526" s="247"/>
      <c r="G4526" s="314"/>
      <c r="H4526" s="473"/>
      <c r="I4526" s="307"/>
      <c r="J4526" s="307"/>
      <c r="K4526" s="532"/>
      <c r="L4526" s="533"/>
      <c r="M4526" s="533"/>
      <c r="N4526" s="525" t="str">
        <f>IF(AND('331-CT'!$E$7=TH!H4526,OR(L4526="331",M4526="331")),"331",IF(AND(OR(L4526="131",M4526="131"),H4526='131-CT'!$E$7),"131",""))</f>
        <v/>
      </c>
      <c r="O4526" s="525" t="str">
        <f>IF(AND($B4526&gt;='111'!$N$11,$B4526&lt;='111'!$O$11,OR($L4526=$O$7,$M4526=$O$7)),"x","")</f>
        <v/>
      </c>
      <c r="P4526" s="525" t="str">
        <f>IF(AND($L4526=$O$7,$B4526&lt;'111'!$N$11),"x","")</f>
        <v/>
      </c>
      <c r="Q4526" s="525" t="str">
        <f>IF(AND($M4526=$O$7,$B4526&lt;'111'!$N$11),"x","")</f>
        <v/>
      </c>
      <c r="R4526" s="525" t="str">
        <f>IF(ISERROR(FIND('112'!$M$9,G4526,1)),"",IF((AND(FIND('112'!$M$9,G4526,1)&gt;=1,$B4526&gt;='112'!$N$8,$B4526&lt;='112'!$O$8,OR($L4526='112'!$I$6,$M4526='112'!$I$6))),"x",""))</f>
        <v/>
      </c>
      <c r="S4526" s="525" t="str">
        <f>IF(ISERROR(FIND('112'!$M$9,G4526,1)),"",IF((AND(LEFT(G4526,2)=LEFT('112'!$M$9,2),B4526&lt;'112'!$N$8,$L4526='112'!$I$6)),"x",""))</f>
        <v/>
      </c>
      <c r="T4526" s="525" t="str">
        <f>IF(ISERROR(FIND('112'!$M$9,G4526,1)),"",IF((AND(RIGHT(G4526,2)=RIGHT('112'!$M$9,2),B4526&lt;'112'!$N$8,$M4526='112'!$I$6)),"x",""))</f>
        <v/>
      </c>
      <c r="U4526" s="525" t="str">
        <f>IF(AND(B4526&gt;='IN-NX'!$P$3,B4526&lt;='IN-NX'!$Q$3,'IN-NX'!$D$7=D4526,OR(LEFT(L4526,2)="15",AND(LEFT(M4526,2)&lt;&gt;"15",LEFT(M4526,2)&lt;&gt;"33"))),"x","")</f>
        <v/>
      </c>
      <c r="V4526" s="525" t="str">
        <f>IF(AND(OR(LEFT(TH!L4526,2)="15",LEFT(TH!M4526,2)="15"),'152-CT'!$J$8=TH!F4526),"x","")</f>
        <v/>
      </c>
      <c r="W4526" s="525" t="str">
        <f>IF(AND(OR(LEFT(TH!L4526,2)="15",LEFT(TH!M4526,2)="15"),TK!$E$7=TH!F4526),"x","")</f>
        <v/>
      </c>
      <c r="X4526" s="525" t="str">
        <f>IF(AND('341-CT'!$E$9=H4526,OR(LEFT(L4526,3)=$X$7,LEFT(M4526,3)=$X$7)),"x","")</f>
        <v/>
      </c>
      <c r="Y4526" s="525" t="str">
        <f>IF(OR(TH!L4526=TH!$Y$7,M4526=TH!$Y$7),"x","")</f>
        <v/>
      </c>
      <c r="Z4526" s="525" t="str">
        <f>IF(AND(B4526&lt;=NKC!$N$8,B4526&gt;=NKC!$M$8),"x","")</f>
        <v/>
      </c>
      <c r="AA4526" s="535"/>
    </row>
    <row r="4527" spans="1:28" s="503" customFormat="1" ht="15.75" customHeight="1">
      <c r="A4527" s="517" t="str">
        <f>IF(B4527&lt;&gt;"",IF(AND(B4527&gt;=_TM1,B4527&lt;=_TM2,OR(TH!L4527="1111",TH!M4527="1111")),TH!D4527,""),"")</f>
        <v/>
      </c>
      <c r="B4527" s="531" t="str">
        <f t="shared" si="563"/>
        <v/>
      </c>
      <c r="C4527" s="315"/>
      <c r="D4527" s="537"/>
      <c r="E4527" s="280"/>
      <c r="F4527" s="250"/>
      <c r="G4527" s="314"/>
      <c r="H4527" s="472"/>
      <c r="I4527" s="307"/>
      <c r="J4527" s="307"/>
      <c r="K4527" s="532"/>
      <c r="L4527" s="534"/>
      <c r="M4527" s="534"/>
      <c r="N4527" s="525" t="str">
        <f>IF(AND('331-CT'!$E$7=TH!H4527,OR(L4527="331",M4527="331")),"331",IF(AND(OR(L4527="131",M4527="131"),H4527='131-CT'!$E$7),"131",""))</f>
        <v/>
      </c>
      <c r="O4527" s="525" t="str">
        <f>IF(AND($B4527&gt;='111'!$N$11,$B4527&lt;='111'!$O$11,OR($L4527=$O$7,$M4527=$O$7)),"x","")</f>
        <v/>
      </c>
      <c r="P4527" s="525" t="str">
        <f>IF(AND($L4527=$O$7,$B4527&lt;'111'!$N$11),"x","")</f>
        <v/>
      </c>
      <c r="Q4527" s="525" t="str">
        <f>IF(AND($M4527=$O$7,$B4527&lt;'111'!$N$11),"x","")</f>
        <v/>
      </c>
      <c r="R4527" s="525" t="str">
        <f>IF(ISERROR(FIND('112'!$M$9,G4527,1)),"",IF((AND(FIND('112'!$M$9,G4527,1)&gt;=1,$B4527&gt;='112'!$N$8,$B4527&lt;='112'!$O$8,OR($L4527='112'!$I$6,$M4527='112'!$I$6))),"x",""))</f>
        <v/>
      </c>
      <c r="S4527" s="525" t="str">
        <f>IF(ISERROR(FIND('112'!$M$9,G4527,1)),"",IF((AND(LEFT(G4527,2)=LEFT('112'!$M$9,2),B4527&lt;'112'!$N$8,$L4527='112'!$I$6)),"x",""))</f>
        <v/>
      </c>
      <c r="T4527" s="525" t="str">
        <f>IF(ISERROR(FIND('112'!$M$9,G4527,1)),"",IF((AND(RIGHT(G4527,2)=RIGHT('112'!$M$9,2),B4527&lt;'112'!$N$8,$M4527='112'!$I$6)),"x",""))</f>
        <v/>
      </c>
      <c r="U4527" s="525" t="str">
        <f>IF(AND(B4527&gt;='IN-NX'!$P$3,B4527&lt;='IN-NX'!$Q$3,'IN-NX'!$D$7=D4527,OR(LEFT(L4527,2)="15",AND(LEFT(M4527,2)&lt;&gt;"15",LEFT(M4527,2)&lt;&gt;"33"))),"x","")</f>
        <v/>
      </c>
      <c r="V4527" s="525" t="str">
        <f>IF(AND(OR(LEFT(TH!L4527,2)="15",LEFT(TH!M4527,2)="15"),'152-CT'!$J$8=TH!F4527),"x","")</f>
        <v/>
      </c>
      <c r="W4527" s="525" t="str">
        <f>IF(AND(OR(LEFT(TH!L4527,2)="15",LEFT(TH!M4527,2)="15"),TK!$E$7=TH!F4527),"x","")</f>
        <v/>
      </c>
      <c r="X4527" s="525" t="str">
        <f>IF(AND('341-CT'!$E$9=H4527,OR(LEFT(L4527,3)=$X$7,LEFT(M4527,3)=$X$7)),"x","")</f>
        <v/>
      </c>
      <c r="Y4527" s="525" t="str">
        <f>IF(OR(TH!L4527=TH!$Y$7,M4527=TH!$Y$7),"x","")</f>
        <v/>
      </c>
      <c r="Z4527" s="525" t="str">
        <f>IF(AND(B4527&lt;=NKC!$N$8,B4527&gt;=NKC!$M$8),"x","")</f>
        <v/>
      </c>
      <c r="AA4527" s="535"/>
    </row>
    <row r="4528" spans="1:28" s="503" customFormat="1" ht="15.75" customHeight="1">
      <c r="A4528" s="517" t="str">
        <f>IF(B4528&lt;&gt;"",IF(AND(B4528&gt;=_TM1,B4528&lt;=_TM2,OR(TH!L4528="1111",TH!M4528="1111")),TH!D4528,""),"")</f>
        <v/>
      </c>
      <c r="B4528" s="531" t="str">
        <f t="shared" si="563"/>
        <v/>
      </c>
      <c r="C4528" s="315"/>
      <c r="D4528" s="537"/>
      <c r="E4528" s="280"/>
      <c r="F4528" s="250"/>
      <c r="G4528" s="314"/>
      <c r="H4528" s="472"/>
      <c r="I4528" s="307"/>
      <c r="J4528" s="307"/>
      <c r="K4528" s="532"/>
      <c r="L4528" s="534"/>
      <c r="M4528" s="534"/>
      <c r="N4528" s="525" t="str">
        <f>IF(AND('331-CT'!$E$7=TH!H4528,OR(L4528="331",M4528="331")),"331",IF(AND(OR(L4528="131",M4528="131"),H4528='131-CT'!$E$7),"131",""))</f>
        <v/>
      </c>
      <c r="O4528" s="525" t="str">
        <f>IF(AND($B4528&gt;='111'!$N$11,$B4528&lt;='111'!$O$11,OR($L4528=$O$7,$M4528=$O$7)),"x","")</f>
        <v/>
      </c>
      <c r="P4528" s="525" t="str">
        <f>IF(AND($L4528=$O$7,$B4528&lt;'111'!$N$11),"x","")</f>
        <v/>
      </c>
      <c r="Q4528" s="525" t="str">
        <f>IF(AND($M4528=$O$7,$B4528&lt;'111'!$N$11),"x","")</f>
        <v/>
      </c>
      <c r="R4528" s="525" t="str">
        <f>IF(ISERROR(FIND('112'!$M$9,G4528,1)),"",IF((AND(FIND('112'!$M$9,G4528,1)&gt;=1,$B4528&gt;='112'!$N$8,$B4528&lt;='112'!$O$8,OR($L4528='112'!$I$6,$M4528='112'!$I$6))),"x",""))</f>
        <v/>
      </c>
      <c r="S4528" s="525" t="str">
        <f>IF(ISERROR(FIND('112'!$M$9,G4528,1)),"",IF((AND(LEFT(G4528,2)=LEFT('112'!$M$9,2),B4528&lt;'112'!$N$8,$L4528='112'!$I$6)),"x",""))</f>
        <v/>
      </c>
      <c r="T4528" s="525" t="str">
        <f>IF(ISERROR(FIND('112'!$M$9,G4528,1)),"",IF((AND(RIGHT(G4528,2)=RIGHT('112'!$M$9,2),B4528&lt;'112'!$N$8,$M4528='112'!$I$6)),"x",""))</f>
        <v/>
      </c>
      <c r="U4528" s="525" t="str">
        <f>IF(AND(B4528&gt;='IN-NX'!$P$3,B4528&lt;='IN-NX'!$Q$3,'IN-NX'!$D$7=D4528,OR(LEFT(L4528,2)="15",AND(LEFT(M4528,2)&lt;&gt;"15",LEFT(M4528,2)&lt;&gt;"33"))),"x","")</f>
        <v/>
      </c>
      <c r="V4528" s="525" t="str">
        <f>IF(AND(OR(LEFT(TH!L4528,2)="15",LEFT(TH!M4528,2)="15"),'152-CT'!$J$8=TH!F4528),"x","")</f>
        <v/>
      </c>
      <c r="W4528" s="525" t="str">
        <f>IF(AND(OR(LEFT(TH!L4528,2)="15",LEFT(TH!M4528,2)="15"),TK!$E$7=TH!F4528),"x","")</f>
        <v/>
      </c>
      <c r="X4528" s="525" t="str">
        <f>IF(AND('341-CT'!$E$9=H4528,OR(LEFT(L4528,3)=$X$7,LEFT(M4528,3)=$X$7)),"x","")</f>
        <v/>
      </c>
      <c r="Y4528" s="525" t="str">
        <f>IF(OR(TH!L4528=TH!$Y$7,M4528=TH!$Y$7),"x","")</f>
        <v/>
      </c>
      <c r="Z4528" s="525" t="str">
        <f>IF(AND(B4528&lt;=NKC!$N$8,B4528&gt;=NKC!$M$8),"x","")</f>
        <v/>
      </c>
      <c r="AA4528" s="535"/>
    </row>
    <row r="4529" spans="1:30" s="503" customFormat="1" ht="15.75" customHeight="1">
      <c r="A4529" s="517" t="str">
        <f>IF(B4529&lt;&gt;"",IF(AND(B4529&gt;=_TM1,B4529&lt;=_TM2,OR(TH!L4529="1111",TH!M4529="1111")),TH!D4529,""),"")</f>
        <v/>
      </c>
      <c r="B4529" s="531" t="str">
        <f t="shared" si="563"/>
        <v/>
      </c>
      <c r="C4529" s="315"/>
      <c r="D4529" s="537"/>
      <c r="E4529" s="545"/>
      <c r="F4529" s="249"/>
      <c r="G4529" s="314"/>
      <c r="H4529" s="473"/>
      <c r="I4529" s="307"/>
      <c r="J4529" s="307"/>
      <c r="K4529" s="532"/>
      <c r="L4529" s="533"/>
      <c r="M4529" s="533"/>
      <c r="N4529" s="525" t="str">
        <f>IF(AND('331-CT'!$E$7=TH!H4529,OR(L4529="331",M4529="331")),"331",IF(AND(OR(L4529="131",M4529="131"),H4529='131-CT'!$E$7),"131",""))</f>
        <v/>
      </c>
      <c r="O4529" s="525" t="str">
        <f>IF(AND($B4529&gt;='111'!$N$11,$B4529&lt;='111'!$O$11,OR($L4529=$O$7,$M4529=$O$7)),"x","")</f>
        <v/>
      </c>
      <c r="P4529" s="525" t="str">
        <f>IF(AND($L4529=$O$7,$B4529&lt;'111'!$N$11),"x","")</f>
        <v/>
      </c>
      <c r="Q4529" s="525" t="str">
        <f>IF(AND($M4529=$O$7,$B4529&lt;'111'!$N$11),"x","")</f>
        <v/>
      </c>
      <c r="R4529" s="525" t="str">
        <f>IF(ISERROR(FIND('112'!$M$9,G4529,1)),"",IF((AND(FIND('112'!$M$9,G4529,1)&gt;=1,$B4529&gt;='112'!$N$8,$B4529&lt;='112'!$O$8,OR($L4529='112'!$I$6,$M4529='112'!$I$6))),"x",""))</f>
        <v/>
      </c>
      <c r="S4529" s="525" t="str">
        <f>IF(ISERROR(FIND('112'!$M$9,G4529,1)),"",IF((AND(LEFT(G4529,2)=LEFT('112'!$M$9,2),B4529&lt;'112'!$N$8,$L4529='112'!$I$6)),"x",""))</f>
        <v/>
      </c>
      <c r="T4529" s="525" t="str">
        <f>IF(ISERROR(FIND('112'!$M$9,G4529,1)),"",IF((AND(RIGHT(G4529,2)=RIGHT('112'!$M$9,2),B4529&lt;'112'!$N$8,$M4529='112'!$I$6)),"x",""))</f>
        <v/>
      </c>
      <c r="U4529" s="525" t="str">
        <f>IF(AND(B4529&gt;='IN-NX'!$P$3,B4529&lt;='IN-NX'!$Q$3,'IN-NX'!$D$7=D4529,OR(LEFT(L4529,2)="15",AND(LEFT(M4529,2)&lt;&gt;"15",LEFT(M4529,2)&lt;&gt;"33"))),"x","")</f>
        <v/>
      </c>
      <c r="V4529" s="525" t="str">
        <f>IF(AND(OR(LEFT(TH!L4529,2)="15",LEFT(TH!M4529,2)="15"),'152-CT'!$J$8=TH!F4529),"x","")</f>
        <v/>
      </c>
      <c r="W4529" s="525" t="str">
        <f>IF(AND(OR(LEFT(TH!L4529,2)="15",LEFT(TH!M4529,2)="15"),TK!$E$7=TH!F4529),"x","")</f>
        <v/>
      </c>
      <c r="X4529" s="525" t="str">
        <f>IF(AND('341-CT'!$E$9=H4529,OR(LEFT(L4529,3)=$X$7,LEFT(M4529,3)=$X$7)),"x","")</f>
        <v/>
      </c>
      <c r="Y4529" s="525" t="str">
        <f>IF(OR(TH!L4529=TH!$Y$7,M4529=TH!$Y$7),"x","")</f>
        <v/>
      </c>
      <c r="Z4529" s="525" t="str">
        <f>IF(AND(B4529&lt;=NKC!$N$8,B4529&gt;=NKC!$M$8),"x","")</f>
        <v/>
      </c>
      <c r="AA4529" s="535"/>
    </row>
    <row r="4530" spans="1:30" s="503" customFormat="1" ht="15.75" customHeight="1">
      <c r="A4530" s="517" t="str">
        <f>IF(B4530&lt;&gt;"",IF(AND(B4530&gt;=_TM1,B4530&lt;=_TM2,OR(TH!L4530="1111",TH!M4530="1111")),TH!D4530,""),"")</f>
        <v/>
      </c>
      <c r="B4530" s="531" t="str">
        <f t="shared" si="563"/>
        <v/>
      </c>
      <c r="C4530" s="315"/>
      <c r="D4530" s="537"/>
      <c r="E4530" s="545"/>
      <c r="F4530" s="249"/>
      <c r="G4530" s="314"/>
      <c r="H4530" s="473"/>
      <c r="I4530" s="307"/>
      <c r="J4530" s="307"/>
      <c r="K4530" s="532"/>
      <c r="L4530" s="533"/>
      <c r="M4530" s="533"/>
      <c r="N4530" s="525" t="str">
        <f>IF(AND('331-CT'!$E$7=TH!H4530,OR(L4530="331",M4530="331")),"331",IF(AND(OR(L4530="131",M4530="131"),H4530='131-CT'!$E$7),"131",""))</f>
        <v/>
      </c>
      <c r="O4530" s="525" t="str">
        <f>IF(AND($B4530&gt;='111'!$N$11,$B4530&lt;='111'!$O$11,OR($L4530=$O$7,$M4530=$O$7)),"x","")</f>
        <v/>
      </c>
      <c r="P4530" s="525" t="str">
        <f>IF(AND($L4530=$O$7,$B4530&lt;'111'!$N$11),"x","")</f>
        <v/>
      </c>
      <c r="Q4530" s="525" t="str">
        <f>IF(AND($M4530=$O$7,$B4530&lt;'111'!$N$11),"x","")</f>
        <v/>
      </c>
      <c r="R4530" s="525" t="str">
        <f>IF(ISERROR(FIND('112'!$M$9,G4530,1)),"",IF((AND(FIND('112'!$M$9,G4530,1)&gt;=1,$B4530&gt;='112'!$N$8,$B4530&lt;='112'!$O$8,OR($L4530='112'!$I$6,$M4530='112'!$I$6))),"x",""))</f>
        <v/>
      </c>
      <c r="S4530" s="525" t="str">
        <f>IF(ISERROR(FIND('112'!$M$9,G4530,1)),"",IF((AND(LEFT(G4530,2)=LEFT('112'!$M$9,2),B4530&lt;'112'!$N$8,$L4530='112'!$I$6)),"x",""))</f>
        <v/>
      </c>
      <c r="T4530" s="525" t="str">
        <f>IF(ISERROR(FIND('112'!$M$9,G4530,1)),"",IF((AND(RIGHT(G4530,2)=RIGHT('112'!$M$9,2),B4530&lt;'112'!$N$8,$M4530='112'!$I$6)),"x",""))</f>
        <v/>
      </c>
      <c r="U4530" s="525" t="str">
        <f>IF(AND(B4530&gt;='IN-NX'!$P$3,B4530&lt;='IN-NX'!$Q$3,'IN-NX'!$D$7=D4530,OR(LEFT(L4530,2)="15",AND(LEFT(M4530,2)&lt;&gt;"15",LEFT(M4530,2)&lt;&gt;"33"))),"x","")</f>
        <v/>
      </c>
      <c r="V4530" s="525" t="str">
        <f>IF(AND(OR(LEFT(TH!L4530,2)="15",LEFT(TH!M4530,2)="15"),'152-CT'!$J$8=TH!F4530),"x","")</f>
        <v/>
      </c>
      <c r="W4530" s="525" t="str">
        <f>IF(AND(OR(LEFT(TH!L4530,2)="15",LEFT(TH!M4530,2)="15"),TK!$E$7=TH!F4530),"x","")</f>
        <v/>
      </c>
      <c r="X4530" s="525" t="str">
        <f>IF(AND('341-CT'!$E$9=H4530,OR(LEFT(L4530,3)=$X$7,LEFT(M4530,3)=$X$7)),"x","")</f>
        <v/>
      </c>
      <c r="Y4530" s="525" t="str">
        <f>IF(OR(TH!L4530=TH!$Y$7,M4530=TH!$Y$7),"x","")</f>
        <v/>
      </c>
      <c r="Z4530" s="525" t="str">
        <f>IF(AND(B4530&lt;=NKC!$N$8,B4530&gt;=NKC!$M$8),"x","")</f>
        <v/>
      </c>
      <c r="AA4530" s="535"/>
    </row>
    <row r="4531" spans="1:30" s="503" customFormat="1" ht="15.75" customHeight="1">
      <c r="A4531" s="517" t="str">
        <f>IF(B4531&lt;&gt;"",IF(AND(B4531&gt;=_TM1,B4531&lt;=_TM2,OR(TH!L4531="1111",TH!M4531="1111")),TH!D4531,""),"")</f>
        <v/>
      </c>
      <c r="B4531" s="531" t="str">
        <f t="shared" si="563"/>
        <v/>
      </c>
      <c r="C4531" s="315"/>
      <c r="D4531" s="537"/>
      <c r="E4531" s="280"/>
      <c r="F4531" s="247"/>
      <c r="G4531" s="538"/>
      <c r="H4531" s="473"/>
      <c r="I4531" s="307"/>
      <c r="J4531" s="307"/>
      <c r="K4531" s="532"/>
      <c r="L4531" s="539"/>
      <c r="M4531" s="539"/>
      <c r="N4531" s="525" t="str">
        <f>IF(AND('331-CT'!$E$7=TH!H4531,OR(L4531="331",M4531="331")),"331",IF(AND(OR(L4531="131",M4531="131"),H4531='131-CT'!$E$7),"131",""))</f>
        <v/>
      </c>
      <c r="O4531" s="525" t="str">
        <f>IF(AND($B4531&gt;='111'!$N$11,$B4531&lt;='111'!$O$11,OR($L4531=$O$7,$M4531=$O$7)),"x","")</f>
        <v/>
      </c>
      <c r="P4531" s="525" t="str">
        <f>IF(AND($L4531=$O$7,$B4531&lt;'111'!$N$11),"x","")</f>
        <v/>
      </c>
      <c r="Q4531" s="525" t="str">
        <f>IF(AND($M4531=$O$7,$B4531&lt;'111'!$N$11),"x","")</f>
        <v/>
      </c>
      <c r="R4531" s="525" t="str">
        <f>IF(ISERROR(FIND('112'!$M$9,G4531,1)),"",IF((AND(FIND('112'!$M$9,G4531,1)&gt;=1,$B4531&gt;='112'!$N$8,$B4531&lt;='112'!$O$8,OR($L4531='112'!$I$6,$M4531='112'!$I$6))),"x",""))</f>
        <v/>
      </c>
      <c r="S4531" s="525" t="str">
        <f>IF(ISERROR(FIND('112'!$M$9,G4531,1)),"",IF((AND(LEFT(G4531,2)=LEFT('112'!$M$9,2),B4531&lt;'112'!$N$8,$L4531='112'!$I$6)),"x",""))</f>
        <v/>
      </c>
      <c r="T4531" s="525" t="str">
        <f>IF(ISERROR(FIND('112'!$M$9,G4531,1)),"",IF((AND(RIGHT(G4531,2)=RIGHT('112'!$M$9,2),B4531&lt;'112'!$N$8,$M4531='112'!$I$6)),"x",""))</f>
        <v/>
      </c>
      <c r="U4531" s="525" t="str">
        <f>IF(AND(B4531&gt;='IN-NX'!$P$3,B4531&lt;='IN-NX'!$Q$3,'IN-NX'!$D$7=D4531,OR(LEFT(L4531,2)="15",AND(LEFT(M4531,2)&lt;&gt;"15",LEFT(M4531,2)&lt;&gt;"33"))),"x","")</f>
        <v/>
      </c>
      <c r="V4531" s="525" t="str">
        <f>IF(AND(OR(LEFT(TH!L4531,2)="15",LEFT(TH!M4531,2)="15"),'152-CT'!$J$8=TH!F4531),"x","")</f>
        <v/>
      </c>
      <c r="W4531" s="525" t="str">
        <f>IF(AND(OR(LEFT(TH!L4531,2)="15",LEFT(TH!M4531,2)="15"),TK!$E$7=TH!F4531),"x","")</f>
        <v/>
      </c>
      <c r="X4531" s="525" t="str">
        <f>IF(AND('341-CT'!$E$9=H4531,OR(LEFT(L4531,3)=$X$7,LEFT(M4531,3)=$X$7)),"x","")</f>
        <v/>
      </c>
      <c r="Y4531" s="525" t="str">
        <f>IF(OR(TH!L4531=TH!$Y$7,M4531=TH!$Y$7),"x","")</f>
        <v/>
      </c>
      <c r="Z4531" s="525" t="str">
        <f>IF(AND(B4531&lt;=NKC!$N$8,B4531&gt;=NKC!$M$8),"x","")</f>
        <v/>
      </c>
      <c r="AA4531" s="535"/>
      <c r="AB4531" s="536"/>
    </row>
    <row r="4532" spans="1:30" s="503" customFormat="1" ht="15.75" customHeight="1">
      <c r="A4532" s="517" t="str">
        <f>IF(B4532&lt;&gt;"",IF(AND(B4532&gt;=_TM1,B4532&lt;=_TM2,OR(TH!L4532="1111",TH!M4532="1111")),TH!D4532,""),"")</f>
        <v/>
      </c>
      <c r="B4532" s="531" t="str">
        <f t="shared" si="563"/>
        <v/>
      </c>
      <c r="C4532" s="315"/>
      <c r="D4532" s="537"/>
      <c r="E4532" s="280"/>
      <c r="F4532" s="247"/>
      <c r="G4532" s="538"/>
      <c r="H4532" s="473"/>
      <c r="I4532" s="307"/>
      <c r="J4532" s="307"/>
      <c r="K4532" s="532"/>
      <c r="L4532" s="539"/>
      <c r="M4532" s="539"/>
      <c r="N4532" s="525" t="str">
        <f>IF(AND('331-CT'!$E$7=TH!H4532,OR(L4532="331",M4532="331")),"331",IF(AND(OR(L4532="131",M4532="131"),H4532='131-CT'!$E$7),"131",""))</f>
        <v/>
      </c>
      <c r="O4532" s="525" t="str">
        <f>IF(AND($B4532&gt;='111'!$N$11,$B4532&lt;='111'!$O$11,OR($L4532=$O$7,$M4532=$O$7)),"x","")</f>
        <v/>
      </c>
      <c r="P4532" s="525" t="str">
        <f>IF(AND($L4532=$O$7,$B4532&lt;'111'!$N$11),"x","")</f>
        <v/>
      </c>
      <c r="Q4532" s="525" t="str">
        <f>IF(AND($M4532=$O$7,$B4532&lt;'111'!$N$11),"x","")</f>
        <v/>
      </c>
      <c r="R4532" s="525" t="str">
        <f>IF(ISERROR(FIND('112'!$M$9,G4532,1)),"",IF((AND(FIND('112'!$M$9,G4532,1)&gt;=1,$B4532&gt;='112'!$N$8,$B4532&lt;='112'!$O$8,OR($L4532='112'!$I$6,$M4532='112'!$I$6))),"x",""))</f>
        <v/>
      </c>
      <c r="S4532" s="525" t="str">
        <f>IF(ISERROR(FIND('112'!$M$9,G4532,1)),"",IF((AND(LEFT(G4532,2)=LEFT('112'!$M$9,2),B4532&lt;'112'!$N$8,$L4532='112'!$I$6)),"x",""))</f>
        <v/>
      </c>
      <c r="T4532" s="525" t="str">
        <f>IF(ISERROR(FIND('112'!$M$9,G4532,1)),"",IF((AND(RIGHT(G4532,2)=RIGHT('112'!$M$9,2),B4532&lt;'112'!$N$8,$M4532='112'!$I$6)),"x",""))</f>
        <v/>
      </c>
      <c r="U4532" s="525" t="str">
        <f>IF(AND(B4532&gt;='IN-NX'!$P$3,B4532&lt;='IN-NX'!$Q$3,'IN-NX'!$D$7=D4532,OR(LEFT(L4532,2)="15",AND(LEFT(M4532,2)&lt;&gt;"15",LEFT(M4532,2)&lt;&gt;"33"))),"x","")</f>
        <v/>
      </c>
      <c r="V4532" s="525" t="str">
        <f>IF(AND(OR(LEFT(TH!L4532,2)="15",LEFT(TH!M4532,2)="15"),'152-CT'!$J$8=TH!F4532),"x","")</f>
        <v/>
      </c>
      <c r="W4532" s="525" t="str">
        <f>IF(AND(OR(LEFT(TH!L4532,2)="15",LEFT(TH!M4532,2)="15"),TK!$E$7=TH!F4532),"x","")</f>
        <v/>
      </c>
      <c r="X4532" s="525" t="str">
        <f>IF(AND('341-CT'!$E$9=H4532,OR(LEFT(L4532,3)=$X$7,LEFT(M4532,3)=$X$7)),"x","")</f>
        <v/>
      </c>
      <c r="Y4532" s="525" t="str">
        <f>IF(OR(TH!L4532=TH!$Y$7,M4532=TH!$Y$7),"x","")</f>
        <v/>
      </c>
      <c r="Z4532" s="525" t="str">
        <f>IF(AND(B4532&lt;=NKC!$N$8,B4532&gt;=NKC!$M$8),"x","")</f>
        <v/>
      </c>
      <c r="AA4532" s="535"/>
      <c r="AB4532" s="536"/>
    </row>
    <row r="4533" spans="1:30" s="503" customFormat="1" ht="15.75" customHeight="1">
      <c r="A4533" s="517" t="str">
        <f>IF(B4533&lt;&gt;"",IF(AND(B4533&gt;=_TM1,B4533&lt;=_TM2,OR(TH!L4533="1111",TH!M4533="1111")),TH!D4533,""),"")</f>
        <v/>
      </c>
      <c r="B4533" s="531" t="str">
        <f t="shared" si="563"/>
        <v/>
      </c>
      <c r="C4533" s="315"/>
      <c r="D4533" s="537"/>
      <c r="E4533" s="280"/>
      <c r="F4533" s="247"/>
      <c r="G4533" s="538"/>
      <c r="H4533" s="473"/>
      <c r="I4533" s="307"/>
      <c r="J4533" s="307"/>
      <c r="K4533" s="532"/>
      <c r="L4533" s="534"/>
      <c r="M4533" s="539"/>
      <c r="N4533" s="525" t="str">
        <f>IF(AND('331-CT'!$E$7=TH!H4533,OR(L4533="331",M4533="331")),"331",IF(AND(OR(L4533="131",M4533="131"),H4533='131-CT'!$E$7),"131",""))</f>
        <v/>
      </c>
      <c r="O4533" s="525" t="str">
        <f>IF(AND($B4533&gt;='111'!$N$11,$B4533&lt;='111'!$O$11,OR($L4533=$O$7,$M4533=$O$7)),"x","")</f>
        <v/>
      </c>
      <c r="P4533" s="525" t="str">
        <f>IF(AND($L4533=$O$7,$B4533&lt;'111'!$N$11),"x","")</f>
        <v/>
      </c>
      <c r="Q4533" s="525" t="str">
        <f>IF(AND($M4533=$O$7,$B4533&lt;'111'!$N$11),"x","")</f>
        <v/>
      </c>
      <c r="R4533" s="525" t="str">
        <f>IF(ISERROR(FIND('112'!$M$9,G4533,1)),"",IF((AND(FIND('112'!$M$9,G4533,1)&gt;=1,$B4533&gt;='112'!$N$8,$B4533&lt;='112'!$O$8,OR($L4533='112'!$I$6,$M4533='112'!$I$6))),"x",""))</f>
        <v/>
      </c>
      <c r="S4533" s="525" t="str">
        <f>IF(ISERROR(FIND('112'!$M$9,G4533,1)),"",IF((AND(LEFT(G4533,2)=LEFT('112'!$M$9,2),B4533&lt;'112'!$N$8,$L4533='112'!$I$6)),"x",""))</f>
        <v/>
      </c>
      <c r="T4533" s="525" t="str">
        <f>IF(ISERROR(FIND('112'!$M$9,G4533,1)),"",IF((AND(RIGHT(G4533,2)=RIGHT('112'!$M$9,2),B4533&lt;'112'!$N$8,$M4533='112'!$I$6)),"x",""))</f>
        <v/>
      </c>
      <c r="U4533" s="525" t="str">
        <f>IF(AND(B4533&gt;='IN-NX'!$P$3,B4533&lt;='IN-NX'!$Q$3,'IN-NX'!$D$7=D4533,OR(LEFT(L4533,2)="15",AND(LEFT(M4533,2)&lt;&gt;"15",LEFT(M4533,2)&lt;&gt;"33"))),"x","")</f>
        <v/>
      </c>
      <c r="V4533" s="525" t="str">
        <f>IF(AND(OR(LEFT(TH!L4533,2)="15",LEFT(TH!M4533,2)="15"),'152-CT'!$J$8=TH!F4533),"x","")</f>
        <v/>
      </c>
      <c r="W4533" s="525" t="str">
        <f>IF(AND(OR(LEFT(TH!L4533,2)="15",LEFT(TH!M4533,2)="15"),TK!$E$7=TH!F4533),"x","")</f>
        <v/>
      </c>
      <c r="X4533" s="525" t="str">
        <f>IF(AND('341-CT'!$E$9=H4533,OR(LEFT(L4533,3)=$X$7,LEFT(M4533,3)=$X$7)),"x","")</f>
        <v/>
      </c>
      <c r="Y4533" s="525" t="str">
        <f>IF(OR(TH!L4533=TH!$Y$7,M4533=TH!$Y$7),"x","")</f>
        <v/>
      </c>
      <c r="Z4533" s="525" t="str">
        <f>IF(AND(B4533&lt;=NKC!$N$8,B4533&gt;=NKC!$M$8),"x","")</f>
        <v/>
      </c>
      <c r="AA4533" s="535"/>
    </row>
    <row r="4534" spans="1:30" s="503" customFormat="1" ht="15.75" customHeight="1">
      <c r="A4534" s="517" t="str">
        <f>IF(B4534&lt;&gt;"",IF(AND(B4534&gt;=_TM1,B4534&lt;=_TM2,OR(TH!L4534="1111",TH!M4534="1111")),TH!D4534,""),"")</f>
        <v/>
      </c>
      <c r="B4534" s="531" t="str">
        <f t="shared" si="563"/>
        <v/>
      </c>
      <c r="C4534" s="315"/>
      <c r="D4534" s="537"/>
      <c r="E4534" s="545"/>
      <c r="F4534" s="249"/>
      <c r="G4534" s="314"/>
      <c r="H4534" s="473"/>
      <c r="I4534" s="307"/>
      <c r="J4534" s="307"/>
      <c r="K4534" s="532"/>
      <c r="L4534" s="533"/>
      <c r="M4534" s="533"/>
      <c r="N4534" s="525" t="str">
        <f>IF(AND('331-CT'!$E$7=TH!H4534,OR(L4534="331",M4534="331")),"331",IF(AND(OR(L4534="131",M4534="131"),H4534='131-CT'!$E$7),"131",""))</f>
        <v/>
      </c>
      <c r="O4534" s="525" t="str">
        <f>IF(AND($B4534&gt;='111'!$N$11,$B4534&lt;='111'!$O$11,OR($L4534=$O$7,$M4534=$O$7)),"x","")</f>
        <v/>
      </c>
      <c r="P4534" s="525" t="str">
        <f>IF(AND($L4534=$O$7,$B4534&lt;'111'!$N$11),"x","")</f>
        <v/>
      </c>
      <c r="Q4534" s="525" t="str">
        <f>IF(AND($M4534=$O$7,$B4534&lt;'111'!$N$11),"x","")</f>
        <v/>
      </c>
      <c r="R4534" s="525" t="str">
        <f>IF(ISERROR(FIND('112'!$M$9,G4534,1)),"",IF((AND(FIND('112'!$M$9,G4534,1)&gt;=1,$B4534&gt;='112'!$N$8,$B4534&lt;='112'!$O$8,OR($L4534='112'!$I$6,$M4534='112'!$I$6))),"x",""))</f>
        <v/>
      </c>
      <c r="S4534" s="525" t="str">
        <f>IF(ISERROR(FIND('112'!$M$9,G4534,1)),"",IF((AND(LEFT(G4534,2)=LEFT('112'!$M$9,2),B4534&lt;'112'!$N$8,$L4534='112'!$I$6)),"x",""))</f>
        <v/>
      </c>
      <c r="T4534" s="525" t="str">
        <f>IF(ISERROR(FIND('112'!$M$9,G4534,1)),"",IF((AND(RIGHT(G4534,2)=RIGHT('112'!$M$9,2),B4534&lt;'112'!$N$8,$M4534='112'!$I$6)),"x",""))</f>
        <v/>
      </c>
      <c r="U4534" s="525" t="str">
        <f>IF(AND(B4534&gt;='IN-NX'!$P$3,B4534&lt;='IN-NX'!$Q$3,'IN-NX'!$D$7=D4534,OR(LEFT(L4534,2)="15",AND(LEFT(M4534,2)&lt;&gt;"15",LEFT(M4534,2)&lt;&gt;"33"))),"x","")</f>
        <v/>
      </c>
      <c r="V4534" s="525" t="str">
        <f>IF(AND(OR(LEFT(TH!L4534,2)="15",LEFT(TH!M4534,2)="15"),'152-CT'!$J$8=TH!F4534),"x","")</f>
        <v/>
      </c>
      <c r="W4534" s="525" t="str">
        <f>IF(AND(OR(LEFT(TH!L4534,2)="15",LEFT(TH!M4534,2)="15"),TK!$E$7=TH!F4534),"x","")</f>
        <v/>
      </c>
      <c r="X4534" s="525" t="str">
        <f>IF(AND('341-CT'!$E$9=H4534,OR(LEFT(L4534,3)=$X$7,LEFT(M4534,3)=$X$7)),"x","")</f>
        <v/>
      </c>
      <c r="Y4534" s="525" t="str">
        <f>IF(OR(TH!L4534=TH!$Y$7,M4534=TH!$Y$7),"x","")</f>
        <v/>
      </c>
      <c r="Z4534" s="525" t="str">
        <f>IF(AND(B4534&lt;=NKC!$N$8,B4534&gt;=NKC!$M$8),"x","")</f>
        <v/>
      </c>
      <c r="AA4534" s="535"/>
    </row>
    <row r="4535" spans="1:30" s="503" customFormat="1" ht="15.75" customHeight="1">
      <c r="A4535" s="517" t="str">
        <f>IF(B4535&lt;&gt;"",IF(AND(B4535&gt;=_TM1,B4535&lt;=_TM2,OR(TH!L4535="1111",TH!M4535="1111")),TH!D4535,""),"")</f>
        <v/>
      </c>
      <c r="B4535" s="531" t="str">
        <f t="shared" si="563"/>
        <v/>
      </c>
      <c r="C4535" s="315"/>
      <c r="D4535" s="537"/>
      <c r="E4535" s="545"/>
      <c r="F4535" s="249"/>
      <c r="G4535" s="314"/>
      <c r="H4535" s="473"/>
      <c r="I4535" s="307"/>
      <c r="J4535" s="307"/>
      <c r="K4535" s="532"/>
      <c r="L4535" s="533"/>
      <c r="M4535" s="533"/>
      <c r="N4535" s="525" t="str">
        <f>IF(AND('331-CT'!$E$7=TH!H4535,OR(L4535="331",M4535="331")),"331",IF(AND(OR(L4535="131",M4535="131"),H4535='131-CT'!$E$7),"131",""))</f>
        <v/>
      </c>
      <c r="O4535" s="525" t="str">
        <f>IF(AND($B4535&gt;='111'!$N$11,$B4535&lt;='111'!$O$11,OR($L4535=$O$7,$M4535=$O$7)),"x","")</f>
        <v/>
      </c>
      <c r="P4535" s="525" t="str">
        <f>IF(AND($L4535=$O$7,$B4535&lt;'111'!$N$11),"x","")</f>
        <v/>
      </c>
      <c r="Q4535" s="525" t="str">
        <f>IF(AND($M4535=$O$7,$B4535&lt;'111'!$N$11),"x","")</f>
        <v/>
      </c>
      <c r="R4535" s="525" t="str">
        <f>IF(ISERROR(FIND('112'!$M$9,G4535,1)),"",IF((AND(FIND('112'!$M$9,G4535,1)&gt;=1,$B4535&gt;='112'!$N$8,$B4535&lt;='112'!$O$8,OR($L4535='112'!$I$6,$M4535='112'!$I$6))),"x",""))</f>
        <v/>
      </c>
      <c r="S4535" s="525" t="str">
        <f>IF(ISERROR(FIND('112'!$M$9,G4535,1)),"",IF((AND(LEFT(G4535,2)=LEFT('112'!$M$9,2),B4535&lt;'112'!$N$8,$L4535='112'!$I$6)),"x",""))</f>
        <v/>
      </c>
      <c r="T4535" s="525" t="str">
        <f>IF(ISERROR(FIND('112'!$M$9,G4535,1)),"",IF((AND(RIGHT(G4535,2)=RIGHT('112'!$M$9,2),B4535&lt;'112'!$N$8,$M4535='112'!$I$6)),"x",""))</f>
        <v/>
      </c>
      <c r="U4535" s="525" t="str">
        <f>IF(AND(B4535&gt;='IN-NX'!$P$3,B4535&lt;='IN-NX'!$Q$3,'IN-NX'!$D$7=D4535,OR(LEFT(L4535,2)="15",AND(LEFT(M4535,2)&lt;&gt;"15",LEFT(M4535,2)&lt;&gt;"33"))),"x","")</f>
        <v/>
      </c>
      <c r="V4535" s="525" t="str">
        <f>IF(AND(OR(LEFT(TH!L4535,2)="15",LEFT(TH!M4535,2)="15"),'152-CT'!$J$8=TH!F4535),"x","")</f>
        <v/>
      </c>
      <c r="W4535" s="525" t="str">
        <f>IF(AND(OR(LEFT(TH!L4535,2)="15",LEFT(TH!M4535,2)="15"),TK!$E$7=TH!F4535),"x","")</f>
        <v/>
      </c>
      <c r="X4535" s="525" t="str">
        <f>IF(AND('341-CT'!$E$9=H4535,OR(LEFT(L4535,3)=$X$7,LEFT(M4535,3)=$X$7)),"x","")</f>
        <v/>
      </c>
      <c r="Y4535" s="525" t="str">
        <f>IF(OR(TH!L4535=TH!$Y$7,M4535=TH!$Y$7),"x","")</f>
        <v/>
      </c>
      <c r="Z4535" s="525" t="str">
        <f>IF(AND(B4535&lt;=NKC!$N$8,B4535&gt;=NKC!$M$8),"x","")</f>
        <v/>
      </c>
      <c r="AA4535" s="535"/>
    </row>
    <row r="4536" spans="1:30" s="503" customFormat="1" ht="15.75" customHeight="1">
      <c r="A4536" s="517" t="str">
        <f>IF(B4536&lt;&gt;"",IF(AND(B4536&gt;=_TM1,B4536&lt;=_TM2,OR(TH!L4536="1111",TH!M4536="1111")),TH!D4536,""),"")</f>
        <v/>
      </c>
      <c r="B4536" s="531" t="str">
        <f t="shared" si="563"/>
        <v/>
      </c>
      <c r="C4536" s="315"/>
      <c r="D4536" s="537"/>
      <c r="E4536" s="280"/>
      <c r="F4536" s="250"/>
      <c r="G4536" s="538"/>
      <c r="H4536" s="473"/>
      <c r="I4536" s="307"/>
      <c r="J4536" s="307"/>
      <c r="K4536" s="532"/>
      <c r="L4536" s="539"/>
      <c r="M4536" s="539"/>
      <c r="N4536" s="525" t="str">
        <f>IF(AND('331-CT'!$E$7=TH!H4536,OR(L4536="331",M4536="331")),"331",IF(AND(OR(L4536="131",M4536="131"),H4536='131-CT'!$E$7),"131",""))</f>
        <v/>
      </c>
      <c r="O4536" s="525" t="str">
        <f>IF(AND($B4536&gt;='111'!$N$11,$B4536&lt;='111'!$O$11,OR($L4536=$O$7,$M4536=$O$7)),"x","")</f>
        <v/>
      </c>
      <c r="P4536" s="525" t="str">
        <f>IF(AND($L4536=$O$7,$B4536&lt;'111'!$N$11),"x","")</f>
        <v/>
      </c>
      <c r="Q4536" s="525" t="str">
        <f>IF(AND($M4536=$O$7,$B4536&lt;'111'!$N$11),"x","")</f>
        <v/>
      </c>
      <c r="R4536" s="525" t="str">
        <f>IF(ISERROR(FIND('112'!$M$9,G4536,1)),"",IF((AND(FIND('112'!$M$9,G4536,1)&gt;=1,$B4536&gt;='112'!$N$8,$B4536&lt;='112'!$O$8,OR($L4536='112'!$I$6,$M4536='112'!$I$6))),"x",""))</f>
        <v/>
      </c>
      <c r="S4536" s="525" t="str">
        <f>IF(ISERROR(FIND('112'!$M$9,G4536,1)),"",IF((AND(LEFT(G4536,2)=LEFT('112'!$M$9,2),B4536&lt;'112'!$N$8,$L4536='112'!$I$6)),"x",""))</f>
        <v/>
      </c>
      <c r="T4536" s="525" t="str">
        <f>IF(ISERROR(FIND('112'!$M$9,G4536,1)),"",IF((AND(RIGHT(G4536,2)=RIGHT('112'!$M$9,2),B4536&lt;'112'!$N$8,$M4536='112'!$I$6)),"x",""))</f>
        <v/>
      </c>
      <c r="U4536" s="525" t="str">
        <f>IF(AND(B4536&gt;='IN-NX'!$P$3,B4536&lt;='IN-NX'!$Q$3,'IN-NX'!$D$7=D4536,OR(LEFT(L4536,2)="15",AND(LEFT(M4536,2)&lt;&gt;"15",LEFT(M4536,2)&lt;&gt;"33"))),"x","")</f>
        <v/>
      </c>
      <c r="V4536" s="525" t="str">
        <f>IF(AND(OR(LEFT(TH!L4536,2)="15",LEFT(TH!M4536,2)="15"),'152-CT'!$J$8=TH!F4536),"x","")</f>
        <v/>
      </c>
      <c r="W4536" s="525" t="str">
        <f>IF(AND(OR(LEFT(TH!L4536,2)="15",LEFT(TH!M4536,2)="15"),TK!$E$7=TH!F4536),"x","")</f>
        <v/>
      </c>
      <c r="X4536" s="525" t="str">
        <f>IF(AND('341-CT'!$E$9=H4536,OR(LEFT(L4536,3)=$X$7,LEFT(M4536,3)=$X$7)),"x","")</f>
        <v/>
      </c>
      <c r="Y4536" s="525" t="str">
        <f>IF(OR(TH!L4536=TH!$Y$7,M4536=TH!$Y$7),"x","")</f>
        <v/>
      </c>
      <c r="Z4536" s="525" t="str">
        <f>IF(AND(B4536&lt;=NKC!$N$8,B4536&gt;=NKC!$M$8),"x","")</f>
        <v/>
      </c>
      <c r="AA4536" s="535"/>
      <c r="AB4536" s="536"/>
    </row>
    <row r="4537" spans="1:30" s="503" customFormat="1" ht="15.75" customHeight="1">
      <c r="A4537" s="517" t="str">
        <f>IF(B4537&lt;&gt;"",IF(AND(B4537&gt;=_TM1,B4537&lt;=_TM2,OR(TH!L4537="1111",TH!M4537="1111")),TH!D4537,""),"")</f>
        <v/>
      </c>
      <c r="B4537" s="531" t="str">
        <f t="shared" si="563"/>
        <v/>
      </c>
      <c r="C4537" s="315"/>
      <c r="D4537" s="537"/>
      <c r="E4537" s="280"/>
      <c r="F4537" s="250"/>
      <c r="G4537" s="538"/>
      <c r="H4537" s="473"/>
      <c r="I4537" s="307"/>
      <c r="J4537" s="307"/>
      <c r="K4537" s="532"/>
      <c r="L4537" s="539"/>
      <c r="M4537" s="539"/>
      <c r="N4537" s="525" t="str">
        <f>IF(AND('331-CT'!$E$7=TH!H4537,OR(L4537="331",M4537="331")),"331",IF(AND(OR(L4537="131",M4537="131"),H4537='131-CT'!$E$7),"131",""))</f>
        <v/>
      </c>
      <c r="O4537" s="525" t="str">
        <f>IF(AND($B4537&gt;='111'!$N$11,$B4537&lt;='111'!$O$11,OR($L4537=$O$7,$M4537=$O$7)),"x","")</f>
        <v/>
      </c>
      <c r="P4537" s="525" t="str">
        <f>IF(AND($L4537=$O$7,$B4537&lt;'111'!$N$11),"x","")</f>
        <v/>
      </c>
      <c r="Q4537" s="525" t="str">
        <f>IF(AND($M4537=$O$7,$B4537&lt;'111'!$N$11),"x","")</f>
        <v/>
      </c>
      <c r="R4537" s="525" t="str">
        <f>IF(ISERROR(FIND('112'!$M$9,G4537,1)),"",IF((AND(FIND('112'!$M$9,G4537,1)&gt;=1,$B4537&gt;='112'!$N$8,$B4537&lt;='112'!$O$8,OR($L4537='112'!$I$6,$M4537='112'!$I$6))),"x",""))</f>
        <v/>
      </c>
      <c r="S4537" s="525" t="str">
        <f>IF(ISERROR(FIND('112'!$M$9,G4537,1)),"",IF((AND(LEFT(G4537,2)=LEFT('112'!$M$9,2),B4537&lt;'112'!$N$8,$L4537='112'!$I$6)),"x",""))</f>
        <v/>
      </c>
      <c r="T4537" s="525" t="str">
        <f>IF(ISERROR(FIND('112'!$M$9,G4537,1)),"",IF((AND(RIGHT(G4537,2)=RIGHT('112'!$M$9,2),B4537&lt;'112'!$N$8,$M4537='112'!$I$6)),"x",""))</f>
        <v/>
      </c>
      <c r="U4537" s="525" t="str">
        <f>IF(AND(B4537&gt;='IN-NX'!$P$3,B4537&lt;='IN-NX'!$Q$3,'IN-NX'!$D$7=D4537,OR(LEFT(L4537,2)="15",AND(LEFT(M4537,2)&lt;&gt;"15",LEFT(M4537,2)&lt;&gt;"33"))),"x","")</f>
        <v/>
      </c>
      <c r="V4537" s="525" t="str">
        <f>IF(AND(OR(LEFT(TH!L4537,2)="15",LEFT(TH!M4537,2)="15"),'152-CT'!$J$8=TH!F4537),"x","")</f>
        <v/>
      </c>
      <c r="W4537" s="525" t="str">
        <f>IF(AND(OR(LEFT(TH!L4537,2)="15",LEFT(TH!M4537,2)="15"),TK!$E$7=TH!F4537),"x","")</f>
        <v/>
      </c>
      <c r="X4537" s="525" t="str">
        <f>IF(AND('341-CT'!$E$9=H4537,OR(LEFT(L4537,3)=$X$7,LEFT(M4537,3)=$X$7)),"x","")</f>
        <v/>
      </c>
      <c r="Y4537" s="525" t="str">
        <f>IF(OR(TH!L4537=TH!$Y$7,M4537=TH!$Y$7),"x","")</f>
        <v/>
      </c>
      <c r="Z4537" s="525" t="str">
        <f>IF(AND(B4537&lt;=NKC!$N$8,B4537&gt;=NKC!$M$8),"x","")</f>
        <v/>
      </c>
      <c r="AA4537" s="535"/>
      <c r="AB4537" s="536"/>
    </row>
    <row r="4538" spans="1:30" s="503" customFormat="1" ht="15.75" customHeight="1">
      <c r="A4538" s="517" t="str">
        <f>IF(B4538&lt;&gt;"",IF(AND(B4538&gt;=_TM1,B4538&lt;=_TM2,OR(TH!L4538="1111",TH!M4538="1111")),TH!D4538,""),"")</f>
        <v/>
      </c>
      <c r="B4538" s="531" t="str">
        <f t="shared" si="563"/>
        <v/>
      </c>
      <c r="C4538" s="315"/>
      <c r="D4538" s="537"/>
      <c r="E4538" s="280"/>
      <c r="F4538" s="247"/>
      <c r="G4538" s="538"/>
      <c r="H4538" s="473"/>
      <c r="I4538" s="307"/>
      <c r="J4538" s="307"/>
      <c r="K4538" s="532"/>
      <c r="L4538" s="539"/>
      <c r="M4538" s="539"/>
      <c r="N4538" s="525" t="str">
        <f>IF(AND('331-CT'!$E$7=TH!H4538,OR(L4538="331",M4538="331")),"331",IF(AND(OR(L4538="131",M4538="131"),H4538='131-CT'!$E$7),"131",""))</f>
        <v/>
      </c>
      <c r="O4538" s="525" t="str">
        <f>IF(AND($B4538&gt;='111'!$N$11,$B4538&lt;='111'!$O$11,OR($L4538=$O$7,$M4538=$O$7)),"x","")</f>
        <v/>
      </c>
      <c r="P4538" s="525" t="str">
        <f>IF(AND($L4538=$O$7,$B4538&lt;'111'!$N$11),"x","")</f>
        <v/>
      </c>
      <c r="Q4538" s="525" t="str">
        <f>IF(AND($M4538=$O$7,$B4538&lt;'111'!$N$11),"x","")</f>
        <v/>
      </c>
      <c r="R4538" s="525" t="str">
        <f>IF(ISERROR(FIND('112'!$M$9,G4538,1)),"",IF((AND(FIND('112'!$M$9,G4538,1)&gt;=1,$B4538&gt;='112'!$N$8,$B4538&lt;='112'!$O$8,OR($L4538='112'!$I$6,$M4538='112'!$I$6))),"x",""))</f>
        <v/>
      </c>
      <c r="S4538" s="525" t="str">
        <f>IF(ISERROR(FIND('112'!$M$9,G4538,1)),"",IF((AND(LEFT(G4538,2)=LEFT('112'!$M$9,2),B4538&lt;'112'!$N$8,$L4538='112'!$I$6)),"x",""))</f>
        <v/>
      </c>
      <c r="T4538" s="525" t="str">
        <f>IF(ISERROR(FIND('112'!$M$9,G4538,1)),"",IF((AND(RIGHT(G4538,2)=RIGHT('112'!$M$9,2),B4538&lt;'112'!$N$8,$M4538='112'!$I$6)),"x",""))</f>
        <v/>
      </c>
      <c r="U4538" s="525" t="str">
        <f>IF(AND(B4538&gt;='IN-NX'!$P$3,B4538&lt;='IN-NX'!$Q$3,'IN-NX'!$D$7=D4538,OR(LEFT(L4538,2)="15",AND(LEFT(M4538,2)&lt;&gt;"15",LEFT(M4538,2)&lt;&gt;"33"))),"x","")</f>
        <v/>
      </c>
      <c r="V4538" s="525" t="str">
        <f>IF(AND(OR(LEFT(TH!L4538,2)="15",LEFT(TH!M4538,2)="15"),'152-CT'!$J$8=TH!F4538),"x","")</f>
        <v/>
      </c>
      <c r="W4538" s="525" t="str">
        <f>IF(AND(OR(LEFT(TH!L4538,2)="15",LEFT(TH!M4538,2)="15"),TK!$E$7=TH!F4538),"x","")</f>
        <v/>
      </c>
      <c r="X4538" s="525" t="str">
        <f>IF(AND('341-CT'!$E$9=H4538,OR(LEFT(L4538,3)=$X$7,LEFT(M4538,3)=$X$7)),"x","")</f>
        <v/>
      </c>
      <c r="Y4538" s="525" t="str">
        <f>IF(OR(TH!L4538=TH!$Y$7,M4538=TH!$Y$7),"x","")</f>
        <v/>
      </c>
      <c r="Z4538" s="525" t="str">
        <f>IF(AND(B4538&lt;=NKC!$N$8,B4538&gt;=NKC!$M$8),"x","")</f>
        <v/>
      </c>
      <c r="AA4538" s="535"/>
      <c r="AB4538" s="536"/>
    </row>
    <row r="4539" spans="1:30" s="503" customFormat="1" ht="15.75" customHeight="1">
      <c r="A4539" s="517" t="str">
        <f>IF(B4539&lt;&gt;"",IF(AND(B4539&gt;=_TM1,B4539&lt;=_TM2,OR(TH!L4539="1111",TH!M4539="1111")),TH!D4539,""),"")</f>
        <v/>
      </c>
      <c r="B4539" s="531" t="str">
        <f t="shared" si="563"/>
        <v/>
      </c>
      <c r="C4539" s="315"/>
      <c r="D4539" s="537"/>
      <c r="E4539" s="280"/>
      <c r="F4539" s="250"/>
      <c r="G4539" s="538"/>
      <c r="H4539" s="473"/>
      <c r="I4539" s="307"/>
      <c r="J4539" s="307"/>
      <c r="K4539" s="532"/>
      <c r="L4539" s="539"/>
      <c r="M4539" s="539"/>
      <c r="N4539" s="525" t="str">
        <f>IF(AND('331-CT'!$E$7=TH!H4539,OR(L4539="331",M4539="331")),"331",IF(AND(OR(L4539="131",M4539="131"),H4539='131-CT'!$E$7),"131",""))</f>
        <v/>
      </c>
      <c r="O4539" s="525" t="str">
        <f>IF(AND($B4539&gt;='111'!$N$11,$B4539&lt;='111'!$O$11,OR($L4539=$O$7,$M4539=$O$7)),"x","")</f>
        <v/>
      </c>
      <c r="P4539" s="525" t="str">
        <f>IF(AND($L4539=$O$7,$B4539&lt;'111'!$N$11),"x","")</f>
        <v/>
      </c>
      <c r="Q4539" s="525" t="str">
        <f>IF(AND($M4539=$O$7,$B4539&lt;'111'!$N$11),"x","")</f>
        <v/>
      </c>
      <c r="R4539" s="525" t="str">
        <f>IF(ISERROR(FIND('112'!$M$9,G4539,1)),"",IF((AND(FIND('112'!$M$9,G4539,1)&gt;=1,$B4539&gt;='112'!$N$8,$B4539&lt;='112'!$O$8,OR($L4539='112'!$I$6,$M4539='112'!$I$6))),"x",""))</f>
        <v/>
      </c>
      <c r="S4539" s="525" t="str">
        <f>IF(ISERROR(FIND('112'!$M$9,G4539,1)),"",IF((AND(LEFT(G4539,2)=LEFT('112'!$M$9,2),B4539&lt;'112'!$N$8,$L4539='112'!$I$6)),"x",""))</f>
        <v/>
      </c>
      <c r="T4539" s="525" t="str">
        <f>IF(ISERROR(FIND('112'!$M$9,G4539,1)),"",IF((AND(RIGHT(G4539,2)=RIGHT('112'!$M$9,2),B4539&lt;'112'!$N$8,$M4539='112'!$I$6)),"x",""))</f>
        <v/>
      </c>
      <c r="U4539" s="525" t="str">
        <f>IF(AND(B4539&gt;='IN-NX'!$P$3,B4539&lt;='IN-NX'!$Q$3,'IN-NX'!$D$7=D4539,OR(LEFT(L4539,2)="15",AND(LEFT(M4539,2)&lt;&gt;"15",LEFT(M4539,2)&lt;&gt;"33"))),"x","")</f>
        <v/>
      </c>
      <c r="V4539" s="525" t="str">
        <f>IF(AND(OR(LEFT(TH!L4539,2)="15",LEFT(TH!M4539,2)="15"),'152-CT'!$J$8=TH!F4539),"x","")</f>
        <v/>
      </c>
      <c r="W4539" s="525" t="str">
        <f>IF(AND(OR(LEFT(TH!L4539,2)="15",LEFT(TH!M4539,2)="15"),TK!$E$7=TH!F4539),"x","")</f>
        <v/>
      </c>
      <c r="X4539" s="525" t="str">
        <f>IF(AND('341-CT'!$E$9=H4539,OR(LEFT(L4539,3)=$X$7,LEFT(M4539,3)=$X$7)),"x","")</f>
        <v/>
      </c>
      <c r="Y4539" s="525" t="str">
        <f>IF(OR(TH!L4539=TH!$Y$7,M4539=TH!$Y$7),"x","")</f>
        <v/>
      </c>
      <c r="Z4539" s="525" t="str">
        <f>IF(AND(B4539&lt;=NKC!$N$8,B4539&gt;=NKC!$M$8),"x","")</f>
        <v/>
      </c>
      <c r="AA4539" s="535"/>
      <c r="AB4539" s="536"/>
    </row>
    <row r="4540" spans="1:30" s="503" customFormat="1" ht="15.75" customHeight="1">
      <c r="A4540" s="517" t="str">
        <f>IF(B4540&lt;&gt;"",IF(AND(B4540&gt;=_TM1,B4540&lt;=_TM2,OR(TH!L4540="1111",TH!M4540="1111")),TH!D4540,""),"")</f>
        <v/>
      </c>
      <c r="B4540" s="531" t="str">
        <f t="shared" si="563"/>
        <v/>
      </c>
      <c r="C4540" s="315"/>
      <c r="D4540" s="537"/>
      <c r="E4540" s="280"/>
      <c r="F4540" s="250"/>
      <c r="G4540" s="538"/>
      <c r="H4540" s="473"/>
      <c r="I4540" s="307"/>
      <c r="J4540" s="307"/>
      <c r="K4540" s="532"/>
      <c r="L4540" s="539"/>
      <c r="M4540" s="539"/>
      <c r="N4540" s="525" t="str">
        <f>IF(AND('331-CT'!$E$7=TH!H4540,OR(L4540="331",M4540="331")),"331",IF(AND(OR(L4540="131",M4540="131"),H4540='131-CT'!$E$7),"131",""))</f>
        <v/>
      </c>
      <c r="O4540" s="525" t="str">
        <f>IF(AND($B4540&gt;='111'!$N$11,$B4540&lt;='111'!$O$11,OR($L4540=$O$7,$M4540=$O$7)),"x","")</f>
        <v/>
      </c>
      <c r="P4540" s="525" t="str">
        <f>IF(AND($L4540=$O$7,$B4540&lt;'111'!$N$11),"x","")</f>
        <v/>
      </c>
      <c r="Q4540" s="525" t="str">
        <f>IF(AND($M4540=$O$7,$B4540&lt;'111'!$N$11),"x","")</f>
        <v/>
      </c>
      <c r="R4540" s="525" t="str">
        <f>IF(ISERROR(FIND('112'!$M$9,G4540,1)),"",IF((AND(FIND('112'!$M$9,G4540,1)&gt;=1,$B4540&gt;='112'!$N$8,$B4540&lt;='112'!$O$8,OR($L4540='112'!$I$6,$M4540='112'!$I$6))),"x",""))</f>
        <v/>
      </c>
      <c r="S4540" s="525" t="str">
        <f>IF(ISERROR(FIND('112'!$M$9,G4540,1)),"",IF((AND(LEFT(G4540,2)=LEFT('112'!$M$9,2),B4540&lt;'112'!$N$8,$L4540='112'!$I$6)),"x",""))</f>
        <v/>
      </c>
      <c r="T4540" s="525" t="str">
        <f>IF(ISERROR(FIND('112'!$M$9,G4540,1)),"",IF((AND(RIGHT(G4540,2)=RIGHT('112'!$M$9,2),B4540&lt;'112'!$N$8,$M4540='112'!$I$6)),"x",""))</f>
        <v/>
      </c>
      <c r="U4540" s="525" t="str">
        <f>IF(AND(B4540&gt;='IN-NX'!$P$3,B4540&lt;='IN-NX'!$Q$3,'IN-NX'!$D$7=D4540,OR(LEFT(L4540,2)="15",AND(LEFT(M4540,2)&lt;&gt;"15",LEFT(M4540,2)&lt;&gt;"33"))),"x","")</f>
        <v/>
      </c>
      <c r="V4540" s="525" t="str">
        <f>IF(AND(OR(LEFT(TH!L4540,2)="15",LEFT(TH!M4540,2)="15"),'152-CT'!$J$8=TH!F4540),"x","")</f>
        <v/>
      </c>
      <c r="W4540" s="525" t="str">
        <f>IF(AND(OR(LEFT(TH!L4540,2)="15",LEFT(TH!M4540,2)="15"),TK!$E$7=TH!F4540),"x","")</f>
        <v/>
      </c>
      <c r="X4540" s="525" t="str">
        <f>IF(AND('341-CT'!$E$9=H4540,OR(LEFT(L4540,3)=$X$7,LEFT(M4540,3)=$X$7)),"x","")</f>
        <v/>
      </c>
      <c r="Y4540" s="525" t="str">
        <f>IF(OR(TH!L4540=TH!$Y$7,M4540=TH!$Y$7),"x","")</f>
        <v/>
      </c>
      <c r="Z4540" s="525" t="str">
        <f>IF(AND(B4540&lt;=NKC!$N$8,B4540&gt;=NKC!$M$8),"x","")</f>
        <v/>
      </c>
      <c r="AA4540" s="535"/>
      <c r="AB4540" s="536"/>
    </row>
    <row r="4541" spans="1:30" s="503" customFormat="1" ht="15.75" customHeight="1">
      <c r="A4541" s="517" t="str">
        <f>IF(B4541&lt;&gt;"",IF(AND(B4541&gt;=_TM1,B4541&lt;=_TM2,OR(TH!L4541="1111",TH!M4541="1111")),TH!D4541,""),"")</f>
        <v/>
      </c>
      <c r="B4541" s="531" t="str">
        <f t="shared" si="563"/>
        <v/>
      </c>
      <c r="C4541" s="315"/>
      <c r="D4541" s="537"/>
      <c r="E4541" s="280"/>
      <c r="F4541" s="248"/>
      <c r="G4541" s="538"/>
      <c r="H4541" s="473"/>
      <c r="I4541" s="307"/>
      <c r="J4541" s="307"/>
      <c r="K4541" s="532"/>
      <c r="L4541" s="539"/>
      <c r="M4541" s="539"/>
      <c r="N4541" s="525" t="str">
        <f>IF(AND('331-CT'!$E$7=TH!H4541,OR(L4541="331",M4541="331")),"331",IF(AND(OR(L4541="131",M4541="131"),H4541='131-CT'!$E$7),"131",""))</f>
        <v/>
      </c>
      <c r="O4541" s="525" t="str">
        <f>IF(AND($B4541&gt;='111'!$N$11,$B4541&lt;='111'!$O$11,OR($L4541=$O$7,$M4541=$O$7)),"x","")</f>
        <v/>
      </c>
      <c r="P4541" s="525" t="str">
        <f>IF(AND($L4541=$O$7,$B4541&lt;'111'!$N$11),"x","")</f>
        <v/>
      </c>
      <c r="Q4541" s="525" t="str">
        <f>IF(AND($M4541=$O$7,$B4541&lt;'111'!$N$11),"x","")</f>
        <v/>
      </c>
      <c r="R4541" s="525" t="str">
        <f>IF(ISERROR(FIND('112'!$M$9,G4541,1)),"",IF((AND(FIND('112'!$M$9,G4541,1)&gt;=1,$B4541&gt;='112'!$N$8,$B4541&lt;='112'!$O$8,OR($L4541='112'!$I$6,$M4541='112'!$I$6))),"x",""))</f>
        <v/>
      </c>
      <c r="S4541" s="525" t="str">
        <f>IF(ISERROR(FIND('112'!$M$9,G4541,1)),"",IF((AND(LEFT(G4541,2)=LEFT('112'!$M$9,2),B4541&lt;'112'!$N$8,$L4541='112'!$I$6)),"x",""))</f>
        <v/>
      </c>
      <c r="T4541" s="525" t="str">
        <f>IF(ISERROR(FIND('112'!$M$9,G4541,1)),"",IF((AND(RIGHT(G4541,2)=RIGHT('112'!$M$9,2),B4541&lt;'112'!$N$8,$M4541='112'!$I$6)),"x",""))</f>
        <v/>
      </c>
      <c r="U4541" s="525" t="str">
        <f>IF(AND(B4541&gt;='IN-NX'!$P$3,B4541&lt;='IN-NX'!$Q$3,'IN-NX'!$D$7=D4541,OR(LEFT(L4541,2)="15",AND(LEFT(M4541,2)&lt;&gt;"15",LEFT(M4541,2)&lt;&gt;"33"))),"x","")</f>
        <v/>
      </c>
      <c r="V4541" s="525" t="str">
        <f>IF(AND(OR(LEFT(TH!L4541,2)="15",LEFT(TH!M4541,2)="15"),'152-CT'!$J$8=TH!F4541),"x","")</f>
        <v/>
      </c>
      <c r="W4541" s="525" t="str">
        <f>IF(AND(OR(LEFT(TH!L4541,2)="15",LEFT(TH!M4541,2)="15"),TK!$E$7=TH!F4541),"x","")</f>
        <v/>
      </c>
      <c r="X4541" s="525" t="str">
        <f>IF(AND('341-CT'!$E$9=H4541,OR(LEFT(L4541,3)=$X$7,LEFT(M4541,3)=$X$7)),"x","")</f>
        <v/>
      </c>
      <c r="Y4541" s="525" t="str">
        <f>IF(OR(TH!L4541=TH!$Y$7,M4541=TH!$Y$7),"x","")</f>
        <v/>
      </c>
      <c r="Z4541" s="525" t="str">
        <f>IF(AND(B4541&lt;=NKC!$N$8,B4541&gt;=NKC!$M$8),"x","")</f>
        <v/>
      </c>
      <c r="AA4541" s="535"/>
      <c r="AB4541" s="536"/>
    </row>
    <row r="4542" spans="1:30" s="503" customFormat="1" ht="15.75" customHeight="1">
      <c r="A4542" s="517" t="str">
        <f>IF(B4542&lt;&gt;"",IF(AND(B4542&gt;=_TM1,B4542&lt;=_TM2,OR(TH!L4542="1111",TH!M4542="1111")),TH!D4542,""),"")</f>
        <v/>
      </c>
      <c r="B4542" s="531" t="str">
        <f t="shared" si="563"/>
        <v/>
      </c>
      <c r="C4542" s="315"/>
      <c r="D4542" s="537"/>
      <c r="E4542" s="280"/>
      <c r="F4542" s="248"/>
      <c r="G4542" s="538"/>
      <c r="H4542" s="473"/>
      <c r="I4542" s="307"/>
      <c r="J4542" s="307"/>
      <c r="K4542" s="532"/>
      <c r="L4542" s="539"/>
      <c r="M4542" s="539"/>
      <c r="N4542" s="525" t="str">
        <f>IF(AND('331-CT'!$E$7=TH!H4542,OR(L4542="331",M4542="331")),"331",IF(AND(OR(L4542="131",M4542="131"),H4542='131-CT'!$E$7),"131",""))</f>
        <v/>
      </c>
      <c r="O4542" s="525" t="str">
        <f>IF(AND($B4542&gt;='111'!$N$11,$B4542&lt;='111'!$O$11,OR($L4542=$O$7,$M4542=$O$7)),"x","")</f>
        <v/>
      </c>
      <c r="P4542" s="525" t="str">
        <f>IF(AND($L4542=$O$7,$B4542&lt;'111'!$N$11),"x","")</f>
        <v/>
      </c>
      <c r="Q4542" s="525" t="str">
        <f>IF(AND($M4542=$O$7,$B4542&lt;'111'!$N$11),"x","")</f>
        <v/>
      </c>
      <c r="R4542" s="525" t="str">
        <f>IF(ISERROR(FIND('112'!$M$9,G4542,1)),"",IF((AND(FIND('112'!$M$9,G4542,1)&gt;=1,$B4542&gt;='112'!$N$8,$B4542&lt;='112'!$O$8,OR($L4542='112'!$I$6,$M4542='112'!$I$6))),"x",""))</f>
        <v/>
      </c>
      <c r="S4542" s="525" t="str">
        <f>IF(ISERROR(FIND('112'!$M$9,G4542,1)),"",IF((AND(LEFT(G4542,2)=LEFT('112'!$M$9,2),B4542&lt;'112'!$N$8,$L4542='112'!$I$6)),"x",""))</f>
        <v/>
      </c>
      <c r="T4542" s="525" t="str">
        <f>IF(ISERROR(FIND('112'!$M$9,G4542,1)),"",IF((AND(RIGHT(G4542,2)=RIGHT('112'!$M$9,2),B4542&lt;'112'!$N$8,$M4542='112'!$I$6)),"x",""))</f>
        <v/>
      </c>
      <c r="U4542" s="525" t="str">
        <f>IF(AND(B4542&gt;='IN-NX'!$P$3,B4542&lt;='IN-NX'!$Q$3,'IN-NX'!$D$7=D4542,OR(LEFT(L4542,2)="15",AND(LEFT(M4542,2)&lt;&gt;"15",LEFT(M4542,2)&lt;&gt;"33"))),"x","")</f>
        <v/>
      </c>
      <c r="V4542" s="525" t="str">
        <f>IF(AND(OR(LEFT(TH!L4542,2)="15",LEFT(TH!M4542,2)="15"),'152-CT'!$J$8=TH!F4542),"x","")</f>
        <v/>
      </c>
      <c r="W4542" s="525" t="str">
        <f>IF(AND(OR(LEFT(TH!L4542,2)="15",LEFT(TH!M4542,2)="15"),TK!$E$7=TH!F4542),"x","")</f>
        <v/>
      </c>
      <c r="X4542" s="525" t="str">
        <f>IF(AND('341-CT'!$E$9=H4542,OR(LEFT(L4542,3)=$X$7,LEFT(M4542,3)=$X$7)),"x","")</f>
        <v/>
      </c>
      <c r="Y4542" s="525" t="str">
        <f>IF(OR(TH!L4542=TH!$Y$7,M4542=TH!$Y$7),"x","")</f>
        <v/>
      </c>
      <c r="Z4542" s="525" t="str">
        <f>IF(AND(B4542&lt;=NKC!$N$8,B4542&gt;=NKC!$M$8),"x","")</f>
        <v/>
      </c>
      <c r="AA4542" s="535"/>
      <c r="AB4542" s="536"/>
    </row>
    <row r="4543" spans="1:30" s="503" customFormat="1" ht="15.75" customHeight="1">
      <c r="A4543" s="517" t="str">
        <f>IF(B4543&lt;&gt;"",IF(AND(B4543&gt;=_TM1,B4543&lt;=_TM2,OR(TH!L4543="1111",TH!M4543="1111")),TH!D4543,""),"")</f>
        <v/>
      </c>
      <c r="B4543" s="531" t="str">
        <f t="shared" si="563"/>
        <v/>
      </c>
      <c r="C4543" s="315"/>
      <c r="D4543" s="537"/>
      <c r="E4543" s="280"/>
      <c r="F4543" s="250"/>
      <c r="G4543" s="538"/>
      <c r="H4543" s="473"/>
      <c r="I4543" s="307"/>
      <c r="J4543" s="307"/>
      <c r="K4543" s="532"/>
      <c r="L4543" s="534"/>
      <c r="M4543" s="539"/>
      <c r="N4543" s="525" t="str">
        <f>IF(AND('331-CT'!$E$7=TH!H4543,OR(L4543="331",M4543="331")),"331",IF(AND(OR(L4543="131",M4543="131"),H4543='131-CT'!$E$7),"131",""))</f>
        <v/>
      </c>
      <c r="O4543" s="525" t="str">
        <f>IF(AND($B4543&gt;='111'!$N$11,$B4543&lt;='111'!$O$11,OR($L4543=$O$7,$M4543=$O$7)),"x","")</f>
        <v/>
      </c>
      <c r="P4543" s="525" t="str">
        <f>IF(AND($L4543=$O$7,$B4543&lt;'111'!$N$11),"x","")</f>
        <v/>
      </c>
      <c r="Q4543" s="525" t="str">
        <f>IF(AND($M4543=$O$7,$B4543&lt;'111'!$N$11),"x","")</f>
        <v/>
      </c>
      <c r="R4543" s="525" t="str">
        <f>IF(ISERROR(FIND('112'!$M$9,G4543,1)),"",IF((AND(FIND('112'!$M$9,G4543,1)&gt;=1,$B4543&gt;='112'!$N$8,$B4543&lt;='112'!$O$8,OR($L4543='112'!$I$6,$M4543='112'!$I$6))),"x",""))</f>
        <v/>
      </c>
      <c r="S4543" s="525" t="str">
        <f>IF(ISERROR(FIND('112'!$M$9,G4543,1)),"",IF((AND(LEFT(G4543,2)=LEFT('112'!$M$9,2),B4543&lt;'112'!$N$8,$L4543='112'!$I$6)),"x",""))</f>
        <v/>
      </c>
      <c r="T4543" s="525" t="str">
        <f>IF(ISERROR(FIND('112'!$M$9,G4543,1)),"",IF((AND(RIGHT(G4543,2)=RIGHT('112'!$M$9,2),B4543&lt;'112'!$N$8,$M4543='112'!$I$6)),"x",""))</f>
        <v/>
      </c>
      <c r="U4543" s="525" t="str">
        <f>IF(AND(B4543&gt;='IN-NX'!$P$3,B4543&lt;='IN-NX'!$Q$3,'IN-NX'!$D$7=D4543,OR(LEFT(L4543,2)="15",AND(LEFT(M4543,2)&lt;&gt;"15",LEFT(M4543,2)&lt;&gt;"33"))),"x","")</f>
        <v/>
      </c>
      <c r="V4543" s="525" t="str">
        <f>IF(AND(OR(LEFT(TH!L4543,2)="15",LEFT(TH!M4543,2)="15"),'152-CT'!$J$8=TH!F4543),"x","")</f>
        <v/>
      </c>
      <c r="W4543" s="525" t="str">
        <f>IF(AND(OR(LEFT(TH!L4543,2)="15",LEFT(TH!M4543,2)="15"),TK!$E$7=TH!F4543),"x","")</f>
        <v/>
      </c>
      <c r="X4543" s="525" t="str">
        <f>IF(AND('341-CT'!$E$9=H4543,OR(LEFT(L4543,3)=$X$7,LEFT(M4543,3)=$X$7)),"x","")</f>
        <v/>
      </c>
      <c r="Y4543" s="525" t="str">
        <f>IF(OR(TH!L4543=TH!$Y$7,M4543=TH!$Y$7),"x","")</f>
        <v/>
      </c>
      <c r="Z4543" s="525" t="str">
        <f>IF(AND(B4543&lt;=NKC!$N$8,B4543&gt;=NKC!$M$8),"x","")</f>
        <v/>
      </c>
      <c r="AA4543" s="535"/>
      <c r="AB4543" s="536"/>
    </row>
    <row r="4544" spans="1:30" s="503" customFormat="1" ht="15.75" customHeight="1">
      <c r="A4544" s="517" t="str">
        <f>IF(B4544&lt;&gt;"",IF(AND(B4544&gt;=_TM1,B4544&lt;=_TM2,OR(TH!L4544="1111",TH!M4544="1111")),TH!D4544,""),"")</f>
        <v/>
      </c>
      <c r="B4544" s="531" t="str">
        <f t="shared" si="563"/>
        <v/>
      </c>
      <c r="C4544" s="315"/>
      <c r="D4544" s="315"/>
      <c r="E4544" s="545"/>
      <c r="F4544" s="248"/>
      <c r="G4544" s="314"/>
      <c r="H4544" s="472"/>
      <c r="I4544" s="307"/>
      <c r="J4544" s="307"/>
      <c r="K4544" s="532"/>
      <c r="L4544" s="533"/>
      <c r="M4544" s="533"/>
      <c r="N4544" s="525" t="str">
        <f>IF(AND('331-CT'!$E$7=TH!H4544,OR(L4544="331",M4544="331")),"331",IF(AND(OR(L4544="131",M4544="131"),H4544='131-CT'!$E$7),"131",""))</f>
        <v/>
      </c>
      <c r="O4544" s="525" t="str">
        <f>IF(AND($B4544&gt;='111'!$N$11,$B4544&lt;='111'!$O$11,OR($L4544=$O$7,$M4544=$O$7)),"x","")</f>
        <v/>
      </c>
      <c r="P4544" s="525" t="str">
        <f>IF(AND($L4544=$O$7,$B4544&lt;'111'!$N$11),"x","")</f>
        <v/>
      </c>
      <c r="Q4544" s="525" t="str">
        <f>IF(AND($M4544=$O$7,$B4544&lt;'111'!$N$11),"x","")</f>
        <v/>
      </c>
      <c r="R4544" s="525" t="str">
        <f>IF(ISERROR(FIND('112'!$M$9,G4544,1)),"",IF((AND(FIND('112'!$M$9,G4544,1)&gt;=1,$B4544&gt;='112'!$N$8,$B4544&lt;='112'!$O$8,OR($L4544='112'!$I$6,$M4544='112'!$I$6))),"x",""))</f>
        <v/>
      </c>
      <c r="S4544" s="525" t="str">
        <f>IF(ISERROR(FIND('112'!$M$9,G4544,1)),"",IF((AND(LEFT(G4544,2)=LEFT('112'!$M$9,2),B4544&lt;'112'!$N$8,$L4544='112'!$I$6)),"x",""))</f>
        <v/>
      </c>
      <c r="T4544" s="525" t="str">
        <f>IF(ISERROR(FIND('112'!$M$9,G4544,1)),"",IF((AND(RIGHT(G4544,2)=RIGHT('112'!$M$9,2),B4544&lt;'112'!$N$8,$M4544='112'!$I$6)),"x",""))</f>
        <v/>
      </c>
      <c r="U4544" s="525" t="str">
        <f>IF(AND(B4544&gt;='IN-NX'!$P$3,B4544&lt;='IN-NX'!$Q$3,'IN-NX'!$D$7=D4544,OR(LEFT(L4544,2)="15",AND(LEFT(M4544,2)&lt;&gt;"15",LEFT(M4544,2)&lt;&gt;"33"))),"x","")</f>
        <v/>
      </c>
      <c r="V4544" s="525" t="str">
        <f>IF(AND(OR(LEFT(TH!L4544,2)="15",LEFT(TH!M4544,2)="15"),'152-CT'!$J$8=TH!F4544),"x","")</f>
        <v/>
      </c>
      <c r="W4544" s="525" t="str">
        <f>IF(AND(OR(LEFT(TH!L4544,2)="15",LEFT(TH!M4544,2)="15"),TK!$E$7=TH!F4544),"x","")</f>
        <v/>
      </c>
      <c r="X4544" s="525" t="str">
        <f>IF(AND('341-CT'!$E$9=H4544,OR(LEFT(L4544,3)=$X$7,LEFT(M4544,3)=$X$7)),"x","")</f>
        <v/>
      </c>
      <c r="Y4544" s="525" t="str">
        <f>IF(OR(TH!L4544=TH!$Y$7,M4544=TH!$Y$7),"x","")</f>
        <v/>
      </c>
      <c r="Z4544" s="525" t="str">
        <f>IF(AND(B4544&lt;=NKC!$N$8,B4544&gt;=NKC!$M$8),"x","")</f>
        <v/>
      </c>
      <c r="AA4544" s="535"/>
      <c r="AB4544" s="536"/>
      <c r="AD4544" s="536"/>
    </row>
    <row r="4545" spans="1:30" s="503" customFormat="1" ht="15.75" customHeight="1">
      <c r="A4545" s="517" t="str">
        <f>IF(B4545&lt;&gt;"",IF(AND(B4545&gt;=_TM1,B4545&lt;=_TM2,OR(TH!L4545="1111",TH!M4545="1111")),TH!D4545,""),"")</f>
        <v/>
      </c>
      <c r="B4545" s="531" t="str">
        <f t="shared" si="563"/>
        <v/>
      </c>
      <c r="C4545" s="315"/>
      <c r="D4545" s="315"/>
      <c r="E4545" s="545"/>
      <c r="F4545" s="249"/>
      <c r="G4545" s="314"/>
      <c r="H4545" s="472"/>
      <c r="I4545" s="307"/>
      <c r="J4545" s="307"/>
      <c r="K4545" s="532"/>
      <c r="L4545" s="533"/>
      <c r="M4545" s="533"/>
      <c r="N4545" s="525" t="str">
        <f>IF(AND('331-CT'!$E$7=TH!H4545,OR(L4545="331",M4545="331")),"331",IF(AND(OR(L4545="131",M4545="131"),H4545='131-CT'!$E$7),"131",""))</f>
        <v/>
      </c>
      <c r="O4545" s="525" t="str">
        <f>IF(AND($B4545&gt;='111'!$N$11,$B4545&lt;='111'!$O$11,OR($L4545=$O$7,$M4545=$O$7)),"x","")</f>
        <v/>
      </c>
      <c r="P4545" s="525" t="str">
        <f>IF(AND($L4545=$O$7,$B4545&lt;'111'!$N$11),"x","")</f>
        <v/>
      </c>
      <c r="Q4545" s="525" t="str">
        <f>IF(AND($M4545=$O$7,$B4545&lt;'111'!$N$11),"x","")</f>
        <v/>
      </c>
      <c r="R4545" s="525" t="str">
        <f>IF(ISERROR(FIND('112'!$M$9,G4545,1)),"",IF((AND(FIND('112'!$M$9,G4545,1)&gt;=1,$B4545&gt;='112'!$N$8,$B4545&lt;='112'!$O$8,OR($L4545='112'!$I$6,$M4545='112'!$I$6))),"x",""))</f>
        <v/>
      </c>
      <c r="S4545" s="525" t="str">
        <f>IF(ISERROR(FIND('112'!$M$9,G4545,1)),"",IF((AND(LEFT(G4545,2)=LEFT('112'!$M$9,2),B4545&lt;'112'!$N$8,$L4545='112'!$I$6)),"x",""))</f>
        <v/>
      </c>
      <c r="T4545" s="525" t="str">
        <f>IF(ISERROR(FIND('112'!$M$9,G4545,1)),"",IF((AND(RIGHT(G4545,2)=RIGHT('112'!$M$9,2),B4545&lt;'112'!$N$8,$M4545='112'!$I$6)),"x",""))</f>
        <v/>
      </c>
      <c r="U4545" s="525" t="str">
        <f>IF(AND(B4545&gt;='IN-NX'!$P$3,B4545&lt;='IN-NX'!$Q$3,'IN-NX'!$D$7=D4545,OR(LEFT(L4545,2)="15",AND(LEFT(M4545,2)&lt;&gt;"15",LEFT(M4545,2)&lt;&gt;"33"))),"x","")</f>
        <v/>
      </c>
      <c r="V4545" s="525" t="str">
        <f>IF(AND(OR(LEFT(TH!L4545,2)="15",LEFT(TH!M4545,2)="15"),'152-CT'!$J$8=TH!F4545),"x","")</f>
        <v/>
      </c>
      <c r="W4545" s="525" t="str">
        <f>IF(AND(OR(LEFT(TH!L4545,2)="15",LEFT(TH!M4545,2)="15"),TK!$E$7=TH!F4545),"x","")</f>
        <v/>
      </c>
      <c r="X4545" s="525" t="str">
        <f>IF(AND('341-CT'!$E$9=H4545,OR(LEFT(L4545,3)=$X$7,LEFT(M4545,3)=$X$7)),"x","")</f>
        <v/>
      </c>
      <c r="Y4545" s="525" t="str">
        <f>IF(OR(TH!L4545=TH!$Y$7,M4545=TH!$Y$7),"x","")</f>
        <v/>
      </c>
      <c r="Z4545" s="525" t="str">
        <f>IF(AND(B4545&lt;=NKC!$N$8,B4545&gt;=NKC!$M$8),"x","")</f>
        <v/>
      </c>
      <c r="AA4545" s="535"/>
      <c r="AB4545" s="536"/>
    </row>
    <row r="4546" spans="1:30" s="503" customFormat="1" ht="15.75" customHeight="1">
      <c r="A4546" s="517" t="str">
        <f>IF(B4546&lt;&gt;"",IF(AND(B4546&gt;=_TM1,B4546&lt;=_TM2,OR(TH!L4546="1111",TH!M4546="1111")),TH!D4546,""),"")</f>
        <v/>
      </c>
      <c r="B4546" s="531" t="str">
        <f t="shared" si="563"/>
        <v/>
      </c>
      <c r="C4546" s="315"/>
      <c r="D4546" s="315"/>
      <c r="E4546" s="545"/>
      <c r="F4546" s="248"/>
      <c r="G4546" s="314"/>
      <c r="H4546" s="473"/>
      <c r="I4546" s="307"/>
      <c r="J4546" s="307"/>
      <c r="K4546" s="532"/>
      <c r="L4546" s="533"/>
      <c r="M4546" s="533"/>
      <c r="N4546" s="525" t="str">
        <f>IF(AND('331-CT'!$E$7=TH!H4546,OR(L4546="331",M4546="331")),"331",IF(AND(OR(L4546="131",M4546="131"),H4546='131-CT'!$E$7),"131",""))</f>
        <v/>
      </c>
      <c r="O4546" s="525" t="str">
        <f>IF(AND($B4546&gt;='111'!$N$11,$B4546&lt;='111'!$O$11,OR($L4546=$O$7,$M4546=$O$7)),"x","")</f>
        <v/>
      </c>
      <c r="P4546" s="525" t="str">
        <f>IF(AND($L4546=$O$7,$B4546&lt;'111'!$N$11),"x","")</f>
        <v/>
      </c>
      <c r="Q4546" s="525" t="str">
        <f>IF(AND($M4546=$O$7,$B4546&lt;'111'!$N$11),"x","")</f>
        <v/>
      </c>
      <c r="R4546" s="525" t="str">
        <f>IF(ISERROR(FIND('112'!$M$9,G4546,1)),"",IF((AND(FIND('112'!$M$9,G4546,1)&gt;=1,$B4546&gt;='112'!$N$8,$B4546&lt;='112'!$O$8,OR($L4546='112'!$I$6,$M4546='112'!$I$6))),"x",""))</f>
        <v/>
      </c>
      <c r="S4546" s="525" t="str">
        <f>IF(ISERROR(FIND('112'!$M$9,G4546,1)),"",IF((AND(LEFT(G4546,2)=LEFT('112'!$M$9,2),B4546&lt;'112'!$N$8,$L4546='112'!$I$6)),"x",""))</f>
        <v/>
      </c>
      <c r="T4546" s="525" t="str">
        <f>IF(ISERROR(FIND('112'!$M$9,G4546,1)),"",IF((AND(RIGHT(G4546,2)=RIGHT('112'!$M$9,2),B4546&lt;'112'!$N$8,$M4546='112'!$I$6)),"x",""))</f>
        <v/>
      </c>
      <c r="U4546" s="525" t="str">
        <f>IF(AND(B4546&gt;='IN-NX'!$P$3,B4546&lt;='IN-NX'!$Q$3,'IN-NX'!$D$7=D4546,OR(LEFT(L4546,2)="15",AND(LEFT(M4546,2)&lt;&gt;"15",LEFT(M4546,2)&lt;&gt;"33"))),"x","")</f>
        <v/>
      </c>
      <c r="V4546" s="525" t="str">
        <f>IF(AND(OR(LEFT(TH!L4546,2)="15",LEFT(TH!M4546,2)="15"),'152-CT'!$J$8=TH!F4546),"x","")</f>
        <v/>
      </c>
      <c r="W4546" s="525" t="str">
        <f>IF(AND(OR(LEFT(TH!L4546,2)="15",LEFT(TH!M4546,2)="15"),TK!$E$7=TH!F4546),"x","")</f>
        <v/>
      </c>
      <c r="X4546" s="525" t="str">
        <f>IF(AND('341-CT'!$E$9=H4546,OR(LEFT(L4546,3)=$X$7,LEFT(M4546,3)=$X$7)),"x","")</f>
        <v/>
      </c>
      <c r="Y4546" s="525" t="str">
        <f>IF(OR(TH!L4546=TH!$Y$7,M4546=TH!$Y$7),"x","")</f>
        <v/>
      </c>
      <c r="Z4546" s="525" t="str">
        <f>IF(AND(B4546&lt;=NKC!$N$8,B4546&gt;=NKC!$M$8),"x","")</f>
        <v/>
      </c>
      <c r="AA4546" s="535"/>
      <c r="AB4546" s="536"/>
    </row>
    <row r="4547" spans="1:30" s="503" customFormat="1" ht="15.75" customHeight="1">
      <c r="A4547" s="517" t="str">
        <f>IF(B4547&lt;&gt;"",IF(AND(B4547&gt;=_TM1,B4547&lt;=_TM2,OR(TH!L4547="1111",TH!M4547="1111")),TH!D4547,""),"")</f>
        <v/>
      </c>
      <c r="B4547" s="531" t="str">
        <f t="shared" si="563"/>
        <v/>
      </c>
      <c r="C4547" s="315"/>
      <c r="D4547" s="315"/>
      <c r="E4547" s="545"/>
      <c r="F4547" s="249"/>
      <c r="G4547" s="314"/>
      <c r="H4547" s="473"/>
      <c r="I4547" s="307"/>
      <c r="J4547" s="307"/>
      <c r="K4547" s="532"/>
      <c r="L4547" s="533"/>
      <c r="M4547" s="533"/>
      <c r="N4547" s="525" t="str">
        <f>IF(AND('331-CT'!$E$7=TH!H4547,OR(L4547="331",M4547="331")),"331",IF(AND(OR(L4547="131",M4547="131"),H4547='131-CT'!$E$7),"131",""))</f>
        <v/>
      </c>
      <c r="O4547" s="525" t="str">
        <f>IF(AND($B4547&gt;='111'!$N$11,$B4547&lt;='111'!$O$11,OR($L4547=$O$7,$M4547=$O$7)),"x","")</f>
        <v/>
      </c>
      <c r="P4547" s="525" t="str">
        <f>IF(AND($L4547=$O$7,$B4547&lt;'111'!$N$11),"x","")</f>
        <v/>
      </c>
      <c r="Q4547" s="525" t="str">
        <f>IF(AND($M4547=$O$7,$B4547&lt;'111'!$N$11),"x","")</f>
        <v/>
      </c>
      <c r="R4547" s="525" t="str">
        <f>IF(ISERROR(FIND('112'!$M$9,G4547,1)),"",IF((AND(FIND('112'!$M$9,G4547,1)&gt;=1,$B4547&gt;='112'!$N$8,$B4547&lt;='112'!$O$8,OR($L4547='112'!$I$6,$M4547='112'!$I$6))),"x",""))</f>
        <v/>
      </c>
      <c r="S4547" s="525" t="str">
        <f>IF(ISERROR(FIND('112'!$M$9,G4547,1)),"",IF((AND(LEFT(G4547,2)=LEFT('112'!$M$9,2),B4547&lt;'112'!$N$8,$L4547='112'!$I$6)),"x",""))</f>
        <v/>
      </c>
      <c r="T4547" s="525" t="str">
        <f>IF(ISERROR(FIND('112'!$M$9,G4547,1)),"",IF((AND(RIGHT(G4547,2)=RIGHT('112'!$M$9,2),B4547&lt;'112'!$N$8,$M4547='112'!$I$6)),"x",""))</f>
        <v/>
      </c>
      <c r="U4547" s="525" t="str">
        <f>IF(AND(B4547&gt;='IN-NX'!$P$3,B4547&lt;='IN-NX'!$Q$3,'IN-NX'!$D$7=D4547,OR(LEFT(L4547,2)="15",AND(LEFT(M4547,2)&lt;&gt;"15",LEFT(M4547,2)&lt;&gt;"33"))),"x","")</f>
        <v/>
      </c>
      <c r="V4547" s="525" t="str">
        <f>IF(AND(OR(LEFT(TH!L4547,2)="15",LEFT(TH!M4547,2)="15"),'152-CT'!$J$8=TH!F4547),"x","")</f>
        <v/>
      </c>
      <c r="W4547" s="525" t="str">
        <f>IF(AND(OR(LEFT(TH!L4547,2)="15",LEFT(TH!M4547,2)="15"),TK!$E$7=TH!F4547),"x","")</f>
        <v/>
      </c>
      <c r="X4547" s="525" t="str">
        <f>IF(AND('341-CT'!$E$9=H4547,OR(LEFT(L4547,3)=$X$7,LEFT(M4547,3)=$X$7)),"x","")</f>
        <v/>
      </c>
      <c r="Y4547" s="525" t="str">
        <f>IF(OR(TH!L4547=TH!$Y$7,M4547=TH!$Y$7),"x","")</f>
        <v/>
      </c>
      <c r="Z4547" s="525" t="str">
        <f>IF(AND(B4547&lt;=NKC!$N$8,B4547&gt;=NKC!$M$8),"x","")</f>
        <v/>
      </c>
      <c r="AA4547" s="535"/>
      <c r="AB4547" s="536"/>
      <c r="AD4547" s="536"/>
    </row>
    <row r="4548" spans="1:30" s="503" customFormat="1" ht="15.75" customHeight="1">
      <c r="A4548" s="517" t="str">
        <f>IF(B4548&lt;&gt;"",IF(AND(B4548&gt;=_TM1,B4548&lt;=_TM2,OR(TH!L4548="1111",TH!M4548="1111")),TH!D4548,""),"")</f>
        <v/>
      </c>
      <c r="B4548" s="531" t="str">
        <f t="shared" si="563"/>
        <v/>
      </c>
      <c r="C4548" s="315"/>
      <c r="D4548" s="537"/>
      <c r="E4548" s="280"/>
      <c r="F4548" s="249"/>
      <c r="G4548" s="314"/>
      <c r="H4548" s="473"/>
      <c r="I4548" s="307"/>
      <c r="J4548" s="307"/>
      <c r="K4548" s="532"/>
      <c r="L4548" s="534"/>
      <c r="M4548" s="534"/>
      <c r="N4548" s="525" t="str">
        <f>IF(AND('331-CT'!$E$7=TH!H4548,OR(L4548="331",M4548="331")),"331",IF(AND(OR(L4548="131",M4548="131"),H4548='131-CT'!$E$7),"131",""))</f>
        <v/>
      </c>
      <c r="O4548" s="525" t="str">
        <f>IF(AND($B4548&gt;='111'!$N$11,$B4548&lt;='111'!$O$11,OR($L4548=$O$7,$M4548=$O$7)),"x","")</f>
        <v/>
      </c>
      <c r="P4548" s="525" t="str">
        <f>IF(AND($L4548=$O$7,$B4548&lt;'111'!$N$11),"x","")</f>
        <v/>
      </c>
      <c r="Q4548" s="525" t="str">
        <f>IF(AND($M4548=$O$7,$B4548&lt;'111'!$N$11),"x","")</f>
        <v/>
      </c>
      <c r="R4548" s="525" t="str">
        <f>IF(ISERROR(FIND('112'!$M$9,G4548,1)),"",IF((AND(FIND('112'!$M$9,G4548,1)&gt;=1,$B4548&gt;='112'!$N$8,$B4548&lt;='112'!$O$8,OR($L4548='112'!$I$6,$M4548='112'!$I$6))),"x",""))</f>
        <v/>
      </c>
      <c r="S4548" s="525" t="str">
        <f>IF(ISERROR(FIND('112'!$M$9,G4548,1)),"",IF((AND(LEFT(G4548,2)=LEFT('112'!$M$9,2),B4548&lt;'112'!$N$8,$L4548='112'!$I$6)),"x",""))</f>
        <v/>
      </c>
      <c r="T4548" s="525" t="str">
        <f>IF(ISERROR(FIND('112'!$M$9,G4548,1)),"",IF((AND(RIGHT(G4548,2)=RIGHT('112'!$M$9,2),B4548&lt;'112'!$N$8,$M4548='112'!$I$6)),"x",""))</f>
        <v/>
      </c>
      <c r="U4548" s="525" t="str">
        <f>IF(AND(B4548&gt;='IN-NX'!$P$3,B4548&lt;='IN-NX'!$Q$3,'IN-NX'!$D$7=D4548,OR(LEFT(L4548,2)="15",AND(LEFT(M4548,2)&lt;&gt;"15",LEFT(M4548,2)&lt;&gt;"33"))),"x","")</f>
        <v/>
      </c>
      <c r="V4548" s="525" t="str">
        <f>IF(AND(OR(LEFT(TH!L4548,2)="15",LEFT(TH!M4548,2)="15"),'152-CT'!$J$8=TH!F4548),"x","")</f>
        <v/>
      </c>
      <c r="W4548" s="525" t="str">
        <f>IF(AND(OR(LEFT(TH!L4548,2)="15",LEFT(TH!M4548,2)="15"),TK!$E$7=TH!F4548),"x","")</f>
        <v/>
      </c>
      <c r="X4548" s="525" t="str">
        <f>IF(AND('341-CT'!$E$9=H4548,OR(LEFT(L4548,3)=$X$7,LEFT(M4548,3)=$X$7)),"x","")</f>
        <v/>
      </c>
      <c r="Y4548" s="525" t="str">
        <f>IF(OR(TH!L4548=TH!$Y$7,M4548=TH!$Y$7),"x","")</f>
        <v/>
      </c>
      <c r="Z4548" s="525" t="str">
        <f>IF(AND(B4548&lt;=NKC!$N$8,B4548&gt;=NKC!$M$8),"x","")</f>
        <v/>
      </c>
      <c r="AA4548" s="535"/>
    </row>
    <row r="4549" spans="1:30" s="503" customFormat="1" ht="15.75" customHeight="1">
      <c r="A4549" s="517" t="str">
        <f>IF(B4549&lt;&gt;"",IF(AND(B4549&gt;=_TM1,B4549&lt;=_TM2,OR(TH!L4549="1111",TH!M4549="1111")),TH!D4549,""),"")</f>
        <v/>
      </c>
      <c r="B4549" s="531" t="str">
        <f t="shared" si="563"/>
        <v/>
      </c>
      <c r="C4549" s="315"/>
      <c r="D4549" s="537"/>
      <c r="E4549" s="280"/>
      <c r="F4549" s="250"/>
      <c r="G4549" s="538"/>
      <c r="H4549" s="473"/>
      <c r="I4549" s="307"/>
      <c r="J4549" s="307"/>
      <c r="K4549" s="532"/>
      <c r="L4549" s="539"/>
      <c r="M4549" s="539"/>
      <c r="N4549" s="525" t="str">
        <f>IF(AND('331-CT'!$E$7=TH!H4549,OR(L4549="331",M4549="331")),"331",IF(AND(OR(L4549="131",M4549="131"),H4549='131-CT'!$E$7),"131",""))</f>
        <v/>
      </c>
      <c r="O4549" s="525" t="str">
        <f>IF(AND($B4549&gt;='111'!$N$11,$B4549&lt;='111'!$O$11,OR($L4549=$O$7,$M4549=$O$7)),"x","")</f>
        <v/>
      </c>
      <c r="P4549" s="525" t="str">
        <f>IF(AND($L4549=$O$7,$B4549&lt;'111'!$N$11),"x","")</f>
        <v/>
      </c>
      <c r="Q4549" s="525" t="str">
        <f>IF(AND($M4549=$O$7,$B4549&lt;'111'!$N$11),"x","")</f>
        <v/>
      </c>
      <c r="R4549" s="525" t="str">
        <f>IF(ISERROR(FIND('112'!$M$9,G4549,1)),"",IF((AND(FIND('112'!$M$9,G4549,1)&gt;=1,$B4549&gt;='112'!$N$8,$B4549&lt;='112'!$O$8,OR($L4549='112'!$I$6,$M4549='112'!$I$6))),"x",""))</f>
        <v/>
      </c>
      <c r="S4549" s="525" t="str">
        <f>IF(ISERROR(FIND('112'!$M$9,G4549,1)),"",IF((AND(LEFT(G4549,2)=LEFT('112'!$M$9,2),B4549&lt;'112'!$N$8,$L4549='112'!$I$6)),"x",""))</f>
        <v/>
      </c>
      <c r="T4549" s="525" t="str">
        <f>IF(ISERROR(FIND('112'!$M$9,G4549,1)),"",IF((AND(RIGHT(G4549,2)=RIGHT('112'!$M$9,2),B4549&lt;'112'!$N$8,$M4549='112'!$I$6)),"x",""))</f>
        <v/>
      </c>
      <c r="U4549" s="525" t="str">
        <f>IF(AND(B4549&gt;='IN-NX'!$P$3,B4549&lt;='IN-NX'!$Q$3,'IN-NX'!$D$7=D4549,OR(LEFT(L4549,2)="15",AND(LEFT(M4549,2)&lt;&gt;"15",LEFT(M4549,2)&lt;&gt;"33"))),"x","")</f>
        <v/>
      </c>
      <c r="V4549" s="525" t="str">
        <f>IF(AND(OR(LEFT(TH!L4549,2)="15",LEFT(TH!M4549,2)="15"),'152-CT'!$J$8=TH!F4549),"x","")</f>
        <v/>
      </c>
      <c r="W4549" s="525" t="str">
        <f>IF(AND(OR(LEFT(TH!L4549,2)="15",LEFT(TH!M4549,2)="15"),TK!$E$7=TH!F4549),"x","")</f>
        <v/>
      </c>
      <c r="X4549" s="525" t="str">
        <f>IF(AND('341-CT'!$E$9=H4549,OR(LEFT(L4549,3)=$X$7,LEFT(M4549,3)=$X$7)),"x","")</f>
        <v/>
      </c>
      <c r="Y4549" s="525" t="str">
        <f>IF(OR(TH!L4549=TH!$Y$7,M4549=TH!$Y$7),"x","")</f>
        <v/>
      </c>
      <c r="Z4549" s="525" t="str">
        <f>IF(AND(B4549&lt;=NKC!$N$8,B4549&gt;=NKC!$M$8),"x","")</f>
        <v/>
      </c>
      <c r="AA4549" s="535"/>
      <c r="AB4549" s="536"/>
    </row>
    <row r="4550" spans="1:30" s="503" customFormat="1" ht="15.75" customHeight="1">
      <c r="A4550" s="517" t="str">
        <f>IF(B4550&lt;&gt;"",IF(AND(B4550&gt;=_TM1,B4550&lt;=_TM2,OR(TH!L4550="1111",TH!M4550="1111")),TH!D4550,""),"")</f>
        <v/>
      </c>
      <c r="B4550" s="531" t="str">
        <f t="shared" si="563"/>
        <v/>
      </c>
      <c r="C4550" s="315"/>
      <c r="D4550" s="537"/>
      <c r="E4550" s="280"/>
      <c r="F4550" s="250"/>
      <c r="G4550" s="538"/>
      <c r="H4550" s="473"/>
      <c r="I4550" s="307"/>
      <c r="J4550" s="307"/>
      <c r="K4550" s="532"/>
      <c r="L4550" s="534"/>
      <c r="M4550" s="539"/>
      <c r="N4550" s="525" t="str">
        <f>IF(AND('331-CT'!$E$7=TH!H4550,OR(L4550="331",M4550="331")),"331",IF(AND(OR(L4550="131",M4550="131"),H4550='131-CT'!$E$7),"131",""))</f>
        <v/>
      </c>
      <c r="O4550" s="525" t="str">
        <f>IF(AND($B4550&gt;='111'!$N$11,$B4550&lt;='111'!$O$11,OR($L4550=$O$7,$M4550=$O$7)),"x","")</f>
        <v/>
      </c>
      <c r="P4550" s="525" t="str">
        <f>IF(AND($L4550=$O$7,$B4550&lt;'111'!$N$11),"x","")</f>
        <v/>
      </c>
      <c r="Q4550" s="525" t="str">
        <f>IF(AND($M4550=$O$7,$B4550&lt;'111'!$N$11),"x","")</f>
        <v/>
      </c>
      <c r="R4550" s="525" t="str">
        <f>IF(ISERROR(FIND('112'!$M$9,G4550,1)),"",IF((AND(FIND('112'!$M$9,G4550,1)&gt;=1,$B4550&gt;='112'!$N$8,$B4550&lt;='112'!$O$8,OR($L4550='112'!$I$6,$M4550='112'!$I$6))),"x",""))</f>
        <v/>
      </c>
      <c r="S4550" s="525" t="str">
        <f>IF(ISERROR(FIND('112'!$M$9,G4550,1)),"",IF((AND(LEFT(G4550,2)=LEFT('112'!$M$9,2),B4550&lt;'112'!$N$8,$L4550='112'!$I$6)),"x",""))</f>
        <v/>
      </c>
      <c r="T4550" s="525" t="str">
        <f>IF(ISERROR(FIND('112'!$M$9,G4550,1)),"",IF((AND(RIGHT(G4550,2)=RIGHT('112'!$M$9,2),B4550&lt;'112'!$N$8,$M4550='112'!$I$6)),"x",""))</f>
        <v/>
      </c>
      <c r="U4550" s="525" t="str">
        <f>IF(AND(B4550&gt;='IN-NX'!$P$3,B4550&lt;='IN-NX'!$Q$3,'IN-NX'!$D$7=D4550,OR(LEFT(L4550,2)="15",AND(LEFT(M4550,2)&lt;&gt;"15",LEFT(M4550,2)&lt;&gt;"33"))),"x","")</f>
        <v/>
      </c>
      <c r="V4550" s="525" t="str">
        <f>IF(AND(OR(LEFT(TH!L4550,2)="15",LEFT(TH!M4550,2)="15"),'152-CT'!$J$8=TH!F4550),"x","")</f>
        <v/>
      </c>
      <c r="W4550" s="525" t="str">
        <f>IF(AND(OR(LEFT(TH!L4550,2)="15",LEFT(TH!M4550,2)="15"),TK!$E$7=TH!F4550),"x","")</f>
        <v/>
      </c>
      <c r="X4550" s="525" t="str">
        <f>IF(AND('341-CT'!$E$9=H4550,OR(LEFT(L4550,3)=$X$7,LEFT(M4550,3)=$X$7)),"x","")</f>
        <v/>
      </c>
      <c r="Y4550" s="525" t="str">
        <f>IF(OR(TH!L4550=TH!$Y$7,M4550=TH!$Y$7),"x","")</f>
        <v/>
      </c>
      <c r="Z4550" s="525" t="str">
        <f>IF(AND(B4550&lt;=NKC!$N$8,B4550&gt;=NKC!$M$8),"x","")</f>
        <v/>
      </c>
      <c r="AA4550" s="535"/>
      <c r="AB4550" s="536"/>
    </row>
    <row r="4551" spans="1:30" s="503" customFormat="1" ht="15.75" customHeight="1">
      <c r="A4551" s="517" t="str">
        <f>IF(B4551&lt;&gt;"",IF(AND(B4551&gt;=_TM1,B4551&lt;=_TM2,OR(TH!L4551="1111",TH!M4551="1111")),TH!D4551,""),"")</f>
        <v/>
      </c>
      <c r="B4551" s="531" t="str">
        <f t="shared" si="563"/>
        <v/>
      </c>
      <c r="C4551" s="315"/>
      <c r="D4551" s="537"/>
      <c r="E4551" s="280"/>
      <c r="F4551" s="249"/>
      <c r="G4551" s="314"/>
      <c r="H4551" s="473"/>
      <c r="I4551" s="307"/>
      <c r="J4551" s="307"/>
      <c r="K4551" s="532"/>
      <c r="L4551" s="534"/>
      <c r="M4551" s="534"/>
      <c r="N4551" s="525" t="str">
        <f>IF(AND('331-CT'!$E$7=TH!H4551,OR(L4551="331",M4551="331")),"331",IF(AND(OR(L4551="131",M4551="131"),H4551='131-CT'!$E$7),"131",""))</f>
        <v/>
      </c>
      <c r="O4551" s="525" t="str">
        <f>IF(AND($B4551&gt;='111'!$N$11,$B4551&lt;='111'!$O$11,OR($L4551=$O$7,$M4551=$O$7)),"x","")</f>
        <v/>
      </c>
      <c r="P4551" s="525" t="str">
        <f>IF(AND($L4551=$O$7,$B4551&lt;'111'!$N$11),"x","")</f>
        <v/>
      </c>
      <c r="Q4551" s="525" t="str">
        <f>IF(AND($M4551=$O$7,$B4551&lt;'111'!$N$11),"x","")</f>
        <v/>
      </c>
      <c r="R4551" s="525" t="str">
        <f>IF(ISERROR(FIND('112'!$M$9,G4551,1)),"",IF((AND(FIND('112'!$M$9,G4551,1)&gt;=1,$B4551&gt;='112'!$N$8,$B4551&lt;='112'!$O$8,OR($L4551='112'!$I$6,$M4551='112'!$I$6))),"x",""))</f>
        <v/>
      </c>
      <c r="S4551" s="525" t="str">
        <f>IF(ISERROR(FIND('112'!$M$9,G4551,1)),"",IF((AND(LEFT(G4551,2)=LEFT('112'!$M$9,2),B4551&lt;'112'!$N$8,$L4551='112'!$I$6)),"x",""))</f>
        <v/>
      </c>
      <c r="T4551" s="525" t="str">
        <f>IF(ISERROR(FIND('112'!$M$9,G4551,1)),"",IF((AND(RIGHT(G4551,2)=RIGHT('112'!$M$9,2),B4551&lt;'112'!$N$8,$M4551='112'!$I$6)),"x",""))</f>
        <v/>
      </c>
      <c r="U4551" s="525" t="str">
        <f>IF(AND(B4551&gt;='IN-NX'!$P$3,B4551&lt;='IN-NX'!$Q$3,'IN-NX'!$D$7=D4551,OR(LEFT(L4551,2)="15",AND(LEFT(M4551,2)&lt;&gt;"15",LEFT(M4551,2)&lt;&gt;"33"))),"x","")</f>
        <v/>
      </c>
      <c r="V4551" s="525" t="str">
        <f>IF(AND(OR(LEFT(TH!L4551,2)="15",LEFT(TH!M4551,2)="15"),'152-CT'!$J$8=TH!F4551),"x","")</f>
        <v/>
      </c>
      <c r="W4551" s="525" t="str">
        <f>IF(AND(OR(LEFT(TH!L4551,2)="15",LEFT(TH!M4551,2)="15"),TK!$E$7=TH!F4551),"x","")</f>
        <v/>
      </c>
      <c r="X4551" s="525" t="str">
        <f>IF(AND('341-CT'!$E$9=H4551,OR(LEFT(L4551,3)=$X$7,LEFT(M4551,3)=$X$7)),"x","")</f>
        <v/>
      </c>
      <c r="Y4551" s="525" t="str">
        <f>IF(OR(TH!L4551=TH!$Y$7,M4551=TH!$Y$7),"x","")</f>
        <v/>
      </c>
      <c r="Z4551" s="525" t="str">
        <f>IF(AND(B4551&lt;=NKC!$N$8,B4551&gt;=NKC!$M$8),"x","")</f>
        <v/>
      </c>
      <c r="AA4551" s="535"/>
    </row>
    <row r="4552" spans="1:30" s="503" customFormat="1" ht="15.75" customHeight="1">
      <c r="A4552" s="517" t="str">
        <f>IF(B4552&lt;&gt;"",IF(AND(B4552&gt;=_TM1,B4552&lt;=_TM2,OR(TH!L4552="1111",TH!M4552="1111")),TH!D4552,""),"")</f>
        <v/>
      </c>
      <c r="B4552" s="531" t="str">
        <f t="shared" si="563"/>
        <v/>
      </c>
      <c r="C4552" s="315"/>
      <c r="D4552" s="537"/>
      <c r="E4552" s="545"/>
      <c r="F4552" s="247"/>
      <c r="G4552" s="314"/>
      <c r="H4552" s="473"/>
      <c r="I4552" s="307"/>
      <c r="J4552" s="307"/>
      <c r="K4552" s="532"/>
      <c r="L4552" s="533"/>
      <c r="M4552" s="533"/>
      <c r="N4552" s="525" t="str">
        <f>IF(AND('331-CT'!$E$7=TH!H4552,OR(L4552="331",M4552="331")),"331",IF(AND(OR(L4552="131",M4552="131"),H4552='131-CT'!$E$7),"131",""))</f>
        <v/>
      </c>
      <c r="O4552" s="525" t="str">
        <f>IF(AND($B4552&gt;='111'!$N$11,$B4552&lt;='111'!$O$11,OR($L4552=$O$7,$M4552=$O$7)),"x","")</f>
        <v/>
      </c>
      <c r="P4552" s="525" t="str">
        <f>IF(AND($L4552=$O$7,$B4552&lt;'111'!$N$11),"x","")</f>
        <v/>
      </c>
      <c r="Q4552" s="525" t="str">
        <f>IF(AND($M4552=$O$7,$B4552&lt;'111'!$N$11),"x","")</f>
        <v/>
      </c>
      <c r="R4552" s="525" t="str">
        <f>IF(ISERROR(FIND('112'!$M$9,G4552,1)),"",IF((AND(FIND('112'!$M$9,G4552,1)&gt;=1,$B4552&gt;='112'!$N$8,$B4552&lt;='112'!$O$8,OR($L4552='112'!$I$6,$M4552='112'!$I$6))),"x",""))</f>
        <v/>
      </c>
      <c r="S4552" s="525" t="str">
        <f>IF(ISERROR(FIND('112'!$M$9,G4552,1)),"",IF((AND(LEFT(G4552,2)=LEFT('112'!$M$9,2),B4552&lt;'112'!$N$8,$L4552='112'!$I$6)),"x",""))</f>
        <v/>
      </c>
      <c r="T4552" s="525" t="str">
        <f>IF(ISERROR(FIND('112'!$M$9,G4552,1)),"",IF((AND(RIGHT(G4552,2)=RIGHT('112'!$M$9,2),B4552&lt;'112'!$N$8,$M4552='112'!$I$6)),"x",""))</f>
        <v/>
      </c>
      <c r="U4552" s="525" t="str">
        <f>IF(AND(B4552&gt;='IN-NX'!$P$3,B4552&lt;='IN-NX'!$Q$3,'IN-NX'!$D$7=D4552,OR(LEFT(L4552,2)="15",AND(LEFT(M4552,2)&lt;&gt;"15",LEFT(M4552,2)&lt;&gt;"33"))),"x","")</f>
        <v/>
      </c>
      <c r="V4552" s="525" t="str">
        <f>IF(AND(OR(LEFT(TH!L4552,2)="15",LEFT(TH!M4552,2)="15"),'152-CT'!$J$8=TH!F4552),"x","")</f>
        <v/>
      </c>
      <c r="W4552" s="525" t="str">
        <f>IF(AND(OR(LEFT(TH!L4552,2)="15",LEFT(TH!M4552,2)="15"),TK!$E$7=TH!F4552),"x","")</f>
        <v/>
      </c>
      <c r="X4552" s="525" t="str">
        <f>IF(AND('341-CT'!$E$9=H4552,OR(LEFT(L4552,3)=$X$7,LEFT(M4552,3)=$X$7)),"x","")</f>
        <v/>
      </c>
      <c r="Y4552" s="525" t="str">
        <f>IF(OR(TH!L4552=TH!$Y$7,M4552=TH!$Y$7),"x","")</f>
        <v/>
      </c>
      <c r="Z4552" s="525" t="str">
        <f>IF(AND(B4552&lt;=NKC!$N$8,B4552&gt;=NKC!$M$8),"x","")</f>
        <v/>
      </c>
      <c r="AA4552" s="535"/>
    </row>
    <row r="4553" spans="1:30" s="503" customFormat="1" ht="15.75" customHeight="1">
      <c r="A4553" s="517" t="str">
        <f>IF(B4553&lt;&gt;"",IF(AND(B4553&gt;=_TM1,B4553&lt;=_TM2,OR(TH!L4553="1111",TH!M4553="1111")),TH!D4553,""),"")</f>
        <v/>
      </c>
      <c r="B4553" s="531" t="str">
        <f t="shared" si="563"/>
        <v/>
      </c>
      <c r="C4553" s="315"/>
      <c r="D4553" s="537"/>
      <c r="E4553" s="545"/>
      <c r="F4553" s="247"/>
      <c r="G4553" s="314"/>
      <c r="H4553" s="473"/>
      <c r="I4553" s="307"/>
      <c r="J4553" s="307"/>
      <c r="K4553" s="532"/>
      <c r="L4553" s="533"/>
      <c r="M4553" s="533"/>
      <c r="N4553" s="525" t="str">
        <f>IF(AND('331-CT'!$E$7=TH!H4553,OR(L4553="331",M4553="331")),"331",IF(AND(OR(L4553="131",M4553="131"),H4553='131-CT'!$E$7),"131",""))</f>
        <v/>
      </c>
      <c r="O4553" s="525" t="str">
        <f>IF(AND($B4553&gt;='111'!$N$11,$B4553&lt;='111'!$O$11,OR($L4553=$O$7,$M4553=$O$7)),"x","")</f>
        <v/>
      </c>
      <c r="P4553" s="525" t="str">
        <f>IF(AND($L4553=$O$7,$B4553&lt;'111'!$N$11),"x","")</f>
        <v/>
      </c>
      <c r="Q4553" s="525" t="str">
        <f>IF(AND($M4553=$O$7,$B4553&lt;'111'!$N$11),"x","")</f>
        <v/>
      </c>
      <c r="R4553" s="525" t="str">
        <f>IF(ISERROR(FIND('112'!$M$9,G4553,1)),"",IF((AND(FIND('112'!$M$9,G4553,1)&gt;=1,$B4553&gt;='112'!$N$8,$B4553&lt;='112'!$O$8,OR($L4553='112'!$I$6,$M4553='112'!$I$6))),"x",""))</f>
        <v/>
      </c>
      <c r="S4553" s="525" t="str">
        <f>IF(ISERROR(FIND('112'!$M$9,G4553,1)),"",IF((AND(LEFT(G4553,2)=LEFT('112'!$M$9,2),B4553&lt;'112'!$N$8,$L4553='112'!$I$6)),"x",""))</f>
        <v/>
      </c>
      <c r="T4553" s="525" t="str">
        <f>IF(ISERROR(FIND('112'!$M$9,G4553,1)),"",IF((AND(RIGHT(G4553,2)=RIGHT('112'!$M$9,2),B4553&lt;'112'!$N$8,$M4553='112'!$I$6)),"x",""))</f>
        <v/>
      </c>
      <c r="U4553" s="525" t="str">
        <f>IF(AND(B4553&gt;='IN-NX'!$P$3,B4553&lt;='IN-NX'!$Q$3,'IN-NX'!$D$7=D4553,OR(LEFT(L4553,2)="15",AND(LEFT(M4553,2)&lt;&gt;"15",LEFT(M4553,2)&lt;&gt;"33"))),"x","")</f>
        <v/>
      </c>
      <c r="V4553" s="525" t="str">
        <f>IF(AND(OR(LEFT(TH!L4553,2)="15",LEFT(TH!M4553,2)="15"),'152-CT'!$J$8=TH!F4553),"x","")</f>
        <v/>
      </c>
      <c r="W4553" s="525" t="str">
        <f>IF(AND(OR(LEFT(TH!L4553,2)="15",LEFT(TH!M4553,2)="15"),TK!$E$7=TH!F4553),"x","")</f>
        <v/>
      </c>
      <c r="X4553" s="525" t="str">
        <f>IF(AND('341-CT'!$E$9=H4553,OR(LEFT(L4553,3)=$X$7,LEFT(M4553,3)=$X$7)),"x","")</f>
        <v/>
      </c>
      <c r="Y4553" s="525" t="str">
        <f>IF(OR(TH!L4553=TH!$Y$7,M4553=TH!$Y$7),"x","")</f>
        <v/>
      </c>
      <c r="Z4553" s="525" t="str">
        <f>IF(AND(B4553&lt;=NKC!$N$8,B4553&gt;=NKC!$M$8),"x","")</f>
        <v/>
      </c>
      <c r="AA4553" s="535"/>
    </row>
    <row r="4554" spans="1:30" s="503" customFormat="1" ht="15.75" customHeight="1">
      <c r="A4554" s="517" t="str">
        <f>IF(B4554&lt;&gt;"",IF(AND(B4554&gt;=_TM1,B4554&lt;=_TM2,OR(TH!L4554="1111",TH!M4554="1111")),TH!D4554,""),"")</f>
        <v/>
      </c>
      <c r="B4554" s="531" t="str">
        <f t="shared" si="563"/>
        <v/>
      </c>
      <c r="C4554" s="315"/>
      <c r="D4554" s="537"/>
      <c r="E4554" s="280"/>
      <c r="F4554" s="249"/>
      <c r="G4554" s="314"/>
      <c r="H4554" s="473"/>
      <c r="I4554" s="307"/>
      <c r="J4554" s="307"/>
      <c r="K4554" s="532"/>
      <c r="L4554" s="534"/>
      <c r="M4554" s="534"/>
      <c r="N4554" s="525" t="str">
        <f>IF(AND('331-CT'!$E$7=TH!H4554,OR(L4554="331",M4554="331")),"331",IF(AND(OR(L4554="131",M4554="131"),H4554='131-CT'!$E$7),"131",""))</f>
        <v/>
      </c>
      <c r="O4554" s="525" t="str">
        <f>IF(AND($B4554&gt;='111'!$N$11,$B4554&lt;='111'!$O$11,OR($L4554=$O$7,$M4554=$O$7)),"x","")</f>
        <v/>
      </c>
      <c r="P4554" s="525" t="str">
        <f>IF(AND($L4554=$O$7,$B4554&lt;'111'!$N$11),"x","")</f>
        <v/>
      </c>
      <c r="Q4554" s="525" t="str">
        <f>IF(AND($M4554=$O$7,$B4554&lt;'111'!$N$11),"x","")</f>
        <v/>
      </c>
      <c r="R4554" s="525" t="str">
        <f>IF(ISERROR(FIND('112'!$M$9,G4554,1)),"",IF((AND(FIND('112'!$M$9,G4554,1)&gt;=1,$B4554&gt;='112'!$N$8,$B4554&lt;='112'!$O$8,OR($L4554='112'!$I$6,$M4554='112'!$I$6))),"x",""))</f>
        <v/>
      </c>
      <c r="S4554" s="525" t="str">
        <f>IF(ISERROR(FIND('112'!$M$9,G4554,1)),"",IF((AND(LEFT(G4554,2)=LEFT('112'!$M$9,2),B4554&lt;'112'!$N$8,$L4554='112'!$I$6)),"x",""))</f>
        <v/>
      </c>
      <c r="T4554" s="525" t="str">
        <f>IF(ISERROR(FIND('112'!$M$9,G4554,1)),"",IF((AND(RIGHT(G4554,2)=RIGHT('112'!$M$9,2),B4554&lt;'112'!$N$8,$M4554='112'!$I$6)),"x",""))</f>
        <v/>
      </c>
      <c r="U4554" s="525" t="str">
        <f>IF(AND(B4554&gt;='IN-NX'!$P$3,B4554&lt;='IN-NX'!$Q$3,'IN-NX'!$D$7=D4554,OR(LEFT(L4554,2)="15",AND(LEFT(M4554,2)&lt;&gt;"15",LEFT(M4554,2)&lt;&gt;"33"))),"x","")</f>
        <v/>
      </c>
      <c r="V4554" s="525" t="str">
        <f>IF(AND(OR(LEFT(TH!L4554,2)="15",LEFT(TH!M4554,2)="15"),'152-CT'!$J$8=TH!F4554),"x","")</f>
        <v/>
      </c>
      <c r="W4554" s="525" t="str">
        <f>IF(AND(OR(LEFT(TH!L4554,2)="15",LEFT(TH!M4554,2)="15"),TK!$E$7=TH!F4554),"x","")</f>
        <v/>
      </c>
      <c r="X4554" s="525" t="str">
        <f>IF(AND('341-CT'!$E$9=H4554,OR(LEFT(L4554,3)=$X$7,LEFT(M4554,3)=$X$7)),"x","")</f>
        <v/>
      </c>
      <c r="Y4554" s="525" t="str">
        <f>IF(OR(TH!L4554=TH!$Y$7,M4554=TH!$Y$7),"x","")</f>
        <v/>
      </c>
      <c r="Z4554" s="525" t="str">
        <f>IF(AND(B4554&lt;=NKC!$N$8,B4554&gt;=NKC!$M$8),"x","")</f>
        <v/>
      </c>
      <c r="AA4554" s="535"/>
    </row>
    <row r="4555" spans="1:30" s="503" customFormat="1" ht="15.75" customHeight="1">
      <c r="A4555" s="517" t="str">
        <f>IF(B4555&lt;&gt;"",IF(AND(B4555&gt;=_TM1,B4555&lt;=_TM2,OR(TH!L4555="1111",TH!M4555="1111")),TH!D4555,""),"")</f>
        <v/>
      </c>
      <c r="B4555" s="531" t="str">
        <f t="shared" si="563"/>
        <v/>
      </c>
      <c r="C4555" s="315"/>
      <c r="D4555" s="537"/>
      <c r="E4555" s="545"/>
      <c r="F4555" s="247"/>
      <c r="G4555" s="314"/>
      <c r="H4555" s="473"/>
      <c r="I4555" s="307"/>
      <c r="J4555" s="307"/>
      <c r="K4555" s="532"/>
      <c r="L4555" s="533"/>
      <c r="M4555" s="533"/>
      <c r="N4555" s="525" t="str">
        <f>IF(AND('331-CT'!$E$7=TH!H4555,OR(L4555="331",M4555="331")),"331",IF(AND(OR(L4555="131",M4555="131"),H4555='131-CT'!$E$7),"131",""))</f>
        <v/>
      </c>
      <c r="O4555" s="525" t="str">
        <f>IF(AND($B4555&gt;='111'!$N$11,$B4555&lt;='111'!$O$11,OR($L4555=$O$7,$M4555=$O$7)),"x","")</f>
        <v/>
      </c>
      <c r="P4555" s="525" t="str">
        <f>IF(AND($L4555=$O$7,$B4555&lt;'111'!$N$11),"x","")</f>
        <v/>
      </c>
      <c r="Q4555" s="525" t="str">
        <f>IF(AND($M4555=$O$7,$B4555&lt;'111'!$N$11),"x","")</f>
        <v/>
      </c>
      <c r="R4555" s="525" t="str">
        <f>IF(ISERROR(FIND('112'!$M$9,G4555,1)),"",IF((AND(FIND('112'!$M$9,G4555,1)&gt;=1,$B4555&gt;='112'!$N$8,$B4555&lt;='112'!$O$8,OR($L4555='112'!$I$6,$M4555='112'!$I$6))),"x",""))</f>
        <v/>
      </c>
      <c r="S4555" s="525" t="str">
        <f>IF(ISERROR(FIND('112'!$M$9,G4555,1)),"",IF((AND(LEFT(G4555,2)=LEFT('112'!$M$9,2),B4555&lt;'112'!$N$8,$L4555='112'!$I$6)),"x",""))</f>
        <v/>
      </c>
      <c r="T4555" s="525" t="str">
        <f>IF(ISERROR(FIND('112'!$M$9,G4555,1)),"",IF((AND(RIGHT(G4555,2)=RIGHT('112'!$M$9,2),B4555&lt;'112'!$N$8,$M4555='112'!$I$6)),"x",""))</f>
        <v/>
      </c>
      <c r="U4555" s="525" t="str">
        <f>IF(AND(B4555&gt;='IN-NX'!$P$3,B4555&lt;='IN-NX'!$Q$3,'IN-NX'!$D$7=D4555,OR(LEFT(L4555,2)="15",AND(LEFT(M4555,2)&lt;&gt;"15",LEFT(M4555,2)&lt;&gt;"33"))),"x","")</f>
        <v/>
      </c>
      <c r="V4555" s="525" t="str">
        <f>IF(AND(OR(LEFT(TH!L4555,2)="15",LEFT(TH!M4555,2)="15"),'152-CT'!$J$8=TH!F4555),"x","")</f>
        <v/>
      </c>
      <c r="W4555" s="525" t="str">
        <f>IF(AND(OR(LEFT(TH!L4555,2)="15",LEFT(TH!M4555,2)="15"),TK!$E$7=TH!F4555),"x","")</f>
        <v/>
      </c>
      <c r="X4555" s="525" t="str">
        <f>IF(AND('341-CT'!$E$9=H4555,OR(LEFT(L4555,3)=$X$7,LEFT(M4555,3)=$X$7)),"x","")</f>
        <v/>
      </c>
      <c r="Y4555" s="525" t="str">
        <f>IF(OR(TH!L4555=TH!$Y$7,M4555=TH!$Y$7),"x","")</f>
        <v/>
      </c>
      <c r="Z4555" s="525" t="str">
        <f>IF(AND(B4555&lt;=NKC!$N$8,B4555&gt;=NKC!$M$8),"x","")</f>
        <v/>
      </c>
      <c r="AA4555" s="535"/>
    </row>
    <row r="4556" spans="1:30" s="503" customFormat="1" ht="15.75" customHeight="1">
      <c r="A4556" s="517" t="str">
        <f>IF(B4556&lt;&gt;"",IF(AND(B4556&gt;=_TM1,B4556&lt;=_TM2,OR(TH!L4556="1111",TH!M4556="1111")),TH!D4556,""),"")</f>
        <v/>
      </c>
      <c r="B4556" s="531" t="str">
        <f t="shared" si="563"/>
        <v/>
      </c>
      <c r="C4556" s="315"/>
      <c r="D4556" s="537"/>
      <c r="E4556" s="280"/>
      <c r="F4556" s="249"/>
      <c r="G4556" s="538"/>
      <c r="H4556" s="473"/>
      <c r="I4556" s="307"/>
      <c r="J4556" s="307"/>
      <c r="K4556" s="532"/>
      <c r="L4556" s="534"/>
      <c r="M4556" s="534"/>
      <c r="N4556" s="525" t="str">
        <f>IF(AND('331-CT'!$E$7=TH!H4556,OR(L4556="331",M4556="331")),"331",IF(AND(OR(L4556="131",M4556="131"),H4556='131-CT'!$E$7),"131",""))</f>
        <v/>
      </c>
      <c r="O4556" s="525" t="str">
        <f>IF(AND($B4556&gt;='111'!$N$11,$B4556&lt;='111'!$O$11,OR($L4556=$O$7,$M4556=$O$7)),"x","")</f>
        <v/>
      </c>
      <c r="P4556" s="525" t="str">
        <f>IF(AND($L4556=$O$7,$B4556&lt;'111'!$N$11),"x","")</f>
        <v/>
      </c>
      <c r="Q4556" s="525" t="str">
        <f>IF(AND($M4556=$O$7,$B4556&lt;'111'!$N$11),"x","")</f>
        <v/>
      </c>
      <c r="R4556" s="525" t="str">
        <f>IF(ISERROR(FIND('112'!$M$9,G4556,1)),"",IF((AND(FIND('112'!$M$9,G4556,1)&gt;=1,$B4556&gt;='112'!$N$8,$B4556&lt;='112'!$O$8,OR($L4556='112'!$I$6,$M4556='112'!$I$6))),"x",""))</f>
        <v/>
      </c>
      <c r="S4556" s="525" t="str">
        <f>IF(ISERROR(FIND('112'!$M$9,G4556,1)),"",IF((AND(LEFT(G4556,2)=LEFT('112'!$M$9,2),B4556&lt;'112'!$N$8,$L4556='112'!$I$6)),"x",""))</f>
        <v/>
      </c>
      <c r="T4556" s="525" t="str">
        <f>IF(ISERROR(FIND('112'!$M$9,G4556,1)),"",IF((AND(RIGHT(G4556,2)=RIGHT('112'!$M$9,2),B4556&lt;'112'!$N$8,$M4556='112'!$I$6)),"x",""))</f>
        <v/>
      </c>
      <c r="U4556" s="525" t="str">
        <f>IF(AND(B4556&gt;='IN-NX'!$P$3,B4556&lt;='IN-NX'!$Q$3,'IN-NX'!$D$7=D4556,OR(LEFT(L4556,2)="15",AND(LEFT(M4556,2)&lt;&gt;"15",LEFT(M4556,2)&lt;&gt;"33"))),"x","")</f>
        <v/>
      </c>
      <c r="V4556" s="525" t="str">
        <f>IF(AND(OR(LEFT(TH!L4556,2)="15",LEFT(TH!M4556,2)="15"),'152-CT'!$J$8=TH!F4556),"x","")</f>
        <v/>
      </c>
      <c r="W4556" s="525" t="str">
        <f>IF(AND(OR(LEFT(TH!L4556,2)="15",LEFT(TH!M4556,2)="15"),TK!$E$7=TH!F4556),"x","")</f>
        <v/>
      </c>
      <c r="X4556" s="525" t="str">
        <f>IF(AND('341-CT'!$E$9=H4556,OR(LEFT(L4556,3)=$X$7,LEFT(M4556,3)=$X$7)),"x","")</f>
        <v/>
      </c>
      <c r="Y4556" s="525" t="str">
        <f>IF(OR(TH!L4556=TH!$Y$7,M4556=TH!$Y$7),"x","")</f>
        <v/>
      </c>
      <c r="Z4556" s="525" t="str">
        <f>IF(AND(B4556&lt;=NKC!$N$8,B4556&gt;=NKC!$M$8),"x","")</f>
        <v/>
      </c>
      <c r="AA4556" s="535"/>
    </row>
    <row r="4557" spans="1:30" s="503" customFormat="1" ht="15.75" customHeight="1">
      <c r="A4557" s="517" t="str">
        <f>IF(B4557&lt;&gt;"",IF(AND(B4557&gt;=_TM1,B4557&lt;=_TM2,OR(TH!L4557="1111",TH!M4557="1111")),TH!D4557,""),"")</f>
        <v/>
      </c>
      <c r="B4557" s="531" t="str">
        <f t="shared" si="563"/>
        <v/>
      </c>
      <c r="C4557" s="315"/>
      <c r="D4557" s="537"/>
      <c r="E4557" s="280"/>
      <c r="F4557" s="249"/>
      <c r="G4557" s="538"/>
      <c r="H4557" s="473"/>
      <c r="I4557" s="307"/>
      <c r="J4557" s="307"/>
      <c r="K4557" s="532"/>
      <c r="L4557" s="534"/>
      <c r="M4557" s="534"/>
      <c r="N4557" s="525" t="str">
        <f>IF(AND('331-CT'!$E$7=TH!H4557,OR(L4557="331",M4557="331")),"331",IF(AND(OR(L4557="131",M4557="131"),H4557='131-CT'!$E$7),"131",""))</f>
        <v/>
      </c>
      <c r="O4557" s="525" t="str">
        <f>IF(AND($B4557&gt;='111'!$N$11,$B4557&lt;='111'!$O$11,OR($L4557=$O$7,$M4557=$O$7)),"x","")</f>
        <v/>
      </c>
      <c r="P4557" s="525" t="str">
        <f>IF(AND($L4557=$O$7,$B4557&lt;'111'!$N$11),"x","")</f>
        <v/>
      </c>
      <c r="Q4557" s="525" t="str">
        <f>IF(AND($M4557=$O$7,$B4557&lt;'111'!$N$11),"x","")</f>
        <v/>
      </c>
      <c r="R4557" s="525" t="str">
        <f>IF(ISERROR(FIND('112'!$M$9,G4557,1)),"",IF((AND(FIND('112'!$M$9,G4557,1)&gt;=1,$B4557&gt;='112'!$N$8,$B4557&lt;='112'!$O$8,OR($L4557='112'!$I$6,$M4557='112'!$I$6))),"x",""))</f>
        <v/>
      </c>
      <c r="S4557" s="525" t="str">
        <f>IF(ISERROR(FIND('112'!$M$9,G4557,1)),"",IF((AND(LEFT(G4557,2)=LEFT('112'!$M$9,2),B4557&lt;'112'!$N$8,$L4557='112'!$I$6)),"x",""))</f>
        <v/>
      </c>
      <c r="T4557" s="525" t="str">
        <f>IF(ISERROR(FIND('112'!$M$9,G4557,1)),"",IF((AND(RIGHT(G4557,2)=RIGHT('112'!$M$9,2),B4557&lt;'112'!$N$8,$M4557='112'!$I$6)),"x",""))</f>
        <v/>
      </c>
      <c r="U4557" s="525" t="str">
        <f>IF(AND(B4557&gt;='IN-NX'!$P$3,B4557&lt;='IN-NX'!$Q$3,'IN-NX'!$D$7=D4557,OR(LEFT(L4557,2)="15",AND(LEFT(M4557,2)&lt;&gt;"15",LEFT(M4557,2)&lt;&gt;"33"))),"x","")</f>
        <v/>
      </c>
      <c r="V4557" s="525" t="str">
        <f>IF(AND(OR(LEFT(TH!L4557,2)="15",LEFT(TH!M4557,2)="15"),'152-CT'!$J$8=TH!F4557),"x","")</f>
        <v/>
      </c>
      <c r="W4557" s="525" t="str">
        <f>IF(AND(OR(LEFT(TH!L4557,2)="15",LEFT(TH!M4557,2)="15"),TK!$E$7=TH!F4557),"x","")</f>
        <v/>
      </c>
      <c r="X4557" s="525" t="str">
        <f>IF(AND('341-CT'!$E$9=H4557,OR(LEFT(L4557,3)=$X$7,LEFT(M4557,3)=$X$7)),"x","")</f>
        <v/>
      </c>
      <c r="Y4557" s="525" t="str">
        <f>IF(OR(TH!L4557=TH!$Y$7,M4557=TH!$Y$7),"x","")</f>
        <v/>
      </c>
      <c r="Z4557" s="525" t="str">
        <f>IF(AND(B4557&lt;=NKC!$N$8,B4557&gt;=NKC!$M$8),"x","")</f>
        <v/>
      </c>
      <c r="AA4557" s="535"/>
    </row>
    <row r="4558" spans="1:30" s="503" customFormat="1" ht="15.75" customHeight="1">
      <c r="A4558" s="517" t="str">
        <f>IF(B4558&lt;&gt;"",IF(AND(B4558&gt;=_TM1,B4558&lt;=_TM2,OR(TH!L4558="1111",TH!M4558="1111")),TH!D4558,""),"")</f>
        <v/>
      </c>
      <c r="B4558" s="531" t="str">
        <f t="shared" si="563"/>
        <v/>
      </c>
      <c r="C4558" s="315"/>
      <c r="D4558" s="537"/>
      <c r="E4558" s="280"/>
      <c r="F4558" s="247"/>
      <c r="G4558" s="538"/>
      <c r="H4558" s="473"/>
      <c r="I4558" s="307"/>
      <c r="J4558" s="307"/>
      <c r="K4558" s="532"/>
      <c r="L4558" s="534"/>
      <c r="M4558" s="534"/>
      <c r="N4558" s="525" t="str">
        <f>IF(AND('331-CT'!$E$7=TH!H4558,OR(L4558="331",M4558="331")),"331",IF(AND(OR(L4558="131",M4558="131"),H4558='131-CT'!$E$7),"131",""))</f>
        <v/>
      </c>
      <c r="O4558" s="525" t="str">
        <f>IF(AND($B4558&gt;='111'!$N$11,$B4558&lt;='111'!$O$11,OR($L4558=$O$7,$M4558=$O$7)),"x","")</f>
        <v/>
      </c>
      <c r="P4558" s="525" t="str">
        <f>IF(AND($L4558=$O$7,$B4558&lt;'111'!$N$11),"x","")</f>
        <v/>
      </c>
      <c r="Q4558" s="525" t="str">
        <f>IF(AND($M4558=$O$7,$B4558&lt;'111'!$N$11),"x","")</f>
        <v/>
      </c>
      <c r="R4558" s="525" t="str">
        <f>IF(ISERROR(FIND('112'!$M$9,G4558,1)),"",IF((AND(FIND('112'!$M$9,G4558,1)&gt;=1,$B4558&gt;='112'!$N$8,$B4558&lt;='112'!$O$8,OR($L4558='112'!$I$6,$M4558='112'!$I$6))),"x",""))</f>
        <v/>
      </c>
      <c r="S4558" s="525" t="str">
        <f>IF(ISERROR(FIND('112'!$M$9,G4558,1)),"",IF((AND(LEFT(G4558,2)=LEFT('112'!$M$9,2),B4558&lt;'112'!$N$8,$L4558='112'!$I$6)),"x",""))</f>
        <v/>
      </c>
      <c r="T4558" s="525" t="str">
        <f>IF(ISERROR(FIND('112'!$M$9,G4558,1)),"",IF((AND(RIGHT(G4558,2)=RIGHT('112'!$M$9,2),B4558&lt;'112'!$N$8,$M4558='112'!$I$6)),"x",""))</f>
        <v/>
      </c>
      <c r="U4558" s="525" t="str">
        <f>IF(AND(B4558&gt;='IN-NX'!$P$3,B4558&lt;='IN-NX'!$Q$3,'IN-NX'!$D$7=D4558,OR(LEFT(L4558,2)="15",AND(LEFT(M4558,2)&lt;&gt;"15",LEFT(M4558,2)&lt;&gt;"33"))),"x","")</f>
        <v/>
      </c>
      <c r="V4558" s="525" t="str">
        <f>IF(AND(OR(LEFT(TH!L4558,2)="15",LEFT(TH!M4558,2)="15"),'152-CT'!$J$8=TH!F4558),"x","")</f>
        <v/>
      </c>
      <c r="W4558" s="525" t="str">
        <f>IF(AND(OR(LEFT(TH!L4558,2)="15",LEFT(TH!M4558,2)="15"),TK!$E$7=TH!F4558),"x","")</f>
        <v/>
      </c>
      <c r="X4558" s="525" t="str">
        <f>IF(AND('341-CT'!$E$9=H4558,OR(LEFT(L4558,3)=$X$7,LEFT(M4558,3)=$X$7)),"x","")</f>
        <v/>
      </c>
      <c r="Y4558" s="525" t="str">
        <f>IF(OR(TH!L4558=TH!$Y$7,M4558=TH!$Y$7),"x","")</f>
        <v/>
      </c>
      <c r="Z4558" s="525" t="str">
        <f>IF(AND(B4558&lt;=NKC!$N$8,B4558&gt;=NKC!$M$8),"x","")</f>
        <v/>
      </c>
      <c r="AA4558" s="535"/>
    </row>
    <row r="4559" spans="1:30" s="503" customFormat="1" ht="15.75" customHeight="1">
      <c r="A4559" s="517" t="str">
        <f>IF(B4559&lt;&gt;"",IF(AND(B4559&gt;=_TM1,B4559&lt;=_TM2,OR(TH!L4559="1111",TH!M4559="1111")),TH!D4559,""),"")</f>
        <v/>
      </c>
      <c r="B4559" s="531" t="str">
        <f t="shared" si="563"/>
        <v/>
      </c>
      <c r="C4559" s="315"/>
      <c r="D4559" s="537"/>
      <c r="E4559" s="280"/>
      <c r="F4559" s="247"/>
      <c r="G4559" s="538"/>
      <c r="H4559" s="473"/>
      <c r="I4559" s="307"/>
      <c r="J4559" s="307"/>
      <c r="K4559" s="532"/>
      <c r="L4559" s="534"/>
      <c r="M4559" s="534"/>
      <c r="N4559" s="525" t="str">
        <f>IF(AND('331-CT'!$E$7=TH!H4559,OR(L4559="331",M4559="331")),"331",IF(AND(OR(L4559="131",M4559="131"),H4559='131-CT'!$E$7),"131",""))</f>
        <v/>
      </c>
      <c r="O4559" s="525" t="str">
        <f>IF(AND($B4559&gt;='111'!$N$11,$B4559&lt;='111'!$O$11,OR($L4559=$O$7,$M4559=$O$7)),"x","")</f>
        <v/>
      </c>
      <c r="P4559" s="525" t="str">
        <f>IF(AND($L4559=$O$7,$B4559&lt;'111'!$N$11),"x","")</f>
        <v/>
      </c>
      <c r="Q4559" s="525" t="str">
        <f>IF(AND($M4559=$O$7,$B4559&lt;'111'!$N$11),"x","")</f>
        <v/>
      </c>
      <c r="R4559" s="525" t="str">
        <f>IF(ISERROR(FIND('112'!$M$9,G4559,1)),"",IF((AND(FIND('112'!$M$9,G4559,1)&gt;=1,$B4559&gt;='112'!$N$8,$B4559&lt;='112'!$O$8,OR($L4559='112'!$I$6,$M4559='112'!$I$6))),"x",""))</f>
        <v/>
      </c>
      <c r="S4559" s="525" t="str">
        <f>IF(ISERROR(FIND('112'!$M$9,G4559,1)),"",IF((AND(LEFT(G4559,2)=LEFT('112'!$M$9,2),B4559&lt;'112'!$N$8,$L4559='112'!$I$6)),"x",""))</f>
        <v/>
      </c>
      <c r="T4559" s="525" t="str">
        <f>IF(ISERROR(FIND('112'!$M$9,G4559,1)),"",IF((AND(RIGHT(G4559,2)=RIGHT('112'!$M$9,2),B4559&lt;'112'!$N$8,$M4559='112'!$I$6)),"x",""))</f>
        <v/>
      </c>
      <c r="U4559" s="525" t="str">
        <f>IF(AND(B4559&gt;='IN-NX'!$P$3,B4559&lt;='IN-NX'!$Q$3,'IN-NX'!$D$7=D4559,OR(LEFT(L4559,2)="15",AND(LEFT(M4559,2)&lt;&gt;"15",LEFT(M4559,2)&lt;&gt;"33"))),"x","")</f>
        <v/>
      </c>
      <c r="V4559" s="525" t="str">
        <f>IF(AND(OR(LEFT(TH!L4559,2)="15",LEFT(TH!M4559,2)="15"),'152-CT'!$J$8=TH!F4559),"x","")</f>
        <v/>
      </c>
      <c r="W4559" s="525" t="str">
        <f>IF(AND(OR(LEFT(TH!L4559,2)="15",LEFT(TH!M4559,2)="15"),TK!$E$7=TH!F4559),"x","")</f>
        <v/>
      </c>
      <c r="X4559" s="525" t="str">
        <f>IF(AND('341-CT'!$E$9=H4559,OR(LEFT(L4559,3)=$X$7,LEFT(M4559,3)=$X$7)),"x","")</f>
        <v/>
      </c>
      <c r="Y4559" s="525" t="str">
        <f>IF(OR(TH!L4559=TH!$Y$7,M4559=TH!$Y$7),"x","")</f>
        <v/>
      </c>
      <c r="Z4559" s="525" t="str">
        <f>IF(AND(B4559&lt;=NKC!$N$8,B4559&gt;=NKC!$M$8),"x","")</f>
        <v/>
      </c>
      <c r="AA4559" s="535"/>
    </row>
    <row r="4560" spans="1:30" s="503" customFormat="1" ht="15.75" customHeight="1">
      <c r="A4560" s="517" t="str">
        <f>IF(B4560&lt;&gt;"",IF(AND(B4560&gt;=_TM1,B4560&lt;=_TM2,OR(TH!L4560="1111",TH!M4560="1111")),TH!D4560,""),"")</f>
        <v/>
      </c>
      <c r="B4560" s="531" t="str">
        <f t="shared" si="563"/>
        <v/>
      </c>
      <c r="C4560" s="315"/>
      <c r="D4560" s="537"/>
      <c r="E4560" s="280"/>
      <c r="F4560" s="250"/>
      <c r="G4560" s="538"/>
      <c r="H4560" s="473"/>
      <c r="I4560" s="307"/>
      <c r="J4560" s="307"/>
      <c r="K4560" s="532"/>
      <c r="L4560" s="539"/>
      <c r="M4560" s="539"/>
      <c r="N4560" s="525" t="str">
        <f>IF(AND('331-CT'!$E$7=TH!H4560,OR(L4560="331",M4560="331")),"331",IF(AND(OR(L4560="131",M4560="131"),H4560='131-CT'!$E$7),"131",""))</f>
        <v/>
      </c>
      <c r="O4560" s="525" t="str">
        <f>IF(AND($B4560&gt;='111'!$N$11,$B4560&lt;='111'!$O$11,OR($L4560=$O$7,$M4560=$O$7)),"x","")</f>
        <v/>
      </c>
      <c r="P4560" s="525" t="str">
        <f>IF(AND($L4560=$O$7,$B4560&lt;'111'!$N$11),"x","")</f>
        <v/>
      </c>
      <c r="Q4560" s="525" t="str">
        <f>IF(AND($M4560=$O$7,$B4560&lt;'111'!$N$11),"x","")</f>
        <v/>
      </c>
      <c r="R4560" s="525" t="str">
        <f>IF(ISERROR(FIND('112'!$M$9,G4560,1)),"",IF((AND(FIND('112'!$M$9,G4560,1)&gt;=1,$B4560&gt;='112'!$N$8,$B4560&lt;='112'!$O$8,OR($L4560='112'!$I$6,$M4560='112'!$I$6))),"x",""))</f>
        <v/>
      </c>
      <c r="S4560" s="525" t="str">
        <f>IF(ISERROR(FIND('112'!$M$9,G4560,1)),"",IF((AND(LEFT(G4560,2)=LEFT('112'!$M$9,2),B4560&lt;'112'!$N$8,$L4560='112'!$I$6)),"x",""))</f>
        <v/>
      </c>
      <c r="T4560" s="525" t="str">
        <f>IF(ISERROR(FIND('112'!$M$9,G4560,1)),"",IF((AND(RIGHT(G4560,2)=RIGHT('112'!$M$9,2),B4560&lt;'112'!$N$8,$M4560='112'!$I$6)),"x",""))</f>
        <v/>
      </c>
      <c r="U4560" s="525" t="str">
        <f>IF(AND(B4560&gt;='IN-NX'!$P$3,B4560&lt;='IN-NX'!$Q$3,'IN-NX'!$D$7=D4560,OR(LEFT(L4560,2)="15",AND(LEFT(M4560,2)&lt;&gt;"15",LEFT(M4560,2)&lt;&gt;"33"))),"x","")</f>
        <v/>
      </c>
      <c r="V4560" s="525" t="str">
        <f>IF(AND(OR(LEFT(TH!L4560,2)="15",LEFT(TH!M4560,2)="15"),'152-CT'!$J$8=TH!F4560),"x","")</f>
        <v/>
      </c>
      <c r="W4560" s="525" t="str">
        <f>IF(AND(OR(LEFT(TH!L4560,2)="15",LEFT(TH!M4560,2)="15"),TK!$E$7=TH!F4560),"x","")</f>
        <v/>
      </c>
      <c r="X4560" s="525" t="str">
        <f>IF(AND('341-CT'!$E$9=H4560,OR(LEFT(L4560,3)=$X$7,LEFT(M4560,3)=$X$7)),"x","")</f>
        <v/>
      </c>
      <c r="Y4560" s="525" t="str">
        <f>IF(OR(TH!L4560=TH!$Y$7,M4560=TH!$Y$7),"x","")</f>
        <v/>
      </c>
      <c r="Z4560" s="525" t="str">
        <f>IF(AND(B4560&lt;=NKC!$N$8,B4560&gt;=NKC!$M$8),"x","")</f>
        <v/>
      </c>
      <c r="AA4560" s="535"/>
      <c r="AB4560" s="536"/>
    </row>
    <row r="4561" spans="1:28" s="503" customFormat="1" ht="15.75" customHeight="1">
      <c r="A4561" s="517" t="str">
        <f>IF(B4561&lt;&gt;"",IF(AND(B4561&gt;=_TM1,B4561&lt;=_TM2,OR(TH!L4561="1111",TH!M4561="1111")),TH!D4561,""),"")</f>
        <v/>
      </c>
      <c r="B4561" s="531" t="str">
        <f t="shared" si="563"/>
        <v/>
      </c>
      <c r="C4561" s="315"/>
      <c r="D4561" s="537"/>
      <c r="E4561" s="280"/>
      <c r="F4561" s="250"/>
      <c r="G4561" s="538"/>
      <c r="H4561" s="473"/>
      <c r="I4561" s="307"/>
      <c r="J4561" s="307"/>
      <c r="K4561" s="532"/>
      <c r="L4561" s="539"/>
      <c r="M4561" s="539"/>
      <c r="N4561" s="525" t="str">
        <f>IF(AND('331-CT'!$E$7=TH!H4561,OR(L4561="331",M4561="331")),"331",IF(AND(OR(L4561="131",M4561="131"),H4561='131-CT'!$E$7),"131",""))</f>
        <v/>
      </c>
      <c r="O4561" s="525" t="str">
        <f>IF(AND($B4561&gt;='111'!$N$11,$B4561&lt;='111'!$O$11,OR($L4561=$O$7,$M4561=$O$7)),"x","")</f>
        <v/>
      </c>
      <c r="P4561" s="525" t="str">
        <f>IF(AND($L4561=$O$7,$B4561&lt;'111'!$N$11),"x","")</f>
        <v/>
      </c>
      <c r="Q4561" s="525" t="str">
        <f>IF(AND($M4561=$O$7,$B4561&lt;'111'!$N$11),"x","")</f>
        <v/>
      </c>
      <c r="R4561" s="525" t="str">
        <f>IF(ISERROR(FIND('112'!$M$9,G4561,1)),"",IF((AND(FIND('112'!$M$9,G4561,1)&gt;=1,$B4561&gt;='112'!$N$8,$B4561&lt;='112'!$O$8,OR($L4561='112'!$I$6,$M4561='112'!$I$6))),"x",""))</f>
        <v/>
      </c>
      <c r="S4561" s="525" t="str">
        <f>IF(ISERROR(FIND('112'!$M$9,G4561,1)),"",IF((AND(LEFT(G4561,2)=LEFT('112'!$M$9,2),B4561&lt;'112'!$N$8,$L4561='112'!$I$6)),"x",""))</f>
        <v/>
      </c>
      <c r="T4561" s="525" t="str">
        <f>IF(ISERROR(FIND('112'!$M$9,G4561,1)),"",IF((AND(RIGHT(G4561,2)=RIGHT('112'!$M$9,2),B4561&lt;'112'!$N$8,$M4561='112'!$I$6)),"x",""))</f>
        <v/>
      </c>
      <c r="U4561" s="525" t="str">
        <f>IF(AND(B4561&gt;='IN-NX'!$P$3,B4561&lt;='IN-NX'!$Q$3,'IN-NX'!$D$7=D4561,OR(LEFT(L4561,2)="15",AND(LEFT(M4561,2)&lt;&gt;"15",LEFT(M4561,2)&lt;&gt;"33"))),"x","")</f>
        <v/>
      </c>
      <c r="V4561" s="525" t="str">
        <f>IF(AND(OR(LEFT(TH!L4561,2)="15",LEFT(TH!M4561,2)="15"),'152-CT'!$J$8=TH!F4561),"x","")</f>
        <v/>
      </c>
      <c r="W4561" s="525" t="str">
        <f>IF(AND(OR(LEFT(TH!L4561,2)="15",LEFT(TH!M4561,2)="15"),TK!$E$7=TH!F4561),"x","")</f>
        <v/>
      </c>
      <c r="X4561" s="525" t="str">
        <f>IF(AND('341-CT'!$E$9=H4561,OR(LEFT(L4561,3)=$X$7,LEFT(M4561,3)=$X$7)),"x","")</f>
        <v/>
      </c>
      <c r="Y4561" s="525" t="str">
        <f>IF(OR(TH!L4561=TH!$Y$7,M4561=TH!$Y$7),"x","")</f>
        <v/>
      </c>
      <c r="Z4561" s="525" t="str">
        <f>IF(AND(B4561&lt;=NKC!$N$8,B4561&gt;=NKC!$M$8),"x","")</f>
        <v/>
      </c>
      <c r="AA4561" s="535"/>
      <c r="AB4561" s="536"/>
    </row>
    <row r="4562" spans="1:28" s="503" customFormat="1" ht="15.75" customHeight="1">
      <c r="A4562" s="517" t="str">
        <f>IF(B4562&lt;&gt;"",IF(AND(B4562&gt;=_TM1,B4562&lt;=_TM2,OR(TH!L4562="1111",TH!M4562="1111")),TH!D4562,""),"")</f>
        <v/>
      </c>
      <c r="B4562" s="531" t="str">
        <f t="shared" si="563"/>
        <v/>
      </c>
      <c r="C4562" s="315"/>
      <c r="D4562" s="537"/>
      <c r="E4562" s="280"/>
      <c r="F4562" s="250"/>
      <c r="G4562" s="538"/>
      <c r="H4562" s="473"/>
      <c r="I4562" s="307"/>
      <c r="J4562" s="307"/>
      <c r="K4562" s="532"/>
      <c r="L4562" s="539"/>
      <c r="M4562" s="539"/>
      <c r="N4562" s="525" t="str">
        <f>IF(AND('331-CT'!$E$7=TH!H4562,OR(L4562="331",M4562="331")),"331",IF(AND(OR(L4562="131",M4562="131"),H4562='131-CT'!$E$7),"131",""))</f>
        <v/>
      </c>
      <c r="O4562" s="525" t="str">
        <f>IF(AND($B4562&gt;='111'!$N$11,$B4562&lt;='111'!$O$11,OR($L4562=$O$7,$M4562=$O$7)),"x","")</f>
        <v/>
      </c>
      <c r="P4562" s="525" t="str">
        <f>IF(AND($L4562=$O$7,$B4562&lt;'111'!$N$11),"x","")</f>
        <v/>
      </c>
      <c r="Q4562" s="525" t="str">
        <f>IF(AND($M4562=$O$7,$B4562&lt;'111'!$N$11),"x","")</f>
        <v/>
      </c>
      <c r="R4562" s="525" t="str">
        <f>IF(ISERROR(FIND('112'!$M$9,G4562,1)),"",IF((AND(FIND('112'!$M$9,G4562,1)&gt;=1,$B4562&gt;='112'!$N$8,$B4562&lt;='112'!$O$8,OR($L4562='112'!$I$6,$M4562='112'!$I$6))),"x",""))</f>
        <v/>
      </c>
      <c r="S4562" s="525" t="str">
        <f>IF(ISERROR(FIND('112'!$M$9,G4562,1)),"",IF((AND(LEFT(G4562,2)=LEFT('112'!$M$9,2),B4562&lt;'112'!$N$8,$L4562='112'!$I$6)),"x",""))</f>
        <v/>
      </c>
      <c r="T4562" s="525" t="str">
        <f>IF(ISERROR(FIND('112'!$M$9,G4562,1)),"",IF((AND(RIGHT(G4562,2)=RIGHT('112'!$M$9,2),B4562&lt;'112'!$N$8,$M4562='112'!$I$6)),"x",""))</f>
        <v/>
      </c>
      <c r="U4562" s="525" t="str">
        <f>IF(AND(B4562&gt;='IN-NX'!$P$3,B4562&lt;='IN-NX'!$Q$3,'IN-NX'!$D$7=D4562,OR(LEFT(L4562,2)="15",AND(LEFT(M4562,2)&lt;&gt;"15",LEFT(M4562,2)&lt;&gt;"33"))),"x","")</f>
        <v/>
      </c>
      <c r="V4562" s="525" t="str">
        <f>IF(AND(OR(LEFT(TH!L4562,2)="15",LEFT(TH!M4562,2)="15"),'152-CT'!$J$8=TH!F4562),"x","")</f>
        <v/>
      </c>
      <c r="W4562" s="525" t="str">
        <f>IF(AND(OR(LEFT(TH!L4562,2)="15",LEFT(TH!M4562,2)="15"),TK!$E$7=TH!F4562),"x","")</f>
        <v/>
      </c>
      <c r="X4562" s="525" t="str">
        <f>IF(AND('341-CT'!$E$9=H4562,OR(LEFT(L4562,3)=$X$7,LEFT(M4562,3)=$X$7)),"x","")</f>
        <v/>
      </c>
      <c r="Y4562" s="525" t="str">
        <f>IF(OR(TH!L4562=TH!$Y$7,M4562=TH!$Y$7),"x","")</f>
        <v/>
      </c>
      <c r="Z4562" s="525" t="str">
        <f>IF(AND(B4562&lt;=NKC!$N$8,B4562&gt;=NKC!$M$8),"x","")</f>
        <v/>
      </c>
      <c r="AA4562" s="535"/>
      <c r="AB4562" s="536"/>
    </row>
    <row r="4563" spans="1:28" s="503" customFormat="1" ht="15.75" customHeight="1">
      <c r="A4563" s="517" t="str">
        <f>IF(B4563&lt;&gt;"",IF(AND(B4563&gt;=_TM1,B4563&lt;=_TM2,OR(TH!L4563="1111",TH!M4563="1111")),TH!D4563,""),"")</f>
        <v/>
      </c>
      <c r="B4563" s="531" t="str">
        <f t="shared" si="563"/>
        <v/>
      </c>
      <c r="C4563" s="315"/>
      <c r="D4563" s="537"/>
      <c r="E4563" s="280"/>
      <c r="F4563" s="250"/>
      <c r="G4563" s="538"/>
      <c r="H4563" s="473"/>
      <c r="I4563" s="307"/>
      <c r="J4563" s="307"/>
      <c r="K4563" s="532"/>
      <c r="L4563" s="539"/>
      <c r="M4563" s="539"/>
      <c r="N4563" s="525" t="str">
        <f>IF(AND('331-CT'!$E$7=TH!H4563,OR(L4563="331",M4563="331")),"331",IF(AND(OR(L4563="131",M4563="131"),H4563='131-CT'!$E$7),"131",""))</f>
        <v/>
      </c>
      <c r="O4563" s="525" t="str">
        <f>IF(AND($B4563&gt;='111'!$N$11,$B4563&lt;='111'!$O$11,OR($L4563=$O$7,$M4563=$O$7)),"x","")</f>
        <v/>
      </c>
      <c r="P4563" s="525" t="str">
        <f>IF(AND($L4563=$O$7,$B4563&lt;'111'!$N$11),"x","")</f>
        <v/>
      </c>
      <c r="Q4563" s="525" t="str">
        <f>IF(AND($M4563=$O$7,$B4563&lt;'111'!$N$11),"x","")</f>
        <v/>
      </c>
      <c r="R4563" s="525" t="str">
        <f>IF(ISERROR(FIND('112'!$M$9,G4563,1)),"",IF((AND(FIND('112'!$M$9,G4563,1)&gt;=1,$B4563&gt;='112'!$N$8,$B4563&lt;='112'!$O$8,OR($L4563='112'!$I$6,$M4563='112'!$I$6))),"x",""))</f>
        <v/>
      </c>
      <c r="S4563" s="525" t="str">
        <f>IF(ISERROR(FIND('112'!$M$9,G4563,1)),"",IF((AND(LEFT(G4563,2)=LEFT('112'!$M$9,2),B4563&lt;'112'!$N$8,$L4563='112'!$I$6)),"x",""))</f>
        <v/>
      </c>
      <c r="T4563" s="525" t="str">
        <f>IF(ISERROR(FIND('112'!$M$9,G4563,1)),"",IF((AND(RIGHT(G4563,2)=RIGHT('112'!$M$9,2),B4563&lt;'112'!$N$8,$M4563='112'!$I$6)),"x",""))</f>
        <v/>
      </c>
      <c r="U4563" s="525" t="str">
        <f>IF(AND(B4563&gt;='IN-NX'!$P$3,B4563&lt;='IN-NX'!$Q$3,'IN-NX'!$D$7=D4563,OR(LEFT(L4563,2)="15",AND(LEFT(M4563,2)&lt;&gt;"15",LEFT(M4563,2)&lt;&gt;"33"))),"x","")</f>
        <v/>
      </c>
      <c r="V4563" s="525" t="str">
        <f>IF(AND(OR(LEFT(TH!L4563,2)="15",LEFT(TH!M4563,2)="15"),'152-CT'!$J$8=TH!F4563),"x","")</f>
        <v/>
      </c>
      <c r="W4563" s="525" t="str">
        <f>IF(AND(OR(LEFT(TH!L4563,2)="15",LEFT(TH!M4563,2)="15"),TK!$E$7=TH!F4563),"x","")</f>
        <v/>
      </c>
      <c r="X4563" s="525" t="str">
        <f>IF(AND('341-CT'!$E$9=H4563,OR(LEFT(L4563,3)=$X$7,LEFT(M4563,3)=$X$7)),"x","")</f>
        <v/>
      </c>
      <c r="Y4563" s="525" t="str">
        <f>IF(OR(TH!L4563=TH!$Y$7,M4563=TH!$Y$7),"x","")</f>
        <v/>
      </c>
      <c r="Z4563" s="525" t="str">
        <f>IF(AND(B4563&lt;=NKC!$N$8,B4563&gt;=NKC!$M$8),"x","")</f>
        <v/>
      </c>
      <c r="AA4563" s="535"/>
      <c r="AB4563" s="536"/>
    </row>
    <row r="4564" spans="1:28" s="503" customFormat="1" ht="15.75" customHeight="1">
      <c r="A4564" s="517" t="str">
        <f>IF(B4564&lt;&gt;"",IF(AND(B4564&gt;=_TM1,B4564&lt;=_TM2,OR(TH!L4564="1111",TH!M4564="1111")),TH!D4564,""),"")</f>
        <v/>
      </c>
      <c r="B4564" s="531" t="str">
        <f t="shared" si="563"/>
        <v/>
      </c>
      <c r="C4564" s="315"/>
      <c r="D4564" s="537"/>
      <c r="E4564" s="280"/>
      <c r="F4564" s="250"/>
      <c r="G4564" s="538"/>
      <c r="H4564" s="473"/>
      <c r="I4564" s="307"/>
      <c r="J4564" s="307"/>
      <c r="K4564" s="532"/>
      <c r="L4564" s="539"/>
      <c r="M4564" s="539"/>
      <c r="N4564" s="525" t="str">
        <f>IF(AND('331-CT'!$E$7=TH!H4564,OR(L4564="331",M4564="331")),"331",IF(AND(OR(L4564="131",M4564="131"),H4564='131-CT'!$E$7),"131",""))</f>
        <v/>
      </c>
      <c r="O4564" s="525" t="str">
        <f>IF(AND($B4564&gt;='111'!$N$11,$B4564&lt;='111'!$O$11,OR($L4564=$O$7,$M4564=$O$7)),"x","")</f>
        <v/>
      </c>
      <c r="P4564" s="525" t="str">
        <f>IF(AND($L4564=$O$7,$B4564&lt;'111'!$N$11),"x","")</f>
        <v/>
      </c>
      <c r="Q4564" s="525" t="str">
        <f>IF(AND($M4564=$O$7,$B4564&lt;'111'!$N$11),"x","")</f>
        <v/>
      </c>
      <c r="R4564" s="525" t="str">
        <f>IF(ISERROR(FIND('112'!$M$9,G4564,1)),"",IF((AND(FIND('112'!$M$9,G4564,1)&gt;=1,$B4564&gt;='112'!$N$8,$B4564&lt;='112'!$O$8,OR($L4564='112'!$I$6,$M4564='112'!$I$6))),"x",""))</f>
        <v/>
      </c>
      <c r="S4564" s="525" t="str">
        <f>IF(ISERROR(FIND('112'!$M$9,G4564,1)),"",IF((AND(LEFT(G4564,2)=LEFT('112'!$M$9,2),B4564&lt;'112'!$N$8,$L4564='112'!$I$6)),"x",""))</f>
        <v/>
      </c>
      <c r="T4564" s="525" t="str">
        <f>IF(ISERROR(FIND('112'!$M$9,G4564,1)),"",IF((AND(RIGHT(G4564,2)=RIGHT('112'!$M$9,2),B4564&lt;'112'!$N$8,$M4564='112'!$I$6)),"x",""))</f>
        <v/>
      </c>
      <c r="U4564" s="525" t="str">
        <f>IF(AND(B4564&gt;='IN-NX'!$P$3,B4564&lt;='IN-NX'!$Q$3,'IN-NX'!$D$7=D4564,OR(LEFT(L4564,2)="15",AND(LEFT(M4564,2)&lt;&gt;"15",LEFT(M4564,2)&lt;&gt;"33"))),"x","")</f>
        <v/>
      </c>
      <c r="V4564" s="525" t="str">
        <f>IF(AND(OR(LEFT(TH!L4564,2)="15",LEFT(TH!M4564,2)="15"),'152-CT'!$J$8=TH!F4564),"x","")</f>
        <v/>
      </c>
      <c r="W4564" s="525" t="str">
        <f>IF(AND(OR(LEFT(TH!L4564,2)="15",LEFT(TH!M4564,2)="15"),TK!$E$7=TH!F4564),"x","")</f>
        <v/>
      </c>
      <c r="X4564" s="525" t="str">
        <f>IF(AND('341-CT'!$E$9=H4564,OR(LEFT(L4564,3)=$X$7,LEFT(M4564,3)=$X$7)),"x","")</f>
        <v/>
      </c>
      <c r="Y4564" s="525" t="str">
        <f>IF(OR(TH!L4564=TH!$Y$7,M4564=TH!$Y$7),"x","")</f>
        <v/>
      </c>
      <c r="Z4564" s="525" t="str">
        <f>IF(AND(B4564&lt;=NKC!$N$8,B4564&gt;=NKC!$M$8),"x","")</f>
        <v/>
      </c>
      <c r="AA4564" s="535"/>
      <c r="AB4564" s="536"/>
    </row>
    <row r="4565" spans="1:28" s="503" customFormat="1" ht="15.75" customHeight="1">
      <c r="A4565" s="517" t="str">
        <f>IF(B4565&lt;&gt;"",IF(AND(B4565&gt;=_TM1,B4565&lt;=_TM2,OR(TH!L4565="1111",TH!M4565="1111")),TH!D4565,""),"")</f>
        <v/>
      </c>
      <c r="B4565" s="531" t="str">
        <f t="shared" si="563"/>
        <v/>
      </c>
      <c r="C4565" s="315"/>
      <c r="D4565" s="537"/>
      <c r="E4565" s="280"/>
      <c r="F4565" s="250"/>
      <c r="G4565" s="538"/>
      <c r="H4565" s="473"/>
      <c r="I4565" s="307"/>
      <c r="J4565" s="307"/>
      <c r="K4565" s="532"/>
      <c r="L4565" s="539"/>
      <c r="M4565" s="539"/>
      <c r="N4565" s="525" t="str">
        <f>IF(AND('331-CT'!$E$7=TH!H4565,OR(L4565="331",M4565="331")),"331",IF(AND(OR(L4565="131",M4565="131"),H4565='131-CT'!$E$7),"131",""))</f>
        <v/>
      </c>
      <c r="O4565" s="525" t="str">
        <f>IF(AND($B4565&gt;='111'!$N$11,$B4565&lt;='111'!$O$11,OR($L4565=$O$7,$M4565=$O$7)),"x","")</f>
        <v/>
      </c>
      <c r="P4565" s="525" t="str">
        <f>IF(AND($L4565=$O$7,$B4565&lt;'111'!$N$11),"x","")</f>
        <v/>
      </c>
      <c r="Q4565" s="525" t="str">
        <f>IF(AND($M4565=$O$7,$B4565&lt;'111'!$N$11),"x","")</f>
        <v/>
      </c>
      <c r="R4565" s="525" t="str">
        <f>IF(ISERROR(FIND('112'!$M$9,G4565,1)),"",IF((AND(FIND('112'!$M$9,G4565,1)&gt;=1,$B4565&gt;='112'!$N$8,$B4565&lt;='112'!$O$8,OR($L4565='112'!$I$6,$M4565='112'!$I$6))),"x",""))</f>
        <v/>
      </c>
      <c r="S4565" s="525" t="str">
        <f>IF(ISERROR(FIND('112'!$M$9,G4565,1)),"",IF((AND(LEFT(G4565,2)=LEFT('112'!$M$9,2),B4565&lt;'112'!$N$8,$L4565='112'!$I$6)),"x",""))</f>
        <v/>
      </c>
      <c r="T4565" s="525" t="str">
        <f>IF(ISERROR(FIND('112'!$M$9,G4565,1)),"",IF((AND(RIGHT(G4565,2)=RIGHT('112'!$M$9,2),B4565&lt;'112'!$N$8,$M4565='112'!$I$6)),"x",""))</f>
        <v/>
      </c>
      <c r="U4565" s="525" t="str">
        <f>IF(AND(B4565&gt;='IN-NX'!$P$3,B4565&lt;='IN-NX'!$Q$3,'IN-NX'!$D$7=D4565,OR(LEFT(L4565,2)="15",AND(LEFT(M4565,2)&lt;&gt;"15",LEFT(M4565,2)&lt;&gt;"33"))),"x","")</f>
        <v/>
      </c>
      <c r="V4565" s="525" t="str">
        <f>IF(AND(OR(LEFT(TH!L4565,2)="15",LEFT(TH!M4565,2)="15"),'152-CT'!$J$8=TH!F4565),"x","")</f>
        <v/>
      </c>
      <c r="W4565" s="525" t="str">
        <f>IF(AND(OR(LEFT(TH!L4565,2)="15",LEFT(TH!M4565,2)="15"),TK!$E$7=TH!F4565),"x","")</f>
        <v/>
      </c>
      <c r="X4565" s="525" t="str">
        <f>IF(AND('341-CT'!$E$9=H4565,OR(LEFT(L4565,3)=$X$7,LEFT(M4565,3)=$X$7)),"x","")</f>
        <v/>
      </c>
      <c r="Y4565" s="525" t="str">
        <f>IF(OR(TH!L4565=TH!$Y$7,M4565=TH!$Y$7),"x","")</f>
        <v/>
      </c>
      <c r="Z4565" s="525" t="str">
        <f>IF(AND(B4565&lt;=NKC!$N$8,B4565&gt;=NKC!$M$8),"x","")</f>
        <v/>
      </c>
      <c r="AA4565" s="535"/>
      <c r="AB4565" s="536"/>
    </row>
    <row r="4566" spans="1:28" s="503" customFormat="1" ht="15.75" customHeight="1">
      <c r="A4566" s="517" t="str">
        <f>IF(B4566&lt;&gt;"",IF(AND(B4566&gt;=_TM1,B4566&lt;=_TM2,OR(TH!L4566="1111",TH!M4566="1111")),TH!D4566,""),"")</f>
        <v/>
      </c>
      <c r="B4566" s="531" t="str">
        <f t="shared" si="563"/>
        <v/>
      </c>
      <c r="C4566" s="315"/>
      <c r="D4566" s="537"/>
      <c r="E4566" s="280"/>
      <c r="F4566" s="250"/>
      <c r="G4566" s="538"/>
      <c r="H4566" s="473"/>
      <c r="I4566" s="307"/>
      <c r="J4566" s="307"/>
      <c r="K4566" s="532"/>
      <c r="L4566" s="539"/>
      <c r="M4566" s="539"/>
      <c r="N4566" s="525" t="str">
        <f>IF(AND('331-CT'!$E$7=TH!H4566,OR(L4566="331",M4566="331")),"331",IF(AND(OR(L4566="131",M4566="131"),H4566='131-CT'!$E$7),"131",""))</f>
        <v/>
      </c>
      <c r="O4566" s="525" t="str">
        <f>IF(AND($B4566&gt;='111'!$N$11,$B4566&lt;='111'!$O$11,OR($L4566=$O$7,$M4566=$O$7)),"x","")</f>
        <v/>
      </c>
      <c r="P4566" s="525" t="str">
        <f>IF(AND($L4566=$O$7,$B4566&lt;'111'!$N$11),"x","")</f>
        <v/>
      </c>
      <c r="Q4566" s="525" t="str">
        <f>IF(AND($M4566=$O$7,$B4566&lt;'111'!$N$11),"x","")</f>
        <v/>
      </c>
      <c r="R4566" s="525" t="str">
        <f>IF(ISERROR(FIND('112'!$M$9,G4566,1)),"",IF((AND(FIND('112'!$M$9,G4566,1)&gt;=1,$B4566&gt;='112'!$N$8,$B4566&lt;='112'!$O$8,OR($L4566='112'!$I$6,$M4566='112'!$I$6))),"x",""))</f>
        <v/>
      </c>
      <c r="S4566" s="525" t="str">
        <f>IF(ISERROR(FIND('112'!$M$9,G4566,1)),"",IF((AND(LEFT(G4566,2)=LEFT('112'!$M$9,2),B4566&lt;'112'!$N$8,$L4566='112'!$I$6)),"x",""))</f>
        <v/>
      </c>
      <c r="T4566" s="525" t="str">
        <f>IF(ISERROR(FIND('112'!$M$9,G4566,1)),"",IF((AND(RIGHT(G4566,2)=RIGHT('112'!$M$9,2),B4566&lt;'112'!$N$8,$M4566='112'!$I$6)),"x",""))</f>
        <v/>
      </c>
      <c r="U4566" s="525" t="str">
        <f>IF(AND(B4566&gt;='IN-NX'!$P$3,B4566&lt;='IN-NX'!$Q$3,'IN-NX'!$D$7=D4566,OR(LEFT(L4566,2)="15",AND(LEFT(M4566,2)&lt;&gt;"15",LEFT(M4566,2)&lt;&gt;"33"))),"x","")</f>
        <v/>
      </c>
      <c r="V4566" s="525" t="str">
        <f>IF(AND(OR(LEFT(TH!L4566,2)="15",LEFT(TH!M4566,2)="15"),'152-CT'!$J$8=TH!F4566),"x","")</f>
        <v/>
      </c>
      <c r="W4566" s="525" t="str">
        <f>IF(AND(OR(LEFT(TH!L4566,2)="15",LEFT(TH!M4566,2)="15"),TK!$E$7=TH!F4566),"x","")</f>
        <v/>
      </c>
      <c r="X4566" s="525" t="str">
        <f>IF(AND('341-CT'!$E$9=H4566,OR(LEFT(L4566,3)=$X$7,LEFT(M4566,3)=$X$7)),"x","")</f>
        <v/>
      </c>
      <c r="Y4566" s="525" t="str">
        <f>IF(OR(TH!L4566=TH!$Y$7,M4566=TH!$Y$7),"x","")</f>
        <v/>
      </c>
      <c r="Z4566" s="525" t="str">
        <f>IF(AND(B4566&lt;=NKC!$N$8,B4566&gt;=NKC!$M$8),"x","")</f>
        <v/>
      </c>
      <c r="AA4566" s="535"/>
      <c r="AB4566" s="536"/>
    </row>
    <row r="4567" spans="1:28" s="503" customFormat="1" ht="15.75" customHeight="1">
      <c r="A4567" s="517" t="str">
        <f>IF(B4567&lt;&gt;"",IF(AND(B4567&gt;=_TM1,B4567&lt;=_TM2,OR(TH!L4567="1111",TH!M4567="1111")),TH!D4567,""),"")</f>
        <v/>
      </c>
      <c r="B4567" s="531" t="str">
        <f t="shared" si="563"/>
        <v/>
      </c>
      <c r="C4567" s="315"/>
      <c r="D4567" s="537"/>
      <c r="E4567" s="280"/>
      <c r="F4567" s="250"/>
      <c r="G4567" s="538"/>
      <c r="H4567" s="473"/>
      <c r="I4567" s="307"/>
      <c r="J4567" s="307"/>
      <c r="K4567" s="532"/>
      <c r="L4567" s="539"/>
      <c r="M4567" s="539"/>
      <c r="N4567" s="525" t="str">
        <f>IF(AND('331-CT'!$E$7=TH!H4567,OR(L4567="331",M4567="331")),"331",IF(AND(OR(L4567="131",M4567="131"),H4567='131-CT'!$E$7),"131",""))</f>
        <v/>
      </c>
      <c r="O4567" s="525" t="str">
        <f>IF(AND($B4567&gt;='111'!$N$11,$B4567&lt;='111'!$O$11,OR($L4567=$O$7,$M4567=$O$7)),"x","")</f>
        <v/>
      </c>
      <c r="P4567" s="525" t="str">
        <f>IF(AND($L4567=$O$7,$B4567&lt;'111'!$N$11),"x","")</f>
        <v/>
      </c>
      <c r="Q4567" s="525" t="str">
        <f>IF(AND($M4567=$O$7,$B4567&lt;'111'!$N$11),"x","")</f>
        <v/>
      </c>
      <c r="R4567" s="525" t="str">
        <f>IF(ISERROR(FIND('112'!$M$9,G4567,1)),"",IF((AND(FIND('112'!$M$9,G4567,1)&gt;=1,$B4567&gt;='112'!$N$8,$B4567&lt;='112'!$O$8,OR($L4567='112'!$I$6,$M4567='112'!$I$6))),"x",""))</f>
        <v/>
      </c>
      <c r="S4567" s="525" t="str">
        <f>IF(ISERROR(FIND('112'!$M$9,G4567,1)),"",IF((AND(LEFT(G4567,2)=LEFT('112'!$M$9,2),B4567&lt;'112'!$N$8,$L4567='112'!$I$6)),"x",""))</f>
        <v/>
      </c>
      <c r="T4567" s="525" t="str">
        <f>IF(ISERROR(FIND('112'!$M$9,G4567,1)),"",IF((AND(RIGHT(G4567,2)=RIGHT('112'!$M$9,2),B4567&lt;'112'!$N$8,$M4567='112'!$I$6)),"x",""))</f>
        <v/>
      </c>
      <c r="U4567" s="525" t="str">
        <f>IF(AND(B4567&gt;='IN-NX'!$P$3,B4567&lt;='IN-NX'!$Q$3,'IN-NX'!$D$7=D4567,OR(LEFT(L4567,2)="15",AND(LEFT(M4567,2)&lt;&gt;"15",LEFT(M4567,2)&lt;&gt;"33"))),"x","")</f>
        <v/>
      </c>
      <c r="V4567" s="525" t="str">
        <f>IF(AND(OR(LEFT(TH!L4567,2)="15",LEFT(TH!M4567,2)="15"),'152-CT'!$J$8=TH!F4567),"x","")</f>
        <v/>
      </c>
      <c r="W4567" s="525" t="str">
        <f>IF(AND(OR(LEFT(TH!L4567,2)="15",LEFT(TH!M4567,2)="15"),TK!$E$7=TH!F4567),"x","")</f>
        <v/>
      </c>
      <c r="X4567" s="525" t="str">
        <f>IF(AND('341-CT'!$E$9=H4567,OR(LEFT(L4567,3)=$X$7,LEFT(M4567,3)=$X$7)),"x","")</f>
        <v/>
      </c>
      <c r="Y4567" s="525" t="str">
        <f>IF(OR(TH!L4567=TH!$Y$7,M4567=TH!$Y$7),"x","")</f>
        <v/>
      </c>
      <c r="Z4567" s="525" t="str">
        <f>IF(AND(B4567&lt;=NKC!$N$8,B4567&gt;=NKC!$M$8),"x","")</f>
        <v/>
      </c>
      <c r="AA4567" s="535"/>
      <c r="AB4567" s="536"/>
    </row>
    <row r="4568" spans="1:28" s="503" customFormat="1" ht="15.75" customHeight="1">
      <c r="A4568" s="517" t="str">
        <f>IF(B4568&lt;&gt;"",IF(AND(B4568&gt;=_TM1,B4568&lt;=_TM2,OR(TH!L4568="1111",TH!M4568="1111")),TH!D4568,""),"")</f>
        <v/>
      </c>
      <c r="B4568" s="531" t="str">
        <f t="shared" si="563"/>
        <v/>
      </c>
      <c r="C4568" s="315"/>
      <c r="D4568" s="537"/>
      <c r="E4568" s="280"/>
      <c r="F4568" s="250"/>
      <c r="G4568" s="538"/>
      <c r="H4568" s="473"/>
      <c r="I4568" s="307"/>
      <c r="J4568" s="307"/>
      <c r="K4568" s="532"/>
      <c r="L4568" s="539"/>
      <c r="M4568" s="539"/>
      <c r="N4568" s="525" t="str">
        <f>IF(AND('331-CT'!$E$7=TH!H4568,OR(L4568="331",M4568="331")),"331",IF(AND(OR(L4568="131",M4568="131"),H4568='131-CT'!$E$7),"131",""))</f>
        <v/>
      </c>
      <c r="O4568" s="525" t="str">
        <f>IF(AND($B4568&gt;='111'!$N$11,$B4568&lt;='111'!$O$11,OR($L4568=$O$7,$M4568=$O$7)),"x","")</f>
        <v/>
      </c>
      <c r="P4568" s="525" t="str">
        <f>IF(AND($L4568=$O$7,$B4568&lt;'111'!$N$11),"x","")</f>
        <v/>
      </c>
      <c r="Q4568" s="525" t="str">
        <f>IF(AND($M4568=$O$7,$B4568&lt;'111'!$N$11),"x","")</f>
        <v/>
      </c>
      <c r="R4568" s="525" t="str">
        <f>IF(ISERROR(FIND('112'!$M$9,G4568,1)),"",IF((AND(FIND('112'!$M$9,G4568,1)&gt;=1,$B4568&gt;='112'!$N$8,$B4568&lt;='112'!$O$8,OR($L4568='112'!$I$6,$M4568='112'!$I$6))),"x",""))</f>
        <v/>
      </c>
      <c r="S4568" s="525" t="str">
        <f>IF(ISERROR(FIND('112'!$M$9,G4568,1)),"",IF((AND(LEFT(G4568,2)=LEFT('112'!$M$9,2),B4568&lt;'112'!$N$8,$L4568='112'!$I$6)),"x",""))</f>
        <v/>
      </c>
      <c r="T4568" s="525" t="str">
        <f>IF(ISERROR(FIND('112'!$M$9,G4568,1)),"",IF((AND(RIGHT(G4568,2)=RIGHT('112'!$M$9,2),B4568&lt;'112'!$N$8,$M4568='112'!$I$6)),"x",""))</f>
        <v/>
      </c>
      <c r="U4568" s="525" t="str">
        <f>IF(AND(B4568&gt;='IN-NX'!$P$3,B4568&lt;='IN-NX'!$Q$3,'IN-NX'!$D$7=D4568,OR(LEFT(L4568,2)="15",AND(LEFT(M4568,2)&lt;&gt;"15",LEFT(M4568,2)&lt;&gt;"33"))),"x","")</f>
        <v/>
      </c>
      <c r="V4568" s="525" t="str">
        <f>IF(AND(OR(LEFT(TH!L4568,2)="15",LEFT(TH!M4568,2)="15"),'152-CT'!$J$8=TH!F4568),"x","")</f>
        <v/>
      </c>
      <c r="W4568" s="525" t="str">
        <f>IF(AND(OR(LEFT(TH!L4568,2)="15",LEFT(TH!M4568,2)="15"),TK!$E$7=TH!F4568),"x","")</f>
        <v/>
      </c>
      <c r="X4568" s="525" t="str">
        <f>IF(AND('341-CT'!$E$9=H4568,OR(LEFT(L4568,3)=$X$7,LEFT(M4568,3)=$X$7)),"x","")</f>
        <v/>
      </c>
      <c r="Y4568" s="525" t="str">
        <f>IF(OR(TH!L4568=TH!$Y$7,M4568=TH!$Y$7),"x","")</f>
        <v/>
      </c>
      <c r="Z4568" s="525" t="str">
        <f>IF(AND(B4568&lt;=NKC!$N$8,B4568&gt;=NKC!$M$8),"x","")</f>
        <v/>
      </c>
      <c r="AA4568" s="535"/>
      <c r="AB4568" s="536"/>
    </row>
    <row r="4569" spans="1:28" s="503" customFormat="1" ht="15.75" customHeight="1">
      <c r="A4569" s="517" t="str">
        <f>IF(B4569&lt;&gt;"",IF(AND(B4569&gt;=_TM1,B4569&lt;=_TM2,OR(TH!L4569="1111",TH!M4569="1111")),TH!D4569,""),"")</f>
        <v/>
      </c>
      <c r="B4569" s="531" t="str">
        <f t="shared" si="563"/>
        <v/>
      </c>
      <c r="C4569" s="315"/>
      <c r="D4569" s="537"/>
      <c r="E4569" s="280"/>
      <c r="F4569" s="250"/>
      <c r="G4569" s="538"/>
      <c r="H4569" s="473"/>
      <c r="I4569" s="307"/>
      <c r="J4569" s="307"/>
      <c r="K4569" s="532"/>
      <c r="L4569" s="539"/>
      <c r="M4569" s="539"/>
      <c r="N4569" s="525" t="str">
        <f>IF(AND('331-CT'!$E$7=TH!H4569,OR(L4569="331",M4569="331")),"331",IF(AND(OR(L4569="131",M4569="131"),H4569='131-CT'!$E$7),"131",""))</f>
        <v/>
      </c>
      <c r="O4569" s="525" t="str">
        <f>IF(AND($B4569&gt;='111'!$N$11,$B4569&lt;='111'!$O$11,OR($L4569=$O$7,$M4569=$O$7)),"x","")</f>
        <v/>
      </c>
      <c r="P4569" s="525" t="str">
        <f>IF(AND($L4569=$O$7,$B4569&lt;'111'!$N$11),"x","")</f>
        <v/>
      </c>
      <c r="Q4569" s="525" t="str">
        <f>IF(AND($M4569=$O$7,$B4569&lt;'111'!$N$11),"x","")</f>
        <v/>
      </c>
      <c r="R4569" s="525" t="str">
        <f>IF(ISERROR(FIND('112'!$M$9,G4569,1)),"",IF((AND(FIND('112'!$M$9,G4569,1)&gt;=1,$B4569&gt;='112'!$N$8,$B4569&lt;='112'!$O$8,OR($L4569='112'!$I$6,$M4569='112'!$I$6))),"x",""))</f>
        <v/>
      </c>
      <c r="S4569" s="525" t="str">
        <f>IF(ISERROR(FIND('112'!$M$9,G4569,1)),"",IF((AND(LEFT(G4569,2)=LEFT('112'!$M$9,2),B4569&lt;'112'!$N$8,$L4569='112'!$I$6)),"x",""))</f>
        <v/>
      </c>
      <c r="T4569" s="525" t="str">
        <f>IF(ISERROR(FIND('112'!$M$9,G4569,1)),"",IF((AND(RIGHT(G4569,2)=RIGHT('112'!$M$9,2),B4569&lt;'112'!$N$8,$M4569='112'!$I$6)),"x",""))</f>
        <v/>
      </c>
      <c r="U4569" s="525" t="str">
        <f>IF(AND(B4569&gt;='IN-NX'!$P$3,B4569&lt;='IN-NX'!$Q$3,'IN-NX'!$D$7=D4569,OR(LEFT(L4569,2)="15",AND(LEFT(M4569,2)&lt;&gt;"15",LEFT(M4569,2)&lt;&gt;"33"))),"x","")</f>
        <v/>
      </c>
      <c r="V4569" s="525" t="str">
        <f>IF(AND(OR(LEFT(TH!L4569,2)="15",LEFT(TH!M4569,2)="15"),'152-CT'!$J$8=TH!F4569),"x","")</f>
        <v/>
      </c>
      <c r="W4569" s="525" t="str">
        <f>IF(AND(OR(LEFT(TH!L4569,2)="15",LEFT(TH!M4569,2)="15"),TK!$E$7=TH!F4569),"x","")</f>
        <v/>
      </c>
      <c r="X4569" s="525" t="str">
        <f>IF(AND('341-CT'!$E$9=H4569,OR(LEFT(L4569,3)=$X$7,LEFT(M4569,3)=$X$7)),"x","")</f>
        <v/>
      </c>
      <c r="Y4569" s="525" t="str">
        <f>IF(OR(TH!L4569=TH!$Y$7,M4569=TH!$Y$7),"x","")</f>
        <v/>
      </c>
      <c r="Z4569" s="525" t="str">
        <f>IF(AND(B4569&lt;=NKC!$N$8,B4569&gt;=NKC!$M$8),"x","")</f>
        <v/>
      </c>
      <c r="AA4569" s="535"/>
      <c r="AB4569" s="536"/>
    </row>
    <row r="4570" spans="1:28" s="503" customFormat="1" ht="15.75" customHeight="1">
      <c r="A4570" s="517" t="str">
        <f>IF(B4570&lt;&gt;"",IF(AND(B4570&gt;=_TM1,B4570&lt;=_TM2,OR(TH!L4570="1111",TH!M4570="1111")),TH!D4570,""),"")</f>
        <v/>
      </c>
      <c r="B4570" s="531" t="str">
        <f t="shared" si="563"/>
        <v/>
      </c>
      <c r="C4570" s="315"/>
      <c r="D4570" s="537"/>
      <c r="E4570" s="280"/>
      <c r="F4570" s="250"/>
      <c r="G4570" s="538"/>
      <c r="H4570" s="473"/>
      <c r="I4570" s="307"/>
      <c r="J4570" s="307"/>
      <c r="K4570" s="532"/>
      <c r="L4570" s="539"/>
      <c r="M4570" s="539"/>
      <c r="N4570" s="525" t="str">
        <f>IF(AND('331-CT'!$E$7=TH!H4570,OR(L4570="331",M4570="331")),"331",IF(AND(OR(L4570="131",M4570="131"),H4570='131-CT'!$E$7),"131",""))</f>
        <v/>
      </c>
      <c r="O4570" s="525" t="str">
        <f>IF(AND($B4570&gt;='111'!$N$11,$B4570&lt;='111'!$O$11,OR($L4570=$O$7,$M4570=$O$7)),"x","")</f>
        <v/>
      </c>
      <c r="P4570" s="525" t="str">
        <f>IF(AND($L4570=$O$7,$B4570&lt;'111'!$N$11),"x","")</f>
        <v/>
      </c>
      <c r="Q4570" s="525" t="str">
        <f>IF(AND($M4570=$O$7,$B4570&lt;'111'!$N$11),"x","")</f>
        <v/>
      </c>
      <c r="R4570" s="525" t="str">
        <f>IF(ISERROR(FIND('112'!$M$9,G4570,1)),"",IF((AND(FIND('112'!$M$9,G4570,1)&gt;=1,$B4570&gt;='112'!$N$8,$B4570&lt;='112'!$O$8,OR($L4570='112'!$I$6,$M4570='112'!$I$6))),"x",""))</f>
        <v/>
      </c>
      <c r="S4570" s="525" t="str">
        <f>IF(ISERROR(FIND('112'!$M$9,G4570,1)),"",IF((AND(LEFT(G4570,2)=LEFT('112'!$M$9,2),B4570&lt;'112'!$N$8,$L4570='112'!$I$6)),"x",""))</f>
        <v/>
      </c>
      <c r="T4570" s="525" t="str">
        <f>IF(ISERROR(FIND('112'!$M$9,G4570,1)),"",IF((AND(RIGHT(G4570,2)=RIGHT('112'!$M$9,2),B4570&lt;'112'!$N$8,$M4570='112'!$I$6)),"x",""))</f>
        <v/>
      </c>
      <c r="U4570" s="525" t="str">
        <f>IF(AND(B4570&gt;='IN-NX'!$P$3,B4570&lt;='IN-NX'!$Q$3,'IN-NX'!$D$7=D4570,OR(LEFT(L4570,2)="15",AND(LEFT(M4570,2)&lt;&gt;"15",LEFT(M4570,2)&lt;&gt;"33"))),"x","")</f>
        <v/>
      </c>
      <c r="V4570" s="525" t="str">
        <f>IF(AND(OR(LEFT(TH!L4570,2)="15",LEFT(TH!M4570,2)="15"),'152-CT'!$J$8=TH!F4570),"x","")</f>
        <v/>
      </c>
      <c r="W4570" s="525" t="str">
        <f>IF(AND(OR(LEFT(TH!L4570,2)="15",LEFT(TH!M4570,2)="15"),TK!$E$7=TH!F4570),"x","")</f>
        <v/>
      </c>
      <c r="X4570" s="525" t="str">
        <f>IF(AND('341-CT'!$E$9=H4570,OR(LEFT(L4570,3)=$X$7,LEFT(M4570,3)=$X$7)),"x","")</f>
        <v/>
      </c>
      <c r="Y4570" s="525" t="str">
        <f>IF(OR(TH!L4570=TH!$Y$7,M4570=TH!$Y$7),"x","")</f>
        <v/>
      </c>
      <c r="Z4570" s="525" t="str">
        <f>IF(AND(B4570&lt;=NKC!$N$8,B4570&gt;=NKC!$M$8),"x","")</f>
        <v/>
      </c>
      <c r="AA4570" s="535"/>
      <c r="AB4570" s="536"/>
    </row>
    <row r="4571" spans="1:28" s="503" customFormat="1" ht="15.75" customHeight="1">
      <c r="A4571" s="517" t="str">
        <f>IF(B4571&lt;&gt;"",IF(AND(B4571&gt;=_TM1,B4571&lt;=_TM2,OR(TH!L4571="1111",TH!M4571="1111")),TH!D4571,""),"")</f>
        <v/>
      </c>
      <c r="B4571" s="531" t="str">
        <f t="shared" si="563"/>
        <v/>
      </c>
      <c r="C4571" s="315"/>
      <c r="D4571" s="537"/>
      <c r="E4571" s="280"/>
      <c r="F4571" s="250"/>
      <c r="G4571" s="538"/>
      <c r="H4571" s="473"/>
      <c r="I4571" s="307"/>
      <c r="J4571" s="307"/>
      <c r="K4571" s="532"/>
      <c r="L4571" s="539"/>
      <c r="M4571" s="539"/>
      <c r="N4571" s="525" t="str">
        <f>IF(AND('331-CT'!$E$7=TH!H4571,OR(L4571="331",M4571="331")),"331",IF(AND(OR(L4571="131",M4571="131"),H4571='131-CT'!$E$7),"131",""))</f>
        <v/>
      </c>
      <c r="O4571" s="525" t="str">
        <f>IF(AND($B4571&gt;='111'!$N$11,$B4571&lt;='111'!$O$11,OR($L4571=$O$7,$M4571=$O$7)),"x","")</f>
        <v/>
      </c>
      <c r="P4571" s="525" t="str">
        <f>IF(AND($L4571=$O$7,$B4571&lt;'111'!$N$11),"x","")</f>
        <v/>
      </c>
      <c r="Q4571" s="525" t="str">
        <f>IF(AND($M4571=$O$7,$B4571&lt;'111'!$N$11),"x","")</f>
        <v/>
      </c>
      <c r="R4571" s="525" t="str">
        <f>IF(ISERROR(FIND('112'!$M$9,G4571,1)),"",IF((AND(FIND('112'!$M$9,G4571,1)&gt;=1,$B4571&gt;='112'!$N$8,$B4571&lt;='112'!$O$8,OR($L4571='112'!$I$6,$M4571='112'!$I$6))),"x",""))</f>
        <v/>
      </c>
      <c r="S4571" s="525" t="str">
        <f>IF(ISERROR(FIND('112'!$M$9,G4571,1)),"",IF((AND(LEFT(G4571,2)=LEFT('112'!$M$9,2),B4571&lt;'112'!$N$8,$L4571='112'!$I$6)),"x",""))</f>
        <v/>
      </c>
      <c r="T4571" s="525" t="str">
        <f>IF(ISERROR(FIND('112'!$M$9,G4571,1)),"",IF((AND(RIGHT(G4571,2)=RIGHT('112'!$M$9,2),B4571&lt;'112'!$N$8,$M4571='112'!$I$6)),"x",""))</f>
        <v/>
      </c>
      <c r="U4571" s="525" t="str">
        <f>IF(AND(B4571&gt;='IN-NX'!$P$3,B4571&lt;='IN-NX'!$Q$3,'IN-NX'!$D$7=D4571,OR(LEFT(L4571,2)="15",AND(LEFT(M4571,2)&lt;&gt;"15",LEFT(M4571,2)&lt;&gt;"33"))),"x","")</f>
        <v/>
      </c>
      <c r="V4571" s="525" t="str">
        <f>IF(AND(OR(LEFT(TH!L4571,2)="15",LEFT(TH!M4571,2)="15"),'152-CT'!$J$8=TH!F4571),"x","")</f>
        <v/>
      </c>
      <c r="W4571" s="525" t="str">
        <f>IF(AND(OR(LEFT(TH!L4571,2)="15",LEFT(TH!M4571,2)="15"),TK!$E$7=TH!F4571),"x","")</f>
        <v/>
      </c>
      <c r="X4571" s="525" t="str">
        <f>IF(AND('341-CT'!$E$9=H4571,OR(LEFT(L4571,3)=$X$7,LEFT(M4571,3)=$X$7)),"x","")</f>
        <v/>
      </c>
      <c r="Y4571" s="525" t="str">
        <f>IF(OR(TH!L4571=TH!$Y$7,M4571=TH!$Y$7),"x","")</f>
        <v/>
      </c>
      <c r="Z4571" s="525" t="str">
        <f>IF(AND(B4571&lt;=NKC!$N$8,B4571&gt;=NKC!$M$8),"x","")</f>
        <v/>
      </c>
      <c r="AA4571" s="535"/>
      <c r="AB4571" s="536"/>
    </row>
    <row r="4572" spans="1:28" s="503" customFormat="1" ht="15.75" customHeight="1">
      <c r="A4572" s="517" t="str">
        <f>IF(B4572&lt;&gt;"",IF(AND(B4572&gt;=_TM1,B4572&lt;=_TM2,OR(TH!L4572="1111",TH!M4572="1111")),TH!D4572,""),"")</f>
        <v/>
      </c>
      <c r="B4572" s="531" t="str">
        <f t="shared" si="563"/>
        <v/>
      </c>
      <c r="C4572" s="315"/>
      <c r="D4572" s="537"/>
      <c r="E4572" s="280"/>
      <c r="F4572" s="249"/>
      <c r="G4572" s="538"/>
      <c r="H4572" s="473"/>
      <c r="I4572" s="307"/>
      <c r="J4572" s="307"/>
      <c r="K4572" s="532"/>
      <c r="L4572" s="539"/>
      <c r="M4572" s="539"/>
      <c r="N4572" s="525" t="str">
        <f>IF(AND('331-CT'!$E$7=TH!H4572,OR(L4572="331",M4572="331")),"331",IF(AND(OR(L4572="131",M4572="131"),H4572='131-CT'!$E$7),"131",""))</f>
        <v/>
      </c>
      <c r="O4572" s="525" t="str">
        <f>IF(AND($B4572&gt;='111'!$N$11,$B4572&lt;='111'!$O$11,OR($L4572=$O$7,$M4572=$O$7)),"x","")</f>
        <v/>
      </c>
      <c r="P4572" s="525" t="str">
        <f>IF(AND($L4572=$O$7,$B4572&lt;'111'!$N$11),"x","")</f>
        <v/>
      </c>
      <c r="Q4572" s="525" t="str">
        <f>IF(AND($M4572=$O$7,$B4572&lt;'111'!$N$11),"x","")</f>
        <v/>
      </c>
      <c r="R4572" s="525" t="str">
        <f>IF(ISERROR(FIND('112'!$M$9,G4572,1)),"",IF((AND(FIND('112'!$M$9,G4572,1)&gt;=1,$B4572&gt;='112'!$N$8,$B4572&lt;='112'!$O$8,OR($L4572='112'!$I$6,$M4572='112'!$I$6))),"x",""))</f>
        <v/>
      </c>
      <c r="S4572" s="525" t="str">
        <f>IF(ISERROR(FIND('112'!$M$9,G4572,1)),"",IF((AND(LEFT(G4572,2)=LEFT('112'!$M$9,2),B4572&lt;'112'!$N$8,$L4572='112'!$I$6)),"x",""))</f>
        <v/>
      </c>
      <c r="T4572" s="525" t="str">
        <f>IF(ISERROR(FIND('112'!$M$9,G4572,1)),"",IF((AND(RIGHT(G4572,2)=RIGHT('112'!$M$9,2),B4572&lt;'112'!$N$8,$M4572='112'!$I$6)),"x",""))</f>
        <v/>
      </c>
      <c r="U4572" s="525" t="str">
        <f>IF(AND(B4572&gt;='IN-NX'!$P$3,B4572&lt;='IN-NX'!$Q$3,'IN-NX'!$D$7=D4572,OR(LEFT(L4572,2)="15",AND(LEFT(M4572,2)&lt;&gt;"15",LEFT(M4572,2)&lt;&gt;"33"))),"x","")</f>
        <v/>
      </c>
      <c r="V4572" s="525" t="str">
        <f>IF(AND(OR(LEFT(TH!L4572,2)="15",LEFT(TH!M4572,2)="15"),'152-CT'!$J$8=TH!F4572),"x","")</f>
        <v/>
      </c>
      <c r="W4572" s="525" t="str">
        <f>IF(AND(OR(LEFT(TH!L4572,2)="15",LEFT(TH!M4572,2)="15"),TK!$E$7=TH!F4572),"x","")</f>
        <v/>
      </c>
      <c r="X4572" s="525" t="str">
        <f>IF(AND('341-CT'!$E$9=H4572,OR(LEFT(L4572,3)=$X$7,LEFT(M4572,3)=$X$7)),"x","")</f>
        <v/>
      </c>
      <c r="Y4572" s="525" t="str">
        <f>IF(OR(TH!L4572=TH!$Y$7,M4572=TH!$Y$7),"x","")</f>
        <v/>
      </c>
      <c r="Z4572" s="525" t="str">
        <f>IF(AND(B4572&lt;=NKC!$N$8,B4572&gt;=NKC!$M$8),"x","")</f>
        <v/>
      </c>
      <c r="AA4572" s="535"/>
      <c r="AB4572" s="536"/>
    </row>
    <row r="4573" spans="1:28" s="503" customFormat="1" ht="15.75" customHeight="1">
      <c r="A4573" s="517" t="str">
        <f>IF(B4573&lt;&gt;"",IF(AND(B4573&gt;=_TM1,B4573&lt;=_TM2,OR(TH!L4573="1111",TH!M4573="1111")),TH!D4573,""),"")</f>
        <v/>
      </c>
      <c r="B4573" s="531" t="str">
        <f t="shared" si="563"/>
        <v/>
      </c>
      <c r="C4573" s="315"/>
      <c r="D4573" s="537"/>
      <c r="E4573" s="280"/>
      <c r="F4573" s="555"/>
      <c r="G4573" s="538"/>
      <c r="H4573" s="473"/>
      <c r="I4573" s="307"/>
      <c r="J4573" s="307"/>
      <c r="K4573" s="532"/>
      <c r="L4573" s="539"/>
      <c r="M4573" s="539"/>
      <c r="N4573" s="525" t="str">
        <f>IF(AND('331-CT'!$E$7=TH!H4573,OR(L4573="331",M4573="331")),"331",IF(AND(OR(L4573="131",M4573="131"),H4573='131-CT'!$E$7),"131",""))</f>
        <v/>
      </c>
      <c r="O4573" s="525" t="str">
        <f>IF(AND($B4573&gt;='111'!$N$11,$B4573&lt;='111'!$O$11,OR($L4573=$O$7,$M4573=$O$7)),"x","")</f>
        <v/>
      </c>
      <c r="P4573" s="525" t="str">
        <f>IF(AND($L4573=$O$7,$B4573&lt;'111'!$N$11),"x","")</f>
        <v/>
      </c>
      <c r="Q4573" s="525" t="str">
        <f>IF(AND($M4573=$O$7,$B4573&lt;'111'!$N$11),"x","")</f>
        <v/>
      </c>
      <c r="R4573" s="525" t="str">
        <f>IF(ISERROR(FIND('112'!$M$9,G4573,1)),"",IF((AND(FIND('112'!$M$9,G4573,1)&gt;=1,$B4573&gt;='112'!$N$8,$B4573&lt;='112'!$O$8,OR($L4573='112'!$I$6,$M4573='112'!$I$6))),"x",""))</f>
        <v/>
      </c>
      <c r="S4573" s="525" t="str">
        <f>IF(ISERROR(FIND('112'!$M$9,G4573,1)),"",IF((AND(LEFT(G4573,2)=LEFT('112'!$M$9,2),B4573&lt;'112'!$N$8,$L4573='112'!$I$6)),"x",""))</f>
        <v/>
      </c>
      <c r="T4573" s="525" t="str">
        <f>IF(ISERROR(FIND('112'!$M$9,G4573,1)),"",IF((AND(RIGHT(G4573,2)=RIGHT('112'!$M$9,2),B4573&lt;'112'!$N$8,$M4573='112'!$I$6)),"x",""))</f>
        <v/>
      </c>
      <c r="U4573" s="525" t="str">
        <f>IF(AND(B4573&gt;='IN-NX'!$P$3,B4573&lt;='IN-NX'!$Q$3,'IN-NX'!$D$7=D4573,OR(LEFT(L4573,2)="15",AND(LEFT(M4573,2)&lt;&gt;"15",LEFT(M4573,2)&lt;&gt;"33"))),"x","")</f>
        <v/>
      </c>
      <c r="V4573" s="525" t="str">
        <f>IF(AND(OR(LEFT(TH!L4573,2)="15",LEFT(TH!M4573,2)="15"),'152-CT'!$J$8=TH!F4573),"x","")</f>
        <v/>
      </c>
      <c r="W4573" s="525" t="str">
        <f>IF(AND(OR(LEFT(TH!L4573,2)="15",LEFT(TH!M4573,2)="15"),TK!$E$7=TH!F4573),"x","")</f>
        <v/>
      </c>
      <c r="X4573" s="525" t="str">
        <f>IF(AND('341-CT'!$E$9=H4573,OR(LEFT(L4573,3)=$X$7,LEFT(M4573,3)=$X$7)),"x","")</f>
        <v/>
      </c>
      <c r="Y4573" s="525" t="str">
        <f>IF(OR(TH!L4573=TH!$Y$7,M4573=TH!$Y$7),"x","")</f>
        <v/>
      </c>
      <c r="Z4573" s="525" t="str">
        <f>IF(AND(B4573&lt;=NKC!$N$8,B4573&gt;=NKC!$M$8),"x","")</f>
        <v/>
      </c>
      <c r="AA4573" s="535"/>
      <c r="AB4573" s="536"/>
    </row>
    <row r="4574" spans="1:28" s="503" customFormat="1" ht="15.75" customHeight="1">
      <c r="A4574" s="517" t="str">
        <f>IF(B4574&lt;&gt;"",IF(AND(B4574&gt;=_TM1,B4574&lt;=_TM2,OR(TH!L4574="1111",TH!M4574="1111")),TH!D4574,""),"")</f>
        <v/>
      </c>
      <c r="B4574" s="531" t="str">
        <f t="shared" si="563"/>
        <v/>
      </c>
      <c r="C4574" s="315"/>
      <c r="D4574" s="537"/>
      <c r="E4574" s="280"/>
      <c r="F4574" s="555"/>
      <c r="G4574" s="538"/>
      <c r="H4574" s="473"/>
      <c r="I4574" s="307"/>
      <c r="J4574" s="307"/>
      <c r="K4574" s="532"/>
      <c r="L4574" s="539"/>
      <c r="M4574" s="539"/>
      <c r="N4574" s="525" t="str">
        <f>IF(AND('331-CT'!$E$7=TH!H4574,OR(L4574="331",M4574="331")),"331",IF(AND(OR(L4574="131",M4574="131"),H4574='131-CT'!$E$7),"131",""))</f>
        <v/>
      </c>
      <c r="O4574" s="525" t="str">
        <f>IF(AND($B4574&gt;='111'!$N$11,$B4574&lt;='111'!$O$11,OR($L4574=$O$7,$M4574=$O$7)),"x","")</f>
        <v/>
      </c>
      <c r="P4574" s="525" t="str">
        <f>IF(AND($L4574=$O$7,$B4574&lt;'111'!$N$11),"x","")</f>
        <v/>
      </c>
      <c r="Q4574" s="525" t="str">
        <f>IF(AND($M4574=$O$7,$B4574&lt;'111'!$N$11),"x","")</f>
        <v/>
      </c>
      <c r="R4574" s="525" t="str">
        <f>IF(ISERROR(FIND('112'!$M$9,G4574,1)),"",IF((AND(FIND('112'!$M$9,G4574,1)&gt;=1,$B4574&gt;='112'!$N$8,$B4574&lt;='112'!$O$8,OR($L4574='112'!$I$6,$M4574='112'!$I$6))),"x",""))</f>
        <v/>
      </c>
      <c r="S4574" s="525" t="str">
        <f>IF(ISERROR(FIND('112'!$M$9,G4574,1)),"",IF((AND(LEFT(G4574,2)=LEFT('112'!$M$9,2),B4574&lt;'112'!$N$8,$L4574='112'!$I$6)),"x",""))</f>
        <v/>
      </c>
      <c r="T4574" s="525" t="str">
        <f>IF(ISERROR(FIND('112'!$M$9,G4574,1)),"",IF((AND(RIGHT(G4574,2)=RIGHT('112'!$M$9,2),B4574&lt;'112'!$N$8,$M4574='112'!$I$6)),"x",""))</f>
        <v/>
      </c>
      <c r="U4574" s="525" t="str">
        <f>IF(AND(B4574&gt;='IN-NX'!$P$3,B4574&lt;='IN-NX'!$Q$3,'IN-NX'!$D$7=D4574,OR(LEFT(L4574,2)="15",AND(LEFT(M4574,2)&lt;&gt;"15",LEFT(M4574,2)&lt;&gt;"33"))),"x","")</f>
        <v/>
      </c>
      <c r="V4574" s="525" t="str">
        <f>IF(AND(OR(LEFT(TH!L4574,2)="15",LEFT(TH!M4574,2)="15"),'152-CT'!$J$8=TH!F4574),"x","")</f>
        <v/>
      </c>
      <c r="W4574" s="525" t="str">
        <f>IF(AND(OR(LEFT(TH!L4574,2)="15",LEFT(TH!M4574,2)="15"),TK!$E$7=TH!F4574),"x","")</f>
        <v/>
      </c>
      <c r="X4574" s="525" t="str">
        <f>IF(AND('341-CT'!$E$9=H4574,OR(LEFT(L4574,3)=$X$7,LEFT(M4574,3)=$X$7)),"x","")</f>
        <v/>
      </c>
      <c r="Y4574" s="525" t="str">
        <f>IF(OR(TH!L4574=TH!$Y$7,M4574=TH!$Y$7),"x","")</f>
        <v/>
      </c>
      <c r="Z4574" s="525" t="str">
        <f>IF(AND(B4574&lt;=NKC!$N$8,B4574&gt;=NKC!$M$8),"x","")</f>
        <v/>
      </c>
      <c r="AA4574" s="535"/>
      <c r="AB4574" s="536"/>
    </row>
    <row r="4575" spans="1:28" s="503" customFormat="1" ht="15.75" customHeight="1">
      <c r="A4575" s="517" t="str">
        <f>IF(B4575&lt;&gt;"",IF(AND(B4575&gt;=_TM1,B4575&lt;=_TM2,OR(TH!L4575="1111",TH!M4575="1111")),TH!D4575,""),"")</f>
        <v/>
      </c>
      <c r="B4575" s="531" t="str">
        <f t="shared" si="563"/>
        <v/>
      </c>
      <c r="C4575" s="315"/>
      <c r="D4575" s="537"/>
      <c r="E4575" s="280"/>
      <c r="F4575" s="250"/>
      <c r="G4575" s="538"/>
      <c r="H4575" s="473"/>
      <c r="I4575" s="307"/>
      <c r="J4575" s="307"/>
      <c r="K4575" s="532"/>
      <c r="L4575" s="539"/>
      <c r="M4575" s="539"/>
      <c r="N4575" s="525" t="str">
        <f>IF(AND('331-CT'!$E$7=TH!H4575,OR(L4575="331",M4575="331")),"331",IF(AND(OR(L4575="131",M4575="131"),H4575='131-CT'!$E$7),"131",""))</f>
        <v/>
      </c>
      <c r="O4575" s="525" t="str">
        <f>IF(AND($B4575&gt;='111'!$N$11,$B4575&lt;='111'!$O$11,OR($L4575=$O$7,$M4575=$O$7)),"x","")</f>
        <v/>
      </c>
      <c r="P4575" s="525" t="str">
        <f>IF(AND($L4575=$O$7,$B4575&lt;'111'!$N$11),"x","")</f>
        <v/>
      </c>
      <c r="Q4575" s="525" t="str">
        <f>IF(AND($M4575=$O$7,$B4575&lt;'111'!$N$11),"x","")</f>
        <v/>
      </c>
      <c r="R4575" s="525" t="str">
        <f>IF(ISERROR(FIND('112'!$M$9,G4575,1)),"",IF((AND(FIND('112'!$M$9,G4575,1)&gt;=1,$B4575&gt;='112'!$N$8,$B4575&lt;='112'!$O$8,OR($L4575='112'!$I$6,$M4575='112'!$I$6))),"x",""))</f>
        <v/>
      </c>
      <c r="S4575" s="525" t="str">
        <f>IF(ISERROR(FIND('112'!$M$9,G4575,1)),"",IF((AND(LEFT(G4575,2)=LEFT('112'!$M$9,2),B4575&lt;'112'!$N$8,$L4575='112'!$I$6)),"x",""))</f>
        <v/>
      </c>
      <c r="T4575" s="525" t="str">
        <f>IF(ISERROR(FIND('112'!$M$9,G4575,1)),"",IF((AND(RIGHT(G4575,2)=RIGHT('112'!$M$9,2),B4575&lt;'112'!$N$8,$M4575='112'!$I$6)),"x",""))</f>
        <v/>
      </c>
      <c r="U4575" s="525" t="str">
        <f>IF(AND(B4575&gt;='IN-NX'!$P$3,B4575&lt;='IN-NX'!$Q$3,'IN-NX'!$D$7=D4575,OR(LEFT(L4575,2)="15",AND(LEFT(M4575,2)&lt;&gt;"15",LEFT(M4575,2)&lt;&gt;"33"))),"x","")</f>
        <v/>
      </c>
      <c r="V4575" s="525" t="str">
        <f>IF(AND(OR(LEFT(TH!L4575,2)="15",LEFT(TH!M4575,2)="15"),'152-CT'!$J$8=TH!F4575),"x","")</f>
        <v/>
      </c>
      <c r="W4575" s="525" t="str">
        <f>IF(AND(OR(LEFT(TH!L4575,2)="15",LEFT(TH!M4575,2)="15"),TK!$E$7=TH!F4575),"x","")</f>
        <v/>
      </c>
      <c r="X4575" s="525" t="str">
        <f>IF(AND('341-CT'!$E$9=H4575,OR(LEFT(L4575,3)=$X$7,LEFT(M4575,3)=$X$7)),"x","")</f>
        <v/>
      </c>
      <c r="Y4575" s="525" t="str">
        <f>IF(OR(TH!L4575=TH!$Y$7,M4575=TH!$Y$7),"x","")</f>
        <v/>
      </c>
      <c r="Z4575" s="525" t="str">
        <f>IF(AND(B4575&lt;=NKC!$N$8,B4575&gt;=NKC!$M$8),"x","")</f>
        <v/>
      </c>
      <c r="AA4575" s="535"/>
      <c r="AB4575" s="536"/>
    </row>
    <row r="4576" spans="1:28" s="503" customFormat="1" ht="15.75" customHeight="1">
      <c r="A4576" s="517" t="str">
        <f>IF(B4576&lt;&gt;"",IF(AND(B4576&gt;=_TM1,B4576&lt;=_TM2,OR(TH!L4576="1111",TH!M4576="1111")),TH!D4576,""),"")</f>
        <v/>
      </c>
      <c r="B4576" s="531" t="str">
        <f t="shared" si="563"/>
        <v/>
      </c>
      <c r="C4576" s="315"/>
      <c r="D4576" s="537"/>
      <c r="E4576" s="280"/>
      <c r="F4576" s="555"/>
      <c r="G4576" s="538"/>
      <c r="H4576" s="473"/>
      <c r="I4576" s="307"/>
      <c r="J4576" s="307"/>
      <c r="K4576" s="532"/>
      <c r="L4576" s="539"/>
      <c r="M4576" s="539"/>
      <c r="N4576" s="525" t="str">
        <f>IF(AND('331-CT'!$E$7=TH!H4576,OR(L4576="331",M4576="331")),"331",IF(AND(OR(L4576="131",M4576="131"),H4576='131-CT'!$E$7),"131",""))</f>
        <v/>
      </c>
      <c r="O4576" s="525" t="str">
        <f>IF(AND($B4576&gt;='111'!$N$11,$B4576&lt;='111'!$O$11,OR($L4576=$O$7,$M4576=$O$7)),"x","")</f>
        <v/>
      </c>
      <c r="P4576" s="525" t="str">
        <f>IF(AND($L4576=$O$7,$B4576&lt;'111'!$N$11),"x","")</f>
        <v/>
      </c>
      <c r="Q4576" s="525" t="str">
        <f>IF(AND($M4576=$O$7,$B4576&lt;'111'!$N$11),"x","")</f>
        <v/>
      </c>
      <c r="R4576" s="525" t="str">
        <f>IF(ISERROR(FIND('112'!$M$9,G4576,1)),"",IF((AND(FIND('112'!$M$9,G4576,1)&gt;=1,$B4576&gt;='112'!$N$8,$B4576&lt;='112'!$O$8,OR($L4576='112'!$I$6,$M4576='112'!$I$6))),"x",""))</f>
        <v/>
      </c>
      <c r="S4576" s="525" t="str">
        <f>IF(ISERROR(FIND('112'!$M$9,G4576,1)),"",IF((AND(LEFT(G4576,2)=LEFT('112'!$M$9,2),B4576&lt;'112'!$N$8,$L4576='112'!$I$6)),"x",""))</f>
        <v/>
      </c>
      <c r="T4576" s="525" t="str">
        <f>IF(ISERROR(FIND('112'!$M$9,G4576,1)),"",IF((AND(RIGHT(G4576,2)=RIGHT('112'!$M$9,2),B4576&lt;'112'!$N$8,$M4576='112'!$I$6)),"x",""))</f>
        <v/>
      </c>
      <c r="U4576" s="525" t="str">
        <f>IF(AND(B4576&gt;='IN-NX'!$P$3,B4576&lt;='IN-NX'!$Q$3,'IN-NX'!$D$7=D4576,OR(LEFT(L4576,2)="15",AND(LEFT(M4576,2)&lt;&gt;"15",LEFT(M4576,2)&lt;&gt;"33"))),"x","")</f>
        <v/>
      </c>
      <c r="V4576" s="525" t="str">
        <f>IF(AND(OR(LEFT(TH!L4576,2)="15",LEFT(TH!M4576,2)="15"),'152-CT'!$J$8=TH!F4576),"x","")</f>
        <v/>
      </c>
      <c r="W4576" s="525" t="str">
        <f>IF(AND(OR(LEFT(TH!L4576,2)="15",LEFT(TH!M4576,2)="15"),TK!$E$7=TH!F4576),"x","")</f>
        <v/>
      </c>
      <c r="X4576" s="525" t="str">
        <f>IF(AND('341-CT'!$E$9=H4576,OR(LEFT(L4576,3)=$X$7,LEFT(M4576,3)=$X$7)),"x","")</f>
        <v/>
      </c>
      <c r="Y4576" s="525" t="str">
        <f>IF(OR(TH!L4576=TH!$Y$7,M4576=TH!$Y$7),"x","")</f>
        <v/>
      </c>
      <c r="Z4576" s="525" t="str">
        <f>IF(AND(B4576&lt;=NKC!$N$8,B4576&gt;=NKC!$M$8),"x","")</f>
        <v/>
      </c>
      <c r="AA4576" s="535"/>
      <c r="AB4576" s="536"/>
    </row>
    <row r="4577" spans="1:28" s="503" customFormat="1" ht="15.75" customHeight="1">
      <c r="A4577" s="517" t="str">
        <f>IF(B4577&lt;&gt;"",IF(AND(B4577&gt;=_TM1,B4577&lt;=_TM2,OR(TH!L4577="1111",TH!M4577="1111")),TH!D4577,""),"")</f>
        <v/>
      </c>
      <c r="B4577" s="531" t="str">
        <f t="shared" si="563"/>
        <v/>
      </c>
      <c r="C4577" s="315"/>
      <c r="D4577" s="537"/>
      <c r="E4577" s="280"/>
      <c r="F4577" s="555"/>
      <c r="G4577" s="538"/>
      <c r="H4577" s="473"/>
      <c r="I4577" s="307"/>
      <c r="J4577" s="307"/>
      <c r="K4577" s="532"/>
      <c r="L4577" s="539"/>
      <c r="M4577" s="539"/>
      <c r="N4577" s="525" t="str">
        <f>IF(AND('331-CT'!$E$7=TH!H4577,OR(L4577="331",M4577="331")),"331",IF(AND(OR(L4577="131",M4577="131"),H4577='131-CT'!$E$7),"131",""))</f>
        <v/>
      </c>
      <c r="O4577" s="525" t="str">
        <f>IF(AND($B4577&gt;='111'!$N$11,$B4577&lt;='111'!$O$11,OR($L4577=$O$7,$M4577=$O$7)),"x","")</f>
        <v/>
      </c>
      <c r="P4577" s="525" t="str">
        <f>IF(AND($L4577=$O$7,$B4577&lt;'111'!$N$11),"x","")</f>
        <v/>
      </c>
      <c r="Q4577" s="525" t="str">
        <f>IF(AND($M4577=$O$7,$B4577&lt;'111'!$N$11),"x","")</f>
        <v/>
      </c>
      <c r="R4577" s="525" t="str">
        <f>IF(ISERROR(FIND('112'!$M$9,G4577,1)),"",IF((AND(FIND('112'!$M$9,G4577,1)&gt;=1,$B4577&gt;='112'!$N$8,$B4577&lt;='112'!$O$8,OR($L4577='112'!$I$6,$M4577='112'!$I$6))),"x",""))</f>
        <v/>
      </c>
      <c r="S4577" s="525" t="str">
        <f>IF(ISERROR(FIND('112'!$M$9,G4577,1)),"",IF((AND(LEFT(G4577,2)=LEFT('112'!$M$9,2),B4577&lt;'112'!$N$8,$L4577='112'!$I$6)),"x",""))</f>
        <v/>
      </c>
      <c r="T4577" s="525" t="str">
        <f>IF(ISERROR(FIND('112'!$M$9,G4577,1)),"",IF((AND(RIGHT(G4577,2)=RIGHT('112'!$M$9,2),B4577&lt;'112'!$N$8,$M4577='112'!$I$6)),"x",""))</f>
        <v/>
      </c>
      <c r="U4577" s="525" t="str">
        <f>IF(AND(B4577&gt;='IN-NX'!$P$3,B4577&lt;='IN-NX'!$Q$3,'IN-NX'!$D$7=D4577,OR(LEFT(L4577,2)="15",AND(LEFT(M4577,2)&lt;&gt;"15",LEFT(M4577,2)&lt;&gt;"33"))),"x","")</f>
        <v/>
      </c>
      <c r="V4577" s="525" t="str">
        <f>IF(AND(OR(LEFT(TH!L4577,2)="15",LEFT(TH!M4577,2)="15"),'152-CT'!$J$8=TH!F4577),"x","")</f>
        <v/>
      </c>
      <c r="W4577" s="525" t="str">
        <f>IF(AND(OR(LEFT(TH!L4577,2)="15",LEFT(TH!M4577,2)="15"),TK!$E$7=TH!F4577),"x","")</f>
        <v/>
      </c>
      <c r="X4577" s="525" t="str">
        <f>IF(AND('341-CT'!$E$9=H4577,OR(LEFT(L4577,3)=$X$7,LEFT(M4577,3)=$X$7)),"x","")</f>
        <v/>
      </c>
      <c r="Y4577" s="525" t="str">
        <f>IF(OR(TH!L4577=TH!$Y$7,M4577=TH!$Y$7),"x","")</f>
        <v/>
      </c>
      <c r="Z4577" s="525" t="str">
        <f>IF(AND(B4577&lt;=NKC!$N$8,B4577&gt;=NKC!$M$8),"x","")</f>
        <v/>
      </c>
      <c r="AA4577" s="535"/>
      <c r="AB4577" s="536"/>
    </row>
    <row r="4578" spans="1:28" s="503" customFormat="1" ht="15.75" customHeight="1">
      <c r="A4578" s="517" t="str">
        <f>IF(B4578&lt;&gt;"",IF(AND(B4578&gt;=_TM1,B4578&lt;=_TM2,OR(TH!L4578="1111",TH!M4578="1111")),TH!D4578,""),"")</f>
        <v/>
      </c>
      <c r="B4578" s="531" t="str">
        <f t="shared" ref="B4578:B4641" si="564">IF(C4578&lt;&gt;"",MONTH(C4578),"")</f>
        <v/>
      </c>
      <c r="C4578" s="315"/>
      <c r="D4578" s="537"/>
      <c r="E4578" s="280"/>
      <c r="F4578" s="555"/>
      <c r="G4578" s="538"/>
      <c r="H4578" s="473"/>
      <c r="I4578" s="307"/>
      <c r="J4578" s="307"/>
      <c r="K4578" s="532"/>
      <c r="L4578" s="539"/>
      <c r="M4578" s="539"/>
      <c r="N4578" s="525" t="str">
        <f>IF(AND('331-CT'!$E$7=TH!H4578,OR(L4578="331",M4578="331")),"331",IF(AND(OR(L4578="131",M4578="131"),H4578='131-CT'!$E$7),"131",""))</f>
        <v/>
      </c>
      <c r="O4578" s="525" t="str">
        <f>IF(AND($B4578&gt;='111'!$N$11,$B4578&lt;='111'!$O$11,OR($L4578=$O$7,$M4578=$O$7)),"x","")</f>
        <v/>
      </c>
      <c r="P4578" s="525" t="str">
        <f>IF(AND($L4578=$O$7,$B4578&lt;'111'!$N$11),"x","")</f>
        <v/>
      </c>
      <c r="Q4578" s="525" t="str">
        <f>IF(AND($M4578=$O$7,$B4578&lt;'111'!$N$11),"x","")</f>
        <v/>
      </c>
      <c r="R4578" s="525" t="str">
        <f>IF(ISERROR(FIND('112'!$M$9,G4578,1)),"",IF((AND(FIND('112'!$M$9,G4578,1)&gt;=1,$B4578&gt;='112'!$N$8,$B4578&lt;='112'!$O$8,OR($L4578='112'!$I$6,$M4578='112'!$I$6))),"x",""))</f>
        <v/>
      </c>
      <c r="S4578" s="525" t="str">
        <f>IF(ISERROR(FIND('112'!$M$9,G4578,1)),"",IF((AND(LEFT(G4578,2)=LEFT('112'!$M$9,2),B4578&lt;'112'!$N$8,$L4578='112'!$I$6)),"x",""))</f>
        <v/>
      </c>
      <c r="T4578" s="525" t="str">
        <f>IF(ISERROR(FIND('112'!$M$9,G4578,1)),"",IF((AND(RIGHT(G4578,2)=RIGHT('112'!$M$9,2),B4578&lt;'112'!$N$8,$M4578='112'!$I$6)),"x",""))</f>
        <v/>
      </c>
      <c r="U4578" s="525" t="str">
        <f>IF(AND(B4578&gt;='IN-NX'!$P$3,B4578&lt;='IN-NX'!$Q$3,'IN-NX'!$D$7=D4578,OR(LEFT(L4578,2)="15",AND(LEFT(M4578,2)&lt;&gt;"15",LEFT(M4578,2)&lt;&gt;"33"))),"x","")</f>
        <v/>
      </c>
      <c r="V4578" s="525" t="str">
        <f>IF(AND(OR(LEFT(TH!L4578,2)="15",LEFT(TH!M4578,2)="15"),'152-CT'!$J$8=TH!F4578),"x","")</f>
        <v/>
      </c>
      <c r="W4578" s="525" t="str">
        <f>IF(AND(OR(LEFT(TH!L4578,2)="15",LEFT(TH!M4578,2)="15"),TK!$E$7=TH!F4578),"x","")</f>
        <v/>
      </c>
      <c r="X4578" s="525" t="str">
        <f>IF(AND('341-CT'!$E$9=H4578,OR(LEFT(L4578,3)=$X$7,LEFT(M4578,3)=$X$7)),"x","")</f>
        <v/>
      </c>
      <c r="Y4578" s="525" t="str">
        <f>IF(OR(TH!L4578=TH!$Y$7,M4578=TH!$Y$7),"x","")</f>
        <v/>
      </c>
      <c r="Z4578" s="525" t="str">
        <f>IF(AND(B4578&lt;=NKC!$N$8,B4578&gt;=NKC!$M$8),"x","")</f>
        <v/>
      </c>
      <c r="AA4578" s="535"/>
      <c r="AB4578" s="536"/>
    </row>
    <row r="4579" spans="1:28" s="503" customFormat="1" ht="15.75" customHeight="1">
      <c r="A4579" s="517" t="str">
        <f>IF(B4579&lt;&gt;"",IF(AND(B4579&gt;=_TM1,B4579&lt;=_TM2,OR(TH!L4579="1111",TH!M4579="1111")),TH!D4579,""),"")</f>
        <v/>
      </c>
      <c r="B4579" s="531" t="str">
        <f t="shared" si="564"/>
        <v/>
      </c>
      <c r="C4579" s="315"/>
      <c r="D4579" s="537"/>
      <c r="E4579" s="280"/>
      <c r="F4579" s="555"/>
      <c r="G4579" s="538"/>
      <c r="H4579" s="473"/>
      <c r="I4579" s="307"/>
      <c r="J4579" s="307"/>
      <c r="K4579" s="532"/>
      <c r="L4579" s="539"/>
      <c r="M4579" s="539"/>
      <c r="N4579" s="525" t="str">
        <f>IF(AND('331-CT'!$E$7=TH!H4579,OR(L4579="331",M4579="331")),"331",IF(AND(OR(L4579="131",M4579="131"),H4579='131-CT'!$E$7),"131",""))</f>
        <v/>
      </c>
      <c r="O4579" s="525" t="str">
        <f>IF(AND($B4579&gt;='111'!$N$11,$B4579&lt;='111'!$O$11,OR($L4579=$O$7,$M4579=$O$7)),"x","")</f>
        <v/>
      </c>
      <c r="P4579" s="525" t="str">
        <f>IF(AND($L4579=$O$7,$B4579&lt;'111'!$N$11),"x","")</f>
        <v/>
      </c>
      <c r="Q4579" s="525" t="str">
        <f>IF(AND($M4579=$O$7,$B4579&lt;'111'!$N$11),"x","")</f>
        <v/>
      </c>
      <c r="R4579" s="525" t="str">
        <f>IF(ISERROR(FIND('112'!$M$9,G4579,1)),"",IF((AND(FIND('112'!$M$9,G4579,1)&gt;=1,$B4579&gt;='112'!$N$8,$B4579&lt;='112'!$O$8,OR($L4579='112'!$I$6,$M4579='112'!$I$6))),"x",""))</f>
        <v/>
      </c>
      <c r="S4579" s="525" t="str">
        <f>IF(ISERROR(FIND('112'!$M$9,G4579,1)),"",IF((AND(LEFT(G4579,2)=LEFT('112'!$M$9,2),B4579&lt;'112'!$N$8,$L4579='112'!$I$6)),"x",""))</f>
        <v/>
      </c>
      <c r="T4579" s="525" t="str">
        <f>IF(ISERROR(FIND('112'!$M$9,G4579,1)),"",IF((AND(RIGHT(G4579,2)=RIGHT('112'!$M$9,2),B4579&lt;'112'!$N$8,$M4579='112'!$I$6)),"x",""))</f>
        <v/>
      </c>
      <c r="U4579" s="525" t="str">
        <f>IF(AND(B4579&gt;='IN-NX'!$P$3,B4579&lt;='IN-NX'!$Q$3,'IN-NX'!$D$7=D4579,OR(LEFT(L4579,2)="15",AND(LEFT(M4579,2)&lt;&gt;"15",LEFT(M4579,2)&lt;&gt;"33"))),"x","")</f>
        <v/>
      </c>
      <c r="V4579" s="525" t="str">
        <f>IF(AND(OR(LEFT(TH!L4579,2)="15",LEFT(TH!M4579,2)="15"),'152-CT'!$J$8=TH!F4579),"x","")</f>
        <v/>
      </c>
      <c r="W4579" s="525" t="str">
        <f>IF(AND(OR(LEFT(TH!L4579,2)="15",LEFT(TH!M4579,2)="15"),TK!$E$7=TH!F4579),"x","")</f>
        <v/>
      </c>
      <c r="X4579" s="525" t="str">
        <f>IF(AND('341-CT'!$E$9=H4579,OR(LEFT(L4579,3)=$X$7,LEFT(M4579,3)=$X$7)),"x","")</f>
        <v/>
      </c>
      <c r="Y4579" s="525" t="str">
        <f>IF(OR(TH!L4579=TH!$Y$7,M4579=TH!$Y$7),"x","")</f>
        <v/>
      </c>
      <c r="Z4579" s="525" t="str">
        <f>IF(AND(B4579&lt;=NKC!$N$8,B4579&gt;=NKC!$M$8),"x","")</f>
        <v/>
      </c>
      <c r="AA4579" s="535"/>
      <c r="AB4579" s="536"/>
    </row>
    <row r="4580" spans="1:28" s="503" customFormat="1" ht="15.75" customHeight="1">
      <c r="A4580" s="517" t="str">
        <f>IF(B4580&lt;&gt;"",IF(AND(B4580&gt;=_TM1,B4580&lt;=_TM2,OR(TH!L4580="1111",TH!M4580="1111")),TH!D4580,""),"")</f>
        <v/>
      </c>
      <c r="B4580" s="531" t="str">
        <f t="shared" si="564"/>
        <v/>
      </c>
      <c r="C4580" s="315"/>
      <c r="D4580" s="537"/>
      <c r="E4580" s="280"/>
      <c r="F4580" s="555"/>
      <c r="G4580" s="538"/>
      <c r="H4580" s="473"/>
      <c r="I4580" s="307"/>
      <c r="J4580" s="307"/>
      <c r="K4580" s="532"/>
      <c r="L4580" s="539"/>
      <c r="M4580" s="539"/>
      <c r="N4580" s="525" t="str">
        <f>IF(AND('331-CT'!$E$7=TH!H4580,OR(L4580="331",M4580="331")),"331",IF(AND(OR(L4580="131",M4580="131"),H4580='131-CT'!$E$7),"131",""))</f>
        <v/>
      </c>
      <c r="O4580" s="525" t="str">
        <f>IF(AND($B4580&gt;='111'!$N$11,$B4580&lt;='111'!$O$11,OR($L4580=$O$7,$M4580=$O$7)),"x","")</f>
        <v/>
      </c>
      <c r="P4580" s="525" t="str">
        <f>IF(AND($L4580=$O$7,$B4580&lt;'111'!$N$11),"x","")</f>
        <v/>
      </c>
      <c r="Q4580" s="525" t="str">
        <f>IF(AND($M4580=$O$7,$B4580&lt;'111'!$N$11),"x","")</f>
        <v/>
      </c>
      <c r="R4580" s="525" t="str">
        <f>IF(ISERROR(FIND('112'!$M$9,G4580,1)),"",IF((AND(FIND('112'!$M$9,G4580,1)&gt;=1,$B4580&gt;='112'!$N$8,$B4580&lt;='112'!$O$8,OR($L4580='112'!$I$6,$M4580='112'!$I$6))),"x",""))</f>
        <v/>
      </c>
      <c r="S4580" s="525" t="str">
        <f>IF(ISERROR(FIND('112'!$M$9,G4580,1)),"",IF((AND(LEFT(G4580,2)=LEFT('112'!$M$9,2),B4580&lt;'112'!$N$8,$L4580='112'!$I$6)),"x",""))</f>
        <v/>
      </c>
      <c r="T4580" s="525" t="str">
        <f>IF(ISERROR(FIND('112'!$M$9,G4580,1)),"",IF((AND(RIGHT(G4580,2)=RIGHT('112'!$M$9,2),B4580&lt;'112'!$N$8,$M4580='112'!$I$6)),"x",""))</f>
        <v/>
      </c>
      <c r="U4580" s="525" t="str">
        <f>IF(AND(B4580&gt;='IN-NX'!$P$3,B4580&lt;='IN-NX'!$Q$3,'IN-NX'!$D$7=D4580,OR(LEFT(L4580,2)="15",AND(LEFT(M4580,2)&lt;&gt;"15",LEFT(M4580,2)&lt;&gt;"33"))),"x","")</f>
        <v/>
      </c>
      <c r="V4580" s="525" t="str">
        <f>IF(AND(OR(LEFT(TH!L4580,2)="15",LEFT(TH!M4580,2)="15"),'152-CT'!$J$8=TH!F4580),"x","")</f>
        <v/>
      </c>
      <c r="W4580" s="525" t="str">
        <f>IF(AND(OR(LEFT(TH!L4580,2)="15",LEFT(TH!M4580,2)="15"),TK!$E$7=TH!F4580),"x","")</f>
        <v/>
      </c>
      <c r="X4580" s="525" t="str">
        <f>IF(AND('341-CT'!$E$9=H4580,OR(LEFT(L4580,3)=$X$7,LEFT(M4580,3)=$X$7)),"x","")</f>
        <v/>
      </c>
      <c r="Y4580" s="525" t="str">
        <f>IF(OR(TH!L4580=TH!$Y$7,M4580=TH!$Y$7),"x","")</f>
        <v/>
      </c>
      <c r="Z4580" s="525" t="str">
        <f>IF(AND(B4580&lt;=NKC!$N$8,B4580&gt;=NKC!$M$8),"x","")</f>
        <v/>
      </c>
      <c r="AA4580" s="535"/>
      <c r="AB4580" s="536"/>
    </row>
    <row r="4581" spans="1:28" s="503" customFormat="1" ht="15.75" customHeight="1">
      <c r="A4581" s="517" t="str">
        <f>IF(B4581&lt;&gt;"",IF(AND(B4581&gt;=_TM1,B4581&lt;=_TM2,OR(TH!L4581="1111",TH!M4581="1111")),TH!D4581,""),"")</f>
        <v/>
      </c>
      <c r="B4581" s="531" t="str">
        <f t="shared" si="564"/>
        <v/>
      </c>
      <c r="C4581" s="315"/>
      <c r="D4581" s="537"/>
      <c r="E4581" s="280"/>
      <c r="F4581" s="555"/>
      <c r="G4581" s="538"/>
      <c r="H4581" s="473"/>
      <c r="I4581" s="307"/>
      <c r="J4581" s="307"/>
      <c r="K4581" s="532"/>
      <c r="L4581" s="539"/>
      <c r="M4581" s="539"/>
      <c r="N4581" s="525" t="str">
        <f>IF(AND('331-CT'!$E$7=TH!H4581,OR(L4581="331",M4581="331")),"331",IF(AND(OR(L4581="131",M4581="131"),H4581='131-CT'!$E$7),"131",""))</f>
        <v/>
      </c>
      <c r="O4581" s="525" t="str">
        <f>IF(AND($B4581&gt;='111'!$N$11,$B4581&lt;='111'!$O$11,OR($L4581=$O$7,$M4581=$O$7)),"x","")</f>
        <v/>
      </c>
      <c r="P4581" s="525" t="str">
        <f>IF(AND($L4581=$O$7,$B4581&lt;'111'!$N$11),"x","")</f>
        <v/>
      </c>
      <c r="Q4581" s="525" t="str">
        <f>IF(AND($M4581=$O$7,$B4581&lt;'111'!$N$11),"x","")</f>
        <v/>
      </c>
      <c r="R4581" s="525" t="str">
        <f>IF(ISERROR(FIND('112'!$M$9,G4581,1)),"",IF((AND(FIND('112'!$M$9,G4581,1)&gt;=1,$B4581&gt;='112'!$N$8,$B4581&lt;='112'!$O$8,OR($L4581='112'!$I$6,$M4581='112'!$I$6))),"x",""))</f>
        <v/>
      </c>
      <c r="S4581" s="525" t="str">
        <f>IF(ISERROR(FIND('112'!$M$9,G4581,1)),"",IF((AND(LEFT(G4581,2)=LEFT('112'!$M$9,2),B4581&lt;'112'!$N$8,$L4581='112'!$I$6)),"x",""))</f>
        <v/>
      </c>
      <c r="T4581" s="525" t="str">
        <f>IF(ISERROR(FIND('112'!$M$9,G4581,1)),"",IF((AND(RIGHT(G4581,2)=RIGHT('112'!$M$9,2),B4581&lt;'112'!$N$8,$M4581='112'!$I$6)),"x",""))</f>
        <v/>
      </c>
      <c r="U4581" s="525" t="str">
        <f>IF(AND(B4581&gt;='IN-NX'!$P$3,B4581&lt;='IN-NX'!$Q$3,'IN-NX'!$D$7=D4581,OR(LEFT(L4581,2)="15",AND(LEFT(M4581,2)&lt;&gt;"15",LEFT(M4581,2)&lt;&gt;"33"))),"x","")</f>
        <v/>
      </c>
      <c r="V4581" s="525" t="str">
        <f>IF(AND(OR(LEFT(TH!L4581,2)="15",LEFT(TH!M4581,2)="15"),'152-CT'!$J$8=TH!F4581),"x","")</f>
        <v/>
      </c>
      <c r="W4581" s="525" t="str">
        <f>IF(AND(OR(LEFT(TH!L4581,2)="15",LEFT(TH!M4581,2)="15"),TK!$E$7=TH!F4581),"x","")</f>
        <v/>
      </c>
      <c r="X4581" s="525" t="str">
        <f>IF(AND('341-CT'!$E$9=H4581,OR(LEFT(L4581,3)=$X$7,LEFT(M4581,3)=$X$7)),"x","")</f>
        <v/>
      </c>
      <c r="Y4581" s="525" t="str">
        <f>IF(OR(TH!L4581=TH!$Y$7,M4581=TH!$Y$7),"x","")</f>
        <v/>
      </c>
      <c r="Z4581" s="525" t="str">
        <f>IF(AND(B4581&lt;=NKC!$N$8,B4581&gt;=NKC!$M$8),"x","")</f>
        <v/>
      </c>
      <c r="AA4581" s="535"/>
      <c r="AB4581" s="536"/>
    </row>
    <row r="4582" spans="1:28" s="503" customFormat="1" ht="15.75" customHeight="1">
      <c r="A4582" s="517" t="str">
        <f>IF(B4582&lt;&gt;"",IF(AND(B4582&gt;=_TM1,B4582&lt;=_TM2,OR(TH!L4582="1111",TH!M4582="1111")),TH!D4582,""),"")</f>
        <v/>
      </c>
      <c r="B4582" s="531" t="str">
        <f t="shared" si="564"/>
        <v/>
      </c>
      <c r="C4582" s="315"/>
      <c r="D4582" s="537"/>
      <c r="E4582" s="280"/>
      <c r="F4582" s="555"/>
      <c r="G4582" s="538"/>
      <c r="H4582" s="473"/>
      <c r="I4582" s="307"/>
      <c r="J4582" s="307"/>
      <c r="K4582" s="532"/>
      <c r="L4582" s="539"/>
      <c r="M4582" s="539"/>
      <c r="N4582" s="525" t="str">
        <f>IF(AND('331-CT'!$E$7=TH!H4582,OR(L4582="331",M4582="331")),"331",IF(AND(OR(L4582="131",M4582="131"),H4582='131-CT'!$E$7),"131",""))</f>
        <v/>
      </c>
      <c r="O4582" s="525" t="str">
        <f>IF(AND($B4582&gt;='111'!$N$11,$B4582&lt;='111'!$O$11,OR($L4582=$O$7,$M4582=$O$7)),"x","")</f>
        <v/>
      </c>
      <c r="P4582" s="525" t="str">
        <f>IF(AND($L4582=$O$7,$B4582&lt;'111'!$N$11),"x","")</f>
        <v/>
      </c>
      <c r="Q4582" s="525" t="str">
        <f>IF(AND($M4582=$O$7,$B4582&lt;'111'!$N$11),"x","")</f>
        <v/>
      </c>
      <c r="R4582" s="525" t="str">
        <f>IF(ISERROR(FIND('112'!$M$9,G4582,1)),"",IF((AND(FIND('112'!$M$9,G4582,1)&gt;=1,$B4582&gt;='112'!$N$8,$B4582&lt;='112'!$O$8,OR($L4582='112'!$I$6,$M4582='112'!$I$6))),"x",""))</f>
        <v/>
      </c>
      <c r="S4582" s="525" t="str">
        <f>IF(ISERROR(FIND('112'!$M$9,G4582,1)),"",IF((AND(LEFT(G4582,2)=LEFT('112'!$M$9,2),B4582&lt;'112'!$N$8,$L4582='112'!$I$6)),"x",""))</f>
        <v/>
      </c>
      <c r="T4582" s="525" t="str">
        <f>IF(ISERROR(FIND('112'!$M$9,G4582,1)),"",IF((AND(RIGHT(G4582,2)=RIGHT('112'!$M$9,2),B4582&lt;'112'!$N$8,$M4582='112'!$I$6)),"x",""))</f>
        <v/>
      </c>
      <c r="U4582" s="525" t="str">
        <f>IF(AND(B4582&gt;='IN-NX'!$P$3,B4582&lt;='IN-NX'!$Q$3,'IN-NX'!$D$7=D4582,OR(LEFT(L4582,2)="15",AND(LEFT(M4582,2)&lt;&gt;"15",LEFT(M4582,2)&lt;&gt;"33"))),"x","")</f>
        <v/>
      </c>
      <c r="V4582" s="525" t="str">
        <f>IF(AND(OR(LEFT(TH!L4582,2)="15",LEFT(TH!M4582,2)="15"),'152-CT'!$J$8=TH!F4582),"x","")</f>
        <v/>
      </c>
      <c r="W4582" s="525" t="str">
        <f>IF(AND(OR(LEFT(TH!L4582,2)="15",LEFT(TH!M4582,2)="15"),TK!$E$7=TH!F4582),"x","")</f>
        <v/>
      </c>
      <c r="X4582" s="525" t="str">
        <f>IF(AND('341-CT'!$E$9=H4582,OR(LEFT(L4582,3)=$X$7,LEFT(M4582,3)=$X$7)),"x","")</f>
        <v/>
      </c>
      <c r="Y4582" s="525" t="str">
        <f>IF(OR(TH!L4582=TH!$Y$7,M4582=TH!$Y$7),"x","")</f>
        <v/>
      </c>
      <c r="Z4582" s="525" t="str">
        <f>IF(AND(B4582&lt;=NKC!$N$8,B4582&gt;=NKC!$M$8),"x","")</f>
        <v/>
      </c>
      <c r="AA4582" s="535"/>
      <c r="AB4582" s="536"/>
    </row>
    <row r="4583" spans="1:28" s="503" customFormat="1" ht="15.75" customHeight="1">
      <c r="A4583" s="517" t="str">
        <f>IF(B4583&lt;&gt;"",IF(AND(B4583&gt;=_TM1,B4583&lt;=_TM2,OR(TH!L4583="1111",TH!M4583="1111")),TH!D4583,""),"")</f>
        <v/>
      </c>
      <c r="B4583" s="531" t="str">
        <f t="shared" si="564"/>
        <v/>
      </c>
      <c r="C4583" s="315"/>
      <c r="D4583" s="537"/>
      <c r="E4583" s="280"/>
      <c r="F4583" s="555"/>
      <c r="G4583" s="538"/>
      <c r="H4583" s="473"/>
      <c r="I4583" s="307"/>
      <c r="J4583" s="307"/>
      <c r="K4583" s="532"/>
      <c r="L4583" s="539"/>
      <c r="M4583" s="539"/>
      <c r="N4583" s="525" t="str">
        <f>IF(AND('331-CT'!$E$7=TH!H4583,OR(L4583="331",M4583="331")),"331",IF(AND(OR(L4583="131",M4583="131"),H4583='131-CT'!$E$7),"131",""))</f>
        <v/>
      </c>
      <c r="O4583" s="525" t="str">
        <f>IF(AND($B4583&gt;='111'!$N$11,$B4583&lt;='111'!$O$11,OR($L4583=$O$7,$M4583=$O$7)),"x","")</f>
        <v/>
      </c>
      <c r="P4583" s="525" t="str">
        <f>IF(AND($L4583=$O$7,$B4583&lt;'111'!$N$11),"x","")</f>
        <v/>
      </c>
      <c r="Q4583" s="525" t="str">
        <f>IF(AND($M4583=$O$7,$B4583&lt;'111'!$N$11),"x","")</f>
        <v/>
      </c>
      <c r="R4583" s="525" t="str">
        <f>IF(ISERROR(FIND('112'!$M$9,G4583,1)),"",IF((AND(FIND('112'!$M$9,G4583,1)&gt;=1,$B4583&gt;='112'!$N$8,$B4583&lt;='112'!$O$8,OR($L4583='112'!$I$6,$M4583='112'!$I$6))),"x",""))</f>
        <v/>
      </c>
      <c r="S4583" s="525" t="str">
        <f>IF(ISERROR(FIND('112'!$M$9,G4583,1)),"",IF((AND(LEFT(G4583,2)=LEFT('112'!$M$9,2),B4583&lt;'112'!$N$8,$L4583='112'!$I$6)),"x",""))</f>
        <v/>
      </c>
      <c r="T4583" s="525" t="str">
        <f>IF(ISERROR(FIND('112'!$M$9,G4583,1)),"",IF((AND(RIGHT(G4583,2)=RIGHT('112'!$M$9,2),B4583&lt;'112'!$N$8,$M4583='112'!$I$6)),"x",""))</f>
        <v/>
      </c>
      <c r="U4583" s="525" t="str">
        <f>IF(AND(B4583&gt;='IN-NX'!$P$3,B4583&lt;='IN-NX'!$Q$3,'IN-NX'!$D$7=D4583,OR(LEFT(L4583,2)="15",AND(LEFT(M4583,2)&lt;&gt;"15",LEFT(M4583,2)&lt;&gt;"33"))),"x","")</f>
        <v/>
      </c>
      <c r="V4583" s="525" t="str">
        <f>IF(AND(OR(LEFT(TH!L4583,2)="15",LEFT(TH!M4583,2)="15"),'152-CT'!$J$8=TH!F4583),"x","")</f>
        <v/>
      </c>
      <c r="W4583" s="525" t="str">
        <f>IF(AND(OR(LEFT(TH!L4583,2)="15",LEFT(TH!M4583,2)="15"),TK!$E$7=TH!F4583),"x","")</f>
        <v/>
      </c>
      <c r="X4583" s="525" t="str">
        <f>IF(AND('341-CT'!$E$9=H4583,OR(LEFT(L4583,3)=$X$7,LEFT(M4583,3)=$X$7)),"x","")</f>
        <v/>
      </c>
      <c r="Y4583" s="525" t="str">
        <f>IF(OR(TH!L4583=TH!$Y$7,M4583=TH!$Y$7),"x","")</f>
        <v/>
      </c>
      <c r="Z4583" s="525" t="str">
        <f>IF(AND(B4583&lt;=NKC!$N$8,B4583&gt;=NKC!$M$8),"x","")</f>
        <v/>
      </c>
      <c r="AA4583" s="535"/>
      <c r="AB4583" s="536"/>
    </row>
    <row r="4584" spans="1:28" s="503" customFormat="1" ht="15.75" customHeight="1">
      <c r="A4584" s="517" t="str">
        <f>IF(B4584&lt;&gt;"",IF(AND(B4584&gt;=_TM1,B4584&lt;=_TM2,OR(TH!L4584="1111",TH!M4584="1111")),TH!D4584,""),"")</f>
        <v/>
      </c>
      <c r="B4584" s="531" t="str">
        <f t="shared" si="564"/>
        <v/>
      </c>
      <c r="C4584" s="315"/>
      <c r="D4584" s="537"/>
      <c r="E4584" s="280"/>
      <c r="F4584" s="555"/>
      <c r="G4584" s="538"/>
      <c r="H4584" s="473"/>
      <c r="I4584" s="307"/>
      <c r="J4584" s="307"/>
      <c r="K4584" s="532"/>
      <c r="L4584" s="539"/>
      <c r="M4584" s="539"/>
      <c r="N4584" s="525" t="str">
        <f>IF(AND('331-CT'!$E$7=TH!H4584,OR(L4584="331",M4584="331")),"331",IF(AND(OR(L4584="131",M4584="131"),H4584='131-CT'!$E$7),"131",""))</f>
        <v/>
      </c>
      <c r="O4584" s="525" t="str">
        <f>IF(AND($B4584&gt;='111'!$N$11,$B4584&lt;='111'!$O$11,OR($L4584=$O$7,$M4584=$O$7)),"x","")</f>
        <v/>
      </c>
      <c r="P4584" s="525" t="str">
        <f>IF(AND($L4584=$O$7,$B4584&lt;'111'!$N$11),"x","")</f>
        <v/>
      </c>
      <c r="Q4584" s="525" t="str">
        <f>IF(AND($M4584=$O$7,$B4584&lt;'111'!$N$11),"x","")</f>
        <v/>
      </c>
      <c r="R4584" s="525" t="str">
        <f>IF(ISERROR(FIND('112'!$M$9,G4584,1)),"",IF((AND(FIND('112'!$M$9,G4584,1)&gt;=1,$B4584&gt;='112'!$N$8,$B4584&lt;='112'!$O$8,OR($L4584='112'!$I$6,$M4584='112'!$I$6))),"x",""))</f>
        <v/>
      </c>
      <c r="S4584" s="525" t="str">
        <f>IF(ISERROR(FIND('112'!$M$9,G4584,1)),"",IF((AND(LEFT(G4584,2)=LEFT('112'!$M$9,2),B4584&lt;'112'!$N$8,$L4584='112'!$I$6)),"x",""))</f>
        <v/>
      </c>
      <c r="T4584" s="525" t="str">
        <f>IF(ISERROR(FIND('112'!$M$9,G4584,1)),"",IF((AND(RIGHT(G4584,2)=RIGHT('112'!$M$9,2),B4584&lt;'112'!$N$8,$M4584='112'!$I$6)),"x",""))</f>
        <v/>
      </c>
      <c r="U4584" s="525" t="str">
        <f>IF(AND(B4584&gt;='IN-NX'!$P$3,B4584&lt;='IN-NX'!$Q$3,'IN-NX'!$D$7=D4584,OR(LEFT(L4584,2)="15",AND(LEFT(M4584,2)&lt;&gt;"15",LEFT(M4584,2)&lt;&gt;"33"))),"x","")</f>
        <v/>
      </c>
      <c r="V4584" s="525" t="str">
        <f>IF(AND(OR(LEFT(TH!L4584,2)="15",LEFT(TH!M4584,2)="15"),'152-CT'!$J$8=TH!F4584),"x","")</f>
        <v/>
      </c>
      <c r="W4584" s="525" t="str">
        <f>IF(AND(OR(LEFT(TH!L4584,2)="15",LEFT(TH!M4584,2)="15"),TK!$E$7=TH!F4584),"x","")</f>
        <v/>
      </c>
      <c r="X4584" s="525" t="str">
        <f>IF(AND('341-CT'!$E$9=H4584,OR(LEFT(L4584,3)=$X$7,LEFT(M4584,3)=$X$7)),"x","")</f>
        <v/>
      </c>
      <c r="Y4584" s="525" t="str">
        <f>IF(OR(TH!L4584=TH!$Y$7,M4584=TH!$Y$7),"x","")</f>
        <v/>
      </c>
      <c r="Z4584" s="525" t="str">
        <f>IF(AND(B4584&lt;=NKC!$N$8,B4584&gt;=NKC!$M$8),"x","")</f>
        <v/>
      </c>
      <c r="AA4584" s="535"/>
      <c r="AB4584" s="536"/>
    </row>
    <row r="4585" spans="1:28" s="503" customFormat="1" ht="15.75" customHeight="1">
      <c r="A4585" s="517" t="str">
        <f>IF(B4585&lt;&gt;"",IF(AND(B4585&gt;=_TM1,B4585&lt;=_TM2,OR(TH!L4585="1111",TH!M4585="1111")),TH!D4585,""),"")</f>
        <v/>
      </c>
      <c r="B4585" s="531" t="str">
        <f t="shared" si="564"/>
        <v/>
      </c>
      <c r="C4585" s="315"/>
      <c r="D4585" s="537"/>
      <c r="E4585" s="280"/>
      <c r="F4585" s="250"/>
      <c r="G4585" s="538"/>
      <c r="H4585" s="473"/>
      <c r="I4585" s="307"/>
      <c r="J4585" s="307"/>
      <c r="K4585" s="532"/>
      <c r="L4585" s="539"/>
      <c r="M4585" s="539"/>
      <c r="N4585" s="525" t="str">
        <f>IF(AND('331-CT'!$E$7=TH!H4585,OR(L4585="331",M4585="331")),"331",IF(AND(OR(L4585="131",M4585="131"),H4585='131-CT'!$E$7),"131",""))</f>
        <v/>
      </c>
      <c r="O4585" s="525" t="str">
        <f>IF(AND($B4585&gt;='111'!$N$11,$B4585&lt;='111'!$O$11,OR($L4585=$O$7,$M4585=$O$7)),"x","")</f>
        <v/>
      </c>
      <c r="P4585" s="525" t="str">
        <f>IF(AND($L4585=$O$7,$B4585&lt;'111'!$N$11),"x","")</f>
        <v/>
      </c>
      <c r="Q4585" s="525" t="str">
        <f>IF(AND($M4585=$O$7,$B4585&lt;'111'!$N$11),"x","")</f>
        <v/>
      </c>
      <c r="R4585" s="525" t="str">
        <f>IF(ISERROR(FIND('112'!$M$9,G4585,1)),"",IF((AND(FIND('112'!$M$9,G4585,1)&gt;=1,$B4585&gt;='112'!$N$8,$B4585&lt;='112'!$O$8,OR($L4585='112'!$I$6,$M4585='112'!$I$6))),"x",""))</f>
        <v/>
      </c>
      <c r="S4585" s="525" t="str">
        <f>IF(ISERROR(FIND('112'!$M$9,G4585,1)),"",IF((AND(LEFT(G4585,2)=LEFT('112'!$M$9,2),B4585&lt;'112'!$N$8,$L4585='112'!$I$6)),"x",""))</f>
        <v/>
      </c>
      <c r="T4585" s="525" t="str">
        <f>IF(ISERROR(FIND('112'!$M$9,G4585,1)),"",IF((AND(RIGHT(G4585,2)=RIGHT('112'!$M$9,2),B4585&lt;'112'!$N$8,$M4585='112'!$I$6)),"x",""))</f>
        <v/>
      </c>
      <c r="U4585" s="525" t="str">
        <f>IF(AND(B4585&gt;='IN-NX'!$P$3,B4585&lt;='IN-NX'!$Q$3,'IN-NX'!$D$7=D4585,OR(LEFT(L4585,2)="15",AND(LEFT(M4585,2)&lt;&gt;"15",LEFT(M4585,2)&lt;&gt;"33"))),"x","")</f>
        <v/>
      </c>
      <c r="V4585" s="525" t="str">
        <f>IF(AND(OR(LEFT(TH!L4585,2)="15",LEFT(TH!M4585,2)="15"),'152-CT'!$J$8=TH!F4585),"x","")</f>
        <v/>
      </c>
      <c r="W4585" s="525" t="str">
        <f>IF(AND(OR(LEFT(TH!L4585,2)="15",LEFT(TH!M4585,2)="15"),TK!$E$7=TH!F4585),"x","")</f>
        <v/>
      </c>
      <c r="X4585" s="525" t="str">
        <f>IF(AND('341-CT'!$E$9=H4585,OR(LEFT(L4585,3)=$X$7,LEFT(M4585,3)=$X$7)),"x","")</f>
        <v/>
      </c>
      <c r="Y4585" s="525" t="str">
        <f>IF(OR(TH!L4585=TH!$Y$7,M4585=TH!$Y$7),"x","")</f>
        <v/>
      </c>
      <c r="Z4585" s="525" t="str">
        <f>IF(AND(B4585&lt;=NKC!$N$8,B4585&gt;=NKC!$M$8),"x","")</f>
        <v/>
      </c>
      <c r="AA4585" s="535"/>
      <c r="AB4585" s="536"/>
    </row>
    <row r="4586" spans="1:28" s="503" customFormat="1" ht="15.75" customHeight="1">
      <c r="A4586" s="517" t="str">
        <f>IF(B4586&lt;&gt;"",IF(AND(B4586&gt;=_TM1,B4586&lt;=_TM2,OR(TH!L4586="1111",TH!M4586="1111")),TH!D4586,""),"")</f>
        <v/>
      </c>
      <c r="B4586" s="531" t="str">
        <f t="shared" si="564"/>
        <v/>
      </c>
      <c r="C4586" s="315"/>
      <c r="D4586" s="537"/>
      <c r="E4586" s="280"/>
      <c r="F4586" s="555"/>
      <c r="G4586" s="538"/>
      <c r="H4586" s="473"/>
      <c r="I4586" s="307"/>
      <c r="J4586" s="307"/>
      <c r="K4586" s="532"/>
      <c r="L4586" s="539"/>
      <c r="M4586" s="539"/>
      <c r="N4586" s="525" t="str">
        <f>IF(AND('331-CT'!$E$7=TH!H4586,OR(L4586="331",M4586="331")),"331",IF(AND(OR(L4586="131",M4586="131"),H4586='131-CT'!$E$7),"131",""))</f>
        <v/>
      </c>
      <c r="O4586" s="525" t="str">
        <f>IF(AND($B4586&gt;='111'!$N$11,$B4586&lt;='111'!$O$11,OR($L4586=$O$7,$M4586=$O$7)),"x","")</f>
        <v/>
      </c>
      <c r="P4586" s="525" t="str">
        <f>IF(AND($L4586=$O$7,$B4586&lt;'111'!$N$11),"x","")</f>
        <v/>
      </c>
      <c r="Q4586" s="525" t="str">
        <f>IF(AND($M4586=$O$7,$B4586&lt;'111'!$N$11),"x","")</f>
        <v/>
      </c>
      <c r="R4586" s="525" t="str">
        <f>IF(ISERROR(FIND('112'!$M$9,G4586,1)),"",IF((AND(FIND('112'!$M$9,G4586,1)&gt;=1,$B4586&gt;='112'!$N$8,$B4586&lt;='112'!$O$8,OR($L4586='112'!$I$6,$M4586='112'!$I$6))),"x",""))</f>
        <v/>
      </c>
      <c r="S4586" s="525" t="str">
        <f>IF(ISERROR(FIND('112'!$M$9,G4586,1)),"",IF((AND(LEFT(G4586,2)=LEFT('112'!$M$9,2),B4586&lt;'112'!$N$8,$L4586='112'!$I$6)),"x",""))</f>
        <v/>
      </c>
      <c r="T4586" s="525" t="str">
        <f>IF(ISERROR(FIND('112'!$M$9,G4586,1)),"",IF((AND(RIGHT(G4586,2)=RIGHT('112'!$M$9,2),B4586&lt;'112'!$N$8,$M4586='112'!$I$6)),"x",""))</f>
        <v/>
      </c>
      <c r="U4586" s="525" t="str">
        <f>IF(AND(B4586&gt;='IN-NX'!$P$3,B4586&lt;='IN-NX'!$Q$3,'IN-NX'!$D$7=D4586,OR(LEFT(L4586,2)="15",AND(LEFT(M4586,2)&lt;&gt;"15",LEFT(M4586,2)&lt;&gt;"33"))),"x","")</f>
        <v/>
      </c>
      <c r="V4586" s="525" t="str">
        <f>IF(AND(OR(LEFT(TH!L4586,2)="15",LEFT(TH!M4586,2)="15"),'152-CT'!$J$8=TH!F4586),"x","")</f>
        <v/>
      </c>
      <c r="W4586" s="525" t="str">
        <f>IF(AND(OR(LEFT(TH!L4586,2)="15",LEFT(TH!M4586,2)="15"),TK!$E$7=TH!F4586),"x","")</f>
        <v/>
      </c>
      <c r="X4586" s="525" t="str">
        <f>IF(AND('341-CT'!$E$9=H4586,OR(LEFT(L4586,3)=$X$7,LEFT(M4586,3)=$X$7)),"x","")</f>
        <v/>
      </c>
      <c r="Y4586" s="525" t="str">
        <f>IF(OR(TH!L4586=TH!$Y$7,M4586=TH!$Y$7),"x","")</f>
        <v/>
      </c>
      <c r="Z4586" s="525" t="str">
        <f>IF(AND(B4586&lt;=NKC!$N$8,B4586&gt;=NKC!$M$8),"x","")</f>
        <v/>
      </c>
      <c r="AA4586" s="535"/>
      <c r="AB4586" s="536"/>
    </row>
    <row r="4587" spans="1:28" s="503" customFormat="1" ht="15.75" customHeight="1">
      <c r="A4587" s="517" t="str">
        <f>IF(B4587&lt;&gt;"",IF(AND(B4587&gt;=_TM1,B4587&lt;=_TM2,OR(TH!L4587="1111",TH!M4587="1111")),TH!D4587,""),"")</f>
        <v/>
      </c>
      <c r="B4587" s="531" t="str">
        <f t="shared" si="564"/>
        <v/>
      </c>
      <c r="C4587" s="315"/>
      <c r="D4587" s="537"/>
      <c r="E4587" s="280"/>
      <c r="F4587" s="250"/>
      <c r="G4587" s="538"/>
      <c r="H4587" s="473"/>
      <c r="I4587" s="307"/>
      <c r="J4587" s="307"/>
      <c r="K4587" s="532"/>
      <c r="L4587" s="539"/>
      <c r="M4587" s="539"/>
      <c r="N4587" s="525" t="str">
        <f>IF(AND('331-CT'!$E$7=TH!H4587,OR(L4587="331",M4587="331")),"331",IF(AND(OR(L4587="131",M4587="131"),H4587='131-CT'!$E$7),"131",""))</f>
        <v/>
      </c>
      <c r="O4587" s="525" t="str">
        <f>IF(AND($B4587&gt;='111'!$N$11,$B4587&lt;='111'!$O$11,OR($L4587=$O$7,$M4587=$O$7)),"x","")</f>
        <v/>
      </c>
      <c r="P4587" s="525" t="str">
        <f>IF(AND($L4587=$O$7,$B4587&lt;'111'!$N$11),"x","")</f>
        <v/>
      </c>
      <c r="Q4587" s="525" t="str">
        <f>IF(AND($M4587=$O$7,$B4587&lt;'111'!$N$11),"x","")</f>
        <v/>
      </c>
      <c r="R4587" s="525" t="str">
        <f>IF(ISERROR(FIND('112'!$M$9,G4587,1)),"",IF((AND(FIND('112'!$M$9,G4587,1)&gt;=1,$B4587&gt;='112'!$N$8,$B4587&lt;='112'!$O$8,OR($L4587='112'!$I$6,$M4587='112'!$I$6))),"x",""))</f>
        <v/>
      </c>
      <c r="S4587" s="525" t="str">
        <f>IF(ISERROR(FIND('112'!$M$9,G4587,1)),"",IF((AND(LEFT(G4587,2)=LEFT('112'!$M$9,2),B4587&lt;'112'!$N$8,$L4587='112'!$I$6)),"x",""))</f>
        <v/>
      </c>
      <c r="T4587" s="525" t="str">
        <f>IF(ISERROR(FIND('112'!$M$9,G4587,1)),"",IF((AND(RIGHT(G4587,2)=RIGHT('112'!$M$9,2),B4587&lt;'112'!$N$8,$M4587='112'!$I$6)),"x",""))</f>
        <v/>
      </c>
      <c r="U4587" s="525" t="str">
        <f>IF(AND(B4587&gt;='IN-NX'!$P$3,B4587&lt;='IN-NX'!$Q$3,'IN-NX'!$D$7=D4587,OR(LEFT(L4587,2)="15",AND(LEFT(M4587,2)&lt;&gt;"15",LEFT(M4587,2)&lt;&gt;"33"))),"x","")</f>
        <v/>
      </c>
      <c r="V4587" s="525" t="str">
        <f>IF(AND(OR(LEFT(TH!L4587,2)="15",LEFT(TH!M4587,2)="15"),'152-CT'!$J$8=TH!F4587),"x","")</f>
        <v/>
      </c>
      <c r="W4587" s="525" t="str">
        <f>IF(AND(OR(LEFT(TH!L4587,2)="15",LEFT(TH!M4587,2)="15"),TK!$E$7=TH!F4587),"x","")</f>
        <v/>
      </c>
      <c r="X4587" s="525" t="str">
        <f>IF(AND('341-CT'!$E$9=H4587,OR(LEFT(L4587,3)=$X$7,LEFT(M4587,3)=$X$7)),"x","")</f>
        <v/>
      </c>
      <c r="Y4587" s="525" t="str">
        <f>IF(OR(TH!L4587=TH!$Y$7,M4587=TH!$Y$7),"x","")</f>
        <v/>
      </c>
      <c r="Z4587" s="525" t="str">
        <f>IF(AND(B4587&lt;=NKC!$N$8,B4587&gt;=NKC!$M$8),"x","")</f>
        <v/>
      </c>
      <c r="AA4587" s="535"/>
      <c r="AB4587" s="536"/>
    </row>
    <row r="4588" spans="1:28" s="503" customFormat="1" ht="15.75" customHeight="1">
      <c r="A4588" s="517" t="str">
        <f>IF(B4588&lt;&gt;"",IF(AND(B4588&gt;=_TM1,B4588&lt;=_TM2,OR(TH!L4588="1111",TH!M4588="1111")),TH!D4588,""),"")</f>
        <v/>
      </c>
      <c r="B4588" s="531" t="str">
        <f t="shared" si="564"/>
        <v/>
      </c>
      <c r="C4588" s="315"/>
      <c r="D4588" s="537"/>
      <c r="E4588" s="280"/>
      <c r="F4588" s="555"/>
      <c r="G4588" s="538"/>
      <c r="H4588" s="473"/>
      <c r="I4588" s="307"/>
      <c r="J4588" s="307"/>
      <c r="K4588" s="532"/>
      <c r="L4588" s="539"/>
      <c r="M4588" s="539"/>
      <c r="N4588" s="525" t="str">
        <f>IF(AND('331-CT'!$E$7=TH!H4588,OR(L4588="331",M4588="331")),"331",IF(AND(OR(L4588="131",M4588="131"),H4588='131-CT'!$E$7),"131",""))</f>
        <v/>
      </c>
      <c r="O4588" s="525" t="str">
        <f>IF(AND($B4588&gt;='111'!$N$11,$B4588&lt;='111'!$O$11,OR($L4588=$O$7,$M4588=$O$7)),"x","")</f>
        <v/>
      </c>
      <c r="P4588" s="525" t="str">
        <f>IF(AND($L4588=$O$7,$B4588&lt;'111'!$N$11),"x","")</f>
        <v/>
      </c>
      <c r="Q4588" s="525" t="str">
        <f>IF(AND($M4588=$O$7,$B4588&lt;'111'!$N$11),"x","")</f>
        <v/>
      </c>
      <c r="R4588" s="525" t="str">
        <f>IF(ISERROR(FIND('112'!$M$9,G4588,1)),"",IF((AND(FIND('112'!$M$9,G4588,1)&gt;=1,$B4588&gt;='112'!$N$8,$B4588&lt;='112'!$O$8,OR($L4588='112'!$I$6,$M4588='112'!$I$6))),"x",""))</f>
        <v/>
      </c>
      <c r="S4588" s="525" t="str">
        <f>IF(ISERROR(FIND('112'!$M$9,G4588,1)),"",IF((AND(LEFT(G4588,2)=LEFT('112'!$M$9,2),B4588&lt;'112'!$N$8,$L4588='112'!$I$6)),"x",""))</f>
        <v/>
      </c>
      <c r="T4588" s="525" t="str">
        <f>IF(ISERROR(FIND('112'!$M$9,G4588,1)),"",IF((AND(RIGHT(G4588,2)=RIGHT('112'!$M$9,2),B4588&lt;'112'!$N$8,$M4588='112'!$I$6)),"x",""))</f>
        <v/>
      </c>
      <c r="U4588" s="525" t="str">
        <f>IF(AND(B4588&gt;='IN-NX'!$P$3,B4588&lt;='IN-NX'!$Q$3,'IN-NX'!$D$7=D4588,OR(LEFT(L4588,2)="15",AND(LEFT(M4588,2)&lt;&gt;"15",LEFT(M4588,2)&lt;&gt;"33"))),"x","")</f>
        <v/>
      </c>
      <c r="V4588" s="525" t="str">
        <f>IF(AND(OR(LEFT(TH!L4588,2)="15",LEFT(TH!M4588,2)="15"),'152-CT'!$J$8=TH!F4588),"x","")</f>
        <v/>
      </c>
      <c r="W4588" s="525" t="str">
        <f>IF(AND(OR(LEFT(TH!L4588,2)="15",LEFT(TH!M4588,2)="15"),TK!$E$7=TH!F4588),"x","")</f>
        <v/>
      </c>
      <c r="X4588" s="525" t="str">
        <f>IF(AND('341-CT'!$E$9=H4588,OR(LEFT(L4588,3)=$X$7,LEFT(M4588,3)=$X$7)),"x","")</f>
        <v/>
      </c>
      <c r="Y4588" s="525" t="str">
        <f>IF(OR(TH!L4588=TH!$Y$7,M4588=TH!$Y$7),"x","")</f>
        <v/>
      </c>
      <c r="Z4588" s="525" t="str">
        <f>IF(AND(B4588&lt;=NKC!$N$8,B4588&gt;=NKC!$M$8),"x","")</f>
        <v/>
      </c>
      <c r="AA4588" s="535"/>
      <c r="AB4588" s="536"/>
    </row>
    <row r="4589" spans="1:28" s="503" customFormat="1" ht="15.75" customHeight="1">
      <c r="A4589" s="517" t="str">
        <f>IF(B4589&lt;&gt;"",IF(AND(B4589&gt;=_TM1,B4589&lt;=_TM2,OR(TH!L4589="1111",TH!M4589="1111")),TH!D4589,""),"")</f>
        <v/>
      </c>
      <c r="B4589" s="531" t="str">
        <f t="shared" si="564"/>
        <v/>
      </c>
      <c r="C4589" s="315"/>
      <c r="D4589" s="537"/>
      <c r="E4589" s="280"/>
      <c r="F4589" s="250"/>
      <c r="G4589" s="538"/>
      <c r="H4589" s="473"/>
      <c r="I4589" s="307"/>
      <c r="J4589" s="307"/>
      <c r="K4589" s="532"/>
      <c r="L4589" s="539"/>
      <c r="M4589" s="539"/>
      <c r="N4589" s="525" t="str">
        <f>IF(AND('331-CT'!$E$7=TH!H4589,OR(L4589="331",M4589="331")),"331",IF(AND(OR(L4589="131",M4589="131"),H4589='131-CT'!$E$7),"131",""))</f>
        <v/>
      </c>
      <c r="O4589" s="525" t="str">
        <f>IF(AND($B4589&gt;='111'!$N$11,$B4589&lt;='111'!$O$11,OR($L4589=$O$7,$M4589=$O$7)),"x","")</f>
        <v/>
      </c>
      <c r="P4589" s="525" t="str">
        <f>IF(AND($L4589=$O$7,$B4589&lt;'111'!$N$11),"x","")</f>
        <v/>
      </c>
      <c r="Q4589" s="525" t="str">
        <f>IF(AND($M4589=$O$7,$B4589&lt;'111'!$N$11),"x","")</f>
        <v/>
      </c>
      <c r="R4589" s="525" t="str">
        <f>IF(ISERROR(FIND('112'!$M$9,G4589,1)),"",IF((AND(FIND('112'!$M$9,G4589,1)&gt;=1,$B4589&gt;='112'!$N$8,$B4589&lt;='112'!$O$8,OR($L4589='112'!$I$6,$M4589='112'!$I$6))),"x",""))</f>
        <v/>
      </c>
      <c r="S4589" s="525" t="str">
        <f>IF(ISERROR(FIND('112'!$M$9,G4589,1)),"",IF((AND(LEFT(G4589,2)=LEFT('112'!$M$9,2),B4589&lt;'112'!$N$8,$L4589='112'!$I$6)),"x",""))</f>
        <v/>
      </c>
      <c r="T4589" s="525" t="str">
        <f>IF(ISERROR(FIND('112'!$M$9,G4589,1)),"",IF((AND(RIGHT(G4589,2)=RIGHT('112'!$M$9,2),B4589&lt;'112'!$N$8,$M4589='112'!$I$6)),"x",""))</f>
        <v/>
      </c>
      <c r="U4589" s="525" t="str">
        <f>IF(AND(B4589&gt;='IN-NX'!$P$3,B4589&lt;='IN-NX'!$Q$3,'IN-NX'!$D$7=D4589,OR(LEFT(L4589,2)="15",AND(LEFT(M4589,2)&lt;&gt;"15",LEFT(M4589,2)&lt;&gt;"33"))),"x","")</f>
        <v/>
      </c>
      <c r="V4589" s="525" t="str">
        <f>IF(AND(OR(LEFT(TH!L4589,2)="15",LEFT(TH!M4589,2)="15"),'152-CT'!$J$8=TH!F4589),"x","")</f>
        <v/>
      </c>
      <c r="W4589" s="525" t="str">
        <f>IF(AND(OR(LEFT(TH!L4589,2)="15",LEFT(TH!M4589,2)="15"),TK!$E$7=TH!F4589),"x","")</f>
        <v/>
      </c>
      <c r="X4589" s="525" t="str">
        <f>IF(AND('341-CT'!$E$9=H4589,OR(LEFT(L4589,3)=$X$7,LEFT(M4589,3)=$X$7)),"x","")</f>
        <v/>
      </c>
      <c r="Y4589" s="525" t="str">
        <f>IF(OR(TH!L4589=TH!$Y$7,M4589=TH!$Y$7),"x","")</f>
        <v/>
      </c>
      <c r="Z4589" s="525" t="str">
        <f>IF(AND(B4589&lt;=NKC!$N$8,B4589&gt;=NKC!$M$8),"x","")</f>
        <v/>
      </c>
      <c r="AA4589" s="535"/>
      <c r="AB4589" s="536"/>
    </row>
    <row r="4590" spans="1:28" s="503" customFormat="1" ht="15.75" customHeight="1">
      <c r="A4590" s="517" t="str">
        <f>IF(B4590&lt;&gt;"",IF(AND(B4590&gt;=_TM1,B4590&lt;=_TM2,OR(TH!L4590="1111",TH!M4590="1111")),TH!D4590,""),"")</f>
        <v/>
      </c>
      <c r="B4590" s="531" t="str">
        <f t="shared" si="564"/>
        <v/>
      </c>
      <c r="C4590" s="315"/>
      <c r="D4590" s="537"/>
      <c r="E4590" s="280"/>
      <c r="F4590" s="555"/>
      <c r="G4590" s="538"/>
      <c r="H4590" s="473"/>
      <c r="I4590" s="307"/>
      <c r="J4590" s="307"/>
      <c r="K4590" s="532"/>
      <c r="L4590" s="539"/>
      <c r="M4590" s="539"/>
      <c r="N4590" s="525" t="str">
        <f>IF(AND('331-CT'!$E$7=TH!H4590,OR(L4590="331",M4590="331")),"331",IF(AND(OR(L4590="131",M4590="131"),H4590='131-CT'!$E$7),"131",""))</f>
        <v/>
      </c>
      <c r="O4590" s="525" t="str">
        <f>IF(AND($B4590&gt;='111'!$N$11,$B4590&lt;='111'!$O$11,OR($L4590=$O$7,$M4590=$O$7)),"x","")</f>
        <v/>
      </c>
      <c r="P4590" s="525" t="str">
        <f>IF(AND($L4590=$O$7,$B4590&lt;'111'!$N$11),"x","")</f>
        <v/>
      </c>
      <c r="Q4590" s="525" t="str">
        <f>IF(AND($M4590=$O$7,$B4590&lt;'111'!$N$11),"x","")</f>
        <v/>
      </c>
      <c r="R4590" s="525" t="str">
        <f>IF(ISERROR(FIND('112'!$M$9,G4590,1)),"",IF((AND(FIND('112'!$M$9,G4590,1)&gt;=1,$B4590&gt;='112'!$N$8,$B4590&lt;='112'!$O$8,OR($L4590='112'!$I$6,$M4590='112'!$I$6))),"x",""))</f>
        <v/>
      </c>
      <c r="S4590" s="525" t="str">
        <f>IF(ISERROR(FIND('112'!$M$9,G4590,1)),"",IF((AND(LEFT(G4590,2)=LEFT('112'!$M$9,2),B4590&lt;'112'!$N$8,$L4590='112'!$I$6)),"x",""))</f>
        <v/>
      </c>
      <c r="T4590" s="525" t="str">
        <f>IF(ISERROR(FIND('112'!$M$9,G4590,1)),"",IF((AND(RIGHT(G4590,2)=RIGHT('112'!$M$9,2),B4590&lt;'112'!$N$8,$M4590='112'!$I$6)),"x",""))</f>
        <v/>
      </c>
      <c r="U4590" s="525" t="str">
        <f>IF(AND(B4590&gt;='IN-NX'!$P$3,B4590&lt;='IN-NX'!$Q$3,'IN-NX'!$D$7=D4590,OR(LEFT(L4590,2)="15",AND(LEFT(M4590,2)&lt;&gt;"15",LEFT(M4590,2)&lt;&gt;"33"))),"x","")</f>
        <v/>
      </c>
      <c r="V4590" s="525" t="str">
        <f>IF(AND(OR(LEFT(TH!L4590,2)="15",LEFT(TH!M4590,2)="15"),'152-CT'!$J$8=TH!F4590),"x","")</f>
        <v/>
      </c>
      <c r="W4590" s="525" t="str">
        <f>IF(AND(OR(LEFT(TH!L4590,2)="15",LEFT(TH!M4590,2)="15"),TK!$E$7=TH!F4590),"x","")</f>
        <v/>
      </c>
      <c r="X4590" s="525" t="str">
        <f>IF(AND('341-CT'!$E$9=H4590,OR(LEFT(L4590,3)=$X$7,LEFT(M4590,3)=$X$7)),"x","")</f>
        <v/>
      </c>
      <c r="Y4590" s="525" t="str">
        <f>IF(OR(TH!L4590=TH!$Y$7,M4590=TH!$Y$7),"x","")</f>
        <v/>
      </c>
      <c r="Z4590" s="525" t="str">
        <f>IF(AND(B4590&lt;=NKC!$N$8,B4590&gt;=NKC!$M$8),"x","")</f>
        <v/>
      </c>
      <c r="AA4590" s="535"/>
      <c r="AB4590" s="536"/>
    </row>
    <row r="4591" spans="1:28" s="503" customFormat="1" ht="15.75" customHeight="1">
      <c r="A4591" s="517" t="str">
        <f>IF(B4591&lt;&gt;"",IF(AND(B4591&gt;=_TM1,B4591&lt;=_TM2,OR(TH!L4591="1111",TH!M4591="1111")),TH!D4591,""),"")</f>
        <v/>
      </c>
      <c r="B4591" s="531" t="str">
        <f t="shared" si="564"/>
        <v/>
      </c>
      <c r="C4591" s="315"/>
      <c r="D4591" s="537"/>
      <c r="E4591" s="280"/>
      <c r="F4591" s="555"/>
      <c r="G4591" s="538"/>
      <c r="H4591" s="473"/>
      <c r="I4591" s="307"/>
      <c r="J4591" s="307"/>
      <c r="K4591" s="532"/>
      <c r="L4591" s="539"/>
      <c r="M4591" s="539"/>
      <c r="N4591" s="525" t="str">
        <f>IF(AND('331-CT'!$E$7=TH!H4591,OR(L4591="331",M4591="331")),"331",IF(AND(OR(L4591="131",M4591="131"),H4591='131-CT'!$E$7),"131",""))</f>
        <v/>
      </c>
      <c r="O4591" s="525" t="str">
        <f>IF(AND($B4591&gt;='111'!$N$11,$B4591&lt;='111'!$O$11,OR($L4591=$O$7,$M4591=$O$7)),"x","")</f>
        <v/>
      </c>
      <c r="P4591" s="525" t="str">
        <f>IF(AND($L4591=$O$7,$B4591&lt;'111'!$N$11),"x","")</f>
        <v/>
      </c>
      <c r="Q4591" s="525" t="str">
        <f>IF(AND($M4591=$O$7,$B4591&lt;'111'!$N$11),"x","")</f>
        <v/>
      </c>
      <c r="R4591" s="525" t="str">
        <f>IF(ISERROR(FIND('112'!$M$9,G4591,1)),"",IF((AND(FIND('112'!$M$9,G4591,1)&gt;=1,$B4591&gt;='112'!$N$8,$B4591&lt;='112'!$O$8,OR($L4591='112'!$I$6,$M4591='112'!$I$6))),"x",""))</f>
        <v/>
      </c>
      <c r="S4591" s="525" t="str">
        <f>IF(ISERROR(FIND('112'!$M$9,G4591,1)),"",IF((AND(LEFT(G4591,2)=LEFT('112'!$M$9,2),B4591&lt;'112'!$N$8,$L4591='112'!$I$6)),"x",""))</f>
        <v/>
      </c>
      <c r="T4591" s="525" t="str">
        <f>IF(ISERROR(FIND('112'!$M$9,G4591,1)),"",IF((AND(RIGHT(G4591,2)=RIGHT('112'!$M$9,2),B4591&lt;'112'!$N$8,$M4591='112'!$I$6)),"x",""))</f>
        <v/>
      </c>
      <c r="U4591" s="525" t="str">
        <f>IF(AND(B4591&gt;='IN-NX'!$P$3,B4591&lt;='IN-NX'!$Q$3,'IN-NX'!$D$7=D4591,OR(LEFT(L4591,2)="15",AND(LEFT(M4591,2)&lt;&gt;"15",LEFT(M4591,2)&lt;&gt;"33"))),"x","")</f>
        <v/>
      </c>
      <c r="V4591" s="525" t="str">
        <f>IF(AND(OR(LEFT(TH!L4591,2)="15",LEFT(TH!M4591,2)="15"),'152-CT'!$J$8=TH!F4591),"x","")</f>
        <v/>
      </c>
      <c r="W4591" s="525" t="str">
        <f>IF(AND(OR(LEFT(TH!L4591,2)="15",LEFT(TH!M4591,2)="15"),TK!$E$7=TH!F4591),"x","")</f>
        <v/>
      </c>
      <c r="X4591" s="525" t="str">
        <f>IF(AND('341-CT'!$E$9=H4591,OR(LEFT(L4591,3)=$X$7,LEFT(M4591,3)=$X$7)),"x","")</f>
        <v/>
      </c>
      <c r="Y4591" s="525" t="str">
        <f>IF(OR(TH!L4591=TH!$Y$7,M4591=TH!$Y$7),"x","")</f>
        <v/>
      </c>
      <c r="Z4591" s="525" t="str">
        <f>IF(AND(B4591&lt;=NKC!$N$8,B4591&gt;=NKC!$M$8),"x","")</f>
        <v/>
      </c>
      <c r="AA4591" s="535"/>
      <c r="AB4591" s="536"/>
    </row>
    <row r="4592" spans="1:28" s="503" customFormat="1" ht="15.75" customHeight="1">
      <c r="A4592" s="517" t="str">
        <f>IF(B4592&lt;&gt;"",IF(AND(B4592&gt;=_TM1,B4592&lt;=_TM2,OR(TH!L4592="1111",TH!M4592="1111")),TH!D4592,""),"")</f>
        <v/>
      </c>
      <c r="B4592" s="531" t="str">
        <f t="shared" si="564"/>
        <v/>
      </c>
      <c r="C4592" s="315"/>
      <c r="D4592" s="537"/>
      <c r="E4592" s="280"/>
      <c r="F4592" s="250"/>
      <c r="G4592" s="538"/>
      <c r="H4592" s="473"/>
      <c r="I4592" s="307"/>
      <c r="J4592" s="307"/>
      <c r="K4592" s="532"/>
      <c r="L4592" s="539"/>
      <c r="M4592" s="539"/>
      <c r="N4592" s="525" t="str">
        <f>IF(AND('331-CT'!$E$7=TH!H4592,OR(L4592="331",M4592="331")),"331",IF(AND(OR(L4592="131",M4592="131"),H4592='131-CT'!$E$7),"131",""))</f>
        <v/>
      </c>
      <c r="O4592" s="525" t="str">
        <f>IF(AND($B4592&gt;='111'!$N$11,$B4592&lt;='111'!$O$11,OR($L4592=$O$7,$M4592=$O$7)),"x","")</f>
        <v/>
      </c>
      <c r="P4592" s="525" t="str">
        <f>IF(AND($L4592=$O$7,$B4592&lt;'111'!$N$11),"x","")</f>
        <v/>
      </c>
      <c r="Q4592" s="525" t="str">
        <f>IF(AND($M4592=$O$7,$B4592&lt;'111'!$N$11),"x","")</f>
        <v/>
      </c>
      <c r="R4592" s="525" t="str">
        <f>IF(ISERROR(FIND('112'!$M$9,G4592,1)),"",IF((AND(FIND('112'!$M$9,G4592,1)&gt;=1,$B4592&gt;='112'!$N$8,$B4592&lt;='112'!$O$8,OR($L4592='112'!$I$6,$M4592='112'!$I$6))),"x",""))</f>
        <v/>
      </c>
      <c r="S4592" s="525" t="str">
        <f>IF(ISERROR(FIND('112'!$M$9,G4592,1)),"",IF((AND(LEFT(G4592,2)=LEFT('112'!$M$9,2),B4592&lt;'112'!$N$8,$L4592='112'!$I$6)),"x",""))</f>
        <v/>
      </c>
      <c r="T4592" s="525" t="str">
        <f>IF(ISERROR(FIND('112'!$M$9,G4592,1)),"",IF((AND(RIGHT(G4592,2)=RIGHT('112'!$M$9,2),B4592&lt;'112'!$N$8,$M4592='112'!$I$6)),"x",""))</f>
        <v/>
      </c>
      <c r="U4592" s="525" t="str">
        <f>IF(AND(B4592&gt;='IN-NX'!$P$3,B4592&lt;='IN-NX'!$Q$3,'IN-NX'!$D$7=D4592,OR(LEFT(L4592,2)="15",AND(LEFT(M4592,2)&lt;&gt;"15",LEFT(M4592,2)&lt;&gt;"33"))),"x","")</f>
        <v/>
      </c>
      <c r="V4592" s="525" t="str">
        <f>IF(AND(OR(LEFT(TH!L4592,2)="15",LEFT(TH!M4592,2)="15"),'152-CT'!$J$8=TH!F4592),"x","")</f>
        <v/>
      </c>
      <c r="W4592" s="525" t="str">
        <f>IF(AND(OR(LEFT(TH!L4592,2)="15",LEFT(TH!M4592,2)="15"),TK!$E$7=TH!F4592),"x","")</f>
        <v/>
      </c>
      <c r="X4592" s="525" t="str">
        <f>IF(AND('341-CT'!$E$9=H4592,OR(LEFT(L4592,3)=$X$7,LEFT(M4592,3)=$X$7)),"x","")</f>
        <v/>
      </c>
      <c r="Y4592" s="525" t="str">
        <f>IF(OR(TH!L4592=TH!$Y$7,M4592=TH!$Y$7),"x","")</f>
        <v/>
      </c>
      <c r="Z4592" s="525" t="str">
        <f>IF(AND(B4592&lt;=NKC!$N$8,B4592&gt;=NKC!$M$8),"x","")</f>
        <v/>
      </c>
      <c r="AA4592" s="535"/>
      <c r="AB4592" s="536"/>
    </row>
    <row r="4593" spans="1:30" s="503" customFormat="1" ht="15.75" customHeight="1">
      <c r="A4593" s="517" t="str">
        <f>IF(B4593&lt;&gt;"",IF(AND(B4593&gt;=_TM1,B4593&lt;=_TM2,OR(TH!L4593="1111",TH!M4593="1111")),TH!D4593,""),"")</f>
        <v/>
      </c>
      <c r="B4593" s="531" t="str">
        <f t="shared" si="564"/>
        <v/>
      </c>
      <c r="C4593" s="315"/>
      <c r="D4593" s="537"/>
      <c r="E4593" s="280"/>
      <c r="F4593" s="250"/>
      <c r="G4593" s="538"/>
      <c r="H4593" s="473"/>
      <c r="I4593" s="307"/>
      <c r="J4593" s="307"/>
      <c r="K4593" s="532"/>
      <c r="L4593" s="539"/>
      <c r="M4593" s="539"/>
      <c r="N4593" s="525" t="str">
        <f>IF(AND('331-CT'!$E$7=TH!H4593,OR(L4593="331",M4593="331")),"331",IF(AND(OR(L4593="131",M4593="131"),H4593='131-CT'!$E$7),"131",""))</f>
        <v/>
      </c>
      <c r="O4593" s="525" t="str">
        <f>IF(AND($B4593&gt;='111'!$N$11,$B4593&lt;='111'!$O$11,OR($L4593=$O$7,$M4593=$O$7)),"x","")</f>
        <v/>
      </c>
      <c r="P4593" s="525" t="str">
        <f>IF(AND($L4593=$O$7,$B4593&lt;'111'!$N$11),"x","")</f>
        <v/>
      </c>
      <c r="Q4593" s="525" t="str">
        <f>IF(AND($M4593=$O$7,$B4593&lt;'111'!$N$11),"x","")</f>
        <v/>
      </c>
      <c r="R4593" s="525" t="str">
        <f>IF(ISERROR(FIND('112'!$M$9,G4593,1)),"",IF((AND(FIND('112'!$M$9,G4593,1)&gt;=1,$B4593&gt;='112'!$N$8,$B4593&lt;='112'!$O$8,OR($L4593='112'!$I$6,$M4593='112'!$I$6))),"x",""))</f>
        <v/>
      </c>
      <c r="S4593" s="525" t="str">
        <f>IF(ISERROR(FIND('112'!$M$9,G4593,1)),"",IF((AND(LEFT(G4593,2)=LEFT('112'!$M$9,2),B4593&lt;'112'!$N$8,$L4593='112'!$I$6)),"x",""))</f>
        <v/>
      </c>
      <c r="T4593" s="525" t="str">
        <f>IF(ISERROR(FIND('112'!$M$9,G4593,1)),"",IF((AND(RIGHT(G4593,2)=RIGHT('112'!$M$9,2),B4593&lt;'112'!$N$8,$M4593='112'!$I$6)),"x",""))</f>
        <v/>
      </c>
      <c r="U4593" s="525" t="str">
        <f>IF(AND(B4593&gt;='IN-NX'!$P$3,B4593&lt;='IN-NX'!$Q$3,'IN-NX'!$D$7=D4593,OR(LEFT(L4593,2)="15",AND(LEFT(M4593,2)&lt;&gt;"15",LEFT(M4593,2)&lt;&gt;"33"))),"x","")</f>
        <v/>
      </c>
      <c r="V4593" s="525" t="str">
        <f>IF(AND(OR(LEFT(TH!L4593,2)="15",LEFT(TH!M4593,2)="15"),'152-CT'!$J$8=TH!F4593),"x","")</f>
        <v/>
      </c>
      <c r="W4593" s="525" t="str">
        <f>IF(AND(OR(LEFT(TH!L4593,2)="15",LEFT(TH!M4593,2)="15"),TK!$E$7=TH!F4593),"x","")</f>
        <v/>
      </c>
      <c r="X4593" s="525" t="str">
        <f>IF(AND('341-CT'!$E$9=H4593,OR(LEFT(L4593,3)=$X$7,LEFT(M4593,3)=$X$7)),"x","")</f>
        <v/>
      </c>
      <c r="Y4593" s="525" t="str">
        <f>IF(OR(TH!L4593=TH!$Y$7,M4593=TH!$Y$7),"x","")</f>
        <v/>
      </c>
      <c r="Z4593" s="525" t="str">
        <f>IF(AND(B4593&lt;=NKC!$N$8,B4593&gt;=NKC!$M$8),"x","")</f>
        <v/>
      </c>
      <c r="AA4593" s="535"/>
      <c r="AB4593" s="536"/>
    </row>
    <row r="4594" spans="1:30" s="503" customFormat="1" ht="15.75" customHeight="1">
      <c r="A4594" s="517" t="str">
        <f>IF(B4594&lt;&gt;"",IF(AND(B4594&gt;=_TM1,B4594&lt;=_TM2,OR(TH!L4594="1111",TH!M4594="1111")),TH!D4594,""),"")</f>
        <v/>
      </c>
      <c r="B4594" s="531" t="str">
        <f t="shared" si="564"/>
        <v/>
      </c>
      <c r="C4594" s="315"/>
      <c r="D4594" s="537"/>
      <c r="E4594" s="280"/>
      <c r="F4594" s="250"/>
      <c r="G4594" s="538"/>
      <c r="H4594" s="473"/>
      <c r="I4594" s="307"/>
      <c r="J4594" s="307"/>
      <c r="K4594" s="532"/>
      <c r="L4594" s="539"/>
      <c r="M4594" s="539"/>
      <c r="N4594" s="525" t="str">
        <f>IF(AND('331-CT'!$E$7=TH!H4594,OR(L4594="331",M4594="331")),"331",IF(AND(OR(L4594="131",M4594="131"),H4594='131-CT'!$E$7),"131",""))</f>
        <v/>
      </c>
      <c r="O4594" s="525" t="str">
        <f>IF(AND($B4594&gt;='111'!$N$11,$B4594&lt;='111'!$O$11,OR($L4594=$O$7,$M4594=$O$7)),"x","")</f>
        <v/>
      </c>
      <c r="P4594" s="525" t="str">
        <f>IF(AND($L4594=$O$7,$B4594&lt;'111'!$N$11),"x","")</f>
        <v/>
      </c>
      <c r="Q4594" s="525" t="str">
        <f>IF(AND($M4594=$O$7,$B4594&lt;'111'!$N$11),"x","")</f>
        <v/>
      </c>
      <c r="R4594" s="525" t="str">
        <f>IF(ISERROR(FIND('112'!$M$9,G4594,1)),"",IF((AND(FIND('112'!$M$9,G4594,1)&gt;=1,$B4594&gt;='112'!$N$8,$B4594&lt;='112'!$O$8,OR($L4594='112'!$I$6,$M4594='112'!$I$6))),"x",""))</f>
        <v/>
      </c>
      <c r="S4594" s="525" t="str">
        <f>IF(ISERROR(FIND('112'!$M$9,G4594,1)),"",IF((AND(LEFT(G4594,2)=LEFT('112'!$M$9,2),B4594&lt;'112'!$N$8,$L4594='112'!$I$6)),"x",""))</f>
        <v/>
      </c>
      <c r="T4594" s="525" t="str">
        <f>IF(ISERROR(FIND('112'!$M$9,G4594,1)),"",IF((AND(RIGHT(G4594,2)=RIGHT('112'!$M$9,2),B4594&lt;'112'!$N$8,$M4594='112'!$I$6)),"x",""))</f>
        <v/>
      </c>
      <c r="U4594" s="525" t="str">
        <f>IF(AND(B4594&gt;='IN-NX'!$P$3,B4594&lt;='IN-NX'!$Q$3,'IN-NX'!$D$7=D4594,OR(LEFT(L4594,2)="15",AND(LEFT(M4594,2)&lt;&gt;"15",LEFT(M4594,2)&lt;&gt;"33"))),"x","")</f>
        <v/>
      </c>
      <c r="V4594" s="525" t="str">
        <f>IF(AND(OR(LEFT(TH!L4594,2)="15",LEFT(TH!M4594,2)="15"),'152-CT'!$J$8=TH!F4594),"x","")</f>
        <v/>
      </c>
      <c r="W4594" s="525" t="str">
        <f>IF(AND(OR(LEFT(TH!L4594,2)="15",LEFT(TH!M4594,2)="15"),TK!$E$7=TH!F4594),"x","")</f>
        <v/>
      </c>
      <c r="X4594" s="525" t="str">
        <f>IF(AND('341-CT'!$E$9=H4594,OR(LEFT(L4594,3)=$X$7,LEFT(M4594,3)=$X$7)),"x","")</f>
        <v/>
      </c>
      <c r="Y4594" s="525" t="str">
        <f>IF(OR(TH!L4594=TH!$Y$7,M4594=TH!$Y$7),"x","")</f>
        <v/>
      </c>
      <c r="Z4594" s="525" t="str">
        <f>IF(AND(B4594&lt;=NKC!$N$8,B4594&gt;=NKC!$M$8),"x","")</f>
        <v/>
      </c>
      <c r="AA4594" s="535"/>
      <c r="AB4594" s="536"/>
    </row>
    <row r="4595" spans="1:30" s="503" customFormat="1" ht="15.75" customHeight="1">
      <c r="A4595" s="517" t="str">
        <f>IF(B4595&lt;&gt;"",IF(AND(B4595&gt;=_TM1,B4595&lt;=_TM2,OR(TH!L4595="1111",TH!M4595="1111")),TH!D4595,""),"")</f>
        <v/>
      </c>
      <c r="B4595" s="531" t="str">
        <f t="shared" si="564"/>
        <v/>
      </c>
      <c r="C4595" s="315"/>
      <c r="D4595" s="537"/>
      <c r="E4595" s="280"/>
      <c r="F4595" s="250"/>
      <c r="G4595" s="538"/>
      <c r="H4595" s="473"/>
      <c r="I4595" s="307"/>
      <c r="J4595" s="307"/>
      <c r="K4595" s="532"/>
      <c r="L4595" s="539"/>
      <c r="M4595" s="539"/>
      <c r="N4595" s="525" t="str">
        <f>IF(AND('331-CT'!$E$7=TH!H4595,OR(L4595="331",M4595="331")),"331",IF(AND(OR(L4595="131",M4595="131"),H4595='131-CT'!$E$7),"131",""))</f>
        <v/>
      </c>
      <c r="O4595" s="525" t="str">
        <f>IF(AND($B4595&gt;='111'!$N$11,$B4595&lt;='111'!$O$11,OR($L4595=$O$7,$M4595=$O$7)),"x","")</f>
        <v/>
      </c>
      <c r="P4595" s="525" t="str">
        <f>IF(AND($L4595=$O$7,$B4595&lt;'111'!$N$11),"x","")</f>
        <v/>
      </c>
      <c r="Q4595" s="525" t="str">
        <f>IF(AND($M4595=$O$7,$B4595&lt;'111'!$N$11),"x","")</f>
        <v/>
      </c>
      <c r="R4595" s="525" t="str">
        <f>IF(ISERROR(FIND('112'!$M$9,G4595,1)),"",IF((AND(FIND('112'!$M$9,G4595,1)&gt;=1,$B4595&gt;='112'!$N$8,$B4595&lt;='112'!$O$8,OR($L4595='112'!$I$6,$M4595='112'!$I$6))),"x",""))</f>
        <v/>
      </c>
      <c r="S4595" s="525" t="str">
        <f>IF(ISERROR(FIND('112'!$M$9,G4595,1)),"",IF((AND(LEFT(G4595,2)=LEFT('112'!$M$9,2),B4595&lt;'112'!$N$8,$L4595='112'!$I$6)),"x",""))</f>
        <v/>
      </c>
      <c r="T4595" s="525" t="str">
        <f>IF(ISERROR(FIND('112'!$M$9,G4595,1)),"",IF((AND(RIGHT(G4595,2)=RIGHT('112'!$M$9,2),B4595&lt;'112'!$N$8,$M4595='112'!$I$6)),"x",""))</f>
        <v/>
      </c>
      <c r="U4595" s="525" t="str">
        <f>IF(AND(B4595&gt;='IN-NX'!$P$3,B4595&lt;='IN-NX'!$Q$3,'IN-NX'!$D$7=D4595,OR(LEFT(L4595,2)="15",AND(LEFT(M4595,2)&lt;&gt;"15",LEFT(M4595,2)&lt;&gt;"33"))),"x","")</f>
        <v/>
      </c>
      <c r="V4595" s="525" t="str">
        <f>IF(AND(OR(LEFT(TH!L4595,2)="15",LEFT(TH!M4595,2)="15"),'152-CT'!$J$8=TH!F4595),"x","")</f>
        <v/>
      </c>
      <c r="W4595" s="525" t="str">
        <f>IF(AND(OR(LEFT(TH!L4595,2)="15",LEFT(TH!M4595,2)="15"),TK!$E$7=TH!F4595),"x","")</f>
        <v/>
      </c>
      <c r="X4595" s="525" t="str">
        <f>IF(AND('341-CT'!$E$9=H4595,OR(LEFT(L4595,3)=$X$7,LEFT(M4595,3)=$X$7)),"x","")</f>
        <v/>
      </c>
      <c r="Y4595" s="525" t="str">
        <f>IF(OR(TH!L4595=TH!$Y$7,M4595=TH!$Y$7),"x","")</f>
        <v/>
      </c>
      <c r="Z4595" s="525" t="str">
        <f>IF(AND(B4595&lt;=NKC!$N$8,B4595&gt;=NKC!$M$8),"x","")</f>
        <v/>
      </c>
      <c r="AA4595" s="535"/>
      <c r="AB4595" s="536"/>
    </row>
    <row r="4596" spans="1:30" s="503" customFormat="1" ht="15.75" customHeight="1">
      <c r="A4596" s="517" t="str">
        <f>IF(B4596&lt;&gt;"",IF(AND(B4596&gt;=_TM1,B4596&lt;=_TM2,OR(TH!L4596="1111",TH!M4596="1111")),TH!D4596,""),"")</f>
        <v/>
      </c>
      <c r="B4596" s="531" t="str">
        <f t="shared" si="564"/>
        <v/>
      </c>
      <c r="C4596" s="315"/>
      <c r="D4596" s="537"/>
      <c r="E4596" s="280"/>
      <c r="F4596" s="250"/>
      <c r="G4596" s="538"/>
      <c r="H4596" s="473"/>
      <c r="I4596" s="307"/>
      <c r="J4596" s="307"/>
      <c r="K4596" s="532"/>
      <c r="L4596" s="539"/>
      <c r="M4596" s="539"/>
      <c r="N4596" s="525" t="str">
        <f>IF(AND('331-CT'!$E$7=TH!H4596,OR(L4596="331",M4596="331")),"331",IF(AND(OR(L4596="131",M4596="131"),H4596='131-CT'!$E$7),"131",""))</f>
        <v/>
      </c>
      <c r="O4596" s="525" t="str">
        <f>IF(AND($B4596&gt;='111'!$N$11,$B4596&lt;='111'!$O$11,OR($L4596=$O$7,$M4596=$O$7)),"x","")</f>
        <v/>
      </c>
      <c r="P4596" s="525" t="str">
        <f>IF(AND($L4596=$O$7,$B4596&lt;'111'!$N$11),"x","")</f>
        <v/>
      </c>
      <c r="Q4596" s="525" t="str">
        <f>IF(AND($M4596=$O$7,$B4596&lt;'111'!$N$11),"x","")</f>
        <v/>
      </c>
      <c r="R4596" s="525" t="str">
        <f>IF(ISERROR(FIND('112'!$M$9,G4596,1)),"",IF((AND(FIND('112'!$M$9,G4596,1)&gt;=1,$B4596&gt;='112'!$N$8,$B4596&lt;='112'!$O$8,OR($L4596='112'!$I$6,$M4596='112'!$I$6))),"x",""))</f>
        <v/>
      </c>
      <c r="S4596" s="525" t="str">
        <f>IF(ISERROR(FIND('112'!$M$9,G4596,1)),"",IF((AND(LEFT(G4596,2)=LEFT('112'!$M$9,2),B4596&lt;'112'!$N$8,$L4596='112'!$I$6)),"x",""))</f>
        <v/>
      </c>
      <c r="T4596" s="525" t="str">
        <f>IF(ISERROR(FIND('112'!$M$9,G4596,1)),"",IF((AND(RIGHT(G4596,2)=RIGHT('112'!$M$9,2),B4596&lt;'112'!$N$8,$M4596='112'!$I$6)),"x",""))</f>
        <v/>
      </c>
      <c r="U4596" s="525" t="str">
        <f>IF(AND(B4596&gt;='IN-NX'!$P$3,B4596&lt;='IN-NX'!$Q$3,'IN-NX'!$D$7=D4596,OR(LEFT(L4596,2)="15",AND(LEFT(M4596,2)&lt;&gt;"15",LEFT(M4596,2)&lt;&gt;"33"))),"x","")</f>
        <v/>
      </c>
      <c r="V4596" s="525" t="str">
        <f>IF(AND(OR(LEFT(TH!L4596,2)="15",LEFT(TH!M4596,2)="15"),'152-CT'!$J$8=TH!F4596),"x","")</f>
        <v/>
      </c>
      <c r="W4596" s="525" t="str">
        <f>IF(AND(OR(LEFT(TH!L4596,2)="15",LEFT(TH!M4596,2)="15"),TK!$E$7=TH!F4596),"x","")</f>
        <v/>
      </c>
      <c r="X4596" s="525" t="str">
        <f>IF(AND('341-CT'!$E$9=H4596,OR(LEFT(L4596,3)=$X$7,LEFT(M4596,3)=$X$7)),"x","")</f>
        <v/>
      </c>
      <c r="Y4596" s="525" t="str">
        <f>IF(OR(TH!L4596=TH!$Y$7,M4596=TH!$Y$7),"x","")</f>
        <v/>
      </c>
      <c r="Z4596" s="525" t="str">
        <f>IF(AND(B4596&lt;=NKC!$N$8,B4596&gt;=NKC!$M$8),"x","")</f>
        <v/>
      </c>
      <c r="AA4596" s="535"/>
      <c r="AB4596" s="536"/>
    </row>
    <row r="4597" spans="1:30" s="503" customFormat="1" ht="15.75" customHeight="1">
      <c r="A4597" s="517" t="str">
        <f>IF(B4597&lt;&gt;"",IF(AND(B4597&gt;=_TM1,B4597&lt;=_TM2,OR(TH!L4597="1111",TH!M4597="1111")),TH!D4597,""),"")</f>
        <v/>
      </c>
      <c r="B4597" s="531" t="str">
        <f t="shared" si="564"/>
        <v/>
      </c>
      <c r="C4597" s="315"/>
      <c r="D4597" s="537"/>
      <c r="E4597" s="280"/>
      <c r="F4597" s="250"/>
      <c r="G4597" s="538"/>
      <c r="H4597" s="473"/>
      <c r="I4597" s="307"/>
      <c r="J4597" s="307"/>
      <c r="K4597" s="532"/>
      <c r="L4597" s="539"/>
      <c r="M4597" s="539"/>
      <c r="N4597" s="525" t="str">
        <f>IF(AND('331-CT'!$E$7=TH!H4597,OR(L4597="331",M4597="331")),"331",IF(AND(OR(L4597="131",M4597="131"),H4597='131-CT'!$E$7),"131",""))</f>
        <v/>
      </c>
      <c r="O4597" s="525" t="str">
        <f>IF(AND($B4597&gt;='111'!$N$11,$B4597&lt;='111'!$O$11,OR($L4597=$O$7,$M4597=$O$7)),"x","")</f>
        <v/>
      </c>
      <c r="P4597" s="525" t="str">
        <f>IF(AND($L4597=$O$7,$B4597&lt;'111'!$N$11),"x","")</f>
        <v/>
      </c>
      <c r="Q4597" s="525" t="str">
        <f>IF(AND($M4597=$O$7,$B4597&lt;'111'!$N$11),"x","")</f>
        <v/>
      </c>
      <c r="R4597" s="525" t="str">
        <f>IF(ISERROR(FIND('112'!$M$9,G4597,1)),"",IF((AND(FIND('112'!$M$9,G4597,1)&gt;=1,$B4597&gt;='112'!$N$8,$B4597&lt;='112'!$O$8,OR($L4597='112'!$I$6,$M4597='112'!$I$6))),"x",""))</f>
        <v/>
      </c>
      <c r="S4597" s="525" t="str">
        <f>IF(ISERROR(FIND('112'!$M$9,G4597,1)),"",IF((AND(LEFT(G4597,2)=LEFT('112'!$M$9,2),B4597&lt;'112'!$N$8,$L4597='112'!$I$6)),"x",""))</f>
        <v/>
      </c>
      <c r="T4597" s="525" t="str">
        <f>IF(ISERROR(FIND('112'!$M$9,G4597,1)),"",IF((AND(RIGHT(G4597,2)=RIGHT('112'!$M$9,2),B4597&lt;'112'!$N$8,$M4597='112'!$I$6)),"x",""))</f>
        <v/>
      </c>
      <c r="U4597" s="525" t="str">
        <f>IF(AND(B4597&gt;='IN-NX'!$P$3,B4597&lt;='IN-NX'!$Q$3,'IN-NX'!$D$7=D4597,OR(LEFT(L4597,2)="15",AND(LEFT(M4597,2)&lt;&gt;"15",LEFT(M4597,2)&lt;&gt;"33"))),"x","")</f>
        <v/>
      </c>
      <c r="V4597" s="525" t="str">
        <f>IF(AND(OR(LEFT(TH!L4597,2)="15",LEFT(TH!M4597,2)="15"),'152-CT'!$J$8=TH!F4597),"x","")</f>
        <v/>
      </c>
      <c r="W4597" s="525" t="str">
        <f>IF(AND(OR(LEFT(TH!L4597,2)="15",LEFT(TH!M4597,2)="15"),TK!$E$7=TH!F4597),"x","")</f>
        <v/>
      </c>
      <c r="X4597" s="525" t="str">
        <f>IF(AND('341-CT'!$E$9=H4597,OR(LEFT(L4597,3)=$X$7,LEFT(M4597,3)=$X$7)),"x","")</f>
        <v/>
      </c>
      <c r="Y4597" s="525" t="str">
        <f>IF(OR(TH!L4597=TH!$Y$7,M4597=TH!$Y$7),"x","")</f>
        <v/>
      </c>
      <c r="Z4597" s="525" t="str">
        <f>IF(AND(B4597&lt;=NKC!$N$8,B4597&gt;=NKC!$M$8),"x","")</f>
        <v/>
      </c>
      <c r="AA4597" s="535"/>
      <c r="AB4597" s="536"/>
    </row>
    <row r="4598" spans="1:30" s="503" customFormat="1" ht="15.75" customHeight="1">
      <c r="A4598" s="517" t="str">
        <f>IF(B4598&lt;&gt;"",IF(AND(B4598&gt;=_TM1,B4598&lt;=_TM2,OR(TH!L4598="1111",TH!M4598="1111")),TH!D4598,""),"")</f>
        <v/>
      </c>
      <c r="B4598" s="531" t="str">
        <f t="shared" si="564"/>
        <v/>
      </c>
      <c r="C4598" s="315"/>
      <c r="D4598" s="537"/>
      <c r="E4598" s="280"/>
      <c r="F4598" s="250"/>
      <c r="G4598" s="538"/>
      <c r="H4598" s="473"/>
      <c r="I4598" s="307"/>
      <c r="J4598" s="307"/>
      <c r="K4598" s="532"/>
      <c r="L4598" s="539"/>
      <c r="M4598" s="539"/>
      <c r="N4598" s="525" t="str">
        <f>IF(AND('331-CT'!$E$7=TH!H4598,OR(L4598="331",M4598="331")),"331",IF(AND(OR(L4598="131",M4598="131"),H4598='131-CT'!$E$7),"131",""))</f>
        <v/>
      </c>
      <c r="O4598" s="525" t="str">
        <f>IF(AND($B4598&gt;='111'!$N$11,$B4598&lt;='111'!$O$11,OR($L4598=$O$7,$M4598=$O$7)),"x","")</f>
        <v/>
      </c>
      <c r="P4598" s="525" t="str">
        <f>IF(AND($L4598=$O$7,$B4598&lt;'111'!$N$11),"x","")</f>
        <v/>
      </c>
      <c r="Q4598" s="525" t="str">
        <f>IF(AND($M4598=$O$7,$B4598&lt;'111'!$N$11),"x","")</f>
        <v/>
      </c>
      <c r="R4598" s="525" t="str">
        <f>IF(ISERROR(FIND('112'!$M$9,G4598,1)),"",IF((AND(FIND('112'!$M$9,G4598,1)&gt;=1,$B4598&gt;='112'!$N$8,$B4598&lt;='112'!$O$8,OR($L4598='112'!$I$6,$M4598='112'!$I$6))),"x",""))</f>
        <v/>
      </c>
      <c r="S4598" s="525" t="str">
        <f>IF(ISERROR(FIND('112'!$M$9,G4598,1)),"",IF((AND(LEFT(G4598,2)=LEFT('112'!$M$9,2),B4598&lt;'112'!$N$8,$L4598='112'!$I$6)),"x",""))</f>
        <v/>
      </c>
      <c r="T4598" s="525" t="str">
        <f>IF(ISERROR(FIND('112'!$M$9,G4598,1)),"",IF((AND(RIGHT(G4598,2)=RIGHT('112'!$M$9,2),B4598&lt;'112'!$N$8,$M4598='112'!$I$6)),"x",""))</f>
        <v/>
      </c>
      <c r="U4598" s="525" t="str">
        <f>IF(AND(B4598&gt;='IN-NX'!$P$3,B4598&lt;='IN-NX'!$Q$3,'IN-NX'!$D$7=D4598,OR(LEFT(L4598,2)="15",AND(LEFT(M4598,2)&lt;&gt;"15",LEFT(M4598,2)&lt;&gt;"33"))),"x","")</f>
        <v/>
      </c>
      <c r="V4598" s="525" t="str">
        <f>IF(AND(OR(LEFT(TH!L4598,2)="15",LEFT(TH!M4598,2)="15"),'152-CT'!$J$8=TH!F4598),"x","")</f>
        <v/>
      </c>
      <c r="W4598" s="525" t="str">
        <f>IF(AND(OR(LEFT(TH!L4598,2)="15",LEFT(TH!M4598,2)="15"),TK!$E$7=TH!F4598),"x","")</f>
        <v/>
      </c>
      <c r="X4598" s="525" t="str">
        <f>IF(AND('341-CT'!$E$9=H4598,OR(LEFT(L4598,3)=$X$7,LEFT(M4598,3)=$X$7)),"x","")</f>
        <v/>
      </c>
      <c r="Y4598" s="525" t="str">
        <f>IF(OR(TH!L4598=TH!$Y$7,M4598=TH!$Y$7),"x","")</f>
        <v/>
      </c>
      <c r="Z4598" s="525" t="str">
        <f>IF(AND(B4598&lt;=NKC!$N$8,B4598&gt;=NKC!$M$8),"x","")</f>
        <v/>
      </c>
      <c r="AA4598" s="535"/>
      <c r="AB4598" s="536"/>
    </row>
    <row r="4599" spans="1:30" s="503" customFormat="1" ht="15.75" customHeight="1">
      <c r="A4599" s="517" t="str">
        <f>IF(B4599&lt;&gt;"",IF(AND(B4599&gt;=_TM1,B4599&lt;=_TM2,OR(TH!L4599="1111",TH!M4599="1111")),TH!D4599,""),"")</f>
        <v/>
      </c>
      <c r="B4599" s="531" t="str">
        <f t="shared" si="564"/>
        <v/>
      </c>
      <c r="C4599" s="315"/>
      <c r="D4599" s="537"/>
      <c r="E4599" s="280"/>
      <c r="F4599" s="250"/>
      <c r="G4599" s="538"/>
      <c r="H4599" s="473"/>
      <c r="I4599" s="307"/>
      <c r="J4599" s="307"/>
      <c r="K4599" s="532"/>
      <c r="L4599" s="539"/>
      <c r="M4599" s="539"/>
      <c r="N4599" s="525" t="str">
        <f>IF(AND('331-CT'!$E$7=TH!H4599,OR(L4599="331",M4599="331")),"331",IF(AND(OR(L4599="131",M4599="131"),H4599='131-CT'!$E$7),"131",""))</f>
        <v/>
      </c>
      <c r="O4599" s="525" t="str">
        <f>IF(AND($B4599&gt;='111'!$N$11,$B4599&lt;='111'!$O$11,OR($L4599=$O$7,$M4599=$O$7)),"x","")</f>
        <v/>
      </c>
      <c r="P4599" s="525" t="str">
        <f>IF(AND($L4599=$O$7,$B4599&lt;'111'!$N$11),"x","")</f>
        <v/>
      </c>
      <c r="Q4599" s="525" t="str">
        <f>IF(AND($M4599=$O$7,$B4599&lt;'111'!$N$11),"x","")</f>
        <v/>
      </c>
      <c r="R4599" s="525" t="str">
        <f>IF(ISERROR(FIND('112'!$M$9,G4599,1)),"",IF((AND(FIND('112'!$M$9,G4599,1)&gt;=1,$B4599&gt;='112'!$N$8,$B4599&lt;='112'!$O$8,OR($L4599='112'!$I$6,$M4599='112'!$I$6))),"x",""))</f>
        <v/>
      </c>
      <c r="S4599" s="525" t="str">
        <f>IF(ISERROR(FIND('112'!$M$9,G4599,1)),"",IF((AND(LEFT(G4599,2)=LEFT('112'!$M$9,2),B4599&lt;'112'!$N$8,$L4599='112'!$I$6)),"x",""))</f>
        <v/>
      </c>
      <c r="T4599" s="525" t="str">
        <f>IF(ISERROR(FIND('112'!$M$9,G4599,1)),"",IF((AND(RIGHT(G4599,2)=RIGHT('112'!$M$9,2),B4599&lt;'112'!$N$8,$M4599='112'!$I$6)),"x",""))</f>
        <v/>
      </c>
      <c r="U4599" s="525" t="str">
        <f>IF(AND(B4599&gt;='IN-NX'!$P$3,B4599&lt;='IN-NX'!$Q$3,'IN-NX'!$D$7=D4599,OR(LEFT(L4599,2)="15",AND(LEFT(M4599,2)&lt;&gt;"15",LEFT(M4599,2)&lt;&gt;"33"))),"x","")</f>
        <v/>
      </c>
      <c r="V4599" s="525" t="str">
        <f>IF(AND(OR(LEFT(TH!L4599,2)="15",LEFT(TH!M4599,2)="15"),'152-CT'!$J$8=TH!F4599),"x","")</f>
        <v/>
      </c>
      <c r="W4599" s="525" t="str">
        <f>IF(AND(OR(LEFT(TH!L4599,2)="15",LEFT(TH!M4599,2)="15"),TK!$E$7=TH!F4599),"x","")</f>
        <v/>
      </c>
      <c r="X4599" s="525" t="str">
        <f>IF(AND('341-CT'!$E$9=H4599,OR(LEFT(L4599,3)=$X$7,LEFT(M4599,3)=$X$7)),"x","")</f>
        <v/>
      </c>
      <c r="Y4599" s="525" t="str">
        <f>IF(OR(TH!L4599=TH!$Y$7,M4599=TH!$Y$7),"x","")</f>
        <v/>
      </c>
      <c r="Z4599" s="525" t="str">
        <f>IF(AND(B4599&lt;=NKC!$N$8,B4599&gt;=NKC!$M$8),"x","")</f>
        <v/>
      </c>
      <c r="AA4599" s="535"/>
      <c r="AB4599" s="536"/>
    </row>
    <row r="4600" spans="1:30" s="503" customFormat="1" ht="15.75" customHeight="1">
      <c r="A4600" s="517" t="str">
        <f>IF(B4600&lt;&gt;"",IF(AND(B4600&gt;=_TM1,B4600&lt;=_TM2,OR(TH!L4600="1111",TH!M4600="1111")),TH!D4600,""),"")</f>
        <v/>
      </c>
      <c r="B4600" s="531" t="str">
        <f t="shared" si="564"/>
        <v/>
      </c>
      <c r="C4600" s="315"/>
      <c r="D4600" s="537"/>
      <c r="E4600" s="280"/>
      <c r="F4600" s="250"/>
      <c r="G4600" s="538"/>
      <c r="H4600" s="473"/>
      <c r="I4600" s="307"/>
      <c r="J4600" s="307"/>
      <c r="K4600" s="532"/>
      <c r="L4600" s="539"/>
      <c r="M4600" s="539"/>
      <c r="N4600" s="525" t="str">
        <f>IF(AND('331-CT'!$E$7=TH!H4600,OR(L4600="331",M4600="331")),"331",IF(AND(OR(L4600="131",M4600="131"),H4600='131-CT'!$E$7),"131",""))</f>
        <v/>
      </c>
      <c r="O4600" s="525" t="str">
        <f>IF(AND($B4600&gt;='111'!$N$11,$B4600&lt;='111'!$O$11,OR($L4600=$O$7,$M4600=$O$7)),"x","")</f>
        <v/>
      </c>
      <c r="P4600" s="525" t="str">
        <f>IF(AND($L4600=$O$7,$B4600&lt;'111'!$N$11),"x","")</f>
        <v/>
      </c>
      <c r="Q4600" s="525" t="str">
        <f>IF(AND($M4600=$O$7,$B4600&lt;'111'!$N$11),"x","")</f>
        <v/>
      </c>
      <c r="R4600" s="525" t="str">
        <f>IF(ISERROR(FIND('112'!$M$9,G4600,1)),"",IF((AND(FIND('112'!$M$9,G4600,1)&gt;=1,$B4600&gt;='112'!$N$8,$B4600&lt;='112'!$O$8,OR($L4600='112'!$I$6,$M4600='112'!$I$6))),"x",""))</f>
        <v/>
      </c>
      <c r="S4600" s="525" t="str">
        <f>IF(ISERROR(FIND('112'!$M$9,G4600,1)),"",IF((AND(LEFT(G4600,2)=LEFT('112'!$M$9,2),B4600&lt;'112'!$N$8,$L4600='112'!$I$6)),"x",""))</f>
        <v/>
      </c>
      <c r="T4600" s="525" t="str">
        <f>IF(ISERROR(FIND('112'!$M$9,G4600,1)),"",IF((AND(RIGHT(G4600,2)=RIGHT('112'!$M$9,2),B4600&lt;'112'!$N$8,$M4600='112'!$I$6)),"x",""))</f>
        <v/>
      </c>
      <c r="U4600" s="525" t="str">
        <f>IF(AND(B4600&gt;='IN-NX'!$P$3,B4600&lt;='IN-NX'!$Q$3,'IN-NX'!$D$7=D4600,OR(LEFT(L4600,2)="15",AND(LEFT(M4600,2)&lt;&gt;"15",LEFT(M4600,2)&lt;&gt;"33"))),"x","")</f>
        <v/>
      </c>
      <c r="V4600" s="525" t="str">
        <f>IF(AND(OR(LEFT(TH!L4600,2)="15",LEFT(TH!M4600,2)="15"),'152-CT'!$J$8=TH!F4600),"x","")</f>
        <v/>
      </c>
      <c r="W4600" s="525" t="str">
        <f>IF(AND(OR(LEFT(TH!L4600,2)="15",LEFT(TH!M4600,2)="15"),TK!$E$7=TH!F4600),"x","")</f>
        <v/>
      </c>
      <c r="X4600" s="525" t="str">
        <f>IF(AND('341-CT'!$E$9=H4600,OR(LEFT(L4600,3)=$X$7,LEFT(M4600,3)=$X$7)),"x","")</f>
        <v/>
      </c>
      <c r="Y4600" s="525" t="str">
        <f>IF(OR(TH!L4600=TH!$Y$7,M4600=TH!$Y$7),"x","")</f>
        <v/>
      </c>
      <c r="Z4600" s="525" t="str">
        <f>IF(AND(B4600&lt;=NKC!$N$8,B4600&gt;=NKC!$M$8),"x","")</f>
        <v/>
      </c>
      <c r="AA4600" s="535"/>
      <c r="AB4600" s="536"/>
    </row>
    <row r="4601" spans="1:30" s="503" customFormat="1" ht="15.75" customHeight="1">
      <c r="A4601" s="517" t="str">
        <f>IF(B4601&lt;&gt;"",IF(AND(B4601&gt;=_TM1,B4601&lt;=_TM2,OR(TH!L4601="1111",TH!M4601="1111")),TH!D4601,""),"")</f>
        <v/>
      </c>
      <c r="B4601" s="531" t="str">
        <f t="shared" si="564"/>
        <v/>
      </c>
      <c r="C4601" s="315"/>
      <c r="D4601" s="537"/>
      <c r="E4601" s="280"/>
      <c r="F4601" s="250"/>
      <c r="G4601" s="538"/>
      <c r="H4601" s="473"/>
      <c r="I4601" s="307"/>
      <c r="J4601" s="307"/>
      <c r="K4601" s="532"/>
      <c r="L4601" s="539"/>
      <c r="M4601" s="539"/>
      <c r="N4601" s="525" t="str">
        <f>IF(AND('331-CT'!$E$7=TH!H4601,OR(L4601="331",M4601="331")),"331",IF(AND(OR(L4601="131",M4601="131"),H4601='131-CT'!$E$7),"131",""))</f>
        <v/>
      </c>
      <c r="O4601" s="525" t="str">
        <f>IF(AND($B4601&gt;='111'!$N$11,$B4601&lt;='111'!$O$11,OR($L4601=$O$7,$M4601=$O$7)),"x","")</f>
        <v/>
      </c>
      <c r="P4601" s="525" t="str">
        <f>IF(AND($L4601=$O$7,$B4601&lt;'111'!$N$11),"x","")</f>
        <v/>
      </c>
      <c r="Q4601" s="525" t="str">
        <f>IF(AND($M4601=$O$7,$B4601&lt;'111'!$N$11),"x","")</f>
        <v/>
      </c>
      <c r="R4601" s="525" t="str">
        <f>IF(ISERROR(FIND('112'!$M$9,G4601,1)),"",IF((AND(FIND('112'!$M$9,G4601,1)&gt;=1,$B4601&gt;='112'!$N$8,$B4601&lt;='112'!$O$8,OR($L4601='112'!$I$6,$M4601='112'!$I$6))),"x",""))</f>
        <v/>
      </c>
      <c r="S4601" s="525" t="str">
        <f>IF(ISERROR(FIND('112'!$M$9,G4601,1)),"",IF((AND(LEFT(G4601,2)=LEFT('112'!$M$9,2),B4601&lt;'112'!$N$8,$L4601='112'!$I$6)),"x",""))</f>
        <v/>
      </c>
      <c r="T4601" s="525" t="str">
        <f>IF(ISERROR(FIND('112'!$M$9,G4601,1)),"",IF((AND(RIGHT(G4601,2)=RIGHT('112'!$M$9,2),B4601&lt;'112'!$N$8,$M4601='112'!$I$6)),"x",""))</f>
        <v/>
      </c>
      <c r="U4601" s="525" t="str">
        <f>IF(AND(B4601&gt;='IN-NX'!$P$3,B4601&lt;='IN-NX'!$Q$3,'IN-NX'!$D$7=D4601,OR(LEFT(L4601,2)="15",AND(LEFT(M4601,2)&lt;&gt;"15",LEFT(M4601,2)&lt;&gt;"33"))),"x","")</f>
        <v/>
      </c>
      <c r="V4601" s="525" t="str">
        <f>IF(AND(OR(LEFT(TH!L4601,2)="15",LEFT(TH!M4601,2)="15"),'152-CT'!$J$8=TH!F4601),"x","")</f>
        <v/>
      </c>
      <c r="W4601" s="525" t="str">
        <f>IF(AND(OR(LEFT(TH!L4601,2)="15",LEFT(TH!M4601,2)="15"),TK!$E$7=TH!F4601),"x","")</f>
        <v/>
      </c>
      <c r="X4601" s="525" t="str">
        <f>IF(AND('341-CT'!$E$9=H4601,OR(LEFT(L4601,3)=$X$7,LEFT(M4601,3)=$X$7)),"x","")</f>
        <v/>
      </c>
      <c r="Y4601" s="525" t="str">
        <f>IF(OR(TH!L4601=TH!$Y$7,M4601=TH!$Y$7),"x","")</f>
        <v/>
      </c>
      <c r="Z4601" s="525" t="str">
        <f>IF(AND(B4601&lt;=NKC!$N$8,B4601&gt;=NKC!$M$8),"x","")</f>
        <v/>
      </c>
      <c r="AA4601" s="535"/>
      <c r="AB4601" s="536"/>
    </row>
    <row r="4602" spans="1:30" s="503" customFormat="1" ht="15.75" customHeight="1">
      <c r="A4602" s="517" t="str">
        <f>IF(B4602&lt;&gt;"",IF(AND(B4602&gt;=_TM1,B4602&lt;=_TM2,OR(TH!L4602="1111",TH!M4602="1111")),TH!D4602,""),"")</f>
        <v/>
      </c>
      <c r="B4602" s="531" t="str">
        <f t="shared" si="564"/>
        <v/>
      </c>
      <c r="C4602" s="315"/>
      <c r="D4602" s="537"/>
      <c r="E4602" s="280"/>
      <c r="F4602" s="250"/>
      <c r="G4602" s="538"/>
      <c r="H4602" s="473"/>
      <c r="I4602" s="307"/>
      <c r="J4602" s="307"/>
      <c r="K4602" s="532"/>
      <c r="L4602" s="539"/>
      <c r="M4602" s="539"/>
      <c r="N4602" s="525" t="str">
        <f>IF(AND('331-CT'!$E$7=TH!H4602,OR(L4602="331",M4602="331")),"331",IF(AND(OR(L4602="131",M4602="131"),H4602='131-CT'!$E$7),"131",""))</f>
        <v/>
      </c>
      <c r="O4602" s="525" t="str">
        <f>IF(AND($B4602&gt;='111'!$N$11,$B4602&lt;='111'!$O$11,OR($L4602=$O$7,$M4602=$O$7)),"x","")</f>
        <v/>
      </c>
      <c r="P4602" s="525" t="str">
        <f>IF(AND($L4602=$O$7,$B4602&lt;'111'!$N$11),"x","")</f>
        <v/>
      </c>
      <c r="Q4602" s="525" t="str">
        <f>IF(AND($M4602=$O$7,$B4602&lt;'111'!$N$11),"x","")</f>
        <v/>
      </c>
      <c r="R4602" s="525" t="str">
        <f>IF(ISERROR(FIND('112'!$M$9,G4602,1)),"",IF((AND(FIND('112'!$M$9,G4602,1)&gt;=1,$B4602&gt;='112'!$N$8,$B4602&lt;='112'!$O$8,OR($L4602='112'!$I$6,$M4602='112'!$I$6))),"x",""))</f>
        <v/>
      </c>
      <c r="S4602" s="525" t="str">
        <f>IF(ISERROR(FIND('112'!$M$9,G4602,1)),"",IF((AND(LEFT(G4602,2)=LEFT('112'!$M$9,2),B4602&lt;'112'!$N$8,$L4602='112'!$I$6)),"x",""))</f>
        <v/>
      </c>
      <c r="T4602" s="525" t="str">
        <f>IF(ISERROR(FIND('112'!$M$9,G4602,1)),"",IF((AND(RIGHT(G4602,2)=RIGHT('112'!$M$9,2),B4602&lt;'112'!$N$8,$M4602='112'!$I$6)),"x",""))</f>
        <v/>
      </c>
      <c r="U4602" s="525" t="str">
        <f>IF(AND(B4602&gt;='IN-NX'!$P$3,B4602&lt;='IN-NX'!$Q$3,'IN-NX'!$D$7=D4602,OR(LEFT(L4602,2)="15",AND(LEFT(M4602,2)&lt;&gt;"15",LEFT(M4602,2)&lt;&gt;"33"))),"x","")</f>
        <v/>
      </c>
      <c r="V4602" s="525" t="str">
        <f>IF(AND(OR(LEFT(TH!L4602,2)="15",LEFT(TH!M4602,2)="15"),'152-CT'!$J$8=TH!F4602),"x","")</f>
        <v/>
      </c>
      <c r="W4602" s="525" t="str">
        <f>IF(AND(OR(LEFT(TH!L4602,2)="15",LEFT(TH!M4602,2)="15"),TK!$E$7=TH!F4602),"x","")</f>
        <v/>
      </c>
      <c r="X4602" s="525" t="str">
        <f>IF(AND('341-CT'!$E$9=H4602,OR(LEFT(L4602,3)=$X$7,LEFT(M4602,3)=$X$7)),"x","")</f>
        <v/>
      </c>
      <c r="Y4602" s="525" t="str">
        <f>IF(OR(TH!L4602=TH!$Y$7,M4602=TH!$Y$7),"x","")</f>
        <v/>
      </c>
      <c r="Z4602" s="525" t="str">
        <f>IF(AND(B4602&lt;=NKC!$N$8,B4602&gt;=NKC!$M$8),"x","")</f>
        <v/>
      </c>
      <c r="AA4602" s="535"/>
      <c r="AB4602" s="536"/>
    </row>
    <row r="4603" spans="1:30" s="503" customFormat="1" ht="15.75" customHeight="1">
      <c r="A4603" s="517" t="str">
        <f>IF(B4603&lt;&gt;"",IF(AND(B4603&gt;=_TM1,B4603&lt;=_TM2,OR(TH!L4603="1111",TH!M4603="1111")),TH!D4603,""),"")</f>
        <v/>
      </c>
      <c r="B4603" s="531" t="str">
        <f t="shared" si="564"/>
        <v/>
      </c>
      <c r="C4603" s="315"/>
      <c r="D4603" s="537"/>
      <c r="E4603" s="280"/>
      <c r="F4603" s="249"/>
      <c r="G4603" s="538"/>
      <c r="H4603" s="473"/>
      <c r="I4603" s="307"/>
      <c r="J4603" s="307"/>
      <c r="K4603" s="532"/>
      <c r="L4603" s="539"/>
      <c r="M4603" s="539"/>
      <c r="N4603" s="525" t="str">
        <f>IF(AND('331-CT'!$E$7=TH!H4603,OR(L4603="331",M4603="331")),"331",IF(AND(OR(L4603="131",M4603="131"),H4603='131-CT'!$E$7),"131",""))</f>
        <v/>
      </c>
      <c r="O4603" s="525" t="str">
        <f>IF(AND($B4603&gt;='111'!$N$11,$B4603&lt;='111'!$O$11,OR($L4603=$O$7,$M4603=$O$7)),"x","")</f>
        <v/>
      </c>
      <c r="P4603" s="525" t="str">
        <f>IF(AND($L4603=$O$7,$B4603&lt;'111'!$N$11),"x","")</f>
        <v/>
      </c>
      <c r="Q4603" s="525" t="str">
        <f>IF(AND($M4603=$O$7,$B4603&lt;'111'!$N$11),"x","")</f>
        <v/>
      </c>
      <c r="R4603" s="525" t="str">
        <f>IF(ISERROR(FIND('112'!$M$9,G4603,1)),"",IF((AND(FIND('112'!$M$9,G4603,1)&gt;=1,$B4603&gt;='112'!$N$8,$B4603&lt;='112'!$O$8,OR($L4603='112'!$I$6,$M4603='112'!$I$6))),"x",""))</f>
        <v/>
      </c>
      <c r="S4603" s="525" t="str">
        <f>IF(ISERROR(FIND('112'!$M$9,G4603,1)),"",IF((AND(LEFT(G4603,2)=LEFT('112'!$M$9,2),B4603&lt;'112'!$N$8,$L4603='112'!$I$6)),"x",""))</f>
        <v/>
      </c>
      <c r="T4603" s="525" t="str">
        <f>IF(ISERROR(FIND('112'!$M$9,G4603,1)),"",IF((AND(RIGHT(G4603,2)=RIGHT('112'!$M$9,2),B4603&lt;'112'!$N$8,$M4603='112'!$I$6)),"x",""))</f>
        <v/>
      </c>
      <c r="U4603" s="525" t="str">
        <f>IF(AND(B4603&gt;='IN-NX'!$P$3,B4603&lt;='IN-NX'!$Q$3,'IN-NX'!$D$7=D4603,OR(LEFT(L4603,2)="15",AND(LEFT(M4603,2)&lt;&gt;"15",LEFT(M4603,2)&lt;&gt;"33"))),"x","")</f>
        <v/>
      </c>
      <c r="V4603" s="525" t="str">
        <f>IF(AND(OR(LEFT(TH!L4603,2)="15",LEFT(TH!M4603,2)="15"),'152-CT'!$J$8=TH!F4603),"x","")</f>
        <v/>
      </c>
      <c r="W4603" s="525" t="str">
        <f>IF(AND(OR(LEFT(TH!L4603,2)="15",LEFT(TH!M4603,2)="15"),TK!$E$7=TH!F4603),"x","")</f>
        <v/>
      </c>
      <c r="X4603" s="525" t="str">
        <f>IF(AND('341-CT'!$E$9=H4603,OR(LEFT(L4603,3)=$X$7,LEFT(M4603,3)=$X$7)),"x","")</f>
        <v/>
      </c>
      <c r="Y4603" s="525" t="str">
        <f>IF(OR(TH!L4603=TH!$Y$7,M4603=TH!$Y$7),"x","")</f>
        <v/>
      </c>
      <c r="Z4603" s="525" t="str">
        <f>IF(AND(B4603&lt;=NKC!$N$8,B4603&gt;=NKC!$M$8),"x","")</f>
        <v/>
      </c>
      <c r="AA4603" s="535"/>
      <c r="AB4603" s="536"/>
    </row>
    <row r="4604" spans="1:30" s="503" customFormat="1" ht="15.75" customHeight="1">
      <c r="A4604" s="517" t="str">
        <f>IF(B4604&lt;&gt;"",IF(AND(B4604&gt;=_TM1,B4604&lt;=_TM2,OR(TH!L4604="1111",TH!M4604="1111")),TH!D4604,""),"")</f>
        <v/>
      </c>
      <c r="B4604" s="531" t="str">
        <f t="shared" si="564"/>
        <v/>
      </c>
      <c r="C4604" s="315"/>
      <c r="D4604" s="537"/>
      <c r="E4604" s="280"/>
      <c r="F4604" s="250"/>
      <c r="G4604" s="538"/>
      <c r="H4604" s="473"/>
      <c r="I4604" s="307"/>
      <c r="J4604" s="307"/>
      <c r="K4604" s="532"/>
      <c r="L4604" s="539"/>
      <c r="M4604" s="539"/>
      <c r="N4604" s="525" t="str">
        <f>IF(AND('331-CT'!$E$7=TH!H4604,OR(L4604="331",M4604="331")),"331",IF(AND(OR(L4604="131",M4604="131"),H4604='131-CT'!$E$7),"131",""))</f>
        <v/>
      </c>
      <c r="O4604" s="525" t="str">
        <f>IF(AND($B4604&gt;='111'!$N$11,$B4604&lt;='111'!$O$11,OR($L4604=$O$7,$M4604=$O$7)),"x","")</f>
        <v/>
      </c>
      <c r="P4604" s="525" t="str">
        <f>IF(AND($L4604=$O$7,$B4604&lt;'111'!$N$11),"x","")</f>
        <v/>
      </c>
      <c r="Q4604" s="525" t="str">
        <f>IF(AND($M4604=$O$7,$B4604&lt;'111'!$N$11),"x","")</f>
        <v/>
      </c>
      <c r="R4604" s="525" t="str">
        <f>IF(ISERROR(FIND('112'!$M$9,G4604,1)),"",IF((AND(FIND('112'!$M$9,G4604,1)&gt;=1,$B4604&gt;='112'!$N$8,$B4604&lt;='112'!$O$8,OR($L4604='112'!$I$6,$M4604='112'!$I$6))),"x",""))</f>
        <v/>
      </c>
      <c r="S4604" s="525" t="str">
        <f>IF(ISERROR(FIND('112'!$M$9,G4604,1)),"",IF((AND(LEFT(G4604,2)=LEFT('112'!$M$9,2),B4604&lt;'112'!$N$8,$L4604='112'!$I$6)),"x",""))</f>
        <v/>
      </c>
      <c r="T4604" s="525" t="str">
        <f>IF(ISERROR(FIND('112'!$M$9,G4604,1)),"",IF((AND(RIGHT(G4604,2)=RIGHT('112'!$M$9,2),B4604&lt;'112'!$N$8,$M4604='112'!$I$6)),"x",""))</f>
        <v/>
      </c>
      <c r="U4604" s="525" t="str">
        <f>IF(AND(B4604&gt;='IN-NX'!$P$3,B4604&lt;='IN-NX'!$Q$3,'IN-NX'!$D$7=D4604,OR(LEFT(L4604,2)="15",AND(LEFT(M4604,2)&lt;&gt;"15",LEFT(M4604,2)&lt;&gt;"33"))),"x","")</f>
        <v/>
      </c>
      <c r="V4604" s="525" t="str">
        <f>IF(AND(OR(LEFT(TH!L4604,2)="15",LEFT(TH!M4604,2)="15"),'152-CT'!$J$8=TH!F4604),"x","")</f>
        <v/>
      </c>
      <c r="W4604" s="525" t="str">
        <f>IF(AND(OR(LEFT(TH!L4604,2)="15",LEFT(TH!M4604,2)="15"),TK!$E$7=TH!F4604),"x","")</f>
        <v/>
      </c>
      <c r="X4604" s="525" t="str">
        <f>IF(AND('341-CT'!$E$9=H4604,OR(LEFT(L4604,3)=$X$7,LEFT(M4604,3)=$X$7)),"x","")</f>
        <v/>
      </c>
      <c r="Y4604" s="525" t="str">
        <f>IF(OR(TH!L4604=TH!$Y$7,M4604=TH!$Y$7),"x","")</f>
        <v/>
      </c>
      <c r="Z4604" s="525" t="str">
        <f>IF(AND(B4604&lt;=NKC!$N$8,B4604&gt;=NKC!$M$8),"x","")</f>
        <v/>
      </c>
      <c r="AA4604" s="535"/>
      <c r="AB4604" s="536"/>
    </row>
    <row r="4605" spans="1:30" s="503" customFormat="1" ht="15.75" customHeight="1">
      <c r="A4605" s="517" t="str">
        <f>IF(B4605&lt;&gt;"",IF(AND(B4605&gt;=_TM1,B4605&lt;=_TM2,OR(TH!L4605="1111",TH!M4605="1111")),TH!D4605,""),"")</f>
        <v/>
      </c>
      <c r="B4605" s="531" t="str">
        <f t="shared" si="564"/>
        <v/>
      </c>
      <c r="C4605" s="315"/>
      <c r="D4605" s="537"/>
      <c r="E4605" s="280"/>
      <c r="F4605" s="250"/>
      <c r="G4605" s="538"/>
      <c r="H4605" s="473"/>
      <c r="I4605" s="307"/>
      <c r="J4605" s="307"/>
      <c r="K4605" s="532"/>
      <c r="L4605" s="534"/>
      <c r="M4605" s="539"/>
      <c r="N4605" s="525" t="str">
        <f>IF(AND('331-CT'!$E$7=TH!H4605,OR(L4605="331",M4605="331")),"331",IF(AND(OR(L4605="131",M4605="131"),H4605='131-CT'!$E$7),"131",""))</f>
        <v/>
      </c>
      <c r="O4605" s="525" t="str">
        <f>IF(AND($B4605&gt;='111'!$N$11,$B4605&lt;='111'!$O$11,OR($L4605=$O$7,$M4605=$O$7)),"x","")</f>
        <v/>
      </c>
      <c r="P4605" s="525" t="str">
        <f>IF(AND($L4605=$O$7,$B4605&lt;'111'!$N$11),"x","")</f>
        <v/>
      </c>
      <c r="Q4605" s="525" t="str">
        <f>IF(AND($M4605=$O$7,$B4605&lt;'111'!$N$11),"x","")</f>
        <v/>
      </c>
      <c r="R4605" s="525" t="str">
        <f>IF(ISERROR(FIND('112'!$M$9,G4605,1)),"",IF((AND(FIND('112'!$M$9,G4605,1)&gt;=1,$B4605&gt;='112'!$N$8,$B4605&lt;='112'!$O$8,OR($L4605='112'!$I$6,$M4605='112'!$I$6))),"x",""))</f>
        <v/>
      </c>
      <c r="S4605" s="525" t="str">
        <f>IF(ISERROR(FIND('112'!$M$9,G4605,1)),"",IF((AND(LEFT(G4605,2)=LEFT('112'!$M$9,2),B4605&lt;'112'!$N$8,$L4605='112'!$I$6)),"x",""))</f>
        <v/>
      </c>
      <c r="T4605" s="525" t="str">
        <f>IF(ISERROR(FIND('112'!$M$9,G4605,1)),"",IF((AND(RIGHT(G4605,2)=RIGHT('112'!$M$9,2),B4605&lt;'112'!$N$8,$M4605='112'!$I$6)),"x",""))</f>
        <v/>
      </c>
      <c r="U4605" s="525" t="str">
        <f>IF(AND(B4605&gt;='IN-NX'!$P$3,B4605&lt;='IN-NX'!$Q$3,'IN-NX'!$D$7=D4605,OR(LEFT(L4605,2)="15",AND(LEFT(M4605,2)&lt;&gt;"15",LEFT(M4605,2)&lt;&gt;"33"))),"x","")</f>
        <v/>
      </c>
      <c r="V4605" s="525" t="str">
        <f>IF(AND(OR(LEFT(TH!L4605,2)="15",LEFT(TH!M4605,2)="15"),'152-CT'!$J$8=TH!F4605),"x","")</f>
        <v/>
      </c>
      <c r="W4605" s="525" t="str">
        <f>IF(AND(OR(LEFT(TH!L4605,2)="15",LEFT(TH!M4605,2)="15"),TK!$E$7=TH!F4605),"x","")</f>
        <v/>
      </c>
      <c r="X4605" s="525" t="str">
        <f>IF(AND('341-CT'!$E$9=H4605,OR(LEFT(L4605,3)=$X$7,LEFT(M4605,3)=$X$7)),"x","")</f>
        <v/>
      </c>
      <c r="Y4605" s="525" t="str">
        <f>IF(OR(TH!L4605=TH!$Y$7,M4605=TH!$Y$7),"x","")</f>
        <v/>
      </c>
      <c r="Z4605" s="525" t="str">
        <f>IF(AND(B4605&lt;=NKC!$N$8,B4605&gt;=NKC!$M$8),"x","")</f>
        <v/>
      </c>
      <c r="AA4605" s="535"/>
      <c r="AB4605" s="536"/>
      <c r="AC4605" s="556"/>
      <c r="AD4605" s="556"/>
    </row>
    <row r="4606" spans="1:30" s="503" customFormat="1" ht="15.75" customHeight="1">
      <c r="A4606" s="517" t="str">
        <f>IF(B4606&lt;&gt;"",IF(AND(B4606&gt;=_TM1,B4606&lt;=_TM2,OR(TH!L4606="1111",TH!M4606="1111")),TH!D4606,""),"")</f>
        <v/>
      </c>
      <c r="B4606" s="531" t="str">
        <f t="shared" si="564"/>
        <v/>
      </c>
      <c r="C4606" s="315"/>
      <c r="D4606" s="315"/>
      <c r="E4606" s="545"/>
      <c r="F4606" s="248"/>
      <c r="G4606" s="314"/>
      <c r="H4606" s="473"/>
      <c r="I4606" s="307"/>
      <c r="J4606" s="307"/>
      <c r="K4606" s="532"/>
      <c r="L4606" s="533"/>
      <c r="M4606" s="533"/>
      <c r="N4606" s="525" t="str">
        <f>IF(AND('331-CT'!$E$7=TH!H4606,OR(L4606="331",M4606="331")),"331",IF(AND(OR(L4606="131",M4606="131"),H4606='131-CT'!$E$7),"131",""))</f>
        <v/>
      </c>
      <c r="O4606" s="525" t="str">
        <f>IF(AND($B4606&gt;='111'!$N$11,$B4606&lt;='111'!$O$11,OR($L4606=$O$7,$M4606=$O$7)),"x","")</f>
        <v/>
      </c>
      <c r="P4606" s="525" t="str">
        <f>IF(AND($L4606=$O$7,$B4606&lt;'111'!$N$11),"x","")</f>
        <v/>
      </c>
      <c r="Q4606" s="525" t="str">
        <f>IF(AND($M4606=$O$7,$B4606&lt;'111'!$N$11),"x","")</f>
        <v/>
      </c>
      <c r="R4606" s="525" t="str">
        <f>IF(ISERROR(FIND('112'!$M$9,G4606,1)),"",IF((AND(FIND('112'!$M$9,G4606,1)&gt;=1,$B4606&gt;='112'!$N$8,$B4606&lt;='112'!$O$8,OR($L4606='112'!$I$6,$M4606='112'!$I$6))),"x",""))</f>
        <v/>
      </c>
      <c r="S4606" s="525" t="str">
        <f>IF(ISERROR(FIND('112'!$M$9,G4606,1)),"",IF((AND(LEFT(G4606,2)=LEFT('112'!$M$9,2),B4606&lt;'112'!$N$8,$L4606='112'!$I$6)),"x",""))</f>
        <v/>
      </c>
      <c r="T4606" s="525" t="str">
        <f>IF(ISERROR(FIND('112'!$M$9,G4606,1)),"",IF((AND(RIGHT(G4606,2)=RIGHT('112'!$M$9,2),B4606&lt;'112'!$N$8,$M4606='112'!$I$6)),"x",""))</f>
        <v/>
      </c>
      <c r="U4606" s="525" t="str">
        <f>IF(AND(B4606&gt;='IN-NX'!$P$3,B4606&lt;='IN-NX'!$Q$3,'IN-NX'!$D$7=D4606,OR(LEFT(L4606,2)="15",AND(LEFT(M4606,2)&lt;&gt;"15",LEFT(M4606,2)&lt;&gt;"33"))),"x","")</f>
        <v/>
      </c>
      <c r="V4606" s="525" t="str">
        <f>IF(AND(OR(LEFT(TH!L4606,2)="15",LEFT(TH!M4606,2)="15"),'152-CT'!$J$8=TH!F4606),"x","")</f>
        <v/>
      </c>
      <c r="W4606" s="525" t="str">
        <f>IF(AND(OR(LEFT(TH!L4606,2)="15",LEFT(TH!M4606,2)="15"),TK!$E$7=TH!F4606),"x","")</f>
        <v/>
      </c>
      <c r="X4606" s="525" t="str">
        <f>IF(AND('341-CT'!$E$9=H4606,OR(LEFT(L4606,3)=$X$7,LEFT(M4606,3)=$X$7)),"x","")</f>
        <v/>
      </c>
      <c r="Y4606" s="525" t="str">
        <f>IF(OR(TH!L4606=TH!$Y$7,M4606=TH!$Y$7),"x","")</f>
        <v/>
      </c>
      <c r="Z4606" s="525" t="str">
        <f>IF(AND(B4606&lt;=NKC!$N$8,B4606&gt;=NKC!$M$8),"x","")</f>
        <v/>
      </c>
      <c r="AA4606" s="535"/>
      <c r="AB4606" s="536"/>
    </row>
    <row r="4607" spans="1:30" s="503" customFormat="1" ht="15.75" customHeight="1">
      <c r="A4607" s="517" t="str">
        <f>IF(B4607&lt;&gt;"",IF(AND(B4607&gt;=_TM1,B4607&lt;=_TM2,OR(TH!L4607="1111",TH!M4607="1111")),TH!D4607,""),"")</f>
        <v/>
      </c>
      <c r="B4607" s="531" t="str">
        <f t="shared" si="564"/>
        <v/>
      </c>
      <c r="C4607" s="315"/>
      <c r="D4607" s="315"/>
      <c r="E4607" s="545"/>
      <c r="F4607" s="249"/>
      <c r="G4607" s="314"/>
      <c r="H4607" s="473"/>
      <c r="I4607" s="307"/>
      <c r="J4607" s="307"/>
      <c r="K4607" s="532"/>
      <c r="L4607" s="533"/>
      <c r="M4607" s="533"/>
      <c r="N4607" s="525" t="str">
        <f>IF(AND('331-CT'!$E$7=TH!H4607,OR(L4607="331",M4607="331")),"331",IF(AND(OR(L4607="131",M4607="131"),H4607='131-CT'!$E$7),"131",""))</f>
        <v/>
      </c>
      <c r="O4607" s="525" t="str">
        <f>IF(AND($B4607&gt;='111'!$N$11,$B4607&lt;='111'!$O$11,OR($L4607=$O$7,$M4607=$O$7)),"x","")</f>
        <v/>
      </c>
      <c r="P4607" s="525" t="str">
        <f>IF(AND($L4607=$O$7,$B4607&lt;'111'!$N$11),"x","")</f>
        <v/>
      </c>
      <c r="Q4607" s="525" t="str">
        <f>IF(AND($M4607=$O$7,$B4607&lt;'111'!$N$11),"x","")</f>
        <v/>
      </c>
      <c r="R4607" s="525" t="str">
        <f>IF(ISERROR(FIND('112'!$M$9,G4607,1)),"",IF((AND(FIND('112'!$M$9,G4607,1)&gt;=1,$B4607&gt;='112'!$N$8,$B4607&lt;='112'!$O$8,OR($L4607='112'!$I$6,$M4607='112'!$I$6))),"x",""))</f>
        <v/>
      </c>
      <c r="S4607" s="525" t="str">
        <f>IF(ISERROR(FIND('112'!$M$9,G4607,1)),"",IF((AND(LEFT(G4607,2)=LEFT('112'!$M$9,2),B4607&lt;'112'!$N$8,$L4607='112'!$I$6)),"x",""))</f>
        <v/>
      </c>
      <c r="T4607" s="525" t="str">
        <f>IF(ISERROR(FIND('112'!$M$9,G4607,1)),"",IF((AND(RIGHT(G4607,2)=RIGHT('112'!$M$9,2),B4607&lt;'112'!$N$8,$M4607='112'!$I$6)),"x",""))</f>
        <v/>
      </c>
      <c r="U4607" s="525" t="str">
        <f>IF(AND(B4607&gt;='IN-NX'!$P$3,B4607&lt;='IN-NX'!$Q$3,'IN-NX'!$D$7=D4607,OR(LEFT(L4607,2)="15",AND(LEFT(M4607,2)&lt;&gt;"15",LEFT(M4607,2)&lt;&gt;"33"))),"x","")</f>
        <v/>
      </c>
      <c r="V4607" s="525" t="str">
        <f>IF(AND(OR(LEFT(TH!L4607,2)="15",LEFT(TH!M4607,2)="15"),'152-CT'!$J$8=TH!F4607),"x","")</f>
        <v/>
      </c>
      <c r="W4607" s="525" t="str">
        <f>IF(AND(OR(LEFT(TH!L4607,2)="15",LEFT(TH!M4607,2)="15"),TK!$E$7=TH!F4607),"x","")</f>
        <v/>
      </c>
      <c r="X4607" s="525" t="str">
        <f>IF(AND('341-CT'!$E$9=H4607,OR(LEFT(L4607,3)=$X$7,LEFT(M4607,3)=$X$7)),"x","")</f>
        <v/>
      </c>
      <c r="Y4607" s="525" t="str">
        <f>IF(OR(TH!L4607=TH!$Y$7,M4607=TH!$Y$7),"x","")</f>
        <v/>
      </c>
      <c r="Z4607" s="525" t="str">
        <f>IF(AND(B4607&lt;=NKC!$N$8,B4607&gt;=NKC!$M$8),"x","")</f>
        <v/>
      </c>
      <c r="AA4607" s="535"/>
      <c r="AB4607" s="536"/>
    </row>
    <row r="4608" spans="1:30" s="503" customFormat="1" ht="15.75" customHeight="1">
      <c r="A4608" s="517" t="str">
        <f>IF(B4608&lt;&gt;"",IF(AND(B4608&gt;=_TM1,B4608&lt;=_TM2,OR(TH!L4608="1111",TH!M4608="1111")),TH!D4608,""),"")</f>
        <v/>
      </c>
      <c r="B4608" s="531" t="str">
        <f t="shared" si="564"/>
        <v/>
      </c>
      <c r="C4608" s="315"/>
      <c r="D4608" s="315"/>
      <c r="E4608" s="545"/>
      <c r="F4608" s="245"/>
      <c r="G4608" s="314"/>
      <c r="H4608" s="473"/>
      <c r="I4608" s="307"/>
      <c r="J4608" s="307"/>
      <c r="K4608" s="532"/>
      <c r="L4608" s="533"/>
      <c r="M4608" s="533"/>
      <c r="N4608" s="525" t="str">
        <f>IF(AND('331-CT'!$E$7=TH!H4608,OR(L4608="331",M4608="331")),"331",IF(AND(OR(L4608="131",M4608="131"),H4608='131-CT'!$E$7),"131",""))</f>
        <v/>
      </c>
      <c r="O4608" s="525" t="str">
        <f>IF(AND($B4608&gt;='111'!$N$11,$B4608&lt;='111'!$O$11,OR($L4608=$O$7,$M4608=$O$7)),"x","")</f>
        <v/>
      </c>
      <c r="P4608" s="525" t="str">
        <f>IF(AND($L4608=$O$7,$B4608&lt;'111'!$N$11),"x","")</f>
        <v/>
      </c>
      <c r="Q4608" s="525" t="str">
        <f>IF(AND($M4608=$O$7,$B4608&lt;'111'!$N$11),"x","")</f>
        <v/>
      </c>
      <c r="R4608" s="525" t="str">
        <f>IF(ISERROR(FIND('112'!$M$9,G4608,1)),"",IF((AND(FIND('112'!$M$9,G4608,1)&gt;=1,$B4608&gt;='112'!$N$8,$B4608&lt;='112'!$O$8,OR($L4608='112'!$I$6,$M4608='112'!$I$6))),"x",""))</f>
        <v/>
      </c>
      <c r="S4608" s="525" t="str">
        <f>IF(ISERROR(FIND('112'!$M$9,G4608,1)),"",IF((AND(LEFT(G4608,2)=LEFT('112'!$M$9,2),B4608&lt;'112'!$N$8,$L4608='112'!$I$6)),"x",""))</f>
        <v/>
      </c>
      <c r="T4608" s="525" t="str">
        <f>IF(ISERROR(FIND('112'!$M$9,G4608,1)),"",IF((AND(RIGHT(G4608,2)=RIGHT('112'!$M$9,2),B4608&lt;'112'!$N$8,$M4608='112'!$I$6)),"x",""))</f>
        <v/>
      </c>
      <c r="U4608" s="525" t="str">
        <f>IF(AND(B4608&gt;='IN-NX'!$P$3,B4608&lt;='IN-NX'!$Q$3,'IN-NX'!$D$7=D4608,OR(LEFT(L4608,2)="15",AND(LEFT(M4608,2)&lt;&gt;"15",LEFT(M4608,2)&lt;&gt;"33"))),"x","")</f>
        <v/>
      </c>
      <c r="V4608" s="525" t="str">
        <f>IF(AND(OR(LEFT(TH!L4608,2)="15",LEFT(TH!M4608,2)="15"),'152-CT'!$J$8=TH!F4608),"x","")</f>
        <v/>
      </c>
      <c r="W4608" s="525" t="str">
        <f>IF(AND(OR(LEFT(TH!L4608,2)="15",LEFT(TH!M4608,2)="15"),TK!$E$7=TH!F4608),"x","")</f>
        <v/>
      </c>
      <c r="X4608" s="525" t="str">
        <f>IF(AND('341-CT'!$E$9=H4608,OR(LEFT(L4608,3)=$X$7,LEFT(M4608,3)=$X$7)),"x","")</f>
        <v/>
      </c>
      <c r="Y4608" s="525" t="str">
        <f>IF(OR(TH!L4608=TH!$Y$7,M4608=TH!$Y$7),"x","")</f>
        <v/>
      </c>
      <c r="Z4608" s="525" t="str">
        <f>IF(AND(B4608&lt;=NKC!$N$8,B4608&gt;=NKC!$M$8),"x","")</f>
        <v/>
      </c>
      <c r="AA4608" s="535"/>
      <c r="AB4608" s="536"/>
      <c r="AD4608" s="536"/>
    </row>
    <row r="4609" spans="1:30" s="503" customFormat="1" ht="15.75" customHeight="1">
      <c r="A4609" s="517" t="str">
        <f>IF(B4609&lt;&gt;"",IF(AND(B4609&gt;=_TM1,B4609&lt;=_TM2,OR(TH!L4609="1111",TH!M4609="1111")),TH!D4609,""),"")</f>
        <v/>
      </c>
      <c r="B4609" s="531" t="str">
        <f t="shared" si="564"/>
        <v/>
      </c>
      <c r="C4609" s="315"/>
      <c r="D4609" s="315"/>
      <c r="E4609" s="545"/>
      <c r="F4609" s="249"/>
      <c r="G4609" s="314"/>
      <c r="H4609" s="473"/>
      <c r="I4609" s="307"/>
      <c r="J4609" s="307"/>
      <c r="K4609" s="532"/>
      <c r="L4609" s="533"/>
      <c r="M4609" s="533"/>
      <c r="N4609" s="525" t="str">
        <f>IF(AND('331-CT'!$E$7=TH!H4609,OR(L4609="331",M4609="331")),"331",IF(AND(OR(L4609="131",M4609="131"),H4609='131-CT'!$E$7),"131",""))</f>
        <v/>
      </c>
      <c r="O4609" s="525" t="str">
        <f>IF(AND($B4609&gt;='111'!$N$11,$B4609&lt;='111'!$O$11,OR($L4609=$O$7,$M4609=$O$7)),"x","")</f>
        <v/>
      </c>
      <c r="P4609" s="525" t="str">
        <f>IF(AND($L4609=$O$7,$B4609&lt;'111'!$N$11),"x","")</f>
        <v/>
      </c>
      <c r="Q4609" s="525" t="str">
        <f>IF(AND($M4609=$O$7,$B4609&lt;'111'!$N$11),"x","")</f>
        <v/>
      </c>
      <c r="R4609" s="525" t="str">
        <f>IF(ISERROR(FIND('112'!$M$9,G4609,1)),"",IF((AND(FIND('112'!$M$9,G4609,1)&gt;=1,$B4609&gt;='112'!$N$8,$B4609&lt;='112'!$O$8,OR($L4609='112'!$I$6,$M4609='112'!$I$6))),"x",""))</f>
        <v/>
      </c>
      <c r="S4609" s="525" t="str">
        <f>IF(ISERROR(FIND('112'!$M$9,G4609,1)),"",IF((AND(LEFT(G4609,2)=LEFT('112'!$M$9,2),B4609&lt;'112'!$N$8,$L4609='112'!$I$6)),"x",""))</f>
        <v/>
      </c>
      <c r="T4609" s="525" t="str">
        <f>IF(ISERROR(FIND('112'!$M$9,G4609,1)),"",IF((AND(RIGHT(G4609,2)=RIGHT('112'!$M$9,2),B4609&lt;'112'!$N$8,$M4609='112'!$I$6)),"x",""))</f>
        <v/>
      </c>
      <c r="U4609" s="525" t="str">
        <f>IF(AND(B4609&gt;='IN-NX'!$P$3,B4609&lt;='IN-NX'!$Q$3,'IN-NX'!$D$7=D4609,OR(LEFT(L4609,2)="15",AND(LEFT(M4609,2)&lt;&gt;"15",LEFT(M4609,2)&lt;&gt;"33"))),"x","")</f>
        <v/>
      </c>
      <c r="V4609" s="525" t="str">
        <f>IF(AND(OR(LEFT(TH!L4609,2)="15",LEFT(TH!M4609,2)="15"),'152-CT'!$J$8=TH!F4609),"x","")</f>
        <v/>
      </c>
      <c r="W4609" s="525" t="str">
        <f>IF(AND(OR(LEFT(TH!L4609,2)="15",LEFT(TH!M4609,2)="15"),TK!$E$7=TH!F4609),"x","")</f>
        <v/>
      </c>
      <c r="X4609" s="525" t="str">
        <f>IF(AND('341-CT'!$E$9=H4609,OR(LEFT(L4609,3)=$X$7,LEFT(M4609,3)=$X$7)),"x","")</f>
        <v/>
      </c>
      <c r="Y4609" s="525" t="str">
        <f>IF(OR(TH!L4609=TH!$Y$7,M4609=TH!$Y$7),"x","")</f>
        <v/>
      </c>
      <c r="Z4609" s="525" t="str">
        <f>IF(AND(B4609&lt;=NKC!$N$8,B4609&gt;=NKC!$M$8),"x","")</f>
        <v/>
      </c>
      <c r="AA4609" s="535"/>
      <c r="AB4609" s="536"/>
    </row>
    <row r="4610" spans="1:30" s="503" customFormat="1" ht="15.75" customHeight="1">
      <c r="A4610" s="517" t="str">
        <f>IF(B4610&lt;&gt;"",IF(AND(B4610&gt;=_TM1,B4610&lt;=_TM2,OR(TH!L4610="1111",TH!M4610="1111")),TH!D4610,""),"")</f>
        <v/>
      </c>
      <c r="B4610" s="531" t="str">
        <f t="shared" si="564"/>
        <v/>
      </c>
      <c r="C4610" s="315"/>
      <c r="D4610" s="537"/>
      <c r="E4610" s="545"/>
      <c r="F4610" s="249"/>
      <c r="G4610" s="314"/>
      <c r="H4610" s="473"/>
      <c r="I4610" s="307"/>
      <c r="J4610" s="307"/>
      <c r="K4610" s="532"/>
      <c r="L4610" s="534"/>
      <c r="M4610" s="533"/>
      <c r="N4610" s="525" t="str">
        <f>IF(AND('331-CT'!$E$7=TH!H4610,OR(L4610="331",M4610="331")),"331",IF(AND(OR(L4610="131",M4610="131"),H4610='131-CT'!$E$7),"131",""))</f>
        <v/>
      </c>
      <c r="O4610" s="525" t="str">
        <f>IF(AND($B4610&gt;='111'!$N$11,$B4610&lt;='111'!$O$11,OR($L4610=$O$7,$M4610=$O$7)),"x","")</f>
        <v/>
      </c>
      <c r="P4610" s="525" t="str">
        <f>IF(AND($L4610=$O$7,$B4610&lt;'111'!$N$11),"x","")</f>
        <v/>
      </c>
      <c r="Q4610" s="525" t="str">
        <f>IF(AND($M4610=$O$7,$B4610&lt;'111'!$N$11),"x","")</f>
        <v/>
      </c>
      <c r="R4610" s="525" t="str">
        <f>IF(ISERROR(FIND('112'!$M$9,G4610,1)),"",IF((AND(FIND('112'!$M$9,G4610,1)&gt;=1,$B4610&gt;='112'!$N$8,$B4610&lt;='112'!$O$8,OR($L4610='112'!$I$6,$M4610='112'!$I$6))),"x",""))</f>
        <v/>
      </c>
      <c r="S4610" s="525" t="str">
        <f>IF(ISERROR(FIND('112'!$M$9,G4610,1)),"",IF((AND(LEFT(G4610,2)=LEFT('112'!$M$9,2),B4610&lt;'112'!$N$8,$L4610='112'!$I$6)),"x",""))</f>
        <v/>
      </c>
      <c r="T4610" s="525" t="str">
        <f>IF(ISERROR(FIND('112'!$M$9,G4610,1)),"",IF((AND(RIGHT(G4610,2)=RIGHT('112'!$M$9,2),B4610&lt;'112'!$N$8,$M4610='112'!$I$6)),"x",""))</f>
        <v/>
      </c>
      <c r="U4610" s="525" t="str">
        <f>IF(AND(B4610&gt;='IN-NX'!$P$3,B4610&lt;='IN-NX'!$Q$3,'IN-NX'!$D$7=D4610,OR(LEFT(L4610,2)="15",AND(LEFT(M4610,2)&lt;&gt;"15",LEFT(M4610,2)&lt;&gt;"33"))),"x","")</f>
        <v/>
      </c>
      <c r="V4610" s="525" t="str">
        <f>IF(AND(OR(LEFT(TH!L4610,2)="15",LEFT(TH!M4610,2)="15"),'152-CT'!$J$8=TH!F4610),"x","")</f>
        <v/>
      </c>
      <c r="W4610" s="525" t="str">
        <f>IF(AND(OR(LEFT(TH!L4610,2)="15",LEFT(TH!M4610,2)="15"),TK!$E$7=TH!F4610),"x","")</f>
        <v/>
      </c>
      <c r="X4610" s="525" t="str">
        <f>IF(AND('341-CT'!$E$9=H4610,OR(LEFT(L4610,3)=$X$7,LEFT(M4610,3)=$X$7)),"x","")</f>
        <v/>
      </c>
      <c r="Y4610" s="525" t="str">
        <f>IF(OR(TH!L4610=TH!$Y$7,M4610=TH!$Y$7),"x","")</f>
        <v/>
      </c>
      <c r="Z4610" s="525" t="str">
        <f>IF(AND(B4610&lt;=NKC!$N$8,B4610&gt;=NKC!$M$8),"x","")</f>
        <v/>
      </c>
      <c r="AA4610" s="535"/>
    </row>
    <row r="4611" spans="1:30" s="503" customFormat="1" ht="15.75" customHeight="1">
      <c r="A4611" s="517" t="str">
        <f>IF(B4611&lt;&gt;"",IF(AND(B4611&gt;=_TM1,B4611&lt;=_TM2,OR(TH!L4611="1111",TH!M4611="1111")),TH!D4611,""),"")</f>
        <v/>
      </c>
      <c r="B4611" s="531" t="str">
        <f t="shared" si="564"/>
        <v/>
      </c>
      <c r="C4611" s="315"/>
      <c r="D4611" s="537"/>
      <c r="E4611" s="545"/>
      <c r="F4611" s="247"/>
      <c r="G4611" s="314"/>
      <c r="H4611" s="473"/>
      <c r="I4611" s="307"/>
      <c r="J4611" s="307"/>
      <c r="K4611" s="532"/>
      <c r="L4611" s="533"/>
      <c r="M4611" s="533"/>
      <c r="N4611" s="525" t="str">
        <f>IF(AND('331-CT'!$E$7=TH!H4611,OR(L4611="331",M4611="331")),"331",IF(AND(OR(L4611="131",M4611="131"),H4611='131-CT'!$E$7),"131",""))</f>
        <v/>
      </c>
      <c r="O4611" s="525" t="str">
        <f>IF(AND($B4611&gt;='111'!$N$11,$B4611&lt;='111'!$O$11,OR($L4611=$O$7,$M4611=$O$7)),"x","")</f>
        <v/>
      </c>
      <c r="P4611" s="525" t="str">
        <f>IF(AND($L4611=$O$7,$B4611&lt;'111'!$N$11),"x","")</f>
        <v/>
      </c>
      <c r="Q4611" s="525" t="str">
        <f>IF(AND($M4611=$O$7,$B4611&lt;'111'!$N$11),"x","")</f>
        <v/>
      </c>
      <c r="R4611" s="525" t="str">
        <f>IF(ISERROR(FIND('112'!$M$9,G4611,1)),"",IF((AND(FIND('112'!$M$9,G4611,1)&gt;=1,$B4611&gt;='112'!$N$8,$B4611&lt;='112'!$O$8,OR($L4611='112'!$I$6,$M4611='112'!$I$6))),"x",""))</f>
        <v/>
      </c>
      <c r="S4611" s="525" t="str">
        <f>IF(ISERROR(FIND('112'!$M$9,G4611,1)),"",IF((AND(LEFT(G4611,2)=LEFT('112'!$M$9,2),B4611&lt;'112'!$N$8,$L4611='112'!$I$6)),"x",""))</f>
        <v/>
      </c>
      <c r="T4611" s="525" t="str">
        <f>IF(ISERROR(FIND('112'!$M$9,G4611,1)),"",IF((AND(RIGHT(G4611,2)=RIGHT('112'!$M$9,2),B4611&lt;'112'!$N$8,$M4611='112'!$I$6)),"x",""))</f>
        <v/>
      </c>
      <c r="U4611" s="525" t="str">
        <f>IF(AND(B4611&gt;='IN-NX'!$P$3,B4611&lt;='IN-NX'!$Q$3,'IN-NX'!$D$7=D4611,OR(LEFT(L4611,2)="15",AND(LEFT(M4611,2)&lt;&gt;"15",LEFT(M4611,2)&lt;&gt;"33"))),"x","")</f>
        <v/>
      </c>
      <c r="V4611" s="525" t="str">
        <f>IF(AND(OR(LEFT(TH!L4611,2)="15",LEFT(TH!M4611,2)="15"),'152-CT'!$J$8=TH!F4611),"x","")</f>
        <v/>
      </c>
      <c r="W4611" s="525" t="str">
        <f>IF(AND(OR(LEFT(TH!L4611,2)="15",LEFT(TH!M4611,2)="15"),TK!$E$7=TH!F4611),"x","")</f>
        <v/>
      </c>
      <c r="X4611" s="525" t="str">
        <f>IF(AND('341-CT'!$E$9=H4611,OR(LEFT(L4611,3)=$X$7,LEFT(M4611,3)=$X$7)),"x","")</f>
        <v/>
      </c>
      <c r="Y4611" s="525" t="str">
        <f>IF(OR(TH!L4611=TH!$Y$7,M4611=TH!$Y$7),"x","")</f>
        <v/>
      </c>
      <c r="Z4611" s="525" t="str">
        <f>IF(AND(B4611&lt;=NKC!$N$8,B4611&gt;=NKC!$M$8),"x","")</f>
        <v/>
      </c>
      <c r="AA4611" s="535"/>
    </row>
    <row r="4612" spans="1:30" s="503" customFormat="1" ht="15.75" customHeight="1">
      <c r="A4612" s="517" t="str">
        <f>IF(B4612&lt;&gt;"",IF(AND(B4612&gt;=_TM1,B4612&lt;=_TM2,OR(TH!L4612="1111",TH!M4612="1111")),TH!D4612,""),"")</f>
        <v/>
      </c>
      <c r="B4612" s="531" t="str">
        <f t="shared" si="564"/>
        <v/>
      </c>
      <c r="C4612" s="315"/>
      <c r="D4612" s="315"/>
      <c r="E4612" s="545"/>
      <c r="F4612" s="248"/>
      <c r="G4612" s="314"/>
      <c r="H4612" s="473"/>
      <c r="I4612" s="307"/>
      <c r="J4612" s="307"/>
      <c r="K4612" s="532"/>
      <c r="L4612" s="533"/>
      <c r="M4612" s="533"/>
      <c r="N4612" s="525" t="str">
        <f>IF(AND('331-CT'!$E$7=TH!H4612,OR(L4612="331",M4612="331")),"331",IF(AND(OR(L4612="131",M4612="131"),H4612='131-CT'!$E$7),"131",""))</f>
        <v/>
      </c>
      <c r="O4612" s="525" t="str">
        <f>IF(AND($B4612&gt;='111'!$N$11,$B4612&lt;='111'!$O$11,OR($L4612=$O$7,$M4612=$O$7)),"x","")</f>
        <v/>
      </c>
      <c r="P4612" s="525" t="str">
        <f>IF(AND($L4612=$O$7,$B4612&lt;'111'!$N$11),"x","")</f>
        <v/>
      </c>
      <c r="Q4612" s="525" t="str">
        <f>IF(AND($M4612=$O$7,$B4612&lt;'111'!$N$11),"x","")</f>
        <v/>
      </c>
      <c r="R4612" s="525" t="str">
        <f>IF(ISERROR(FIND('112'!$M$9,G4612,1)),"",IF((AND(FIND('112'!$M$9,G4612,1)&gt;=1,$B4612&gt;='112'!$N$8,$B4612&lt;='112'!$O$8,OR($L4612='112'!$I$6,$M4612='112'!$I$6))),"x",""))</f>
        <v/>
      </c>
      <c r="S4612" s="525" t="str">
        <f>IF(ISERROR(FIND('112'!$M$9,G4612,1)),"",IF((AND(LEFT(G4612,2)=LEFT('112'!$M$9,2),B4612&lt;'112'!$N$8,$L4612='112'!$I$6)),"x",""))</f>
        <v/>
      </c>
      <c r="T4612" s="525" t="str">
        <f>IF(ISERROR(FIND('112'!$M$9,G4612,1)),"",IF((AND(RIGHT(G4612,2)=RIGHT('112'!$M$9,2),B4612&lt;'112'!$N$8,$M4612='112'!$I$6)),"x",""))</f>
        <v/>
      </c>
      <c r="U4612" s="525" t="str">
        <f>IF(AND(B4612&gt;='IN-NX'!$P$3,B4612&lt;='IN-NX'!$Q$3,'IN-NX'!$D$7=D4612,OR(LEFT(L4612,2)="15",AND(LEFT(M4612,2)&lt;&gt;"15",LEFT(M4612,2)&lt;&gt;"33"))),"x","")</f>
        <v/>
      </c>
      <c r="V4612" s="525" t="str">
        <f>IF(AND(OR(LEFT(TH!L4612,2)="15",LEFT(TH!M4612,2)="15"),'152-CT'!$J$8=TH!F4612),"x","")</f>
        <v/>
      </c>
      <c r="W4612" s="525" t="str">
        <f>IF(AND(OR(LEFT(TH!L4612,2)="15",LEFT(TH!M4612,2)="15"),TK!$E$7=TH!F4612),"x","")</f>
        <v/>
      </c>
      <c r="X4612" s="525" t="str">
        <f>IF(AND('341-CT'!$E$9=H4612,OR(LEFT(L4612,3)=$X$7,LEFT(M4612,3)=$X$7)),"x","")</f>
        <v/>
      </c>
      <c r="Y4612" s="525" t="str">
        <f>IF(OR(TH!L4612=TH!$Y$7,M4612=TH!$Y$7),"x","")</f>
        <v/>
      </c>
      <c r="Z4612" s="525" t="str">
        <f>IF(AND(B4612&lt;=NKC!$N$8,B4612&gt;=NKC!$M$8),"x","")</f>
        <v/>
      </c>
      <c r="AA4612" s="535"/>
      <c r="AB4612" s="536"/>
    </row>
    <row r="4613" spans="1:30" s="503" customFormat="1" ht="15.75" customHeight="1">
      <c r="A4613" s="517" t="str">
        <f>IF(B4613&lt;&gt;"",IF(AND(B4613&gt;=_TM1,B4613&lt;=_TM2,OR(TH!L4613="1111",TH!M4613="1111")),TH!D4613,""),"")</f>
        <v/>
      </c>
      <c r="B4613" s="531" t="str">
        <f t="shared" si="564"/>
        <v/>
      </c>
      <c r="C4613" s="315"/>
      <c r="D4613" s="315"/>
      <c r="E4613" s="545"/>
      <c r="F4613" s="248"/>
      <c r="G4613" s="314"/>
      <c r="H4613" s="473"/>
      <c r="I4613" s="307"/>
      <c r="J4613" s="307"/>
      <c r="K4613" s="532"/>
      <c r="L4613" s="533"/>
      <c r="M4613" s="533"/>
      <c r="N4613" s="525" t="str">
        <f>IF(AND('331-CT'!$E$7=TH!H4613,OR(L4613="331",M4613="331")),"331",IF(AND(OR(L4613="131",M4613="131"),H4613='131-CT'!$E$7),"131",""))</f>
        <v/>
      </c>
      <c r="O4613" s="525" t="str">
        <f>IF(AND($B4613&gt;='111'!$N$11,$B4613&lt;='111'!$O$11,OR($L4613=$O$7,$M4613=$O$7)),"x","")</f>
        <v/>
      </c>
      <c r="P4613" s="525" t="str">
        <f>IF(AND($L4613=$O$7,$B4613&lt;'111'!$N$11),"x","")</f>
        <v/>
      </c>
      <c r="Q4613" s="525" t="str">
        <f>IF(AND($M4613=$O$7,$B4613&lt;'111'!$N$11),"x","")</f>
        <v/>
      </c>
      <c r="R4613" s="525" t="str">
        <f>IF(ISERROR(FIND('112'!$M$9,G4613,1)),"",IF((AND(FIND('112'!$M$9,G4613,1)&gt;=1,$B4613&gt;='112'!$N$8,$B4613&lt;='112'!$O$8,OR($L4613='112'!$I$6,$M4613='112'!$I$6))),"x",""))</f>
        <v/>
      </c>
      <c r="S4613" s="525" t="str">
        <f>IF(ISERROR(FIND('112'!$M$9,G4613,1)),"",IF((AND(LEFT(G4613,2)=LEFT('112'!$M$9,2),B4613&lt;'112'!$N$8,$L4613='112'!$I$6)),"x",""))</f>
        <v/>
      </c>
      <c r="T4613" s="525" t="str">
        <f>IF(ISERROR(FIND('112'!$M$9,G4613,1)),"",IF((AND(RIGHT(G4613,2)=RIGHT('112'!$M$9,2),B4613&lt;'112'!$N$8,$M4613='112'!$I$6)),"x",""))</f>
        <v/>
      </c>
      <c r="U4613" s="525" t="str">
        <f>IF(AND(B4613&gt;='IN-NX'!$P$3,B4613&lt;='IN-NX'!$Q$3,'IN-NX'!$D$7=D4613,OR(LEFT(L4613,2)="15",AND(LEFT(M4613,2)&lt;&gt;"15",LEFT(M4613,2)&lt;&gt;"33"))),"x","")</f>
        <v/>
      </c>
      <c r="V4613" s="525" t="str">
        <f>IF(AND(OR(LEFT(TH!L4613,2)="15",LEFT(TH!M4613,2)="15"),'152-CT'!$J$8=TH!F4613),"x","")</f>
        <v/>
      </c>
      <c r="W4613" s="525" t="str">
        <f>IF(AND(OR(LEFT(TH!L4613,2)="15",LEFT(TH!M4613,2)="15"),TK!$E$7=TH!F4613),"x","")</f>
        <v/>
      </c>
      <c r="X4613" s="525" t="str">
        <f>IF(AND('341-CT'!$E$9=H4613,OR(LEFT(L4613,3)=$X$7,LEFT(M4613,3)=$X$7)),"x","")</f>
        <v/>
      </c>
      <c r="Y4613" s="525" t="str">
        <f>IF(OR(TH!L4613=TH!$Y$7,M4613=TH!$Y$7),"x","")</f>
        <v/>
      </c>
      <c r="Z4613" s="525" t="str">
        <f>IF(AND(B4613&lt;=NKC!$N$8,B4613&gt;=NKC!$M$8),"x","")</f>
        <v/>
      </c>
      <c r="AA4613" s="535"/>
      <c r="AB4613" s="536"/>
      <c r="AD4613" s="536"/>
    </row>
    <row r="4614" spans="1:30" s="503" customFormat="1" ht="15.75" customHeight="1">
      <c r="A4614" s="517" t="str">
        <f>IF(B4614&lt;&gt;"",IF(AND(B4614&gt;=_TM1,B4614&lt;=_TM2,OR(TH!L4614="1111",TH!M4614="1111")),TH!D4614,""),"")</f>
        <v/>
      </c>
      <c r="B4614" s="531" t="str">
        <f t="shared" si="564"/>
        <v/>
      </c>
      <c r="C4614" s="315"/>
      <c r="D4614" s="315"/>
      <c r="E4614" s="545"/>
      <c r="F4614" s="248"/>
      <c r="G4614" s="314"/>
      <c r="H4614" s="473"/>
      <c r="I4614" s="307"/>
      <c r="J4614" s="307"/>
      <c r="K4614" s="532"/>
      <c r="L4614" s="533"/>
      <c r="M4614" s="533"/>
      <c r="N4614" s="525" t="str">
        <f>IF(AND('331-CT'!$E$7=TH!H4614,OR(L4614="331",M4614="331")),"331",IF(AND(OR(L4614="131",M4614="131"),H4614='131-CT'!$E$7),"131",""))</f>
        <v/>
      </c>
      <c r="O4614" s="525" t="str">
        <f>IF(AND($B4614&gt;='111'!$N$11,$B4614&lt;='111'!$O$11,OR($L4614=$O$7,$M4614=$O$7)),"x","")</f>
        <v/>
      </c>
      <c r="P4614" s="525" t="str">
        <f>IF(AND($L4614=$O$7,$B4614&lt;'111'!$N$11),"x","")</f>
        <v/>
      </c>
      <c r="Q4614" s="525" t="str">
        <f>IF(AND($M4614=$O$7,$B4614&lt;'111'!$N$11),"x","")</f>
        <v/>
      </c>
      <c r="R4614" s="525" t="str">
        <f>IF(ISERROR(FIND('112'!$M$9,G4614,1)),"",IF((AND(FIND('112'!$M$9,G4614,1)&gt;=1,$B4614&gt;='112'!$N$8,$B4614&lt;='112'!$O$8,OR($L4614='112'!$I$6,$M4614='112'!$I$6))),"x",""))</f>
        <v/>
      </c>
      <c r="S4614" s="525" t="str">
        <f>IF(ISERROR(FIND('112'!$M$9,G4614,1)),"",IF((AND(LEFT(G4614,2)=LEFT('112'!$M$9,2),B4614&lt;'112'!$N$8,$L4614='112'!$I$6)),"x",""))</f>
        <v/>
      </c>
      <c r="T4614" s="525" t="str">
        <f>IF(ISERROR(FIND('112'!$M$9,G4614,1)),"",IF((AND(RIGHT(G4614,2)=RIGHT('112'!$M$9,2),B4614&lt;'112'!$N$8,$M4614='112'!$I$6)),"x",""))</f>
        <v/>
      </c>
      <c r="U4614" s="525" t="str">
        <f>IF(AND(B4614&gt;='IN-NX'!$P$3,B4614&lt;='IN-NX'!$Q$3,'IN-NX'!$D$7=D4614,OR(LEFT(L4614,2)="15",AND(LEFT(M4614,2)&lt;&gt;"15",LEFT(M4614,2)&lt;&gt;"33"))),"x","")</f>
        <v/>
      </c>
      <c r="V4614" s="525" t="str">
        <f>IF(AND(OR(LEFT(TH!L4614,2)="15",LEFT(TH!M4614,2)="15"),'152-CT'!$J$8=TH!F4614),"x","")</f>
        <v/>
      </c>
      <c r="W4614" s="525" t="str">
        <f>IF(AND(OR(LEFT(TH!L4614,2)="15",LEFT(TH!M4614,2)="15"),TK!$E$7=TH!F4614),"x","")</f>
        <v/>
      </c>
      <c r="X4614" s="525" t="str">
        <f>IF(AND('341-CT'!$E$9=H4614,OR(LEFT(L4614,3)=$X$7,LEFT(M4614,3)=$X$7)),"x","")</f>
        <v/>
      </c>
      <c r="Y4614" s="525" t="str">
        <f>IF(OR(TH!L4614=TH!$Y$7,M4614=TH!$Y$7),"x","")</f>
        <v/>
      </c>
      <c r="Z4614" s="525" t="str">
        <f>IF(AND(B4614&lt;=NKC!$N$8,B4614&gt;=NKC!$M$8),"x","")</f>
        <v/>
      </c>
      <c r="AA4614" s="535"/>
      <c r="AB4614" s="536"/>
    </row>
    <row r="4615" spans="1:30" s="503" customFormat="1" ht="15.75" customHeight="1">
      <c r="A4615" s="517" t="str">
        <f>IF(B4615&lt;&gt;"",IF(AND(B4615&gt;=_TM1,B4615&lt;=_TM2,OR(TH!L4615="1111",TH!M4615="1111")),TH!D4615,""),"")</f>
        <v/>
      </c>
      <c r="B4615" s="531" t="str">
        <f t="shared" si="564"/>
        <v/>
      </c>
      <c r="C4615" s="315"/>
      <c r="D4615" s="315"/>
      <c r="E4615" s="545"/>
      <c r="F4615" s="248"/>
      <c r="G4615" s="314"/>
      <c r="H4615" s="473"/>
      <c r="I4615" s="307"/>
      <c r="J4615" s="307"/>
      <c r="K4615" s="532"/>
      <c r="L4615" s="533"/>
      <c r="M4615" s="533"/>
      <c r="N4615" s="525" t="str">
        <f>IF(AND('331-CT'!$E$7=TH!H4615,OR(L4615="331",M4615="331")),"331",IF(AND(OR(L4615="131",M4615="131"),H4615='131-CT'!$E$7),"131",""))</f>
        <v/>
      </c>
      <c r="O4615" s="525" t="str">
        <f>IF(AND($B4615&gt;='111'!$N$11,$B4615&lt;='111'!$O$11,OR($L4615=$O$7,$M4615=$O$7)),"x","")</f>
        <v/>
      </c>
      <c r="P4615" s="525" t="str">
        <f>IF(AND($L4615=$O$7,$B4615&lt;'111'!$N$11),"x","")</f>
        <v/>
      </c>
      <c r="Q4615" s="525" t="str">
        <f>IF(AND($M4615=$O$7,$B4615&lt;'111'!$N$11),"x","")</f>
        <v/>
      </c>
      <c r="R4615" s="525" t="str">
        <f>IF(ISERROR(FIND('112'!$M$9,G4615,1)),"",IF((AND(FIND('112'!$M$9,G4615,1)&gt;=1,$B4615&gt;='112'!$N$8,$B4615&lt;='112'!$O$8,OR($L4615='112'!$I$6,$M4615='112'!$I$6))),"x",""))</f>
        <v/>
      </c>
      <c r="S4615" s="525" t="str">
        <f>IF(ISERROR(FIND('112'!$M$9,G4615,1)),"",IF((AND(LEFT(G4615,2)=LEFT('112'!$M$9,2),B4615&lt;'112'!$N$8,$L4615='112'!$I$6)),"x",""))</f>
        <v/>
      </c>
      <c r="T4615" s="525" t="str">
        <f>IF(ISERROR(FIND('112'!$M$9,G4615,1)),"",IF((AND(RIGHT(G4615,2)=RIGHT('112'!$M$9,2),B4615&lt;'112'!$N$8,$M4615='112'!$I$6)),"x",""))</f>
        <v/>
      </c>
      <c r="U4615" s="525" t="str">
        <f>IF(AND(B4615&gt;='IN-NX'!$P$3,B4615&lt;='IN-NX'!$Q$3,'IN-NX'!$D$7=D4615,OR(LEFT(L4615,2)="15",AND(LEFT(M4615,2)&lt;&gt;"15",LEFT(M4615,2)&lt;&gt;"33"))),"x","")</f>
        <v/>
      </c>
      <c r="V4615" s="525" t="str">
        <f>IF(AND(OR(LEFT(TH!L4615,2)="15",LEFT(TH!M4615,2)="15"),'152-CT'!$J$8=TH!F4615),"x","")</f>
        <v/>
      </c>
      <c r="W4615" s="525" t="str">
        <f>IF(AND(OR(LEFT(TH!L4615,2)="15",LEFT(TH!M4615,2)="15"),TK!$E$7=TH!F4615),"x","")</f>
        <v/>
      </c>
      <c r="X4615" s="525" t="str">
        <f>IF(AND('341-CT'!$E$9=H4615,OR(LEFT(L4615,3)=$X$7,LEFT(M4615,3)=$X$7)),"x","")</f>
        <v/>
      </c>
      <c r="Y4615" s="525" t="str">
        <f>IF(OR(TH!L4615=TH!$Y$7,M4615=TH!$Y$7),"x","")</f>
        <v/>
      </c>
      <c r="Z4615" s="525" t="str">
        <f>IF(AND(B4615&lt;=NKC!$N$8,B4615&gt;=NKC!$M$8),"x","")</f>
        <v/>
      </c>
      <c r="AA4615" s="535"/>
      <c r="AB4615" s="536"/>
    </row>
    <row r="4616" spans="1:30" s="503" customFormat="1" ht="15.75" customHeight="1">
      <c r="A4616" s="517" t="str">
        <f>IF(B4616&lt;&gt;"",IF(AND(B4616&gt;=_TM1,B4616&lt;=_TM2,OR(TH!L4616="1111",TH!M4616="1111")),TH!D4616,""),"")</f>
        <v/>
      </c>
      <c r="B4616" s="531" t="str">
        <f t="shared" si="564"/>
        <v/>
      </c>
      <c r="C4616" s="315"/>
      <c r="D4616" s="315"/>
      <c r="E4616" s="545"/>
      <c r="F4616" s="249"/>
      <c r="G4616" s="314"/>
      <c r="H4616" s="473"/>
      <c r="I4616" s="307"/>
      <c r="J4616" s="307"/>
      <c r="K4616" s="532"/>
      <c r="L4616" s="533"/>
      <c r="M4616" s="533"/>
      <c r="N4616" s="525" t="str">
        <f>IF(AND('331-CT'!$E$7=TH!H4616,OR(L4616="331",M4616="331")),"331",IF(AND(OR(L4616="131",M4616="131"),H4616='131-CT'!$E$7),"131",""))</f>
        <v/>
      </c>
      <c r="O4616" s="525" t="str">
        <f>IF(AND($B4616&gt;='111'!$N$11,$B4616&lt;='111'!$O$11,OR($L4616=$O$7,$M4616=$O$7)),"x","")</f>
        <v/>
      </c>
      <c r="P4616" s="525" t="str">
        <f>IF(AND($L4616=$O$7,$B4616&lt;'111'!$N$11),"x","")</f>
        <v/>
      </c>
      <c r="Q4616" s="525" t="str">
        <f>IF(AND($M4616=$O$7,$B4616&lt;'111'!$N$11),"x","")</f>
        <v/>
      </c>
      <c r="R4616" s="525" t="str">
        <f>IF(ISERROR(FIND('112'!$M$9,G4616,1)),"",IF((AND(FIND('112'!$M$9,G4616,1)&gt;=1,$B4616&gt;='112'!$N$8,$B4616&lt;='112'!$O$8,OR($L4616='112'!$I$6,$M4616='112'!$I$6))),"x",""))</f>
        <v/>
      </c>
      <c r="S4616" s="525" t="str">
        <f>IF(ISERROR(FIND('112'!$M$9,G4616,1)),"",IF((AND(LEFT(G4616,2)=LEFT('112'!$M$9,2),B4616&lt;'112'!$N$8,$L4616='112'!$I$6)),"x",""))</f>
        <v/>
      </c>
      <c r="T4616" s="525" t="str">
        <f>IF(ISERROR(FIND('112'!$M$9,G4616,1)),"",IF((AND(RIGHT(G4616,2)=RIGHT('112'!$M$9,2),B4616&lt;'112'!$N$8,$M4616='112'!$I$6)),"x",""))</f>
        <v/>
      </c>
      <c r="U4616" s="525" t="str">
        <f>IF(AND(B4616&gt;='IN-NX'!$P$3,B4616&lt;='IN-NX'!$Q$3,'IN-NX'!$D$7=D4616,OR(LEFT(L4616,2)="15",AND(LEFT(M4616,2)&lt;&gt;"15",LEFT(M4616,2)&lt;&gt;"33"))),"x","")</f>
        <v/>
      </c>
      <c r="V4616" s="525" t="str">
        <f>IF(AND(OR(LEFT(TH!L4616,2)="15",LEFT(TH!M4616,2)="15"),'152-CT'!$J$8=TH!F4616),"x","")</f>
        <v/>
      </c>
      <c r="W4616" s="525" t="str">
        <f>IF(AND(OR(LEFT(TH!L4616,2)="15",LEFT(TH!M4616,2)="15"),TK!$E$7=TH!F4616),"x","")</f>
        <v/>
      </c>
      <c r="X4616" s="525" t="str">
        <f>IF(AND('341-CT'!$E$9=H4616,OR(LEFT(L4616,3)=$X$7,LEFT(M4616,3)=$X$7)),"x","")</f>
        <v/>
      </c>
      <c r="Y4616" s="525" t="str">
        <f>IF(OR(TH!L4616=TH!$Y$7,M4616=TH!$Y$7),"x","")</f>
        <v/>
      </c>
      <c r="Z4616" s="525" t="str">
        <f>IF(AND(B4616&lt;=NKC!$N$8,B4616&gt;=NKC!$M$8),"x","")</f>
        <v/>
      </c>
      <c r="AA4616" s="535"/>
      <c r="AB4616" s="536"/>
      <c r="AD4616" s="536"/>
    </row>
    <row r="4617" spans="1:30" s="503" customFormat="1" ht="15.75" customHeight="1">
      <c r="A4617" s="517" t="str">
        <f>IF(B4617&lt;&gt;"",IF(AND(B4617&gt;=_TM1,B4617&lt;=_TM2,OR(TH!L4617="1111",TH!M4617="1111")),TH!D4617,""),"")</f>
        <v/>
      </c>
      <c r="B4617" s="531" t="str">
        <f t="shared" si="564"/>
        <v/>
      </c>
      <c r="C4617" s="315"/>
      <c r="D4617" s="315"/>
      <c r="E4617" s="545"/>
      <c r="F4617" s="250"/>
      <c r="G4617" s="314"/>
      <c r="H4617" s="473"/>
      <c r="I4617" s="307"/>
      <c r="J4617" s="307"/>
      <c r="K4617" s="532"/>
      <c r="L4617" s="533"/>
      <c r="M4617" s="533"/>
      <c r="N4617" s="525" t="str">
        <f>IF(AND('331-CT'!$E$7=TH!H4617,OR(L4617="331",M4617="331")),"331",IF(AND(OR(L4617="131",M4617="131"),H4617='131-CT'!$E$7),"131",""))</f>
        <v/>
      </c>
      <c r="O4617" s="525" t="str">
        <f>IF(AND($B4617&gt;='111'!$N$11,$B4617&lt;='111'!$O$11,OR($L4617=$O$7,$M4617=$O$7)),"x","")</f>
        <v/>
      </c>
      <c r="P4617" s="525" t="str">
        <f>IF(AND($L4617=$O$7,$B4617&lt;'111'!$N$11),"x","")</f>
        <v/>
      </c>
      <c r="Q4617" s="525" t="str">
        <f>IF(AND($M4617=$O$7,$B4617&lt;'111'!$N$11),"x","")</f>
        <v/>
      </c>
      <c r="R4617" s="525" t="str">
        <f>IF(ISERROR(FIND('112'!$M$9,G4617,1)),"",IF((AND(FIND('112'!$M$9,G4617,1)&gt;=1,$B4617&gt;='112'!$N$8,$B4617&lt;='112'!$O$8,OR($L4617='112'!$I$6,$M4617='112'!$I$6))),"x",""))</f>
        <v/>
      </c>
      <c r="S4617" s="525" t="str">
        <f>IF(ISERROR(FIND('112'!$M$9,G4617,1)),"",IF((AND(LEFT(G4617,2)=LEFT('112'!$M$9,2),B4617&lt;'112'!$N$8,$L4617='112'!$I$6)),"x",""))</f>
        <v/>
      </c>
      <c r="T4617" s="525" t="str">
        <f>IF(ISERROR(FIND('112'!$M$9,G4617,1)),"",IF((AND(RIGHT(G4617,2)=RIGHT('112'!$M$9,2),B4617&lt;'112'!$N$8,$M4617='112'!$I$6)),"x",""))</f>
        <v/>
      </c>
      <c r="U4617" s="525" t="str">
        <f>IF(AND(B4617&gt;='IN-NX'!$P$3,B4617&lt;='IN-NX'!$Q$3,'IN-NX'!$D$7=D4617,OR(LEFT(L4617,2)="15",AND(LEFT(M4617,2)&lt;&gt;"15",LEFT(M4617,2)&lt;&gt;"33"))),"x","")</f>
        <v/>
      </c>
      <c r="V4617" s="525" t="str">
        <f>IF(AND(OR(LEFT(TH!L4617,2)="15",LEFT(TH!M4617,2)="15"),'152-CT'!$J$8=TH!F4617),"x","")</f>
        <v/>
      </c>
      <c r="W4617" s="525" t="str">
        <f>IF(AND(OR(LEFT(TH!L4617,2)="15",LEFT(TH!M4617,2)="15"),TK!$E$7=TH!F4617),"x","")</f>
        <v/>
      </c>
      <c r="X4617" s="525" t="str">
        <f>IF(AND('341-CT'!$E$9=H4617,OR(LEFT(L4617,3)=$X$7,LEFT(M4617,3)=$X$7)),"x","")</f>
        <v/>
      </c>
      <c r="Y4617" s="525" t="str">
        <f>IF(OR(TH!L4617=TH!$Y$7,M4617=TH!$Y$7),"x","")</f>
        <v/>
      </c>
      <c r="Z4617" s="525" t="str">
        <f>IF(AND(B4617&lt;=NKC!$N$8,B4617&gt;=NKC!$M$8),"x","")</f>
        <v/>
      </c>
      <c r="AA4617" s="535"/>
      <c r="AB4617" s="536"/>
    </row>
    <row r="4618" spans="1:30" s="503" customFormat="1" ht="15.75" customHeight="1">
      <c r="A4618" s="517" t="str">
        <f>IF(B4618&lt;&gt;"",IF(AND(B4618&gt;=_TM1,B4618&lt;=_TM2,OR(TH!L4618="1111",TH!M4618="1111")),TH!D4618,""),"")</f>
        <v/>
      </c>
      <c r="B4618" s="531" t="str">
        <f t="shared" si="564"/>
        <v/>
      </c>
      <c r="C4618" s="315"/>
      <c r="D4618" s="315"/>
      <c r="E4618" s="545"/>
      <c r="F4618" s="249"/>
      <c r="G4618" s="314"/>
      <c r="H4618" s="473"/>
      <c r="I4618" s="307"/>
      <c r="J4618" s="307"/>
      <c r="K4618" s="532"/>
      <c r="L4618" s="533"/>
      <c r="M4618" s="533"/>
      <c r="N4618" s="525" t="str">
        <f>IF(AND('331-CT'!$E$7=TH!H4618,OR(L4618="331",M4618="331")),"331",IF(AND(OR(L4618="131",M4618="131"),H4618='131-CT'!$E$7),"131",""))</f>
        <v/>
      </c>
      <c r="O4618" s="525" t="str">
        <f>IF(AND($B4618&gt;='111'!$N$11,$B4618&lt;='111'!$O$11,OR($L4618=$O$7,$M4618=$O$7)),"x","")</f>
        <v/>
      </c>
      <c r="P4618" s="525" t="str">
        <f>IF(AND($L4618=$O$7,$B4618&lt;'111'!$N$11),"x","")</f>
        <v/>
      </c>
      <c r="Q4618" s="525" t="str">
        <f>IF(AND($M4618=$O$7,$B4618&lt;'111'!$N$11),"x","")</f>
        <v/>
      </c>
      <c r="R4618" s="525" t="str">
        <f>IF(ISERROR(FIND('112'!$M$9,G4618,1)),"",IF((AND(FIND('112'!$M$9,G4618,1)&gt;=1,$B4618&gt;='112'!$N$8,$B4618&lt;='112'!$O$8,OR($L4618='112'!$I$6,$M4618='112'!$I$6))),"x",""))</f>
        <v/>
      </c>
      <c r="S4618" s="525" t="str">
        <f>IF(ISERROR(FIND('112'!$M$9,G4618,1)),"",IF((AND(LEFT(G4618,2)=LEFT('112'!$M$9,2),B4618&lt;'112'!$N$8,$L4618='112'!$I$6)),"x",""))</f>
        <v/>
      </c>
      <c r="T4618" s="525" t="str">
        <f>IF(ISERROR(FIND('112'!$M$9,G4618,1)),"",IF((AND(RIGHT(G4618,2)=RIGHT('112'!$M$9,2),B4618&lt;'112'!$N$8,$M4618='112'!$I$6)),"x",""))</f>
        <v/>
      </c>
      <c r="U4618" s="525" t="str">
        <f>IF(AND(B4618&gt;='IN-NX'!$P$3,B4618&lt;='IN-NX'!$Q$3,'IN-NX'!$D$7=D4618,OR(LEFT(L4618,2)="15",AND(LEFT(M4618,2)&lt;&gt;"15",LEFT(M4618,2)&lt;&gt;"33"))),"x","")</f>
        <v/>
      </c>
      <c r="V4618" s="525" t="str">
        <f>IF(AND(OR(LEFT(TH!L4618,2)="15",LEFT(TH!M4618,2)="15"),'152-CT'!$J$8=TH!F4618),"x","")</f>
        <v/>
      </c>
      <c r="W4618" s="525" t="str">
        <f>IF(AND(OR(LEFT(TH!L4618,2)="15",LEFT(TH!M4618,2)="15"),TK!$E$7=TH!F4618),"x","")</f>
        <v/>
      </c>
      <c r="X4618" s="525" t="str">
        <f>IF(AND('341-CT'!$E$9=H4618,OR(LEFT(L4618,3)=$X$7,LEFT(M4618,3)=$X$7)),"x","")</f>
        <v/>
      </c>
      <c r="Y4618" s="525" t="str">
        <f>IF(OR(TH!L4618=TH!$Y$7,M4618=TH!$Y$7),"x","")</f>
        <v/>
      </c>
      <c r="Z4618" s="525" t="str">
        <f>IF(AND(B4618&lt;=NKC!$N$8,B4618&gt;=NKC!$M$8),"x","")</f>
        <v/>
      </c>
      <c r="AA4618" s="535"/>
      <c r="AB4618" s="536"/>
    </row>
    <row r="4619" spans="1:30" s="503" customFormat="1" ht="15.75" customHeight="1">
      <c r="A4619" s="517" t="str">
        <f>IF(B4619&lt;&gt;"",IF(AND(B4619&gt;=_TM1,B4619&lt;=_TM2,OR(TH!L4619="1111",TH!M4619="1111")),TH!D4619,""),"")</f>
        <v/>
      </c>
      <c r="B4619" s="531" t="str">
        <f t="shared" si="564"/>
        <v/>
      </c>
      <c r="C4619" s="315"/>
      <c r="D4619" s="315"/>
      <c r="E4619" s="280"/>
      <c r="F4619" s="247"/>
      <c r="G4619" s="314"/>
      <c r="H4619" s="473"/>
      <c r="I4619" s="307"/>
      <c r="J4619" s="307"/>
      <c r="K4619" s="532"/>
      <c r="L4619" s="534"/>
      <c r="M4619" s="534"/>
      <c r="N4619" s="525" t="str">
        <f>IF(AND('331-CT'!$E$7=TH!H4619,OR(L4619="331",M4619="331")),"331",IF(AND(OR(L4619="131",M4619="131"),H4619='131-CT'!$E$7),"131",""))</f>
        <v/>
      </c>
      <c r="O4619" s="525" t="str">
        <f>IF(AND($B4619&gt;='111'!$N$11,$B4619&lt;='111'!$O$11,OR($L4619=$O$7,$M4619=$O$7)),"x","")</f>
        <v/>
      </c>
      <c r="P4619" s="525" t="str">
        <f>IF(AND($L4619=$O$7,$B4619&lt;'111'!$N$11),"x","")</f>
        <v/>
      </c>
      <c r="Q4619" s="525" t="str">
        <f>IF(AND($M4619=$O$7,$B4619&lt;'111'!$N$11),"x","")</f>
        <v/>
      </c>
      <c r="R4619" s="525" t="str">
        <f>IF(ISERROR(FIND('112'!$M$9,G4619,1)),"",IF((AND(FIND('112'!$M$9,G4619,1)&gt;=1,$B4619&gt;='112'!$N$8,$B4619&lt;='112'!$O$8,OR($L4619='112'!$I$6,$M4619='112'!$I$6))),"x",""))</f>
        <v/>
      </c>
      <c r="S4619" s="525" t="str">
        <f>IF(ISERROR(FIND('112'!$M$9,G4619,1)),"",IF((AND(LEFT(G4619,2)=LEFT('112'!$M$9,2),B4619&lt;'112'!$N$8,$L4619='112'!$I$6)),"x",""))</f>
        <v/>
      </c>
      <c r="T4619" s="525" t="str">
        <f>IF(ISERROR(FIND('112'!$M$9,G4619,1)),"",IF((AND(RIGHT(G4619,2)=RIGHT('112'!$M$9,2),B4619&lt;'112'!$N$8,$M4619='112'!$I$6)),"x",""))</f>
        <v/>
      </c>
      <c r="U4619" s="525" t="str">
        <f>IF(AND(B4619&gt;='IN-NX'!$P$3,B4619&lt;='IN-NX'!$Q$3,'IN-NX'!$D$7=D4619,OR(LEFT(L4619,2)="15",AND(LEFT(M4619,2)&lt;&gt;"15",LEFT(M4619,2)&lt;&gt;"33"))),"x","")</f>
        <v/>
      </c>
      <c r="V4619" s="525" t="str">
        <f>IF(AND(OR(LEFT(TH!L4619,2)="15",LEFT(TH!M4619,2)="15"),'152-CT'!$J$8=TH!F4619),"x","")</f>
        <v/>
      </c>
      <c r="W4619" s="525" t="str">
        <f>IF(AND(OR(LEFT(TH!L4619,2)="15",LEFT(TH!M4619,2)="15"),TK!$E$7=TH!F4619),"x","")</f>
        <v/>
      </c>
      <c r="X4619" s="525" t="str">
        <f>IF(AND('341-CT'!$E$9=H4619,OR(LEFT(L4619,3)=$X$7,LEFT(M4619,3)=$X$7)),"x","")</f>
        <v/>
      </c>
      <c r="Y4619" s="525" t="str">
        <f>IF(OR(TH!L4619=TH!$Y$7,M4619=TH!$Y$7),"x","")</f>
        <v/>
      </c>
      <c r="Z4619" s="525" t="str">
        <f>IF(AND(B4619&lt;=NKC!$N$8,B4619&gt;=NKC!$M$8),"x","")</f>
        <v/>
      </c>
      <c r="AA4619" s="535"/>
    </row>
    <row r="4620" spans="1:30" s="503" customFormat="1" ht="15.75" customHeight="1">
      <c r="A4620" s="517" t="str">
        <f>IF(B4620&lt;&gt;"",IF(AND(B4620&gt;=_TM1,B4620&lt;=_TM2,OR(TH!L4620="1111",TH!M4620="1111")),TH!D4620,""),"")</f>
        <v/>
      </c>
      <c r="B4620" s="531" t="str">
        <f t="shared" si="564"/>
        <v/>
      </c>
      <c r="C4620" s="315"/>
      <c r="D4620" s="315"/>
      <c r="E4620" s="545"/>
      <c r="F4620" s="248"/>
      <c r="G4620" s="314"/>
      <c r="H4620" s="473"/>
      <c r="I4620" s="307"/>
      <c r="J4620" s="307"/>
      <c r="K4620" s="532"/>
      <c r="L4620" s="533"/>
      <c r="M4620" s="533"/>
      <c r="N4620" s="525" t="str">
        <f>IF(AND('331-CT'!$E$7=TH!H4620,OR(L4620="331",M4620="331")),"331",IF(AND(OR(L4620="131",M4620="131"),H4620='131-CT'!$E$7),"131",""))</f>
        <v/>
      </c>
      <c r="O4620" s="525" t="str">
        <f>IF(AND($B4620&gt;='111'!$N$11,$B4620&lt;='111'!$O$11,OR($L4620=$O$7,$M4620=$O$7)),"x","")</f>
        <v/>
      </c>
      <c r="P4620" s="525" t="str">
        <f>IF(AND($L4620=$O$7,$B4620&lt;'111'!$N$11),"x","")</f>
        <v/>
      </c>
      <c r="Q4620" s="525" t="str">
        <f>IF(AND($M4620=$O$7,$B4620&lt;'111'!$N$11),"x","")</f>
        <v/>
      </c>
      <c r="R4620" s="525" t="str">
        <f>IF(ISERROR(FIND('112'!$M$9,G4620,1)),"",IF((AND(FIND('112'!$M$9,G4620,1)&gt;=1,$B4620&gt;='112'!$N$8,$B4620&lt;='112'!$O$8,OR($L4620='112'!$I$6,$M4620='112'!$I$6))),"x",""))</f>
        <v/>
      </c>
      <c r="S4620" s="525" t="str">
        <f>IF(ISERROR(FIND('112'!$M$9,G4620,1)),"",IF((AND(LEFT(G4620,2)=LEFT('112'!$M$9,2),B4620&lt;'112'!$N$8,$L4620='112'!$I$6)),"x",""))</f>
        <v/>
      </c>
      <c r="T4620" s="525" t="str">
        <f>IF(ISERROR(FIND('112'!$M$9,G4620,1)),"",IF((AND(RIGHT(G4620,2)=RIGHT('112'!$M$9,2),B4620&lt;'112'!$N$8,$M4620='112'!$I$6)),"x",""))</f>
        <v/>
      </c>
      <c r="U4620" s="525" t="str">
        <f>IF(AND(B4620&gt;='IN-NX'!$P$3,B4620&lt;='IN-NX'!$Q$3,'IN-NX'!$D$7=D4620,OR(LEFT(L4620,2)="15",AND(LEFT(M4620,2)&lt;&gt;"15",LEFT(M4620,2)&lt;&gt;"33"))),"x","")</f>
        <v/>
      </c>
      <c r="V4620" s="525" t="str">
        <f>IF(AND(OR(LEFT(TH!L4620,2)="15",LEFT(TH!M4620,2)="15"),'152-CT'!$J$8=TH!F4620),"x","")</f>
        <v/>
      </c>
      <c r="W4620" s="525" t="str">
        <f>IF(AND(OR(LEFT(TH!L4620,2)="15",LEFT(TH!M4620,2)="15"),TK!$E$7=TH!F4620),"x","")</f>
        <v/>
      </c>
      <c r="X4620" s="525" t="str">
        <f>IF(AND('341-CT'!$E$9=H4620,OR(LEFT(L4620,3)=$X$7,LEFT(M4620,3)=$X$7)),"x","")</f>
        <v/>
      </c>
      <c r="Y4620" s="525" t="str">
        <f>IF(OR(TH!L4620=TH!$Y$7,M4620=TH!$Y$7),"x","")</f>
        <v/>
      </c>
      <c r="Z4620" s="525" t="str">
        <f>IF(AND(B4620&lt;=NKC!$N$8,B4620&gt;=NKC!$M$8),"x","")</f>
        <v/>
      </c>
      <c r="AA4620" s="535"/>
      <c r="AB4620" s="536"/>
    </row>
    <row r="4621" spans="1:30" s="503" customFormat="1" ht="15.75" customHeight="1">
      <c r="A4621" s="517" t="str">
        <f>IF(B4621&lt;&gt;"",IF(AND(B4621&gt;=_TM1,B4621&lt;=_TM2,OR(TH!L4621="1111",TH!M4621="1111")),TH!D4621,""),"")</f>
        <v/>
      </c>
      <c r="B4621" s="531" t="str">
        <f t="shared" si="564"/>
        <v/>
      </c>
      <c r="C4621" s="315"/>
      <c r="D4621" s="315"/>
      <c r="E4621" s="545"/>
      <c r="F4621" s="248"/>
      <c r="G4621" s="314"/>
      <c r="H4621" s="473"/>
      <c r="I4621" s="307"/>
      <c r="J4621" s="307"/>
      <c r="K4621" s="532"/>
      <c r="L4621" s="533"/>
      <c r="M4621" s="533"/>
      <c r="N4621" s="525" t="str">
        <f>IF(AND('331-CT'!$E$7=TH!H4621,OR(L4621="331",M4621="331")),"331",IF(AND(OR(L4621="131",M4621="131"),H4621='131-CT'!$E$7),"131",""))</f>
        <v/>
      </c>
      <c r="O4621" s="525" t="str">
        <f>IF(AND($B4621&gt;='111'!$N$11,$B4621&lt;='111'!$O$11,OR($L4621=$O$7,$M4621=$O$7)),"x","")</f>
        <v/>
      </c>
      <c r="P4621" s="525" t="str">
        <f>IF(AND($L4621=$O$7,$B4621&lt;'111'!$N$11),"x","")</f>
        <v/>
      </c>
      <c r="Q4621" s="525" t="str">
        <f>IF(AND($M4621=$O$7,$B4621&lt;'111'!$N$11),"x","")</f>
        <v/>
      </c>
      <c r="R4621" s="525" t="str">
        <f>IF(ISERROR(FIND('112'!$M$9,G4621,1)),"",IF((AND(FIND('112'!$M$9,G4621,1)&gt;=1,$B4621&gt;='112'!$N$8,$B4621&lt;='112'!$O$8,OR($L4621='112'!$I$6,$M4621='112'!$I$6))),"x",""))</f>
        <v/>
      </c>
      <c r="S4621" s="525" t="str">
        <f>IF(ISERROR(FIND('112'!$M$9,G4621,1)),"",IF((AND(LEFT(G4621,2)=LEFT('112'!$M$9,2),B4621&lt;'112'!$N$8,$L4621='112'!$I$6)),"x",""))</f>
        <v/>
      </c>
      <c r="T4621" s="525" t="str">
        <f>IF(ISERROR(FIND('112'!$M$9,G4621,1)),"",IF((AND(RIGHT(G4621,2)=RIGHT('112'!$M$9,2),B4621&lt;'112'!$N$8,$M4621='112'!$I$6)),"x",""))</f>
        <v/>
      </c>
      <c r="U4621" s="525" t="str">
        <f>IF(AND(B4621&gt;='IN-NX'!$P$3,B4621&lt;='IN-NX'!$Q$3,'IN-NX'!$D$7=D4621,OR(LEFT(L4621,2)="15",AND(LEFT(M4621,2)&lt;&gt;"15",LEFT(M4621,2)&lt;&gt;"33"))),"x","")</f>
        <v/>
      </c>
      <c r="V4621" s="525" t="str">
        <f>IF(AND(OR(LEFT(TH!L4621,2)="15",LEFT(TH!M4621,2)="15"),'152-CT'!$J$8=TH!F4621),"x","")</f>
        <v/>
      </c>
      <c r="W4621" s="525" t="str">
        <f>IF(AND(OR(LEFT(TH!L4621,2)="15",LEFT(TH!M4621,2)="15"),TK!$E$7=TH!F4621),"x","")</f>
        <v/>
      </c>
      <c r="X4621" s="525" t="str">
        <f>IF(AND('341-CT'!$E$9=H4621,OR(LEFT(L4621,3)=$X$7,LEFT(M4621,3)=$X$7)),"x","")</f>
        <v/>
      </c>
      <c r="Y4621" s="525" t="str">
        <f>IF(OR(TH!L4621=TH!$Y$7,M4621=TH!$Y$7),"x","")</f>
        <v/>
      </c>
      <c r="Z4621" s="525" t="str">
        <f>IF(AND(B4621&lt;=NKC!$N$8,B4621&gt;=NKC!$M$8),"x","")</f>
        <v/>
      </c>
      <c r="AA4621" s="535"/>
      <c r="AB4621" s="536"/>
    </row>
    <row r="4622" spans="1:30" s="503" customFormat="1" ht="15.75" customHeight="1">
      <c r="A4622" s="517" t="str">
        <f>IF(B4622&lt;&gt;"",IF(AND(B4622&gt;=_TM1,B4622&lt;=_TM2,OR(TH!L4622="1111",TH!M4622="1111")),TH!D4622,""),"")</f>
        <v/>
      </c>
      <c r="B4622" s="531" t="str">
        <f t="shared" si="564"/>
        <v/>
      </c>
      <c r="C4622" s="315"/>
      <c r="D4622" s="315"/>
      <c r="E4622" s="545"/>
      <c r="F4622" s="248"/>
      <c r="G4622" s="314"/>
      <c r="H4622" s="473"/>
      <c r="I4622" s="307"/>
      <c r="J4622" s="307"/>
      <c r="K4622" s="532"/>
      <c r="L4622" s="533"/>
      <c r="M4622" s="533"/>
      <c r="N4622" s="525" t="str">
        <f>IF(AND('331-CT'!$E$7=TH!H4622,OR(L4622="331",M4622="331")),"331",IF(AND(OR(L4622="131",M4622="131"),H4622='131-CT'!$E$7),"131",""))</f>
        <v/>
      </c>
      <c r="O4622" s="525" t="str">
        <f>IF(AND($B4622&gt;='111'!$N$11,$B4622&lt;='111'!$O$11,OR($L4622=$O$7,$M4622=$O$7)),"x","")</f>
        <v/>
      </c>
      <c r="P4622" s="525" t="str">
        <f>IF(AND($L4622=$O$7,$B4622&lt;'111'!$N$11),"x","")</f>
        <v/>
      </c>
      <c r="Q4622" s="525" t="str">
        <f>IF(AND($M4622=$O$7,$B4622&lt;'111'!$N$11),"x","")</f>
        <v/>
      </c>
      <c r="R4622" s="525" t="str">
        <f>IF(ISERROR(FIND('112'!$M$9,G4622,1)),"",IF((AND(FIND('112'!$M$9,G4622,1)&gt;=1,$B4622&gt;='112'!$N$8,$B4622&lt;='112'!$O$8,OR($L4622='112'!$I$6,$M4622='112'!$I$6))),"x",""))</f>
        <v/>
      </c>
      <c r="S4622" s="525" t="str">
        <f>IF(ISERROR(FIND('112'!$M$9,G4622,1)),"",IF((AND(LEFT(G4622,2)=LEFT('112'!$M$9,2),B4622&lt;'112'!$N$8,$L4622='112'!$I$6)),"x",""))</f>
        <v/>
      </c>
      <c r="T4622" s="525" t="str">
        <f>IF(ISERROR(FIND('112'!$M$9,G4622,1)),"",IF((AND(RIGHT(G4622,2)=RIGHT('112'!$M$9,2),B4622&lt;'112'!$N$8,$M4622='112'!$I$6)),"x",""))</f>
        <v/>
      </c>
      <c r="U4622" s="525" t="str">
        <f>IF(AND(B4622&gt;='IN-NX'!$P$3,B4622&lt;='IN-NX'!$Q$3,'IN-NX'!$D$7=D4622,OR(LEFT(L4622,2)="15",AND(LEFT(M4622,2)&lt;&gt;"15",LEFT(M4622,2)&lt;&gt;"33"))),"x","")</f>
        <v/>
      </c>
      <c r="V4622" s="525" t="str">
        <f>IF(AND(OR(LEFT(TH!L4622,2)="15",LEFT(TH!M4622,2)="15"),'152-CT'!$J$8=TH!F4622),"x","")</f>
        <v/>
      </c>
      <c r="W4622" s="525" t="str">
        <f>IF(AND(OR(LEFT(TH!L4622,2)="15",LEFT(TH!M4622,2)="15"),TK!$E$7=TH!F4622),"x","")</f>
        <v/>
      </c>
      <c r="X4622" s="525" t="str">
        <f>IF(AND('341-CT'!$E$9=H4622,OR(LEFT(L4622,3)=$X$7,LEFT(M4622,3)=$X$7)),"x","")</f>
        <v/>
      </c>
      <c r="Y4622" s="525" t="str">
        <f>IF(OR(TH!L4622=TH!$Y$7,M4622=TH!$Y$7),"x","")</f>
        <v/>
      </c>
      <c r="Z4622" s="525" t="str">
        <f>IF(AND(B4622&lt;=NKC!$N$8,B4622&gt;=NKC!$M$8),"x","")</f>
        <v/>
      </c>
      <c r="AA4622" s="535"/>
      <c r="AB4622" s="536"/>
      <c r="AD4622" s="536"/>
    </row>
    <row r="4623" spans="1:30" s="503" customFormat="1" ht="15.75" customHeight="1">
      <c r="A4623" s="517" t="str">
        <f>IF(B4623&lt;&gt;"",IF(AND(B4623&gt;=_TM1,B4623&lt;=_TM2,OR(TH!L4623="1111",TH!M4623="1111")),TH!D4623,""),"")</f>
        <v/>
      </c>
      <c r="B4623" s="531" t="str">
        <f t="shared" si="564"/>
        <v/>
      </c>
      <c r="C4623" s="315"/>
      <c r="D4623" s="315"/>
      <c r="E4623" s="545"/>
      <c r="F4623" s="248"/>
      <c r="G4623" s="314"/>
      <c r="H4623" s="473"/>
      <c r="I4623" s="307"/>
      <c r="J4623" s="307"/>
      <c r="K4623" s="532"/>
      <c r="L4623" s="533"/>
      <c r="M4623" s="533"/>
      <c r="N4623" s="525" t="str">
        <f>IF(AND('331-CT'!$E$7=TH!H4623,OR(L4623="331",M4623="331")),"331",IF(AND(OR(L4623="131",M4623="131"),H4623='131-CT'!$E$7),"131",""))</f>
        <v/>
      </c>
      <c r="O4623" s="525" t="str">
        <f>IF(AND($B4623&gt;='111'!$N$11,$B4623&lt;='111'!$O$11,OR($L4623=$O$7,$M4623=$O$7)),"x","")</f>
        <v/>
      </c>
      <c r="P4623" s="525" t="str">
        <f>IF(AND($L4623=$O$7,$B4623&lt;'111'!$N$11),"x","")</f>
        <v/>
      </c>
      <c r="Q4623" s="525" t="str">
        <f>IF(AND($M4623=$O$7,$B4623&lt;'111'!$N$11),"x","")</f>
        <v/>
      </c>
      <c r="R4623" s="525" t="str">
        <f>IF(ISERROR(FIND('112'!$M$9,G4623,1)),"",IF((AND(FIND('112'!$M$9,G4623,1)&gt;=1,$B4623&gt;='112'!$N$8,$B4623&lt;='112'!$O$8,OR($L4623='112'!$I$6,$M4623='112'!$I$6))),"x",""))</f>
        <v/>
      </c>
      <c r="S4623" s="525" t="str">
        <f>IF(ISERROR(FIND('112'!$M$9,G4623,1)),"",IF((AND(LEFT(G4623,2)=LEFT('112'!$M$9,2),B4623&lt;'112'!$N$8,$L4623='112'!$I$6)),"x",""))</f>
        <v/>
      </c>
      <c r="T4623" s="525" t="str">
        <f>IF(ISERROR(FIND('112'!$M$9,G4623,1)),"",IF((AND(RIGHT(G4623,2)=RIGHT('112'!$M$9,2),B4623&lt;'112'!$N$8,$M4623='112'!$I$6)),"x",""))</f>
        <v/>
      </c>
      <c r="U4623" s="525" t="str">
        <f>IF(AND(B4623&gt;='IN-NX'!$P$3,B4623&lt;='IN-NX'!$Q$3,'IN-NX'!$D$7=D4623,OR(LEFT(L4623,2)="15",AND(LEFT(M4623,2)&lt;&gt;"15",LEFT(M4623,2)&lt;&gt;"33"))),"x","")</f>
        <v/>
      </c>
      <c r="V4623" s="525" t="str">
        <f>IF(AND(OR(LEFT(TH!L4623,2)="15",LEFT(TH!M4623,2)="15"),'152-CT'!$J$8=TH!F4623),"x","")</f>
        <v/>
      </c>
      <c r="W4623" s="525" t="str">
        <f>IF(AND(OR(LEFT(TH!L4623,2)="15",LEFT(TH!M4623,2)="15"),TK!$E$7=TH!F4623),"x","")</f>
        <v/>
      </c>
      <c r="X4623" s="525" t="str">
        <f>IF(AND('341-CT'!$E$9=H4623,OR(LEFT(L4623,3)=$X$7,LEFT(M4623,3)=$X$7)),"x","")</f>
        <v/>
      </c>
      <c r="Y4623" s="525" t="str">
        <f>IF(OR(TH!L4623=TH!$Y$7,M4623=TH!$Y$7),"x","")</f>
        <v/>
      </c>
      <c r="Z4623" s="525" t="str">
        <f>IF(AND(B4623&lt;=NKC!$N$8,B4623&gt;=NKC!$M$8),"x","")</f>
        <v/>
      </c>
      <c r="AA4623" s="535"/>
      <c r="AB4623" s="536"/>
    </row>
    <row r="4624" spans="1:30" s="503" customFormat="1" ht="15.75" customHeight="1">
      <c r="A4624" s="517" t="str">
        <f>IF(B4624&lt;&gt;"",IF(AND(B4624&gt;=_TM1,B4624&lt;=_TM2,OR(TH!L4624="1111",TH!M4624="1111")),TH!D4624,""),"")</f>
        <v/>
      </c>
      <c r="B4624" s="531" t="str">
        <f t="shared" si="564"/>
        <v/>
      </c>
      <c r="C4624" s="315"/>
      <c r="D4624" s="315"/>
      <c r="E4624" s="545"/>
      <c r="F4624" s="248"/>
      <c r="G4624" s="314"/>
      <c r="H4624" s="473"/>
      <c r="I4624" s="307"/>
      <c r="J4624" s="307"/>
      <c r="K4624" s="532"/>
      <c r="L4624" s="533"/>
      <c r="M4624" s="533"/>
      <c r="N4624" s="525" t="str">
        <f>IF(AND('331-CT'!$E$7=TH!H4624,OR(L4624="331",M4624="331")),"331",IF(AND(OR(L4624="131",M4624="131"),H4624='131-CT'!$E$7),"131",""))</f>
        <v/>
      </c>
      <c r="O4624" s="525" t="str">
        <f>IF(AND($B4624&gt;='111'!$N$11,$B4624&lt;='111'!$O$11,OR($L4624=$O$7,$M4624=$O$7)),"x","")</f>
        <v/>
      </c>
      <c r="P4624" s="525" t="str">
        <f>IF(AND($L4624=$O$7,$B4624&lt;'111'!$N$11),"x","")</f>
        <v/>
      </c>
      <c r="Q4624" s="525" t="str">
        <f>IF(AND($M4624=$O$7,$B4624&lt;'111'!$N$11),"x","")</f>
        <v/>
      </c>
      <c r="R4624" s="525" t="str">
        <f>IF(ISERROR(FIND('112'!$M$9,G4624,1)),"",IF((AND(FIND('112'!$M$9,G4624,1)&gt;=1,$B4624&gt;='112'!$N$8,$B4624&lt;='112'!$O$8,OR($L4624='112'!$I$6,$M4624='112'!$I$6))),"x",""))</f>
        <v/>
      </c>
      <c r="S4624" s="525" t="str">
        <f>IF(ISERROR(FIND('112'!$M$9,G4624,1)),"",IF((AND(LEFT(G4624,2)=LEFT('112'!$M$9,2),B4624&lt;'112'!$N$8,$L4624='112'!$I$6)),"x",""))</f>
        <v/>
      </c>
      <c r="T4624" s="525" t="str">
        <f>IF(ISERROR(FIND('112'!$M$9,G4624,1)),"",IF((AND(RIGHT(G4624,2)=RIGHT('112'!$M$9,2),B4624&lt;'112'!$N$8,$M4624='112'!$I$6)),"x",""))</f>
        <v/>
      </c>
      <c r="U4624" s="525" t="str">
        <f>IF(AND(B4624&gt;='IN-NX'!$P$3,B4624&lt;='IN-NX'!$Q$3,'IN-NX'!$D$7=D4624,OR(LEFT(L4624,2)="15",AND(LEFT(M4624,2)&lt;&gt;"15",LEFT(M4624,2)&lt;&gt;"33"))),"x","")</f>
        <v/>
      </c>
      <c r="V4624" s="525" t="str">
        <f>IF(AND(OR(LEFT(TH!L4624,2)="15",LEFT(TH!M4624,2)="15"),'152-CT'!$J$8=TH!F4624),"x","")</f>
        <v/>
      </c>
      <c r="W4624" s="525" t="str">
        <f>IF(AND(OR(LEFT(TH!L4624,2)="15",LEFT(TH!M4624,2)="15"),TK!$E$7=TH!F4624),"x","")</f>
        <v/>
      </c>
      <c r="X4624" s="525" t="str">
        <f>IF(AND('341-CT'!$E$9=H4624,OR(LEFT(L4624,3)=$X$7,LEFT(M4624,3)=$X$7)),"x","")</f>
        <v/>
      </c>
      <c r="Y4624" s="525" t="str">
        <f>IF(OR(TH!L4624=TH!$Y$7,M4624=TH!$Y$7),"x","")</f>
        <v/>
      </c>
      <c r="Z4624" s="525" t="str">
        <f>IF(AND(B4624&lt;=NKC!$N$8,B4624&gt;=NKC!$M$8),"x","")</f>
        <v/>
      </c>
      <c r="AA4624" s="535"/>
      <c r="AB4624" s="536"/>
    </row>
    <row r="4625" spans="1:30" s="503" customFormat="1" ht="15.75" customHeight="1">
      <c r="A4625" s="517" t="str">
        <f>IF(B4625&lt;&gt;"",IF(AND(B4625&gt;=_TM1,B4625&lt;=_TM2,OR(TH!L4625="1111",TH!M4625="1111")),TH!D4625,""),"")</f>
        <v/>
      </c>
      <c r="B4625" s="531" t="str">
        <f t="shared" si="564"/>
        <v/>
      </c>
      <c r="C4625" s="315"/>
      <c r="D4625" s="315"/>
      <c r="E4625" s="545"/>
      <c r="F4625" s="248"/>
      <c r="G4625" s="314"/>
      <c r="H4625" s="473"/>
      <c r="I4625" s="307"/>
      <c r="J4625" s="307"/>
      <c r="K4625" s="532"/>
      <c r="L4625" s="533"/>
      <c r="M4625" s="533"/>
      <c r="N4625" s="525" t="str">
        <f>IF(AND('331-CT'!$E$7=TH!H4625,OR(L4625="331",M4625="331")),"331",IF(AND(OR(L4625="131",M4625="131"),H4625='131-CT'!$E$7),"131",""))</f>
        <v/>
      </c>
      <c r="O4625" s="525" t="str">
        <f>IF(AND($B4625&gt;='111'!$N$11,$B4625&lt;='111'!$O$11,OR($L4625=$O$7,$M4625=$O$7)),"x","")</f>
        <v/>
      </c>
      <c r="P4625" s="525" t="str">
        <f>IF(AND($L4625=$O$7,$B4625&lt;'111'!$N$11),"x","")</f>
        <v/>
      </c>
      <c r="Q4625" s="525" t="str">
        <f>IF(AND($M4625=$O$7,$B4625&lt;'111'!$N$11),"x","")</f>
        <v/>
      </c>
      <c r="R4625" s="525" t="str">
        <f>IF(ISERROR(FIND('112'!$M$9,G4625,1)),"",IF((AND(FIND('112'!$M$9,G4625,1)&gt;=1,$B4625&gt;='112'!$N$8,$B4625&lt;='112'!$O$8,OR($L4625='112'!$I$6,$M4625='112'!$I$6))),"x",""))</f>
        <v/>
      </c>
      <c r="S4625" s="525" t="str">
        <f>IF(ISERROR(FIND('112'!$M$9,G4625,1)),"",IF((AND(LEFT(G4625,2)=LEFT('112'!$M$9,2),B4625&lt;'112'!$N$8,$L4625='112'!$I$6)),"x",""))</f>
        <v/>
      </c>
      <c r="T4625" s="525" t="str">
        <f>IF(ISERROR(FIND('112'!$M$9,G4625,1)),"",IF((AND(RIGHT(G4625,2)=RIGHT('112'!$M$9,2),B4625&lt;'112'!$N$8,$M4625='112'!$I$6)),"x",""))</f>
        <v/>
      </c>
      <c r="U4625" s="525" t="str">
        <f>IF(AND(B4625&gt;='IN-NX'!$P$3,B4625&lt;='IN-NX'!$Q$3,'IN-NX'!$D$7=D4625,OR(LEFT(L4625,2)="15",AND(LEFT(M4625,2)&lt;&gt;"15",LEFT(M4625,2)&lt;&gt;"33"))),"x","")</f>
        <v/>
      </c>
      <c r="V4625" s="525" t="str">
        <f>IF(AND(OR(LEFT(TH!L4625,2)="15",LEFT(TH!M4625,2)="15"),'152-CT'!$J$8=TH!F4625),"x","")</f>
        <v/>
      </c>
      <c r="W4625" s="525" t="str">
        <f>IF(AND(OR(LEFT(TH!L4625,2)="15",LEFT(TH!M4625,2)="15"),TK!$E$7=TH!F4625),"x","")</f>
        <v/>
      </c>
      <c r="X4625" s="525" t="str">
        <f>IF(AND('341-CT'!$E$9=H4625,OR(LEFT(L4625,3)=$X$7,LEFT(M4625,3)=$X$7)),"x","")</f>
        <v/>
      </c>
      <c r="Y4625" s="525" t="str">
        <f>IF(OR(TH!L4625=TH!$Y$7,M4625=TH!$Y$7),"x","")</f>
        <v/>
      </c>
      <c r="Z4625" s="525" t="str">
        <f>IF(AND(B4625&lt;=NKC!$N$8,B4625&gt;=NKC!$M$8),"x","")</f>
        <v/>
      </c>
      <c r="AA4625" s="535"/>
      <c r="AB4625" s="536"/>
      <c r="AD4625" s="536"/>
    </row>
    <row r="4626" spans="1:30" s="503" customFormat="1" ht="15.75" customHeight="1">
      <c r="A4626" s="517" t="str">
        <f>IF(B4626&lt;&gt;"",IF(AND(B4626&gt;=_TM1,B4626&lt;=_TM2,OR(TH!L4626="1111",TH!M4626="1111")),TH!D4626,""),"")</f>
        <v/>
      </c>
      <c r="B4626" s="531" t="str">
        <f t="shared" si="564"/>
        <v/>
      </c>
      <c r="C4626" s="315"/>
      <c r="D4626" s="315"/>
      <c r="E4626" s="545"/>
      <c r="F4626" s="248"/>
      <c r="G4626" s="314"/>
      <c r="H4626" s="473"/>
      <c r="I4626" s="307"/>
      <c r="J4626" s="307"/>
      <c r="K4626" s="532"/>
      <c r="L4626" s="533"/>
      <c r="M4626" s="533"/>
      <c r="N4626" s="525" t="str">
        <f>IF(AND('331-CT'!$E$7=TH!H4626,OR(L4626="331",M4626="331")),"331",IF(AND(OR(L4626="131",M4626="131"),H4626='131-CT'!$E$7),"131",""))</f>
        <v/>
      </c>
      <c r="O4626" s="525" t="str">
        <f>IF(AND($B4626&gt;='111'!$N$11,$B4626&lt;='111'!$O$11,OR($L4626=$O$7,$M4626=$O$7)),"x","")</f>
        <v/>
      </c>
      <c r="P4626" s="525" t="str">
        <f>IF(AND($L4626=$O$7,$B4626&lt;'111'!$N$11),"x","")</f>
        <v/>
      </c>
      <c r="Q4626" s="525" t="str">
        <f>IF(AND($M4626=$O$7,$B4626&lt;'111'!$N$11),"x","")</f>
        <v/>
      </c>
      <c r="R4626" s="525" t="str">
        <f>IF(ISERROR(FIND('112'!$M$9,G4626,1)),"",IF((AND(FIND('112'!$M$9,G4626,1)&gt;=1,$B4626&gt;='112'!$N$8,$B4626&lt;='112'!$O$8,OR($L4626='112'!$I$6,$M4626='112'!$I$6))),"x",""))</f>
        <v/>
      </c>
      <c r="S4626" s="525" t="str">
        <f>IF(ISERROR(FIND('112'!$M$9,G4626,1)),"",IF((AND(LEFT(G4626,2)=LEFT('112'!$M$9,2),B4626&lt;'112'!$N$8,$L4626='112'!$I$6)),"x",""))</f>
        <v/>
      </c>
      <c r="T4626" s="525" t="str">
        <f>IF(ISERROR(FIND('112'!$M$9,G4626,1)),"",IF((AND(RIGHT(G4626,2)=RIGHT('112'!$M$9,2),B4626&lt;'112'!$N$8,$M4626='112'!$I$6)),"x",""))</f>
        <v/>
      </c>
      <c r="U4626" s="525" t="str">
        <f>IF(AND(B4626&gt;='IN-NX'!$P$3,B4626&lt;='IN-NX'!$Q$3,'IN-NX'!$D$7=D4626,OR(LEFT(L4626,2)="15",AND(LEFT(M4626,2)&lt;&gt;"15",LEFT(M4626,2)&lt;&gt;"33"))),"x","")</f>
        <v/>
      </c>
      <c r="V4626" s="525" t="str">
        <f>IF(AND(OR(LEFT(TH!L4626,2)="15",LEFT(TH!M4626,2)="15"),'152-CT'!$J$8=TH!F4626),"x","")</f>
        <v/>
      </c>
      <c r="W4626" s="525" t="str">
        <f>IF(AND(OR(LEFT(TH!L4626,2)="15",LEFT(TH!M4626,2)="15"),TK!$E$7=TH!F4626),"x","")</f>
        <v/>
      </c>
      <c r="X4626" s="525" t="str">
        <f>IF(AND('341-CT'!$E$9=H4626,OR(LEFT(L4626,3)=$X$7,LEFT(M4626,3)=$X$7)),"x","")</f>
        <v/>
      </c>
      <c r="Y4626" s="525" t="str">
        <f>IF(OR(TH!L4626=TH!$Y$7,M4626=TH!$Y$7),"x","")</f>
        <v/>
      </c>
      <c r="Z4626" s="525" t="str">
        <f>IF(AND(B4626&lt;=NKC!$N$8,B4626&gt;=NKC!$M$8),"x","")</f>
        <v/>
      </c>
      <c r="AA4626" s="535"/>
      <c r="AB4626" s="536"/>
    </row>
    <row r="4627" spans="1:30" s="503" customFormat="1" ht="15.75" customHeight="1">
      <c r="A4627" s="517" t="str">
        <f>IF(B4627&lt;&gt;"",IF(AND(B4627&gt;=_TM1,B4627&lt;=_TM2,OR(TH!L4627="1111",TH!M4627="1111")),TH!D4627,""),"")</f>
        <v/>
      </c>
      <c r="B4627" s="531" t="str">
        <f t="shared" si="564"/>
        <v/>
      </c>
      <c r="C4627" s="315"/>
      <c r="D4627" s="315"/>
      <c r="E4627" s="545"/>
      <c r="F4627" s="248"/>
      <c r="G4627" s="314"/>
      <c r="H4627" s="473"/>
      <c r="I4627" s="307"/>
      <c r="J4627" s="307"/>
      <c r="K4627" s="532"/>
      <c r="L4627" s="533"/>
      <c r="M4627" s="533"/>
      <c r="N4627" s="525" t="str">
        <f>IF(AND('331-CT'!$E$7=TH!H4627,OR(L4627="331",M4627="331")),"331",IF(AND(OR(L4627="131",M4627="131"),H4627='131-CT'!$E$7),"131",""))</f>
        <v/>
      </c>
      <c r="O4627" s="525" t="str">
        <f>IF(AND($B4627&gt;='111'!$N$11,$B4627&lt;='111'!$O$11,OR($L4627=$O$7,$M4627=$O$7)),"x","")</f>
        <v/>
      </c>
      <c r="P4627" s="525" t="str">
        <f>IF(AND($L4627=$O$7,$B4627&lt;'111'!$N$11),"x","")</f>
        <v/>
      </c>
      <c r="Q4627" s="525" t="str">
        <f>IF(AND($M4627=$O$7,$B4627&lt;'111'!$N$11),"x","")</f>
        <v/>
      </c>
      <c r="R4627" s="525" t="str">
        <f>IF(ISERROR(FIND('112'!$M$9,G4627,1)),"",IF((AND(FIND('112'!$M$9,G4627,1)&gt;=1,$B4627&gt;='112'!$N$8,$B4627&lt;='112'!$O$8,OR($L4627='112'!$I$6,$M4627='112'!$I$6))),"x",""))</f>
        <v/>
      </c>
      <c r="S4627" s="525" t="str">
        <f>IF(ISERROR(FIND('112'!$M$9,G4627,1)),"",IF((AND(LEFT(G4627,2)=LEFT('112'!$M$9,2),B4627&lt;'112'!$N$8,$L4627='112'!$I$6)),"x",""))</f>
        <v/>
      </c>
      <c r="T4627" s="525" t="str">
        <f>IF(ISERROR(FIND('112'!$M$9,G4627,1)),"",IF((AND(RIGHT(G4627,2)=RIGHT('112'!$M$9,2),B4627&lt;'112'!$N$8,$M4627='112'!$I$6)),"x",""))</f>
        <v/>
      </c>
      <c r="U4627" s="525" t="str">
        <f>IF(AND(B4627&gt;='IN-NX'!$P$3,B4627&lt;='IN-NX'!$Q$3,'IN-NX'!$D$7=D4627,OR(LEFT(L4627,2)="15",AND(LEFT(M4627,2)&lt;&gt;"15",LEFT(M4627,2)&lt;&gt;"33"))),"x","")</f>
        <v/>
      </c>
      <c r="V4627" s="525" t="str">
        <f>IF(AND(OR(LEFT(TH!L4627,2)="15",LEFT(TH!M4627,2)="15"),'152-CT'!$J$8=TH!F4627),"x","")</f>
        <v/>
      </c>
      <c r="W4627" s="525" t="str">
        <f>IF(AND(OR(LEFT(TH!L4627,2)="15",LEFT(TH!M4627,2)="15"),TK!$E$7=TH!F4627),"x","")</f>
        <v/>
      </c>
      <c r="X4627" s="525" t="str">
        <f>IF(AND('341-CT'!$E$9=H4627,OR(LEFT(L4627,3)=$X$7,LEFT(M4627,3)=$X$7)),"x","")</f>
        <v/>
      </c>
      <c r="Y4627" s="525" t="str">
        <f>IF(OR(TH!L4627=TH!$Y$7,M4627=TH!$Y$7),"x","")</f>
        <v/>
      </c>
      <c r="Z4627" s="525" t="str">
        <f>IF(AND(B4627&lt;=NKC!$N$8,B4627&gt;=NKC!$M$8),"x","")</f>
        <v/>
      </c>
      <c r="AA4627" s="535"/>
      <c r="AB4627" s="536"/>
    </row>
    <row r="4628" spans="1:30" s="503" customFormat="1" ht="15.75" customHeight="1">
      <c r="A4628" s="517" t="str">
        <f>IF(B4628&lt;&gt;"",IF(AND(B4628&gt;=_TM1,B4628&lt;=_TM2,OR(TH!L4628="1111",TH!M4628="1111")),TH!D4628,""),"")</f>
        <v/>
      </c>
      <c r="B4628" s="531" t="str">
        <f t="shared" si="564"/>
        <v/>
      </c>
      <c r="C4628" s="315"/>
      <c r="D4628" s="315"/>
      <c r="E4628" s="545"/>
      <c r="F4628" s="248"/>
      <c r="G4628" s="314"/>
      <c r="H4628" s="473"/>
      <c r="I4628" s="307"/>
      <c r="J4628" s="307"/>
      <c r="K4628" s="532"/>
      <c r="L4628" s="533"/>
      <c r="M4628" s="533"/>
      <c r="N4628" s="525" t="str">
        <f>IF(AND('331-CT'!$E$7=TH!H4628,OR(L4628="331",M4628="331")),"331",IF(AND(OR(L4628="131",M4628="131"),H4628='131-CT'!$E$7),"131",""))</f>
        <v/>
      </c>
      <c r="O4628" s="525" t="str">
        <f>IF(AND($B4628&gt;='111'!$N$11,$B4628&lt;='111'!$O$11,OR($L4628=$O$7,$M4628=$O$7)),"x","")</f>
        <v/>
      </c>
      <c r="P4628" s="525" t="str">
        <f>IF(AND($L4628=$O$7,$B4628&lt;'111'!$N$11),"x","")</f>
        <v/>
      </c>
      <c r="Q4628" s="525" t="str">
        <f>IF(AND($M4628=$O$7,$B4628&lt;'111'!$N$11),"x","")</f>
        <v/>
      </c>
      <c r="R4628" s="525" t="str">
        <f>IF(ISERROR(FIND('112'!$M$9,G4628,1)),"",IF((AND(FIND('112'!$M$9,G4628,1)&gt;=1,$B4628&gt;='112'!$N$8,$B4628&lt;='112'!$O$8,OR($L4628='112'!$I$6,$M4628='112'!$I$6))),"x",""))</f>
        <v/>
      </c>
      <c r="S4628" s="525" t="str">
        <f>IF(ISERROR(FIND('112'!$M$9,G4628,1)),"",IF((AND(LEFT(G4628,2)=LEFT('112'!$M$9,2),B4628&lt;'112'!$N$8,$L4628='112'!$I$6)),"x",""))</f>
        <v/>
      </c>
      <c r="T4628" s="525" t="str">
        <f>IF(ISERROR(FIND('112'!$M$9,G4628,1)),"",IF((AND(RIGHT(G4628,2)=RIGHT('112'!$M$9,2),B4628&lt;'112'!$N$8,$M4628='112'!$I$6)),"x",""))</f>
        <v/>
      </c>
      <c r="U4628" s="525" t="str">
        <f>IF(AND(B4628&gt;='IN-NX'!$P$3,B4628&lt;='IN-NX'!$Q$3,'IN-NX'!$D$7=D4628,OR(LEFT(L4628,2)="15",AND(LEFT(M4628,2)&lt;&gt;"15",LEFT(M4628,2)&lt;&gt;"33"))),"x","")</f>
        <v/>
      </c>
      <c r="V4628" s="525" t="str">
        <f>IF(AND(OR(LEFT(TH!L4628,2)="15",LEFT(TH!M4628,2)="15"),'152-CT'!$J$8=TH!F4628),"x","")</f>
        <v/>
      </c>
      <c r="W4628" s="525" t="str">
        <f>IF(AND(OR(LEFT(TH!L4628,2)="15",LEFT(TH!M4628,2)="15"),TK!$E$7=TH!F4628),"x","")</f>
        <v/>
      </c>
      <c r="X4628" s="525" t="str">
        <f>IF(AND('341-CT'!$E$9=H4628,OR(LEFT(L4628,3)=$X$7,LEFT(M4628,3)=$X$7)),"x","")</f>
        <v/>
      </c>
      <c r="Y4628" s="525" t="str">
        <f>IF(OR(TH!L4628=TH!$Y$7,M4628=TH!$Y$7),"x","")</f>
        <v/>
      </c>
      <c r="Z4628" s="525" t="str">
        <f>IF(AND(B4628&lt;=NKC!$N$8,B4628&gt;=NKC!$M$8),"x","")</f>
        <v/>
      </c>
      <c r="AA4628" s="535"/>
      <c r="AB4628" s="536"/>
      <c r="AD4628" s="536"/>
    </row>
    <row r="4629" spans="1:30" s="503" customFormat="1" ht="15.75" customHeight="1">
      <c r="A4629" s="517" t="str">
        <f>IF(B4629&lt;&gt;"",IF(AND(B4629&gt;=_TM1,B4629&lt;=_TM2,OR(TH!L4629="1111",TH!M4629="1111")),TH!D4629,""),"")</f>
        <v/>
      </c>
      <c r="B4629" s="531" t="str">
        <f t="shared" si="564"/>
        <v/>
      </c>
      <c r="C4629" s="315"/>
      <c r="D4629" s="315"/>
      <c r="E4629" s="545"/>
      <c r="F4629" s="248"/>
      <c r="G4629" s="314"/>
      <c r="H4629" s="473"/>
      <c r="I4629" s="307"/>
      <c r="J4629" s="307"/>
      <c r="K4629" s="532"/>
      <c r="L4629" s="533"/>
      <c r="M4629" s="533"/>
      <c r="N4629" s="525" t="str">
        <f>IF(AND('331-CT'!$E$7=TH!H4629,OR(L4629="331",M4629="331")),"331",IF(AND(OR(L4629="131",M4629="131"),H4629='131-CT'!$E$7),"131",""))</f>
        <v/>
      </c>
      <c r="O4629" s="525" t="str">
        <f>IF(AND($B4629&gt;='111'!$N$11,$B4629&lt;='111'!$O$11,OR($L4629=$O$7,$M4629=$O$7)),"x","")</f>
        <v/>
      </c>
      <c r="P4629" s="525" t="str">
        <f>IF(AND($L4629=$O$7,$B4629&lt;'111'!$N$11),"x","")</f>
        <v/>
      </c>
      <c r="Q4629" s="525" t="str">
        <f>IF(AND($M4629=$O$7,$B4629&lt;'111'!$N$11),"x","")</f>
        <v/>
      </c>
      <c r="R4629" s="525" t="str">
        <f>IF(ISERROR(FIND('112'!$M$9,G4629,1)),"",IF((AND(FIND('112'!$M$9,G4629,1)&gt;=1,$B4629&gt;='112'!$N$8,$B4629&lt;='112'!$O$8,OR($L4629='112'!$I$6,$M4629='112'!$I$6))),"x",""))</f>
        <v/>
      </c>
      <c r="S4629" s="525" t="str">
        <f>IF(ISERROR(FIND('112'!$M$9,G4629,1)),"",IF((AND(LEFT(G4629,2)=LEFT('112'!$M$9,2),B4629&lt;'112'!$N$8,$L4629='112'!$I$6)),"x",""))</f>
        <v/>
      </c>
      <c r="T4629" s="525" t="str">
        <f>IF(ISERROR(FIND('112'!$M$9,G4629,1)),"",IF((AND(RIGHT(G4629,2)=RIGHT('112'!$M$9,2),B4629&lt;'112'!$N$8,$M4629='112'!$I$6)),"x",""))</f>
        <v/>
      </c>
      <c r="U4629" s="525" t="str">
        <f>IF(AND(B4629&gt;='IN-NX'!$P$3,B4629&lt;='IN-NX'!$Q$3,'IN-NX'!$D$7=D4629,OR(LEFT(L4629,2)="15",AND(LEFT(M4629,2)&lt;&gt;"15",LEFT(M4629,2)&lt;&gt;"33"))),"x","")</f>
        <v/>
      </c>
      <c r="V4629" s="525" t="str">
        <f>IF(AND(OR(LEFT(TH!L4629,2)="15",LEFT(TH!M4629,2)="15"),'152-CT'!$J$8=TH!F4629),"x","")</f>
        <v/>
      </c>
      <c r="W4629" s="525" t="str">
        <f>IF(AND(OR(LEFT(TH!L4629,2)="15",LEFT(TH!M4629,2)="15"),TK!$E$7=TH!F4629),"x","")</f>
        <v/>
      </c>
      <c r="X4629" s="525" t="str">
        <f>IF(AND('341-CT'!$E$9=H4629,OR(LEFT(L4629,3)=$X$7,LEFT(M4629,3)=$X$7)),"x","")</f>
        <v/>
      </c>
      <c r="Y4629" s="525" t="str">
        <f>IF(OR(TH!L4629=TH!$Y$7,M4629=TH!$Y$7),"x","")</f>
        <v/>
      </c>
      <c r="Z4629" s="525" t="str">
        <f>IF(AND(B4629&lt;=NKC!$N$8,B4629&gt;=NKC!$M$8),"x","")</f>
        <v/>
      </c>
      <c r="AA4629" s="535"/>
      <c r="AB4629" s="536"/>
    </row>
    <row r="4630" spans="1:30" s="503" customFormat="1" ht="15.75" customHeight="1">
      <c r="A4630" s="517" t="str">
        <f>IF(B4630&lt;&gt;"",IF(AND(B4630&gt;=_TM1,B4630&lt;=_TM2,OR(TH!L4630="1111",TH!M4630="1111")),TH!D4630,""),"")</f>
        <v/>
      </c>
      <c r="B4630" s="531" t="str">
        <f t="shared" si="564"/>
        <v/>
      </c>
      <c r="C4630" s="315"/>
      <c r="D4630" s="315"/>
      <c r="E4630" s="545"/>
      <c r="F4630" s="248"/>
      <c r="G4630" s="314"/>
      <c r="H4630" s="473"/>
      <c r="I4630" s="307"/>
      <c r="J4630" s="307"/>
      <c r="K4630" s="532"/>
      <c r="L4630" s="533"/>
      <c r="M4630" s="533"/>
      <c r="N4630" s="525" t="str">
        <f>IF(AND('331-CT'!$E$7=TH!H4630,OR(L4630="331",M4630="331")),"331",IF(AND(OR(L4630="131",M4630="131"),H4630='131-CT'!$E$7),"131",""))</f>
        <v/>
      </c>
      <c r="O4630" s="525" t="str">
        <f>IF(AND($B4630&gt;='111'!$N$11,$B4630&lt;='111'!$O$11,OR($L4630=$O$7,$M4630=$O$7)),"x","")</f>
        <v/>
      </c>
      <c r="P4630" s="525" t="str">
        <f>IF(AND($L4630=$O$7,$B4630&lt;'111'!$N$11),"x","")</f>
        <v/>
      </c>
      <c r="Q4630" s="525" t="str">
        <f>IF(AND($M4630=$O$7,$B4630&lt;'111'!$N$11),"x","")</f>
        <v/>
      </c>
      <c r="R4630" s="525" t="str">
        <f>IF(ISERROR(FIND('112'!$M$9,G4630,1)),"",IF((AND(FIND('112'!$M$9,G4630,1)&gt;=1,$B4630&gt;='112'!$N$8,$B4630&lt;='112'!$O$8,OR($L4630='112'!$I$6,$M4630='112'!$I$6))),"x",""))</f>
        <v/>
      </c>
      <c r="S4630" s="525" t="str">
        <f>IF(ISERROR(FIND('112'!$M$9,G4630,1)),"",IF((AND(LEFT(G4630,2)=LEFT('112'!$M$9,2),B4630&lt;'112'!$N$8,$L4630='112'!$I$6)),"x",""))</f>
        <v/>
      </c>
      <c r="T4630" s="525" t="str">
        <f>IF(ISERROR(FIND('112'!$M$9,G4630,1)),"",IF((AND(RIGHT(G4630,2)=RIGHT('112'!$M$9,2),B4630&lt;'112'!$N$8,$M4630='112'!$I$6)),"x",""))</f>
        <v/>
      </c>
      <c r="U4630" s="525" t="str">
        <f>IF(AND(B4630&gt;='IN-NX'!$P$3,B4630&lt;='IN-NX'!$Q$3,'IN-NX'!$D$7=D4630,OR(LEFT(L4630,2)="15",AND(LEFT(M4630,2)&lt;&gt;"15",LEFT(M4630,2)&lt;&gt;"33"))),"x","")</f>
        <v/>
      </c>
      <c r="V4630" s="525" t="str">
        <f>IF(AND(OR(LEFT(TH!L4630,2)="15",LEFT(TH!M4630,2)="15"),'152-CT'!$J$8=TH!F4630),"x","")</f>
        <v/>
      </c>
      <c r="W4630" s="525" t="str">
        <f>IF(AND(OR(LEFT(TH!L4630,2)="15",LEFT(TH!M4630,2)="15"),TK!$E$7=TH!F4630),"x","")</f>
        <v/>
      </c>
      <c r="X4630" s="525" t="str">
        <f>IF(AND('341-CT'!$E$9=H4630,OR(LEFT(L4630,3)=$X$7,LEFT(M4630,3)=$X$7)),"x","")</f>
        <v/>
      </c>
      <c r="Y4630" s="525" t="str">
        <f>IF(OR(TH!L4630=TH!$Y$7,M4630=TH!$Y$7),"x","")</f>
        <v/>
      </c>
      <c r="Z4630" s="525" t="str">
        <f>IF(AND(B4630&lt;=NKC!$N$8,B4630&gt;=NKC!$M$8),"x","")</f>
        <v/>
      </c>
      <c r="AA4630" s="535"/>
      <c r="AB4630" s="536"/>
    </row>
    <row r="4631" spans="1:30" s="503" customFormat="1" ht="15.75" customHeight="1">
      <c r="A4631" s="517" t="str">
        <f>IF(B4631&lt;&gt;"",IF(AND(B4631&gt;=_TM1,B4631&lt;=_TM2,OR(TH!L4631="1111",TH!M4631="1111")),TH!D4631,""),"")</f>
        <v/>
      </c>
      <c r="B4631" s="531" t="str">
        <f t="shared" si="564"/>
        <v/>
      </c>
      <c r="C4631" s="315"/>
      <c r="D4631" s="315"/>
      <c r="E4631" s="545"/>
      <c r="F4631" s="248"/>
      <c r="G4631" s="314"/>
      <c r="H4631" s="473"/>
      <c r="I4631" s="307"/>
      <c r="J4631" s="307"/>
      <c r="K4631" s="532"/>
      <c r="L4631" s="533"/>
      <c r="M4631" s="533"/>
      <c r="N4631" s="525" t="str">
        <f>IF(AND('331-CT'!$E$7=TH!H4631,OR(L4631="331",M4631="331")),"331",IF(AND(OR(L4631="131",M4631="131"),H4631='131-CT'!$E$7),"131",""))</f>
        <v/>
      </c>
      <c r="O4631" s="525" t="str">
        <f>IF(AND($B4631&gt;='111'!$N$11,$B4631&lt;='111'!$O$11,OR($L4631=$O$7,$M4631=$O$7)),"x","")</f>
        <v/>
      </c>
      <c r="P4631" s="525" t="str">
        <f>IF(AND($L4631=$O$7,$B4631&lt;'111'!$N$11),"x","")</f>
        <v/>
      </c>
      <c r="Q4631" s="525" t="str">
        <f>IF(AND($M4631=$O$7,$B4631&lt;'111'!$N$11),"x","")</f>
        <v/>
      </c>
      <c r="R4631" s="525" t="str">
        <f>IF(ISERROR(FIND('112'!$M$9,G4631,1)),"",IF((AND(FIND('112'!$M$9,G4631,1)&gt;=1,$B4631&gt;='112'!$N$8,$B4631&lt;='112'!$O$8,OR($L4631='112'!$I$6,$M4631='112'!$I$6))),"x",""))</f>
        <v/>
      </c>
      <c r="S4631" s="525" t="str">
        <f>IF(ISERROR(FIND('112'!$M$9,G4631,1)),"",IF((AND(LEFT(G4631,2)=LEFT('112'!$M$9,2),B4631&lt;'112'!$N$8,$L4631='112'!$I$6)),"x",""))</f>
        <v/>
      </c>
      <c r="T4631" s="525" t="str">
        <f>IF(ISERROR(FIND('112'!$M$9,G4631,1)),"",IF((AND(RIGHT(G4631,2)=RIGHT('112'!$M$9,2),B4631&lt;'112'!$N$8,$M4631='112'!$I$6)),"x",""))</f>
        <v/>
      </c>
      <c r="U4631" s="525" t="str">
        <f>IF(AND(B4631&gt;='IN-NX'!$P$3,B4631&lt;='IN-NX'!$Q$3,'IN-NX'!$D$7=D4631,OR(LEFT(L4631,2)="15",AND(LEFT(M4631,2)&lt;&gt;"15",LEFT(M4631,2)&lt;&gt;"33"))),"x","")</f>
        <v/>
      </c>
      <c r="V4631" s="525" t="str">
        <f>IF(AND(OR(LEFT(TH!L4631,2)="15",LEFT(TH!M4631,2)="15"),'152-CT'!$J$8=TH!F4631),"x","")</f>
        <v/>
      </c>
      <c r="W4631" s="525" t="str">
        <f>IF(AND(OR(LEFT(TH!L4631,2)="15",LEFT(TH!M4631,2)="15"),TK!$E$7=TH!F4631),"x","")</f>
        <v/>
      </c>
      <c r="X4631" s="525" t="str">
        <f>IF(AND('341-CT'!$E$9=H4631,OR(LEFT(L4631,3)=$X$7,LEFT(M4631,3)=$X$7)),"x","")</f>
        <v/>
      </c>
      <c r="Y4631" s="525" t="str">
        <f>IF(OR(TH!L4631=TH!$Y$7,M4631=TH!$Y$7),"x","")</f>
        <v/>
      </c>
      <c r="Z4631" s="525" t="str">
        <f>IF(AND(B4631&lt;=NKC!$N$8,B4631&gt;=NKC!$M$8),"x","")</f>
        <v/>
      </c>
      <c r="AA4631" s="535"/>
      <c r="AB4631" s="536"/>
      <c r="AD4631" s="536"/>
    </row>
    <row r="4632" spans="1:30" s="503" customFormat="1" ht="15.75" customHeight="1">
      <c r="A4632" s="517" t="str">
        <f>IF(B4632&lt;&gt;"",IF(AND(B4632&gt;=_TM1,B4632&lt;=_TM2,OR(TH!L4632="1111",TH!M4632="1111")),TH!D4632,""),"")</f>
        <v/>
      </c>
      <c r="B4632" s="531" t="str">
        <f t="shared" si="564"/>
        <v/>
      </c>
      <c r="C4632" s="315"/>
      <c r="D4632" s="315"/>
      <c r="E4632" s="545"/>
      <c r="F4632" s="248"/>
      <c r="G4632" s="314"/>
      <c r="H4632" s="473"/>
      <c r="I4632" s="307"/>
      <c r="J4632" s="307"/>
      <c r="K4632" s="532"/>
      <c r="L4632" s="533"/>
      <c r="M4632" s="533"/>
      <c r="N4632" s="525" t="str">
        <f>IF(AND('331-CT'!$E$7=TH!H4632,OR(L4632="331",M4632="331")),"331",IF(AND(OR(L4632="131",M4632="131"),H4632='131-CT'!$E$7),"131",""))</f>
        <v/>
      </c>
      <c r="O4632" s="525" t="str">
        <f>IF(AND($B4632&gt;='111'!$N$11,$B4632&lt;='111'!$O$11,OR($L4632=$O$7,$M4632=$O$7)),"x","")</f>
        <v/>
      </c>
      <c r="P4632" s="525" t="str">
        <f>IF(AND($L4632=$O$7,$B4632&lt;'111'!$N$11),"x","")</f>
        <v/>
      </c>
      <c r="Q4632" s="525" t="str">
        <f>IF(AND($M4632=$O$7,$B4632&lt;'111'!$N$11),"x","")</f>
        <v/>
      </c>
      <c r="R4632" s="525" t="str">
        <f>IF(ISERROR(FIND('112'!$M$9,G4632,1)),"",IF((AND(FIND('112'!$M$9,G4632,1)&gt;=1,$B4632&gt;='112'!$N$8,$B4632&lt;='112'!$O$8,OR($L4632='112'!$I$6,$M4632='112'!$I$6))),"x",""))</f>
        <v/>
      </c>
      <c r="S4632" s="525" t="str">
        <f>IF(ISERROR(FIND('112'!$M$9,G4632,1)),"",IF((AND(LEFT(G4632,2)=LEFT('112'!$M$9,2),B4632&lt;'112'!$N$8,$L4632='112'!$I$6)),"x",""))</f>
        <v/>
      </c>
      <c r="T4632" s="525" t="str">
        <f>IF(ISERROR(FIND('112'!$M$9,G4632,1)),"",IF((AND(RIGHT(G4632,2)=RIGHT('112'!$M$9,2),B4632&lt;'112'!$N$8,$M4632='112'!$I$6)),"x",""))</f>
        <v/>
      </c>
      <c r="U4632" s="525" t="str">
        <f>IF(AND(B4632&gt;='IN-NX'!$P$3,B4632&lt;='IN-NX'!$Q$3,'IN-NX'!$D$7=D4632,OR(LEFT(L4632,2)="15",AND(LEFT(M4632,2)&lt;&gt;"15",LEFT(M4632,2)&lt;&gt;"33"))),"x","")</f>
        <v/>
      </c>
      <c r="V4632" s="525" t="str">
        <f>IF(AND(OR(LEFT(TH!L4632,2)="15",LEFT(TH!M4632,2)="15"),'152-CT'!$J$8=TH!F4632),"x","")</f>
        <v/>
      </c>
      <c r="W4632" s="525" t="str">
        <f>IF(AND(OR(LEFT(TH!L4632,2)="15",LEFT(TH!M4632,2)="15"),TK!$E$7=TH!F4632),"x","")</f>
        <v/>
      </c>
      <c r="X4632" s="525" t="str">
        <f>IF(AND('341-CT'!$E$9=H4632,OR(LEFT(L4632,3)=$X$7,LEFT(M4632,3)=$X$7)),"x","")</f>
        <v/>
      </c>
      <c r="Y4632" s="525" t="str">
        <f>IF(OR(TH!L4632=TH!$Y$7,M4632=TH!$Y$7),"x","")</f>
        <v/>
      </c>
      <c r="Z4632" s="525" t="str">
        <f>IF(AND(B4632&lt;=NKC!$N$8,B4632&gt;=NKC!$M$8),"x","")</f>
        <v/>
      </c>
      <c r="AA4632" s="535"/>
      <c r="AB4632" s="536"/>
    </row>
    <row r="4633" spans="1:30" s="503" customFormat="1" ht="15.75" customHeight="1">
      <c r="A4633" s="517" t="str">
        <f>IF(B4633&lt;&gt;"",IF(AND(B4633&gt;=_TM1,B4633&lt;=_TM2,OR(TH!L4633="1111",TH!M4633="1111")),TH!D4633,""),"")</f>
        <v/>
      </c>
      <c r="B4633" s="531" t="str">
        <f t="shared" si="564"/>
        <v/>
      </c>
      <c r="C4633" s="315"/>
      <c r="D4633" s="315"/>
      <c r="E4633" s="545"/>
      <c r="F4633" s="248"/>
      <c r="G4633" s="314"/>
      <c r="H4633" s="473"/>
      <c r="I4633" s="307"/>
      <c r="J4633" s="307"/>
      <c r="K4633" s="532"/>
      <c r="L4633" s="533"/>
      <c r="M4633" s="533"/>
      <c r="N4633" s="525" t="str">
        <f>IF(AND('331-CT'!$E$7=TH!H4633,OR(L4633="331",M4633="331")),"331",IF(AND(OR(L4633="131",M4633="131"),H4633='131-CT'!$E$7),"131",""))</f>
        <v/>
      </c>
      <c r="O4633" s="525" t="str">
        <f>IF(AND($B4633&gt;='111'!$N$11,$B4633&lt;='111'!$O$11,OR($L4633=$O$7,$M4633=$O$7)),"x","")</f>
        <v/>
      </c>
      <c r="P4633" s="525" t="str">
        <f>IF(AND($L4633=$O$7,$B4633&lt;'111'!$N$11),"x","")</f>
        <v/>
      </c>
      <c r="Q4633" s="525" t="str">
        <f>IF(AND($M4633=$O$7,$B4633&lt;'111'!$N$11),"x","")</f>
        <v/>
      </c>
      <c r="R4633" s="525" t="str">
        <f>IF(ISERROR(FIND('112'!$M$9,G4633,1)),"",IF((AND(FIND('112'!$M$9,G4633,1)&gt;=1,$B4633&gt;='112'!$N$8,$B4633&lt;='112'!$O$8,OR($L4633='112'!$I$6,$M4633='112'!$I$6))),"x",""))</f>
        <v/>
      </c>
      <c r="S4633" s="525" t="str">
        <f>IF(ISERROR(FIND('112'!$M$9,G4633,1)),"",IF((AND(LEFT(G4633,2)=LEFT('112'!$M$9,2),B4633&lt;'112'!$N$8,$L4633='112'!$I$6)),"x",""))</f>
        <v/>
      </c>
      <c r="T4633" s="525" t="str">
        <f>IF(ISERROR(FIND('112'!$M$9,G4633,1)),"",IF((AND(RIGHT(G4633,2)=RIGHT('112'!$M$9,2),B4633&lt;'112'!$N$8,$M4633='112'!$I$6)),"x",""))</f>
        <v/>
      </c>
      <c r="U4633" s="525" t="str">
        <f>IF(AND(B4633&gt;='IN-NX'!$P$3,B4633&lt;='IN-NX'!$Q$3,'IN-NX'!$D$7=D4633,OR(LEFT(L4633,2)="15",AND(LEFT(M4633,2)&lt;&gt;"15",LEFT(M4633,2)&lt;&gt;"33"))),"x","")</f>
        <v/>
      </c>
      <c r="V4633" s="525" t="str">
        <f>IF(AND(OR(LEFT(TH!L4633,2)="15",LEFT(TH!M4633,2)="15"),'152-CT'!$J$8=TH!F4633),"x","")</f>
        <v/>
      </c>
      <c r="W4633" s="525" t="str">
        <f>IF(AND(OR(LEFT(TH!L4633,2)="15",LEFT(TH!M4633,2)="15"),TK!$E$7=TH!F4633),"x","")</f>
        <v/>
      </c>
      <c r="X4633" s="525" t="str">
        <f>IF(AND('341-CT'!$E$9=H4633,OR(LEFT(L4633,3)=$X$7,LEFT(M4633,3)=$X$7)),"x","")</f>
        <v/>
      </c>
      <c r="Y4633" s="525" t="str">
        <f>IF(OR(TH!L4633=TH!$Y$7,M4633=TH!$Y$7),"x","")</f>
        <v/>
      </c>
      <c r="Z4633" s="525" t="str">
        <f>IF(AND(B4633&lt;=NKC!$N$8,B4633&gt;=NKC!$M$8),"x","")</f>
        <v/>
      </c>
      <c r="AA4633" s="535"/>
      <c r="AB4633" s="536"/>
    </row>
    <row r="4634" spans="1:30" s="503" customFormat="1" ht="15.75" customHeight="1">
      <c r="A4634" s="517" t="str">
        <f>IF(B4634&lt;&gt;"",IF(AND(B4634&gt;=_TM1,B4634&lt;=_TM2,OR(TH!L4634="1111",TH!M4634="1111")),TH!D4634,""),"")</f>
        <v/>
      </c>
      <c r="B4634" s="531" t="str">
        <f t="shared" si="564"/>
        <v/>
      </c>
      <c r="C4634" s="315"/>
      <c r="D4634" s="315"/>
      <c r="E4634" s="545"/>
      <c r="F4634" s="248"/>
      <c r="G4634" s="314"/>
      <c r="H4634" s="473"/>
      <c r="I4634" s="307"/>
      <c r="J4634" s="307"/>
      <c r="K4634" s="532"/>
      <c r="L4634" s="533"/>
      <c r="M4634" s="533"/>
      <c r="N4634" s="525" t="str">
        <f>IF(AND('331-CT'!$E$7=TH!H4634,OR(L4634="331",M4634="331")),"331",IF(AND(OR(L4634="131",M4634="131"),H4634='131-CT'!$E$7),"131",""))</f>
        <v/>
      </c>
      <c r="O4634" s="525" t="str">
        <f>IF(AND($B4634&gt;='111'!$N$11,$B4634&lt;='111'!$O$11,OR($L4634=$O$7,$M4634=$O$7)),"x","")</f>
        <v/>
      </c>
      <c r="P4634" s="525" t="str">
        <f>IF(AND($L4634=$O$7,$B4634&lt;'111'!$N$11),"x","")</f>
        <v/>
      </c>
      <c r="Q4634" s="525" t="str">
        <f>IF(AND($M4634=$O$7,$B4634&lt;'111'!$N$11),"x","")</f>
        <v/>
      </c>
      <c r="R4634" s="525" t="str">
        <f>IF(ISERROR(FIND('112'!$M$9,G4634,1)),"",IF((AND(FIND('112'!$M$9,G4634,1)&gt;=1,$B4634&gt;='112'!$N$8,$B4634&lt;='112'!$O$8,OR($L4634='112'!$I$6,$M4634='112'!$I$6))),"x",""))</f>
        <v/>
      </c>
      <c r="S4634" s="525" t="str">
        <f>IF(ISERROR(FIND('112'!$M$9,G4634,1)),"",IF((AND(LEFT(G4634,2)=LEFT('112'!$M$9,2),B4634&lt;'112'!$N$8,$L4634='112'!$I$6)),"x",""))</f>
        <v/>
      </c>
      <c r="T4634" s="525" t="str">
        <f>IF(ISERROR(FIND('112'!$M$9,G4634,1)),"",IF((AND(RIGHT(G4634,2)=RIGHT('112'!$M$9,2),B4634&lt;'112'!$N$8,$M4634='112'!$I$6)),"x",""))</f>
        <v/>
      </c>
      <c r="U4634" s="525" t="str">
        <f>IF(AND(B4634&gt;='IN-NX'!$P$3,B4634&lt;='IN-NX'!$Q$3,'IN-NX'!$D$7=D4634,OR(LEFT(L4634,2)="15",AND(LEFT(M4634,2)&lt;&gt;"15",LEFT(M4634,2)&lt;&gt;"33"))),"x","")</f>
        <v/>
      </c>
      <c r="V4634" s="525" t="str">
        <f>IF(AND(OR(LEFT(TH!L4634,2)="15",LEFT(TH!M4634,2)="15"),'152-CT'!$J$8=TH!F4634),"x","")</f>
        <v/>
      </c>
      <c r="W4634" s="525" t="str">
        <f>IF(AND(OR(LEFT(TH!L4634,2)="15",LEFT(TH!M4634,2)="15"),TK!$E$7=TH!F4634),"x","")</f>
        <v/>
      </c>
      <c r="X4634" s="525" t="str">
        <f>IF(AND('341-CT'!$E$9=H4634,OR(LEFT(L4634,3)=$X$7,LEFT(M4634,3)=$X$7)),"x","")</f>
        <v/>
      </c>
      <c r="Y4634" s="525" t="str">
        <f>IF(OR(TH!L4634=TH!$Y$7,M4634=TH!$Y$7),"x","")</f>
        <v/>
      </c>
      <c r="Z4634" s="525" t="str">
        <f>IF(AND(B4634&lt;=NKC!$N$8,B4634&gt;=NKC!$M$8),"x","")</f>
        <v/>
      </c>
      <c r="AA4634" s="535"/>
      <c r="AB4634" s="536"/>
      <c r="AD4634" s="536"/>
    </row>
    <row r="4635" spans="1:30" s="503" customFormat="1" ht="15.75" customHeight="1">
      <c r="A4635" s="517" t="str">
        <f>IF(B4635&lt;&gt;"",IF(AND(B4635&gt;=_TM1,B4635&lt;=_TM2,OR(TH!L4635="1111",TH!M4635="1111")),TH!D4635,""),"")</f>
        <v/>
      </c>
      <c r="B4635" s="531" t="str">
        <f t="shared" si="564"/>
        <v/>
      </c>
      <c r="C4635" s="315"/>
      <c r="D4635" s="315"/>
      <c r="E4635" s="545"/>
      <c r="F4635" s="248"/>
      <c r="G4635" s="314"/>
      <c r="H4635" s="473"/>
      <c r="I4635" s="307"/>
      <c r="J4635" s="307"/>
      <c r="K4635" s="532"/>
      <c r="L4635" s="533"/>
      <c r="M4635" s="533"/>
      <c r="N4635" s="525" t="str">
        <f>IF(AND('331-CT'!$E$7=TH!H4635,OR(L4635="331",M4635="331")),"331",IF(AND(OR(L4635="131",M4635="131"),H4635='131-CT'!$E$7),"131",""))</f>
        <v/>
      </c>
      <c r="O4635" s="525" t="str">
        <f>IF(AND($B4635&gt;='111'!$N$11,$B4635&lt;='111'!$O$11,OR($L4635=$O$7,$M4635=$O$7)),"x","")</f>
        <v/>
      </c>
      <c r="P4635" s="525" t="str">
        <f>IF(AND($L4635=$O$7,$B4635&lt;'111'!$N$11),"x","")</f>
        <v/>
      </c>
      <c r="Q4635" s="525" t="str">
        <f>IF(AND($M4635=$O$7,$B4635&lt;'111'!$N$11),"x","")</f>
        <v/>
      </c>
      <c r="R4635" s="525" t="str">
        <f>IF(ISERROR(FIND('112'!$M$9,G4635,1)),"",IF((AND(FIND('112'!$M$9,G4635,1)&gt;=1,$B4635&gt;='112'!$N$8,$B4635&lt;='112'!$O$8,OR($L4635='112'!$I$6,$M4635='112'!$I$6))),"x",""))</f>
        <v/>
      </c>
      <c r="S4635" s="525" t="str">
        <f>IF(ISERROR(FIND('112'!$M$9,G4635,1)),"",IF((AND(LEFT(G4635,2)=LEFT('112'!$M$9,2),B4635&lt;'112'!$N$8,$L4635='112'!$I$6)),"x",""))</f>
        <v/>
      </c>
      <c r="T4635" s="525" t="str">
        <f>IF(ISERROR(FIND('112'!$M$9,G4635,1)),"",IF((AND(RIGHT(G4635,2)=RIGHT('112'!$M$9,2),B4635&lt;'112'!$N$8,$M4635='112'!$I$6)),"x",""))</f>
        <v/>
      </c>
      <c r="U4635" s="525" t="str">
        <f>IF(AND(B4635&gt;='IN-NX'!$P$3,B4635&lt;='IN-NX'!$Q$3,'IN-NX'!$D$7=D4635,OR(LEFT(L4635,2)="15",AND(LEFT(M4635,2)&lt;&gt;"15",LEFT(M4635,2)&lt;&gt;"33"))),"x","")</f>
        <v/>
      </c>
      <c r="V4635" s="525" t="str">
        <f>IF(AND(OR(LEFT(TH!L4635,2)="15",LEFT(TH!M4635,2)="15"),'152-CT'!$J$8=TH!F4635),"x","")</f>
        <v/>
      </c>
      <c r="W4635" s="525" t="str">
        <f>IF(AND(OR(LEFT(TH!L4635,2)="15",LEFT(TH!M4635,2)="15"),TK!$E$7=TH!F4635),"x","")</f>
        <v/>
      </c>
      <c r="X4635" s="525" t="str">
        <f>IF(AND('341-CT'!$E$9=H4635,OR(LEFT(L4635,3)=$X$7,LEFT(M4635,3)=$X$7)),"x","")</f>
        <v/>
      </c>
      <c r="Y4635" s="525" t="str">
        <f>IF(OR(TH!L4635=TH!$Y$7,M4635=TH!$Y$7),"x","")</f>
        <v/>
      </c>
      <c r="Z4635" s="525" t="str">
        <f>IF(AND(B4635&lt;=NKC!$N$8,B4635&gt;=NKC!$M$8),"x","")</f>
        <v/>
      </c>
      <c r="AA4635" s="535"/>
      <c r="AB4635" s="536"/>
    </row>
    <row r="4636" spans="1:30" s="503" customFormat="1" ht="15.75" customHeight="1">
      <c r="A4636" s="517" t="str">
        <f>IF(B4636&lt;&gt;"",IF(AND(B4636&gt;=_TM1,B4636&lt;=_TM2,OR(TH!L4636="1111",TH!M4636="1111")),TH!D4636,""),"")</f>
        <v/>
      </c>
      <c r="B4636" s="531" t="str">
        <f t="shared" si="564"/>
        <v/>
      </c>
      <c r="C4636" s="315"/>
      <c r="D4636" s="315"/>
      <c r="E4636" s="545"/>
      <c r="F4636" s="248"/>
      <c r="G4636" s="314"/>
      <c r="H4636" s="473"/>
      <c r="I4636" s="307"/>
      <c r="J4636" s="307"/>
      <c r="K4636" s="532"/>
      <c r="L4636" s="533"/>
      <c r="M4636" s="533"/>
      <c r="N4636" s="525" t="str">
        <f>IF(AND('331-CT'!$E$7=TH!H4636,OR(L4636="331",M4636="331")),"331",IF(AND(OR(L4636="131",M4636="131"),H4636='131-CT'!$E$7),"131",""))</f>
        <v/>
      </c>
      <c r="O4636" s="525" t="str">
        <f>IF(AND($B4636&gt;='111'!$N$11,$B4636&lt;='111'!$O$11,OR($L4636=$O$7,$M4636=$O$7)),"x","")</f>
        <v/>
      </c>
      <c r="P4636" s="525" t="str">
        <f>IF(AND($L4636=$O$7,$B4636&lt;'111'!$N$11),"x","")</f>
        <v/>
      </c>
      <c r="Q4636" s="525" t="str">
        <f>IF(AND($M4636=$O$7,$B4636&lt;'111'!$N$11),"x","")</f>
        <v/>
      </c>
      <c r="R4636" s="525" t="str">
        <f>IF(ISERROR(FIND('112'!$M$9,G4636,1)),"",IF((AND(FIND('112'!$M$9,G4636,1)&gt;=1,$B4636&gt;='112'!$N$8,$B4636&lt;='112'!$O$8,OR($L4636='112'!$I$6,$M4636='112'!$I$6))),"x",""))</f>
        <v/>
      </c>
      <c r="S4636" s="525" t="str">
        <f>IF(ISERROR(FIND('112'!$M$9,G4636,1)),"",IF((AND(LEFT(G4636,2)=LEFT('112'!$M$9,2),B4636&lt;'112'!$N$8,$L4636='112'!$I$6)),"x",""))</f>
        <v/>
      </c>
      <c r="T4636" s="525" t="str">
        <f>IF(ISERROR(FIND('112'!$M$9,G4636,1)),"",IF((AND(RIGHT(G4636,2)=RIGHT('112'!$M$9,2),B4636&lt;'112'!$N$8,$M4636='112'!$I$6)),"x",""))</f>
        <v/>
      </c>
      <c r="U4636" s="525" t="str">
        <f>IF(AND(B4636&gt;='IN-NX'!$P$3,B4636&lt;='IN-NX'!$Q$3,'IN-NX'!$D$7=D4636,OR(LEFT(L4636,2)="15",AND(LEFT(M4636,2)&lt;&gt;"15",LEFT(M4636,2)&lt;&gt;"33"))),"x","")</f>
        <v/>
      </c>
      <c r="V4636" s="525" t="str">
        <f>IF(AND(OR(LEFT(TH!L4636,2)="15",LEFT(TH!M4636,2)="15"),'152-CT'!$J$8=TH!F4636),"x","")</f>
        <v/>
      </c>
      <c r="W4636" s="525" t="str">
        <f>IF(AND(OR(LEFT(TH!L4636,2)="15",LEFT(TH!M4636,2)="15"),TK!$E$7=TH!F4636),"x","")</f>
        <v/>
      </c>
      <c r="X4636" s="525" t="str">
        <f>IF(AND('341-CT'!$E$9=H4636,OR(LEFT(L4636,3)=$X$7,LEFT(M4636,3)=$X$7)),"x","")</f>
        <v/>
      </c>
      <c r="Y4636" s="525" t="str">
        <f>IF(OR(TH!L4636=TH!$Y$7,M4636=TH!$Y$7),"x","")</f>
        <v/>
      </c>
      <c r="Z4636" s="525" t="str">
        <f>IF(AND(B4636&lt;=NKC!$N$8,B4636&gt;=NKC!$M$8),"x","")</f>
        <v/>
      </c>
      <c r="AA4636" s="535"/>
      <c r="AB4636" s="536"/>
    </row>
    <row r="4637" spans="1:30" s="503" customFormat="1" ht="15.75" customHeight="1">
      <c r="A4637" s="517" t="str">
        <f>IF(B4637&lt;&gt;"",IF(AND(B4637&gt;=_TM1,B4637&lt;=_TM2,OR(TH!L4637="1111",TH!M4637="1111")),TH!D4637,""),"")</f>
        <v/>
      </c>
      <c r="B4637" s="531" t="str">
        <f t="shared" si="564"/>
        <v/>
      </c>
      <c r="C4637" s="315"/>
      <c r="D4637" s="315"/>
      <c r="E4637" s="545"/>
      <c r="F4637" s="248"/>
      <c r="G4637" s="314"/>
      <c r="H4637" s="473"/>
      <c r="I4637" s="307"/>
      <c r="J4637" s="307"/>
      <c r="K4637" s="532"/>
      <c r="L4637" s="533"/>
      <c r="M4637" s="533"/>
      <c r="N4637" s="525" t="str">
        <f>IF(AND('331-CT'!$E$7=TH!H4637,OR(L4637="331",M4637="331")),"331",IF(AND(OR(L4637="131",M4637="131"),H4637='131-CT'!$E$7),"131",""))</f>
        <v/>
      </c>
      <c r="O4637" s="525" t="str">
        <f>IF(AND($B4637&gt;='111'!$N$11,$B4637&lt;='111'!$O$11,OR($L4637=$O$7,$M4637=$O$7)),"x","")</f>
        <v/>
      </c>
      <c r="P4637" s="525" t="str">
        <f>IF(AND($L4637=$O$7,$B4637&lt;'111'!$N$11),"x","")</f>
        <v/>
      </c>
      <c r="Q4637" s="525" t="str">
        <f>IF(AND($M4637=$O$7,$B4637&lt;'111'!$N$11),"x","")</f>
        <v/>
      </c>
      <c r="R4637" s="525" t="str">
        <f>IF(ISERROR(FIND('112'!$M$9,G4637,1)),"",IF((AND(FIND('112'!$M$9,G4637,1)&gt;=1,$B4637&gt;='112'!$N$8,$B4637&lt;='112'!$O$8,OR($L4637='112'!$I$6,$M4637='112'!$I$6))),"x",""))</f>
        <v/>
      </c>
      <c r="S4637" s="525" t="str">
        <f>IF(ISERROR(FIND('112'!$M$9,G4637,1)),"",IF((AND(LEFT(G4637,2)=LEFT('112'!$M$9,2),B4637&lt;'112'!$N$8,$L4637='112'!$I$6)),"x",""))</f>
        <v/>
      </c>
      <c r="T4637" s="525" t="str">
        <f>IF(ISERROR(FIND('112'!$M$9,G4637,1)),"",IF((AND(RIGHT(G4637,2)=RIGHT('112'!$M$9,2),B4637&lt;'112'!$N$8,$M4637='112'!$I$6)),"x",""))</f>
        <v/>
      </c>
      <c r="U4637" s="525" t="str">
        <f>IF(AND(B4637&gt;='IN-NX'!$P$3,B4637&lt;='IN-NX'!$Q$3,'IN-NX'!$D$7=D4637,OR(LEFT(L4637,2)="15",AND(LEFT(M4637,2)&lt;&gt;"15",LEFT(M4637,2)&lt;&gt;"33"))),"x","")</f>
        <v/>
      </c>
      <c r="V4637" s="525" t="str">
        <f>IF(AND(OR(LEFT(TH!L4637,2)="15",LEFT(TH!M4637,2)="15"),'152-CT'!$J$8=TH!F4637),"x","")</f>
        <v/>
      </c>
      <c r="W4637" s="525" t="str">
        <f>IF(AND(OR(LEFT(TH!L4637,2)="15",LEFT(TH!M4637,2)="15"),TK!$E$7=TH!F4637),"x","")</f>
        <v/>
      </c>
      <c r="X4637" s="525" t="str">
        <f>IF(AND('341-CT'!$E$9=H4637,OR(LEFT(L4637,3)=$X$7,LEFT(M4637,3)=$X$7)),"x","")</f>
        <v/>
      </c>
      <c r="Y4637" s="525" t="str">
        <f>IF(OR(TH!L4637=TH!$Y$7,M4637=TH!$Y$7),"x","")</f>
        <v/>
      </c>
      <c r="Z4637" s="525" t="str">
        <f>IF(AND(B4637&lt;=NKC!$N$8,B4637&gt;=NKC!$M$8),"x","")</f>
        <v/>
      </c>
      <c r="AA4637" s="535"/>
      <c r="AB4637" s="536"/>
      <c r="AD4637" s="536"/>
    </row>
    <row r="4638" spans="1:30" s="503" customFormat="1" ht="15.75" customHeight="1">
      <c r="A4638" s="517" t="str">
        <f>IF(B4638&lt;&gt;"",IF(AND(B4638&gt;=_TM1,B4638&lt;=_TM2,OR(TH!L4638="1111",TH!M4638="1111")),TH!D4638,""),"")</f>
        <v/>
      </c>
      <c r="B4638" s="531" t="str">
        <f t="shared" si="564"/>
        <v/>
      </c>
      <c r="C4638" s="315"/>
      <c r="D4638" s="315"/>
      <c r="E4638" s="545"/>
      <c r="F4638" s="248"/>
      <c r="G4638" s="314"/>
      <c r="H4638" s="473"/>
      <c r="I4638" s="307"/>
      <c r="J4638" s="307"/>
      <c r="K4638" s="532"/>
      <c r="L4638" s="533"/>
      <c r="M4638" s="533"/>
      <c r="N4638" s="525" t="str">
        <f>IF(AND('331-CT'!$E$7=TH!H4638,OR(L4638="331",M4638="331")),"331",IF(AND(OR(L4638="131",M4638="131"),H4638='131-CT'!$E$7),"131",""))</f>
        <v/>
      </c>
      <c r="O4638" s="525" t="str">
        <f>IF(AND($B4638&gt;='111'!$N$11,$B4638&lt;='111'!$O$11,OR($L4638=$O$7,$M4638=$O$7)),"x","")</f>
        <v/>
      </c>
      <c r="P4638" s="525" t="str">
        <f>IF(AND($L4638=$O$7,$B4638&lt;'111'!$N$11),"x","")</f>
        <v/>
      </c>
      <c r="Q4638" s="525" t="str">
        <f>IF(AND($M4638=$O$7,$B4638&lt;'111'!$N$11),"x","")</f>
        <v/>
      </c>
      <c r="R4638" s="525" t="str">
        <f>IF(ISERROR(FIND('112'!$M$9,G4638,1)),"",IF((AND(FIND('112'!$M$9,G4638,1)&gt;=1,$B4638&gt;='112'!$N$8,$B4638&lt;='112'!$O$8,OR($L4638='112'!$I$6,$M4638='112'!$I$6))),"x",""))</f>
        <v/>
      </c>
      <c r="S4638" s="525" t="str">
        <f>IF(ISERROR(FIND('112'!$M$9,G4638,1)),"",IF((AND(LEFT(G4638,2)=LEFT('112'!$M$9,2),B4638&lt;'112'!$N$8,$L4638='112'!$I$6)),"x",""))</f>
        <v/>
      </c>
      <c r="T4638" s="525" t="str">
        <f>IF(ISERROR(FIND('112'!$M$9,G4638,1)),"",IF((AND(RIGHT(G4638,2)=RIGHT('112'!$M$9,2),B4638&lt;'112'!$N$8,$M4638='112'!$I$6)),"x",""))</f>
        <v/>
      </c>
      <c r="U4638" s="525" t="str">
        <f>IF(AND(B4638&gt;='IN-NX'!$P$3,B4638&lt;='IN-NX'!$Q$3,'IN-NX'!$D$7=D4638,OR(LEFT(L4638,2)="15",AND(LEFT(M4638,2)&lt;&gt;"15",LEFT(M4638,2)&lt;&gt;"33"))),"x","")</f>
        <v/>
      </c>
      <c r="V4638" s="525" t="str">
        <f>IF(AND(OR(LEFT(TH!L4638,2)="15",LEFT(TH!M4638,2)="15"),'152-CT'!$J$8=TH!F4638),"x","")</f>
        <v/>
      </c>
      <c r="W4638" s="525" t="str">
        <f>IF(AND(OR(LEFT(TH!L4638,2)="15",LEFT(TH!M4638,2)="15"),TK!$E$7=TH!F4638),"x","")</f>
        <v/>
      </c>
      <c r="X4638" s="525" t="str">
        <f>IF(AND('341-CT'!$E$9=H4638,OR(LEFT(L4638,3)=$X$7,LEFT(M4638,3)=$X$7)),"x","")</f>
        <v/>
      </c>
      <c r="Y4638" s="525" t="str">
        <f>IF(OR(TH!L4638=TH!$Y$7,M4638=TH!$Y$7),"x","")</f>
        <v/>
      </c>
      <c r="Z4638" s="525" t="str">
        <f>IF(AND(B4638&lt;=NKC!$N$8,B4638&gt;=NKC!$M$8),"x","")</f>
        <v/>
      </c>
      <c r="AA4638" s="535"/>
      <c r="AB4638" s="536"/>
    </row>
    <row r="4639" spans="1:30" s="503" customFormat="1" ht="15.75" customHeight="1">
      <c r="A4639" s="517" t="str">
        <f>IF(B4639&lt;&gt;"",IF(AND(B4639&gt;=_TM1,B4639&lt;=_TM2,OR(TH!L4639="1111",TH!M4639="1111")),TH!D4639,""),"")</f>
        <v/>
      </c>
      <c r="B4639" s="531" t="str">
        <f t="shared" si="564"/>
        <v/>
      </c>
      <c r="C4639" s="315"/>
      <c r="D4639" s="315"/>
      <c r="E4639" s="545"/>
      <c r="F4639" s="248"/>
      <c r="G4639" s="314"/>
      <c r="H4639" s="473"/>
      <c r="I4639" s="307"/>
      <c r="J4639" s="307"/>
      <c r="K4639" s="532"/>
      <c r="L4639" s="533"/>
      <c r="M4639" s="533"/>
      <c r="N4639" s="525" t="str">
        <f>IF(AND('331-CT'!$E$7=TH!H4639,OR(L4639="331",M4639="331")),"331",IF(AND(OR(L4639="131",M4639="131"),H4639='131-CT'!$E$7),"131",""))</f>
        <v/>
      </c>
      <c r="O4639" s="525" t="str">
        <f>IF(AND($B4639&gt;='111'!$N$11,$B4639&lt;='111'!$O$11,OR($L4639=$O$7,$M4639=$O$7)),"x","")</f>
        <v/>
      </c>
      <c r="P4639" s="525" t="str">
        <f>IF(AND($L4639=$O$7,$B4639&lt;'111'!$N$11),"x","")</f>
        <v/>
      </c>
      <c r="Q4639" s="525" t="str">
        <f>IF(AND($M4639=$O$7,$B4639&lt;'111'!$N$11),"x","")</f>
        <v/>
      </c>
      <c r="R4639" s="525" t="str">
        <f>IF(ISERROR(FIND('112'!$M$9,G4639,1)),"",IF((AND(FIND('112'!$M$9,G4639,1)&gt;=1,$B4639&gt;='112'!$N$8,$B4639&lt;='112'!$O$8,OR($L4639='112'!$I$6,$M4639='112'!$I$6))),"x",""))</f>
        <v/>
      </c>
      <c r="S4639" s="525" t="str">
        <f>IF(ISERROR(FIND('112'!$M$9,G4639,1)),"",IF((AND(LEFT(G4639,2)=LEFT('112'!$M$9,2),B4639&lt;'112'!$N$8,$L4639='112'!$I$6)),"x",""))</f>
        <v/>
      </c>
      <c r="T4639" s="525" t="str">
        <f>IF(ISERROR(FIND('112'!$M$9,G4639,1)),"",IF((AND(RIGHT(G4639,2)=RIGHT('112'!$M$9,2),B4639&lt;'112'!$N$8,$M4639='112'!$I$6)),"x",""))</f>
        <v/>
      </c>
      <c r="U4639" s="525" t="str">
        <f>IF(AND(B4639&gt;='IN-NX'!$P$3,B4639&lt;='IN-NX'!$Q$3,'IN-NX'!$D$7=D4639,OR(LEFT(L4639,2)="15",AND(LEFT(M4639,2)&lt;&gt;"15",LEFT(M4639,2)&lt;&gt;"33"))),"x","")</f>
        <v/>
      </c>
      <c r="V4639" s="525" t="str">
        <f>IF(AND(OR(LEFT(TH!L4639,2)="15",LEFT(TH!M4639,2)="15"),'152-CT'!$J$8=TH!F4639),"x","")</f>
        <v/>
      </c>
      <c r="W4639" s="525" t="str">
        <f>IF(AND(OR(LEFT(TH!L4639,2)="15",LEFT(TH!M4639,2)="15"),TK!$E$7=TH!F4639),"x","")</f>
        <v/>
      </c>
      <c r="X4639" s="525" t="str">
        <f>IF(AND('341-CT'!$E$9=H4639,OR(LEFT(L4639,3)=$X$7,LEFT(M4639,3)=$X$7)),"x","")</f>
        <v/>
      </c>
      <c r="Y4639" s="525" t="str">
        <f>IF(OR(TH!L4639=TH!$Y$7,M4639=TH!$Y$7),"x","")</f>
        <v/>
      </c>
      <c r="Z4639" s="525" t="str">
        <f>IF(AND(B4639&lt;=NKC!$N$8,B4639&gt;=NKC!$M$8),"x","")</f>
        <v/>
      </c>
      <c r="AA4639" s="535"/>
      <c r="AB4639" s="536"/>
    </row>
    <row r="4640" spans="1:30" s="503" customFormat="1" ht="15.75" customHeight="1">
      <c r="A4640" s="517" t="str">
        <f>IF(B4640&lt;&gt;"",IF(AND(B4640&gt;=_TM1,B4640&lt;=_TM2,OR(TH!L4640="1111",TH!M4640="1111")),TH!D4640,""),"")</f>
        <v/>
      </c>
      <c r="B4640" s="531" t="str">
        <f t="shared" si="564"/>
        <v/>
      </c>
      <c r="C4640" s="315"/>
      <c r="D4640" s="315"/>
      <c r="E4640" s="545"/>
      <c r="F4640" s="248"/>
      <c r="G4640" s="314"/>
      <c r="H4640" s="473"/>
      <c r="I4640" s="307"/>
      <c r="J4640" s="307"/>
      <c r="K4640" s="532"/>
      <c r="L4640" s="533"/>
      <c r="M4640" s="533"/>
      <c r="N4640" s="525" t="str">
        <f>IF(AND('331-CT'!$E$7=TH!H4640,OR(L4640="331",M4640="331")),"331",IF(AND(OR(L4640="131",M4640="131"),H4640='131-CT'!$E$7),"131",""))</f>
        <v/>
      </c>
      <c r="O4640" s="525" t="str">
        <f>IF(AND($B4640&gt;='111'!$N$11,$B4640&lt;='111'!$O$11,OR($L4640=$O$7,$M4640=$O$7)),"x","")</f>
        <v/>
      </c>
      <c r="P4640" s="525" t="str">
        <f>IF(AND($L4640=$O$7,$B4640&lt;'111'!$N$11),"x","")</f>
        <v/>
      </c>
      <c r="Q4640" s="525" t="str">
        <f>IF(AND($M4640=$O$7,$B4640&lt;'111'!$N$11),"x","")</f>
        <v/>
      </c>
      <c r="R4640" s="525" t="str">
        <f>IF(ISERROR(FIND('112'!$M$9,G4640,1)),"",IF((AND(FIND('112'!$M$9,G4640,1)&gt;=1,$B4640&gt;='112'!$N$8,$B4640&lt;='112'!$O$8,OR($L4640='112'!$I$6,$M4640='112'!$I$6))),"x",""))</f>
        <v/>
      </c>
      <c r="S4640" s="525" t="str">
        <f>IF(ISERROR(FIND('112'!$M$9,G4640,1)),"",IF((AND(LEFT(G4640,2)=LEFT('112'!$M$9,2),B4640&lt;'112'!$N$8,$L4640='112'!$I$6)),"x",""))</f>
        <v/>
      </c>
      <c r="T4640" s="525" t="str">
        <f>IF(ISERROR(FIND('112'!$M$9,G4640,1)),"",IF((AND(RIGHT(G4640,2)=RIGHT('112'!$M$9,2),B4640&lt;'112'!$N$8,$M4640='112'!$I$6)),"x",""))</f>
        <v/>
      </c>
      <c r="U4640" s="525" t="str">
        <f>IF(AND(B4640&gt;='IN-NX'!$P$3,B4640&lt;='IN-NX'!$Q$3,'IN-NX'!$D$7=D4640,OR(LEFT(L4640,2)="15",AND(LEFT(M4640,2)&lt;&gt;"15",LEFT(M4640,2)&lt;&gt;"33"))),"x","")</f>
        <v/>
      </c>
      <c r="V4640" s="525" t="str">
        <f>IF(AND(OR(LEFT(TH!L4640,2)="15",LEFT(TH!M4640,2)="15"),'152-CT'!$J$8=TH!F4640),"x","")</f>
        <v/>
      </c>
      <c r="W4640" s="525" t="str">
        <f>IF(AND(OR(LEFT(TH!L4640,2)="15",LEFT(TH!M4640,2)="15"),TK!$E$7=TH!F4640),"x","")</f>
        <v/>
      </c>
      <c r="X4640" s="525" t="str">
        <f>IF(AND('341-CT'!$E$9=H4640,OR(LEFT(L4640,3)=$X$7,LEFT(M4640,3)=$X$7)),"x","")</f>
        <v/>
      </c>
      <c r="Y4640" s="525" t="str">
        <f>IF(OR(TH!L4640=TH!$Y$7,M4640=TH!$Y$7),"x","")</f>
        <v/>
      </c>
      <c r="Z4640" s="525" t="str">
        <f>IF(AND(B4640&lt;=NKC!$N$8,B4640&gt;=NKC!$M$8),"x","")</f>
        <v/>
      </c>
      <c r="AA4640" s="535"/>
      <c r="AB4640" s="536"/>
      <c r="AD4640" s="536"/>
    </row>
    <row r="4641" spans="1:30" s="503" customFormat="1" ht="15.75" customHeight="1">
      <c r="A4641" s="517" t="str">
        <f>IF(B4641&lt;&gt;"",IF(AND(B4641&gt;=_TM1,B4641&lt;=_TM2,OR(TH!L4641="1111",TH!M4641="1111")),TH!D4641,""),"")</f>
        <v/>
      </c>
      <c r="B4641" s="531" t="str">
        <f t="shared" si="564"/>
        <v/>
      </c>
      <c r="C4641" s="315"/>
      <c r="D4641" s="315"/>
      <c r="E4641" s="545"/>
      <c r="F4641" s="248"/>
      <c r="G4641" s="314"/>
      <c r="H4641" s="473"/>
      <c r="I4641" s="307"/>
      <c r="J4641" s="307"/>
      <c r="K4641" s="532"/>
      <c r="L4641" s="533"/>
      <c r="M4641" s="533"/>
      <c r="N4641" s="525" t="str">
        <f>IF(AND('331-CT'!$E$7=TH!H4641,OR(L4641="331",M4641="331")),"331",IF(AND(OR(L4641="131",M4641="131"),H4641='131-CT'!$E$7),"131",""))</f>
        <v/>
      </c>
      <c r="O4641" s="525" t="str">
        <f>IF(AND($B4641&gt;='111'!$N$11,$B4641&lt;='111'!$O$11,OR($L4641=$O$7,$M4641=$O$7)),"x","")</f>
        <v/>
      </c>
      <c r="P4641" s="525" t="str">
        <f>IF(AND($L4641=$O$7,$B4641&lt;'111'!$N$11),"x","")</f>
        <v/>
      </c>
      <c r="Q4641" s="525" t="str">
        <f>IF(AND($M4641=$O$7,$B4641&lt;'111'!$N$11),"x","")</f>
        <v/>
      </c>
      <c r="R4641" s="525" t="str">
        <f>IF(ISERROR(FIND('112'!$M$9,G4641,1)),"",IF((AND(FIND('112'!$M$9,G4641,1)&gt;=1,$B4641&gt;='112'!$N$8,$B4641&lt;='112'!$O$8,OR($L4641='112'!$I$6,$M4641='112'!$I$6))),"x",""))</f>
        <v/>
      </c>
      <c r="S4641" s="525" t="str">
        <f>IF(ISERROR(FIND('112'!$M$9,G4641,1)),"",IF((AND(LEFT(G4641,2)=LEFT('112'!$M$9,2),B4641&lt;'112'!$N$8,$L4641='112'!$I$6)),"x",""))</f>
        <v/>
      </c>
      <c r="T4641" s="525" t="str">
        <f>IF(ISERROR(FIND('112'!$M$9,G4641,1)),"",IF((AND(RIGHT(G4641,2)=RIGHT('112'!$M$9,2),B4641&lt;'112'!$N$8,$M4641='112'!$I$6)),"x",""))</f>
        <v/>
      </c>
      <c r="U4641" s="525" t="str">
        <f>IF(AND(B4641&gt;='IN-NX'!$P$3,B4641&lt;='IN-NX'!$Q$3,'IN-NX'!$D$7=D4641,OR(LEFT(L4641,2)="15",AND(LEFT(M4641,2)&lt;&gt;"15",LEFT(M4641,2)&lt;&gt;"33"))),"x","")</f>
        <v/>
      </c>
      <c r="V4641" s="525" t="str">
        <f>IF(AND(OR(LEFT(TH!L4641,2)="15",LEFT(TH!M4641,2)="15"),'152-CT'!$J$8=TH!F4641),"x","")</f>
        <v/>
      </c>
      <c r="W4641" s="525" t="str">
        <f>IF(AND(OR(LEFT(TH!L4641,2)="15",LEFT(TH!M4641,2)="15"),TK!$E$7=TH!F4641),"x","")</f>
        <v/>
      </c>
      <c r="X4641" s="525" t="str">
        <f>IF(AND('341-CT'!$E$9=H4641,OR(LEFT(L4641,3)=$X$7,LEFT(M4641,3)=$X$7)),"x","")</f>
        <v/>
      </c>
      <c r="Y4641" s="525" t="str">
        <f>IF(OR(TH!L4641=TH!$Y$7,M4641=TH!$Y$7),"x","")</f>
        <v/>
      </c>
      <c r="Z4641" s="525" t="str">
        <f>IF(AND(B4641&lt;=NKC!$N$8,B4641&gt;=NKC!$M$8),"x","")</f>
        <v/>
      </c>
      <c r="AA4641" s="535"/>
      <c r="AB4641" s="536"/>
    </row>
    <row r="4642" spans="1:30" s="503" customFormat="1" ht="15.75" customHeight="1">
      <c r="A4642" s="517" t="str">
        <f>IF(B4642&lt;&gt;"",IF(AND(B4642&gt;=_TM1,B4642&lt;=_TM2,OR(TH!L4642="1111",TH!M4642="1111")),TH!D4642,""),"")</f>
        <v/>
      </c>
      <c r="B4642" s="531" t="str">
        <f t="shared" ref="B4642:B4705" si="565">IF(C4642&lt;&gt;"",MONTH(C4642),"")</f>
        <v/>
      </c>
      <c r="C4642" s="315"/>
      <c r="D4642" s="315"/>
      <c r="E4642" s="545"/>
      <c r="F4642" s="248"/>
      <c r="G4642" s="314"/>
      <c r="H4642" s="473"/>
      <c r="I4642" s="307"/>
      <c r="J4642" s="307"/>
      <c r="K4642" s="532"/>
      <c r="L4642" s="533"/>
      <c r="M4642" s="533"/>
      <c r="N4642" s="525" t="str">
        <f>IF(AND('331-CT'!$E$7=TH!H4642,OR(L4642="331",M4642="331")),"331",IF(AND(OR(L4642="131",M4642="131"),H4642='131-CT'!$E$7),"131",""))</f>
        <v/>
      </c>
      <c r="O4642" s="525" t="str">
        <f>IF(AND($B4642&gt;='111'!$N$11,$B4642&lt;='111'!$O$11,OR($L4642=$O$7,$M4642=$O$7)),"x","")</f>
        <v/>
      </c>
      <c r="P4642" s="525" t="str">
        <f>IF(AND($L4642=$O$7,$B4642&lt;'111'!$N$11),"x","")</f>
        <v/>
      </c>
      <c r="Q4642" s="525" t="str">
        <f>IF(AND($M4642=$O$7,$B4642&lt;'111'!$N$11),"x","")</f>
        <v/>
      </c>
      <c r="R4642" s="525" t="str">
        <f>IF(ISERROR(FIND('112'!$M$9,G4642,1)),"",IF((AND(FIND('112'!$M$9,G4642,1)&gt;=1,$B4642&gt;='112'!$N$8,$B4642&lt;='112'!$O$8,OR($L4642='112'!$I$6,$M4642='112'!$I$6))),"x",""))</f>
        <v/>
      </c>
      <c r="S4642" s="525" t="str">
        <f>IF(ISERROR(FIND('112'!$M$9,G4642,1)),"",IF((AND(LEFT(G4642,2)=LEFT('112'!$M$9,2),B4642&lt;'112'!$N$8,$L4642='112'!$I$6)),"x",""))</f>
        <v/>
      </c>
      <c r="T4642" s="525" t="str">
        <f>IF(ISERROR(FIND('112'!$M$9,G4642,1)),"",IF((AND(RIGHT(G4642,2)=RIGHT('112'!$M$9,2),B4642&lt;'112'!$N$8,$M4642='112'!$I$6)),"x",""))</f>
        <v/>
      </c>
      <c r="U4642" s="525" t="str">
        <f>IF(AND(B4642&gt;='IN-NX'!$P$3,B4642&lt;='IN-NX'!$Q$3,'IN-NX'!$D$7=D4642,OR(LEFT(L4642,2)="15",AND(LEFT(M4642,2)&lt;&gt;"15",LEFT(M4642,2)&lt;&gt;"33"))),"x","")</f>
        <v/>
      </c>
      <c r="V4642" s="525" t="str">
        <f>IF(AND(OR(LEFT(TH!L4642,2)="15",LEFT(TH!M4642,2)="15"),'152-CT'!$J$8=TH!F4642),"x","")</f>
        <v/>
      </c>
      <c r="W4642" s="525" t="str">
        <f>IF(AND(OR(LEFT(TH!L4642,2)="15",LEFT(TH!M4642,2)="15"),TK!$E$7=TH!F4642),"x","")</f>
        <v/>
      </c>
      <c r="X4642" s="525" t="str">
        <f>IF(AND('341-CT'!$E$9=H4642,OR(LEFT(L4642,3)=$X$7,LEFT(M4642,3)=$X$7)),"x","")</f>
        <v/>
      </c>
      <c r="Y4642" s="525" t="str">
        <f>IF(OR(TH!L4642=TH!$Y$7,M4642=TH!$Y$7),"x","")</f>
        <v/>
      </c>
      <c r="Z4642" s="525" t="str">
        <f>IF(AND(B4642&lt;=NKC!$N$8,B4642&gt;=NKC!$M$8),"x","")</f>
        <v/>
      </c>
      <c r="AA4642" s="535"/>
      <c r="AB4642" s="536"/>
    </row>
    <row r="4643" spans="1:30" s="503" customFormat="1" ht="15.75" customHeight="1">
      <c r="A4643" s="517" t="str">
        <f>IF(B4643&lt;&gt;"",IF(AND(B4643&gt;=_TM1,B4643&lt;=_TM2,OR(TH!L4643="1111",TH!M4643="1111")),TH!D4643,""),"")</f>
        <v/>
      </c>
      <c r="B4643" s="531" t="str">
        <f t="shared" si="565"/>
        <v/>
      </c>
      <c r="C4643" s="315"/>
      <c r="D4643" s="315"/>
      <c r="E4643" s="545"/>
      <c r="F4643" s="248"/>
      <c r="G4643" s="314"/>
      <c r="H4643" s="473"/>
      <c r="I4643" s="307"/>
      <c r="J4643" s="307"/>
      <c r="K4643" s="532"/>
      <c r="L4643" s="533"/>
      <c r="M4643" s="533"/>
      <c r="N4643" s="525" t="str">
        <f>IF(AND('331-CT'!$E$7=TH!H4643,OR(L4643="331",M4643="331")),"331",IF(AND(OR(L4643="131",M4643="131"),H4643='131-CT'!$E$7),"131",""))</f>
        <v/>
      </c>
      <c r="O4643" s="525" t="str">
        <f>IF(AND($B4643&gt;='111'!$N$11,$B4643&lt;='111'!$O$11,OR($L4643=$O$7,$M4643=$O$7)),"x","")</f>
        <v/>
      </c>
      <c r="P4643" s="525" t="str">
        <f>IF(AND($L4643=$O$7,$B4643&lt;'111'!$N$11),"x","")</f>
        <v/>
      </c>
      <c r="Q4643" s="525" t="str">
        <f>IF(AND($M4643=$O$7,$B4643&lt;'111'!$N$11),"x","")</f>
        <v/>
      </c>
      <c r="R4643" s="525" t="str">
        <f>IF(ISERROR(FIND('112'!$M$9,G4643,1)),"",IF((AND(FIND('112'!$M$9,G4643,1)&gt;=1,$B4643&gt;='112'!$N$8,$B4643&lt;='112'!$O$8,OR($L4643='112'!$I$6,$M4643='112'!$I$6))),"x",""))</f>
        <v/>
      </c>
      <c r="S4643" s="525" t="str">
        <f>IF(ISERROR(FIND('112'!$M$9,G4643,1)),"",IF((AND(LEFT(G4643,2)=LEFT('112'!$M$9,2),B4643&lt;'112'!$N$8,$L4643='112'!$I$6)),"x",""))</f>
        <v/>
      </c>
      <c r="T4643" s="525" t="str">
        <f>IF(ISERROR(FIND('112'!$M$9,G4643,1)),"",IF((AND(RIGHT(G4643,2)=RIGHT('112'!$M$9,2),B4643&lt;'112'!$N$8,$M4643='112'!$I$6)),"x",""))</f>
        <v/>
      </c>
      <c r="U4643" s="525" t="str">
        <f>IF(AND(B4643&gt;='IN-NX'!$P$3,B4643&lt;='IN-NX'!$Q$3,'IN-NX'!$D$7=D4643,OR(LEFT(L4643,2)="15",AND(LEFT(M4643,2)&lt;&gt;"15",LEFT(M4643,2)&lt;&gt;"33"))),"x","")</f>
        <v/>
      </c>
      <c r="V4643" s="525" t="str">
        <f>IF(AND(OR(LEFT(TH!L4643,2)="15",LEFT(TH!M4643,2)="15"),'152-CT'!$J$8=TH!F4643),"x","")</f>
        <v/>
      </c>
      <c r="W4643" s="525" t="str">
        <f>IF(AND(OR(LEFT(TH!L4643,2)="15",LEFT(TH!M4643,2)="15"),TK!$E$7=TH!F4643),"x","")</f>
        <v/>
      </c>
      <c r="X4643" s="525" t="str">
        <f>IF(AND('341-CT'!$E$9=H4643,OR(LEFT(L4643,3)=$X$7,LEFT(M4643,3)=$X$7)),"x","")</f>
        <v/>
      </c>
      <c r="Y4643" s="525" t="str">
        <f>IF(OR(TH!L4643=TH!$Y$7,M4643=TH!$Y$7),"x","")</f>
        <v/>
      </c>
      <c r="Z4643" s="525" t="str">
        <f>IF(AND(B4643&lt;=NKC!$N$8,B4643&gt;=NKC!$M$8),"x","")</f>
        <v/>
      </c>
      <c r="AA4643" s="535"/>
      <c r="AB4643" s="536"/>
      <c r="AD4643" s="536"/>
    </row>
    <row r="4644" spans="1:30" s="503" customFormat="1" ht="15.75" customHeight="1">
      <c r="A4644" s="517" t="str">
        <f>IF(B4644&lt;&gt;"",IF(AND(B4644&gt;=_TM1,B4644&lt;=_TM2,OR(TH!L4644="1111",TH!M4644="1111")),TH!D4644,""),"")</f>
        <v/>
      </c>
      <c r="B4644" s="531" t="str">
        <f t="shared" si="565"/>
        <v/>
      </c>
      <c r="C4644" s="315"/>
      <c r="D4644" s="315"/>
      <c r="E4644" s="545"/>
      <c r="F4644" s="248"/>
      <c r="G4644" s="314"/>
      <c r="H4644" s="473"/>
      <c r="I4644" s="307"/>
      <c r="J4644" s="307"/>
      <c r="K4644" s="532"/>
      <c r="L4644" s="533"/>
      <c r="M4644" s="533"/>
      <c r="N4644" s="525" t="str">
        <f>IF(AND('331-CT'!$E$7=TH!H4644,OR(L4644="331",M4644="331")),"331",IF(AND(OR(L4644="131",M4644="131"),H4644='131-CT'!$E$7),"131",""))</f>
        <v/>
      </c>
      <c r="O4644" s="525" t="str">
        <f>IF(AND($B4644&gt;='111'!$N$11,$B4644&lt;='111'!$O$11,OR($L4644=$O$7,$M4644=$O$7)),"x","")</f>
        <v/>
      </c>
      <c r="P4644" s="525" t="str">
        <f>IF(AND($L4644=$O$7,$B4644&lt;'111'!$N$11),"x","")</f>
        <v/>
      </c>
      <c r="Q4644" s="525" t="str">
        <f>IF(AND($M4644=$O$7,$B4644&lt;'111'!$N$11),"x","")</f>
        <v/>
      </c>
      <c r="R4644" s="525" t="str">
        <f>IF(ISERROR(FIND('112'!$M$9,G4644,1)),"",IF((AND(FIND('112'!$M$9,G4644,1)&gt;=1,$B4644&gt;='112'!$N$8,$B4644&lt;='112'!$O$8,OR($L4644='112'!$I$6,$M4644='112'!$I$6))),"x",""))</f>
        <v/>
      </c>
      <c r="S4644" s="525" t="str">
        <f>IF(ISERROR(FIND('112'!$M$9,G4644,1)),"",IF((AND(LEFT(G4644,2)=LEFT('112'!$M$9,2),B4644&lt;'112'!$N$8,$L4644='112'!$I$6)),"x",""))</f>
        <v/>
      </c>
      <c r="T4644" s="525" t="str">
        <f>IF(ISERROR(FIND('112'!$M$9,G4644,1)),"",IF((AND(RIGHT(G4644,2)=RIGHT('112'!$M$9,2),B4644&lt;'112'!$N$8,$M4644='112'!$I$6)),"x",""))</f>
        <v/>
      </c>
      <c r="U4644" s="525" t="str">
        <f>IF(AND(B4644&gt;='IN-NX'!$P$3,B4644&lt;='IN-NX'!$Q$3,'IN-NX'!$D$7=D4644,OR(LEFT(L4644,2)="15",AND(LEFT(M4644,2)&lt;&gt;"15",LEFT(M4644,2)&lt;&gt;"33"))),"x","")</f>
        <v/>
      </c>
      <c r="V4644" s="525" t="str">
        <f>IF(AND(OR(LEFT(TH!L4644,2)="15",LEFT(TH!M4644,2)="15"),'152-CT'!$J$8=TH!F4644),"x","")</f>
        <v/>
      </c>
      <c r="W4644" s="525" t="str">
        <f>IF(AND(OR(LEFT(TH!L4644,2)="15",LEFT(TH!M4644,2)="15"),TK!$E$7=TH!F4644),"x","")</f>
        <v/>
      </c>
      <c r="X4644" s="525" t="str">
        <f>IF(AND('341-CT'!$E$9=H4644,OR(LEFT(L4644,3)=$X$7,LEFT(M4644,3)=$X$7)),"x","")</f>
        <v/>
      </c>
      <c r="Y4644" s="525" t="str">
        <f>IF(OR(TH!L4644=TH!$Y$7,M4644=TH!$Y$7),"x","")</f>
        <v/>
      </c>
      <c r="Z4644" s="525" t="str">
        <f>IF(AND(B4644&lt;=NKC!$N$8,B4644&gt;=NKC!$M$8),"x","")</f>
        <v/>
      </c>
      <c r="AA4644" s="535"/>
      <c r="AB4644" s="536"/>
    </row>
    <row r="4645" spans="1:30" s="503" customFormat="1" ht="15.75" customHeight="1">
      <c r="A4645" s="517" t="str">
        <f>IF(B4645&lt;&gt;"",IF(AND(B4645&gt;=_TM1,B4645&lt;=_TM2,OR(TH!L4645="1111",TH!M4645="1111")),TH!D4645,""),"")</f>
        <v/>
      </c>
      <c r="B4645" s="531" t="str">
        <f t="shared" si="565"/>
        <v/>
      </c>
      <c r="C4645" s="315"/>
      <c r="D4645" s="315"/>
      <c r="E4645" s="545"/>
      <c r="F4645" s="248"/>
      <c r="G4645" s="314"/>
      <c r="H4645" s="473"/>
      <c r="I4645" s="307"/>
      <c r="J4645" s="307"/>
      <c r="K4645" s="532"/>
      <c r="L4645" s="533"/>
      <c r="M4645" s="533"/>
      <c r="N4645" s="525" t="str">
        <f>IF(AND('331-CT'!$E$7=TH!H4645,OR(L4645="331",M4645="331")),"331",IF(AND(OR(L4645="131",M4645="131"),H4645='131-CT'!$E$7),"131",""))</f>
        <v/>
      </c>
      <c r="O4645" s="525" t="str">
        <f>IF(AND($B4645&gt;='111'!$N$11,$B4645&lt;='111'!$O$11,OR($L4645=$O$7,$M4645=$O$7)),"x","")</f>
        <v/>
      </c>
      <c r="P4645" s="525" t="str">
        <f>IF(AND($L4645=$O$7,$B4645&lt;'111'!$N$11),"x","")</f>
        <v/>
      </c>
      <c r="Q4645" s="525" t="str">
        <f>IF(AND($M4645=$O$7,$B4645&lt;'111'!$N$11),"x","")</f>
        <v/>
      </c>
      <c r="R4645" s="525" t="str">
        <f>IF(ISERROR(FIND('112'!$M$9,G4645,1)),"",IF((AND(FIND('112'!$M$9,G4645,1)&gt;=1,$B4645&gt;='112'!$N$8,$B4645&lt;='112'!$O$8,OR($L4645='112'!$I$6,$M4645='112'!$I$6))),"x",""))</f>
        <v/>
      </c>
      <c r="S4645" s="525" t="str">
        <f>IF(ISERROR(FIND('112'!$M$9,G4645,1)),"",IF((AND(LEFT(G4645,2)=LEFT('112'!$M$9,2),B4645&lt;'112'!$N$8,$L4645='112'!$I$6)),"x",""))</f>
        <v/>
      </c>
      <c r="T4645" s="525" t="str">
        <f>IF(ISERROR(FIND('112'!$M$9,G4645,1)),"",IF((AND(RIGHT(G4645,2)=RIGHT('112'!$M$9,2),B4645&lt;'112'!$N$8,$M4645='112'!$I$6)),"x",""))</f>
        <v/>
      </c>
      <c r="U4645" s="525" t="str">
        <f>IF(AND(B4645&gt;='IN-NX'!$P$3,B4645&lt;='IN-NX'!$Q$3,'IN-NX'!$D$7=D4645,OR(LEFT(L4645,2)="15",AND(LEFT(M4645,2)&lt;&gt;"15",LEFT(M4645,2)&lt;&gt;"33"))),"x","")</f>
        <v/>
      </c>
      <c r="V4645" s="525" t="str">
        <f>IF(AND(OR(LEFT(TH!L4645,2)="15",LEFT(TH!M4645,2)="15"),'152-CT'!$J$8=TH!F4645),"x","")</f>
        <v/>
      </c>
      <c r="W4645" s="525" t="str">
        <f>IF(AND(OR(LEFT(TH!L4645,2)="15",LEFT(TH!M4645,2)="15"),TK!$E$7=TH!F4645),"x","")</f>
        <v/>
      </c>
      <c r="X4645" s="525" t="str">
        <f>IF(AND('341-CT'!$E$9=H4645,OR(LEFT(L4645,3)=$X$7,LEFT(M4645,3)=$X$7)),"x","")</f>
        <v/>
      </c>
      <c r="Y4645" s="525" t="str">
        <f>IF(OR(TH!L4645=TH!$Y$7,M4645=TH!$Y$7),"x","")</f>
        <v/>
      </c>
      <c r="Z4645" s="525" t="str">
        <f>IF(AND(B4645&lt;=NKC!$N$8,B4645&gt;=NKC!$M$8),"x","")</f>
        <v/>
      </c>
      <c r="AA4645" s="535"/>
      <c r="AB4645" s="536"/>
    </row>
    <row r="4646" spans="1:30" s="503" customFormat="1" ht="15.75" customHeight="1">
      <c r="A4646" s="517" t="str">
        <f>IF(B4646&lt;&gt;"",IF(AND(B4646&gt;=_TM1,B4646&lt;=_TM2,OR(TH!L4646="1111",TH!M4646="1111")),TH!D4646,""),"")</f>
        <v/>
      </c>
      <c r="B4646" s="531" t="str">
        <f t="shared" si="565"/>
        <v/>
      </c>
      <c r="C4646" s="315"/>
      <c r="D4646" s="315"/>
      <c r="E4646" s="545"/>
      <c r="F4646" s="249"/>
      <c r="G4646" s="314"/>
      <c r="H4646" s="473"/>
      <c r="I4646" s="307"/>
      <c r="J4646" s="307"/>
      <c r="K4646" s="532"/>
      <c r="L4646" s="533"/>
      <c r="M4646" s="533"/>
      <c r="N4646" s="525" t="str">
        <f>IF(AND('331-CT'!$E$7=TH!H4646,OR(L4646="331",M4646="331")),"331",IF(AND(OR(L4646="131",M4646="131"),H4646='131-CT'!$E$7),"131",""))</f>
        <v/>
      </c>
      <c r="O4646" s="525" t="str">
        <f>IF(AND($B4646&gt;='111'!$N$11,$B4646&lt;='111'!$O$11,OR($L4646=$O$7,$M4646=$O$7)),"x","")</f>
        <v/>
      </c>
      <c r="P4646" s="525" t="str">
        <f>IF(AND($L4646=$O$7,$B4646&lt;'111'!$N$11),"x","")</f>
        <v/>
      </c>
      <c r="Q4646" s="525" t="str">
        <f>IF(AND($M4646=$O$7,$B4646&lt;'111'!$N$11),"x","")</f>
        <v/>
      </c>
      <c r="R4646" s="525" t="str">
        <f>IF(ISERROR(FIND('112'!$M$9,G4646,1)),"",IF((AND(FIND('112'!$M$9,G4646,1)&gt;=1,$B4646&gt;='112'!$N$8,$B4646&lt;='112'!$O$8,OR($L4646='112'!$I$6,$M4646='112'!$I$6))),"x",""))</f>
        <v/>
      </c>
      <c r="S4646" s="525" t="str">
        <f>IF(ISERROR(FIND('112'!$M$9,G4646,1)),"",IF((AND(LEFT(G4646,2)=LEFT('112'!$M$9,2),B4646&lt;'112'!$N$8,$L4646='112'!$I$6)),"x",""))</f>
        <v/>
      </c>
      <c r="T4646" s="525" t="str">
        <f>IF(ISERROR(FIND('112'!$M$9,G4646,1)),"",IF((AND(RIGHT(G4646,2)=RIGHT('112'!$M$9,2),B4646&lt;'112'!$N$8,$M4646='112'!$I$6)),"x",""))</f>
        <v/>
      </c>
      <c r="U4646" s="525" t="str">
        <f>IF(AND(B4646&gt;='IN-NX'!$P$3,B4646&lt;='IN-NX'!$Q$3,'IN-NX'!$D$7=D4646,OR(LEFT(L4646,2)="15",AND(LEFT(M4646,2)&lt;&gt;"15",LEFT(M4646,2)&lt;&gt;"33"))),"x","")</f>
        <v/>
      </c>
      <c r="V4646" s="525" t="str">
        <f>IF(AND(OR(LEFT(TH!L4646,2)="15",LEFT(TH!M4646,2)="15"),'152-CT'!$J$8=TH!F4646),"x","")</f>
        <v/>
      </c>
      <c r="W4646" s="525" t="str">
        <f>IF(AND(OR(LEFT(TH!L4646,2)="15",LEFT(TH!M4646,2)="15"),TK!$E$7=TH!F4646),"x","")</f>
        <v/>
      </c>
      <c r="X4646" s="525" t="str">
        <f>IF(AND('341-CT'!$E$9=H4646,OR(LEFT(L4646,3)=$X$7,LEFT(M4646,3)=$X$7)),"x","")</f>
        <v/>
      </c>
      <c r="Y4646" s="525" t="str">
        <f>IF(OR(TH!L4646=TH!$Y$7,M4646=TH!$Y$7),"x","")</f>
        <v/>
      </c>
      <c r="Z4646" s="525" t="str">
        <f>IF(AND(B4646&lt;=NKC!$N$8,B4646&gt;=NKC!$M$8),"x","")</f>
        <v/>
      </c>
      <c r="AA4646" s="535"/>
      <c r="AB4646" s="536"/>
      <c r="AD4646" s="536"/>
    </row>
    <row r="4647" spans="1:30" s="503" customFormat="1" ht="15.75" customHeight="1">
      <c r="A4647" s="517" t="str">
        <f>IF(B4647&lt;&gt;"",IF(AND(B4647&gt;=_TM1,B4647&lt;=_TM2,OR(TH!L4647="1111",TH!M4647="1111")),TH!D4647,""),"")</f>
        <v/>
      </c>
      <c r="B4647" s="531" t="str">
        <f t="shared" si="565"/>
        <v/>
      </c>
      <c r="C4647" s="315"/>
      <c r="D4647" s="315"/>
      <c r="E4647" s="545"/>
      <c r="F4647" s="248"/>
      <c r="G4647" s="314"/>
      <c r="H4647" s="473"/>
      <c r="I4647" s="307"/>
      <c r="J4647" s="307"/>
      <c r="K4647" s="532"/>
      <c r="L4647" s="533"/>
      <c r="M4647" s="533"/>
      <c r="N4647" s="525" t="str">
        <f>IF(AND('331-CT'!$E$7=TH!H4647,OR(L4647="331",M4647="331")),"331",IF(AND(OR(L4647="131",M4647="131"),H4647='131-CT'!$E$7),"131",""))</f>
        <v/>
      </c>
      <c r="O4647" s="525" t="str">
        <f>IF(AND($B4647&gt;='111'!$N$11,$B4647&lt;='111'!$O$11,OR($L4647=$O$7,$M4647=$O$7)),"x","")</f>
        <v/>
      </c>
      <c r="P4647" s="525" t="str">
        <f>IF(AND($L4647=$O$7,$B4647&lt;'111'!$N$11),"x","")</f>
        <v/>
      </c>
      <c r="Q4647" s="525" t="str">
        <f>IF(AND($M4647=$O$7,$B4647&lt;'111'!$N$11),"x","")</f>
        <v/>
      </c>
      <c r="R4647" s="525" t="str">
        <f>IF(ISERROR(FIND('112'!$M$9,G4647,1)),"",IF((AND(FIND('112'!$M$9,G4647,1)&gt;=1,$B4647&gt;='112'!$N$8,$B4647&lt;='112'!$O$8,OR($L4647='112'!$I$6,$M4647='112'!$I$6))),"x",""))</f>
        <v/>
      </c>
      <c r="S4647" s="525" t="str">
        <f>IF(ISERROR(FIND('112'!$M$9,G4647,1)),"",IF((AND(LEFT(G4647,2)=LEFT('112'!$M$9,2),B4647&lt;'112'!$N$8,$L4647='112'!$I$6)),"x",""))</f>
        <v/>
      </c>
      <c r="T4647" s="525" t="str">
        <f>IF(ISERROR(FIND('112'!$M$9,G4647,1)),"",IF((AND(RIGHT(G4647,2)=RIGHT('112'!$M$9,2),B4647&lt;'112'!$N$8,$M4647='112'!$I$6)),"x",""))</f>
        <v/>
      </c>
      <c r="U4647" s="525" t="str">
        <f>IF(AND(B4647&gt;='IN-NX'!$P$3,B4647&lt;='IN-NX'!$Q$3,'IN-NX'!$D$7=D4647,OR(LEFT(L4647,2)="15",AND(LEFT(M4647,2)&lt;&gt;"15",LEFT(M4647,2)&lt;&gt;"33"))),"x","")</f>
        <v/>
      </c>
      <c r="V4647" s="525" t="str">
        <f>IF(AND(OR(LEFT(TH!L4647,2)="15",LEFT(TH!M4647,2)="15"),'152-CT'!$J$8=TH!F4647),"x","")</f>
        <v/>
      </c>
      <c r="W4647" s="525" t="str">
        <f>IF(AND(OR(LEFT(TH!L4647,2)="15",LEFT(TH!M4647,2)="15"),TK!$E$7=TH!F4647),"x","")</f>
        <v/>
      </c>
      <c r="X4647" s="525" t="str">
        <f>IF(AND('341-CT'!$E$9=H4647,OR(LEFT(L4647,3)=$X$7,LEFT(M4647,3)=$X$7)),"x","")</f>
        <v/>
      </c>
      <c r="Y4647" s="525" t="str">
        <f>IF(OR(TH!L4647=TH!$Y$7,M4647=TH!$Y$7),"x","")</f>
        <v/>
      </c>
      <c r="Z4647" s="525" t="str">
        <f>IF(AND(B4647&lt;=NKC!$N$8,B4647&gt;=NKC!$M$8),"x","")</f>
        <v/>
      </c>
      <c r="AA4647" s="535"/>
      <c r="AB4647" s="536"/>
    </row>
    <row r="4648" spans="1:30" s="503" customFormat="1" ht="15.75" customHeight="1">
      <c r="A4648" s="517" t="str">
        <f>IF(B4648&lt;&gt;"",IF(AND(B4648&gt;=_TM1,B4648&lt;=_TM2,OR(TH!L4648="1111",TH!M4648="1111")),TH!D4648,""),"")</f>
        <v/>
      </c>
      <c r="B4648" s="531" t="str">
        <f t="shared" si="565"/>
        <v/>
      </c>
      <c r="C4648" s="315"/>
      <c r="D4648" s="315"/>
      <c r="E4648" s="545"/>
      <c r="F4648" s="248"/>
      <c r="G4648" s="314"/>
      <c r="H4648" s="473"/>
      <c r="I4648" s="307"/>
      <c r="J4648" s="307"/>
      <c r="K4648" s="532"/>
      <c r="L4648" s="533"/>
      <c r="M4648" s="533"/>
      <c r="N4648" s="525" t="str">
        <f>IF(AND('331-CT'!$E$7=TH!H4648,OR(L4648="331",M4648="331")),"331",IF(AND(OR(L4648="131",M4648="131"),H4648='131-CT'!$E$7),"131",""))</f>
        <v/>
      </c>
      <c r="O4648" s="525" t="str">
        <f>IF(AND($B4648&gt;='111'!$N$11,$B4648&lt;='111'!$O$11,OR($L4648=$O$7,$M4648=$O$7)),"x","")</f>
        <v/>
      </c>
      <c r="P4648" s="525" t="str">
        <f>IF(AND($L4648=$O$7,$B4648&lt;'111'!$N$11),"x","")</f>
        <v/>
      </c>
      <c r="Q4648" s="525" t="str">
        <f>IF(AND($M4648=$O$7,$B4648&lt;'111'!$N$11),"x","")</f>
        <v/>
      </c>
      <c r="R4648" s="525" t="str">
        <f>IF(ISERROR(FIND('112'!$M$9,G4648,1)),"",IF((AND(FIND('112'!$M$9,G4648,1)&gt;=1,$B4648&gt;='112'!$N$8,$B4648&lt;='112'!$O$8,OR($L4648='112'!$I$6,$M4648='112'!$I$6))),"x",""))</f>
        <v/>
      </c>
      <c r="S4648" s="525" t="str">
        <f>IF(ISERROR(FIND('112'!$M$9,G4648,1)),"",IF((AND(LEFT(G4648,2)=LEFT('112'!$M$9,2),B4648&lt;'112'!$N$8,$L4648='112'!$I$6)),"x",""))</f>
        <v/>
      </c>
      <c r="T4648" s="525" t="str">
        <f>IF(ISERROR(FIND('112'!$M$9,G4648,1)),"",IF((AND(RIGHT(G4648,2)=RIGHT('112'!$M$9,2),B4648&lt;'112'!$N$8,$M4648='112'!$I$6)),"x",""))</f>
        <v/>
      </c>
      <c r="U4648" s="525" t="str">
        <f>IF(AND(B4648&gt;='IN-NX'!$P$3,B4648&lt;='IN-NX'!$Q$3,'IN-NX'!$D$7=D4648,OR(LEFT(L4648,2)="15",AND(LEFT(M4648,2)&lt;&gt;"15",LEFT(M4648,2)&lt;&gt;"33"))),"x","")</f>
        <v/>
      </c>
      <c r="V4648" s="525" t="str">
        <f>IF(AND(OR(LEFT(TH!L4648,2)="15",LEFT(TH!M4648,2)="15"),'152-CT'!$J$8=TH!F4648),"x","")</f>
        <v/>
      </c>
      <c r="W4648" s="525" t="str">
        <f>IF(AND(OR(LEFT(TH!L4648,2)="15",LEFT(TH!M4648,2)="15"),TK!$E$7=TH!F4648),"x","")</f>
        <v/>
      </c>
      <c r="X4648" s="525" t="str">
        <f>IF(AND('341-CT'!$E$9=H4648,OR(LEFT(L4648,3)=$X$7,LEFT(M4648,3)=$X$7)),"x","")</f>
        <v/>
      </c>
      <c r="Y4648" s="525" t="str">
        <f>IF(OR(TH!L4648=TH!$Y$7,M4648=TH!$Y$7),"x","")</f>
        <v/>
      </c>
      <c r="Z4648" s="525" t="str">
        <f>IF(AND(B4648&lt;=NKC!$N$8,B4648&gt;=NKC!$M$8),"x","")</f>
        <v/>
      </c>
      <c r="AA4648" s="535"/>
      <c r="AB4648" s="536"/>
    </row>
    <row r="4649" spans="1:30" s="503" customFormat="1" ht="15.75" customHeight="1">
      <c r="A4649" s="517" t="str">
        <f>IF(B4649&lt;&gt;"",IF(AND(B4649&gt;=_TM1,B4649&lt;=_TM2,OR(TH!L4649="1111",TH!M4649="1111")),TH!D4649,""),"")</f>
        <v/>
      </c>
      <c r="B4649" s="531" t="str">
        <f t="shared" si="565"/>
        <v/>
      </c>
      <c r="C4649" s="315"/>
      <c r="D4649" s="315"/>
      <c r="E4649" s="545"/>
      <c r="F4649" s="248"/>
      <c r="G4649" s="314"/>
      <c r="H4649" s="473"/>
      <c r="I4649" s="307"/>
      <c r="J4649" s="307"/>
      <c r="K4649" s="532"/>
      <c r="L4649" s="533"/>
      <c r="M4649" s="533"/>
      <c r="N4649" s="525" t="str">
        <f>IF(AND('331-CT'!$E$7=TH!H4649,OR(L4649="331",M4649="331")),"331",IF(AND(OR(L4649="131",M4649="131"),H4649='131-CT'!$E$7),"131",""))</f>
        <v/>
      </c>
      <c r="O4649" s="525" t="str">
        <f>IF(AND($B4649&gt;='111'!$N$11,$B4649&lt;='111'!$O$11,OR($L4649=$O$7,$M4649=$O$7)),"x","")</f>
        <v/>
      </c>
      <c r="P4649" s="525" t="str">
        <f>IF(AND($L4649=$O$7,$B4649&lt;'111'!$N$11),"x","")</f>
        <v/>
      </c>
      <c r="Q4649" s="525" t="str">
        <f>IF(AND($M4649=$O$7,$B4649&lt;'111'!$N$11),"x","")</f>
        <v/>
      </c>
      <c r="R4649" s="525" t="str">
        <f>IF(ISERROR(FIND('112'!$M$9,G4649,1)),"",IF((AND(FIND('112'!$M$9,G4649,1)&gt;=1,$B4649&gt;='112'!$N$8,$B4649&lt;='112'!$O$8,OR($L4649='112'!$I$6,$M4649='112'!$I$6))),"x",""))</f>
        <v/>
      </c>
      <c r="S4649" s="525" t="str">
        <f>IF(ISERROR(FIND('112'!$M$9,G4649,1)),"",IF((AND(LEFT(G4649,2)=LEFT('112'!$M$9,2),B4649&lt;'112'!$N$8,$L4649='112'!$I$6)),"x",""))</f>
        <v/>
      </c>
      <c r="T4649" s="525" t="str">
        <f>IF(ISERROR(FIND('112'!$M$9,G4649,1)),"",IF((AND(RIGHT(G4649,2)=RIGHT('112'!$M$9,2),B4649&lt;'112'!$N$8,$M4649='112'!$I$6)),"x",""))</f>
        <v/>
      </c>
      <c r="U4649" s="525" t="str">
        <f>IF(AND(B4649&gt;='IN-NX'!$P$3,B4649&lt;='IN-NX'!$Q$3,'IN-NX'!$D$7=D4649,OR(LEFT(L4649,2)="15",AND(LEFT(M4649,2)&lt;&gt;"15",LEFT(M4649,2)&lt;&gt;"33"))),"x","")</f>
        <v/>
      </c>
      <c r="V4649" s="525" t="str">
        <f>IF(AND(OR(LEFT(TH!L4649,2)="15",LEFT(TH!M4649,2)="15"),'152-CT'!$J$8=TH!F4649),"x","")</f>
        <v/>
      </c>
      <c r="W4649" s="525" t="str">
        <f>IF(AND(OR(LEFT(TH!L4649,2)="15",LEFT(TH!M4649,2)="15"),TK!$E$7=TH!F4649),"x","")</f>
        <v/>
      </c>
      <c r="X4649" s="525" t="str">
        <f>IF(AND('341-CT'!$E$9=H4649,OR(LEFT(L4649,3)=$X$7,LEFT(M4649,3)=$X$7)),"x","")</f>
        <v/>
      </c>
      <c r="Y4649" s="525" t="str">
        <f>IF(OR(TH!L4649=TH!$Y$7,M4649=TH!$Y$7),"x","")</f>
        <v/>
      </c>
      <c r="Z4649" s="525" t="str">
        <f>IF(AND(B4649&lt;=NKC!$N$8,B4649&gt;=NKC!$M$8),"x","")</f>
        <v/>
      </c>
      <c r="AA4649" s="535"/>
      <c r="AB4649" s="536"/>
      <c r="AD4649" s="536"/>
    </row>
    <row r="4650" spans="1:30" s="503" customFormat="1" ht="15.75" customHeight="1">
      <c r="A4650" s="517" t="str">
        <f>IF(B4650&lt;&gt;"",IF(AND(B4650&gt;=_TM1,B4650&lt;=_TM2,OR(TH!L4650="1111",TH!M4650="1111")),TH!D4650,""),"")</f>
        <v/>
      </c>
      <c r="B4650" s="531" t="str">
        <f t="shared" si="565"/>
        <v/>
      </c>
      <c r="C4650" s="315"/>
      <c r="D4650" s="315"/>
      <c r="E4650" s="545"/>
      <c r="F4650" s="248"/>
      <c r="G4650" s="314"/>
      <c r="H4650" s="473"/>
      <c r="I4650" s="307"/>
      <c r="J4650" s="307"/>
      <c r="K4650" s="532"/>
      <c r="L4650" s="533"/>
      <c r="M4650" s="533"/>
      <c r="N4650" s="525" t="str">
        <f>IF(AND('331-CT'!$E$7=TH!H4650,OR(L4650="331",M4650="331")),"331",IF(AND(OR(L4650="131",M4650="131"),H4650='131-CT'!$E$7),"131",""))</f>
        <v/>
      </c>
      <c r="O4650" s="525" t="str">
        <f>IF(AND($B4650&gt;='111'!$N$11,$B4650&lt;='111'!$O$11,OR($L4650=$O$7,$M4650=$O$7)),"x","")</f>
        <v/>
      </c>
      <c r="P4650" s="525" t="str">
        <f>IF(AND($L4650=$O$7,$B4650&lt;'111'!$N$11),"x","")</f>
        <v/>
      </c>
      <c r="Q4650" s="525" t="str">
        <f>IF(AND($M4650=$O$7,$B4650&lt;'111'!$N$11),"x","")</f>
        <v/>
      </c>
      <c r="R4650" s="525" t="str">
        <f>IF(ISERROR(FIND('112'!$M$9,G4650,1)),"",IF((AND(FIND('112'!$M$9,G4650,1)&gt;=1,$B4650&gt;='112'!$N$8,$B4650&lt;='112'!$O$8,OR($L4650='112'!$I$6,$M4650='112'!$I$6))),"x",""))</f>
        <v/>
      </c>
      <c r="S4650" s="525" t="str">
        <f>IF(ISERROR(FIND('112'!$M$9,G4650,1)),"",IF((AND(LEFT(G4650,2)=LEFT('112'!$M$9,2),B4650&lt;'112'!$N$8,$L4650='112'!$I$6)),"x",""))</f>
        <v/>
      </c>
      <c r="T4650" s="525" t="str">
        <f>IF(ISERROR(FIND('112'!$M$9,G4650,1)),"",IF((AND(RIGHT(G4650,2)=RIGHT('112'!$M$9,2),B4650&lt;'112'!$N$8,$M4650='112'!$I$6)),"x",""))</f>
        <v/>
      </c>
      <c r="U4650" s="525" t="str">
        <f>IF(AND(B4650&gt;='IN-NX'!$P$3,B4650&lt;='IN-NX'!$Q$3,'IN-NX'!$D$7=D4650,OR(LEFT(L4650,2)="15",AND(LEFT(M4650,2)&lt;&gt;"15",LEFT(M4650,2)&lt;&gt;"33"))),"x","")</f>
        <v/>
      </c>
      <c r="V4650" s="525" t="str">
        <f>IF(AND(OR(LEFT(TH!L4650,2)="15",LEFT(TH!M4650,2)="15"),'152-CT'!$J$8=TH!F4650),"x","")</f>
        <v/>
      </c>
      <c r="W4650" s="525" t="str">
        <f>IF(AND(OR(LEFT(TH!L4650,2)="15",LEFT(TH!M4650,2)="15"),TK!$E$7=TH!F4650),"x","")</f>
        <v/>
      </c>
      <c r="X4650" s="525" t="str">
        <f>IF(AND('341-CT'!$E$9=H4650,OR(LEFT(L4650,3)=$X$7,LEFT(M4650,3)=$X$7)),"x","")</f>
        <v/>
      </c>
      <c r="Y4650" s="525" t="str">
        <f>IF(OR(TH!L4650=TH!$Y$7,M4650=TH!$Y$7),"x","")</f>
        <v/>
      </c>
      <c r="Z4650" s="525" t="str">
        <f>IF(AND(B4650&lt;=NKC!$N$8,B4650&gt;=NKC!$M$8),"x","")</f>
        <v/>
      </c>
      <c r="AA4650" s="535"/>
      <c r="AB4650" s="536"/>
    </row>
    <row r="4651" spans="1:30" s="503" customFormat="1" ht="15.75" customHeight="1">
      <c r="A4651" s="517" t="str">
        <f>IF(B4651&lt;&gt;"",IF(AND(B4651&gt;=_TM1,B4651&lt;=_TM2,OR(TH!L4651="1111",TH!M4651="1111")),TH!D4651,""),"")</f>
        <v/>
      </c>
      <c r="B4651" s="531" t="str">
        <f t="shared" si="565"/>
        <v/>
      </c>
      <c r="C4651" s="315"/>
      <c r="D4651" s="315"/>
      <c r="E4651" s="545"/>
      <c r="F4651" s="248"/>
      <c r="G4651" s="314"/>
      <c r="H4651" s="473"/>
      <c r="I4651" s="307"/>
      <c r="J4651" s="307"/>
      <c r="K4651" s="532"/>
      <c r="L4651" s="533"/>
      <c r="M4651" s="533"/>
      <c r="N4651" s="525" t="str">
        <f>IF(AND('331-CT'!$E$7=TH!H4651,OR(L4651="331",M4651="331")),"331",IF(AND(OR(L4651="131",M4651="131"),H4651='131-CT'!$E$7),"131",""))</f>
        <v/>
      </c>
      <c r="O4651" s="525" t="str">
        <f>IF(AND($B4651&gt;='111'!$N$11,$B4651&lt;='111'!$O$11,OR($L4651=$O$7,$M4651=$O$7)),"x","")</f>
        <v/>
      </c>
      <c r="P4651" s="525" t="str">
        <f>IF(AND($L4651=$O$7,$B4651&lt;'111'!$N$11),"x","")</f>
        <v/>
      </c>
      <c r="Q4651" s="525" t="str">
        <f>IF(AND($M4651=$O$7,$B4651&lt;'111'!$N$11),"x","")</f>
        <v/>
      </c>
      <c r="R4651" s="525" t="str">
        <f>IF(ISERROR(FIND('112'!$M$9,G4651,1)),"",IF((AND(FIND('112'!$M$9,G4651,1)&gt;=1,$B4651&gt;='112'!$N$8,$B4651&lt;='112'!$O$8,OR($L4651='112'!$I$6,$M4651='112'!$I$6))),"x",""))</f>
        <v/>
      </c>
      <c r="S4651" s="525" t="str">
        <f>IF(ISERROR(FIND('112'!$M$9,G4651,1)),"",IF((AND(LEFT(G4651,2)=LEFT('112'!$M$9,2),B4651&lt;'112'!$N$8,$L4651='112'!$I$6)),"x",""))</f>
        <v/>
      </c>
      <c r="T4651" s="525" t="str">
        <f>IF(ISERROR(FIND('112'!$M$9,G4651,1)),"",IF((AND(RIGHT(G4651,2)=RIGHT('112'!$M$9,2),B4651&lt;'112'!$N$8,$M4651='112'!$I$6)),"x",""))</f>
        <v/>
      </c>
      <c r="U4651" s="525" t="str">
        <f>IF(AND(B4651&gt;='IN-NX'!$P$3,B4651&lt;='IN-NX'!$Q$3,'IN-NX'!$D$7=D4651,OR(LEFT(L4651,2)="15",AND(LEFT(M4651,2)&lt;&gt;"15",LEFT(M4651,2)&lt;&gt;"33"))),"x","")</f>
        <v/>
      </c>
      <c r="V4651" s="525" t="str">
        <f>IF(AND(OR(LEFT(TH!L4651,2)="15",LEFT(TH!M4651,2)="15"),'152-CT'!$J$8=TH!F4651),"x","")</f>
        <v/>
      </c>
      <c r="W4651" s="525" t="str">
        <f>IF(AND(OR(LEFT(TH!L4651,2)="15",LEFT(TH!M4651,2)="15"),TK!$E$7=TH!F4651),"x","")</f>
        <v/>
      </c>
      <c r="X4651" s="525" t="str">
        <f>IF(AND('341-CT'!$E$9=H4651,OR(LEFT(L4651,3)=$X$7,LEFT(M4651,3)=$X$7)),"x","")</f>
        <v/>
      </c>
      <c r="Y4651" s="525" t="str">
        <f>IF(OR(TH!L4651=TH!$Y$7,M4651=TH!$Y$7),"x","")</f>
        <v/>
      </c>
      <c r="Z4651" s="525" t="str">
        <f>IF(AND(B4651&lt;=NKC!$N$8,B4651&gt;=NKC!$M$8),"x","")</f>
        <v/>
      </c>
      <c r="AA4651" s="535"/>
      <c r="AB4651" s="536"/>
    </row>
    <row r="4652" spans="1:30" s="503" customFormat="1" ht="15.75" customHeight="1">
      <c r="A4652" s="517" t="str">
        <f>IF(B4652&lt;&gt;"",IF(AND(B4652&gt;=_TM1,B4652&lt;=_TM2,OR(TH!L4652="1111",TH!M4652="1111")),TH!D4652,""),"")</f>
        <v/>
      </c>
      <c r="B4652" s="531" t="str">
        <f t="shared" si="565"/>
        <v/>
      </c>
      <c r="C4652" s="315"/>
      <c r="D4652" s="315"/>
      <c r="E4652" s="545"/>
      <c r="F4652" s="248"/>
      <c r="G4652" s="314"/>
      <c r="H4652" s="473"/>
      <c r="I4652" s="307"/>
      <c r="J4652" s="307"/>
      <c r="K4652" s="532"/>
      <c r="L4652" s="533"/>
      <c r="M4652" s="533"/>
      <c r="N4652" s="525" t="str">
        <f>IF(AND('331-CT'!$E$7=TH!H4652,OR(L4652="331",M4652="331")),"331",IF(AND(OR(L4652="131",M4652="131"),H4652='131-CT'!$E$7),"131",""))</f>
        <v/>
      </c>
      <c r="O4652" s="525" t="str">
        <f>IF(AND($B4652&gt;='111'!$N$11,$B4652&lt;='111'!$O$11,OR($L4652=$O$7,$M4652=$O$7)),"x","")</f>
        <v/>
      </c>
      <c r="P4652" s="525" t="str">
        <f>IF(AND($L4652=$O$7,$B4652&lt;'111'!$N$11),"x","")</f>
        <v/>
      </c>
      <c r="Q4652" s="525" t="str">
        <f>IF(AND($M4652=$O$7,$B4652&lt;'111'!$N$11),"x","")</f>
        <v/>
      </c>
      <c r="R4652" s="525" t="str">
        <f>IF(ISERROR(FIND('112'!$M$9,G4652,1)),"",IF((AND(FIND('112'!$M$9,G4652,1)&gt;=1,$B4652&gt;='112'!$N$8,$B4652&lt;='112'!$O$8,OR($L4652='112'!$I$6,$M4652='112'!$I$6))),"x",""))</f>
        <v/>
      </c>
      <c r="S4652" s="525" t="str">
        <f>IF(ISERROR(FIND('112'!$M$9,G4652,1)),"",IF((AND(LEFT(G4652,2)=LEFT('112'!$M$9,2),B4652&lt;'112'!$N$8,$L4652='112'!$I$6)),"x",""))</f>
        <v/>
      </c>
      <c r="T4652" s="525" t="str">
        <f>IF(ISERROR(FIND('112'!$M$9,G4652,1)),"",IF((AND(RIGHT(G4652,2)=RIGHT('112'!$M$9,2),B4652&lt;'112'!$N$8,$M4652='112'!$I$6)),"x",""))</f>
        <v/>
      </c>
      <c r="U4652" s="525" t="str">
        <f>IF(AND(B4652&gt;='IN-NX'!$P$3,B4652&lt;='IN-NX'!$Q$3,'IN-NX'!$D$7=D4652,OR(LEFT(L4652,2)="15",AND(LEFT(M4652,2)&lt;&gt;"15",LEFT(M4652,2)&lt;&gt;"33"))),"x","")</f>
        <v/>
      </c>
      <c r="V4652" s="525" t="str">
        <f>IF(AND(OR(LEFT(TH!L4652,2)="15",LEFT(TH!M4652,2)="15"),'152-CT'!$J$8=TH!F4652),"x","")</f>
        <v/>
      </c>
      <c r="W4652" s="525" t="str">
        <f>IF(AND(OR(LEFT(TH!L4652,2)="15",LEFT(TH!M4652,2)="15"),TK!$E$7=TH!F4652),"x","")</f>
        <v/>
      </c>
      <c r="X4652" s="525" t="str">
        <f>IF(AND('341-CT'!$E$9=H4652,OR(LEFT(L4652,3)=$X$7,LEFT(M4652,3)=$X$7)),"x","")</f>
        <v/>
      </c>
      <c r="Y4652" s="525" t="str">
        <f>IF(OR(TH!L4652=TH!$Y$7,M4652=TH!$Y$7),"x","")</f>
        <v/>
      </c>
      <c r="Z4652" s="525" t="str">
        <f>IF(AND(B4652&lt;=NKC!$N$8,B4652&gt;=NKC!$M$8),"x","")</f>
        <v/>
      </c>
      <c r="AA4652" s="535"/>
      <c r="AB4652" s="536"/>
      <c r="AD4652" s="536"/>
    </row>
    <row r="4653" spans="1:30" s="503" customFormat="1" ht="15.75" customHeight="1">
      <c r="A4653" s="517" t="str">
        <f>IF(B4653&lt;&gt;"",IF(AND(B4653&gt;=_TM1,B4653&lt;=_TM2,OR(TH!L4653="1111",TH!M4653="1111")),TH!D4653,""),"")</f>
        <v/>
      </c>
      <c r="B4653" s="531" t="str">
        <f t="shared" si="565"/>
        <v/>
      </c>
      <c r="C4653" s="315"/>
      <c r="D4653" s="315"/>
      <c r="E4653" s="545"/>
      <c r="F4653" s="248"/>
      <c r="G4653" s="314"/>
      <c r="H4653" s="473"/>
      <c r="I4653" s="307"/>
      <c r="J4653" s="307"/>
      <c r="K4653" s="532"/>
      <c r="L4653" s="533"/>
      <c r="M4653" s="533"/>
      <c r="N4653" s="525" t="str">
        <f>IF(AND('331-CT'!$E$7=TH!H4653,OR(L4653="331",M4653="331")),"331",IF(AND(OR(L4653="131",M4653="131"),H4653='131-CT'!$E$7),"131",""))</f>
        <v/>
      </c>
      <c r="O4653" s="525" t="str">
        <f>IF(AND($B4653&gt;='111'!$N$11,$B4653&lt;='111'!$O$11,OR($L4653=$O$7,$M4653=$O$7)),"x","")</f>
        <v/>
      </c>
      <c r="P4653" s="525" t="str">
        <f>IF(AND($L4653=$O$7,$B4653&lt;'111'!$N$11),"x","")</f>
        <v/>
      </c>
      <c r="Q4653" s="525" t="str">
        <f>IF(AND($M4653=$O$7,$B4653&lt;'111'!$N$11),"x","")</f>
        <v/>
      </c>
      <c r="R4653" s="525" t="str">
        <f>IF(ISERROR(FIND('112'!$M$9,G4653,1)),"",IF((AND(FIND('112'!$M$9,G4653,1)&gt;=1,$B4653&gt;='112'!$N$8,$B4653&lt;='112'!$O$8,OR($L4653='112'!$I$6,$M4653='112'!$I$6))),"x",""))</f>
        <v/>
      </c>
      <c r="S4653" s="525" t="str">
        <f>IF(ISERROR(FIND('112'!$M$9,G4653,1)),"",IF((AND(LEFT(G4653,2)=LEFT('112'!$M$9,2),B4653&lt;'112'!$N$8,$L4653='112'!$I$6)),"x",""))</f>
        <v/>
      </c>
      <c r="T4653" s="525" t="str">
        <f>IF(ISERROR(FIND('112'!$M$9,G4653,1)),"",IF((AND(RIGHT(G4653,2)=RIGHT('112'!$M$9,2),B4653&lt;'112'!$N$8,$M4653='112'!$I$6)),"x",""))</f>
        <v/>
      </c>
      <c r="U4653" s="525" t="str">
        <f>IF(AND(B4653&gt;='IN-NX'!$P$3,B4653&lt;='IN-NX'!$Q$3,'IN-NX'!$D$7=D4653,OR(LEFT(L4653,2)="15",AND(LEFT(M4653,2)&lt;&gt;"15",LEFT(M4653,2)&lt;&gt;"33"))),"x","")</f>
        <v/>
      </c>
      <c r="V4653" s="525" t="str">
        <f>IF(AND(OR(LEFT(TH!L4653,2)="15",LEFT(TH!M4653,2)="15"),'152-CT'!$J$8=TH!F4653),"x","")</f>
        <v/>
      </c>
      <c r="W4653" s="525" t="str">
        <f>IF(AND(OR(LEFT(TH!L4653,2)="15",LEFT(TH!M4653,2)="15"),TK!$E$7=TH!F4653),"x","")</f>
        <v/>
      </c>
      <c r="X4653" s="525" t="str">
        <f>IF(AND('341-CT'!$E$9=H4653,OR(LEFT(L4653,3)=$X$7,LEFT(M4653,3)=$X$7)),"x","")</f>
        <v/>
      </c>
      <c r="Y4653" s="525" t="str">
        <f>IF(OR(TH!L4653=TH!$Y$7,M4653=TH!$Y$7),"x","")</f>
        <v/>
      </c>
      <c r="Z4653" s="525" t="str">
        <f>IF(AND(B4653&lt;=NKC!$N$8,B4653&gt;=NKC!$M$8),"x","")</f>
        <v/>
      </c>
      <c r="AA4653" s="535"/>
      <c r="AB4653" s="536"/>
    </row>
    <row r="4654" spans="1:30" s="503" customFormat="1" ht="15.75" customHeight="1">
      <c r="A4654" s="517" t="str">
        <f>IF(B4654&lt;&gt;"",IF(AND(B4654&gt;=_TM1,B4654&lt;=_TM2,OR(TH!L4654="1111",TH!M4654="1111")),TH!D4654,""),"")</f>
        <v/>
      </c>
      <c r="B4654" s="531" t="str">
        <f t="shared" si="565"/>
        <v/>
      </c>
      <c r="C4654" s="315"/>
      <c r="D4654" s="315"/>
      <c r="E4654" s="545"/>
      <c r="F4654" s="248"/>
      <c r="G4654" s="314"/>
      <c r="H4654" s="473"/>
      <c r="I4654" s="307"/>
      <c r="J4654" s="307"/>
      <c r="K4654" s="532"/>
      <c r="L4654" s="533"/>
      <c r="M4654" s="533"/>
      <c r="N4654" s="525" t="str">
        <f>IF(AND('331-CT'!$E$7=TH!H4654,OR(L4654="331",M4654="331")),"331",IF(AND(OR(L4654="131",M4654="131"),H4654='131-CT'!$E$7),"131",""))</f>
        <v/>
      </c>
      <c r="O4654" s="525" t="str">
        <f>IF(AND($B4654&gt;='111'!$N$11,$B4654&lt;='111'!$O$11,OR($L4654=$O$7,$M4654=$O$7)),"x","")</f>
        <v/>
      </c>
      <c r="P4654" s="525" t="str">
        <f>IF(AND($L4654=$O$7,$B4654&lt;'111'!$N$11),"x","")</f>
        <v/>
      </c>
      <c r="Q4654" s="525" t="str">
        <f>IF(AND($M4654=$O$7,$B4654&lt;'111'!$N$11),"x","")</f>
        <v/>
      </c>
      <c r="R4654" s="525" t="str">
        <f>IF(ISERROR(FIND('112'!$M$9,G4654,1)),"",IF((AND(FIND('112'!$M$9,G4654,1)&gt;=1,$B4654&gt;='112'!$N$8,$B4654&lt;='112'!$O$8,OR($L4654='112'!$I$6,$M4654='112'!$I$6))),"x",""))</f>
        <v/>
      </c>
      <c r="S4654" s="525" t="str">
        <f>IF(ISERROR(FIND('112'!$M$9,G4654,1)),"",IF((AND(LEFT(G4654,2)=LEFT('112'!$M$9,2),B4654&lt;'112'!$N$8,$L4654='112'!$I$6)),"x",""))</f>
        <v/>
      </c>
      <c r="T4654" s="525" t="str">
        <f>IF(ISERROR(FIND('112'!$M$9,G4654,1)),"",IF((AND(RIGHT(G4654,2)=RIGHT('112'!$M$9,2),B4654&lt;'112'!$N$8,$M4654='112'!$I$6)),"x",""))</f>
        <v/>
      </c>
      <c r="U4654" s="525" t="str">
        <f>IF(AND(B4654&gt;='IN-NX'!$P$3,B4654&lt;='IN-NX'!$Q$3,'IN-NX'!$D$7=D4654,OR(LEFT(L4654,2)="15",AND(LEFT(M4654,2)&lt;&gt;"15",LEFT(M4654,2)&lt;&gt;"33"))),"x","")</f>
        <v/>
      </c>
      <c r="V4654" s="525" t="str">
        <f>IF(AND(OR(LEFT(TH!L4654,2)="15",LEFT(TH!M4654,2)="15"),'152-CT'!$J$8=TH!F4654),"x","")</f>
        <v/>
      </c>
      <c r="W4654" s="525" t="str">
        <f>IF(AND(OR(LEFT(TH!L4654,2)="15",LEFT(TH!M4654,2)="15"),TK!$E$7=TH!F4654),"x","")</f>
        <v/>
      </c>
      <c r="X4654" s="525" t="str">
        <f>IF(AND('341-CT'!$E$9=H4654,OR(LEFT(L4654,3)=$X$7,LEFT(M4654,3)=$X$7)),"x","")</f>
        <v/>
      </c>
      <c r="Y4654" s="525" t="str">
        <f>IF(OR(TH!L4654=TH!$Y$7,M4654=TH!$Y$7),"x","")</f>
        <v/>
      </c>
      <c r="Z4654" s="525" t="str">
        <f>IF(AND(B4654&lt;=NKC!$N$8,B4654&gt;=NKC!$M$8),"x","")</f>
        <v/>
      </c>
      <c r="AA4654" s="535"/>
      <c r="AB4654" s="536"/>
    </row>
    <row r="4655" spans="1:30" s="503" customFormat="1" ht="15.75" customHeight="1">
      <c r="A4655" s="517" t="str">
        <f>IF(B4655&lt;&gt;"",IF(AND(B4655&gt;=_TM1,B4655&lt;=_TM2,OR(TH!L4655="1111",TH!M4655="1111")),TH!D4655,""),"")</f>
        <v/>
      </c>
      <c r="B4655" s="531" t="str">
        <f t="shared" si="565"/>
        <v/>
      </c>
      <c r="C4655" s="315"/>
      <c r="D4655" s="315"/>
      <c r="E4655" s="545"/>
      <c r="F4655" s="248"/>
      <c r="G4655" s="314"/>
      <c r="H4655" s="473"/>
      <c r="I4655" s="307"/>
      <c r="J4655" s="307"/>
      <c r="K4655" s="532"/>
      <c r="L4655" s="533"/>
      <c r="M4655" s="533"/>
      <c r="N4655" s="525" t="str">
        <f>IF(AND('331-CT'!$E$7=TH!H4655,OR(L4655="331",M4655="331")),"331",IF(AND(OR(L4655="131",M4655="131"),H4655='131-CT'!$E$7),"131",""))</f>
        <v/>
      </c>
      <c r="O4655" s="525" t="str">
        <f>IF(AND($B4655&gt;='111'!$N$11,$B4655&lt;='111'!$O$11,OR($L4655=$O$7,$M4655=$O$7)),"x","")</f>
        <v/>
      </c>
      <c r="P4655" s="525" t="str">
        <f>IF(AND($L4655=$O$7,$B4655&lt;'111'!$N$11),"x","")</f>
        <v/>
      </c>
      <c r="Q4655" s="525" t="str">
        <f>IF(AND($M4655=$O$7,$B4655&lt;'111'!$N$11),"x","")</f>
        <v/>
      </c>
      <c r="R4655" s="525" t="str">
        <f>IF(ISERROR(FIND('112'!$M$9,G4655,1)),"",IF((AND(FIND('112'!$M$9,G4655,1)&gt;=1,$B4655&gt;='112'!$N$8,$B4655&lt;='112'!$O$8,OR($L4655='112'!$I$6,$M4655='112'!$I$6))),"x",""))</f>
        <v/>
      </c>
      <c r="S4655" s="525" t="str">
        <f>IF(ISERROR(FIND('112'!$M$9,G4655,1)),"",IF((AND(LEFT(G4655,2)=LEFT('112'!$M$9,2),B4655&lt;'112'!$N$8,$L4655='112'!$I$6)),"x",""))</f>
        <v/>
      </c>
      <c r="T4655" s="525" t="str">
        <f>IF(ISERROR(FIND('112'!$M$9,G4655,1)),"",IF((AND(RIGHT(G4655,2)=RIGHT('112'!$M$9,2),B4655&lt;'112'!$N$8,$M4655='112'!$I$6)),"x",""))</f>
        <v/>
      </c>
      <c r="U4655" s="525" t="str">
        <f>IF(AND(B4655&gt;='IN-NX'!$P$3,B4655&lt;='IN-NX'!$Q$3,'IN-NX'!$D$7=D4655,OR(LEFT(L4655,2)="15",AND(LEFT(M4655,2)&lt;&gt;"15",LEFT(M4655,2)&lt;&gt;"33"))),"x","")</f>
        <v/>
      </c>
      <c r="V4655" s="525" t="str">
        <f>IF(AND(OR(LEFT(TH!L4655,2)="15",LEFT(TH!M4655,2)="15"),'152-CT'!$J$8=TH!F4655),"x","")</f>
        <v/>
      </c>
      <c r="W4655" s="525" t="str">
        <f>IF(AND(OR(LEFT(TH!L4655,2)="15",LEFT(TH!M4655,2)="15"),TK!$E$7=TH!F4655),"x","")</f>
        <v/>
      </c>
      <c r="X4655" s="525" t="str">
        <f>IF(AND('341-CT'!$E$9=H4655,OR(LEFT(L4655,3)=$X$7,LEFT(M4655,3)=$X$7)),"x","")</f>
        <v/>
      </c>
      <c r="Y4655" s="525" t="str">
        <f>IF(OR(TH!L4655=TH!$Y$7,M4655=TH!$Y$7),"x","")</f>
        <v/>
      </c>
      <c r="Z4655" s="525" t="str">
        <f>IF(AND(B4655&lt;=NKC!$N$8,B4655&gt;=NKC!$M$8),"x","")</f>
        <v/>
      </c>
      <c r="AA4655" s="535"/>
      <c r="AB4655" s="536"/>
      <c r="AD4655" s="536"/>
    </row>
    <row r="4656" spans="1:30" s="503" customFormat="1" ht="15.75" customHeight="1">
      <c r="A4656" s="517" t="str">
        <f>IF(B4656&lt;&gt;"",IF(AND(B4656&gt;=_TM1,B4656&lt;=_TM2,OR(TH!L4656="1111",TH!M4656="1111")),TH!D4656,""),"")</f>
        <v/>
      </c>
      <c r="B4656" s="531" t="str">
        <f t="shared" si="565"/>
        <v/>
      </c>
      <c r="C4656" s="315"/>
      <c r="D4656" s="315"/>
      <c r="E4656" s="545"/>
      <c r="F4656" s="248"/>
      <c r="G4656" s="314"/>
      <c r="H4656" s="473"/>
      <c r="I4656" s="307"/>
      <c r="J4656" s="307"/>
      <c r="K4656" s="532"/>
      <c r="L4656" s="533"/>
      <c r="M4656" s="533"/>
      <c r="N4656" s="525" t="str">
        <f>IF(AND('331-CT'!$E$7=TH!H4656,OR(L4656="331",M4656="331")),"331",IF(AND(OR(L4656="131",M4656="131"),H4656='131-CT'!$E$7),"131",""))</f>
        <v/>
      </c>
      <c r="O4656" s="525" t="str">
        <f>IF(AND($B4656&gt;='111'!$N$11,$B4656&lt;='111'!$O$11,OR($L4656=$O$7,$M4656=$O$7)),"x","")</f>
        <v/>
      </c>
      <c r="P4656" s="525" t="str">
        <f>IF(AND($L4656=$O$7,$B4656&lt;'111'!$N$11),"x","")</f>
        <v/>
      </c>
      <c r="Q4656" s="525" t="str">
        <f>IF(AND($M4656=$O$7,$B4656&lt;'111'!$N$11),"x","")</f>
        <v/>
      </c>
      <c r="R4656" s="525" t="str">
        <f>IF(ISERROR(FIND('112'!$M$9,G4656,1)),"",IF((AND(FIND('112'!$M$9,G4656,1)&gt;=1,$B4656&gt;='112'!$N$8,$B4656&lt;='112'!$O$8,OR($L4656='112'!$I$6,$M4656='112'!$I$6))),"x",""))</f>
        <v/>
      </c>
      <c r="S4656" s="525" t="str">
        <f>IF(ISERROR(FIND('112'!$M$9,G4656,1)),"",IF((AND(LEFT(G4656,2)=LEFT('112'!$M$9,2),B4656&lt;'112'!$N$8,$L4656='112'!$I$6)),"x",""))</f>
        <v/>
      </c>
      <c r="T4656" s="525" t="str">
        <f>IF(ISERROR(FIND('112'!$M$9,G4656,1)),"",IF((AND(RIGHT(G4656,2)=RIGHT('112'!$M$9,2),B4656&lt;'112'!$N$8,$M4656='112'!$I$6)),"x",""))</f>
        <v/>
      </c>
      <c r="U4656" s="525" t="str">
        <f>IF(AND(B4656&gt;='IN-NX'!$P$3,B4656&lt;='IN-NX'!$Q$3,'IN-NX'!$D$7=D4656,OR(LEFT(L4656,2)="15",AND(LEFT(M4656,2)&lt;&gt;"15",LEFT(M4656,2)&lt;&gt;"33"))),"x","")</f>
        <v/>
      </c>
      <c r="V4656" s="525" t="str">
        <f>IF(AND(OR(LEFT(TH!L4656,2)="15",LEFT(TH!M4656,2)="15"),'152-CT'!$J$8=TH!F4656),"x","")</f>
        <v/>
      </c>
      <c r="W4656" s="525" t="str">
        <f>IF(AND(OR(LEFT(TH!L4656,2)="15",LEFT(TH!M4656,2)="15"),TK!$E$7=TH!F4656),"x","")</f>
        <v/>
      </c>
      <c r="X4656" s="525" t="str">
        <f>IF(AND('341-CT'!$E$9=H4656,OR(LEFT(L4656,3)=$X$7,LEFT(M4656,3)=$X$7)),"x","")</f>
        <v/>
      </c>
      <c r="Y4656" s="525" t="str">
        <f>IF(OR(TH!L4656=TH!$Y$7,M4656=TH!$Y$7),"x","")</f>
        <v/>
      </c>
      <c r="Z4656" s="525" t="str">
        <f>IF(AND(B4656&lt;=NKC!$N$8,B4656&gt;=NKC!$M$8),"x","")</f>
        <v/>
      </c>
      <c r="AA4656" s="535"/>
      <c r="AB4656" s="536"/>
    </row>
    <row r="4657" spans="1:30" s="503" customFormat="1" ht="15.75" customHeight="1">
      <c r="A4657" s="517" t="str">
        <f>IF(B4657&lt;&gt;"",IF(AND(B4657&gt;=_TM1,B4657&lt;=_TM2,OR(TH!L4657="1111",TH!M4657="1111")),TH!D4657,""),"")</f>
        <v/>
      </c>
      <c r="B4657" s="531" t="str">
        <f t="shared" si="565"/>
        <v/>
      </c>
      <c r="C4657" s="315"/>
      <c r="D4657" s="315"/>
      <c r="E4657" s="545"/>
      <c r="F4657" s="248"/>
      <c r="G4657" s="314"/>
      <c r="H4657" s="473"/>
      <c r="I4657" s="307"/>
      <c r="J4657" s="307"/>
      <c r="K4657" s="532"/>
      <c r="L4657" s="533"/>
      <c r="M4657" s="533"/>
      <c r="N4657" s="525" t="str">
        <f>IF(AND('331-CT'!$E$7=TH!H4657,OR(L4657="331",M4657="331")),"331",IF(AND(OR(L4657="131",M4657="131"),H4657='131-CT'!$E$7),"131",""))</f>
        <v/>
      </c>
      <c r="O4657" s="525" t="str">
        <f>IF(AND($B4657&gt;='111'!$N$11,$B4657&lt;='111'!$O$11,OR($L4657=$O$7,$M4657=$O$7)),"x","")</f>
        <v/>
      </c>
      <c r="P4657" s="525" t="str">
        <f>IF(AND($L4657=$O$7,$B4657&lt;'111'!$N$11),"x","")</f>
        <v/>
      </c>
      <c r="Q4657" s="525" t="str">
        <f>IF(AND($M4657=$O$7,$B4657&lt;'111'!$N$11),"x","")</f>
        <v/>
      </c>
      <c r="R4657" s="525" t="str">
        <f>IF(ISERROR(FIND('112'!$M$9,G4657,1)),"",IF((AND(FIND('112'!$M$9,G4657,1)&gt;=1,$B4657&gt;='112'!$N$8,$B4657&lt;='112'!$O$8,OR($L4657='112'!$I$6,$M4657='112'!$I$6))),"x",""))</f>
        <v/>
      </c>
      <c r="S4657" s="525" t="str">
        <f>IF(ISERROR(FIND('112'!$M$9,G4657,1)),"",IF((AND(LEFT(G4657,2)=LEFT('112'!$M$9,2),B4657&lt;'112'!$N$8,$L4657='112'!$I$6)),"x",""))</f>
        <v/>
      </c>
      <c r="T4657" s="525" t="str">
        <f>IF(ISERROR(FIND('112'!$M$9,G4657,1)),"",IF((AND(RIGHT(G4657,2)=RIGHT('112'!$M$9,2),B4657&lt;'112'!$N$8,$M4657='112'!$I$6)),"x",""))</f>
        <v/>
      </c>
      <c r="U4657" s="525" t="str">
        <f>IF(AND(B4657&gt;='IN-NX'!$P$3,B4657&lt;='IN-NX'!$Q$3,'IN-NX'!$D$7=D4657,OR(LEFT(L4657,2)="15",AND(LEFT(M4657,2)&lt;&gt;"15",LEFT(M4657,2)&lt;&gt;"33"))),"x","")</f>
        <v/>
      </c>
      <c r="V4657" s="525" t="str">
        <f>IF(AND(OR(LEFT(TH!L4657,2)="15",LEFT(TH!M4657,2)="15"),'152-CT'!$J$8=TH!F4657),"x","")</f>
        <v/>
      </c>
      <c r="W4657" s="525" t="str">
        <f>IF(AND(OR(LEFT(TH!L4657,2)="15",LEFT(TH!M4657,2)="15"),TK!$E$7=TH!F4657),"x","")</f>
        <v/>
      </c>
      <c r="X4657" s="525" t="str">
        <f>IF(AND('341-CT'!$E$9=H4657,OR(LEFT(L4657,3)=$X$7,LEFT(M4657,3)=$X$7)),"x","")</f>
        <v/>
      </c>
      <c r="Y4657" s="525" t="str">
        <f>IF(OR(TH!L4657=TH!$Y$7,M4657=TH!$Y$7),"x","")</f>
        <v/>
      </c>
      <c r="Z4657" s="525" t="str">
        <f>IF(AND(B4657&lt;=NKC!$N$8,B4657&gt;=NKC!$M$8),"x","")</f>
        <v/>
      </c>
      <c r="AA4657" s="535"/>
      <c r="AB4657" s="536"/>
    </row>
    <row r="4658" spans="1:30" s="503" customFormat="1" ht="15.75" customHeight="1">
      <c r="A4658" s="517" t="str">
        <f>IF(B4658&lt;&gt;"",IF(AND(B4658&gt;=_TM1,B4658&lt;=_TM2,OR(TH!L4658="1111",TH!M4658="1111")),TH!D4658,""),"")</f>
        <v/>
      </c>
      <c r="B4658" s="531" t="str">
        <f t="shared" si="565"/>
        <v/>
      </c>
      <c r="C4658" s="315"/>
      <c r="D4658" s="315"/>
      <c r="E4658" s="545"/>
      <c r="F4658" s="248"/>
      <c r="G4658" s="314"/>
      <c r="H4658" s="473"/>
      <c r="I4658" s="307"/>
      <c r="J4658" s="307"/>
      <c r="K4658" s="532"/>
      <c r="L4658" s="533"/>
      <c r="M4658" s="533"/>
      <c r="N4658" s="525" t="str">
        <f>IF(AND('331-CT'!$E$7=TH!H4658,OR(L4658="331",M4658="331")),"331",IF(AND(OR(L4658="131",M4658="131"),H4658='131-CT'!$E$7),"131",""))</f>
        <v/>
      </c>
      <c r="O4658" s="525" t="str">
        <f>IF(AND($B4658&gt;='111'!$N$11,$B4658&lt;='111'!$O$11,OR($L4658=$O$7,$M4658=$O$7)),"x","")</f>
        <v/>
      </c>
      <c r="P4658" s="525" t="str">
        <f>IF(AND($L4658=$O$7,$B4658&lt;'111'!$N$11),"x","")</f>
        <v/>
      </c>
      <c r="Q4658" s="525" t="str">
        <f>IF(AND($M4658=$O$7,$B4658&lt;'111'!$N$11),"x","")</f>
        <v/>
      </c>
      <c r="R4658" s="525" t="str">
        <f>IF(ISERROR(FIND('112'!$M$9,G4658,1)),"",IF((AND(FIND('112'!$M$9,G4658,1)&gt;=1,$B4658&gt;='112'!$N$8,$B4658&lt;='112'!$O$8,OR($L4658='112'!$I$6,$M4658='112'!$I$6))),"x",""))</f>
        <v/>
      </c>
      <c r="S4658" s="525" t="str">
        <f>IF(ISERROR(FIND('112'!$M$9,G4658,1)),"",IF((AND(LEFT(G4658,2)=LEFT('112'!$M$9,2),B4658&lt;'112'!$N$8,$L4658='112'!$I$6)),"x",""))</f>
        <v/>
      </c>
      <c r="T4658" s="525" t="str">
        <f>IF(ISERROR(FIND('112'!$M$9,G4658,1)),"",IF((AND(RIGHT(G4658,2)=RIGHT('112'!$M$9,2),B4658&lt;'112'!$N$8,$M4658='112'!$I$6)),"x",""))</f>
        <v/>
      </c>
      <c r="U4658" s="525" t="str">
        <f>IF(AND(B4658&gt;='IN-NX'!$P$3,B4658&lt;='IN-NX'!$Q$3,'IN-NX'!$D$7=D4658,OR(LEFT(L4658,2)="15",AND(LEFT(M4658,2)&lt;&gt;"15",LEFT(M4658,2)&lt;&gt;"33"))),"x","")</f>
        <v/>
      </c>
      <c r="V4658" s="525" t="str">
        <f>IF(AND(OR(LEFT(TH!L4658,2)="15",LEFT(TH!M4658,2)="15"),'152-CT'!$J$8=TH!F4658),"x","")</f>
        <v/>
      </c>
      <c r="W4658" s="525" t="str">
        <f>IF(AND(OR(LEFT(TH!L4658,2)="15",LEFT(TH!M4658,2)="15"),TK!$E$7=TH!F4658),"x","")</f>
        <v/>
      </c>
      <c r="X4658" s="525" t="str">
        <f>IF(AND('341-CT'!$E$9=H4658,OR(LEFT(L4658,3)=$X$7,LEFT(M4658,3)=$X$7)),"x","")</f>
        <v/>
      </c>
      <c r="Y4658" s="525" t="str">
        <f>IF(OR(TH!L4658=TH!$Y$7,M4658=TH!$Y$7),"x","")</f>
        <v/>
      </c>
      <c r="Z4658" s="525" t="str">
        <f>IF(AND(B4658&lt;=NKC!$N$8,B4658&gt;=NKC!$M$8),"x","")</f>
        <v/>
      </c>
      <c r="AA4658" s="535"/>
      <c r="AB4658" s="536"/>
      <c r="AD4658" s="536"/>
    </row>
    <row r="4659" spans="1:30" s="503" customFormat="1" ht="15.75" customHeight="1">
      <c r="A4659" s="517" t="str">
        <f>IF(B4659&lt;&gt;"",IF(AND(B4659&gt;=_TM1,B4659&lt;=_TM2,OR(TH!L4659="1111",TH!M4659="1111")),TH!D4659,""),"")</f>
        <v/>
      </c>
      <c r="B4659" s="531" t="str">
        <f t="shared" si="565"/>
        <v/>
      </c>
      <c r="C4659" s="315"/>
      <c r="D4659" s="315"/>
      <c r="E4659" s="545"/>
      <c r="F4659" s="248"/>
      <c r="G4659" s="314"/>
      <c r="H4659" s="473"/>
      <c r="I4659" s="307"/>
      <c r="J4659" s="307"/>
      <c r="K4659" s="532"/>
      <c r="L4659" s="533"/>
      <c r="M4659" s="533"/>
      <c r="N4659" s="525" t="str">
        <f>IF(AND('331-CT'!$E$7=TH!H4659,OR(L4659="331",M4659="331")),"331",IF(AND(OR(L4659="131",M4659="131"),H4659='131-CT'!$E$7),"131",""))</f>
        <v/>
      </c>
      <c r="O4659" s="525" t="str">
        <f>IF(AND($B4659&gt;='111'!$N$11,$B4659&lt;='111'!$O$11,OR($L4659=$O$7,$M4659=$O$7)),"x","")</f>
        <v/>
      </c>
      <c r="P4659" s="525" t="str">
        <f>IF(AND($L4659=$O$7,$B4659&lt;'111'!$N$11),"x","")</f>
        <v/>
      </c>
      <c r="Q4659" s="525" t="str">
        <f>IF(AND($M4659=$O$7,$B4659&lt;'111'!$N$11),"x","")</f>
        <v/>
      </c>
      <c r="R4659" s="525" t="str">
        <f>IF(ISERROR(FIND('112'!$M$9,G4659,1)),"",IF((AND(FIND('112'!$M$9,G4659,1)&gt;=1,$B4659&gt;='112'!$N$8,$B4659&lt;='112'!$O$8,OR($L4659='112'!$I$6,$M4659='112'!$I$6))),"x",""))</f>
        <v/>
      </c>
      <c r="S4659" s="525" t="str">
        <f>IF(ISERROR(FIND('112'!$M$9,G4659,1)),"",IF((AND(LEFT(G4659,2)=LEFT('112'!$M$9,2),B4659&lt;'112'!$N$8,$L4659='112'!$I$6)),"x",""))</f>
        <v/>
      </c>
      <c r="T4659" s="525" t="str">
        <f>IF(ISERROR(FIND('112'!$M$9,G4659,1)),"",IF((AND(RIGHT(G4659,2)=RIGHT('112'!$M$9,2),B4659&lt;'112'!$N$8,$M4659='112'!$I$6)),"x",""))</f>
        <v/>
      </c>
      <c r="U4659" s="525" t="str">
        <f>IF(AND(B4659&gt;='IN-NX'!$P$3,B4659&lt;='IN-NX'!$Q$3,'IN-NX'!$D$7=D4659,OR(LEFT(L4659,2)="15",AND(LEFT(M4659,2)&lt;&gt;"15",LEFT(M4659,2)&lt;&gt;"33"))),"x","")</f>
        <v/>
      </c>
      <c r="V4659" s="525" t="str">
        <f>IF(AND(OR(LEFT(TH!L4659,2)="15",LEFT(TH!M4659,2)="15"),'152-CT'!$J$8=TH!F4659),"x","")</f>
        <v/>
      </c>
      <c r="W4659" s="525" t="str">
        <f>IF(AND(OR(LEFT(TH!L4659,2)="15",LEFT(TH!M4659,2)="15"),TK!$E$7=TH!F4659),"x","")</f>
        <v/>
      </c>
      <c r="X4659" s="525" t="str">
        <f>IF(AND('341-CT'!$E$9=H4659,OR(LEFT(L4659,3)=$X$7,LEFT(M4659,3)=$X$7)),"x","")</f>
        <v/>
      </c>
      <c r="Y4659" s="525" t="str">
        <f>IF(OR(TH!L4659=TH!$Y$7,M4659=TH!$Y$7),"x","")</f>
        <v/>
      </c>
      <c r="Z4659" s="525" t="str">
        <f>IF(AND(B4659&lt;=NKC!$N$8,B4659&gt;=NKC!$M$8),"x","")</f>
        <v/>
      </c>
      <c r="AA4659" s="535"/>
      <c r="AB4659" s="536"/>
    </row>
    <row r="4660" spans="1:30" s="503" customFormat="1" ht="15.75" customHeight="1">
      <c r="A4660" s="517" t="str">
        <f>IF(B4660&lt;&gt;"",IF(AND(B4660&gt;=_TM1,B4660&lt;=_TM2,OR(TH!L4660="1111",TH!M4660="1111")),TH!D4660,""),"")</f>
        <v/>
      </c>
      <c r="B4660" s="531" t="str">
        <f t="shared" si="565"/>
        <v/>
      </c>
      <c r="C4660" s="315"/>
      <c r="D4660" s="315"/>
      <c r="E4660" s="545"/>
      <c r="F4660" s="248"/>
      <c r="G4660" s="314"/>
      <c r="H4660" s="473"/>
      <c r="I4660" s="307"/>
      <c r="J4660" s="307"/>
      <c r="K4660" s="532"/>
      <c r="L4660" s="533"/>
      <c r="M4660" s="533"/>
      <c r="N4660" s="525" t="str">
        <f>IF(AND('331-CT'!$E$7=TH!H4660,OR(L4660="331",M4660="331")),"331",IF(AND(OR(L4660="131",M4660="131"),H4660='131-CT'!$E$7),"131",""))</f>
        <v/>
      </c>
      <c r="O4660" s="525" t="str">
        <f>IF(AND($B4660&gt;='111'!$N$11,$B4660&lt;='111'!$O$11,OR($L4660=$O$7,$M4660=$O$7)),"x","")</f>
        <v/>
      </c>
      <c r="P4660" s="525" t="str">
        <f>IF(AND($L4660=$O$7,$B4660&lt;'111'!$N$11),"x","")</f>
        <v/>
      </c>
      <c r="Q4660" s="525" t="str">
        <f>IF(AND($M4660=$O$7,$B4660&lt;'111'!$N$11),"x","")</f>
        <v/>
      </c>
      <c r="R4660" s="525" t="str">
        <f>IF(ISERROR(FIND('112'!$M$9,G4660,1)),"",IF((AND(FIND('112'!$M$9,G4660,1)&gt;=1,$B4660&gt;='112'!$N$8,$B4660&lt;='112'!$O$8,OR($L4660='112'!$I$6,$M4660='112'!$I$6))),"x",""))</f>
        <v/>
      </c>
      <c r="S4660" s="525" t="str">
        <f>IF(ISERROR(FIND('112'!$M$9,G4660,1)),"",IF((AND(LEFT(G4660,2)=LEFT('112'!$M$9,2),B4660&lt;'112'!$N$8,$L4660='112'!$I$6)),"x",""))</f>
        <v/>
      </c>
      <c r="T4660" s="525" t="str">
        <f>IF(ISERROR(FIND('112'!$M$9,G4660,1)),"",IF((AND(RIGHT(G4660,2)=RIGHT('112'!$M$9,2),B4660&lt;'112'!$N$8,$M4660='112'!$I$6)),"x",""))</f>
        <v/>
      </c>
      <c r="U4660" s="525" t="str">
        <f>IF(AND(B4660&gt;='IN-NX'!$P$3,B4660&lt;='IN-NX'!$Q$3,'IN-NX'!$D$7=D4660,OR(LEFT(L4660,2)="15",AND(LEFT(M4660,2)&lt;&gt;"15",LEFT(M4660,2)&lt;&gt;"33"))),"x","")</f>
        <v/>
      </c>
      <c r="V4660" s="525" t="str">
        <f>IF(AND(OR(LEFT(TH!L4660,2)="15",LEFT(TH!M4660,2)="15"),'152-CT'!$J$8=TH!F4660),"x","")</f>
        <v/>
      </c>
      <c r="W4660" s="525" t="str">
        <f>IF(AND(OR(LEFT(TH!L4660,2)="15",LEFT(TH!M4660,2)="15"),TK!$E$7=TH!F4660),"x","")</f>
        <v/>
      </c>
      <c r="X4660" s="525" t="str">
        <f>IF(AND('341-CT'!$E$9=H4660,OR(LEFT(L4660,3)=$X$7,LEFT(M4660,3)=$X$7)),"x","")</f>
        <v/>
      </c>
      <c r="Y4660" s="525" t="str">
        <f>IF(OR(TH!L4660=TH!$Y$7,M4660=TH!$Y$7),"x","")</f>
        <v/>
      </c>
      <c r="Z4660" s="525" t="str">
        <f>IF(AND(B4660&lt;=NKC!$N$8,B4660&gt;=NKC!$M$8),"x","")</f>
        <v/>
      </c>
      <c r="AA4660" s="535"/>
      <c r="AB4660" s="536"/>
    </row>
    <row r="4661" spans="1:30" s="503" customFormat="1" ht="15.75" customHeight="1">
      <c r="A4661" s="517" t="str">
        <f>IF(B4661&lt;&gt;"",IF(AND(B4661&gt;=_TM1,B4661&lt;=_TM2,OR(TH!L4661="1111",TH!M4661="1111")),TH!D4661,""),"")</f>
        <v/>
      </c>
      <c r="B4661" s="531" t="str">
        <f t="shared" si="565"/>
        <v/>
      </c>
      <c r="C4661" s="315"/>
      <c r="D4661" s="315"/>
      <c r="E4661" s="545"/>
      <c r="F4661" s="248"/>
      <c r="G4661" s="314"/>
      <c r="H4661" s="473"/>
      <c r="I4661" s="307"/>
      <c r="J4661" s="307"/>
      <c r="K4661" s="532"/>
      <c r="L4661" s="533"/>
      <c r="M4661" s="533"/>
      <c r="N4661" s="525" t="str">
        <f>IF(AND('331-CT'!$E$7=TH!H4661,OR(L4661="331",M4661="331")),"331",IF(AND(OR(L4661="131",M4661="131"),H4661='131-CT'!$E$7),"131",""))</f>
        <v/>
      </c>
      <c r="O4661" s="525" t="str">
        <f>IF(AND($B4661&gt;='111'!$N$11,$B4661&lt;='111'!$O$11,OR($L4661=$O$7,$M4661=$O$7)),"x","")</f>
        <v/>
      </c>
      <c r="P4661" s="525" t="str">
        <f>IF(AND($L4661=$O$7,$B4661&lt;'111'!$N$11),"x","")</f>
        <v/>
      </c>
      <c r="Q4661" s="525" t="str">
        <f>IF(AND($M4661=$O$7,$B4661&lt;'111'!$N$11),"x","")</f>
        <v/>
      </c>
      <c r="R4661" s="525" t="str">
        <f>IF(ISERROR(FIND('112'!$M$9,G4661,1)),"",IF((AND(FIND('112'!$M$9,G4661,1)&gt;=1,$B4661&gt;='112'!$N$8,$B4661&lt;='112'!$O$8,OR($L4661='112'!$I$6,$M4661='112'!$I$6))),"x",""))</f>
        <v/>
      </c>
      <c r="S4661" s="525" t="str">
        <f>IF(ISERROR(FIND('112'!$M$9,G4661,1)),"",IF((AND(LEFT(G4661,2)=LEFT('112'!$M$9,2),B4661&lt;'112'!$N$8,$L4661='112'!$I$6)),"x",""))</f>
        <v/>
      </c>
      <c r="T4661" s="525" t="str">
        <f>IF(ISERROR(FIND('112'!$M$9,G4661,1)),"",IF((AND(RIGHT(G4661,2)=RIGHT('112'!$M$9,2),B4661&lt;'112'!$N$8,$M4661='112'!$I$6)),"x",""))</f>
        <v/>
      </c>
      <c r="U4661" s="525" t="str">
        <f>IF(AND(B4661&gt;='IN-NX'!$P$3,B4661&lt;='IN-NX'!$Q$3,'IN-NX'!$D$7=D4661,OR(LEFT(L4661,2)="15",AND(LEFT(M4661,2)&lt;&gt;"15",LEFT(M4661,2)&lt;&gt;"33"))),"x","")</f>
        <v/>
      </c>
      <c r="V4661" s="525" t="str">
        <f>IF(AND(OR(LEFT(TH!L4661,2)="15",LEFT(TH!M4661,2)="15"),'152-CT'!$J$8=TH!F4661),"x","")</f>
        <v/>
      </c>
      <c r="W4661" s="525" t="str">
        <f>IF(AND(OR(LEFT(TH!L4661,2)="15",LEFT(TH!M4661,2)="15"),TK!$E$7=TH!F4661),"x","")</f>
        <v/>
      </c>
      <c r="X4661" s="525" t="str">
        <f>IF(AND('341-CT'!$E$9=H4661,OR(LEFT(L4661,3)=$X$7,LEFT(M4661,3)=$X$7)),"x","")</f>
        <v/>
      </c>
      <c r="Y4661" s="525" t="str">
        <f>IF(OR(TH!L4661=TH!$Y$7,M4661=TH!$Y$7),"x","")</f>
        <v/>
      </c>
      <c r="Z4661" s="525" t="str">
        <f>IF(AND(B4661&lt;=NKC!$N$8,B4661&gt;=NKC!$M$8),"x","")</f>
        <v/>
      </c>
      <c r="AA4661" s="535"/>
      <c r="AB4661" s="536"/>
      <c r="AD4661" s="536"/>
    </row>
    <row r="4662" spans="1:30" s="503" customFormat="1" ht="15.75" customHeight="1">
      <c r="A4662" s="517" t="str">
        <f>IF(B4662&lt;&gt;"",IF(AND(B4662&gt;=_TM1,B4662&lt;=_TM2,OR(TH!L4662="1111",TH!M4662="1111")),TH!D4662,""),"")</f>
        <v/>
      </c>
      <c r="B4662" s="531" t="str">
        <f t="shared" si="565"/>
        <v/>
      </c>
      <c r="C4662" s="315"/>
      <c r="D4662" s="315"/>
      <c r="E4662" s="545"/>
      <c r="F4662" s="248"/>
      <c r="G4662" s="314"/>
      <c r="H4662" s="473"/>
      <c r="I4662" s="307"/>
      <c r="J4662" s="307"/>
      <c r="K4662" s="532"/>
      <c r="L4662" s="533"/>
      <c r="M4662" s="533"/>
      <c r="N4662" s="525" t="str">
        <f>IF(AND('331-CT'!$E$7=TH!H4662,OR(L4662="331",M4662="331")),"331",IF(AND(OR(L4662="131",M4662="131"),H4662='131-CT'!$E$7),"131",""))</f>
        <v/>
      </c>
      <c r="O4662" s="525" t="str">
        <f>IF(AND($B4662&gt;='111'!$N$11,$B4662&lt;='111'!$O$11,OR($L4662=$O$7,$M4662=$O$7)),"x","")</f>
        <v/>
      </c>
      <c r="P4662" s="525" t="str">
        <f>IF(AND($L4662=$O$7,$B4662&lt;'111'!$N$11),"x","")</f>
        <v/>
      </c>
      <c r="Q4662" s="525" t="str">
        <f>IF(AND($M4662=$O$7,$B4662&lt;'111'!$N$11),"x","")</f>
        <v/>
      </c>
      <c r="R4662" s="525" t="str">
        <f>IF(ISERROR(FIND('112'!$M$9,G4662,1)),"",IF((AND(FIND('112'!$M$9,G4662,1)&gt;=1,$B4662&gt;='112'!$N$8,$B4662&lt;='112'!$O$8,OR($L4662='112'!$I$6,$M4662='112'!$I$6))),"x",""))</f>
        <v/>
      </c>
      <c r="S4662" s="525" t="str">
        <f>IF(ISERROR(FIND('112'!$M$9,G4662,1)),"",IF((AND(LEFT(G4662,2)=LEFT('112'!$M$9,2),B4662&lt;'112'!$N$8,$L4662='112'!$I$6)),"x",""))</f>
        <v/>
      </c>
      <c r="T4662" s="525" t="str">
        <f>IF(ISERROR(FIND('112'!$M$9,G4662,1)),"",IF((AND(RIGHT(G4662,2)=RIGHT('112'!$M$9,2),B4662&lt;'112'!$N$8,$M4662='112'!$I$6)),"x",""))</f>
        <v/>
      </c>
      <c r="U4662" s="525" t="str">
        <f>IF(AND(B4662&gt;='IN-NX'!$P$3,B4662&lt;='IN-NX'!$Q$3,'IN-NX'!$D$7=D4662,OR(LEFT(L4662,2)="15",AND(LEFT(M4662,2)&lt;&gt;"15",LEFT(M4662,2)&lt;&gt;"33"))),"x","")</f>
        <v/>
      </c>
      <c r="V4662" s="525" t="str">
        <f>IF(AND(OR(LEFT(TH!L4662,2)="15",LEFT(TH!M4662,2)="15"),'152-CT'!$J$8=TH!F4662),"x","")</f>
        <v/>
      </c>
      <c r="W4662" s="525" t="str">
        <f>IF(AND(OR(LEFT(TH!L4662,2)="15",LEFT(TH!M4662,2)="15"),TK!$E$7=TH!F4662),"x","")</f>
        <v/>
      </c>
      <c r="X4662" s="525" t="str">
        <f>IF(AND('341-CT'!$E$9=H4662,OR(LEFT(L4662,3)=$X$7,LEFT(M4662,3)=$X$7)),"x","")</f>
        <v/>
      </c>
      <c r="Y4662" s="525" t="str">
        <f>IF(OR(TH!L4662=TH!$Y$7,M4662=TH!$Y$7),"x","")</f>
        <v/>
      </c>
      <c r="Z4662" s="525" t="str">
        <f>IF(AND(B4662&lt;=NKC!$N$8,B4662&gt;=NKC!$M$8),"x","")</f>
        <v/>
      </c>
      <c r="AA4662" s="535"/>
      <c r="AB4662" s="536"/>
    </row>
    <row r="4663" spans="1:30" s="503" customFormat="1" ht="15.75" customHeight="1">
      <c r="A4663" s="517" t="str">
        <f>IF(B4663&lt;&gt;"",IF(AND(B4663&gt;=_TM1,B4663&lt;=_TM2,OR(TH!L4663="1111",TH!M4663="1111")),TH!D4663,""),"")</f>
        <v/>
      </c>
      <c r="B4663" s="531" t="str">
        <f t="shared" si="565"/>
        <v/>
      </c>
      <c r="C4663" s="315"/>
      <c r="D4663" s="315"/>
      <c r="E4663" s="545"/>
      <c r="F4663" s="248"/>
      <c r="G4663" s="314"/>
      <c r="H4663" s="473"/>
      <c r="I4663" s="307"/>
      <c r="J4663" s="307"/>
      <c r="K4663" s="532"/>
      <c r="L4663" s="533"/>
      <c r="M4663" s="533"/>
      <c r="N4663" s="525" t="str">
        <f>IF(AND('331-CT'!$E$7=TH!H4663,OR(L4663="331",M4663="331")),"331",IF(AND(OR(L4663="131",M4663="131"),H4663='131-CT'!$E$7),"131",""))</f>
        <v/>
      </c>
      <c r="O4663" s="525" t="str">
        <f>IF(AND($B4663&gt;='111'!$N$11,$B4663&lt;='111'!$O$11,OR($L4663=$O$7,$M4663=$O$7)),"x","")</f>
        <v/>
      </c>
      <c r="P4663" s="525" t="str">
        <f>IF(AND($L4663=$O$7,$B4663&lt;'111'!$N$11),"x","")</f>
        <v/>
      </c>
      <c r="Q4663" s="525" t="str">
        <f>IF(AND($M4663=$O$7,$B4663&lt;'111'!$N$11),"x","")</f>
        <v/>
      </c>
      <c r="R4663" s="525" t="str">
        <f>IF(ISERROR(FIND('112'!$M$9,G4663,1)),"",IF((AND(FIND('112'!$M$9,G4663,1)&gt;=1,$B4663&gt;='112'!$N$8,$B4663&lt;='112'!$O$8,OR($L4663='112'!$I$6,$M4663='112'!$I$6))),"x",""))</f>
        <v/>
      </c>
      <c r="S4663" s="525" t="str">
        <f>IF(ISERROR(FIND('112'!$M$9,G4663,1)),"",IF((AND(LEFT(G4663,2)=LEFT('112'!$M$9,2),B4663&lt;'112'!$N$8,$L4663='112'!$I$6)),"x",""))</f>
        <v/>
      </c>
      <c r="T4663" s="525" t="str">
        <f>IF(ISERROR(FIND('112'!$M$9,G4663,1)),"",IF((AND(RIGHT(G4663,2)=RIGHT('112'!$M$9,2),B4663&lt;'112'!$N$8,$M4663='112'!$I$6)),"x",""))</f>
        <v/>
      </c>
      <c r="U4663" s="525" t="str">
        <f>IF(AND(B4663&gt;='IN-NX'!$P$3,B4663&lt;='IN-NX'!$Q$3,'IN-NX'!$D$7=D4663,OR(LEFT(L4663,2)="15",AND(LEFT(M4663,2)&lt;&gt;"15",LEFT(M4663,2)&lt;&gt;"33"))),"x","")</f>
        <v/>
      </c>
      <c r="V4663" s="525" t="str">
        <f>IF(AND(OR(LEFT(TH!L4663,2)="15",LEFT(TH!M4663,2)="15"),'152-CT'!$J$8=TH!F4663),"x","")</f>
        <v/>
      </c>
      <c r="W4663" s="525" t="str">
        <f>IF(AND(OR(LEFT(TH!L4663,2)="15",LEFT(TH!M4663,2)="15"),TK!$E$7=TH!F4663),"x","")</f>
        <v/>
      </c>
      <c r="X4663" s="525" t="str">
        <f>IF(AND('341-CT'!$E$9=H4663,OR(LEFT(L4663,3)=$X$7,LEFT(M4663,3)=$X$7)),"x","")</f>
        <v/>
      </c>
      <c r="Y4663" s="525" t="str">
        <f>IF(OR(TH!L4663=TH!$Y$7,M4663=TH!$Y$7),"x","")</f>
        <v/>
      </c>
      <c r="Z4663" s="525" t="str">
        <f>IF(AND(B4663&lt;=NKC!$N$8,B4663&gt;=NKC!$M$8),"x","")</f>
        <v/>
      </c>
      <c r="AA4663" s="535"/>
      <c r="AB4663" s="536"/>
    </row>
    <row r="4664" spans="1:30" s="503" customFormat="1" ht="15.75" customHeight="1">
      <c r="A4664" s="517" t="str">
        <f>IF(B4664&lt;&gt;"",IF(AND(B4664&gt;=_TM1,B4664&lt;=_TM2,OR(TH!L4664="1111",TH!M4664="1111")),TH!D4664,""),"")</f>
        <v/>
      </c>
      <c r="B4664" s="531" t="str">
        <f t="shared" si="565"/>
        <v/>
      </c>
      <c r="C4664" s="315"/>
      <c r="D4664" s="315"/>
      <c r="E4664" s="545"/>
      <c r="F4664" s="248"/>
      <c r="G4664" s="314"/>
      <c r="H4664" s="473"/>
      <c r="I4664" s="307"/>
      <c r="J4664" s="307"/>
      <c r="K4664" s="532"/>
      <c r="L4664" s="533"/>
      <c r="M4664" s="533"/>
      <c r="N4664" s="525" t="str">
        <f>IF(AND('331-CT'!$E$7=TH!H4664,OR(L4664="331",M4664="331")),"331",IF(AND(OR(L4664="131",M4664="131"),H4664='131-CT'!$E$7),"131",""))</f>
        <v/>
      </c>
      <c r="O4664" s="525" t="str">
        <f>IF(AND($B4664&gt;='111'!$N$11,$B4664&lt;='111'!$O$11,OR($L4664=$O$7,$M4664=$O$7)),"x","")</f>
        <v/>
      </c>
      <c r="P4664" s="525" t="str">
        <f>IF(AND($L4664=$O$7,$B4664&lt;'111'!$N$11),"x","")</f>
        <v/>
      </c>
      <c r="Q4664" s="525" t="str">
        <f>IF(AND($M4664=$O$7,$B4664&lt;'111'!$N$11),"x","")</f>
        <v/>
      </c>
      <c r="R4664" s="525" t="str">
        <f>IF(ISERROR(FIND('112'!$M$9,G4664,1)),"",IF((AND(FIND('112'!$M$9,G4664,1)&gt;=1,$B4664&gt;='112'!$N$8,$B4664&lt;='112'!$O$8,OR($L4664='112'!$I$6,$M4664='112'!$I$6))),"x",""))</f>
        <v/>
      </c>
      <c r="S4664" s="525" t="str">
        <f>IF(ISERROR(FIND('112'!$M$9,G4664,1)),"",IF((AND(LEFT(G4664,2)=LEFT('112'!$M$9,2),B4664&lt;'112'!$N$8,$L4664='112'!$I$6)),"x",""))</f>
        <v/>
      </c>
      <c r="T4664" s="525" t="str">
        <f>IF(ISERROR(FIND('112'!$M$9,G4664,1)),"",IF((AND(RIGHT(G4664,2)=RIGHT('112'!$M$9,2),B4664&lt;'112'!$N$8,$M4664='112'!$I$6)),"x",""))</f>
        <v/>
      </c>
      <c r="U4664" s="525" t="str">
        <f>IF(AND(B4664&gt;='IN-NX'!$P$3,B4664&lt;='IN-NX'!$Q$3,'IN-NX'!$D$7=D4664,OR(LEFT(L4664,2)="15",AND(LEFT(M4664,2)&lt;&gt;"15",LEFT(M4664,2)&lt;&gt;"33"))),"x","")</f>
        <v/>
      </c>
      <c r="V4664" s="525" t="str">
        <f>IF(AND(OR(LEFT(TH!L4664,2)="15",LEFT(TH!M4664,2)="15"),'152-CT'!$J$8=TH!F4664),"x","")</f>
        <v/>
      </c>
      <c r="W4664" s="525" t="str">
        <f>IF(AND(OR(LEFT(TH!L4664,2)="15",LEFT(TH!M4664,2)="15"),TK!$E$7=TH!F4664),"x","")</f>
        <v/>
      </c>
      <c r="X4664" s="525" t="str">
        <f>IF(AND('341-CT'!$E$9=H4664,OR(LEFT(L4664,3)=$X$7,LEFT(M4664,3)=$X$7)),"x","")</f>
        <v/>
      </c>
      <c r="Y4664" s="525" t="str">
        <f>IF(OR(TH!L4664=TH!$Y$7,M4664=TH!$Y$7),"x","")</f>
        <v/>
      </c>
      <c r="Z4664" s="525" t="str">
        <f>IF(AND(B4664&lt;=NKC!$N$8,B4664&gt;=NKC!$M$8),"x","")</f>
        <v/>
      </c>
      <c r="AA4664" s="535"/>
      <c r="AB4664" s="536"/>
      <c r="AD4664" s="536"/>
    </row>
    <row r="4665" spans="1:30" s="503" customFormat="1" ht="15.75" customHeight="1">
      <c r="A4665" s="517" t="str">
        <f>IF(B4665&lt;&gt;"",IF(AND(B4665&gt;=_TM1,B4665&lt;=_TM2,OR(TH!L4665="1111",TH!M4665="1111")),TH!D4665,""),"")</f>
        <v/>
      </c>
      <c r="B4665" s="531" t="str">
        <f t="shared" si="565"/>
        <v/>
      </c>
      <c r="C4665" s="315"/>
      <c r="D4665" s="315"/>
      <c r="E4665" s="545"/>
      <c r="F4665" s="248"/>
      <c r="G4665" s="314"/>
      <c r="H4665" s="473"/>
      <c r="I4665" s="307"/>
      <c r="J4665" s="307"/>
      <c r="K4665" s="532"/>
      <c r="L4665" s="533"/>
      <c r="M4665" s="533"/>
      <c r="N4665" s="525" t="str">
        <f>IF(AND('331-CT'!$E$7=TH!H4665,OR(L4665="331",M4665="331")),"331",IF(AND(OR(L4665="131",M4665="131"),H4665='131-CT'!$E$7),"131",""))</f>
        <v/>
      </c>
      <c r="O4665" s="525" t="str">
        <f>IF(AND($B4665&gt;='111'!$N$11,$B4665&lt;='111'!$O$11,OR($L4665=$O$7,$M4665=$O$7)),"x","")</f>
        <v/>
      </c>
      <c r="P4665" s="525" t="str">
        <f>IF(AND($L4665=$O$7,$B4665&lt;'111'!$N$11),"x","")</f>
        <v/>
      </c>
      <c r="Q4665" s="525" t="str">
        <f>IF(AND($M4665=$O$7,$B4665&lt;'111'!$N$11),"x","")</f>
        <v/>
      </c>
      <c r="R4665" s="525" t="str">
        <f>IF(ISERROR(FIND('112'!$M$9,G4665,1)),"",IF((AND(FIND('112'!$M$9,G4665,1)&gt;=1,$B4665&gt;='112'!$N$8,$B4665&lt;='112'!$O$8,OR($L4665='112'!$I$6,$M4665='112'!$I$6))),"x",""))</f>
        <v/>
      </c>
      <c r="S4665" s="525" t="str">
        <f>IF(ISERROR(FIND('112'!$M$9,G4665,1)),"",IF((AND(LEFT(G4665,2)=LEFT('112'!$M$9,2),B4665&lt;'112'!$N$8,$L4665='112'!$I$6)),"x",""))</f>
        <v/>
      </c>
      <c r="T4665" s="525" t="str">
        <f>IF(ISERROR(FIND('112'!$M$9,G4665,1)),"",IF((AND(RIGHT(G4665,2)=RIGHT('112'!$M$9,2),B4665&lt;'112'!$N$8,$M4665='112'!$I$6)),"x",""))</f>
        <v/>
      </c>
      <c r="U4665" s="525" t="str">
        <f>IF(AND(B4665&gt;='IN-NX'!$P$3,B4665&lt;='IN-NX'!$Q$3,'IN-NX'!$D$7=D4665,OR(LEFT(L4665,2)="15",AND(LEFT(M4665,2)&lt;&gt;"15",LEFT(M4665,2)&lt;&gt;"33"))),"x","")</f>
        <v/>
      </c>
      <c r="V4665" s="525" t="str">
        <f>IF(AND(OR(LEFT(TH!L4665,2)="15",LEFT(TH!M4665,2)="15"),'152-CT'!$J$8=TH!F4665),"x","")</f>
        <v/>
      </c>
      <c r="W4665" s="525" t="str">
        <f>IF(AND(OR(LEFT(TH!L4665,2)="15",LEFT(TH!M4665,2)="15"),TK!$E$7=TH!F4665),"x","")</f>
        <v/>
      </c>
      <c r="X4665" s="525" t="str">
        <f>IF(AND('341-CT'!$E$9=H4665,OR(LEFT(L4665,3)=$X$7,LEFT(M4665,3)=$X$7)),"x","")</f>
        <v/>
      </c>
      <c r="Y4665" s="525" t="str">
        <f>IF(OR(TH!L4665=TH!$Y$7,M4665=TH!$Y$7),"x","")</f>
        <v/>
      </c>
      <c r="Z4665" s="525" t="str">
        <f>IF(AND(B4665&lt;=NKC!$N$8,B4665&gt;=NKC!$M$8),"x","")</f>
        <v/>
      </c>
      <c r="AA4665" s="535"/>
      <c r="AB4665" s="536"/>
    </row>
    <row r="4666" spans="1:30" s="503" customFormat="1" ht="15.75" customHeight="1">
      <c r="A4666" s="517" t="str">
        <f>IF(B4666&lt;&gt;"",IF(AND(B4666&gt;=_TM1,B4666&lt;=_TM2,OR(TH!L4666="1111",TH!M4666="1111")),TH!D4666,""),"")</f>
        <v/>
      </c>
      <c r="B4666" s="531" t="str">
        <f t="shared" si="565"/>
        <v/>
      </c>
      <c r="C4666" s="315"/>
      <c r="D4666" s="315"/>
      <c r="E4666" s="545"/>
      <c r="F4666" s="248"/>
      <c r="G4666" s="314"/>
      <c r="H4666" s="473"/>
      <c r="I4666" s="307"/>
      <c r="J4666" s="307"/>
      <c r="K4666" s="532"/>
      <c r="L4666" s="533"/>
      <c r="M4666" s="533"/>
      <c r="N4666" s="525" t="str">
        <f>IF(AND('331-CT'!$E$7=TH!H4666,OR(L4666="331",M4666="331")),"331",IF(AND(OR(L4666="131",M4666="131"),H4666='131-CT'!$E$7),"131",""))</f>
        <v/>
      </c>
      <c r="O4666" s="525" t="str">
        <f>IF(AND($B4666&gt;='111'!$N$11,$B4666&lt;='111'!$O$11,OR($L4666=$O$7,$M4666=$O$7)),"x","")</f>
        <v/>
      </c>
      <c r="P4666" s="525" t="str">
        <f>IF(AND($L4666=$O$7,$B4666&lt;'111'!$N$11),"x","")</f>
        <v/>
      </c>
      <c r="Q4666" s="525" t="str">
        <f>IF(AND($M4666=$O$7,$B4666&lt;'111'!$N$11),"x","")</f>
        <v/>
      </c>
      <c r="R4666" s="525" t="str">
        <f>IF(ISERROR(FIND('112'!$M$9,G4666,1)),"",IF((AND(FIND('112'!$M$9,G4666,1)&gt;=1,$B4666&gt;='112'!$N$8,$B4666&lt;='112'!$O$8,OR($L4666='112'!$I$6,$M4666='112'!$I$6))),"x",""))</f>
        <v/>
      </c>
      <c r="S4666" s="525" t="str">
        <f>IF(ISERROR(FIND('112'!$M$9,G4666,1)),"",IF((AND(LEFT(G4666,2)=LEFT('112'!$M$9,2),B4666&lt;'112'!$N$8,$L4666='112'!$I$6)),"x",""))</f>
        <v/>
      </c>
      <c r="T4666" s="525" t="str">
        <f>IF(ISERROR(FIND('112'!$M$9,G4666,1)),"",IF((AND(RIGHT(G4666,2)=RIGHT('112'!$M$9,2),B4666&lt;'112'!$N$8,$M4666='112'!$I$6)),"x",""))</f>
        <v/>
      </c>
      <c r="U4666" s="525" t="str">
        <f>IF(AND(B4666&gt;='IN-NX'!$P$3,B4666&lt;='IN-NX'!$Q$3,'IN-NX'!$D$7=D4666,OR(LEFT(L4666,2)="15",AND(LEFT(M4666,2)&lt;&gt;"15",LEFT(M4666,2)&lt;&gt;"33"))),"x","")</f>
        <v/>
      </c>
      <c r="V4666" s="525" t="str">
        <f>IF(AND(OR(LEFT(TH!L4666,2)="15",LEFT(TH!M4666,2)="15"),'152-CT'!$J$8=TH!F4666),"x","")</f>
        <v/>
      </c>
      <c r="W4666" s="525" t="str">
        <f>IF(AND(OR(LEFT(TH!L4666,2)="15",LEFT(TH!M4666,2)="15"),TK!$E$7=TH!F4666),"x","")</f>
        <v/>
      </c>
      <c r="X4666" s="525" t="str">
        <f>IF(AND('341-CT'!$E$9=H4666,OR(LEFT(L4666,3)=$X$7,LEFT(M4666,3)=$X$7)),"x","")</f>
        <v/>
      </c>
      <c r="Y4666" s="525" t="str">
        <f>IF(OR(TH!L4666=TH!$Y$7,M4666=TH!$Y$7),"x","")</f>
        <v/>
      </c>
      <c r="Z4666" s="525" t="str">
        <f>IF(AND(B4666&lt;=NKC!$N$8,B4666&gt;=NKC!$M$8),"x","")</f>
        <v/>
      </c>
      <c r="AA4666" s="535"/>
      <c r="AB4666" s="536"/>
    </row>
    <row r="4667" spans="1:30" s="503" customFormat="1" ht="15.75" customHeight="1">
      <c r="A4667" s="517" t="str">
        <f>IF(B4667&lt;&gt;"",IF(AND(B4667&gt;=_TM1,B4667&lt;=_TM2,OR(TH!L4667="1111",TH!M4667="1111")),TH!D4667,""),"")</f>
        <v/>
      </c>
      <c r="B4667" s="531" t="str">
        <f t="shared" si="565"/>
        <v/>
      </c>
      <c r="C4667" s="315"/>
      <c r="D4667" s="315"/>
      <c r="E4667" s="545"/>
      <c r="F4667" s="248"/>
      <c r="G4667" s="314"/>
      <c r="H4667" s="473"/>
      <c r="I4667" s="307"/>
      <c r="J4667" s="307"/>
      <c r="K4667" s="532"/>
      <c r="L4667" s="533"/>
      <c r="M4667" s="533"/>
      <c r="N4667" s="525" t="str">
        <f>IF(AND('331-CT'!$E$7=TH!H4667,OR(L4667="331",M4667="331")),"331",IF(AND(OR(L4667="131",M4667="131"),H4667='131-CT'!$E$7),"131",""))</f>
        <v/>
      </c>
      <c r="O4667" s="525" t="str">
        <f>IF(AND($B4667&gt;='111'!$N$11,$B4667&lt;='111'!$O$11,OR($L4667=$O$7,$M4667=$O$7)),"x","")</f>
        <v/>
      </c>
      <c r="P4667" s="525" t="str">
        <f>IF(AND($L4667=$O$7,$B4667&lt;'111'!$N$11),"x","")</f>
        <v/>
      </c>
      <c r="Q4667" s="525" t="str">
        <f>IF(AND($M4667=$O$7,$B4667&lt;'111'!$N$11),"x","")</f>
        <v/>
      </c>
      <c r="R4667" s="525" t="str">
        <f>IF(ISERROR(FIND('112'!$M$9,G4667,1)),"",IF((AND(FIND('112'!$M$9,G4667,1)&gt;=1,$B4667&gt;='112'!$N$8,$B4667&lt;='112'!$O$8,OR($L4667='112'!$I$6,$M4667='112'!$I$6))),"x",""))</f>
        <v/>
      </c>
      <c r="S4667" s="525" t="str">
        <f>IF(ISERROR(FIND('112'!$M$9,G4667,1)),"",IF((AND(LEFT(G4667,2)=LEFT('112'!$M$9,2),B4667&lt;'112'!$N$8,$L4667='112'!$I$6)),"x",""))</f>
        <v/>
      </c>
      <c r="T4667" s="525" t="str">
        <f>IF(ISERROR(FIND('112'!$M$9,G4667,1)),"",IF((AND(RIGHT(G4667,2)=RIGHT('112'!$M$9,2),B4667&lt;'112'!$N$8,$M4667='112'!$I$6)),"x",""))</f>
        <v/>
      </c>
      <c r="U4667" s="525" t="str">
        <f>IF(AND(B4667&gt;='IN-NX'!$P$3,B4667&lt;='IN-NX'!$Q$3,'IN-NX'!$D$7=D4667,OR(LEFT(L4667,2)="15",AND(LEFT(M4667,2)&lt;&gt;"15",LEFT(M4667,2)&lt;&gt;"33"))),"x","")</f>
        <v/>
      </c>
      <c r="V4667" s="525" t="str">
        <f>IF(AND(OR(LEFT(TH!L4667,2)="15",LEFT(TH!M4667,2)="15"),'152-CT'!$J$8=TH!F4667),"x","")</f>
        <v/>
      </c>
      <c r="W4667" s="525" t="str">
        <f>IF(AND(OR(LEFT(TH!L4667,2)="15",LEFT(TH!M4667,2)="15"),TK!$E$7=TH!F4667),"x","")</f>
        <v/>
      </c>
      <c r="X4667" s="525" t="str">
        <f>IF(AND('341-CT'!$E$9=H4667,OR(LEFT(L4667,3)=$X$7,LEFT(M4667,3)=$X$7)),"x","")</f>
        <v/>
      </c>
      <c r="Y4667" s="525" t="str">
        <f>IF(OR(TH!L4667=TH!$Y$7,M4667=TH!$Y$7),"x","")</f>
        <v/>
      </c>
      <c r="Z4667" s="525" t="str">
        <f>IF(AND(B4667&lt;=NKC!$N$8,B4667&gt;=NKC!$M$8),"x","")</f>
        <v/>
      </c>
      <c r="AA4667" s="535"/>
      <c r="AB4667" s="536"/>
      <c r="AD4667" s="536"/>
    </row>
    <row r="4668" spans="1:30" s="503" customFormat="1" ht="15.75" customHeight="1">
      <c r="A4668" s="517" t="str">
        <f>IF(B4668&lt;&gt;"",IF(AND(B4668&gt;=_TM1,B4668&lt;=_TM2,OR(TH!L4668="1111",TH!M4668="1111")),TH!D4668,""),"")</f>
        <v/>
      </c>
      <c r="B4668" s="531" t="str">
        <f t="shared" si="565"/>
        <v/>
      </c>
      <c r="C4668" s="315"/>
      <c r="D4668" s="315"/>
      <c r="E4668" s="545"/>
      <c r="F4668" s="248"/>
      <c r="G4668" s="314"/>
      <c r="H4668" s="473"/>
      <c r="I4668" s="307"/>
      <c r="J4668" s="307"/>
      <c r="K4668" s="532"/>
      <c r="L4668" s="533"/>
      <c r="M4668" s="533"/>
      <c r="N4668" s="525" t="str">
        <f>IF(AND('331-CT'!$E$7=TH!H4668,OR(L4668="331",M4668="331")),"331",IF(AND(OR(L4668="131",M4668="131"),H4668='131-CT'!$E$7),"131",""))</f>
        <v/>
      </c>
      <c r="O4668" s="525" t="str">
        <f>IF(AND($B4668&gt;='111'!$N$11,$B4668&lt;='111'!$O$11,OR($L4668=$O$7,$M4668=$O$7)),"x","")</f>
        <v/>
      </c>
      <c r="P4668" s="525" t="str">
        <f>IF(AND($L4668=$O$7,$B4668&lt;'111'!$N$11),"x","")</f>
        <v/>
      </c>
      <c r="Q4668" s="525" t="str">
        <f>IF(AND($M4668=$O$7,$B4668&lt;'111'!$N$11),"x","")</f>
        <v/>
      </c>
      <c r="R4668" s="525" t="str">
        <f>IF(ISERROR(FIND('112'!$M$9,G4668,1)),"",IF((AND(FIND('112'!$M$9,G4668,1)&gt;=1,$B4668&gt;='112'!$N$8,$B4668&lt;='112'!$O$8,OR($L4668='112'!$I$6,$M4668='112'!$I$6))),"x",""))</f>
        <v/>
      </c>
      <c r="S4668" s="525" t="str">
        <f>IF(ISERROR(FIND('112'!$M$9,G4668,1)),"",IF((AND(LEFT(G4668,2)=LEFT('112'!$M$9,2),B4668&lt;'112'!$N$8,$L4668='112'!$I$6)),"x",""))</f>
        <v/>
      </c>
      <c r="T4668" s="525" t="str">
        <f>IF(ISERROR(FIND('112'!$M$9,G4668,1)),"",IF((AND(RIGHT(G4668,2)=RIGHT('112'!$M$9,2),B4668&lt;'112'!$N$8,$M4668='112'!$I$6)),"x",""))</f>
        <v/>
      </c>
      <c r="U4668" s="525" t="str">
        <f>IF(AND(B4668&gt;='IN-NX'!$P$3,B4668&lt;='IN-NX'!$Q$3,'IN-NX'!$D$7=D4668,OR(LEFT(L4668,2)="15",AND(LEFT(M4668,2)&lt;&gt;"15",LEFT(M4668,2)&lt;&gt;"33"))),"x","")</f>
        <v/>
      </c>
      <c r="V4668" s="525" t="str">
        <f>IF(AND(OR(LEFT(TH!L4668,2)="15",LEFT(TH!M4668,2)="15"),'152-CT'!$J$8=TH!F4668),"x","")</f>
        <v/>
      </c>
      <c r="W4668" s="525" t="str">
        <f>IF(AND(OR(LEFT(TH!L4668,2)="15",LEFT(TH!M4668,2)="15"),TK!$E$7=TH!F4668),"x","")</f>
        <v/>
      </c>
      <c r="X4668" s="525" t="str">
        <f>IF(AND('341-CT'!$E$9=H4668,OR(LEFT(L4668,3)=$X$7,LEFT(M4668,3)=$X$7)),"x","")</f>
        <v/>
      </c>
      <c r="Y4668" s="525" t="str">
        <f>IF(OR(TH!L4668=TH!$Y$7,M4668=TH!$Y$7),"x","")</f>
        <v/>
      </c>
      <c r="Z4668" s="525" t="str">
        <f>IF(AND(B4668&lt;=NKC!$N$8,B4668&gt;=NKC!$M$8),"x","")</f>
        <v/>
      </c>
      <c r="AA4668" s="535"/>
      <c r="AB4668" s="536"/>
    </row>
    <row r="4669" spans="1:30" s="503" customFormat="1" ht="15.75" customHeight="1">
      <c r="A4669" s="517" t="str">
        <f>IF(B4669&lt;&gt;"",IF(AND(B4669&gt;=_TM1,B4669&lt;=_TM2,OR(TH!L4669="1111",TH!M4669="1111")),TH!D4669,""),"")</f>
        <v/>
      </c>
      <c r="B4669" s="531" t="str">
        <f t="shared" si="565"/>
        <v/>
      </c>
      <c r="C4669" s="315"/>
      <c r="D4669" s="315"/>
      <c r="E4669" s="545"/>
      <c r="F4669" s="248"/>
      <c r="G4669" s="314"/>
      <c r="H4669" s="473"/>
      <c r="I4669" s="307"/>
      <c r="J4669" s="307"/>
      <c r="K4669" s="532"/>
      <c r="L4669" s="533"/>
      <c r="M4669" s="533"/>
      <c r="N4669" s="525" t="str">
        <f>IF(AND('331-CT'!$E$7=TH!H4669,OR(L4669="331",M4669="331")),"331",IF(AND(OR(L4669="131",M4669="131"),H4669='131-CT'!$E$7),"131",""))</f>
        <v/>
      </c>
      <c r="O4669" s="525" t="str">
        <f>IF(AND($B4669&gt;='111'!$N$11,$B4669&lt;='111'!$O$11,OR($L4669=$O$7,$M4669=$O$7)),"x","")</f>
        <v/>
      </c>
      <c r="P4669" s="525" t="str">
        <f>IF(AND($L4669=$O$7,$B4669&lt;'111'!$N$11),"x","")</f>
        <v/>
      </c>
      <c r="Q4669" s="525" t="str">
        <f>IF(AND($M4669=$O$7,$B4669&lt;'111'!$N$11),"x","")</f>
        <v/>
      </c>
      <c r="R4669" s="525" t="str">
        <f>IF(ISERROR(FIND('112'!$M$9,G4669,1)),"",IF((AND(FIND('112'!$M$9,G4669,1)&gt;=1,$B4669&gt;='112'!$N$8,$B4669&lt;='112'!$O$8,OR($L4669='112'!$I$6,$M4669='112'!$I$6))),"x",""))</f>
        <v/>
      </c>
      <c r="S4669" s="525" t="str">
        <f>IF(ISERROR(FIND('112'!$M$9,G4669,1)),"",IF((AND(LEFT(G4669,2)=LEFT('112'!$M$9,2),B4669&lt;'112'!$N$8,$L4669='112'!$I$6)),"x",""))</f>
        <v/>
      </c>
      <c r="T4669" s="525" t="str">
        <f>IF(ISERROR(FIND('112'!$M$9,G4669,1)),"",IF((AND(RIGHT(G4669,2)=RIGHT('112'!$M$9,2),B4669&lt;'112'!$N$8,$M4669='112'!$I$6)),"x",""))</f>
        <v/>
      </c>
      <c r="U4669" s="525" t="str">
        <f>IF(AND(B4669&gt;='IN-NX'!$P$3,B4669&lt;='IN-NX'!$Q$3,'IN-NX'!$D$7=D4669,OR(LEFT(L4669,2)="15",AND(LEFT(M4669,2)&lt;&gt;"15",LEFT(M4669,2)&lt;&gt;"33"))),"x","")</f>
        <v/>
      </c>
      <c r="V4669" s="525" t="str">
        <f>IF(AND(OR(LEFT(TH!L4669,2)="15",LEFT(TH!M4669,2)="15"),'152-CT'!$J$8=TH!F4669),"x","")</f>
        <v/>
      </c>
      <c r="W4669" s="525" t="str">
        <f>IF(AND(OR(LEFT(TH!L4669,2)="15",LEFT(TH!M4669,2)="15"),TK!$E$7=TH!F4669),"x","")</f>
        <v/>
      </c>
      <c r="X4669" s="525" t="str">
        <f>IF(AND('341-CT'!$E$9=H4669,OR(LEFT(L4669,3)=$X$7,LEFT(M4669,3)=$X$7)),"x","")</f>
        <v/>
      </c>
      <c r="Y4669" s="525" t="str">
        <f>IF(OR(TH!L4669=TH!$Y$7,M4669=TH!$Y$7),"x","")</f>
        <v/>
      </c>
      <c r="Z4669" s="525" t="str">
        <f>IF(AND(B4669&lt;=NKC!$N$8,B4669&gt;=NKC!$M$8),"x","")</f>
        <v/>
      </c>
      <c r="AA4669" s="535"/>
      <c r="AB4669" s="536"/>
    </row>
    <row r="4670" spans="1:30" s="503" customFormat="1" ht="15.75" customHeight="1">
      <c r="A4670" s="517" t="str">
        <f>IF(B4670&lt;&gt;"",IF(AND(B4670&gt;=_TM1,B4670&lt;=_TM2,OR(TH!L4670="1111",TH!M4670="1111")),TH!D4670,""),"")</f>
        <v/>
      </c>
      <c r="B4670" s="531" t="str">
        <f t="shared" si="565"/>
        <v/>
      </c>
      <c r="C4670" s="315"/>
      <c r="D4670" s="315"/>
      <c r="E4670" s="545"/>
      <c r="F4670" s="248"/>
      <c r="G4670" s="314"/>
      <c r="H4670" s="473"/>
      <c r="I4670" s="307"/>
      <c r="J4670" s="307"/>
      <c r="K4670" s="532"/>
      <c r="L4670" s="533"/>
      <c r="M4670" s="533"/>
      <c r="N4670" s="525" t="str">
        <f>IF(AND('331-CT'!$E$7=TH!H4670,OR(L4670="331",M4670="331")),"331",IF(AND(OR(L4670="131",M4670="131"),H4670='131-CT'!$E$7),"131",""))</f>
        <v/>
      </c>
      <c r="O4670" s="525" t="str">
        <f>IF(AND($B4670&gt;='111'!$N$11,$B4670&lt;='111'!$O$11,OR($L4670=$O$7,$M4670=$O$7)),"x","")</f>
        <v/>
      </c>
      <c r="P4670" s="525" t="str">
        <f>IF(AND($L4670=$O$7,$B4670&lt;'111'!$N$11),"x","")</f>
        <v/>
      </c>
      <c r="Q4670" s="525" t="str">
        <f>IF(AND($M4670=$O$7,$B4670&lt;'111'!$N$11),"x","")</f>
        <v/>
      </c>
      <c r="R4670" s="525" t="str">
        <f>IF(ISERROR(FIND('112'!$M$9,G4670,1)),"",IF((AND(FIND('112'!$M$9,G4670,1)&gt;=1,$B4670&gt;='112'!$N$8,$B4670&lt;='112'!$O$8,OR($L4670='112'!$I$6,$M4670='112'!$I$6))),"x",""))</f>
        <v/>
      </c>
      <c r="S4670" s="525" t="str">
        <f>IF(ISERROR(FIND('112'!$M$9,G4670,1)),"",IF((AND(LEFT(G4670,2)=LEFT('112'!$M$9,2),B4670&lt;'112'!$N$8,$L4670='112'!$I$6)),"x",""))</f>
        <v/>
      </c>
      <c r="T4670" s="525" t="str">
        <f>IF(ISERROR(FIND('112'!$M$9,G4670,1)),"",IF((AND(RIGHT(G4670,2)=RIGHT('112'!$M$9,2),B4670&lt;'112'!$N$8,$M4670='112'!$I$6)),"x",""))</f>
        <v/>
      </c>
      <c r="U4670" s="525" t="str">
        <f>IF(AND(B4670&gt;='IN-NX'!$P$3,B4670&lt;='IN-NX'!$Q$3,'IN-NX'!$D$7=D4670,OR(LEFT(L4670,2)="15",AND(LEFT(M4670,2)&lt;&gt;"15",LEFT(M4670,2)&lt;&gt;"33"))),"x","")</f>
        <v/>
      </c>
      <c r="V4670" s="525" t="str">
        <f>IF(AND(OR(LEFT(TH!L4670,2)="15",LEFT(TH!M4670,2)="15"),'152-CT'!$J$8=TH!F4670),"x","")</f>
        <v/>
      </c>
      <c r="W4670" s="525" t="str">
        <f>IF(AND(OR(LEFT(TH!L4670,2)="15",LEFT(TH!M4670,2)="15"),TK!$E$7=TH!F4670),"x","")</f>
        <v/>
      </c>
      <c r="X4670" s="525" t="str">
        <f>IF(AND('341-CT'!$E$9=H4670,OR(LEFT(L4670,3)=$X$7,LEFT(M4670,3)=$X$7)),"x","")</f>
        <v/>
      </c>
      <c r="Y4670" s="525" t="str">
        <f>IF(OR(TH!L4670=TH!$Y$7,M4670=TH!$Y$7),"x","")</f>
        <v/>
      </c>
      <c r="Z4670" s="525" t="str">
        <f>IF(AND(B4670&lt;=NKC!$N$8,B4670&gt;=NKC!$M$8),"x","")</f>
        <v/>
      </c>
      <c r="AA4670" s="535"/>
      <c r="AB4670" s="536"/>
      <c r="AD4670" s="536"/>
    </row>
    <row r="4671" spans="1:30" s="503" customFormat="1" ht="15.75" customHeight="1">
      <c r="A4671" s="517" t="str">
        <f>IF(B4671&lt;&gt;"",IF(AND(B4671&gt;=_TM1,B4671&lt;=_TM2,OR(TH!L4671="1111",TH!M4671="1111")),TH!D4671,""),"")</f>
        <v/>
      </c>
      <c r="B4671" s="531" t="str">
        <f t="shared" si="565"/>
        <v/>
      </c>
      <c r="C4671" s="315"/>
      <c r="D4671" s="315"/>
      <c r="E4671" s="545"/>
      <c r="F4671" s="248"/>
      <c r="G4671" s="314"/>
      <c r="H4671" s="473"/>
      <c r="I4671" s="307"/>
      <c r="J4671" s="307"/>
      <c r="K4671" s="532"/>
      <c r="L4671" s="533"/>
      <c r="M4671" s="533"/>
      <c r="N4671" s="525" t="str">
        <f>IF(AND('331-CT'!$E$7=TH!H4671,OR(L4671="331",M4671="331")),"331",IF(AND(OR(L4671="131",M4671="131"),H4671='131-CT'!$E$7),"131",""))</f>
        <v/>
      </c>
      <c r="O4671" s="525" t="str">
        <f>IF(AND($B4671&gt;='111'!$N$11,$B4671&lt;='111'!$O$11,OR($L4671=$O$7,$M4671=$O$7)),"x","")</f>
        <v/>
      </c>
      <c r="P4671" s="525" t="str">
        <f>IF(AND($L4671=$O$7,$B4671&lt;'111'!$N$11),"x","")</f>
        <v/>
      </c>
      <c r="Q4671" s="525" t="str">
        <f>IF(AND($M4671=$O$7,$B4671&lt;'111'!$N$11),"x","")</f>
        <v/>
      </c>
      <c r="R4671" s="525" t="str">
        <f>IF(ISERROR(FIND('112'!$M$9,G4671,1)),"",IF((AND(FIND('112'!$M$9,G4671,1)&gt;=1,$B4671&gt;='112'!$N$8,$B4671&lt;='112'!$O$8,OR($L4671='112'!$I$6,$M4671='112'!$I$6))),"x",""))</f>
        <v/>
      </c>
      <c r="S4671" s="525" t="str">
        <f>IF(ISERROR(FIND('112'!$M$9,G4671,1)),"",IF((AND(LEFT(G4671,2)=LEFT('112'!$M$9,2),B4671&lt;'112'!$N$8,$L4671='112'!$I$6)),"x",""))</f>
        <v/>
      </c>
      <c r="T4671" s="525" t="str">
        <f>IF(ISERROR(FIND('112'!$M$9,G4671,1)),"",IF((AND(RIGHT(G4671,2)=RIGHT('112'!$M$9,2),B4671&lt;'112'!$N$8,$M4671='112'!$I$6)),"x",""))</f>
        <v/>
      </c>
      <c r="U4671" s="525" t="str">
        <f>IF(AND(B4671&gt;='IN-NX'!$P$3,B4671&lt;='IN-NX'!$Q$3,'IN-NX'!$D$7=D4671,OR(LEFT(L4671,2)="15",AND(LEFT(M4671,2)&lt;&gt;"15",LEFT(M4671,2)&lt;&gt;"33"))),"x","")</f>
        <v/>
      </c>
      <c r="V4671" s="525" t="str">
        <f>IF(AND(OR(LEFT(TH!L4671,2)="15",LEFT(TH!M4671,2)="15"),'152-CT'!$J$8=TH!F4671),"x","")</f>
        <v/>
      </c>
      <c r="W4671" s="525" t="str">
        <f>IF(AND(OR(LEFT(TH!L4671,2)="15",LEFT(TH!M4671,2)="15"),TK!$E$7=TH!F4671),"x","")</f>
        <v/>
      </c>
      <c r="X4671" s="525" t="str">
        <f>IF(AND('341-CT'!$E$9=H4671,OR(LEFT(L4671,3)=$X$7,LEFT(M4671,3)=$X$7)),"x","")</f>
        <v/>
      </c>
      <c r="Y4671" s="525" t="str">
        <f>IF(OR(TH!L4671=TH!$Y$7,M4671=TH!$Y$7),"x","")</f>
        <v/>
      </c>
      <c r="Z4671" s="525" t="str">
        <f>IF(AND(B4671&lt;=NKC!$N$8,B4671&gt;=NKC!$M$8),"x","")</f>
        <v/>
      </c>
      <c r="AA4671" s="535"/>
      <c r="AB4671" s="536"/>
    </row>
    <row r="4672" spans="1:30" s="503" customFormat="1" ht="15.75" customHeight="1">
      <c r="A4672" s="517" t="str">
        <f>IF(B4672&lt;&gt;"",IF(AND(B4672&gt;=_TM1,B4672&lt;=_TM2,OR(TH!L4672="1111",TH!M4672="1111")),TH!D4672,""),"")</f>
        <v/>
      </c>
      <c r="B4672" s="531" t="str">
        <f t="shared" si="565"/>
        <v/>
      </c>
      <c r="C4672" s="315"/>
      <c r="D4672" s="315"/>
      <c r="E4672" s="545"/>
      <c r="F4672" s="248"/>
      <c r="G4672" s="314"/>
      <c r="H4672" s="473"/>
      <c r="I4672" s="307"/>
      <c r="J4672" s="307"/>
      <c r="K4672" s="532"/>
      <c r="L4672" s="533"/>
      <c r="M4672" s="533"/>
      <c r="N4672" s="525" t="str">
        <f>IF(AND('331-CT'!$E$7=TH!H4672,OR(L4672="331",M4672="331")),"331",IF(AND(OR(L4672="131",M4672="131"),H4672='131-CT'!$E$7),"131",""))</f>
        <v/>
      </c>
      <c r="O4672" s="525" t="str">
        <f>IF(AND($B4672&gt;='111'!$N$11,$B4672&lt;='111'!$O$11,OR($L4672=$O$7,$M4672=$O$7)),"x","")</f>
        <v/>
      </c>
      <c r="P4672" s="525" t="str">
        <f>IF(AND($L4672=$O$7,$B4672&lt;'111'!$N$11),"x","")</f>
        <v/>
      </c>
      <c r="Q4672" s="525" t="str">
        <f>IF(AND($M4672=$O$7,$B4672&lt;'111'!$N$11),"x","")</f>
        <v/>
      </c>
      <c r="R4672" s="525" t="str">
        <f>IF(ISERROR(FIND('112'!$M$9,G4672,1)),"",IF((AND(FIND('112'!$M$9,G4672,1)&gt;=1,$B4672&gt;='112'!$N$8,$B4672&lt;='112'!$O$8,OR($L4672='112'!$I$6,$M4672='112'!$I$6))),"x",""))</f>
        <v/>
      </c>
      <c r="S4672" s="525" t="str">
        <f>IF(ISERROR(FIND('112'!$M$9,G4672,1)),"",IF((AND(LEFT(G4672,2)=LEFT('112'!$M$9,2),B4672&lt;'112'!$N$8,$L4672='112'!$I$6)),"x",""))</f>
        <v/>
      </c>
      <c r="T4672" s="525" t="str">
        <f>IF(ISERROR(FIND('112'!$M$9,G4672,1)),"",IF((AND(RIGHT(G4672,2)=RIGHT('112'!$M$9,2),B4672&lt;'112'!$N$8,$M4672='112'!$I$6)),"x",""))</f>
        <v/>
      </c>
      <c r="U4672" s="525" t="str">
        <f>IF(AND(B4672&gt;='IN-NX'!$P$3,B4672&lt;='IN-NX'!$Q$3,'IN-NX'!$D$7=D4672,OR(LEFT(L4672,2)="15",AND(LEFT(M4672,2)&lt;&gt;"15",LEFT(M4672,2)&lt;&gt;"33"))),"x","")</f>
        <v/>
      </c>
      <c r="V4672" s="525" t="str">
        <f>IF(AND(OR(LEFT(TH!L4672,2)="15",LEFT(TH!M4672,2)="15"),'152-CT'!$J$8=TH!F4672),"x","")</f>
        <v/>
      </c>
      <c r="W4672" s="525" t="str">
        <f>IF(AND(OR(LEFT(TH!L4672,2)="15",LEFT(TH!M4672,2)="15"),TK!$E$7=TH!F4672),"x","")</f>
        <v/>
      </c>
      <c r="X4672" s="525" t="str">
        <f>IF(AND('341-CT'!$E$9=H4672,OR(LEFT(L4672,3)=$X$7,LEFT(M4672,3)=$X$7)),"x","")</f>
        <v/>
      </c>
      <c r="Y4672" s="525" t="str">
        <f>IF(OR(TH!L4672=TH!$Y$7,M4672=TH!$Y$7),"x","")</f>
        <v/>
      </c>
      <c r="Z4672" s="525" t="str">
        <f>IF(AND(B4672&lt;=NKC!$N$8,B4672&gt;=NKC!$M$8),"x","")</f>
        <v/>
      </c>
      <c r="AA4672" s="535"/>
      <c r="AB4672" s="536"/>
    </row>
    <row r="4673" spans="1:30" s="503" customFormat="1" ht="15.75" customHeight="1">
      <c r="A4673" s="517" t="str">
        <f>IF(B4673&lt;&gt;"",IF(AND(B4673&gt;=_TM1,B4673&lt;=_TM2,OR(TH!L4673="1111",TH!M4673="1111")),TH!D4673,""),"")</f>
        <v/>
      </c>
      <c r="B4673" s="531" t="str">
        <f t="shared" si="565"/>
        <v/>
      </c>
      <c r="C4673" s="315"/>
      <c r="D4673" s="315"/>
      <c r="E4673" s="545"/>
      <c r="F4673" s="248"/>
      <c r="G4673" s="314"/>
      <c r="H4673" s="473"/>
      <c r="I4673" s="307"/>
      <c r="J4673" s="307"/>
      <c r="K4673" s="532"/>
      <c r="L4673" s="533"/>
      <c r="M4673" s="533"/>
      <c r="N4673" s="525" t="str">
        <f>IF(AND('331-CT'!$E$7=TH!H4673,OR(L4673="331",M4673="331")),"331",IF(AND(OR(L4673="131",M4673="131"),H4673='131-CT'!$E$7),"131",""))</f>
        <v/>
      </c>
      <c r="O4673" s="525" t="str">
        <f>IF(AND($B4673&gt;='111'!$N$11,$B4673&lt;='111'!$O$11,OR($L4673=$O$7,$M4673=$O$7)),"x","")</f>
        <v/>
      </c>
      <c r="P4673" s="525" t="str">
        <f>IF(AND($L4673=$O$7,$B4673&lt;'111'!$N$11),"x","")</f>
        <v/>
      </c>
      <c r="Q4673" s="525" t="str">
        <f>IF(AND($M4673=$O$7,$B4673&lt;'111'!$N$11),"x","")</f>
        <v/>
      </c>
      <c r="R4673" s="525" t="str">
        <f>IF(ISERROR(FIND('112'!$M$9,G4673,1)),"",IF((AND(FIND('112'!$M$9,G4673,1)&gt;=1,$B4673&gt;='112'!$N$8,$B4673&lt;='112'!$O$8,OR($L4673='112'!$I$6,$M4673='112'!$I$6))),"x",""))</f>
        <v/>
      </c>
      <c r="S4673" s="525" t="str">
        <f>IF(ISERROR(FIND('112'!$M$9,G4673,1)),"",IF((AND(LEFT(G4673,2)=LEFT('112'!$M$9,2),B4673&lt;'112'!$N$8,$L4673='112'!$I$6)),"x",""))</f>
        <v/>
      </c>
      <c r="T4673" s="525" t="str">
        <f>IF(ISERROR(FIND('112'!$M$9,G4673,1)),"",IF((AND(RIGHT(G4673,2)=RIGHT('112'!$M$9,2),B4673&lt;'112'!$N$8,$M4673='112'!$I$6)),"x",""))</f>
        <v/>
      </c>
      <c r="U4673" s="525" t="str">
        <f>IF(AND(B4673&gt;='IN-NX'!$P$3,B4673&lt;='IN-NX'!$Q$3,'IN-NX'!$D$7=D4673,OR(LEFT(L4673,2)="15",AND(LEFT(M4673,2)&lt;&gt;"15",LEFT(M4673,2)&lt;&gt;"33"))),"x","")</f>
        <v/>
      </c>
      <c r="V4673" s="525" t="str">
        <f>IF(AND(OR(LEFT(TH!L4673,2)="15",LEFT(TH!M4673,2)="15"),'152-CT'!$J$8=TH!F4673),"x","")</f>
        <v/>
      </c>
      <c r="W4673" s="525" t="str">
        <f>IF(AND(OR(LEFT(TH!L4673,2)="15",LEFT(TH!M4673,2)="15"),TK!$E$7=TH!F4673),"x","")</f>
        <v/>
      </c>
      <c r="X4673" s="525" t="str">
        <f>IF(AND('341-CT'!$E$9=H4673,OR(LEFT(L4673,3)=$X$7,LEFT(M4673,3)=$X$7)),"x","")</f>
        <v/>
      </c>
      <c r="Y4673" s="525" t="str">
        <f>IF(OR(TH!L4673=TH!$Y$7,M4673=TH!$Y$7),"x","")</f>
        <v/>
      </c>
      <c r="Z4673" s="525" t="str">
        <f>IF(AND(B4673&lt;=NKC!$N$8,B4673&gt;=NKC!$M$8),"x","")</f>
        <v/>
      </c>
      <c r="AA4673" s="535"/>
      <c r="AB4673" s="536"/>
      <c r="AD4673" s="536"/>
    </row>
    <row r="4674" spans="1:30" s="503" customFormat="1" ht="15.75" customHeight="1">
      <c r="A4674" s="517" t="str">
        <f>IF(B4674&lt;&gt;"",IF(AND(B4674&gt;=_TM1,B4674&lt;=_TM2,OR(TH!L4674="1111",TH!M4674="1111")),TH!D4674,""),"")</f>
        <v/>
      </c>
      <c r="B4674" s="531" t="str">
        <f t="shared" si="565"/>
        <v/>
      </c>
      <c r="C4674" s="315"/>
      <c r="D4674" s="315"/>
      <c r="E4674" s="545"/>
      <c r="F4674" s="248"/>
      <c r="G4674" s="314"/>
      <c r="H4674" s="473"/>
      <c r="I4674" s="307"/>
      <c r="J4674" s="307"/>
      <c r="K4674" s="532"/>
      <c r="L4674" s="533"/>
      <c r="M4674" s="533"/>
      <c r="N4674" s="525" t="str">
        <f>IF(AND('331-CT'!$E$7=TH!H4674,OR(L4674="331",M4674="331")),"331",IF(AND(OR(L4674="131",M4674="131"),H4674='131-CT'!$E$7),"131",""))</f>
        <v/>
      </c>
      <c r="O4674" s="525" t="str">
        <f>IF(AND($B4674&gt;='111'!$N$11,$B4674&lt;='111'!$O$11,OR($L4674=$O$7,$M4674=$O$7)),"x","")</f>
        <v/>
      </c>
      <c r="P4674" s="525" t="str">
        <f>IF(AND($L4674=$O$7,$B4674&lt;'111'!$N$11),"x","")</f>
        <v/>
      </c>
      <c r="Q4674" s="525" t="str">
        <f>IF(AND($M4674=$O$7,$B4674&lt;'111'!$N$11),"x","")</f>
        <v/>
      </c>
      <c r="R4674" s="525" t="str">
        <f>IF(ISERROR(FIND('112'!$M$9,G4674,1)),"",IF((AND(FIND('112'!$M$9,G4674,1)&gt;=1,$B4674&gt;='112'!$N$8,$B4674&lt;='112'!$O$8,OR($L4674='112'!$I$6,$M4674='112'!$I$6))),"x",""))</f>
        <v/>
      </c>
      <c r="S4674" s="525" t="str">
        <f>IF(ISERROR(FIND('112'!$M$9,G4674,1)),"",IF((AND(LEFT(G4674,2)=LEFT('112'!$M$9,2),B4674&lt;'112'!$N$8,$L4674='112'!$I$6)),"x",""))</f>
        <v/>
      </c>
      <c r="T4674" s="525" t="str">
        <f>IF(ISERROR(FIND('112'!$M$9,G4674,1)),"",IF((AND(RIGHT(G4674,2)=RIGHT('112'!$M$9,2),B4674&lt;'112'!$N$8,$M4674='112'!$I$6)),"x",""))</f>
        <v/>
      </c>
      <c r="U4674" s="525" t="str">
        <f>IF(AND(B4674&gt;='IN-NX'!$P$3,B4674&lt;='IN-NX'!$Q$3,'IN-NX'!$D$7=D4674,OR(LEFT(L4674,2)="15",AND(LEFT(M4674,2)&lt;&gt;"15",LEFT(M4674,2)&lt;&gt;"33"))),"x","")</f>
        <v/>
      </c>
      <c r="V4674" s="525" t="str">
        <f>IF(AND(OR(LEFT(TH!L4674,2)="15",LEFT(TH!M4674,2)="15"),'152-CT'!$J$8=TH!F4674),"x","")</f>
        <v/>
      </c>
      <c r="W4674" s="525" t="str">
        <f>IF(AND(OR(LEFT(TH!L4674,2)="15",LEFT(TH!M4674,2)="15"),TK!$E$7=TH!F4674),"x","")</f>
        <v/>
      </c>
      <c r="X4674" s="525" t="str">
        <f>IF(AND('341-CT'!$E$9=H4674,OR(LEFT(L4674,3)=$X$7,LEFT(M4674,3)=$X$7)),"x","")</f>
        <v/>
      </c>
      <c r="Y4674" s="525" t="str">
        <f>IF(OR(TH!L4674=TH!$Y$7,M4674=TH!$Y$7),"x","")</f>
        <v/>
      </c>
      <c r="Z4674" s="525" t="str">
        <f>IF(AND(B4674&lt;=NKC!$N$8,B4674&gt;=NKC!$M$8),"x","")</f>
        <v/>
      </c>
      <c r="AA4674" s="535"/>
      <c r="AB4674" s="536"/>
    </row>
    <row r="4675" spans="1:30" s="503" customFormat="1" ht="15.75" customHeight="1">
      <c r="A4675" s="517" t="str">
        <f>IF(B4675&lt;&gt;"",IF(AND(B4675&gt;=_TM1,B4675&lt;=_TM2,OR(TH!L4675="1111",TH!M4675="1111")),TH!D4675,""),"")</f>
        <v/>
      </c>
      <c r="B4675" s="531" t="str">
        <f t="shared" si="565"/>
        <v/>
      </c>
      <c r="C4675" s="315"/>
      <c r="D4675" s="315"/>
      <c r="E4675" s="545"/>
      <c r="F4675" s="248"/>
      <c r="G4675" s="314"/>
      <c r="H4675" s="473"/>
      <c r="I4675" s="307"/>
      <c r="J4675" s="307"/>
      <c r="K4675" s="532"/>
      <c r="L4675" s="533"/>
      <c r="M4675" s="533"/>
      <c r="N4675" s="525" t="str">
        <f>IF(AND('331-CT'!$E$7=TH!H4675,OR(L4675="331",M4675="331")),"331",IF(AND(OR(L4675="131",M4675="131"),H4675='131-CT'!$E$7),"131",""))</f>
        <v/>
      </c>
      <c r="O4675" s="525" t="str">
        <f>IF(AND($B4675&gt;='111'!$N$11,$B4675&lt;='111'!$O$11,OR($L4675=$O$7,$M4675=$O$7)),"x","")</f>
        <v/>
      </c>
      <c r="P4675" s="525" t="str">
        <f>IF(AND($L4675=$O$7,$B4675&lt;'111'!$N$11),"x","")</f>
        <v/>
      </c>
      <c r="Q4675" s="525" t="str">
        <f>IF(AND($M4675=$O$7,$B4675&lt;'111'!$N$11),"x","")</f>
        <v/>
      </c>
      <c r="R4675" s="525" t="str">
        <f>IF(ISERROR(FIND('112'!$M$9,G4675,1)),"",IF((AND(FIND('112'!$M$9,G4675,1)&gt;=1,$B4675&gt;='112'!$N$8,$B4675&lt;='112'!$O$8,OR($L4675='112'!$I$6,$M4675='112'!$I$6))),"x",""))</f>
        <v/>
      </c>
      <c r="S4675" s="525" t="str">
        <f>IF(ISERROR(FIND('112'!$M$9,G4675,1)),"",IF((AND(LEFT(G4675,2)=LEFT('112'!$M$9,2),B4675&lt;'112'!$N$8,$L4675='112'!$I$6)),"x",""))</f>
        <v/>
      </c>
      <c r="T4675" s="525" t="str">
        <f>IF(ISERROR(FIND('112'!$M$9,G4675,1)),"",IF((AND(RIGHT(G4675,2)=RIGHT('112'!$M$9,2),B4675&lt;'112'!$N$8,$M4675='112'!$I$6)),"x",""))</f>
        <v/>
      </c>
      <c r="U4675" s="525" t="str">
        <f>IF(AND(B4675&gt;='IN-NX'!$P$3,B4675&lt;='IN-NX'!$Q$3,'IN-NX'!$D$7=D4675,OR(LEFT(L4675,2)="15",AND(LEFT(M4675,2)&lt;&gt;"15",LEFT(M4675,2)&lt;&gt;"33"))),"x","")</f>
        <v/>
      </c>
      <c r="V4675" s="525" t="str">
        <f>IF(AND(OR(LEFT(TH!L4675,2)="15",LEFT(TH!M4675,2)="15"),'152-CT'!$J$8=TH!F4675),"x","")</f>
        <v/>
      </c>
      <c r="W4675" s="525" t="str">
        <f>IF(AND(OR(LEFT(TH!L4675,2)="15",LEFT(TH!M4675,2)="15"),TK!$E$7=TH!F4675),"x","")</f>
        <v/>
      </c>
      <c r="X4675" s="525" t="str">
        <f>IF(AND('341-CT'!$E$9=H4675,OR(LEFT(L4675,3)=$X$7,LEFT(M4675,3)=$X$7)),"x","")</f>
        <v/>
      </c>
      <c r="Y4675" s="525" t="str">
        <f>IF(OR(TH!L4675=TH!$Y$7,M4675=TH!$Y$7),"x","")</f>
        <v/>
      </c>
      <c r="Z4675" s="525" t="str">
        <f>IF(AND(B4675&lt;=NKC!$N$8,B4675&gt;=NKC!$M$8),"x","")</f>
        <v/>
      </c>
      <c r="AA4675" s="535"/>
      <c r="AB4675" s="536"/>
    </row>
    <row r="4676" spans="1:30" s="503" customFormat="1" ht="15.75" customHeight="1">
      <c r="A4676" s="517" t="str">
        <f>IF(B4676&lt;&gt;"",IF(AND(B4676&gt;=_TM1,B4676&lt;=_TM2,OR(TH!L4676="1111",TH!M4676="1111")),TH!D4676,""),"")</f>
        <v/>
      </c>
      <c r="B4676" s="531" t="str">
        <f t="shared" si="565"/>
        <v/>
      </c>
      <c r="C4676" s="315"/>
      <c r="D4676" s="315"/>
      <c r="E4676" s="545"/>
      <c r="F4676" s="248"/>
      <c r="G4676" s="314"/>
      <c r="H4676" s="473"/>
      <c r="I4676" s="307"/>
      <c r="J4676" s="307"/>
      <c r="K4676" s="532"/>
      <c r="L4676" s="533"/>
      <c r="M4676" s="533"/>
      <c r="N4676" s="525" t="str">
        <f>IF(AND('331-CT'!$E$7=TH!H4676,OR(L4676="331",M4676="331")),"331",IF(AND(OR(L4676="131",M4676="131"),H4676='131-CT'!$E$7),"131",""))</f>
        <v/>
      </c>
      <c r="O4676" s="525" t="str">
        <f>IF(AND($B4676&gt;='111'!$N$11,$B4676&lt;='111'!$O$11,OR($L4676=$O$7,$M4676=$O$7)),"x","")</f>
        <v/>
      </c>
      <c r="P4676" s="525" t="str">
        <f>IF(AND($L4676=$O$7,$B4676&lt;'111'!$N$11),"x","")</f>
        <v/>
      </c>
      <c r="Q4676" s="525" t="str">
        <f>IF(AND($M4676=$O$7,$B4676&lt;'111'!$N$11),"x","")</f>
        <v/>
      </c>
      <c r="R4676" s="525" t="str">
        <f>IF(ISERROR(FIND('112'!$M$9,G4676,1)),"",IF((AND(FIND('112'!$M$9,G4676,1)&gt;=1,$B4676&gt;='112'!$N$8,$B4676&lt;='112'!$O$8,OR($L4676='112'!$I$6,$M4676='112'!$I$6))),"x",""))</f>
        <v/>
      </c>
      <c r="S4676" s="525" t="str">
        <f>IF(ISERROR(FIND('112'!$M$9,G4676,1)),"",IF((AND(LEFT(G4676,2)=LEFT('112'!$M$9,2),B4676&lt;'112'!$N$8,$L4676='112'!$I$6)),"x",""))</f>
        <v/>
      </c>
      <c r="T4676" s="525" t="str">
        <f>IF(ISERROR(FIND('112'!$M$9,G4676,1)),"",IF((AND(RIGHT(G4676,2)=RIGHT('112'!$M$9,2),B4676&lt;'112'!$N$8,$M4676='112'!$I$6)),"x",""))</f>
        <v/>
      </c>
      <c r="U4676" s="525" t="str">
        <f>IF(AND(B4676&gt;='IN-NX'!$P$3,B4676&lt;='IN-NX'!$Q$3,'IN-NX'!$D$7=D4676,OR(LEFT(L4676,2)="15",AND(LEFT(M4676,2)&lt;&gt;"15",LEFT(M4676,2)&lt;&gt;"33"))),"x","")</f>
        <v/>
      </c>
      <c r="V4676" s="525" t="str">
        <f>IF(AND(OR(LEFT(TH!L4676,2)="15",LEFT(TH!M4676,2)="15"),'152-CT'!$J$8=TH!F4676),"x","")</f>
        <v/>
      </c>
      <c r="W4676" s="525" t="str">
        <f>IF(AND(OR(LEFT(TH!L4676,2)="15",LEFT(TH!M4676,2)="15"),TK!$E$7=TH!F4676),"x","")</f>
        <v/>
      </c>
      <c r="X4676" s="525" t="str">
        <f>IF(AND('341-CT'!$E$9=H4676,OR(LEFT(L4676,3)=$X$7,LEFT(M4676,3)=$X$7)),"x","")</f>
        <v/>
      </c>
      <c r="Y4676" s="525" t="str">
        <f>IF(OR(TH!L4676=TH!$Y$7,M4676=TH!$Y$7),"x","")</f>
        <v/>
      </c>
      <c r="Z4676" s="525" t="str">
        <f>IF(AND(B4676&lt;=NKC!$N$8,B4676&gt;=NKC!$M$8),"x","")</f>
        <v/>
      </c>
      <c r="AA4676" s="535"/>
      <c r="AB4676" s="536"/>
      <c r="AD4676" s="536"/>
    </row>
    <row r="4677" spans="1:30" s="503" customFormat="1" ht="15.75" customHeight="1">
      <c r="A4677" s="517" t="str">
        <f>IF(B4677&lt;&gt;"",IF(AND(B4677&gt;=_TM1,B4677&lt;=_TM2,OR(TH!L4677="1111",TH!M4677="1111")),TH!D4677,""),"")</f>
        <v/>
      </c>
      <c r="B4677" s="531" t="str">
        <f t="shared" si="565"/>
        <v/>
      </c>
      <c r="C4677" s="315"/>
      <c r="D4677" s="315"/>
      <c r="E4677" s="545"/>
      <c r="F4677" s="248"/>
      <c r="G4677" s="314"/>
      <c r="H4677" s="473"/>
      <c r="I4677" s="307"/>
      <c r="J4677" s="307"/>
      <c r="K4677" s="532"/>
      <c r="L4677" s="533"/>
      <c r="M4677" s="533"/>
      <c r="N4677" s="525" t="str">
        <f>IF(AND('331-CT'!$E$7=TH!H4677,OR(L4677="331",M4677="331")),"331",IF(AND(OR(L4677="131",M4677="131"),H4677='131-CT'!$E$7),"131",""))</f>
        <v/>
      </c>
      <c r="O4677" s="525" t="str">
        <f>IF(AND($B4677&gt;='111'!$N$11,$B4677&lt;='111'!$O$11,OR($L4677=$O$7,$M4677=$O$7)),"x","")</f>
        <v/>
      </c>
      <c r="P4677" s="525" t="str">
        <f>IF(AND($L4677=$O$7,$B4677&lt;'111'!$N$11),"x","")</f>
        <v/>
      </c>
      <c r="Q4677" s="525" t="str">
        <f>IF(AND($M4677=$O$7,$B4677&lt;'111'!$N$11),"x","")</f>
        <v/>
      </c>
      <c r="R4677" s="525" t="str">
        <f>IF(ISERROR(FIND('112'!$M$9,G4677,1)),"",IF((AND(FIND('112'!$M$9,G4677,1)&gt;=1,$B4677&gt;='112'!$N$8,$B4677&lt;='112'!$O$8,OR($L4677='112'!$I$6,$M4677='112'!$I$6))),"x",""))</f>
        <v/>
      </c>
      <c r="S4677" s="525" t="str">
        <f>IF(ISERROR(FIND('112'!$M$9,G4677,1)),"",IF((AND(LEFT(G4677,2)=LEFT('112'!$M$9,2),B4677&lt;'112'!$N$8,$L4677='112'!$I$6)),"x",""))</f>
        <v/>
      </c>
      <c r="T4677" s="525" t="str">
        <f>IF(ISERROR(FIND('112'!$M$9,G4677,1)),"",IF((AND(RIGHT(G4677,2)=RIGHT('112'!$M$9,2),B4677&lt;'112'!$N$8,$M4677='112'!$I$6)),"x",""))</f>
        <v/>
      </c>
      <c r="U4677" s="525" t="str">
        <f>IF(AND(B4677&gt;='IN-NX'!$P$3,B4677&lt;='IN-NX'!$Q$3,'IN-NX'!$D$7=D4677,OR(LEFT(L4677,2)="15",AND(LEFT(M4677,2)&lt;&gt;"15",LEFT(M4677,2)&lt;&gt;"33"))),"x","")</f>
        <v/>
      </c>
      <c r="V4677" s="525" t="str">
        <f>IF(AND(OR(LEFT(TH!L4677,2)="15",LEFT(TH!M4677,2)="15"),'152-CT'!$J$8=TH!F4677),"x","")</f>
        <v/>
      </c>
      <c r="W4677" s="525" t="str">
        <f>IF(AND(OR(LEFT(TH!L4677,2)="15",LEFT(TH!M4677,2)="15"),TK!$E$7=TH!F4677),"x","")</f>
        <v/>
      </c>
      <c r="X4677" s="525" t="str">
        <f>IF(AND('341-CT'!$E$9=H4677,OR(LEFT(L4677,3)=$X$7,LEFT(M4677,3)=$X$7)),"x","")</f>
        <v/>
      </c>
      <c r="Y4677" s="525" t="str">
        <f>IF(OR(TH!L4677=TH!$Y$7,M4677=TH!$Y$7),"x","")</f>
        <v/>
      </c>
      <c r="Z4677" s="525" t="str">
        <f>IF(AND(B4677&lt;=NKC!$N$8,B4677&gt;=NKC!$M$8),"x","")</f>
        <v/>
      </c>
      <c r="AA4677" s="535"/>
      <c r="AB4677" s="536"/>
    </row>
    <row r="4678" spans="1:30" s="503" customFormat="1" ht="15.75" customHeight="1">
      <c r="A4678" s="517" t="str">
        <f>IF(B4678&lt;&gt;"",IF(AND(B4678&gt;=_TM1,B4678&lt;=_TM2,OR(TH!L4678="1111",TH!M4678="1111")),TH!D4678,""),"")</f>
        <v/>
      </c>
      <c r="B4678" s="531" t="str">
        <f t="shared" si="565"/>
        <v/>
      </c>
      <c r="C4678" s="315"/>
      <c r="D4678" s="315"/>
      <c r="E4678" s="545"/>
      <c r="F4678" s="248"/>
      <c r="G4678" s="314"/>
      <c r="H4678" s="473"/>
      <c r="I4678" s="307"/>
      <c r="J4678" s="307"/>
      <c r="K4678" s="532"/>
      <c r="L4678" s="533"/>
      <c r="M4678" s="533"/>
      <c r="N4678" s="525" t="str">
        <f>IF(AND('331-CT'!$E$7=TH!H4678,OR(L4678="331",M4678="331")),"331",IF(AND(OR(L4678="131",M4678="131"),H4678='131-CT'!$E$7),"131",""))</f>
        <v/>
      </c>
      <c r="O4678" s="525" t="str">
        <f>IF(AND($B4678&gt;='111'!$N$11,$B4678&lt;='111'!$O$11,OR($L4678=$O$7,$M4678=$O$7)),"x","")</f>
        <v/>
      </c>
      <c r="P4678" s="525" t="str">
        <f>IF(AND($L4678=$O$7,$B4678&lt;'111'!$N$11),"x","")</f>
        <v/>
      </c>
      <c r="Q4678" s="525" t="str">
        <f>IF(AND($M4678=$O$7,$B4678&lt;'111'!$N$11),"x","")</f>
        <v/>
      </c>
      <c r="R4678" s="525" t="str">
        <f>IF(ISERROR(FIND('112'!$M$9,G4678,1)),"",IF((AND(FIND('112'!$M$9,G4678,1)&gt;=1,$B4678&gt;='112'!$N$8,$B4678&lt;='112'!$O$8,OR($L4678='112'!$I$6,$M4678='112'!$I$6))),"x",""))</f>
        <v/>
      </c>
      <c r="S4678" s="525" t="str">
        <f>IF(ISERROR(FIND('112'!$M$9,G4678,1)),"",IF((AND(LEFT(G4678,2)=LEFT('112'!$M$9,2),B4678&lt;'112'!$N$8,$L4678='112'!$I$6)),"x",""))</f>
        <v/>
      </c>
      <c r="T4678" s="525" t="str">
        <f>IF(ISERROR(FIND('112'!$M$9,G4678,1)),"",IF((AND(RIGHT(G4678,2)=RIGHT('112'!$M$9,2),B4678&lt;'112'!$N$8,$M4678='112'!$I$6)),"x",""))</f>
        <v/>
      </c>
      <c r="U4678" s="525" t="str">
        <f>IF(AND(B4678&gt;='IN-NX'!$P$3,B4678&lt;='IN-NX'!$Q$3,'IN-NX'!$D$7=D4678,OR(LEFT(L4678,2)="15",AND(LEFT(M4678,2)&lt;&gt;"15",LEFT(M4678,2)&lt;&gt;"33"))),"x","")</f>
        <v/>
      </c>
      <c r="V4678" s="525" t="str">
        <f>IF(AND(OR(LEFT(TH!L4678,2)="15",LEFT(TH!M4678,2)="15"),'152-CT'!$J$8=TH!F4678),"x","")</f>
        <v/>
      </c>
      <c r="W4678" s="525" t="str">
        <f>IF(AND(OR(LEFT(TH!L4678,2)="15",LEFT(TH!M4678,2)="15"),TK!$E$7=TH!F4678),"x","")</f>
        <v/>
      </c>
      <c r="X4678" s="525" t="str">
        <f>IF(AND('341-CT'!$E$9=H4678,OR(LEFT(L4678,3)=$X$7,LEFT(M4678,3)=$X$7)),"x","")</f>
        <v/>
      </c>
      <c r="Y4678" s="525" t="str">
        <f>IF(OR(TH!L4678=TH!$Y$7,M4678=TH!$Y$7),"x","")</f>
        <v/>
      </c>
      <c r="Z4678" s="525" t="str">
        <f>IF(AND(B4678&lt;=NKC!$N$8,B4678&gt;=NKC!$M$8),"x","")</f>
        <v/>
      </c>
      <c r="AA4678" s="535"/>
      <c r="AB4678" s="536"/>
    </row>
    <row r="4679" spans="1:30" s="503" customFormat="1" ht="15.75" customHeight="1">
      <c r="A4679" s="517" t="str">
        <f>IF(B4679&lt;&gt;"",IF(AND(B4679&gt;=_TM1,B4679&lt;=_TM2,OR(TH!L4679="1111",TH!M4679="1111")),TH!D4679,""),"")</f>
        <v/>
      </c>
      <c r="B4679" s="531" t="str">
        <f t="shared" si="565"/>
        <v/>
      </c>
      <c r="C4679" s="315"/>
      <c r="D4679" s="315"/>
      <c r="E4679" s="545"/>
      <c r="F4679" s="248"/>
      <c r="G4679" s="314"/>
      <c r="H4679" s="473"/>
      <c r="I4679" s="307"/>
      <c r="J4679" s="307"/>
      <c r="K4679" s="532"/>
      <c r="L4679" s="533"/>
      <c r="M4679" s="533"/>
      <c r="N4679" s="525" t="str">
        <f>IF(AND('331-CT'!$E$7=TH!H4679,OR(L4679="331",M4679="331")),"331",IF(AND(OR(L4679="131",M4679="131"),H4679='131-CT'!$E$7),"131",""))</f>
        <v/>
      </c>
      <c r="O4679" s="525" t="str">
        <f>IF(AND($B4679&gt;='111'!$N$11,$B4679&lt;='111'!$O$11,OR($L4679=$O$7,$M4679=$O$7)),"x","")</f>
        <v/>
      </c>
      <c r="P4679" s="525" t="str">
        <f>IF(AND($L4679=$O$7,$B4679&lt;'111'!$N$11),"x","")</f>
        <v/>
      </c>
      <c r="Q4679" s="525" t="str">
        <f>IF(AND($M4679=$O$7,$B4679&lt;'111'!$N$11),"x","")</f>
        <v/>
      </c>
      <c r="R4679" s="525" t="str">
        <f>IF(ISERROR(FIND('112'!$M$9,G4679,1)),"",IF((AND(FIND('112'!$M$9,G4679,1)&gt;=1,$B4679&gt;='112'!$N$8,$B4679&lt;='112'!$O$8,OR($L4679='112'!$I$6,$M4679='112'!$I$6))),"x",""))</f>
        <v/>
      </c>
      <c r="S4679" s="525" t="str">
        <f>IF(ISERROR(FIND('112'!$M$9,G4679,1)),"",IF((AND(LEFT(G4679,2)=LEFT('112'!$M$9,2),B4679&lt;'112'!$N$8,$L4679='112'!$I$6)),"x",""))</f>
        <v/>
      </c>
      <c r="T4679" s="525" t="str">
        <f>IF(ISERROR(FIND('112'!$M$9,G4679,1)),"",IF((AND(RIGHT(G4679,2)=RIGHT('112'!$M$9,2),B4679&lt;'112'!$N$8,$M4679='112'!$I$6)),"x",""))</f>
        <v/>
      </c>
      <c r="U4679" s="525" t="str">
        <f>IF(AND(B4679&gt;='IN-NX'!$P$3,B4679&lt;='IN-NX'!$Q$3,'IN-NX'!$D$7=D4679,OR(LEFT(L4679,2)="15",AND(LEFT(M4679,2)&lt;&gt;"15",LEFT(M4679,2)&lt;&gt;"33"))),"x","")</f>
        <v/>
      </c>
      <c r="V4679" s="525" t="str">
        <f>IF(AND(OR(LEFT(TH!L4679,2)="15",LEFT(TH!M4679,2)="15"),'152-CT'!$J$8=TH!F4679),"x","")</f>
        <v/>
      </c>
      <c r="W4679" s="525" t="str">
        <f>IF(AND(OR(LEFT(TH!L4679,2)="15",LEFT(TH!M4679,2)="15"),TK!$E$7=TH!F4679),"x","")</f>
        <v/>
      </c>
      <c r="X4679" s="525" t="str">
        <f>IF(AND('341-CT'!$E$9=H4679,OR(LEFT(L4679,3)=$X$7,LEFT(M4679,3)=$X$7)),"x","")</f>
        <v/>
      </c>
      <c r="Y4679" s="525" t="str">
        <f>IF(OR(TH!L4679=TH!$Y$7,M4679=TH!$Y$7),"x","")</f>
        <v/>
      </c>
      <c r="Z4679" s="525" t="str">
        <f>IF(AND(B4679&lt;=NKC!$N$8,B4679&gt;=NKC!$M$8),"x","")</f>
        <v/>
      </c>
      <c r="AA4679" s="535"/>
      <c r="AB4679" s="536"/>
      <c r="AD4679" s="536"/>
    </row>
    <row r="4680" spans="1:30" s="503" customFormat="1" ht="15.75" customHeight="1">
      <c r="A4680" s="517" t="str">
        <f>IF(B4680&lt;&gt;"",IF(AND(B4680&gt;=_TM1,B4680&lt;=_TM2,OR(TH!L4680="1111",TH!M4680="1111")),TH!D4680,""),"")</f>
        <v/>
      </c>
      <c r="B4680" s="531" t="str">
        <f t="shared" si="565"/>
        <v/>
      </c>
      <c r="C4680" s="315"/>
      <c r="D4680" s="315"/>
      <c r="E4680" s="545"/>
      <c r="F4680" s="248"/>
      <c r="G4680" s="314"/>
      <c r="H4680" s="473"/>
      <c r="I4680" s="307"/>
      <c r="J4680" s="307"/>
      <c r="K4680" s="532"/>
      <c r="L4680" s="533"/>
      <c r="M4680" s="533"/>
      <c r="N4680" s="525" t="str">
        <f>IF(AND('331-CT'!$E$7=TH!H4680,OR(L4680="331",M4680="331")),"331",IF(AND(OR(L4680="131",M4680="131"),H4680='131-CT'!$E$7),"131",""))</f>
        <v/>
      </c>
      <c r="O4680" s="525" t="str">
        <f>IF(AND($B4680&gt;='111'!$N$11,$B4680&lt;='111'!$O$11,OR($L4680=$O$7,$M4680=$O$7)),"x","")</f>
        <v/>
      </c>
      <c r="P4680" s="525" t="str">
        <f>IF(AND($L4680=$O$7,$B4680&lt;'111'!$N$11),"x","")</f>
        <v/>
      </c>
      <c r="Q4680" s="525" t="str">
        <f>IF(AND($M4680=$O$7,$B4680&lt;'111'!$N$11),"x","")</f>
        <v/>
      </c>
      <c r="R4680" s="525" t="str">
        <f>IF(ISERROR(FIND('112'!$M$9,G4680,1)),"",IF((AND(FIND('112'!$M$9,G4680,1)&gt;=1,$B4680&gt;='112'!$N$8,$B4680&lt;='112'!$O$8,OR($L4680='112'!$I$6,$M4680='112'!$I$6))),"x",""))</f>
        <v/>
      </c>
      <c r="S4680" s="525" t="str">
        <f>IF(ISERROR(FIND('112'!$M$9,G4680,1)),"",IF((AND(LEFT(G4680,2)=LEFT('112'!$M$9,2),B4680&lt;'112'!$N$8,$L4680='112'!$I$6)),"x",""))</f>
        <v/>
      </c>
      <c r="T4680" s="525" t="str">
        <f>IF(ISERROR(FIND('112'!$M$9,G4680,1)),"",IF((AND(RIGHT(G4680,2)=RIGHT('112'!$M$9,2),B4680&lt;'112'!$N$8,$M4680='112'!$I$6)),"x",""))</f>
        <v/>
      </c>
      <c r="U4680" s="525" t="str">
        <f>IF(AND(B4680&gt;='IN-NX'!$P$3,B4680&lt;='IN-NX'!$Q$3,'IN-NX'!$D$7=D4680,OR(LEFT(L4680,2)="15",AND(LEFT(M4680,2)&lt;&gt;"15",LEFT(M4680,2)&lt;&gt;"33"))),"x","")</f>
        <v/>
      </c>
      <c r="V4680" s="525" t="str">
        <f>IF(AND(OR(LEFT(TH!L4680,2)="15",LEFT(TH!M4680,2)="15"),'152-CT'!$J$8=TH!F4680),"x","")</f>
        <v/>
      </c>
      <c r="W4680" s="525" t="str">
        <f>IF(AND(OR(LEFT(TH!L4680,2)="15",LEFT(TH!M4680,2)="15"),TK!$E$7=TH!F4680),"x","")</f>
        <v/>
      </c>
      <c r="X4680" s="525" t="str">
        <f>IF(AND('341-CT'!$E$9=H4680,OR(LEFT(L4680,3)=$X$7,LEFT(M4680,3)=$X$7)),"x","")</f>
        <v/>
      </c>
      <c r="Y4680" s="525" t="str">
        <f>IF(OR(TH!L4680=TH!$Y$7,M4680=TH!$Y$7),"x","")</f>
        <v/>
      </c>
      <c r="Z4680" s="525" t="str">
        <f>IF(AND(B4680&lt;=NKC!$N$8,B4680&gt;=NKC!$M$8),"x","")</f>
        <v/>
      </c>
      <c r="AA4680" s="535"/>
      <c r="AB4680" s="536"/>
    </row>
    <row r="4681" spans="1:30" s="503" customFormat="1" ht="15.75" customHeight="1">
      <c r="A4681" s="517" t="str">
        <f>IF(B4681&lt;&gt;"",IF(AND(B4681&gt;=_TM1,B4681&lt;=_TM2,OR(TH!L4681="1111",TH!M4681="1111")),TH!D4681,""),"")</f>
        <v/>
      </c>
      <c r="B4681" s="531" t="str">
        <f t="shared" si="565"/>
        <v/>
      </c>
      <c r="C4681" s="315"/>
      <c r="D4681" s="315"/>
      <c r="E4681" s="545"/>
      <c r="F4681" s="248"/>
      <c r="G4681" s="314"/>
      <c r="H4681" s="473"/>
      <c r="I4681" s="307"/>
      <c r="J4681" s="307"/>
      <c r="K4681" s="532"/>
      <c r="L4681" s="533"/>
      <c r="M4681" s="533"/>
      <c r="N4681" s="525" t="str">
        <f>IF(AND('331-CT'!$E$7=TH!H4681,OR(L4681="331",M4681="331")),"331",IF(AND(OR(L4681="131",M4681="131"),H4681='131-CT'!$E$7),"131",""))</f>
        <v/>
      </c>
      <c r="O4681" s="525" t="str">
        <f>IF(AND($B4681&gt;='111'!$N$11,$B4681&lt;='111'!$O$11,OR($L4681=$O$7,$M4681=$O$7)),"x","")</f>
        <v/>
      </c>
      <c r="P4681" s="525" t="str">
        <f>IF(AND($L4681=$O$7,$B4681&lt;'111'!$N$11),"x","")</f>
        <v/>
      </c>
      <c r="Q4681" s="525" t="str">
        <f>IF(AND($M4681=$O$7,$B4681&lt;'111'!$N$11),"x","")</f>
        <v/>
      </c>
      <c r="R4681" s="525" t="str">
        <f>IF(ISERROR(FIND('112'!$M$9,G4681,1)),"",IF((AND(FIND('112'!$M$9,G4681,1)&gt;=1,$B4681&gt;='112'!$N$8,$B4681&lt;='112'!$O$8,OR($L4681='112'!$I$6,$M4681='112'!$I$6))),"x",""))</f>
        <v/>
      </c>
      <c r="S4681" s="525" t="str">
        <f>IF(ISERROR(FIND('112'!$M$9,G4681,1)),"",IF((AND(LEFT(G4681,2)=LEFT('112'!$M$9,2),B4681&lt;'112'!$N$8,$L4681='112'!$I$6)),"x",""))</f>
        <v/>
      </c>
      <c r="T4681" s="525" t="str">
        <f>IF(ISERROR(FIND('112'!$M$9,G4681,1)),"",IF((AND(RIGHT(G4681,2)=RIGHT('112'!$M$9,2),B4681&lt;'112'!$N$8,$M4681='112'!$I$6)),"x",""))</f>
        <v/>
      </c>
      <c r="U4681" s="525" t="str">
        <f>IF(AND(B4681&gt;='IN-NX'!$P$3,B4681&lt;='IN-NX'!$Q$3,'IN-NX'!$D$7=D4681,OR(LEFT(L4681,2)="15",AND(LEFT(M4681,2)&lt;&gt;"15",LEFT(M4681,2)&lt;&gt;"33"))),"x","")</f>
        <v/>
      </c>
      <c r="V4681" s="525" t="str">
        <f>IF(AND(OR(LEFT(TH!L4681,2)="15",LEFT(TH!M4681,2)="15"),'152-CT'!$J$8=TH!F4681),"x","")</f>
        <v/>
      </c>
      <c r="W4681" s="525" t="str">
        <f>IF(AND(OR(LEFT(TH!L4681,2)="15",LEFT(TH!M4681,2)="15"),TK!$E$7=TH!F4681),"x","")</f>
        <v/>
      </c>
      <c r="X4681" s="525" t="str">
        <f>IF(AND('341-CT'!$E$9=H4681,OR(LEFT(L4681,3)=$X$7,LEFT(M4681,3)=$X$7)),"x","")</f>
        <v/>
      </c>
      <c r="Y4681" s="525" t="str">
        <f>IF(OR(TH!L4681=TH!$Y$7,M4681=TH!$Y$7),"x","")</f>
        <v/>
      </c>
      <c r="Z4681" s="525" t="str">
        <f>IF(AND(B4681&lt;=NKC!$N$8,B4681&gt;=NKC!$M$8),"x","")</f>
        <v/>
      </c>
      <c r="AA4681" s="535"/>
      <c r="AB4681" s="536"/>
    </row>
    <row r="4682" spans="1:30" s="503" customFormat="1" ht="15.75" customHeight="1">
      <c r="A4682" s="517" t="str">
        <f>IF(B4682&lt;&gt;"",IF(AND(B4682&gt;=_TM1,B4682&lt;=_TM2,OR(TH!L4682="1111",TH!M4682="1111")),TH!D4682,""),"")</f>
        <v/>
      </c>
      <c r="B4682" s="531" t="str">
        <f t="shared" si="565"/>
        <v/>
      </c>
      <c r="C4682" s="315"/>
      <c r="D4682" s="315"/>
      <c r="E4682" s="545"/>
      <c r="F4682" s="248"/>
      <c r="G4682" s="314"/>
      <c r="H4682" s="473"/>
      <c r="I4682" s="307"/>
      <c r="J4682" s="307"/>
      <c r="K4682" s="532"/>
      <c r="L4682" s="533"/>
      <c r="M4682" s="533"/>
      <c r="N4682" s="525" t="str">
        <f>IF(AND('331-CT'!$E$7=TH!H4682,OR(L4682="331",M4682="331")),"331",IF(AND(OR(L4682="131",M4682="131"),H4682='131-CT'!$E$7),"131",""))</f>
        <v/>
      </c>
      <c r="O4682" s="525" t="str">
        <f>IF(AND($B4682&gt;='111'!$N$11,$B4682&lt;='111'!$O$11,OR($L4682=$O$7,$M4682=$O$7)),"x","")</f>
        <v/>
      </c>
      <c r="P4682" s="525" t="str">
        <f>IF(AND($L4682=$O$7,$B4682&lt;'111'!$N$11),"x","")</f>
        <v/>
      </c>
      <c r="Q4682" s="525" t="str">
        <f>IF(AND($M4682=$O$7,$B4682&lt;'111'!$N$11),"x","")</f>
        <v/>
      </c>
      <c r="R4682" s="525" t="str">
        <f>IF(ISERROR(FIND('112'!$M$9,G4682,1)),"",IF((AND(FIND('112'!$M$9,G4682,1)&gt;=1,$B4682&gt;='112'!$N$8,$B4682&lt;='112'!$O$8,OR($L4682='112'!$I$6,$M4682='112'!$I$6))),"x",""))</f>
        <v/>
      </c>
      <c r="S4682" s="525" t="str">
        <f>IF(ISERROR(FIND('112'!$M$9,G4682,1)),"",IF((AND(LEFT(G4682,2)=LEFT('112'!$M$9,2),B4682&lt;'112'!$N$8,$L4682='112'!$I$6)),"x",""))</f>
        <v/>
      </c>
      <c r="T4682" s="525" t="str">
        <f>IF(ISERROR(FIND('112'!$M$9,G4682,1)),"",IF((AND(RIGHT(G4682,2)=RIGHT('112'!$M$9,2),B4682&lt;'112'!$N$8,$M4682='112'!$I$6)),"x",""))</f>
        <v/>
      </c>
      <c r="U4682" s="525" t="str">
        <f>IF(AND(B4682&gt;='IN-NX'!$P$3,B4682&lt;='IN-NX'!$Q$3,'IN-NX'!$D$7=D4682,OR(LEFT(L4682,2)="15",AND(LEFT(M4682,2)&lt;&gt;"15",LEFT(M4682,2)&lt;&gt;"33"))),"x","")</f>
        <v/>
      </c>
      <c r="V4682" s="525" t="str">
        <f>IF(AND(OR(LEFT(TH!L4682,2)="15",LEFT(TH!M4682,2)="15"),'152-CT'!$J$8=TH!F4682),"x","")</f>
        <v/>
      </c>
      <c r="W4682" s="525" t="str">
        <f>IF(AND(OR(LEFT(TH!L4682,2)="15",LEFT(TH!M4682,2)="15"),TK!$E$7=TH!F4682),"x","")</f>
        <v/>
      </c>
      <c r="X4682" s="525" t="str">
        <f>IF(AND('341-CT'!$E$9=H4682,OR(LEFT(L4682,3)=$X$7,LEFT(M4682,3)=$X$7)),"x","")</f>
        <v/>
      </c>
      <c r="Y4682" s="525" t="str">
        <f>IF(OR(TH!L4682=TH!$Y$7,M4682=TH!$Y$7),"x","")</f>
        <v/>
      </c>
      <c r="Z4682" s="525" t="str">
        <f>IF(AND(B4682&lt;=NKC!$N$8,B4682&gt;=NKC!$M$8),"x","")</f>
        <v/>
      </c>
      <c r="AA4682" s="535"/>
      <c r="AB4682" s="536"/>
      <c r="AD4682" s="536"/>
    </row>
    <row r="4683" spans="1:30" s="503" customFormat="1" ht="15.75" customHeight="1">
      <c r="A4683" s="517" t="str">
        <f>IF(B4683&lt;&gt;"",IF(AND(B4683&gt;=_TM1,B4683&lt;=_TM2,OR(TH!L4683="1111",TH!M4683="1111")),TH!D4683,""),"")</f>
        <v/>
      </c>
      <c r="B4683" s="531" t="str">
        <f t="shared" si="565"/>
        <v/>
      </c>
      <c r="C4683" s="315"/>
      <c r="D4683" s="315"/>
      <c r="E4683" s="545"/>
      <c r="F4683" s="248"/>
      <c r="G4683" s="314"/>
      <c r="H4683" s="473"/>
      <c r="I4683" s="307"/>
      <c r="J4683" s="307"/>
      <c r="K4683" s="532"/>
      <c r="L4683" s="533"/>
      <c r="M4683" s="533"/>
      <c r="N4683" s="525" t="str">
        <f>IF(AND('331-CT'!$E$7=TH!H4683,OR(L4683="331",M4683="331")),"331",IF(AND(OR(L4683="131",M4683="131"),H4683='131-CT'!$E$7),"131",""))</f>
        <v/>
      </c>
      <c r="O4683" s="525" t="str">
        <f>IF(AND($B4683&gt;='111'!$N$11,$B4683&lt;='111'!$O$11,OR($L4683=$O$7,$M4683=$O$7)),"x","")</f>
        <v/>
      </c>
      <c r="P4683" s="525" t="str">
        <f>IF(AND($L4683=$O$7,$B4683&lt;'111'!$N$11),"x","")</f>
        <v/>
      </c>
      <c r="Q4683" s="525" t="str">
        <f>IF(AND($M4683=$O$7,$B4683&lt;'111'!$N$11),"x","")</f>
        <v/>
      </c>
      <c r="R4683" s="525" t="str">
        <f>IF(ISERROR(FIND('112'!$M$9,G4683,1)),"",IF((AND(FIND('112'!$M$9,G4683,1)&gt;=1,$B4683&gt;='112'!$N$8,$B4683&lt;='112'!$O$8,OR($L4683='112'!$I$6,$M4683='112'!$I$6))),"x",""))</f>
        <v/>
      </c>
      <c r="S4683" s="525" t="str">
        <f>IF(ISERROR(FIND('112'!$M$9,G4683,1)),"",IF((AND(LEFT(G4683,2)=LEFT('112'!$M$9,2),B4683&lt;'112'!$N$8,$L4683='112'!$I$6)),"x",""))</f>
        <v/>
      </c>
      <c r="T4683" s="525" t="str">
        <f>IF(ISERROR(FIND('112'!$M$9,G4683,1)),"",IF((AND(RIGHT(G4683,2)=RIGHT('112'!$M$9,2),B4683&lt;'112'!$N$8,$M4683='112'!$I$6)),"x",""))</f>
        <v/>
      </c>
      <c r="U4683" s="525" t="str">
        <f>IF(AND(B4683&gt;='IN-NX'!$P$3,B4683&lt;='IN-NX'!$Q$3,'IN-NX'!$D$7=D4683,OR(LEFT(L4683,2)="15",AND(LEFT(M4683,2)&lt;&gt;"15",LEFT(M4683,2)&lt;&gt;"33"))),"x","")</f>
        <v/>
      </c>
      <c r="V4683" s="525" t="str">
        <f>IF(AND(OR(LEFT(TH!L4683,2)="15",LEFT(TH!M4683,2)="15"),'152-CT'!$J$8=TH!F4683),"x","")</f>
        <v/>
      </c>
      <c r="W4683" s="525" t="str">
        <f>IF(AND(OR(LEFT(TH!L4683,2)="15",LEFT(TH!M4683,2)="15"),TK!$E$7=TH!F4683),"x","")</f>
        <v/>
      </c>
      <c r="X4683" s="525" t="str">
        <f>IF(AND('341-CT'!$E$9=H4683,OR(LEFT(L4683,3)=$X$7,LEFT(M4683,3)=$X$7)),"x","")</f>
        <v/>
      </c>
      <c r="Y4683" s="525" t="str">
        <f>IF(OR(TH!L4683=TH!$Y$7,M4683=TH!$Y$7),"x","")</f>
        <v/>
      </c>
      <c r="Z4683" s="525" t="str">
        <f>IF(AND(B4683&lt;=NKC!$N$8,B4683&gt;=NKC!$M$8),"x","")</f>
        <v/>
      </c>
      <c r="AA4683" s="535"/>
      <c r="AB4683" s="536"/>
    </row>
    <row r="4684" spans="1:30" s="503" customFormat="1" ht="15.75" customHeight="1">
      <c r="A4684" s="517" t="str">
        <f>IF(B4684&lt;&gt;"",IF(AND(B4684&gt;=_TM1,B4684&lt;=_TM2,OR(TH!L4684="1111",TH!M4684="1111")),TH!D4684,""),"")</f>
        <v/>
      </c>
      <c r="B4684" s="531" t="str">
        <f t="shared" si="565"/>
        <v/>
      </c>
      <c r="C4684" s="315"/>
      <c r="D4684" s="315"/>
      <c r="E4684" s="545"/>
      <c r="F4684" s="248"/>
      <c r="G4684" s="314"/>
      <c r="H4684" s="473"/>
      <c r="I4684" s="307"/>
      <c r="J4684" s="307"/>
      <c r="K4684" s="532"/>
      <c r="L4684" s="533"/>
      <c r="M4684" s="533"/>
      <c r="N4684" s="525" t="str">
        <f>IF(AND('331-CT'!$E$7=TH!H4684,OR(L4684="331",M4684="331")),"331",IF(AND(OR(L4684="131",M4684="131"),H4684='131-CT'!$E$7),"131",""))</f>
        <v/>
      </c>
      <c r="O4684" s="525" t="str">
        <f>IF(AND($B4684&gt;='111'!$N$11,$B4684&lt;='111'!$O$11,OR($L4684=$O$7,$M4684=$O$7)),"x","")</f>
        <v/>
      </c>
      <c r="P4684" s="525" t="str">
        <f>IF(AND($L4684=$O$7,$B4684&lt;'111'!$N$11),"x","")</f>
        <v/>
      </c>
      <c r="Q4684" s="525" t="str">
        <f>IF(AND($M4684=$O$7,$B4684&lt;'111'!$N$11),"x","")</f>
        <v/>
      </c>
      <c r="R4684" s="525" t="str">
        <f>IF(ISERROR(FIND('112'!$M$9,G4684,1)),"",IF((AND(FIND('112'!$M$9,G4684,1)&gt;=1,$B4684&gt;='112'!$N$8,$B4684&lt;='112'!$O$8,OR($L4684='112'!$I$6,$M4684='112'!$I$6))),"x",""))</f>
        <v/>
      </c>
      <c r="S4684" s="525" t="str">
        <f>IF(ISERROR(FIND('112'!$M$9,G4684,1)),"",IF((AND(LEFT(G4684,2)=LEFT('112'!$M$9,2),B4684&lt;'112'!$N$8,$L4684='112'!$I$6)),"x",""))</f>
        <v/>
      </c>
      <c r="T4684" s="525" t="str">
        <f>IF(ISERROR(FIND('112'!$M$9,G4684,1)),"",IF((AND(RIGHT(G4684,2)=RIGHT('112'!$M$9,2),B4684&lt;'112'!$N$8,$M4684='112'!$I$6)),"x",""))</f>
        <v/>
      </c>
      <c r="U4684" s="525" t="str">
        <f>IF(AND(B4684&gt;='IN-NX'!$P$3,B4684&lt;='IN-NX'!$Q$3,'IN-NX'!$D$7=D4684,OR(LEFT(L4684,2)="15",AND(LEFT(M4684,2)&lt;&gt;"15",LEFT(M4684,2)&lt;&gt;"33"))),"x","")</f>
        <v/>
      </c>
      <c r="V4684" s="525" t="str">
        <f>IF(AND(OR(LEFT(TH!L4684,2)="15",LEFT(TH!M4684,2)="15"),'152-CT'!$J$8=TH!F4684),"x","")</f>
        <v/>
      </c>
      <c r="W4684" s="525" t="str">
        <f>IF(AND(OR(LEFT(TH!L4684,2)="15",LEFT(TH!M4684,2)="15"),TK!$E$7=TH!F4684),"x","")</f>
        <v/>
      </c>
      <c r="X4684" s="525" t="str">
        <f>IF(AND('341-CT'!$E$9=H4684,OR(LEFT(L4684,3)=$X$7,LEFT(M4684,3)=$X$7)),"x","")</f>
        <v/>
      </c>
      <c r="Y4684" s="525" t="str">
        <f>IF(OR(TH!L4684=TH!$Y$7,M4684=TH!$Y$7),"x","")</f>
        <v/>
      </c>
      <c r="Z4684" s="525" t="str">
        <f>IF(AND(B4684&lt;=NKC!$N$8,B4684&gt;=NKC!$M$8),"x","")</f>
        <v/>
      </c>
      <c r="AA4684" s="535"/>
      <c r="AB4684" s="536"/>
    </row>
    <row r="4685" spans="1:30" s="503" customFormat="1" ht="15.75" customHeight="1">
      <c r="A4685" s="517" t="str">
        <f>IF(B4685&lt;&gt;"",IF(AND(B4685&gt;=_TM1,B4685&lt;=_TM2,OR(TH!L4685="1111",TH!M4685="1111")),TH!D4685,""),"")</f>
        <v/>
      </c>
      <c r="B4685" s="531" t="str">
        <f t="shared" si="565"/>
        <v/>
      </c>
      <c r="C4685" s="315"/>
      <c r="D4685" s="315"/>
      <c r="E4685" s="545"/>
      <c r="F4685" s="248"/>
      <c r="G4685" s="314"/>
      <c r="H4685" s="473"/>
      <c r="I4685" s="307"/>
      <c r="J4685" s="307"/>
      <c r="K4685" s="532"/>
      <c r="L4685" s="533"/>
      <c r="M4685" s="533"/>
      <c r="N4685" s="525" t="str">
        <f>IF(AND('331-CT'!$E$7=TH!H4685,OR(L4685="331",M4685="331")),"331",IF(AND(OR(L4685="131",M4685="131"),H4685='131-CT'!$E$7),"131",""))</f>
        <v/>
      </c>
      <c r="O4685" s="525" t="str">
        <f>IF(AND($B4685&gt;='111'!$N$11,$B4685&lt;='111'!$O$11,OR($L4685=$O$7,$M4685=$O$7)),"x","")</f>
        <v/>
      </c>
      <c r="P4685" s="525" t="str">
        <f>IF(AND($L4685=$O$7,$B4685&lt;'111'!$N$11),"x","")</f>
        <v/>
      </c>
      <c r="Q4685" s="525" t="str">
        <f>IF(AND($M4685=$O$7,$B4685&lt;'111'!$N$11),"x","")</f>
        <v/>
      </c>
      <c r="R4685" s="525" t="str">
        <f>IF(ISERROR(FIND('112'!$M$9,G4685,1)),"",IF((AND(FIND('112'!$M$9,G4685,1)&gt;=1,$B4685&gt;='112'!$N$8,$B4685&lt;='112'!$O$8,OR($L4685='112'!$I$6,$M4685='112'!$I$6))),"x",""))</f>
        <v/>
      </c>
      <c r="S4685" s="525" t="str">
        <f>IF(ISERROR(FIND('112'!$M$9,G4685,1)),"",IF((AND(LEFT(G4685,2)=LEFT('112'!$M$9,2),B4685&lt;'112'!$N$8,$L4685='112'!$I$6)),"x",""))</f>
        <v/>
      </c>
      <c r="T4685" s="525" t="str">
        <f>IF(ISERROR(FIND('112'!$M$9,G4685,1)),"",IF((AND(RIGHT(G4685,2)=RIGHT('112'!$M$9,2),B4685&lt;'112'!$N$8,$M4685='112'!$I$6)),"x",""))</f>
        <v/>
      </c>
      <c r="U4685" s="525" t="str">
        <f>IF(AND(B4685&gt;='IN-NX'!$P$3,B4685&lt;='IN-NX'!$Q$3,'IN-NX'!$D$7=D4685,OR(LEFT(L4685,2)="15",AND(LEFT(M4685,2)&lt;&gt;"15",LEFT(M4685,2)&lt;&gt;"33"))),"x","")</f>
        <v/>
      </c>
      <c r="V4685" s="525" t="str">
        <f>IF(AND(OR(LEFT(TH!L4685,2)="15",LEFT(TH!M4685,2)="15"),'152-CT'!$J$8=TH!F4685),"x","")</f>
        <v/>
      </c>
      <c r="W4685" s="525" t="str">
        <f>IF(AND(OR(LEFT(TH!L4685,2)="15",LEFT(TH!M4685,2)="15"),TK!$E$7=TH!F4685),"x","")</f>
        <v/>
      </c>
      <c r="X4685" s="525" t="str">
        <f>IF(AND('341-CT'!$E$9=H4685,OR(LEFT(L4685,3)=$X$7,LEFT(M4685,3)=$X$7)),"x","")</f>
        <v/>
      </c>
      <c r="Y4685" s="525" t="str">
        <f>IF(OR(TH!L4685=TH!$Y$7,M4685=TH!$Y$7),"x","")</f>
        <v/>
      </c>
      <c r="Z4685" s="525" t="str">
        <f>IF(AND(B4685&lt;=NKC!$N$8,B4685&gt;=NKC!$M$8),"x","")</f>
        <v/>
      </c>
      <c r="AA4685" s="535"/>
      <c r="AB4685" s="536"/>
      <c r="AD4685" s="536"/>
    </row>
    <row r="4686" spans="1:30" s="503" customFormat="1" ht="15.75" customHeight="1">
      <c r="A4686" s="517" t="str">
        <f>IF(B4686&lt;&gt;"",IF(AND(B4686&gt;=_TM1,B4686&lt;=_TM2,OR(TH!L4686="1111",TH!M4686="1111")),TH!D4686,""),"")</f>
        <v/>
      </c>
      <c r="B4686" s="531" t="str">
        <f t="shared" si="565"/>
        <v/>
      </c>
      <c r="C4686" s="315"/>
      <c r="D4686" s="315"/>
      <c r="E4686" s="545"/>
      <c r="F4686" s="248"/>
      <c r="G4686" s="314"/>
      <c r="H4686" s="473"/>
      <c r="I4686" s="307"/>
      <c r="J4686" s="307"/>
      <c r="K4686" s="532"/>
      <c r="L4686" s="533"/>
      <c r="M4686" s="533"/>
      <c r="N4686" s="525" t="str">
        <f>IF(AND('331-CT'!$E$7=TH!H4686,OR(L4686="331",M4686="331")),"331",IF(AND(OR(L4686="131",M4686="131"),H4686='131-CT'!$E$7),"131",""))</f>
        <v/>
      </c>
      <c r="O4686" s="525" t="str">
        <f>IF(AND($B4686&gt;='111'!$N$11,$B4686&lt;='111'!$O$11,OR($L4686=$O$7,$M4686=$O$7)),"x","")</f>
        <v/>
      </c>
      <c r="P4686" s="525" t="str">
        <f>IF(AND($L4686=$O$7,$B4686&lt;'111'!$N$11),"x","")</f>
        <v/>
      </c>
      <c r="Q4686" s="525" t="str">
        <f>IF(AND($M4686=$O$7,$B4686&lt;'111'!$N$11),"x","")</f>
        <v/>
      </c>
      <c r="R4686" s="525" t="str">
        <f>IF(ISERROR(FIND('112'!$M$9,G4686,1)),"",IF((AND(FIND('112'!$M$9,G4686,1)&gt;=1,$B4686&gt;='112'!$N$8,$B4686&lt;='112'!$O$8,OR($L4686='112'!$I$6,$M4686='112'!$I$6))),"x",""))</f>
        <v/>
      </c>
      <c r="S4686" s="525" t="str">
        <f>IF(ISERROR(FIND('112'!$M$9,G4686,1)),"",IF((AND(LEFT(G4686,2)=LEFT('112'!$M$9,2),B4686&lt;'112'!$N$8,$L4686='112'!$I$6)),"x",""))</f>
        <v/>
      </c>
      <c r="T4686" s="525" t="str">
        <f>IF(ISERROR(FIND('112'!$M$9,G4686,1)),"",IF((AND(RIGHT(G4686,2)=RIGHT('112'!$M$9,2),B4686&lt;'112'!$N$8,$M4686='112'!$I$6)),"x",""))</f>
        <v/>
      </c>
      <c r="U4686" s="525" t="str">
        <f>IF(AND(B4686&gt;='IN-NX'!$P$3,B4686&lt;='IN-NX'!$Q$3,'IN-NX'!$D$7=D4686,OR(LEFT(L4686,2)="15",AND(LEFT(M4686,2)&lt;&gt;"15",LEFT(M4686,2)&lt;&gt;"33"))),"x","")</f>
        <v/>
      </c>
      <c r="V4686" s="525" t="str">
        <f>IF(AND(OR(LEFT(TH!L4686,2)="15",LEFT(TH!M4686,2)="15"),'152-CT'!$J$8=TH!F4686),"x","")</f>
        <v/>
      </c>
      <c r="W4686" s="525" t="str">
        <f>IF(AND(OR(LEFT(TH!L4686,2)="15",LEFT(TH!M4686,2)="15"),TK!$E$7=TH!F4686),"x","")</f>
        <v/>
      </c>
      <c r="X4686" s="525" t="str">
        <f>IF(AND('341-CT'!$E$9=H4686,OR(LEFT(L4686,3)=$X$7,LEFT(M4686,3)=$X$7)),"x","")</f>
        <v/>
      </c>
      <c r="Y4686" s="525" t="str">
        <f>IF(OR(TH!L4686=TH!$Y$7,M4686=TH!$Y$7),"x","")</f>
        <v/>
      </c>
      <c r="Z4686" s="525" t="str">
        <f>IF(AND(B4686&lt;=NKC!$N$8,B4686&gt;=NKC!$M$8),"x","")</f>
        <v/>
      </c>
      <c r="AA4686" s="535"/>
      <c r="AB4686" s="536"/>
    </row>
    <row r="4687" spans="1:30" s="503" customFormat="1" ht="15.75" customHeight="1">
      <c r="A4687" s="517" t="str">
        <f>IF(B4687&lt;&gt;"",IF(AND(B4687&gt;=_TM1,B4687&lt;=_TM2,OR(TH!L4687="1111",TH!M4687="1111")),TH!D4687,""),"")</f>
        <v/>
      </c>
      <c r="B4687" s="531" t="str">
        <f t="shared" si="565"/>
        <v/>
      </c>
      <c r="C4687" s="315"/>
      <c r="D4687" s="315"/>
      <c r="E4687" s="545"/>
      <c r="F4687" s="248"/>
      <c r="G4687" s="314"/>
      <c r="H4687" s="473"/>
      <c r="I4687" s="307"/>
      <c r="J4687" s="307"/>
      <c r="K4687" s="532"/>
      <c r="L4687" s="533"/>
      <c r="M4687" s="533"/>
      <c r="N4687" s="525" t="str">
        <f>IF(AND('331-CT'!$E$7=TH!H4687,OR(L4687="331",M4687="331")),"331",IF(AND(OR(L4687="131",M4687="131"),H4687='131-CT'!$E$7),"131",""))</f>
        <v/>
      </c>
      <c r="O4687" s="525" t="str">
        <f>IF(AND($B4687&gt;='111'!$N$11,$B4687&lt;='111'!$O$11,OR($L4687=$O$7,$M4687=$O$7)),"x","")</f>
        <v/>
      </c>
      <c r="P4687" s="525" t="str">
        <f>IF(AND($L4687=$O$7,$B4687&lt;'111'!$N$11),"x","")</f>
        <v/>
      </c>
      <c r="Q4687" s="525" t="str">
        <f>IF(AND($M4687=$O$7,$B4687&lt;'111'!$N$11),"x","")</f>
        <v/>
      </c>
      <c r="R4687" s="525" t="str">
        <f>IF(ISERROR(FIND('112'!$M$9,G4687,1)),"",IF((AND(FIND('112'!$M$9,G4687,1)&gt;=1,$B4687&gt;='112'!$N$8,$B4687&lt;='112'!$O$8,OR($L4687='112'!$I$6,$M4687='112'!$I$6))),"x",""))</f>
        <v/>
      </c>
      <c r="S4687" s="525" t="str">
        <f>IF(ISERROR(FIND('112'!$M$9,G4687,1)),"",IF((AND(LEFT(G4687,2)=LEFT('112'!$M$9,2),B4687&lt;'112'!$N$8,$L4687='112'!$I$6)),"x",""))</f>
        <v/>
      </c>
      <c r="T4687" s="525" t="str">
        <f>IF(ISERROR(FIND('112'!$M$9,G4687,1)),"",IF((AND(RIGHT(G4687,2)=RIGHT('112'!$M$9,2),B4687&lt;'112'!$N$8,$M4687='112'!$I$6)),"x",""))</f>
        <v/>
      </c>
      <c r="U4687" s="525" t="str">
        <f>IF(AND(B4687&gt;='IN-NX'!$P$3,B4687&lt;='IN-NX'!$Q$3,'IN-NX'!$D$7=D4687,OR(LEFT(L4687,2)="15",AND(LEFT(M4687,2)&lt;&gt;"15",LEFT(M4687,2)&lt;&gt;"33"))),"x","")</f>
        <v/>
      </c>
      <c r="V4687" s="525" t="str">
        <f>IF(AND(OR(LEFT(TH!L4687,2)="15",LEFT(TH!M4687,2)="15"),'152-CT'!$J$8=TH!F4687),"x","")</f>
        <v/>
      </c>
      <c r="W4687" s="525" t="str">
        <f>IF(AND(OR(LEFT(TH!L4687,2)="15",LEFT(TH!M4687,2)="15"),TK!$E$7=TH!F4687),"x","")</f>
        <v/>
      </c>
      <c r="X4687" s="525" t="str">
        <f>IF(AND('341-CT'!$E$9=H4687,OR(LEFT(L4687,3)=$X$7,LEFT(M4687,3)=$X$7)),"x","")</f>
        <v/>
      </c>
      <c r="Y4687" s="525" t="str">
        <f>IF(OR(TH!L4687=TH!$Y$7,M4687=TH!$Y$7),"x","")</f>
        <v/>
      </c>
      <c r="Z4687" s="525" t="str">
        <f>IF(AND(B4687&lt;=NKC!$N$8,B4687&gt;=NKC!$M$8),"x","")</f>
        <v/>
      </c>
      <c r="AA4687" s="535"/>
      <c r="AB4687" s="536"/>
    </row>
    <row r="4688" spans="1:30" s="503" customFormat="1" ht="15.75" customHeight="1">
      <c r="A4688" s="517" t="str">
        <f>IF(B4688&lt;&gt;"",IF(AND(B4688&gt;=_TM1,B4688&lt;=_TM2,OR(TH!L4688="1111",TH!M4688="1111")),TH!D4688,""),"")</f>
        <v/>
      </c>
      <c r="B4688" s="531" t="str">
        <f t="shared" si="565"/>
        <v/>
      </c>
      <c r="C4688" s="315"/>
      <c r="D4688" s="315"/>
      <c r="E4688" s="545"/>
      <c r="F4688" s="248"/>
      <c r="G4688" s="314"/>
      <c r="H4688" s="473"/>
      <c r="I4688" s="307"/>
      <c r="J4688" s="307"/>
      <c r="K4688" s="532"/>
      <c r="L4688" s="533"/>
      <c r="M4688" s="533"/>
      <c r="N4688" s="525" t="str">
        <f>IF(AND('331-CT'!$E$7=TH!H4688,OR(L4688="331",M4688="331")),"331",IF(AND(OR(L4688="131",M4688="131"),H4688='131-CT'!$E$7),"131",""))</f>
        <v/>
      </c>
      <c r="O4688" s="525" t="str">
        <f>IF(AND($B4688&gt;='111'!$N$11,$B4688&lt;='111'!$O$11,OR($L4688=$O$7,$M4688=$O$7)),"x","")</f>
        <v/>
      </c>
      <c r="P4688" s="525" t="str">
        <f>IF(AND($L4688=$O$7,$B4688&lt;'111'!$N$11),"x","")</f>
        <v/>
      </c>
      <c r="Q4688" s="525" t="str">
        <f>IF(AND($M4688=$O$7,$B4688&lt;'111'!$N$11),"x","")</f>
        <v/>
      </c>
      <c r="R4688" s="525" t="str">
        <f>IF(ISERROR(FIND('112'!$M$9,G4688,1)),"",IF((AND(FIND('112'!$M$9,G4688,1)&gt;=1,$B4688&gt;='112'!$N$8,$B4688&lt;='112'!$O$8,OR($L4688='112'!$I$6,$M4688='112'!$I$6))),"x",""))</f>
        <v/>
      </c>
      <c r="S4688" s="525" t="str">
        <f>IF(ISERROR(FIND('112'!$M$9,G4688,1)),"",IF((AND(LEFT(G4688,2)=LEFT('112'!$M$9,2),B4688&lt;'112'!$N$8,$L4688='112'!$I$6)),"x",""))</f>
        <v/>
      </c>
      <c r="T4688" s="525" t="str">
        <f>IF(ISERROR(FIND('112'!$M$9,G4688,1)),"",IF((AND(RIGHT(G4688,2)=RIGHT('112'!$M$9,2),B4688&lt;'112'!$N$8,$M4688='112'!$I$6)),"x",""))</f>
        <v/>
      </c>
      <c r="U4688" s="525" t="str">
        <f>IF(AND(B4688&gt;='IN-NX'!$P$3,B4688&lt;='IN-NX'!$Q$3,'IN-NX'!$D$7=D4688,OR(LEFT(L4688,2)="15",AND(LEFT(M4688,2)&lt;&gt;"15",LEFT(M4688,2)&lt;&gt;"33"))),"x","")</f>
        <v/>
      </c>
      <c r="V4688" s="525" t="str">
        <f>IF(AND(OR(LEFT(TH!L4688,2)="15",LEFT(TH!M4688,2)="15"),'152-CT'!$J$8=TH!F4688),"x","")</f>
        <v/>
      </c>
      <c r="W4688" s="525" t="str">
        <f>IF(AND(OR(LEFT(TH!L4688,2)="15",LEFT(TH!M4688,2)="15"),TK!$E$7=TH!F4688),"x","")</f>
        <v/>
      </c>
      <c r="X4688" s="525" t="str">
        <f>IF(AND('341-CT'!$E$9=H4688,OR(LEFT(L4688,3)=$X$7,LEFT(M4688,3)=$X$7)),"x","")</f>
        <v/>
      </c>
      <c r="Y4688" s="525" t="str">
        <f>IF(OR(TH!L4688=TH!$Y$7,M4688=TH!$Y$7),"x","")</f>
        <v/>
      </c>
      <c r="Z4688" s="525" t="str">
        <f>IF(AND(B4688&lt;=NKC!$N$8,B4688&gt;=NKC!$M$8),"x","")</f>
        <v/>
      </c>
      <c r="AA4688" s="535"/>
      <c r="AB4688" s="536"/>
      <c r="AD4688" s="536"/>
    </row>
    <row r="4689" spans="1:30" s="503" customFormat="1" ht="15.75" customHeight="1">
      <c r="A4689" s="517" t="str">
        <f>IF(B4689&lt;&gt;"",IF(AND(B4689&gt;=_TM1,B4689&lt;=_TM2,OR(TH!L4689="1111",TH!M4689="1111")),TH!D4689,""),"")</f>
        <v/>
      </c>
      <c r="B4689" s="531" t="str">
        <f t="shared" si="565"/>
        <v/>
      </c>
      <c r="C4689" s="315"/>
      <c r="D4689" s="315"/>
      <c r="E4689" s="545"/>
      <c r="F4689" s="248"/>
      <c r="G4689" s="314"/>
      <c r="H4689" s="473"/>
      <c r="I4689" s="307"/>
      <c r="J4689" s="307"/>
      <c r="K4689" s="532"/>
      <c r="L4689" s="533"/>
      <c r="M4689" s="533"/>
      <c r="N4689" s="525" t="str">
        <f>IF(AND('331-CT'!$E$7=TH!H4689,OR(L4689="331",M4689="331")),"331",IF(AND(OR(L4689="131",M4689="131"),H4689='131-CT'!$E$7),"131",""))</f>
        <v/>
      </c>
      <c r="O4689" s="525" t="str">
        <f>IF(AND($B4689&gt;='111'!$N$11,$B4689&lt;='111'!$O$11,OR($L4689=$O$7,$M4689=$O$7)),"x","")</f>
        <v/>
      </c>
      <c r="P4689" s="525" t="str">
        <f>IF(AND($L4689=$O$7,$B4689&lt;'111'!$N$11),"x","")</f>
        <v/>
      </c>
      <c r="Q4689" s="525" t="str">
        <f>IF(AND($M4689=$O$7,$B4689&lt;'111'!$N$11),"x","")</f>
        <v/>
      </c>
      <c r="R4689" s="525" t="str">
        <f>IF(ISERROR(FIND('112'!$M$9,G4689,1)),"",IF((AND(FIND('112'!$M$9,G4689,1)&gt;=1,$B4689&gt;='112'!$N$8,$B4689&lt;='112'!$O$8,OR($L4689='112'!$I$6,$M4689='112'!$I$6))),"x",""))</f>
        <v/>
      </c>
      <c r="S4689" s="525" t="str">
        <f>IF(ISERROR(FIND('112'!$M$9,G4689,1)),"",IF((AND(LEFT(G4689,2)=LEFT('112'!$M$9,2),B4689&lt;'112'!$N$8,$L4689='112'!$I$6)),"x",""))</f>
        <v/>
      </c>
      <c r="T4689" s="525" t="str">
        <f>IF(ISERROR(FIND('112'!$M$9,G4689,1)),"",IF((AND(RIGHT(G4689,2)=RIGHT('112'!$M$9,2),B4689&lt;'112'!$N$8,$M4689='112'!$I$6)),"x",""))</f>
        <v/>
      </c>
      <c r="U4689" s="525" t="str">
        <f>IF(AND(B4689&gt;='IN-NX'!$P$3,B4689&lt;='IN-NX'!$Q$3,'IN-NX'!$D$7=D4689,OR(LEFT(L4689,2)="15",AND(LEFT(M4689,2)&lt;&gt;"15",LEFT(M4689,2)&lt;&gt;"33"))),"x","")</f>
        <v/>
      </c>
      <c r="V4689" s="525" t="str">
        <f>IF(AND(OR(LEFT(TH!L4689,2)="15",LEFT(TH!M4689,2)="15"),'152-CT'!$J$8=TH!F4689),"x","")</f>
        <v/>
      </c>
      <c r="W4689" s="525" t="str">
        <f>IF(AND(OR(LEFT(TH!L4689,2)="15",LEFT(TH!M4689,2)="15"),TK!$E$7=TH!F4689),"x","")</f>
        <v/>
      </c>
      <c r="X4689" s="525" t="str">
        <f>IF(AND('341-CT'!$E$9=H4689,OR(LEFT(L4689,3)=$X$7,LEFT(M4689,3)=$X$7)),"x","")</f>
        <v/>
      </c>
      <c r="Y4689" s="525" t="str">
        <f>IF(OR(TH!L4689=TH!$Y$7,M4689=TH!$Y$7),"x","")</f>
        <v/>
      </c>
      <c r="Z4689" s="525" t="str">
        <f>IF(AND(B4689&lt;=NKC!$N$8,B4689&gt;=NKC!$M$8),"x","")</f>
        <v/>
      </c>
      <c r="AA4689" s="535"/>
      <c r="AB4689" s="536"/>
    </row>
    <row r="4690" spans="1:30" s="503" customFormat="1" ht="15.75" customHeight="1">
      <c r="A4690" s="517" t="str">
        <f>IF(B4690&lt;&gt;"",IF(AND(B4690&gt;=_TM1,B4690&lt;=_TM2,OR(TH!L4690="1111",TH!M4690="1111")),TH!D4690,""),"")</f>
        <v/>
      </c>
      <c r="B4690" s="531" t="str">
        <f t="shared" si="565"/>
        <v/>
      </c>
      <c r="C4690" s="315"/>
      <c r="D4690" s="315"/>
      <c r="E4690" s="545"/>
      <c r="F4690" s="248"/>
      <c r="G4690" s="314"/>
      <c r="H4690" s="473"/>
      <c r="I4690" s="307"/>
      <c r="J4690" s="307"/>
      <c r="K4690" s="532"/>
      <c r="L4690" s="533"/>
      <c r="M4690" s="533"/>
      <c r="N4690" s="525" t="str">
        <f>IF(AND('331-CT'!$E$7=TH!H4690,OR(L4690="331",M4690="331")),"331",IF(AND(OR(L4690="131",M4690="131"),H4690='131-CT'!$E$7),"131",""))</f>
        <v/>
      </c>
      <c r="O4690" s="525" t="str">
        <f>IF(AND($B4690&gt;='111'!$N$11,$B4690&lt;='111'!$O$11,OR($L4690=$O$7,$M4690=$O$7)),"x","")</f>
        <v/>
      </c>
      <c r="P4690" s="525" t="str">
        <f>IF(AND($L4690=$O$7,$B4690&lt;'111'!$N$11),"x","")</f>
        <v/>
      </c>
      <c r="Q4690" s="525" t="str">
        <f>IF(AND($M4690=$O$7,$B4690&lt;'111'!$N$11),"x","")</f>
        <v/>
      </c>
      <c r="R4690" s="525" t="str">
        <f>IF(ISERROR(FIND('112'!$M$9,G4690,1)),"",IF((AND(FIND('112'!$M$9,G4690,1)&gt;=1,$B4690&gt;='112'!$N$8,$B4690&lt;='112'!$O$8,OR($L4690='112'!$I$6,$M4690='112'!$I$6))),"x",""))</f>
        <v/>
      </c>
      <c r="S4690" s="525" t="str">
        <f>IF(ISERROR(FIND('112'!$M$9,G4690,1)),"",IF((AND(LEFT(G4690,2)=LEFT('112'!$M$9,2),B4690&lt;'112'!$N$8,$L4690='112'!$I$6)),"x",""))</f>
        <v/>
      </c>
      <c r="T4690" s="525" t="str">
        <f>IF(ISERROR(FIND('112'!$M$9,G4690,1)),"",IF((AND(RIGHT(G4690,2)=RIGHT('112'!$M$9,2),B4690&lt;'112'!$N$8,$M4690='112'!$I$6)),"x",""))</f>
        <v/>
      </c>
      <c r="U4690" s="525" t="str">
        <f>IF(AND(B4690&gt;='IN-NX'!$P$3,B4690&lt;='IN-NX'!$Q$3,'IN-NX'!$D$7=D4690,OR(LEFT(L4690,2)="15",AND(LEFT(M4690,2)&lt;&gt;"15",LEFT(M4690,2)&lt;&gt;"33"))),"x","")</f>
        <v/>
      </c>
      <c r="V4690" s="525" t="str">
        <f>IF(AND(OR(LEFT(TH!L4690,2)="15",LEFT(TH!M4690,2)="15"),'152-CT'!$J$8=TH!F4690),"x","")</f>
        <v/>
      </c>
      <c r="W4690" s="525" t="str">
        <f>IF(AND(OR(LEFT(TH!L4690,2)="15",LEFT(TH!M4690,2)="15"),TK!$E$7=TH!F4690),"x","")</f>
        <v/>
      </c>
      <c r="X4690" s="525" t="str">
        <f>IF(AND('341-CT'!$E$9=H4690,OR(LEFT(L4690,3)=$X$7,LEFT(M4690,3)=$X$7)),"x","")</f>
        <v/>
      </c>
      <c r="Y4690" s="525" t="str">
        <f>IF(OR(TH!L4690=TH!$Y$7,M4690=TH!$Y$7),"x","")</f>
        <v/>
      </c>
      <c r="Z4690" s="525" t="str">
        <f>IF(AND(B4690&lt;=NKC!$N$8,B4690&gt;=NKC!$M$8),"x","")</f>
        <v/>
      </c>
      <c r="AA4690" s="535"/>
      <c r="AB4690" s="536"/>
    </row>
    <row r="4691" spans="1:30" s="503" customFormat="1" ht="15.75" customHeight="1">
      <c r="A4691" s="517" t="str">
        <f>IF(B4691&lt;&gt;"",IF(AND(B4691&gt;=_TM1,B4691&lt;=_TM2,OR(TH!L4691="1111",TH!M4691="1111")),TH!D4691,""),"")</f>
        <v/>
      </c>
      <c r="B4691" s="531" t="str">
        <f t="shared" si="565"/>
        <v/>
      </c>
      <c r="C4691" s="315"/>
      <c r="D4691" s="315"/>
      <c r="E4691" s="545"/>
      <c r="F4691" s="248"/>
      <c r="G4691" s="314"/>
      <c r="H4691" s="473"/>
      <c r="I4691" s="307"/>
      <c r="J4691" s="307"/>
      <c r="K4691" s="532"/>
      <c r="L4691" s="533"/>
      <c r="M4691" s="533"/>
      <c r="N4691" s="525" t="str">
        <f>IF(AND('331-CT'!$E$7=TH!H4691,OR(L4691="331",M4691="331")),"331",IF(AND(OR(L4691="131",M4691="131"),H4691='131-CT'!$E$7),"131",""))</f>
        <v/>
      </c>
      <c r="O4691" s="525" t="str">
        <f>IF(AND($B4691&gt;='111'!$N$11,$B4691&lt;='111'!$O$11,OR($L4691=$O$7,$M4691=$O$7)),"x","")</f>
        <v/>
      </c>
      <c r="P4691" s="525" t="str">
        <f>IF(AND($L4691=$O$7,$B4691&lt;'111'!$N$11),"x","")</f>
        <v/>
      </c>
      <c r="Q4691" s="525" t="str">
        <f>IF(AND($M4691=$O$7,$B4691&lt;'111'!$N$11),"x","")</f>
        <v/>
      </c>
      <c r="R4691" s="525" t="str">
        <f>IF(ISERROR(FIND('112'!$M$9,G4691,1)),"",IF((AND(FIND('112'!$M$9,G4691,1)&gt;=1,$B4691&gt;='112'!$N$8,$B4691&lt;='112'!$O$8,OR($L4691='112'!$I$6,$M4691='112'!$I$6))),"x",""))</f>
        <v/>
      </c>
      <c r="S4691" s="525" t="str">
        <f>IF(ISERROR(FIND('112'!$M$9,G4691,1)),"",IF((AND(LEFT(G4691,2)=LEFT('112'!$M$9,2),B4691&lt;'112'!$N$8,$L4691='112'!$I$6)),"x",""))</f>
        <v/>
      </c>
      <c r="T4691" s="525" t="str">
        <f>IF(ISERROR(FIND('112'!$M$9,G4691,1)),"",IF((AND(RIGHT(G4691,2)=RIGHT('112'!$M$9,2),B4691&lt;'112'!$N$8,$M4691='112'!$I$6)),"x",""))</f>
        <v/>
      </c>
      <c r="U4691" s="525" t="str">
        <f>IF(AND(B4691&gt;='IN-NX'!$P$3,B4691&lt;='IN-NX'!$Q$3,'IN-NX'!$D$7=D4691,OR(LEFT(L4691,2)="15",AND(LEFT(M4691,2)&lt;&gt;"15",LEFT(M4691,2)&lt;&gt;"33"))),"x","")</f>
        <v/>
      </c>
      <c r="V4691" s="525" t="str">
        <f>IF(AND(OR(LEFT(TH!L4691,2)="15",LEFT(TH!M4691,2)="15"),'152-CT'!$J$8=TH!F4691),"x","")</f>
        <v/>
      </c>
      <c r="W4691" s="525" t="str">
        <f>IF(AND(OR(LEFT(TH!L4691,2)="15",LEFT(TH!M4691,2)="15"),TK!$E$7=TH!F4691),"x","")</f>
        <v/>
      </c>
      <c r="X4691" s="525" t="str">
        <f>IF(AND('341-CT'!$E$9=H4691,OR(LEFT(L4691,3)=$X$7,LEFT(M4691,3)=$X$7)),"x","")</f>
        <v/>
      </c>
      <c r="Y4691" s="525" t="str">
        <f>IF(OR(TH!L4691=TH!$Y$7,M4691=TH!$Y$7),"x","")</f>
        <v/>
      </c>
      <c r="Z4691" s="525" t="str">
        <f>IF(AND(B4691&lt;=NKC!$N$8,B4691&gt;=NKC!$M$8),"x","")</f>
        <v/>
      </c>
      <c r="AA4691" s="535"/>
      <c r="AB4691" s="536"/>
      <c r="AD4691" s="536"/>
    </row>
    <row r="4692" spans="1:30" s="503" customFormat="1" ht="15.75" customHeight="1">
      <c r="A4692" s="517" t="str">
        <f>IF(B4692&lt;&gt;"",IF(AND(B4692&gt;=_TM1,B4692&lt;=_TM2,OR(TH!L4692="1111",TH!M4692="1111")),TH!D4692,""),"")</f>
        <v/>
      </c>
      <c r="B4692" s="531" t="str">
        <f t="shared" si="565"/>
        <v/>
      </c>
      <c r="C4692" s="315"/>
      <c r="D4692" s="315"/>
      <c r="E4692" s="545"/>
      <c r="F4692" s="248"/>
      <c r="G4692" s="314"/>
      <c r="H4692" s="473"/>
      <c r="I4692" s="307"/>
      <c r="J4692" s="307"/>
      <c r="K4692" s="532"/>
      <c r="L4692" s="533"/>
      <c r="M4692" s="533"/>
      <c r="N4692" s="525" t="str">
        <f>IF(AND('331-CT'!$E$7=TH!H4692,OR(L4692="331",M4692="331")),"331",IF(AND(OR(L4692="131",M4692="131"),H4692='131-CT'!$E$7),"131",""))</f>
        <v/>
      </c>
      <c r="O4692" s="525" t="str">
        <f>IF(AND($B4692&gt;='111'!$N$11,$B4692&lt;='111'!$O$11,OR($L4692=$O$7,$M4692=$O$7)),"x","")</f>
        <v/>
      </c>
      <c r="P4692" s="525" t="str">
        <f>IF(AND($L4692=$O$7,$B4692&lt;'111'!$N$11),"x","")</f>
        <v/>
      </c>
      <c r="Q4692" s="525" t="str">
        <f>IF(AND($M4692=$O$7,$B4692&lt;'111'!$N$11),"x","")</f>
        <v/>
      </c>
      <c r="R4692" s="525" t="str">
        <f>IF(ISERROR(FIND('112'!$M$9,G4692,1)),"",IF((AND(FIND('112'!$M$9,G4692,1)&gt;=1,$B4692&gt;='112'!$N$8,$B4692&lt;='112'!$O$8,OR($L4692='112'!$I$6,$M4692='112'!$I$6))),"x",""))</f>
        <v/>
      </c>
      <c r="S4692" s="525" t="str">
        <f>IF(ISERROR(FIND('112'!$M$9,G4692,1)),"",IF((AND(LEFT(G4692,2)=LEFT('112'!$M$9,2),B4692&lt;'112'!$N$8,$L4692='112'!$I$6)),"x",""))</f>
        <v/>
      </c>
      <c r="T4692" s="525" t="str">
        <f>IF(ISERROR(FIND('112'!$M$9,G4692,1)),"",IF((AND(RIGHT(G4692,2)=RIGHT('112'!$M$9,2),B4692&lt;'112'!$N$8,$M4692='112'!$I$6)),"x",""))</f>
        <v/>
      </c>
      <c r="U4692" s="525" t="str">
        <f>IF(AND(B4692&gt;='IN-NX'!$P$3,B4692&lt;='IN-NX'!$Q$3,'IN-NX'!$D$7=D4692,OR(LEFT(L4692,2)="15",AND(LEFT(M4692,2)&lt;&gt;"15",LEFT(M4692,2)&lt;&gt;"33"))),"x","")</f>
        <v/>
      </c>
      <c r="V4692" s="525" t="str">
        <f>IF(AND(OR(LEFT(TH!L4692,2)="15",LEFT(TH!M4692,2)="15"),'152-CT'!$J$8=TH!F4692),"x","")</f>
        <v/>
      </c>
      <c r="W4692" s="525" t="str">
        <f>IF(AND(OR(LEFT(TH!L4692,2)="15",LEFT(TH!M4692,2)="15"),TK!$E$7=TH!F4692),"x","")</f>
        <v/>
      </c>
      <c r="X4692" s="525" t="str">
        <f>IF(AND('341-CT'!$E$9=H4692,OR(LEFT(L4692,3)=$X$7,LEFT(M4692,3)=$X$7)),"x","")</f>
        <v/>
      </c>
      <c r="Y4692" s="525" t="str">
        <f>IF(OR(TH!L4692=TH!$Y$7,M4692=TH!$Y$7),"x","")</f>
        <v/>
      </c>
      <c r="Z4692" s="525" t="str">
        <f>IF(AND(B4692&lt;=NKC!$N$8,B4692&gt;=NKC!$M$8),"x","")</f>
        <v/>
      </c>
      <c r="AA4692" s="535"/>
      <c r="AB4692" s="536"/>
    </row>
    <row r="4693" spans="1:30" s="503" customFormat="1" ht="15.75" customHeight="1">
      <c r="A4693" s="517" t="str">
        <f>IF(B4693&lt;&gt;"",IF(AND(B4693&gt;=_TM1,B4693&lt;=_TM2,OR(TH!L4693="1111",TH!M4693="1111")),TH!D4693,""),"")</f>
        <v/>
      </c>
      <c r="B4693" s="531" t="str">
        <f t="shared" si="565"/>
        <v/>
      </c>
      <c r="C4693" s="315"/>
      <c r="D4693" s="315"/>
      <c r="E4693" s="545"/>
      <c r="F4693" s="248"/>
      <c r="G4693" s="314"/>
      <c r="H4693" s="473"/>
      <c r="I4693" s="307"/>
      <c r="J4693" s="307"/>
      <c r="K4693" s="532"/>
      <c r="L4693" s="533"/>
      <c r="M4693" s="533"/>
      <c r="N4693" s="525" t="str">
        <f>IF(AND('331-CT'!$E$7=TH!H4693,OR(L4693="331",M4693="331")),"331",IF(AND(OR(L4693="131",M4693="131"),H4693='131-CT'!$E$7),"131",""))</f>
        <v/>
      </c>
      <c r="O4693" s="525" t="str">
        <f>IF(AND($B4693&gt;='111'!$N$11,$B4693&lt;='111'!$O$11,OR($L4693=$O$7,$M4693=$O$7)),"x","")</f>
        <v/>
      </c>
      <c r="P4693" s="525" t="str">
        <f>IF(AND($L4693=$O$7,$B4693&lt;'111'!$N$11),"x","")</f>
        <v/>
      </c>
      <c r="Q4693" s="525" t="str">
        <f>IF(AND($M4693=$O$7,$B4693&lt;'111'!$N$11),"x","")</f>
        <v/>
      </c>
      <c r="R4693" s="525" t="str">
        <f>IF(ISERROR(FIND('112'!$M$9,G4693,1)),"",IF((AND(FIND('112'!$M$9,G4693,1)&gt;=1,$B4693&gt;='112'!$N$8,$B4693&lt;='112'!$O$8,OR($L4693='112'!$I$6,$M4693='112'!$I$6))),"x",""))</f>
        <v/>
      </c>
      <c r="S4693" s="525" t="str">
        <f>IF(ISERROR(FIND('112'!$M$9,G4693,1)),"",IF((AND(LEFT(G4693,2)=LEFT('112'!$M$9,2),B4693&lt;'112'!$N$8,$L4693='112'!$I$6)),"x",""))</f>
        <v/>
      </c>
      <c r="T4693" s="525" t="str">
        <f>IF(ISERROR(FIND('112'!$M$9,G4693,1)),"",IF((AND(RIGHT(G4693,2)=RIGHT('112'!$M$9,2),B4693&lt;'112'!$N$8,$M4693='112'!$I$6)),"x",""))</f>
        <v/>
      </c>
      <c r="U4693" s="525" t="str">
        <f>IF(AND(B4693&gt;='IN-NX'!$P$3,B4693&lt;='IN-NX'!$Q$3,'IN-NX'!$D$7=D4693,OR(LEFT(L4693,2)="15",AND(LEFT(M4693,2)&lt;&gt;"15",LEFT(M4693,2)&lt;&gt;"33"))),"x","")</f>
        <v/>
      </c>
      <c r="V4693" s="525" t="str">
        <f>IF(AND(OR(LEFT(TH!L4693,2)="15",LEFT(TH!M4693,2)="15"),'152-CT'!$J$8=TH!F4693),"x","")</f>
        <v/>
      </c>
      <c r="W4693" s="525" t="str">
        <f>IF(AND(OR(LEFT(TH!L4693,2)="15",LEFT(TH!M4693,2)="15"),TK!$E$7=TH!F4693),"x","")</f>
        <v/>
      </c>
      <c r="X4693" s="525" t="str">
        <f>IF(AND('341-CT'!$E$9=H4693,OR(LEFT(L4693,3)=$X$7,LEFT(M4693,3)=$X$7)),"x","")</f>
        <v/>
      </c>
      <c r="Y4693" s="525" t="str">
        <f>IF(OR(TH!L4693=TH!$Y$7,M4693=TH!$Y$7),"x","")</f>
        <v/>
      </c>
      <c r="Z4693" s="525" t="str">
        <f>IF(AND(B4693&lt;=NKC!$N$8,B4693&gt;=NKC!$M$8),"x","")</f>
        <v/>
      </c>
      <c r="AA4693" s="535"/>
      <c r="AB4693" s="536"/>
    </row>
    <row r="4694" spans="1:30" s="503" customFormat="1" ht="15.75" customHeight="1">
      <c r="A4694" s="517" t="str">
        <f>IF(B4694&lt;&gt;"",IF(AND(B4694&gt;=_TM1,B4694&lt;=_TM2,OR(TH!L4694="1111",TH!M4694="1111")),TH!D4694,""),"")</f>
        <v/>
      </c>
      <c r="B4694" s="531" t="str">
        <f t="shared" si="565"/>
        <v/>
      </c>
      <c r="C4694" s="315"/>
      <c r="D4694" s="315"/>
      <c r="E4694" s="545"/>
      <c r="F4694" s="248"/>
      <c r="G4694" s="314"/>
      <c r="H4694" s="473"/>
      <c r="I4694" s="307"/>
      <c r="J4694" s="307"/>
      <c r="K4694" s="532"/>
      <c r="L4694" s="533"/>
      <c r="M4694" s="533"/>
      <c r="N4694" s="525" t="str">
        <f>IF(AND('331-CT'!$E$7=TH!H4694,OR(L4694="331",M4694="331")),"331",IF(AND(OR(L4694="131",M4694="131"),H4694='131-CT'!$E$7),"131",""))</f>
        <v/>
      </c>
      <c r="O4694" s="525" t="str">
        <f>IF(AND($B4694&gt;='111'!$N$11,$B4694&lt;='111'!$O$11,OR($L4694=$O$7,$M4694=$O$7)),"x","")</f>
        <v/>
      </c>
      <c r="P4694" s="525" t="str">
        <f>IF(AND($L4694=$O$7,$B4694&lt;'111'!$N$11),"x","")</f>
        <v/>
      </c>
      <c r="Q4694" s="525" t="str">
        <f>IF(AND($M4694=$O$7,$B4694&lt;'111'!$N$11),"x","")</f>
        <v/>
      </c>
      <c r="R4694" s="525" t="str">
        <f>IF(ISERROR(FIND('112'!$M$9,G4694,1)),"",IF((AND(FIND('112'!$M$9,G4694,1)&gt;=1,$B4694&gt;='112'!$N$8,$B4694&lt;='112'!$O$8,OR($L4694='112'!$I$6,$M4694='112'!$I$6))),"x",""))</f>
        <v/>
      </c>
      <c r="S4694" s="525" t="str">
        <f>IF(ISERROR(FIND('112'!$M$9,G4694,1)),"",IF((AND(LEFT(G4694,2)=LEFT('112'!$M$9,2),B4694&lt;'112'!$N$8,$L4694='112'!$I$6)),"x",""))</f>
        <v/>
      </c>
      <c r="T4694" s="525" t="str">
        <f>IF(ISERROR(FIND('112'!$M$9,G4694,1)),"",IF((AND(RIGHT(G4694,2)=RIGHT('112'!$M$9,2),B4694&lt;'112'!$N$8,$M4694='112'!$I$6)),"x",""))</f>
        <v/>
      </c>
      <c r="U4694" s="525" t="str">
        <f>IF(AND(B4694&gt;='IN-NX'!$P$3,B4694&lt;='IN-NX'!$Q$3,'IN-NX'!$D$7=D4694,OR(LEFT(L4694,2)="15",AND(LEFT(M4694,2)&lt;&gt;"15",LEFT(M4694,2)&lt;&gt;"33"))),"x","")</f>
        <v/>
      </c>
      <c r="V4694" s="525" t="str">
        <f>IF(AND(OR(LEFT(TH!L4694,2)="15",LEFT(TH!M4694,2)="15"),'152-CT'!$J$8=TH!F4694),"x","")</f>
        <v/>
      </c>
      <c r="W4694" s="525" t="str">
        <f>IF(AND(OR(LEFT(TH!L4694,2)="15",LEFT(TH!M4694,2)="15"),TK!$E$7=TH!F4694),"x","")</f>
        <v/>
      </c>
      <c r="X4694" s="525" t="str">
        <f>IF(AND('341-CT'!$E$9=H4694,OR(LEFT(L4694,3)=$X$7,LEFT(M4694,3)=$X$7)),"x","")</f>
        <v/>
      </c>
      <c r="Y4694" s="525" t="str">
        <f>IF(OR(TH!L4694=TH!$Y$7,M4694=TH!$Y$7),"x","")</f>
        <v/>
      </c>
      <c r="Z4694" s="525" t="str">
        <f>IF(AND(B4694&lt;=NKC!$N$8,B4694&gt;=NKC!$M$8),"x","")</f>
        <v/>
      </c>
      <c r="AA4694" s="535"/>
      <c r="AB4694" s="536"/>
      <c r="AD4694" s="536"/>
    </row>
    <row r="4695" spans="1:30" s="503" customFormat="1" ht="15.75" customHeight="1">
      <c r="A4695" s="517" t="str">
        <f>IF(B4695&lt;&gt;"",IF(AND(B4695&gt;=_TM1,B4695&lt;=_TM2,OR(TH!L4695="1111",TH!M4695="1111")),TH!D4695,""),"")</f>
        <v/>
      </c>
      <c r="B4695" s="531" t="str">
        <f t="shared" si="565"/>
        <v/>
      </c>
      <c r="C4695" s="315"/>
      <c r="D4695" s="315"/>
      <c r="E4695" s="545"/>
      <c r="F4695" s="248"/>
      <c r="G4695" s="314"/>
      <c r="H4695" s="473"/>
      <c r="I4695" s="307"/>
      <c r="J4695" s="307"/>
      <c r="K4695" s="532"/>
      <c r="L4695" s="533"/>
      <c r="M4695" s="533"/>
      <c r="N4695" s="525" t="str">
        <f>IF(AND('331-CT'!$E$7=TH!H4695,OR(L4695="331",M4695="331")),"331",IF(AND(OR(L4695="131",M4695="131"),H4695='131-CT'!$E$7),"131",""))</f>
        <v/>
      </c>
      <c r="O4695" s="525" t="str">
        <f>IF(AND($B4695&gt;='111'!$N$11,$B4695&lt;='111'!$O$11,OR($L4695=$O$7,$M4695=$O$7)),"x","")</f>
        <v/>
      </c>
      <c r="P4695" s="525" t="str">
        <f>IF(AND($L4695=$O$7,$B4695&lt;'111'!$N$11),"x","")</f>
        <v/>
      </c>
      <c r="Q4695" s="525" t="str">
        <f>IF(AND($M4695=$O$7,$B4695&lt;'111'!$N$11),"x","")</f>
        <v/>
      </c>
      <c r="R4695" s="525" t="str">
        <f>IF(ISERROR(FIND('112'!$M$9,G4695,1)),"",IF((AND(FIND('112'!$M$9,G4695,1)&gt;=1,$B4695&gt;='112'!$N$8,$B4695&lt;='112'!$O$8,OR($L4695='112'!$I$6,$M4695='112'!$I$6))),"x",""))</f>
        <v/>
      </c>
      <c r="S4695" s="525" t="str">
        <f>IF(ISERROR(FIND('112'!$M$9,G4695,1)),"",IF((AND(LEFT(G4695,2)=LEFT('112'!$M$9,2),B4695&lt;'112'!$N$8,$L4695='112'!$I$6)),"x",""))</f>
        <v/>
      </c>
      <c r="T4695" s="525" t="str">
        <f>IF(ISERROR(FIND('112'!$M$9,G4695,1)),"",IF((AND(RIGHT(G4695,2)=RIGHT('112'!$M$9,2),B4695&lt;'112'!$N$8,$M4695='112'!$I$6)),"x",""))</f>
        <v/>
      </c>
      <c r="U4695" s="525" t="str">
        <f>IF(AND(B4695&gt;='IN-NX'!$P$3,B4695&lt;='IN-NX'!$Q$3,'IN-NX'!$D$7=D4695,OR(LEFT(L4695,2)="15",AND(LEFT(M4695,2)&lt;&gt;"15",LEFT(M4695,2)&lt;&gt;"33"))),"x","")</f>
        <v/>
      </c>
      <c r="V4695" s="525" t="str">
        <f>IF(AND(OR(LEFT(TH!L4695,2)="15",LEFT(TH!M4695,2)="15"),'152-CT'!$J$8=TH!F4695),"x","")</f>
        <v/>
      </c>
      <c r="W4695" s="525" t="str">
        <f>IF(AND(OR(LEFT(TH!L4695,2)="15",LEFT(TH!M4695,2)="15"),TK!$E$7=TH!F4695),"x","")</f>
        <v/>
      </c>
      <c r="X4695" s="525" t="str">
        <f>IF(AND('341-CT'!$E$9=H4695,OR(LEFT(L4695,3)=$X$7,LEFT(M4695,3)=$X$7)),"x","")</f>
        <v/>
      </c>
      <c r="Y4695" s="525" t="str">
        <f>IF(OR(TH!L4695=TH!$Y$7,M4695=TH!$Y$7),"x","")</f>
        <v/>
      </c>
      <c r="Z4695" s="525" t="str">
        <f>IF(AND(B4695&lt;=NKC!$N$8,B4695&gt;=NKC!$M$8),"x","")</f>
        <v/>
      </c>
      <c r="AA4695" s="535"/>
      <c r="AB4695" s="536"/>
    </row>
    <row r="4696" spans="1:30" s="503" customFormat="1" ht="15.75" customHeight="1">
      <c r="A4696" s="517" t="str">
        <f>IF(B4696&lt;&gt;"",IF(AND(B4696&gt;=_TM1,B4696&lt;=_TM2,OR(TH!L4696="1111",TH!M4696="1111")),TH!D4696,""),"")</f>
        <v/>
      </c>
      <c r="B4696" s="531" t="str">
        <f t="shared" si="565"/>
        <v/>
      </c>
      <c r="C4696" s="315"/>
      <c r="D4696" s="315"/>
      <c r="E4696" s="545"/>
      <c r="F4696" s="248"/>
      <c r="G4696" s="314"/>
      <c r="H4696" s="473"/>
      <c r="I4696" s="307"/>
      <c r="J4696" s="307"/>
      <c r="K4696" s="532"/>
      <c r="L4696" s="533"/>
      <c r="M4696" s="533"/>
      <c r="N4696" s="525" t="str">
        <f>IF(AND('331-CT'!$E$7=TH!H4696,OR(L4696="331",M4696="331")),"331",IF(AND(OR(L4696="131",M4696="131"),H4696='131-CT'!$E$7),"131",""))</f>
        <v/>
      </c>
      <c r="O4696" s="525" t="str">
        <f>IF(AND($B4696&gt;='111'!$N$11,$B4696&lt;='111'!$O$11,OR($L4696=$O$7,$M4696=$O$7)),"x","")</f>
        <v/>
      </c>
      <c r="P4696" s="525" t="str">
        <f>IF(AND($L4696=$O$7,$B4696&lt;'111'!$N$11),"x","")</f>
        <v/>
      </c>
      <c r="Q4696" s="525" t="str">
        <f>IF(AND($M4696=$O$7,$B4696&lt;'111'!$N$11),"x","")</f>
        <v/>
      </c>
      <c r="R4696" s="525" t="str">
        <f>IF(ISERROR(FIND('112'!$M$9,G4696,1)),"",IF((AND(FIND('112'!$M$9,G4696,1)&gt;=1,$B4696&gt;='112'!$N$8,$B4696&lt;='112'!$O$8,OR($L4696='112'!$I$6,$M4696='112'!$I$6))),"x",""))</f>
        <v/>
      </c>
      <c r="S4696" s="525" t="str">
        <f>IF(ISERROR(FIND('112'!$M$9,G4696,1)),"",IF((AND(LEFT(G4696,2)=LEFT('112'!$M$9,2),B4696&lt;'112'!$N$8,$L4696='112'!$I$6)),"x",""))</f>
        <v/>
      </c>
      <c r="T4696" s="525" t="str">
        <f>IF(ISERROR(FIND('112'!$M$9,G4696,1)),"",IF((AND(RIGHT(G4696,2)=RIGHT('112'!$M$9,2),B4696&lt;'112'!$N$8,$M4696='112'!$I$6)),"x",""))</f>
        <v/>
      </c>
      <c r="U4696" s="525" t="str">
        <f>IF(AND(B4696&gt;='IN-NX'!$P$3,B4696&lt;='IN-NX'!$Q$3,'IN-NX'!$D$7=D4696,OR(LEFT(L4696,2)="15",AND(LEFT(M4696,2)&lt;&gt;"15",LEFT(M4696,2)&lt;&gt;"33"))),"x","")</f>
        <v/>
      </c>
      <c r="V4696" s="525" t="str">
        <f>IF(AND(OR(LEFT(TH!L4696,2)="15",LEFT(TH!M4696,2)="15"),'152-CT'!$J$8=TH!F4696),"x","")</f>
        <v/>
      </c>
      <c r="W4696" s="525" t="str">
        <f>IF(AND(OR(LEFT(TH!L4696,2)="15",LEFT(TH!M4696,2)="15"),TK!$E$7=TH!F4696),"x","")</f>
        <v/>
      </c>
      <c r="X4696" s="525" t="str">
        <f>IF(AND('341-CT'!$E$9=H4696,OR(LEFT(L4696,3)=$X$7,LEFT(M4696,3)=$X$7)),"x","")</f>
        <v/>
      </c>
      <c r="Y4696" s="525" t="str">
        <f>IF(OR(TH!L4696=TH!$Y$7,M4696=TH!$Y$7),"x","")</f>
        <v/>
      </c>
      <c r="Z4696" s="525" t="str">
        <f>IF(AND(B4696&lt;=NKC!$N$8,B4696&gt;=NKC!$M$8),"x","")</f>
        <v/>
      </c>
      <c r="AA4696" s="535"/>
      <c r="AB4696" s="536"/>
    </row>
    <row r="4697" spans="1:30" s="503" customFormat="1" ht="15.75" customHeight="1">
      <c r="A4697" s="517" t="str">
        <f>IF(B4697&lt;&gt;"",IF(AND(B4697&gt;=_TM1,B4697&lt;=_TM2,OR(TH!L4697="1111",TH!M4697="1111")),TH!D4697,""),"")</f>
        <v/>
      </c>
      <c r="B4697" s="531" t="str">
        <f t="shared" si="565"/>
        <v/>
      </c>
      <c r="C4697" s="315"/>
      <c r="D4697" s="315"/>
      <c r="E4697" s="545"/>
      <c r="F4697" s="248"/>
      <c r="G4697" s="314"/>
      <c r="H4697" s="473"/>
      <c r="I4697" s="307"/>
      <c r="J4697" s="307"/>
      <c r="K4697" s="532"/>
      <c r="L4697" s="533"/>
      <c r="M4697" s="533"/>
      <c r="N4697" s="525" t="str">
        <f>IF(AND('331-CT'!$E$7=TH!H4697,OR(L4697="331",M4697="331")),"331",IF(AND(OR(L4697="131",M4697="131"),H4697='131-CT'!$E$7),"131",""))</f>
        <v/>
      </c>
      <c r="O4697" s="525" t="str">
        <f>IF(AND($B4697&gt;='111'!$N$11,$B4697&lt;='111'!$O$11,OR($L4697=$O$7,$M4697=$O$7)),"x","")</f>
        <v/>
      </c>
      <c r="P4697" s="525" t="str">
        <f>IF(AND($L4697=$O$7,$B4697&lt;'111'!$N$11),"x","")</f>
        <v/>
      </c>
      <c r="Q4697" s="525" t="str">
        <f>IF(AND($M4697=$O$7,$B4697&lt;'111'!$N$11),"x","")</f>
        <v/>
      </c>
      <c r="R4697" s="525" t="str">
        <f>IF(ISERROR(FIND('112'!$M$9,G4697,1)),"",IF((AND(FIND('112'!$M$9,G4697,1)&gt;=1,$B4697&gt;='112'!$N$8,$B4697&lt;='112'!$O$8,OR($L4697='112'!$I$6,$M4697='112'!$I$6))),"x",""))</f>
        <v/>
      </c>
      <c r="S4697" s="525" t="str">
        <f>IF(ISERROR(FIND('112'!$M$9,G4697,1)),"",IF((AND(LEFT(G4697,2)=LEFT('112'!$M$9,2),B4697&lt;'112'!$N$8,$L4697='112'!$I$6)),"x",""))</f>
        <v/>
      </c>
      <c r="T4697" s="525" t="str">
        <f>IF(ISERROR(FIND('112'!$M$9,G4697,1)),"",IF((AND(RIGHT(G4697,2)=RIGHT('112'!$M$9,2),B4697&lt;'112'!$N$8,$M4697='112'!$I$6)),"x",""))</f>
        <v/>
      </c>
      <c r="U4697" s="525" t="str">
        <f>IF(AND(B4697&gt;='IN-NX'!$P$3,B4697&lt;='IN-NX'!$Q$3,'IN-NX'!$D$7=D4697,OR(LEFT(L4697,2)="15",AND(LEFT(M4697,2)&lt;&gt;"15",LEFT(M4697,2)&lt;&gt;"33"))),"x","")</f>
        <v/>
      </c>
      <c r="V4697" s="525" t="str">
        <f>IF(AND(OR(LEFT(TH!L4697,2)="15",LEFT(TH!M4697,2)="15"),'152-CT'!$J$8=TH!F4697),"x","")</f>
        <v/>
      </c>
      <c r="W4697" s="525" t="str">
        <f>IF(AND(OR(LEFT(TH!L4697,2)="15",LEFT(TH!M4697,2)="15"),TK!$E$7=TH!F4697),"x","")</f>
        <v/>
      </c>
      <c r="X4697" s="525" t="str">
        <f>IF(AND('341-CT'!$E$9=H4697,OR(LEFT(L4697,3)=$X$7,LEFT(M4697,3)=$X$7)),"x","")</f>
        <v/>
      </c>
      <c r="Y4697" s="525" t="str">
        <f>IF(OR(TH!L4697=TH!$Y$7,M4697=TH!$Y$7),"x","")</f>
        <v/>
      </c>
      <c r="Z4697" s="525" t="str">
        <f>IF(AND(B4697&lt;=NKC!$N$8,B4697&gt;=NKC!$M$8),"x","")</f>
        <v/>
      </c>
      <c r="AA4697" s="535"/>
      <c r="AB4697" s="536"/>
      <c r="AD4697" s="536"/>
    </row>
    <row r="4698" spans="1:30" s="503" customFormat="1" ht="15.75" customHeight="1">
      <c r="A4698" s="517" t="str">
        <f>IF(B4698&lt;&gt;"",IF(AND(B4698&gt;=_TM1,B4698&lt;=_TM2,OR(TH!L4698="1111",TH!M4698="1111")),TH!D4698,""),"")</f>
        <v/>
      </c>
      <c r="B4698" s="531" t="str">
        <f t="shared" si="565"/>
        <v/>
      </c>
      <c r="C4698" s="315"/>
      <c r="D4698" s="315"/>
      <c r="E4698" s="545"/>
      <c r="F4698" s="248"/>
      <c r="G4698" s="314"/>
      <c r="H4698" s="473"/>
      <c r="I4698" s="307"/>
      <c r="J4698" s="307"/>
      <c r="K4698" s="532"/>
      <c r="L4698" s="533"/>
      <c r="M4698" s="533"/>
      <c r="N4698" s="525" t="str">
        <f>IF(AND('331-CT'!$E$7=TH!H4698,OR(L4698="331",M4698="331")),"331",IF(AND(OR(L4698="131",M4698="131"),H4698='131-CT'!$E$7),"131",""))</f>
        <v/>
      </c>
      <c r="O4698" s="525" t="str">
        <f>IF(AND($B4698&gt;='111'!$N$11,$B4698&lt;='111'!$O$11,OR($L4698=$O$7,$M4698=$O$7)),"x","")</f>
        <v/>
      </c>
      <c r="P4698" s="525" t="str">
        <f>IF(AND($L4698=$O$7,$B4698&lt;'111'!$N$11),"x","")</f>
        <v/>
      </c>
      <c r="Q4698" s="525" t="str">
        <f>IF(AND($M4698=$O$7,$B4698&lt;'111'!$N$11),"x","")</f>
        <v/>
      </c>
      <c r="R4698" s="525" t="str">
        <f>IF(ISERROR(FIND('112'!$M$9,G4698,1)),"",IF((AND(FIND('112'!$M$9,G4698,1)&gt;=1,$B4698&gt;='112'!$N$8,$B4698&lt;='112'!$O$8,OR($L4698='112'!$I$6,$M4698='112'!$I$6))),"x",""))</f>
        <v/>
      </c>
      <c r="S4698" s="525" t="str">
        <f>IF(ISERROR(FIND('112'!$M$9,G4698,1)),"",IF((AND(LEFT(G4698,2)=LEFT('112'!$M$9,2),B4698&lt;'112'!$N$8,$L4698='112'!$I$6)),"x",""))</f>
        <v/>
      </c>
      <c r="T4698" s="525" t="str">
        <f>IF(ISERROR(FIND('112'!$M$9,G4698,1)),"",IF((AND(RIGHT(G4698,2)=RIGHT('112'!$M$9,2),B4698&lt;'112'!$N$8,$M4698='112'!$I$6)),"x",""))</f>
        <v/>
      </c>
      <c r="U4698" s="525" t="str">
        <f>IF(AND(B4698&gt;='IN-NX'!$P$3,B4698&lt;='IN-NX'!$Q$3,'IN-NX'!$D$7=D4698,OR(LEFT(L4698,2)="15",AND(LEFT(M4698,2)&lt;&gt;"15",LEFT(M4698,2)&lt;&gt;"33"))),"x","")</f>
        <v/>
      </c>
      <c r="V4698" s="525" t="str">
        <f>IF(AND(OR(LEFT(TH!L4698,2)="15",LEFT(TH!M4698,2)="15"),'152-CT'!$J$8=TH!F4698),"x","")</f>
        <v/>
      </c>
      <c r="W4698" s="525" t="str">
        <f>IF(AND(OR(LEFT(TH!L4698,2)="15",LEFT(TH!M4698,2)="15"),TK!$E$7=TH!F4698),"x","")</f>
        <v/>
      </c>
      <c r="X4698" s="525" t="str">
        <f>IF(AND('341-CT'!$E$9=H4698,OR(LEFT(L4698,3)=$X$7,LEFT(M4698,3)=$X$7)),"x","")</f>
        <v/>
      </c>
      <c r="Y4698" s="525" t="str">
        <f>IF(OR(TH!L4698=TH!$Y$7,M4698=TH!$Y$7),"x","")</f>
        <v/>
      </c>
      <c r="Z4698" s="525" t="str">
        <f>IF(AND(B4698&lt;=NKC!$N$8,B4698&gt;=NKC!$M$8),"x","")</f>
        <v/>
      </c>
      <c r="AA4698" s="535"/>
      <c r="AB4698" s="536"/>
    </row>
    <row r="4699" spans="1:30" s="503" customFormat="1" ht="15.75" customHeight="1">
      <c r="A4699" s="517" t="str">
        <f>IF(B4699&lt;&gt;"",IF(AND(B4699&gt;=_TM1,B4699&lt;=_TM2,OR(TH!L4699="1111",TH!M4699="1111")),TH!D4699,""),"")</f>
        <v/>
      </c>
      <c r="B4699" s="531" t="str">
        <f t="shared" si="565"/>
        <v/>
      </c>
      <c r="C4699" s="315"/>
      <c r="D4699" s="315"/>
      <c r="E4699" s="545"/>
      <c r="F4699" s="248"/>
      <c r="G4699" s="314"/>
      <c r="H4699" s="473"/>
      <c r="I4699" s="307"/>
      <c r="J4699" s="307"/>
      <c r="K4699" s="532"/>
      <c r="L4699" s="533"/>
      <c r="M4699" s="533"/>
      <c r="N4699" s="525" t="str">
        <f>IF(AND('331-CT'!$E$7=TH!H4699,OR(L4699="331",M4699="331")),"331",IF(AND(OR(L4699="131",M4699="131"),H4699='131-CT'!$E$7),"131",""))</f>
        <v/>
      </c>
      <c r="O4699" s="525" t="str">
        <f>IF(AND($B4699&gt;='111'!$N$11,$B4699&lt;='111'!$O$11,OR($L4699=$O$7,$M4699=$O$7)),"x","")</f>
        <v/>
      </c>
      <c r="P4699" s="525" t="str">
        <f>IF(AND($L4699=$O$7,$B4699&lt;'111'!$N$11),"x","")</f>
        <v/>
      </c>
      <c r="Q4699" s="525" t="str">
        <f>IF(AND($M4699=$O$7,$B4699&lt;'111'!$N$11),"x","")</f>
        <v/>
      </c>
      <c r="R4699" s="525" t="str">
        <f>IF(ISERROR(FIND('112'!$M$9,G4699,1)),"",IF((AND(FIND('112'!$M$9,G4699,1)&gt;=1,$B4699&gt;='112'!$N$8,$B4699&lt;='112'!$O$8,OR($L4699='112'!$I$6,$M4699='112'!$I$6))),"x",""))</f>
        <v/>
      </c>
      <c r="S4699" s="525" t="str">
        <f>IF(ISERROR(FIND('112'!$M$9,G4699,1)),"",IF((AND(LEFT(G4699,2)=LEFT('112'!$M$9,2),B4699&lt;'112'!$N$8,$L4699='112'!$I$6)),"x",""))</f>
        <v/>
      </c>
      <c r="T4699" s="525" t="str">
        <f>IF(ISERROR(FIND('112'!$M$9,G4699,1)),"",IF((AND(RIGHT(G4699,2)=RIGHT('112'!$M$9,2),B4699&lt;'112'!$N$8,$M4699='112'!$I$6)),"x",""))</f>
        <v/>
      </c>
      <c r="U4699" s="525" t="str">
        <f>IF(AND(B4699&gt;='IN-NX'!$P$3,B4699&lt;='IN-NX'!$Q$3,'IN-NX'!$D$7=D4699,OR(LEFT(L4699,2)="15",AND(LEFT(M4699,2)&lt;&gt;"15",LEFT(M4699,2)&lt;&gt;"33"))),"x","")</f>
        <v/>
      </c>
      <c r="V4699" s="525" t="str">
        <f>IF(AND(OR(LEFT(TH!L4699,2)="15",LEFT(TH!M4699,2)="15"),'152-CT'!$J$8=TH!F4699),"x","")</f>
        <v/>
      </c>
      <c r="W4699" s="525" t="str">
        <f>IF(AND(OR(LEFT(TH!L4699,2)="15",LEFT(TH!M4699,2)="15"),TK!$E$7=TH!F4699),"x","")</f>
        <v/>
      </c>
      <c r="X4699" s="525" t="str">
        <f>IF(AND('341-CT'!$E$9=H4699,OR(LEFT(L4699,3)=$X$7,LEFT(M4699,3)=$X$7)),"x","")</f>
        <v/>
      </c>
      <c r="Y4699" s="525" t="str">
        <f>IF(OR(TH!L4699=TH!$Y$7,M4699=TH!$Y$7),"x","")</f>
        <v/>
      </c>
      <c r="Z4699" s="525" t="str">
        <f>IF(AND(B4699&lt;=NKC!$N$8,B4699&gt;=NKC!$M$8),"x","")</f>
        <v/>
      </c>
      <c r="AA4699" s="535"/>
      <c r="AB4699" s="536"/>
    </row>
    <row r="4700" spans="1:30" s="503" customFormat="1" ht="15.75" customHeight="1">
      <c r="A4700" s="517" t="str">
        <f>IF(B4700&lt;&gt;"",IF(AND(B4700&gt;=_TM1,B4700&lt;=_TM2,OR(TH!L4700="1111",TH!M4700="1111")),TH!D4700,""),"")</f>
        <v/>
      </c>
      <c r="B4700" s="531" t="str">
        <f t="shared" si="565"/>
        <v/>
      </c>
      <c r="C4700" s="315"/>
      <c r="D4700" s="315"/>
      <c r="E4700" s="545"/>
      <c r="F4700" s="248"/>
      <c r="G4700" s="314"/>
      <c r="H4700" s="473"/>
      <c r="I4700" s="307"/>
      <c r="J4700" s="307"/>
      <c r="K4700" s="532"/>
      <c r="L4700" s="533"/>
      <c r="M4700" s="533"/>
      <c r="N4700" s="525" t="str">
        <f>IF(AND('331-CT'!$E$7=TH!H4700,OR(L4700="331",M4700="331")),"331",IF(AND(OR(L4700="131",M4700="131"),H4700='131-CT'!$E$7),"131",""))</f>
        <v/>
      </c>
      <c r="O4700" s="525" t="str">
        <f>IF(AND($B4700&gt;='111'!$N$11,$B4700&lt;='111'!$O$11,OR($L4700=$O$7,$M4700=$O$7)),"x","")</f>
        <v/>
      </c>
      <c r="P4700" s="525" t="str">
        <f>IF(AND($L4700=$O$7,$B4700&lt;'111'!$N$11),"x","")</f>
        <v/>
      </c>
      <c r="Q4700" s="525" t="str">
        <f>IF(AND($M4700=$O$7,$B4700&lt;'111'!$N$11),"x","")</f>
        <v/>
      </c>
      <c r="R4700" s="525" t="str">
        <f>IF(ISERROR(FIND('112'!$M$9,G4700,1)),"",IF((AND(FIND('112'!$M$9,G4700,1)&gt;=1,$B4700&gt;='112'!$N$8,$B4700&lt;='112'!$O$8,OR($L4700='112'!$I$6,$M4700='112'!$I$6))),"x",""))</f>
        <v/>
      </c>
      <c r="S4700" s="525" t="str">
        <f>IF(ISERROR(FIND('112'!$M$9,G4700,1)),"",IF((AND(LEFT(G4700,2)=LEFT('112'!$M$9,2),B4700&lt;'112'!$N$8,$L4700='112'!$I$6)),"x",""))</f>
        <v/>
      </c>
      <c r="T4700" s="525" t="str">
        <f>IF(ISERROR(FIND('112'!$M$9,G4700,1)),"",IF((AND(RIGHT(G4700,2)=RIGHT('112'!$M$9,2),B4700&lt;'112'!$N$8,$M4700='112'!$I$6)),"x",""))</f>
        <v/>
      </c>
      <c r="U4700" s="525" t="str">
        <f>IF(AND(B4700&gt;='IN-NX'!$P$3,B4700&lt;='IN-NX'!$Q$3,'IN-NX'!$D$7=D4700,OR(LEFT(L4700,2)="15",AND(LEFT(M4700,2)&lt;&gt;"15",LEFT(M4700,2)&lt;&gt;"33"))),"x","")</f>
        <v/>
      </c>
      <c r="V4700" s="525" t="str">
        <f>IF(AND(OR(LEFT(TH!L4700,2)="15",LEFT(TH!M4700,2)="15"),'152-CT'!$J$8=TH!F4700),"x","")</f>
        <v/>
      </c>
      <c r="W4700" s="525" t="str">
        <f>IF(AND(OR(LEFT(TH!L4700,2)="15",LEFT(TH!M4700,2)="15"),TK!$E$7=TH!F4700),"x","")</f>
        <v/>
      </c>
      <c r="X4700" s="525" t="str">
        <f>IF(AND('341-CT'!$E$9=H4700,OR(LEFT(L4700,3)=$X$7,LEFT(M4700,3)=$X$7)),"x","")</f>
        <v/>
      </c>
      <c r="Y4700" s="525" t="str">
        <f>IF(OR(TH!L4700=TH!$Y$7,M4700=TH!$Y$7),"x","")</f>
        <v/>
      </c>
      <c r="Z4700" s="525" t="str">
        <f>IF(AND(B4700&lt;=NKC!$N$8,B4700&gt;=NKC!$M$8),"x","")</f>
        <v/>
      </c>
      <c r="AA4700" s="535"/>
      <c r="AB4700" s="536"/>
      <c r="AD4700" s="536"/>
    </row>
    <row r="4701" spans="1:30" s="503" customFormat="1" ht="15.75" customHeight="1">
      <c r="A4701" s="517" t="str">
        <f>IF(B4701&lt;&gt;"",IF(AND(B4701&gt;=_TM1,B4701&lt;=_TM2,OR(TH!L4701="1111",TH!M4701="1111")),TH!D4701,""),"")</f>
        <v/>
      </c>
      <c r="B4701" s="531" t="str">
        <f t="shared" si="565"/>
        <v/>
      </c>
      <c r="C4701" s="315"/>
      <c r="D4701" s="315"/>
      <c r="E4701" s="545"/>
      <c r="F4701" s="248"/>
      <c r="G4701" s="314"/>
      <c r="H4701" s="473"/>
      <c r="I4701" s="307"/>
      <c r="J4701" s="307"/>
      <c r="K4701" s="532"/>
      <c r="L4701" s="533"/>
      <c r="M4701" s="533"/>
      <c r="N4701" s="525" t="str">
        <f>IF(AND('331-CT'!$E$7=TH!H4701,OR(L4701="331",M4701="331")),"331",IF(AND(OR(L4701="131",M4701="131"),H4701='131-CT'!$E$7),"131",""))</f>
        <v/>
      </c>
      <c r="O4701" s="525" t="str">
        <f>IF(AND($B4701&gt;='111'!$N$11,$B4701&lt;='111'!$O$11,OR($L4701=$O$7,$M4701=$O$7)),"x","")</f>
        <v/>
      </c>
      <c r="P4701" s="525" t="str">
        <f>IF(AND($L4701=$O$7,$B4701&lt;'111'!$N$11),"x","")</f>
        <v/>
      </c>
      <c r="Q4701" s="525" t="str">
        <f>IF(AND($M4701=$O$7,$B4701&lt;'111'!$N$11),"x","")</f>
        <v/>
      </c>
      <c r="R4701" s="525" t="str">
        <f>IF(ISERROR(FIND('112'!$M$9,G4701,1)),"",IF((AND(FIND('112'!$M$9,G4701,1)&gt;=1,$B4701&gt;='112'!$N$8,$B4701&lt;='112'!$O$8,OR($L4701='112'!$I$6,$M4701='112'!$I$6))),"x",""))</f>
        <v/>
      </c>
      <c r="S4701" s="525" t="str">
        <f>IF(ISERROR(FIND('112'!$M$9,G4701,1)),"",IF((AND(LEFT(G4701,2)=LEFT('112'!$M$9,2),B4701&lt;'112'!$N$8,$L4701='112'!$I$6)),"x",""))</f>
        <v/>
      </c>
      <c r="T4701" s="525" t="str">
        <f>IF(ISERROR(FIND('112'!$M$9,G4701,1)),"",IF((AND(RIGHT(G4701,2)=RIGHT('112'!$M$9,2),B4701&lt;'112'!$N$8,$M4701='112'!$I$6)),"x",""))</f>
        <v/>
      </c>
      <c r="U4701" s="525" t="str">
        <f>IF(AND(B4701&gt;='IN-NX'!$P$3,B4701&lt;='IN-NX'!$Q$3,'IN-NX'!$D$7=D4701,OR(LEFT(L4701,2)="15",AND(LEFT(M4701,2)&lt;&gt;"15",LEFT(M4701,2)&lt;&gt;"33"))),"x","")</f>
        <v/>
      </c>
      <c r="V4701" s="525" t="str">
        <f>IF(AND(OR(LEFT(TH!L4701,2)="15",LEFT(TH!M4701,2)="15"),'152-CT'!$J$8=TH!F4701),"x","")</f>
        <v/>
      </c>
      <c r="W4701" s="525" t="str">
        <f>IF(AND(OR(LEFT(TH!L4701,2)="15",LEFT(TH!M4701,2)="15"),TK!$E$7=TH!F4701),"x","")</f>
        <v/>
      </c>
      <c r="X4701" s="525" t="str">
        <f>IF(AND('341-CT'!$E$9=H4701,OR(LEFT(L4701,3)=$X$7,LEFT(M4701,3)=$X$7)),"x","")</f>
        <v/>
      </c>
      <c r="Y4701" s="525" t="str">
        <f>IF(OR(TH!L4701=TH!$Y$7,M4701=TH!$Y$7),"x","")</f>
        <v/>
      </c>
      <c r="Z4701" s="525" t="str">
        <f>IF(AND(B4701&lt;=NKC!$N$8,B4701&gt;=NKC!$M$8),"x","")</f>
        <v/>
      </c>
      <c r="AA4701" s="535"/>
      <c r="AB4701" s="536"/>
    </row>
    <row r="4702" spans="1:30" s="503" customFormat="1" ht="15.75" customHeight="1">
      <c r="A4702" s="517" t="str">
        <f>IF(B4702&lt;&gt;"",IF(AND(B4702&gt;=_TM1,B4702&lt;=_TM2,OR(TH!L4702="1111",TH!M4702="1111")),TH!D4702,""),"")</f>
        <v/>
      </c>
      <c r="B4702" s="531" t="str">
        <f t="shared" si="565"/>
        <v/>
      </c>
      <c r="C4702" s="315"/>
      <c r="D4702" s="315"/>
      <c r="E4702" s="545"/>
      <c r="F4702" s="248"/>
      <c r="G4702" s="314"/>
      <c r="H4702" s="473"/>
      <c r="I4702" s="307"/>
      <c r="J4702" s="307"/>
      <c r="K4702" s="532"/>
      <c r="L4702" s="533"/>
      <c r="M4702" s="533"/>
      <c r="N4702" s="525" t="str">
        <f>IF(AND('331-CT'!$E$7=TH!H4702,OR(L4702="331",M4702="331")),"331",IF(AND(OR(L4702="131",M4702="131"),H4702='131-CT'!$E$7),"131",""))</f>
        <v/>
      </c>
      <c r="O4702" s="525" t="str">
        <f>IF(AND($B4702&gt;='111'!$N$11,$B4702&lt;='111'!$O$11,OR($L4702=$O$7,$M4702=$O$7)),"x","")</f>
        <v/>
      </c>
      <c r="P4702" s="525" t="str">
        <f>IF(AND($L4702=$O$7,$B4702&lt;'111'!$N$11),"x","")</f>
        <v/>
      </c>
      <c r="Q4702" s="525" t="str">
        <f>IF(AND($M4702=$O$7,$B4702&lt;'111'!$N$11),"x","")</f>
        <v/>
      </c>
      <c r="R4702" s="525" t="str">
        <f>IF(ISERROR(FIND('112'!$M$9,G4702,1)),"",IF((AND(FIND('112'!$M$9,G4702,1)&gt;=1,$B4702&gt;='112'!$N$8,$B4702&lt;='112'!$O$8,OR($L4702='112'!$I$6,$M4702='112'!$I$6))),"x",""))</f>
        <v/>
      </c>
      <c r="S4702" s="525" t="str">
        <f>IF(ISERROR(FIND('112'!$M$9,G4702,1)),"",IF((AND(LEFT(G4702,2)=LEFT('112'!$M$9,2),B4702&lt;'112'!$N$8,$L4702='112'!$I$6)),"x",""))</f>
        <v/>
      </c>
      <c r="T4702" s="525" t="str">
        <f>IF(ISERROR(FIND('112'!$M$9,G4702,1)),"",IF((AND(RIGHT(G4702,2)=RIGHT('112'!$M$9,2),B4702&lt;'112'!$N$8,$M4702='112'!$I$6)),"x",""))</f>
        <v/>
      </c>
      <c r="U4702" s="525" t="str">
        <f>IF(AND(B4702&gt;='IN-NX'!$P$3,B4702&lt;='IN-NX'!$Q$3,'IN-NX'!$D$7=D4702,OR(LEFT(L4702,2)="15",AND(LEFT(M4702,2)&lt;&gt;"15",LEFT(M4702,2)&lt;&gt;"33"))),"x","")</f>
        <v/>
      </c>
      <c r="V4702" s="525" t="str">
        <f>IF(AND(OR(LEFT(TH!L4702,2)="15",LEFT(TH!M4702,2)="15"),'152-CT'!$J$8=TH!F4702),"x","")</f>
        <v/>
      </c>
      <c r="W4702" s="525" t="str">
        <f>IF(AND(OR(LEFT(TH!L4702,2)="15",LEFT(TH!M4702,2)="15"),TK!$E$7=TH!F4702),"x","")</f>
        <v/>
      </c>
      <c r="X4702" s="525" t="str">
        <f>IF(AND('341-CT'!$E$9=H4702,OR(LEFT(L4702,3)=$X$7,LEFT(M4702,3)=$X$7)),"x","")</f>
        <v/>
      </c>
      <c r="Y4702" s="525" t="str">
        <f>IF(OR(TH!L4702=TH!$Y$7,M4702=TH!$Y$7),"x","")</f>
        <v/>
      </c>
      <c r="Z4702" s="525" t="str">
        <f>IF(AND(B4702&lt;=NKC!$N$8,B4702&gt;=NKC!$M$8),"x","")</f>
        <v/>
      </c>
      <c r="AA4702" s="535"/>
      <c r="AB4702" s="536"/>
    </row>
    <row r="4703" spans="1:30" s="503" customFormat="1" ht="15.75" customHeight="1">
      <c r="A4703" s="517" t="str">
        <f>IF(B4703&lt;&gt;"",IF(AND(B4703&gt;=_TM1,B4703&lt;=_TM2,OR(TH!L4703="1111",TH!M4703="1111")),TH!D4703,""),"")</f>
        <v/>
      </c>
      <c r="B4703" s="531" t="str">
        <f t="shared" si="565"/>
        <v/>
      </c>
      <c r="C4703" s="315"/>
      <c r="D4703" s="315"/>
      <c r="E4703" s="545"/>
      <c r="F4703" s="248"/>
      <c r="G4703" s="314"/>
      <c r="H4703" s="473"/>
      <c r="I4703" s="307"/>
      <c r="J4703" s="307"/>
      <c r="K4703" s="532"/>
      <c r="L4703" s="533"/>
      <c r="M4703" s="533"/>
      <c r="N4703" s="525" t="str">
        <f>IF(AND('331-CT'!$E$7=TH!H4703,OR(L4703="331",M4703="331")),"331",IF(AND(OR(L4703="131",M4703="131"),H4703='131-CT'!$E$7),"131",""))</f>
        <v/>
      </c>
      <c r="O4703" s="525" t="str">
        <f>IF(AND($B4703&gt;='111'!$N$11,$B4703&lt;='111'!$O$11,OR($L4703=$O$7,$M4703=$O$7)),"x","")</f>
        <v/>
      </c>
      <c r="P4703" s="525" t="str">
        <f>IF(AND($L4703=$O$7,$B4703&lt;'111'!$N$11),"x","")</f>
        <v/>
      </c>
      <c r="Q4703" s="525" t="str">
        <f>IF(AND($M4703=$O$7,$B4703&lt;'111'!$N$11),"x","")</f>
        <v/>
      </c>
      <c r="R4703" s="525" t="str">
        <f>IF(ISERROR(FIND('112'!$M$9,G4703,1)),"",IF((AND(FIND('112'!$M$9,G4703,1)&gt;=1,$B4703&gt;='112'!$N$8,$B4703&lt;='112'!$O$8,OR($L4703='112'!$I$6,$M4703='112'!$I$6))),"x",""))</f>
        <v/>
      </c>
      <c r="S4703" s="525" t="str">
        <f>IF(ISERROR(FIND('112'!$M$9,G4703,1)),"",IF((AND(LEFT(G4703,2)=LEFT('112'!$M$9,2),B4703&lt;'112'!$N$8,$L4703='112'!$I$6)),"x",""))</f>
        <v/>
      </c>
      <c r="T4703" s="525" t="str">
        <f>IF(ISERROR(FIND('112'!$M$9,G4703,1)),"",IF((AND(RIGHT(G4703,2)=RIGHT('112'!$M$9,2),B4703&lt;'112'!$N$8,$M4703='112'!$I$6)),"x",""))</f>
        <v/>
      </c>
      <c r="U4703" s="525" t="str">
        <f>IF(AND(B4703&gt;='IN-NX'!$P$3,B4703&lt;='IN-NX'!$Q$3,'IN-NX'!$D$7=D4703,OR(LEFT(L4703,2)="15",AND(LEFT(M4703,2)&lt;&gt;"15",LEFT(M4703,2)&lt;&gt;"33"))),"x","")</f>
        <v/>
      </c>
      <c r="V4703" s="525" t="str">
        <f>IF(AND(OR(LEFT(TH!L4703,2)="15",LEFT(TH!M4703,2)="15"),'152-CT'!$J$8=TH!F4703),"x","")</f>
        <v/>
      </c>
      <c r="W4703" s="525" t="str">
        <f>IF(AND(OR(LEFT(TH!L4703,2)="15",LEFT(TH!M4703,2)="15"),TK!$E$7=TH!F4703),"x","")</f>
        <v/>
      </c>
      <c r="X4703" s="525" t="str">
        <f>IF(AND('341-CT'!$E$9=H4703,OR(LEFT(L4703,3)=$X$7,LEFT(M4703,3)=$X$7)),"x","")</f>
        <v/>
      </c>
      <c r="Y4703" s="525" t="str">
        <f>IF(OR(TH!L4703=TH!$Y$7,M4703=TH!$Y$7),"x","")</f>
        <v/>
      </c>
      <c r="Z4703" s="525" t="str">
        <f>IF(AND(B4703&lt;=NKC!$N$8,B4703&gt;=NKC!$M$8),"x","")</f>
        <v/>
      </c>
      <c r="AA4703" s="535"/>
      <c r="AB4703" s="536"/>
      <c r="AD4703" s="536"/>
    </row>
    <row r="4704" spans="1:30" s="503" customFormat="1" ht="15.75" customHeight="1">
      <c r="A4704" s="517" t="str">
        <f>IF(B4704&lt;&gt;"",IF(AND(B4704&gt;=_TM1,B4704&lt;=_TM2,OR(TH!L4704="1111",TH!M4704="1111")),TH!D4704,""),"")</f>
        <v/>
      </c>
      <c r="B4704" s="531" t="str">
        <f t="shared" si="565"/>
        <v/>
      </c>
      <c r="C4704" s="315"/>
      <c r="D4704" s="315"/>
      <c r="E4704" s="545"/>
      <c r="F4704" s="248"/>
      <c r="G4704" s="314"/>
      <c r="H4704" s="473"/>
      <c r="I4704" s="307"/>
      <c r="J4704" s="307"/>
      <c r="K4704" s="532"/>
      <c r="L4704" s="533"/>
      <c r="M4704" s="533"/>
      <c r="N4704" s="525" t="str">
        <f>IF(AND('331-CT'!$E$7=TH!H4704,OR(L4704="331",M4704="331")),"331",IF(AND(OR(L4704="131",M4704="131"),H4704='131-CT'!$E$7),"131",""))</f>
        <v/>
      </c>
      <c r="O4704" s="525" t="str">
        <f>IF(AND($B4704&gt;='111'!$N$11,$B4704&lt;='111'!$O$11,OR($L4704=$O$7,$M4704=$O$7)),"x","")</f>
        <v/>
      </c>
      <c r="P4704" s="525" t="str">
        <f>IF(AND($L4704=$O$7,$B4704&lt;'111'!$N$11),"x","")</f>
        <v/>
      </c>
      <c r="Q4704" s="525" t="str">
        <f>IF(AND($M4704=$O$7,$B4704&lt;'111'!$N$11),"x","")</f>
        <v/>
      </c>
      <c r="R4704" s="525" t="str">
        <f>IF(ISERROR(FIND('112'!$M$9,G4704,1)),"",IF((AND(FIND('112'!$M$9,G4704,1)&gt;=1,$B4704&gt;='112'!$N$8,$B4704&lt;='112'!$O$8,OR($L4704='112'!$I$6,$M4704='112'!$I$6))),"x",""))</f>
        <v/>
      </c>
      <c r="S4704" s="525" t="str">
        <f>IF(ISERROR(FIND('112'!$M$9,G4704,1)),"",IF((AND(LEFT(G4704,2)=LEFT('112'!$M$9,2),B4704&lt;'112'!$N$8,$L4704='112'!$I$6)),"x",""))</f>
        <v/>
      </c>
      <c r="T4704" s="525" t="str">
        <f>IF(ISERROR(FIND('112'!$M$9,G4704,1)),"",IF((AND(RIGHT(G4704,2)=RIGHT('112'!$M$9,2),B4704&lt;'112'!$N$8,$M4704='112'!$I$6)),"x",""))</f>
        <v/>
      </c>
      <c r="U4704" s="525" t="str">
        <f>IF(AND(B4704&gt;='IN-NX'!$P$3,B4704&lt;='IN-NX'!$Q$3,'IN-NX'!$D$7=D4704,OR(LEFT(L4704,2)="15",AND(LEFT(M4704,2)&lt;&gt;"15",LEFT(M4704,2)&lt;&gt;"33"))),"x","")</f>
        <v/>
      </c>
      <c r="V4704" s="525" t="str">
        <f>IF(AND(OR(LEFT(TH!L4704,2)="15",LEFT(TH!M4704,2)="15"),'152-CT'!$J$8=TH!F4704),"x","")</f>
        <v/>
      </c>
      <c r="W4704" s="525" t="str">
        <f>IF(AND(OR(LEFT(TH!L4704,2)="15",LEFT(TH!M4704,2)="15"),TK!$E$7=TH!F4704),"x","")</f>
        <v/>
      </c>
      <c r="X4704" s="525" t="str">
        <f>IF(AND('341-CT'!$E$9=H4704,OR(LEFT(L4704,3)=$X$7,LEFT(M4704,3)=$X$7)),"x","")</f>
        <v/>
      </c>
      <c r="Y4704" s="525" t="str">
        <f>IF(OR(TH!L4704=TH!$Y$7,M4704=TH!$Y$7),"x","")</f>
        <v/>
      </c>
      <c r="Z4704" s="525" t="str">
        <f>IF(AND(B4704&lt;=NKC!$N$8,B4704&gt;=NKC!$M$8),"x","")</f>
        <v/>
      </c>
      <c r="AA4704" s="535"/>
      <c r="AB4704" s="536"/>
    </row>
    <row r="4705" spans="1:30" s="503" customFormat="1" ht="15.75" customHeight="1">
      <c r="A4705" s="517" t="str">
        <f>IF(B4705&lt;&gt;"",IF(AND(B4705&gt;=_TM1,B4705&lt;=_TM2,OR(TH!L4705="1111",TH!M4705="1111")),TH!D4705,""),"")</f>
        <v/>
      </c>
      <c r="B4705" s="531" t="str">
        <f t="shared" si="565"/>
        <v/>
      </c>
      <c r="C4705" s="315"/>
      <c r="D4705" s="315"/>
      <c r="E4705" s="545"/>
      <c r="F4705" s="248"/>
      <c r="G4705" s="314"/>
      <c r="H4705" s="473"/>
      <c r="I4705" s="307"/>
      <c r="J4705" s="307"/>
      <c r="K4705" s="532"/>
      <c r="L4705" s="533"/>
      <c r="M4705" s="533"/>
      <c r="N4705" s="525" t="str">
        <f>IF(AND('331-CT'!$E$7=TH!H4705,OR(L4705="331",M4705="331")),"331",IF(AND(OR(L4705="131",M4705="131"),H4705='131-CT'!$E$7),"131",""))</f>
        <v/>
      </c>
      <c r="O4705" s="525" t="str">
        <f>IF(AND($B4705&gt;='111'!$N$11,$B4705&lt;='111'!$O$11,OR($L4705=$O$7,$M4705=$O$7)),"x","")</f>
        <v/>
      </c>
      <c r="P4705" s="525" t="str">
        <f>IF(AND($L4705=$O$7,$B4705&lt;'111'!$N$11),"x","")</f>
        <v/>
      </c>
      <c r="Q4705" s="525" t="str">
        <f>IF(AND($M4705=$O$7,$B4705&lt;'111'!$N$11),"x","")</f>
        <v/>
      </c>
      <c r="R4705" s="525" t="str">
        <f>IF(ISERROR(FIND('112'!$M$9,G4705,1)),"",IF((AND(FIND('112'!$M$9,G4705,1)&gt;=1,$B4705&gt;='112'!$N$8,$B4705&lt;='112'!$O$8,OR($L4705='112'!$I$6,$M4705='112'!$I$6))),"x",""))</f>
        <v/>
      </c>
      <c r="S4705" s="525" t="str">
        <f>IF(ISERROR(FIND('112'!$M$9,G4705,1)),"",IF((AND(LEFT(G4705,2)=LEFT('112'!$M$9,2),B4705&lt;'112'!$N$8,$L4705='112'!$I$6)),"x",""))</f>
        <v/>
      </c>
      <c r="T4705" s="525" t="str">
        <f>IF(ISERROR(FIND('112'!$M$9,G4705,1)),"",IF((AND(RIGHT(G4705,2)=RIGHT('112'!$M$9,2),B4705&lt;'112'!$N$8,$M4705='112'!$I$6)),"x",""))</f>
        <v/>
      </c>
      <c r="U4705" s="525" t="str">
        <f>IF(AND(B4705&gt;='IN-NX'!$P$3,B4705&lt;='IN-NX'!$Q$3,'IN-NX'!$D$7=D4705,OR(LEFT(L4705,2)="15",AND(LEFT(M4705,2)&lt;&gt;"15",LEFT(M4705,2)&lt;&gt;"33"))),"x","")</f>
        <v/>
      </c>
      <c r="V4705" s="525" t="str">
        <f>IF(AND(OR(LEFT(TH!L4705,2)="15",LEFT(TH!M4705,2)="15"),'152-CT'!$J$8=TH!F4705),"x","")</f>
        <v/>
      </c>
      <c r="W4705" s="525" t="str">
        <f>IF(AND(OR(LEFT(TH!L4705,2)="15",LEFT(TH!M4705,2)="15"),TK!$E$7=TH!F4705),"x","")</f>
        <v/>
      </c>
      <c r="X4705" s="525" t="str">
        <f>IF(AND('341-CT'!$E$9=H4705,OR(LEFT(L4705,3)=$X$7,LEFT(M4705,3)=$X$7)),"x","")</f>
        <v/>
      </c>
      <c r="Y4705" s="525" t="str">
        <f>IF(OR(TH!L4705=TH!$Y$7,M4705=TH!$Y$7),"x","")</f>
        <v/>
      </c>
      <c r="Z4705" s="525" t="str">
        <f>IF(AND(B4705&lt;=NKC!$N$8,B4705&gt;=NKC!$M$8),"x","")</f>
        <v/>
      </c>
      <c r="AA4705" s="535"/>
      <c r="AB4705" s="536"/>
    </row>
    <row r="4706" spans="1:30" s="503" customFormat="1" ht="15.75" customHeight="1">
      <c r="A4706" s="517" t="str">
        <f>IF(B4706&lt;&gt;"",IF(AND(B4706&gt;=_TM1,B4706&lt;=_TM2,OR(TH!L4706="1111",TH!M4706="1111")),TH!D4706,""),"")</f>
        <v/>
      </c>
      <c r="B4706" s="531" t="str">
        <f t="shared" ref="B4706:B4769" si="566">IF(C4706&lt;&gt;"",MONTH(C4706),"")</f>
        <v/>
      </c>
      <c r="C4706" s="315"/>
      <c r="D4706" s="315"/>
      <c r="E4706" s="545"/>
      <c r="F4706" s="248"/>
      <c r="G4706" s="314"/>
      <c r="H4706" s="473"/>
      <c r="I4706" s="307"/>
      <c r="J4706" s="307"/>
      <c r="K4706" s="532"/>
      <c r="L4706" s="533"/>
      <c r="M4706" s="533"/>
      <c r="N4706" s="525" t="str">
        <f>IF(AND('331-CT'!$E$7=TH!H4706,OR(L4706="331",M4706="331")),"331",IF(AND(OR(L4706="131",M4706="131"),H4706='131-CT'!$E$7),"131",""))</f>
        <v/>
      </c>
      <c r="O4706" s="525" t="str">
        <f>IF(AND($B4706&gt;='111'!$N$11,$B4706&lt;='111'!$O$11,OR($L4706=$O$7,$M4706=$O$7)),"x","")</f>
        <v/>
      </c>
      <c r="P4706" s="525" t="str">
        <f>IF(AND($L4706=$O$7,$B4706&lt;'111'!$N$11),"x","")</f>
        <v/>
      </c>
      <c r="Q4706" s="525" t="str">
        <f>IF(AND($M4706=$O$7,$B4706&lt;'111'!$N$11),"x","")</f>
        <v/>
      </c>
      <c r="R4706" s="525" t="str">
        <f>IF(ISERROR(FIND('112'!$M$9,G4706,1)),"",IF((AND(FIND('112'!$M$9,G4706,1)&gt;=1,$B4706&gt;='112'!$N$8,$B4706&lt;='112'!$O$8,OR($L4706='112'!$I$6,$M4706='112'!$I$6))),"x",""))</f>
        <v/>
      </c>
      <c r="S4706" s="525" t="str">
        <f>IF(ISERROR(FIND('112'!$M$9,G4706,1)),"",IF((AND(LEFT(G4706,2)=LEFT('112'!$M$9,2),B4706&lt;'112'!$N$8,$L4706='112'!$I$6)),"x",""))</f>
        <v/>
      </c>
      <c r="T4706" s="525" t="str">
        <f>IF(ISERROR(FIND('112'!$M$9,G4706,1)),"",IF((AND(RIGHT(G4706,2)=RIGHT('112'!$M$9,2),B4706&lt;'112'!$N$8,$M4706='112'!$I$6)),"x",""))</f>
        <v/>
      </c>
      <c r="U4706" s="525" t="str">
        <f>IF(AND(B4706&gt;='IN-NX'!$P$3,B4706&lt;='IN-NX'!$Q$3,'IN-NX'!$D$7=D4706,OR(LEFT(L4706,2)="15",AND(LEFT(M4706,2)&lt;&gt;"15",LEFT(M4706,2)&lt;&gt;"33"))),"x","")</f>
        <v/>
      </c>
      <c r="V4706" s="525" t="str">
        <f>IF(AND(OR(LEFT(TH!L4706,2)="15",LEFT(TH!M4706,2)="15"),'152-CT'!$J$8=TH!F4706),"x","")</f>
        <v/>
      </c>
      <c r="W4706" s="525" t="str">
        <f>IF(AND(OR(LEFT(TH!L4706,2)="15",LEFT(TH!M4706,2)="15"),TK!$E$7=TH!F4706),"x","")</f>
        <v/>
      </c>
      <c r="X4706" s="525" t="str">
        <f>IF(AND('341-CT'!$E$9=H4706,OR(LEFT(L4706,3)=$X$7,LEFT(M4706,3)=$X$7)),"x","")</f>
        <v/>
      </c>
      <c r="Y4706" s="525" t="str">
        <f>IF(OR(TH!L4706=TH!$Y$7,M4706=TH!$Y$7),"x","")</f>
        <v/>
      </c>
      <c r="Z4706" s="525" t="str">
        <f>IF(AND(B4706&lt;=NKC!$N$8,B4706&gt;=NKC!$M$8),"x","")</f>
        <v/>
      </c>
      <c r="AA4706" s="535"/>
      <c r="AB4706" s="536"/>
      <c r="AD4706" s="536"/>
    </row>
    <row r="4707" spans="1:30" s="503" customFormat="1" ht="15.75" customHeight="1">
      <c r="A4707" s="517" t="str">
        <f>IF(B4707&lt;&gt;"",IF(AND(B4707&gt;=_TM1,B4707&lt;=_TM2,OR(TH!L4707="1111",TH!M4707="1111")),TH!D4707,""),"")</f>
        <v/>
      </c>
      <c r="B4707" s="531" t="str">
        <f t="shared" si="566"/>
        <v/>
      </c>
      <c r="C4707" s="315"/>
      <c r="D4707" s="315"/>
      <c r="E4707" s="545"/>
      <c r="F4707" s="248"/>
      <c r="G4707" s="314"/>
      <c r="H4707" s="473"/>
      <c r="I4707" s="307"/>
      <c r="J4707" s="307"/>
      <c r="K4707" s="532"/>
      <c r="L4707" s="533"/>
      <c r="M4707" s="533"/>
      <c r="N4707" s="525" t="str">
        <f>IF(AND('331-CT'!$E$7=TH!H4707,OR(L4707="331",M4707="331")),"331",IF(AND(OR(L4707="131",M4707="131"),H4707='131-CT'!$E$7),"131",""))</f>
        <v/>
      </c>
      <c r="O4707" s="525" t="str">
        <f>IF(AND($B4707&gt;='111'!$N$11,$B4707&lt;='111'!$O$11,OR($L4707=$O$7,$M4707=$O$7)),"x","")</f>
        <v/>
      </c>
      <c r="P4707" s="525" t="str">
        <f>IF(AND($L4707=$O$7,$B4707&lt;'111'!$N$11),"x","")</f>
        <v/>
      </c>
      <c r="Q4707" s="525" t="str">
        <f>IF(AND($M4707=$O$7,$B4707&lt;'111'!$N$11),"x","")</f>
        <v/>
      </c>
      <c r="R4707" s="525" t="str">
        <f>IF(ISERROR(FIND('112'!$M$9,G4707,1)),"",IF((AND(FIND('112'!$M$9,G4707,1)&gt;=1,$B4707&gt;='112'!$N$8,$B4707&lt;='112'!$O$8,OR($L4707='112'!$I$6,$M4707='112'!$I$6))),"x",""))</f>
        <v/>
      </c>
      <c r="S4707" s="525" t="str">
        <f>IF(ISERROR(FIND('112'!$M$9,G4707,1)),"",IF((AND(LEFT(G4707,2)=LEFT('112'!$M$9,2),B4707&lt;'112'!$N$8,$L4707='112'!$I$6)),"x",""))</f>
        <v/>
      </c>
      <c r="T4707" s="525" t="str">
        <f>IF(ISERROR(FIND('112'!$M$9,G4707,1)),"",IF((AND(RIGHT(G4707,2)=RIGHT('112'!$M$9,2),B4707&lt;'112'!$N$8,$M4707='112'!$I$6)),"x",""))</f>
        <v/>
      </c>
      <c r="U4707" s="525" t="str">
        <f>IF(AND(B4707&gt;='IN-NX'!$P$3,B4707&lt;='IN-NX'!$Q$3,'IN-NX'!$D$7=D4707,OR(LEFT(L4707,2)="15",AND(LEFT(M4707,2)&lt;&gt;"15",LEFT(M4707,2)&lt;&gt;"33"))),"x","")</f>
        <v/>
      </c>
      <c r="V4707" s="525" t="str">
        <f>IF(AND(OR(LEFT(TH!L4707,2)="15",LEFT(TH!M4707,2)="15"),'152-CT'!$J$8=TH!F4707),"x","")</f>
        <v/>
      </c>
      <c r="W4707" s="525" t="str">
        <f>IF(AND(OR(LEFT(TH!L4707,2)="15",LEFT(TH!M4707,2)="15"),TK!$E$7=TH!F4707),"x","")</f>
        <v/>
      </c>
      <c r="X4707" s="525" t="str">
        <f>IF(AND('341-CT'!$E$9=H4707,OR(LEFT(L4707,3)=$X$7,LEFT(M4707,3)=$X$7)),"x","")</f>
        <v/>
      </c>
      <c r="Y4707" s="525" t="str">
        <f>IF(OR(TH!L4707=TH!$Y$7,M4707=TH!$Y$7),"x","")</f>
        <v/>
      </c>
      <c r="Z4707" s="525" t="str">
        <f>IF(AND(B4707&lt;=NKC!$N$8,B4707&gt;=NKC!$M$8),"x","")</f>
        <v/>
      </c>
      <c r="AA4707" s="535"/>
      <c r="AB4707" s="536"/>
    </row>
    <row r="4708" spans="1:30" s="503" customFormat="1" ht="15.75" customHeight="1">
      <c r="A4708" s="517" t="str">
        <f>IF(B4708&lt;&gt;"",IF(AND(B4708&gt;=_TM1,B4708&lt;=_TM2,OR(TH!L4708="1111",TH!M4708="1111")),TH!D4708,""),"")</f>
        <v/>
      </c>
      <c r="B4708" s="531" t="str">
        <f t="shared" si="566"/>
        <v/>
      </c>
      <c r="C4708" s="315"/>
      <c r="D4708" s="315"/>
      <c r="E4708" s="545"/>
      <c r="F4708" s="248"/>
      <c r="G4708" s="314"/>
      <c r="H4708" s="473"/>
      <c r="I4708" s="307"/>
      <c r="J4708" s="307"/>
      <c r="K4708" s="532"/>
      <c r="L4708" s="533"/>
      <c r="M4708" s="533"/>
      <c r="N4708" s="525" t="str">
        <f>IF(AND('331-CT'!$E$7=TH!H4708,OR(L4708="331",M4708="331")),"331",IF(AND(OR(L4708="131",M4708="131"),H4708='131-CT'!$E$7),"131",""))</f>
        <v/>
      </c>
      <c r="O4708" s="525" t="str">
        <f>IF(AND($B4708&gt;='111'!$N$11,$B4708&lt;='111'!$O$11,OR($L4708=$O$7,$M4708=$O$7)),"x","")</f>
        <v/>
      </c>
      <c r="P4708" s="525" t="str">
        <f>IF(AND($L4708=$O$7,$B4708&lt;'111'!$N$11),"x","")</f>
        <v/>
      </c>
      <c r="Q4708" s="525" t="str">
        <f>IF(AND($M4708=$O$7,$B4708&lt;'111'!$N$11),"x","")</f>
        <v/>
      </c>
      <c r="R4708" s="525" t="str">
        <f>IF(ISERROR(FIND('112'!$M$9,G4708,1)),"",IF((AND(FIND('112'!$M$9,G4708,1)&gt;=1,$B4708&gt;='112'!$N$8,$B4708&lt;='112'!$O$8,OR($L4708='112'!$I$6,$M4708='112'!$I$6))),"x",""))</f>
        <v/>
      </c>
      <c r="S4708" s="525" t="str">
        <f>IF(ISERROR(FIND('112'!$M$9,G4708,1)),"",IF((AND(LEFT(G4708,2)=LEFT('112'!$M$9,2),B4708&lt;'112'!$N$8,$L4708='112'!$I$6)),"x",""))</f>
        <v/>
      </c>
      <c r="T4708" s="525" t="str">
        <f>IF(ISERROR(FIND('112'!$M$9,G4708,1)),"",IF((AND(RIGHT(G4708,2)=RIGHT('112'!$M$9,2),B4708&lt;'112'!$N$8,$M4708='112'!$I$6)),"x",""))</f>
        <v/>
      </c>
      <c r="U4708" s="525" t="str">
        <f>IF(AND(B4708&gt;='IN-NX'!$P$3,B4708&lt;='IN-NX'!$Q$3,'IN-NX'!$D$7=D4708,OR(LEFT(L4708,2)="15",AND(LEFT(M4708,2)&lt;&gt;"15",LEFT(M4708,2)&lt;&gt;"33"))),"x","")</f>
        <v/>
      </c>
      <c r="V4708" s="525" t="str">
        <f>IF(AND(OR(LEFT(TH!L4708,2)="15",LEFT(TH!M4708,2)="15"),'152-CT'!$J$8=TH!F4708),"x","")</f>
        <v/>
      </c>
      <c r="W4708" s="525" t="str">
        <f>IF(AND(OR(LEFT(TH!L4708,2)="15",LEFT(TH!M4708,2)="15"),TK!$E$7=TH!F4708),"x","")</f>
        <v/>
      </c>
      <c r="X4708" s="525" t="str">
        <f>IF(AND('341-CT'!$E$9=H4708,OR(LEFT(L4708,3)=$X$7,LEFT(M4708,3)=$X$7)),"x","")</f>
        <v/>
      </c>
      <c r="Y4708" s="525" t="str">
        <f>IF(OR(TH!L4708=TH!$Y$7,M4708=TH!$Y$7),"x","")</f>
        <v/>
      </c>
      <c r="Z4708" s="525" t="str">
        <f>IF(AND(B4708&lt;=NKC!$N$8,B4708&gt;=NKC!$M$8),"x","")</f>
        <v/>
      </c>
      <c r="AA4708" s="535"/>
      <c r="AB4708" s="536"/>
    </row>
    <row r="4709" spans="1:30" s="503" customFormat="1" ht="15.75" customHeight="1">
      <c r="A4709" s="517" t="str">
        <f>IF(B4709&lt;&gt;"",IF(AND(B4709&gt;=_TM1,B4709&lt;=_TM2,OR(TH!L4709="1111",TH!M4709="1111")),TH!D4709,""),"")</f>
        <v/>
      </c>
      <c r="B4709" s="531" t="str">
        <f t="shared" si="566"/>
        <v/>
      </c>
      <c r="C4709" s="315"/>
      <c r="D4709" s="315"/>
      <c r="E4709" s="545"/>
      <c r="F4709" s="248"/>
      <c r="G4709" s="314"/>
      <c r="H4709" s="473"/>
      <c r="I4709" s="307"/>
      <c r="J4709" s="307"/>
      <c r="K4709" s="532"/>
      <c r="L4709" s="533"/>
      <c r="M4709" s="533"/>
      <c r="N4709" s="525" t="str">
        <f>IF(AND('331-CT'!$E$7=TH!H4709,OR(L4709="331",M4709="331")),"331",IF(AND(OR(L4709="131",M4709="131"),H4709='131-CT'!$E$7),"131",""))</f>
        <v/>
      </c>
      <c r="O4709" s="525" t="str">
        <f>IF(AND($B4709&gt;='111'!$N$11,$B4709&lt;='111'!$O$11,OR($L4709=$O$7,$M4709=$O$7)),"x","")</f>
        <v/>
      </c>
      <c r="P4709" s="525" t="str">
        <f>IF(AND($L4709=$O$7,$B4709&lt;'111'!$N$11),"x","")</f>
        <v/>
      </c>
      <c r="Q4709" s="525" t="str">
        <f>IF(AND($M4709=$O$7,$B4709&lt;'111'!$N$11),"x","")</f>
        <v/>
      </c>
      <c r="R4709" s="525" t="str">
        <f>IF(ISERROR(FIND('112'!$M$9,G4709,1)),"",IF((AND(FIND('112'!$M$9,G4709,1)&gt;=1,$B4709&gt;='112'!$N$8,$B4709&lt;='112'!$O$8,OR($L4709='112'!$I$6,$M4709='112'!$I$6))),"x",""))</f>
        <v/>
      </c>
      <c r="S4709" s="525" t="str">
        <f>IF(ISERROR(FIND('112'!$M$9,G4709,1)),"",IF((AND(LEFT(G4709,2)=LEFT('112'!$M$9,2),B4709&lt;'112'!$N$8,$L4709='112'!$I$6)),"x",""))</f>
        <v/>
      </c>
      <c r="T4709" s="525" t="str">
        <f>IF(ISERROR(FIND('112'!$M$9,G4709,1)),"",IF((AND(RIGHT(G4709,2)=RIGHT('112'!$M$9,2),B4709&lt;'112'!$N$8,$M4709='112'!$I$6)),"x",""))</f>
        <v/>
      </c>
      <c r="U4709" s="525" t="str">
        <f>IF(AND(B4709&gt;='IN-NX'!$P$3,B4709&lt;='IN-NX'!$Q$3,'IN-NX'!$D$7=D4709,OR(LEFT(L4709,2)="15",AND(LEFT(M4709,2)&lt;&gt;"15",LEFT(M4709,2)&lt;&gt;"33"))),"x","")</f>
        <v/>
      </c>
      <c r="V4709" s="525" t="str">
        <f>IF(AND(OR(LEFT(TH!L4709,2)="15",LEFT(TH!M4709,2)="15"),'152-CT'!$J$8=TH!F4709),"x","")</f>
        <v/>
      </c>
      <c r="W4709" s="525" t="str">
        <f>IF(AND(OR(LEFT(TH!L4709,2)="15",LEFT(TH!M4709,2)="15"),TK!$E$7=TH!F4709),"x","")</f>
        <v/>
      </c>
      <c r="X4709" s="525" t="str">
        <f>IF(AND('341-CT'!$E$9=H4709,OR(LEFT(L4709,3)=$X$7,LEFT(M4709,3)=$X$7)),"x","")</f>
        <v/>
      </c>
      <c r="Y4709" s="525" t="str">
        <f>IF(OR(TH!L4709=TH!$Y$7,M4709=TH!$Y$7),"x","")</f>
        <v/>
      </c>
      <c r="Z4709" s="525" t="str">
        <f>IF(AND(B4709&lt;=NKC!$N$8,B4709&gt;=NKC!$M$8),"x","")</f>
        <v/>
      </c>
      <c r="AA4709" s="535"/>
      <c r="AB4709" s="536"/>
      <c r="AD4709" s="536"/>
    </row>
    <row r="4710" spans="1:30" s="503" customFormat="1" ht="15.75" customHeight="1">
      <c r="A4710" s="517" t="str">
        <f>IF(B4710&lt;&gt;"",IF(AND(B4710&gt;=_TM1,B4710&lt;=_TM2,OR(TH!L4710="1111",TH!M4710="1111")),TH!D4710,""),"")</f>
        <v/>
      </c>
      <c r="B4710" s="531" t="str">
        <f t="shared" si="566"/>
        <v/>
      </c>
      <c r="C4710" s="315"/>
      <c r="D4710" s="315"/>
      <c r="E4710" s="545"/>
      <c r="F4710" s="248"/>
      <c r="G4710" s="314"/>
      <c r="H4710" s="473"/>
      <c r="I4710" s="307"/>
      <c r="J4710" s="307"/>
      <c r="K4710" s="532"/>
      <c r="L4710" s="533"/>
      <c r="M4710" s="533"/>
      <c r="N4710" s="525" t="str">
        <f>IF(AND('331-CT'!$E$7=TH!H4710,OR(L4710="331",M4710="331")),"331",IF(AND(OR(L4710="131",M4710="131"),H4710='131-CT'!$E$7),"131",""))</f>
        <v/>
      </c>
      <c r="O4710" s="525" t="str">
        <f>IF(AND($B4710&gt;='111'!$N$11,$B4710&lt;='111'!$O$11,OR($L4710=$O$7,$M4710=$O$7)),"x","")</f>
        <v/>
      </c>
      <c r="P4710" s="525" t="str">
        <f>IF(AND($L4710=$O$7,$B4710&lt;'111'!$N$11),"x","")</f>
        <v/>
      </c>
      <c r="Q4710" s="525" t="str">
        <f>IF(AND($M4710=$O$7,$B4710&lt;'111'!$N$11),"x","")</f>
        <v/>
      </c>
      <c r="R4710" s="525" t="str">
        <f>IF(ISERROR(FIND('112'!$M$9,G4710,1)),"",IF((AND(FIND('112'!$M$9,G4710,1)&gt;=1,$B4710&gt;='112'!$N$8,$B4710&lt;='112'!$O$8,OR($L4710='112'!$I$6,$M4710='112'!$I$6))),"x",""))</f>
        <v/>
      </c>
      <c r="S4710" s="525" t="str">
        <f>IF(ISERROR(FIND('112'!$M$9,G4710,1)),"",IF((AND(LEFT(G4710,2)=LEFT('112'!$M$9,2),B4710&lt;'112'!$N$8,$L4710='112'!$I$6)),"x",""))</f>
        <v/>
      </c>
      <c r="T4710" s="525" t="str">
        <f>IF(ISERROR(FIND('112'!$M$9,G4710,1)),"",IF((AND(RIGHT(G4710,2)=RIGHT('112'!$M$9,2),B4710&lt;'112'!$N$8,$M4710='112'!$I$6)),"x",""))</f>
        <v/>
      </c>
      <c r="U4710" s="525" t="str">
        <f>IF(AND(B4710&gt;='IN-NX'!$P$3,B4710&lt;='IN-NX'!$Q$3,'IN-NX'!$D$7=D4710,OR(LEFT(L4710,2)="15",AND(LEFT(M4710,2)&lt;&gt;"15",LEFT(M4710,2)&lt;&gt;"33"))),"x","")</f>
        <v/>
      </c>
      <c r="V4710" s="525" t="str">
        <f>IF(AND(OR(LEFT(TH!L4710,2)="15",LEFT(TH!M4710,2)="15"),'152-CT'!$J$8=TH!F4710),"x","")</f>
        <v/>
      </c>
      <c r="W4710" s="525" t="str">
        <f>IF(AND(OR(LEFT(TH!L4710,2)="15",LEFT(TH!M4710,2)="15"),TK!$E$7=TH!F4710),"x","")</f>
        <v/>
      </c>
      <c r="X4710" s="525" t="str">
        <f>IF(AND('341-CT'!$E$9=H4710,OR(LEFT(L4710,3)=$X$7,LEFT(M4710,3)=$X$7)),"x","")</f>
        <v/>
      </c>
      <c r="Y4710" s="525" t="str">
        <f>IF(OR(TH!L4710=TH!$Y$7,M4710=TH!$Y$7),"x","")</f>
        <v/>
      </c>
      <c r="Z4710" s="525" t="str">
        <f>IF(AND(B4710&lt;=NKC!$N$8,B4710&gt;=NKC!$M$8),"x","")</f>
        <v/>
      </c>
      <c r="AA4710" s="535"/>
      <c r="AB4710" s="536"/>
    </row>
    <row r="4711" spans="1:30" s="503" customFormat="1" ht="15.75" customHeight="1">
      <c r="A4711" s="517" t="str">
        <f>IF(B4711&lt;&gt;"",IF(AND(B4711&gt;=_TM1,B4711&lt;=_TM2,OR(TH!L4711="1111",TH!M4711="1111")),TH!D4711,""),"")</f>
        <v/>
      </c>
      <c r="B4711" s="531" t="str">
        <f t="shared" si="566"/>
        <v/>
      </c>
      <c r="C4711" s="315"/>
      <c r="D4711" s="315"/>
      <c r="E4711" s="545"/>
      <c r="F4711" s="248"/>
      <c r="G4711" s="314"/>
      <c r="H4711" s="473"/>
      <c r="I4711" s="307"/>
      <c r="J4711" s="307"/>
      <c r="K4711" s="532"/>
      <c r="L4711" s="533"/>
      <c r="M4711" s="533"/>
      <c r="N4711" s="525" t="str">
        <f>IF(AND('331-CT'!$E$7=TH!H4711,OR(L4711="331",M4711="331")),"331",IF(AND(OR(L4711="131",M4711="131"),H4711='131-CT'!$E$7),"131",""))</f>
        <v/>
      </c>
      <c r="O4711" s="525" t="str">
        <f>IF(AND($B4711&gt;='111'!$N$11,$B4711&lt;='111'!$O$11,OR($L4711=$O$7,$M4711=$O$7)),"x","")</f>
        <v/>
      </c>
      <c r="P4711" s="525" t="str">
        <f>IF(AND($L4711=$O$7,$B4711&lt;'111'!$N$11),"x","")</f>
        <v/>
      </c>
      <c r="Q4711" s="525" t="str">
        <f>IF(AND($M4711=$O$7,$B4711&lt;'111'!$N$11),"x","")</f>
        <v/>
      </c>
      <c r="R4711" s="525" t="str">
        <f>IF(ISERROR(FIND('112'!$M$9,G4711,1)),"",IF((AND(FIND('112'!$M$9,G4711,1)&gt;=1,$B4711&gt;='112'!$N$8,$B4711&lt;='112'!$O$8,OR($L4711='112'!$I$6,$M4711='112'!$I$6))),"x",""))</f>
        <v/>
      </c>
      <c r="S4711" s="525" t="str">
        <f>IF(ISERROR(FIND('112'!$M$9,G4711,1)),"",IF((AND(LEFT(G4711,2)=LEFT('112'!$M$9,2),B4711&lt;'112'!$N$8,$L4711='112'!$I$6)),"x",""))</f>
        <v/>
      </c>
      <c r="T4711" s="525" t="str">
        <f>IF(ISERROR(FIND('112'!$M$9,G4711,1)),"",IF((AND(RIGHT(G4711,2)=RIGHT('112'!$M$9,2),B4711&lt;'112'!$N$8,$M4711='112'!$I$6)),"x",""))</f>
        <v/>
      </c>
      <c r="U4711" s="525" t="str">
        <f>IF(AND(B4711&gt;='IN-NX'!$P$3,B4711&lt;='IN-NX'!$Q$3,'IN-NX'!$D$7=D4711,OR(LEFT(L4711,2)="15",AND(LEFT(M4711,2)&lt;&gt;"15",LEFT(M4711,2)&lt;&gt;"33"))),"x","")</f>
        <v/>
      </c>
      <c r="V4711" s="525" t="str">
        <f>IF(AND(OR(LEFT(TH!L4711,2)="15",LEFT(TH!M4711,2)="15"),'152-CT'!$J$8=TH!F4711),"x","")</f>
        <v/>
      </c>
      <c r="W4711" s="525" t="str">
        <f>IF(AND(OR(LEFT(TH!L4711,2)="15",LEFT(TH!M4711,2)="15"),TK!$E$7=TH!F4711),"x","")</f>
        <v/>
      </c>
      <c r="X4711" s="525" t="str">
        <f>IF(AND('341-CT'!$E$9=H4711,OR(LEFT(L4711,3)=$X$7,LEFT(M4711,3)=$X$7)),"x","")</f>
        <v/>
      </c>
      <c r="Y4711" s="525" t="str">
        <f>IF(OR(TH!L4711=TH!$Y$7,M4711=TH!$Y$7),"x","")</f>
        <v/>
      </c>
      <c r="Z4711" s="525" t="str">
        <f>IF(AND(B4711&lt;=NKC!$N$8,B4711&gt;=NKC!$M$8),"x","")</f>
        <v/>
      </c>
      <c r="AA4711" s="535"/>
      <c r="AB4711" s="536"/>
    </row>
    <row r="4712" spans="1:30" s="503" customFormat="1" ht="15.75" customHeight="1">
      <c r="A4712" s="517" t="str">
        <f>IF(B4712&lt;&gt;"",IF(AND(B4712&gt;=_TM1,B4712&lt;=_TM2,OR(TH!L4712="1111",TH!M4712="1111")),TH!D4712,""),"")</f>
        <v/>
      </c>
      <c r="B4712" s="531" t="str">
        <f t="shared" si="566"/>
        <v/>
      </c>
      <c r="C4712" s="315"/>
      <c r="D4712" s="315"/>
      <c r="E4712" s="545"/>
      <c r="F4712" s="248"/>
      <c r="G4712" s="314"/>
      <c r="H4712" s="473"/>
      <c r="I4712" s="307"/>
      <c r="J4712" s="307"/>
      <c r="K4712" s="532"/>
      <c r="L4712" s="533"/>
      <c r="M4712" s="533"/>
      <c r="N4712" s="525" t="str">
        <f>IF(AND('331-CT'!$E$7=TH!H4712,OR(L4712="331",M4712="331")),"331",IF(AND(OR(L4712="131",M4712="131"),H4712='131-CT'!$E$7),"131",""))</f>
        <v/>
      </c>
      <c r="O4712" s="525" t="str">
        <f>IF(AND($B4712&gt;='111'!$N$11,$B4712&lt;='111'!$O$11,OR($L4712=$O$7,$M4712=$O$7)),"x","")</f>
        <v/>
      </c>
      <c r="P4712" s="525" t="str">
        <f>IF(AND($L4712=$O$7,$B4712&lt;'111'!$N$11),"x","")</f>
        <v/>
      </c>
      <c r="Q4712" s="525" t="str">
        <f>IF(AND($M4712=$O$7,$B4712&lt;'111'!$N$11),"x","")</f>
        <v/>
      </c>
      <c r="R4712" s="525" t="str">
        <f>IF(ISERROR(FIND('112'!$M$9,G4712,1)),"",IF((AND(FIND('112'!$M$9,G4712,1)&gt;=1,$B4712&gt;='112'!$N$8,$B4712&lt;='112'!$O$8,OR($L4712='112'!$I$6,$M4712='112'!$I$6))),"x",""))</f>
        <v/>
      </c>
      <c r="S4712" s="525" t="str">
        <f>IF(ISERROR(FIND('112'!$M$9,G4712,1)),"",IF((AND(LEFT(G4712,2)=LEFT('112'!$M$9,2),B4712&lt;'112'!$N$8,$L4712='112'!$I$6)),"x",""))</f>
        <v/>
      </c>
      <c r="T4712" s="525" t="str">
        <f>IF(ISERROR(FIND('112'!$M$9,G4712,1)),"",IF((AND(RIGHT(G4712,2)=RIGHT('112'!$M$9,2),B4712&lt;'112'!$N$8,$M4712='112'!$I$6)),"x",""))</f>
        <v/>
      </c>
      <c r="U4712" s="525" t="str">
        <f>IF(AND(B4712&gt;='IN-NX'!$P$3,B4712&lt;='IN-NX'!$Q$3,'IN-NX'!$D$7=D4712,OR(LEFT(L4712,2)="15",AND(LEFT(M4712,2)&lt;&gt;"15",LEFT(M4712,2)&lt;&gt;"33"))),"x","")</f>
        <v/>
      </c>
      <c r="V4712" s="525" t="str">
        <f>IF(AND(OR(LEFT(TH!L4712,2)="15",LEFT(TH!M4712,2)="15"),'152-CT'!$J$8=TH!F4712),"x","")</f>
        <v/>
      </c>
      <c r="W4712" s="525" t="str">
        <f>IF(AND(OR(LEFT(TH!L4712,2)="15",LEFT(TH!M4712,2)="15"),TK!$E$7=TH!F4712),"x","")</f>
        <v/>
      </c>
      <c r="X4712" s="525" t="str">
        <f>IF(AND('341-CT'!$E$9=H4712,OR(LEFT(L4712,3)=$X$7,LEFT(M4712,3)=$X$7)),"x","")</f>
        <v/>
      </c>
      <c r="Y4712" s="525" t="str">
        <f>IF(OR(TH!L4712=TH!$Y$7,M4712=TH!$Y$7),"x","")</f>
        <v/>
      </c>
      <c r="Z4712" s="525" t="str">
        <f>IF(AND(B4712&lt;=NKC!$N$8,B4712&gt;=NKC!$M$8),"x","")</f>
        <v/>
      </c>
      <c r="AA4712" s="535"/>
      <c r="AB4712" s="536"/>
      <c r="AD4712" s="536"/>
    </row>
    <row r="4713" spans="1:30" s="503" customFormat="1" ht="15.75" customHeight="1">
      <c r="A4713" s="517" t="str">
        <f>IF(B4713&lt;&gt;"",IF(AND(B4713&gt;=_TM1,B4713&lt;=_TM2,OR(TH!L4713="1111",TH!M4713="1111")),TH!D4713,""),"")</f>
        <v/>
      </c>
      <c r="B4713" s="531" t="str">
        <f t="shared" si="566"/>
        <v/>
      </c>
      <c r="C4713" s="315"/>
      <c r="D4713" s="315"/>
      <c r="E4713" s="545"/>
      <c r="F4713" s="248"/>
      <c r="G4713" s="314"/>
      <c r="H4713" s="473"/>
      <c r="I4713" s="307"/>
      <c r="J4713" s="307"/>
      <c r="K4713" s="532"/>
      <c r="L4713" s="533"/>
      <c r="M4713" s="533"/>
      <c r="N4713" s="525" t="str">
        <f>IF(AND('331-CT'!$E$7=TH!H4713,OR(L4713="331",M4713="331")),"331",IF(AND(OR(L4713="131",M4713="131"),H4713='131-CT'!$E$7),"131",""))</f>
        <v/>
      </c>
      <c r="O4713" s="525" t="str">
        <f>IF(AND($B4713&gt;='111'!$N$11,$B4713&lt;='111'!$O$11,OR($L4713=$O$7,$M4713=$O$7)),"x","")</f>
        <v/>
      </c>
      <c r="P4713" s="525" t="str">
        <f>IF(AND($L4713=$O$7,$B4713&lt;'111'!$N$11),"x","")</f>
        <v/>
      </c>
      <c r="Q4713" s="525" t="str">
        <f>IF(AND($M4713=$O$7,$B4713&lt;'111'!$N$11),"x","")</f>
        <v/>
      </c>
      <c r="R4713" s="525" t="str">
        <f>IF(ISERROR(FIND('112'!$M$9,G4713,1)),"",IF((AND(FIND('112'!$M$9,G4713,1)&gt;=1,$B4713&gt;='112'!$N$8,$B4713&lt;='112'!$O$8,OR($L4713='112'!$I$6,$M4713='112'!$I$6))),"x",""))</f>
        <v/>
      </c>
      <c r="S4713" s="525" t="str">
        <f>IF(ISERROR(FIND('112'!$M$9,G4713,1)),"",IF((AND(LEFT(G4713,2)=LEFT('112'!$M$9,2),B4713&lt;'112'!$N$8,$L4713='112'!$I$6)),"x",""))</f>
        <v/>
      </c>
      <c r="T4713" s="525" t="str">
        <f>IF(ISERROR(FIND('112'!$M$9,G4713,1)),"",IF((AND(RIGHT(G4713,2)=RIGHT('112'!$M$9,2),B4713&lt;'112'!$N$8,$M4713='112'!$I$6)),"x",""))</f>
        <v/>
      </c>
      <c r="U4713" s="525" t="str">
        <f>IF(AND(B4713&gt;='IN-NX'!$P$3,B4713&lt;='IN-NX'!$Q$3,'IN-NX'!$D$7=D4713,OR(LEFT(L4713,2)="15",AND(LEFT(M4713,2)&lt;&gt;"15",LEFT(M4713,2)&lt;&gt;"33"))),"x","")</f>
        <v/>
      </c>
      <c r="V4713" s="525" t="str">
        <f>IF(AND(OR(LEFT(TH!L4713,2)="15",LEFT(TH!M4713,2)="15"),'152-CT'!$J$8=TH!F4713),"x","")</f>
        <v/>
      </c>
      <c r="W4713" s="525" t="str">
        <f>IF(AND(OR(LEFT(TH!L4713,2)="15",LEFT(TH!M4713,2)="15"),TK!$E$7=TH!F4713),"x","")</f>
        <v/>
      </c>
      <c r="X4713" s="525" t="str">
        <f>IF(AND('341-CT'!$E$9=H4713,OR(LEFT(L4713,3)=$X$7,LEFT(M4713,3)=$X$7)),"x","")</f>
        <v/>
      </c>
      <c r="Y4713" s="525" t="str">
        <f>IF(OR(TH!L4713=TH!$Y$7,M4713=TH!$Y$7),"x","")</f>
        <v/>
      </c>
      <c r="Z4713" s="525" t="str">
        <f>IF(AND(B4713&lt;=NKC!$N$8,B4713&gt;=NKC!$M$8),"x","")</f>
        <v/>
      </c>
      <c r="AA4713" s="535"/>
      <c r="AB4713" s="536"/>
    </row>
    <row r="4714" spans="1:30" s="503" customFormat="1" ht="15.75" customHeight="1">
      <c r="A4714" s="517" t="str">
        <f>IF(B4714&lt;&gt;"",IF(AND(B4714&gt;=_TM1,B4714&lt;=_TM2,OR(TH!L4714="1111",TH!M4714="1111")),TH!D4714,""),"")</f>
        <v/>
      </c>
      <c r="B4714" s="531" t="str">
        <f t="shared" si="566"/>
        <v/>
      </c>
      <c r="C4714" s="315"/>
      <c r="D4714" s="315"/>
      <c r="E4714" s="545"/>
      <c r="F4714" s="248"/>
      <c r="G4714" s="314"/>
      <c r="H4714" s="473"/>
      <c r="I4714" s="307"/>
      <c r="J4714" s="307"/>
      <c r="K4714" s="532"/>
      <c r="L4714" s="533"/>
      <c r="M4714" s="533"/>
      <c r="N4714" s="525" t="str">
        <f>IF(AND('331-CT'!$E$7=TH!H4714,OR(L4714="331",M4714="331")),"331",IF(AND(OR(L4714="131",M4714="131"),H4714='131-CT'!$E$7),"131",""))</f>
        <v/>
      </c>
      <c r="O4714" s="525" t="str">
        <f>IF(AND($B4714&gt;='111'!$N$11,$B4714&lt;='111'!$O$11,OR($L4714=$O$7,$M4714=$O$7)),"x","")</f>
        <v/>
      </c>
      <c r="P4714" s="525" t="str">
        <f>IF(AND($L4714=$O$7,$B4714&lt;'111'!$N$11),"x","")</f>
        <v/>
      </c>
      <c r="Q4714" s="525" t="str">
        <f>IF(AND($M4714=$O$7,$B4714&lt;'111'!$N$11),"x","")</f>
        <v/>
      </c>
      <c r="R4714" s="525" t="str">
        <f>IF(ISERROR(FIND('112'!$M$9,G4714,1)),"",IF((AND(FIND('112'!$M$9,G4714,1)&gt;=1,$B4714&gt;='112'!$N$8,$B4714&lt;='112'!$O$8,OR($L4714='112'!$I$6,$M4714='112'!$I$6))),"x",""))</f>
        <v/>
      </c>
      <c r="S4714" s="525" t="str">
        <f>IF(ISERROR(FIND('112'!$M$9,G4714,1)),"",IF((AND(LEFT(G4714,2)=LEFT('112'!$M$9,2),B4714&lt;'112'!$N$8,$L4714='112'!$I$6)),"x",""))</f>
        <v/>
      </c>
      <c r="T4714" s="525" t="str">
        <f>IF(ISERROR(FIND('112'!$M$9,G4714,1)),"",IF((AND(RIGHT(G4714,2)=RIGHT('112'!$M$9,2),B4714&lt;'112'!$N$8,$M4714='112'!$I$6)),"x",""))</f>
        <v/>
      </c>
      <c r="U4714" s="525" t="str">
        <f>IF(AND(B4714&gt;='IN-NX'!$P$3,B4714&lt;='IN-NX'!$Q$3,'IN-NX'!$D$7=D4714,OR(LEFT(L4714,2)="15",AND(LEFT(M4714,2)&lt;&gt;"15",LEFT(M4714,2)&lt;&gt;"33"))),"x","")</f>
        <v/>
      </c>
      <c r="V4714" s="525" t="str">
        <f>IF(AND(OR(LEFT(TH!L4714,2)="15",LEFT(TH!M4714,2)="15"),'152-CT'!$J$8=TH!F4714),"x","")</f>
        <v/>
      </c>
      <c r="W4714" s="525" t="str">
        <f>IF(AND(OR(LEFT(TH!L4714,2)="15",LEFT(TH!M4714,2)="15"),TK!$E$7=TH!F4714),"x","")</f>
        <v/>
      </c>
      <c r="X4714" s="525" t="str">
        <f>IF(AND('341-CT'!$E$9=H4714,OR(LEFT(L4714,3)=$X$7,LEFT(M4714,3)=$X$7)),"x","")</f>
        <v/>
      </c>
      <c r="Y4714" s="525" t="str">
        <f>IF(OR(TH!L4714=TH!$Y$7,M4714=TH!$Y$7),"x","")</f>
        <v/>
      </c>
      <c r="Z4714" s="525" t="str">
        <f>IF(AND(B4714&lt;=NKC!$N$8,B4714&gt;=NKC!$M$8),"x","")</f>
        <v/>
      </c>
      <c r="AA4714" s="535"/>
      <c r="AB4714" s="536"/>
    </row>
    <row r="4715" spans="1:30" s="503" customFormat="1" ht="15.75" customHeight="1">
      <c r="A4715" s="517" t="str">
        <f>IF(B4715&lt;&gt;"",IF(AND(B4715&gt;=_TM1,B4715&lt;=_TM2,OR(TH!L4715="1111",TH!M4715="1111")),TH!D4715,""),"")</f>
        <v/>
      </c>
      <c r="B4715" s="531" t="str">
        <f t="shared" si="566"/>
        <v/>
      </c>
      <c r="C4715" s="315"/>
      <c r="D4715" s="315"/>
      <c r="E4715" s="545"/>
      <c r="F4715" s="248"/>
      <c r="G4715" s="314"/>
      <c r="H4715" s="473"/>
      <c r="I4715" s="307"/>
      <c r="J4715" s="307"/>
      <c r="K4715" s="532"/>
      <c r="L4715" s="533"/>
      <c r="M4715" s="533"/>
      <c r="N4715" s="525" t="str">
        <f>IF(AND('331-CT'!$E$7=TH!H4715,OR(L4715="331",M4715="331")),"331",IF(AND(OR(L4715="131",M4715="131"),H4715='131-CT'!$E$7),"131",""))</f>
        <v/>
      </c>
      <c r="O4715" s="525" t="str">
        <f>IF(AND($B4715&gt;='111'!$N$11,$B4715&lt;='111'!$O$11,OR($L4715=$O$7,$M4715=$O$7)),"x","")</f>
        <v/>
      </c>
      <c r="P4715" s="525" t="str">
        <f>IF(AND($L4715=$O$7,$B4715&lt;'111'!$N$11),"x","")</f>
        <v/>
      </c>
      <c r="Q4715" s="525" t="str">
        <f>IF(AND($M4715=$O$7,$B4715&lt;'111'!$N$11),"x","")</f>
        <v/>
      </c>
      <c r="R4715" s="525" t="str">
        <f>IF(ISERROR(FIND('112'!$M$9,G4715,1)),"",IF((AND(FIND('112'!$M$9,G4715,1)&gt;=1,$B4715&gt;='112'!$N$8,$B4715&lt;='112'!$O$8,OR($L4715='112'!$I$6,$M4715='112'!$I$6))),"x",""))</f>
        <v/>
      </c>
      <c r="S4715" s="525" t="str">
        <f>IF(ISERROR(FIND('112'!$M$9,G4715,1)),"",IF((AND(LEFT(G4715,2)=LEFT('112'!$M$9,2),B4715&lt;'112'!$N$8,$L4715='112'!$I$6)),"x",""))</f>
        <v/>
      </c>
      <c r="T4715" s="525" t="str">
        <f>IF(ISERROR(FIND('112'!$M$9,G4715,1)),"",IF((AND(RIGHT(G4715,2)=RIGHT('112'!$M$9,2),B4715&lt;'112'!$N$8,$M4715='112'!$I$6)),"x",""))</f>
        <v/>
      </c>
      <c r="U4715" s="525" t="str">
        <f>IF(AND(B4715&gt;='IN-NX'!$P$3,B4715&lt;='IN-NX'!$Q$3,'IN-NX'!$D$7=D4715,OR(LEFT(L4715,2)="15",AND(LEFT(M4715,2)&lt;&gt;"15",LEFT(M4715,2)&lt;&gt;"33"))),"x","")</f>
        <v/>
      </c>
      <c r="V4715" s="525" t="str">
        <f>IF(AND(OR(LEFT(TH!L4715,2)="15",LEFT(TH!M4715,2)="15"),'152-CT'!$J$8=TH!F4715),"x","")</f>
        <v/>
      </c>
      <c r="W4715" s="525" t="str">
        <f>IF(AND(OR(LEFT(TH!L4715,2)="15",LEFT(TH!M4715,2)="15"),TK!$E$7=TH!F4715),"x","")</f>
        <v/>
      </c>
      <c r="X4715" s="525" t="str">
        <f>IF(AND('341-CT'!$E$9=H4715,OR(LEFT(L4715,3)=$X$7,LEFT(M4715,3)=$X$7)),"x","")</f>
        <v/>
      </c>
      <c r="Y4715" s="525" t="str">
        <f>IF(OR(TH!L4715=TH!$Y$7,M4715=TH!$Y$7),"x","")</f>
        <v/>
      </c>
      <c r="Z4715" s="525" t="str">
        <f>IF(AND(B4715&lt;=NKC!$N$8,B4715&gt;=NKC!$M$8),"x","")</f>
        <v/>
      </c>
      <c r="AA4715" s="535"/>
      <c r="AB4715" s="536"/>
      <c r="AD4715" s="536"/>
    </row>
    <row r="4716" spans="1:30" s="503" customFormat="1" ht="15.75" customHeight="1">
      <c r="A4716" s="517" t="str">
        <f>IF(B4716&lt;&gt;"",IF(AND(B4716&gt;=_TM1,B4716&lt;=_TM2,OR(TH!L4716="1111",TH!M4716="1111")),TH!D4716,""),"")</f>
        <v/>
      </c>
      <c r="B4716" s="531" t="str">
        <f t="shared" si="566"/>
        <v/>
      </c>
      <c r="C4716" s="315"/>
      <c r="D4716" s="315"/>
      <c r="E4716" s="545"/>
      <c r="F4716" s="248"/>
      <c r="G4716" s="314"/>
      <c r="H4716" s="473"/>
      <c r="I4716" s="307"/>
      <c r="J4716" s="307"/>
      <c r="K4716" s="532"/>
      <c r="L4716" s="533"/>
      <c r="M4716" s="533"/>
      <c r="N4716" s="525" t="str">
        <f>IF(AND('331-CT'!$E$7=TH!H4716,OR(L4716="331",M4716="331")),"331",IF(AND(OR(L4716="131",M4716="131"),H4716='131-CT'!$E$7),"131",""))</f>
        <v/>
      </c>
      <c r="O4716" s="525" t="str">
        <f>IF(AND($B4716&gt;='111'!$N$11,$B4716&lt;='111'!$O$11,OR($L4716=$O$7,$M4716=$O$7)),"x","")</f>
        <v/>
      </c>
      <c r="P4716" s="525" t="str">
        <f>IF(AND($L4716=$O$7,$B4716&lt;'111'!$N$11),"x","")</f>
        <v/>
      </c>
      <c r="Q4716" s="525" t="str">
        <f>IF(AND($M4716=$O$7,$B4716&lt;'111'!$N$11),"x","")</f>
        <v/>
      </c>
      <c r="R4716" s="525" t="str">
        <f>IF(ISERROR(FIND('112'!$M$9,G4716,1)),"",IF((AND(FIND('112'!$M$9,G4716,1)&gt;=1,$B4716&gt;='112'!$N$8,$B4716&lt;='112'!$O$8,OR($L4716='112'!$I$6,$M4716='112'!$I$6))),"x",""))</f>
        <v/>
      </c>
      <c r="S4716" s="525" t="str">
        <f>IF(ISERROR(FIND('112'!$M$9,G4716,1)),"",IF((AND(LEFT(G4716,2)=LEFT('112'!$M$9,2),B4716&lt;'112'!$N$8,$L4716='112'!$I$6)),"x",""))</f>
        <v/>
      </c>
      <c r="T4716" s="525" t="str">
        <f>IF(ISERROR(FIND('112'!$M$9,G4716,1)),"",IF((AND(RIGHT(G4716,2)=RIGHT('112'!$M$9,2),B4716&lt;'112'!$N$8,$M4716='112'!$I$6)),"x",""))</f>
        <v/>
      </c>
      <c r="U4716" s="525" t="str">
        <f>IF(AND(B4716&gt;='IN-NX'!$P$3,B4716&lt;='IN-NX'!$Q$3,'IN-NX'!$D$7=D4716,OR(LEFT(L4716,2)="15",AND(LEFT(M4716,2)&lt;&gt;"15",LEFT(M4716,2)&lt;&gt;"33"))),"x","")</f>
        <v/>
      </c>
      <c r="V4716" s="525" t="str">
        <f>IF(AND(OR(LEFT(TH!L4716,2)="15",LEFT(TH!M4716,2)="15"),'152-CT'!$J$8=TH!F4716),"x","")</f>
        <v/>
      </c>
      <c r="W4716" s="525" t="str">
        <f>IF(AND(OR(LEFT(TH!L4716,2)="15",LEFT(TH!M4716,2)="15"),TK!$E$7=TH!F4716),"x","")</f>
        <v/>
      </c>
      <c r="X4716" s="525" t="str">
        <f>IF(AND('341-CT'!$E$9=H4716,OR(LEFT(L4716,3)=$X$7,LEFT(M4716,3)=$X$7)),"x","")</f>
        <v/>
      </c>
      <c r="Y4716" s="525" t="str">
        <f>IF(OR(TH!L4716=TH!$Y$7,M4716=TH!$Y$7),"x","")</f>
        <v/>
      </c>
      <c r="Z4716" s="525" t="str">
        <f>IF(AND(B4716&lt;=NKC!$N$8,B4716&gt;=NKC!$M$8),"x","")</f>
        <v/>
      </c>
      <c r="AA4716" s="535"/>
      <c r="AB4716" s="536"/>
    </row>
    <row r="4717" spans="1:30" s="503" customFormat="1" ht="15.75" customHeight="1">
      <c r="A4717" s="517" t="str">
        <f>IF(B4717&lt;&gt;"",IF(AND(B4717&gt;=_TM1,B4717&lt;=_TM2,OR(TH!L4717="1111",TH!M4717="1111")),TH!D4717,""),"")</f>
        <v/>
      </c>
      <c r="B4717" s="531" t="str">
        <f t="shared" si="566"/>
        <v/>
      </c>
      <c r="C4717" s="315"/>
      <c r="D4717" s="315"/>
      <c r="E4717" s="545"/>
      <c r="F4717" s="248"/>
      <c r="G4717" s="314"/>
      <c r="H4717" s="473"/>
      <c r="I4717" s="307"/>
      <c r="J4717" s="307"/>
      <c r="K4717" s="532"/>
      <c r="L4717" s="533"/>
      <c r="M4717" s="533"/>
      <c r="N4717" s="525" t="str">
        <f>IF(AND('331-CT'!$E$7=TH!H4717,OR(L4717="331",M4717="331")),"331",IF(AND(OR(L4717="131",M4717="131"),H4717='131-CT'!$E$7),"131",""))</f>
        <v/>
      </c>
      <c r="O4717" s="525" t="str">
        <f>IF(AND($B4717&gt;='111'!$N$11,$B4717&lt;='111'!$O$11,OR($L4717=$O$7,$M4717=$O$7)),"x","")</f>
        <v/>
      </c>
      <c r="P4717" s="525" t="str">
        <f>IF(AND($L4717=$O$7,$B4717&lt;'111'!$N$11),"x","")</f>
        <v/>
      </c>
      <c r="Q4717" s="525" t="str">
        <f>IF(AND($M4717=$O$7,$B4717&lt;'111'!$N$11),"x","")</f>
        <v/>
      </c>
      <c r="R4717" s="525" t="str">
        <f>IF(ISERROR(FIND('112'!$M$9,G4717,1)),"",IF((AND(FIND('112'!$M$9,G4717,1)&gt;=1,$B4717&gt;='112'!$N$8,$B4717&lt;='112'!$O$8,OR($L4717='112'!$I$6,$M4717='112'!$I$6))),"x",""))</f>
        <v/>
      </c>
      <c r="S4717" s="525" t="str">
        <f>IF(ISERROR(FIND('112'!$M$9,G4717,1)),"",IF((AND(LEFT(G4717,2)=LEFT('112'!$M$9,2),B4717&lt;'112'!$N$8,$L4717='112'!$I$6)),"x",""))</f>
        <v/>
      </c>
      <c r="T4717" s="525" t="str">
        <f>IF(ISERROR(FIND('112'!$M$9,G4717,1)),"",IF((AND(RIGHT(G4717,2)=RIGHT('112'!$M$9,2),B4717&lt;'112'!$N$8,$M4717='112'!$I$6)),"x",""))</f>
        <v/>
      </c>
      <c r="U4717" s="525" t="str">
        <f>IF(AND(B4717&gt;='IN-NX'!$P$3,B4717&lt;='IN-NX'!$Q$3,'IN-NX'!$D$7=D4717,OR(LEFT(L4717,2)="15",AND(LEFT(M4717,2)&lt;&gt;"15",LEFT(M4717,2)&lt;&gt;"33"))),"x","")</f>
        <v/>
      </c>
      <c r="V4717" s="525" t="str">
        <f>IF(AND(OR(LEFT(TH!L4717,2)="15",LEFT(TH!M4717,2)="15"),'152-CT'!$J$8=TH!F4717),"x","")</f>
        <v/>
      </c>
      <c r="W4717" s="525" t="str">
        <f>IF(AND(OR(LEFT(TH!L4717,2)="15",LEFT(TH!M4717,2)="15"),TK!$E$7=TH!F4717),"x","")</f>
        <v/>
      </c>
      <c r="X4717" s="525" t="str">
        <f>IF(AND('341-CT'!$E$9=H4717,OR(LEFT(L4717,3)=$X$7,LEFT(M4717,3)=$X$7)),"x","")</f>
        <v/>
      </c>
      <c r="Y4717" s="525" t="str">
        <f>IF(OR(TH!L4717=TH!$Y$7,M4717=TH!$Y$7),"x","")</f>
        <v/>
      </c>
      <c r="Z4717" s="525" t="str">
        <f>IF(AND(B4717&lt;=NKC!$N$8,B4717&gt;=NKC!$M$8),"x","")</f>
        <v/>
      </c>
      <c r="AA4717" s="535"/>
      <c r="AB4717" s="536"/>
    </row>
    <row r="4718" spans="1:30" s="503" customFormat="1" ht="15.75" customHeight="1">
      <c r="A4718" s="517" t="str">
        <f>IF(B4718&lt;&gt;"",IF(AND(B4718&gt;=_TM1,B4718&lt;=_TM2,OR(TH!L4718="1111",TH!M4718="1111")),TH!D4718,""),"")</f>
        <v/>
      </c>
      <c r="B4718" s="531" t="str">
        <f t="shared" si="566"/>
        <v/>
      </c>
      <c r="C4718" s="315"/>
      <c r="D4718" s="315"/>
      <c r="E4718" s="545"/>
      <c r="F4718" s="248"/>
      <c r="G4718" s="314"/>
      <c r="H4718" s="473"/>
      <c r="I4718" s="307"/>
      <c r="J4718" s="307"/>
      <c r="K4718" s="532"/>
      <c r="L4718" s="533"/>
      <c r="M4718" s="533"/>
      <c r="N4718" s="525" t="str">
        <f>IF(AND('331-CT'!$E$7=TH!H4718,OR(L4718="331",M4718="331")),"331",IF(AND(OR(L4718="131",M4718="131"),H4718='131-CT'!$E$7),"131",""))</f>
        <v/>
      </c>
      <c r="O4718" s="525" t="str">
        <f>IF(AND($B4718&gt;='111'!$N$11,$B4718&lt;='111'!$O$11,OR($L4718=$O$7,$M4718=$O$7)),"x","")</f>
        <v/>
      </c>
      <c r="P4718" s="525" t="str">
        <f>IF(AND($L4718=$O$7,$B4718&lt;'111'!$N$11),"x","")</f>
        <v/>
      </c>
      <c r="Q4718" s="525" t="str">
        <f>IF(AND($M4718=$O$7,$B4718&lt;'111'!$N$11),"x","")</f>
        <v/>
      </c>
      <c r="R4718" s="525" t="str">
        <f>IF(ISERROR(FIND('112'!$M$9,G4718,1)),"",IF((AND(FIND('112'!$M$9,G4718,1)&gt;=1,$B4718&gt;='112'!$N$8,$B4718&lt;='112'!$O$8,OR($L4718='112'!$I$6,$M4718='112'!$I$6))),"x",""))</f>
        <v/>
      </c>
      <c r="S4718" s="525" t="str">
        <f>IF(ISERROR(FIND('112'!$M$9,G4718,1)),"",IF((AND(LEFT(G4718,2)=LEFT('112'!$M$9,2),B4718&lt;'112'!$N$8,$L4718='112'!$I$6)),"x",""))</f>
        <v/>
      </c>
      <c r="T4718" s="525" t="str">
        <f>IF(ISERROR(FIND('112'!$M$9,G4718,1)),"",IF((AND(RIGHT(G4718,2)=RIGHT('112'!$M$9,2),B4718&lt;'112'!$N$8,$M4718='112'!$I$6)),"x",""))</f>
        <v/>
      </c>
      <c r="U4718" s="525" t="str">
        <f>IF(AND(B4718&gt;='IN-NX'!$P$3,B4718&lt;='IN-NX'!$Q$3,'IN-NX'!$D$7=D4718,OR(LEFT(L4718,2)="15",AND(LEFT(M4718,2)&lt;&gt;"15",LEFT(M4718,2)&lt;&gt;"33"))),"x","")</f>
        <v/>
      </c>
      <c r="V4718" s="525" t="str">
        <f>IF(AND(OR(LEFT(TH!L4718,2)="15",LEFT(TH!M4718,2)="15"),'152-CT'!$J$8=TH!F4718),"x","")</f>
        <v/>
      </c>
      <c r="W4718" s="525" t="str">
        <f>IF(AND(OR(LEFT(TH!L4718,2)="15",LEFT(TH!M4718,2)="15"),TK!$E$7=TH!F4718),"x","")</f>
        <v/>
      </c>
      <c r="X4718" s="525" t="str">
        <f>IF(AND('341-CT'!$E$9=H4718,OR(LEFT(L4718,3)=$X$7,LEFT(M4718,3)=$X$7)),"x","")</f>
        <v/>
      </c>
      <c r="Y4718" s="525" t="str">
        <f>IF(OR(TH!L4718=TH!$Y$7,M4718=TH!$Y$7),"x","")</f>
        <v/>
      </c>
      <c r="Z4718" s="525" t="str">
        <f>IF(AND(B4718&lt;=NKC!$N$8,B4718&gt;=NKC!$M$8),"x","")</f>
        <v/>
      </c>
      <c r="AA4718" s="535"/>
      <c r="AB4718" s="536"/>
      <c r="AD4718" s="536"/>
    </row>
    <row r="4719" spans="1:30" s="503" customFormat="1" ht="15.75" customHeight="1">
      <c r="A4719" s="517" t="str">
        <f>IF(B4719&lt;&gt;"",IF(AND(B4719&gt;=_TM1,B4719&lt;=_TM2,OR(TH!L4719="1111",TH!M4719="1111")),TH!D4719,""),"")</f>
        <v/>
      </c>
      <c r="B4719" s="531" t="str">
        <f t="shared" si="566"/>
        <v/>
      </c>
      <c r="C4719" s="315"/>
      <c r="D4719" s="315"/>
      <c r="E4719" s="545"/>
      <c r="F4719" s="249"/>
      <c r="G4719" s="314"/>
      <c r="H4719" s="473"/>
      <c r="I4719" s="307"/>
      <c r="J4719" s="307"/>
      <c r="K4719" s="532"/>
      <c r="L4719" s="533"/>
      <c r="M4719" s="533"/>
      <c r="N4719" s="525" t="str">
        <f>IF(AND('331-CT'!$E$7=TH!H4719,OR(L4719="331",M4719="331")),"331",IF(AND(OR(L4719="131",M4719="131"),H4719='131-CT'!$E$7),"131",""))</f>
        <v/>
      </c>
      <c r="O4719" s="525" t="str">
        <f>IF(AND($B4719&gt;='111'!$N$11,$B4719&lt;='111'!$O$11,OR($L4719=$O$7,$M4719=$O$7)),"x","")</f>
        <v/>
      </c>
      <c r="P4719" s="525" t="str">
        <f>IF(AND($L4719=$O$7,$B4719&lt;'111'!$N$11),"x","")</f>
        <v/>
      </c>
      <c r="Q4719" s="525" t="str">
        <f>IF(AND($M4719=$O$7,$B4719&lt;'111'!$N$11),"x","")</f>
        <v/>
      </c>
      <c r="R4719" s="525" t="str">
        <f>IF(ISERROR(FIND('112'!$M$9,G4719,1)),"",IF((AND(FIND('112'!$M$9,G4719,1)&gt;=1,$B4719&gt;='112'!$N$8,$B4719&lt;='112'!$O$8,OR($L4719='112'!$I$6,$M4719='112'!$I$6))),"x",""))</f>
        <v/>
      </c>
      <c r="S4719" s="525" t="str">
        <f>IF(ISERROR(FIND('112'!$M$9,G4719,1)),"",IF((AND(LEFT(G4719,2)=LEFT('112'!$M$9,2),B4719&lt;'112'!$N$8,$L4719='112'!$I$6)),"x",""))</f>
        <v/>
      </c>
      <c r="T4719" s="525" t="str">
        <f>IF(ISERROR(FIND('112'!$M$9,G4719,1)),"",IF((AND(RIGHT(G4719,2)=RIGHT('112'!$M$9,2),B4719&lt;'112'!$N$8,$M4719='112'!$I$6)),"x",""))</f>
        <v/>
      </c>
      <c r="U4719" s="525" t="str">
        <f>IF(AND(B4719&gt;='IN-NX'!$P$3,B4719&lt;='IN-NX'!$Q$3,'IN-NX'!$D$7=D4719,OR(LEFT(L4719,2)="15",AND(LEFT(M4719,2)&lt;&gt;"15",LEFT(M4719,2)&lt;&gt;"33"))),"x","")</f>
        <v/>
      </c>
      <c r="V4719" s="525" t="str">
        <f>IF(AND(OR(LEFT(TH!L4719,2)="15",LEFT(TH!M4719,2)="15"),'152-CT'!$J$8=TH!F4719),"x","")</f>
        <v/>
      </c>
      <c r="W4719" s="525" t="str">
        <f>IF(AND(OR(LEFT(TH!L4719,2)="15",LEFT(TH!M4719,2)="15"),TK!$E$7=TH!F4719),"x","")</f>
        <v/>
      </c>
      <c r="X4719" s="525" t="str">
        <f>IF(AND('341-CT'!$E$9=H4719,OR(LEFT(L4719,3)=$X$7,LEFT(M4719,3)=$X$7)),"x","")</f>
        <v/>
      </c>
      <c r="Y4719" s="525" t="str">
        <f>IF(OR(TH!L4719=TH!$Y$7,M4719=TH!$Y$7),"x","")</f>
        <v/>
      </c>
      <c r="Z4719" s="525" t="str">
        <f>IF(AND(B4719&lt;=NKC!$N$8,B4719&gt;=NKC!$M$8),"x","")</f>
        <v/>
      </c>
      <c r="AA4719" s="535"/>
      <c r="AB4719" s="536"/>
    </row>
    <row r="4720" spans="1:30" s="503" customFormat="1" ht="15.75" customHeight="1">
      <c r="A4720" s="517" t="str">
        <f>IF(B4720&lt;&gt;"",IF(AND(B4720&gt;=_TM1,B4720&lt;=_TM2,OR(TH!L4720="1111",TH!M4720="1111")),TH!D4720,""),"")</f>
        <v/>
      </c>
      <c r="B4720" s="531" t="str">
        <f t="shared" si="566"/>
        <v/>
      </c>
      <c r="C4720" s="315"/>
      <c r="D4720" s="315"/>
      <c r="E4720" s="545"/>
      <c r="F4720" s="248"/>
      <c r="G4720" s="314"/>
      <c r="H4720" s="473"/>
      <c r="I4720" s="307"/>
      <c r="J4720" s="307"/>
      <c r="K4720" s="532"/>
      <c r="L4720" s="533"/>
      <c r="M4720" s="533"/>
      <c r="N4720" s="525" t="str">
        <f>IF(AND('331-CT'!$E$7=TH!H4720,OR(L4720="331",M4720="331")),"331",IF(AND(OR(L4720="131",M4720="131"),H4720='131-CT'!$E$7),"131",""))</f>
        <v/>
      </c>
      <c r="O4720" s="525" t="str">
        <f>IF(AND($B4720&gt;='111'!$N$11,$B4720&lt;='111'!$O$11,OR($L4720=$O$7,$M4720=$O$7)),"x","")</f>
        <v/>
      </c>
      <c r="P4720" s="525" t="str">
        <f>IF(AND($L4720=$O$7,$B4720&lt;'111'!$N$11),"x","")</f>
        <v/>
      </c>
      <c r="Q4720" s="525" t="str">
        <f>IF(AND($M4720=$O$7,$B4720&lt;'111'!$N$11),"x","")</f>
        <v/>
      </c>
      <c r="R4720" s="525" t="str">
        <f>IF(ISERROR(FIND('112'!$M$9,G4720,1)),"",IF((AND(FIND('112'!$M$9,G4720,1)&gt;=1,$B4720&gt;='112'!$N$8,$B4720&lt;='112'!$O$8,OR($L4720='112'!$I$6,$M4720='112'!$I$6))),"x",""))</f>
        <v/>
      </c>
      <c r="S4720" s="525" t="str">
        <f>IF(ISERROR(FIND('112'!$M$9,G4720,1)),"",IF((AND(LEFT(G4720,2)=LEFT('112'!$M$9,2),B4720&lt;'112'!$N$8,$L4720='112'!$I$6)),"x",""))</f>
        <v/>
      </c>
      <c r="T4720" s="525" t="str">
        <f>IF(ISERROR(FIND('112'!$M$9,G4720,1)),"",IF((AND(RIGHT(G4720,2)=RIGHT('112'!$M$9,2),B4720&lt;'112'!$N$8,$M4720='112'!$I$6)),"x",""))</f>
        <v/>
      </c>
      <c r="U4720" s="525" t="str">
        <f>IF(AND(B4720&gt;='IN-NX'!$P$3,B4720&lt;='IN-NX'!$Q$3,'IN-NX'!$D$7=D4720,OR(LEFT(L4720,2)="15",AND(LEFT(M4720,2)&lt;&gt;"15",LEFT(M4720,2)&lt;&gt;"33"))),"x","")</f>
        <v/>
      </c>
      <c r="V4720" s="525" t="str">
        <f>IF(AND(OR(LEFT(TH!L4720,2)="15",LEFT(TH!M4720,2)="15"),'152-CT'!$J$8=TH!F4720),"x","")</f>
        <v/>
      </c>
      <c r="W4720" s="525" t="str">
        <f>IF(AND(OR(LEFT(TH!L4720,2)="15",LEFT(TH!M4720,2)="15"),TK!$E$7=TH!F4720),"x","")</f>
        <v/>
      </c>
      <c r="X4720" s="525" t="str">
        <f>IF(AND('341-CT'!$E$9=H4720,OR(LEFT(L4720,3)=$X$7,LEFT(M4720,3)=$X$7)),"x","")</f>
        <v/>
      </c>
      <c r="Y4720" s="525" t="str">
        <f>IF(OR(TH!L4720=TH!$Y$7,M4720=TH!$Y$7),"x","")</f>
        <v/>
      </c>
      <c r="Z4720" s="525" t="str">
        <f>IF(AND(B4720&lt;=NKC!$N$8,B4720&gt;=NKC!$M$8),"x","")</f>
        <v/>
      </c>
      <c r="AA4720" s="535"/>
      <c r="AB4720" s="536"/>
    </row>
    <row r="4721" spans="1:30" s="503" customFormat="1" ht="15.75" customHeight="1">
      <c r="A4721" s="517" t="str">
        <f>IF(B4721&lt;&gt;"",IF(AND(B4721&gt;=_TM1,B4721&lt;=_TM2,OR(TH!L4721="1111",TH!M4721="1111")),TH!D4721,""),"")</f>
        <v/>
      </c>
      <c r="B4721" s="531" t="str">
        <f t="shared" si="566"/>
        <v/>
      </c>
      <c r="C4721" s="315"/>
      <c r="D4721" s="315"/>
      <c r="E4721" s="545"/>
      <c r="F4721" s="248"/>
      <c r="G4721" s="314"/>
      <c r="H4721" s="473"/>
      <c r="I4721" s="307"/>
      <c r="J4721" s="307"/>
      <c r="K4721" s="532"/>
      <c r="L4721" s="533"/>
      <c r="M4721" s="533"/>
      <c r="N4721" s="525" t="str">
        <f>IF(AND('331-CT'!$E$7=TH!H4721,OR(L4721="331",M4721="331")),"331",IF(AND(OR(L4721="131",M4721="131"),H4721='131-CT'!$E$7),"131",""))</f>
        <v/>
      </c>
      <c r="O4721" s="525" t="str">
        <f>IF(AND($B4721&gt;='111'!$N$11,$B4721&lt;='111'!$O$11,OR($L4721=$O$7,$M4721=$O$7)),"x","")</f>
        <v/>
      </c>
      <c r="P4721" s="525" t="str">
        <f>IF(AND($L4721=$O$7,$B4721&lt;'111'!$N$11),"x","")</f>
        <v/>
      </c>
      <c r="Q4721" s="525" t="str">
        <f>IF(AND($M4721=$O$7,$B4721&lt;'111'!$N$11),"x","")</f>
        <v/>
      </c>
      <c r="R4721" s="525" t="str">
        <f>IF(ISERROR(FIND('112'!$M$9,G4721,1)),"",IF((AND(FIND('112'!$M$9,G4721,1)&gt;=1,$B4721&gt;='112'!$N$8,$B4721&lt;='112'!$O$8,OR($L4721='112'!$I$6,$M4721='112'!$I$6))),"x",""))</f>
        <v/>
      </c>
      <c r="S4721" s="525" t="str">
        <f>IF(ISERROR(FIND('112'!$M$9,G4721,1)),"",IF((AND(LEFT(G4721,2)=LEFT('112'!$M$9,2),B4721&lt;'112'!$N$8,$L4721='112'!$I$6)),"x",""))</f>
        <v/>
      </c>
      <c r="T4721" s="525" t="str">
        <f>IF(ISERROR(FIND('112'!$M$9,G4721,1)),"",IF((AND(RIGHT(G4721,2)=RIGHT('112'!$M$9,2),B4721&lt;'112'!$N$8,$M4721='112'!$I$6)),"x",""))</f>
        <v/>
      </c>
      <c r="U4721" s="525" t="str">
        <f>IF(AND(B4721&gt;='IN-NX'!$P$3,B4721&lt;='IN-NX'!$Q$3,'IN-NX'!$D$7=D4721,OR(LEFT(L4721,2)="15",AND(LEFT(M4721,2)&lt;&gt;"15",LEFT(M4721,2)&lt;&gt;"33"))),"x","")</f>
        <v/>
      </c>
      <c r="V4721" s="525" t="str">
        <f>IF(AND(OR(LEFT(TH!L4721,2)="15",LEFT(TH!M4721,2)="15"),'152-CT'!$J$8=TH!F4721),"x","")</f>
        <v/>
      </c>
      <c r="W4721" s="525" t="str">
        <f>IF(AND(OR(LEFT(TH!L4721,2)="15",LEFT(TH!M4721,2)="15"),TK!$E$7=TH!F4721),"x","")</f>
        <v/>
      </c>
      <c r="X4721" s="525" t="str">
        <f>IF(AND('341-CT'!$E$9=H4721,OR(LEFT(L4721,3)=$X$7,LEFT(M4721,3)=$X$7)),"x","")</f>
        <v/>
      </c>
      <c r="Y4721" s="525" t="str">
        <f>IF(OR(TH!L4721=TH!$Y$7,M4721=TH!$Y$7),"x","")</f>
        <v/>
      </c>
      <c r="Z4721" s="525" t="str">
        <f>IF(AND(B4721&lt;=NKC!$N$8,B4721&gt;=NKC!$M$8),"x","")</f>
        <v/>
      </c>
      <c r="AA4721" s="535"/>
      <c r="AB4721" s="536"/>
      <c r="AD4721" s="536"/>
    </row>
    <row r="4722" spans="1:30" s="503" customFormat="1" ht="15.75" customHeight="1">
      <c r="A4722" s="517" t="str">
        <f>IF(B4722&lt;&gt;"",IF(AND(B4722&gt;=_TM1,B4722&lt;=_TM2,OR(TH!L4722="1111",TH!M4722="1111")),TH!D4722,""),"")</f>
        <v/>
      </c>
      <c r="B4722" s="531" t="str">
        <f t="shared" si="566"/>
        <v/>
      </c>
      <c r="C4722" s="315"/>
      <c r="D4722" s="315"/>
      <c r="E4722" s="545"/>
      <c r="F4722" s="248"/>
      <c r="G4722" s="314"/>
      <c r="H4722" s="473"/>
      <c r="I4722" s="307"/>
      <c r="J4722" s="307"/>
      <c r="K4722" s="532"/>
      <c r="L4722" s="533"/>
      <c r="M4722" s="533"/>
      <c r="N4722" s="525" t="str">
        <f>IF(AND('331-CT'!$E$7=TH!H4722,OR(L4722="331",M4722="331")),"331",IF(AND(OR(L4722="131",M4722="131"),H4722='131-CT'!$E$7),"131",""))</f>
        <v/>
      </c>
      <c r="O4722" s="525" t="str">
        <f>IF(AND($B4722&gt;='111'!$N$11,$B4722&lt;='111'!$O$11,OR($L4722=$O$7,$M4722=$O$7)),"x","")</f>
        <v/>
      </c>
      <c r="P4722" s="525" t="str">
        <f>IF(AND($L4722=$O$7,$B4722&lt;'111'!$N$11),"x","")</f>
        <v/>
      </c>
      <c r="Q4722" s="525" t="str">
        <f>IF(AND($M4722=$O$7,$B4722&lt;'111'!$N$11),"x","")</f>
        <v/>
      </c>
      <c r="R4722" s="525" t="str">
        <f>IF(ISERROR(FIND('112'!$M$9,G4722,1)),"",IF((AND(FIND('112'!$M$9,G4722,1)&gt;=1,$B4722&gt;='112'!$N$8,$B4722&lt;='112'!$O$8,OR($L4722='112'!$I$6,$M4722='112'!$I$6))),"x",""))</f>
        <v/>
      </c>
      <c r="S4722" s="525" t="str">
        <f>IF(ISERROR(FIND('112'!$M$9,G4722,1)),"",IF((AND(LEFT(G4722,2)=LEFT('112'!$M$9,2),B4722&lt;'112'!$N$8,$L4722='112'!$I$6)),"x",""))</f>
        <v/>
      </c>
      <c r="T4722" s="525" t="str">
        <f>IF(ISERROR(FIND('112'!$M$9,G4722,1)),"",IF((AND(RIGHT(G4722,2)=RIGHT('112'!$M$9,2),B4722&lt;'112'!$N$8,$M4722='112'!$I$6)),"x",""))</f>
        <v/>
      </c>
      <c r="U4722" s="525" t="str">
        <f>IF(AND(B4722&gt;='IN-NX'!$P$3,B4722&lt;='IN-NX'!$Q$3,'IN-NX'!$D$7=D4722,OR(LEFT(L4722,2)="15",AND(LEFT(M4722,2)&lt;&gt;"15",LEFT(M4722,2)&lt;&gt;"33"))),"x","")</f>
        <v/>
      </c>
      <c r="V4722" s="525" t="str">
        <f>IF(AND(OR(LEFT(TH!L4722,2)="15",LEFT(TH!M4722,2)="15"),'152-CT'!$J$8=TH!F4722),"x","")</f>
        <v/>
      </c>
      <c r="W4722" s="525" t="str">
        <f>IF(AND(OR(LEFT(TH!L4722,2)="15",LEFT(TH!M4722,2)="15"),TK!$E$7=TH!F4722),"x","")</f>
        <v/>
      </c>
      <c r="X4722" s="525" t="str">
        <f>IF(AND('341-CT'!$E$9=H4722,OR(LEFT(L4722,3)=$X$7,LEFT(M4722,3)=$X$7)),"x","")</f>
        <v/>
      </c>
      <c r="Y4722" s="525" t="str">
        <f>IF(OR(TH!L4722=TH!$Y$7,M4722=TH!$Y$7),"x","")</f>
        <v/>
      </c>
      <c r="Z4722" s="525" t="str">
        <f>IF(AND(B4722&lt;=NKC!$N$8,B4722&gt;=NKC!$M$8),"x","")</f>
        <v/>
      </c>
      <c r="AA4722" s="535"/>
      <c r="AB4722" s="536"/>
    </row>
    <row r="4723" spans="1:30" s="503" customFormat="1" ht="15.75" customHeight="1">
      <c r="A4723" s="517" t="str">
        <f>IF(B4723&lt;&gt;"",IF(AND(B4723&gt;=_TM1,B4723&lt;=_TM2,OR(TH!L4723="1111",TH!M4723="1111")),TH!D4723,""),"")</f>
        <v/>
      </c>
      <c r="B4723" s="531" t="str">
        <f t="shared" si="566"/>
        <v/>
      </c>
      <c r="C4723" s="315"/>
      <c r="D4723" s="315"/>
      <c r="E4723" s="545"/>
      <c r="F4723" s="248"/>
      <c r="G4723" s="314"/>
      <c r="H4723" s="473"/>
      <c r="I4723" s="307"/>
      <c r="J4723" s="307"/>
      <c r="K4723" s="532"/>
      <c r="L4723" s="533"/>
      <c r="M4723" s="533"/>
      <c r="N4723" s="525" t="str">
        <f>IF(AND('331-CT'!$E$7=TH!H4723,OR(L4723="331",M4723="331")),"331",IF(AND(OR(L4723="131",M4723="131"),H4723='131-CT'!$E$7),"131",""))</f>
        <v/>
      </c>
      <c r="O4723" s="525" t="str">
        <f>IF(AND($B4723&gt;='111'!$N$11,$B4723&lt;='111'!$O$11,OR($L4723=$O$7,$M4723=$O$7)),"x","")</f>
        <v/>
      </c>
      <c r="P4723" s="525" t="str">
        <f>IF(AND($L4723=$O$7,$B4723&lt;'111'!$N$11),"x","")</f>
        <v/>
      </c>
      <c r="Q4723" s="525" t="str">
        <f>IF(AND($M4723=$O$7,$B4723&lt;'111'!$N$11),"x","")</f>
        <v/>
      </c>
      <c r="R4723" s="525" t="str">
        <f>IF(ISERROR(FIND('112'!$M$9,G4723,1)),"",IF((AND(FIND('112'!$M$9,G4723,1)&gt;=1,$B4723&gt;='112'!$N$8,$B4723&lt;='112'!$O$8,OR($L4723='112'!$I$6,$M4723='112'!$I$6))),"x",""))</f>
        <v/>
      </c>
      <c r="S4723" s="525" t="str">
        <f>IF(ISERROR(FIND('112'!$M$9,G4723,1)),"",IF((AND(LEFT(G4723,2)=LEFT('112'!$M$9,2),B4723&lt;'112'!$N$8,$L4723='112'!$I$6)),"x",""))</f>
        <v/>
      </c>
      <c r="T4723" s="525" t="str">
        <f>IF(ISERROR(FIND('112'!$M$9,G4723,1)),"",IF((AND(RIGHT(G4723,2)=RIGHT('112'!$M$9,2),B4723&lt;'112'!$N$8,$M4723='112'!$I$6)),"x",""))</f>
        <v/>
      </c>
      <c r="U4723" s="525" t="str">
        <f>IF(AND(B4723&gt;='IN-NX'!$P$3,B4723&lt;='IN-NX'!$Q$3,'IN-NX'!$D$7=D4723,OR(LEFT(L4723,2)="15",AND(LEFT(M4723,2)&lt;&gt;"15",LEFT(M4723,2)&lt;&gt;"33"))),"x","")</f>
        <v/>
      </c>
      <c r="V4723" s="525" t="str">
        <f>IF(AND(OR(LEFT(TH!L4723,2)="15",LEFT(TH!M4723,2)="15"),'152-CT'!$J$8=TH!F4723),"x","")</f>
        <v/>
      </c>
      <c r="W4723" s="525" t="str">
        <f>IF(AND(OR(LEFT(TH!L4723,2)="15",LEFT(TH!M4723,2)="15"),TK!$E$7=TH!F4723),"x","")</f>
        <v/>
      </c>
      <c r="X4723" s="525" t="str">
        <f>IF(AND('341-CT'!$E$9=H4723,OR(LEFT(L4723,3)=$X$7,LEFT(M4723,3)=$X$7)),"x","")</f>
        <v/>
      </c>
      <c r="Y4723" s="525" t="str">
        <f>IF(OR(TH!L4723=TH!$Y$7,M4723=TH!$Y$7),"x","")</f>
        <v/>
      </c>
      <c r="Z4723" s="525" t="str">
        <f>IF(AND(B4723&lt;=NKC!$N$8,B4723&gt;=NKC!$M$8),"x","")</f>
        <v/>
      </c>
      <c r="AA4723" s="535"/>
      <c r="AB4723" s="536"/>
    </row>
    <row r="4724" spans="1:30" s="503" customFormat="1" ht="15.75" customHeight="1">
      <c r="A4724" s="517" t="str">
        <f>IF(B4724&lt;&gt;"",IF(AND(B4724&gt;=_TM1,B4724&lt;=_TM2,OR(TH!L4724="1111",TH!M4724="1111")),TH!D4724,""),"")</f>
        <v/>
      </c>
      <c r="B4724" s="531" t="str">
        <f t="shared" si="566"/>
        <v/>
      </c>
      <c r="C4724" s="315"/>
      <c r="D4724" s="315"/>
      <c r="E4724" s="545"/>
      <c r="F4724" s="248"/>
      <c r="G4724" s="314"/>
      <c r="H4724" s="473"/>
      <c r="I4724" s="307"/>
      <c r="J4724" s="307"/>
      <c r="K4724" s="532"/>
      <c r="L4724" s="533"/>
      <c r="M4724" s="533"/>
      <c r="N4724" s="525" t="str">
        <f>IF(AND('331-CT'!$E$7=TH!H4724,OR(L4724="331",M4724="331")),"331",IF(AND(OR(L4724="131",M4724="131"),H4724='131-CT'!$E$7),"131",""))</f>
        <v/>
      </c>
      <c r="O4724" s="525" t="str">
        <f>IF(AND($B4724&gt;='111'!$N$11,$B4724&lt;='111'!$O$11,OR($L4724=$O$7,$M4724=$O$7)),"x","")</f>
        <v/>
      </c>
      <c r="P4724" s="525" t="str">
        <f>IF(AND($L4724=$O$7,$B4724&lt;'111'!$N$11),"x","")</f>
        <v/>
      </c>
      <c r="Q4724" s="525" t="str">
        <f>IF(AND($M4724=$O$7,$B4724&lt;'111'!$N$11),"x","")</f>
        <v/>
      </c>
      <c r="R4724" s="525" t="str">
        <f>IF(ISERROR(FIND('112'!$M$9,G4724,1)),"",IF((AND(FIND('112'!$M$9,G4724,1)&gt;=1,$B4724&gt;='112'!$N$8,$B4724&lt;='112'!$O$8,OR($L4724='112'!$I$6,$M4724='112'!$I$6))),"x",""))</f>
        <v/>
      </c>
      <c r="S4724" s="525" t="str">
        <f>IF(ISERROR(FIND('112'!$M$9,G4724,1)),"",IF((AND(LEFT(G4724,2)=LEFT('112'!$M$9,2),B4724&lt;'112'!$N$8,$L4724='112'!$I$6)),"x",""))</f>
        <v/>
      </c>
      <c r="T4724" s="525" t="str">
        <f>IF(ISERROR(FIND('112'!$M$9,G4724,1)),"",IF((AND(RIGHT(G4724,2)=RIGHT('112'!$M$9,2),B4724&lt;'112'!$N$8,$M4724='112'!$I$6)),"x",""))</f>
        <v/>
      </c>
      <c r="U4724" s="525" t="str">
        <f>IF(AND(B4724&gt;='IN-NX'!$P$3,B4724&lt;='IN-NX'!$Q$3,'IN-NX'!$D$7=D4724,OR(LEFT(L4724,2)="15",AND(LEFT(M4724,2)&lt;&gt;"15",LEFT(M4724,2)&lt;&gt;"33"))),"x","")</f>
        <v/>
      </c>
      <c r="V4724" s="525" t="str">
        <f>IF(AND(OR(LEFT(TH!L4724,2)="15",LEFT(TH!M4724,2)="15"),'152-CT'!$J$8=TH!F4724),"x","")</f>
        <v/>
      </c>
      <c r="W4724" s="525" t="str">
        <f>IF(AND(OR(LEFT(TH!L4724,2)="15",LEFT(TH!M4724,2)="15"),TK!$E$7=TH!F4724),"x","")</f>
        <v/>
      </c>
      <c r="X4724" s="525" t="str">
        <f>IF(AND('341-CT'!$E$9=H4724,OR(LEFT(L4724,3)=$X$7,LEFT(M4724,3)=$X$7)),"x","")</f>
        <v/>
      </c>
      <c r="Y4724" s="525" t="str">
        <f>IF(OR(TH!L4724=TH!$Y$7,M4724=TH!$Y$7),"x","")</f>
        <v/>
      </c>
      <c r="Z4724" s="525" t="str">
        <f>IF(AND(B4724&lt;=NKC!$N$8,B4724&gt;=NKC!$M$8),"x","")</f>
        <v/>
      </c>
      <c r="AA4724" s="535"/>
      <c r="AB4724" s="536"/>
      <c r="AD4724" s="536"/>
    </row>
    <row r="4725" spans="1:30" s="503" customFormat="1" ht="15.75" customHeight="1">
      <c r="A4725" s="517" t="str">
        <f>IF(B4725&lt;&gt;"",IF(AND(B4725&gt;=_TM1,B4725&lt;=_TM2,OR(TH!L4725="1111",TH!M4725="1111")),TH!D4725,""),"")</f>
        <v/>
      </c>
      <c r="B4725" s="531" t="str">
        <f t="shared" si="566"/>
        <v/>
      </c>
      <c r="C4725" s="315"/>
      <c r="D4725" s="315"/>
      <c r="E4725" s="545"/>
      <c r="F4725" s="248"/>
      <c r="G4725" s="314"/>
      <c r="H4725" s="473"/>
      <c r="I4725" s="307"/>
      <c r="J4725" s="307"/>
      <c r="K4725" s="532"/>
      <c r="L4725" s="533"/>
      <c r="M4725" s="533"/>
      <c r="N4725" s="525" t="str">
        <f>IF(AND('331-CT'!$E$7=TH!H4725,OR(L4725="331",M4725="331")),"331",IF(AND(OR(L4725="131",M4725="131"),H4725='131-CT'!$E$7),"131",""))</f>
        <v/>
      </c>
      <c r="O4725" s="525" t="str">
        <f>IF(AND($B4725&gt;='111'!$N$11,$B4725&lt;='111'!$O$11,OR($L4725=$O$7,$M4725=$O$7)),"x","")</f>
        <v/>
      </c>
      <c r="P4725" s="525" t="str">
        <f>IF(AND($L4725=$O$7,$B4725&lt;'111'!$N$11),"x","")</f>
        <v/>
      </c>
      <c r="Q4725" s="525" t="str">
        <f>IF(AND($M4725=$O$7,$B4725&lt;'111'!$N$11),"x","")</f>
        <v/>
      </c>
      <c r="R4725" s="525" t="str">
        <f>IF(ISERROR(FIND('112'!$M$9,G4725,1)),"",IF((AND(FIND('112'!$M$9,G4725,1)&gt;=1,$B4725&gt;='112'!$N$8,$B4725&lt;='112'!$O$8,OR($L4725='112'!$I$6,$M4725='112'!$I$6))),"x",""))</f>
        <v/>
      </c>
      <c r="S4725" s="525" t="str">
        <f>IF(ISERROR(FIND('112'!$M$9,G4725,1)),"",IF((AND(LEFT(G4725,2)=LEFT('112'!$M$9,2),B4725&lt;'112'!$N$8,$L4725='112'!$I$6)),"x",""))</f>
        <v/>
      </c>
      <c r="T4725" s="525" t="str">
        <f>IF(ISERROR(FIND('112'!$M$9,G4725,1)),"",IF((AND(RIGHT(G4725,2)=RIGHT('112'!$M$9,2),B4725&lt;'112'!$N$8,$M4725='112'!$I$6)),"x",""))</f>
        <v/>
      </c>
      <c r="U4725" s="525" t="str">
        <f>IF(AND(B4725&gt;='IN-NX'!$P$3,B4725&lt;='IN-NX'!$Q$3,'IN-NX'!$D$7=D4725,OR(LEFT(L4725,2)="15",AND(LEFT(M4725,2)&lt;&gt;"15",LEFT(M4725,2)&lt;&gt;"33"))),"x","")</f>
        <v/>
      </c>
      <c r="V4725" s="525" t="str">
        <f>IF(AND(OR(LEFT(TH!L4725,2)="15",LEFT(TH!M4725,2)="15"),'152-CT'!$J$8=TH!F4725),"x","")</f>
        <v/>
      </c>
      <c r="W4725" s="525" t="str">
        <f>IF(AND(OR(LEFT(TH!L4725,2)="15",LEFT(TH!M4725,2)="15"),TK!$E$7=TH!F4725),"x","")</f>
        <v/>
      </c>
      <c r="X4725" s="525" t="str">
        <f>IF(AND('341-CT'!$E$9=H4725,OR(LEFT(L4725,3)=$X$7,LEFT(M4725,3)=$X$7)),"x","")</f>
        <v/>
      </c>
      <c r="Y4725" s="525" t="str">
        <f>IF(OR(TH!L4725=TH!$Y$7,M4725=TH!$Y$7),"x","")</f>
        <v/>
      </c>
      <c r="Z4725" s="525" t="str">
        <f>IF(AND(B4725&lt;=NKC!$N$8,B4725&gt;=NKC!$M$8),"x","")</f>
        <v/>
      </c>
      <c r="AA4725" s="535"/>
      <c r="AB4725" s="536"/>
    </row>
    <row r="4726" spans="1:30" s="503" customFormat="1" ht="15.75" customHeight="1">
      <c r="A4726" s="517" t="str">
        <f>IF(B4726&lt;&gt;"",IF(AND(B4726&gt;=_TM1,B4726&lt;=_TM2,OR(TH!L4726="1111",TH!M4726="1111")),TH!D4726,""),"")</f>
        <v/>
      </c>
      <c r="B4726" s="531" t="str">
        <f t="shared" si="566"/>
        <v/>
      </c>
      <c r="C4726" s="315"/>
      <c r="D4726" s="315"/>
      <c r="E4726" s="545"/>
      <c r="F4726" s="248"/>
      <c r="G4726" s="314"/>
      <c r="H4726" s="473"/>
      <c r="I4726" s="307"/>
      <c r="J4726" s="307"/>
      <c r="K4726" s="532"/>
      <c r="L4726" s="533"/>
      <c r="M4726" s="533"/>
      <c r="N4726" s="525" t="str">
        <f>IF(AND('331-CT'!$E$7=TH!H4726,OR(L4726="331",M4726="331")),"331",IF(AND(OR(L4726="131",M4726="131"),H4726='131-CT'!$E$7),"131",""))</f>
        <v/>
      </c>
      <c r="O4726" s="525" t="str">
        <f>IF(AND($B4726&gt;='111'!$N$11,$B4726&lt;='111'!$O$11,OR($L4726=$O$7,$M4726=$O$7)),"x","")</f>
        <v/>
      </c>
      <c r="P4726" s="525" t="str">
        <f>IF(AND($L4726=$O$7,$B4726&lt;'111'!$N$11),"x","")</f>
        <v/>
      </c>
      <c r="Q4726" s="525" t="str">
        <f>IF(AND($M4726=$O$7,$B4726&lt;'111'!$N$11),"x","")</f>
        <v/>
      </c>
      <c r="R4726" s="525" t="str">
        <f>IF(ISERROR(FIND('112'!$M$9,G4726,1)),"",IF((AND(FIND('112'!$M$9,G4726,1)&gt;=1,$B4726&gt;='112'!$N$8,$B4726&lt;='112'!$O$8,OR($L4726='112'!$I$6,$M4726='112'!$I$6))),"x",""))</f>
        <v/>
      </c>
      <c r="S4726" s="525" t="str">
        <f>IF(ISERROR(FIND('112'!$M$9,G4726,1)),"",IF((AND(LEFT(G4726,2)=LEFT('112'!$M$9,2),B4726&lt;'112'!$N$8,$L4726='112'!$I$6)),"x",""))</f>
        <v/>
      </c>
      <c r="T4726" s="525" t="str">
        <f>IF(ISERROR(FIND('112'!$M$9,G4726,1)),"",IF((AND(RIGHT(G4726,2)=RIGHT('112'!$M$9,2),B4726&lt;'112'!$N$8,$M4726='112'!$I$6)),"x",""))</f>
        <v/>
      </c>
      <c r="U4726" s="525" t="str">
        <f>IF(AND(B4726&gt;='IN-NX'!$P$3,B4726&lt;='IN-NX'!$Q$3,'IN-NX'!$D$7=D4726,OR(LEFT(L4726,2)="15",AND(LEFT(M4726,2)&lt;&gt;"15",LEFT(M4726,2)&lt;&gt;"33"))),"x","")</f>
        <v/>
      </c>
      <c r="V4726" s="525" t="str">
        <f>IF(AND(OR(LEFT(TH!L4726,2)="15",LEFT(TH!M4726,2)="15"),'152-CT'!$J$8=TH!F4726),"x","")</f>
        <v/>
      </c>
      <c r="W4726" s="525" t="str">
        <f>IF(AND(OR(LEFT(TH!L4726,2)="15",LEFT(TH!M4726,2)="15"),TK!$E$7=TH!F4726),"x","")</f>
        <v/>
      </c>
      <c r="X4726" s="525" t="str">
        <f>IF(AND('341-CT'!$E$9=H4726,OR(LEFT(L4726,3)=$X$7,LEFT(M4726,3)=$X$7)),"x","")</f>
        <v/>
      </c>
      <c r="Y4726" s="525" t="str">
        <f>IF(OR(TH!L4726=TH!$Y$7,M4726=TH!$Y$7),"x","")</f>
        <v/>
      </c>
      <c r="Z4726" s="525" t="str">
        <f>IF(AND(B4726&lt;=NKC!$N$8,B4726&gt;=NKC!$M$8),"x","")</f>
        <v/>
      </c>
      <c r="AA4726" s="535"/>
      <c r="AB4726" s="536"/>
    </row>
    <row r="4727" spans="1:30" s="503" customFormat="1" ht="15.75" customHeight="1">
      <c r="A4727" s="517" t="str">
        <f>IF(B4727&lt;&gt;"",IF(AND(B4727&gt;=_TM1,B4727&lt;=_TM2,OR(TH!L4727="1111",TH!M4727="1111")),TH!D4727,""),"")</f>
        <v/>
      </c>
      <c r="B4727" s="531" t="str">
        <f t="shared" si="566"/>
        <v/>
      </c>
      <c r="C4727" s="315"/>
      <c r="D4727" s="315"/>
      <c r="E4727" s="545"/>
      <c r="F4727" s="248"/>
      <c r="G4727" s="314"/>
      <c r="H4727" s="473"/>
      <c r="I4727" s="307"/>
      <c r="J4727" s="307"/>
      <c r="K4727" s="532"/>
      <c r="L4727" s="533"/>
      <c r="M4727" s="533"/>
      <c r="N4727" s="525" t="str">
        <f>IF(AND('331-CT'!$E$7=TH!H4727,OR(L4727="331",M4727="331")),"331",IF(AND(OR(L4727="131",M4727="131"),H4727='131-CT'!$E$7),"131",""))</f>
        <v/>
      </c>
      <c r="O4727" s="525" t="str">
        <f>IF(AND($B4727&gt;='111'!$N$11,$B4727&lt;='111'!$O$11,OR($L4727=$O$7,$M4727=$O$7)),"x","")</f>
        <v/>
      </c>
      <c r="P4727" s="525" t="str">
        <f>IF(AND($L4727=$O$7,$B4727&lt;'111'!$N$11),"x","")</f>
        <v/>
      </c>
      <c r="Q4727" s="525" t="str">
        <f>IF(AND($M4727=$O$7,$B4727&lt;'111'!$N$11),"x","")</f>
        <v/>
      </c>
      <c r="R4727" s="525" t="str">
        <f>IF(ISERROR(FIND('112'!$M$9,G4727,1)),"",IF((AND(FIND('112'!$M$9,G4727,1)&gt;=1,$B4727&gt;='112'!$N$8,$B4727&lt;='112'!$O$8,OR($L4727='112'!$I$6,$M4727='112'!$I$6))),"x",""))</f>
        <v/>
      </c>
      <c r="S4727" s="525" t="str">
        <f>IF(ISERROR(FIND('112'!$M$9,G4727,1)),"",IF((AND(LEFT(G4727,2)=LEFT('112'!$M$9,2),B4727&lt;'112'!$N$8,$L4727='112'!$I$6)),"x",""))</f>
        <v/>
      </c>
      <c r="T4727" s="525" t="str">
        <f>IF(ISERROR(FIND('112'!$M$9,G4727,1)),"",IF((AND(RIGHT(G4727,2)=RIGHT('112'!$M$9,2),B4727&lt;'112'!$N$8,$M4727='112'!$I$6)),"x",""))</f>
        <v/>
      </c>
      <c r="U4727" s="525" t="str">
        <f>IF(AND(B4727&gt;='IN-NX'!$P$3,B4727&lt;='IN-NX'!$Q$3,'IN-NX'!$D$7=D4727,OR(LEFT(L4727,2)="15",AND(LEFT(M4727,2)&lt;&gt;"15",LEFT(M4727,2)&lt;&gt;"33"))),"x","")</f>
        <v/>
      </c>
      <c r="V4727" s="525" t="str">
        <f>IF(AND(OR(LEFT(TH!L4727,2)="15",LEFT(TH!M4727,2)="15"),'152-CT'!$J$8=TH!F4727),"x","")</f>
        <v/>
      </c>
      <c r="W4727" s="525" t="str">
        <f>IF(AND(OR(LEFT(TH!L4727,2)="15",LEFT(TH!M4727,2)="15"),TK!$E$7=TH!F4727),"x","")</f>
        <v/>
      </c>
      <c r="X4727" s="525" t="str">
        <f>IF(AND('341-CT'!$E$9=H4727,OR(LEFT(L4727,3)=$X$7,LEFT(M4727,3)=$X$7)),"x","")</f>
        <v/>
      </c>
      <c r="Y4727" s="525" t="str">
        <f>IF(OR(TH!L4727=TH!$Y$7,M4727=TH!$Y$7),"x","")</f>
        <v/>
      </c>
      <c r="Z4727" s="525" t="str">
        <f>IF(AND(B4727&lt;=NKC!$N$8,B4727&gt;=NKC!$M$8),"x","")</f>
        <v/>
      </c>
      <c r="AA4727" s="535"/>
      <c r="AB4727" s="536"/>
      <c r="AD4727" s="536"/>
    </row>
    <row r="4728" spans="1:30" s="503" customFormat="1" ht="15.75" customHeight="1">
      <c r="A4728" s="517" t="str">
        <f>IF(B4728&lt;&gt;"",IF(AND(B4728&gt;=_TM1,B4728&lt;=_TM2,OR(TH!L4728="1111",TH!M4728="1111")),TH!D4728,""),"")</f>
        <v/>
      </c>
      <c r="B4728" s="531" t="str">
        <f t="shared" si="566"/>
        <v/>
      </c>
      <c r="C4728" s="315"/>
      <c r="D4728" s="315"/>
      <c r="E4728" s="545"/>
      <c r="F4728" s="248"/>
      <c r="G4728" s="314"/>
      <c r="H4728" s="473"/>
      <c r="I4728" s="307"/>
      <c r="J4728" s="307"/>
      <c r="K4728" s="532"/>
      <c r="L4728" s="533"/>
      <c r="M4728" s="533"/>
      <c r="N4728" s="525" t="str">
        <f>IF(AND('331-CT'!$E$7=TH!H4728,OR(L4728="331",M4728="331")),"331",IF(AND(OR(L4728="131",M4728="131"),H4728='131-CT'!$E$7),"131",""))</f>
        <v/>
      </c>
      <c r="O4728" s="525" t="str">
        <f>IF(AND($B4728&gt;='111'!$N$11,$B4728&lt;='111'!$O$11,OR($L4728=$O$7,$M4728=$O$7)),"x","")</f>
        <v/>
      </c>
      <c r="P4728" s="525" t="str">
        <f>IF(AND($L4728=$O$7,$B4728&lt;'111'!$N$11),"x","")</f>
        <v/>
      </c>
      <c r="Q4728" s="525" t="str">
        <f>IF(AND($M4728=$O$7,$B4728&lt;'111'!$N$11),"x","")</f>
        <v/>
      </c>
      <c r="R4728" s="525" t="str">
        <f>IF(ISERROR(FIND('112'!$M$9,G4728,1)),"",IF((AND(FIND('112'!$M$9,G4728,1)&gt;=1,$B4728&gt;='112'!$N$8,$B4728&lt;='112'!$O$8,OR($L4728='112'!$I$6,$M4728='112'!$I$6))),"x",""))</f>
        <v/>
      </c>
      <c r="S4728" s="525" t="str">
        <f>IF(ISERROR(FIND('112'!$M$9,G4728,1)),"",IF((AND(LEFT(G4728,2)=LEFT('112'!$M$9,2),B4728&lt;'112'!$N$8,$L4728='112'!$I$6)),"x",""))</f>
        <v/>
      </c>
      <c r="T4728" s="525" t="str">
        <f>IF(ISERROR(FIND('112'!$M$9,G4728,1)),"",IF((AND(RIGHT(G4728,2)=RIGHT('112'!$M$9,2),B4728&lt;'112'!$N$8,$M4728='112'!$I$6)),"x",""))</f>
        <v/>
      </c>
      <c r="U4728" s="525" t="str">
        <f>IF(AND(B4728&gt;='IN-NX'!$P$3,B4728&lt;='IN-NX'!$Q$3,'IN-NX'!$D$7=D4728,OR(LEFT(L4728,2)="15",AND(LEFT(M4728,2)&lt;&gt;"15",LEFT(M4728,2)&lt;&gt;"33"))),"x","")</f>
        <v/>
      </c>
      <c r="V4728" s="525" t="str">
        <f>IF(AND(OR(LEFT(TH!L4728,2)="15",LEFT(TH!M4728,2)="15"),'152-CT'!$J$8=TH!F4728),"x","")</f>
        <v/>
      </c>
      <c r="W4728" s="525" t="str">
        <f>IF(AND(OR(LEFT(TH!L4728,2)="15",LEFT(TH!M4728,2)="15"),TK!$E$7=TH!F4728),"x","")</f>
        <v/>
      </c>
      <c r="X4728" s="525" t="str">
        <f>IF(AND('341-CT'!$E$9=H4728,OR(LEFT(L4728,3)=$X$7,LEFT(M4728,3)=$X$7)),"x","")</f>
        <v/>
      </c>
      <c r="Y4728" s="525" t="str">
        <f>IF(OR(TH!L4728=TH!$Y$7,M4728=TH!$Y$7),"x","")</f>
        <v/>
      </c>
      <c r="Z4728" s="525" t="str">
        <f>IF(AND(B4728&lt;=NKC!$N$8,B4728&gt;=NKC!$M$8),"x","")</f>
        <v/>
      </c>
      <c r="AA4728" s="535"/>
      <c r="AB4728" s="536"/>
    </row>
    <row r="4729" spans="1:30" s="503" customFormat="1" ht="15.75" customHeight="1">
      <c r="A4729" s="517" t="str">
        <f>IF(B4729&lt;&gt;"",IF(AND(B4729&gt;=_TM1,B4729&lt;=_TM2,OR(TH!L4729="1111",TH!M4729="1111")),TH!D4729,""),"")</f>
        <v/>
      </c>
      <c r="B4729" s="531" t="str">
        <f t="shared" si="566"/>
        <v/>
      </c>
      <c r="C4729" s="315"/>
      <c r="D4729" s="315"/>
      <c r="E4729" s="545"/>
      <c r="F4729" s="248"/>
      <c r="G4729" s="314"/>
      <c r="H4729" s="473"/>
      <c r="I4729" s="307"/>
      <c r="J4729" s="307"/>
      <c r="K4729" s="532"/>
      <c r="L4729" s="533"/>
      <c r="M4729" s="533"/>
      <c r="N4729" s="525" t="str">
        <f>IF(AND('331-CT'!$E$7=TH!H4729,OR(L4729="331",M4729="331")),"331",IF(AND(OR(L4729="131",M4729="131"),H4729='131-CT'!$E$7),"131",""))</f>
        <v/>
      </c>
      <c r="O4729" s="525" t="str">
        <f>IF(AND($B4729&gt;='111'!$N$11,$B4729&lt;='111'!$O$11,OR($L4729=$O$7,$M4729=$O$7)),"x","")</f>
        <v/>
      </c>
      <c r="P4729" s="525" t="str">
        <f>IF(AND($L4729=$O$7,$B4729&lt;'111'!$N$11),"x","")</f>
        <v/>
      </c>
      <c r="Q4729" s="525" t="str">
        <f>IF(AND($M4729=$O$7,$B4729&lt;'111'!$N$11),"x","")</f>
        <v/>
      </c>
      <c r="R4729" s="525" t="str">
        <f>IF(ISERROR(FIND('112'!$M$9,G4729,1)),"",IF((AND(FIND('112'!$M$9,G4729,1)&gt;=1,$B4729&gt;='112'!$N$8,$B4729&lt;='112'!$O$8,OR($L4729='112'!$I$6,$M4729='112'!$I$6))),"x",""))</f>
        <v/>
      </c>
      <c r="S4729" s="525" t="str">
        <f>IF(ISERROR(FIND('112'!$M$9,G4729,1)),"",IF((AND(LEFT(G4729,2)=LEFT('112'!$M$9,2),B4729&lt;'112'!$N$8,$L4729='112'!$I$6)),"x",""))</f>
        <v/>
      </c>
      <c r="T4729" s="525" t="str">
        <f>IF(ISERROR(FIND('112'!$M$9,G4729,1)),"",IF((AND(RIGHT(G4729,2)=RIGHT('112'!$M$9,2),B4729&lt;'112'!$N$8,$M4729='112'!$I$6)),"x",""))</f>
        <v/>
      </c>
      <c r="U4729" s="525" t="str">
        <f>IF(AND(B4729&gt;='IN-NX'!$P$3,B4729&lt;='IN-NX'!$Q$3,'IN-NX'!$D$7=D4729,OR(LEFT(L4729,2)="15",AND(LEFT(M4729,2)&lt;&gt;"15",LEFT(M4729,2)&lt;&gt;"33"))),"x","")</f>
        <v/>
      </c>
      <c r="V4729" s="525" t="str">
        <f>IF(AND(OR(LEFT(TH!L4729,2)="15",LEFT(TH!M4729,2)="15"),'152-CT'!$J$8=TH!F4729),"x","")</f>
        <v/>
      </c>
      <c r="W4729" s="525" t="str">
        <f>IF(AND(OR(LEFT(TH!L4729,2)="15",LEFT(TH!M4729,2)="15"),TK!$E$7=TH!F4729),"x","")</f>
        <v/>
      </c>
      <c r="X4729" s="525" t="str">
        <f>IF(AND('341-CT'!$E$9=H4729,OR(LEFT(L4729,3)=$X$7,LEFT(M4729,3)=$X$7)),"x","")</f>
        <v/>
      </c>
      <c r="Y4729" s="525" t="str">
        <f>IF(OR(TH!L4729=TH!$Y$7,M4729=TH!$Y$7),"x","")</f>
        <v/>
      </c>
      <c r="Z4729" s="525" t="str">
        <f>IF(AND(B4729&lt;=NKC!$N$8,B4729&gt;=NKC!$M$8),"x","")</f>
        <v/>
      </c>
      <c r="AA4729" s="535"/>
      <c r="AB4729" s="536"/>
    </row>
    <row r="4730" spans="1:30" s="503" customFormat="1" ht="15.75" customHeight="1">
      <c r="A4730" s="517" t="str">
        <f>IF(B4730&lt;&gt;"",IF(AND(B4730&gt;=_TM1,B4730&lt;=_TM2,OR(TH!L4730="1111",TH!M4730="1111")),TH!D4730,""),"")</f>
        <v/>
      </c>
      <c r="B4730" s="531" t="str">
        <f t="shared" si="566"/>
        <v/>
      </c>
      <c r="C4730" s="315"/>
      <c r="D4730" s="315"/>
      <c r="E4730" s="545"/>
      <c r="F4730" s="248"/>
      <c r="G4730" s="314"/>
      <c r="H4730" s="473"/>
      <c r="I4730" s="307"/>
      <c r="J4730" s="307"/>
      <c r="K4730" s="532"/>
      <c r="L4730" s="533"/>
      <c r="M4730" s="533"/>
      <c r="N4730" s="525" t="str">
        <f>IF(AND('331-CT'!$E$7=TH!H4730,OR(L4730="331",M4730="331")),"331",IF(AND(OR(L4730="131",M4730="131"),H4730='131-CT'!$E$7),"131",""))</f>
        <v/>
      </c>
      <c r="O4730" s="525" t="str">
        <f>IF(AND($B4730&gt;='111'!$N$11,$B4730&lt;='111'!$O$11,OR($L4730=$O$7,$M4730=$O$7)),"x","")</f>
        <v/>
      </c>
      <c r="P4730" s="525" t="str">
        <f>IF(AND($L4730=$O$7,$B4730&lt;'111'!$N$11),"x","")</f>
        <v/>
      </c>
      <c r="Q4730" s="525" t="str">
        <f>IF(AND($M4730=$O$7,$B4730&lt;'111'!$N$11),"x","")</f>
        <v/>
      </c>
      <c r="R4730" s="525" t="str">
        <f>IF(ISERROR(FIND('112'!$M$9,G4730,1)),"",IF((AND(FIND('112'!$M$9,G4730,1)&gt;=1,$B4730&gt;='112'!$N$8,$B4730&lt;='112'!$O$8,OR($L4730='112'!$I$6,$M4730='112'!$I$6))),"x",""))</f>
        <v/>
      </c>
      <c r="S4730" s="525" t="str">
        <f>IF(ISERROR(FIND('112'!$M$9,G4730,1)),"",IF((AND(LEFT(G4730,2)=LEFT('112'!$M$9,2),B4730&lt;'112'!$N$8,$L4730='112'!$I$6)),"x",""))</f>
        <v/>
      </c>
      <c r="T4730" s="525" t="str">
        <f>IF(ISERROR(FIND('112'!$M$9,G4730,1)),"",IF((AND(RIGHT(G4730,2)=RIGHT('112'!$M$9,2),B4730&lt;'112'!$N$8,$M4730='112'!$I$6)),"x",""))</f>
        <v/>
      </c>
      <c r="U4730" s="525" t="str">
        <f>IF(AND(B4730&gt;='IN-NX'!$P$3,B4730&lt;='IN-NX'!$Q$3,'IN-NX'!$D$7=D4730,OR(LEFT(L4730,2)="15",AND(LEFT(M4730,2)&lt;&gt;"15",LEFT(M4730,2)&lt;&gt;"33"))),"x","")</f>
        <v/>
      </c>
      <c r="V4730" s="525" t="str">
        <f>IF(AND(OR(LEFT(TH!L4730,2)="15",LEFT(TH!M4730,2)="15"),'152-CT'!$J$8=TH!F4730),"x","")</f>
        <v/>
      </c>
      <c r="W4730" s="525" t="str">
        <f>IF(AND(OR(LEFT(TH!L4730,2)="15",LEFT(TH!M4730,2)="15"),TK!$E$7=TH!F4730),"x","")</f>
        <v/>
      </c>
      <c r="X4730" s="525" t="str">
        <f>IF(AND('341-CT'!$E$9=H4730,OR(LEFT(L4730,3)=$X$7,LEFT(M4730,3)=$X$7)),"x","")</f>
        <v/>
      </c>
      <c r="Y4730" s="525" t="str">
        <f>IF(OR(TH!L4730=TH!$Y$7,M4730=TH!$Y$7),"x","")</f>
        <v/>
      </c>
      <c r="Z4730" s="525" t="str">
        <f>IF(AND(B4730&lt;=NKC!$N$8,B4730&gt;=NKC!$M$8),"x","")</f>
        <v/>
      </c>
      <c r="AA4730" s="535"/>
      <c r="AB4730" s="536"/>
      <c r="AD4730" s="536"/>
    </row>
    <row r="4731" spans="1:30" s="503" customFormat="1" ht="15.75" customHeight="1">
      <c r="A4731" s="517" t="str">
        <f>IF(B4731&lt;&gt;"",IF(AND(B4731&gt;=_TM1,B4731&lt;=_TM2,OR(TH!L4731="1111",TH!M4731="1111")),TH!D4731,""),"")</f>
        <v/>
      </c>
      <c r="B4731" s="531" t="str">
        <f t="shared" si="566"/>
        <v/>
      </c>
      <c r="C4731" s="315"/>
      <c r="D4731" s="315"/>
      <c r="E4731" s="545"/>
      <c r="F4731" s="248"/>
      <c r="G4731" s="314"/>
      <c r="H4731" s="473"/>
      <c r="I4731" s="307"/>
      <c r="J4731" s="307"/>
      <c r="K4731" s="532"/>
      <c r="L4731" s="533"/>
      <c r="M4731" s="533"/>
      <c r="N4731" s="525" t="str">
        <f>IF(AND('331-CT'!$E$7=TH!H4731,OR(L4731="331",M4731="331")),"331",IF(AND(OR(L4731="131",M4731="131"),H4731='131-CT'!$E$7),"131",""))</f>
        <v/>
      </c>
      <c r="O4731" s="525" t="str">
        <f>IF(AND($B4731&gt;='111'!$N$11,$B4731&lt;='111'!$O$11,OR($L4731=$O$7,$M4731=$O$7)),"x","")</f>
        <v/>
      </c>
      <c r="P4731" s="525" t="str">
        <f>IF(AND($L4731=$O$7,$B4731&lt;'111'!$N$11),"x","")</f>
        <v/>
      </c>
      <c r="Q4731" s="525" t="str">
        <f>IF(AND($M4731=$O$7,$B4731&lt;'111'!$N$11),"x","")</f>
        <v/>
      </c>
      <c r="R4731" s="525" t="str">
        <f>IF(ISERROR(FIND('112'!$M$9,G4731,1)),"",IF((AND(FIND('112'!$M$9,G4731,1)&gt;=1,$B4731&gt;='112'!$N$8,$B4731&lt;='112'!$O$8,OR($L4731='112'!$I$6,$M4731='112'!$I$6))),"x",""))</f>
        <v/>
      </c>
      <c r="S4731" s="525" t="str">
        <f>IF(ISERROR(FIND('112'!$M$9,G4731,1)),"",IF((AND(LEFT(G4731,2)=LEFT('112'!$M$9,2),B4731&lt;'112'!$N$8,$L4731='112'!$I$6)),"x",""))</f>
        <v/>
      </c>
      <c r="T4731" s="525" t="str">
        <f>IF(ISERROR(FIND('112'!$M$9,G4731,1)),"",IF((AND(RIGHT(G4731,2)=RIGHT('112'!$M$9,2),B4731&lt;'112'!$N$8,$M4731='112'!$I$6)),"x",""))</f>
        <v/>
      </c>
      <c r="U4731" s="525" t="str">
        <f>IF(AND(B4731&gt;='IN-NX'!$P$3,B4731&lt;='IN-NX'!$Q$3,'IN-NX'!$D$7=D4731,OR(LEFT(L4731,2)="15",AND(LEFT(M4731,2)&lt;&gt;"15",LEFT(M4731,2)&lt;&gt;"33"))),"x","")</f>
        <v/>
      </c>
      <c r="V4731" s="525" t="str">
        <f>IF(AND(OR(LEFT(TH!L4731,2)="15",LEFT(TH!M4731,2)="15"),'152-CT'!$J$8=TH!F4731),"x","")</f>
        <v/>
      </c>
      <c r="W4731" s="525" t="str">
        <f>IF(AND(OR(LEFT(TH!L4731,2)="15",LEFT(TH!M4731,2)="15"),TK!$E$7=TH!F4731),"x","")</f>
        <v/>
      </c>
      <c r="X4731" s="525" t="str">
        <f>IF(AND('341-CT'!$E$9=H4731,OR(LEFT(L4731,3)=$X$7,LEFT(M4731,3)=$X$7)),"x","")</f>
        <v/>
      </c>
      <c r="Y4731" s="525" t="str">
        <f>IF(OR(TH!L4731=TH!$Y$7,M4731=TH!$Y$7),"x","")</f>
        <v/>
      </c>
      <c r="Z4731" s="525" t="str">
        <f>IF(AND(B4731&lt;=NKC!$N$8,B4731&gt;=NKC!$M$8),"x","")</f>
        <v/>
      </c>
      <c r="AA4731" s="535"/>
      <c r="AB4731" s="536"/>
    </row>
    <row r="4732" spans="1:30" s="503" customFormat="1" ht="15.75" customHeight="1">
      <c r="A4732" s="517" t="str">
        <f>IF(B4732&lt;&gt;"",IF(AND(B4732&gt;=_TM1,B4732&lt;=_TM2,OR(TH!L4732="1111",TH!M4732="1111")),TH!D4732,""),"")</f>
        <v/>
      </c>
      <c r="B4732" s="531" t="str">
        <f t="shared" si="566"/>
        <v/>
      </c>
      <c r="C4732" s="315"/>
      <c r="D4732" s="315"/>
      <c r="E4732" s="545"/>
      <c r="F4732" s="248"/>
      <c r="G4732" s="314"/>
      <c r="H4732" s="473"/>
      <c r="I4732" s="307"/>
      <c r="J4732" s="307"/>
      <c r="K4732" s="532"/>
      <c r="L4732" s="533"/>
      <c r="M4732" s="533"/>
      <c r="N4732" s="525" t="str">
        <f>IF(AND('331-CT'!$E$7=TH!H4732,OR(L4732="331",M4732="331")),"331",IF(AND(OR(L4732="131",M4732="131"),H4732='131-CT'!$E$7),"131",""))</f>
        <v/>
      </c>
      <c r="O4732" s="525" t="str">
        <f>IF(AND($B4732&gt;='111'!$N$11,$B4732&lt;='111'!$O$11,OR($L4732=$O$7,$M4732=$O$7)),"x","")</f>
        <v/>
      </c>
      <c r="P4732" s="525" t="str">
        <f>IF(AND($L4732=$O$7,$B4732&lt;'111'!$N$11),"x","")</f>
        <v/>
      </c>
      <c r="Q4732" s="525" t="str">
        <f>IF(AND($M4732=$O$7,$B4732&lt;'111'!$N$11),"x","")</f>
        <v/>
      </c>
      <c r="R4732" s="525" t="str">
        <f>IF(ISERROR(FIND('112'!$M$9,G4732,1)),"",IF((AND(FIND('112'!$M$9,G4732,1)&gt;=1,$B4732&gt;='112'!$N$8,$B4732&lt;='112'!$O$8,OR($L4732='112'!$I$6,$M4732='112'!$I$6))),"x",""))</f>
        <v/>
      </c>
      <c r="S4732" s="525" t="str">
        <f>IF(ISERROR(FIND('112'!$M$9,G4732,1)),"",IF((AND(LEFT(G4732,2)=LEFT('112'!$M$9,2),B4732&lt;'112'!$N$8,$L4732='112'!$I$6)),"x",""))</f>
        <v/>
      </c>
      <c r="T4732" s="525" t="str">
        <f>IF(ISERROR(FIND('112'!$M$9,G4732,1)),"",IF((AND(RIGHT(G4732,2)=RIGHT('112'!$M$9,2),B4732&lt;'112'!$N$8,$M4732='112'!$I$6)),"x",""))</f>
        <v/>
      </c>
      <c r="U4732" s="525" t="str">
        <f>IF(AND(B4732&gt;='IN-NX'!$P$3,B4732&lt;='IN-NX'!$Q$3,'IN-NX'!$D$7=D4732,OR(LEFT(L4732,2)="15",AND(LEFT(M4732,2)&lt;&gt;"15",LEFT(M4732,2)&lt;&gt;"33"))),"x","")</f>
        <v/>
      </c>
      <c r="V4732" s="525" t="str">
        <f>IF(AND(OR(LEFT(TH!L4732,2)="15",LEFT(TH!M4732,2)="15"),'152-CT'!$J$8=TH!F4732),"x","")</f>
        <v/>
      </c>
      <c r="W4732" s="525" t="str">
        <f>IF(AND(OR(LEFT(TH!L4732,2)="15",LEFT(TH!M4732,2)="15"),TK!$E$7=TH!F4732),"x","")</f>
        <v/>
      </c>
      <c r="X4732" s="525" t="str">
        <f>IF(AND('341-CT'!$E$9=H4732,OR(LEFT(L4732,3)=$X$7,LEFT(M4732,3)=$X$7)),"x","")</f>
        <v/>
      </c>
      <c r="Y4732" s="525" t="str">
        <f>IF(OR(TH!L4732=TH!$Y$7,M4732=TH!$Y$7),"x","")</f>
        <v/>
      </c>
      <c r="Z4732" s="525" t="str">
        <f>IF(AND(B4732&lt;=NKC!$N$8,B4732&gt;=NKC!$M$8),"x","")</f>
        <v/>
      </c>
      <c r="AA4732" s="535"/>
      <c r="AB4732" s="536"/>
    </row>
    <row r="4733" spans="1:30" s="503" customFormat="1" ht="15.75" customHeight="1">
      <c r="A4733" s="517" t="str">
        <f>IF(B4733&lt;&gt;"",IF(AND(B4733&gt;=_TM1,B4733&lt;=_TM2,OR(TH!L4733="1111",TH!M4733="1111")),TH!D4733,""),"")</f>
        <v/>
      </c>
      <c r="B4733" s="531" t="str">
        <f t="shared" si="566"/>
        <v/>
      </c>
      <c r="C4733" s="315"/>
      <c r="D4733" s="315"/>
      <c r="E4733" s="545"/>
      <c r="F4733" s="248"/>
      <c r="G4733" s="314"/>
      <c r="H4733" s="473"/>
      <c r="I4733" s="307"/>
      <c r="J4733" s="307"/>
      <c r="K4733" s="532"/>
      <c r="L4733" s="533"/>
      <c r="M4733" s="533"/>
      <c r="N4733" s="525" t="str">
        <f>IF(AND('331-CT'!$E$7=TH!H4733,OR(L4733="331",M4733="331")),"331",IF(AND(OR(L4733="131",M4733="131"),H4733='131-CT'!$E$7),"131",""))</f>
        <v/>
      </c>
      <c r="O4733" s="525" t="str">
        <f>IF(AND($B4733&gt;='111'!$N$11,$B4733&lt;='111'!$O$11,OR($L4733=$O$7,$M4733=$O$7)),"x","")</f>
        <v/>
      </c>
      <c r="P4733" s="525" t="str">
        <f>IF(AND($L4733=$O$7,$B4733&lt;'111'!$N$11),"x","")</f>
        <v/>
      </c>
      <c r="Q4733" s="525" t="str">
        <f>IF(AND($M4733=$O$7,$B4733&lt;'111'!$N$11),"x","")</f>
        <v/>
      </c>
      <c r="R4733" s="525" t="str">
        <f>IF(ISERROR(FIND('112'!$M$9,G4733,1)),"",IF((AND(FIND('112'!$M$9,G4733,1)&gt;=1,$B4733&gt;='112'!$N$8,$B4733&lt;='112'!$O$8,OR($L4733='112'!$I$6,$M4733='112'!$I$6))),"x",""))</f>
        <v/>
      </c>
      <c r="S4733" s="525" t="str">
        <f>IF(ISERROR(FIND('112'!$M$9,G4733,1)),"",IF((AND(LEFT(G4733,2)=LEFT('112'!$M$9,2),B4733&lt;'112'!$N$8,$L4733='112'!$I$6)),"x",""))</f>
        <v/>
      </c>
      <c r="T4733" s="525" t="str">
        <f>IF(ISERROR(FIND('112'!$M$9,G4733,1)),"",IF((AND(RIGHT(G4733,2)=RIGHT('112'!$M$9,2),B4733&lt;'112'!$N$8,$M4733='112'!$I$6)),"x",""))</f>
        <v/>
      </c>
      <c r="U4733" s="525" t="str">
        <f>IF(AND(B4733&gt;='IN-NX'!$P$3,B4733&lt;='IN-NX'!$Q$3,'IN-NX'!$D$7=D4733,OR(LEFT(L4733,2)="15",AND(LEFT(M4733,2)&lt;&gt;"15",LEFT(M4733,2)&lt;&gt;"33"))),"x","")</f>
        <v/>
      </c>
      <c r="V4733" s="525" t="str">
        <f>IF(AND(OR(LEFT(TH!L4733,2)="15",LEFT(TH!M4733,2)="15"),'152-CT'!$J$8=TH!F4733),"x","")</f>
        <v/>
      </c>
      <c r="W4733" s="525" t="str">
        <f>IF(AND(OR(LEFT(TH!L4733,2)="15",LEFT(TH!M4733,2)="15"),TK!$E$7=TH!F4733),"x","")</f>
        <v/>
      </c>
      <c r="X4733" s="525" t="str">
        <f>IF(AND('341-CT'!$E$9=H4733,OR(LEFT(L4733,3)=$X$7,LEFT(M4733,3)=$X$7)),"x","")</f>
        <v/>
      </c>
      <c r="Y4733" s="525" t="str">
        <f>IF(OR(TH!L4733=TH!$Y$7,M4733=TH!$Y$7),"x","")</f>
        <v/>
      </c>
      <c r="Z4733" s="525" t="str">
        <f>IF(AND(B4733&lt;=NKC!$N$8,B4733&gt;=NKC!$M$8),"x","")</f>
        <v/>
      </c>
      <c r="AA4733" s="535"/>
      <c r="AB4733" s="536"/>
      <c r="AD4733" s="536"/>
    </row>
    <row r="4734" spans="1:30" s="503" customFormat="1" ht="15.75" customHeight="1">
      <c r="A4734" s="517" t="str">
        <f>IF(B4734&lt;&gt;"",IF(AND(B4734&gt;=_TM1,B4734&lt;=_TM2,OR(TH!L4734="1111",TH!M4734="1111")),TH!D4734,""),"")</f>
        <v/>
      </c>
      <c r="B4734" s="531" t="str">
        <f t="shared" si="566"/>
        <v/>
      </c>
      <c r="C4734" s="315"/>
      <c r="D4734" s="315"/>
      <c r="E4734" s="545"/>
      <c r="F4734" s="248"/>
      <c r="G4734" s="314"/>
      <c r="H4734" s="473"/>
      <c r="I4734" s="307"/>
      <c r="J4734" s="307"/>
      <c r="K4734" s="532"/>
      <c r="L4734" s="533"/>
      <c r="M4734" s="533"/>
      <c r="N4734" s="525" t="str">
        <f>IF(AND('331-CT'!$E$7=TH!H4734,OR(L4734="331",M4734="331")),"331",IF(AND(OR(L4734="131",M4734="131"),H4734='131-CT'!$E$7),"131",""))</f>
        <v/>
      </c>
      <c r="O4734" s="525" t="str">
        <f>IF(AND($B4734&gt;='111'!$N$11,$B4734&lt;='111'!$O$11,OR($L4734=$O$7,$M4734=$O$7)),"x","")</f>
        <v/>
      </c>
      <c r="P4734" s="525" t="str">
        <f>IF(AND($L4734=$O$7,$B4734&lt;'111'!$N$11),"x","")</f>
        <v/>
      </c>
      <c r="Q4734" s="525" t="str">
        <f>IF(AND($M4734=$O$7,$B4734&lt;'111'!$N$11),"x","")</f>
        <v/>
      </c>
      <c r="R4734" s="525" t="str">
        <f>IF(ISERROR(FIND('112'!$M$9,G4734,1)),"",IF((AND(FIND('112'!$M$9,G4734,1)&gt;=1,$B4734&gt;='112'!$N$8,$B4734&lt;='112'!$O$8,OR($L4734='112'!$I$6,$M4734='112'!$I$6))),"x",""))</f>
        <v/>
      </c>
      <c r="S4734" s="525" t="str">
        <f>IF(ISERROR(FIND('112'!$M$9,G4734,1)),"",IF((AND(LEFT(G4734,2)=LEFT('112'!$M$9,2),B4734&lt;'112'!$N$8,$L4734='112'!$I$6)),"x",""))</f>
        <v/>
      </c>
      <c r="T4734" s="525" t="str">
        <f>IF(ISERROR(FIND('112'!$M$9,G4734,1)),"",IF((AND(RIGHT(G4734,2)=RIGHT('112'!$M$9,2),B4734&lt;'112'!$N$8,$M4734='112'!$I$6)),"x",""))</f>
        <v/>
      </c>
      <c r="U4734" s="525" t="str">
        <f>IF(AND(B4734&gt;='IN-NX'!$P$3,B4734&lt;='IN-NX'!$Q$3,'IN-NX'!$D$7=D4734,OR(LEFT(L4734,2)="15",AND(LEFT(M4734,2)&lt;&gt;"15",LEFT(M4734,2)&lt;&gt;"33"))),"x","")</f>
        <v/>
      </c>
      <c r="V4734" s="525" t="str">
        <f>IF(AND(OR(LEFT(TH!L4734,2)="15",LEFT(TH!M4734,2)="15"),'152-CT'!$J$8=TH!F4734),"x","")</f>
        <v/>
      </c>
      <c r="W4734" s="525" t="str">
        <f>IF(AND(OR(LEFT(TH!L4734,2)="15",LEFT(TH!M4734,2)="15"),TK!$E$7=TH!F4734),"x","")</f>
        <v/>
      </c>
      <c r="X4734" s="525" t="str">
        <f>IF(AND('341-CT'!$E$9=H4734,OR(LEFT(L4734,3)=$X$7,LEFT(M4734,3)=$X$7)),"x","")</f>
        <v/>
      </c>
      <c r="Y4734" s="525" t="str">
        <f>IF(OR(TH!L4734=TH!$Y$7,M4734=TH!$Y$7),"x","")</f>
        <v/>
      </c>
      <c r="Z4734" s="525" t="str">
        <f>IF(AND(B4734&lt;=NKC!$N$8,B4734&gt;=NKC!$M$8),"x","")</f>
        <v/>
      </c>
      <c r="AA4734" s="535"/>
      <c r="AB4734" s="536"/>
    </row>
    <row r="4735" spans="1:30" s="503" customFormat="1" ht="15.75" customHeight="1">
      <c r="A4735" s="517" t="str">
        <f>IF(B4735&lt;&gt;"",IF(AND(B4735&gt;=_TM1,B4735&lt;=_TM2,OR(TH!L4735="1111",TH!M4735="1111")),TH!D4735,""),"")</f>
        <v/>
      </c>
      <c r="B4735" s="531" t="str">
        <f t="shared" si="566"/>
        <v/>
      </c>
      <c r="C4735" s="315"/>
      <c r="D4735" s="315"/>
      <c r="E4735" s="545"/>
      <c r="F4735" s="248"/>
      <c r="G4735" s="314"/>
      <c r="H4735" s="473"/>
      <c r="I4735" s="307"/>
      <c r="J4735" s="307"/>
      <c r="K4735" s="532"/>
      <c r="L4735" s="533"/>
      <c r="M4735" s="533"/>
      <c r="N4735" s="525" t="str">
        <f>IF(AND('331-CT'!$E$7=TH!H4735,OR(L4735="331",M4735="331")),"331",IF(AND(OR(L4735="131",M4735="131"),H4735='131-CT'!$E$7),"131",""))</f>
        <v/>
      </c>
      <c r="O4735" s="525" t="str">
        <f>IF(AND($B4735&gt;='111'!$N$11,$B4735&lt;='111'!$O$11,OR($L4735=$O$7,$M4735=$O$7)),"x","")</f>
        <v/>
      </c>
      <c r="P4735" s="525" t="str">
        <f>IF(AND($L4735=$O$7,$B4735&lt;'111'!$N$11),"x","")</f>
        <v/>
      </c>
      <c r="Q4735" s="525" t="str">
        <f>IF(AND($M4735=$O$7,$B4735&lt;'111'!$N$11),"x","")</f>
        <v/>
      </c>
      <c r="R4735" s="525" t="str">
        <f>IF(ISERROR(FIND('112'!$M$9,G4735,1)),"",IF((AND(FIND('112'!$M$9,G4735,1)&gt;=1,$B4735&gt;='112'!$N$8,$B4735&lt;='112'!$O$8,OR($L4735='112'!$I$6,$M4735='112'!$I$6))),"x",""))</f>
        <v/>
      </c>
      <c r="S4735" s="525" t="str">
        <f>IF(ISERROR(FIND('112'!$M$9,G4735,1)),"",IF((AND(LEFT(G4735,2)=LEFT('112'!$M$9,2),B4735&lt;'112'!$N$8,$L4735='112'!$I$6)),"x",""))</f>
        <v/>
      </c>
      <c r="T4735" s="525" t="str">
        <f>IF(ISERROR(FIND('112'!$M$9,G4735,1)),"",IF((AND(RIGHT(G4735,2)=RIGHT('112'!$M$9,2),B4735&lt;'112'!$N$8,$M4735='112'!$I$6)),"x",""))</f>
        <v/>
      </c>
      <c r="U4735" s="525" t="str">
        <f>IF(AND(B4735&gt;='IN-NX'!$P$3,B4735&lt;='IN-NX'!$Q$3,'IN-NX'!$D$7=D4735,OR(LEFT(L4735,2)="15",AND(LEFT(M4735,2)&lt;&gt;"15",LEFT(M4735,2)&lt;&gt;"33"))),"x","")</f>
        <v/>
      </c>
      <c r="V4735" s="525" t="str">
        <f>IF(AND(OR(LEFT(TH!L4735,2)="15",LEFT(TH!M4735,2)="15"),'152-CT'!$J$8=TH!F4735),"x","")</f>
        <v/>
      </c>
      <c r="W4735" s="525" t="str">
        <f>IF(AND(OR(LEFT(TH!L4735,2)="15",LEFT(TH!M4735,2)="15"),TK!$E$7=TH!F4735),"x","")</f>
        <v/>
      </c>
      <c r="X4735" s="525" t="str">
        <f>IF(AND('341-CT'!$E$9=H4735,OR(LEFT(L4735,3)=$X$7,LEFT(M4735,3)=$X$7)),"x","")</f>
        <v/>
      </c>
      <c r="Y4735" s="525" t="str">
        <f>IF(OR(TH!L4735=TH!$Y$7,M4735=TH!$Y$7),"x","")</f>
        <v/>
      </c>
      <c r="Z4735" s="525" t="str">
        <f>IF(AND(B4735&lt;=NKC!$N$8,B4735&gt;=NKC!$M$8),"x","")</f>
        <v/>
      </c>
      <c r="AA4735" s="535"/>
      <c r="AB4735" s="536"/>
    </row>
    <row r="4736" spans="1:30" s="503" customFormat="1" ht="15.75" customHeight="1">
      <c r="A4736" s="517" t="str">
        <f>IF(B4736&lt;&gt;"",IF(AND(B4736&gt;=_TM1,B4736&lt;=_TM2,OR(TH!L4736="1111",TH!M4736="1111")),TH!D4736,""),"")</f>
        <v/>
      </c>
      <c r="B4736" s="531" t="str">
        <f t="shared" si="566"/>
        <v/>
      </c>
      <c r="C4736" s="315"/>
      <c r="D4736" s="315"/>
      <c r="E4736" s="545"/>
      <c r="F4736" s="249"/>
      <c r="G4736" s="314"/>
      <c r="H4736" s="473"/>
      <c r="I4736" s="307"/>
      <c r="J4736" s="307"/>
      <c r="K4736" s="532"/>
      <c r="L4736" s="533"/>
      <c r="M4736" s="533"/>
      <c r="N4736" s="525" t="str">
        <f>IF(AND('331-CT'!$E$7=TH!H4736,OR(L4736="331",M4736="331")),"331",IF(AND(OR(L4736="131",M4736="131"),H4736='131-CT'!$E$7),"131",""))</f>
        <v/>
      </c>
      <c r="O4736" s="525" t="str">
        <f>IF(AND($B4736&gt;='111'!$N$11,$B4736&lt;='111'!$O$11,OR($L4736=$O$7,$M4736=$O$7)),"x","")</f>
        <v/>
      </c>
      <c r="P4736" s="525" t="str">
        <f>IF(AND($L4736=$O$7,$B4736&lt;'111'!$N$11),"x","")</f>
        <v/>
      </c>
      <c r="Q4736" s="525" t="str">
        <f>IF(AND($M4736=$O$7,$B4736&lt;'111'!$N$11),"x","")</f>
        <v/>
      </c>
      <c r="R4736" s="525" t="str">
        <f>IF(ISERROR(FIND('112'!$M$9,G4736,1)),"",IF((AND(FIND('112'!$M$9,G4736,1)&gt;=1,$B4736&gt;='112'!$N$8,$B4736&lt;='112'!$O$8,OR($L4736='112'!$I$6,$M4736='112'!$I$6))),"x",""))</f>
        <v/>
      </c>
      <c r="S4736" s="525" t="str">
        <f>IF(ISERROR(FIND('112'!$M$9,G4736,1)),"",IF((AND(LEFT(G4736,2)=LEFT('112'!$M$9,2),B4736&lt;'112'!$N$8,$L4736='112'!$I$6)),"x",""))</f>
        <v/>
      </c>
      <c r="T4736" s="525" t="str">
        <f>IF(ISERROR(FIND('112'!$M$9,G4736,1)),"",IF((AND(RIGHT(G4736,2)=RIGHT('112'!$M$9,2),B4736&lt;'112'!$N$8,$M4736='112'!$I$6)),"x",""))</f>
        <v/>
      </c>
      <c r="U4736" s="525" t="str">
        <f>IF(AND(B4736&gt;='IN-NX'!$P$3,B4736&lt;='IN-NX'!$Q$3,'IN-NX'!$D$7=D4736,OR(LEFT(L4736,2)="15",AND(LEFT(M4736,2)&lt;&gt;"15",LEFT(M4736,2)&lt;&gt;"33"))),"x","")</f>
        <v/>
      </c>
      <c r="V4736" s="525" t="str">
        <f>IF(AND(OR(LEFT(TH!L4736,2)="15",LEFT(TH!M4736,2)="15"),'152-CT'!$J$8=TH!F4736),"x","")</f>
        <v/>
      </c>
      <c r="W4736" s="525" t="str">
        <f>IF(AND(OR(LEFT(TH!L4736,2)="15",LEFT(TH!M4736,2)="15"),TK!$E$7=TH!F4736),"x","")</f>
        <v/>
      </c>
      <c r="X4736" s="525" t="str">
        <f>IF(AND('341-CT'!$E$9=H4736,OR(LEFT(L4736,3)=$X$7,LEFT(M4736,3)=$X$7)),"x","")</f>
        <v/>
      </c>
      <c r="Y4736" s="525" t="str">
        <f>IF(OR(TH!L4736=TH!$Y$7,M4736=TH!$Y$7),"x","")</f>
        <v/>
      </c>
      <c r="Z4736" s="525" t="str">
        <f>IF(AND(B4736&lt;=NKC!$N$8,B4736&gt;=NKC!$M$8),"x","")</f>
        <v/>
      </c>
      <c r="AA4736" s="535"/>
      <c r="AB4736" s="536"/>
      <c r="AD4736" s="536"/>
    </row>
    <row r="4737" spans="1:30" s="503" customFormat="1" ht="15.75" customHeight="1">
      <c r="A4737" s="517" t="str">
        <f>IF(B4737&lt;&gt;"",IF(AND(B4737&gt;=_TM1,B4737&lt;=_TM2,OR(TH!L4737="1111",TH!M4737="1111")),TH!D4737,""),"")</f>
        <v/>
      </c>
      <c r="B4737" s="531" t="str">
        <f t="shared" si="566"/>
        <v/>
      </c>
      <c r="C4737" s="315"/>
      <c r="D4737" s="315"/>
      <c r="E4737" s="545"/>
      <c r="F4737" s="248"/>
      <c r="G4737" s="314"/>
      <c r="H4737" s="473"/>
      <c r="I4737" s="307"/>
      <c r="J4737" s="307"/>
      <c r="K4737" s="532"/>
      <c r="L4737" s="533"/>
      <c r="M4737" s="533"/>
      <c r="N4737" s="525" t="str">
        <f>IF(AND('331-CT'!$E$7=TH!H4737,OR(L4737="331",M4737="331")),"331",IF(AND(OR(L4737="131",M4737="131"),H4737='131-CT'!$E$7),"131",""))</f>
        <v/>
      </c>
      <c r="O4737" s="525" t="str">
        <f>IF(AND($B4737&gt;='111'!$N$11,$B4737&lt;='111'!$O$11,OR($L4737=$O$7,$M4737=$O$7)),"x","")</f>
        <v/>
      </c>
      <c r="P4737" s="525" t="str">
        <f>IF(AND($L4737=$O$7,$B4737&lt;'111'!$N$11),"x","")</f>
        <v/>
      </c>
      <c r="Q4737" s="525" t="str">
        <f>IF(AND($M4737=$O$7,$B4737&lt;'111'!$N$11),"x","")</f>
        <v/>
      </c>
      <c r="R4737" s="525" t="str">
        <f>IF(ISERROR(FIND('112'!$M$9,G4737,1)),"",IF((AND(FIND('112'!$M$9,G4737,1)&gt;=1,$B4737&gt;='112'!$N$8,$B4737&lt;='112'!$O$8,OR($L4737='112'!$I$6,$M4737='112'!$I$6))),"x",""))</f>
        <v/>
      </c>
      <c r="S4737" s="525" t="str">
        <f>IF(ISERROR(FIND('112'!$M$9,G4737,1)),"",IF((AND(LEFT(G4737,2)=LEFT('112'!$M$9,2),B4737&lt;'112'!$N$8,$L4737='112'!$I$6)),"x",""))</f>
        <v/>
      </c>
      <c r="T4737" s="525" t="str">
        <f>IF(ISERROR(FIND('112'!$M$9,G4737,1)),"",IF((AND(RIGHT(G4737,2)=RIGHT('112'!$M$9,2),B4737&lt;'112'!$N$8,$M4737='112'!$I$6)),"x",""))</f>
        <v/>
      </c>
      <c r="U4737" s="525" t="str">
        <f>IF(AND(B4737&gt;='IN-NX'!$P$3,B4737&lt;='IN-NX'!$Q$3,'IN-NX'!$D$7=D4737,OR(LEFT(L4737,2)="15",AND(LEFT(M4737,2)&lt;&gt;"15",LEFT(M4737,2)&lt;&gt;"33"))),"x","")</f>
        <v/>
      </c>
      <c r="V4737" s="525" t="str">
        <f>IF(AND(OR(LEFT(TH!L4737,2)="15",LEFT(TH!M4737,2)="15"),'152-CT'!$J$8=TH!F4737),"x","")</f>
        <v/>
      </c>
      <c r="W4737" s="525" t="str">
        <f>IF(AND(OR(LEFT(TH!L4737,2)="15",LEFT(TH!M4737,2)="15"),TK!$E$7=TH!F4737),"x","")</f>
        <v/>
      </c>
      <c r="X4737" s="525" t="str">
        <f>IF(AND('341-CT'!$E$9=H4737,OR(LEFT(L4737,3)=$X$7,LEFT(M4737,3)=$X$7)),"x","")</f>
        <v/>
      </c>
      <c r="Y4737" s="525" t="str">
        <f>IF(OR(TH!L4737=TH!$Y$7,M4737=TH!$Y$7),"x","")</f>
        <v/>
      </c>
      <c r="Z4737" s="525" t="str">
        <f>IF(AND(B4737&lt;=NKC!$N$8,B4737&gt;=NKC!$M$8),"x","")</f>
        <v/>
      </c>
      <c r="AA4737" s="535"/>
      <c r="AB4737" s="536"/>
    </row>
    <row r="4738" spans="1:30" s="503" customFormat="1" ht="15.75" customHeight="1">
      <c r="A4738" s="517" t="str">
        <f>IF(B4738&lt;&gt;"",IF(AND(B4738&gt;=_TM1,B4738&lt;=_TM2,OR(TH!L4738="1111",TH!M4738="1111")),TH!D4738,""),"")</f>
        <v/>
      </c>
      <c r="B4738" s="531" t="str">
        <f t="shared" si="566"/>
        <v/>
      </c>
      <c r="C4738" s="315"/>
      <c r="D4738" s="315"/>
      <c r="E4738" s="545"/>
      <c r="F4738" s="248"/>
      <c r="G4738" s="314"/>
      <c r="H4738" s="473"/>
      <c r="I4738" s="307"/>
      <c r="J4738" s="307"/>
      <c r="K4738" s="532"/>
      <c r="L4738" s="533"/>
      <c r="M4738" s="533"/>
      <c r="N4738" s="525" t="str">
        <f>IF(AND('331-CT'!$E$7=TH!H4738,OR(L4738="331",M4738="331")),"331",IF(AND(OR(L4738="131",M4738="131"),H4738='131-CT'!$E$7),"131",""))</f>
        <v/>
      </c>
      <c r="O4738" s="525" t="str">
        <f>IF(AND($B4738&gt;='111'!$N$11,$B4738&lt;='111'!$O$11,OR($L4738=$O$7,$M4738=$O$7)),"x","")</f>
        <v/>
      </c>
      <c r="P4738" s="525" t="str">
        <f>IF(AND($L4738=$O$7,$B4738&lt;'111'!$N$11),"x","")</f>
        <v/>
      </c>
      <c r="Q4738" s="525" t="str">
        <f>IF(AND($M4738=$O$7,$B4738&lt;'111'!$N$11),"x","")</f>
        <v/>
      </c>
      <c r="R4738" s="525" t="str">
        <f>IF(ISERROR(FIND('112'!$M$9,G4738,1)),"",IF((AND(FIND('112'!$M$9,G4738,1)&gt;=1,$B4738&gt;='112'!$N$8,$B4738&lt;='112'!$O$8,OR($L4738='112'!$I$6,$M4738='112'!$I$6))),"x",""))</f>
        <v/>
      </c>
      <c r="S4738" s="525" t="str">
        <f>IF(ISERROR(FIND('112'!$M$9,G4738,1)),"",IF((AND(LEFT(G4738,2)=LEFT('112'!$M$9,2),B4738&lt;'112'!$N$8,$L4738='112'!$I$6)),"x",""))</f>
        <v/>
      </c>
      <c r="T4738" s="525" t="str">
        <f>IF(ISERROR(FIND('112'!$M$9,G4738,1)),"",IF((AND(RIGHT(G4738,2)=RIGHT('112'!$M$9,2),B4738&lt;'112'!$N$8,$M4738='112'!$I$6)),"x",""))</f>
        <v/>
      </c>
      <c r="U4738" s="525" t="str">
        <f>IF(AND(B4738&gt;='IN-NX'!$P$3,B4738&lt;='IN-NX'!$Q$3,'IN-NX'!$D$7=D4738,OR(LEFT(L4738,2)="15",AND(LEFT(M4738,2)&lt;&gt;"15",LEFT(M4738,2)&lt;&gt;"33"))),"x","")</f>
        <v/>
      </c>
      <c r="V4738" s="525" t="str">
        <f>IF(AND(OR(LEFT(TH!L4738,2)="15",LEFT(TH!M4738,2)="15"),'152-CT'!$J$8=TH!F4738),"x","")</f>
        <v/>
      </c>
      <c r="W4738" s="525" t="str">
        <f>IF(AND(OR(LEFT(TH!L4738,2)="15",LEFT(TH!M4738,2)="15"),TK!$E$7=TH!F4738),"x","")</f>
        <v/>
      </c>
      <c r="X4738" s="525" t="str">
        <f>IF(AND('341-CT'!$E$9=H4738,OR(LEFT(L4738,3)=$X$7,LEFT(M4738,3)=$X$7)),"x","")</f>
        <v/>
      </c>
      <c r="Y4738" s="525" t="str">
        <f>IF(OR(TH!L4738=TH!$Y$7,M4738=TH!$Y$7),"x","")</f>
        <v/>
      </c>
      <c r="Z4738" s="525" t="str">
        <f>IF(AND(B4738&lt;=NKC!$N$8,B4738&gt;=NKC!$M$8),"x","")</f>
        <v/>
      </c>
      <c r="AA4738" s="535"/>
      <c r="AB4738" s="536"/>
    </row>
    <row r="4739" spans="1:30" s="503" customFormat="1" ht="15.75" customHeight="1">
      <c r="A4739" s="517" t="str">
        <f>IF(B4739&lt;&gt;"",IF(AND(B4739&gt;=_TM1,B4739&lt;=_TM2,OR(TH!L4739="1111",TH!M4739="1111")),TH!D4739,""),"")</f>
        <v/>
      </c>
      <c r="B4739" s="531" t="str">
        <f t="shared" si="566"/>
        <v/>
      </c>
      <c r="C4739" s="315"/>
      <c r="D4739" s="315"/>
      <c r="E4739" s="545"/>
      <c r="F4739" s="248"/>
      <c r="G4739" s="314"/>
      <c r="H4739" s="473"/>
      <c r="I4739" s="307"/>
      <c r="J4739" s="307"/>
      <c r="K4739" s="532"/>
      <c r="L4739" s="533"/>
      <c r="M4739" s="533"/>
      <c r="N4739" s="525" t="str">
        <f>IF(AND('331-CT'!$E$7=TH!H4739,OR(L4739="331",M4739="331")),"331",IF(AND(OR(L4739="131",M4739="131"),H4739='131-CT'!$E$7),"131",""))</f>
        <v/>
      </c>
      <c r="O4739" s="525" t="str">
        <f>IF(AND($B4739&gt;='111'!$N$11,$B4739&lt;='111'!$O$11,OR($L4739=$O$7,$M4739=$O$7)),"x","")</f>
        <v/>
      </c>
      <c r="P4739" s="525" t="str">
        <f>IF(AND($L4739=$O$7,$B4739&lt;'111'!$N$11),"x","")</f>
        <v/>
      </c>
      <c r="Q4739" s="525" t="str">
        <f>IF(AND($M4739=$O$7,$B4739&lt;'111'!$N$11),"x","")</f>
        <v/>
      </c>
      <c r="R4739" s="525" t="str">
        <f>IF(ISERROR(FIND('112'!$M$9,G4739,1)),"",IF((AND(FIND('112'!$M$9,G4739,1)&gt;=1,$B4739&gt;='112'!$N$8,$B4739&lt;='112'!$O$8,OR($L4739='112'!$I$6,$M4739='112'!$I$6))),"x",""))</f>
        <v/>
      </c>
      <c r="S4739" s="525" t="str">
        <f>IF(ISERROR(FIND('112'!$M$9,G4739,1)),"",IF((AND(LEFT(G4739,2)=LEFT('112'!$M$9,2),B4739&lt;'112'!$N$8,$L4739='112'!$I$6)),"x",""))</f>
        <v/>
      </c>
      <c r="T4739" s="525" t="str">
        <f>IF(ISERROR(FIND('112'!$M$9,G4739,1)),"",IF((AND(RIGHT(G4739,2)=RIGHT('112'!$M$9,2),B4739&lt;'112'!$N$8,$M4739='112'!$I$6)),"x",""))</f>
        <v/>
      </c>
      <c r="U4739" s="525" t="str">
        <f>IF(AND(B4739&gt;='IN-NX'!$P$3,B4739&lt;='IN-NX'!$Q$3,'IN-NX'!$D$7=D4739,OR(LEFT(L4739,2)="15",AND(LEFT(M4739,2)&lt;&gt;"15",LEFT(M4739,2)&lt;&gt;"33"))),"x","")</f>
        <v/>
      </c>
      <c r="V4739" s="525" t="str">
        <f>IF(AND(OR(LEFT(TH!L4739,2)="15",LEFT(TH!M4739,2)="15"),'152-CT'!$J$8=TH!F4739),"x","")</f>
        <v/>
      </c>
      <c r="W4739" s="525" t="str">
        <f>IF(AND(OR(LEFT(TH!L4739,2)="15",LEFT(TH!M4739,2)="15"),TK!$E$7=TH!F4739),"x","")</f>
        <v/>
      </c>
      <c r="X4739" s="525" t="str">
        <f>IF(AND('341-CT'!$E$9=H4739,OR(LEFT(L4739,3)=$X$7,LEFT(M4739,3)=$X$7)),"x","")</f>
        <v/>
      </c>
      <c r="Y4739" s="525" t="str">
        <f>IF(OR(TH!L4739=TH!$Y$7,M4739=TH!$Y$7),"x","")</f>
        <v/>
      </c>
      <c r="Z4739" s="525" t="str">
        <f>IF(AND(B4739&lt;=NKC!$N$8,B4739&gt;=NKC!$M$8),"x","")</f>
        <v/>
      </c>
      <c r="AA4739" s="535"/>
      <c r="AB4739" s="536"/>
      <c r="AD4739" s="536"/>
    </row>
    <row r="4740" spans="1:30" s="503" customFormat="1" ht="15.75" customHeight="1">
      <c r="A4740" s="517" t="str">
        <f>IF(B4740&lt;&gt;"",IF(AND(B4740&gt;=_TM1,B4740&lt;=_TM2,OR(TH!L4740="1111",TH!M4740="1111")),TH!D4740,""),"")</f>
        <v/>
      </c>
      <c r="B4740" s="531" t="str">
        <f t="shared" si="566"/>
        <v/>
      </c>
      <c r="C4740" s="315"/>
      <c r="D4740" s="315"/>
      <c r="E4740" s="545"/>
      <c r="F4740" s="248"/>
      <c r="G4740" s="314"/>
      <c r="H4740" s="473"/>
      <c r="I4740" s="307"/>
      <c r="J4740" s="307"/>
      <c r="K4740" s="532"/>
      <c r="L4740" s="533"/>
      <c r="M4740" s="533"/>
      <c r="N4740" s="525" t="str">
        <f>IF(AND('331-CT'!$E$7=TH!H4740,OR(L4740="331",M4740="331")),"331",IF(AND(OR(L4740="131",M4740="131"),H4740='131-CT'!$E$7),"131",""))</f>
        <v/>
      </c>
      <c r="O4740" s="525" t="str">
        <f>IF(AND($B4740&gt;='111'!$N$11,$B4740&lt;='111'!$O$11,OR($L4740=$O$7,$M4740=$O$7)),"x","")</f>
        <v/>
      </c>
      <c r="P4740" s="525" t="str">
        <f>IF(AND($L4740=$O$7,$B4740&lt;'111'!$N$11),"x","")</f>
        <v/>
      </c>
      <c r="Q4740" s="525" t="str">
        <f>IF(AND($M4740=$O$7,$B4740&lt;'111'!$N$11),"x","")</f>
        <v/>
      </c>
      <c r="R4740" s="525" t="str">
        <f>IF(ISERROR(FIND('112'!$M$9,G4740,1)),"",IF((AND(FIND('112'!$M$9,G4740,1)&gt;=1,$B4740&gt;='112'!$N$8,$B4740&lt;='112'!$O$8,OR($L4740='112'!$I$6,$M4740='112'!$I$6))),"x",""))</f>
        <v/>
      </c>
      <c r="S4740" s="525" t="str">
        <f>IF(ISERROR(FIND('112'!$M$9,G4740,1)),"",IF((AND(LEFT(G4740,2)=LEFT('112'!$M$9,2),B4740&lt;'112'!$N$8,$L4740='112'!$I$6)),"x",""))</f>
        <v/>
      </c>
      <c r="T4740" s="525" t="str">
        <f>IF(ISERROR(FIND('112'!$M$9,G4740,1)),"",IF((AND(RIGHT(G4740,2)=RIGHT('112'!$M$9,2),B4740&lt;'112'!$N$8,$M4740='112'!$I$6)),"x",""))</f>
        <v/>
      </c>
      <c r="U4740" s="525" t="str">
        <f>IF(AND(B4740&gt;='IN-NX'!$P$3,B4740&lt;='IN-NX'!$Q$3,'IN-NX'!$D$7=D4740,OR(LEFT(L4740,2)="15",AND(LEFT(M4740,2)&lt;&gt;"15",LEFT(M4740,2)&lt;&gt;"33"))),"x","")</f>
        <v/>
      </c>
      <c r="V4740" s="525" t="str">
        <f>IF(AND(OR(LEFT(TH!L4740,2)="15",LEFT(TH!M4740,2)="15"),'152-CT'!$J$8=TH!F4740),"x","")</f>
        <v/>
      </c>
      <c r="W4740" s="525" t="str">
        <f>IF(AND(OR(LEFT(TH!L4740,2)="15",LEFT(TH!M4740,2)="15"),TK!$E$7=TH!F4740),"x","")</f>
        <v/>
      </c>
      <c r="X4740" s="525" t="str">
        <f>IF(AND('341-CT'!$E$9=H4740,OR(LEFT(L4740,3)=$X$7,LEFT(M4740,3)=$X$7)),"x","")</f>
        <v/>
      </c>
      <c r="Y4740" s="525" t="str">
        <f>IF(OR(TH!L4740=TH!$Y$7,M4740=TH!$Y$7),"x","")</f>
        <v/>
      </c>
      <c r="Z4740" s="525" t="str">
        <f>IF(AND(B4740&lt;=NKC!$N$8,B4740&gt;=NKC!$M$8),"x","")</f>
        <v/>
      </c>
      <c r="AA4740" s="535"/>
      <c r="AB4740" s="536"/>
    </row>
    <row r="4741" spans="1:30" s="503" customFormat="1" ht="15.75" customHeight="1">
      <c r="A4741" s="517" t="str">
        <f>IF(B4741&lt;&gt;"",IF(AND(B4741&gt;=_TM1,B4741&lt;=_TM2,OR(TH!L4741="1111",TH!M4741="1111")),TH!D4741,""),"")</f>
        <v/>
      </c>
      <c r="B4741" s="531" t="str">
        <f t="shared" si="566"/>
        <v/>
      </c>
      <c r="C4741" s="315"/>
      <c r="D4741" s="315"/>
      <c r="E4741" s="545"/>
      <c r="F4741" s="248"/>
      <c r="G4741" s="314"/>
      <c r="H4741" s="473"/>
      <c r="I4741" s="307"/>
      <c r="J4741" s="307"/>
      <c r="K4741" s="532"/>
      <c r="L4741" s="533"/>
      <c r="M4741" s="533"/>
      <c r="N4741" s="525" t="str">
        <f>IF(AND('331-CT'!$E$7=TH!H4741,OR(L4741="331",M4741="331")),"331",IF(AND(OR(L4741="131",M4741="131"),H4741='131-CT'!$E$7),"131",""))</f>
        <v/>
      </c>
      <c r="O4741" s="525" t="str">
        <f>IF(AND($B4741&gt;='111'!$N$11,$B4741&lt;='111'!$O$11,OR($L4741=$O$7,$M4741=$O$7)),"x","")</f>
        <v/>
      </c>
      <c r="P4741" s="525" t="str">
        <f>IF(AND($L4741=$O$7,$B4741&lt;'111'!$N$11),"x","")</f>
        <v/>
      </c>
      <c r="Q4741" s="525" t="str">
        <f>IF(AND($M4741=$O$7,$B4741&lt;'111'!$N$11),"x","")</f>
        <v/>
      </c>
      <c r="R4741" s="525" t="str">
        <f>IF(ISERROR(FIND('112'!$M$9,G4741,1)),"",IF((AND(FIND('112'!$M$9,G4741,1)&gt;=1,$B4741&gt;='112'!$N$8,$B4741&lt;='112'!$O$8,OR($L4741='112'!$I$6,$M4741='112'!$I$6))),"x",""))</f>
        <v/>
      </c>
      <c r="S4741" s="525" t="str">
        <f>IF(ISERROR(FIND('112'!$M$9,G4741,1)),"",IF((AND(LEFT(G4741,2)=LEFT('112'!$M$9,2),B4741&lt;'112'!$N$8,$L4741='112'!$I$6)),"x",""))</f>
        <v/>
      </c>
      <c r="T4741" s="525" t="str">
        <f>IF(ISERROR(FIND('112'!$M$9,G4741,1)),"",IF((AND(RIGHT(G4741,2)=RIGHT('112'!$M$9,2),B4741&lt;'112'!$N$8,$M4741='112'!$I$6)),"x",""))</f>
        <v/>
      </c>
      <c r="U4741" s="525" t="str">
        <f>IF(AND(B4741&gt;='IN-NX'!$P$3,B4741&lt;='IN-NX'!$Q$3,'IN-NX'!$D$7=D4741,OR(LEFT(L4741,2)="15",AND(LEFT(M4741,2)&lt;&gt;"15",LEFT(M4741,2)&lt;&gt;"33"))),"x","")</f>
        <v/>
      </c>
      <c r="V4741" s="525" t="str">
        <f>IF(AND(OR(LEFT(TH!L4741,2)="15",LEFT(TH!M4741,2)="15"),'152-CT'!$J$8=TH!F4741),"x","")</f>
        <v/>
      </c>
      <c r="W4741" s="525" t="str">
        <f>IF(AND(OR(LEFT(TH!L4741,2)="15",LEFT(TH!M4741,2)="15"),TK!$E$7=TH!F4741),"x","")</f>
        <v/>
      </c>
      <c r="X4741" s="525" t="str">
        <f>IF(AND('341-CT'!$E$9=H4741,OR(LEFT(L4741,3)=$X$7,LEFT(M4741,3)=$X$7)),"x","")</f>
        <v/>
      </c>
      <c r="Y4741" s="525" t="str">
        <f>IF(OR(TH!L4741=TH!$Y$7,M4741=TH!$Y$7),"x","")</f>
        <v/>
      </c>
      <c r="Z4741" s="525" t="str">
        <f>IF(AND(B4741&lt;=NKC!$N$8,B4741&gt;=NKC!$M$8),"x","")</f>
        <v/>
      </c>
      <c r="AA4741" s="535"/>
      <c r="AB4741" s="536"/>
    </row>
    <row r="4742" spans="1:30" s="503" customFormat="1" ht="15.75" customHeight="1">
      <c r="A4742" s="517" t="str">
        <f>IF(B4742&lt;&gt;"",IF(AND(B4742&gt;=_TM1,B4742&lt;=_TM2,OR(TH!L4742="1111",TH!M4742="1111")),TH!D4742,""),"")</f>
        <v/>
      </c>
      <c r="B4742" s="531" t="str">
        <f t="shared" si="566"/>
        <v/>
      </c>
      <c r="C4742" s="315"/>
      <c r="D4742" s="315"/>
      <c r="E4742" s="545"/>
      <c r="F4742" s="248"/>
      <c r="G4742" s="314"/>
      <c r="H4742" s="473"/>
      <c r="I4742" s="307"/>
      <c r="J4742" s="307"/>
      <c r="K4742" s="532"/>
      <c r="L4742" s="533"/>
      <c r="M4742" s="533"/>
      <c r="N4742" s="525" t="str">
        <f>IF(AND('331-CT'!$E$7=TH!H4742,OR(L4742="331",M4742="331")),"331",IF(AND(OR(L4742="131",M4742="131"),H4742='131-CT'!$E$7),"131",""))</f>
        <v/>
      </c>
      <c r="O4742" s="525" t="str">
        <f>IF(AND($B4742&gt;='111'!$N$11,$B4742&lt;='111'!$O$11,OR($L4742=$O$7,$M4742=$O$7)),"x","")</f>
        <v/>
      </c>
      <c r="P4742" s="525" t="str">
        <f>IF(AND($L4742=$O$7,$B4742&lt;'111'!$N$11),"x","")</f>
        <v/>
      </c>
      <c r="Q4742" s="525" t="str">
        <f>IF(AND($M4742=$O$7,$B4742&lt;'111'!$N$11),"x","")</f>
        <v/>
      </c>
      <c r="R4742" s="525" t="str">
        <f>IF(ISERROR(FIND('112'!$M$9,G4742,1)),"",IF((AND(FIND('112'!$M$9,G4742,1)&gt;=1,$B4742&gt;='112'!$N$8,$B4742&lt;='112'!$O$8,OR($L4742='112'!$I$6,$M4742='112'!$I$6))),"x",""))</f>
        <v/>
      </c>
      <c r="S4742" s="525" t="str">
        <f>IF(ISERROR(FIND('112'!$M$9,G4742,1)),"",IF((AND(LEFT(G4742,2)=LEFT('112'!$M$9,2),B4742&lt;'112'!$N$8,$L4742='112'!$I$6)),"x",""))</f>
        <v/>
      </c>
      <c r="T4742" s="525" t="str">
        <f>IF(ISERROR(FIND('112'!$M$9,G4742,1)),"",IF((AND(RIGHT(G4742,2)=RIGHT('112'!$M$9,2),B4742&lt;'112'!$N$8,$M4742='112'!$I$6)),"x",""))</f>
        <v/>
      </c>
      <c r="U4742" s="525" t="str">
        <f>IF(AND(B4742&gt;='IN-NX'!$P$3,B4742&lt;='IN-NX'!$Q$3,'IN-NX'!$D$7=D4742,OR(LEFT(L4742,2)="15",AND(LEFT(M4742,2)&lt;&gt;"15",LEFT(M4742,2)&lt;&gt;"33"))),"x","")</f>
        <v/>
      </c>
      <c r="V4742" s="525" t="str">
        <f>IF(AND(OR(LEFT(TH!L4742,2)="15",LEFT(TH!M4742,2)="15"),'152-CT'!$J$8=TH!F4742),"x","")</f>
        <v/>
      </c>
      <c r="W4742" s="525" t="str">
        <f>IF(AND(OR(LEFT(TH!L4742,2)="15",LEFT(TH!M4742,2)="15"),TK!$E$7=TH!F4742),"x","")</f>
        <v/>
      </c>
      <c r="X4742" s="525" t="str">
        <f>IF(AND('341-CT'!$E$9=H4742,OR(LEFT(L4742,3)=$X$7,LEFT(M4742,3)=$X$7)),"x","")</f>
        <v/>
      </c>
      <c r="Y4742" s="525" t="str">
        <f>IF(OR(TH!L4742=TH!$Y$7,M4742=TH!$Y$7),"x","")</f>
        <v/>
      </c>
      <c r="Z4742" s="525" t="str">
        <f>IF(AND(B4742&lt;=NKC!$N$8,B4742&gt;=NKC!$M$8),"x","")</f>
        <v/>
      </c>
      <c r="AA4742" s="535"/>
      <c r="AB4742" s="536"/>
      <c r="AD4742" s="536"/>
    </row>
    <row r="4743" spans="1:30" s="503" customFormat="1" ht="15.75" customHeight="1">
      <c r="A4743" s="517" t="str">
        <f>IF(B4743&lt;&gt;"",IF(AND(B4743&gt;=_TM1,B4743&lt;=_TM2,OR(TH!L4743="1111",TH!M4743="1111")),TH!D4743,""),"")</f>
        <v/>
      </c>
      <c r="B4743" s="531" t="str">
        <f t="shared" si="566"/>
        <v/>
      </c>
      <c r="C4743" s="315"/>
      <c r="D4743" s="315"/>
      <c r="E4743" s="545"/>
      <c r="F4743" s="248"/>
      <c r="G4743" s="314"/>
      <c r="H4743" s="473"/>
      <c r="I4743" s="307"/>
      <c r="J4743" s="307"/>
      <c r="K4743" s="532"/>
      <c r="L4743" s="533"/>
      <c r="M4743" s="533"/>
      <c r="N4743" s="525" t="str">
        <f>IF(AND('331-CT'!$E$7=TH!H4743,OR(L4743="331",M4743="331")),"331",IF(AND(OR(L4743="131",M4743="131"),H4743='131-CT'!$E$7),"131",""))</f>
        <v/>
      </c>
      <c r="O4743" s="525" t="str">
        <f>IF(AND($B4743&gt;='111'!$N$11,$B4743&lt;='111'!$O$11,OR($L4743=$O$7,$M4743=$O$7)),"x","")</f>
        <v/>
      </c>
      <c r="P4743" s="525" t="str">
        <f>IF(AND($L4743=$O$7,$B4743&lt;'111'!$N$11),"x","")</f>
        <v/>
      </c>
      <c r="Q4743" s="525" t="str">
        <f>IF(AND($M4743=$O$7,$B4743&lt;'111'!$N$11),"x","")</f>
        <v/>
      </c>
      <c r="R4743" s="525" t="str">
        <f>IF(ISERROR(FIND('112'!$M$9,G4743,1)),"",IF((AND(FIND('112'!$M$9,G4743,1)&gt;=1,$B4743&gt;='112'!$N$8,$B4743&lt;='112'!$O$8,OR($L4743='112'!$I$6,$M4743='112'!$I$6))),"x",""))</f>
        <v/>
      </c>
      <c r="S4743" s="525" t="str">
        <f>IF(ISERROR(FIND('112'!$M$9,G4743,1)),"",IF((AND(LEFT(G4743,2)=LEFT('112'!$M$9,2),B4743&lt;'112'!$N$8,$L4743='112'!$I$6)),"x",""))</f>
        <v/>
      </c>
      <c r="T4743" s="525" t="str">
        <f>IF(ISERROR(FIND('112'!$M$9,G4743,1)),"",IF((AND(RIGHT(G4743,2)=RIGHT('112'!$M$9,2),B4743&lt;'112'!$N$8,$M4743='112'!$I$6)),"x",""))</f>
        <v/>
      </c>
      <c r="U4743" s="525" t="str">
        <f>IF(AND(B4743&gt;='IN-NX'!$P$3,B4743&lt;='IN-NX'!$Q$3,'IN-NX'!$D$7=D4743,OR(LEFT(L4743,2)="15",AND(LEFT(M4743,2)&lt;&gt;"15",LEFT(M4743,2)&lt;&gt;"33"))),"x","")</f>
        <v/>
      </c>
      <c r="V4743" s="525" t="str">
        <f>IF(AND(OR(LEFT(TH!L4743,2)="15",LEFT(TH!M4743,2)="15"),'152-CT'!$J$8=TH!F4743),"x","")</f>
        <v/>
      </c>
      <c r="W4743" s="525" t="str">
        <f>IF(AND(OR(LEFT(TH!L4743,2)="15",LEFT(TH!M4743,2)="15"),TK!$E$7=TH!F4743),"x","")</f>
        <v/>
      </c>
      <c r="X4743" s="525" t="str">
        <f>IF(AND('341-CT'!$E$9=H4743,OR(LEFT(L4743,3)=$X$7,LEFT(M4743,3)=$X$7)),"x","")</f>
        <v/>
      </c>
      <c r="Y4743" s="525" t="str">
        <f>IF(OR(TH!L4743=TH!$Y$7,M4743=TH!$Y$7),"x","")</f>
        <v/>
      </c>
      <c r="Z4743" s="525" t="str">
        <f>IF(AND(B4743&lt;=NKC!$N$8,B4743&gt;=NKC!$M$8),"x","")</f>
        <v/>
      </c>
      <c r="AA4743" s="535"/>
      <c r="AB4743" s="536"/>
    </row>
    <row r="4744" spans="1:30" s="503" customFormat="1" ht="15.75" customHeight="1">
      <c r="A4744" s="517" t="str">
        <f>IF(B4744&lt;&gt;"",IF(AND(B4744&gt;=_TM1,B4744&lt;=_TM2,OR(TH!L4744="1111",TH!M4744="1111")),TH!D4744,""),"")</f>
        <v/>
      </c>
      <c r="B4744" s="531" t="str">
        <f t="shared" si="566"/>
        <v/>
      </c>
      <c r="C4744" s="315"/>
      <c r="D4744" s="315"/>
      <c r="E4744" s="545"/>
      <c r="F4744" s="248"/>
      <c r="G4744" s="314"/>
      <c r="H4744" s="473"/>
      <c r="I4744" s="307"/>
      <c r="J4744" s="307"/>
      <c r="K4744" s="532"/>
      <c r="L4744" s="533"/>
      <c r="M4744" s="533"/>
      <c r="N4744" s="525" t="str">
        <f>IF(AND('331-CT'!$E$7=TH!H4744,OR(L4744="331",M4744="331")),"331",IF(AND(OR(L4744="131",M4744="131"),H4744='131-CT'!$E$7),"131",""))</f>
        <v/>
      </c>
      <c r="O4744" s="525" t="str">
        <f>IF(AND($B4744&gt;='111'!$N$11,$B4744&lt;='111'!$O$11,OR($L4744=$O$7,$M4744=$O$7)),"x","")</f>
        <v/>
      </c>
      <c r="P4744" s="525" t="str">
        <f>IF(AND($L4744=$O$7,$B4744&lt;'111'!$N$11),"x","")</f>
        <v/>
      </c>
      <c r="Q4744" s="525" t="str">
        <f>IF(AND($M4744=$O$7,$B4744&lt;'111'!$N$11),"x","")</f>
        <v/>
      </c>
      <c r="R4744" s="525" t="str">
        <f>IF(ISERROR(FIND('112'!$M$9,G4744,1)),"",IF((AND(FIND('112'!$M$9,G4744,1)&gt;=1,$B4744&gt;='112'!$N$8,$B4744&lt;='112'!$O$8,OR($L4744='112'!$I$6,$M4744='112'!$I$6))),"x",""))</f>
        <v/>
      </c>
      <c r="S4744" s="525" t="str">
        <f>IF(ISERROR(FIND('112'!$M$9,G4744,1)),"",IF((AND(LEFT(G4744,2)=LEFT('112'!$M$9,2),B4744&lt;'112'!$N$8,$L4744='112'!$I$6)),"x",""))</f>
        <v/>
      </c>
      <c r="T4744" s="525" t="str">
        <f>IF(ISERROR(FIND('112'!$M$9,G4744,1)),"",IF((AND(RIGHT(G4744,2)=RIGHT('112'!$M$9,2),B4744&lt;'112'!$N$8,$M4744='112'!$I$6)),"x",""))</f>
        <v/>
      </c>
      <c r="U4744" s="525" t="str">
        <f>IF(AND(B4744&gt;='IN-NX'!$P$3,B4744&lt;='IN-NX'!$Q$3,'IN-NX'!$D$7=D4744,OR(LEFT(L4744,2)="15",AND(LEFT(M4744,2)&lt;&gt;"15",LEFT(M4744,2)&lt;&gt;"33"))),"x","")</f>
        <v/>
      </c>
      <c r="V4744" s="525" t="str">
        <f>IF(AND(OR(LEFT(TH!L4744,2)="15",LEFT(TH!M4744,2)="15"),'152-CT'!$J$8=TH!F4744),"x","")</f>
        <v/>
      </c>
      <c r="W4744" s="525" t="str">
        <f>IF(AND(OR(LEFT(TH!L4744,2)="15",LEFT(TH!M4744,2)="15"),TK!$E$7=TH!F4744),"x","")</f>
        <v/>
      </c>
      <c r="X4744" s="525" t="str">
        <f>IF(AND('341-CT'!$E$9=H4744,OR(LEFT(L4744,3)=$X$7,LEFT(M4744,3)=$X$7)),"x","")</f>
        <v/>
      </c>
      <c r="Y4744" s="525" t="str">
        <f>IF(OR(TH!L4744=TH!$Y$7,M4744=TH!$Y$7),"x","")</f>
        <v/>
      </c>
      <c r="Z4744" s="525" t="str">
        <f>IF(AND(B4744&lt;=NKC!$N$8,B4744&gt;=NKC!$M$8),"x","")</f>
        <v/>
      </c>
      <c r="AA4744" s="535"/>
      <c r="AB4744" s="536"/>
    </row>
    <row r="4745" spans="1:30" s="503" customFormat="1" ht="15.75" customHeight="1">
      <c r="A4745" s="517" t="str">
        <f>IF(B4745&lt;&gt;"",IF(AND(B4745&gt;=_TM1,B4745&lt;=_TM2,OR(TH!L4745="1111",TH!M4745="1111")),TH!D4745,""),"")</f>
        <v/>
      </c>
      <c r="B4745" s="531" t="str">
        <f t="shared" si="566"/>
        <v/>
      </c>
      <c r="C4745" s="315"/>
      <c r="D4745" s="315"/>
      <c r="E4745" s="545"/>
      <c r="F4745" s="248"/>
      <c r="G4745" s="314"/>
      <c r="H4745" s="473"/>
      <c r="I4745" s="307"/>
      <c r="J4745" s="307"/>
      <c r="K4745" s="532"/>
      <c r="L4745" s="533"/>
      <c r="M4745" s="533"/>
      <c r="N4745" s="525" t="str">
        <f>IF(AND('331-CT'!$E$7=TH!H4745,OR(L4745="331",M4745="331")),"331",IF(AND(OR(L4745="131",M4745="131"),H4745='131-CT'!$E$7),"131",""))</f>
        <v/>
      </c>
      <c r="O4745" s="525" t="str">
        <f>IF(AND($B4745&gt;='111'!$N$11,$B4745&lt;='111'!$O$11,OR($L4745=$O$7,$M4745=$O$7)),"x","")</f>
        <v/>
      </c>
      <c r="P4745" s="525" t="str">
        <f>IF(AND($L4745=$O$7,$B4745&lt;'111'!$N$11),"x","")</f>
        <v/>
      </c>
      <c r="Q4745" s="525" t="str">
        <f>IF(AND($M4745=$O$7,$B4745&lt;'111'!$N$11),"x","")</f>
        <v/>
      </c>
      <c r="R4745" s="525" t="str">
        <f>IF(ISERROR(FIND('112'!$M$9,G4745,1)),"",IF((AND(FIND('112'!$M$9,G4745,1)&gt;=1,$B4745&gt;='112'!$N$8,$B4745&lt;='112'!$O$8,OR($L4745='112'!$I$6,$M4745='112'!$I$6))),"x",""))</f>
        <v/>
      </c>
      <c r="S4745" s="525" t="str">
        <f>IF(ISERROR(FIND('112'!$M$9,G4745,1)),"",IF((AND(LEFT(G4745,2)=LEFT('112'!$M$9,2),B4745&lt;'112'!$N$8,$L4745='112'!$I$6)),"x",""))</f>
        <v/>
      </c>
      <c r="T4745" s="525" t="str">
        <f>IF(ISERROR(FIND('112'!$M$9,G4745,1)),"",IF((AND(RIGHT(G4745,2)=RIGHT('112'!$M$9,2),B4745&lt;'112'!$N$8,$M4745='112'!$I$6)),"x",""))</f>
        <v/>
      </c>
      <c r="U4745" s="525" t="str">
        <f>IF(AND(B4745&gt;='IN-NX'!$P$3,B4745&lt;='IN-NX'!$Q$3,'IN-NX'!$D$7=D4745,OR(LEFT(L4745,2)="15",AND(LEFT(M4745,2)&lt;&gt;"15",LEFT(M4745,2)&lt;&gt;"33"))),"x","")</f>
        <v/>
      </c>
      <c r="V4745" s="525" t="str">
        <f>IF(AND(OR(LEFT(TH!L4745,2)="15",LEFT(TH!M4745,2)="15"),'152-CT'!$J$8=TH!F4745),"x","")</f>
        <v/>
      </c>
      <c r="W4745" s="525" t="str">
        <f>IF(AND(OR(LEFT(TH!L4745,2)="15",LEFT(TH!M4745,2)="15"),TK!$E$7=TH!F4745),"x","")</f>
        <v/>
      </c>
      <c r="X4745" s="525" t="str">
        <f>IF(AND('341-CT'!$E$9=H4745,OR(LEFT(L4745,3)=$X$7,LEFT(M4745,3)=$X$7)),"x","")</f>
        <v/>
      </c>
      <c r="Y4745" s="525" t="str">
        <f>IF(OR(TH!L4745=TH!$Y$7,M4745=TH!$Y$7),"x","")</f>
        <v/>
      </c>
      <c r="Z4745" s="525" t="str">
        <f>IF(AND(B4745&lt;=NKC!$N$8,B4745&gt;=NKC!$M$8),"x","")</f>
        <v/>
      </c>
      <c r="AA4745" s="535"/>
      <c r="AB4745" s="536"/>
      <c r="AD4745" s="536"/>
    </row>
    <row r="4746" spans="1:30" s="503" customFormat="1" ht="15.75" customHeight="1">
      <c r="A4746" s="517" t="str">
        <f>IF(B4746&lt;&gt;"",IF(AND(B4746&gt;=_TM1,B4746&lt;=_TM2,OR(TH!L4746="1111",TH!M4746="1111")),TH!D4746,""),"")</f>
        <v/>
      </c>
      <c r="B4746" s="531" t="str">
        <f t="shared" si="566"/>
        <v/>
      </c>
      <c r="C4746" s="315"/>
      <c r="D4746" s="315"/>
      <c r="E4746" s="545"/>
      <c r="F4746" s="248"/>
      <c r="G4746" s="314"/>
      <c r="H4746" s="473"/>
      <c r="I4746" s="307"/>
      <c r="J4746" s="307"/>
      <c r="K4746" s="532"/>
      <c r="L4746" s="533"/>
      <c r="M4746" s="533"/>
      <c r="N4746" s="525" t="str">
        <f>IF(AND('331-CT'!$E$7=TH!H4746,OR(L4746="331",M4746="331")),"331",IF(AND(OR(L4746="131",M4746="131"),H4746='131-CT'!$E$7),"131",""))</f>
        <v/>
      </c>
      <c r="O4746" s="525" t="str">
        <f>IF(AND($B4746&gt;='111'!$N$11,$B4746&lt;='111'!$O$11,OR($L4746=$O$7,$M4746=$O$7)),"x","")</f>
        <v/>
      </c>
      <c r="P4746" s="525" t="str">
        <f>IF(AND($L4746=$O$7,$B4746&lt;'111'!$N$11),"x","")</f>
        <v/>
      </c>
      <c r="Q4746" s="525" t="str">
        <f>IF(AND($M4746=$O$7,$B4746&lt;'111'!$N$11),"x","")</f>
        <v/>
      </c>
      <c r="R4746" s="525" t="str">
        <f>IF(ISERROR(FIND('112'!$M$9,G4746,1)),"",IF((AND(FIND('112'!$M$9,G4746,1)&gt;=1,$B4746&gt;='112'!$N$8,$B4746&lt;='112'!$O$8,OR($L4746='112'!$I$6,$M4746='112'!$I$6))),"x",""))</f>
        <v/>
      </c>
      <c r="S4746" s="525" t="str">
        <f>IF(ISERROR(FIND('112'!$M$9,G4746,1)),"",IF((AND(LEFT(G4746,2)=LEFT('112'!$M$9,2),B4746&lt;'112'!$N$8,$L4746='112'!$I$6)),"x",""))</f>
        <v/>
      </c>
      <c r="T4746" s="525" t="str">
        <f>IF(ISERROR(FIND('112'!$M$9,G4746,1)),"",IF((AND(RIGHT(G4746,2)=RIGHT('112'!$M$9,2),B4746&lt;'112'!$N$8,$M4746='112'!$I$6)),"x",""))</f>
        <v/>
      </c>
      <c r="U4746" s="525" t="str">
        <f>IF(AND(B4746&gt;='IN-NX'!$P$3,B4746&lt;='IN-NX'!$Q$3,'IN-NX'!$D$7=D4746,OR(LEFT(L4746,2)="15",AND(LEFT(M4746,2)&lt;&gt;"15",LEFT(M4746,2)&lt;&gt;"33"))),"x","")</f>
        <v/>
      </c>
      <c r="V4746" s="525" t="str">
        <f>IF(AND(OR(LEFT(TH!L4746,2)="15",LEFT(TH!M4746,2)="15"),'152-CT'!$J$8=TH!F4746),"x","")</f>
        <v/>
      </c>
      <c r="W4746" s="525" t="str">
        <f>IF(AND(OR(LEFT(TH!L4746,2)="15",LEFT(TH!M4746,2)="15"),TK!$E$7=TH!F4746),"x","")</f>
        <v/>
      </c>
      <c r="X4746" s="525" t="str">
        <f>IF(AND('341-CT'!$E$9=H4746,OR(LEFT(L4746,3)=$X$7,LEFT(M4746,3)=$X$7)),"x","")</f>
        <v/>
      </c>
      <c r="Y4746" s="525" t="str">
        <f>IF(OR(TH!L4746=TH!$Y$7,M4746=TH!$Y$7),"x","")</f>
        <v/>
      </c>
      <c r="Z4746" s="525" t="str">
        <f>IF(AND(B4746&lt;=NKC!$N$8,B4746&gt;=NKC!$M$8),"x","")</f>
        <v/>
      </c>
      <c r="AA4746" s="535"/>
      <c r="AB4746" s="536"/>
    </row>
    <row r="4747" spans="1:30" s="503" customFormat="1" ht="15.75" customHeight="1">
      <c r="A4747" s="517" t="str">
        <f>IF(B4747&lt;&gt;"",IF(AND(B4747&gt;=_TM1,B4747&lt;=_TM2,OR(TH!L4747="1111",TH!M4747="1111")),TH!D4747,""),"")</f>
        <v/>
      </c>
      <c r="B4747" s="531" t="str">
        <f t="shared" si="566"/>
        <v/>
      </c>
      <c r="C4747" s="315"/>
      <c r="D4747" s="315"/>
      <c r="E4747" s="545"/>
      <c r="F4747" s="248"/>
      <c r="G4747" s="314"/>
      <c r="H4747" s="473"/>
      <c r="I4747" s="307"/>
      <c r="J4747" s="307"/>
      <c r="K4747" s="532"/>
      <c r="L4747" s="533"/>
      <c r="M4747" s="533"/>
      <c r="N4747" s="525" t="str">
        <f>IF(AND('331-CT'!$E$7=TH!H4747,OR(L4747="331",M4747="331")),"331",IF(AND(OR(L4747="131",M4747="131"),H4747='131-CT'!$E$7),"131",""))</f>
        <v/>
      </c>
      <c r="O4747" s="525" t="str">
        <f>IF(AND($B4747&gt;='111'!$N$11,$B4747&lt;='111'!$O$11,OR($L4747=$O$7,$M4747=$O$7)),"x","")</f>
        <v/>
      </c>
      <c r="P4747" s="525" t="str">
        <f>IF(AND($L4747=$O$7,$B4747&lt;'111'!$N$11),"x","")</f>
        <v/>
      </c>
      <c r="Q4747" s="525" t="str">
        <f>IF(AND($M4747=$O$7,$B4747&lt;'111'!$N$11),"x","")</f>
        <v/>
      </c>
      <c r="R4747" s="525" t="str">
        <f>IF(ISERROR(FIND('112'!$M$9,G4747,1)),"",IF((AND(FIND('112'!$M$9,G4747,1)&gt;=1,$B4747&gt;='112'!$N$8,$B4747&lt;='112'!$O$8,OR($L4747='112'!$I$6,$M4747='112'!$I$6))),"x",""))</f>
        <v/>
      </c>
      <c r="S4747" s="525" t="str">
        <f>IF(ISERROR(FIND('112'!$M$9,G4747,1)),"",IF((AND(LEFT(G4747,2)=LEFT('112'!$M$9,2),B4747&lt;'112'!$N$8,$L4747='112'!$I$6)),"x",""))</f>
        <v/>
      </c>
      <c r="T4747" s="525" t="str">
        <f>IF(ISERROR(FIND('112'!$M$9,G4747,1)),"",IF((AND(RIGHT(G4747,2)=RIGHT('112'!$M$9,2),B4747&lt;'112'!$N$8,$M4747='112'!$I$6)),"x",""))</f>
        <v/>
      </c>
      <c r="U4747" s="525" t="str">
        <f>IF(AND(B4747&gt;='IN-NX'!$P$3,B4747&lt;='IN-NX'!$Q$3,'IN-NX'!$D$7=D4747,OR(LEFT(L4747,2)="15",AND(LEFT(M4747,2)&lt;&gt;"15",LEFT(M4747,2)&lt;&gt;"33"))),"x","")</f>
        <v/>
      </c>
      <c r="V4747" s="525" t="str">
        <f>IF(AND(OR(LEFT(TH!L4747,2)="15",LEFT(TH!M4747,2)="15"),'152-CT'!$J$8=TH!F4747),"x","")</f>
        <v/>
      </c>
      <c r="W4747" s="525" t="str">
        <f>IF(AND(OR(LEFT(TH!L4747,2)="15",LEFT(TH!M4747,2)="15"),TK!$E$7=TH!F4747),"x","")</f>
        <v/>
      </c>
      <c r="X4747" s="525" t="str">
        <f>IF(AND('341-CT'!$E$9=H4747,OR(LEFT(L4747,3)=$X$7,LEFT(M4747,3)=$X$7)),"x","")</f>
        <v/>
      </c>
      <c r="Y4747" s="525" t="str">
        <f>IF(OR(TH!L4747=TH!$Y$7,M4747=TH!$Y$7),"x","")</f>
        <v/>
      </c>
      <c r="Z4747" s="525" t="str">
        <f>IF(AND(B4747&lt;=NKC!$N$8,B4747&gt;=NKC!$M$8),"x","")</f>
        <v/>
      </c>
      <c r="AA4747" s="535"/>
      <c r="AB4747" s="536"/>
    </row>
    <row r="4748" spans="1:30" s="503" customFormat="1" ht="15.75" customHeight="1">
      <c r="A4748" s="517" t="str">
        <f>IF(B4748&lt;&gt;"",IF(AND(B4748&gt;=_TM1,B4748&lt;=_TM2,OR(TH!L4748="1111",TH!M4748="1111")),TH!D4748,""),"")</f>
        <v/>
      </c>
      <c r="B4748" s="531" t="str">
        <f t="shared" si="566"/>
        <v/>
      </c>
      <c r="C4748" s="315"/>
      <c r="D4748" s="315"/>
      <c r="E4748" s="545"/>
      <c r="F4748" s="248"/>
      <c r="G4748" s="314"/>
      <c r="H4748" s="473"/>
      <c r="I4748" s="307"/>
      <c r="J4748" s="307"/>
      <c r="K4748" s="532"/>
      <c r="L4748" s="533"/>
      <c r="M4748" s="533"/>
      <c r="N4748" s="525" t="str">
        <f>IF(AND('331-CT'!$E$7=TH!H4748,OR(L4748="331",M4748="331")),"331",IF(AND(OR(L4748="131",M4748="131"),H4748='131-CT'!$E$7),"131",""))</f>
        <v/>
      </c>
      <c r="O4748" s="525" t="str">
        <f>IF(AND($B4748&gt;='111'!$N$11,$B4748&lt;='111'!$O$11,OR($L4748=$O$7,$M4748=$O$7)),"x","")</f>
        <v/>
      </c>
      <c r="P4748" s="525" t="str">
        <f>IF(AND($L4748=$O$7,$B4748&lt;'111'!$N$11),"x","")</f>
        <v/>
      </c>
      <c r="Q4748" s="525" t="str">
        <f>IF(AND($M4748=$O$7,$B4748&lt;'111'!$N$11),"x","")</f>
        <v/>
      </c>
      <c r="R4748" s="525" t="str">
        <f>IF(ISERROR(FIND('112'!$M$9,G4748,1)),"",IF((AND(FIND('112'!$M$9,G4748,1)&gt;=1,$B4748&gt;='112'!$N$8,$B4748&lt;='112'!$O$8,OR($L4748='112'!$I$6,$M4748='112'!$I$6))),"x",""))</f>
        <v/>
      </c>
      <c r="S4748" s="525" t="str">
        <f>IF(ISERROR(FIND('112'!$M$9,G4748,1)),"",IF((AND(LEFT(G4748,2)=LEFT('112'!$M$9,2),B4748&lt;'112'!$N$8,$L4748='112'!$I$6)),"x",""))</f>
        <v/>
      </c>
      <c r="T4748" s="525" t="str">
        <f>IF(ISERROR(FIND('112'!$M$9,G4748,1)),"",IF((AND(RIGHT(G4748,2)=RIGHT('112'!$M$9,2),B4748&lt;'112'!$N$8,$M4748='112'!$I$6)),"x",""))</f>
        <v/>
      </c>
      <c r="U4748" s="525" t="str">
        <f>IF(AND(B4748&gt;='IN-NX'!$P$3,B4748&lt;='IN-NX'!$Q$3,'IN-NX'!$D$7=D4748,OR(LEFT(L4748,2)="15",AND(LEFT(M4748,2)&lt;&gt;"15",LEFT(M4748,2)&lt;&gt;"33"))),"x","")</f>
        <v/>
      </c>
      <c r="V4748" s="525" t="str">
        <f>IF(AND(OR(LEFT(TH!L4748,2)="15",LEFT(TH!M4748,2)="15"),'152-CT'!$J$8=TH!F4748),"x","")</f>
        <v/>
      </c>
      <c r="W4748" s="525" t="str">
        <f>IF(AND(OR(LEFT(TH!L4748,2)="15",LEFT(TH!M4748,2)="15"),TK!$E$7=TH!F4748),"x","")</f>
        <v/>
      </c>
      <c r="X4748" s="525" t="str">
        <f>IF(AND('341-CT'!$E$9=H4748,OR(LEFT(L4748,3)=$X$7,LEFT(M4748,3)=$X$7)),"x","")</f>
        <v/>
      </c>
      <c r="Y4748" s="525" t="str">
        <f>IF(OR(TH!L4748=TH!$Y$7,M4748=TH!$Y$7),"x","")</f>
        <v/>
      </c>
      <c r="Z4748" s="525" t="str">
        <f>IF(AND(B4748&lt;=NKC!$N$8,B4748&gt;=NKC!$M$8),"x","")</f>
        <v/>
      </c>
      <c r="AA4748" s="535"/>
      <c r="AB4748" s="536"/>
      <c r="AD4748" s="536"/>
    </row>
    <row r="4749" spans="1:30" s="503" customFormat="1" ht="15.75" customHeight="1">
      <c r="A4749" s="517" t="str">
        <f>IF(B4749&lt;&gt;"",IF(AND(B4749&gt;=_TM1,B4749&lt;=_TM2,OR(TH!L4749="1111",TH!M4749="1111")),TH!D4749,""),"")</f>
        <v/>
      </c>
      <c r="B4749" s="531" t="str">
        <f t="shared" si="566"/>
        <v/>
      </c>
      <c r="C4749" s="315"/>
      <c r="D4749" s="315"/>
      <c r="E4749" s="545"/>
      <c r="F4749" s="248"/>
      <c r="G4749" s="314"/>
      <c r="H4749" s="473"/>
      <c r="I4749" s="307"/>
      <c r="J4749" s="307"/>
      <c r="K4749" s="532"/>
      <c r="L4749" s="533"/>
      <c r="M4749" s="533"/>
      <c r="N4749" s="525" t="str">
        <f>IF(AND('331-CT'!$E$7=TH!H4749,OR(L4749="331",M4749="331")),"331",IF(AND(OR(L4749="131",M4749="131"),H4749='131-CT'!$E$7),"131",""))</f>
        <v/>
      </c>
      <c r="O4749" s="525" t="str">
        <f>IF(AND($B4749&gt;='111'!$N$11,$B4749&lt;='111'!$O$11,OR($L4749=$O$7,$M4749=$O$7)),"x","")</f>
        <v/>
      </c>
      <c r="P4749" s="525" t="str">
        <f>IF(AND($L4749=$O$7,$B4749&lt;'111'!$N$11),"x","")</f>
        <v/>
      </c>
      <c r="Q4749" s="525" t="str">
        <f>IF(AND($M4749=$O$7,$B4749&lt;'111'!$N$11),"x","")</f>
        <v/>
      </c>
      <c r="R4749" s="525" t="str">
        <f>IF(ISERROR(FIND('112'!$M$9,G4749,1)),"",IF((AND(FIND('112'!$M$9,G4749,1)&gt;=1,$B4749&gt;='112'!$N$8,$B4749&lt;='112'!$O$8,OR($L4749='112'!$I$6,$M4749='112'!$I$6))),"x",""))</f>
        <v/>
      </c>
      <c r="S4749" s="525" t="str">
        <f>IF(ISERROR(FIND('112'!$M$9,G4749,1)),"",IF((AND(LEFT(G4749,2)=LEFT('112'!$M$9,2),B4749&lt;'112'!$N$8,$L4749='112'!$I$6)),"x",""))</f>
        <v/>
      </c>
      <c r="T4749" s="525" t="str">
        <f>IF(ISERROR(FIND('112'!$M$9,G4749,1)),"",IF((AND(RIGHT(G4749,2)=RIGHT('112'!$M$9,2),B4749&lt;'112'!$N$8,$M4749='112'!$I$6)),"x",""))</f>
        <v/>
      </c>
      <c r="U4749" s="525" t="str">
        <f>IF(AND(B4749&gt;='IN-NX'!$P$3,B4749&lt;='IN-NX'!$Q$3,'IN-NX'!$D$7=D4749,OR(LEFT(L4749,2)="15",AND(LEFT(M4749,2)&lt;&gt;"15",LEFT(M4749,2)&lt;&gt;"33"))),"x","")</f>
        <v/>
      </c>
      <c r="V4749" s="525" t="str">
        <f>IF(AND(OR(LEFT(TH!L4749,2)="15",LEFT(TH!M4749,2)="15"),'152-CT'!$J$8=TH!F4749),"x","")</f>
        <v/>
      </c>
      <c r="W4749" s="525" t="str">
        <f>IF(AND(OR(LEFT(TH!L4749,2)="15",LEFT(TH!M4749,2)="15"),TK!$E$7=TH!F4749),"x","")</f>
        <v/>
      </c>
      <c r="X4749" s="525" t="str">
        <f>IF(AND('341-CT'!$E$9=H4749,OR(LEFT(L4749,3)=$X$7,LEFT(M4749,3)=$X$7)),"x","")</f>
        <v/>
      </c>
      <c r="Y4749" s="525" t="str">
        <f>IF(OR(TH!L4749=TH!$Y$7,M4749=TH!$Y$7),"x","")</f>
        <v/>
      </c>
      <c r="Z4749" s="525" t="str">
        <f>IF(AND(B4749&lt;=NKC!$N$8,B4749&gt;=NKC!$M$8),"x","")</f>
        <v/>
      </c>
      <c r="AA4749" s="535"/>
      <c r="AB4749" s="536"/>
    </row>
    <row r="4750" spans="1:30" s="503" customFormat="1" ht="15.75" customHeight="1">
      <c r="A4750" s="517" t="str">
        <f>IF(B4750&lt;&gt;"",IF(AND(B4750&gt;=_TM1,B4750&lt;=_TM2,OR(TH!L4750="1111",TH!M4750="1111")),TH!D4750,""),"")</f>
        <v/>
      </c>
      <c r="B4750" s="531" t="str">
        <f t="shared" si="566"/>
        <v/>
      </c>
      <c r="C4750" s="315"/>
      <c r="D4750" s="315"/>
      <c r="E4750" s="545"/>
      <c r="F4750" s="248"/>
      <c r="G4750" s="314"/>
      <c r="H4750" s="473"/>
      <c r="I4750" s="307"/>
      <c r="J4750" s="307"/>
      <c r="K4750" s="532"/>
      <c r="L4750" s="533"/>
      <c r="M4750" s="533"/>
      <c r="N4750" s="525" t="str">
        <f>IF(AND('331-CT'!$E$7=TH!H4750,OR(L4750="331",M4750="331")),"331",IF(AND(OR(L4750="131",M4750="131"),H4750='131-CT'!$E$7),"131",""))</f>
        <v/>
      </c>
      <c r="O4750" s="525" t="str">
        <f>IF(AND($B4750&gt;='111'!$N$11,$B4750&lt;='111'!$O$11,OR($L4750=$O$7,$M4750=$O$7)),"x","")</f>
        <v/>
      </c>
      <c r="P4750" s="525" t="str">
        <f>IF(AND($L4750=$O$7,$B4750&lt;'111'!$N$11),"x","")</f>
        <v/>
      </c>
      <c r="Q4750" s="525" t="str">
        <f>IF(AND($M4750=$O$7,$B4750&lt;'111'!$N$11),"x","")</f>
        <v/>
      </c>
      <c r="R4750" s="525" t="str">
        <f>IF(ISERROR(FIND('112'!$M$9,G4750,1)),"",IF((AND(FIND('112'!$M$9,G4750,1)&gt;=1,$B4750&gt;='112'!$N$8,$B4750&lt;='112'!$O$8,OR($L4750='112'!$I$6,$M4750='112'!$I$6))),"x",""))</f>
        <v/>
      </c>
      <c r="S4750" s="525" t="str">
        <f>IF(ISERROR(FIND('112'!$M$9,G4750,1)),"",IF((AND(LEFT(G4750,2)=LEFT('112'!$M$9,2),B4750&lt;'112'!$N$8,$L4750='112'!$I$6)),"x",""))</f>
        <v/>
      </c>
      <c r="T4750" s="525" t="str">
        <f>IF(ISERROR(FIND('112'!$M$9,G4750,1)),"",IF((AND(RIGHT(G4750,2)=RIGHT('112'!$M$9,2),B4750&lt;'112'!$N$8,$M4750='112'!$I$6)),"x",""))</f>
        <v/>
      </c>
      <c r="U4750" s="525" t="str">
        <f>IF(AND(B4750&gt;='IN-NX'!$P$3,B4750&lt;='IN-NX'!$Q$3,'IN-NX'!$D$7=D4750,OR(LEFT(L4750,2)="15",AND(LEFT(M4750,2)&lt;&gt;"15",LEFT(M4750,2)&lt;&gt;"33"))),"x","")</f>
        <v/>
      </c>
      <c r="V4750" s="525" t="str">
        <f>IF(AND(OR(LEFT(TH!L4750,2)="15",LEFT(TH!M4750,2)="15"),'152-CT'!$J$8=TH!F4750),"x","")</f>
        <v/>
      </c>
      <c r="W4750" s="525" t="str">
        <f>IF(AND(OR(LEFT(TH!L4750,2)="15",LEFT(TH!M4750,2)="15"),TK!$E$7=TH!F4750),"x","")</f>
        <v/>
      </c>
      <c r="X4750" s="525" t="str">
        <f>IF(AND('341-CT'!$E$9=H4750,OR(LEFT(L4750,3)=$X$7,LEFT(M4750,3)=$X$7)),"x","")</f>
        <v/>
      </c>
      <c r="Y4750" s="525" t="str">
        <f>IF(OR(TH!L4750=TH!$Y$7,M4750=TH!$Y$7),"x","")</f>
        <v/>
      </c>
      <c r="Z4750" s="525" t="str">
        <f>IF(AND(B4750&lt;=NKC!$N$8,B4750&gt;=NKC!$M$8),"x","")</f>
        <v/>
      </c>
      <c r="AA4750" s="535"/>
      <c r="AB4750" s="536"/>
    </row>
    <row r="4751" spans="1:30" s="503" customFormat="1" ht="15.75" customHeight="1">
      <c r="A4751" s="517" t="str">
        <f>IF(B4751&lt;&gt;"",IF(AND(B4751&gt;=_TM1,B4751&lt;=_TM2,OR(TH!L4751="1111",TH!M4751="1111")),TH!D4751,""),"")</f>
        <v/>
      </c>
      <c r="B4751" s="531" t="str">
        <f t="shared" si="566"/>
        <v/>
      </c>
      <c r="C4751" s="315"/>
      <c r="D4751" s="315"/>
      <c r="E4751" s="545"/>
      <c r="F4751" s="248"/>
      <c r="G4751" s="314"/>
      <c r="H4751" s="473"/>
      <c r="I4751" s="307"/>
      <c r="J4751" s="307"/>
      <c r="K4751" s="532"/>
      <c r="L4751" s="533"/>
      <c r="M4751" s="533"/>
      <c r="N4751" s="525" t="str">
        <f>IF(AND('331-CT'!$E$7=TH!H4751,OR(L4751="331",M4751="331")),"331",IF(AND(OR(L4751="131",M4751="131"),H4751='131-CT'!$E$7),"131",""))</f>
        <v/>
      </c>
      <c r="O4751" s="525" t="str">
        <f>IF(AND($B4751&gt;='111'!$N$11,$B4751&lt;='111'!$O$11,OR($L4751=$O$7,$M4751=$O$7)),"x","")</f>
        <v/>
      </c>
      <c r="P4751" s="525" t="str">
        <f>IF(AND($L4751=$O$7,$B4751&lt;'111'!$N$11),"x","")</f>
        <v/>
      </c>
      <c r="Q4751" s="525" t="str">
        <f>IF(AND($M4751=$O$7,$B4751&lt;'111'!$N$11),"x","")</f>
        <v/>
      </c>
      <c r="R4751" s="525" t="str">
        <f>IF(ISERROR(FIND('112'!$M$9,G4751,1)),"",IF((AND(FIND('112'!$M$9,G4751,1)&gt;=1,$B4751&gt;='112'!$N$8,$B4751&lt;='112'!$O$8,OR($L4751='112'!$I$6,$M4751='112'!$I$6))),"x",""))</f>
        <v/>
      </c>
      <c r="S4751" s="525" t="str">
        <f>IF(ISERROR(FIND('112'!$M$9,G4751,1)),"",IF((AND(LEFT(G4751,2)=LEFT('112'!$M$9,2),B4751&lt;'112'!$N$8,$L4751='112'!$I$6)),"x",""))</f>
        <v/>
      </c>
      <c r="T4751" s="525" t="str">
        <f>IF(ISERROR(FIND('112'!$M$9,G4751,1)),"",IF((AND(RIGHT(G4751,2)=RIGHT('112'!$M$9,2),B4751&lt;'112'!$N$8,$M4751='112'!$I$6)),"x",""))</f>
        <v/>
      </c>
      <c r="U4751" s="525" t="str">
        <f>IF(AND(B4751&gt;='IN-NX'!$P$3,B4751&lt;='IN-NX'!$Q$3,'IN-NX'!$D$7=D4751,OR(LEFT(L4751,2)="15",AND(LEFT(M4751,2)&lt;&gt;"15",LEFT(M4751,2)&lt;&gt;"33"))),"x","")</f>
        <v/>
      </c>
      <c r="V4751" s="525" t="str">
        <f>IF(AND(OR(LEFT(TH!L4751,2)="15",LEFT(TH!M4751,2)="15"),'152-CT'!$J$8=TH!F4751),"x","")</f>
        <v/>
      </c>
      <c r="W4751" s="525" t="str">
        <f>IF(AND(OR(LEFT(TH!L4751,2)="15",LEFT(TH!M4751,2)="15"),TK!$E$7=TH!F4751),"x","")</f>
        <v/>
      </c>
      <c r="X4751" s="525" t="str">
        <f>IF(AND('341-CT'!$E$9=H4751,OR(LEFT(L4751,3)=$X$7,LEFT(M4751,3)=$X$7)),"x","")</f>
        <v/>
      </c>
      <c r="Y4751" s="525" t="str">
        <f>IF(OR(TH!L4751=TH!$Y$7,M4751=TH!$Y$7),"x","")</f>
        <v/>
      </c>
      <c r="Z4751" s="525" t="str">
        <f>IF(AND(B4751&lt;=NKC!$N$8,B4751&gt;=NKC!$M$8),"x","")</f>
        <v/>
      </c>
      <c r="AA4751" s="535"/>
      <c r="AB4751" s="536"/>
      <c r="AD4751" s="536"/>
    </row>
    <row r="4752" spans="1:30" s="503" customFormat="1" ht="15.75" customHeight="1">
      <c r="A4752" s="517" t="str">
        <f>IF(B4752&lt;&gt;"",IF(AND(B4752&gt;=_TM1,B4752&lt;=_TM2,OR(TH!L4752="1111",TH!M4752="1111")),TH!D4752,""),"")</f>
        <v/>
      </c>
      <c r="B4752" s="531" t="str">
        <f t="shared" si="566"/>
        <v/>
      </c>
      <c r="C4752" s="315"/>
      <c r="D4752" s="315"/>
      <c r="E4752" s="545"/>
      <c r="F4752" s="249"/>
      <c r="G4752" s="314"/>
      <c r="H4752" s="473"/>
      <c r="I4752" s="307"/>
      <c r="J4752" s="307"/>
      <c r="K4752" s="532"/>
      <c r="L4752" s="533"/>
      <c r="M4752" s="533"/>
      <c r="N4752" s="525" t="str">
        <f>IF(AND('331-CT'!$E$7=TH!H4752,OR(L4752="331",M4752="331")),"331",IF(AND(OR(L4752="131",M4752="131"),H4752='131-CT'!$E$7),"131",""))</f>
        <v/>
      </c>
      <c r="O4752" s="525" t="str">
        <f>IF(AND($B4752&gt;='111'!$N$11,$B4752&lt;='111'!$O$11,OR($L4752=$O$7,$M4752=$O$7)),"x","")</f>
        <v/>
      </c>
      <c r="P4752" s="525" t="str">
        <f>IF(AND($L4752=$O$7,$B4752&lt;'111'!$N$11),"x","")</f>
        <v/>
      </c>
      <c r="Q4752" s="525" t="str">
        <f>IF(AND($M4752=$O$7,$B4752&lt;'111'!$N$11),"x","")</f>
        <v/>
      </c>
      <c r="R4752" s="525" t="str">
        <f>IF(ISERROR(FIND('112'!$M$9,G4752,1)),"",IF((AND(FIND('112'!$M$9,G4752,1)&gt;=1,$B4752&gt;='112'!$N$8,$B4752&lt;='112'!$O$8,OR($L4752='112'!$I$6,$M4752='112'!$I$6))),"x",""))</f>
        <v/>
      </c>
      <c r="S4752" s="525" t="str">
        <f>IF(ISERROR(FIND('112'!$M$9,G4752,1)),"",IF((AND(LEFT(G4752,2)=LEFT('112'!$M$9,2),B4752&lt;'112'!$N$8,$L4752='112'!$I$6)),"x",""))</f>
        <v/>
      </c>
      <c r="T4752" s="525" t="str">
        <f>IF(ISERROR(FIND('112'!$M$9,G4752,1)),"",IF((AND(RIGHT(G4752,2)=RIGHT('112'!$M$9,2),B4752&lt;'112'!$N$8,$M4752='112'!$I$6)),"x",""))</f>
        <v/>
      </c>
      <c r="U4752" s="525" t="str">
        <f>IF(AND(B4752&gt;='IN-NX'!$P$3,B4752&lt;='IN-NX'!$Q$3,'IN-NX'!$D$7=D4752,OR(LEFT(L4752,2)="15",AND(LEFT(M4752,2)&lt;&gt;"15",LEFT(M4752,2)&lt;&gt;"33"))),"x","")</f>
        <v/>
      </c>
      <c r="V4752" s="525" t="str">
        <f>IF(AND(OR(LEFT(TH!L4752,2)="15",LEFT(TH!M4752,2)="15"),'152-CT'!$J$8=TH!F4752),"x","")</f>
        <v/>
      </c>
      <c r="W4752" s="525" t="str">
        <f>IF(AND(OR(LEFT(TH!L4752,2)="15",LEFT(TH!M4752,2)="15"),TK!$E$7=TH!F4752),"x","")</f>
        <v/>
      </c>
      <c r="X4752" s="525" t="str">
        <f>IF(AND('341-CT'!$E$9=H4752,OR(LEFT(L4752,3)=$X$7,LEFT(M4752,3)=$X$7)),"x","")</f>
        <v/>
      </c>
      <c r="Y4752" s="525" t="str">
        <f>IF(OR(TH!L4752=TH!$Y$7,M4752=TH!$Y$7),"x","")</f>
        <v/>
      </c>
      <c r="Z4752" s="525" t="str">
        <f>IF(AND(B4752&lt;=NKC!$N$8,B4752&gt;=NKC!$M$8),"x","")</f>
        <v/>
      </c>
      <c r="AA4752" s="535"/>
      <c r="AB4752" s="536"/>
    </row>
    <row r="4753" spans="1:31" s="503" customFormat="1" ht="15.75" customHeight="1">
      <c r="A4753" s="517" t="str">
        <f>IF(B4753&lt;&gt;"",IF(AND(B4753&gt;=_TM1,B4753&lt;=_TM2,OR(TH!L4753="1111",TH!M4753="1111")),TH!D4753,""),"")</f>
        <v/>
      </c>
      <c r="B4753" s="531" t="str">
        <f t="shared" si="566"/>
        <v/>
      </c>
      <c r="C4753" s="315"/>
      <c r="D4753" s="315"/>
      <c r="E4753" s="545"/>
      <c r="F4753" s="250"/>
      <c r="G4753" s="314"/>
      <c r="H4753" s="473"/>
      <c r="I4753" s="307"/>
      <c r="J4753" s="307"/>
      <c r="K4753" s="532"/>
      <c r="L4753" s="533"/>
      <c r="M4753" s="533"/>
      <c r="N4753" s="525" t="str">
        <f>IF(AND('331-CT'!$E$7=TH!H4753,OR(L4753="331",M4753="331")),"331",IF(AND(OR(L4753="131",M4753="131"),H4753='131-CT'!$E$7),"131",""))</f>
        <v/>
      </c>
      <c r="O4753" s="525" t="str">
        <f>IF(AND($B4753&gt;='111'!$N$11,$B4753&lt;='111'!$O$11,OR($L4753=$O$7,$M4753=$O$7)),"x","")</f>
        <v/>
      </c>
      <c r="P4753" s="525" t="str">
        <f>IF(AND($L4753=$O$7,$B4753&lt;'111'!$N$11),"x","")</f>
        <v/>
      </c>
      <c r="Q4753" s="525" t="str">
        <f>IF(AND($M4753=$O$7,$B4753&lt;'111'!$N$11),"x","")</f>
        <v/>
      </c>
      <c r="R4753" s="525" t="str">
        <f>IF(ISERROR(FIND('112'!$M$9,G4753,1)),"",IF((AND(FIND('112'!$M$9,G4753,1)&gt;=1,$B4753&gt;='112'!$N$8,$B4753&lt;='112'!$O$8,OR($L4753='112'!$I$6,$M4753='112'!$I$6))),"x",""))</f>
        <v/>
      </c>
      <c r="S4753" s="525" t="str">
        <f>IF(ISERROR(FIND('112'!$M$9,G4753,1)),"",IF((AND(LEFT(G4753,2)=LEFT('112'!$M$9,2),B4753&lt;'112'!$N$8,$L4753='112'!$I$6)),"x",""))</f>
        <v/>
      </c>
      <c r="T4753" s="525" t="str">
        <f>IF(ISERROR(FIND('112'!$M$9,G4753,1)),"",IF((AND(RIGHT(G4753,2)=RIGHT('112'!$M$9,2),B4753&lt;'112'!$N$8,$M4753='112'!$I$6)),"x",""))</f>
        <v/>
      </c>
      <c r="U4753" s="525" t="str">
        <f>IF(AND(B4753&gt;='IN-NX'!$P$3,B4753&lt;='IN-NX'!$Q$3,'IN-NX'!$D$7=D4753,OR(LEFT(L4753,2)="15",AND(LEFT(M4753,2)&lt;&gt;"15",LEFT(M4753,2)&lt;&gt;"33"))),"x","")</f>
        <v/>
      </c>
      <c r="V4753" s="525" t="str">
        <f>IF(AND(OR(LEFT(TH!L4753,2)="15",LEFT(TH!M4753,2)="15"),'152-CT'!$J$8=TH!F4753),"x","")</f>
        <v/>
      </c>
      <c r="W4753" s="525" t="str">
        <f>IF(AND(OR(LEFT(TH!L4753,2)="15",LEFT(TH!M4753,2)="15"),TK!$E$7=TH!F4753),"x","")</f>
        <v/>
      </c>
      <c r="X4753" s="525" t="str">
        <f>IF(AND('341-CT'!$E$9=H4753,OR(LEFT(L4753,3)=$X$7,LEFT(M4753,3)=$X$7)),"x","")</f>
        <v/>
      </c>
      <c r="Y4753" s="525" t="str">
        <f>IF(OR(TH!L4753=TH!$Y$7,M4753=TH!$Y$7),"x","")</f>
        <v/>
      </c>
      <c r="Z4753" s="525" t="str">
        <f>IF(AND(B4753&lt;=NKC!$N$8,B4753&gt;=NKC!$M$8),"x","")</f>
        <v/>
      </c>
      <c r="AA4753" s="535"/>
      <c r="AB4753" s="536"/>
    </row>
    <row r="4754" spans="1:31" s="503" customFormat="1" ht="15.75" customHeight="1">
      <c r="A4754" s="517" t="str">
        <f>IF(B4754&lt;&gt;"",IF(AND(B4754&gt;=_TM1,B4754&lt;=_TM2,OR(TH!L4754="1111",TH!M4754="1111")),TH!D4754,""),"")</f>
        <v/>
      </c>
      <c r="B4754" s="531" t="str">
        <f t="shared" si="566"/>
        <v/>
      </c>
      <c r="C4754" s="315"/>
      <c r="D4754" s="315"/>
      <c r="E4754" s="545"/>
      <c r="F4754" s="249"/>
      <c r="G4754" s="314"/>
      <c r="H4754" s="473"/>
      <c r="I4754" s="307"/>
      <c r="J4754" s="307"/>
      <c r="K4754" s="532"/>
      <c r="L4754" s="533"/>
      <c r="M4754" s="533"/>
      <c r="N4754" s="525" t="str">
        <f>IF(AND('331-CT'!$E$7=TH!H4754,OR(L4754="331",M4754="331")),"331",IF(AND(OR(L4754="131",M4754="131"),H4754='131-CT'!$E$7),"131",""))</f>
        <v/>
      </c>
      <c r="O4754" s="525" t="str">
        <f>IF(AND($B4754&gt;='111'!$N$11,$B4754&lt;='111'!$O$11,OR($L4754=$O$7,$M4754=$O$7)),"x","")</f>
        <v/>
      </c>
      <c r="P4754" s="525" t="str">
        <f>IF(AND($L4754=$O$7,$B4754&lt;'111'!$N$11),"x","")</f>
        <v/>
      </c>
      <c r="Q4754" s="525" t="str">
        <f>IF(AND($M4754=$O$7,$B4754&lt;'111'!$N$11),"x","")</f>
        <v/>
      </c>
      <c r="R4754" s="525" t="str">
        <f>IF(ISERROR(FIND('112'!$M$9,G4754,1)),"",IF((AND(FIND('112'!$M$9,G4754,1)&gt;=1,$B4754&gt;='112'!$N$8,$B4754&lt;='112'!$O$8,OR($L4754='112'!$I$6,$M4754='112'!$I$6))),"x",""))</f>
        <v/>
      </c>
      <c r="S4754" s="525" t="str">
        <f>IF(ISERROR(FIND('112'!$M$9,G4754,1)),"",IF((AND(LEFT(G4754,2)=LEFT('112'!$M$9,2),B4754&lt;'112'!$N$8,$L4754='112'!$I$6)),"x",""))</f>
        <v/>
      </c>
      <c r="T4754" s="525" t="str">
        <f>IF(ISERROR(FIND('112'!$M$9,G4754,1)),"",IF((AND(RIGHT(G4754,2)=RIGHT('112'!$M$9,2),B4754&lt;'112'!$N$8,$M4754='112'!$I$6)),"x",""))</f>
        <v/>
      </c>
      <c r="U4754" s="525" t="str">
        <f>IF(AND(B4754&gt;='IN-NX'!$P$3,B4754&lt;='IN-NX'!$Q$3,'IN-NX'!$D$7=D4754,OR(LEFT(L4754,2)="15",AND(LEFT(M4754,2)&lt;&gt;"15",LEFT(M4754,2)&lt;&gt;"33"))),"x","")</f>
        <v/>
      </c>
      <c r="V4754" s="525" t="str">
        <f>IF(AND(OR(LEFT(TH!L4754,2)="15",LEFT(TH!M4754,2)="15"),'152-CT'!$J$8=TH!F4754),"x","")</f>
        <v/>
      </c>
      <c r="W4754" s="525" t="str">
        <f>IF(AND(OR(LEFT(TH!L4754,2)="15",LEFT(TH!M4754,2)="15"),TK!$E$7=TH!F4754),"x","")</f>
        <v/>
      </c>
      <c r="X4754" s="525" t="str">
        <f>IF(AND('341-CT'!$E$9=H4754,OR(LEFT(L4754,3)=$X$7,LEFT(M4754,3)=$X$7)),"x","")</f>
        <v/>
      </c>
      <c r="Y4754" s="525" t="str">
        <f>IF(OR(TH!L4754=TH!$Y$7,M4754=TH!$Y$7),"x","")</f>
        <v/>
      </c>
      <c r="Z4754" s="525" t="str">
        <f>IF(AND(B4754&lt;=NKC!$N$8,B4754&gt;=NKC!$M$8),"x","")</f>
        <v/>
      </c>
      <c r="AA4754" s="535"/>
      <c r="AB4754" s="536"/>
      <c r="AD4754" s="536"/>
    </row>
    <row r="4755" spans="1:31" s="503" customFormat="1" ht="15.75" customHeight="1">
      <c r="A4755" s="517" t="str">
        <f>IF(B4755&lt;&gt;"",IF(AND(B4755&gt;=_TM1,B4755&lt;=_TM2,OR(TH!L4755="1111",TH!M4755="1111")),TH!D4755,""),"")</f>
        <v/>
      </c>
      <c r="B4755" s="531" t="str">
        <f t="shared" si="566"/>
        <v/>
      </c>
      <c r="C4755" s="315"/>
      <c r="D4755" s="315"/>
      <c r="E4755" s="545"/>
      <c r="F4755" s="249"/>
      <c r="G4755" s="541"/>
      <c r="H4755" s="473"/>
      <c r="I4755" s="307"/>
      <c r="J4755" s="307"/>
      <c r="K4755" s="532"/>
      <c r="L4755" s="539"/>
      <c r="M4755" s="539"/>
      <c r="N4755" s="525" t="str">
        <f>IF(AND('331-CT'!$E$7=TH!H4755,OR(L4755="331",M4755="331")),"331",IF(AND(OR(L4755="131",M4755="131"),H4755='131-CT'!$E$7),"131",""))</f>
        <v/>
      </c>
      <c r="O4755" s="525" t="str">
        <f>IF(AND($B4755&gt;='111'!$N$11,$B4755&lt;='111'!$O$11,OR($L4755=$O$7,$M4755=$O$7)),"x","")</f>
        <v/>
      </c>
      <c r="P4755" s="525" t="str">
        <f>IF(AND($L4755=$O$7,$B4755&lt;'111'!$N$11),"x","")</f>
        <v/>
      </c>
      <c r="Q4755" s="525" t="str">
        <f>IF(AND($M4755=$O$7,$B4755&lt;'111'!$N$11),"x","")</f>
        <v/>
      </c>
      <c r="R4755" s="525" t="str">
        <f>IF(ISERROR(FIND('112'!$M$9,G4755,1)),"",IF((AND(FIND('112'!$M$9,G4755,1)&gt;=1,$B4755&gt;='112'!$N$8,$B4755&lt;='112'!$O$8,OR($L4755='112'!$I$6,$M4755='112'!$I$6))),"x",""))</f>
        <v/>
      </c>
      <c r="S4755" s="525" t="str">
        <f>IF(ISERROR(FIND('112'!$M$9,G4755,1)),"",IF((AND(LEFT(G4755,2)=LEFT('112'!$M$9,2),B4755&lt;'112'!$N$8,$L4755='112'!$I$6)),"x",""))</f>
        <v/>
      </c>
      <c r="T4755" s="525" t="str">
        <f>IF(ISERROR(FIND('112'!$M$9,G4755,1)),"",IF((AND(RIGHT(G4755,2)=RIGHT('112'!$M$9,2),B4755&lt;'112'!$N$8,$M4755='112'!$I$6)),"x",""))</f>
        <v/>
      </c>
      <c r="U4755" s="525" t="str">
        <f>IF(AND(B4755&gt;='IN-NX'!$P$3,B4755&lt;='IN-NX'!$Q$3,'IN-NX'!$D$7=D4755,OR(LEFT(L4755,2)="15",AND(LEFT(M4755,2)&lt;&gt;"15",LEFT(M4755,2)&lt;&gt;"33"))),"x","")</f>
        <v/>
      </c>
      <c r="V4755" s="525" t="str">
        <f>IF(AND(OR(LEFT(TH!L4755,2)="15",LEFT(TH!M4755,2)="15"),'152-CT'!$J$8=TH!F4755),"x","")</f>
        <v/>
      </c>
      <c r="W4755" s="525" t="str">
        <f>IF(AND(OR(LEFT(TH!L4755,2)="15",LEFT(TH!M4755,2)="15"),TK!$E$7=TH!F4755),"x","")</f>
        <v/>
      </c>
      <c r="X4755" s="525" t="str">
        <f>IF(AND('341-CT'!$E$9=H4755,OR(LEFT(L4755,3)=$X$7,LEFT(M4755,3)=$X$7)),"x","")</f>
        <v/>
      </c>
      <c r="Y4755" s="525" t="str">
        <f>IF(OR(TH!L4755=TH!$Y$7,M4755=TH!$Y$7),"x","")</f>
        <v/>
      </c>
      <c r="Z4755" s="525" t="str">
        <f>IF(AND(B4755&lt;=NKC!$N$8,B4755&gt;=NKC!$M$8),"x","")</f>
        <v/>
      </c>
      <c r="AA4755" s="546"/>
      <c r="AB4755" s="536"/>
      <c r="AE4755" s="536"/>
    </row>
    <row r="4756" spans="1:31" s="503" customFormat="1" ht="15.75" customHeight="1">
      <c r="A4756" s="517" t="str">
        <f>IF(B4756&lt;&gt;"",IF(AND(B4756&gt;=_TM1,B4756&lt;=_TM2,OR(TH!L4756="1111",TH!M4756="1111")),TH!D4756,""),"")</f>
        <v/>
      </c>
      <c r="B4756" s="531" t="str">
        <f t="shared" si="566"/>
        <v/>
      </c>
      <c r="C4756" s="315"/>
      <c r="D4756" s="315"/>
      <c r="E4756" s="545"/>
      <c r="F4756" s="249"/>
      <c r="G4756" s="541"/>
      <c r="H4756" s="473"/>
      <c r="I4756" s="307"/>
      <c r="J4756" s="307"/>
      <c r="K4756" s="532"/>
      <c r="L4756" s="539"/>
      <c r="M4756" s="539"/>
      <c r="N4756" s="525" t="str">
        <f>IF(AND('331-CT'!$E$7=TH!H4756,OR(L4756="331",M4756="331")),"331",IF(AND(OR(L4756="131",M4756="131"),H4756='131-CT'!$E$7),"131",""))</f>
        <v/>
      </c>
      <c r="O4756" s="525" t="str">
        <f>IF(AND($B4756&gt;='111'!$N$11,$B4756&lt;='111'!$O$11,OR($L4756=$O$7,$M4756=$O$7)),"x","")</f>
        <v/>
      </c>
      <c r="P4756" s="525" t="str">
        <f>IF(AND($L4756=$O$7,$B4756&lt;'111'!$N$11),"x","")</f>
        <v/>
      </c>
      <c r="Q4756" s="525" t="str">
        <f>IF(AND($M4756=$O$7,$B4756&lt;'111'!$N$11),"x","")</f>
        <v/>
      </c>
      <c r="R4756" s="525" t="str">
        <f>IF(ISERROR(FIND('112'!$M$9,G4756,1)),"",IF((AND(FIND('112'!$M$9,G4756,1)&gt;=1,$B4756&gt;='112'!$N$8,$B4756&lt;='112'!$O$8,OR($L4756='112'!$I$6,$M4756='112'!$I$6))),"x",""))</f>
        <v/>
      </c>
      <c r="S4756" s="525" t="str">
        <f>IF(ISERROR(FIND('112'!$M$9,G4756,1)),"",IF((AND(LEFT(G4756,2)=LEFT('112'!$M$9,2),B4756&lt;'112'!$N$8,$L4756='112'!$I$6)),"x",""))</f>
        <v/>
      </c>
      <c r="T4756" s="525" t="str">
        <f>IF(ISERROR(FIND('112'!$M$9,G4756,1)),"",IF((AND(RIGHT(G4756,2)=RIGHT('112'!$M$9,2),B4756&lt;'112'!$N$8,$M4756='112'!$I$6)),"x",""))</f>
        <v/>
      </c>
      <c r="U4756" s="525" t="str">
        <f>IF(AND(B4756&gt;='IN-NX'!$P$3,B4756&lt;='IN-NX'!$Q$3,'IN-NX'!$D$7=D4756,OR(LEFT(L4756,2)="15",AND(LEFT(M4756,2)&lt;&gt;"15",LEFT(M4756,2)&lt;&gt;"33"))),"x","")</f>
        <v/>
      </c>
      <c r="V4756" s="525" t="str">
        <f>IF(AND(OR(LEFT(TH!L4756,2)="15",LEFT(TH!M4756,2)="15"),'152-CT'!$J$8=TH!F4756),"x","")</f>
        <v/>
      </c>
      <c r="W4756" s="525" t="str">
        <f>IF(AND(OR(LEFT(TH!L4756,2)="15",LEFT(TH!M4756,2)="15"),TK!$E$7=TH!F4756),"x","")</f>
        <v/>
      </c>
      <c r="X4756" s="525" t="str">
        <f>IF(AND('341-CT'!$E$9=H4756,OR(LEFT(L4756,3)=$X$7,LEFT(M4756,3)=$X$7)),"x","")</f>
        <v/>
      </c>
      <c r="Y4756" s="525" t="str">
        <f>IF(OR(TH!L4756=TH!$Y$7,M4756=TH!$Y$7),"x","")</f>
        <v/>
      </c>
      <c r="Z4756" s="525" t="str">
        <f>IF(AND(B4756&lt;=NKC!$N$8,B4756&gt;=NKC!$M$8),"x","")</f>
        <v/>
      </c>
      <c r="AA4756" s="546"/>
      <c r="AB4756" s="536"/>
      <c r="AE4756" s="536"/>
    </row>
    <row r="4757" spans="1:31" s="503" customFormat="1" ht="15.75" customHeight="1">
      <c r="A4757" s="517" t="str">
        <f>IF(B4757&lt;&gt;"",IF(AND(B4757&gt;=_TM1,B4757&lt;=_TM2,OR(TH!L4757="1111",TH!M4757="1111")),TH!D4757,""),"")</f>
        <v/>
      </c>
      <c r="B4757" s="531" t="str">
        <f t="shared" si="566"/>
        <v/>
      </c>
      <c r="C4757" s="315"/>
      <c r="D4757" s="544"/>
      <c r="E4757" s="545"/>
      <c r="F4757" s="249"/>
      <c r="G4757" s="541"/>
      <c r="H4757" s="472"/>
      <c r="I4757" s="307"/>
      <c r="J4757" s="307"/>
      <c r="K4757" s="532"/>
      <c r="L4757" s="539"/>
      <c r="M4757" s="539"/>
      <c r="N4757" s="525" t="str">
        <f>IF(AND('331-CT'!$E$7=TH!H4757,OR(L4757="331",M4757="331")),"331",IF(AND(OR(L4757="131",M4757="131"),H4757='131-CT'!$E$7),"131",""))</f>
        <v/>
      </c>
      <c r="O4757" s="525" t="str">
        <f>IF(AND($B4757&gt;='111'!$N$11,$B4757&lt;='111'!$O$11,OR($L4757=$O$7,$M4757=$O$7)),"x","")</f>
        <v/>
      </c>
      <c r="P4757" s="525" t="str">
        <f>IF(AND($L4757=$O$7,$B4757&lt;'111'!$N$11),"x","")</f>
        <v/>
      </c>
      <c r="Q4757" s="525" t="str">
        <f>IF(AND($M4757=$O$7,$B4757&lt;'111'!$N$11),"x","")</f>
        <v/>
      </c>
      <c r="R4757" s="525" t="str">
        <f>IF(ISERROR(FIND('112'!$M$9,G4757,1)),"",IF((AND(FIND('112'!$M$9,G4757,1)&gt;=1,$B4757&gt;='112'!$N$8,$B4757&lt;='112'!$O$8,OR($L4757='112'!$I$6,$M4757='112'!$I$6))),"x",""))</f>
        <v/>
      </c>
      <c r="S4757" s="525" t="str">
        <f>IF(ISERROR(FIND('112'!$M$9,G4757,1)),"",IF((AND(LEFT(G4757,2)=LEFT('112'!$M$9,2),B4757&lt;'112'!$N$8,$L4757='112'!$I$6)),"x",""))</f>
        <v/>
      </c>
      <c r="T4757" s="525" t="str">
        <f>IF(ISERROR(FIND('112'!$M$9,G4757,1)),"",IF((AND(RIGHT(G4757,2)=RIGHT('112'!$M$9,2),B4757&lt;'112'!$N$8,$M4757='112'!$I$6)),"x",""))</f>
        <v/>
      </c>
      <c r="U4757" s="525" t="str">
        <f>IF(AND(B4757&gt;='IN-NX'!$P$3,B4757&lt;='IN-NX'!$Q$3,'IN-NX'!$D$7=D4757,OR(LEFT(L4757,2)="15",AND(LEFT(M4757,2)&lt;&gt;"15",LEFT(M4757,2)&lt;&gt;"33"))),"x","")</f>
        <v/>
      </c>
      <c r="V4757" s="525" t="str">
        <f>IF(AND(OR(LEFT(TH!L4757,2)="15",LEFT(TH!M4757,2)="15"),'152-CT'!$J$8=TH!F4757),"x","")</f>
        <v/>
      </c>
      <c r="W4757" s="525" t="str">
        <f>IF(AND(OR(LEFT(TH!L4757,2)="15",LEFT(TH!M4757,2)="15"),TK!$E$7=TH!F4757),"x","")</f>
        <v/>
      </c>
      <c r="X4757" s="525" t="str">
        <f>IF(AND('341-CT'!$E$9=H4757,OR(LEFT(L4757,3)=$X$7,LEFT(M4757,3)=$X$7)),"x","")</f>
        <v/>
      </c>
      <c r="Y4757" s="525" t="str">
        <f>IF(OR(TH!L4757=TH!$Y$7,M4757=TH!$Y$7),"x","")</f>
        <v/>
      </c>
      <c r="Z4757" s="525" t="str">
        <f>IF(AND(B4757&lt;=NKC!$N$8,B4757&gt;=NKC!$M$8),"x","")</f>
        <v/>
      </c>
      <c r="AA4757" s="546"/>
      <c r="AB4757" s="536"/>
      <c r="AE4757" s="536"/>
    </row>
    <row r="4758" spans="1:31" s="503" customFormat="1" ht="15.75" customHeight="1">
      <c r="A4758" s="517" t="str">
        <f>IF(B4758&lt;&gt;"",IF(AND(B4758&gt;=_TM1,B4758&lt;=_TM2,OR(TH!L4758="1111",TH!M4758="1111")),TH!D4758,""),"")</f>
        <v/>
      </c>
      <c r="B4758" s="531" t="str">
        <f t="shared" si="566"/>
        <v/>
      </c>
      <c r="C4758" s="315"/>
      <c r="D4758" s="315"/>
      <c r="E4758" s="545"/>
      <c r="F4758" s="249"/>
      <c r="G4758" s="541"/>
      <c r="H4758" s="473"/>
      <c r="I4758" s="307"/>
      <c r="J4758" s="307"/>
      <c r="K4758" s="532"/>
      <c r="L4758" s="551"/>
      <c r="M4758" s="551"/>
      <c r="N4758" s="525" t="str">
        <f>IF(AND('331-CT'!$E$7=TH!H4758,OR(L4758="331",M4758="331")),"331",IF(AND(OR(L4758="131",M4758="131"),H4758='131-CT'!$E$7),"131",""))</f>
        <v/>
      </c>
      <c r="O4758" s="525" t="str">
        <f>IF(AND($B4758&gt;='111'!$N$11,$B4758&lt;='111'!$O$11,OR($L4758=$O$7,$M4758=$O$7)),"x","")</f>
        <v/>
      </c>
      <c r="P4758" s="525" t="str">
        <f>IF(AND($L4758=$O$7,$B4758&lt;'111'!$N$11),"x","")</f>
        <v/>
      </c>
      <c r="Q4758" s="525" t="str">
        <f>IF(AND($M4758=$O$7,$B4758&lt;'111'!$N$11),"x","")</f>
        <v/>
      </c>
      <c r="R4758" s="525" t="str">
        <f>IF(ISERROR(FIND('112'!$M$9,G4758,1)),"",IF((AND(FIND('112'!$M$9,G4758,1)&gt;=1,$B4758&gt;='112'!$N$8,$B4758&lt;='112'!$O$8,OR($L4758='112'!$I$6,$M4758='112'!$I$6))),"x",""))</f>
        <v/>
      </c>
      <c r="S4758" s="525" t="str">
        <f>IF(ISERROR(FIND('112'!$M$9,G4758,1)),"",IF((AND(LEFT(G4758,2)=LEFT('112'!$M$9,2),B4758&lt;'112'!$N$8,$L4758='112'!$I$6)),"x",""))</f>
        <v/>
      </c>
      <c r="T4758" s="525" t="str">
        <f>IF(ISERROR(FIND('112'!$M$9,G4758,1)),"",IF((AND(RIGHT(G4758,2)=RIGHT('112'!$M$9,2),B4758&lt;'112'!$N$8,$M4758='112'!$I$6)),"x",""))</f>
        <v/>
      </c>
      <c r="U4758" s="525" t="str">
        <f>IF(AND(B4758&gt;='IN-NX'!$P$3,B4758&lt;='IN-NX'!$Q$3,'IN-NX'!$D$7=D4758,OR(LEFT(L4758,2)="15",AND(LEFT(M4758,2)&lt;&gt;"15",LEFT(M4758,2)&lt;&gt;"33"))),"x","")</f>
        <v/>
      </c>
      <c r="V4758" s="525" t="str">
        <f>IF(AND(OR(LEFT(TH!L4758,2)="15",LEFT(TH!M4758,2)="15"),'152-CT'!$J$8=TH!F4758),"x","")</f>
        <v/>
      </c>
      <c r="W4758" s="525" t="str">
        <f>IF(AND(OR(LEFT(TH!L4758,2)="15",LEFT(TH!M4758,2)="15"),TK!$E$7=TH!F4758),"x","")</f>
        <v/>
      </c>
      <c r="X4758" s="525" t="str">
        <f>IF(AND('341-CT'!$E$9=H4758,OR(LEFT(L4758,3)=$X$7,LEFT(M4758,3)=$X$7)),"x","")</f>
        <v/>
      </c>
      <c r="Y4758" s="525" t="str">
        <f>IF(OR(TH!L4758=TH!$Y$7,M4758=TH!$Y$7),"x","")</f>
        <v/>
      </c>
      <c r="Z4758" s="525" t="str">
        <f>IF(AND(B4758&lt;=NKC!$N$8,B4758&gt;=NKC!$M$8),"x","")</f>
        <v/>
      </c>
      <c r="AA4758" s="546"/>
      <c r="AB4758" s="536"/>
      <c r="AE4758" s="536"/>
    </row>
    <row r="4759" spans="1:31" s="503" customFormat="1" ht="15.75" customHeight="1">
      <c r="A4759" s="517" t="str">
        <f>IF(B4759&lt;&gt;"",IF(AND(B4759&gt;=_TM1,B4759&lt;=_TM2,OR(TH!L4759="1111",TH!M4759="1111")),TH!D4759,""),"")</f>
        <v/>
      </c>
      <c r="B4759" s="531" t="str">
        <f t="shared" si="566"/>
        <v/>
      </c>
      <c r="C4759" s="315"/>
      <c r="D4759" s="315"/>
      <c r="E4759" s="545"/>
      <c r="F4759" s="249"/>
      <c r="G4759" s="541"/>
      <c r="H4759" s="473"/>
      <c r="I4759" s="307"/>
      <c r="J4759" s="307"/>
      <c r="K4759" s="532"/>
      <c r="L4759" s="539"/>
      <c r="M4759" s="552"/>
      <c r="N4759" s="525" t="str">
        <f>IF(AND('331-CT'!$E$7=TH!H4759,OR(L4759="331",M4759="331")),"331",IF(AND(OR(L4759="131",M4759="131"),H4759='131-CT'!$E$7),"131",""))</f>
        <v/>
      </c>
      <c r="O4759" s="525" t="str">
        <f>IF(AND($B4759&gt;='111'!$N$11,$B4759&lt;='111'!$O$11,OR($L4759=$O$7,$M4759=$O$7)),"x","")</f>
        <v/>
      </c>
      <c r="P4759" s="525" t="str">
        <f>IF(AND($L4759=$O$7,$B4759&lt;'111'!$N$11),"x","")</f>
        <v/>
      </c>
      <c r="Q4759" s="525" t="str">
        <f>IF(AND($M4759=$O$7,$B4759&lt;'111'!$N$11),"x","")</f>
        <v/>
      </c>
      <c r="R4759" s="525" t="str">
        <f>IF(ISERROR(FIND('112'!$M$9,G4759,1)),"",IF((AND(FIND('112'!$M$9,G4759,1)&gt;=1,$B4759&gt;='112'!$N$8,$B4759&lt;='112'!$O$8,OR($L4759='112'!$I$6,$M4759='112'!$I$6))),"x",""))</f>
        <v/>
      </c>
      <c r="S4759" s="525" t="str">
        <f>IF(ISERROR(FIND('112'!$M$9,G4759,1)),"",IF((AND(LEFT(G4759,2)=LEFT('112'!$M$9,2),B4759&lt;'112'!$N$8,$L4759='112'!$I$6)),"x",""))</f>
        <v/>
      </c>
      <c r="T4759" s="525" t="str">
        <f>IF(ISERROR(FIND('112'!$M$9,G4759,1)),"",IF((AND(RIGHT(G4759,2)=RIGHT('112'!$M$9,2),B4759&lt;'112'!$N$8,$M4759='112'!$I$6)),"x",""))</f>
        <v/>
      </c>
      <c r="U4759" s="525" t="str">
        <f>IF(AND(B4759&gt;='IN-NX'!$P$3,B4759&lt;='IN-NX'!$Q$3,'IN-NX'!$D$7=D4759,OR(LEFT(L4759,2)="15",AND(LEFT(M4759,2)&lt;&gt;"15",LEFT(M4759,2)&lt;&gt;"33"))),"x","")</f>
        <v/>
      </c>
      <c r="V4759" s="525" t="str">
        <f>IF(AND(OR(LEFT(TH!L4759,2)="15",LEFT(TH!M4759,2)="15"),'152-CT'!$J$8=TH!F4759),"x","")</f>
        <v/>
      </c>
      <c r="W4759" s="525" t="str">
        <f>IF(AND(OR(LEFT(TH!L4759,2)="15",LEFT(TH!M4759,2)="15"),TK!$E$7=TH!F4759),"x","")</f>
        <v/>
      </c>
      <c r="X4759" s="525" t="str">
        <f>IF(AND('341-CT'!$E$9=H4759,OR(LEFT(L4759,3)=$X$7,LEFT(M4759,3)=$X$7)),"x","")</f>
        <v/>
      </c>
      <c r="Y4759" s="525" t="str">
        <f>IF(OR(TH!L4759=TH!$Y$7,M4759=TH!$Y$7),"x","")</f>
        <v/>
      </c>
      <c r="Z4759" s="525" t="str">
        <f>IF(AND(B4759&lt;=NKC!$N$8,B4759&gt;=NKC!$M$8),"x","")</f>
        <v/>
      </c>
      <c r="AA4759" s="546"/>
      <c r="AB4759" s="536"/>
      <c r="AE4759" s="536"/>
    </row>
    <row r="4760" spans="1:31" s="503" customFormat="1" ht="15.75" customHeight="1">
      <c r="A4760" s="517" t="str">
        <f>IF(B4760&lt;&gt;"",IF(AND(B4760&gt;=_TM1,B4760&lt;=_TM2,OR(TH!L4760="1111",TH!M4760="1111")),TH!D4760,""),"")</f>
        <v/>
      </c>
      <c r="B4760" s="531" t="str">
        <f t="shared" si="566"/>
        <v/>
      </c>
      <c r="C4760" s="315"/>
      <c r="D4760" s="544"/>
      <c r="E4760" s="545"/>
      <c r="F4760" s="249"/>
      <c r="G4760" s="541"/>
      <c r="H4760" s="472"/>
      <c r="I4760" s="307"/>
      <c r="J4760" s="307"/>
      <c r="K4760" s="532"/>
      <c r="L4760" s="551"/>
      <c r="M4760" s="551"/>
      <c r="N4760" s="525" t="str">
        <f>IF(AND('331-CT'!$E$7=TH!H4760,OR(L4760="331",M4760="331")),"331",IF(AND(OR(L4760="131",M4760="131"),H4760='131-CT'!$E$7),"131",""))</f>
        <v/>
      </c>
      <c r="O4760" s="525" t="str">
        <f>IF(AND($B4760&gt;='111'!$N$11,$B4760&lt;='111'!$O$11,OR($L4760=$O$7,$M4760=$O$7)),"x","")</f>
        <v/>
      </c>
      <c r="P4760" s="525" t="str">
        <f>IF(AND($L4760=$O$7,$B4760&lt;'111'!$N$11),"x","")</f>
        <v/>
      </c>
      <c r="Q4760" s="525" t="str">
        <f>IF(AND($M4760=$O$7,$B4760&lt;'111'!$N$11),"x","")</f>
        <v/>
      </c>
      <c r="R4760" s="525" t="str">
        <f>IF(ISERROR(FIND('112'!$M$9,G4760,1)),"",IF((AND(FIND('112'!$M$9,G4760,1)&gt;=1,$B4760&gt;='112'!$N$8,$B4760&lt;='112'!$O$8,OR($L4760='112'!$I$6,$M4760='112'!$I$6))),"x",""))</f>
        <v/>
      </c>
      <c r="S4760" s="525" t="str">
        <f>IF(ISERROR(FIND('112'!$M$9,G4760,1)),"",IF((AND(LEFT(G4760,2)=LEFT('112'!$M$9,2),B4760&lt;'112'!$N$8,$L4760='112'!$I$6)),"x",""))</f>
        <v/>
      </c>
      <c r="T4760" s="525" t="str">
        <f>IF(ISERROR(FIND('112'!$M$9,G4760,1)),"",IF((AND(RIGHT(G4760,2)=RIGHT('112'!$M$9,2),B4760&lt;'112'!$N$8,$M4760='112'!$I$6)),"x",""))</f>
        <v/>
      </c>
      <c r="U4760" s="525" t="str">
        <f>IF(AND(B4760&gt;='IN-NX'!$P$3,B4760&lt;='IN-NX'!$Q$3,'IN-NX'!$D$7=D4760,OR(LEFT(L4760,2)="15",AND(LEFT(M4760,2)&lt;&gt;"15",LEFT(M4760,2)&lt;&gt;"33"))),"x","")</f>
        <v/>
      </c>
      <c r="V4760" s="525" t="str">
        <f>IF(AND(OR(LEFT(TH!L4760,2)="15",LEFT(TH!M4760,2)="15"),'152-CT'!$J$8=TH!F4760),"x","")</f>
        <v/>
      </c>
      <c r="W4760" s="525" t="str">
        <f>IF(AND(OR(LEFT(TH!L4760,2)="15",LEFT(TH!M4760,2)="15"),TK!$E$7=TH!F4760),"x","")</f>
        <v/>
      </c>
      <c r="X4760" s="525" t="str">
        <f>IF(AND('341-CT'!$E$9=H4760,OR(LEFT(L4760,3)=$X$7,LEFT(M4760,3)=$X$7)),"x","")</f>
        <v/>
      </c>
      <c r="Y4760" s="525" t="str">
        <f>IF(OR(TH!L4760=TH!$Y$7,M4760=TH!$Y$7),"x","")</f>
        <v/>
      </c>
      <c r="Z4760" s="525" t="str">
        <f>IF(AND(B4760&lt;=NKC!$N$8,B4760&gt;=NKC!$M$8),"x","")</f>
        <v/>
      </c>
      <c r="AA4760" s="546"/>
      <c r="AB4760" s="536"/>
      <c r="AE4760" s="536"/>
    </row>
    <row r="4761" spans="1:31" s="503" customFormat="1" ht="15.75" customHeight="1">
      <c r="A4761" s="517" t="str">
        <f>IF(B4761&lt;&gt;"",IF(AND(B4761&gt;=_TM1,B4761&lt;=_TM2,OR(TH!L4761="1111",TH!M4761="1111")),TH!D4761,""),"")</f>
        <v/>
      </c>
      <c r="B4761" s="531" t="str">
        <f t="shared" si="566"/>
        <v/>
      </c>
      <c r="C4761" s="315"/>
      <c r="D4761" s="315"/>
      <c r="E4761" s="545"/>
      <c r="F4761" s="249"/>
      <c r="G4761" s="541"/>
      <c r="H4761" s="473"/>
      <c r="I4761" s="307"/>
      <c r="J4761" s="307"/>
      <c r="K4761" s="532"/>
      <c r="L4761" s="539"/>
      <c r="M4761" s="551"/>
      <c r="N4761" s="525" t="str">
        <f>IF(AND('331-CT'!$E$7=TH!H4761,OR(L4761="331",M4761="331")),"331",IF(AND(OR(L4761="131",M4761="131"),H4761='131-CT'!$E$7),"131",""))</f>
        <v/>
      </c>
      <c r="O4761" s="525" t="str">
        <f>IF(AND($B4761&gt;='111'!$N$11,$B4761&lt;='111'!$O$11,OR($L4761=$O$7,$M4761=$O$7)),"x","")</f>
        <v/>
      </c>
      <c r="P4761" s="525" t="str">
        <f>IF(AND($L4761=$O$7,$B4761&lt;'111'!$N$11),"x","")</f>
        <v/>
      </c>
      <c r="Q4761" s="525" t="str">
        <f>IF(AND($M4761=$O$7,$B4761&lt;'111'!$N$11),"x","")</f>
        <v/>
      </c>
      <c r="R4761" s="525" t="str">
        <f>IF(ISERROR(FIND('112'!$M$9,G4761,1)),"",IF((AND(FIND('112'!$M$9,G4761,1)&gt;=1,$B4761&gt;='112'!$N$8,$B4761&lt;='112'!$O$8,OR($L4761='112'!$I$6,$M4761='112'!$I$6))),"x",""))</f>
        <v/>
      </c>
      <c r="S4761" s="525" t="str">
        <f>IF(ISERROR(FIND('112'!$M$9,G4761,1)),"",IF((AND(LEFT(G4761,2)=LEFT('112'!$M$9,2),B4761&lt;'112'!$N$8,$L4761='112'!$I$6)),"x",""))</f>
        <v/>
      </c>
      <c r="T4761" s="525" t="str">
        <f>IF(ISERROR(FIND('112'!$M$9,G4761,1)),"",IF((AND(RIGHT(G4761,2)=RIGHT('112'!$M$9,2),B4761&lt;'112'!$N$8,$M4761='112'!$I$6)),"x",""))</f>
        <v/>
      </c>
      <c r="U4761" s="525" t="str">
        <f>IF(AND(B4761&gt;='IN-NX'!$P$3,B4761&lt;='IN-NX'!$Q$3,'IN-NX'!$D$7=D4761,OR(LEFT(L4761,2)="15",AND(LEFT(M4761,2)&lt;&gt;"15",LEFT(M4761,2)&lt;&gt;"33"))),"x","")</f>
        <v/>
      </c>
      <c r="V4761" s="525" t="str">
        <f>IF(AND(OR(LEFT(TH!L4761,2)="15",LEFT(TH!M4761,2)="15"),'152-CT'!$J$8=TH!F4761),"x","")</f>
        <v/>
      </c>
      <c r="W4761" s="525" t="str">
        <f>IF(AND(OR(LEFT(TH!L4761,2)="15",LEFT(TH!M4761,2)="15"),TK!$E$7=TH!F4761),"x","")</f>
        <v/>
      </c>
      <c r="X4761" s="525" t="str">
        <f>IF(AND('341-CT'!$E$9=H4761,OR(LEFT(L4761,3)=$X$7,LEFT(M4761,3)=$X$7)),"x","")</f>
        <v/>
      </c>
      <c r="Y4761" s="525" t="str">
        <f>IF(OR(TH!L4761=TH!$Y$7,M4761=TH!$Y$7),"x","")</f>
        <v/>
      </c>
      <c r="Z4761" s="525" t="str">
        <f>IF(AND(B4761&lt;=NKC!$N$8,B4761&gt;=NKC!$M$8),"x","")</f>
        <v/>
      </c>
      <c r="AA4761" s="546"/>
      <c r="AB4761" s="536"/>
      <c r="AE4761" s="536"/>
    </row>
    <row r="4762" spans="1:31" s="503" customFormat="1" ht="15.75" customHeight="1">
      <c r="A4762" s="517" t="str">
        <f>IF(B4762&lt;&gt;"",IF(AND(B4762&gt;=_TM1,B4762&lt;=_TM2,OR(TH!L4762="1111",TH!M4762="1111")),TH!D4762,""),"")</f>
        <v/>
      </c>
      <c r="B4762" s="531" t="str">
        <f t="shared" si="566"/>
        <v/>
      </c>
      <c r="C4762" s="315"/>
      <c r="D4762" s="315"/>
      <c r="E4762" s="545"/>
      <c r="F4762" s="249"/>
      <c r="G4762" s="541"/>
      <c r="H4762" s="473"/>
      <c r="I4762" s="307"/>
      <c r="J4762" s="307"/>
      <c r="K4762" s="532"/>
      <c r="L4762" s="551"/>
      <c r="M4762" s="551"/>
      <c r="N4762" s="525" t="str">
        <f>IF(AND('331-CT'!$E$7=TH!H4762,OR(L4762="331",M4762="331")),"331",IF(AND(OR(L4762="131",M4762="131"),H4762='131-CT'!$E$7),"131",""))</f>
        <v/>
      </c>
      <c r="O4762" s="525" t="str">
        <f>IF(AND($B4762&gt;='111'!$N$11,$B4762&lt;='111'!$O$11,OR($L4762=$O$7,$M4762=$O$7)),"x","")</f>
        <v/>
      </c>
      <c r="P4762" s="525" t="str">
        <f>IF(AND($L4762=$O$7,$B4762&lt;'111'!$N$11),"x","")</f>
        <v/>
      </c>
      <c r="Q4762" s="525" t="str">
        <f>IF(AND($M4762=$O$7,$B4762&lt;'111'!$N$11),"x","")</f>
        <v/>
      </c>
      <c r="R4762" s="525" t="str">
        <f>IF(ISERROR(FIND('112'!$M$9,G4762,1)),"",IF((AND(FIND('112'!$M$9,G4762,1)&gt;=1,$B4762&gt;='112'!$N$8,$B4762&lt;='112'!$O$8,OR($L4762='112'!$I$6,$M4762='112'!$I$6))),"x",""))</f>
        <v/>
      </c>
      <c r="S4762" s="525" t="str">
        <f>IF(ISERROR(FIND('112'!$M$9,G4762,1)),"",IF((AND(LEFT(G4762,2)=LEFT('112'!$M$9,2),B4762&lt;'112'!$N$8,$L4762='112'!$I$6)),"x",""))</f>
        <v/>
      </c>
      <c r="T4762" s="525" t="str">
        <f>IF(ISERROR(FIND('112'!$M$9,G4762,1)),"",IF((AND(RIGHT(G4762,2)=RIGHT('112'!$M$9,2),B4762&lt;'112'!$N$8,$M4762='112'!$I$6)),"x",""))</f>
        <v/>
      </c>
      <c r="U4762" s="525" t="str">
        <f>IF(AND(B4762&gt;='IN-NX'!$P$3,B4762&lt;='IN-NX'!$Q$3,'IN-NX'!$D$7=D4762,OR(LEFT(L4762,2)="15",AND(LEFT(M4762,2)&lt;&gt;"15",LEFT(M4762,2)&lt;&gt;"33"))),"x","")</f>
        <v/>
      </c>
      <c r="V4762" s="525" t="str">
        <f>IF(AND(OR(LEFT(TH!L4762,2)="15",LEFT(TH!M4762,2)="15"),'152-CT'!$J$8=TH!F4762),"x","")</f>
        <v/>
      </c>
      <c r="W4762" s="525" t="str">
        <f>IF(AND(OR(LEFT(TH!L4762,2)="15",LEFT(TH!M4762,2)="15"),TK!$E$7=TH!F4762),"x","")</f>
        <v/>
      </c>
      <c r="X4762" s="525" t="str">
        <f>IF(AND('341-CT'!$E$9=H4762,OR(LEFT(L4762,3)=$X$7,LEFT(M4762,3)=$X$7)),"x","")</f>
        <v/>
      </c>
      <c r="Y4762" s="525" t="str">
        <f>IF(OR(TH!L4762=TH!$Y$7,M4762=TH!$Y$7),"x","")</f>
        <v/>
      </c>
      <c r="Z4762" s="525" t="str">
        <f>IF(AND(B4762&lt;=NKC!$N$8,B4762&gt;=NKC!$M$8),"x","")</f>
        <v/>
      </c>
      <c r="AA4762" s="546"/>
      <c r="AB4762" s="536"/>
      <c r="AE4762" s="536"/>
    </row>
    <row r="4763" spans="1:31" s="503" customFormat="1" ht="15.75" customHeight="1">
      <c r="A4763" s="517" t="str">
        <f>IF(B4763&lt;&gt;"",IF(AND(B4763&gt;=_TM1,B4763&lt;=_TM2,OR(TH!L4763="1111",TH!M4763="1111")),TH!D4763,""),"")</f>
        <v/>
      </c>
      <c r="B4763" s="531" t="str">
        <f t="shared" si="566"/>
        <v/>
      </c>
      <c r="C4763" s="315"/>
      <c r="D4763" s="544"/>
      <c r="E4763" s="545"/>
      <c r="F4763" s="249"/>
      <c r="G4763" s="541"/>
      <c r="H4763" s="472"/>
      <c r="I4763" s="307"/>
      <c r="J4763" s="307"/>
      <c r="K4763" s="532"/>
      <c r="L4763" s="551"/>
      <c r="M4763" s="551"/>
      <c r="N4763" s="525" t="str">
        <f>IF(AND('331-CT'!$E$7=TH!H4763,OR(L4763="331",M4763="331")),"331",IF(AND(OR(L4763="131",M4763="131"),H4763='131-CT'!$E$7),"131",""))</f>
        <v/>
      </c>
      <c r="O4763" s="525" t="str">
        <f>IF(AND($B4763&gt;='111'!$N$11,$B4763&lt;='111'!$O$11,OR($L4763=$O$7,$M4763=$O$7)),"x","")</f>
        <v/>
      </c>
      <c r="P4763" s="525" t="str">
        <f>IF(AND($L4763=$O$7,$B4763&lt;'111'!$N$11),"x","")</f>
        <v/>
      </c>
      <c r="Q4763" s="525" t="str">
        <f>IF(AND($M4763=$O$7,$B4763&lt;'111'!$N$11),"x","")</f>
        <v/>
      </c>
      <c r="R4763" s="525" t="str">
        <f>IF(ISERROR(FIND('112'!$M$9,G4763,1)),"",IF((AND(FIND('112'!$M$9,G4763,1)&gt;=1,$B4763&gt;='112'!$N$8,$B4763&lt;='112'!$O$8,OR($L4763='112'!$I$6,$M4763='112'!$I$6))),"x",""))</f>
        <v/>
      </c>
      <c r="S4763" s="525" t="str">
        <f>IF(ISERROR(FIND('112'!$M$9,G4763,1)),"",IF((AND(LEFT(G4763,2)=LEFT('112'!$M$9,2),B4763&lt;'112'!$N$8,$L4763='112'!$I$6)),"x",""))</f>
        <v/>
      </c>
      <c r="T4763" s="525" t="str">
        <f>IF(ISERROR(FIND('112'!$M$9,G4763,1)),"",IF((AND(RIGHT(G4763,2)=RIGHT('112'!$M$9,2),B4763&lt;'112'!$N$8,$M4763='112'!$I$6)),"x",""))</f>
        <v/>
      </c>
      <c r="U4763" s="525" t="str">
        <f>IF(AND(B4763&gt;='IN-NX'!$P$3,B4763&lt;='IN-NX'!$Q$3,'IN-NX'!$D$7=D4763,OR(LEFT(L4763,2)="15",AND(LEFT(M4763,2)&lt;&gt;"15",LEFT(M4763,2)&lt;&gt;"33"))),"x","")</f>
        <v/>
      </c>
      <c r="V4763" s="525" t="str">
        <f>IF(AND(OR(LEFT(TH!L4763,2)="15",LEFT(TH!M4763,2)="15"),'152-CT'!$J$8=TH!F4763),"x","")</f>
        <v/>
      </c>
      <c r="W4763" s="525" t="str">
        <f>IF(AND(OR(LEFT(TH!L4763,2)="15",LEFT(TH!M4763,2)="15"),TK!$E$7=TH!F4763),"x","")</f>
        <v/>
      </c>
      <c r="X4763" s="525" t="str">
        <f>IF(AND('341-CT'!$E$9=H4763,OR(LEFT(L4763,3)=$X$7,LEFT(M4763,3)=$X$7)),"x","")</f>
        <v/>
      </c>
      <c r="Y4763" s="525" t="str">
        <f>IF(OR(TH!L4763=TH!$Y$7,M4763=TH!$Y$7),"x","")</f>
        <v/>
      </c>
      <c r="Z4763" s="525" t="str">
        <f>IF(AND(B4763&lt;=NKC!$N$8,B4763&gt;=NKC!$M$8),"x","")</f>
        <v/>
      </c>
      <c r="AA4763" s="546"/>
      <c r="AB4763" s="536"/>
      <c r="AE4763" s="536"/>
    </row>
    <row r="4764" spans="1:31" s="503" customFormat="1" ht="15.75" customHeight="1">
      <c r="A4764" s="517" t="str">
        <f>IF(B4764&lt;&gt;"",IF(AND(B4764&gt;=_TM1,B4764&lt;=_TM2,OR(TH!L4764="1111",TH!M4764="1111")),TH!D4764,""),"")</f>
        <v/>
      </c>
      <c r="B4764" s="531" t="str">
        <f t="shared" si="566"/>
        <v/>
      </c>
      <c r="C4764" s="315"/>
      <c r="D4764" s="315"/>
      <c r="E4764" s="545"/>
      <c r="F4764" s="249"/>
      <c r="G4764" s="541"/>
      <c r="H4764" s="473"/>
      <c r="I4764" s="307"/>
      <c r="J4764" s="307"/>
      <c r="K4764" s="532"/>
      <c r="L4764" s="551"/>
      <c r="M4764" s="551"/>
      <c r="N4764" s="525" t="str">
        <f>IF(AND('331-CT'!$E$7=TH!H4764,OR(L4764="331",M4764="331")),"331",IF(AND(OR(L4764="131",M4764="131"),H4764='131-CT'!$E$7),"131",""))</f>
        <v/>
      </c>
      <c r="O4764" s="525" t="str">
        <f>IF(AND($B4764&gt;='111'!$N$11,$B4764&lt;='111'!$O$11,OR($L4764=$O$7,$M4764=$O$7)),"x","")</f>
        <v/>
      </c>
      <c r="P4764" s="525" t="str">
        <f>IF(AND($L4764=$O$7,$B4764&lt;'111'!$N$11),"x","")</f>
        <v/>
      </c>
      <c r="Q4764" s="525" t="str">
        <f>IF(AND($M4764=$O$7,$B4764&lt;'111'!$N$11),"x","")</f>
        <v/>
      </c>
      <c r="R4764" s="525" t="str">
        <f>IF(ISERROR(FIND('112'!$M$9,G4764,1)),"",IF((AND(FIND('112'!$M$9,G4764,1)&gt;=1,$B4764&gt;='112'!$N$8,$B4764&lt;='112'!$O$8,OR($L4764='112'!$I$6,$M4764='112'!$I$6))),"x",""))</f>
        <v/>
      </c>
      <c r="S4764" s="525" t="str">
        <f>IF(ISERROR(FIND('112'!$M$9,G4764,1)),"",IF((AND(LEFT(G4764,2)=LEFT('112'!$M$9,2),B4764&lt;'112'!$N$8,$L4764='112'!$I$6)),"x",""))</f>
        <v/>
      </c>
      <c r="T4764" s="525" t="str">
        <f>IF(ISERROR(FIND('112'!$M$9,G4764,1)),"",IF((AND(RIGHT(G4764,2)=RIGHT('112'!$M$9,2),B4764&lt;'112'!$N$8,$M4764='112'!$I$6)),"x",""))</f>
        <v/>
      </c>
      <c r="U4764" s="525" t="str">
        <f>IF(AND(B4764&gt;='IN-NX'!$P$3,B4764&lt;='IN-NX'!$Q$3,'IN-NX'!$D$7=D4764,OR(LEFT(L4764,2)="15",AND(LEFT(M4764,2)&lt;&gt;"15",LEFT(M4764,2)&lt;&gt;"33"))),"x","")</f>
        <v/>
      </c>
      <c r="V4764" s="525" t="str">
        <f>IF(AND(OR(LEFT(TH!L4764,2)="15",LEFT(TH!M4764,2)="15"),'152-CT'!$J$8=TH!F4764),"x","")</f>
        <v/>
      </c>
      <c r="W4764" s="525" t="str">
        <f>IF(AND(OR(LEFT(TH!L4764,2)="15",LEFT(TH!M4764,2)="15"),TK!$E$7=TH!F4764),"x","")</f>
        <v/>
      </c>
      <c r="X4764" s="525" t="str">
        <f>IF(AND('341-CT'!$E$9=H4764,OR(LEFT(L4764,3)=$X$7,LEFT(M4764,3)=$X$7)),"x","")</f>
        <v/>
      </c>
      <c r="Y4764" s="525" t="str">
        <f>IF(OR(TH!L4764=TH!$Y$7,M4764=TH!$Y$7),"x","")</f>
        <v/>
      </c>
      <c r="Z4764" s="525" t="str">
        <f>IF(AND(B4764&lt;=NKC!$N$8,B4764&gt;=NKC!$M$8),"x","")</f>
        <v/>
      </c>
      <c r="AA4764" s="546"/>
      <c r="AB4764" s="536"/>
      <c r="AE4764" s="536"/>
    </row>
    <row r="4765" spans="1:31" s="503" customFormat="1" ht="15.75" customHeight="1">
      <c r="A4765" s="517" t="str">
        <f>IF(B4765&lt;&gt;"",IF(AND(B4765&gt;=_TM1,B4765&lt;=_TM2,OR(TH!L4765="1111",TH!M4765="1111")),TH!D4765,""),"")</f>
        <v/>
      </c>
      <c r="B4765" s="531" t="str">
        <f t="shared" si="566"/>
        <v/>
      </c>
      <c r="C4765" s="315"/>
      <c r="D4765" s="315"/>
      <c r="E4765" s="545"/>
      <c r="F4765" s="249"/>
      <c r="G4765" s="541"/>
      <c r="H4765" s="473"/>
      <c r="I4765" s="307"/>
      <c r="J4765" s="307"/>
      <c r="K4765" s="532"/>
      <c r="L4765" s="539"/>
      <c r="M4765" s="551"/>
      <c r="N4765" s="525" t="str">
        <f>IF(AND('331-CT'!$E$7=TH!H4765,OR(L4765="331",M4765="331")),"331",IF(AND(OR(L4765="131",M4765="131"),H4765='131-CT'!$E$7),"131",""))</f>
        <v/>
      </c>
      <c r="O4765" s="525" t="str">
        <f>IF(AND($B4765&gt;='111'!$N$11,$B4765&lt;='111'!$O$11,OR($L4765=$O$7,$M4765=$O$7)),"x","")</f>
        <v/>
      </c>
      <c r="P4765" s="525" t="str">
        <f>IF(AND($L4765=$O$7,$B4765&lt;'111'!$N$11),"x","")</f>
        <v/>
      </c>
      <c r="Q4765" s="525" t="str">
        <f>IF(AND($M4765=$O$7,$B4765&lt;'111'!$N$11),"x","")</f>
        <v/>
      </c>
      <c r="R4765" s="525" t="str">
        <f>IF(ISERROR(FIND('112'!$M$9,G4765,1)),"",IF((AND(FIND('112'!$M$9,G4765,1)&gt;=1,$B4765&gt;='112'!$N$8,$B4765&lt;='112'!$O$8,OR($L4765='112'!$I$6,$M4765='112'!$I$6))),"x",""))</f>
        <v/>
      </c>
      <c r="S4765" s="525" t="str">
        <f>IF(ISERROR(FIND('112'!$M$9,G4765,1)),"",IF((AND(LEFT(G4765,2)=LEFT('112'!$M$9,2),B4765&lt;'112'!$N$8,$L4765='112'!$I$6)),"x",""))</f>
        <v/>
      </c>
      <c r="T4765" s="525" t="str">
        <f>IF(ISERROR(FIND('112'!$M$9,G4765,1)),"",IF((AND(RIGHT(G4765,2)=RIGHT('112'!$M$9,2),B4765&lt;'112'!$N$8,$M4765='112'!$I$6)),"x",""))</f>
        <v/>
      </c>
      <c r="U4765" s="525" t="str">
        <f>IF(AND(B4765&gt;='IN-NX'!$P$3,B4765&lt;='IN-NX'!$Q$3,'IN-NX'!$D$7=D4765,OR(LEFT(L4765,2)="15",AND(LEFT(M4765,2)&lt;&gt;"15",LEFT(M4765,2)&lt;&gt;"33"))),"x","")</f>
        <v/>
      </c>
      <c r="V4765" s="525" t="str">
        <f>IF(AND(OR(LEFT(TH!L4765,2)="15",LEFT(TH!M4765,2)="15"),'152-CT'!$J$8=TH!F4765),"x","")</f>
        <v/>
      </c>
      <c r="W4765" s="525" t="str">
        <f>IF(AND(OR(LEFT(TH!L4765,2)="15",LEFT(TH!M4765,2)="15"),TK!$E$7=TH!F4765),"x","")</f>
        <v/>
      </c>
      <c r="X4765" s="525" t="str">
        <f>IF(AND('341-CT'!$E$9=H4765,OR(LEFT(L4765,3)=$X$7,LEFT(M4765,3)=$X$7)),"x","")</f>
        <v/>
      </c>
      <c r="Y4765" s="525" t="str">
        <f>IF(OR(TH!L4765=TH!$Y$7,M4765=TH!$Y$7),"x","")</f>
        <v/>
      </c>
      <c r="Z4765" s="525" t="str">
        <f>IF(AND(B4765&lt;=NKC!$N$8,B4765&gt;=NKC!$M$8),"x","")</f>
        <v/>
      </c>
      <c r="AA4765" s="546"/>
      <c r="AB4765" s="536"/>
      <c r="AE4765" s="536"/>
    </row>
    <row r="4766" spans="1:31" s="503" customFormat="1" ht="15.75" customHeight="1">
      <c r="A4766" s="517" t="str">
        <f>IF(B4766&lt;&gt;"",IF(AND(B4766&gt;=_TM1,B4766&lt;=_TM2,OR(TH!L4766="1111",TH!M4766="1111")),TH!D4766,""),"")</f>
        <v/>
      </c>
      <c r="B4766" s="531" t="str">
        <f t="shared" si="566"/>
        <v/>
      </c>
      <c r="C4766" s="315"/>
      <c r="D4766" s="544"/>
      <c r="E4766" s="545"/>
      <c r="F4766" s="249"/>
      <c r="G4766" s="541"/>
      <c r="H4766" s="472"/>
      <c r="I4766" s="307"/>
      <c r="J4766" s="307"/>
      <c r="K4766" s="532"/>
      <c r="L4766" s="551"/>
      <c r="M4766" s="551"/>
      <c r="N4766" s="525" t="str">
        <f>IF(AND('331-CT'!$E$7=TH!H4766,OR(L4766="331",M4766="331")),"331",IF(AND(OR(L4766="131",M4766="131"),H4766='131-CT'!$E$7),"131",""))</f>
        <v/>
      </c>
      <c r="O4766" s="525" t="str">
        <f>IF(AND($B4766&gt;='111'!$N$11,$B4766&lt;='111'!$O$11,OR($L4766=$O$7,$M4766=$O$7)),"x","")</f>
        <v/>
      </c>
      <c r="P4766" s="525" t="str">
        <f>IF(AND($L4766=$O$7,$B4766&lt;'111'!$N$11),"x","")</f>
        <v/>
      </c>
      <c r="Q4766" s="525" t="str">
        <f>IF(AND($M4766=$O$7,$B4766&lt;'111'!$N$11),"x","")</f>
        <v/>
      </c>
      <c r="R4766" s="525" t="str">
        <f>IF(ISERROR(FIND('112'!$M$9,G4766,1)),"",IF((AND(FIND('112'!$M$9,G4766,1)&gt;=1,$B4766&gt;='112'!$N$8,$B4766&lt;='112'!$O$8,OR($L4766='112'!$I$6,$M4766='112'!$I$6))),"x",""))</f>
        <v/>
      </c>
      <c r="S4766" s="525" t="str">
        <f>IF(ISERROR(FIND('112'!$M$9,G4766,1)),"",IF((AND(LEFT(G4766,2)=LEFT('112'!$M$9,2),B4766&lt;'112'!$N$8,$L4766='112'!$I$6)),"x",""))</f>
        <v/>
      </c>
      <c r="T4766" s="525" t="str">
        <f>IF(ISERROR(FIND('112'!$M$9,G4766,1)),"",IF((AND(RIGHT(G4766,2)=RIGHT('112'!$M$9,2),B4766&lt;'112'!$N$8,$M4766='112'!$I$6)),"x",""))</f>
        <v/>
      </c>
      <c r="U4766" s="525" t="str">
        <f>IF(AND(B4766&gt;='IN-NX'!$P$3,B4766&lt;='IN-NX'!$Q$3,'IN-NX'!$D$7=D4766,OR(LEFT(L4766,2)="15",AND(LEFT(M4766,2)&lt;&gt;"15",LEFT(M4766,2)&lt;&gt;"33"))),"x","")</f>
        <v/>
      </c>
      <c r="V4766" s="525" t="str">
        <f>IF(AND(OR(LEFT(TH!L4766,2)="15",LEFT(TH!M4766,2)="15"),'152-CT'!$J$8=TH!F4766),"x","")</f>
        <v/>
      </c>
      <c r="W4766" s="525" t="str">
        <f>IF(AND(OR(LEFT(TH!L4766,2)="15",LEFT(TH!M4766,2)="15"),TK!$E$7=TH!F4766),"x","")</f>
        <v/>
      </c>
      <c r="X4766" s="525" t="str">
        <f>IF(AND('341-CT'!$E$9=H4766,OR(LEFT(L4766,3)=$X$7,LEFT(M4766,3)=$X$7)),"x","")</f>
        <v/>
      </c>
      <c r="Y4766" s="525" t="str">
        <f>IF(OR(TH!L4766=TH!$Y$7,M4766=TH!$Y$7),"x","")</f>
        <v/>
      </c>
      <c r="Z4766" s="525" t="str">
        <f>IF(AND(B4766&lt;=NKC!$N$8,B4766&gt;=NKC!$M$8),"x","")</f>
        <v/>
      </c>
      <c r="AA4766" s="546"/>
      <c r="AB4766" s="536"/>
      <c r="AE4766" s="536"/>
    </row>
    <row r="4767" spans="1:31" s="503" customFormat="1" ht="15.75" customHeight="1">
      <c r="A4767" s="517" t="str">
        <f>IF(B4767&lt;&gt;"",IF(AND(B4767&gt;=_TM1,B4767&lt;=_TM2,OR(TH!L4767="1111",TH!M4767="1111")),TH!D4767,""),"")</f>
        <v/>
      </c>
      <c r="B4767" s="531" t="str">
        <f t="shared" si="566"/>
        <v/>
      </c>
      <c r="C4767" s="315"/>
      <c r="D4767" s="315"/>
      <c r="E4767" s="545"/>
      <c r="F4767" s="249"/>
      <c r="G4767" s="541"/>
      <c r="H4767" s="473"/>
      <c r="I4767" s="307"/>
      <c r="J4767" s="307"/>
      <c r="K4767" s="532"/>
      <c r="L4767" s="551"/>
      <c r="M4767" s="551"/>
      <c r="N4767" s="525" t="str">
        <f>IF(AND('331-CT'!$E$7=TH!H4767,OR(L4767="331",M4767="331")),"331",IF(AND(OR(L4767="131",M4767="131"),H4767='131-CT'!$E$7),"131",""))</f>
        <v/>
      </c>
      <c r="O4767" s="525" t="str">
        <f>IF(AND($B4767&gt;='111'!$N$11,$B4767&lt;='111'!$O$11,OR($L4767=$O$7,$M4767=$O$7)),"x","")</f>
        <v/>
      </c>
      <c r="P4767" s="525" t="str">
        <f>IF(AND($L4767=$O$7,$B4767&lt;'111'!$N$11),"x","")</f>
        <v/>
      </c>
      <c r="Q4767" s="525" t="str">
        <f>IF(AND($M4767=$O$7,$B4767&lt;'111'!$N$11),"x","")</f>
        <v/>
      </c>
      <c r="R4767" s="525" t="str">
        <f>IF(ISERROR(FIND('112'!$M$9,G4767,1)),"",IF((AND(FIND('112'!$M$9,G4767,1)&gt;=1,$B4767&gt;='112'!$N$8,$B4767&lt;='112'!$O$8,OR($L4767='112'!$I$6,$M4767='112'!$I$6))),"x",""))</f>
        <v/>
      </c>
      <c r="S4767" s="525" t="str">
        <f>IF(ISERROR(FIND('112'!$M$9,G4767,1)),"",IF((AND(LEFT(G4767,2)=LEFT('112'!$M$9,2),B4767&lt;'112'!$N$8,$L4767='112'!$I$6)),"x",""))</f>
        <v/>
      </c>
      <c r="T4767" s="525" t="str">
        <f>IF(ISERROR(FIND('112'!$M$9,G4767,1)),"",IF((AND(RIGHT(G4767,2)=RIGHT('112'!$M$9,2),B4767&lt;'112'!$N$8,$M4767='112'!$I$6)),"x",""))</f>
        <v/>
      </c>
      <c r="U4767" s="525" t="str">
        <f>IF(AND(B4767&gt;='IN-NX'!$P$3,B4767&lt;='IN-NX'!$Q$3,'IN-NX'!$D$7=D4767,OR(LEFT(L4767,2)="15",AND(LEFT(M4767,2)&lt;&gt;"15",LEFT(M4767,2)&lt;&gt;"33"))),"x","")</f>
        <v/>
      </c>
      <c r="V4767" s="525" t="str">
        <f>IF(AND(OR(LEFT(TH!L4767,2)="15",LEFT(TH!M4767,2)="15"),'152-CT'!$J$8=TH!F4767),"x","")</f>
        <v/>
      </c>
      <c r="W4767" s="525" t="str">
        <f>IF(AND(OR(LEFT(TH!L4767,2)="15",LEFT(TH!M4767,2)="15"),TK!$E$7=TH!F4767),"x","")</f>
        <v/>
      </c>
      <c r="X4767" s="525" t="str">
        <f>IF(AND('341-CT'!$E$9=H4767,OR(LEFT(L4767,3)=$X$7,LEFT(M4767,3)=$X$7)),"x","")</f>
        <v/>
      </c>
      <c r="Y4767" s="525" t="str">
        <f>IF(OR(TH!L4767=TH!$Y$7,M4767=TH!$Y$7),"x","")</f>
        <v/>
      </c>
      <c r="Z4767" s="525" t="str">
        <f>IF(AND(B4767&lt;=NKC!$N$8,B4767&gt;=NKC!$M$8),"x","")</f>
        <v/>
      </c>
      <c r="AA4767" s="546"/>
      <c r="AB4767" s="536"/>
      <c r="AE4767" s="536"/>
    </row>
    <row r="4768" spans="1:31" s="503" customFormat="1" ht="15.75" customHeight="1">
      <c r="A4768" s="517" t="str">
        <f>IF(B4768&lt;&gt;"",IF(AND(B4768&gt;=_TM1,B4768&lt;=_TM2,OR(TH!L4768="1111",TH!M4768="1111")),TH!D4768,""),"")</f>
        <v/>
      </c>
      <c r="B4768" s="531" t="str">
        <f t="shared" si="566"/>
        <v/>
      </c>
      <c r="C4768" s="315"/>
      <c r="D4768" s="315"/>
      <c r="E4768" s="545"/>
      <c r="F4768" s="249"/>
      <c r="G4768" s="541"/>
      <c r="H4768" s="473"/>
      <c r="I4768" s="307"/>
      <c r="J4768" s="307"/>
      <c r="K4768" s="532"/>
      <c r="L4768" s="551"/>
      <c r="M4768" s="551"/>
      <c r="N4768" s="525" t="str">
        <f>IF(AND('331-CT'!$E$7=TH!H4768,OR(L4768="331",M4768="331")),"331",IF(AND(OR(L4768="131",M4768="131"),H4768='131-CT'!$E$7),"131",""))</f>
        <v/>
      </c>
      <c r="O4768" s="525" t="str">
        <f>IF(AND($B4768&gt;='111'!$N$11,$B4768&lt;='111'!$O$11,OR($L4768=$O$7,$M4768=$O$7)),"x","")</f>
        <v/>
      </c>
      <c r="P4768" s="525" t="str">
        <f>IF(AND($L4768=$O$7,$B4768&lt;'111'!$N$11),"x","")</f>
        <v/>
      </c>
      <c r="Q4768" s="525" t="str">
        <f>IF(AND($M4768=$O$7,$B4768&lt;'111'!$N$11),"x","")</f>
        <v/>
      </c>
      <c r="R4768" s="525" t="str">
        <f>IF(ISERROR(FIND('112'!$M$9,G4768,1)),"",IF((AND(FIND('112'!$M$9,G4768,1)&gt;=1,$B4768&gt;='112'!$N$8,$B4768&lt;='112'!$O$8,OR($L4768='112'!$I$6,$M4768='112'!$I$6))),"x",""))</f>
        <v/>
      </c>
      <c r="S4768" s="525" t="str">
        <f>IF(ISERROR(FIND('112'!$M$9,G4768,1)),"",IF((AND(LEFT(G4768,2)=LEFT('112'!$M$9,2),B4768&lt;'112'!$N$8,$L4768='112'!$I$6)),"x",""))</f>
        <v/>
      </c>
      <c r="T4768" s="525" t="str">
        <f>IF(ISERROR(FIND('112'!$M$9,G4768,1)),"",IF((AND(RIGHT(G4768,2)=RIGHT('112'!$M$9,2),B4768&lt;'112'!$N$8,$M4768='112'!$I$6)),"x",""))</f>
        <v/>
      </c>
      <c r="U4768" s="525" t="str">
        <f>IF(AND(B4768&gt;='IN-NX'!$P$3,B4768&lt;='IN-NX'!$Q$3,'IN-NX'!$D$7=D4768,OR(LEFT(L4768,2)="15",AND(LEFT(M4768,2)&lt;&gt;"15",LEFT(M4768,2)&lt;&gt;"33"))),"x","")</f>
        <v/>
      </c>
      <c r="V4768" s="525" t="str">
        <f>IF(AND(OR(LEFT(TH!L4768,2)="15",LEFT(TH!M4768,2)="15"),'152-CT'!$J$8=TH!F4768),"x","")</f>
        <v/>
      </c>
      <c r="W4768" s="525" t="str">
        <f>IF(AND(OR(LEFT(TH!L4768,2)="15",LEFT(TH!M4768,2)="15"),TK!$E$7=TH!F4768),"x","")</f>
        <v/>
      </c>
      <c r="X4768" s="525" t="str">
        <f>IF(AND('341-CT'!$E$9=H4768,OR(LEFT(L4768,3)=$X$7,LEFT(M4768,3)=$X$7)),"x","")</f>
        <v/>
      </c>
      <c r="Y4768" s="525" t="str">
        <f>IF(OR(TH!L4768=TH!$Y$7,M4768=TH!$Y$7),"x","")</f>
        <v/>
      </c>
      <c r="Z4768" s="525" t="str">
        <f>IF(AND(B4768&lt;=NKC!$N$8,B4768&gt;=NKC!$M$8),"x","")</f>
        <v/>
      </c>
      <c r="AA4768" s="546"/>
      <c r="AB4768" s="536"/>
      <c r="AE4768" s="536"/>
    </row>
    <row r="4769" spans="1:34" s="503" customFormat="1" ht="15.75" customHeight="1">
      <c r="A4769" s="517" t="str">
        <f>IF(B4769&lt;&gt;"",IF(AND(B4769&gt;=_TM1,B4769&lt;=_TM2,OR(TH!L4769="1111",TH!M4769="1111")),TH!D4769,""),"")</f>
        <v/>
      </c>
      <c r="B4769" s="531" t="str">
        <f t="shared" si="566"/>
        <v/>
      </c>
      <c r="C4769" s="315"/>
      <c r="D4769" s="544"/>
      <c r="E4769" s="545"/>
      <c r="F4769" s="249"/>
      <c r="G4769" s="541"/>
      <c r="H4769" s="472"/>
      <c r="I4769" s="307"/>
      <c r="J4769" s="307"/>
      <c r="K4769" s="532"/>
      <c r="L4769" s="539"/>
      <c r="M4769" s="551"/>
      <c r="N4769" s="525" t="str">
        <f>IF(AND('331-CT'!$E$7=TH!H4769,OR(L4769="331",M4769="331")),"331",IF(AND(OR(L4769="131",M4769="131"),H4769='131-CT'!$E$7),"131",""))</f>
        <v/>
      </c>
      <c r="O4769" s="525" t="str">
        <f>IF(AND($B4769&gt;='111'!$N$11,$B4769&lt;='111'!$O$11,OR($L4769=$O$7,$M4769=$O$7)),"x","")</f>
        <v/>
      </c>
      <c r="P4769" s="525" t="str">
        <f>IF(AND($L4769=$O$7,$B4769&lt;'111'!$N$11),"x","")</f>
        <v/>
      </c>
      <c r="Q4769" s="525" t="str">
        <f>IF(AND($M4769=$O$7,$B4769&lt;'111'!$N$11),"x","")</f>
        <v/>
      </c>
      <c r="R4769" s="525" t="str">
        <f>IF(ISERROR(FIND('112'!$M$9,G4769,1)),"",IF((AND(FIND('112'!$M$9,G4769,1)&gt;=1,$B4769&gt;='112'!$N$8,$B4769&lt;='112'!$O$8,OR($L4769='112'!$I$6,$M4769='112'!$I$6))),"x",""))</f>
        <v/>
      </c>
      <c r="S4769" s="525" t="str">
        <f>IF(ISERROR(FIND('112'!$M$9,G4769,1)),"",IF((AND(LEFT(G4769,2)=LEFT('112'!$M$9,2),B4769&lt;'112'!$N$8,$L4769='112'!$I$6)),"x",""))</f>
        <v/>
      </c>
      <c r="T4769" s="525" t="str">
        <f>IF(ISERROR(FIND('112'!$M$9,G4769,1)),"",IF((AND(RIGHT(G4769,2)=RIGHT('112'!$M$9,2),B4769&lt;'112'!$N$8,$M4769='112'!$I$6)),"x",""))</f>
        <v/>
      </c>
      <c r="U4769" s="525" t="str">
        <f>IF(AND(B4769&gt;='IN-NX'!$P$3,B4769&lt;='IN-NX'!$Q$3,'IN-NX'!$D$7=D4769,OR(LEFT(L4769,2)="15",AND(LEFT(M4769,2)&lt;&gt;"15",LEFT(M4769,2)&lt;&gt;"33"))),"x","")</f>
        <v/>
      </c>
      <c r="V4769" s="525" t="str">
        <f>IF(AND(OR(LEFT(TH!L4769,2)="15",LEFT(TH!M4769,2)="15"),'152-CT'!$J$8=TH!F4769),"x","")</f>
        <v/>
      </c>
      <c r="W4769" s="525" t="str">
        <f>IF(AND(OR(LEFT(TH!L4769,2)="15",LEFT(TH!M4769,2)="15"),TK!$E$7=TH!F4769),"x","")</f>
        <v/>
      </c>
      <c r="X4769" s="525" t="str">
        <f>IF(AND('341-CT'!$E$9=H4769,OR(LEFT(L4769,3)=$X$7,LEFT(M4769,3)=$X$7)),"x","")</f>
        <v/>
      </c>
      <c r="Y4769" s="525" t="str">
        <f>IF(OR(TH!L4769=TH!$Y$7,M4769=TH!$Y$7),"x","")</f>
        <v/>
      </c>
      <c r="Z4769" s="525" t="str">
        <f>IF(AND(B4769&lt;=NKC!$N$8,B4769&gt;=NKC!$M$8),"x","")</f>
        <v/>
      </c>
      <c r="AA4769" s="546"/>
      <c r="AB4769" s="536"/>
      <c r="AE4769" s="536"/>
    </row>
    <row r="4770" spans="1:34" s="503" customFormat="1" ht="15.75" customHeight="1">
      <c r="A4770" s="517" t="str">
        <f>IF(B4770&lt;&gt;"",IF(AND(B4770&gt;=_TM1,B4770&lt;=_TM2,OR(TH!L4770="1111",TH!M4770="1111")),TH!D4770,""),"")</f>
        <v/>
      </c>
      <c r="B4770" s="531" t="str">
        <f>IF(C4770&lt;&gt;"",MONTH(C4770),"")</f>
        <v/>
      </c>
      <c r="C4770" s="315"/>
      <c r="D4770" s="544"/>
      <c r="E4770" s="545"/>
      <c r="F4770" s="249"/>
      <c r="G4770" s="541"/>
      <c r="H4770" s="472"/>
      <c r="I4770" s="307"/>
      <c r="J4770" s="307"/>
      <c r="K4770" s="532"/>
      <c r="L4770" s="551"/>
      <c r="M4770" s="551"/>
      <c r="N4770" s="525" t="str">
        <f>IF(AND('331-CT'!$E$7=TH!H4770,OR(L4770="331",M4770="331")),"331",IF(AND(OR(L4770="131",M4770="131"),H4770='131-CT'!$E$7),"131",""))</f>
        <v/>
      </c>
      <c r="O4770" s="525" t="str">
        <f>IF(AND($B4770&gt;='111'!$N$11,$B4770&lt;='111'!$O$11,OR($L4770=$O$7,$M4770=$O$7)),"x","")</f>
        <v/>
      </c>
      <c r="P4770" s="525" t="str">
        <f>IF(AND($L4770=$O$7,$B4770&lt;'111'!$N$11),"x","")</f>
        <v/>
      </c>
      <c r="Q4770" s="525" t="str">
        <f>IF(AND($M4770=$O$7,$B4770&lt;'111'!$N$11),"x","")</f>
        <v/>
      </c>
      <c r="R4770" s="525" t="str">
        <f>IF(ISERROR(FIND('112'!$M$9,G4770,1)),"",IF((AND(FIND('112'!$M$9,G4770,1)&gt;=1,$B4770&gt;='112'!$N$8,$B4770&lt;='112'!$O$8,OR($L4770='112'!$I$6,$M4770='112'!$I$6))),"x",""))</f>
        <v/>
      </c>
      <c r="S4770" s="525" t="str">
        <f>IF(ISERROR(FIND('112'!$M$9,G4770,1)),"",IF((AND(LEFT(G4770,2)=LEFT('112'!$M$9,2),B4770&lt;'112'!$N$8,$L4770='112'!$I$6)),"x",""))</f>
        <v/>
      </c>
      <c r="T4770" s="525" t="str">
        <f>IF(ISERROR(FIND('112'!$M$9,G4770,1)),"",IF((AND(RIGHT(G4770,2)=RIGHT('112'!$M$9,2),B4770&lt;'112'!$N$8,$M4770='112'!$I$6)),"x",""))</f>
        <v/>
      </c>
      <c r="U4770" s="525" t="str">
        <f>IF(AND(B4770&gt;='IN-NX'!$P$3,B4770&lt;='IN-NX'!$Q$3,'IN-NX'!$D$7=D4770,OR(LEFT(L4770,2)="15",AND(LEFT(M4770,2)&lt;&gt;"15",LEFT(M4770,2)&lt;&gt;"33"))),"x","")</f>
        <v/>
      </c>
      <c r="V4770" s="525" t="str">
        <f>IF(AND(OR(LEFT(TH!L4770,2)="15",LEFT(TH!M4770,2)="15"),'152-CT'!$J$8=TH!F4770),"x","")</f>
        <v/>
      </c>
      <c r="W4770" s="525" t="str">
        <f>IF(AND(OR(LEFT(TH!L4770,2)="15",LEFT(TH!M4770,2)="15"),TK!$E$7=TH!F4770),"x","")</f>
        <v/>
      </c>
      <c r="X4770" s="525" t="str">
        <f>IF(AND('341-CT'!$E$9=H4770,OR(LEFT(L4770,3)=$X$7,LEFT(M4770,3)=$X$7)),"x","")</f>
        <v/>
      </c>
      <c r="Y4770" s="525" t="str">
        <f>IF(OR(TH!L4770=TH!$Y$7,M4770=TH!$Y$7),"x","")</f>
        <v/>
      </c>
      <c r="Z4770" s="525" t="str">
        <f>IF(AND(B4770&lt;=NKC!$N$8,B4770&gt;=NKC!$M$8),"x","")</f>
        <v/>
      </c>
      <c r="AA4770" s="546"/>
      <c r="AB4770" s="536"/>
      <c r="AE4770" s="536"/>
    </row>
    <row r="4771" spans="1:34" s="503" customFormat="1" ht="15.75" customHeight="1">
      <c r="A4771" s="517" t="str">
        <f>IF(B4771&lt;&gt;"",IF(AND(B4771&gt;=_TM1,B4771&lt;=_TM2,OR(TH!L4771="1111",TH!M4771="1111")),TH!D4771,""),"")</f>
        <v/>
      </c>
      <c r="B4771" s="531" t="str">
        <f>IF(C4771&lt;&gt;"",MONTH(C4771),"")</f>
        <v/>
      </c>
      <c r="C4771" s="315"/>
      <c r="D4771" s="537"/>
      <c r="E4771" s="280"/>
      <c r="F4771" s="250"/>
      <c r="G4771" s="538"/>
      <c r="H4771" s="549"/>
      <c r="I4771" s="307"/>
      <c r="J4771" s="307"/>
      <c r="K4771" s="532"/>
      <c r="L4771" s="539"/>
      <c r="M4771" s="534"/>
      <c r="N4771" s="525" t="str">
        <f>IF(AND('331-CT'!$E$7=TH!H4771,OR(L4771="331",M4771="331")),"331",IF(AND(OR(L4771="131",M4771="131"),H4771='131-CT'!$E$7),"131",""))</f>
        <v/>
      </c>
      <c r="O4771" s="525" t="str">
        <f>IF(AND($B4771&gt;='111'!$N$11,$B4771&lt;='111'!$O$11,OR($L4771=$O$7,$M4771=$O$7)),"x","")</f>
        <v/>
      </c>
      <c r="P4771" s="525" t="str">
        <f>IF(AND($L4771=$O$7,$B4771&lt;'111'!$N$11),"x","")</f>
        <v/>
      </c>
      <c r="Q4771" s="525" t="str">
        <f>IF(AND($M4771=$O$7,$B4771&lt;'111'!$N$11),"x","")</f>
        <v/>
      </c>
      <c r="R4771" s="525" t="str">
        <f>IF(ISERROR(FIND('112'!$M$9,G4771,1)),"",IF((AND(FIND('112'!$M$9,G4771,1)&gt;=1,$B4771&gt;='112'!$N$8,$B4771&lt;='112'!$O$8,OR($L4771='112'!$I$6,$M4771='112'!$I$6))),"x",""))</f>
        <v/>
      </c>
      <c r="S4771" s="525" t="str">
        <f>IF(ISERROR(FIND('112'!$M$9,G4771,1)),"",IF((AND(LEFT(G4771,2)=LEFT('112'!$M$9,2),B4771&lt;'112'!$N$8,$L4771='112'!$I$6)),"x",""))</f>
        <v/>
      </c>
      <c r="T4771" s="525" t="str">
        <f>IF(ISERROR(FIND('112'!$M$9,G4771,1)),"",IF((AND(RIGHT(G4771,2)=RIGHT('112'!$M$9,2),B4771&lt;'112'!$N$8,$M4771='112'!$I$6)),"x",""))</f>
        <v/>
      </c>
      <c r="U4771" s="525" t="str">
        <f>IF(AND(B4771&gt;='IN-NX'!$P$3,B4771&lt;='IN-NX'!$Q$3,'IN-NX'!$D$7=D4771,OR(LEFT(L4771,2)="15",AND(LEFT(M4771,2)&lt;&gt;"15",LEFT(M4771,2)&lt;&gt;"33"))),"x","")</f>
        <v/>
      </c>
      <c r="V4771" s="525" t="str">
        <f>IF(AND(OR(LEFT(TH!L4771,2)="15",LEFT(TH!M4771,2)="15"),'152-CT'!$J$8=TH!F4771),"x","")</f>
        <v/>
      </c>
      <c r="W4771" s="525" t="str">
        <f>IF(AND(OR(LEFT(TH!L4771,2)="15",LEFT(TH!M4771,2)="15"),TK!$E$7=TH!F4771),"x","")</f>
        <v/>
      </c>
      <c r="X4771" s="525" t="str">
        <f>IF(AND('341-CT'!$E$9=H4771,OR(LEFT(L4771,3)=$X$7,LEFT(M4771,3)=$X$7)),"x","")</f>
        <v/>
      </c>
      <c r="Y4771" s="525" t="str">
        <f>IF(OR(TH!L4771=TH!$Y$7,M4771=TH!$Y$7),"x","")</f>
        <v/>
      </c>
      <c r="Z4771" s="525" t="str">
        <f>IF(AND(B4771&lt;=NKC!$N$8,B4771&gt;=NKC!$M$8),"x","")</f>
        <v/>
      </c>
      <c r="AA4771" s="535"/>
    </row>
    <row r="4772" spans="1:34" s="503" customFormat="1" ht="15.75" customHeight="1">
      <c r="A4772" s="517" t="str">
        <f>IF(B4772&lt;&gt;"",IF(AND(B4772&gt;=_TM1,B4772&lt;=_TM2,OR(TH!L4772="1111",TH!M4772="1111")),TH!D4772,""),"")</f>
        <v/>
      </c>
      <c r="B4772" s="531" t="str">
        <f>IF(C4772&lt;&gt;"",MONTH(C4772),"")</f>
        <v/>
      </c>
      <c r="C4772" s="315"/>
      <c r="D4772" s="537"/>
      <c r="E4772" s="280"/>
      <c r="F4772" s="250"/>
      <c r="G4772" s="538"/>
      <c r="H4772" s="549"/>
      <c r="I4772" s="307"/>
      <c r="J4772" s="307"/>
      <c r="K4772" s="532"/>
      <c r="L4772" s="534"/>
      <c r="M4772" s="534"/>
      <c r="N4772" s="525" t="str">
        <f>IF(AND('331-CT'!$E$7=TH!H4772,OR(L4772="331",M4772="331")),"331",IF(AND(OR(L4772="131",M4772="131"),H4772='131-CT'!$E$7),"131",""))</f>
        <v/>
      </c>
      <c r="O4772" s="525" t="str">
        <f>IF(AND($B4772&gt;='111'!$N$11,$B4772&lt;='111'!$O$11,OR($L4772=$O$7,$M4772=$O$7)),"x","")</f>
        <v/>
      </c>
      <c r="P4772" s="525" t="str">
        <f>IF(AND($L4772=$O$7,$B4772&lt;'111'!$N$11),"x","")</f>
        <v/>
      </c>
      <c r="Q4772" s="525" t="str">
        <f>IF(AND($M4772=$O$7,$B4772&lt;'111'!$N$11),"x","")</f>
        <v/>
      </c>
      <c r="R4772" s="525" t="str">
        <f>IF(ISERROR(FIND('112'!$M$9,G4772,1)),"",IF((AND(FIND('112'!$M$9,G4772,1)&gt;=1,$B4772&gt;='112'!$N$8,$B4772&lt;='112'!$O$8,OR($L4772='112'!$I$6,$M4772='112'!$I$6))),"x",""))</f>
        <v/>
      </c>
      <c r="S4772" s="525" t="str">
        <f>IF(ISERROR(FIND('112'!$M$9,G4772,1)),"",IF((AND(LEFT(G4772,2)=LEFT('112'!$M$9,2),B4772&lt;'112'!$N$8,$L4772='112'!$I$6)),"x",""))</f>
        <v/>
      </c>
      <c r="T4772" s="525" t="str">
        <f>IF(ISERROR(FIND('112'!$M$9,G4772,1)),"",IF((AND(RIGHT(G4772,2)=RIGHT('112'!$M$9,2),B4772&lt;'112'!$N$8,$M4772='112'!$I$6)),"x",""))</f>
        <v/>
      </c>
      <c r="U4772" s="525" t="str">
        <f>IF(AND(B4772&gt;='IN-NX'!$P$3,B4772&lt;='IN-NX'!$Q$3,'IN-NX'!$D$7=D4772,OR(LEFT(L4772,2)="15",AND(LEFT(M4772,2)&lt;&gt;"15",LEFT(M4772,2)&lt;&gt;"33"))),"x","")</f>
        <v/>
      </c>
      <c r="V4772" s="525" t="str">
        <f>IF(AND(OR(LEFT(TH!L4772,2)="15",LEFT(TH!M4772,2)="15"),'152-CT'!$J$8=TH!F4772),"x","")</f>
        <v/>
      </c>
      <c r="W4772" s="525" t="str">
        <f>IF(AND(OR(LEFT(TH!L4772,2)="15",LEFT(TH!M4772,2)="15"),TK!$E$7=TH!F4772),"x","")</f>
        <v/>
      </c>
      <c r="X4772" s="525" t="str">
        <f>IF(AND('341-CT'!$E$9=H4772,OR(LEFT(L4772,3)=$X$7,LEFT(M4772,3)=$X$7)),"x","")</f>
        <v/>
      </c>
      <c r="Y4772" s="525" t="str">
        <f>IF(OR(TH!L4772=TH!$Y$7,M4772=TH!$Y$7),"x","")</f>
        <v/>
      </c>
      <c r="Z4772" s="525" t="str">
        <f>IF(AND(B4772&lt;=NKC!$N$8,B4772&gt;=NKC!$M$8),"x","")</f>
        <v/>
      </c>
      <c r="AA4772" s="535"/>
    </row>
    <row r="4773" spans="1:34" s="503" customFormat="1" ht="15.75" customHeight="1">
      <c r="A4773" s="517" t="str">
        <f>IF(B4773&lt;&gt;"",IF(AND(B4773&gt;=_TM1,B4773&lt;=_TM2,OR(TH!L4773="1111",TH!M4773="1111")),TH!D4773,""),"")</f>
        <v/>
      </c>
      <c r="B4773" s="531" t="str">
        <f>IF(C4773&lt;&gt;"",MONTH(C4773),"")</f>
        <v/>
      </c>
      <c r="C4773" s="315"/>
      <c r="D4773" s="537"/>
      <c r="E4773" s="280"/>
      <c r="F4773" s="250"/>
      <c r="G4773" s="314"/>
      <c r="H4773" s="472"/>
      <c r="I4773" s="307"/>
      <c r="J4773" s="307"/>
      <c r="K4773" s="532"/>
      <c r="L4773" s="539"/>
      <c r="M4773" s="534"/>
      <c r="N4773" s="525" t="str">
        <f>IF(AND('331-CT'!$E$7=TH!H4773,OR(L4773="331",M4773="331")),"331",IF(AND(OR(L4773="131",M4773="131"),H4773='131-CT'!$E$7),"131",""))</f>
        <v/>
      </c>
      <c r="O4773" s="525" t="str">
        <f>IF(AND($B4773&gt;='111'!$N$11,$B4773&lt;='111'!$O$11,OR($L4773=$O$7,$M4773=$O$7)),"x","")</f>
        <v/>
      </c>
      <c r="P4773" s="525" t="str">
        <f>IF(AND($L4773=$O$7,$B4773&lt;'111'!$N$11),"x","")</f>
        <v/>
      </c>
      <c r="Q4773" s="525" t="str">
        <f>IF(AND($M4773=$O$7,$B4773&lt;'111'!$N$11),"x","")</f>
        <v/>
      </c>
      <c r="R4773" s="525" t="str">
        <f>IF(ISERROR(FIND('112'!$M$9,G4773,1)),"",IF((AND(FIND('112'!$M$9,G4773,1)&gt;=1,$B4773&gt;='112'!$N$8,$B4773&lt;='112'!$O$8,OR($L4773='112'!$I$6,$M4773='112'!$I$6))),"x",""))</f>
        <v/>
      </c>
      <c r="S4773" s="525" t="str">
        <f>IF(ISERROR(FIND('112'!$M$9,G4773,1)),"",IF((AND(LEFT(G4773,2)=LEFT('112'!$M$9,2),B4773&lt;'112'!$N$8,$L4773='112'!$I$6)),"x",""))</f>
        <v/>
      </c>
      <c r="T4773" s="525" t="str">
        <f>IF(ISERROR(FIND('112'!$M$9,G4773,1)),"",IF((AND(RIGHT(G4773,2)=RIGHT('112'!$M$9,2),B4773&lt;'112'!$N$8,$M4773='112'!$I$6)),"x",""))</f>
        <v/>
      </c>
      <c r="U4773" s="525" t="str">
        <f>IF(AND(B4773&gt;='IN-NX'!$P$3,B4773&lt;='IN-NX'!$Q$3,'IN-NX'!$D$7=D4773,OR(LEFT(L4773,2)="15",AND(LEFT(M4773,2)&lt;&gt;"15",LEFT(M4773,2)&lt;&gt;"33"))),"x","")</f>
        <v/>
      </c>
      <c r="V4773" s="525" t="str">
        <f>IF(AND(OR(LEFT(TH!L4773,2)="15",LEFT(TH!M4773,2)="15"),'152-CT'!$J$8=TH!F4773),"x","")</f>
        <v/>
      </c>
      <c r="W4773" s="525" t="str">
        <f>IF(AND(OR(LEFT(TH!L4773,2)="15",LEFT(TH!M4773,2)="15"),TK!$E$7=TH!F4773),"x","")</f>
        <v/>
      </c>
      <c r="X4773" s="525" t="str">
        <f>IF(AND('341-CT'!$E$9=H4773,OR(LEFT(L4773,3)=$X$7,LEFT(M4773,3)=$X$7)),"x","")</f>
        <v/>
      </c>
      <c r="Y4773" s="525" t="str">
        <f>IF(OR(TH!L4773=TH!$Y$7,M4773=TH!$Y$7),"x","")</f>
        <v/>
      </c>
      <c r="Z4773" s="525" t="str">
        <f>IF(AND(B4773&lt;=NKC!$N$8,B4773&gt;=NKC!$M$8),"x","")</f>
        <v/>
      </c>
      <c r="AA4773" s="535"/>
    </row>
    <row r="4774" spans="1:34" s="503" customFormat="1" ht="15">
      <c r="A4774" s="505"/>
      <c r="G4774" s="557"/>
      <c r="H4774" s="558"/>
      <c r="I4774" s="558"/>
      <c r="J4774" s="558"/>
    </row>
    <row r="4775" spans="1:34" s="503" customFormat="1" ht="15">
      <c r="A4775" s="505"/>
      <c r="G4775" s="557"/>
      <c r="H4775" s="558"/>
      <c r="I4775" s="558"/>
      <c r="J4775" s="558"/>
      <c r="K4775" s="556">
        <f>SUBTOTAL(9,K10:K4773)</f>
        <v>65608716377.109093</v>
      </c>
      <c r="AC4775" s="560"/>
    </row>
    <row r="4776" spans="1:34">
      <c r="AC4776" s="610"/>
      <c r="AD4776" s="611"/>
    </row>
    <row r="4778" spans="1:34">
      <c r="AC4778" s="610"/>
    </row>
    <row r="4783" spans="1:34">
      <c r="AH4783" s="691">
        <v>95979160</v>
      </c>
    </row>
    <row r="4784" spans="1:34">
      <c r="AH4784" s="559">
        <v>4700</v>
      </c>
    </row>
    <row r="4785" spans="34:34">
      <c r="AH4785" s="559">
        <f>AH4783/AH4784</f>
        <v>20421.097872340426</v>
      </c>
    </row>
    <row r="4787" spans="34:34">
      <c r="AH4787" s="559">
        <f>AH4783/J2177</f>
        <v>2893.8149365333011</v>
      </c>
    </row>
  </sheetData>
  <autoFilter ref="A9:AD4773"/>
  <sortState ref="A725:AH758">
    <sortCondition ref="C725:C758"/>
  </sortState>
  <mergeCells count="19">
    <mergeCell ref="A7:A8"/>
    <mergeCell ref="B7:B8"/>
    <mergeCell ref="H7:H8"/>
    <mergeCell ref="O7:Q8"/>
    <mergeCell ref="N7:N8"/>
    <mergeCell ref="I7:J7"/>
    <mergeCell ref="Z7:Z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Y7:Y8"/>
    <mergeCell ref="X7:X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00" t="str">
        <f>TH!A1</f>
        <v>Đơn vị: CÔNG TY TNHH MỘT THÀNH VIÊN KHỞI NGUYÊN AN</v>
      </c>
      <c r="B1" s="185"/>
      <c r="C1" s="185"/>
      <c r="D1" s="185"/>
      <c r="E1" s="185"/>
      <c r="F1" s="862" t="s">
        <v>244</v>
      </c>
      <c r="G1" s="862"/>
      <c r="H1" s="862"/>
      <c r="I1" s="862"/>
      <c r="J1" s="185"/>
      <c r="K1" s="185"/>
      <c r="L1" s="185"/>
      <c r="M1" s="185"/>
      <c r="N1" s="185"/>
    </row>
    <row r="2" spans="1:14" ht="15">
      <c r="A2" s="860" t="str">
        <f>TH!A2</f>
        <v>Địa chỉ: Thửa đất số 144, tờ bản đồ số 12TĐH.1, tổ 1, khu phố Đông Tác, Phường Tân Đông Hiệp, Thị Xã Dĩ An, Tỉnh Bình Dương, Việt Nam</v>
      </c>
      <c r="B2" s="860"/>
      <c r="C2" s="860"/>
      <c r="D2" s="860"/>
      <c r="E2" s="860"/>
      <c r="F2" s="861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61"/>
      <c r="H2" s="861"/>
      <c r="I2" s="861"/>
      <c r="J2" s="185"/>
      <c r="K2" s="185"/>
      <c r="L2" s="185"/>
      <c r="M2" s="185"/>
      <c r="N2" s="185"/>
    </row>
    <row r="3" spans="1:14" ht="15">
      <c r="A3" s="860"/>
      <c r="B3" s="860"/>
      <c r="C3" s="860"/>
      <c r="D3" s="860"/>
      <c r="E3" s="860"/>
      <c r="F3" s="861"/>
      <c r="G3" s="861"/>
      <c r="H3" s="861"/>
      <c r="I3" s="861"/>
      <c r="J3" s="185"/>
      <c r="K3" s="185"/>
      <c r="L3" s="185"/>
      <c r="M3" s="185"/>
      <c r="N3" s="185"/>
    </row>
    <row r="4" spans="1:14" ht="15">
      <c r="A4" s="185"/>
      <c r="B4" s="185"/>
      <c r="C4" s="185"/>
      <c r="D4" s="185"/>
      <c r="E4" s="185"/>
      <c r="F4" s="185"/>
      <c r="G4" s="185"/>
      <c r="H4" s="201"/>
      <c r="I4" s="201"/>
      <c r="J4" s="185"/>
      <c r="K4" s="185"/>
      <c r="L4" s="185"/>
      <c r="M4" s="185"/>
      <c r="N4" s="185"/>
    </row>
    <row r="5" spans="1:14" ht="26.25" customHeight="1">
      <c r="A5" s="185"/>
      <c r="B5" s="400"/>
      <c r="C5" s="400"/>
      <c r="D5" s="403" t="s">
        <v>245</v>
      </c>
      <c r="E5" s="400"/>
      <c r="F5" s="400"/>
      <c r="G5" s="400"/>
      <c r="H5" s="400"/>
      <c r="I5" s="400"/>
      <c r="J5" s="400"/>
      <c r="K5" s="400"/>
      <c r="L5" s="185"/>
      <c r="M5" s="185"/>
      <c r="N5" s="185"/>
    </row>
    <row r="6" spans="1:14" ht="15">
      <c r="A6" s="185"/>
      <c r="B6" s="401"/>
      <c r="C6" s="401"/>
      <c r="D6" s="402" t="str">
        <f ca="1">$K$9&amp;"   -   Năm:  " &amp;YEAR(A11)</f>
        <v>Quý I   -   Năm:  2017</v>
      </c>
      <c r="E6" s="401"/>
      <c r="F6" s="401"/>
      <c r="G6" s="401"/>
      <c r="H6" s="401"/>
      <c r="I6" s="401"/>
      <c r="J6" s="401"/>
      <c r="K6" s="401"/>
      <c r="L6" s="185"/>
      <c r="M6" s="185"/>
      <c r="N6" s="185"/>
    </row>
    <row r="7" spans="1:14" ht="15">
      <c r="A7" s="184"/>
      <c r="B7" s="184"/>
      <c r="C7" s="184"/>
      <c r="D7" s="184"/>
      <c r="E7" s="184"/>
      <c r="F7" s="184"/>
      <c r="G7" s="184"/>
      <c r="H7" s="864" t="s">
        <v>121</v>
      </c>
      <c r="I7" s="864"/>
      <c r="J7" s="184"/>
      <c r="K7" s="184"/>
      <c r="L7" s="185"/>
      <c r="M7" s="863" t="s">
        <v>239</v>
      </c>
      <c r="N7" s="863"/>
    </row>
    <row r="8" spans="1:14" ht="23.25" customHeight="1" thickBot="1">
      <c r="A8" s="865" t="s">
        <v>246</v>
      </c>
      <c r="B8" s="867" t="s">
        <v>1</v>
      </c>
      <c r="C8" s="868"/>
      <c r="D8" s="869" t="s">
        <v>0</v>
      </c>
      <c r="E8" s="865" t="s">
        <v>247</v>
      </c>
      <c r="F8" s="843" t="s">
        <v>92</v>
      </c>
      <c r="G8" s="843"/>
      <c r="H8" s="867" t="s">
        <v>21</v>
      </c>
      <c r="I8" s="868"/>
      <c r="J8" s="184"/>
      <c r="K8" s="184"/>
      <c r="L8" s="185"/>
      <c r="M8" s="186">
        <f>IF(K9="Quý I",1,IF(K9="Quý II",4,IF(K9="Quý III",7,IF(K9="Quý IV",10,""))))</f>
        <v>1</v>
      </c>
      <c r="N8" s="186">
        <f>IF(K9="Quý I",3,IF(K9="Quý II",6,IF(K9="Quý III",9,IF(K9="Quý IV",12,""))))</f>
        <v>3</v>
      </c>
    </row>
    <row r="9" spans="1:14" ht="28.5" customHeight="1" thickBot="1">
      <c r="A9" s="866"/>
      <c r="B9" s="187" t="s">
        <v>15</v>
      </c>
      <c r="C9" s="187" t="s">
        <v>31</v>
      </c>
      <c r="D9" s="870"/>
      <c r="E9" s="866"/>
      <c r="F9" s="220" t="s">
        <v>22</v>
      </c>
      <c r="G9" s="220" t="s">
        <v>23</v>
      </c>
      <c r="H9" s="187" t="s">
        <v>248</v>
      </c>
      <c r="I9" s="187" t="s">
        <v>23</v>
      </c>
      <c r="J9" s="185"/>
      <c r="K9" s="179" t="s">
        <v>450</v>
      </c>
      <c r="L9" s="185"/>
      <c r="M9" s="185"/>
      <c r="N9" s="185"/>
    </row>
    <row r="10" spans="1:14" ht="17.25" customHeight="1">
      <c r="A10" s="188"/>
      <c r="B10" s="188"/>
      <c r="C10" s="188"/>
      <c r="D10" s="189" t="s">
        <v>251</v>
      </c>
      <c r="E10" s="190"/>
      <c r="F10" s="188"/>
      <c r="G10" s="188"/>
      <c r="H10" s="191">
        <f>SUMIF(_M,"&lt;"&amp;$M$8,TH)</f>
        <v>0</v>
      </c>
      <c r="I10" s="191">
        <f>SUMIF(_M,"&lt;"&amp;$M$8,TH)</f>
        <v>0</v>
      </c>
      <c r="J10" s="185"/>
      <c r="K10" s="185"/>
      <c r="L10" s="185"/>
      <c r="M10" s="185"/>
      <c r="N10" s="185"/>
    </row>
    <row r="11" spans="1:14" ht="17.25" customHeight="1">
      <c r="A11" s="192">
        <f ca="1">IF(ROWS($1:1)&gt;COUNT(Dong6),"",OFFSET(TH!C$1,SMALL(Dong6,ROWS($1:1)),))</f>
        <v>42766</v>
      </c>
      <c r="B11" s="193" t="str">
        <f ca="1">IF(ROWS($1:1)&gt;COUNT(Dong6),"",OFFSET(TH!D$1,SMALL(Dong6,ROWS($1:1)),))</f>
        <v>CTGS</v>
      </c>
      <c r="C11" s="192">
        <f ca="1">IF(ROWS($1:1)&gt;COUNT(Dong6),"",OFFSET(TH!E$1,SMALL(Dong6,ROWS($1:1)),))</f>
        <v>42766</v>
      </c>
      <c r="D11" s="194" t="str">
        <f ca="1">IF(ROWS($1:1)&gt;COUNT(Dong6),"",OFFSET(TH!F$1,SMALL(Dong6,ROWS($1:1)),))</f>
        <v>Lương bộ phận quản lý</v>
      </c>
      <c r="E11" s="193">
        <f t="shared" ref="E11:E30" ca="1" si="0">IF(D11&lt;&gt;"",ROW()-10,"")</f>
        <v>1</v>
      </c>
      <c r="F11" s="195" t="str">
        <f ca="1">IF(ROWS($1:1)&gt;COUNT(Dong6),"",OFFSET(TH!L$1,SMALL(Dong6,ROWS($1:1)),))</f>
        <v>642</v>
      </c>
      <c r="G11" s="195" t="str">
        <f ca="1">IF(ROWS($1:1)&gt;COUNT(Dong6),"",OFFSET(TH!M$1,SMALL(Dong6,ROWS($1:1)),))</f>
        <v>3341</v>
      </c>
      <c r="H11" s="178">
        <f ca="1">IF(ROWS($1:1)&gt;COUNT(Dong6),"",OFFSET(TH!K$1,SMALL(Dong6,ROWS($1:1)),))</f>
        <v>11962000</v>
      </c>
      <c r="I11" s="178">
        <f ca="1">IF(ROWS($1:1)&gt;COUNT(Dong6),"",OFFSET(TH!K$1,SMALL(Dong6,ROWS($1:1)),))</f>
        <v>11962000</v>
      </c>
      <c r="J11" s="185"/>
      <c r="K11" s="185"/>
      <c r="L11" s="185"/>
      <c r="M11" s="185"/>
      <c r="N11" s="185"/>
    </row>
    <row r="12" spans="1:14" ht="17.25" customHeight="1">
      <c r="A12" s="192">
        <f ca="1">IF(ROWS($1:2)&gt;COUNT(Dong6),"",OFFSET(TH!C$1,SMALL(Dong6,ROWS($1:2)),))</f>
        <v>42766</v>
      </c>
      <c r="B12" s="193" t="str">
        <f ca="1">IF(ROWS($1:2)&gt;COUNT(Dong6),"",OFFSET(TH!D$1,SMALL(Dong6,ROWS($1:2)),))</f>
        <v>CTGS</v>
      </c>
      <c r="C12" s="192">
        <f ca="1">IF(ROWS($1:2)&gt;COUNT(Dong6),"",OFFSET(TH!E$1,SMALL(Dong6,ROWS($1:2)),))</f>
        <v>42766</v>
      </c>
      <c r="D12" s="194" t="str">
        <f ca="1">IF(ROWS($1:2)&gt;COUNT(Dong6),"",OFFSET(TH!F$1,SMALL(Dong6,ROWS($1:2)),))</f>
        <v>Lương bộ phận sản xuất</v>
      </c>
      <c r="E12" s="193">
        <f t="shared" ca="1" si="0"/>
        <v>2</v>
      </c>
      <c r="F12" s="195" t="str">
        <f ca="1">IF(ROWS($1:2)&gt;COUNT(Dong6),"",OFFSET(TH!L$1,SMALL(Dong6,ROWS($1:2)),))</f>
        <v>154</v>
      </c>
      <c r="G12" s="195" t="str">
        <f ca="1">IF(ROWS($1:2)&gt;COUNT(Dong6),"",OFFSET(TH!M$1,SMALL(Dong6,ROWS($1:2)),))</f>
        <v>3341</v>
      </c>
      <c r="H12" s="178">
        <f ca="1">IF(ROWS($1:2)&gt;COUNT(Dong6),"",OFFSET(TH!K$1,SMALL(Dong6,ROWS($1:2)),))</f>
        <v>3937000</v>
      </c>
      <c r="I12" s="178">
        <f ca="1">IF(ROWS($1:2)&gt;COUNT(Dong6),"",OFFSET(TH!K$1,SMALL(Dong6,ROWS($1:2)),))</f>
        <v>3937000</v>
      </c>
      <c r="J12" s="185"/>
      <c r="K12" s="185"/>
      <c r="L12" s="185"/>
      <c r="M12" s="185"/>
      <c r="N12" s="185"/>
    </row>
    <row r="13" spans="1:14" ht="17.25" customHeight="1">
      <c r="A13" s="192">
        <f ca="1">IF(ROWS($1:3)&gt;COUNT(Dong6),"",OFFSET(TH!C$1,SMALL(Dong6,ROWS($1:3)),))</f>
        <v>42766</v>
      </c>
      <c r="B13" s="193" t="str">
        <f ca="1">IF(ROWS($1:3)&gt;COUNT(Dong6),"",OFFSET(TH!D$1,SMALL(Dong6,ROWS($1:3)),))</f>
        <v>C12</v>
      </c>
      <c r="C13" s="192">
        <f ca="1">IF(ROWS($1:3)&gt;COUNT(Dong6),"",OFFSET(TH!E$1,SMALL(Dong6,ROWS($1:3)),))</f>
        <v>42766</v>
      </c>
      <c r="D13" s="194" t="str">
        <f ca="1">IF(ROWS($1:3)&gt;COUNT(Dong6),"",OFFSET(TH!F$1,SMALL(Dong6,ROWS($1:3)),))</f>
        <v>Thanh toán lương T01/2017</v>
      </c>
      <c r="E13" s="193">
        <f t="shared" ca="1" si="0"/>
        <v>3</v>
      </c>
      <c r="F13" s="195" t="str">
        <f ca="1">IF(ROWS($1:3)&gt;COUNT(Dong6),"",OFFSET(TH!L$1,SMALL(Dong6,ROWS($1:3)),))</f>
        <v>3341</v>
      </c>
      <c r="G13" s="195" t="str">
        <f ca="1">IF(ROWS($1:3)&gt;COUNT(Dong6),"",OFFSET(TH!M$1,SMALL(Dong6,ROWS($1:3)),))</f>
        <v>1111</v>
      </c>
      <c r="H13" s="178">
        <f ca="1">IF(ROWS($1:3)&gt;COUNT(Dong6),"",OFFSET(TH!K$1,SMALL(Dong6,ROWS($1:3)),))</f>
        <v>14229605</v>
      </c>
      <c r="I13" s="178">
        <f ca="1">IF(ROWS($1:3)&gt;COUNT(Dong6),"",OFFSET(TH!K$1,SMALL(Dong6,ROWS($1:3)),))</f>
        <v>14229605</v>
      </c>
      <c r="J13" s="185"/>
      <c r="K13" s="185"/>
      <c r="L13" s="185"/>
      <c r="M13" s="185"/>
      <c r="N13" s="185"/>
    </row>
    <row r="14" spans="1:14" ht="17.25" customHeight="1">
      <c r="A14" s="192">
        <f ca="1">IF(ROWS($1:4)&gt;COUNT(Dong6),"",OFFSET(TH!C$1,SMALL(Dong6,ROWS($1:4)),))</f>
        <v>42766</v>
      </c>
      <c r="B14" s="193" t="str">
        <f ca="1">IF(ROWS($1:4)&gt;COUNT(Dong6),"",OFFSET(TH!D$1,SMALL(Dong6,ROWS($1:4)),))</f>
        <v>CTGS</v>
      </c>
      <c r="C14" s="192">
        <f ca="1">IF(ROWS($1:4)&gt;COUNT(Dong6),"",OFFSET(TH!E$1,SMALL(Dong6,ROWS($1:4)),))</f>
        <v>42766</v>
      </c>
      <c r="D14" s="194" t="str">
        <f ca="1">IF(ROWS($1:4)&gt;COUNT(Dong6),"",OFFSET(TH!F$1,SMALL(Dong6,ROWS($1:4)),))</f>
        <v>BHXH khấu trừ Văn Phòng</v>
      </c>
      <c r="E14" s="193">
        <f t="shared" ca="1" si="0"/>
        <v>4</v>
      </c>
      <c r="F14" s="195" t="str">
        <f ca="1">IF(ROWS($1:4)&gt;COUNT(Dong6),"",OFFSET(TH!L$1,SMALL(Dong6,ROWS($1:4)),))</f>
        <v>3341</v>
      </c>
      <c r="G14" s="195" t="str">
        <f ca="1">IF(ROWS($1:4)&gt;COUNT(Dong6),"",OFFSET(TH!M$1,SMALL(Dong6,ROWS($1:4)),))</f>
        <v>3383</v>
      </c>
      <c r="H14" s="178">
        <f ca="1">IF(ROWS($1:4)&gt;COUNT(Dong6),"",OFFSET(TH!K$1,SMALL(Dong6,ROWS($1:4)),))</f>
        <v>956960</v>
      </c>
      <c r="I14" s="178">
        <f ca="1">IF(ROWS($1:4)&gt;COUNT(Dong6),"",OFFSET(TH!K$1,SMALL(Dong6,ROWS($1:4)),))</f>
        <v>956960</v>
      </c>
      <c r="J14" s="185"/>
      <c r="K14" s="185"/>
      <c r="L14" s="185"/>
      <c r="M14" s="185"/>
      <c r="N14" s="185"/>
    </row>
    <row r="15" spans="1:14" ht="17.25" customHeight="1">
      <c r="A15" s="192">
        <f ca="1">IF(ROWS($1:5)&gt;COUNT(Dong6),"",OFFSET(TH!C$1,SMALL(Dong6,ROWS($1:5)),))</f>
        <v>42766</v>
      </c>
      <c r="B15" s="193" t="str">
        <f ca="1">IF(ROWS($1:5)&gt;COUNT(Dong6),"",OFFSET(TH!D$1,SMALL(Dong6,ROWS($1:5)),))</f>
        <v>CTGS</v>
      </c>
      <c r="C15" s="192">
        <f ca="1">IF(ROWS($1:5)&gt;COUNT(Dong6),"",OFFSET(TH!E$1,SMALL(Dong6,ROWS($1:5)),))</f>
        <v>42766</v>
      </c>
      <c r="D15" s="194" t="str">
        <f ca="1">IF(ROWS($1:5)&gt;COUNT(Dong6),"",OFFSET(TH!F$1,SMALL(Dong6,ROWS($1:5)),))</f>
        <v>BHXH khấu trừ CN</v>
      </c>
      <c r="E15" s="193">
        <f t="shared" ca="1" si="0"/>
        <v>5</v>
      </c>
      <c r="F15" s="195" t="str">
        <f ca="1">IF(ROWS($1:5)&gt;COUNT(Dong6),"",OFFSET(TH!L$1,SMALL(Dong6,ROWS($1:5)),))</f>
        <v>3341</v>
      </c>
      <c r="G15" s="195" t="str">
        <f ca="1">IF(ROWS($1:5)&gt;COUNT(Dong6),"",OFFSET(TH!M$1,SMALL(Dong6,ROWS($1:5)),))</f>
        <v>3383</v>
      </c>
      <c r="H15" s="178">
        <f ca="1">IF(ROWS($1:5)&gt;COUNT(Dong6),"",OFFSET(TH!K$1,SMALL(Dong6,ROWS($1:5)),))</f>
        <v>314960</v>
      </c>
      <c r="I15" s="178">
        <f ca="1">IF(ROWS($1:5)&gt;COUNT(Dong6),"",OFFSET(TH!K$1,SMALL(Dong6,ROWS($1:5)),))</f>
        <v>314960</v>
      </c>
      <c r="J15" s="185"/>
      <c r="K15" s="185"/>
      <c r="L15" s="185"/>
      <c r="M15" s="185"/>
      <c r="N15" s="185"/>
    </row>
    <row r="16" spans="1:14" ht="17.25" customHeight="1">
      <c r="A16" s="192">
        <f ca="1">IF(ROWS($1:6)&gt;COUNT(Dong6),"",OFFSET(TH!C$1,SMALL(Dong6,ROWS($1:6)),))</f>
        <v>42766</v>
      </c>
      <c r="B16" s="193" t="str">
        <f ca="1">IF(ROWS($1:6)&gt;COUNT(Dong6),"",OFFSET(TH!D$1,SMALL(Dong6,ROWS($1:6)),))</f>
        <v>CTGS</v>
      </c>
      <c r="C16" s="192">
        <f ca="1">IF(ROWS($1:6)&gt;COUNT(Dong6),"",OFFSET(TH!E$1,SMALL(Dong6,ROWS($1:6)),))</f>
        <v>42766</v>
      </c>
      <c r="D16" s="194" t="str">
        <f ca="1">IF(ROWS($1:6)&gt;COUNT(Dong6),"",OFFSET(TH!F$1,SMALL(Dong6,ROWS($1:6)),))</f>
        <v>BHXH phải trả cho Văn Phòng</v>
      </c>
      <c r="E16" s="193">
        <f t="shared" ca="1" si="0"/>
        <v>6</v>
      </c>
      <c r="F16" s="195" t="str">
        <f ca="1">IF(ROWS($1:6)&gt;COUNT(Dong6),"",OFFSET(TH!L$1,SMALL(Dong6,ROWS($1:6)),))</f>
        <v>641</v>
      </c>
      <c r="G16" s="195" t="str">
        <f ca="1">IF(ROWS($1:6)&gt;COUNT(Dong6),"",OFFSET(TH!M$1,SMALL(Dong6,ROWS($1:6)),))</f>
        <v>3383</v>
      </c>
      <c r="H16" s="178">
        <f ca="1">IF(ROWS($1:6)&gt;COUNT(Dong6),"",OFFSET(TH!K$1,SMALL(Dong6,ROWS($1:6)),))</f>
        <v>2153160</v>
      </c>
      <c r="I16" s="178">
        <f ca="1">IF(ROWS($1:6)&gt;COUNT(Dong6),"",OFFSET(TH!K$1,SMALL(Dong6,ROWS($1:6)),))</f>
        <v>2153160</v>
      </c>
      <c r="J16" s="185"/>
      <c r="K16" s="185"/>
      <c r="L16" s="185"/>
      <c r="M16" s="185"/>
      <c r="N16" s="185"/>
    </row>
    <row r="17" spans="1:14" ht="17.25" customHeight="1">
      <c r="A17" s="192">
        <f ca="1">IF(ROWS($1:7)&gt;COUNT(Dong6),"",OFFSET(TH!C$1,SMALL(Dong6,ROWS($1:7)),))</f>
        <v>42766</v>
      </c>
      <c r="B17" s="193" t="str">
        <f ca="1">IF(ROWS($1:7)&gt;COUNT(Dong6),"",OFFSET(TH!D$1,SMALL(Dong6,ROWS($1:7)),))</f>
        <v>CTGS</v>
      </c>
      <c r="C17" s="192">
        <f ca="1">IF(ROWS($1:7)&gt;COUNT(Dong6),"",OFFSET(TH!E$1,SMALL(Dong6,ROWS($1:7)),))</f>
        <v>42766</v>
      </c>
      <c r="D17" s="194" t="str">
        <f ca="1">IF(ROWS($1:7)&gt;COUNT(Dong6),"",OFFSET(TH!F$1,SMALL(Dong6,ROWS($1:7)),))</f>
        <v>BHXH phải trả cho CN</v>
      </c>
      <c r="E17" s="193">
        <f t="shared" ca="1" si="0"/>
        <v>7</v>
      </c>
      <c r="F17" s="195" t="str">
        <f ca="1">IF(ROWS($1:7)&gt;COUNT(Dong6),"",OFFSET(TH!L$1,SMALL(Dong6,ROWS($1:7)),))</f>
        <v>154</v>
      </c>
      <c r="G17" s="195" t="str">
        <f ca="1">IF(ROWS($1:7)&gt;COUNT(Dong6),"",OFFSET(TH!M$1,SMALL(Dong6,ROWS($1:7)),))</f>
        <v>3383</v>
      </c>
      <c r="H17" s="178">
        <f ca="1">IF(ROWS($1:7)&gt;COUNT(Dong6),"",OFFSET(TH!K$1,SMALL(Dong6,ROWS($1:7)),))</f>
        <v>708660</v>
      </c>
      <c r="I17" s="178">
        <f ca="1">IF(ROWS($1:7)&gt;COUNT(Dong6),"",OFFSET(TH!K$1,SMALL(Dong6,ROWS($1:7)),))</f>
        <v>708660</v>
      </c>
      <c r="J17" s="185"/>
      <c r="K17" s="185"/>
      <c r="L17" s="185"/>
      <c r="M17" s="185"/>
      <c r="N17" s="185"/>
    </row>
    <row r="18" spans="1:14" ht="17.25" customHeight="1">
      <c r="A18" s="192">
        <f ca="1">IF(ROWS($1:8)&gt;COUNT(Dong6),"",OFFSET(TH!C$1,SMALL(Dong6,ROWS($1:8)),))</f>
        <v>42766</v>
      </c>
      <c r="B18" s="193" t="str">
        <f ca="1">IF(ROWS($1:8)&gt;COUNT(Dong6),"",OFFSET(TH!D$1,SMALL(Dong6,ROWS($1:8)),))</f>
        <v>CTGS</v>
      </c>
      <c r="C18" s="192">
        <f ca="1">IF(ROWS($1:8)&gt;COUNT(Dong6),"",OFFSET(TH!E$1,SMALL(Dong6,ROWS($1:8)),))</f>
        <v>42766</v>
      </c>
      <c r="D18" s="194" t="str">
        <f ca="1">IF(ROWS($1:8)&gt;COUNT(Dong6),"",OFFSET(TH!F$1,SMALL(Dong6,ROWS($1:8)),))</f>
        <v>BHYT khấu trừ Văn Phòng</v>
      </c>
      <c r="E18" s="193">
        <f t="shared" ca="1" si="0"/>
        <v>8</v>
      </c>
      <c r="F18" s="195" t="str">
        <f ca="1">IF(ROWS($1:8)&gt;COUNT(Dong6),"",OFFSET(TH!L$1,SMALL(Dong6,ROWS($1:8)),))</f>
        <v>3341</v>
      </c>
      <c r="G18" s="195" t="str">
        <f ca="1">IF(ROWS($1:8)&gt;COUNT(Dong6),"",OFFSET(TH!M$1,SMALL(Dong6,ROWS($1:8)),))</f>
        <v>3384</v>
      </c>
      <c r="H18" s="178">
        <f ca="1">IF(ROWS($1:8)&gt;COUNT(Dong6),"",OFFSET(TH!K$1,SMALL(Dong6,ROWS($1:8)),))</f>
        <v>179430</v>
      </c>
      <c r="I18" s="178">
        <f ca="1">IF(ROWS($1:8)&gt;COUNT(Dong6),"",OFFSET(TH!K$1,SMALL(Dong6,ROWS($1:8)),))</f>
        <v>179430</v>
      </c>
      <c r="J18" s="185"/>
      <c r="K18" s="185"/>
      <c r="L18" s="185"/>
      <c r="M18" s="185"/>
      <c r="N18" s="185"/>
    </row>
    <row r="19" spans="1:14" ht="17.25" customHeight="1">
      <c r="A19" s="192">
        <f ca="1">IF(ROWS($1:9)&gt;COUNT(Dong6),"",OFFSET(TH!C$1,SMALL(Dong6,ROWS($1:9)),))</f>
        <v>42766</v>
      </c>
      <c r="B19" s="193" t="str">
        <f ca="1">IF(ROWS($1:9)&gt;COUNT(Dong6),"",OFFSET(TH!D$1,SMALL(Dong6,ROWS($1:9)),))</f>
        <v>CTGS</v>
      </c>
      <c r="C19" s="192">
        <f ca="1">IF(ROWS($1:9)&gt;COUNT(Dong6),"",OFFSET(TH!E$1,SMALL(Dong6,ROWS($1:9)),))</f>
        <v>42766</v>
      </c>
      <c r="D19" s="194" t="str">
        <f ca="1">IF(ROWS($1:9)&gt;COUNT(Dong6),"",OFFSET(TH!F$1,SMALL(Dong6,ROWS($1:9)),))</f>
        <v>BHYT khấu trừ CN</v>
      </c>
      <c r="E19" s="193">
        <f t="shared" ca="1" si="0"/>
        <v>9</v>
      </c>
      <c r="F19" s="195" t="str">
        <f ca="1">IF(ROWS($1:9)&gt;COUNT(Dong6),"",OFFSET(TH!L$1,SMALL(Dong6,ROWS($1:9)),))</f>
        <v>3341</v>
      </c>
      <c r="G19" s="195" t="str">
        <f ca="1">IF(ROWS($1:9)&gt;COUNT(Dong6),"",OFFSET(TH!M$1,SMALL(Dong6,ROWS($1:9)),))</f>
        <v>3384</v>
      </c>
      <c r="H19" s="178">
        <f ca="1">IF(ROWS($1:9)&gt;COUNT(Dong6),"",OFFSET(TH!K$1,SMALL(Dong6,ROWS($1:9)),))</f>
        <v>59055</v>
      </c>
      <c r="I19" s="178">
        <f ca="1">IF(ROWS($1:9)&gt;COUNT(Dong6),"",OFFSET(TH!K$1,SMALL(Dong6,ROWS($1:9)),))</f>
        <v>59055</v>
      </c>
      <c r="J19" s="185"/>
      <c r="K19" s="185"/>
      <c r="L19" s="185"/>
      <c r="M19" s="185"/>
      <c r="N19" s="185"/>
    </row>
    <row r="20" spans="1:14" ht="17.25" customHeight="1">
      <c r="A20" s="192">
        <f ca="1">IF(ROWS($1:10)&gt;COUNT(Dong6),"",OFFSET(TH!C$1,SMALL(Dong6,ROWS($1:10)),))</f>
        <v>42766</v>
      </c>
      <c r="B20" s="193" t="str">
        <f ca="1">IF(ROWS($1:10)&gt;COUNT(Dong6),"",OFFSET(TH!D$1,SMALL(Dong6,ROWS($1:10)),))</f>
        <v>CTGS</v>
      </c>
      <c r="C20" s="192">
        <f ca="1">IF(ROWS($1:10)&gt;COUNT(Dong6),"",OFFSET(TH!E$1,SMALL(Dong6,ROWS($1:10)),))</f>
        <v>42766</v>
      </c>
      <c r="D20" s="194" t="str">
        <f ca="1">IF(ROWS($1:10)&gt;COUNT(Dong6),"",OFFSET(TH!F$1,SMALL(Dong6,ROWS($1:10)),))</f>
        <v>BHYT phải trả cho Văn Phòng</v>
      </c>
      <c r="E20" s="193">
        <f t="shared" ca="1" si="0"/>
        <v>10</v>
      </c>
      <c r="F20" s="195" t="str">
        <f ca="1">IF(ROWS($1:10)&gt;COUNT(Dong6),"",OFFSET(TH!L$1,SMALL(Dong6,ROWS($1:10)),))</f>
        <v>641</v>
      </c>
      <c r="G20" s="195" t="str">
        <f ca="1">IF(ROWS($1:10)&gt;COUNT(Dong6),"",OFFSET(TH!M$1,SMALL(Dong6,ROWS($1:10)),))</f>
        <v>3384</v>
      </c>
      <c r="H20" s="178">
        <f ca="1">IF(ROWS($1:10)&gt;COUNT(Dong6),"",OFFSET(TH!K$1,SMALL(Dong6,ROWS($1:10)),))</f>
        <v>358860</v>
      </c>
      <c r="I20" s="178">
        <f ca="1">IF(ROWS($1:10)&gt;COUNT(Dong6),"",OFFSET(TH!K$1,SMALL(Dong6,ROWS($1:10)),))</f>
        <v>358860</v>
      </c>
      <c r="J20" s="185"/>
      <c r="K20" s="185"/>
      <c r="L20" s="185"/>
      <c r="M20" s="185"/>
      <c r="N20" s="185"/>
    </row>
    <row r="21" spans="1:14" ht="17.25" customHeight="1">
      <c r="A21" s="192">
        <f ca="1">IF(ROWS($1:11)&gt;COUNT(Dong6),"",OFFSET(TH!C$1,SMALL(Dong6,ROWS($1:11)),))</f>
        <v>42766</v>
      </c>
      <c r="B21" s="193" t="str">
        <f ca="1">IF(ROWS($1:11)&gt;COUNT(Dong6),"",OFFSET(TH!D$1,SMALL(Dong6,ROWS($1:11)),))</f>
        <v>CTGS</v>
      </c>
      <c r="C21" s="192">
        <f ca="1">IF(ROWS($1:11)&gt;COUNT(Dong6),"",OFFSET(TH!E$1,SMALL(Dong6,ROWS($1:11)),))</f>
        <v>42766</v>
      </c>
      <c r="D21" s="194" t="str">
        <f ca="1">IF(ROWS($1:11)&gt;COUNT(Dong6),"",OFFSET(TH!F$1,SMALL(Dong6,ROWS($1:11)),))</f>
        <v>BHYT phải trả cho CN</v>
      </c>
      <c r="E21" s="193">
        <f t="shared" ca="1" si="0"/>
        <v>11</v>
      </c>
      <c r="F21" s="195" t="str">
        <f ca="1">IF(ROWS($1:11)&gt;COUNT(Dong6),"",OFFSET(TH!L$1,SMALL(Dong6,ROWS($1:11)),))</f>
        <v>154</v>
      </c>
      <c r="G21" s="195" t="str">
        <f ca="1">IF(ROWS($1:11)&gt;COUNT(Dong6),"",OFFSET(TH!M$1,SMALL(Dong6,ROWS($1:11)),))</f>
        <v>3384</v>
      </c>
      <c r="H21" s="178">
        <f ca="1">IF(ROWS($1:11)&gt;COUNT(Dong6),"",OFFSET(TH!K$1,SMALL(Dong6,ROWS($1:11)),))</f>
        <v>118110</v>
      </c>
      <c r="I21" s="178">
        <f ca="1">IF(ROWS($1:11)&gt;COUNT(Dong6),"",OFFSET(TH!K$1,SMALL(Dong6,ROWS($1:11)),))</f>
        <v>118110</v>
      </c>
      <c r="J21" s="185"/>
      <c r="K21" s="185"/>
      <c r="L21" s="185"/>
      <c r="M21" s="185"/>
      <c r="N21" s="185"/>
    </row>
    <row r="22" spans="1:14" ht="17.25" customHeight="1">
      <c r="A22" s="192">
        <f ca="1">IF(ROWS($1:12)&gt;COUNT(Dong6),"",OFFSET(TH!C$1,SMALL(Dong6,ROWS($1:12)),))</f>
        <v>42766</v>
      </c>
      <c r="B22" s="193" t="str">
        <f ca="1">IF(ROWS($1:12)&gt;COUNT(Dong6),"",OFFSET(TH!D$1,SMALL(Dong6,ROWS($1:12)),))</f>
        <v>CTGS</v>
      </c>
      <c r="C22" s="192">
        <f ca="1">IF(ROWS($1:12)&gt;COUNT(Dong6),"",OFFSET(TH!E$1,SMALL(Dong6,ROWS($1:12)),))</f>
        <v>42766</v>
      </c>
      <c r="D22" s="194" t="str">
        <f ca="1">IF(ROWS($1:12)&gt;COUNT(Dong6),"",OFFSET(TH!F$1,SMALL(Dong6,ROWS($1:12)),))</f>
        <v>BHTN khấu trừ Văn Phòng</v>
      </c>
      <c r="E22" s="193">
        <f t="shared" ca="1" si="0"/>
        <v>12</v>
      </c>
      <c r="F22" s="195" t="str">
        <f ca="1">IF(ROWS($1:12)&gt;COUNT(Dong6),"",OFFSET(TH!L$1,SMALL(Dong6,ROWS($1:12)),))</f>
        <v>3341</v>
      </c>
      <c r="G22" s="195" t="str">
        <f ca="1">IF(ROWS($1:12)&gt;COUNT(Dong6),"",OFFSET(TH!M$1,SMALL(Dong6,ROWS($1:12)),))</f>
        <v>3386</v>
      </c>
      <c r="H22" s="178">
        <f ca="1">IF(ROWS($1:12)&gt;COUNT(Dong6),"",OFFSET(TH!K$1,SMALL(Dong6,ROWS($1:12)),))</f>
        <v>119620</v>
      </c>
      <c r="I22" s="178">
        <f ca="1">IF(ROWS($1:12)&gt;COUNT(Dong6),"",OFFSET(TH!K$1,SMALL(Dong6,ROWS($1:12)),))</f>
        <v>119620</v>
      </c>
      <c r="J22" s="185"/>
      <c r="K22" s="185"/>
      <c r="L22" s="185"/>
      <c r="M22" s="185"/>
      <c r="N22" s="185"/>
    </row>
    <row r="23" spans="1:14" ht="17.25" customHeight="1">
      <c r="A23" s="192">
        <f ca="1">IF(ROWS($1:13)&gt;COUNT(Dong6),"",OFFSET(TH!C$1,SMALL(Dong6,ROWS($1:13)),))</f>
        <v>42766</v>
      </c>
      <c r="B23" s="193" t="str">
        <f ca="1">IF(ROWS($1:13)&gt;COUNT(Dong6),"",OFFSET(TH!D$1,SMALL(Dong6,ROWS($1:13)),))</f>
        <v>CTGS</v>
      </c>
      <c r="C23" s="192">
        <f ca="1">IF(ROWS($1:13)&gt;COUNT(Dong6),"",OFFSET(TH!E$1,SMALL(Dong6,ROWS($1:13)),))</f>
        <v>42766</v>
      </c>
      <c r="D23" s="194" t="str">
        <f ca="1">IF(ROWS($1:13)&gt;COUNT(Dong6),"",OFFSET(TH!F$1,SMALL(Dong6,ROWS($1:13)),))</f>
        <v>BHTN khấu trừ  CN</v>
      </c>
      <c r="E23" s="193">
        <f t="shared" ca="1" si="0"/>
        <v>13</v>
      </c>
      <c r="F23" s="195" t="str">
        <f ca="1">IF(ROWS($1:13)&gt;COUNT(Dong6),"",OFFSET(TH!L$1,SMALL(Dong6,ROWS($1:13)),))</f>
        <v>3341</v>
      </c>
      <c r="G23" s="195" t="str">
        <f ca="1">IF(ROWS($1:13)&gt;COUNT(Dong6),"",OFFSET(TH!M$1,SMALL(Dong6,ROWS($1:13)),))</f>
        <v>3386</v>
      </c>
      <c r="H23" s="178">
        <f ca="1">IF(ROWS($1:13)&gt;COUNT(Dong6),"",OFFSET(TH!K$1,SMALL(Dong6,ROWS($1:13)),))</f>
        <v>39370</v>
      </c>
      <c r="I23" s="178">
        <f ca="1">IF(ROWS($1:13)&gt;COUNT(Dong6),"",OFFSET(TH!K$1,SMALL(Dong6,ROWS($1:13)),))</f>
        <v>39370</v>
      </c>
      <c r="J23" s="185"/>
      <c r="K23" s="185"/>
      <c r="L23" s="185"/>
      <c r="M23" s="185"/>
      <c r="N23" s="185"/>
    </row>
    <row r="24" spans="1:14" ht="17.25" customHeight="1">
      <c r="A24" s="192">
        <f ca="1">IF(ROWS($1:14)&gt;COUNT(Dong6),"",OFFSET(TH!C$1,SMALL(Dong6,ROWS($1:14)),))</f>
        <v>42766</v>
      </c>
      <c r="B24" s="193" t="str">
        <f ca="1">IF(ROWS($1:14)&gt;COUNT(Dong6),"",OFFSET(TH!D$1,SMALL(Dong6,ROWS($1:14)),))</f>
        <v>CTGS</v>
      </c>
      <c r="C24" s="192">
        <f ca="1">IF(ROWS($1:14)&gt;COUNT(Dong6),"",OFFSET(TH!E$1,SMALL(Dong6,ROWS($1:14)),))</f>
        <v>42766</v>
      </c>
      <c r="D24" s="194" t="str">
        <f ca="1">IF(ROWS($1:14)&gt;COUNT(Dong6),"",OFFSET(TH!F$1,SMALL(Dong6,ROWS($1:14)),))</f>
        <v>BHTN phải trả cho Văn Phòng</v>
      </c>
      <c r="E24" s="193">
        <f t="shared" ca="1" si="0"/>
        <v>14</v>
      </c>
      <c r="F24" s="195" t="str">
        <f ca="1">IF(ROWS($1:14)&gt;COUNT(Dong6),"",OFFSET(TH!L$1,SMALL(Dong6,ROWS($1:14)),))</f>
        <v>641</v>
      </c>
      <c r="G24" s="195" t="str">
        <f ca="1">IF(ROWS($1:14)&gt;COUNT(Dong6),"",OFFSET(TH!M$1,SMALL(Dong6,ROWS($1:14)),))</f>
        <v>3386</v>
      </c>
      <c r="H24" s="178">
        <f ca="1">IF(ROWS($1:14)&gt;COUNT(Dong6),"",OFFSET(TH!K$1,SMALL(Dong6,ROWS($1:14)),))</f>
        <v>119620</v>
      </c>
      <c r="I24" s="178">
        <f ca="1">IF(ROWS($1:14)&gt;COUNT(Dong6),"",OFFSET(TH!K$1,SMALL(Dong6,ROWS($1:14)),))</f>
        <v>119620</v>
      </c>
      <c r="J24" s="185"/>
      <c r="K24" s="185"/>
      <c r="L24" s="185"/>
      <c r="M24" s="185"/>
      <c r="N24" s="185"/>
    </row>
    <row r="25" spans="1:14" ht="17.25" customHeight="1">
      <c r="A25" s="192">
        <f ca="1">IF(ROWS($1:15)&gt;COUNT(Dong6),"",OFFSET(TH!C$1,SMALL(Dong6,ROWS($1:15)),))</f>
        <v>42766</v>
      </c>
      <c r="B25" s="193" t="str">
        <f ca="1">IF(ROWS($1:15)&gt;COUNT(Dong6),"",OFFSET(TH!D$1,SMALL(Dong6,ROWS($1:15)),))</f>
        <v>CTGS</v>
      </c>
      <c r="C25" s="192">
        <f ca="1">IF(ROWS($1:15)&gt;COUNT(Dong6),"",OFFSET(TH!E$1,SMALL(Dong6,ROWS($1:15)),))</f>
        <v>42766</v>
      </c>
      <c r="D25" s="194" t="str">
        <f ca="1">IF(ROWS($1:15)&gt;COUNT(Dong6),"",OFFSET(TH!F$1,SMALL(Dong6,ROWS($1:15)),))</f>
        <v>BHTN phải trả cho CN</v>
      </c>
      <c r="E25" s="193">
        <f t="shared" ca="1" si="0"/>
        <v>15</v>
      </c>
      <c r="F25" s="195" t="str">
        <f ca="1">IF(ROWS($1:15)&gt;COUNT(Dong6),"",OFFSET(TH!L$1,SMALL(Dong6,ROWS($1:15)),))</f>
        <v>154</v>
      </c>
      <c r="G25" s="195" t="str">
        <f ca="1">IF(ROWS($1:15)&gt;COUNT(Dong6),"",OFFSET(TH!M$1,SMALL(Dong6,ROWS($1:15)),))</f>
        <v>3386</v>
      </c>
      <c r="H25" s="178">
        <f ca="1">IF(ROWS($1:15)&gt;COUNT(Dong6),"",OFFSET(TH!K$1,SMALL(Dong6,ROWS($1:15)),))</f>
        <v>39370</v>
      </c>
      <c r="I25" s="178">
        <f ca="1">IF(ROWS($1:15)&gt;COUNT(Dong6),"",OFFSET(TH!K$1,SMALL(Dong6,ROWS($1:15)),))</f>
        <v>39370</v>
      </c>
      <c r="J25" s="185"/>
      <c r="K25" s="185"/>
      <c r="L25" s="185"/>
      <c r="M25" s="185"/>
      <c r="N25" s="185"/>
    </row>
    <row r="26" spans="1:14" ht="17.25" customHeight="1">
      <c r="A26" s="192">
        <f ca="1">IF(ROWS($1:16)&gt;COUNT(Dong6),"",OFFSET(TH!C$1,SMALL(Dong6,ROWS($1:16)),))</f>
        <v>42794</v>
      </c>
      <c r="B26" s="193" t="str">
        <f ca="1">IF(ROWS($1:16)&gt;COUNT(Dong6),"",OFFSET(TH!D$1,SMALL(Dong6,ROWS($1:16)),))</f>
        <v>CTGS</v>
      </c>
      <c r="C26" s="192">
        <f ca="1">IF(ROWS($1:16)&gt;COUNT(Dong6),"",OFFSET(TH!E$1,SMALL(Dong6,ROWS($1:16)),))</f>
        <v>42794</v>
      </c>
      <c r="D26" s="194" t="str">
        <f ca="1">IF(ROWS($1:16)&gt;COUNT(Dong6),"",OFFSET(TH!F$1,SMALL(Dong6,ROWS($1:16)),))</f>
        <v>Lương bộ phận quản lý</v>
      </c>
      <c r="E26" s="193">
        <f t="shared" ca="1" si="0"/>
        <v>16</v>
      </c>
      <c r="F26" s="195" t="str">
        <f ca="1">IF(ROWS($1:16)&gt;COUNT(Dong6),"",OFFSET(TH!L$1,SMALL(Dong6,ROWS($1:16)),))</f>
        <v>642</v>
      </c>
      <c r="G26" s="195" t="str">
        <f ca="1">IF(ROWS($1:16)&gt;COUNT(Dong6),"",OFFSET(TH!M$1,SMALL(Dong6,ROWS($1:16)),))</f>
        <v>3341</v>
      </c>
      <c r="H26" s="178">
        <f ca="1">IF(ROWS($1:16)&gt;COUNT(Dong6),"",OFFSET(TH!K$1,SMALL(Dong6,ROWS($1:16)),))</f>
        <v>8025000</v>
      </c>
      <c r="I26" s="178">
        <f ca="1">IF(ROWS($1:16)&gt;COUNT(Dong6),"",OFFSET(TH!K$1,SMALL(Dong6,ROWS($1:16)),))</f>
        <v>8025000</v>
      </c>
      <c r="J26" s="185"/>
      <c r="K26" s="185"/>
      <c r="L26" s="185"/>
      <c r="M26" s="185"/>
      <c r="N26" s="185"/>
    </row>
    <row r="27" spans="1:14" ht="17.25" customHeight="1">
      <c r="A27" s="192">
        <f ca="1">IF(ROWS($1:17)&gt;COUNT(Dong6),"",OFFSET(TH!C$1,SMALL(Dong6,ROWS($1:17)),))</f>
        <v>42794</v>
      </c>
      <c r="B27" s="193" t="str">
        <f ca="1">IF(ROWS($1:17)&gt;COUNT(Dong6),"",OFFSET(TH!D$1,SMALL(Dong6,ROWS($1:17)),))</f>
        <v>CTGS</v>
      </c>
      <c r="C27" s="192">
        <f ca="1">IF(ROWS($1:17)&gt;COUNT(Dong6),"",OFFSET(TH!E$1,SMALL(Dong6,ROWS($1:17)),))</f>
        <v>42794</v>
      </c>
      <c r="D27" s="194" t="str">
        <f ca="1">IF(ROWS($1:17)&gt;COUNT(Dong6),"",OFFSET(TH!F$1,SMALL(Dong6,ROWS($1:17)),))</f>
        <v>Lương bộ phận sản xuất</v>
      </c>
      <c r="E27" s="193">
        <f t="shared" ca="1" si="0"/>
        <v>17</v>
      </c>
      <c r="F27" s="195" t="str">
        <f ca="1">IF(ROWS($1:17)&gt;COUNT(Dong6),"",OFFSET(TH!L$1,SMALL(Dong6,ROWS($1:17)),))</f>
        <v>154</v>
      </c>
      <c r="G27" s="195" t="str">
        <f ca="1">IF(ROWS($1:17)&gt;COUNT(Dong6),"",OFFSET(TH!M$1,SMALL(Dong6,ROWS($1:17)),))</f>
        <v>3341</v>
      </c>
      <c r="H27" s="178">
        <f ca="1">IF(ROWS($1:17)&gt;COUNT(Dong6),"",OFFSET(TH!K$1,SMALL(Dong6,ROWS($1:17)),))</f>
        <v>3937000</v>
      </c>
      <c r="I27" s="178">
        <f ca="1">IF(ROWS($1:17)&gt;COUNT(Dong6),"",OFFSET(TH!K$1,SMALL(Dong6,ROWS($1:17)),))</f>
        <v>3937000</v>
      </c>
      <c r="J27" s="185"/>
      <c r="K27" s="185"/>
      <c r="L27" s="185"/>
      <c r="M27" s="185"/>
      <c r="N27" s="185"/>
    </row>
    <row r="28" spans="1:14" ht="17.25" customHeight="1">
      <c r="A28" s="192">
        <f ca="1">IF(ROWS($1:18)&gt;COUNT(Dong6),"",OFFSET(TH!C$1,SMALL(Dong6,ROWS($1:18)),))</f>
        <v>42794</v>
      </c>
      <c r="B28" s="193" t="str">
        <f ca="1">IF(ROWS($1:18)&gt;COUNT(Dong6),"",OFFSET(TH!D$1,SMALL(Dong6,ROWS($1:18)),))</f>
        <v>C12</v>
      </c>
      <c r="C28" s="192">
        <f ca="1">IF(ROWS($1:18)&gt;COUNT(Dong6),"",OFFSET(TH!E$1,SMALL(Dong6,ROWS($1:18)),))</f>
        <v>42794</v>
      </c>
      <c r="D28" s="194" t="str">
        <f ca="1">IF(ROWS($1:18)&gt;COUNT(Dong6),"",OFFSET(TH!F$1,SMALL(Dong6,ROWS($1:18)),))</f>
        <v>Thanh toán lương T02/2017</v>
      </c>
      <c r="E28" s="193">
        <f t="shared" ca="1" si="0"/>
        <v>18</v>
      </c>
      <c r="F28" s="195" t="str">
        <f ca="1">IF(ROWS($1:18)&gt;COUNT(Dong6),"",OFFSET(TH!L$1,SMALL(Dong6,ROWS($1:18)),))</f>
        <v>3341</v>
      </c>
      <c r="G28" s="195" t="str">
        <f ca="1">IF(ROWS($1:18)&gt;COUNT(Dong6),"",OFFSET(TH!M$1,SMALL(Dong6,ROWS($1:18)),))</f>
        <v>1111</v>
      </c>
      <c r="H28" s="178">
        <f ca="1">IF(ROWS($1:18)&gt;COUNT(Dong6),"",OFFSET(TH!K$1,SMALL(Dong6,ROWS($1:18)),))</f>
        <v>10705990</v>
      </c>
      <c r="I28" s="178">
        <f ca="1">IF(ROWS($1:18)&gt;COUNT(Dong6),"",OFFSET(TH!K$1,SMALL(Dong6,ROWS($1:18)),))</f>
        <v>10705990</v>
      </c>
      <c r="J28" s="185"/>
      <c r="K28" s="185"/>
      <c r="L28" s="185"/>
      <c r="M28" s="185"/>
      <c r="N28" s="185"/>
    </row>
    <row r="29" spans="1:14" ht="17.25" customHeight="1">
      <c r="A29" s="192">
        <f ca="1">IF(ROWS($1:19)&gt;COUNT(Dong6),"",OFFSET(TH!C$1,SMALL(Dong6,ROWS($1:19)),))</f>
        <v>42794</v>
      </c>
      <c r="B29" s="193" t="str">
        <f ca="1">IF(ROWS($1:19)&gt;COUNT(Dong6),"",OFFSET(TH!D$1,SMALL(Dong6,ROWS($1:19)),))</f>
        <v>CTGS</v>
      </c>
      <c r="C29" s="192">
        <f ca="1">IF(ROWS($1:19)&gt;COUNT(Dong6),"",OFFSET(TH!E$1,SMALL(Dong6,ROWS($1:19)),))</f>
        <v>42794</v>
      </c>
      <c r="D29" s="194" t="str">
        <f ca="1">IF(ROWS($1:19)&gt;COUNT(Dong6),"",OFFSET(TH!F$1,SMALL(Dong6,ROWS($1:19)),))</f>
        <v>BHXH khấu trừ Văn Phòng</v>
      </c>
      <c r="E29" s="193">
        <f t="shared" ca="1" si="0"/>
        <v>19</v>
      </c>
      <c r="F29" s="195" t="str">
        <f ca="1">IF(ROWS($1:19)&gt;COUNT(Dong6),"",OFFSET(TH!L$1,SMALL(Dong6,ROWS($1:19)),))</f>
        <v>3341</v>
      </c>
      <c r="G29" s="195" t="str">
        <f ca="1">IF(ROWS($1:19)&gt;COUNT(Dong6),"",OFFSET(TH!M$1,SMALL(Dong6,ROWS($1:19)),))</f>
        <v>3383</v>
      </c>
      <c r="H29" s="178">
        <f ca="1">IF(ROWS($1:19)&gt;COUNT(Dong6),"",OFFSET(TH!K$1,SMALL(Dong6,ROWS($1:19)),))</f>
        <v>642000</v>
      </c>
      <c r="I29" s="178">
        <f ca="1">IF(ROWS($1:19)&gt;COUNT(Dong6),"",OFFSET(TH!K$1,SMALL(Dong6,ROWS($1:19)),))</f>
        <v>642000</v>
      </c>
      <c r="J29" s="185"/>
      <c r="K29" s="185"/>
      <c r="L29" s="185"/>
      <c r="M29" s="185"/>
      <c r="N29" s="185"/>
    </row>
    <row r="30" spans="1:14" ht="17.25" customHeight="1">
      <c r="A30" s="192">
        <f ca="1">IF(ROWS($1:20)&gt;COUNT(Dong6),"",OFFSET(TH!C$1,SMALL(Dong6,ROWS($1:20)),))</f>
        <v>42794</v>
      </c>
      <c r="B30" s="193" t="str">
        <f ca="1">IF(ROWS($1:20)&gt;COUNT(Dong6),"",OFFSET(TH!D$1,SMALL(Dong6,ROWS($1:20)),))</f>
        <v>CTGS</v>
      </c>
      <c r="C30" s="192">
        <f ca="1">IF(ROWS($1:20)&gt;COUNT(Dong6),"",OFFSET(TH!E$1,SMALL(Dong6,ROWS($1:20)),))</f>
        <v>42794</v>
      </c>
      <c r="D30" s="194" t="str">
        <f ca="1">IF(ROWS($1:20)&gt;COUNT(Dong6),"",OFFSET(TH!F$1,SMALL(Dong6,ROWS($1:20)),))</f>
        <v>BHXH khấu trừ CN</v>
      </c>
      <c r="E30" s="193">
        <f t="shared" ca="1" si="0"/>
        <v>20</v>
      </c>
      <c r="F30" s="195" t="str">
        <f ca="1">IF(ROWS($1:20)&gt;COUNT(Dong6),"",OFFSET(TH!L$1,SMALL(Dong6,ROWS($1:20)),))</f>
        <v>3341</v>
      </c>
      <c r="G30" s="195" t="str">
        <f ca="1">IF(ROWS($1:20)&gt;COUNT(Dong6),"",OFFSET(TH!M$1,SMALL(Dong6,ROWS($1:20)),))</f>
        <v>3383</v>
      </c>
      <c r="H30" s="178">
        <f ca="1">IF(ROWS($1:20)&gt;COUNT(Dong6),"",OFFSET(TH!K$1,SMALL(Dong6,ROWS($1:20)),))</f>
        <v>314960</v>
      </c>
      <c r="I30" s="178">
        <f ca="1">IF(ROWS($1:20)&gt;COUNT(Dong6),"",OFFSET(TH!K$1,SMALL(Dong6,ROWS($1:20)),))</f>
        <v>314960</v>
      </c>
      <c r="J30" s="185"/>
      <c r="K30" s="185"/>
      <c r="L30" s="185"/>
      <c r="M30" s="185"/>
      <c r="N30" s="185"/>
    </row>
    <row r="31" spans="1:14" ht="17.25" customHeight="1">
      <c r="A31" s="196"/>
      <c r="B31" s="196"/>
      <c r="C31" s="196"/>
      <c r="D31" s="197" t="s">
        <v>252</v>
      </c>
      <c r="E31" s="198" t="s">
        <v>19</v>
      </c>
      <c r="F31" s="198"/>
      <c r="G31" s="198" t="s">
        <v>19</v>
      </c>
      <c r="H31" s="199">
        <f ca="1">SUBTOTAL(9,$H$10:$H$30)</f>
        <v>58920730</v>
      </c>
      <c r="I31" s="199">
        <f ca="1">SUBTOTAL(9,I10:I30)</f>
        <v>58920730</v>
      </c>
      <c r="J31" s="185"/>
      <c r="K31" s="185"/>
      <c r="L31" s="185"/>
      <c r="M31" s="185"/>
      <c r="N31" s="185"/>
    </row>
    <row r="32" spans="1:14" ht="15">
      <c r="A32" s="200" t="s">
        <v>266</v>
      </c>
      <c r="B32" s="185"/>
      <c r="C32" s="185"/>
      <c r="D32" s="185"/>
      <c r="E32" s="185"/>
      <c r="F32" s="185"/>
      <c r="G32" s="185"/>
      <c r="H32" s="185"/>
      <c r="I32" s="185"/>
      <c r="J32" s="185"/>
      <c r="K32" s="185"/>
      <c r="L32" s="185"/>
      <c r="M32" s="185"/>
      <c r="N32" s="185"/>
    </row>
    <row r="33" spans="1:14" ht="15">
      <c r="A33" s="200" t="str">
        <f ca="1">"- Ngày mở sổ: "&amp;DAY($A$11)&amp;"/"&amp;MONTH($A$11)&amp;"/ " &amp;YEAR($A$11)</f>
        <v>- Ngày mở sổ: 31/1/ 2017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</row>
    <row r="34" spans="1:14" ht="15">
      <c r="A34" s="185"/>
      <c r="B34" s="185"/>
      <c r="C34" s="185"/>
      <c r="D34" s="185"/>
      <c r="E34" s="185"/>
      <c r="F34" s="185"/>
      <c r="G34" s="185"/>
      <c r="H34" s="73" t="str">
        <f ca="1">"Ngày "&amp;IF(OR($L$11=4,$L$11=6,$L$11=9,$L$11=11),"30",IF($L$11=2,"28","31"))&amp;" tháng "&amp;$N$8&amp;"  năm  "&amp;YEAR($A$14)</f>
        <v>Ngày 31 tháng 3  năm  2017</v>
      </c>
      <c r="I34" s="201"/>
      <c r="J34" s="201"/>
      <c r="K34" s="185"/>
      <c r="L34" s="185"/>
      <c r="M34" s="185"/>
      <c r="N34" s="185"/>
    </row>
    <row r="35" spans="1:14" ht="15">
      <c r="A35" s="185"/>
      <c r="B35" s="201" t="s">
        <v>249</v>
      </c>
      <c r="C35" s="185"/>
      <c r="D35" s="201" t="s">
        <v>12</v>
      </c>
      <c r="E35" s="185"/>
      <c r="F35" s="185"/>
      <c r="G35" s="185"/>
      <c r="H35" s="201" t="s">
        <v>250</v>
      </c>
      <c r="I35" s="201"/>
      <c r="J35" s="201"/>
      <c r="K35" s="185"/>
      <c r="L35" s="185"/>
      <c r="M35" s="185"/>
      <c r="N35" s="185"/>
    </row>
    <row r="36" spans="1:14" ht="15">
      <c r="A36" s="185"/>
      <c r="B36" s="201" t="s">
        <v>13</v>
      </c>
      <c r="C36" s="185"/>
      <c r="D36" s="201" t="s">
        <v>13</v>
      </c>
      <c r="E36" s="185"/>
      <c r="F36" s="185"/>
      <c r="G36" s="185"/>
      <c r="H36" s="201" t="s">
        <v>134</v>
      </c>
      <c r="I36" s="201"/>
      <c r="J36" s="201"/>
      <c r="K36" s="185"/>
      <c r="L36" s="185"/>
      <c r="M36" s="185"/>
      <c r="N36" s="18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80"/>
  <sheetViews>
    <sheetView topLeftCell="A7" zoomScale="90" zoomScaleNormal="90" workbookViewId="0">
      <pane ySplit="8" topLeftCell="A57" activePane="bottomLeft" state="frozen"/>
      <selection activeCell="A7" sqref="A7"/>
      <selection pane="bottomLeft" activeCell="F62" sqref="F62:F68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23"/>
      <c r="B1" s="223"/>
      <c r="C1" s="223"/>
      <c r="E1" s="223"/>
    </row>
    <row r="2" spans="1:9" s="426" customFormat="1" ht="15.75" customHeight="1">
      <c r="A2" s="424" t="str">
        <f>TH!A1</f>
        <v>Đơn vị: CÔNG TY TNHH MỘT THÀNH VIÊN KHỞI NGUYÊN AN</v>
      </c>
      <c r="B2" s="425"/>
      <c r="C2" s="425"/>
      <c r="E2" s="425"/>
      <c r="G2" s="874" t="s">
        <v>143</v>
      </c>
      <c r="H2" s="874"/>
      <c r="I2" s="874"/>
    </row>
    <row r="3" spans="1:9" s="3" customFormat="1" ht="15.75" customHeight="1">
      <c r="A3" s="883" t="str">
        <f>TH!A2</f>
        <v>Địa chỉ: Thửa đất số 144, tờ bản đồ số 12TĐH.1, tổ 1, khu phố Đông Tác, Phường Tân Đông Hiệp, Thị Xã Dĩ An, Tỉnh Bình Dương, Việt Nam</v>
      </c>
      <c r="B3" s="883"/>
      <c r="C3" s="883"/>
      <c r="D3" s="883"/>
      <c r="E3" s="883"/>
      <c r="F3" s="883"/>
      <c r="G3" s="875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875"/>
      <c r="I3" s="875"/>
    </row>
    <row r="4" spans="1:9" s="3" customFormat="1" ht="15">
      <c r="A4" s="883"/>
      <c r="B4" s="883"/>
      <c r="C4" s="883"/>
      <c r="D4" s="883"/>
      <c r="E4" s="883"/>
      <c r="F4" s="883"/>
      <c r="G4" s="875"/>
      <c r="H4" s="875"/>
      <c r="I4" s="875"/>
    </row>
    <row r="5" spans="1:9" s="3" customFormat="1" ht="31.5" customHeight="1">
      <c r="A5" s="876" t="s">
        <v>144</v>
      </c>
      <c r="B5" s="876"/>
      <c r="C5" s="876"/>
      <c r="D5" s="876"/>
      <c r="E5" s="876"/>
      <c r="F5" s="876"/>
      <c r="G5" s="876"/>
      <c r="H5" s="876"/>
      <c r="I5" s="876"/>
    </row>
    <row r="6" spans="1:9" s="3" customFormat="1" ht="15">
      <c r="A6" s="877" t="s">
        <v>145</v>
      </c>
      <c r="B6" s="871"/>
      <c r="C6" s="871"/>
      <c r="D6" s="871"/>
      <c r="E6" s="871"/>
      <c r="F6" s="871"/>
      <c r="G6" s="871"/>
      <c r="H6" s="871"/>
      <c r="I6" s="871"/>
    </row>
    <row r="7" spans="1:9" s="3" customFormat="1" ht="15">
      <c r="A7" s="223"/>
      <c r="D7" s="82" t="s">
        <v>146</v>
      </c>
      <c r="E7" s="83" t="s">
        <v>225</v>
      </c>
    </row>
    <row r="8" spans="1:9" s="3" customFormat="1" ht="15">
      <c r="A8" s="223"/>
      <c r="D8" s="82" t="s">
        <v>147</v>
      </c>
      <c r="E8" s="3" t="str">
        <f>VLOOKUP($E$7,DSTK,2,0)</f>
        <v xml:space="preserve"> Phải Trả Công Nhân Viên </v>
      </c>
    </row>
    <row r="9" spans="1:9" s="3" customFormat="1" ht="15">
      <c r="A9" s="871" t="s">
        <v>29</v>
      </c>
      <c r="B9" s="878"/>
      <c r="C9" s="878"/>
      <c r="D9" s="878"/>
      <c r="E9" s="878"/>
      <c r="F9" s="878"/>
      <c r="G9" s="878"/>
      <c r="H9" s="878"/>
      <c r="I9" s="878"/>
    </row>
    <row r="10" spans="1:9" s="3" customFormat="1" ht="4.5" customHeight="1">
      <c r="A10" s="223"/>
      <c r="B10" s="223"/>
      <c r="C10" s="879"/>
      <c r="D10" s="880"/>
      <c r="E10" s="880"/>
      <c r="F10" s="880"/>
      <c r="G10" s="880"/>
      <c r="H10" s="880"/>
      <c r="I10" s="880"/>
    </row>
    <row r="11" spans="1:9" s="3" customFormat="1" ht="16.5" customHeight="1">
      <c r="A11" s="881" t="s">
        <v>20</v>
      </c>
      <c r="B11" s="872" t="s">
        <v>1</v>
      </c>
      <c r="C11" s="882"/>
      <c r="D11" s="881" t="s">
        <v>0</v>
      </c>
      <c r="E11" s="881" t="s">
        <v>14</v>
      </c>
      <c r="F11" s="872" t="s">
        <v>21</v>
      </c>
      <c r="G11" s="882"/>
      <c r="H11" s="872" t="s">
        <v>30</v>
      </c>
      <c r="I11" s="873"/>
    </row>
    <row r="12" spans="1:9" s="3" customFormat="1" ht="32.25" customHeight="1">
      <c r="A12" s="881"/>
      <c r="B12" s="404" t="s">
        <v>15</v>
      </c>
      <c r="C12" s="404" t="s">
        <v>31</v>
      </c>
      <c r="D12" s="881"/>
      <c r="E12" s="881"/>
      <c r="F12" s="404" t="s">
        <v>22</v>
      </c>
      <c r="G12" s="404" t="s">
        <v>23</v>
      </c>
      <c r="H12" s="404" t="s">
        <v>22</v>
      </c>
      <c r="I12" s="404" t="s">
        <v>23</v>
      </c>
    </row>
    <row r="13" spans="1:9" s="223" customFormat="1" ht="11.25" customHeight="1">
      <c r="A13" s="405" t="s">
        <v>2</v>
      </c>
      <c r="B13" s="406" t="s">
        <v>3</v>
      </c>
      <c r="C13" s="405" t="s">
        <v>4</v>
      </c>
      <c r="D13" s="405" t="s">
        <v>5</v>
      </c>
      <c r="E13" s="405" t="s">
        <v>6</v>
      </c>
      <c r="F13" s="405">
        <v>1</v>
      </c>
      <c r="G13" s="405">
        <v>2</v>
      </c>
      <c r="H13" s="405">
        <v>3</v>
      </c>
      <c r="I13" s="405">
        <v>4</v>
      </c>
    </row>
    <row r="14" spans="1:9" s="3" customFormat="1" ht="22.5" customHeight="1">
      <c r="A14" s="407"/>
      <c r="B14" s="408"/>
      <c r="C14" s="407"/>
      <c r="D14" s="409" t="s">
        <v>7</v>
      </c>
      <c r="E14" s="408"/>
      <c r="F14" s="410"/>
      <c r="G14" s="410"/>
      <c r="H14" s="410">
        <f>VLOOKUP($E$7,DSTK,3,0)</f>
        <v>0</v>
      </c>
      <c r="I14" s="410">
        <f>VLOOKUP($E$7,DSTK,4,0)</f>
        <v>0</v>
      </c>
    </row>
    <row r="15" spans="1:9" s="3" customFormat="1" ht="22.5" customHeight="1">
      <c r="A15" s="411">
        <f ca="1">IF(ROWS($1:1)&gt;COUNT(Dong5),"",OFFSET(TH!C$1,SMALL(Dong5,ROWS($1:1)),))</f>
        <v>42766</v>
      </c>
      <c r="B15" s="411" t="str">
        <f ca="1">IF(ROWS($1:1)&gt;COUNT(Dong5),"",OFFSET(TH!D$1,SMALL(Dong5,ROWS($1:1)),))</f>
        <v>CTGS</v>
      </c>
      <c r="C15" s="411">
        <f ca="1">IF(ROWS($1:1)&gt;COUNT(Dong5),"",OFFSET(TH!E$1,SMALL(Dong5,ROWS($1:1)),))</f>
        <v>42766</v>
      </c>
      <c r="D15" s="412" t="str">
        <f ca="1">IF(ROWS($1:1)&gt;COUNT(Dong5),"",OFFSET(TH!F$1,SMALL(Dong5,ROWS($1:1)),))</f>
        <v>Lương bộ phận quản lý</v>
      </c>
      <c r="E15" s="411" t="str">
        <f ca="1">IF(ROWS($1:1)&gt;COUNT(Dong5),"",IF(OFFSET(TH!L$1,SMALL(Dong5,ROWS($1:1)),)=$E$7,OFFSET(TH!M$1,SMALL(Dong5,ROWS($1:1)),),OFFSET(TH!L$1,SMALL(Dong5,ROWS($1:1)),)))</f>
        <v>642</v>
      </c>
      <c r="F15" s="413">
        <f ca="1">IF(ROWS($1:1)&gt;COUNT(Dong5),0,IF(OFFSET(TH!L$1,SMALL(Dong5,ROWS($1:1)),)=$E$7,OFFSET(TH!K$1,SMALL(Dong5,ROWS($1:1)),),0))</f>
        <v>0</v>
      </c>
      <c r="G15" s="410">
        <f ca="1">IF(ROWS($1:1)&gt;COUNT(Dong5),0,IF(OFFSET(TH!M$1,SMALL(Dong5,ROWS($1:1)),)=$E$7,OFFSET(TH!K$1,SMALL(Dong5,ROWS($1:1)),),0))</f>
        <v>11962000</v>
      </c>
      <c r="H15" s="414">
        <f t="shared" ref="H15:H23" ca="1" si="0">IF(D15&lt;&gt;"",MAX(H14+F15-G15-I14,0),0)</f>
        <v>0</v>
      </c>
      <c r="I15" s="414">
        <f t="shared" ref="I15:I23" ca="1" si="1">IF(D15&lt;&gt;"",MAX(I14+G15-H14-F15,0),0)</f>
        <v>11962000</v>
      </c>
    </row>
    <row r="16" spans="1:9" s="3" customFormat="1" ht="22.5" customHeight="1">
      <c r="A16" s="411">
        <f ca="1">IF(ROWS($1:2)&gt;COUNT(Dong5),"",OFFSET(TH!C$1,SMALL(Dong5,ROWS($1:2)),))</f>
        <v>42766</v>
      </c>
      <c r="B16" s="411" t="str">
        <f ca="1">IF(ROWS($1:2)&gt;COUNT(Dong5),"",OFFSET(TH!D$1,SMALL(Dong5,ROWS($1:2)),))</f>
        <v>CTGS</v>
      </c>
      <c r="C16" s="411">
        <f ca="1">IF(ROWS($1:2)&gt;COUNT(Dong5),"",OFFSET(TH!E$1,SMALL(Dong5,ROWS($1:2)),))</f>
        <v>42766</v>
      </c>
      <c r="D16" s="412" t="str">
        <f ca="1">IF(ROWS($1:2)&gt;COUNT(Dong5),"",OFFSET(TH!F$1,SMALL(Dong5,ROWS($1:2)),))</f>
        <v>Lương bộ phận sản xuất</v>
      </c>
      <c r="E16" s="411" t="str">
        <f ca="1">IF(ROWS($1:2)&gt;COUNT(Dong5),"",IF(OFFSET(TH!L$1,SMALL(Dong5,ROWS($1:2)),)=$E$7,OFFSET(TH!M$1,SMALL(Dong5,ROWS($1:2)),),OFFSET(TH!L$1,SMALL(Dong5,ROWS($1:2)),)))</f>
        <v>154</v>
      </c>
      <c r="F16" s="413">
        <f ca="1">IF(ROWS($1:2)&gt;COUNT(Dong5),0,IF(OFFSET(TH!L$1,SMALL(Dong5,ROWS($1:2)),)=$E$7,OFFSET(TH!K$1,SMALL(Dong5,ROWS($1:2)),),0))</f>
        <v>0</v>
      </c>
      <c r="G16" s="410">
        <f ca="1">IF(ROWS($1:2)&gt;COUNT(Dong5),0,IF(OFFSET(TH!M$1,SMALL(Dong5,ROWS($1:2)),)=$E$7,OFFSET(TH!K$1,SMALL(Dong5,ROWS($1:2)),),0))</f>
        <v>3937000</v>
      </c>
      <c r="H16" s="414">
        <f t="shared" ca="1" si="0"/>
        <v>0</v>
      </c>
      <c r="I16" s="414">
        <f t="shared" ca="1" si="1"/>
        <v>15899000</v>
      </c>
    </row>
    <row r="17" spans="1:9" s="3" customFormat="1" ht="22.5" customHeight="1">
      <c r="A17" s="411">
        <f ca="1">IF(ROWS($1:3)&gt;COUNT(Dong5),"",OFFSET(TH!C$1,SMALL(Dong5,ROWS($1:3)),))</f>
        <v>42766</v>
      </c>
      <c r="B17" s="411" t="str">
        <f ca="1">IF(ROWS($1:3)&gt;COUNT(Dong5),"",OFFSET(TH!D$1,SMALL(Dong5,ROWS($1:3)),))</f>
        <v>C12</v>
      </c>
      <c r="C17" s="411">
        <f ca="1">IF(ROWS($1:3)&gt;COUNT(Dong5),"",OFFSET(TH!E$1,SMALL(Dong5,ROWS($1:3)),))</f>
        <v>42766</v>
      </c>
      <c r="D17" s="412" t="str">
        <f ca="1">IF(ROWS($1:3)&gt;COUNT(Dong5),"",OFFSET(TH!F$1,SMALL(Dong5,ROWS($1:3)),))</f>
        <v>Thanh toán lương T01/2017</v>
      </c>
      <c r="E17" s="411" t="str">
        <f ca="1">IF(ROWS($1:3)&gt;COUNT(Dong5),"",IF(OFFSET(TH!L$1,SMALL(Dong5,ROWS($1:3)),)=$E$7,OFFSET(TH!M$1,SMALL(Dong5,ROWS($1:3)),),OFFSET(TH!L$1,SMALL(Dong5,ROWS($1:3)),)))</f>
        <v>1111</v>
      </c>
      <c r="F17" s="413">
        <f ca="1">IF(ROWS($1:3)&gt;COUNT(Dong5),0,IF(OFFSET(TH!L$1,SMALL(Dong5,ROWS($1:3)),)=$E$7,OFFSET(TH!K$1,SMALL(Dong5,ROWS($1:3)),),0))</f>
        <v>14229605</v>
      </c>
      <c r="G17" s="410">
        <f ca="1">IF(ROWS($1:3)&gt;COUNT(Dong5),0,IF(OFFSET(TH!M$1,SMALL(Dong5,ROWS($1:3)),)=$E$7,OFFSET(TH!K$1,SMALL(Dong5,ROWS($1:3)),),0))</f>
        <v>0</v>
      </c>
      <c r="H17" s="414">
        <f t="shared" ca="1" si="0"/>
        <v>0</v>
      </c>
      <c r="I17" s="414">
        <f t="shared" ca="1" si="1"/>
        <v>1669395</v>
      </c>
    </row>
    <row r="18" spans="1:9" s="3" customFormat="1" ht="22.5" customHeight="1">
      <c r="A18" s="411">
        <f ca="1">IF(ROWS($1:4)&gt;COUNT(Dong5),"",OFFSET(TH!C$1,SMALL(Dong5,ROWS($1:4)),))</f>
        <v>42766</v>
      </c>
      <c r="B18" s="411" t="str">
        <f ca="1">IF(ROWS($1:4)&gt;COUNT(Dong5),"",OFFSET(TH!D$1,SMALL(Dong5,ROWS($1:4)),))</f>
        <v>CTGS</v>
      </c>
      <c r="C18" s="411">
        <f ca="1">IF(ROWS($1:4)&gt;COUNT(Dong5),"",OFFSET(TH!E$1,SMALL(Dong5,ROWS($1:4)),))</f>
        <v>42766</v>
      </c>
      <c r="D18" s="412" t="str">
        <f ca="1">IF(ROWS($1:4)&gt;COUNT(Dong5),"",OFFSET(TH!F$1,SMALL(Dong5,ROWS($1:4)),))</f>
        <v>BHXH khấu trừ Văn Phòng</v>
      </c>
      <c r="E18" s="411" t="str">
        <f ca="1">IF(ROWS($1:4)&gt;COUNT(Dong5),"",IF(OFFSET(TH!L$1,SMALL(Dong5,ROWS($1:4)),)=$E$7,OFFSET(TH!M$1,SMALL(Dong5,ROWS($1:4)),),OFFSET(TH!L$1,SMALL(Dong5,ROWS($1:4)),)))</f>
        <v>3383</v>
      </c>
      <c r="F18" s="413">
        <f ca="1">IF(ROWS($1:4)&gt;COUNT(Dong5),0,IF(OFFSET(TH!L$1,SMALL(Dong5,ROWS($1:4)),)=$E$7,OFFSET(TH!K$1,SMALL(Dong5,ROWS($1:4)),),0))</f>
        <v>956960</v>
      </c>
      <c r="G18" s="410">
        <f ca="1">IF(ROWS($1:4)&gt;COUNT(Dong5),0,IF(OFFSET(TH!M$1,SMALL(Dong5,ROWS($1:4)),)=$E$7,OFFSET(TH!K$1,SMALL(Dong5,ROWS($1:4)),),0))</f>
        <v>0</v>
      </c>
      <c r="H18" s="414">
        <f t="shared" ca="1" si="0"/>
        <v>0</v>
      </c>
      <c r="I18" s="414">
        <f t="shared" ca="1" si="1"/>
        <v>712435</v>
      </c>
    </row>
    <row r="19" spans="1:9" s="3" customFormat="1" ht="22.5" customHeight="1">
      <c r="A19" s="411">
        <f ca="1">IF(ROWS($1:5)&gt;COUNT(Dong5),"",OFFSET(TH!C$1,SMALL(Dong5,ROWS($1:5)),))</f>
        <v>42766</v>
      </c>
      <c r="B19" s="411" t="str">
        <f ca="1">IF(ROWS($1:5)&gt;COUNT(Dong5),"",OFFSET(TH!D$1,SMALL(Dong5,ROWS($1:5)),))</f>
        <v>CTGS</v>
      </c>
      <c r="C19" s="411">
        <f ca="1">IF(ROWS($1:5)&gt;COUNT(Dong5),"",OFFSET(TH!E$1,SMALL(Dong5,ROWS($1:5)),))</f>
        <v>42766</v>
      </c>
      <c r="D19" s="412" t="str">
        <f ca="1">IF(ROWS($1:5)&gt;COUNT(Dong5),"",OFFSET(TH!F$1,SMALL(Dong5,ROWS($1:5)),))</f>
        <v>BHXH khấu trừ CN</v>
      </c>
      <c r="E19" s="411" t="str">
        <f ca="1">IF(ROWS($1:5)&gt;COUNT(Dong5),"",IF(OFFSET(TH!L$1,SMALL(Dong5,ROWS($1:5)),)=$E$7,OFFSET(TH!M$1,SMALL(Dong5,ROWS($1:5)),),OFFSET(TH!L$1,SMALL(Dong5,ROWS($1:5)),)))</f>
        <v>3383</v>
      </c>
      <c r="F19" s="413">
        <f ca="1">IF(ROWS($1:5)&gt;COUNT(Dong5),0,IF(OFFSET(TH!L$1,SMALL(Dong5,ROWS($1:5)),)=$E$7,OFFSET(TH!K$1,SMALL(Dong5,ROWS($1:5)),),0))</f>
        <v>314960</v>
      </c>
      <c r="G19" s="410">
        <f ca="1">IF(ROWS($1:5)&gt;COUNT(Dong5),0,IF(OFFSET(TH!M$1,SMALL(Dong5,ROWS($1:5)),)=$E$7,OFFSET(TH!K$1,SMALL(Dong5,ROWS($1:5)),),0))</f>
        <v>0</v>
      </c>
      <c r="H19" s="414">
        <f t="shared" ca="1" si="0"/>
        <v>0</v>
      </c>
      <c r="I19" s="414">
        <f t="shared" ca="1" si="1"/>
        <v>397475</v>
      </c>
    </row>
    <row r="20" spans="1:9" s="3" customFormat="1" ht="22.5" customHeight="1">
      <c r="A20" s="411">
        <f ca="1">IF(ROWS($1:6)&gt;COUNT(Dong5),"",OFFSET(TH!C$1,SMALL(Dong5,ROWS($1:6)),))</f>
        <v>42766</v>
      </c>
      <c r="B20" s="411" t="str">
        <f ca="1">IF(ROWS($1:6)&gt;COUNT(Dong5),"",OFFSET(TH!D$1,SMALL(Dong5,ROWS($1:6)),))</f>
        <v>CTGS</v>
      </c>
      <c r="C20" s="411">
        <f ca="1">IF(ROWS($1:6)&gt;COUNT(Dong5),"",OFFSET(TH!E$1,SMALL(Dong5,ROWS($1:6)),))</f>
        <v>42766</v>
      </c>
      <c r="D20" s="412" t="str">
        <f ca="1">IF(ROWS($1:6)&gt;COUNT(Dong5),"",OFFSET(TH!F$1,SMALL(Dong5,ROWS($1:6)),))</f>
        <v>BHYT khấu trừ Văn Phòng</v>
      </c>
      <c r="E20" s="411" t="str">
        <f ca="1">IF(ROWS($1:6)&gt;COUNT(Dong5),"",IF(OFFSET(TH!L$1,SMALL(Dong5,ROWS($1:6)),)=$E$7,OFFSET(TH!M$1,SMALL(Dong5,ROWS($1:6)),),OFFSET(TH!L$1,SMALL(Dong5,ROWS($1:6)),)))</f>
        <v>3384</v>
      </c>
      <c r="F20" s="413">
        <f ca="1">IF(ROWS($1:6)&gt;COUNT(Dong5),0,IF(OFFSET(TH!L$1,SMALL(Dong5,ROWS($1:6)),)=$E$7,OFFSET(TH!K$1,SMALL(Dong5,ROWS($1:6)),),0))</f>
        <v>179430</v>
      </c>
      <c r="G20" s="410">
        <f ca="1">IF(ROWS($1:6)&gt;COUNT(Dong5),0,IF(OFFSET(TH!M$1,SMALL(Dong5,ROWS($1:6)),)=$E$7,OFFSET(TH!K$1,SMALL(Dong5,ROWS($1:6)),),0))</f>
        <v>0</v>
      </c>
      <c r="H20" s="414">
        <f t="shared" ca="1" si="0"/>
        <v>0</v>
      </c>
      <c r="I20" s="414">
        <f t="shared" ca="1" si="1"/>
        <v>218045</v>
      </c>
    </row>
    <row r="21" spans="1:9" s="3" customFormat="1" ht="22.5" customHeight="1">
      <c r="A21" s="411">
        <f ca="1">IF(ROWS($1:7)&gt;COUNT(Dong5),"",OFFSET(TH!C$1,SMALL(Dong5,ROWS($1:7)),))</f>
        <v>42766</v>
      </c>
      <c r="B21" s="411" t="str">
        <f ca="1">IF(ROWS($1:7)&gt;COUNT(Dong5),"",OFFSET(TH!D$1,SMALL(Dong5,ROWS($1:7)),))</f>
        <v>CTGS</v>
      </c>
      <c r="C21" s="411">
        <f ca="1">IF(ROWS($1:7)&gt;COUNT(Dong5),"",OFFSET(TH!E$1,SMALL(Dong5,ROWS($1:7)),))</f>
        <v>42766</v>
      </c>
      <c r="D21" s="412" t="str">
        <f ca="1">IF(ROWS($1:7)&gt;COUNT(Dong5),"",OFFSET(TH!F$1,SMALL(Dong5,ROWS($1:7)),))</f>
        <v>BHYT khấu trừ CN</v>
      </c>
      <c r="E21" s="411" t="str">
        <f ca="1">IF(ROWS($1:7)&gt;COUNT(Dong5),"",IF(OFFSET(TH!L$1,SMALL(Dong5,ROWS($1:7)),)=$E$7,OFFSET(TH!M$1,SMALL(Dong5,ROWS($1:7)),),OFFSET(TH!L$1,SMALL(Dong5,ROWS($1:7)),)))</f>
        <v>3384</v>
      </c>
      <c r="F21" s="413">
        <f ca="1">IF(ROWS($1:7)&gt;COUNT(Dong5),0,IF(OFFSET(TH!L$1,SMALL(Dong5,ROWS($1:7)),)=$E$7,OFFSET(TH!K$1,SMALL(Dong5,ROWS($1:7)),),0))</f>
        <v>59055</v>
      </c>
      <c r="G21" s="410">
        <f ca="1">IF(ROWS($1:7)&gt;COUNT(Dong5),0,IF(OFFSET(TH!M$1,SMALL(Dong5,ROWS($1:7)),)=$E$7,OFFSET(TH!K$1,SMALL(Dong5,ROWS($1:7)),),0))</f>
        <v>0</v>
      </c>
      <c r="H21" s="414">
        <f t="shared" ca="1" si="0"/>
        <v>0</v>
      </c>
      <c r="I21" s="414">
        <f t="shared" ca="1" si="1"/>
        <v>158990</v>
      </c>
    </row>
    <row r="22" spans="1:9" s="3" customFormat="1" ht="22.5" customHeight="1">
      <c r="A22" s="411">
        <f ca="1">IF(ROWS($1:8)&gt;COUNT(Dong5),"",OFFSET(TH!C$1,SMALL(Dong5,ROWS($1:8)),))</f>
        <v>42766</v>
      </c>
      <c r="B22" s="411" t="str">
        <f ca="1">IF(ROWS($1:8)&gt;COUNT(Dong5),"",OFFSET(TH!D$1,SMALL(Dong5,ROWS($1:8)),))</f>
        <v>CTGS</v>
      </c>
      <c r="C22" s="411">
        <f ca="1">IF(ROWS($1:8)&gt;COUNT(Dong5),"",OFFSET(TH!E$1,SMALL(Dong5,ROWS($1:8)),))</f>
        <v>42766</v>
      </c>
      <c r="D22" s="412" t="str">
        <f ca="1">IF(ROWS($1:8)&gt;COUNT(Dong5),"",OFFSET(TH!F$1,SMALL(Dong5,ROWS($1:8)),))</f>
        <v>BHTN khấu trừ Văn Phòng</v>
      </c>
      <c r="E22" s="411" t="str">
        <f ca="1">IF(ROWS($1:8)&gt;COUNT(Dong5),"",IF(OFFSET(TH!L$1,SMALL(Dong5,ROWS($1:8)),)=$E$7,OFFSET(TH!M$1,SMALL(Dong5,ROWS($1:8)),),OFFSET(TH!L$1,SMALL(Dong5,ROWS($1:8)),)))</f>
        <v>3386</v>
      </c>
      <c r="F22" s="413">
        <f ca="1">IF(ROWS($1:8)&gt;COUNT(Dong5),0,IF(OFFSET(TH!L$1,SMALL(Dong5,ROWS($1:8)),)=$E$7,OFFSET(TH!K$1,SMALL(Dong5,ROWS($1:8)),),0))</f>
        <v>119620</v>
      </c>
      <c r="G22" s="410">
        <f ca="1">IF(ROWS($1:8)&gt;COUNT(Dong5),0,IF(OFFSET(TH!M$1,SMALL(Dong5,ROWS($1:8)),)=$E$7,OFFSET(TH!K$1,SMALL(Dong5,ROWS($1:8)),),0))</f>
        <v>0</v>
      </c>
      <c r="H22" s="414">
        <f t="shared" ca="1" si="0"/>
        <v>0</v>
      </c>
      <c r="I22" s="414">
        <f t="shared" ca="1" si="1"/>
        <v>39370</v>
      </c>
    </row>
    <row r="23" spans="1:9" s="3" customFormat="1" ht="22.5" customHeight="1">
      <c r="A23" s="411">
        <f ca="1">IF(ROWS($1:9)&gt;COUNT(Dong5),"",OFFSET(TH!C$1,SMALL(Dong5,ROWS($1:9)),))</f>
        <v>42766</v>
      </c>
      <c r="B23" s="411" t="str">
        <f ca="1">IF(ROWS($1:9)&gt;COUNT(Dong5),"",OFFSET(TH!D$1,SMALL(Dong5,ROWS($1:9)),))</f>
        <v>CTGS</v>
      </c>
      <c r="C23" s="411">
        <f ca="1">IF(ROWS($1:9)&gt;COUNT(Dong5),"",OFFSET(TH!E$1,SMALL(Dong5,ROWS($1:9)),))</f>
        <v>42766</v>
      </c>
      <c r="D23" s="412" t="str">
        <f ca="1">IF(ROWS($1:9)&gt;COUNT(Dong5),"",OFFSET(TH!F$1,SMALL(Dong5,ROWS($1:9)),))</f>
        <v>BHTN khấu trừ  CN</v>
      </c>
      <c r="E23" s="411" t="str">
        <f ca="1">IF(ROWS($1:9)&gt;COUNT(Dong5),"",IF(OFFSET(TH!L$1,SMALL(Dong5,ROWS($1:9)),)=$E$7,OFFSET(TH!M$1,SMALL(Dong5,ROWS($1:9)),),OFFSET(TH!L$1,SMALL(Dong5,ROWS($1:9)),)))</f>
        <v>3386</v>
      </c>
      <c r="F23" s="413">
        <f ca="1">IF(ROWS($1:9)&gt;COUNT(Dong5),0,IF(OFFSET(TH!L$1,SMALL(Dong5,ROWS($1:9)),)=$E$7,OFFSET(TH!K$1,SMALL(Dong5,ROWS($1:9)),),0))</f>
        <v>39370</v>
      </c>
      <c r="G23" s="410">
        <f ca="1">IF(ROWS($1:9)&gt;COUNT(Dong5),0,IF(OFFSET(TH!M$1,SMALL(Dong5,ROWS($1:9)),)=$E$7,OFFSET(TH!K$1,SMALL(Dong5,ROWS($1:9)),),0))</f>
        <v>0</v>
      </c>
      <c r="H23" s="414">
        <f t="shared" ca="1" si="0"/>
        <v>0</v>
      </c>
      <c r="I23" s="414">
        <f t="shared" ca="1" si="1"/>
        <v>0</v>
      </c>
    </row>
    <row r="24" spans="1:9" s="3" customFormat="1" ht="22.5" customHeight="1">
      <c r="A24" s="411">
        <f ca="1">IF(ROWS($1:10)&gt;COUNT(Dong5),"",OFFSET(TH!C$1,SMALL(Dong5,ROWS($1:10)),))</f>
        <v>42794</v>
      </c>
      <c r="B24" s="411" t="str">
        <f ca="1">IF(ROWS($1:10)&gt;COUNT(Dong5),"",OFFSET(TH!D$1,SMALL(Dong5,ROWS($1:10)),))</f>
        <v>CTGS</v>
      </c>
      <c r="C24" s="411">
        <f ca="1">IF(ROWS($1:10)&gt;COUNT(Dong5),"",OFFSET(TH!E$1,SMALL(Dong5,ROWS($1:10)),))</f>
        <v>42794</v>
      </c>
      <c r="D24" s="412" t="str">
        <f ca="1">IF(ROWS($1:10)&gt;COUNT(Dong5),"",OFFSET(TH!F$1,SMALL(Dong5,ROWS($1:10)),))</f>
        <v>Lương bộ phận quản lý</v>
      </c>
      <c r="E24" s="411" t="str">
        <f ca="1">IF(ROWS($1:10)&gt;COUNT(Dong5),"",IF(OFFSET(TH!L$1,SMALL(Dong5,ROWS($1:10)),)=$E$7,OFFSET(TH!M$1,SMALL(Dong5,ROWS($1:10)),),OFFSET(TH!L$1,SMALL(Dong5,ROWS($1:10)),)))</f>
        <v>642</v>
      </c>
      <c r="F24" s="413">
        <f ca="1">IF(ROWS($1:10)&gt;COUNT(Dong5),0,IF(OFFSET(TH!L$1,SMALL(Dong5,ROWS($1:10)),)=$E$7,OFFSET(TH!K$1,SMALL(Dong5,ROWS($1:10)),),0))</f>
        <v>0</v>
      </c>
      <c r="G24" s="410">
        <f ca="1">IF(ROWS($1:10)&gt;COUNT(Dong5),0,IF(OFFSET(TH!M$1,SMALL(Dong5,ROWS($1:10)),)=$E$7,OFFSET(TH!K$1,SMALL(Dong5,ROWS($1:10)),),0))</f>
        <v>8025000</v>
      </c>
      <c r="H24" s="414">
        <f t="shared" ref="H24:H72" ca="1" si="2">IF(D24&lt;&gt;"",MAX(H23+F24-G24-I23,0),0)</f>
        <v>0</v>
      </c>
      <c r="I24" s="414">
        <f t="shared" ref="I24:I72" ca="1" si="3">IF(D24&lt;&gt;"",MAX(I23+G24-H23-F24,0),0)</f>
        <v>8025000</v>
      </c>
    </row>
    <row r="25" spans="1:9" s="3" customFormat="1" ht="22.5" customHeight="1">
      <c r="A25" s="411">
        <f ca="1">IF(ROWS($1:11)&gt;COUNT(Dong5),"",OFFSET(TH!C$1,SMALL(Dong5,ROWS($1:11)),))</f>
        <v>42794</v>
      </c>
      <c r="B25" s="411" t="str">
        <f ca="1">IF(ROWS($1:11)&gt;COUNT(Dong5),"",OFFSET(TH!D$1,SMALL(Dong5,ROWS($1:11)),))</f>
        <v>CTGS</v>
      </c>
      <c r="C25" s="411">
        <f ca="1">IF(ROWS($1:11)&gt;COUNT(Dong5),"",OFFSET(TH!E$1,SMALL(Dong5,ROWS($1:11)),))</f>
        <v>42794</v>
      </c>
      <c r="D25" s="412" t="str">
        <f ca="1">IF(ROWS($1:11)&gt;COUNT(Dong5),"",OFFSET(TH!F$1,SMALL(Dong5,ROWS($1:11)),))</f>
        <v>Lương bộ phận sản xuất</v>
      </c>
      <c r="E25" s="411" t="str">
        <f ca="1">IF(ROWS($1:11)&gt;COUNT(Dong5),"",IF(OFFSET(TH!L$1,SMALL(Dong5,ROWS($1:11)),)=$E$7,OFFSET(TH!M$1,SMALL(Dong5,ROWS($1:11)),),OFFSET(TH!L$1,SMALL(Dong5,ROWS($1:11)),)))</f>
        <v>154</v>
      </c>
      <c r="F25" s="413">
        <f ca="1">IF(ROWS($1:11)&gt;COUNT(Dong5),0,IF(OFFSET(TH!L$1,SMALL(Dong5,ROWS($1:11)),)=$E$7,OFFSET(TH!K$1,SMALL(Dong5,ROWS($1:11)),),0))</f>
        <v>0</v>
      </c>
      <c r="G25" s="410">
        <f ca="1">IF(ROWS($1:11)&gt;COUNT(Dong5),0,IF(OFFSET(TH!M$1,SMALL(Dong5,ROWS($1:11)),)=$E$7,OFFSET(TH!K$1,SMALL(Dong5,ROWS($1:11)),),0))</f>
        <v>3937000</v>
      </c>
      <c r="H25" s="414">
        <f t="shared" ca="1" si="2"/>
        <v>0</v>
      </c>
      <c r="I25" s="414">
        <f t="shared" ca="1" si="3"/>
        <v>11962000</v>
      </c>
    </row>
    <row r="26" spans="1:9" s="3" customFormat="1" ht="22.5" customHeight="1">
      <c r="A26" s="411">
        <f ca="1">IF(ROWS($1:12)&gt;COUNT(Dong5),"",OFFSET(TH!C$1,SMALL(Dong5,ROWS($1:12)),))</f>
        <v>42794</v>
      </c>
      <c r="B26" s="411" t="str">
        <f ca="1">IF(ROWS($1:12)&gt;COUNT(Dong5),"",OFFSET(TH!D$1,SMALL(Dong5,ROWS($1:12)),))</f>
        <v>C12</v>
      </c>
      <c r="C26" s="411">
        <f ca="1">IF(ROWS($1:12)&gt;COUNT(Dong5),"",OFFSET(TH!E$1,SMALL(Dong5,ROWS($1:12)),))</f>
        <v>42794</v>
      </c>
      <c r="D26" s="412" t="str">
        <f ca="1">IF(ROWS($1:12)&gt;COUNT(Dong5),"",OFFSET(TH!F$1,SMALL(Dong5,ROWS($1:12)),))</f>
        <v>Thanh toán lương T02/2017</v>
      </c>
      <c r="E26" s="411" t="str">
        <f ca="1">IF(ROWS($1:12)&gt;COUNT(Dong5),"",IF(OFFSET(TH!L$1,SMALL(Dong5,ROWS($1:12)),)=$E$7,OFFSET(TH!M$1,SMALL(Dong5,ROWS($1:12)),),OFFSET(TH!L$1,SMALL(Dong5,ROWS($1:12)),)))</f>
        <v>1111</v>
      </c>
      <c r="F26" s="413">
        <f ca="1">IF(ROWS($1:12)&gt;COUNT(Dong5),0,IF(OFFSET(TH!L$1,SMALL(Dong5,ROWS($1:12)),)=$E$7,OFFSET(TH!K$1,SMALL(Dong5,ROWS($1:12)),),0))</f>
        <v>10705990</v>
      </c>
      <c r="G26" s="410">
        <f ca="1">IF(ROWS($1:12)&gt;COUNT(Dong5),0,IF(OFFSET(TH!M$1,SMALL(Dong5,ROWS($1:12)),)=$E$7,OFFSET(TH!K$1,SMALL(Dong5,ROWS($1:12)),),0))</f>
        <v>0</v>
      </c>
      <c r="H26" s="414">
        <f t="shared" ca="1" si="2"/>
        <v>0</v>
      </c>
      <c r="I26" s="414">
        <f t="shared" ca="1" si="3"/>
        <v>1256010</v>
      </c>
    </row>
    <row r="27" spans="1:9" s="3" customFormat="1" ht="22.5" customHeight="1">
      <c r="A27" s="411">
        <f ca="1">IF(ROWS($1:13)&gt;COUNT(Dong5),"",OFFSET(TH!C$1,SMALL(Dong5,ROWS($1:13)),))</f>
        <v>42794</v>
      </c>
      <c r="B27" s="411" t="str">
        <f ca="1">IF(ROWS($1:13)&gt;COUNT(Dong5),"",OFFSET(TH!D$1,SMALL(Dong5,ROWS($1:13)),))</f>
        <v>CTGS</v>
      </c>
      <c r="C27" s="411">
        <f ca="1">IF(ROWS($1:13)&gt;COUNT(Dong5),"",OFFSET(TH!E$1,SMALL(Dong5,ROWS($1:13)),))</f>
        <v>42794</v>
      </c>
      <c r="D27" s="412" t="str">
        <f ca="1">IF(ROWS($1:13)&gt;COUNT(Dong5),"",OFFSET(TH!F$1,SMALL(Dong5,ROWS($1:13)),))</f>
        <v>BHXH khấu trừ Văn Phòng</v>
      </c>
      <c r="E27" s="411" t="str">
        <f ca="1">IF(ROWS($1:13)&gt;COUNT(Dong5),"",IF(OFFSET(TH!L$1,SMALL(Dong5,ROWS($1:13)),)=$E$7,OFFSET(TH!M$1,SMALL(Dong5,ROWS($1:13)),),OFFSET(TH!L$1,SMALL(Dong5,ROWS($1:13)),)))</f>
        <v>3383</v>
      </c>
      <c r="F27" s="413">
        <f ca="1">IF(ROWS($1:13)&gt;COUNT(Dong5),0,IF(OFFSET(TH!L$1,SMALL(Dong5,ROWS($1:13)),)=$E$7,OFFSET(TH!K$1,SMALL(Dong5,ROWS($1:13)),),0))</f>
        <v>642000</v>
      </c>
      <c r="G27" s="410">
        <f ca="1">IF(ROWS($1:13)&gt;COUNT(Dong5),0,IF(OFFSET(TH!M$1,SMALL(Dong5,ROWS($1:13)),)=$E$7,OFFSET(TH!K$1,SMALL(Dong5,ROWS($1:13)),),0))</f>
        <v>0</v>
      </c>
      <c r="H27" s="414">
        <f t="shared" ca="1" si="2"/>
        <v>0</v>
      </c>
      <c r="I27" s="414">
        <f t="shared" ca="1" si="3"/>
        <v>614010</v>
      </c>
    </row>
    <row r="28" spans="1:9" s="3" customFormat="1" ht="22.5" customHeight="1">
      <c r="A28" s="411">
        <f ca="1">IF(ROWS($1:14)&gt;COUNT(Dong5),"",OFFSET(TH!C$1,SMALL(Dong5,ROWS($1:14)),))</f>
        <v>42794</v>
      </c>
      <c r="B28" s="411" t="str">
        <f ca="1">IF(ROWS($1:14)&gt;COUNT(Dong5),"",OFFSET(TH!D$1,SMALL(Dong5,ROWS($1:14)),))</f>
        <v>CTGS</v>
      </c>
      <c r="C28" s="411">
        <f ca="1">IF(ROWS($1:14)&gt;COUNT(Dong5),"",OFFSET(TH!E$1,SMALL(Dong5,ROWS($1:14)),))</f>
        <v>42794</v>
      </c>
      <c r="D28" s="412" t="str">
        <f ca="1">IF(ROWS($1:14)&gt;COUNT(Dong5),"",OFFSET(TH!F$1,SMALL(Dong5,ROWS($1:14)),))</f>
        <v>BHXH khấu trừ CN</v>
      </c>
      <c r="E28" s="411" t="str">
        <f ca="1">IF(ROWS($1:14)&gt;COUNT(Dong5),"",IF(OFFSET(TH!L$1,SMALL(Dong5,ROWS($1:14)),)=$E$7,OFFSET(TH!M$1,SMALL(Dong5,ROWS($1:14)),),OFFSET(TH!L$1,SMALL(Dong5,ROWS($1:14)),)))</f>
        <v>3383</v>
      </c>
      <c r="F28" s="413">
        <f ca="1">IF(ROWS($1:14)&gt;COUNT(Dong5),0,IF(OFFSET(TH!L$1,SMALL(Dong5,ROWS($1:14)),)=$E$7,OFFSET(TH!K$1,SMALL(Dong5,ROWS($1:14)),),0))</f>
        <v>314960</v>
      </c>
      <c r="G28" s="410">
        <f ca="1">IF(ROWS($1:14)&gt;COUNT(Dong5),0,IF(OFFSET(TH!M$1,SMALL(Dong5,ROWS($1:14)),)=$E$7,OFFSET(TH!K$1,SMALL(Dong5,ROWS($1:14)),),0))</f>
        <v>0</v>
      </c>
      <c r="H28" s="414">
        <f t="shared" ca="1" si="2"/>
        <v>0</v>
      </c>
      <c r="I28" s="414">
        <f t="shared" ca="1" si="3"/>
        <v>299050</v>
      </c>
    </row>
    <row r="29" spans="1:9" s="3" customFormat="1" ht="22.5" customHeight="1">
      <c r="A29" s="411">
        <f ca="1">IF(ROWS($1:15)&gt;COUNT(Dong5),"",OFFSET(TH!C$1,SMALL(Dong5,ROWS($1:15)),))</f>
        <v>42794</v>
      </c>
      <c r="B29" s="411" t="str">
        <f ca="1">IF(ROWS($1:15)&gt;COUNT(Dong5),"",OFFSET(TH!D$1,SMALL(Dong5,ROWS($1:15)),))</f>
        <v>CTGS</v>
      </c>
      <c r="C29" s="411">
        <f ca="1">IF(ROWS($1:15)&gt;COUNT(Dong5),"",OFFSET(TH!E$1,SMALL(Dong5,ROWS($1:15)),))</f>
        <v>42794</v>
      </c>
      <c r="D29" s="412" t="str">
        <f ca="1">IF(ROWS($1:15)&gt;COUNT(Dong5),"",OFFSET(TH!F$1,SMALL(Dong5,ROWS($1:15)),))</f>
        <v>BHYT khấu trừ Văn Phòng</v>
      </c>
      <c r="E29" s="411" t="str">
        <f ca="1">IF(ROWS($1:15)&gt;COUNT(Dong5),"",IF(OFFSET(TH!L$1,SMALL(Dong5,ROWS($1:15)),)=$E$7,OFFSET(TH!M$1,SMALL(Dong5,ROWS($1:15)),),OFFSET(TH!L$1,SMALL(Dong5,ROWS($1:15)),)))</f>
        <v>3384</v>
      </c>
      <c r="F29" s="413">
        <f ca="1">IF(ROWS($1:15)&gt;COUNT(Dong5),0,IF(OFFSET(TH!L$1,SMALL(Dong5,ROWS($1:15)),)=$E$7,OFFSET(TH!K$1,SMALL(Dong5,ROWS($1:15)),),0))</f>
        <v>120375</v>
      </c>
      <c r="G29" s="410">
        <f ca="1">IF(ROWS($1:15)&gt;COUNT(Dong5),0,IF(OFFSET(TH!M$1,SMALL(Dong5,ROWS($1:15)),)=$E$7,OFFSET(TH!K$1,SMALL(Dong5,ROWS($1:15)),),0))</f>
        <v>0</v>
      </c>
      <c r="H29" s="414">
        <f t="shared" ca="1" si="2"/>
        <v>0</v>
      </c>
      <c r="I29" s="414">
        <f t="shared" ca="1" si="3"/>
        <v>178675</v>
      </c>
    </row>
    <row r="30" spans="1:9" s="3" customFormat="1" ht="22.5" customHeight="1">
      <c r="A30" s="411">
        <f ca="1">IF(ROWS($1:16)&gt;COUNT(Dong5),"",OFFSET(TH!C$1,SMALL(Dong5,ROWS($1:16)),))</f>
        <v>42794</v>
      </c>
      <c r="B30" s="411" t="str">
        <f ca="1">IF(ROWS($1:16)&gt;COUNT(Dong5),"",OFFSET(TH!D$1,SMALL(Dong5,ROWS($1:16)),))</f>
        <v>CTGS</v>
      </c>
      <c r="C30" s="411">
        <f ca="1">IF(ROWS($1:16)&gt;COUNT(Dong5),"",OFFSET(TH!E$1,SMALL(Dong5,ROWS($1:16)),))</f>
        <v>42794</v>
      </c>
      <c r="D30" s="412" t="str">
        <f ca="1">IF(ROWS($1:16)&gt;COUNT(Dong5),"",OFFSET(TH!F$1,SMALL(Dong5,ROWS($1:16)),))</f>
        <v>BHYT khấu trừ CN</v>
      </c>
      <c r="E30" s="411" t="str">
        <f ca="1">IF(ROWS($1:16)&gt;COUNT(Dong5),"",IF(OFFSET(TH!L$1,SMALL(Dong5,ROWS($1:16)),)=$E$7,OFFSET(TH!M$1,SMALL(Dong5,ROWS($1:16)),),OFFSET(TH!L$1,SMALL(Dong5,ROWS($1:16)),)))</f>
        <v>3384</v>
      </c>
      <c r="F30" s="413">
        <f ca="1">IF(ROWS($1:16)&gt;COUNT(Dong5),0,IF(OFFSET(TH!L$1,SMALL(Dong5,ROWS($1:16)),)=$E$7,OFFSET(TH!K$1,SMALL(Dong5,ROWS($1:16)),),0))</f>
        <v>59055</v>
      </c>
      <c r="G30" s="410">
        <f ca="1">IF(ROWS($1:16)&gt;COUNT(Dong5),0,IF(OFFSET(TH!M$1,SMALL(Dong5,ROWS($1:16)),)=$E$7,OFFSET(TH!K$1,SMALL(Dong5,ROWS($1:16)),),0))</f>
        <v>0</v>
      </c>
      <c r="H30" s="414">
        <f t="shared" ca="1" si="2"/>
        <v>0</v>
      </c>
      <c r="I30" s="414">
        <f t="shared" ca="1" si="3"/>
        <v>119620</v>
      </c>
    </row>
    <row r="31" spans="1:9" s="3" customFormat="1" ht="22.5" customHeight="1">
      <c r="A31" s="411">
        <f ca="1">IF(ROWS($1:17)&gt;COUNT(Dong5),"",OFFSET(TH!C$1,SMALL(Dong5,ROWS($1:17)),))</f>
        <v>42794</v>
      </c>
      <c r="B31" s="411" t="str">
        <f ca="1">IF(ROWS($1:17)&gt;COUNT(Dong5),"",OFFSET(TH!D$1,SMALL(Dong5,ROWS($1:17)),))</f>
        <v>CTGS</v>
      </c>
      <c r="C31" s="411">
        <f ca="1">IF(ROWS($1:17)&gt;COUNT(Dong5),"",OFFSET(TH!E$1,SMALL(Dong5,ROWS($1:17)),))</f>
        <v>42794</v>
      </c>
      <c r="D31" s="412" t="str">
        <f ca="1">IF(ROWS($1:17)&gt;COUNT(Dong5),"",OFFSET(TH!F$1,SMALL(Dong5,ROWS($1:17)),))</f>
        <v>BHTN khấu trừ Văn Phòng</v>
      </c>
      <c r="E31" s="411" t="str">
        <f ca="1">IF(ROWS($1:17)&gt;COUNT(Dong5),"",IF(OFFSET(TH!L$1,SMALL(Dong5,ROWS($1:17)),)=$E$7,OFFSET(TH!M$1,SMALL(Dong5,ROWS($1:17)),),OFFSET(TH!L$1,SMALL(Dong5,ROWS($1:17)),)))</f>
        <v>3386</v>
      </c>
      <c r="F31" s="413">
        <f ca="1">IF(ROWS($1:17)&gt;COUNT(Dong5),0,IF(OFFSET(TH!L$1,SMALL(Dong5,ROWS($1:17)),)=$E$7,OFFSET(TH!K$1,SMALL(Dong5,ROWS($1:17)),),0))</f>
        <v>80250</v>
      </c>
      <c r="G31" s="410">
        <f ca="1">IF(ROWS($1:17)&gt;COUNT(Dong5),0,IF(OFFSET(TH!M$1,SMALL(Dong5,ROWS($1:17)),)=$E$7,OFFSET(TH!K$1,SMALL(Dong5,ROWS($1:17)),),0))</f>
        <v>0</v>
      </c>
      <c r="H31" s="414">
        <f t="shared" ca="1" si="2"/>
        <v>0</v>
      </c>
      <c r="I31" s="414">
        <f t="shared" ca="1" si="3"/>
        <v>39370</v>
      </c>
    </row>
    <row r="32" spans="1:9" s="3" customFormat="1" ht="22.5" customHeight="1">
      <c r="A32" s="411">
        <f ca="1">IF(ROWS($1:18)&gt;COUNT(Dong5),"",OFFSET(TH!C$1,SMALL(Dong5,ROWS($1:18)),))</f>
        <v>42794</v>
      </c>
      <c r="B32" s="411" t="str">
        <f ca="1">IF(ROWS($1:18)&gt;COUNT(Dong5),"",OFFSET(TH!D$1,SMALL(Dong5,ROWS($1:18)),))</f>
        <v>CTGS</v>
      </c>
      <c r="C32" s="411">
        <f ca="1">IF(ROWS($1:18)&gt;COUNT(Dong5),"",OFFSET(TH!E$1,SMALL(Dong5,ROWS($1:18)),))</f>
        <v>42794</v>
      </c>
      <c r="D32" s="412" t="str">
        <f ca="1">IF(ROWS($1:18)&gt;COUNT(Dong5),"",OFFSET(TH!F$1,SMALL(Dong5,ROWS($1:18)),))</f>
        <v>BHTN khấu trừ  CN</v>
      </c>
      <c r="E32" s="411" t="str">
        <f ca="1">IF(ROWS($1:18)&gt;COUNT(Dong5),"",IF(OFFSET(TH!L$1,SMALL(Dong5,ROWS($1:18)),)=$E$7,OFFSET(TH!M$1,SMALL(Dong5,ROWS($1:18)),),OFFSET(TH!L$1,SMALL(Dong5,ROWS($1:18)),)))</f>
        <v>3386</v>
      </c>
      <c r="F32" s="413">
        <f ca="1">IF(ROWS($1:18)&gt;COUNT(Dong5),0,IF(OFFSET(TH!L$1,SMALL(Dong5,ROWS($1:18)),)=$E$7,OFFSET(TH!K$1,SMALL(Dong5,ROWS($1:18)),),0))</f>
        <v>39370</v>
      </c>
      <c r="G32" s="410">
        <f ca="1">IF(ROWS($1:18)&gt;COUNT(Dong5),0,IF(OFFSET(TH!M$1,SMALL(Dong5,ROWS($1:18)),)=$E$7,OFFSET(TH!K$1,SMALL(Dong5,ROWS($1:18)),),0))</f>
        <v>0</v>
      </c>
      <c r="H32" s="414">
        <f t="shared" ca="1" si="2"/>
        <v>0</v>
      </c>
      <c r="I32" s="414">
        <f t="shared" ca="1" si="3"/>
        <v>0</v>
      </c>
    </row>
    <row r="33" spans="1:9" s="3" customFormat="1" ht="22.5" customHeight="1">
      <c r="A33" s="411">
        <f ca="1">IF(ROWS($1:19)&gt;COUNT(Dong5),"",OFFSET(TH!C$1,SMALL(Dong5,ROWS($1:19)),))</f>
        <v>42825</v>
      </c>
      <c r="B33" s="411" t="str">
        <f ca="1">IF(ROWS($1:19)&gt;COUNT(Dong5),"",OFFSET(TH!D$1,SMALL(Dong5,ROWS($1:19)),))</f>
        <v>CTGS</v>
      </c>
      <c r="C33" s="411">
        <f ca="1">IF(ROWS($1:19)&gt;COUNT(Dong5),"",OFFSET(TH!E$1,SMALL(Dong5,ROWS($1:19)),))</f>
        <v>42825</v>
      </c>
      <c r="D33" s="412" t="str">
        <f ca="1">IF(ROWS($1:19)&gt;COUNT(Dong5),"",OFFSET(TH!F$1,SMALL(Dong5,ROWS($1:19)),))</f>
        <v>Lương bộ phận quản lý</v>
      </c>
      <c r="E33" s="411" t="str">
        <f ca="1">IF(ROWS($1:19)&gt;COUNT(Dong5),"",IF(OFFSET(TH!L$1,SMALL(Dong5,ROWS($1:19)),)=$E$7,OFFSET(TH!M$1,SMALL(Dong5,ROWS($1:19)),),OFFSET(TH!L$1,SMALL(Dong5,ROWS($1:19)),)))</f>
        <v>642</v>
      </c>
      <c r="F33" s="413">
        <f ca="1">IF(ROWS($1:19)&gt;COUNT(Dong5),0,IF(OFFSET(TH!L$1,SMALL(Dong5,ROWS($1:19)),)=$E$7,OFFSET(TH!K$1,SMALL(Dong5,ROWS($1:19)),),0))</f>
        <v>0</v>
      </c>
      <c r="G33" s="410">
        <f ca="1">IF(ROWS($1:19)&gt;COUNT(Dong5),0,IF(OFFSET(TH!M$1,SMALL(Dong5,ROWS($1:19)),)=$E$7,OFFSET(TH!K$1,SMALL(Dong5,ROWS($1:19)),),0))</f>
        <v>19837000</v>
      </c>
      <c r="H33" s="414">
        <f t="shared" ca="1" si="2"/>
        <v>0</v>
      </c>
      <c r="I33" s="414">
        <f t="shared" ca="1" si="3"/>
        <v>19837000</v>
      </c>
    </row>
    <row r="34" spans="1:9" s="3" customFormat="1" ht="22.5" customHeight="1">
      <c r="A34" s="411">
        <f ca="1">IF(ROWS($1:20)&gt;COUNT(Dong5),"",OFFSET(TH!C$1,SMALL(Dong5,ROWS($1:20)),))</f>
        <v>42825</v>
      </c>
      <c r="B34" s="411" t="str">
        <f ca="1">IF(ROWS($1:20)&gt;COUNT(Dong5),"",OFFSET(TH!D$1,SMALL(Dong5,ROWS($1:20)),))</f>
        <v>CTGS</v>
      </c>
      <c r="C34" s="411">
        <f ca="1">IF(ROWS($1:20)&gt;COUNT(Dong5),"",OFFSET(TH!E$1,SMALL(Dong5,ROWS($1:20)),))</f>
        <v>42825</v>
      </c>
      <c r="D34" s="412" t="str">
        <f ca="1">IF(ROWS($1:20)&gt;COUNT(Dong5),"",OFFSET(TH!F$1,SMALL(Dong5,ROWS($1:20)),))</f>
        <v>Lương bộ phận sản xuất</v>
      </c>
      <c r="E34" s="411" t="str">
        <f ca="1">IF(ROWS($1:20)&gt;COUNT(Dong5),"",IF(OFFSET(TH!L$1,SMALL(Dong5,ROWS($1:20)),)=$E$7,OFFSET(TH!M$1,SMALL(Dong5,ROWS($1:20)),),OFFSET(TH!L$1,SMALL(Dong5,ROWS($1:20)),)))</f>
        <v>154</v>
      </c>
      <c r="F34" s="413">
        <f ca="1">IF(ROWS($1:20)&gt;COUNT(Dong5),0,IF(OFFSET(TH!L$1,SMALL(Dong5,ROWS($1:20)),)=$E$7,OFFSET(TH!K$1,SMALL(Dong5,ROWS($1:20)),),0))</f>
        <v>0</v>
      </c>
      <c r="G34" s="410">
        <f ca="1">IF(ROWS($1:20)&gt;COUNT(Dong5),0,IF(OFFSET(TH!M$1,SMALL(Dong5,ROWS($1:20)),)=$E$7,OFFSET(TH!K$1,SMALL(Dong5,ROWS($1:20)),),0))</f>
        <v>3937000</v>
      </c>
      <c r="H34" s="414">
        <f t="shared" ca="1" si="2"/>
        <v>0</v>
      </c>
      <c r="I34" s="414">
        <f t="shared" ca="1" si="3"/>
        <v>23774000</v>
      </c>
    </row>
    <row r="35" spans="1:9" s="3" customFormat="1" ht="22.5" customHeight="1">
      <c r="A35" s="411">
        <f ca="1">IF(ROWS($1:21)&gt;COUNT(Dong5),"",OFFSET(TH!C$1,SMALL(Dong5,ROWS($1:21)),))</f>
        <v>42825</v>
      </c>
      <c r="B35" s="411" t="str">
        <f ca="1">IF(ROWS($1:21)&gt;COUNT(Dong5),"",OFFSET(TH!D$1,SMALL(Dong5,ROWS($1:21)),))</f>
        <v>C12</v>
      </c>
      <c r="C35" s="411">
        <f ca="1">IF(ROWS($1:21)&gt;COUNT(Dong5),"",OFFSET(TH!E$1,SMALL(Dong5,ROWS($1:21)),))</f>
        <v>42825</v>
      </c>
      <c r="D35" s="412" t="str">
        <f ca="1">IF(ROWS($1:21)&gt;COUNT(Dong5),"",OFFSET(TH!F$1,SMALL(Dong5,ROWS($1:21)),))</f>
        <v>Thanh toán lương T03/2017</v>
      </c>
      <c r="E35" s="411" t="str">
        <f ca="1">IF(ROWS($1:21)&gt;COUNT(Dong5),"",IF(OFFSET(TH!L$1,SMALL(Dong5,ROWS($1:21)),)=$E$7,OFFSET(TH!M$1,SMALL(Dong5,ROWS($1:21)),),OFFSET(TH!L$1,SMALL(Dong5,ROWS($1:21)),)))</f>
        <v>1111</v>
      </c>
      <c r="F35" s="413">
        <f ca="1">IF(ROWS($1:21)&gt;COUNT(Dong5),0,IF(OFFSET(TH!L$1,SMALL(Dong5,ROWS($1:21)),)=$E$7,OFFSET(TH!K$1,SMALL(Dong5,ROWS($1:21)),),0))</f>
        <v>21277730</v>
      </c>
      <c r="G35" s="410">
        <f ca="1">IF(ROWS($1:21)&gt;COUNT(Dong5),0,IF(OFFSET(TH!M$1,SMALL(Dong5,ROWS($1:21)),)=$E$7,OFFSET(TH!K$1,SMALL(Dong5,ROWS($1:21)),),0))</f>
        <v>0</v>
      </c>
      <c r="H35" s="414">
        <f t="shared" ca="1" si="2"/>
        <v>0</v>
      </c>
      <c r="I35" s="414">
        <f t="shared" ca="1" si="3"/>
        <v>2496270</v>
      </c>
    </row>
    <row r="36" spans="1:9" s="3" customFormat="1" ht="22.5" customHeight="1">
      <c r="A36" s="411">
        <f ca="1">IF(ROWS($1:22)&gt;COUNT(Dong5),"",OFFSET(TH!C$1,SMALL(Dong5,ROWS($1:22)),))</f>
        <v>42825</v>
      </c>
      <c r="B36" s="411" t="str">
        <f ca="1">IF(ROWS($1:22)&gt;COUNT(Dong5),"",OFFSET(TH!D$1,SMALL(Dong5,ROWS($1:22)),))</f>
        <v>CTGS</v>
      </c>
      <c r="C36" s="411">
        <f ca="1">IF(ROWS($1:22)&gt;COUNT(Dong5),"",OFFSET(TH!E$1,SMALL(Dong5,ROWS($1:22)),))</f>
        <v>42825</v>
      </c>
      <c r="D36" s="412" t="str">
        <f ca="1">IF(ROWS($1:22)&gt;COUNT(Dong5),"",OFFSET(TH!F$1,SMALL(Dong5,ROWS($1:22)),))</f>
        <v>BHXH khấu trừ Văn Phòng</v>
      </c>
      <c r="E36" s="411" t="str">
        <f ca="1">IF(ROWS($1:22)&gt;COUNT(Dong5),"",IF(OFFSET(TH!L$1,SMALL(Dong5,ROWS($1:22)),)=$E$7,OFFSET(TH!M$1,SMALL(Dong5,ROWS($1:22)),),OFFSET(TH!L$1,SMALL(Dong5,ROWS($1:22)),)))</f>
        <v>3383</v>
      </c>
      <c r="F36" s="413">
        <f ca="1">IF(ROWS($1:22)&gt;COUNT(Dong5),0,IF(OFFSET(TH!L$1,SMALL(Dong5,ROWS($1:22)),)=$E$7,OFFSET(TH!K$1,SMALL(Dong5,ROWS($1:22)),),0))</f>
        <v>1586960</v>
      </c>
      <c r="G36" s="410">
        <f ca="1">IF(ROWS($1:22)&gt;COUNT(Dong5),0,IF(OFFSET(TH!M$1,SMALL(Dong5,ROWS($1:22)),)=$E$7,OFFSET(TH!K$1,SMALL(Dong5,ROWS($1:22)),),0))</f>
        <v>0</v>
      </c>
      <c r="H36" s="414">
        <f t="shared" ca="1" si="2"/>
        <v>0</v>
      </c>
      <c r="I36" s="414">
        <f t="shared" ca="1" si="3"/>
        <v>909310</v>
      </c>
    </row>
    <row r="37" spans="1:9" s="3" customFormat="1" ht="22.5" customHeight="1">
      <c r="A37" s="411">
        <f ca="1">IF(ROWS($1:23)&gt;COUNT(Dong5),"",OFFSET(TH!C$1,SMALL(Dong5,ROWS($1:23)),))</f>
        <v>42825</v>
      </c>
      <c r="B37" s="411" t="str">
        <f ca="1">IF(ROWS($1:23)&gt;COUNT(Dong5),"",OFFSET(TH!D$1,SMALL(Dong5,ROWS($1:23)),))</f>
        <v>CTGS</v>
      </c>
      <c r="C37" s="411">
        <f ca="1">IF(ROWS($1:23)&gt;COUNT(Dong5),"",OFFSET(TH!E$1,SMALL(Dong5,ROWS($1:23)),))</f>
        <v>42825</v>
      </c>
      <c r="D37" s="412" t="str">
        <f ca="1">IF(ROWS($1:23)&gt;COUNT(Dong5),"",OFFSET(TH!F$1,SMALL(Dong5,ROWS($1:23)),))</f>
        <v>BHXH khấu trừ CN</v>
      </c>
      <c r="E37" s="411" t="str">
        <f ca="1">IF(ROWS($1:23)&gt;COUNT(Dong5),"",IF(OFFSET(TH!L$1,SMALL(Dong5,ROWS($1:23)),)=$E$7,OFFSET(TH!M$1,SMALL(Dong5,ROWS($1:23)),),OFFSET(TH!L$1,SMALL(Dong5,ROWS($1:23)),)))</f>
        <v>3383</v>
      </c>
      <c r="F37" s="413">
        <f ca="1">IF(ROWS($1:23)&gt;COUNT(Dong5),0,IF(OFFSET(TH!L$1,SMALL(Dong5,ROWS($1:23)),)=$E$7,OFFSET(TH!K$1,SMALL(Dong5,ROWS($1:23)),),0))</f>
        <v>314960</v>
      </c>
      <c r="G37" s="410">
        <f ca="1">IF(ROWS($1:23)&gt;COUNT(Dong5),0,IF(OFFSET(TH!M$1,SMALL(Dong5,ROWS($1:23)),)=$E$7,OFFSET(TH!K$1,SMALL(Dong5,ROWS($1:23)),),0))</f>
        <v>0</v>
      </c>
      <c r="H37" s="414">
        <f t="shared" ca="1" si="2"/>
        <v>0</v>
      </c>
      <c r="I37" s="414">
        <f t="shared" ca="1" si="3"/>
        <v>594350</v>
      </c>
    </row>
    <row r="38" spans="1:9" s="3" customFormat="1" ht="22.5" customHeight="1">
      <c r="A38" s="411">
        <f ca="1">IF(ROWS($1:24)&gt;COUNT(Dong5),"",OFFSET(TH!C$1,SMALL(Dong5,ROWS($1:24)),))</f>
        <v>42825</v>
      </c>
      <c r="B38" s="411" t="str">
        <f ca="1">IF(ROWS($1:24)&gt;COUNT(Dong5),"",OFFSET(TH!D$1,SMALL(Dong5,ROWS($1:24)),))</f>
        <v>CTGS</v>
      </c>
      <c r="C38" s="411">
        <f ca="1">IF(ROWS($1:24)&gt;COUNT(Dong5),"",OFFSET(TH!E$1,SMALL(Dong5,ROWS($1:24)),))</f>
        <v>42825</v>
      </c>
      <c r="D38" s="412" t="str">
        <f ca="1">IF(ROWS($1:24)&gt;COUNT(Dong5),"",OFFSET(TH!F$1,SMALL(Dong5,ROWS($1:24)),))</f>
        <v>BHYT khấu trừ Văn Phòng</v>
      </c>
      <c r="E38" s="411" t="str">
        <f ca="1">IF(ROWS($1:24)&gt;COUNT(Dong5),"",IF(OFFSET(TH!L$1,SMALL(Dong5,ROWS($1:24)),)=$E$7,OFFSET(TH!M$1,SMALL(Dong5,ROWS($1:24)),),OFFSET(TH!L$1,SMALL(Dong5,ROWS($1:24)),)))</f>
        <v>3384</v>
      </c>
      <c r="F38" s="413">
        <f ca="1">IF(ROWS($1:24)&gt;COUNT(Dong5),0,IF(OFFSET(TH!L$1,SMALL(Dong5,ROWS($1:24)),)=$E$7,OFFSET(TH!K$1,SMALL(Dong5,ROWS($1:24)),),0))</f>
        <v>297555</v>
      </c>
      <c r="G38" s="410">
        <f ca="1">IF(ROWS($1:24)&gt;COUNT(Dong5),0,IF(OFFSET(TH!M$1,SMALL(Dong5,ROWS($1:24)),)=$E$7,OFFSET(TH!K$1,SMALL(Dong5,ROWS($1:24)),),0))</f>
        <v>0</v>
      </c>
      <c r="H38" s="414">
        <f t="shared" ca="1" si="2"/>
        <v>0</v>
      </c>
      <c r="I38" s="414">
        <f t="shared" ca="1" si="3"/>
        <v>296795</v>
      </c>
    </row>
    <row r="39" spans="1:9" s="3" customFormat="1" ht="22.5" customHeight="1">
      <c r="A39" s="411">
        <f ca="1">IF(ROWS($1:25)&gt;COUNT(Dong5),"",OFFSET(TH!C$1,SMALL(Dong5,ROWS($1:25)),))</f>
        <v>42825</v>
      </c>
      <c r="B39" s="411" t="str">
        <f ca="1">IF(ROWS($1:25)&gt;COUNT(Dong5),"",OFFSET(TH!D$1,SMALL(Dong5,ROWS($1:25)),))</f>
        <v>CTGS</v>
      </c>
      <c r="C39" s="411">
        <f ca="1">IF(ROWS($1:25)&gt;COUNT(Dong5),"",OFFSET(TH!E$1,SMALL(Dong5,ROWS($1:25)),))</f>
        <v>42825</v>
      </c>
      <c r="D39" s="412" t="str">
        <f ca="1">IF(ROWS($1:25)&gt;COUNT(Dong5),"",OFFSET(TH!F$1,SMALL(Dong5,ROWS($1:25)),))</f>
        <v>BHYT khấu trừ CN</v>
      </c>
      <c r="E39" s="411" t="str">
        <f ca="1">IF(ROWS($1:25)&gt;COUNT(Dong5),"",IF(OFFSET(TH!L$1,SMALL(Dong5,ROWS($1:25)),)=$E$7,OFFSET(TH!M$1,SMALL(Dong5,ROWS($1:25)),),OFFSET(TH!L$1,SMALL(Dong5,ROWS($1:25)),)))</f>
        <v>3384</v>
      </c>
      <c r="F39" s="413">
        <f ca="1">IF(ROWS($1:25)&gt;COUNT(Dong5),0,IF(OFFSET(TH!L$1,SMALL(Dong5,ROWS($1:25)),)=$E$7,OFFSET(TH!K$1,SMALL(Dong5,ROWS($1:25)),),0))</f>
        <v>59055</v>
      </c>
      <c r="G39" s="410">
        <f ca="1">IF(ROWS($1:25)&gt;COUNT(Dong5),0,IF(OFFSET(TH!M$1,SMALL(Dong5,ROWS($1:25)),)=$E$7,OFFSET(TH!K$1,SMALL(Dong5,ROWS($1:25)),),0))</f>
        <v>0</v>
      </c>
      <c r="H39" s="414">
        <f t="shared" ca="1" si="2"/>
        <v>0</v>
      </c>
      <c r="I39" s="414">
        <f t="shared" ca="1" si="3"/>
        <v>237740</v>
      </c>
    </row>
    <row r="40" spans="1:9" s="3" customFormat="1" ht="22.5" customHeight="1">
      <c r="A40" s="411">
        <f ca="1">IF(ROWS($1:26)&gt;COUNT(Dong5),"",OFFSET(TH!C$1,SMALL(Dong5,ROWS($1:26)),))</f>
        <v>42825</v>
      </c>
      <c r="B40" s="411" t="str">
        <f ca="1">IF(ROWS($1:26)&gt;COUNT(Dong5),"",OFFSET(TH!D$1,SMALL(Dong5,ROWS($1:26)),))</f>
        <v>CTGS</v>
      </c>
      <c r="C40" s="411">
        <f ca="1">IF(ROWS($1:26)&gt;COUNT(Dong5),"",OFFSET(TH!E$1,SMALL(Dong5,ROWS($1:26)),))</f>
        <v>42825</v>
      </c>
      <c r="D40" s="412" t="str">
        <f ca="1">IF(ROWS($1:26)&gt;COUNT(Dong5),"",OFFSET(TH!F$1,SMALL(Dong5,ROWS($1:26)),))</f>
        <v>BHTN khấu trừ Văn Phòng</v>
      </c>
      <c r="E40" s="411" t="str">
        <f ca="1">IF(ROWS($1:26)&gt;COUNT(Dong5),"",IF(OFFSET(TH!L$1,SMALL(Dong5,ROWS($1:26)),)=$E$7,OFFSET(TH!M$1,SMALL(Dong5,ROWS($1:26)),),OFFSET(TH!L$1,SMALL(Dong5,ROWS($1:26)),)))</f>
        <v>3386</v>
      </c>
      <c r="F40" s="413">
        <f ca="1">IF(ROWS($1:26)&gt;COUNT(Dong5),0,IF(OFFSET(TH!L$1,SMALL(Dong5,ROWS($1:26)),)=$E$7,OFFSET(TH!K$1,SMALL(Dong5,ROWS($1:26)),),0))</f>
        <v>198370</v>
      </c>
      <c r="G40" s="410">
        <f ca="1">IF(ROWS($1:26)&gt;COUNT(Dong5),0,IF(OFFSET(TH!M$1,SMALL(Dong5,ROWS($1:26)),)=$E$7,OFFSET(TH!K$1,SMALL(Dong5,ROWS($1:26)),),0))</f>
        <v>0</v>
      </c>
      <c r="H40" s="414">
        <f t="shared" ca="1" si="2"/>
        <v>0</v>
      </c>
      <c r="I40" s="414">
        <f t="shared" ca="1" si="3"/>
        <v>39370</v>
      </c>
    </row>
    <row r="41" spans="1:9" s="3" customFormat="1" ht="22.5" customHeight="1">
      <c r="A41" s="411">
        <f ca="1">IF(ROWS($1:27)&gt;COUNT(Dong5),"",OFFSET(TH!C$1,SMALL(Dong5,ROWS($1:27)),))</f>
        <v>42825</v>
      </c>
      <c r="B41" s="411" t="str">
        <f ca="1">IF(ROWS($1:27)&gt;COUNT(Dong5),"",OFFSET(TH!D$1,SMALL(Dong5,ROWS($1:27)),))</f>
        <v>CTGS</v>
      </c>
      <c r="C41" s="411">
        <f ca="1">IF(ROWS($1:27)&gt;COUNT(Dong5),"",OFFSET(TH!E$1,SMALL(Dong5,ROWS($1:27)),))</f>
        <v>42825</v>
      </c>
      <c r="D41" s="412" t="str">
        <f ca="1">IF(ROWS($1:27)&gt;COUNT(Dong5),"",OFFSET(TH!F$1,SMALL(Dong5,ROWS($1:27)),))</f>
        <v>BHTN khấu trừ  CN</v>
      </c>
      <c r="E41" s="411" t="str">
        <f ca="1">IF(ROWS($1:27)&gt;COUNT(Dong5),"",IF(OFFSET(TH!L$1,SMALL(Dong5,ROWS($1:27)),)=$E$7,OFFSET(TH!M$1,SMALL(Dong5,ROWS($1:27)),),OFFSET(TH!L$1,SMALL(Dong5,ROWS($1:27)),)))</f>
        <v>3386</v>
      </c>
      <c r="F41" s="413">
        <f ca="1">IF(ROWS($1:27)&gt;COUNT(Dong5),0,IF(OFFSET(TH!L$1,SMALL(Dong5,ROWS($1:27)),)=$E$7,OFFSET(TH!K$1,SMALL(Dong5,ROWS($1:27)),),0))</f>
        <v>39370</v>
      </c>
      <c r="G41" s="410">
        <f ca="1">IF(ROWS($1:27)&gt;COUNT(Dong5),0,IF(OFFSET(TH!M$1,SMALL(Dong5,ROWS($1:27)),)=$E$7,OFFSET(TH!K$1,SMALL(Dong5,ROWS($1:27)),),0))</f>
        <v>0</v>
      </c>
      <c r="H41" s="414">
        <f t="shared" ca="1" si="2"/>
        <v>0</v>
      </c>
      <c r="I41" s="414">
        <f t="shared" ca="1" si="3"/>
        <v>0</v>
      </c>
    </row>
    <row r="42" spans="1:9" s="3" customFormat="1" ht="22.5" customHeight="1">
      <c r="A42" s="411">
        <f ca="1">IF(ROWS($1:28)&gt;COUNT(Dong5),"",OFFSET(TH!C$1,SMALL(Dong5,ROWS($1:28)),))</f>
        <v>42854</v>
      </c>
      <c r="B42" s="411" t="str">
        <f ca="1">IF(ROWS($1:28)&gt;COUNT(Dong5),"",OFFSET(TH!D$1,SMALL(Dong5,ROWS($1:28)),))</f>
        <v>CTGS</v>
      </c>
      <c r="C42" s="411">
        <f ca="1">IF(ROWS($1:28)&gt;COUNT(Dong5),"",OFFSET(TH!E$1,SMALL(Dong5,ROWS($1:28)),))</f>
        <v>42854</v>
      </c>
      <c r="D42" s="412" t="str">
        <f ca="1">IF(ROWS($1:28)&gt;COUNT(Dong5),"",OFFSET(TH!F$1,SMALL(Dong5,ROWS($1:28)),))</f>
        <v>Lương bộ phận quản lý</v>
      </c>
      <c r="E42" s="411" t="str">
        <f ca="1">IF(ROWS($1:28)&gt;COUNT(Dong5),"",IF(OFFSET(TH!L$1,SMALL(Dong5,ROWS($1:28)),)=$E$7,OFFSET(TH!M$1,SMALL(Dong5,ROWS($1:28)),),OFFSET(TH!L$1,SMALL(Dong5,ROWS($1:28)),)))</f>
        <v>642</v>
      </c>
      <c r="F42" s="413">
        <f ca="1">IF(ROWS($1:28)&gt;COUNT(Dong5),0,IF(OFFSET(TH!L$1,SMALL(Dong5,ROWS($1:28)),)=$E$7,OFFSET(TH!K$1,SMALL(Dong5,ROWS($1:28)),),0))</f>
        <v>0</v>
      </c>
      <c r="G42" s="410">
        <f ca="1">IF(ROWS($1:28)&gt;COUNT(Dong5),0,IF(OFFSET(TH!M$1,SMALL(Dong5,ROWS($1:28)),)=$E$7,OFFSET(TH!K$1,SMALL(Dong5,ROWS($1:28)),),0))</f>
        <v>7949500</v>
      </c>
      <c r="H42" s="414">
        <f t="shared" ca="1" si="2"/>
        <v>0</v>
      </c>
      <c r="I42" s="414">
        <f t="shared" ca="1" si="3"/>
        <v>7949500</v>
      </c>
    </row>
    <row r="43" spans="1:9" s="3" customFormat="1" ht="22.5" customHeight="1">
      <c r="A43" s="411">
        <f ca="1">IF(ROWS($1:29)&gt;COUNT(Dong5),"",OFFSET(TH!C$1,SMALL(Dong5,ROWS($1:29)),))</f>
        <v>42854</v>
      </c>
      <c r="B43" s="411" t="str">
        <f ca="1">IF(ROWS($1:29)&gt;COUNT(Dong5),"",OFFSET(TH!D$1,SMALL(Dong5,ROWS($1:29)),))</f>
        <v>CTGS</v>
      </c>
      <c r="C43" s="411">
        <f ca="1">IF(ROWS($1:29)&gt;COUNT(Dong5),"",OFFSET(TH!E$1,SMALL(Dong5,ROWS($1:29)),))</f>
        <v>42854</v>
      </c>
      <c r="D43" s="412" t="str">
        <f ca="1">IF(ROWS($1:29)&gt;COUNT(Dong5),"",OFFSET(TH!F$1,SMALL(Dong5,ROWS($1:29)),))</f>
        <v>Lương bộ phận sản xuất</v>
      </c>
      <c r="E43" s="411" t="str">
        <f ca="1">IF(ROWS($1:29)&gt;COUNT(Dong5),"",IF(OFFSET(TH!L$1,SMALL(Dong5,ROWS($1:29)),)=$E$7,OFFSET(TH!M$1,SMALL(Dong5,ROWS($1:29)),),OFFSET(TH!L$1,SMALL(Dong5,ROWS($1:29)),)))</f>
        <v>154</v>
      </c>
      <c r="F43" s="413">
        <f ca="1">IF(ROWS($1:29)&gt;COUNT(Dong5),0,IF(OFFSET(TH!L$1,SMALL(Dong5,ROWS($1:29)),)=$E$7,OFFSET(TH!K$1,SMALL(Dong5,ROWS($1:29)),),0))</f>
        <v>0</v>
      </c>
      <c r="G43" s="410">
        <f ca="1">IF(ROWS($1:29)&gt;COUNT(Dong5),0,IF(OFFSET(TH!M$1,SMALL(Dong5,ROWS($1:29)),)=$E$7,OFFSET(TH!K$1,SMALL(Dong5,ROWS($1:29)),),0))</f>
        <v>3937000</v>
      </c>
      <c r="H43" s="414">
        <f t="shared" ca="1" si="2"/>
        <v>0</v>
      </c>
      <c r="I43" s="414">
        <f t="shared" ca="1" si="3"/>
        <v>11886500</v>
      </c>
    </row>
    <row r="44" spans="1:9" s="3" customFormat="1" ht="22.5" customHeight="1">
      <c r="A44" s="411">
        <f ca="1">IF(ROWS($1:30)&gt;COUNT(Dong5),"",OFFSET(TH!C$1,SMALL(Dong5,ROWS($1:30)),))</f>
        <v>42854</v>
      </c>
      <c r="B44" s="411" t="str">
        <f ca="1">IF(ROWS($1:30)&gt;COUNT(Dong5),"",OFFSET(TH!D$1,SMALL(Dong5,ROWS($1:30)),))</f>
        <v>C12</v>
      </c>
      <c r="C44" s="411">
        <f ca="1">IF(ROWS($1:30)&gt;COUNT(Dong5),"",OFFSET(TH!E$1,SMALL(Dong5,ROWS($1:30)),))</f>
        <v>42854</v>
      </c>
      <c r="D44" s="412" t="str">
        <f ca="1">IF(ROWS($1:30)&gt;COUNT(Dong5),"",OFFSET(TH!F$1,SMALL(Dong5,ROWS($1:30)),))</f>
        <v>Thanh toán lương T04/2017</v>
      </c>
      <c r="E44" s="411" t="str">
        <f ca="1">IF(ROWS($1:30)&gt;COUNT(Dong5),"",IF(OFFSET(TH!L$1,SMALL(Dong5,ROWS($1:30)),)=$E$7,OFFSET(TH!M$1,SMALL(Dong5,ROWS($1:30)),),OFFSET(TH!L$1,SMALL(Dong5,ROWS($1:30)),)))</f>
        <v>1111</v>
      </c>
      <c r="F44" s="413">
        <f ca="1">IF(ROWS($1:30)&gt;COUNT(Dong5),0,IF(OFFSET(TH!L$1,SMALL(Dong5,ROWS($1:30)),)=$E$7,OFFSET(TH!K$1,SMALL(Dong5,ROWS($1:30)),),0))</f>
        <v>10638417</v>
      </c>
      <c r="G44" s="410">
        <f ca="1">IF(ROWS($1:30)&gt;COUNT(Dong5),0,IF(OFFSET(TH!M$1,SMALL(Dong5,ROWS($1:30)),)=$E$7,OFFSET(TH!K$1,SMALL(Dong5,ROWS($1:30)),),0))</f>
        <v>0</v>
      </c>
      <c r="H44" s="414">
        <f t="shared" ca="1" si="2"/>
        <v>0</v>
      </c>
      <c r="I44" s="414">
        <f t="shared" ca="1" si="3"/>
        <v>1248083</v>
      </c>
    </row>
    <row r="45" spans="1:9" s="3" customFormat="1" ht="22.5" customHeight="1">
      <c r="A45" s="411">
        <f ca="1">IF(ROWS($1:31)&gt;COUNT(Dong5),"",OFFSET(TH!C$1,SMALL(Dong5,ROWS($1:31)),))</f>
        <v>42854</v>
      </c>
      <c r="B45" s="411" t="str">
        <f ca="1">IF(ROWS($1:31)&gt;COUNT(Dong5),"",OFFSET(TH!D$1,SMALL(Dong5,ROWS($1:31)),))</f>
        <v>CTGS</v>
      </c>
      <c r="C45" s="411">
        <f ca="1">IF(ROWS($1:31)&gt;COUNT(Dong5),"",OFFSET(TH!E$1,SMALL(Dong5,ROWS($1:31)),))</f>
        <v>42854</v>
      </c>
      <c r="D45" s="412" t="str">
        <f ca="1">IF(ROWS($1:31)&gt;COUNT(Dong5),"",OFFSET(TH!F$1,SMALL(Dong5,ROWS($1:31)),))</f>
        <v>BHXH khấu trừ Văn Phòng</v>
      </c>
      <c r="E45" s="411" t="str">
        <f ca="1">IF(ROWS($1:31)&gt;COUNT(Dong5),"",IF(OFFSET(TH!L$1,SMALL(Dong5,ROWS($1:31)),)=$E$7,OFFSET(TH!M$1,SMALL(Dong5,ROWS($1:31)),),OFFSET(TH!L$1,SMALL(Dong5,ROWS($1:31)),)))</f>
        <v>3383</v>
      </c>
      <c r="F45" s="413">
        <f ca="1">IF(ROWS($1:31)&gt;COUNT(Dong5),0,IF(OFFSET(TH!L$1,SMALL(Dong5,ROWS($1:31)),)=$E$7,OFFSET(TH!K$1,SMALL(Dong5,ROWS($1:31)),),0))</f>
        <v>635960</v>
      </c>
      <c r="G45" s="410">
        <f ca="1">IF(ROWS($1:31)&gt;COUNT(Dong5),0,IF(OFFSET(TH!M$1,SMALL(Dong5,ROWS($1:31)),)=$E$7,OFFSET(TH!K$1,SMALL(Dong5,ROWS($1:31)),),0))</f>
        <v>0</v>
      </c>
      <c r="H45" s="414">
        <f t="shared" ca="1" si="2"/>
        <v>0</v>
      </c>
      <c r="I45" s="414">
        <f t="shared" ca="1" si="3"/>
        <v>612123</v>
      </c>
    </row>
    <row r="46" spans="1:9" s="3" customFormat="1" ht="22.5" customHeight="1">
      <c r="A46" s="411">
        <f ca="1">IF(ROWS($1:32)&gt;COUNT(Dong5),"",OFFSET(TH!C$1,SMALL(Dong5,ROWS($1:32)),))</f>
        <v>42854</v>
      </c>
      <c r="B46" s="411" t="str">
        <f ca="1">IF(ROWS($1:32)&gt;COUNT(Dong5),"",OFFSET(TH!D$1,SMALL(Dong5,ROWS($1:32)),))</f>
        <v>CTGS</v>
      </c>
      <c r="C46" s="411">
        <f ca="1">IF(ROWS($1:32)&gt;COUNT(Dong5),"",OFFSET(TH!E$1,SMALL(Dong5,ROWS($1:32)),))</f>
        <v>42854</v>
      </c>
      <c r="D46" s="412" t="str">
        <f ca="1">IF(ROWS($1:32)&gt;COUNT(Dong5),"",OFFSET(TH!F$1,SMALL(Dong5,ROWS($1:32)),))</f>
        <v>BHXH khấu trừ CN</v>
      </c>
      <c r="E46" s="411" t="str">
        <f ca="1">IF(ROWS($1:32)&gt;COUNT(Dong5),"",IF(OFFSET(TH!L$1,SMALL(Dong5,ROWS($1:32)),)=$E$7,OFFSET(TH!M$1,SMALL(Dong5,ROWS($1:32)),),OFFSET(TH!L$1,SMALL(Dong5,ROWS($1:32)),)))</f>
        <v>3383</v>
      </c>
      <c r="F46" s="413">
        <f ca="1">IF(ROWS($1:32)&gt;COUNT(Dong5),0,IF(OFFSET(TH!L$1,SMALL(Dong5,ROWS($1:32)),)=$E$7,OFFSET(TH!K$1,SMALL(Dong5,ROWS($1:32)),),0))</f>
        <v>314960</v>
      </c>
      <c r="G46" s="410">
        <f ca="1">IF(ROWS($1:32)&gt;COUNT(Dong5),0,IF(OFFSET(TH!M$1,SMALL(Dong5,ROWS($1:32)),)=$E$7,OFFSET(TH!K$1,SMALL(Dong5,ROWS($1:32)),),0))</f>
        <v>0</v>
      </c>
      <c r="H46" s="414">
        <f t="shared" ca="1" si="2"/>
        <v>0</v>
      </c>
      <c r="I46" s="414">
        <f t="shared" ca="1" si="3"/>
        <v>297163</v>
      </c>
    </row>
    <row r="47" spans="1:9" s="3" customFormat="1" ht="22.5" customHeight="1">
      <c r="A47" s="411">
        <f ca="1">IF(ROWS($1:33)&gt;COUNT(Dong5),"",OFFSET(TH!C$1,SMALL(Dong5,ROWS($1:33)),))</f>
        <v>42854</v>
      </c>
      <c r="B47" s="411" t="str">
        <f ca="1">IF(ROWS($1:33)&gt;COUNT(Dong5),"",OFFSET(TH!D$1,SMALL(Dong5,ROWS($1:33)),))</f>
        <v>CTGS</v>
      </c>
      <c r="C47" s="411">
        <f ca="1">IF(ROWS($1:33)&gt;COUNT(Dong5),"",OFFSET(TH!E$1,SMALL(Dong5,ROWS($1:33)),))</f>
        <v>42854</v>
      </c>
      <c r="D47" s="412" t="str">
        <f ca="1">IF(ROWS($1:33)&gt;COUNT(Dong5),"",OFFSET(TH!F$1,SMALL(Dong5,ROWS($1:33)),))</f>
        <v>BHYT khấu trừ Văn Phòng</v>
      </c>
      <c r="E47" s="411" t="str">
        <f ca="1">IF(ROWS($1:33)&gt;COUNT(Dong5),"",IF(OFFSET(TH!L$1,SMALL(Dong5,ROWS($1:33)),)=$E$7,OFFSET(TH!M$1,SMALL(Dong5,ROWS($1:33)),),OFFSET(TH!L$1,SMALL(Dong5,ROWS($1:33)),)))</f>
        <v>3384</v>
      </c>
      <c r="F47" s="413">
        <f ca="1">IF(ROWS($1:33)&gt;COUNT(Dong5),0,IF(OFFSET(TH!L$1,SMALL(Dong5,ROWS($1:33)),)=$E$7,OFFSET(TH!K$1,SMALL(Dong5,ROWS($1:33)),),0))</f>
        <v>119243</v>
      </c>
      <c r="G47" s="410">
        <f ca="1">IF(ROWS($1:33)&gt;COUNT(Dong5),0,IF(OFFSET(TH!M$1,SMALL(Dong5,ROWS($1:33)),)=$E$7,OFFSET(TH!K$1,SMALL(Dong5,ROWS($1:33)),),0))</f>
        <v>0</v>
      </c>
      <c r="H47" s="414">
        <f t="shared" ca="1" si="2"/>
        <v>0</v>
      </c>
      <c r="I47" s="414">
        <f t="shared" ca="1" si="3"/>
        <v>177920</v>
      </c>
    </row>
    <row r="48" spans="1:9" s="3" customFormat="1" ht="22.5" customHeight="1">
      <c r="A48" s="411">
        <f ca="1">IF(ROWS($1:34)&gt;COUNT(Dong5),"",OFFSET(TH!C$1,SMALL(Dong5,ROWS($1:34)),))</f>
        <v>42854</v>
      </c>
      <c r="B48" s="411" t="str">
        <f ca="1">IF(ROWS($1:34)&gt;COUNT(Dong5),"",OFFSET(TH!D$1,SMALL(Dong5,ROWS($1:34)),))</f>
        <v>CTGS</v>
      </c>
      <c r="C48" s="411">
        <f ca="1">IF(ROWS($1:34)&gt;COUNT(Dong5),"",OFFSET(TH!E$1,SMALL(Dong5,ROWS($1:34)),))</f>
        <v>42854</v>
      </c>
      <c r="D48" s="412" t="str">
        <f ca="1">IF(ROWS($1:34)&gt;COUNT(Dong5),"",OFFSET(TH!F$1,SMALL(Dong5,ROWS($1:34)),))</f>
        <v>BHYT khấu trừ CN</v>
      </c>
      <c r="E48" s="411" t="str">
        <f ca="1">IF(ROWS($1:34)&gt;COUNT(Dong5),"",IF(OFFSET(TH!L$1,SMALL(Dong5,ROWS($1:34)),)=$E$7,OFFSET(TH!M$1,SMALL(Dong5,ROWS($1:34)),),OFFSET(TH!L$1,SMALL(Dong5,ROWS($1:34)),)))</f>
        <v>3384</v>
      </c>
      <c r="F48" s="413">
        <f ca="1">IF(ROWS($1:34)&gt;COUNT(Dong5),0,IF(OFFSET(TH!L$1,SMALL(Dong5,ROWS($1:34)),)=$E$7,OFFSET(TH!K$1,SMALL(Dong5,ROWS($1:34)),),0))</f>
        <v>59055</v>
      </c>
      <c r="G48" s="410">
        <f ca="1">IF(ROWS($1:34)&gt;COUNT(Dong5),0,IF(OFFSET(TH!M$1,SMALL(Dong5,ROWS($1:34)),)=$E$7,OFFSET(TH!K$1,SMALL(Dong5,ROWS($1:34)),),0))</f>
        <v>0</v>
      </c>
      <c r="H48" s="414">
        <f t="shared" ca="1" si="2"/>
        <v>0</v>
      </c>
      <c r="I48" s="414">
        <f t="shared" ca="1" si="3"/>
        <v>118865</v>
      </c>
    </row>
    <row r="49" spans="1:9" s="3" customFormat="1" ht="22.5" customHeight="1">
      <c r="A49" s="411">
        <f ca="1">IF(ROWS($1:35)&gt;COUNT(Dong5),"",OFFSET(TH!C$1,SMALL(Dong5,ROWS($1:35)),))</f>
        <v>42854</v>
      </c>
      <c r="B49" s="411" t="str">
        <f ca="1">IF(ROWS($1:35)&gt;COUNT(Dong5),"",OFFSET(TH!D$1,SMALL(Dong5,ROWS($1:35)),))</f>
        <v>CTGS</v>
      </c>
      <c r="C49" s="411">
        <f ca="1">IF(ROWS($1:35)&gt;COUNT(Dong5),"",OFFSET(TH!E$1,SMALL(Dong5,ROWS($1:35)),))</f>
        <v>42854</v>
      </c>
      <c r="D49" s="412" t="str">
        <f ca="1">IF(ROWS($1:35)&gt;COUNT(Dong5),"",OFFSET(TH!F$1,SMALL(Dong5,ROWS($1:35)),))</f>
        <v>BHTN khấu trừ Văn Phòng</v>
      </c>
      <c r="E49" s="411" t="str">
        <f ca="1">IF(ROWS($1:35)&gt;COUNT(Dong5),"",IF(OFFSET(TH!L$1,SMALL(Dong5,ROWS($1:35)),)=$E$7,OFFSET(TH!M$1,SMALL(Dong5,ROWS($1:35)),),OFFSET(TH!L$1,SMALL(Dong5,ROWS($1:35)),)))</f>
        <v>3386</v>
      </c>
      <c r="F49" s="413">
        <f ca="1">IF(ROWS($1:35)&gt;COUNT(Dong5),0,IF(OFFSET(TH!L$1,SMALL(Dong5,ROWS($1:35)),)=$E$7,OFFSET(TH!K$1,SMALL(Dong5,ROWS($1:35)),),0))</f>
        <v>79495</v>
      </c>
      <c r="G49" s="410">
        <f ca="1">IF(ROWS($1:35)&gt;COUNT(Dong5),0,IF(OFFSET(TH!M$1,SMALL(Dong5,ROWS($1:35)),)=$E$7,OFFSET(TH!K$1,SMALL(Dong5,ROWS($1:35)),),0))</f>
        <v>0</v>
      </c>
      <c r="H49" s="414">
        <f t="shared" ca="1" si="2"/>
        <v>0</v>
      </c>
      <c r="I49" s="414">
        <f t="shared" ca="1" si="3"/>
        <v>39370</v>
      </c>
    </row>
    <row r="50" spans="1:9" s="3" customFormat="1" ht="22.5" customHeight="1">
      <c r="A50" s="411">
        <f ca="1">IF(ROWS($1:36)&gt;COUNT(Dong5),"",OFFSET(TH!C$1,SMALL(Dong5,ROWS($1:36)),))</f>
        <v>42854</v>
      </c>
      <c r="B50" s="411" t="str">
        <f ca="1">IF(ROWS($1:36)&gt;COUNT(Dong5),"",OFFSET(TH!D$1,SMALL(Dong5,ROWS($1:36)),))</f>
        <v>CTGS</v>
      </c>
      <c r="C50" s="411">
        <f ca="1">IF(ROWS($1:36)&gt;COUNT(Dong5),"",OFFSET(TH!E$1,SMALL(Dong5,ROWS($1:36)),))</f>
        <v>42854</v>
      </c>
      <c r="D50" s="412" t="str">
        <f ca="1">IF(ROWS($1:36)&gt;COUNT(Dong5),"",OFFSET(TH!F$1,SMALL(Dong5,ROWS($1:36)),))</f>
        <v>BHTN khấu trừ  CN</v>
      </c>
      <c r="E50" s="411" t="str">
        <f ca="1">IF(ROWS($1:36)&gt;COUNT(Dong5),"",IF(OFFSET(TH!L$1,SMALL(Dong5,ROWS($1:36)),)=$E$7,OFFSET(TH!M$1,SMALL(Dong5,ROWS($1:36)),),OFFSET(TH!L$1,SMALL(Dong5,ROWS($1:36)),)))</f>
        <v>3386</v>
      </c>
      <c r="F50" s="413">
        <f ca="1">IF(ROWS($1:36)&gt;COUNT(Dong5),0,IF(OFFSET(TH!L$1,SMALL(Dong5,ROWS($1:36)),)=$E$7,OFFSET(TH!K$1,SMALL(Dong5,ROWS($1:36)),),0))</f>
        <v>39370</v>
      </c>
      <c r="G50" s="410">
        <f ca="1">IF(ROWS($1:36)&gt;COUNT(Dong5),0,IF(OFFSET(TH!M$1,SMALL(Dong5,ROWS($1:36)),)=$E$7,OFFSET(TH!K$1,SMALL(Dong5,ROWS($1:36)),),0))</f>
        <v>0</v>
      </c>
      <c r="H50" s="178">
        <f t="shared" ca="1" si="2"/>
        <v>0</v>
      </c>
      <c r="I50" s="414">
        <f t="shared" ca="1" si="3"/>
        <v>0</v>
      </c>
    </row>
    <row r="51" spans="1:9" s="3" customFormat="1" ht="22.5" customHeight="1">
      <c r="A51" s="411">
        <f ca="1">IF(ROWS($1:37)&gt;COUNT(Dong5),"",OFFSET(TH!C$1,SMALL(Dong5,ROWS($1:37)),))</f>
        <v>42886</v>
      </c>
      <c r="B51" s="411" t="str">
        <f ca="1">IF(ROWS($1:37)&gt;COUNT(Dong5),"",OFFSET(TH!D$1,SMALL(Dong5,ROWS($1:37)),))</f>
        <v>CTGS</v>
      </c>
      <c r="C51" s="411">
        <f ca="1">IF(ROWS($1:37)&gt;COUNT(Dong5),"",OFFSET(TH!E$1,SMALL(Dong5,ROWS($1:37)),))</f>
        <v>42886</v>
      </c>
      <c r="D51" s="412" t="str">
        <f ca="1">IF(ROWS($1:37)&gt;COUNT(Dong5),"",OFFSET(TH!F$1,SMALL(Dong5,ROWS($1:37)),))</f>
        <v>Lương bộ phận quản lý</v>
      </c>
      <c r="E51" s="411" t="str">
        <f ca="1">IF(ROWS($1:37)&gt;COUNT(Dong5),"",IF(OFFSET(TH!L$1,SMALL(Dong5,ROWS($1:37)),)=$E$7,OFFSET(TH!M$1,SMALL(Dong5,ROWS($1:37)),),OFFSET(TH!L$1,SMALL(Dong5,ROWS($1:37)),)))</f>
        <v>642</v>
      </c>
      <c r="F51" s="413">
        <f ca="1">IF(ROWS($1:37)&gt;COUNT(Dong5),0,IF(OFFSET(TH!L$1,SMALL(Dong5,ROWS($1:37)),)=$E$7,OFFSET(TH!K$1,SMALL(Dong5,ROWS($1:37)),),0))</f>
        <v>0</v>
      </c>
      <c r="G51" s="410">
        <f ca="1">IF(ROWS($1:37)&gt;COUNT(Dong5),0,IF(OFFSET(TH!M$1,SMALL(Dong5,ROWS($1:37)),)=$E$7,OFFSET(TH!K$1,SMALL(Dong5,ROWS($1:37)),),0))</f>
        <v>7949500</v>
      </c>
      <c r="H51" s="414">
        <f t="shared" ca="1" si="2"/>
        <v>0</v>
      </c>
      <c r="I51" s="414">
        <f t="shared" ca="1" si="3"/>
        <v>7949500</v>
      </c>
    </row>
    <row r="52" spans="1:9" s="3" customFormat="1" ht="22.5" customHeight="1">
      <c r="A52" s="411">
        <f ca="1">IF(ROWS($1:38)&gt;COUNT(Dong5),"",OFFSET(TH!C$1,SMALL(Dong5,ROWS($1:38)),))</f>
        <v>42886</v>
      </c>
      <c r="B52" s="411" t="str">
        <f ca="1">IF(ROWS($1:38)&gt;COUNT(Dong5),"",OFFSET(TH!D$1,SMALL(Dong5,ROWS($1:38)),))</f>
        <v>CTGS</v>
      </c>
      <c r="C52" s="411">
        <f ca="1">IF(ROWS($1:38)&gt;COUNT(Dong5),"",OFFSET(TH!E$1,SMALL(Dong5,ROWS($1:38)),))</f>
        <v>42886</v>
      </c>
      <c r="D52" s="412" t="str">
        <f ca="1">IF(ROWS($1:38)&gt;COUNT(Dong5),"",OFFSET(TH!F$1,SMALL(Dong5,ROWS($1:38)),))</f>
        <v>Lương bộ phận sản xuất</v>
      </c>
      <c r="E52" s="411" t="str">
        <f ca="1">IF(ROWS($1:38)&gt;COUNT(Dong5),"",IF(OFFSET(TH!L$1,SMALL(Dong5,ROWS($1:38)),)=$E$7,OFFSET(TH!M$1,SMALL(Dong5,ROWS($1:38)),),OFFSET(TH!L$1,SMALL(Dong5,ROWS($1:38)),)))</f>
        <v>154</v>
      </c>
      <c r="F52" s="413">
        <f ca="1">IF(ROWS($1:38)&gt;COUNT(Dong5),0,IF(OFFSET(TH!L$1,SMALL(Dong5,ROWS($1:38)),)=$E$7,OFFSET(TH!K$1,SMALL(Dong5,ROWS($1:38)),),0))</f>
        <v>0</v>
      </c>
      <c r="G52" s="410">
        <f ca="1">IF(ROWS($1:38)&gt;COUNT(Dong5),0,IF(OFFSET(TH!M$1,SMALL(Dong5,ROWS($1:38)),)=$E$7,OFFSET(TH!K$1,SMALL(Dong5,ROWS($1:38)),),0))</f>
        <v>3937000</v>
      </c>
      <c r="H52" s="414">
        <f t="shared" ca="1" si="2"/>
        <v>0</v>
      </c>
      <c r="I52" s="414">
        <f t="shared" ca="1" si="3"/>
        <v>11886500</v>
      </c>
    </row>
    <row r="53" spans="1:9" s="3" customFormat="1" ht="22.5" customHeight="1">
      <c r="A53" s="411">
        <f ca="1">IF(ROWS($1:39)&gt;COUNT(Dong5),"",OFFSET(TH!C$1,SMALL(Dong5,ROWS($1:39)),))</f>
        <v>42886</v>
      </c>
      <c r="B53" s="411" t="str">
        <f ca="1">IF(ROWS($1:39)&gt;COUNT(Dong5),"",OFFSET(TH!D$1,SMALL(Dong5,ROWS($1:39)),))</f>
        <v>C12</v>
      </c>
      <c r="C53" s="411">
        <f ca="1">IF(ROWS($1:39)&gt;COUNT(Dong5),"",OFFSET(TH!E$1,SMALL(Dong5,ROWS($1:39)),))</f>
        <v>42886</v>
      </c>
      <c r="D53" s="412" t="str">
        <f ca="1">IF(ROWS($1:39)&gt;COUNT(Dong5),"",OFFSET(TH!F$1,SMALL(Dong5,ROWS($1:39)),))</f>
        <v>Thanh toán lương T05/2017</v>
      </c>
      <c r="E53" s="411" t="str">
        <f ca="1">IF(ROWS($1:39)&gt;COUNT(Dong5),"",IF(OFFSET(TH!L$1,SMALL(Dong5,ROWS($1:39)),)=$E$7,OFFSET(TH!M$1,SMALL(Dong5,ROWS($1:39)),),OFFSET(TH!L$1,SMALL(Dong5,ROWS($1:39)),)))</f>
        <v>1111</v>
      </c>
      <c r="F53" s="413">
        <f ca="1">IF(ROWS($1:39)&gt;COUNT(Dong5),0,IF(OFFSET(TH!L$1,SMALL(Dong5,ROWS($1:39)),)=$E$7,OFFSET(TH!K$1,SMALL(Dong5,ROWS($1:39)),),0))</f>
        <v>10638417</v>
      </c>
      <c r="G53" s="410">
        <f ca="1">IF(ROWS($1:39)&gt;COUNT(Dong5),0,IF(OFFSET(TH!M$1,SMALL(Dong5,ROWS($1:39)),)=$E$7,OFFSET(TH!K$1,SMALL(Dong5,ROWS($1:39)),),0))</f>
        <v>0</v>
      </c>
      <c r="H53" s="414">
        <f t="shared" ca="1" si="2"/>
        <v>0</v>
      </c>
      <c r="I53" s="414">
        <f t="shared" ca="1" si="3"/>
        <v>1248083</v>
      </c>
    </row>
    <row r="54" spans="1:9" s="3" customFormat="1" ht="22.5" customHeight="1">
      <c r="A54" s="411">
        <f ca="1">IF(ROWS($1:40)&gt;COUNT(Dong5),"",OFFSET(TH!C$1,SMALL(Dong5,ROWS($1:40)),))</f>
        <v>42886</v>
      </c>
      <c r="B54" s="411" t="str">
        <f ca="1">IF(ROWS($1:40)&gt;COUNT(Dong5),"",OFFSET(TH!D$1,SMALL(Dong5,ROWS($1:40)),))</f>
        <v>CTGS</v>
      </c>
      <c r="C54" s="411">
        <f ca="1">IF(ROWS($1:40)&gt;COUNT(Dong5),"",OFFSET(TH!E$1,SMALL(Dong5,ROWS($1:40)),))</f>
        <v>42886</v>
      </c>
      <c r="D54" s="412" t="str">
        <f ca="1">IF(ROWS($1:40)&gt;COUNT(Dong5),"",OFFSET(TH!F$1,SMALL(Dong5,ROWS($1:40)),))</f>
        <v>BHXH khấu trừ Văn Phòng</v>
      </c>
      <c r="E54" s="411" t="str">
        <f ca="1">IF(ROWS($1:40)&gt;COUNT(Dong5),"",IF(OFFSET(TH!L$1,SMALL(Dong5,ROWS($1:40)),)=$E$7,OFFSET(TH!M$1,SMALL(Dong5,ROWS($1:40)),),OFFSET(TH!L$1,SMALL(Dong5,ROWS($1:40)),)))</f>
        <v>3383</v>
      </c>
      <c r="F54" s="413">
        <f ca="1">IF(ROWS($1:40)&gt;COUNT(Dong5),0,IF(OFFSET(TH!L$1,SMALL(Dong5,ROWS($1:40)),)=$E$7,OFFSET(TH!K$1,SMALL(Dong5,ROWS($1:40)),),0))</f>
        <v>635960</v>
      </c>
      <c r="G54" s="410">
        <f ca="1">IF(ROWS($1:40)&gt;COUNT(Dong5),0,IF(OFFSET(TH!M$1,SMALL(Dong5,ROWS($1:40)),)=$E$7,OFFSET(TH!K$1,SMALL(Dong5,ROWS($1:40)),),0))</f>
        <v>0</v>
      </c>
      <c r="H54" s="414">
        <f t="shared" ca="1" si="2"/>
        <v>0</v>
      </c>
      <c r="I54" s="414">
        <f t="shared" ca="1" si="3"/>
        <v>612123</v>
      </c>
    </row>
    <row r="55" spans="1:9" s="3" customFormat="1" ht="22.5" customHeight="1">
      <c r="A55" s="411">
        <f ca="1">IF(ROWS($1:41)&gt;COUNT(Dong5),"",OFFSET(TH!C$1,SMALL(Dong5,ROWS($1:41)),))</f>
        <v>42886</v>
      </c>
      <c r="B55" s="411" t="str">
        <f ca="1">IF(ROWS($1:41)&gt;COUNT(Dong5),"",OFFSET(TH!D$1,SMALL(Dong5,ROWS($1:41)),))</f>
        <v>CTGS</v>
      </c>
      <c r="C55" s="411">
        <f ca="1">IF(ROWS($1:41)&gt;COUNT(Dong5),"",OFFSET(TH!E$1,SMALL(Dong5,ROWS($1:41)),))</f>
        <v>42886</v>
      </c>
      <c r="D55" s="412" t="str">
        <f ca="1">IF(ROWS($1:41)&gt;COUNT(Dong5),"",OFFSET(TH!F$1,SMALL(Dong5,ROWS($1:41)),))</f>
        <v>BHXH khấu trừ CN</v>
      </c>
      <c r="E55" s="411" t="str">
        <f ca="1">IF(ROWS($1:41)&gt;COUNT(Dong5),"",IF(OFFSET(TH!L$1,SMALL(Dong5,ROWS($1:41)),)=$E$7,OFFSET(TH!M$1,SMALL(Dong5,ROWS($1:41)),),OFFSET(TH!L$1,SMALL(Dong5,ROWS($1:41)),)))</f>
        <v>3383</v>
      </c>
      <c r="F55" s="413">
        <f ca="1">IF(ROWS($1:41)&gt;COUNT(Dong5),0,IF(OFFSET(TH!L$1,SMALL(Dong5,ROWS($1:41)),)=$E$7,OFFSET(TH!K$1,SMALL(Dong5,ROWS($1:41)),),0))</f>
        <v>314960</v>
      </c>
      <c r="G55" s="410">
        <f ca="1">IF(ROWS($1:41)&gt;COUNT(Dong5),0,IF(OFFSET(TH!M$1,SMALL(Dong5,ROWS($1:41)),)=$E$7,OFFSET(TH!K$1,SMALL(Dong5,ROWS($1:41)),),0))</f>
        <v>0</v>
      </c>
      <c r="H55" s="414">
        <f t="shared" ca="1" si="2"/>
        <v>0</v>
      </c>
      <c r="I55" s="414">
        <f t="shared" ca="1" si="3"/>
        <v>297163</v>
      </c>
    </row>
    <row r="56" spans="1:9" s="3" customFormat="1" ht="22.5" customHeight="1">
      <c r="A56" s="411">
        <f ca="1">IF(ROWS($1:42)&gt;COUNT(Dong5),"",OFFSET(TH!C$1,SMALL(Dong5,ROWS($1:42)),))</f>
        <v>42886</v>
      </c>
      <c r="B56" s="411" t="str">
        <f ca="1">IF(ROWS($1:42)&gt;COUNT(Dong5),"",OFFSET(TH!D$1,SMALL(Dong5,ROWS($1:42)),))</f>
        <v>CTGS</v>
      </c>
      <c r="C56" s="411">
        <f ca="1">IF(ROWS($1:42)&gt;COUNT(Dong5),"",OFFSET(TH!E$1,SMALL(Dong5,ROWS($1:42)),))</f>
        <v>42886</v>
      </c>
      <c r="D56" s="412" t="str">
        <f ca="1">IF(ROWS($1:42)&gt;COUNT(Dong5),"",OFFSET(TH!F$1,SMALL(Dong5,ROWS($1:42)),))</f>
        <v>BHYT khấu trừ Văn Phòng</v>
      </c>
      <c r="E56" s="411" t="str">
        <f ca="1">IF(ROWS($1:42)&gt;COUNT(Dong5),"",IF(OFFSET(TH!L$1,SMALL(Dong5,ROWS($1:42)),)=$E$7,OFFSET(TH!M$1,SMALL(Dong5,ROWS($1:42)),),OFFSET(TH!L$1,SMALL(Dong5,ROWS($1:42)),)))</f>
        <v>3384</v>
      </c>
      <c r="F56" s="413">
        <f ca="1">IF(ROWS($1:42)&gt;COUNT(Dong5),0,IF(OFFSET(TH!L$1,SMALL(Dong5,ROWS($1:42)),)=$E$7,OFFSET(TH!K$1,SMALL(Dong5,ROWS($1:42)),),0))</f>
        <v>119243</v>
      </c>
      <c r="G56" s="410">
        <f ca="1">IF(ROWS($1:42)&gt;COUNT(Dong5),0,IF(OFFSET(TH!M$1,SMALL(Dong5,ROWS($1:42)),)=$E$7,OFFSET(TH!K$1,SMALL(Dong5,ROWS($1:42)),),0))</f>
        <v>0</v>
      </c>
      <c r="H56" s="414">
        <f t="shared" ca="1" si="2"/>
        <v>0</v>
      </c>
      <c r="I56" s="414">
        <f t="shared" ca="1" si="3"/>
        <v>177920</v>
      </c>
    </row>
    <row r="57" spans="1:9" s="3" customFormat="1" ht="22.5" customHeight="1">
      <c r="A57" s="411">
        <f ca="1">IF(ROWS($1:43)&gt;COUNT(Dong5),"",OFFSET(TH!C$1,SMALL(Dong5,ROWS($1:43)),))</f>
        <v>42886</v>
      </c>
      <c r="B57" s="411" t="str">
        <f ca="1">IF(ROWS($1:43)&gt;COUNT(Dong5),"",OFFSET(TH!D$1,SMALL(Dong5,ROWS($1:43)),))</f>
        <v>CTGS</v>
      </c>
      <c r="C57" s="411">
        <f ca="1">IF(ROWS($1:43)&gt;COUNT(Dong5),"",OFFSET(TH!E$1,SMALL(Dong5,ROWS($1:43)),))</f>
        <v>42886</v>
      </c>
      <c r="D57" s="412" t="str">
        <f ca="1">IF(ROWS($1:43)&gt;COUNT(Dong5),"",OFFSET(TH!F$1,SMALL(Dong5,ROWS($1:43)),))</f>
        <v>BHYT khấu trừ CN</v>
      </c>
      <c r="E57" s="411" t="str">
        <f ca="1">IF(ROWS($1:43)&gt;COUNT(Dong5),"",IF(OFFSET(TH!L$1,SMALL(Dong5,ROWS($1:43)),)=$E$7,OFFSET(TH!M$1,SMALL(Dong5,ROWS($1:43)),),OFFSET(TH!L$1,SMALL(Dong5,ROWS($1:43)),)))</f>
        <v>3384</v>
      </c>
      <c r="F57" s="413">
        <f ca="1">IF(ROWS($1:43)&gt;COUNT(Dong5),0,IF(OFFSET(TH!L$1,SMALL(Dong5,ROWS($1:43)),)=$E$7,OFFSET(TH!K$1,SMALL(Dong5,ROWS($1:43)),),0))</f>
        <v>59055</v>
      </c>
      <c r="G57" s="410">
        <f ca="1">IF(ROWS($1:43)&gt;COUNT(Dong5),0,IF(OFFSET(TH!M$1,SMALL(Dong5,ROWS($1:43)),)=$E$7,OFFSET(TH!K$1,SMALL(Dong5,ROWS($1:43)),),0))</f>
        <v>0</v>
      </c>
      <c r="H57" s="414">
        <f t="shared" ca="1" si="2"/>
        <v>0</v>
      </c>
      <c r="I57" s="414">
        <f t="shared" ca="1" si="3"/>
        <v>118865</v>
      </c>
    </row>
    <row r="58" spans="1:9" s="3" customFormat="1" ht="22.5" customHeight="1">
      <c r="A58" s="411">
        <f ca="1">IF(ROWS($1:44)&gt;COUNT(Dong5),"",OFFSET(TH!C$1,SMALL(Dong5,ROWS($1:44)),))</f>
        <v>42886</v>
      </c>
      <c r="B58" s="411" t="str">
        <f ca="1">IF(ROWS($1:44)&gt;COUNT(Dong5),"",OFFSET(TH!D$1,SMALL(Dong5,ROWS($1:44)),))</f>
        <v>CTGS</v>
      </c>
      <c r="C58" s="411">
        <f ca="1">IF(ROWS($1:44)&gt;COUNT(Dong5),"",OFFSET(TH!E$1,SMALL(Dong5,ROWS($1:44)),))</f>
        <v>42886</v>
      </c>
      <c r="D58" s="412" t="str">
        <f ca="1">IF(ROWS($1:44)&gt;COUNT(Dong5),"",OFFSET(TH!F$1,SMALL(Dong5,ROWS($1:44)),))</f>
        <v>BHTN khấu trừ Văn Phòng</v>
      </c>
      <c r="E58" s="411" t="str">
        <f ca="1">IF(ROWS($1:44)&gt;COUNT(Dong5),"",IF(OFFSET(TH!L$1,SMALL(Dong5,ROWS($1:44)),)=$E$7,OFFSET(TH!M$1,SMALL(Dong5,ROWS($1:44)),),OFFSET(TH!L$1,SMALL(Dong5,ROWS($1:44)),)))</f>
        <v>3386</v>
      </c>
      <c r="F58" s="413">
        <f ca="1">IF(ROWS($1:44)&gt;COUNT(Dong5),0,IF(OFFSET(TH!L$1,SMALL(Dong5,ROWS($1:44)),)=$E$7,OFFSET(TH!K$1,SMALL(Dong5,ROWS($1:44)),),0))</f>
        <v>79495</v>
      </c>
      <c r="G58" s="410">
        <f ca="1">IF(ROWS($1:44)&gt;COUNT(Dong5),0,IF(OFFSET(TH!M$1,SMALL(Dong5,ROWS($1:44)),)=$E$7,OFFSET(TH!K$1,SMALL(Dong5,ROWS($1:44)),),0))</f>
        <v>0</v>
      </c>
      <c r="H58" s="414">
        <f t="shared" ca="1" si="2"/>
        <v>0</v>
      </c>
      <c r="I58" s="414">
        <f t="shared" ca="1" si="3"/>
        <v>39370</v>
      </c>
    </row>
    <row r="59" spans="1:9" s="3" customFormat="1" ht="22.5" customHeight="1">
      <c r="A59" s="411">
        <f ca="1">IF(ROWS($1:45)&gt;COUNT(Dong5),"",OFFSET(TH!C$1,SMALL(Dong5,ROWS($1:45)),))</f>
        <v>42886</v>
      </c>
      <c r="B59" s="411" t="str">
        <f ca="1">IF(ROWS($1:45)&gt;COUNT(Dong5),"",OFFSET(TH!D$1,SMALL(Dong5,ROWS($1:45)),))</f>
        <v>CTGS</v>
      </c>
      <c r="C59" s="411">
        <f ca="1">IF(ROWS($1:45)&gt;COUNT(Dong5),"",OFFSET(TH!E$1,SMALL(Dong5,ROWS($1:45)),))</f>
        <v>42886</v>
      </c>
      <c r="D59" s="412" t="str">
        <f ca="1">IF(ROWS($1:45)&gt;COUNT(Dong5),"",OFFSET(TH!F$1,SMALL(Dong5,ROWS($1:45)),))</f>
        <v>BHTN khấu trừ  CN</v>
      </c>
      <c r="E59" s="411" t="str">
        <f ca="1">IF(ROWS($1:45)&gt;COUNT(Dong5),"",IF(OFFSET(TH!L$1,SMALL(Dong5,ROWS($1:45)),)=$E$7,OFFSET(TH!M$1,SMALL(Dong5,ROWS($1:45)),),OFFSET(TH!L$1,SMALL(Dong5,ROWS($1:45)),)))</f>
        <v>3386</v>
      </c>
      <c r="F59" s="413">
        <f ca="1">IF(ROWS($1:45)&gt;COUNT(Dong5),0,IF(OFFSET(TH!L$1,SMALL(Dong5,ROWS($1:45)),)=$E$7,OFFSET(TH!K$1,SMALL(Dong5,ROWS($1:45)),),0))</f>
        <v>39370</v>
      </c>
      <c r="G59" s="410">
        <f ca="1">IF(ROWS($1:45)&gt;COUNT(Dong5),0,IF(OFFSET(TH!M$1,SMALL(Dong5,ROWS($1:45)),)=$E$7,OFFSET(TH!K$1,SMALL(Dong5,ROWS($1:45)),),0))</f>
        <v>0</v>
      </c>
      <c r="H59" s="178">
        <f t="shared" ca="1" si="2"/>
        <v>0</v>
      </c>
      <c r="I59" s="414">
        <f t="shared" ca="1" si="3"/>
        <v>0</v>
      </c>
    </row>
    <row r="60" spans="1:9" s="3" customFormat="1" ht="22.5" customHeight="1">
      <c r="A60" s="411">
        <f ca="1">IF(ROWS($1:46)&gt;COUNT(Dong5),"",OFFSET(TH!C$1,SMALL(Dong5,ROWS($1:46)),))</f>
        <v>42916</v>
      </c>
      <c r="B60" s="411" t="str">
        <f ca="1">IF(ROWS($1:46)&gt;COUNT(Dong5),"",OFFSET(TH!D$1,SMALL(Dong5,ROWS($1:46)),))</f>
        <v>CTGS</v>
      </c>
      <c r="C60" s="411">
        <f ca="1">IF(ROWS($1:46)&gt;COUNT(Dong5),"",OFFSET(TH!E$1,SMALL(Dong5,ROWS($1:46)),))</f>
        <v>42916</v>
      </c>
      <c r="D60" s="412" t="str">
        <f ca="1">IF(ROWS($1:46)&gt;COUNT(Dong5),"",OFFSET(TH!F$1,SMALL(Dong5,ROWS($1:46)),))</f>
        <v>Lương bộ phận quản lý</v>
      </c>
      <c r="E60" s="411" t="str">
        <f ca="1">IF(ROWS($1:46)&gt;COUNT(Dong5),"",IF(OFFSET(TH!L$1,SMALL(Dong5,ROWS($1:46)),)=$E$7,OFFSET(TH!M$1,SMALL(Dong5,ROWS($1:46)),),OFFSET(TH!L$1,SMALL(Dong5,ROWS($1:46)),)))</f>
        <v>642</v>
      </c>
      <c r="F60" s="413">
        <f ca="1">IF(ROWS($1:46)&gt;COUNT(Dong5),0,IF(OFFSET(TH!L$1,SMALL(Dong5,ROWS($1:46)),)=$E$7,OFFSET(TH!K$1,SMALL(Dong5,ROWS($1:46)),),0))</f>
        <v>0</v>
      </c>
      <c r="G60" s="410">
        <f ca="1">IF(ROWS($1:46)&gt;COUNT(Dong5),0,IF(OFFSET(TH!M$1,SMALL(Dong5,ROWS($1:46)),)=$E$7,OFFSET(TH!K$1,SMALL(Dong5,ROWS($1:46)),),0))</f>
        <v>7949500</v>
      </c>
      <c r="H60" s="414">
        <f t="shared" ca="1" si="2"/>
        <v>0</v>
      </c>
      <c r="I60" s="414">
        <f t="shared" ca="1" si="3"/>
        <v>7949500</v>
      </c>
    </row>
    <row r="61" spans="1:9" s="3" customFormat="1" ht="22.5" customHeight="1">
      <c r="A61" s="411">
        <f ca="1">IF(ROWS($1:47)&gt;COUNT(Dong5),"",OFFSET(TH!C$1,SMALL(Dong5,ROWS($1:47)),))</f>
        <v>42916</v>
      </c>
      <c r="B61" s="411" t="str">
        <f ca="1">IF(ROWS($1:47)&gt;COUNT(Dong5),"",OFFSET(TH!D$1,SMALL(Dong5,ROWS($1:47)),))</f>
        <v>CTGS</v>
      </c>
      <c r="C61" s="411">
        <f ca="1">IF(ROWS($1:47)&gt;COUNT(Dong5),"",OFFSET(TH!E$1,SMALL(Dong5,ROWS($1:47)),))</f>
        <v>42916</v>
      </c>
      <c r="D61" s="412" t="str">
        <f ca="1">IF(ROWS($1:47)&gt;COUNT(Dong5),"",OFFSET(TH!F$1,SMALL(Dong5,ROWS($1:47)),))</f>
        <v>Lương bộ phận sản xuất</v>
      </c>
      <c r="E61" s="411" t="str">
        <f ca="1">IF(ROWS($1:47)&gt;COUNT(Dong5),"",IF(OFFSET(TH!L$1,SMALL(Dong5,ROWS($1:47)),)=$E$7,OFFSET(TH!M$1,SMALL(Dong5,ROWS($1:47)),),OFFSET(TH!L$1,SMALL(Dong5,ROWS($1:47)),)))</f>
        <v>154</v>
      </c>
      <c r="F61" s="413">
        <f ca="1">IF(ROWS($1:47)&gt;COUNT(Dong5),0,IF(OFFSET(TH!L$1,SMALL(Dong5,ROWS($1:47)),)=$E$7,OFFSET(TH!K$1,SMALL(Dong5,ROWS($1:47)),),0))</f>
        <v>0</v>
      </c>
      <c r="G61" s="410">
        <f ca="1">IF(ROWS($1:47)&gt;COUNT(Dong5),0,IF(OFFSET(TH!M$1,SMALL(Dong5,ROWS($1:47)),)=$E$7,OFFSET(TH!K$1,SMALL(Dong5,ROWS($1:47)),),0))</f>
        <v>3937000</v>
      </c>
      <c r="H61" s="414">
        <f t="shared" ca="1" si="2"/>
        <v>0</v>
      </c>
      <c r="I61" s="414">
        <f t="shared" ca="1" si="3"/>
        <v>11886500</v>
      </c>
    </row>
    <row r="62" spans="1:9" s="3" customFormat="1" ht="22.5" customHeight="1">
      <c r="A62" s="411">
        <f ca="1">IF(ROWS($1:48)&gt;COUNT(Dong5),"",OFFSET(TH!C$1,SMALL(Dong5,ROWS($1:48)),))</f>
        <v>42916</v>
      </c>
      <c r="B62" s="411" t="str">
        <f ca="1">IF(ROWS($1:48)&gt;COUNT(Dong5),"",OFFSET(TH!D$1,SMALL(Dong5,ROWS($1:48)),))</f>
        <v>C12</v>
      </c>
      <c r="C62" s="411">
        <f ca="1">IF(ROWS($1:48)&gt;COUNT(Dong5),"",OFFSET(TH!E$1,SMALL(Dong5,ROWS($1:48)),))</f>
        <v>42916</v>
      </c>
      <c r="D62" s="412" t="str">
        <f ca="1">IF(ROWS($1:48)&gt;COUNT(Dong5),"",OFFSET(TH!F$1,SMALL(Dong5,ROWS($1:48)),))</f>
        <v>Thanh toán lương T06/2017</v>
      </c>
      <c r="E62" s="411" t="str">
        <f ca="1">IF(ROWS($1:48)&gt;COUNT(Dong5),"",IF(OFFSET(TH!L$1,SMALL(Dong5,ROWS($1:48)),)=$E$7,OFFSET(TH!M$1,SMALL(Dong5,ROWS($1:48)),),OFFSET(TH!L$1,SMALL(Dong5,ROWS($1:48)),)))</f>
        <v>1111</v>
      </c>
      <c r="F62" s="413">
        <f ca="1">IF(ROWS($1:48)&gt;COUNT(Dong5),0,IF(OFFSET(TH!L$1,SMALL(Dong5,ROWS($1:48)),)=$E$7,OFFSET(TH!K$1,SMALL(Dong5,ROWS($1:48)),),0))</f>
        <v>10638417</v>
      </c>
      <c r="G62" s="410">
        <f ca="1">IF(ROWS($1:48)&gt;COUNT(Dong5),0,IF(OFFSET(TH!M$1,SMALL(Dong5,ROWS($1:48)),)=$E$7,OFFSET(TH!K$1,SMALL(Dong5,ROWS($1:48)),),0))</f>
        <v>0</v>
      </c>
      <c r="H62" s="414">
        <f t="shared" ca="1" si="2"/>
        <v>0</v>
      </c>
      <c r="I62" s="414">
        <f t="shared" ca="1" si="3"/>
        <v>1248083</v>
      </c>
    </row>
    <row r="63" spans="1:9" s="3" customFormat="1" ht="22.5" customHeight="1">
      <c r="A63" s="411">
        <f ca="1">IF(ROWS($1:49)&gt;COUNT(Dong5),"",OFFSET(TH!C$1,SMALL(Dong5,ROWS($1:49)),))</f>
        <v>42916</v>
      </c>
      <c r="B63" s="411" t="str">
        <f ca="1">IF(ROWS($1:49)&gt;COUNT(Dong5),"",OFFSET(TH!D$1,SMALL(Dong5,ROWS($1:49)),))</f>
        <v>CTGS</v>
      </c>
      <c r="C63" s="411">
        <f ca="1">IF(ROWS($1:49)&gt;COUNT(Dong5),"",OFFSET(TH!E$1,SMALL(Dong5,ROWS($1:49)),))</f>
        <v>42916</v>
      </c>
      <c r="D63" s="412" t="str">
        <f ca="1">IF(ROWS($1:49)&gt;COUNT(Dong5),"",OFFSET(TH!F$1,SMALL(Dong5,ROWS($1:49)),))</f>
        <v>BHXH khấu trừ Văn Phòng</v>
      </c>
      <c r="E63" s="411" t="str">
        <f ca="1">IF(ROWS($1:49)&gt;COUNT(Dong5),"",IF(OFFSET(TH!L$1,SMALL(Dong5,ROWS($1:49)),)=$E$7,OFFSET(TH!M$1,SMALL(Dong5,ROWS($1:49)),),OFFSET(TH!L$1,SMALL(Dong5,ROWS($1:49)),)))</f>
        <v>3383</v>
      </c>
      <c r="F63" s="413">
        <f ca="1">IF(ROWS($1:49)&gt;COUNT(Dong5),0,IF(OFFSET(TH!L$1,SMALL(Dong5,ROWS($1:49)),)=$E$7,OFFSET(TH!K$1,SMALL(Dong5,ROWS($1:49)),),0))</f>
        <v>635960</v>
      </c>
      <c r="G63" s="410">
        <f ca="1">IF(ROWS($1:49)&gt;COUNT(Dong5),0,IF(OFFSET(TH!M$1,SMALL(Dong5,ROWS($1:49)),)=$E$7,OFFSET(TH!K$1,SMALL(Dong5,ROWS($1:49)),),0))</f>
        <v>0</v>
      </c>
      <c r="H63" s="414">
        <f t="shared" ca="1" si="2"/>
        <v>0</v>
      </c>
      <c r="I63" s="414">
        <f t="shared" ca="1" si="3"/>
        <v>612123</v>
      </c>
    </row>
    <row r="64" spans="1:9" s="3" customFormat="1" ht="22.5" customHeight="1">
      <c r="A64" s="411">
        <f ca="1">IF(ROWS($1:50)&gt;COUNT(Dong5),"",OFFSET(TH!C$1,SMALL(Dong5,ROWS($1:50)),))</f>
        <v>42916</v>
      </c>
      <c r="B64" s="411" t="str">
        <f ca="1">IF(ROWS($1:50)&gt;COUNT(Dong5),"",OFFSET(TH!D$1,SMALL(Dong5,ROWS($1:50)),))</f>
        <v>CTGS</v>
      </c>
      <c r="C64" s="411">
        <f ca="1">IF(ROWS($1:50)&gt;COUNT(Dong5),"",OFFSET(TH!E$1,SMALL(Dong5,ROWS($1:50)),))</f>
        <v>42916</v>
      </c>
      <c r="D64" s="412" t="str">
        <f ca="1">IF(ROWS($1:50)&gt;COUNT(Dong5),"",OFFSET(TH!F$1,SMALL(Dong5,ROWS($1:50)),))</f>
        <v>BHXH khấu trừ CN</v>
      </c>
      <c r="E64" s="411" t="str">
        <f ca="1">IF(ROWS($1:50)&gt;COUNT(Dong5),"",IF(OFFSET(TH!L$1,SMALL(Dong5,ROWS($1:50)),)=$E$7,OFFSET(TH!M$1,SMALL(Dong5,ROWS($1:50)),),OFFSET(TH!L$1,SMALL(Dong5,ROWS($1:50)),)))</f>
        <v>3383</v>
      </c>
      <c r="F64" s="413">
        <f ca="1">IF(ROWS($1:50)&gt;COUNT(Dong5),0,IF(OFFSET(TH!L$1,SMALL(Dong5,ROWS($1:50)),)=$E$7,OFFSET(TH!K$1,SMALL(Dong5,ROWS($1:50)),),0))</f>
        <v>314960</v>
      </c>
      <c r="G64" s="410">
        <f ca="1">IF(ROWS($1:50)&gt;COUNT(Dong5),0,IF(OFFSET(TH!M$1,SMALL(Dong5,ROWS($1:50)),)=$E$7,OFFSET(TH!K$1,SMALL(Dong5,ROWS($1:50)),),0))</f>
        <v>0</v>
      </c>
      <c r="H64" s="414">
        <f t="shared" ca="1" si="2"/>
        <v>0</v>
      </c>
      <c r="I64" s="414">
        <f t="shared" ca="1" si="3"/>
        <v>297163</v>
      </c>
    </row>
    <row r="65" spans="1:9" s="3" customFormat="1" ht="22.5" customHeight="1">
      <c r="A65" s="411">
        <f ca="1">IF(ROWS($1:51)&gt;COUNT(Dong5),"",OFFSET(TH!C$1,SMALL(Dong5,ROWS($1:51)),))</f>
        <v>42916</v>
      </c>
      <c r="B65" s="411" t="str">
        <f ca="1">IF(ROWS($1:51)&gt;COUNT(Dong5),"",OFFSET(TH!D$1,SMALL(Dong5,ROWS($1:51)),))</f>
        <v>CTGS</v>
      </c>
      <c r="C65" s="411">
        <f ca="1">IF(ROWS($1:51)&gt;COUNT(Dong5),"",OFFSET(TH!E$1,SMALL(Dong5,ROWS($1:51)),))</f>
        <v>42916</v>
      </c>
      <c r="D65" s="412" t="str">
        <f ca="1">IF(ROWS($1:51)&gt;COUNT(Dong5),"",OFFSET(TH!F$1,SMALL(Dong5,ROWS($1:51)),))</f>
        <v>BHYT khấu trừ Văn Phòng</v>
      </c>
      <c r="E65" s="411" t="str">
        <f ca="1">IF(ROWS($1:51)&gt;COUNT(Dong5),"",IF(OFFSET(TH!L$1,SMALL(Dong5,ROWS($1:51)),)=$E$7,OFFSET(TH!M$1,SMALL(Dong5,ROWS($1:51)),),OFFSET(TH!L$1,SMALL(Dong5,ROWS($1:51)),)))</f>
        <v>3384</v>
      </c>
      <c r="F65" s="413">
        <f ca="1">IF(ROWS($1:51)&gt;COUNT(Dong5),0,IF(OFFSET(TH!L$1,SMALL(Dong5,ROWS($1:51)),)=$E$7,OFFSET(TH!K$1,SMALL(Dong5,ROWS($1:51)),),0))</f>
        <v>119243</v>
      </c>
      <c r="G65" s="410">
        <f ca="1">IF(ROWS($1:51)&gt;COUNT(Dong5),0,IF(OFFSET(TH!M$1,SMALL(Dong5,ROWS($1:51)),)=$E$7,OFFSET(TH!K$1,SMALL(Dong5,ROWS($1:51)),),0))</f>
        <v>0</v>
      </c>
      <c r="H65" s="414">
        <f t="shared" ca="1" si="2"/>
        <v>0</v>
      </c>
      <c r="I65" s="414">
        <f t="shared" ca="1" si="3"/>
        <v>177920</v>
      </c>
    </row>
    <row r="66" spans="1:9" s="3" customFormat="1" ht="22.5" customHeight="1">
      <c r="A66" s="411">
        <f ca="1">IF(ROWS($1:52)&gt;COUNT(Dong5),"",OFFSET(TH!C$1,SMALL(Dong5,ROWS($1:52)),))</f>
        <v>42916</v>
      </c>
      <c r="B66" s="411" t="str">
        <f ca="1">IF(ROWS($1:52)&gt;COUNT(Dong5),"",OFFSET(TH!D$1,SMALL(Dong5,ROWS($1:52)),))</f>
        <v>CTGS</v>
      </c>
      <c r="C66" s="411">
        <f ca="1">IF(ROWS($1:52)&gt;COUNT(Dong5),"",OFFSET(TH!E$1,SMALL(Dong5,ROWS($1:52)),))</f>
        <v>42916</v>
      </c>
      <c r="D66" s="412" t="str">
        <f ca="1">IF(ROWS($1:52)&gt;COUNT(Dong5),"",OFFSET(TH!F$1,SMALL(Dong5,ROWS($1:52)),))</f>
        <v>BHYT khấu trừ CN</v>
      </c>
      <c r="E66" s="411" t="str">
        <f ca="1">IF(ROWS($1:52)&gt;COUNT(Dong5),"",IF(OFFSET(TH!L$1,SMALL(Dong5,ROWS($1:52)),)=$E$7,OFFSET(TH!M$1,SMALL(Dong5,ROWS($1:52)),),OFFSET(TH!L$1,SMALL(Dong5,ROWS($1:52)),)))</f>
        <v>3384</v>
      </c>
      <c r="F66" s="413">
        <f ca="1">IF(ROWS($1:52)&gt;COUNT(Dong5),0,IF(OFFSET(TH!L$1,SMALL(Dong5,ROWS($1:52)),)=$E$7,OFFSET(TH!K$1,SMALL(Dong5,ROWS($1:52)),),0))</f>
        <v>59055</v>
      </c>
      <c r="G66" s="410">
        <f ca="1">IF(ROWS($1:52)&gt;COUNT(Dong5),0,IF(OFFSET(TH!M$1,SMALL(Dong5,ROWS($1:52)),)=$E$7,OFFSET(TH!K$1,SMALL(Dong5,ROWS($1:52)),),0))</f>
        <v>0</v>
      </c>
      <c r="H66" s="414">
        <f t="shared" ca="1" si="2"/>
        <v>0</v>
      </c>
      <c r="I66" s="414">
        <f t="shared" ca="1" si="3"/>
        <v>118865</v>
      </c>
    </row>
    <row r="67" spans="1:9" s="3" customFormat="1" ht="22.5" customHeight="1">
      <c r="A67" s="411">
        <f ca="1">IF(ROWS($1:53)&gt;COUNT(Dong5),"",OFFSET(TH!C$1,SMALL(Dong5,ROWS($1:53)),))</f>
        <v>42916</v>
      </c>
      <c r="B67" s="411" t="str">
        <f ca="1">IF(ROWS($1:53)&gt;COUNT(Dong5),"",OFFSET(TH!D$1,SMALL(Dong5,ROWS($1:53)),))</f>
        <v>CTGS</v>
      </c>
      <c r="C67" s="411">
        <f ca="1">IF(ROWS($1:53)&gt;COUNT(Dong5),"",OFFSET(TH!E$1,SMALL(Dong5,ROWS($1:53)),))</f>
        <v>42916</v>
      </c>
      <c r="D67" s="412" t="str">
        <f ca="1">IF(ROWS($1:53)&gt;COUNT(Dong5),"",OFFSET(TH!F$1,SMALL(Dong5,ROWS($1:53)),))</f>
        <v>BHTN khấu trừ Văn Phòng</v>
      </c>
      <c r="E67" s="411" t="str">
        <f ca="1">IF(ROWS($1:53)&gt;COUNT(Dong5),"",IF(OFFSET(TH!L$1,SMALL(Dong5,ROWS($1:53)),)=$E$7,OFFSET(TH!M$1,SMALL(Dong5,ROWS($1:53)),),OFFSET(TH!L$1,SMALL(Dong5,ROWS($1:53)),)))</f>
        <v>3386</v>
      </c>
      <c r="F67" s="413">
        <f ca="1">IF(ROWS($1:53)&gt;COUNT(Dong5),0,IF(OFFSET(TH!L$1,SMALL(Dong5,ROWS($1:53)),)=$E$7,OFFSET(TH!K$1,SMALL(Dong5,ROWS($1:53)),),0))</f>
        <v>79495</v>
      </c>
      <c r="G67" s="410">
        <f ca="1">IF(ROWS($1:53)&gt;COUNT(Dong5),0,IF(OFFSET(TH!M$1,SMALL(Dong5,ROWS($1:53)),)=$E$7,OFFSET(TH!K$1,SMALL(Dong5,ROWS($1:53)),),0))</f>
        <v>0</v>
      </c>
      <c r="H67" s="414">
        <f t="shared" ca="1" si="2"/>
        <v>0</v>
      </c>
      <c r="I67" s="414">
        <f t="shared" ca="1" si="3"/>
        <v>39370</v>
      </c>
    </row>
    <row r="68" spans="1:9" s="3" customFormat="1" ht="22.5" customHeight="1">
      <c r="A68" s="411">
        <f ca="1">IF(ROWS($1:54)&gt;COUNT(Dong5),"",OFFSET(TH!C$1,SMALL(Dong5,ROWS($1:54)),))</f>
        <v>42916</v>
      </c>
      <c r="B68" s="411" t="str">
        <f ca="1">IF(ROWS($1:54)&gt;COUNT(Dong5),"",OFFSET(TH!D$1,SMALL(Dong5,ROWS($1:54)),))</f>
        <v>CTGS</v>
      </c>
      <c r="C68" s="411">
        <f ca="1">IF(ROWS($1:54)&gt;COUNT(Dong5),"",OFFSET(TH!E$1,SMALL(Dong5,ROWS($1:54)),))</f>
        <v>42916</v>
      </c>
      <c r="D68" s="412" t="str">
        <f ca="1">IF(ROWS($1:54)&gt;COUNT(Dong5),"",OFFSET(TH!F$1,SMALL(Dong5,ROWS($1:54)),))</f>
        <v>BHTN khấu trừ  CN</v>
      </c>
      <c r="E68" s="411" t="str">
        <f ca="1">IF(ROWS($1:54)&gt;COUNT(Dong5),"",IF(OFFSET(TH!L$1,SMALL(Dong5,ROWS($1:54)),)=$E$7,OFFSET(TH!M$1,SMALL(Dong5,ROWS($1:54)),),OFFSET(TH!L$1,SMALL(Dong5,ROWS($1:54)),)))</f>
        <v>3386</v>
      </c>
      <c r="F68" s="413">
        <f ca="1">IF(ROWS($1:54)&gt;COUNT(Dong5),0,IF(OFFSET(TH!L$1,SMALL(Dong5,ROWS($1:54)),)=$E$7,OFFSET(TH!K$1,SMALL(Dong5,ROWS($1:54)),),0))</f>
        <v>39370</v>
      </c>
      <c r="G68" s="410">
        <f ca="1">IF(ROWS($1:54)&gt;COUNT(Dong5),0,IF(OFFSET(TH!M$1,SMALL(Dong5,ROWS($1:54)),)=$E$7,OFFSET(TH!K$1,SMALL(Dong5,ROWS($1:54)),),0))</f>
        <v>0</v>
      </c>
      <c r="H68" s="178">
        <f t="shared" ca="1" si="2"/>
        <v>0</v>
      </c>
      <c r="I68" s="414">
        <f t="shared" ca="1" si="3"/>
        <v>0</v>
      </c>
    </row>
    <row r="69" spans="1:9" s="3" customFormat="1" ht="22.5" customHeight="1">
      <c r="A69" s="411">
        <f ca="1">IF(ROWS($1:55)&gt;COUNT(Dong5),"",OFFSET(TH!C$1,SMALL(Dong5,ROWS($1:55)),))</f>
        <v>42947</v>
      </c>
      <c r="B69" s="411" t="str">
        <f ca="1">IF(ROWS($1:55)&gt;COUNT(Dong5),"",OFFSET(TH!D$1,SMALL(Dong5,ROWS($1:55)),))</f>
        <v>CTGS</v>
      </c>
      <c r="C69" s="411">
        <f ca="1">IF(ROWS($1:55)&gt;COUNT(Dong5),"",OFFSET(TH!E$1,SMALL(Dong5,ROWS($1:55)),))</f>
        <v>42947</v>
      </c>
      <c r="D69" s="412" t="str">
        <f ca="1">IF(ROWS($1:55)&gt;COUNT(Dong5),"",OFFSET(TH!F$1,SMALL(Dong5,ROWS($1:55)),))</f>
        <v>Lương bộ phận quản lý</v>
      </c>
      <c r="E69" s="411" t="str">
        <f ca="1">IF(ROWS($1:55)&gt;COUNT(Dong5),"",IF(OFFSET(TH!L$1,SMALL(Dong5,ROWS($1:55)),)=$E$7,OFFSET(TH!M$1,SMALL(Dong5,ROWS($1:55)),),OFFSET(TH!L$1,SMALL(Dong5,ROWS($1:55)),)))</f>
        <v>642</v>
      </c>
      <c r="F69" s="413">
        <f ca="1">IF(ROWS($1:55)&gt;COUNT(Dong5),0,IF(OFFSET(TH!L$1,SMALL(Dong5,ROWS($1:55)),)=$E$7,OFFSET(TH!K$1,SMALL(Dong5,ROWS($1:55)),),0))</f>
        <v>0</v>
      </c>
      <c r="G69" s="410">
        <f ca="1">IF(ROWS($1:55)&gt;COUNT(Dong5),0,IF(OFFSET(TH!M$1,SMALL(Dong5,ROWS($1:55)),)=$E$7,OFFSET(TH!K$1,SMALL(Dong5,ROWS($1:55)),),0))</f>
        <v>7949500</v>
      </c>
      <c r="H69" s="414">
        <f t="shared" ca="1" si="2"/>
        <v>0</v>
      </c>
      <c r="I69" s="414">
        <f t="shared" ca="1" si="3"/>
        <v>7949500</v>
      </c>
    </row>
    <row r="70" spans="1:9" s="3" customFormat="1" ht="22.5" customHeight="1">
      <c r="A70" s="411">
        <f ca="1">IF(ROWS($1:56)&gt;COUNT(Dong5),"",OFFSET(TH!C$1,SMALL(Dong5,ROWS($1:56)),))</f>
        <v>42947</v>
      </c>
      <c r="B70" s="411" t="str">
        <f ca="1">IF(ROWS($1:56)&gt;COUNT(Dong5),"",OFFSET(TH!D$1,SMALL(Dong5,ROWS($1:56)),))</f>
        <v>CTGS</v>
      </c>
      <c r="C70" s="411">
        <f ca="1">IF(ROWS($1:56)&gt;COUNT(Dong5),"",OFFSET(TH!E$1,SMALL(Dong5,ROWS($1:56)),))</f>
        <v>42947</v>
      </c>
      <c r="D70" s="412" t="str">
        <f ca="1">IF(ROWS($1:56)&gt;COUNT(Dong5),"",OFFSET(TH!F$1,SMALL(Dong5,ROWS($1:56)),))</f>
        <v>Lương bộ phận sản xuất</v>
      </c>
      <c r="E70" s="411" t="str">
        <f ca="1">IF(ROWS($1:56)&gt;COUNT(Dong5),"",IF(OFFSET(TH!L$1,SMALL(Dong5,ROWS($1:56)),)=$E$7,OFFSET(TH!M$1,SMALL(Dong5,ROWS($1:56)),),OFFSET(TH!L$1,SMALL(Dong5,ROWS($1:56)),)))</f>
        <v>154</v>
      </c>
      <c r="F70" s="413">
        <f ca="1">IF(ROWS($1:56)&gt;COUNT(Dong5),0,IF(OFFSET(TH!L$1,SMALL(Dong5,ROWS($1:56)),)=$E$7,OFFSET(TH!K$1,SMALL(Dong5,ROWS($1:56)),),0))</f>
        <v>0</v>
      </c>
      <c r="G70" s="410">
        <f ca="1">IF(ROWS($1:56)&gt;COUNT(Dong5),0,IF(OFFSET(TH!M$1,SMALL(Dong5,ROWS($1:56)),)=$E$7,OFFSET(TH!K$1,SMALL(Dong5,ROWS($1:56)),),0))</f>
        <v>3937000</v>
      </c>
      <c r="H70" s="414">
        <f t="shared" ca="1" si="2"/>
        <v>0</v>
      </c>
      <c r="I70" s="414">
        <f t="shared" ca="1" si="3"/>
        <v>11886500</v>
      </c>
    </row>
    <row r="71" spans="1:9" s="3" customFormat="1" ht="22.5" customHeight="1">
      <c r="A71" s="411">
        <f ca="1">IF(ROWS($1:57)&gt;COUNT(Dong5),"",OFFSET(TH!C$1,SMALL(Dong5,ROWS($1:57)),))</f>
        <v>42947</v>
      </c>
      <c r="B71" s="411" t="str">
        <f ca="1">IF(ROWS($1:57)&gt;COUNT(Dong5),"",OFFSET(TH!D$1,SMALL(Dong5,ROWS($1:57)),))</f>
        <v>C12</v>
      </c>
      <c r="C71" s="411">
        <f ca="1">IF(ROWS($1:57)&gt;COUNT(Dong5),"",OFFSET(TH!E$1,SMALL(Dong5,ROWS($1:57)),))</f>
        <v>42947</v>
      </c>
      <c r="D71" s="412" t="str">
        <f ca="1">IF(ROWS($1:57)&gt;COUNT(Dong5),"",OFFSET(TH!F$1,SMALL(Dong5,ROWS($1:57)),))</f>
        <v>Thanh toán lương T07/2017</v>
      </c>
      <c r="E71" s="411" t="str">
        <f ca="1">IF(ROWS($1:57)&gt;COUNT(Dong5),"",IF(OFFSET(TH!L$1,SMALL(Dong5,ROWS($1:57)),)=$E$7,OFFSET(TH!M$1,SMALL(Dong5,ROWS($1:57)),),OFFSET(TH!L$1,SMALL(Dong5,ROWS($1:57)),)))</f>
        <v>1111</v>
      </c>
      <c r="F71" s="413">
        <f ca="1">IF(ROWS($1:57)&gt;COUNT(Dong5),0,IF(OFFSET(TH!L$1,SMALL(Dong5,ROWS($1:57)),)=$E$7,OFFSET(TH!K$1,SMALL(Dong5,ROWS($1:57)),),0))</f>
        <v>10638417</v>
      </c>
      <c r="G71" s="410">
        <f ca="1">IF(ROWS($1:57)&gt;COUNT(Dong5),0,IF(OFFSET(TH!M$1,SMALL(Dong5,ROWS($1:57)),)=$E$7,OFFSET(TH!K$1,SMALL(Dong5,ROWS($1:57)),),0))</f>
        <v>0</v>
      </c>
      <c r="H71" s="414">
        <f t="shared" ca="1" si="2"/>
        <v>0</v>
      </c>
      <c r="I71" s="414">
        <f t="shared" ca="1" si="3"/>
        <v>1248083</v>
      </c>
    </row>
    <row r="72" spans="1:9" s="3" customFormat="1" ht="22.5" customHeight="1">
      <c r="A72" s="411">
        <f ca="1">IF(ROWS($1:58)&gt;COUNT(Dong5),"",OFFSET(TH!C$1,SMALL(Dong5,ROWS($1:58)),))</f>
        <v>42947</v>
      </c>
      <c r="B72" s="411" t="str">
        <f ca="1">IF(ROWS($1:58)&gt;COUNT(Dong5),"",OFFSET(TH!D$1,SMALL(Dong5,ROWS($1:58)),))</f>
        <v>CTGS</v>
      </c>
      <c r="C72" s="411">
        <f ca="1">IF(ROWS($1:58)&gt;COUNT(Dong5),"",OFFSET(TH!E$1,SMALL(Dong5,ROWS($1:58)),))</f>
        <v>42947</v>
      </c>
      <c r="D72" s="412" t="str">
        <f ca="1">IF(ROWS($1:58)&gt;COUNT(Dong5),"",OFFSET(TH!F$1,SMALL(Dong5,ROWS($1:58)),))</f>
        <v>BHXH khấu trừ Văn Phòng</v>
      </c>
      <c r="E72" s="411" t="str">
        <f ca="1">IF(ROWS($1:58)&gt;COUNT(Dong5),"",IF(OFFSET(TH!L$1,SMALL(Dong5,ROWS($1:58)),)=$E$7,OFFSET(TH!M$1,SMALL(Dong5,ROWS($1:58)),),OFFSET(TH!L$1,SMALL(Dong5,ROWS($1:58)),)))</f>
        <v>3383</v>
      </c>
      <c r="F72" s="413">
        <f ca="1">IF(ROWS($1:58)&gt;COUNT(Dong5),0,IF(OFFSET(TH!L$1,SMALL(Dong5,ROWS($1:58)),)=$E$7,OFFSET(TH!K$1,SMALL(Dong5,ROWS($1:58)),),0))</f>
        <v>635960</v>
      </c>
      <c r="G72" s="410">
        <f ca="1">IF(ROWS($1:58)&gt;COUNT(Dong5),0,IF(OFFSET(TH!M$1,SMALL(Dong5,ROWS($1:58)),)=$E$7,OFFSET(TH!K$1,SMALL(Dong5,ROWS($1:58)),),0))</f>
        <v>0</v>
      </c>
      <c r="H72" s="414">
        <f t="shared" ca="1" si="2"/>
        <v>0</v>
      </c>
      <c r="I72" s="414">
        <f t="shared" ca="1" si="3"/>
        <v>612123</v>
      </c>
    </row>
    <row r="73" spans="1:9" s="3" customFormat="1" ht="22.5" customHeight="1">
      <c r="A73" s="411"/>
      <c r="B73" s="415"/>
      <c r="C73" s="411"/>
      <c r="D73" s="416" t="s">
        <v>131</v>
      </c>
      <c r="E73" s="415" t="s">
        <v>19</v>
      </c>
      <c r="F73" s="417">
        <f ca="1">SUM(F15:F72)</f>
        <v>98568877</v>
      </c>
      <c r="G73" s="417">
        <f ca="1">SUM(G15:G72)</f>
        <v>99181000</v>
      </c>
      <c r="H73" s="417" t="s">
        <v>19</v>
      </c>
      <c r="I73" s="417" t="s">
        <v>19</v>
      </c>
    </row>
    <row r="74" spans="1:9" s="3" customFormat="1" ht="22.5" customHeight="1">
      <c r="A74" s="418"/>
      <c r="B74" s="419"/>
      <c r="C74" s="418"/>
      <c r="D74" s="420" t="s">
        <v>10</v>
      </c>
      <c r="E74" s="419" t="s">
        <v>19</v>
      </c>
      <c r="F74" s="421" t="s">
        <v>19</v>
      </c>
      <c r="G74" s="421" t="s">
        <v>19</v>
      </c>
      <c r="H74" s="422">
        <f ca="1">MAX(H14+F73-G73-I14,0)</f>
        <v>0</v>
      </c>
      <c r="I74" s="422">
        <f ca="1">MAX(I14+G73-F73-H14,0)</f>
        <v>612123</v>
      </c>
    </row>
    <row r="75" spans="1:9" s="3" customFormat="1" ht="3.75" customHeight="1">
      <c r="A75" s="223"/>
      <c r="B75" s="223"/>
      <c r="C75" s="223"/>
      <c r="E75" s="223"/>
    </row>
    <row r="76" spans="1:9" s="3" customFormat="1" ht="15">
      <c r="A76" s="223"/>
      <c r="B76" s="223"/>
      <c r="C76" s="71" t="s">
        <v>153</v>
      </c>
      <c r="E76" s="223"/>
    </row>
    <row r="77" spans="1:9" s="3" customFormat="1" ht="15">
      <c r="A77" s="223"/>
      <c r="B77" s="223"/>
      <c r="C77" s="423" t="str">
        <f ca="1">"- Ngày mở sổ: "&amp;DAY($A$15)&amp;"/"&amp;MONTH($A$15)&amp;"/ " &amp;YEAR($A$15)</f>
        <v>- Ngày mở sổ: 31/1/ 2017</v>
      </c>
      <c r="E77" s="223"/>
    </row>
    <row r="78" spans="1:9" s="3" customFormat="1" ht="13.5" customHeight="1">
      <c r="A78" s="223"/>
      <c r="B78" s="223"/>
      <c r="C78" s="223"/>
      <c r="E78" s="871" t="str">
        <f ca="1">"Ngày 31 tháng  12  năm  "&amp;YEAR($A$15)</f>
        <v>Ngày 31 tháng  12  năm  2017</v>
      </c>
      <c r="F78" s="871"/>
      <c r="G78" s="871"/>
      <c r="H78" s="871"/>
      <c r="I78" s="871"/>
    </row>
    <row r="79" spans="1:9" s="3" customFormat="1" ht="15">
      <c r="A79" s="871" t="s">
        <v>11</v>
      </c>
      <c r="B79" s="871"/>
      <c r="C79" s="871"/>
      <c r="D79" s="871"/>
      <c r="E79" s="871" t="s">
        <v>12</v>
      </c>
      <c r="F79" s="871"/>
      <c r="G79" s="871"/>
      <c r="H79" s="871"/>
      <c r="I79" s="871"/>
    </row>
    <row r="80" spans="1:9" s="3" customFormat="1" ht="15">
      <c r="A80" s="871" t="s">
        <v>13</v>
      </c>
      <c r="B80" s="871"/>
      <c r="C80" s="871"/>
      <c r="D80" s="871"/>
      <c r="E80" s="871" t="s">
        <v>13</v>
      </c>
      <c r="F80" s="871"/>
      <c r="G80" s="871"/>
      <c r="H80" s="871"/>
      <c r="I80" s="871"/>
    </row>
  </sheetData>
  <mergeCells count="18"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  <mergeCell ref="A79:D79"/>
    <mergeCell ref="E79:I79"/>
    <mergeCell ref="A80:D80"/>
    <mergeCell ref="E80:I80"/>
    <mergeCell ref="E78:I78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16"/>
      <c r="G1" s="874" t="s">
        <v>117</v>
      </c>
      <c r="H1" s="874"/>
      <c r="I1" s="874"/>
      <c r="J1" s="874"/>
      <c r="K1" s="116"/>
      <c r="L1" s="116"/>
      <c r="M1" s="116"/>
      <c r="N1" s="116"/>
      <c r="O1" s="116"/>
      <c r="P1" s="116"/>
    </row>
    <row r="2" spans="1:16" ht="16.5" customHeight="1">
      <c r="A2" s="890" t="str">
        <f>TH!A2</f>
        <v>Địa chỉ: Thửa đất số 144, tờ bản đồ số 12TĐH.1, tổ 1, khu phố Đông Tác, Phường Tân Đông Hiệp, Thị Xã Dĩ An, Tỉnh Bình Dương, Việt Nam</v>
      </c>
      <c r="B2" s="890"/>
      <c r="C2" s="890"/>
      <c r="D2" s="890"/>
      <c r="E2" s="890"/>
      <c r="F2" s="890"/>
      <c r="G2" s="87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75"/>
      <c r="I2" s="875"/>
      <c r="J2" s="875"/>
      <c r="K2" s="116"/>
      <c r="L2" s="116"/>
      <c r="M2" s="116"/>
      <c r="N2" s="116"/>
      <c r="O2" s="116"/>
      <c r="P2" s="116"/>
    </row>
    <row r="3" spans="1:16" ht="16.5" customHeight="1">
      <c r="A3" s="890"/>
      <c r="B3" s="890"/>
      <c r="C3" s="890"/>
      <c r="D3" s="890"/>
      <c r="E3" s="890"/>
      <c r="F3" s="890"/>
      <c r="G3" s="875"/>
      <c r="H3" s="875"/>
      <c r="I3" s="875"/>
      <c r="J3" s="875"/>
      <c r="K3" s="116"/>
      <c r="L3" s="116"/>
      <c r="M3" s="116"/>
      <c r="N3" s="116"/>
      <c r="O3" s="116"/>
      <c r="P3" s="116"/>
    </row>
    <row r="4" spans="1:16" ht="6.75" customHeight="1">
      <c r="A4" s="221"/>
      <c r="B4" s="221"/>
      <c r="C4" s="221"/>
      <c r="D4" s="221"/>
      <c r="E4" s="221"/>
      <c r="F4" s="116"/>
      <c r="G4" s="222"/>
      <c r="H4" s="222"/>
      <c r="I4" s="222"/>
      <c r="J4" s="222"/>
      <c r="K4" s="116"/>
      <c r="L4" s="116"/>
      <c r="M4" s="116"/>
      <c r="N4" s="116"/>
      <c r="O4" s="116"/>
      <c r="P4" s="116"/>
    </row>
    <row r="5" spans="1:16" ht="35.25" customHeight="1">
      <c r="A5" s="884" t="s">
        <v>118</v>
      </c>
      <c r="B5" s="884"/>
      <c r="C5" s="884"/>
      <c r="D5" s="884"/>
      <c r="E5" s="884"/>
      <c r="F5" s="884"/>
      <c r="G5" s="884"/>
      <c r="H5" s="884"/>
      <c r="I5" s="884"/>
      <c r="J5" s="884"/>
      <c r="K5" s="53"/>
      <c r="L5" s="53"/>
      <c r="M5" s="53"/>
      <c r="N5" s="53"/>
      <c r="O5" s="53"/>
      <c r="P5" s="53"/>
    </row>
    <row r="6" spans="1:16" ht="14.25" customHeight="1">
      <c r="A6" s="886" t="str">
        <f ca="1">$L$11&amp;" / "&amp;YEAR($A$14)</f>
        <v>Quý IV / 2017</v>
      </c>
      <c r="B6" s="886"/>
      <c r="C6" s="886"/>
      <c r="D6" s="886"/>
      <c r="E6" s="886"/>
      <c r="F6" s="886"/>
      <c r="G6" s="886"/>
      <c r="H6" s="886"/>
      <c r="I6" s="886"/>
      <c r="J6" s="886"/>
      <c r="K6" s="53"/>
      <c r="L6" s="53"/>
      <c r="M6" s="53"/>
      <c r="N6" s="53"/>
      <c r="O6" s="53"/>
      <c r="P6" s="53"/>
    </row>
    <row r="7" spans="1:16" ht="15">
      <c r="A7" s="885" t="s">
        <v>119</v>
      </c>
      <c r="B7" s="885"/>
      <c r="C7" s="885"/>
      <c r="D7" s="885"/>
      <c r="E7" s="885"/>
      <c r="F7" s="885"/>
      <c r="G7" s="885"/>
      <c r="H7" s="885"/>
      <c r="I7" s="885"/>
      <c r="J7" s="885"/>
      <c r="K7" s="53"/>
      <c r="L7" s="53"/>
      <c r="M7" s="53"/>
      <c r="N7" s="53"/>
      <c r="O7" s="53"/>
      <c r="P7" s="53"/>
    </row>
    <row r="8" spans="1:16" ht="15">
      <c r="A8" s="885" t="s">
        <v>120</v>
      </c>
      <c r="B8" s="885"/>
      <c r="C8" s="885"/>
      <c r="D8" s="885"/>
      <c r="E8" s="885"/>
      <c r="F8" s="885"/>
      <c r="G8" s="885"/>
      <c r="H8" s="885"/>
      <c r="I8" s="885"/>
      <c r="J8" s="885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888" t="s">
        <v>20</v>
      </c>
      <c r="B10" s="888" t="s">
        <v>122</v>
      </c>
      <c r="C10" s="887" t="s">
        <v>123</v>
      </c>
      <c r="D10" s="887"/>
      <c r="E10" s="887" t="s">
        <v>0</v>
      </c>
      <c r="F10" s="888" t="s">
        <v>14</v>
      </c>
      <c r="G10" s="887" t="s">
        <v>21</v>
      </c>
      <c r="H10" s="887"/>
      <c r="I10" s="887" t="s">
        <v>124</v>
      </c>
      <c r="J10" s="887" t="s">
        <v>125</v>
      </c>
      <c r="K10" s="53"/>
      <c r="L10" s="224"/>
      <c r="M10" s="53"/>
      <c r="N10" s="863" t="s">
        <v>239</v>
      </c>
      <c r="O10" s="863"/>
      <c r="P10" s="53"/>
    </row>
    <row r="11" spans="1:16" ht="18" customHeight="1" thickBot="1">
      <c r="A11" s="889"/>
      <c r="B11" s="889"/>
      <c r="C11" s="225" t="s">
        <v>126</v>
      </c>
      <c r="D11" s="225" t="s">
        <v>127</v>
      </c>
      <c r="E11" s="887"/>
      <c r="F11" s="889"/>
      <c r="G11" s="225" t="s">
        <v>22</v>
      </c>
      <c r="H11" s="225" t="s">
        <v>23</v>
      </c>
      <c r="I11" s="887"/>
      <c r="J11" s="887"/>
      <c r="K11" s="53"/>
      <c r="L11" s="179" t="s">
        <v>393</v>
      </c>
      <c r="M11" s="53"/>
      <c r="N11" s="186">
        <f>IF(L11="Quý I",1,IF(L11="Quý II",4,IF(L11="Quý III",7,IF(L11="Quý IV",10,""))))</f>
        <v>10</v>
      </c>
      <c r="O11" s="186">
        <f>IF(L11="Quý I",3,IF(L11="Quý II",6,IF(L11="Quý III",9,IF(L11="Quý IV",12,""))))</f>
        <v>12</v>
      </c>
      <c r="P11" s="53"/>
    </row>
    <row r="12" spans="1:16" ht="11.25" customHeight="1">
      <c r="A12" s="225" t="s">
        <v>2</v>
      </c>
      <c r="B12" s="225" t="s">
        <v>3</v>
      </c>
      <c r="C12" s="225" t="s">
        <v>4</v>
      </c>
      <c r="D12" s="225" t="s">
        <v>5</v>
      </c>
      <c r="E12" s="225" t="s">
        <v>6</v>
      </c>
      <c r="F12" s="225" t="s">
        <v>128</v>
      </c>
      <c r="G12" s="225">
        <v>1</v>
      </c>
      <c r="H12" s="225">
        <v>2</v>
      </c>
      <c r="I12" s="225">
        <v>3</v>
      </c>
      <c r="J12" s="225" t="s">
        <v>129</v>
      </c>
      <c r="K12" s="53"/>
      <c r="L12" s="53"/>
      <c r="M12" s="53"/>
      <c r="N12" s="129"/>
      <c r="O12" s="129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458701918</v>
      </c>
      <c r="J13" s="56"/>
      <c r="K13" s="55"/>
      <c r="L13" s="55"/>
      <c r="M13" s="55"/>
      <c r="N13" s="128"/>
      <c r="O13" s="128"/>
      <c r="P13" s="55"/>
    </row>
    <row r="14" spans="1:16" ht="21.75" customHeight="1">
      <c r="A14" s="59">
        <f ca="1">IF(ROWS($1:1)&gt;COUNT(Dong1),"",OFFSET(TH!C$1,SMALL(Dong1,ROWS($1:1)),))</f>
        <v>43009</v>
      </c>
      <c r="B14" s="59">
        <f ca="1">IF(ROWS($1:1)&gt;COUNT(Dong1),"",OFFSET(TH!E$1,SMALL(Dong1,ROWS($1:1)),))</f>
        <v>43009</v>
      </c>
      <c r="C14" s="60" t="str">
        <f ca="1">IF(ROWS($1:1)&gt;COUNT(Dong1),"",IF(OFFSET(TH!L$1,SMALL(Dong1,ROWS($1:1)),)="1111",OFFSET(TH!D$1,SMALL(Dong1,ROWS($1:1)),),""))</f>
        <v>GBN</v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>thu tien hang</v>
      </c>
      <c r="F14" s="63" t="str">
        <f ca="1">IF(ROWS($1:1)&gt;COUNT(Dong1),"",IF(OFFSET(TH!M$1,SMALL(Dong1,ROWS($1:1)),)="1111",OFFSET(TH!L$1,SMALL(Dong1,ROWS($1:1)),),OFFSET(TH!M$1,SMALL(Dong1,ROWS($1:1)),)))</f>
        <v>131</v>
      </c>
      <c r="G14" s="64">
        <f ca="1">IF(ROWS($1:1)&gt;COUNT(Dong1),"",IF(OFFSET(TH!L$1,SMALL(Dong1,ROWS($1:1)),)="1111",OFFSET(TH!K$1,SMALL(Dong1,ROWS($1:1)),),0))</f>
        <v>41229443</v>
      </c>
      <c r="H14" s="62">
        <f ca="1">IF(ROWS($1:1)&gt;COUNT(Dong1),"",IF(OFFSET(TH!M$1,SMALL(Dong1,ROWS($1:1)),)="1111",OFFSET(TH!K$1,SMALL(Dong1,ROWS($1:1)),),0))</f>
        <v>0</v>
      </c>
      <c r="I14" s="60">
        <f ca="1">IF(E14&lt;&gt;"",I13+G14-H14,0)</f>
        <v>499931361</v>
      </c>
      <c r="J14" s="65"/>
      <c r="K14" s="53"/>
      <c r="L14" s="53"/>
      <c r="M14" s="53"/>
      <c r="N14" s="129"/>
      <c r="O14" s="129"/>
      <c r="P14" s="53"/>
    </row>
    <row r="15" spans="1:16" ht="21.75" customHeight="1">
      <c r="A15" s="59">
        <f ca="1">IF(ROWS($1:2)&gt;COUNT(Dong1),"",OFFSET(TH!C$1,SMALL(Dong1,ROWS($1:2)),))</f>
        <v>43010</v>
      </c>
      <c r="B15" s="59">
        <f ca="1">IF(ROWS($1:2)&gt;COUNT(Dong1),"",OFFSET(TH!E$1,SMALL(Dong1,ROWS($1:2)),))</f>
        <v>43010</v>
      </c>
      <c r="C15" s="60" t="str">
        <f ca="1">IF(ROWS($1:2)&gt;COUNT(Dong1),"",IF(OFFSET(TH!L$1,SMALL(Dong1,ROWS($1:2)),)="1111",OFFSET(TH!D$1,SMALL(Dong1,ROWS($1:2)),),""))</f>
        <v>GBN</v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>thu tien hang</v>
      </c>
      <c r="F15" s="63" t="str">
        <f ca="1">IF(ROWS($1:2)&gt;COUNT(Dong1),"",IF(OFFSET(TH!M$1,SMALL(Dong1,ROWS($1:2)),)="1111",OFFSET(TH!L$1,SMALL(Dong1,ROWS($1:2)),),OFFSET(TH!M$1,SMALL(Dong1,ROWS($1:2)),)))</f>
        <v>131</v>
      </c>
      <c r="G15" s="64">
        <f ca="1">IF(ROWS($1:2)&gt;COUNT(Dong1),"",IF(OFFSET(TH!L$1,SMALL(Dong1,ROWS($1:2)),)="1111",OFFSET(TH!K$1,SMALL(Dong1,ROWS($1:2)),),0))</f>
        <v>20001508</v>
      </c>
      <c r="H15" s="62">
        <f ca="1">IF(ROWS($1:2)&gt;COUNT(Dong1),"",IF(OFFSET(TH!M$1,SMALL(Dong1,ROWS($1:2)),)="1111",OFFSET(TH!K$1,SMALL(Dong1,ROWS($1:2)),),0))</f>
        <v>0</v>
      </c>
      <c r="I15" s="60">
        <f t="shared" ref="I15:I30" ca="1" si="0">IF(E15&lt;&gt;"",I14+G15-H15,0)</f>
        <v>519932869</v>
      </c>
      <c r="J15" s="65"/>
      <c r="K15" s="53"/>
      <c r="L15" s="53"/>
      <c r="M15" s="53"/>
      <c r="N15" s="129"/>
      <c r="O15" s="129"/>
      <c r="P15" s="53"/>
    </row>
    <row r="16" spans="1:16" ht="21.75" customHeight="1">
      <c r="A16" s="59">
        <f ca="1">IF(ROWS($1:3)&gt;COUNT(Dong1),"",OFFSET(TH!C$1,SMALL(Dong1,ROWS($1:3)),))</f>
        <v>43011</v>
      </c>
      <c r="B16" s="59">
        <f ca="1">IF(ROWS($1:3)&gt;COUNT(Dong1),"",OFFSET(TH!E$1,SMALL(Dong1,ROWS($1:3)),))</f>
        <v>43011</v>
      </c>
      <c r="C16" s="60" t="str">
        <f ca="1">IF(ROWS($1:3)&gt;COUNT(Dong1),"",IF(OFFSET(TH!L$1,SMALL(Dong1,ROWS($1:3)),)="1111",OFFSET(TH!D$1,SMALL(Dong1,ROWS($1:3)),),""))</f>
        <v>GBN</v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>thu tien hang</v>
      </c>
      <c r="F16" s="63" t="str">
        <f ca="1">IF(ROWS($1:3)&gt;COUNT(Dong1),"",IF(OFFSET(TH!M$1,SMALL(Dong1,ROWS($1:3)),)="1111",OFFSET(TH!L$1,SMALL(Dong1,ROWS($1:3)),),OFFSET(TH!M$1,SMALL(Dong1,ROWS($1:3)),)))</f>
        <v>131</v>
      </c>
      <c r="G16" s="64">
        <f ca="1">IF(ROWS($1:3)&gt;COUNT(Dong1),"",IF(OFFSET(TH!L$1,SMALL(Dong1,ROWS($1:3)),)="1111",OFFSET(TH!K$1,SMALL(Dong1,ROWS($1:3)),),0))</f>
        <v>10864040</v>
      </c>
      <c r="H16" s="62">
        <f ca="1">IF(ROWS($1:3)&gt;COUNT(Dong1),"",IF(OFFSET(TH!M$1,SMALL(Dong1,ROWS($1:3)),)="1111",OFFSET(TH!K$1,SMALL(Dong1,ROWS($1:3)),),0))</f>
        <v>0</v>
      </c>
      <c r="I16" s="60">
        <f t="shared" ca="1" si="0"/>
        <v>530796909</v>
      </c>
      <c r="J16" s="65"/>
      <c r="K16" s="53"/>
      <c r="L16" s="53"/>
      <c r="M16" s="53"/>
      <c r="N16" s="129"/>
      <c r="O16" s="129"/>
      <c r="P16" s="53"/>
    </row>
    <row r="17" spans="1:16" ht="21.75" customHeight="1">
      <c r="A17" s="59">
        <f ca="1">IF(ROWS($1:4)&gt;COUNT(Dong1),"",OFFSET(TH!C$1,SMALL(Dong1,ROWS($1:4)),))</f>
        <v>43012</v>
      </c>
      <c r="B17" s="59">
        <f ca="1">IF(ROWS($1:4)&gt;COUNT(Dong1),"",OFFSET(TH!E$1,SMALL(Dong1,ROWS($1:4)),))</f>
        <v>43012</v>
      </c>
      <c r="C17" s="60" t="str">
        <f ca="1">IF(ROWS($1:4)&gt;COUNT(Dong1),"",IF(OFFSET(TH!L$1,SMALL(Dong1,ROWS($1:4)),)="1111",OFFSET(TH!D$1,SMALL(Dong1,ROWS($1:4)),),""))</f>
        <v>GBN</v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>thu tien hang</v>
      </c>
      <c r="F17" s="63" t="str">
        <f ca="1">IF(ROWS($1:4)&gt;COUNT(Dong1),"",IF(OFFSET(TH!M$1,SMALL(Dong1,ROWS($1:4)),)="1111",OFFSET(TH!L$1,SMALL(Dong1,ROWS($1:4)),),OFFSET(TH!M$1,SMALL(Dong1,ROWS($1:4)),)))</f>
        <v>131</v>
      </c>
      <c r="G17" s="64">
        <f ca="1">IF(ROWS($1:4)&gt;COUNT(Dong1),"",IF(OFFSET(TH!L$1,SMALL(Dong1,ROWS($1:4)),)="1111",OFFSET(TH!K$1,SMALL(Dong1,ROWS($1:4)),),0))</f>
        <v>128085673</v>
      </c>
      <c r="H17" s="62">
        <f ca="1">IF(ROWS($1:4)&gt;COUNT(Dong1),"",IF(OFFSET(TH!M$1,SMALL(Dong1,ROWS($1:4)),)="1111",OFFSET(TH!K$1,SMALL(Dong1,ROWS($1:4)),),0))</f>
        <v>0</v>
      </c>
      <c r="I17" s="60">
        <f t="shared" ca="1" si="0"/>
        <v>658882582</v>
      </c>
      <c r="J17" s="65"/>
      <c r="K17" s="53"/>
      <c r="L17" s="53"/>
      <c r="M17" s="53"/>
      <c r="N17" s="129"/>
      <c r="O17" s="129"/>
      <c r="P17" s="53"/>
    </row>
    <row r="18" spans="1:16" ht="21.75" customHeight="1">
      <c r="A18" s="59">
        <f ca="1">IF(ROWS($1:5)&gt;COUNT(Dong1),"",OFFSET(TH!C$1,SMALL(Dong1,ROWS($1:5)),))</f>
        <v>43013</v>
      </c>
      <c r="B18" s="59">
        <f ca="1">IF(ROWS($1:5)&gt;COUNT(Dong1),"",OFFSET(TH!E$1,SMALL(Dong1,ROWS($1:5)),))</f>
        <v>43013</v>
      </c>
      <c r="C18" s="60" t="str">
        <f ca="1">IF(ROWS($1:5)&gt;COUNT(Dong1),"",IF(OFFSET(TH!L$1,SMALL(Dong1,ROWS($1:5)),)="1111",OFFSET(TH!D$1,SMALL(Dong1,ROWS($1:5)),),""))</f>
        <v>GBN</v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>thu tien hang</v>
      </c>
      <c r="F18" s="63" t="str">
        <f ca="1">IF(ROWS($1:5)&gt;COUNT(Dong1),"",IF(OFFSET(TH!M$1,SMALL(Dong1,ROWS($1:5)),)="1111",OFFSET(TH!L$1,SMALL(Dong1,ROWS($1:5)),),OFFSET(TH!M$1,SMALL(Dong1,ROWS($1:5)),)))</f>
        <v>131</v>
      </c>
      <c r="G18" s="64">
        <f ca="1">IF(ROWS($1:5)&gt;COUNT(Dong1),"",IF(OFFSET(TH!L$1,SMALL(Dong1,ROWS($1:5)),)="1111",OFFSET(TH!K$1,SMALL(Dong1,ROWS($1:5)),),0))</f>
        <v>3300000</v>
      </c>
      <c r="H18" s="62">
        <f ca="1">IF(ROWS($1:5)&gt;COUNT(Dong1),"",IF(OFFSET(TH!M$1,SMALL(Dong1,ROWS($1:5)),)="1111",OFFSET(TH!K$1,SMALL(Dong1,ROWS($1:5)),),0))</f>
        <v>0</v>
      </c>
      <c r="I18" s="60">
        <f t="shared" ca="1" si="0"/>
        <v>662182582</v>
      </c>
      <c r="J18" s="65"/>
      <c r="K18" s="53"/>
      <c r="L18" s="53"/>
      <c r="M18" s="53"/>
      <c r="N18" s="129"/>
      <c r="O18" s="129"/>
      <c r="P18" s="53"/>
    </row>
    <row r="19" spans="1:16" ht="21.75" customHeight="1">
      <c r="A19" s="59">
        <f ca="1">IF(ROWS($1:6)&gt;COUNT(Dong1),"",OFFSET(TH!C$1,SMALL(Dong1,ROWS($1:6)),))</f>
        <v>43014</v>
      </c>
      <c r="B19" s="59">
        <f ca="1">IF(ROWS($1:6)&gt;COUNT(Dong1),"",OFFSET(TH!E$1,SMALL(Dong1,ROWS($1:6)),))</f>
        <v>43014</v>
      </c>
      <c r="C19" s="60" t="str">
        <f ca="1">IF(ROWS($1:6)&gt;COUNT(Dong1),"",IF(OFFSET(TH!L$1,SMALL(Dong1,ROWS($1:6)),)="1111",OFFSET(TH!D$1,SMALL(Dong1,ROWS($1:6)),),""))</f>
        <v>GBN</v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>thu tien hang</v>
      </c>
      <c r="F19" s="63" t="str">
        <f ca="1">IF(ROWS($1:6)&gt;COUNT(Dong1),"",IF(OFFSET(TH!M$1,SMALL(Dong1,ROWS($1:6)),)="1111",OFFSET(TH!L$1,SMALL(Dong1,ROWS($1:6)),),OFFSET(TH!M$1,SMALL(Dong1,ROWS($1:6)),)))</f>
        <v>131</v>
      </c>
      <c r="G19" s="64">
        <f ca="1">IF(ROWS($1:6)&gt;COUNT(Dong1),"",IF(OFFSET(TH!L$1,SMALL(Dong1,ROWS($1:6)),)="1111",OFFSET(TH!K$1,SMALL(Dong1,ROWS($1:6)),),0))</f>
        <v>1999140</v>
      </c>
      <c r="H19" s="62">
        <f ca="1">IF(ROWS($1:6)&gt;COUNT(Dong1),"",IF(OFFSET(TH!M$1,SMALL(Dong1,ROWS($1:6)),)="1111",OFFSET(TH!K$1,SMALL(Dong1,ROWS($1:6)),),0))</f>
        <v>0</v>
      </c>
      <c r="I19" s="60">
        <f t="shared" ca="1" si="0"/>
        <v>664181722</v>
      </c>
      <c r="J19" s="65"/>
      <c r="K19" s="53"/>
      <c r="L19" s="53"/>
      <c r="M19" s="53"/>
      <c r="N19" s="129"/>
      <c r="O19" s="129"/>
      <c r="P19" s="53"/>
    </row>
    <row r="20" spans="1:16" ht="21.75" customHeight="1">
      <c r="A20" s="59">
        <f ca="1">IF(ROWS($1:7)&gt;COUNT(Dong1),"",OFFSET(TH!C$1,SMALL(Dong1,ROWS($1:7)),))</f>
        <v>43009</v>
      </c>
      <c r="B20" s="59">
        <f ca="1">IF(ROWS($1:7)&gt;COUNT(Dong1),"",OFFSET(TH!E$1,SMALL(Dong1,ROWS($1:7)),))</f>
        <v>43009</v>
      </c>
      <c r="C20" s="60" t="str">
        <f ca="1">IF(ROWS($1:7)&gt;COUNT(Dong1),"",IF(OFFSET(TH!L$1,SMALL(Dong1,ROWS($1:7)),)="1111",OFFSET(TH!D$1,SMALL(Dong1,ROWS($1:7)),),""))</f>
        <v>GBN</v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>thu tien hang</v>
      </c>
      <c r="F20" s="63" t="str">
        <f ca="1">IF(ROWS($1:7)&gt;COUNT(Dong1),"",IF(OFFSET(TH!M$1,SMALL(Dong1,ROWS($1:7)),)="1111",OFFSET(TH!L$1,SMALL(Dong1,ROWS($1:7)),),OFFSET(TH!M$1,SMALL(Dong1,ROWS($1:7)),)))</f>
        <v>131</v>
      </c>
      <c r="G20" s="64">
        <f ca="1">IF(ROWS($1:7)&gt;COUNT(Dong1),"",IF(OFFSET(TH!L$1,SMALL(Dong1,ROWS($1:7)),)="1111",OFFSET(TH!K$1,SMALL(Dong1,ROWS($1:7)),),0))</f>
        <v>1320000</v>
      </c>
      <c r="H20" s="62">
        <f ca="1">IF(ROWS($1:7)&gt;COUNT(Dong1),"",IF(OFFSET(TH!M$1,SMALL(Dong1,ROWS($1:7)),)="1111",OFFSET(TH!K$1,SMALL(Dong1,ROWS($1:7)),),0))</f>
        <v>0</v>
      </c>
      <c r="I20" s="60">
        <f t="shared" ca="1" si="0"/>
        <v>665501722</v>
      </c>
      <c r="J20" s="65"/>
      <c r="K20" s="53"/>
      <c r="L20" s="53"/>
      <c r="M20" s="53"/>
      <c r="N20" s="129"/>
      <c r="O20" s="129"/>
      <c r="P20" s="53"/>
    </row>
    <row r="21" spans="1:16" ht="21.75" customHeight="1">
      <c r="A21" s="59">
        <f ca="1">IF(ROWS($1:8)&gt;COUNT(Dong1),"",OFFSET(TH!C$1,SMALL(Dong1,ROWS($1:8)),))</f>
        <v>43010</v>
      </c>
      <c r="B21" s="59">
        <f ca="1">IF(ROWS($1:8)&gt;COUNT(Dong1),"",OFFSET(TH!E$1,SMALL(Dong1,ROWS($1:8)),))</f>
        <v>43010</v>
      </c>
      <c r="C21" s="60" t="str">
        <f ca="1">IF(ROWS($1:8)&gt;COUNT(Dong1),"",IF(OFFSET(TH!L$1,SMALL(Dong1,ROWS($1:8)),)="1111",OFFSET(TH!D$1,SMALL(Dong1,ROWS($1:8)),),""))</f>
        <v>GBN</v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>thu tien hang</v>
      </c>
      <c r="F21" s="63" t="str">
        <f ca="1">IF(ROWS($1:8)&gt;COUNT(Dong1),"",IF(OFFSET(TH!M$1,SMALL(Dong1,ROWS($1:8)),)="1111",OFFSET(TH!L$1,SMALL(Dong1,ROWS($1:8)),),OFFSET(TH!M$1,SMALL(Dong1,ROWS($1:8)),)))</f>
        <v>131</v>
      </c>
      <c r="G21" s="64">
        <f ca="1">IF(ROWS($1:8)&gt;COUNT(Dong1),"",IF(OFFSET(TH!L$1,SMALL(Dong1,ROWS($1:8)),)="1111",OFFSET(TH!K$1,SMALL(Dong1,ROWS($1:8)),),0))</f>
        <v>129693827</v>
      </c>
      <c r="H21" s="62">
        <f ca="1">IF(ROWS($1:8)&gt;COUNT(Dong1),"",IF(OFFSET(TH!M$1,SMALL(Dong1,ROWS($1:8)),)="1111",OFFSET(TH!K$1,SMALL(Dong1,ROWS($1:8)),),0))</f>
        <v>0</v>
      </c>
      <c r="I21" s="60">
        <f t="shared" ca="1" si="0"/>
        <v>795195549</v>
      </c>
      <c r="J21" s="65"/>
      <c r="K21" s="53"/>
      <c r="L21" s="53"/>
      <c r="M21" s="53"/>
      <c r="N21" s="129"/>
      <c r="O21" s="129"/>
      <c r="P21" s="53"/>
    </row>
    <row r="22" spans="1:16" ht="21.75" customHeight="1">
      <c r="A22" s="59">
        <f ca="1">IF(ROWS($1:9)&gt;COUNT(Dong1),"",OFFSET(TH!C$1,SMALL(Dong1,ROWS($1:9)),))</f>
        <v>43011</v>
      </c>
      <c r="B22" s="59">
        <f ca="1">IF(ROWS($1:9)&gt;COUNT(Dong1),"",OFFSET(TH!E$1,SMALL(Dong1,ROWS($1:9)),))</f>
        <v>43011</v>
      </c>
      <c r="C22" s="60" t="str">
        <f ca="1">IF(ROWS($1:9)&gt;COUNT(Dong1),"",IF(OFFSET(TH!L$1,SMALL(Dong1,ROWS($1:9)),)="1111",OFFSET(TH!D$1,SMALL(Dong1,ROWS($1:9)),),""))</f>
        <v>GBN</v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>thu tien hang</v>
      </c>
      <c r="F22" s="63" t="str">
        <f ca="1">IF(ROWS($1:9)&gt;COUNT(Dong1),"",IF(OFFSET(TH!M$1,SMALL(Dong1,ROWS($1:9)),)="1111",OFFSET(TH!L$1,SMALL(Dong1,ROWS($1:9)),),OFFSET(TH!M$1,SMALL(Dong1,ROWS($1:9)),)))</f>
        <v>131</v>
      </c>
      <c r="G22" s="64">
        <f ca="1">IF(ROWS($1:9)&gt;COUNT(Dong1),"",IF(OFFSET(TH!L$1,SMALL(Dong1,ROWS($1:9)),)="1111",OFFSET(TH!K$1,SMALL(Dong1,ROWS($1:9)),),0))</f>
        <v>69812220</v>
      </c>
      <c r="H22" s="62">
        <f ca="1">IF(ROWS($1:9)&gt;COUNT(Dong1),"",IF(OFFSET(TH!M$1,SMALL(Dong1,ROWS($1:9)),)="1111",OFFSET(TH!K$1,SMALL(Dong1,ROWS($1:9)),),0))</f>
        <v>0</v>
      </c>
      <c r="I22" s="60">
        <f t="shared" ca="1" si="0"/>
        <v>865007769</v>
      </c>
      <c r="J22" s="65"/>
      <c r="K22" s="53"/>
      <c r="L22" s="53"/>
      <c r="M22" s="53"/>
      <c r="N22" s="129"/>
      <c r="O22" s="129"/>
      <c r="P22" s="53"/>
    </row>
    <row r="23" spans="1:16" ht="21.75" customHeight="1">
      <c r="A23" s="59">
        <f ca="1">IF(ROWS($1:10)&gt;COUNT(Dong1),"",OFFSET(TH!C$1,SMALL(Dong1,ROWS($1:10)),))</f>
        <v>43012</v>
      </c>
      <c r="B23" s="59">
        <f ca="1">IF(ROWS($1:10)&gt;COUNT(Dong1),"",OFFSET(TH!E$1,SMALL(Dong1,ROWS($1:10)),))</f>
        <v>43012</v>
      </c>
      <c r="C23" s="60" t="str">
        <f ca="1">IF(ROWS($1:10)&gt;COUNT(Dong1),"",IF(OFFSET(TH!L$1,SMALL(Dong1,ROWS($1:10)),)="1111",OFFSET(TH!D$1,SMALL(Dong1,ROWS($1:10)),),""))</f>
        <v>GBN</v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>thu tien hang</v>
      </c>
      <c r="F23" s="63" t="str">
        <f ca="1">IF(ROWS($1:10)&gt;COUNT(Dong1),"",IF(OFFSET(TH!M$1,SMALL(Dong1,ROWS($1:10)),)="1111",OFFSET(TH!L$1,SMALL(Dong1,ROWS($1:10)),),OFFSET(TH!M$1,SMALL(Dong1,ROWS($1:10)),)))</f>
        <v>131</v>
      </c>
      <c r="G23" s="64">
        <f ca="1">IF(ROWS($1:10)&gt;COUNT(Dong1),"",IF(OFFSET(TH!L$1,SMALL(Dong1,ROWS($1:10)),)="1111",OFFSET(TH!K$1,SMALL(Dong1,ROWS($1:10)),),0))</f>
        <v>44087439</v>
      </c>
      <c r="H23" s="62">
        <f ca="1">IF(ROWS($1:10)&gt;COUNT(Dong1),"",IF(OFFSET(TH!M$1,SMALL(Dong1,ROWS($1:10)),)="1111",OFFSET(TH!K$1,SMALL(Dong1,ROWS($1:10)),),0))</f>
        <v>0</v>
      </c>
      <c r="I23" s="60">
        <f t="shared" ca="1" si="0"/>
        <v>909095208</v>
      </c>
      <c r="J23" s="65"/>
      <c r="K23" s="53"/>
      <c r="L23" s="53"/>
      <c r="M23" s="53"/>
      <c r="N23" s="129"/>
      <c r="O23" s="129"/>
      <c r="P23" s="53"/>
    </row>
    <row r="24" spans="1:16" ht="21.75" customHeight="1">
      <c r="A24" s="59">
        <f ca="1">IF(ROWS($1:11)&gt;COUNT(Dong1),"",OFFSET(TH!C$1,SMALL(Dong1,ROWS($1:11)),))</f>
        <v>43013</v>
      </c>
      <c r="B24" s="59">
        <f ca="1">IF(ROWS($1:11)&gt;COUNT(Dong1),"",OFFSET(TH!E$1,SMALL(Dong1,ROWS($1:11)),))</f>
        <v>43013</v>
      </c>
      <c r="C24" s="60" t="str">
        <f ca="1">IF(ROWS($1:11)&gt;COUNT(Dong1),"",IF(OFFSET(TH!L$1,SMALL(Dong1,ROWS($1:11)),)="1111",OFFSET(TH!D$1,SMALL(Dong1,ROWS($1:11)),),""))</f>
        <v>GBN</v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>thu tien hang</v>
      </c>
      <c r="F24" s="63" t="str">
        <f ca="1">IF(ROWS($1:11)&gt;COUNT(Dong1),"",IF(OFFSET(TH!M$1,SMALL(Dong1,ROWS($1:11)),)="1111",OFFSET(TH!L$1,SMALL(Dong1,ROWS($1:11)),),OFFSET(TH!M$1,SMALL(Dong1,ROWS($1:11)),)))</f>
        <v>131</v>
      </c>
      <c r="G24" s="64">
        <f ca="1">IF(ROWS($1:11)&gt;COUNT(Dong1),"",IF(OFFSET(TH!L$1,SMALL(Dong1,ROWS($1:11)),)="1111",OFFSET(TH!K$1,SMALL(Dong1,ROWS($1:11)),),0))</f>
        <v>16427400</v>
      </c>
      <c r="H24" s="62">
        <f ca="1">IF(ROWS($1:11)&gt;COUNT(Dong1),"",IF(OFFSET(TH!M$1,SMALL(Dong1,ROWS($1:11)),)="1111",OFFSET(TH!K$1,SMALL(Dong1,ROWS($1:11)),),0))</f>
        <v>0</v>
      </c>
      <c r="I24" s="60">
        <f t="shared" ca="1" si="0"/>
        <v>925522608</v>
      </c>
      <c r="J24" s="65"/>
      <c r="K24" s="53"/>
      <c r="L24" s="53"/>
      <c r="M24" s="53"/>
      <c r="N24" s="129"/>
      <c r="O24" s="129"/>
      <c r="P24" s="53"/>
    </row>
    <row r="25" spans="1:16" ht="21.75" customHeight="1">
      <c r="A25" s="59">
        <f ca="1">IF(ROWS($1:12)&gt;COUNT(Dong1),"",OFFSET(TH!C$1,SMALL(Dong1,ROWS($1:12)),))</f>
        <v>43014</v>
      </c>
      <c r="B25" s="59">
        <f ca="1">IF(ROWS($1:12)&gt;COUNT(Dong1),"",OFFSET(TH!E$1,SMALL(Dong1,ROWS($1:12)),))</f>
        <v>43014</v>
      </c>
      <c r="C25" s="60" t="str">
        <f ca="1">IF(ROWS($1:12)&gt;COUNT(Dong1),"",IF(OFFSET(TH!L$1,SMALL(Dong1,ROWS($1:12)),)="1111",OFFSET(TH!D$1,SMALL(Dong1,ROWS($1:12)),),""))</f>
        <v>GBN</v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>thu tien hang</v>
      </c>
      <c r="F25" s="63" t="str">
        <f ca="1">IF(ROWS($1:12)&gt;COUNT(Dong1),"",IF(OFFSET(TH!M$1,SMALL(Dong1,ROWS($1:12)),)="1111",OFFSET(TH!L$1,SMALL(Dong1,ROWS($1:12)),),OFFSET(TH!M$1,SMALL(Dong1,ROWS($1:12)),)))</f>
        <v>131</v>
      </c>
      <c r="G25" s="64">
        <f ca="1">IF(ROWS($1:12)&gt;COUNT(Dong1),"",IF(OFFSET(TH!L$1,SMALL(Dong1,ROWS($1:12)),)="1111",OFFSET(TH!K$1,SMALL(Dong1,ROWS($1:12)),),0))</f>
        <v>715000</v>
      </c>
      <c r="H25" s="62">
        <f ca="1">IF(ROWS($1:12)&gt;COUNT(Dong1),"",IF(OFFSET(TH!M$1,SMALL(Dong1,ROWS($1:12)),)="1111",OFFSET(TH!K$1,SMALL(Dong1,ROWS($1:12)),),0))</f>
        <v>0</v>
      </c>
      <c r="I25" s="60">
        <f t="shared" ca="1" si="0"/>
        <v>926237608</v>
      </c>
      <c r="J25" s="65"/>
      <c r="K25" s="53"/>
      <c r="L25" s="53"/>
      <c r="M25" s="53"/>
      <c r="N25" s="129"/>
      <c r="O25" s="129"/>
      <c r="P25" s="53"/>
    </row>
    <row r="26" spans="1:16" ht="21.75" customHeight="1">
      <c r="A26" s="59">
        <f ca="1">IF(ROWS($1:13)&gt;COUNT(Dong1),"",OFFSET(TH!C$1,SMALL(Dong1,ROWS($1:13)),))</f>
        <v>43009</v>
      </c>
      <c r="B26" s="59">
        <f ca="1">IF(ROWS($1:13)&gt;COUNT(Dong1),"",OFFSET(TH!E$1,SMALL(Dong1,ROWS($1:13)),))</f>
        <v>43009</v>
      </c>
      <c r="C26" s="60" t="str">
        <f ca="1">IF(ROWS($1:13)&gt;COUNT(Dong1),"",IF(OFFSET(TH!L$1,SMALL(Dong1,ROWS($1:13)),)="1111",OFFSET(TH!D$1,SMALL(Dong1,ROWS($1:13)),),""))</f>
        <v>GBN</v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>thu tien hang</v>
      </c>
      <c r="F26" s="63" t="str">
        <f ca="1">IF(ROWS($1:13)&gt;COUNT(Dong1),"",IF(OFFSET(TH!M$1,SMALL(Dong1,ROWS($1:13)),)="1111",OFFSET(TH!L$1,SMALL(Dong1,ROWS($1:13)),),OFFSET(TH!M$1,SMALL(Dong1,ROWS($1:13)),)))</f>
        <v>131</v>
      </c>
      <c r="G26" s="64">
        <f ca="1">IF(ROWS($1:13)&gt;COUNT(Dong1),"",IF(OFFSET(TH!L$1,SMALL(Dong1,ROWS($1:13)),)="1111",OFFSET(TH!K$1,SMALL(Dong1,ROWS($1:13)),),0))</f>
        <v>25869505</v>
      </c>
      <c r="H26" s="62">
        <f ca="1">IF(ROWS($1:13)&gt;COUNT(Dong1),"",IF(OFFSET(TH!M$1,SMALL(Dong1,ROWS($1:13)),)="1111",OFFSET(TH!K$1,SMALL(Dong1,ROWS($1:13)),),0))</f>
        <v>0</v>
      </c>
      <c r="I26" s="60">
        <f t="shared" ca="1" si="0"/>
        <v>952107113</v>
      </c>
      <c r="J26" s="65"/>
      <c r="K26" s="53"/>
      <c r="L26" s="53"/>
      <c r="M26" s="53"/>
      <c r="N26" s="129"/>
      <c r="O26" s="129"/>
      <c r="P26" s="53"/>
    </row>
    <row r="27" spans="1:16" ht="21.75" customHeight="1">
      <c r="A27" s="59">
        <f ca="1">IF(ROWS($1:14)&gt;COUNT(Dong1),"",OFFSET(TH!C$1,SMALL(Dong1,ROWS($1:14)),))</f>
        <v>43010</v>
      </c>
      <c r="B27" s="59">
        <f ca="1">IF(ROWS($1:14)&gt;COUNT(Dong1),"",OFFSET(TH!E$1,SMALL(Dong1,ROWS($1:14)),))</f>
        <v>43010</v>
      </c>
      <c r="C27" s="60" t="str">
        <f ca="1">IF(ROWS($1:14)&gt;COUNT(Dong1),"",IF(OFFSET(TH!L$1,SMALL(Dong1,ROWS($1:14)),)="1111",OFFSET(TH!D$1,SMALL(Dong1,ROWS($1:14)),),""))</f>
        <v>GBN</v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>thu tien hang</v>
      </c>
      <c r="F27" s="63" t="str">
        <f ca="1">IF(ROWS($1:14)&gt;COUNT(Dong1),"",IF(OFFSET(TH!M$1,SMALL(Dong1,ROWS($1:14)),)="1111",OFFSET(TH!L$1,SMALL(Dong1,ROWS($1:14)),),OFFSET(TH!M$1,SMALL(Dong1,ROWS($1:14)),)))</f>
        <v>131</v>
      </c>
      <c r="G27" s="64">
        <f ca="1">IF(ROWS($1:14)&gt;COUNT(Dong1),"",IF(OFFSET(TH!L$1,SMALL(Dong1,ROWS($1:14)),)="1111",OFFSET(TH!K$1,SMALL(Dong1,ROWS($1:14)),),0))</f>
        <v>8800000</v>
      </c>
      <c r="H27" s="62">
        <f ca="1">IF(ROWS($1:14)&gt;COUNT(Dong1),"",IF(OFFSET(TH!M$1,SMALL(Dong1,ROWS($1:14)),)="1111",OFFSET(TH!K$1,SMALL(Dong1,ROWS($1:14)),),0))</f>
        <v>0</v>
      </c>
      <c r="I27" s="60">
        <f t="shared" ca="1" si="0"/>
        <v>960907113</v>
      </c>
      <c r="J27" s="65"/>
      <c r="K27" s="53"/>
      <c r="L27" s="53"/>
      <c r="M27" s="53"/>
      <c r="N27" s="129"/>
      <c r="O27" s="129"/>
      <c r="P27" s="53"/>
    </row>
    <row r="28" spans="1:16" ht="21.75" customHeight="1">
      <c r="A28" s="59">
        <f ca="1">IF(ROWS($1:15)&gt;COUNT(Dong1),"",OFFSET(TH!C$1,SMALL(Dong1,ROWS($1:15)),))</f>
        <v>43011</v>
      </c>
      <c r="B28" s="59">
        <f ca="1">IF(ROWS($1:15)&gt;COUNT(Dong1),"",OFFSET(TH!E$1,SMALL(Dong1,ROWS($1:15)),))</f>
        <v>43011</v>
      </c>
      <c r="C28" s="60" t="str">
        <f ca="1">IF(ROWS($1:15)&gt;COUNT(Dong1),"",IF(OFFSET(TH!L$1,SMALL(Dong1,ROWS($1:15)),)="1111",OFFSET(TH!D$1,SMALL(Dong1,ROWS($1:15)),),""))</f>
        <v>GBN</v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>thu tien hang</v>
      </c>
      <c r="F28" s="63" t="str">
        <f ca="1">IF(ROWS($1:15)&gt;COUNT(Dong1),"",IF(OFFSET(TH!M$1,SMALL(Dong1,ROWS($1:15)),)="1111",OFFSET(TH!L$1,SMALL(Dong1,ROWS($1:15)),),OFFSET(TH!M$1,SMALL(Dong1,ROWS($1:15)),)))</f>
        <v>131</v>
      </c>
      <c r="G28" s="64">
        <f ca="1">IF(ROWS($1:15)&gt;COUNT(Dong1),"",IF(OFFSET(TH!L$1,SMALL(Dong1,ROWS($1:15)),)="1111",OFFSET(TH!K$1,SMALL(Dong1,ROWS($1:15)),),0))</f>
        <v>7067500</v>
      </c>
      <c r="H28" s="62">
        <f ca="1">IF(ROWS($1:15)&gt;COUNT(Dong1),"",IF(OFFSET(TH!M$1,SMALL(Dong1,ROWS($1:15)),)="1111",OFFSET(TH!K$1,SMALL(Dong1,ROWS($1:15)),),0))</f>
        <v>0</v>
      </c>
      <c r="I28" s="60">
        <f t="shared" ca="1" si="0"/>
        <v>967974613</v>
      </c>
      <c r="J28" s="65"/>
      <c r="K28" s="53"/>
      <c r="L28" s="53"/>
      <c r="M28" s="53"/>
      <c r="N28" s="129"/>
      <c r="O28" s="129"/>
      <c r="P28" s="53"/>
    </row>
    <row r="29" spans="1:16" ht="21.75" customHeight="1">
      <c r="A29" s="59">
        <f ca="1">IF(ROWS($1:16)&gt;COUNT(Dong1),"",OFFSET(TH!C$1,SMALL(Dong1,ROWS($1:16)),))</f>
        <v>43012</v>
      </c>
      <c r="B29" s="59">
        <f ca="1">IF(ROWS($1:16)&gt;COUNT(Dong1),"",OFFSET(TH!E$1,SMALL(Dong1,ROWS($1:16)),))</f>
        <v>43012</v>
      </c>
      <c r="C29" s="60" t="str">
        <f ca="1">IF(ROWS($1:16)&gt;COUNT(Dong1),"",IF(OFFSET(TH!L$1,SMALL(Dong1,ROWS($1:16)),)="1111",OFFSET(TH!D$1,SMALL(Dong1,ROWS($1:16)),),""))</f>
        <v>GBN</v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>thu tien hang</v>
      </c>
      <c r="F29" s="63" t="str">
        <f ca="1">IF(ROWS($1:16)&gt;COUNT(Dong1),"",IF(OFFSET(TH!M$1,SMALL(Dong1,ROWS($1:16)),)="1111",OFFSET(TH!L$1,SMALL(Dong1,ROWS($1:16)),),OFFSET(TH!M$1,SMALL(Dong1,ROWS($1:16)),)))</f>
        <v>131</v>
      </c>
      <c r="G29" s="64">
        <f ca="1">IF(ROWS($1:16)&gt;COUNT(Dong1),"",IF(OFFSET(TH!L$1,SMALL(Dong1,ROWS($1:16)),)="1111",OFFSET(TH!K$1,SMALL(Dong1,ROWS($1:16)),),0))</f>
        <v>49939173</v>
      </c>
      <c r="H29" s="62">
        <f ca="1">IF(ROWS($1:16)&gt;COUNT(Dong1),"",IF(OFFSET(TH!M$1,SMALL(Dong1,ROWS($1:16)),)="1111",OFFSET(TH!K$1,SMALL(Dong1,ROWS($1:16)),),0))</f>
        <v>0</v>
      </c>
      <c r="I29" s="60">
        <f t="shared" ca="1" si="0"/>
        <v>1017913786</v>
      </c>
      <c r="J29" s="65"/>
      <c r="K29" s="53"/>
      <c r="L29" s="53"/>
      <c r="M29" s="53"/>
      <c r="N29" s="129"/>
      <c r="O29" s="129"/>
      <c r="P29" s="53"/>
    </row>
    <row r="30" spans="1:16" ht="21.75" customHeight="1">
      <c r="A30" s="59">
        <f ca="1">IF(ROWS($1:17)&gt;COUNT(Dong1),"",OFFSET(TH!C$1,SMALL(Dong1,ROWS($1:17)),))</f>
        <v>43013</v>
      </c>
      <c r="B30" s="59">
        <f ca="1">IF(ROWS($1:17)&gt;COUNT(Dong1),"",OFFSET(TH!E$1,SMALL(Dong1,ROWS($1:17)),))</f>
        <v>43013</v>
      </c>
      <c r="C30" s="60" t="str">
        <f ca="1">IF(ROWS($1:17)&gt;COUNT(Dong1),"",IF(OFFSET(TH!L$1,SMALL(Dong1,ROWS($1:17)),)="1111",OFFSET(TH!D$1,SMALL(Dong1,ROWS($1:17)),),""))</f>
        <v>GBN</v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>thu tien hang</v>
      </c>
      <c r="F30" s="63" t="str">
        <f ca="1">IF(ROWS($1:17)&gt;COUNT(Dong1),"",IF(OFFSET(TH!M$1,SMALL(Dong1,ROWS($1:17)),)="1111",OFFSET(TH!L$1,SMALL(Dong1,ROWS($1:17)),),OFFSET(TH!M$1,SMALL(Dong1,ROWS($1:17)),)))</f>
        <v>131</v>
      </c>
      <c r="G30" s="64">
        <f ca="1">IF(ROWS($1:17)&gt;COUNT(Dong1),"",IF(OFFSET(TH!L$1,SMALL(Dong1,ROWS($1:17)),)="1111",OFFSET(TH!K$1,SMALL(Dong1,ROWS($1:17)),),0))</f>
        <v>47190000</v>
      </c>
      <c r="H30" s="62">
        <f ca="1">IF(ROWS($1:17)&gt;COUNT(Dong1),"",IF(OFFSET(TH!M$1,SMALL(Dong1,ROWS($1:17)),)="1111",OFFSET(TH!K$1,SMALL(Dong1,ROWS($1:17)),),0))</f>
        <v>0</v>
      </c>
      <c r="I30" s="60">
        <f t="shared" ca="1" si="0"/>
        <v>1065103786</v>
      </c>
      <c r="J30" s="65"/>
      <c r="K30" s="53"/>
      <c r="L30" s="53"/>
      <c r="M30" s="53"/>
      <c r="N30" s="129"/>
      <c r="O30" s="129"/>
      <c r="P30" s="53"/>
    </row>
    <row r="31" spans="1:16" ht="21.75" customHeight="1">
      <c r="A31" s="59">
        <f ca="1">IF(ROWS($1:18)&gt;COUNT(Dong1),"",OFFSET(TH!C$1,SMALL(Dong1,ROWS($1:18)),))</f>
        <v>43014</v>
      </c>
      <c r="B31" s="59">
        <f ca="1">IF(ROWS($1:18)&gt;COUNT(Dong1),"",OFFSET(TH!E$1,SMALL(Dong1,ROWS($1:18)),))</f>
        <v>43014</v>
      </c>
      <c r="C31" s="60" t="str">
        <f ca="1">IF(ROWS($1:18)&gt;COUNT(Dong1),"",IF(OFFSET(TH!L$1,SMALL(Dong1,ROWS($1:18)),)="1111",OFFSET(TH!D$1,SMALL(Dong1,ROWS($1:18)),),""))</f>
        <v>GBN</v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>thu tien hang</v>
      </c>
      <c r="F31" s="63" t="str">
        <f ca="1">IF(ROWS($1:18)&gt;COUNT(Dong1),"",IF(OFFSET(TH!M$1,SMALL(Dong1,ROWS($1:18)),)="1111",OFFSET(TH!L$1,SMALL(Dong1,ROWS($1:18)),),OFFSET(TH!M$1,SMALL(Dong1,ROWS($1:18)),)))</f>
        <v>131</v>
      </c>
      <c r="G31" s="64">
        <f ca="1">IF(ROWS($1:18)&gt;COUNT(Dong1),"",IF(OFFSET(TH!L$1,SMALL(Dong1,ROWS($1:18)),)="1111",OFFSET(TH!K$1,SMALL(Dong1,ROWS($1:18)),),0))</f>
        <v>2022500</v>
      </c>
      <c r="H31" s="62">
        <f ca="1">IF(ROWS($1:18)&gt;COUNT(Dong1),"",IF(OFFSET(TH!M$1,SMALL(Dong1,ROWS($1:18)),)="1111",OFFSET(TH!K$1,SMALL(Dong1,ROWS($1:18)),),0))</f>
        <v>0</v>
      </c>
      <c r="I31" s="60">
        <f t="shared" ref="I31:I51" ca="1" si="1">IF(E31&lt;&gt;"",I30+G31-H31,0)</f>
        <v>1067126286</v>
      </c>
      <c r="J31" s="65"/>
      <c r="K31" s="53"/>
      <c r="L31" s="53"/>
      <c r="M31" s="53"/>
      <c r="N31" s="129"/>
      <c r="O31" s="129"/>
      <c r="P31" s="53"/>
    </row>
    <row r="32" spans="1:16" ht="21.75" customHeight="1">
      <c r="A32" s="59">
        <f ca="1">IF(ROWS($1:19)&gt;COUNT(Dong1),"",OFFSET(TH!C$1,SMALL(Dong1,ROWS($1:19)),))</f>
        <v>43012</v>
      </c>
      <c r="B32" s="59">
        <f ca="1">IF(ROWS($1:19)&gt;COUNT(Dong1),"",OFFSET(TH!E$1,SMALL(Dong1,ROWS($1:19)),))</f>
        <v>43012</v>
      </c>
      <c r="C32" s="60" t="str">
        <f ca="1">IF(ROWS($1:19)&gt;COUNT(Dong1),"",IF(OFFSET(TH!L$1,SMALL(Dong1,ROWS($1:19)),)="1111",OFFSET(TH!D$1,SMALL(Dong1,ROWS($1:19)),),""))</f>
        <v>GBN</v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>thu tien hang</v>
      </c>
      <c r="F32" s="63" t="str">
        <f ca="1">IF(ROWS($1:19)&gt;COUNT(Dong1),"",IF(OFFSET(TH!M$1,SMALL(Dong1,ROWS($1:19)),)="1111",OFFSET(TH!L$1,SMALL(Dong1,ROWS($1:19)),),OFFSET(TH!M$1,SMALL(Dong1,ROWS($1:19)),)))</f>
        <v>131</v>
      </c>
      <c r="G32" s="64">
        <f ca="1">IF(ROWS($1:19)&gt;COUNT(Dong1),"",IF(OFFSET(TH!L$1,SMALL(Dong1,ROWS($1:19)),)="1111",OFFSET(TH!K$1,SMALL(Dong1,ROWS($1:19)),),0))</f>
        <v>948200</v>
      </c>
      <c r="H32" s="62">
        <f ca="1">IF(ROWS($1:19)&gt;COUNT(Dong1),"",IF(OFFSET(TH!M$1,SMALL(Dong1,ROWS($1:19)),)="1111",OFFSET(TH!K$1,SMALL(Dong1,ROWS($1:19)),),0))</f>
        <v>0</v>
      </c>
      <c r="I32" s="60">
        <f t="shared" ca="1" si="1"/>
        <v>1068074486</v>
      </c>
      <c r="J32" s="65"/>
      <c r="K32" s="53"/>
      <c r="L32" s="53"/>
      <c r="M32" s="53"/>
      <c r="N32" s="129"/>
      <c r="O32" s="129"/>
      <c r="P32" s="53"/>
    </row>
    <row r="33" spans="1:16" ht="21.75" customHeight="1">
      <c r="A33" s="59">
        <f ca="1">IF(ROWS($1:20)&gt;COUNT(Dong1),"",OFFSET(TH!C$1,SMALL(Dong1,ROWS($1:20)),))</f>
        <v>43013</v>
      </c>
      <c r="B33" s="59">
        <f ca="1">IF(ROWS($1:20)&gt;COUNT(Dong1),"",OFFSET(TH!E$1,SMALL(Dong1,ROWS($1:20)),))</f>
        <v>43013</v>
      </c>
      <c r="C33" s="60" t="str">
        <f ca="1">IF(ROWS($1:20)&gt;COUNT(Dong1),"",IF(OFFSET(TH!L$1,SMALL(Dong1,ROWS($1:20)),)="1111",OFFSET(TH!D$1,SMALL(Dong1,ROWS($1:20)),),""))</f>
        <v>GBN</v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>thu tien hang</v>
      </c>
      <c r="F33" s="63" t="str">
        <f ca="1">IF(ROWS($1:20)&gt;COUNT(Dong1),"",IF(OFFSET(TH!M$1,SMALL(Dong1,ROWS($1:20)),)="1111",OFFSET(TH!L$1,SMALL(Dong1,ROWS($1:20)),),OFFSET(TH!M$1,SMALL(Dong1,ROWS($1:20)),)))</f>
        <v>131</v>
      </c>
      <c r="G33" s="64">
        <f ca="1">IF(ROWS($1:20)&gt;COUNT(Dong1),"",IF(OFFSET(TH!L$1,SMALL(Dong1,ROWS($1:20)),)="1111",OFFSET(TH!K$1,SMALL(Dong1,ROWS($1:20)),),0))</f>
        <v>571973950</v>
      </c>
      <c r="H33" s="62">
        <f ca="1">IF(ROWS($1:20)&gt;COUNT(Dong1),"",IF(OFFSET(TH!M$1,SMALL(Dong1,ROWS($1:20)),)="1111",OFFSET(TH!K$1,SMALL(Dong1,ROWS($1:20)),),0))</f>
        <v>0</v>
      </c>
      <c r="I33" s="60">
        <f t="shared" ca="1" si="1"/>
        <v>1640048436</v>
      </c>
      <c r="J33" s="65"/>
      <c r="K33" s="53"/>
      <c r="L33" s="53"/>
      <c r="M33" s="53"/>
      <c r="N33" s="129"/>
      <c r="O33" s="129"/>
      <c r="P33" s="53"/>
    </row>
    <row r="34" spans="1:16" ht="21.75" customHeight="1">
      <c r="A34" s="59">
        <f ca="1">IF(ROWS($1:21)&gt;COUNT(Dong1),"",OFFSET(TH!C$1,SMALL(Dong1,ROWS($1:21)),))</f>
        <v>43014</v>
      </c>
      <c r="B34" s="59">
        <f ca="1">IF(ROWS($1:21)&gt;COUNT(Dong1),"",OFFSET(TH!E$1,SMALL(Dong1,ROWS($1:21)),))</f>
        <v>43014</v>
      </c>
      <c r="C34" s="60" t="str">
        <f ca="1">IF(ROWS($1:21)&gt;COUNT(Dong1),"",IF(OFFSET(TH!L$1,SMALL(Dong1,ROWS($1:21)),)="1111",OFFSET(TH!D$1,SMALL(Dong1,ROWS($1:21)),),""))</f>
        <v>GBN</v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>thu tien hang</v>
      </c>
      <c r="F34" s="63" t="str">
        <f ca="1">IF(ROWS($1:21)&gt;COUNT(Dong1),"",IF(OFFSET(TH!M$1,SMALL(Dong1,ROWS($1:21)),)="1111",OFFSET(TH!L$1,SMALL(Dong1,ROWS($1:21)),),OFFSET(TH!M$1,SMALL(Dong1,ROWS($1:21)),)))</f>
        <v>131</v>
      </c>
      <c r="G34" s="64">
        <f ca="1">IF(ROWS($1:21)&gt;COUNT(Dong1),"",IF(OFFSET(TH!L$1,SMALL(Dong1,ROWS($1:21)),)="1111",OFFSET(TH!K$1,SMALL(Dong1,ROWS($1:21)),),0))</f>
        <v>0</v>
      </c>
      <c r="H34" s="62">
        <f ca="1">IF(ROWS($1:21)&gt;COUNT(Dong1),"",IF(OFFSET(TH!M$1,SMALL(Dong1,ROWS($1:21)),)="1111",OFFSET(TH!K$1,SMALL(Dong1,ROWS($1:21)),),0))</f>
        <v>0</v>
      </c>
      <c r="I34" s="60">
        <f t="shared" ca="1" si="1"/>
        <v>1640048436</v>
      </c>
      <c r="J34" s="65"/>
      <c r="K34" s="53"/>
      <c r="L34" s="53"/>
      <c r="M34" s="53"/>
      <c r="N34" s="129"/>
      <c r="O34" s="129"/>
      <c r="P34" s="53"/>
    </row>
    <row r="35" spans="1:16" ht="21.75" customHeight="1">
      <c r="A35" s="59">
        <f ca="1">IF(ROWS($1:22)&gt;COUNT(Dong1),"",OFFSET(TH!C$1,SMALL(Dong1,ROWS($1:22)),))</f>
        <v>43009</v>
      </c>
      <c r="B35" s="59">
        <f ca="1">IF(ROWS($1:22)&gt;COUNT(Dong1),"",OFFSET(TH!E$1,SMALL(Dong1,ROWS($1:22)),))</f>
        <v>43009</v>
      </c>
      <c r="C35" s="60" t="str">
        <f ca="1">IF(ROWS($1:22)&gt;COUNT(Dong1),"",IF(OFFSET(TH!L$1,SMALL(Dong1,ROWS($1:22)),)="1111",OFFSET(TH!D$1,SMALL(Dong1,ROWS($1:22)),),""))</f>
        <v>GBN</v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>thu tien hang</v>
      </c>
      <c r="F35" s="63" t="str">
        <f ca="1">IF(ROWS($1:22)&gt;COUNT(Dong1),"",IF(OFFSET(TH!M$1,SMALL(Dong1,ROWS($1:22)),)="1111",OFFSET(TH!L$1,SMALL(Dong1,ROWS($1:22)),),OFFSET(TH!M$1,SMALL(Dong1,ROWS($1:22)),)))</f>
        <v>131</v>
      </c>
      <c r="G35" s="64">
        <f ca="1">IF(ROWS($1:22)&gt;COUNT(Dong1),"",IF(OFFSET(TH!L$1,SMALL(Dong1,ROWS($1:22)),)="1111",OFFSET(TH!K$1,SMALL(Dong1,ROWS($1:22)),),0))</f>
        <v>0</v>
      </c>
      <c r="H35" s="62">
        <f ca="1">IF(ROWS($1:22)&gt;COUNT(Dong1),"",IF(OFFSET(TH!M$1,SMALL(Dong1,ROWS($1:22)),)="1111",OFFSET(TH!K$1,SMALL(Dong1,ROWS($1:22)),),0))</f>
        <v>0</v>
      </c>
      <c r="I35" s="60">
        <f t="shared" ca="1" si="1"/>
        <v>1640048436</v>
      </c>
      <c r="J35" s="65"/>
      <c r="K35" s="53"/>
      <c r="L35" s="53"/>
      <c r="M35" s="53"/>
      <c r="N35" s="129"/>
      <c r="O35" s="129"/>
      <c r="P35" s="53"/>
    </row>
    <row r="36" spans="1:16" ht="21.75" customHeight="1">
      <c r="A36" s="59">
        <f ca="1">IF(ROWS($1:23)&gt;COUNT(Dong1),"",OFFSET(TH!C$1,SMALL(Dong1,ROWS($1:23)),))</f>
        <v>43010</v>
      </c>
      <c r="B36" s="59">
        <f ca="1">IF(ROWS($1:23)&gt;COUNT(Dong1),"",OFFSET(TH!E$1,SMALL(Dong1,ROWS($1:23)),))</f>
        <v>43010</v>
      </c>
      <c r="C36" s="60" t="str">
        <f ca="1">IF(ROWS($1:23)&gt;COUNT(Dong1),"",IF(OFFSET(TH!L$1,SMALL(Dong1,ROWS($1:23)),)="1111",OFFSET(TH!D$1,SMALL(Dong1,ROWS($1:23)),),""))</f>
        <v>GBN</v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>thu tien hang</v>
      </c>
      <c r="F36" s="63" t="str">
        <f ca="1">IF(ROWS($1:23)&gt;COUNT(Dong1),"",IF(OFFSET(TH!M$1,SMALL(Dong1,ROWS($1:23)),)="1111",OFFSET(TH!L$1,SMALL(Dong1,ROWS($1:23)),),OFFSET(TH!M$1,SMALL(Dong1,ROWS($1:23)),)))</f>
        <v>131</v>
      </c>
      <c r="G36" s="64">
        <f ca="1">IF(ROWS($1:23)&gt;COUNT(Dong1),"",IF(OFFSET(TH!L$1,SMALL(Dong1,ROWS($1:23)),)="1111",OFFSET(TH!K$1,SMALL(Dong1,ROWS($1:23)),),0))</f>
        <v>134898550</v>
      </c>
      <c r="H36" s="62">
        <f ca="1">IF(ROWS($1:23)&gt;COUNT(Dong1),"",IF(OFFSET(TH!M$1,SMALL(Dong1,ROWS($1:23)),)="1111",OFFSET(TH!K$1,SMALL(Dong1,ROWS($1:23)),),0))</f>
        <v>0</v>
      </c>
      <c r="I36" s="60">
        <f t="shared" ca="1" si="1"/>
        <v>1774946986</v>
      </c>
      <c r="J36" s="65"/>
      <c r="K36" s="53"/>
      <c r="L36" s="53"/>
      <c r="M36" s="53"/>
      <c r="N36" s="129"/>
      <c r="O36" s="129"/>
      <c r="P36" s="53"/>
    </row>
    <row r="37" spans="1:16" ht="21.75" customHeight="1">
      <c r="A37" s="59">
        <f ca="1">IF(ROWS($1:24)&gt;COUNT(Dong1),"",OFFSET(TH!C$1,SMALL(Dong1,ROWS($1:24)),))</f>
        <v>43011</v>
      </c>
      <c r="B37" s="59">
        <f ca="1">IF(ROWS($1:24)&gt;COUNT(Dong1),"",OFFSET(TH!E$1,SMALL(Dong1,ROWS($1:24)),))</f>
        <v>43011</v>
      </c>
      <c r="C37" s="60" t="str">
        <f ca="1">IF(ROWS($1:24)&gt;COUNT(Dong1),"",IF(OFFSET(TH!L$1,SMALL(Dong1,ROWS($1:24)),)="1111",OFFSET(TH!D$1,SMALL(Dong1,ROWS($1:24)),),""))</f>
        <v>GBN</v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>thu tien hang</v>
      </c>
      <c r="F37" s="63" t="str">
        <f ca="1">IF(ROWS($1:24)&gt;COUNT(Dong1),"",IF(OFFSET(TH!M$1,SMALL(Dong1,ROWS($1:24)),)="1111",OFFSET(TH!L$1,SMALL(Dong1,ROWS($1:24)),),OFFSET(TH!M$1,SMALL(Dong1,ROWS($1:24)),)))</f>
        <v>131</v>
      </c>
      <c r="G37" s="64">
        <f ca="1">IF(ROWS($1:24)&gt;COUNT(Dong1),"",IF(OFFSET(TH!L$1,SMALL(Dong1,ROWS($1:24)),)="1111",OFFSET(TH!K$1,SMALL(Dong1,ROWS($1:24)),),0))</f>
        <v>2953500</v>
      </c>
      <c r="H37" s="62">
        <f ca="1">IF(ROWS($1:24)&gt;COUNT(Dong1),"",IF(OFFSET(TH!M$1,SMALL(Dong1,ROWS($1:24)),)="1111",OFFSET(TH!K$1,SMALL(Dong1,ROWS($1:24)),),0))</f>
        <v>0</v>
      </c>
      <c r="I37" s="60">
        <f t="shared" ca="1" si="1"/>
        <v>1777900486</v>
      </c>
      <c r="J37" s="65"/>
      <c r="K37" s="53"/>
      <c r="L37" s="53"/>
      <c r="M37" s="53"/>
      <c r="N37" s="129"/>
      <c r="O37" s="129"/>
      <c r="P37" s="53"/>
    </row>
    <row r="38" spans="1:16" ht="21.75" customHeight="1">
      <c r="A38" s="59">
        <f ca="1">IF(ROWS($1:25)&gt;COUNT(Dong1),"",OFFSET(TH!C$1,SMALL(Dong1,ROWS($1:25)),))</f>
        <v>43012</v>
      </c>
      <c r="B38" s="59">
        <f ca="1">IF(ROWS($1:25)&gt;COUNT(Dong1),"",OFFSET(TH!E$1,SMALL(Dong1,ROWS($1:25)),))</f>
        <v>43012</v>
      </c>
      <c r="C38" s="60" t="str">
        <f ca="1">IF(ROWS($1:25)&gt;COUNT(Dong1),"",IF(OFFSET(TH!L$1,SMALL(Dong1,ROWS($1:25)),)="1111",OFFSET(TH!D$1,SMALL(Dong1,ROWS($1:25)),),""))</f>
        <v>GBN</v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>thu tien hang</v>
      </c>
      <c r="F38" s="63" t="str">
        <f ca="1">IF(ROWS($1:25)&gt;COUNT(Dong1),"",IF(OFFSET(TH!M$1,SMALL(Dong1,ROWS($1:25)),)="1111",OFFSET(TH!L$1,SMALL(Dong1,ROWS($1:25)),),OFFSET(TH!M$1,SMALL(Dong1,ROWS($1:25)),)))</f>
        <v>131</v>
      </c>
      <c r="G38" s="64">
        <f ca="1">IF(ROWS($1:25)&gt;COUNT(Dong1),"",IF(OFFSET(TH!L$1,SMALL(Dong1,ROWS($1:25)),)="1111",OFFSET(TH!K$1,SMALL(Dong1,ROWS($1:25)),),0))</f>
        <v>13271500</v>
      </c>
      <c r="H38" s="62">
        <f ca="1">IF(ROWS($1:25)&gt;COUNT(Dong1),"",IF(OFFSET(TH!M$1,SMALL(Dong1,ROWS($1:25)),)="1111",OFFSET(TH!K$1,SMALL(Dong1,ROWS($1:25)),),0))</f>
        <v>0</v>
      </c>
      <c r="I38" s="60">
        <f t="shared" ca="1" si="1"/>
        <v>1791171986</v>
      </c>
      <c r="J38" s="65"/>
      <c r="K38" s="53"/>
      <c r="L38" s="53"/>
      <c r="M38" s="53"/>
      <c r="N38" s="129"/>
      <c r="O38" s="129"/>
      <c r="P38" s="53"/>
    </row>
    <row r="39" spans="1:16" ht="21.75" customHeight="1">
      <c r="A39" s="59">
        <f ca="1">IF(ROWS($1:26)&gt;COUNT(Dong1),"",OFFSET(TH!C$1,SMALL(Dong1,ROWS($1:26)),))</f>
        <v>43013</v>
      </c>
      <c r="B39" s="59">
        <f ca="1">IF(ROWS($1:26)&gt;COUNT(Dong1),"",OFFSET(TH!E$1,SMALL(Dong1,ROWS($1:26)),))</f>
        <v>43013</v>
      </c>
      <c r="C39" s="60" t="str">
        <f ca="1">IF(ROWS($1:26)&gt;COUNT(Dong1),"",IF(OFFSET(TH!L$1,SMALL(Dong1,ROWS($1:26)),)="1111",OFFSET(TH!D$1,SMALL(Dong1,ROWS($1:26)),),""))</f>
        <v>GBN</v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>thu tien hang</v>
      </c>
      <c r="F39" s="63" t="str">
        <f ca="1">IF(ROWS($1:26)&gt;COUNT(Dong1),"",IF(OFFSET(TH!M$1,SMALL(Dong1,ROWS($1:26)),)="1111",OFFSET(TH!L$1,SMALL(Dong1,ROWS($1:26)),),OFFSET(TH!M$1,SMALL(Dong1,ROWS($1:26)),)))</f>
        <v>131</v>
      </c>
      <c r="G39" s="64">
        <f ca="1">IF(ROWS($1:26)&gt;COUNT(Dong1),"",IF(OFFSET(TH!L$1,SMALL(Dong1,ROWS($1:26)),)="1111",OFFSET(TH!K$1,SMALL(Dong1,ROWS($1:26)),),0))</f>
        <v>120135400</v>
      </c>
      <c r="H39" s="62">
        <f ca="1">IF(ROWS($1:26)&gt;COUNT(Dong1),"",IF(OFFSET(TH!M$1,SMALL(Dong1,ROWS($1:26)),)="1111",OFFSET(TH!K$1,SMALL(Dong1,ROWS($1:26)),),0))</f>
        <v>0</v>
      </c>
      <c r="I39" s="60">
        <f t="shared" ca="1" si="1"/>
        <v>1911307386</v>
      </c>
      <c r="J39" s="65"/>
      <c r="K39" s="53"/>
      <c r="L39" s="53"/>
      <c r="M39" s="53"/>
      <c r="N39" s="129"/>
      <c r="O39" s="129"/>
      <c r="P39" s="53"/>
    </row>
    <row r="40" spans="1:16" ht="21.75" customHeight="1">
      <c r="A40" s="59">
        <f ca="1">IF(ROWS($1:27)&gt;COUNT(Dong1),"",OFFSET(TH!C$1,SMALL(Dong1,ROWS($1:27)),))</f>
        <v>43014</v>
      </c>
      <c r="B40" s="59">
        <f ca="1">IF(ROWS($1:27)&gt;COUNT(Dong1),"",OFFSET(TH!E$1,SMALL(Dong1,ROWS($1:27)),))</f>
        <v>43014</v>
      </c>
      <c r="C40" s="60" t="str">
        <f ca="1">IF(ROWS($1:27)&gt;COUNT(Dong1),"",IF(OFFSET(TH!L$1,SMALL(Dong1,ROWS($1:27)),)="1111",OFFSET(TH!D$1,SMALL(Dong1,ROWS($1:27)),),""))</f>
        <v>GBN</v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>thu tien hang</v>
      </c>
      <c r="F40" s="63" t="str">
        <f ca="1">IF(ROWS($1:27)&gt;COUNT(Dong1),"",IF(OFFSET(TH!M$1,SMALL(Dong1,ROWS($1:27)),)="1111",OFFSET(TH!L$1,SMALL(Dong1,ROWS($1:27)),),OFFSET(TH!M$1,SMALL(Dong1,ROWS($1:27)),)))</f>
        <v>131</v>
      </c>
      <c r="G40" s="64">
        <f ca="1">IF(ROWS($1:27)&gt;COUNT(Dong1),"",IF(OFFSET(TH!L$1,SMALL(Dong1,ROWS($1:27)),)="1111",OFFSET(TH!K$1,SMALL(Dong1,ROWS($1:27)),),0))</f>
        <v>548735</v>
      </c>
      <c r="H40" s="62">
        <f ca="1">IF(ROWS($1:27)&gt;COUNT(Dong1),"",IF(OFFSET(TH!M$1,SMALL(Dong1,ROWS($1:27)),)="1111",OFFSET(TH!K$1,SMALL(Dong1,ROWS($1:27)),),0))</f>
        <v>0</v>
      </c>
      <c r="I40" s="60">
        <f t="shared" ca="1" si="1"/>
        <v>1911856121</v>
      </c>
      <c r="J40" s="65"/>
      <c r="K40" s="53"/>
      <c r="L40" s="53"/>
      <c r="M40" s="53"/>
      <c r="N40" s="129"/>
      <c r="O40" s="129"/>
      <c r="P40" s="53"/>
    </row>
    <row r="41" spans="1:16" ht="21.75" customHeight="1">
      <c r="A41" s="59">
        <f ca="1">IF(ROWS($1:28)&gt;COUNT(Dong1),"",OFFSET(TH!C$1,SMALL(Dong1,ROWS($1:28)),))</f>
        <v>43009</v>
      </c>
      <c r="B41" s="59">
        <f ca="1">IF(ROWS($1:28)&gt;COUNT(Dong1),"",OFFSET(TH!E$1,SMALL(Dong1,ROWS($1:28)),))</f>
        <v>43009</v>
      </c>
      <c r="C41" s="60" t="str">
        <f ca="1">IF(ROWS($1:28)&gt;COUNT(Dong1),"",IF(OFFSET(TH!L$1,SMALL(Dong1,ROWS($1:28)),)="1111",OFFSET(TH!D$1,SMALL(Dong1,ROWS($1:28)),),""))</f>
        <v>GBN</v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>thu tien hang</v>
      </c>
      <c r="F41" s="63" t="str">
        <f ca="1">IF(ROWS($1:28)&gt;COUNT(Dong1),"",IF(OFFSET(TH!M$1,SMALL(Dong1,ROWS($1:28)),)="1111",OFFSET(TH!L$1,SMALL(Dong1,ROWS($1:28)),),OFFSET(TH!M$1,SMALL(Dong1,ROWS($1:28)),)))</f>
        <v>131</v>
      </c>
      <c r="G41" s="64">
        <f ca="1">IF(ROWS($1:28)&gt;COUNT(Dong1),"",IF(OFFSET(TH!L$1,SMALL(Dong1,ROWS($1:28)),)="1111",OFFSET(TH!K$1,SMALL(Dong1,ROWS($1:28)),),0))</f>
        <v>828229619</v>
      </c>
      <c r="H41" s="62">
        <f ca="1">IF(ROWS($1:28)&gt;COUNT(Dong1),"",IF(OFFSET(TH!M$1,SMALL(Dong1,ROWS($1:28)),)="1111",OFFSET(TH!K$1,SMALL(Dong1,ROWS($1:28)),),0))</f>
        <v>0</v>
      </c>
      <c r="I41" s="60">
        <f t="shared" ca="1" si="1"/>
        <v>2740085740</v>
      </c>
      <c r="J41" s="65"/>
      <c r="K41" s="53"/>
      <c r="L41" s="53"/>
      <c r="M41" s="53"/>
      <c r="N41" s="129"/>
      <c r="O41" s="129"/>
      <c r="P41" s="53"/>
    </row>
    <row r="42" spans="1:16" ht="21.75" customHeight="1">
      <c r="A42" s="59">
        <f ca="1">IF(ROWS($1:29)&gt;COUNT(Dong1),"",OFFSET(TH!C$1,SMALL(Dong1,ROWS($1:29)),))</f>
        <v>43010</v>
      </c>
      <c r="B42" s="59">
        <f ca="1">IF(ROWS($1:29)&gt;COUNT(Dong1),"",OFFSET(TH!E$1,SMALL(Dong1,ROWS($1:29)),))</f>
        <v>43010</v>
      </c>
      <c r="C42" s="60" t="str">
        <f ca="1">IF(ROWS($1:29)&gt;COUNT(Dong1),"",IF(OFFSET(TH!L$1,SMALL(Dong1,ROWS($1:29)),)="1111",OFFSET(TH!D$1,SMALL(Dong1,ROWS($1:29)),),""))</f>
        <v>GBN</v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>thu tien hang</v>
      </c>
      <c r="F42" s="63" t="str">
        <f ca="1">IF(ROWS($1:29)&gt;COUNT(Dong1),"",IF(OFFSET(TH!M$1,SMALL(Dong1,ROWS($1:29)),)="1111",OFFSET(TH!L$1,SMALL(Dong1,ROWS($1:29)),),OFFSET(TH!M$1,SMALL(Dong1,ROWS($1:29)),)))</f>
        <v>131</v>
      </c>
      <c r="G42" s="64">
        <f ca="1">IF(ROWS($1:29)&gt;COUNT(Dong1),"",IF(OFFSET(TH!L$1,SMALL(Dong1,ROWS($1:29)),)="1111",OFFSET(TH!K$1,SMALL(Dong1,ROWS($1:29)),),0))</f>
        <v>300000000</v>
      </c>
      <c r="H42" s="62">
        <f ca="1">IF(ROWS($1:29)&gt;COUNT(Dong1),"",IF(OFFSET(TH!M$1,SMALL(Dong1,ROWS($1:29)),)="1111",OFFSET(TH!K$1,SMALL(Dong1,ROWS($1:29)),),0))</f>
        <v>0</v>
      </c>
      <c r="I42" s="60">
        <f t="shared" ca="1" si="1"/>
        <v>3040085740</v>
      </c>
      <c r="J42" s="65"/>
      <c r="K42" s="53"/>
      <c r="L42" s="53"/>
      <c r="M42" s="53"/>
      <c r="N42" s="129"/>
      <c r="O42" s="129"/>
      <c r="P42" s="53"/>
    </row>
    <row r="43" spans="1:16" ht="21.75" customHeight="1">
      <c r="A43" s="59">
        <f ca="1">IF(ROWS($1:30)&gt;COUNT(Dong1),"",OFFSET(TH!C$1,SMALL(Dong1,ROWS($1:30)),))</f>
        <v>43011</v>
      </c>
      <c r="B43" s="59">
        <f ca="1">IF(ROWS($1:30)&gt;COUNT(Dong1),"",OFFSET(TH!E$1,SMALL(Dong1,ROWS($1:30)),))</f>
        <v>43011</v>
      </c>
      <c r="C43" s="60" t="str">
        <f ca="1">IF(ROWS($1:30)&gt;COUNT(Dong1),"",IF(OFFSET(TH!L$1,SMALL(Dong1,ROWS($1:30)),)="1111",OFFSET(TH!D$1,SMALL(Dong1,ROWS($1:30)),),""))</f>
        <v>GBN</v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>thu tien hang</v>
      </c>
      <c r="F43" s="63" t="str">
        <f ca="1">IF(ROWS($1:30)&gt;COUNT(Dong1),"",IF(OFFSET(TH!M$1,SMALL(Dong1,ROWS($1:30)),)="1111",OFFSET(TH!L$1,SMALL(Dong1,ROWS($1:30)),),OFFSET(TH!M$1,SMALL(Dong1,ROWS($1:30)),)))</f>
        <v>131</v>
      </c>
      <c r="G43" s="64">
        <f ca="1">IF(ROWS($1:30)&gt;COUNT(Dong1),"",IF(OFFSET(TH!L$1,SMALL(Dong1,ROWS($1:30)),)="1111",OFFSET(TH!K$1,SMALL(Dong1,ROWS($1:30)),),0))</f>
        <v>0</v>
      </c>
      <c r="H43" s="62">
        <f ca="1">IF(ROWS($1:30)&gt;COUNT(Dong1),"",IF(OFFSET(TH!M$1,SMALL(Dong1,ROWS($1:30)),)="1111",OFFSET(TH!K$1,SMALL(Dong1,ROWS($1:30)),),0))</f>
        <v>0</v>
      </c>
      <c r="I43" s="60">
        <f t="shared" ca="1" si="1"/>
        <v>3040085740</v>
      </c>
      <c r="J43" s="65"/>
      <c r="K43" s="53"/>
      <c r="L43" s="53"/>
      <c r="M43" s="53"/>
      <c r="N43" s="129"/>
      <c r="O43" s="129"/>
      <c r="P43" s="53"/>
    </row>
    <row r="44" spans="1:16" ht="21.75" customHeight="1">
      <c r="A44" s="59">
        <f ca="1">IF(ROWS($1:31)&gt;COUNT(Dong1),"",OFFSET(TH!C$1,SMALL(Dong1,ROWS($1:31)),))</f>
        <v>43012</v>
      </c>
      <c r="B44" s="59">
        <f ca="1">IF(ROWS($1:31)&gt;COUNT(Dong1),"",OFFSET(TH!E$1,SMALL(Dong1,ROWS($1:31)),))</f>
        <v>43012</v>
      </c>
      <c r="C44" s="60" t="str">
        <f ca="1">IF(ROWS($1:31)&gt;COUNT(Dong1),"",IF(OFFSET(TH!L$1,SMALL(Dong1,ROWS($1:31)),)="1111",OFFSET(TH!D$1,SMALL(Dong1,ROWS($1:31)),),""))</f>
        <v>GBN</v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>thu tien hang</v>
      </c>
      <c r="F44" s="63" t="str">
        <f ca="1">IF(ROWS($1:31)&gt;COUNT(Dong1),"",IF(OFFSET(TH!M$1,SMALL(Dong1,ROWS($1:31)),)="1111",OFFSET(TH!L$1,SMALL(Dong1,ROWS($1:31)),),OFFSET(TH!M$1,SMALL(Dong1,ROWS($1:31)),)))</f>
        <v>131</v>
      </c>
      <c r="G44" s="64">
        <f ca="1">IF(ROWS($1:31)&gt;COUNT(Dong1),"",IF(OFFSET(TH!L$1,SMALL(Dong1,ROWS($1:31)),)="1111",OFFSET(TH!K$1,SMALL(Dong1,ROWS($1:31)),),0))</f>
        <v>0</v>
      </c>
      <c r="H44" s="62">
        <f ca="1">IF(ROWS($1:31)&gt;COUNT(Dong1),"",IF(OFFSET(TH!M$1,SMALL(Dong1,ROWS($1:31)),)="1111",OFFSET(TH!K$1,SMALL(Dong1,ROWS($1:31)),),0))</f>
        <v>0</v>
      </c>
      <c r="I44" s="60">
        <f t="shared" ca="1" si="1"/>
        <v>3040085740</v>
      </c>
      <c r="J44" s="65"/>
      <c r="K44" s="53"/>
      <c r="L44" s="53"/>
      <c r="M44" s="53"/>
      <c r="N44" s="129"/>
      <c r="O44" s="129"/>
      <c r="P44" s="53"/>
    </row>
    <row r="45" spans="1:16" ht="21.75" customHeight="1">
      <c r="A45" s="59">
        <f ca="1">IF(ROWS($1:32)&gt;COUNT(Dong1),"",OFFSET(TH!C$1,SMALL(Dong1,ROWS($1:32)),))</f>
        <v>43013</v>
      </c>
      <c r="B45" s="59">
        <f ca="1">IF(ROWS($1:32)&gt;COUNT(Dong1),"",OFFSET(TH!E$1,SMALL(Dong1,ROWS($1:32)),))</f>
        <v>43013</v>
      </c>
      <c r="C45" s="60" t="str">
        <f ca="1">IF(ROWS($1:32)&gt;COUNT(Dong1),"",IF(OFFSET(TH!L$1,SMALL(Dong1,ROWS($1:32)),)="1111",OFFSET(TH!D$1,SMALL(Dong1,ROWS($1:32)),),""))</f>
        <v>GBN</v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>thu tien hang</v>
      </c>
      <c r="F45" s="63" t="str">
        <f ca="1">IF(ROWS($1:32)&gt;COUNT(Dong1),"",IF(OFFSET(TH!M$1,SMALL(Dong1,ROWS($1:32)),)="1111",OFFSET(TH!L$1,SMALL(Dong1,ROWS($1:32)),),OFFSET(TH!M$1,SMALL(Dong1,ROWS($1:32)),)))</f>
        <v>131</v>
      </c>
      <c r="G45" s="64">
        <f ca="1">IF(ROWS($1:32)&gt;COUNT(Dong1),"",IF(OFFSET(TH!L$1,SMALL(Dong1,ROWS($1:32)),)="1111",OFFSET(TH!K$1,SMALL(Dong1,ROWS($1:32)),),0))</f>
        <v>0</v>
      </c>
      <c r="H45" s="62">
        <f ca="1">IF(ROWS($1:32)&gt;COUNT(Dong1),"",IF(OFFSET(TH!M$1,SMALL(Dong1,ROWS($1:32)),)="1111",OFFSET(TH!K$1,SMALL(Dong1,ROWS($1:32)),),0))</f>
        <v>0</v>
      </c>
      <c r="I45" s="60">
        <f t="shared" ca="1" si="1"/>
        <v>3040085740</v>
      </c>
      <c r="J45" s="65"/>
      <c r="K45" s="53"/>
      <c r="L45" s="53"/>
      <c r="M45" s="53"/>
      <c r="N45" s="129"/>
      <c r="O45" s="129"/>
      <c r="P45" s="53"/>
    </row>
    <row r="46" spans="1:16" ht="21.75" customHeight="1">
      <c r="A46" s="59">
        <f ca="1">IF(ROWS($1:33)&gt;COUNT(Dong1),"",OFFSET(TH!C$1,SMALL(Dong1,ROWS($1:33)),))</f>
        <v>43014</v>
      </c>
      <c r="B46" s="59">
        <f ca="1">IF(ROWS($1:33)&gt;COUNT(Dong1),"",OFFSET(TH!E$1,SMALL(Dong1,ROWS($1:33)),))</f>
        <v>43014</v>
      </c>
      <c r="C46" s="60" t="str">
        <f ca="1">IF(ROWS($1:33)&gt;COUNT(Dong1),"",IF(OFFSET(TH!L$1,SMALL(Dong1,ROWS($1:33)),)="1111",OFFSET(TH!D$1,SMALL(Dong1,ROWS($1:33)),),""))</f>
        <v>GBN</v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>thu tien hang</v>
      </c>
      <c r="F46" s="63" t="str">
        <f ca="1">IF(ROWS($1:33)&gt;COUNT(Dong1),"",IF(OFFSET(TH!M$1,SMALL(Dong1,ROWS($1:33)),)="1111",OFFSET(TH!L$1,SMALL(Dong1,ROWS($1:33)),),OFFSET(TH!M$1,SMALL(Dong1,ROWS($1:33)),)))</f>
        <v>131</v>
      </c>
      <c r="G46" s="64">
        <f ca="1">IF(ROWS($1:33)&gt;COUNT(Dong1),"",IF(OFFSET(TH!L$1,SMALL(Dong1,ROWS($1:33)),)="1111",OFFSET(TH!K$1,SMALL(Dong1,ROWS($1:33)),),0))</f>
        <v>0</v>
      </c>
      <c r="H46" s="62">
        <f ca="1">IF(ROWS($1:33)&gt;COUNT(Dong1),"",IF(OFFSET(TH!M$1,SMALL(Dong1,ROWS($1:33)),)="1111",OFFSET(TH!K$1,SMALL(Dong1,ROWS($1:33)),),0))</f>
        <v>0</v>
      </c>
      <c r="I46" s="60">
        <f t="shared" ca="1" si="1"/>
        <v>3040085740</v>
      </c>
      <c r="J46" s="65"/>
      <c r="K46" s="53"/>
      <c r="L46" s="53"/>
      <c r="M46" s="53"/>
      <c r="N46" s="129"/>
      <c r="O46" s="129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29"/>
      <c r="O47" s="129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29"/>
      <c r="O48" s="129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29"/>
      <c r="O49" s="129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29"/>
      <c r="O50" s="129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29"/>
      <c r="O51" s="129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2581383822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3040085740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23" t="str">
        <f ca="1">"- Ngày mở sổ: "&amp;DAY($A$14)&amp;"/"&amp;MONTH($A$14)&amp;"/ " &amp;YEAR($A$14)</f>
        <v>- Ngày mở sổ: 1/10/ 2017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str">
        <f ca="1">"Ngày "&amp;IF(OR($L$11=4,$L$11=6,$L$11=9,$L$11=11),"30",IF($L$11=2,"28","31"))&amp;" tháng "&amp;$O$11&amp;"  năm  "&amp;YEAR($A$14)</f>
        <v>Ngày 31 tháng 12  năm  2017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891" t="str">
        <f>TH!A2</f>
        <v>Địa chỉ: Thửa đất số 144, tờ bản đồ số 12TĐH.1, tổ 1, khu phố Đông Tác, Phường Tân Đông Hiệp, Thị Xã Dĩ An, Tỉnh Bình Dương, Việt Nam</v>
      </c>
      <c r="C2" s="891"/>
      <c r="D2" s="891"/>
      <c r="E2" s="891"/>
      <c r="F2" s="891"/>
      <c r="G2" s="891"/>
      <c r="H2" s="891"/>
      <c r="I2" s="891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891"/>
      <c r="C3" s="891"/>
      <c r="D3" s="891"/>
      <c r="E3" s="891"/>
      <c r="F3" s="891"/>
      <c r="G3" s="891"/>
      <c r="H3" s="891"/>
      <c r="I3" s="891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17"/>
      <c r="R3" s="85"/>
      <c r="S3" s="86" t="s">
        <v>241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18">
        <v>2016</v>
      </c>
      <c r="R4" s="26"/>
      <c r="S4" s="126">
        <v>1</v>
      </c>
      <c r="T4" s="26"/>
      <c r="U4" s="119" t="s">
        <v>4</v>
      </c>
      <c r="V4" s="51"/>
      <c r="W4" s="120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17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01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e">
        <f ca="1">"Viết bằng chữ: " &amp;[2]!VND('IN-TC'!D13, TRUE)</f>
        <v>#NAME?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39"/>
  <sheetViews>
    <sheetView topLeftCell="A5" zoomScale="90" zoomScaleNormal="90" workbookViewId="0">
      <pane ySplit="7" topLeftCell="A117" activePane="bottomLeft" state="frozen"/>
      <selection activeCell="A5" sqref="A5"/>
      <selection pane="bottomLeft" activeCell="K9" sqref="K9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27"/>
      <c r="I1" s="89"/>
      <c r="J1" s="76"/>
      <c r="K1" s="182"/>
      <c r="L1" s="18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890" t="str">
        <f>TH!A2</f>
        <v>Địa chỉ: Thửa đất số 144, tờ bản đồ số 12TĐH.1, tổ 1, khu phố Đông Tác, Phường Tân Đông Hiệp, Thị Xã Dĩ An, Tỉnh Bình Dương, Việt Nam</v>
      </c>
      <c r="B2" s="890"/>
      <c r="C2" s="890"/>
      <c r="D2" s="890"/>
      <c r="E2" s="890"/>
      <c r="F2" s="892" t="e">
        <f ca="1">IF(YEAR($A$12)&gt;=2015,"(Ban hành theo Thông tư số 200/2014/TT-BTC  Ngày 22/12/2014 của Bộ Tài chính)","(Ban hành kèm theo QĐ 48/2006/QĐ-BTC ngày 24/09/2006 của Bộ trưởng BTC)")</f>
        <v>#VALUE!</v>
      </c>
      <c r="G2" s="892"/>
      <c r="H2" s="892"/>
      <c r="I2" s="90"/>
      <c r="J2" s="76"/>
      <c r="K2" s="183"/>
      <c r="L2" s="18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890"/>
      <c r="B3" s="890"/>
      <c r="C3" s="890"/>
      <c r="D3" s="890"/>
      <c r="E3" s="890"/>
      <c r="F3" s="892"/>
      <c r="G3" s="892"/>
      <c r="H3" s="892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895" t="s">
        <v>135</v>
      </c>
      <c r="B4" s="895"/>
      <c r="C4" s="895"/>
      <c r="D4" s="895"/>
      <c r="E4" s="895"/>
      <c r="F4" s="895"/>
      <c r="G4" s="895"/>
      <c r="H4" s="895"/>
      <c r="I4" s="895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896" t="str">
        <f>"Nơi mở tài khoản giao dịch:  "&amp;IF($M$9="VCB"," Ngân Hàng Vietcombank"," Ngân Hàng VPBank - Chi Nhánh Bình Dương")</f>
        <v>Nơi mở tài khoản giao dịch:   Ngân Hàng VPBank - Chi Nhánh Bình Dương</v>
      </c>
      <c r="B5" s="896"/>
      <c r="C5" s="896"/>
      <c r="D5" s="896"/>
      <c r="E5" s="896"/>
      <c r="F5" s="896"/>
      <c r="G5" s="896"/>
      <c r="H5" s="896"/>
      <c r="I5" s="89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896" t="str">
        <f>IF($M$9="VCB","046 1000 435 129","943 827 58")</f>
        <v>943 827 58</v>
      </c>
      <c r="F6" s="896"/>
      <c r="G6" s="896"/>
      <c r="H6" s="124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885" t="s">
        <v>239</v>
      </c>
      <c r="O6" s="885"/>
      <c r="P6" s="76"/>
      <c r="Q6" s="893" t="s">
        <v>232</v>
      </c>
      <c r="R6" s="893" t="s">
        <v>290</v>
      </c>
      <c r="S6" s="893" t="s">
        <v>440</v>
      </c>
      <c r="T6" s="76"/>
    </row>
    <row r="7" spans="1:20" ht="8.25" customHeight="1" thickBot="1">
      <c r="A7" s="79"/>
      <c r="B7" s="226"/>
      <c r="C7" s="79"/>
      <c r="D7" s="226"/>
      <c r="E7" s="226"/>
      <c r="F7" s="226"/>
      <c r="G7" s="226"/>
      <c r="H7" s="125"/>
      <c r="I7" s="226"/>
      <c r="J7" s="76"/>
      <c r="K7" s="76"/>
      <c r="L7" s="76"/>
      <c r="M7" s="76"/>
      <c r="N7" s="76"/>
      <c r="O7" s="76"/>
      <c r="P7" s="76"/>
      <c r="Q7" s="894"/>
      <c r="R7" s="894"/>
      <c r="S7" s="894"/>
      <c r="T7" s="76"/>
    </row>
    <row r="8" spans="1:20" ht="22.5" customHeight="1" thickBot="1">
      <c r="A8" s="899" t="s">
        <v>136</v>
      </c>
      <c r="B8" s="901" t="s">
        <v>1</v>
      </c>
      <c r="C8" s="902"/>
      <c r="D8" s="903" t="s">
        <v>0</v>
      </c>
      <c r="E8" s="905" t="s">
        <v>14</v>
      </c>
      <c r="F8" s="906" t="s">
        <v>137</v>
      </c>
      <c r="G8" s="906"/>
      <c r="H8" s="902"/>
      <c r="I8" s="897" t="s">
        <v>125</v>
      </c>
      <c r="J8" s="428"/>
      <c r="K8" s="224"/>
      <c r="L8" s="76"/>
      <c r="M8" s="428"/>
      <c r="N8" s="429">
        <f>IF(K9="Quý I",1,IF(K9="Quý II",4,IF(K9="Quý III",7,IF(K9="Quý IV",10,""))))</f>
        <v>10</v>
      </c>
      <c r="O8" s="430">
        <f>IF(K9="Quý I",3,IF(K9="Quý II",6,IF(K9="Quý III",9,IF(K9="Quý IV",12,""))))</f>
        <v>12</v>
      </c>
      <c r="P8" s="428"/>
      <c r="Q8" s="431" t="s">
        <v>233</v>
      </c>
      <c r="R8" s="432">
        <v>1027023</v>
      </c>
      <c r="S8" s="432">
        <v>663392</v>
      </c>
      <c r="T8" s="433">
        <f>SUM(R8:S8)</f>
        <v>1690415</v>
      </c>
    </row>
    <row r="9" spans="1:20" ht="36.75" customHeight="1" thickBot="1">
      <c r="A9" s="900"/>
      <c r="B9" s="434" t="s">
        <v>15</v>
      </c>
      <c r="C9" s="435" t="s">
        <v>138</v>
      </c>
      <c r="D9" s="904"/>
      <c r="E9" s="905"/>
      <c r="F9" s="434" t="s">
        <v>139</v>
      </c>
      <c r="G9" s="436" t="s">
        <v>140</v>
      </c>
      <c r="H9" s="437" t="s">
        <v>141</v>
      </c>
      <c r="I9" s="898"/>
      <c r="J9" s="428"/>
      <c r="K9" s="179" t="s">
        <v>393</v>
      </c>
      <c r="L9" s="76"/>
      <c r="M9" s="438" t="s">
        <v>440</v>
      </c>
      <c r="N9" s="428"/>
      <c r="O9" s="428"/>
      <c r="P9" s="428"/>
      <c r="Q9" s="76"/>
      <c r="R9" s="76"/>
      <c r="S9" s="76"/>
      <c r="T9" s="76"/>
    </row>
    <row r="10" spans="1:20" ht="15">
      <c r="A10" s="439" t="s">
        <v>2</v>
      </c>
      <c r="B10" s="440" t="s">
        <v>3</v>
      </c>
      <c r="C10" s="439" t="s">
        <v>4</v>
      </c>
      <c r="D10" s="440" t="s">
        <v>5</v>
      </c>
      <c r="E10" s="440" t="s">
        <v>6</v>
      </c>
      <c r="F10" s="440">
        <v>1</v>
      </c>
      <c r="G10" s="440">
        <v>2</v>
      </c>
      <c r="H10" s="440">
        <v>3</v>
      </c>
      <c r="I10" s="440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41"/>
      <c r="B11" s="440"/>
      <c r="C11" s="441"/>
      <c r="D11" s="442" t="s">
        <v>7</v>
      </c>
      <c r="E11" s="442"/>
      <c r="F11" s="443"/>
      <c r="G11" s="443"/>
      <c r="H11" s="443">
        <f>IF($M$9="VCB",$R$8,$S$8)+SUMIF(_N112,"x",TH)-SUMIF(_C112,"x",TH)</f>
        <v>500127</v>
      </c>
      <c r="I11" s="444"/>
      <c r="J11" s="76"/>
      <c r="K11" s="76"/>
      <c r="L11" s="76"/>
      <c r="M11" s="76"/>
      <c r="N11" s="76"/>
      <c r="O11" s="76"/>
      <c r="P11" s="76"/>
      <c r="Q11" s="428"/>
      <c r="R11" s="428"/>
      <c r="S11" s="428"/>
      <c r="T11" s="428"/>
    </row>
    <row r="12" spans="1:20" ht="20.25" customHeight="1">
      <c r="A12" s="445" t="str">
        <f ca="1">IF(ROWS($1:1)&gt;COUNT(Dong2),"",OFFSET(TH!C$1,SMALL(Dong2,ROWS($1:1)),))</f>
        <v/>
      </c>
      <c r="B12" s="445" t="str">
        <f ca="1">IF(ROWS($1:1)&gt;COUNT(Dong2),"",OFFSET(TH!D$1,SMALL(Dong2,ROWS($1:1)),))</f>
        <v/>
      </c>
      <c r="C12" s="445" t="str">
        <f ca="1">IF(ROWS($1:1)&gt;COUNT(Dong2),"",OFFSET(TH!E$1,SMALL(Dong2,ROWS($1:1)),))</f>
        <v/>
      </c>
      <c r="D12" s="446" t="str">
        <f ca="1">IF(ROWS($1:1)&gt;COUNT(Dong2),"",OFFSET(TH!F$1,SMALL(Dong2,ROWS($1:1)),))</f>
        <v/>
      </c>
      <c r="E12" s="445" t="str">
        <f ca="1">IF(ROWS($1:1)&gt;COUNT(Dong2),"",IF(OFFSET(TH!M$1,SMALL(Dong2,ROWS($1:1)),)=$I$6,OFFSET(TH!L$1,SMALL(Dong2,ROWS($1:1)),),OFFSET(TH!M$1,SMALL(Dong2,ROWS($1:1)),)))</f>
        <v/>
      </c>
      <c r="F12" s="447" t="str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/>
      </c>
      <c r="G12" s="447" t="str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/>
      </c>
      <c r="H12" s="448">
        <f ca="1">IF(A12&lt;&gt;"",H11+F12-G12,0)</f>
        <v>0</v>
      </c>
      <c r="I12" s="449"/>
      <c r="J12" s="428"/>
      <c r="K12" s="428"/>
      <c r="L12" s="76"/>
      <c r="M12" s="428"/>
      <c r="N12" s="428"/>
      <c r="O12" s="428"/>
      <c r="P12" s="428"/>
      <c r="Q12" s="428"/>
      <c r="R12" s="428"/>
      <c r="S12" s="428"/>
      <c r="T12" s="428"/>
    </row>
    <row r="13" spans="1:20" ht="20.25" customHeight="1">
      <c r="A13" s="445" t="str">
        <f ca="1">IF(ROWS($1:2)&gt;COUNT(Dong2),"",OFFSET(TH!C$1,SMALL(Dong2,ROWS($1:2)),))</f>
        <v/>
      </c>
      <c r="B13" s="445" t="str">
        <f ca="1">IF(ROWS($1:2)&gt;COUNT(Dong2),"",OFFSET(TH!D$1,SMALL(Dong2,ROWS($1:2)),))</f>
        <v/>
      </c>
      <c r="C13" s="445" t="str">
        <f ca="1">IF(ROWS($1:2)&gt;COUNT(Dong2),"",OFFSET(TH!E$1,SMALL(Dong2,ROWS($1:2)),))</f>
        <v/>
      </c>
      <c r="D13" s="446" t="str">
        <f ca="1">IF(ROWS($1:2)&gt;COUNT(Dong2),"",OFFSET(TH!F$1,SMALL(Dong2,ROWS($1:2)),))</f>
        <v/>
      </c>
      <c r="E13" s="445" t="str">
        <f ca="1">IF(ROWS($1:2)&gt;COUNT(Dong2),"",IF(OFFSET(TH!M$1,SMALL(Dong2,ROWS($1:2)),)=$I$6,OFFSET(TH!L$1,SMALL(Dong2,ROWS($1:2)),),OFFSET(TH!M$1,SMALL(Dong2,ROWS($1:2)),)))</f>
        <v/>
      </c>
      <c r="F13" s="447" t="str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/>
      </c>
      <c r="G13" s="447" t="str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/>
      </c>
      <c r="H13" s="448">
        <f t="shared" ref="H13" ca="1" si="0">IF(A13&lt;&gt;"",H12+F13-G13,0)</f>
        <v>0</v>
      </c>
      <c r="I13" s="449"/>
      <c r="J13" s="428"/>
      <c r="K13" s="428"/>
      <c r="L13" s="76"/>
      <c r="M13" s="428"/>
      <c r="N13" s="428"/>
      <c r="O13" s="428"/>
      <c r="P13" s="428"/>
      <c r="Q13" s="428"/>
      <c r="R13" s="428"/>
      <c r="S13" s="428"/>
      <c r="T13" s="428"/>
    </row>
    <row r="14" spans="1:20" ht="20.25" customHeight="1">
      <c r="A14" s="445" t="str">
        <f ca="1">IF(ROWS($1:3)&gt;COUNT(Dong2),"",OFFSET(TH!C$1,SMALL(Dong2,ROWS($1:3)),))</f>
        <v/>
      </c>
      <c r="B14" s="445" t="str">
        <f ca="1">IF(ROWS($1:3)&gt;COUNT(Dong2),"",OFFSET(TH!D$1,SMALL(Dong2,ROWS($1:3)),))</f>
        <v/>
      </c>
      <c r="C14" s="445" t="str">
        <f ca="1">IF(ROWS($1:3)&gt;COUNT(Dong2),"",OFFSET(TH!E$1,SMALL(Dong2,ROWS($1:3)),))</f>
        <v/>
      </c>
      <c r="D14" s="446" t="str">
        <f ca="1">IF(ROWS($1:3)&gt;COUNT(Dong2),"",OFFSET(TH!F$1,SMALL(Dong2,ROWS($1:3)),))</f>
        <v/>
      </c>
      <c r="E14" s="445" t="str">
        <f ca="1">IF(ROWS($1:3)&gt;COUNT(Dong2),"",IF(OFFSET(TH!M$1,SMALL(Dong2,ROWS($1:3)),)=$I$6,OFFSET(TH!L$1,SMALL(Dong2,ROWS($1:3)),),OFFSET(TH!M$1,SMALL(Dong2,ROWS($1:3)),)))</f>
        <v/>
      </c>
      <c r="F14" s="447" t="str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/>
      </c>
      <c r="G14" s="447" t="str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/>
      </c>
      <c r="H14" s="448">
        <f t="shared" ref="H14:H77" ca="1" si="1">IF(A14&lt;&gt;"",H13+F14-G14,0)</f>
        <v>0</v>
      </c>
      <c r="I14" s="449"/>
      <c r="J14" s="428"/>
      <c r="K14" s="428"/>
      <c r="L14" s="76"/>
      <c r="M14" s="428"/>
      <c r="N14" s="428"/>
      <c r="O14" s="428"/>
      <c r="P14" s="428"/>
      <c r="Q14" s="428"/>
      <c r="R14" s="428"/>
      <c r="S14" s="428"/>
      <c r="T14" s="428"/>
    </row>
    <row r="15" spans="1:20" ht="20.25" customHeight="1">
      <c r="A15" s="445" t="str">
        <f ca="1">IF(ROWS($1:4)&gt;COUNT(Dong2),"",OFFSET(TH!C$1,SMALL(Dong2,ROWS($1:4)),))</f>
        <v/>
      </c>
      <c r="B15" s="445" t="str">
        <f ca="1">IF(ROWS($1:4)&gt;COUNT(Dong2),"",OFFSET(TH!D$1,SMALL(Dong2,ROWS($1:4)),))</f>
        <v/>
      </c>
      <c r="C15" s="445" t="str">
        <f ca="1">IF(ROWS($1:4)&gt;COUNT(Dong2),"",OFFSET(TH!E$1,SMALL(Dong2,ROWS($1:4)),))</f>
        <v/>
      </c>
      <c r="D15" s="446" t="str">
        <f ca="1">IF(ROWS($1:4)&gt;COUNT(Dong2),"",OFFSET(TH!F$1,SMALL(Dong2,ROWS($1:4)),))</f>
        <v/>
      </c>
      <c r="E15" s="445" t="str">
        <f ca="1">IF(ROWS($1:4)&gt;COUNT(Dong2),"",IF(OFFSET(TH!M$1,SMALL(Dong2,ROWS($1:4)),)=$I$6,OFFSET(TH!L$1,SMALL(Dong2,ROWS($1:4)),),OFFSET(TH!M$1,SMALL(Dong2,ROWS($1:4)),)))</f>
        <v/>
      </c>
      <c r="F15" s="447" t="str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/>
      </c>
      <c r="G15" s="447" t="str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/>
      </c>
      <c r="H15" s="448">
        <f t="shared" ca="1" si="1"/>
        <v>0</v>
      </c>
      <c r="I15" s="449"/>
      <c r="J15" s="428"/>
      <c r="K15" s="428"/>
      <c r="L15" s="76"/>
      <c r="M15" s="428"/>
      <c r="N15" s="428"/>
      <c r="O15" s="428"/>
      <c r="P15" s="428"/>
      <c r="Q15" s="428"/>
      <c r="R15" s="428"/>
      <c r="S15" s="428"/>
      <c r="T15" s="428"/>
    </row>
    <row r="16" spans="1:20" ht="20.25" customHeight="1">
      <c r="A16" s="445" t="str">
        <f ca="1">IF(ROWS($1:5)&gt;COUNT(Dong2),"",OFFSET(TH!C$1,SMALL(Dong2,ROWS($1:5)),))</f>
        <v/>
      </c>
      <c r="B16" s="445" t="str">
        <f ca="1">IF(ROWS($1:5)&gt;COUNT(Dong2),"",OFFSET(TH!D$1,SMALL(Dong2,ROWS($1:5)),))</f>
        <v/>
      </c>
      <c r="C16" s="445" t="str">
        <f ca="1">IF(ROWS($1:5)&gt;COUNT(Dong2),"",OFFSET(TH!E$1,SMALL(Dong2,ROWS($1:5)),))</f>
        <v/>
      </c>
      <c r="D16" s="446" t="str">
        <f ca="1">IF(ROWS($1:5)&gt;COUNT(Dong2),"",OFFSET(TH!F$1,SMALL(Dong2,ROWS($1:5)),))</f>
        <v/>
      </c>
      <c r="E16" s="445" t="str">
        <f ca="1">IF(ROWS($1:5)&gt;COUNT(Dong2),"",IF(OFFSET(TH!M$1,SMALL(Dong2,ROWS($1:5)),)=$I$6,OFFSET(TH!L$1,SMALL(Dong2,ROWS($1:5)),),OFFSET(TH!M$1,SMALL(Dong2,ROWS($1:5)),)))</f>
        <v/>
      </c>
      <c r="F16" s="447" t="str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/>
      </c>
      <c r="G16" s="447" t="str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/>
      </c>
      <c r="H16" s="448">
        <f t="shared" ca="1" si="1"/>
        <v>0</v>
      </c>
      <c r="I16" s="449"/>
      <c r="J16" s="428"/>
      <c r="K16" s="428"/>
      <c r="L16" s="76"/>
      <c r="M16" s="428"/>
      <c r="N16" s="428"/>
      <c r="O16" s="428"/>
      <c r="P16" s="428"/>
      <c r="Q16" s="428"/>
      <c r="R16" s="428"/>
      <c r="S16" s="428"/>
      <c r="T16" s="428"/>
    </row>
    <row r="17" spans="1:20" ht="20.25" customHeight="1">
      <c r="A17" s="445" t="str">
        <f ca="1">IF(ROWS($1:6)&gt;COUNT(Dong2),"",OFFSET(TH!C$1,SMALL(Dong2,ROWS($1:6)),))</f>
        <v/>
      </c>
      <c r="B17" s="445" t="str">
        <f ca="1">IF(ROWS($1:6)&gt;COUNT(Dong2),"",OFFSET(TH!D$1,SMALL(Dong2,ROWS($1:6)),))</f>
        <v/>
      </c>
      <c r="C17" s="445" t="str">
        <f ca="1">IF(ROWS($1:6)&gt;COUNT(Dong2),"",OFFSET(TH!E$1,SMALL(Dong2,ROWS($1:6)),))</f>
        <v/>
      </c>
      <c r="D17" s="446" t="str">
        <f ca="1">IF(ROWS($1:6)&gt;COUNT(Dong2),"",OFFSET(TH!F$1,SMALL(Dong2,ROWS($1:6)),))</f>
        <v/>
      </c>
      <c r="E17" s="445" t="str">
        <f ca="1">IF(ROWS($1:6)&gt;COUNT(Dong2),"",IF(OFFSET(TH!M$1,SMALL(Dong2,ROWS($1:6)),)=$I$6,OFFSET(TH!L$1,SMALL(Dong2,ROWS($1:6)),),OFFSET(TH!M$1,SMALL(Dong2,ROWS($1:6)),)))</f>
        <v/>
      </c>
      <c r="F17" s="447" t="str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/>
      </c>
      <c r="G17" s="447" t="str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/>
      </c>
      <c r="H17" s="448">
        <f t="shared" ca="1" si="1"/>
        <v>0</v>
      </c>
      <c r="I17" s="449"/>
      <c r="J17" s="428"/>
      <c r="K17" s="428"/>
      <c r="L17" s="76"/>
      <c r="M17" s="428"/>
      <c r="N17" s="428"/>
      <c r="O17" s="428"/>
      <c r="P17" s="428"/>
      <c r="Q17" s="428"/>
      <c r="R17" s="428"/>
      <c r="S17" s="428"/>
      <c r="T17" s="428"/>
    </row>
    <row r="18" spans="1:20" ht="20.25" customHeight="1">
      <c r="A18" s="445" t="str">
        <f ca="1">IF(ROWS($1:7)&gt;COUNT(Dong2),"",OFFSET(TH!C$1,SMALL(Dong2,ROWS($1:7)),))</f>
        <v/>
      </c>
      <c r="B18" s="445" t="str">
        <f ca="1">IF(ROWS($1:7)&gt;COUNT(Dong2),"",OFFSET(TH!D$1,SMALL(Dong2,ROWS($1:7)),))</f>
        <v/>
      </c>
      <c r="C18" s="445" t="str">
        <f ca="1">IF(ROWS($1:7)&gt;COUNT(Dong2),"",OFFSET(TH!E$1,SMALL(Dong2,ROWS($1:7)),))</f>
        <v/>
      </c>
      <c r="D18" s="446" t="str">
        <f ca="1">IF(ROWS($1:7)&gt;COUNT(Dong2),"",OFFSET(TH!F$1,SMALL(Dong2,ROWS($1:7)),))</f>
        <v/>
      </c>
      <c r="E18" s="445" t="str">
        <f ca="1">IF(ROWS($1:7)&gt;COUNT(Dong2),"",IF(OFFSET(TH!M$1,SMALL(Dong2,ROWS($1:7)),)=$I$6,OFFSET(TH!L$1,SMALL(Dong2,ROWS($1:7)),),OFFSET(TH!M$1,SMALL(Dong2,ROWS($1:7)),)))</f>
        <v/>
      </c>
      <c r="F18" s="447" t="str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/>
      </c>
      <c r="G18" s="447" t="str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/>
      </c>
      <c r="H18" s="448">
        <f t="shared" ca="1" si="1"/>
        <v>0</v>
      </c>
      <c r="I18" s="449"/>
      <c r="J18" s="428"/>
      <c r="K18" s="428"/>
      <c r="L18" s="76"/>
      <c r="M18" s="428"/>
      <c r="N18" s="428"/>
      <c r="O18" s="428"/>
      <c r="P18" s="428"/>
      <c r="Q18" s="428"/>
      <c r="R18" s="428"/>
      <c r="S18" s="428"/>
      <c r="T18" s="428"/>
    </row>
    <row r="19" spans="1:20" ht="20.25" customHeight="1">
      <c r="A19" s="445" t="str">
        <f ca="1">IF(ROWS($1:8)&gt;COUNT(Dong2),"",OFFSET(TH!C$1,SMALL(Dong2,ROWS($1:8)),))</f>
        <v/>
      </c>
      <c r="B19" s="445" t="str">
        <f ca="1">IF(ROWS($1:8)&gt;COUNT(Dong2),"",OFFSET(TH!D$1,SMALL(Dong2,ROWS($1:8)),))</f>
        <v/>
      </c>
      <c r="C19" s="445" t="str">
        <f ca="1">IF(ROWS($1:8)&gt;COUNT(Dong2),"",OFFSET(TH!E$1,SMALL(Dong2,ROWS($1:8)),))</f>
        <v/>
      </c>
      <c r="D19" s="446" t="str">
        <f ca="1">IF(ROWS($1:8)&gt;COUNT(Dong2),"",OFFSET(TH!F$1,SMALL(Dong2,ROWS($1:8)),))</f>
        <v/>
      </c>
      <c r="E19" s="445" t="str">
        <f ca="1">IF(ROWS($1:8)&gt;COUNT(Dong2),"",IF(OFFSET(TH!M$1,SMALL(Dong2,ROWS($1:8)),)=$I$6,OFFSET(TH!L$1,SMALL(Dong2,ROWS($1:8)),),OFFSET(TH!M$1,SMALL(Dong2,ROWS($1:8)),)))</f>
        <v/>
      </c>
      <c r="F19" s="447" t="str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/>
      </c>
      <c r="G19" s="447" t="str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/>
      </c>
      <c r="H19" s="448">
        <f t="shared" ca="1" si="1"/>
        <v>0</v>
      </c>
      <c r="I19" s="449"/>
      <c r="J19" s="428"/>
      <c r="K19" s="428"/>
      <c r="L19" s="76"/>
      <c r="M19" s="428"/>
      <c r="N19" s="428"/>
      <c r="O19" s="428"/>
      <c r="P19" s="428"/>
      <c r="Q19" s="428"/>
      <c r="R19" s="428"/>
      <c r="S19" s="428"/>
      <c r="T19" s="428"/>
    </row>
    <row r="20" spans="1:20" ht="20.25" customHeight="1">
      <c r="A20" s="445" t="str">
        <f ca="1">IF(ROWS($1:9)&gt;COUNT(Dong2),"",OFFSET(TH!C$1,SMALL(Dong2,ROWS($1:9)),))</f>
        <v/>
      </c>
      <c r="B20" s="445" t="str">
        <f ca="1">IF(ROWS($1:9)&gt;COUNT(Dong2),"",OFFSET(TH!D$1,SMALL(Dong2,ROWS($1:9)),))</f>
        <v/>
      </c>
      <c r="C20" s="445" t="str">
        <f ca="1">IF(ROWS($1:9)&gt;COUNT(Dong2),"",OFFSET(TH!E$1,SMALL(Dong2,ROWS($1:9)),))</f>
        <v/>
      </c>
      <c r="D20" s="446" t="str">
        <f ca="1">IF(ROWS($1:9)&gt;COUNT(Dong2),"",OFFSET(TH!F$1,SMALL(Dong2,ROWS($1:9)),))</f>
        <v/>
      </c>
      <c r="E20" s="445" t="str">
        <f ca="1">IF(ROWS($1:9)&gt;COUNT(Dong2),"",IF(OFFSET(TH!M$1,SMALL(Dong2,ROWS($1:9)),)=$I$6,OFFSET(TH!L$1,SMALL(Dong2,ROWS($1:9)),),OFFSET(TH!M$1,SMALL(Dong2,ROWS($1:9)),)))</f>
        <v/>
      </c>
      <c r="F20" s="447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47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448">
        <f t="shared" ca="1" si="1"/>
        <v>0</v>
      </c>
      <c r="I20" s="449"/>
      <c r="J20" s="428"/>
      <c r="K20" s="428"/>
      <c r="L20" s="76"/>
      <c r="M20" s="428"/>
      <c r="N20" s="428"/>
      <c r="O20" s="428"/>
      <c r="P20" s="428"/>
      <c r="Q20" s="428"/>
      <c r="R20" s="428"/>
      <c r="S20" s="428"/>
      <c r="T20" s="428"/>
    </row>
    <row r="21" spans="1:20" ht="20.25" customHeight="1">
      <c r="A21" s="445" t="str">
        <f ca="1">IF(ROWS($1:10)&gt;COUNT(Dong2),"",OFFSET(TH!C$1,SMALL(Dong2,ROWS($1:10)),))</f>
        <v/>
      </c>
      <c r="B21" s="445" t="str">
        <f ca="1">IF(ROWS($1:10)&gt;COUNT(Dong2),"",OFFSET(TH!D$1,SMALL(Dong2,ROWS($1:10)),))</f>
        <v/>
      </c>
      <c r="C21" s="445" t="str">
        <f ca="1">IF(ROWS($1:10)&gt;COUNT(Dong2),"",OFFSET(TH!E$1,SMALL(Dong2,ROWS($1:10)),))</f>
        <v/>
      </c>
      <c r="D21" s="446" t="str">
        <f ca="1">IF(ROWS($1:10)&gt;COUNT(Dong2),"",OFFSET(TH!F$1,SMALL(Dong2,ROWS($1:10)),))</f>
        <v/>
      </c>
      <c r="E21" s="445" t="str">
        <f ca="1">IF(ROWS($1:10)&gt;COUNT(Dong2),"",IF(OFFSET(TH!M$1,SMALL(Dong2,ROWS($1:10)),)=$I$6,OFFSET(TH!L$1,SMALL(Dong2,ROWS($1:10)),),OFFSET(TH!M$1,SMALL(Dong2,ROWS($1:10)),)))</f>
        <v/>
      </c>
      <c r="F21" s="447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47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448">
        <f t="shared" ca="1" si="1"/>
        <v>0</v>
      </c>
      <c r="I21" s="449"/>
      <c r="J21" s="428"/>
      <c r="K21" s="428"/>
      <c r="L21" s="76"/>
      <c r="M21" s="428"/>
      <c r="N21" s="428"/>
      <c r="O21" s="428"/>
      <c r="P21" s="428"/>
      <c r="Q21" s="433"/>
      <c r="R21" s="428"/>
      <c r="S21" s="428"/>
      <c r="T21" s="428"/>
    </row>
    <row r="22" spans="1:20" ht="20.25" customHeight="1">
      <c r="A22" s="445" t="str">
        <f ca="1">IF(ROWS($1:11)&gt;COUNT(Dong2),"",OFFSET(TH!C$1,SMALL(Dong2,ROWS($1:11)),))</f>
        <v/>
      </c>
      <c r="B22" s="445" t="str">
        <f ca="1">IF(ROWS($1:11)&gt;COUNT(Dong2),"",OFFSET(TH!D$1,SMALL(Dong2,ROWS($1:11)),))</f>
        <v/>
      </c>
      <c r="C22" s="445" t="str">
        <f ca="1">IF(ROWS($1:11)&gt;COUNT(Dong2),"",OFFSET(TH!E$1,SMALL(Dong2,ROWS($1:11)),))</f>
        <v/>
      </c>
      <c r="D22" s="446" t="str">
        <f ca="1">IF(ROWS($1:11)&gt;COUNT(Dong2),"",OFFSET(TH!F$1,SMALL(Dong2,ROWS($1:11)),))</f>
        <v/>
      </c>
      <c r="E22" s="445" t="str">
        <f ca="1">IF(ROWS($1:11)&gt;COUNT(Dong2),"",IF(OFFSET(TH!M$1,SMALL(Dong2,ROWS($1:11)),)=$I$6,OFFSET(TH!L$1,SMALL(Dong2,ROWS($1:11)),),OFFSET(TH!M$1,SMALL(Dong2,ROWS($1:11)),)))</f>
        <v/>
      </c>
      <c r="F22" s="447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47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448">
        <f t="shared" ca="1" si="1"/>
        <v>0</v>
      </c>
      <c r="I22" s="449"/>
      <c r="J22" s="428"/>
      <c r="K22" s="428"/>
      <c r="L22" s="76"/>
      <c r="M22" s="428"/>
      <c r="N22" s="428"/>
      <c r="O22" s="428"/>
      <c r="P22" s="428"/>
      <c r="Q22" s="428"/>
      <c r="R22" s="428"/>
      <c r="S22" s="428"/>
      <c r="T22" s="428"/>
    </row>
    <row r="23" spans="1:20" ht="20.25" customHeight="1">
      <c r="A23" s="445" t="str">
        <f ca="1">IF(ROWS($1:12)&gt;COUNT(Dong2),"",OFFSET(TH!C$1,SMALL(Dong2,ROWS($1:12)),))</f>
        <v/>
      </c>
      <c r="B23" s="445" t="str">
        <f ca="1">IF(ROWS($1:12)&gt;COUNT(Dong2),"",OFFSET(TH!D$1,SMALL(Dong2,ROWS($1:12)),))</f>
        <v/>
      </c>
      <c r="C23" s="445" t="str">
        <f ca="1">IF(ROWS($1:12)&gt;COUNT(Dong2),"",OFFSET(TH!E$1,SMALL(Dong2,ROWS($1:12)),))</f>
        <v/>
      </c>
      <c r="D23" s="446" t="str">
        <f ca="1">IF(ROWS($1:12)&gt;COUNT(Dong2),"",OFFSET(TH!F$1,SMALL(Dong2,ROWS($1:12)),))</f>
        <v/>
      </c>
      <c r="E23" s="445" t="str">
        <f ca="1">IF(ROWS($1:12)&gt;COUNT(Dong2),"",IF(OFFSET(TH!M$1,SMALL(Dong2,ROWS($1:12)),)=$I$6,OFFSET(TH!L$1,SMALL(Dong2,ROWS($1:12)),),OFFSET(TH!M$1,SMALL(Dong2,ROWS($1:12)),)))</f>
        <v/>
      </c>
      <c r="F23" s="447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47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448">
        <f t="shared" ca="1" si="1"/>
        <v>0</v>
      </c>
      <c r="I23" s="449"/>
      <c r="J23" s="428"/>
      <c r="K23" s="428"/>
      <c r="L23" s="76"/>
      <c r="M23" s="428"/>
      <c r="N23" s="428"/>
      <c r="O23" s="428"/>
      <c r="P23" s="428"/>
      <c r="Q23" s="450"/>
      <c r="R23" s="428"/>
      <c r="S23" s="428"/>
      <c r="T23" s="428"/>
    </row>
    <row r="24" spans="1:20" ht="20.25" customHeight="1">
      <c r="A24" s="445" t="str">
        <f ca="1">IF(ROWS($1:13)&gt;COUNT(Dong2),"",OFFSET(TH!C$1,SMALL(Dong2,ROWS($1:13)),))</f>
        <v/>
      </c>
      <c r="B24" s="445" t="str">
        <f ca="1">IF(ROWS($1:13)&gt;COUNT(Dong2),"",OFFSET(TH!D$1,SMALL(Dong2,ROWS($1:13)),))</f>
        <v/>
      </c>
      <c r="C24" s="445" t="str">
        <f ca="1">IF(ROWS($1:13)&gt;COUNT(Dong2),"",OFFSET(TH!E$1,SMALL(Dong2,ROWS($1:13)),))</f>
        <v/>
      </c>
      <c r="D24" s="446" t="str">
        <f ca="1">IF(ROWS($1:13)&gt;COUNT(Dong2),"",OFFSET(TH!F$1,SMALL(Dong2,ROWS($1:13)),))</f>
        <v/>
      </c>
      <c r="E24" s="445" t="str">
        <f ca="1">IF(ROWS($1:13)&gt;COUNT(Dong2),"",IF(OFFSET(TH!M$1,SMALL(Dong2,ROWS($1:13)),)=$I$6,OFFSET(TH!L$1,SMALL(Dong2,ROWS($1:13)),),OFFSET(TH!M$1,SMALL(Dong2,ROWS($1:13)),)))</f>
        <v/>
      </c>
      <c r="F24" s="447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47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448">
        <f t="shared" ca="1" si="1"/>
        <v>0</v>
      </c>
      <c r="I24" s="449"/>
      <c r="J24" s="428"/>
      <c r="K24" s="428"/>
      <c r="L24" s="76"/>
      <c r="M24" s="428"/>
      <c r="N24" s="428"/>
      <c r="O24" s="428"/>
      <c r="P24" s="428"/>
      <c r="Q24" s="428"/>
      <c r="R24" s="428"/>
      <c r="S24" s="428"/>
      <c r="T24" s="428"/>
    </row>
    <row r="25" spans="1:20" ht="20.25" customHeight="1">
      <c r="A25" s="445" t="str">
        <f ca="1">IF(ROWS($1:14)&gt;COUNT(Dong2),"",OFFSET(TH!C$1,SMALL(Dong2,ROWS($1:14)),))</f>
        <v/>
      </c>
      <c r="B25" s="445" t="str">
        <f ca="1">IF(ROWS($1:14)&gt;COUNT(Dong2),"",OFFSET(TH!D$1,SMALL(Dong2,ROWS($1:14)),))</f>
        <v/>
      </c>
      <c r="C25" s="445" t="str">
        <f ca="1">IF(ROWS($1:14)&gt;COUNT(Dong2),"",OFFSET(TH!E$1,SMALL(Dong2,ROWS($1:14)),))</f>
        <v/>
      </c>
      <c r="D25" s="446" t="str">
        <f ca="1">IF(ROWS($1:14)&gt;COUNT(Dong2),"",OFFSET(TH!F$1,SMALL(Dong2,ROWS($1:14)),))</f>
        <v/>
      </c>
      <c r="E25" s="445" t="str">
        <f ca="1">IF(ROWS($1:14)&gt;COUNT(Dong2),"",IF(OFFSET(TH!M$1,SMALL(Dong2,ROWS($1:14)),)=$I$6,OFFSET(TH!L$1,SMALL(Dong2,ROWS($1:14)),),OFFSET(TH!M$1,SMALL(Dong2,ROWS($1:14)),)))</f>
        <v/>
      </c>
      <c r="F25" s="447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47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448">
        <f t="shared" ca="1" si="1"/>
        <v>0</v>
      </c>
      <c r="I25" s="449"/>
      <c r="J25" s="428"/>
      <c r="K25" s="428"/>
      <c r="L25" s="76"/>
      <c r="M25" s="428"/>
      <c r="N25" s="428"/>
      <c r="O25" s="428"/>
      <c r="P25" s="428"/>
      <c r="Q25" s="428"/>
      <c r="R25" s="428"/>
      <c r="S25" s="428"/>
      <c r="T25" s="428"/>
    </row>
    <row r="26" spans="1:20" ht="20.25" customHeight="1">
      <c r="A26" s="445" t="str">
        <f ca="1">IF(ROWS($1:15)&gt;COUNT(Dong2),"",OFFSET(TH!C$1,SMALL(Dong2,ROWS($1:15)),))</f>
        <v/>
      </c>
      <c r="B26" s="445" t="str">
        <f ca="1">IF(ROWS($1:15)&gt;COUNT(Dong2),"",OFFSET(TH!D$1,SMALL(Dong2,ROWS($1:15)),))</f>
        <v/>
      </c>
      <c r="C26" s="445" t="str">
        <f ca="1">IF(ROWS($1:15)&gt;COUNT(Dong2),"",OFFSET(TH!E$1,SMALL(Dong2,ROWS($1:15)),))</f>
        <v/>
      </c>
      <c r="D26" s="446" t="str">
        <f ca="1">IF(ROWS($1:15)&gt;COUNT(Dong2),"",OFFSET(TH!F$1,SMALL(Dong2,ROWS($1:15)),))</f>
        <v/>
      </c>
      <c r="E26" s="445" t="str">
        <f ca="1">IF(ROWS($1:15)&gt;COUNT(Dong2),"",IF(OFFSET(TH!M$1,SMALL(Dong2,ROWS($1:15)),)=$I$6,OFFSET(TH!L$1,SMALL(Dong2,ROWS($1:15)),),OFFSET(TH!M$1,SMALL(Dong2,ROWS($1:15)),)))</f>
        <v/>
      </c>
      <c r="F26" s="447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47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448">
        <f t="shared" ca="1" si="1"/>
        <v>0</v>
      </c>
      <c r="I26" s="449"/>
      <c r="J26" s="428"/>
      <c r="K26" s="428"/>
      <c r="L26" s="76"/>
      <c r="M26" s="428"/>
      <c r="N26" s="428"/>
      <c r="O26" s="428"/>
      <c r="P26" s="428"/>
      <c r="Q26" s="428"/>
      <c r="R26" s="428"/>
      <c r="S26" s="428"/>
      <c r="T26" s="428"/>
    </row>
    <row r="27" spans="1:20" ht="20.25" customHeight="1">
      <c r="A27" s="445" t="str">
        <f ca="1">IF(ROWS($1:16)&gt;COUNT(Dong2),"",OFFSET(TH!C$1,SMALL(Dong2,ROWS($1:16)),))</f>
        <v/>
      </c>
      <c r="B27" s="445" t="str">
        <f ca="1">IF(ROWS($1:16)&gt;COUNT(Dong2),"",OFFSET(TH!D$1,SMALL(Dong2,ROWS($1:16)),))</f>
        <v/>
      </c>
      <c r="C27" s="445" t="str">
        <f ca="1">IF(ROWS($1:16)&gt;COUNT(Dong2),"",OFFSET(TH!E$1,SMALL(Dong2,ROWS($1:16)),))</f>
        <v/>
      </c>
      <c r="D27" s="446" t="str">
        <f ca="1">IF(ROWS($1:16)&gt;COUNT(Dong2),"",OFFSET(TH!F$1,SMALL(Dong2,ROWS($1:16)),))</f>
        <v/>
      </c>
      <c r="E27" s="445" t="str">
        <f ca="1">IF(ROWS($1:16)&gt;COUNT(Dong2),"",IF(OFFSET(TH!M$1,SMALL(Dong2,ROWS($1:16)),)=$I$6,OFFSET(TH!L$1,SMALL(Dong2,ROWS($1:16)),),OFFSET(TH!M$1,SMALL(Dong2,ROWS($1:16)),)))</f>
        <v/>
      </c>
      <c r="F27" s="447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47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448">
        <f t="shared" ca="1" si="1"/>
        <v>0</v>
      </c>
      <c r="I27" s="449"/>
      <c r="J27" s="428"/>
      <c r="K27" s="428"/>
      <c r="L27" s="76"/>
      <c r="M27" s="428"/>
      <c r="N27" s="428"/>
      <c r="O27" s="428"/>
      <c r="P27" s="428"/>
      <c r="Q27" s="428"/>
      <c r="R27" s="428"/>
      <c r="S27" s="428"/>
      <c r="T27" s="428"/>
    </row>
    <row r="28" spans="1:20" ht="20.25" customHeight="1">
      <c r="A28" s="445" t="str">
        <f ca="1">IF(ROWS($1:17)&gt;COUNT(Dong2),"",OFFSET(TH!C$1,SMALL(Dong2,ROWS($1:17)),))</f>
        <v/>
      </c>
      <c r="B28" s="445" t="str">
        <f ca="1">IF(ROWS($1:17)&gt;COUNT(Dong2),"",OFFSET(TH!D$1,SMALL(Dong2,ROWS($1:17)),))</f>
        <v/>
      </c>
      <c r="C28" s="445" t="str">
        <f ca="1">IF(ROWS($1:17)&gt;COUNT(Dong2),"",OFFSET(TH!E$1,SMALL(Dong2,ROWS($1:17)),))</f>
        <v/>
      </c>
      <c r="D28" s="446" t="str">
        <f ca="1">IF(ROWS($1:17)&gt;COUNT(Dong2),"",OFFSET(TH!F$1,SMALL(Dong2,ROWS($1:17)),))</f>
        <v/>
      </c>
      <c r="E28" s="445" t="str">
        <f ca="1">IF(ROWS($1:17)&gt;COUNT(Dong2),"",IF(OFFSET(TH!M$1,SMALL(Dong2,ROWS($1:17)),)=$I$6,OFFSET(TH!L$1,SMALL(Dong2,ROWS($1:17)),),OFFSET(TH!M$1,SMALL(Dong2,ROWS($1:17)),)))</f>
        <v/>
      </c>
      <c r="F28" s="447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47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448">
        <f t="shared" ca="1" si="1"/>
        <v>0</v>
      </c>
      <c r="I28" s="449"/>
      <c r="J28" s="428"/>
      <c r="K28" s="428"/>
      <c r="L28" s="76"/>
      <c r="M28" s="428"/>
      <c r="N28" s="428"/>
      <c r="O28" s="428"/>
      <c r="P28" s="428"/>
      <c r="Q28" s="428"/>
      <c r="R28" s="428"/>
      <c r="S28" s="428"/>
      <c r="T28" s="428"/>
    </row>
    <row r="29" spans="1:20" ht="20.25" customHeight="1">
      <c r="A29" s="445" t="str">
        <f ca="1">IF(ROWS($1:18)&gt;COUNT(Dong2),"",OFFSET(TH!C$1,SMALL(Dong2,ROWS($1:18)),))</f>
        <v/>
      </c>
      <c r="B29" s="445" t="str">
        <f ca="1">IF(ROWS($1:18)&gt;COUNT(Dong2),"",OFFSET(TH!D$1,SMALL(Dong2,ROWS($1:18)),))</f>
        <v/>
      </c>
      <c r="C29" s="445" t="str">
        <f ca="1">IF(ROWS($1:18)&gt;COUNT(Dong2),"",OFFSET(TH!E$1,SMALL(Dong2,ROWS($1:18)),))</f>
        <v/>
      </c>
      <c r="D29" s="446" t="str">
        <f ca="1">IF(ROWS($1:18)&gt;COUNT(Dong2),"",OFFSET(TH!F$1,SMALL(Dong2,ROWS($1:18)),))</f>
        <v/>
      </c>
      <c r="E29" s="445" t="str">
        <f ca="1">IF(ROWS($1:18)&gt;COUNT(Dong2),"",IF(OFFSET(TH!M$1,SMALL(Dong2,ROWS($1:18)),)=$I$6,OFFSET(TH!L$1,SMALL(Dong2,ROWS($1:18)),),OFFSET(TH!M$1,SMALL(Dong2,ROWS($1:18)),)))</f>
        <v/>
      </c>
      <c r="F29" s="447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47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448">
        <f t="shared" ca="1" si="1"/>
        <v>0</v>
      </c>
      <c r="I29" s="449"/>
      <c r="J29" s="428"/>
      <c r="K29" s="428"/>
      <c r="L29" s="76"/>
      <c r="M29" s="428"/>
      <c r="N29" s="428"/>
      <c r="O29" s="428"/>
      <c r="P29" s="428"/>
      <c r="Q29" s="428"/>
      <c r="R29" s="428"/>
      <c r="S29" s="428"/>
      <c r="T29" s="428"/>
    </row>
    <row r="30" spans="1:20" ht="20.25" customHeight="1">
      <c r="A30" s="445" t="str">
        <f ca="1">IF(ROWS($1:19)&gt;COUNT(Dong2),"",OFFSET(TH!C$1,SMALL(Dong2,ROWS($1:19)),))</f>
        <v/>
      </c>
      <c r="B30" s="445" t="str">
        <f ca="1">IF(ROWS($1:19)&gt;COUNT(Dong2),"",OFFSET(TH!D$1,SMALL(Dong2,ROWS($1:19)),))</f>
        <v/>
      </c>
      <c r="C30" s="445" t="str">
        <f ca="1">IF(ROWS($1:19)&gt;COUNT(Dong2),"",OFFSET(TH!E$1,SMALL(Dong2,ROWS($1:19)),))</f>
        <v/>
      </c>
      <c r="D30" s="446" t="str">
        <f ca="1">IF(ROWS($1:19)&gt;COUNT(Dong2),"",OFFSET(TH!F$1,SMALL(Dong2,ROWS($1:19)),))</f>
        <v/>
      </c>
      <c r="E30" s="445" t="str">
        <f ca="1">IF(ROWS($1:19)&gt;COUNT(Dong2),"",IF(OFFSET(TH!M$1,SMALL(Dong2,ROWS($1:19)),)=$I$6,OFFSET(TH!L$1,SMALL(Dong2,ROWS($1:19)),),OFFSET(TH!M$1,SMALL(Dong2,ROWS($1:19)),)))</f>
        <v/>
      </c>
      <c r="F30" s="447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47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448">
        <f t="shared" ca="1" si="1"/>
        <v>0</v>
      </c>
      <c r="I30" s="449"/>
      <c r="J30" s="428"/>
      <c r="K30" s="428"/>
      <c r="L30" s="76"/>
      <c r="M30" s="428"/>
      <c r="N30" s="428"/>
      <c r="O30" s="428"/>
      <c r="P30" s="428"/>
      <c r="Q30" s="428"/>
      <c r="R30" s="428"/>
      <c r="S30" s="428"/>
      <c r="T30" s="428"/>
    </row>
    <row r="31" spans="1:20" ht="20.25" customHeight="1">
      <c r="A31" s="445" t="str">
        <f ca="1">IF(ROWS($1:20)&gt;COUNT(Dong2),"",OFFSET(TH!C$1,SMALL(Dong2,ROWS($1:20)),))</f>
        <v/>
      </c>
      <c r="B31" s="445" t="str">
        <f ca="1">IF(ROWS($1:20)&gt;COUNT(Dong2),"",OFFSET(TH!D$1,SMALL(Dong2,ROWS($1:20)),))</f>
        <v/>
      </c>
      <c r="C31" s="445" t="str">
        <f ca="1">IF(ROWS($1:20)&gt;COUNT(Dong2),"",OFFSET(TH!E$1,SMALL(Dong2,ROWS($1:20)),))</f>
        <v/>
      </c>
      <c r="D31" s="446" t="str">
        <f ca="1">IF(ROWS($1:20)&gt;COUNT(Dong2),"",OFFSET(TH!F$1,SMALL(Dong2,ROWS($1:20)),))</f>
        <v/>
      </c>
      <c r="E31" s="445" t="str">
        <f ca="1">IF(ROWS($1:20)&gt;COUNT(Dong2),"",IF(OFFSET(TH!M$1,SMALL(Dong2,ROWS($1:20)),)=$I$6,OFFSET(TH!L$1,SMALL(Dong2,ROWS($1:20)),),OFFSET(TH!M$1,SMALL(Dong2,ROWS($1:20)),)))</f>
        <v/>
      </c>
      <c r="F31" s="447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47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448">
        <f t="shared" ca="1" si="1"/>
        <v>0</v>
      </c>
      <c r="I31" s="449"/>
      <c r="J31" s="428"/>
      <c r="K31" s="428"/>
      <c r="L31" s="76"/>
      <c r="M31" s="428"/>
      <c r="N31" s="428"/>
      <c r="O31" s="428"/>
      <c r="P31" s="428"/>
      <c r="Q31" s="428"/>
      <c r="R31" s="428"/>
      <c r="S31" s="428"/>
      <c r="T31" s="428"/>
    </row>
    <row r="32" spans="1:20" ht="20.25" customHeight="1">
      <c r="A32" s="445" t="str">
        <f ca="1">IF(ROWS($1:21)&gt;COUNT(Dong2),"",OFFSET(TH!C$1,SMALL(Dong2,ROWS($1:21)),))</f>
        <v/>
      </c>
      <c r="B32" s="445" t="str">
        <f ca="1">IF(ROWS($1:21)&gt;COUNT(Dong2),"",OFFSET(TH!D$1,SMALL(Dong2,ROWS($1:21)),))</f>
        <v/>
      </c>
      <c r="C32" s="445" t="str">
        <f ca="1">IF(ROWS($1:21)&gt;COUNT(Dong2),"",OFFSET(TH!E$1,SMALL(Dong2,ROWS($1:21)),))</f>
        <v/>
      </c>
      <c r="D32" s="446" t="str">
        <f ca="1">IF(ROWS($1:21)&gt;COUNT(Dong2),"",OFFSET(TH!F$1,SMALL(Dong2,ROWS($1:21)),))</f>
        <v/>
      </c>
      <c r="E32" s="445" t="str">
        <f ca="1">IF(ROWS($1:21)&gt;COUNT(Dong2),"",IF(OFFSET(TH!M$1,SMALL(Dong2,ROWS($1:21)),)=$I$6,OFFSET(TH!L$1,SMALL(Dong2,ROWS($1:21)),),OFFSET(TH!M$1,SMALL(Dong2,ROWS($1:21)),)))</f>
        <v/>
      </c>
      <c r="F32" s="447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47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448">
        <f t="shared" ca="1" si="1"/>
        <v>0</v>
      </c>
      <c r="I32" s="449"/>
      <c r="J32" s="428"/>
      <c r="K32" s="428"/>
      <c r="L32" s="76"/>
      <c r="M32" s="428"/>
      <c r="N32" s="428"/>
      <c r="O32" s="428"/>
      <c r="P32" s="428"/>
      <c r="Q32" s="428"/>
      <c r="R32" s="428"/>
      <c r="S32" s="428"/>
      <c r="T32" s="428"/>
    </row>
    <row r="33" spans="1:20" ht="20.25" customHeight="1">
      <c r="A33" s="445" t="str">
        <f ca="1">IF(ROWS($1:22)&gt;COUNT(Dong2),"",OFFSET(TH!C$1,SMALL(Dong2,ROWS($1:22)),))</f>
        <v/>
      </c>
      <c r="B33" s="445" t="str">
        <f ca="1">IF(ROWS($1:22)&gt;COUNT(Dong2),"",OFFSET(TH!D$1,SMALL(Dong2,ROWS($1:22)),))</f>
        <v/>
      </c>
      <c r="C33" s="445" t="str">
        <f ca="1">IF(ROWS($1:22)&gt;COUNT(Dong2),"",OFFSET(TH!E$1,SMALL(Dong2,ROWS($1:22)),))</f>
        <v/>
      </c>
      <c r="D33" s="446" t="str">
        <f ca="1">IF(ROWS($1:22)&gt;COUNT(Dong2),"",OFFSET(TH!F$1,SMALL(Dong2,ROWS($1:22)),))</f>
        <v/>
      </c>
      <c r="E33" s="445" t="str">
        <f ca="1">IF(ROWS($1:22)&gt;COUNT(Dong2),"",IF(OFFSET(TH!M$1,SMALL(Dong2,ROWS($1:22)),)=$I$6,OFFSET(TH!L$1,SMALL(Dong2,ROWS($1:22)),),OFFSET(TH!M$1,SMALL(Dong2,ROWS($1:22)),)))</f>
        <v/>
      </c>
      <c r="F33" s="447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47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448">
        <f t="shared" ca="1" si="1"/>
        <v>0</v>
      </c>
      <c r="I33" s="449"/>
      <c r="J33" s="428"/>
      <c r="K33" s="428"/>
      <c r="L33" s="76"/>
      <c r="M33" s="428"/>
      <c r="N33" s="428"/>
      <c r="O33" s="428"/>
      <c r="P33" s="428"/>
      <c r="Q33" s="428"/>
      <c r="R33" s="428"/>
      <c r="S33" s="428"/>
      <c r="T33" s="428"/>
    </row>
    <row r="34" spans="1:20" ht="20.25" customHeight="1">
      <c r="A34" s="445" t="str">
        <f ca="1">IF(ROWS($1:23)&gt;COUNT(Dong2),"",OFFSET(TH!C$1,SMALL(Dong2,ROWS($1:23)),))</f>
        <v/>
      </c>
      <c r="B34" s="445" t="str">
        <f ca="1">IF(ROWS($1:23)&gt;COUNT(Dong2),"",OFFSET(TH!D$1,SMALL(Dong2,ROWS($1:23)),))</f>
        <v/>
      </c>
      <c r="C34" s="445" t="str">
        <f ca="1">IF(ROWS($1:23)&gt;COUNT(Dong2),"",OFFSET(TH!E$1,SMALL(Dong2,ROWS($1:23)),))</f>
        <v/>
      </c>
      <c r="D34" s="446" t="str">
        <f ca="1">IF(ROWS($1:23)&gt;COUNT(Dong2),"",OFFSET(TH!F$1,SMALL(Dong2,ROWS($1:23)),))</f>
        <v/>
      </c>
      <c r="E34" s="445" t="str">
        <f ca="1">IF(ROWS($1:23)&gt;COUNT(Dong2),"",IF(OFFSET(TH!M$1,SMALL(Dong2,ROWS($1:23)),)=$I$6,OFFSET(TH!L$1,SMALL(Dong2,ROWS($1:23)),),OFFSET(TH!M$1,SMALL(Dong2,ROWS($1:23)),)))</f>
        <v/>
      </c>
      <c r="F34" s="447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47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448">
        <f t="shared" ca="1" si="1"/>
        <v>0</v>
      </c>
      <c r="I34" s="449"/>
      <c r="J34" s="428"/>
      <c r="K34" s="428"/>
      <c r="L34" s="76"/>
      <c r="M34" s="428"/>
      <c r="N34" s="428"/>
      <c r="O34" s="428"/>
      <c r="P34" s="428"/>
      <c r="Q34" s="428"/>
      <c r="R34" s="428"/>
      <c r="S34" s="428"/>
      <c r="T34" s="428"/>
    </row>
    <row r="35" spans="1:20" ht="20.25" customHeight="1">
      <c r="A35" s="445" t="str">
        <f ca="1">IF(ROWS($1:24)&gt;COUNT(Dong2),"",OFFSET(TH!C$1,SMALL(Dong2,ROWS($1:24)),))</f>
        <v/>
      </c>
      <c r="B35" s="445" t="str">
        <f ca="1">IF(ROWS($1:24)&gt;COUNT(Dong2),"",OFFSET(TH!D$1,SMALL(Dong2,ROWS($1:24)),))</f>
        <v/>
      </c>
      <c r="C35" s="445" t="str">
        <f ca="1">IF(ROWS($1:24)&gt;COUNT(Dong2),"",OFFSET(TH!E$1,SMALL(Dong2,ROWS($1:24)),))</f>
        <v/>
      </c>
      <c r="D35" s="446" t="str">
        <f ca="1">IF(ROWS($1:24)&gt;COUNT(Dong2),"",OFFSET(TH!F$1,SMALL(Dong2,ROWS($1:24)),))</f>
        <v/>
      </c>
      <c r="E35" s="445" t="str">
        <f ca="1">IF(ROWS($1:24)&gt;COUNT(Dong2),"",IF(OFFSET(TH!M$1,SMALL(Dong2,ROWS($1:24)),)=$I$6,OFFSET(TH!L$1,SMALL(Dong2,ROWS($1:24)),),OFFSET(TH!M$1,SMALL(Dong2,ROWS($1:24)),)))</f>
        <v/>
      </c>
      <c r="F35" s="447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47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448">
        <f t="shared" ca="1" si="1"/>
        <v>0</v>
      </c>
      <c r="I35" s="449"/>
      <c r="J35" s="428"/>
      <c r="K35" s="428"/>
      <c r="L35" s="76"/>
      <c r="M35" s="428"/>
      <c r="N35" s="428"/>
      <c r="O35" s="428"/>
      <c r="P35" s="428"/>
      <c r="Q35" s="428"/>
      <c r="R35" s="428"/>
      <c r="S35" s="428"/>
      <c r="T35" s="428"/>
    </row>
    <row r="36" spans="1:20" ht="20.25" customHeight="1">
      <c r="A36" s="445" t="str">
        <f ca="1">IF(ROWS($1:25)&gt;COUNT(Dong2),"",OFFSET(TH!C$1,SMALL(Dong2,ROWS($1:25)),))</f>
        <v/>
      </c>
      <c r="B36" s="445" t="str">
        <f ca="1">IF(ROWS($1:25)&gt;COUNT(Dong2),"",OFFSET(TH!D$1,SMALL(Dong2,ROWS($1:25)),))</f>
        <v/>
      </c>
      <c r="C36" s="445" t="str">
        <f ca="1">IF(ROWS($1:25)&gt;COUNT(Dong2),"",OFFSET(TH!E$1,SMALL(Dong2,ROWS($1:25)),))</f>
        <v/>
      </c>
      <c r="D36" s="446" t="str">
        <f ca="1">IF(ROWS($1:25)&gt;COUNT(Dong2),"",OFFSET(TH!F$1,SMALL(Dong2,ROWS($1:25)),))</f>
        <v/>
      </c>
      <c r="E36" s="445" t="str">
        <f ca="1">IF(ROWS($1:25)&gt;COUNT(Dong2),"",IF(OFFSET(TH!M$1,SMALL(Dong2,ROWS($1:25)),)=$I$6,OFFSET(TH!L$1,SMALL(Dong2,ROWS($1:25)),),OFFSET(TH!M$1,SMALL(Dong2,ROWS($1:25)),)))</f>
        <v/>
      </c>
      <c r="F36" s="447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47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448">
        <f t="shared" ca="1" si="1"/>
        <v>0</v>
      </c>
      <c r="I36" s="449"/>
      <c r="J36" s="428"/>
      <c r="K36" s="428"/>
      <c r="L36" s="76"/>
      <c r="M36" s="428"/>
      <c r="N36" s="428"/>
      <c r="O36" s="428"/>
      <c r="P36" s="428"/>
      <c r="Q36" s="428"/>
      <c r="R36" s="428"/>
      <c r="S36" s="428"/>
      <c r="T36" s="428"/>
    </row>
    <row r="37" spans="1:20" ht="20.25" customHeight="1">
      <c r="A37" s="445" t="str">
        <f ca="1">IF(ROWS($1:26)&gt;COUNT(Dong2),"",OFFSET(TH!C$1,SMALL(Dong2,ROWS($1:26)),))</f>
        <v/>
      </c>
      <c r="B37" s="445" t="str">
        <f ca="1">IF(ROWS($1:26)&gt;COUNT(Dong2),"",OFFSET(TH!D$1,SMALL(Dong2,ROWS($1:26)),))</f>
        <v/>
      </c>
      <c r="C37" s="445" t="str">
        <f ca="1">IF(ROWS($1:26)&gt;COUNT(Dong2),"",OFFSET(TH!E$1,SMALL(Dong2,ROWS($1:26)),))</f>
        <v/>
      </c>
      <c r="D37" s="446" t="str">
        <f ca="1">IF(ROWS($1:26)&gt;COUNT(Dong2),"",OFFSET(TH!F$1,SMALL(Dong2,ROWS($1:26)),))</f>
        <v/>
      </c>
      <c r="E37" s="445" t="str">
        <f ca="1">IF(ROWS($1:26)&gt;COUNT(Dong2),"",IF(OFFSET(TH!M$1,SMALL(Dong2,ROWS($1:26)),)=$I$6,OFFSET(TH!L$1,SMALL(Dong2,ROWS($1:26)),),OFFSET(TH!M$1,SMALL(Dong2,ROWS($1:26)),)))</f>
        <v/>
      </c>
      <c r="F37" s="447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47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448">
        <f t="shared" ca="1" si="1"/>
        <v>0</v>
      </c>
      <c r="I37" s="449"/>
      <c r="J37" s="428"/>
      <c r="K37" s="428"/>
      <c r="L37" s="76"/>
      <c r="M37" s="428"/>
      <c r="N37" s="428"/>
      <c r="O37" s="428"/>
      <c r="P37" s="428"/>
      <c r="Q37" s="428"/>
      <c r="R37" s="428"/>
      <c r="S37" s="428"/>
      <c r="T37" s="428"/>
    </row>
    <row r="38" spans="1:20" ht="20.25" customHeight="1">
      <c r="A38" s="445" t="str">
        <f ca="1">IF(ROWS($1:27)&gt;COUNT(Dong2),"",OFFSET(TH!C$1,SMALL(Dong2,ROWS($1:27)),))</f>
        <v/>
      </c>
      <c r="B38" s="445" t="str">
        <f ca="1">IF(ROWS($1:27)&gt;COUNT(Dong2),"",OFFSET(TH!D$1,SMALL(Dong2,ROWS($1:27)),))</f>
        <v/>
      </c>
      <c r="C38" s="445" t="str">
        <f ca="1">IF(ROWS($1:27)&gt;COUNT(Dong2),"",OFFSET(TH!E$1,SMALL(Dong2,ROWS($1:27)),))</f>
        <v/>
      </c>
      <c r="D38" s="446" t="str">
        <f ca="1">IF(ROWS($1:27)&gt;COUNT(Dong2),"",OFFSET(TH!F$1,SMALL(Dong2,ROWS($1:27)),))</f>
        <v/>
      </c>
      <c r="E38" s="445" t="str">
        <f ca="1">IF(ROWS($1:27)&gt;COUNT(Dong2),"",IF(OFFSET(TH!M$1,SMALL(Dong2,ROWS($1:27)),)=$I$6,OFFSET(TH!L$1,SMALL(Dong2,ROWS($1:27)),),OFFSET(TH!M$1,SMALL(Dong2,ROWS($1:27)),)))</f>
        <v/>
      </c>
      <c r="F38" s="447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47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448">
        <f t="shared" ca="1" si="1"/>
        <v>0</v>
      </c>
      <c r="I38" s="449"/>
      <c r="J38" s="428"/>
      <c r="K38" s="428"/>
      <c r="L38" s="76"/>
      <c r="M38" s="428"/>
      <c r="N38" s="428"/>
      <c r="O38" s="428"/>
      <c r="P38" s="428"/>
      <c r="Q38" s="428"/>
      <c r="R38" s="428"/>
      <c r="S38" s="428"/>
      <c r="T38" s="428"/>
    </row>
    <row r="39" spans="1:20" ht="20.25" customHeight="1">
      <c r="A39" s="445" t="str">
        <f ca="1">IF(ROWS($1:28)&gt;COUNT(Dong2),"",OFFSET(TH!C$1,SMALL(Dong2,ROWS($1:28)),))</f>
        <v/>
      </c>
      <c r="B39" s="445" t="str">
        <f ca="1">IF(ROWS($1:28)&gt;COUNT(Dong2),"",OFFSET(TH!D$1,SMALL(Dong2,ROWS($1:28)),))</f>
        <v/>
      </c>
      <c r="C39" s="445" t="str">
        <f ca="1">IF(ROWS($1:28)&gt;COUNT(Dong2),"",OFFSET(TH!E$1,SMALL(Dong2,ROWS($1:28)),))</f>
        <v/>
      </c>
      <c r="D39" s="446" t="str">
        <f ca="1">IF(ROWS($1:28)&gt;COUNT(Dong2),"",OFFSET(TH!F$1,SMALL(Dong2,ROWS($1:28)),))</f>
        <v/>
      </c>
      <c r="E39" s="445" t="str">
        <f ca="1">IF(ROWS($1:28)&gt;COUNT(Dong2),"",IF(OFFSET(TH!M$1,SMALL(Dong2,ROWS($1:28)),)=$I$6,OFFSET(TH!L$1,SMALL(Dong2,ROWS($1:28)),),OFFSET(TH!M$1,SMALL(Dong2,ROWS($1:28)),)))</f>
        <v/>
      </c>
      <c r="F39" s="447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47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448">
        <f t="shared" ca="1" si="1"/>
        <v>0</v>
      </c>
      <c r="I39" s="449"/>
      <c r="J39" s="428"/>
      <c r="K39" s="428"/>
      <c r="L39" s="76"/>
      <c r="M39" s="428"/>
      <c r="N39" s="428"/>
      <c r="O39" s="428"/>
      <c r="P39" s="428"/>
      <c r="Q39" s="428"/>
      <c r="R39" s="428"/>
      <c r="S39" s="428"/>
      <c r="T39" s="428"/>
    </row>
    <row r="40" spans="1:20" ht="20.25" customHeight="1">
      <c r="A40" s="445" t="str">
        <f ca="1">IF(ROWS($1:29)&gt;COUNT(Dong2),"",OFFSET(TH!C$1,SMALL(Dong2,ROWS($1:29)),))</f>
        <v/>
      </c>
      <c r="B40" s="445" t="str">
        <f ca="1">IF(ROWS($1:29)&gt;COUNT(Dong2),"",OFFSET(TH!D$1,SMALL(Dong2,ROWS($1:29)),))</f>
        <v/>
      </c>
      <c r="C40" s="445" t="str">
        <f ca="1">IF(ROWS($1:29)&gt;COUNT(Dong2),"",OFFSET(TH!E$1,SMALL(Dong2,ROWS($1:29)),))</f>
        <v/>
      </c>
      <c r="D40" s="446" t="str">
        <f ca="1">IF(ROWS($1:29)&gt;COUNT(Dong2),"",OFFSET(TH!F$1,SMALL(Dong2,ROWS($1:29)),))</f>
        <v/>
      </c>
      <c r="E40" s="445" t="str">
        <f ca="1">IF(ROWS($1:29)&gt;COUNT(Dong2),"",IF(OFFSET(TH!M$1,SMALL(Dong2,ROWS($1:29)),)=$I$6,OFFSET(TH!L$1,SMALL(Dong2,ROWS($1:29)),),OFFSET(TH!M$1,SMALL(Dong2,ROWS($1:29)),)))</f>
        <v/>
      </c>
      <c r="F40" s="44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4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448">
        <f t="shared" ca="1" si="1"/>
        <v>0</v>
      </c>
      <c r="I40" s="449"/>
      <c r="J40" s="428"/>
      <c r="K40" s="428"/>
      <c r="L40" s="76"/>
      <c r="M40" s="428"/>
      <c r="N40" s="428"/>
      <c r="O40" s="428"/>
      <c r="P40" s="428"/>
      <c r="Q40" s="428"/>
      <c r="R40" s="428"/>
      <c r="S40" s="428"/>
      <c r="T40" s="428"/>
    </row>
    <row r="41" spans="1:20" ht="20.25" customHeight="1">
      <c r="A41" s="445" t="str">
        <f ca="1">IF(ROWS($1:30)&gt;COUNT(Dong2),"",OFFSET(TH!C$1,SMALL(Dong2,ROWS($1:30)),))</f>
        <v/>
      </c>
      <c r="B41" s="445" t="str">
        <f ca="1">IF(ROWS($1:30)&gt;COUNT(Dong2),"",OFFSET(TH!D$1,SMALL(Dong2,ROWS($1:30)),))</f>
        <v/>
      </c>
      <c r="C41" s="445" t="str">
        <f ca="1">IF(ROWS($1:30)&gt;COUNT(Dong2),"",OFFSET(TH!E$1,SMALL(Dong2,ROWS($1:30)),))</f>
        <v/>
      </c>
      <c r="D41" s="446" t="str">
        <f ca="1">IF(ROWS($1:30)&gt;COUNT(Dong2),"",OFFSET(TH!F$1,SMALL(Dong2,ROWS($1:30)),))</f>
        <v/>
      </c>
      <c r="E41" s="445" t="str">
        <f ca="1">IF(ROWS($1:30)&gt;COUNT(Dong2),"",IF(OFFSET(TH!M$1,SMALL(Dong2,ROWS($1:30)),)=$I$6,OFFSET(TH!L$1,SMALL(Dong2,ROWS($1:30)),),OFFSET(TH!M$1,SMALL(Dong2,ROWS($1:30)),)))</f>
        <v/>
      </c>
      <c r="F41" s="44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4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448">
        <f t="shared" ca="1" si="1"/>
        <v>0</v>
      </c>
      <c r="I41" s="449"/>
      <c r="J41" s="428"/>
      <c r="K41" s="428"/>
      <c r="L41" s="76"/>
      <c r="M41" s="428"/>
      <c r="N41" s="428"/>
      <c r="O41" s="428"/>
      <c r="P41" s="428"/>
      <c r="Q41" s="428"/>
      <c r="R41" s="428"/>
      <c r="S41" s="428"/>
      <c r="T41" s="428"/>
    </row>
    <row r="42" spans="1:20" ht="20.25" customHeight="1">
      <c r="A42" s="445" t="str">
        <f ca="1">IF(ROWS($1:31)&gt;COUNT(Dong2),"",OFFSET(TH!C$1,SMALL(Dong2,ROWS($1:31)),))</f>
        <v/>
      </c>
      <c r="B42" s="445" t="str">
        <f ca="1">IF(ROWS($1:31)&gt;COUNT(Dong2),"",OFFSET(TH!D$1,SMALL(Dong2,ROWS($1:31)),))</f>
        <v/>
      </c>
      <c r="C42" s="445" t="str">
        <f ca="1">IF(ROWS($1:31)&gt;COUNT(Dong2),"",OFFSET(TH!E$1,SMALL(Dong2,ROWS($1:31)),))</f>
        <v/>
      </c>
      <c r="D42" s="446" t="str">
        <f ca="1">IF(ROWS($1:31)&gt;COUNT(Dong2),"",OFFSET(TH!F$1,SMALL(Dong2,ROWS($1:31)),))</f>
        <v/>
      </c>
      <c r="E42" s="445" t="str">
        <f ca="1">IF(ROWS($1:31)&gt;COUNT(Dong2),"",IF(OFFSET(TH!M$1,SMALL(Dong2,ROWS($1:31)),)=$I$6,OFFSET(TH!L$1,SMALL(Dong2,ROWS($1:31)),),OFFSET(TH!M$1,SMALL(Dong2,ROWS($1:31)),)))</f>
        <v/>
      </c>
      <c r="F42" s="44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4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448">
        <f t="shared" ca="1" si="1"/>
        <v>0</v>
      </c>
      <c r="I42" s="449"/>
      <c r="J42" s="428"/>
      <c r="K42" s="428"/>
      <c r="L42" s="76"/>
      <c r="M42" s="428"/>
      <c r="N42" s="428"/>
      <c r="O42" s="428"/>
      <c r="P42" s="428"/>
      <c r="Q42" s="428"/>
      <c r="R42" s="428"/>
      <c r="S42" s="428"/>
      <c r="T42" s="428"/>
    </row>
    <row r="43" spans="1:20" ht="20.25" customHeight="1">
      <c r="A43" s="445" t="str">
        <f ca="1">IF(ROWS($1:32)&gt;COUNT(Dong2),"",OFFSET(TH!C$1,SMALL(Dong2,ROWS($1:32)),))</f>
        <v/>
      </c>
      <c r="B43" s="445" t="str">
        <f ca="1">IF(ROWS($1:32)&gt;COUNT(Dong2),"",OFFSET(TH!D$1,SMALL(Dong2,ROWS($1:32)),))</f>
        <v/>
      </c>
      <c r="C43" s="445" t="str">
        <f ca="1">IF(ROWS($1:32)&gt;COUNT(Dong2),"",OFFSET(TH!E$1,SMALL(Dong2,ROWS($1:32)),))</f>
        <v/>
      </c>
      <c r="D43" s="446" t="str">
        <f ca="1">IF(ROWS($1:32)&gt;COUNT(Dong2),"",OFFSET(TH!F$1,SMALL(Dong2,ROWS($1:32)),))</f>
        <v/>
      </c>
      <c r="E43" s="445" t="str">
        <f ca="1">IF(ROWS($1:32)&gt;COUNT(Dong2),"",IF(OFFSET(TH!M$1,SMALL(Dong2,ROWS($1:32)),)=$I$6,OFFSET(TH!L$1,SMALL(Dong2,ROWS($1:32)),),OFFSET(TH!M$1,SMALL(Dong2,ROWS($1:32)),)))</f>
        <v/>
      </c>
      <c r="F43" s="44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4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448">
        <f t="shared" ca="1" si="1"/>
        <v>0</v>
      </c>
      <c r="I43" s="449"/>
      <c r="J43" s="428"/>
      <c r="K43" s="428"/>
      <c r="L43" s="76"/>
      <c r="M43" s="428"/>
      <c r="N43" s="428"/>
      <c r="O43" s="428"/>
      <c r="P43" s="428"/>
      <c r="Q43" s="428"/>
      <c r="R43" s="428"/>
      <c r="S43" s="428"/>
      <c r="T43" s="428"/>
    </row>
    <row r="44" spans="1:20" ht="20.25" customHeight="1">
      <c r="A44" s="445" t="str">
        <f ca="1">IF(ROWS($1:33)&gt;COUNT(Dong2),"",OFFSET(TH!C$1,SMALL(Dong2,ROWS($1:33)),))</f>
        <v/>
      </c>
      <c r="B44" s="445" t="str">
        <f ca="1">IF(ROWS($1:33)&gt;COUNT(Dong2),"",OFFSET(TH!D$1,SMALL(Dong2,ROWS($1:33)),))</f>
        <v/>
      </c>
      <c r="C44" s="445" t="str">
        <f ca="1">IF(ROWS($1:33)&gt;COUNT(Dong2),"",OFFSET(TH!E$1,SMALL(Dong2,ROWS($1:33)),))</f>
        <v/>
      </c>
      <c r="D44" s="446" t="str">
        <f ca="1">IF(ROWS($1:33)&gt;COUNT(Dong2),"",OFFSET(TH!F$1,SMALL(Dong2,ROWS($1:33)),))</f>
        <v/>
      </c>
      <c r="E44" s="445" t="str">
        <f ca="1">IF(ROWS($1:33)&gt;COUNT(Dong2),"",IF(OFFSET(TH!M$1,SMALL(Dong2,ROWS($1:33)),)=$I$6,OFFSET(TH!L$1,SMALL(Dong2,ROWS($1:33)),),OFFSET(TH!M$1,SMALL(Dong2,ROWS($1:33)),)))</f>
        <v/>
      </c>
      <c r="F44" s="44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4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448">
        <f t="shared" ca="1" si="1"/>
        <v>0</v>
      </c>
      <c r="I44" s="449"/>
      <c r="J44" s="428"/>
      <c r="K44" s="428"/>
      <c r="L44" s="76"/>
      <c r="M44" s="428"/>
      <c r="N44" s="428"/>
      <c r="O44" s="428"/>
      <c r="P44" s="428"/>
      <c r="Q44" s="428"/>
      <c r="R44" s="428"/>
      <c r="S44" s="428"/>
      <c r="T44" s="428"/>
    </row>
    <row r="45" spans="1:20" ht="20.25" customHeight="1">
      <c r="A45" s="445" t="str">
        <f ca="1">IF(ROWS($1:34)&gt;COUNT(Dong2),"",OFFSET(TH!C$1,SMALL(Dong2,ROWS($1:34)),))</f>
        <v/>
      </c>
      <c r="B45" s="445" t="str">
        <f ca="1">IF(ROWS($1:34)&gt;COUNT(Dong2),"",OFFSET(TH!D$1,SMALL(Dong2,ROWS($1:34)),))</f>
        <v/>
      </c>
      <c r="C45" s="445" t="str">
        <f ca="1">IF(ROWS($1:34)&gt;COUNT(Dong2),"",OFFSET(TH!E$1,SMALL(Dong2,ROWS($1:34)),))</f>
        <v/>
      </c>
      <c r="D45" s="446" t="str">
        <f ca="1">IF(ROWS($1:34)&gt;COUNT(Dong2),"",OFFSET(TH!F$1,SMALL(Dong2,ROWS($1:34)),))</f>
        <v/>
      </c>
      <c r="E45" s="445" t="str">
        <f ca="1">IF(ROWS($1:34)&gt;COUNT(Dong2),"",IF(OFFSET(TH!M$1,SMALL(Dong2,ROWS($1:34)),)=$I$6,OFFSET(TH!L$1,SMALL(Dong2,ROWS($1:34)),),OFFSET(TH!M$1,SMALL(Dong2,ROWS($1:34)),)))</f>
        <v/>
      </c>
      <c r="F45" s="447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47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448">
        <f t="shared" ca="1" si="1"/>
        <v>0</v>
      </c>
      <c r="I45" s="449"/>
      <c r="J45" s="428"/>
      <c r="K45" s="428"/>
      <c r="L45" s="76"/>
      <c r="M45" s="428"/>
      <c r="N45" s="428"/>
      <c r="O45" s="428"/>
      <c r="P45" s="428"/>
      <c r="Q45" s="428"/>
      <c r="R45" s="428"/>
      <c r="S45" s="428"/>
      <c r="T45" s="428"/>
    </row>
    <row r="46" spans="1:20" ht="20.25" customHeight="1">
      <c r="A46" s="445" t="str">
        <f ca="1">IF(ROWS($1:35)&gt;COUNT(Dong2),"",OFFSET(TH!C$1,SMALL(Dong2,ROWS($1:35)),))</f>
        <v/>
      </c>
      <c r="B46" s="445" t="str">
        <f ca="1">IF(ROWS($1:35)&gt;COUNT(Dong2),"",OFFSET(TH!D$1,SMALL(Dong2,ROWS($1:35)),))</f>
        <v/>
      </c>
      <c r="C46" s="445" t="str">
        <f ca="1">IF(ROWS($1:35)&gt;COUNT(Dong2),"",OFFSET(TH!E$1,SMALL(Dong2,ROWS($1:35)),))</f>
        <v/>
      </c>
      <c r="D46" s="446" t="str">
        <f ca="1">IF(ROWS($1:35)&gt;COUNT(Dong2),"",OFFSET(TH!F$1,SMALL(Dong2,ROWS($1:35)),))</f>
        <v/>
      </c>
      <c r="E46" s="445" t="str">
        <f ca="1">IF(ROWS($1:35)&gt;COUNT(Dong2),"",IF(OFFSET(TH!M$1,SMALL(Dong2,ROWS($1:35)),)=$I$6,OFFSET(TH!L$1,SMALL(Dong2,ROWS($1:35)),),OFFSET(TH!M$1,SMALL(Dong2,ROWS($1:35)),)))</f>
        <v/>
      </c>
      <c r="F46" s="447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47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448">
        <f t="shared" ca="1" si="1"/>
        <v>0</v>
      </c>
      <c r="I46" s="449"/>
      <c r="J46" s="428"/>
      <c r="K46" s="428"/>
      <c r="L46" s="76"/>
      <c r="M46" s="428"/>
      <c r="N46" s="428"/>
      <c r="O46" s="428"/>
      <c r="P46" s="428"/>
      <c r="Q46" s="428"/>
      <c r="R46" s="428"/>
      <c r="S46" s="428"/>
      <c r="T46" s="428"/>
    </row>
    <row r="47" spans="1:20" ht="20.25" customHeight="1">
      <c r="A47" s="445" t="str">
        <f ca="1">IF(ROWS($1:36)&gt;COUNT(Dong2),"",OFFSET(TH!C$1,SMALL(Dong2,ROWS($1:36)),))</f>
        <v/>
      </c>
      <c r="B47" s="445" t="str">
        <f ca="1">IF(ROWS($1:36)&gt;COUNT(Dong2),"",OFFSET(TH!D$1,SMALL(Dong2,ROWS($1:36)),))</f>
        <v/>
      </c>
      <c r="C47" s="445" t="str">
        <f ca="1">IF(ROWS($1:36)&gt;COUNT(Dong2),"",OFFSET(TH!E$1,SMALL(Dong2,ROWS($1:36)),))</f>
        <v/>
      </c>
      <c r="D47" s="446" t="str">
        <f ca="1">IF(ROWS($1:36)&gt;COUNT(Dong2),"",OFFSET(TH!F$1,SMALL(Dong2,ROWS($1:36)),))</f>
        <v/>
      </c>
      <c r="E47" s="445" t="str">
        <f ca="1">IF(ROWS($1:36)&gt;COUNT(Dong2),"",IF(OFFSET(TH!M$1,SMALL(Dong2,ROWS($1:36)),)=$I$6,OFFSET(TH!L$1,SMALL(Dong2,ROWS($1:36)),),OFFSET(TH!M$1,SMALL(Dong2,ROWS($1:36)),)))</f>
        <v/>
      </c>
      <c r="F47" s="447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47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448">
        <f t="shared" ca="1" si="1"/>
        <v>0</v>
      </c>
      <c r="I47" s="449"/>
      <c r="J47" s="428"/>
      <c r="K47" s="428"/>
      <c r="L47" s="76"/>
      <c r="M47" s="428"/>
      <c r="N47" s="428"/>
      <c r="O47" s="428"/>
      <c r="P47" s="428"/>
      <c r="Q47" s="428"/>
      <c r="R47" s="428"/>
      <c r="S47" s="428"/>
      <c r="T47" s="428"/>
    </row>
    <row r="48" spans="1:20" ht="20.25" customHeight="1">
      <c r="A48" s="445" t="str">
        <f ca="1">IF(ROWS($1:37)&gt;COUNT(Dong2),"",OFFSET(TH!C$1,SMALL(Dong2,ROWS($1:37)),))</f>
        <v/>
      </c>
      <c r="B48" s="445" t="str">
        <f ca="1">IF(ROWS($1:37)&gt;COUNT(Dong2),"",OFFSET(TH!D$1,SMALL(Dong2,ROWS($1:37)),))</f>
        <v/>
      </c>
      <c r="C48" s="445" t="str">
        <f ca="1">IF(ROWS($1:37)&gt;COUNT(Dong2),"",OFFSET(TH!E$1,SMALL(Dong2,ROWS($1:37)),))</f>
        <v/>
      </c>
      <c r="D48" s="446" t="str">
        <f ca="1">IF(ROWS($1:37)&gt;COUNT(Dong2),"",OFFSET(TH!F$1,SMALL(Dong2,ROWS($1:37)),))</f>
        <v/>
      </c>
      <c r="E48" s="445" t="str">
        <f ca="1">IF(ROWS($1:37)&gt;COUNT(Dong2),"",IF(OFFSET(TH!M$1,SMALL(Dong2,ROWS($1:37)),)=$I$6,OFFSET(TH!L$1,SMALL(Dong2,ROWS($1:37)),),OFFSET(TH!M$1,SMALL(Dong2,ROWS($1:37)),)))</f>
        <v/>
      </c>
      <c r="F48" s="447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47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448">
        <f t="shared" ca="1" si="1"/>
        <v>0</v>
      </c>
      <c r="I48" s="449"/>
      <c r="J48" s="428"/>
      <c r="K48" s="428"/>
      <c r="L48" s="76"/>
      <c r="M48" s="428"/>
      <c r="N48" s="428"/>
      <c r="O48" s="428"/>
      <c r="P48" s="428"/>
      <c r="Q48" s="428"/>
      <c r="R48" s="428"/>
      <c r="S48" s="428"/>
      <c r="T48" s="428"/>
    </row>
    <row r="49" spans="1:20" ht="20.25" customHeight="1">
      <c r="A49" s="445" t="str">
        <f ca="1">IF(ROWS($1:38)&gt;COUNT(Dong2),"",OFFSET(TH!C$1,SMALL(Dong2,ROWS($1:38)),))</f>
        <v/>
      </c>
      <c r="B49" s="445" t="str">
        <f ca="1">IF(ROWS($1:38)&gt;COUNT(Dong2),"",OFFSET(TH!D$1,SMALL(Dong2,ROWS($1:38)),))</f>
        <v/>
      </c>
      <c r="C49" s="445" t="str">
        <f ca="1">IF(ROWS($1:38)&gt;COUNT(Dong2),"",OFFSET(TH!E$1,SMALL(Dong2,ROWS($1:38)),))</f>
        <v/>
      </c>
      <c r="D49" s="446" t="str">
        <f ca="1">IF(ROWS($1:38)&gt;COUNT(Dong2),"",OFFSET(TH!F$1,SMALL(Dong2,ROWS($1:38)),))</f>
        <v/>
      </c>
      <c r="E49" s="445" t="str">
        <f ca="1">IF(ROWS($1:38)&gt;COUNT(Dong2),"",IF(OFFSET(TH!M$1,SMALL(Dong2,ROWS($1:38)),)=$I$6,OFFSET(TH!L$1,SMALL(Dong2,ROWS($1:38)),),OFFSET(TH!M$1,SMALL(Dong2,ROWS($1:38)),)))</f>
        <v/>
      </c>
      <c r="F49" s="447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47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448">
        <f t="shared" ca="1" si="1"/>
        <v>0</v>
      </c>
      <c r="I49" s="449"/>
      <c r="J49" s="428"/>
      <c r="K49" s="428"/>
      <c r="L49" s="76"/>
      <c r="M49" s="428"/>
      <c r="N49" s="428"/>
      <c r="O49" s="428"/>
      <c r="P49" s="428"/>
      <c r="Q49" s="428"/>
      <c r="R49" s="428"/>
      <c r="S49" s="428"/>
      <c r="T49" s="428"/>
    </row>
    <row r="50" spans="1:20" ht="20.25" customHeight="1">
      <c r="A50" s="445" t="str">
        <f ca="1">IF(ROWS($1:39)&gt;COUNT(Dong2),"",OFFSET(TH!C$1,SMALL(Dong2,ROWS($1:39)),))</f>
        <v/>
      </c>
      <c r="B50" s="445" t="str">
        <f ca="1">IF(ROWS($1:39)&gt;COUNT(Dong2),"",OFFSET(TH!D$1,SMALL(Dong2,ROWS($1:39)),))</f>
        <v/>
      </c>
      <c r="C50" s="445" t="str">
        <f ca="1">IF(ROWS($1:39)&gt;COUNT(Dong2),"",OFFSET(TH!E$1,SMALL(Dong2,ROWS($1:39)),))</f>
        <v/>
      </c>
      <c r="D50" s="446" t="str">
        <f ca="1">IF(ROWS($1:39)&gt;COUNT(Dong2),"",OFFSET(TH!F$1,SMALL(Dong2,ROWS($1:39)),))</f>
        <v/>
      </c>
      <c r="E50" s="445" t="str">
        <f ca="1">IF(ROWS($1:39)&gt;COUNT(Dong2),"",IF(OFFSET(TH!M$1,SMALL(Dong2,ROWS($1:39)),)=$I$6,OFFSET(TH!L$1,SMALL(Dong2,ROWS($1:39)),),OFFSET(TH!M$1,SMALL(Dong2,ROWS($1:39)),)))</f>
        <v/>
      </c>
      <c r="F50" s="447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47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448">
        <f t="shared" ca="1" si="1"/>
        <v>0</v>
      </c>
      <c r="I50" s="449"/>
      <c r="J50" s="428"/>
      <c r="K50" s="428"/>
      <c r="L50" s="76"/>
      <c r="M50" s="428"/>
      <c r="N50" s="428"/>
      <c r="O50" s="428"/>
      <c r="P50" s="428"/>
      <c r="Q50" s="428"/>
      <c r="R50" s="428"/>
      <c r="S50" s="428"/>
      <c r="T50" s="428"/>
    </row>
    <row r="51" spans="1:20" ht="20.25" customHeight="1">
      <c r="A51" s="445" t="str">
        <f ca="1">IF(ROWS($1:40)&gt;COUNT(Dong2),"",OFFSET(TH!C$1,SMALL(Dong2,ROWS($1:40)),))</f>
        <v/>
      </c>
      <c r="B51" s="445" t="str">
        <f ca="1">IF(ROWS($1:40)&gt;COUNT(Dong2),"",OFFSET(TH!D$1,SMALL(Dong2,ROWS($1:40)),))</f>
        <v/>
      </c>
      <c r="C51" s="445" t="str">
        <f ca="1">IF(ROWS($1:40)&gt;COUNT(Dong2),"",OFFSET(TH!E$1,SMALL(Dong2,ROWS($1:40)),))</f>
        <v/>
      </c>
      <c r="D51" s="446" t="str">
        <f ca="1">IF(ROWS($1:40)&gt;COUNT(Dong2),"",OFFSET(TH!F$1,SMALL(Dong2,ROWS($1:40)),))</f>
        <v/>
      </c>
      <c r="E51" s="445" t="str">
        <f ca="1">IF(ROWS($1:40)&gt;COUNT(Dong2),"",IF(OFFSET(TH!M$1,SMALL(Dong2,ROWS($1:40)),)=$I$6,OFFSET(TH!L$1,SMALL(Dong2,ROWS($1:40)),),OFFSET(TH!M$1,SMALL(Dong2,ROWS($1:40)),)))</f>
        <v/>
      </c>
      <c r="F51" s="447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47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448">
        <f t="shared" ca="1" si="1"/>
        <v>0</v>
      </c>
      <c r="I51" s="449"/>
      <c r="J51" s="428"/>
      <c r="K51" s="428"/>
      <c r="L51" s="76"/>
      <c r="M51" s="428"/>
      <c r="N51" s="428"/>
      <c r="O51" s="428"/>
      <c r="P51" s="428"/>
      <c r="Q51" s="428"/>
      <c r="R51" s="428"/>
      <c r="S51" s="428"/>
      <c r="T51" s="428"/>
    </row>
    <row r="52" spans="1:20" ht="20.25" customHeight="1">
      <c r="A52" s="445" t="str">
        <f ca="1">IF(ROWS($1:41)&gt;COUNT(Dong2),"",OFFSET(TH!C$1,SMALL(Dong2,ROWS($1:41)),))</f>
        <v/>
      </c>
      <c r="B52" s="445" t="str">
        <f ca="1">IF(ROWS($1:41)&gt;COUNT(Dong2),"",OFFSET(TH!D$1,SMALL(Dong2,ROWS($1:41)),))</f>
        <v/>
      </c>
      <c r="C52" s="445" t="str">
        <f ca="1">IF(ROWS($1:41)&gt;COUNT(Dong2),"",OFFSET(TH!E$1,SMALL(Dong2,ROWS($1:41)),))</f>
        <v/>
      </c>
      <c r="D52" s="446" t="str">
        <f ca="1">IF(ROWS($1:41)&gt;COUNT(Dong2),"",OFFSET(TH!F$1,SMALL(Dong2,ROWS($1:41)),))</f>
        <v/>
      </c>
      <c r="E52" s="445" t="str">
        <f ca="1">IF(ROWS($1:41)&gt;COUNT(Dong2),"",IF(OFFSET(TH!M$1,SMALL(Dong2,ROWS($1:41)),)=$I$6,OFFSET(TH!L$1,SMALL(Dong2,ROWS($1:41)),),OFFSET(TH!M$1,SMALL(Dong2,ROWS($1:41)),)))</f>
        <v/>
      </c>
      <c r="F52" s="447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47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448">
        <f t="shared" ca="1" si="1"/>
        <v>0</v>
      </c>
      <c r="I52" s="449"/>
      <c r="J52" s="428"/>
      <c r="K52" s="428"/>
      <c r="L52" s="76"/>
      <c r="M52" s="428"/>
      <c r="N52" s="428"/>
      <c r="O52" s="428"/>
      <c r="P52" s="428"/>
      <c r="Q52" s="428"/>
      <c r="R52" s="428"/>
      <c r="S52" s="428"/>
      <c r="T52" s="428"/>
    </row>
    <row r="53" spans="1:20" ht="20.25" customHeight="1">
      <c r="A53" s="445" t="str">
        <f ca="1">IF(ROWS($1:42)&gt;COUNT(Dong2),"",OFFSET(TH!C$1,SMALL(Dong2,ROWS($1:42)),))</f>
        <v/>
      </c>
      <c r="B53" s="445" t="str">
        <f ca="1">IF(ROWS($1:42)&gt;COUNT(Dong2),"",OFFSET(TH!D$1,SMALL(Dong2,ROWS($1:42)),))</f>
        <v/>
      </c>
      <c r="C53" s="445" t="str">
        <f ca="1">IF(ROWS($1:42)&gt;COUNT(Dong2),"",OFFSET(TH!E$1,SMALL(Dong2,ROWS($1:42)),))</f>
        <v/>
      </c>
      <c r="D53" s="446" t="str">
        <f ca="1">IF(ROWS($1:42)&gt;COUNT(Dong2),"",OFFSET(TH!F$1,SMALL(Dong2,ROWS($1:42)),))</f>
        <v/>
      </c>
      <c r="E53" s="445" t="str">
        <f ca="1">IF(ROWS($1:42)&gt;COUNT(Dong2),"",IF(OFFSET(TH!M$1,SMALL(Dong2,ROWS($1:42)),)=$I$6,OFFSET(TH!L$1,SMALL(Dong2,ROWS($1:42)),),OFFSET(TH!M$1,SMALL(Dong2,ROWS($1:42)),)))</f>
        <v/>
      </c>
      <c r="F53" s="447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47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448">
        <f t="shared" ca="1" si="1"/>
        <v>0</v>
      </c>
      <c r="I53" s="449"/>
      <c r="J53" s="428"/>
      <c r="K53" s="428"/>
      <c r="L53" s="76"/>
      <c r="M53" s="428"/>
      <c r="N53" s="428"/>
      <c r="O53" s="428"/>
      <c r="P53" s="428"/>
      <c r="Q53" s="428"/>
      <c r="R53" s="428"/>
      <c r="S53" s="428"/>
      <c r="T53" s="428"/>
    </row>
    <row r="54" spans="1:20" ht="20.25" customHeight="1">
      <c r="A54" s="445" t="str">
        <f ca="1">IF(ROWS($1:43)&gt;COUNT(Dong2),"",OFFSET(TH!C$1,SMALL(Dong2,ROWS($1:43)),))</f>
        <v/>
      </c>
      <c r="B54" s="445" t="str">
        <f ca="1">IF(ROWS($1:43)&gt;COUNT(Dong2),"",OFFSET(TH!D$1,SMALL(Dong2,ROWS($1:43)),))</f>
        <v/>
      </c>
      <c r="C54" s="445" t="str">
        <f ca="1">IF(ROWS($1:43)&gt;COUNT(Dong2),"",OFFSET(TH!E$1,SMALL(Dong2,ROWS($1:43)),))</f>
        <v/>
      </c>
      <c r="D54" s="446" t="str">
        <f ca="1">IF(ROWS($1:43)&gt;COUNT(Dong2),"",OFFSET(TH!F$1,SMALL(Dong2,ROWS($1:43)),))</f>
        <v/>
      </c>
      <c r="E54" s="445" t="str">
        <f ca="1">IF(ROWS($1:43)&gt;COUNT(Dong2),"",IF(OFFSET(TH!M$1,SMALL(Dong2,ROWS($1:43)),)=$I$6,OFFSET(TH!L$1,SMALL(Dong2,ROWS($1:43)),),OFFSET(TH!M$1,SMALL(Dong2,ROWS($1:43)),)))</f>
        <v/>
      </c>
      <c r="F54" s="447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47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448">
        <f t="shared" ca="1" si="1"/>
        <v>0</v>
      </c>
      <c r="I54" s="449"/>
      <c r="J54" s="428"/>
      <c r="K54" s="428"/>
      <c r="L54" s="76"/>
      <c r="M54" s="428"/>
      <c r="N54" s="428"/>
      <c r="O54" s="428"/>
      <c r="P54" s="428"/>
      <c r="Q54" s="428"/>
      <c r="R54" s="428"/>
      <c r="S54" s="428"/>
      <c r="T54" s="428"/>
    </row>
    <row r="55" spans="1:20" ht="20.25" customHeight="1">
      <c r="A55" s="445" t="str">
        <f ca="1">IF(ROWS($1:44)&gt;COUNT(Dong2),"",OFFSET(TH!C$1,SMALL(Dong2,ROWS($1:44)),))</f>
        <v/>
      </c>
      <c r="B55" s="445" t="str">
        <f ca="1">IF(ROWS($1:44)&gt;COUNT(Dong2),"",OFFSET(TH!D$1,SMALL(Dong2,ROWS($1:44)),))</f>
        <v/>
      </c>
      <c r="C55" s="445" t="str">
        <f ca="1">IF(ROWS($1:44)&gt;COUNT(Dong2),"",OFFSET(TH!E$1,SMALL(Dong2,ROWS($1:44)),))</f>
        <v/>
      </c>
      <c r="D55" s="446" t="str">
        <f ca="1">IF(ROWS($1:44)&gt;COUNT(Dong2),"",OFFSET(TH!F$1,SMALL(Dong2,ROWS($1:44)),))</f>
        <v/>
      </c>
      <c r="E55" s="445" t="str">
        <f ca="1">IF(ROWS($1:44)&gt;COUNT(Dong2),"",IF(OFFSET(TH!M$1,SMALL(Dong2,ROWS($1:44)),)=$I$6,OFFSET(TH!L$1,SMALL(Dong2,ROWS($1:44)),),OFFSET(TH!M$1,SMALL(Dong2,ROWS($1:44)),)))</f>
        <v/>
      </c>
      <c r="F55" s="447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47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448">
        <f t="shared" ca="1" si="1"/>
        <v>0</v>
      </c>
      <c r="I55" s="449"/>
      <c r="J55" s="428"/>
      <c r="K55" s="428"/>
      <c r="L55" s="76"/>
      <c r="M55" s="428"/>
      <c r="N55" s="428"/>
      <c r="O55" s="428"/>
      <c r="P55" s="428"/>
      <c r="Q55" s="428"/>
      <c r="R55" s="428"/>
      <c r="S55" s="428"/>
      <c r="T55" s="428"/>
    </row>
    <row r="56" spans="1:20" ht="20.25" customHeight="1">
      <c r="A56" s="445" t="str">
        <f ca="1">IF(ROWS($1:45)&gt;COUNT(Dong2),"",OFFSET(TH!C$1,SMALL(Dong2,ROWS($1:45)),))</f>
        <v/>
      </c>
      <c r="B56" s="445" t="str">
        <f ca="1">IF(ROWS($1:45)&gt;COUNT(Dong2),"",OFFSET(TH!D$1,SMALL(Dong2,ROWS($1:45)),))</f>
        <v/>
      </c>
      <c r="C56" s="445" t="str">
        <f ca="1">IF(ROWS($1:45)&gt;COUNT(Dong2),"",OFFSET(TH!E$1,SMALL(Dong2,ROWS($1:45)),))</f>
        <v/>
      </c>
      <c r="D56" s="446" t="str">
        <f ca="1">IF(ROWS($1:45)&gt;COUNT(Dong2),"",OFFSET(TH!F$1,SMALL(Dong2,ROWS($1:45)),))</f>
        <v/>
      </c>
      <c r="E56" s="445" t="str">
        <f ca="1">IF(ROWS($1:45)&gt;COUNT(Dong2),"",IF(OFFSET(TH!M$1,SMALL(Dong2,ROWS($1:45)),)=$I$6,OFFSET(TH!L$1,SMALL(Dong2,ROWS($1:45)),),OFFSET(TH!M$1,SMALL(Dong2,ROWS($1:45)),)))</f>
        <v/>
      </c>
      <c r="F56" s="447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47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448">
        <f t="shared" ca="1" si="1"/>
        <v>0</v>
      </c>
      <c r="I56" s="449"/>
      <c r="J56" s="428"/>
      <c r="K56" s="428"/>
      <c r="L56" s="76"/>
      <c r="M56" s="428"/>
      <c r="N56" s="428"/>
      <c r="O56" s="428"/>
      <c r="P56" s="428"/>
      <c r="Q56" s="428"/>
      <c r="R56" s="428"/>
      <c r="S56" s="428"/>
      <c r="T56" s="428"/>
    </row>
    <row r="57" spans="1:20" ht="20.25" customHeight="1">
      <c r="A57" s="445" t="str">
        <f ca="1">IF(ROWS($1:46)&gt;COUNT(Dong2),"",OFFSET(TH!C$1,SMALL(Dong2,ROWS($1:46)),))</f>
        <v/>
      </c>
      <c r="B57" s="445" t="str">
        <f ca="1">IF(ROWS($1:46)&gt;COUNT(Dong2),"",OFFSET(TH!D$1,SMALL(Dong2,ROWS($1:46)),))</f>
        <v/>
      </c>
      <c r="C57" s="445" t="str">
        <f ca="1">IF(ROWS($1:46)&gt;COUNT(Dong2),"",OFFSET(TH!E$1,SMALL(Dong2,ROWS($1:46)),))</f>
        <v/>
      </c>
      <c r="D57" s="446" t="str">
        <f ca="1">IF(ROWS($1:46)&gt;COUNT(Dong2),"",OFFSET(TH!F$1,SMALL(Dong2,ROWS($1:46)),))</f>
        <v/>
      </c>
      <c r="E57" s="445" t="str">
        <f ca="1">IF(ROWS($1:46)&gt;COUNT(Dong2),"",IF(OFFSET(TH!M$1,SMALL(Dong2,ROWS($1:46)),)=$I$6,OFFSET(TH!L$1,SMALL(Dong2,ROWS($1:46)),),OFFSET(TH!M$1,SMALL(Dong2,ROWS($1:46)),)))</f>
        <v/>
      </c>
      <c r="F57" s="447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47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448">
        <f t="shared" ca="1" si="1"/>
        <v>0</v>
      </c>
      <c r="I57" s="449"/>
      <c r="J57" s="428"/>
      <c r="K57" s="428"/>
      <c r="L57" s="76"/>
      <c r="M57" s="428"/>
      <c r="N57" s="428"/>
      <c r="O57" s="428"/>
      <c r="P57" s="428"/>
      <c r="Q57" s="428"/>
      <c r="R57" s="428"/>
      <c r="S57" s="428"/>
      <c r="T57" s="428"/>
    </row>
    <row r="58" spans="1:20" ht="20.25" customHeight="1">
      <c r="A58" s="445" t="str">
        <f ca="1">IF(ROWS($1:47)&gt;COUNT(Dong2),"",OFFSET(TH!C$1,SMALL(Dong2,ROWS($1:47)),))</f>
        <v/>
      </c>
      <c r="B58" s="445" t="str">
        <f ca="1">IF(ROWS($1:47)&gt;COUNT(Dong2),"",OFFSET(TH!D$1,SMALL(Dong2,ROWS($1:47)),))</f>
        <v/>
      </c>
      <c r="C58" s="445" t="str">
        <f ca="1">IF(ROWS($1:47)&gt;COUNT(Dong2),"",OFFSET(TH!E$1,SMALL(Dong2,ROWS($1:47)),))</f>
        <v/>
      </c>
      <c r="D58" s="446" t="str">
        <f ca="1">IF(ROWS($1:47)&gt;COUNT(Dong2),"",OFFSET(TH!F$1,SMALL(Dong2,ROWS($1:47)),))</f>
        <v/>
      </c>
      <c r="E58" s="445" t="str">
        <f ca="1">IF(ROWS($1:47)&gt;COUNT(Dong2),"",IF(OFFSET(TH!M$1,SMALL(Dong2,ROWS($1:47)),)=$I$6,OFFSET(TH!L$1,SMALL(Dong2,ROWS($1:47)),),OFFSET(TH!M$1,SMALL(Dong2,ROWS($1:47)),)))</f>
        <v/>
      </c>
      <c r="F58" s="447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47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448">
        <f t="shared" ca="1" si="1"/>
        <v>0</v>
      </c>
      <c r="I58" s="449"/>
      <c r="J58" s="428"/>
      <c r="K58" s="428"/>
      <c r="L58" s="76"/>
      <c r="M58" s="428"/>
      <c r="N58" s="428"/>
      <c r="O58" s="428"/>
      <c r="P58" s="428"/>
      <c r="Q58" s="428"/>
      <c r="R58" s="428"/>
      <c r="S58" s="428"/>
      <c r="T58" s="428"/>
    </row>
    <row r="59" spans="1:20" ht="20.25" customHeight="1">
      <c r="A59" s="445" t="str">
        <f ca="1">IF(ROWS($1:48)&gt;COUNT(Dong2),"",OFFSET(TH!C$1,SMALL(Dong2,ROWS($1:48)),))</f>
        <v/>
      </c>
      <c r="B59" s="445" t="str">
        <f ca="1">IF(ROWS($1:48)&gt;COUNT(Dong2),"",OFFSET(TH!D$1,SMALL(Dong2,ROWS($1:48)),))</f>
        <v/>
      </c>
      <c r="C59" s="445" t="str">
        <f ca="1">IF(ROWS($1:48)&gt;COUNT(Dong2),"",OFFSET(TH!E$1,SMALL(Dong2,ROWS($1:48)),))</f>
        <v/>
      </c>
      <c r="D59" s="446" t="str">
        <f ca="1">IF(ROWS($1:48)&gt;COUNT(Dong2),"",OFFSET(TH!F$1,SMALL(Dong2,ROWS($1:48)),))</f>
        <v/>
      </c>
      <c r="E59" s="445" t="str">
        <f ca="1">IF(ROWS($1:48)&gt;COUNT(Dong2),"",IF(OFFSET(TH!M$1,SMALL(Dong2,ROWS($1:48)),)=$I$6,OFFSET(TH!L$1,SMALL(Dong2,ROWS($1:48)),),OFFSET(TH!M$1,SMALL(Dong2,ROWS($1:48)),)))</f>
        <v/>
      </c>
      <c r="F59" s="447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47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448">
        <f t="shared" ca="1" si="1"/>
        <v>0</v>
      </c>
      <c r="I59" s="449"/>
      <c r="J59" s="428"/>
      <c r="K59" s="428"/>
      <c r="L59" s="76"/>
      <c r="M59" s="428"/>
      <c r="N59" s="428"/>
      <c r="O59" s="428"/>
      <c r="P59" s="428"/>
      <c r="Q59" s="428"/>
      <c r="R59" s="428"/>
      <c r="S59" s="428"/>
      <c r="T59" s="428"/>
    </row>
    <row r="60" spans="1:20" ht="20.25" customHeight="1">
      <c r="A60" s="445" t="str">
        <f ca="1">IF(ROWS($1:49)&gt;COUNT(Dong2),"",OFFSET(TH!C$1,SMALL(Dong2,ROWS($1:49)),))</f>
        <v/>
      </c>
      <c r="B60" s="445" t="str">
        <f ca="1">IF(ROWS($1:49)&gt;COUNT(Dong2),"",OFFSET(TH!D$1,SMALL(Dong2,ROWS($1:49)),))</f>
        <v/>
      </c>
      <c r="C60" s="445" t="str">
        <f ca="1">IF(ROWS($1:49)&gt;COUNT(Dong2),"",OFFSET(TH!E$1,SMALL(Dong2,ROWS($1:49)),))</f>
        <v/>
      </c>
      <c r="D60" s="446" t="str">
        <f ca="1">IF(ROWS($1:49)&gt;COUNT(Dong2),"",OFFSET(TH!F$1,SMALL(Dong2,ROWS($1:49)),))</f>
        <v/>
      </c>
      <c r="E60" s="445" t="str">
        <f ca="1">IF(ROWS($1:49)&gt;COUNT(Dong2),"",IF(OFFSET(TH!M$1,SMALL(Dong2,ROWS($1:49)),)=$I$6,OFFSET(TH!L$1,SMALL(Dong2,ROWS($1:49)),),OFFSET(TH!M$1,SMALL(Dong2,ROWS($1:49)),)))</f>
        <v/>
      </c>
      <c r="F60" s="447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47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448">
        <f t="shared" ca="1" si="1"/>
        <v>0</v>
      </c>
      <c r="I60" s="449"/>
      <c r="J60" s="428"/>
      <c r="K60" s="428"/>
      <c r="L60" s="76"/>
      <c r="M60" s="428"/>
      <c r="N60" s="428"/>
      <c r="O60" s="428"/>
      <c r="P60" s="428"/>
      <c r="Q60" s="428"/>
      <c r="R60" s="428"/>
      <c r="S60" s="428"/>
      <c r="T60" s="428"/>
    </row>
    <row r="61" spans="1:20" ht="20.25" customHeight="1">
      <c r="A61" s="445" t="str">
        <f ca="1">IF(ROWS($1:50)&gt;COUNT(Dong2),"",OFFSET(TH!C$1,SMALL(Dong2,ROWS($1:50)),))</f>
        <v/>
      </c>
      <c r="B61" s="445" t="str">
        <f ca="1">IF(ROWS($1:50)&gt;COUNT(Dong2),"",OFFSET(TH!D$1,SMALL(Dong2,ROWS($1:50)),))</f>
        <v/>
      </c>
      <c r="C61" s="445" t="str">
        <f ca="1">IF(ROWS($1:50)&gt;COUNT(Dong2),"",OFFSET(TH!E$1,SMALL(Dong2,ROWS($1:50)),))</f>
        <v/>
      </c>
      <c r="D61" s="446" t="str">
        <f ca="1">IF(ROWS($1:50)&gt;COUNT(Dong2),"",OFFSET(TH!F$1,SMALL(Dong2,ROWS($1:50)),))</f>
        <v/>
      </c>
      <c r="E61" s="445" t="str">
        <f ca="1">IF(ROWS($1:50)&gt;COUNT(Dong2),"",IF(OFFSET(TH!M$1,SMALL(Dong2,ROWS($1:50)),)=$I$6,OFFSET(TH!L$1,SMALL(Dong2,ROWS($1:50)),),OFFSET(TH!M$1,SMALL(Dong2,ROWS($1:50)),)))</f>
        <v/>
      </c>
      <c r="F61" s="447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47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448">
        <f t="shared" ca="1" si="1"/>
        <v>0</v>
      </c>
      <c r="I61" s="449"/>
      <c r="J61" s="428"/>
      <c r="K61" s="428"/>
      <c r="L61" s="76"/>
      <c r="M61" s="428"/>
      <c r="N61" s="428"/>
      <c r="O61" s="428"/>
      <c r="P61" s="428"/>
      <c r="Q61" s="428"/>
      <c r="R61" s="428"/>
      <c r="S61" s="428"/>
      <c r="T61" s="428"/>
    </row>
    <row r="62" spans="1:20" ht="20.25" customHeight="1">
      <c r="A62" s="445" t="str">
        <f ca="1">IF(ROWS($1:51)&gt;COUNT(Dong2),"",OFFSET(TH!C$1,SMALL(Dong2,ROWS($1:51)),))</f>
        <v/>
      </c>
      <c r="B62" s="445" t="str">
        <f ca="1">IF(ROWS($1:51)&gt;COUNT(Dong2),"",OFFSET(TH!D$1,SMALL(Dong2,ROWS($1:51)),))</f>
        <v/>
      </c>
      <c r="C62" s="445" t="str">
        <f ca="1">IF(ROWS($1:51)&gt;COUNT(Dong2),"",OFFSET(TH!E$1,SMALL(Dong2,ROWS($1:51)),))</f>
        <v/>
      </c>
      <c r="D62" s="446" t="str">
        <f ca="1">IF(ROWS($1:51)&gt;COUNT(Dong2),"",OFFSET(TH!F$1,SMALL(Dong2,ROWS($1:51)),))</f>
        <v/>
      </c>
      <c r="E62" s="445" t="str">
        <f ca="1">IF(ROWS($1:51)&gt;COUNT(Dong2),"",IF(OFFSET(TH!M$1,SMALL(Dong2,ROWS($1:51)),)=$I$6,OFFSET(TH!L$1,SMALL(Dong2,ROWS($1:51)),),OFFSET(TH!M$1,SMALL(Dong2,ROWS($1:51)),)))</f>
        <v/>
      </c>
      <c r="F62" s="447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47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448">
        <f t="shared" ca="1" si="1"/>
        <v>0</v>
      </c>
      <c r="I62" s="449"/>
      <c r="J62" s="428"/>
      <c r="K62" s="428"/>
      <c r="L62" s="76"/>
      <c r="M62" s="428"/>
      <c r="N62" s="428"/>
      <c r="O62" s="428"/>
      <c r="P62" s="428"/>
      <c r="Q62" s="428"/>
      <c r="R62" s="428"/>
      <c r="S62" s="428"/>
      <c r="T62" s="428"/>
    </row>
    <row r="63" spans="1:20" ht="20.25" customHeight="1">
      <c r="A63" s="445" t="str">
        <f ca="1">IF(ROWS($1:52)&gt;COUNT(Dong2),"",OFFSET(TH!C$1,SMALL(Dong2,ROWS($1:52)),))</f>
        <v/>
      </c>
      <c r="B63" s="445" t="str">
        <f ca="1">IF(ROWS($1:52)&gt;COUNT(Dong2),"",OFFSET(TH!D$1,SMALL(Dong2,ROWS($1:52)),))</f>
        <v/>
      </c>
      <c r="C63" s="445" t="str">
        <f ca="1">IF(ROWS($1:52)&gt;COUNT(Dong2),"",OFFSET(TH!E$1,SMALL(Dong2,ROWS($1:52)),))</f>
        <v/>
      </c>
      <c r="D63" s="446" t="str">
        <f ca="1">IF(ROWS($1:52)&gt;COUNT(Dong2),"",OFFSET(TH!F$1,SMALL(Dong2,ROWS($1:52)),))</f>
        <v/>
      </c>
      <c r="E63" s="445" t="str">
        <f ca="1">IF(ROWS($1:52)&gt;COUNT(Dong2),"",IF(OFFSET(TH!M$1,SMALL(Dong2,ROWS($1:52)),)=$I$6,OFFSET(TH!L$1,SMALL(Dong2,ROWS($1:52)),),OFFSET(TH!M$1,SMALL(Dong2,ROWS($1:52)),)))</f>
        <v/>
      </c>
      <c r="F63" s="447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47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448">
        <f t="shared" ca="1" si="1"/>
        <v>0</v>
      </c>
      <c r="I63" s="449"/>
      <c r="J63" s="428"/>
      <c r="K63" s="428"/>
      <c r="L63" s="76"/>
      <c r="M63" s="428"/>
      <c r="N63" s="428"/>
      <c r="O63" s="428"/>
      <c r="P63" s="428"/>
      <c r="Q63" s="428"/>
      <c r="R63" s="428"/>
      <c r="S63" s="428"/>
      <c r="T63" s="428"/>
    </row>
    <row r="64" spans="1:20" ht="20.25" customHeight="1">
      <c r="A64" s="445" t="str">
        <f ca="1">IF(ROWS($1:53)&gt;COUNT(Dong2),"",OFFSET(TH!C$1,SMALL(Dong2,ROWS($1:53)),))</f>
        <v/>
      </c>
      <c r="B64" s="445" t="str">
        <f ca="1">IF(ROWS($1:53)&gt;COUNT(Dong2),"",OFFSET(TH!D$1,SMALL(Dong2,ROWS($1:53)),))</f>
        <v/>
      </c>
      <c r="C64" s="445" t="str">
        <f ca="1">IF(ROWS($1:53)&gt;COUNT(Dong2),"",OFFSET(TH!E$1,SMALL(Dong2,ROWS($1:53)),))</f>
        <v/>
      </c>
      <c r="D64" s="446" t="str">
        <f ca="1">IF(ROWS($1:53)&gt;COUNT(Dong2),"",OFFSET(TH!F$1,SMALL(Dong2,ROWS($1:53)),))</f>
        <v/>
      </c>
      <c r="E64" s="445" t="str">
        <f ca="1">IF(ROWS($1:53)&gt;COUNT(Dong2),"",IF(OFFSET(TH!M$1,SMALL(Dong2,ROWS($1:53)),)=$I$6,OFFSET(TH!L$1,SMALL(Dong2,ROWS($1:53)),),OFFSET(TH!M$1,SMALL(Dong2,ROWS($1:53)),)))</f>
        <v/>
      </c>
      <c r="F64" s="447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47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448">
        <f t="shared" ca="1" si="1"/>
        <v>0</v>
      </c>
      <c r="I64" s="449"/>
      <c r="J64" s="428"/>
      <c r="K64" s="428"/>
      <c r="L64" s="76"/>
      <c r="M64" s="428"/>
      <c r="N64" s="428"/>
      <c r="O64" s="428"/>
      <c r="P64" s="428"/>
      <c r="Q64" s="428"/>
      <c r="R64" s="428"/>
      <c r="S64" s="428"/>
      <c r="T64" s="428"/>
    </row>
    <row r="65" spans="1:20" ht="20.25" customHeight="1">
      <c r="A65" s="445" t="str">
        <f ca="1">IF(ROWS($1:54)&gt;COUNT(Dong2),"",OFFSET(TH!C$1,SMALL(Dong2,ROWS($1:54)),))</f>
        <v/>
      </c>
      <c r="B65" s="445" t="str">
        <f ca="1">IF(ROWS($1:54)&gt;COUNT(Dong2),"",OFFSET(TH!D$1,SMALL(Dong2,ROWS($1:54)),))</f>
        <v/>
      </c>
      <c r="C65" s="445" t="str">
        <f ca="1">IF(ROWS($1:54)&gt;COUNT(Dong2),"",OFFSET(TH!E$1,SMALL(Dong2,ROWS($1:54)),))</f>
        <v/>
      </c>
      <c r="D65" s="446" t="str">
        <f ca="1">IF(ROWS($1:54)&gt;COUNT(Dong2),"",OFFSET(TH!F$1,SMALL(Dong2,ROWS($1:54)),))</f>
        <v/>
      </c>
      <c r="E65" s="445" t="str">
        <f ca="1">IF(ROWS($1:54)&gt;COUNT(Dong2),"",IF(OFFSET(TH!M$1,SMALL(Dong2,ROWS($1:54)),)=$I$6,OFFSET(TH!L$1,SMALL(Dong2,ROWS($1:54)),),OFFSET(TH!M$1,SMALL(Dong2,ROWS($1:54)),)))</f>
        <v/>
      </c>
      <c r="F65" s="447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47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448">
        <f t="shared" ca="1" si="1"/>
        <v>0</v>
      </c>
      <c r="I65" s="449"/>
      <c r="J65" s="428"/>
      <c r="K65" s="428"/>
      <c r="L65" s="76"/>
      <c r="M65" s="428"/>
      <c r="N65" s="428"/>
      <c r="O65" s="428"/>
      <c r="P65" s="428"/>
      <c r="Q65" s="428"/>
      <c r="R65" s="428"/>
      <c r="S65" s="428"/>
      <c r="T65" s="428"/>
    </row>
    <row r="66" spans="1:20" ht="20.25" customHeight="1">
      <c r="A66" s="445" t="str">
        <f ca="1">IF(ROWS($1:55)&gt;COUNT(Dong2),"",OFFSET(TH!C$1,SMALL(Dong2,ROWS($1:55)),))</f>
        <v/>
      </c>
      <c r="B66" s="445" t="str">
        <f ca="1">IF(ROWS($1:55)&gt;COUNT(Dong2),"",OFFSET(TH!D$1,SMALL(Dong2,ROWS($1:55)),))</f>
        <v/>
      </c>
      <c r="C66" s="445" t="str">
        <f ca="1">IF(ROWS($1:55)&gt;COUNT(Dong2),"",OFFSET(TH!E$1,SMALL(Dong2,ROWS($1:55)),))</f>
        <v/>
      </c>
      <c r="D66" s="446" t="str">
        <f ca="1">IF(ROWS($1:55)&gt;COUNT(Dong2),"",OFFSET(TH!F$1,SMALL(Dong2,ROWS($1:55)),))</f>
        <v/>
      </c>
      <c r="E66" s="445" t="str">
        <f ca="1">IF(ROWS($1:55)&gt;COUNT(Dong2),"",IF(OFFSET(TH!M$1,SMALL(Dong2,ROWS($1:55)),)=$I$6,OFFSET(TH!L$1,SMALL(Dong2,ROWS($1:55)),),OFFSET(TH!M$1,SMALL(Dong2,ROWS($1:55)),)))</f>
        <v/>
      </c>
      <c r="F66" s="447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47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448">
        <f t="shared" ca="1" si="1"/>
        <v>0</v>
      </c>
      <c r="I66" s="449"/>
      <c r="J66" s="428"/>
      <c r="K66" s="428"/>
      <c r="L66" s="76"/>
      <c r="M66" s="428"/>
      <c r="N66" s="428"/>
      <c r="O66" s="428"/>
      <c r="P66" s="428"/>
      <c r="Q66" s="428"/>
      <c r="R66" s="428"/>
      <c r="S66" s="428"/>
      <c r="T66" s="428"/>
    </row>
    <row r="67" spans="1:20" ht="20.25" customHeight="1">
      <c r="A67" s="445" t="str">
        <f ca="1">IF(ROWS($1:56)&gt;COUNT(Dong2),"",OFFSET(TH!C$1,SMALL(Dong2,ROWS($1:56)),))</f>
        <v/>
      </c>
      <c r="B67" s="445" t="str">
        <f ca="1">IF(ROWS($1:56)&gt;COUNT(Dong2),"",OFFSET(TH!D$1,SMALL(Dong2,ROWS($1:56)),))</f>
        <v/>
      </c>
      <c r="C67" s="445" t="str">
        <f ca="1">IF(ROWS($1:56)&gt;COUNT(Dong2),"",OFFSET(TH!E$1,SMALL(Dong2,ROWS($1:56)),))</f>
        <v/>
      </c>
      <c r="D67" s="446" t="str">
        <f ca="1">IF(ROWS($1:56)&gt;COUNT(Dong2),"",OFFSET(TH!F$1,SMALL(Dong2,ROWS($1:56)),))</f>
        <v/>
      </c>
      <c r="E67" s="445" t="str">
        <f ca="1">IF(ROWS($1:56)&gt;COUNT(Dong2),"",IF(OFFSET(TH!M$1,SMALL(Dong2,ROWS($1:56)),)=$I$6,OFFSET(TH!L$1,SMALL(Dong2,ROWS($1:56)),),OFFSET(TH!M$1,SMALL(Dong2,ROWS($1:56)),)))</f>
        <v/>
      </c>
      <c r="F67" s="447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47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448">
        <f t="shared" ca="1" si="1"/>
        <v>0</v>
      </c>
      <c r="I67" s="449"/>
      <c r="J67" s="428"/>
      <c r="K67" s="428"/>
      <c r="L67" s="76"/>
      <c r="M67" s="428"/>
      <c r="N67" s="428"/>
      <c r="O67" s="428"/>
      <c r="P67" s="428"/>
      <c r="Q67" s="428"/>
      <c r="R67" s="428"/>
      <c r="S67" s="428"/>
      <c r="T67" s="428"/>
    </row>
    <row r="68" spans="1:20" ht="20.25" customHeight="1">
      <c r="A68" s="445" t="str">
        <f ca="1">IF(ROWS($1:57)&gt;COUNT(Dong2),"",OFFSET(TH!C$1,SMALL(Dong2,ROWS($1:57)),))</f>
        <v/>
      </c>
      <c r="B68" s="445" t="str">
        <f ca="1">IF(ROWS($1:57)&gt;COUNT(Dong2),"",OFFSET(TH!D$1,SMALL(Dong2,ROWS($1:57)),))</f>
        <v/>
      </c>
      <c r="C68" s="445" t="str">
        <f ca="1">IF(ROWS($1:57)&gt;COUNT(Dong2),"",OFFSET(TH!E$1,SMALL(Dong2,ROWS($1:57)),))</f>
        <v/>
      </c>
      <c r="D68" s="446" t="str">
        <f ca="1">IF(ROWS($1:57)&gt;COUNT(Dong2),"",OFFSET(TH!F$1,SMALL(Dong2,ROWS($1:57)),))</f>
        <v/>
      </c>
      <c r="E68" s="445" t="str">
        <f ca="1">IF(ROWS($1:57)&gt;COUNT(Dong2),"",IF(OFFSET(TH!M$1,SMALL(Dong2,ROWS($1:57)),)=$I$6,OFFSET(TH!L$1,SMALL(Dong2,ROWS($1:57)),),OFFSET(TH!M$1,SMALL(Dong2,ROWS($1:57)),)))</f>
        <v/>
      </c>
      <c r="F68" s="447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47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448">
        <f t="shared" ca="1" si="1"/>
        <v>0</v>
      </c>
      <c r="I68" s="449"/>
      <c r="J68" s="428"/>
      <c r="K68" s="428"/>
      <c r="L68" s="76"/>
      <c r="M68" s="428"/>
      <c r="N68" s="428"/>
      <c r="O68" s="428"/>
      <c r="P68" s="428"/>
      <c r="Q68" s="428"/>
      <c r="R68" s="428"/>
      <c r="S68" s="428"/>
      <c r="T68" s="428"/>
    </row>
    <row r="69" spans="1:20" ht="20.25" customHeight="1">
      <c r="A69" s="445" t="str">
        <f ca="1">IF(ROWS($1:58)&gt;COUNT(Dong2),"",OFFSET(TH!C$1,SMALL(Dong2,ROWS($1:58)),))</f>
        <v/>
      </c>
      <c r="B69" s="445" t="str">
        <f ca="1">IF(ROWS($1:58)&gt;COUNT(Dong2),"",OFFSET(TH!D$1,SMALL(Dong2,ROWS($1:58)),))</f>
        <v/>
      </c>
      <c r="C69" s="445" t="str">
        <f ca="1">IF(ROWS($1:58)&gt;COUNT(Dong2),"",OFFSET(TH!E$1,SMALL(Dong2,ROWS($1:58)),))</f>
        <v/>
      </c>
      <c r="D69" s="446" t="str">
        <f ca="1">IF(ROWS($1:58)&gt;COUNT(Dong2),"",OFFSET(TH!F$1,SMALL(Dong2,ROWS($1:58)),))</f>
        <v/>
      </c>
      <c r="E69" s="445" t="str">
        <f ca="1">IF(ROWS($1:58)&gt;COUNT(Dong2),"",IF(OFFSET(TH!M$1,SMALL(Dong2,ROWS($1:58)),)=$I$6,OFFSET(TH!L$1,SMALL(Dong2,ROWS($1:58)),),OFFSET(TH!M$1,SMALL(Dong2,ROWS($1:58)),)))</f>
        <v/>
      </c>
      <c r="F69" s="447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47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448">
        <f t="shared" ca="1" si="1"/>
        <v>0</v>
      </c>
      <c r="I69" s="449"/>
      <c r="J69" s="428"/>
      <c r="K69" s="428"/>
      <c r="L69" s="76"/>
      <c r="M69" s="428"/>
      <c r="N69" s="428"/>
      <c r="O69" s="428"/>
      <c r="P69" s="428"/>
      <c r="Q69" s="428"/>
      <c r="R69" s="428"/>
      <c r="S69" s="428"/>
      <c r="T69" s="428"/>
    </row>
    <row r="70" spans="1:20" ht="20.25" customHeight="1">
      <c r="A70" s="445" t="str">
        <f ca="1">IF(ROWS($1:59)&gt;COUNT(Dong2),"",OFFSET(TH!C$1,SMALL(Dong2,ROWS($1:59)),))</f>
        <v/>
      </c>
      <c r="B70" s="445" t="str">
        <f ca="1">IF(ROWS($1:59)&gt;COUNT(Dong2),"",OFFSET(TH!D$1,SMALL(Dong2,ROWS($1:59)),))</f>
        <v/>
      </c>
      <c r="C70" s="445" t="str">
        <f ca="1">IF(ROWS($1:59)&gt;COUNT(Dong2),"",OFFSET(TH!E$1,SMALL(Dong2,ROWS($1:59)),))</f>
        <v/>
      </c>
      <c r="D70" s="446" t="str">
        <f ca="1">IF(ROWS($1:59)&gt;COUNT(Dong2),"",OFFSET(TH!F$1,SMALL(Dong2,ROWS($1:59)),))</f>
        <v/>
      </c>
      <c r="E70" s="445" t="str">
        <f ca="1">IF(ROWS($1:59)&gt;COUNT(Dong2),"",IF(OFFSET(TH!M$1,SMALL(Dong2,ROWS($1:59)),)=$I$6,OFFSET(TH!L$1,SMALL(Dong2,ROWS($1:59)),),OFFSET(TH!M$1,SMALL(Dong2,ROWS($1:59)),)))</f>
        <v/>
      </c>
      <c r="F70" s="447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47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448">
        <f t="shared" ca="1" si="1"/>
        <v>0</v>
      </c>
      <c r="I70" s="449"/>
      <c r="J70" s="428"/>
      <c r="K70" s="428"/>
      <c r="L70" s="76"/>
      <c r="M70" s="428"/>
      <c r="N70" s="428"/>
      <c r="O70" s="428"/>
      <c r="P70" s="428"/>
      <c r="Q70" s="428"/>
      <c r="R70" s="428"/>
      <c r="S70" s="428"/>
      <c r="T70" s="428"/>
    </row>
    <row r="71" spans="1:20" ht="20.25" customHeight="1">
      <c r="A71" s="445" t="str">
        <f ca="1">IF(ROWS($1:60)&gt;COUNT(Dong2),"",OFFSET(TH!C$1,SMALL(Dong2,ROWS($1:60)),))</f>
        <v/>
      </c>
      <c r="B71" s="445" t="str">
        <f ca="1">IF(ROWS($1:60)&gt;COUNT(Dong2),"",OFFSET(TH!D$1,SMALL(Dong2,ROWS($1:60)),))</f>
        <v/>
      </c>
      <c r="C71" s="445" t="str">
        <f ca="1">IF(ROWS($1:60)&gt;COUNT(Dong2),"",OFFSET(TH!E$1,SMALL(Dong2,ROWS($1:60)),))</f>
        <v/>
      </c>
      <c r="D71" s="446" t="str">
        <f ca="1">IF(ROWS($1:60)&gt;COUNT(Dong2),"",OFFSET(TH!F$1,SMALL(Dong2,ROWS($1:60)),))</f>
        <v/>
      </c>
      <c r="E71" s="445" t="str">
        <f ca="1">IF(ROWS($1:60)&gt;COUNT(Dong2),"",IF(OFFSET(TH!M$1,SMALL(Dong2,ROWS($1:60)),)=$I$6,OFFSET(TH!L$1,SMALL(Dong2,ROWS($1:60)),),OFFSET(TH!M$1,SMALL(Dong2,ROWS($1:60)),)))</f>
        <v/>
      </c>
      <c r="F71" s="447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47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448">
        <f t="shared" ca="1" si="1"/>
        <v>0</v>
      </c>
      <c r="I71" s="449"/>
      <c r="J71" s="428"/>
      <c r="K71" s="428"/>
      <c r="L71" s="76"/>
      <c r="M71" s="428"/>
      <c r="N71" s="428"/>
      <c r="O71" s="428"/>
      <c r="P71" s="428"/>
      <c r="Q71" s="428"/>
      <c r="R71" s="428"/>
      <c r="S71" s="428"/>
      <c r="T71" s="428"/>
    </row>
    <row r="72" spans="1:20" ht="20.25" customHeight="1">
      <c r="A72" s="445" t="str">
        <f ca="1">IF(ROWS($1:61)&gt;COUNT(Dong2),"",OFFSET(TH!C$1,SMALL(Dong2,ROWS($1:61)),))</f>
        <v/>
      </c>
      <c r="B72" s="445" t="str">
        <f ca="1">IF(ROWS($1:61)&gt;COUNT(Dong2),"",OFFSET(TH!D$1,SMALL(Dong2,ROWS($1:61)),))</f>
        <v/>
      </c>
      <c r="C72" s="445" t="str">
        <f ca="1">IF(ROWS($1:61)&gt;COUNT(Dong2),"",OFFSET(TH!E$1,SMALL(Dong2,ROWS($1:61)),))</f>
        <v/>
      </c>
      <c r="D72" s="446" t="str">
        <f ca="1">IF(ROWS($1:61)&gt;COUNT(Dong2),"",OFFSET(TH!F$1,SMALL(Dong2,ROWS($1:61)),))</f>
        <v/>
      </c>
      <c r="E72" s="445" t="str">
        <f ca="1">IF(ROWS($1:61)&gt;COUNT(Dong2),"",IF(OFFSET(TH!M$1,SMALL(Dong2,ROWS($1:61)),)=$I$6,OFFSET(TH!L$1,SMALL(Dong2,ROWS($1:61)),),OFFSET(TH!M$1,SMALL(Dong2,ROWS($1:61)),)))</f>
        <v/>
      </c>
      <c r="F72" s="447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47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448">
        <f t="shared" ca="1" si="1"/>
        <v>0</v>
      </c>
      <c r="I72" s="449"/>
      <c r="J72" s="428"/>
      <c r="K72" s="428"/>
      <c r="L72" s="76"/>
      <c r="M72" s="428"/>
      <c r="N72" s="428"/>
      <c r="O72" s="428"/>
      <c r="P72" s="428"/>
      <c r="Q72" s="428"/>
      <c r="R72" s="428"/>
      <c r="S72" s="428"/>
      <c r="T72" s="428"/>
    </row>
    <row r="73" spans="1:20" ht="20.25" customHeight="1">
      <c r="A73" s="445" t="str">
        <f ca="1">IF(ROWS($1:62)&gt;COUNT(Dong2),"",OFFSET(TH!C$1,SMALL(Dong2,ROWS($1:62)),))</f>
        <v/>
      </c>
      <c r="B73" s="445" t="str">
        <f ca="1">IF(ROWS($1:62)&gt;COUNT(Dong2),"",OFFSET(TH!D$1,SMALL(Dong2,ROWS($1:62)),))</f>
        <v/>
      </c>
      <c r="C73" s="445" t="str">
        <f ca="1">IF(ROWS($1:62)&gt;COUNT(Dong2),"",OFFSET(TH!E$1,SMALL(Dong2,ROWS($1:62)),))</f>
        <v/>
      </c>
      <c r="D73" s="446" t="str">
        <f ca="1">IF(ROWS($1:62)&gt;COUNT(Dong2),"",OFFSET(TH!F$1,SMALL(Dong2,ROWS($1:62)),))</f>
        <v/>
      </c>
      <c r="E73" s="445" t="str">
        <f ca="1">IF(ROWS($1:62)&gt;COUNT(Dong2),"",IF(OFFSET(TH!M$1,SMALL(Dong2,ROWS($1:62)),)=$I$6,OFFSET(TH!L$1,SMALL(Dong2,ROWS($1:62)),),OFFSET(TH!M$1,SMALL(Dong2,ROWS($1:62)),)))</f>
        <v/>
      </c>
      <c r="F73" s="447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47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448">
        <f t="shared" ca="1" si="1"/>
        <v>0</v>
      </c>
      <c r="I73" s="449"/>
      <c r="J73" s="428"/>
      <c r="K73" s="428"/>
      <c r="L73" s="76"/>
      <c r="M73" s="428"/>
      <c r="N73" s="428"/>
      <c r="O73" s="428"/>
      <c r="P73" s="428"/>
      <c r="Q73" s="428"/>
      <c r="R73" s="428"/>
      <c r="S73" s="428"/>
      <c r="T73" s="428"/>
    </row>
    <row r="74" spans="1:20" ht="20.25" customHeight="1">
      <c r="A74" s="445" t="str">
        <f ca="1">IF(ROWS($1:63)&gt;COUNT(Dong2),"",OFFSET(TH!C$1,SMALL(Dong2,ROWS($1:63)),))</f>
        <v/>
      </c>
      <c r="B74" s="445" t="str">
        <f ca="1">IF(ROWS($1:63)&gt;COUNT(Dong2),"",OFFSET(TH!D$1,SMALL(Dong2,ROWS($1:63)),))</f>
        <v/>
      </c>
      <c r="C74" s="445" t="str">
        <f ca="1">IF(ROWS($1:63)&gt;COUNT(Dong2),"",OFFSET(TH!E$1,SMALL(Dong2,ROWS($1:63)),))</f>
        <v/>
      </c>
      <c r="D74" s="446" t="str">
        <f ca="1">IF(ROWS($1:63)&gt;COUNT(Dong2),"",OFFSET(TH!F$1,SMALL(Dong2,ROWS($1:63)),))</f>
        <v/>
      </c>
      <c r="E74" s="445" t="str">
        <f ca="1">IF(ROWS($1:63)&gt;COUNT(Dong2),"",IF(OFFSET(TH!M$1,SMALL(Dong2,ROWS($1:63)),)=$I$6,OFFSET(TH!L$1,SMALL(Dong2,ROWS($1:63)),),OFFSET(TH!M$1,SMALL(Dong2,ROWS($1:63)),)))</f>
        <v/>
      </c>
      <c r="F74" s="447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47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448">
        <f t="shared" ca="1" si="1"/>
        <v>0</v>
      </c>
      <c r="I74" s="449"/>
      <c r="J74" s="428"/>
      <c r="K74" s="428"/>
      <c r="L74" s="76"/>
      <c r="M74" s="428"/>
      <c r="N74" s="428"/>
      <c r="O74" s="428"/>
      <c r="P74" s="428"/>
      <c r="Q74" s="428"/>
      <c r="R74" s="428"/>
      <c r="S74" s="428"/>
      <c r="T74" s="428"/>
    </row>
    <row r="75" spans="1:20" ht="20.25" customHeight="1">
      <c r="A75" s="445" t="str">
        <f ca="1">IF(ROWS($1:64)&gt;COUNT(Dong2),"",OFFSET(TH!C$1,SMALL(Dong2,ROWS($1:64)),))</f>
        <v/>
      </c>
      <c r="B75" s="445" t="str">
        <f ca="1">IF(ROWS($1:64)&gt;COUNT(Dong2),"",OFFSET(TH!D$1,SMALL(Dong2,ROWS($1:64)),))</f>
        <v/>
      </c>
      <c r="C75" s="445" t="str">
        <f ca="1">IF(ROWS($1:64)&gt;COUNT(Dong2),"",OFFSET(TH!E$1,SMALL(Dong2,ROWS($1:64)),))</f>
        <v/>
      </c>
      <c r="D75" s="446" t="str">
        <f ca="1">IF(ROWS($1:64)&gt;COUNT(Dong2),"",OFFSET(TH!F$1,SMALL(Dong2,ROWS($1:64)),))</f>
        <v/>
      </c>
      <c r="E75" s="445" t="str">
        <f ca="1">IF(ROWS($1:64)&gt;COUNT(Dong2),"",IF(OFFSET(TH!M$1,SMALL(Dong2,ROWS($1:64)),)=$I$6,OFFSET(TH!L$1,SMALL(Dong2,ROWS($1:64)),),OFFSET(TH!M$1,SMALL(Dong2,ROWS($1:64)),)))</f>
        <v/>
      </c>
      <c r="F75" s="44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4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448">
        <f t="shared" ca="1" si="1"/>
        <v>0</v>
      </c>
      <c r="I75" s="449"/>
      <c r="J75" s="428"/>
      <c r="K75" s="428"/>
      <c r="L75" s="76"/>
      <c r="M75" s="428"/>
      <c r="N75" s="428"/>
      <c r="O75" s="428"/>
      <c r="P75" s="428"/>
      <c r="Q75" s="428"/>
      <c r="R75" s="428"/>
      <c r="S75" s="428"/>
      <c r="T75" s="428"/>
    </row>
    <row r="76" spans="1:20" ht="20.25" customHeight="1">
      <c r="A76" s="445" t="str">
        <f ca="1">IF(ROWS($1:65)&gt;COUNT(Dong2),"",OFFSET(TH!C$1,SMALL(Dong2,ROWS($1:65)),))</f>
        <v/>
      </c>
      <c r="B76" s="445" t="str">
        <f ca="1">IF(ROWS($1:65)&gt;COUNT(Dong2),"",OFFSET(TH!D$1,SMALL(Dong2,ROWS($1:65)),))</f>
        <v/>
      </c>
      <c r="C76" s="445" t="str">
        <f ca="1">IF(ROWS($1:65)&gt;COUNT(Dong2),"",OFFSET(TH!E$1,SMALL(Dong2,ROWS($1:65)),))</f>
        <v/>
      </c>
      <c r="D76" s="446" t="str">
        <f ca="1">IF(ROWS($1:65)&gt;COUNT(Dong2),"",OFFSET(TH!F$1,SMALL(Dong2,ROWS($1:65)),))</f>
        <v/>
      </c>
      <c r="E76" s="445" t="str">
        <f ca="1">IF(ROWS($1:65)&gt;COUNT(Dong2),"",IF(OFFSET(TH!M$1,SMALL(Dong2,ROWS($1:65)),)=$I$6,OFFSET(TH!L$1,SMALL(Dong2,ROWS($1:65)),),OFFSET(TH!M$1,SMALL(Dong2,ROWS($1:65)),)))</f>
        <v/>
      </c>
      <c r="F76" s="44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4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448">
        <f t="shared" ca="1" si="1"/>
        <v>0</v>
      </c>
      <c r="I76" s="449"/>
      <c r="J76" s="428"/>
      <c r="K76" s="428"/>
      <c r="L76" s="76"/>
      <c r="M76" s="428"/>
      <c r="N76" s="428"/>
      <c r="O76" s="428"/>
      <c r="P76" s="428"/>
      <c r="Q76" s="428"/>
      <c r="R76" s="428"/>
      <c r="S76" s="428"/>
      <c r="T76" s="428"/>
    </row>
    <row r="77" spans="1:20" ht="20.25" customHeight="1">
      <c r="A77" s="445" t="str">
        <f ca="1">IF(ROWS($1:66)&gt;COUNT(Dong2),"",OFFSET(TH!C$1,SMALL(Dong2,ROWS($1:66)),))</f>
        <v/>
      </c>
      <c r="B77" s="445" t="str">
        <f ca="1">IF(ROWS($1:66)&gt;COUNT(Dong2),"",OFFSET(TH!D$1,SMALL(Dong2,ROWS($1:66)),))</f>
        <v/>
      </c>
      <c r="C77" s="445" t="str">
        <f ca="1">IF(ROWS($1:66)&gt;COUNT(Dong2),"",OFFSET(TH!E$1,SMALL(Dong2,ROWS($1:66)),))</f>
        <v/>
      </c>
      <c r="D77" s="446" t="str">
        <f ca="1">IF(ROWS($1:66)&gt;COUNT(Dong2),"",OFFSET(TH!F$1,SMALL(Dong2,ROWS($1:66)),))</f>
        <v/>
      </c>
      <c r="E77" s="445" t="str">
        <f ca="1">IF(ROWS($1:66)&gt;COUNT(Dong2),"",IF(OFFSET(TH!M$1,SMALL(Dong2,ROWS($1:66)),)=$I$6,OFFSET(TH!L$1,SMALL(Dong2,ROWS($1:66)),),OFFSET(TH!M$1,SMALL(Dong2,ROWS($1:66)),)))</f>
        <v/>
      </c>
      <c r="F77" s="447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47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448">
        <f t="shared" ca="1" si="1"/>
        <v>0</v>
      </c>
      <c r="I77" s="449"/>
      <c r="J77" s="428"/>
      <c r="K77" s="428"/>
      <c r="L77" s="76"/>
      <c r="M77" s="428"/>
      <c r="N77" s="428"/>
      <c r="O77" s="428"/>
      <c r="P77" s="428"/>
      <c r="Q77" s="428"/>
      <c r="R77" s="428"/>
      <c r="S77" s="428"/>
      <c r="T77" s="428"/>
    </row>
    <row r="78" spans="1:20" ht="20.25" customHeight="1">
      <c r="A78" s="445" t="str">
        <f ca="1">IF(ROWS($1:67)&gt;COUNT(Dong2),"",OFFSET(TH!C$1,SMALL(Dong2,ROWS($1:67)),))</f>
        <v/>
      </c>
      <c r="B78" s="445" t="str">
        <f ca="1">IF(ROWS($1:67)&gt;COUNT(Dong2),"",OFFSET(TH!D$1,SMALL(Dong2,ROWS($1:67)),))</f>
        <v/>
      </c>
      <c r="C78" s="445" t="str">
        <f ca="1">IF(ROWS($1:67)&gt;COUNT(Dong2),"",OFFSET(TH!E$1,SMALL(Dong2,ROWS($1:67)),))</f>
        <v/>
      </c>
      <c r="D78" s="446" t="str">
        <f ca="1">IF(ROWS($1:67)&gt;COUNT(Dong2),"",OFFSET(TH!F$1,SMALL(Dong2,ROWS($1:67)),))</f>
        <v/>
      </c>
      <c r="E78" s="445" t="str">
        <f ca="1">IF(ROWS($1:67)&gt;COUNT(Dong2),"",IF(OFFSET(TH!M$1,SMALL(Dong2,ROWS($1:67)),)=$I$6,OFFSET(TH!L$1,SMALL(Dong2,ROWS($1:67)),),OFFSET(TH!M$1,SMALL(Dong2,ROWS($1:67)),)))</f>
        <v/>
      </c>
      <c r="F78" s="447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47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448">
        <f t="shared" ref="H78:H131" ca="1" si="2">IF(A78&lt;&gt;"",H77+F78-G78,0)</f>
        <v>0</v>
      </c>
      <c r="I78" s="449"/>
      <c r="J78" s="428"/>
      <c r="K78" s="428"/>
      <c r="L78" s="76"/>
      <c r="M78" s="428"/>
      <c r="N78" s="428"/>
      <c r="O78" s="428"/>
      <c r="P78" s="428"/>
      <c r="Q78" s="428"/>
      <c r="R78" s="428"/>
      <c r="S78" s="428"/>
      <c r="T78" s="428"/>
    </row>
    <row r="79" spans="1:20" ht="20.25" customHeight="1">
      <c r="A79" s="445" t="str">
        <f ca="1">IF(ROWS($1:68)&gt;COUNT(Dong2),"",OFFSET(TH!C$1,SMALL(Dong2,ROWS($1:68)),))</f>
        <v/>
      </c>
      <c r="B79" s="445" t="str">
        <f ca="1">IF(ROWS($1:68)&gt;COUNT(Dong2),"",OFFSET(TH!D$1,SMALL(Dong2,ROWS($1:68)),))</f>
        <v/>
      </c>
      <c r="C79" s="445" t="str">
        <f ca="1">IF(ROWS($1:68)&gt;COUNT(Dong2),"",OFFSET(TH!E$1,SMALL(Dong2,ROWS($1:68)),))</f>
        <v/>
      </c>
      <c r="D79" s="446" t="str">
        <f ca="1">IF(ROWS($1:68)&gt;COUNT(Dong2),"",OFFSET(TH!F$1,SMALL(Dong2,ROWS($1:68)),))</f>
        <v/>
      </c>
      <c r="E79" s="445" t="str">
        <f ca="1">IF(ROWS($1:68)&gt;COUNT(Dong2),"",IF(OFFSET(TH!M$1,SMALL(Dong2,ROWS($1:68)),)=$I$6,OFFSET(TH!L$1,SMALL(Dong2,ROWS($1:68)),),OFFSET(TH!M$1,SMALL(Dong2,ROWS($1:68)),)))</f>
        <v/>
      </c>
      <c r="F79" s="447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47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448">
        <f t="shared" ca="1" si="2"/>
        <v>0</v>
      </c>
      <c r="I79" s="449"/>
      <c r="J79" s="428"/>
      <c r="K79" s="428"/>
      <c r="L79" s="76"/>
      <c r="M79" s="428"/>
      <c r="N79" s="428"/>
      <c r="O79" s="428"/>
      <c r="P79" s="428"/>
      <c r="Q79" s="428"/>
      <c r="R79" s="428"/>
      <c r="S79" s="428"/>
      <c r="T79" s="428"/>
    </row>
    <row r="80" spans="1:20" ht="20.25" customHeight="1">
      <c r="A80" s="445" t="str">
        <f ca="1">IF(ROWS($1:69)&gt;COUNT(Dong2),"",OFFSET(TH!C$1,SMALL(Dong2,ROWS($1:69)),))</f>
        <v/>
      </c>
      <c r="B80" s="445" t="str">
        <f ca="1">IF(ROWS($1:69)&gt;COUNT(Dong2),"",OFFSET(TH!D$1,SMALL(Dong2,ROWS($1:69)),))</f>
        <v/>
      </c>
      <c r="C80" s="445" t="str">
        <f ca="1">IF(ROWS($1:69)&gt;COUNT(Dong2),"",OFFSET(TH!E$1,SMALL(Dong2,ROWS($1:69)),))</f>
        <v/>
      </c>
      <c r="D80" s="446" t="str">
        <f ca="1">IF(ROWS($1:69)&gt;COUNT(Dong2),"",OFFSET(TH!F$1,SMALL(Dong2,ROWS($1:69)),))</f>
        <v/>
      </c>
      <c r="E80" s="445" t="str">
        <f ca="1">IF(ROWS($1:69)&gt;COUNT(Dong2),"",IF(OFFSET(TH!M$1,SMALL(Dong2,ROWS($1:69)),)=$I$6,OFFSET(TH!L$1,SMALL(Dong2,ROWS($1:69)),),OFFSET(TH!M$1,SMALL(Dong2,ROWS($1:69)),)))</f>
        <v/>
      </c>
      <c r="F80" s="447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47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448">
        <f t="shared" ca="1" si="2"/>
        <v>0</v>
      </c>
      <c r="I80" s="449"/>
      <c r="J80" s="428"/>
      <c r="K80" s="428"/>
      <c r="L80" s="76"/>
      <c r="M80" s="428"/>
      <c r="N80" s="428"/>
      <c r="O80" s="428"/>
      <c r="P80" s="428"/>
      <c r="Q80" s="428"/>
      <c r="R80" s="428"/>
      <c r="S80" s="428"/>
      <c r="T80" s="428"/>
    </row>
    <row r="81" spans="1:20" ht="20.25" customHeight="1">
      <c r="A81" s="445" t="str">
        <f ca="1">IF(ROWS($1:70)&gt;COUNT(Dong2),"",OFFSET(TH!C$1,SMALL(Dong2,ROWS($1:70)),))</f>
        <v/>
      </c>
      <c r="B81" s="445" t="str">
        <f ca="1">IF(ROWS($1:70)&gt;COUNT(Dong2),"",OFFSET(TH!D$1,SMALL(Dong2,ROWS($1:70)),))</f>
        <v/>
      </c>
      <c r="C81" s="445" t="str">
        <f ca="1">IF(ROWS($1:70)&gt;COUNT(Dong2),"",OFFSET(TH!E$1,SMALL(Dong2,ROWS($1:70)),))</f>
        <v/>
      </c>
      <c r="D81" s="446" t="str">
        <f ca="1">IF(ROWS($1:70)&gt;COUNT(Dong2),"",OFFSET(TH!F$1,SMALL(Dong2,ROWS($1:70)),))</f>
        <v/>
      </c>
      <c r="E81" s="445" t="str">
        <f ca="1">IF(ROWS($1:70)&gt;COUNT(Dong2),"",IF(OFFSET(TH!M$1,SMALL(Dong2,ROWS($1:70)),)=$I$6,OFFSET(TH!L$1,SMALL(Dong2,ROWS($1:70)),),OFFSET(TH!M$1,SMALL(Dong2,ROWS($1:70)),)))</f>
        <v/>
      </c>
      <c r="F81" s="447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47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448">
        <f t="shared" ca="1" si="2"/>
        <v>0</v>
      </c>
      <c r="I81" s="449"/>
      <c r="J81" s="428"/>
      <c r="K81" s="428"/>
      <c r="L81" s="76"/>
      <c r="M81" s="428"/>
      <c r="N81" s="428"/>
      <c r="O81" s="428"/>
      <c r="P81" s="428"/>
      <c r="Q81" s="428"/>
      <c r="R81" s="428"/>
      <c r="S81" s="428"/>
      <c r="T81" s="428"/>
    </row>
    <row r="82" spans="1:20" ht="20.25" customHeight="1">
      <c r="A82" s="445" t="str">
        <f ca="1">IF(ROWS($1:71)&gt;COUNT(Dong2),"",OFFSET(TH!C$1,SMALL(Dong2,ROWS($1:71)),))</f>
        <v/>
      </c>
      <c r="B82" s="445" t="str">
        <f ca="1">IF(ROWS($1:71)&gt;COUNT(Dong2),"",OFFSET(TH!D$1,SMALL(Dong2,ROWS($1:71)),))</f>
        <v/>
      </c>
      <c r="C82" s="445" t="str">
        <f ca="1">IF(ROWS($1:71)&gt;COUNT(Dong2),"",OFFSET(TH!E$1,SMALL(Dong2,ROWS($1:71)),))</f>
        <v/>
      </c>
      <c r="D82" s="446" t="str">
        <f ca="1">IF(ROWS($1:71)&gt;COUNT(Dong2),"",OFFSET(TH!F$1,SMALL(Dong2,ROWS($1:71)),))</f>
        <v/>
      </c>
      <c r="E82" s="445" t="str">
        <f ca="1">IF(ROWS($1:71)&gt;COUNT(Dong2),"",IF(OFFSET(TH!M$1,SMALL(Dong2,ROWS($1:71)),)=$I$6,OFFSET(TH!L$1,SMALL(Dong2,ROWS($1:71)),),OFFSET(TH!M$1,SMALL(Dong2,ROWS($1:71)),)))</f>
        <v/>
      </c>
      <c r="F82" s="447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47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448">
        <f t="shared" ca="1" si="2"/>
        <v>0</v>
      </c>
      <c r="I82" s="449"/>
      <c r="J82" s="428"/>
      <c r="K82" s="428"/>
      <c r="L82" s="76"/>
      <c r="M82" s="428"/>
      <c r="N82" s="428"/>
      <c r="O82" s="428"/>
      <c r="P82" s="428"/>
      <c r="Q82" s="428"/>
      <c r="R82" s="428"/>
      <c r="S82" s="428"/>
      <c r="T82" s="428"/>
    </row>
    <row r="83" spans="1:20" ht="20.25" customHeight="1">
      <c r="A83" s="445" t="str">
        <f ca="1">IF(ROWS($1:72)&gt;COUNT(Dong2),"",OFFSET(TH!C$1,SMALL(Dong2,ROWS($1:72)),))</f>
        <v/>
      </c>
      <c r="B83" s="445" t="str">
        <f ca="1">IF(ROWS($1:72)&gt;COUNT(Dong2),"",OFFSET(TH!D$1,SMALL(Dong2,ROWS($1:72)),))</f>
        <v/>
      </c>
      <c r="C83" s="445" t="str">
        <f ca="1">IF(ROWS($1:72)&gt;COUNT(Dong2),"",OFFSET(TH!E$1,SMALL(Dong2,ROWS($1:72)),))</f>
        <v/>
      </c>
      <c r="D83" s="446" t="str">
        <f ca="1">IF(ROWS($1:72)&gt;COUNT(Dong2),"",OFFSET(TH!F$1,SMALL(Dong2,ROWS($1:72)),))</f>
        <v/>
      </c>
      <c r="E83" s="445" t="str">
        <f ca="1">IF(ROWS($1:72)&gt;COUNT(Dong2),"",IF(OFFSET(TH!M$1,SMALL(Dong2,ROWS($1:72)),)=$I$6,OFFSET(TH!L$1,SMALL(Dong2,ROWS($1:72)),),OFFSET(TH!M$1,SMALL(Dong2,ROWS($1:72)),)))</f>
        <v/>
      </c>
      <c r="F83" s="447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47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448">
        <f t="shared" ca="1" si="2"/>
        <v>0</v>
      </c>
      <c r="I83" s="449"/>
      <c r="J83" s="428"/>
      <c r="K83" s="428"/>
      <c r="L83" s="76"/>
      <c r="M83" s="428"/>
      <c r="N83" s="428"/>
      <c r="O83" s="428"/>
      <c r="P83" s="428"/>
      <c r="Q83" s="428"/>
      <c r="R83" s="428"/>
      <c r="S83" s="428"/>
      <c r="T83" s="428"/>
    </row>
    <row r="84" spans="1:20" ht="20.25" customHeight="1">
      <c r="A84" s="445" t="str">
        <f ca="1">IF(ROWS($1:73)&gt;COUNT(Dong2),"",OFFSET(TH!C$1,SMALL(Dong2,ROWS($1:73)),))</f>
        <v/>
      </c>
      <c r="B84" s="445" t="str">
        <f ca="1">IF(ROWS($1:73)&gt;COUNT(Dong2),"",OFFSET(TH!D$1,SMALL(Dong2,ROWS($1:73)),))</f>
        <v/>
      </c>
      <c r="C84" s="445" t="str">
        <f ca="1">IF(ROWS($1:73)&gt;COUNT(Dong2),"",OFFSET(TH!E$1,SMALL(Dong2,ROWS($1:73)),))</f>
        <v/>
      </c>
      <c r="D84" s="446" t="str">
        <f ca="1">IF(ROWS($1:73)&gt;COUNT(Dong2),"",OFFSET(TH!F$1,SMALL(Dong2,ROWS($1:73)),))</f>
        <v/>
      </c>
      <c r="E84" s="445" t="str">
        <f ca="1">IF(ROWS($1:73)&gt;COUNT(Dong2),"",IF(OFFSET(TH!M$1,SMALL(Dong2,ROWS($1:73)),)=$I$6,OFFSET(TH!L$1,SMALL(Dong2,ROWS($1:73)),),OFFSET(TH!M$1,SMALL(Dong2,ROWS($1:73)),)))</f>
        <v/>
      </c>
      <c r="F84" s="447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47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448">
        <f t="shared" ca="1" si="2"/>
        <v>0</v>
      </c>
      <c r="I84" s="449"/>
      <c r="J84" s="428"/>
      <c r="K84" s="428"/>
      <c r="L84" s="76"/>
      <c r="M84" s="428"/>
      <c r="N84" s="428"/>
      <c r="O84" s="428"/>
      <c r="P84" s="428"/>
      <c r="Q84" s="428"/>
      <c r="R84" s="428"/>
      <c r="S84" s="428"/>
      <c r="T84" s="428"/>
    </row>
    <row r="85" spans="1:20" ht="20.25" customHeight="1">
      <c r="A85" s="445" t="str">
        <f ca="1">IF(ROWS($1:74)&gt;COUNT(Dong2),"",OFFSET(TH!C$1,SMALL(Dong2,ROWS($1:74)),))</f>
        <v/>
      </c>
      <c r="B85" s="445" t="str">
        <f ca="1">IF(ROWS($1:74)&gt;COUNT(Dong2),"",OFFSET(TH!D$1,SMALL(Dong2,ROWS($1:74)),))</f>
        <v/>
      </c>
      <c r="C85" s="445" t="str">
        <f ca="1">IF(ROWS($1:74)&gt;COUNT(Dong2),"",OFFSET(TH!E$1,SMALL(Dong2,ROWS($1:74)),))</f>
        <v/>
      </c>
      <c r="D85" s="446" t="str">
        <f ca="1">IF(ROWS($1:74)&gt;COUNT(Dong2),"",OFFSET(TH!F$1,SMALL(Dong2,ROWS($1:74)),))</f>
        <v/>
      </c>
      <c r="E85" s="445" t="str">
        <f ca="1">IF(ROWS($1:74)&gt;COUNT(Dong2),"",IF(OFFSET(TH!M$1,SMALL(Dong2,ROWS($1:74)),)=$I$6,OFFSET(TH!L$1,SMALL(Dong2,ROWS($1:74)),),OFFSET(TH!M$1,SMALL(Dong2,ROWS($1:74)),)))</f>
        <v/>
      </c>
      <c r="F85" s="447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47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448">
        <f t="shared" ca="1" si="2"/>
        <v>0</v>
      </c>
      <c r="I85" s="449"/>
      <c r="J85" s="428"/>
      <c r="K85" s="428"/>
      <c r="L85" s="76"/>
      <c r="M85" s="428"/>
      <c r="N85" s="428"/>
      <c r="O85" s="428"/>
      <c r="P85" s="428"/>
      <c r="Q85" s="428"/>
      <c r="R85" s="428"/>
      <c r="S85" s="428"/>
      <c r="T85" s="428"/>
    </row>
    <row r="86" spans="1:20" ht="20.25" customHeight="1">
      <c r="A86" s="445" t="str">
        <f ca="1">IF(ROWS($1:75)&gt;COUNT(Dong2),"",OFFSET(TH!C$1,SMALL(Dong2,ROWS($1:75)),))</f>
        <v/>
      </c>
      <c r="B86" s="445" t="str">
        <f ca="1">IF(ROWS($1:75)&gt;COUNT(Dong2),"",OFFSET(TH!D$1,SMALL(Dong2,ROWS($1:75)),))</f>
        <v/>
      </c>
      <c r="C86" s="445" t="str">
        <f ca="1">IF(ROWS($1:75)&gt;COUNT(Dong2),"",OFFSET(TH!E$1,SMALL(Dong2,ROWS($1:75)),))</f>
        <v/>
      </c>
      <c r="D86" s="446" t="str">
        <f ca="1">IF(ROWS($1:75)&gt;COUNT(Dong2),"",OFFSET(TH!F$1,SMALL(Dong2,ROWS($1:75)),))</f>
        <v/>
      </c>
      <c r="E86" s="445" t="str">
        <f ca="1">IF(ROWS($1:75)&gt;COUNT(Dong2),"",IF(OFFSET(TH!M$1,SMALL(Dong2,ROWS($1:75)),)=$I$6,OFFSET(TH!L$1,SMALL(Dong2,ROWS($1:75)),),OFFSET(TH!M$1,SMALL(Dong2,ROWS($1:75)),)))</f>
        <v/>
      </c>
      <c r="F86" s="447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47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448">
        <f t="shared" ca="1" si="2"/>
        <v>0</v>
      </c>
      <c r="I86" s="449"/>
      <c r="J86" s="428"/>
      <c r="K86" s="428"/>
      <c r="L86" s="76"/>
      <c r="M86" s="428"/>
      <c r="N86" s="428"/>
      <c r="O86" s="428"/>
      <c r="P86" s="428"/>
      <c r="Q86" s="428"/>
      <c r="R86" s="428"/>
      <c r="S86" s="428"/>
      <c r="T86" s="428"/>
    </row>
    <row r="87" spans="1:20" ht="20.25" customHeight="1">
      <c r="A87" s="445" t="str">
        <f ca="1">IF(ROWS($1:76)&gt;COUNT(Dong2),"",OFFSET(TH!C$1,SMALL(Dong2,ROWS($1:76)),))</f>
        <v/>
      </c>
      <c r="B87" s="445" t="str">
        <f ca="1">IF(ROWS($1:76)&gt;COUNT(Dong2),"",OFFSET(TH!D$1,SMALL(Dong2,ROWS($1:76)),))</f>
        <v/>
      </c>
      <c r="C87" s="445" t="str">
        <f ca="1">IF(ROWS($1:76)&gt;COUNT(Dong2),"",OFFSET(TH!E$1,SMALL(Dong2,ROWS($1:76)),))</f>
        <v/>
      </c>
      <c r="D87" s="446" t="str">
        <f ca="1">IF(ROWS($1:76)&gt;COUNT(Dong2),"",OFFSET(TH!F$1,SMALL(Dong2,ROWS($1:76)),))</f>
        <v/>
      </c>
      <c r="E87" s="445" t="str">
        <f ca="1">IF(ROWS($1:76)&gt;COUNT(Dong2),"",IF(OFFSET(TH!M$1,SMALL(Dong2,ROWS($1:76)),)=$I$6,OFFSET(TH!L$1,SMALL(Dong2,ROWS($1:76)),),OFFSET(TH!M$1,SMALL(Dong2,ROWS($1:76)),)))</f>
        <v/>
      </c>
      <c r="F87" s="447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47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448">
        <f t="shared" ca="1" si="2"/>
        <v>0</v>
      </c>
      <c r="I87" s="449"/>
      <c r="J87" s="428"/>
      <c r="K87" s="428"/>
      <c r="L87" s="76"/>
      <c r="M87" s="428"/>
      <c r="N87" s="428"/>
      <c r="O87" s="428"/>
      <c r="P87" s="428"/>
      <c r="Q87" s="428"/>
      <c r="R87" s="428"/>
      <c r="S87" s="428"/>
      <c r="T87" s="428"/>
    </row>
    <row r="88" spans="1:20" ht="20.25" customHeight="1">
      <c r="A88" s="445" t="str">
        <f ca="1">IF(ROWS($1:77)&gt;COUNT(Dong2),"",OFFSET(TH!C$1,SMALL(Dong2,ROWS($1:77)),))</f>
        <v/>
      </c>
      <c r="B88" s="445" t="str">
        <f ca="1">IF(ROWS($1:77)&gt;COUNT(Dong2),"",OFFSET(TH!D$1,SMALL(Dong2,ROWS($1:77)),))</f>
        <v/>
      </c>
      <c r="C88" s="445" t="str">
        <f ca="1">IF(ROWS($1:77)&gt;COUNT(Dong2),"",OFFSET(TH!E$1,SMALL(Dong2,ROWS($1:77)),))</f>
        <v/>
      </c>
      <c r="D88" s="446" t="str">
        <f ca="1">IF(ROWS($1:77)&gt;COUNT(Dong2),"",OFFSET(TH!F$1,SMALL(Dong2,ROWS($1:77)),))</f>
        <v/>
      </c>
      <c r="E88" s="445" t="str">
        <f ca="1">IF(ROWS($1:77)&gt;COUNT(Dong2),"",IF(OFFSET(TH!M$1,SMALL(Dong2,ROWS($1:77)),)=$I$6,OFFSET(TH!L$1,SMALL(Dong2,ROWS($1:77)),),OFFSET(TH!M$1,SMALL(Dong2,ROWS($1:77)),)))</f>
        <v/>
      </c>
      <c r="F88" s="447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47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448">
        <f t="shared" ca="1" si="2"/>
        <v>0</v>
      </c>
      <c r="I88" s="449"/>
      <c r="J88" s="428"/>
      <c r="K88" s="428"/>
      <c r="L88" s="76"/>
      <c r="M88" s="428"/>
      <c r="N88" s="428"/>
      <c r="O88" s="428"/>
      <c r="P88" s="428"/>
      <c r="Q88" s="428"/>
      <c r="R88" s="428"/>
      <c r="S88" s="428"/>
      <c r="T88" s="428"/>
    </row>
    <row r="89" spans="1:20" ht="20.25" customHeight="1">
      <c r="A89" s="445" t="str">
        <f ca="1">IF(ROWS($1:78)&gt;COUNT(Dong2),"",OFFSET(TH!C$1,SMALL(Dong2,ROWS($1:78)),))</f>
        <v/>
      </c>
      <c r="B89" s="445" t="str">
        <f ca="1">IF(ROWS($1:78)&gt;COUNT(Dong2),"",OFFSET(TH!D$1,SMALL(Dong2,ROWS($1:78)),))</f>
        <v/>
      </c>
      <c r="C89" s="445" t="str">
        <f ca="1">IF(ROWS($1:78)&gt;COUNT(Dong2),"",OFFSET(TH!E$1,SMALL(Dong2,ROWS($1:78)),))</f>
        <v/>
      </c>
      <c r="D89" s="446" t="str">
        <f ca="1">IF(ROWS($1:78)&gt;COUNT(Dong2),"",OFFSET(TH!F$1,SMALL(Dong2,ROWS($1:78)),))</f>
        <v/>
      </c>
      <c r="E89" s="445" t="str">
        <f ca="1">IF(ROWS($1:78)&gt;COUNT(Dong2),"",IF(OFFSET(TH!M$1,SMALL(Dong2,ROWS($1:78)),)=$I$6,OFFSET(TH!L$1,SMALL(Dong2,ROWS($1:78)),),OFFSET(TH!M$1,SMALL(Dong2,ROWS($1:78)),)))</f>
        <v/>
      </c>
      <c r="F89" s="447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47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448">
        <f t="shared" ca="1" si="2"/>
        <v>0</v>
      </c>
      <c r="I89" s="449"/>
      <c r="J89" s="428"/>
      <c r="K89" s="428"/>
      <c r="L89" s="76"/>
      <c r="M89" s="428"/>
      <c r="N89" s="428"/>
      <c r="O89" s="428"/>
      <c r="P89" s="428"/>
      <c r="Q89" s="428"/>
      <c r="R89" s="428"/>
      <c r="S89" s="428"/>
      <c r="T89" s="428"/>
    </row>
    <row r="90" spans="1:20" ht="20.25" customHeight="1">
      <c r="A90" s="445" t="str">
        <f ca="1">IF(ROWS($1:79)&gt;COUNT(Dong2),"",OFFSET(TH!C$1,SMALL(Dong2,ROWS($1:79)),))</f>
        <v/>
      </c>
      <c r="B90" s="445" t="str">
        <f ca="1">IF(ROWS($1:79)&gt;COUNT(Dong2),"",OFFSET(TH!D$1,SMALL(Dong2,ROWS($1:79)),))</f>
        <v/>
      </c>
      <c r="C90" s="445" t="str">
        <f ca="1">IF(ROWS($1:79)&gt;COUNT(Dong2),"",OFFSET(TH!E$1,SMALL(Dong2,ROWS($1:79)),))</f>
        <v/>
      </c>
      <c r="D90" s="446" t="str">
        <f ca="1">IF(ROWS($1:79)&gt;COUNT(Dong2),"",OFFSET(TH!F$1,SMALL(Dong2,ROWS($1:79)),))</f>
        <v/>
      </c>
      <c r="E90" s="445" t="str">
        <f ca="1">IF(ROWS($1:79)&gt;COUNT(Dong2),"",IF(OFFSET(TH!M$1,SMALL(Dong2,ROWS($1:79)),)=$I$6,OFFSET(TH!L$1,SMALL(Dong2,ROWS($1:79)),),OFFSET(TH!M$1,SMALL(Dong2,ROWS($1:79)),)))</f>
        <v/>
      </c>
      <c r="F90" s="447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47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448">
        <f t="shared" ca="1" si="2"/>
        <v>0</v>
      </c>
      <c r="I90" s="449"/>
      <c r="J90" s="428"/>
      <c r="K90" s="428"/>
      <c r="L90" s="76"/>
      <c r="M90" s="428"/>
      <c r="N90" s="428"/>
      <c r="O90" s="428"/>
      <c r="P90" s="428"/>
      <c r="Q90" s="428"/>
      <c r="R90" s="428"/>
      <c r="S90" s="428"/>
      <c r="T90" s="428"/>
    </row>
    <row r="91" spans="1:20" ht="20.25" customHeight="1">
      <c r="A91" s="445" t="str">
        <f ca="1">IF(ROWS($1:80)&gt;COUNT(Dong2),"",OFFSET(TH!C$1,SMALL(Dong2,ROWS($1:80)),))</f>
        <v/>
      </c>
      <c r="B91" s="445" t="str">
        <f ca="1">IF(ROWS($1:80)&gt;COUNT(Dong2),"",OFFSET(TH!D$1,SMALL(Dong2,ROWS($1:80)),))</f>
        <v/>
      </c>
      <c r="C91" s="445" t="str">
        <f ca="1">IF(ROWS($1:80)&gt;COUNT(Dong2),"",OFFSET(TH!E$1,SMALL(Dong2,ROWS($1:80)),))</f>
        <v/>
      </c>
      <c r="D91" s="446" t="str">
        <f ca="1">IF(ROWS($1:80)&gt;COUNT(Dong2),"",OFFSET(TH!F$1,SMALL(Dong2,ROWS($1:80)),))</f>
        <v/>
      </c>
      <c r="E91" s="445" t="str">
        <f ca="1">IF(ROWS($1:80)&gt;COUNT(Dong2),"",IF(OFFSET(TH!M$1,SMALL(Dong2,ROWS($1:80)),)=$I$6,OFFSET(TH!L$1,SMALL(Dong2,ROWS($1:80)),),OFFSET(TH!M$1,SMALL(Dong2,ROWS($1:80)),)))</f>
        <v/>
      </c>
      <c r="F91" s="447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47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448">
        <f t="shared" ca="1" si="2"/>
        <v>0</v>
      </c>
      <c r="I91" s="449"/>
      <c r="J91" s="428"/>
      <c r="K91" s="428"/>
      <c r="L91" s="76"/>
      <c r="M91" s="428"/>
      <c r="N91" s="428"/>
      <c r="O91" s="428"/>
      <c r="P91" s="428"/>
      <c r="Q91" s="428"/>
      <c r="R91" s="428"/>
      <c r="S91" s="428"/>
      <c r="T91" s="428"/>
    </row>
    <row r="92" spans="1:20" ht="20.25" customHeight="1">
      <c r="A92" s="445" t="str">
        <f ca="1">IF(ROWS($1:81)&gt;COUNT(Dong2),"",OFFSET(TH!C$1,SMALL(Dong2,ROWS($1:81)),))</f>
        <v/>
      </c>
      <c r="B92" s="445" t="str">
        <f ca="1">IF(ROWS($1:81)&gt;COUNT(Dong2),"",OFFSET(TH!D$1,SMALL(Dong2,ROWS($1:81)),))</f>
        <v/>
      </c>
      <c r="C92" s="445" t="str">
        <f ca="1">IF(ROWS($1:81)&gt;COUNT(Dong2),"",OFFSET(TH!E$1,SMALL(Dong2,ROWS($1:81)),))</f>
        <v/>
      </c>
      <c r="D92" s="446" t="str">
        <f ca="1">IF(ROWS($1:81)&gt;COUNT(Dong2),"",OFFSET(TH!F$1,SMALL(Dong2,ROWS($1:81)),))</f>
        <v/>
      </c>
      <c r="E92" s="445" t="str">
        <f ca="1">IF(ROWS($1:81)&gt;COUNT(Dong2),"",IF(OFFSET(TH!M$1,SMALL(Dong2,ROWS($1:81)),)=$I$6,OFFSET(TH!L$1,SMALL(Dong2,ROWS($1:81)),),OFFSET(TH!M$1,SMALL(Dong2,ROWS($1:81)),)))</f>
        <v/>
      </c>
      <c r="F92" s="447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47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448">
        <f t="shared" ca="1" si="2"/>
        <v>0</v>
      </c>
      <c r="I92" s="449"/>
      <c r="J92" s="428"/>
      <c r="K92" s="428"/>
      <c r="L92" s="76"/>
      <c r="M92" s="428"/>
      <c r="N92" s="428"/>
      <c r="O92" s="428"/>
      <c r="P92" s="428"/>
      <c r="Q92" s="428"/>
      <c r="R92" s="428"/>
      <c r="S92" s="428"/>
      <c r="T92" s="428"/>
    </row>
    <row r="93" spans="1:20" ht="20.25" customHeight="1">
      <c r="A93" s="445" t="str">
        <f ca="1">IF(ROWS($1:82)&gt;COUNT(Dong2),"",OFFSET(TH!C$1,SMALL(Dong2,ROWS($1:82)),))</f>
        <v/>
      </c>
      <c r="B93" s="445" t="str">
        <f ca="1">IF(ROWS($1:82)&gt;COUNT(Dong2),"",OFFSET(TH!D$1,SMALL(Dong2,ROWS($1:82)),))</f>
        <v/>
      </c>
      <c r="C93" s="445" t="str">
        <f ca="1">IF(ROWS($1:82)&gt;COUNT(Dong2),"",OFFSET(TH!E$1,SMALL(Dong2,ROWS($1:82)),))</f>
        <v/>
      </c>
      <c r="D93" s="446" t="str">
        <f ca="1">IF(ROWS($1:82)&gt;COUNT(Dong2),"",OFFSET(TH!F$1,SMALL(Dong2,ROWS($1:82)),))</f>
        <v/>
      </c>
      <c r="E93" s="445" t="str">
        <f ca="1">IF(ROWS($1:82)&gt;COUNT(Dong2),"",IF(OFFSET(TH!M$1,SMALL(Dong2,ROWS($1:82)),)=$I$6,OFFSET(TH!L$1,SMALL(Dong2,ROWS($1:82)),),OFFSET(TH!M$1,SMALL(Dong2,ROWS($1:82)),)))</f>
        <v/>
      </c>
      <c r="F93" s="447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47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448">
        <f t="shared" ca="1" si="2"/>
        <v>0</v>
      </c>
      <c r="I93" s="449"/>
      <c r="J93" s="428"/>
      <c r="K93" s="428"/>
      <c r="L93" s="76"/>
      <c r="M93" s="428"/>
      <c r="N93" s="428"/>
      <c r="O93" s="428"/>
      <c r="P93" s="428"/>
      <c r="Q93" s="428"/>
      <c r="R93" s="428"/>
      <c r="S93" s="428"/>
      <c r="T93" s="428"/>
    </row>
    <row r="94" spans="1:20" ht="20.25" customHeight="1">
      <c r="A94" s="445" t="str">
        <f ca="1">IF(ROWS($1:83)&gt;COUNT(Dong2),"",OFFSET(TH!C$1,SMALL(Dong2,ROWS($1:83)),))</f>
        <v/>
      </c>
      <c r="B94" s="445" t="str">
        <f ca="1">IF(ROWS($1:83)&gt;COUNT(Dong2),"",OFFSET(TH!D$1,SMALL(Dong2,ROWS($1:83)),))</f>
        <v/>
      </c>
      <c r="C94" s="445" t="str">
        <f ca="1">IF(ROWS($1:83)&gt;COUNT(Dong2),"",OFFSET(TH!E$1,SMALL(Dong2,ROWS($1:83)),))</f>
        <v/>
      </c>
      <c r="D94" s="446" t="str">
        <f ca="1">IF(ROWS($1:83)&gt;COUNT(Dong2),"",OFFSET(TH!F$1,SMALL(Dong2,ROWS($1:83)),))</f>
        <v/>
      </c>
      <c r="E94" s="445" t="str">
        <f ca="1">IF(ROWS($1:83)&gt;COUNT(Dong2),"",IF(OFFSET(TH!M$1,SMALL(Dong2,ROWS($1:83)),)=$I$6,OFFSET(TH!L$1,SMALL(Dong2,ROWS($1:83)),),OFFSET(TH!M$1,SMALL(Dong2,ROWS($1:83)),)))</f>
        <v/>
      </c>
      <c r="F94" s="447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47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448">
        <f t="shared" ca="1" si="2"/>
        <v>0</v>
      </c>
      <c r="I94" s="449"/>
      <c r="J94" s="428"/>
      <c r="K94" s="428"/>
      <c r="L94" s="76"/>
      <c r="M94" s="428"/>
      <c r="N94" s="428"/>
      <c r="O94" s="428"/>
      <c r="P94" s="428"/>
      <c r="Q94" s="428"/>
      <c r="R94" s="428"/>
      <c r="S94" s="428"/>
      <c r="T94" s="428"/>
    </row>
    <row r="95" spans="1:20" ht="20.25" customHeight="1">
      <c r="A95" s="445" t="str">
        <f ca="1">IF(ROWS($1:84)&gt;COUNT(Dong2),"",OFFSET(TH!C$1,SMALL(Dong2,ROWS($1:84)),))</f>
        <v/>
      </c>
      <c r="B95" s="445" t="str">
        <f ca="1">IF(ROWS($1:84)&gt;COUNT(Dong2),"",OFFSET(TH!D$1,SMALL(Dong2,ROWS($1:84)),))</f>
        <v/>
      </c>
      <c r="C95" s="445" t="str">
        <f ca="1">IF(ROWS($1:84)&gt;COUNT(Dong2),"",OFFSET(TH!E$1,SMALL(Dong2,ROWS($1:84)),))</f>
        <v/>
      </c>
      <c r="D95" s="446" t="str">
        <f ca="1">IF(ROWS($1:84)&gt;COUNT(Dong2),"",OFFSET(TH!F$1,SMALL(Dong2,ROWS($1:84)),))</f>
        <v/>
      </c>
      <c r="E95" s="445" t="str">
        <f ca="1">IF(ROWS($1:84)&gt;COUNT(Dong2),"",IF(OFFSET(TH!M$1,SMALL(Dong2,ROWS($1:84)),)=$I$6,OFFSET(TH!L$1,SMALL(Dong2,ROWS($1:84)),),OFFSET(TH!M$1,SMALL(Dong2,ROWS($1:84)),)))</f>
        <v/>
      </c>
      <c r="F95" s="447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47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448">
        <f t="shared" ca="1" si="2"/>
        <v>0</v>
      </c>
      <c r="I95" s="449"/>
      <c r="J95" s="428"/>
      <c r="K95" s="428"/>
      <c r="L95" s="76"/>
      <c r="M95" s="428"/>
      <c r="N95" s="428"/>
      <c r="O95" s="428"/>
      <c r="P95" s="428"/>
      <c r="Q95" s="428"/>
      <c r="R95" s="428"/>
      <c r="S95" s="428"/>
      <c r="T95" s="428"/>
    </row>
    <row r="96" spans="1:20" ht="20.25" customHeight="1">
      <c r="A96" s="445" t="str">
        <f ca="1">IF(ROWS($1:85)&gt;COUNT(Dong2),"",OFFSET(TH!C$1,SMALL(Dong2,ROWS($1:85)),))</f>
        <v/>
      </c>
      <c r="B96" s="445" t="str">
        <f ca="1">IF(ROWS($1:85)&gt;COUNT(Dong2),"",OFFSET(TH!D$1,SMALL(Dong2,ROWS($1:85)),))</f>
        <v/>
      </c>
      <c r="C96" s="445" t="str">
        <f ca="1">IF(ROWS($1:85)&gt;COUNT(Dong2),"",OFFSET(TH!E$1,SMALL(Dong2,ROWS($1:85)),))</f>
        <v/>
      </c>
      <c r="D96" s="446" t="str">
        <f ca="1">IF(ROWS($1:85)&gt;COUNT(Dong2),"",OFFSET(TH!F$1,SMALL(Dong2,ROWS($1:85)),))</f>
        <v/>
      </c>
      <c r="E96" s="445" t="str">
        <f ca="1">IF(ROWS($1:85)&gt;COUNT(Dong2),"",IF(OFFSET(TH!M$1,SMALL(Dong2,ROWS($1:85)),)=$I$6,OFFSET(TH!L$1,SMALL(Dong2,ROWS($1:85)),),OFFSET(TH!M$1,SMALL(Dong2,ROWS($1:85)),)))</f>
        <v/>
      </c>
      <c r="F96" s="447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47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448">
        <f t="shared" ca="1" si="2"/>
        <v>0</v>
      </c>
      <c r="I96" s="449"/>
      <c r="J96" s="428"/>
      <c r="K96" s="428"/>
      <c r="L96" s="76"/>
      <c r="M96" s="428"/>
      <c r="N96" s="428"/>
      <c r="O96" s="428"/>
      <c r="P96" s="428"/>
      <c r="Q96" s="428"/>
      <c r="R96" s="428"/>
      <c r="S96" s="428"/>
      <c r="T96" s="428"/>
    </row>
    <row r="97" spans="1:20" ht="20.25" customHeight="1">
      <c r="A97" s="445" t="str">
        <f ca="1">IF(ROWS($1:86)&gt;COUNT(Dong2),"",OFFSET(TH!C$1,SMALL(Dong2,ROWS($1:86)),))</f>
        <v/>
      </c>
      <c r="B97" s="445" t="str">
        <f ca="1">IF(ROWS($1:86)&gt;COUNT(Dong2),"",OFFSET(TH!D$1,SMALL(Dong2,ROWS($1:86)),))</f>
        <v/>
      </c>
      <c r="C97" s="445" t="str">
        <f ca="1">IF(ROWS($1:86)&gt;COUNT(Dong2),"",OFFSET(TH!E$1,SMALL(Dong2,ROWS($1:86)),))</f>
        <v/>
      </c>
      <c r="D97" s="446" t="str">
        <f ca="1">IF(ROWS($1:86)&gt;COUNT(Dong2),"",OFFSET(TH!F$1,SMALL(Dong2,ROWS($1:86)),))</f>
        <v/>
      </c>
      <c r="E97" s="445" t="str">
        <f ca="1">IF(ROWS($1:86)&gt;COUNT(Dong2),"",IF(OFFSET(TH!M$1,SMALL(Dong2,ROWS($1:86)),)=$I$6,OFFSET(TH!L$1,SMALL(Dong2,ROWS($1:86)),),OFFSET(TH!M$1,SMALL(Dong2,ROWS($1:86)),)))</f>
        <v/>
      </c>
      <c r="F97" s="447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47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448">
        <f t="shared" ca="1" si="2"/>
        <v>0</v>
      </c>
      <c r="I97" s="449"/>
      <c r="J97" s="428"/>
      <c r="K97" s="428"/>
      <c r="L97" s="76"/>
      <c r="M97" s="428"/>
      <c r="N97" s="428"/>
      <c r="O97" s="428"/>
      <c r="P97" s="428"/>
      <c r="Q97" s="428"/>
      <c r="R97" s="428"/>
      <c r="S97" s="428"/>
      <c r="T97" s="428"/>
    </row>
    <row r="98" spans="1:20" ht="20.25" customHeight="1">
      <c r="A98" s="445" t="str">
        <f ca="1">IF(ROWS($1:87)&gt;COUNT(Dong2),"",OFFSET(TH!C$1,SMALL(Dong2,ROWS($1:87)),))</f>
        <v/>
      </c>
      <c r="B98" s="445" t="str">
        <f ca="1">IF(ROWS($1:87)&gt;COUNT(Dong2),"",OFFSET(TH!D$1,SMALL(Dong2,ROWS($1:87)),))</f>
        <v/>
      </c>
      <c r="C98" s="445" t="str">
        <f ca="1">IF(ROWS($1:87)&gt;COUNT(Dong2),"",OFFSET(TH!E$1,SMALL(Dong2,ROWS($1:87)),))</f>
        <v/>
      </c>
      <c r="D98" s="446" t="str">
        <f ca="1">IF(ROWS($1:87)&gt;COUNT(Dong2),"",OFFSET(TH!F$1,SMALL(Dong2,ROWS($1:87)),))</f>
        <v/>
      </c>
      <c r="E98" s="445" t="str">
        <f ca="1">IF(ROWS($1:87)&gt;COUNT(Dong2),"",IF(OFFSET(TH!M$1,SMALL(Dong2,ROWS($1:87)),)=$I$6,OFFSET(TH!L$1,SMALL(Dong2,ROWS($1:87)),),OFFSET(TH!M$1,SMALL(Dong2,ROWS($1:87)),)))</f>
        <v/>
      </c>
      <c r="F98" s="447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47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448">
        <f t="shared" ca="1" si="2"/>
        <v>0</v>
      </c>
      <c r="I98" s="449"/>
      <c r="J98" s="428"/>
      <c r="K98" s="428"/>
      <c r="L98" s="76"/>
      <c r="M98" s="428"/>
      <c r="N98" s="428"/>
      <c r="O98" s="428"/>
      <c r="P98" s="428"/>
      <c r="Q98" s="428"/>
      <c r="R98" s="428"/>
      <c r="S98" s="428"/>
      <c r="T98" s="428"/>
    </row>
    <row r="99" spans="1:20" ht="20.25" customHeight="1">
      <c r="A99" s="445" t="str">
        <f ca="1">IF(ROWS($1:88)&gt;COUNT(Dong2),"",OFFSET(TH!C$1,SMALL(Dong2,ROWS($1:88)),))</f>
        <v/>
      </c>
      <c r="B99" s="445" t="str">
        <f ca="1">IF(ROWS($1:88)&gt;COUNT(Dong2),"",OFFSET(TH!D$1,SMALL(Dong2,ROWS($1:88)),))</f>
        <v/>
      </c>
      <c r="C99" s="445" t="str">
        <f ca="1">IF(ROWS($1:88)&gt;COUNT(Dong2),"",OFFSET(TH!E$1,SMALL(Dong2,ROWS($1:88)),))</f>
        <v/>
      </c>
      <c r="D99" s="446" t="str">
        <f ca="1">IF(ROWS($1:88)&gt;COUNT(Dong2),"",OFFSET(TH!F$1,SMALL(Dong2,ROWS($1:88)),))</f>
        <v/>
      </c>
      <c r="E99" s="445" t="str">
        <f ca="1">IF(ROWS($1:88)&gt;COUNT(Dong2),"",IF(OFFSET(TH!M$1,SMALL(Dong2,ROWS($1:88)),)=$I$6,OFFSET(TH!L$1,SMALL(Dong2,ROWS($1:88)),),OFFSET(TH!M$1,SMALL(Dong2,ROWS($1:88)),)))</f>
        <v/>
      </c>
      <c r="F99" s="447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47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448">
        <f t="shared" ca="1" si="2"/>
        <v>0</v>
      </c>
      <c r="I99" s="449"/>
      <c r="J99" s="428"/>
      <c r="K99" s="428"/>
      <c r="L99" s="76"/>
      <c r="M99" s="428"/>
      <c r="N99" s="428"/>
      <c r="O99" s="428"/>
      <c r="P99" s="428"/>
      <c r="Q99" s="428"/>
      <c r="R99" s="428"/>
      <c r="S99" s="428"/>
      <c r="T99" s="428"/>
    </row>
    <row r="100" spans="1:20" ht="20.25" customHeight="1">
      <c r="A100" s="445" t="str">
        <f ca="1">IF(ROWS($1:89)&gt;COUNT(Dong2),"",OFFSET(TH!C$1,SMALL(Dong2,ROWS($1:89)),))</f>
        <v/>
      </c>
      <c r="B100" s="445" t="str">
        <f ca="1">IF(ROWS($1:89)&gt;COUNT(Dong2),"",OFFSET(TH!D$1,SMALL(Dong2,ROWS($1:89)),))</f>
        <v/>
      </c>
      <c r="C100" s="445" t="str">
        <f ca="1">IF(ROWS($1:89)&gt;COUNT(Dong2),"",OFFSET(TH!E$1,SMALL(Dong2,ROWS($1:89)),))</f>
        <v/>
      </c>
      <c r="D100" s="446" t="str">
        <f ca="1">IF(ROWS($1:89)&gt;COUNT(Dong2),"",OFFSET(TH!F$1,SMALL(Dong2,ROWS($1:89)),))</f>
        <v/>
      </c>
      <c r="E100" s="445" t="str">
        <f ca="1">IF(ROWS($1:89)&gt;COUNT(Dong2),"",IF(OFFSET(TH!M$1,SMALL(Dong2,ROWS($1:89)),)=$I$6,OFFSET(TH!L$1,SMALL(Dong2,ROWS($1:89)),),OFFSET(TH!M$1,SMALL(Dong2,ROWS($1:89)),)))</f>
        <v/>
      </c>
      <c r="F100" s="447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47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448">
        <f t="shared" ca="1" si="2"/>
        <v>0</v>
      </c>
      <c r="I100" s="449"/>
      <c r="J100" s="428"/>
      <c r="K100" s="428"/>
      <c r="L100" s="76"/>
      <c r="M100" s="428"/>
      <c r="N100" s="428"/>
      <c r="O100" s="428"/>
      <c r="P100" s="428"/>
      <c r="Q100" s="428"/>
      <c r="R100" s="428"/>
      <c r="S100" s="428"/>
      <c r="T100" s="428"/>
    </row>
    <row r="101" spans="1:20" ht="20.25" customHeight="1">
      <c r="A101" s="445" t="str">
        <f ca="1">IF(ROWS($1:90)&gt;COUNT(Dong2),"",OFFSET(TH!C$1,SMALL(Dong2,ROWS($1:90)),))</f>
        <v/>
      </c>
      <c r="B101" s="445" t="str">
        <f ca="1">IF(ROWS($1:90)&gt;COUNT(Dong2),"",OFFSET(TH!D$1,SMALL(Dong2,ROWS($1:90)),))</f>
        <v/>
      </c>
      <c r="C101" s="445" t="str">
        <f ca="1">IF(ROWS($1:90)&gt;COUNT(Dong2),"",OFFSET(TH!E$1,SMALL(Dong2,ROWS($1:90)),))</f>
        <v/>
      </c>
      <c r="D101" s="446" t="str">
        <f ca="1">IF(ROWS($1:90)&gt;COUNT(Dong2),"",OFFSET(TH!F$1,SMALL(Dong2,ROWS($1:90)),))</f>
        <v/>
      </c>
      <c r="E101" s="445" t="str">
        <f ca="1">IF(ROWS($1:90)&gt;COUNT(Dong2),"",IF(OFFSET(TH!M$1,SMALL(Dong2,ROWS($1:90)),)=$I$6,OFFSET(TH!L$1,SMALL(Dong2,ROWS($1:90)),),OFFSET(TH!M$1,SMALL(Dong2,ROWS($1:90)),)))</f>
        <v/>
      </c>
      <c r="F101" s="447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47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448">
        <f t="shared" ca="1" si="2"/>
        <v>0</v>
      </c>
      <c r="I101" s="449"/>
      <c r="J101" s="428"/>
      <c r="K101" s="428"/>
      <c r="L101" s="76"/>
      <c r="M101" s="428"/>
      <c r="N101" s="428"/>
      <c r="O101" s="428"/>
      <c r="P101" s="428"/>
      <c r="Q101" s="428"/>
      <c r="R101" s="428"/>
      <c r="S101" s="428"/>
      <c r="T101" s="428"/>
    </row>
    <row r="102" spans="1:20" ht="20.25" customHeight="1">
      <c r="A102" s="445" t="str">
        <f ca="1">IF(ROWS($1:91)&gt;COUNT(Dong2),"",OFFSET(TH!C$1,SMALL(Dong2,ROWS($1:91)),))</f>
        <v/>
      </c>
      <c r="B102" s="445" t="str">
        <f ca="1">IF(ROWS($1:91)&gt;COUNT(Dong2),"",OFFSET(TH!D$1,SMALL(Dong2,ROWS($1:91)),))</f>
        <v/>
      </c>
      <c r="C102" s="445" t="str">
        <f ca="1">IF(ROWS($1:91)&gt;COUNT(Dong2),"",OFFSET(TH!E$1,SMALL(Dong2,ROWS($1:91)),))</f>
        <v/>
      </c>
      <c r="D102" s="446" t="str">
        <f ca="1">IF(ROWS($1:91)&gt;COUNT(Dong2),"",OFFSET(TH!F$1,SMALL(Dong2,ROWS($1:91)),))</f>
        <v/>
      </c>
      <c r="E102" s="445" t="str">
        <f ca="1">IF(ROWS($1:91)&gt;COUNT(Dong2),"",IF(OFFSET(TH!M$1,SMALL(Dong2,ROWS($1:91)),)=$I$6,OFFSET(TH!L$1,SMALL(Dong2,ROWS($1:91)),),OFFSET(TH!M$1,SMALL(Dong2,ROWS($1:91)),)))</f>
        <v/>
      </c>
      <c r="F102" s="447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47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448">
        <f t="shared" ca="1" si="2"/>
        <v>0</v>
      </c>
      <c r="I102" s="449"/>
      <c r="J102" s="428"/>
      <c r="K102" s="428"/>
      <c r="L102" s="76"/>
      <c r="M102" s="428"/>
      <c r="N102" s="428"/>
      <c r="O102" s="428"/>
      <c r="P102" s="428"/>
      <c r="Q102" s="428"/>
      <c r="R102" s="428"/>
      <c r="S102" s="428"/>
      <c r="T102" s="428"/>
    </row>
    <row r="103" spans="1:20" ht="20.25" customHeight="1">
      <c r="A103" s="445" t="str">
        <f ca="1">IF(ROWS($1:92)&gt;COUNT(Dong2),"",OFFSET(TH!C$1,SMALL(Dong2,ROWS($1:92)),))</f>
        <v/>
      </c>
      <c r="B103" s="445" t="str">
        <f ca="1">IF(ROWS($1:92)&gt;COUNT(Dong2),"",OFFSET(TH!D$1,SMALL(Dong2,ROWS($1:92)),))</f>
        <v/>
      </c>
      <c r="C103" s="445" t="str">
        <f ca="1">IF(ROWS($1:92)&gt;COUNT(Dong2),"",OFFSET(TH!E$1,SMALL(Dong2,ROWS($1:92)),))</f>
        <v/>
      </c>
      <c r="D103" s="446" t="str">
        <f ca="1">IF(ROWS($1:92)&gt;COUNT(Dong2),"",OFFSET(TH!F$1,SMALL(Dong2,ROWS($1:92)),))</f>
        <v/>
      </c>
      <c r="E103" s="445" t="str">
        <f ca="1">IF(ROWS($1:92)&gt;COUNT(Dong2),"",IF(OFFSET(TH!M$1,SMALL(Dong2,ROWS($1:92)),)=$I$6,OFFSET(TH!L$1,SMALL(Dong2,ROWS($1:92)),),OFFSET(TH!M$1,SMALL(Dong2,ROWS($1:92)),)))</f>
        <v/>
      </c>
      <c r="F103" s="447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47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448">
        <f t="shared" ca="1" si="2"/>
        <v>0</v>
      </c>
      <c r="I103" s="449"/>
      <c r="J103" s="428"/>
      <c r="K103" s="428"/>
      <c r="L103" s="76"/>
      <c r="M103" s="428"/>
      <c r="N103" s="428"/>
      <c r="O103" s="428"/>
      <c r="P103" s="428"/>
      <c r="Q103" s="428"/>
      <c r="R103" s="428"/>
      <c r="S103" s="428"/>
      <c r="T103" s="428"/>
    </row>
    <row r="104" spans="1:20" ht="20.25" customHeight="1">
      <c r="A104" s="445" t="str">
        <f ca="1">IF(ROWS($1:93)&gt;COUNT(Dong2),"",OFFSET(TH!C$1,SMALL(Dong2,ROWS($1:93)),))</f>
        <v/>
      </c>
      <c r="B104" s="445" t="str">
        <f ca="1">IF(ROWS($1:93)&gt;COUNT(Dong2),"",OFFSET(TH!D$1,SMALL(Dong2,ROWS($1:93)),))</f>
        <v/>
      </c>
      <c r="C104" s="445" t="str">
        <f ca="1">IF(ROWS($1:93)&gt;COUNT(Dong2),"",OFFSET(TH!E$1,SMALL(Dong2,ROWS($1:93)),))</f>
        <v/>
      </c>
      <c r="D104" s="446" t="str">
        <f ca="1">IF(ROWS($1:93)&gt;COUNT(Dong2),"",OFFSET(TH!F$1,SMALL(Dong2,ROWS($1:93)),))</f>
        <v/>
      </c>
      <c r="E104" s="445" t="str">
        <f ca="1">IF(ROWS($1:93)&gt;COUNT(Dong2),"",IF(OFFSET(TH!M$1,SMALL(Dong2,ROWS($1:93)),)=$I$6,OFFSET(TH!L$1,SMALL(Dong2,ROWS($1:93)),),OFFSET(TH!M$1,SMALL(Dong2,ROWS($1:93)),)))</f>
        <v/>
      </c>
      <c r="F104" s="447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47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448">
        <f t="shared" ca="1" si="2"/>
        <v>0</v>
      </c>
      <c r="I104" s="449"/>
      <c r="J104" s="428"/>
      <c r="K104" s="428"/>
      <c r="L104" s="76"/>
      <c r="M104" s="428"/>
      <c r="N104" s="428"/>
      <c r="O104" s="428"/>
      <c r="P104" s="428"/>
      <c r="Q104" s="428"/>
      <c r="R104" s="428"/>
      <c r="S104" s="428"/>
      <c r="T104" s="428"/>
    </row>
    <row r="105" spans="1:20" ht="20.25" customHeight="1">
      <c r="A105" s="445" t="str">
        <f ca="1">IF(ROWS($1:94)&gt;COUNT(Dong2),"",OFFSET(TH!C$1,SMALL(Dong2,ROWS($1:94)),))</f>
        <v/>
      </c>
      <c r="B105" s="445" t="str">
        <f ca="1">IF(ROWS($1:94)&gt;COUNT(Dong2),"",OFFSET(TH!D$1,SMALL(Dong2,ROWS($1:94)),))</f>
        <v/>
      </c>
      <c r="C105" s="445" t="str">
        <f ca="1">IF(ROWS($1:94)&gt;COUNT(Dong2),"",OFFSET(TH!E$1,SMALL(Dong2,ROWS($1:94)),))</f>
        <v/>
      </c>
      <c r="D105" s="446" t="str">
        <f ca="1">IF(ROWS($1:94)&gt;COUNT(Dong2),"",OFFSET(TH!F$1,SMALL(Dong2,ROWS($1:94)),))</f>
        <v/>
      </c>
      <c r="E105" s="445" t="str">
        <f ca="1">IF(ROWS($1:94)&gt;COUNT(Dong2),"",IF(OFFSET(TH!M$1,SMALL(Dong2,ROWS($1:94)),)=$I$6,OFFSET(TH!L$1,SMALL(Dong2,ROWS($1:94)),),OFFSET(TH!M$1,SMALL(Dong2,ROWS($1:94)),)))</f>
        <v/>
      </c>
      <c r="F105" s="447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47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448">
        <f t="shared" ca="1" si="2"/>
        <v>0</v>
      </c>
      <c r="I105" s="449"/>
      <c r="J105" s="428"/>
      <c r="K105" s="428"/>
      <c r="L105" s="76"/>
      <c r="M105" s="428"/>
      <c r="N105" s="428"/>
      <c r="O105" s="428"/>
      <c r="P105" s="428"/>
      <c r="Q105" s="428"/>
      <c r="R105" s="428"/>
      <c r="S105" s="428"/>
      <c r="T105" s="428"/>
    </row>
    <row r="106" spans="1:20" ht="20.25" customHeight="1">
      <c r="A106" s="445" t="str">
        <f ca="1">IF(ROWS($1:95)&gt;COUNT(Dong2),"",OFFSET(TH!C$1,SMALL(Dong2,ROWS($1:95)),))</f>
        <v/>
      </c>
      <c r="B106" s="445" t="str">
        <f ca="1">IF(ROWS($1:95)&gt;COUNT(Dong2),"",OFFSET(TH!D$1,SMALL(Dong2,ROWS($1:95)),))</f>
        <v/>
      </c>
      <c r="C106" s="445" t="str">
        <f ca="1">IF(ROWS($1:95)&gt;COUNT(Dong2),"",OFFSET(TH!E$1,SMALL(Dong2,ROWS($1:95)),))</f>
        <v/>
      </c>
      <c r="D106" s="446" t="str">
        <f ca="1">IF(ROWS($1:95)&gt;COUNT(Dong2),"",OFFSET(TH!F$1,SMALL(Dong2,ROWS($1:95)),))</f>
        <v/>
      </c>
      <c r="E106" s="445" t="str">
        <f ca="1">IF(ROWS($1:95)&gt;COUNT(Dong2),"",IF(OFFSET(TH!M$1,SMALL(Dong2,ROWS($1:95)),)=$I$6,OFFSET(TH!L$1,SMALL(Dong2,ROWS($1:95)),),OFFSET(TH!M$1,SMALL(Dong2,ROWS($1:95)),)))</f>
        <v/>
      </c>
      <c r="F106" s="447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47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448">
        <f t="shared" ca="1" si="2"/>
        <v>0</v>
      </c>
      <c r="I106" s="449"/>
      <c r="J106" s="428"/>
      <c r="K106" s="428"/>
      <c r="L106" s="76"/>
      <c r="M106" s="428"/>
      <c r="N106" s="428"/>
      <c r="O106" s="428"/>
      <c r="P106" s="428"/>
      <c r="Q106" s="428"/>
      <c r="R106" s="428"/>
      <c r="S106" s="428"/>
      <c r="T106" s="428"/>
    </row>
    <row r="107" spans="1:20" ht="20.25" customHeight="1">
      <c r="A107" s="445" t="str">
        <f ca="1">IF(ROWS($1:96)&gt;COUNT(Dong2),"",OFFSET(TH!C$1,SMALL(Dong2,ROWS($1:96)),))</f>
        <v/>
      </c>
      <c r="B107" s="445" t="str">
        <f ca="1">IF(ROWS($1:96)&gt;COUNT(Dong2),"",OFFSET(TH!D$1,SMALL(Dong2,ROWS($1:96)),))</f>
        <v/>
      </c>
      <c r="C107" s="445" t="str">
        <f ca="1">IF(ROWS($1:96)&gt;COUNT(Dong2),"",OFFSET(TH!E$1,SMALL(Dong2,ROWS($1:96)),))</f>
        <v/>
      </c>
      <c r="D107" s="446" t="str">
        <f ca="1">IF(ROWS($1:96)&gt;COUNT(Dong2),"",OFFSET(TH!F$1,SMALL(Dong2,ROWS($1:96)),))</f>
        <v/>
      </c>
      <c r="E107" s="445" t="str">
        <f ca="1">IF(ROWS($1:96)&gt;COUNT(Dong2),"",IF(OFFSET(TH!M$1,SMALL(Dong2,ROWS($1:96)),)=$I$6,OFFSET(TH!L$1,SMALL(Dong2,ROWS($1:96)),),OFFSET(TH!M$1,SMALL(Dong2,ROWS($1:96)),)))</f>
        <v/>
      </c>
      <c r="F107" s="447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47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448">
        <f t="shared" ca="1" si="2"/>
        <v>0</v>
      </c>
      <c r="I107" s="449"/>
      <c r="J107" s="428"/>
      <c r="K107" s="428"/>
      <c r="L107" s="76"/>
      <c r="M107" s="428"/>
      <c r="N107" s="428"/>
      <c r="O107" s="428"/>
      <c r="P107" s="428"/>
      <c r="Q107" s="428"/>
      <c r="R107" s="428"/>
      <c r="S107" s="428"/>
      <c r="T107" s="428"/>
    </row>
    <row r="108" spans="1:20" ht="20.25" customHeight="1">
      <c r="A108" s="445" t="str">
        <f ca="1">IF(ROWS($1:97)&gt;COUNT(Dong2),"",OFFSET(TH!C$1,SMALL(Dong2,ROWS($1:97)),))</f>
        <v/>
      </c>
      <c r="B108" s="445" t="str">
        <f ca="1">IF(ROWS($1:97)&gt;COUNT(Dong2),"",OFFSET(TH!D$1,SMALL(Dong2,ROWS($1:97)),))</f>
        <v/>
      </c>
      <c r="C108" s="445" t="str">
        <f ca="1">IF(ROWS($1:97)&gt;COUNT(Dong2),"",OFFSET(TH!E$1,SMALL(Dong2,ROWS($1:97)),))</f>
        <v/>
      </c>
      <c r="D108" s="446" t="str">
        <f ca="1">IF(ROWS($1:97)&gt;COUNT(Dong2),"",OFFSET(TH!F$1,SMALL(Dong2,ROWS($1:97)),))</f>
        <v/>
      </c>
      <c r="E108" s="445" t="str">
        <f ca="1">IF(ROWS($1:97)&gt;COUNT(Dong2),"",IF(OFFSET(TH!M$1,SMALL(Dong2,ROWS($1:97)),)=$I$6,OFFSET(TH!L$1,SMALL(Dong2,ROWS($1:97)),),OFFSET(TH!M$1,SMALL(Dong2,ROWS($1:97)),)))</f>
        <v/>
      </c>
      <c r="F108" s="447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47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448">
        <f t="shared" ca="1" si="2"/>
        <v>0</v>
      </c>
      <c r="I108" s="449"/>
      <c r="J108" s="428"/>
      <c r="K108" s="428"/>
      <c r="L108" s="76"/>
      <c r="M108" s="428"/>
      <c r="N108" s="428"/>
      <c r="O108" s="428"/>
      <c r="P108" s="428"/>
      <c r="Q108" s="428"/>
      <c r="R108" s="428"/>
      <c r="S108" s="428"/>
      <c r="T108" s="428"/>
    </row>
    <row r="109" spans="1:20" ht="20.25" customHeight="1">
      <c r="A109" s="445" t="str">
        <f ca="1">IF(ROWS($1:98)&gt;COUNT(Dong2),"",OFFSET(TH!C$1,SMALL(Dong2,ROWS($1:98)),))</f>
        <v/>
      </c>
      <c r="B109" s="445" t="str">
        <f ca="1">IF(ROWS($1:98)&gt;COUNT(Dong2),"",OFFSET(TH!D$1,SMALL(Dong2,ROWS($1:98)),))</f>
        <v/>
      </c>
      <c r="C109" s="445" t="str">
        <f ca="1">IF(ROWS($1:98)&gt;COUNT(Dong2),"",OFFSET(TH!E$1,SMALL(Dong2,ROWS($1:98)),))</f>
        <v/>
      </c>
      <c r="D109" s="446" t="str">
        <f ca="1">IF(ROWS($1:98)&gt;COUNT(Dong2),"",OFFSET(TH!F$1,SMALL(Dong2,ROWS($1:98)),))</f>
        <v/>
      </c>
      <c r="E109" s="445" t="str">
        <f ca="1">IF(ROWS($1:98)&gt;COUNT(Dong2),"",IF(OFFSET(TH!M$1,SMALL(Dong2,ROWS($1:98)),)=$I$6,OFFSET(TH!L$1,SMALL(Dong2,ROWS($1:98)),),OFFSET(TH!M$1,SMALL(Dong2,ROWS($1:98)),)))</f>
        <v/>
      </c>
      <c r="F109" s="447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47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448">
        <f t="shared" ca="1" si="2"/>
        <v>0</v>
      </c>
      <c r="I109" s="449"/>
      <c r="J109" s="428"/>
      <c r="K109" s="428"/>
      <c r="L109" s="76"/>
      <c r="M109" s="428"/>
      <c r="N109" s="428"/>
      <c r="O109" s="428"/>
      <c r="P109" s="428"/>
      <c r="Q109" s="428"/>
      <c r="R109" s="428"/>
      <c r="S109" s="428"/>
      <c r="T109" s="428"/>
    </row>
    <row r="110" spans="1:20" ht="20.25" customHeight="1">
      <c r="A110" s="445" t="str">
        <f ca="1">IF(ROWS($1:99)&gt;COUNT(Dong2),"",OFFSET(TH!C$1,SMALL(Dong2,ROWS($1:99)),))</f>
        <v/>
      </c>
      <c r="B110" s="445" t="str">
        <f ca="1">IF(ROWS($1:99)&gt;COUNT(Dong2),"",OFFSET(TH!D$1,SMALL(Dong2,ROWS($1:99)),))</f>
        <v/>
      </c>
      <c r="C110" s="445" t="str">
        <f ca="1">IF(ROWS($1:99)&gt;COUNT(Dong2),"",OFFSET(TH!E$1,SMALL(Dong2,ROWS($1:99)),))</f>
        <v/>
      </c>
      <c r="D110" s="446" t="str">
        <f ca="1">IF(ROWS($1:99)&gt;COUNT(Dong2),"",OFFSET(TH!F$1,SMALL(Dong2,ROWS($1:99)),))</f>
        <v/>
      </c>
      <c r="E110" s="445" t="str">
        <f ca="1">IF(ROWS($1:99)&gt;COUNT(Dong2),"",IF(OFFSET(TH!M$1,SMALL(Dong2,ROWS($1:99)),)=$I$6,OFFSET(TH!L$1,SMALL(Dong2,ROWS($1:99)),),OFFSET(TH!M$1,SMALL(Dong2,ROWS($1:99)),)))</f>
        <v/>
      </c>
      <c r="F110" s="447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47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448">
        <f t="shared" ca="1" si="2"/>
        <v>0</v>
      </c>
      <c r="I110" s="449"/>
      <c r="J110" s="428"/>
      <c r="K110" s="428"/>
      <c r="L110" s="76"/>
      <c r="M110" s="428"/>
      <c r="N110" s="428"/>
      <c r="O110" s="428"/>
      <c r="P110" s="428"/>
      <c r="Q110" s="428"/>
      <c r="R110" s="428"/>
      <c r="S110" s="428"/>
      <c r="T110" s="428"/>
    </row>
    <row r="111" spans="1:20" ht="20.25" customHeight="1">
      <c r="A111" s="445" t="str">
        <f ca="1">IF(ROWS($1:100)&gt;COUNT(Dong2),"",OFFSET(TH!C$1,SMALL(Dong2,ROWS($1:100)),))</f>
        <v/>
      </c>
      <c r="B111" s="445" t="str">
        <f ca="1">IF(ROWS($1:100)&gt;COUNT(Dong2),"",OFFSET(TH!D$1,SMALL(Dong2,ROWS($1:100)),))</f>
        <v/>
      </c>
      <c r="C111" s="445" t="str">
        <f ca="1">IF(ROWS($1:100)&gt;COUNT(Dong2),"",OFFSET(TH!E$1,SMALL(Dong2,ROWS($1:100)),))</f>
        <v/>
      </c>
      <c r="D111" s="446" t="str">
        <f ca="1">IF(ROWS($1:100)&gt;COUNT(Dong2),"",OFFSET(TH!F$1,SMALL(Dong2,ROWS($1:100)),))</f>
        <v/>
      </c>
      <c r="E111" s="445" t="str">
        <f ca="1">IF(ROWS($1:100)&gt;COUNT(Dong2),"",IF(OFFSET(TH!M$1,SMALL(Dong2,ROWS($1:100)),)=$I$6,OFFSET(TH!L$1,SMALL(Dong2,ROWS($1:100)),),OFFSET(TH!M$1,SMALL(Dong2,ROWS($1:100)),)))</f>
        <v/>
      </c>
      <c r="F111" s="447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47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448">
        <f t="shared" ca="1" si="2"/>
        <v>0</v>
      </c>
      <c r="I111" s="449"/>
      <c r="J111" s="428"/>
      <c r="K111" s="428"/>
      <c r="L111" s="76"/>
      <c r="M111" s="428"/>
      <c r="N111" s="428"/>
      <c r="O111" s="428"/>
      <c r="P111" s="428"/>
      <c r="Q111" s="428"/>
      <c r="R111" s="428"/>
      <c r="S111" s="428"/>
      <c r="T111" s="428"/>
    </row>
    <row r="112" spans="1:20" ht="20.25" customHeight="1">
      <c r="A112" s="445" t="str">
        <f ca="1">IF(ROWS($1:101)&gt;COUNT(Dong2),"",OFFSET(TH!C$1,SMALL(Dong2,ROWS($1:101)),))</f>
        <v/>
      </c>
      <c r="B112" s="445" t="str">
        <f ca="1">IF(ROWS($1:101)&gt;COUNT(Dong2),"",OFFSET(TH!D$1,SMALL(Dong2,ROWS($1:101)),))</f>
        <v/>
      </c>
      <c r="C112" s="445" t="str">
        <f ca="1">IF(ROWS($1:101)&gt;COUNT(Dong2),"",OFFSET(TH!E$1,SMALL(Dong2,ROWS($1:101)),))</f>
        <v/>
      </c>
      <c r="D112" s="446" t="str">
        <f ca="1">IF(ROWS($1:101)&gt;COUNT(Dong2),"",OFFSET(TH!F$1,SMALL(Dong2,ROWS($1:101)),))</f>
        <v/>
      </c>
      <c r="E112" s="445" t="str">
        <f ca="1">IF(ROWS($1:101)&gt;COUNT(Dong2),"",IF(OFFSET(TH!M$1,SMALL(Dong2,ROWS($1:101)),)=$I$6,OFFSET(TH!L$1,SMALL(Dong2,ROWS($1:101)),),OFFSET(TH!M$1,SMALL(Dong2,ROWS($1:101)),)))</f>
        <v/>
      </c>
      <c r="F112" s="447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47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448">
        <f t="shared" ca="1" si="2"/>
        <v>0</v>
      </c>
      <c r="I112" s="449"/>
      <c r="J112" s="428"/>
      <c r="K112" s="428"/>
      <c r="L112" s="76"/>
      <c r="M112" s="428"/>
      <c r="N112" s="428"/>
      <c r="O112" s="428"/>
      <c r="P112" s="428"/>
      <c r="Q112" s="428"/>
      <c r="R112" s="428"/>
      <c r="S112" s="428"/>
      <c r="T112" s="428"/>
    </row>
    <row r="113" spans="1:20" ht="20.25" customHeight="1">
      <c r="A113" s="445" t="str">
        <f ca="1">IF(ROWS($1:102)&gt;COUNT(Dong2),"",OFFSET(TH!C$1,SMALL(Dong2,ROWS($1:102)),))</f>
        <v/>
      </c>
      <c r="B113" s="445" t="str">
        <f ca="1">IF(ROWS($1:102)&gt;COUNT(Dong2),"",OFFSET(TH!D$1,SMALL(Dong2,ROWS($1:102)),))</f>
        <v/>
      </c>
      <c r="C113" s="445" t="str">
        <f ca="1">IF(ROWS($1:102)&gt;COUNT(Dong2),"",OFFSET(TH!E$1,SMALL(Dong2,ROWS($1:102)),))</f>
        <v/>
      </c>
      <c r="D113" s="446" t="str">
        <f ca="1">IF(ROWS($1:102)&gt;COUNT(Dong2),"",OFFSET(TH!F$1,SMALL(Dong2,ROWS($1:102)),))</f>
        <v/>
      </c>
      <c r="E113" s="445" t="str">
        <f ca="1">IF(ROWS($1:102)&gt;COUNT(Dong2),"",IF(OFFSET(TH!M$1,SMALL(Dong2,ROWS($1:102)),)=$I$6,OFFSET(TH!L$1,SMALL(Dong2,ROWS($1:102)),),OFFSET(TH!M$1,SMALL(Dong2,ROWS($1:102)),)))</f>
        <v/>
      </c>
      <c r="F113" s="447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47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448">
        <f t="shared" ca="1" si="2"/>
        <v>0</v>
      </c>
      <c r="I113" s="449"/>
      <c r="J113" s="428"/>
      <c r="K113" s="428"/>
      <c r="L113" s="76"/>
      <c r="M113" s="428"/>
      <c r="N113" s="428"/>
      <c r="O113" s="428"/>
      <c r="P113" s="428"/>
      <c r="Q113" s="428"/>
      <c r="R113" s="428"/>
      <c r="S113" s="428"/>
      <c r="T113" s="428"/>
    </row>
    <row r="114" spans="1:20" ht="20.25" customHeight="1">
      <c r="A114" s="445" t="str">
        <f ca="1">IF(ROWS($1:103)&gt;COUNT(Dong2),"",OFFSET(TH!C$1,SMALL(Dong2,ROWS($1:103)),))</f>
        <v/>
      </c>
      <c r="B114" s="445" t="str">
        <f ca="1">IF(ROWS($1:103)&gt;COUNT(Dong2),"",OFFSET(TH!D$1,SMALL(Dong2,ROWS($1:103)),))</f>
        <v/>
      </c>
      <c r="C114" s="445" t="str">
        <f ca="1">IF(ROWS($1:103)&gt;COUNT(Dong2),"",OFFSET(TH!E$1,SMALL(Dong2,ROWS($1:103)),))</f>
        <v/>
      </c>
      <c r="D114" s="446" t="str">
        <f ca="1">IF(ROWS($1:103)&gt;COUNT(Dong2),"",OFFSET(TH!F$1,SMALL(Dong2,ROWS($1:103)),))</f>
        <v/>
      </c>
      <c r="E114" s="445" t="str">
        <f ca="1">IF(ROWS($1:103)&gt;COUNT(Dong2),"",IF(OFFSET(TH!M$1,SMALL(Dong2,ROWS($1:103)),)=$I$6,OFFSET(TH!L$1,SMALL(Dong2,ROWS($1:103)),),OFFSET(TH!M$1,SMALL(Dong2,ROWS($1:103)),)))</f>
        <v/>
      </c>
      <c r="F114" s="447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47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448">
        <f t="shared" ca="1" si="2"/>
        <v>0</v>
      </c>
      <c r="I114" s="449"/>
      <c r="J114" s="428"/>
      <c r="K114" s="428"/>
      <c r="L114" s="76"/>
      <c r="M114" s="428"/>
      <c r="N114" s="428"/>
      <c r="O114" s="428"/>
      <c r="P114" s="428"/>
      <c r="Q114" s="428"/>
      <c r="R114" s="428"/>
      <c r="S114" s="428"/>
      <c r="T114" s="428"/>
    </row>
    <row r="115" spans="1:20" ht="20.25" customHeight="1">
      <c r="A115" s="445" t="str">
        <f ca="1">IF(ROWS($1:104)&gt;COUNT(Dong2),"",OFFSET(TH!C$1,SMALL(Dong2,ROWS($1:104)),))</f>
        <v/>
      </c>
      <c r="B115" s="445" t="str">
        <f ca="1">IF(ROWS($1:104)&gt;COUNT(Dong2),"",OFFSET(TH!D$1,SMALL(Dong2,ROWS($1:104)),))</f>
        <v/>
      </c>
      <c r="C115" s="445" t="str">
        <f ca="1">IF(ROWS($1:104)&gt;COUNT(Dong2),"",OFFSET(TH!E$1,SMALL(Dong2,ROWS($1:104)),))</f>
        <v/>
      </c>
      <c r="D115" s="446" t="str">
        <f ca="1">IF(ROWS($1:104)&gt;COUNT(Dong2),"",OFFSET(TH!F$1,SMALL(Dong2,ROWS($1:104)),))</f>
        <v/>
      </c>
      <c r="E115" s="445" t="str">
        <f ca="1">IF(ROWS($1:104)&gt;COUNT(Dong2),"",IF(OFFSET(TH!M$1,SMALL(Dong2,ROWS($1:104)),)=$I$6,OFFSET(TH!L$1,SMALL(Dong2,ROWS($1:104)),),OFFSET(TH!M$1,SMALL(Dong2,ROWS($1:104)),)))</f>
        <v/>
      </c>
      <c r="F115" s="447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47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448">
        <f t="shared" ca="1" si="2"/>
        <v>0</v>
      </c>
      <c r="I115" s="449"/>
      <c r="J115" s="428"/>
      <c r="K115" s="428"/>
      <c r="L115" s="76"/>
      <c r="M115" s="428"/>
      <c r="N115" s="428"/>
      <c r="O115" s="428"/>
      <c r="P115" s="428"/>
      <c r="Q115" s="428"/>
      <c r="R115" s="428"/>
      <c r="S115" s="428"/>
      <c r="T115" s="428"/>
    </row>
    <row r="116" spans="1:20" ht="20.25" customHeight="1">
      <c r="A116" s="445" t="str">
        <f ca="1">IF(ROWS($1:105)&gt;COUNT(Dong2),"",OFFSET(TH!C$1,SMALL(Dong2,ROWS($1:105)),))</f>
        <v/>
      </c>
      <c r="B116" s="445" t="str">
        <f ca="1">IF(ROWS($1:105)&gt;COUNT(Dong2),"",OFFSET(TH!D$1,SMALL(Dong2,ROWS($1:105)),))</f>
        <v/>
      </c>
      <c r="C116" s="445" t="str">
        <f ca="1">IF(ROWS($1:105)&gt;COUNT(Dong2),"",OFFSET(TH!E$1,SMALL(Dong2,ROWS($1:105)),))</f>
        <v/>
      </c>
      <c r="D116" s="446" t="str">
        <f ca="1">IF(ROWS($1:105)&gt;COUNT(Dong2),"",OFFSET(TH!F$1,SMALL(Dong2,ROWS($1:105)),))</f>
        <v/>
      </c>
      <c r="E116" s="445" t="str">
        <f ca="1">IF(ROWS($1:105)&gt;COUNT(Dong2),"",IF(OFFSET(TH!M$1,SMALL(Dong2,ROWS($1:105)),)=$I$6,OFFSET(TH!L$1,SMALL(Dong2,ROWS($1:105)),),OFFSET(TH!M$1,SMALL(Dong2,ROWS($1:105)),)))</f>
        <v/>
      </c>
      <c r="F116" s="447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47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448">
        <f t="shared" ca="1" si="2"/>
        <v>0</v>
      </c>
      <c r="I116" s="449"/>
      <c r="J116" s="428"/>
      <c r="K116" s="428"/>
      <c r="L116" s="76"/>
      <c r="M116" s="428"/>
      <c r="N116" s="428"/>
      <c r="O116" s="428"/>
      <c r="P116" s="428"/>
      <c r="Q116" s="428"/>
      <c r="R116" s="428"/>
      <c r="S116" s="428"/>
      <c r="T116" s="428"/>
    </row>
    <row r="117" spans="1:20" ht="20.25" customHeight="1">
      <c r="A117" s="445" t="str">
        <f ca="1">IF(ROWS($1:106)&gt;COUNT(Dong2),"",OFFSET(TH!C$1,SMALL(Dong2,ROWS($1:106)),))</f>
        <v/>
      </c>
      <c r="B117" s="445" t="str">
        <f ca="1">IF(ROWS($1:106)&gt;COUNT(Dong2),"",OFFSET(TH!D$1,SMALL(Dong2,ROWS($1:106)),))</f>
        <v/>
      </c>
      <c r="C117" s="445" t="str">
        <f ca="1">IF(ROWS($1:106)&gt;COUNT(Dong2),"",OFFSET(TH!E$1,SMALL(Dong2,ROWS($1:106)),))</f>
        <v/>
      </c>
      <c r="D117" s="446" t="str">
        <f ca="1">IF(ROWS($1:106)&gt;COUNT(Dong2),"",OFFSET(TH!F$1,SMALL(Dong2,ROWS($1:106)),))</f>
        <v/>
      </c>
      <c r="E117" s="445" t="str">
        <f ca="1">IF(ROWS($1:106)&gt;COUNT(Dong2),"",IF(OFFSET(TH!M$1,SMALL(Dong2,ROWS($1:106)),)=$I$6,OFFSET(TH!L$1,SMALL(Dong2,ROWS($1:106)),),OFFSET(TH!M$1,SMALL(Dong2,ROWS($1:106)),)))</f>
        <v/>
      </c>
      <c r="F117" s="447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47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448">
        <f t="shared" ca="1" si="2"/>
        <v>0</v>
      </c>
      <c r="I117" s="449"/>
      <c r="J117" s="428"/>
      <c r="K117" s="428"/>
      <c r="L117" s="76"/>
      <c r="M117" s="428"/>
      <c r="N117" s="428"/>
      <c r="O117" s="428"/>
      <c r="P117" s="428"/>
      <c r="Q117" s="428"/>
      <c r="R117" s="428"/>
      <c r="S117" s="428"/>
      <c r="T117" s="428"/>
    </row>
    <row r="118" spans="1:20" ht="20.25" customHeight="1">
      <c r="A118" s="445" t="str">
        <f ca="1">IF(ROWS($1:107)&gt;COUNT(Dong2),"",OFFSET(TH!C$1,SMALL(Dong2,ROWS($1:107)),))</f>
        <v/>
      </c>
      <c r="B118" s="445" t="str">
        <f ca="1">IF(ROWS($1:107)&gt;COUNT(Dong2),"",OFFSET(TH!D$1,SMALL(Dong2,ROWS($1:107)),))</f>
        <v/>
      </c>
      <c r="C118" s="445" t="str">
        <f ca="1">IF(ROWS($1:107)&gt;COUNT(Dong2),"",OFFSET(TH!E$1,SMALL(Dong2,ROWS($1:107)),))</f>
        <v/>
      </c>
      <c r="D118" s="446" t="str">
        <f ca="1">IF(ROWS($1:107)&gt;COUNT(Dong2),"",OFFSET(TH!F$1,SMALL(Dong2,ROWS($1:107)),))</f>
        <v/>
      </c>
      <c r="E118" s="445" t="str">
        <f ca="1">IF(ROWS($1:107)&gt;COUNT(Dong2),"",IF(OFFSET(TH!M$1,SMALL(Dong2,ROWS($1:107)),)=$I$6,OFFSET(TH!L$1,SMALL(Dong2,ROWS($1:107)),),OFFSET(TH!M$1,SMALL(Dong2,ROWS($1:107)),)))</f>
        <v/>
      </c>
      <c r="F118" s="447" t="str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/>
      </c>
      <c r="G118" s="447" t="str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/>
      </c>
      <c r="H118" s="448">
        <f t="shared" ca="1" si="2"/>
        <v>0</v>
      </c>
      <c r="I118" s="449"/>
      <c r="J118" s="428"/>
      <c r="K118" s="428"/>
      <c r="L118" s="76"/>
      <c r="M118" s="428"/>
      <c r="N118" s="428"/>
      <c r="O118" s="428"/>
      <c r="P118" s="428"/>
      <c r="Q118" s="428"/>
      <c r="R118" s="428"/>
      <c r="S118" s="428"/>
      <c r="T118" s="428"/>
    </row>
    <row r="119" spans="1:20" ht="20.25" customHeight="1">
      <c r="A119" s="445" t="str">
        <f ca="1">IF(ROWS($1:108)&gt;COUNT(Dong2),"",OFFSET(TH!C$1,SMALL(Dong2,ROWS($1:108)),))</f>
        <v/>
      </c>
      <c r="B119" s="445" t="str">
        <f ca="1">IF(ROWS($1:108)&gt;COUNT(Dong2),"",OFFSET(TH!D$1,SMALL(Dong2,ROWS($1:108)),))</f>
        <v/>
      </c>
      <c r="C119" s="445" t="str">
        <f ca="1">IF(ROWS($1:108)&gt;COUNT(Dong2),"",OFFSET(TH!E$1,SMALL(Dong2,ROWS($1:108)),))</f>
        <v/>
      </c>
      <c r="D119" s="446" t="str">
        <f ca="1">IF(ROWS($1:108)&gt;COUNT(Dong2),"",OFFSET(TH!F$1,SMALL(Dong2,ROWS($1:108)),))</f>
        <v/>
      </c>
      <c r="E119" s="445" t="str">
        <f ca="1">IF(ROWS($1:108)&gt;COUNT(Dong2),"",IF(OFFSET(TH!M$1,SMALL(Dong2,ROWS($1:108)),)=$I$6,OFFSET(TH!L$1,SMALL(Dong2,ROWS($1:108)),),OFFSET(TH!M$1,SMALL(Dong2,ROWS($1:108)),)))</f>
        <v/>
      </c>
      <c r="F119" s="447" t="str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/>
      </c>
      <c r="G119" s="447" t="str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/>
      </c>
      <c r="H119" s="448">
        <f t="shared" ca="1" si="2"/>
        <v>0</v>
      </c>
      <c r="I119" s="449"/>
      <c r="J119" s="428"/>
      <c r="K119" s="428"/>
      <c r="L119" s="76"/>
      <c r="M119" s="428"/>
      <c r="N119" s="428"/>
      <c r="O119" s="428"/>
      <c r="P119" s="428"/>
      <c r="Q119" s="428"/>
      <c r="R119" s="428"/>
      <c r="S119" s="428"/>
      <c r="T119" s="428"/>
    </row>
    <row r="120" spans="1:20" ht="20.25" customHeight="1">
      <c r="A120" s="445" t="str">
        <f ca="1">IF(ROWS($1:109)&gt;COUNT(Dong2),"",OFFSET(TH!C$1,SMALL(Dong2,ROWS($1:109)),))</f>
        <v/>
      </c>
      <c r="B120" s="445" t="str">
        <f ca="1">IF(ROWS($1:109)&gt;COUNT(Dong2),"",OFFSET(TH!D$1,SMALL(Dong2,ROWS($1:109)),))</f>
        <v/>
      </c>
      <c r="C120" s="445" t="str">
        <f ca="1">IF(ROWS($1:109)&gt;COUNT(Dong2),"",OFFSET(TH!E$1,SMALL(Dong2,ROWS($1:109)),))</f>
        <v/>
      </c>
      <c r="D120" s="446" t="str">
        <f ca="1">IF(ROWS($1:109)&gt;COUNT(Dong2),"",OFFSET(TH!F$1,SMALL(Dong2,ROWS($1:109)),))</f>
        <v/>
      </c>
      <c r="E120" s="445" t="str">
        <f ca="1">IF(ROWS($1:109)&gt;COUNT(Dong2),"",IF(OFFSET(TH!M$1,SMALL(Dong2,ROWS($1:109)),)=$I$6,OFFSET(TH!L$1,SMALL(Dong2,ROWS($1:109)),),OFFSET(TH!M$1,SMALL(Dong2,ROWS($1:109)),)))</f>
        <v/>
      </c>
      <c r="F120" s="447" t="str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/>
      </c>
      <c r="G120" s="447" t="str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/>
      </c>
      <c r="H120" s="448">
        <f t="shared" ca="1" si="2"/>
        <v>0</v>
      </c>
      <c r="I120" s="449"/>
      <c r="J120" s="428"/>
      <c r="K120" s="428"/>
      <c r="L120" s="76"/>
      <c r="M120" s="428"/>
      <c r="N120" s="428"/>
      <c r="O120" s="428"/>
      <c r="P120" s="428"/>
      <c r="Q120" s="428"/>
      <c r="R120" s="428"/>
      <c r="S120" s="428"/>
      <c r="T120" s="428"/>
    </row>
    <row r="121" spans="1:20" ht="20.25" customHeight="1">
      <c r="A121" s="445" t="str">
        <f ca="1">IF(ROWS($1:110)&gt;COUNT(Dong2),"",OFFSET(TH!C$1,SMALL(Dong2,ROWS($1:110)),))</f>
        <v/>
      </c>
      <c r="B121" s="445" t="str">
        <f ca="1">IF(ROWS($1:110)&gt;COUNT(Dong2),"",OFFSET(TH!D$1,SMALL(Dong2,ROWS($1:110)),))</f>
        <v/>
      </c>
      <c r="C121" s="445" t="str">
        <f ca="1">IF(ROWS($1:110)&gt;COUNT(Dong2),"",OFFSET(TH!E$1,SMALL(Dong2,ROWS($1:110)),))</f>
        <v/>
      </c>
      <c r="D121" s="446" t="str">
        <f ca="1">IF(ROWS($1:110)&gt;COUNT(Dong2),"",OFFSET(TH!F$1,SMALL(Dong2,ROWS($1:110)),))</f>
        <v/>
      </c>
      <c r="E121" s="445" t="str">
        <f ca="1">IF(ROWS($1:110)&gt;COUNT(Dong2),"",IF(OFFSET(TH!M$1,SMALL(Dong2,ROWS($1:110)),)=$I$6,OFFSET(TH!L$1,SMALL(Dong2,ROWS($1:110)),),OFFSET(TH!M$1,SMALL(Dong2,ROWS($1:110)),)))</f>
        <v/>
      </c>
      <c r="F121" s="447" t="str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/>
      </c>
      <c r="G121" s="447" t="str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/>
      </c>
      <c r="H121" s="448">
        <f t="shared" ca="1" si="2"/>
        <v>0</v>
      </c>
      <c r="I121" s="449"/>
      <c r="J121" s="428"/>
      <c r="K121" s="428"/>
      <c r="L121" s="76"/>
      <c r="M121" s="428"/>
      <c r="N121" s="428"/>
      <c r="O121" s="428"/>
      <c r="P121" s="428"/>
      <c r="Q121" s="428"/>
      <c r="R121" s="428"/>
      <c r="S121" s="428"/>
      <c r="T121" s="428"/>
    </row>
    <row r="122" spans="1:20" ht="20.25" customHeight="1">
      <c r="A122" s="445" t="str">
        <f ca="1">IF(ROWS($1:111)&gt;COUNT(Dong2),"",OFFSET(TH!C$1,SMALL(Dong2,ROWS($1:111)),))</f>
        <v/>
      </c>
      <c r="B122" s="445" t="str">
        <f ca="1">IF(ROWS($1:111)&gt;COUNT(Dong2),"",OFFSET(TH!D$1,SMALL(Dong2,ROWS($1:111)),))</f>
        <v/>
      </c>
      <c r="C122" s="445" t="str">
        <f ca="1">IF(ROWS($1:111)&gt;COUNT(Dong2),"",OFFSET(TH!E$1,SMALL(Dong2,ROWS($1:111)),))</f>
        <v/>
      </c>
      <c r="D122" s="446" t="str">
        <f ca="1">IF(ROWS($1:111)&gt;COUNT(Dong2),"",OFFSET(TH!F$1,SMALL(Dong2,ROWS($1:111)),))</f>
        <v/>
      </c>
      <c r="E122" s="445" t="str">
        <f ca="1">IF(ROWS($1:111)&gt;COUNT(Dong2),"",IF(OFFSET(TH!M$1,SMALL(Dong2,ROWS($1:111)),)=$I$6,OFFSET(TH!L$1,SMALL(Dong2,ROWS($1:111)),),OFFSET(TH!M$1,SMALL(Dong2,ROWS($1:111)),)))</f>
        <v/>
      </c>
      <c r="F122" s="447" t="str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/>
      </c>
      <c r="G122" s="447" t="str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/>
      </c>
      <c r="H122" s="448">
        <f t="shared" ca="1" si="2"/>
        <v>0</v>
      </c>
      <c r="I122" s="449"/>
      <c r="J122" s="428"/>
      <c r="K122" s="428"/>
      <c r="L122" s="76"/>
      <c r="M122" s="428"/>
      <c r="N122" s="428"/>
      <c r="O122" s="428"/>
      <c r="P122" s="428"/>
      <c r="Q122" s="428"/>
      <c r="R122" s="428"/>
      <c r="S122" s="428"/>
      <c r="T122" s="428"/>
    </row>
    <row r="123" spans="1:20" ht="20.25" customHeight="1">
      <c r="A123" s="445" t="str">
        <f ca="1">IF(ROWS($1:112)&gt;COUNT(Dong2),"",OFFSET(TH!C$1,SMALL(Dong2,ROWS($1:112)),))</f>
        <v/>
      </c>
      <c r="B123" s="445" t="str">
        <f ca="1">IF(ROWS($1:112)&gt;COUNT(Dong2),"",OFFSET(TH!D$1,SMALL(Dong2,ROWS($1:112)),))</f>
        <v/>
      </c>
      <c r="C123" s="445" t="str">
        <f ca="1">IF(ROWS($1:112)&gt;COUNT(Dong2),"",OFFSET(TH!E$1,SMALL(Dong2,ROWS($1:112)),))</f>
        <v/>
      </c>
      <c r="D123" s="446" t="str">
        <f ca="1">IF(ROWS($1:112)&gt;COUNT(Dong2),"",OFFSET(TH!F$1,SMALL(Dong2,ROWS($1:112)),))</f>
        <v/>
      </c>
      <c r="E123" s="445" t="str">
        <f ca="1">IF(ROWS($1:112)&gt;COUNT(Dong2),"",IF(OFFSET(TH!M$1,SMALL(Dong2,ROWS($1:112)),)=$I$6,OFFSET(TH!L$1,SMALL(Dong2,ROWS($1:112)),),OFFSET(TH!M$1,SMALL(Dong2,ROWS($1:112)),)))</f>
        <v/>
      </c>
      <c r="F123" s="447" t="str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/>
      </c>
      <c r="G123" s="447" t="str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/>
      </c>
      <c r="H123" s="448">
        <f t="shared" ca="1" si="2"/>
        <v>0</v>
      </c>
      <c r="I123" s="449"/>
      <c r="J123" s="428"/>
      <c r="K123" s="428"/>
      <c r="L123" s="76"/>
      <c r="M123" s="428"/>
      <c r="N123" s="428"/>
      <c r="O123" s="428"/>
      <c r="P123" s="428"/>
      <c r="Q123" s="428"/>
      <c r="R123" s="428"/>
      <c r="S123" s="428"/>
      <c r="T123" s="428"/>
    </row>
    <row r="124" spans="1:20" ht="20.25" customHeight="1">
      <c r="A124" s="445" t="str">
        <f ca="1">IF(ROWS($1:113)&gt;COUNT(Dong2),"",OFFSET(TH!C$1,SMALL(Dong2,ROWS($1:113)),))</f>
        <v/>
      </c>
      <c r="B124" s="445" t="str">
        <f ca="1">IF(ROWS($1:113)&gt;COUNT(Dong2),"",OFFSET(TH!D$1,SMALL(Dong2,ROWS($1:113)),))</f>
        <v/>
      </c>
      <c r="C124" s="445" t="str">
        <f ca="1">IF(ROWS($1:113)&gt;COUNT(Dong2),"",OFFSET(TH!E$1,SMALL(Dong2,ROWS($1:113)),))</f>
        <v/>
      </c>
      <c r="D124" s="446" t="str">
        <f ca="1">IF(ROWS($1:113)&gt;COUNT(Dong2),"",OFFSET(TH!F$1,SMALL(Dong2,ROWS($1:113)),))</f>
        <v/>
      </c>
      <c r="E124" s="445" t="str">
        <f ca="1">IF(ROWS($1:113)&gt;COUNT(Dong2),"",IF(OFFSET(TH!M$1,SMALL(Dong2,ROWS($1:113)),)=$I$6,OFFSET(TH!L$1,SMALL(Dong2,ROWS($1:113)),),OFFSET(TH!M$1,SMALL(Dong2,ROWS($1:113)),)))</f>
        <v/>
      </c>
      <c r="F124" s="447" t="str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/>
      </c>
      <c r="G124" s="447" t="str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/>
      </c>
      <c r="H124" s="448">
        <f t="shared" ca="1" si="2"/>
        <v>0</v>
      </c>
      <c r="I124" s="449"/>
      <c r="J124" s="428"/>
      <c r="K124" s="428"/>
      <c r="L124" s="76"/>
      <c r="M124" s="428"/>
      <c r="N124" s="428"/>
      <c r="O124" s="428"/>
      <c r="P124" s="428"/>
      <c r="Q124" s="428"/>
      <c r="R124" s="428"/>
      <c r="S124" s="428"/>
      <c r="T124" s="428"/>
    </row>
    <row r="125" spans="1:20" ht="20.25" customHeight="1">
      <c r="A125" s="445" t="str">
        <f ca="1">IF(ROWS($1:114)&gt;COUNT(Dong2),"",OFFSET(TH!C$1,SMALL(Dong2,ROWS($1:114)),))</f>
        <v/>
      </c>
      <c r="B125" s="445" t="str">
        <f ca="1">IF(ROWS($1:114)&gt;COUNT(Dong2),"",OFFSET(TH!D$1,SMALL(Dong2,ROWS($1:114)),))</f>
        <v/>
      </c>
      <c r="C125" s="445" t="str">
        <f ca="1">IF(ROWS($1:114)&gt;COUNT(Dong2),"",OFFSET(TH!E$1,SMALL(Dong2,ROWS($1:114)),))</f>
        <v/>
      </c>
      <c r="D125" s="446" t="str">
        <f ca="1">IF(ROWS($1:114)&gt;COUNT(Dong2),"",OFFSET(TH!F$1,SMALL(Dong2,ROWS($1:114)),))</f>
        <v/>
      </c>
      <c r="E125" s="445" t="str">
        <f ca="1">IF(ROWS($1:114)&gt;COUNT(Dong2),"",IF(OFFSET(TH!M$1,SMALL(Dong2,ROWS($1:114)),)=$I$6,OFFSET(TH!L$1,SMALL(Dong2,ROWS($1:114)),),OFFSET(TH!M$1,SMALL(Dong2,ROWS($1:114)),)))</f>
        <v/>
      </c>
      <c r="F125" s="447" t="str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/>
      </c>
      <c r="G125" s="447" t="str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/>
      </c>
      <c r="H125" s="448">
        <f t="shared" ca="1" si="2"/>
        <v>0</v>
      </c>
      <c r="I125" s="449"/>
      <c r="J125" s="428"/>
      <c r="K125" s="428"/>
      <c r="L125" s="76"/>
      <c r="M125" s="428"/>
      <c r="N125" s="428"/>
      <c r="O125" s="428"/>
      <c r="P125" s="428"/>
      <c r="Q125" s="428"/>
      <c r="R125" s="428"/>
      <c r="S125" s="428"/>
      <c r="T125" s="428"/>
    </row>
    <row r="126" spans="1:20" ht="20.25" customHeight="1">
      <c r="A126" s="445" t="str">
        <f ca="1">IF(ROWS($1:115)&gt;COUNT(Dong2),"",OFFSET(TH!C$1,SMALL(Dong2,ROWS($1:115)),))</f>
        <v/>
      </c>
      <c r="B126" s="445" t="str">
        <f ca="1">IF(ROWS($1:115)&gt;COUNT(Dong2),"",OFFSET(TH!D$1,SMALL(Dong2,ROWS($1:115)),))</f>
        <v/>
      </c>
      <c r="C126" s="445" t="str">
        <f ca="1">IF(ROWS($1:115)&gt;COUNT(Dong2),"",OFFSET(TH!E$1,SMALL(Dong2,ROWS($1:115)),))</f>
        <v/>
      </c>
      <c r="D126" s="446" t="str">
        <f ca="1">IF(ROWS($1:115)&gt;COUNT(Dong2),"",OFFSET(TH!F$1,SMALL(Dong2,ROWS($1:115)),))</f>
        <v/>
      </c>
      <c r="E126" s="445" t="str">
        <f ca="1">IF(ROWS($1:115)&gt;COUNT(Dong2),"",IF(OFFSET(TH!M$1,SMALL(Dong2,ROWS($1:115)),)=$I$6,OFFSET(TH!L$1,SMALL(Dong2,ROWS($1:115)),),OFFSET(TH!M$1,SMALL(Dong2,ROWS($1:115)),)))</f>
        <v/>
      </c>
      <c r="F126" s="447" t="str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/>
      </c>
      <c r="G126" s="447" t="str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/>
      </c>
      <c r="H126" s="448">
        <f t="shared" ca="1" si="2"/>
        <v>0</v>
      </c>
      <c r="I126" s="449"/>
      <c r="J126" s="428"/>
      <c r="K126" s="428"/>
      <c r="L126" s="76"/>
      <c r="M126" s="428"/>
      <c r="N126" s="428"/>
      <c r="O126" s="428"/>
      <c r="P126" s="428"/>
      <c r="Q126" s="428"/>
      <c r="R126" s="428"/>
      <c r="S126" s="428"/>
      <c r="T126" s="428"/>
    </row>
    <row r="127" spans="1:20" ht="20.25" customHeight="1">
      <c r="A127" s="445" t="str">
        <f ca="1">IF(ROWS($1:116)&gt;COUNT(Dong2),"",OFFSET(TH!C$1,SMALL(Dong2,ROWS($1:116)),))</f>
        <v/>
      </c>
      <c r="B127" s="445" t="str">
        <f ca="1">IF(ROWS($1:116)&gt;COUNT(Dong2),"",OFFSET(TH!D$1,SMALL(Dong2,ROWS($1:116)),))</f>
        <v/>
      </c>
      <c r="C127" s="445" t="str">
        <f ca="1">IF(ROWS($1:116)&gt;COUNT(Dong2),"",OFFSET(TH!E$1,SMALL(Dong2,ROWS($1:116)),))</f>
        <v/>
      </c>
      <c r="D127" s="446" t="str">
        <f ca="1">IF(ROWS($1:116)&gt;COUNT(Dong2),"",OFFSET(TH!F$1,SMALL(Dong2,ROWS($1:116)),))</f>
        <v/>
      </c>
      <c r="E127" s="445" t="str">
        <f ca="1">IF(ROWS($1:116)&gt;COUNT(Dong2),"",IF(OFFSET(TH!M$1,SMALL(Dong2,ROWS($1:116)),)=$I$6,OFFSET(TH!L$1,SMALL(Dong2,ROWS($1:116)),),OFFSET(TH!M$1,SMALL(Dong2,ROWS($1:116)),)))</f>
        <v/>
      </c>
      <c r="F127" s="447" t="str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/>
      </c>
      <c r="G127" s="447" t="str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/>
      </c>
      <c r="H127" s="448">
        <f t="shared" ca="1" si="2"/>
        <v>0</v>
      </c>
      <c r="I127" s="449"/>
      <c r="J127" s="428"/>
      <c r="K127" s="428"/>
      <c r="L127" s="76"/>
      <c r="M127" s="428"/>
      <c r="N127" s="428"/>
      <c r="O127" s="428"/>
      <c r="P127" s="428"/>
      <c r="Q127" s="428"/>
      <c r="R127" s="428"/>
      <c r="S127" s="428"/>
      <c r="T127" s="428"/>
    </row>
    <row r="128" spans="1:20" ht="20.25" customHeight="1">
      <c r="A128" s="445" t="str">
        <f ca="1">IF(ROWS($1:117)&gt;COUNT(Dong2),"",OFFSET(TH!C$1,SMALL(Dong2,ROWS($1:117)),))</f>
        <v/>
      </c>
      <c r="B128" s="445" t="str">
        <f ca="1">IF(ROWS($1:117)&gt;COUNT(Dong2),"",OFFSET(TH!D$1,SMALL(Dong2,ROWS($1:117)),))</f>
        <v/>
      </c>
      <c r="C128" s="445" t="str">
        <f ca="1">IF(ROWS($1:117)&gt;COUNT(Dong2),"",OFFSET(TH!E$1,SMALL(Dong2,ROWS($1:117)),))</f>
        <v/>
      </c>
      <c r="D128" s="446" t="str">
        <f ca="1">IF(ROWS($1:117)&gt;COUNT(Dong2),"",OFFSET(TH!F$1,SMALL(Dong2,ROWS($1:117)),))</f>
        <v/>
      </c>
      <c r="E128" s="445" t="str">
        <f ca="1">IF(ROWS($1:117)&gt;COUNT(Dong2),"",IF(OFFSET(TH!M$1,SMALL(Dong2,ROWS($1:117)),)=$I$6,OFFSET(TH!L$1,SMALL(Dong2,ROWS($1:117)),),OFFSET(TH!M$1,SMALL(Dong2,ROWS($1:117)),)))</f>
        <v/>
      </c>
      <c r="F128" s="447" t="str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/>
      </c>
      <c r="G128" s="447" t="str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/>
      </c>
      <c r="H128" s="448">
        <f t="shared" ca="1" si="2"/>
        <v>0</v>
      </c>
      <c r="I128" s="449"/>
      <c r="J128" s="428"/>
      <c r="K128" s="428"/>
      <c r="L128" s="76"/>
      <c r="M128" s="428"/>
      <c r="N128" s="428"/>
      <c r="O128" s="428"/>
      <c r="P128" s="428"/>
      <c r="Q128" s="428"/>
      <c r="R128" s="428"/>
      <c r="S128" s="428"/>
      <c r="T128" s="428"/>
    </row>
    <row r="129" spans="1:20" ht="20.25" customHeight="1">
      <c r="A129" s="445" t="str">
        <f ca="1">IF(ROWS($1:118)&gt;COUNT(Dong2),"",OFFSET(TH!C$1,SMALL(Dong2,ROWS($1:118)),))</f>
        <v/>
      </c>
      <c r="B129" s="445" t="str">
        <f ca="1">IF(ROWS($1:118)&gt;COUNT(Dong2),"",OFFSET(TH!D$1,SMALL(Dong2,ROWS($1:118)),))</f>
        <v/>
      </c>
      <c r="C129" s="445" t="str">
        <f ca="1">IF(ROWS($1:118)&gt;COUNT(Dong2),"",OFFSET(TH!E$1,SMALL(Dong2,ROWS($1:118)),))</f>
        <v/>
      </c>
      <c r="D129" s="446" t="str">
        <f ca="1">IF(ROWS($1:118)&gt;COUNT(Dong2),"",OFFSET(TH!F$1,SMALL(Dong2,ROWS($1:118)),))</f>
        <v/>
      </c>
      <c r="E129" s="445" t="str">
        <f ca="1">IF(ROWS($1:118)&gt;COUNT(Dong2),"",IF(OFFSET(TH!M$1,SMALL(Dong2,ROWS($1:118)),)=$I$6,OFFSET(TH!L$1,SMALL(Dong2,ROWS($1:118)),),OFFSET(TH!M$1,SMALL(Dong2,ROWS($1:118)),)))</f>
        <v/>
      </c>
      <c r="F129" s="447" t="str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/>
      </c>
      <c r="G129" s="447" t="str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/>
      </c>
      <c r="H129" s="448">
        <f t="shared" ca="1" si="2"/>
        <v>0</v>
      </c>
      <c r="I129" s="449"/>
      <c r="J129" s="428"/>
      <c r="K129" s="428"/>
      <c r="L129" s="76"/>
      <c r="M129" s="428"/>
      <c r="N129" s="428"/>
      <c r="O129" s="428"/>
      <c r="P129" s="428"/>
      <c r="Q129" s="428"/>
      <c r="R129" s="428"/>
      <c r="S129" s="428"/>
      <c r="T129" s="428"/>
    </row>
    <row r="130" spans="1:20" ht="20.25" customHeight="1">
      <c r="A130" s="445" t="str">
        <f ca="1">IF(ROWS($1:119)&gt;COUNT(Dong2),"",OFFSET(TH!C$1,SMALL(Dong2,ROWS($1:119)),))</f>
        <v/>
      </c>
      <c r="B130" s="445" t="str">
        <f ca="1">IF(ROWS($1:119)&gt;COUNT(Dong2),"",OFFSET(TH!D$1,SMALL(Dong2,ROWS($1:119)),))</f>
        <v/>
      </c>
      <c r="C130" s="445" t="str">
        <f ca="1">IF(ROWS($1:119)&gt;COUNT(Dong2),"",OFFSET(TH!E$1,SMALL(Dong2,ROWS($1:119)),))</f>
        <v/>
      </c>
      <c r="D130" s="446" t="str">
        <f ca="1">IF(ROWS($1:119)&gt;COUNT(Dong2),"",OFFSET(TH!F$1,SMALL(Dong2,ROWS($1:119)),))</f>
        <v/>
      </c>
      <c r="E130" s="445" t="str">
        <f ca="1">IF(ROWS($1:119)&gt;COUNT(Dong2),"",IF(OFFSET(TH!M$1,SMALL(Dong2,ROWS($1:119)),)=$I$6,OFFSET(TH!L$1,SMALL(Dong2,ROWS($1:119)),),OFFSET(TH!M$1,SMALL(Dong2,ROWS($1:119)),)))</f>
        <v/>
      </c>
      <c r="F130" s="447" t="str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/>
      </c>
      <c r="G130" s="447" t="str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/>
      </c>
      <c r="H130" s="448">
        <f t="shared" ca="1" si="2"/>
        <v>0</v>
      </c>
      <c r="I130" s="449"/>
      <c r="J130" s="428"/>
      <c r="K130" s="428"/>
      <c r="L130" s="76"/>
      <c r="M130" s="428"/>
      <c r="N130" s="428"/>
      <c r="O130" s="428"/>
      <c r="P130" s="428"/>
      <c r="Q130" s="428"/>
      <c r="R130" s="428"/>
      <c r="S130" s="428"/>
      <c r="T130" s="428"/>
    </row>
    <row r="131" spans="1:20" ht="20.25" customHeight="1">
      <c r="A131" s="445" t="str">
        <f ca="1">IF(ROWS($1:120)&gt;COUNT(Dong2),"",OFFSET(TH!C$1,SMALL(Dong2,ROWS($1:120)),))</f>
        <v/>
      </c>
      <c r="B131" s="445" t="str">
        <f ca="1">IF(ROWS($1:120)&gt;COUNT(Dong2),"",OFFSET(TH!D$1,SMALL(Dong2,ROWS($1:120)),))</f>
        <v/>
      </c>
      <c r="C131" s="445" t="str">
        <f ca="1">IF(ROWS($1:120)&gt;COUNT(Dong2),"",OFFSET(TH!E$1,SMALL(Dong2,ROWS($1:120)),))</f>
        <v/>
      </c>
      <c r="D131" s="446" t="str">
        <f ca="1">IF(ROWS($1:120)&gt;COUNT(Dong2),"",OFFSET(TH!F$1,SMALL(Dong2,ROWS($1:120)),))</f>
        <v/>
      </c>
      <c r="E131" s="445" t="str">
        <f ca="1">IF(ROWS($1:120)&gt;COUNT(Dong2),"",IF(OFFSET(TH!M$1,SMALL(Dong2,ROWS($1:120)),)=$I$6,OFFSET(TH!L$1,SMALL(Dong2,ROWS($1:120)),),OFFSET(TH!M$1,SMALL(Dong2,ROWS($1:120)),)))</f>
        <v/>
      </c>
      <c r="F131" s="447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47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448">
        <f t="shared" ca="1" si="2"/>
        <v>0</v>
      </c>
      <c r="I131" s="449"/>
      <c r="J131" s="428"/>
      <c r="K131" s="428"/>
      <c r="L131" s="76"/>
      <c r="M131" s="428"/>
      <c r="N131" s="428"/>
      <c r="O131" s="428"/>
      <c r="P131" s="428"/>
      <c r="Q131" s="428"/>
      <c r="R131" s="428"/>
      <c r="S131" s="428"/>
      <c r="T131" s="428"/>
    </row>
    <row r="132" spans="1:20" ht="20.25" customHeight="1">
      <c r="A132" s="451"/>
      <c r="B132" s="452"/>
      <c r="C132" s="451"/>
      <c r="D132" s="442" t="s">
        <v>131</v>
      </c>
      <c r="E132" s="453"/>
      <c r="F132" s="443">
        <f ca="1">SUM(F12:F131)</f>
        <v>0</v>
      </c>
      <c r="G132" s="443">
        <f ca="1">SUM(G12:G131)</f>
        <v>0</v>
      </c>
      <c r="H132" s="443">
        <f ca="1">H11+F132-G132</f>
        <v>500127</v>
      </c>
      <c r="I132" s="454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</row>
    <row r="133" spans="1:20" ht="20.25" customHeight="1">
      <c r="A133" s="451"/>
      <c r="B133" s="452"/>
      <c r="C133" s="451"/>
      <c r="D133" s="442" t="s">
        <v>10</v>
      </c>
      <c r="E133" s="453"/>
      <c r="F133" s="455"/>
      <c r="G133" s="455"/>
      <c r="H133" s="443">
        <f ca="1">H132</f>
        <v>500127</v>
      </c>
      <c r="I133" s="453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</row>
    <row r="134" spans="1:20" ht="22.5" customHeight="1">
      <c r="A134" s="71" t="s">
        <v>133</v>
      </c>
      <c r="B134" s="456"/>
      <c r="C134" s="76"/>
      <c r="D134" s="76"/>
      <c r="E134" s="76"/>
      <c r="F134" s="457"/>
      <c r="G134" s="76"/>
      <c r="H134" s="124"/>
      <c r="I134" s="84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</row>
    <row r="135" spans="1:20" ht="15">
      <c r="A135" s="423" t="e">
        <f ca="1">"- Ngày mở sổ: "&amp;DAY($A$12)&amp;"/"&amp;MONTH($A$12)&amp;"/ " &amp;YEAR($A$12)</f>
        <v>#VALUE!</v>
      </c>
      <c r="B135" s="226"/>
      <c r="C135" s="76"/>
      <c r="D135" s="76"/>
      <c r="E135" s="76"/>
      <c r="F135" s="457"/>
      <c r="G135" s="76"/>
      <c r="H135" s="124"/>
      <c r="I135" s="84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</row>
    <row r="136" spans="1:20" ht="15">
      <c r="A136" s="81"/>
      <c r="B136" s="77"/>
      <c r="C136" s="458"/>
      <c r="D136" s="76"/>
      <c r="E136" s="76"/>
      <c r="F136" s="457"/>
      <c r="G136" s="73" t="e">
        <f ca="1">"Ngày "&amp;IF(OR($K$9=4,$K$9=6,$K$9=9,$K$9=11),"30",IF($K$9=2,"28","31"))&amp;"  tháng  "&amp;$O$8&amp;"  năm   "&amp;YEAR($A$12)</f>
        <v>#VALUE!</v>
      </c>
      <c r="H136" s="124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</row>
    <row r="137" spans="1:20" ht="17.25" customHeight="1">
      <c r="A137" s="76"/>
      <c r="B137" s="459" t="s">
        <v>11</v>
      </c>
      <c r="C137" s="76"/>
      <c r="D137" s="459" t="s">
        <v>12</v>
      </c>
      <c r="E137" s="76"/>
      <c r="F137" s="460"/>
      <c r="G137" s="461" t="s">
        <v>107</v>
      </c>
      <c r="H137" s="462"/>
      <c r="I137" s="463"/>
      <c r="J137" s="464"/>
      <c r="K137" s="81"/>
      <c r="L137" s="81"/>
      <c r="M137" s="76"/>
      <c r="N137" s="76"/>
      <c r="O137" s="76"/>
      <c r="P137" s="76"/>
      <c r="Q137" s="76"/>
      <c r="R137" s="76"/>
      <c r="S137" s="76"/>
      <c r="T137" s="76"/>
    </row>
    <row r="138" spans="1:20" ht="15">
      <c r="A138" s="76"/>
      <c r="B138" s="465" t="s">
        <v>13</v>
      </c>
      <c r="C138" s="76"/>
      <c r="D138" s="465" t="s">
        <v>13</v>
      </c>
      <c r="E138" s="76"/>
      <c r="F138" s="466"/>
      <c r="G138" s="226" t="s">
        <v>134</v>
      </c>
      <c r="H138" s="124"/>
      <c r="I138" s="76"/>
      <c r="J138" s="76"/>
      <c r="K138" s="467"/>
      <c r="L138" s="467"/>
      <c r="M138" s="76"/>
      <c r="N138" s="76"/>
      <c r="O138" s="76"/>
      <c r="P138" s="76"/>
      <c r="Q138" s="76"/>
      <c r="R138" s="76"/>
      <c r="S138" s="76"/>
      <c r="T138" s="76"/>
    </row>
    <row r="139" spans="1:20" ht="15">
      <c r="A139" s="78"/>
      <c r="B139" s="226"/>
      <c r="C139" s="78"/>
      <c r="D139" s="76"/>
      <c r="E139" s="76"/>
      <c r="F139" s="76"/>
      <c r="G139" s="76"/>
      <c r="H139" s="124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</row>
  </sheetData>
  <autoFilter ref="A10:K135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  <mergeCell ref="A2:E3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showZeros="0" tabSelected="1" topLeftCell="A4" zoomScale="90" zoomScaleNormal="90" workbookViewId="0">
      <pane ySplit="2" topLeftCell="A6" activePane="bottomLeft" state="frozen"/>
      <selection activeCell="A4" sqref="A4"/>
      <selection pane="bottomLeft" activeCell="G11" activeCellId="1" sqref="G28 G11"/>
    </sheetView>
  </sheetViews>
  <sheetFormatPr defaultColWidth="8" defaultRowHeight="16.5"/>
  <cols>
    <col min="1" max="1" width="5.5703125" style="468" customWidth="1"/>
    <col min="2" max="2" width="46.85546875" style="468" customWidth="1"/>
    <col min="3" max="3" width="14.5703125" style="468" customWidth="1"/>
    <col min="4" max="4" width="8.140625" style="468" customWidth="1"/>
    <col min="5" max="6" width="14.28515625" style="468" customWidth="1"/>
    <col min="7" max="7" width="13.7109375" style="468" customWidth="1"/>
    <col min="8" max="8" width="14" style="468" customWidth="1"/>
    <col min="9" max="16384" width="8" style="468"/>
  </cols>
  <sheetData>
    <row r="1" spans="1:9">
      <c r="A1" s="122" t="str">
        <f>TH!$A$1</f>
        <v>Đơn vị: CÔNG TY TNHH MỘT THÀNH VIÊN KHỞI NGUYÊN AN</v>
      </c>
    </row>
    <row r="2" spans="1:9">
      <c r="A2" s="12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908" t="s">
        <v>240</v>
      </c>
      <c r="B3" s="908"/>
      <c r="C3" s="908"/>
      <c r="D3" s="908"/>
      <c r="E3" s="908"/>
      <c r="F3" s="908"/>
      <c r="G3" s="908"/>
      <c r="H3" s="908"/>
    </row>
    <row r="4" spans="1:9" s="469" customFormat="1" ht="21" customHeight="1">
      <c r="A4" s="909" t="s">
        <v>33</v>
      </c>
      <c r="B4" s="911" t="s">
        <v>34</v>
      </c>
      <c r="C4" s="913" t="s">
        <v>35</v>
      </c>
      <c r="D4" s="914"/>
      <c r="E4" s="913" t="s">
        <v>36</v>
      </c>
      <c r="F4" s="914"/>
      <c r="G4" s="913" t="s">
        <v>39</v>
      </c>
      <c r="H4" s="914"/>
    </row>
    <row r="5" spans="1:9" s="469" customFormat="1" ht="21" customHeight="1">
      <c r="A5" s="910"/>
      <c r="B5" s="912"/>
      <c r="C5" s="470" t="s">
        <v>40</v>
      </c>
      <c r="D5" s="470" t="s">
        <v>41</v>
      </c>
      <c r="E5" s="470" t="s">
        <v>40</v>
      </c>
      <c r="F5" s="470" t="s">
        <v>41</v>
      </c>
      <c r="G5" s="470" t="s">
        <v>40</v>
      </c>
      <c r="H5" s="470" t="s">
        <v>41</v>
      </c>
    </row>
    <row r="6" spans="1:9" s="469" customFormat="1" ht="21" customHeight="1">
      <c r="A6" s="471">
        <f t="shared" ref="A6:A38" si="0">IF(B6&lt;&gt;"",ROW()-5,"")</f>
        <v>1</v>
      </c>
      <c r="B6" s="473" t="s">
        <v>394</v>
      </c>
      <c r="C6" s="287">
        <v>16685900</v>
      </c>
      <c r="D6" s="287">
        <v>0</v>
      </c>
      <c r="E6" s="287">
        <f t="array" ref="E6">SUM(IF("131"&amp;B6=KHN&amp;KH,TH))</f>
        <v>12488410</v>
      </c>
      <c r="F6" s="287">
        <f t="array" ref="F6">SUM(IF("131"&amp;B6=KHC&amp;KH,TH))</f>
        <v>29174310</v>
      </c>
      <c r="G6" s="282">
        <f t="shared" ref="G6:G38" si="1">ROUND(MAX(C6+E6-D6-F6,0),2)</f>
        <v>0</v>
      </c>
      <c r="H6" s="282">
        <f t="shared" ref="H6:H38" si="2">ROUND(MAX(D6+F6-C6-E6,0),2)</f>
        <v>0</v>
      </c>
    </row>
    <row r="7" spans="1:9" s="469" customFormat="1" ht="21" customHeight="1">
      <c r="A7" s="471">
        <f t="shared" si="0"/>
        <v>2</v>
      </c>
      <c r="B7" s="472" t="s">
        <v>299</v>
      </c>
      <c r="C7" s="287">
        <v>18645000</v>
      </c>
      <c r="D7" s="287">
        <v>0</v>
      </c>
      <c r="E7" s="287">
        <f t="array" ref="E7">SUM(IF("131"&amp;B7=KHN&amp;KH,TH))</f>
        <v>48417809</v>
      </c>
      <c r="F7" s="287">
        <f t="array" ref="F7">SUM(IF("131"&amp;B7=KHC&amp;KH,TH))</f>
        <v>67062809</v>
      </c>
      <c r="G7" s="282">
        <f t="shared" si="1"/>
        <v>0</v>
      </c>
      <c r="H7" s="282">
        <f t="shared" si="2"/>
        <v>0</v>
      </c>
    </row>
    <row r="8" spans="1:9" s="469" customFormat="1" ht="21" customHeight="1">
      <c r="A8" s="471">
        <f t="shared" si="0"/>
        <v>3</v>
      </c>
      <c r="B8" s="473" t="s">
        <v>278</v>
      </c>
      <c r="C8" s="287">
        <v>55228186</v>
      </c>
      <c r="D8" s="287">
        <v>0</v>
      </c>
      <c r="E8" s="287">
        <f t="array" ref="E8">SUM(IF("131"&amp;B8=KHN&amp;KH,TH))</f>
        <v>0</v>
      </c>
      <c r="F8" s="287">
        <f t="array" ref="F8">SUM(IF("131"&amp;B8=KHC&amp;KH,TH))</f>
        <v>55228186</v>
      </c>
      <c r="G8" s="282">
        <f t="shared" si="1"/>
        <v>0</v>
      </c>
      <c r="H8" s="282">
        <f t="shared" si="2"/>
        <v>0</v>
      </c>
      <c r="I8" s="469" t="str">
        <f>IF(ISNA(VLOOKUP(B8,'[3]131'!$B$4:$B$26,1,0)),"","x")</f>
        <v/>
      </c>
    </row>
    <row r="9" spans="1:9" s="469" customFormat="1" ht="21" customHeight="1">
      <c r="A9" s="471">
        <f t="shared" si="0"/>
        <v>4</v>
      </c>
      <c r="B9" s="474" t="s">
        <v>280</v>
      </c>
      <c r="C9" s="287">
        <v>6342725</v>
      </c>
      <c r="D9" s="287">
        <v>0</v>
      </c>
      <c r="E9" s="287">
        <f t="array" ref="E9">SUM(IF("131"&amp;B9=KHN&amp;KH,TH))</f>
        <v>22606733</v>
      </c>
      <c r="F9" s="287">
        <f t="array" ref="F9">SUM(IF("131"&amp;B9=KHC&amp;KH,TH))</f>
        <v>28949458</v>
      </c>
      <c r="G9" s="282">
        <f t="shared" si="1"/>
        <v>0</v>
      </c>
      <c r="H9" s="282">
        <f t="shared" si="2"/>
        <v>0</v>
      </c>
      <c r="I9" s="469" t="str">
        <f>IF(ISNA(VLOOKUP(B9,'[3]131'!$B$4:$B$26,1,0)),"","x")</f>
        <v/>
      </c>
    </row>
    <row r="10" spans="1:9" s="469" customFormat="1" ht="21" customHeight="1">
      <c r="A10" s="471">
        <f t="shared" si="0"/>
        <v>5</v>
      </c>
      <c r="B10" s="472" t="s">
        <v>298</v>
      </c>
      <c r="C10" s="287">
        <v>10864040</v>
      </c>
      <c r="D10" s="287">
        <v>0</v>
      </c>
      <c r="E10" s="287">
        <f t="array" ref="E10">SUM(IF("131"&amp;B10=KHN&amp;KH,TH))</f>
        <v>16995653</v>
      </c>
      <c r="F10" s="287">
        <f t="array" ref="F10">SUM(IF("131"&amp;B10=KHC&amp;KH,TH))</f>
        <v>27859693</v>
      </c>
      <c r="G10" s="282">
        <f t="shared" si="1"/>
        <v>0</v>
      </c>
      <c r="H10" s="282">
        <f t="shared" si="2"/>
        <v>0</v>
      </c>
    </row>
    <row r="11" spans="1:9" s="469" customFormat="1" ht="21" customHeight="1">
      <c r="A11" s="471">
        <f t="shared" si="0"/>
        <v>6</v>
      </c>
      <c r="B11" s="473" t="s">
        <v>420</v>
      </c>
      <c r="C11" s="287">
        <v>514668000</v>
      </c>
      <c r="D11" s="287">
        <v>0</v>
      </c>
      <c r="E11" s="287">
        <f t="array" ref="E11">SUM(IF("131"&amp;B11=KHN&amp;KH,TH))</f>
        <v>1048703040</v>
      </c>
      <c r="F11" s="287">
        <f t="array" ref="F11">SUM(IF("131"&amp;B11=KHC&amp;KH,TH))</f>
        <v>1563371040</v>
      </c>
      <c r="G11" s="282">
        <f t="shared" si="1"/>
        <v>0</v>
      </c>
      <c r="H11" s="282">
        <f t="shared" si="2"/>
        <v>0</v>
      </c>
    </row>
    <row r="12" spans="1:9" s="469" customFormat="1" ht="21" customHeight="1">
      <c r="A12" s="471">
        <f t="shared" si="0"/>
        <v>7</v>
      </c>
      <c r="B12" s="472" t="s">
        <v>291</v>
      </c>
      <c r="C12" s="287">
        <v>8580000</v>
      </c>
      <c r="D12" s="287">
        <v>0</v>
      </c>
      <c r="E12" s="287">
        <f t="array" ref="E12">SUM(IF("131"&amp;B12=KHN&amp;KH,TH))</f>
        <v>0</v>
      </c>
      <c r="F12" s="287">
        <f t="array" ref="F12">SUM(IF("131"&amp;B12=KHC&amp;KH,TH))</f>
        <v>8580000</v>
      </c>
      <c r="G12" s="282">
        <f t="shared" si="1"/>
        <v>0</v>
      </c>
      <c r="H12" s="282">
        <f t="shared" si="2"/>
        <v>0</v>
      </c>
    </row>
    <row r="13" spans="1:9" s="469" customFormat="1" ht="21" customHeight="1">
      <c r="A13" s="471">
        <f t="shared" si="0"/>
        <v>8</v>
      </c>
      <c r="B13" s="473" t="s">
        <v>284</v>
      </c>
      <c r="C13" s="287">
        <v>206478605</v>
      </c>
      <c r="D13" s="287">
        <v>0</v>
      </c>
      <c r="E13" s="287">
        <f t="array" ref="E13">SUM(IF("131"&amp;B13=KHN&amp;KH,TH))</f>
        <v>1231394915</v>
      </c>
      <c r="F13" s="287">
        <f t="array" ref="F13">SUM(IF("131"&amp;B13=KHC&amp;KH,TH))</f>
        <v>1437873520</v>
      </c>
      <c r="G13" s="282">
        <f t="shared" si="1"/>
        <v>0</v>
      </c>
      <c r="H13" s="282">
        <f t="shared" si="2"/>
        <v>0</v>
      </c>
    </row>
    <row r="14" spans="1:9" s="469" customFormat="1" ht="21" customHeight="1">
      <c r="A14" s="471">
        <f t="shared" si="0"/>
        <v>9</v>
      </c>
      <c r="B14" s="472" t="s">
        <v>512</v>
      </c>
      <c r="C14" s="287"/>
      <c r="D14" s="287"/>
      <c r="E14" s="287">
        <f t="array" ref="E14">SUM(IF("131"&amp;B14=KHN&amp;KH,TH))</f>
        <v>3300000</v>
      </c>
      <c r="F14" s="287">
        <f t="array" ref="F14">SUM(IF("131"&amp;B14=KHC&amp;KH,TH))</f>
        <v>3300000</v>
      </c>
      <c r="G14" s="282">
        <f t="shared" si="1"/>
        <v>0</v>
      </c>
      <c r="H14" s="282">
        <f t="shared" si="2"/>
        <v>0</v>
      </c>
    </row>
    <row r="15" spans="1:9" s="469" customFormat="1" ht="21" customHeight="1">
      <c r="A15" s="471">
        <f t="shared" si="0"/>
        <v>10</v>
      </c>
      <c r="B15" s="473" t="s">
        <v>283</v>
      </c>
      <c r="C15" s="287">
        <v>609333120</v>
      </c>
      <c r="D15" s="287">
        <v>0</v>
      </c>
      <c r="E15" s="287">
        <f t="array" ref="E15">SUM(IF("131"&amp;B15=KHN&amp;KH,TH))</f>
        <v>1836217350</v>
      </c>
      <c r="F15" s="287">
        <f t="array" ref="F15">SUM(IF("131"&amp;B15=KHC&amp;KH,TH))</f>
        <v>2162449850</v>
      </c>
      <c r="G15" s="282">
        <f t="shared" si="1"/>
        <v>283100620</v>
      </c>
      <c r="H15" s="282">
        <f t="shared" si="2"/>
        <v>0</v>
      </c>
      <c r="I15" s="469" t="str">
        <f>IF(ISNA(VLOOKUP(B15,'[3]131'!$B$4:$B$26,1,0)),"","x")</f>
        <v/>
      </c>
    </row>
    <row r="16" spans="1:9" s="469" customFormat="1" ht="21" customHeight="1">
      <c r="A16" s="471">
        <f t="shared" si="0"/>
        <v>11</v>
      </c>
      <c r="B16" s="473" t="s">
        <v>373</v>
      </c>
      <c r="C16" s="287">
        <v>0</v>
      </c>
      <c r="D16" s="287">
        <v>0</v>
      </c>
      <c r="E16" s="287">
        <f t="array" ref="E16">SUM(IF("131"&amp;B16=KHN&amp;KH,TH))</f>
        <v>1999140</v>
      </c>
      <c r="F16" s="287">
        <f t="array" ref="F16">SUM(IF("131"&amp;B16=KHC&amp;KH,TH))</f>
        <v>1999140</v>
      </c>
      <c r="G16" s="282">
        <f t="shared" si="1"/>
        <v>0</v>
      </c>
      <c r="H16" s="282">
        <f t="shared" si="2"/>
        <v>0</v>
      </c>
    </row>
    <row r="17" spans="1:8" s="469" customFormat="1" ht="21" customHeight="1">
      <c r="A17" s="471">
        <f t="shared" si="0"/>
        <v>12</v>
      </c>
      <c r="B17" s="472" t="s">
        <v>286</v>
      </c>
      <c r="C17" s="243">
        <v>14929200</v>
      </c>
      <c r="D17" s="287">
        <v>0</v>
      </c>
      <c r="E17" s="287">
        <f t="array" ref="E17">SUM(IF("131"&amp;B17=KHN&amp;KH,TH))</f>
        <v>0</v>
      </c>
      <c r="F17" s="287">
        <f t="array" ref="F17">SUM(IF("131"&amp;B17=KHC&amp;KH,TH))</f>
        <v>14929200</v>
      </c>
      <c r="G17" s="282">
        <f t="shared" si="1"/>
        <v>0</v>
      </c>
      <c r="H17" s="282">
        <f t="shared" si="2"/>
        <v>0</v>
      </c>
    </row>
    <row r="18" spans="1:8" s="469" customFormat="1" ht="21" customHeight="1">
      <c r="A18" s="471">
        <f t="shared" si="0"/>
        <v>13</v>
      </c>
      <c r="B18" s="473" t="s">
        <v>285</v>
      </c>
      <c r="C18" s="287">
        <v>1320000</v>
      </c>
      <c r="D18" s="287">
        <v>0</v>
      </c>
      <c r="E18" s="287">
        <f t="array" ref="E18">SUM(IF("131"&amp;B18=KHN&amp;KH,TH))</f>
        <v>0</v>
      </c>
      <c r="F18" s="287">
        <f t="array" ref="F18">SUM(IF("131"&amp;B18=KHC&amp;KH,TH))</f>
        <v>1320000</v>
      </c>
      <c r="G18" s="282">
        <f t="shared" si="1"/>
        <v>0</v>
      </c>
      <c r="H18" s="282">
        <f t="shared" si="2"/>
        <v>0</v>
      </c>
    </row>
    <row r="19" spans="1:8" s="469" customFormat="1" ht="21" customHeight="1">
      <c r="A19" s="471">
        <f t="shared" si="0"/>
        <v>14</v>
      </c>
      <c r="B19" s="473" t="s">
        <v>279</v>
      </c>
      <c r="C19" s="287">
        <v>112955237</v>
      </c>
      <c r="D19" s="287">
        <v>0</v>
      </c>
      <c r="E19" s="287">
        <f t="array" ref="E19">SUM(IF("131"&amp;B19=KHN&amp;KH,TH))</f>
        <v>32919590</v>
      </c>
      <c r="F19" s="287">
        <f t="array" ref="F19">SUM(IF("131"&amp;B19=KHC&amp;KH,TH))</f>
        <v>145874827</v>
      </c>
      <c r="G19" s="282">
        <f t="shared" si="1"/>
        <v>0</v>
      </c>
      <c r="H19" s="282">
        <f t="shared" si="2"/>
        <v>0</v>
      </c>
    </row>
    <row r="20" spans="1:8" s="469" customFormat="1" ht="21" customHeight="1">
      <c r="A20" s="471">
        <f t="shared" si="0"/>
        <v>15</v>
      </c>
      <c r="B20" s="473" t="s">
        <v>374</v>
      </c>
      <c r="C20" s="287">
        <v>26497300</v>
      </c>
      <c r="D20" s="287">
        <v>0</v>
      </c>
      <c r="E20" s="287">
        <f t="array" ref="E20">SUM(IF("131"&amp;B20=KHN&amp;KH,TH))</f>
        <v>43314920</v>
      </c>
      <c r="F20" s="287">
        <f t="array" ref="F20">SUM(IF("131"&amp;B20=KHC&amp;KH,TH))</f>
        <v>69812220</v>
      </c>
      <c r="G20" s="282">
        <f t="shared" si="1"/>
        <v>0</v>
      </c>
      <c r="H20" s="282">
        <f t="shared" si="2"/>
        <v>0</v>
      </c>
    </row>
    <row r="21" spans="1:8" s="469" customFormat="1" ht="21" customHeight="1">
      <c r="A21" s="471">
        <f t="shared" si="0"/>
        <v>16</v>
      </c>
      <c r="B21" s="472" t="s">
        <v>288</v>
      </c>
      <c r="C21" s="287">
        <v>165159143</v>
      </c>
      <c r="D21" s="287">
        <v>0</v>
      </c>
      <c r="E21" s="287">
        <f t="array" ref="E21">SUM(IF("131"&amp;B21=KHN&amp;KH,TH))</f>
        <v>0</v>
      </c>
      <c r="F21" s="287">
        <f t="array" ref="F21">SUM(IF("131"&amp;B21=KHC&amp;KH,TH))</f>
        <v>165159143</v>
      </c>
      <c r="G21" s="282">
        <f t="shared" si="1"/>
        <v>0</v>
      </c>
      <c r="H21" s="282">
        <f t="shared" si="2"/>
        <v>0</v>
      </c>
    </row>
    <row r="22" spans="1:8" s="469" customFormat="1" ht="21" customHeight="1">
      <c r="A22" s="471">
        <f t="shared" si="0"/>
        <v>17</v>
      </c>
      <c r="B22" s="472" t="s">
        <v>287</v>
      </c>
      <c r="C22" s="287">
        <v>0</v>
      </c>
      <c r="D22" s="287">
        <v>0</v>
      </c>
      <c r="E22" s="287">
        <f t="array" ref="E22">SUM(IF("131"&amp;B22=KHN&amp;KH,TH))</f>
        <v>40277600</v>
      </c>
      <c r="F22" s="287">
        <f t="array" ref="F22">SUM(IF("131"&amp;B22=KHC&amp;KH,TH))</f>
        <v>40277600</v>
      </c>
      <c r="G22" s="282">
        <f t="shared" si="1"/>
        <v>0</v>
      </c>
      <c r="H22" s="282">
        <f t="shared" si="2"/>
        <v>0</v>
      </c>
    </row>
    <row r="23" spans="1:8" s="469" customFormat="1" ht="21" customHeight="1">
      <c r="A23" s="471">
        <f t="shared" si="0"/>
        <v>18</v>
      </c>
      <c r="B23" s="472" t="s">
        <v>289</v>
      </c>
      <c r="C23" s="287">
        <v>0</v>
      </c>
      <c r="D23" s="287">
        <v>0</v>
      </c>
      <c r="E23" s="287">
        <f t="array" ref="E23">SUM(IF("131"&amp;B23=KHN&amp;KH,TH))</f>
        <v>378866378</v>
      </c>
      <c r="F23" s="287">
        <f t="array" ref="F23">SUM(IF("131"&amp;B23=KHC&amp;KH,TH))</f>
        <v>378866378</v>
      </c>
      <c r="G23" s="282">
        <f t="shared" si="1"/>
        <v>0</v>
      </c>
      <c r="H23" s="282">
        <f t="shared" si="2"/>
        <v>0</v>
      </c>
    </row>
    <row r="24" spans="1:8" s="469" customFormat="1" ht="21" customHeight="1">
      <c r="A24" s="471">
        <f t="shared" si="0"/>
        <v>19</v>
      </c>
      <c r="B24" s="473" t="s">
        <v>1093</v>
      </c>
      <c r="C24" s="287"/>
      <c r="D24" s="287">
        <v>0</v>
      </c>
      <c r="E24" s="287">
        <f t="array" ref="E24">SUM(IF("131"&amp;B24=KHN&amp;KH,TH))</f>
        <v>78072841</v>
      </c>
      <c r="F24" s="287">
        <f t="array" ref="F24">SUM(IF("131"&amp;B24=KHC&amp;KH,TH))</f>
        <v>78072841</v>
      </c>
      <c r="G24" s="282">
        <f t="shared" si="1"/>
        <v>0</v>
      </c>
      <c r="H24" s="282">
        <f t="shared" si="2"/>
        <v>0</v>
      </c>
    </row>
    <row r="25" spans="1:8" s="469" customFormat="1" ht="21" customHeight="1">
      <c r="A25" s="471">
        <f t="shared" si="0"/>
        <v>20</v>
      </c>
      <c r="B25" s="473" t="s">
        <v>378</v>
      </c>
      <c r="C25" s="287"/>
      <c r="D25" s="287">
        <v>0</v>
      </c>
      <c r="E25" s="287">
        <f t="array" ref="E25">SUM(IF("131"&amp;B25=KHN&amp;KH,TH))</f>
        <v>16427400</v>
      </c>
      <c r="F25" s="287">
        <f t="array" ref="F25">SUM(IF("131"&amp;B25=KHC&amp;KH,TH))</f>
        <v>16427400</v>
      </c>
      <c r="G25" s="282">
        <f t="shared" si="1"/>
        <v>0</v>
      </c>
      <c r="H25" s="282">
        <f t="shared" si="2"/>
        <v>0</v>
      </c>
    </row>
    <row r="26" spans="1:8" s="469" customFormat="1" ht="21" customHeight="1">
      <c r="A26" s="471">
        <f t="shared" si="0"/>
        <v>21</v>
      </c>
      <c r="B26" s="473" t="s">
        <v>776</v>
      </c>
      <c r="C26" s="287"/>
      <c r="D26" s="287">
        <v>0</v>
      </c>
      <c r="E26" s="287">
        <f t="array" ref="E26">SUM(IF("131"&amp;B26=KHN&amp;KH,TH))</f>
        <v>8852360</v>
      </c>
      <c r="F26" s="287">
        <f t="array" ref="F26">SUM(IF("131"&amp;B26=KHC&amp;KH,TH))</f>
        <v>8852360</v>
      </c>
      <c r="G26" s="282">
        <f t="shared" si="1"/>
        <v>0</v>
      </c>
      <c r="H26" s="282">
        <f t="shared" si="2"/>
        <v>0</v>
      </c>
    </row>
    <row r="27" spans="1:8" s="469" customFormat="1" ht="21" customHeight="1">
      <c r="A27" s="471">
        <f t="shared" si="0"/>
        <v>22</v>
      </c>
      <c r="B27" s="472" t="s">
        <v>515</v>
      </c>
      <c r="C27" s="287">
        <v>0</v>
      </c>
      <c r="D27" s="287">
        <v>0</v>
      </c>
      <c r="E27" s="287">
        <f t="array" ref="E27">SUM(IF("131"&amp;B27=KHN&amp;KH,TH))</f>
        <v>715000</v>
      </c>
      <c r="F27" s="287">
        <f t="array" ref="F27">SUM(IF("131"&amp;B27=KHC&amp;KH,TH))</f>
        <v>715000</v>
      </c>
      <c r="G27" s="282">
        <f t="shared" si="1"/>
        <v>0</v>
      </c>
      <c r="H27" s="282">
        <f t="shared" si="2"/>
        <v>0</v>
      </c>
    </row>
    <row r="28" spans="1:8" s="469" customFormat="1" ht="21" customHeight="1">
      <c r="A28" s="471">
        <f t="shared" si="0"/>
        <v>23</v>
      </c>
      <c r="B28" s="473" t="s">
        <v>300</v>
      </c>
      <c r="C28" s="178">
        <v>544797418</v>
      </c>
      <c r="D28" s="287">
        <v>0</v>
      </c>
      <c r="E28" s="287">
        <f t="array" ref="E28">SUM(IF("131"&amp;B28=KHN&amp;KH,TH))</f>
        <v>620001250</v>
      </c>
      <c r="F28" s="287">
        <f t="array" ref="F28">SUM(IF("131"&amp;B28=KHC&amp;KH,TH))</f>
        <v>600000000</v>
      </c>
      <c r="G28" s="282">
        <f t="shared" si="1"/>
        <v>564798668</v>
      </c>
      <c r="H28" s="282">
        <f t="shared" si="2"/>
        <v>0</v>
      </c>
    </row>
    <row r="29" spans="1:8" s="469" customFormat="1" ht="21" customHeight="1">
      <c r="A29" s="471">
        <f t="shared" si="0"/>
        <v>24</v>
      </c>
      <c r="B29" s="473" t="s">
        <v>1111</v>
      </c>
      <c r="C29" s="287"/>
      <c r="D29" s="287">
        <v>0</v>
      </c>
      <c r="E29" s="287">
        <f t="array" ref="E29">SUM(IF("131"&amp;B29=KHN&amp;KH,TH))</f>
        <v>9746000</v>
      </c>
      <c r="F29" s="287">
        <f t="array" ref="F29">SUM(IF("131"&amp;B29=KHC&amp;KH,TH))</f>
        <v>9746000</v>
      </c>
      <c r="G29" s="282">
        <f t="shared" si="1"/>
        <v>0</v>
      </c>
      <c r="H29" s="282">
        <f t="shared" si="2"/>
        <v>0</v>
      </c>
    </row>
    <row r="30" spans="1:8" s="469" customFormat="1" ht="21" customHeight="1">
      <c r="A30" s="471">
        <f t="shared" si="0"/>
        <v>25</v>
      </c>
      <c r="B30" s="472" t="s">
        <v>294</v>
      </c>
      <c r="C30" s="287">
        <v>25869505</v>
      </c>
      <c r="D30" s="287">
        <v>0</v>
      </c>
      <c r="E30" s="287">
        <f t="array" ref="E30">SUM(IF("131"&amp;B30=KHN&amp;KH,TH))</f>
        <v>0</v>
      </c>
      <c r="F30" s="287">
        <f t="array" ref="F30">SUM(IF("131"&amp;B30=KHC&amp;KH,TH))</f>
        <v>25869505</v>
      </c>
      <c r="G30" s="282">
        <f t="shared" si="1"/>
        <v>0</v>
      </c>
      <c r="H30" s="282">
        <f t="shared" si="2"/>
        <v>0</v>
      </c>
    </row>
    <row r="31" spans="1:8" s="469" customFormat="1" ht="21" customHeight="1">
      <c r="A31" s="471">
        <f t="shared" si="0"/>
        <v>26</v>
      </c>
      <c r="B31" s="473" t="s">
        <v>375</v>
      </c>
      <c r="C31" s="287">
        <v>260986616</v>
      </c>
      <c r="D31" s="287">
        <v>0</v>
      </c>
      <c r="E31" s="287">
        <f t="array" ref="E31">SUM(IF("131"&amp;B31=KHN&amp;KH,TH))</f>
        <v>358980050</v>
      </c>
      <c r="F31" s="287">
        <f t="array" ref="F31">SUM(IF("131"&amp;B31=KHC&amp;KH,TH))</f>
        <v>300000000</v>
      </c>
      <c r="G31" s="282">
        <f t="shared" si="1"/>
        <v>319966666</v>
      </c>
      <c r="H31" s="282">
        <f t="shared" si="2"/>
        <v>0</v>
      </c>
    </row>
    <row r="32" spans="1:8" s="469" customFormat="1" ht="21" customHeight="1">
      <c r="A32" s="471">
        <f t="shared" si="0"/>
        <v>27</v>
      </c>
      <c r="B32" s="473" t="s">
        <v>562</v>
      </c>
      <c r="C32" s="287"/>
      <c r="D32" s="287">
        <v>0</v>
      </c>
      <c r="E32" s="287">
        <f t="array" ref="E32">SUM(IF("131"&amp;B32=KHN&amp;KH,TH))</f>
        <v>8800000</v>
      </c>
      <c r="F32" s="287">
        <f t="array" ref="F32">SUM(IF("131"&amp;B32=KHC&amp;KH,TH))</f>
        <v>8800000</v>
      </c>
      <c r="G32" s="282">
        <f t="shared" si="1"/>
        <v>0</v>
      </c>
      <c r="H32" s="282">
        <f t="shared" si="2"/>
        <v>0</v>
      </c>
    </row>
    <row r="33" spans="1:9" s="469" customFormat="1" ht="21" customHeight="1">
      <c r="A33" s="471">
        <f t="shared" si="0"/>
        <v>28</v>
      </c>
      <c r="B33" s="473" t="s">
        <v>379</v>
      </c>
      <c r="C33" s="287">
        <f>11665500+161700</f>
        <v>11827200</v>
      </c>
      <c r="D33" s="287">
        <v>0</v>
      </c>
      <c r="E33" s="287">
        <f t="array" ref="E33">SUM(IF("131"&amp;B33=KHN&amp;KH,TH))</f>
        <v>18283650</v>
      </c>
      <c r="F33" s="287">
        <f t="array" ref="F33">SUM(IF("131"&amp;B33=KHC&amp;KH,TH))</f>
        <v>30110850</v>
      </c>
      <c r="G33" s="282">
        <f t="shared" si="1"/>
        <v>0</v>
      </c>
      <c r="H33" s="282">
        <f t="shared" si="2"/>
        <v>0</v>
      </c>
    </row>
    <row r="34" spans="1:9" s="469" customFormat="1" ht="21" customHeight="1">
      <c r="A34" s="471">
        <f t="shared" si="0"/>
        <v>29</v>
      </c>
      <c r="B34" s="473" t="s">
        <v>593</v>
      </c>
      <c r="C34" s="287"/>
      <c r="D34" s="287">
        <v>0</v>
      </c>
      <c r="E34" s="287">
        <f t="array" ref="E34">SUM(IF("131"&amp;B34=KHN&amp;KH,TH))</f>
        <v>46629143</v>
      </c>
      <c r="F34" s="287">
        <f t="array" ref="F34">SUM(IF("131"&amp;B34=KHC&amp;KH,TH))</f>
        <v>46629143</v>
      </c>
      <c r="G34" s="282">
        <f t="shared" si="1"/>
        <v>0</v>
      </c>
      <c r="H34" s="282">
        <f t="shared" si="2"/>
        <v>0</v>
      </c>
    </row>
    <row r="35" spans="1:9" s="469" customFormat="1" ht="21" customHeight="1">
      <c r="A35" s="471">
        <f t="shared" si="0"/>
        <v>30</v>
      </c>
      <c r="B35" s="473" t="s">
        <v>392</v>
      </c>
      <c r="C35" s="287">
        <v>7067500</v>
      </c>
      <c r="D35" s="287">
        <v>0</v>
      </c>
      <c r="E35" s="287">
        <f t="array" ref="E35">SUM(IF("131"&amp;B35=KHN&amp;KH,TH))</f>
        <v>0</v>
      </c>
      <c r="F35" s="287">
        <f t="array" ref="F35">SUM(IF("131"&amp;B35=KHC&amp;KH,TH))</f>
        <v>7067500</v>
      </c>
      <c r="G35" s="282">
        <f t="shared" si="1"/>
        <v>0</v>
      </c>
      <c r="H35" s="282">
        <f t="shared" si="2"/>
        <v>0</v>
      </c>
    </row>
    <row r="36" spans="1:9" s="469" customFormat="1" ht="21" customHeight="1">
      <c r="A36" s="471">
        <f t="shared" si="0"/>
        <v>31</v>
      </c>
      <c r="B36" s="473" t="s">
        <v>439</v>
      </c>
      <c r="C36" s="287">
        <v>16777743</v>
      </c>
      <c r="D36" s="287">
        <v>0</v>
      </c>
      <c r="E36" s="287">
        <f t="array" ref="E36">SUM(IF("131"&amp;B36=KHN&amp;KH,TH))</f>
        <v>33161430</v>
      </c>
      <c r="F36" s="287">
        <f t="array" ref="F36">SUM(IF("131"&amp;B36=KHC&amp;KH,TH))</f>
        <v>49939173</v>
      </c>
      <c r="G36" s="282">
        <f t="shared" si="1"/>
        <v>0</v>
      </c>
      <c r="H36" s="282">
        <f t="shared" si="2"/>
        <v>0</v>
      </c>
    </row>
    <row r="37" spans="1:9" s="469" customFormat="1" ht="21" customHeight="1">
      <c r="A37" s="471">
        <f t="shared" si="0"/>
        <v>32</v>
      </c>
      <c r="B37" s="473" t="s">
        <v>422</v>
      </c>
      <c r="C37" s="287">
        <v>30690000</v>
      </c>
      <c r="D37" s="287">
        <v>0</v>
      </c>
      <c r="E37" s="287">
        <f t="array" ref="E37">SUM(IF("131"&amp;B37=KHN&amp;KH,TH))</f>
        <v>16500000</v>
      </c>
      <c r="F37" s="287">
        <f t="array" ref="F37">SUM(IF("131"&amp;B37=KHC&amp;KH,TH))</f>
        <v>47190000</v>
      </c>
      <c r="G37" s="282">
        <f t="shared" si="1"/>
        <v>0</v>
      </c>
      <c r="H37" s="282">
        <f t="shared" si="2"/>
        <v>0</v>
      </c>
    </row>
    <row r="38" spans="1:9" s="469" customFormat="1" ht="21" customHeight="1">
      <c r="A38" s="471">
        <f t="shared" si="0"/>
        <v>33</v>
      </c>
      <c r="B38" s="473" t="s">
        <v>595</v>
      </c>
      <c r="C38" s="287">
        <v>0</v>
      </c>
      <c r="D38" s="287">
        <v>0</v>
      </c>
      <c r="E38" s="287">
        <f t="array" ref="E38">SUM(IF("131"&amp;B38=KHN&amp;KH,TH))</f>
        <v>19519500</v>
      </c>
      <c r="F38" s="287">
        <f t="array" ref="F38">SUM(IF("131"&amp;B38=KHC&amp;KH,TH))</f>
        <v>19519500</v>
      </c>
      <c r="G38" s="282">
        <f t="shared" si="1"/>
        <v>0</v>
      </c>
      <c r="H38" s="282">
        <f t="shared" si="2"/>
        <v>0</v>
      </c>
      <c r="I38" s="469" t="str">
        <f>IF(ISNA(VLOOKUP(B38,'[3]131'!$B$4:$B$26,1,0)),"","x")</f>
        <v/>
      </c>
    </row>
    <row r="39" spans="1:9" s="469" customFormat="1" ht="21" customHeight="1">
      <c r="A39" s="471">
        <f t="shared" ref="A39:A52" si="3">IF(B39&lt;&gt;"",ROW()-5,"")</f>
        <v>34</v>
      </c>
      <c r="B39" s="473" t="s">
        <v>1134</v>
      </c>
      <c r="C39" s="287"/>
      <c r="D39" s="287"/>
      <c r="E39" s="287">
        <f t="array" ref="E39">SUM(IF("131"&amp;B39=KHN&amp;KH,TH))</f>
        <v>12145650</v>
      </c>
      <c r="F39" s="287">
        <f t="array" ref="F39">SUM(IF("131"&amp;B39=KHC&amp;KH,TH))</f>
        <v>12145650</v>
      </c>
      <c r="G39" s="282">
        <f t="shared" ref="G39:G46" si="4">ROUND(MAX(C39+E39-D39-F39,0),2)</f>
        <v>0</v>
      </c>
      <c r="H39" s="282">
        <f t="shared" ref="H39:H46" si="5">ROUND(MAX(D39+F39-C39-E39,0),2)</f>
        <v>0</v>
      </c>
    </row>
    <row r="40" spans="1:9" s="469" customFormat="1" ht="21" customHeight="1">
      <c r="A40" s="471">
        <f t="shared" si="3"/>
        <v>35</v>
      </c>
      <c r="B40" s="473" t="s">
        <v>1140</v>
      </c>
      <c r="C40" s="287"/>
      <c r="D40" s="287"/>
      <c r="E40" s="287">
        <f t="array" ref="E40">SUM(IF("131"&amp;B40=KHN&amp;KH,TH))</f>
        <v>1344684</v>
      </c>
      <c r="F40" s="287">
        <f t="array" ref="F40">SUM(IF("131"&amp;B40=KHC&amp;KH,TH))</f>
        <v>1344684</v>
      </c>
      <c r="G40" s="282">
        <f t="shared" si="4"/>
        <v>0</v>
      </c>
      <c r="H40" s="282">
        <f t="shared" si="5"/>
        <v>0</v>
      </c>
    </row>
    <row r="41" spans="1:9" s="469" customFormat="1" ht="21" customHeight="1">
      <c r="A41" s="471">
        <f t="shared" si="3"/>
        <v>36</v>
      </c>
      <c r="B41" s="473" t="s">
        <v>1193</v>
      </c>
      <c r="C41" s="287"/>
      <c r="D41" s="287"/>
      <c r="E41" s="287">
        <f t="array" ref="E41">SUM(IF("131"&amp;B41=KHN&amp;KH,TH))</f>
        <v>948200</v>
      </c>
      <c r="F41" s="287">
        <f t="array" ref="F41">SUM(IF("131"&amp;B41=KHC&amp;KH,TH))</f>
        <v>948200</v>
      </c>
      <c r="G41" s="282">
        <f t="shared" si="4"/>
        <v>0</v>
      </c>
      <c r="H41" s="282">
        <f t="shared" si="5"/>
        <v>0</v>
      </c>
    </row>
    <row r="42" spans="1:9" s="469" customFormat="1" ht="21" customHeight="1">
      <c r="A42" s="471">
        <f t="shared" si="3"/>
        <v>37</v>
      </c>
      <c r="B42" s="473" t="s">
        <v>1218</v>
      </c>
      <c r="C42" s="287"/>
      <c r="D42" s="287"/>
      <c r="E42" s="287">
        <f t="array" ref="E42">SUM(IF("131"&amp;B42=KHN&amp;KH,TH))</f>
        <v>591633350</v>
      </c>
      <c r="F42" s="287">
        <f t="array" ref="F42">SUM(IF("131"&amp;B42=KHC&amp;KH,TH))</f>
        <v>591633350</v>
      </c>
      <c r="G42" s="282">
        <f t="shared" si="4"/>
        <v>0</v>
      </c>
      <c r="H42" s="282">
        <f t="shared" si="5"/>
        <v>0</v>
      </c>
    </row>
    <row r="43" spans="1:9" s="469" customFormat="1" ht="21" customHeight="1">
      <c r="A43" s="471">
        <f t="shared" si="3"/>
        <v>38</v>
      </c>
      <c r="B43" s="473" t="s">
        <v>1303</v>
      </c>
      <c r="C43" s="287"/>
      <c r="D43" s="287"/>
      <c r="E43" s="287">
        <f t="array" ref="E43">SUM(IF("131"&amp;B43=KHN&amp;KH,TH))</f>
        <v>15695000</v>
      </c>
      <c r="F43" s="287">
        <f t="array" ref="F43">SUM(IF("131"&amp;B43=KHC&amp;KH,TH))</f>
        <v>15695000</v>
      </c>
      <c r="G43" s="282">
        <f t="shared" si="4"/>
        <v>0</v>
      </c>
      <c r="H43" s="282">
        <f t="shared" si="5"/>
        <v>0</v>
      </c>
    </row>
    <row r="44" spans="1:9" s="469" customFormat="1" ht="21" customHeight="1">
      <c r="A44" s="471">
        <f t="shared" ref="A44" si="6">IF(B44&lt;&gt;"",ROW()-5,"")</f>
        <v>39</v>
      </c>
      <c r="B44" s="473" t="s">
        <v>1309</v>
      </c>
      <c r="C44" s="287"/>
      <c r="D44" s="287"/>
      <c r="E44" s="287">
        <f t="array" ref="E44">SUM(IF("131"&amp;B44=KHN&amp;KH,TH))</f>
        <v>160540796</v>
      </c>
      <c r="F44" s="287">
        <f t="array" ref="F44">SUM(IF("131"&amp;B44=KHC&amp;KH,TH))</f>
        <v>160540796</v>
      </c>
      <c r="G44" s="282">
        <f t="shared" si="4"/>
        <v>0</v>
      </c>
      <c r="H44" s="282">
        <f t="shared" si="5"/>
        <v>0</v>
      </c>
    </row>
    <row r="45" spans="1:9" s="469" customFormat="1" ht="21" customHeight="1">
      <c r="A45" s="471">
        <f t="shared" ref="A45" si="7">IF(B45&lt;&gt;"",ROW()-5,"")</f>
        <v>40</v>
      </c>
      <c r="B45" s="248" t="s">
        <v>1413</v>
      </c>
      <c r="C45" s="287"/>
      <c r="D45" s="287"/>
      <c r="E45" s="287">
        <f t="array" ref="E45">SUM(IF("131"&amp;B45=KHN&amp;KH,TH))</f>
        <v>10821800</v>
      </c>
      <c r="F45" s="287">
        <f t="array" ref="F45">SUM(IF("131"&amp;B45=KHC&amp;KH,TH))</f>
        <v>10830000</v>
      </c>
      <c r="G45" s="282">
        <f t="shared" si="4"/>
        <v>0</v>
      </c>
      <c r="H45" s="282">
        <f t="shared" si="5"/>
        <v>8200</v>
      </c>
    </row>
    <row r="46" spans="1:9" s="469" customFormat="1" ht="21" customHeight="1">
      <c r="A46" s="471">
        <f t="shared" si="3"/>
        <v>41</v>
      </c>
      <c r="B46" s="248" t="s">
        <v>1374</v>
      </c>
      <c r="C46" s="287"/>
      <c r="D46" s="287"/>
      <c r="E46" s="287">
        <f t="array" ref="E46">SUM(IF("131"&amp;B46=KHN&amp;KH,TH))</f>
        <v>140998550</v>
      </c>
      <c r="F46" s="287">
        <f t="array" ref="F46">SUM(IF("131"&amp;B46=KHC&amp;KH,TH))</f>
        <v>140998550</v>
      </c>
      <c r="G46" s="282">
        <f t="shared" si="4"/>
        <v>0</v>
      </c>
      <c r="H46" s="282">
        <f t="shared" si="5"/>
        <v>0</v>
      </c>
    </row>
    <row r="47" spans="1:9" s="469" customFormat="1" ht="21" customHeight="1">
      <c r="A47" s="471">
        <f t="shared" ref="A47:A51" si="8">IF(B47&lt;&gt;"",ROW()-5,"")</f>
        <v>42</v>
      </c>
      <c r="B47" s="248" t="s">
        <v>1429</v>
      </c>
      <c r="C47" s="287"/>
      <c r="D47" s="287"/>
      <c r="E47" s="287">
        <f t="array" ref="E47">SUM(IF("131"&amp;B47=KHN&amp;KH,TH))</f>
        <v>2953500</v>
      </c>
      <c r="F47" s="287">
        <f t="array" ref="F47">SUM(IF("131"&amp;B47=KHC&amp;KH,TH))</f>
        <v>2953500</v>
      </c>
      <c r="G47" s="282">
        <f t="shared" ref="G47:G51" si="9">ROUND(MAX(C47+E47-D47-F47,0),2)</f>
        <v>0</v>
      </c>
      <c r="H47" s="282">
        <f t="shared" ref="H47:H51" si="10">ROUND(MAX(D47+F47-C47-E47,0),2)</f>
        <v>0</v>
      </c>
    </row>
    <row r="48" spans="1:9" s="469" customFormat="1" ht="21" customHeight="1">
      <c r="A48" s="471">
        <f t="shared" si="8"/>
        <v>43</v>
      </c>
      <c r="B48" s="248" t="s">
        <v>1431</v>
      </c>
      <c r="C48" s="287"/>
      <c r="D48" s="287"/>
      <c r="E48" s="287">
        <f t="array" ref="E48">SUM(IF("131"&amp;B48=KHN&amp;KH,TH))</f>
        <v>13271500</v>
      </c>
      <c r="F48" s="287">
        <f t="array" ref="F48">SUM(IF("131"&amp;B48=KHC&amp;KH,TH))</f>
        <v>13271500</v>
      </c>
      <c r="G48" s="282">
        <f t="shared" si="9"/>
        <v>0</v>
      </c>
      <c r="H48" s="282">
        <f t="shared" si="10"/>
        <v>0</v>
      </c>
    </row>
    <row r="49" spans="1:9" s="469" customFormat="1" ht="21" customHeight="1">
      <c r="A49" s="471">
        <f t="shared" si="8"/>
        <v>44</v>
      </c>
      <c r="B49" s="248" t="s">
        <v>1442</v>
      </c>
      <c r="C49" s="287"/>
      <c r="D49" s="287"/>
      <c r="E49" s="287">
        <f t="array" ref="E49">SUM(IF("131"&amp;B49=KHN&amp;KH,TH))</f>
        <v>270525592</v>
      </c>
      <c r="F49" s="287">
        <f t="array" ref="F49">SUM(IF("131"&amp;B49=KHC&amp;KH,TH))</f>
        <v>270525592</v>
      </c>
      <c r="G49" s="282">
        <f t="shared" si="9"/>
        <v>0</v>
      </c>
      <c r="H49" s="282">
        <f t="shared" si="10"/>
        <v>0</v>
      </c>
    </row>
    <row r="50" spans="1:9" s="469" customFormat="1" ht="21" customHeight="1">
      <c r="A50" s="471">
        <f t="shared" si="8"/>
        <v>45</v>
      </c>
      <c r="B50" s="248" t="s">
        <v>1684</v>
      </c>
      <c r="C50" s="287"/>
      <c r="D50" s="287"/>
      <c r="E50" s="287">
        <f t="array" ref="E50">SUM(IF("131"&amp;B50=KHN&amp;KH,TH))</f>
        <v>548735</v>
      </c>
      <c r="F50" s="287">
        <f t="array" ref="F50">SUM(IF("131"&amp;B50=KHC&amp;KH,TH))</f>
        <v>548735</v>
      </c>
      <c r="G50" s="282">
        <f t="shared" si="9"/>
        <v>0</v>
      </c>
      <c r="H50" s="282">
        <f t="shared" si="10"/>
        <v>0</v>
      </c>
    </row>
    <row r="51" spans="1:9" s="469" customFormat="1" ht="21" customHeight="1">
      <c r="A51" s="471">
        <f t="shared" si="8"/>
        <v>46</v>
      </c>
      <c r="B51" s="248" t="s">
        <v>1690</v>
      </c>
      <c r="C51" s="287"/>
      <c r="D51" s="287"/>
      <c r="E51" s="287">
        <f t="array" ref="E51">SUM(IF("131"&amp;B51=KHN&amp;KH,TH))</f>
        <v>6374445</v>
      </c>
      <c r="F51" s="287">
        <f t="array" ref="F51">SUM(IF("131"&amp;B51=KHC&amp;KH,TH))</f>
        <v>6374445</v>
      </c>
      <c r="G51" s="282">
        <f t="shared" si="9"/>
        <v>0</v>
      </c>
      <c r="H51" s="282">
        <f t="shared" si="10"/>
        <v>0</v>
      </c>
    </row>
    <row r="52" spans="1:9" s="469" customFormat="1" ht="21" customHeight="1">
      <c r="A52" s="471" t="str">
        <f t="shared" si="3"/>
        <v/>
      </c>
      <c r="B52" s="475"/>
      <c r="C52" s="287"/>
      <c r="D52" s="287"/>
      <c r="E52" s="287"/>
      <c r="F52" s="287"/>
      <c r="G52" s="282"/>
      <c r="H52" s="282"/>
      <c r="I52" s="469" t="str">
        <f>IF(ISNA(VLOOKUP(B52,'[3]131'!$B$4:$B$26,1,0)),"","x")</f>
        <v/>
      </c>
    </row>
    <row r="53" spans="1:9" s="478" customFormat="1" ht="21" customHeight="1">
      <c r="A53" s="476"/>
      <c r="B53" s="477" t="s">
        <v>37</v>
      </c>
      <c r="C53" s="252">
        <f t="shared" ref="C53:H53" si="11">SUM(C6:C52)</f>
        <v>2665702438</v>
      </c>
      <c r="D53" s="252">
        <f t="shared" si="11"/>
        <v>0</v>
      </c>
      <c r="E53" s="252">
        <f t="shared" si="11"/>
        <v>7180991964</v>
      </c>
      <c r="F53" s="252">
        <f t="shared" si="11"/>
        <v>8678836648</v>
      </c>
      <c r="G53" s="252">
        <f t="shared" si="11"/>
        <v>1167865954</v>
      </c>
      <c r="H53" s="252">
        <f t="shared" si="11"/>
        <v>8200</v>
      </c>
    </row>
    <row r="54" spans="1:9">
      <c r="D54" s="479">
        <f>C53-D53-CDPS!C14</f>
        <v>0</v>
      </c>
      <c r="E54" s="480">
        <f>E53-CDPS!E14</f>
        <v>0</v>
      </c>
      <c r="F54" s="480">
        <f>F53-CDPS!F14</f>
        <v>0</v>
      </c>
    </row>
    <row r="55" spans="1:9">
      <c r="E55" s="480"/>
      <c r="F55" s="907" t="str">
        <f>"Ngày  31  tháng   12  năm   "&amp;YEAR(TH!$C$10)</f>
        <v>Ngày  31  tháng   12  năm   2017</v>
      </c>
      <c r="G55" s="907"/>
      <c r="H55" s="907"/>
    </row>
    <row r="56" spans="1:9">
      <c r="F56" s="907" t="s">
        <v>107</v>
      </c>
      <c r="G56" s="907"/>
      <c r="H56" s="907"/>
    </row>
    <row r="57" spans="1:9">
      <c r="E57" s="479"/>
      <c r="F57" s="907" t="s">
        <v>134</v>
      </c>
      <c r="G57" s="907"/>
      <c r="H57" s="907"/>
    </row>
  </sheetData>
  <sortState ref="A6:I40">
    <sortCondition ref="B6:B40"/>
  </sortState>
  <mergeCells count="9">
    <mergeCell ref="F55:H55"/>
    <mergeCell ref="F56:H56"/>
    <mergeCell ref="F57:H57"/>
    <mergeCell ref="A3:H3"/>
    <mergeCell ref="A4:A5"/>
    <mergeCell ref="B4:B5"/>
    <mergeCell ref="C4:D4"/>
    <mergeCell ref="E4:F4"/>
    <mergeCell ref="G4:H4"/>
  </mergeCells>
  <pageMargins left="0.05" right="0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topLeftCell="A7" zoomScale="90" zoomScaleNormal="90" workbookViewId="0">
      <pane ySplit="7" topLeftCell="A26" activePane="bottomLeft" state="frozen"/>
      <selection activeCell="A7" sqref="A7"/>
      <selection pane="bottomLeft" activeCell="G11" sqref="G1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24" t="str">
        <f>TH!A1</f>
        <v>Đơn vị: CÔNG TY TNHH MỘT THÀNH VIÊN KHỞI NGUYÊN AN</v>
      </c>
      <c r="B1" s="221"/>
      <c r="C1" s="221"/>
      <c r="D1" s="116"/>
      <c r="E1" s="116"/>
      <c r="F1" s="2"/>
      <c r="G1" s="874" t="s">
        <v>44</v>
      </c>
      <c r="H1" s="874"/>
      <c r="I1" s="874"/>
    </row>
    <row r="2" spans="1:9" ht="14.25" customHeight="1">
      <c r="A2" s="883" t="str">
        <f>TH!A2</f>
        <v>Địa chỉ: Thửa đất số 144, tờ bản đồ số 12TĐH.1, tổ 1, khu phố Đông Tác, Phường Tân Đông Hiệp, Thị Xã Dĩ An, Tỉnh Bình Dương, Việt Nam</v>
      </c>
      <c r="B2" s="883"/>
      <c r="C2" s="883"/>
      <c r="D2" s="883"/>
      <c r="E2" s="883"/>
      <c r="F2" s="883"/>
      <c r="G2" s="87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75"/>
      <c r="I2" s="875"/>
    </row>
    <row r="3" spans="1:9" ht="14.25" customHeight="1">
      <c r="A3" s="883"/>
      <c r="B3" s="883"/>
      <c r="C3" s="883"/>
      <c r="D3" s="883"/>
      <c r="E3" s="883"/>
      <c r="F3" s="883"/>
      <c r="G3" s="875"/>
      <c r="H3" s="875"/>
      <c r="I3" s="875"/>
    </row>
    <row r="4" spans="1:9" ht="33.75" customHeight="1">
      <c r="A4" s="876" t="s">
        <v>26</v>
      </c>
      <c r="B4" s="876"/>
      <c r="C4" s="876"/>
      <c r="D4" s="876"/>
      <c r="E4" s="876"/>
      <c r="F4" s="876"/>
      <c r="G4" s="876"/>
      <c r="H4" s="876"/>
      <c r="I4" s="876"/>
    </row>
    <row r="5" spans="1:9" ht="14.25" customHeight="1">
      <c r="A5" s="3"/>
      <c r="B5" s="3"/>
      <c r="C5" s="3"/>
      <c r="D5" s="3"/>
      <c r="E5" s="22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23" t="s">
        <v>243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918" t="s">
        <v>420</v>
      </c>
      <c r="F7" s="918"/>
      <c r="G7" s="918"/>
      <c r="H7" s="918"/>
      <c r="I7" s="918"/>
    </row>
    <row r="8" spans="1:9" ht="14.25" customHeight="1">
      <c r="A8" s="3"/>
      <c r="B8" s="3"/>
      <c r="C8" s="3"/>
      <c r="D8" s="3"/>
      <c r="E8" s="223" t="s">
        <v>29</v>
      </c>
      <c r="F8" s="3"/>
      <c r="G8" s="3"/>
      <c r="H8" s="3"/>
      <c r="I8" s="3"/>
    </row>
    <row r="9" spans="1:9" ht="6.75" customHeight="1">
      <c r="A9" s="3"/>
      <c r="B9" s="223"/>
      <c r="C9" s="880"/>
      <c r="D9" s="880"/>
      <c r="E9" s="880"/>
      <c r="F9" s="880"/>
      <c r="G9" s="880"/>
      <c r="H9" s="880"/>
      <c r="I9" s="880"/>
    </row>
    <row r="10" spans="1:9" ht="14.25" customHeight="1">
      <c r="A10" s="881" t="s">
        <v>20</v>
      </c>
      <c r="B10" s="915" t="s">
        <v>1</v>
      </c>
      <c r="C10" s="915"/>
      <c r="D10" s="881" t="s">
        <v>0</v>
      </c>
      <c r="E10" s="881" t="s">
        <v>14</v>
      </c>
      <c r="F10" s="916" t="s">
        <v>21</v>
      </c>
      <c r="G10" s="917"/>
      <c r="H10" s="916" t="s">
        <v>30</v>
      </c>
      <c r="I10" s="917"/>
    </row>
    <row r="11" spans="1:9" ht="38.25" customHeight="1">
      <c r="A11" s="881"/>
      <c r="B11" s="481" t="s">
        <v>15</v>
      </c>
      <c r="C11" s="481" t="s">
        <v>31</v>
      </c>
      <c r="D11" s="881"/>
      <c r="E11" s="881"/>
      <c r="F11" s="481" t="s">
        <v>22</v>
      </c>
      <c r="G11" s="481" t="s">
        <v>23</v>
      </c>
      <c r="H11" s="481" t="s">
        <v>22</v>
      </c>
      <c r="I11" s="481" t="s">
        <v>23</v>
      </c>
    </row>
    <row r="12" spans="1:9" ht="11.25" customHeight="1">
      <c r="A12" s="405" t="s">
        <v>2</v>
      </c>
      <c r="B12" s="406" t="s">
        <v>3</v>
      </c>
      <c r="C12" s="405" t="s">
        <v>4</v>
      </c>
      <c r="D12" s="405" t="s">
        <v>5</v>
      </c>
      <c r="E12" s="405" t="s">
        <v>6</v>
      </c>
      <c r="F12" s="405">
        <v>2</v>
      </c>
      <c r="G12" s="405">
        <v>3</v>
      </c>
      <c r="H12" s="405">
        <v>4</v>
      </c>
      <c r="I12" s="405">
        <v>5</v>
      </c>
    </row>
    <row r="13" spans="1:9" ht="22.5" customHeight="1">
      <c r="A13" s="405"/>
      <c r="B13" s="405"/>
      <c r="C13" s="405"/>
      <c r="D13" s="482" t="s">
        <v>7</v>
      </c>
      <c r="E13" s="405"/>
      <c r="F13" s="483"/>
      <c r="G13" s="483"/>
      <c r="H13" s="199">
        <f>VLOOKUP($E$7,'131'!$B$6:$H$52,2,0)</f>
        <v>514668000</v>
      </c>
      <c r="I13" s="199">
        <f>VLOOKUP($E$7,'131'!$B$6:$H$52,3,0)</f>
        <v>0</v>
      </c>
    </row>
    <row r="14" spans="1:9" ht="22.5" customHeight="1">
      <c r="A14" s="484">
        <f ca="1">IF(ROWS($1:1)&gt;COUNT(Dong14),"",OFFSET(TH!C$1,SMALL(Dong14,ROWS($1:1)),))</f>
        <v>42796</v>
      </c>
      <c r="B14" s="484" t="str">
        <f ca="1">IF(ROWS($1:1)&gt;COUNT(Dong14),"",OFFSET(TH!D$1,SMALL(Dong14,ROWS($1:1)),))</f>
        <v>GBC</v>
      </c>
      <c r="C14" s="484">
        <f ca="1">IF(ROWS($1:1)&gt;COUNT(Dong14),"",OFFSET(TH!E$1,SMALL(Dong14,ROWS($1:1)),))</f>
        <v>42796</v>
      </c>
      <c r="D14" s="485" t="str">
        <f ca="1">IF(ROWS($1:1)&gt;COUNT(Dong14),"",OFFSET(TH!F$1,SMALL(Dong14,ROWS($1:1)),))</f>
        <v>Thu tiền hàng</v>
      </c>
      <c r="E14" s="486" t="str">
        <f ca="1">IF(ROWS($1:1)&gt;COUNT(Dong14),"",IF(OFFSET(TH!L$1,SMALL(Dong14,ROWS($1:1)),)="331",OFFSET(TH!M$1,SMALL(Dong14,ROWS($1:1)),),OFFSET(TH!L$1,SMALL(Dong14,ROWS($1:1)),)))</f>
        <v>1121</v>
      </c>
      <c r="F14" s="487">
        <f ca="1">IF(ROWS($1:1)&gt;COUNT(Dong14),"",IF(OFFSET(TH!L$1,SMALL(Dong14,ROWS($1:1)),)="131",OFFSET(TH!K$1,SMALL(Dong14,ROWS($1:1)),),0))</f>
        <v>0</v>
      </c>
      <c r="G14" s="487">
        <f ca="1">IF(ROWS($1:1)&gt;COUNT(Dong14),"",IF(OFFSET(TH!M$1,SMALL(Dong14,ROWS($1:1)),)="131",OFFSET(TH!K$1,SMALL(Dong14,ROWS($1:1)),),0))</f>
        <v>87191366</v>
      </c>
      <c r="H14" s="243">
        <f t="shared" ref="H14:H30" ca="1" si="0">IF(D14&lt;&gt;"",MAX(H13+F14-G14-I13,0),0)</f>
        <v>427476634</v>
      </c>
      <c r="I14" s="243">
        <f t="shared" ref="I14:I30" ca="1" si="1">IF(D14&lt;&gt;"",MAX(I13+G14-H13-F14,0),0)</f>
        <v>0</v>
      </c>
    </row>
    <row r="15" spans="1:9" ht="22.5" customHeight="1">
      <c r="A15" s="484">
        <f ca="1">IF(ROWS($1:2)&gt;COUNT(Dong14),"",OFFSET(TH!C$1,SMALL(Dong14,ROWS($1:2)),))</f>
        <v>42815</v>
      </c>
      <c r="B15" s="484" t="str">
        <f ca="1">IF(ROWS($1:2)&gt;COUNT(Dong14),"",OFFSET(TH!D$1,SMALL(Dong14,ROWS($1:2)),))</f>
        <v>GBC</v>
      </c>
      <c r="C15" s="484">
        <f ca="1">IF(ROWS($1:2)&gt;COUNT(Dong14),"",OFFSET(TH!E$1,SMALL(Dong14,ROWS($1:2)),))</f>
        <v>42815</v>
      </c>
      <c r="D15" s="485" t="str">
        <f ca="1">IF(ROWS($1:2)&gt;COUNT(Dong14),"",OFFSET(TH!F$1,SMALL(Dong14,ROWS($1:2)),))</f>
        <v>Thu tiền hàng</v>
      </c>
      <c r="E15" s="486" t="str">
        <f ca="1">IF(ROWS($1:2)&gt;COUNT(Dong14),"",IF(OFFSET(TH!L$1,SMALL(Dong14,ROWS($1:2)),)="331",OFFSET(TH!M$1,SMALL(Dong14,ROWS($1:2)),),OFFSET(TH!L$1,SMALL(Dong14,ROWS($1:2)),)))</f>
        <v>1121</v>
      </c>
      <c r="F15" s="487">
        <f ca="1">IF(ROWS($1:2)&gt;COUNT(Dong14),"",IF(OFFSET(TH!L$1,SMALL(Dong14,ROWS($1:2)),)="131",OFFSET(TH!K$1,SMALL(Dong14,ROWS($1:2)),),0))</f>
        <v>0</v>
      </c>
      <c r="G15" s="487">
        <f ca="1">IF(ROWS($1:2)&gt;COUNT(Dong14),"",IF(OFFSET(TH!M$1,SMALL(Dong14,ROWS($1:2)),)="131",OFFSET(TH!K$1,SMALL(Dong14,ROWS($1:2)),),0))</f>
        <v>63890530</v>
      </c>
      <c r="H15" s="243">
        <f t="shared" ca="1" si="0"/>
        <v>363586104</v>
      </c>
      <c r="I15" s="243">
        <f t="shared" ca="1" si="1"/>
        <v>0</v>
      </c>
    </row>
    <row r="16" spans="1:9" ht="22.5" customHeight="1">
      <c r="A16" s="484">
        <f ca="1">IF(ROWS($1:3)&gt;COUNT(Dong14),"",OFFSET(TH!C$1,SMALL(Dong14,ROWS($1:3)),))</f>
        <v>42909</v>
      </c>
      <c r="B16" s="484" t="str">
        <f ca="1">IF(ROWS($1:3)&gt;COUNT(Dong14),"",OFFSET(TH!D$1,SMALL(Dong14,ROWS($1:3)),))</f>
        <v>GBC</v>
      </c>
      <c r="C16" s="484">
        <f ca="1">IF(ROWS($1:3)&gt;COUNT(Dong14),"",OFFSET(TH!E$1,SMALL(Dong14,ROWS($1:3)),))</f>
        <v>42909</v>
      </c>
      <c r="D16" s="485" t="str">
        <f ca="1">IF(ROWS($1:3)&gt;COUNT(Dong14),"",OFFSET(TH!F$1,SMALL(Dong14,ROWS($1:3)),))</f>
        <v>Thu tiền hàng</v>
      </c>
      <c r="E16" s="486" t="str">
        <f ca="1">IF(ROWS($1:3)&gt;COUNT(Dong14),"",IF(OFFSET(TH!L$1,SMALL(Dong14,ROWS($1:3)),)="331",OFFSET(TH!M$1,SMALL(Dong14,ROWS($1:3)),),OFFSET(TH!L$1,SMALL(Dong14,ROWS($1:3)),)))</f>
        <v>1121</v>
      </c>
      <c r="F16" s="487">
        <f ca="1">IF(ROWS($1:3)&gt;COUNT(Dong14),"",IF(OFFSET(TH!L$1,SMALL(Dong14,ROWS($1:3)),)="131",OFFSET(TH!K$1,SMALL(Dong14,ROWS($1:3)),),0))</f>
        <v>0</v>
      </c>
      <c r="G16" s="487">
        <f ca="1">IF(ROWS($1:3)&gt;COUNT(Dong14),"",IF(OFFSET(TH!M$1,SMALL(Dong14,ROWS($1:3)),)="131",OFFSET(TH!K$1,SMALL(Dong14,ROWS($1:3)),),0))</f>
        <v>84059525</v>
      </c>
      <c r="H16" s="243">
        <f t="shared" ca="1" si="0"/>
        <v>279526579</v>
      </c>
      <c r="I16" s="243">
        <f t="shared" ca="1" si="1"/>
        <v>0</v>
      </c>
    </row>
    <row r="17" spans="1:9" ht="22.5" customHeight="1">
      <c r="A17" s="484">
        <f ca="1">IF(ROWS($1:4)&gt;COUNT(Dong14),"",OFFSET(TH!C$1,SMALL(Dong14,ROWS($1:4)),))</f>
        <v>42746</v>
      </c>
      <c r="B17" s="484" t="str">
        <f ca="1">IF(ROWS($1:4)&gt;COUNT(Dong14),"",OFFSET(TH!D$1,SMALL(Dong14,ROWS($1:4)),))</f>
        <v>GBC</v>
      </c>
      <c r="C17" s="484">
        <f ca="1">IF(ROWS($1:4)&gt;COUNT(Dong14),"",OFFSET(TH!E$1,SMALL(Dong14,ROWS($1:4)),))</f>
        <v>42746</v>
      </c>
      <c r="D17" s="485" t="str">
        <f ca="1">IF(ROWS($1:4)&gt;COUNT(Dong14),"",OFFSET(TH!F$1,SMALL(Dong14,ROWS($1:4)),))</f>
        <v>Thu tiền hàng</v>
      </c>
      <c r="E17" s="486" t="str">
        <f ca="1">IF(ROWS($1:4)&gt;COUNT(Dong14),"",IF(OFFSET(TH!L$1,SMALL(Dong14,ROWS($1:4)),)="331",OFFSET(TH!M$1,SMALL(Dong14,ROWS($1:4)),),OFFSET(TH!L$1,SMALL(Dong14,ROWS($1:4)),)))</f>
        <v>1121</v>
      </c>
      <c r="F17" s="487">
        <f ca="1">IF(ROWS($1:4)&gt;COUNT(Dong14),"",IF(OFFSET(TH!L$1,SMALL(Dong14,ROWS($1:4)),)="131",OFFSET(TH!K$1,SMALL(Dong14,ROWS($1:4)),),0))</f>
        <v>0</v>
      </c>
      <c r="G17" s="487">
        <f ca="1">IF(ROWS($1:4)&gt;COUNT(Dong14),"",IF(OFFSET(TH!M$1,SMALL(Dong14,ROWS($1:4)),)="131",OFFSET(TH!K$1,SMALL(Dong14,ROWS($1:4)),),0))</f>
        <v>500000000</v>
      </c>
      <c r="H17" s="243">
        <f t="shared" ca="1" si="0"/>
        <v>0</v>
      </c>
      <c r="I17" s="243">
        <f t="shared" ca="1" si="1"/>
        <v>220473421</v>
      </c>
    </row>
    <row r="18" spans="1:9" ht="22.5" customHeight="1">
      <c r="A18" s="484">
        <f ca="1">IF(ROWS($1:5)&gt;COUNT(Dong14),"",OFFSET(TH!C$1,SMALL(Dong14,ROWS($1:5)),))</f>
        <v>43009</v>
      </c>
      <c r="B18" s="484" t="str">
        <f ca="1">IF(ROWS($1:5)&gt;COUNT(Dong14),"",OFFSET(TH!D$1,SMALL(Dong14,ROWS($1:5)),))</f>
        <v>GBN</v>
      </c>
      <c r="C18" s="484">
        <f ca="1">IF(ROWS($1:5)&gt;COUNT(Dong14),"",OFFSET(TH!E$1,SMALL(Dong14,ROWS($1:5)),))</f>
        <v>43009</v>
      </c>
      <c r="D18" s="485" t="str">
        <f ca="1">IF(ROWS($1:5)&gt;COUNT(Dong14),"",OFFSET(TH!F$1,SMALL(Dong14,ROWS($1:5)),))</f>
        <v>thu tien hang</v>
      </c>
      <c r="E18" s="486" t="str">
        <f ca="1">IF(ROWS($1:5)&gt;COUNT(Dong14),"",IF(OFFSET(TH!L$1,SMALL(Dong14,ROWS($1:5)),)="331",OFFSET(TH!M$1,SMALL(Dong14,ROWS($1:5)),),OFFSET(TH!L$1,SMALL(Dong14,ROWS($1:5)),)))</f>
        <v>1111</v>
      </c>
      <c r="F18" s="487">
        <f ca="1">IF(ROWS($1:5)&gt;COUNT(Dong14),"",IF(OFFSET(TH!L$1,SMALL(Dong14,ROWS($1:5)),)="131",OFFSET(TH!K$1,SMALL(Dong14,ROWS($1:5)),),0))</f>
        <v>0</v>
      </c>
      <c r="G18" s="487">
        <f ca="1">IF(ROWS($1:5)&gt;COUNT(Dong14),"",IF(OFFSET(TH!M$1,SMALL(Dong14,ROWS($1:5)),)="131",OFFSET(TH!K$1,SMALL(Dong14,ROWS($1:5)),),0))</f>
        <v>828229619</v>
      </c>
      <c r="H18" s="243">
        <f t="shared" ca="1" si="0"/>
        <v>0</v>
      </c>
      <c r="I18" s="243">
        <f t="shared" ca="1" si="1"/>
        <v>1048703040</v>
      </c>
    </row>
    <row r="19" spans="1:9" ht="22.5" customHeight="1">
      <c r="A19" s="484">
        <f ca="1">IF(ROWS($1:6)&gt;COUNT(Dong14),"",OFFSET(TH!C$1,SMALL(Dong14,ROWS($1:6)),))</f>
        <v>42741</v>
      </c>
      <c r="B19" s="484" t="str">
        <f ca="1">IF(ROWS($1:6)&gt;COUNT(Dong14),"",OFFSET(TH!D$1,SMALL(Dong14,ROWS($1:6)),))</f>
        <v>X04</v>
      </c>
      <c r="C19" s="484">
        <f ca="1">IF(ROWS($1:6)&gt;COUNT(Dong14),"",OFFSET(TH!E$1,SMALL(Dong14,ROWS($1:6)),))</f>
        <v>42741</v>
      </c>
      <c r="D19" s="485" t="str">
        <f ca="1">IF(ROWS($1:6)&gt;COUNT(Dong14),"",OFFSET(TH!F$1,SMALL(Dong14,ROWS($1:6)),))</f>
        <v>Giấy cuộn</v>
      </c>
      <c r="E19" s="486" t="str">
        <f ca="1">IF(ROWS($1:6)&gt;COUNT(Dong14),"",IF(OFFSET(TH!L$1,SMALL(Dong14,ROWS($1:6)),)="331",OFFSET(TH!M$1,SMALL(Dong14,ROWS($1:6)),),OFFSET(TH!L$1,SMALL(Dong14,ROWS($1:6)),)))</f>
        <v>131</v>
      </c>
      <c r="F19" s="487">
        <f ca="1">IF(ROWS($1:6)&gt;COUNT(Dong14),"",IF(OFFSET(TH!L$1,SMALL(Dong14,ROWS($1:6)),)="131",OFFSET(TH!K$1,SMALL(Dong14,ROWS($1:6)),),0))</f>
        <v>310800000</v>
      </c>
      <c r="G19" s="487">
        <f ca="1">IF(ROWS($1:6)&gt;COUNT(Dong14),"",IF(OFFSET(TH!M$1,SMALL(Dong14,ROWS($1:6)),)="131",OFFSET(TH!K$1,SMALL(Dong14,ROWS($1:6)),),0))</f>
        <v>0</v>
      </c>
      <c r="H19" s="243">
        <f t="shared" ca="1" si="0"/>
        <v>0</v>
      </c>
      <c r="I19" s="243">
        <f t="shared" ca="1" si="1"/>
        <v>737903040</v>
      </c>
    </row>
    <row r="20" spans="1:9" ht="22.5" customHeight="1">
      <c r="A20" s="484">
        <f ca="1">IF(ROWS($1:7)&gt;COUNT(Dong14),"",OFFSET(TH!C$1,SMALL(Dong14,ROWS($1:7)),))</f>
        <v>42741</v>
      </c>
      <c r="B20" s="484" t="str">
        <f ca="1">IF(ROWS($1:7)&gt;COUNT(Dong14),"",OFFSET(TH!D$1,SMALL(Dong14,ROWS($1:7)),))</f>
        <v>X04</v>
      </c>
      <c r="C20" s="484">
        <f ca="1">IF(ROWS($1:7)&gt;COUNT(Dong14),"",OFFSET(TH!E$1,SMALL(Dong14,ROWS($1:7)),))</f>
        <v>42741</v>
      </c>
      <c r="D20" s="485" t="str">
        <f ca="1">IF(ROWS($1:7)&gt;COUNT(Dong14),"",OFFSET(TH!F$1,SMALL(Dong14,ROWS($1:7)),))</f>
        <v>VAT Giấy cuộn</v>
      </c>
      <c r="E20" s="486" t="str">
        <f ca="1">IF(ROWS($1:7)&gt;COUNT(Dong14),"",IF(OFFSET(TH!L$1,SMALL(Dong14,ROWS($1:7)),)="331",OFFSET(TH!M$1,SMALL(Dong14,ROWS($1:7)),),OFFSET(TH!L$1,SMALL(Dong14,ROWS($1:7)),)))</f>
        <v>131</v>
      </c>
      <c r="F20" s="487">
        <f ca="1">IF(ROWS($1:7)&gt;COUNT(Dong14),"",IF(OFFSET(TH!L$1,SMALL(Dong14,ROWS($1:7)),)="131",OFFSET(TH!K$1,SMALL(Dong14,ROWS($1:7)),),0))</f>
        <v>31080000</v>
      </c>
      <c r="G20" s="487">
        <f ca="1">IF(ROWS($1:7)&gt;COUNT(Dong14),"",IF(OFFSET(TH!M$1,SMALL(Dong14,ROWS($1:7)),)="131",OFFSET(TH!K$1,SMALL(Dong14,ROWS($1:7)),),0))</f>
        <v>0</v>
      </c>
      <c r="H20" s="243">
        <f t="shared" ca="1" si="0"/>
        <v>0</v>
      </c>
      <c r="I20" s="243">
        <f t="shared" ca="1" si="1"/>
        <v>706823040</v>
      </c>
    </row>
    <row r="21" spans="1:9" ht="22.5" customHeight="1">
      <c r="A21" s="484">
        <f ca="1">IF(ROWS($1:8)&gt;COUNT(Dong14),"",OFFSET(TH!C$1,SMALL(Dong14,ROWS($1:8)),))</f>
        <v>42794</v>
      </c>
      <c r="B21" s="484" t="str">
        <f ca="1">IF(ROWS($1:8)&gt;COUNT(Dong14),"",OFFSET(TH!D$1,SMALL(Dong14,ROWS($1:8)),))</f>
        <v>X38</v>
      </c>
      <c r="C21" s="484">
        <f ca="1">IF(ROWS($1:8)&gt;COUNT(Dong14),"",OFFSET(TH!E$1,SMALL(Dong14,ROWS($1:8)),))</f>
        <v>42794</v>
      </c>
      <c r="D21" s="485" t="str">
        <f ca="1">IF(ROWS($1:8)&gt;COUNT(Dong14),"",OFFSET(TH!F$1,SMALL(Dong14,ROWS($1:8)),))</f>
        <v>Giấy cuộn</v>
      </c>
      <c r="E21" s="486" t="str">
        <f ca="1">IF(ROWS($1:8)&gt;COUNT(Dong14),"",IF(OFFSET(TH!L$1,SMALL(Dong14,ROWS($1:8)),)="331",OFFSET(TH!M$1,SMALL(Dong14,ROWS($1:8)),),OFFSET(TH!L$1,SMALL(Dong14,ROWS($1:8)),)))</f>
        <v>131</v>
      </c>
      <c r="F21" s="487">
        <f ca="1">IF(ROWS($1:8)&gt;COUNT(Dong14),"",IF(OFFSET(TH!L$1,SMALL(Dong14,ROWS($1:8)),)="131",OFFSET(TH!K$1,SMALL(Dong14,ROWS($1:8)),),0))</f>
        <v>352800000</v>
      </c>
      <c r="G21" s="487">
        <f ca="1">IF(ROWS($1:8)&gt;COUNT(Dong14),"",IF(OFFSET(TH!M$1,SMALL(Dong14,ROWS($1:8)),)="131",OFFSET(TH!K$1,SMALL(Dong14,ROWS($1:8)),),0))</f>
        <v>0</v>
      </c>
      <c r="H21" s="243">
        <f t="shared" ca="1" si="0"/>
        <v>0</v>
      </c>
      <c r="I21" s="243">
        <f t="shared" ca="1" si="1"/>
        <v>354023040</v>
      </c>
    </row>
    <row r="22" spans="1:9" ht="22.5" customHeight="1">
      <c r="A22" s="484">
        <f ca="1">IF(ROWS($1:9)&gt;COUNT(Dong14),"",OFFSET(TH!C$1,SMALL(Dong14,ROWS($1:9)),))</f>
        <v>42794</v>
      </c>
      <c r="B22" s="484" t="str">
        <f ca="1">IF(ROWS($1:9)&gt;COUNT(Dong14),"",OFFSET(TH!D$1,SMALL(Dong14,ROWS($1:9)),))</f>
        <v>X38</v>
      </c>
      <c r="C22" s="484">
        <f ca="1">IF(ROWS($1:9)&gt;COUNT(Dong14),"",OFFSET(TH!E$1,SMALL(Dong14,ROWS($1:9)),))</f>
        <v>42794</v>
      </c>
      <c r="D22" s="485" t="str">
        <f ca="1">IF(ROWS($1:9)&gt;COUNT(Dong14),"",OFFSET(TH!F$1,SMALL(Dong14,ROWS($1:9)),))</f>
        <v>VAT Giấy cuộn</v>
      </c>
      <c r="E22" s="486" t="str">
        <f ca="1">IF(ROWS($1:9)&gt;COUNT(Dong14),"",IF(OFFSET(TH!L$1,SMALL(Dong14,ROWS($1:9)),)="331",OFFSET(TH!M$1,SMALL(Dong14,ROWS($1:9)),),OFFSET(TH!L$1,SMALL(Dong14,ROWS($1:9)),)))</f>
        <v>131</v>
      </c>
      <c r="F22" s="487">
        <f ca="1">IF(ROWS($1:9)&gt;COUNT(Dong14),"",IF(OFFSET(TH!L$1,SMALL(Dong14,ROWS($1:9)),)="131",OFFSET(TH!K$1,SMALL(Dong14,ROWS($1:9)),),0))</f>
        <v>35280000</v>
      </c>
      <c r="G22" s="487">
        <f ca="1">IF(ROWS($1:9)&gt;COUNT(Dong14),"",IF(OFFSET(TH!M$1,SMALL(Dong14,ROWS($1:9)),)="131",OFFSET(TH!K$1,SMALL(Dong14,ROWS($1:9)),),0))</f>
        <v>0</v>
      </c>
      <c r="H22" s="243">
        <f t="shared" ca="1" si="0"/>
        <v>0</v>
      </c>
      <c r="I22" s="243">
        <f t="shared" ca="1" si="1"/>
        <v>318743040</v>
      </c>
    </row>
    <row r="23" spans="1:9" ht="22.5" customHeight="1">
      <c r="A23" s="484">
        <f ca="1">IF(ROWS($1:10)&gt;COUNT(Dong14),"",OFFSET(TH!C$1,SMALL(Dong14,ROWS($1:10)),))</f>
        <v>42825</v>
      </c>
      <c r="B23" s="484" t="str">
        <f ca="1">IF(ROWS($1:10)&gt;COUNT(Dong14),"",OFFSET(TH!D$1,SMALL(Dong14,ROWS($1:10)),))</f>
        <v>X63</v>
      </c>
      <c r="C23" s="484">
        <f ca="1">IF(ROWS($1:10)&gt;COUNT(Dong14),"",OFFSET(TH!E$1,SMALL(Dong14,ROWS($1:10)),))</f>
        <v>42825</v>
      </c>
      <c r="D23" s="485" t="str">
        <f ca="1">IF(ROWS($1:10)&gt;COUNT(Dong14),"",OFFSET(TH!F$1,SMALL(Dong14,ROWS($1:10)),))</f>
        <v>Giấy cuộn</v>
      </c>
      <c r="E23" s="486" t="str">
        <f ca="1">IF(ROWS($1:10)&gt;COUNT(Dong14),"",IF(OFFSET(TH!L$1,SMALL(Dong14,ROWS($1:10)),)="331",OFFSET(TH!M$1,SMALL(Dong14,ROWS($1:10)),),OFFSET(TH!L$1,SMALL(Dong14,ROWS($1:10)),)))</f>
        <v>131</v>
      </c>
      <c r="F23" s="487">
        <f ca="1">IF(ROWS($1:10)&gt;COUNT(Dong14),"",IF(OFFSET(TH!L$1,SMALL(Dong14,ROWS($1:10)),)="131",OFFSET(TH!K$1,SMALL(Dong14,ROWS($1:10)),),0))</f>
        <v>213360000</v>
      </c>
      <c r="G23" s="487">
        <f ca="1">IF(ROWS($1:10)&gt;COUNT(Dong14),"",IF(OFFSET(TH!M$1,SMALL(Dong14,ROWS($1:10)),)="131",OFFSET(TH!K$1,SMALL(Dong14,ROWS($1:10)),),0))</f>
        <v>0</v>
      </c>
      <c r="H23" s="243">
        <f t="shared" ca="1" si="0"/>
        <v>0</v>
      </c>
      <c r="I23" s="243">
        <f t="shared" ca="1" si="1"/>
        <v>105383040</v>
      </c>
    </row>
    <row r="24" spans="1:9" ht="22.5" customHeight="1">
      <c r="A24" s="484">
        <f ca="1">IF(ROWS($1:11)&gt;COUNT(Dong14),"",OFFSET(TH!C$1,SMALL(Dong14,ROWS($1:11)),))</f>
        <v>42825</v>
      </c>
      <c r="B24" s="484" t="str">
        <f ca="1">IF(ROWS($1:11)&gt;COUNT(Dong14),"",OFFSET(TH!D$1,SMALL(Dong14,ROWS($1:11)),))</f>
        <v>X63</v>
      </c>
      <c r="C24" s="484">
        <f ca="1">IF(ROWS($1:11)&gt;COUNT(Dong14),"",OFFSET(TH!E$1,SMALL(Dong14,ROWS($1:11)),))</f>
        <v>42825</v>
      </c>
      <c r="D24" s="485" t="str">
        <f ca="1">IF(ROWS($1:11)&gt;COUNT(Dong14),"",OFFSET(TH!F$1,SMALL(Dong14,ROWS($1:11)),))</f>
        <v>VAT Giấy cuộn</v>
      </c>
      <c r="E24" s="486" t="str">
        <f ca="1">IF(ROWS($1:11)&gt;COUNT(Dong14),"",IF(OFFSET(TH!L$1,SMALL(Dong14,ROWS($1:11)),)="331",OFFSET(TH!M$1,SMALL(Dong14,ROWS($1:11)),),OFFSET(TH!L$1,SMALL(Dong14,ROWS($1:11)),)))</f>
        <v>131</v>
      </c>
      <c r="F24" s="487">
        <f ca="1">IF(ROWS($1:11)&gt;COUNT(Dong14),"",IF(OFFSET(TH!L$1,SMALL(Dong14,ROWS($1:11)),)="131",OFFSET(TH!K$1,SMALL(Dong14,ROWS($1:11)),),0))</f>
        <v>21336000</v>
      </c>
      <c r="G24" s="487">
        <f ca="1">IF(ROWS($1:11)&gt;COUNT(Dong14),"",IF(OFFSET(TH!M$1,SMALL(Dong14,ROWS($1:11)),)="131",OFFSET(TH!K$1,SMALL(Dong14,ROWS($1:11)),),0))</f>
        <v>0</v>
      </c>
      <c r="H24" s="243">
        <f t="shared" ca="1" si="0"/>
        <v>0</v>
      </c>
      <c r="I24" s="243">
        <f t="shared" ca="1" si="1"/>
        <v>84047040</v>
      </c>
    </row>
    <row r="25" spans="1:9" ht="22.5" customHeight="1">
      <c r="A25" s="484">
        <f ca="1">IF(ROWS($1:12)&gt;COUNT(Dong14),"",OFFSET(TH!C$1,SMALL(Dong14,ROWS($1:12)),))</f>
        <v>42922</v>
      </c>
      <c r="B25" s="484" t="str">
        <f ca="1">IF(ROWS($1:12)&gt;COUNT(Dong14),"",OFFSET(TH!D$1,SMALL(Dong14,ROWS($1:12)),))</f>
        <v>X</v>
      </c>
      <c r="C25" s="484">
        <f ca="1">IF(ROWS($1:12)&gt;COUNT(Dong14),"",OFFSET(TH!E$1,SMALL(Dong14,ROWS($1:12)),))</f>
        <v>42922</v>
      </c>
      <c r="D25" s="485" t="str">
        <f ca="1">IF(ROWS($1:12)&gt;COUNT(Dong14),"",OFFSET(TH!F$1,SMALL(Dong14,ROWS($1:12)),))</f>
        <v>Giấy cuộn</v>
      </c>
      <c r="E25" s="486" t="str">
        <f ca="1">IF(ROWS($1:12)&gt;COUNT(Dong14),"",IF(OFFSET(TH!L$1,SMALL(Dong14,ROWS($1:12)),)="331",OFFSET(TH!M$1,SMALL(Dong14,ROWS($1:12)),),OFFSET(TH!L$1,SMALL(Dong14,ROWS($1:12)),)))</f>
        <v>131</v>
      </c>
      <c r="F25" s="487">
        <f ca="1">IF(ROWS($1:12)&gt;COUNT(Dong14),"",IF(OFFSET(TH!L$1,SMALL(Dong14,ROWS($1:12)),)="131",OFFSET(TH!K$1,SMALL(Dong14,ROWS($1:12)),),0))</f>
        <v>13498800</v>
      </c>
      <c r="G25" s="487">
        <f ca="1">IF(ROWS($1:12)&gt;COUNT(Dong14),"",IF(OFFSET(TH!M$1,SMALL(Dong14,ROWS($1:12)),)="131",OFFSET(TH!K$1,SMALL(Dong14,ROWS($1:12)),),0))</f>
        <v>0</v>
      </c>
      <c r="H25" s="243">
        <f t="shared" ca="1" si="0"/>
        <v>0</v>
      </c>
      <c r="I25" s="243">
        <f t="shared" ca="1" si="1"/>
        <v>70548240</v>
      </c>
    </row>
    <row r="26" spans="1:9" ht="22.5" customHeight="1">
      <c r="A26" s="484">
        <f ca="1">IF(ROWS($1:13)&gt;COUNT(Dong14),"",OFFSET(TH!C$1,SMALL(Dong14,ROWS($1:13)),))</f>
        <v>42922</v>
      </c>
      <c r="B26" s="484" t="str">
        <f ca="1">IF(ROWS($1:13)&gt;COUNT(Dong14),"",OFFSET(TH!D$1,SMALL(Dong14,ROWS($1:13)),))</f>
        <v>X</v>
      </c>
      <c r="C26" s="484">
        <f ca="1">IF(ROWS($1:13)&gt;COUNT(Dong14),"",OFFSET(TH!E$1,SMALL(Dong14,ROWS($1:13)),))</f>
        <v>42922</v>
      </c>
      <c r="D26" s="485" t="str">
        <f ca="1">IF(ROWS($1:13)&gt;COUNT(Dong14),"",OFFSET(TH!F$1,SMALL(Dong14,ROWS($1:13)),))</f>
        <v>VAT Giấy cuộn</v>
      </c>
      <c r="E26" s="486" t="str">
        <f ca="1">IF(ROWS($1:13)&gt;COUNT(Dong14),"",IF(OFFSET(TH!L$1,SMALL(Dong14,ROWS($1:13)),)="331",OFFSET(TH!M$1,SMALL(Dong14,ROWS($1:13)),),OFFSET(TH!L$1,SMALL(Dong14,ROWS($1:13)),)))</f>
        <v>131</v>
      </c>
      <c r="F26" s="487">
        <f ca="1">IF(ROWS($1:13)&gt;COUNT(Dong14),"",IF(OFFSET(TH!L$1,SMALL(Dong14,ROWS($1:13)),)="131",OFFSET(TH!K$1,SMALL(Dong14,ROWS($1:13)),),0))</f>
        <v>1349880</v>
      </c>
      <c r="G26" s="487">
        <f ca="1">IF(ROWS($1:13)&gt;COUNT(Dong14),"",IF(OFFSET(TH!M$1,SMALL(Dong14,ROWS($1:13)),)="131",OFFSET(TH!K$1,SMALL(Dong14,ROWS($1:13)),),0))</f>
        <v>0</v>
      </c>
      <c r="H26" s="243">
        <f t="shared" ca="1" si="0"/>
        <v>0</v>
      </c>
      <c r="I26" s="243">
        <f t="shared" ca="1" si="1"/>
        <v>69198360</v>
      </c>
    </row>
    <row r="27" spans="1:9" ht="22.5" customHeight="1">
      <c r="A27" s="484">
        <f ca="1">IF(ROWS($1:14)&gt;COUNT(Dong14),"",OFFSET(TH!C$1,SMALL(Dong14,ROWS($1:14)),))</f>
        <v>42923</v>
      </c>
      <c r="B27" s="484" t="str">
        <f ca="1">IF(ROWS($1:14)&gt;COUNT(Dong14),"",OFFSET(TH!D$1,SMALL(Dong14,ROWS($1:14)),))</f>
        <v>X</v>
      </c>
      <c r="C27" s="484">
        <f ca="1">IF(ROWS($1:14)&gt;COUNT(Dong14),"",OFFSET(TH!E$1,SMALL(Dong14,ROWS($1:14)),))</f>
        <v>42923</v>
      </c>
      <c r="D27" s="485" t="str">
        <f ca="1">IF(ROWS($1:14)&gt;COUNT(Dong14),"",OFFSET(TH!F$1,SMALL(Dong14,ROWS($1:14)),))</f>
        <v>Giấy cuộn</v>
      </c>
      <c r="E27" s="486" t="str">
        <f ca="1">IF(ROWS($1:14)&gt;COUNT(Dong14),"",IF(OFFSET(TH!L$1,SMALL(Dong14,ROWS($1:14)),)="331",OFFSET(TH!M$1,SMALL(Dong14,ROWS($1:14)),),OFFSET(TH!L$1,SMALL(Dong14,ROWS($1:14)),)))</f>
        <v>131</v>
      </c>
      <c r="F27" s="487">
        <f ca="1">IF(ROWS($1:14)&gt;COUNT(Dong14),"",IF(OFFSET(TH!L$1,SMALL(Dong14,ROWS($1:14)),)="131",OFFSET(TH!K$1,SMALL(Dong14,ROWS($1:14)),),0))</f>
        <v>17505600</v>
      </c>
      <c r="G27" s="487">
        <f ca="1">IF(ROWS($1:14)&gt;COUNT(Dong14),"",IF(OFFSET(TH!M$1,SMALL(Dong14,ROWS($1:14)),)="131",OFFSET(TH!K$1,SMALL(Dong14,ROWS($1:14)),),0))</f>
        <v>0</v>
      </c>
      <c r="H27" s="243">
        <f t="shared" ca="1" si="0"/>
        <v>0</v>
      </c>
      <c r="I27" s="243">
        <f t="shared" ca="1" si="1"/>
        <v>51692760</v>
      </c>
    </row>
    <row r="28" spans="1:9" ht="22.5" customHeight="1">
      <c r="A28" s="484">
        <f ca="1">IF(ROWS($1:15)&gt;COUNT(Dong14),"",OFFSET(TH!C$1,SMALL(Dong14,ROWS($1:15)),))</f>
        <v>42923</v>
      </c>
      <c r="B28" s="484" t="str">
        <f ca="1">IF(ROWS($1:15)&gt;COUNT(Dong14),"",OFFSET(TH!D$1,SMALL(Dong14,ROWS($1:15)),))</f>
        <v>X</v>
      </c>
      <c r="C28" s="484">
        <f ca="1">IF(ROWS($1:15)&gt;COUNT(Dong14),"",OFFSET(TH!E$1,SMALL(Dong14,ROWS($1:15)),))</f>
        <v>42923</v>
      </c>
      <c r="D28" s="485" t="str">
        <f ca="1">IF(ROWS($1:15)&gt;COUNT(Dong14),"",OFFSET(TH!F$1,SMALL(Dong14,ROWS($1:15)),))</f>
        <v>VAT Giấy cuộn</v>
      </c>
      <c r="E28" s="486" t="str">
        <f ca="1">IF(ROWS($1:15)&gt;COUNT(Dong14),"",IF(OFFSET(TH!L$1,SMALL(Dong14,ROWS($1:15)),)="331",OFFSET(TH!M$1,SMALL(Dong14,ROWS($1:15)),),OFFSET(TH!L$1,SMALL(Dong14,ROWS($1:15)),)))</f>
        <v>131</v>
      </c>
      <c r="F28" s="487">
        <f ca="1">IF(ROWS($1:15)&gt;COUNT(Dong14),"",IF(OFFSET(TH!L$1,SMALL(Dong14,ROWS($1:15)),)="131",OFFSET(TH!K$1,SMALL(Dong14,ROWS($1:15)),),0))</f>
        <v>1750560</v>
      </c>
      <c r="G28" s="487">
        <f ca="1">IF(ROWS($1:15)&gt;COUNT(Dong14),"",IF(OFFSET(TH!M$1,SMALL(Dong14,ROWS($1:15)),)="131",OFFSET(TH!K$1,SMALL(Dong14,ROWS($1:15)),),0))</f>
        <v>0</v>
      </c>
      <c r="H28" s="243">
        <f t="shared" ca="1" si="0"/>
        <v>0</v>
      </c>
      <c r="I28" s="243">
        <f t="shared" ca="1" si="1"/>
        <v>49942200</v>
      </c>
    </row>
    <row r="29" spans="1:9" ht="22.5" customHeight="1">
      <c r="A29" s="484">
        <f ca="1">IF(ROWS($1:16)&gt;COUNT(Dong14),"",OFFSET(TH!C$1,SMALL(Dong14,ROWS($1:16)),))</f>
        <v>42925</v>
      </c>
      <c r="B29" s="484" t="str">
        <f ca="1">IF(ROWS($1:16)&gt;COUNT(Dong14),"",OFFSET(TH!D$1,SMALL(Dong14,ROWS($1:16)),))</f>
        <v>X</v>
      </c>
      <c r="C29" s="484">
        <f ca="1">IF(ROWS($1:16)&gt;COUNT(Dong14),"",OFFSET(TH!E$1,SMALL(Dong14,ROWS($1:16)),))</f>
        <v>42925</v>
      </c>
      <c r="D29" s="485" t="str">
        <f ca="1">IF(ROWS($1:16)&gt;COUNT(Dong14),"",OFFSET(TH!F$1,SMALL(Dong14,ROWS($1:16)),))</f>
        <v>Giấy cuộn</v>
      </c>
      <c r="E29" s="486" t="str">
        <f ca="1">IF(ROWS($1:16)&gt;COUNT(Dong14),"",IF(OFFSET(TH!L$1,SMALL(Dong14,ROWS($1:16)),)="331",OFFSET(TH!M$1,SMALL(Dong14,ROWS($1:16)),),OFFSET(TH!L$1,SMALL(Dong14,ROWS($1:16)),)))</f>
        <v>131</v>
      </c>
      <c r="F29" s="487">
        <f ca="1">IF(ROWS($1:16)&gt;COUNT(Dong14),"",IF(OFFSET(TH!L$1,SMALL(Dong14,ROWS($1:16)),)="131",OFFSET(TH!K$1,SMALL(Dong14,ROWS($1:16)),),0))</f>
        <v>13700400</v>
      </c>
      <c r="G29" s="487">
        <f ca="1">IF(ROWS($1:16)&gt;COUNT(Dong14),"",IF(OFFSET(TH!M$1,SMALL(Dong14,ROWS($1:16)),)="131",OFFSET(TH!K$1,SMALL(Dong14,ROWS($1:16)),),0))</f>
        <v>0</v>
      </c>
      <c r="H29" s="243">
        <f t="shared" ca="1" si="0"/>
        <v>0</v>
      </c>
      <c r="I29" s="243">
        <f t="shared" ca="1" si="1"/>
        <v>36241800</v>
      </c>
    </row>
    <row r="30" spans="1:9" ht="22.5" customHeight="1">
      <c r="A30" s="484">
        <f ca="1">IF(ROWS($1:17)&gt;COUNT(Dong14),"",OFFSET(TH!C$1,SMALL(Dong14,ROWS($1:17)),))</f>
        <v>42925</v>
      </c>
      <c r="B30" s="484" t="str">
        <f ca="1">IF(ROWS($1:17)&gt;COUNT(Dong14),"",OFFSET(TH!D$1,SMALL(Dong14,ROWS($1:17)),))</f>
        <v>X</v>
      </c>
      <c r="C30" s="484">
        <f ca="1">IF(ROWS($1:17)&gt;COUNT(Dong14),"",OFFSET(TH!E$1,SMALL(Dong14,ROWS($1:17)),))</f>
        <v>42925</v>
      </c>
      <c r="D30" s="485" t="str">
        <f ca="1">IF(ROWS($1:17)&gt;COUNT(Dong14),"",OFFSET(TH!F$1,SMALL(Dong14,ROWS($1:17)),))</f>
        <v>VAT Giấy cuộn</v>
      </c>
      <c r="E30" s="486" t="str">
        <f ca="1">IF(ROWS($1:17)&gt;COUNT(Dong14),"",IF(OFFSET(TH!L$1,SMALL(Dong14,ROWS($1:17)),)="331",OFFSET(TH!M$1,SMALL(Dong14,ROWS($1:17)),),OFFSET(TH!L$1,SMALL(Dong14,ROWS($1:17)),)))</f>
        <v>131</v>
      </c>
      <c r="F30" s="487">
        <f ca="1">IF(ROWS($1:17)&gt;COUNT(Dong14),"",IF(OFFSET(TH!L$1,SMALL(Dong14,ROWS($1:17)),)="131",OFFSET(TH!K$1,SMALL(Dong14,ROWS($1:17)),),0))</f>
        <v>1370040</v>
      </c>
      <c r="G30" s="487">
        <f ca="1">IF(ROWS($1:17)&gt;COUNT(Dong14),"",IF(OFFSET(TH!M$1,SMALL(Dong14,ROWS($1:17)),)="131",OFFSET(TH!K$1,SMALL(Dong14,ROWS($1:17)),),0))</f>
        <v>0</v>
      </c>
      <c r="H30" s="243">
        <f t="shared" ca="1" si="0"/>
        <v>0</v>
      </c>
      <c r="I30" s="243">
        <f t="shared" ca="1" si="1"/>
        <v>34871760</v>
      </c>
    </row>
    <row r="31" spans="1:9" ht="22.5" customHeight="1">
      <c r="A31" s="484">
        <f ca="1">IF(ROWS($1:18)&gt;COUNT(Dong14),"",OFFSET(TH!C$1,SMALL(Dong14,ROWS($1:18)),))</f>
        <v>42926</v>
      </c>
      <c r="B31" s="484" t="str">
        <f ca="1">IF(ROWS($1:18)&gt;COUNT(Dong14),"",OFFSET(TH!D$1,SMALL(Dong14,ROWS($1:18)),))</f>
        <v>X</v>
      </c>
      <c r="C31" s="484">
        <f ca="1">IF(ROWS($1:18)&gt;COUNT(Dong14),"",OFFSET(TH!E$1,SMALL(Dong14,ROWS($1:18)),))</f>
        <v>42926</v>
      </c>
      <c r="D31" s="485" t="str">
        <f ca="1">IF(ROWS($1:18)&gt;COUNT(Dong14),"",OFFSET(TH!F$1,SMALL(Dong14,ROWS($1:18)),))</f>
        <v>Giấy cuộn</v>
      </c>
      <c r="E31" s="486" t="str">
        <f ca="1">IF(ROWS($1:18)&gt;COUNT(Dong14),"",IF(OFFSET(TH!L$1,SMALL(Dong14,ROWS($1:18)),)="331",OFFSET(TH!M$1,SMALL(Dong14,ROWS($1:18)),),OFFSET(TH!L$1,SMALL(Dong14,ROWS($1:18)),)))</f>
        <v>131</v>
      </c>
      <c r="F31" s="487">
        <f ca="1">IF(ROWS($1:18)&gt;COUNT(Dong14),"",IF(OFFSET(TH!L$1,SMALL(Dong14,ROWS($1:18)),)="131",OFFSET(TH!K$1,SMALL(Dong14,ROWS($1:18)),),0))</f>
        <v>16002000</v>
      </c>
      <c r="G31" s="487">
        <f ca="1">IF(ROWS($1:18)&gt;COUNT(Dong14),"",IF(OFFSET(TH!M$1,SMALL(Dong14,ROWS($1:18)),)="131",OFFSET(TH!K$1,SMALL(Dong14,ROWS($1:18)),),0))</f>
        <v>0</v>
      </c>
      <c r="H31" s="243">
        <f t="shared" ref="H31:H40" ca="1" si="2">IF(D31&lt;&gt;"",MAX(H30+F31-G31-I30,0),0)</f>
        <v>0</v>
      </c>
      <c r="I31" s="243">
        <f t="shared" ref="I31:I40" ca="1" si="3">IF(D31&lt;&gt;"",MAX(I30+G31-H30-F31,0),0)</f>
        <v>18869760</v>
      </c>
    </row>
    <row r="32" spans="1:9" ht="22.5" customHeight="1">
      <c r="A32" s="484">
        <f ca="1">IF(ROWS($1:19)&gt;COUNT(Dong14),"",OFFSET(TH!C$1,SMALL(Dong14,ROWS($1:19)),))</f>
        <v>42926</v>
      </c>
      <c r="B32" s="484" t="str">
        <f ca="1">IF(ROWS($1:19)&gt;COUNT(Dong14),"",OFFSET(TH!D$1,SMALL(Dong14,ROWS($1:19)),))</f>
        <v>X</v>
      </c>
      <c r="C32" s="484">
        <f ca="1">IF(ROWS($1:19)&gt;COUNT(Dong14),"",OFFSET(TH!E$1,SMALL(Dong14,ROWS($1:19)),))</f>
        <v>42926</v>
      </c>
      <c r="D32" s="485" t="str">
        <f ca="1">IF(ROWS($1:19)&gt;COUNT(Dong14),"",OFFSET(TH!F$1,SMALL(Dong14,ROWS($1:19)),))</f>
        <v>VAT Giấy cuộn</v>
      </c>
      <c r="E32" s="486" t="str">
        <f ca="1">IF(ROWS($1:19)&gt;COUNT(Dong14),"",IF(OFFSET(TH!L$1,SMALL(Dong14,ROWS($1:19)),)="331",OFFSET(TH!M$1,SMALL(Dong14,ROWS($1:19)),),OFFSET(TH!L$1,SMALL(Dong14,ROWS($1:19)),)))</f>
        <v>131</v>
      </c>
      <c r="F32" s="487">
        <f ca="1">IF(ROWS($1:19)&gt;COUNT(Dong14),"",IF(OFFSET(TH!L$1,SMALL(Dong14,ROWS($1:19)),)="131",OFFSET(TH!K$1,SMALL(Dong14,ROWS($1:19)),),0))</f>
        <v>1600200</v>
      </c>
      <c r="G32" s="487">
        <f ca="1">IF(ROWS($1:19)&gt;COUNT(Dong14),"",IF(OFFSET(TH!M$1,SMALL(Dong14,ROWS($1:19)),)="131",OFFSET(TH!K$1,SMALL(Dong14,ROWS($1:19)),),0))</f>
        <v>0</v>
      </c>
      <c r="H32" s="243">
        <f t="shared" ca="1" si="2"/>
        <v>0</v>
      </c>
      <c r="I32" s="243">
        <f t="shared" ca="1" si="3"/>
        <v>17269560</v>
      </c>
    </row>
    <row r="33" spans="1:9" ht="22.5" customHeight="1">
      <c r="A33" s="484">
        <f ca="1">IF(ROWS($1:20)&gt;COUNT(Dong14),"",OFFSET(TH!C$1,SMALL(Dong14,ROWS($1:20)),))</f>
        <v>42926</v>
      </c>
      <c r="B33" s="484" t="str">
        <f ca="1">IF(ROWS($1:20)&gt;COUNT(Dong14),"",OFFSET(TH!D$1,SMALL(Dong14,ROWS($1:20)),))</f>
        <v>X</v>
      </c>
      <c r="C33" s="484">
        <f ca="1">IF(ROWS($1:20)&gt;COUNT(Dong14),"",OFFSET(TH!E$1,SMALL(Dong14,ROWS($1:20)),))</f>
        <v>42926</v>
      </c>
      <c r="D33" s="485" t="str">
        <f ca="1">IF(ROWS($1:20)&gt;COUNT(Dong14),"",OFFSET(TH!F$1,SMALL(Dong14,ROWS($1:20)),))</f>
        <v>Giấy cuộn</v>
      </c>
      <c r="E33" s="486" t="str">
        <f ca="1">IF(ROWS($1:20)&gt;COUNT(Dong14),"",IF(OFFSET(TH!L$1,SMALL(Dong14,ROWS($1:20)),)="331",OFFSET(TH!M$1,SMALL(Dong14,ROWS($1:20)),),OFFSET(TH!L$1,SMALL(Dong14,ROWS($1:20)),)))</f>
        <v>131</v>
      </c>
      <c r="F33" s="487">
        <f ca="1">IF(ROWS($1:20)&gt;COUNT(Dong14),"",IF(OFFSET(TH!L$1,SMALL(Dong14,ROWS($1:20)),)="131",OFFSET(TH!K$1,SMALL(Dong14,ROWS($1:20)),),0))</f>
        <v>15699600</v>
      </c>
      <c r="G33" s="487">
        <f ca="1">IF(ROWS($1:20)&gt;COUNT(Dong14),"",IF(OFFSET(TH!M$1,SMALL(Dong14,ROWS($1:20)),)="131",OFFSET(TH!K$1,SMALL(Dong14,ROWS($1:20)),),0))</f>
        <v>0</v>
      </c>
      <c r="H33" s="243">
        <f t="shared" ca="1" si="2"/>
        <v>0</v>
      </c>
      <c r="I33" s="243">
        <f t="shared" ca="1" si="3"/>
        <v>1569960</v>
      </c>
    </row>
    <row r="34" spans="1:9" ht="22.5" customHeight="1">
      <c r="A34" s="484">
        <f ca="1">IF(ROWS($1:21)&gt;COUNT(Dong14),"",OFFSET(TH!C$1,SMALL(Dong14,ROWS($1:21)),))</f>
        <v>42926</v>
      </c>
      <c r="B34" s="484" t="str">
        <f ca="1">IF(ROWS($1:21)&gt;COUNT(Dong14),"",OFFSET(TH!D$1,SMALL(Dong14,ROWS($1:21)),))</f>
        <v>X</v>
      </c>
      <c r="C34" s="484">
        <f ca="1">IF(ROWS($1:21)&gt;COUNT(Dong14),"",OFFSET(TH!E$1,SMALL(Dong14,ROWS($1:21)),))</f>
        <v>42926</v>
      </c>
      <c r="D34" s="485" t="str">
        <f ca="1">IF(ROWS($1:21)&gt;COUNT(Dong14),"",OFFSET(TH!F$1,SMALL(Dong14,ROWS($1:21)),))</f>
        <v>VAT Giấy cuộn</v>
      </c>
      <c r="E34" s="486" t="str">
        <f ca="1">IF(ROWS($1:21)&gt;COUNT(Dong14),"",IF(OFFSET(TH!L$1,SMALL(Dong14,ROWS($1:21)),)="331",OFFSET(TH!M$1,SMALL(Dong14,ROWS($1:21)),),OFFSET(TH!L$1,SMALL(Dong14,ROWS($1:21)),)))</f>
        <v>131</v>
      </c>
      <c r="F34" s="487">
        <f ca="1">IF(ROWS($1:21)&gt;COUNT(Dong14),"",IF(OFFSET(TH!L$1,SMALL(Dong14,ROWS($1:21)),)="131",OFFSET(TH!K$1,SMALL(Dong14,ROWS($1:21)),),0))</f>
        <v>1569960</v>
      </c>
      <c r="G34" s="487">
        <f ca="1">IF(ROWS($1:21)&gt;COUNT(Dong14),"",IF(OFFSET(TH!M$1,SMALL(Dong14,ROWS($1:21)),)="131",OFFSET(TH!K$1,SMALL(Dong14,ROWS($1:21)),),0))</f>
        <v>0</v>
      </c>
      <c r="H34" s="243">
        <f t="shared" ca="1" si="2"/>
        <v>0</v>
      </c>
      <c r="I34" s="243">
        <f t="shared" ca="1" si="3"/>
        <v>0</v>
      </c>
    </row>
    <row r="35" spans="1:9" ht="22.5" customHeight="1">
      <c r="A35" s="484" t="str">
        <f ca="1">IF(ROWS($1:22)&gt;COUNT(Dong14),"",OFFSET(TH!C$1,SMALL(Dong14,ROWS($1:22)),))</f>
        <v/>
      </c>
      <c r="B35" s="484" t="str">
        <f ca="1">IF(ROWS($1:22)&gt;COUNT(Dong14),"",OFFSET(TH!D$1,SMALL(Dong14,ROWS($1:22)),))</f>
        <v/>
      </c>
      <c r="C35" s="484" t="str">
        <f ca="1">IF(ROWS($1:22)&gt;COUNT(Dong14),"",OFFSET(TH!E$1,SMALL(Dong14,ROWS($1:22)),))</f>
        <v/>
      </c>
      <c r="D35" s="485" t="str">
        <f ca="1">IF(ROWS($1:22)&gt;COUNT(Dong14),"",OFFSET(TH!F$1,SMALL(Dong14,ROWS($1:22)),))</f>
        <v/>
      </c>
      <c r="E35" s="486" t="str">
        <f ca="1">IF(ROWS($1:22)&gt;COUNT(Dong14),"",IF(OFFSET(TH!L$1,SMALL(Dong14,ROWS($1:22)),)="331",OFFSET(TH!M$1,SMALL(Dong14,ROWS($1:22)),),OFFSET(TH!L$1,SMALL(Dong14,ROWS($1:22)),)))</f>
        <v/>
      </c>
      <c r="F35" s="487" t="str">
        <f ca="1">IF(ROWS($1:22)&gt;COUNT(Dong14),"",IF(OFFSET(TH!L$1,SMALL(Dong14,ROWS($1:22)),)="131",OFFSET(TH!K$1,SMALL(Dong14,ROWS($1:22)),),0))</f>
        <v/>
      </c>
      <c r="G35" s="487" t="str">
        <f ca="1">IF(ROWS($1:22)&gt;COUNT(Dong14),"",IF(OFFSET(TH!M$1,SMALL(Dong14,ROWS($1:22)),)="131",OFFSET(TH!K$1,SMALL(Dong14,ROWS($1:22)),),0))</f>
        <v/>
      </c>
      <c r="H35" s="243">
        <f t="shared" ca="1" si="2"/>
        <v>0</v>
      </c>
      <c r="I35" s="243">
        <f t="shared" ca="1" si="3"/>
        <v>0</v>
      </c>
    </row>
    <row r="36" spans="1:9" ht="22.5" customHeight="1">
      <c r="A36" s="484" t="str">
        <f ca="1">IF(ROWS($1:23)&gt;COUNT(Dong14),"",OFFSET(TH!C$1,SMALL(Dong14,ROWS($1:23)),))</f>
        <v/>
      </c>
      <c r="B36" s="484" t="str">
        <f ca="1">IF(ROWS($1:23)&gt;COUNT(Dong14),"",OFFSET(TH!D$1,SMALL(Dong14,ROWS($1:23)),))</f>
        <v/>
      </c>
      <c r="C36" s="484" t="str">
        <f ca="1">IF(ROWS($1:23)&gt;COUNT(Dong14),"",OFFSET(TH!E$1,SMALL(Dong14,ROWS($1:23)),))</f>
        <v/>
      </c>
      <c r="D36" s="485" t="str">
        <f ca="1">IF(ROWS($1:23)&gt;COUNT(Dong14),"",OFFSET(TH!F$1,SMALL(Dong14,ROWS($1:23)),))</f>
        <v/>
      </c>
      <c r="E36" s="486" t="str">
        <f ca="1">IF(ROWS($1:23)&gt;COUNT(Dong14),"",IF(OFFSET(TH!L$1,SMALL(Dong14,ROWS($1:23)),)="331",OFFSET(TH!M$1,SMALL(Dong14,ROWS($1:23)),),OFFSET(TH!L$1,SMALL(Dong14,ROWS($1:23)),)))</f>
        <v/>
      </c>
      <c r="F36" s="487" t="str">
        <f ca="1">IF(ROWS($1:23)&gt;COUNT(Dong14),"",IF(OFFSET(TH!L$1,SMALL(Dong14,ROWS($1:23)),)="131",OFFSET(TH!K$1,SMALL(Dong14,ROWS($1:23)),),0))</f>
        <v/>
      </c>
      <c r="G36" s="487" t="str">
        <f ca="1">IF(ROWS($1:23)&gt;COUNT(Dong14),"",IF(OFFSET(TH!M$1,SMALL(Dong14,ROWS($1:23)),)="131",OFFSET(TH!K$1,SMALL(Dong14,ROWS($1:23)),),0))</f>
        <v/>
      </c>
      <c r="H36" s="243">
        <f t="shared" ca="1" si="2"/>
        <v>0</v>
      </c>
      <c r="I36" s="243">
        <f t="shared" ca="1" si="3"/>
        <v>0</v>
      </c>
    </row>
    <row r="37" spans="1:9" ht="22.5" customHeight="1">
      <c r="A37" s="484" t="str">
        <f ca="1">IF(ROWS($1:24)&gt;COUNT(Dong14),"",OFFSET(TH!C$1,SMALL(Dong14,ROWS($1:24)),))</f>
        <v/>
      </c>
      <c r="B37" s="484" t="str">
        <f ca="1">IF(ROWS($1:24)&gt;COUNT(Dong14),"",OFFSET(TH!D$1,SMALL(Dong14,ROWS($1:24)),))</f>
        <v/>
      </c>
      <c r="C37" s="484" t="str">
        <f ca="1">IF(ROWS($1:24)&gt;COUNT(Dong14),"",OFFSET(TH!E$1,SMALL(Dong14,ROWS($1:24)),))</f>
        <v/>
      </c>
      <c r="D37" s="485" t="str">
        <f ca="1">IF(ROWS($1:24)&gt;COUNT(Dong14),"",OFFSET(TH!F$1,SMALL(Dong14,ROWS($1:24)),))</f>
        <v/>
      </c>
      <c r="E37" s="486" t="str">
        <f ca="1">IF(ROWS($1:24)&gt;COUNT(Dong14),"",IF(OFFSET(TH!L$1,SMALL(Dong14,ROWS($1:24)),)="331",OFFSET(TH!M$1,SMALL(Dong14,ROWS($1:24)),),OFFSET(TH!L$1,SMALL(Dong14,ROWS($1:24)),)))</f>
        <v/>
      </c>
      <c r="F37" s="487" t="str">
        <f ca="1">IF(ROWS($1:24)&gt;COUNT(Dong14),"",IF(OFFSET(TH!L$1,SMALL(Dong14,ROWS($1:24)),)="131",OFFSET(TH!K$1,SMALL(Dong14,ROWS($1:24)),),0))</f>
        <v/>
      </c>
      <c r="G37" s="487" t="str">
        <f ca="1">IF(ROWS($1:24)&gt;COUNT(Dong14),"",IF(OFFSET(TH!M$1,SMALL(Dong14,ROWS($1:24)),)="131",OFFSET(TH!K$1,SMALL(Dong14,ROWS($1:24)),),0))</f>
        <v/>
      </c>
      <c r="H37" s="243">
        <f t="shared" ca="1" si="2"/>
        <v>0</v>
      </c>
      <c r="I37" s="243">
        <f t="shared" ca="1" si="3"/>
        <v>0</v>
      </c>
    </row>
    <row r="38" spans="1:9" ht="22.5" customHeight="1">
      <c r="A38" s="484" t="str">
        <f ca="1">IF(ROWS($1:25)&gt;COUNT(Dong14),"",OFFSET(TH!C$1,SMALL(Dong14,ROWS($1:25)),))</f>
        <v/>
      </c>
      <c r="B38" s="484" t="str">
        <f ca="1">IF(ROWS($1:25)&gt;COUNT(Dong14),"",OFFSET(TH!D$1,SMALL(Dong14,ROWS($1:25)),))</f>
        <v/>
      </c>
      <c r="C38" s="484" t="str">
        <f ca="1">IF(ROWS($1:25)&gt;COUNT(Dong14),"",OFFSET(TH!E$1,SMALL(Dong14,ROWS($1:25)),))</f>
        <v/>
      </c>
      <c r="D38" s="485" t="str">
        <f ca="1">IF(ROWS($1:25)&gt;COUNT(Dong14),"",OFFSET(TH!F$1,SMALL(Dong14,ROWS($1:25)),))</f>
        <v/>
      </c>
      <c r="E38" s="486" t="str">
        <f ca="1">IF(ROWS($1:25)&gt;COUNT(Dong14),"",IF(OFFSET(TH!L$1,SMALL(Dong14,ROWS($1:25)),)="331",OFFSET(TH!M$1,SMALL(Dong14,ROWS($1:25)),),OFFSET(TH!L$1,SMALL(Dong14,ROWS($1:25)),)))</f>
        <v/>
      </c>
      <c r="F38" s="487" t="str">
        <f ca="1">IF(ROWS($1:25)&gt;COUNT(Dong14),"",IF(OFFSET(TH!L$1,SMALL(Dong14,ROWS($1:25)),)="131",OFFSET(TH!K$1,SMALL(Dong14,ROWS($1:25)),),0))</f>
        <v/>
      </c>
      <c r="G38" s="487" t="str">
        <f ca="1">IF(ROWS($1:25)&gt;COUNT(Dong14),"",IF(OFFSET(TH!M$1,SMALL(Dong14,ROWS($1:25)),)="131",OFFSET(TH!K$1,SMALL(Dong14,ROWS($1:25)),),0))</f>
        <v/>
      </c>
      <c r="H38" s="243">
        <f t="shared" ca="1" si="2"/>
        <v>0</v>
      </c>
      <c r="I38" s="243">
        <f t="shared" ca="1" si="3"/>
        <v>0</v>
      </c>
    </row>
    <row r="39" spans="1:9" ht="22.5" customHeight="1">
      <c r="A39" s="484" t="str">
        <f ca="1">IF(ROWS($1:26)&gt;COUNT(Dong14),"",OFFSET(TH!C$1,SMALL(Dong14,ROWS($1:26)),))</f>
        <v/>
      </c>
      <c r="B39" s="484" t="str">
        <f ca="1">IF(ROWS($1:26)&gt;COUNT(Dong14),"",OFFSET(TH!D$1,SMALL(Dong14,ROWS($1:26)),))</f>
        <v/>
      </c>
      <c r="C39" s="484" t="str">
        <f ca="1">IF(ROWS($1:26)&gt;COUNT(Dong14),"",OFFSET(TH!E$1,SMALL(Dong14,ROWS($1:26)),))</f>
        <v/>
      </c>
      <c r="D39" s="485" t="str">
        <f ca="1">IF(ROWS($1:26)&gt;COUNT(Dong14),"",OFFSET(TH!F$1,SMALL(Dong14,ROWS($1:26)),))</f>
        <v/>
      </c>
      <c r="E39" s="486" t="str">
        <f ca="1">IF(ROWS($1:26)&gt;COUNT(Dong14),"",IF(OFFSET(TH!L$1,SMALL(Dong14,ROWS($1:26)),)="331",OFFSET(TH!M$1,SMALL(Dong14,ROWS($1:26)),),OFFSET(TH!L$1,SMALL(Dong14,ROWS($1:26)),)))</f>
        <v/>
      </c>
      <c r="F39" s="487" t="str">
        <f ca="1">IF(ROWS($1:26)&gt;COUNT(Dong14),"",IF(OFFSET(TH!L$1,SMALL(Dong14,ROWS($1:26)),)="131",OFFSET(TH!K$1,SMALL(Dong14,ROWS($1:26)),),0))</f>
        <v/>
      </c>
      <c r="G39" s="487" t="str">
        <f ca="1">IF(ROWS($1:26)&gt;COUNT(Dong14),"",IF(OFFSET(TH!M$1,SMALL(Dong14,ROWS($1:26)),)="131",OFFSET(TH!K$1,SMALL(Dong14,ROWS($1:26)),),0))</f>
        <v/>
      </c>
      <c r="H39" s="243">
        <f t="shared" ca="1" si="2"/>
        <v>0</v>
      </c>
      <c r="I39" s="243">
        <f t="shared" ca="1" si="3"/>
        <v>0</v>
      </c>
    </row>
    <row r="40" spans="1:9" ht="22.5" customHeight="1">
      <c r="A40" s="484" t="str">
        <f ca="1">IF(ROWS($1:27)&gt;COUNT(Dong14),"",OFFSET(TH!C$1,SMALL(Dong14,ROWS($1:27)),))</f>
        <v/>
      </c>
      <c r="B40" s="484" t="str">
        <f ca="1">IF(ROWS($1:27)&gt;COUNT(Dong14),"",OFFSET(TH!D$1,SMALL(Dong14,ROWS($1:27)),))</f>
        <v/>
      </c>
      <c r="C40" s="484" t="str">
        <f ca="1">IF(ROWS($1:27)&gt;COUNT(Dong14),"",OFFSET(TH!E$1,SMALL(Dong14,ROWS($1:27)),))</f>
        <v/>
      </c>
      <c r="D40" s="485" t="str">
        <f ca="1">IF(ROWS($1:27)&gt;COUNT(Dong14),"",OFFSET(TH!F$1,SMALL(Dong14,ROWS($1:27)),))</f>
        <v/>
      </c>
      <c r="E40" s="486" t="str">
        <f ca="1">IF(ROWS($1:27)&gt;COUNT(Dong14),"",IF(OFFSET(TH!L$1,SMALL(Dong14,ROWS($1:27)),)="331",OFFSET(TH!M$1,SMALL(Dong14,ROWS($1:27)),),OFFSET(TH!L$1,SMALL(Dong14,ROWS($1:27)),)))</f>
        <v/>
      </c>
      <c r="F40" s="487" t="str">
        <f ca="1">IF(ROWS($1:27)&gt;COUNT(Dong14),"",IF(OFFSET(TH!L$1,SMALL(Dong14,ROWS($1:27)),)="131",OFFSET(TH!K$1,SMALL(Dong14,ROWS($1:27)),),0))</f>
        <v/>
      </c>
      <c r="G40" s="487" t="str">
        <f ca="1">IF(ROWS($1:27)&gt;COUNT(Dong14),"",IF(OFFSET(TH!M$1,SMALL(Dong14,ROWS($1:27)),)="131",OFFSET(TH!K$1,SMALL(Dong14,ROWS($1:27)),),0))</f>
        <v/>
      </c>
      <c r="H40" s="243">
        <f t="shared" ca="1" si="2"/>
        <v>0</v>
      </c>
      <c r="I40" s="243">
        <f t="shared" ca="1" si="3"/>
        <v>0</v>
      </c>
    </row>
    <row r="41" spans="1:9" ht="22.5" customHeight="1">
      <c r="A41" s="484" t="str">
        <f ca="1">IF(ROWS($1:28)&gt;COUNT(Dong14),"",OFFSET(TH!C$1,SMALL(Dong14,ROWS($1:28)),))</f>
        <v/>
      </c>
      <c r="B41" s="484" t="str">
        <f ca="1">IF(ROWS($1:28)&gt;COUNT(Dong14),"",OFFSET(TH!D$1,SMALL(Dong14,ROWS($1:28)),))</f>
        <v/>
      </c>
      <c r="C41" s="484" t="str">
        <f ca="1">IF(ROWS($1:28)&gt;COUNT(Dong14),"",OFFSET(TH!E$1,SMALL(Dong14,ROWS($1:28)),))</f>
        <v/>
      </c>
      <c r="D41" s="485" t="str">
        <f ca="1">IF(ROWS($1:28)&gt;COUNT(Dong14),"",OFFSET(TH!F$1,SMALL(Dong14,ROWS($1:28)),))</f>
        <v/>
      </c>
      <c r="E41" s="486" t="str">
        <f ca="1">IF(ROWS($1:28)&gt;COUNT(Dong14),"",IF(OFFSET(TH!L$1,SMALL(Dong14,ROWS($1:28)),)="331",OFFSET(TH!M$1,SMALL(Dong14,ROWS($1:28)),),OFFSET(TH!L$1,SMALL(Dong14,ROWS($1:28)),)))</f>
        <v/>
      </c>
      <c r="F41" s="487" t="str">
        <f ca="1">IF(ROWS($1:28)&gt;COUNT(Dong14),"",IF(OFFSET(TH!L$1,SMALL(Dong14,ROWS($1:28)),)="131",OFFSET(TH!K$1,SMALL(Dong14,ROWS($1:28)),),0))</f>
        <v/>
      </c>
      <c r="G41" s="487" t="str">
        <f ca="1">IF(ROWS($1:28)&gt;COUNT(Dong14),"",IF(OFFSET(TH!M$1,SMALL(Dong14,ROWS($1:28)),)="131",OFFSET(TH!K$1,SMALL(Dong14,ROWS($1:28)),),0))</f>
        <v/>
      </c>
      <c r="H41" s="243">
        <f ca="1">IF(D41&lt;&gt;"",MAX(H40+F41-G41-I40,0),0)</f>
        <v>0</v>
      </c>
      <c r="I41" s="243">
        <f ca="1">IF(D41&lt;&gt;"",MAX(I40+G41-H40-F41,0),0)</f>
        <v>0</v>
      </c>
    </row>
    <row r="42" spans="1:9" ht="22.5" customHeight="1">
      <c r="A42" s="483"/>
      <c r="B42" s="405"/>
      <c r="C42" s="488"/>
      <c r="D42" s="482" t="s">
        <v>32</v>
      </c>
      <c r="E42" s="405" t="s">
        <v>19</v>
      </c>
      <c r="F42" s="313">
        <f ca="1">SUM(F14:F41)</f>
        <v>1048703040</v>
      </c>
      <c r="G42" s="313">
        <f ca="1">SUM(G14:G41)</f>
        <v>1563371040</v>
      </c>
      <c r="H42" s="313" t="s">
        <v>19</v>
      </c>
      <c r="I42" s="313" t="s">
        <v>19</v>
      </c>
    </row>
    <row r="43" spans="1:9" ht="22.5" customHeight="1">
      <c r="A43" s="483"/>
      <c r="B43" s="405"/>
      <c r="C43" s="405"/>
      <c r="D43" s="482" t="s">
        <v>10</v>
      </c>
      <c r="E43" s="405" t="s">
        <v>19</v>
      </c>
      <c r="F43" s="313" t="s">
        <v>19</v>
      </c>
      <c r="G43" s="313" t="s">
        <v>19</v>
      </c>
      <c r="H43" s="313">
        <f ca="1">MAX(H13+F42-G42-I13,0)</f>
        <v>0</v>
      </c>
      <c r="I43" s="313">
        <f ca="1">MAX(I13+G42-F42-H13,0)</f>
        <v>0</v>
      </c>
    </row>
    <row r="44" spans="1:9" ht="3" customHeight="1">
      <c r="A44" s="3"/>
      <c r="B44" s="223"/>
      <c r="C44" s="223"/>
      <c r="D44" s="3"/>
      <c r="E44" s="223"/>
      <c r="F44" s="3"/>
      <c r="G44" s="3"/>
      <c r="H44" s="3"/>
      <c r="I44" s="3"/>
    </row>
    <row r="45" spans="1:9" ht="14.25" customHeight="1">
      <c r="A45" s="489" t="s">
        <v>451</v>
      </c>
      <c r="B45" s="223"/>
      <c r="C45" s="223"/>
      <c r="D45" s="3"/>
      <c r="E45" s="223"/>
      <c r="F45" s="3"/>
      <c r="G45" s="3"/>
      <c r="H45" s="3"/>
      <c r="I45" s="3"/>
    </row>
    <row r="46" spans="1:9" ht="14.25" customHeight="1">
      <c r="A46" s="489" t="str">
        <f ca="1">"- Ngày mở sổ: "&amp;DAY($A$14)&amp;"/"&amp;MONTH($A$14)&amp;"/ " &amp;YEAR($A$14)</f>
        <v>- Ngày mở sổ: 2/3/ 2017</v>
      </c>
      <c r="B46" s="223"/>
      <c r="C46" s="223"/>
      <c r="D46" s="3"/>
      <c r="E46" s="223"/>
      <c r="F46" s="3"/>
      <c r="G46" s="3"/>
      <c r="H46" s="3"/>
      <c r="I46" s="3"/>
    </row>
    <row r="47" spans="1:9" ht="14.25" customHeight="1">
      <c r="A47" s="3"/>
      <c r="B47" s="223"/>
      <c r="C47" s="223"/>
      <c r="D47" s="3"/>
      <c r="E47" s="871" t="str">
        <f ca="1">"Ngày 31 tháng  12  năm  "&amp;YEAR($A$14)</f>
        <v>Ngày 31 tháng  12  năm  2017</v>
      </c>
      <c r="F47" s="871"/>
      <c r="G47" s="871"/>
      <c r="H47" s="871"/>
      <c r="I47" s="871"/>
    </row>
    <row r="48" spans="1:9" ht="14.25" customHeight="1">
      <c r="A48" s="3"/>
      <c r="B48" s="3"/>
      <c r="C48" s="223" t="s">
        <v>11</v>
      </c>
      <c r="D48" s="3"/>
      <c r="E48" s="871" t="s">
        <v>12</v>
      </c>
      <c r="F48" s="871"/>
      <c r="G48" s="871"/>
      <c r="H48" s="871"/>
      <c r="I48" s="871"/>
    </row>
    <row r="49" spans="1:9" ht="14.25" customHeight="1">
      <c r="A49" s="3"/>
      <c r="B49" s="3"/>
      <c r="C49" s="223" t="s">
        <v>13</v>
      </c>
      <c r="D49" s="3"/>
      <c r="E49" s="871" t="s">
        <v>13</v>
      </c>
      <c r="F49" s="871"/>
      <c r="G49" s="871"/>
      <c r="H49" s="871"/>
      <c r="I49" s="871"/>
    </row>
  </sheetData>
  <autoFilter ref="A12:I25"/>
  <mergeCells count="15">
    <mergeCell ref="G1:I1"/>
    <mergeCell ref="G2:I3"/>
    <mergeCell ref="A4:I4"/>
    <mergeCell ref="C9:I9"/>
    <mergeCell ref="A2:F3"/>
    <mergeCell ref="E7:I7"/>
    <mergeCell ref="E47:I47"/>
    <mergeCell ref="E48:I48"/>
    <mergeCell ref="E49:I49"/>
    <mergeCell ref="A10:A11"/>
    <mergeCell ref="B10:C10"/>
    <mergeCell ref="D10:D11"/>
    <mergeCell ref="E10:E11"/>
    <mergeCell ref="F10:G10"/>
    <mergeCell ref="H10:I10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2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H8" sqref="H8"/>
    </sheetView>
  </sheetViews>
  <sheetFormatPr defaultColWidth="8" defaultRowHeight="16.5"/>
  <cols>
    <col min="1" max="1" width="5.5703125" style="468" customWidth="1"/>
    <col min="2" max="2" width="39.7109375" style="468" customWidth="1"/>
    <col min="3" max="3" width="5.42578125" style="468" customWidth="1"/>
    <col min="4" max="4" width="15" style="468" customWidth="1"/>
    <col min="5" max="6" width="15.7109375" style="468" customWidth="1"/>
    <col min="7" max="7" width="11.28515625" style="468" customWidth="1"/>
    <col min="8" max="8" width="15.7109375" style="468" customWidth="1"/>
    <col min="9" max="16384" width="8" style="468"/>
  </cols>
  <sheetData>
    <row r="1" spans="1:9">
      <c r="A1" s="122" t="str">
        <f>TH!$A$1</f>
        <v>Đơn vị: CÔNG TY TNHH MỘT THÀNH VIÊN KHỞI NGUYÊN AN</v>
      </c>
    </row>
    <row r="2" spans="1:9">
      <c r="A2" s="12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908" t="s">
        <v>100</v>
      </c>
      <c r="B3" s="908"/>
      <c r="C3" s="908"/>
      <c r="D3" s="908"/>
      <c r="E3" s="908"/>
      <c r="F3" s="908"/>
      <c r="G3" s="908"/>
      <c r="H3" s="908"/>
    </row>
    <row r="4" spans="1:9" s="469" customFormat="1" ht="24.75" customHeight="1">
      <c r="A4" s="909" t="s">
        <v>33</v>
      </c>
      <c r="B4" s="911" t="s">
        <v>34</v>
      </c>
      <c r="C4" s="913" t="s">
        <v>35</v>
      </c>
      <c r="D4" s="914"/>
      <c r="E4" s="913" t="s">
        <v>36</v>
      </c>
      <c r="F4" s="914"/>
      <c r="G4" s="913" t="s">
        <v>39</v>
      </c>
      <c r="H4" s="914"/>
    </row>
    <row r="5" spans="1:9" s="469" customFormat="1" ht="24.75" customHeight="1">
      <c r="A5" s="910"/>
      <c r="B5" s="912"/>
      <c r="C5" s="470" t="s">
        <v>40</v>
      </c>
      <c r="D5" s="470" t="s">
        <v>41</v>
      </c>
      <c r="E5" s="470" t="s">
        <v>40</v>
      </c>
      <c r="F5" s="470" t="s">
        <v>41</v>
      </c>
      <c r="G5" s="470" t="s">
        <v>40</v>
      </c>
      <c r="H5" s="470" t="s">
        <v>41</v>
      </c>
    </row>
    <row r="6" spans="1:9" s="469" customFormat="1" ht="24.75" customHeight="1">
      <c r="A6" s="471">
        <f t="shared" ref="A6:A11" si="0">IF(B6&lt;&gt;"",ROW()-5,"")</f>
        <v>1</v>
      </c>
      <c r="B6" s="473" t="s">
        <v>270</v>
      </c>
      <c r="C6" s="287">
        <v>0</v>
      </c>
      <c r="D6" s="287">
        <v>219454570</v>
      </c>
      <c r="E6" s="287">
        <f t="array" ref="E6">SUM(IF("331"&amp;B6=KHN&amp;KH,TH))</f>
        <v>107042769</v>
      </c>
      <c r="F6" s="287">
        <f t="array" ref="F6">SUM(IF("331"&amp;B6=KHC&amp;KH,TH))</f>
        <v>0</v>
      </c>
      <c r="G6" s="282">
        <f t="shared" ref="G6:G11" si="1">ROUND(MAX(C6+E6-D6-F6,0),2)</f>
        <v>0</v>
      </c>
      <c r="H6" s="282">
        <f t="shared" ref="H6:H11" si="2">ROUND(MAX(D6+F6-C6-E6,0),2)</f>
        <v>112411801</v>
      </c>
      <c r="I6" s="469" t="str">
        <f>IF(ISNA(VLOOKUP(B6,'[3]331'!$B$4:$B$15,1,0)),"","x")</f>
        <v/>
      </c>
    </row>
    <row r="7" spans="1:9" s="469" customFormat="1" ht="24.75" customHeight="1">
      <c r="A7" s="471">
        <f t="shared" si="0"/>
        <v>2</v>
      </c>
      <c r="B7" s="473" t="s">
        <v>271</v>
      </c>
      <c r="C7" s="287">
        <v>0</v>
      </c>
      <c r="D7" s="287">
        <v>0</v>
      </c>
      <c r="E7" s="287">
        <f t="array" ref="E7">SUM(IF("331"&amp;B7=KHN&amp;KH,TH))</f>
        <v>132704149</v>
      </c>
      <c r="F7" s="287">
        <f t="array" ref="F7">SUM(IF("331"&amp;B7=KHC&amp;KH,TH))</f>
        <v>132704149</v>
      </c>
      <c r="G7" s="282">
        <f t="shared" si="1"/>
        <v>0</v>
      </c>
      <c r="H7" s="282">
        <f t="shared" si="2"/>
        <v>0</v>
      </c>
      <c r="I7" s="469" t="str">
        <f>IF(ISNA(VLOOKUP(B7,'[3]331'!$B$4:$B$15,1,0)),"","x")</f>
        <v/>
      </c>
    </row>
    <row r="8" spans="1:9" s="469" customFormat="1" ht="24.75" customHeight="1">
      <c r="A8" s="471">
        <f t="shared" si="0"/>
        <v>3</v>
      </c>
      <c r="B8" s="473" t="s">
        <v>272</v>
      </c>
      <c r="C8" s="287">
        <v>0</v>
      </c>
      <c r="D8" s="287">
        <v>2553662778</v>
      </c>
      <c r="E8" s="287">
        <f t="array" ref="E8">SUM(IF("331"&amp;B8=KHN&amp;KH,TH))</f>
        <v>2600191910</v>
      </c>
      <c r="F8" s="287">
        <f t="array" ref="F8">SUM(IF("331"&amp;B8=KHC&amp;KH,TH))</f>
        <v>0</v>
      </c>
      <c r="G8" s="282">
        <f t="shared" si="1"/>
        <v>46529132</v>
      </c>
      <c r="H8" s="282">
        <f t="shared" si="2"/>
        <v>0</v>
      </c>
      <c r="I8" s="469" t="str">
        <f>IF(ISNA(VLOOKUP(B8,'[3]331'!$B$4:$B$15,1,0)),"","x")</f>
        <v/>
      </c>
    </row>
    <row r="9" spans="1:9" s="469" customFormat="1" ht="24.75" customHeight="1">
      <c r="A9" s="471">
        <f t="shared" si="0"/>
        <v>4</v>
      </c>
      <c r="B9" s="473" t="s">
        <v>1142</v>
      </c>
      <c r="C9" s="287">
        <v>0</v>
      </c>
      <c r="D9" s="287">
        <v>0</v>
      </c>
      <c r="E9" s="287">
        <f t="array" ref="E9">SUM(IF("331"&amp;B9=KHN&amp;KH,TH))</f>
        <v>635939436</v>
      </c>
      <c r="F9" s="287">
        <f t="array" ref="F9">SUM(IF("331"&amp;B9=KHC&amp;KH,TH))</f>
        <v>698062156.79999995</v>
      </c>
      <c r="G9" s="282">
        <f t="shared" si="1"/>
        <v>0</v>
      </c>
      <c r="H9" s="282">
        <f t="shared" si="2"/>
        <v>62122720.799999997</v>
      </c>
      <c r="I9" s="469" t="str">
        <f>IF(ISNA(VLOOKUP(B9,'[3]331'!$B$4:$B$15,1,0)),"","x")</f>
        <v/>
      </c>
    </row>
    <row r="10" spans="1:9" s="469" customFormat="1" ht="24.75" customHeight="1">
      <c r="A10" s="471">
        <f t="shared" si="0"/>
        <v>5</v>
      </c>
      <c r="B10" s="473" t="s">
        <v>420</v>
      </c>
      <c r="C10" s="287">
        <v>0</v>
      </c>
      <c r="D10" s="287">
        <v>0</v>
      </c>
      <c r="E10" s="287">
        <f t="array" ref="E10">SUM(IF("331"&amp;B10=KHN&amp;KH,TH))</f>
        <v>274773101</v>
      </c>
      <c r="F10" s="287">
        <f t="array" ref="F10">SUM(IF("331"&amp;B10=KHC&amp;KH,TH))</f>
        <v>274773101</v>
      </c>
      <c r="G10" s="282">
        <f t="shared" si="1"/>
        <v>0</v>
      </c>
      <c r="H10" s="282">
        <f t="shared" si="2"/>
        <v>0</v>
      </c>
      <c r="I10" s="469" t="str">
        <f>IF(ISNA(VLOOKUP(B10,'[3]331'!$B$4:$B$15,1,0)),"","x")</f>
        <v/>
      </c>
    </row>
    <row r="11" spans="1:9" s="469" customFormat="1" ht="24.75" customHeight="1">
      <c r="A11" s="471">
        <f t="shared" si="0"/>
        <v>6</v>
      </c>
      <c r="B11" s="473" t="s">
        <v>349</v>
      </c>
      <c r="C11" s="287">
        <v>0</v>
      </c>
      <c r="D11" s="287">
        <v>204416630</v>
      </c>
      <c r="E11" s="287">
        <f t="array" ref="E11">SUM(IF("331"&amp;B11=KHN&amp;KH,TH))</f>
        <v>390069852</v>
      </c>
      <c r="F11" s="287">
        <f t="array" ref="F11">SUM(IF("331"&amp;B11=KHC&amp;KH,TH))</f>
        <v>185653222</v>
      </c>
      <c r="G11" s="282">
        <f t="shared" si="1"/>
        <v>0</v>
      </c>
      <c r="H11" s="282">
        <f t="shared" si="2"/>
        <v>0</v>
      </c>
      <c r="I11" s="469" t="str">
        <f>IF(ISNA(VLOOKUP(B11,'[3]331'!$B$4:$B$15,1,0)),"","x")</f>
        <v/>
      </c>
    </row>
    <row r="12" spans="1:9" s="469" customFormat="1" ht="24.75" customHeight="1">
      <c r="A12" s="471">
        <f>IF(B12&lt;&gt;"",ROW()-5,"")</f>
        <v>7</v>
      </c>
      <c r="B12" s="473" t="s">
        <v>447</v>
      </c>
      <c r="C12" s="287">
        <v>0</v>
      </c>
      <c r="D12" s="287">
        <v>1141242308</v>
      </c>
      <c r="E12" s="287">
        <f t="array" ref="E12">SUM(IF("331"&amp;B12=KHN&amp;KH,TH))</f>
        <v>3835092692</v>
      </c>
      <c r="F12" s="287">
        <f t="array" ref="F12">SUM(IF("331"&amp;B12=KHC&amp;KH,TH))</f>
        <v>2693850384</v>
      </c>
      <c r="G12" s="282">
        <f>ROUND(MAX(C12+E12-D12-F12,0),2)</f>
        <v>0</v>
      </c>
      <c r="H12" s="282">
        <f>ROUND(MAX(D12+F12-C12-E12,0),2)</f>
        <v>0</v>
      </c>
      <c r="I12" s="469" t="str">
        <f>IF(ISNA(VLOOKUP(B12,'[3]331'!$B$4:$B$15,1,0)),"","x")</f>
        <v/>
      </c>
    </row>
    <row r="13" spans="1:9" s="469" customFormat="1" ht="24.75" customHeight="1">
      <c r="A13" s="471">
        <f t="shared" ref="A13:A14" si="3">IF(B13&lt;&gt;"",ROW()-5,"")</f>
        <v>8</v>
      </c>
      <c r="B13" s="473" t="s">
        <v>1071</v>
      </c>
      <c r="C13" s="287">
        <v>0</v>
      </c>
      <c r="D13" s="287"/>
      <c r="E13" s="287">
        <f t="array" ref="E13">SUM(IF("331"&amp;B13=KHN&amp;KH,TH))</f>
        <v>151307475</v>
      </c>
      <c r="F13" s="287">
        <f t="array" ref="F13">SUM(IF("331"&amp;B13=KHC&amp;KH,TH))</f>
        <v>151307475</v>
      </c>
      <c r="G13" s="282">
        <f t="shared" ref="G13:G14" si="4">ROUND(MAX(C13+E13-D13-F13,0),2)</f>
        <v>0</v>
      </c>
      <c r="H13" s="282">
        <f t="shared" ref="H13:H14" si="5">ROUND(MAX(D13+F13-C13-E13,0),2)</f>
        <v>0</v>
      </c>
    </row>
    <row r="14" spans="1:9" s="469" customFormat="1" ht="24.75" customHeight="1">
      <c r="A14" s="471">
        <f t="shared" si="3"/>
        <v>9</v>
      </c>
      <c r="B14" s="473" t="s">
        <v>1278</v>
      </c>
      <c r="C14" s="287">
        <v>0</v>
      </c>
      <c r="D14" s="287"/>
      <c r="E14" s="287">
        <f t="array" ref="E14">SUM(IF("331"&amp;B14=KHN&amp;KH,TH))</f>
        <v>366857172</v>
      </c>
      <c r="F14" s="287">
        <f t="array" ref="F14">SUM(IF("331"&amp;B14=KHC&amp;KH,TH))</f>
        <v>366857172</v>
      </c>
      <c r="G14" s="282">
        <f t="shared" si="4"/>
        <v>0</v>
      </c>
      <c r="H14" s="282">
        <f t="shared" si="5"/>
        <v>0</v>
      </c>
    </row>
    <row r="15" spans="1:9" s="469" customFormat="1" ht="24.75" customHeight="1">
      <c r="A15" s="471">
        <f t="shared" ref="A15" si="6">IF(B15&lt;&gt;"",ROW()-5,"")</f>
        <v>10</v>
      </c>
      <c r="B15" s="473" t="s">
        <v>1501</v>
      </c>
      <c r="C15" s="287">
        <v>0</v>
      </c>
      <c r="D15" s="287"/>
      <c r="E15" s="287">
        <f t="array" ref="E15">SUM(IF("331"&amp;B15=KHN&amp;KH,TH))</f>
        <v>1189138902</v>
      </c>
      <c r="F15" s="287">
        <f t="array" ref="F15">SUM(IF("331"&amp;B15=KHC&amp;KH,TH))</f>
        <v>2030547199.4000001</v>
      </c>
      <c r="G15" s="282">
        <f t="shared" ref="G15" si="7">ROUND(MAX(C15+E15-D15-F15,0),2)</f>
        <v>0</v>
      </c>
      <c r="H15" s="282">
        <f t="shared" ref="H15" si="8">ROUND(MAX(D15+F15-C15-E15,0),2)</f>
        <v>841408297.39999998</v>
      </c>
    </row>
    <row r="16" spans="1:9" s="469" customFormat="1" ht="24.75" customHeight="1">
      <c r="A16" s="471">
        <f t="shared" ref="A16" si="9">IF(B16&lt;&gt;"",ROW()-5,"")</f>
        <v>11</v>
      </c>
      <c r="B16" s="248" t="s">
        <v>1612</v>
      </c>
      <c r="C16" s="287">
        <v>0</v>
      </c>
      <c r="D16" s="287"/>
      <c r="E16" s="287">
        <f t="array" ref="E16">SUM(IF("331"&amp;B16=KHN&amp;KH,TH))</f>
        <v>0</v>
      </c>
      <c r="F16" s="287">
        <f t="array" ref="F16">SUM(IF("331"&amp;B16=KHC&amp;KH,TH))</f>
        <v>804649816</v>
      </c>
      <c r="G16" s="282">
        <f t="shared" ref="G16" si="10">ROUND(MAX(C16+E16-D16-F16,0),2)</f>
        <v>0</v>
      </c>
      <c r="H16" s="282">
        <f t="shared" ref="H16" si="11">ROUND(MAX(D16+F16-C16-E16,0),2)</f>
        <v>804649816</v>
      </c>
    </row>
    <row r="17" spans="1:9" s="469" customFormat="1" ht="24.75" customHeight="1">
      <c r="A17" s="471" t="str">
        <f>IF(B17&lt;&gt;"",ROW()-3,"")</f>
        <v/>
      </c>
      <c r="B17" s="475"/>
      <c r="C17" s="287"/>
      <c r="D17" s="287"/>
      <c r="E17" s="310"/>
      <c r="F17" s="310"/>
      <c r="G17" s="490"/>
      <c r="H17" s="490"/>
      <c r="I17" s="469" t="str">
        <f>IF(ISNA(VLOOKUP(B17,'[3]331'!$B$4:$B$15,1,0)),"","x")</f>
        <v/>
      </c>
    </row>
    <row r="18" spans="1:9" s="478" customFormat="1" ht="24.75" customHeight="1">
      <c r="A18" s="476"/>
      <c r="B18" s="477" t="s">
        <v>37</v>
      </c>
      <c r="C18" s="252">
        <f t="shared" ref="C18:H18" si="12">SUM(C6:C17)</f>
        <v>0</v>
      </c>
      <c r="D18" s="252">
        <f t="shared" si="12"/>
        <v>4118776286</v>
      </c>
      <c r="E18" s="252">
        <f t="shared" si="12"/>
        <v>9683117458</v>
      </c>
      <c r="F18" s="252">
        <f t="shared" si="12"/>
        <v>7338404675.2000008</v>
      </c>
      <c r="G18" s="252">
        <f t="shared" si="12"/>
        <v>46529132</v>
      </c>
      <c r="H18" s="252">
        <f t="shared" si="12"/>
        <v>1820592635.2</v>
      </c>
    </row>
    <row r="19" spans="1:9">
      <c r="E19" s="480">
        <f>E18-CDPS!E25</f>
        <v>0</v>
      </c>
      <c r="F19" s="480">
        <f>F18-CDPS!F25</f>
        <v>0</v>
      </c>
    </row>
    <row r="20" spans="1:9">
      <c r="E20" s="480"/>
      <c r="F20" s="907" t="str">
        <f>"Ngày  31  tháng   12  năm   "&amp;YEAR(TH!$C$10)</f>
        <v>Ngày  31  tháng   12  năm   2017</v>
      </c>
      <c r="G20" s="907"/>
      <c r="H20" s="907"/>
    </row>
    <row r="21" spans="1:9">
      <c r="F21" s="907" t="s">
        <v>107</v>
      </c>
      <c r="G21" s="907"/>
      <c r="H21" s="907"/>
    </row>
    <row r="22" spans="1:9">
      <c r="E22" s="479"/>
      <c r="F22" s="907" t="s">
        <v>134</v>
      </c>
      <c r="G22" s="907"/>
      <c r="H22" s="907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3"/>
  <sheetViews>
    <sheetView topLeftCell="A7" zoomScale="90" zoomScaleNormal="90" workbookViewId="0">
      <pane ySplit="7" topLeftCell="A53" activePane="bottomLeft" state="frozen"/>
      <selection activeCell="A7" sqref="A7"/>
      <selection pane="bottomLeft" activeCell="G58" sqref="G58:G6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16" customFormat="1" ht="14.25" customHeight="1">
      <c r="A1" s="424" t="str">
        <f>TH!A1</f>
        <v>Đơn vị: CÔNG TY TNHH MỘT THÀNH VIÊN KHỞI NGUYÊN AN</v>
      </c>
      <c r="B1" s="221"/>
      <c r="C1" s="221"/>
      <c r="F1" s="2"/>
      <c r="G1" s="874" t="s">
        <v>44</v>
      </c>
      <c r="H1" s="874"/>
      <c r="I1" s="874"/>
    </row>
    <row r="2" spans="1:9" s="116" customFormat="1" ht="14.25" customHeight="1">
      <c r="A2" s="883" t="str">
        <f>TH!A2</f>
        <v>Địa chỉ: Thửa đất số 144, tờ bản đồ số 12TĐH.1, tổ 1, khu phố Đông Tác, Phường Tân Đông Hiệp, Thị Xã Dĩ An, Tỉnh Bình Dương, Việt Nam</v>
      </c>
      <c r="B2" s="883"/>
      <c r="C2" s="883"/>
      <c r="D2" s="883"/>
      <c r="E2" s="883"/>
      <c r="F2" s="883"/>
      <c r="G2" s="87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75"/>
      <c r="I2" s="875"/>
    </row>
    <row r="3" spans="1:9" s="116" customFormat="1" ht="14.25" customHeight="1">
      <c r="A3" s="883"/>
      <c r="B3" s="883"/>
      <c r="C3" s="883"/>
      <c r="D3" s="883"/>
      <c r="E3" s="883"/>
      <c r="F3" s="883"/>
      <c r="G3" s="875"/>
      <c r="H3" s="875"/>
      <c r="I3" s="875"/>
    </row>
    <row r="4" spans="1:9" s="3" customFormat="1" ht="31.5" customHeight="1">
      <c r="A4" s="876" t="s">
        <v>26</v>
      </c>
      <c r="B4" s="876"/>
      <c r="C4" s="876"/>
      <c r="D4" s="876"/>
      <c r="E4" s="876"/>
      <c r="F4" s="876"/>
      <c r="G4" s="876"/>
      <c r="H4" s="876"/>
      <c r="I4" s="876"/>
    </row>
    <row r="5" spans="1:9" s="3" customFormat="1" ht="14.25" customHeight="1">
      <c r="E5" s="223" t="s">
        <v>27</v>
      </c>
    </row>
    <row r="6" spans="1:9" s="3" customFormat="1" ht="14.25" customHeight="1">
      <c r="E6" s="223" t="s">
        <v>28</v>
      </c>
    </row>
    <row r="7" spans="1:9" s="3" customFormat="1" ht="14.25" customHeight="1">
      <c r="D7" s="82" t="s">
        <v>43</v>
      </c>
      <c r="E7" s="918" t="s">
        <v>271</v>
      </c>
      <c r="F7" s="918"/>
      <c r="G7" s="918"/>
      <c r="H7" s="918"/>
    </row>
    <row r="8" spans="1:9" s="3" customFormat="1" ht="14.25" customHeight="1">
      <c r="E8" s="223" t="s">
        <v>29</v>
      </c>
    </row>
    <row r="9" spans="1:9" s="3" customFormat="1" ht="6.75" customHeight="1">
      <c r="B9" s="223"/>
      <c r="C9" s="880"/>
      <c r="D9" s="880"/>
      <c r="E9" s="880"/>
      <c r="F9" s="880"/>
      <c r="G9" s="880"/>
      <c r="H9" s="880"/>
      <c r="I9" s="880"/>
    </row>
    <row r="10" spans="1:9" s="3" customFormat="1" ht="20.25" customHeight="1">
      <c r="A10" s="881" t="s">
        <v>20</v>
      </c>
      <c r="B10" s="915" t="s">
        <v>1</v>
      </c>
      <c r="C10" s="915"/>
      <c r="D10" s="881" t="s">
        <v>0</v>
      </c>
      <c r="E10" s="881" t="s">
        <v>14</v>
      </c>
      <c r="F10" s="916" t="s">
        <v>21</v>
      </c>
      <c r="G10" s="917"/>
      <c r="H10" s="916" t="s">
        <v>30</v>
      </c>
      <c r="I10" s="917"/>
    </row>
    <row r="11" spans="1:9" s="3" customFormat="1" ht="31.5" customHeight="1">
      <c r="A11" s="881"/>
      <c r="B11" s="481" t="s">
        <v>15</v>
      </c>
      <c r="C11" s="481" t="s">
        <v>31</v>
      </c>
      <c r="D11" s="881"/>
      <c r="E11" s="881"/>
      <c r="F11" s="481" t="s">
        <v>22</v>
      </c>
      <c r="G11" s="481" t="s">
        <v>23</v>
      </c>
      <c r="H11" s="481" t="s">
        <v>22</v>
      </c>
      <c r="I11" s="481" t="s">
        <v>23</v>
      </c>
    </row>
    <row r="12" spans="1:9" s="3" customFormat="1" ht="11.25" customHeight="1">
      <c r="A12" s="405" t="s">
        <v>2</v>
      </c>
      <c r="B12" s="406" t="s">
        <v>3</v>
      </c>
      <c r="C12" s="405" t="s">
        <v>4</v>
      </c>
      <c r="D12" s="405" t="s">
        <v>5</v>
      </c>
      <c r="E12" s="405" t="s">
        <v>6</v>
      </c>
      <c r="F12" s="405">
        <v>2</v>
      </c>
      <c r="G12" s="405">
        <v>3</v>
      </c>
      <c r="H12" s="405">
        <v>4</v>
      </c>
      <c r="I12" s="405">
        <v>5</v>
      </c>
    </row>
    <row r="13" spans="1:9" s="3" customFormat="1" ht="20.25" customHeight="1">
      <c r="A13" s="405"/>
      <c r="B13" s="405"/>
      <c r="C13" s="405"/>
      <c r="D13" s="482" t="s">
        <v>7</v>
      </c>
      <c r="E13" s="405"/>
      <c r="F13" s="483"/>
      <c r="G13" s="483"/>
      <c r="H13" s="199">
        <f>VLOOKUP($E$7,'331'!$B$6:$H$17,2,0)</f>
        <v>0</v>
      </c>
      <c r="I13" s="199">
        <f>VLOOKUP($E$7,'331'!$B$6:$H$17,3,0)</f>
        <v>0</v>
      </c>
    </row>
    <row r="14" spans="1:9" s="3" customFormat="1" ht="20.25" customHeight="1">
      <c r="A14" s="484">
        <f ca="1">IF(ROWS($1:1)&gt;COUNT(Dong),"",OFFSET(TH!C$1,SMALL(Dong,ROWS($1:1)),))</f>
        <v>42747</v>
      </c>
      <c r="B14" s="484" t="str">
        <f ca="1">IF(ROWS($1:1)&gt;COUNT(Dong),"",OFFSET(TH!D$1,SMALL(Dong,ROWS($1:1)),))</f>
        <v>GBN</v>
      </c>
      <c r="C14" s="484">
        <f ca="1">IF(ROWS($1:1)&gt;COUNT(Dong),"",OFFSET(TH!E$1,SMALL(Dong,ROWS($1:1)),))</f>
        <v>42747</v>
      </c>
      <c r="D14" s="485" t="str">
        <f ca="1">IF(ROWS($1:1)&gt;COUNT(Dong),"",OFFSET(TH!F$1,SMALL(Dong,ROWS($1:1)),))</f>
        <v>Thanh toán tiền hàng</v>
      </c>
      <c r="E14" s="486" t="str">
        <f ca="1">IF(ROWS($1:1)&gt;COUNT(Dong),"",IF(OFFSET(TH!L$1,SMALL(Dong,ROWS($1:1)),)="331",OFFSET(TH!M$1,SMALL(Dong,ROWS($1:1)),),OFFSET(TH!L$1,SMALL(Dong,ROWS($1:1)),)))</f>
        <v>1121</v>
      </c>
      <c r="F14" s="487">
        <f ca="1">IF(ROWS($1:1)&gt;COUNT(Dong),"",IF(OFFSET(TH!L$1,SMALL(Dong,ROWS($1:1)),)="331",OFFSET(TH!K$1,SMALL(Dong,ROWS($1:1)),),0))</f>
        <v>13595670</v>
      </c>
      <c r="G14" s="487">
        <f ca="1">IF(ROWS($1:1)&gt;COUNT(Dong),"",IF(OFFSET(TH!M$1,SMALL(Dong,ROWS($1:1)),)="331",OFFSET(TH!K$1,SMALL(Dong,ROWS($1:1)),),0))</f>
        <v>0</v>
      </c>
      <c r="H14" s="243">
        <f t="shared" ref="H14:H29" ca="1" si="0">IF(D14&lt;&gt;"",MAX(H13+F14-G14-I13,0),0)</f>
        <v>13595670</v>
      </c>
      <c r="I14" s="243">
        <f t="shared" ref="I14:I29" ca="1" si="1">IF(D14&lt;&gt;"",MAX(I13+G14-H13-F14,0),0)</f>
        <v>0</v>
      </c>
    </row>
    <row r="15" spans="1:9" s="3" customFormat="1" ht="20.25" customHeight="1">
      <c r="A15" s="484">
        <f ca="1">IF(ROWS($1:2)&gt;COUNT(Dong),"",OFFSET(TH!C$1,SMALL(Dong,ROWS($1:2)),))</f>
        <v>42779</v>
      </c>
      <c r="B15" s="484" t="str">
        <f ca="1">IF(ROWS($1:2)&gt;COUNT(Dong),"",OFFSET(TH!D$1,SMALL(Dong,ROWS($1:2)),))</f>
        <v>GBN</v>
      </c>
      <c r="C15" s="484">
        <f ca="1">IF(ROWS($1:2)&gt;COUNT(Dong),"",OFFSET(TH!E$1,SMALL(Dong,ROWS($1:2)),))</f>
        <v>42779</v>
      </c>
      <c r="D15" s="485" t="str">
        <f ca="1">IF(ROWS($1:2)&gt;COUNT(Dong),"",OFFSET(TH!F$1,SMALL(Dong,ROWS($1:2)),))</f>
        <v>Thanh toán tiền hàng</v>
      </c>
      <c r="E15" s="486" t="str">
        <f ca="1">IF(ROWS($1:2)&gt;COUNT(Dong),"",IF(OFFSET(TH!L$1,SMALL(Dong,ROWS($1:2)),)="331",OFFSET(TH!M$1,SMALL(Dong,ROWS($1:2)),),OFFSET(TH!L$1,SMALL(Dong,ROWS($1:2)),)))</f>
        <v>1121</v>
      </c>
      <c r="F15" s="487">
        <f ca="1">IF(ROWS($1:2)&gt;COUNT(Dong),"",IF(OFFSET(TH!L$1,SMALL(Dong,ROWS($1:2)),)="331",OFFSET(TH!K$1,SMALL(Dong,ROWS($1:2)),),0))</f>
        <v>9754184</v>
      </c>
      <c r="G15" s="487">
        <f ca="1">IF(ROWS($1:2)&gt;COUNT(Dong),"",IF(OFFSET(TH!M$1,SMALL(Dong,ROWS($1:2)),)="331",OFFSET(TH!K$1,SMALL(Dong,ROWS($1:2)),),0))</f>
        <v>0</v>
      </c>
      <c r="H15" s="243">
        <f t="shared" ca="1" si="0"/>
        <v>23349854</v>
      </c>
      <c r="I15" s="243">
        <f t="shared" ca="1" si="1"/>
        <v>0</v>
      </c>
    </row>
    <row r="16" spans="1:9" s="3" customFormat="1" ht="20.25" customHeight="1">
      <c r="A16" s="484">
        <f ca="1">IF(ROWS($1:3)&gt;COUNT(Dong),"",OFFSET(TH!C$1,SMALL(Dong,ROWS($1:3)),))</f>
        <v>42793</v>
      </c>
      <c r="B16" s="484" t="str">
        <f ca="1">IF(ROWS($1:3)&gt;COUNT(Dong),"",OFFSET(TH!D$1,SMALL(Dong,ROWS($1:3)),))</f>
        <v>GBN</v>
      </c>
      <c r="C16" s="484">
        <f ca="1">IF(ROWS($1:3)&gt;COUNT(Dong),"",OFFSET(TH!E$1,SMALL(Dong,ROWS($1:3)),))</f>
        <v>42793</v>
      </c>
      <c r="D16" s="485" t="str">
        <f ca="1">IF(ROWS($1:3)&gt;COUNT(Dong),"",OFFSET(TH!F$1,SMALL(Dong,ROWS($1:3)),))</f>
        <v>Thanh toán tiền hàng</v>
      </c>
      <c r="E16" s="486" t="str">
        <f ca="1">IF(ROWS($1:3)&gt;COUNT(Dong),"",IF(OFFSET(TH!L$1,SMALL(Dong,ROWS($1:3)),)="331",OFFSET(TH!M$1,SMALL(Dong,ROWS($1:3)),),OFFSET(TH!L$1,SMALL(Dong,ROWS($1:3)),)))</f>
        <v>1121</v>
      </c>
      <c r="F16" s="487">
        <f ca="1">IF(ROWS($1:3)&gt;COUNT(Dong),"",IF(OFFSET(TH!L$1,SMALL(Dong,ROWS($1:3)),)="331",OFFSET(TH!K$1,SMALL(Dong,ROWS($1:3)),),0))</f>
        <v>13547465</v>
      </c>
      <c r="G16" s="487">
        <f ca="1">IF(ROWS($1:3)&gt;COUNT(Dong),"",IF(OFFSET(TH!M$1,SMALL(Dong,ROWS($1:3)),)="331",OFFSET(TH!K$1,SMALL(Dong,ROWS($1:3)),),0))</f>
        <v>0</v>
      </c>
      <c r="H16" s="243">
        <f t="shared" ca="1" si="0"/>
        <v>36897319</v>
      </c>
      <c r="I16" s="243">
        <f t="shared" ca="1" si="1"/>
        <v>0</v>
      </c>
    </row>
    <row r="17" spans="1:9" s="3" customFormat="1" ht="20.25" customHeight="1">
      <c r="A17" s="484">
        <f ca="1">IF(ROWS($1:4)&gt;COUNT(Dong),"",OFFSET(TH!C$1,SMALL(Dong,ROWS($1:4)),))</f>
        <v>42817</v>
      </c>
      <c r="B17" s="484" t="str">
        <f ca="1">IF(ROWS($1:4)&gt;COUNT(Dong),"",OFFSET(TH!D$1,SMALL(Dong,ROWS($1:4)),))</f>
        <v>GBN</v>
      </c>
      <c r="C17" s="484">
        <f ca="1">IF(ROWS($1:4)&gt;COUNT(Dong),"",OFFSET(TH!E$1,SMALL(Dong,ROWS($1:4)),))</f>
        <v>42817</v>
      </c>
      <c r="D17" s="485" t="str">
        <f ca="1">IF(ROWS($1:4)&gt;COUNT(Dong),"",OFFSET(TH!F$1,SMALL(Dong,ROWS($1:4)),))</f>
        <v>Thanh toán tiền hàng</v>
      </c>
      <c r="E17" s="486" t="str">
        <f ca="1">IF(ROWS($1:4)&gt;COUNT(Dong),"",IF(OFFSET(TH!L$1,SMALL(Dong,ROWS($1:4)),)="331",OFFSET(TH!M$1,SMALL(Dong,ROWS($1:4)),),OFFSET(TH!L$1,SMALL(Dong,ROWS($1:4)),)))</f>
        <v>1121</v>
      </c>
      <c r="F17" s="487">
        <f ca="1">IF(ROWS($1:4)&gt;COUNT(Dong),"",IF(OFFSET(TH!L$1,SMALL(Dong,ROWS($1:4)),)="331",OFFSET(TH!K$1,SMALL(Dong,ROWS($1:4)),),0))</f>
        <v>2437883</v>
      </c>
      <c r="G17" s="487">
        <f ca="1">IF(ROWS($1:4)&gt;COUNT(Dong),"",IF(OFFSET(TH!M$1,SMALL(Dong,ROWS($1:4)),)="331",OFFSET(TH!K$1,SMALL(Dong,ROWS($1:4)),),0))</f>
        <v>0</v>
      </c>
      <c r="H17" s="243">
        <f t="shared" ca="1" si="0"/>
        <v>39335202</v>
      </c>
      <c r="I17" s="243">
        <f t="shared" ca="1" si="1"/>
        <v>0</v>
      </c>
    </row>
    <row r="18" spans="1:9" s="3" customFormat="1" ht="20.25" customHeight="1">
      <c r="A18" s="484">
        <f ca="1">IF(ROWS($1:5)&gt;COUNT(Dong),"",OFFSET(TH!C$1,SMALL(Dong,ROWS($1:5)),))</f>
        <v>42824</v>
      </c>
      <c r="B18" s="484" t="str">
        <f ca="1">IF(ROWS($1:5)&gt;COUNT(Dong),"",OFFSET(TH!D$1,SMALL(Dong,ROWS($1:5)),))</f>
        <v>GBN</v>
      </c>
      <c r="C18" s="484">
        <f ca="1">IF(ROWS($1:5)&gt;COUNT(Dong),"",OFFSET(TH!E$1,SMALL(Dong,ROWS($1:5)),))</f>
        <v>42824</v>
      </c>
      <c r="D18" s="485" t="str">
        <f ca="1">IF(ROWS($1:5)&gt;COUNT(Dong),"",OFFSET(TH!F$1,SMALL(Dong,ROWS($1:5)),))</f>
        <v>Thanh toán tiền hàng</v>
      </c>
      <c r="E18" s="486" t="str">
        <f ca="1">IF(ROWS($1:5)&gt;COUNT(Dong),"",IF(OFFSET(TH!L$1,SMALL(Dong,ROWS($1:5)),)="331",OFFSET(TH!M$1,SMALL(Dong,ROWS($1:5)),),OFFSET(TH!L$1,SMALL(Dong,ROWS($1:5)),)))</f>
        <v>1121</v>
      </c>
      <c r="F18" s="487">
        <f ca="1">IF(ROWS($1:5)&gt;COUNT(Dong),"",IF(OFFSET(TH!L$1,SMALL(Dong,ROWS($1:5)),)="331",OFFSET(TH!K$1,SMALL(Dong,ROWS($1:5)),),0))</f>
        <v>9268909</v>
      </c>
      <c r="G18" s="487">
        <f ca="1">IF(ROWS($1:5)&gt;COUNT(Dong),"",IF(OFFSET(TH!M$1,SMALL(Dong,ROWS($1:5)),)="331",OFFSET(TH!K$1,SMALL(Dong,ROWS($1:5)),),0))</f>
        <v>0</v>
      </c>
      <c r="H18" s="243">
        <f t="shared" ca="1" si="0"/>
        <v>48604111</v>
      </c>
      <c r="I18" s="243">
        <f t="shared" ca="1" si="1"/>
        <v>0</v>
      </c>
    </row>
    <row r="19" spans="1:9" s="3" customFormat="1" ht="20.25" customHeight="1">
      <c r="A19" s="484">
        <f ca="1">IF(ROWS($1:6)&gt;COUNT(Dong),"",OFFSET(TH!C$1,SMALL(Dong,ROWS($1:6)),))</f>
        <v>42835</v>
      </c>
      <c r="B19" s="484" t="str">
        <f ca="1">IF(ROWS($1:6)&gt;COUNT(Dong),"",OFFSET(TH!D$1,SMALL(Dong,ROWS($1:6)),))</f>
        <v>GBN</v>
      </c>
      <c r="C19" s="484">
        <f ca="1">IF(ROWS($1:6)&gt;COUNT(Dong),"",OFFSET(TH!E$1,SMALL(Dong,ROWS($1:6)),))</f>
        <v>42835</v>
      </c>
      <c r="D19" s="485" t="str">
        <f ca="1">IF(ROWS($1:6)&gt;COUNT(Dong),"",OFFSET(TH!F$1,SMALL(Dong,ROWS($1:6)),))</f>
        <v>Thanh toán tiền hàng</v>
      </c>
      <c r="E19" s="486" t="str">
        <f ca="1">IF(ROWS($1:6)&gt;COUNT(Dong),"",IF(OFFSET(TH!L$1,SMALL(Dong,ROWS($1:6)),)="331",OFFSET(TH!M$1,SMALL(Dong,ROWS($1:6)),),OFFSET(TH!L$1,SMALL(Dong,ROWS($1:6)),)))</f>
        <v>1121</v>
      </c>
      <c r="F19" s="487">
        <f ca="1">IF(ROWS($1:6)&gt;COUNT(Dong),"",IF(OFFSET(TH!L$1,SMALL(Dong,ROWS($1:6)),)="331",OFFSET(TH!K$1,SMALL(Dong,ROWS($1:6)),),0))</f>
        <v>6819264</v>
      </c>
      <c r="G19" s="487">
        <f ca="1">IF(ROWS($1:6)&gt;COUNT(Dong),"",IF(OFFSET(TH!M$1,SMALL(Dong,ROWS($1:6)),)="331",OFFSET(TH!K$1,SMALL(Dong,ROWS($1:6)),),0))</f>
        <v>0</v>
      </c>
      <c r="H19" s="243">
        <f t="shared" ca="1" si="0"/>
        <v>55423375</v>
      </c>
      <c r="I19" s="243">
        <f t="shared" ca="1" si="1"/>
        <v>0</v>
      </c>
    </row>
    <row r="20" spans="1:9" s="3" customFormat="1" ht="20.25" customHeight="1">
      <c r="A20" s="484">
        <f ca="1">IF(ROWS($1:7)&gt;COUNT(Dong),"",OFFSET(TH!C$1,SMALL(Dong,ROWS($1:7)),))</f>
        <v>42844</v>
      </c>
      <c r="B20" s="484" t="str">
        <f ca="1">IF(ROWS($1:7)&gt;COUNT(Dong),"",OFFSET(TH!D$1,SMALL(Dong,ROWS($1:7)),))</f>
        <v>GBN</v>
      </c>
      <c r="C20" s="484">
        <f ca="1">IF(ROWS($1:7)&gt;COUNT(Dong),"",OFFSET(TH!E$1,SMALL(Dong,ROWS($1:7)),))</f>
        <v>42844</v>
      </c>
      <c r="D20" s="485" t="str">
        <f ca="1">IF(ROWS($1:7)&gt;COUNT(Dong),"",OFFSET(TH!F$1,SMALL(Dong,ROWS($1:7)),))</f>
        <v>Thanh toán tiền hàng</v>
      </c>
      <c r="E20" s="486" t="str">
        <f ca="1">IF(ROWS($1:7)&gt;COUNT(Dong),"",IF(OFFSET(TH!L$1,SMALL(Dong,ROWS($1:7)),)="331",OFFSET(TH!M$1,SMALL(Dong,ROWS($1:7)),),OFFSET(TH!L$1,SMALL(Dong,ROWS($1:7)),)))</f>
        <v>1121</v>
      </c>
      <c r="F20" s="487">
        <f ca="1">IF(ROWS($1:7)&gt;COUNT(Dong),"",IF(OFFSET(TH!L$1,SMALL(Dong,ROWS($1:7)),)="331",OFFSET(TH!K$1,SMALL(Dong,ROWS($1:7)),),0))</f>
        <v>5960346</v>
      </c>
      <c r="G20" s="487">
        <f ca="1">IF(ROWS($1:7)&gt;COUNT(Dong),"",IF(OFFSET(TH!M$1,SMALL(Dong,ROWS($1:7)),)="331",OFFSET(TH!K$1,SMALL(Dong,ROWS($1:7)),),0))</f>
        <v>0</v>
      </c>
      <c r="H20" s="243">
        <f t="shared" ca="1" si="0"/>
        <v>61383721</v>
      </c>
      <c r="I20" s="243">
        <f t="shared" ca="1" si="1"/>
        <v>0</v>
      </c>
    </row>
    <row r="21" spans="1:9" s="3" customFormat="1" ht="20.25" customHeight="1">
      <c r="A21" s="484">
        <f ca="1">IF(ROWS($1:8)&gt;COUNT(Dong),"",OFFSET(TH!C$1,SMALL(Dong,ROWS($1:8)),))</f>
        <v>42845</v>
      </c>
      <c r="B21" s="484" t="str">
        <f ca="1">IF(ROWS($1:8)&gt;COUNT(Dong),"",OFFSET(TH!D$1,SMALL(Dong,ROWS($1:8)),))</f>
        <v>GBN</v>
      </c>
      <c r="C21" s="484">
        <f ca="1">IF(ROWS($1:8)&gt;COUNT(Dong),"",OFFSET(TH!E$1,SMALL(Dong,ROWS($1:8)),))</f>
        <v>42845</v>
      </c>
      <c r="D21" s="485" t="str">
        <f ca="1">IF(ROWS($1:8)&gt;COUNT(Dong),"",OFFSET(TH!F$1,SMALL(Dong,ROWS($1:8)),))</f>
        <v>Thanh toán tiền hàng</v>
      </c>
      <c r="E21" s="486" t="str">
        <f ca="1">IF(ROWS($1:8)&gt;COUNT(Dong),"",IF(OFFSET(TH!L$1,SMALL(Dong,ROWS($1:8)),)="331",OFFSET(TH!M$1,SMALL(Dong,ROWS($1:8)),),OFFSET(TH!L$1,SMALL(Dong,ROWS($1:8)),)))</f>
        <v>1121</v>
      </c>
      <c r="F21" s="487">
        <f ca="1">IF(ROWS($1:8)&gt;COUNT(Dong),"",IF(OFFSET(TH!L$1,SMALL(Dong,ROWS($1:8)),)="331",OFFSET(TH!K$1,SMALL(Dong,ROWS($1:8)),),0))</f>
        <v>5544083</v>
      </c>
      <c r="G21" s="487">
        <f ca="1">IF(ROWS($1:8)&gt;COUNT(Dong),"",IF(OFFSET(TH!M$1,SMALL(Dong,ROWS($1:8)),)="331",OFFSET(TH!K$1,SMALL(Dong,ROWS($1:8)),),0))</f>
        <v>0</v>
      </c>
      <c r="H21" s="243">
        <f t="shared" ca="1" si="0"/>
        <v>66927804</v>
      </c>
      <c r="I21" s="243">
        <f t="shared" ca="1" si="1"/>
        <v>0</v>
      </c>
    </row>
    <row r="22" spans="1:9" s="3" customFormat="1" ht="20.25" customHeight="1">
      <c r="A22" s="484">
        <f ca="1">IF(ROWS($1:9)&gt;COUNT(Dong),"",OFFSET(TH!C$1,SMALL(Dong,ROWS($1:9)),))</f>
        <v>42849</v>
      </c>
      <c r="B22" s="484" t="str">
        <f ca="1">IF(ROWS($1:9)&gt;COUNT(Dong),"",OFFSET(TH!D$1,SMALL(Dong,ROWS($1:9)),))</f>
        <v>GBN</v>
      </c>
      <c r="C22" s="484">
        <f ca="1">IF(ROWS($1:9)&gt;COUNT(Dong),"",OFFSET(TH!E$1,SMALL(Dong,ROWS($1:9)),))</f>
        <v>42849</v>
      </c>
      <c r="D22" s="485" t="str">
        <f ca="1">IF(ROWS($1:9)&gt;COUNT(Dong),"",OFFSET(TH!F$1,SMALL(Dong,ROWS($1:9)),))</f>
        <v>Thanh toán tiền hàng</v>
      </c>
      <c r="E22" s="486" t="str">
        <f ca="1">IF(ROWS($1:9)&gt;COUNT(Dong),"",IF(OFFSET(TH!L$1,SMALL(Dong,ROWS($1:9)),)="331",OFFSET(TH!M$1,SMALL(Dong,ROWS($1:9)),),OFFSET(TH!L$1,SMALL(Dong,ROWS($1:9)),)))</f>
        <v>1121</v>
      </c>
      <c r="F22" s="487">
        <f ca="1">IF(ROWS($1:9)&gt;COUNT(Dong),"",IF(OFFSET(TH!L$1,SMALL(Dong,ROWS($1:9)),)="331",OFFSET(TH!K$1,SMALL(Dong,ROWS($1:9)),),0))</f>
        <v>4162091</v>
      </c>
      <c r="G22" s="487">
        <f ca="1">IF(ROWS($1:9)&gt;COUNT(Dong),"",IF(OFFSET(TH!M$1,SMALL(Dong,ROWS($1:9)),)="331",OFFSET(TH!K$1,SMALL(Dong,ROWS($1:9)),),0))</f>
        <v>0</v>
      </c>
      <c r="H22" s="243">
        <f t="shared" ca="1" si="0"/>
        <v>71089895</v>
      </c>
      <c r="I22" s="243">
        <f t="shared" ca="1" si="1"/>
        <v>0</v>
      </c>
    </row>
    <row r="23" spans="1:9" s="3" customFormat="1" ht="20.25" customHeight="1">
      <c r="A23" s="484">
        <f ca="1">IF(ROWS($1:10)&gt;COUNT(Dong),"",OFFSET(TH!C$1,SMALL(Dong,ROWS($1:10)),))</f>
        <v>42879</v>
      </c>
      <c r="B23" s="484" t="str">
        <f ca="1">IF(ROWS($1:10)&gt;COUNT(Dong),"",OFFSET(TH!D$1,SMALL(Dong,ROWS($1:10)),))</f>
        <v>GBN</v>
      </c>
      <c r="C23" s="484">
        <f ca="1">IF(ROWS($1:10)&gt;COUNT(Dong),"",OFFSET(TH!E$1,SMALL(Dong,ROWS($1:10)),))</f>
        <v>42879</v>
      </c>
      <c r="D23" s="485" t="str">
        <f ca="1">IF(ROWS($1:10)&gt;COUNT(Dong),"",OFFSET(TH!F$1,SMALL(Dong,ROWS($1:10)),))</f>
        <v>Thanh toán tiền hàng</v>
      </c>
      <c r="E23" s="486" t="str">
        <f ca="1">IF(ROWS($1:10)&gt;COUNT(Dong),"",IF(OFFSET(TH!L$1,SMALL(Dong,ROWS($1:10)),)="331",OFFSET(TH!M$1,SMALL(Dong,ROWS($1:10)),),OFFSET(TH!L$1,SMALL(Dong,ROWS($1:10)),)))</f>
        <v>1121</v>
      </c>
      <c r="F23" s="487">
        <f ca="1">IF(ROWS($1:10)&gt;COUNT(Dong),"",IF(OFFSET(TH!L$1,SMALL(Dong,ROWS($1:10)),)="331",OFFSET(TH!K$1,SMALL(Dong,ROWS($1:10)),),0))</f>
        <v>7593637</v>
      </c>
      <c r="G23" s="487">
        <f ca="1">IF(ROWS($1:10)&gt;COUNT(Dong),"",IF(OFFSET(TH!M$1,SMALL(Dong,ROWS($1:10)),)="331",OFFSET(TH!K$1,SMALL(Dong,ROWS($1:10)),),0))</f>
        <v>0</v>
      </c>
      <c r="H23" s="243">
        <f t="shared" ca="1" si="0"/>
        <v>78683532</v>
      </c>
      <c r="I23" s="243">
        <f t="shared" ca="1" si="1"/>
        <v>0</v>
      </c>
    </row>
    <row r="24" spans="1:9" s="3" customFormat="1" ht="20.25" customHeight="1">
      <c r="A24" s="484">
        <f ca="1">IF(ROWS($1:11)&gt;COUNT(Dong),"",OFFSET(TH!C$1,SMALL(Dong,ROWS($1:11)),))</f>
        <v>42921</v>
      </c>
      <c r="B24" s="484" t="str">
        <f ca="1">IF(ROWS($1:11)&gt;COUNT(Dong),"",OFFSET(TH!D$1,SMALL(Dong,ROWS($1:11)),))</f>
        <v>GBN</v>
      </c>
      <c r="C24" s="484">
        <f ca="1">IF(ROWS($1:11)&gt;COUNT(Dong),"",OFFSET(TH!E$1,SMALL(Dong,ROWS($1:11)),))</f>
        <v>42921</v>
      </c>
      <c r="D24" s="485" t="str">
        <f ca="1">IF(ROWS($1:11)&gt;COUNT(Dong),"",OFFSET(TH!F$1,SMALL(Dong,ROWS($1:11)),))</f>
        <v>Thanh toán tiền hàng</v>
      </c>
      <c r="E24" s="486" t="str">
        <f ca="1">IF(ROWS($1:11)&gt;COUNT(Dong),"",IF(OFFSET(TH!L$1,SMALL(Dong,ROWS($1:11)),)="331",OFFSET(TH!M$1,SMALL(Dong,ROWS($1:11)),),OFFSET(TH!L$1,SMALL(Dong,ROWS($1:11)),)))</f>
        <v>1121</v>
      </c>
      <c r="F24" s="487">
        <f ca="1">IF(ROWS($1:11)&gt;COUNT(Dong),"",IF(OFFSET(TH!L$1,SMALL(Dong,ROWS($1:11)),)="331",OFFSET(TH!K$1,SMALL(Dong,ROWS($1:11)),),0))</f>
        <v>28000000</v>
      </c>
      <c r="G24" s="487">
        <f ca="1">IF(ROWS($1:11)&gt;COUNT(Dong),"",IF(OFFSET(TH!M$1,SMALL(Dong,ROWS($1:11)),)="331",OFFSET(TH!K$1,SMALL(Dong,ROWS($1:11)),),0))</f>
        <v>0</v>
      </c>
      <c r="H24" s="243">
        <f t="shared" ca="1" si="0"/>
        <v>106683532</v>
      </c>
      <c r="I24" s="243">
        <f t="shared" ca="1" si="1"/>
        <v>0</v>
      </c>
    </row>
    <row r="25" spans="1:9" s="3" customFormat="1" ht="20.25" customHeight="1">
      <c r="A25" s="484">
        <f ca="1">IF(ROWS($1:12)&gt;COUNT(Dong),"",OFFSET(TH!C$1,SMALL(Dong,ROWS($1:12)),))</f>
        <v>43007</v>
      </c>
      <c r="B25" s="484" t="str">
        <f ca="1">IF(ROWS($1:12)&gt;COUNT(Dong),"",OFFSET(TH!D$1,SMALL(Dong,ROWS($1:12)),))</f>
        <v>GBN</v>
      </c>
      <c r="C25" s="484">
        <f ca="1">IF(ROWS($1:12)&gt;COUNT(Dong),"",OFFSET(TH!E$1,SMALL(Dong,ROWS($1:12)),))</f>
        <v>43007</v>
      </c>
      <c r="D25" s="485" t="str">
        <f ca="1">IF(ROWS($1:12)&gt;COUNT(Dong),"",OFFSET(TH!F$1,SMALL(Dong,ROWS($1:12)),))</f>
        <v>thanh toan tien hang</v>
      </c>
      <c r="E25" s="486" t="str">
        <f ca="1">IF(ROWS($1:12)&gt;COUNT(Dong),"",IF(OFFSET(TH!L$1,SMALL(Dong,ROWS($1:12)),)="331",OFFSET(TH!M$1,SMALL(Dong,ROWS($1:12)),),OFFSET(TH!L$1,SMALL(Dong,ROWS($1:12)),)))</f>
        <v>1111</v>
      </c>
      <c r="F25" s="487">
        <f ca="1">IF(ROWS($1:12)&gt;COUNT(Dong),"",IF(OFFSET(TH!L$1,SMALL(Dong,ROWS($1:12)),)="331",OFFSET(TH!K$1,SMALL(Dong,ROWS($1:12)),),0))</f>
        <v>26020617</v>
      </c>
      <c r="G25" s="487">
        <f ca="1">IF(ROWS($1:12)&gt;COUNT(Dong),"",IF(OFFSET(TH!M$1,SMALL(Dong,ROWS($1:12)),)="331",OFFSET(TH!K$1,SMALL(Dong,ROWS($1:12)),),0))</f>
        <v>0</v>
      </c>
      <c r="H25" s="243">
        <f t="shared" ca="1" si="0"/>
        <v>132704149</v>
      </c>
      <c r="I25" s="243">
        <f t="shared" ca="1" si="1"/>
        <v>0</v>
      </c>
    </row>
    <row r="26" spans="1:9" s="3" customFormat="1" ht="20.25" customHeight="1">
      <c r="A26" s="484">
        <f ca="1">IF(ROWS($1:13)&gt;COUNT(Dong),"",OFFSET(TH!C$1,SMALL(Dong,ROWS($1:13)),))</f>
        <v>42749</v>
      </c>
      <c r="B26" s="484" t="str">
        <f ca="1">IF(ROWS($1:13)&gt;COUNT(Dong),"",OFFSET(TH!D$1,SMALL(Dong,ROWS($1:13)),))</f>
        <v>N03</v>
      </c>
      <c r="C26" s="484">
        <f ca="1">IF(ROWS($1:13)&gt;COUNT(Dong),"",OFFSET(TH!E$1,SMALL(Dong,ROWS($1:13)),))</f>
        <v>42749</v>
      </c>
      <c r="D26" s="485" t="str">
        <f ca="1">IF(ROWS($1:13)&gt;COUNT(Dong),"",OFFSET(TH!F$1,SMALL(Dong,ROWS($1:13)),))</f>
        <v>Giấy tấm 1400x2170</v>
      </c>
      <c r="E26" s="486" t="str">
        <f ca="1">IF(ROWS($1:13)&gt;COUNT(Dong),"",IF(OFFSET(TH!L$1,SMALL(Dong,ROWS($1:13)),)="331",OFFSET(TH!M$1,SMALL(Dong,ROWS($1:13)),),OFFSET(TH!L$1,SMALL(Dong,ROWS($1:13)),)))</f>
        <v>156</v>
      </c>
      <c r="F26" s="487">
        <f ca="1">IF(ROWS($1:13)&gt;COUNT(Dong),"",IF(OFFSET(TH!L$1,SMALL(Dong,ROWS($1:13)),)="331",OFFSET(TH!K$1,SMALL(Dong,ROWS($1:13)),),0))</f>
        <v>0</v>
      </c>
      <c r="G26" s="487">
        <f ca="1">IF(ROWS($1:13)&gt;COUNT(Dong),"",IF(OFFSET(TH!M$1,SMALL(Dong,ROWS($1:13)),)="331",OFFSET(TH!K$1,SMALL(Dong,ROWS($1:13)),),0))</f>
        <v>6835500</v>
      </c>
      <c r="H26" s="243">
        <f t="shared" ca="1" si="0"/>
        <v>125868649</v>
      </c>
      <c r="I26" s="243">
        <f t="shared" ca="1" si="1"/>
        <v>0</v>
      </c>
    </row>
    <row r="27" spans="1:9" s="3" customFormat="1" ht="20.25" customHeight="1">
      <c r="A27" s="484">
        <f ca="1">IF(ROWS($1:14)&gt;COUNT(Dong),"",OFFSET(TH!C$1,SMALL(Dong,ROWS($1:14)),))</f>
        <v>42749</v>
      </c>
      <c r="B27" s="484" t="str">
        <f ca="1">IF(ROWS($1:14)&gt;COUNT(Dong),"",OFFSET(TH!D$1,SMALL(Dong,ROWS($1:14)),))</f>
        <v>N03</v>
      </c>
      <c r="C27" s="484">
        <f ca="1">IF(ROWS($1:14)&gt;COUNT(Dong),"",OFFSET(TH!E$1,SMALL(Dong,ROWS($1:14)),))</f>
        <v>42749</v>
      </c>
      <c r="D27" s="485" t="str">
        <f ca="1">IF(ROWS($1:14)&gt;COUNT(Dong),"",OFFSET(TH!F$1,SMALL(Dong,ROWS($1:14)),))</f>
        <v>Giấy tấm 1650x1860</v>
      </c>
      <c r="E27" s="486" t="str">
        <f ca="1">IF(ROWS($1:14)&gt;COUNT(Dong),"",IF(OFFSET(TH!L$1,SMALL(Dong,ROWS($1:14)),)="331",OFFSET(TH!M$1,SMALL(Dong,ROWS($1:14)),),OFFSET(TH!L$1,SMALL(Dong,ROWS($1:14)),)))</f>
        <v>156</v>
      </c>
      <c r="F27" s="487">
        <f ca="1">IF(ROWS($1:14)&gt;COUNT(Dong),"",IF(OFFSET(TH!L$1,SMALL(Dong,ROWS($1:14)),)="331",OFFSET(TH!K$1,SMALL(Dong,ROWS($1:14)),),0))</f>
        <v>0</v>
      </c>
      <c r="G27" s="487">
        <f ca="1">IF(ROWS($1:14)&gt;COUNT(Dong),"",IF(OFFSET(TH!M$1,SMALL(Dong,ROWS($1:14)),)="331",OFFSET(TH!K$1,SMALL(Dong,ROWS($1:14)),),0))</f>
        <v>5524200</v>
      </c>
      <c r="H27" s="243">
        <f t="shared" ca="1" si="0"/>
        <v>120344449</v>
      </c>
      <c r="I27" s="243">
        <f t="shared" ca="1" si="1"/>
        <v>0</v>
      </c>
    </row>
    <row r="28" spans="1:9" s="3" customFormat="1" ht="20.25" customHeight="1">
      <c r="A28" s="484">
        <f ca="1">IF(ROWS($1:15)&gt;COUNT(Dong),"",OFFSET(TH!C$1,SMALL(Dong,ROWS($1:15)),))</f>
        <v>42749</v>
      </c>
      <c r="B28" s="484" t="str">
        <f ca="1">IF(ROWS($1:15)&gt;COUNT(Dong),"",OFFSET(TH!D$1,SMALL(Dong,ROWS($1:15)),))</f>
        <v>N03</v>
      </c>
      <c r="C28" s="484">
        <f ca="1">IF(ROWS($1:15)&gt;COUNT(Dong),"",OFFSET(TH!E$1,SMALL(Dong,ROWS($1:15)),))</f>
        <v>42749</v>
      </c>
      <c r="D28" s="485" t="str">
        <f ca="1">IF(ROWS($1:15)&gt;COUNT(Dong),"",OFFSET(TH!F$1,SMALL(Dong,ROWS($1:15)),))</f>
        <v xml:space="preserve">VAT Giấy tấm </v>
      </c>
      <c r="E28" s="486" t="str">
        <f ca="1">IF(ROWS($1:15)&gt;COUNT(Dong),"",IF(OFFSET(TH!L$1,SMALL(Dong,ROWS($1:15)),)="331",OFFSET(TH!M$1,SMALL(Dong,ROWS($1:15)),),OFFSET(TH!L$1,SMALL(Dong,ROWS($1:15)),)))</f>
        <v>1331</v>
      </c>
      <c r="F28" s="487">
        <f ca="1">IF(ROWS($1:15)&gt;COUNT(Dong),"",IF(OFFSET(TH!L$1,SMALL(Dong,ROWS($1:15)),)="331",OFFSET(TH!K$1,SMALL(Dong,ROWS($1:15)),),0))</f>
        <v>0</v>
      </c>
      <c r="G28" s="487">
        <f ca="1">IF(ROWS($1:15)&gt;COUNT(Dong),"",IF(OFFSET(TH!M$1,SMALL(Dong,ROWS($1:15)),)="331",OFFSET(TH!K$1,SMALL(Dong,ROWS($1:15)),),0))</f>
        <v>1235970</v>
      </c>
      <c r="H28" s="243">
        <f t="shared" ca="1" si="0"/>
        <v>119108479</v>
      </c>
      <c r="I28" s="243">
        <f t="shared" ca="1" si="1"/>
        <v>0</v>
      </c>
    </row>
    <row r="29" spans="1:9" s="3" customFormat="1" ht="20.25" customHeight="1">
      <c r="A29" s="484">
        <f ca="1">IF(ROWS($1:16)&gt;COUNT(Dong),"",OFFSET(TH!C$1,SMALL(Dong,ROWS($1:16)),))</f>
        <v>42781</v>
      </c>
      <c r="B29" s="484" t="str">
        <f ca="1">IF(ROWS($1:16)&gt;COUNT(Dong),"",OFFSET(TH!D$1,SMALL(Dong,ROWS($1:16)),))</f>
        <v>N13</v>
      </c>
      <c r="C29" s="484">
        <f ca="1">IF(ROWS($1:16)&gt;COUNT(Dong),"",OFFSET(TH!E$1,SMALL(Dong,ROWS($1:16)),))</f>
        <v>42781</v>
      </c>
      <c r="D29" s="485" t="str">
        <f ca="1">IF(ROWS($1:16)&gt;COUNT(Dong),"",OFFSET(TH!F$1,SMALL(Dong,ROWS($1:16)),))</f>
        <v>Giấy tấm 2150x1220</v>
      </c>
      <c r="E29" s="486" t="str">
        <f ca="1">IF(ROWS($1:16)&gt;COUNT(Dong),"",IF(OFFSET(TH!L$1,SMALL(Dong,ROWS($1:16)),)="331",OFFSET(TH!M$1,SMALL(Dong,ROWS($1:16)),),OFFSET(TH!L$1,SMALL(Dong,ROWS($1:16)),)))</f>
        <v>156</v>
      </c>
      <c r="F29" s="487">
        <f ca="1">IF(ROWS($1:16)&gt;COUNT(Dong),"",IF(OFFSET(TH!L$1,SMALL(Dong,ROWS($1:16)),)="331",OFFSET(TH!K$1,SMALL(Dong,ROWS($1:16)),),0))</f>
        <v>0</v>
      </c>
      <c r="G29" s="487">
        <f ca="1">IF(ROWS($1:16)&gt;COUNT(Dong),"",IF(OFFSET(TH!M$1,SMALL(Dong,ROWS($1:16)),)="331",OFFSET(TH!K$1,SMALL(Dong,ROWS($1:16)),),0))</f>
        <v>1836100</v>
      </c>
      <c r="H29" s="243">
        <f t="shared" ca="1" si="0"/>
        <v>117272379</v>
      </c>
      <c r="I29" s="243">
        <f t="shared" ca="1" si="1"/>
        <v>0</v>
      </c>
    </row>
    <row r="30" spans="1:9" s="3" customFormat="1" ht="20.25" customHeight="1">
      <c r="A30" s="484">
        <f ca="1">IF(ROWS($1:17)&gt;COUNT(Dong),"",OFFSET(TH!C$1,SMALL(Dong,ROWS($1:17)),))</f>
        <v>42781</v>
      </c>
      <c r="B30" s="484" t="str">
        <f ca="1">IF(ROWS($1:17)&gt;COUNT(Dong),"",OFFSET(TH!D$1,SMALL(Dong,ROWS($1:17)),))</f>
        <v>N13</v>
      </c>
      <c r="C30" s="484">
        <f ca="1">IF(ROWS($1:17)&gt;COUNT(Dong),"",OFFSET(TH!E$1,SMALL(Dong,ROWS($1:17)),))</f>
        <v>42781</v>
      </c>
      <c r="D30" s="485" t="str">
        <f ca="1">IF(ROWS($1:17)&gt;COUNT(Dong),"",OFFSET(TH!F$1,SMALL(Dong,ROWS($1:17)),))</f>
        <v>Giấy tấm 1600x2140</v>
      </c>
      <c r="E30" s="486" t="str">
        <f ca="1">IF(ROWS($1:17)&gt;COUNT(Dong),"",IF(OFFSET(TH!L$1,SMALL(Dong,ROWS($1:17)),)="331",OFFSET(TH!M$1,SMALL(Dong,ROWS($1:17)),),OFFSET(TH!L$1,SMALL(Dong,ROWS($1:17)),)))</f>
        <v>156</v>
      </c>
      <c r="F30" s="487">
        <f ca="1">IF(ROWS($1:17)&gt;COUNT(Dong),"",IF(OFFSET(TH!L$1,SMALL(Dong,ROWS($1:17)),)="331",OFFSET(TH!K$1,SMALL(Dong,ROWS($1:17)),),0))</f>
        <v>0</v>
      </c>
      <c r="G30" s="487">
        <f ca="1">IF(ROWS($1:17)&gt;COUNT(Dong),"",IF(OFFSET(TH!M$1,SMALL(Dong,ROWS($1:17)),)="331",OFFSET(TH!K$1,SMALL(Dong,ROWS($1:17)),),0))</f>
        <v>1522280</v>
      </c>
      <c r="H30" s="243">
        <f t="shared" ref="H30:H38" ca="1" si="2">IF(D30&lt;&gt;"",MAX(H29+F30-G30-I29,0),0)</f>
        <v>115750099</v>
      </c>
      <c r="I30" s="243">
        <f t="shared" ref="I30:I38" ca="1" si="3">IF(D30&lt;&gt;"",MAX(I29+G30-H29-F30,0),0)</f>
        <v>0</v>
      </c>
    </row>
    <row r="31" spans="1:9" s="3" customFormat="1" ht="20.25" customHeight="1">
      <c r="A31" s="484">
        <f ca="1">IF(ROWS($1:18)&gt;COUNT(Dong),"",OFFSET(TH!C$1,SMALL(Dong,ROWS($1:18)),))</f>
        <v>42781</v>
      </c>
      <c r="B31" s="484" t="str">
        <f ca="1">IF(ROWS($1:18)&gt;COUNT(Dong),"",OFFSET(TH!D$1,SMALL(Dong,ROWS($1:18)),))</f>
        <v>N13</v>
      </c>
      <c r="C31" s="484">
        <f ca="1">IF(ROWS($1:18)&gt;COUNT(Dong),"",OFFSET(TH!E$1,SMALL(Dong,ROWS($1:18)),))</f>
        <v>42781</v>
      </c>
      <c r="D31" s="485" t="str">
        <f ca="1">IF(ROWS($1:18)&gt;COUNT(Dong),"",OFFSET(TH!F$1,SMALL(Dong,ROWS($1:18)),))</f>
        <v>Giấy tấm 1500x2350</v>
      </c>
      <c r="E31" s="486" t="str">
        <f ca="1">IF(ROWS($1:18)&gt;COUNT(Dong),"",IF(OFFSET(TH!L$1,SMALL(Dong,ROWS($1:18)),)="331",OFFSET(TH!M$1,SMALL(Dong,ROWS($1:18)),),OFFSET(TH!L$1,SMALL(Dong,ROWS($1:18)),)))</f>
        <v>156</v>
      </c>
      <c r="F31" s="487">
        <f ca="1">IF(ROWS($1:18)&gt;COUNT(Dong),"",IF(OFFSET(TH!L$1,SMALL(Dong,ROWS($1:18)),)="331",OFFSET(TH!K$1,SMALL(Dong,ROWS($1:18)),),0))</f>
        <v>0</v>
      </c>
      <c r="G31" s="487">
        <f ca="1">IF(ROWS($1:18)&gt;COUNT(Dong),"",IF(OFFSET(TH!M$1,SMALL(Dong,ROWS($1:18)),)="331",OFFSET(TH!K$1,SMALL(Dong,ROWS($1:18)),),0))</f>
        <v>2290564</v>
      </c>
      <c r="H31" s="243">
        <f t="shared" ca="1" si="2"/>
        <v>113459535</v>
      </c>
      <c r="I31" s="243">
        <f t="shared" ca="1" si="3"/>
        <v>0</v>
      </c>
    </row>
    <row r="32" spans="1:9" s="3" customFormat="1" ht="20.25" customHeight="1">
      <c r="A32" s="484">
        <f ca="1">IF(ROWS($1:19)&gt;COUNT(Dong),"",OFFSET(TH!C$1,SMALL(Dong,ROWS($1:19)),))</f>
        <v>42781</v>
      </c>
      <c r="B32" s="484" t="str">
        <f ca="1">IF(ROWS($1:19)&gt;COUNT(Dong),"",OFFSET(TH!D$1,SMALL(Dong,ROWS($1:19)),))</f>
        <v>N13</v>
      </c>
      <c r="C32" s="484">
        <f ca="1">IF(ROWS($1:19)&gt;COUNT(Dong),"",OFFSET(TH!E$1,SMALL(Dong,ROWS($1:19)),))</f>
        <v>42781</v>
      </c>
      <c r="D32" s="485" t="str">
        <f ca="1">IF(ROWS($1:19)&gt;COUNT(Dong),"",OFFSET(TH!F$1,SMALL(Dong,ROWS($1:19)),))</f>
        <v>Giấy tấm 1500x2350</v>
      </c>
      <c r="E32" s="486" t="str">
        <f ca="1">IF(ROWS($1:19)&gt;COUNT(Dong),"",IF(OFFSET(TH!L$1,SMALL(Dong,ROWS($1:19)),)="331",OFFSET(TH!M$1,SMALL(Dong,ROWS($1:19)),),OFFSET(TH!L$1,SMALL(Dong,ROWS($1:19)),)))</f>
        <v>156</v>
      </c>
      <c r="F32" s="487">
        <f ca="1">IF(ROWS($1:19)&gt;COUNT(Dong),"",IF(OFFSET(TH!L$1,SMALL(Dong,ROWS($1:19)),)="331",OFFSET(TH!K$1,SMALL(Dong,ROWS($1:19)),),0))</f>
        <v>0</v>
      </c>
      <c r="G32" s="487">
        <f ca="1">IF(ROWS($1:19)&gt;COUNT(Dong),"",IF(OFFSET(TH!M$1,SMALL(Dong,ROWS($1:19)),)="331",OFFSET(TH!K$1,SMALL(Dong,ROWS($1:19)),),0))</f>
        <v>1567196</v>
      </c>
      <c r="H32" s="243">
        <f t="shared" ca="1" si="2"/>
        <v>111892339</v>
      </c>
      <c r="I32" s="243">
        <f t="shared" ca="1" si="3"/>
        <v>0</v>
      </c>
    </row>
    <row r="33" spans="1:9" s="3" customFormat="1" ht="20.25" customHeight="1">
      <c r="A33" s="484">
        <f ca="1">IF(ROWS($1:20)&gt;COUNT(Dong),"",OFFSET(TH!C$1,SMALL(Dong,ROWS($1:20)),))</f>
        <v>42781</v>
      </c>
      <c r="B33" s="484" t="str">
        <f ca="1">IF(ROWS($1:20)&gt;COUNT(Dong),"",OFFSET(TH!D$1,SMALL(Dong,ROWS($1:20)),))</f>
        <v>N13</v>
      </c>
      <c r="C33" s="484">
        <f ca="1">IF(ROWS($1:20)&gt;COUNT(Dong),"",OFFSET(TH!E$1,SMALL(Dong,ROWS($1:20)),))</f>
        <v>42781</v>
      </c>
      <c r="D33" s="485" t="str">
        <f ca="1">IF(ROWS($1:20)&gt;COUNT(Dong),"",OFFSET(TH!F$1,SMALL(Dong,ROWS($1:20)),))</f>
        <v xml:space="preserve">VAT Giấy tấm </v>
      </c>
      <c r="E33" s="486" t="str">
        <f ca="1">IF(ROWS($1:20)&gt;COUNT(Dong),"",IF(OFFSET(TH!L$1,SMALL(Dong,ROWS($1:20)),)="331",OFFSET(TH!M$1,SMALL(Dong,ROWS($1:20)),),OFFSET(TH!L$1,SMALL(Dong,ROWS($1:20)),)))</f>
        <v>1331</v>
      </c>
      <c r="F33" s="487">
        <f ca="1">IF(ROWS($1:20)&gt;COUNT(Dong),"",IF(OFFSET(TH!L$1,SMALL(Dong,ROWS($1:20)),)="331",OFFSET(TH!K$1,SMALL(Dong,ROWS($1:20)),),0))</f>
        <v>0</v>
      </c>
      <c r="G33" s="487">
        <f ca="1">IF(ROWS($1:20)&gt;COUNT(Dong),"",IF(OFFSET(TH!M$1,SMALL(Dong,ROWS($1:20)),)="331",OFFSET(TH!K$1,SMALL(Dong,ROWS($1:20)),),0))</f>
        <v>721614</v>
      </c>
      <c r="H33" s="243">
        <f t="shared" ca="1" si="2"/>
        <v>111170725</v>
      </c>
      <c r="I33" s="243">
        <f t="shared" ca="1" si="3"/>
        <v>0</v>
      </c>
    </row>
    <row r="34" spans="1:9" s="3" customFormat="1" ht="20.25" customHeight="1">
      <c r="A34" s="484">
        <f ca="1">IF(ROWS($1:21)&gt;COUNT(Dong),"",OFFSET(TH!C$1,SMALL(Dong,ROWS($1:21)),))</f>
        <v>42782</v>
      </c>
      <c r="B34" s="484" t="str">
        <f ca="1">IF(ROWS($1:21)&gt;COUNT(Dong),"",OFFSET(TH!D$1,SMALL(Dong,ROWS($1:21)),))</f>
        <v>N14</v>
      </c>
      <c r="C34" s="484">
        <f ca="1">IF(ROWS($1:21)&gt;COUNT(Dong),"",OFFSET(TH!E$1,SMALL(Dong,ROWS($1:21)),))</f>
        <v>42782</v>
      </c>
      <c r="D34" s="485" t="str">
        <f ca="1">IF(ROWS($1:21)&gt;COUNT(Dong),"",OFFSET(TH!F$1,SMALL(Dong,ROWS($1:21)),))</f>
        <v>Giấy tấm 1600x2140</v>
      </c>
      <c r="E34" s="486" t="str">
        <f ca="1">IF(ROWS($1:21)&gt;COUNT(Dong),"",IF(OFFSET(TH!L$1,SMALL(Dong,ROWS($1:21)),)="331",OFFSET(TH!M$1,SMALL(Dong,ROWS($1:21)),),OFFSET(TH!L$1,SMALL(Dong,ROWS($1:21)),)))</f>
        <v>156</v>
      </c>
      <c r="F34" s="487">
        <f ca="1">IF(ROWS($1:21)&gt;COUNT(Dong),"",IF(OFFSET(TH!L$1,SMALL(Dong,ROWS($1:21)),)="331",OFFSET(TH!K$1,SMALL(Dong,ROWS($1:21)),),0))</f>
        <v>0</v>
      </c>
      <c r="G34" s="487">
        <f ca="1">IF(ROWS($1:21)&gt;COUNT(Dong),"",IF(OFFSET(TH!M$1,SMALL(Dong,ROWS($1:21)),)="331",OFFSET(TH!K$1,SMALL(Dong,ROWS($1:21)),),0))</f>
        <v>1405200</v>
      </c>
      <c r="H34" s="243">
        <f t="shared" ca="1" si="2"/>
        <v>109765525</v>
      </c>
      <c r="I34" s="243">
        <f t="shared" ca="1" si="3"/>
        <v>0</v>
      </c>
    </row>
    <row r="35" spans="1:9" s="3" customFormat="1" ht="20.25" customHeight="1">
      <c r="A35" s="484">
        <f ca="1">IF(ROWS($1:22)&gt;COUNT(Dong),"",OFFSET(TH!C$1,SMALL(Dong,ROWS($1:22)),))</f>
        <v>42782</v>
      </c>
      <c r="B35" s="484" t="str">
        <f ca="1">IF(ROWS($1:22)&gt;COUNT(Dong),"",OFFSET(TH!D$1,SMALL(Dong,ROWS($1:22)),))</f>
        <v>N14</v>
      </c>
      <c r="C35" s="484">
        <f ca="1">IF(ROWS($1:22)&gt;COUNT(Dong),"",OFFSET(TH!E$1,SMALL(Dong,ROWS($1:22)),))</f>
        <v>42782</v>
      </c>
      <c r="D35" s="485" t="str">
        <f ca="1">IF(ROWS($1:22)&gt;COUNT(Dong),"",OFFSET(TH!F$1,SMALL(Dong,ROWS($1:22)),))</f>
        <v xml:space="preserve">VAT Giấy tấm </v>
      </c>
      <c r="E35" s="486" t="str">
        <f ca="1">IF(ROWS($1:22)&gt;COUNT(Dong),"",IF(OFFSET(TH!L$1,SMALL(Dong,ROWS($1:22)),)="331",OFFSET(TH!M$1,SMALL(Dong,ROWS($1:22)),),OFFSET(TH!L$1,SMALL(Dong,ROWS($1:22)),)))</f>
        <v>1331</v>
      </c>
      <c r="F35" s="487">
        <f ca="1">IF(ROWS($1:22)&gt;COUNT(Dong),"",IF(OFFSET(TH!L$1,SMALL(Dong,ROWS($1:22)),)="331",OFFSET(TH!K$1,SMALL(Dong,ROWS($1:22)),),0))</f>
        <v>0</v>
      </c>
      <c r="G35" s="487">
        <f ca="1">IF(ROWS($1:22)&gt;COUNT(Dong),"",IF(OFFSET(TH!M$1,SMALL(Dong,ROWS($1:22)),)="331",OFFSET(TH!K$1,SMALL(Dong,ROWS($1:22)),),0))</f>
        <v>140520</v>
      </c>
      <c r="H35" s="243">
        <f t="shared" ca="1" si="2"/>
        <v>109625005</v>
      </c>
      <c r="I35" s="243">
        <f t="shared" ca="1" si="3"/>
        <v>0</v>
      </c>
    </row>
    <row r="36" spans="1:9" s="3" customFormat="1" ht="20.25" customHeight="1">
      <c r="A36" s="484">
        <f ca="1">IF(ROWS($1:23)&gt;COUNT(Dong),"",OFFSET(TH!C$1,SMALL(Dong,ROWS($1:23)),))</f>
        <v>42794</v>
      </c>
      <c r="B36" s="484" t="str">
        <f ca="1">IF(ROWS($1:23)&gt;COUNT(Dong),"",OFFSET(TH!D$1,SMALL(Dong,ROWS($1:23)),))</f>
        <v>N17</v>
      </c>
      <c r="C36" s="484">
        <f ca="1">IF(ROWS($1:23)&gt;COUNT(Dong),"",OFFSET(TH!E$1,SMALL(Dong,ROWS($1:23)),))</f>
        <v>42794</v>
      </c>
      <c r="D36" s="485" t="str">
        <f ca="1">IF(ROWS($1:23)&gt;COUNT(Dong),"",OFFSET(TH!F$1,SMALL(Dong,ROWS($1:23)),))</f>
        <v>Giấy tấm 2200x3000</v>
      </c>
      <c r="E36" s="486" t="str">
        <f ca="1">IF(ROWS($1:23)&gt;COUNT(Dong),"",IF(OFFSET(TH!L$1,SMALL(Dong,ROWS($1:23)),)="331",OFFSET(TH!M$1,SMALL(Dong,ROWS($1:23)),),OFFSET(TH!L$1,SMALL(Dong,ROWS($1:23)),)))</f>
        <v>156</v>
      </c>
      <c r="F36" s="487">
        <f ca="1">IF(ROWS($1:23)&gt;COUNT(Dong),"",IF(OFFSET(TH!L$1,SMALL(Dong,ROWS($1:23)),)="331",OFFSET(TH!K$1,SMALL(Dong,ROWS($1:23)),),0))</f>
        <v>0</v>
      </c>
      <c r="G36" s="487">
        <f ca="1">IF(ROWS($1:23)&gt;COUNT(Dong),"",IF(OFFSET(TH!M$1,SMALL(Dong,ROWS($1:23)),)="331",OFFSET(TH!K$1,SMALL(Dong,ROWS($1:23)),),0))</f>
        <v>1782000</v>
      </c>
      <c r="H36" s="243">
        <f t="shared" ca="1" si="2"/>
        <v>107843005</v>
      </c>
      <c r="I36" s="243">
        <f t="shared" ca="1" si="3"/>
        <v>0</v>
      </c>
    </row>
    <row r="37" spans="1:9" s="3" customFormat="1" ht="20.25" customHeight="1">
      <c r="A37" s="484">
        <f ca="1">IF(ROWS($1:24)&gt;COUNT(Dong),"",OFFSET(TH!C$1,SMALL(Dong,ROWS($1:24)),))</f>
        <v>42794</v>
      </c>
      <c r="B37" s="484" t="str">
        <f ca="1">IF(ROWS($1:24)&gt;COUNT(Dong),"",OFFSET(TH!D$1,SMALL(Dong,ROWS($1:24)),))</f>
        <v>N17</v>
      </c>
      <c r="C37" s="484">
        <f ca="1">IF(ROWS($1:24)&gt;COUNT(Dong),"",OFFSET(TH!E$1,SMALL(Dong,ROWS($1:24)),))</f>
        <v>42794</v>
      </c>
      <c r="D37" s="485" t="str">
        <f ca="1">IF(ROWS($1:24)&gt;COUNT(Dong),"",OFFSET(TH!F$1,SMALL(Dong,ROWS($1:24)),))</f>
        <v xml:space="preserve">VAT Giấy tấm </v>
      </c>
      <c r="E37" s="486" t="str">
        <f ca="1">IF(ROWS($1:24)&gt;COUNT(Dong),"",IF(OFFSET(TH!L$1,SMALL(Dong,ROWS($1:24)),)="331",OFFSET(TH!M$1,SMALL(Dong,ROWS($1:24)),),OFFSET(TH!L$1,SMALL(Dong,ROWS($1:24)),)))</f>
        <v>1331</v>
      </c>
      <c r="F37" s="487">
        <f ca="1">IF(ROWS($1:24)&gt;COUNT(Dong),"",IF(OFFSET(TH!L$1,SMALL(Dong,ROWS($1:24)),)="331",OFFSET(TH!K$1,SMALL(Dong,ROWS($1:24)),),0))</f>
        <v>0</v>
      </c>
      <c r="G37" s="487">
        <f ca="1">IF(ROWS($1:24)&gt;COUNT(Dong),"",IF(OFFSET(TH!M$1,SMALL(Dong,ROWS($1:24)),)="331",OFFSET(TH!K$1,SMALL(Dong,ROWS($1:24)),),0))</f>
        <v>178200</v>
      </c>
      <c r="H37" s="243">
        <f t="shared" ca="1" si="2"/>
        <v>107664805</v>
      </c>
      <c r="I37" s="243">
        <f t="shared" ca="1" si="3"/>
        <v>0</v>
      </c>
    </row>
    <row r="38" spans="1:9" s="3" customFormat="1" ht="20.25" customHeight="1">
      <c r="A38" s="484">
        <f ca="1">IF(ROWS($1:25)&gt;COUNT(Dong),"",OFFSET(TH!C$1,SMALL(Dong,ROWS($1:25)),))</f>
        <v>42795</v>
      </c>
      <c r="B38" s="484" t="str">
        <f ca="1">IF(ROWS($1:25)&gt;COUNT(Dong),"",OFFSET(TH!D$1,SMALL(Dong,ROWS($1:25)),))</f>
        <v>N23</v>
      </c>
      <c r="C38" s="484">
        <f ca="1">IF(ROWS($1:25)&gt;COUNT(Dong),"",OFFSET(TH!E$1,SMALL(Dong,ROWS($1:25)),))</f>
        <v>42795</v>
      </c>
      <c r="D38" s="485" t="str">
        <f ca="1">IF(ROWS($1:25)&gt;COUNT(Dong),"",OFFSET(TH!F$1,SMALL(Dong,ROWS($1:25)),))</f>
        <v>Giấy tấm 1700x2120</v>
      </c>
      <c r="E38" s="486" t="str">
        <f ca="1">IF(ROWS($1:25)&gt;COUNT(Dong),"",IF(OFFSET(TH!L$1,SMALL(Dong,ROWS($1:25)),)="331",OFFSET(TH!M$1,SMALL(Dong,ROWS($1:25)),),OFFSET(TH!L$1,SMALL(Dong,ROWS($1:25)),)))</f>
        <v>156</v>
      </c>
      <c r="F38" s="487">
        <f ca="1">IF(ROWS($1:25)&gt;COUNT(Dong),"",IF(OFFSET(TH!L$1,SMALL(Dong,ROWS($1:25)),)="331",OFFSET(TH!K$1,SMALL(Dong,ROWS($1:25)),),0))</f>
        <v>0</v>
      </c>
      <c r="G38" s="487">
        <f ca="1">IF(ROWS($1:25)&gt;COUNT(Dong),"",IF(OFFSET(TH!M$1,SMALL(Dong,ROWS($1:25)),)="331",OFFSET(TH!K$1,SMALL(Dong,ROWS($1:25)),),0))</f>
        <v>505992</v>
      </c>
      <c r="H38" s="243">
        <f t="shared" ca="1" si="2"/>
        <v>107158813</v>
      </c>
      <c r="I38" s="243">
        <f t="shared" ca="1" si="3"/>
        <v>0</v>
      </c>
    </row>
    <row r="39" spans="1:9" s="3" customFormat="1" ht="20.25" customHeight="1">
      <c r="A39" s="484">
        <f ca="1">IF(ROWS($1:26)&gt;COUNT(Dong),"",OFFSET(TH!C$1,SMALL(Dong,ROWS($1:26)),))</f>
        <v>42795</v>
      </c>
      <c r="B39" s="484" t="str">
        <f ca="1">IF(ROWS($1:26)&gt;COUNT(Dong),"",OFFSET(TH!D$1,SMALL(Dong,ROWS($1:26)),))</f>
        <v>N23</v>
      </c>
      <c r="C39" s="484">
        <f ca="1">IF(ROWS($1:26)&gt;COUNT(Dong),"",OFFSET(TH!E$1,SMALL(Dong,ROWS($1:26)),))</f>
        <v>42795</v>
      </c>
      <c r="D39" s="485" t="str">
        <f ca="1">IF(ROWS($1:26)&gt;COUNT(Dong),"",OFFSET(TH!F$1,SMALL(Dong,ROWS($1:26)),))</f>
        <v>Giấy tấm 1500x1120</v>
      </c>
      <c r="E39" s="486" t="str">
        <f ca="1">IF(ROWS($1:26)&gt;COUNT(Dong),"",IF(OFFSET(TH!L$1,SMALL(Dong,ROWS($1:26)),)="331",OFFSET(TH!M$1,SMALL(Dong,ROWS($1:26)),),OFFSET(TH!L$1,SMALL(Dong,ROWS($1:26)),)))</f>
        <v>156</v>
      </c>
      <c r="F39" s="487">
        <f ca="1">IF(ROWS($1:26)&gt;COUNT(Dong),"",IF(OFFSET(TH!L$1,SMALL(Dong,ROWS($1:26)),)="331",OFFSET(TH!K$1,SMALL(Dong,ROWS($1:26)),),0))</f>
        <v>0</v>
      </c>
      <c r="G39" s="487">
        <f ca="1">IF(ROWS($1:26)&gt;COUNT(Dong),"",IF(OFFSET(TH!M$1,SMALL(Dong,ROWS($1:26)),)="331",OFFSET(TH!K$1,SMALL(Dong,ROWS($1:26)),),0))</f>
        <v>1554000</v>
      </c>
      <c r="H39" s="243">
        <f t="shared" ref="H39:H95" ca="1" si="4">IF(D39&lt;&gt;"",MAX(H38+F39-G39-I38,0),0)</f>
        <v>105604813</v>
      </c>
      <c r="I39" s="243">
        <f t="shared" ref="I39:I95" ca="1" si="5">IF(D39&lt;&gt;"",MAX(I38+G39-H38-F39,0),0)</f>
        <v>0</v>
      </c>
    </row>
    <row r="40" spans="1:9" s="3" customFormat="1" ht="20.25" customHeight="1">
      <c r="A40" s="484">
        <f ca="1">IF(ROWS($1:27)&gt;COUNT(Dong),"",OFFSET(TH!C$1,SMALL(Dong,ROWS($1:27)),))</f>
        <v>42795</v>
      </c>
      <c r="B40" s="484" t="str">
        <f ca="1">IF(ROWS($1:27)&gt;COUNT(Dong),"",OFFSET(TH!D$1,SMALL(Dong,ROWS($1:27)),))</f>
        <v>N23</v>
      </c>
      <c r="C40" s="484">
        <f ca="1">IF(ROWS($1:27)&gt;COUNT(Dong),"",OFFSET(TH!E$1,SMALL(Dong,ROWS($1:27)),))</f>
        <v>42795</v>
      </c>
      <c r="D40" s="485" t="str">
        <f ca="1">IF(ROWS($1:27)&gt;COUNT(Dong),"",OFFSET(TH!F$1,SMALL(Dong,ROWS($1:27)),))</f>
        <v>Giấy tấm 1900x1090</v>
      </c>
      <c r="E40" s="486" t="str">
        <f ca="1">IF(ROWS($1:27)&gt;COUNT(Dong),"",IF(OFFSET(TH!L$1,SMALL(Dong,ROWS($1:27)),)="331",OFFSET(TH!M$1,SMALL(Dong,ROWS($1:27)),),OFFSET(TH!L$1,SMALL(Dong,ROWS($1:27)),)))</f>
        <v>156</v>
      </c>
      <c r="F40" s="487">
        <f ca="1">IF(ROWS($1:27)&gt;COUNT(Dong),"",IF(OFFSET(TH!L$1,SMALL(Dong,ROWS($1:27)),)="331",OFFSET(TH!K$1,SMALL(Dong,ROWS($1:27)),),0))</f>
        <v>0</v>
      </c>
      <c r="G40" s="487">
        <f ca="1">IF(ROWS($1:27)&gt;COUNT(Dong),"",IF(OFFSET(TH!M$1,SMALL(Dong,ROWS($1:27)),)="331",OFFSET(TH!K$1,SMALL(Dong,ROWS($1:27)),),0))</f>
        <v>2899400</v>
      </c>
      <c r="H40" s="243">
        <f t="shared" ca="1" si="4"/>
        <v>102705413</v>
      </c>
      <c r="I40" s="243">
        <f t="shared" ca="1" si="5"/>
        <v>0</v>
      </c>
    </row>
    <row r="41" spans="1:9" s="3" customFormat="1" ht="20.25" customHeight="1">
      <c r="A41" s="484">
        <f ca="1">IF(ROWS($1:28)&gt;COUNT(Dong),"",OFFSET(TH!C$1,SMALL(Dong,ROWS($1:28)),))</f>
        <v>42795</v>
      </c>
      <c r="B41" s="484" t="str">
        <f ca="1">IF(ROWS($1:28)&gt;COUNT(Dong),"",OFFSET(TH!D$1,SMALL(Dong,ROWS($1:28)),))</f>
        <v>N23</v>
      </c>
      <c r="C41" s="484">
        <f ca="1">IF(ROWS($1:28)&gt;COUNT(Dong),"",OFFSET(TH!E$1,SMALL(Dong,ROWS($1:28)),))</f>
        <v>42795</v>
      </c>
      <c r="D41" s="485" t="str">
        <f ca="1">IF(ROWS($1:28)&gt;COUNT(Dong),"",OFFSET(TH!F$1,SMALL(Dong,ROWS($1:28)),))</f>
        <v>Giấy tấm 1750x2530</v>
      </c>
      <c r="E41" s="486" t="str">
        <f ca="1">IF(ROWS($1:28)&gt;COUNT(Dong),"",IF(OFFSET(TH!L$1,SMALL(Dong,ROWS($1:28)),)="331",OFFSET(TH!M$1,SMALL(Dong,ROWS($1:28)),),OFFSET(TH!L$1,SMALL(Dong,ROWS($1:28)),)))</f>
        <v>156</v>
      </c>
      <c r="F41" s="487">
        <f ca="1">IF(ROWS($1:28)&gt;COUNT(Dong),"",IF(OFFSET(TH!L$1,SMALL(Dong,ROWS($1:28)),)="331",OFFSET(TH!K$1,SMALL(Dong,ROWS($1:28)),),0))</f>
        <v>0</v>
      </c>
      <c r="G41" s="487">
        <f ca="1">IF(ROWS($1:28)&gt;COUNT(Dong),"",IF(OFFSET(TH!M$1,SMALL(Dong,ROWS($1:28)),)="331",OFFSET(TH!K$1,SMALL(Dong,ROWS($1:28)),),0))</f>
        <v>984334</v>
      </c>
      <c r="H41" s="243">
        <f t="shared" ca="1" si="4"/>
        <v>101721079</v>
      </c>
      <c r="I41" s="243">
        <f t="shared" ca="1" si="5"/>
        <v>0</v>
      </c>
    </row>
    <row r="42" spans="1:9" s="3" customFormat="1" ht="20.25" customHeight="1">
      <c r="A42" s="484">
        <f ca="1">IF(ROWS($1:29)&gt;COUNT(Dong),"",OFFSET(TH!C$1,SMALL(Dong,ROWS($1:29)),))</f>
        <v>42795</v>
      </c>
      <c r="B42" s="484" t="str">
        <f ca="1">IF(ROWS($1:29)&gt;COUNT(Dong),"",OFFSET(TH!D$1,SMALL(Dong,ROWS($1:29)),))</f>
        <v>N23</v>
      </c>
      <c r="C42" s="484">
        <f ca="1">IF(ROWS($1:29)&gt;COUNT(Dong),"",OFFSET(TH!E$1,SMALL(Dong,ROWS($1:29)),))</f>
        <v>42795</v>
      </c>
      <c r="D42" s="485" t="str">
        <f ca="1">IF(ROWS($1:29)&gt;COUNT(Dong),"",OFFSET(TH!F$1,SMALL(Dong,ROWS($1:29)),))</f>
        <v>Giấy tấm 1750x2530</v>
      </c>
      <c r="E42" s="486" t="str">
        <f ca="1">IF(ROWS($1:29)&gt;COUNT(Dong),"",IF(OFFSET(TH!L$1,SMALL(Dong,ROWS($1:29)),)="331",OFFSET(TH!M$1,SMALL(Dong,ROWS($1:29)),),OFFSET(TH!L$1,SMALL(Dong,ROWS($1:29)),)))</f>
        <v>156</v>
      </c>
      <c r="F42" s="487">
        <f ca="1">IF(ROWS($1:29)&gt;COUNT(Dong),"",IF(OFFSET(TH!L$1,SMALL(Dong,ROWS($1:29)),)="331",OFFSET(TH!K$1,SMALL(Dong,ROWS($1:29)),),0))</f>
        <v>0</v>
      </c>
      <c r="G42" s="487">
        <f ca="1">IF(ROWS($1:29)&gt;COUNT(Dong),"",IF(OFFSET(TH!M$1,SMALL(Dong,ROWS($1:29)),)="331",OFFSET(TH!K$1,SMALL(Dong,ROWS($1:29)),),0))</f>
        <v>673504</v>
      </c>
      <c r="H42" s="243">
        <f t="shared" ca="1" si="4"/>
        <v>101047575</v>
      </c>
      <c r="I42" s="243">
        <f t="shared" ca="1" si="5"/>
        <v>0</v>
      </c>
    </row>
    <row r="43" spans="1:9" s="3" customFormat="1" ht="20.25" customHeight="1">
      <c r="A43" s="484">
        <f ca="1">IF(ROWS($1:30)&gt;COUNT(Dong),"",OFFSET(TH!C$1,SMALL(Dong,ROWS($1:30)),))</f>
        <v>42795</v>
      </c>
      <c r="B43" s="484" t="str">
        <f ca="1">IF(ROWS($1:30)&gt;COUNT(Dong),"",OFFSET(TH!D$1,SMALL(Dong,ROWS($1:30)),))</f>
        <v>N23</v>
      </c>
      <c r="C43" s="484">
        <f ca="1">IF(ROWS($1:30)&gt;COUNT(Dong),"",OFFSET(TH!E$1,SMALL(Dong,ROWS($1:30)),))</f>
        <v>42795</v>
      </c>
      <c r="D43" s="485" t="str">
        <f ca="1">IF(ROWS($1:30)&gt;COUNT(Dong),"",OFFSET(TH!F$1,SMALL(Dong,ROWS($1:30)),))</f>
        <v>Giấy tấm 1500x2440</v>
      </c>
      <c r="E43" s="486" t="str">
        <f ca="1">IF(ROWS($1:30)&gt;COUNT(Dong),"",IF(OFFSET(TH!L$1,SMALL(Dong,ROWS($1:30)),)="331",OFFSET(TH!M$1,SMALL(Dong,ROWS($1:30)),),OFFSET(TH!L$1,SMALL(Dong,ROWS($1:30)),)))</f>
        <v>156</v>
      </c>
      <c r="F43" s="487">
        <f ca="1">IF(ROWS($1:30)&gt;COUNT(Dong),"",IF(OFFSET(TH!L$1,SMALL(Dong,ROWS($1:30)),)="331",OFFSET(TH!K$1,SMALL(Dong,ROWS($1:30)),),0))</f>
        <v>0</v>
      </c>
      <c r="G43" s="487">
        <f ca="1">IF(ROWS($1:30)&gt;COUNT(Dong),"",IF(OFFSET(TH!M$1,SMALL(Dong,ROWS($1:30)),)="331",OFFSET(TH!K$1,SMALL(Dong,ROWS($1:30)),),0))</f>
        <v>657153</v>
      </c>
      <c r="H43" s="243">
        <f t="shared" ca="1" si="4"/>
        <v>100390422</v>
      </c>
      <c r="I43" s="243">
        <f t="shared" ca="1" si="5"/>
        <v>0</v>
      </c>
    </row>
    <row r="44" spans="1:9" s="3" customFormat="1" ht="20.25" customHeight="1">
      <c r="A44" s="484">
        <f ca="1">IF(ROWS($1:31)&gt;COUNT(Dong),"",OFFSET(TH!C$1,SMALL(Dong,ROWS($1:31)),))</f>
        <v>42795</v>
      </c>
      <c r="B44" s="484" t="str">
        <f ca="1">IF(ROWS($1:31)&gt;COUNT(Dong),"",OFFSET(TH!D$1,SMALL(Dong,ROWS($1:31)),))</f>
        <v>N23</v>
      </c>
      <c r="C44" s="484">
        <f ca="1">IF(ROWS($1:31)&gt;COUNT(Dong),"",OFFSET(TH!E$1,SMALL(Dong,ROWS($1:31)),))</f>
        <v>42795</v>
      </c>
      <c r="D44" s="485" t="str">
        <f ca="1">IF(ROWS($1:31)&gt;COUNT(Dong),"",OFFSET(TH!F$1,SMALL(Dong,ROWS($1:31)),))</f>
        <v>Giấy tấm 1500x2440</v>
      </c>
      <c r="E44" s="486" t="str">
        <f ca="1">IF(ROWS($1:31)&gt;COUNT(Dong),"",IF(OFFSET(TH!L$1,SMALL(Dong,ROWS($1:31)),)="331",OFFSET(TH!M$1,SMALL(Dong,ROWS($1:31)),),OFFSET(TH!L$1,SMALL(Dong,ROWS($1:31)),)))</f>
        <v>156</v>
      </c>
      <c r="F44" s="487">
        <f ca="1">IF(ROWS($1:31)&gt;COUNT(Dong),"",IF(OFFSET(TH!L$1,SMALL(Dong,ROWS($1:31)),)="331",OFFSET(TH!K$1,SMALL(Dong,ROWS($1:31)),),0))</f>
        <v>0</v>
      </c>
      <c r="G44" s="487">
        <f ca="1">IF(ROWS($1:31)&gt;COUNT(Dong),"",IF(OFFSET(TH!M$1,SMALL(Dong,ROWS($1:31)),)="331",OFFSET(TH!K$1,SMALL(Dong,ROWS($1:31)),),0))</f>
        <v>449631</v>
      </c>
      <c r="H44" s="243">
        <f t="shared" ca="1" si="4"/>
        <v>99940791</v>
      </c>
      <c r="I44" s="243">
        <f t="shared" ca="1" si="5"/>
        <v>0</v>
      </c>
    </row>
    <row r="45" spans="1:9" s="3" customFormat="1" ht="20.25" customHeight="1">
      <c r="A45" s="484">
        <f ca="1">IF(ROWS($1:32)&gt;COUNT(Dong),"",OFFSET(TH!C$1,SMALL(Dong,ROWS($1:32)),))</f>
        <v>42795</v>
      </c>
      <c r="B45" s="484" t="str">
        <f ca="1">IF(ROWS($1:32)&gt;COUNT(Dong),"",OFFSET(TH!D$1,SMALL(Dong,ROWS($1:32)),))</f>
        <v>N23</v>
      </c>
      <c r="C45" s="484">
        <f ca="1">IF(ROWS($1:32)&gt;COUNT(Dong),"",OFFSET(TH!E$1,SMALL(Dong,ROWS($1:32)),))</f>
        <v>42795</v>
      </c>
      <c r="D45" s="485" t="str">
        <f ca="1">IF(ROWS($1:32)&gt;COUNT(Dong),"",OFFSET(TH!F$1,SMALL(Dong,ROWS($1:32)),))</f>
        <v>Giấy tấm 1750x1690</v>
      </c>
      <c r="E45" s="486" t="str">
        <f ca="1">IF(ROWS($1:32)&gt;COUNT(Dong),"",IF(OFFSET(TH!L$1,SMALL(Dong,ROWS($1:32)),)="331",OFFSET(TH!M$1,SMALL(Dong,ROWS($1:32)),),OFFSET(TH!L$1,SMALL(Dong,ROWS($1:32)),)))</f>
        <v>156</v>
      </c>
      <c r="F45" s="487">
        <f ca="1">IF(ROWS($1:32)&gt;COUNT(Dong),"",IF(OFFSET(TH!L$1,SMALL(Dong,ROWS($1:32)),)="331",OFFSET(TH!K$1,SMALL(Dong,ROWS($1:32)),),0))</f>
        <v>0</v>
      </c>
      <c r="G45" s="487">
        <f ca="1">IF(ROWS($1:32)&gt;COUNT(Dong),"",IF(OFFSET(TH!M$1,SMALL(Dong,ROWS($1:32)),)="331",OFFSET(TH!K$1,SMALL(Dong,ROWS($1:32)),),0))</f>
        <v>758730</v>
      </c>
      <c r="H45" s="243">
        <f t="shared" ca="1" si="4"/>
        <v>99182061</v>
      </c>
      <c r="I45" s="243">
        <f t="shared" ca="1" si="5"/>
        <v>0</v>
      </c>
    </row>
    <row r="46" spans="1:9" s="3" customFormat="1" ht="20.25" customHeight="1">
      <c r="A46" s="484">
        <f ca="1">IF(ROWS($1:33)&gt;COUNT(Dong),"",OFFSET(TH!C$1,SMALL(Dong,ROWS($1:33)),))</f>
        <v>42795</v>
      </c>
      <c r="B46" s="484" t="str">
        <f ca="1">IF(ROWS($1:33)&gt;COUNT(Dong),"",OFFSET(TH!D$1,SMALL(Dong,ROWS($1:33)),))</f>
        <v>N23</v>
      </c>
      <c r="C46" s="484">
        <f ca="1">IF(ROWS($1:33)&gt;COUNT(Dong),"",OFFSET(TH!E$1,SMALL(Dong,ROWS($1:33)),))</f>
        <v>42795</v>
      </c>
      <c r="D46" s="485" t="str">
        <f ca="1">IF(ROWS($1:33)&gt;COUNT(Dong),"",OFFSET(TH!F$1,SMALL(Dong,ROWS($1:33)),))</f>
        <v>Giấy tấm 1750x1690</v>
      </c>
      <c r="E46" s="486" t="str">
        <f ca="1">IF(ROWS($1:33)&gt;COUNT(Dong),"",IF(OFFSET(TH!L$1,SMALL(Dong,ROWS($1:33)),)="331",OFFSET(TH!M$1,SMALL(Dong,ROWS($1:33)),),OFFSET(TH!L$1,SMALL(Dong,ROWS($1:33)),)))</f>
        <v>156</v>
      </c>
      <c r="F46" s="487">
        <f ca="1">IF(ROWS($1:33)&gt;COUNT(Dong),"",IF(OFFSET(TH!L$1,SMALL(Dong,ROWS($1:33)),)="331",OFFSET(TH!K$1,SMALL(Dong,ROWS($1:33)),),0))</f>
        <v>0</v>
      </c>
      <c r="G46" s="487">
        <f ca="1">IF(ROWS($1:33)&gt;COUNT(Dong),"",IF(OFFSET(TH!M$1,SMALL(Dong,ROWS($1:33)),)="331",OFFSET(TH!K$1,SMALL(Dong,ROWS($1:33)),),0))</f>
        <v>519120</v>
      </c>
      <c r="H46" s="243">
        <f t="shared" ca="1" si="4"/>
        <v>98662941</v>
      </c>
      <c r="I46" s="243">
        <f t="shared" ca="1" si="5"/>
        <v>0</v>
      </c>
    </row>
    <row r="47" spans="1:9" s="3" customFormat="1" ht="20.25" customHeight="1">
      <c r="A47" s="484">
        <f ca="1">IF(ROWS($1:34)&gt;COUNT(Dong),"",OFFSET(TH!C$1,SMALL(Dong,ROWS($1:34)),))</f>
        <v>42795</v>
      </c>
      <c r="B47" s="484" t="str">
        <f ca="1">IF(ROWS($1:34)&gt;COUNT(Dong),"",OFFSET(TH!D$1,SMALL(Dong,ROWS($1:34)),))</f>
        <v>N23</v>
      </c>
      <c r="C47" s="484">
        <f ca="1">IF(ROWS($1:34)&gt;COUNT(Dong),"",OFFSET(TH!E$1,SMALL(Dong,ROWS($1:34)),))</f>
        <v>42795</v>
      </c>
      <c r="D47" s="485" t="str">
        <f ca="1">IF(ROWS($1:34)&gt;COUNT(Dong),"",OFFSET(TH!F$1,SMALL(Dong,ROWS($1:34)),))</f>
        <v xml:space="preserve">VAT Giấy tấm </v>
      </c>
      <c r="E47" s="486" t="str">
        <f ca="1">IF(ROWS($1:34)&gt;COUNT(Dong),"",IF(OFFSET(TH!L$1,SMALL(Dong,ROWS($1:34)),)="331",OFFSET(TH!M$1,SMALL(Dong,ROWS($1:34)),),OFFSET(TH!L$1,SMALL(Dong,ROWS($1:34)),)))</f>
        <v>1331</v>
      </c>
      <c r="F47" s="487">
        <f ca="1">IF(ROWS($1:34)&gt;COUNT(Dong),"",IF(OFFSET(TH!L$1,SMALL(Dong,ROWS($1:34)),)="331",OFFSET(TH!K$1,SMALL(Dong,ROWS($1:34)),),0))</f>
        <v>0</v>
      </c>
      <c r="G47" s="487">
        <f ca="1">IF(ROWS($1:34)&gt;COUNT(Dong),"",IF(OFFSET(TH!M$1,SMALL(Dong,ROWS($1:34)),)="331",OFFSET(TH!K$1,SMALL(Dong,ROWS($1:34)),),0))</f>
        <v>900186</v>
      </c>
      <c r="H47" s="243">
        <f t="shared" ca="1" si="4"/>
        <v>97762755</v>
      </c>
      <c r="I47" s="243">
        <f t="shared" ca="1" si="5"/>
        <v>0</v>
      </c>
    </row>
    <row r="48" spans="1:9" s="3" customFormat="1" ht="20.25" customHeight="1">
      <c r="A48" s="484">
        <f ca="1">IF(ROWS($1:35)&gt;COUNT(Dong),"",OFFSET(TH!C$1,SMALL(Dong,ROWS($1:35)),))</f>
        <v>42796</v>
      </c>
      <c r="B48" s="484" t="str">
        <f ca="1">IF(ROWS($1:35)&gt;COUNT(Dong),"",OFFSET(TH!D$1,SMALL(Dong,ROWS($1:35)),))</f>
        <v>N24</v>
      </c>
      <c r="C48" s="484">
        <f ca="1">IF(ROWS($1:35)&gt;COUNT(Dong),"",OFFSET(TH!E$1,SMALL(Dong,ROWS($1:35)),))</f>
        <v>42796</v>
      </c>
      <c r="D48" s="485" t="str">
        <f ca="1">IF(ROWS($1:35)&gt;COUNT(Dong),"",OFFSET(TH!F$1,SMALL(Dong,ROWS($1:35)),))</f>
        <v>Giấy tấm 1700x2120</v>
      </c>
      <c r="E48" s="486" t="str">
        <f ca="1">IF(ROWS($1:35)&gt;COUNT(Dong),"",IF(OFFSET(TH!L$1,SMALL(Dong,ROWS($1:35)),)="331",OFFSET(TH!M$1,SMALL(Dong,ROWS($1:35)),),OFFSET(TH!L$1,SMALL(Dong,ROWS($1:35)),)))</f>
        <v>156</v>
      </c>
      <c r="F48" s="487">
        <f ca="1">IF(ROWS($1:35)&gt;COUNT(Dong),"",IF(OFFSET(TH!L$1,SMALL(Dong,ROWS($1:35)),)="331",OFFSET(TH!K$1,SMALL(Dong,ROWS($1:35)),),0))</f>
        <v>0</v>
      </c>
      <c r="G48" s="487">
        <f ca="1">IF(ROWS($1:35)&gt;COUNT(Dong),"",IF(OFFSET(TH!M$1,SMALL(Dong,ROWS($1:35)),)="331",OFFSET(TH!K$1,SMALL(Dong,ROWS($1:35)),),0))</f>
        <v>739536</v>
      </c>
      <c r="H48" s="243">
        <f t="shared" ca="1" si="4"/>
        <v>97023219</v>
      </c>
      <c r="I48" s="243">
        <f t="shared" ca="1" si="5"/>
        <v>0</v>
      </c>
    </row>
    <row r="49" spans="1:9" s="3" customFormat="1" ht="20.25" customHeight="1">
      <c r="A49" s="484">
        <f ca="1">IF(ROWS($1:36)&gt;COUNT(Dong),"",OFFSET(TH!C$1,SMALL(Dong,ROWS($1:36)),))</f>
        <v>42796</v>
      </c>
      <c r="B49" s="484" t="str">
        <f ca="1">IF(ROWS($1:36)&gt;COUNT(Dong),"",OFFSET(TH!D$1,SMALL(Dong,ROWS($1:36)),))</f>
        <v>N24</v>
      </c>
      <c r="C49" s="484">
        <f ca="1">IF(ROWS($1:36)&gt;COUNT(Dong),"",OFFSET(TH!E$1,SMALL(Dong,ROWS($1:36)),))</f>
        <v>42796</v>
      </c>
      <c r="D49" s="485" t="str">
        <f ca="1">IF(ROWS($1:36)&gt;COUNT(Dong),"",OFFSET(TH!F$1,SMALL(Dong,ROWS($1:36)),))</f>
        <v>Giấy tấm 1550x2530</v>
      </c>
      <c r="E49" s="486" t="str">
        <f ca="1">IF(ROWS($1:36)&gt;COUNT(Dong),"",IF(OFFSET(TH!L$1,SMALL(Dong,ROWS($1:36)),)="331",OFFSET(TH!M$1,SMALL(Dong,ROWS($1:36)),),OFFSET(TH!L$1,SMALL(Dong,ROWS($1:36)),)))</f>
        <v>156</v>
      </c>
      <c r="F49" s="487">
        <f ca="1">IF(ROWS($1:36)&gt;COUNT(Dong),"",IF(OFFSET(TH!L$1,SMALL(Dong,ROWS($1:36)),)="331",OFFSET(TH!K$1,SMALL(Dong,ROWS($1:36)),),0))</f>
        <v>0</v>
      </c>
      <c r="G49" s="487">
        <f ca="1">IF(ROWS($1:36)&gt;COUNT(Dong),"",IF(OFFSET(TH!M$1,SMALL(Dong,ROWS($1:36)),)="331",OFFSET(TH!K$1,SMALL(Dong,ROWS($1:36)),),0))</f>
        <v>458880</v>
      </c>
      <c r="H49" s="243">
        <f t="shared" ca="1" si="4"/>
        <v>96564339</v>
      </c>
      <c r="I49" s="243">
        <f t="shared" ca="1" si="5"/>
        <v>0</v>
      </c>
    </row>
    <row r="50" spans="1:9" s="3" customFormat="1" ht="20.25" customHeight="1">
      <c r="A50" s="484">
        <f ca="1">IF(ROWS($1:37)&gt;COUNT(Dong),"",OFFSET(TH!C$1,SMALL(Dong,ROWS($1:37)),))</f>
        <v>42796</v>
      </c>
      <c r="B50" s="484" t="str">
        <f ca="1">IF(ROWS($1:37)&gt;COUNT(Dong),"",OFFSET(TH!D$1,SMALL(Dong,ROWS($1:37)),))</f>
        <v>N24</v>
      </c>
      <c r="C50" s="484">
        <f ca="1">IF(ROWS($1:37)&gt;COUNT(Dong),"",OFFSET(TH!E$1,SMALL(Dong,ROWS($1:37)),))</f>
        <v>42796</v>
      </c>
      <c r="D50" s="485" t="str">
        <f ca="1">IF(ROWS($1:37)&gt;COUNT(Dong),"",OFFSET(TH!F$1,SMALL(Dong,ROWS($1:37)),))</f>
        <v>Giấy tấm 1550x1980</v>
      </c>
      <c r="E50" s="486" t="str">
        <f ca="1">IF(ROWS($1:37)&gt;COUNT(Dong),"",IF(OFFSET(TH!L$1,SMALL(Dong,ROWS($1:37)),)="331",OFFSET(TH!M$1,SMALL(Dong,ROWS($1:37)),),OFFSET(TH!L$1,SMALL(Dong,ROWS($1:37)),)))</f>
        <v>156</v>
      </c>
      <c r="F50" s="487">
        <f ca="1">IF(ROWS($1:37)&gt;COUNT(Dong),"",IF(OFFSET(TH!L$1,SMALL(Dong,ROWS($1:37)),)="331",OFFSET(TH!K$1,SMALL(Dong,ROWS($1:37)),),0))</f>
        <v>0</v>
      </c>
      <c r="G50" s="487">
        <f ca="1">IF(ROWS($1:37)&gt;COUNT(Dong),"",IF(OFFSET(TH!M$1,SMALL(Dong,ROWS($1:37)),)="331",OFFSET(TH!K$1,SMALL(Dong,ROWS($1:37)),),0))</f>
        <v>484758</v>
      </c>
      <c r="H50" s="243">
        <f t="shared" ca="1" si="4"/>
        <v>96079581</v>
      </c>
      <c r="I50" s="243">
        <f t="shared" ca="1" si="5"/>
        <v>0</v>
      </c>
    </row>
    <row r="51" spans="1:9" s="3" customFormat="1" ht="20.25" customHeight="1">
      <c r="A51" s="484">
        <f ca="1">IF(ROWS($1:38)&gt;COUNT(Dong),"",OFFSET(TH!C$1,SMALL(Dong,ROWS($1:38)),))</f>
        <v>42796</v>
      </c>
      <c r="B51" s="484" t="str">
        <f ca="1">IF(ROWS($1:38)&gt;COUNT(Dong),"",OFFSET(TH!D$1,SMALL(Dong,ROWS($1:38)),))</f>
        <v>N24</v>
      </c>
      <c r="C51" s="484">
        <f ca="1">IF(ROWS($1:38)&gt;COUNT(Dong),"",OFFSET(TH!E$1,SMALL(Dong,ROWS($1:38)),))</f>
        <v>42796</v>
      </c>
      <c r="D51" s="485" t="str">
        <f ca="1">IF(ROWS($1:38)&gt;COUNT(Dong),"",OFFSET(TH!F$1,SMALL(Dong,ROWS($1:38)),))</f>
        <v xml:space="preserve">VAT Giấy tấm </v>
      </c>
      <c r="E51" s="486" t="str">
        <f ca="1">IF(ROWS($1:38)&gt;COUNT(Dong),"",IF(OFFSET(TH!L$1,SMALL(Dong,ROWS($1:38)),)="331",OFFSET(TH!M$1,SMALL(Dong,ROWS($1:38)),),OFFSET(TH!L$1,SMALL(Dong,ROWS($1:38)),)))</f>
        <v>1331</v>
      </c>
      <c r="F51" s="487">
        <f ca="1">IF(ROWS($1:38)&gt;COUNT(Dong),"",IF(OFFSET(TH!L$1,SMALL(Dong,ROWS($1:38)),)="331",OFFSET(TH!K$1,SMALL(Dong,ROWS($1:38)),),0))</f>
        <v>0</v>
      </c>
      <c r="G51" s="487">
        <f ca="1">IF(ROWS($1:38)&gt;COUNT(Dong),"",IF(OFFSET(TH!M$1,SMALL(Dong,ROWS($1:38)),)="331",OFFSET(TH!K$1,SMALL(Dong,ROWS($1:38)),),0))</f>
        <v>168317</v>
      </c>
      <c r="H51" s="243">
        <f t="shared" ca="1" si="4"/>
        <v>95911264</v>
      </c>
      <c r="I51" s="243">
        <f t="shared" ca="1" si="5"/>
        <v>0</v>
      </c>
    </row>
    <row r="52" spans="1:9" s="3" customFormat="1" ht="20.25" customHeight="1">
      <c r="A52" s="484">
        <f ca="1">IF(ROWS($1:39)&gt;COUNT(Dong),"",OFFSET(TH!C$1,SMALL(Dong,ROWS($1:39)),))</f>
        <v>42800</v>
      </c>
      <c r="B52" s="484" t="str">
        <f ca="1">IF(ROWS($1:39)&gt;COUNT(Dong),"",OFFSET(TH!D$1,SMALL(Dong,ROWS($1:39)),))</f>
        <v>N25</v>
      </c>
      <c r="C52" s="484">
        <f ca="1">IF(ROWS($1:39)&gt;COUNT(Dong),"",OFFSET(TH!E$1,SMALL(Dong,ROWS($1:39)),))</f>
        <v>42800</v>
      </c>
      <c r="D52" s="485" t="str">
        <f ca="1">IF(ROWS($1:39)&gt;COUNT(Dong),"",OFFSET(TH!F$1,SMALL(Dong,ROWS($1:39)),))</f>
        <v>Giấy tấm 1550x2530</v>
      </c>
      <c r="E52" s="486" t="str">
        <f ca="1">IF(ROWS($1:39)&gt;COUNT(Dong),"",IF(OFFSET(TH!L$1,SMALL(Dong,ROWS($1:39)),)="331",OFFSET(TH!M$1,SMALL(Dong,ROWS($1:39)),),OFFSET(TH!L$1,SMALL(Dong,ROWS($1:39)),)))</f>
        <v>156</v>
      </c>
      <c r="F52" s="487">
        <f ca="1">IF(ROWS($1:39)&gt;COUNT(Dong),"",IF(OFFSET(TH!L$1,SMALL(Dong,ROWS($1:39)),)="331",OFFSET(TH!K$1,SMALL(Dong,ROWS($1:39)),),0))</f>
        <v>0</v>
      </c>
      <c r="G52" s="487">
        <f ca="1">IF(ROWS($1:39)&gt;COUNT(Dong),"",IF(OFFSET(TH!M$1,SMALL(Dong,ROWS($1:39)),)="331",OFFSET(TH!K$1,SMALL(Dong,ROWS($1:39)),),0))</f>
        <v>674580</v>
      </c>
      <c r="H52" s="243">
        <f t="shared" ca="1" si="4"/>
        <v>95236684</v>
      </c>
      <c r="I52" s="243">
        <f t="shared" ca="1" si="5"/>
        <v>0</v>
      </c>
    </row>
    <row r="53" spans="1:9" s="3" customFormat="1" ht="20.25" customHeight="1">
      <c r="A53" s="484">
        <f ca="1">IF(ROWS($1:40)&gt;COUNT(Dong),"",OFFSET(TH!C$1,SMALL(Dong,ROWS($1:40)),))</f>
        <v>42800</v>
      </c>
      <c r="B53" s="484" t="str">
        <f ca="1">IF(ROWS($1:40)&gt;COUNT(Dong),"",OFFSET(TH!D$1,SMALL(Dong,ROWS($1:40)),))</f>
        <v>N25</v>
      </c>
      <c r="C53" s="484">
        <f ca="1">IF(ROWS($1:40)&gt;COUNT(Dong),"",OFFSET(TH!E$1,SMALL(Dong,ROWS($1:40)),))</f>
        <v>42800</v>
      </c>
      <c r="D53" s="485" t="str">
        <f ca="1">IF(ROWS($1:40)&gt;COUNT(Dong),"",OFFSET(TH!F$1,SMALL(Dong,ROWS($1:40)),))</f>
        <v>Giấy tấm 1550x1980</v>
      </c>
      <c r="E53" s="486" t="str">
        <f ca="1">IF(ROWS($1:40)&gt;COUNT(Dong),"",IF(OFFSET(TH!L$1,SMALL(Dong,ROWS($1:40)),)="331",OFFSET(TH!M$1,SMALL(Dong,ROWS($1:40)),),OFFSET(TH!L$1,SMALL(Dong,ROWS($1:40)),)))</f>
        <v>156</v>
      </c>
      <c r="F53" s="487">
        <f ca="1">IF(ROWS($1:40)&gt;COUNT(Dong),"",IF(OFFSET(TH!L$1,SMALL(Dong,ROWS($1:40)),)="331",OFFSET(TH!K$1,SMALL(Dong,ROWS($1:40)),),0))</f>
        <v>0</v>
      </c>
      <c r="G53" s="487">
        <f ca="1">IF(ROWS($1:40)&gt;COUNT(Dong),"",IF(OFFSET(TH!M$1,SMALL(Dong,ROWS($1:40)),)="331",OFFSET(TH!K$1,SMALL(Dong,ROWS($1:40)),),0))</f>
        <v>712611</v>
      </c>
      <c r="H53" s="243">
        <f t="shared" ca="1" si="4"/>
        <v>94524073</v>
      </c>
      <c r="I53" s="243">
        <f t="shared" ca="1" si="5"/>
        <v>0</v>
      </c>
    </row>
    <row r="54" spans="1:9" s="3" customFormat="1" ht="20.25" customHeight="1">
      <c r="A54" s="484">
        <f ca="1">IF(ROWS($1:41)&gt;COUNT(Dong),"",OFFSET(TH!C$1,SMALL(Dong,ROWS($1:41)),))</f>
        <v>42800</v>
      </c>
      <c r="B54" s="484" t="str">
        <f ca="1">IF(ROWS($1:41)&gt;COUNT(Dong),"",OFFSET(TH!D$1,SMALL(Dong,ROWS($1:41)),))</f>
        <v>N25</v>
      </c>
      <c r="C54" s="484">
        <f ca="1">IF(ROWS($1:41)&gt;COUNT(Dong),"",OFFSET(TH!E$1,SMALL(Dong,ROWS($1:41)),))</f>
        <v>42800</v>
      </c>
      <c r="D54" s="485" t="str">
        <f ca="1">IF(ROWS($1:41)&gt;COUNT(Dong),"",OFFSET(TH!F$1,SMALL(Dong,ROWS($1:41)),))</f>
        <v xml:space="preserve">VAT Giấy tấm </v>
      </c>
      <c r="E54" s="486" t="str">
        <f ca="1">IF(ROWS($1:41)&gt;COUNT(Dong),"",IF(OFFSET(TH!L$1,SMALL(Dong,ROWS($1:41)),)="331",OFFSET(TH!M$1,SMALL(Dong,ROWS($1:41)),),OFFSET(TH!L$1,SMALL(Dong,ROWS($1:41)),)))</f>
        <v>1331</v>
      </c>
      <c r="F54" s="487">
        <f ca="1">IF(ROWS($1:41)&gt;COUNT(Dong),"",IF(OFFSET(TH!L$1,SMALL(Dong,ROWS($1:41)),)="331",OFFSET(TH!K$1,SMALL(Dong,ROWS($1:41)),),0))</f>
        <v>0</v>
      </c>
      <c r="G54" s="487">
        <f ca="1">IF(ROWS($1:41)&gt;COUNT(Dong),"",IF(OFFSET(TH!M$1,SMALL(Dong,ROWS($1:41)),)="331",OFFSET(TH!K$1,SMALL(Dong,ROWS($1:41)),),0))</f>
        <v>138719</v>
      </c>
      <c r="H54" s="243">
        <f t="shared" ca="1" si="4"/>
        <v>94385354</v>
      </c>
      <c r="I54" s="243">
        <f t="shared" ca="1" si="5"/>
        <v>0</v>
      </c>
    </row>
    <row r="55" spans="1:9" s="3" customFormat="1" ht="20.25" customHeight="1">
      <c r="A55" s="484">
        <f ca="1">IF(ROWS($1:42)&gt;COUNT(Dong),"",OFFSET(TH!C$1,SMALL(Dong,ROWS($1:42)),))</f>
        <v>42818</v>
      </c>
      <c r="B55" s="484" t="str">
        <f ca="1">IF(ROWS($1:42)&gt;COUNT(Dong),"",OFFSET(TH!D$1,SMALL(Dong,ROWS($1:42)),))</f>
        <v>N26</v>
      </c>
      <c r="C55" s="484">
        <f ca="1">IF(ROWS($1:42)&gt;COUNT(Dong),"",OFFSET(TH!E$1,SMALL(Dong,ROWS($1:42)),))</f>
        <v>42818</v>
      </c>
      <c r="D55" s="485" t="str">
        <f ca="1">IF(ROWS($1:42)&gt;COUNT(Dong),"",OFFSET(TH!F$1,SMALL(Dong,ROWS($1:42)),))</f>
        <v>Giấy tấm 1400x1220</v>
      </c>
      <c r="E55" s="486" t="str">
        <f ca="1">IF(ROWS($1:42)&gt;COUNT(Dong),"",IF(OFFSET(TH!L$1,SMALL(Dong,ROWS($1:42)),)="331",OFFSET(TH!M$1,SMALL(Dong,ROWS($1:42)),),OFFSET(TH!L$1,SMALL(Dong,ROWS($1:42)),)))</f>
        <v>156</v>
      </c>
      <c r="F55" s="487">
        <f ca="1">IF(ROWS($1:42)&gt;COUNT(Dong),"",IF(OFFSET(TH!L$1,SMALL(Dong,ROWS($1:42)),)="331",OFFSET(TH!K$1,SMALL(Dong,ROWS($1:42)),),0))</f>
        <v>0</v>
      </c>
      <c r="G55" s="487">
        <f ca="1">IF(ROWS($1:42)&gt;COUNT(Dong),"",IF(OFFSET(TH!M$1,SMALL(Dong,ROWS($1:42)),)="331",OFFSET(TH!K$1,SMALL(Dong,ROWS($1:42)),),0))</f>
        <v>2216257</v>
      </c>
      <c r="H55" s="243">
        <f t="shared" ca="1" si="4"/>
        <v>92169097</v>
      </c>
      <c r="I55" s="243">
        <f t="shared" ca="1" si="5"/>
        <v>0</v>
      </c>
    </row>
    <row r="56" spans="1:9" s="3" customFormat="1" ht="20.25" customHeight="1">
      <c r="A56" s="484">
        <f ca="1">IF(ROWS($1:43)&gt;COUNT(Dong),"",OFFSET(TH!C$1,SMALL(Dong,ROWS($1:43)),))</f>
        <v>42818</v>
      </c>
      <c r="B56" s="484" t="str">
        <f ca="1">IF(ROWS($1:43)&gt;COUNT(Dong),"",OFFSET(TH!D$1,SMALL(Dong,ROWS($1:43)),))</f>
        <v>N26</v>
      </c>
      <c r="C56" s="484">
        <f ca="1">IF(ROWS($1:43)&gt;COUNT(Dong),"",OFFSET(TH!E$1,SMALL(Dong,ROWS($1:43)),))</f>
        <v>42818</v>
      </c>
      <c r="D56" s="485" t="str">
        <f ca="1">IF(ROWS($1:43)&gt;COUNT(Dong),"",OFFSET(TH!F$1,SMALL(Dong,ROWS($1:43)),))</f>
        <v xml:space="preserve">VAT Giấy tấm </v>
      </c>
      <c r="E56" s="486" t="str">
        <f ca="1">IF(ROWS($1:43)&gt;COUNT(Dong),"",IF(OFFSET(TH!L$1,SMALL(Dong,ROWS($1:43)),)="331",OFFSET(TH!M$1,SMALL(Dong,ROWS($1:43)),),OFFSET(TH!L$1,SMALL(Dong,ROWS($1:43)),)))</f>
        <v>1331</v>
      </c>
      <c r="F56" s="487">
        <f ca="1">IF(ROWS($1:43)&gt;COUNT(Dong),"",IF(OFFSET(TH!L$1,SMALL(Dong,ROWS($1:43)),)="331",OFFSET(TH!K$1,SMALL(Dong,ROWS($1:43)),),0))</f>
        <v>0</v>
      </c>
      <c r="G56" s="487">
        <f ca="1">IF(ROWS($1:43)&gt;COUNT(Dong),"",IF(OFFSET(TH!M$1,SMALL(Dong,ROWS($1:43)),)="331",OFFSET(TH!K$1,SMALL(Dong,ROWS($1:43)),),0))</f>
        <v>221626</v>
      </c>
      <c r="H56" s="243">
        <f t="shared" ca="1" si="4"/>
        <v>91947471</v>
      </c>
      <c r="I56" s="243">
        <f t="shared" ca="1" si="5"/>
        <v>0</v>
      </c>
    </row>
    <row r="57" spans="1:9" s="3" customFormat="1" ht="20.25" customHeight="1">
      <c r="A57" s="484">
        <f ca="1">IF(ROWS($1:44)&gt;COUNT(Dong),"",OFFSET(TH!C$1,SMALL(Dong,ROWS($1:44)),))</f>
        <v>42826</v>
      </c>
      <c r="B57" s="484" t="str">
        <f ca="1">IF(ROWS($1:44)&gt;COUNT(Dong),"",OFFSET(TH!D$1,SMALL(Dong,ROWS($1:44)),))</f>
        <v>N01</v>
      </c>
      <c r="C57" s="484">
        <f ca="1">IF(ROWS($1:44)&gt;COUNT(Dong),"",OFFSET(TH!E$1,SMALL(Dong,ROWS($1:44)),))</f>
        <v>42826</v>
      </c>
      <c r="D57" s="485" t="str">
        <f ca="1">IF(ROWS($1:44)&gt;COUNT(Dong),"",OFFSET(TH!F$1,SMALL(Dong,ROWS($1:44)),))</f>
        <v>Giấy tấm 1700x2490</v>
      </c>
      <c r="E57" s="486" t="str">
        <f ca="1">IF(ROWS($1:44)&gt;COUNT(Dong),"",IF(OFFSET(TH!L$1,SMALL(Dong,ROWS($1:44)),)="331",OFFSET(TH!M$1,SMALL(Dong,ROWS($1:44)),),OFFSET(TH!L$1,SMALL(Dong,ROWS($1:44)),)))</f>
        <v>156</v>
      </c>
      <c r="F57" s="487">
        <f ca="1">IF(ROWS($1:44)&gt;COUNT(Dong),"",IF(OFFSET(TH!L$1,SMALL(Dong,ROWS($1:44)),)="331",OFFSET(TH!K$1,SMALL(Dong,ROWS($1:44)),),0))</f>
        <v>0</v>
      </c>
      <c r="G57" s="487">
        <f ca="1">IF(ROWS($1:44)&gt;COUNT(Dong),"",IF(OFFSET(TH!M$1,SMALL(Dong,ROWS($1:44)),)="331",OFFSET(TH!K$1,SMALL(Dong,ROWS($1:44)),),0))</f>
        <v>2752128</v>
      </c>
      <c r="H57" s="243">
        <f t="shared" ca="1" si="4"/>
        <v>89195343</v>
      </c>
      <c r="I57" s="243">
        <f t="shared" ca="1" si="5"/>
        <v>0</v>
      </c>
    </row>
    <row r="58" spans="1:9" s="3" customFormat="1" ht="20.25" customHeight="1">
      <c r="A58" s="484">
        <f ca="1">IF(ROWS($1:45)&gt;COUNT(Dong),"",OFFSET(TH!C$1,SMALL(Dong,ROWS($1:45)),))</f>
        <v>42826</v>
      </c>
      <c r="B58" s="484" t="str">
        <f ca="1">IF(ROWS($1:45)&gt;COUNT(Dong),"",OFFSET(TH!D$1,SMALL(Dong,ROWS($1:45)),))</f>
        <v>N01</v>
      </c>
      <c r="C58" s="484">
        <f ca="1">IF(ROWS($1:45)&gt;COUNT(Dong),"",OFFSET(TH!E$1,SMALL(Dong,ROWS($1:45)),))</f>
        <v>42826</v>
      </c>
      <c r="D58" s="485" t="str">
        <f ca="1">IF(ROWS($1:45)&gt;COUNT(Dong),"",OFFSET(TH!F$1,SMALL(Dong,ROWS($1:45)),))</f>
        <v>Giấy tấm 1700x2490</v>
      </c>
      <c r="E58" s="486" t="str">
        <f ca="1">IF(ROWS($1:45)&gt;COUNT(Dong),"",IF(OFFSET(TH!L$1,SMALL(Dong,ROWS($1:45)),)="331",OFFSET(TH!M$1,SMALL(Dong,ROWS($1:45)),),OFFSET(TH!L$1,SMALL(Dong,ROWS($1:45)),)))</f>
        <v>156</v>
      </c>
      <c r="F58" s="487">
        <f ca="1">IF(ROWS($1:45)&gt;COUNT(Dong),"",IF(OFFSET(TH!L$1,SMALL(Dong,ROWS($1:45)),)="331",OFFSET(TH!K$1,SMALL(Dong,ROWS($1:45)),),0))</f>
        <v>0</v>
      </c>
      <c r="G58" s="487">
        <f ca="1">IF(ROWS($1:45)&gt;COUNT(Dong),"",IF(OFFSET(TH!M$1,SMALL(Dong,ROWS($1:45)),)="331",OFFSET(TH!K$1,SMALL(Dong,ROWS($1:45)),),0))</f>
        <v>1872216</v>
      </c>
      <c r="H58" s="243">
        <f t="shared" ca="1" si="4"/>
        <v>87323127</v>
      </c>
      <c r="I58" s="243">
        <f t="shared" ca="1" si="5"/>
        <v>0</v>
      </c>
    </row>
    <row r="59" spans="1:9" s="3" customFormat="1" ht="20.25" customHeight="1">
      <c r="A59" s="484">
        <f ca="1">IF(ROWS($1:46)&gt;COUNT(Dong),"",OFFSET(TH!C$1,SMALL(Dong,ROWS($1:46)),))</f>
        <v>42826</v>
      </c>
      <c r="B59" s="484" t="str">
        <f ca="1">IF(ROWS($1:46)&gt;COUNT(Dong),"",OFFSET(TH!D$1,SMALL(Dong,ROWS($1:46)),))</f>
        <v>N01</v>
      </c>
      <c r="C59" s="484">
        <f ca="1">IF(ROWS($1:46)&gt;COUNT(Dong),"",OFFSET(TH!E$1,SMALL(Dong,ROWS($1:46)),))</f>
        <v>42826</v>
      </c>
      <c r="D59" s="485" t="str">
        <f ca="1">IF(ROWS($1:46)&gt;COUNT(Dong),"",OFFSET(TH!F$1,SMALL(Dong,ROWS($1:46)),))</f>
        <v>Giấy tấm 1700x2530</v>
      </c>
      <c r="E59" s="486" t="str">
        <f ca="1">IF(ROWS($1:46)&gt;COUNT(Dong),"",IF(OFFSET(TH!L$1,SMALL(Dong,ROWS($1:46)),)="331",OFFSET(TH!M$1,SMALL(Dong,ROWS($1:46)),),OFFSET(TH!L$1,SMALL(Dong,ROWS($1:46)),)))</f>
        <v>156</v>
      </c>
      <c r="F59" s="487">
        <f ca="1">IF(ROWS($1:46)&gt;COUNT(Dong),"",IF(OFFSET(TH!L$1,SMALL(Dong,ROWS($1:46)),)="331",OFFSET(TH!K$1,SMALL(Dong,ROWS($1:46)),),0))</f>
        <v>0</v>
      </c>
      <c r="G59" s="487">
        <f ca="1">IF(ROWS($1:46)&gt;COUNT(Dong),"",IF(OFFSET(TH!M$1,SMALL(Dong,ROWS($1:46)),)="331",OFFSET(TH!K$1,SMALL(Dong,ROWS($1:46)),),0))</f>
        <v>528420</v>
      </c>
      <c r="H59" s="243">
        <f t="shared" ca="1" si="4"/>
        <v>86794707</v>
      </c>
      <c r="I59" s="243">
        <f t="shared" ca="1" si="5"/>
        <v>0</v>
      </c>
    </row>
    <row r="60" spans="1:9" s="3" customFormat="1" ht="20.25" customHeight="1">
      <c r="A60" s="484">
        <f ca="1">IF(ROWS($1:47)&gt;COUNT(Dong),"",OFFSET(TH!C$1,SMALL(Dong,ROWS($1:47)),))</f>
        <v>42826</v>
      </c>
      <c r="B60" s="484" t="str">
        <f ca="1">IF(ROWS($1:47)&gt;COUNT(Dong),"",OFFSET(TH!D$1,SMALL(Dong,ROWS($1:47)),))</f>
        <v>N01</v>
      </c>
      <c r="C60" s="484">
        <f ca="1">IF(ROWS($1:47)&gt;COUNT(Dong),"",OFFSET(TH!E$1,SMALL(Dong,ROWS($1:47)),))</f>
        <v>42826</v>
      </c>
      <c r="D60" s="485" t="str">
        <f ca="1">IF(ROWS($1:47)&gt;COUNT(Dong),"",OFFSET(TH!F$1,SMALL(Dong,ROWS($1:47)),))</f>
        <v>Giấy tấm 1900x1370</v>
      </c>
      <c r="E60" s="486" t="str">
        <f ca="1">IF(ROWS($1:47)&gt;COUNT(Dong),"",IF(OFFSET(TH!L$1,SMALL(Dong,ROWS($1:47)),)="331",OFFSET(TH!M$1,SMALL(Dong,ROWS($1:47)),),OFFSET(TH!L$1,SMALL(Dong,ROWS($1:47)),)))</f>
        <v>156</v>
      </c>
      <c r="F60" s="487">
        <f ca="1">IF(ROWS($1:47)&gt;COUNT(Dong),"",IF(OFFSET(TH!L$1,SMALL(Dong,ROWS($1:47)),)="331",OFFSET(TH!K$1,SMALL(Dong,ROWS($1:47)),),0))</f>
        <v>0</v>
      </c>
      <c r="G60" s="487">
        <f ca="1">IF(ROWS($1:47)&gt;COUNT(Dong),"",IF(OFFSET(TH!M$1,SMALL(Dong,ROWS($1:47)),)="331",OFFSET(TH!K$1,SMALL(Dong,ROWS($1:47)),),0))</f>
        <v>1128240</v>
      </c>
      <c r="H60" s="243">
        <f t="shared" ca="1" si="4"/>
        <v>85666467</v>
      </c>
      <c r="I60" s="243">
        <f t="shared" ca="1" si="5"/>
        <v>0</v>
      </c>
    </row>
    <row r="61" spans="1:9" s="3" customFormat="1" ht="20.25" customHeight="1">
      <c r="A61" s="484">
        <f ca="1">IF(ROWS($1:48)&gt;COUNT(Dong),"",OFFSET(TH!C$1,SMALL(Dong,ROWS($1:48)),))</f>
        <v>42826</v>
      </c>
      <c r="B61" s="484" t="str">
        <f ca="1">IF(ROWS($1:48)&gt;COUNT(Dong),"",OFFSET(TH!D$1,SMALL(Dong,ROWS($1:48)),))</f>
        <v>N01</v>
      </c>
      <c r="C61" s="484">
        <f ca="1">IF(ROWS($1:48)&gt;COUNT(Dong),"",OFFSET(TH!E$1,SMALL(Dong,ROWS($1:48)),))</f>
        <v>42826</v>
      </c>
      <c r="D61" s="485" t="str">
        <f ca="1">IF(ROWS($1:48)&gt;COUNT(Dong),"",OFFSET(TH!F$1,SMALL(Dong,ROWS($1:48)),))</f>
        <v>Giấy tấm 1900x1370</v>
      </c>
      <c r="E61" s="486" t="str">
        <f ca="1">IF(ROWS($1:48)&gt;COUNT(Dong),"",IF(OFFSET(TH!L$1,SMALL(Dong,ROWS($1:48)),)="331",OFFSET(TH!M$1,SMALL(Dong,ROWS($1:48)),),OFFSET(TH!L$1,SMALL(Dong,ROWS($1:48)),)))</f>
        <v>156</v>
      </c>
      <c r="F61" s="487">
        <f ca="1">IF(ROWS($1:48)&gt;COUNT(Dong),"",IF(OFFSET(TH!L$1,SMALL(Dong,ROWS($1:48)),)="331",OFFSET(TH!K$1,SMALL(Dong,ROWS($1:48)),),0))</f>
        <v>0</v>
      </c>
      <c r="G61" s="487">
        <f ca="1">IF(ROWS($1:48)&gt;COUNT(Dong),"",IF(OFFSET(TH!M$1,SMALL(Dong,ROWS($1:48)),)="331",OFFSET(TH!K$1,SMALL(Dong,ROWS($1:48)),),0))</f>
        <v>767520</v>
      </c>
      <c r="H61" s="243">
        <f t="shared" ca="1" si="4"/>
        <v>84898947</v>
      </c>
      <c r="I61" s="243">
        <f t="shared" ca="1" si="5"/>
        <v>0</v>
      </c>
    </row>
    <row r="62" spans="1:9" s="3" customFormat="1" ht="20.25" customHeight="1">
      <c r="A62" s="484">
        <f ca="1">IF(ROWS($1:49)&gt;COUNT(Dong),"",OFFSET(TH!C$1,SMALL(Dong,ROWS($1:49)),))</f>
        <v>42826</v>
      </c>
      <c r="B62" s="484" t="str">
        <f ca="1">IF(ROWS($1:49)&gt;COUNT(Dong),"",OFFSET(TH!D$1,SMALL(Dong,ROWS($1:49)),))</f>
        <v>N01</v>
      </c>
      <c r="C62" s="484">
        <f ca="1">IF(ROWS($1:49)&gt;COUNT(Dong),"",OFFSET(TH!E$1,SMALL(Dong,ROWS($1:49)),))</f>
        <v>42826</v>
      </c>
      <c r="D62" s="485" t="str">
        <f ca="1">IF(ROWS($1:49)&gt;COUNT(Dong),"",OFFSET(TH!F$1,SMALL(Dong,ROWS($1:49)),))</f>
        <v>Giấy tấm 1850x1390</v>
      </c>
      <c r="E62" s="486" t="str">
        <f ca="1">IF(ROWS($1:49)&gt;COUNT(Dong),"",IF(OFFSET(TH!L$1,SMALL(Dong,ROWS($1:49)),)="331",OFFSET(TH!M$1,SMALL(Dong,ROWS($1:49)),),OFFSET(TH!L$1,SMALL(Dong,ROWS($1:49)),)))</f>
        <v>156</v>
      </c>
      <c r="F62" s="487">
        <f ca="1">IF(ROWS($1:49)&gt;COUNT(Dong),"",IF(OFFSET(TH!L$1,SMALL(Dong,ROWS($1:49)),)="331",OFFSET(TH!K$1,SMALL(Dong,ROWS($1:49)),),0))</f>
        <v>0</v>
      </c>
      <c r="G62" s="487">
        <f ca="1">IF(ROWS($1:49)&gt;COUNT(Dong),"",IF(OFFSET(TH!M$1,SMALL(Dong,ROWS($1:49)),)="331",OFFSET(TH!K$1,SMALL(Dong,ROWS($1:49)),),0))</f>
        <v>836100</v>
      </c>
      <c r="H62" s="243">
        <f t="shared" ca="1" si="4"/>
        <v>84062847</v>
      </c>
      <c r="I62" s="243">
        <f t="shared" ca="1" si="5"/>
        <v>0</v>
      </c>
    </row>
    <row r="63" spans="1:9" s="3" customFormat="1" ht="20.25" customHeight="1">
      <c r="A63" s="484">
        <f ca="1">IF(ROWS($1:50)&gt;COUNT(Dong),"",OFFSET(TH!C$1,SMALL(Dong,ROWS($1:50)),))</f>
        <v>42826</v>
      </c>
      <c r="B63" s="484" t="str">
        <f ca="1">IF(ROWS($1:50)&gt;COUNT(Dong),"",OFFSET(TH!D$1,SMALL(Dong,ROWS($1:50)),))</f>
        <v>N01</v>
      </c>
      <c r="C63" s="484">
        <f ca="1">IF(ROWS($1:50)&gt;COUNT(Dong),"",OFFSET(TH!E$1,SMALL(Dong,ROWS($1:50)),))</f>
        <v>42826</v>
      </c>
      <c r="D63" s="485" t="str">
        <f ca="1">IF(ROWS($1:50)&gt;COUNT(Dong),"",OFFSET(TH!F$1,SMALL(Dong,ROWS($1:50)),))</f>
        <v>Giấy tấm 1850x1390</v>
      </c>
      <c r="E63" s="486" t="str">
        <f ca="1">IF(ROWS($1:50)&gt;COUNT(Dong),"",IF(OFFSET(TH!L$1,SMALL(Dong,ROWS($1:50)),)="331",OFFSET(TH!M$1,SMALL(Dong,ROWS($1:50)),),OFFSET(TH!L$1,SMALL(Dong,ROWS($1:50)),)))</f>
        <v>156</v>
      </c>
      <c r="F63" s="487">
        <f ca="1">IF(ROWS($1:50)&gt;COUNT(Dong),"",IF(OFFSET(TH!L$1,SMALL(Dong,ROWS($1:50)),)="331",OFFSET(TH!K$1,SMALL(Dong,ROWS($1:50)),),0))</f>
        <v>0</v>
      </c>
      <c r="G63" s="487">
        <f ca="1">IF(ROWS($1:50)&gt;COUNT(Dong),"",IF(OFFSET(TH!M$1,SMALL(Dong,ROWS($1:50)),)="331",OFFSET(TH!K$1,SMALL(Dong,ROWS($1:50)),),0))</f>
        <v>568800</v>
      </c>
      <c r="H63" s="243">
        <f t="shared" ca="1" si="4"/>
        <v>83494047</v>
      </c>
      <c r="I63" s="243">
        <f t="shared" ca="1" si="5"/>
        <v>0</v>
      </c>
    </row>
    <row r="64" spans="1:9" s="3" customFormat="1" ht="20.25" customHeight="1">
      <c r="A64" s="484">
        <f ca="1">IF(ROWS($1:51)&gt;COUNT(Dong),"",OFFSET(TH!C$1,SMALL(Dong,ROWS($1:51)),))</f>
        <v>42826</v>
      </c>
      <c r="B64" s="484" t="str">
        <f ca="1">IF(ROWS($1:51)&gt;COUNT(Dong),"",OFFSET(TH!D$1,SMALL(Dong,ROWS($1:51)),))</f>
        <v>N01</v>
      </c>
      <c r="C64" s="484">
        <f ca="1">IF(ROWS($1:51)&gt;COUNT(Dong),"",OFFSET(TH!E$1,SMALL(Dong,ROWS($1:51)),))</f>
        <v>42826</v>
      </c>
      <c r="D64" s="485" t="str">
        <f ca="1">IF(ROWS($1:51)&gt;COUNT(Dong),"",OFFSET(TH!F$1,SMALL(Dong,ROWS($1:51)),))</f>
        <v xml:space="preserve">VAT Giấy tấm </v>
      </c>
      <c r="E64" s="486" t="str">
        <f ca="1">IF(ROWS($1:51)&gt;COUNT(Dong),"",IF(OFFSET(TH!L$1,SMALL(Dong,ROWS($1:51)),)="331",OFFSET(TH!M$1,SMALL(Dong,ROWS($1:51)),),OFFSET(TH!L$1,SMALL(Dong,ROWS($1:51)),)))</f>
        <v>1331</v>
      </c>
      <c r="F64" s="487">
        <f ca="1">IF(ROWS($1:51)&gt;COUNT(Dong),"",IF(OFFSET(TH!L$1,SMALL(Dong,ROWS($1:51)),)="331",OFFSET(TH!K$1,SMALL(Dong,ROWS($1:51)),),0))</f>
        <v>0</v>
      </c>
      <c r="G64" s="487">
        <f ca="1">IF(ROWS($1:51)&gt;COUNT(Dong),"",IF(OFFSET(TH!M$1,SMALL(Dong,ROWS($1:51)),)="331",OFFSET(TH!K$1,SMALL(Dong,ROWS($1:51)),),0))</f>
        <v>845342</v>
      </c>
      <c r="H64" s="243">
        <f t="shared" ca="1" si="4"/>
        <v>82648705</v>
      </c>
      <c r="I64" s="243">
        <f t="shared" ca="1" si="5"/>
        <v>0</v>
      </c>
    </row>
    <row r="65" spans="1:9" s="3" customFormat="1" ht="20.25" customHeight="1">
      <c r="A65" s="484">
        <f ca="1">IF(ROWS($1:52)&gt;COUNT(Dong),"",OFFSET(TH!C$1,SMALL(Dong,ROWS($1:52)),))</f>
        <v>42839</v>
      </c>
      <c r="B65" s="484" t="str">
        <f ca="1">IF(ROWS($1:52)&gt;COUNT(Dong),"",OFFSET(TH!D$1,SMALL(Dong,ROWS($1:52)),))</f>
        <v>N15</v>
      </c>
      <c r="C65" s="484">
        <f ca="1">IF(ROWS($1:52)&gt;COUNT(Dong),"",OFFSET(TH!E$1,SMALL(Dong,ROWS($1:52)),))</f>
        <v>42839</v>
      </c>
      <c r="D65" s="485" t="str">
        <f ca="1">IF(ROWS($1:52)&gt;COUNT(Dong),"",OFFSET(TH!F$1,SMALL(Dong,ROWS($1:52)),))</f>
        <v>Giấy tấm 1700x2280</v>
      </c>
      <c r="E65" s="486" t="str">
        <f ca="1">IF(ROWS($1:52)&gt;COUNT(Dong),"",IF(OFFSET(TH!L$1,SMALL(Dong,ROWS($1:52)),)="331",OFFSET(TH!M$1,SMALL(Dong,ROWS($1:52)),),OFFSET(TH!L$1,SMALL(Dong,ROWS($1:52)),)))</f>
        <v>156</v>
      </c>
      <c r="F65" s="487">
        <f ca="1">IF(ROWS($1:52)&gt;COUNT(Dong),"",IF(OFFSET(TH!L$1,SMALL(Dong,ROWS($1:52)),)="331",OFFSET(TH!K$1,SMALL(Dong,ROWS($1:52)),),0))</f>
        <v>0</v>
      </c>
      <c r="G65" s="487">
        <f ca="1">IF(ROWS($1:52)&gt;COUNT(Dong),"",IF(OFFSET(TH!M$1,SMALL(Dong,ROWS($1:52)),)="331",OFFSET(TH!K$1,SMALL(Dong,ROWS($1:52)),),0))</f>
        <v>800377</v>
      </c>
      <c r="H65" s="243">
        <f t="shared" ca="1" si="4"/>
        <v>81848328</v>
      </c>
      <c r="I65" s="243">
        <f t="shared" ca="1" si="5"/>
        <v>0</v>
      </c>
    </row>
    <row r="66" spans="1:9" s="3" customFormat="1" ht="20.25" customHeight="1">
      <c r="A66" s="484">
        <f ca="1">IF(ROWS($1:53)&gt;COUNT(Dong),"",OFFSET(TH!C$1,SMALL(Dong,ROWS($1:53)),))</f>
        <v>42839</v>
      </c>
      <c r="B66" s="484" t="str">
        <f ca="1">IF(ROWS($1:53)&gt;COUNT(Dong),"",OFFSET(TH!D$1,SMALL(Dong,ROWS($1:53)),))</f>
        <v>N15</v>
      </c>
      <c r="C66" s="484">
        <f ca="1">IF(ROWS($1:53)&gt;COUNT(Dong),"",OFFSET(TH!E$1,SMALL(Dong,ROWS($1:53)),))</f>
        <v>42839</v>
      </c>
      <c r="D66" s="485" t="str">
        <f ca="1">IF(ROWS($1:53)&gt;COUNT(Dong),"",OFFSET(TH!F$1,SMALL(Dong,ROWS($1:53)),))</f>
        <v>Giấy tấm 1700x2280</v>
      </c>
      <c r="E66" s="486" t="str">
        <f ca="1">IF(ROWS($1:53)&gt;COUNT(Dong),"",IF(OFFSET(TH!L$1,SMALL(Dong,ROWS($1:53)),)="331",OFFSET(TH!M$1,SMALL(Dong,ROWS($1:53)),),OFFSET(TH!L$1,SMALL(Dong,ROWS($1:53)),)))</f>
        <v>156</v>
      </c>
      <c r="F66" s="487">
        <f ca="1">IF(ROWS($1:53)&gt;COUNT(Dong),"",IF(OFFSET(TH!L$1,SMALL(Dong,ROWS($1:53)),)="331",OFFSET(TH!K$1,SMALL(Dong,ROWS($1:53)),),0))</f>
        <v>0</v>
      </c>
      <c r="G66" s="487">
        <f ca="1">IF(ROWS($1:53)&gt;COUNT(Dong),"",IF(OFFSET(TH!M$1,SMALL(Dong,ROWS($1:53)),)="331",OFFSET(TH!K$1,SMALL(Dong,ROWS($1:53)),),0))</f>
        <v>547630</v>
      </c>
      <c r="H66" s="243">
        <f t="shared" ca="1" si="4"/>
        <v>81300698</v>
      </c>
      <c r="I66" s="243">
        <f t="shared" ca="1" si="5"/>
        <v>0</v>
      </c>
    </row>
    <row r="67" spans="1:9" s="3" customFormat="1" ht="20.25" customHeight="1">
      <c r="A67" s="484">
        <f ca="1">IF(ROWS($1:54)&gt;COUNT(Dong),"",OFFSET(TH!C$1,SMALL(Dong,ROWS($1:54)),))</f>
        <v>42839</v>
      </c>
      <c r="B67" s="484" t="str">
        <f ca="1">IF(ROWS($1:54)&gt;COUNT(Dong),"",OFFSET(TH!D$1,SMALL(Dong,ROWS($1:54)),))</f>
        <v>N15</v>
      </c>
      <c r="C67" s="484">
        <f ca="1">IF(ROWS($1:54)&gt;COUNT(Dong),"",OFFSET(TH!E$1,SMALL(Dong,ROWS($1:54)),))</f>
        <v>42839</v>
      </c>
      <c r="D67" s="485" t="str">
        <f ca="1">IF(ROWS($1:54)&gt;COUNT(Dong),"",OFFSET(TH!F$1,SMALL(Dong,ROWS($1:54)),))</f>
        <v>Giấy tấm 1900x1370</v>
      </c>
      <c r="E67" s="486" t="str">
        <f ca="1">IF(ROWS($1:54)&gt;COUNT(Dong),"",IF(OFFSET(TH!L$1,SMALL(Dong,ROWS($1:54)),)="331",OFFSET(TH!M$1,SMALL(Dong,ROWS($1:54)),),OFFSET(TH!L$1,SMALL(Dong,ROWS($1:54)),)))</f>
        <v>156</v>
      </c>
      <c r="F67" s="487">
        <f ca="1">IF(ROWS($1:54)&gt;COUNT(Dong),"",IF(OFFSET(TH!L$1,SMALL(Dong,ROWS($1:54)),)="331",OFFSET(TH!K$1,SMALL(Dong,ROWS($1:54)),),0))</f>
        <v>0</v>
      </c>
      <c r="G67" s="487">
        <f ca="1">IF(ROWS($1:54)&gt;COUNT(Dong),"",IF(OFFSET(TH!M$1,SMALL(Dong,ROWS($1:54)),)="331",OFFSET(TH!K$1,SMALL(Dong,ROWS($1:54)),),0))</f>
        <v>1121760</v>
      </c>
      <c r="H67" s="243">
        <f t="shared" ca="1" si="4"/>
        <v>80178938</v>
      </c>
      <c r="I67" s="243">
        <f t="shared" ca="1" si="5"/>
        <v>0</v>
      </c>
    </row>
    <row r="68" spans="1:9" s="3" customFormat="1" ht="20.25" customHeight="1">
      <c r="A68" s="484">
        <f ca="1">IF(ROWS($1:55)&gt;COUNT(Dong),"",OFFSET(TH!C$1,SMALL(Dong,ROWS($1:55)),))</f>
        <v>42839</v>
      </c>
      <c r="B68" s="484" t="str">
        <f ca="1">IF(ROWS($1:55)&gt;COUNT(Dong),"",OFFSET(TH!D$1,SMALL(Dong,ROWS($1:55)),))</f>
        <v>N15</v>
      </c>
      <c r="C68" s="484">
        <f ca="1">IF(ROWS($1:55)&gt;COUNT(Dong),"",OFFSET(TH!E$1,SMALL(Dong,ROWS($1:55)),))</f>
        <v>42839</v>
      </c>
      <c r="D68" s="485" t="str">
        <f ca="1">IF(ROWS($1:55)&gt;COUNT(Dong),"",OFFSET(TH!F$1,SMALL(Dong,ROWS($1:55)),))</f>
        <v>Giấy tấm 1900x1370</v>
      </c>
      <c r="E68" s="486" t="str">
        <f ca="1">IF(ROWS($1:55)&gt;COUNT(Dong),"",IF(OFFSET(TH!L$1,SMALL(Dong,ROWS($1:55)),)="331",OFFSET(TH!M$1,SMALL(Dong,ROWS($1:55)),),OFFSET(TH!L$1,SMALL(Dong,ROWS($1:55)),)))</f>
        <v>156</v>
      </c>
      <c r="F68" s="487">
        <f ca="1">IF(ROWS($1:55)&gt;COUNT(Dong),"",IF(OFFSET(TH!L$1,SMALL(Dong,ROWS($1:55)),)="331",OFFSET(TH!K$1,SMALL(Dong,ROWS($1:55)),),0))</f>
        <v>0</v>
      </c>
      <c r="G68" s="487">
        <f ca="1">IF(ROWS($1:55)&gt;COUNT(Dong),"",IF(OFFSET(TH!M$1,SMALL(Dong,ROWS($1:55)),)="331",OFFSET(TH!K$1,SMALL(Dong,ROWS($1:55)),),0))</f>
        <v>767520</v>
      </c>
      <c r="H68" s="243">
        <f t="shared" ca="1" si="4"/>
        <v>79411418</v>
      </c>
      <c r="I68" s="243">
        <f t="shared" ca="1" si="5"/>
        <v>0</v>
      </c>
    </row>
    <row r="69" spans="1:9" s="3" customFormat="1" ht="20.25" customHeight="1">
      <c r="A69" s="484">
        <f ca="1">IF(ROWS($1:56)&gt;COUNT(Dong),"",OFFSET(TH!C$1,SMALL(Dong,ROWS($1:56)),))</f>
        <v>42839</v>
      </c>
      <c r="B69" s="484" t="str">
        <f ca="1">IF(ROWS($1:56)&gt;COUNT(Dong),"",OFFSET(TH!D$1,SMALL(Dong,ROWS($1:56)),))</f>
        <v>N15</v>
      </c>
      <c r="C69" s="484">
        <f ca="1">IF(ROWS($1:56)&gt;COUNT(Dong),"",OFFSET(TH!E$1,SMALL(Dong,ROWS($1:56)),))</f>
        <v>42839</v>
      </c>
      <c r="D69" s="485" t="str">
        <f ca="1">IF(ROWS($1:56)&gt;COUNT(Dong),"",OFFSET(TH!F$1,SMALL(Dong,ROWS($1:56)),))</f>
        <v>Giấy tấm 1750x1680</v>
      </c>
      <c r="E69" s="486" t="str">
        <f ca="1">IF(ROWS($1:56)&gt;COUNT(Dong),"",IF(OFFSET(TH!L$1,SMALL(Dong,ROWS($1:56)),)="331",OFFSET(TH!M$1,SMALL(Dong,ROWS($1:56)),),OFFSET(TH!L$1,SMALL(Dong,ROWS($1:56)),)))</f>
        <v>156</v>
      </c>
      <c r="F69" s="487">
        <f ca="1">IF(ROWS($1:56)&gt;COUNT(Dong),"",IF(OFFSET(TH!L$1,SMALL(Dong,ROWS($1:56)),)="331",OFFSET(TH!K$1,SMALL(Dong,ROWS($1:56)),),0))</f>
        <v>0</v>
      </c>
      <c r="G69" s="487">
        <f ca="1">IF(ROWS($1:56)&gt;COUNT(Dong),"",IF(OFFSET(TH!M$1,SMALL(Dong,ROWS($1:56)),)="331",OFFSET(TH!K$1,SMALL(Dong,ROWS($1:56)),),0))</f>
        <v>791850</v>
      </c>
      <c r="H69" s="243">
        <f t="shared" ca="1" si="4"/>
        <v>78619568</v>
      </c>
      <c r="I69" s="243">
        <f t="shared" ca="1" si="5"/>
        <v>0</v>
      </c>
    </row>
    <row r="70" spans="1:9" s="3" customFormat="1" ht="20.25" customHeight="1">
      <c r="A70" s="484">
        <f ca="1">IF(ROWS($1:57)&gt;COUNT(Dong),"",OFFSET(TH!C$1,SMALL(Dong,ROWS($1:57)),))</f>
        <v>42839</v>
      </c>
      <c r="B70" s="484" t="str">
        <f ca="1">IF(ROWS($1:57)&gt;COUNT(Dong),"",OFFSET(TH!D$1,SMALL(Dong,ROWS($1:57)),))</f>
        <v>N15</v>
      </c>
      <c r="C70" s="484">
        <f ca="1">IF(ROWS($1:57)&gt;COUNT(Dong),"",OFFSET(TH!E$1,SMALL(Dong,ROWS($1:57)),))</f>
        <v>42839</v>
      </c>
      <c r="D70" s="485" t="str">
        <f ca="1">IF(ROWS($1:57)&gt;COUNT(Dong),"",OFFSET(TH!F$1,SMALL(Dong,ROWS($1:57)),))</f>
        <v>Giấy tấm 1750x1680</v>
      </c>
      <c r="E70" s="486" t="str">
        <f ca="1">IF(ROWS($1:57)&gt;COUNT(Dong),"",IF(OFFSET(TH!L$1,SMALL(Dong,ROWS($1:57)),)="331",OFFSET(TH!M$1,SMALL(Dong,ROWS($1:57)),),OFFSET(TH!L$1,SMALL(Dong,ROWS($1:57)),)))</f>
        <v>156</v>
      </c>
      <c r="F70" s="487">
        <f ca="1">IF(ROWS($1:57)&gt;COUNT(Dong),"",IF(OFFSET(TH!L$1,SMALL(Dong,ROWS($1:57)),)="331",OFFSET(TH!K$1,SMALL(Dong,ROWS($1:57)),),0))</f>
        <v>0</v>
      </c>
      <c r="G70" s="487">
        <f ca="1">IF(ROWS($1:57)&gt;COUNT(Dong),"",IF(OFFSET(TH!M$1,SMALL(Dong,ROWS($1:57)),)="331",OFFSET(TH!K$1,SMALL(Dong,ROWS($1:57)),),0))</f>
        <v>541800</v>
      </c>
      <c r="H70" s="243">
        <f t="shared" ca="1" si="4"/>
        <v>78077768</v>
      </c>
      <c r="I70" s="243">
        <f t="shared" ca="1" si="5"/>
        <v>0</v>
      </c>
    </row>
    <row r="71" spans="1:9" s="3" customFormat="1" ht="20.25" customHeight="1">
      <c r="A71" s="484">
        <f ca="1">IF(ROWS($1:58)&gt;COUNT(Dong),"",OFFSET(TH!C$1,SMALL(Dong,ROWS($1:58)),))</f>
        <v>42839</v>
      </c>
      <c r="B71" s="484" t="str">
        <f ca="1">IF(ROWS($1:58)&gt;COUNT(Dong),"",OFFSET(TH!D$1,SMALL(Dong,ROWS($1:58)),))</f>
        <v>N15</v>
      </c>
      <c r="C71" s="484">
        <f ca="1">IF(ROWS($1:58)&gt;COUNT(Dong),"",OFFSET(TH!E$1,SMALL(Dong,ROWS($1:58)),))</f>
        <v>42839</v>
      </c>
      <c r="D71" s="485" t="str">
        <f ca="1">IF(ROWS($1:58)&gt;COUNT(Dong),"",OFFSET(TH!F$1,SMALL(Dong,ROWS($1:58)),))</f>
        <v>Giấy tấm 1600x2140</v>
      </c>
      <c r="E71" s="486" t="str">
        <f ca="1">IF(ROWS($1:58)&gt;COUNT(Dong),"",IF(OFFSET(TH!L$1,SMALL(Dong,ROWS($1:58)),)="331",OFFSET(TH!M$1,SMALL(Dong,ROWS($1:58)),),OFFSET(TH!L$1,SMALL(Dong,ROWS($1:58)),)))</f>
        <v>156</v>
      </c>
      <c r="F71" s="487">
        <f ca="1">IF(ROWS($1:58)&gt;COUNT(Dong),"",IF(OFFSET(TH!L$1,SMALL(Dong,ROWS($1:58)),)="331",OFFSET(TH!K$1,SMALL(Dong,ROWS($1:58)),),0))</f>
        <v>0</v>
      </c>
      <c r="G71" s="487">
        <f ca="1">IF(ROWS($1:58)&gt;COUNT(Dong),"",IF(OFFSET(TH!M$1,SMALL(Dong,ROWS($1:58)),)="331",OFFSET(TH!K$1,SMALL(Dong,ROWS($1:58)),),0))</f>
        <v>1229640</v>
      </c>
      <c r="H71" s="243">
        <f t="shared" ca="1" si="4"/>
        <v>76848128</v>
      </c>
      <c r="I71" s="243">
        <f t="shared" ca="1" si="5"/>
        <v>0</v>
      </c>
    </row>
    <row r="72" spans="1:9" s="3" customFormat="1" ht="20.25" customHeight="1">
      <c r="A72" s="484">
        <f ca="1">IF(ROWS($1:59)&gt;COUNT(Dong),"",OFFSET(TH!C$1,SMALL(Dong,ROWS($1:59)),))</f>
        <v>42839</v>
      </c>
      <c r="B72" s="484" t="str">
        <f ca="1">IF(ROWS($1:59)&gt;COUNT(Dong),"",OFFSET(TH!D$1,SMALL(Dong,ROWS($1:59)),))</f>
        <v>N15</v>
      </c>
      <c r="C72" s="484">
        <f ca="1">IF(ROWS($1:59)&gt;COUNT(Dong),"",OFFSET(TH!E$1,SMALL(Dong,ROWS($1:59)),))</f>
        <v>42839</v>
      </c>
      <c r="D72" s="485" t="str">
        <f ca="1">IF(ROWS($1:59)&gt;COUNT(Dong),"",OFFSET(TH!F$1,SMALL(Dong,ROWS($1:59)),))</f>
        <v>Giấy tấm 1600x2140</v>
      </c>
      <c r="E72" s="486" t="str">
        <f ca="1">IF(ROWS($1:59)&gt;COUNT(Dong),"",IF(OFFSET(TH!L$1,SMALL(Dong,ROWS($1:59)),)="331",OFFSET(TH!M$1,SMALL(Dong,ROWS($1:59)),),OFFSET(TH!L$1,SMALL(Dong,ROWS($1:59)),)))</f>
        <v>156</v>
      </c>
      <c r="F72" s="487">
        <f ca="1">IF(ROWS($1:59)&gt;COUNT(Dong),"",IF(OFFSET(TH!L$1,SMALL(Dong,ROWS($1:59)),)="331",OFFSET(TH!K$1,SMALL(Dong,ROWS($1:59)),),0))</f>
        <v>0</v>
      </c>
      <c r="G72" s="487">
        <f ca="1">IF(ROWS($1:59)&gt;COUNT(Dong),"",IF(OFFSET(TH!M$1,SMALL(Dong,ROWS($1:59)),)="331",OFFSET(TH!K$1,SMALL(Dong,ROWS($1:59)),),0))</f>
        <v>841360</v>
      </c>
      <c r="H72" s="243">
        <f t="shared" ca="1" si="4"/>
        <v>76006768</v>
      </c>
      <c r="I72" s="243">
        <f t="shared" ca="1" si="5"/>
        <v>0</v>
      </c>
    </row>
    <row r="73" spans="1:9" s="3" customFormat="1" ht="20.25" customHeight="1">
      <c r="A73" s="484">
        <f ca="1">IF(ROWS($1:60)&gt;COUNT(Dong),"",OFFSET(TH!C$1,SMALL(Dong,ROWS($1:60)),))</f>
        <v>42839</v>
      </c>
      <c r="B73" s="484" t="str">
        <f ca="1">IF(ROWS($1:60)&gt;COUNT(Dong),"",OFFSET(TH!D$1,SMALL(Dong,ROWS($1:60)),))</f>
        <v>N15</v>
      </c>
      <c r="C73" s="484">
        <f ca="1">IF(ROWS($1:60)&gt;COUNT(Dong),"",OFFSET(TH!E$1,SMALL(Dong,ROWS($1:60)),))</f>
        <v>42839</v>
      </c>
      <c r="D73" s="485" t="str">
        <f ca="1">IF(ROWS($1:60)&gt;COUNT(Dong),"",OFFSET(TH!F$1,SMALL(Dong,ROWS($1:60)),))</f>
        <v xml:space="preserve">VAT Giấy tấm </v>
      </c>
      <c r="E73" s="486" t="str">
        <f ca="1">IF(ROWS($1:60)&gt;COUNT(Dong),"",IF(OFFSET(TH!L$1,SMALL(Dong,ROWS($1:60)),)="331",OFFSET(TH!M$1,SMALL(Dong,ROWS($1:60)),),OFFSET(TH!L$1,SMALL(Dong,ROWS($1:60)),)))</f>
        <v>1331</v>
      </c>
      <c r="F73" s="487">
        <f ca="1">IF(ROWS($1:60)&gt;COUNT(Dong),"",IF(OFFSET(TH!L$1,SMALL(Dong,ROWS($1:60)),)="331",OFFSET(TH!K$1,SMALL(Dong,ROWS($1:60)),),0))</f>
        <v>0</v>
      </c>
      <c r="G73" s="487">
        <f ca="1">IF(ROWS($1:60)&gt;COUNT(Dong),"",IF(OFFSET(TH!M$1,SMALL(Dong,ROWS($1:60)),)="331",OFFSET(TH!K$1,SMALL(Dong,ROWS($1:60)),),0))</f>
        <v>664194</v>
      </c>
      <c r="H73" s="243">
        <f t="shared" ca="1" si="4"/>
        <v>75342574</v>
      </c>
      <c r="I73" s="243">
        <f t="shared" ca="1" si="5"/>
        <v>0</v>
      </c>
    </row>
    <row r="74" spans="1:9" s="3" customFormat="1" ht="20.25" customHeight="1">
      <c r="A74" s="484">
        <f ca="1">IF(ROWS($1:61)&gt;COUNT(Dong),"",OFFSET(TH!C$1,SMALL(Dong,ROWS($1:61)),))</f>
        <v>42846</v>
      </c>
      <c r="B74" s="484" t="str">
        <f ca="1">IF(ROWS($1:61)&gt;COUNT(Dong),"",OFFSET(TH!D$1,SMALL(Dong,ROWS($1:61)),))</f>
        <v>N28</v>
      </c>
      <c r="C74" s="484">
        <f ca="1">IF(ROWS($1:61)&gt;COUNT(Dong),"",OFFSET(TH!E$1,SMALL(Dong,ROWS($1:61)),))</f>
        <v>42846</v>
      </c>
      <c r="D74" s="485" t="str">
        <f ca="1">IF(ROWS($1:61)&gt;COUNT(Dong),"",OFFSET(TH!F$1,SMALL(Dong,ROWS($1:61)),))</f>
        <v>Giấy tấm 1900x2120</v>
      </c>
      <c r="E74" s="486" t="str">
        <f ca="1">IF(ROWS($1:61)&gt;COUNT(Dong),"",IF(OFFSET(TH!L$1,SMALL(Dong,ROWS($1:61)),)="331",OFFSET(TH!M$1,SMALL(Dong,ROWS($1:61)),),OFFSET(TH!L$1,SMALL(Dong,ROWS($1:61)),)))</f>
        <v>156</v>
      </c>
      <c r="F74" s="487">
        <f ca="1">IF(ROWS($1:61)&gt;COUNT(Dong),"",IF(OFFSET(TH!L$1,SMALL(Dong,ROWS($1:61)),)="331",OFFSET(TH!K$1,SMALL(Dong,ROWS($1:61)),),0))</f>
        <v>0</v>
      </c>
      <c r="G74" s="487">
        <f ca="1">IF(ROWS($1:61)&gt;COUNT(Dong),"",IF(OFFSET(TH!M$1,SMALL(Dong,ROWS($1:61)),)="331",OFFSET(TH!K$1,SMALL(Dong,ROWS($1:61)),),0))</f>
        <v>593856</v>
      </c>
      <c r="H74" s="243">
        <f t="shared" ca="1" si="4"/>
        <v>74748718</v>
      </c>
      <c r="I74" s="243">
        <f t="shared" ca="1" si="5"/>
        <v>0</v>
      </c>
    </row>
    <row r="75" spans="1:9" s="3" customFormat="1" ht="20.25" customHeight="1">
      <c r="A75" s="484">
        <f ca="1">IF(ROWS($1:62)&gt;COUNT(Dong),"",OFFSET(TH!C$1,SMALL(Dong,ROWS($1:62)),))</f>
        <v>42846</v>
      </c>
      <c r="B75" s="484" t="str">
        <f ca="1">IF(ROWS($1:62)&gt;COUNT(Dong),"",OFFSET(TH!D$1,SMALL(Dong,ROWS($1:62)),))</f>
        <v>N28</v>
      </c>
      <c r="C75" s="484">
        <f ca="1">IF(ROWS($1:62)&gt;COUNT(Dong),"",OFFSET(TH!E$1,SMALL(Dong,ROWS($1:62)),))</f>
        <v>42846</v>
      </c>
      <c r="D75" s="485" t="str">
        <f ca="1">IF(ROWS($1:62)&gt;COUNT(Dong),"",OFFSET(TH!F$1,SMALL(Dong,ROWS($1:62)),))</f>
        <v>Giấy tấm 1750x2520</v>
      </c>
      <c r="E75" s="486" t="str">
        <f ca="1">IF(ROWS($1:62)&gt;COUNT(Dong),"",IF(OFFSET(TH!L$1,SMALL(Dong,ROWS($1:62)),)="331",OFFSET(TH!M$1,SMALL(Dong,ROWS($1:62)),),OFFSET(TH!L$1,SMALL(Dong,ROWS($1:62)),)))</f>
        <v>156</v>
      </c>
      <c r="F75" s="487">
        <f ca="1">IF(ROWS($1:62)&gt;COUNT(Dong),"",IF(OFFSET(TH!L$1,SMALL(Dong,ROWS($1:62)),)="331",OFFSET(TH!K$1,SMALL(Dong,ROWS($1:62)),),0))</f>
        <v>0</v>
      </c>
      <c r="G75" s="487">
        <f ca="1">IF(ROWS($1:62)&gt;COUNT(Dong),"",IF(OFFSET(TH!M$1,SMALL(Dong,ROWS($1:62)),)="331",OFFSET(TH!K$1,SMALL(Dong,ROWS($1:62)),),0))</f>
        <v>791860</v>
      </c>
      <c r="H75" s="243">
        <f t="shared" ca="1" si="4"/>
        <v>73956858</v>
      </c>
      <c r="I75" s="243">
        <f t="shared" ca="1" si="5"/>
        <v>0</v>
      </c>
    </row>
    <row r="76" spans="1:9" s="3" customFormat="1" ht="20.25" customHeight="1">
      <c r="A76" s="484">
        <f ca="1">IF(ROWS($1:63)&gt;COUNT(Dong),"",OFFSET(TH!C$1,SMALL(Dong,ROWS($1:63)),))</f>
        <v>42846</v>
      </c>
      <c r="B76" s="484" t="str">
        <f ca="1">IF(ROWS($1:63)&gt;COUNT(Dong),"",OFFSET(TH!D$1,SMALL(Dong,ROWS($1:63)),))</f>
        <v>N28</v>
      </c>
      <c r="C76" s="484">
        <f ca="1">IF(ROWS($1:63)&gt;COUNT(Dong),"",OFFSET(TH!E$1,SMALL(Dong,ROWS($1:63)),))</f>
        <v>42846</v>
      </c>
      <c r="D76" s="485" t="str">
        <f ca="1">IF(ROWS($1:63)&gt;COUNT(Dong),"",OFFSET(TH!F$1,SMALL(Dong,ROWS($1:63)),))</f>
        <v>Giấy tấm 1750x2520</v>
      </c>
      <c r="E76" s="486" t="str">
        <f ca="1">IF(ROWS($1:63)&gt;COUNT(Dong),"",IF(OFFSET(TH!L$1,SMALL(Dong,ROWS($1:63)),)="331",OFFSET(TH!M$1,SMALL(Dong,ROWS($1:63)),),OFFSET(TH!L$1,SMALL(Dong,ROWS($1:63)),)))</f>
        <v>156</v>
      </c>
      <c r="F76" s="487">
        <f ca="1">IF(ROWS($1:63)&gt;COUNT(Dong),"",IF(OFFSET(TH!L$1,SMALL(Dong,ROWS($1:63)),)="331",OFFSET(TH!K$1,SMALL(Dong,ROWS($1:63)),),0))</f>
        <v>0</v>
      </c>
      <c r="G76" s="487">
        <f ca="1">IF(ROWS($1:63)&gt;COUNT(Dong),"",IF(OFFSET(TH!M$1,SMALL(Dong,ROWS($1:63)),)="331",OFFSET(TH!K$1,SMALL(Dong,ROWS($1:63)),),0))</f>
        <v>541820</v>
      </c>
      <c r="H76" s="243">
        <f t="shared" ca="1" si="4"/>
        <v>73415038</v>
      </c>
      <c r="I76" s="243">
        <f t="shared" ca="1" si="5"/>
        <v>0</v>
      </c>
    </row>
    <row r="77" spans="1:9" s="3" customFormat="1" ht="20.25" customHeight="1">
      <c r="A77" s="484">
        <f ca="1">IF(ROWS($1:64)&gt;COUNT(Dong),"",OFFSET(TH!C$1,SMALL(Dong,ROWS($1:64)),))</f>
        <v>42846</v>
      </c>
      <c r="B77" s="484" t="str">
        <f ca="1">IF(ROWS($1:64)&gt;COUNT(Dong),"",OFFSET(TH!D$1,SMALL(Dong,ROWS($1:64)),))</f>
        <v>N28</v>
      </c>
      <c r="C77" s="484">
        <f ca="1">IF(ROWS($1:64)&gt;COUNT(Dong),"",OFFSET(TH!E$1,SMALL(Dong,ROWS($1:64)),))</f>
        <v>42846</v>
      </c>
      <c r="D77" s="485" t="str">
        <f ca="1">IF(ROWS($1:64)&gt;COUNT(Dong),"",OFFSET(TH!F$1,SMALL(Dong,ROWS($1:64)),))</f>
        <v>Giấy tấm 1700x2280</v>
      </c>
      <c r="E77" s="486" t="str">
        <f ca="1">IF(ROWS($1:64)&gt;COUNT(Dong),"",IF(OFFSET(TH!L$1,SMALL(Dong,ROWS($1:64)),)="331",OFFSET(TH!M$1,SMALL(Dong,ROWS($1:64)),),OFFSET(TH!L$1,SMALL(Dong,ROWS($1:64)),)))</f>
        <v>156</v>
      </c>
      <c r="F77" s="487">
        <f ca="1">IF(ROWS($1:64)&gt;COUNT(Dong),"",IF(OFFSET(TH!L$1,SMALL(Dong,ROWS($1:64)),)="331",OFFSET(TH!K$1,SMALL(Dong,ROWS($1:64)),),0))</f>
        <v>0</v>
      </c>
      <c r="G77" s="487">
        <f ca="1">IF(ROWS($1:64)&gt;COUNT(Dong),"",IF(OFFSET(TH!M$1,SMALL(Dong,ROWS($1:64)),)="331",OFFSET(TH!K$1,SMALL(Dong,ROWS($1:64)),),0))</f>
        <v>765578</v>
      </c>
      <c r="H77" s="243">
        <f t="shared" ca="1" si="4"/>
        <v>72649460</v>
      </c>
      <c r="I77" s="243">
        <f t="shared" ca="1" si="5"/>
        <v>0</v>
      </c>
    </row>
    <row r="78" spans="1:9" s="3" customFormat="1" ht="20.25" customHeight="1">
      <c r="A78" s="484">
        <f ca="1">IF(ROWS($1:65)&gt;COUNT(Dong),"",OFFSET(TH!C$1,SMALL(Dong,ROWS($1:65)),))</f>
        <v>42846</v>
      </c>
      <c r="B78" s="484" t="str">
        <f ca="1">IF(ROWS($1:65)&gt;COUNT(Dong),"",OFFSET(TH!D$1,SMALL(Dong,ROWS($1:65)),))</f>
        <v>N28</v>
      </c>
      <c r="C78" s="484">
        <f ca="1">IF(ROWS($1:65)&gt;COUNT(Dong),"",OFFSET(TH!E$1,SMALL(Dong,ROWS($1:65)),))</f>
        <v>42846</v>
      </c>
      <c r="D78" s="485" t="str">
        <f ca="1">IF(ROWS($1:65)&gt;COUNT(Dong),"",OFFSET(TH!F$1,SMALL(Dong,ROWS($1:65)),))</f>
        <v>Giấy tấm 1700x2280</v>
      </c>
      <c r="E78" s="486" t="str">
        <f ca="1">IF(ROWS($1:65)&gt;COUNT(Dong),"",IF(OFFSET(TH!L$1,SMALL(Dong,ROWS($1:65)),)="331",OFFSET(TH!M$1,SMALL(Dong,ROWS($1:65)),),OFFSET(TH!L$1,SMALL(Dong,ROWS($1:65)),)))</f>
        <v>156</v>
      </c>
      <c r="F78" s="487">
        <f ca="1">IF(ROWS($1:65)&gt;COUNT(Dong),"",IF(OFFSET(TH!L$1,SMALL(Dong,ROWS($1:65)),)="331",OFFSET(TH!K$1,SMALL(Dong,ROWS($1:65)),),0))</f>
        <v>0</v>
      </c>
      <c r="G78" s="487">
        <f ca="1">IF(ROWS($1:65)&gt;COUNT(Dong),"",IF(OFFSET(TH!M$1,SMALL(Dong,ROWS($1:65)),)="331",OFFSET(TH!K$1,SMALL(Dong,ROWS($1:65)),),0))</f>
        <v>523820</v>
      </c>
      <c r="H78" s="243">
        <f t="shared" ca="1" si="4"/>
        <v>72125640</v>
      </c>
      <c r="I78" s="243">
        <f t="shared" ca="1" si="5"/>
        <v>0</v>
      </c>
    </row>
    <row r="79" spans="1:9" s="3" customFormat="1" ht="20.25" customHeight="1">
      <c r="A79" s="484">
        <f ca="1">IF(ROWS($1:66)&gt;COUNT(Dong),"",OFFSET(TH!C$1,SMALL(Dong,ROWS($1:66)),))</f>
        <v>42846</v>
      </c>
      <c r="B79" s="484" t="str">
        <f ca="1">IF(ROWS($1:66)&gt;COUNT(Dong),"",OFFSET(TH!D$1,SMALL(Dong,ROWS($1:66)),))</f>
        <v>N28</v>
      </c>
      <c r="C79" s="484">
        <f ca="1">IF(ROWS($1:66)&gt;COUNT(Dong),"",OFFSET(TH!E$1,SMALL(Dong,ROWS($1:66)),))</f>
        <v>42846</v>
      </c>
      <c r="D79" s="485" t="str">
        <f ca="1">IF(ROWS($1:66)&gt;COUNT(Dong),"",OFFSET(TH!F$1,SMALL(Dong,ROWS($1:66)),))</f>
        <v>Giấy tấm 1750x1680</v>
      </c>
      <c r="E79" s="486" t="str">
        <f ca="1">IF(ROWS($1:66)&gt;COUNT(Dong),"",IF(OFFSET(TH!L$1,SMALL(Dong,ROWS($1:66)),)="331",OFFSET(TH!M$1,SMALL(Dong,ROWS($1:66)),),OFFSET(TH!L$1,SMALL(Dong,ROWS($1:66)),)))</f>
        <v>156</v>
      </c>
      <c r="F79" s="487">
        <f ca="1">IF(ROWS($1:66)&gt;COUNT(Dong),"",IF(OFFSET(TH!L$1,SMALL(Dong,ROWS($1:66)),)="331",OFFSET(TH!K$1,SMALL(Dong,ROWS($1:66)),),0))</f>
        <v>0</v>
      </c>
      <c r="G79" s="487">
        <f ca="1">IF(ROWS($1:66)&gt;COUNT(Dong),"",IF(OFFSET(TH!M$1,SMALL(Dong,ROWS($1:66)),)="331",OFFSET(TH!K$1,SMALL(Dong,ROWS($1:66)),),0))</f>
        <v>791850</v>
      </c>
      <c r="H79" s="243">
        <f t="shared" ca="1" si="4"/>
        <v>71333790</v>
      </c>
      <c r="I79" s="243">
        <f t="shared" ca="1" si="5"/>
        <v>0</v>
      </c>
    </row>
    <row r="80" spans="1:9" s="3" customFormat="1" ht="20.25" customHeight="1">
      <c r="A80" s="484">
        <f ca="1">IF(ROWS($1:67)&gt;COUNT(Dong),"",OFFSET(TH!C$1,SMALL(Dong,ROWS($1:67)),))</f>
        <v>42846</v>
      </c>
      <c r="B80" s="484" t="str">
        <f ca="1">IF(ROWS($1:67)&gt;COUNT(Dong),"",OFFSET(TH!D$1,SMALL(Dong,ROWS($1:67)),))</f>
        <v>N28</v>
      </c>
      <c r="C80" s="484">
        <f ca="1">IF(ROWS($1:67)&gt;COUNT(Dong),"",OFFSET(TH!E$1,SMALL(Dong,ROWS($1:67)),))</f>
        <v>42846</v>
      </c>
      <c r="D80" s="485" t="str">
        <f ca="1">IF(ROWS($1:67)&gt;COUNT(Dong),"",OFFSET(TH!F$1,SMALL(Dong,ROWS($1:67)),))</f>
        <v>Giấy tấm 1750x1680</v>
      </c>
      <c r="E80" s="486" t="str">
        <f ca="1">IF(ROWS($1:67)&gt;COUNT(Dong),"",IF(OFFSET(TH!L$1,SMALL(Dong,ROWS($1:67)),)="331",OFFSET(TH!M$1,SMALL(Dong,ROWS($1:67)),),OFFSET(TH!L$1,SMALL(Dong,ROWS($1:67)),)))</f>
        <v>156</v>
      </c>
      <c r="F80" s="487">
        <f ca="1">IF(ROWS($1:67)&gt;COUNT(Dong),"",IF(OFFSET(TH!L$1,SMALL(Dong,ROWS($1:67)),)="331",OFFSET(TH!K$1,SMALL(Dong,ROWS($1:67)),),0))</f>
        <v>0</v>
      </c>
      <c r="G80" s="487">
        <f ca="1">IF(ROWS($1:67)&gt;COUNT(Dong),"",IF(OFFSET(TH!M$1,SMALL(Dong,ROWS($1:67)),)="331",OFFSET(TH!K$1,SMALL(Dong,ROWS($1:67)),),0))</f>
        <v>541800</v>
      </c>
      <c r="H80" s="243">
        <f t="shared" ca="1" si="4"/>
        <v>70791990</v>
      </c>
      <c r="I80" s="243">
        <f t="shared" ca="1" si="5"/>
        <v>0</v>
      </c>
    </row>
    <row r="81" spans="1:9" s="3" customFormat="1" ht="20.25" customHeight="1">
      <c r="A81" s="484">
        <f ca="1">IF(ROWS($1:68)&gt;COUNT(Dong),"",OFFSET(TH!C$1,SMALL(Dong,ROWS($1:68)),))</f>
        <v>42846</v>
      </c>
      <c r="B81" s="484" t="str">
        <f ca="1">IF(ROWS($1:68)&gt;COUNT(Dong),"",OFFSET(TH!D$1,SMALL(Dong,ROWS($1:68)),))</f>
        <v>N28</v>
      </c>
      <c r="C81" s="484">
        <f ca="1">IF(ROWS($1:68)&gt;COUNT(Dong),"",OFFSET(TH!E$1,SMALL(Dong,ROWS($1:68)),))</f>
        <v>42846</v>
      </c>
      <c r="D81" s="485" t="str">
        <f ca="1">IF(ROWS($1:68)&gt;COUNT(Dong),"",OFFSET(TH!F$1,SMALL(Dong,ROWS($1:68)),))</f>
        <v xml:space="preserve">VAT Giấy tấm </v>
      </c>
      <c r="E81" s="486" t="str">
        <f ca="1">IF(ROWS($1:68)&gt;COUNT(Dong),"",IF(OFFSET(TH!L$1,SMALL(Dong,ROWS($1:68)),)="331",OFFSET(TH!M$1,SMALL(Dong,ROWS($1:68)),),OFFSET(TH!L$1,SMALL(Dong,ROWS($1:68)),)))</f>
        <v>1331</v>
      </c>
      <c r="F81" s="487">
        <f ca="1">IF(ROWS($1:68)&gt;COUNT(Dong),"",IF(OFFSET(TH!L$1,SMALL(Dong,ROWS($1:68)),)="331",OFFSET(TH!K$1,SMALL(Dong,ROWS($1:68)),),0))</f>
        <v>0</v>
      </c>
      <c r="G81" s="487">
        <f ca="1">IF(ROWS($1:68)&gt;COUNT(Dong),"",IF(OFFSET(TH!M$1,SMALL(Dong,ROWS($1:68)),)="331",OFFSET(TH!K$1,SMALL(Dong,ROWS($1:68)),),0))</f>
        <v>455058</v>
      </c>
      <c r="H81" s="243">
        <f t="shared" ca="1" si="4"/>
        <v>70336932</v>
      </c>
      <c r="I81" s="243">
        <f t="shared" ca="1" si="5"/>
        <v>0</v>
      </c>
    </row>
    <row r="82" spans="1:9" s="3" customFormat="1" ht="20.25" customHeight="1">
      <c r="A82" s="484">
        <f ca="1">IF(ROWS($1:69)&gt;COUNT(Dong),"",OFFSET(TH!C$1,SMALL(Dong,ROWS($1:69)),))</f>
        <v>42849</v>
      </c>
      <c r="B82" s="484" t="str">
        <f ca="1">IF(ROWS($1:69)&gt;COUNT(Dong),"",OFFSET(TH!D$1,SMALL(Dong,ROWS($1:69)),))</f>
        <v>N29</v>
      </c>
      <c r="C82" s="484">
        <f ca="1">IF(ROWS($1:69)&gt;COUNT(Dong),"",OFFSET(TH!E$1,SMALL(Dong,ROWS($1:69)),))</f>
        <v>42849</v>
      </c>
      <c r="D82" s="485" t="str">
        <f ca="1">IF(ROWS($1:69)&gt;COUNT(Dong),"",OFFSET(TH!F$1,SMALL(Dong,ROWS($1:69)),))</f>
        <v>Giấy tấm 1900x2120</v>
      </c>
      <c r="E82" s="486" t="str">
        <f ca="1">IF(ROWS($1:69)&gt;COUNT(Dong),"",IF(OFFSET(TH!L$1,SMALL(Dong,ROWS($1:69)),)="331",OFFSET(TH!M$1,SMALL(Dong,ROWS($1:69)),),OFFSET(TH!L$1,SMALL(Dong,ROWS($1:69)),)))</f>
        <v>156</v>
      </c>
      <c r="F82" s="487">
        <f ca="1">IF(ROWS($1:69)&gt;COUNT(Dong),"",IF(OFFSET(TH!L$1,SMALL(Dong,ROWS($1:69)),)="331",OFFSET(TH!K$1,SMALL(Dong,ROWS($1:69)),),0))</f>
        <v>0</v>
      </c>
      <c r="G82" s="487">
        <f ca="1">IF(ROWS($1:69)&gt;COUNT(Dong),"",IF(OFFSET(TH!M$1,SMALL(Dong,ROWS($1:69)),)="331",OFFSET(TH!K$1,SMALL(Dong,ROWS($1:69)),),0))</f>
        <v>867912</v>
      </c>
      <c r="H82" s="243">
        <f t="shared" ca="1" si="4"/>
        <v>69469020</v>
      </c>
      <c r="I82" s="243">
        <f t="shared" ca="1" si="5"/>
        <v>0</v>
      </c>
    </row>
    <row r="83" spans="1:9" s="3" customFormat="1" ht="20.25" customHeight="1">
      <c r="A83" s="484">
        <f ca="1">IF(ROWS($1:70)&gt;COUNT(Dong),"",OFFSET(TH!C$1,SMALL(Dong,ROWS($1:70)),))</f>
        <v>42849</v>
      </c>
      <c r="B83" s="484" t="str">
        <f ca="1">IF(ROWS($1:70)&gt;COUNT(Dong),"",OFFSET(TH!D$1,SMALL(Dong,ROWS($1:70)),))</f>
        <v>N29</v>
      </c>
      <c r="C83" s="484">
        <f ca="1">IF(ROWS($1:70)&gt;COUNT(Dong),"",OFFSET(TH!E$1,SMALL(Dong,ROWS($1:70)),))</f>
        <v>42849</v>
      </c>
      <c r="D83" s="485" t="str">
        <f ca="1">IF(ROWS($1:70)&gt;COUNT(Dong),"",OFFSET(TH!F$1,SMALL(Dong,ROWS($1:70)),))</f>
        <v>Giấy tấm 1200x1200</v>
      </c>
      <c r="E83" s="486" t="str">
        <f ca="1">IF(ROWS($1:70)&gt;COUNT(Dong),"",IF(OFFSET(TH!L$1,SMALL(Dong,ROWS($1:70)),)="331",OFFSET(TH!M$1,SMALL(Dong,ROWS($1:70)),),OFFSET(TH!L$1,SMALL(Dong,ROWS($1:70)),)))</f>
        <v>156</v>
      </c>
      <c r="F83" s="487">
        <f ca="1">IF(ROWS($1:70)&gt;COUNT(Dong),"",IF(OFFSET(TH!L$1,SMALL(Dong,ROWS($1:70)),)="331",OFFSET(TH!K$1,SMALL(Dong,ROWS($1:70)),),0))</f>
        <v>0</v>
      </c>
      <c r="G83" s="487">
        <f ca="1">IF(ROWS($1:70)&gt;COUNT(Dong),"",IF(OFFSET(TH!M$1,SMALL(Dong,ROWS($1:70)),)="331",OFFSET(TH!K$1,SMALL(Dong,ROWS($1:70)),),0))</f>
        <v>5040075</v>
      </c>
      <c r="H83" s="243">
        <f t="shared" ca="1" si="4"/>
        <v>64428945</v>
      </c>
      <c r="I83" s="243">
        <f t="shared" ca="1" si="5"/>
        <v>0</v>
      </c>
    </row>
    <row r="84" spans="1:9" s="3" customFormat="1" ht="20.25" customHeight="1">
      <c r="A84" s="484">
        <f ca="1">IF(ROWS($1:71)&gt;COUNT(Dong),"",OFFSET(TH!C$1,SMALL(Dong,ROWS($1:71)),))</f>
        <v>42849</v>
      </c>
      <c r="B84" s="484" t="str">
        <f ca="1">IF(ROWS($1:71)&gt;COUNT(Dong),"",OFFSET(TH!D$1,SMALL(Dong,ROWS($1:71)),))</f>
        <v>N29</v>
      </c>
      <c r="C84" s="484">
        <f ca="1">IF(ROWS($1:71)&gt;COUNT(Dong),"",OFFSET(TH!E$1,SMALL(Dong,ROWS($1:71)),))</f>
        <v>42849</v>
      </c>
      <c r="D84" s="485" t="str">
        <f ca="1">IF(ROWS($1:71)&gt;COUNT(Dong),"",OFFSET(TH!F$1,SMALL(Dong,ROWS($1:71)),))</f>
        <v xml:space="preserve">VAT Giấy tấm </v>
      </c>
      <c r="E84" s="486" t="str">
        <f ca="1">IF(ROWS($1:71)&gt;COUNT(Dong),"",IF(OFFSET(TH!L$1,SMALL(Dong,ROWS($1:71)),)="331",OFFSET(TH!M$1,SMALL(Dong,ROWS($1:71)),),OFFSET(TH!L$1,SMALL(Dong,ROWS($1:71)),)))</f>
        <v>1331</v>
      </c>
      <c r="F84" s="487">
        <f ca="1">IF(ROWS($1:71)&gt;COUNT(Dong),"",IF(OFFSET(TH!L$1,SMALL(Dong,ROWS($1:71)),)="331",OFFSET(TH!K$1,SMALL(Dong,ROWS($1:71)),),0))</f>
        <v>0</v>
      </c>
      <c r="G84" s="487">
        <f ca="1">IF(ROWS($1:71)&gt;COUNT(Dong),"",IF(OFFSET(TH!M$1,SMALL(Dong,ROWS($1:71)),)="331",OFFSET(TH!K$1,SMALL(Dong,ROWS($1:71)),),0))</f>
        <v>590799</v>
      </c>
      <c r="H84" s="243">
        <f t="shared" ca="1" si="4"/>
        <v>63838146</v>
      </c>
      <c r="I84" s="243">
        <f t="shared" ca="1" si="5"/>
        <v>0</v>
      </c>
    </row>
    <row r="85" spans="1:9" s="3" customFormat="1" ht="20.25" customHeight="1">
      <c r="A85" s="484">
        <f ca="1">IF(ROWS($1:72)&gt;COUNT(Dong),"",OFFSET(TH!C$1,SMALL(Dong,ROWS($1:72)),))</f>
        <v>42851</v>
      </c>
      <c r="B85" s="484" t="str">
        <f ca="1">IF(ROWS($1:72)&gt;COUNT(Dong),"",OFFSET(TH!D$1,SMALL(Dong,ROWS($1:72)),))</f>
        <v>N33</v>
      </c>
      <c r="C85" s="484">
        <f ca="1">IF(ROWS($1:72)&gt;COUNT(Dong),"",OFFSET(TH!E$1,SMALL(Dong,ROWS($1:72)),))</f>
        <v>42851</v>
      </c>
      <c r="D85" s="485" t="str">
        <f ca="1">IF(ROWS($1:72)&gt;COUNT(Dong),"",OFFSET(TH!F$1,SMALL(Dong,ROWS($1:72)),))</f>
        <v>Giấy tấm 1800x1620</v>
      </c>
      <c r="E85" s="486" t="str">
        <f ca="1">IF(ROWS($1:72)&gt;COUNT(Dong),"",IF(OFFSET(TH!L$1,SMALL(Dong,ROWS($1:72)),)="331",OFFSET(TH!M$1,SMALL(Dong,ROWS($1:72)),),OFFSET(TH!L$1,SMALL(Dong,ROWS($1:72)),)))</f>
        <v>156</v>
      </c>
      <c r="F85" s="487">
        <f ca="1">IF(ROWS($1:72)&gt;COUNT(Dong),"",IF(OFFSET(TH!L$1,SMALL(Dong,ROWS($1:72)),)="331",OFFSET(TH!K$1,SMALL(Dong,ROWS($1:72)),),0))</f>
        <v>0</v>
      </c>
      <c r="G85" s="487">
        <f ca="1">IF(ROWS($1:72)&gt;COUNT(Dong),"",IF(OFFSET(TH!M$1,SMALL(Dong,ROWS($1:72)),)="331",OFFSET(TH!K$1,SMALL(Dong,ROWS($1:72)),),0))</f>
        <v>3783719</v>
      </c>
      <c r="H85" s="243">
        <f t="shared" ca="1" si="4"/>
        <v>60054427</v>
      </c>
      <c r="I85" s="243">
        <f t="shared" ca="1" si="5"/>
        <v>0</v>
      </c>
    </row>
    <row r="86" spans="1:9" s="3" customFormat="1" ht="20.25" customHeight="1">
      <c r="A86" s="484">
        <f ca="1">IF(ROWS($1:73)&gt;COUNT(Dong),"",OFFSET(TH!C$1,SMALL(Dong,ROWS($1:73)),))</f>
        <v>42851</v>
      </c>
      <c r="B86" s="484" t="str">
        <f ca="1">IF(ROWS($1:73)&gt;COUNT(Dong),"",OFFSET(TH!D$1,SMALL(Dong,ROWS($1:73)),))</f>
        <v>N33</v>
      </c>
      <c r="C86" s="484">
        <f ca="1">IF(ROWS($1:73)&gt;COUNT(Dong),"",OFFSET(TH!E$1,SMALL(Dong,ROWS($1:73)),))</f>
        <v>42851</v>
      </c>
      <c r="D86" s="485" t="str">
        <f ca="1">IF(ROWS($1:73)&gt;COUNT(Dong),"",OFFSET(TH!F$1,SMALL(Dong,ROWS($1:73)),))</f>
        <v xml:space="preserve">VAT Giấy tấm </v>
      </c>
      <c r="E86" s="486" t="str">
        <f ca="1">IF(ROWS($1:73)&gt;COUNT(Dong),"",IF(OFFSET(TH!L$1,SMALL(Dong,ROWS($1:73)),)="331",OFFSET(TH!M$1,SMALL(Dong,ROWS($1:73)),),OFFSET(TH!L$1,SMALL(Dong,ROWS($1:73)),)))</f>
        <v>1331</v>
      </c>
      <c r="F86" s="487">
        <f ca="1">IF(ROWS($1:73)&gt;COUNT(Dong),"",IF(OFFSET(TH!L$1,SMALL(Dong,ROWS($1:73)),)="331",OFFSET(TH!K$1,SMALL(Dong,ROWS($1:73)),),0))</f>
        <v>0</v>
      </c>
      <c r="G86" s="487">
        <f ca="1">IF(ROWS($1:73)&gt;COUNT(Dong),"",IF(OFFSET(TH!M$1,SMALL(Dong,ROWS($1:73)),)="331",OFFSET(TH!K$1,SMALL(Dong,ROWS($1:73)),),0))</f>
        <v>378372</v>
      </c>
      <c r="H86" s="243">
        <f t="shared" ca="1" si="4"/>
        <v>59676055</v>
      </c>
      <c r="I86" s="243">
        <f t="shared" ca="1" si="5"/>
        <v>0</v>
      </c>
    </row>
    <row r="87" spans="1:9" s="3" customFormat="1" ht="20.25" customHeight="1">
      <c r="A87" s="484">
        <f ca="1">IF(ROWS($1:74)&gt;COUNT(Dong),"",OFFSET(TH!C$1,SMALL(Dong,ROWS($1:74)),))</f>
        <v>42881</v>
      </c>
      <c r="B87" s="484" t="str">
        <f ca="1">IF(ROWS($1:74)&gt;COUNT(Dong),"",OFFSET(TH!D$1,SMALL(Dong,ROWS($1:74)),))</f>
        <v>N47</v>
      </c>
      <c r="C87" s="484">
        <f ca="1">IF(ROWS($1:74)&gt;COUNT(Dong),"",OFFSET(TH!E$1,SMALL(Dong,ROWS($1:74)),))</f>
        <v>42881</v>
      </c>
      <c r="D87" s="485" t="str">
        <f ca="1">IF(ROWS($1:74)&gt;COUNT(Dong),"",OFFSET(TH!F$1,SMALL(Dong,ROWS($1:74)),))</f>
        <v>Giấy tấm 1750x1250</v>
      </c>
      <c r="E87" s="486" t="str">
        <f ca="1">IF(ROWS($1:74)&gt;COUNT(Dong),"",IF(OFFSET(TH!L$1,SMALL(Dong,ROWS($1:74)),)="331",OFFSET(TH!M$1,SMALL(Dong,ROWS($1:74)),),OFFSET(TH!L$1,SMALL(Dong,ROWS($1:74)),)))</f>
        <v>156</v>
      </c>
      <c r="F87" s="487">
        <f ca="1">IF(ROWS($1:74)&gt;COUNT(Dong),"",IF(OFFSET(TH!L$1,SMALL(Dong,ROWS($1:74)),)="331",OFFSET(TH!K$1,SMALL(Dong,ROWS($1:74)),),0))</f>
        <v>0</v>
      </c>
      <c r="G87" s="487">
        <f ca="1">IF(ROWS($1:74)&gt;COUNT(Dong),"",IF(OFFSET(TH!M$1,SMALL(Dong,ROWS($1:74)),)="331",OFFSET(TH!K$1,SMALL(Dong,ROWS($1:74)),),0))</f>
        <v>4537250</v>
      </c>
      <c r="H87" s="243">
        <f t="shared" ca="1" si="4"/>
        <v>55138805</v>
      </c>
      <c r="I87" s="243">
        <f t="shared" ca="1" si="5"/>
        <v>0</v>
      </c>
    </row>
    <row r="88" spans="1:9" s="3" customFormat="1" ht="20.25" customHeight="1">
      <c r="A88" s="484">
        <f ca="1">IF(ROWS($1:75)&gt;COUNT(Dong),"",OFFSET(TH!C$1,SMALL(Dong,ROWS($1:75)),))</f>
        <v>42881</v>
      </c>
      <c r="B88" s="484" t="str">
        <f ca="1">IF(ROWS($1:75)&gt;COUNT(Dong),"",OFFSET(TH!D$1,SMALL(Dong,ROWS($1:75)),))</f>
        <v>N47</v>
      </c>
      <c r="C88" s="484">
        <f ca="1">IF(ROWS($1:75)&gt;COUNT(Dong),"",OFFSET(TH!E$1,SMALL(Dong,ROWS($1:75)),))</f>
        <v>42881</v>
      </c>
      <c r="D88" s="485" t="str">
        <f ca="1">IF(ROWS($1:75)&gt;COUNT(Dong),"",OFFSET(TH!F$1,SMALL(Dong,ROWS($1:75)),))</f>
        <v>Giấy tấm 1400x1220</v>
      </c>
      <c r="E88" s="486" t="str">
        <f ca="1">IF(ROWS($1:75)&gt;COUNT(Dong),"",IF(OFFSET(TH!L$1,SMALL(Dong,ROWS($1:75)),)="331",OFFSET(TH!M$1,SMALL(Dong,ROWS($1:75)),),OFFSET(TH!L$1,SMALL(Dong,ROWS($1:75)),)))</f>
        <v>156</v>
      </c>
      <c r="F88" s="487">
        <f ca="1">IF(ROWS($1:75)&gt;COUNT(Dong),"",IF(OFFSET(TH!L$1,SMALL(Dong,ROWS($1:75)),)="331",OFFSET(TH!K$1,SMALL(Dong,ROWS($1:75)),),0))</f>
        <v>0</v>
      </c>
      <c r="G88" s="487">
        <f ca="1">IF(ROWS($1:75)&gt;COUNT(Dong),"",IF(OFFSET(TH!M$1,SMALL(Dong,ROWS($1:75)),)="331",OFFSET(TH!K$1,SMALL(Dong,ROWS($1:75)),),0))</f>
        <v>2216257</v>
      </c>
      <c r="H88" s="243">
        <f t="shared" ca="1" si="4"/>
        <v>52922548</v>
      </c>
      <c r="I88" s="243">
        <f t="shared" ca="1" si="5"/>
        <v>0</v>
      </c>
    </row>
    <row r="89" spans="1:9" s="3" customFormat="1" ht="20.25" customHeight="1">
      <c r="A89" s="484">
        <f ca="1">IF(ROWS($1:76)&gt;COUNT(Dong),"",OFFSET(TH!C$1,SMALL(Dong,ROWS($1:76)),))</f>
        <v>42881</v>
      </c>
      <c r="B89" s="484" t="str">
        <f ca="1">IF(ROWS($1:76)&gt;COUNT(Dong),"",OFFSET(TH!D$1,SMALL(Dong,ROWS($1:76)),))</f>
        <v>N47</v>
      </c>
      <c r="C89" s="484">
        <f ca="1">IF(ROWS($1:76)&gt;COUNT(Dong),"",OFFSET(TH!E$1,SMALL(Dong,ROWS($1:76)),))</f>
        <v>42881</v>
      </c>
      <c r="D89" s="485" t="str">
        <f ca="1">IF(ROWS($1:76)&gt;COUNT(Dong),"",OFFSET(TH!F$1,SMALL(Dong,ROWS($1:76)),))</f>
        <v>VAT Giấy</v>
      </c>
      <c r="E89" s="486" t="str">
        <f ca="1">IF(ROWS($1:76)&gt;COUNT(Dong),"",IF(OFFSET(TH!L$1,SMALL(Dong,ROWS($1:76)),)="331",OFFSET(TH!M$1,SMALL(Dong,ROWS($1:76)),),OFFSET(TH!L$1,SMALL(Dong,ROWS($1:76)),)))</f>
        <v>1331</v>
      </c>
      <c r="F89" s="487">
        <f ca="1">IF(ROWS($1:76)&gt;COUNT(Dong),"",IF(OFFSET(TH!L$1,SMALL(Dong,ROWS($1:76)),)="331",OFFSET(TH!K$1,SMALL(Dong,ROWS($1:76)),),0))</f>
        <v>0</v>
      </c>
      <c r="G89" s="487">
        <f ca="1">IF(ROWS($1:76)&gt;COUNT(Dong),"",IF(OFFSET(TH!M$1,SMALL(Dong,ROWS($1:76)),)="331",OFFSET(TH!K$1,SMALL(Dong,ROWS($1:76)),),0))</f>
        <v>675351</v>
      </c>
      <c r="H89" s="243">
        <f t="shared" ca="1" si="4"/>
        <v>52247197</v>
      </c>
      <c r="I89" s="243">
        <f t="shared" ca="1" si="5"/>
        <v>0</v>
      </c>
    </row>
    <row r="90" spans="1:9" s="3" customFormat="1" ht="20.25" customHeight="1">
      <c r="A90" s="484">
        <f ca="1">IF(ROWS($1:77)&gt;COUNT(Dong),"",OFFSET(TH!C$1,SMALL(Dong,ROWS($1:77)),))</f>
        <v>42922</v>
      </c>
      <c r="B90" s="484" t="str">
        <f ca="1">IF(ROWS($1:77)&gt;COUNT(Dong),"",OFFSET(TH!D$1,SMALL(Dong,ROWS($1:77)),))</f>
        <v>N</v>
      </c>
      <c r="C90" s="484">
        <f ca="1">IF(ROWS($1:77)&gt;COUNT(Dong),"",OFFSET(TH!E$1,SMALL(Dong,ROWS($1:77)),))</f>
        <v>42922</v>
      </c>
      <c r="D90" s="485" t="str">
        <f ca="1">IF(ROWS($1:77)&gt;COUNT(Dong),"",OFFSET(TH!F$1,SMALL(Dong,ROWS($1:77)),))</f>
        <v>Giấy tấm 1000x1760</v>
      </c>
      <c r="E90" s="486" t="str">
        <f ca="1">IF(ROWS($1:77)&gt;COUNT(Dong),"",IF(OFFSET(TH!L$1,SMALL(Dong,ROWS($1:77)),)="331",OFFSET(TH!M$1,SMALL(Dong,ROWS($1:77)),),OFFSET(TH!L$1,SMALL(Dong,ROWS($1:77)),)))</f>
        <v>156</v>
      </c>
      <c r="F90" s="487">
        <f ca="1">IF(ROWS($1:77)&gt;COUNT(Dong),"",IF(OFFSET(TH!L$1,SMALL(Dong,ROWS($1:77)),)="331",OFFSET(TH!K$1,SMALL(Dong,ROWS($1:77)),),0))</f>
        <v>0</v>
      </c>
      <c r="G90" s="487">
        <f ca="1">IF(ROWS($1:77)&gt;COUNT(Dong),"",IF(OFFSET(TH!M$1,SMALL(Dong,ROWS($1:77)),)="331",OFFSET(TH!K$1,SMALL(Dong,ROWS($1:77)),),0))</f>
        <v>7866496</v>
      </c>
      <c r="H90" s="243">
        <f t="shared" ca="1" si="4"/>
        <v>44380701</v>
      </c>
      <c r="I90" s="243">
        <f t="shared" ca="1" si="5"/>
        <v>0</v>
      </c>
    </row>
    <row r="91" spans="1:9" s="3" customFormat="1" ht="20.25" customHeight="1">
      <c r="A91" s="484">
        <f ca="1">IF(ROWS($1:78)&gt;COUNT(Dong),"",OFFSET(TH!C$1,SMALL(Dong,ROWS($1:78)),))</f>
        <v>42922</v>
      </c>
      <c r="B91" s="484" t="str">
        <f ca="1">IF(ROWS($1:78)&gt;COUNT(Dong),"",OFFSET(TH!D$1,SMALL(Dong,ROWS($1:78)),))</f>
        <v>N</v>
      </c>
      <c r="C91" s="484">
        <f ca="1">IF(ROWS($1:78)&gt;COUNT(Dong),"",OFFSET(TH!E$1,SMALL(Dong,ROWS($1:78)),))</f>
        <v>42922</v>
      </c>
      <c r="D91" s="485" t="str">
        <f ca="1">IF(ROWS($1:78)&gt;COUNT(Dong),"",OFFSET(TH!F$1,SMALL(Dong,ROWS($1:78)),))</f>
        <v>Giấy tấm 975x1730</v>
      </c>
      <c r="E91" s="486" t="str">
        <f ca="1">IF(ROWS($1:78)&gt;COUNT(Dong),"",IF(OFFSET(TH!L$1,SMALL(Dong,ROWS($1:78)),)="331",OFFSET(TH!M$1,SMALL(Dong,ROWS($1:78)),),OFFSET(TH!L$1,SMALL(Dong,ROWS($1:78)),)))</f>
        <v>156</v>
      </c>
      <c r="F91" s="487">
        <f ca="1">IF(ROWS($1:78)&gt;COUNT(Dong),"",IF(OFFSET(TH!L$1,SMALL(Dong,ROWS($1:78)),)="331",OFFSET(TH!K$1,SMALL(Dong,ROWS($1:78)),),0))</f>
        <v>0</v>
      </c>
      <c r="G91" s="487">
        <f ca="1">IF(ROWS($1:78)&gt;COUNT(Dong),"",IF(OFFSET(TH!M$1,SMALL(Dong,ROWS($1:78)),)="331",OFFSET(TH!K$1,SMALL(Dong,ROWS($1:78)),),0))</f>
        <v>5706176</v>
      </c>
      <c r="H91" s="243">
        <f t="shared" ca="1" si="4"/>
        <v>38674525</v>
      </c>
      <c r="I91" s="243">
        <f t="shared" ca="1" si="5"/>
        <v>0</v>
      </c>
    </row>
    <row r="92" spans="1:9" s="3" customFormat="1" ht="20.25" customHeight="1">
      <c r="A92" s="484">
        <f ca="1">IF(ROWS($1:79)&gt;COUNT(Dong),"",OFFSET(TH!C$1,SMALL(Dong,ROWS($1:79)),))</f>
        <v>42922</v>
      </c>
      <c r="B92" s="484" t="str">
        <f ca="1">IF(ROWS($1:79)&gt;COUNT(Dong),"",OFFSET(TH!D$1,SMALL(Dong,ROWS($1:79)),))</f>
        <v>N</v>
      </c>
      <c r="C92" s="484">
        <f ca="1">IF(ROWS($1:79)&gt;COUNT(Dong),"",OFFSET(TH!E$1,SMALL(Dong,ROWS($1:79)),))</f>
        <v>42922</v>
      </c>
      <c r="D92" s="485" t="str">
        <f ca="1">IF(ROWS($1:79)&gt;COUNT(Dong),"",OFFSET(TH!F$1,SMALL(Dong,ROWS($1:79)),))</f>
        <v>Giấy tấm 1025x2010</v>
      </c>
      <c r="E92" s="486" t="str">
        <f ca="1">IF(ROWS($1:79)&gt;COUNT(Dong),"",IF(OFFSET(TH!L$1,SMALL(Dong,ROWS($1:79)),)="331",OFFSET(TH!M$1,SMALL(Dong,ROWS($1:79)),),OFFSET(TH!L$1,SMALL(Dong,ROWS($1:79)),)))</f>
        <v>156</v>
      </c>
      <c r="F92" s="487">
        <f ca="1">IF(ROWS($1:79)&gt;COUNT(Dong),"",IF(OFFSET(TH!L$1,SMALL(Dong,ROWS($1:79)),)="331",OFFSET(TH!K$1,SMALL(Dong,ROWS($1:79)),),0))</f>
        <v>0</v>
      </c>
      <c r="G92" s="487">
        <f ca="1">IF(ROWS($1:79)&gt;COUNT(Dong),"",IF(OFFSET(TH!M$1,SMALL(Dong,ROWS($1:79)),)="331",OFFSET(TH!K$1,SMALL(Dong,ROWS($1:79)),),0))</f>
        <v>3609224</v>
      </c>
      <c r="H92" s="243">
        <f t="shared" ca="1" si="4"/>
        <v>35065301</v>
      </c>
      <c r="I92" s="243">
        <f t="shared" ca="1" si="5"/>
        <v>0</v>
      </c>
    </row>
    <row r="93" spans="1:9" s="3" customFormat="1" ht="20.25" customHeight="1">
      <c r="A93" s="484">
        <f ca="1">IF(ROWS($1:80)&gt;COUNT(Dong),"",OFFSET(TH!C$1,SMALL(Dong,ROWS($1:80)),))</f>
        <v>42922</v>
      </c>
      <c r="B93" s="484" t="str">
        <f ca="1">IF(ROWS($1:80)&gt;COUNT(Dong),"",OFFSET(TH!D$1,SMALL(Dong,ROWS($1:80)),))</f>
        <v>N</v>
      </c>
      <c r="C93" s="484">
        <f ca="1">IF(ROWS($1:80)&gt;COUNT(Dong),"",OFFSET(TH!E$1,SMALL(Dong,ROWS($1:80)),))</f>
        <v>42922</v>
      </c>
      <c r="D93" s="485" t="str">
        <f ca="1">IF(ROWS($1:80)&gt;COUNT(Dong),"",OFFSET(TH!F$1,SMALL(Dong,ROWS($1:80)),))</f>
        <v>Giấy tấm 1025x1890</v>
      </c>
      <c r="E93" s="486" t="str">
        <f ca="1">IF(ROWS($1:80)&gt;COUNT(Dong),"",IF(OFFSET(TH!L$1,SMALL(Dong,ROWS($1:80)),)="331",OFFSET(TH!M$1,SMALL(Dong,ROWS($1:80)),),OFFSET(TH!L$1,SMALL(Dong,ROWS($1:80)),)))</f>
        <v>156</v>
      </c>
      <c r="F93" s="487">
        <f ca="1">IF(ROWS($1:80)&gt;COUNT(Dong),"",IF(OFFSET(TH!L$1,SMALL(Dong,ROWS($1:80)),)="331",OFFSET(TH!K$1,SMALL(Dong,ROWS($1:80)),),0))</f>
        <v>0</v>
      </c>
      <c r="G93" s="487">
        <f ca="1">IF(ROWS($1:80)&gt;COUNT(Dong),"",IF(OFFSET(TH!M$1,SMALL(Dong,ROWS($1:80)),)="331",OFFSET(TH!K$1,SMALL(Dong,ROWS($1:80)),),0))</f>
        <v>2925700</v>
      </c>
      <c r="H93" s="243">
        <f t="shared" ca="1" si="4"/>
        <v>32139601</v>
      </c>
      <c r="I93" s="243">
        <f t="shared" ca="1" si="5"/>
        <v>0</v>
      </c>
    </row>
    <row r="94" spans="1:9" s="3" customFormat="1" ht="20.25" customHeight="1">
      <c r="A94" s="484">
        <f ca="1">IF(ROWS($1:81)&gt;COUNT(Dong),"",OFFSET(TH!C$1,SMALL(Dong,ROWS($1:81)),))</f>
        <v>42922</v>
      </c>
      <c r="B94" s="484" t="str">
        <f ca="1">IF(ROWS($1:81)&gt;COUNT(Dong),"",OFFSET(TH!D$1,SMALL(Dong,ROWS($1:81)),))</f>
        <v>N</v>
      </c>
      <c r="C94" s="484">
        <f ca="1">IF(ROWS($1:81)&gt;COUNT(Dong),"",OFFSET(TH!E$1,SMALL(Dong,ROWS($1:81)),))</f>
        <v>42922</v>
      </c>
      <c r="D94" s="485" t="str">
        <f ca="1">IF(ROWS($1:81)&gt;COUNT(Dong),"",OFFSET(TH!F$1,SMALL(Dong,ROWS($1:81)),))</f>
        <v>Giấy tấm 1050x1930</v>
      </c>
      <c r="E94" s="486" t="str">
        <f ca="1">IF(ROWS($1:81)&gt;COUNT(Dong),"",IF(OFFSET(TH!L$1,SMALL(Dong,ROWS($1:81)),)="331",OFFSET(TH!M$1,SMALL(Dong,ROWS($1:81)),),OFFSET(TH!L$1,SMALL(Dong,ROWS($1:81)),)))</f>
        <v>156</v>
      </c>
      <c r="F94" s="487">
        <f ca="1">IF(ROWS($1:81)&gt;COUNT(Dong),"",IF(OFFSET(TH!L$1,SMALL(Dong,ROWS($1:81)),)="331",OFFSET(TH!K$1,SMALL(Dong,ROWS($1:81)),),0))</f>
        <v>0</v>
      </c>
      <c r="G94" s="487">
        <f ca="1">IF(ROWS($1:81)&gt;COUNT(Dong),"",IF(OFFSET(TH!M$1,SMALL(Dong,ROWS($1:81)),)="331",OFFSET(TH!K$1,SMALL(Dong,ROWS($1:81)),),0))</f>
        <v>1836000</v>
      </c>
      <c r="H94" s="243">
        <f t="shared" ca="1" si="4"/>
        <v>30303601</v>
      </c>
      <c r="I94" s="243">
        <f t="shared" ca="1" si="5"/>
        <v>0</v>
      </c>
    </row>
    <row r="95" spans="1:9" s="3" customFormat="1" ht="20.25" customHeight="1">
      <c r="A95" s="484">
        <f ca="1">IF(ROWS($1:82)&gt;COUNT(Dong),"",OFFSET(TH!C$1,SMALL(Dong,ROWS($1:82)),))</f>
        <v>42922</v>
      </c>
      <c r="B95" s="484" t="str">
        <f ca="1">IF(ROWS($1:82)&gt;COUNT(Dong),"",OFFSET(TH!D$1,SMALL(Dong,ROWS($1:82)),))</f>
        <v>N</v>
      </c>
      <c r="C95" s="484">
        <f ca="1">IF(ROWS($1:82)&gt;COUNT(Dong),"",OFFSET(TH!E$1,SMALL(Dong,ROWS($1:82)),))</f>
        <v>42922</v>
      </c>
      <c r="D95" s="485" t="str">
        <f ca="1">IF(ROWS($1:82)&gt;COUNT(Dong),"",OFFSET(TH!F$1,SMALL(Dong,ROWS($1:82)),))</f>
        <v>Giấy tấm 1075x2090</v>
      </c>
      <c r="E95" s="486" t="str">
        <f ca="1">IF(ROWS($1:82)&gt;COUNT(Dong),"",IF(OFFSET(TH!L$1,SMALL(Dong,ROWS($1:82)),)="331",OFFSET(TH!M$1,SMALL(Dong,ROWS($1:82)),),OFFSET(TH!L$1,SMALL(Dong,ROWS($1:82)),)))</f>
        <v>156</v>
      </c>
      <c r="F95" s="487">
        <f ca="1">IF(ROWS($1:82)&gt;COUNT(Dong),"",IF(OFFSET(TH!L$1,SMALL(Dong,ROWS($1:82)),)="331",OFFSET(TH!K$1,SMALL(Dong,ROWS($1:82)),),0))</f>
        <v>0</v>
      </c>
      <c r="G95" s="487">
        <f ca="1">IF(ROWS($1:82)&gt;COUNT(Dong),"",IF(OFFSET(TH!M$1,SMALL(Dong,ROWS($1:82)),)="331",OFFSET(TH!K$1,SMALL(Dong,ROWS($1:82)),),0))</f>
        <v>3393000</v>
      </c>
      <c r="H95" s="243">
        <f t="shared" ca="1" si="4"/>
        <v>26910601</v>
      </c>
      <c r="I95" s="243">
        <f t="shared" ca="1" si="5"/>
        <v>0</v>
      </c>
    </row>
    <row r="96" spans="1:9" s="3" customFormat="1" ht="20.25" customHeight="1">
      <c r="A96" s="483"/>
      <c r="B96" s="405"/>
      <c r="C96" s="488"/>
      <c r="D96" s="482" t="s">
        <v>32</v>
      </c>
      <c r="E96" s="405" t="s">
        <v>19</v>
      </c>
      <c r="F96" s="313">
        <f ca="1">SUM(F14:F95)</f>
        <v>132704149</v>
      </c>
      <c r="G96" s="313">
        <f ca="1">SUM(G14:G95)</f>
        <v>105793548</v>
      </c>
      <c r="H96" s="313" t="s">
        <v>19</v>
      </c>
      <c r="I96" s="313" t="s">
        <v>19</v>
      </c>
    </row>
    <row r="97" spans="1:9" s="3" customFormat="1" ht="20.25" customHeight="1">
      <c r="A97" s="483"/>
      <c r="B97" s="405"/>
      <c r="C97" s="405"/>
      <c r="D97" s="482" t="s">
        <v>10</v>
      </c>
      <c r="E97" s="405" t="s">
        <v>19</v>
      </c>
      <c r="F97" s="313" t="s">
        <v>19</v>
      </c>
      <c r="G97" s="313" t="s">
        <v>19</v>
      </c>
      <c r="H97" s="313">
        <f ca="1">MAX(H13+F96-G96-I13,0)</f>
        <v>26910601</v>
      </c>
      <c r="I97" s="313">
        <f ca="1">MAX(I13+G96-F96-H13,0)</f>
        <v>0</v>
      </c>
    </row>
    <row r="98" spans="1:9" s="3" customFormat="1" ht="6" customHeight="1">
      <c r="B98" s="223"/>
      <c r="C98" s="223"/>
      <c r="E98" s="223"/>
    </row>
    <row r="99" spans="1:9" s="3" customFormat="1" ht="14.25" customHeight="1">
      <c r="A99" s="489" t="s">
        <v>150</v>
      </c>
      <c r="B99" s="223"/>
      <c r="C99" s="223"/>
      <c r="E99" s="223"/>
    </row>
    <row r="100" spans="1:9" s="3" customFormat="1" ht="14.25" customHeight="1">
      <c r="A100" s="489" t="str">
        <f ca="1">"- Ngày mở sổ: "&amp;DAY($A$14)&amp;"/"&amp;MONTH($A$14)&amp;"/ " &amp;YEAR($A$14)</f>
        <v>- Ngày mở sổ: 12/1/ 2017</v>
      </c>
      <c r="B100" s="223"/>
      <c r="C100" s="223"/>
      <c r="E100" s="223"/>
    </row>
    <row r="101" spans="1:9" s="3" customFormat="1" ht="14.25" customHeight="1">
      <c r="B101" s="223"/>
      <c r="C101" s="223"/>
      <c r="E101" s="871" t="str">
        <f ca="1">"Ngày 31 tháng  12  năm  "&amp;YEAR($A$14)</f>
        <v>Ngày 31 tháng  12  năm  2017</v>
      </c>
      <c r="F101" s="871"/>
      <c r="G101" s="871"/>
      <c r="H101" s="871"/>
      <c r="I101" s="871"/>
    </row>
    <row r="102" spans="1:9" s="3" customFormat="1" ht="14.25" customHeight="1">
      <c r="C102" s="223" t="s">
        <v>11</v>
      </c>
      <c r="E102" s="871" t="s">
        <v>12</v>
      </c>
      <c r="F102" s="871"/>
      <c r="G102" s="871"/>
      <c r="H102" s="871"/>
      <c r="I102" s="871"/>
    </row>
    <row r="103" spans="1:9" s="3" customFormat="1" ht="14.25" customHeight="1">
      <c r="C103" s="223" t="s">
        <v>13</v>
      </c>
      <c r="E103" s="871" t="s">
        <v>13</v>
      </c>
      <c r="F103" s="871"/>
      <c r="G103" s="871"/>
      <c r="H103" s="871"/>
      <c r="I103" s="871"/>
    </row>
  </sheetData>
  <autoFilter ref="A12:I21"/>
  <mergeCells count="15">
    <mergeCell ref="A2:F3"/>
    <mergeCell ref="E102:I102"/>
    <mergeCell ref="E103:I103"/>
    <mergeCell ref="A10:A11"/>
    <mergeCell ref="G1:I1"/>
    <mergeCell ref="G2:I3"/>
    <mergeCell ref="E101:I101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21"/>
  <sheetViews>
    <sheetView showZeros="0" workbookViewId="0">
      <selection activeCell="B8" sqref="B8"/>
    </sheetView>
  </sheetViews>
  <sheetFormatPr defaultColWidth="8" defaultRowHeight="13.5"/>
  <cols>
    <col min="1" max="1" width="4.28515625" style="617" customWidth="1"/>
    <col min="2" max="2" width="44.5703125" style="617" customWidth="1"/>
    <col min="3" max="3" width="8.7109375" style="617" customWidth="1"/>
    <col min="4" max="4" width="9.42578125" style="617" customWidth="1"/>
    <col min="5" max="5" width="13.7109375" style="617" customWidth="1"/>
    <col min="6" max="6" width="14.5703125" style="617" customWidth="1"/>
    <col min="7" max="7" width="13.7109375" style="617" customWidth="1"/>
    <col min="8" max="8" width="12.140625" style="617" customWidth="1"/>
    <col min="9" max="9" width="14" style="617" customWidth="1"/>
    <col min="10" max="10" width="12" style="827" bestFit="1" customWidth="1"/>
    <col min="11" max="16384" width="8" style="617"/>
  </cols>
  <sheetData>
    <row r="1" spans="1:10" ht="21.75" customHeight="1">
      <c r="A1" s="919" t="s">
        <v>812</v>
      </c>
      <c r="B1" s="919"/>
      <c r="C1" s="919"/>
      <c r="D1" s="919"/>
      <c r="E1" s="919"/>
      <c r="F1" s="919"/>
      <c r="G1" s="919"/>
      <c r="H1" s="919"/>
      <c r="I1" s="919"/>
    </row>
    <row r="2" spans="1:10" s="618" customFormat="1" ht="15.75" customHeight="1">
      <c r="A2" s="920" t="s">
        <v>33</v>
      </c>
      <c r="B2" s="921" t="s">
        <v>813</v>
      </c>
      <c r="C2" s="921" t="s">
        <v>814</v>
      </c>
      <c r="D2" s="921" t="s">
        <v>35</v>
      </c>
      <c r="E2" s="921"/>
      <c r="F2" s="921" t="s">
        <v>36</v>
      </c>
      <c r="G2" s="921"/>
      <c r="H2" s="922" t="s">
        <v>255</v>
      </c>
      <c r="I2" s="923"/>
      <c r="J2" s="828"/>
    </row>
    <row r="3" spans="1:10" s="618" customFormat="1" ht="15.75" customHeight="1">
      <c r="A3" s="920"/>
      <c r="B3" s="921"/>
      <c r="C3" s="921"/>
      <c r="D3" s="619" t="s">
        <v>40</v>
      </c>
      <c r="E3" s="619" t="s">
        <v>41</v>
      </c>
      <c r="F3" s="619" t="s">
        <v>40</v>
      </c>
      <c r="G3" s="619" t="s">
        <v>41</v>
      </c>
      <c r="H3" s="619" t="s">
        <v>40</v>
      </c>
      <c r="I3" s="619" t="s">
        <v>41</v>
      </c>
      <c r="J3" s="828"/>
    </row>
    <row r="4" spans="1:10" s="618" customFormat="1" ht="18" customHeight="1">
      <c r="A4" s="620">
        <f t="shared" ref="A4:A17" si="0">IF(B4&lt;&gt;"",ROW()-3,"")</f>
        <v>1</v>
      </c>
      <c r="B4" s="621" t="s">
        <v>830</v>
      </c>
      <c r="C4" s="583">
        <v>42499</v>
      </c>
      <c r="D4" s="623"/>
      <c r="E4" s="623">
        <v>160060000</v>
      </c>
      <c r="F4" s="623">
        <f t="array" ref="F4">SUM(IF("341"&amp;B4=LEFT(KHN,3)&amp;KH,TH))</f>
        <v>84780000</v>
      </c>
      <c r="G4" s="623">
        <f t="array" ref="G4">SUM(IF("341"&amp;B4=LEFT(KHC,3)&amp;KH,TH))</f>
        <v>0</v>
      </c>
      <c r="H4" s="624">
        <f t="shared" ref="H4:H18" si="1">ROUND(MAX(D4+F4-E4-G4,0),2)</f>
        <v>0</v>
      </c>
      <c r="I4" s="624">
        <f t="shared" ref="I4:I18" si="2">ROUND(MAX(E4+G4-D4-F4,0),2)</f>
        <v>75280000</v>
      </c>
      <c r="J4" s="828"/>
    </row>
    <row r="5" spans="1:10" s="618" customFormat="1" ht="18" customHeight="1">
      <c r="A5" s="620">
        <f t="shared" ref="A5:A12" si="3">IF(B5&lt;&gt;"",ROW()-3,"")</f>
        <v>2</v>
      </c>
      <c r="B5" s="621" t="s">
        <v>1271</v>
      </c>
      <c r="C5" s="584">
        <v>42794</v>
      </c>
      <c r="D5" s="622"/>
      <c r="E5" s="622"/>
      <c r="F5" s="623">
        <f t="array" ref="F5">SUM(IF("341"&amp;B5=LEFT(KHN,3)&amp;KH,TH))</f>
        <v>155190000</v>
      </c>
      <c r="G5" s="623">
        <f t="array" ref="G5">SUM(IF("341"&amp;B5=LEFT(KHC,3)&amp;KH,TH))</f>
        <v>266000000</v>
      </c>
      <c r="H5" s="624">
        <f t="shared" ref="H5:H12" si="4">ROUND(MAX(D5+F5-E5-G5,0),2)</f>
        <v>0</v>
      </c>
      <c r="I5" s="624">
        <f t="shared" ref="I5:I12" si="5">ROUND(MAX(E5+G5-D5-F5,0),2)</f>
        <v>110810000</v>
      </c>
      <c r="J5" s="828">
        <f>G5/12</f>
        <v>22166666.666666668</v>
      </c>
    </row>
    <row r="6" spans="1:10" s="618" customFormat="1" ht="18" customHeight="1">
      <c r="A6" s="620">
        <f t="shared" si="3"/>
        <v>3</v>
      </c>
      <c r="B6" s="621" t="s">
        <v>1272</v>
      </c>
      <c r="C6" s="584">
        <v>42795</v>
      </c>
      <c r="D6" s="623"/>
      <c r="E6" s="623"/>
      <c r="F6" s="623">
        <f t="array" ref="F6">SUM(IF("341"&amp;B6=LEFT(KHN,3)&amp;KH,TH))</f>
        <v>77980000</v>
      </c>
      <c r="G6" s="623">
        <f t="array" ref="G6">SUM(IF("341"&amp;B6=LEFT(KHC,3)&amp;KH,TH))</f>
        <v>133700000</v>
      </c>
      <c r="H6" s="624">
        <f t="shared" si="4"/>
        <v>0</v>
      </c>
      <c r="I6" s="624">
        <f t="shared" si="5"/>
        <v>55720000</v>
      </c>
      <c r="J6" s="828">
        <f t="shared" ref="J6:J15" si="6">G6/12</f>
        <v>11141666.666666666</v>
      </c>
    </row>
    <row r="7" spans="1:10" s="618" customFormat="1" ht="18" customHeight="1">
      <c r="A7" s="620">
        <f t="shared" si="3"/>
        <v>4</v>
      </c>
      <c r="B7" s="621" t="s">
        <v>1273</v>
      </c>
      <c r="C7" s="625">
        <v>42814</v>
      </c>
      <c r="D7" s="623"/>
      <c r="E7" s="623"/>
      <c r="F7" s="623">
        <f t="array" ref="F7">SUM(IF("341"&amp;B7=LEFT(KHN,3)&amp;KH,TH))</f>
        <v>58980000</v>
      </c>
      <c r="G7" s="623">
        <f t="array" ref="G7">SUM(IF("341"&amp;B7=LEFT(KHC,3)&amp;KH,TH))</f>
        <v>118000000</v>
      </c>
      <c r="H7" s="624">
        <f t="shared" si="4"/>
        <v>0</v>
      </c>
      <c r="I7" s="624">
        <f t="shared" si="5"/>
        <v>59020000</v>
      </c>
      <c r="J7" s="828">
        <f t="shared" si="6"/>
        <v>9833333.333333334</v>
      </c>
    </row>
    <row r="8" spans="1:10" s="618" customFormat="1" ht="18" customHeight="1">
      <c r="A8" s="620">
        <f t="shared" si="3"/>
        <v>5</v>
      </c>
      <c r="B8" s="621" t="s">
        <v>1274</v>
      </c>
      <c r="C8" s="625">
        <v>42823</v>
      </c>
      <c r="D8" s="623"/>
      <c r="E8" s="623"/>
      <c r="F8" s="623">
        <f t="array" ref="F8">SUM(IF("341"&amp;B8=LEFT(KHN,3)&amp;KH,TH))</f>
        <v>65520000</v>
      </c>
      <c r="G8" s="623">
        <f t="array" ref="G8">SUM(IF("341"&amp;B8=LEFT(KHC,3)&amp;KH,TH))</f>
        <v>131000000</v>
      </c>
      <c r="H8" s="624">
        <f t="shared" si="4"/>
        <v>0</v>
      </c>
      <c r="I8" s="624">
        <f t="shared" si="5"/>
        <v>65480000</v>
      </c>
      <c r="J8" s="828">
        <f t="shared" si="6"/>
        <v>10916666.666666666</v>
      </c>
    </row>
    <row r="9" spans="1:10" s="618" customFormat="1" ht="18" customHeight="1">
      <c r="A9" s="620">
        <f t="shared" si="3"/>
        <v>6</v>
      </c>
      <c r="B9" s="621" t="s">
        <v>1275</v>
      </c>
      <c r="C9" s="732">
        <v>42842</v>
      </c>
      <c r="D9" s="623"/>
      <c r="E9" s="623"/>
      <c r="F9" s="623">
        <f t="array" ref="F9">SUM(IF("341"&amp;B9=LEFT(KHN,3)&amp;KH,TH))</f>
        <v>62500000</v>
      </c>
      <c r="G9" s="623">
        <f t="array" ref="G9">SUM(IF("341"&amp;B9=LEFT(KHC,3)&amp;KH,TH))</f>
        <v>150000000</v>
      </c>
      <c r="H9" s="624">
        <f t="shared" si="4"/>
        <v>0</v>
      </c>
      <c r="I9" s="624">
        <f t="shared" si="5"/>
        <v>87500000</v>
      </c>
      <c r="J9" s="828">
        <f t="shared" si="6"/>
        <v>12500000</v>
      </c>
    </row>
    <row r="10" spans="1:10" s="618" customFormat="1" ht="18" customHeight="1">
      <c r="A10" s="620">
        <f t="shared" si="3"/>
        <v>7</v>
      </c>
      <c r="B10" s="621" t="s">
        <v>1276</v>
      </c>
      <c r="C10" s="626">
        <v>42852</v>
      </c>
      <c r="D10" s="623"/>
      <c r="E10" s="623"/>
      <c r="F10" s="623">
        <f t="array" ref="F10">SUM(IF("341"&amp;B10=LEFT(KHN,3)&amp;KH,TH))</f>
        <v>57750000</v>
      </c>
      <c r="G10" s="623">
        <f t="array" ref="G10">SUM(IF("341"&amp;B10=LEFT(KHC,3)&amp;KH,TH))</f>
        <v>138500000</v>
      </c>
      <c r="H10" s="624">
        <f t="shared" si="4"/>
        <v>0</v>
      </c>
      <c r="I10" s="624">
        <f t="shared" si="5"/>
        <v>80750000</v>
      </c>
      <c r="J10" s="828">
        <f t="shared" si="6"/>
        <v>11541666.666666666</v>
      </c>
    </row>
    <row r="11" spans="1:10" s="618" customFormat="1" ht="18" customHeight="1">
      <c r="A11" s="620">
        <f t="shared" si="3"/>
        <v>8</v>
      </c>
      <c r="B11" s="621" t="s">
        <v>1283</v>
      </c>
      <c r="C11" s="626">
        <v>42878</v>
      </c>
      <c r="D11" s="623"/>
      <c r="E11" s="623"/>
      <c r="F11" s="623">
        <f t="array" ref="F11">SUM(IF("341"&amp;B11=LEFT(KHN,3)&amp;KH,TH))</f>
        <v>26000000</v>
      </c>
      <c r="G11" s="623">
        <f t="array" ref="G11">SUM(IF("341"&amp;B11=LEFT(KHC,3)&amp;KH,TH))</f>
        <v>78000000</v>
      </c>
      <c r="H11" s="624">
        <f t="shared" si="4"/>
        <v>0</v>
      </c>
      <c r="I11" s="624">
        <f t="shared" si="5"/>
        <v>52000000</v>
      </c>
      <c r="J11" s="828">
        <f t="shared" si="6"/>
        <v>6500000</v>
      </c>
    </row>
    <row r="12" spans="1:10" s="618" customFormat="1" ht="18" customHeight="1">
      <c r="A12" s="620">
        <f t="shared" si="3"/>
        <v>9</v>
      </c>
      <c r="B12" s="621" t="s">
        <v>1266</v>
      </c>
      <c r="C12" s="626">
        <v>42908</v>
      </c>
      <c r="D12" s="623"/>
      <c r="E12" s="623"/>
      <c r="F12" s="623">
        <f t="array" ref="F12">SUM(IF("341"&amp;B12=LEFT(KHN,3)&amp;KH,TH))</f>
        <v>21000000</v>
      </c>
      <c r="G12" s="623">
        <f t="array" ref="G12">SUM(IF("341"&amp;B12=LEFT(KHC,3)&amp;KH,TH))</f>
        <v>84000000</v>
      </c>
      <c r="H12" s="624">
        <f t="shared" si="4"/>
        <v>0</v>
      </c>
      <c r="I12" s="624">
        <f t="shared" si="5"/>
        <v>63000000</v>
      </c>
      <c r="J12" s="828">
        <f t="shared" si="6"/>
        <v>7000000</v>
      </c>
    </row>
    <row r="13" spans="1:10" s="618" customFormat="1" ht="18" customHeight="1">
      <c r="A13" s="620">
        <f t="shared" si="0"/>
        <v>10</v>
      </c>
      <c r="B13" s="621" t="s">
        <v>1500</v>
      </c>
      <c r="C13" s="626">
        <v>42942</v>
      </c>
      <c r="D13" s="623"/>
      <c r="E13" s="623"/>
      <c r="F13" s="623">
        <f t="array" ref="F13">SUM(IF("341"&amp;B13=LEFT(KHN,3)&amp;KH,TH))</f>
        <v>15420000</v>
      </c>
      <c r="G13" s="623">
        <f t="array" ref="G13">SUM(IF("341"&amp;B13=LEFT(KHC,3)&amp;KH,TH))</f>
        <v>92500000</v>
      </c>
      <c r="H13" s="624">
        <f t="shared" si="1"/>
        <v>0</v>
      </c>
      <c r="I13" s="624">
        <f t="shared" si="2"/>
        <v>77080000</v>
      </c>
      <c r="J13" s="828">
        <f t="shared" si="6"/>
        <v>7708333.333333333</v>
      </c>
    </row>
    <row r="14" spans="1:10" s="618" customFormat="1" ht="18" customHeight="1">
      <c r="A14" s="620">
        <f t="shared" si="0"/>
        <v>11</v>
      </c>
      <c r="B14" s="621" t="s">
        <v>1723</v>
      </c>
      <c r="C14" s="626">
        <v>42975</v>
      </c>
      <c r="D14" s="623"/>
      <c r="E14" s="623"/>
      <c r="F14" s="623">
        <f t="array" ref="F14">SUM(IF("341"&amp;B14=LEFT(KHN,3)&amp;KH,TH))</f>
        <v>8275000</v>
      </c>
      <c r="G14" s="623">
        <f t="array" ref="G14">SUM(IF("341"&amp;B14=LEFT(KHC,3)&amp;KH,TH))</f>
        <v>99300000</v>
      </c>
      <c r="H14" s="624">
        <f t="shared" si="1"/>
        <v>0</v>
      </c>
      <c r="I14" s="624">
        <f t="shared" si="2"/>
        <v>91025000</v>
      </c>
      <c r="J14" s="828">
        <f t="shared" si="6"/>
        <v>8275000</v>
      </c>
    </row>
    <row r="15" spans="1:10" s="618" customFormat="1" ht="18" customHeight="1">
      <c r="A15" s="620">
        <f t="shared" si="0"/>
        <v>12</v>
      </c>
      <c r="B15" s="621" t="s">
        <v>1724</v>
      </c>
      <c r="C15" s="626">
        <v>42999</v>
      </c>
      <c r="D15" s="623"/>
      <c r="E15" s="623"/>
      <c r="F15" s="623">
        <f t="array" ref="F15">SUM(IF("341"&amp;B15=LEFT(KHN,3)&amp;KH,TH))</f>
        <v>0</v>
      </c>
      <c r="G15" s="623">
        <f t="array" ref="G15">SUM(IF("341"&amp;B15=LEFT(KHC,3)&amp;KH,TH))</f>
        <v>107600000</v>
      </c>
      <c r="H15" s="624">
        <f t="shared" si="1"/>
        <v>0</v>
      </c>
      <c r="I15" s="624">
        <f t="shared" si="2"/>
        <v>107600000</v>
      </c>
      <c r="J15" s="828">
        <f t="shared" si="6"/>
        <v>8966666.666666666</v>
      </c>
    </row>
    <row r="16" spans="1:10" s="618" customFormat="1" ht="18" customHeight="1">
      <c r="A16" s="620" t="str">
        <f t="shared" si="0"/>
        <v/>
      </c>
      <c r="B16" s="621"/>
      <c r="C16" s="626"/>
      <c r="D16" s="623"/>
      <c r="E16" s="623"/>
      <c r="F16" s="623">
        <f t="array" ref="F16">SUM(IF("341"&amp;B16=LEFT(KHN,3)&amp;KH,TH))</f>
        <v>0</v>
      </c>
      <c r="G16" s="623">
        <f t="array" ref="G16">SUM(IF("341"&amp;B16=LEFT(KHC,3)&amp;KH,TH))</f>
        <v>0</v>
      </c>
      <c r="H16" s="624">
        <f t="shared" si="1"/>
        <v>0</v>
      </c>
      <c r="I16" s="624">
        <f t="shared" si="2"/>
        <v>0</v>
      </c>
      <c r="J16" s="828"/>
    </row>
    <row r="17" spans="1:10" s="618" customFormat="1" ht="18" customHeight="1">
      <c r="A17" s="620" t="str">
        <f t="shared" si="0"/>
        <v/>
      </c>
      <c r="B17" s="621"/>
      <c r="C17" s="626"/>
      <c r="D17" s="623"/>
      <c r="E17" s="623"/>
      <c r="F17" s="623">
        <f t="array" ref="F17">SUM(IF("341"&amp;B17=LEFT(KHN,3)&amp;KH,TH))</f>
        <v>0</v>
      </c>
      <c r="G17" s="623">
        <f t="array" ref="G17">SUM(IF("341"&amp;B17=LEFT(KHC,3)&amp;KH,TH))</f>
        <v>0</v>
      </c>
      <c r="H17" s="624">
        <f t="shared" si="1"/>
        <v>0</v>
      </c>
      <c r="I17" s="624">
        <f t="shared" si="2"/>
        <v>0</v>
      </c>
      <c r="J17" s="828"/>
    </row>
    <row r="18" spans="1:10" s="618" customFormat="1" ht="18" customHeight="1">
      <c r="A18" s="620" t="str">
        <f>IF(B18&lt;&gt;"",ROW()-3,"")</f>
        <v/>
      </c>
      <c r="B18" s="621"/>
      <c r="C18" s="626"/>
      <c r="D18" s="623"/>
      <c r="E18" s="623"/>
      <c r="F18" s="623">
        <f t="array" ref="F18">SUM(IF("341"&amp;B18=LEFT(KHN,3)&amp;KH,TH))</f>
        <v>0</v>
      </c>
      <c r="G18" s="623">
        <f t="array" ref="G18">SUM(IF("341"&amp;B18=LEFT(KHC,3)&amp;KH,TH))</f>
        <v>0</v>
      </c>
      <c r="H18" s="624">
        <f t="shared" si="1"/>
        <v>0</v>
      </c>
      <c r="I18" s="624">
        <f t="shared" si="2"/>
        <v>0</v>
      </c>
      <c r="J18" s="828"/>
    </row>
    <row r="19" spans="1:10" s="630" customFormat="1" ht="18" customHeight="1">
      <c r="A19" s="627"/>
      <c r="B19" s="628" t="s">
        <v>37</v>
      </c>
      <c r="C19" s="628"/>
      <c r="D19" s="629">
        <f>SUM(D4:D18)</f>
        <v>0</v>
      </c>
      <c r="E19" s="629">
        <f t="shared" ref="E19:I19" si="7">SUM(E4:E18)</f>
        <v>160060000</v>
      </c>
      <c r="F19" s="629">
        <f t="shared" si="7"/>
        <v>633395000</v>
      </c>
      <c r="G19" s="629">
        <f t="shared" si="7"/>
        <v>1398600000</v>
      </c>
      <c r="H19" s="629">
        <f t="shared" si="7"/>
        <v>0</v>
      </c>
      <c r="I19" s="629">
        <f t="shared" si="7"/>
        <v>925265000</v>
      </c>
      <c r="J19" s="829"/>
    </row>
    <row r="20" spans="1:10">
      <c r="I20" s="631"/>
    </row>
    <row r="21" spans="1:10">
      <c r="B21" s="617">
        <v>1</v>
      </c>
      <c r="C21" s="617">
        <v>2</v>
      </c>
      <c r="D21" s="617">
        <v>3</v>
      </c>
      <c r="E21" s="617">
        <v>4</v>
      </c>
      <c r="F21" s="617">
        <v>5</v>
      </c>
      <c r="G21" s="617">
        <v>6</v>
      </c>
      <c r="H21" s="617">
        <v>7</v>
      </c>
      <c r="I21" s="617">
        <v>8</v>
      </c>
    </row>
  </sheetData>
  <sortState ref="A5:J12">
    <sortCondition ref="C5:C12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17" sqref="C17"/>
      <selection pane="bottomLeft" activeCell="E9" sqref="E9:G9"/>
    </sheetView>
  </sheetViews>
  <sheetFormatPr defaultRowHeight="12.75"/>
  <cols>
    <col min="1" max="1" width="8.42578125" style="670" customWidth="1"/>
    <col min="2" max="2" width="8.28515625" style="670" customWidth="1"/>
    <col min="3" max="3" width="9.28515625" style="670" customWidth="1"/>
    <col min="4" max="4" width="37.28515625" style="670" customWidth="1"/>
    <col min="5" max="5" width="10.140625" style="670" customWidth="1"/>
    <col min="6" max="6" width="14.7109375" style="670" customWidth="1"/>
    <col min="7" max="9" width="15" style="670" customWidth="1"/>
    <col min="10" max="16384" width="9.140625" style="670"/>
  </cols>
  <sheetData>
    <row r="1" spans="1:9" s="634" customFormat="1" ht="16.5" customHeight="1">
      <c r="A1" s="632" t="str">
        <f>[4]TH!A1</f>
        <v>Đơn vị: CÔNG TY TNHH SX TM KIM DUNG PHÁT</v>
      </c>
      <c r="B1" s="633"/>
      <c r="C1" s="633"/>
      <c r="F1" s="633"/>
      <c r="G1" s="933" t="s">
        <v>815</v>
      </c>
      <c r="H1" s="933"/>
      <c r="I1" s="933"/>
    </row>
    <row r="2" spans="1:9" s="634" customFormat="1" ht="16.5" customHeight="1">
      <c r="A2" s="635" t="str">
        <f>[4]TH!A2</f>
        <v>Địa chỉ: 1A227/1 Ấp 1, Phạm Văn Hai, Bình Chánh, TPHCM</v>
      </c>
      <c r="B2" s="636"/>
      <c r="C2" s="636"/>
      <c r="F2" s="637"/>
      <c r="G2" s="934" t="s">
        <v>816</v>
      </c>
      <c r="H2" s="934"/>
      <c r="I2" s="934"/>
    </row>
    <row r="3" spans="1:9" s="634" customFormat="1" ht="16.5" customHeight="1">
      <c r="A3" s="636"/>
      <c r="B3" s="636"/>
      <c r="C3" s="636"/>
      <c r="F3" s="637"/>
      <c r="G3" s="934"/>
      <c r="H3" s="934"/>
      <c r="I3" s="934"/>
    </row>
    <row r="4" spans="1:9" s="634" customFormat="1" ht="16.5" customHeight="1">
      <c r="A4" s="636"/>
      <c r="B4" s="636"/>
      <c r="C4" s="636"/>
      <c r="F4" s="637"/>
      <c r="G4" s="638"/>
      <c r="H4" s="638"/>
      <c r="I4" s="638"/>
    </row>
    <row r="5" spans="1:9" s="639" customFormat="1" ht="23.25" customHeight="1">
      <c r="A5" s="935" t="s">
        <v>817</v>
      </c>
      <c r="B5" s="935"/>
      <c r="C5" s="935"/>
      <c r="D5" s="935"/>
      <c r="E5" s="935"/>
      <c r="F5" s="935"/>
      <c r="G5" s="935"/>
      <c r="H5" s="935"/>
      <c r="I5" s="935"/>
    </row>
    <row r="6" spans="1:9" s="639" customFormat="1">
      <c r="A6" s="924" t="s">
        <v>818</v>
      </c>
      <c r="B6" s="924"/>
      <c r="C6" s="924"/>
      <c r="D6" s="924"/>
      <c r="E6" s="924"/>
      <c r="F6" s="924"/>
      <c r="G6" s="924"/>
      <c r="H6" s="924"/>
      <c r="I6" s="924"/>
    </row>
    <row r="7" spans="1:9" s="639" customFormat="1">
      <c r="A7" s="924" t="s">
        <v>819</v>
      </c>
      <c r="B7" s="924"/>
      <c r="C7" s="924"/>
      <c r="D7" s="924"/>
      <c r="E7" s="924"/>
      <c r="F7" s="924"/>
      <c r="G7" s="924"/>
      <c r="H7" s="924"/>
      <c r="I7" s="924"/>
    </row>
    <row r="8" spans="1:9" s="639" customFormat="1" ht="15" customHeight="1">
      <c r="A8" s="924" t="str">
        <f>IF(MID($E$9,4,4)="1015","Đối tượng cho vay: NH Eximbank CN Q11","Đối tượng cho vay: NH Eximbank CN Q4")</f>
        <v>Đối tượng cho vay: NH Eximbank CN Q4</v>
      </c>
      <c r="B8" s="924"/>
      <c r="C8" s="924"/>
      <c r="D8" s="924"/>
      <c r="E8" s="924"/>
      <c r="F8" s="924"/>
      <c r="G8" s="924"/>
      <c r="H8" s="924"/>
      <c r="I8" s="924"/>
    </row>
    <row r="9" spans="1:9" s="639" customFormat="1">
      <c r="A9" s="640"/>
      <c r="B9" s="640"/>
      <c r="C9" s="640"/>
      <c r="D9" s="641" t="s">
        <v>820</v>
      </c>
      <c r="E9" s="932" t="s">
        <v>1271</v>
      </c>
      <c r="F9" s="932"/>
      <c r="G9" s="932"/>
      <c r="H9" s="640" t="str">
        <f>"ngày "&amp; TEXT(VLOOKUP($E$9,'341'!$B$4:$I$18,2,0),"dd/MM/yy")</f>
        <v>ngày 28/02/17</v>
      </c>
      <c r="I9" s="640"/>
    </row>
    <row r="10" spans="1:9" s="639" customFormat="1">
      <c r="A10" s="924" t="s">
        <v>821</v>
      </c>
      <c r="B10" s="924"/>
      <c r="C10" s="924"/>
      <c r="D10" s="924"/>
      <c r="E10" s="924"/>
      <c r="F10" s="924"/>
      <c r="G10" s="924"/>
      <c r="H10" s="924"/>
      <c r="I10" s="924"/>
    </row>
    <row r="11" spans="1:9" s="639" customFormat="1">
      <c r="C11" s="925"/>
      <c r="D11" s="925"/>
      <c r="E11" s="925"/>
      <c r="F11" s="925"/>
      <c r="G11" s="925"/>
      <c r="H11" s="925"/>
      <c r="I11" s="925"/>
    </row>
    <row r="12" spans="1:9" s="639" customFormat="1" ht="15.75" customHeight="1">
      <c r="A12" s="926" t="s">
        <v>20</v>
      </c>
      <c r="B12" s="928" t="s">
        <v>1</v>
      </c>
      <c r="C12" s="929"/>
      <c r="D12" s="926" t="s">
        <v>0</v>
      </c>
      <c r="E12" s="926" t="s">
        <v>14</v>
      </c>
      <c r="F12" s="930" t="s">
        <v>822</v>
      </c>
      <c r="G12" s="931"/>
      <c r="H12" s="930" t="s">
        <v>823</v>
      </c>
      <c r="I12" s="931"/>
    </row>
    <row r="13" spans="1:9" s="639" customFormat="1" ht="33.75" customHeight="1">
      <c r="A13" s="927"/>
      <c r="B13" s="642" t="s">
        <v>15</v>
      </c>
      <c r="C13" s="642" t="s">
        <v>31</v>
      </c>
      <c r="D13" s="927"/>
      <c r="E13" s="927"/>
      <c r="F13" s="643" t="s">
        <v>22</v>
      </c>
      <c r="G13" s="643" t="s">
        <v>23</v>
      </c>
      <c r="H13" s="643" t="s">
        <v>22</v>
      </c>
      <c r="I13" s="643" t="s">
        <v>23</v>
      </c>
    </row>
    <row r="14" spans="1:9" s="640" customFormat="1">
      <c r="A14" s="644" t="s">
        <v>2</v>
      </c>
      <c r="B14" s="645" t="s">
        <v>3</v>
      </c>
      <c r="C14" s="644" t="s">
        <v>4</v>
      </c>
      <c r="D14" s="644" t="s">
        <v>5</v>
      </c>
      <c r="E14" s="644" t="s">
        <v>6</v>
      </c>
      <c r="F14" s="644">
        <v>3</v>
      </c>
      <c r="G14" s="644">
        <v>5</v>
      </c>
      <c r="H14" s="644">
        <v>7</v>
      </c>
      <c r="I14" s="644">
        <v>9</v>
      </c>
    </row>
    <row r="15" spans="1:9" s="639" customFormat="1" ht="19.5" customHeight="1">
      <c r="A15" s="646"/>
      <c r="B15" s="646"/>
      <c r="C15" s="646"/>
      <c r="D15" s="647" t="s">
        <v>7</v>
      </c>
      <c r="E15" s="648"/>
      <c r="F15" s="646"/>
      <c r="G15" s="646"/>
      <c r="H15" s="649">
        <f>VLOOKUP($E$9,'341'!$B$4:$I$18,3,0)</f>
        <v>0</v>
      </c>
      <c r="I15" s="649">
        <f>VLOOKUP($E$9,'341'!$B$4:$I$18,4,0)</f>
        <v>0</v>
      </c>
    </row>
    <row r="16" spans="1:9" s="639" customFormat="1" ht="19.5" customHeight="1">
      <c r="A16" s="650">
        <f ca="1">IF(ROWS($1:1)&gt;COUNT(Dong4),"",OFFSET(TH!C$1,SMALL(Dong4,ROWS($1:1)),))</f>
        <v>42794</v>
      </c>
      <c r="B16" s="625" t="str">
        <f ca="1">IF(ROWS($1:1)&gt;COUNT(Dong4),"",OFFSET(TH!D$1,SMALL(Dong4,ROWS($1:1)),))</f>
        <v>GBC</v>
      </c>
      <c r="C16" s="625">
        <f ca="1">IF(ROWS($1:1)&gt;COUNT(Dong4),"",OFFSET(TH!E$1,SMALL(Dong4,ROWS($1:1)),))</f>
        <v>42794</v>
      </c>
      <c r="D16" s="651" t="str">
        <f ca="1">IF(ROWS($1:1)&gt;COUNT(Dong4),"",OFFSET(TH!F$1,SMALL(Dong4,ROWS($1:1)),))</f>
        <v>Vay ngân hàng</v>
      </c>
      <c r="E16" s="625" t="str">
        <f ca="1">IF(ROWS($1:1)&gt;COUNT(Dong4),"",IF(LEFT(OFFSET(TH!M$1,SMALL(Dong4,ROWS($1:1)),),3)="341",OFFSET(TH!L$1,SMALL(Dong4,ROWS($1:1)),),OFFSET(TH!M$1,SMALL(Dong4,ROWS($1:1)),)))</f>
        <v>1121</v>
      </c>
      <c r="F16" s="652">
        <f ca="1">IF(ROWS($1:1)&gt;COUNT(Dong4),"",IF(LEFT(OFFSET(TH!L$1,SMALL(Dong4,ROWS($1:1)),),3)="341",OFFSET(TH!K$1,SMALL(Dong4,ROWS($1:1)),),0))</f>
        <v>0</v>
      </c>
      <c r="G16" s="652">
        <f ca="1">IF(ROWS($1:1)&gt;COUNT(Dong4),"",IF(LEFT(OFFSET(TH!M$1,SMALL(Dong4,ROWS($1:1)),),3)="341",OFFSET(TH!K$1,SMALL(Dong4,ROWS($1:1)),),0))</f>
        <v>266000000</v>
      </c>
      <c r="H16" s="623">
        <f ca="1">IF(C16&lt;&gt;"",MAX(H15-I15+F16-G16,0),0)</f>
        <v>0</v>
      </c>
      <c r="I16" s="623">
        <f ca="1">IF(C16&lt;&gt;"",MAX(I15-H15+G16-F16,0),0)</f>
        <v>266000000</v>
      </c>
    </row>
    <row r="17" spans="1:9" s="653" customFormat="1" ht="19.5" customHeight="1">
      <c r="A17" s="650">
        <f ca="1">IF(ROWS($1:2)&gt;COUNT(Dong4),"",OFFSET(TH!C$1,SMALL(Dong4,ROWS($1:2)),))</f>
        <v>42814</v>
      </c>
      <c r="B17" s="625" t="str">
        <f ca="1">IF(ROWS($1:2)&gt;COUNT(Dong4),"",OFFSET(TH!D$1,SMALL(Dong4,ROWS($1:2)),))</f>
        <v>GBN</v>
      </c>
      <c r="C17" s="625">
        <f ca="1">IF(ROWS($1:2)&gt;COUNT(Dong4),"",OFFSET(TH!E$1,SMALL(Dong4,ROWS($1:2)),))</f>
        <v>42814</v>
      </c>
      <c r="D17" s="651" t="str">
        <f ca="1">IF(ROWS($1:2)&gt;COUNT(Dong4),"",OFFSET(TH!F$1,SMALL(Dong4,ROWS($1:2)),))</f>
        <v>Thu gốc</v>
      </c>
      <c r="E17" s="625" t="str">
        <f ca="1">IF(ROWS($1:2)&gt;COUNT(Dong4),"",IF(LEFT(OFFSET(TH!M$1,SMALL(Dong4,ROWS($1:2)),),3)="341",OFFSET(TH!L$1,SMALL(Dong4,ROWS($1:2)),),OFFSET(TH!M$1,SMALL(Dong4,ROWS($1:2)),)))</f>
        <v>1121</v>
      </c>
      <c r="F17" s="652">
        <f ca="1">IF(ROWS($1:2)&gt;COUNT(Dong4),"",IF(LEFT(OFFSET(TH!L$1,SMALL(Dong4,ROWS($1:2)),),3)="341",OFFSET(TH!K$1,SMALL(Dong4,ROWS($1:2)),),0))</f>
        <v>22170000</v>
      </c>
      <c r="G17" s="652">
        <f ca="1">IF(ROWS($1:2)&gt;COUNT(Dong4),"",IF(LEFT(OFFSET(TH!M$1,SMALL(Dong4,ROWS($1:2)),),3)="341",OFFSET(TH!K$1,SMALL(Dong4,ROWS($1:2)),),0))</f>
        <v>0</v>
      </c>
      <c r="H17" s="623">
        <f t="shared" ref="H17:H24" ca="1" si="0">IF(C17&lt;&gt;"",MAX(H16-I16+F17-G17,0),0)</f>
        <v>0</v>
      </c>
      <c r="I17" s="623">
        <f t="shared" ref="I17:I24" ca="1" si="1">IF(C17&lt;&gt;"",MAX(I16-H16+G17-F17,0),0)</f>
        <v>243830000</v>
      </c>
    </row>
    <row r="18" spans="1:9" s="653" customFormat="1" ht="19.5" customHeight="1">
      <c r="A18" s="650">
        <f ca="1">IF(ROWS($1:3)&gt;COUNT(Dong4),"",OFFSET(TH!C$1,SMALL(Dong4,ROWS($1:3)),))</f>
        <v>42845</v>
      </c>
      <c r="B18" s="625" t="str">
        <f ca="1">IF(ROWS($1:3)&gt;COUNT(Dong4),"",OFFSET(TH!D$1,SMALL(Dong4,ROWS($1:3)),))</f>
        <v>GBN</v>
      </c>
      <c r="C18" s="625">
        <f ca="1">IF(ROWS($1:3)&gt;COUNT(Dong4),"",OFFSET(TH!E$1,SMALL(Dong4,ROWS($1:3)),))</f>
        <v>42845</v>
      </c>
      <c r="D18" s="651" t="str">
        <f ca="1">IF(ROWS($1:3)&gt;COUNT(Dong4),"",OFFSET(TH!F$1,SMALL(Dong4,ROWS($1:3)),))</f>
        <v>Thu gốc</v>
      </c>
      <c r="E18" s="625" t="str">
        <f ca="1">IF(ROWS($1:3)&gt;COUNT(Dong4),"",IF(LEFT(OFFSET(TH!M$1,SMALL(Dong4,ROWS($1:3)),),3)="341",OFFSET(TH!L$1,SMALL(Dong4,ROWS($1:3)),),OFFSET(TH!M$1,SMALL(Dong4,ROWS($1:3)),)))</f>
        <v>1121</v>
      </c>
      <c r="F18" s="652">
        <f ca="1">IF(ROWS($1:3)&gt;COUNT(Dong4),"",IF(LEFT(OFFSET(TH!L$1,SMALL(Dong4,ROWS($1:3)),),3)="341",OFFSET(TH!K$1,SMALL(Dong4,ROWS($1:3)),),0))</f>
        <v>22170000</v>
      </c>
      <c r="G18" s="652">
        <f ca="1">IF(ROWS($1:3)&gt;COUNT(Dong4),"",IF(LEFT(OFFSET(TH!M$1,SMALL(Dong4,ROWS($1:3)),),3)="341",OFFSET(TH!K$1,SMALL(Dong4,ROWS($1:3)),),0))</f>
        <v>0</v>
      </c>
      <c r="H18" s="623">
        <f t="shared" ca="1" si="0"/>
        <v>0</v>
      </c>
      <c r="I18" s="623">
        <f t="shared" ca="1" si="1"/>
        <v>221660000</v>
      </c>
    </row>
    <row r="19" spans="1:9" s="653" customFormat="1" ht="19.5" customHeight="1">
      <c r="A19" s="650">
        <f ca="1">IF(ROWS($1:4)&gt;COUNT(Dong4),"",OFFSET(TH!C$1,SMALL(Dong4,ROWS($1:4)),))</f>
        <v>42875</v>
      </c>
      <c r="B19" s="625" t="str">
        <f ca="1">IF(ROWS($1:4)&gt;COUNT(Dong4),"",OFFSET(TH!D$1,SMALL(Dong4,ROWS($1:4)),))</f>
        <v>GBN</v>
      </c>
      <c r="C19" s="625">
        <f ca="1">IF(ROWS($1:4)&gt;COUNT(Dong4),"",OFFSET(TH!E$1,SMALL(Dong4,ROWS($1:4)),))</f>
        <v>42875</v>
      </c>
      <c r="D19" s="651" t="str">
        <f ca="1">IF(ROWS($1:4)&gt;COUNT(Dong4),"",OFFSET(TH!F$1,SMALL(Dong4,ROWS($1:4)),))</f>
        <v>Thu gốc</v>
      </c>
      <c r="E19" s="625" t="str">
        <f ca="1">IF(ROWS($1:4)&gt;COUNT(Dong4),"",IF(LEFT(OFFSET(TH!M$1,SMALL(Dong4,ROWS($1:4)),),3)="341",OFFSET(TH!L$1,SMALL(Dong4,ROWS($1:4)),),OFFSET(TH!M$1,SMALL(Dong4,ROWS($1:4)),)))</f>
        <v>1121</v>
      </c>
      <c r="F19" s="652">
        <f ca="1">IF(ROWS($1:4)&gt;COUNT(Dong4),"",IF(LEFT(OFFSET(TH!L$1,SMALL(Dong4,ROWS($1:4)),),3)="341",OFFSET(TH!K$1,SMALL(Dong4,ROWS($1:4)),),0))</f>
        <v>22170000</v>
      </c>
      <c r="G19" s="652">
        <f ca="1">IF(ROWS($1:4)&gt;COUNT(Dong4),"",IF(LEFT(OFFSET(TH!M$1,SMALL(Dong4,ROWS($1:4)),),3)="341",OFFSET(TH!K$1,SMALL(Dong4,ROWS($1:4)),),0))</f>
        <v>0</v>
      </c>
      <c r="H19" s="623">
        <f t="shared" ca="1" si="0"/>
        <v>0</v>
      </c>
      <c r="I19" s="623">
        <f t="shared" ca="1" si="1"/>
        <v>199490000</v>
      </c>
    </row>
    <row r="20" spans="1:9" s="653" customFormat="1" ht="19.5" customHeight="1">
      <c r="A20" s="650">
        <f ca="1">IF(ROWS($1:5)&gt;COUNT(Dong4),"",OFFSET(TH!C$1,SMALL(Dong4,ROWS($1:5)),))</f>
        <v>42907</v>
      </c>
      <c r="B20" s="625" t="str">
        <f ca="1">IF(ROWS($1:5)&gt;COUNT(Dong4),"",OFFSET(TH!D$1,SMALL(Dong4,ROWS($1:5)),))</f>
        <v>GBN</v>
      </c>
      <c r="C20" s="625">
        <f ca="1">IF(ROWS($1:5)&gt;COUNT(Dong4),"",OFFSET(TH!E$1,SMALL(Dong4,ROWS($1:5)),))</f>
        <v>42907</v>
      </c>
      <c r="D20" s="651" t="str">
        <f ca="1">IF(ROWS($1:5)&gt;COUNT(Dong4),"",OFFSET(TH!F$1,SMALL(Dong4,ROWS($1:5)),))</f>
        <v>Thu gốc</v>
      </c>
      <c r="E20" s="625" t="str">
        <f ca="1">IF(ROWS($1:5)&gt;COUNT(Dong4),"",IF(LEFT(OFFSET(TH!M$1,SMALL(Dong4,ROWS($1:5)),),3)="341",OFFSET(TH!L$1,SMALL(Dong4,ROWS($1:5)),),OFFSET(TH!M$1,SMALL(Dong4,ROWS($1:5)),)))</f>
        <v>1121</v>
      </c>
      <c r="F20" s="652">
        <f ca="1">IF(ROWS($1:5)&gt;COUNT(Dong4),"",IF(LEFT(OFFSET(TH!L$1,SMALL(Dong4,ROWS($1:5)),),3)="341",OFFSET(TH!K$1,SMALL(Dong4,ROWS($1:5)),),0))</f>
        <v>22170000</v>
      </c>
      <c r="G20" s="652">
        <f ca="1">IF(ROWS($1:5)&gt;COUNT(Dong4),"",IF(LEFT(OFFSET(TH!M$1,SMALL(Dong4,ROWS($1:5)),),3)="341",OFFSET(TH!K$1,SMALL(Dong4,ROWS($1:5)),),0))</f>
        <v>0</v>
      </c>
      <c r="H20" s="623">
        <f t="shared" ca="1" si="0"/>
        <v>0</v>
      </c>
      <c r="I20" s="623">
        <f t="shared" ca="1" si="1"/>
        <v>177320000</v>
      </c>
    </row>
    <row r="21" spans="1:9" s="653" customFormat="1" ht="19.5" customHeight="1">
      <c r="A21" s="650">
        <f ca="1">IF(ROWS($1:6)&gt;COUNT(Dong4),"",OFFSET(TH!C$1,SMALL(Dong4,ROWS($1:6)),))</f>
        <v>42940</v>
      </c>
      <c r="B21" s="625" t="str">
        <f ca="1">IF(ROWS($1:6)&gt;COUNT(Dong4),"",OFFSET(TH!D$1,SMALL(Dong4,ROWS($1:6)),))</f>
        <v>GBN</v>
      </c>
      <c r="C21" s="625">
        <f ca="1">IF(ROWS($1:6)&gt;COUNT(Dong4),"",OFFSET(TH!E$1,SMALL(Dong4,ROWS($1:6)),))</f>
        <v>42940</v>
      </c>
      <c r="D21" s="651" t="str">
        <f ca="1">IF(ROWS($1:6)&gt;COUNT(Dong4),"",OFFSET(TH!F$1,SMALL(Dong4,ROWS($1:6)),))</f>
        <v>Thu gốc</v>
      </c>
      <c r="E21" s="625" t="str">
        <f ca="1">IF(ROWS($1:6)&gt;COUNT(Dong4),"",IF(LEFT(OFFSET(TH!M$1,SMALL(Dong4,ROWS($1:6)),),3)="341",OFFSET(TH!L$1,SMALL(Dong4,ROWS($1:6)),),OFFSET(TH!M$1,SMALL(Dong4,ROWS($1:6)),)))</f>
        <v>1121</v>
      </c>
      <c r="F21" s="652">
        <f ca="1">IF(ROWS($1:6)&gt;COUNT(Dong4),"",IF(LEFT(OFFSET(TH!L$1,SMALL(Dong4,ROWS($1:6)),),3)="341",OFFSET(TH!K$1,SMALL(Dong4,ROWS($1:6)),),0))</f>
        <v>18889060</v>
      </c>
      <c r="G21" s="652">
        <f ca="1">IF(ROWS($1:6)&gt;COUNT(Dong4),"",IF(LEFT(OFFSET(TH!M$1,SMALL(Dong4,ROWS($1:6)),),3)="341",OFFSET(TH!K$1,SMALL(Dong4,ROWS($1:6)),),0))</f>
        <v>0</v>
      </c>
      <c r="H21" s="623">
        <f t="shared" ca="1" si="0"/>
        <v>0</v>
      </c>
      <c r="I21" s="623">
        <f t="shared" ca="1" si="1"/>
        <v>158430940</v>
      </c>
    </row>
    <row r="22" spans="1:9" s="653" customFormat="1" ht="19.5" customHeight="1">
      <c r="A22" s="650">
        <f ca="1">IF(ROWS($1:7)&gt;COUNT(Dong4),"",OFFSET(TH!C$1,SMALL(Dong4,ROWS($1:7)),))</f>
        <v>42941</v>
      </c>
      <c r="B22" s="625" t="str">
        <f ca="1">IF(ROWS($1:7)&gt;COUNT(Dong4),"",OFFSET(TH!D$1,SMALL(Dong4,ROWS($1:7)),))</f>
        <v>GBN</v>
      </c>
      <c r="C22" s="625">
        <f ca="1">IF(ROWS($1:7)&gt;COUNT(Dong4),"",OFFSET(TH!E$1,SMALL(Dong4,ROWS($1:7)),))</f>
        <v>42941</v>
      </c>
      <c r="D22" s="651" t="str">
        <f ca="1">IF(ROWS($1:7)&gt;COUNT(Dong4),"",OFFSET(TH!F$1,SMALL(Dong4,ROWS($1:7)),))</f>
        <v>Thu gốc</v>
      </c>
      <c r="E22" s="625" t="str">
        <f ca="1">IF(ROWS($1:7)&gt;COUNT(Dong4),"",IF(LEFT(OFFSET(TH!M$1,SMALL(Dong4,ROWS($1:7)),),3)="341",OFFSET(TH!L$1,SMALL(Dong4,ROWS($1:7)),),OFFSET(TH!M$1,SMALL(Dong4,ROWS($1:7)),)))</f>
        <v>1121</v>
      </c>
      <c r="F22" s="652">
        <f ca="1">IF(ROWS($1:7)&gt;COUNT(Dong4),"",IF(LEFT(OFFSET(TH!L$1,SMALL(Dong4,ROWS($1:7)),),3)="341",OFFSET(TH!K$1,SMALL(Dong4,ROWS($1:7)),),0))</f>
        <v>3280940</v>
      </c>
      <c r="G22" s="652">
        <f ca="1">IF(ROWS($1:7)&gt;COUNT(Dong4),"",IF(LEFT(OFFSET(TH!M$1,SMALL(Dong4,ROWS($1:7)),),3)="341",OFFSET(TH!K$1,SMALL(Dong4,ROWS($1:7)),),0))</f>
        <v>0</v>
      </c>
      <c r="H22" s="623">
        <f t="shared" ca="1" si="0"/>
        <v>0</v>
      </c>
      <c r="I22" s="623">
        <f t="shared" ca="1" si="1"/>
        <v>155150000</v>
      </c>
    </row>
    <row r="23" spans="1:9" s="653" customFormat="1" ht="19.5" customHeight="1">
      <c r="A23" s="650">
        <f ca="1">IF(ROWS($1:8)&gt;COUNT(Dong4),"",OFFSET(TH!C$1,SMALL(Dong4,ROWS($1:8)),))</f>
        <v>42969</v>
      </c>
      <c r="B23" s="625" t="str">
        <f ca="1">IF(ROWS($1:8)&gt;COUNT(Dong4),"",OFFSET(TH!D$1,SMALL(Dong4,ROWS($1:8)),))</f>
        <v>GBN</v>
      </c>
      <c r="C23" s="625">
        <f ca="1">IF(ROWS($1:8)&gt;COUNT(Dong4),"",OFFSET(TH!E$1,SMALL(Dong4,ROWS($1:8)),))</f>
        <v>42969</v>
      </c>
      <c r="D23" s="651" t="str">
        <f ca="1">IF(ROWS($1:8)&gt;COUNT(Dong4),"",OFFSET(TH!F$1,SMALL(Dong4,ROWS($1:8)),))</f>
        <v>Thu gốc</v>
      </c>
      <c r="E23" s="625" t="str">
        <f ca="1">IF(ROWS($1:8)&gt;COUNT(Dong4),"",IF(LEFT(OFFSET(TH!M$1,SMALL(Dong4,ROWS($1:8)),),3)="341",OFFSET(TH!L$1,SMALL(Dong4,ROWS($1:8)),),OFFSET(TH!M$1,SMALL(Dong4,ROWS($1:8)),)))</f>
        <v>1121</v>
      </c>
      <c r="F23" s="652">
        <f ca="1">IF(ROWS($1:8)&gt;COUNT(Dong4),"",IF(LEFT(OFFSET(TH!L$1,SMALL(Dong4,ROWS($1:8)),),3)="341",OFFSET(TH!K$1,SMALL(Dong4,ROWS($1:8)),),0))</f>
        <v>17502664</v>
      </c>
      <c r="G23" s="652">
        <f ca="1">IF(ROWS($1:8)&gt;COUNT(Dong4),"",IF(LEFT(OFFSET(TH!M$1,SMALL(Dong4,ROWS($1:8)),),3)="341",OFFSET(TH!K$1,SMALL(Dong4,ROWS($1:8)),),0))</f>
        <v>0</v>
      </c>
      <c r="H23" s="623">
        <f t="shared" ca="1" si="0"/>
        <v>0</v>
      </c>
      <c r="I23" s="623">
        <f t="shared" ca="1" si="1"/>
        <v>137647336</v>
      </c>
    </row>
    <row r="24" spans="1:9" s="653" customFormat="1" ht="19.5" customHeight="1">
      <c r="A24" s="650">
        <f ca="1">IF(ROWS($1:9)&gt;COUNT(Dong4),"",OFFSET(TH!C$1,SMALL(Dong4,ROWS($1:9)),))</f>
        <v>42970</v>
      </c>
      <c r="B24" s="625" t="str">
        <f ca="1">IF(ROWS($1:9)&gt;COUNT(Dong4),"",OFFSET(TH!D$1,SMALL(Dong4,ROWS($1:9)),))</f>
        <v>GBN</v>
      </c>
      <c r="C24" s="625">
        <f ca="1">IF(ROWS($1:9)&gt;COUNT(Dong4),"",OFFSET(TH!E$1,SMALL(Dong4,ROWS($1:9)),))</f>
        <v>42970</v>
      </c>
      <c r="D24" s="651" t="str">
        <f ca="1">IF(ROWS($1:9)&gt;COUNT(Dong4),"",OFFSET(TH!F$1,SMALL(Dong4,ROWS($1:9)),))</f>
        <v>Thu gốc</v>
      </c>
      <c r="E24" s="625" t="str">
        <f ca="1">IF(ROWS($1:9)&gt;COUNT(Dong4),"",IF(LEFT(OFFSET(TH!M$1,SMALL(Dong4,ROWS($1:9)),),3)="341",OFFSET(TH!L$1,SMALL(Dong4,ROWS($1:9)),),OFFSET(TH!M$1,SMALL(Dong4,ROWS($1:9)),)))</f>
        <v>1121</v>
      </c>
      <c r="F24" s="652">
        <f ca="1">IF(ROWS($1:9)&gt;COUNT(Dong4),"",IF(LEFT(OFFSET(TH!L$1,SMALL(Dong4,ROWS($1:9)),),3)="341",OFFSET(TH!K$1,SMALL(Dong4,ROWS($1:9)),),0))</f>
        <v>4667336</v>
      </c>
      <c r="G24" s="652">
        <f ca="1">IF(ROWS($1:9)&gt;COUNT(Dong4),"",IF(LEFT(OFFSET(TH!M$1,SMALL(Dong4,ROWS($1:9)),),3)="341",OFFSET(TH!K$1,SMALL(Dong4,ROWS($1:9)),),0))</f>
        <v>0</v>
      </c>
      <c r="H24" s="623">
        <f t="shared" ca="1" si="0"/>
        <v>0</v>
      </c>
      <c r="I24" s="623">
        <f t="shared" ca="1" si="1"/>
        <v>132980000</v>
      </c>
    </row>
    <row r="25" spans="1:9" s="653" customFormat="1" ht="19.5" customHeight="1">
      <c r="A25" s="654"/>
      <c r="B25" s="654"/>
      <c r="C25" s="654"/>
      <c r="D25" s="655"/>
      <c r="E25" s="656"/>
      <c r="F25" s="657"/>
      <c r="G25" s="658"/>
      <c r="H25" s="623"/>
      <c r="I25" s="623"/>
    </row>
    <row r="26" spans="1:9" s="639" customFormat="1" ht="19.5" customHeight="1">
      <c r="A26" s="625"/>
      <c r="B26" s="625"/>
      <c r="C26" s="625"/>
      <c r="D26" s="659" t="s">
        <v>32</v>
      </c>
      <c r="E26" s="660" t="s">
        <v>19</v>
      </c>
      <c r="F26" s="582">
        <f ca="1">SUM(F16:F25)</f>
        <v>133020000</v>
      </c>
      <c r="G26" s="582">
        <f ca="1">SUM(G16:G25)</f>
        <v>266000000</v>
      </c>
      <c r="H26" s="661" t="s">
        <v>19</v>
      </c>
      <c r="I26" s="661" t="s">
        <v>19</v>
      </c>
    </row>
    <row r="27" spans="1:9" s="639" customFormat="1" ht="19.5" customHeight="1">
      <c r="A27" s="662"/>
      <c r="B27" s="662"/>
      <c r="C27" s="662"/>
      <c r="D27" s="663" t="s">
        <v>10</v>
      </c>
      <c r="E27" s="664" t="s">
        <v>19</v>
      </c>
      <c r="F27" s="664" t="s">
        <v>19</v>
      </c>
      <c r="G27" s="664" t="s">
        <v>19</v>
      </c>
      <c r="H27" s="665">
        <f ca="1">MAX(H15+F26-I15-G26,0)</f>
        <v>0</v>
      </c>
      <c r="I27" s="665">
        <f ca="1">MAX(I15+G26-H15-F26,0)</f>
        <v>132980000</v>
      </c>
    </row>
    <row r="28" spans="1:9" s="639" customFormat="1">
      <c r="E28" s="640"/>
    </row>
    <row r="29" spans="1:9" s="639" customFormat="1">
      <c r="A29" s="666" t="s">
        <v>824</v>
      </c>
      <c r="E29" s="640"/>
    </row>
    <row r="30" spans="1:9" s="639" customFormat="1">
      <c r="A30" s="666" t="str">
        <f>"- Ngày mở sổ: "&amp; TEXT(VLOOKUP($E$9,'341'!$B$4:$I$18,2,0),"dd/MM/yy")</f>
        <v>- Ngày mở sổ: 28/02/17</v>
      </c>
      <c r="E30" s="640"/>
    </row>
    <row r="31" spans="1:9" s="639" customFormat="1">
      <c r="E31" s="640"/>
      <c r="H31" s="640" t="s">
        <v>825</v>
      </c>
    </row>
    <row r="32" spans="1:9" s="639" customFormat="1">
      <c r="C32" s="640" t="s">
        <v>11</v>
      </c>
      <c r="E32" s="640"/>
      <c r="H32" s="640" t="s">
        <v>12</v>
      </c>
    </row>
    <row r="33" spans="2:8" s="639" customFormat="1">
      <c r="C33" s="640" t="s">
        <v>13</v>
      </c>
      <c r="E33" s="640"/>
      <c r="H33" s="640" t="s">
        <v>13</v>
      </c>
    </row>
    <row r="34" spans="2:8" s="639" customFormat="1">
      <c r="E34" s="640"/>
    </row>
    <row r="35" spans="2:8" s="639" customFormat="1">
      <c r="E35" s="640"/>
    </row>
    <row r="36" spans="2:8" s="667" customFormat="1"/>
    <row r="37" spans="2:8" s="667" customFormat="1"/>
    <row r="38" spans="2:8" s="667" customFormat="1"/>
    <row r="39" spans="2:8" s="667" customFormat="1"/>
    <row r="40" spans="2:8" s="667" customFormat="1" ht="15">
      <c r="B40" s="668"/>
      <c r="C40" s="669" t="s">
        <v>826</v>
      </c>
      <c r="D40" s="668"/>
    </row>
    <row r="41" spans="2:8" s="667" customFormat="1"/>
    <row r="42" spans="2:8" s="667" customFormat="1"/>
    <row r="43" spans="2:8" s="667" customFormat="1"/>
    <row r="44" spans="2:8" s="667" customFormat="1"/>
    <row r="45" spans="2:8" s="667" customFormat="1"/>
    <row r="46" spans="2:8" s="667" customFormat="1"/>
    <row r="47" spans="2:8" s="667" customFormat="1"/>
    <row r="48" spans="2:8" s="667" customFormat="1"/>
  </sheetData>
  <mergeCells count="15">
    <mergeCell ref="E9:G9"/>
    <mergeCell ref="G1:I1"/>
    <mergeCell ref="G2:I3"/>
    <mergeCell ref="A5:I5"/>
    <mergeCell ref="A6:I6"/>
    <mergeCell ref="A7:I7"/>
    <mergeCell ref="A8:I8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718"/>
  <sheetViews>
    <sheetView topLeftCell="A8" zoomScale="90" zoomScaleNormal="90" workbookViewId="0">
      <pane ySplit="4" topLeftCell="A180" activePane="bottomLeft" state="frozen"/>
      <selection activeCell="A8" sqref="A8"/>
      <selection pane="bottomLeft" activeCell="B188" activeCellId="1" sqref="B182 B188"/>
    </sheetView>
  </sheetViews>
  <sheetFormatPr defaultRowHeight="15"/>
  <cols>
    <col min="1" max="1" width="4" style="235" customWidth="1"/>
    <col min="2" max="2" width="28.7109375" style="235" customWidth="1"/>
    <col min="3" max="3" width="7.28515625" style="238" customWidth="1"/>
    <col min="4" max="4" width="7.7109375" style="256" customWidth="1"/>
    <col min="5" max="5" width="12.5703125" style="256" customWidth="1"/>
    <col min="6" max="6" width="8.85546875" style="181" customWidth="1"/>
    <col min="7" max="7" width="14" style="181" customWidth="1"/>
    <col min="8" max="8" width="9" style="181" customWidth="1"/>
    <col min="9" max="9" width="13.7109375" style="181" customWidth="1"/>
    <col min="10" max="10" width="7.85546875" style="181" customWidth="1"/>
    <col min="11" max="11" width="13.7109375" style="181" customWidth="1"/>
    <col min="12" max="12" width="11.5703125" style="235" customWidth="1"/>
    <col min="13" max="13" width="11.140625" style="181" bestFit="1" customWidth="1"/>
    <col min="14" max="14" width="14" style="235" bestFit="1" customWidth="1"/>
    <col min="15" max="15" width="10.42578125" style="235" bestFit="1" customWidth="1"/>
    <col min="16" max="16384" width="9.140625" style="235"/>
  </cols>
  <sheetData>
    <row r="1" spans="1:15" s="116" customFormat="1" ht="14.25" customHeight="1">
      <c r="A1" s="122" t="str">
        <f>TH!$A$1</f>
        <v>Đơn vị: CÔNG TY TNHH MỘT THÀNH VIÊN KHỞI NGUYÊN AN</v>
      </c>
      <c r="B1" s="93"/>
      <c r="C1" s="93"/>
      <c r="D1" s="93"/>
      <c r="E1" s="94"/>
      <c r="F1" s="94"/>
      <c r="G1" s="874" t="s">
        <v>165</v>
      </c>
      <c r="H1" s="874"/>
      <c r="I1" s="874"/>
      <c r="J1" s="874"/>
      <c r="K1" s="874"/>
      <c r="L1" s="221"/>
      <c r="M1" s="180"/>
    </row>
    <row r="2" spans="1:15" s="116" customFormat="1" ht="14.25" customHeight="1">
      <c r="A2" s="938" t="str">
        <f>TH!$A$2</f>
        <v>Địa chỉ: Thửa đất số 144, tờ bản đồ số 12TĐH.1, tổ 1, khu phố Đông Tác, Phường Tân Đông Hiệp, Thị Xã Dĩ An, Tỉnh Bình Dương, Việt Nam</v>
      </c>
      <c r="B2" s="938"/>
      <c r="C2" s="938"/>
      <c r="D2" s="938"/>
      <c r="E2" s="938"/>
      <c r="F2" s="938"/>
      <c r="G2" s="875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875"/>
      <c r="I2" s="875"/>
      <c r="J2" s="875"/>
      <c r="K2" s="875"/>
      <c r="L2" s="4"/>
      <c r="M2" s="180"/>
    </row>
    <row r="3" spans="1:15" s="116" customFormat="1" ht="14.25" customHeight="1">
      <c r="A3" s="938"/>
      <c r="B3" s="938"/>
      <c r="C3" s="938"/>
      <c r="D3" s="938"/>
      <c r="E3" s="938"/>
      <c r="F3" s="938"/>
      <c r="G3" s="875"/>
      <c r="H3" s="875"/>
      <c r="I3" s="875"/>
      <c r="J3" s="875"/>
      <c r="K3" s="875"/>
      <c r="L3" s="234"/>
      <c r="M3" s="180"/>
    </row>
    <row r="4" spans="1:15" s="95" customFormat="1" ht="50.25" customHeight="1">
      <c r="A4" s="937" t="s">
        <v>166</v>
      </c>
      <c r="B4" s="937"/>
      <c r="C4" s="937"/>
      <c r="D4" s="937"/>
      <c r="E4" s="937"/>
      <c r="F4" s="937"/>
      <c r="G4" s="937"/>
      <c r="H4" s="937"/>
      <c r="I4" s="937"/>
      <c r="J4" s="937"/>
      <c r="K4" s="937"/>
      <c r="M4" s="181"/>
    </row>
    <row r="5" spans="1:15" s="95" customFormat="1" ht="15" customHeight="1">
      <c r="A5" s="936" t="s">
        <v>448</v>
      </c>
      <c r="B5" s="936"/>
      <c r="C5" s="936"/>
      <c r="D5" s="936"/>
      <c r="E5" s="936"/>
      <c r="F5" s="936"/>
      <c r="G5" s="936"/>
      <c r="H5" s="936"/>
      <c r="I5" s="936"/>
      <c r="J5" s="936"/>
      <c r="K5" s="936"/>
      <c r="M5" s="181"/>
    </row>
    <row r="6" spans="1:15" s="95" customFormat="1" ht="12.75" hidden="1" customHeight="1">
      <c r="A6" s="936" t="s">
        <v>167</v>
      </c>
      <c r="B6" s="936"/>
      <c r="C6" s="936"/>
      <c r="D6" s="936"/>
      <c r="E6" s="936"/>
      <c r="F6" s="936"/>
      <c r="G6" s="936"/>
      <c r="H6" s="936"/>
      <c r="I6" s="936"/>
      <c r="J6" s="936"/>
      <c r="K6" s="936"/>
      <c r="M6" s="181"/>
    </row>
    <row r="7" spans="1:15" ht="24" hidden="1" customHeight="1">
      <c r="B7" s="945" t="s">
        <v>168</v>
      </c>
      <c r="C7" s="945"/>
      <c r="D7" s="945"/>
      <c r="E7" s="945"/>
      <c r="F7" s="945"/>
      <c r="G7" s="945"/>
      <c r="H7" s="945"/>
      <c r="I7" s="945"/>
      <c r="J7" s="945"/>
      <c r="K7" s="945"/>
    </row>
    <row r="8" spans="1:15" ht="20.25" customHeight="1">
      <c r="A8" s="939" t="s">
        <v>33</v>
      </c>
      <c r="B8" s="940" t="s">
        <v>169</v>
      </c>
      <c r="C8" s="941" t="s">
        <v>170</v>
      </c>
      <c r="D8" s="943" t="s">
        <v>137</v>
      </c>
      <c r="E8" s="943"/>
      <c r="F8" s="943"/>
      <c r="G8" s="943"/>
      <c r="H8" s="943"/>
      <c r="I8" s="943"/>
      <c r="J8" s="943"/>
      <c r="K8" s="943"/>
    </row>
    <row r="9" spans="1:15" ht="20.25" customHeight="1">
      <c r="A9" s="939"/>
      <c r="B9" s="940"/>
      <c r="C9" s="942"/>
      <c r="D9" s="943" t="s">
        <v>171</v>
      </c>
      <c r="E9" s="943"/>
      <c r="F9" s="944" t="s">
        <v>172</v>
      </c>
      <c r="G9" s="944"/>
      <c r="H9" s="944" t="s">
        <v>173</v>
      </c>
      <c r="I9" s="944"/>
      <c r="J9" s="944" t="s">
        <v>174</v>
      </c>
      <c r="K9" s="944"/>
    </row>
    <row r="10" spans="1:15" ht="20.25" hidden="1" customHeight="1">
      <c r="A10" s="939"/>
      <c r="B10" s="940"/>
      <c r="C10" s="236"/>
      <c r="D10" s="237" t="s">
        <v>175</v>
      </c>
      <c r="E10" s="237" t="s">
        <v>176</v>
      </c>
      <c r="F10" s="237" t="s">
        <v>175</v>
      </c>
      <c r="G10" s="237" t="s">
        <v>176</v>
      </c>
      <c r="H10" s="237" t="s">
        <v>175</v>
      </c>
      <c r="I10" s="237" t="s">
        <v>176</v>
      </c>
      <c r="J10" s="237" t="s">
        <v>175</v>
      </c>
      <c r="K10" s="237" t="s">
        <v>176</v>
      </c>
    </row>
    <row r="11" spans="1:15" s="238" customFormat="1">
      <c r="A11" s="239" t="s">
        <v>2</v>
      </c>
      <c r="B11" s="236" t="s">
        <v>3</v>
      </c>
      <c r="C11" s="236"/>
      <c r="D11" s="237">
        <v>1</v>
      </c>
      <c r="E11" s="237">
        <v>1</v>
      </c>
      <c r="F11" s="237">
        <v>2</v>
      </c>
      <c r="G11" s="237">
        <v>2</v>
      </c>
      <c r="H11" s="237">
        <v>3</v>
      </c>
      <c r="I11" s="237">
        <v>3</v>
      </c>
      <c r="J11" s="237">
        <v>4</v>
      </c>
      <c r="K11" s="237">
        <v>4</v>
      </c>
      <c r="M11" s="180"/>
    </row>
    <row r="12" spans="1:15" ht="19.5" customHeight="1">
      <c r="A12" s="240">
        <f t="shared" ref="A12:A75" si="0">IF(B12&lt;&gt;"",ROW()-11,"")</f>
        <v>1</v>
      </c>
      <c r="B12" s="245" t="s">
        <v>274</v>
      </c>
      <c r="C12" s="242" t="s">
        <v>421</v>
      </c>
      <c r="D12" s="243"/>
      <c r="E12" s="243"/>
      <c r="F12" s="243">
        <f t="array" ref="F12">SUM(IF("156"&amp;B12=KHN&amp;MH,SL))</f>
        <v>47186</v>
      </c>
      <c r="G12" s="243">
        <f t="array" ref="G12">SUM(IF("156"&amp;B12=KHN&amp;MH,TH))</f>
        <v>766222908</v>
      </c>
      <c r="H12" s="243">
        <f t="array" ref="H12">SUM(IF("156"&amp;B12=KHC&amp;MH,SL))</f>
        <v>31654</v>
      </c>
      <c r="I12" s="243">
        <f t="array" ref="I12">SUM(IF("156"&amp;B12=KHC&amp;MH,TH))</f>
        <v>502788645</v>
      </c>
      <c r="J12" s="243">
        <f t="shared" ref="J12:J75" si="1">D12+F12-H12</f>
        <v>15532</v>
      </c>
      <c r="K12" s="243">
        <f t="shared" ref="K12:K75" si="2">E12+G12-I12</f>
        <v>263434263</v>
      </c>
      <c r="L12" s="181">
        <f>K12/J12</f>
        <v>16960.743175379859</v>
      </c>
      <c r="N12" s="181"/>
      <c r="O12" s="124"/>
    </row>
    <row r="13" spans="1:15" ht="19.5" customHeight="1">
      <c r="A13" s="240">
        <f t="shared" si="0"/>
        <v>2</v>
      </c>
      <c r="B13" s="249" t="s">
        <v>1182</v>
      </c>
      <c r="C13" s="242" t="s">
        <v>257</v>
      </c>
      <c r="D13" s="243"/>
      <c r="E13" s="243"/>
      <c r="F13" s="243">
        <f t="array" ref="F13">SUM(IF("156"&amp;B13=KHN&amp;MH,SL))</f>
        <v>2769</v>
      </c>
      <c r="G13" s="243">
        <f t="array" ref="G13">SUM(IF("156"&amp;B13=KHN&amp;MH,TH))</f>
        <v>94976700</v>
      </c>
      <c r="H13" s="243">
        <f t="array" ref="H13">SUM(IF("156"&amp;B13=KHC&amp;MH,SL))</f>
        <v>529</v>
      </c>
      <c r="I13" s="243">
        <f t="array" ref="I13">SUM(IF("156"&amp;B13=KHC&amp;MH,TH))</f>
        <v>18144700</v>
      </c>
      <c r="J13" s="243">
        <f t="shared" si="1"/>
        <v>2240</v>
      </c>
      <c r="K13" s="243">
        <f t="shared" si="2"/>
        <v>76832000</v>
      </c>
      <c r="L13" s="181">
        <f>K13/J13</f>
        <v>34300</v>
      </c>
      <c r="N13" s="181"/>
      <c r="O13" s="124"/>
    </row>
    <row r="14" spans="1:15" ht="19.5" customHeight="1">
      <c r="A14" s="240">
        <f t="shared" si="0"/>
        <v>3</v>
      </c>
      <c r="B14" s="245" t="s">
        <v>273</v>
      </c>
      <c r="C14" s="242" t="s">
        <v>421</v>
      </c>
      <c r="D14" s="243"/>
      <c r="E14" s="243"/>
      <c r="F14" s="243">
        <f t="array" ref="F14">SUM(IF("156"&amp;B14=KHN&amp;MH,SL))</f>
        <v>35235</v>
      </c>
      <c r="G14" s="243">
        <f t="array" ref="G14">SUM(IF("156"&amp;B14=KHN&amp;MH,TH))</f>
        <v>649925459</v>
      </c>
      <c r="H14" s="243">
        <f t="array" ref="H14">SUM(IF("156"&amp;B14=KHC&amp;MH,SL))</f>
        <v>16900</v>
      </c>
      <c r="I14" s="243">
        <f t="array" ref="I14">SUM(IF("156"&amp;B14=KHC&amp;MH,TH))</f>
        <v>317140489</v>
      </c>
      <c r="J14" s="243">
        <f t="shared" si="1"/>
        <v>18335</v>
      </c>
      <c r="K14" s="243">
        <f t="shared" si="2"/>
        <v>332784970</v>
      </c>
      <c r="L14" s="181">
        <f>K14/J14</f>
        <v>18150.257431142625</v>
      </c>
    </row>
    <row r="15" spans="1:15" ht="19.5" customHeight="1">
      <c r="A15" s="240">
        <f t="shared" si="0"/>
        <v>4</v>
      </c>
      <c r="B15" s="245" t="s">
        <v>1183</v>
      </c>
      <c r="C15" s="242" t="s">
        <v>257</v>
      </c>
      <c r="D15" s="243"/>
      <c r="E15" s="243"/>
      <c r="F15" s="243">
        <f t="array" ref="F15">SUM(IF("156"&amp;B15=KHN&amp;MH,SL))</f>
        <v>987</v>
      </c>
      <c r="G15" s="243">
        <f t="array" ref="G15">SUM(IF("156"&amp;B15=KHN&amp;MH,TH))</f>
        <v>30952320</v>
      </c>
      <c r="H15" s="243">
        <f t="array" ref="H15">SUM(IF("156"&amp;B15=KHC&amp;MH,SL))</f>
        <v>987</v>
      </c>
      <c r="I15" s="243">
        <f t="array" ref="I15">SUM(IF("156"&amp;B15=KHC&amp;MH,TH))</f>
        <v>30952320</v>
      </c>
      <c r="J15" s="243">
        <f t="shared" si="1"/>
        <v>0</v>
      </c>
      <c r="K15" s="243">
        <f t="shared" si="2"/>
        <v>0</v>
      </c>
      <c r="L15" s="181"/>
    </row>
    <row r="16" spans="1:15" ht="19.5" customHeight="1">
      <c r="A16" s="240">
        <f t="shared" si="0"/>
        <v>5</v>
      </c>
      <c r="B16" s="245" t="s">
        <v>503</v>
      </c>
      <c r="C16" s="242" t="s">
        <v>421</v>
      </c>
      <c r="D16" s="243"/>
      <c r="E16" s="243"/>
      <c r="F16" s="243">
        <f t="array" ref="F16">SUM(IF("156"&amp;B16=KHN&amp;MH,SL))</f>
        <v>46208</v>
      </c>
      <c r="G16" s="243">
        <f t="array" ref="G16">SUM(IF("156"&amp;B16=KHN&amp;MH,TH))</f>
        <v>454063109</v>
      </c>
      <c r="H16" s="243">
        <f t="array" ref="H16">SUM(IF("156"&amp;B16=KHC&amp;MH,SL))</f>
        <v>42031</v>
      </c>
      <c r="I16" s="243">
        <f t="array" ref="I16">SUM(IF("156"&amp;B16=KHC&amp;MH,TH))</f>
        <v>419268699</v>
      </c>
      <c r="J16" s="243">
        <f t="shared" si="1"/>
        <v>4177</v>
      </c>
      <c r="K16" s="243">
        <f t="shared" si="2"/>
        <v>34794410</v>
      </c>
      <c r="L16" s="181"/>
    </row>
    <row r="17" spans="1:15" ht="19.5" customHeight="1">
      <c r="A17" s="240">
        <f t="shared" si="0"/>
        <v>6</v>
      </c>
      <c r="B17" s="241" t="s">
        <v>380</v>
      </c>
      <c r="C17" s="242" t="s">
        <v>421</v>
      </c>
      <c r="D17" s="243">
        <v>25400</v>
      </c>
      <c r="E17" s="243">
        <v>210820000</v>
      </c>
      <c r="F17" s="243">
        <f t="array" ref="F17">SUM(IF("156"&amp;B17=KHN&amp;MH,SL))</f>
        <v>162987</v>
      </c>
      <c r="G17" s="243">
        <f t="array" ref="G17">SUM(IF("156"&amp;B17=KHN&amp;MH,TH))</f>
        <v>1524659022</v>
      </c>
      <c r="H17" s="243">
        <f t="array" ref="H17">SUM(IF("156"&amp;B17=KHC&amp;MH,SL))</f>
        <v>113496</v>
      </c>
      <c r="I17" s="243">
        <f t="array" ref="I17">SUM(IF("156"&amp;B17=KHC&amp;MH,TH))</f>
        <v>935774272</v>
      </c>
      <c r="J17" s="243">
        <f t="shared" si="1"/>
        <v>74891</v>
      </c>
      <c r="K17" s="243">
        <f t="shared" si="2"/>
        <v>799704750</v>
      </c>
      <c r="L17" s="181">
        <f>K17/J17</f>
        <v>10678.249055293694</v>
      </c>
      <c r="N17" s="244"/>
      <c r="O17" s="244"/>
    </row>
    <row r="18" spans="1:15" ht="19.5" customHeight="1">
      <c r="A18" s="240">
        <f t="shared" si="0"/>
        <v>7</v>
      </c>
      <c r="B18" s="245" t="s">
        <v>524</v>
      </c>
      <c r="C18" s="242" t="s">
        <v>257</v>
      </c>
      <c r="D18" s="243">
        <v>112</v>
      </c>
      <c r="E18" s="243">
        <v>5406295</v>
      </c>
      <c r="F18" s="243">
        <f t="array" ref="F18">SUM(IF("156"&amp;B18=KHN&amp;MH,SL))</f>
        <v>0</v>
      </c>
      <c r="G18" s="243">
        <f t="array" ref="G18">SUM(IF("156"&amp;B18=KHN&amp;MH,TH))</f>
        <v>0</v>
      </c>
      <c r="H18" s="243">
        <f t="array" ref="H18">SUM(IF("156"&amp;B18=KHC&amp;MH,SL))</f>
        <v>112</v>
      </c>
      <c r="I18" s="243">
        <f t="array" ref="I18">SUM(IF("156"&amp;B18=KHC&amp;MH,TH))</f>
        <v>5406295</v>
      </c>
      <c r="J18" s="243">
        <f t="shared" si="1"/>
        <v>0</v>
      </c>
      <c r="K18" s="243">
        <f t="shared" si="2"/>
        <v>0</v>
      </c>
      <c r="L18" s="181"/>
    </row>
    <row r="19" spans="1:15" ht="19.5" customHeight="1">
      <c r="A19" s="240">
        <f t="shared" si="0"/>
        <v>8</v>
      </c>
      <c r="B19" s="245" t="s">
        <v>1582</v>
      </c>
      <c r="C19" s="242"/>
      <c r="D19" s="243"/>
      <c r="E19" s="243"/>
      <c r="F19" s="243">
        <f t="array" ref="F19">SUM(IF("156"&amp;B19=KHN&amp;MH,SL))</f>
        <v>396</v>
      </c>
      <c r="G19" s="243">
        <f t="array" ref="G19">SUM(IF("156"&amp;B19=KHN&amp;MH,TH))</f>
        <v>10524096</v>
      </c>
      <c r="H19" s="243">
        <f t="array" ref="H19">SUM(IF("156"&amp;B19=KHC&amp;MH,SL))</f>
        <v>0</v>
      </c>
      <c r="I19" s="243">
        <f t="array" ref="I19">SUM(IF("156"&amp;B19=KHC&amp;MH,TH))</f>
        <v>0</v>
      </c>
      <c r="J19" s="243">
        <f t="shared" si="1"/>
        <v>396</v>
      </c>
      <c r="K19" s="243">
        <f t="shared" si="2"/>
        <v>10524096</v>
      </c>
      <c r="L19" s="181"/>
    </row>
    <row r="20" spans="1:15" ht="19.5" customHeight="1">
      <c r="A20" s="240">
        <f t="shared" si="0"/>
        <v>9</v>
      </c>
      <c r="B20" s="245" t="s">
        <v>1377</v>
      </c>
      <c r="C20" s="242"/>
      <c r="D20" s="243"/>
      <c r="E20" s="243"/>
      <c r="F20" s="243">
        <f t="array" ref="F20">SUM(IF("156"&amp;B20=KHN&amp;MH,SL))</f>
        <v>1500</v>
      </c>
      <c r="G20" s="243">
        <f t="array" ref="G20">SUM(IF("156"&amp;B20=KHN&amp;MH,TH))</f>
        <v>15876000</v>
      </c>
      <c r="H20" s="243">
        <f t="array" ref="H20">SUM(IF("156"&amp;B20=KHC&amp;MH,SL))</f>
        <v>0</v>
      </c>
      <c r="I20" s="243">
        <f t="array" ref="I20">SUM(IF("156"&amp;B20=KHC&amp;MH,TH))</f>
        <v>0</v>
      </c>
      <c r="J20" s="243">
        <f t="shared" si="1"/>
        <v>1500</v>
      </c>
      <c r="K20" s="243">
        <f t="shared" si="2"/>
        <v>15876000</v>
      </c>
      <c r="L20" s="181"/>
    </row>
    <row r="21" spans="1:15" ht="19.5" customHeight="1">
      <c r="A21" s="240">
        <f t="shared" si="0"/>
        <v>10</v>
      </c>
      <c r="B21" s="245" t="s">
        <v>1585</v>
      </c>
      <c r="C21" s="242"/>
      <c r="D21" s="243"/>
      <c r="E21" s="243"/>
      <c r="F21" s="243">
        <f t="array" ref="F21">SUM(IF("156"&amp;B21=KHN&amp;MH,SL))</f>
        <v>100</v>
      </c>
      <c r="G21" s="243">
        <f t="array" ref="G21">SUM(IF("156"&amp;B21=KHN&amp;MH,TH))</f>
        <v>2925700</v>
      </c>
      <c r="H21" s="243">
        <f t="array" ref="H21">SUM(IF("156"&amp;B21=KHC&amp;MH,SL))</f>
        <v>0</v>
      </c>
      <c r="I21" s="243">
        <f t="array" ref="I21">SUM(IF("156"&amp;B21=KHC&amp;MH,TH))</f>
        <v>0</v>
      </c>
      <c r="J21" s="243">
        <f t="shared" si="1"/>
        <v>100</v>
      </c>
      <c r="K21" s="243">
        <f t="shared" si="2"/>
        <v>2925700</v>
      </c>
      <c r="L21" s="181"/>
    </row>
    <row r="22" spans="1:15" ht="19.5" customHeight="1">
      <c r="A22" s="240">
        <f t="shared" si="0"/>
        <v>11</v>
      </c>
      <c r="B22" s="245" t="s">
        <v>1584</v>
      </c>
      <c r="C22" s="242"/>
      <c r="D22" s="243"/>
      <c r="E22" s="243"/>
      <c r="F22" s="243">
        <f t="array" ref="F22">SUM(IF("156"&amp;B22=KHN&amp;MH,SL))</f>
        <v>116</v>
      </c>
      <c r="G22" s="243">
        <f t="array" ref="G22">SUM(IF("156"&amp;B22=KHN&amp;MH,TH))</f>
        <v>3609224</v>
      </c>
      <c r="H22" s="243">
        <f t="array" ref="H22">SUM(IF("156"&amp;B22=KHC&amp;MH,SL))</f>
        <v>0</v>
      </c>
      <c r="I22" s="243">
        <f t="array" ref="I22">SUM(IF("156"&amp;B22=KHC&amp;MH,TH))</f>
        <v>0</v>
      </c>
      <c r="J22" s="243">
        <f t="shared" si="1"/>
        <v>116</v>
      </c>
      <c r="K22" s="243">
        <f t="shared" si="2"/>
        <v>3609224</v>
      </c>
      <c r="L22" s="181"/>
    </row>
    <row r="23" spans="1:15" ht="19.5" customHeight="1">
      <c r="A23" s="240">
        <f t="shared" si="0"/>
        <v>12</v>
      </c>
      <c r="B23" s="245" t="s">
        <v>1586</v>
      </c>
      <c r="C23" s="242"/>
      <c r="D23" s="243"/>
      <c r="E23" s="243"/>
      <c r="F23" s="243">
        <f t="array" ref="F23">SUM(IF("156"&amp;B23=KHN&amp;MH,SL))</f>
        <v>60</v>
      </c>
      <c r="G23" s="243">
        <f t="array" ref="G23">SUM(IF("156"&amp;B23=KHN&amp;MH,TH))</f>
        <v>1836000</v>
      </c>
      <c r="H23" s="243">
        <f t="array" ref="H23">SUM(IF("156"&amp;B23=KHC&amp;MH,SL))</f>
        <v>0</v>
      </c>
      <c r="I23" s="243">
        <f t="array" ref="I23">SUM(IF("156"&amp;B23=KHC&amp;MH,TH))</f>
        <v>0</v>
      </c>
      <c r="J23" s="243">
        <f t="shared" si="1"/>
        <v>60</v>
      </c>
      <c r="K23" s="243">
        <f t="shared" si="2"/>
        <v>1836000</v>
      </c>
      <c r="L23" s="181"/>
    </row>
    <row r="24" spans="1:15" ht="19.5" customHeight="1">
      <c r="A24" s="240">
        <f t="shared" si="0"/>
        <v>13</v>
      </c>
      <c r="B24" s="249" t="s">
        <v>1589</v>
      </c>
      <c r="C24" s="242"/>
      <c r="D24" s="243"/>
      <c r="E24" s="243"/>
      <c r="F24" s="243">
        <f t="array" ref="F24">SUM(IF("156"&amp;B24=KHN&amp;MH,SL))</f>
        <v>232</v>
      </c>
      <c r="G24" s="243">
        <f t="array" ref="G24">SUM(IF("156"&amp;B24=KHN&amp;MH,TH))</f>
        <v>7393608</v>
      </c>
      <c r="H24" s="243">
        <f t="array" ref="H24">SUM(IF("156"&amp;B24=KHC&amp;MH,SL))</f>
        <v>0</v>
      </c>
      <c r="I24" s="243">
        <f t="array" ref="I24">SUM(IF("156"&amp;B24=KHC&amp;MH,TH))</f>
        <v>0</v>
      </c>
      <c r="J24" s="243">
        <f t="shared" si="1"/>
        <v>232</v>
      </c>
      <c r="K24" s="243">
        <f t="shared" si="2"/>
        <v>7393608</v>
      </c>
      <c r="L24" s="181"/>
    </row>
    <row r="25" spans="1:15" ht="19.5" customHeight="1">
      <c r="A25" s="240">
        <f t="shared" si="0"/>
        <v>14</v>
      </c>
      <c r="B25" s="248" t="s">
        <v>307</v>
      </c>
      <c r="C25" s="242" t="s">
        <v>257</v>
      </c>
      <c r="D25" s="243">
        <v>144</v>
      </c>
      <c r="E25" s="243">
        <v>1317744</v>
      </c>
      <c r="F25" s="243">
        <f t="array" ref="F25">SUM(IF("156"&amp;B25=KHN&amp;MH,SL))</f>
        <v>0</v>
      </c>
      <c r="G25" s="243">
        <f t="array" ref="G25">SUM(IF("156"&amp;B25=KHN&amp;MH,TH))</f>
        <v>0</v>
      </c>
      <c r="H25" s="243">
        <f t="array" ref="H25">SUM(IF("156"&amp;B25=KHC&amp;MH,SL))</f>
        <v>144</v>
      </c>
      <c r="I25" s="243">
        <f t="array" ref="I25">SUM(IF("156"&amp;B25=KHC&amp;MH,TH))</f>
        <v>1317744</v>
      </c>
      <c r="J25" s="243">
        <f t="shared" si="1"/>
        <v>0</v>
      </c>
      <c r="K25" s="243">
        <f t="shared" si="2"/>
        <v>0</v>
      </c>
      <c r="L25" s="181"/>
      <c r="N25" s="244"/>
      <c r="O25" s="244"/>
    </row>
    <row r="26" spans="1:15" ht="19.5" customHeight="1">
      <c r="A26" s="240">
        <f t="shared" si="0"/>
        <v>15</v>
      </c>
      <c r="B26" s="249" t="s">
        <v>1588</v>
      </c>
      <c r="C26" s="242"/>
      <c r="D26" s="243"/>
      <c r="E26" s="243"/>
      <c r="F26" s="243">
        <f t="array" ref="F26">SUM(IF("156"&amp;B26=KHN&amp;MH,SL))</f>
        <v>200</v>
      </c>
      <c r="G26" s="243">
        <f t="array" ref="G26">SUM(IF("156"&amp;B26=KHN&amp;MH,TH))</f>
        <v>6656200</v>
      </c>
      <c r="H26" s="243">
        <f t="array" ref="H26">SUM(IF("156"&amp;B26=KHC&amp;MH,SL))</f>
        <v>0</v>
      </c>
      <c r="I26" s="243">
        <f t="array" ref="I26">SUM(IF("156"&amp;B26=KHC&amp;MH,TH))</f>
        <v>0</v>
      </c>
      <c r="J26" s="243">
        <f t="shared" si="1"/>
        <v>200</v>
      </c>
      <c r="K26" s="243">
        <f t="shared" si="2"/>
        <v>6656200</v>
      </c>
      <c r="L26" s="181"/>
    </row>
    <row r="27" spans="1:15" ht="19.5" customHeight="1">
      <c r="A27" s="240">
        <f t="shared" si="0"/>
        <v>16</v>
      </c>
      <c r="B27" s="249" t="s">
        <v>1587</v>
      </c>
      <c r="C27" s="242"/>
      <c r="D27" s="243"/>
      <c r="E27" s="243"/>
      <c r="F27" s="243">
        <f t="array" ref="F27">SUM(IF("156"&amp;B27=KHN&amp;MH,SL))</f>
        <v>100</v>
      </c>
      <c r="G27" s="243">
        <f t="array" ref="G27">SUM(IF("156"&amp;B27=KHN&amp;MH,TH))</f>
        <v>3393000</v>
      </c>
      <c r="H27" s="243">
        <f t="array" ref="H27">SUM(IF("156"&amp;B27=KHC&amp;MH,SL))</f>
        <v>0</v>
      </c>
      <c r="I27" s="243">
        <f t="array" ref="I27">SUM(IF("156"&amp;B27=KHC&amp;MH,TH))</f>
        <v>0</v>
      </c>
      <c r="J27" s="243">
        <f t="shared" si="1"/>
        <v>100</v>
      </c>
      <c r="K27" s="243">
        <f t="shared" si="2"/>
        <v>3393000</v>
      </c>
      <c r="L27" s="181"/>
    </row>
    <row r="28" spans="1:15" ht="19.5" customHeight="1">
      <c r="A28" s="240">
        <f t="shared" si="0"/>
        <v>17</v>
      </c>
      <c r="B28" s="249" t="s">
        <v>354</v>
      </c>
      <c r="C28" s="242" t="s">
        <v>257</v>
      </c>
      <c r="D28" s="243">
        <v>118</v>
      </c>
      <c r="E28" s="243">
        <v>1635480</v>
      </c>
      <c r="F28" s="243">
        <f t="array" ref="F28">SUM(IF("156"&amp;B28=KHN&amp;MH,SL))</f>
        <v>0</v>
      </c>
      <c r="G28" s="243">
        <f t="array" ref="G28">SUM(IF("156"&amp;B28=KHN&amp;MH,TH))</f>
        <v>0</v>
      </c>
      <c r="H28" s="243">
        <f t="array" ref="H28">SUM(IF("156"&amp;B28=KHC&amp;MH,SL))</f>
        <v>118</v>
      </c>
      <c r="I28" s="243">
        <f t="array" ref="I28">SUM(IF("156"&amp;B28=KHC&amp;MH,TH))</f>
        <v>1635480</v>
      </c>
      <c r="J28" s="243">
        <f t="shared" si="1"/>
        <v>0</v>
      </c>
      <c r="K28" s="243">
        <f t="shared" si="2"/>
        <v>0</v>
      </c>
      <c r="L28" s="181"/>
    </row>
    <row r="29" spans="1:15" ht="19.5" customHeight="1">
      <c r="A29" s="240">
        <f t="shared" si="0"/>
        <v>18</v>
      </c>
      <c r="B29" s="247" t="s">
        <v>355</v>
      </c>
      <c r="C29" s="242" t="s">
        <v>257</v>
      </c>
      <c r="D29" s="243">
        <v>124</v>
      </c>
      <c r="E29" s="243">
        <v>1890504</v>
      </c>
      <c r="F29" s="243">
        <f t="array" ref="F29">SUM(IF("156"&amp;B29=KHN&amp;MH,SL))</f>
        <v>0</v>
      </c>
      <c r="G29" s="243">
        <f t="array" ref="G29">SUM(IF("156"&amp;B29=KHN&amp;MH,TH))</f>
        <v>0</v>
      </c>
      <c r="H29" s="243">
        <f t="array" ref="H29">SUM(IF("156"&amp;B29=KHC&amp;MH,SL))</f>
        <v>124</v>
      </c>
      <c r="I29" s="243">
        <f t="array" ref="I29">SUM(IF("156"&amp;B29=KHC&amp;MH,TH))</f>
        <v>1890504</v>
      </c>
      <c r="J29" s="243">
        <f t="shared" si="1"/>
        <v>0</v>
      </c>
      <c r="K29" s="243">
        <f t="shared" si="2"/>
        <v>0</v>
      </c>
      <c r="L29" s="181"/>
    </row>
    <row r="30" spans="1:15" ht="19.5" customHeight="1">
      <c r="A30" s="240">
        <f t="shared" si="0"/>
        <v>19</v>
      </c>
      <c r="B30" s="248" t="s">
        <v>353</v>
      </c>
      <c r="C30" s="242" t="s">
        <v>257</v>
      </c>
      <c r="D30" s="243">
        <v>400</v>
      </c>
      <c r="E30" s="243">
        <v>7286400</v>
      </c>
      <c r="F30" s="243">
        <f t="array" ref="F30">SUM(IF("156"&amp;B30=KHN&amp;MH,SL))</f>
        <v>0</v>
      </c>
      <c r="G30" s="243">
        <f t="array" ref="G30">SUM(IF("156"&amp;B30=KHN&amp;MH,TH))</f>
        <v>0</v>
      </c>
      <c r="H30" s="243">
        <f t="array" ref="H30">SUM(IF("156"&amp;B30=KHC&amp;MH,SL))</f>
        <v>400</v>
      </c>
      <c r="I30" s="243">
        <f t="array" ref="I30">SUM(IF("156"&amp;B30=KHC&amp;MH,TH))</f>
        <v>7286400</v>
      </c>
      <c r="J30" s="243">
        <f t="shared" si="1"/>
        <v>0</v>
      </c>
      <c r="K30" s="243">
        <f t="shared" si="2"/>
        <v>0</v>
      </c>
      <c r="L30" s="181"/>
    </row>
    <row r="31" spans="1:15" ht="19.5" customHeight="1">
      <c r="A31" s="240">
        <f t="shared" si="0"/>
        <v>20</v>
      </c>
      <c r="B31" s="247" t="s">
        <v>362</v>
      </c>
      <c r="C31" s="242" t="s">
        <v>257</v>
      </c>
      <c r="D31" s="243">
        <v>100</v>
      </c>
      <c r="E31" s="243">
        <v>1861200</v>
      </c>
      <c r="F31" s="243">
        <f t="array" ref="F31">SUM(IF("156"&amp;B31=KHN&amp;MH,SL))</f>
        <v>0</v>
      </c>
      <c r="G31" s="243">
        <f t="array" ref="G31">SUM(IF("156"&amp;B31=KHN&amp;MH,TH))</f>
        <v>0</v>
      </c>
      <c r="H31" s="243">
        <f t="array" ref="H31">SUM(IF("156"&amp;B31=KHC&amp;MH,SL))</f>
        <v>100</v>
      </c>
      <c r="I31" s="243">
        <f t="array" ref="I31">SUM(IF("156"&amp;B31=KHC&amp;MH,TH))</f>
        <v>1861200</v>
      </c>
      <c r="J31" s="243">
        <f t="shared" si="1"/>
        <v>0</v>
      </c>
      <c r="K31" s="243">
        <f t="shared" si="2"/>
        <v>0</v>
      </c>
      <c r="L31" s="181"/>
    </row>
    <row r="32" spans="1:15" ht="19.5" customHeight="1">
      <c r="A32" s="240">
        <f t="shared" si="0"/>
        <v>21</v>
      </c>
      <c r="B32" s="247" t="s">
        <v>366</v>
      </c>
      <c r="C32" s="242" t="s">
        <v>257</v>
      </c>
      <c r="D32" s="243">
        <v>183</v>
      </c>
      <c r="E32" s="243">
        <v>5811165</v>
      </c>
      <c r="F32" s="243">
        <f t="array" ref="F32">SUM(IF("156"&amp;B32=KHN&amp;MH,SL))</f>
        <v>0</v>
      </c>
      <c r="G32" s="243">
        <f t="array" ref="G32">SUM(IF("156"&amp;B32=KHN&amp;MH,TH))</f>
        <v>0</v>
      </c>
      <c r="H32" s="243">
        <f t="array" ref="H32">SUM(IF("156"&amp;B32=KHC&amp;MH,SL))</f>
        <v>183</v>
      </c>
      <c r="I32" s="243">
        <f t="array" ref="I32">SUM(IF("156"&amp;B32=KHC&amp;MH,TH))</f>
        <v>5811165</v>
      </c>
      <c r="J32" s="243">
        <f t="shared" si="1"/>
        <v>0</v>
      </c>
      <c r="K32" s="243">
        <f t="shared" si="2"/>
        <v>0</v>
      </c>
      <c r="L32" s="181"/>
    </row>
    <row r="33" spans="1:12" ht="19.5" customHeight="1">
      <c r="A33" s="240">
        <f t="shared" si="0"/>
        <v>22</v>
      </c>
      <c r="B33" s="249" t="s">
        <v>368</v>
      </c>
      <c r="C33" s="242" t="s">
        <v>257</v>
      </c>
      <c r="D33" s="243">
        <v>123</v>
      </c>
      <c r="E33" s="243">
        <v>3092958</v>
      </c>
      <c r="F33" s="243">
        <f t="array" ref="F33">SUM(IF("156"&amp;B33=KHN&amp;MH,SL))</f>
        <v>0</v>
      </c>
      <c r="G33" s="243">
        <f t="array" ref="G33">SUM(IF("156"&amp;B33=KHN&amp;MH,TH))</f>
        <v>0</v>
      </c>
      <c r="H33" s="243">
        <f t="array" ref="H33">SUM(IF("156"&amp;B33=KHC&amp;MH,SL))</f>
        <v>123</v>
      </c>
      <c r="I33" s="243">
        <f t="array" ref="I33">SUM(IF("156"&amp;B33=KHC&amp;MH,TH))</f>
        <v>3092958</v>
      </c>
      <c r="J33" s="243">
        <f t="shared" si="1"/>
        <v>0</v>
      </c>
      <c r="K33" s="243">
        <f t="shared" si="2"/>
        <v>0</v>
      </c>
      <c r="L33" s="181"/>
    </row>
    <row r="34" spans="1:12" ht="19.5" customHeight="1">
      <c r="A34" s="240">
        <f t="shared" si="0"/>
        <v>23</v>
      </c>
      <c r="B34" s="247" t="s">
        <v>328</v>
      </c>
      <c r="C34" s="242" t="s">
        <v>257</v>
      </c>
      <c r="D34" s="243">
        <v>505</v>
      </c>
      <c r="E34" s="243">
        <v>9213725</v>
      </c>
      <c r="F34" s="243">
        <f t="array" ref="F34">SUM(IF("156"&amp;B34=KHN&amp;MH,SL))</f>
        <v>0</v>
      </c>
      <c r="G34" s="243">
        <f t="array" ref="G34">SUM(IF("156"&amp;B34=KHN&amp;MH,TH))</f>
        <v>0</v>
      </c>
      <c r="H34" s="243">
        <f t="array" ref="H34">SUM(IF("156"&amp;B34=KHC&amp;MH,SL))</f>
        <v>505</v>
      </c>
      <c r="I34" s="243">
        <f t="array" ref="I34">SUM(IF("156"&amp;B34=KHC&amp;MH,TH))</f>
        <v>9213725</v>
      </c>
      <c r="J34" s="243">
        <f t="shared" si="1"/>
        <v>0</v>
      </c>
      <c r="K34" s="243">
        <f t="shared" si="2"/>
        <v>0</v>
      </c>
      <c r="L34" s="181"/>
    </row>
    <row r="35" spans="1:12" ht="19.5" customHeight="1">
      <c r="A35" s="240">
        <f t="shared" si="0"/>
        <v>24</v>
      </c>
      <c r="B35" s="247" t="s">
        <v>352</v>
      </c>
      <c r="C35" s="242" t="s">
        <v>257</v>
      </c>
      <c r="D35" s="243">
        <v>49</v>
      </c>
      <c r="E35" s="243">
        <v>892584</v>
      </c>
      <c r="F35" s="243">
        <f t="array" ref="F35">SUM(IF("156"&amp;B35=KHN&amp;MH,SL))</f>
        <v>0</v>
      </c>
      <c r="G35" s="243">
        <f t="array" ref="G35">SUM(IF("156"&amp;B35=KHN&amp;MH,TH))</f>
        <v>0</v>
      </c>
      <c r="H35" s="243">
        <f t="array" ref="H35">SUM(IF("156"&amp;B35=KHC&amp;MH,SL))</f>
        <v>49</v>
      </c>
      <c r="I35" s="243">
        <f t="array" ref="I35">SUM(IF("156"&amp;B35=KHC&amp;MH,TH))</f>
        <v>892584</v>
      </c>
      <c r="J35" s="243">
        <f t="shared" si="1"/>
        <v>0</v>
      </c>
      <c r="K35" s="243">
        <f t="shared" si="2"/>
        <v>0</v>
      </c>
      <c r="L35" s="181"/>
    </row>
    <row r="36" spans="1:12" ht="19.5" customHeight="1">
      <c r="A36" s="240">
        <f t="shared" si="0"/>
        <v>25</v>
      </c>
      <c r="B36" s="247" t="s">
        <v>356</v>
      </c>
      <c r="C36" s="242" t="s">
        <v>257</v>
      </c>
      <c r="D36" s="243">
        <v>138</v>
      </c>
      <c r="E36" s="243">
        <v>2457642</v>
      </c>
      <c r="F36" s="243">
        <f t="array" ref="F36">SUM(IF("156"&amp;B36=KHN&amp;MH,SL))</f>
        <v>0</v>
      </c>
      <c r="G36" s="243">
        <f t="array" ref="G36">SUM(IF("156"&amp;B36=KHN&amp;MH,TH))</f>
        <v>0</v>
      </c>
      <c r="H36" s="243">
        <f t="array" ref="H36">SUM(IF("156"&amp;B36=KHC&amp;MH,SL))</f>
        <v>138</v>
      </c>
      <c r="I36" s="243">
        <f t="array" ref="I36">SUM(IF("156"&amp;B36=KHC&amp;MH,TH))</f>
        <v>2457642</v>
      </c>
      <c r="J36" s="243">
        <f t="shared" si="1"/>
        <v>0</v>
      </c>
      <c r="K36" s="243">
        <f t="shared" si="2"/>
        <v>0</v>
      </c>
      <c r="L36" s="181"/>
    </row>
    <row r="37" spans="1:12" ht="19.5" customHeight="1">
      <c r="A37" s="240">
        <f t="shared" si="0"/>
        <v>26</v>
      </c>
      <c r="B37" s="247" t="s">
        <v>350</v>
      </c>
      <c r="C37" s="242" t="s">
        <v>257</v>
      </c>
      <c r="D37" s="243">
        <v>200</v>
      </c>
      <c r="E37" s="243">
        <v>3850200</v>
      </c>
      <c r="F37" s="243">
        <f t="array" ref="F37">SUM(IF("156"&amp;B37=KHN&amp;MH,SL))</f>
        <v>0</v>
      </c>
      <c r="G37" s="243">
        <f t="array" ref="G37">SUM(IF("156"&amp;B37=KHN&amp;MH,TH))</f>
        <v>0</v>
      </c>
      <c r="H37" s="243">
        <f t="array" ref="H37">SUM(IF("156"&amp;B37=KHC&amp;MH,SL))</f>
        <v>200</v>
      </c>
      <c r="I37" s="243">
        <f t="array" ref="I37">SUM(IF("156"&amp;B37=KHC&amp;MH,TH))</f>
        <v>3850200</v>
      </c>
      <c r="J37" s="243">
        <f t="shared" si="1"/>
        <v>0</v>
      </c>
      <c r="K37" s="243">
        <f t="shared" si="2"/>
        <v>0</v>
      </c>
      <c r="L37" s="181"/>
    </row>
    <row r="38" spans="1:12" ht="19.5" customHeight="1">
      <c r="A38" s="240">
        <f t="shared" si="0"/>
        <v>27</v>
      </c>
      <c r="B38" s="247" t="s">
        <v>357</v>
      </c>
      <c r="C38" s="242" t="s">
        <v>257</v>
      </c>
      <c r="D38" s="243">
        <v>99</v>
      </c>
      <c r="E38" s="243">
        <v>1961190</v>
      </c>
      <c r="F38" s="243">
        <f t="array" ref="F38">SUM(IF("156"&amp;B38=KHN&amp;MH,SL))</f>
        <v>0</v>
      </c>
      <c r="G38" s="243">
        <f t="array" ref="G38">SUM(IF("156"&amp;B38=KHN&amp;MH,TH))</f>
        <v>0</v>
      </c>
      <c r="H38" s="243">
        <f t="array" ref="H38">SUM(IF("156"&amp;B38=KHC&amp;MH,SL))</f>
        <v>99</v>
      </c>
      <c r="I38" s="243">
        <f t="array" ref="I38">SUM(IF("156"&amp;B38=KHC&amp;MH,TH))</f>
        <v>1961190</v>
      </c>
      <c r="J38" s="243">
        <f t="shared" si="1"/>
        <v>0</v>
      </c>
      <c r="K38" s="243">
        <f t="shared" si="2"/>
        <v>0</v>
      </c>
      <c r="L38" s="181"/>
    </row>
    <row r="39" spans="1:12" ht="19.5" customHeight="1">
      <c r="A39" s="240">
        <f t="shared" si="0"/>
        <v>28</v>
      </c>
      <c r="B39" s="248" t="s">
        <v>372</v>
      </c>
      <c r="C39" s="242" t="s">
        <v>257</v>
      </c>
      <c r="D39" s="243">
        <v>140</v>
      </c>
      <c r="E39" s="243">
        <v>3071880</v>
      </c>
      <c r="F39" s="243">
        <f t="array" ref="F39">SUM(IF("156"&amp;B39=KHN&amp;MH,SL))</f>
        <v>0</v>
      </c>
      <c r="G39" s="243">
        <f t="array" ref="G39">SUM(IF("156"&amp;B39=KHN&amp;MH,TH))</f>
        <v>0</v>
      </c>
      <c r="H39" s="243">
        <f t="array" ref="H39">SUM(IF("156"&amp;B39=KHC&amp;MH,SL))</f>
        <v>140</v>
      </c>
      <c r="I39" s="243">
        <f t="array" ref="I39">SUM(IF("156"&amp;B39=KHC&amp;MH,TH))</f>
        <v>3071880</v>
      </c>
      <c r="J39" s="243">
        <f t="shared" si="1"/>
        <v>0</v>
      </c>
      <c r="K39" s="243">
        <f t="shared" si="2"/>
        <v>0</v>
      </c>
      <c r="L39" s="181"/>
    </row>
    <row r="40" spans="1:12" ht="19.5" customHeight="1">
      <c r="A40" s="240">
        <f t="shared" si="0"/>
        <v>29</v>
      </c>
      <c r="B40" s="249" t="s">
        <v>561</v>
      </c>
      <c r="C40" s="242" t="s">
        <v>257</v>
      </c>
      <c r="D40" s="243"/>
      <c r="E40" s="243"/>
      <c r="F40" s="243">
        <f t="array" ref="F40">SUM(IF("156"&amp;B40=KHN&amp;MH,SL))</f>
        <v>500</v>
      </c>
      <c r="G40" s="243">
        <f t="array" ref="G40">SUM(IF("156"&amp;B40=KHN&amp;MH,TH))</f>
        <v>7760000</v>
      </c>
      <c r="H40" s="243">
        <f t="array" ref="H40">SUM(IF("156"&amp;B40=KHC&amp;MH,SL))</f>
        <v>500</v>
      </c>
      <c r="I40" s="243">
        <f t="array" ref="I40">SUM(IF("156"&amp;B40=KHC&amp;MH,TH))</f>
        <v>7760000</v>
      </c>
      <c r="J40" s="243">
        <f t="shared" si="1"/>
        <v>0</v>
      </c>
      <c r="K40" s="243">
        <f t="shared" si="2"/>
        <v>0</v>
      </c>
      <c r="L40" s="181"/>
    </row>
    <row r="41" spans="1:12" ht="19.5" customHeight="1">
      <c r="A41" s="240">
        <f t="shared" si="0"/>
        <v>30</v>
      </c>
      <c r="B41" s="249" t="s">
        <v>1083</v>
      </c>
      <c r="C41" s="242" t="s">
        <v>257</v>
      </c>
      <c r="D41" s="243"/>
      <c r="E41" s="243"/>
      <c r="F41" s="243">
        <f t="array" ref="F41">SUM(IF("156"&amp;B41=KHN&amp;MH,SL))</f>
        <v>335</v>
      </c>
      <c r="G41" s="243">
        <f t="array" ref="G41">SUM(IF("156"&amp;B41=KHN&amp;MH,TH))</f>
        <v>5040075</v>
      </c>
      <c r="H41" s="243">
        <f t="array" ref="H41">SUM(IF("156"&amp;B41=KHC&amp;MH,SL))</f>
        <v>335</v>
      </c>
      <c r="I41" s="243">
        <f t="array" ref="I41">SUM(IF("156"&amp;B41=KHC&amp;MH,TH))</f>
        <v>5040075</v>
      </c>
      <c r="J41" s="243">
        <f t="shared" si="1"/>
        <v>0</v>
      </c>
      <c r="K41" s="243">
        <f t="shared" si="2"/>
        <v>0</v>
      </c>
      <c r="L41" s="181"/>
    </row>
    <row r="42" spans="1:12" ht="19.5" customHeight="1">
      <c r="A42" s="240">
        <f t="shared" si="0"/>
        <v>31</v>
      </c>
      <c r="B42" s="248" t="s">
        <v>370</v>
      </c>
      <c r="C42" s="242" t="s">
        <v>257</v>
      </c>
      <c r="D42" s="243">
        <v>249</v>
      </c>
      <c r="E42" s="243">
        <v>5663505</v>
      </c>
      <c r="F42" s="243">
        <f t="array" ref="F42">SUM(IF("156"&amp;B42=KHN&amp;MH,SL))</f>
        <v>0</v>
      </c>
      <c r="G42" s="243">
        <f t="array" ref="G42">SUM(IF("156"&amp;B42=KHN&amp;MH,TH))</f>
        <v>0</v>
      </c>
      <c r="H42" s="243">
        <f t="array" ref="H42">SUM(IF("156"&amp;B42=KHC&amp;MH,SL))</f>
        <v>249</v>
      </c>
      <c r="I42" s="243">
        <f t="array" ref="I42">SUM(IF("156"&amp;B42=KHC&amp;MH,TH))</f>
        <v>5663505</v>
      </c>
      <c r="J42" s="243">
        <f t="shared" si="1"/>
        <v>0</v>
      </c>
      <c r="K42" s="243">
        <f t="shared" si="2"/>
        <v>0</v>
      </c>
      <c r="L42" s="181"/>
    </row>
    <row r="43" spans="1:12" ht="19.5" customHeight="1">
      <c r="A43" s="240">
        <f t="shared" si="0"/>
        <v>32</v>
      </c>
      <c r="B43" s="247" t="s">
        <v>337</v>
      </c>
      <c r="C43" s="242" t="s">
        <v>257</v>
      </c>
      <c r="D43" s="243">
        <v>195</v>
      </c>
      <c r="E43" s="243">
        <v>4003740</v>
      </c>
      <c r="F43" s="243">
        <f t="array" ref="F43">SUM(IF("156"&amp;B43=KHN&amp;MH,SL))</f>
        <v>0</v>
      </c>
      <c r="G43" s="243">
        <f t="array" ref="G43">SUM(IF("156"&amp;B43=KHN&amp;MH,TH))</f>
        <v>0</v>
      </c>
      <c r="H43" s="243">
        <f t="array" ref="H43">SUM(IF("156"&amp;B43=KHC&amp;MH,SL))</f>
        <v>195</v>
      </c>
      <c r="I43" s="243">
        <f t="array" ref="I43">SUM(IF("156"&amp;B43=KHC&amp;MH,TH))</f>
        <v>4003740</v>
      </c>
      <c r="J43" s="243">
        <f t="shared" si="1"/>
        <v>0</v>
      </c>
      <c r="K43" s="243">
        <f t="shared" si="2"/>
        <v>0</v>
      </c>
      <c r="L43" s="181"/>
    </row>
    <row r="44" spans="1:12" ht="19.5" customHeight="1">
      <c r="A44" s="240">
        <f t="shared" si="0"/>
        <v>33</v>
      </c>
      <c r="B44" s="247" t="s">
        <v>407</v>
      </c>
      <c r="C44" s="242" t="s">
        <v>257</v>
      </c>
      <c r="D44" s="243">
        <v>147</v>
      </c>
      <c r="E44" s="243">
        <v>2427264</v>
      </c>
      <c r="F44" s="243">
        <f t="array" ref="F44">SUM(IF("156"&amp;B44=KHN&amp;MH,SL))</f>
        <v>0</v>
      </c>
      <c r="G44" s="243">
        <f t="array" ref="G44">SUM(IF("156"&amp;B44=KHN&amp;MH,TH))</f>
        <v>0</v>
      </c>
      <c r="H44" s="243">
        <f t="array" ref="H44">SUM(IF("156"&amp;B44=KHC&amp;MH,SL))</f>
        <v>147</v>
      </c>
      <c r="I44" s="243">
        <f t="array" ref="I44">SUM(IF("156"&amp;B44=KHC&amp;MH,TH))</f>
        <v>2427264</v>
      </c>
      <c r="J44" s="243">
        <f t="shared" si="1"/>
        <v>0</v>
      </c>
      <c r="K44" s="243">
        <f t="shared" si="2"/>
        <v>0</v>
      </c>
      <c r="L44" s="181"/>
    </row>
    <row r="45" spans="1:12" ht="19.5" customHeight="1">
      <c r="A45" s="240">
        <f t="shared" si="0"/>
        <v>34</v>
      </c>
      <c r="B45" s="249" t="s">
        <v>1591</v>
      </c>
      <c r="C45" s="242"/>
      <c r="D45" s="243"/>
      <c r="E45" s="243"/>
      <c r="F45" s="243">
        <f t="array" ref="F45">SUM(IF("156"&amp;B45=KHN&amp;MH,SL))</f>
        <v>132</v>
      </c>
      <c r="G45" s="243">
        <f t="array" ref="G45">SUM(IF("156"&amp;B45=KHN&amp;MH,TH))</f>
        <v>5453448</v>
      </c>
      <c r="H45" s="243">
        <f t="array" ref="H45">SUM(IF("156"&amp;B45=KHC&amp;MH,SL))</f>
        <v>0</v>
      </c>
      <c r="I45" s="243">
        <f t="array" ref="I45">SUM(IF("156"&amp;B45=KHC&amp;MH,TH))</f>
        <v>0</v>
      </c>
      <c r="J45" s="243">
        <f t="shared" si="1"/>
        <v>132</v>
      </c>
      <c r="K45" s="243">
        <f t="shared" si="2"/>
        <v>5453448</v>
      </c>
      <c r="L45" s="181"/>
    </row>
    <row r="46" spans="1:12" ht="19.5" customHeight="1">
      <c r="A46" s="240">
        <f t="shared" si="0"/>
        <v>35</v>
      </c>
      <c r="B46" s="247" t="s">
        <v>406</v>
      </c>
      <c r="C46" s="242" t="s">
        <v>257</v>
      </c>
      <c r="D46" s="243">
        <v>114</v>
      </c>
      <c r="E46" s="243">
        <v>2917716</v>
      </c>
      <c r="F46" s="243">
        <f t="array" ref="F46">SUM(IF("156"&amp;B46=KHN&amp;MH,SL))</f>
        <v>0</v>
      </c>
      <c r="G46" s="243">
        <f t="array" ref="G46">SUM(IF("156"&amp;B46=KHN&amp;MH,TH))</f>
        <v>0</v>
      </c>
      <c r="H46" s="243">
        <f t="array" ref="H46">SUM(IF("156"&amp;B46=KHC&amp;MH,SL))</f>
        <v>114</v>
      </c>
      <c r="I46" s="243">
        <f t="array" ref="I46">SUM(IF("156"&amp;B46=KHC&amp;MH,TH))</f>
        <v>2917716</v>
      </c>
      <c r="J46" s="243">
        <f t="shared" si="1"/>
        <v>0</v>
      </c>
      <c r="K46" s="243">
        <f t="shared" si="2"/>
        <v>0</v>
      </c>
      <c r="L46" s="181"/>
    </row>
    <row r="47" spans="1:12" ht="19.5" customHeight="1">
      <c r="A47" s="240">
        <f t="shared" si="0"/>
        <v>36</v>
      </c>
      <c r="B47" s="249" t="s">
        <v>560</v>
      </c>
      <c r="C47" s="242" t="s">
        <v>257</v>
      </c>
      <c r="D47" s="243"/>
      <c r="E47" s="243"/>
      <c r="F47" s="243">
        <f t="array" ref="F47">SUM(IF("156"&amp;B47=KHN&amp;MH,SL))</f>
        <v>2480</v>
      </c>
      <c r="G47" s="243">
        <f t="array" ref="G47">SUM(IF("156"&amp;B47=KHN&amp;MH,TH))</f>
        <v>43040540</v>
      </c>
      <c r="H47" s="243">
        <f t="array" ref="H47">SUM(IF("156"&amp;B47=KHC&amp;MH,SL))</f>
        <v>1500</v>
      </c>
      <c r="I47" s="243">
        <f t="array" ref="I47">SUM(IF("156"&amp;B47=KHC&amp;MH,TH))</f>
        <v>26137500</v>
      </c>
      <c r="J47" s="243">
        <f t="shared" si="1"/>
        <v>980</v>
      </c>
      <c r="K47" s="243">
        <f t="shared" si="2"/>
        <v>16903040</v>
      </c>
      <c r="L47" s="181"/>
    </row>
    <row r="48" spans="1:12" ht="19.5" customHeight="1">
      <c r="A48" s="240">
        <f t="shared" si="0"/>
        <v>37</v>
      </c>
      <c r="B48" s="247" t="s">
        <v>308</v>
      </c>
      <c r="C48" s="242" t="s">
        <v>257</v>
      </c>
      <c r="D48" s="243">
        <v>240</v>
      </c>
      <c r="E48" s="243">
        <v>2715840</v>
      </c>
      <c r="F48" s="243">
        <f t="array" ref="F48">SUM(IF("156"&amp;B48=KHN&amp;MH,SL))</f>
        <v>0</v>
      </c>
      <c r="G48" s="243">
        <f t="array" ref="G48">SUM(IF("156"&amp;B48=KHN&amp;MH,TH))</f>
        <v>0</v>
      </c>
      <c r="H48" s="243">
        <f t="array" ref="H48">SUM(IF("156"&amp;B48=KHC&amp;MH,SL))</f>
        <v>240</v>
      </c>
      <c r="I48" s="243">
        <f t="array" ref="I48">SUM(IF("156"&amp;B48=KHC&amp;MH,TH))</f>
        <v>2715840</v>
      </c>
      <c r="J48" s="243">
        <f t="shared" si="1"/>
        <v>0</v>
      </c>
      <c r="K48" s="243">
        <f t="shared" si="2"/>
        <v>0</v>
      </c>
      <c r="L48" s="181"/>
    </row>
    <row r="49" spans="1:12" ht="19.5" customHeight="1">
      <c r="A49" s="240">
        <f t="shared" si="0"/>
        <v>38</v>
      </c>
      <c r="B49" s="247" t="s">
        <v>309</v>
      </c>
      <c r="C49" s="242" t="s">
        <v>257</v>
      </c>
      <c r="D49" s="243">
        <v>170</v>
      </c>
      <c r="E49" s="243">
        <v>3542630</v>
      </c>
      <c r="F49" s="243">
        <f t="array" ref="F49">SUM(IF("156"&amp;B49=KHN&amp;MH,SL))</f>
        <v>0</v>
      </c>
      <c r="G49" s="243">
        <f t="array" ref="G49">SUM(IF("156"&amp;B49=KHN&amp;MH,TH))</f>
        <v>0</v>
      </c>
      <c r="H49" s="243">
        <f t="array" ref="H49">SUM(IF("156"&amp;B49=KHC&amp;MH,SL))</f>
        <v>170</v>
      </c>
      <c r="I49" s="243">
        <f t="array" ref="I49">SUM(IF("156"&amp;B49=KHC&amp;MH,TH))</f>
        <v>3542630</v>
      </c>
      <c r="J49" s="243">
        <f t="shared" si="1"/>
        <v>0</v>
      </c>
      <c r="K49" s="243">
        <f t="shared" si="2"/>
        <v>0</v>
      </c>
      <c r="L49" s="181"/>
    </row>
    <row r="50" spans="1:12" ht="19.5" customHeight="1">
      <c r="A50" s="240">
        <f t="shared" si="0"/>
        <v>39</v>
      </c>
      <c r="B50" s="247" t="s">
        <v>310</v>
      </c>
      <c r="C50" s="242" t="s">
        <v>257</v>
      </c>
      <c r="D50" s="243">
        <v>125</v>
      </c>
      <c r="E50" s="243">
        <v>2701375</v>
      </c>
      <c r="F50" s="243">
        <f t="array" ref="F50">SUM(IF("156"&amp;B50=KHN&amp;MH,SL))</f>
        <v>0</v>
      </c>
      <c r="G50" s="243">
        <f t="array" ref="G50">SUM(IF("156"&amp;B50=KHN&amp;MH,TH))</f>
        <v>0</v>
      </c>
      <c r="H50" s="243">
        <f t="array" ref="H50">SUM(IF("156"&amp;B50=KHC&amp;MH,SL))</f>
        <v>125</v>
      </c>
      <c r="I50" s="243">
        <f t="array" ref="I50">SUM(IF("156"&amp;B50=KHC&amp;MH,TH))</f>
        <v>2701375</v>
      </c>
      <c r="J50" s="243">
        <f t="shared" si="1"/>
        <v>0</v>
      </c>
      <c r="K50" s="243">
        <f t="shared" si="2"/>
        <v>0</v>
      </c>
      <c r="L50" s="181"/>
    </row>
    <row r="51" spans="1:12" ht="19.5" customHeight="1">
      <c r="A51" s="240">
        <f t="shared" si="0"/>
        <v>40</v>
      </c>
      <c r="B51" s="247" t="s">
        <v>311</v>
      </c>
      <c r="C51" s="242" t="s">
        <v>257</v>
      </c>
      <c r="D51" s="243">
        <v>200</v>
      </c>
      <c r="E51" s="243">
        <v>2195600</v>
      </c>
      <c r="F51" s="243">
        <f t="array" ref="F51">SUM(IF("156"&amp;B51=KHN&amp;MH,SL))</f>
        <v>0</v>
      </c>
      <c r="G51" s="243">
        <f t="array" ref="G51">SUM(IF("156"&amp;B51=KHN&amp;MH,TH))</f>
        <v>0</v>
      </c>
      <c r="H51" s="243">
        <f t="array" ref="H51">SUM(IF("156"&amp;B51=KHC&amp;MH,SL))</f>
        <v>200</v>
      </c>
      <c r="I51" s="243">
        <f t="array" ref="I51">SUM(IF("156"&amp;B51=KHC&amp;MH,TH))</f>
        <v>2195600</v>
      </c>
      <c r="J51" s="243">
        <f t="shared" si="1"/>
        <v>0</v>
      </c>
      <c r="K51" s="243">
        <f t="shared" si="2"/>
        <v>0</v>
      </c>
      <c r="L51" s="181"/>
    </row>
    <row r="52" spans="1:12" ht="19.5" customHeight="1">
      <c r="A52" s="240">
        <f t="shared" si="0"/>
        <v>41</v>
      </c>
      <c r="B52" s="248" t="s">
        <v>360</v>
      </c>
      <c r="C52" s="242" t="s">
        <v>257</v>
      </c>
      <c r="D52" s="243">
        <v>151</v>
      </c>
      <c r="E52" s="243">
        <v>2726003</v>
      </c>
      <c r="F52" s="243">
        <f t="array" ref="F52">SUM(IF("156"&amp;B52=KHN&amp;MH,SL))</f>
        <v>0</v>
      </c>
      <c r="G52" s="243">
        <f t="array" ref="G52">SUM(IF("156"&amp;B52=KHN&amp;MH,TH))</f>
        <v>0</v>
      </c>
      <c r="H52" s="243">
        <f t="array" ref="H52">SUM(IF("156"&amp;B52=KHC&amp;MH,SL))</f>
        <v>151</v>
      </c>
      <c r="I52" s="243">
        <f t="array" ref="I52">SUM(IF("156"&amp;B52=KHC&amp;MH,TH))</f>
        <v>2726003</v>
      </c>
      <c r="J52" s="243">
        <f t="shared" si="1"/>
        <v>0</v>
      </c>
      <c r="K52" s="243">
        <f t="shared" si="2"/>
        <v>0</v>
      </c>
      <c r="L52" s="181"/>
    </row>
    <row r="53" spans="1:12" ht="19.5" customHeight="1">
      <c r="A53" s="240">
        <f t="shared" si="0"/>
        <v>42</v>
      </c>
      <c r="B53" s="248" t="s">
        <v>361</v>
      </c>
      <c r="C53" s="242" t="s">
        <v>257</v>
      </c>
      <c r="D53" s="243">
        <v>250</v>
      </c>
      <c r="E53" s="243">
        <v>3179250</v>
      </c>
      <c r="F53" s="243">
        <f t="array" ref="F53">SUM(IF("156"&amp;B53=KHN&amp;MH,SL))</f>
        <v>0</v>
      </c>
      <c r="G53" s="243">
        <f t="array" ref="G53">SUM(IF("156"&amp;B53=KHN&amp;MH,TH))</f>
        <v>0</v>
      </c>
      <c r="H53" s="243">
        <f t="array" ref="H53">SUM(IF("156"&amp;B53=KHC&amp;MH,SL))</f>
        <v>0</v>
      </c>
      <c r="I53" s="243">
        <f t="array" ref="I53">SUM(IF("156"&amp;B53=KHC&amp;MH,TH))</f>
        <v>0</v>
      </c>
      <c r="J53" s="243">
        <f t="shared" si="1"/>
        <v>250</v>
      </c>
      <c r="K53" s="243">
        <f t="shared" si="2"/>
        <v>3179250</v>
      </c>
      <c r="L53" s="181">
        <f>K53/J53</f>
        <v>12717</v>
      </c>
    </row>
    <row r="54" spans="1:12" ht="19.5" customHeight="1">
      <c r="A54" s="240">
        <f t="shared" si="0"/>
        <v>43</v>
      </c>
      <c r="B54" s="248" t="s">
        <v>351</v>
      </c>
      <c r="C54" s="242" t="s">
        <v>257</v>
      </c>
      <c r="D54" s="243">
        <v>40</v>
      </c>
      <c r="E54" s="243">
        <v>855000</v>
      </c>
      <c r="F54" s="243">
        <f t="array" ref="F54">SUM(IF("156"&amp;B54=KHN&amp;MH,SL))</f>
        <v>0</v>
      </c>
      <c r="G54" s="243">
        <f t="array" ref="G54">SUM(IF("156"&amp;B54=KHN&amp;MH,TH))</f>
        <v>0</v>
      </c>
      <c r="H54" s="243">
        <f t="array" ref="H54">SUM(IF("156"&amp;B54=KHC&amp;MH,SL))</f>
        <v>40</v>
      </c>
      <c r="I54" s="243">
        <f t="array" ref="I54">SUM(IF("156"&amp;B54=KHC&amp;MH,TH))</f>
        <v>855000</v>
      </c>
      <c r="J54" s="243">
        <f t="shared" si="1"/>
        <v>0</v>
      </c>
      <c r="K54" s="243">
        <f t="shared" si="2"/>
        <v>0</v>
      </c>
      <c r="L54" s="181"/>
    </row>
    <row r="55" spans="1:12" ht="19.5" customHeight="1">
      <c r="A55" s="240">
        <f t="shared" si="0"/>
        <v>44</v>
      </c>
      <c r="B55" s="249" t="s">
        <v>312</v>
      </c>
      <c r="C55" s="242" t="s">
        <v>257</v>
      </c>
      <c r="D55" s="243">
        <v>140</v>
      </c>
      <c r="E55" s="243">
        <v>2173920</v>
      </c>
      <c r="F55" s="243">
        <f t="array" ref="F55">SUM(IF("156"&amp;B55=KHN&amp;MH,SL))</f>
        <v>0</v>
      </c>
      <c r="G55" s="243">
        <f t="array" ref="G55">SUM(IF("156"&amp;B55=KHN&amp;MH,TH))</f>
        <v>0</v>
      </c>
      <c r="H55" s="243">
        <f t="array" ref="H55">SUM(IF("156"&amp;B55=KHC&amp;MH,SL))</f>
        <v>140</v>
      </c>
      <c r="I55" s="243">
        <f t="array" ref="I55">SUM(IF("156"&amp;B55=KHC&amp;MH,TH))</f>
        <v>2173920</v>
      </c>
      <c r="J55" s="243">
        <f t="shared" si="1"/>
        <v>0</v>
      </c>
      <c r="K55" s="243">
        <f t="shared" si="2"/>
        <v>0</v>
      </c>
      <c r="L55" s="181"/>
    </row>
    <row r="56" spans="1:12" ht="19.5" customHeight="1">
      <c r="A56" s="240">
        <f t="shared" si="0"/>
        <v>45</v>
      </c>
      <c r="B56" s="247" t="s">
        <v>313</v>
      </c>
      <c r="C56" s="242" t="s">
        <v>257</v>
      </c>
      <c r="D56" s="243">
        <v>200</v>
      </c>
      <c r="E56" s="243">
        <v>2284200</v>
      </c>
      <c r="F56" s="243">
        <f t="array" ref="F56">SUM(IF("156"&amp;B56=KHN&amp;MH,SL))</f>
        <v>0</v>
      </c>
      <c r="G56" s="243">
        <f t="array" ref="G56">SUM(IF("156"&amp;B56=KHN&amp;MH,TH))</f>
        <v>0</v>
      </c>
      <c r="H56" s="243">
        <f t="array" ref="H56">SUM(IF("156"&amp;B56=KHC&amp;MH,SL))</f>
        <v>200</v>
      </c>
      <c r="I56" s="243">
        <f t="array" ref="I56">SUM(IF("156"&amp;B56=KHC&amp;MH,TH))</f>
        <v>2284200</v>
      </c>
      <c r="J56" s="243">
        <f t="shared" si="1"/>
        <v>0</v>
      </c>
      <c r="K56" s="243">
        <f t="shared" si="2"/>
        <v>0</v>
      </c>
      <c r="L56" s="181"/>
    </row>
    <row r="57" spans="1:12" ht="19.5" customHeight="1">
      <c r="A57" s="240">
        <f t="shared" si="0"/>
        <v>46</v>
      </c>
      <c r="B57" s="247" t="s">
        <v>381</v>
      </c>
      <c r="C57" s="242" t="s">
        <v>257</v>
      </c>
      <c r="D57" s="243">
        <v>167</v>
      </c>
      <c r="E57" s="243">
        <v>2109544</v>
      </c>
      <c r="F57" s="243">
        <f t="array" ref="F57">SUM(IF("156"&amp;B57=KHN&amp;MH,SL))</f>
        <v>0</v>
      </c>
      <c r="G57" s="243">
        <f t="array" ref="G57">SUM(IF("156"&amp;B57=KHN&amp;MH,TH))</f>
        <v>0</v>
      </c>
      <c r="H57" s="243">
        <f t="array" ref="H57">SUM(IF("156"&amp;B57=KHC&amp;MH,SL))</f>
        <v>167</v>
      </c>
      <c r="I57" s="243">
        <f t="array" ref="I57">SUM(IF("156"&amp;B57=KHC&amp;MH,TH))</f>
        <v>2109544</v>
      </c>
      <c r="J57" s="243">
        <f t="shared" si="1"/>
        <v>0</v>
      </c>
      <c r="K57" s="243">
        <f t="shared" si="2"/>
        <v>0</v>
      </c>
      <c r="L57" s="181"/>
    </row>
    <row r="58" spans="1:12" ht="19.5" customHeight="1">
      <c r="A58" s="240">
        <f t="shared" si="0"/>
        <v>47</v>
      </c>
      <c r="B58" s="249" t="s">
        <v>1381</v>
      </c>
      <c r="C58" s="242"/>
      <c r="D58" s="243"/>
      <c r="E58" s="243"/>
      <c r="F58" s="243">
        <f t="array" ref="F58">SUM(IF("156"&amp;B58=KHN&amp;MH,SL))</f>
        <v>900</v>
      </c>
      <c r="G58" s="243">
        <f t="array" ref="G58">SUM(IF("156"&amp;B58=KHN&amp;MH,TH))</f>
        <v>16511400</v>
      </c>
      <c r="H58" s="243">
        <f t="array" ref="H58">SUM(IF("156"&amp;B58=KHC&amp;MH,SL))</f>
        <v>0</v>
      </c>
      <c r="I58" s="243">
        <f t="array" ref="I58">SUM(IF("156"&amp;B58=KHC&amp;MH,TH))</f>
        <v>0</v>
      </c>
      <c r="J58" s="243">
        <f t="shared" si="1"/>
        <v>900</v>
      </c>
      <c r="K58" s="243">
        <f t="shared" si="2"/>
        <v>16511400</v>
      </c>
      <c r="L58" s="181"/>
    </row>
    <row r="59" spans="1:12" ht="19.5" customHeight="1">
      <c r="A59" s="240">
        <f t="shared" si="0"/>
        <v>48</v>
      </c>
      <c r="B59" s="248" t="s">
        <v>371</v>
      </c>
      <c r="C59" s="242" t="s">
        <v>257</v>
      </c>
      <c r="D59" s="243">
        <v>123</v>
      </c>
      <c r="E59" s="243">
        <v>1717080</v>
      </c>
      <c r="F59" s="243">
        <f t="array" ref="F59">SUM(IF("156"&amp;B59=KHN&amp;MH,SL))</f>
        <v>0</v>
      </c>
      <c r="G59" s="243">
        <f t="array" ref="G59">SUM(IF("156"&amp;B59=KHN&amp;MH,TH))</f>
        <v>0</v>
      </c>
      <c r="H59" s="243">
        <f t="array" ref="H59">SUM(IF("156"&amp;B59=KHC&amp;MH,SL))</f>
        <v>0</v>
      </c>
      <c r="I59" s="243">
        <f t="array" ref="I59">SUM(IF("156"&amp;B59=KHC&amp;MH,TH))</f>
        <v>0</v>
      </c>
      <c r="J59" s="243">
        <f t="shared" si="1"/>
        <v>123</v>
      </c>
      <c r="K59" s="243">
        <f t="shared" si="2"/>
        <v>1717080</v>
      </c>
      <c r="L59" s="181">
        <f>K59/J59</f>
        <v>13960</v>
      </c>
    </row>
    <row r="60" spans="1:12" ht="19.5" customHeight="1">
      <c r="A60" s="240">
        <f t="shared" si="0"/>
        <v>49</v>
      </c>
      <c r="B60" s="247" t="s">
        <v>358</v>
      </c>
      <c r="C60" s="242" t="s">
        <v>257</v>
      </c>
      <c r="D60" s="243">
        <v>275</v>
      </c>
      <c r="E60" s="243">
        <v>5746658</v>
      </c>
      <c r="F60" s="243">
        <f t="array" ref="F60">SUM(IF("156"&amp;B60=KHN&amp;MH,SL))</f>
        <v>0</v>
      </c>
      <c r="G60" s="243">
        <f t="array" ref="G60">SUM(IF("156"&amp;B60=KHN&amp;MH,TH))</f>
        <v>0</v>
      </c>
      <c r="H60" s="243">
        <f t="array" ref="H60">SUM(IF("156"&amp;B60=KHC&amp;MH,SL))</f>
        <v>275</v>
      </c>
      <c r="I60" s="243">
        <f t="array" ref="I60">SUM(IF("156"&amp;B60=KHC&amp;MH,TH))</f>
        <v>5746658</v>
      </c>
      <c r="J60" s="243">
        <f t="shared" si="1"/>
        <v>0</v>
      </c>
      <c r="K60" s="243">
        <f t="shared" si="2"/>
        <v>0</v>
      </c>
      <c r="L60" s="181"/>
    </row>
    <row r="61" spans="1:12" ht="19.5" customHeight="1">
      <c r="A61" s="240">
        <f t="shared" si="0"/>
        <v>50</v>
      </c>
      <c r="B61" s="247" t="s">
        <v>369</v>
      </c>
      <c r="C61" s="242" t="s">
        <v>257</v>
      </c>
      <c r="D61" s="243">
        <v>251</v>
      </c>
      <c r="E61" s="243">
        <v>6959979</v>
      </c>
      <c r="F61" s="243">
        <f t="array" ref="F61">SUM(IF("156"&amp;B61=KHN&amp;MH,SL))</f>
        <v>0</v>
      </c>
      <c r="G61" s="243">
        <f t="array" ref="G61">SUM(IF("156"&amp;B61=KHN&amp;MH,TH))</f>
        <v>0</v>
      </c>
      <c r="H61" s="243">
        <f t="array" ref="H61">SUM(IF("156"&amp;B61=KHC&amp;MH,SL))</f>
        <v>251</v>
      </c>
      <c r="I61" s="243">
        <f t="array" ref="I61">SUM(IF("156"&amp;B61=KHC&amp;MH,TH))</f>
        <v>6959979</v>
      </c>
      <c r="J61" s="243">
        <f t="shared" si="1"/>
        <v>0</v>
      </c>
      <c r="K61" s="243">
        <f t="shared" si="2"/>
        <v>0</v>
      </c>
      <c r="L61" s="181"/>
    </row>
    <row r="62" spans="1:12" ht="19.5" customHeight="1">
      <c r="A62" s="240">
        <f t="shared" si="0"/>
        <v>51</v>
      </c>
      <c r="B62" s="249" t="s">
        <v>1173</v>
      </c>
      <c r="C62" s="242" t="s">
        <v>257</v>
      </c>
      <c r="D62" s="243"/>
      <c r="E62" s="243"/>
      <c r="F62" s="243">
        <f t="array" ref="F62">SUM(IF("156"&amp;B62=KHN&amp;MH,SL))</f>
        <v>32</v>
      </c>
      <c r="G62" s="243">
        <f t="array" ref="G62">SUM(IF("156"&amp;B62=KHN&amp;MH,TH))</f>
        <v>1777560</v>
      </c>
      <c r="H62" s="243">
        <f t="array" ref="H62">SUM(IF("156"&amp;B62=KHC&amp;MH,SL))</f>
        <v>12</v>
      </c>
      <c r="I62" s="243">
        <f t="array" ref="I62">SUM(IF("156"&amp;B62=KHC&amp;MH,TH))</f>
        <v>666600</v>
      </c>
      <c r="J62" s="243">
        <f t="shared" si="1"/>
        <v>20</v>
      </c>
      <c r="K62" s="243">
        <f t="shared" si="2"/>
        <v>1110960</v>
      </c>
      <c r="L62" s="181"/>
    </row>
    <row r="63" spans="1:12" ht="19.5" customHeight="1">
      <c r="A63" s="240">
        <f t="shared" si="0"/>
        <v>52</v>
      </c>
      <c r="B63" s="247" t="s">
        <v>431</v>
      </c>
      <c r="C63" s="242" t="s">
        <v>257</v>
      </c>
      <c r="D63" s="243">
        <v>167</v>
      </c>
      <c r="E63" s="243">
        <v>2804932</v>
      </c>
      <c r="F63" s="243">
        <f t="array" ref="F63">SUM(IF("156"&amp;B63=KHN&amp;MH,SL))</f>
        <v>0</v>
      </c>
      <c r="G63" s="243">
        <f t="array" ref="G63">SUM(IF("156"&amp;B63=KHN&amp;MH,TH))</f>
        <v>0</v>
      </c>
      <c r="H63" s="243">
        <f t="array" ref="H63">SUM(IF("156"&amp;B63=KHC&amp;MH,SL))</f>
        <v>167</v>
      </c>
      <c r="I63" s="243">
        <f t="array" ref="I63">SUM(IF("156"&amp;B63=KHC&amp;MH,TH))</f>
        <v>2804932</v>
      </c>
      <c r="J63" s="243">
        <f t="shared" si="1"/>
        <v>0</v>
      </c>
      <c r="K63" s="243">
        <f t="shared" si="2"/>
        <v>0</v>
      </c>
      <c r="L63" s="181"/>
    </row>
    <row r="64" spans="1:12" ht="19.5" customHeight="1">
      <c r="A64" s="240">
        <f t="shared" si="0"/>
        <v>53</v>
      </c>
      <c r="B64" s="247" t="s">
        <v>365</v>
      </c>
      <c r="C64" s="242" t="s">
        <v>257</v>
      </c>
      <c r="D64" s="243">
        <v>200</v>
      </c>
      <c r="E64" s="243">
        <v>8896800</v>
      </c>
      <c r="F64" s="243">
        <f t="array" ref="F64">SUM(IF("156"&amp;B64=KHN&amp;MH,SL))</f>
        <v>0</v>
      </c>
      <c r="G64" s="243">
        <f t="array" ref="G64">SUM(IF("156"&amp;B64=KHN&amp;MH,TH))</f>
        <v>0</v>
      </c>
      <c r="H64" s="243">
        <f t="array" ref="H64">SUM(IF("156"&amp;B64=KHC&amp;MH,SL))</f>
        <v>200</v>
      </c>
      <c r="I64" s="243">
        <f t="array" ref="I64">SUM(IF("156"&amp;B64=KHC&amp;MH,TH))</f>
        <v>8896800</v>
      </c>
      <c r="J64" s="243">
        <f t="shared" si="1"/>
        <v>0</v>
      </c>
      <c r="K64" s="243">
        <f t="shared" si="2"/>
        <v>0</v>
      </c>
      <c r="L64" s="181"/>
    </row>
    <row r="65" spans="1:15" ht="19.5" customHeight="1">
      <c r="A65" s="240">
        <f t="shared" si="0"/>
        <v>54</v>
      </c>
      <c r="B65" s="247" t="s">
        <v>364</v>
      </c>
      <c r="C65" s="242" t="s">
        <v>257</v>
      </c>
      <c r="D65" s="243">
        <v>136</v>
      </c>
      <c r="E65" s="243">
        <v>6799320</v>
      </c>
      <c r="F65" s="243">
        <f t="array" ref="F65">SUM(IF("156"&amp;B65=KHN&amp;MH,SL))</f>
        <v>0</v>
      </c>
      <c r="G65" s="243">
        <f t="array" ref="G65">SUM(IF("156"&amp;B65=KHN&amp;MH,TH))</f>
        <v>0</v>
      </c>
      <c r="H65" s="243">
        <f t="array" ref="H65">SUM(IF("156"&amp;B65=KHC&amp;MH,SL))</f>
        <v>136</v>
      </c>
      <c r="I65" s="243">
        <f t="array" ref="I65">SUM(IF("156"&amp;B65=KHC&amp;MH,TH))</f>
        <v>6799320</v>
      </c>
      <c r="J65" s="243">
        <f t="shared" si="1"/>
        <v>0</v>
      </c>
      <c r="K65" s="243">
        <f t="shared" si="2"/>
        <v>0</v>
      </c>
      <c r="L65" s="181"/>
    </row>
    <row r="66" spans="1:15" ht="19.5" customHeight="1">
      <c r="A66" s="240">
        <f t="shared" si="0"/>
        <v>55</v>
      </c>
      <c r="B66" s="249" t="s">
        <v>747</v>
      </c>
      <c r="C66" s="242" t="s">
        <v>257</v>
      </c>
      <c r="D66" s="243"/>
      <c r="E66" s="243"/>
      <c r="F66" s="243">
        <f t="array" ref="F66">SUM(IF("156"&amp;B66=KHN&amp;MH,SL))</f>
        <v>25</v>
      </c>
      <c r="G66" s="243">
        <f t="array" ref="G66">SUM(IF("156"&amp;B66=KHN&amp;MH,TH))</f>
        <v>4152275</v>
      </c>
      <c r="H66" s="243">
        <f t="array" ref="H66">SUM(IF("156"&amp;B66=KHC&amp;MH,SL))</f>
        <v>15</v>
      </c>
      <c r="I66" s="243">
        <f t="array" ref="I66">SUM(IF("156"&amp;B66=KHC&amp;MH,TH))</f>
        <v>881115</v>
      </c>
      <c r="J66" s="243">
        <f t="shared" si="1"/>
        <v>10</v>
      </c>
      <c r="K66" s="243">
        <f t="shared" si="2"/>
        <v>3271160</v>
      </c>
      <c r="L66" s="181"/>
    </row>
    <row r="67" spans="1:15" ht="19.5" customHeight="1">
      <c r="A67" s="240">
        <f t="shared" si="0"/>
        <v>56</v>
      </c>
      <c r="B67" s="249" t="s">
        <v>348</v>
      </c>
      <c r="C67" s="242" t="s">
        <v>257</v>
      </c>
      <c r="D67" s="243">
        <v>579</v>
      </c>
      <c r="E67" s="243">
        <v>7435882</v>
      </c>
      <c r="F67" s="243">
        <f t="array" ref="F67">SUM(IF("156"&amp;B67=KHN&amp;MH,SL))</f>
        <v>334</v>
      </c>
      <c r="G67" s="243">
        <f t="array" ref="G67">SUM(IF("156"&amp;B67=KHN&amp;MH,TH))</f>
        <v>4432514</v>
      </c>
      <c r="H67" s="243">
        <f t="array" ref="H67">SUM(IF("156"&amp;B67=KHC&amp;MH,SL))</f>
        <v>913</v>
      </c>
      <c r="I67" s="243">
        <f t="array" ref="I67">SUM(IF("156"&amp;B67=KHC&amp;MH,TH))</f>
        <v>11868396</v>
      </c>
      <c r="J67" s="243">
        <f t="shared" si="1"/>
        <v>0</v>
      </c>
      <c r="K67" s="243">
        <f t="shared" si="2"/>
        <v>0</v>
      </c>
      <c r="L67" s="181"/>
    </row>
    <row r="68" spans="1:15" ht="19.5" customHeight="1">
      <c r="A68" s="240">
        <f t="shared" si="0"/>
        <v>57</v>
      </c>
      <c r="B68" s="247" t="s">
        <v>363</v>
      </c>
      <c r="C68" s="242" t="s">
        <v>257</v>
      </c>
      <c r="D68" s="243">
        <v>76</v>
      </c>
      <c r="E68" s="243">
        <v>2202860</v>
      </c>
      <c r="F68" s="243">
        <f t="array" ref="F68">SUM(IF("156"&amp;B68=KHN&amp;MH,SL))</f>
        <v>0</v>
      </c>
      <c r="G68" s="243">
        <f t="array" ref="G68">SUM(IF("156"&amp;B68=KHN&amp;MH,TH))</f>
        <v>0</v>
      </c>
      <c r="H68" s="243">
        <f t="array" ref="H68">SUM(IF("156"&amp;B68=KHC&amp;MH,SL))</f>
        <v>76</v>
      </c>
      <c r="I68" s="243">
        <f t="array" ref="I68">SUM(IF("156"&amp;B68=KHC&amp;MH,TH))</f>
        <v>2202860</v>
      </c>
      <c r="J68" s="243">
        <f t="shared" si="1"/>
        <v>0</v>
      </c>
      <c r="K68" s="243">
        <f t="shared" si="2"/>
        <v>0</v>
      </c>
      <c r="L68" s="181"/>
    </row>
    <row r="69" spans="1:15" ht="19.5" customHeight="1">
      <c r="A69" s="240">
        <f t="shared" si="0"/>
        <v>58</v>
      </c>
      <c r="B69" s="249" t="s">
        <v>1379</v>
      </c>
      <c r="C69" s="242"/>
      <c r="D69" s="243"/>
      <c r="E69" s="243"/>
      <c r="F69" s="243">
        <f t="array" ref="F69">SUM(IF("156"&amp;B69=KHN&amp;MH,SL))</f>
        <v>800</v>
      </c>
      <c r="G69" s="243">
        <f t="array" ref="G69">SUM(IF("156"&amp;B69=KHN&amp;MH,TH))</f>
        <v>16299200</v>
      </c>
      <c r="H69" s="243">
        <f t="array" ref="H69">SUM(IF("156"&amp;B69=KHC&amp;MH,SL))</f>
        <v>0</v>
      </c>
      <c r="I69" s="243">
        <f t="array" ref="I69">SUM(IF("156"&amp;B69=KHC&amp;MH,TH))</f>
        <v>0</v>
      </c>
      <c r="J69" s="243">
        <f t="shared" si="1"/>
        <v>800</v>
      </c>
      <c r="K69" s="243">
        <f t="shared" si="2"/>
        <v>16299200</v>
      </c>
      <c r="L69" s="181"/>
    </row>
    <row r="70" spans="1:15" ht="19.5" customHeight="1">
      <c r="A70" s="240">
        <f t="shared" si="0"/>
        <v>59</v>
      </c>
      <c r="B70" s="249" t="s">
        <v>837</v>
      </c>
      <c r="C70" s="242" t="s">
        <v>257</v>
      </c>
      <c r="D70" s="243"/>
      <c r="E70" s="243"/>
      <c r="F70" s="243">
        <f t="array" ref="F70">SUM(IF("156"&amp;B70=KHN&amp;MH,SL))</f>
        <v>250</v>
      </c>
      <c r="G70" s="243">
        <f t="array" ref="G70">SUM(IF("156"&amp;B70=KHN&amp;MH,TH))</f>
        <v>6835500</v>
      </c>
      <c r="H70" s="243">
        <f t="array" ref="H70">SUM(IF("156"&amp;B70=KHC&amp;MH,SL))</f>
        <v>250</v>
      </c>
      <c r="I70" s="243">
        <f t="array" ref="I70">SUM(IF("156"&amp;B70=KHC&amp;MH,TH))</f>
        <v>6835500</v>
      </c>
      <c r="J70" s="243">
        <f t="shared" si="1"/>
        <v>0</v>
      </c>
      <c r="K70" s="243">
        <f t="shared" si="2"/>
        <v>0</v>
      </c>
      <c r="L70" s="181"/>
    </row>
    <row r="71" spans="1:15" ht="19.5" customHeight="1">
      <c r="A71" s="240">
        <f t="shared" si="0"/>
        <v>60</v>
      </c>
      <c r="B71" s="249" t="s">
        <v>367</v>
      </c>
      <c r="C71" s="242" t="s">
        <v>257</v>
      </c>
      <c r="D71" s="243">
        <v>125</v>
      </c>
      <c r="E71" s="243">
        <v>3559500</v>
      </c>
      <c r="F71" s="243">
        <f t="array" ref="F71">SUM(IF("156"&amp;B71=KHN&amp;MH,SL))</f>
        <v>0</v>
      </c>
      <c r="G71" s="243">
        <f t="array" ref="G71">SUM(IF("156"&amp;B71=KHN&amp;MH,TH))</f>
        <v>0</v>
      </c>
      <c r="H71" s="243">
        <f t="array" ref="H71">SUM(IF("156"&amp;B71=KHC&amp;MH,SL))</f>
        <v>125</v>
      </c>
      <c r="I71" s="243">
        <f t="array" ref="I71">SUM(IF("156"&amp;B71=KHC&amp;MH,TH))</f>
        <v>3559500</v>
      </c>
      <c r="J71" s="243">
        <f t="shared" si="1"/>
        <v>0</v>
      </c>
      <c r="K71" s="243">
        <f t="shared" si="2"/>
        <v>0</v>
      </c>
      <c r="L71" s="181"/>
    </row>
    <row r="72" spans="1:15" ht="19.5" customHeight="1">
      <c r="A72" s="240">
        <f t="shared" si="0"/>
        <v>61</v>
      </c>
      <c r="B72" s="250" t="s">
        <v>1235</v>
      </c>
      <c r="C72" s="242" t="s">
        <v>262</v>
      </c>
      <c r="D72" s="243"/>
      <c r="E72" s="243"/>
      <c r="F72" s="243">
        <f t="array" ref="F72">SUM(IF("156"&amp;B72=KHN&amp;MH,SL))</f>
        <v>38</v>
      </c>
      <c r="G72" s="243">
        <f t="array" ref="G72">SUM(IF("156"&amp;B72=KHN&amp;MH,TH))</f>
        <v>2252260</v>
      </c>
      <c r="H72" s="243">
        <f t="array" ref="H72">SUM(IF("156"&amp;B72=KHC&amp;MH,SL))</f>
        <v>38</v>
      </c>
      <c r="I72" s="243">
        <f t="array" ref="I72">SUM(IF("156"&amp;B72=KHC&amp;MH,TH))</f>
        <v>2252260</v>
      </c>
      <c r="J72" s="243">
        <f t="shared" si="1"/>
        <v>0</v>
      </c>
      <c r="K72" s="243">
        <f t="shared" si="2"/>
        <v>0</v>
      </c>
      <c r="L72" s="181"/>
    </row>
    <row r="73" spans="1:15" ht="19.5" customHeight="1">
      <c r="A73" s="240">
        <f t="shared" si="0"/>
        <v>62</v>
      </c>
      <c r="B73" s="249" t="s">
        <v>1132</v>
      </c>
      <c r="C73" s="242" t="s">
        <v>257</v>
      </c>
      <c r="D73" s="243"/>
      <c r="E73" s="243"/>
      <c r="F73" s="243">
        <f t="array" ref="F73">SUM(IF("156"&amp;B73=KHN&amp;MH,SL))</f>
        <v>900</v>
      </c>
      <c r="G73" s="243">
        <f t="array" ref="G73">SUM(IF("156"&amp;B73=KHN&amp;MH,TH))</f>
        <v>30693000</v>
      </c>
      <c r="H73" s="243">
        <f t="array" ref="H73">SUM(IF("156"&amp;B73=KHC&amp;MH,SL))</f>
        <v>200</v>
      </c>
      <c r="I73" s="243">
        <f t="array" ref="I73">SUM(IF("156"&amp;B73=KHC&amp;MH,TH))</f>
        <v>7278000</v>
      </c>
      <c r="J73" s="243">
        <f t="shared" si="1"/>
        <v>700</v>
      </c>
      <c r="K73" s="243">
        <f t="shared" si="2"/>
        <v>23415000</v>
      </c>
      <c r="L73" s="181"/>
    </row>
    <row r="74" spans="1:15" ht="19.5" customHeight="1">
      <c r="A74" s="240">
        <f t="shared" si="0"/>
        <v>63</v>
      </c>
      <c r="B74" s="249" t="s">
        <v>346</v>
      </c>
      <c r="C74" s="242" t="s">
        <v>257</v>
      </c>
      <c r="D74" s="243">
        <v>130</v>
      </c>
      <c r="E74" s="243">
        <v>1906060</v>
      </c>
      <c r="F74" s="243">
        <f t="array" ref="F74">SUM(IF("156"&amp;B74=KHN&amp;MH,SL))</f>
        <v>0</v>
      </c>
      <c r="G74" s="243">
        <f t="array" ref="G74">SUM(IF("156"&amp;B74=KHN&amp;MH,TH))</f>
        <v>0</v>
      </c>
      <c r="H74" s="243">
        <f t="array" ref="H74">SUM(IF("156"&amp;B74=KHC&amp;MH,SL))</f>
        <v>130</v>
      </c>
      <c r="I74" s="243">
        <f t="array" ref="I74">SUM(IF("156"&amp;B74=KHC&amp;MH,TH))</f>
        <v>1906060</v>
      </c>
      <c r="J74" s="243">
        <f t="shared" si="1"/>
        <v>0</v>
      </c>
      <c r="K74" s="243">
        <f t="shared" si="2"/>
        <v>0</v>
      </c>
      <c r="L74" s="181"/>
    </row>
    <row r="75" spans="1:15" ht="19.5" customHeight="1">
      <c r="A75" s="240">
        <f t="shared" si="0"/>
        <v>64</v>
      </c>
      <c r="B75" s="249" t="s">
        <v>295</v>
      </c>
      <c r="C75" s="242" t="s">
        <v>257</v>
      </c>
      <c r="D75" s="243">
        <v>200</v>
      </c>
      <c r="E75" s="243">
        <v>3479400</v>
      </c>
      <c r="F75" s="243">
        <f t="array" ref="F75">SUM(IF("156"&amp;B75=KHN&amp;MH,SL))</f>
        <v>0</v>
      </c>
      <c r="G75" s="243">
        <f t="array" ref="G75">SUM(IF("156"&amp;B75=KHN&amp;MH,TH))</f>
        <v>0</v>
      </c>
      <c r="H75" s="243">
        <f t="array" ref="H75">SUM(IF("156"&amp;B75=KHC&amp;MH,SL))</f>
        <v>200</v>
      </c>
      <c r="I75" s="243">
        <f t="array" ref="I75">SUM(IF("156"&amp;B75=KHC&amp;MH,TH))</f>
        <v>3479400</v>
      </c>
      <c r="J75" s="243">
        <f t="shared" si="1"/>
        <v>0</v>
      </c>
      <c r="K75" s="243">
        <f t="shared" si="2"/>
        <v>0</v>
      </c>
      <c r="L75" s="181"/>
    </row>
    <row r="76" spans="1:15" ht="19.5" customHeight="1">
      <c r="A76" s="240">
        <f t="shared" ref="A76:A139" si="3">IF(B76&lt;&gt;"",ROW()-11,"")</f>
        <v>65</v>
      </c>
      <c r="B76" s="249" t="s">
        <v>589</v>
      </c>
      <c r="C76" s="242" t="s">
        <v>257</v>
      </c>
      <c r="D76" s="243"/>
      <c r="E76" s="243"/>
      <c r="F76" s="243">
        <f t="array" ref="F76">SUM(IF("156"&amp;B76=KHN&amp;MH,SL))</f>
        <v>250</v>
      </c>
      <c r="G76" s="243">
        <f t="array" ref="G76">SUM(IF("156"&amp;B76=KHN&amp;MH,TH))</f>
        <v>7896350</v>
      </c>
      <c r="H76" s="243">
        <f t="array" ref="H76">SUM(IF("156"&amp;B76=KHC&amp;MH,SL))</f>
        <v>250</v>
      </c>
      <c r="I76" s="243">
        <f t="array" ref="I76">SUM(IF("156"&amp;B76=KHC&amp;MH,TH))</f>
        <v>7896350</v>
      </c>
      <c r="J76" s="243">
        <f t="shared" ref="J76:J139" si="4">D76+F76-H76</f>
        <v>0</v>
      </c>
      <c r="K76" s="243">
        <f t="shared" ref="K76:K139" si="5">E76+G76-I76</f>
        <v>0</v>
      </c>
      <c r="L76" s="181"/>
    </row>
    <row r="77" spans="1:15" ht="19.5" customHeight="1">
      <c r="A77" s="240">
        <f t="shared" si="3"/>
        <v>66</v>
      </c>
      <c r="B77" s="247" t="s">
        <v>314</v>
      </c>
      <c r="C77" s="242" t="s">
        <v>257</v>
      </c>
      <c r="D77" s="243">
        <v>250</v>
      </c>
      <c r="E77" s="243">
        <v>2470500</v>
      </c>
      <c r="F77" s="243">
        <f t="array" ref="F77">SUM(IF("156"&amp;B77=KHN&amp;MH,SL))</f>
        <v>0</v>
      </c>
      <c r="G77" s="243">
        <f t="array" ref="G77">SUM(IF("156"&amp;B77=KHN&amp;MH,TH))</f>
        <v>0</v>
      </c>
      <c r="H77" s="243">
        <f t="array" ref="H77">SUM(IF("156"&amp;B77=KHC&amp;MH,SL))</f>
        <v>0</v>
      </c>
      <c r="I77" s="243">
        <f t="array" ref="I77">SUM(IF("156"&amp;B77=KHC&amp;MH,TH))</f>
        <v>0</v>
      </c>
      <c r="J77" s="243">
        <f t="shared" si="4"/>
        <v>250</v>
      </c>
      <c r="K77" s="243">
        <f t="shared" si="5"/>
        <v>2470500</v>
      </c>
      <c r="L77" s="181">
        <f>K77/J77</f>
        <v>9882</v>
      </c>
    </row>
    <row r="78" spans="1:15" ht="19.5" customHeight="1">
      <c r="A78" s="240">
        <f t="shared" si="3"/>
        <v>67</v>
      </c>
      <c r="B78" s="247" t="s">
        <v>382</v>
      </c>
      <c r="C78" s="242" t="s">
        <v>257</v>
      </c>
      <c r="D78" s="243">
        <v>125</v>
      </c>
      <c r="E78" s="243">
        <v>1599750</v>
      </c>
      <c r="F78" s="243">
        <f t="array" ref="F78">SUM(IF("156"&amp;B78=KHN&amp;MH,SL))</f>
        <v>0</v>
      </c>
      <c r="G78" s="243">
        <f t="array" ref="G78">SUM(IF("156"&amp;B78=KHN&amp;MH,TH))</f>
        <v>0</v>
      </c>
      <c r="H78" s="243">
        <f t="array" ref="H78">SUM(IF("156"&amp;B78=KHC&amp;MH,SL))</f>
        <v>125</v>
      </c>
      <c r="I78" s="243">
        <f t="array" ref="I78">SUM(IF("156"&amp;B78=KHC&amp;MH,TH))</f>
        <v>1599750</v>
      </c>
      <c r="J78" s="243">
        <f t="shared" si="4"/>
        <v>0</v>
      </c>
      <c r="K78" s="243">
        <f t="shared" si="5"/>
        <v>0</v>
      </c>
      <c r="L78" s="181"/>
    </row>
    <row r="79" spans="1:15" ht="19.5" customHeight="1">
      <c r="A79" s="240">
        <f t="shared" si="3"/>
        <v>68</v>
      </c>
      <c r="B79" s="247" t="s">
        <v>437</v>
      </c>
      <c r="C79" s="242" t="s">
        <v>257</v>
      </c>
      <c r="D79" s="243">
        <v>125</v>
      </c>
      <c r="E79" s="243">
        <v>1644250</v>
      </c>
      <c r="F79" s="243">
        <f t="array" ref="F79">SUM(IF("156"&amp;B79=KHN&amp;MH,SL))</f>
        <v>0</v>
      </c>
      <c r="G79" s="243">
        <f t="array" ref="G79">SUM(IF("156"&amp;B79=KHN&amp;MH,TH))</f>
        <v>0</v>
      </c>
      <c r="H79" s="243">
        <f t="array" ref="H79">SUM(IF("156"&amp;B79=KHC&amp;MH,SL))</f>
        <v>0</v>
      </c>
      <c r="I79" s="243">
        <f t="array" ref="I79">SUM(IF("156"&amp;B79=KHC&amp;MH,TH))</f>
        <v>0</v>
      </c>
      <c r="J79" s="243">
        <f t="shared" si="4"/>
        <v>125</v>
      </c>
      <c r="K79" s="243">
        <f t="shared" si="5"/>
        <v>1644250</v>
      </c>
      <c r="L79" s="181">
        <f>K79/J79</f>
        <v>13154</v>
      </c>
    </row>
    <row r="80" spans="1:15" ht="19.5" customHeight="1">
      <c r="A80" s="240">
        <f t="shared" si="3"/>
        <v>69</v>
      </c>
      <c r="B80" s="249" t="s">
        <v>580</v>
      </c>
      <c r="C80" s="242" t="s">
        <v>257</v>
      </c>
      <c r="D80" s="243"/>
      <c r="E80" s="243"/>
      <c r="F80" s="243">
        <f t="array" ref="F80">SUM(IF("156"&amp;B80=KHN&amp;MH,SL))</f>
        <v>125</v>
      </c>
      <c r="G80" s="243">
        <f t="array" ref="G80">SUM(IF("156"&amp;B80=KHN&amp;MH,TH))</f>
        <v>1554000</v>
      </c>
      <c r="H80" s="243">
        <f t="array" ref="H80">SUM(IF("156"&amp;B80=KHC&amp;MH,SL))</f>
        <v>0</v>
      </c>
      <c r="I80" s="243">
        <f t="array" ref="I80">SUM(IF("156"&amp;B80=KHC&amp;MH,TH))</f>
        <v>0</v>
      </c>
      <c r="J80" s="243">
        <f t="shared" si="4"/>
        <v>125</v>
      </c>
      <c r="K80" s="243">
        <f t="shared" si="5"/>
        <v>1554000</v>
      </c>
      <c r="L80" s="181">
        <f>K80/J80</f>
        <v>12432</v>
      </c>
      <c r="O80" s="244"/>
    </row>
    <row r="81" spans="1:12" ht="19.5" customHeight="1">
      <c r="A81" s="240">
        <f t="shared" si="3"/>
        <v>70</v>
      </c>
      <c r="B81" s="247" t="s">
        <v>345</v>
      </c>
      <c r="C81" s="242" t="s">
        <v>257</v>
      </c>
      <c r="D81" s="243">
        <v>130</v>
      </c>
      <c r="E81" s="243">
        <v>1740830</v>
      </c>
      <c r="F81" s="243">
        <f t="array" ref="F81">SUM(IF("156"&amp;B81=KHN&amp;MH,SL))</f>
        <v>0</v>
      </c>
      <c r="G81" s="243">
        <f t="array" ref="G81">SUM(IF("156"&amp;B81=KHN&amp;MH,TH))</f>
        <v>0</v>
      </c>
      <c r="H81" s="243">
        <f t="array" ref="H81">SUM(IF("156"&amp;B81=KHC&amp;MH,SL))</f>
        <v>0</v>
      </c>
      <c r="I81" s="243">
        <f t="array" ref="I81">SUM(IF("156"&amp;B81=KHC&amp;MH,TH))</f>
        <v>0</v>
      </c>
      <c r="J81" s="243">
        <f t="shared" si="4"/>
        <v>130</v>
      </c>
      <c r="K81" s="243">
        <f t="shared" si="5"/>
        <v>1740830</v>
      </c>
      <c r="L81" s="181">
        <f>K81/J81</f>
        <v>13391</v>
      </c>
    </row>
    <row r="82" spans="1:12" ht="19.5" customHeight="1">
      <c r="A82" s="240">
        <f t="shared" si="3"/>
        <v>71</v>
      </c>
      <c r="B82" s="247" t="s">
        <v>414</v>
      </c>
      <c r="C82" s="242" t="s">
        <v>257</v>
      </c>
      <c r="D82" s="243">
        <v>36</v>
      </c>
      <c r="E82" s="243">
        <v>671832</v>
      </c>
      <c r="F82" s="243">
        <f t="array" ref="F82">SUM(IF("156"&amp;B82=KHN&amp;MH,SL))</f>
        <v>0</v>
      </c>
      <c r="G82" s="243">
        <f t="array" ref="G82">SUM(IF("156"&amp;B82=KHN&amp;MH,TH))</f>
        <v>0</v>
      </c>
      <c r="H82" s="243">
        <f t="array" ref="H82">SUM(IF("156"&amp;B82=KHC&amp;MH,SL))</f>
        <v>0</v>
      </c>
      <c r="I82" s="243">
        <f t="array" ref="I82">SUM(IF("156"&amp;B82=KHC&amp;MH,TH))</f>
        <v>0</v>
      </c>
      <c r="J82" s="243">
        <f t="shared" si="4"/>
        <v>36</v>
      </c>
      <c r="K82" s="243">
        <f t="shared" si="5"/>
        <v>671832</v>
      </c>
      <c r="L82" s="181">
        <f>K82/J82</f>
        <v>18662</v>
      </c>
    </row>
    <row r="83" spans="1:12" ht="19.5" customHeight="1">
      <c r="A83" s="240">
        <f t="shared" si="3"/>
        <v>72</v>
      </c>
      <c r="B83" s="249" t="s">
        <v>386</v>
      </c>
      <c r="C83" s="242" t="s">
        <v>257</v>
      </c>
      <c r="D83" s="243">
        <v>35</v>
      </c>
      <c r="E83" s="243">
        <v>677250</v>
      </c>
      <c r="F83" s="243">
        <f t="array" ref="F83">SUM(IF("156"&amp;B83=KHN&amp;MH,SL))</f>
        <v>0</v>
      </c>
      <c r="G83" s="243">
        <f t="array" ref="G83">SUM(IF("156"&amp;B83=KHN&amp;MH,TH))</f>
        <v>0</v>
      </c>
      <c r="H83" s="243">
        <f t="array" ref="H83">SUM(IF("156"&amp;B83=KHC&amp;MH,SL))</f>
        <v>0</v>
      </c>
      <c r="I83" s="243">
        <f t="array" ref="I83">SUM(IF("156"&amp;B83=KHC&amp;MH,TH))</f>
        <v>0</v>
      </c>
      <c r="J83" s="243">
        <f t="shared" si="4"/>
        <v>35</v>
      </c>
      <c r="K83" s="243">
        <f t="shared" si="5"/>
        <v>677250</v>
      </c>
      <c r="L83" s="181">
        <f>K83/J83</f>
        <v>19350</v>
      </c>
    </row>
    <row r="84" spans="1:12" ht="19.5" customHeight="1">
      <c r="A84" s="240">
        <f t="shared" si="3"/>
        <v>73</v>
      </c>
      <c r="B84" s="249" t="s">
        <v>331</v>
      </c>
      <c r="C84" s="242" t="s">
        <v>257</v>
      </c>
      <c r="D84" s="243">
        <v>150</v>
      </c>
      <c r="E84" s="243">
        <v>3175200</v>
      </c>
      <c r="F84" s="243">
        <f t="array" ref="F84">SUM(IF("156"&amp;B84=KHN&amp;MH,SL))</f>
        <v>0</v>
      </c>
      <c r="G84" s="243">
        <f t="array" ref="G84">SUM(IF("156"&amp;B84=KHN&amp;MH,TH))</f>
        <v>0</v>
      </c>
      <c r="H84" s="243">
        <f t="array" ref="H84">SUM(IF("156"&amp;B84=KHC&amp;MH,SL))</f>
        <v>150</v>
      </c>
      <c r="I84" s="243">
        <f t="array" ref="I84">SUM(IF("156"&amp;B84=KHC&amp;MH,TH))</f>
        <v>3175200</v>
      </c>
      <c r="J84" s="243">
        <f t="shared" si="4"/>
        <v>0</v>
      </c>
      <c r="K84" s="243">
        <f t="shared" si="5"/>
        <v>0</v>
      </c>
      <c r="L84" s="181"/>
    </row>
    <row r="85" spans="1:12" ht="19.5" customHeight="1">
      <c r="A85" s="240">
        <f t="shared" si="3"/>
        <v>74</v>
      </c>
      <c r="B85" s="248" t="s">
        <v>384</v>
      </c>
      <c r="C85" s="242" t="s">
        <v>257</v>
      </c>
      <c r="D85" s="243">
        <v>25</v>
      </c>
      <c r="E85" s="243">
        <v>677250</v>
      </c>
      <c r="F85" s="243">
        <f t="array" ref="F85">SUM(IF("156"&amp;B85=KHN&amp;MH,SL))</f>
        <v>0</v>
      </c>
      <c r="G85" s="243">
        <f t="array" ref="G85">SUM(IF("156"&amp;B85=KHN&amp;MH,TH))</f>
        <v>0</v>
      </c>
      <c r="H85" s="243">
        <f t="array" ref="H85">SUM(IF("156"&amp;B85=KHC&amp;MH,SL))</f>
        <v>0</v>
      </c>
      <c r="I85" s="243">
        <f t="array" ref="I85">SUM(IF("156"&amp;B85=KHC&amp;MH,TH))</f>
        <v>0</v>
      </c>
      <c r="J85" s="243">
        <f t="shared" si="4"/>
        <v>25</v>
      </c>
      <c r="K85" s="243">
        <f t="shared" si="5"/>
        <v>677250</v>
      </c>
      <c r="L85" s="181">
        <f>K85/J85</f>
        <v>27090</v>
      </c>
    </row>
    <row r="86" spans="1:12" ht="19.5" customHeight="1">
      <c r="A86" s="240">
        <f t="shared" si="3"/>
        <v>75</v>
      </c>
      <c r="B86" s="249" t="s">
        <v>409</v>
      </c>
      <c r="C86" s="242" t="s">
        <v>257</v>
      </c>
      <c r="D86" s="243">
        <v>50</v>
      </c>
      <c r="E86" s="243">
        <v>1154200</v>
      </c>
      <c r="F86" s="243">
        <f t="array" ref="F86">SUM(IF("156"&amp;B86=KHN&amp;MH,SL))</f>
        <v>0</v>
      </c>
      <c r="G86" s="243">
        <f t="array" ref="G86">SUM(IF("156"&amp;B86=KHN&amp;MH,TH))</f>
        <v>0</v>
      </c>
      <c r="H86" s="243">
        <f t="array" ref="H86">SUM(IF("156"&amp;B86=KHC&amp;MH,SL))</f>
        <v>50</v>
      </c>
      <c r="I86" s="243">
        <f t="array" ref="I86">SUM(IF("156"&amp;B86=KHC&amp;MH,TH))</f>
        <v>1154200</v>
      </c>
      <c r="J86" s="243">
        <f t="shared" si="4"/>
        <v>0</v>
      </c>
      <c r="K86" s="243">
        <f t="shared" si="5"/>
        <v>0</v>
      </c>
      <c r="L86" s="181"/>
    </row>
    <row r="87" spans="1:12" ht="19.5" customHeight="1">
      <c r="A87" s="240">
        <f t="shared" si="3"/>
        <v>76</v>
      </c>
      <c r="B87" s="247" t="s">
        <v>330</v>
      </c>
      <c r="C87" s="242" t="s">
        <v>257</v>
      </c>
      <c r="D87" s="243">
        <v>34</v>
      </c>
      <c r="E87" s="243">
        <v>1046520</v>
      </c>
      <c r="F87" s="243">
        <f t="array" ref="F87">SUM(IF("156"&amp;B87=KHN&amp;MH,SL))</f>
        <v>0</v>
      </c>
      <c r="G87" s="243">
        <f t="array" ref="G87">SUM(IF("156"&amp;B87=KHN&amp;MH,TH))</f>
        <v>0</v>
      </c>
      <c r="H87" s="243">
        <f t="array" ref="H87">SUM(IF("156"&amp;B87=KHC&amp;MH,SL))</f>
        <v>34</v>
      </c>
      <c r="I87" s="243">
        <f t="array" ref="I87">SUM(IF("156"&amp;B87=KHC&amp;MH,TH))</f>
        <v>1046520</v>
      </c>
      <c r="J87" s="243">
        <f t="shared" si="4"/>
        <v>0</v>
      </c>
      <c r="K87" s="243">
        <f t="shared" si="5"/>
        <v>0</v>
      </c>
      <c r="L87" s="181"/>
    </row>
    <row r="88" spans="1:12" ht="19.5" customHeight="1">
      <c r="A88" s="240">
        <f t="shared" si="3"/>
        <v>77</v>
      </c>
      <c r="B88" s="249" t="s">
        <v>573</v>
      </c>
      <c r="C88" s="242" t="s">
        <v>257</v>
      </c>
      <c r="D88" s="243"/>
      <c r="E88" s="243"/>
      <c r="F88" s="243">
        <f t="array" ref="F88">SUM(IF("156"&amp;B88=KHN&amp;MH,SL))</f>
        <v>152</v>
      </c>
      <c r="G88" s="243">
        <f t="array" ref="G88">SUM(IF("156"&amp;B88=KHN&amp;MH,TH))</f>
        <v>3857760</v>
      </c>
      <c r="H88" s="243">
        <f t="array" ref="H88">SUM(IF("156"&amp;B88=KHC&amp;MH,SL))</f>
        <v>152</v>
      </c>
      <c r="I88" s="243">
        <f t="array" ref="I88">SUM(IF("156"&amp;B88=KHC&amp;MH,TH))</f>
        <v>3857760</v>
      </c>
      <c r="J88" s="243">
        <f t="shared" si="4"/>
        <v>0</v>
      </c>
      <c r="K88" s="243">
        <f t="shared" si="5"/>
        <v>0</v>
      </c>
      <c r="L88" s="181"/>
    </row>
    <row r="89" spans="1:12" ht="19.5" customHeight="1">
      <c r="A89" s="240">
        <f t="shared" si="3"/>
        <v>78</v>
      </c>
      <c r="B89" s="248" t="s">
        <v>332</v>
      </c>
      <c r="C89" s="242" t="s">
        <v>257</v>
      </c>
      <c r="D89" s="243">
        <v>120</v>
      </c>
      <c r="E89" s="243">
        <v>3058560</v>
      </c>
      <c r="F89" s="243">
        <f t="array" ref="F89">SUM(IF("156"&amp;B89=KHN&amp;MH,SL))</f>
        <v>0</v>
      </c>
      <c r="G89" s="243">
        <f t="array" ref="G89">SUM(IF("156"&amp;B89=KHN&amp;MH,TH))</f>
        <v>0</v>
      </c>
      <c r="H89" s="243">
        <f t="array" ref="H89">SUM(IF("156"&amp;B89=KHC&amp;MH,SL))</f>
        <v>120</v>
      </c>
      <c r="I89" s="243">
        <f t="array" ref="I89">SUM(IF("156"&amp;B89=KHC&amp;MH,TH))</f>
        <v>3058560</v>
      </c>
      <c r="J89" s="243">
        <f t="shared" si="4"/>
        <v>0</v>
      </c>
      <c r="K89" s="243">
        <f t="shared" si="5"/>
        <v>0</v>
      </c>
      <c r="L89" s="181"/>
    </row>
    <row r="90" spans="1:12" ht="19.5" customHeight="1">
      <c r="A90" s="240">
        <f t="shared" si="3"/>
        <v>79</v>
      </c>
      <c r="B90" s="247" t="s">
        <v>399</v>
      </c>
      <c r="C90" s="242" t="s">
        <v>257</v>
      </c>
      <c r="D90" s="243">
        <v>114</v>
      </c>
      <c r="E90" s="243">
        <v>2942568</v>
      </c>
      <c r="F90" s="243">
        <f t="array" ref="F90">SUM(IF("156"&amp;B90=KHN&amp;MH,SL))</f>
        <v>0</v>
      </c>
      <c r="G90" s="243">
        <f t="array" ref="G90">SUM(IF("156"&amp;B90=KHN&amp;MH,TH))</f>
        <v>0</v>
      </c>
      <c r="H90" s="243">
        <f t="array" ref="H90">SUM(IF("156"&amp;B90=KHC&amp;MH,SL))</f>
        <v>114</v>
      </c>
      <c r="I90" s="243">
        <f t="array" ref="I90">SUM(IF("156"&amp;B90=KHC&amp;MH,TH))</f>
        <v>2942568</v>
      </c>
      <c r="J90" s="243">
        <f t="shared" si="4"/>
        <v>0</v>
      </c>
      <c r="K90" s="243">
        <f t="shared" si="5"/>
        <v>0</v>
      </c>
      <c r="L90" s="181"/>
    </row>
    <row r="91" spans="1:12" ht="19.5" customHeight="1">
      <c r="A91" s="240">
        <f t="shared" si="3"/>
        <v>80</v>
      </c>
      <c r="B91" s="249" t="s">
        <v>583</v>
      </c>
      <c r="C91" s="242" t="s">
        <v>257</v>
      </c>
      <c r="D91" s="243"/>
      <c r="E91" s="243"/>
      <c r="F91" s="243">
        <f t="array" ref="F91">SUM(IF("156"&amp;B91=KHN&amp;MH,SL))</f>
        <v>42</v>
      </c>
      <c r="G91" s="243">
        <f t="array" ref="G91">SUM(IF("156"&amp;B91=KHN&amp;MH,TH))</f>
        <v>1106784</v>
      </c>
      <c r="H91" s="243">
        <f t="array" ref="H91">SUM(IF("156"&amp;B91=KHC&amp;MH,SL))</f>
        <v>42</v>
      </c>
      <c r="I91" s="243">
        <f t="array" ref="I91">SUM(IF("156"&amp;B91=KHC&amp;MH,TH))</f>
        <v>1106784</v>
      </c>
      <c r="J91" s="243">
        <f t="shared" si="4"/>
        <v>0</v>
      </c>
      <c r="K91" s="243">
        <f t="shared" si="5"/>
        <v>0</v>
      </c>
      <c r="L91" s="181"/>
    </row>
    <row r="92" spans="1:12" ht="19.5" customHeight="1">
      <c r="A92" s="240">
        <f t="shared" si="3"/>
        <v>81</v>
      </c>
      <c r="B92" s="247" t="s">
        <v>339</v>
      </c>
      <c r="C92" s="242" t="s">
        <v>257</v>
      </c>
      <c r="D92" s="243">
        <v>20</v>
      </c>
      <c r="E92" s="243">
        <v>952260</v>
      </c>
      <c r="F92" s="243">
        <f t="array" ref="F92">SUM(IF("156"&amp;B92=KHN&amp;MH,SL))</f>
        <v>0</v>
      </c>
      <c r="G92" s="243">
        <f t="array" ref="G92">SUM(IF("156"&amp;B92=KHN&amp;MH,TH))</f>
        <v>0</v>
      </c>
      <c r="H92" s="243">
        <f t="array" ref="H92">SUM(IF("156"&amp;B92=KHC&amp;MH,SL))</f>
        <v>20</v>
      </c>
      <c r="I92" s="243">
        <f t="array" ref="I92">SUM(IF("156"&amp;B92=KHC&amp;MH,TH))</f>
        <v>952260</v>
      </c>
      <c r="J92" s="243">
        <f t="shared" si="4"/>
        <v>0</v>
      </c>
      <c r="K92" s="243">
        <f t="shared" si="5"/>
        <v>0</v>
      </c>
      <c r="L92" s="181"/>
    </row>
    <row r="93" spans="1:12" ht="19.5" customHeight="1">
      <c r="A93" s="240">
        <f t="shared" si="3"/>
        <v>82</v>
      </c>
      <c r="B93" s="247" t="s">
        <v>400</v>
      </c>
      <c r="C93" s="242" t="s">
        <v>257</v>
      </c>
      <c r="D93" s="243">
        <v>50</v>
      </c>
      <c r="E93" s="243">
        <v>453400</v>
      </c>
      <c r="F93" s="243">
        <f t="array" ref="F93">SUM(IF("156"&amp;B93=KHN&amp;MH,SL))</f>
        <v>0</v>
      </c>
      <c r="G93" s="243">
        <f t="array" ref="G93">SUM(IF("156"&amp;B93=KHN&amp;MH,TH))</f>
        <v>0</v>
      </c>
      <c r="H93" s="243">
        <f t="array" ref="H93">SUM(IF("156"&amp;B93=KHC&amp;MH,SL))</f>
        <v>50</v>
      </c>
      <c r="I93" s="243">
        <f t="array" ref="I93">SUM(IF("156"&amp;B93=KHC&amp;MH,TH))</f>
        <v>453400</v>
      </c>
      <c r="J93" s="243">
        <f t="shared" si="4"/>
        <v>0</v>
      </c>
      <c r="K93" s="243">
        <f t="shared" si="5"/>
        <v>0</v>
      </c>
      <c r="L93" s="181"/>
    </row>
    <row r="94" spans="1:12" ht="19.5" customHeight="1">
      <c r="A94" s="240">
        <f t="shared" si="3"/>
        <v>83</v>
      </c>
      <c r="B94" s="247" t="s">
        <v>391</v>
      </c>
      <c r="C94" s="242" t="s">
        <v>257</v>
      </c>
      <c r="D94" s="243">
        <v>100</v>
      </c>
      <c r="E94" s="243">
        <v>1391900</v>
      </c>
      <c r="F94" s="243">
        <f t="array" ref="F94">SUM(IF("156"&amp;B94=KHN&amp;MH,SL))</f>
        <v>0</v>
      </c>
      <c r="G94" s="243">
        <f t="array" ref="G94">SUM(IF("156"&amp;B94=KHN&amp;MH,TH))</f>
        <v>0</v>
      </c>
      <c r="H94" s="243">
        <f t="array" ref="H94">SUM(IF("156"&amp;B94=KHC&amp;MH,SL))</f>
        <v>0</v>
      </c>
      <c r="I94" s="243">
        <f t="array" ref="I94">SUM(IF("156"&amp;B94=KHC&amp;MH,TH))</f>
        <v>0</v>
      </c>
      <c r="J94" s="243">
        <f t="shared" si="4"/>
        <v>100</v>
      </c>
      <c r="K94" s="243">
        <f t="shared" si="5"/>
        <v>1391900</v>
      </c>
      <c r="L94" s="181">
        <f>K94/J94</f>
        <v>13919</v>
      </c>
    </row>
    <row r="95" spans="1:12" ht="19.5" customHeight="1">
      <c r="A95" s="240">
        <f t="shared" si="3"/>
        <v>84</v>
      </c>
      <c r="B95" s="247" t="s">
        <v>389</v>
      </c>
      <c r="C95" s="242" t="s">
        <v>257</v>
      </c>
      <c r="D95" s="243">
        <v>100</v>
      </c>
      <c r="E95" s="243">
        <v>1413000</v>
      </c>
      <c r="F95" s="243">
        <f t="array" ref="F95">SUM(IF("156"&amp;B95=KHN&amp;MH,SL))</f>
        <v>0</v>
      </c>
      <c r="G95" s="243">
        <f t="array" ref="G95">SUM(IF("156"&amp;B95=KHN&amp;MH,TH))</f>
        <v>0</v>
      </c>
      <c r="H95" s="243">
        <f t="array" ref="H95">SUM(IF("156"&amp;B95=KHC&amp;MH,SL))</f>
        <v>0</v>
      </c>
      <c r="I95" s="243">
        <f t="array" ref="I95">SUM(IF("156"&amp;B95=KHC&amp;MH,TH))</f>
        <v>0</v>
      </c>
      <c r="J95" s="243">
        <f t="shared" si="4"/>
        <v>100</v>
      </c>
      <c r="K95" s="243">
        <f t="shared" si="5"/>
        <v>1413000</v>
      </c>
      <c r="L95" s="181">
        <f>K95/J95</f>
        <v>14130</v>
      </c>
    </row>
    <row r="96" spans="1:12" ht="19.5" customHeight="1">
      <c r="A96" s="240">
        <f t="shared" si="3"/>
        <v>85</v>
      </c>
      <c r="B96" s="247" t="s">
        <v>408</v>
      </c>
      <c r="C96" s="242" t="s">
        <v>257</v>
      </c>
      <c r="D96" s="243">
        <v>125</v>
      </c>
      <c r="E96" s="243">
        <v>1491875</v>
      </c>
      <c r="F96" s="243">
        <f t="array" ref="F96">SUM(IF("156"&amp;B96=KHN&amp;MH,SL))</f>
        <v>0</v>
      </c>
      <c r="G96" s="243">
        <f t="array" ref="G96">SUM(IF("156"&amp;B96=KHN&amp;MH,TH))</f>
        <v>0</v>
      </c>
      <c r="H96" s="243">
        <f t="array" ref="H96">SUM(IF("156"&amp;B96=KHC&amp;MH,SL))</f>
        <v>0</v>
      </c>
      <c r="I96" s="243">
        <f t="array" ref="I96">SUM(IF("156"&amp;B96=KHC&amp;MH,TH))</f>
        <v>0</v>
      </c>
      <c r="J96" s="243">
        <f t="shared" si="4"/>
        <v>125</v>
      </c>
      <c r="K96" s="243">
        <f t="shared" si="5"/>
        <v>1491875</v>
      </c>
      <c r="L96" s="181">
        <f>K96/J96</f>
        <v>11935</v>
      </c>
    </row>
    <row r="97" spans="1:12" ht="19.5" customHeight="1">
      <c r="A97" s="240">
        <f t="shared" si="3"/>
        <v>86</v>
      </c>
      <c r="B97" s="247" t="s">
        <v>385</v>
      </c>
      <c r="C97" s="242" t="s">
        <v>257</v>
      </c>
      <c r="D97" s="243">
        <v>35</v>
      </c>
      <c r="E97" s="243">
        <v>662515</v>
      </c>
      <c r="F97" s="243">
        <f t="array" ref="F97">SUM(IF("156"&amp;B97=KHN&amp;MH,SL))</f>
        <v>0</v>
      </c>
      <c r="G97" s="243">
        <f t="array" ref="G97">SUM(IF("156"&amp;B97=KHN&amp;MH,TH))</f>
        <v>0</v>
      </c>
      <c r="H97" s="243">
        <f t="array" ref="H97">SUM(IF("156"&amp;B97=KHC&amp;MH,SL))</f>
        <v>0</v>
      </c>
      <c r="I97" s="243">
        <f t="array" ref="I97">SUM(IF("156"&amp;B97=KHC&amp;MH,TH))</f>
        <v>0</v>
      </c>
      <c r="J97" s="243">
        <f t="shared" si="4"/>
        <v>35</v>
      </c>
      <c r="K97" s="243">
        <f t="shared" si="5"/>
        <v>662515</v>
      </c>
      <c r="L97" s="181">
        <f>K97/J97</f>
        <v>18929</v>
      </c>
    </row>
    <row r="98" spans="1:12" ht="19.5" customHeight="1">
      <c r="A98" s="240">
        <f t="shared" si="3"/>
        <v>87</v>
      </c>
      <c r="B98" s="247" t="s">
        <v>430</v>
      </c>
      <c r="C98" s="242" t="s">
        <v>257</v>
      </c>
      <c r="D98" s="243">
        <v>48</v>
      </c>
      <c r="E98" s="243">
        <v>921360</v>
      </c>
      <c r="F98" s="243">
        <f t="array" ref="F98">SUM(IF("156"&amp;B98=KHN&amp;MH,SL))</f>
        <v>0</v>
      </c>
      <c r="G98" s="243">
        <f t="array" ref="G98">SUM(IF("156"&amp;B98=KHN&amp;MH,TH))</f>
        <v>0</v>
      </c>
      <c r="H98" s="243">
        <f t="array" ref="H98">SUM(IF("156"&amp;B98=KHC&amp;MH,SL))</f>
        <v>48</v>
      </c>
      <c r="I98" s="243">
        <f t="array" ref="I98">SUM(IF("156"&amp;B98=KHC&amp;MH,TH))</f>
        <v>921360</v>
      </c>
      <c r="J98" s="243">
        <f t="shared" si="4"/>
        <v>0</v>
      </c>
      <c r="K98" s="243">
        <f t="shared" si="5"/>
        <v>0</v>
      </c>
      <c r="L98" s="181"/>
    </row>
    <row r="99" spans="1:12" ht="19.5" customHeight="1">
      <c r="A99" s="240">
        <f t="shared" si="3"/>
        <v>88</v>
      </c>
      <c r="B99" s="247" t="s">
        <v>341</v>
      </c>
      <c r="C99" s="242" t="s">
        <v>257</v>
      </c>
      <c r="D99" s="243">
        <v>32</v>
      </c>
      <c r="E99" s="243">
        <v>907360</v>
      </c>
      <c r="F99" s="243">
        <f t="array" ref="F99">SUM(IF("156"&amp;B99=KHN&amp;MH,SL))</f>
        <v>0</v>
      </c>
      <c r="G99" s="243">
        <f t="array" ref="G99">SUM(IF("156"&amp;B99=KHN&amp;MH,TH))</f>
        <v>0</v>
      </c>
      <c r="H99" s="243">
        <f t="array" ref="H99">SUM(IF("156"&amp;B99=KHC&amp;MH,SL))</f>
        <v>32</v>
      </c>
      <c r="I99" s="243">
        <f t="array" ref="I99">SUM(IF("156"&amp;B99=KHC&amp;MH,TH))</f>
        <v>907360</v>
      </c>
      <c r="J99" s="243">
        <f t="shared" si="4"/>
        <v>0</v>
      </c>
      <c r="K99" s="243">
        <f t="shared" si="5"/>
        <v>0</v>
      </c>
      <c r="L99" s="181"/>
    </row>
    <row r="100" spans="1:12" ht="19.5" customHeight="1">
      <c r="A100" s="240">
        <f t="shared" si="3"/>
        <v>89</v>
      </c>
      <c r="B100" s="247" t="s">
        <v>397</v>
      </c>
      <c r="C100" s="242" t="s">
        <v>257</v>
      </c>
      <c r="D100" s="243">
        <v>52</v>
      </c>
      <c r="E100" s="243">
        <v>1120210</v>
      </c>
      <c r="F100" s="243">
        <f t="array" ref="F100">SUM(IF("156"&amp;B100=KHN&amp;MH,SL))</f>
        <v>0</v>
      </c>
      <c r="G100" s="243">
        <f t="array" ref="G100">SUM(IF("156"&amp;B100=KHN&amp;MH,TH))</f>
        <v>0</v>
      </c>
      <c r="H100" s="243">
        <f t="array" ref="H100">SUM(IF("156"&amp;B100=KHC&amp;MH,SL))</f>
        <v>52</v>
      </c>
      <c r="I100" s="243">
        <f t="array" ref="I100">SUM(IF("156"&amp;B100=KHC&amp;MH,TH))</f>
        <v>1120210</v>
      </c>
      <c r="J100" s="243">
        <f t="shared" si="4"/>
        <v>0</v>
      </c>
      <c r="K100" s="243">
        <f t="shared" si="5"/>
        <v>0</v>
      </c>
      <c r="L100" s="181"/>
    </row>
    <row r="101" spans="1:12" ht="19.5" customHeight="1">
      <c r="A101" s="240">
        <f t="shared" si="3"/>
        <v>90</v>
      </c>
      <c r="B101" s="249" t="s">
        <v>433</v>
      </c>
      <c r="C101" s="242" t="s">
        <v>257</v>
      </c>
      <c r="D101" s="243">
        <v>54</v>
      </c>
      <c r="E101" s="243">
        <v>1193238</v>
      </c>
      <c r="F101" s="243">
        <f t="array" ref="F101">SUM(IF("156"&amp;B101=KHN&amp;MH,SL))</f>
        <v>54</v>
      </c>
      <c r="G101" s="243">
        <f t="array" ref="G101">SUM(IF("156"&amp;B101=KHN&amp;MH,TH))</f>
        <v>1197369</v>
      </c>
      <c r="H101" s="243">
        <f t="array" ref="H101">SUM(IF("156"&amp;B101=KHC&amp;MH,SL))</f>
        <v>108</v>
      </c>
      <c r="I101" s="243">
        <f t="array" ref="I101">SUM(IF("156"&amp;B101=KHC&amp;MH,TH))</f>
        <v>2390607</v>
      </c>
      <c r="J101" s="243">
        <f t="shared" si="4"/>
        <v>0</v>
      </c>
      <c r="K101" s="243">
        <f t="shared" si="5"/>
        <v>0</v>
      </c>
      <c r="L101" s="181"/>
    </row>
    <row r="102" spans="1:12" ht="19.5" customHeight="1">
      <c r="A102" s="240">
        <f t="shared" si="3"/>
        <v>91</v>
      </c>
      <c r="B102" s="247" t="s">
        <v>416</v>
      </c>
      <c r="C102" s="242" t="s">
        <v>257</v>
      </c>
      <c r="D102" s="243">
        <v>57</v>
      </c>
      <c r="E102" s="243">
        <v>1747563</v>
      </c>
      <c r="F102" s="243">
        <f t="array" ref="F102">SUM(IF("156"&amp;B102=KHN&amp;MH,SL))</f>
        <v>0</v>
      </c>
      <c r="G102" s="243">
        <f t="array" ref="G102">SUM(IF("156"&amp;B102=KHN&amp;MH,TH))</f>
        <v>0</v>
      </c>
      <c r="H102" s="243">
        <f t="array" ref="H102">SUM(IF("156"&amp;B102=KHC&amp;MH,SL))</f>
        <v>57</v>
      </c>
      <c r="I102" s="243">
        <f t="array" ref="I102">SUM(IF("156"&amp;B102=KHC&amp;MH,TH))</f>
        <v>1747563</v>
      </c>
      <c r="J102" s="243">
        <f t="shared" si="4"/>
        <v>0</v>
      </c>
      <c r="K102" s="243">
        <f t="shared" si="5"/>
        <v>0</v>
      </c>
      <c r="L102" s="181"/>
    </row>
    <row r="103" spans="1:12" ht="19.5" customHeight="1">
      <c r="A103" s="240">
        <f t="shared" si="3"/>
        <v>92</v>
      </c>
      <c r="B103" s="247" t="s">
        <v>343</v>
      </c>
      <c r="C103" s="242" t="s">
        <v>257</v>
      </c>
      <c r="D103" s="243">
        <v>35</v>
      </c>
      <c r="E103" s="243">
        <v>1087205</v>
      </c>
      <c r="F103" s="243">
        <f t="array" ref="F103">SUM(IF("156"&amp;B103=KHN&amp;MH,SL))</f>
        <v>0</v>
      </c>
      <c r="G103" s="243">
        <f t="array" ref="G103">SUM(IF("156"&amp;B103=KHN&amp;MH,TH))</f>
        <v>0</v>
      </c>
      <c r="H103" s="243">
        <f t="array" ref="H103">SUM(IF("156"&amp;B103=KHC&amp;MH,SL))</f>
        <v>35</v>
      </c>
      <c r="I103" s="243">
        <f t="array" ref="I103">SUM(IF("156"&amp;B103=KHC&amp;MH,TH))</f>
        <v>1087205</v>
      </c>
      <c r="J103" s="243">
        <f t="shared" si="4"/>
        <v>0</v>
      </c>
      <c r="K103" s="243">
        <f t="shared" si="5"/>
        <v>0</v>
      </c>
      <c r="L103" s="181"/>
    </row>
    <row r="104" spans="1:12" ht="19.5" customHeight="1">
      <c r="A104" s="240">
        <f t="shared" si="3"/>
        <v>93</v>
      </c>
      <c r="B104" s="249" t="s">
        <v>585</v>
      </c>
      <c r="C104" s="242" t="s">
        <v>257</v>
      </c>
      <c r="D104" s="243"/>
      <c r="E104" s="243"/>
      <c r="F104" s="243">
        <f t="array" ref="F104">SUM(IF("156"&amp;B104=KHN&amp;MH,SL))</f>
        <v>40</v>
      </c>
      <c r="G104" s="243">
        <f t="array" ref="G104">SUM(IF("156"&amp;B104=KHN&amp;MH,TH))</f>
        <v>1133460</v>
      </c>
      <c r="H104" s="243">
        <f t="array" ref="H104">SUM(IF("156"&amp;B104=KHC&amp;MH,SL))</f>
        <v>40</v>
      </c>
      <c r="I104" s="243">
        <f t="array" ref="I104">SUM(IF("156"&amp;B104=KHC&amp;MH,TH))</f>
        <v>1133460</v>
      </c>
      <c r="J104" s="243">
        <f t="shared" si="4"/>
        <v>0</v>
      </c>
      <c r="K104" s="243">
        <f t="shared" si="5"/>
        <v>0</v>
      </c>
      <c r="L104" s="181"/>
    </row>
    <row r="105" spans="1:12" ht="19.5" customHeight="1">
      <c r="A105" s="240">
        <f t="shared" si="3"/>
        <v>94</v>
      </c>
      <c r="B105" s="247" t="s">
        <v>434</v>
      </c>
      <c r="C105" s="242" t="s">
        <v>257</v>
      </c>
      <c r="D105" s="243">
        <v>70</v>
      </c>
      <c r="E105" s="243">
        <v>2007915</v>
      </c>
      <c r="F105" s="243">
        <f t="array" ref="F105">SUM(IF("156"&amp;B105=KHN&amp;MH,SL))</f>
        <v>0</v>
      </c>
      <c r="G105" s="243">
        <f t="array" ref="G105">SUM(IF("156"&amp;B105=KHN&amp;MH,TH))</f>
        <v>0</v>
      </c>
      <c r="H105" s="243">
        <f t="array" ref="H105">SUM(IF("156"&amp;B105=KHC&amp;MH,SL))</f>
        <v>70</v>
      </c>
      <c r="I105" s="243">
        <f t="array" ref="I105">SUM(IF("156"&amp;B105=KHC&amp;MH,TH))</f>
        <v>2007915</v>
      </c>
      <c r="J105" s="243">
        <f t="shared" si="4"/>
        <v>0</v>
      </c>
      <c r="K105" s="243">
        <f t="shared" si="5"/>
        <v>0</v>
      </c>
      <c r="L105" s="181"/>
    </row>
    <row r="106" spans="1:12" ht="19.5" customHeight="1">
      <c r="A106" s="240">
        <f t="shared" si="3"/>
        <v>95</v>
      </c>
      <c r="B106" s="247" t="s">
        <v>335</v>
      </c>
      <c r="C106" s="242" t="s">
        <v>257</v>
      </c>
      <c r="D106" s="243">
        <v>46</v>
      </c>
      <c r="E106" s="243">
        <v>2280312</v>
      </c>
      <c r="F106" s="243">
        <f t="array" ref="F106">SUM(IF("156"&amp;B106=KHN&amp;MH,SL))</f>
        <v>0</v>
      </c>
      <c r="G106" s="243">
        <f t="array" ref="G106">SUM(IF("156"&amp;B106=KHN&amp;MH,TH))</f>
        <v>0</v>
      </c>
      <c r="H106" s="243">
        <f t="array" ref="H106">SUM(IF("156"&amp;B106=KHC&amp;MH,SL))</f>
        <v>46</v>
      </c>
      <c r="I106" s="243">
        <f t="array" ref="I106">SUM(IF("156"&amp;B106=KHC&amp;MH,TH))</f>
        <v>2280312</v>
      </c>
      <c r="J106" s="243">
        <f t="shared" si="4"/>
        <v>0</v>
      </c>
      <c r="K106" s="243">
        <f t="shared" si="5"/>
        <v>0</v>
      </c>
      <c r="L106" s="181"/>
    </row>
    <row r="107" spans="1:12" ht="19.5" customHeight="1">
      <c r="A107" s="240">
        <f t="shared" si="3"/>
        <v>96</v>
      </c>
      <c r="B107" s="248" t="s">
        <v>336</v>
      </c>
      <c r="C107" s="242" t="s">
        <v>257</v>
      </c>
      <c r="D107" s="243">
        <v>74</v>
      </c>
      <c r="E107" s="243">
        <v>3993114</v>
      </c>
      <c r="F107" s="243">
        <f t="array" ref="F107">SUM(IF("156"&amp;B107=KHN&amp;MH,SL))</f>
        <v>0</v>
      </c>
      <c r="G107" s="243">
        <f t="array" ref="G107">SUM(IF("156"&amp;B107=KHN&amp;MH,TH))</f>
        <v>0</v>
      </c>
      <c r="H107" s="243">
        <f t="array" ref="H107">SUM(IF("156"&amp;B107=KHC&amp;MH,SL))</f>
        <v>74</v>
      </c>
      <c r="I107" s="243">
        <f t="array" ref="I107">SUM(IF("156"&amp;B107=KHC&amp;MH,TH))</f>
        <v>3993114</v>
      </c>
      <c r="J107" s="243">
        <f t="shared" si="4"/>
        <v>0</v>
      </c>
      <c r="K107" s="243">
        <f t="shared" si="5"/>
        <v>0</v>
      </c>
      <c r="L107" s="181"/>
    </row>
    <row r="108" spans="1:12" ht="19.5" customHeight="1">
      <c r="A108" s="240">
        <f t="shared" si="3"/>
        <v>97</v>
      </c>
      <c r="B108" s="247" t="s">
        <v>398</v>
      </c>
      <c r="C108" s="242" t="s">
        <v>257</v>
      </c>
      <c r="D108" s="243">
        <v>50</v>
      </c>
      <c r="E108" s="243">
        <v>662650</v>
      </c>
      <c r="F108" s="243">
        <f t="array" ref="F108">SUM(IF("156"&amp;B108=KHN&amp;MH,SL))</f>
        <v>0</v>
      </c>
      <c r="G108" s="243">
        <f t="array" ref="G108">SUM(IF("156"&amp;B108=KHN&amp;MH,TH))</f>
        <v>0</v>
      </c>
      <c r="H108" s="243">
        <f t="array" ref="H108">SUM(IF("156"&amp;B108=KHC&amp;MH,SL))</f>
        <v>0</v>
      </c>
      <c r="I108" s="243">
        <f t="array" ref="I108">SUM(IF("156"&amp;B108=KHC&amp;MH,TH))</f>
        <v>0</v>
      </c>
      <c r="J108" s="243">
        <f t="shared" si="4"/>
        <v>50</v>
      </c>
      <c r="K108" s="243">
        <f t="shared" si="5"/>
        <v>662650</v>
      </c>
      <c r="L108" s="181">
        <f>K108/J108</f>
        <v>13253</v>
      </c>
    </row>
    <row r="109" spans="1:12" ht="19.5" customHeight="1">
      <c r="A109" s="240">
        <f t="shared" si="3"/>
        <v>98</v>
      </c>
      <c r="B109" s="248" t="s">
        <v>411</v>
      </c>
      <c r="C109" s="242" t="s">
        <v>257</v>
      </c>
      <c r="D109" s="243">
        <v>33</v>
      </c>
      <c r="E109" s="243">
        <v>708378</v>
      </c>
      <c r="F109" s="243">
        <f t="array" ref="F109">SUM(IF("156"&amp;B109=KHN&amp;MH,SL))</f>
        <v>0</v>
      </c>
      <c r="G109" s="243">
        <f t="array" ref="G109">SUM(IF("156"&amp;B109=KHN&amp;MH,TH))</f>
        <v>0</v>
      </c>
      <c r="H109" s="243">
        <f t="array" ref="H109">SUM(IF("156"&amp;B109=KHC&amp;MH,SL))</f>
        <v>33</v>
      </c>
      <c r="I109" s="243">
        <f t="array" ref="I109">SUM(IF("156"&amp;B109=KHC&amp;MH,TH))</f>
        <v>708378</v>
      </c>
      <c r="J109" s="243">
        <f t="shared" si="4"/>
        <v>0</v>
      </c>
      <c r="K109" s="243">
        <f t="shared" si="5"/>
        <v>0</v>
      </c>
      <c r="L109" s="181"/>
    </row>
    <row r="110" spans="1:12" ht="19.5" customHeight="1">
      <c r="A110" s="240">
        <f t="shared" si="3"/>
        <v>99</v>
      </c>
      <c r="B110" s="249" t="s">
        <v>572</v>
      </c>
      <c r="C110" s="242" t="s">
        <v>257</v>
      </c>
      <c r="D110" s="243"/>
      <c r="E110" s="243"/>
      <c r="F110" s="243">
        <f t="array" ref="F110">SUM(IF("156"&amp;B110=KHN&amp;MH,SL))</f>
        <v>204</v>
      </c>
      <c r="G110" s="243">
        <f t="array" ref="G110">SUM(IF("156"&amp;B110=KHN&amp;MH,TH))</f>
        <v>4998480</v>
      </c>
      <c r="H110" s="243">
        <f t="array" ref="H110">SUM(IF("156"&amp;B110=KHC&amp;MH,SL))</f>
        <v>204</v>
      </c>
      <c r="I110" s="243">
        <f t="array" ref="I110">SUM(IF("156"&amp;B110=KHC&amp;MH,TH))</f>
        <v>4998480</v>
      </c>
      <c r="J110" s="243">
        <f t="shared" si="4"/>
        <v>0</v>
      </c>
      <c r="K110" s="243">
        <f t="shared" si="5"/>
        <v>0</v>
      </c>
      <c r="L110" s="181"/>
    </row>
    <row r="111" spans="1:12" ht="19.5" customHeight="1">
      <c r="A111" s="240">
        <f t="shared" si="3"/>
        <v>100</v>
      </c>
      <c r="B111" s="250" t="s">
        <v>334</v>
      </c>
      <c r="C111" s="242" t="s">
        <v>257</v>
      </c>
      <c r="D111" s="243">
        <v>80</v>
      </c>
      <c r="E111" s="243">
        <v>1990680</v>
      </c>
      <c r="F111" s="243">
        <f t="array" ref="F111">SUM(IF("156"&amp;B111=KHN&amp;MH,SL))</f>
        <v>0</v>
      </c>
      <c r="G111" s="243">
        <f t="array" ref="G111">SUM(IF("156"&amp;B111=KHN&amp;MH,TH))</f>
        <v>0</v>
      </c>
      <c r="H111" s="243">
        <f t="array" ref="H111">SUM(IF("156"&amp;B111=KHC&amp;MH,SL))</f>
        <v>80</v>
      </c>
      <c r="I111" s="243">
        <f t="array" ref="I111">SUM(IF("156"&amp;B111=KHC&amp;MH,TH))</f>
        <v>1990680</v>
      </c>
      <c r="J111" s="243">
        <f t="shared" si="4"/>
        <v>0</v>
      </c>
      <c r="K111" s="243">
        <f t="shared" si="5"/>
        <v>0</v>
      </c>
      <c r="L111" s="181"/>
    </row>
    <row r="112" spans="1:12" ht="19.5" customHeight="1">
      <c r="A112" s="240">
        <f t="shared" si="3"/>
        <v>101</v>
      </c>
      <c r="B112" s="247" t="s">
        <v>415</v>
      </c>
      <c r="C112" s="242" t="s">
        <v>257</v>
      </c>
      <c r="D112" s="243">
        <v>20</v>
      </c>
      <c r="E112" s="243">
        <v>688000</v>
      </c>
      <c r="F112" s="243">
        <f t="array" ref="F112">SUM(IF("156"&amp;B112=KHN&amp;MH,SL))</f>
        <v>0</v>
      </c>
      <c r="G112" s="243">
        <f t="array" ref="G112">SUM(IF("156"&amp;B112=KHN&amp;MH,TH))</f>
        <v>0</v>
      </c>
      <c r="H112" s="243">
        <f t="array" ref="H112">SUM(IF("156"&amp;B112=KHC&amp;MH,SL))</f>
        <v>0</v>
      </c>
      <c r="I112" s="243">
        <f t="array" ref="I112">SUM(IF("156"&amp;B112=KHC&amp;MH,TH))</f>
        <v>0</v>
      </c>
      <c r="J112" s="243">
        <f t="shared" si="4"/>
        <v>20</v>
      </c>
      <c r="K112" s="243">
        <f t="shared" si="5"/>
        <v>688000</v>
      </c>
      <c r="L112" s="181">
        <f>K112/J112</f>
        <v>34400</v>
      </c>
    </row>
    <row r="113" spans="1:15" ht="19.5" customHeight="1">
      <c r="A113" s="240">
        <f t="shared" si="3"/>
        <v>102</v>
      </c>
      <c r="B113" s="249" t="s">
        <v>390</v>
      </c>
      <c r="C113" s="242" t="s">
        <v>257</v>
      </c>
      <c r="D113" s="243">
        <v>26</v>
      </c>
      <c r="E113" s="243">
        <v>947232</v>
      </c>
      <c r="F113" s="243">
        <f t="array" ref="F113">SUM(IF("156"&amp;B113=KHN&amp;MH,SL))</f>
        <v>0</v>
      </c>
      <c r="G113" s="243">
        <f t="array" ref="G113">SUM(IF("156"&amp;B113=KHN&amp;MH,TH))</f>
        <v>0</v>
      </c>
      <c r="H113" s="243">
        <f t="array" ref="H113">SUM(IF("156"&amp;B113=KHC&amp;MH,SL))</f>
        <v>0</v>
      </c>
      <c r="I113" s="243">
        <f t="array" ref="I113">SUM(IF("156"&amp;B113=KHC&amp;MH,TH))</f>
        <v>0</v>
      </c>
      <c r="J113" s="243">
        <f t="shared" si="4"/>
        <v>26</v>
      </c>
      <c r="K113" s="243">
        <f t="shared" si="5"/>
        <v>947232</v>
      </c>
      <c r="L113" s="181">
        <f>K113/J113</f>
        <v>36432</v>
      </c>
    </row>
    <row r="114" spans="1:15" ht="19.5" customHeight="1">
      <c r="A114" s="240">
        <f t="shared" si="3"/>
        <v>103</v>
      </c>
      <c r="B114" s="249" t="s">
        <v>1382</v>
      </c>
      <c r="C114" s="242"/>
      <c r="D114" s="243"/>
      <c r="E114" s="243"/>
      <c r="F114" s="243">
        <f t="array" ref="F114">SUM(IF("156"&amp;B114=KHN&amp;MH,SL))</f>
        <v>650</v>
      </c>
      <c r="G114" s="243">
        <f t="array" ref="G114">SUM(IF("156"&amp;B114=KHN&amp;MH,TH))</f>
        <v>17026750</v>
      </c>
      <c r="H114" s="243">
        <f t="array" ref="H114">SUM(IF("156"&amp;B114=KHC&amp;MH,SL))</f>
        <v>0</v>
      </c>
      <c r="I114" s="243">
        <f t="array" ref="I114">SUM(IF("156"&amp;B114=KHC&amp;MH,TH))</f>
        <v>0</v>
      </c>
      <c r="J114" s="243">
        <f t="shared" si="4"/>
        <v>650</v>
      </c>
      <c r="K114" s="243">
        <f t="shared" si="5"/>
        <v>17026750</v>
      </c>
      <c r="L114" s="181"/>
    </row>
    <row r="115" spans="1:15" ht="19.5" customHeight="1">
      <c r="A115" s="240">
        <f t="shared" si="3"/>
        <v>104</v>
      </c>
      <c r="B115" s="249" t="s">
        <v>838</v>
      </c>
      <c r="C115" s="242" t="s">
        <v>257</v>
      </c>
      <c r="D115" s="243"/>
      <c r="E115" s="243"/>
      <c r="F115" s="243">
        <f t="array" ref="F115">SUM(IF("156"&amp;B115=KHN&amp;MH,SL))</f>
        <v>200</v>
      </c>
      <c r="G115" s="243">
        <f t="array" ref="G115">SUM(IF("156"&amp;B115=KHN&amp;MH,TH))</f>
        <v>5524200</v>
      </c>
      <c r="H115" s="243">
        <f t="array" ref="H115">SUM(IF("156"&amp;B115=KHC&amp;MH,SL))</f>
        <v>200</v>
      </c>
      <c r="I115" s="243">
        <f t="array" ref="I115">SUM(IF("156"&amp;B115=KHC&amp;MH,TH))</f>
        <v>5524200</v>
      </c>
      <c r="J115" s="243">
        <f t="shared" si="4"/>
        <v>0</v>
      </c>
      <c r="K115" s="243">
        <f t="shared" si="5"/>
        <v>0</v>
      </c>
      <c r="L115" s="181"/>
    </row>
    <row r="116" spans="1:15" ht="19.5" customHeight="1">
      <c r="A116" s="240">
        <f t="shared" si="3"/>
        <v>105</v>
      </c>
      <c r="B116" s="247" t="s">
        <v>383</v>
      </c>
      <c r="C116" s="242" t="s">
        <v>257</v>
      </c>
      <c r="D116" s="243">
        <v>50</v>
      </c>
      <c r="E116" s="243">
        <v>1467200</v>
      </c>
      <c r="F116" s="243">
        <f t="array" ref="F116">SUM(IF("156"&amp;B116=KHN&amp;MH,SL))</f>
        <v>0</v>
      </c>
      <c r="G116" s="243">
        <f t="array" ref="G116">SUM(IF("156"&amp;B116=KHN&amp;MH,TH))</f>
        <v>0</v>
      </c>
      <c r="H116" s="243">
        <f t="array" ref="H116">SUM(IF("156"&amp;B116=KHC&amp;MH,SL))</f>
        <v>50</v>
      </c>
      <c r="I116" s="243">
        <f t="array" ref="I116">SUM(IF("156"&amp;B116=KHC&amp;MH,TH))</f>
        <v>1467200</v>
      </c>
      <c r="J116" s="243">
        <f t="shared" si="4"/>
        <v>0</v>
      </c>
      <c r="K116" s="243">
        <f t="shared" si="5"/>
        <v>0</v>
      </c>
      <c r="L116" s="181"/>
      <c r="N116" s="244"/>
      <c r="O116" s="244"/>
    </row>
    <row r="117" spans="1:15" ht="19.5" customHeight="1">
      <c r="A117" s="240">
        <f t="shared" si="3"/>
        <v>106</v>
      </c>
      <c r="B117" s="247" t="s">
        <v>342</v>
      </c>
      <c r="C117" s="242" t="s">
        <v>257</v>
      </c>
      <c r="D117" s="243">
        <v>24</v>
      </c>
      <c r="E117" s="243">
        <v>769656</v>
      </c>
      <c r="F117" s="243">
        <f t="array" ref="F117">SUM(IF("156"&amp;B117=KHN&amp;MH,SL))</f>
        <v>0</v>
      </c>
      <c r="G117" s="243">
        <f t="array" ref="G117">SUM(IF("156"&amp;B117=KHN&amp;MH,TH))</f>
        <v>0</v>
      </c>
      <c r="H117" s="243">
        <f t="array" ref="H117">SUM(IF("156"&amp;B117=KHC&amp;MH,SL))</f>
        <v>24</v>
      </c>
      <c r="I117" s="243">
        <f t="array" ref="I117">SUM(IF("156"&amp;B117=KHC&amp;MH,TH))</f>
        <v>769656</v>
      </c>
      <c r="J117" s="243">
        <f t="shared" si="4"/>
        <v>0</v>
      </c>
      <c r="K117" s="243">
        <f t="shared" si="5"/>
        <v>0</v>
      </c>
      <c r="L117" s="181"/>
    </row>
    <row r="118" spans="1:15" ht="19.5" customHeight="1">
      <c r="A118" s="240">
        <f t="shared" si="3"/>
        <v>107</v>
      </c>
      <c r="B118" s="247" t="s">
        <v>428</v>
      </c>
      <c r="C118" s="242" t="s">
        <v>257</v>
      </c>
      <c r="D118" s="243">
        <v>40</v>
      </c>
      <c r="E118" s="243">
        <v>1315800</v>
      </c>
      <c r="F118" s="243">
        <f t="array" ref="F118">SUM(IF("156"&amp;B118=KHN&amp;MH,SL))</f>
        <v>0</v>
      </c>
      <c r="G118" s="243">
        <f t="array" ref="G118">SUM(IF("156"&amp;B118=KHN&amp;MH,TH))</f>
        <v>0</v>
      </c>
      <c r="H118" s="243">
        <f t="array" ref="H118">SUM(IF("156"&amp;B118=KHC&amp;MH,SL))</f>
        <v>40</v>
      </c>
      <c r="I118" s="243">
        <f t="array" ref="I118">SUM(IF("156"&amp;B118=KHC&amp;MH,TH))</f>
        <v>1315800</v>
      </c>
      <c r="J118" s="243">
        <f t="shared" si="4"/>
        <v>0</v>
      </c>
      <c r="K118" s="243">
        <f t="shared" si="5"/>
        <v>0</v>
      </c>
      <c r="L118" s="181"/>
    </row>
    <row r="119" spans="1:15" ht="19.5" customHeight="1">
      <c r="A119" s="240">
        <f t="shared" si="3"/>
        <v>108</v>
      </c>
      <c r="B119" s="247" t="s">
        <v>419</v>
      </c>
      <c r="C119" s="242" t="s">
        <v>257</v>
      </c>
      <c r="D119" s="243">
        <v>168</v>
      </c>
      <c r="E119" s="243">
        <v>3655176</v>
      </c>
      <c r="F119" s="243">
        <f t="array" ref="F119">SUM(IF("156"&amp;B119=KHN&amp;MH,SL))</f>
        <v>0</v>
      </c>
      <c r="G119" s="243">
        <f t="array" ref="G119">SUM(IF("156"&amp;B119=KHN&amp;MH,TH))</f>
        <v>0</v>
      </c>
      <c r="H119" s="243">
        <f t="array" ref="H119">SUM(IF("156"&amp;B119=KHC&amp;MH,SL))</f>
        <v>168</v>
      </c>
      <c r="I119" s="243">
        <f t="array" ref="I119">SUM(IF("156"&amp;B119=KHC&amp;MH,TH))</f>
        <v>3655176</v>
      </c>
      <c r="J119" s="243">
        <f t="shared" si="4"/>
        <v>0</v>
      </c>
      <c r="K119" s="243">
        <f t="shared" si="5"/>
        <v>0</v>
      </c>
      <c r="L119" s="181"/>
    </row>
    <row r="120" spans="1:15" ht="19.5" customHeight="1">
      <c r="A120" s="240">
        <f t="shared" si="3"/>
        <v>109</v>
      </c>
      <c r="B120" s="247" t="s">
        <v>344</v>
      </c>
      <c r="C120" s="242" t="s">
        <v>257</v>
      </c>
      <c r="D120" s="243">
        <v>30</v>
      </c>
      <c r="E120" s="243">
        <v>780720</v>
      </c>
      <c r="F120" s="243">
        <f t="array" ref="F120">SUM(IF("156"&amp;B120=KHN&amp;MH,SL))</f>
        <v>0</v>
      </c>
      <c r="G120" s="243">
        <f t="array" ref="G120">SUM(IF("156"&amp;B120=KHN&amp;MH,TH))</f>
        <v>0</v>
      </c>
      <c r="H120" s="243">
        <f t="array" ref="H120">SUM(IF("156"&amp;B120=KHC&amp;MH,SL))</f>
        <v>30</v>
      </c>
      <c r="I120" s="243">
        <f t="array" ref="I120">SUM(IF("156"&amp;B120=KHC&amp;MH,TH))</f>
        <v>780720</v>
      </c>
      <c r="J120" s="243">
        <f t="shared" si="4"/>
        <v>0</v>
      </c>
      <c r="K120" s="243">
        <f t="shared" si="5"/>
        <v>0</v>
      </c>
      <c r="L120" s="181"/>
    </row>
    <row r="121" spans="1:15" ht="19.5" customHeight="1">
      <c r="A121" s="240">
        <f t="shared" si="3"/>
        <v>110</v>
      </c>
      <c r="B121" s="249" t="s">
        <v>340</v>
      </c>
      <c r="C121" s="242" t="s">
        <v>257</v>
      </c>
      <c r="D121" s="243">
        <v>38</v>
      </c>
      <c r="E121" s="243">
        <v>1000008</v>
      </c>
      <c r="F121" s="243">
        <f t="array" ref="F121">SUM(IF("156"&amp;B121=KHN&amp;MH,SL))</f>
        <v>0</v>
      </c>
      <c r="G121" s="243">
        <f t="array" ref="G121">SUM(IF("156"&amp;B121=KHN&amp;MH,TH))</f>
        <v>0</v>
      </c>
      <c r="H121" s="243">
        <f t="array" ref="H121">SUM(IF("156"&amp;B121=KHC&amp;MH,SL))</f>
        <v>38</v>
      </c>
      <c r="I121" s="243">
        <f t="array" ref="I121">SUM(IF("156"&amp;B121=KHC&amp;MH,TH))</f>
        <v>1000008</v>
      </c>
      <c r="J121" s="243">
        <f t="shared" si="4"/>
        <v>0</v>
      </c>
      <c r="K121" s="243">
        <f t="shared" si="5"/>
        <v>0</v>
      </c>
      <c r="L121" s="181"/>
    </row>
    <row r="122" spans="1:15" ht="19.5" customHeight="1">
      <c r="A122" s="240">
        <f t="shared" si="3"/>
        <v>111</v>
      </c>
      <c r="B122" s="249" t="s">
        <v>579</v>
      </c>
      <c r="C122" s="242" t="s">
        <v>257</v>
      </c>
      <c r="D122" s="243"/>
      <c r="E122" s="243"/>
      <c r="F122" s="243">
        <f t="array" ref="F122">SUM(IF("156"&amp;B122=KHN&amp;MH,SL))</f>
        <v>48</v>
      </c>
      <c r="G122" s="243">
        <f t="array" ref="G122">SUM(IF("156"&amp;B122=KHN&amp;MH,TH))</f>
        <v>1245528</v>
      </c>
      <c r="H122" s="243">
        <f t="array" ref="H122">SUM(IF("156"&amp;B122=KHC&amp;MH,SL))</f>
        <v>48</v>
      </c>
      <c r="I122" s="243">
        <f t="array" ref="I122">SUM(IF("156"&amp;B122=KHC&amp;MH,TH))</f>
        <v>1245528</v>
      </c>
      <c r="J122" s="243">
        <f t="shared" si="4"/>
        <v>0</v>
      </c>
      <c r="K122" s="243">
        <f t="shared" si="5"/>
        <v>0</v>
      </c>
      <c r="L122" s="181"/>
    </row>
    <row r="123" spans="1:15" ht="19.5" customHeight="1">
      <c r="A123" s="240">
        <f t="shared" si="3"/>
        <v>112</v>
      </c>
      <c r="B123" s="247" t="s">
        <v>435</v>
      </c>
      <c r="C123" s="242" t="s">
        <v>257</v>
      </c>
      <c r="D123" s="243">
        <v>50</v>
      </c>
      <c r="E123" s="243">
        <v>1309675</v>
      </c>
      <c r="F123" s="243">
        <f t="array" ref="F123">SUM(IF("156"&amp;B123=KHN&amp;MH,SL))</f>
        <v>0</v>
      </c>
      <c r="G123" s="243">
        <f t="array" ref="G123">SUM(IF("156"&amp;B123=KHN&amp;MH,TH))</f>
        <v>0</v>
      </c>
      <c r="H123" s="243">
        <f t="array" ref="H123">SUM(IF("156"&amp;B123=KHC&amp;MH,SL))</f>
        <v>50</v>
      </c>
      <c r="I123" s="243">
        <f t="array" ref="I123">SUM(IF("156"&amp;B123=KHC&amp;MH,TH))</f>
        <v>1309675</v>
      </c>
      <c r="J123" s="243">
        <f t="shared" si="4"/>
        <v>0</v>
      </c>
      <c r="K123" s="243">
        <f t="shared" si="5"/>
        <v>0</v>
      </c>
      <c r="L123" s="181"/>
    </row>
    <row r="124" spans="1:15" ht="19.5" customHeight="1">
      <c r="A124" s="240">
        <f t="shared" si="3"/>
        <v>113</v>
      </c>
      <c r="B124" s="249" t="s">
        <v>410</v>
      </c>
      <c r="C124" s="242" t="s">
        <v>257</v>
      </c>
      <c r="D124" s="243">
        <v>23</v>
      </c>
      <c r="E124" s="243">
        <v>753227</v>
      </c>
      <c r="F124" s="243">
        <f t="array" ref="F124">SUM(IF("156"&amp;B124=KHN&amp;MH,SL))</f>
        <v>0</v>
      </c>
      <c r="G124" s="243">
        <f t="array" ref="G124">SUM(IF("156"&amp;B124=KHN&amp;MH,TH))</f>
        <v>0</v>
      </c>
      <c r="H124" s="243">
        <f t="array" ref="H124">SUM(IF("156"&amp;B124=KHC&amp;MH,SL))</f>
        <v>23</v>
      </c>
      <c r="I124" s="243">
        <f t="array" ref="I124">SUM(IF("156"&amp;B124=KHC&amp;MH,TH))</f>
        <v>753227</v>
      </c>
      <c r="J124" s="243">
        <f t="shared" si="4"/>
        <v>0</v>
      </c>
      <c r="K124" s="243">
        <f t="shared" si="5"/>
        <v>0</v>
      </c>
      <c r="L124" s="181"/>
    </row>
    <row r="125" spans="1:15" ht="19.5" customHeight="1">
      <c r="A125" s="240">
        <f t="shared" si="3"/>
        <v>114</v>
      </c>
      <c r="B125" s="247" t="s">
        <v>429</v>
      </c>
      <c r="C125" s="242" t="s">
        <v>257</v>
      </c>
      <c r="D125" s="243">
        <v>40</v>
      </c>
      <c r="E125" s="243">
        <v>1333360</v>
      </c>
      <c r="F125" s="243">
        <f t="array" ref="F125">SUM(IF("156"&amp;B125=KHN&amp;MH,SL))</f>
        <v>90</v>
      </c>
      <c r="G125" s="243">
        <f t="array" ref="G125">SUM(IF("156"&amp;B125=KHN&amp;MH,TH))</f>
        <v>2637405</v>
      </c>
      <c r="H125" s="243">
        <f t="array" ref="H125">SUM(IF("156"&amp;B125=KHC&amp;MH,SL))</f>
        <v>130</v>
      </c>
      <c r="I125" s="243">
        <f t="array" ref="I125">SUM(IF("156"&amp;B125=KHC&amp;MH,TH))</f>
        <v>3970765</v>
      </c>
      <c r="J125" s="243">
        <f t="shared" si="4"/>
        <v>0</v>
      </c>
      <c r="K125" s="243">
        <f t="shared" si="5"/>
        <v>0</v>
      </c>
      <c r="L125" s="181"/>
    </row>
    <row r="126" spans="1:15" ht="19.5" customHeight="1">
      <c r="A126" s="240">
        <f t="shared" si="3"/>
        <v>115</v>
      </c>
      <c r="B126" s="247" t="s">
        <v>402</v>
      </c>
      <c r="C126" s="242" t="s">
        <v>257</v>
      </c>
      <c r="D126" s="243">
        <v>166</v>
      </c>
      <c r="E126" s="243">
        <v>4652897</v>
      </c>
      <c r="F126" s="243">
        <f t="array" ref="F126">SUM(IF("156"&amp;B126=KHN&amp;MH,SL))</f>
        <v>0</v>
      </c>
      <c r="G126" s="243">
        <f t="array" ref="G126">SUM(IF("156"&amp;B126=KHN&amp;MH,TH))</f>
        <v>0</v>
      </c>
      <c r="H126" s="243">
        <f t="array" ref="H126">SUM(IF("156"&amp;B126=KHC&amp;MH,SL))</f>
        <v>166</v>
      </c>
      <c r="I126" s="243">
        <f t="array" ref="I126">SUM(IF("156"&amp;B126=KHC&amp;MH,TH))</f>
        <v>4652897</v>
      </c>
      <c r="J126" s="243">
        <f t="shared" si="4"/>
        <v>0</v>
      </c>
      <c r="K126" s="243">
        <f t="shared" si="5"/>
        <v>0</v>
      </c>
      <c r="L126" s="181"/>
    </row>
    <row r="127" spans="1:15" ht="19.5" customHeight="1">
      <c r="A127" s="240">
        <f t="shared" si="3"/>
        <v>116</v>
      </c>
      <c r="B127" s="249" t="s">
        <v>1089</v>
      </c>
      <c r="C127" s="242" t="s">
        <v>257</v>
      </c>
      <c r="D127" s="243"/>
      <c r="E127" s="243"/>
      <c r="F127" s="243">
        <f t="array" ref="F127">SUM(IF("156"&amp;B127=KHN&amp;MH,SL))</f>
        <v>144</v>
      </c>
      <c r="G127" s="243">
        <f t="array" ref="G127">SUM(IF("156"&amp;B127=KHN&amp;MH,TH))</f>
        <v>4624344</v>
      </c>
      <c r="H127" s="243">
        <f t="array" ref="H127">SUM(IF("156"&amp;B127=KHC&amp;MH,SL))</f>
        <v>144</v>
      </c>
      <c r="I127" s="243">
        <f t="array" ref="I127">SUM(IF("156"&amp;B127=KHC&amp;MH,TH))</f>
        <v>4624344</v>
      </c>
      <c r="J127" s="243">
        <f t="shared" si="4"/>
        <v>0</v>
      </c>
      <c r="K127" s="243">
        <f t="shared" si="5"/>
        <v>0</v>
      </c>
      <c r="L127" s="181"/>
    </row>
    <row r="128" spans="1:15" ht="19.5" customHeight="1">
      <c r="A128" s="240">
        <f t="shared" si="3"/>
        <v>117</v>
      </c>
      <c r="B128" s="249" t="s">
        <v>436</v>
      </c>
      <c r="C128" s="242" t="s">
        <v>257</v>
      </c>
      <c r="D128" s="243">
        <v>20</v>
      </c>
      <c r="E128" s="243">
        <v>736840</v>
      </c>
      <c r="F128" s="243">
        <f t="array" ref="F128">SUM(IF("156"&amp;B128=KHN&amp;MH,SL))</f>
        <v>0</v>
      </c>
      <c r="G128" s="243">
        <f t="array" ref="G128">SUM(IF("156"&amp;B128=KHN&amp;MH,TH))</f>
        <v>0</v>
      </c>
      <c r="H128" s="243">
        <f t="array" ref="H128">SUM(IF("156"&amp;B128=KHC&amp;MH,SL))</f>
        <v>20</v>
      </c>
      <c r="I128" s="243">
        <f t="array" ref="I128">SUM(IF("156"&amp;B128=KHC&amp;MH,TH))</f>
        <v>736840</v>
      </c>
      <c r="J128" s="243">
        <f t="shared" si="4"/>
        <v>0</v>
      </c>
      <c r="K128" s="243">
        <f t="shared" si="5"/>
        <v>0</v>
      </c>
      <c r="L128" s="181"/>
    </row>
    <row r="129" spans="1:12" ht="19.5" customHeight="1">
      <c r="A129" s="240">
        <f t="shared" si="3"/>
        <v>118</v>
      </c>
      <c r="B129" s="249" t="s">
        <v>1090</v>
      </c>
      <c r="C129" s="242" t="s">
        <v>257</v>
      </c>
      <c r="D129" s="243"/>
      <c r="E129" s="243"/>
      <c r="F129" s="243">
        <f t="array" ref="F129">SUM(IF("156"&amp;B129=KHN&amp;MH,SL))</f>
        <v>20</v>
      </c>
      <c r="G129" s="243">
        <f t="array" ref="G129">SUM(IF("156"&amp;B129=KHN&amp;MH,TH))</f>
        <v>528420</v>
      </c>
      <c r="H129" s="243">
        <f t="array" ref="H129">SUM(IF("156"&amp;B129=KHC&amp;MH,SL))</f>
        <v>0</v>
      </c>
      <c r="I129" s="243">
        <f t="array" ref="I129">SUM(IF("156"&amp;B129=KHC&amp;MH,TH))</f>
        <v>0</v>
      </c>
      <c r="J129" s="243">
        <f t="shared" si="4"/>
        <v>20</v>
      </c>
      <c r="K129" s="243">
        <f t="shared" si="5"/>
        <v>528420</v>
      </c>
      <c r="L129" s="181">
        <f>K129/J129</f>
        <v>26421</v>
      </c>
    </row>
    <row r="130" spans="1:12" ht="19.5" customHeight="1">
      <c r="A130" s="240">
        <f t="shared" si="3"/>
        <v>119</v>
      </c>
      <c r="B130" s="249" t="s">
        <v>426</v>
      </c>
      <c r="C130" s="242" t="s">
        <v>257</v>
      </c>
      <c r="D130" s="243">
        <v>21</v>
      </c>
      <c r="E130" s="243">
        <v>997815</v>
      </c>
      <c r="F130" s="243">
        <f t="array" ref="F130">SUM(IF("156"&amp;B130=KHN&amp;MH,SL))</f>
        <v>0</v>
      </c>
      <c r="G130" s="243">
        <f t="array" ref="G130">SUM(IF("156"&amp;B130=KHN&amp;MH,TH))</f>
        <v>0</v>
      </c>
      <c r="H130" s="243">
        <f t="array" ref="H130">SUM(IF("156"&amp;B130=KHC&amp;MH,SL))</f>
        <v>0</v>
      </c>
      <c r="I130" s="243">
        <f t="array" ref="I130">SUM(IF("156"&amp;B130=KHC&amp;MH,TH))</f>
        <v>0</v>
      </c>
      <c r="J130" s="243">
        <f t="shared" si="4"/>
        <v>21</v>
      </c>
      <c r="K130" s="243">
        <f t="shared" si="5"/>
        <v>997815</v>
      </c>
      <c r="L130" s="181">
        <f>K130/J130</f>
        <v>47515</v>
      </c>
    </row>
    <row r="131" spans="1:12" ht="19.5" customHeight="1">
      <c r="A131" s="240">
        <f t="shared" si="3"/>
        <v>120</v>
      </c>
      <c r="B131" s="249" t="s">
        <v>427</v>
      </c>
      <c r="C131" s="242" t="s">
        <v>257</v>
      </c>
      <c r="D131" s="243">
        <v>21</v>
      </c>
      <c r="E131" s="243">
        <v>1007034</v>
      </c>
      <c r="F131" s="243">
        <f t="array" ref="F131">SUM(IF("156"&amp;B131=KHN&amp;MH,SL))</f>
        <v>0</v>
      </c>
      <c r="G131" s="243">
        <f t="array" ref="G131">SUM(IF("156"&amp;B131=KHN&amp;MH,TH))</f>
        <v>0</v>
      </c>
      <c r="H131" s="243">
        <f t="array" ref="H131">SUM(IF("156"&amp;B131=KHC&amp;MH,SL))</f>
        <v>0</v>
      </c>
      <c r="I131" s="243">
        <f t="array" ref="I131">SUM(IF("156"&amp;B131=KHC&amp;MH,TH))</f>
        <v>0</v>
      </c>
      <c r="J131" s="243">
        <f t="shared" si="4"/>
        <v>21</v>
      </c>
      <c r="K131" s="243">
        <f t="shared" si="5"/>
        <v>1007034</v>
      </c>
      <c r="L131" s="181">
        <f>K131/J131</f>
        <v>47954</v>
      </c>
    </row>
    <row r="132" spans="1:12" ht="19.5" customHeight="1">
      <c r="A132" s="240">
        <f t="shared" si="3"/>
        <v>121</v>
      </c>
      <c r="B132" s="249" t="s">
        <v>1157</v>
      </c>
      <c r="C132" s="242" t="s">
        <v>257</v>
      </c>
      <c r="D132" s="243"/>
      <c r="E132" s="243"/>
      <c r="F132" s="243">
        <f t="array" ref="F132">SUM(IF("156"&amp;B132=KHN&amp;MH,SL))</f>
        <v>250</v>
      </c>
      <c r="G132" s="243">
        <f t="array" ref="G132">SUM(IF("156"&amp;B132=KHN&amp;MH,TH))</f>
        <v>4537250</v>
      </c>
      <c r="H132" s="243">
        <f t="array" ref="H132">SUM(IF("156"&amp;B132=KHC&amp;MH,SL))</f>
        <v>0</v>
      </c>
      <c r="I132" s="243">
        <f t="array" ref="I132">SUM(IF("156"&amp;B132=KHC&amp;MH,TH))</f>
        <v>0</v>
      </c>
      <c r="J132" s="243">
        <f t="shared" si="4"/>
        <v>250</v>
      </c>
      <c r="K132" s="243">
        <f t="shared" si="5"/>
        <v>4537250</v>
      </c>
      <c r="L132" s="181">
        <f>K132/J132</f>
        <v>18149</v>
      </c>
    </row>
    <row r="133" spans="1:12" ht="19.5" customHeight="1">
      <c r="A133" s="240">
        <f t="shared" si="3"/>
        <v>122</v>
      </c>
      <c r="B133" s="249" t="s">
        <v>1087</v>
      </c>
      <c r="C133" s="242" t="s">
        <v>257</v>
      </c>
      <c r="D133" s="243"/>
      <c r="E133" s="243"/>
      <c r="F133" s="243">
        <f t="array" ref="F133">SUM(IF("156"&amp;B133=KHN&amp;MH,SL))</f>
        <v>120</v>
      </c>
      <c r="G133" s="243">
        <f t="array" ref="G133">SUM(IF("156"&amp;B133=KHN&amp;MH,TH))</f>
        <v>2667300</v>
      </c>
      <c r="H133" s="243">
        <f t="array" ref="H133">SUM(IF("156"&amp;B133=KHC&amp;MH,SL))</f>
        <v>0</v>
      </c>
      <c r="I133" s="243">
        <f t="array" ref="I133">SUM(IF("156"&amp;B133=KHC&amp;MH,TH))</f>
        <v>0</v>
      </c>
      <c r="J133" s="243">
        <f t="shared" si="4"/>
        <v>120</v>
      </c>
      <c r="K133" s="243">
        <f t="shared" si="5"/>
        <v>2667300</v>
      </c>
      <c r="L133" s="181">
        <f>K133/J133</f>
        <v>22227.5</v>
      </c>
    </row>
    <row r="134" spans="1:12" ht="19.5" customHeight="1">
      <c r="A134" s="240">
        <f t="shared" si="3"/>
        <v>123</v>
      </c>
      <c r="B134" s="247" t="s">
        <v>403</v>
      </c>
      <c r="C134" s="242" t="s">
        <v>257</v>
      </c>
      <c r="D134" s="243">
        <v>122</v>
      </c>
      <c r="E134" s="243">
        <v>2602883</v>
      </c>
      <c r="F134" s="243">
        <f t="array" ref="F134">SUM(IF("156"&amp;B134=KHN&amp;MH,SL))</f>
        <v>60</v>
      </c>
      <c r="G134" s="243">
        <f t="array" ref="G134">SUM(IF("156"&amp;B134=KHN&amp;MH,TH))</f>
        <v>1277850</v>
      </c>
      <c r="H134" s="243">
        <f t="array" ref="H134">SUM(IF("156"&amp;B134=KHC&amp;MH,SL))</f>
        <v>182</v>
      </c>
      <c r="I134" s="243">
        <f t="array" ref="I134">SUM(IF("156"&amp;B134=KHC&amp;MH,TH))</f>
        <v>3880733</v>
      </c>
      <c r="J134" s="243">
        <f t="shared" si="4"/>
        <v>0</v>
      </c>
      <c r="K134" s="243">
        <f t="shared" si="5"/>
        <v>0</v>
      </c>
      <c r="L134" s="181"/>
    </row>
    <row r="135" spans="1:12" ht="19.5" customHeight="1">
      <c r="A135" s="240">
        <f t="shared" si="3"/>
        <v>124</v>
      </c>
      <c r="B135" s="249" t="s">
        <v>438</v>
      </c>
      <c r="C135" s="242" t="s">
        <v>257</v>
      </c>
      <c r="D135" s="243">
        <v>167</v>
      </c>
      <c r="E135" s="243">
        <v>4551084</v>
      </c>
      <c r="F135" s="243">
        <f t="array" ref="F135">SUM(IF("156"&amp;B135=KHN&amp;MH,SL))</f>
        <v>0</v>
      </c>
      <c r="G135" s="243">
        <f t="array" ref="G135">SUM(IF("156"&amp;B135=KHN&amp;MH,TH))</f>
        <v>0</v>
      </c>
      <c r="H135" s="243">
        <f t="array" ref="H135">SUM(IF("156"&amp;B135=KHC&amp;MH,SL))</f>
        <v>0</v>
      </c>
      <c r="I135" s="243">
        <f t="array" ref="I135">SUM(IF("156"&amp;B135=KHC&amp;MH,TH))</f>
        <v>0</v>
      </c>
      <c r="J135" s="243">
        <f t="shared" si="4"/>
        <v>167</v>
      </c>
      <c r="K135" s="243">
        <f t="shared" si="5"/>
        <v>4551084</v>
      </c>
      <c r="L135" s="181">
        <f>K135/J135</f>
        <v>27252</v>
      </c>
    </row>
    <row r="136" spans="1:12" ht="19.5" customHeight="1">
      <c r="A136" s="240">
        <f t="shared" si="3"/>
        <v>125</v>
      </c>
      <c r="B136" s="247" t="s">
        <v>404</v>
      </c>
      <c r="C136" s="242" t="s">
        <v>257</v>
      </c>
      <c r="D136" s="243">
        <v>96</v>
      </c>
      <c r="E136" s="243">
        <v>3849930</v>
      </c>
      <c r="F136" s="243">
        <f t="array" ref="F136">SUM(IF("156"&amp;B136=KHN&amp;MH,SL))</f>
        <v>0</v>
      </c>
      <c r="G136" s="243">
        <f t="array" ref="G136">SUM(IF("156"&amp;B136=KHN&amp;MH,TH))</f>
        <v>0</v>
      </c>
      <c r="H136" s="243">
        <f t="array" ref="H136">SUM(IF("156"&amp;B136=KHC&amp;MH,SL))</f>
        <v>0</v>
      </c>
      <c r="I136" s="243">
        <f t="array" ref="I136">SUM(IF("156"&amp;B136=KHC&amp;MH,TH))</f>
        <v>0</v>
      </c>
      <c r="J136" s="243">
        <f t="shared" si="4"/>
        <v>96</v>
      </c>
      <c r="K136" s="243">
        <f t="shared" si="5"/>
        <v>3849930</v>
      </c>
      <c r="L136" s="181">
        <f>K136/J136</f>
        <v>40103.4375</v>
      </c>
    </row>
    <row r="137" spans="1:12" ht="19.5" customHeight="1">
      <c r="A137" s="240">
        <f t="shared" si="3"/>
        <v>126</v>
      </c>
      <c r="B137" s="249" t="s">
        <v>395</v>
      </c>
      <c r="C137" s="242" t="s">
        <v>257</v>
      </c>
      <c r="D137" s="243">
        <v>99</v>
      </c>
      <c r="E137" s="243">
        <v>4547664</v>
      </c>
      <c r="F137" s="243">
        <f t="array" ref="F137">SUM(IF("156"&amp;B137=KHN&amp;MH,SL))</f>
        <v>0</v>
      </c>
      <c r="G137" s="243">
        <f t="array" ref="G137">SUM(IF("156"&amp;B137=KHN&amp;MH,TH))</f>
        <v>0</v>
      </c>
      <c r="H137" s="243">
        <f t="array" ref="H137">SUM(IF("156"&amp;B137=KHC&amp;MH,SL))</f>
        <v>0</v>
      </c>
      <c r="I137" s="243">
        <f t="array" ref="I137">SUM(IF("156"&amp;B137=KHC&amp;MH,TH))</f>
        <v>0</v>
      </c>
      <c r="J137" s="243">
        <f t="shared" si="4"/>
        <v>99</v>
      </c>
      <c r="K137" s="243">
        <f t="shared" si="5"/>
        <v>4547664</v>
      </c>
      <c r="L137" s="181">
        <f>K137/J137</f>
        <v>45936</v>
      </c>
    </row>
    <row r="138" spans="1:12" ht="19.5" customHeight="1">
      <c r="A138" s="240">
        <f t="shared" si="3"/>
        <v>127</v>
      </c>
      <c r="B138" s="249" t="s">
        <v>417</v>
      </c>
      <c r="C138" s="242" t="s">
        <v>257</v>
      </c>
      <c r="D138" s="243">
        <v>137</v>
      </c>
      <c r="E138" s="243">
        <v>5323409</v>
      </c>
      <c r="F138" s="243">
        <f t="array" ref="F138">SUM(IF("156"&amp;B138=KHN&amp;MH,SL))</f>
        <v>0</v>
      </c>
      <c r="G138" s="243">
        <f t="array" ref="G138">SUM(IF("156"&amp;B138=KHN&amp;MH,TH))</f>
        <v>0</v>
      </c>
      <c r="H138" s="243">
        <f t="array" ref="H138">SUM(IF("156"&amp;B138=KHC&amp;MH,SL))</f>
        <v>0</v>
      </c>
      <c r="I138" s="243">
        <f t="array" ref="I138">SUM(IF("156"&amp;B138=KHC&amp;MH,TH))</f>
        <v>0</v>
      </c>
      <c r="J138" s="243">
        <f t="shared" si="4"/>
        <v>137</v>
      </c>
      <c r="K138" s="243">
        <f t="shared" si="5"/>
        <v>5323409</v>
      </c>
      <c r="L138" s="181">
        <f>K138/J138</f>
        <v>38857</v>
      </c>
    </row>
    <row r="139" spans="1:12" ht="19.5" customHeight="1">
      <c r="A139" s="240">
        <f t="shared" si="3"/>
        <v>128</v>
      </c>
      <c r="B139" s="249" t="s">
        <v>396</v>
      </c>
      <c r="C139" s="242" t="s">
        <v>257</v>
      </c>
      <c r="D139" s="243">
        <v>99</v>
      </c>
      <c r="E139" s="243">
        <v>4597956</v>
      </c>
      <c r="F139" s="243">
        <f t="array" ref="F139">SUM(IF("156"&amp;B139=KHN&amp;MH,SL))</f>
        <v>0</v>
      </c>
      <c r="G139" s="243">
        <f t="array" ref="G139">SUM(IF("156"&amp;B139=KHN&amp;MH,TH))</f>
        <v>0</v>
      </c>
      <c r="H139" s="243">
        <f t="array" ref="H139">SUM(IF("156"&amp;B139=KHC&amp;MH,SL))</f>
        <v>99</v>
      </c>
      <c r="I139" s="243">
        <f t="array" ref="I139">SUM(IF("156"&amp;B139=KHC&amp;MH,TH))</f>
        <v>4597956</v>
      </c>
      <c r="J139" s="243">
        <f t="shared" si="4"/>
        <v>0</v>
      </c>
      <c r="K139" s="243">
        <f t="shared" si="5"/>
        <v>0</v>
      </c>
      <c r="L139" s="181"/>
    </row>
    <row r="140" spans="1:12" ht="19.5" customHeight="1">
      <c r="A140" s="240">
        <f t="shared" ref="A140:A203" si="6">IF(B140&lt;&gt;"",ROW()-11,"")</f>
        <v>129</v>
      </c>
      <c r="B140" s="249" t="s">
        <v>405</v>
      </c>
      <c r="C140" s="242" t="s">
        <v>257</v>
      </c>
      <c r="D140" s="243">
        <v>96</v>
      </c>
      <c r="E140" s="243">
        <v>3935484</v>
      </c>
      <c r="F140" s="243">
        <f t="array" ref="F140">SUM(IF("156"&amp;B140=KHN&amp;MH,SL))</f>
        <v>0</v>
      </c>
      <c r="G140" s="243">
        <f t="array" ref="G140">SUM(IF("156"&amp;B140=KHN&amp;MH,TH))</f>
        <v>0</v>
      </c>
      <c r="H140" s="243">
        <f t="array" ref="H140">SUM(IF("156"&amp;B140=KHC&amp;MH,SL))</f>
        <v>0</v>
      </c>
      <c r="I140" s="243">
        <f t="array" ref="I140">SUM(IF("156"&amp;B140=KHC&amp;MH,TH))</f>
        <v>0</v>
      </c>
      <c r="J140" s="243">
        <f t="shared" ref="J140:J203" si="7">D140+F140-H140</f>
        <v>96</v>
      </c>
      <c r="K140" s="243">
        <f t="shared" ref="K140:K203" si="8">E140+G140-I140</f>
        <v>3935484</v>
      </c>
      <c r="L140" s="181">
        <f>K140/J140</f>
        <v>40994.625</v>
      </c>
    </row>
    <row r="141" spans="1:12" ht="19.5" customHeight="1">
      <c r="A141" s="240">
        <f t="shared" si="6"/>
        <v>130</v>
      </c>
      <c r="B141" s="249" t="s">
        <v>1086</v>
      </c>
      <c r="C141" s="242" t="s">
        <v>257</v>
      </c>
      <c r="D141" s="243"/>
      <c r="E141" s="243"/>
      <c r="F141" s="243">
        <f t="array" ref="F141">SUM(IF("156"&amp;B141=KHN&amp;MH,SL))</f>
        <v>40</v>
      </c>
      <c r="G141" s="243">
        <f t="array" ref="G141">SUM(IF("156"&amp;B141=KHN&amp;MH,TH))</f>
        <v>1333680</v>
      </c>
      <c r="H141" s="243">
        <f t="array" ref="H141">SUM(IF("156"&amp;B141=KHC&amp;MH,SL))</f>
        <v>40</v>
      </c>
      <c r="I141" s="243">
        <f t="array" ref="I141">SUM(IF("156"&amp;B141=KHC&amp;MH,TH))</f>
        <v>1333680</v>
      </c>
      <c r="J141" s="243">
        <f t="shared" si="7"/>
        <v>0</v>
      </c>
      <c r="K141" s="243">
        <f t="shared" si="8"/>
        <v>0</v>
      </c>
      <c r="L141" s="181"/>
    </row>
    <row r="142" spans="1:12" ht="19.5" customHeight="1">
      <c r="A142" s="240">
        <f t="shared" si="6"/>
        <v>131</v>
      </c>
      <c r="B142" s="249" t="s">
        <v>582</v>
      </c>
      <c r="C142" s="242" t="s">
        <v>257</v>
      </c>
      <c r="D142" s="243"/>
      <c r="E142" s="243"/>
      <c r="F142" s="243">
        <f t="array" ref="F142">SUM(IF("156"&amp;B142=KHN&amp;MH,SL))</f>
        <v>52</v>
      </c>
      <c r="G142" s="243">
        <f t="array" ref="G142">SUM(IF("156"&amp;B142=KHN&amp;MH,TH))</f>
        <v>1657838</v>
      </c>
      <c r="H142" s="243">
        <f t="array" ref="H142">SUM(IF("156"&amp;B142=KHC&amp;MH,SL))</f>
        <v>52</v>
      </c>
      <c r="I142" s="243">
        <f t="array" ref="I142">SUM(IF("156"&amp;B142=KHC&amp;MH,TH))</f>
        <v>1657838</v>
      </c>
      <c r="J142" s="243">
        <f t="shared" si="7"/>
        <v>0</v>
      </c>
      <c r="K142" s="243">
        <f t="shared" si="8"/>
        <v>0</v>
      </c>
      <c r="L142" s="181"/>
    </row>
    <row r="143" spans="1:12" ht="19.5" customHeight="1">
      <c r="A143" s="240">
        <f t="shared" si="6"/>
        <v>132</v>
      </c>
      <c r="B143" s="248" t="s">
        <v>387</v>
      </c>
      <c r="C143" s="242" t="s">
        <v>257</v>
      </c>
      <c r="D143" s="243">
        <v>40</v>
      </c>
      <c r="E143" s="243">
        <v>1280160</v>
      </c>
      <c r="F143" s="243">
        <f t="array" ref="F143">SUM(IF("156"&amp;B143=KHN&amp;MH,SL))</f>
        <v>0</v>
      </c>
      <c r="G143" s="243">
        <f t="array" ref="G143">SUM(IF("156"&amp;B143=KHN&amp;MH,TH))</f>
        <v>0</v>
      </c>
      <c r="H143" s="243">
        <f t="array" ref="H143">SUM(IF("156"&amp;B143=KHC&amp;MH,SL))</f>
        <v>40</v>
      </c>
      <c r="I143" s="243">
        <f t="array" ref="I143">SUM(IF("156"&amp;B143=KHC&amp;MH,TH))</f>
        <v>1280160</v>
      </c>
      <c r="J143" s="243">
        <f t="shared" si="7"/>
        <v>0</v>
      </c>
      <c r="K143" s="243">
        <f t="shared" si="8"/>
        <v>0</v>
      </c>
      <c r="L143" s="181"/>
    </row>
    <row r="144" spans="1:12" ht="19.5" customHeight="1">
      <c r="A144" s="240">
        <f t="shared" si="6"/>
        <v>133</v>
      </c>
      <c r="B144" s="249" t="s">
        <v>1084</v>
      </c>
      <c r="C144" s="242" t="s">
        <v>257</v>
      </c>
      <c r="D144" s="243"/>
      <c r="E144" s="243"/>
      <c r="F144" s="243">
        <f t="array" ref="F144">SUM(IF("156"&amp;B144=KHN&amp;MH,SL))</f>
        <v>167</v>
      </c>
      <c r="G144" s="243">
        <f t="array" ref="G144">SUM(IF("156"&amp;B144=KHN&amp;MH,TH))</f>
        <v>3783719</v>
      </c>
      <c r="H144" s="243">
        <f t="array" ref="H144">SUM(IF("156"&amp;B144=KHC&amp;MH,SL))</f>
        <v>0</v>
      </c>
      <c r="I144" s="243">
        <f t="array" ref="I144">SUM(IF("156"&amp;B144=KHC&amp;MH,TH))</f>
        <v>0</v>
      </c>
      <c r="J144" s="243">
        <f t="shared" si="7"/>
        <v>167</v>
      </c>
      <c r="K144" s="243">
        <f t="shared" si="8"/>
        <v>3783719</v>
      </c>
      <c r="L144" s="181">
        <f>K144/J144</f>
        <v>22657</v>
      </c>
    </row>
    <row r="145" spans="1:15" ht="19.5" customHeight="1">
      <c r="A145" s="240">
        <f t="shared" si="6"/>
        <v>134</v>
      </c>
      <c r="B145" s="247" t="s">
        <v>418</v>
      </c>
      <c r="C145" s="242" t="s">
        <v>257</v>
      </c>
      <c r="D145" s="243">
        <v>137</v>
      </c>
      <c r="E145" s="243">
        <v>5565762</v>
      </c>
      <c r="F145" s="243">
        <f t="array" ref="F145">SUM(IF("156"&amp;B145=KHN&amp;MH,SL))</f>
        <v>0</v>
      </c>
      <c r="G145" s="243">
        <f t="array" ref="G145">SUM(IF("156"&amp;B145=KHN&amp;MH,TH))</f>
        <v>0</v>
      </c>
      <c r="H145" s="243">
        <f t="array" ref="H145">SUM(IF("156"&amp;B145=KHC&amp;MH,SL))</f>
        <v>137</v>
      </c>
      <c r="I145" s="243">
        <f t="array" ref="I145">SUM(IF("156"&amp;B145=KHC&amp;MH,TH))</f>
        <v>5565762</v>
      </c>
      <c r="J145" s="243">
        <f t="shared" si="7"/>
        <v>0</v>
      </c>
      <c r="K145" s="243">
        <f t="shared" si="8"/>
        <v>0</v>
      </c>
      <c r="L145" s="181"/>
    </row>
    <row r="146" spans="1:15" ht="19.5" customHeight="1">
      <c r="A146" s="240">
        <f t="shared" si="6"/>
        <v>135</v>
      </c>
      <c r="B146" s="249" t="s">
        <v>347</v>
      </c>
      <c r="C146" s="242" t="s">
        <v>257</v>
      </c>
      <c r="D146" s="243">
        <v>52</v>
      </c>
      <c r="E146" s="243">
        <v>2537964</v>
      </c>
      <c r="F146" s="243">
        <f t="array" ref="F146">SUM(IF("156"&amp;B146=KHN&amp;MH,SL))</f>
        <v>0</v>
      </c>
      <c r="G146" s="243">
        <f t="array" ref="G146">SUM(IF("156"&amp;B146=KHN&amp;MH,TH))</f>
        <v>0</v>
      </c>
      <c r="H146" s="243">
        <f t="array" ref="H146">SUM(IF("156"&amp;B146=KHC&amp;MH,SL))</f>
        <v>52</v>
      </c>
      <c r="I146" s="243">
        <f t="array" ref="I146">SUM(IF("156"&amp;B146=KHC&amp;MH,TH))</f>
        <v>2537964</v>
      </c>
      <c r="J146" s="243">
        <f t="shared" si="7"/>
        <v>0</v>
      </c>
      <c r="K146" s="243">
        <f t="shared" si="8"/>
        <v>0</v>
      </c>
      <c r="L146" s="181"/>
    </row>
    <row r="147" spans="1:15" ht="19.5" customHeight="1">
      <c r="A147" s="240">
        <f t="shared" si="6"/>
        <v>136</v>
      </c>
      <c r="B147" s="247" t="s">
        <v>413</v>
      </c>
      <c r="C147" s="242" t="s">
        <v>257</v>
      </c>
      <c r="D147" s="243">
        <v>27</v>
      </c>
      <c r="E147" s="243">
        <v>810837</v>
      </c>
      <c r="F147" s="243">
        <f t="array" ref="F147">SUM(IF("156"&amp;B147=KHN&amp;MH,SL))</f>
        <v>0</v>
      </c>
      <c r="G147" s="243">
        <f t="array" ref="G147">SUM(IF("156"&amp;B147=KHN&amp;MH,TH))</f>
        <v>0</v>
      </c>
      <c r="H147" s="243">
        <f t="array" ref="H147">SUM(IF("156"&amp;B147=KHC&amp;MH,SL))</f>
        <v>27</v>
      </c>
      <c r="I147" s="243">
        <f t="array" ref="I147">SUM(IF("156"&amp;B147=KHC&amp;MH,TH))</f>
        <v>810837</v>
      </c>
      <c r="J147" s="243">
        <f t="shared" si="7"/>
        <v>0</v>
      </c>
      <c r="K147" s="243">
        <f t="shared" si="8"/>
        <v>0</v>
      </c>
      <c r="L147" s="181"/>
    </row>
    <row r="148" spans="1:15" ht="19.5" customHeight="1">
      <c r="A148" s="240">
        <f t="shared" si="6"/>
        <v>137</v>
      </c>
      <c r="B148" s="247" t="s">
        <v>388</v>
      </c>
      <c r="C148" s="242" t="s">
        <v>257</v>
      </c>
      <c r="D148" s="243">
        <v>30</v>
      </c>
      <c r="E148" s="243">
        <v>1086690</v>
      </c>
      <c r="F148" s="243">
        <f t="array" ref="F148">SUM(IF("156"&amp;B148=KHN&amp;MH,SL))</f>
        <v>0</v>
      </c>
      <c r="G148" s="243">
        <f t="array" ref="G148">SUM(IF("156"&amp;B148=KHN&amp;MH,TH))</f>
        <v>0</v>
      </c>
      <c r="H148" s="243">
        <f t="array" ref="H148">SUM(IF("156"&amp;B148=KHC&amp;MH,SL))</f>
        <v>0</v>
      </c>
      <c r="I148" s="243">
        <f t="array" ref="I148">SUM(IF("156"&amp;B148=KHC&amp;MH,TH))</f>
        <v>0</v>
      </c>
      <c r="J148" s="243">
        <f t="shared" si="7"/>
        <v>30</v>
      </c>
      <c r="K148" s="243">
        <f t="shared" si="8"/>
        <v>1086690</v>
      </c>
      <c r="L148" s="181">
        <f>K148/J148</f>
        <v>36223</v>
      </c>
    </row>
    <row r="149" spans="1:15" ht="19.5" customHeight="1">
      <c r="A149" s="240">
        <f t="shared" si="6"/>
        <v>138</v>
      </c>
      <c r="B149" s="247" t="s">
        <v>412</v>
      </c>
      <c r="C149" s="242" t="s">
        <v>257</v>
      </c>
      <c r="D149" s="243">
        <v>22</v>
      </c>
      <c r="E149" s="243">
        <v>800316</v>
      </c>
      <c r="F149" s="243">
        <f t="array" ref="F149">SUM(IF("156"&amp;B149=KHN&amp;MH,SL))</f>
        <v>0</v>
      </c>
      <c r="G149" s="243">
        <f t="array" ref="G149">SUM(IF("156"&amp;B149=KHN&amp;MH,TH))</f>
        <v>0</v>
      </c>
      <c r="H149" s="243">
        <f t="array" ref="H149">SUM(IF("156"&amp;B149=KHC&amp;MH,SL))</f>
        <v>0</v>
      </c>
      <c r="I149" s="243">
        <f t="array" ref="I149">SUM(IF("156"&amp;B149=KHC&amp;MH,TH))</f>
        <v>0</v>
      </c>
      <c r="J149" s="243">
        <f t="shared" si="7"/>
        <v>22</v>
      </c>
      <c r="K149" s="243">
        <f t="shared" si="8"/>
        <v>800316</v>
      </c>
      <c r="L149" s="181">
        <f>K149/J149</f>
        <v>36378</v>
      </c>
    </row>
    <row r="150" spans="1:15" ht="19.5" customHeight="1">
      <c r="A150" s="240">
        <f t="shared" si="6"/>
        <v>139</v>
      </c>
      <c r="B150" s="249" t="s">
        <v>1091</v>
      </c>
      <c r="C150" s="242" t="s">
        <v>257</v>
      </c>
      <c r="D150" s="243"/>
      <c r="E150" s="243"/>
      <c r="F150" s="243">
        <f t="array" ref="F150">SUM(IF("156"&amp;B150=KHN&amp;MH,SL))</f>
        <v>72</v>
      </c>
      <c r="G150" s="243">
        <f t="array" ref="G150">SUM(IF("156"&amp;B150=KHN&amp;MH,TH))</f>
        <v>1404900</v>
      </c>
      <c r="H150" s="243">
        <f t="array" ref="H150">SUM(IF("156"&amp;B150=KHC&amp;MH,SL))</f>
        <v>0</v>
      </c>
      <c r="I150" s="243">
        <f t="array" ref="I150">SUM(IF("156"&amp;B150=KHC&amp;MH,TH))</f>
        <v>0</v>
      </c>
      <c r="J150" s="243">
        <f t="shared" si="7"/>
        <v>72</v>
      </c>
      <c r="K150" s="243">
        <f t="shared" si="8"/>
        <v>1404900</v>
      </c>
      <c r="L150" s="181">
        <f>K150/J150</f>
        <v>19512.5</v>
      </c>
    </row>
    <row r="151" spans="1:15" ht="19.5" customHeight="1">
      <c r="A151" s="240">
        <f t="shared" si="6"/>
        <v>140</v>
      </c>
      <c r="B151" s="249" t="s">
        <v>581</v>
      </c>
      <c r="C151" s="242" t="s">
        <v>257</v>
      </c>
      <c r="D151" s="243"/>
      <c r="E151" s="243"/>
      <c r="F151" s="243">
        <f t="array" ref="F151">SUM(IF("156"&amp;B151=KHN&amp;MH,SL))</f>
        <v>200</v>
      </c>
      <c r="G151" s="243">
        <f t="array" ref="G151">SUM(IF("156"&amp;B151=KHN&amp;MH,TH))</f>
        <v>2899400</v>
      </c>
      <c r="H151" s="243">
        <f t="array" ref="H151">SUM(IF("156"&amp;B151=KHC&amp;MH,SL))</f>
        <v>200</v>
      </c>
      <c r="I151" s="243">
        <f t="array" ref="I151">SUM(IF("156"&amp;B151=KHC&amp;MH,TH))</f>
        <v>2899400</v>
      </c>
      <c r="J151" s="243">
        <f t="shared" si="7"/>
        <v>0</v>
      </c>
      <c r="K151" s="243">
        <f t="shared" si="8"/>
        <v>0</v>
      </c>
      <c r="L151" s="181"/>
    </row>
    <row r="152" spans="1:15" ht="19.5" customHeight="1">
      <c r="A152" s="240">
        <f t="shared" si="6"/>
        <v>141</v>
      </c>
      <c r="B152" s="247" t="s">
        <v>401</v>
      </c>
      <c r="C152" s="242" t="s">
        <v>257</v>
      </c>
      <c r="D152" s="243">
        <v>80</v>
      </c>
      <c r="E152" s="243">
        <v>1504560</v>
      </c>
      <c r="F152" s="243">
        <f t="array" ref="F152">SUM(IF("156"&amp;B152=KHN&amp;MH,SL))</f>
        <v>192</v>
      </c>
      <c r="G152" s="243">
        <f t="array" ref="G152">SUM(IF("156"&amp;B152=KHN&amp;MH,TH))</f>
        <v>3785040</v>
      </c>
      <c r="H152" s="243">
        <f t="array" ref="H152">SUM(IF("156"&amp;B152=KHC&amp;MH,SL))</f>
        <v>0</v>
      </c>
      <c r="I152" s="243">
        <f t="array" ref="I152">SUM(IF("156"&amp;B152=KHC&amp;MH,TH))</f>
        <v>0</v>
      </c>
      <c r="J152" s="243">
        <f t="shared" si="7"/>
        <v>272</v>
      </c>
      <c r="K152" s="243">
        <f t="shared" si="8"/>
        <v>5289600</v>
      </c>
      <c r="L152" s="181">
        <f>K152/J152</f>
        <v>19447.058823529413</v>
      </c>
    </row>
    <row r="153" spans="1:15" ht="19.5" customHeight="1">
      <c r="A153" s="240">
        <f t="shared" si="6"/>
        <v>142</v>
      </c>
      <c r="B153" s="247" t="s">
        <v>432</v>
      </c>
      <c r="C153" s="242" t="s">
        <v>257</v>
      </c>
      <c r="D153" s="243">
        <v>72</v>
      </c>
      <c r="E153" s="243">
        <v>1369116</v>
      </c>
      <c r="F153" s="243">
        <f t="array" ref="F153">SUM(IF("156"&amp;B153=KHN&amp;MH,SL))</f>
        <v>0</v>
      </c>
      <c r="G153" s="243">
        <f t="array" ref="G153">SUM(IF("156"&amp;B153=KHN&amp;MH,TH))</f>
        <v>0</v>
      </c>
      <c r="H153" s="243">
        <f t="array" ref="H153">SUM(IF("156"&amp;B153=KHC&amp;MH,SL))</f>
        <v>0</v>
      </c>
      <c r="I153" s="243">
        <f t="array" ref="I153">SUM(IF("156"&amp;B153=KHC&amp;MH,TH))</f>
        <v>0</v>
      </c>
      <c r="J153" s="243">
        <f t="shared" si="7"/>
        <v>72</v>
      </c>
      <c r="K153" s="243">
        <f t="shared" si="8"/>
        <v>1369116</v>
      </c>
      <c r="L153" s="181">
        <f>K153/J153</f>
        <v>19015.5</v>
      </c>
      <c r="O153" s="244"/>
    </row>
    <row r="154" spans="1:15" ht="19.5" customHeight="1">
      <c r="A154" s="240">
        <f t="shared" si="6"/>
        <v>143</v>
      </c>
      <c r="B154" s="249" t="s">
        <v>1082</v>
      </c>
      <c r="C154" s="242" t="s">
        <v>257</v>
      </c>
      <c r="D154" s="243"/>
      <c r="E154" s="243"/>
      <c r="F154" s="243">
        <f t="array" ref="F154">SUM(IF("156"&amp;B154=KHN&amp;MH,SL))</f>
        <v>48</v>
      </c>
      <c r="G154" s="243">
        <f t="array" ref="G154">SUM(IF("156"&amp;B154=KHN&amp;MH,TH))</f>
        <v>1461768</v>
      </c>
      <c r="H154" s="243">
        <f t="array" ref="H154">SUM(IF("156"&amp;B154=KHC&amp;MH,SL))</f>
        <v>48</v>
      </c>
      <c r="I154" s="243">
        <f t="array" ref="I154">SUM(IF("156"&amp;B154=KHC&amp;MH,TH))</f>
        <v>1461768</v>
      </c>
      <c r="J154" s="243">
        <f t="shared" si="7"/>
        <v>0</v>
      </c>
      <c r="K154" s="243">
        <f t="shared" si="8"/>
        <v>0</v>
      </c>
      <c r="L154" s="181"/>
    </row>
    <row r="155" spans="1:15" ht="19.5" customHeight="1">
      <c r="A155" s="240">
        <f t="shared" si="6"/>
        <v>144</v>
      </c>
      <c r="B155" s="247" t="s">
        <v>327</v>
      </c>
      <c r="C155" s="242" t="s">
        <v>257</v>
      </c>
      <c r="D155" s="243">
        <v>100</v>
      </c>
      <c r="E155" s="243">
        <v>1293200</v>
      </c>
      <c r="F155" s="243">
        <f t="array" ref="F155">SUM(IF("156"&amp;B155=KHN&amp;MH,SL))</f>
        <v>0</v>
      </c>
      <c r="G155" s="243">
        <f t="array" ref="G155">SUM(IF("156"&amp;B155=KHN&amp;MH,TH))</f>
        <v>0</v>
      </c>
      <c r="H155" s="243">
        <f t="array" ref="H155">SUM(IF("156"&amp;B155=KHC&amp;MH,SL))</f>
        <v>0</v>
      </c>
      <c r="I155" s="243">
        <f t="array" ref="I155">SUM(IF("156"&amp;B155=KHC&amp;MH,TH))</f>
        <v>0</v>
      </c>
      <c r="J155" s="243">
        <f t="shared" si="7"/>
        <v>100</v>
      </c>
      <c r="K155" s="243">
        <f t="shared" si="8"/>
        <v>1293200</v>
      </c>
      <c r="L155" s="181">
        <f>K155/J155</f>
        <v>12932</v>
      </c>
    </row>
    <row r="156" spans="1:15" ht="19.5" customHeight="1">
      <c r="A156" s="240">
        <f t="shared" si="6"/>
        <v>145</v>
      </c>
      <c r="B156" s="247" t="s">
        <v>326</v>
      </c>
      <c r="C156" s="242" t="s">
        <v>257</v>
      </c>
      <c r="D156" s="243">
        <v>40</v>
      </c>
      <c r="E156" s="243">
        <v>1009800</v>
      </c>
      <c r="F156" s="243">
        <f t="array" ref="F156">SUM(IF("156"&amp;B156=KHN&amp;MH,SL))</f>
        <v>0</v>
      </c>
      <c r="G156" s="243">
        <f t="array" ref="G156">SUM(IF("156"&amp;B156=KHN&amp;MH,TH))</f>
        <v>0</v>
      </c>
      <c r="H156" s="243">
        <f t="array" ref="H156">SUM(IF("156"&amp;B156=KHC&amp;MH,SL))</f>
        <v>40</v>
      </c>
      <c r="I156" s="243">
        <f t="array" ref="I156">SUM(IF("156"&amp;B156=KHC&amp;MH,TH))</f>
        <v>1009800</v>
      </c>
      <c r="J156" s="243">
        <f t="shared" si="7"/>
        <v>0</v>
      </c>
      <c r="K156" s="243">
        <f t="shared" si="8"/>
        <v>0</v>
      </c>
      <c r="L156" s="181"/>
    </row>
    <row r="157" spans="1:15" ht="19.5" customHeight="1">
      <c r="A157" s="240">
        <f t="shared" si="6"/>
        <v>146</v>
      </c>
      <c r="B157" s="247" t="s">
        <v>297</v>
      </c>
      <c r="C157" s="242" t="s">
        <v>257</v>
      </c>
      <c r="D157" s="243">
        <v>1000</v>
      </c>
      <c r="E157" s="243">
        <v>8265000</v>
      </c>
      <c r="F157" s="243">
        <f t="array" ref="F157">SUM(IF("156"&amp;B157=KHN&amp;MH,SL))</f>
        <v>0</v>
      </c>
      <c r="G157" s="243">
        <f t="array" ref="G157">SUM(IF("156"&amp;B157=KHN&amp;MH,TH))</f>
        <v>0</v>
      </c>
      <c r="H157" s="243">
        <f t="array" ref="H157">SUM(IF("156"&amp;B157=KHC&amp;MH,SL))</f>
        <v>1000</v>
      </c>
      <c r="I157" s="243">
        <f t="array" ref="I157">SUM(IF("156"&amp;B157=KHC&amp;MH,TH))</f>
        <v>8265000</v>
      </c>
      <c r="J157" s="243">
        <f t="shared" si="7"/>
        <v>0</v>
      </c>
      <c r="K157" s="243">
        <f t="shared" si="8"/>
        <v>0</v>
      </c>
      <c r="L157" s="181"/>
    </row>
    <row r="158" spans="1:15" ht="19.5" customHeight="1">
      <c r="A158" s="240">
        <f t="shared" si="6"/>
        <v>147</v>
      </c>
      <c r="B158" s="247" t="s">
        <v>329</v>
      </c>
      <c r="C158" s="242" t="s">
        <v>257</v>
      </c>
      <c r="D158" s="243">
        <v>34</v>
      </c>
      <c r="E158" s="243">
        <v>991440</v>
      </c>
      <c r="F158" s="243">
        <f t="array" ref="F158">SUM(IF("156"&amp;B158=KHN&amp;MH,SL))</f>
        <v>0</v>
      </c>
      <c r="G158" s="243">
        <f t="array" ref="G158">SUM(IF("156"&amp;B158=KHN&amp;MH,TH))</f>
        <v>0</v>
      </c>
      <c r="H158" s="243">
        <f t="array" ref="H158">SUM(IF("156"&amp;B158=KHC&amp;MH,SL))</f>
        <v>0</v>
      </c>
      <c r="I158" s="243">
        <f t="array" ref="I158">SUM(IF("156"&amp;B158=KHC&amp;MH,TH))</f>
        <v>0</v>
      </c>
      <c r="J158" s="243">
        <f t="shared" si="7"/>
        <v>34</v>
      </c>
      <c r="K158" s="243">
        <f t="shared" si="8"/>
        <v>991440</v>
      </c>
      <c r="L158" s="181">
        <f>K158/J158</f>
        <v>29160</v>
      </c>
    </row>
    <row r="159" spans="1:15" ht="19.5" customHeight="1">
      <c r="A159" s="240">
        <f t="shared" si="6"/>
        <v>148</v>
      </c>
      <c r="B159" s="247" t="s">
        <v>338</v>
      </c>
      <c r="C159" s="242" t="s">
        <v>257</v>
      </c>
      <c r="D159" s="243">
        <v>120</v>
      </c>
      <c r="E159" s="243">
        <v>5664000</v>
      </c>
      <c r="F159" s="243">
        <f t="array" ref="F159">SUM(IF("156"&amp;B159=KHN&amp;MH,SL))</f>
        <v>0</v>
      </c>
      <c r="G159" s="243">
        <f t="array" ref="G159">SUM(IF("156"&amp;B159=KHN&amp;MH,TH))</f>
        <v>0</v>
      </c>
      <c r="H159" s="243">
        <f t="array" ref="H159">SUM(IF("156"&amp;B159=KHC&amp;MH,SL))</f>
        <v>120</v>
      </c>
      <c r="I159" s="243">
        <f t="array" ref="I159">SUM(IF("156"&amp;B159=KHC&amp;MH,TH))</f>
        <v>5664000</v>
      </c>
      <c r="J159" s="243">
        <f t="shared" si="7"/>
        <v>0</v>
      </c>
      <c r="K159" s="243">
        <f t="shared" si="8"/>
        <v>0</v>
      </c>
      <c r="L159" s="181"/>
    </row>
    <row r="160" spans="1:15" ht="19.5" customHeight="1">
      <c r="A160" s="240">
        <f t="shared" si="6"/>
        <v>149</v>
      </c>
      <c r="B160" s="247" t="s">
        <v>325</v>
      </c>
      <c r="C160" s="242" t="s">
        <v>257</v>
      </c>
      <c r="D160" s="243">
        <v>100</v>
      </c>
      <c r="E160" s="243">
        <v>3404100</v>
      </c>
      <c r="F160" s="243">
        <f t="array" ref="F160">SUM(IF("156"&amp;B160=KHN&amp;MH,SL))</f>
        <v>0</v>
      </c>
      <c r="G160" s="243">
        <f t="array" ref="G160">SUM(IF("156"&amp;B160=KHN&amp;MH,TH))</f>
        <v>0</v>
      </c>
      <c r="H160" s="243">
        <f t="array" ref="H160">SUM(IF("156"&amp;B160=KHC&amp;MH,SL))</f>
        <v>100</v>
      </c>
      <c r="I160" s="243">
        <f t="array" ref="I160">SUM(IF("156"&amp;B160=KHC&amp;MH,TH))</f>
        <v>3404100</v>
      </c>
      <c r="J160" s="243">
        <f t="shared" si="7"/>
        <v>0</v>
      </c>
      <c r="K160" s="243">
        <f t="shared" si="8"/>
        <v>0</v>
      </c>
      <c r="L160" s="181"/>
    </row>
    <row r="161" spans="1:15" ht="19.5" customHeight="1">
      <c r="A161" s="240">
        <f t="shared" si="6"/>
        <v>150</v>
      </c>
      <c r="B161" s="247" t="s">
        <v>324</v>
      </c>
      <c r="C161" s="242" t="s">
        <v>257</v>
      </c>
      <c r="D161" s="243">
        <v>22</v>
      </c>
      <c r="E161" s="243">
        <v>476454</v>
      </c>
      <c r="F161" s="243">
        <f t="array" ref="F161">SUM(IF("156"&amp;B161=KHN&amp;MH,SL))</f>
        <v>0</v>
      </c>
      <c r="G161" s="243">
        <f t="array" ref="G161">SUM(IF("156"&amp;B161=KHN&amp;MH,TH))</f>
        <v>0</v>
      </c>
      <c r="H161" s="243">
        <f t="array" ref="H161">SUM(IF("156"&amp;B161=KHC&amp;MH,SL))</f>
        <v>22</v>
      </c>
      <c r="I161" s="243">
        <f t="array" ref="I161">SUM(IF("156"&amp;B161=KHC&amp;MH,TH))</f>
        <v>476454</v>
      </c>
      <c r="J161" s="243">
        <f t="shared" si="7"/>
        <v>0</v>
      </c>
      <c r="K161" s="243">
        <f t="shared" si="8"/>
        <v>0</v>
      </c>
      <c r="L161" s="181"/>
    </row>
    <row r="162" spans="1:15" ht="19.5" customHeight="1">
      <c r="A162" s="240">
        <f t="shared" si="6"/>
        <v>151</v>
      </c>
      <c r="B162" s="249" t="s">
        <v>574</v>
      </c>
      <c r="C162" s="242" t="s">
        <v>257</v>
      </c>
      <c r="D162" s="243"/>
      <c r="E162" s="243"/>
      <c r="F162" s="243">
        <f t="array" ref="F162">SUM(IF("156"&amp;B162=KHN&amp;MH,SL))</f>
        <v>100</v>
      </c>
      <c r="G162" s="243">
        <f t="array" ref="G162">SUM(IF("156"&amp;B162=KHN&amp;MH,TH))</f>
        <v>1836100</v>
      </c>
      <c r="H162" s="243">
        <f t="array" ref="H162">SUM(IF("156"&amp;B162=KHC&amp;MH,SL))</f>
        <v>0</v>
      </c>
      <c r="I162" s="243">
        <f t="array" ref="I162">SUM(IF("156"&amp;B162=KHC&amp;MH,TH))</f>
        <v>0</v>
      </c>
      <c r="J162" s="243">
        <f t="shared" si="7"/>
        <v>100</v>
      </c>
      <c r="K162" s="243">
        <f t="shared" si="8"/>
        <v>1836100</v>
      </c>
      <c r="L162" s="181">
        <f>K162/J162</f>
        <v>18361</v>
      </c>
    </row>
    <row r="163" spans="1:15" ht="19.5" customHeight="1">
      <c r="A163" s="240">
        <f t="shared" si="6"/>
        <v>152</v>
      </c>
      <c r="B163" s="247" t="s">
        <v>323</v>
      </c>
      <c r="C163" s="242" t="s">
        <v>257</v>
      </c>
      <c r="D163" s="243">
        <v>36</v>
      </c>
      <c r="E163" s="243">
        <v>905580</v>
      </c>
      <c r="F163" s="243">
        <f t="array" ref="F163">SUM(IF("156"&amp;B163=KHN&amp;MH,SL))</f>
        <v>0</v>
      </c>
      <c r="G163" s="243">
        <f t="array" ref="G163">SUM(IF("156"&amp;B163=KHN&amp;MH,TH))</f>
        <v>0</v>
      </c>
      <c r="H163" s="243">
        <f t="array" ref="H163">SUM(IF("156"&amp;B163=KHC&amp;MH,SL))</f>
        <v>36</v>
      </c>
      <c r="I163" s="243">
        <f t="array" ref="I163">SUM(IF("156"&amp;B163=KHC&amp;MH,TH))</f>
        <v>905580</v>
      </c>
      <c r="J163" s="243">
        <f t="shared" si="7"/>
        <v>0</v>
      </c>
      <c r="K163" s="243">
        <f t="shared" si="8"/>
        <v>0</v>
      </c>
      <c r="L163" s="181"/>
    </row>
    <row r="164" spans="1:15" ht="19.5" customHeight="1">
      <c r="A164" s="240">
        <f t="shared" si="6"/>
        <v>153</v>
      </c>
      <c r="B164" s="249" t="s">
        <v>577</v>
      </c>
      <c r="C164" s="242" t="s">
        <v>257</v>
      </c>
      <c r="D164" s="243"/>
      <c r="E164" s="243"/>
      <c r="F164" s="243">
        <f t="array" ref="F164">SUM(IF("156"&amp;B164=KHN&amp;MH,SL))</f>
        <v>30</v>
      </c>
      <c r="G164" s="243">
        <f t="array" ref="G164">SUM(IF("156"&amp;B164=KHN&amp;MH,TH))</f>
        <v>1782000</v>
      </c>
      <c r="H164" s="243">
        <f t="array" ref="H164">SUM(IF("156"&amp;B164=KHC&amp;MH,SL))</f>
        <v>0</v>
      </c>
      <c r="I164" s="243">
        <f t="array" ref="I164">SUM(IF("156"&amp;B164=KHC&amp;MH,TH))</f>
        <v>0</v>
      </c>
      <c r="J164" s="243">
        <f t="shared" si="7"/>
        <v>30</v>
      </c>
      <c r="K164" s="243">
        <f t="shared" si="8"/>
        <v>1782000</v>
      </c>
      <c r="L164" s="181">
        <f t="shared" ref="L164:L173" si="9">K164/J164</f>
        <v>59400</v>
      </c>
    </row>
    <row r="165" spans="1:15" ht="19.5" customHeight="1">
      <c r="A165" s="240">
        <f t="shared" si="6"/>
        <v>154</v>
      </c>
      <c r="B165" s="247" t="s">
        <v>296</v>
      </c>
      <c r="C165" s="242" t="s">
        <v>257</v>
      </c>
      <c r="D165" s="243">
        <v>300</v>
      </c>
      <c r="E165" s="243">
        <v>6150000</v>
      </c>
      <c r="F165" s="243">
        <f t="array" ref="F165">SUM(IF("156"&amp;B165=KHN&amp;MH,SL))</f>
        <v>0</v>
      </c>
      <c r="G165" s="243">
        <f t="array" ref="G165">SUM(IF("156"&amp;B165=KHN&amp;MH,TH))</f>
        <v>0</v>
      </c>
      <c r="H165" s="243">
        <f t="array" ref="H165">SUM(IF("156"&amp;B165=KHC&amp;MH,SL))</f>
        <v>0</v>
      </c>
      <c r="I165" s="243">
        <f t="array" ref="I165">SUM(IF("156"&amp;B165=KHC&amp;MH,TH))</f>
        <v>0</v>
      </c>
      <c r="J165" s="243">
        <f t="shared" si="7"/>
        <v>300</v>
      </c>
      <c r="K165" s="243">
        <f t="shared" si="8"/>
        <v>6150000</v>
      </c>
      <c r="L165" s="181">
        <f t="shared" si="9"/>
        <v>20500</v>
      </c>
    </row>
    <row r="166" spans="1:15" ht="19.5" customHeight="1">
      <c r="A166" s="240">
        <f t="shared" si="6"/>
        <v>155</v>
      </c>
      <c r="B166" s="247" t="s">
        <v>322</v>
      </c>
      <c r="C166" s="242" t="s">
        <v>257</v>
      </c>
      <c r="D166" s="243">
        <v>250</v>
      </c>
      <c r="E166" s="243">
        <v>3375000</v>
      </c>
      <c r="F166" s="243">
        <f t="array" ref="F166">SUM(IF("156"&amp;B166=KHN&amp;MH,SL))</f>
        <v>0</v>
      </c>
      <c r="G166" s="243">
        <f t="array" ref="G166">SUM(IF("156"&amp;B166=KHN&amp;MH,TH))</f>
        <v>0</v>
      </c>
      <c r="H166" s="243">
        <f t="array" ref="H166">SUM(IF("156"&amp;B166=KHC&amp;MH,SL))</f>
        <v>0</v>
      </c>
      <c r="I166" s="243">
        <f t="array" ref="I166">SUM(IF("156"&amp;B166=KHC&amp;MH,TH))</f>
        <v>0</v>
      </c>
      <c r="J166" s="243">
        <f t="shared" si="7"/>
        <v>250</v>
      </c>
      <c r="K166" s="243">
        <f t="shared" si="8"/>
        <v>3375000</v>
      </c>
      <c r="L166" s="181">
        <f t="shared" si="9"/>
        <v>13500</v>
      </c>
    </row>
    <row r="167" spans="1:15" ht="19.5" customHeight="1">
      <c r="A167" s="240">
        <f t="shared" si="6"/>
        <v>156</v>
      </c>
      <c r="B167" s="247" t="s">
        <v>321</v>
      </c>
      <c r="C167" s="242" t="s">
        <v>257</v>
      </c>
      <c r="D167" s="243">
        <v>250</v>
      </c>
      <c r="E167" s="243">
        <v>5088750</v>
      </c>
      <c r="F167" s="243">
        <f t="array" ref="F167">SUM(IF("156"&amp;B167=KHN&amp;MH,SL))</f>
        <v>0</v>
      </c>
      <c r="G167" s="243">
        <f t="array" ref="G167">SUM(IF("156"&amp;B167=KHN&amp;MH,TH))</f>
        <v>0</v>
      </c>
      <c r="H167" s="243">
        <f t="array" ref="H167">SUM(IF("156"&amp;B167=KHC&amp;MH,SL))</f>
        <v>0</v>
      </c>
      <c r="I167" s="243">
        <f t="array" ref="I167">SUM(IF("156"&amp;B167=KHC&amp;MH,TH))</f>
        <v>0</v>
      </c>
      <c r="J167" s="243">
        <f t="shared" si="7"/>
        <v>250</v>
      </c>
      <c r="K167" s="243">
        <f t="shared" si="8"/>
        <v>5088750</v>
      </c>
      <c r="L167" s="181">
        <f t="shared" si="9"/>
        <v>20355</v>
      </c>
    </row>
    <row r="168" spans="1:15" ht="19.5" customHeight="1">
      <c r="A168" s="240">
        <f t="shared" si="6"/>
        <v>157</v>
      </c>
      <c r="B168" s="249" t="s">
        <v>320</v>
      </c>
      <c r="C168" s="242" t="s">
        <v>257</v>
      </c>
      <c r="D168" s="243">
        <v>259</v>
      </c>
      <c r="E168" s="243">
        <v>3663555</v>
      </c>
      <c r="F168" s="243">
        <f t="array" ref="F168">SUM(IF("156"&amp;B168=KHN&amp;MH,SL))</f>
        <v>0</v>
      </c>
      <c r="G168" s="243">
        <f t="array" ref="G168">SUM(IF("156"&amp;B168=KHN&amp;MH,TH))</f>
        <v>0</v>
      </c>
      <c r="H168" s="243">
        <f t="array" ref="H168">SUM(IF("156"&amp;B168=KHC&amp;MH,SL))</f>
        <v>0</v>
      </c>
      <c r="I168" s="243">
        <f t="array" ref="I168">SUM(IF("156"&amp;B168=KHC&amp;MH,TH))</f>
        <v>0</v>
      </c>
      <c r="J168" s="243">
        <f t="shared" si="7"/>
        <v>259</v>
      </c>
      <c r="K168" s="243">
        <f t="shared" si="8"/>
        <v>3663555</v>
      </c>
      <c r="L168" s="181">
        <f t="shared" si="9"/>
        <v>14145</v>
      </c>
    </row>
    <row r="169" spans="1:15" ht="19.5" customHeight="1">
      <c r="A169" s="240">
        <f t="shared" si="6"/>
        <v>158</v>
      </c>
      <c r="B169" s="247" t="s">
        <v>319</v>
      </c>
      <c r="C169" s="242" t="s">
        <v>257</v>
      </c>
      <c r="D169" s="243">
        <v>61</v>
      </c>
      <c r="E169" s="243">
        <v>1147959</v>
      </c>
      <c r="F169" s="243">
        <f t="array" ref="F169">SUM(IF("156"&amp;B169=KHN&amp;MH,SL))</f>
        <v>0</v>
      </c>
      <c r="G169" s="243">
        <f t="array" ref="G169">SUM(IF("156"&amp;B169=KHN&amp;MH,TH))</f>
        <v>0</v>
      </c>
      <c r="H169" s="243">
        <f t="array" ref="H169">SUM(IF("156"&amp;B169=KHC&amp;MH,SL))</f>
        <v>0</v>
      </c>
      <c r="I169" s="243">
        <f t="array" ref="I169">SUM(IF("156"&amp;B169=KHC&amp;MH,TH))</f>
        <v>0</v>
      </c>
      <c r="J169" s="243">
        <f t="shared" si="7"/>
        <v>61</v>
      </c>
      <c r="K169" s="243">
        <f t="shared" si="8"/>
        <v>1147959</v>
      </c>
      <c r="L169" s="181">
        <f t="shared" si="9"/>
        <v>18819</v>
      </c>
    </row>
    <row r="170" spans="1:15" ht="19.5" customHeight="1">
      <c r="A170" s="240">
        <f t="shared" si="6"/>
        <v>159</v>
      </c>
      <c r="B170" s="247" t="s">
        <v>318</v>
      </c>
      <c r="C170" s="242" t="s">
        <v>257</v>
      </c>
      <c r="D170" s="243">
        <v>400</v>
      </c>
      <c r="E170" s="243">
        <v>3705600</v>
      </c>
      <c r="F170" s="243">
        <f t="array" ref="F170">SUM(IF("156"&amp;B170=KHN&amp;MH,SL))</f>
        <v>0</v>
      </c>
      <c r="G170" s="243">
        <f t="array" ref="G170">SUM(IF("156"&amp;B170=KHN&amp;MH,TH))</f>
        <v>0</v>
      </c>
      <c r="H170" s="243">
        <f t="array" ref="H170">SUM(IF("156"&amp;B170=KHC&amp;MH,SL))</f>
        <v>0</v>
      </c>
      <c r="I170" s="243">
        <f t="array" ref="I170">SUM(IF("156"&amp;B170=KHC&amp;MH,TH))</f>
        <v>0</v>
      </c>
      <c r="J170" s="243">
        <f t="shared" si="7"/>
        <v>400</v>
      </c>
      <c r="K170" s="243">
        <f t="shared" si="8"/>
        <v>3705600</v>
      </c>
      <c r="L170" s="181">
        <f t="shared" si="9"/>
        <v>9264</v>
      </c>
    </row>
    <row r="171" spans="1:15" ht="19.5" customHeight="1">
      <c r="A171" s="240">
        <f t="shared" si="6"/>
        <v>160</v>
      </c>
      <c r="B171" s="247" t="s">
        <v>317</v>
      </c>
      <c r="C171" s="242" t="s">
        <v>257</v>
      </c>
      <c r="D171" s="243">
        <v>260</v>
      </c>
      <c r="E171" s="243">
        <v>2624440</v>
      </c>
      <c r="F171" s="243">
        <f t="array" ref="F171">SUM(IF("156"&amp;B171=KHN&amp;MH,SL))</f>
        <v>0</v>
      </c>
      <c r="G171" s="243">
        <f t="array" ref="G171">SUM(IF("156"&amp;B171=KHN&amp;MH,TH))</f>
        <v>0</v>
      </c>
      <c r="H171" s="243">
        <f t="array" ref="H171">SUM(IF("156"&amp;B171=KHC&amp;MH,SL))</f>
        <v>0</v>
      </c>
      <c r="I171" s="243">
        <f t="array" ref="I171">SUM(IF("156"&amp;B171=KHC&amp;MH,TH))</f>
        <v>0</v>
      </c>
      <c r="J171" s="243">
        <f t="shared" si="7"/>
        <v>260</v>
      </c>
      <c r="K171" s="243">
        <f t="shared" si="8"/>
        <v>2624440</v>
      </c>
      <c r="L171" s="181">
        <f t="shared" si="9"/>
        <v>10094</v>
      </c>
    </row>
    <row r="172" spans="1:15" ht="19.5" customHeight="1">
      <c r="A172" s="240">
        <f t="shared" si="6"/>
        <v>161</v>
      </c>
      <c r="B172" s="247" t="s">
        <v>316</v>
      </c>
      <c r="C172" s="242" t="s">
        <v>257</v>
      </c>
      <c r="D172" s="243">
        <v>250</v>
      </c>
      <c r="E172" s="243">
        <v>3092250</v>
      </c>
      <c r="F172" s="243">
        <f t="array" ref="F172">SUM(IF("156"&amp;B172=KHN&amp;MH,SL))</f>
        <v>0</v>
      </c>
      <c r="G172" s="243">
        <f t="array" ref="G172">SUM(IF("156"&amp;B172=KHN&amp;MH,TH))</f>
        <v>0</v>
      </c>
      <c r="H172" s="243">
        <f t="array" ref="H172">SUM(IF("156"&amp;B172=KHC&amp;MH,SL))</f>
        <v>0</v>
      </c>
      <c r="I172" s="243">
        <f t="array" ref="I172">SUM(IF("156"&amp;B172=KHC&amp;MH,TH))</f>
        <v>0</v>
      </c>
      <c r="J172" s="243">
        <f t="shared" si="7"/>
        <v>250</v>
      </c>
      <c r="K172" s="243">
        <f t="shared" si="8"/>
        <v>3092250</v>
      </c>
      <c r="L172" s="181">
        <f t="shared" si="9"/>
        <v>12369</v>
      </c>
    </row>
    <row r="173" spans="1:15" ht="19.5" customHeight="1">
      <c r="A173" s="240">
        <f t="shared" si="6"/>
        <v>162</v>
      </c>
      <c r="B173" s="247" t="s">
        <v>315</v>
      </c>
      <c r="C173" s="242" t="s">
        <v>257</v>
      </c>
      <c r="D173" s="243">
        <v>318</v>
      </c>
      <c r="E173" s="243">
        <v>5662626</v>
      </c>
      <c r="F173" s="243">
        <f t="array" ref="F173">SUM(IF("156"&amp;B173=KHN&amp;MH,SL))</f>
        <v>0</v>
      </c>
      <c r="G173" s="243">
        <f t="array" ref="G173">SUM(IF("156"&amp;B173=KHN&amp;MH,TH))</f>
        <v>0</v>
      </c>
      <c r="H173" s="243">
        <f t="array" ref="H173">SUM(IF("156"&amp;B173=KHC&amp;MH,SL))</f>
        <v>0</v>
      </c>
      <c r="I173" s="243">
        <f t="array" ref="I173">SUM(IF("156"&amp;B173=KHC&amp;MH,TH))</f>
        <v>0</v>
      </c>
      <c r="J173" s="243">
        <f t="shared" si="7"/>
        <v>318</v>
      </c>
      <c r="K173" s="243">
        <f t="shared" si="8"/>
        <v>5662626</v>
      </c>
      <c r="L173" s="181">
        <f t="shared" si="9"/>
        <v>17807</v>
      </c>
    </row>
    <row r="174" spans="1:15" ht="19.5" customHeight="1">
      <c r="A174" s="240">
        <f t="shared" si="6"/>
        <v>163</v>
      </c>
      <c r="B174" s="250" t="s">
        <v>1130</v>
      </c>
      <c r="C174" s="242" t="s">
        <v>257</v>
      </c>
      <c r="D174" s="243"/>
      <c r="E174" s="243"/>
      <c r="F174" s="243">
        <f t="array" ref="F174">SUM(IF("156"&amp;B174=KHN&amp;MH,SL))</f>
        <v>1000</v>
      </c>
      <c r="G174" s="243">
        <f t="array" ref="G174">SUM(IF("156"&amp;B174=KHN&amp;MH,TH))</f>
        <v>6923500</v>
      </c>
      <c r="H174" s="243">
        <f t="array" ref="H174">SUM(IF("156"&amp;B174=KHC&amp;MH,SL))</f>
        <v>500</v>
      </c>
      <c r="I174" s="243">
        <f t="array" ref="I174">SUM(IF("156"&amp;B174=KHC&amp;MH,TH))</f>
        <v>3425000</v>
      </c>
      <c r="J174" s="243">
        <f t="shared" si="7"/>
        <v>500</v>
      </c>
      <c r="K174" s="243">
        <f t="shared" si="8"/>
        <v>3498500</v>
      </c>
      <c r="L174" s="181"/>
    </row>
    <row r="175" spans="1:15" ht="19.5" customHeight="1">
      <c r="A175" s="240">
        <f t="shared" si="6"/>
        <v>164</v>
      </c>
      <c r="B175" s="250" t="s">
        <v>1620</v>
      </c>
      <c r="C175" s="242"/>
      <c r="D175" s="243"/>
      <c r="E175" s="243"/>
      <c r="F175" s="243">
        <f t="array" ref="F175">SUM(IF("156"&amp;B175=KHN&amp;MH,SL))</f>
        <v>100</v>
      </c>
      <c r="G175" s="243">
        <f t="array" ref="G175">SUM(IF("156"&amp;B175=KHN&amp;MH,TH))</f>
        <v>2199100</v>
      </c>
      <c r="H175" s="243">
        <f t="array" ref="H175">SUM(IF("156"&amp;B175=KHC&amp;MH,SL))</f>
        <v>0</v>
      </c>
      <c r="I175" s="243">
        <f t="array" ref="I175">SUM(IF("156"&amp;B175=KHC&amp;MH,TH))</f>
        <v>0</v>
      </c>
      <c r="J175" s="243">
        <f t="shared" si="7"/>
        <v>100</v>
      </c>
      <c r="K175" s="243">
        <f t="shared" si="8"/>
        <v>2199100</v>
      </c>
      <c r="L175" s="181"/>
    </row>
    <row r="176" spans="1:15" ht="19.5" customHeight="1">
      <c r="A176" s="240">
        <f t="shared" si="6"/>
        <v>165</v>
      </c>
      <c r="B176" s="247" t="s">
        <v>359</v>
      </c>
      <c r="C176" s="242" t="s">
        <v>257</v>
      </c>
      <c r="D176" s="243">
        <v>140</v>
      </c>
      <c r="E176" s="243">
        <v>4151840</v>
      </c>
      <c r="F176" s="243">
        <f t="array" ref="F176">SUM(IF("156"&amp;B176=KHN&amp;MH,SL))</f>
        <v>0</v>
      </c>
      <c r="G176" s="243">
        <f t="array" ref="G176">SUM(IF("156"&amp;B176=KHN&amp;MH,TH))</f>
        <v>0</v>
      </c>
      <c r="H176" s="243">
        <f t="array" ref="H176">SUM(IF("156"&amp;B176=KHC&amp;MH,SL))</f>
        <v>140</v>
      </c>
      <c r="I176" s="243">
        <f t="array" ref="I176">SUM(IF("156"&amp;B176=KHC&amp;MH,TH))</f>
        <v>4151840</v>
      </c>
      <c r="J176" s="243">
        <f t="shared" si="7"/>
        <v>0</v>
      </c>
      <c r="K176" s="243">
        <f t="shared" si="8"/>
        <v>0</v>
      </c>
      <c r="L176" s="181"/>
      <c r="N176" s="244"/>
      <c r="O176" s="244"/>
    </row>
    <row r="177" spans="1:12" ht="19.5" customHeight="1">
      <c r="A177" s="240">
        <f t="shared" si="6"/>
        <v>166</v>
      </c>
      <c r="B177" s="247" t="s">
        <v>377</v>
      </c>
      <c r="C177" s="242" t="s">
        <v>257</v>
      </c>
      <c r="D177" s="243">
        <v>500</v>
      </c>
      <c r="E177" s="243">
        <v>8051000</v>
      </c>
      <c r="F177" s="243">
        <f t="array" ref="F177">SUM(IF("156"&amp;B177=KHN&amp;MH,SL))</f>
        <v>500</v>
      </c>
      <c r="G177" s="243">
        <f t="array" ref="G177">SUM(IF("156"&amp;B177=KHN&amp;MH,TH))</f>
        <v>5875000</v>
      </c>
      <c r="H177" s="243">
        <f t="array" ref="H177">SUM(IF("156"&amp;B177=KHC&amp;MH,SL))</f>
        <v>1000</v>
      </c>
      <c r="I177" s="243">
        <f t="array" ref="I177">SUM(IF("156"&amp;B177=KHC&amp;MH,TH))</f>
        <v>13926000</v>
      </c>
      <c r="J177" s="243">
        <f t="shared" si="7"/>
        <v>0</v>
      </c>
      <c r="K177" s="243">
        <f t="shared" si="8"/>
        <v>0</v>
      </c>
      <c r="L177" s="181"/>
    </row>
    <row r="178" spans="1:12" ht="19.5" customHeight="1">
      <c r="A178" s="240">
        <f t="shared" si="6"/>
        <v>167</v>
      </c>
      <c r="B178" s="249" t="s">
        <v>1583</v>
      </c>
      <c r="C178" s="242"/>
      <c r="D178" s="243"/>
      <c r="E178" s="243"/>
      <c r="F178" s="243">
        <f t="array" ref="F178">SUM(IF("156"&amp;B178=KHN&amp;MH,SL))</f>
        <v>224</v>
      </c>
      <c r="G178" s="243">
        <f t="array" ref="G178">SUM(IF("156"&amp;B178=KHN&amp;MH,TH))</f>
        <v>5706176</v>
      </c>
      <c r="H178" s="243">
        <f t="array" ref="H178">SUM(IF("156"&amp;B178=KHC&amp;MH,SL))</f>
        <v>0</v>
      </c>
      <c r="I178" s="243">
        <f t="array" ref="I178">SUM(IF("156"&amp;B178=KHC&amp;MH,TH))</f>
        <v>0</v>
      </c>
      <c r="J178" s="243">
        <f t="shared" si="7"/>
        <v>224</v>
      </c>
      <c r="K178" s="243">
        <f t="shared" si="8"/>
        <v>5706176</v>
      </c>
      <c r="L178" s="181"/>
    </row>
    <row r="179" spans="1:12" ht="19.5" customHeight="1">
      <c r="A179" s="240">
        <f t="shared" si="6"/>
        <v>168</v>
      </c>
      <c r="B179" s="250" t="s">
        <v>1305</v>
      </c>
      <c r="C179" s="242"/>
      <c r="D179" s="243"/>
      <c r="E179" s="243"/>
      <c r="F179" s="243">
        <f t="array" ref="F179">SUM(IF("156"&amp;B179=KHN&amp;MH,SL))</f>
        <v>2500</v>
      </c>
      <c r="G179" s="243">
        <f t="array" ref="G179">SUM(IF("156"&amp;B179=KHN&amp;MH,TH))</f>
        <v>6125000</v>
      </c>
      <c r="H179" s="243">
        <f t="array" ref="H179">SUM(IF("156"&amp;B179=KHC&amp;MH,SL))</f>
        <v>2628</v>
      </c>
      <c r="I179" s="243">
        <f t="array" ref="I179">SUM(IF("156"&amp;B179=KHC&amp;MH,TH))</f>
        <v>6438600</v>
      </c>
      <c r="J179" s="243">
        <f t="shared" si="7"/>
        <v>-128</v>
      </c>
      <c r="K179" s="243">
        <f t="shared" si="8"/>
        <v>-313600</v>
      </c>
      <c r="L179" s="181"/>
    </row>
    <row r="180" spans="1:12" ht="19.5" customHeight="1">
      <c r="A180" s="240">
        <f t="shared" si="6"/>
        <v>169</v>
      </c>
      <c r="B180" s="673" t="s">
        <v>768</v>
      </c>
      <c r="C180" s="242" t="s">
        <v>257</v>
      </c>
      <c r="D180" s="243"/>
      <c r="E180" s="243"/>
      <c r="F180" s="243">
        <f t="array" ref="F180">SUM(IF("156"&amp;B180=KHN&amp;MH,SL))</f>
        <v>4110</v>
      </c>
      <c r="G180" s="243">
        <f t="array" ref="G180">SUM(IF("156"&amp;B180=KHN&amp;MH,TH))</f>
        <v>2126323</v>
      </c>
      <c r="H180" s="243">
        <f t="array" ref="H180">SUM(IF("156"&amp;B180=KHC&amp;MH,SL))</f>
        <v>1620</v>
      </c>
      <c r="I180" s="243">
        <f t="array" ref="I180">SUM(IF("156"&amp;B180=KHC&amp;MH,TH))</f>
        <v>1150243</v>
      </c>
      <c r="J180" s="243">
        <f t="shared" si="7"/>
        <v>2490</v>
      </c>
      <c r="K180" s="243">
        <f t="shared" si="8"/>
        <v>976080</v>
      </c>
      <c r="L180" s="181"/>
    </row>
    <row r="181" spans="1:12" ht="19.5" customHeight="1">
      <c r="A181" s="240">
        <f t="shared" si="6"/>
        <v>170</v>
      </c>
      <c r="B181" s="572" t="s">
        <v>802</v>
      </c>
      <c r="C181" s="242" t="s">
        <v>257</v>
      </c>
      <c r="D181" s="243"/>
      <c r="E181" s="243"/>
      <c r="F181" s="243">
        <f t="array" ref="F181">SUM(IF("156"&amp;B181=KHN&amp;MH,SL))</f>
        <v>2</v>
      </c>
      <c r="G181" s="243">
        <f t="array" ref="G181">SUM(IF("156"&amp;B181=KHN&amp;MH,TH))</f>
        <v>3900000</v>
      </c>
      <c r="H181" s="243">
        <f t="array" ref="H181">SUM(IF("156"&amp;B181=KHC&amp;MH,SL))</f>
        <v>2</v>
      </c>
      <c r="I181" s="243">
        <f t="array" ref="I181">SUM(IF("156"&amp;B181=KHC&amp;MH,TH))</f>
        <v>3900000</v>
      </c>
      <c r="J181" s="243">
        <f t="shared" si="7"/>
        <v>0</v>
      </c>
      <c r="K181" s="243">
        <f t="shared" si="8"/>
        <v>0</v>
      </c>
      <c r="L181" s="181"/>
    </row>
    <row r="182" spans="1:12" ht="19.5" customHeight="1">
      <c r="A182" s="240">
        <f t="shared" si="6"/>
        <v>171</v>
      </c>
      <c r="B182" s="250" t="s">
        <v>1618</v>
      </c>
      <c r="C182" s="242"/>
      <c r="D182" s="243"/>
      <c r="E182" s="243"/>
      <c r="F182" s="243">
        <f t="array" ref="F182">SUM(IF("156"&amp;B182=KHN&amp;MH,SL))</f>
        <v>1</v>
      </c>
      <c r="G182" s="243">
        <f t="array" ref="G182">SUM(IF("156"&amp;B182=KHN&amp;MH,TH))</f>
        <v>23961</v>
      </c>
      <c r="H182" s="243">
        <f t="array" ref="H182">SUM(IF("156"&amp;B182=KHC&amp;MH,SL))</f>
        <v>0</v>
      </c>
      <c r="I182" s="243">
        <f t="array" ref="I182">SUM(IF("156"&amp;B182=KHC&amp;MH,TH))</f>
        <v>0</v>
      </c>
      <c r="J182" s="243">
        <f t="shared" si="7"/>
        <v>1</v>
      </c>
      <c r="K182" s="243">
        <f t="shared" si="8"/>
        <v>23961</v>
      </c>
      <c r="L182" s="181"/>
    </row>
    <row r="183" spans="1:12" ht="19.5" customHeight="1">
      <c r="A183" s="240">
        <f t="shared" si="6"/>
        <v>172</v>
      </c>
      <c r="B183" s="249" t="s">
        <v>1428</v>
      </c>
      <c r="C183" s="242"/>
      <c r="D183" s="243"/>
      <c r="E183" s="243"/>
      <c r="F183" s="243">
        <f t="array" ref="F183">SUM(IF("156"&amp;B183=KHN&amp;MH,SL))</f>
        <v>3500</v>
      </c>
      <c r="G183" s="243">
        <f t="array" ref="G183">SUM(IF("156"&amp;B183=KHN&amp;MH,TH))</f>
        <v>1130500</v>
      </c>
      <c r="H183" s="243">
        <f t="array" ref="H183">SUM(IF("156"&amp;B183=KHC&amp;MH,SL))</f>
        <v>0</v>
      </c>
      <c r="I183" s="243">
        <f t="array" ref="I183">SUM(IF("156"&amp;B183=KHC&amp;MH,TH))</f>
        <v>0</v>
      </c>
      <c r="J183" s="243">
        <f t="shared" si="7"/>
        <v>3500</v>
      </c>
      <c r="K183" s="243">
        <f t="shared" si="8"/>
        <v>1130500</v>
      </c>
      <c r="L183" s="181"/>
    </row>
    <row r="184" spans="1:12" ht="19.5" customHeight="1">
      <c r="A184" s="240">
        <f t="shared" si="6"/>
        <v>173</v>
      </c>
      <c r="B184" s="249" t="s">
        <v>780</v>
      </c>
      <c r="C184" s="242" t="s">
        <v>257</v>
      </c>
      <c r="D184" s="243"/>
      <c r="E184" s="243"/>
      <c r="F184" s="243">
        <f t="array" ref="F184">SUM(IF("156"&amp;B184=KHN&amp;MH,SL))</f>
        <v>200</v>
      </c>
      <c r="G184" s="243">
        <f t="array" ref="G184">SUM(IF("156"&amp;B184=KHN&amp;MH,TH))</f>
        <v>397488</v>
      </c>
      <c r="H184" s="243">
        <f t="array" ref="H184">SUM(IF("156"&amp;B184=KHC&amp;MH,SL))</f>
        <v>200</v>
      </c>
      <c r="I184" s="243">
        <f t="array" ref="I184">SUM(IF("156"&amp;B184=KHC&amp;MH,TH))</f>
        <v>397488</v>
      </c>
      <c r="J184" s="243">
        <f t="shared" si="7"/>
        <v>0</v>
      </c>
      <c r="K184" s="243">
        <f t="shared" si="8"/>
        <v>0</v>
      </c>
      <c r="L184" s="181"/>
    </row>
    <row r="185" spans="1:12" ht="19.5" customHeight="1">
      <c r="A185" s="240">
        <f t="shared" si="6"/>
        <v>174</v>
      </c>
      <c r="B185" s="249" t="s">
        <v>779</v>
      </c>
      <c r="C185" s="242" t="s">
        <v>257</v>
      </c>
      <c r="D185" s="243"/>
      <c r="E185" s="243"/>
      <c r="F185" s="243">
        <f t="array" ref="F185">SUM(IF("156"&amp;B185=KHN&amp;MH,SL))</f>
        <v>200</v>
      </c>
      <c r="G185" s="243">
        <f t="array" ref="G185">SUM(IF("156"&amp;B185=KHN&amp;MH,TH))</f>
        <v>668752</v>
      </c>
      <c r="H185" s="243">
        <f t="array" ref="H185">SUM(IF("156"&amp;B185=KHC&amp;MH,SL))</f>
        <v>200</v>
      </c>
      <c r="I185" s="243">
        <f t="array" ref="I185">SUM(IF("156"&amp;B185=KHC&amp;MH,TH))</f>
        <v>668752</v>
      </c>
      <c r="J185" s="243">
        <f t="shared" si="7"/>
        <v>0</v>
      </c>
      <c r="K185" s="243">
        <f t="shared" si="8"/>
        <v>0</v>
      </c>
      <c r="L185" s="181"/>
    </row>
    <row r="186" spans="1:12" ht="19.5" customHeight="1">
      <c r="A186" s="240">
        <f t="shared" si="6"/>
        <v>175</v>
      </c>
      <c r="B186" s="249" t="s">
        <v>496</v>
      </c>
      <c r="C186" s="242" t="s">
        <v>257</v>
      </c>
      <c r="D186" s="243"/>
      <c r="E186" s="243"/>
      <c r="F186" s="243">
        <f t="array" ref="F186">SUM(IF("156"&amp;B186=KHN&amp;MH,SL))</f>
        <v>20</v>
      </c>
      <c r="G186" s="243">
        <f t="array" ref="G186">SUM(IF("156"&amp;B186=KHN&amp;MH,TH))</f>
        <v>60649</v>
      </c>
      <c r="H186" s="243">
        <f t="array" ref="H186">SUM(IF("156"&amp;B186=KHC&amp;MH,SL))</f>
        <v>20</v>
      </c>
      <c r="I186" s="243">
        <f t="array" ref="I186">SUM(IF("156"&amp;B186=KHC&amp;MH,TH))</f>
        <v>60649</v>
      </c>
      <c r="J186" s="243">
        <f t="shared" si="7"/>
        <v>0</v>
      </c>
      <c r="K186" s="243">
        <f t="shared" si="8"/>
        <v>0</v>
      </c>
      <c r="L186" s="181"/>
    </row>
    <row r="187" spans="1:12" ht="19.5" customHeight="1">
      <c r="A187" s="240">
        <f t="shared" si="6"/>
        <v>176</v>
      </c>
      <c r="B187" s="249" t="s">
        <v>587</v>
      </c>
      <c r="C187" s="242" t="s">
        <v>257</v>
      </c>
      <c r="D187" s="243"/>
      <c r="E187" s="243"/>
      <c r="F187" s="243">
        <f t="array" ref="F187">SUM(IF("156"&amp;B187=KHN&amp;MH,SL))</f>
        <v>620</v>
      </c>
      <c r="G187" s="243">
        <f t="array" ref="G187">SUM(IF("156"&amp;B187=KHN&amp;MH,TH))</f>
        <v>1519000</v>
      </c>
      <c r="H187" s="243">
        <f t="array" ref="H187">SUM(IF("156"&amp;B187=KHC&amp;MH,SL))</f>
        <v>620</v>
      </c>
      <c r="I187" s="243">
        <f t="array" ref="I187">SUM(IF("156"&amp;B187=KHC&amp;MH,TH))</f>
        <v>1519000</v>
      </c>
      <c r="J187" s="243">
        <f t="shared" si="7"/>
        <v>0</v>
      </c>
      <c r="K187" s="243">
        <f t="shared" si="8"/>
        <v>0</v>
      </c>
      <c r="L187" s="181"/>
    </row>
    <row r="188" spans="1:12" ht="19.5" customHeight="1">
      <c r="A188" s="240">
        <f t="shared" si="6"/>
        <v>177</v>
      </c>
      <c r="B188" s="250" t="s">
        <v>1617</v>
      </c>
      <c r="C188" s="242"/>
      <c r="D188" s="243"/>
      <c r="E188" s="243"/>
      <c r="F188" s="243">
        <f t="array" ref="F188">SUM(IF("156"&amp;B188=KHN&amp;MH,SL))</f>
        <v>1</v>
      </c>
      <c r="G188" s="243">
        <f t="array" ref="G188">SUM(IF("156"&amp;B188=KHN&amp;MH,TH))</f>
        <v>20090</v>
      </c>
      <c r="H188" s="243">
        <f t="array" ref="H188">SUM(IF("156"&amp;B188=KHC&amp;MH,SL))</f>
        <v>0</v>
      </c>
      <c r="I188" s="243">
        <f t="array" ref="I188">SUM(IF("156"&amp;B188=KHC&amp;MH,TH))</f>
        <v>0</v>
      </c>
      <c r="J188" s="243">
        <f t="shared" si="7"/>
        <v>1</v>
      </c>
      <c r="K188" s="243">
        <f t="shared" si="8"/>
        <v>20090</v>
      </c>
      <c r="L188" s="181"/>
    </row>
    <row r="189" spans="1:12" ht="19.5" customHeight="1">
      <c r="A189" s="240">
        <f t="shared" si="6"/>
        <v>178</v>
      </c>
      <c r="B189" s="250" t="s">
        <v>1306</v>
      </c>
      <c r="C189" s="242"/>
      <c r="D189" s="243"/>
      <c r="E189" s="243"/>
      <c r="F189" s="243">
        <f t="array" ref="F189">SUM(IF("156"&amp;B189=KHN&amp;MH,SL))</f>
        <v>7884</v>
      </c>
      <c r="G189" s="243">
        <f t="array" ref="G189">SUM(IF("156"&amp;B189=KHN&amp;MH,TH))</f>
        <v>5794740</v>
      </c>
      <c r="H189" s="243">
        <f t="array" ref="H189">SUM(IF("156"&amp;B189=KHC&amp;MH,SL))</f>
        <v>7884</v>
      </c>
      <c r="I189" s="243">
        <f t="array" ref="I189">SUM(IF("156"&amp;B189=KHC&amp;MH,TH))</f>
        <v>5794740</v>
      </c>
      <c r="J189" s="243">
        <f t="shared" si="7"/>
        <v>0</v>
      </c>
      <c r="K189" s="243">
        <f t="shared" si="8"/>
        <v>0</v>
      </c>
      <c r="L189" s="181"/>
    </row>
    <row r="190" spans="1:12" ht="19.5" customHeight="1">
      <c r="A190" s="240">
        <f t="shared" si="6"/>
        <v>179</v>
      </c>
      <c r="B190" s="673" t="s">
        <v>1158</v>
      </c>
      <c r="C190" s="242" t="s">
        <v>257</v>
      </c>
      <c r="D190" s="243"/>
      <c r="E190" s="243"/>
      <c r="F190" s="243">
        <f t="array" ref="F190">SUM(IF("156"&amp;B190=KHN&amp;MH,SL))</f>
        <v>1030</v>
      </c>
      <c r="G190" s="243">
        <f t="array" ref="G190">SUM(IF("156"&amp;B190=KHN&amp;MH,TH))</f>
        <v>807480</v>
      </c>
      <c r="H190" s="243">
        <f t="array" ref="H190">SUM(IF("156"&amp;B190=KHC&amp;MH,SL))</f>
        <v>1030</v>
      </c>
      <c r="I190" s="243">
        <f t="array" ref="I190">SUM(IF("156"&amp;B190=KHC&amp;MH,TH))</f>
        <v>807480</v>
      </c>
      <c r="J190" s="243">
        <f t="shared" si="7"/>
        <v>0</v>
      </c>
      <c r="K190" s="243">
        <f t="shared" si="8"/>
        <v>0</v>
      </c>
      <c r="L190" s="181"/>
    </row>
    <row r="191" spans="1:12" ht="19.5" customHeight="1">
      <c r="A191" s="240">
        <f t="shared" si="6"/>
        <v>180</v>
      </c>
      <c r="B191" s="249" t="s">
        <v>1036</v>
      </c>
      <c r="C191" s="242" t="s">
        <v>257</v>
      </c>
      <c r="D191" s="243"/>
      <c r="E191" s="243"/>
      <c r="F191" s="243">
        <f t="array" ref="F191">SUM(IF("156"&amp;B191=KHN&amp;MH,SL))</f>
        <v>325</v>
      </c>
      <c r="G191" s="243">
        <f t="array" ref="G191">SUM(IF("156"&amp;B191=KHN&amp;MH,TH))</f>
        <v>340925</v>
      </c>
      <c r="H191" s="243">
        <f t="array" ref="H191">SUM(IF("156"&amp;B191=KHC&amp;MH,SL))</f>
        <v>325</v>
      </c>
      <c r="I191" s="243">
        <f t="array" ref="I191">SUM(IF("156"&amp;B191=KHC&amp;MH,TH))</f>
        <v>340925</v>
      </c>
      <c r="J191" s="243">
        <f t="shared" si="7"/>
        <v>0</v>
      </c>
      <c r="K191" s="243">
        <f t="shared" si="8"/>
        <v>0</v>
      </c>
      <c r="L191" s="181"/>
    </row>
    <row r="192" spans="1:12" ht="19.5" customHeight="1">
      <c r="A192" s="240">
        <f t="shared" si="6"/>
        <v>181</v>
      </c>
      <c r="B192" s="720" t="s">
        <v>1159</v>
      </c>
      <c r="C192" s="242" t="s">
        <v>257</v>
      </c>
      <c r="D192" s="243"/>
      <c r="E192" s="243"/>
      <c r="F192" s="243">
        <f t="array" ref="F192">SUM(IF("156"&amp;B192=KHN&amp;MH,SL))</f>
        <v>810</v>
      </c>
      <c r="G192" s="243">
        <f t="array" ref="G192">SUM(IF("156"&amp;B192=KHN&amp;MH,TH))</f>
        <v>821762</v>
      </c>
      <c r="H192" s="243">
        <f t="array" ref="H192">SUM(IF("156"&amp;B192=KHC&amp;MH,SL))</f>
        <v>810</v>
      </c>
      <c r="I192" s="243">
        <f t="array" ref="I192">SUM(IF("156"&amp;B192=KHC&amp;MH,TH))</f>
        <v>821762</v>
      </c>
      <c r="J192" s="243">
        <f t="shared" si="7"/>
        <v>0</v>
      </c>
      <c r="K192" s="243">
        <f t="shared" si="8"/>
        <v>0</v>
      </c>
      <c r="L192" s="181"/>
    </row>
    <row r="193" spans="1:12" ht="19.5" customHeight="1">
      <c r="A193" s="240">
        <f t="shared" si="6"/>
        <v>182</v>
      </c>
      <c r="B193" s="249" t="s">
        <v>1035</v>
      </c>
      <c r="C193" s="242" t="s">
        <v>257</v>
      </c>
      <c r="D193" s="243"/>
      <c r="E193" s="243"/>
      <c r="F193" s="243">
        <f t="array" ref="F193">SUM(IF("156"&amp;B193=KHN&amp;MH,SL))</f>
        <v>325</v>
      </c>
      <c r="G193" s="243">
        <f t="array" ref="G193">SUM(IF("156"&amp;B193=KHN&amp;MH,TH))</f>
        <v>445900</v>
      </c>
      <c r="H193" s="243">
        <f t="array" ref="H193">SUM(IF("156"&amp;B193=KHC&amp;MH,SL))</f>
        <v>325</v>
      </c>
      <c r="I193" s="243">
        <f t="array" ref="I193">SUM(IF("156"&amp;B193=KHC&amp;MH,TH))</f>
        <v>445900</v>
      </c>
      <c r="J193" s="243">
        <f t="shared" si="7"/>
        <v>0</v>
      </c>
      <c r="K193" s="243">
        <f t="shared" si="8"/>
        <v>0</v>
      </c>
      <c r="L193" s="181"/>
    </row>
    <row r="194" spans="1:12" ht="19.5" customHeight="1">
      <c r="A194" s="240">
        <f t="shared" si="6"/>
        <v>183</v>
      </c>
      <c r="B194" s="249" t="s">
        <v>1397</v>
      </c>
      <c r="C194" s="242"/>
      <c r="D194" s="243"/>
      <c r="E194" s="243"/>
      <c r="F194" s="243">
        <f t="array" ref="F194">SUM(IF("156"&amp;B194=KHN&amp;MH,SL))</f>
        <v>240</v>
      </c>
      <c r="G194" s="243">
        <f t="array" ref="G194">SUM(IF("156"&amp;B194=KHN&amp;MH,TH))</f>
        <v>11289600</v>
      </c>
      <c r="H194" s="243">
        <f t="array" ref="H194">SUM(IF("156"&amp;B194=KHC&amp;MH,SL))</f>
        <v>0</v>
      </c>
      <c r="I194" s="243">
        <f t="array" ref="I194">SUM(IF("156"&amp;B194=KHC&amp;MH,TH))</f>
        <v>0</v>
      </c>
      <c r="J194" s="243">
        <f t="shared" si="7"/>
        <v>240</v>
      </c>
      <c r="K194" s="243">
        <f t="shared" si="8"/>
        <v>11289600</v>
      </c>
      <c r="L194" s="181"/>
    </row>
    <row r="195" spans="1:12" ht="19.5" customHeight="1">
      <c r="A195" s="240">
        <f t="shared" si="6"/>
        <v>184</v>
      </c>
      <c r="B195" s="249" t="s">
        <v>1398</v>
      </c>
      <c r="C195" s="242"/>
      <c r="D195" s="243"/>
      <c r="E195" s="243"/>
      <c r="F195" s="243">
        <f t="array" ref="F195">SUM(IF("156"&amp;B195=KHN&amp;MH,SL))</f>
        <v>360</v>
      </c>
      <c r="G195" s="243">
        <f t="array" ref="G195">SUM(IF("156"&amp;B195=KHN&amp;MH,TH))</f>
        <v>1658160</v>
      </c>
      <c r="H195" s="243">
        <f t="array" ref="H195">SUM(IF("156"&amp;B195=KHC&amp;MH,SL))</f>
        <v>0</v>
      </c>
      <c r="I195" s="243">
        <f t="array" ref="I195">SUM(IF("156"&amp;B195=KHC&amp;MH,TH))</f>
        <v>0</v>
      </c>
      <c r="J195" s="243">
        <f t="shared" si="7"/>
        <v>360</v>
      </c>
      <c r="K195" s="243">
        <f t="shared" si="8"/>
        <v>1658160</v>
      </c>
      <c r="L195" s="181"/>
    </row>
    <row r="196" spans="1:12" ht="19.5" customHeight="1">
      <c r="A196" s="240">
        <f t="shared" si="6"/>
        <v>185</v>
      </c>
      <c r="B196" s="249" t="s">
        <v>638</v>
      </c>
      <c r="C196" s="242" t="s">
        <v>262</v>
      </c>
      <c r="D196" s="243"/>
      <c r="E196" s="243"/>
      <c r="F196" s="243">
        <f t="array" ref="F196">SUM(IF("156"&amp;B196=KHN&amp;MH,SL))</f>
        <v>24</v>
      </c>
      <c r="G196" s="243">
        <f t="array" ref="G196">SUM(IF("156"&amp;B196=KHN&amp;MH,TH))</f>
        <v>890138</v>
      </c>
      <c r="H196" s="243">
        <f t="array" ref="H196">SUM(IF("156"&amp;B196=KHC&amp;MH,SL))</f>
        <v>24</v>
      </c>
      <c r="I196" s="243">
        <f t="array" ref="I196">SUM(IF("156"&amp;B196=KHC&amp;MH,TH))</f>
        <v>890138</v>
      </c>
      <c r="J196" s="243">
        <f t="shared" si="7"/>
        <v>0</v>
      </c>
      <c r="K196" s="243">
        <f t="shared" si="8"/>
        <v>0</v>
      </c>
      <c r="L196" s="181"/>
    </row>
    <row r="197" spans="1:12" ht="19.5" customHeight="1">
      <c r="A197" s="240">
        <f t="shared" si="6"/>
        <v>186</v>
      </c>
      <c r="B197" s="250" t="s">
        <v>1628</v>
      </c>
      <c r="C197" s="242"/>
      <c r="D197" s="243"/>
      <c r="E197" s="243"/>
      <c r="F197" s="243">
        <f t="array" ref="F197">SUM(IF("156"&amp;B197=KHN&amp;MH,SL))</f>
        <v>140</v>
      </c>
      <c r="G197" s="243">
        <f t="array" ref="G197">SUM(IF("156"&amp;B197=KHN&amp;MH,TH))</f>
        <v>10103240</v>
      </c>
      <c r="H197" s="243">
        <f t="array" ref="H197">SUM(IF("156"&amp;B197=KHC&amp;MH,SL))</f>
        <v>0</v>
      </c>
      <c r="I197" s="243">
        <f t="array" ref="I197">SUM(IF("156"&amp;B197=KHC&amp;MH,TH))</f>
        <v>0</v>
      </c>
      <c r="J197" s="243">
        <f t="shared" si="7"/>
        <v>140</v>
      </c>
      <c r="K197" s="243">
        <f t="shared" si="8"/>
        <v>10103240</v>
      </c>
      <c r="L197" s="181"/>
    </row>
    <row r="198" spans="1:12" ht="19.5" customHeight="1">
      <c r="A198" s="240">
        <f t="shared" si="6"/>
        <v>187</v>
      </c>
      <c r="B198" s="249" t="s">
        <v>680</v>
      </c>
      <c r="C198" s="242" t="s">
        <v>262</v>
      </c>
      <c r="D198" s="243"/>
      <c r="E198" s="243"/>
      <c r="F198" s="243">
        <f t="array" ref="F198">SUM(IF("156"&amp;B198=KHN&amp;MH,SL))</f>
        <v>56</v>
      </c>
      <c r="G198" s="243">
        <f t="array" ref="G198">SUM(IF("156"&amp;B198=KHN&amp;MH,TH))</f>
        <v>4405520</v>
      </c>
      <c r="H198" s="243">
        <f t="array" ref="H198">SUM(IF("156"&amp;B198=KHC&amp;MH,SL))</f>
        <v>56</v>
      </c>
      <c r="I198" s="243">
        <f t="array" ref="I198">SUM(IF("156"&amp;B198=KHC&amp;MH,TH))</f>
        <v>4405520</v>
      </c>
      <c r="J198" s="243">
        <f t="shared" si="7"/>
        <v>0</v>
      </c>
      <c r="K198" s="243">
        <f t="shared" si="8"/>
        <v>0</v>
      </c>
      <c r="L198" s="181"/>
    </row>
    <row r="199" spans="1:12" ht="19.5" customHeight="1">
      <c r="A199" s="240">
        <f t="shared" si="6"/>
        <v>188</v>
      </c>
      <c r="B199" s="249" t="s">
        <v>791</v>
      </c>
      <c r="C199" s="242" t="s">
        <v>262</v>
      </c>
      <c r="D199" s="243"/>
      <c r="E199" s="243"/>
      <c r="F199" s="243">
        <f t="array" ref="F199">SUM(IF("156"&amp;B199=KHN&amp;MH,SL))</f>
        <v>64</v>
      </c>
      <c r="G199" s="243">
        <f t="array" ref="G199">SUM(IF("156"&amp;B199=KHN&amp;MH,TH))</f>
        <v>8780303</v>
      </c>
      <c r="H199" s="243">
        <f t="array" ref="H199">SUM(IF("156"&amp;B199=KHC&amp;MH,SL))</f>
        <v>64</v>
      </c>
      <c r="I199" s="243">
        <f t="array" ref="I199">SUM(IF("156"&amp;B199=KHC&amp;MH,TH))</f>
        <v>8780303</v>
      </c>
      <c r="J199" s="243">
        <f t="shared" si="7"/>
        <v>0</v>
      </c>
      <c r="K199" s="243">
        <f t="shared" si="8"/>
        <v>0</v>
      </c>
      <c r="L199" s="181"/>
    </row>
    <row r="200" spans="1:12" ht="19.5" customHeight="1">
      <c r="A200" s="240">
        <f t="shared" si="6"/>
        <v>189</v>
      </c>
      <c r="B200" s="250" t="s">
        <v>1656</v>
      </c>
      <c r="C200" s="242"/>
      <c r="D200" s="243"/>
      <c r="E200" s="243"/>
      <c r="F200" s="243">
        <f t="array" ref="F200">SUM(IF("156"&amp;B200=KHN&amp;MH,SL))</f>
        <v>12</v>
      </c>
      <c r="G200" s="243">
        <f t="array" ref="G200">SUM(IF("156"&amp;B200=KHN&amp;MH,TH))</f>
        <v>1690584</v>
      </c>
      <c r="H200" s="243">
        <f t="array" ref="H200">SUM(IF("156"&amp;B200=KHC&amp;MH,SL))</f>
        <v>0</v>
      </c>
      <c r="I200" s="243">
        <f t="array" ref="I200">SUM(IF("156"&amp;B200=KHC&amp;MH,TH))</f>
        <v>0</v>
      </c>
      <c r="J200" s="243">
        <f t="shared" si="7"/>
        <v>12</v>
      </c>
      <c r="K200" s="243">
        <f t="shared" si="8"/>
        <v>1690584</v>
      </c>
      <c r="L200" s="181"/>
    </row>
    <row r="201" spans="1:12" ht="19.5" customHeight="1">
      <c r="A201" s="240">
        <f t="shared" si="6"/>
        <v>190</v>
      </c>
      <c r="B201" s="249" t="s">
        <v>1174</v>
      </c>
      <c r="C201" s="242" t="s">
        <v>262</v>
      </c>
      <c r="D201" s="243"/>
      <c r="E201" s="243"/>
      <c r="F201" s="243">
        <f t="array" ref="F201">SUM(IF("156"&amp;B201=KHN&amp;MH,SL))</f>
        <v>40</v>
      </c>
      <c r="G201" s="243">
        <f t="array" ref="G201">SUM(IF("156"&amp;B201=KHN&amp;MH,TH))</f>
        <v>2496600</v>
      </c>
      <c r="H201" s="243">
        <f t="array" ref="H201">SUM(IF("156"&amp;B201=KHC&amp;MH,SL))</f>
        <v>40</v>
      </c>
      <c r="I201" s="243">
        <f t="array" ref="I201">SUM(IF("156"&amp;B201=KHC&amp;MH,TH))</f>
        <v>2496600</v>
      </c>
      <c r="J201" s="243">
        <f t="shared" si="7"/>
        <v>0</v>
      </c>
      <c r="K201" s="243">
        <f t="shared" si="8"/>
        <v>0</v>
      </c>
      <c r="L201" s="181"/>
    </row>
    <row r="202" spans="1:12" ht="19.5" customHeight="1">
      <c r="A202" s="240">
        <f t="shared" si="6"/>
        <v>191</v>
      </c>
      <c r="B202" s="250" t="s">
        <v>1386</v>
      </c>
      <c r="C202" s="242"/>
      <c r="D202" s="243"/>
      <c r="E202" s="243"/>
      <c r="F202" s="243">
        <f t="array" ref="F202">SUM(IF("156"&amp;B202=KHN&amp;MH,SL))</f>
        <v>25</v>
      </c>
      <c r="G202" s="243">
        <f t="array" ref="G202">SUM(IF("156"&amp;B202=KHN&amp;MH,TH))</f>
        <v>1320450</v>
      </c>
      <c r="H202" s="243">
        <f t="array" ref="H202">SUM(IF("156"&amp;B202=KHC&amp;MH,SL))</f>
        <v>0</v>
      </c>
      <c r="I202" s="243">
        <f t="array" ref="I202">SUM(IF("156"&amp;B202=KHC&amp;MH,TH))</f>
        <v>0</v>
      </c>
      <c r="J202" s="243">
        <f t="shared" si="7"/>
        <v>25</v>
      </c>
      <c r="K202" s="243">
        <f t="shared" si="8"/>
        <v>1320450</v>
      </c>
      <c r="L202" s="181"/>
    </row>
    <row r="203" spans="1:12" ht="19.5" customHeight="1">
      <c r="A203" s="240">
        <f t="shared" si="6"/>
        <v>192</v>
      </c>
      <c r="B203" s="250" t="s">
        <v>1627</v>
      </c>
      <c r="C203" s="242"/>
      <c r="D203" s="243"/>
      <c r="E203" s="243"/>
      <c r="F203" s="243">
        <f t="array" ref="F203">SUM(IF("156"&amp;B203=KHN&amp;MH,SL))</f>
        <v>115</v>
      </c>
      <c r="G203" s="243">
        <f t="array" ref="G203">SUM(IF("156"&amp;B203=KHN&amp;MH,TH))</f>
        <v>1138730</v>
      </c>
      <c r="H203" s="243">
        <f t="array" ref="H203">SUM(IF("156"&amp;B203=KHC&amp;MH,SL))</f>
        <v>0</v>
      </c>
      <c r="I203" s="243">
        <f t="array" ref="I203">SUM(IF("156"&amp;B203=KHC&amp;MH,TH))</f>
        <v>0</v>
      </c>
      <c r="J203" s="243">
        <f t="shared" si="7"/>
        <v>115</v>
      </c>
      <c r="K203" s="243">
        <f t="shared" si="8"/>
        <v>1138730</v>
      </c>
      <c r="L203" s="181"/>
    </row>
    <row r="204" spans="1:12" ht="19.5" customHeight="1">
      <c r="A204" s="240">
        <f t="shared" ref="A204:A267" si="10">IF(B204&lt;&gt;"",ROW()-11,"")</f>
        <v>193</v>
      </c>
      <c r="B204" s="249" t="s">
        <v>740</v>
      </c>
      <c r="C204" s="242" t="s">
        <v>262</v>
      </c>
      <c r="D204" s="243"/>
      <c r="E204" s="243"/>
      <c r="F204" s="243">
        <f t="array" ref="F204">SUM(IF("156"&amp;B204=KHN&amp;MH,SL))</f>
        <v>62</v>
      </c>
      <c r="G204" s="243">
        <f t="array" ref="G204">SUM(IF("156"&amp;B204=KHN&amp;MH,TH))</f>
        <v>10182259</v>
      </c>
      <c r="H204" s="243">
        <f t="array" ref="H204">SUM(IF("156"&amp;B204=KHC&amp;MH,SL))</f>
        <v>62</v>
      </c>
      <c r="I204" s="243">
        <f t="array" ref="I204">SUM(IF("156"&amp;B204=KHC&amp;MH,TH))</f>
        <v>10182259</v>
      </c>
      <c r="J204" s="243">
        <f t="shared" ref="J204:J267" si="11">D204+F204-H204</f>
        <v>0</v>
      </c>
      <c r="K204" s="243">
        <f t="shared" ref="K204:K267" si="12">E204+G204-I204</f>
        <v>0</v>
      </c>
      <c r="L204" s="181"/>
    </row>
    <row r="205" spans="1:12" ht="19.5" customHeight="1">
      <c r="A205" s="240">
        <f t="shared" si="10"/>
        <v>194</v>
      </c>
      <c r="B205" s="247" t="s">
        <v>1001</v>
      </c>
      <c r="C205" s="242" t="s">
        <v>262</v>
      </c>
      <c r="D205" s="243"/>
      <c r="E205" s="243"/>
      <c r="F205" s="243">
        <f t="array" ref="F205">SUM(IF("156"&amp;B205=KHN&amp;MH,SL))</f>
        <v>58</v>
      </c>
      <c r="G205" s="243">
        <f t="array" ref="G205">SUM(IF("156"&amp;B205=KHN&amp;MH,TH))</f>
        <v>9442359</v>
      </c>
      <c r="H205" s="243">
        <f t="array" ref="H205">SUM(IF("156"&amp;B205=KHC&amp;MH,SL))</f>
        <v>32</v>
      </c>
      <c r="I205" s="243">
        <f t="array" ref="I205">SUM(IF("156"&amp;B205=KHC&amp;MH,TH))</f>
        <v>5200839</v>
      </c>
      <c r="J205" s="243">
        <f t="shared" si="11"/>
        <v>26</v>
      </c>
      <c r="K205" s="243">
        <f t="shared" si="12"/>
        <v>4241520</v>
      </c>
      <c r="L205" s="181">
        <f>K205/J205</f>
        <v>163135.38461538462</v>
      </c>
    </row>
    <row r="206" spans="1:12" ht="19.5" customHeight="1">
      <c r="A206" s="240">
        <f t="shared" si="10"/>
        <v>195</v>
      </c>
      <c r="B206" s="249" t="s">
        <v>1059</v>
      </c>
      <c r="C206" s="242" t="s">
        <v>262</v>
      </c>
      <c r="D206" s="243"/>
      <c r="E206" s="243"/>
      <c r="F206" s="243">
        <f t="array" ref="F206">SUM(IF("156"&amp;B206=KHN&amp;MH,SL))</f>
        <v>2</v>
      </c>
      <c r="G206" s="243">
        <f t="array" ref="G206">SUM(IF("156"&amp;B206=KHN&amp;MH,TH))</f>
        <v>73480</v>
      </c>
      <c r="H206" s="243">
        <f t="array" ref="H206">SUM(IF("156"&amp;B206=KHC&amp;MH,SL))</f>
        <v>2</v>
      </c>
      <c r="I206" s="243">
        <f t="array" ref="I206">SUM(IF("156"&amp;B206=KHC&amp;MH,TH))</f>
        <v>73480</v>
      </c>
      <c r="J206" s="243">
        <f t="shared" si="11"/>
        <v>0</v>
      </c>
      <c r="K206" s="243">
        <f t="shared" si="12"/>
        <v>0</v>
      </c>
      <c r="L206" s="181"/>
    </row>
    <row r="207" spans="1:12" ht="19.5" customHeight="1">
      <c r="A207" s="240">
        <f t="shared" si="10"/>
        <v>196</v>
      </c>
      <c r="B207" s="249" t="s">
        <v>1055</v>
      </c>
      <c r="C207" s="242" t="s">
        <v>262</v>
      </c>
      <c r="D207" s="243"/>
      <c r="E207" s="243"/>
      <c r="F207" s="243">
        <f t="array" ref="F207">SUM(IF("156"&amp;B207=KHN&amp;MH,SL))</f>
        <v>8</v>
      </c>
      <c r="G207" s="243">
        <f t="array" ref="G207">SUM(IF("156"&amp;B207=KHN&amp;MH,TH))</f>
        <v>794224</v>
      </c>
      <c r="H207" s="243">
        <f t="array" ref="H207">SUM(IF("156"&amp;B207=KHC&amp;MH,SL))</f>
        <v>8</v>
      </c>
      <c r="I207" s="243">
        <f t="array" ref="I207">SUM(IF("156"&amp;B207=KHC&amp;MH,TH))</f>
        <v>794224</v>
      </c>
      <c r="J207" s="243">
        <f t="shared" si="11"/>
        <v>0</v>
      </c>
      <c r="K207" s="243">
        <f t="shared" si="12"/>
        <v>0</v>
      </c>
      <c r="L207" s="181"/>
    </row>
    <row r="208" spans="1:12" ht="19.5" customHeight="1">
      <c r="A208" s="240">
        <f t="shared" si="10"/>
        <v>197</v>
      </c>
      <c r="B208" s="250" t="s">
        <v>1230</v>
      </c>
      <c r="C208" s="242" t="s">
        <v>262</v>
      </c>
      <c r="D208" s="243"/>
      <c r="E208" s="243"/>
      <c r="F208" s="243">
        <f t="array" ref="F208">SUM(IF("156"&amp;B208=KHN&amp;MH,SL))</f>
        <v>10</v>
      </c>
      <c r="G208" s="243">
        <f t="array" ref="G208">SUM(IF("156"&amp;B208=KHN&amp;MH,TH))</f>
        <v>1072765</v>
      </c>
      <c r="H208" s="243">
        <f t="array" ref="H208">SUM(IF("156"&amp;B208=KHC&amp;MH,SL))</f>
        <v>5</v>
      </c>
      <c r="I208" s="243">
        <f t="array" ref="I208">SUM(IF("156"&amp;B208=KHC&amp;MH,TH))</f>
        <v>532055</v>
      </c>
      <c r="J208" s="243">
        <f t="shared" si="11"/>
        <v>5</v>
      </c>
      <c r="K208" s="243">
        <f t="shared" si="12"/>
        <v>540710</v>
      </c>
      <c r="L208" s="181"/>
    </row>
    <row r="209" spans="1:12" ht="19.5" customHeight="1">
      <c r="A209" s="240">
        <f t="shared" si="10"/>
        <v>198</v>
      </c>
      <c r="B209" s="249" t="s">
        <v>695</v>
      </c>
      <c r="C209" s="242" t="s">
        <v>262</v>
      </c>
      <c r="D209" s="243"/>
      <c r="E209" s="243"/>
      <c r="F209" s="243">
        <f t="array" ref="F209">SUM(IF("156"&amp;B209=KHN&amp;MH,SL))</f>
        <v>20</v>
      </c>
      <c r="G209" s="243">
        <f t="array" ref="G209">SUM(IF("156"&amp;B209=KHN&amp;MH,TH))</f>
        <v>2072160</v>
      </c>
      <c r="H209" s="243">
        <f t="array" ref="H209">SUM(IF("156"&amp;B209=KHC&amp;MH,SL))</f>
        <v>20</v>
      </c>
      <c r="I209" s="243">
        <f t="array" ref="I209">SUM(IF("156"&amp;B209=KHC&amp;MH,TH))</f>
        <v>2072160</v>
      </c>
      <c r="J209" s="243">
        <f t="shared" si="11"/>
        <v>0</v>
      </c>
      <c r="K209" s="243">
        <f t="shared" si="12"/>
        <v>0</v>
      </c>
      <c r="L209" s="181"/>
    </row>
    <row r="210" spans="1:12" ht="19.5" customHeight="1">
      <c r="A210" s="240">
        <f t="shared" si="10"/>
        <v>199</v>
      </c>
      <c r="B210" s="250" t="s">
        <v>1635</v>
      </c>
      <c r="C210" s="242"/>
      <c r="D210" s="243"/>
      <c r="E210" s="243"/>
      <c r="F210" s="243">
        <f t="array" ref="F210">SUM(IF("156"&amp;B210=KHN&amp;MH,SL))</f>
        <v>10</v>
      </c>
      <c r="G210" s="243">
        <f t="array" ref="G210">SUM(IF("156"&amp;B210=KHN&amp;MH,TH))</f>
        <v>1627230</v>
      </c>
      <c r="H210" s="243">
        <f t="array" ref="H210">SUM(IF("156"&amp;B210=KHC&amp;MH,SL))</f>
        <v>0</v>
      </c>
      <c r="I210" s="243">
        <f t="array" ref="I210">SUM(IF("156"&amp;B210=KHC&amp;MH,TH))</f>
        <v>0</v>
      </c>
      <c r="J210" s="243">
        <f t="shared" si="11"/>
        <v>10</v>
      </c>
      <c r="K210" s="243">
        <f t="shared" si="12"/>
        <v>1627230</v>
      </c>
      <c r="L210" s="181"/>
    </row>
    <row r="211" spans="1:12" ht="19.5" customHeight="1">
      <c r="A211" s="240">
        <f t="shared" si="10"/>
        <v>200</v>
      </c>
      <c r="B211" s="249" t="s">
        <v>645</v>
      </c>
      <c r="C211" s="242" t="s">
        <v>262</v>
      </c>
      <c r="D211" s="243"/>
      <c r="E211" s="243"/>
      <c r="F211" s="243">
        <f t="array" ref="F211">SUM(IF("156"&amp;B211=KHN&amp;MH,SL))</f>
        <v>88</v>
      </c>
      <c r="G211" s="243">
        <f t="array" ref="G211">SUM(IF("156"&amp;B211=KHN&amp;MH,TH))</f>
        <v>11810124</v>
      </c>
      <c r="H211" s="243">
        <f t="array" ref="H211">SUM(IF("156"&amp;B211=KHC&amp;MH,SL))</f>
        <v>88</v>
      </c>
      <c r="I211" s="243">
        <f t="array" ref="I211">SUM(IF("156"&amp;B211=KHC&amp;MH,TH))</f>
        <v>11810124</v>
      </c>
      <c r="J211" s="243">
        <f t="shared" si="11"/>
        <v>0</v>
      </c>
      <c r="K211" s="243">
        <f t="shared" si="12"/>
        <v>0</v>
      </c>
      <c r="L211" s="181"/>
    </row>
    <row r="212" spans="1:12" ht="19.5" customHeight="1">
      <c r="A212" s="240">
        <f t="shared" si="10"/>
        <v>201</v>
      </c>
      <c r="B212" s="250" t="s">
        <v>1481</v>
      </c>
      <c r="C212" s="242"/>
      <c r="D212" s="243"/>
      <c r="E212" s="243"/>
      <c r="F212" s="243">
        <f t="array" ref="F212">SUM(IF("156"&amp;B212=KHN&amp;MH,SL))</f>
        <v>9</v>
      </c>
      <c r="G212" s="243">
        <f t="array" ref="G212">SUM(IF("156"&amp;B212=KHN&amp;MH,TH))</f>
        <v>1365498</v>
      </c>
      <c r="H212" s="243">
        <f t="array" ref="H212">SUM(IF("156"&amp;B212=KHC&amp;MH,SL))</f>
        <v>0</v>
      </c>
      <c r="I212" s="243">
        <f t="array" ref="I212">SUM(IF("156"&amp;B212=KHC&amp;MH,TH))</f>
        <v>0</v>
      </c>
      <c r="J212" s="243">
        <f t="shared" si="11"/>
        <v>9</v>
      </c>
      <c r="K212" s="243">
        <f t="shared" si="12"/>
        <v>1365498</v>
      </c>
      <c r="L212" s="181"/>
    </row>
    <row r="213" spans="1:12" ht="19.5" customHeight="1">
      <c r="A213" s="240">
        <f t="shared" si="10"/>
        <v>202</v>
      </c>
      <c r="B213" s="250" t="s">
        <v>1665</v>
      </c>
      <c r="C213" s="242"/>
      <c r="D213" s="243"/>
      <c r="E213" s="243"/>
      <c r="F213" s="243">
        <f t="array" ref="F213">SUM(IF("156"&amp;B213=KHN&amp;MH,SL))</f>
        <v>27</v>
      </c>
      <c r="G213" s="243">
        <f t="array" ref="G213">SUM(IF("156"&amp;B213=KHN&amp;MH,TH))</f>
        <v>3923802</v>
      </c>
      <c r="H213" s="243">
        <f t="array" ref="H213">SUM(IF("156"&amp;B213=KHC&amp;MH,SL))</f>
        <v>0</v>
      </c>
      <c r="I213" s="243">
        <f t="array" ref="I213">SUM(IF("156"&amp;B213=KHC&amp;MH,TH))</f>
        <v>0</v>
      </c>
      <c r="J213" s="243">
        <f t="shared" si="11"/>
        <v>27</v>
      </c>
      <c r="K213" s="243">
        <f t="shared" si="12"/>
        <v>3923802</v>
      </c>
      <c r="L213" s="181"/>
    </row>
    <row r="214" spans="1:12" ht="19.5" customHeight="1">
      <c r="A214" s="240">
        <f t="shared" si="10"/>
        <v>203</v>
      </c>
      <c r="B214" s="250" t="s">
        <v>1239</v>
      </c>
      <c r="C214" s="242" t="s">
        <v>262</v>
      </c>
      <c r="D214" s="243"/>
      <c r="E214" s="243"/>
      <c r="F214" s="243">
        <f t="array" ref="F214">SUM(IF("156"&amp;B214=KHN&amp;MH,SL))</f>
        <v>15</v>
      </c>
      <c r="G214" s="243">
        <f t="array" ref="G214">SUM(IF("156"&amp;B214=KHN&amp;MH,TH))</f>
        <v>1228515</v>
      </c>
      <c r="H214" s="243">
        <f t="array" ref="H214">SUM(IF("156"&amp;B214=KHC&amp;MH,SL))</f>
        <v>15</v>
      </c>
      <c r="I214" s="243">
        <f t="array" ref="I214">SUM(IF("156"&amp;B214=KHC&amp;MH,TH))</f>
        <v>1228515</v>
      </c>
      <c r="J214" s="243">
        <f t="shared" si="11"/>
        <v>0</v>
      </c>
      <c r="K214" s="243">
        <f t="shared" si="12"/>
        <v>0</v>
      </c>
      <c r="L214" s="181"/>
    </row>
    <row r="215" spans="1:12" ht="19.5" customHeight="1">
      <c r="A215" s="240">
        <f t="shared" si="10"/>
        <v>204</v>
      </c>
      <c r="B215" s="249" t="s">
        <v>558</v>
      </c>
      <c r="C215" s="242" t="s">
        <v>262</v>
      </c>
      <c r="D215" s="243"/>
      <c r="E215" s="243"/>
      <c r="F215" s="243">
        <f t="array" ref="F215">SUM(IF("156"&amp;B215=KHN&amp;MH,SL))</f>
        <v>2040</v>
      </c>
      <c r="G215" s="243">
        <f t="array" ref="G215">SUM(IF("156"&amp;B215=KHN&amp;MH,TH))</f>
        <v>36872700</v>
      </c>
      <c r="H215" s="243">
        <f t="array" ref="H215">SUM(IF("156"&amp;B215=KHC&amp;MH,SL))</f>
        <v>2040</v>
      </c>
      <c r="I215" s="243">
        <f t="array" ref="I215">SUM(IF("156"&amp;B215=KHC&amp;MH,TH))</f>
        <v>36872700</v>
      </c>
      <c r="J215" s="243">
        <f t="shared" si="11"/>
        <v>0</v>
      </c>
      <c r="K215" s="243">
        <f t="shared" si="12"/>
        <v>0</v>
      </c>
      <c r="L215" s="181"/>
    </row>
    <row r="216" spans="1:12" ht="19.5" customHeight="1">
      <c r="A216" s="240">
        <f t="shared" si="10"/>
        <v>205</v>
      </c>
      <c r="B216" s="249" t="s">
        <v>1412</v>
      </c>
      <c r="C216" s="242"/>
      <c r="D216" s="243"/>
      <c r="E216" s="243"/>
      <c r="F216" s="243">
        <f t="array" ref="F216">SUM(IF("156"&amp;B216=KHN&amp;MH,SL))</f>
        <v>360</v>
      </c>
      <c r="G216" s="243">
        <f t="array" ref="G216">SUM(IF("156"&amp;B216=KHN&amp;MH,TH))</f>
        <v>987840</v>
      </c>
      <c r="H216" s="243">
        <f t="array" ref="H216">SUM(IF("156"&amp;B216=KHC&amp;MH,SL))</f>
        <v>0</v>
      </c>
      <c r="I216" s="243">
        <f t="array" ref="I216">SUM(IF("156"&amp;B216=KHC&amp;MH,TH))</f>
        <v>0</v>
      </c>
      <c r="J216" s="243">
        <f t="shared" si="11"/>
        <v>360</v>
      </c>
      <c r="K216" s="243">
        <f t="shared" si="12"/>
        <v>987840</v>
      </c>
      <c r="L216" s="181"/>
    </row>
    <row r="217" spans="1:12" ht="19.5" customHeight="1">
      <c r="A217" s="240">
        <f t="shared" si="10"/>
        <v>206</v>
      </c>
      <c r="B217" s="249" t="s">
        <v>1399</v>
      </c>
      <c r="C217" s="242"/>
      <c r="D217" s="243"/>
      <c r="E217" s="243"/>
      <c r="F217" s="243">
        <f t="array" ref="F217">SUM(IF("156"&amp;B217=KHN&amp;MH,SL))</f>
        <v>360</v>
      </c>
      <c r="G217" s="243">
        <f t="array" ref="G217">SUM(IF("156"&amp;B217=KHN&amp;MH,TH))</f>
        <v>2010960</v>
      </c>
      <c r="H217" s="243">
        <f t="array" ref="H217">SUM(IF("156"&amp;B217=KHC&amp;MH,SL))</f>
        <v>0</v>
      </c>
      <c r="I217" s="243">
        <f t="array" ref="I217">SUM(IF("156"&amp;B217=KHC&amp;MH,TH))</f>
        <v>0</v>
      </c>
      <c r="J217" s="243">
        <f t="shared" si="11"/>
        <v>360</v>
      </c>
      <c r="K217" s="243">
        <f t="shared" si="12"/>
        <v>2010960</v>
      </c>
      <c r="L217" s="181"/>
    </row>
    <row r="218" spans="1:12" ht="19.5" customHeight="1">
      <c r="A218" s="240">
        <f t="shared" si="10"/>
        <v>207</v>
      </c>
      <c r="B218" s="249" t="s">
        <v>730</v>
      </c>
      <c r="C218" s="242" t="s">
        <v>262</v>
      </c>
      <c r="D218" s="243"/>
      <c r="E218" s="243"/>
      <c r="F218" s="243">
        <f t="array" ref="F218">SUM(IF("156"&amp;B218=KHN&amp;MH,SL))</f>
        <v>38</v>
      </c>
      <c r="G218" s="243">
        <f t="array" ref="G218">SUM(IF("156"&amp;B218=KHN&amp;MH,TH))</f>
        <v>1404192</v>
      </c>
      <c r="H218" s="243">
        <f t="array" ref="H218">SUM(IF("156"&amp;B218=KHC&amp;MH,SL))</f>
        <v>38</v>
      </c>
      <c r="I218" s="243">
        <f t="array" ref="I218">SUM(IF("156"&amp;B218=KHC&amp;MH,TH))</f>
        <v>1404192</v>
      </c>
      <c r="J218" s="243">
        <f t="shared" si="11"/>
        <v>0</v>
      </c>
      <c r="K218" s="243">
        <f t="shared" si="12"/>
        <v>0</v>
      </c>
      <c r="L218" s="181"/>
    </row>
    <row r="219" spans="1:12" ht="19.5" customHeight="1">
      <c r="A219" s="240">
        <f t="shared" si="10"/>
        <v>208</v>
      </c>
      <c r="B219" s="250" t="s">
        <v>1654</v>
      </c>
      <c r="C219" s="242"/>
      <c r="D219" s="243"/>
      <c r="E219" s="243"/>
      <c r="F219" s="243">
        <f t="array" ref="F219">SUM(IF("156"&amp;B219=KHN&amp;MH,SL))</f>
        <v>6</v>
      </c>
      <c r="G219" s="243">
        <f t="array" ref="G219">SUM(IF("156"&amp;B219=KHN&amp;MH,TH))</f>
        <v>939900</v>
      </c>
      <c r="H219" s="243">
        <f t="array" ref="H219">SUM(IF("156"&amp;B219=KHC&amp;MH,SL))</f>
        <v>0</v>
      </c>
      <c r="I219" s="243">
        <f t="array" ref="I219">SUM(IF("156"&amp;B219=KHC&amp;MH,TH))</f>
        <v>0</v>
      </c>
      <c r="J219" s="243">
        <f t="shared" si="11"/>
        <v>6</v>
      </c>
      <c r="K219" s="243">
        <f t="shared" si="12"/>
        <v>939900</v>
      </c>
      <c r="L219" s="181"/>
    </row>
    <row r="220" spans="1:12" ht="19.5" customHeight="1">
      <c r="A220" s="240">
        <f t="shared" si="10"/>
        <v>209</v>
      </c>
      <c r="B220" s="249" t="s">
        <v>565</v>
      </c>
      <c r="C220" s="242" t="s">
        <v>262</v>
      </c>
      <c r="D220" s="243"/>
      <c r="E220" s="243"/>
      <c r="F220" s="243">
        <f t="array" ref="F220">SUM(IF("156"&amp;B220=KHN&amp;MH,SL))</f>
        <v>0</v>
      </c>
      <c r="G220" s="243">
        <f t="array" ref="G220">SUM(IF("156"&amp;B220=KHN&amp;MH,TH))</f>
        <v>0</v>
      </c>
      <c r="H220" s="243">
        <f t="array" ref="H220">SUM(IF("156"&amp;B220=KHC&amp;MH,SL))</f>
        <v>0</v>
      </c>
      <c r="I220" s="243">
        <f t="array" ref="I220">SUM(IF("156"&amp;B220=KHC&amp;MH,TH))</f>
        <v>0</v>
      </c>
      <c r="J220" s="243">
        <f t="shared" si="11"/>
        <v>0</v>
      </c>
      <c r="K220" s="243">
        <f t="shared" si="12"/>
        <v>0</v>
      </c>
      <c r="L220" s="181"/>
    </row>
    <row r="221" spans="1:12" ht="19.5" customHeight="1">
      <c r="A221" s="240">
        <f t="shared" si="10"/>
        <v>210</v>
      </c>
      <c r="B221" s="249" t="s">
        <v>755</v>
      </c>
      <c r="C221" s="242" t="s">
        <v>262</v>
      </c>
      <c r="D221" s="243"/>
      <c r="E221" s="243"/>
      <c r="F221" s="243">
        <f t="array" ref="F221">SUM(IF("156"&amp;B221=KHN&amp;MH,SL))</f>
        <v>58</v>
      </c>
      <c r="G221" s="243">
        <f t="array" ref="G221">SUM(IF("156"&amp;B221=KHN&amp;MH,TH))</f>
        <v>4058838</v>
      </c>
      <c r="H221" s="243">
        <f t="array" ref="H221">SUM(IF("156"&amp;B221=KHC&amp;MH,SL))</f>
        <v>58</v>
      </c>
      <c r="I221" s="243">
        <f t="array" ref="I221">SUM(IF("156"&amp;B221=KHC&amp;MH,TH))</f>
        <v>4058838</v>
      </c>
      <c r="J221" s="243">
        <f t="shared" si="11"/>
        <v>0</v>
      </c>
      <c r="K221" s="243">
        <f t="shared" si="12"/>
        <v>0</v>
      </c>
      <c r="L221" s="181"/>
    </row>
    <row r="222" spans="1:12" ht="19.5" customHeight="1">
      <c r="A222" s="240">
        <f t="shared" si="10"/>
        <v>211</v>
      </c>
      <c r="B222" s="249" t="s">
        <v>1177</v>
      </c>
      <c r="C222" s="242" t="s">
        <v>262</v>
      </c>
      <c r="D222" s="243"/>
      <c r="E222" s="243"/>
      <c r="F222" s="243">
        <f t="array" ref="F222">SUM(IF("156"&amp;B222=KHN&amp;MH,SL))</f>
        <v>36</v>
      </c>
      <c r="G222" s="243">
        <f t="array" ref="G222">SUM(IF("156"&amp;B222=KHN&amp;MH,TH))</f>
        <v>2629854</v>
      </c>
      <c r="H222" s="243">
        <f t="array" ref="H222">SUM(IF("156"&amp;B222=KHC&amp;MH,SL))</f>
        <v>18</v>
      </c>
      <c r="I222" s="243">
        <f t="array" ref="I222">SUM(IF("156"&amp;B222=KHC&amp;MH,TH))</f>
        <v>1314000</v>
      </c>
      <c r="J222" s="243">
        <f t="shared" si="11"/>
        <v>18</v>
      </c>
      <c r="K222" s="243">
        <f t="shared" si="12"/>
        <v>1315854</v>
      </c>
      <c r="L222" s="181"/>
    </row>
    <row r="223" spans="1:12" ht="19.5" customHeight="1">
      <c r="A223" s="240">
        <f t="shared" si="10"/>
        <v>212</v>
      </c>
      <c r="B223" s="249" t="s">
        <v>794</v>
      </c>
      <c r="C223" s="242" t="s">
        <v>262</v>
      </c>
      <c r="D223" s="243"/>
      <c r="E223" s="243"/>
      <c r="F223" s="243">
        <f t="array" ref="F223">SUM(IF("156"&amp;B223=KHN&amp;MH,SL))</f>
        <v>12</v>
      </c>
      <c r="G223" s="243">
        <f t="array" ref="G223">SUM(IF("156"&amp;B223=KHN&amp;MH,TH))</f>
        <v>658644</v>
      </c>
      <c r="H223" s="243">
        <f t="array" ref="H223">SUM(IF("156"&amp;B223=KHC&amp;MH,SL))</f>
        <v>12</v>
      </c>
      <c r="I223" s="243">
        <f t="array" ref="I223">SUM(IF("156"&amp;B223=KHC&amp;MH,TH))</f>
        <v>658644</v>
      </c>
      <c r="J223" s="243">
        <f t="shared" si="11"/>
        <v>0</v>
      </c>
      <c r="K223" s="243">
        <f t="shared" si="12"/>
        <v>0</v>
      </c>
      <c r="L223" s="181"/>
    </row>
    <row r="224" spans="1:12" ht="19.5" customHeight="1">
      <c r="A224" s="240">
        <f t="shared" si="10"/>
        <v>213</v>
      </c>
      <c r="B224" s="250" t="s">
        <v>1474</v>
      </c>
      <c r="C224" s="242"/>
      <c r="D224" s="243"/>
      <c r="E224" s="243"/>
      <c r="F224" s="243">
        <f t="array" ref="F224">SUM(IF("156"&amp;B224=KHN&amp;MH,SL))</f>
        <v>5</v>
      </c>
      <c r="G224" s="243">
        <f t="array" ref="G224">SUM(IF("156"&amp;B224=KHN&amp;MH,TH))</f>
        <v>282320</v>
      </c>
      <c r="H224" s="243">
        <f t="array" ref="H224">SUM(IF("156"&amp;B224=KHC&amp;MH,SL))</f>
        <v>0</v>
      </c>
      <c r="I224" s="243">
        <f t="array" ref="I224">SUM(IF("156"&amp;B224=KHC&amp;MH,TH))</f>
        <v>0</v>
      </c>
      <c r="J224" s="243">
        <f t="shared" si="11"/>
        <v>5</v>
      </c>
      <c r="K224" s="243">
        <f t="shared" si="12"/>
        <v>282320</v>
      </c>
      <c r="L224" s="181"/>
    </row>
    <row r="225" spans="1:12" ht="19.5" customHeight="1">
      <c r="A225" s="240">
        <f t="shared" si="10"/>
        <v>214</v>
      </c>
      <c r="B225" s="250" t="s">
        <v>1664</v>
      </c>
      <c r="C225" s="242"/>
      <c r="D225" s="243"/>
      <c r="E225" s="243"/>
      <c r="F225" s="243">
        <f t="array" ref="F225">SUM(IF("156"&amp;B225=KHN&amp;MH,SL))</f>
        <v>6</v>
      </c>
      <c r="G225" s="243">
        <f t="array" ref="G225">SUM(IF("156"&amp;B225=KHN&amp;MH,TH))</f>
        <v>341454</v>
      </c>
      <c r="H225" s="243">
        <f t="array" ref="H225">SUM(IF("156"&amp;B225=KHC&amp;MH,SL))</f>
        <v>0</v>
      </c>
      <c r="I225" s="243">
        <f t="array" ref="I225">SUM(IF("156"&amp;B225=KHC&amp;MH,TH))</f>
        <v>0</v>
      </c>
      <c r="J225" s="243">
        <f t="shared" si="11"/>
        <v>6</v>
      </c>
      <c r="K225" s="243">
        <f t="shared" si="12"/>
        <v>341454</v>
      </c>
      <c r="L225" s="181"/>
    </row>
    <row r="226" spans="1:12" ht="19.5" customHeight="1">
      <c r="A226" s="240">
        <f t="shared" si="10"/>
        <v>215</v>
      </c>
      <c r="B226" s="249" t="s">
        <v>737</v>
      </c>
      <c r="C226" s="242" t="s">
        <v>262</v>
      </c>
      <c r="D226" s="243"/>
      <c r="E226" s="243"/>
      <c r="F226" s="243">
        <f t="array" ref="F226">SUM(IF("156"&amp;B226=KHN&amp;MH,SL))</f>
        <v>195</v>
      </c>
      <c r="G226" s="243">
        <f t="array" ref="G226">SUM(IF("156"&amp;B226=KHN&amp;MH,TH))</f>
        <v>16446068</v>
      </c>
      <c r="H226" s="243">
        <f t="array" ref="H226">SUM(IF("156"&amp;B226=KHC&amp;MH,SL))</f>
        <v>170</v>
      </c>
      <c r="I226" s="243">
        <f t="array" ref="I226">SUM(IF("156"&amp;B226=KHC&amp;MH,TH))</f>
        <v>14111158</v>
      </c>
      <c r="J226" s="243">
        <f t="shared" si="11"/>
        <v>25</v>
      </c>
      <c r="K226" s="243">
        <f t="shared" si="12"/>
        <v>2334910</v>
      </c>
      <c r="L226" s="181"/>
    </row>
    <row r="227" spans="1:12" ht="19.5" customHeight="1">
      <c r="A227" s="240">
        <f t="shared" si="10"/>
        <v>216</v>
      </c>
      <c r="B227" s="249" t="s">
        <v>618</v>
      </c>
      <c r="C227" s="242" t="s">
        <v>262</v>
      </c>
      <c r="D227" s="243"/>
      <c r="E227" s="243"/>
      <c r="F227" s="243">
        <f t="array" ref="F227">SUM(IF("156"&amp;B227=KHN&amp;MH,SL))</f>
        <v>5</v>
      </c>
      <c r="G227" s="243">
        <f t="array" ref="G227">SUM(IF("156"&amp;B227=KHN&amp;MH,TH))</f>
        <v>283970</v>
      </c>
      <c r="H227" s="243">
        <f t="array" ref="H227">SUM(IF("156"&amp;B227=KHC&amp;MH,SL))</f>
        <v>5</v>
      </c>
      <c r="I227" s="243">
        <f t="array" ref="I227">SUM(IF("156"&amp;B227=KHC&amp;MH,TH))</f>
        <v>283970</v>
      </c>
      <c r="J227" s="243">
        <f t="shared" si="11"/>
        <v>0</v>
      </c>
      <c r="K227" s="243">
        <f t="shared" si="12"/>
        <v>0</v>
      </c>
      <c r="L227" s="181"/>
    </row>
    <row r="228" spans="1:12" ht="19.5" customHeight="1">
      <c r="A228" s="240">
        <f t="shared" si="10"/>
        <v>217</v>
      </c>
      <c r="B228" s="249" t="s">
        <v>741</v>
      </c>
      <c r="C228" s="242" t="s">
        <v>262</v>
      </c>
      <c r="D228" s="243"/>
      <c r="E228" s="243"/>
      <c r="F228" s="243">
        <f t="array" ref="F228">SUM(IF("156"&amp;B228=KHN&amp;MH,SL))</f>
        <v>48</v>
      </c>
      <c r="G228" s="243">
        <f t="array" ref="G228">SUM(IF("156"&amp;B228=KHN&amp;MH,TH))</f>
        <v>10843435</v>
      </c>
      <c r="H228" s="243">
        <f t="array" ref="H228">SUM(IF("156"&amp;B228=KHC&amp;MH,SL))</f>
        <v>48</v>
      </c>
      <c r="I228" s="243">
        <f t="array" ref="I228">SUM(IF("156"&amp;B228=KHC&amp;MH,TH))</f>
        <v>10843435</v>
      </c>
      <c r="J228" s="243">
        <f t="shared" si="11"/>
        <v>0</v>
      </c>
      <c r="K228" s="243">
        <f t="shared" si="12"/>
        <v>0</v>
      </c>
      <c r="L228" s="181"/>
    </row>
    <row r="229" spans="1:12" ht="19.5" customHeight="1">
      <c r="A229" s="240">
        <f t="shared" si="10"/>
        <v>218</v>
      </c>
      <c r="B229" s="250" t="s">
        <v>1451</v>
      </c>
      <c r="C229" s="242"/>
      <c r="D229" s="243"/>
      <c r="E229" s="243"/>
      <c r="F229" s="243">
        <f t="array" ref="F229">SUM(IF("156"&amp;B229=KHN&amp;MH,SL))</f>
        <v>15</v>
      </c>
      <c r="G229" s="243">
        <f t="array" ref="G229">SUM(IF("156"&amp;B229=KHN&amp;MH,TH))</f>
        <v>3317152</v>
      </c>
      <c r="H229" s="243">
        <f t="array" ref="H229">SUM(IF("156"&amp;B229=KHC&amp;MH,SL))</f>
        <v>0</v>
      </c>
      <c r="I229" s="243">
        <f t="array" ref="I229">SUM(IF("156"&amp;B229=KHC&amp;MH,TH))</f>
        <v>0</v>
      </c>
      <c r="J229" s="243">
        <f t="shared" si="11"/>
        <v>15</v>
      </c>
      <c r="K229" s="243">
        <f t="shared" si="12"/>
        <v>3317152</v>
      </c>
      <c r="L229" s="181"/>
    </row>
    <row r="230" spans="1:12" ht="19.5" customHeight="1">
      <c r="A230" s="240">
        <f t="shared" si="10"/>
        <v>219</v>
      </c>
      <c r="B230" s="249" t="s">
        <v>651</v>
      </c>
      <c r="C230" s="242" t="s">
        <v>262</v>
      </c>
      <c r="D230" s="243"/>
      <c r="E230" s="243"/>
      <c r="F230" s="243">
        <f t="array" ref="F230">SUM(IF("156"&amp;B230=KHN&amp;MH,SL))</f>
        <v>90</v>
      </c>
      <c r="G230" s="243">
        <f t="array" ref="G230">SUM(IF("156"&amp;B230=KHN&amp;MH,TH))</f>
        <v>9877217</v>
      </c>
      <c r="H230" s="243">
        <f t="array" ref="H230">SUM(IF("156"&amp;B230=KHC&amp;MH,SL))</f>
        <v>90</v>
      </c>
      <c r="I230" s="243">
        <f t="array" ref="I230">SUM(IF("156"&amp;B230=KHC&amp;MH,TH))</f>
        <v>9877217</v>
      </c>
      <c r="J230" s="243">
        <f t="shared" si="11"/>
        <v>0</v>
      </c>
      <c r="K230" s="243">
        <f t="shared" si="12"/>
        <v>0</v>
      </c>
      <c r="L230" s="181"/>
    </row>
    <row r="231" spans="1:12" ht="19.5" customHeight="1">
      <c r="A231" s="240">
        <f t="shared" si="10"/>
        <v>220</v>
      </c>
      <c r="B231" s="250" t="s">
        <v>1658</v>
      </c>
      <c r="C231" s="242"/>
      <c r="D231" s="243"/>
      <c r="E231" s="243"/>
      <c r="F231" s="243">
        <f t="array" ref="F231">SUM(IF("156"&amp;B231=KHN&amp;MH,SL))</f>
        <v>10</v>
      </c>
      <c r="G231" s="243">
        <f t="array" ref="G231">SUM(IF("156"&amp;B231=KHN&amp;MH,TH))</f>
        <v>2130930</v>
      </c>
      <c r="H231" s="243">
        <f t="array" ref="H231">SUM(IF("156"&amp;B231=KHC&amp;MH,SL))</f>
        <v>0</v>
      </c>
      <c r="I231" s="243">
        <f t="array" ref="I231">SUM(IF("156"&amp;B231=KHC&amp;MH,TH))</f>
        <v>0</v>
      </c>
      <c r="J231" s="243">
        <f t="shared" si="11"/>
        <v>10</v>
      </c>
      <c r="K231" s="243">
        <f t="shared" si="12"/>
        <v>2130930</v>
      </c>
      <c r="L231" s="181"/>
    </row>
    <row r="232" spans="1:12" ht="19.5" customHeight="1">
      <c r="A232" s="240">
        <f t="shared" si="10"/>
        <v>221</v>
      </c>
      <c r="B232" s="250" t="s">
        <v>1471</v>
      </c>
      <c r="C232" s="242"/>
      <c r="D232" s="243"/>
      <c r="E232" s="243"/>
      <c r="F232" s="243">
        <f t="array" ref="F232">SUM(IF("156"&amp;B232=KHN&amp;MH,SL))</f>
        <v>2</v>
      </c>
      <c r="G232" s="243">
        <f t="array" ref="G232">SUM(IF("156"&amp;B232=KHN&amp;MH,TH))</f>
        <v>234886</v>
      </c>
      <c r="H232" s="243">
        <f t="array" ref="H232">SUM(IF("156"&amp;B232=KHC&amp;MH,SL))</f>
        <v>0</v>
      </c>
      <c r="I232" s="243">
        <f t="array" ref="I232">SUM(IF("156"&amp;B232=KHC&amp;MH,TH))</f>
        <v>0</v>
      </c>
      <c r="J232" s="243">
        <f t="shared" si="11"/>
        <v>2</v>
      </c>
      <c r="K232" s="243">
        <f t="shared" si="12"/>
        <v>234886</v>
      </c>
      <c r="L232" s="181"/>
    </row>
    <row r="233" spans="1:12" ht="19.5" customHeight="1">
      <c r="A233" s="240">
        <f t="shared" si="10"/>
        <v>222</v>
      </c>
      <c r="B233" s="250" t="s">
        <v>1345</v>
      </c>
      <c r="C233" s="242"/>
      <c r="D233" s="243"/>
      <c r="E233" s="243"/>
      <c r="F233" s="243">
        <f t="array" ref="F233">SUM(IF("156"&amp;B233=KHN&amp;MH,SL))</f>
        <v>54</v>
      </c>
      <c r="G233" s="243">
        <f t="array" ref="G233">SUM(IF("156"&amp;B233=KHN&amp;MH,TH))</f>
        <v>2523623</v>
      </c>
      <c r="H233" s="243">
        <f t="array" ref="H233">SUM(IF("156"&amp;B233=KHC&amp;MH,SL))</f>
        <v>54</v>
      </c>
      <c r="I233" s="243">
        <f t="array" ref="I233">SUM(IF("156"&amp;B233=KHC&amp;MH,TH))</f>
        <v>2523623</v>
      </c>
      <c r="J233" s="243">
        <f t="shared" si="11"/>
        <v>0</v>
      </c>
      <c r="K233" s="243">
        <f t="shared" si="12"/>
        <v>0</v>
      </c>
      <c r="L233" s="181"/>
    </row>
    <row r="234" spans="1:12" ht="19.5" customHeight="1">
      <c r="A234" s="240">
        <f t="shared" si="10"/>
        <v>223</v>
      </c>
      <c r="B234" s="250" t="s">
        <v>1346</v>
      </c>
      <c r="C234" s="242"/>
      <c r="D234" s="243"/>
      <c r="E234" s="243"/>
      <c r="F234" s="243">
        <f t="array" ref="F234">SUM(IF("156"&amp;B234=KHN&amp;MH,SL))</f>
        <v>54</v>
      </c>
      <c r="G234" s="243">
        <f t="array" ref="G234">SUM(IF("156"&amp;B234=KHN&amp;MH,TH))</f>
        <v>2781275</v>
      </c>
      <c r="H234" s="243">
        <f t="array" ref="H234">SUM(IF("156"&amp;B234=KHC&amp;MH,SL))</f>
        <v>54</v>
      </c>
      <c r="I234" s="243">
        <f t="array" ref="I234">SUM(IF("156"&amp;B234=KHC&amp;MH,TH))</f>
        <v>2781275</v>
      </c>
      <c r="J234" s="243">
        <f t="shared" si="11"/>
        <v>0</v>
      </c>
      <c r="K234" s="243">
        <f t="shared" si="12"/>
        <v>0</v>
      </c>
      <c r="L234" s="181"/>
    </row>
    <row r="235" spans="1:12" ht="19.5" customHeight="1">
      <c r="A235" s="240">
        <f t="shared" si="10"/>
        <v>224</v>
      </c>
      <c r="B235" s="250" t="s">
        <v>1458</v>
      </c>
      <c r="C235" s="242"/>
      <c r="D235" s="243"/>
      <c r="E235" s="243"/>
      <c r="F235" s="243">
        <f t="array" ref="F235">SUM(IF("156"&amp;B235=KHN&amp;MH,SL))</f>
        <v>0</v>
      </c>
      <c r="G235" s="243">
        <f t="array" ref="G235">SUM(IF("156"&amp;B235=KHN&amp;MH,TH))</f>
        <v>0</v>
      </c>
      <c r="H235" s="243">
        <f t="array" ref="H235">SUM(IF("156"&amp;B235=KHC&amp;MH,SL))</f>
        <v>0</v>
      </c>
      <c r="I235" s="243">
        <f t="array" ref="I235">SUM(IF("156"&amp;B235=KHC&amp;MH,TH))</f>
        <v>0</v>
      </c>
      <c r="J235" s="243">
        <f t="shared" si="11"/>
        <v>0</v>
      </c>
      <c r="K235" s="243">
        <f t="shared" si="12"/>
        <v>0</v>
      </c>
      <c r="L235" s="181"/>
    </row>
    <row r="236" spans="1:12" ht="19.5" customHeight="1">
      <c r="A236" s="240">
        <f t="shared" si="10"/>
        <v>225</v>
      </c>
      <c r="B236" s="249" t="s">
        <v>1017</v>
      </c>
      <c r="C236" s="242" t="s">
        <v>262</v>
      </c>
      <c r="D236" s="243"/>
      <c r="E236" s="243"/>
      <c r="F236" s="243">
        <f t="array" ref="F236">SUM(IF("156"&amp;B236=KHN&amp;MH,SL))</f>
        <v>20</v>
      </c>
      <c r="G236" s="243">
        <f t="array" ref="G236">SUM(IF("156"&amp;B236=KHN&amp;MH,TH))</f>
        <v>2471168</v>
      </c>
      <c r="H236" s="243">
        <f t="array" ref="H236">SUM(IF("156"&amp;B236=KHC&amp;MH,SL))</f>
        <v>12</v>
      </c>
      <c r="I236" s="243">
        <f t="array" ref="I236">SUM(IF("156"&amp;B236=KHC&amp;MH,TH))</f>
        <v>1456080</v>
      </c>
      <c r="J236" s="243">
        <f t="shared" si="11"/>
        <v>8</v>
      </c>
      <c r="K236" s="243">
        <f t="shared" si="12"/>
        <v>1015088</v>
      </c>
      <c r="L236" s="181"/>
    </row>
    <row r="237" spans="1:12" ht="19.5" customHeight="1">
      <c r="A237" s="240">
        <f t="shared" si="10"/>
        <v>226</v>
      </c>
      <c r="B237" s="250" t="s">
        <v>1472</v>
      </c>
      <c r="C237" s="242"/>
      <c r="D237" s="243"/>
      <c r="E237" s="243"/>
      <c r="F237" s="243">
        <f t="array" ref="F237">SUM(IF("156"&amp;B237=KHN&amp;MH,SL))</f>
        <v>2</v>
      </c>
      <c r="G237" s="243">
        <f t="array" ref="G237">SUM(IF("156"&amp;B237=KHN&amp;MH,TH))</f>
        <v>234886</v>
      </c>
      <c r="H237" s="243">
        <f t="array" ref="H237">SUM(IF("156"&amp;B237=KHC&amp;MH,SL))</f>
        <v>0</v>
      </c>
      <c r="I237" s="243">
        <f t="array" ref="I237">SUM(IF("156"&amp;B237=KHC&amp;MH,TH))</f>
        <v>0</v>
      </c>
      <c r="J237" s="243">
        <f t="shared" si="11"/>
        <v>2</v>
      </c>
      <c r="K237" s="243">
        <f t="shared" si="12"/>
        <v>234886</v>
      </c>
      <c r="L237" s="181"/>
    </row>
    <row r="238" spans="1:12" ht="19.5" customHeight="1">
      <c r="A238" s="240">
        <f t="shared" si="10"/>
        <v>227</v>
      </c>
      <c r="B238" s="249" t="s">
        <v>641</v>
      </c>
      <c r="C238" s="242" t="s">
        <v>262</v>
      </c>
      <c r="D238" s="243"/>
      <c r="E238" s="243"/>
      <c r="F238" s="243">
        <f t="array" ref="F238">SUM(IF("156"&amp;B238=KHN&amp;MH,SL))</f>
        <v>6</v>
      </c>
      <c r="G238" s="243">
        <f t="array" ref="G238">SUM(IF("156"&amp;B238=KHN&amp;MH,TH))</f>
        <v>289044</v>
      </c>
      <c r="H238" s="243">
        <f t="array" ref="H238">SUM(IF("156"&amp;B238=KHC&amp;MH,SL))</f>
        <v>6</v>
      </c>
      <c r="I238" s="243">
        <f t="array" ref="I238">SUM(IF("156"&amp;B238=KHC&amp;MH,TH))</f>
        <v>289044</v>
      </c>
      <c r="J238" s="243">
        <f t="shared" si="11"/>
        <v>0</v>
      </c>
      <c r="K238" s="243">
        <f t="shared" si="12"/>
        <v>0</v>
      </c>
      <c r="L238" s="181"/>
    </row>
    <row r="239" spans="1:12" ht="19.5" customHeight="1">
      <c r="A239" s="240">
        <f t="shared" si="10"/>
        <v>228</v>
      </c>
      <c r="B239" s="249" t="s">
        <v>698</v>
      </c>
      <c r="C239" s="242" t="s">
        <v>262</v>
      </c>
      <c r="D239" s="243"/>
      <c r="E239" s="243"/>
      <c r="F239" s="243">
        <f t="array" ref="F239">SUM(IF("156"&amp;B239=KHN&amp;MH,SL))</f>
        <v>27</v>
      </c>
      <c r="G239" s="243">
        <f t="array" ref="G239">SUM(IF("156"&amp;B239=KHN&amp;MH,TH))</f>
        <v>3800714</v>
      </c>
      <c r="H239" s="243">
        <f t="array" ref="H239">SUM(IF("156"&amp;B239=KHC&amp;MH,SL))</f>
        <v>17</v>
      </c>
      <c r="I239" s="243">
        <f t="array" ref="I239">SUM(IF("156"&amp;B239=KHC&amp;MH,TH))</f>
        <v>2404004</v>
      </c>
      <c r="J239" s="243">
        <f t="shared" si="11"/>
        <v>10</v>
      </c>
      <c r="K239" s="243">
        <f t="shared" si="12"/>
        <v>1396710</v>
      </c>
      <c r="L239" s="181"/>
    </row>
    <row r="240" spans="1:12" ht="19.5" customHeight="1">
      <c r="A240" s="240">
        <f t="shared" si="10"/>
        <v>229</v>
      </c>
      <c r="B240" s="250" t="s">
        <v>1641</v>
      </c>
      <c r="C240" s="242"/>
      <c r="D240" s="243"/>
      <c r="E240" s="243"/>
      <c r="F240" s="243">
        <f t="array" ref="F240">SUM(IF("156"&amp;B240=KHN&amp;MH,SL))</f>
        <v>5</v>
      </c>
      <c r="G240" s="243">
        <f t="array" ref="G240">SUM(IF("156"&amp;B240=KHN&amp;MH,TH))</f>
        <v>750340</v>
      </c>
      <c r="H240" s="243">
        <f t="array" ref="H240">SUM(IF("156"&amp;B240=KHC&amp;MH,SL))</f>
        <v>0</v>
      </c>
      <c r="I240" s="243">
        <f t="array" ref="I240">SUM(IF("156"&amp;B240=KHC&amp;MH,TH))</f>
        <v>0</v>
      </c>
      <c r="J240" s="243">
        <f t="shared" si="11"/>
        <v>5</v>
      </c>
      <c r="K240" s="243">
        <f t="shared" si="12"/>
        <v>750340</v>
      </c>
      <c r="L240" s="181"/>
    </row>
    <row r="241" spans="1:12" ht="19.5" customHeight="1">
      <c r="A241" s="240">
        <f t="shared" si="10"/>
        <v>230</v>
      </c>
      <c r="B241" s="250" t="s">
        <v>1465</v>
      </c>
      <c r="C241" s="242"/>
      <c r="D241" s="243"/>
      <c r="E241" s="243"/>
      <c r="F241" s="243">
        <f t="array" ref="F241">SUM(IF("156"&amp;B241=KHN&amp;MH,SL))</f>
        <v>20</v>
      </c>
      <c r="G241" s="243">
        <f t="array" ref="G241">SUM(IF("156"&amp;B241=KHN&amp;MH,TH))</f>
        <v>1803540</v>
      </c>
      <c r="H241" s="243">
        <f t="array" ref="H241">SUM(IF("156"&amp;B241=KHC&amp;MH,SL))</f>
        <v>0</v>
      </c>
      <c r="I241" s="243">
        <f t="array" ref="I241">SUM(IF("156"&amp;B241=KHC&amp;MH,TH))</f>
        <v>0</v>
      </c>
      <c r="J241" s="243">
        <f t="shared" si="11"/>
        <v>20</v>
      </c>
      <c r="K241" s="243">
        <f t="shared" si="12"/>
        <v>1803540</v>
      </c>
      <c r="L241" s="181"/>
    </row>
    <row r="242" spans="1:12" ht="19.5" customHeight="1">
      <c r="A242" s="240">
        <f t="shared" si="10"/>
        <v>231</v>
      </c>
      <c r="B242" s="249" t="s">
        <v>1060</v>
      </c>
      <c r="C242" s="242" t="s">
        <v>262</v>
      </c>
      <c r="D242" s="243"/>
      <c r="E242" s="243"/>
      <c r="F242" s="243">
        <f t="array" ref="F242">SUM(IF("156"&amp;B242=KHN&amp;MH,SL))</f>
        <v>2</v>
      </c>
      <c r="G242" s="243">
        <f t="array" ref="G242">SUM(IF("156"&amp;B242=KHN&amp;MH,TH))</f>
        <v>82442</v>
      </c>
      <c r="H242" s="243">
        <f t="array" ref="H242">SUM(IF("156"&amp;B242=KHC&amp;MH,SL))</f>
        <v>2</v>
      </c>
      <c r="I242" s="243">
        <f t="array" ref="I242">SUM(IF("156"&amp;B242=KHC&amp;MH,TH))</f>
        <v>82442</v>
      </c>
      <c r="J242" s="243">
        <f t="shared" si="11"/>
        <v>0</v>
      </c>
      <c r="K242" s="243">
        <f t="shared" si="12"/>
        <v>0</v>
      </c>
      <c r="L242" s="181"/>
    </row>
    <row r="243" spans="1:12" ht="19.5" customHeight="1">
      <c r="A243" s="240">
        <f t="shared" si="10"/>
        <v>232</v>
      </c>
      <c r="B243" s="249" t="s">
        <v>1160</v>
      </c>
      <c r="C243" s="242" t="s">
        <v>262</v>
      </c>
      <c r="D243" s="243"/>
      <c r="E243" s="243"/>
      <c r="F243" s="243">
        <f t="array" ref="F243">SUM(IF("156"&amp;B243=KHN&amp;MH,SL))</f>
        <v>60</v>
      </c>
      <c r="G243" s="243">
        <f t="array" ref="G243">SUM(IF("156"&amp;B243=KHN&amp;MH,TH))</f>
        <v>3863340</v>
      </c>
      <c r="H243" s="243">
        <f t="array" ref="H243">SUM(IF("156"&amp;B243=KHC&amp;MH,SL))</f>
        <v>60</v>
      </c>
      <c r="I243" s="243">
        <f t="array" ref="I243">SUM(IF("156"&amp;B243=KHC&amp;MH,TH))</f>
        <v>3863340</v>
      </c>
      <c r="J243" s="243">
        <f t="shared" si="11"/>
        <v>0</v>
      </c>
      <c r="K243" s="243">
        <f t="shared" si="12"/>
        <v>0</v>
      </c>
      <c r="L243" s="181"/>
    </row>
    <row r="244" spans="1:12" ht="19.5" customHeight="1">
      <c r="A244" s="240">
        <f t="shared" si="10"/>
        <v>233</v>
      </c>
      <c r="B244" s="249" t="s">
        <v>1063</v>
      </c>
      <c r="C244" s="242" t="s">
        <v>262</v>
      </c>
      <c r="D244" s="243"/>
      <c r="E244" s="243"/>
      <c r="F244" s="243">
        <f t="array" ref="F244">SUM(IF("156"&amp;B244=KHN&amp;MH,SL))</f>
        <v>7</v>
      </c>
      <c r="G244" s="243">
        <f t="array" ref="G244">SUM(IF("156"&amp;B244=KHN&amp;MH,TH))</f>
        <v>558621</v>
      </c>
      <c r="H244" s="243">
        <f t="array" ref="H244">SUM(IF("156"&amp;B244=KHC&amp;MH,SL))</f>
        <v>7</v>
      </c>
      <c r="I244" s="243">
        <f t="array" ref="I244">SUM(IF("156"&amp;B244=KHC&amp;MH,TH))</f>
        <v>558621</v>
      </c>
      <c r="J244" s="243">
        <f t="shared" si="11"/>
        <v>0</v>
      </c>
      <c r="K244" s="243">
        <f t="shared" si="12"/>
        <v>0</v>
      </c>
      <c r="L244" s="181"/>
    </row>
    <row r="245" spans="1:12" ht="19.5" customHeight="1">
      <c r="A245" s="240">
        <f t="shared" si="10"/>
        <v>234</v>
      </c>
      <c r="B245" s="249" t="s">
        <v>738</v>
      </c>
      <c r="C245" s="242" t="s">
        <v>262</v>
      </c>
      <c r="D245" s="243"/>
      <c r="E245" s="243"/>
      <c r="F245" s="243">
        <f t="array" ref="F245">SUM(IF("156"&amp;B245=KHN&amp;MH,SL))</f>
        <v>18</v>
      </c>
      <c r="G245" s="243">
        <f t="array" ref="G245">SUM(IF("156"&amp;B245=KHN&amp;MH,TH))</f>
        <v>2744592</v>
      </c>
      <c r="H245" s="243">
        <f t="array" ref="H245">SUM(IF("156"&amp;B245=KHC&amp;MH,SL))</f>
        <v>18</v>
      </c>
      <c r="I245" s="243">
        <f t="array" ref="I245">SUM(IF("156"&amp;B245=KHC&amp;MH,TH))</f>
        <v>2744592</v>
      </c>
      <c r="J245" s="243">
        <f t="shared" si="11"/>
        <v>0</v>
      </c>
      <c r="K245" s="243">
        <f t="shared" si="12"/>
        <v>0</v>
      </c>
      <c r="L245" s="181"/>
    </row>
    <row r="246" spans="1:12" ht="19.5" customHeight="1">
      <c r="A246" s="240">
        <f t="shared" si="10"/>
        <v>235</v>
      </c>
      <c r="B246" s="250" t="s">
        <v>1448</v>
      </c>
      <c r="C246" s="242"/>
      <c r="D246" s="243"/>
      <c r="E246" s="243"/>
      <c r="F246" s="243">
        <f t="array" ref="F246">SUM(IF("156"&amp;B246=KHN&amp;MH,SL))</f>
        <v>20</v>
      </c>
      <c r="G246" s="243">
        <f t="array" ref="G246">SUM(IF("156"&amp;B246=KHN&amp;MH,TH))</f>
        <v>2956000</v>
      </c>
      <c r="H246" s="243">
        <f t="array" ref="H246">SUM(IF("156"&amp;B246=KHC&amp;MH,SL))</f>
        <v>0</v>
      </c>
      <c r="I246" s="243">
        <f t="array" ref="I246">SUM(IF("156"&amp;B246=KHC&amp;MH,TH))</f>
        <v>0</v>
      </c>
      <c r="J246" s="243">
        <f t="shared" si="11"/>
        <v>20</v>
      </c>
      <c r="K246" s="243">
        <f t="shared" si="12"/>
        <v>2956000</v>
      </c>
      <c r="L246" s="181"/>
    </row>
    <row r="247" spans="1:12" ht="19.5" customHeight="1">
      <c r="A247" s="240">
        <f t="shared" si="10"/>
        <v>236</v>
      </c>
      <c r="B247" s="250" t="s">
        <v>1645</v>
      </c>
      <c r="C247" s="242"/>
      <c r="D247" s="243"/>
      <c r="E247" s="243"/>
      <c r="F247" s="243">
        <f t="array" ref="F247">SUM(IF("156"&amp;B247=KHN&amp;MH,SL))</f>
        <v>10</v>
      </c>
      <c r="G247" s="243">
        <f t="array" ref="G247">SUM(IF("156"&amp;B247=KHN&amp;MH,TH))</f>
        <v>1500230</v>
      </c>
      <c r="H247" s="243">
        <f t="array" ref="H247">SUM(IF("156"&amp;B247=KHC&amp;MH,SL))</f>
        <v>0</v>
      </c>
      <c r="I247" s="243">
        <f t="array" ref="I247">SUM(IF("156"&amp;B247=KHC&amp;MH,TH))</f>
        <v>0</v>
      </c>
      <c r="J247" s="243">
        <f t="shared" si="11"/>
        <v>10</v>
      </c>
      <c r="K247" s="243">
        <f t="shared" si="12"/>
        <v>1500230</v>
      </c>
      <c r="L247" s="181"/>
    </row>
    <row r="248" spans="1:12" ht="19.5" customHeight="1">
      <c r="A248" s="240">
        <f t="shared" si="10"/>
        <v>237</v>
      </c>
      <c r="B248" s="249" t="s">
        <v>750</v>
      </c>
      <c r="C248" s="242" t="s">
        <v>262</v>
      </c>
      <c r="D248" s="243"/>
      <c r="E248" s="243"/>
      <c r="F248" s="243">
        <f t="array" ref="F248">SUM(IF("156"&amp;B248=KHN&amp;MH,SL))</f>
        <v>92</v>
      </c>
      <c r="G248" s="243">
        <f t="array" ref="G248">SUM(IF("156"&amp;B248=KHN&amp;MH,TH))</f>
        <v>6523314</v>
      </c>
      <c r="H248" s="243">
        <f t="array" ref="H248">SUM(IF("156"&amp;B248=KHC&amp;MH,SL))</f>
        <v>48</v>
      </c>
      <c r="I248" s="243">
        <f t="array" ref="I248">SUM(IF("156"&amp;B248=KHC&amp;MH,TH))</f>
        <v>3334008</v>
      </c>
      <c r="J248" s="243">
        <f t="shared" si="11"/>
        <v>44</v>
      </c>
      <c r="K248" s="243">
        <f t="shared" si="12"/>
        <v>3189306</v>
      </c>
      <c r="L248" s="181"/>
    </row>
    <row r="249" spans="1:12" ht="19.5" customHeight="1">
      <c r="A249" s="240">
        <f t="shared" si="10"/>
        <v>238</v>
      </c>
      <c r="B249" s="250" t="s">
        <v>1661</v>
      </c>
      <c r="C249" s="242"/>
      <c r="D249" s="243"/>
      <c r="E249" s="243"/>
      <c r="F249" s="243">
        <f t="array" ref="F249">SUM(IF("156"&amp;B249=KHN&amp;MH,SL))</f>
        <v>14</v>
      </c>
      <c r="G249" s="243">
        <f t="array" ref="G249">SUM(IF("156"&amp;B249=KHN&amp;MH,TH))</f>
        <v>1062152</v>
      </c>
      <c r="H249" s="243">
        <f t="array" ref="H249">SUM(IF("156"&amp;B249=KHC&amp;MH,SL))</f>
        <v>0</v>
      </c>
      <c r="I249" s="243">
        <f t="array" ref="I249">SUM(IF("156"&amp;B249=KHC&amp;MH,TH))</f>
        <v>0</v>
      </c>
      <c r="J249" s="243">
        <f t="shared" si="11"/>
        <v>14</v>
      </c>
      <c r="K249" s="243">
        <f t="shared" si="12"/>
        <v>1062152</v>
      </c>
      <c r="L249" s="181"/>
    </row>
    <row r="250" spans="1:12" ht="19.5" customHeight="1">
      <c r="A250" s="240">
        <f t="shared" si="10"/>
        <v>239</v>
      </c>
      <c r="B250" s="249" t="s">
        <v>644</v>
      </c>
      <c r="C250" s="242" t="s">
        <v>262</v>
      </c>
      <c r="D250" s="243"/>
      <c r="E250" s="243"/>
      <c r="F250" s="243">
        <f t="array" ref="F250">SUM(IF("156"&amp;B250=KHN&amp;MH,SL))</f>
        <v>15</v>
      </c>
      <c r="G250" s="243">
        <f t="array" ref="G250">SUM(IF("156"&amp;B250=KHN&amp;MH,TH))</f>
        <v>932374</v>
      </c>
      <c r="H250" s="243">
        <f t="array" ref="H250">SUM(IF("156"&amp;B250=KHC&amp;MH,SL))</f>
        <v>15</v>
      </c>
      <c r="I250" s="243">
        <f t="array" ref="I250">SUM(IF("156"&amp;B250=KHC&amp;MH,TH))</f>
        <v>932374</v>
      </c>
      <c r="J250" s="243">
        <f t="shared" si="11"/>
        <v>0</v>
      </c>
      <c r="K250" s="243">
        <f t="shared" si="12"/>
        <v>0</v>
      </c>
      <c r="L250" s="181"/>
    </row>
    <row r="251" spans="1:12" ht="19.5" customHeight="1">
      <c r="A251" s="240">
        <f t="shared" si="10"/>
        <v>240</v>
      </c>
      <c r="B251" s="250" t="s">
        <v>1473</v>
      </c>
      <c r="C251" s="242"/>
      <c r="D251" s="243"/>
      <c r="E251" s="243"/>
      <c r="F251" s="243">
        <f t="array" ref="F251">SUM(IF("156"&amp;B251=KHN&amp;MH,SL))</f>
        <v>4</v>
      </c>
      <c r="G251" s="243">
        <f t="array" ref="G251">SUM(IF("156"&amp;B251=KHN&amp;MH,TH))</f>
        <v>251668</v>
      </c>
      <c r="H251" s="243">
        <f t="array" ref="H251">SUM(IF("156"&amp;B251=KHC&amp;MH,SL))</f>
        <v>0</v>
      </c>
      <c r="I251" s="243">
        <f t="array" ref="I251">SUM(IF("156"&amp;B251=KHC&amp;MH,TH))</f>
        <v>0</v>
      </c>
      <c r="J251" s="243">
        <f t="shared" si="11"/>
        <v>4</v>
      </c>
      <c r="K251" s="243">
        <f t="shared" si="12"/>
        <v>251668</v>
      </c>
      <c r="L251" s="181"/>
    </row>
    <row r="252" spans="1:12" ht="19.5" customHeight="1">
      <c r="A252" s="240">
        <f t="shared" si="10"/>
        <v>241</v>
      </c>
      <c r="B252" s="250" t="s">
        <v>1662</v>
      </c>
      <c r="C252" s="242"/>
      <c r="D252" s="243"/>
      <c r="E252" s="243"/>
      <c r="F252" s="243">
        <f t="array" ref="F252">SUM(IF("156"&amp;B252=KHN&amp;MH,SL))</f>
        <v>2</v>
      </c>
      <c r="G252" s="243">
        <f t="array" ref="G252">SUM(IF("156"&amp;B252=KHN&amp;MH,TH))</f>
        <v>126824</v>
      </c>
      <c r="H252" s="243">
        <f t="array" ref="H252">SUM(IF("156"&amp;B252=KHC&amp;MH,SL))</f>
        <v>0</v>
      </c>
      <c r="I252" s="243">
        <f t="array" ref="I252">SUM(IF("156"&amp;B252=KHC&amp;MH,TH))</f>
        <v>0</v>
      </c>
      <c r="J252" s="243">
        <f t="shared" si="11"/>
        <v>2</v>
      </c>
      <c r="K252" s="243">
        <f t="shared" si="12"/>
        <v>126824</v>
      </c>
      <c r="L252" s="181"/>
    </row>
    <row r="253" spans="1:12" ht="19.5" customHeight="1">
      <c r="A253" s="240">
        <f t="shared" si="10"/>
        <v>242</v>
      </c>
      <c r="B253" s="249" t="s">
        <v>696</v>
      </c>
      <c r="C253" s="242" t="s">
        <v>262</v>
      </c>
      <c r="D253" s="243"/>
      <c r="E253" s="243"/>
      <c r="F253" s="243">
        <f t="array" ref="F253">SUM(IF("156"&amp;B253=KHN&amp;MH,SL))</f>
        <v>8</v>
      </c>
      <c r="G253" s="243">
        <f t="array" ref="G253">SUM(IF("156"&amp;B253=KHN&amp;MH,TH))</f>
        <v>1205168</v>
      </c>
      <c r="H253" s="243">
        <f t="array" ref="H253">SUM(IF("156"&amp;B253=KHC&amp;MH,SL))</f>
        <v>8</v>
      </c>
      <c r="I253" s="243">
        <f t="array" ref="I253">SUM(IF("156"&amp;B253=KHC&amp;MH,TH))</f>
        <v>1205168</v>
      </c>
      <c r="J253" s="243">
        <f t="shared" si="11"/>
        <v>0</v>
      </c>
      <c r="K253" s="243">
        <f t="shared" si="12"/>
        <v>0</v>
      </c>
      <c r="L253" s="181"/>
    </row>
    <row r="254" spans="1:12" ht="19.5" customHeight="1">
      <c r="A254" s="240">
        <f t="shared" si="10"/>
        <v>243</v>
      </c>
      <c r="B254" s="249" t="s">
        <v>637</v>
      </c>
      <c r="C254" s="242" t="s">
        <v>262</v>
      </c>
      <c r="D254" s="243"/>
      <c r="E254" s="243"/>
      <c r="F254" s="243">
        <f t="array" ref="F254">SUM(IF("156"&amp;B254=KHN&amp;MH,SL))</f>
        <v>12</v>
      </c>
      <c r="G254" s="243">
        <f t="array" ref="G254">SUM(IF("156"&amp;B254=KHN&amp;MH,TH))</f>
        <v>1559376</v>
      </c>
      <c r="H254" s="243">
        <f t="array" ref="H254">SUM(IF("156"&amp;B254=KHC&amp;MH,SL))</f>
        <v>12</v>
      </c>
      <c r="I254" s="243">
        <f t="array" ref="I254">SUM(IF("156"&amp;B254=KHC&amp;MH,TH))</f>
        <v>1559376</v>
      </c>
      <c r="J254" s="243">
        <f t="shared" si="11"/>
        <v>0</v>
      </c>
      <c r="K254" s="243">
        <f t="shared" si="12"/>
        <v>0</v>
      </c>
      <c r="L254" s="181"/>
    </row>
    <row r="255" spans="1:12" ht="19.5" customHeight="1">
      <c r="A255" s="240">
        <f t="shared" si="10"/>
        <v>244</v>
      </c>
      <c r="B255" s="249" t="s">
        <v>639</v>
      </c>
      <c r="C255" s="242" t="s">
        <v>262</v>
      </c>
      <c r="D255" s="243"/>
      <c r="E255" s="243"/>
      <c r="F255" s="243">
        <f t="array" ref="F255">SUM(IF("156"&amp;B255=KHN&amp;MH,SL))</f>
        <v>6</v>
      </c>
      <c r="G255" s="243">
        <f t="array" ref="G255">SUM(IF("156"&amp;B255=KHN&amp;MH,TH))</f>
        <v>686700</v>
      </c>
      <c r="H255" s="243">
        <f t="array" ref="H255">SUM(IF("156"&amp;B255=KHC&amp;MH,SL))</f>
        <v>6</v>
      </c>
      <c r="I255" s="243">
        <f t="array" ref="I255">SUM(IF("156"&amp;B255=KHC&amp;MH,TH))</f>
        <v>686700</v>
      </c>
      <c r="J255" s="243">
        <f t="shared" si="11"/>
        <v>0</v>
      </c>
      <c r="K255" s="243">
        <f t="shared" si="12"/>
        <v>0</v>
      </c>
      <c r="L255" s="181"/>
    </row>
    <row r="256" spans="1:12" ht="19.5" customHeight="1">
      <c r="A256" s="240">
        <f t="shared" si="10"/>
        <v>245</v>
      </c>
      <c r="B256" s="249" t="s">
        <v>1057</v>
      </c>
      <c r="C256" s="242" t="s">
        <v>262</v>
      </c>
      <c r="D256" s="243"/>
      <c r="E256" s="243"/>
      <c r="F256" s="243">
        <f t="array" ref="F256">SUM(IF("156"&amp;B256=KHN&amp;MH,SL))</f>
        <v>30</v>
      </c>
      <c r="G256" s="243">
        <f t="array" ref="G256">SUM(IF("156"&amp;B256=KHN&amp;MH,TH))</f>
        <v>2133210</v>
      </c>
      <c r="H256" s="243">
        <f t="array" ref="H256">SUM(IF("156"&amp;B256=KHC&amp;MH,SL))</f>
        <v>30</v>
      </c>
      <c r="I256" s="243">
        <f t="array" ref="I256">SUM(IF("156"&amp;B256=KHC&amp;MH,TH))</f>
        <v>2133210</v>
      </c>
      <c r="J256" s="243">
        <f t="shared" si="11"/>
        <v>0</v>
      </c>
      <c r="K256" s="243">
        <f t="shared" si="12"/>
        <v>0</v>
      </c>
      <c r="L256" s="181"/>
    </row>
    <row r="257" spans="1:12" ht="19.5" customHeight="1">
      <c r="A257" s="240">
        <f t="shared" si="10"/>
        <v>246</v>
      </c>
      <c r="B257" s="249" t="s">
        <v>640</v>
      </c>
      <c r="C257" s="242" t="s">
        <v>262</v>
      </c>
      <c r="D257" s="243"/>
      <c r="E257" s="243"/>
      <c r="F257" s="243">
        <f t="array" ref="F257">SUM(IF("156"&amp;B257=KHN&amp;MH,SL))</f>
        <v>6</v>
      </c>
      <c r="G257" s="243">
        <f t="array" ref="G257">SUM(IF("156"&amp;B257=KHN&amp;MH,TH))</f>
        <v>711245</v>
      </c>
      <c r="H257" s="243">
        <f t="array" ref="H257">SUM(IF("156"&amp;B257=KHC&amp;MH,SL))</f>
        <v>6</v>
      </c>
      <c r="I257" s="243">
        <f t="array" ref="I257">SUM(IF("156"&amp;B257=KHC&amp;MH,TH))</f>
        <v>711245</v>
      </c>
      <c r="J257" s="243">
        <f t="shared" si="11"/>
        <v>0</v>
      </c>
      <c r="K257" s="243">
        <f t="shared" si="12"/>
        <v>0</v>
      </c>
      <c r="L257" s="181"/>
    </row>
    <row r="258" spans="1:12" ht="19.5" customHeight="1">
      <c r="A258" s="240">
        <f t="shared" si="10"/>
        <v>247</v>
      </c>
      <c r="B258" s="250" t="s">
        <v>1487</v>
      </c>
      <c r="C258" s="242"/>
      <c r="D258" s="243"/>
      <c r="E258" s="243"/>
      <c r="F258" s="243">
        <f t="array" ref="F258">SUM(IF("156"&amp;B258=KHN&amp;MH,SL))</f>
        <v>4</v>
      </c>
      <c r="G258" s="243">
        <f t="array" ref="G258">SUM(IF("156"&amp;B258=KHN&amp;MH,TH))</f>
        <v>267388</v>
      </c>
      <c r="H258" s="243">
        <f t="array" ref="H258">SUM(IF("156"&amp;B258=KHC&amp;MH,SL))</f>
        <v>0</v>
      </c>
      <c r="I258" s="243">
        <f t="array" ref="I258">SUM(IF("156"&amp;B258=KHC&amp;MH,TH))</f>
        <v>0</v>
      </c>
      <c r="J258" s="243">
        <f t="shared" si="11"/>
        <v>4</v>
      </c>
      <c r="K258" s="243">
        <f t="shared" si="12"/>
        <v>267388</v>
      </c>
      <c r="L258" s="181"/>
    </row>
    <row r="259" spans="1:12" ht="19.5" customHeight="1">
      <c r="A259" s="240">
        <f t="shared" si="10"/>
        <v>248</v>
      </c>
      <c r="B259" s="250" t="s">
        <v>1488</v>
      </c>
      <c r="C259" s="242"/>
      <c r="D259" s="243"/>
      <c r="E259" s="243"/>
      <c r="F259" s="243">
        <f t="array" ref="F259">SUM(IF("156"&amp;B259=KHN&amp;MH,SL))</f>
        <v>4</v>
      </c>
      <c r="G259" s="243">
        <f t="array" ref="G259">SUM(IF("156"&amp;B259=KHN&amp;MH,TH))</f>
        <v>304580</v>
      </c>
      <c r="H259" s="243">
        <f t="array" ref="H259">SUM(IF("156"&amp;B259=KHC&amp;MH,SL))</f>
        <v>0</v>
      </c>
      <c r="I259" s="243">
        <f t="array" ref="I259">SUM(IF("156"&amp;B259=KHC&amp;MH,TH))</f>
        <v>0</v>
      </c>
      <c r="J259" s="243">
        <f t="shared" si="11"/>
        <v>4</v>
      </c>
      <c r="K259" s="243">
        <f t="shared" si="12"/>
        <v>304580</v>
      </c>
      <c r="L259" s="181"/>
    </row>
    <row r="260" spans="1:12" ht="19.5" customHeight="1">
      <c r="A260" s="240">
        <f t="shared" si="10"/>
        <v>249</v>
      </c>
      <c r="B260" s="249" t="s">
        <v>635</v>
      </c>
      <c r="C260" s="242" t="s">
        <v>262</v>
      </c>
      <c r="D260" s="243"/>
      <c r="E260" s="243"/>
      <c r="F260" s="243">
        <f t="array" ref="F260">SUM(IF("156"&amp;B260=KHN&amp;MH,SL))</f>
        <v>16</v>
      </c>
      <c r="G260" s="243">
        <f t="array" ref="G260">SUM(IF("156"&amp;B260=KHN&amp;MH,TH))</f>
        <v>2172576</v>
      </c>
      <c r="H260" s="243">
        <f t="array" ref="H260">SUM(IF("156"&amp;B260=KHC&amp;MH,SL))</f>
        <v>16</v>
      </c>
      <c r="I260" s="243">
        <f t="array" ref="I260">SUM(IF("156"&amp;B260=KHC&amp;MH,TH))</f>
        <v>2172576</v>
      </c>
      <c r="J260" s="243">
        <f t="shared" si="11"/>
        <v>0</v>
      </c>
      <c r="K260" s="243">
        <f t="shared" si="12"/>
        <v>0</v>
      </c>
      <c r="L260" s="181"/>
    </row>
    <row r="261" spans="1:12" ht="19.5" customHeight="1">
      <c r="A261" s="240">
        <f t="shared" si="10"/>
        <v>250</v>
      </c>
      <c r="B261" s="249" t="s">
        <v>679</v>
      </c>
      <c r="C261" s="242" t="s">
        <v>262</v>
      </c>
      <c r="D261" s="243"/>
      <c r="E261" s="243"/>
      <c r="F261" s="243">
        <f t="array" ref="F261">SUM(IF("156"&amp;B261=KHN&amp;MH,SL))</f>
        <v>116</v>
      </c>
      <c r="G261" s="243">
        <f t="array" ref="G261">SUM(IF("156"&amp;B261=KHN&amp;MH,TH))</f>
        <v>6783152</v>
      </c>
      <c r="H261" s="243">
        <f t="array" ref="H261">SUM(IF("156"&amp;B261=KHC&amp;MH,SL))</f>
        <v>60</v>
      </c>
      <c r="I261" s="243">
        <f t="array" ref="I261">SUM(IF("156"&amp;B261=KHC&amp;MH,TH))</f>
        <v>2693928</v>
      </c>
      <c r="J261" s="243">
        <f t="shared" si="11"/>
        <v>56</v>
      </c>
      <c r="K261" s="243">
        <f t="shared" si="12"/>
        <v>4089224</v>
      </c>
      <c r="L261" s="181"/>
    </row>
    <row r="262" spans="1:12" ht="19.5" customHeight="1">
      <c r="A262" s="240">
        <f t="shared" si="10"/>
        <v>251</v>
      </c>
      <c r="B262" s="250" t="s">
        <v>1642</v>
      </c>
      <c r="C262" s="242"/>
      <c r="D262" s="243"/>
      <c r="E262" s="243"/>
      <c r="F262" s="243">
        <f t="array" ref="F262">SUM(IF("156"&amp;B262=KHN&amp;MH,SL))</f>
        <v>12</v>
      </c>
      <c r="G262" s="243">
        <f t="array" ref="G262">SUM(IF("156"&amp;B262=KHN&amp;MH,TH))</f>
        <v>1188912</v>
      </c>
      <c r="H262" s="243">
        <f t="array" ref="H262">SUM(IF("156"&amp;B262=KHC&amp;MH,SL))</f>
        <v>0</v>
      </c>
      <c r="I262" s="243">
        <f t="array" ref="I262">SUM(IF("156"&amp;B262=KHC&amp;MH,TH))</f>
        <v>0</v>
      </c>
      <c r="J262" s="243">
        <f t="shared" si="11"/>
        <v>12</v>
      </c>
      <c r="K262" s="243">
        <f t="shared" si="12"/>
        <v>1188912</v>
      </c>
      <c r="L262" s="181"/>
    </row>
    <row r="263" spans="1:12" ht="19.5" customHeight="1">
      <c r="A263" s="240">
        <f t="shared" si="10"/>
        <v>252</v>
      </c>
      <c r="B263" s="250" t="s">
        <v>1343</v>
      </c>
      <c r="C263" s="242"/>
      <c r="D263" s="243"/>
      <c r="E263" s="243"/>
      <c r="F263" s="243">
        <f t="array" ref="F263">SUM(IF("156"&amp;B263=KHN&amp;MH,SL))</f>
        <v>53</v>
      </c>
      <c r="G263" s="243">
        <f t="array" ref="G263">SUM(IF("156"&amp;B263=KHN&amp;MH,TH))</f>
        <v>3001373</v>
      </c>
      <c r="H263" s="243">
        <f t="array" ref="H263">SUM(IF("156"&amp;B263=KHC&amp;MH,SL))</f>
        <v>53</v>
      </c>
      <c r="I263" s="243">
        <f t="array" ref="I263">SUM(IF("156"&amp;B263=KHC&amp;MH,TH))</f>
        <v>3001373</v>
      </c>
      <c r="J263" s="243">
        <f t="shared" si="11"/>
        <v>0</v>
      </c>
      <c r="K263" s="243">
        <f t="shared" si="12"/>
        <v>0</v>
      </c>
      <c r="L263" s="181"/>
    </row>
    <row r="264" spans="1:12" ht="19.5" customHeight="1">
      <c r="A264" s="240">
        <f t="shared" si="10"/>
        <v>253</v>
      </c>
      <c r="B264" s="249" t="s">
        <v>660</v>
      </c>
      <c r="C264" s="242" t="s">
        <v>262</v>
      </c>
      <c r="D264" s="243"/>
      <c r="E264" s="243"/>
      <c r="F264" s="243">
        <f t="array" ref="F264">SUM(IF("156"&amp;B264=KHN&amp;MH,SL))</f>
        <v>38</v>
      </c>
      <c r="G264" s="243">
        <f t="array" ref="G264">SUM(IF("156"&amp;B264=KHN&amp;MH,TH))</f>
        <v>3742998</v>
      </c>
      <c r="H264" s="243">
        <f t="array" ref="H264">SUM(IF("156"&amp;B264=KHC&amp;MH,SL))</f>
        <v>28</v>
      </c>
      <c r="I264" s="243">
        <f t="array" ref="I264">SUM(IF("156"&amp;B264=KHC&amp;MH,TH))</f>
        <v>2769928</v>
      </c>
      <c r="J264" s="243">
        <f t="shared" si="11"/>
        <v>10</v>
      </c>
      <c r="K264" s="243">
        <f t="shared" si="12"/>
        <v>973070</v>
      </c>
      <c r="L264" s="181"/>
    </row>
    <row r="265" spans="1:12" ht="19.5" customHeight="1">
      <c r="A265" s="240">
        <f t="shared" si="10"/>
        <v>254</v>
      </c>
      <c r="B265" s="250" t="s">
        <v>1344</v>
      </c>
      <c r="C265" s="242"/>
      <c r="D265" s="243"/>
      <c r="E265" s="243"/>
      <c r="F265" s="243">
        <f t="array" ref="F265">SUM(IF("156"&amp;B265=KHN&amp;MH,SL))</f>
        <v>53</v>
      </c>
      <c r="G265" s="243">
        <f t="array" ref="G265">SUM(IF("156"&amp;B265=KHN&amp;MH,TH))</f>
        <v>3041999</v>
      </c>
      <c r="H265" s="243">
        <f t="array" ref="H265">SUM(IF("156"&amp;B265=KHC&amp;MH,SL))</f>
        <v>53</v>
      </c>
      <c r="I265" s="243">
        <f t="array" ref="I265">SUM(IF("156"&amp;B265=KHC&amp;MH,TH))</f>
        <v>3041999</v>
      </c>
      <c r="J265" s="243">
        <f t="shared" si="11"/>
        <v>0</v>
      </c>
      <c r="K265" s="243">
        <f t="shared" si="12"/>
        <v>0</v>
      </c>
      <c r="L265" s="181"/>
    </row>
    <row r="266" spans="1:12" ht="19.5" customHeight="1">
      <c r="A266" s="240">
        <f t="shared" si="10"/>
        <v>255</v>
      </c>
      <c r="B266" s="247" t="s">
        <v>999</v>
      </c>
      <c r="C266" s="242" t="s">
        <v>262</v>
      </c>
      <c r="D266" s="243"/>
      <c r="E266" s="243"/>
      <c r="F266" s="243">
        <f t="array" ref="F266">SUM(IF("156"&amp;B266=KHN&amp;MH,SL))</f>
        <v>54</v>
      </c>
      <c r="G266" s="243">
        <f t="array" ref="G266">SUM(IF("156"&amp;B266=KHN&amp;MH,TH))</f>
        <v>4104288</v>
      </c>
      <c r="H266" s="243">
        <f t="array" ref="H266">SUM(IF("156"&amp;B266=KHC&amp;MH,SL))</f>
        <v>34</v>
      </c>
      <c r="I266" s="243">
        <f t="array" ref="I266">SUM(IF("156"&amp;B266=KHC&amp;MH,TH))</f>
        <v>2453008</v>
      </c>
      <c r="J266" s="243">
        <f t="shared" si="11"/>
        <v>20</v>
      </c>
      <c r="K266" s="243">
        <f t="shared" si="12"/>
        <v>1651280</v>
      </c>
      <c r="L266" s="181"/>
    </row>
    <row r="267" spans="1:12" ht="19.5" customHeight="1">
      <c r="A267" s="240">
        <f t="shared" si="10"/>
        <v>256</v>
      </c>
      <c r="B267" s="249" t="s">
        <v>632</v>
      </c>
      <c r="C267" s="242" t="s">
        <v>262</v>
      </c>
      <c r="D267" s="243"/>
      <c r="E267" s="243"/>
      <c r="F267" s="243">
        <f t="array" ref="F267">SUM(IF("156"&amp;B267=KHN&amp;MH,SL))</f>
        <v>10</v>
      </c>
      <c r="G267" s="243">
        <f t="array" ref="G267">SUM(IF("156"&amp;B267=KHN&amp;MH,TH))</f>
        <v>538730</v>
      </c>
      <c r="H267" s="243">
        <f t="array" ref="H267">SUM(IF("156"&amp;B267=KHC&amp;MH,SL))</f>
        <v>10</v>
      </c>
      <c r="I267" s="243">
        <f t="array" ref="I267">SUM(IF("156"&amp;B267=KHC&amp;MH,TH))</f>
        <v>538730</v>
      </c>
      <c r="J267" s="243">
        <f t="shared" si="11"/>
        <v>0</v>
      </c>
      <c r="K267" s="243">
        <f t="shared" si="12"/>
        <v>0</v>
      </c>
      <c r="L267" s="181"/>
    </row>
    <row r="268" spans="1:12" ht="19.5" customHeight="1">
      <c r="A268" s="240">
        <f t="shared" ref="A268:A331" si="13">IF(B268&lt;&gt;"",ROW()-11,"")</f>
        <v>257</v>
      </c>
      <c r="B268" s="250" t="s">
        <v>1387</v>
      </c>
      <c r="C268" s="242"/>
      <c r="D268" s="243"/>
      <c r="E268" s="243"/>
      <c r="F268" s="243">
        <f t="array" ref="F268">SUM(IF("156"&amp;B268=KHN&amp;MH,SL))</f>
        <v>5</v>
      </c>
      <c r="G268" s="243">
        <f t="array" ref="G268">SUM(IF("156"&amp;B268=KHN&amp;MH,TH))</f>
        <v>500900</v>
      </c>
      <c r="H268" s="243">
        <f t="array" ref="H268">SUM(IF("156"&amp;B268=KHC&amp;MH,SL))</f>
        <v>0</v>
      </c>
      <c r="I268" s="243">
        <f t="array" ref="I268">SUM(IF("156"&amp;B268=KHC&amp;MH,TH))</f>
        <v>0</v>
      </c>
      <c r="J268" s="243">
        <f t="shared" ref="J268:J331" si="14">D268+F268-H268</f>
        <v>5</v>
      </c>
      <c r="K268" s="243">
        <f t="shared" ref="K268:K331" si="15">E268+G268-I268</f>
        <v>500900</v>
      </c>
      <c r="L268" s="181"/>
    </row>
    <row r="269" spans="1:12" ht="19.5" customHeight="1">
      <c r="A269" s="240">
        <f t="shared" si="13"/>
        <v>258</v>
      </c>
      <c r="B269" s="250" t="s">
        <v>1490</v>
      </c>
      <c r="C269" s="242"/>
      <c r="D269" s="243"/>
      <c r="E269" s="243"/>
      <c r="F269" s="243">
        <f t="array" ref="F269">SUM(IF("156"&amp;B269=KHN&amp;MH,SL))</f>
        <v>8</v>
      </c>
      <c r="G269" s="243">
        <f t="array" ref="G269">SUM(IF("156"&amp;B269=KHN&amp;MH,TH))</f>
        <v>1031104</v>
      </c>
      <c r="H269" s="243">
        <f t="array" ref="H269">SUM(IF("156"&amp;B269=KHC&amp;MH,SL))</f>
        <v>0</v>
      </c>
      <c r="I269" s="243">
        <f t="array" ref="I269">SUM(IF("156"&amp;B269=KHC&amp;MH,TH))</f>
        <v>0</v>
      </c>
      <c r="J269" s="243">
        <f t="shared" si="14"/>
        <v>8</v>
      </c>
      <c r="K269" s="243">
        <f t="shared" si="15"/>
        <v>1031104</v>
      </c>
      <c r="L269" s="181"/>
    </row>
    <row r="270" spans="1:12" ht="19.5" customHeight="1">
      <c r="A270" s="240">
        <f t="shared" si="13"/>
        <v>259</v>
      </c>
      <c r="B270" s="249" t="s">
        <v>799</v>
      </c>
      <c r="C270" s="242" t="s">
        <v>262</v>
      </c>
      <c r="D270" s="243"/>
      <c r="E270" s="243"/>
      <c r="F270" s="243">
        <f t="array" ref="F270">SUM(IF("156"&amp;B270=KHN&amp;MH,SL))</f>
        <v>20</v>
      </c>
      <c r="G270" s="243">
        <f t="array" ref="G270">SUM(IF("156"&amp;B270=KHN&amp;MH,TH))</f>
        <v>849080</v>
      </c>
      <c r="H270" s="243">
        <f t="array" ref="H270">SUM(IF("156"&amp;B270=KHC&amp;MH,SL))</f>
        <v>20</v>
      </c>
      <c r="I270" s="243">
        <f t="array" ref="I270">SUM(IF("156"&amp;B270=KHC&amp;MH,TH))</f>
        <v>849080</v>
      </c>
      <c r="J270" s="243">
        <f t="shared" si="14"/>
        <v>0</v>
      </c>
      <c r="K270" s="243">
        <f t="shared" si="15"/>
        <v>0</v>
      </c>
      <c r="L270" s="181"/>
    </row>
    <row r="271" spans="1:12" ht="19.5" customHeight="1">
      <c r="A271" s="240">
        <f t="shared" si="13"/>
        <v>260</v>
      </c>
      <c r="B271" s="249" t="s">
        <v>693</v>
      </c>
      <c r="C271" s="242" t="s">
        <v>262</v>
      </c>
      <c r="D271" s="243"/>
      <c r="E271" s="243"/>
      <c r="F271" s="243">
        <f t="array" ref="F271">SUM(IF("156"&amp;B271=KHN&amp;MH,SL))</f>
        <v>56</v>
      </c>
      <c r="G271" s="243">
        <f t="array" ref="G271">SUM(IF("156"&amp;B271=KHN&amp;MH,TH))</f>
        <v>5664228</v>
      </c>
      <c r="H271" s="243">
        <f t="array" ref="H271">SUM(IF("156"&amp;B271=KHC&amp;MH,SL))</f>
        <v>26</v>
      </c>
      <c r="I271" s="243">
        <f t="array" ref="I271">SUM(IF("156"&amp;B271=KHC&amp;MH,TH))</f>
        <v>2636868</v>
      </c>
      <c r="J271" s="243">
        <f t="shared" si="14"/>
        <v>30</v>
      </c>
      <c r="K271" s="243">
        <f t="shared" si="15"/>
        <v>3027360</v>
      </c>
      <c r="L271" s="181"/>
    </row>
    <row r="272" spans="1:12" ht="19.5" customHeight="1">
      <c r="A272" s="240">
        <f t="shared" si="13"/>
        <v>261</v>
      </c>
      <c r="B272" s="249" t="s">
        <v>636</v>
      </c>
      <c r="C272" s="242" t="s">
        <v>262</v>
      </c>
      <c r="D272" s="243"/>
      <c r="E272" s="243"/>
      <c r="F272" s="243">
        <f t="array" ref="F272">SUM(IF("156"&amp;B272=KHN&amp;MH,SL))</f>
        <v>16</v>
      </c>
      <c r="G272" s="243">
        <f t="array" ref="G272">SUM(IF("156"&amp;B272=KHN&amp;MH,TH))</f>
        <v>937440</v>
      </c>
      <c r="H272" s="243">
        <f t="array" ref="H272">SUM(IF("156"&amp;B272=KHC&amp;MH,SL))</f>
        <v>16</v>
      </c>
      <c r="I272" s="243">
        <f t="array" ref="I272">SUM(IF("156"&amp;B272=KHC&amp;MH,TH))</f>
        <v>937440</v>
      </c>
      <c r="J272" s="243">
        <f t="shared" si="14"/>
        <v>0</v>
      </c>
      <c r="K272" s="243">
        <f t="shared" si="15"/>
        <v>0</v>
      </c>
      <c r="L272" s="181"/>
    </row>
    <row r="273" spans="1:12" ht="19.5" customHeight="1">
      <c r="A273" s="240">
        <f t="shared" si="13"/>
        <v>262</v>
      </c>
      <c r="B273" s="250" t="s">
        <v>1436</v>
      </c>
      <c r="C273" s="242"/>
      <c r="D273" s="243"/>
      <c r="E273" s="243"/>
      <c r="F273" s="243">
        <f t="array" ref="F273">SUM(IF("156"&amp;B273=KHN&amp;MH,SL))</f>
        <v>620</v>
      </c>
      <c r="G273" s="243">
        <f t="array" ref="G273">SUM(IF("156"&amp;B273=KHN&amp;MH,TH))</f>
        <v>8024040</v>
      </c>
      <c r="H273" s="243">
        <f t="array" ref="H273">SUM(IF("156"&amp;B273=KHC&amp;MH,SL))</f>
        <v>0</v>
      </c>
      <c r="I273" s="243">
        <f t="array" ref="I273">SUM(IF("156"&amp;B273=KHC&amp;MH,TH))</f>
        <v>0</v>
      </c>
      <c r="J273" s="243">
        <f t="shared" si="14"/>
        <v>620</v>
      </c>
      <c r="K273" s="243">
        <f t="shared" si="15"/>
        <v>8024040</v>
      </c>
      <c r="L273" s="181"/>
    </row>
    <row r="274" spans="1:12" ht="19.5" customHeight="1">
      <c r="A274" s="240">
        <f t="shared" si="13"/>
        <v>263</v>
      </c>
      <c r="B274" s="250" t="s">
        <v>1234</v>
      </c>
      <c r="C274" s="242" t="s">
        <v>262</v>
      </c>
      <c r="D274" s="243"/>
      <c r="E274" s="243"/>
      <c r="F274" s="243">
        <f t="array" ref="F274">SUM(IF("156"&amp;B274=KHN&amp;MH,SL))</f>
        <v>17</v>
      </c>
      <c r="G274" s="243">
        <f t="array" ref="G274">SUM(IF("156"&amp;B274=KHN&amp;MH,TH))</f>
        <v>1812226</v>
      </c>
      <c r="H274" s="243">
        <f t="array" ref="H274">SUM(IF("156"&amp;B274=KHC&amp;MH,SL))</f>
        <v>6</v>
      </c>
      <c r="I274" s="243">
        <f t="array" ref="I274">SUM(IF("156"&amp;B274=KHC&amp;MH,TH))</f>
        <v>652650</v>
      </c>
      <c r="J274" s="243">
        <f t="shared" si="14"/>
        <v>11</v>
      </c>
      <c r="K274" s="243">
        <f t="shared" si="15"/>
        <v>1159576</v>
      </c>
      <c r="L274" s="181"/>
    </row>
    <row r="275" spans="1:12" ht="19.5" customHeight="1">
      <c r="A275" s="240">
        <f t="shared" si="13"/>
        <v>264</v>
      </c>
      <c r="B275" s="250" t="s">
        <v>1340</v>
      </c>
      <c r="C275" s="242"/>
      <c r="D275" s="243"/>
      <c r="E275" s="243"/>
      <c r="F275" s="243">
        <f t="array" ref="F275">SUM(IF("156"&amp;B275=KHN&amp;MH,SL))</f>
        <v>600</v>
      </c>
      <c r="G275" s="243">
        <f t="array" ref="G275">SUM(IF("156"&amp;B275=KHN&amp;MH,TH))</f>
        <v>9699600</v>
      </c>
      <c r="H275" s="243">
        <f t="array" ref="H275">SUM(IF("156"&amp;B275=KHC&amp;MH,SL))</f>
        <v>600</v>
      </c>
      <c r="I275" s="243">
        <f t="array" ref="I275">SUM(IF("156"&amp;B275=KHC&amp;MH,TH))</f>
        <v>9699600</v>
      </c>
      <c r="J275" s="243">
        <f t="shared" si="14"/>
        <v>0</v>
      </c>
      <c r="K275" s="243">
        <f t="shared" si="15"/>
        <v>0</v>
      </c>
      <c r="L275" s="181"/>
    </row>
    <row r="276" spans="1:12" ht="19.5" customHeight="1">
      <c r="A276" s="240">
        <f t="shared" si="13"/>
        <v>265</v>
      </c>
      <c r="B276" s="250" t="s">
        <v>1321</v>
      </c>
      <c r="C276" s="242"/>
      <c r="D276" s="243"/>
      <c r="E276" s="243"/>
      <c r="F276" s="243">
        <f t="array" ref="F276">SUM(IF("156"&amp;B276=KHN&amp;MH,SL))</f>
        <v>1505</v>
      </c>
      <c r="G276" s="243">
        <f t="array" ref="G276">SUM(IF("156"&amp;B276=KHN&amp;MH,TH))</f>
        <v>14157535</v>
      </c>
      <c r="H276" s="243">
        <f t="array" ref="H276">SUM(IF("156"&amp;B276=KHC&amp;MH,SL))</f>
        <v>1252</v>
      </c>
      <c r="I276" s="243">
        <f t="array" ref="I276">SUM(IF("156"&amp;B276=KHC&amp;MH,TH))</f>
        <v>12707800</v>
      </c>
      <c r="J276" s="243">
        <f t="shared" si="14"/>
        <v>253</v>
      </c>
      <c r="K276" s="243">
        <f t="shared" si="15"/>
        <v>1449735</v>
      </c>
      <c r="L276" s="181"/>
    </row>
    <row r="277" spans="1:12" ht="19.5" customHeight="1">
      <c r="A277" s="240">
        <f t="shared" si="13"/>
        <v>266</v>
      </c>
      <c r="B277" s="250" t="s">
        <v>1594</v>
      </c>
      <c r="C277" s="242"/>
      <c r="D277" s="243"/>
      <c r="E277" s="243"/>
      <c r="F277" s="243">
        <f t="array" ref="F277">SUM(IF("156"&amp;B277=KHN&amp;MH,SL))</f>
        <v>1252</v>
      </c>
      <c r="G277" s="243">
        <f t="array" ref="G277">SUM(IF("156"&amp;B277=KHN&amp;MH,TH))</f>
        <v>12707800</v>
      </c>
      <c r="H277" s="243">
        <f t="array" ref="H277">SUM(IF("156"&amp;B277=KHC&amp;MH,SL))</f>
        <v>0</v>
      </c>
      <c r="I277" s="243">
        <f t="array" ref="I277">SUM(IF("156"&amp;B277=KHC&amp;MH,TH))</f>
        <v>0</v>
      </c>
      <c r="J277" s="243">
        <f t="shared" si="14"/>
        <v>1252</v>
      </c>
      <c r="K277" s="243">
        <f t="shared" si="15"/>
        <v>12707800</v>
      </c>
      <c r="L277" s="181"/>
    </row>
    <row r="278" spans="1:12" ht="19.5" customHeight="1">
      <c r="A278" s="240">
        <f t="shared" si="13"/>
        <v>267</v>
      </c>
      <c r="B278" s="250" t="s">
        <v>1308</v>
      </c>
      <c r="C278" s="242"/>
      <c r="D278" s="243"/>
      <c r="E278" s="243"/>
      <c r="F278" s="243">
        <f t="array" ref="F278">SUM(IF("156"&amp;B278=KHN&amp;MH,SL))</f>
        <v>2335</v>
      </c>
      <c r="G278" s="243">
        <f t="array" ref="G278">SUM(IF("156"&amp;B278=KHN&amp;MH,TH))</f>
        <v>24572375</v>
      </c>
      <c r="H278" s="243">
        <f t="array" ref="H278">SUM(IF("156"&amp;B278=KHC&amp;MH,SL))</f>
        <v>60</v>
      </c>
      <c r="I278" s="243">
        <f t="array" ref="I278">SUM(IF("156"&amp;B278=KHC&amp;MH,TH))</f>
        <v>848940</v>
      </c>
      <c r="J278" s="243">
        <f t="shared" si="14"/>
        <v>2275</v>
      </c>
      <c r="K278" s="243">
        <f t="shared" si="15"/>
        <v>23723435</v>
      </c>
      <c r="L278" s="181"/>
    </row>
    <row r="279" spans="1:12" ht="19.5" customHeight="1">
      <c r="A279" s="240">
        <f t="shared" si="13"/>
        <v>268</v>
      </c>
      <c r="B279" s="250" t="s">
        <v>1324</v>
      </c>
      <c r="C279" s="242"/>
      <c r="D279" s="243"/>
      <c r="E279" s="243"/>
      <c r="F279" s="243">
        <f t="array" ref="F279">SUM(IF("156"&amp;B279=KHN&amp;MH,SL))</f>
        <v>0</v>
      </c>
      <c r="G279" s="243">
        <f t="array" ref="G279">SUM(IF("156"&amp;B279=KHN&amp;MH,TH))</f>
        <v>0</v>
      </c>
      <c r="H279" s="243">
        <f t="array" ref="H279">SUM(IF("156"&amp;B279=KHC&amp;MH,SL))</f>
        <v>130</v>
      </c>
      <c r="I279" s="243">
        <f t="array" ref="I279">SUM(IF("156"&amp;B279=KHC&amp;MH,TH))</f>
        <v>1170000</v>
      </c>
      <c r="J279" s="243">
        <f t="shared" si="14"/>
        <v>-130</v>
      </c>
      <c r="K279" s="243">
        <f t="shared" si="15"/>
        <v>-1170000</v>
      </c>
      <c r="L279" s="181"/>
    </row>
    <row r="280" spans="1:12" ht="19.5" customHeight="1">
      <c r="A280" s="240">
        <f t="shared" si="13"/>
        <v>269</v>
      </c>
      <c r="B280" s="250" t="s">
        <v>1316</v>
      </c>
      <c r="C280" s="242"/>
      <c r="D280" s="243"/>
      <c r="E280" s="243"/>
      <c r="F280" s="243">
        <f t="array" ref="F280">SUM(IF("156"&amp;B280=KHN&amp;MH,SL))</f>
        <v>1275</v>
      </c>
      <c r="G280" s="243">
        <f t="array" ref="G280">SUM(IF("156"&amp;B280=KHN&amp;MH,TH))</f>
        <v>13556100</v>
      </c>
      <c r="H280" s="243">
        <f t="array" ref="H280">SUM(IF("156"&amp;B280=KHC&amp;MH,SL))</f>
        <v>2170</v>
      </c>
      <c r="I280" s="243">
        <f t="array" ref="I280">SUM(IF("156"&amp;B280=KHC&amp;MH,TH))</f>
        <v>24557000</v>
      </c>
      <c r="J280" s="243">
        <f t="shared" si="14"/>
        <v>-895</v>
      </c>
      <c r="K280" s="243">
        <f t="shared" si="15"/>
        <v>-11000900</v>
      </c>
      <c r="L280" s="181"/>
    </row>
    <row r="281" spans="1:12" ht="19.5" customHeight="1">
      <c r="A281" s="240">
        <f t="shared" si="13"/>
        <v>270</v>
      </c>
      <c r="B281" s="250" t="s">
        <v>1679</v>
      </c>
      <c r="C281" s="242"/>
      <c r="D281" s="243"/>
      <c r="E281" s="243"/>
      <c r="F281" s="243">
        <f t="array" ref="F281">SUM(IF("156"&amp;B281=KHN&amp;MH,SL))</f>
        <v>1450</v>
      </c>
      <c r="G281" s="243">
        <f t="array" ref="G281">SUM(IF("156"&amp;B281=KHN&amp;MH,TH))</f>
        <v>16206650</v>
      </c>
      <c r="H281" s="243">
        <f t="array" ref="H281">SUM(IF("156"&amp;B281=KHC&amp;MH,SL))</f>
        <v>0</v>
      </c>
      <c r="I281" s="243">
        <f t="array" ref="I281">SUM(IF("156"&amp;B281=KHC&amp;MH,TH))</f>
        <v>0</v>
      </c>
      <c r="J281" s="243">
        <f t="shared" si="14"/>
        <v>1450</v>
      </c>
      <c r="K281" s="243">
        <f t="shared" si="15"/>
        <v>16206650</v>
      </c>
      <c r="L281" s="181"/>
    </row>
    <row r="282" spans="1:12" ht="19.5" customHeight="1">
      <c r="A282" s="240">
        <f t="shared" si="13"/>
        <v>271</v>
      </c>
      <c r="B282" s="250" t="s">
        <v>1597</v>
      </c>
      <c r="C282" s="242"/>
      <c r="D282" s="243"/>
      <c r="E282" s="243"/>
      <c r="F282" s="243">
        <f t="array" ref="F282">SUM(IF("156"&amp;B282=KHN&amp;MH,SL))</f>
        <v>130</v>
      </c>
      <c r="G282" s="243">
        <f t="array" ref="G282">SUM(IF("156"&amp;B282=KHN&amp;MH,TH))</f>
        <v>1170000</v>
      </c>
      <c r="H282" s="243">
        <f t="array" ref="H282">SUM(IF("156"&amp;B282=KHC&amp;MH,SL))</f>
        <v>0</v>
      </c>
      <c r="I282" s="243">
        <f t="array" ref="I282">SUM(IF("156"&amp;B282=KHC&amp;MH,TH))</f>
        <v>0</v>
      </c>
      <c r="J282" s="243">
        <f t="shared" si="14"/>
        <v>130</v>
      </c>
      <c r="K282" s="243">
        <f t="shared" si="15"/>
        <v>1170000</v>
      </c>
      <c r="L282" s="181"/>
    </row>
    <row r="283" spans="1:12" ht="19.5" customHeight="1">
      <c r="A283" s="240">
        <f t="shared" si="13"/>
        <v>272</v>
      </c>
      <c r="B283" s="250" t="s">
        <v>1596</v>
      </c>
      <c r="C283" s="242"/>
      <c r="D283" s="243"/>
      <c r="E283" s="243"/>
      <c r="F283" s="243">
        <f t="array" ref="F283">SUM(IF("156"&amp;B283=KHN&amp;MH,SL))</f>
        <v>2555</v>
      </c>
      <c r="G283" s="243">
        <f t="array" ref="G283">SUM(IF("156"&amp;B283=KHN&amp;MH,TH))</f>
        <v>27012640</v>
      </c>
      <c r="H283" s="243">
        <f t="array" ref="H283">SUM(IF("156"&amp;B283=KHC&amp;MH,SL))</f>
        <v>0</v>
      </c>
      <c r="I283" s="243">
        <f t="array" ref="I283">SUM(IF("156"&amp;B283=KHC&amp;MH,TH))</f>
        <v>0</v>
      </c>
      <c r="J283" s="243">
        <f t="shared" si="14"/>
        <v>2555</v>
      </c>
      <c r="K283" s="243">
        <f t="shared" si="15"/>
        <v>27012640</v>
      </c>
      <c r="L283" s="181"/>
    </row>
    <row r="284" spans="1:12" ht="19.5" customHeight="1">
      <c r="A284" s="240">
        <f t="shared" si="13"/>
        <v>273</v>
      </c>
      <c r="B284" s="250" t="s">
        <v>1595</v>
      </c>
      <c r="C284" s="242"/>
      <c r="D284" s="243"/>
      <c r="E284" s="243"/>
      <c r="F284" s="243">
        <f t="array" ref="F284">SUM(IF("156"&amp;B284=KHN&amp;MH,SL))</f>
        <v>1320</v>
      </c>
      <c r="G284" s="243">
        <f t="array" ref="G284">SUM(IF("156"&amp;B284=KHN&amp;MH,TH))</f>
        <v>15972000</v>
      </c>
      <c r="H284" s="243">
        <f t="array" ref="H284">SUM(IF("156"&amp;B284=KHC&amp;MH,SL))</f>
        <v>0</v>
      </c>
      <c r="I284" s="243">
        <f t="array" ref="I284">SUM(IF("156"&amp;B284=KHC&amp;MH,TH))</f>
        <v>0</v>
      </c>
      <c r="J284" s="243">
        <f t="shared" si="14"/>
        <v>1320</v>
      </c>
      <c r="K284" s="243">
        <f t="shared" si="15"/>
        <v>15972000</v>
      </c>
      <c r="L284" s="181"/>
    </row>
    <row r="285" spans="1:12" ht="19.5" customHeight="1">
      <c r="A285" s="240">
        <f t="shared" si="13"/>
        <v>274</v>
      </c>
      <c r="B285" s="250" t="s">
        <v>1673</v>
      </c>
      <c r="C285" s="242"/>
      <c r="D285" s="243"/>
      <c r="E285" s="243"/>
      <c r="F285" s="243">
        <f t="array" ref="F285">SUM(IF("156"&amp;B285=KHN&amp;MH,SL))</f>
        <v>6</v>
      </c>
      <c r="G285" s="243">
        <f t="array" ref="G285">SUM(IF("156"&amp;B285=KHN&amp;MH,TH))</f>
        <v>1117548</v>
      </c>
      <c r="H285" s="243">
        <f t="array" ref="H285">SUM(IF("156"&amp;B285=KHC&amp;MH,SL))</f>
        <v>0</v>
      </c>
      <c r="I285" s="243">
        <f t="array" ref="I285">SUM(IF("156"&amp;B285=KHC&amp;MH,TH))</f>
        <v>0</v>
      </c>
      <c r="J285" s="243">
        <f t="shared" si="14"/>
        <v>6</v>
      </c>
      <c r="K285" s="243">
        <f t="shared" si="15"/>
        <v>1117548</v>
      </c>
      <c r="L285" s="181"/>
    </row>
    <row r="286" spans="1:12" ht="19.5" customHeight="1">
      <c r="A286" s="240">
        <f t="shared" si="13"/>
        <v>275</v>
      </c>
      <c r="B286" s="250" t="s">
        <v>1637</v>
      </c>
      <c r="C286" s="555"/>
      <c r="D286" s="243"/>
      <c r="E286" s="243"/>
      <c r="F286" s="243">
        <f t="array" ref="F286">SUM(IF("156"&amp;B286=KHN&amp;MH,SL))</f>
        <v>9</v>
      </c>
      <c r="G286" s="243">
        <f t="array" ref="G286">SUM(IF("156"&amp;B286=KHN&amp;MH,TH))</f>
        <v>1687212</v>
      </c>
      <c r="H286" s="243">
        <f t="array" ref="H286">SUM(IF("156"&amp;B286=KHC&amp;MH,SL))</f>
        <v>0</v>
      </c>
      <c r="I286" s="243">
        <f t="array" ref="I286">SUM(IF("156"&amp;B286=KHC&amp;MH,TH))</f>
        <v>0</v>
      </c>
      <c r="J286" s="243">
        <f t="shared" si="14"/>
        <v>9</v>
      </c>
      <c r="K286" s="243">
        <f t="shared" si="15"/>
        <v>1687212</v>
      </c>
      <c r="L286" s="181"/>
    </row>
    <row r="287" spans="1:12" ht="19.5" customHeight="1">
      <c r="A287" s="240">
        <f t="shared" si="13"/>
        <v>276</v>
      </c>
      <c r="B287" s="249" t="s">
        <v>682</v>
      </c>
      <c r="C287" s="242" t="s">
        <v>262</v>
      </c>
      <c r="D287" s="243"/>
      <c r="E287" s="243"/>
      <c r="F287" s="243">
        <f t="array" ref="F287">SUM(IF("156"&amp;B287=KHN&amp;MH,SL))</f>
        <v>3</v>
      </c>
      <c r="G287" s="243">
        <f t="array" ref="G287">SUM(IF("156"&amp;B287=KHN&amp;MH,TH))</f>
        <v>433476</v>
      </c>
      <c r="H287" s="243">
        <f t="array" ref="H287">SUM(IF("156"&amp;B287=KHC&amp;MH,SL))</f>
        <v>3</v>
      </c>
      <c r="I287" s="243">
        <f t="array" ref="I287">SUM(IF("156"&amp;B287=KHC&amp;MH,TH))</f>
        <v>433476</v>
      </c>
      <c r="J287" s="243">
        <f t="shared" si="14"/>
        <v>0</v>
      </c>
      <c r="K287" s="243">
        <f t="shared" si="15"/>
        <v>0</v>
      </c>
      <c r="L287" s="181"/>
    </row>
    <row r="288" spans="1:12" ht="19.5" customHeight="1">
      <c r="A288" s="240">
        <f t="shared" si="13"/>
        <v>277</v>
      </c>
      <c r="B288" s="250" t="s">
        <v>1492</v>
      </c>
      <c r="C288" s="242"/>
      <c r="D288" s="243"/>
      <c r="E288" s="243"/>
      <c r="F288" s="243">
        <f t="array" ref="F288">SUM(IF("156"&amp;B288=KHN&amp;MH,SL))</f>
        <v>8</v>
      </c>
      <c r="G288" s="243">
        <f t="array" ref="G288">SUM(IF("156"&amp;B288=KHN&amp;MH,TH))</f>
        <v>1249416</v>
      </c>
      <c r="H288" s="243">
        <f t="array" ref="H288">SUM(IF("156"&amp;B288=KHC&amp;MH,SL))</f>
        <v>0</v>
      </c>
      <c r="I288" s="243">
        <f t="array" ref="I288">SUM(IF("156"&amp;B288=KHC&amp;MH,TH))</f>
        <v>0</v>
      </c>
      <c r="J288" s="243">
        <f t="shared" si="14"/>
        <v>8</v>
      </c>
      <c r="K288" s="243">
        <f t="shared" si="15"/>
        <v>1249416</v>
      </c>
      <c r="L288" s="181"/>
    </row>
    <row r="289" spans="1:12" ht="19.5" customHeight="1">
      <c r="A289" s="240">
        <f t="shared" si="13"/>
        <v>278</v>
      </c>
      <c r="B289" s="249" t="s">
        <v>643</v>
      </c>
      <c r="C289" s="242" t="s">
        <v>262</v>
      </c>
      <c r="D289" s="243"/>
      <c r="E289" s="243"/>
      <c r="F289" s="243">
        <f t="array" ref="F289">SUM(IF("156"&amp;B289=KHN&amp;MH,SL))</f>
        <v>49</v>
      </c>
      <c r="G289" s="243">
        <f t="array" ref="G289">SUM(IF("156"&amp;B289=KHN&amp;MH,TH))</f>
        <v>4390439</v>
      </c>
      <c r="H289" s="243">
        <f t="array" ref="H289">SUM(IF("156"&amp;B289=KHC&amp;MH,SL))</f>
        <v>36</v>
      </c>
      <c r="I289" s="243">
        <f t="array" ref="I289">SUM(IF("156"&amp;B289=KHC&amp;MH,TH))</f>
        <v>3214888</v>
      </c>
      <c r="J289" s="243">
        <f t="shared" si="14"/>
        <v>13</v>
      </c>
      <c r="K289" s="243">
        <f t="shared" si="15"/>
        <v>1175551</v>
      </c>
      <c r="L289" s="181"/>
    </row>
    <row r="290" spans="1:12" ht="19.5" customHeight="1">
      <c r="A290" s="240">
        <f t="shared" si="13"/>
        <v>279</v>
      </c>
      <c r="B290" s="250" t="s">
        <v>1666</v>
      </c>
      <c r="C290" s="242"/>
      <c r="D290" s="243"/>
      <c r="E290" s="243"/>
      <c r="F290" s="243">
        <f t="array" ref="F290">SUM(IF("156"&amp;B290=KHN&amp;MH,SL))</f>
        <v>6</v>
      </c>
      <c r="G290" s="243">
        <f t="array" ref="G290">SUM(IF("156"&amp;B290=KHN&amp;MH,TH))</f>
        <v>576156</v>
      </c>
      <c r="H290" s="243">
        <f t="array" ref="H290">SUM(IF("156"&amp;B290=KHC&amp;MH,SL))</f>
        <v>0</v>
      </c>
      <c r="I290" s="243">
        <f t="array" ref="I290">SUM(IF("156"&amp;B290=KHC&amp;MH,TH))</f>
        <v>0</v>
      </c>
      <c r="J290" s="243">
        <f t="shared" si="14"/>
        <v>6</v>
      </c>
      <c r="K290" s="243">
        <f t="shared" si="15"/>
        <v>576156</v>
      </c>
      <c r="L290" s="181"/>
    </row>
    <row r="291" spans="1:12" ht="19.5" customHeight="1">
      <c r="A291" s="240">
        <f t="shared" si="13"/>
        <v>280</v>
      </c>
      <c r="B291" s="250" t="s">
        <v>1394</v>
      </c>
      <c r="C291" s="242"/>
      <c r="D291" s="243"/>
      <c r="E291" s="243"/>
      <c r="F291" s="243">
        <f t="array" ref="F291">SUM(IF("156"&amp;B291=KHN&amp;MH,SL))</f>
        <v>0</v>
      </c>
      <c r="G291" s="243">
        <f t="array" ref="G291">SUM(IF("156"&amp;B291=KHN&amp;MH,TH))</f>
        <v>0</v>
      </c>
      <c r="H291" s="243">
        <f t="array" ref="H291">SUM(IF("156"&amp;B291=KHC&amp;MH,SL))</f>
        <v>0</v>
      </c>
      <c r="I291" s="243">
        <f t="array" ref="I291">SUM(IF("156"&amp;B291=KHC&amp;MH,TH))</f>
        <v>0</v>
      </c>
      <c r="J291" s="243">
        <f t="shared" si="14"/>
        <v>0</v>
      </c>
      <c r="K291" s="243">
        <f t="shared" si="15"/>
        <v>0</v>
      </c>
      <c r="L291" s="181"/>
    </row>
    <row r="292" spans="1:12" ht="19.5" customHeight="1">
      <c r="A292" s="240">
        <f t="shared" si="13"/>
        <v>281</v>
      </c>
      <c r="B292" s="250" t="s">
        <v>1238</v>
      </c>
      <c r="C292" s="242" t="s">
        <v>262</v>
      </c>
      <c r="D292" s="243"/>
      <c r="E292" s="243"/>
      <c r="F292" s="243">
        <f t="array" ref="F292">SUM(IF("156"&amp;B292=KHN&amp;MH,SL))</f>
        <v>8</v>
      </c>
      <c r="G292" s="243">
        <f t="array" ref="G292">SUM(IF("156"&amp;B292=KHN&amp;MH,TH))</f>
        <v>747752</v>
      </c>
      <c r="H292" s="243">
        <f t="array" ref="H292">SUM(IF("156"&amp;B292=KHC&amp;MH,SL))</f>
        <v>8</v>
      </c>
      <c r="I292" s="243">
        <f t="array" ref="I292">SUM(IF("156"&amp;B292=KHC&amp;MH,TH))</f>
        <v>747752</v>
      </c>
      <c r="J292" s="243">
        <f t="shared" si="14"/>
        <v>0</v>
      </c>
      <c r="K292" s="243">
        <f t="shared" si="15"/>
        <v>0</v>
      </c>
      <c r="L292" s="181"/>
    </row>
    <row r="293" spans="1:12" ht="19.5" customHeight="1">
      <c r="A293" s="240">
        <f t="shared" si="13"/>
        <v>282</v>
      </c>
      <c r="B293" s="249" t="s">
        <v>692</v>
      </c>
      <c r="C293" s="242" t="s">
        <v>262</v>
      </c>
      <c r="D293" s="243"/>
      <c r="E293" s="243"/>
      <c r="F293" s="243">
        <f t="array" ref="F293">SUM(IF("156"&amp;B293=KHN&amp;MH,SL))</f>
        <v>51</v>
      </c>
      <c r="G293" s="243">
        <f t="array" ref="G293">SUM(IF("156"&amp;B293=KHN&amp;MH,TH))</f>
        <v>9454580</v>
      </c>
      <c r="H293" s="243">
        <f t="array" ref="H293">SUM(IF("156"&amp;B293=KHC&amp;MH,SL))</f>
        <v>51</v>
      </c>
      <c r="I293" s="243">
        <f t="array" ref="I293">SUM(IF("156"&amp;B293=KHC&amp;MH,TH))</f>
        <v>9454580</v>
      </c>
      <c r="J293" s="243">
        <f t="shared" si="14"/>
        <v>0</v>
      </c>
      <c r="K293" s="243">
        <f t="shared" si="15"/>
        <v>0</v>
      </c>
      <c r="L293" s="181"/>
    </row>
    <row r="294" spans="1:12" ht="19.5" customHeight="1">
      <c r="A294" s="240">
        <f t="shared" si="13"/>
        <v>283</v>
      </c>
      <c r="B294" s="249" t="s">
        <v>1068</v>
      </c>
      <c r="C294" s="242" t="s">
        <v>262</v>
      </c>
      <c r="D294" s="243"/>
      <c r="E294" s="243"/>
      <c r="F294" s="243">
        <f t="array" ref="F294">SUM(IF("156"&amp;B294=KHN&amp;MH,SL))</f>
        <v>12</v>
      </c>
      <c r="G294" s="243">
        <f t="array" ref="G294">SUM(IF("156"&amp;B294=KHN&amp;MH,TH))</f>
        <v>629064</v>
      </c>
      <c r="H294" s="243">
        <f t="array" ref="H294">SUM(IF("156"&amp;B294=KHC&amp;MH,SL))</f>
        <v>12</v>
      </c>
      <c r="I294" s="243">
        <f t="array" ref="I294">SUM(IF("156"&amp;B294=KHC&amp;MH,TH))</f>
        <v>629064</v>
      </c>
      <c r="J294" s="243">
        <f t="shared" si="14"/>
        <v>0</v>
      </c>
      <c r="K294" s="243">
        <f t="shared" si="15"/>
        <v>0</v>
      </c>
      <c r="L294" s="181"/>
    </row>
    <row r="295" spans="1:12" ht="19.5" customHeight="1">
      <c r="A295" s="240">
        <f t="shared" si="13"/>
        <v>284</v>
      </c>
      <c r="B295" s="249" t="s">
        <v>647</v>
      </c>
      <c r="C295" s="242" t="s">
        <v>262</v>
      </c>
      <c r="D295" s="243"/>
      <c r="E295" s="243"/>
      <c r="F295" s="243">
        <f t="array" ref="F295">SUM(IF("156"&amp;B295=KHN&amp;MH,SL))</f>
        <v>42</v>
      </c>
      <c r="G295" s="243">
        <f t="array" ref="G295">SUM(IF("156"&amp;B295=KHN&amp;MH,TH))</f>
        <v>4681506</v>
      </c>
      <c r="H295" s="243">
        <f t="array" ref="H295">SUM(IF("156"&amp;B295=KHC&amp;MH,SL))</f>
        <v>42</v>
      </c>
      <c r="I295" s="243">
        <f t="array" ref="I295">SUM(IF("156"&amp;B295=KHC&amp;MH,TH))</f>
        <v>4681506</v>
      </c>
      <c r="J295" s="243">
        <f t="shared" si="14"/>
        <v>0</v>
      </c>
      <c r="K295" s="243">
        <f t="shared" si="15"/>
        <v>0</v>
      </c>
      <c r="L295" s="181"/>
    </row>
    <row r="296" spans="1:12" ht="19.5" customHeight="1">
      <c r="A296" s="240">
        <f t="shared" si="13"/>
        <v>285</v>
      </c>
      <c r="B296" s="249" t="s">
        <v>684</v>
      </c>
      <c r="C296" s="242" t="s">
        <v>262</v>
      </c>
      <c r="D296" s="243"/>
      <c r="E296" s="243"/>
      <c r="F296" s="243">
        <f t="array" ref="F296">SUM(IF("156"&amp;B296=KHN&amp;MH,SL))</f>
        <v>13</v>
      </c>
      <c r="G296" s="243">
        <f t="array" ref="G296">SUM(IF("156"&amp;B296=KHN&amp;MH,TH))</f>
        <v>2005744</v>
      </c>
      <c r="H296" s="243">
        <f t="array" ref="H296">SUM(IF("156"&amp;B296=KHC&amp;MH,SL))</f>
        <v>13</v>
      </c>
      <c r="I296" s="243">
        <f t="array" ref="I296">SUM(IF("156"&amp;B296=KHC&amp;MH,TH))</f>
        <v>2005744</v>
      </c>
      <c r="J296" s="243">
        <f t="shared" si="14"/>
        <v>0</v>
      </c>
      <c r="K296" s="243">
        <f t="shared" si="15"/>
        <v>0</v>
      </c>
      <c r="L296" s="181"/>
    </row>
    <row r="297" spans="1:12" ht="19.5" customHeight="1">
      <c r="A297" s="240">
        <f t="shared" si="13"/>
        <v>286</v>
      </c>
      <c r="B297" s="250" t="s">
        <v>1450</v>
      </c>
      <c r="C297" s="242"/>
      <c r="D297" s="243"/>
      <c r="E297" s="243"/>
      <c r="F297" s="243">
        <f t="array" ref="F297">SUM(IF("156"&amp;B297=KHN&amp;MH,SL))</f>
        <v>20</v>
      </c>
      <c r="G297" s="243">
        <f t="array" ref="G297">SUM(IF("156"&amp;B297=KHN&amp;MH,TH))</f>
        <v>1920660</v>
      </c>
      <c r="H297" s="243">
        <f t="array" ref="H297">SUM(IF("156"&amp;B297=KHC&amp;MH,SL))</f>
        <v>0</v>
      </c>
      <c r="I297" s="243">
        <f t="array" ref="I297">SUM(IF("156"&amp;B297=KHC&amp;MH,TH))</f>
        <v>0</v>
      </c>
      <c r="J297" s="243">
        <f t="shared" si="14"/>
        <v>20</v>
      </c>
      <c r="K297" s="243">
        <f t="shared" si="15"/>
        <v>1920660</v>
      </c>
      <c r="L297" s="181"/>
    </row>
    <row r="298" spans="1:12" ht="19.5" customHeight="1">
      <c r="A298" s="240">
        <f t="shared" si="13"/>
        <v>287</v>
      </c>
      <c r="B298" s="250" t="s">
        <v>1494</v>
      </c>
      <c r="C298" s="242"/>
      <c r="D298" s="243"/>
      <c r="E298" s="243"/>
      <c r="F298" s="243">
        <f t="array" ref="F298">SUM(IF("156"&amp;B298=KHN&amp;MH,SL))</f>
        <v>8</v>
      </c>
      <c r="G298" s="243">
        <f t="array" ref="G298">SUM(IF("156"&amp;B298=KHN&amp;MH,TH))</f>
        <v>1334120</v>
      </c>
      <c r="H298" s="243">
        <f t="array" ref="H298">SUM(IF("156"&amp;B298=KHC&amp;MH,SL))</f>
        <v>0</v>
      </c>
      <c r="I298" s="243">
        <f t="array" ref="I298">SUM(IF("156"&amp;B298=KHC&amp;MH,TH))</f>
        <v>0</v>
      </c>
      <c r="J298" s="243">
        <f t="shared" si="14"/>
        <v>8</v>
      </c>
      <c r="K298" s="243">
        <f t="shared" si="15"/>
        <v>1334120</v>
      </c>
      <c r="L298" s="181"/>
    </row>
    <row r="299" spans="1:12" ht="19.5" customHeight="1">
      <c r="A299" s="240">
        <f t="shared" si="13"/>
        <v>288</v>
      </c>
      <c r="B299" s="249" t="s">
        <v>628</v>
      </c>
      <c r="C299" s="242" t="s">
        <v>262</v>
      </c>
      <c r="D299" s="243"/>
      <c r="E299" s="243"/>
      <c r="F299" s="243">
        <f t="array" ref="F299">SUM(IF("156"&amp;B299=KHN&amp;MH,SL))</f>
        <v>10</v>
      </c>
      <c r="G299" s="243">
        <f t="array" ref="G299">SUM(IF("156"&amp;B299=KHN&amp;MH,TH))</f>
        <v>982200</v>
      </c>
      <c r="H299" s="243">
        <f t="array" ref="H299">SUM(IF("156"&amp;B299=KHC&amp;MH,SL))</f>
        <v>10</v>
      </c>
      <c r="I299" s="243">
        <f t="array" ref="I299">SUM(IF("156"&amp;B299=KHC&amp;MH,TH))</f>
        <v>982200</v>
      </c>
      <c r="J299" s="243">
        <f t="shared" si="14"/>
        <v>0</v>
      </c>
      <c r="K299" s="243">
        <f t="shared" si="15"/>
        <v>0</v>
      </c>
      <c r="L299" s="181"/>
    </row>
    <row r="300" spans="1:12" ht="19.5" customHeight="1">
      <c r="A300" s="240">
        <f t="shared" si="13"/>
        <v>289</v>
      </c>
      <c r="B300" s="250" t="s">
        <v>1452</v>
      </c>
      <c r="C300" s="242"/>
      <c r="D300" s="243"/>
      <c r="E300" s="243"/>
      <c r="F300" s="243">
        <f t="array" ref="F300">SUM(IF("156"&amp;B300=KHN&amp;MH,SL))</f>
        <v>20</v>
      </c>
      <c r="G300" s="243">
        <f t="array" ref="G300">SUM(IF("156"&amp;B300=KHN&amp;MH,TH))</f>
        <v>1525860</v>
      </c>
      <c r="H300" s="243">
        <f t="array" ref="H300">SUM(IF("156"&amp;B300=KHC&amp;MH,SL))</f>
        <v>0</v>
      </c>
      <c r="I300" s="243">
        <f t="array" ref="I300">SUM(IF("156"&amp;B300=KHC&amp;MH,TH))</f>
        <v>0</v>
      </c>
      <c r="J300" s="243">
        <f t="shared" si="14"/>
        <v>20</v>
      </c>
      <c r="K300" s="243">
        <f t="shared" si="15"/>
        <v>1525860</v>
      </c>
      <c r="L300" s="181"/>
    </row>
    <row r="301" spans="1:12" ht="19.5" customHeight="1">
      <c r="A301" s="240">
        <f t="shared" si="13"/>
        <v>290</v>
      </c>
      <c r="B301" s="249" t="s">
        <v>793</v>
      </c>
      <c r="C301" s="242" t="s">
        <v>262</v>
      </c>
      <c r="D301" s="243"/>
      <c r="E301" s="243"/>
      <c r="F301" s="243">
        <f t="array" ref="F301">SUM(IF("156"&amp;B301=KHN&amp;MH,SL))</f>
        <v>17</v>
      </c>
      <c r="G301" s="243">
        <f t="array" ref="G301">SUM(IF("156"&amp;B301=KHN&amp;MH,TH))</f>
        <v>1659962</v>
      </c>
      <c r="H301" s="243">
        <f t="array" ref="H301">SUM(IF("156"&amp;B301=KHC&amp;MH,SL))</f>
        <v>12</v>
      </c>
      <c r="I301" s="243">
        <f t="array" ref="I301">SUM(IF("156"&amp;B301=KHC&amp;MH,TH))</f>
        <v>1164672</v>
      </c>
      <c r="J301" s="243">
        <f t="shared" si="14"/>
        <v>5</v>
      </c>
      <c r="K301" s="243">
        <f t="shared" si="15"/>
        <v>495290</v>
      </c>
      <c r="L301" s="181"/>
    </row>
    <row r="302" spans="1:12" ht="19.5" customHeight="1">
      <c r="A302" s="240">
        <f t="shared" si="13"/>
        <v>291</v>
      </c>
      <c r="B302" s="250" t="s">
        <v>1663</v>
      </c>
      <c r="C302" s="242"/>
      <c r="D302" s="243"/>
      <c r="E302" s="243"/>
      <c r="F302" s="243">
        <f t="array" ref="F302">SUM(IF("156"&amp;B302=KHN&amp;MH,SL))</f>
        <v>6</v>
      </c>
      <c r="G302" s="243">
        <f t="array" ref="G302">SUM(IF("156"&amp;B302=KHN&amp;MH,TH))</f>
        <v>599184</v>
      </c>
      <c r="H302" s="243">
        <f t="array" ref="H302">SUM(IF("156"&amp;B302=KHC&amp;MH,SL))</f>
        <v>0</v>
      </c>
      <c r="I302" s="243">
        <f t="array" ref="I302">SUM(IF("156"&amp;B302=KHC&amp;MH,TH))</f>
        <v>0</v>
      </c>
      <c r="J302" s="243">
        <f t="shared" si="14"/>
        <v>6</v>
      </c>
      <c r="K302" s="243">
        <f t="shared" si="15"/>
        <v>599184</v>
      </c>
      <c r="L302" s="181"/>
    </row>
    <row r="303" spans="1:12" ht="19.5" customHeight="1">
      <c r="A303" s="240">
        <f t="shared" si="13"/>
        <v>292</v>
      </c>
      <c r="B303" s="250" t="s">
        <v>1393</v>
      </c>
      <c r="C303" s="242"/>
      <c r="D303" s="243"/>
      <c r="E303" s="243"/>
      <c r="F303" s="243">
        <f t="array" ref="F303">SUM(IF("156"&amp;B303=KHN&amp;MH,SL))</f>
        <v>0</v>
      </c>
      <c r="G303" s="243">
        <f t="array" ref="G303">SUM(IF("156"&amp;B303=KHN&amp;MH,TH))</f>
        <v>0</v>
      </c>
      <c r="H303" s="243">
        <f t="array" ref="H303">SUM(IF("156"&amp;B303=KHC&amp;MH,SL))</f>
        <v>0</v>
      </c>
      <c r="I303" s="243">
        <f t="array" ref="I303">SUM(IF("156"&amp;B303=KHC&amp;MH,TH))</f>
        <v>0</v>
      </c>
      <c r="J303" s="243">
        <f t="shared" si="14"/>
        <v>0</v>
      </c>
      <c r="K303" s="243">
        <f t="shared" si="15"/>
        <v>0</v>
      </c>
      <c r="L303" s="181"/>
    </row>
    <row r="304" spans="1:12" ht="19.5" customHeight="1">
      <c r="A304" s="240">
        <f t="shared" si="13"/>
        <v>293</v>
      </c>
      <c r="B304" s="250" t="s">
        <v>1475</v>
      </c>
      <c r="C304" s="242"/>
      <c r="D304" s="243"/>
      <c r="E304" s="243"/>
      <c r="F304" s="243">
        <f t="array" ref="F304">SUM(IF("156"&amp;B304=KHN&amp;MH,SL))</f>
        <v>4</v>
      </c>
      <c r="G304" s="243">
        <f t="array" ref="G304">SUM(IF("156"&amp;B304=KHN&amp;MH,TH))</f>
        <v>352536</v>
      </c>
      <c r="H304" s="243">
        <f t="array" ref="H304">SUM(IF("156"&amp;B304=KHC&amp;MH,SL))</f>
        <v>0</v>
      </c>
      <c r="I304" s="243">
        <f t="array" ref="I304">SUM(IF("156"&amp;B304=KHC&amp;MH,TH))</f>
        <v>0</v>
      </c>
      <c r="J304" s="243">
        <f t="shared" si="14"/>
        <v>4</v>
      </c>
      <c r="K304" s="243">
        <f t="shared" si="15"/>
        <v>352536</v>
      </c>
      <c r="L304" s="181"/>
    </row>
    <row r="305" spans="1:12" ht="19.5" customHeight="1">
      <c r="A305" s="240">
        <f t="shared" si="13"/>
        <v>294</v>
      </c>
      <c r="B305" s="250" t="s">
        <v>1392</v>
      </c>
      <c r="C305" s="242"/>
      <c r="D305" s="243"/>
      <c r="E305" s="243"/>
      <c r="F305" s="243">
        <f t="array" ref="F305">SUM(IF("156"&amp;B305=KHN&amp;MH,SL))</f>
        <v>3</v>
      </c>
      <c r="G305" s="243">
        <f t="array" ref="G305">SUM(IF("156"&amp;B305=KHN&amp;MH,TH))</f>
        <v>266742</v>
      </c>
      <c r="H305" s="243">
        <f t="array" ref="H305">SUM(IF("156"&amp;B305=KHC&amp;MH,SL))</f>
        <v>0</v>
      </c>
      <c r="I305" s="243">
        <f t="array" ref="I305">SUM(IF("156"&amp;B305=KHC&amp;MH,TH))</f>
        <v>0</v>
      </c>
      <c r="J305" s="243">
        <f t="shared" si="14"/>
        <v>3</v>
      </c>
      <c r="K305" s="243">
        <f t="shared" si="15"/>
        <v>266742</v>
      </c>
      <c r="L305" s="181"/>
    </row>
    <row r="306" spans="1:12" ht="19.5" customHeight="1">
      <c r="A306" s="240">
        <f t="shared" si="13"/>
        <v>295</v>
      </c>
      <c r="B306" s="249" t="s">
        <v>1162</v>
      </c>
      <c r="C306" s="242" t="s">
        <v>262</v>
      </c>
      <c r="D306" s="243"/>
      <c r="E306" s="243"/>
      <c r="F306" s="243">
        <f t="array" ref="F306">SUM(IF("156"&amp;B306=KHN&amp;MH,SL))</f>
        <v>40</v>
      </c>
      <c r="G306" s="243">
        <f t="array" ref="G306">SUM(IF("156"&amp;B306=KHN&amp;MH,TH))</f>
        <v>7599000</v>
      </c>
      <c r="H306" s="243">
        <f t="array" ref="H306">SUM(IF("156"&amp;B306=KHC&amp;MH,SL))</f>
        <v>40</v>
      </c>
      <c r="I306" s="243">
        <f t="array" ref="I306">SUM(IF("156"&amp;B306=KHC&amp;MH,TH))</f>
        <v>7599000</v>
      </c>
      <c r="J306" s="243">
        <f t="shared" si="14"/>
        <v>0</v>
      </c>
      <c r="K306" s="243">
        <f t="shared" si="15"/>
        <v>0</v>
      </c>
      <c r="L306" s="181"/>
    </row>
    <row r="307" spans="1:12" ht="19.5" customHeight="1">
      <c r="A307" s="240">
        <f t="shared" si="13"/>
        <v>296</v>
      </c>
      <c r="B307" s="250" t="s">
        <v>1640</v>
      </c>
      <c r="C307" s="242"/>
      <c r="D307" s="243"/>
      <c r="E307" s="243"/>
      <c r="F307" s="243">
        <f t="array" ref="F307">SUM(IF("156"&amp;B307=KHN&amp;MH,SL))</f>
        <v>5</v>
      </c>
      <c r="G307" s="243">
        <f t="array" ref="G307">SUM(IF("156"&amp;B307=KHN&amp;MH,TH))</f>
        <v>832465</v>
      </c>
      <c r="H307" s="243">
        <f t="array" ref="H307">SUM(IF("156"&amp;B307=KHC&amp;MH,SL))</f>
        <v>0</v>
      </c>
      <c r="I307" s="243">
        <f t="array" ref="I307">SUM(IF("156"&amp;B307=KHC&amp;MH,TH))</f>
        <v>0</v>
      </c>
      <c r="J307" s="243">
        <f t="shared" si="14"/>
        <v>5</v>
      </c>
      <c r="K307" s="243">
        <f t="shared" si="15"/>
        <v>832465</v>
      </c>
      <c r="L307" s="181"/>
    </row>
    <row r="308" spans="1:12" ht="19.5" customHeight="1">
      <c r="A308" s="240">
        <f t="shared" si="13"/>
        <v>297</v>
      </c>
      <c r="B308" s="250" t="s">
        <v>1616</v>
      </c>
      <c r="C308" s="242"/>
      <c r="D308" s="243"/>
      <c r="E308" s="243"/>
      <c r="F308" s="243">
        <f t="array" ref="F308">SUM(IF("156"&amp;B308=KHN&amp;MH,SL))</f>
        <v>1</v>
      </c>
      <c r="G308" s="243">
        <f t="array" ref="G308">SUM(IF("156"&amp;B308=KHN&amp;MH,TH))</f>
        <v>150822</v>
      </c>
      <c r="H308" s="243">
        <f t="array" ref="H308">SUM(IF("156"&amp;B308=KHC&amp;MH,SL))</f>
        <v>0</v>
      </c>
      <c r="I308" s="243">
        <f t="array" ref="I308">SUM(IF("156"&amp;B308=KHC&amp;MH,TH))</f>
        <v>0</v>
      </c>
      <c r="J308" s="243">
        <f t="shared" si="14"/>
        <v>1</v>
      </c>
      <c r="K308" s="243">
        <f t="shared" si="15"/>
        <v>150822</v>
      </c>
      <c r="L308" s="181"/>
    </row>
    <row r="309" spans="1:12" ht="19.5" customHeight="1">
      <c r="A309" s="240">
        <f t="shared" si="13"/>
        <v>298</v>
      </c>
      <c r="B309" s="250" t="s">
        <v>1312</v>
      </c>
      <c r="C309" s="242"/>
      <c r="D309" s="243"/>
      <c r="E309" s="243"/>
      <c r="F309" s="243">
        <f t="array" ref="F309">SUM(IF("156"&amp;B309=KHN&amp;MH,SL))</f>
        <v>540</v>
      </c>
      <c r="G309" s="243">
        <f t="array" ref="G309">SUM(IF("156"&amp;B309=KHN&amp;MH,TH))</f>
        <v>10180620</v>
      </c>
      <c r="H309" s="243">
        <f t="array" ref="H309">SUM(IF("156"&amp;B309=KHC&amp;MH,SL))</f>
        <v>540</v>
      </c>
      <c r="I309" s="243">
        <f t="array" ref="I309">SUM(IF("156"&amp;B309=KHC&amp;MH,TH))</f>
        <v>10180620</v>
      </c>
      <c r="J309" s="243">
        <f t="shared" si="14"/>
        <v>0</v>
      </c>
      <c r="K309" s="243">
        <f t="shared" si="15"/>
        <v>0</v>
      </c>
      <c r="L309" s="181"/>
    </row>
    <row r="310" spans="1:12" ht="19.5" customHeight="1">
      <c r="A310" s="240">
        <f t="shared" si="13"/>
        <v>299</v>
      </c>
      <c r="B310" s="250" t="s">
        <v>1600</v>
      </c>
      <c r="C310" s="242"/>
      <c r="D310" s="243"/>
      <c r="E310" s="243"/>
      <c r="F310" s="243">
        <f t="array" ref="F310">SUM(IF("156"&amp;B310=KHN&amp;MH,SL))</f>
        <v>128</v>
      </c>
      <c r="G310" s="243">
        <f t="array" ref="G310">SUM(IF("156"&amp;B310=KHN&amp;MH,TH))</f>
        <v>313600</v>
      </c>
      <c r="H310" s="243">
        <f t="array" ref="H310">SUM(IF("156"&amp;B310=KHC&amp;MH,SL))</f>
        <v>0</v>
      </c>
      <c r="I310" s="243">
        <f t="array" ref="I310">SUM(IF("156"&amp;B310=KHC&amp;MH,TH))</f>
        <v>0</v>
      </c>
      <c r="J310" s="243">
        <f t="shared" si="14"/>
        <v>128</v>
      </c>
      <c r="K310" s="243">
        <f t="shared" si="15"/>
        <v>313600</v>
      </c>
      <c r="L310" s="181"/>
    </row>
    <row r="311" spans="1:12" ht="19.5" customHeight="1">
      <c r="A311" s="240">
        <f t="shared" si="13"/>
        <v>300</v>
      </c>
      <c r="B311" s="249" t="s">
        <v>686</v>
      </c>
      <c r="C311" s="242" t="s">
        <v>262</v>
      </c>
      <c r="D311" s="243"/>
      <c r="E311" s="243"/>
      <c r="F311" s="243">
        <f t="array" ref="F311">SUM(IF("156"&amp;B311=KHN&amp;MH,SL))</f>
        <v>3</v>
      </c>
      <c r="G311" s="243">
        <f t="array" ref="G311">SUM(IF("156"&amp;B311=KHN&amp;MH,TH))</f>
        <v>648270</v>
      </c>
      <c r="H311" s="243">
        <f t="array" ref="H311">SUM(IF("156"&amp;B311=KHC&amp;MH,SL))</f>
        <v>3</v>
      </c>
      <c r="I311" s="243">
        <f t="array" ref="I311">SUM(IF("156"&amp;B311=KHC&amp;MH,TH))</f>
        <v>648270</v>
      </c>
      <c r="J311" s="243">
        <f t="shared" si="14"/>
        <v>0</v>
      </c>
      <c r="K311" s="243">
        <f t="shared" si="15"/>
        <v>0</v>
      </c>
      <c r="L311" s="181"/>
    </row>
    <row r="312" spans="1:12" ht="19.5" customHeight="1">
      <c r="A312" s="240">
        <f t="shared" si="13"/>
        <v>301</v>
      </c>
      <c r="B312" s="250" t="s">
        <v>1461</v>
      </c>
      <c r="C312" s="242"/>
      <c r="D312" s="243"/>
      <c r="E312" s="243"/>
      <c r="F312" s="243">
        <f t="array" ref="F312">SUM(IF("156"&amp;B312=KHN&amp;MH,SL))</f>
        <v>10</v>
      </c>
      <c r="G312" s="243">
        <f t="array" ref="G312">SUM(IF("156"&amp;B312=KHN&amp;MH,TH))</f>
        <v>2192450</v>
      </c>
      <c r="H312" s="243">
        <f t="array" ref="H312">SUM(IF("156"&amp;B312=KHC&amp;MH,SL))</f>
        <v>0</v>
      </c>
      <c r="I312" s="243">
        <f t="array" ref="I312">SUM(IF("156"&amp;B312=KHC&amp;MH,TH))</f>
        <v>0</v>
      </c>
      <c r="J312" s="243">
        <f t="shared" si="14"/>
        <v>10</v>
      </c>
      <c r="K312" s="243">
        <f t="shared" si="15"/>
        <v>2192450</v>
      </c>
      <c r="L312" s="181"/>
    </row>
    <row r="313" spans="1:12" ht="19.5" customHeight="1">
      <c r="A313" s="240">
        <f t="shared" si="13"/>
        <v>302</v>
      </c>
      <c r="B313" s="250" t="s">
        <v>1611</v>
      </c>
      <c r="C313" s="242"/>
      <c r="D313" s="243"/>
      <c r="E313" s="243"/>
      <c r="F313" s="243">
        <f t="array" ref="F313">SUM(IF("156"&amp;B313=KHN&amp;MH,SL))</f>
        <v>300</v>
      </c>
      <c r="G313" s="243">
        <f t="array" ref="G313">SUM(IF("156"&amp;B313=KHN&amp;MH,TH))</f>
        <v>1499400</v>
      </c>
      <c r="H313" s="243">
        <f t="array" ref="H313">SUM(IF("156"&amp;B313=KHC&amp;MH,SL))</f>
        <v>0</v>
      </c>
      <c r="I313" s="243">
        <f t="array" ref="I313">SUM(IF("156"&amp;B313=KHC&amp;MH,TH))</f>
        <v>0</v>
      </c>
      <c r="J313" s="243">
        <f t="shared" si="14"/>
        <v>300</v>
      </c>
      <c r="K313" s="243">
        <f t="shared" si="15"/>
        <v>1499400</v>
      </c>
      <c r="L313" s="181"/>
    </row>
    <row r="314" spans="1:12" ht="19.5" customHeight="1">
      <c r="A314" s="240">
        <f t="shared" si="13"/>
        <v>303</v>
      </c>
      <c r="B314" s="250" t="s">
        <v>1483</v>
      </c>
      <c r="C314" s="242"/>
      <c r="D314" s="243"/>
      <c r="E314" s="243"/>
      <c r="F314" s="243">
        <f t="array" ref="F314">SUM(IF("156"&amp;B314=KHN&amp;MH,SL))</f>
        <v>36</v>
      </c>
      <c r="G314" s="243">
        <f t="array" ref="G314">SUM(IF("156"&amp;B314=KHN&amp;MH,TH))</f>
        <v>247212</v>
      </c>
      <c r="H314" s="243">
        <f t="array" ref="H314">SUM(IF("156"&amp;B314=KHC&amp;MH,SL))</f>
        <v>0</v>
      </c>
      <c r="I314" s="243">
        <f t="array" ref="I314">SUM(IF("156"&amp;B314=KHC&amp;MH,TH))</f>
        <v>0</v>
      </c>
      <c r="J314" s="243">
        <f t="shared" si="14"/>
        <v>36</v>
      </c>
      <c r="K314" s="243">
        <f t="shared" si="15"/>
        <v>247212</v>
      </c>
      <c r="L314" s="181"/>
    </row>
    <row r="315" spans="1:12" ht="19.5" customHeight="1">
      <c r="A315" s="240">
        <f t="shared" si="13"/>
        <v>304</v>
      </c>
      <c r="B315" s="250" t="s">
        <v>1485</v>
      </c>
      <c r="C315" s="242"/>
      <c r="D315" s="243"/>
      <c r="E315" s="243"/>
      <c r="F315" s="243">
        <f t="array" ref="F315">SUM(IF("156"&amp;B315=KHN&amp;MH,SL))</f>
        <v>24</v>
      </c>
      <c r="G315" s="243">
        <f t="array" ref="G315">SUM(IF("156"&amp;B315=KHN&amp;MH,TH))</f>
        <v>181080</v>
      </c>
      <c r="H315" s="243">
        <f t="array" ref="H315">SUM(IF("156"&amp;B315=KHC&amp;MH,SL))</f>
        <v>0</v>
      </c>
      <c r="I315" s="243">
        <f t="array" ref="I315">SUM(IF("156"&amp;B315=KHC&amp;MH,TH))</f>
        <v>0</v>
      </c>
      <c r="J315" s="243">
        <f t="shared" si="14"/>
        <v>24</v>
      </c>
      <c r="K315" s="243">
        <f t="shared" si="15"/>
        <v>181080</v>
      </c>
      <c r="L315" s="181"/>
    </row>
    <row r="316" spans="1:12" ht="19.5" customHeight="1">
      <c r="A316" s="240">
        <f t="shared" si="13"/>
        <v>305</v>
      </c>
      <c r="B316" s="249" t="s">
        <v>720</v>
      </c>
      <c r="C316" s="242" t="s">
        <v>262</v>
      </c>
      <c r="D316" s="243"/>
      <c r="E316" s="243"/>
      <c r="F316" s="243">
        <f t="array" ref="F316">SUM(IF("156"&amp;B316=KHN&amp;MH,SL))</f>
        <v>48</v>
      </c>
      <c r="G316" s="243">
        <f t="array" ref="G316">SUM(IF("156"&amp;B316=KHN&amp;MH,TH))</f>
        <v>368016</v>
      </c>
      <c r="H316" s="243">
        <f t="array" ref="H316">SUM(IF("156"&amp;B316=KHC&amp;MH,SL))</f>
        <v>48</v>
      </c>
      <c r="I316" s="243">
        <f t="array" ref="I316">SUM(IF("156"&amp;B316=KHC&amp;MH,TH))</f>
        <v>368016</v>
      </c>
      <c r="J316" s="243">
        <f t="shared" si="14"/>
        <v>0</v>
      </c>
      <c r="K316" s="243">
        <f t="shared" si="15"/>
        <v>0</v>
      </c>
      <c r="L316" s="181"/>
    </row>
    <row r="317" spans="1:12" ht="19.5" customHeight="1">
      <c r="A317" s="240">
        <f t="shared" si="13"/>
        <v>306</v>
      </c>
      <c r="B317" s="249" t="s">
        <v>1167</v>
      </c>
      <c r="C317" s="242" t="s">
        <v>262</v>
      </c>
      <c r="D317" s="243"/>
      <c r="E317" s="243"/>
      <c r="F317" s="243">
        <f t="array" ref="F317">SUM(IF("156"&amp;B317=KHN&amp;MH,SL))</f>
        <v>54</v>
      </c>
      <c r="G317" s="243">
        <f t="array" ref="G317">SUM(IF("156"&amp;B317=KHN&amp;MH,TH))</f>
        <v>452592</v>
      </c>
      <c r="H317" s="243">
        <f t="array" ref="H317">SUM(IF("156"&amp;B317=KHC&amp;MH,SL))</f>
        <v>54</v>
      </c>
      <c r="I317" s="243">
        <f t="array" ref="I317">SUM(IF("156"&amp;B317=KHC&amp;MH,TH))</f>
        <v>452592</v>
      </c>
      <c r="J317" s="243">
        <f t="shared" si="14"/>
        <v>0</v>
      </c>
      <c r="K317" s="243">
        <f t="shared" si="15"/>
        <v>0</v>
      </c>
      <c r="L317" s="181"/>
    </row>
    <row r="318" spans="1:12" ht="19.5" customHeight="1">
      <c r="A318" s="240">
        <f t="shared" si="13"/>
        <v>307</v>
      </c>
      <c r="B318" s="249" t="s">
        <v>749</v>
      </c>
      <c r="C318" s="242" t="s">
        <v>262</v>
      </c>
      <c r="D318" s="243"/>
      <c r="E318" s="243"/>
      <c r="F318" s="243">
        <f t="array" ref="F318">SUM(IF("156"&amp;B318=KHN&amp;MH,SL))</f>
        <v>144</v>
      </c>
      <c r="G318" s="243">
        <f t="array" ref="G318">SUM(IF("156"&amp;B318=KHN&amp;MH,TH))</f>
        <v>919440</v>
      </c>
      <c r="H318" s="243">
        <f t="array" ref="H318">SUM(IF("156"&amp;B318=KHC&amp;MH,SL))</f>
        <v>144</v>
      </c>
      <c r="I318" s="243">
        <f t="array" ref="I318">SUM(IF("156"&amp;B318=KHC&amp;MH,TH))</f>
        <v>919440</v>
      </c>
      <c r="J318" s="243">
        <f t="shared" si="14"/>
        <v>0</v>
      </c>
      <c r="K318" s="243">
        <f t="shared" si="15"/>
        <v>0</v>
      </c>
      <c r="L318" s="181"/>
    </row>
    <row r="319" spans="1:12" ht="19.5" customHeight="1">
      <c r="A319" s="240">
        <f t="shared" si="13"/>
        <v>308</v>
      </c>
      <c r="B319" s="249" t="s">
        <v>721</v>
      </c>
      <c r="C319" s="242" t="s">
        <v>262</v>
      </c>
      <c r="D319" s="243"/>
      <c r="E319" s="243"/>
      <c r="F319" s="243">
        <f t="array" ref="F319">SUM(IF("156"&amp;B319=KHN&amp;MH,SL))</f>
        <v>36</v>
      </c>
      <c r="G319" s="243">
        <f t="array" ref="G319">SUM(IF("156"&amp;B319=KHN&amp;MH,TH))</f>
        <v>280944</v>
      </c>
      <c r="H319" s="243">
        <f t="array" ref="H319">SUM(IF("156"&amp;B319=KHC&amp;MH,SL))</f>
        <v>36</v>
      </c>
      <c r="I319" s="243">
        <f t="array" ref="I319">SUM(IF("156"&amp;B319=KHC&amp;MH,TH))</f>
        <v>280944</v>
      </c>
      <c r="J319" s="243">
        <f t="shared" si="14"/>
        <v>0</v>
      </c>
      <c r="K319" s="243">
        <f t="shared" si="15"/>
        <v>0</v>
      </c>
      <c r="L319" s="181"/>
    </row>
    <row r="320" spans="1:12" ht="19.5" customHeight="1">
      <c r="A320" s="240">
        <f t="shared" si="13"/>
        <v>309</v>
      </c>
      <c r="B320" s="249" t="s">
        <v>724</v>
      </c>
      <c r="C320" s="242" t="s">
        <v>262</v>
      </c>
      <c r="D320" s="243"/>
      <c r="E320" s="243"/>
      <c r="F320" s="243">
        <f t="array" ref="F320">SUM(IF("156"&amp;B320=KHN&amp;MH,SL))</f>
        <v>282</v>
      </c>
      <c r="G320" s="243">
        <f t="array" ref="G320">SUM(IF("156"&amp;B320=KHN&amp;MH,TH))</f>
        <v>2348220</v>
      </c>
      <c r="H320" s="243">
        <f t="array" ref="H320">SUM(IF("156"&amp;B320=KHC&amp;MH,SL))</f>
        <v>282</v>
      </c>
      <c r="I320" s="243">
        <f t="array" ref="I320">SUM(IF("156"&amp;B320=KHC&amp;MH,TH))</f>
        <v>2348220</v>
      </c>
      <c r="J320" s="243">
        <f t="shared" si="14"/>
        <v>0</v>
      </c>
      <c r="K320" s="243">
        <f t="shared" si="15"/>
        <v>0</v>
      </c>
      <c r="L320" s="181"/>
    </row>
    <row r="321" spans="1:15" ht="19.5" customHeight="1">
      <c r="A321" s="240">
        <f t="shared" si="13"/>
        <v>310</v>
      </c>
      <c r="B321" s="249" t="s">
        <v>669</v>
      </c>
      <c r="C321" s="242" t="s">
        <v>262</v>
      </c>
      <c r="D321" s="243"/>
      <c r="E321" s="243"/>
      <c r="F321" s="243">
        <f t="array" ref="F321">SUM(IF("156"&amp;B321=KHN&amp;MH,SL))</f>
        <v>176</v>
      </c>
      <c r="G321" s="243">
        <f t="array" ref="G321">SUM(IF("156"&amp;B321=KHN&amp;MH,TH))</f>
        <v>1345168</v>
      </c>
      <c r="H321" s="243">
        <f t="array" ref="H321">SUM(IF("156"&amp;B321=KHC&amp;MH,SL))</f>
        <v>176</v>
      </c>
      <c r="I321" s="243">
        <f t="array" ref="I321">SUM(IF("156"&amp;B321=KHC&amp;MH,TH))</f>
        <v>1345168</v>
      </c>
      <c r="J321" s="243">
        <f t="shared" si="14"/>
        <v>0</v>
      </c>
      <c r="K321" s="243">
        <f t="shared" si="15"/>
        <v>0</v>
      </c>
      <c r="L321" s="181"/>
    </row>
    <row r="322" spans="1:15" ht="19.5" customHeight="1">
      <c r="A322" s="240">
        <f t="shared" si="13"/>
        <v>311</v>
      </c>
      <c r="B322" s="249" t="s">
        <v>671</v>
      </c>
      <c r="C322" s="242" t="s">
        <v>262</v>
      </c>
      <c r="D322" s="243"/>
      <c r="E322" s="243"/>
      <c r="F322" s="243">
        <f t="array" ref="F322">SUM(IF("156"&amp;B322=KHN&amp;MH,SL))</f>
        <v>320</v>
      </c>
      <c r="G322" s="243">
        <f t="array" ref="G322">SUM(IF("156"&amp;B322=KHN&amp;MH,TH))</f>
        <v>2493760</v>
      </c>
      <c r="H322" s="243">
        <f t="array" ref="H322">SUM(IF("156"&amp;B322=KHC&amp;MH,SL))</f>
        <v>320</v>
      </c>
      <c r="I322" s="243">
        <f t="array" ref="I322">SUM(IF("156"&amp;B322=KHC&amp;MH,TH))</f>
        <v>2493760</v>
      </c>
      <c r="J322" s="243">
        <f t="shared" si="14"/>
        <v>0</v>
      </c>
      <c r="K322" s="243">
        <f t="shared" si="15"/>
        <v>0</v>
      </c>
      <c r="L322" s="181"/>
    </row>
    <row r="323" spans="1:15" ht="19.5" customHeight="1">
      <c r="A323" s="240">
        <f t="shared" si="13"/>
        <v>312</v>
      </c>
      <c r="B323" s="249" t="s">
        <v>622</v>
      </c>
      <c r="C323" s="242" t="s">
        <v>262</v>
      </c>
      <c r="D323" s="243"/>
      <c r="E323" s="243"/>
      <c r="F323" s="243">
        <f t="array" ref="F323">SUM(IF("156"&amp;B323=KHN&amp;MH,SL))</f>
        <v>190</v>
      </c>
      <c r="G323" s="243">
        <f t="array" ref="G323">SUM(IF("156"&amp;B323=KHN&amp;MH,TH))</f>
        <v>1562680</v>
      </c>
      <c r="H323" s="243">
        <f t="array" ref="H323">SUM(IF("156"&amp;B323=KHC&amp;MH,SL))</f>
        <v>190</v>
      </c>
      <c r="I323" s="243">
        <f t="array" ref="I323">SUM(IF("156"&amp;B323=KHC&amp;MH,TH))</f>
        <v>1562680</v>
      </c>
      <c r="J323" s="243">
        <f t="shared" si="14"/>
        <v>0</v>
      </c>
      <c r="K323" s="243">
        <f t="shared" si="15"/>
        <v>0</v>
      </c>
      <c r="L323" s="181"/>
    </row>
    <row r="324" spans="1:15" ht="19.5" customHeight="1">
      <c r="A324" s="240">
        <f t="shared" si="13"/>
        <v>313</v>
      </c>
      <c r="B324" s="249" t="s">
        <v>498</v>
      </c>
      <c r="C324" s="242" t="s">
        <v>262</v>
      </c>
      <c r="D324" s="243"/>
      <c r="E324" s="243"/>
      <c r="F324" s="243">
        <f t="array" ref="F324">SUM(IF("156"&amp;B324=KHN&amp;MH,SL))</f>
        <v>100</v>
      </c>
      <c r="G324" s="243">
        <f t="array" ref="G324">SUM(IF("156"&amp;B324=KHN&amp;MH,TH))</f>
        <v>819700</v>
      </c>
      <c r="H324" s="243">
        <f t="array" ref="H324">SUM(IF("156"&amp;B324=KHC&amp;MH,SL))</f>
        <v>100</v>
      </c>
      <c r="I324" s="243">
        <f t="array" ref="I324">SUM(IF("156"&amp;B324=KHC&amp;MH,TH))</f>
        <v>819700</v>
      </c>
      <c r="J324" s="243">
        <f t="shared" si="14"/>
        <v>0</v>
      </c>
      <c r="K324" s="243">
        <f t="shared" si="15"/>
        <v>0</v>
      </c>
      <c r="L324" s="181"/>
    </row>
    <row r="325" spans="1:15" ht="19.5" customHeight="1">
      <c r="A325" s="240">
        <f t="shared" si="13"/>
        <v>314</v>
      </c>
      <c r="B325" s="249" t="s">
        <v>763</v>
      </c>
      <c r="C325" s="242" t="s">
        <v>262</v>
      </c>
      <c r="D325" s="243"/>
      <c r="E325" s="243"/>
      <c r="F325" s="243">
        <f t="array" ref="F325">SUM(IF("156"&amp;B325=KHN&amp;MH,SL))</f>
        <v>7240</v>
      </c>
      <c r="G325" s="243">
        <f t="array" ref="G325">SUM(IF("156"&amp;B325=KHN&amp;MH,TH))</f>
        <v>26788000</v>
      </c>
      <c r="H325" s="243">
        <f t="array" ref="H325">SUM(IF("156"&amp;B325=KHC&amp;MH,SL))</f>
        <v>7240</v>
      </c>
      <c r="I325" s="243">
        <f t="array" ref="I325">SUM(IF("156"&amp;B325=KHC&amp;MH,TH))</f>
        <v>26788000</v>
      </c>
      <c r="J325" s="243">
        <f t="shared" si="14"/>
        <v>0</v>
      </c>
      <c r="K325" s="243">
        <f t="shared" si="15"/>
        <v>0</v>
      </c>
      <c r="L325" s="181"/>
    </row>
    <row r="326" spans="1:15" ht="19.5" customHeight="1">
      <c r="A326" s="240">
        <f t="shared" si="13"/>
        <v>315</v>
      </c>
      <c r="B326" s="249" t="s">
        <v>688</v>
      </c>
      <c r="C326" s="242" t="s">
        <v>262</v>
      </c>
      <c r="D326" s="243"/>
      <c r="E326" s="243"/>
      <c r="F326" s="243">
        <f t="array" ref="F326">SUM(IF("156"&amp;B326=KHN&amp;MH,SL))</f>
        <v>8</v>
      </c>
      <c r="G326" s="243">
        <f t="array" ref="G326">SUM(IF("156"&amp;B326=KHN&amp;MH,TH))</f>
        <v>1819272</v>
      </c>
      <c r="H326" s="243">
        <f t="array" ref="H326">SUM(IF("156"&amp;B326=KHC&amp;MH,SL))</f>
        <v>8</v>
      </c>
      <c r="I326" s="243">
        <f t="array" ref="I326">SUM(IF("156"&amp;B326=KHC&amp;MH,TH))</f>
        <v>1819272</v>
      </c>
      <c r="J326" s="243">
        <f t="shared" si="14"/>
        <v>0</v>
      </c>
      <c r="K326" s="243">
        <f t="shared" si="15"/>
        <v>0</v>
      </c>
      <c r="L326" s="181"/>
    </row>
    <row r="327" spans="1:15" ht="19.5" customHeight="1">
      <c r="A327" s="240">
        <f t="shared" si="13"/>
        <v>316</v>
      </c>
      <c r="B327" s="250" t="s">
        <v>1659</v>
      </c>
      <c r="C327" s="242"/>
      <c r="D327" s="243"/>
      <c r="E327" s="243"/>
      <c r="F327" s="243">
        <f t="array" ref="F327">SUM(IF("156"&amp;B327=KHN&amp;MH,SL))</f>
        <v>12</v>
      </c>
      <c r="G327" s="243">
        <f t="array" ref="G327">SUM(IF("156"&amp;B327=KHN&amp;MH,TH))</f>
        <v>2770008</v>
      </c>
      <c r="H327" s="243">
        <f t="array" ref="H327">SUM(IF("156"&amp;B327=KHC&amp;MH,SL))</f>
        <v>0</v>
      </c>
      <c r="I327" s="243">
        <f t="array" ref="I327">SUM(IF("156"&amp;B327=KHC&amp;MH,TH))</f>
        <v>0</v>
      </c>
      <c r="J327" s="243">
        <f t="shared" si="14"/>
        <v>12</v>
      </c>
      <c r="K327" s="243">
        <f t="shared" si="15"/>
        <v>2770008</v>
      </c>
      <c r="L327" s="181"/>
    </row>
    <row r="328" spans="1:15" ht="19.5" customHeight="1">
      <c r="A328" s="240">
        <f t="shared" si="13"/>
        <v>317</v>
      </c>
      <c r="B328" s="250" t="s">
        <v>1444</v>
      </c>
      <c r="C328" s="242"/>
      <c r="D328" s="243"/>
      <c r="E328" s="243"/>
      <c r="F328" s="243">
        <f t="array" ref="F328">SUM(IF("156"&amp;B328=KHN&amp;MH,SL))</f>
        <v>0</v>
      </c>
      <c r="G328" s="243">
        <f t="array" ref="G328">SUM(IF("156"&amp;B328=KHN&amp;MH,TH))</f>
        <v>0</v>
      </c>
      <c r="H328" s="243">
        <f t="array" ref="H328">SUM(IF("156"&amp;B328=KHC&amp;MH,SL))</f>
        <v>0</v>
      </c>
      <c r="I328" s="243">
        <f t="array" ref="I328">SUM(IF("156"&amp;B328=KHC&amp;MH,TH))</f>
        <v>0</v>
      </c>
      <c r="J328" s="243">
        <f t="shared" si="14"/>
        <v>0</v>
      </c>
      <c r="K328" s="243">
        <f t="shared" si="15"/>
        <v>0</v>
      </c>
      <c r="L328" s="181"/>
    </row>
    <row r="329" spans="1:15" ht="19.5" customHeight="1">
      <c r="A329" s="240">
        <f t="shared" si="13"/>
        <v>318</v>
      </c>
      <c r="B329" s="249" t="s">
        <v>616</v>
      </c>
      <c r="C329" s="242" t="s">
        <v>262</v>
      </c>
      <c r="D329" s="243"/>
      <c r="E329" s="243"/>
      <c r="F329" s="243">
        <f t="array" ref="F329">SUM(IF("156"&amp;B329=KHN&amp;MH,SL))</f>
        <v>80</v>
      </c>
      <c r="G329" s="243">
        <f t="array" ref="G329">SUM(IF("156"&amp;B329=KHN&amp;MH,TH))</f>
        <v>960160</v>
      </c>
      <c r="H329" s="243">
        <f t="array" ref="H329">SUM(IF("156"&amp;B329=KHC&amp;MH,SL))</f>
        <v>80</v>
      </c>
      <c r="I329" s="243">
        <f t="array" ref="I329">SUM(IF("156"&amp;B329=KHC&amp;MH,TH))</f>
        <v>960160</v>
      </c>
      <c r="J329" s="243">
        <f t="shared" si="14"/>
        <v>0</v>
      </c>
      <c r="K329" s="243">
        <f t="shared" si="15"/>
        <v>0</v>
      </c>
      <c r="L329" s="181"/>
    </row>
    <row r="330" spans="1:15" ht="19.5" customHeight="1">
      <c r="A330" s="240">
        <f t="shared" si="13"/>
        <v>319</v>
      </c>
      <c r="B330" s="249" t="s">
        <v>764</v>
      </c>
      <c r="C330" s="242" t="s">
        <v>262</v>
      </c>
      <c r="D330" s="243"/>
      <c r="E330" s="243"/>
      <c r="F330" s="243">
        <f t="array" ref="F330">SUM(IF("156"&amp;B330=KHN&amp;MH,SL))</f>
        <v>500</v>
      </c>
      <c r="G330" s="243">
        <f t="array" ref="G330">SUM(IF("156"&amp;B330=KHN&amp;MH,TH))</f>
        <v>1684638</v>
      </c>
      <c r="H330" s="243">
        <f t="array" ref="H330">SUM(IF("156"&amp;B330=KHC&amp;MH,SL))</f>
        <v>500</v>
      </c>
      <c r="I330" s="243">
        <f t="array" ref="I330">SUM(IF("156"&amp;B330=KHC&amp;MH,TH))</f>
        <v>1684638</v>
      </c>
      <c r="J330" s="243">
        <f t="shared" si="14"/>
        <v>0</v>
      </c>
      <c r="K330" s="243">
        <f t="shared" si="15"/>
        <v>0</v>
      </c>
      <c r="L330" s="181"/>
    </row>
    <row r="331" spans="1:15" ht="19.5" customHeight="1">
      <c r="A331" s="240">
        <f t="shared" si="13"/>
        <v>320</v>
      </c>
      <c r="B331" s="249" t="s">
        <v>1151</v>
      </c>
      <c r="C331" s="242" t="s">
        <v>262</v>
      </c>
      <c r="D331" s="243"/>
      <c r="E331" s="243"/>
      <c r="F331" s="243">
        <f t="array" ref="F331">SUM(IF("156"&amp;B331=KHN&amp;MH,SL))</f>
        <v>500</v>
      </c>
      <c r="G331" s="243">
        <f t="array" ref="G331">SUM(IF("156"&amp;B331=KHN&amp;MH,TH))</f>
        <v>3135000</v>
      </c>
      <c r="H331" s="243">
        <f t="array" ref="H331">SUM(IF("156"&amp;B331=KHC&amp;MH,SL))</f>
        <v>500</v>
      </c>
      <c r="I331" s="243">
        <f t="array" ref="I331">SUM(IF("156"&amp;B331=KHC&amp;MH,TH))</f>
        <v>3135000</v>
      </c>
      <c r="J331" s="243">
        <f t="shared" si="14"/>
        <v>0</v>
      </c>
      <c r="K331" s="243">
        <f t="shared" si="15"/>
        <v>0</v>
      </c>
      <c r="L331" s="181"/>
    </row>
    <row r="332" spans="1:15" ht="19.5" customHeight="1">
      <c r="A332" s="240">
        <f t="shared" ref="A332:A395" si="16">IF(B332&lt;&gt;"",ROW()-11,"")</f>
        <v>321</v>
      </c>
      <c r="B332" s="249" t="s">
        <v>1150</v>
      </c>
      <c r="C332" s="242" t="s">
        <v>262</v>
      </c>
      <c r="D332" s="243"/>
      <c r="E332" s="243"/>
      <c r="F332" s="243">
        <f t="array" ref="F332">SUM(IF("156"&amp;B332=KHN&amp;MH,SL))</f>
        <v>500</v>
      </c>
      <c r="G332" s="243">
        <f t="array" ref="G332">SUM(IF("156"&amp;B332=KHN&amp;MH,TH))</f>
        <v>3340000</v>
      </c>
      <c r="H332" s="243">
        <f t="array" ref="H332">SUM(IF("156"&amp;B332=KHC&amp;MH,SL))</f>
        <v>500</v>
      </c>
      <c r="I332" s="243">
        <f t="array" ref="I332">SUM(IF("156"&amp;B332=KHC&amp;MH,TH))</f>
        <v>3340000</v>
      </c>
      <c r="J332" s="243">
        <f t="shared" ref="J332:J395" si="17">D332+F332-H332</f>
        <v>0</v>
      </c>
      <c r="K332" s="243">
        <f t="shared" ref="K332:K395" si="18">E332+G332-I332</f>
        <v>0</v>
      </c>
      <c r="L332" s="181"/>
    </row>
    <row r="333" spans="1:15" ht="19.5" customHeight="1">
      <c r="A333" s="240">
        <f t="shared" si="16"/>
        <v>322</v>
      </c>
      <c r="B333" s="250" t="s">
        <v>1479</v>
      </c>
      <c r="C333" s="242"/>
      <c r="D333" s="243"/>
      <c r="E333" s="243"/>
      <c r="F333" s="243">
        <f t="array" ref="F333">SUM(IF("156"&amp;B333=KHN&amp;MH,SL))</f>
        <v>29</v>
      </c>
      <c r="G333" s="243">
        <f t="array" ref="G333">SUM(IF("156"&amp;B333=KHN&amp;MH,TH))</f>
        <v>639029</v>
      </c>
      <c r="H333" s="243">
        <f t="array" ref="H333">SUM(IF("156"&amp;B333=KHC&amp;MH,SL))</f>
        <v>0</v>
      </c>
      <c r="I333" s="243">
        <f t="array" ref="I333">SUM(IF("156"&amp;B333=KHC&amp;MH,TH))</f>
        <v>0</v>
      </c>
      <c r="J333" s="243">
        <f t="shared" si="17"/>
        <v>29</v>
      </c>
      <c r="K333" s="243">
        <f t="shared" si="18"/>
        <v>639029</v>
      </c>
      <c r="L333" s="181"/>
    </row>
    <row r="334" spans="1:15" ht="19.5" customHeight="1">
      <c r="A334" s="240">
        <f t="shared" si="16"/>
        <v>323</v>
      </c>
      <c r="B334" s="249" t="s">
        <v>567</v>
      </c>
      <c r="C334" s="242" t="s">
        <v>262</v>
      </c>
      <c r="D334" s="243"/>
      <c r="E334" s="243"/>
      <c r="F334" s="243">
        <f t="array" ref="F334">SUM(IF("156"&amp;B334=KHN&amp;MH,SL))</f>
        <v>1900</v>
      </c>
      <c r="G334" s="243">
        <f t="array" ref="G334">SUM(IF("156"&amp;B334=KHN&amp;MH,TH))</f>
        <v>7656792</v>
      </c>
      <c r="H334" s="243">
        <f t="array" ref="H334">SUM(IF("156"&amp;B334=KHC&amp;MH,SL))</f>
        <v>1000</v>
      </c>
      <c r="I334" s="243">
        <f t="array" ref="I334">SUM(IF("156"&amp;B334=KHC&amp;MH,TH))</f>
        <v>4164792</v>
      </c>
      <c r="J334" s="243">
        <f t="shared" si="17"/>
        <v>900</v>
      </c>
      <c r="K334" s="243">
        <f t="shared" si="18"/>
        <v>3492000</v>
      </c>
      <c r="L334" s="181">
        <f>K334/J334</f>
        <v>3880</v>
      </c>
      <c r="N334" s="244"/>
      <c r="O334" s="244"/>
    </row>
    <row r="335" spans="1:15" ht="19.5" customHeight="1">
      <c r="A335" s="240">
        <f t="shared" si="16"/>
        <v>324</v>
      </c>
      <c r="B335" s="249" t="s">
        <v>726</v>
      </c>
      <c r="C335" s="242" t="s">
        <v>262</v>
      </c>
      <c r="D335" s="243"/>
      <c r="E335" s="243"/>
      <c r="F335" s="243">
        <f t="array" ref="F335">SUM(IF("156"&amp;B335=KHN&amp;MH,SL))</f>
        <v>36</v>
      </c>
      <c r="G335" s="243">
        <f t="array" ref="G335">SUM(IF("156"&amp;B335=KHN&amp;MH,TH))</f>
        <v>285084</v>
      </c>
      <c r="H335" s="243">
        <f t="array" ref="H335">SUM(IF("156"&amp;B335=KHC&amp;MH,SL))</f>
        <v>36</v>
      </c>
      <c r="I335" s="243">
        <f t="array" ref="I335">SUM(IF("156"&amp;B335=KHC&amp;MH,TH))</f>
        <v>285084</v>
      </c>
      <c r="J335" s="243">
        <f t="shared" si="17"/>
        <v>0</v>
      </c>
      <c r="K335" s="243">
        <f t="shared" si="18"/>
        <v>0</v>
      </c>
      <c r="L335" s="181"/>
    </row>
    <row r="336" spans="1:15" ht="19.5" customHeight="1">
      <c r="A336" s="240">
        <f t="shared" si="16"/>
        <v>325</v>
      </c>
      <c r="B336" s="249" t="s">
        <v>723</v>
      </c>
      <c r="C336" s="242" t="s">
        <v>262</v>
      </c>
      <c r="D336" s="243"/>
      <c r="E336" s="243"/>
      <c r="F336" s="243">
        <f t="array" ref="F336">SUM(IF("156"&amp;B336=KHN&amp;MH,SL))</f>
        <v>106</v>
      </c>
      <c r="G336" s="243">
        <f t="array" ref="G336">SUM(IF("156"&amp;B336=KHN&amp;MH,TH))</f>
        <v>1127428</v>
      </c>
      <c r="H336" s="243">
        <f t="array" ref="H336">SUM(IF("156"&amp;B336=KHC&amp;MH,SL))</f>
        <v>106</v>
      </c>
      <c r="I336" s="243">
        <f t="array" ref="I336">SUM(IF("156"&amp;B336=KHC&amp;MH,TH))</f>
        <v>1127428</v>
      </c>
      <c r="J336" s="243">
        <f t="shared" si="17"/>
        <v>0</v>
      </c>
      <c r="K336" s="243">
        <f t="shared" si="18"/>
        <v>0</v>
      </c>
      <c r="L336" s="181"/>
    </row>
    <row r="337" spans="1:12" ht="19.5" customHeight="1">
      <c r="A337" s="240">
        <f t="shared" si="16"/>
        <v>326</v>
      </c>
      <c r="B337" s="249" t="s">
        <v>722</v>
      </c>
      <c r="C337" s="242" t="s">
        <v>262</v>
      </c>
      <c r="D337" s="243"/>
      <c r="E337" s="243"/>
      <c r="F337" s="243">
        <f t="array" ref="F337">SUM(IF("156"&amp;B337=KHN&amp;MH,SL))</f>
        <v>72</v>
      </c>
      <c r="G337" s="243">
        <f t="array" ref="G337">SUM(IF("156"&amp;B337=KHN&amp;MH,TH))</f>
        <v>888516</v>
      </c>
      <c r="H337" s="243">
        <f t="array" ref="H337">SUM(IF("156"&amp;B337=KHC&amp;MH,SL))</f>
        <v>72</v>
      </c>
      <c r="I337" s="243">
        <f t="array" ref="I337">SUM(IF("156"&amp;B337=KHC&amp;MH,TH))</f>
        <v>888516</v>
      </c>
      <c r="J337" s="243">
        <f t="shared" si="17"/>
        <v>0</v>
      </c>
      <c r="K337" s="243">
        <f t="shared" si="18"/>
        <v>0</v>
      </c>
      <c r="L337" s="181"/>
    </row>
    <row r="338" spans="1:12" ht="19.5" customHeight="1">
      <c r="A338" s="240">
        <f t="shared" si="16"/>
        <v>327</v>
      </c>
      <c r="B338" s="249" t="s">
        <v>729</v>
      </c>
      <c r="C338" s="242" t="s">
        <v>262</v>
      </c>
      <c r="D338" s="243"/>
      <c r="E338" s="243"/>
      <c r="F338" s="243">
        <f t="array" ref="F338">SUM(IF("156"&amp;B338=KHN&amp;MH,SL))</f>
        <v>72</v>
      </c>
      <c r="G338" s="243">
        <f t="array" ref="G338">SUM(IF("156"&amp;B338=KHN&amp;MH,TH))</f>
        <v>851832</v>
      </c>
      <c r="H338" s="243">
        <f t="array" ref="H338">SUM(IF("156"&amp;B338=KHC&amp;MH,SL))</f>
        <v>72</v>
      </c>
      <c r="I338" s="243">
        <f t="array" ref="I338">SUM(IF("156"&amp;B338=KHC&amp;MH,TH))</f>
        <v>851832</v>
      </c>
      <c r="J338" s="243">
        <f t="shared" si="17"/>
        <v>0</v>
      </c>
      <c r="K338" s="243">
        <f t="shared" si="18"/>
        <v>0</v>
      </c>
      <c r="L338" s="181"/>
    </row>
    <row r="339" spans="1:12" ht="19.5" customHeight="1">
      <c r="A339" s="240">
        <f t="shared" si="16"/>
        <v>328</v>
      </c>
      <c r="B339" s="250" t="s">
        <v>1669</v>
      </c>
      <c r="C339" s="242"/>
      <c r="D339" s="243"/>
      <c r="E339" s="243"/>
      <c r="F339" s="243">
        <f t="array" ref="F339">SUM(IF("156"&amp;B339=KHN&amp;MH,SL))</f>
        <v>35</v>
      </c>
      <c r="G339" s="243">
        <f t="array" ref="G339">SUM(IF("156"&amp;B339=KHN&amp;MH,TH))</f>
        <v>494480</v>
      </c>
      <c r="H339" s="243">
        <f t="array" ref="H339">SUM(IF("156"&amp;B339=KHC&amp;MH,SL))</f>
        <v>0</v>
      </c>
      <c r="I339" s="243">
        <f t="array" ref="I339">SUM(IF("156"&amp;B339=KHC&amp;MH,TH))</f>
        <v>0</v>
      </c>
      <c r="J339" s="243">
        <f t="shared" si="17"/>
        <v>35</v>
      </c>
      <c r="K339" s="243">
        <f t="shared" si="18"/>
        <v>494480</v>
      </c>
      <c r="L339" s="181"/>
    </row>
    <row r="340" spans="1:12" ht="19.5" customHeight="1">
      <c r="A340" s="240">
        <f t="shared" si="16"/>
        <v>329</v>
      </c>
      <c r="B340" s="249" t="s">
        <v>1064</v>
      </c>
      <c r="C340" s="242" t="s">
        <v>262</v>
      </c>
      <c r="D340" s="243"/>
      <c r="E340" s="243"/>
      <c r="F340" s="243">
        <f t="array" ref="F340">SUM(IF("156"&amp;B340=KHN&amp;MH,SL))</f>
        <v>10</v>
      </c>
      <c r="G340" s="243">
        <f t="array" ref="G340">SUM(IF("156"&amp;B340=KHN&amp;MH,TH))</f>
        <v>158440</v>
      </c>
      <c r="H340" s="243">
        <f t="array" ref="H340">SUM(IF("156"&amp;B340=KHC&amp;MH,SL))</f>
        <v>10</v>
      </c>
      <c r="I340" s="243">
        <f t="array" ref="I340">SUM(IF("156"&amp;B340=KHC&amp;MH,TH))</f>
        <v>158440</v>
      </c>
      <c r="J340" s="243">
        <f t="shared" si="17"/>
        <v>0</v>
      </c>
      <c r="K340" s="243">
        <f t="shared" si="18"/>
        <v>0</v>
      </c>
      <c r="L340" s="181"/>
    </row>
    <row r="341" spans="1:12" ht="19.5" customHeight="1">
      <c r="A341" s="240">
        <f t="shared" si="16"/>
        <v>330</v>
      </c>
      <c r="B341" s="250" t="s">
        <v>1486</v>
      </c>
      <c r="C341" s="242"/>
      <c r="D341" s="243"/>
      <c r="E341" s="243"/>
      <c r="F341" s="243">
        <f t="array" ref="F341">SUM(IF("156"&amp;B341=KHN&amp;MH,SL))</f>
        <v>12</v>
      </c>
      <c r="G341" s="243">
        <f t="array" ref="G341">SUM(IF("156"&amp;B341=KHN&amp;MH,TH))</f>
        <v>91920</v>
      </c>
      <c r="H341" s="243">
        <f t="array" ref="H341">SUM(IF("156"&amp;B341=KHC&amp;MH,SL))</f>
        <v>0</v>
      </c>
      <c r="I341" s="243">
        <f t="array" ref="I341">SUM(IF("156"&amp;B341=KHC&amp;MH,TH))</f>
        <v>0</v>
      </c>
      <c r="J341" s="243">
        <f t="shared" si="17"/>
        <v>12</v>
      </c>
      <c r="K341" s="243">
        <f t="shared" si="18"/>
        <v>91920</v>
      </c>
      <c r="L341" s="181"/>
    </row>
    <row r="342" spans="1:12" ht="19.5" customHeight="1">
      <c r="A342" s="240">
        <f t="shared" si="16"/>
        <v>331</v>
      </c>
      <c r="B342" s="245" t="s">
        <v>670</v>
      </c>
      <c r="C342" s="242" t="s">
        <v>262</v>
      </c>
      <c r="D342" s="243"/>
      <c r="E342" s="243"/>
      <c r="F342" s="243">
        <f t="array" ref="F342">SUM(IF("156"&amp;B342=KHN&amp;MH,SL))</f>
        <v>208</v>
      </c>
      <c r="G342" s="243">
        <f t="array" ref="G342">SUM(IF("156"&amp;B342=KHN&amp;MH,TH))</f>
        <v>1948100</v>
      </c>
      <c r="H342" s="243">
        <f t="array" ref="H342">SUM(IF("156"&amp;B342=KHC&amp;MH,SL))</f>
        <v>208</v>
      </c>
      <c r="I342" s="243">
        <f t="array" ref="I342">SUM(IF("156"&amp;B342=KHC&amp;MH,TH))</f>
        <v>1948100</v>
      </c>
      <c r="J342" s="243">
        <f t="shared" si="17"/>
        <v>0</v>
      </c>
      <c r="K342" s="243">
        <f t="shared" si="18"/>
        <v>0</v>
      </c>
      <c r="L342" s="181"/>
    </row>
    <row r="343" spans="1:12" ht="19.5" customHeight="1">
      <c r="A343" s="240">
        <f t="shared" si="16"/>
        <v>332</v>
      </c>
      <c r="B343" s="249" t="s">
        <v>665</v>
      </c>
      <c r="C343" s="242" t="s">
        <v>262</v>
      </c>
      <c r="D343" s="243"/>
      <c r="E343" s="243"/>
      <c r="F343" s="243">
        <f t="array" ref="F343">SUM(IF("156"&amp;B343=KHN&amp;MH,SL))</f>
        <v>208</v>
      </c>
      <c r="G343" s="243">
        <f t="array" ref="G343">SUM(IF("156"&amp;B343=KHN&amp;MH,TH))</f>
        <v>3062356</v>
      </c>
      <c r="H343" s="243">
        <f t="array" ref="H343">SUM(IF("156"&amp;B343=KHC&amp;MH,SL))</f>
        <v>208</v>
      </c>
      <c r="I343" s="243">
        <f t="array" ref="I343">SUM(IF("156"&amp;B343=KHC&amp;MH,TH))</f>
        <v>3062356</v>
      </c>
      <c r="J343" s="243">
        <f t="shared" si="17"/>
        <v>0</v>
      </c>
      <c r="K343" s="243">
        <f t="shared" si="18"/>
        <v>0</v>
      </c>
      <c r="L343" s="181"/>
    </row>
    <row r="344" spans="1:12" ht="19.5" customHeight="1">
      <c r="A344" s="240">
        <f t="shared" si="16"/>
        <v>333</v>
      </c>
      <c r="B344" s="250" t="s">
        <v>1247</v>
      </c>
      <c r="C344" s="242" t="s">
        <v>262</v>
      </c>
      <c r="D344" s="243"/>
      <c r="E344" s="243"/>
      <c r="F344" s="243">
        <f t="array" ref="F344">SUM(IF("156"&amp;B344=KHN&amp;MH,SL))</f>
        <v>36</v>
      </c>
      <c r="G344" s="243">
        <f t="array" ref="G344">SUM(IF("156"&amp;B344=KHN&amp;MH,TH))</f>
        <v>165456</v>
      </c>
      <c r="H344" s="243">
        <f t="array" ref="H344">SUM(IF("156"&amp;B344=KHC&amp;MH,SL))</f>
        <v>36</v>
      </c>
      <c r="I344" s="243">
        <f t="array" ref="I344">SUM(IF("156"&amp;B344=KHC&amp;MH,TH))</f>
        <v>165456</v>
      </c>
      <c r="J344" s="243">
        <f t="shared" si="17"/>
        <v>0</v>
      </c>
      <c r="K344" s="243">
        <f t="shared" si="18"/>
        <v>0</v>
      </c>
      <c r="L344" s="181"/>
    </row>
    <row r="345" spans="1:12" ht="19.5" customHeight="1">
      <c r="A345" s="240">
        <f t="shared" si="16"/>
        <v>334</v>
      </c>
      <c r="B345" s="249" t="s">
        <v>1037</v>
      </c>
      <c r="C345" s="242" t="s">
        <v>262</v>
      </c>
      <c r="D345" s="243"/>
      <c r="E345" s="243"/>
      <c r="F345" s="243">
        <f t="array" ref="F345">SUM(IF("156"&amp;B345=KHN&amp;MH,SL))</f>
        <v>600</v>
      </c>
      <c r="G345" s="243">
        <f t="array" ref="G345">SUM(IF("156"&amp;B345=KHN&amp;MH,TH))</f>
        <v>6380402</v>
      </c>
      <c r="H345" s="243">
        <f t="array" ref="H345">SUM(IF("156"&amp;B345=KHC&amp;MH,SL))</f>
        <v>600</v>
      </c>
      <c r="I345" s="243">
        <f t="array" ref="I345">SUM(IF("156"&amp;B345=KHC&amp;MH,TH))</f>
        <v>6380402</v>
      </c>
      <c r="J345" s="243">
        <f t="shared" si="17"/>
        <v>0</v>
      </c>
      <c r="K345" s="243">
        <f t="shared" si="18"/>
        <v>0</v>
      </c>
      <c r="L345" s="181"/>
    </row>
    <row r="346" spans="1:12" ht="19.5" customHeight="1">
      <c r="A346" s="240">
        <f t="shared" si="16"/>
        <v>335</v>
      </c>
      <c r="B346" s="249" t="s">
        <v>782</v>
      </c>
      <c r="C346" s="242" t="s">
        <v>262</v>
      </c>
      <c r="D346" s="243"/>
      <c r="E346" s="243"/>
      <c r="F346" s="243">
        <f t="array" ref="F346">SUM(IF("156"&amp;B346=KHN&amp;MH,SL))</f>
        <v>200</v>
      </c>
      <c r="G346" s="243">
        <f t="array" ref="G346">SUM(IF("156"&amp;B346=KHN&amp;MH,TH))</f>
        <v>1389052</v>
      </c>
      <c r="H346" s="243">
        <f t="array" ref="H346">SUM(IF("156"&amp;B346=KHC&amp;MH,SL))</f>
        <v>200</v>
      </c>
      <c r="I346" s="243">
        <f t="array" ref="I346">SUM(IF("156"&amp;B346=KHC&amp;MH,TH))</f>
        <v>1389052</v>
      </c>
      <c r="J346" s="243">
        <f t="shared" si="17"/>
        <v>0</v>
      </c>
      <c r="K346" s="243">
        <f t="shared" si="18"/>
        <v>0</v>
      </c>
      <c r="L346" s="181"/>
    </row>
    <row r="347" spans="1:12" ht="19.5" customHeight="1">
      <c r="A347" s="240">
        <f t="shared" si="16"/>
        <v>336</v>
      </c>
      <c r="B347" s="249" t="s">
        <v>778</v>
      </c>
      <c r="C347" s="242" t="s">
        <v>262</v>
      </c>
      <c r="D347" s="243"/>
      <c r="E347" s="243"/>
      <c r="F347" s="243">
        <f t="array" ref="F347">SUM(IF("156"&amp;B347=KHN&amp;MH,SL))</f>
        <v>100</v>
      </c>
      <c r="G347" s="243">
        <f t="array" ref="G347">SUM(IF("156"&amp;B347=KHN&amp;MH,TH))</f>
        <v>850738</v>
      </c>
      <c r="H347" s="243">
        <f t="array" ref="H347">SUM(IF("156"&amp;B347=KHC&amp;MH,SL))</f>
        <v>100</v>
      </c>
      <c r="I347" s="243">
        <f t="array" ref="I347">SUM(IF("156"&amp;B347=KHC&amp;MH,TH))</f>
        <v>850738</v>
      </c>
      <c r="J347" s="243">
        <f t="shared" si="17"/>
        <v>0</v>
      </c>
      <c r="K347" s="243">
        <f t="shared" si="18"/>
        <v>0</v>
      </c>
      <c r="L347" s="181"/>
    </row>
    <row r="348" spans="1:12" ht="19.5" customHeight="1">
      <c r="A348" s="240">
        <f t="shared" si="16"/>
        <v>337</v>
      </c>
      <c r="B348" s="249" t="s">
        <v>668</v>
      </c>
      <c r="C348" s="242" t="s">
        <v>262</v>
      </c>
      <c r="D348" s="243"/>
      <c r="E348" s="243"/>
      <c r="F348" s="243">
        <f t="array" ref="F348">SUM(IF("156"&amp;B348=KHN&amp;MH,SL))</f>
        <v>144</v>
      </c>
      <c r="G348" s="243">
        <f t="array" ref="G348">SUM(IF("156"&amp;B348=KHN&amp;MH,TH))</f>
        <v>1254528</v>
      </c>
      <c r="H348" s="243">
        <f t="array" ref="H348">SUM(IF("156"&amp;B348=KHC&amp;MH,SL))</f>
        <v>144</v>
      </c>
      <c r="I348" s="243">
        <f t="array" ref="I348">SUM(IF("156"&amp;B348=KHC&amp;MH,TH))</f>
        <v>1254528</v>
      </c>
      <c r="J348" s="243">
        <f t="shared" si="17"/>
        <v>0</v>
      </c>
      <c r="K348" s="243">
        <f t="shared" si="18"/>
        <v>0</v>
      </c>
      <c r="L348" s="181"/>
    </row>
    <row r="349" spans="1:12" ht="19.5" customHeight="1">
      <c r="A349" s="240">
        <f t="shared" si="16"/>
        <v>338</v>
      </c>
      <c r="B349" s="249" t="s">
        <v>677</v>
      </c>
      <c r="C349" s="242" t="s">
        <v>262</v>
      </c>
      <c r="D349" s="243"/>
      <c r="E349" s="243"/>
      <c r="F349" s="243">
        <f t="array" ref="F349">SUM(IF("156"&amp;B349=KHN&amp;MH,SL))</f>
        <v>117</v>
      </c>
      <c r="G349" s="243">
        <f t="array" ref="G349">SUM(IF("156"&amp;B349=KHN&amp;MH,TH))</f>
        <v>1106352</v>
      </c>
      <c r="H349" s="243">
        <f t="array" ref="H349">SUM(IF("156"&amp;B349=KHC&amp;MH,SL))</f>
        <v>117</v>
      </c>
      <c r="I349" s="243">
        <f t="array" ref="I349">SUM(IF("156"&amp;B349=KHC&amp;MH,TH))</f>
        <v>1106352</v>
      </c>
      <c r="J349" s="243">
        <f t="shared" si="17"/>
        <v>0</v>
      </c>
      <c r="K349" s="243">
        <f t="shared" si="18"/>
        <v>0</v>
      </c>
      <c r="L349" s="181"/>
    </row>
    <row r="350" spans="1:12" ht="19.5" customHeight="1">
      <c r="A350" s="240">
        <f t="shared" si="16"/>
        <v>339</v>
      </c>
      <c r="B350" s="249" t="s">
        <v>674</v>
      </c>
      <c r="C350" s="242" t="s">
        <v>262</v>
      </c>
      <c r="D350" s="243"/>
      <c r="E350" s="243"/>
      <c r="F350" s="243">
        <f t="array" ref="F350">SUM(IF("156"&amp;B350=KHN&amp;MH,SL))</f>
        <v>126</v>
      </c>
      <c r="G350" s="243">
        <f t="array" ref="G350">SUM(IF("156"&amp;B350=KHN&amp;MH,TH))</f>
        <v>1284948</v>
      </c>
      <c r="H350" s="243">
        <f t="array" ref="H350">SUM(IF("156"&amp;B350=KHC&amp;MH,SL))</f>
        <v>126</v>
      </c>
      <c r="I350" s="243">
        <f t="array" ref="I350">SUM(IF("156"&amp;B350=KHC&amp;MH,TH))</f>
        <v>1284948</v>
      </c>
      <c r="J350" s="243">
        <f t="shared" si="17"/>
        <v>0</v>
      </c>
      <c r="K350" s="243">
        <f t="shared" si="18"/>
        <v>0</v>
      </c>
      <c r="L350" s="181"/>
    </row>
    <row r="351" spans="1:12" ht="19.5" customHeight="1">
      <c r="A351" s="240">
        <f t="shared" si="16"/>
        <v>340</v>
      </c>
      <c r="B351" s="249" t="s">
        <v>1432</v>
      </c>
      <c r="C351" s="242"/>
      <c r="D351" s="243"/>
      <c r="E351" s="243"/>
      <c r="F351" s="243">
        <f t="array" ref="F351">SUM(IF("156"&amp;B351=KHN&amp;MH,SL))</f>
        <v>500</v>
      </c>
      <c r="G351" s="243">
        <f t="array" ref="G351">SUM(IF("156"&amp;B351=KHN&amp;MH,TH))</f>
        <v>4772500</v>
      </c>
      <c r="H351" s="243">
        <f t="array" ref="H351">SUM(IF("156"&amp;B351=KHC&amp;MH,SL))</f>
        <v>0</v>
      </c>
      <c r="I351" s="243">
        <f t="array" ref="I351">SUM(IF("156"&amp;B351=KHC&amp;MH,TH))</f>
        <v>0</v>
      </c>
      <c r="J351" s="243">
        <f t="shared" si="17"/>
        <v>500</v>
      </c>
      <c r="K351" s="243">
        <f t="shared" si="18"/>
        <v>4772500</v>
      </c>
      <c r="L351" s="181"/>
    </row>
    <row r="352" spans="1:12" ht="19.5" customHeight="1">
      <c r="A352" s="240">
        <f t="shared" si="16"/>
        <v>341</v>
      </c>
      <c r="B352" s="249" t="s">
        <v>706</v>
      </c>
      <c r="C352" s="242" t="s">
        <v>262</v>
      </c>
      <c r="D352" s="243"/>
      <c r="E352" s="243"/>
      <c r="F352" s="243">
        <f t="array" ref="F352">SUM(IF("156"&amp;B352=KHN&amp;MH,SL))</f>
        <v>24</v>
      </c>
      <c r="G352" s="243">
        <f t="array" ref="G352">SUM(IF("156"&amp;B352=KHN&amp;MH,TH))</f>
        <v>584112</v>
      </c>
      <c r="H352" s="243">
        <f t="array" ref="H352">SUM(IF("156"&amp;B352=KHC&amp;MH,SL))</f>
        <v>16</v>
      </c>
      <c r="I352" s="243">
        <f t="array" ref="I352">SUM(IF("156"&amp;B352=KHC&amp;MH,TH))</f>
        <v>389408</v>
      </c>
      <c r="J352" s="243">
        <f t="shared" si="17"/>
        <v>8</v>
      </c>
      <c r="K352" s="243">
        <f t="shared" si="18"/>
        <v>194704</v>
      </c>
      <c r="L352" s="181">
        <f>K352/J352</f>
        <v>24338</v>
      </c>
    </row>
    <row r="353" spans="1:12" ht="19.5" customHeight="1">
      <c r="A353" s="240">
        <f t="shared" si="16"/>
        <v>342</v>
      </c>
      <c r="B353" s="250" t="s">
        <v>1250</v>
      </c>
      <c r="C353" s="242" t="s">
        <v>262</v>
      </c>
      <c r="D353" s="243"/>
      <c r="E353" s="243"/>
      <c r="F353" s="243">
        <f t="array" ref="F353">SUM(IF("156"&amp;B353=KHN&amp;MH,SL))</f>
        <v>8</v>
      </c>
      <c r="G353" s="243">
        <f t="array" ref="G353">SUM(IF("156"&amp;B353=KHN&amp;MH,TH))</f>
        <v>206120</v>
      </c>
      <c r="H353" s="243">
        <f t="array" ref="H353">SUM(IF("156"&amp;B353=KHC&amp;MH,SL))</f>
        <v>8</v>
      </c>
      <c r="I353" s="243">
        <f t="array" ref="I353">SUM(IF("156"&amp;B353=KHC&amp;MH,TH))</f>
        <v>206120</v>
      </c>
      <c r="J353" s="243">
        <f t="shared" si="17"/>
        <v>0</v>
      </c>
      <c r="K353" s="243">
        <f t="shared" si="18"/>
        <v>0</v>
      </c>
      <c r="L353" s="181"/>
    </row>
    <row r="354" spans="1:12" ht="19.5" customHeight="1">
      <c r="A354" s="240">
        <f t="shared" si="16"/>
        <v>343</v>
      </c>
      <c r="B354" s="249" t="s">
        <v>707</v>
      </c>
      <c r="C354" s="242" t="s">
        <v>262</v>
      </c>
      <c r="D354" s="243"/>
      <c r="E354" s="243"/>
      <c r="F354" s="243">
        <f t="array" ref="F354">SUM(IF("156"&amp;B354=KHN&amp;MH,SL))</f>
        <v>24</v>
      </c>
      <c r="G354" s="243">
        <f t="array" ref="G354">SUM(IF("156"&amp;B354=KHN&amp;MH,TH))</f>
        <v>713904</v>
      </c>
      <c r="H354" s="243">
        <f t="array" ref="H354">SUM(IF("156"&amp;B354=KHC&amp;MH,SL))</f>
        <v>24</v>
      </c>
      <c r="I354" s="243">
        <f t="array" ref="I354">SUM(IF("156"&amp;B354=KHC&amp;MH,TH))</f>
        <v>713904</v>
      </c>
      <c r="J354" s="243">
        <f t="shared" si="17"/>
        <v>0</v>
      </c>
      <c r="K354" s="243">
        <f t="shared" si="18"/>
        <v>0</v>
      </c>
      <c r="L354" s="181"/>
    </row>
    <row r="355" spans="1:12" ht="19.5" customHeight="1">
      <c r="A355" s="240">
        <f t="shared" si="16"/>
        <v>344</v>
      </c>
      <c r="B355" s="249" t="s">
        <v>1165</v>
      </c>
      <c r="C355" s="242" t="s">
        <v>262</v>
      </c>
      <c r="D355" s="243"/>
      <c r="E355" s="243"/>
      <c r="F355" s="243">
        <f t="array" ref="F355">SUM(IF("156"&amp;B355=KHN&amp;MH,SL))</f>
        <v>8</v>
      </c>
      <c r="G355" s="243">
        <f t="array" ref="G355">SUM(IF("156"&amp;B355=KHN&amp;MH,TH))</f>
        <v>241600</v>
      </c>
      <c r="H355" s="243">
        <f t="array" ref="H355">SUM(IF("156"&amp;B355=KHC&amp;MH,SL))</f>
        <v>8</v>
      </c>
      <c r="I355" s="243">
        <f t="array" ref="I355">SUM(IF("156"&amp;B355=KHC&amp;MH,TH))</f>
        <v>241600</v>
      </c>
      <c r="J355" s="243">
        <f t="shared" si="17"/>
        <v>0</v>
      </c>
      <c r="K355" s="243">
        <f t="shared" si="18"/>
        <v>0</v>
      </c>
      <c r="L355" s="181"/>
    </row>
    <row r="356" spans="1:12" ht="19.5" customHeight="1">
      <c r="A356" s="240">
        <f t="shared" si="16"/>
        <v>345</v>
      </c>
      <c r="B356" s="250" t="s">
        <v>1245</v>
      </c>
      <c r="C356" s="242" t="s">
        <v>262</v>
      </c>
      <c r="D356" s="243"/>
      <c r="E356" s="243"/>
      <c r="F356" s="243">
        <f t="array" ref="F356">SUM(IF("156"&amp;B356=KHN&amp;MH,SL))</f>
        <v>30</v>
      </c>
      <c r="G356" s="243">
        <f t="array" ref="G356">SUM(IF("156"&amp;B356=KHN&amp;MH,TH))</f>
        <v>463122</v>
      </c>
      <c r="H356" s="243">
        <f t="array" ref="H356">SUM(IF("156"&amp;B356=KHC&amp;MH,SL))</f>
        <v>12</v>
      </c>
      <c r="I356" s="243">
        <f t="array" ref="I356">SUM(IF("156"&amp;B356=KHC&amp;MH,TH))</f>
        <v>184896</v>
      </c>
      <c r="J356" s="243">
        <f t="shared" si="17"/>
        <v>18</v>
      </c>
      <c r="K356" s="243">
        <f t="shared" si="18"/>
        <v>278226</v>
      </c>
      <c r="L356" s="181"/>
    </row>
    <row r="357" spans="1:12" ht="19.5" customHeight="1">
      <c r="A357" s="240">
        <f t="shared" si="16"/>
        <v>346</v>
      </c>
      <c r="B357" s="250" t="s">
        <v>1226</v>
      </c>
      <c r="C357" s="242" t="s">
        <v>262</v>
      </c>
      <c r="D357" s="243"/>
      <c r="E357" s="243"/>
      <c r="F357" s="243">
        <f t="array" ref="F357">SUM(IF("156"&amp;B357=KHN&amp;MH,SL))</f>
        <v>36</v>
      </c>
      <c r="G357" s="243">
        <f t="array" ref="G357">SUM(IF("156"&amp;B357=KHN&amp;MH,TH))</f>
        <v>639564</v>
      </c>
      <c r="H357" s="243">
        <f t="array" ref="H357">SUM(IF("156"&amp;B357=KHC&amp;MH,SL))</f>
        <v>36</v>
      </c>
      <c r="I357" s="243">
        <f t="array" ref="I357">SUM(IF("156"&amp;B357=KHC&amp;MH,TH))</f>
        <v>639564</v>
      </c>
      <c r="J357" s="243">
        <f t="shared" si="17"/>
        <v>0</v>
      </c>
      <c r="K357" s="243">
        <f t="shared" si="18"/>
        <v>0</v>
      </c>
      <c r="L357" s="181"/>
    </row>
    <row r="358" spans="1:12" ht="19.5" customHeight="1">
      <c r="A358" s="240">
        <f t="shared" si="16"/>
        <v>347</v>
      </c>
      <c r="B358" s="249" t="s">
        <v>1114</v>
      </c>
      <c r="C358" s="242" t="s">
        <v>262</v>
      </c>
      <c r="D358" s="243"/>
      <c r="E358" s="243"/>
      <c r="F358" s="243">
        <f t="array" ref="F358">SUM(IF("156"&amp;B358=KHN&amp;MH,SL))</f>
        <v>792</v>
      </c>
      <c r="G358" s="243">
        <f t="array" ref="G358">SUM(IF("156"&amp;B358=KHN&amp;MH,TH))</f>
        <v>4252769</v>
      </c>
      <c r="H358" s="243">
        <f t="array" ref="H358">SUM(IF("156"&amp;B358=KHC&amp;MH,SL))</f>
        <v>792</v>
      </c>
      <c r="I358" s="243">
        <f t="array" ref="I358">SUM(IF("156"&amp;B358=KHC&amp;MH,TH))</f>
        <v>4252769</v>
      </c>
      <c r="J358" s="243">
        <f t="shared" si="17"/>
        <v>0</v>
      </c>
      <c r="K358" s="243">
        <f t="shared" si="18"/>
        <v>0</v>
      </c>
      <c r="L358" s="181"/>
    </row>
    <row r="359" spans="1:12" ht="19.5" customHeight="1">
      <c r="A359" s="240">
        <f t="shared" si="16"/>
        <v>348</v>
      </c>
      <c r="B359" s="249" t="s">
        <v>1414</v>
      </c>
      <c r="C359" s="242"/>
      <c r="D359" s="243"/>
      <c r="E359" s="243"/>
      <c r="F359" s="243">
        <f t="array" ref="F359">SUM(IF("156"&amp;B359=KHN&amp;MH,SL))</f>
        <v>1000</v>
      </c>
      <c r="G359" s="243">
        <f t="array" ref="G359">SUM(IF("156"&amp;B359=KHN&amp;MH,TH))</f>
        <v>9641000</v>
      </c>
      <c r="H359" s="243">
        <f t="array" ref="H359">SUM(IF("156"&amp;B359=KHC&amp;MH,SL))</f>
        <v>0</v>
      </c>
      <c r="I359" s="243">
        <f t="array" ref="I359">SUM(IF("156"&amp;B359=KHC&amp;MH,TH))</f>
        <v>0</v>
      </c>
      <c r="J359" s="243">
        <f t="shared" si="17"/>
        <v>1000</v>
      </c>
      <c r="K359" s="243">
        <f t="shared" si="18"/>
        <v>9641000</v>
      </c>
      <c r="L359" s="181"/>
    </row>
    <row r="360" spans="1:12" ht="19.5" customHeight="1">
      <c r="A360" s="240">
        <f t="shared" si="16"/>
        <v>349</v>
      </c>
      <c r="B360" s="249" t="s">
        <v>752</v>
      </c>
      <c r="C360" s="242" t="s">
        <v>262</v>
      </c>
      <c r="D360" s="243"/>
      <c r="E360" s="243"/>
      <c r="F360" s="243">
        <f t="array" ref="F360">SUM(IF("156"&amp;B360=KHN&amp;MH,SL))</f>
        <v>117</v>
      </c>
      <c r="G360" s="243">
        <f t="array" ref="G360">SUM(IF("156"&amp;B360=KHN&amp;MH,TH))</f>
        <v>1179477</v>
      </c>
      <c r="H360" s="243">
        <f t="array" ref="H360">SUM(IF("156"&amp;B360=KHC&amp;MH,SL))</f>
        <v>117</v>
      </c>
      <c r="I360" s="243">
        <f t="array" ref="I360">SUM(IF("156"&amp;B360=KHC&amp;MH,TH))</f>
        <v>1179477</v>
      </c>
      <c r="J360" s="243">
        <f t="shared" si="17"/>
        <v>0</v>
      </c>
      <c r="K360" s="243">
        <f t="shared" si="18"/>
        <v>0</v>
      </c>
      <c r="L360" s="181"/>
    </row>
    <row r="361" spans="1:12" ht="19.5" customHeight="1">
      <c r="A361" s="240">
        <f t="shared" si="16"/>
        <v>350</v>
      </c>
      <c r="B361" s="249" t="s">
        <v>1015</v>
      </c>
      <c r="C361" s="242" t="s">
        <v>262</v>
      </c>
      <c r="D361" s="243"/>
      <c r="E361" s="243"/>
      <c r="F361" s="243">
        <f t="array" ref="F361">SUM(IF("156"&amp;B361=KHN&amp;MH,SL))</f>
        <v>4</v>
      </c>
      <c r="G361" s="243">
        <f t="array" ref="G361">SUM(IF("156"&amp;B361=KHN&amp;MH,TH))</f>
        <v>66464</v>
      </c>
      <c r="H361" s="243">
        <f t="array" ref="H361">SUM(IF("156"&amp;B361=KHC&amp;MH,SL))</f>
        <v>4</v>
      </c>
      <c r="I361" s="243">
        <f t="array" ref="I361">SUM(IF("156"&amp;B361=KHC&amp;MH,TH))</f>
        <v>66464</v>
      </c>
      <c r="J361" s="243">
        <f t="shared" si="17"/>
        <v>0</v>
      </c>
      <c r="K361" s="243">
        <f t="shared" si="18"/>
        <v>0</v>
      </c>
      <c r="L361" s="181"/>
    </row>
    <row r="362" spans="1:12" ht="19.5" customHeight="1">
      <c r="A362" s="240">
        <f t="shared" si="16"/>
        <v>351</v>
      </c>
      <c r="B362" s="249" t="s">
        <v>1179</v>
      </c>
      <c r="C362" s="242" t="s">
        <v>262</v>
      </c>
      <c r="D362" s="243"/>
      <c r="E362" s="243"/>
      <c r="F362" s="243">
        <f t="array" ref="F362">SUM(IF("156"&amp;B362=KHN&amp;MH,SL))</f>
        <v>12</v>
      </c>
      <c r="G362" s="243">
        <f t="array" ref="G362">SUM(IF("156"&amp;B362=KHN&amp;MH,TH))</f>
        <v>186696</v>
      </c>
      <c r="H362" s="243">
        <f t="array" ref="H362">SUM(IF("156"&amp;B362=KHC&amp;MH,SL))</f>
        <v>12</v>
      </c>
      <c r="I362" s="243">
        <f t="array" ref="I362">SUM(IF("156"&amp;B362=KHC&amp;MH,TH))</f>
        <v>186696</v>
      </c>
      <c r="J362" s="243">
        <f t="shared" si="17"/>
        <v>0</v>
      </c>
      <c r="K362" s="243">
        <f t="shared" si="18"/>
        <v>0</v>
      </c>
      <c r="L362" s="181"/>
    </row>
    <row r="363" spans="1:12" ht="19.5" customHeight="1">
      <c r="A363" s="240">
        <f t="shared" si="16"/>
        <v>352</v>
      </c>
      <c r="B363" s="249" t="s">
        <v>1166</v>
      </c>
      <c r="C363" s="242" t="s">
        <v>262</v>
      </c>
      <c r="D363" s="243"/>
      <c r="E363" s="243"/>
      <c r="F363" s="243">
        <f t="array" ref="F363">SUM(IF("156"&amp;B363=KHN&amp;MH,SL))</f>
        <v>18</v>
      </c>
      <c r="G363" s="243">
        <f t="array" ref="G363">SUM(IF("156"&amp;B363=KHN&amp;MH,TH))</f>
        <v>237414</v>
      </c>
      <c r="H363" s="243">
        <f t="array" ref="H363">SUM(IF("156"&amp;B363=KHC&amp;MH,SL))</f>
        <v>18</v>
      </c>
      <c r="I363" s="243">
        <f t="array" ref="I363">SUM(IF("156"&amp;B363=KHC&amp;MH,TH))</f>
        <v>237414</v>
      </c>
      <c r="J363" s="243">
        <f t="shared" si="17"/>
        <v>0</v>
      </c>
      <c r="K363" s="243">
        <f t="shared" si="18"/>
        <v>0</v>
      </c>
      <c r="L363" s="181"/>
    </row>
    <row r="364" spans="1:12" ht="19.5" customHeight="1">
      <c r="A364" s="240">
        <f t="shared" si="16"/>
        <v>353</v>
      </c>
      <c r="B364" s="249" t="s">
        <v>704</v>
      </c>
      <c r="C364" s="242" t="s">
        <v>262</v>
      </c>
      <c r="D364" s="243"/>
      <c r="E364" s="243"/>
      <c r="F364" s="243">
        <f t="array" ref="F364">SUM(IF("156"&amp;B364=KHN&amp;MH,SL))</f>
        <v>1362</v>
      </c>
      <c r="G364" s="243">
        <f t="array" ref="G364">SUM(IF("156"&amp;B364=KHN&amp;MH,TH))</f>
        <v>23937274</v>
      </c>
      <c r="H364" s="243">
        <f t="array" ref="H364">SUM(IF("156"&amp;B364=KHC&amp;MH,SL))</f>
        <v>1252</v>
      </c>
      <c r="I364" s="243">
        <f t="array" ref="I364">SUM(IF("156"&amp;B364=KHC&amp;MH,TH))</f>
        <v>22000614</v>
      </c>
      <c r="J364" s="243">
        <f t="shared" si="17"/>
        <v>110</v>
      </c>
      <c r="K364" s="243">
        <f t="shared" si="18"/>
        <v>1936660</v>
      </c>
      <c r="L364" s="181"/>
    </row>
    <row r="365" spans="1:12" ht="19.5" customHeight="1">
      <c r="A365" s="240">
        <f t="shared" si="16"/>
        <v>354</v>
      </c>
      <c r="B365" s="250" t="s">
        <v>1249</v>
      </c>
      <c r="C365" s="242" t="s">
        <v>262</v>
      </c>
      <c r="D365" s="243"/>
      <c r="E365" s="243"/>
      <c r="F365" s="243">
        <f t="array" ref="F365">SUM(IF("156"&amp;B365=KHN&amp;MH,SL))</f>
        <v>36</v>
      </c>
      <c r="G365" s="243">
        <f t="array" ref="G365">SUM(IF("156"&amp;B365=KHN&amp;MH,TH))</f>
        <v>527436</v>
      </c>
      <c r="H365" s="243">
        <f t="array" ref="H365">SUM(IF("156"&amp;B365=KHC&amp;MH,SL))</f>
        <v>36</v>
      </c>
      <c r="I365" s="243">
        <f t="array" ref="I365">SUM(IF("156"&amp;B365=KHC&amp;MH,TH))</f>
        <v>527436</v>
      </c>
      <c r="J365" s="243">
        <f t="shared" si="17"/>
        <v>0</v>
      </c>
      <c r="K365" s="243">
        <f t="shared" si="18"/>
        <v>0</v>
      </c>
      <c r="L365" s="181"/>
    </row>
    <row r="366" spans="1:12" ht="19.5" customHeight="1">
      <c r="A366" s="240">
        <f t="shared" si="16"/>
        <v>355</v>
      </c>
      <c r="B366" s="249" t="s">
        <v>700</v>
      </c>
      <c r="C366" s="242" t="s">
        <v>262</v>
      </c>
      <c r="D366" s="243"/>
      <c r="E366" s="243"/>
      <c r="F366" s="243">
        <f t="array" ref="F366">SUM(IF("156"&amp;B366=KHN&amp;MH,SL))</f>
        <v>990</v>
      </c>
      <c r="G366" s="243">
        <f t="array" ref="G366">SUM(IF("156"&amp;B366=KHN&amp;MH,TH))</f>
        <v>16448101</v>
      </c>
      <c r="H366" s="243">
        <f t="array" ref="H366">SUM(IF("156"&amp;B366=KHC&amp;MH,SL))</f>
        <v>990</v>
      </c>
      <c r="I366" s="243">
        <f t="array" ref="I366">SUM(IF("156"&amp;B366=KHC&amp;MH,TH))</f>
        <v>16448101</v>
      </c>
      <c r="J366" s="243">
        <f t="shared" si="17"/>
        <v>0</v>
      </c>
      <c r="K366" s="243">
        <f t="shared" si="18"/>
        <v>0</v>
      </c>
      <c r="L366" s="181"/>
    </row>
    <row r="367" spans="1:12" ht="19.5" customHeight="1">
      <c r="A367" s="240">
        <f t="shared" si="16"/>
        <v>356</v>
      </c>
      <c r="B367" s="249" t="s">
        <v>744</v>
      </c>
      <c r="C367" s="242" t="s">
        <v>262</v>
      </c>
      <c r="D367" s="243"/>
      <c r="E367" s="243"/>
      <c r="F367" s="243">
        <f t="array" ref="F367">SUM(IF("156"&amp;B367=KHN&amp;MH,SL))</f>
        <v>12</v>
      </c>
      <c r="G367" s="243">
        <f t="array" ref="G367">SUM(IF("156"&amp;B367=KHN&amp;MH,TH))</f>
        <v>386388</v>
      </c>
      <c r="H367" s="243">
        <f t="array" ref="H367">SUM(IF("156"&amp;B367=KHC&amp;MH,SL))</f>
        <v>12</v>
      </c>
      <c r="I367" s="243">
        <f t="array" ref="I367">SUM(IF("156"&amp;B367=KHC&amp;MH,TH))</f>
        <v>386388</v>
      </c>
      <c r="J367" s="243">
        <f t="shared" si="17"/>
        <v>0</v>
      </c>
      <c r="K367" s="243">
        <f t="shared" si="18"/>
        <v>0</v>
      </c>
      <c r="L367" s="181"/>
    </row>
    <row r="368" spans="1:12" ht="19.5" customHeight="1">
      <c r="A368" s="240">
        <f t="shared" si="16"/>
        <v>357</v>
      </c>
      <c r="B368" s="249" t="s">
        <v>1046</v>
      </c>
      <c r="C368" s="242" t="s">
        <v>262</v>
      </c>
      <c r="D368" s="243"/>
      <c r="E368" s="243"/>
      <c r="F368" s="243">
        <f t="array" ref="F368">SUM(IF("156"&amp;B368=KHN&amp;MH,SL))</f>
        <v>45</v>
      </c>
      <c r="G368" s="243">
        <f t="array" ref="G368">SUM(IF("156"&amp;B368=KHN&amp;MH,TH))</f>
        <v>671445</v>
      </c>
      <c r="H368" s="243">
        <f t="array" ref="H368">SUM(IF("156"&amp;B368=KHC&amp;MH,SL))</f>
        <v>45</v>
      </c>
      <c r="I368" s="243">
        <f t="array" ref="I368">SUM(IF("156"&amp;B368=KHC&amp;MH,TH))</f>
        <v>671445</v>
      </c>
      <c r="J368" s="243">
        <f t="shared" si="17"/>
        <v>0</v>
      </c>
      <c r="K368" s="243">
        <f t="shared" si="18"/>
        <v>0</v>
      </c>
      <c r="L368" s="181"/>
    </row>
    <row r="369" spans="1:12" ht="19.5" customHeight="1">
      <c r="A369" s="240">
        <f t="shared" si="16"/>
        <v>358</v>
      </c>
      <c r="B369" s="250" t="s">
        <v>1447</v>
      </c>
      <c r="C369" s="242"/>
      <c r="D369" s="243"/>
      <c r="E369" s="243"/>
      <c r="F369" s="243">
        <f t="array" ref="F369">SUM(IF("156"&amp;B369=KHN&amp;MH,SL))</f>
        <v>16</v>
      </c>
      <c r="G369" s="243">
        <f t="array" ref="G369">SUM(IF("156"&amp;B369=KHN&amp;MH,TH))</f>
        <v>610368</v>
      </c>
      <c r="H369" s="243">
        <f t="array" ref="H369">SUM(IF("156"&amp;B369=KHC&amp;MH,SL))</f>
        <v>0</v>
      </c>
      <c r="I369" s="243">
        <f t="array" ref="I369">SUM(IF("156"&amp;B369=KHC&amp;MH,TH))</f>
        <v>0</v>
      </c>
      <c r="J369" s="243">
        <f t="shared" si="17"/>
        <v>16</v>
      </c>
      <c r="K369" s="243">
        <f t="shared" si="18"/>
        <v>610368</v>
      </c>
      <c r="L369" s="181"/>
    </row>
    <row r="370" spans="1:12" ht="19.5" customHeight="1">
      <c r="A370" s="240">
        <f t="shared" si="16"/>
        <v>359</v>
      </c>
      <c r="B370" s="249" t="s">
        <v>1375</v>
      </c>
      <c r="C370" s="242"/>
      <c r="D370" s="243"/>
      <c r="E370" s="243"/>
      <c r="F370" s="243">
        <f t="array" ref="F370">SUM(IF("156"&amp;B370=KHN&amp;MH,SL))</f>
        <v>50</v>
      </c>
      <c r="G370" s="243">
        <f t="array" ref="G370">SUM(IF("156"&amp;B370=KHN&amp;MH,TH))</f>
        <v>558600</v>
      </c>
      <c r="H370" s="243">
        <f t="array" ref="H370">SUM(IF("156"&amp;B370=KHC&amp;MH,SL))</f>
        <v>0</v>
      </c>
      <c r="I370" s="243">
        <f t="array" ref="I370">SUM(IF("156"&amp;B370=KHC&amp;MH,TH))</f>
        <v>0</v>
      </c>
      <c r="J370" s="243">
        <f t="shared" si="17"/>
        <v>50</v>
      </c>
      <c r="K370" s="243">
        <f t="shared" si="18"/>
        <v>558600</v>
      </c>
      <c r="L370" s="181"/>
    </row>
    <row r="371" spans="1:12" ht="19.5" customHeight="1">
      <c r="A371" s="240">
        <f t="shared" si="16"/>
        <v>360</v>
      </c>
      <c r="B371" s="249" t="s">
        <v>675</v>
      </c>
      <c r="C371" s="242" t="s">
        <v>262</v>
      </c>
      <c r="D371" s="243"/>
      <c r="E371" s="243"/>
      <c r="F371" s="243">
        <f t="array" ref="F371">SUM(IF("156"&amp;B371=KHN&amp;MH,SL))</f>
        <v>72</v>
      </c>
      <c r="G371" s="243">
        <f t="array" ref="G371">SUM(IF("156"&amp;B371=KHN&amp;MH,TH))</f>
        <v>850032</v>
      </c>
      <c r="H371" s="243">
        <f t="array" ref="H371">SUM(IF("156"&amp;B371=KHC&amp;MH,SL))</f>
        <v>72</v>
      </c>
      <c r="I371" s="243">
        <f t="array" ref="I371">SUM(IF("156"&amp;B371=KHC&amp;MH,TH))</f>
        <v>850032</v>
      </c>
      <c r="J371" s="243">
        <f t="shared" si="17"/>
        <v>0</v>
      </c>
      <c r="K371" s="243">
        <f t="shared" si="18"/>
        <v>0</v>
      </c>
      <c r="L371" s="181"/>
    </row>
    <row r="372" spans="1:12" ht="19.5" customHeight="1">
      <c r="A372" s="240">
        <f t="shared" si="16"/>
        <v>361</v>
      </c>
      <c r="B372" s="249" t="s">
        <v>666</v>
      </c>
      <c r="C372" s="242" t="s">
        <v>262</v>
      </c>
      <c r="D372" s="243"/>
      <c r="E372" s="243"/>
      <c r="F372" s="243">
        <f t="array" ref="F372">SUM(IF("156"&amp;B372=KHN&amp;MH,SL))</f>
        <v>56</v>
      </c>
      <c r="G372" s="243">
        <f t="array" ref="G372">SUM(IF("156"&amp;B372=KHN&amp;MH,TH))</f>
        <v>1086120</v>
      </c>
      <c r="H372" s="243">
        <f t="array" ref="H372">SUM(IF("156"&amp;B372=KHC&amp;MH,SL))</f>
        <v>56</v>
      </c>
      <c r="I372" s="243">
        <f t="array" ref="I372">SUM(IF("156"&amp;B372=KHC&amp;MH,TH))</f>
        <v>1086120</v>
      </c>
      <c r="J372" s="243">
        <f t="shared" si="17"/>
        <v>0</v>
      </c>
      <c r="K372" s="243">
        <f t="shared" si="18"/>
        <v>0</v>
      </c>
      <c r="L372" s="181"/>
    </row>
    <row r="373" spans="1:12" ht="19.5" customHeight="1">
      <c r="A373" s="240">
        <f t="shared" si="16"/>
        <v>362</v>
      </c>
      <c r="B373" s="249" t="s">
        <v>790</v>
      </c>
      <c r="C373" s="242" t="s">
        <v>262</v>
      </c>
      <c r="D373" s="243"/>
      <c r="E373" s="243"/>
      <c r="F373" s="243">
        <f t="array" ref="F373">SUM(IF("156"&amp;B373=KHN&amp;MH,SL))</f>
        <v>76</v>
      </c>
      <c r="G373" s="243">
        <f t="array" ref="G373">SUM(IF("156"&amp;B373=KHN&amp;MH,TH))</f>
        <v>1460264</v>
      </c>
      <c r="H373" s="243">
        <f t="array" ref="H373">SUM(IF("156"&amp;B373=KHC&amp;MH,SL))</f>
        <v>76</v>
      </c>
      <c r="I373" s="243">
        <f t="array" ref="I373">SUM(IF("156"&amp;B373=KHC&amp;MH,TH))</f>
        <v>1460264</v>
      </c>
      <c r="J373" s="243">
        <f t="shared" si="17"/>
        <v>0</v>
      </c>
      <c r="K373" s="243">
        <f t="shared" si="18"/>
        <v>0</v>
      </c>
      <c r="L373" s="181"/>
    </row>
    <row r="374" spans="1:12" ht="19.5" customHeight="1">
      <c r="A374" s="240">
        <f t="shared" si="16"/>
        <v>363</v>
      </c>
      <c r="B374" s="249" t="s">
        <v>619</v>
      </c>
      <c r="C374" s="242" t="s">
        <v>262</v>
      </c>
      <c r="D374" s="243"/>
      <c r="E374" s="243"/>
      <c r="F374" s="243">
        <f t="array" ref="F374">SUM(IF("156"&amp;B374=KHN&amp;MH,SL))</f>
        <v>1487</v>
      </c>
      <c r="G374" s="243">
        <f t="array" ref="G374">SUM(IF("156"&amp;B374=KHN&amp;MH,TH))</f>
        <v>34492658</v>
      </c>
      <c r="H374" s="243">
        <f t="array" ref="H374">SUM(IF("156"&amp;B374=KHC&amp;MH,SL))</f>
        <v>958</v>
      </c>
      <c r="I374" s="243">
        <f t="array" ref="I374">SUM(IF("156"&amp;B374=KHC&amp;MH,TH))</f>
        <v>22031664</v>
      </c>
      <c r="J374" s="243">
        <f t="shared" si="17"/>
        <v>529</v>
      </c>
      <c r="K374" s="243">
        <f t="shared" si="18"/>
        <v>12460994</v>
      </c>
      <c r="L374" s="181"/>
    </row>
    <row r="375" spans="1:12" ht="19.5" customHeight="1">
      <c r="A375" s="240">
        <f t="shared" si="16"/>
        <v>364</v>
      </c>
      <c r="B375" s="250" t="s">
        <v>1671</v>
      </c>
      <c r="C375" s="242"/>
      <c r="D375" s="243"/>
      <c r="E375" s="243"/>
      <c r="F375" s="243">
        <f t="array" ref="F375">SUM(IF("156"&amp;B375=KHN&amp;MH,SL))</f>
        <v>15</v>
      </c>
      <c r="G375" s="243">
        <f t="array" ref="G375">SUM(IF("156"&amp;B375=KHN&amp;MH,TH))</f>
        <v>561600</v>
      </c>
      <c r="H375" s="243">
        <f t="array" ref="H375">SUM(IF("156"&amp;B375=KHC&amp;MH,SL))</f>
        <v>0</v>
      </c>
      <c r="I375" s="243">
        <f t="array" ref="I375">SUM(IF("156"&amp;B375=KHC&amp;MH,TH))</f>
        <v>0</v>
      </c>
      <c r="J375" s="243">
        <f t="shared" si="17"/>
        <v>15</v>
      </c>
      <c r="K375" s="243">
        <f t="shared" si="18"/>
        <v>561600</v>
      </c>
      <c r="L375" s="181"/>
    </row>
    <row r="376" spans="1:12" ht="19.5" customHeight="1">
      <c r="A376" s="240">
        <f t="shared" si="16"/>
        <v>365</v>
      </c>
      <c r="B376" s="249" t="s">
        <v>1067</v>
      </c>
      <c r="C376" s="242" t="s">
        <v>262</v>
      </c>
      <c r="D376" s="243"/>
      <c r="E376" s="243"/>
      <c r="F376" s="243">
        <f t="array" ref="F376">SUM(IF("156"&amp;B376=KHN&amp;MH,SL))</f>
        <v>6</v>
      </c>
      <c r="G376" s="243">
        <f t="array" ref="G376">SUM(IF("156"&amp;B376=KHN&amp;MH,TH))</f>
        <v>248022</v>
      </c>
      <c r="H376" s="243">
        <f t="array" ref="H376">SUM(IF("156"&amp;B376=KHC&amp;MH,SL))</f>
        <v>6</v>
      </c>
      <c r="I376" s="243">
        <f t="array" ref="I376">SUM(IF("156"&amp;B376=KHC&amp;MH,TH))</f>
        <v>248022</v>
      </c>
      <c r="J376" s="243">
        <f t="shared" si="17"/>
        <v>0</v>
      </c>
      <c r="K376" s="243">
        <f t="shared" si="18"/>
        <v>0</v>
      </c>
      <c r="L376" s="181"/>
    </row>
    <row r="377" spans="1:12" ht="19.5" customHeight="1">
      <c r="A377" s="240">
        <f t="shared" si="16"/>
        <v>366</v>
      </c>
      <c r="B377" s="250" t="s">
        <v>1443</v>
      </c>
      <c r="C377" s="242"/>
      <c r="D377" s="243"/>
      <c r="E377" s="243"/>
      <c r="F377" s="243">
        <f t="array" ref="F377">SUM(IF("156"&amp;B377=KHN&amp;MH,SL))</f>
        <v>0</v>
      </c>
      <c r="G377" s="243">
        <f t="array" ref="G377">SUM(IF("156"&amp;B377=KHN&amp;MH,TH))</f>
        <v>0</v>
      </c>
      <c r="H377" s="243">
        <f t="array" ref="H377">SUM(IF("156"&amp;B377=KHC&amp;MH,SL))</f>
        <v>0</v>
      </c>
      <c r="I377" s="243">
        <f t="array" ref="I377">SUM(IF("156"&amp;B377=KHC&amp;MH,TH))</f>
        <v>0</v>
      </c>
      <c r="J377" s="243">
        <f t="shared" si="17"/>
        <v>0</v>
      </c>
      <c r="K377" s="243">
        <f t="shared" si="18"/>
        <v>0</v>
      </c>
      <c r="L377" s="181"/>
    </row>
    <row r="378" spans="1:12" ht="19.5" customHeight="1">
      <c r="A378" s="240">
        <f t="shared" si="16"/>
        <v>367</v>
      </c>
      <c r="B378" s="249" t="s">
        <v>500</v>
      </c>
      <c r="C378" s="242" t="s">
        <v>262</v>
      </c>
      <c r="D378" s="243"/>
      <c r="E378" s="243"/>
      <c r="F378" s="243">
        <f t="array" ref="F378">SUM(IF("156"&amp;B378=KHN&amp;MH,SL))</f>
        <v>2310</v>
      </c>
      <c r="G378" s="243">
        <f t="array" ref="G378">SUM(IF("156"&amp;B378=KHN&amp;MH,TH))</f>
        <v>18422172</v>
      </c>
      <c r="H378" s="243">
        <f t="array" ref="H378">SUM(IF("156"&amp;B378=KHC&amp;MH,SL))</f>
        <v>2310</v>
      </c>
      <c r="I378" s="243">
        <f t="array" ref="I378">SUM(IF("156"&amp;B378=KHC&amp;MH,TH))</f>
        <v>18422172</v>
      </c>
      <c r="J378" s="243">
        <f t="shared" si="17"/>
        <v>0</v>
      </c>
      <c r="K378" s="243">
        <f t="shared" si="18"/>
        <v>0</v>
      </c>
      <c r="L378" s="181"/>
    </row>
    <row r="379" spans="1:12" ht="19.5" customHeight="1">
      <c r="A379" s="240">
        <f t="shared" si="16"/>
        <v>368</v>
      </c>
      <c r="B379" s="249" t="s">
        <v>506</v>
      </c>
      <c r="C379" s="242" t="s">
        <v>262</v>
      </c>
      <c r="D379" s="243"/>
      <c r="E379" s="243"/>
      <c r="F379" s="243">
        <f t="array" ref="F379">SUM(IF("156"&amp;B379=KHN&amp;MH,SL))</f>
        <v>600</v>
      </c>
      <c r="G379" s="243">
        <f t="array" ref="G379">SUM(IF("156"&amp;B379=KHN&amp;MH,TH))</f>
        <v>6013101</v>
      </c>
      <c r="H379" s="243">
        <f t="array" ref="H379">SUM(IF("156"&amp;B379=KHC&amp;MH,SL))</f>
        <v>600</v>
      </c>
      <c r="I379" s="243">
        <f t="array" ref="I379">SUM(IF("156"&amp;B379=KHC&amp;MH,TH))</f>
        <v>6013101</v>
      </c>
      <c r="J379" s="243">
        <f t="shared" si="17"/>
        <v>0</v>
      </c>
      <c r="K379" s="243">
        <f t="shared" si="18"/>
        <v>0</v>
      </c>
      <c r="L379" s="181"/>
    </row>
    <row r="380" spans="1:12" ht="19.5" customHeight="1">
      <c r="A380" s="240">
        <f t="shared" si="16"/>
        <v>369</v>
      </c>
      <c r="B380" s="250" t="s">
        <v>1290</v>
      </c>
      <c r="C380" s="242"/>
      <c r="D380" s="243"/>
      <c r="E380" s="243"/>
      <c r="F380" s="243">
        <f t="array" ref="F380">SUM(IF("156"&amp;B380=KHN&amp;MH,SL))</f>
        <v>6985</v>
      </c>
      <c r="G380" s="243">
        <f t="array" ref="G380">SUM(IF("156"&amp;B380=KHN&amp;MH,TH))</f>
        <v>85566250</v>
      </c>
      <c r="H380" s="243">
        <f t="array" ref="H380">SUM(IF("156"&amp;B380=KHC&amp;MH,SL))</f>
        <v>3530</v>
      </c>
      <c r="I380" s="243">
        <f t="array" ref="I380">SUM(IF("156"&amp;B380=KHC&amp;MH,TH))</f>
        <v>43242500</v>
      </c>
      <c r="J380" s="243">
        <f t="shared" si="17"/>
        <v>3455</v>
      </c>
      <c r="K380" s="243">
        <f t="shared" si="18"/>
        <v>42323750</v>
      </c>
      <c r="L380" s="181"/>
    </row>
    <row r="381" spans="1:12" ht="19.5" customHeight="1">
      <c r="A381" s="240">
        <f t="shared" si="16"/>
        <v>370</v>
      </c>
      <c r="B381" s="250" t="s">
        <v>1225</v>
      </c>
      <c r="C381" s="242" t="s">
        <v>262</v>
      </c>
      <c r="D381" s="243"/>
      <c r="E381" s="243"/>
      <c r="F381" s="243">
        <f t="array" ref="F381">SUM(IF("156"&amp;B381=KHN&amp;MH,SL))</f>
        <v>96</v>
      </c>
      <c r="G381" s="243">
        <f t="array" ref="G381">SUM(IF("156"&amp;B381=KHN&amp;MH,TH))</f>
        <v>2011992</v>
      </c>
      <c r="H381" s="243">
        <f t="array" ref="H381">SUM(IF("156"&amp;B381=KHC&amp;MH,SL))</f>
        <v>72</v>
      </c>
      <c r="I381" s="243">
        <f t="array" ref="I381">SUM(IF("156"&amp;B381=KHC&amp;MH,TH))</f>
        <v>1516464</v>
      </c>
      <c r="J381" s="243">
        <f t="shared" si="17"/>
        <v>24</v>
      </c>
      <c r="K381" s="243">
        <f t="shared" si="18"/>
        <v>495528</v>
      </c>
      <c r="L381" s="181"/>
    </row>
    <row r="382" spans="1:12" ht="19.5" customHeight="1">
      <c r="A382" s="240">
        <f t="shared" si="16"/>
        <v>371</v>
      </c>
      <c r="B382" s="249" t="s">
        <v>493</v>
      </c>
      <c r="C382" s="242" t="s">
        <v>262</v>
      </c>
      <c r="D382" s="243"/>
      <c r="E382" s="243"/>
      <c r="F382" s="243">
        <f t="array" ref="F382">SUM(IF("156"&amp;B382=KHN&amp;MH,SL))</f>
        <v>26260</v>
      </c>
      <c r="G382" s="243">
        <f t="array" ref="G382">SUM(IF("156"&amp;B382=KHN&amp;MH,TH))</f>
        <v>244110649</v>
      </c>
      <c r="H382" s="243">
        <f t="array" ref="H382">SUM(IF("156"&amp;B382=KHC&amp;MH,SL))</f>
        <v>26260</v>
      </c>
      <c r="I382" s="243">
        <f t="array" ref="I382">SUM(IF("156"&amp;B382=KHC&amp;MH,TH))</f>
        <v>244110649</v>
      </c>
      <c r="J382" s="243">
        <f t="shared" si="17"/>
        <v>0</v>
      </c>
      <c r="K382" s="243">
        <f t="shared" si="18"/>
        <v>0</v>
      </c>
      <c r="L382" s="181"/>
    </row>
    <row r="383" spans="1:12" ht="19.5" customHeight="1">
      <c r="A383" s="240">
        <f t="shared" si="16"/>
        <v>372</v>
      </c>
      <c r="B383" s="249" t="s">
        <v>620</v>
      </c>
      <c r="C383" s="242" t="s">
        <v>262</v>
      </c>
      <c r="D383" s="243"/>
      <c r="E383" s="243"/>
      <c r="F383" s="243">
        <f t="array" ref="F383">SUM(IF("156"&amp;B383=KHN&amp;MH,SL))</f>
        <v>40</v>
      </c>
      <c r="G383" s="243">
        <f t="array" ref="G383">SUM(IF("156"&amp;B383=KHN&amp;MH,TH))</f>
        <v>886000</v>
      </c>
      <c r="H383" s="243">
        <f t="array" ref="H383">SUM(IF("156"&amp;B383=KHC&amp;MH,SL))</f>
        <v>40</v>
      </c>
      <c r="I383" s="243">
        <f t="array" ref="I383">SUM(IF("156"&amp;B383=KHC&amp;MH,TH))</f>
        <v>886000</v>
      </c>
      <c r="J383" s="243">
        <f t="shared" si="17"/>
        <v>0</v>
      </c>
      <c r="K383" s="243">
        <f t="shared" si="18"/>
        <v>0</v>
      </c>
      <c r="L383" s="181"/>
    </row>
    <row r="384" spans="1:12" ht="19.5" customHeight="1">
      <c r="A384" s="240">
        <f t="shared" si="16"/>
        <v>373</v>
      </c>
      <c r="B384" s="249" t="s">
        <v>642</v>
      </c>
      <c r="C384" s="242" t="s">
        <v>262</v>
      </c>
      <c r="D384" s="243"/>
      <c r="E384" s="243"/>
      <c r="F384" s="243">
        <f t="array" ref="F384">SUM(IF("156"&amp;B384=KHN&amp;MH,SL))</f>
        <v>89</v>
      </c>
      <c r="G384" s="243">
        <f t="array" ref="G384">SUM(IF("156"&amp;B384=KHN&amp;MH,TH))</f>
        <v>1729455</v>
      </c>
      <c r="H384" s="243">
        <f t="array" ref="H384">SUM(IF("156"&amp;B384=KHC&amp;MH,SL))</f>
        <v>65</v>
      </c>
      <c r="I384" s="243">
        <f t="array" ref="I384">SUM(IF("156"&amp;B384=KHC&amp;MH,TH))</f>
        <v>1263015</v>
      </c>
      <c r="J384" s="243">
        <f t="shared" si="17"/>
        <v>24</v>
      </c>
      <c r="K384" s="243">
        <f t="shared" si="18"/>
        <v>466440</v>
      </c>
      <c r="L384" s="181"/>
    </row>
    <row r="385" spans="1:12" ht="19.5" customHeight="1">
      <c r="A385" s="240">
        <f t="shared" si="16"/>
        <v>374</v>
      </c>
      <c r="B385" s="250" t="s">
        <v>1482</v>
      </c>
      <c r="C385" s="242"/>
      <c r="D385" s="243"/>
      <c r="E385" s="243"/>
      <c r="F385" s="243">
        <f t="array" ref="F385">SUM(IF("156"&amp;B385=KHN&amp;MH,SL))</f>
        <v>10</v>
      </c>
      <c r="G385" s="243">
        <f t="array" ref="G385">SUM(IF("156"&amp;B385=KHN&amp;MH,TH))</f>
        <v>200830</v>
      </c>
      <c r="H385" s="243">
        <f t="array" ref="H385">SUM(IF("156"&amp;B385=KHC&amp;MH,SL))</f>
        <v>0</v>
      </c>
      <c r="I385" s="243">
        <f t="array" ref="I385">SUM(IF("156"&amp;B385=KHC&amp;MH,TH))</f>
        <v>0</v>
      </c>
      <c r="J385" s="243">
        <f t="shared" si="17"/>
        <v>10</v>
      </c>
      <c r="K385" s="243">
        <f t="shared" si="18"/>
        <v>200830</v>
      </c>
      <c r="L385" s="181"/>
    </row>
    <row r="386" spans="1:12" ht="19.5" customHeight="1">
      <c r="A386" s="240">
        <f t="shared" si="16"/>
        <v>375</v>
      </c>
      <c r="B386" s="249" t="s">
        <v>702</v>
      </c>
      <c r="C386" s="242" t="s">
        <v>262</v>
      </c>
      <c r="D386" s="243"/>
      <c r="E386" s="243"/>
      <c r="F386" s="243">
        <f t="array" ref="F386">SUM(IF("156"&amp;B386=KHN&amp;MH,SL))</f>
        <v>78</v>
      </c>
      <c r="G386" s="243">
        <f t="array" ref="G386">SUM(IF("156"&amp;B386=KHN&amp;MH,TH))</f>
        <v>1551342</v>
      </c>
      <c r="H386" s="243">
        <f t="array" ref="H386">SUM(IF("156"&amp;B386=KHC&amp;MH,SL))</f>
        <v>78</v>
      </c>
      <c r="I386" s="243">
        <f t="array" ref="I386">SUM(IF("156"&amp;B386=KHC&amp;MH,TH))</f>
        <v>1551342</v>
      </c>
      <c r="J386" s="243">
        <f t="shared" si="17"/>
        <v>0</v>
      </c>
      <c r="K386" s="243">
        <f t="shared" si="18"/>
        <v>0</v>
      </c>
      <c r="L386" s="181"/>
    </row>
    <row r="387" spans="1:12" ht="19.5" customHeight="1">
      <c r="A387" s="240">
        <f t="shared" si="16"/>
        <v>376</v>
      </c>
      <c r="B387" s="250" t="s">
        <v>1329</v>
      </c>
      <c r="C387" s="242"/>
      <c r="D387" s="243"/>
      <c r="E387" s="243"/>
      <c r="F387" s="243">
        <f t="array" ref="F387">SUM(IF("156"&amp;B387=KHN&amp;MH,SL))</f>
        <v>272</v>
      </c>
      <c r="G387" s="243">
        <f t="array" ref="G387">SUM(IF("156"&amp;B387=KHN&amp;MH,TH))</f>
        <v>8693024</v>
      </c>
      <c r="H387" s="243">
        <f t="array" ref="H387">SUM(IF("156"&amp;B387=KHC&amp;MH,SL))</f>
        <v>224</v>
      </c>
      <c r="I387" s="243">
        <f t="array" ref="I387">SUM(IF("156"&amp;B387=KHC&amp;MH,TH))</f>
        <v>6998432</v>
      </c>
      <c r="J387" s="243">
        <f t="shared" si="17"/>
        <v>48</v>
      </c>
      <c r="K387" s="243">
        <f t="shared" si="18"/>
        <v>1694592</v>
      </c>
      <c r="L387" s="181"/>
    </row>
    <row r="388" spans="1:12" ht="19.5" customHeight="1">
      <c r="A388" s="240">
        <f t="shared" si="16"/>
        <v>377</v>
      </c>
      <c r="B388" s="250" t="s">
        <v>1435</v>
      </c>
      <c r="C388" s="242"/>
      <c r="D388" s="243"/>
      <c r="E388" s="243"/>
      <c r="F388" s="243">
        <f t="array" ref="F388">SUM(IF("156"&amp;B388=KHN&amp;MH,SL))</f>
        <v>360</v>
      </c>
      <c r="G388" s="243">
        <f t="array" ref="G388">SUM(IF("156"&amp;B388=KHN&amp;MH,TH))</f>
        <v>2935800</v>
      </c>
      <c r="H388" s="243">
        <f t="array" ref="H388">SUM(IF("156"&amp;B388=KHC&amp;MH,SL))</f>
        <v>0</v>
      </c>
      <c r="I388" s="243">
        <f t="array" ref="I388">SUM(IF("156"&amp;B388=KHC&amp;MH,TH))</f>
        <v>0</v>
      </c>
      <c r="J388" s="243">
        <f t="shared" si="17"/>
        <v>360</v>
      </c>
      <c r="K388" s="243">
        <f t="shared" si="18"/>
        <v>2935800</v>
      </c>
      <c r="L388" s="181"/>
    </row>
    <row r="389" spans="1:12" ht="19.5" customHeight="1">
      <c r="A389" s="240">
        <f t="shared" si="16"/>
        <v>378</v>
      </c>
      <c r="B389" s="250" t="s">
        <v>1328</v>
      </c>
      <c r="C389" s="242"/>
      <c r="D389" s="243"/>
      <c r="E389" s="243"/>
      <c r="F389" s="243">
        <f t="array" ref="F389">SUM(IF("156"&amp;B389=KHN&amp;MH,SL))</f>
        <v>296</v>
      </c>
      <c r="G389" s="243">
        <f t="array" ref="G389">SUM(IF("156"&amp;B389=KHN&amp;MH,TH))</f>
        <v>9694888</v>
      </c>
      <c r="H389" s="243">
        <f t="array" ref="H389">SUM(IF("156"&amp;B389=KHC&amp;MH,SL))</f>
        <v>296</v>
      </c>
      <c r="I389" s="243">
        <f t="array" ref="I389">SUM(IF("156"&amp;B389=KHC&amp;MH,TH))</f>
        <v>9694888</v>
      </c>
      <c r="J389" s="243">
        <f t="shared" si="17"/>
        <v>0</v>
      </c>
      <c r="K389" s="243">
        <f t="shared" si="18"/>
        <v>0</v>
      </c>
      <c r="L389" s="181"/>
    </row>
    <row r="390" spans="1:12" ht="19.5" customHeight="1">
      <c r="A390" s="240">
        <f t="shared" si="16"/>
        <v>379</v>
      </c>
      <c r="B390" s="247" t="s">
        <v>1008</v>
      </c>
      <c r="C390" s="242" t="s">
        <v>262</v>
      </c>
      <c r="D390" s="243"/>
      <c r="E390" s="243"/>
      <c r="F390" s="243">
        <f t="array" ref="F390">SUM(IF("156"&amp;B390=KHN&amp;MH,SL))</f>
        <v>9600</v>
      </c>
      <c r="G390" s="243">
        <f t="array" ref="G390">SUM(IF("156"&amp;B390=KHN&amp;MH,TH))</f>
        <v>88210441</v>
      </c>
      <c r="H390" s="243">
        <f t="array" ref="H390">SUM(IF("156"&amp;B390=KHC&amp;MH,SL))</f>
        <v>9600</v>
      </c>
      <c r="I390" s="243">
        <f t="array" ref="I390">SUM(IF("156"&amp;B390=KHC&amp;MH,TH))</f>
        <v>88210441</v>
      </c>
      <c r="J390" s="243">
        <f t="shared" si="17"/>
        <v>0</v>
      </c>
      <c r="K390" s="243">
        <f t="shared" si="18"/>
        <v>0</v>
      </c>
      <c r="L390" s="181"/>
    </row>
    <row r="391" spans="1:12" ht="19.5" customHeight="1">
      <c r="A391" s="240">
        <f t="shared" si="16"/>
        <v>380</v>
      </c>
      <c r="B391" s="249" t="s">
        <v>614</v>
      </c>
      <c r="C391" s="242" t="s">
        <v>262</v>
      </c>
      <c r="D391" s="243"/>
      <c r="E391" s="243"/>
      <c r="F391" s="243">
        <f t="array" ref="F391">SUM(IF("156"&amp;B391=KHN&amp;MH,SL))</f>
        <v>160</v>
      </c>
      <c r="G391" s="243">
        <f t="array" ref="G391">SUM(IF("156"&amp;B391=KHN&amp;MH,TH))</f>
        <v>2821400</v>
      </c>
      <c r="H391" s="243">
        <f t="array" ref="H391">SUM(IF("156"&amp;B391=KHC&amp;MH,SL))</f>
        <v>160</v>
      </c>
      <c r="I391" s="243">
        <f t="array" ref="I391">SUM(IF("156"&amp;B391=KHC&amp;MH,TH))</f>
        <v>2821400</v>
      </c>
      <c r="J391" s="243">
        <f t="shared" si="17"/>
        <v>0</v>
      </c>
      <c r="K391" s="243">
        <f t="shared" si="18"/>
        <v>0</v>
      </c>
      <c r="L391" s="181"/>
    </row>
    <row r="392" spans="1:12" ht="19.5" customHeight="1">
      <c r="A392" s="240">
        <f t="shared" si="16"/>
        <v>381</v>
      </c>
      <c r="B392" s="249" t="s">
        <v>1042</v>
      </c>
      <c r="C392" s="242" t="s">
        <v>262</v>
      </c>
      <c r="D392" s="243"/>
      <c r="E392" s="243"/>
      <c r="F392" s="243">
        <f t="array" ref="F392">SUM(IF("156"&amp;B392=KHN&amp;MH,SL))</f>
        <v>120</v>
      </c>
      <c r="G392" s="243">
        <f t="array" ref="G392">SUM(IF("156"&amp;B392=KHN&amp;MH,TH))</f>
        <v>2230392</v>
      </c>
      <c r="H392" s="243">
        <f t="array" ref="H392">SUM(IF("156"&amp;B392=KHC&amp;MH,SL))</f>
        <v>120</v>
      </c>
      <c r="I392" s="243">
        <f t="array" ref="I392">SUM(IF("156"&amp;B392=KHC&amp;MH,TH))</f>
        <v>2230392</v>
      </c>
      <c r="J392" s="243">
        <f t="shared" si="17"/>
        <v>0</v>
      </c>
      <c r="K392" s="243">
        <f t="shared" si="18"/>
        <v>0</v>
      </c>
      <c r="L392" s="181"/>
    </row>
    <row r="393" spans="1:12" ht="19.5" customHeight="1">
      <c r="A393" s="240">
        <f t="shared" si="16"/>
        <v>382</v>
      </c>
      <c r="B393" s="249" t="s">
        <v>652</v>
      </c>
      <c r="C393" s="242" t="s">
        <v>262</v>
      </c>
      <c r="D393" s="243"/>
      <c r="E393" s="243"/>
      <c r="F393" s="243">
        <f t="array" ref="F393">SUM(IF("156"&amp;B393=KHN&amp;MH,SL))</f>
        <v>428</v>
      </c>
      <c r="G393" s="243">
        <f t="array" ref="G393">SUM(IF("156"&amp;B393=KHN&amp;MH,TH))</f>
        <v>17931591</v>
      </c>
      <c r="H393" s="243">
        <f t="array" ref="H393">SUM(IF("156"&amp;B393=KHC&amp;MH,SL))</f>
        <v>278</v>
      </c>
      <c r="I393" s="243">
        <f t="array" ref="I393">SUM(IF("156"&amp;B393=KHC&amp;MH,TH))</f>
        <v>7985241</v>
      </c>
      <c r="J393" s="243">
        <f t="shared" si="17"/>
        <v>150</v>
      </c>
      <c r="K393" s="243">
        <f t="shared" si="18"/>
        <v>9946350</v>
      </c>
      <c r="L393" s="181"/>
    </row>
    <row r="394" spans="1:12" ht="19.5" customHeight="1">
      <c r="A394" s="240">
        <f t="shared" si="16"/>
        <v>383</v>
      </c>
      <c r="B394" s="249" t="s">
        <v>710</v>
      </c>
      <c r="C394" s="242" t="s">
        <v>262</v>
      </c>
      <c r="D394" s="243"/>
      <c r="E394" s="243"/>
      <c r="F394" s="243">
        <f t="array" ref="F394">SUM(IF("156"&amp;B394=KHN&amp;MH,SL))</f>
        <v>152</v>
      </c>
      <c r="G394" s="243">
        <f t="array" ref="G394">SUM(IF("156"&amp;B394=KHN&amp;MH,TH))</f>
        <v>3162480</v>
      </c>
      <c r="H394" s="243">
        <f t="array" ref="H394">SUM(IF("156"&amp;B394=KHC&amp;MH,SL))</f>
        <v>152</v>
      </c>
      <c r="I394" s="243">
        <f t="array" ref="I394">SUM(IF("156"&amp;B394=KHC&amp;MH,TH))</f>
        <v>3162480</v>
      </c>
      <c r="J394" s="243">
        <f t="shared" si="17"/>
        <v>0</v>
      </c>
      <c r="K394" s="243">
        <f t="shared" si="18"/>
        <v>0</v>
      </c>
      <c r="L394" s="181"/>
    </row>
    <row r="395" spans="1:12" ht="19.5" customHeight="1">
      <c r="A395" s="240">
        <f t="shared" si="16"/>
        <v>384</v>
      </c>
      <c r="B395" s="247" t="s">
        <v>1022</v>
      </c>
      <c r="C395" s="242" t="s">
        <v>262</v>
      </c>
      <c r="D395" s="243"/>
      <c r="E395" s="243"/>
      <c r="F395" s="243">
        <f t="array" ref="F395">SUM(IF("156"&amp;B395=KHN&amp;MH,SL))</f>
        <v>82</v>
      </c>
      <c r="G395" s="243">
        <f t="array" ref="G395">SUM(IF("156"&amp;B395=KHN&amp;MH,TH))</f>
        <v>1703162</v>
      </c>
      <c r="H395" s="243">
        <f t="array" ref="H395">SUM(IF("156"&amp;B395=KHC&amp;MH,SL))</f>
        <v>82</v>
      </c>
      <c r="I395" s="243">
        <f t="array" ref="I395">SUM(IF("156"&amp;B395=KHC&amp;MH,TH))</f>
        <v>1703162</v>
      </c>
      <c r="J395" s="243">
        <f t="shared" si="17"/>
        <v>0</v>
      </c>
      <c r="K395" s="243">
        <f t="shared" si="18"/>
        <v>0</v>
      </c>
      <c r="L395" s="181"/>
    </row>
    <row r="396" spans="1:12" ht="19.5" customHeight="1">
      <c r="A396" s="240">
        <f t="shared" ref="A396:A459" si="19">IF(B396&lt;&gt;"",ROW()-11,"")</f>
        <v>385</v>
      </c>
      <c r="B396" s="249" t="s">
        <v>711</v>
      </c>
      <c r="C396" s="242" t="s">
        <v>262</v>
      </c>
      <c r="D396" s="243"/>
      <c r="E396" s="243"/>
      <c r="F396" s="243">
        <f t="array" ref="F396">SUM(IF("156"&amp;B396=KHN&amp;MH,SL))</f>
        <v>36</v>
      </c>
      <c r="G396" s="243">
        <f t="array" ref="G396">SUM(IF("156"&amp;B396=KHN&amp;MH,TH))</f>
        <v>744552</v>
      </c>
      <c r="H396" s="243">
        <f t="array" ref="H396">SUM(IF("156"&amp;B396=KHC&amp;MH,SL))</f>
        <v>36</v>
      </c>
      <c r="I396" s="243">
        <f t="array" ref="I396">SUM(IF("156"&amp;B396=KHC&amp;MH,TH))</f>
        <v>744552</v>
      </c>
      <c r="J396" s="243">
        <f t="shared" ref="J396:J459" si="20">D396+F396-H396</f>
        <v>0</v>
      </c>
      <c r="K396" s="243">
        <f t="shared" ref="K396:K459" si="21">E396+G396-I396</f>
        <v>0</v>
      </c>
      <c r="L396" s="181"/>
    </row>
    <row r="397" spans="1:12" ht="19.5" customHeight="1">
      <c r="A397" s="240">
        <f t="shared" si="19"/>
        <v>386</v>
      </c>
      <c r="B397" s="249" t="s">
        <v>1013</v>
      </c>
      <c r="C397" s="242" t="s">
        <v>262</v>
      </c>
      <c r="D397" s="243"/>
      <c r="E397" s="243"/>
      <c r="F397" s="243">
        <f t="array" ref="F397">SUM(IF("156"&amp;B397=KHN&amp;MH,SL))</f>
        <v>20</v>
      </c>
      <c r="G397" s="243">
        <f t="array" ref="G397">SUM(IF("156"&amp;B397=KHN&amp;MH,TH))</f>
        <v>441780</v>
      </c>
      <c r="H397" s="243">
        <f t="array" ref="H397">SUM(IF("156"&amp;B397=KHC&amp;MH,SL))</f>
        <v>20</v>
      </c>
      <c r="I397" s="243">
        <f t="array" ref="I397">SUM(IF("156"&amp;B397=KHC&amp;MH,TH))</f>
        <v>441780</v>
      </c>
      <c r="J397" s="243">
        <f t="shared" si="20"/>
        <v>0</v>
      </c>
      <c r="K397" s="243">
        <f t="shared" si="21"/>
        <v>0</v>
      </c>
      <c r="L397" s="181"/>
    </row>
    <row r="398" spans="1:12" ht="19.5" customHeight="1">
      <c r="A398" s="240">
        <f t="shared" si="19"/>
        <v>387</v>
      </c>
      <c r="B398" s="250" t="s">
        <v>1653</v>
      </c>
      <c r="C398" s="242"/>
      <c r="D398" s="243"/>
      <c r="E398" s="243"/>
      <c r="F398" s="243">
        <f t="array" ref="F398">SUM(IF("156"&amp;B398=KHN&amp;MH,SL))</f>
        <v>24</v>
      </c>
      <c r="G398" s="243">
        <f t="array" ref="G398">SUM(IF("156"&amp;B398=KHN&amp;MH,TH))</f>
        <v>1009032</v>
      </c>
      <c r="H398" s="243">
        <f t="array" ref="H398">SUM(IF("156"&amp;B398=KHC&amp;MH,SL))</f>
        <v>0</v>
      </c>
      <c r="I398" s="243">
        <f t="array" ref="I398">SUM(IF("156"&amp;B398=KHC&amp;MH,TH))</f>
        <v>0</v>
      </c>
      <c r="J398" s="243">
        <f t="shared" si="20"/>
        <v>24</v>
      </c>
      <c r="K398" s="243">
        <f t="shared" si="21"/>
        <v>1009032</v>
      </c>
      <c r="L398" s="181"/>
    </row>
    <row r="399" spans="1:12" ht="19.5" customHeight="1">
      <c r="A399" s="240">
        <f t="shared" si="19"/>
        <v>388</v>
      </c>
      <c r="B399" s="250" t="s">
        <v>1227</v>
      </c>
      <c r="C399" s="242" t="s">
        <v>262</v>
      </c>
      <c r="D399" s="243"/>
      <c r="E399" s="243"/>
      <c r="F399" s="243">
        <f t="array" ref="F399">SUM(IF("156"&amp;B399=KHN&amp;MH,SL))</f>
        <v>35</v>
      </c>
      <c r="G399" s="243">
        <f t="array" ref="G399">SUM(IF("156"&amp;B399=KHN&amp;MH,TH))</f>
        <v>749259</v>
      </c>
      <c r="H399" s="243">
        <f t="array" ref="H399">SUM(IF("156"&amp;B399=KHC&amp;MH,SL))</f>
        <v>11</v>
      </c>
      <c r="I399" s="243">
        <f t="array" ref="I399">SUM(IF("156"&amp;B399=KHC&amp;MH,TH))</f>
        <v>241659</v>
      </c>
      <c r="J399" s="243">
        <f t="shared" si="20"/>
        <v>24</v>
      </c>
      <c r="K399" s="243">
        <f t="shared" si="21"/>
        <v>507600</v>
      </c>
      <c r="L399" s="181"/>
    </row>
    <row r="400" spans="1:12" ht="19.5" customHeight="1">
      <c r="A400" s="240">
        <f t="shared" si="19"/>
        <v>389</v>
      </c>
      <c r="B400" s="249" t="s">
        <v>1011</v>
      </c>
      <c r="C400" s="242" t="s">
        <v>262</v>
      </c>
      <c r="D400" s="243"/>
      <c r="E400" s="243"/>
      <c r="F400" s="243">
        <f t="array" ref="F400">SUM(IF("156"&amp;B400=KHN&amp;MH,SL))</f>
        <v>2020</v>
      </c>
      <c r="G400" s="243">
        <f t="array" ref="G400">SUM(IF("156"&amp;B400=KHN&amp;MH,TH))</f>
        <v>7440764</v>
      </c>
      <c r="H400" s="243">
        <f t="array" ref="H400">SUM(IF("156"&amp;B400=KHC&amp;MH,SL))</f>
        <v>2020</v>
      </c>
      <c r="I400" s="243">
        <f t="array" ref="I400">SUM(IF("156"&amp;B400=KHC&amp;MH,TH))</f>
        <v>7440764</v>
      </c>
      <c r="J400" s="243">
        <f t="shared" si="20"/>
        <v>0</v>
      </c>
      <c r="K400" s="243">
        <f t="shared" si="21"/>
        <v>0</v>
      </c>
      <c r="L400" s="181"/>
    </row>
    <row r="401" spans="1:12" ht="19.5" customHeight="1">
      <c r="A401" s="240">
        <f t="shared" si="19"/>
        <v>390</v>
      </c>
      <c r="B401" s="249" t="s">
        <v>1149</v>
      </c>
      <c r="C401" s="242" t="s">
        <v>262</v>
      </c>
      <c r="D401" s="243"/>
      <c r="E401" s="243"/>
      <c r="F401" s="243">
        <f t="array" ref="F401">SUM(IF("156"&amp;B401=KHN&amp;MH,SL))</f>
        <v>500</v>
      </c>
      <c r="G401" s="243">
        <f t="array" ref="G401">SUM(IF("156"&amp;B401=KHN&amp;MH,TH))</f>
        <v>4340000</v>
      </c>
      <c r="H401" s="243">
        <f t="array" ref="H401">SUM(IF("156"&amp;B401=KHC&amp;MH,SL))</f>
        <v>500</v>
      </c>
      <c r="I401" s="243">
        <f t="array" ref="I401">SUM(IF("156"&amp;B401=KHC&amp;MH,TH))</f>
        <v>4340000</v>
      </c>
      <c r="J401" s="243">
        <f t="shared" si="20"/>
        <v>0</v>
      </c>
      <c r="K401" s="243">
        <f t="shared" si="21"/>
        <v>0</v>
      </c>
      <c r="L401" s="181"/>
    </row>
    <row r="402" spans="1:12" ht="19.5" customHeight="1">
      <c r="A402" s="240">
        <f t="shared" si="19"/>
        <v>391</v>
      </c>
      <c r="B402" s="249" t="s">
        <v>751</v>
      </c>
      <c r="C402" s="242" t="s">
        <v>262</v>
      </c>
      <c r="D402" s="243"/>
      <c r="E402" s="243"/>
      <c r="F402" s="243">
        <f t="array" ref="F402">SUM(IF("156"&amp;B402=KHN&amp;MH,SL))</f>
        <v>50</v>
      </c>
      <c r="G402" s="243">
        <f t="array" ref="G402">SUM(IF("156"&amp;B402=KHN&amp;MH,TH))</f>
        <v>786450</v>
      </c>
      <c r="H402" s="243">
        <f t="array" ref="H402">SUM(IF("156"&amp;B402=KHC&amp;MH,SL))</f>
        <v>50</v>
      </c>
      <c r="I402" s="243">
        <f t="array" ref="I402">SUM(IF("156"&amp;B402=KHC&amp;MH,TH))</f>
        <v>786450</v>
      </c>
      <c r="J402" s="243">
        <f t="shared" si="20"/>
        <v>0</v>
      </c>
      <c r="K402" s="243">
        <f t="shared" si="21"/>
        <v>0</v>
      </c>
      <c r="L402" s="181"/>
    </row>
    <row r="403" spans="1:12" ht="19.5" customHeight="1">
      <c r="A403" s="240">
        <f t="shared" si="19"/>
        <v>392</v>
      </c>
      <c r="B403" s="249" t="s">
        <v>1041</v>
      </c>
      <c r="C403" s="242" t="s">
        <v>262</v>
      </c>
      <c r="D403" s="243"/>
      <c r="E403" s="243"/>
      <c r="F403" s="243">
        <f t="array" ref="F403">SUM(IF("156"&amp;B403=KHN&amp;MH,SL))</f>
        <v>94</v>
      </c>
      <c r="G403" s="243">
        <f t="array" ref="G403">SUM(IF("156"&amp;B403=KHN&amp;MH,TH))</f>
        <v>2047120</v>
      </c>
      <c r="H403" s="243">
        <f t="array" ref="H403">SUM(IF("156"&amp;B403=KHC&amp;MH,SL))</f>
        <v>82</v>
      </c>
      <c r="I403" s="243">
        <f t="array" ref="I403">SUM(IF("156"&amp;B403=KHC&amp;MH,TH))</f>
        <v>1786648</v>
      </c>
      <c r="J403" s="243">
        <f t="shared" si="20"/>
        <v>12</v>
      </c>
      <c r="K403" s="243">
        <f t="shared" si="21"/>
        <v>260472</v>
      </c>
      <c r="L403" s="181"/>
    </row>
    <row r="404" spans="1:12" ht="19.5" customHeight="1">
      <c r="A404" s="240">
        <f t="shared" si="19"/>
        <v>393</v>
      </c>
      <c r="B404" s="250" t="s">
        <v>1330</v>
      </c>
      <c r="C404" s="242"/>
      <c r="D404" s="243"/>
      <c r="E404" s="243"/>
      <c r="F404" s="243">
        <f t="array" ref="F404">SUM(IF("156"&amp;B404=KHN&amp;MH,SL))</f>
        <v>244</v>
      </c>
      <c r="G404" s="243">
        <f t="array" ref="G404">SUM(IF("156"&amp;B404=KHN&amp;MH,TH))</f>
        <v>7941043</v>
      </c>
      <c r="H404" s="243">
        <f t="array" ref="H404">SUM(IF("156"&amp;B404=KHC&amp;MH,SL))</f>
        <v>244</v>
      </c>
      <c r="I404" s="243">
        <f t="array" ref="I404">SUM(IF("156"&amp;B404=KHC&amp;MH,TH))</f>
        <v>7941043</v>
      </c>
      <c r="J404" s="243">
        <f t="shared" si="20"/>
        <v>0</v>
      </c>
      <c r="K404" s="243">
        <f t="shared" si="21"/>
        <v>0</v>
      </c>
      <c r="L404" s="181"/>
    </row>
    <row r="405" spans="1:12" ht="19.5" customHeight="1">
      <c r="A405" s="240">
        <f t="shared" si="19"/>
        <v>394</v>
      </c>
      <c r="B405" s="249" t="s">
        <v>676</v>
      </c>
      <c r="C405" s="242" t="s">
        <v>262</v>
      </c>
      <c r="D405" s="243"/>
      <c r="E405" s="243"/>
      <c r="F405" s="243">
        <f t="array" ref="F405">SUM(IF("156"&amp;B405=KHN&amp;MH,SL))</f>
        <v>120</v>
      </c>
      <c r="G405" s="243">
        <f t="array" ref="G405">SUM(IF("156"&amp;B405=KHN&amp;MH,TH))</f>
        <v>1519080</v>
      </c>
      <c r="H405" s="243">
        <f t="array" ref="H405">SUM(IF("156"&amp;B405=KHC&amp;MH,SL))</f>
        <v>120</v>
      </c>
      <c r="I405" s="243">
        <f t="array" ref="I405">SUM(IF("156"&amp;B405=KHC&amp;MH,TH))</f>
        <v>1519080</v>
      </c>
      <c r="J405" s="243">
        <f t="shared" si="20"/>
        <v>0</v>
      </c>
      <c r="K405" s="243">
        <f t="shared" si="21"/>
        <v>0</v>
      </c>
      <c r="L405" s="181"/>
    </row>
    <row r="406" spans="1:12" ht="19.5" customHeight="1">
      <c r="A406" s="240">
        <f t="shared" si="19"/>
        <v>395</v>
      </c>
      <c r="B406" s="250" t="s">
        <v>1478</v>
      </c>
      <c r="C406" s="242"/>
      <c r="D406" s="243"/>
      <c r="E406" s="243"/>
      <c r="F406" s="243">
        <f t="array" ref="F406">SUM(IF("156"&amp;B406=KHN&amp;MH,SL))</f>
        <v>70</v>
      </c>
      <c r="G406" s="243">
        <f t="array" ref="G406">SUM(IF("156"&amp;B406=KHN&amp;MH,TH))</f>
        <v>2471486</v>
      </c>
      <c r="H406" s="243">
        <f t="array" ref="H406">SUM(IF("156"&amp;B406=KHC&amp;MH,SL))</f>
        <v>0</v>
      </c>
      <c r="I406" s="243">
        <f t="array" ref="I406">SUM(IF("156"&amp;B406=KHC&amp;MH,TH))</f>
        <v>0</v>
      </c>
      <c r="J406" s="243">
        <f t="shared" si="20"/>
        <v>70</v>
      </c>
      <c r="K406" s="243">
        <f t="shared" si="21"/>
        <v>2471486</v>
      </c>
      <c r="L406" s="181"/>
    </row>
    <row r="407" spans="1:12" ht="19.5" customHeight="1">
      <c r="A407" s="240">
        <f t="shared" si="19"/>
        <v>396</v>
      </c>
      <c r="B407" s="250" t="s">
        <v>1223</v>
      </c>
      <c r="C407" s="242" t="s">
        <v>262</v>
      </c>
      <c r="D407" s="243"/>
      <c r="E407" s="243"/>
      <c r="F407" s="243">
        <f t="array" ref="F407">SUM(IF("156"&amp;B407=KHN&amp;MH,SL))</f>
        <v>36</v>
      </c>
      <c r="G407" s="243">
        <f t="array" ref="G407">SUM(IF("156"&amp;B407=KHN&amp;MH,TH))</f>
        <v>1756584</v>
      </c>
      <c r="H407" s="243">
        <f t="array" ref="H407">SUM(IF("156"&amp;B407=KHC&amp;MH,SL))</f>
        <v>36</v>
      </c>
      <c r="I407" s="243">
        <f t="array" ref="I407">SUM(IF("156"&amp;B407=KHC&amp;MH,TH))</f>
        <v>1756584</v>
      </c>
      <c r="J407" s="243">
        <f t="shared" si="20"/>
        <v>0</v>
      </c>
      <c r="K407" s="243">
        <f t="shared" si="21"/>
        <v>0</v>
      </c>
      <c r="L407" s="181"/>
    </row>
    <row r="408" spans="1:12" ht="19.5" customHeight="1">
      <c r="A408" s="240">
        <f t="shared" si="19"/>
        <v>397</v>
      </c>
      <c r="B408" s="249" t="s">
        <v>1032</v>
      </c>
      <c r="C408" s="242" t="s">
        <v>262</v>
      </c>
      <c r="D408" s="243"/>
      <c r="E408" s="243"/>
      <c r="F408" s="243">
        <f t="array" ref="F408">SUM(IF("156"&amp;B408=KHN&amp;MH,SL))</f>
        <v>11194</v>
      </c>
      <c r="G408" s="243">
        <f t="array" ref="G408">SUM(IF("156"&amp;B408=KHN&amp;MH,TH))</f>
        <v>136352774</v>
      </c>
      <c r="H408" s="243">
        <f t="array" ref="H408">SUM(IF("156"&amp;B408=KHC&amp;MH,SL))</f>
        <v>11194</v>
      </c>
      <c r="I408" s="243">
        <f t="array" ref="I408">SUM(IF("156"&amp;B408=KHC&amp;MH,TH))</f>
        <v>136352774</v>
      </c>
      <c r="J408" s="243">
        <f t="shared" si="20"/>
        <v>0</v>
      </c>
      <c r="K408" s="243">
        <f t="shared" si="21"/>
        <v>0</v>
      </c>
      <c r="L408" s="181"/>
    </row>
    <row r="409" spans="1:12" ht="19.5" customHeight="1">
      <c r="A409" s="240">
        <f t="shared" si="19"/>
        <v>398</v>
      </c>
      <c r="B409" s="249" t="s">
        <v>1044</v>
      </c>
      <c r="C409" s="242" t="s">
        <v>262</v>
      </c>
      <c r="D409" s="243"/>
      <c r="E409" s="243"/>
      <c r="F409" s="243">
        <f t="array" ref="F409">SUM(IF("156"&amp;B409=KHN&amp;MH,SL))</f>
        <v>24</v>
      </c>
      <c r="G409" s="243">
        <f t="array" ref="G409">SUM(IF("156"&amp;B409=KHN&amp;MH,TH))</f>
        <v>429480</v>
      </c>
      <c r="H409" s="243">
        <f t="array" ref="H409">SUM(IF("156"&amp;B409=KHC&amp;MH,SL))</f>
        <v>24</v>
      </c>
      <c r="I409" s="243">
        <f t="array" ref="I409">SUM(IF("156"&amp;B409=KHC&amp;MH,TH))</f>
        <v>429480</v>
      </c>
      <c r="J409" s="243">
        <f t="shared" si="20"/>
        <v>0</v>
      </c>
      <c r="K409" s="243">
        <f t="shared" si="21"/>
        <v>0</v>
      </c>
      <c r="L409" s="181"/>
    </row>
    <row r="410" spans="1:12" ht="19.5" customHeight="1">
      <c r="A410" s="240">
        <f t="shared" si="19"/>
        <v>399</v>
      </c>
      <c r="B410" s="250" t="s">
        <v>1248</v>
      </c>
      <c r="C410" s="242" t="s">
        <v>262</v>
      </c>
      <c r="D410" s="243"/>
      <c r="E410" s="243"/>
      <c r="F410" s="243">
        <f t="array" ref="F410">SUM(IF("156"&amp;B410=KHN&amp;MH,SL))</f>
        <v>24</v>
      </c>
      <c r="G410" s="243">
        <f t="array" ref="G410">SUM(IF("156"&amp;B410=KHN&amp;MH,TH))</f>
        <v>443904</v>
      </c>
      <c r="H410" s="243">
        <f t="array" ref="H410">SUM(IF("156"&amp;B410=KHC&amp;MH,SL))</f>
        <v>24</v>
      </c>
      <c r="I410" s="243">
        <f t="array" ref="I410">SUM(IF("156"&amp;B410=KHC&amp;MH,TH))</f>
        <v>443904</v>
      </c>
      <c r="J410" s="243">
        <f t="shared" si="20"/>
        <v>0</v>
      </c>
      <c r="K410" s="243">
        <f t="shared" si="21"/>
        <v>0</v>
      </c>
      <c r="L410" s="181"/>
    </row>
    <row r="411" spans="1:12" ht="19.5" customHeight="1">
      <c r="A411" s="240">
        <f t="shared" si="19"/>
        <v>400</v>
      </c>
      <c r="B411" s="249" t="s">
        <v>746</v>
      </c>
      <c r="C411" s="242" t="s">
        <v>262</v>
      </c>
      <c r="D411" s="243"/>
      <c r="E411" s="243"/>
      <c r="F411" s="243">
        <f t="array" ref="F411">SUM(IF("156"&amp;B411=KHN&amp;MH,SL))</f>
        <v>12</v>
      </c>
      <c r="G411" s="243">
        <f t="array" ref="G411">SUM(IF("156"&amp;B411=KHN&amp;MH,TH))</f>
        <v>250026</v>
      </c>
      <c r="H411" s="243">
        <f t="array" ref="H411">SUM(IF("156"&amp;B411=KHC&amp;MH,SL))</f>
        <v>12</v>
      </c>
      <c r="I411" s="243">
        <f t="array" ref="I411">SUM(IF("156"&amp;B411=KHC&amp;MH,TH))</f>
        <v>250026</v>
      </c>
      <c r="J411" s="243">
        <f t="shared" si="20"/>
        <v>0</v>
      </c>
      <c r="K411" s="243">
        <f t="shared" si="21"/>
        <v>0</v>
      </c>
      <c r="L411" s="181"/>
    </row>
    <row r="412" spans="1:12" ht="19.5" customHeight="1">
      <c r="A412" s="240">
        <f t="shared" si="19"/>
        <v>401</v>
      </c>
      <c r="B412" s="249" t="s">
        <v>1168</v>
      </c>
      <c r="C412" s="242" t="s">
        <v>262</v>
      </c>
      <c r="D412" s="243"/>
      <c r="E412" s="243"/>
      <c r="F412" s="243">
        <f t="array" ref="F412">SUM(IF("156"&amp;B412=KHN&amp;MH,SL))</f>
        <v>24</v>
      </c>
      <c r="G412" s="243">
        <f t="array" ref="G412">SUM(IF("156"&amp;B412=KHN&amp;MH,TH))</f>
        <v>508800</v>
      </c>
      <c r="H412" s="243">
        <f t="array" ref="H412">SUM(IF("156"&amp;B412=KHC&amp;MH,SL))</f>
        <v>24</v>
      </c>
      <c r="I412" s="243">
        <f t="array" ref="I412">SUM(IF("156"&amp;B412=KHC&amp;MH,TH))</f>
        <v>508800</v>
      </c>
      <c r="J412" s="243">
        <f t="shared" si="20"/>
        <v>0</v>
      </c>
      <c r="K412" s="243">
        <f t="shared" si="21"/>
        <v>0</v>
      </c>
      <c r="L412" s="181"/>
    </row>
    <row r="413" spans="1:12" ht="19.5" customHeight="1">
      <c r="A413" s="240">
        <f t="shared" si="19"/>
        <v>402</v>
      </c>
      <c r="B413" s="247" t="s">
        <v>1020</v>
      </c>
      <c r="C413" s="242" t="s">
        <v>262</v>
      </c>
      <c r="D413" s="243"/>
      <c r="E413" s="243"/>
      <c r="F413" s="243">
        <f t="array" ref="F413">SUM(IF("156"&amp;B413=KHN&amp;MH,SL))</f>
        <v>12</v>
      </c>
      <c r="G413" s="243">
        <f t="array" ref="G413">SUM(IF("156"&amp;B413=KHN&amp;MH,TH))</f>
        <v>260940</v>
      </c>
      <c r="H413" s="243">
        <f t="array" ref="H413">SUM(IF("156"&amp;B413=KHC&amp;MH,SL))</f>
        <v>12</v>
      </c>
      <c r="I413" s="243">
        <f t="array" ref="I413">SUM(IF("156"&amp;B413=KHC&amp;MH,TH))</f>
        <v>260940</v>
      </c>
      <c r="J413" s="243">
        <f t="shared" si="20"/>
        <v>0</v>
      </c>
      <c r="K413" s="243">
        <f t="shared" si="21"/>
        <v>0</v>
      </c>
      <c r="L413" s="181"/>
    </row>
    <row r="414" spans="1:12" ht="19.5" customHeight="1">
      <c r="A414" s="240">
        <f t="shared" si="19"/>
        <v>403</v>
      </c>
      <c r="B414" s="249" t="s">
        <v>708</v>
      </c>
      <c r="C414" s="242" t="s">
        <v>262</v>
      </c>
      <c r="D414" s="243"/>
      <c r="E414" s="243"/>
      <c r="F414" s="243">
        <f t="array" ref="F414">SUM(IF("156"&amp;B414=KHN&amp;MH,SL))</f>
        <v>308</v>
      </c>
      <c r="G414" s="243">
        <f t="array" ref="G414">SUM(IF("156"&amp;B414=KHN&amp;MH,TH))</f>
        <v>10808518</v>
      </c>
      <c r="H414" s="243">
        <f t="array" ref="H414">SUM(IF("156"&amp;B414=KHC&amp;MH,SL))</f>
        <v>204</v>
      </c>
      <c r="I414" s="243">
        <f t="array" ref="I414">SUM(IF("156"&amp;B414=KHC&amp;MH,TH))</f>
        <v>7422702</v>
      </c>
      <c r="J414" s="243">
        <f t="shared" si="20"/>
        <v>104</v>
      </c>
      <c r="K414" s="243">
        <f t="shared" si="21"/>
        <v>3385816</v>
      </c>
      <c r="L414" s="181"/>
    </row>
    <row r="415" spans="1:12" ht="19.5" customHeight="1">
      <c r="A415" s="240">
        <f t="shared" si="19"/>
        <v>404</v>
      </c>
      <c r="B415" s="249" t="s">
        <v>774</v>
      </c>
      <c r="C415" s="242" t="s">
        <v>262</v>
      </c>
      <c r="D415" s="243"/>
      <c r="E415" s="243"/>
      <c r="F415" s="243">
        <f t="array" ref="F415">SUM(IF("156"&amp;B415=KHN&amp;MH,SL))</f>
        <v>1000</v>
      </c>
      <c r="G415" s="243">
        <f t="array" ref="G415">SUM(IF("156"&amp;B415=KHN&amp;MH,TH))</f>
        <v>29929762</v>
      </c>
      <c r="H415" s="243">
        <f t="array" ref="H415">SUM(IF("156"&amp;B415=KHC&amp;MH,SL))</f>
        <v>1000</v>
      </c>
      <c r="I415" s="243">
        <f t="array" ref="I415">SUM(IF("156"&amp;B415=KHC&amp;MH,TH))</f>
        <v>29929762</v>
      </c>
      <c r="J415" s="243">
        <f t="shared" si="20"/>
        <v>0</v>
      </c>
      <c r="K415" s="243">
        <f t="shared" si="21"/>
        <v>0</v>
      </c>
      <c r="L415" s="181"/>
    </row>
    <row r="416" spans="1:12" ht="19.5" customHeight="1">
      <c r="A416" s="240">
        <f t="shared" si="19"/>
        <v>405</v>
      </c>
      <c r="B416" s="250" t="s">
        <v>1347</v>
      </c>
      <c r="C416" s="242"/>
      <c r="D416" s="243"/>
      <c r="E416" s="243"/>
      <c r="F416" s="243">
        <f t="array" ref="F416">SUM(IF("156"&amp;B416=KHN&amp;MH,SL))</f>
        <v>96</v>
      </c>
      <c r="G416" s="243">
        <f t="array" ref="G416">SUM(IF("156"&amp;B416=KHN&amp;MH,TH))</f>
        <v>3158556</v>
      </c>
      <c r="H416" s="243">
        <f t="array" ref="H416">SUM(IF("156"&amp;B416=KHC&amp;MH,SL))</f>
        <v>96</v>
      </c>
      <c r="I416" s="243">
        <f t="array" ref="I416">SUM(IF("156"&amp;B416=KHC&amp;MH,TH))</f>
        <v>3158556</v>
      </c>
      <c r="J416" s="243">
        <f t="shared" si="20"/>
        <v>0</v>
      </c>
      <c r="K416" s="243">
        <f t="shared" si="21"/>
        <v>0</v>
      </c>
      <c r="L416" s="181"/>
    </row>
    <row r="417" spans="1:12" ht="19.5" customHeight="1">
      <c r="A417" s="240">
        <f t="shared" si="19"/>
        <v>406</v>
      </c>
      <c r="B417" s="249" t="s">
        <v>1019</v>
      </c>
      <c r="C417" s="242" t="s">
        <v>262</v>
      </c>
      <c r="D417" s="243"/>
      <c r="E417" s="243"/>
      <c r="F417" s="243">
        <f t="array" ref="F417">SUM(IF("156"&amp;B417=KHN&amp;MH,SL))</f>
        <v>24</v>
      </c>
      <c r="G417" s="243">
        <f t="array" ref="G417">SUM(IF("156"&amp;B417=KHN&amp;MH,TH))</f>
        <v>505416</v>
      </c>
      <c r="H417" s="243">
        <f t="array" ref="H417">SUM(IF("156"&amp;B417=KHC&amp;MH,SL))</f>
        <v>24</v>
      </c>
      <c r="I417" s="243">
        <f t="array" ref="I417">SUM(IF("156"&amp;B417=KHC&amp;MH,TH))</f>
        <v>505416</v>
      </c>
      <c r="J417" s="243">
        <f t="shared" si="20"/>
        <v>0</v>
      </c>
      <c r="K417" s="243">
        <f t="shared" si="21"/>
        <v>0</v>
      </c>
      <c r="L417" s="181"/>
    </row>
    <row r="418" spans="1:12" ht="19.5" customHeight="1">
      <c r="A418" s="240">
        <f t="shared" si="19"/>
        <v>407</v>
      </c>
      <c r="B418" s="249" t="s">
        <v>713</v>
      </c>
      <c r="C418" s="242" t="s">
        <v>262</v>
      </c>
      <c r="D418" s="243"/>
      <c r="E418" s="243"/>
      <c r="F418" s="243">
        <f t="array" ref="F418">SUM(IF("156"&amp;B418=KHN&amp;MH,SL))</f>
        <v>152</v>
      </c>
      <c r="G418" s="243">
        <f t="array" ref="G418">SUM(IF("156"&amp;B418=KHN&amp;MH,TH))</f>
        <v>4580176</v>
      </c>
      <c r="H418" s="243">
        <f t="array" ref="H418">SUM(IF("156"&amp;B418=KHC&amp;MH,SL))</f>
        <v>152</v>
      </c>
      <c r="I418" s="243">
        <f t="array" ref="I418">SUM(IF("156"&amp;B418=KHC&amp;MH,TH))</f>
        <v>4580176</v>
      </c>
      <c r="J418" s="243">
        <f t="shared" si="20"/>
        <v>0</v>
      </c>
      <c r="K418" s="243">
        <f t="shared" si="21"/>
        <v>0</v>
      </c>
      <c r="L418" s="181"/>
    </row>
    <row r="419" spans="1:12" ht="19.5" customHeight="1">
      <c r="A419" s="240">
        <f t="shared" si="19"/>
        <v>408</v>
      </c>
      <c r="B419" s="249" t="s">
        <v>626</v>
      </c>
      <c r="C419" s="242" t="s">
        <v>262</v>
      </c>
      <c r="D419" s="243"/>
      <c r="E419" s="243"/>
      <c r="F419" s="243">
        <f t="array" ref="F419">SUM(IF("156"&amp;B419=KHN&amp;MH,SL))</f>
        <v>87</v>
      </c>
      <c r="G419" s="243">
        <f t="array" ref="G419">SUM(IF("156"&amp;B419=KHN&amp;MH,TH))</f>
        <v>2444057</v>
      </c>
      <c r="H419" s="243">
        <f t="array" ref="H419">SUM(IF("156"&amp;B419=KHC&amp;MH,SL))</f>
        <v>87</v>
      </c>
      <c r="I419" s="243">
        <f t="array" ref="I419">SUM(IF("156"&amp;B419=KHC&amp;MH,TH))</f>
        <v>2444057</v>
      </c>
      <c r="J419" s="243">
        <f t="shared" si="20"/>
        <v>0</v>
      </c>
      <c r="K419" s="243">
        <f t="shared" si="21"/>
        <v>0</v>
      </c>
      <c r="L419" s="181"/>
    </row>
    <row r="420" spans="1:12" ht="19.5" customHeight="1">
      <c r="A420" s="240">
        <f t="shared" si="19"/>
        <v>409</v>
      </c>
      <c r="B420" s="250" t="s">
        <v>1246</v>
      </c>
      <c r="C420" s="242" t="s">
        <v>262</v>
      </c>
      <c r="D420" s="243"/>
      <c r="E420" s="243"/>
      <c r="F420" s="243">
        <f t="array" ref="F420">SUM(IF("156"&amp;B420=KHN&amp;MH,SL))</f>
        <v>24</v>
      </c>
      <c r="G420" s="243">
        <f t="array" ref="G420">SUM(IF("156"&amp;B420=KHN&amp;MH,TH))</f>
        <v>886464</v>
      </c>
      <c r="H420" s="243">
        <f t="array" ref="H420">SUM(IF("156"&amp;B420=KHC&amp;MH,SL))</f>
        <v>24</v>
      </c>
      <c r="I420" s="243">
        <f t="array" ref="I420">SUM(IF("156"&amp;B420=KHC&amp;MH,TH))</f>
        <v>886464</v>
      </c>
      <c r="J420" s="243">
        <f t="shared" si="20"/>
        <v>0</v>
      </c>
      <c r="K420" s="243">
        <f t="shared" si="21"/>
        <v>0</v>
      </c>
      <c r="L420" s="181"/>
    </row>
    <row r="421" spans="1:12" ht="19.5" customHeight="1">
      <c r="A421" s="240">
        <f t="shared" si="19"/>
        <v>410</v>
      </c>
      <c r="B421" s="247" t="s">
        <v>563</v>
      </c>
      <c r="C421" s="242" t="s">
        <v>262</v>
      </c>
      <c r="D421" s="243">
        <v>100</v>
      </c>
      <c r="E421" s="243">
        <v>2850000</v>
      </c>
      <c r="F421" s="243">
        <f t="array" ref="F421">SUM(IF("156"&amp;B421=KHN&amp;MH,SL))</f>
        <v>100</v>
      </c>
      <c r="G421" s="243">
        <f t="array" ref="G421">SUM(IF("156"&amp;B421=KHN&amp;MH,TH))</f>
        <v>2849200</v>
      </c>
      <c r="H421" s="243">
        <f t="array" ref="H421">SUM(IF("156"&amp;B421=KHC&amp;MH,SL))</f>
        <v>100</v>
      </c>
      <c r="I421" s="243">
        <f t="array" ref="I421">SUM(IF("156"&amp;B421=KHC&amp;MH,TH))</f>
        <v>2849200</v>
      </c>
      <c r="J421" s="243">
        <f t="shared" si="20"/>
        <v>100</v>
      </c>
      <c r="K421" s="243">
        <f t="shared" si="21"/>
        <v>2850000</v>
      </c>
      <c r="L421" s="181">
        <f>K421/J421</f>
        <v>28500</v>
      </c>
    </row>
    <row r="422" spans="1:12" ht="19.5" customHeight="1">
      <c r="A422" s="240">
        <f t="shared" si="19"/>
        <v>411</v>
      </c>
      <c r="B422" s="249" t="s">
        <v>715</v>
      </c>
      <c r="C422" s="242" t="s">
        <v>262</v>
      </c>
      <c r="D422" s="243"/>
      <c r="E422" s="243"/>
      <c r="F422" s="243">
        <f t="array" ref="F422">SUM(IF("156"&amp;B422=KHN&amp;MH,SL))</f>
        <v>60</v>
      </c>
      <c r="G422" s="243">
        <f t="array" ref="G422">SUM(IF("156"&amp;B422=KHN&amp;MH,TH))</f>
        <v>2186820</v>
      </c>
      <c r="H422" s="243">
        <f t="array" ref="H422">SUM(IF("156"&amp;B422=KHC&amp;MH,SL))</f>
        <v>60</v>
      </c>
      <c r="I422" s="243">
        <f t="array" ref="I422">SUM(IF("156"&amp;B422=KHC&amp;MH,TH))</f>
        <v>2186820</v>
      </c>
      <c r="J422" s="243">
        <f t="shared" si="20"/>
        <v>0</v>
      </c>
      <c r="K422" s="243">
        <f t="shared" si="21"/>
        <v>0</v>
      </c>
      <c r="L422" s="181"/>
    </row>
    <row r="423" spans="1:12" ht="19.5" customHeight="1">
      <c r="A423" s="240">
        <f t="shared" si="19"/>
        <v>412</v>
      </c>
      <c r="B423" s="249" t="s">
        <v>761</v>
      </c>
      <c r="C423" s="242" t="s">
        <v>262</v>
      </c>
      <c r="D423" s="243"/>
      <c r="E423" s="243"/>
      <c r="F423" s="243">
        <f t="array" ref="F423">SUM(IF("156"&amp;B423=KHN&amp;MH,SL))</f>
        <v>186</v>
      </c>
      <c r="G423" s="243">
        <f t="array" ref="G423">SUM(IF("156"&amp;B423=KHN&amp;MH,TH))</f>
        <v>6152748</v>
      </c>
      <c r="H423" s="243">
        <f t="array" ref="H423">SUM(IF("156"&amp;B423=KHC&amp;MH,SL))</f>
        <v>156</v>
      </c>
      <c r="I423" s="243">
        <f t="array" ref="I423">SUM(IF("156"&amp;B423=KHC&amp;MH,TH))</f>
        <v>5436858</v>
      </c>
      <c r="J423" s="243">
        <f t="shared" si="20"/>
        <v>30</v>
      </c>
      <c r="K423" s="243">
        <f t="shared" si="21"/>
        <v>715890</v>
      </c>
      <c r="L423" s="181"/>
    </row>
    <row r="424" spans="1:12" ht="19.5" customHeight="1">
      <c r="A424" s="240">
        <f t="shared" si="19"/>
        <v>413</v>
      </c>
      <c r="B424" s="250" t="s">
        <v>1657</v>
      </c>
      <c r="C424" s="242"/>
      <c r="D424" s="243"/>
      <c r="E424" s="243"/>
      <c r="F424" s="243">
        <f t="array" ref="F424">SUM(IF("156"&amp;B424=KHN&amp;MH,SL))</f>
        <v>24</v>
      </c>
      <c r="G424" s="243">
        <f t="array" ref="G424">SUM(IF("156"&amp;B424=KHN&amp;MH,TH))</f>
        <v>932376</v>
      </c>
      <c r="H424" s="243">
        <f t="array" ref="H424">SUM(IF("156"&amp;B424=KHC&amp;MH,SL))</f>
        <v>0</v>
      </c>
      <c r="I424" s="243">
        <f t="array" ref="I424">SUM(IF("156"&amp;B424=KHC&amp;MH,TH))</f>
        <v>0</v>
      </c>
      <c r="J424" s="243">
        <f t="shared" si="20"/>
        <v>24</v>
      </c>
      <c r="K424" s="243">
        <f t="shared" si="21"/>
        <v>932376</v>
      </c>
      <c r="L424" s="181"/>
    </row>
    <row r="425" spans="1:12" ht="19.5" customHeight="1">
      <c r="A425" s="240">
        <f t="shared" si="19"/>
        <v>414</v>
      </c>
      <c r="B425" s="250" t="s">
        <v>1244</v>
      </c>
      <c r="C425" s="242" t="s">
        <v>262</v>
      </c>
      <c r="D425" s="243"/>
      <c r="E425" s="243"/>
      <c r="F425" s="243">
        <f t="array" ref="F425">SUM(IF("156"&amp;B425=KHN&amp;MH,SL))</f>
        <v>12</v>
      </c>
      <c r="G425" s="243">
        <f t="array" ref="G425">SUM(IF("156"&amp;B425=KHN&amp;MH,TH))</f>
        <v>292032</v>
      </c>
      <c r="H425" s="243">
        <f t="array" ref="H425">SUM(IF("156"&amp;B425=KHC&amp;MH,SL))</f>
        <v>12</v>
      </c>
      <c r="I425" s="243">
        <f t="array" ref="I425">SUM(IF("156"&amp;B425=KHC&amp;MH,TH))</f>
        <v>292032</v>
      </c>
      <c r="J425" s="243">
        <f t="shared" si="20"/>
        <v>0</v>
      </c>
      <c r="K425" s="243">
        <f t="shared" si="21"/>
        <v>0</v>
      </c>
      <c r="L425" s="181"/>
    </row>
    <row r="426" spans="1:12" ht="19.5" customHeight="1">
      <c r="A426" s="240">
        <f t="shared" si="19"/>
        <v>415</v>
      </c>
      <c r="B426" s="249" t="s">
        <v>756</v>
      </c>
      <c r="C426" s="242" t="s">
        <v>262</v>
      </c>
      <c r="D426" s="243"/>
      <c r="E426" s="243"/>
      <c r="F426" s="243">
        <f t="array" ref="F426">SUM(IF("156"&amp;B426=KHN&amp;MH,SL))</f>
        <v>174</v>
      </c>
      <c r="G426" s="243">
        <f t="array" ref="G426">SUM(IF("156"&amp;B426=KHN&amp;MH,TH))</f>
        <v>6722088</v>
      </c>
      <c r="H426" s="243">
        <f t="array" ref="H426">SUM(IF("156"&amp;B426=KHC&amp;MH,SL))</f>
        <v>156</v>
      </c>
      <c r="I426" s="243">
        <f t="array" ref="I426">SUM(IF("156"&amp;B426=KHC&amp;MH,TH))</f>
        <v>5974800</v>
      </c>
      <c r="J426" s="243">
        <f t="shared" si="20"/>
        <v>18</v>
      </c>
      <c r="K426" s="243">
        <f t="shared" si="21"/>
        <v>747288</v>
      </c>
      <c r="L426" s="181"/>
    </row>
    <row r="427" spans="1:12" ht="19.5" customHeight="1">
      <c r="A427" s="240">
        <f t="shared" si="19"/>
        <v>416</v>
      </c>
      <c r="B427" s="249" t="s">
        <v>631</v>
      </c>
      <c r="C427" s="242" t="s">
        <v>262</v>
      </c>
      <c r="D427" s="243"/>
      <c r="E427" s="243"/>
      <c r="F427" s="243">
        <f t="array" ref="F427">SUM(IF("156"&amp;B427=KHN&amp;MH,SL))</f>
        <v>11</v>
      </c>
      <c r="G427" s="243">
        <f t="array" ref="G427">SUM(IF("156"&amp;B427=KHN&amp;MH,TH))</f>
        <v>309837</v>
      </c>
      <c r="H427" s="243">
        <f t="array" ref="H427">SUM(IF("156"&amp;B427=KHC&amp;MH,SL))</f>
        <v>11</v>
      </c>
      <c r="I427" s="243">
        <f t="array" ref="I427">SUM(IF("156"&amp;B427=KHC&amp;MH,TH))</f>
        <v>309837</v>
      </c>
      <c r="J427" s="243">
        <f t="shared" si="20"/>
        <v>0</v>
      </c>
      <c r="K427" s="243">
        <f t="shared" si="21"/>
        <v>0</v>
      </c>
      <c r="L427" s="181"/>
    </row>
    <row r="428" spans="1:12" ht="19.5" customHeight="1">
      <c r="A428" s="240">
        <f t="shared" si="19"/>
        <v>417</v>
      </c>
      <c r="B428" s="247" t="s">
        <v>1000</v>
      </c>
      <c r="C428" s="242" t="s">
        <v>262</v>
      </c>
      <c r="D428" s="243"/>
      <c r="E428" s="243"/>
      <c r="F428" s="243">
        <f t="array" ref="F428">SUM(IF("156"&amp;B428=KHN&amp;MH,SL))</f>
        <v>20</v>
      </c>
      <c r="G428" s="243">
        <f t="array" ref="G428">SUM(IF("156"&amp;B428=KHN&amp;MH,TH))</f>
        <v>592620</v>
      </c>
      <c r="H428" s="243">
        <f t="array" ref="H428">SUM(IF("156"&amp;B428=KHC&amp;MH,SL))</f>
        <v>20</v>
      </c>
      <c r="I428" s="243">
        <f t="array" ref="I428">SUM(IF("156"&amp;B428=KHC&amp;MH,TH))</f>
        <v>592620</v>
      </c>
      <c r="J428" s="243">
        <f t="shared" si="20"/>
        <v>0</v>
      </c>
      <c r="K428" s="243">
        <f t="shared" si="21"/>
        <v>0</v>
      </c>
      <c r="L428" s="181"/>
    </row>
    <row r="429" spans="1:12" ht="19.5" customHeight="1">
      <c r="A429" s="240">
        <f t="shared" si="19"/>
        <v>418</v>
      </c>
      <c r="B429" s="249" t="s">
        <v>757</v>
      </c>
      <c r="C429" s="242" t="s">
        <v>262</v>
      </c>
      <c r="D429" s="243"/>
      <c r="E429" s="243"/>
      <c r="F429" s="243">
        <f t="array" ref="F429">SUM(IF("156"&amp;B429=KHN&amp;MH,SL))</f>
        <v>48</v>
      </c>
      <c r="G429" s="243">
        <f t="array" ref="G429">SUM(IF("156"&amp;B429=KHN&amp;MH,TH))</f>
        <v>2328588</v>
      </c>
      <c r="H429" s="243">
        <f t="array" ref="H429">SUM(IF("156"&amp;B429=KHC&amp;MH,SL))</f>
        <v>36</v>
      </c>
      <c r="I429" s="243">
        <f t="array" ref="I429">SUM(IF("156"&amp;B429=KHC&amp;MH,TH))</f>
        <v>1739004</v>
      </c>
      <c r="J429" s="243">
        <f t="shared" si="20"/>
        <v>12</v>
      </c>
      <c r="K429" s="243">
        <f t="shared" si="21"/>
        <v>589584</v>
      </c>
      <c r="L429" s="181"/>
    </row>
    <row r="430" spans="1:12" ht="19.5" customHeight="1">
      <c r="A430" s="240">
        <f t="shared" si="19"/>
        <v>419</v>
      </c>
      <c r="B430" s="249" t="s">
        <v>1016</v>
      </c>
      <c r="C430" s="242" t="s">
        <v>262</v>
      </c>
      <c r="D430" s="243"/>
      <c r="E430" s="243"/>
      <c r="F430" s="243">
        <f t="array" ref="F430">SUM(IF("156"&amp;B430=KHN&amp;MH,SL))</f>
        <v>8</v>
      </c>
      <c r="G430" s="243">
        <f t="array" ref="G430">SUM(IF("156"&amp;B430=KHN&amp;MH,TH))</f>
        <v>274096</v>
      </c>
      <c r="H430" s="243">
        <f t="array" ref="H430">SUM(IF("156"&amp;B430=KHC&amp;MH,SL))</f>
        <v>8</v>
      </c>
      <c r="I430" s="243">
        <f t="array" ref="I430">SUM(IF("156"&amp;B430=KHC&amp;MH,TH))</f>
        <v>274096</v>
      </c>
      <c r="J430" s="243">
        <f t="shared" si="20"/>
        <v>0</v>
      </c>
      <c r="K430" s="243">
        <f t="shared" si="21"/>
        <v>0</v>
      </c>
      <c r="L430" s="181"/>
    </row>
    <row r="431" spans="1:12" ht="19.5" customHeight="1">
      <c r="A431" s="240">
        <f t="shared" si="19"/>
        <v>420</v>
      </c>
      <c r="B431" s="250" t="s">
        <v>1333</v>
      </c>
      <c r="C431" s="242"/>
      <c r="D431" s="243"/>
      <c r="E431" s="243"/>
      <c r="F431" s="243">
        <f t="array" ref="F431">SUM(IF("156"&amp;B431=KHN&amp;MH,SL))</f>
        <v>100</v>
      </c>
      <c r="G431" s="243">
        <f t="array" ref="G431">SUM(IF("156"&amp;B431=KHN&amp;MH,TH))</f>
        <v>3655300</v>
      </c>
      <c r="H431" s="243">
        <f t="array" ref="H431">SUM(IF("156"&amp;B431=KHC&amp;MH,SL))</f>
        <v>100</v>
      </c>
      <c r="I431" s="243">
        <f t="array" ref="I431">SUM(IF("156"&amp;B431=KHC&amp;MH,TH))</f>
        <v>3655300</v>
      </c>
      <c r="J431" s="243">
        <f t="shared" si="20"/>
        <v>0</v>
      </c>
      <c r="K431" s="243">
        <f t="shared" si="21"/>
        <v>0</v>
      </c>
      <c r="L431" s="181"/>
    </row>
    <row r="432" spans="1:12" ht="19.5" customHeight="1">
      <c r="A432" s="240">
        <f t="shared" si="19"/>
        <v>421</v>
      </c>
      <c r="B432" s="719" t="s">
        <v>1191</v>
      </c>
      <c r="C432" s="242" t="s">
        <v>262</v>
      </c>
      <c r="D432" s="243"/>
      <c r="E432" s="243"/>
      <c r="F432" s="243">
        <f t="array" ref="F432">SUM(IF("156"&amp;B432=KHN&amp;MH,SL))</f>
        <v>50</v>
      </c>
      <c r="G432" s="243">
        <f t="array" ref="G432">SUM(IF("156"&amp;B432=KHN&amp;MH,TH))</f>
        <v>755236</v>
      </c>
      <c r="H432" s="243">
        <f t="array" ref="H432">SUM(IF("156"&amp;B432=KHC&amp;MH,SL))</f>
        <v>50</v>
      </c>
      <c r="I432" s="243">
        <f t="array" ref="I432">SUM(IF("156"&amp;B432=KHC&amp;MH,TH))</f>
        <v>755236</v>
      </c>
      <c r="J432" s="243">
        <f t="shared" si="20"/>
        <v>0</v>
      </c>
      <c r="K432" s="243">
        <f t="shared" si="21"/>
        <v>0</v>
      </c>
      <c r="L432" s="181"/>
    </row>
    <row r="433" spans="1:12" ht="19.5" customHeight="1">
      <c r="A433" s="240">
        <f t="shared" si="19"/>
        <v>422</v>
      </c>
      <c r="B433" s="247" t="s">
        <v>1021</v>
      </c>
      <c r="C433" s="242" t="s">
        <v>262</v>
      </c>
      <c r="D433" s="243"/>
      <c r="E433" s="243"/>
      <c r="F433" s="243">
        <f t="array" ref="F433">SUM(IF("156"&amp;B433=KHN&amp;MH,SL))</f>
        <v>11</v>
      </c>
      <c r="G433" s="243">
        <f t="array" ref="G433">SUM(IF("156"&amp;B433=KHN&amp;MH,TH))</f>
        <v>161282</v>
      </c>
      <c r="H433" s="243">
        <f t="array" ref="H433">SUM(IF("156"&amp;B433=KHC&amp;MH,SL))</f>
        <v>11</v>
      </c>
      <c r="I433" s="243">
        <f t="array" ref="I433">SUM(IF("156"&amp;B433=KHC&amp;MH,TH))</f>
        <v>161282</v>
      </c>
      <c r="J433" s="243">
        <f t="shared" si="20"/>
        <v>0</v>
      </c>
      <c r="K433" s="243">
        <f t="shared" si="21"/>
        <v>0</v>
      </c>
      <c r="L433" s="181"/>
    </row>
    <row r="434" spans="1:12" ht="19.5" customHeight="1">
      <c r="A434" s="240">
        <f t="shared" si="19"/>
        <v>423</v>
      </c>
      <c r="B434" s="250" t="s">
        <v>1484</v>
      </c>
      <c r="C434" s="242"/>
      <c r="D434" s="243"/>
      <c r="E434" s="243"/>
      <c r="F434" s="243">
        <f t="array" ref="F434">SUM(IF("156"&amp;B434=KHN&amp;MH,SL))</f>
        <v>12</v>
      </c>
      <c r="G434" s="243">
        <f t="array" ref="G434">SUM(IF("156"&amp;B434=KHN&amp;MH,TH))</f>
        <v>237492</v>
      </c>
      <c r="H434" s="243">
        <f t="array" ref="H434">SUM(IF("156"&amp;B434=KHC&amp;MH,SL))</f>
        <v>0</v>
      </c>
      <c r="I434" s="243">
        <f t="array" ref="I434">SUM(IF("156"&amp;B434=KHC&amp;MH,TH))</f>
        <v>0</v>
      </c>
      <c r="J434" s="243">
        <f t="shared" si="20"/>
        <v>12</v>
      </c>
      <c r="K434" s="243">
        <f t="shared" si="21"/>
        <v>237492</v>
      </c>
      <c r="L434" s="181"/>
    </row>
    <row r="435" spans="1:12" ht="19.5" customHeight="1">
      <c r="A435" s="240">
        <f t="shared" si="19"/>
        <v>424</v>
      </c>
      <c r="B435" s="250" t="s">
        <v>1453</v>
      </c>
      <c r="C435" s="242"/>
      <c r="D435" s="243"/>
      <c r="E435" s="243"/>
      <c r="F435" s="243">
        <f t="array" ref="F435">SUM(IF("156"&amp;B435=KHN&amp;MH,SL))</f>
        <v>40</v>
      </c>
      <c r="G435" s="243">
        <f t="array" ref="G435">SUM(IF("156"&amp;B435=KHN&amp;MH,TH))</f>
        <v>1587400</v>
      </c>
      <c r="H435" s="243">
        <f t="array" ref="H435">SUM(IF("156"&amp;B435=KHC&amp;MH,SL))</f>
        <v>0</v>
      </c>
      <c r="I435" s="243">
        <f t="array" ref="I435">SUM(IF("156"&amp;B435=KHC&amp;MH,TH))</f>
        <v>0</v>
      </c>
      <c r="J435" s="243">
        <f t="shared" si="20"/>
        <v>40</v>
      </c>
      <c r="K435" s="243">
        <f t="shared" si="21"/>
        <v>1587400</v>
      </c>
      <c r="L435" s="181"/>
    </row>
    <row r="436" spans="1:12" ht="19.5" customHeight="1">
      <c r="A436" s="240">
        <f t="shared" si="19"/>
        <v>425</v>
      </c>
      <c r="B436" s="250" t="s">
        <v>1455</v>
      </c>
      <c r="C436" s="242"/>
      <c r="D436" s="243"/>
      <c r="E436" s="243"/>
      <c r="F436" s="243">
        <f t="array" ref="F436">SUM(IF("156"&amp;B436=KHN&amp;MH,SL))</f>
        <v>24</v>
      </c>
      <c r="G436" s="243">
        <f t="array" ref="G436">SUM(IF("156"&amp;B436=KHN&amp;MH,TH))</f>
        <v>961776</v>
      </c>
      <c r="H436" s="243">
        <f t="array" ref="H436">SUM(IF("156"&amp;B436=KHC&amp;MH,SL))</f>
        <v>0</v>
      </c>
      <c r="I436" s="243">
        <f t="array" ref="I436">SUM(IF("156"&amp;B436=KHC&amp;MH,TH))</f>
        <v>0</v>
      </c>
      <c r="J436" s="243">
        <f t="shared" si="20"/>
        <v>24</v>
      </c>
      <c r="K436" s="243">
        <f t="shared" si="21"/>
        <v>961776</v>
      </c>
      <c r="L436" s="181"/>
    </row>
    <row r="437" spans="1:12" ht="19.5" customHeight="1">
      <c r="A437" s="240">
        <f t="shared" si="19"/>
        <v>426</v>
      </c>
      <c r="B437" s="249" t="s">
        <v>1163</v>
      </c>
      <c r="C437" s="242" t="s">
        <v>262</v>
      </c>
      <c r="D437" s="243"/>
      <c r="E437" s="243"/>
      <c r="F437" s="243">
        <f t="array" ref="F437">SUM(IF("156"&amp;B437=KHN&amp;MH,SL))</f>
        <v>20</v>
      </c>
      <c r="G437" s="243">
        <f t="array" ref="G437">SUM(IF("156"&amp;B437=KHN&amp;MH,TH))</f>
        <v>883200</v>
      </c>
      <c r="H437" s="243">
        <f t="array" ref="H437">SUM(IF("156"&amp;B437=KHC&amp;MH,SL))</f>
        <v>20</v>
      </c>
      <c r="I437" s="243">
        <f t="array" ref="I437">SUM(IF("156"&amp;B437=KHC&amp;MH,TH))</f>
        <v>883200</v>
      </c>
      <c r="J437" s="243">
        <f t="shared" si="20"/>
        <v>0</v>
      </c>
      <c r="K437" s="243">
        <f t="shared" si="21"/>
        <v>0</v>
      </c>
      <c r="L437" s="181"/>
    </row>
    <row r="438" spans="1:12" ht="19.5" customHeight="1">
      <c r="A438" s="240">
        <f t="shared" si="19"/>
        <v>427</v>
      </c>
      <c r="B438" s="249" t="s">
        <v>735</v>
      </c>
      <c r="C438" s="242" t="s">
        <v>262</v>
      </c>
      <c r="D438" s="243"/>
      <c r="E438" s="243"/>
      <c r="F438" s="243">
        <f t="array" ref="F438">SUM(IF("156"&amp;B438=KHN&amp;MH,SL))</f>
        <v>36</v>
      </c>
      <c r="G438" s="243">
        <f t="array" ref="G438">SUM(IF("156"&amp;B438=KHN&amp;MH,TH))</f>
        <v>1793280</v>
      </c>
      <c r="H438" s="243">
        <f t="array" ref="H438">SUM(IF("156"&amp;B438=KHC&amp;MH,SL))</f>
        <v>36</v>
      </c>
      <c r="I438" s="243">
        <f t="array" ref="I438">SUM(IF("156"&amp;B438=KHC&amp;MH,TH))</f>
        <v>1793280</v>
      </c>
      <c r="J438" s="243">
        <f t="shared" si="20"/>
        <v>0</v>
      </c>
      <c r="K438" s="243">
        <f t="shared" si="21"/>
        <v>0</v>
      </c>
      <c r="L438" s="181"/>
    </row>
    <row r="439" spans="1:12" ht="19.5" customHeight="1">
      <c r="A439" s="240">
        <f t="shared" si="19"/>
        <v>428</v>
      </c>
      <c r="B439" s="250" t="s">
        <v>1649</v>
      </c>
      <c r="C439" s="555"/>
      <c r="D439" s="243"/>
      <c r="E439" s="243"/>
      <c r="F439" s="243">
        <f t="array" ref="F439">SUM(IF("156"&amp;B439=KHN&amp;MH,SL))</f>
        <v>6</v>
      </c>
      <c r="G439" s="243">
        <f t="array" ref="G439">SUM(IF("156"&amp;B439=KHN&amp;MH,TH))</f>
        <v>314034</v>
      </c>
      <c r="H439" s="243">
        <f t="array" ref="H439">SUM(IF("156"&amp;B439=KHC&amp;MH,SL))</f>
        <v>0</v>
      </c>
      <c r="I439" s="243">
        <f t="array" ref="I439">SUM(IF("156"&amp;B439=KHC&amp;MH,TH))</f>
        <v>0</v>
      </c>
      <c r="J439" s="243">
        <f t="shared" si="20"/>
        <v>6</v>
      </c>
      <c r="K439" s="243">
        <f t="shared" si="21"/>
        <v>314034</v>
      </c>
      <c r="L439" s="181"/>
    </row>
    <row r="440" spans="1:12" ht="19.5" customHeight="1">
      <c r="A440" s="240">
        <f t="shared" si="19"/>
        <v>429</v>
      </c>
      <c r="B440" s="250" t="s">
        <v>1334</v>
      </c>
      <c r="C440" s="242"/>
      <c r="D440" s="243"/>
      <c r="E440" s="243"/>
      <c r="F440" s="243">
        <f t="array" ref="F440">SUM(IF("156"&amp;B440=KHN&amp;MH,SL))</f>
        <v>60</v>
      </c>
      <c r="G440" s="243">
        <f t="array" ref="G440">SUM(IF("156"&amp;B440=KHN&amp;MH,TH))</f>
        <v>2260620</v>
      </c>
      <c r="H440" s="243">
        <f t="array" ref="H440">SUM(IF("156"&amp;B440=KHC&amp;MH,SL))</f>
        <v>60</v>
      </c>
      <c r="I440" s="243">
        <f t="array" ref="I440">SUM(IF("156"&amp;B440=KHC&amp;MH,TH))</f>
        <v>2260620</v>
      </c>
      <c r="J440" s="243">
        <f t="shared" si="20"/>
        <v>0</v>
      </c>
      <c r="K440" s="243">
        <f t="shared" si="21"/>
        <v>0</v>
      </c>
      <c r="L440" s="181"/>
    </row>
    <row r="441" spans="1:12" ht="19.5" customHeight="1">
      <c r="A441" s="240">
        <f t="shared" si="19"/>
        <v>430</v>
      </c>
      <c r="B441" s="249" t="s">
        <v>673</v>
      </c>
      <c r="C441" s="242" t="s">
        <v>262</v>
      </c>
      <c r="D441" s="243"/>
      <c r="E441" s="243"/>
      <c r="F441" s="243">
        <f t="array" ref="F441">SUM(IF("156"&amp;B441=KHN&amp;MH,SL))</f>
        <v>65</v>
      </c>
      <c r="G441" s="243">
        <f t="array" ref="G441">SUM(IF("156"&amp;B441=KHN&amp;MH,TH))</f>
        <v>1047816</v>
      </c>
      <c r="H441" s="243">
        <f t="array" ref="H441">SUM(IF("156"&amp;B441=KHC&amp;MH,SL))</f>
        <v>65</v>
      </c>
      <c r="I441" s="243">
        <f t="array" ref="I441">SUM(IF("156"&amp;B441=KHC&amp;MH,TH))</f>
        <v>1047816</v>
      </c>
      <c r="J441" s="243">
        <f t="shared" si="20"/>
        <v>0</v>
      </c>
      <c r="K441" s="243">
        <f t="shared" si="21"/>
        <v>0</v>
      </c>
      <c r="L441" s="181"/>
    </row>
    <row r="442" spans="1:12" ht="19.5" customHeight="1">
      <c r="A442" s="240">
        <f t="shared" si="19"/>
        <v>431</v>
      </c>
      <c r="B442" s="249" t="s">
        <v>728</v>
      </c>
      <c r="C442" s="242" t="s">
        <v>262</v>
      </c>
      <c r="D442" s="243"/>
      <c r="E442" s="243"/>
      <c r="F442" s="243">
        <f t="array" ref="F442">SUM(IF("156"&amp;B442=KHN&amp;MH,SL))</f>
        <v>132</v>
      </c>
      <c r="G442" s="243">
        <f t="array" ref="G442">SUM(IF("156"&amp;B442=KHN&amp;MH,TH))</f>
        <v>2682402</v>
      </c>
      <c r="H442" s="243">
        <f t="array" ref="H442">SUM(IF("156"&amp;B442=KHC&amp;MH,SL))</f>
        <v>132</v>
      </c>
      <c r="I442" s="243">
        <f t="array" ref="I442">SUM(IF("156"&amp;B442=KHC&amp;MH,TH))</f>
        <v>2682402</v>
      </c>
      <c r="J442" s="243">
        <f t="shared" si="20"/>
        <v>0</v>
      </c>
      <c r="K442" s="243">
        <f t="shared" si="21"/>
        <v>0</v>
      </c>
      <c r="L442" s="181"/>
    </row>
    <row r="443" spans="1:12" ht="19.5" customHeight="1">
      <c r="A443" s="240">
        <f t="shared" si="19"/>
        <v>432</v>
      </c>
      <c r="B443" s="249" t="s">
        <v>1049</v>
      </c>
      <c r="C443" s="242" t="s">
        <v>262</v>
      </c>
      <c r="D443" s="243"/>
      <c r="E443" s="243"/>
      <c r="F443" s="243">
        <f t="array" ref="F443">SUM(IF("156"&amp;B443=KHN&amp;MH,SL))</f>
        <v>42</v>
      </c>
      <c r="G443" s="243">
        <f t="array" ref="G443">SUM(IF("156"&amp;B443=KHN&amp;MH,TH))</f>
        <v>1024878</v>
      </c>
      <c r="H443" s="243">
        <f t="array" ref="H443">SUM(IF("156"&amp;B443=KHC&amp;MH,SL))</f>
        <v>24</v>
      </c>
      <c r="I443" s="243">
        <f t="array" ref="I443">SUM(IF("156"&amp;B443=KHC&amp;MH,TH))</f>
        <v>580980</v>
      </c>
      <c r="J443" s="243">
        <f t="shared" si="20"/>
        <v>18</v>
      </c>
      <c r="K443" s="243">
        <f t="shared" si="21"/>
        <v>443898</v>
      </c>
      <c r="L443" s="181"/>
    </row>
    <row r="444" spans="1:12" ht="19.5" customHeight="1">
      <c r="A444" s="240">
        <f t="shared" si="19"/>
        <v>433</v>
      </c>
      <c r="B444" s="249" t="s">
        <v>718</v>
      </c>
      <c r="C444" s="242" t="s">
        <v>262</v>
      </c>
      <c r="D444" s="243"/>
      <c r="E444" s="243"/>
      <c r="F444" s="243">
        <f t="array" ref="F444">SUM(IF("156"&amp;B444=KHN&amp;MH,SL))</f>
        <v>24</v>
      </c>
      <c r="G444" s="243">
        <f t="array" ref="G444">SUM(IF("156"&amp;B444=KHN&amp;MH,TH))</f>
        <v>591072</v>
      </c>
      <c r="H444" s="243">
        <f t="array" ref="H444">SUM(IF("156"&amp;B444=KHC&amp;MH,SL))</f>
        <v>24</v>
      </c>
      <c r="I444" s="243">
        <f t="array" ref="I444">SUM(IF("156"&amp;B444=KHC&amp;MH,TH))</f>
        <v>591072</v>
      </c>
      <c r="J444" s="243">
        <f t="shared" si="20"/>
        <v>0</v>
      </c>
      <c r="K444" s="243">
        <f t="shared" si="21"/>
        <v>0</v>
      </c>
      <c r="L444" s="181"/>
    </row>
    <row r="445" spans="1:12" ht="19.5" customHeight="1">
      <c r="A445" s="240">
        <f t="shared" si="19"/>
        <v>434</v>
      </c>
      <c r="B445" s="249" t="s">
        <v>611</v>
      </c>
      <c r="C445" s="242" t="s">
        <v>262</v>
      </c>
      <c r="D445" s="243"/>
      <c r="E445" s="243"/>
      <c r="F445" s="243">
        <f t="array" ref="F445">SUM(IF("156"&amp;B445=KHN&amp;MH,SL))</f>
        <v>1199</v>
      </c>
      <c r="G445" s="243">
        <f t="array" ref="G445">SUM(IF("156"&amp;B445=KHN&amp;MH,TH))</f>
        <v>49690491</v>
      </c>
      <c r="H445" s="243">
        <f t="array" ref="H445">SUM(IF("156"&amp;B445=KHC&amp;MH,SL))</f>
        <v>955</v>
      </c>
      <c r="I445" s="243">
        <f t="array" ref="I445">SUM(IF("156"&amp;B445=KHC&amp;MH,TH))</f>
        <v>39359079</v>
      </c>
      <c r="J445" s="243">
        <f t="shared" si="20"/>
        <v>244</v>
      </c>
      <c r="K445" s="243">
        <f t="shared" si="21"/>
        <v>10331412</v>
      </c>
      <c r="L445" s="181"/>
    </row>
    <row r="446" spans="1:12" ht="19.5" customHeight="1">
      <c r="A446" s="240">
        <f t="shared" si="19"/>
        <v>435</v>
      </c>
      <c r="B446" s="555" t="s">
        <v>1390</v>
      </c>
      <c r="C446" s="242"/>
      <c r="D446" s="243"/>
      <c r="E446" s="243"/>
      <c r="F446" s="243">
        <f t="array" ref="F446">SUM(IF("156"&amp;B446=KHN&amp;MH,SL))</f>
        <v>0</v>
      </c>
      <c r="G446" s="243">
        <f t="array" ref="G446">SUM(IF("156"&amp;B446=KHN&amp;MH,TH))</f>
        <v>0</v>
      </c>
      <c r="H446" s="243">
        <f t="array" ref="H446">SUM(IF("156"&amp;B446=KHC&amp;MH,SL))</f>
        <v>0</v>
      </c>
      <c r="I446" s="243">
        <f t="array" ref="I446">SUM(IF("156"&amp;B446=KHC&amp;MH,TH))</f>
        <v>0</v>
      </c>
      <c r="J446" s="243">
        <f t="shared" si="20"/>
        <v>0</v>
      </c>
      <c r="K446" s="243">
        <f t="shared" si="21"/>
        <v>0</v>
      </c>
      <c r="L446" s="181"/>
    </row>
    <row r="447" spans="1:12" ht="19.5" customHeight="1">
      <c r="A447" s="240">
        <f t="shared" si="19"/>
        <v>436</v>
      </c>
      <c r="B447" s="249" t="s">
        <v>792</v>
      </c>
      <c r="C447" s="242" t="s">
        <v>262</v>
      </c>
      <c r="D447" s="243"/>
      <c r="E447" s="243"/>
      <c r="F447" s="243">
        <f t="array" ref="F447">SUM(IF("156"&amp;B447=KHN&amp;MH,SL))</f>
        <v>22</v>
      </c>
      <c r="G447" s="243">
        <f t="array" ref="G447">SUM(IF("156"&amp;B447=KHN&amp;MH,TH))</f>
        <v>644614</v>
      </c>
      <c r="H447" s="243">
        <f t="array" ref="H447">SUM(IF("156"&amp;B447=KHC&amp;MH,SL))</f>
        <v>10</v>
      </c>
      <c r="I447" s="243">
        <f t="array" ref="I447">SUM(IF("156"&amp;B447=KHC&amp;MH,TH))</f>
        <v>289750</v>
      </c>
      <c r="J447" s="243">
        <f t="shared" si="20"/>
        <v>12</v>
      </c>
      <c r="K447" s="243">
        <f t="shared" si="21"/>
        <v>354864</v>
      </c>
      <c r="L447" s="181"/>
    </row>
    <row r="448" spans="1:12" ht="19.5" customHeight="1">
      <c r="A448" s="240">
        <f t="shared" si="19"/>
        <v>437</v>
      </c>
      <c r="B448" s="250" t="s">
        <v>1622</v>
      </c>
      <c r="C448" s="242"/>
      <c r="D448" s="243"/>
      <c r="E448" s="243"/>
      <c r="F448" s="243">
        <f t="array" ref="F448">SUM(IF("156"&amp;B448=KHN&amp;MH,SL))</f>
        <v>509</v>
      </c>
      <c r="G448" s="243">
        <f t="array" ref="G448">SUM(IF("156"&amp;B448=KHN&amp;MH,TH))</f>
        <v>13468140</v>
      </c>
      <c r="H448" s="243">
        <f t="array" ref="H448">SUM(IF("156"&amp;B448=KHC&amp;MH,SL))</f>
        <v>0</v>
      </c>
      <c r="I448" s="243">
        <f t="array" ref="I448">SUM(IF("156"&amp;B448=KHC&amp;MH,TH))</f>
        <v>0</v>
      </c>
      <c r="J448" s="243">
        <f t="shared" si="20"/>
        <v>509</v>
      </c>
      <c r="K448" s="243">
        <f t="shared" si="21"/>
        <v>13468140</v>
      </c>
      <c r="L448" s="181"/>
    </row>
    <row r="449" spans="1:15" ht="19.5" customHeight="1">
      <c r="A449" s="240">
        <f t="shared" si="19"/>
        <v>438</v>
      </c>
      <c r="B449" s="250" t="s">
        <v>1304</v>
      </c>
      <c r="C449" s="242"/>
      <c r="D449" s="243"/>
      <c r="E449" s="243"/>
      <c r="F449" s="243">
        <f t="array" ref="F449">SUM(IF("156"&amp;B449=KHN&amp;MH,SL))</f>
        <v>292</v>
      </c>
      <c r="G449" s="243">
        <f t="array" ref="G449">SUM(IF("156"&amp;B449=KHN&amp;MH,TH))</f>
        <v>3147760</v>
      </c>
      <c r="H449" s="243">
        <f t="array" ref="H449">SUM(IF("156"&amp;B449=KHC&amp;MH,SL))</f>
        <v>292</v>
      </c>
      <c r="I449" s="243">
        <f t="array" ref="I449">SUM(IF("156"&amp;B449=KHC&amp;MH,TH))</f>
        <v>3147760</v>
      </c>
      <c r="J449" s="243">
        <f t="shared" si="20"/>
        <v>0</v>
      </c>
      <c r="K449" s="243">
        <f t="shared" si="21"/>
        <v>0</v>
      </c>
      <c r="L449" s="181"/>
    </row>
    <row r="450" spans="1:15" ht="19.5" customHeight="1">
      <c r="A450" s="240">
        <f t="shared" si="19"/>
        <v>439</v>
      </c>
      <c r="B450" s="250" t="s">
        <v>1646</v>
      </c>
      <c r="C450" s="242"/>
      <c r="D450" s="243"/>
      <c r="E450" s="243"/>
      <c r="F450" s="243">
        <f t="array" ref="F450">SUM(IF("156"&amp;B450=KHN&amp;MH,SL))</f>
        <v>24</v>
      </c>
      <c r="G450" s="243">
        <f t="array" ref="G450">SUM(IF("156"&amp;B450=KHN&amp;MH,TH))</f>
        <v>1019760</v>
      </c>
      <c r="H450" s="243">
        <f t="array" ref="H450">SUM(IF("156"&amp;B450=KHC&amp;MH,SL))</f>
        <v>0</v>
      </c>
      <c r="I450" s="243">
        <f t="array" ref="I450">SUM(IF("156"&amp;B450=KHC&amp;MH,TH))</f>
        <v>0</v>
      </c>
      <c r="J450" s="243">
        <f t="shared" si="20"/>
        <v>24</v>
      </c>
      <c r="K450" s="243">
        <f t="shared" si="21"/>
        <v>1019760</v>
      </c>
      <c r="L450" s="181"/>
    </row>
    <row r="451" spans="1:15" ht="19.5" customHeight="1">
      <c r="A451" s="240">
        <f t="shared" si="19"/>
        <v>440</v>
      </c>
      <c r="B451" s="249" t="s">
        <v>717</v>
      </c>
      <c r="C451" s="242" t="s">
        <v>262</v>
      </c>
      <c r="D451" s="243"/>
      <c r="E451" s="243"/>
      <c r="F451" s="243">
        <f t="array" ref="F451">SUM(IF("156"&amp;B451=KHN&amp;MH,SL))</f>
        <v>24</v>
      </c>
      <c r="G451" s="243">
        <f t="array" ref="G451">SUM(IF("156"&amp;B451=KHN&amp;MH,TH))</f>
        <v>567768</v>
      </c>
      <c r="H451" s="243">
        <f t="array" ref="H451">SUM(IF("156"&amp;B451=KHC&amp;MH,SL))</f>
        <v>24</v>
      </c>
      <c r="I451" s="243">
        <f t="array" ref="I451">SUM(IF("156"&amp;B451=KHC&amp;MH,TH))</f>
        <v>567768</v>
      </c>
      <c r="J451" s="243">
        <f t="shared" si="20"/>
        <v>0</v>
      </c>
      <c r="K451" s="243">
        <f t="shared" si="21"/>
        <v>0</v>
      </c>
      <c r="L451" s="181"/>
    </row>
    <row r="452" spans="1:15" ht="19.5" customHeight="1">
      <c r="A452" s="240">
        <f t="shared" si="19"/>
        <v>441</v>
      </c>
      <c r="B452" s="249" t="s">
        <v>709</v>
      </c>
      <c r="C452" s="242" t="s">
        <v>262</v>
      </c>
      <c r="D452" s="243"/>
      <c r="E452" s="243"/>
      <c r="F452" s="243">
        <f t="array" ref="F452">SUM(IF("156"&amp;B452=KHN&amp;MH,SL))</f>
        <v>266</v>
      </c>
      <c r="G452" s="243">
        <f t="array" ref="G452">SUM(IF("156"&amp;B452=KHN&amp;MH,TH))</f>
        <v>10747788</v>
      </c>
      <c r="H452" s="243">
        <f t="array" ref="H452">SUM(IF("156"&amp;B452=KHC&amp;MH,SL))</f>
        <v>206</v>
      </c>
      <c r="I452" s="243">
        <f t="array" ref="I452">SUM(IF("156"&amp;B452=KHC&amp;MH,TH))</f>
        <v>8345508</v>
      </c>
      <c r="J452" s="243">
        <f t="shared" si="20"/>
        <v>60</v>
      </c>
      <c r="K452" s="243">
        <f t="shared" si="21"/>
        <v>2402280</v>
      </c>
      <c r="L452" s="181"/>
    </row>
    <row r="453" spans="1:15" ht="19.5" customHeight="1">
      <c r="A453" s="240">
        <f t="shared" si="19"/>
        <v>442</v>
      </c>
      <c r="B453" s="250" t="s">
        <v>1652</v>
      </c>
      <c r="C453" s="242"/>
      <c r="D453" s="243"/>
      <c r="E453" s="243"/>
      <c r="F453" s="243">
        <f t="array" ref="F453">SUM(IF("156"&amp;B453=KHN&amp;MH,SL))</f>
        <v>24</v>
      </c>
      <c r="G453" s="243">
        <f t="array" ref="G453">SUM(IF("156"&amp;B453=KHN&amp;MH,TH))</f>
        <v>1080120</v>
      </c>
      <c r="H453" s="243">
        <f t="array" ref="H453">SUM(IF("156"&amp;B453=KHC&amp;MH,SL))</f>
        <v>0</v>
      </c>
      <c r="I453" s="243">
        <f t="array" ref="I453">SUM(IF("156"&amp;B453=KHC&amp;MH,TH))</f>
        <v>0</v>
      </c>
      <c r="J453" s="243">
        <f t="shared" si="20"/>
        <v>24</v>
      </c>
      <c r="K453" s="243">
        <f t="shared" si="21"/>
        <v>1080120</v>
      </c>
      <c r="L453" s="181"/>
    </row>
    <row r="454" spans="1:15" ht="19.5" customHeight="1">
      <c r="A454" s="240">
        <f t="shared" si="19"/>
        <v>443</v>
      </c>
      <c r="B454" s="250" t="s">
        <v>1331</v>
      </c>
      <c r="C454" s="242"/>
      <c r="D454" s="243"/>
      <c r="E454" s="243"/>
      <c r="F454" s="243">
        <f t="array" ref="F454">SUM(IF("156"&amp;B454=KHN&amp;MH,SL))</f>
        <v>212</v>
      </c>
      <c r="G454" s="243">
        <f t="array" ref="G454">SUM(IF("156"&amp;B454=KHN&amp;MH,TH))</f>
        <v>8432457</v>
      </c>
      <c r="H454" s="243">
        <f t="array" ref="H454">SUM(IF("156"&amp;B454=KHC&amp;MH,SL))</f>
        <v>212</v>
      </c>
      <c r="I454" s="243">
        <f t="array" ref="I454">SUM(IF("156"&amp;B454=KHC&amp;MH,TH))</f>
        <v>8432457</v>
      </c>
      <c r="J454" s="243">
        <f t="shared" si="20"/>
        <v>0</v>
      </c>
      <c r="K454" s="243">
        <f t="shared" si="21"/>
        <v>0</v>
      </c>
      <c r="L454" s="181"/>
    </row>
    <row r="455" spans="1:15" ht="19.5" customHeight="1">
      <c r="A455" s="240">
        <f t="shared" si="19"/>
        <v>444</v>
      </c>
      <c r="B455" s="250" t="s">
        <v>1337</v>
      </c>
      <c r="C455" s="242"/>
      <c r="D455" s="243"/>
      <c r="E455" s="243"/>
      <c r="F455" s="243">
        <f t="array" ref="F455">SUM(IF("156"&amp;B455=KHN&amp;MH,SL))</f>
        <v>408</v>
      </c>
      <c r="G455" s="243">
        <f t="array" ref="G455">SUM(IF("156"&amp;B455=KHN&amp;MH,TH))</f>
        <v>16840957</v>
      </c>
      <c r="H455" s="243">
        <f t="array" ref="H455">SUM(IF("156"&amp;B455=KHC&amp;MH,SL))</f>
        <v>360</v>
      </c>
      <c r="I455" s="243">
        <f t="array" ref="I455">SUM(IF("156"&amp;B455=KHC&amp;MH,TH))</f>
        <v>14630317</v>
      </c>
      <c r="J455" s="243">
        <f t="shared" si="20"/>
        <v>48</v>
      </c>
      <c r="K455" s="243">
        <f t="shared" si="21"/>
        <v>2210640</v>
      </c>
      <c r="L455" s="181"/>
    </row>
    <row r="456" spans="1:15" ht="19.5" customHeight="1">
      <c r="A456" s="240">
        <f t="shared" si="19"/>
        <v>445</v>
      </c>
      <c r="B456" s="249" t="s">
        <v>743</v>
      </c>
      <c r="C456" s="242" t="s">
        <v>262</v>
      </c>
      <c r="D456" s="243"/>
      <c r="E456" s="243"/>
      <c r="F456" s="243">
        <f t="array" ref="F456">SUM(IF("156"&amp;B456=KHN&amp;MH,SL))</f>
        <v>16</v>
      </c>
      <c r="G456" s="243">
        <f t="array" ref="G456">SUM(IF("156"&amp;B456=KHN&amp;MH,TH))</f>
        <v>682848</v>
      </c>
      <c r="H456" s="243">
        <f t="array" ref="H456">SUM(IF("156"&amp;B456=KHC&amp;MH,SL))</f>
        <v>16</v>
      </c>
      <c r="I456" s="243">
        <f t="array" ref="I456">SUM(IF("156"&amp;B456=KHC&amp;MH,TH))</f>
        <v>682848</v>
      </c>
      <c r="J456" s="243">
        <f t="shared" si="20"/>
        <v>0</v>
      </c>
      <c r="K456" s="243">
        <f t="shared" si="21"/>
        <v>0</v>
      </c>
      <c r="L456" s="181"/>
    </row>
    <row r="457" spans="1:15" ht="19.5" customHeight="1">
      <c r="A457" s="240">
        <f t="shared" si="19"/>
        <v>446</v>
      </c>
      <c r="B457" s="249" t="s">
        <v>495</v>
      </c>
      <c r="C457" s="242" t="s">
        <v>262</v>
      </c>
      <c r="D457" s="243"/>
      <c r="E457" s="243"/>
      <c r="F457" s="243">
        <f t="array" ref="F457">SUM(IF("156"&amp;B457=KHN&amp;MH,SL))</f>
        <v>70</v>
      </c>
      <c r="G457" s="243">
        <f t="array" ref="G457">SUM(IF("156"&amp;B457=KHN&amp;MH,TH))</f>
        <v>1760541</v>
      </c>
      <c r="H457" s="243">
        <f t="array" ref="H457">SUM(IF("156"&amp;B457=KHC&amp;MH,SL))</f>
        <v>70</v>
      </c>
      <c r="I457" s="243">
        <f t="array" ref="I457">SUM(IF("156"&amp;B457=KHC&amp;MH,TH))</f>
        <v>1760541</v>
      </c>
      <c r="J457" s="243">
        <f t="shared" si="20"/>
        <v>0</v>
      </c>
      <c r="K457" s="243">
        <f t="shared" si="21"/>
        <v>0</v>
      </c>
      <c r="L457" s="181"/>
      <c r="N457" s="244"/>
      <c r="O457" s="244"/>
    </row>
    <row r="458" spans="1:15" ht="19.5" customHeight="1">
      <c r="A458" s="240">
        <f t="shared" si="19"/>
        <v>447</v>
      </c>
      <c r="B458" s="250" t="s">
        <v>1336</v>
      </c>
      <c r="C458" s="242"/>
      <c r="D458" s="243"/>
      <c r="E458" s="243"/>
      <c r="F458" s="243">
        <f t="array" ref="F458">SUM(IF("156"&amp;B458=KHN&amp;MH,SL))</f>
        <v>200</v>
      </c>
      <c r="G458" s="243">
        <f t="array" ref="G458">SUM(IF("156"&amp;B458=KHN&amp;MH,TH))</f>
        <v>8386400</v>
      </c>
      <c r="H458" s="243">
        <f t="array" ref="H458">SUM(IF("156"&amp;B458=KHC&amp;MH,SL))</f>
        <v>200</v>
      </c>
      <c r="I458" s="243">
        <f t="array" ref="I458">SUM(IF("156"&amp;B458=KHC&amp;MH,TH))</f>
        <v>8386400</v>
      </c>
      <c r="J458" s="243">
        <f t="shared" si="20"/>
        <v>0</v>
      </c>
      <c r="K458" s="243">
        <f t="shared" si="21"/>
        <v>0</v>
      </c>
      <c r="L458" s="181"/>
    </row>
    <row r="459" spans="1:15" ht="19.5" customHeight="1">
      <c r="A459" s="240">
        <f t="shared" si="19"/>
        <v>448</v>
      </c>
      <c r="B459" s="249" t="s">
        <v>1176</v>
      </c>
      <c r="C459" s="242" t="s">
        <v>262</v>
      </c>
      <c r="D459" s="243"/>
      <c r="E459" s="243"/>
      <c r="F459" s="243">
        <f t="array" ref="F459">SUM(IF("156"&amp;B459=KHN&amp;MH,SL))</f>
        <v>6</v>
      </c>
      <c r="G459" s="243">
        <f t="array" ref="G459">SUM(IF("156"&amp;B459=KHN&amp;MH,TH))</f>
        <v>59700</v>
      </c>
      <c r="H459" s="243">
        <f t="array" ref="H459">SUM(IF("156"&amp;B459=KHC&amp;MH,SL))</f>
        <v>6</v>
      </c>
      <c r="I459" s="243">
        <f t="array" ref="I459">SUM(IF("156"&amp;B459=KHC&amp;MH,TH))</f>
        <v>59700</v>
      </c>
      <c r="J459" s="243">
        <f t="shared" si="20"/>
        <v>0</v>
      </c>
      <c r="K459" s="243">
        <f t="shared" si="21"/>
        <v>0</v>
      </c>
      <c r="L459" s="181"/>
    </row>
    <row r="460" spans="1:15" ht="19.5" customHeight="1">
      <c r="A460" s="240">
        <f t="shared" ref="A460:A523" si="22">IF(B460&lt;&gt;"",ROW()-11,"")</f>
        <v>449</v>
      </c>
      <c r="B460" s="250" t="s">
        <v>1217</v>
      </c>
      <c r="C460" s="242" t="s">
        <v>262</v>
      </c>
      <c r="D460" s="243"/>
      <c r="E460" s="243"/>
      <c r="F460" s="243">
        <f t="array" ref="F460">SUM(IF("156"&amp;B460=KHN&amp;MH,SL))</f>
        <v>58870</v>
      </c>
      <c r="G460" s="243">
        <f t="array" ref="G460">SUM(IF("156"&amp;B460=KHN&amp;MH,TH))</f>
        <v>402760864</v>
      </c>
      <c r="H460" s="243">
        <f t="array" ref="H460">SUM(IF("156"&amp;B460=KHC&amp;MH,SL))</f>
        <v>22330</v>
      </c>
      <c r="I460" s="243">
        <f t="array" ref="I460">SUM(IF("156"&amp;B460=KHC&amp;MH,TH))</f>
        <v>191486584</v>
      </c>
      <c r="J460" s="243">
        <f t="shared" ref="J460:J523" si="23">D460+F460-H460</f>
        <v>36540</v>
      </c>
      <c r="K460" s="243">
        <f t="shared" ref="K460:K523" si="24">E460+G460-I460</f>
        <v>211274280</v>
      </c>
      <c r="L460" s="181"/>
    </row>
    <row r="461" spans="1:15" ht="19.5" customHeight="1">
      <c r="A461" s="240">
        <f t="shared" si="22"/>
        <v>450</v>
      </c>
      <c r="B461" s="249" t="s">
        <v>664</v>
      </c>
      <c r="C461" s="242" t="s">
        <v>262</v>
      </c>
      <c r="D461" s="243"/>
      <c r="E461" s="243"/>
      <c r="F461" s="243">
        <f t="array" ref="F461">SUM(IF("156"&amp;B461=KHN&amp;MH,SL))</f>
        <v>6</v>
      </c>
      <c r="G461" s="243">
        <f t="array" ref="G461">SUM(IF("156"&amp;B461=KHN&amp;MH,TH))</f>
        <v>288114</v>
      </c>
      <c r="H461" s="243">
        <f t="array" ref="H461">SUM(IF("156"&amp;B461=KHC&amp;MH,SL))</f>
        <v>6</v>
      </c>
      <c r="I461" s="243">
        <f t="array" ref="I461">SUM(IF("156"&amp;B461=KHC&amp;MH,TH))</f>
        <v>288114</v>
      </c>
      <c r="J461" s="243">
        <f t="shared" si="23"/>
        <v>0</v>
      </c>
      <c r="K461" s="243">
        <f t="shared" si="24"/>
        <v>0</v>
      </c>
      <c r="L461" s="181"/>
    </row>
    <row r="462" spans="1:15" ht="19.5" customHeight="1">
      <c r="A462" s="240">
        <f t="shared" si="22"/>
        <v>451</v>
      </c>
      <c r="B462" s="249" t="s">
        <v>1408</v>
      </c>
      <c r="C462" s="242"/>
      <c r="D462" s="243"/>
      <c r="E462" s="243"/>
      <c r="F462" s="243">
        <f t="array" ref="F462">SUM(IF("156"&amp;B462=KHN&amp;MH,SL))</f>
        <v>480</v>
      </c>
      <c r="G462" s="243">
        <f t="array" ref="G462">SUM(IF("156"&amp;B462=KHN&amp;MH,TH))</f>
        <v>2728320</v>
      </c>
      <c r="H462" s="243">
        <f t="array" ref="H462">SUM(IF("156"&amp;B462=KHC&amp;MH,SL))</f>
        <v>0</v>
      </c>
      <c r="I462" s="243">
        <f t="array" ref="I462">SUM(IF("156"&amp;B462=KHC&amp;MH,TH))</f>
        <v>0</v>
      </c>
      <c r="J462" s="243">
        <f t="shared" si="23"/>
        <v>480</v>
      </c>
      <c r="K462" s="243">
        <f t="shared" si="24"/>
        <v>2728320</v>
      </c>
      <c r="L462" s="181"/>
    </row>
    <row r="463" spans="1:15" ht="19.5" customHeight="1">
      <c r="A463" s="240">
        <f t="shared" si="22"/>
        <v>452</v>
      </c>
      <c r="B463" s="249" t="s">
        <v>1409</v>
      </c>
      <c r="C463" s="242"/>
      <c r="D463" s="243"/>
      <c r="E463" s="243"/>
      <c r="F463" s="243">
        <f t="array" ref="F463">SUM(IF("156"&amp;B463=KHN&amp;MH,SL))</f>
        <v>480</v>
      </c>
      <c r="G463" s="243">
        <f t="array" ref="G463">SUM(IF("156"&amp;B463=KHN&amp;MH,TH))</f>
        <v>3292800</v>
      </c>
      <c r="H463" s="243">
        <f t="array" ref="H463">SUM(IF("156"&amp;B463=KHC&amp;MH,SL))</f>
        <v>0</v>
      </c>
      <c r="I463" s="243">
        <f t="array" ref="I463">SUM(IF("156"&amp;B463=KHC&amp;MH,TH))</f>
        <v>0</v>
      </c>
      <c r="J463" s="243">
        <f t="shared" si="23"/>
        <v>480</v>
      </c>
      <c r="K463" s="243">
        <f t="shared" si="24"/>
        <v>3292800</v>
      </c>
      <c r="L463" s="181"/>
    </row>
    <row r="464" spans="1:15" ht="19.5" customHeight="1">
      <c r="A464" s="240">
        <f t="shared" si="22"/>
        <v>453</v>
      </c>
      <c r="B464" s="249" t="s">
        <v>1410</v>
      </c>
      <c r="C464" s="242"/>
      <c r="D464" s="243"/>
      <c r="E464" s="243"/>
      <c r="F464" s="243">
        <f t="array" ref="F464">SUM(IF("156"&amp;B464=KHN&amp;MH,SL))</f>
        <v>480</v>
      </c>
      <c r="G464" s="243">
        <f t="array" ref="G464">SUM(IF("156"&amp;B464=KHN&amp;MH,TH))</f>
        <v>799680</v>
      </c>
      <c r="H464" s="243">
        <f t="array" ref="H464">SUM(IF("156"&amp;B464=KHC&amp;MH,SL))</f>
        <v>0</v>
      </c>
      <c r="I464" s="243">
        <f t="array" ref="I464">SUM(IF("156"&amp;B464=KHC&amp;MH,TH))</f>
        <v>0</v>
      </c>
      <c r="J464" s="243">
        <f t="shared" si="23"/>
        <v>480</v>
      </c>
      <c r="K464" s="243">
        <f t="shared" si="24"/>
        <v>799680</v>
      </c>
      <c r="L464" s="181"/>
    </row>
    <row r="465" spans="1:12" ht="19.5" customHeight="1">
      <c r="A465" s="240">
        <f t="shared" si="22"/>
        <v>454</v>
      </c>
      <c r="B465" s="249" t="s">
        <v>1411</v>
      </c>
      <c r="C465" s="242"/>
      <c r="D465" s="243"/>
      <c r="E465" s="243"/>
      <c r="F465" s="243">
        <f t="array" ref="F465">SUM(IF("156"&amp;B465=KHN&amp;MH,SL))</f>
        <v>480</v>
      </c>
      <c r="G465" s="243">
        <f t="array" ref="G465">SUM(IF("156"&amp;B465=KHN&amp;MH,TH))</f>
        <v>1034880</v>
      </c>
      <c r="H465" s="243">
        <f t="array" ref="H465">SUM(IF("156"&amp;B465=KHC&amp;MH,SL))</f>
        <v>0</v>
      </c>
      <c r="I465" s="243">
        <f t="array" ref="I465">SUM(IF("156"&amp;B465=KHC&amp;MH,TH))</f>
        <v>0</v>
      </c>
      <c r="J465" s="243">
        <f t="shared" si="23"/>
        <v>480</v>
      </c>
      <c r="K465" s="243">
        <f t="shared" si="24"/>
        <v>1034880</v>
      </c>
      <c r="L465" s="181"/>
    </row>
    <row r="466" spans="1:12" ht="19.5" customHeight="1">
      <c r="A466" s="240">
        <f t="shared" si="22"/>
        <v>455</v>
      </c>
      <c r="B466" s="250" t="s">
        <v>1468</v>
      </c>
      <c r="C466" s="242"/>
      <c r="D466" s="243"/>
      <c r="E466" s="243"/>
      <c r="F466" s="243">
        <f t="array" ref="F466">SUM(IF("156"&amp;B466=KHN&amp;MH,SL))</f>
        <v>2</v>
      </c>
      <c r="G466" s="243">
        <f t="array" ref="G466">SUM(IF("156"&amp;B466=KHN&amp;MH,TH))</f>
        <v>117444</v>
      </c>
      <c r="H466" s="243">
        <f t="array" ref="H466">SUM(IF("156"&amp;B466=KHC&amp;MH,SL))</f>
        <v>0</v>
      </c>
      <c r="I466" s="243">
        <f t="array" ref="I466">SUM(IF("156"&amp;B466=KHC&amp;MH,TH))</f>
        <v>0</v>
      </c>
      <c r="J466" s="243">
        <f t="shared" si="23"/>
        <v>2</v>
      </c>
      <c r="K466" s="243">
        <f t="shared" si="24"/>
        <v>117444</v>
      </c>
      <c r="L466" s="181"/>
    </row>
    <row r="467" spans="1:12" ht="19.5" customHeight="1">
      <c r="A467" s="240">
        <f t="shared" si="22"/>
        <v>456</v>
      </c>
      <c r="B467" s="249" t="s">
        <v>663</v>
      </c>
      <c r="C467" s="242" t="s">
        <v>262</v>
      </c>
      <c r="D467" s="243"/>
      <c r="E467" s="243"/>
      <c r="F467" s="243">
        <f t="array" ref="F467">SUM(IF("156"&amp;B467=KHN&amp;MH,SL))</f>
        <v>114</v>
      </c>
      <c r="G467" s="243">
        <f t="array" ref="G467">SUM(IF("156"&amp;B467=KHN&amp;MH,TH))</f>
        <v>4907490</v>
      </c>
      <c r="H467" s="243">
        <f t="array" ref="H467">SUM(IF("156"&amp;B467=KHC&amp;MH,SL))</f>
        <v>114</v>
      </c>
      <c r="I467" s="243">
        <f t="array" ref="I467">SUM(IF("156"&amp;B467=KHC&amp;MH,TH))</f>
        <v>4907490</v>
      </c>
      <c r="J467" s="243">
        <f t="shared" si="23"/>
        <v>0</v>
      </c>
      <c r="K467" s="243">
        <f t="shared" si="24"/>
        <v>0</v>
      </c>
      <c r="L467" s="181"/>
    </row>
    <row r="468" spans="1:12" ht="19.5" customHeight="1">
      <c r="A468" s="240">
        <f t="shared" si="22"/>
        <v>457</v>
      </c>
      <c r="B468" s="249" t="s">
        <v>716</v>
      </c>
      <c r="C468" s="242" t="s">
        <v>262</v>
      </c>
      <c r="D468" s="243"/>
      <c r="E468" s="243"/>
      <c r="F468" s="243">
        <f t="array" ref="F468">SUM(IF("156"&amp;B468=KHN&amp;MH,SL))</f>
        <v>24</v>
      </c>
      <c r="G468" s="243">
        <f t="array" ref="G468">SUM(IF("156"&amp;B468=KHN&amp;MH,TH))</f>
        <v>664920</v>
      </c>
      <c r="H468" s="243">
        <f t="array" ref="H468">SUM(IF("156"&amp;B468=KHC&amp;MH,SL))</f>
        <v>24</v>
      </c>
      <c r="I468" s="243">
        <f t="array" ref="I468">SUM(IF("156"&amp;B468=KHC&amp;MH,TH))</f>
        <v>664920</v>
      </c>
      <c r="J468" s="243">
        <f t="shared" si="23"/>
        <v>0</v>
      </c>
      <c r="K468" s="243">
        <f t="shared" si="24"/>
        <v>0</v>
      </c>
      <c r="L468" s="181"/>
    </row>
    <row r="469" spans="1:12" ht="19.5" customHeight="1">
      <c r="A469" s="240">
        <f t="shared" si="22"/>
        <v>458</v>
      </c>
      <c r="B469" s="250" t="s">
        <v>1231</v>
      </c>
      <c r="C469" s="242" t="s">
        <v>262</v>
      </c>
      <c r="D469" s="243"/>
      <c r="E469" s="243"/>
      <c r="F469" s="243">
        <f t="array" ref="F469">SUM(IF("156"&amp;B469=KHN&amp;MH,SL))</f>
        <v>10</v>
      </c>
      <c r="G469" s="243">
        <f t="array" ref="G469">SUM(IF("156"&amp;B469=KHN&amp;MH,TH))</f>
        <v>481620</v>
      </c>
      <c r="H469" s="243">
        <f t="array" ref="H469">SUM(IF("156"&amp;B469=KHC&amp;MH,SL))</f>
        <v>10</v>
      </c>
      <c r="I469" s="243">
        <f t="array" ref="I469">SUM(IF("156"&amp;B469=KHC&amp;MH,TH))</f>
        <v>481620</v>
      </c>
      <c r="J469" s="243">
        <f t="shared" si="23"/>
        <v>0</v>
      </c>
      <c r="K469" s="243">
        <f t="shared" si="24"/>
        <v>0</v>
      </c>
      <c r="L469" s="181"/>
    </row>
    <row r="470" spans="1:12" ht="19.5" customHeight="1">
      <c r="A470" s="240">
        <f t="shared" si="22"/>
        <v>459</v>
      </c>
      <c r="B470" s="250" t="s">
        <v>1335</v>
      </c>
      <c r="C470" s="242"/>
      <c r="D470" s="243"/>
      <c r="E470" s="243"/>
      <c r="F470" s="243">
        <f t="array" ref="F470">SUM(IF("156"&amp;B470=KHN&amp;MH,SL))</f>
        <v>244</v>
      </c>
      <c r="G470" s="243">
        <f t="array" ref="G470">SUM(IF("156"&amp;B470=KHN&amp;MH,TH))</f>
        <v>10625029</v>
      </c>
      <c r="H470" s="243">
        <f t="array" ref="H470">SUM(IF("156"&amp;B470=KHC&amp;MH,SL))</f>
        <v>244</v>
      </c>
      <c r="I470" s="243">
        <f t="array" ref="I470">SUM(IF("156"&amp;B470=KHC&amp;MH,TH))</f>
        <v>10625029</v>
      </c>
      <c r="J470" s="243">
        <f t="shared" si="23"/>
        <v>0</v>
      </c>
      <c r="K470" s="243">
        <f t="shared" si="24"/>
        <v>0</v>
      </c>
      <c r="L470" s="181"/>
    </row>
    <row r="471" spans="1:12" ht="19.5" customHeight="1">
      <c r="A471" s="240">
        <f t="shared" si="22"/>
        <v>460</v>
      </c>
      <c r="B471" s="250" t="s">
        <v>1476</v>
      </c>
      <c r="C471" s="242"/>
      <c r="D471" s="243"/>
      <c r="E471" s="243"/>
      <c r="F471" s="243">
        <f t="array" ref="F471">SUM(IF("156"&amp;B471=KHN&amp;MH,SL))</f>
        <v>42</v>
      </c>
      <c r="G471" s="243">
        <f t="array" ref="G471">SUM(IF("156"&amp;B471=KHN&amp;MH,TH))</f>
        <v>1100526</v>
      </c>
      <c r="H471" s="243">
        <f t="array" ref="H471">SUM(IF("156"&amp;B471=KHC&amp;MH,SL))</f>
        <v>0</v>
      </c>
      <c r="I471" s="243">
        <f t="array" ref="I471">SUM(IF("156"&amp;B471=KHC&amp;MH,TH))</f>
        <v>0</v>
      </c>
      <c r="J471" s="243">
        <f t="shared" si="23"/>
        <v>42</v>
      </c>
      <c r="K471" s="243">
        <f t="shared" si="24"/>
        <v>1100526</v>
      </c>
      <c r="L471" s="181"/>
    </row>
    <row r="472" spans="1:12" ht="19.5" customHeight="1">
      <c r="A472" s="240">
        <f t="shared" si="22"/>
        <v>461</v>
      </c>
      <c r="B472" s="249" t="s">
        <v>777</v>
      </c>
      <c r="C472" s="242" t="s">
        <v>262</v>
      </c>
      <c r="D472" s="243"/>
      <c r="E472" s="243"/>
      <c r="F472" s="243">
        <f t="array" ref="F472">SUM(IF("156"&amp;B472=KHN&amp;MH,SL))</f>
        <v>100</v>
      </c>
      <c r="G472" s="243">
        <f t="array" ref="G472">SUM(IF("156"&amp;B472=KHN&amp;MH,TH))</f>
        <v>1412670</v>
      </c>
      <c r="H472" s="243">
        <f t="array" ref="H472">SUM(IF("156"&amp;B472=KHC&amp;MH,SL))</f>
        <v>100</v>
      </c>
      <c r="I472" s="243">
        <f t="array" ref="I472">SUM(IF("156"&amp;B472=KHC&amp;MH,TH))</f>
        <v>1412670</v>
      </c>
      <c r="J472" s="243">
        <f t="shared" si="23"/>
        <v>0</v>
      </c>
      <c r="K472" s="243">
        <f t="shared" si="24"/>
        <v>0</v>
      </c>
      <c r="L472" s="181"/>
    </row>
    <row r="473" spans="1:12" ht="19.5" customHeight="1">
      <c r="A473" s="240">
        <f t="shared" si="22"/>
        <v>462</v>
      </c>
      <c r="B473" s="249" t="s">
        <v>1376</v>
      </c>
      <c r="C473" s="242"/>
      <c r="D473" s="243"/>
      <c r="E473" s="243"/>
      <c r="F473" s="243">
        <f t="array" ref="F473">SUM(IF("156"&amp;B473=KHN&amp;MH,SL))</f>
        <v>50</v>
      </c>
      <c r="G473" s="243">
        <f t="array" ref="G473">SUM(IF("156"&amp;B473=KHN&amp;MH,TH))</f>
        <v>984900</v>
      </c>
      <c r="H473" s="243">
        <f t="array" ref="H473">SUM(IF("156"&amp;B473=KHC&amp;MH,SL))</f>
        <v>0</v>
      </c>
      <c r="I473" s="243">
        <f t="array" ref="I473">SUM(IF("156"&amp;B473=KHC&amp;MH,TH))</f>
        <v>0</v>
      </c>
      <c r="J473" s="243">
        <f t="shared" si="23"/>
        <v>50</v>
      </c>
      <c r="K473" s="243">
        <f t="shared" si="24"/>
        <v>984900</v>
      </c>
      <c r="L473" s="181"/>
    </row>
    <row r="474" spans="1:12" ht="19.5" customHeight="1">
      <c r="A474" s="240">
        <f t="shared" si="22"/>
        <v>463</v>
      </c>
      <c r="B474" s="250" t="s">
        <v>1667</v>
      </c>
      <c r="C474" s="242"/>
      <c r="D474" s="243"/>
      <c r="E474" s="243"/>
      <c r="F474" s="243">
        <f t="array" ref="F474">SUM(IF("156"&amp;B474=KHN&amp;MH,SL))</f>
        <v>10</v>
      </c>
      <c r="G474" s="243">
        <f t="array" ref="G474">SUM(IF("156"&amp;B474=KHN&amp;MH,TH))</f>
        <v>258250</v>
      </c>
      <c r="H474" s="243">
        <f t="array" ref="H474">SUM(IF("156"&amp;B474=KHC&amp;MH,SL))</f>
        <v>0</v>
      </c>
      <c r="I474" s="243">
        <f t="array" ref="I474">SUM(IF("156"&amp;B474=KHC&amp;MH,TH))</f>
        <v>0</v>
      </c>
      <c r="J474" s="243">
        <f t="shared" si="23"/>
        <v>10</v>
      </c>
      <c r="K474" s="243">
        <f t="shared" si="24"/>
        <v>258250</v>
      </c>
      <c r="L474" s="181"/>
    </row>
    <row r="475" spans="1:12" ht="19.5" customHeight="1">
      <c r="A475" s="240">
        <f t="shared" si="22"/>
        <v>464</v>
      </c>
      <c r="B475" s="249" t="s">
        <v>694</v>
      </c>
      <c r="C475" s="242" t="s">
        <v>262</v>
      </c>
      <c r="D475" s="243"/>
      <c r="E475" s="243"/>
      <c r="F475" s="243">
        <f t="array" ref="F475">SUM(IF("156"&amp;B475=KHN&amp;MH,SL))</f>
        <v>16</v>
      </c>
      <c r="G475" s="243">
        <f t="array" ref="G475">SUM(IF("156"&amp;B475=KHN&amp;MH,TH))</f>
        <v>803312</v>
      </c>
      <c r="H475" s="243">
        <f t="array" ref="H475">SUM(IF("156"&amp;B475=KHC&amp;MH,SL))</f>
        <v>16</v>
      </c>
      <c r="I475" s="243">
        <f t="array" ref="I475">SUM(IF("156"&amp;B475=KHC&amp;MH,TH))</f>
        <v>803312</v>
      </c>
      <c r="J475" s="243">
        <f t="shared" si="23"/>
        <v>0</v>
      </c>
      <c r="K475" s="243">
        <f t="shared" si="24"/>
        <v>0</v>
      </c>
      <c r="L475" s="181"/>
    </row>
    <row r="476" spans="1:12" ht="19.5" customHeight="1">
      <c r="A476" s="240">
        <f t="shared" si="22"/>
        <v>465</v>
      </c>
      <c r="B476" s="250" t="s">
        <v>1638</v>
      </c>
      <c r="C476" s="555"/>
      <c r="D476" s="243"/>
      <c r="E476" s="243"/>
      <c r="F476" s="243">
        <f t="array" ref="F476">SUM(IF("156"&amp;B476=KHN&amp;MH,SL))</f>
        <v>24</v>
      </c>
      <c r="G476" s="243">
        <f t="array" ref="G476">SUM(IF("156"&amp;B476=KHN&amp;MH,TH))</f>
        <v>1209504</v>
      </c>
      <c r="H476" s="243">
        <f t="array" ref="H476">SUM(IF("156"&amp;B476=KHC&amp;MH,SL))</f>
        <v>0</v>
      </c>
      <c r="I476" s="243">
        <f t="array" ref="I476">SUM(IF("156"&amp;B476=KHC&amp;MH,TH))</f>
        <v>0</v>
      </c>
      <c r="J476" s="243">
        <f t="shared" si="23"/>
        <v>24</v>
      </c>
      <c r="K476" s="243">
        <f t="shared" si="24"/>
        <v>1209504</v>
      </c>
      <c r="L476" s="181"/>
    </row>
    <row r="477" spans="1:12" ht="19.5" customHeight="1">
      <c r="A477" s="240">
        <f t="shared" si="22"/>
        <v>466</v>
      </c>
      <c r="B477" s="249" t="s">
        <v>1031</v>
      </c>
      <c r="C477" s="242" t="s">
        <v>262</v>
      </c>
      <c r="D477" s="243"/>
      <c r="E477" s="243"/>
      <c r="F477" s="243">
        <f t="array" ref="F477">SUM(IF("156"&amp;B477=KHN&amp;MH,SL))</f>
        <v>530</v>
      </c>
      <c r="G477" s="243">
        <f t="array" ref="G477">SUM(IF("156"&amp;B477=KHN&amp;MH,TH))</f>
        <v>9983460</v>
      </c>
      <c r="H477" s="243">
        <f t="array" ref="H477">SUM(IF("156"&amp;B477=KHC&amp;MH,SL))</f>
        <v>530</v>
      </c>
      <c r="I477" s="243">
        <f t="array" ref="I477">SUM(IF("156"&amp;B477=KHC&amp;MH,TH))</f>
        <v>9983460</v>
      </c>
      <c r="J477" s="243">
        <f t="shared" si="23"/>
        <v>0</v>
      </c>
      <c r="K477" s="243">
        <f t="shared" si="24"/>
        <v>0</v>
      </c>
      <c r="L477" s="181"/>
    </row>
    <row r="478" spans="1:12" ht="19.5" customHeight="1">
      <c r="A478" s="240">
        <f t="shared" si="22"/>
        <v>467</v>
      </c>
      <c r="B478" s="249" t="s">
        <v>1170</v>
      </c>
      <c r="C478" s="242" t="s">
        <v>262</v>
      </c>
      <c r="D478" s="243"/>
      <c r="E478" s="243"/>
      <c r="F478" s="243">
        <f t="array" ref="F478">SUM(IF("156"&amp;B478=KHN&amp;MH,SL))</f>
        <v>30</v>
      </c>
      <c r="G478" s="243">
        <f t="array" ref="G478">SUM(IF("156"&amp;B478=KHN&amp;MH,TH))</f>
        <v>304824</v>
      </c>
      <c r="H478" s="243">
        <f t="array" ref="H478">SUM(IF("156"&amp;B478=KHC&amp;MH,SL))</f>
        <v>30</v>
      </c>
      <c r="I478" s="243">
        <f t="array" ref="I478">SUM(IF("156"&amp;B478=KHC&amp;MH,TH))</f>
        <v>304824</v>
      </c>
      <c r="J478" s="243">
        <f t="shared" si="23"/>
        <v>0</v>
      </c>
      <c r="K478" s="243">
        <f t="shared" si="24"/>
        <v>0</v>
      </c>
      <c r="L478" s="181"/>
    </row>
    <row r="479" spans="1:12" ht="19.5" customHeight="1">
      <c r="A479" s="240">
        <f t="shared" si="22"/>
        <v>468</v>
      </c>
      <c r="B479" s="249" t="s">
        <v>672</v>
      </c>
      <c r="C479" s="242" t="s">
        <v>262</v>
      </c>
      <c r="D479" s="243"/>
      <c r="E479" s="243"/>
      <c r="F479" s="243">
        <f t="array" ref="F479">SUM(IF("156"&amp;B479=KHN&amp;MH,SL))</f>
        <v>35</v>
      </c>
      <c r="G479" s="243">
        <f t="array" ref="G479">SUM(IF("156"&amp;B479=KHN&amp;MH,TH))</f>
        <v>787290</v>
      </c>
      <c r="H479" s="243">
        <f t="array" ref="H479">SUM(IF("156"&amp;B479=KHC&amp;MH,SL))</f>
        <v>35</v>
      </c>
      <c r="I479" s="243">
        <f t="array" ref="I479">SUM(IF("156"&amp;B479=KHC&amp;MH,TH))</f>
        <v>787290</v>
      </c>
      <c r="J479" s="243">
        <f t="shared" si="23"/>
        <v>0</v>
      </c>
      <c r="K479" s="243">
        <f t="shared" si="24"/>
        <v>0</v>
      </c>
      <c r="L479" s="181"/>
    </row>
    <row r="480" spans="1:12" ht="19.5" customHeight="1">
      <c r="A480" s="240">
        <f t="shared" si="22"/>
        <v>469</v>
      </c>
      <c r="B480" s="249" t="s">
        <v>725</v>
      </c>
      <c r="C480" s="242" t="s">
        <v>262</v>
      </c>
      <c r="D480" s="243"/>
      <c r="E480" s="243"/>
      <c r="F480" s="243">
        <f t="array" ref="F480">SUM(IF("156"&amp;B480=KHN&amp;MH,SL))</f>
        <v>12</v>
      </c>
      <c r="G480" s="243">
        <f t="array" ref="G480">SUM(IF("156"&amp;B480=KHN&amp;MH,TH))</f>
        <v>227676</v>
      </c>
      <c r="H480" s="243">
        <f t="array" ref="H480">SUM(IF("156"&amp;B480=KHC&amp;MH,SL))</f>
        <v>12</v>
      </c>
      <c r="I480" s="243">
        <f t="array" ref="I480">SUM(IF("156"&amp;B480=KHC&amp;MH,TH))</f>
        <v>227676</v>
      </c>
      <c r="J480" s="243">
        <f t="shared" si="23"/>
        <v>0</v>
      </c>
      <c r="K480" s="243">
        <f t="shared" si="24"/>
        <v>0</v>
      </c>
      <c r="L480" s="181"/>
    </row>
    <row r="481" spans="1:12" ht="19.5" customHeight="1">
      <c r="A481" s="240">
        <f t="shared" si="22"/>
        <v>470</v>
      </c>
      <c r="B481" s="249" t="s">
        <v>733</v>
      </c>
      <c r="C481" s="242" t="s">
        <v>262</v>
      </c>
      <c r="D481" s="243"/>
      <c r="E481" s="243"/>
      <c r="F481" s="243">
        <f t="array" ref="F481">SUM(IF("156"&amp;B481=KHN&amp;MH,SL))</f>
        <v>154</v>
      </c>
      <c r="G481" s="243">
        <f t="array" ref="G481">SUM(IF("156"&amp;B481=KHN&amp;MH,TH))</f>
        <v>6711860</v>
      </c>
      <c r="H481" s="243">
        <f t="array" ref="H481">SUM(IF("156"&amp;B481=KHC&amp;MH,SL))</f>
        <v>154</v>
      </c>
      <c r="I481" s="243">
        <f t="array" ref="I481">SUM(IF("156"&amp;B481=KHC&amp;MH,TH))</f>
        <v>6711860</v>
      </c>
      <c r="J481" s="243">
        <f t="shared" si="23"/>
        <v>0</v>
      </c>
      <c r="K481" s="243">
        <f t="shared" si="24"/>
        <v>0</v>
      </c>
      <c r="L481" s="181"/>
    </row>
    <row r="482" spans="1:12" ht="19.5" customHeight="1">
      <c r="A482" s="240">
        <f t="shared" si="22"/>
        <v>471</v>
      </c>
      <c r="B482" s="249" t="s">
        <v>1025</v>
      </c>
      <c r="C482" s="242" t="s">
        <v>262</v>
      </c>
      <c r="D482" s="243"/>
      <c r="E482" s="243"/>
      <c r="F482" s="243">
        <f t="array" ref="F482">SUM(IF("156"&amp;B482=KHN&amp;MH,SL))</f>
        <v>24</v>
      </c>
      <c r="G482" s="243">
        <f t="array" ref="G482">SUM(IF("156"&amp;B482=KHN&amp;MH,TH))</f>
        <v>1085784</v>
      </c>
      <c r="H482" s="243">
        <f t="array" ref="H482">SUM(IF("156"&amp;B482=KHC&amp;MH,SL))</f>
        <v>24</v>
      </c>
      <c r="I482" s="243">
        <f t="array" ref="I482">SUM(IF("156"&amp;B482=KHC&amp;MH,TH))</f>
        <v>1085784</v>
      </c>
      <c r="J482" s="243">
        <f t="shared" si="23"/>
        <v>0</v>
      </c>
      <c r="K482" s="243">
        <f t="shared" si="24"/>
        <v>0</v>
      </c>
      <c r="L482" s="181"/>
    </row>
    <row r="483" spans="1:12" ht="19.5" customHeight="1">
      <c r="A483" s="240">
        <f t="shared" si="22"/>
        <v>472</v>
      </c>
      <c r="B483" s="249" t="s">
        <v>1027</v>
      </c>
      <c r="C483" s="242" t="s">
        <v>262</v>
      </c>
      <c r="D483" s="243"/>
      <c r="E483" s="243"/>
      <c r="F483" s="243">
        <f t="array" ref="F483">SUM(IF("156"&amp;B483=KHN&amp;MH,SL))</f>
        <v>10</v>
      </c>
      <c r="G483" s="243">
        <f t="array" ref="G483">SUM(IF("156"&amp;B483=KHN&amp;MH,TH))</f>
        <v>755310</v>
      </c>
      <c r="H483" s="243">
        <f t="array" ref="H483">SUM(IF("156"&amp;B483=KHC&amp;MH,SL))</f>
        <v>10</v>
      </c>
      <c r="I483" s="243">
        <f t="array" ref="I483">SUM(IF("156"&amp;B483=KHC&amp;MH,TH))</f>
        <v>755310</v>
      </c>
      <c r="J483" s="243">
        <f t="shared" si="23"/>
        <v>0</v>
      </c>
      <c r="K483" s="243">
        <f t="shared" si="24"/>
        <v>0</v>
      </c>
      <c r="L483" s="181"/>
    </row>
    <row r="484" spans="1:12" ht="19.5" customHeight="1">
      <c r="A484" s="240">
        <f t="shared" si="22"/>
        <v>473</v>
      </c>
      <c r="B484" s="250" t="s">
        <v>1660</v>
      </c>
      <c r="C484" s="242"/>
      <c r="D484" s="243"/>
      <c r="E484" s="243"/>
      <c r="F484" s="243">
        <f t="array" ref="F484">SUM(IF("156"&amp;B484=KHN&amp;MH,SL))</f>
        <v>12</v>
      </c>
      <c r="G484" s="243">
        <f t="array" ref="G484">SUM(IF("156"&amp;B484=KHN&amp;MH,TH))</f>
        <v>873096</v>
      </c>
      <c r="H484" s="243">
        <f t="array" ref="H484">SUM(IF("156"&amp;B484=KHC&amp;MH,SL))</f>
        <v>0</v>
      </c>
      <c r="I484" s="243">
        <f t="array" ref="I484">SUM(IF("156"&amp;B484=KHC&amp;MH,TH))</f>
        <v>0</v>
      </c>
      <c r="J484" s="243">
        <f t="shared" si="23"/>
        <v>12</v>
      </c>
      <c r="K484" s="243">
        <f t="shared" si="24"/>
        <v>873096</v>
      </c>
      <c r="L484" s="181"/>
    </row>
    <row r="485" spans="1:12" ht="19.5" customHeight="1">
      <c r="A485" s="240">
        <f t="shared" si="22"/>
        <v>474</v>
      </c>
      <c r="B485" s="249" t="s">
        <v>654</v>
      </c>
      <c r="C485" s="242" t="s">
        <v>262</v>
      </c>
      <c r="D485" s="243"/>
      <c r="E485" s="243"/>
      <c r="F485" s="243">
        <f t="array" ref="F485">SUM(IF("156"&amp;B485=KHN&amp;MH,SL))</f>
        <v>47</v>
      </c>
      <c r="G485" s="243">
        <f t="array" ref="G485">SUM(IF("156"&amp;B485=KHN&amp;MH,TH))</f>
        <v>3478192</v>
      </c>
      <c r="H485" s="243">
        <f t="array" ref="H485">SUM(IF("156"&amp;B485=KHC&amp;MH,SL))</f>
        <v>47</v>
      </c>
      <c r="I485" s="243">
        <f t="array" ref="I485">SUM(IF("156"&amp;B485=KHC&amp;MH,TH))</f>
        <v>3478192</v>
      </c>
      <c r="J485" s="243">
        <f t="shared" si="23"/>
        <v>0</v>
      </c>
      <c r="K485" s="243">
        <f t="shared" si="24"/>
        <v>0</v>
      </c>
      <c r="L485" s="181"/>
    </row>
    <row r="486" spans="1:12" ht="19.5" customHeight="1">
      <c r="A486" s="240">
        <f t="shared" si="22"/>
        <v>475</v>
      </c>
      <c r="B486" s="250" t="s">
        <v>1496</v>
      </c>
      <c r="C486" s="242"/>
      <c r="D486" s="243"/>
      <c r="E486" s="243"/>
      <c r="F486" s="243">
        <f t="array" ref="F486">SUM(IF("156"&amp;B486=KHN&amp;MH,SL))</f>
        <v>15</v>
      </c>
      <c r="G486" s="243">
        <f t="array" ref="G486">SUM(IF("156"&amp;B486=KHN&amp;MH,TH))</f>
        <v>1378515</v>
      </c>
      <c r="H486" s="243">
        <f t="array" ref="H486">SUM(IF("156"&amp;B486=KHC&amp;MH,SL))</f>
        <v>0</v>
      </c>
      <c r="I486" s="243">
        <f t="array" ref="I486">SUM(IF("156"&amp;B486=KHC&amp;MH,TH))</f>
        <v>0</v>
      </c>
      <c r="J486" s="243">
        <f t="shared" si="23"/>
        <v>15</v>
      </c>
      <c r="K486" s="243">
        <f t="shared" si="24"/>
        <v>1378515</v>
      </c>
      <c r="L486" s="181"/>
    </row>
    <row r="487" spans="1:12" ht="19.5" customHeight="1">
      <c r="A487" s="240">
        <f t="shared" si="22"/>
        <v>476</v>
      </c>
      <c r="B487" s="249" t="s">
        <v>1026</v>
      </c>
      <c r="C487" s="242" t="s">
        <v>262</v>
      </c>
      <c r="D487" s="243"/>
      <c r="E487" s="243"/>
      <c r="F487" s="243">
        <f t="array" ref="F487">SUM(IF("156"&amp;B487=KHN&amp;MH,SL))</f>
        <v>14</v>
      </c>
      <c r="G487" s="243">
        <f t="array" ref="G487">SUM(IF("156"&amp;B487=KHN&amp;MH,TH))</f>
        <v>1253668</v>
      </c>
      <c r="H487" s="243">
        <f t="array" ref="H487">SUM(IF("156"&amp;B487=KHC&amp;MH,SL))</f>
        <v>14</v>
      </c>
      <c r="I487" s="243">
        <f t="array" ref="I487">SUM(IF("156"&amp;B487=KHC&amp;MH,TH))</f>
        <v>1253668</v>
      </c>
      <c r="J487" s="243">
        <f t="shared" si="23"/>
        <v>0</v>
      </c>
      <c r="K487" s="243">
        <f t="shared" si="24"/>
        <v>0</v>
      </c>
      <c r="L487" s="181"/>
    </row>
    <row r="488" spans="1:12" ht="19.5" customHeight="1">
      <c r="A488" s="240">
        <f t="shared" si="22"/>
        <v>477</v>
      </c>
      <c r="B488" s="250" t="s">
        <v>1650</v>
      </c>
      <c r="C488" s="555"/>
      <c r="D488" s="243"/>
      <c r="E488" s="243"/>
      <c r="F488" s="243">
        <f t="array" ref="F488">SUM(IF("156"&amp;B488=KHN&amp;MH,SL))</f>
        <v>18</v>
      </c>
      <c r="G488" s="243">
        <f t="array" ref="G488">SUM(IF("156"&amp;B488=KHN&amp;MH,TH))</f>
        <v>1526688</v>
      </c>
      <c r="H488" s="243">
        <f t="array" ref="H488">SUM(IF("156"&amp;B488=KHC&amp;MH,SL))</f>
        <v>0</v>
      </c>
      <c r="I488" s="243">
        <f t="array" ref="I488">SUM(IF("156"&amp;B488=KHC&amp;MH,TH))</f>
        <v>0</v>
      </c>
      <c r="J488" s="243">
        <f t="shared" si="23"/>
        <v>18</v>
      </c>
      <c r="K488" s="243">
        <f t="shared" si="24"/>
        <v>1526688</v>
      </c>
      <c r="L488" s="181"/>
    </row>
    <row r="489" spans="1:12" ht="19.5" customHeight="1">
      <c r="A489" s="240">
        <f t="shared" si="22"/>
        <v>478</v>
      </c>
      <c r="B489" s="249" t="s">
        <v>727</v>
      </c>
      <c r="C489" s="242" t="s">
        <v>262</v>
      </c>
      <c r="D489" s="243"/>
      <c r="E489" s="243"/>
      <c r="F489" s="243">
        <f t="array" ref="F489">SUM(IF("156"&amp;B489=KHN&amp;MH,SL))</f>
        <v>100</v>
      </c>
      <c r="G489" s="243">
        <f t="array" ref="G489">SUM(IF("156"&amp;B489=KHN&amp;MH,TH))</f>
        <v>2273168</v>
      </c>
      <c r="H489" s="243">
        <f t="array" ref="H489">SUM(IF("156"&amp;B489=KHC&amp;MH,SL))</f>
        <v>100</v>
      </c>
      <c r="I489" s="243">
        <f t="array" ref="I489">SUM(IF("156"&amp;B489=KHC&amp;MH,TH))</f>
        <v>2273168</v>
      </c>
      <c r="J489" s="243">
        <f t="shared" si="23"/>
        <v>0</v>
      </c>
      <c r="K489" s="243">
        <f t="shared" si="24"/>
        <v>0</v>
      </c>
      <c r="L489" s="181"/>
    </row>
    <row r="490" spans="1:12" ht="19.5" customHeight="1">
      <c r="A490" s="240">
        <f t="shared" si="22"/>
        <v>479</v>
      </c>
      <c r="B490" s="249" t="s">
        <v>1043</v>
      </c>
      <c r="C490" s="242" t="s">
        <v>262</v>
      </c>
      <c r="D490" s="243"/>
      <c r="E490" s="243"/>
      <c r="F490" s="243">
        <f t="array" ref="F490">SUM(IF("156"&amp;B490=KHN&amp;MH,SL))</f>
        <v>24</v>
      </c>
      <c r="G490" s="243">
        <f t="array" ref="G490">SUM(IF("156"&amp;B490=KHN&amp;MH,TH))</f>
        <v>597762</v>
      </c>
      <c r="H490" s="243">
        <f t="array" ref="H490">SUM(IF("156"&amp;B490=KHC&amp;MH,SL))</f>
        <v>24</v>
      </c>
      <c r="I490" s="243">
        <f t="array" ref="I490">SUM(IF("156"&amp;B490=KHC&amp;MH,TH))</f>
        <v>597762</v>
      </c>
      <c r="J490" s="243">
        <f t="shared" si="23"/>
        <v>0</v>
      </c>
      <c r="K490" s="243">
        <f t="shared" si="24"/>
        <v>0</v>
      </c>
      <c r="L490" s="181"/>
    </row>
    <row r="491" spans="1:12" ht="19.5" customHeight="1">
      <c r="A491" s="240">
        <f t="shared" si="22"/>
        <v>480</v>
      </c>
      <c r="B491" s="249" t="s">
        <v>1058</v>
      </c>
      <c r="C491" s="242" t="s">
        <v>262</v>
      </c>
      <c r="D491" s="243"/>
      <c r="E491" s="243"/>
      <c r="F491" s="243">
        <f t="array" ref="F491">SUM(IF("156"&amp;B491=KHN&amp;MH,SL))</f>
        <v>20</v>
      </c>
      <c r="G491" s="243">
        <f t="array" ref="G491">SUM(IF("156"&amp;B491=KHN&amp;MH,TH))</f>
        <v>871440</v>
      </c>
      <c r="H491" s="243">
        <f t="array" ref="H491">SUM(IF("156"&amp;B491=KHC&amp;MH,SL))</f>
        <v>20</v>
      </c>
      <c r="I491" s="243">
        <f t="array" ref="I491">SUM(IF("156"&amp;B491=KHC&amp;MH,TH))</f>
        <v>871440</v>
      </c>
      <c r="J491" s="243">
        <f t="shared" si="23"/>
        <v>0</v>
      </c>
      <c r="K491" s="243">
        <f t="shared" si="24"/>
        <v>0</v>
      </c>
      <c r="L491" s="181"/>
    </row>
    <row r="492" spans="1:12" ht="19.5" customHeight="1">
      <c r="A492" s="240">
        <f t="shared" si="22"/>
        <v>481</v>
      </c>
      <c r="B492" s="249" t="s">
        <v>699</v>
      </c>
      <c r="C492" s="242" t="s">
        <v>262</v>
      </c>
      <c r="D492" s="243"/>
      <c r="E492" s="243"/>
      <c r="F492" s="243">
        <f t="array" ref="F492">SUM(IF("156"&amp;B492=KHN&amp;MH,SL))</f>
        <v>40</v>
      </c>
      <c r="G492" s="243">
        <f t="array" ref="G492">SUM(IF("156"&amp;B492=KHN&amp;MH,TH))</f>
        <v>1919960</v>
      </c>
      <c r="H492" s="243">
        <f t="array" ref="H492">SUM(IF("156"&amp;B492=KHC&amp;MH,SL))</f>
        <v>40</v>
      </c>
      <c r="I492" s="243">
        <f t="array" ref="I492">SUM(IF("156"&amp;B492=KHC&amp;MH,TH))</f>
        <v>1919960</v>
      </c>
      <c r="J492" s="243">
        <f t="shared" si="23"/>
        <v>0</v>
      </c>
      <c r="K492" s="243">
        <f t="shared" si="24"/>
        <v>0</v>
      </c>
      <c r="L492" s="181"/>
    </row>
    <row r="493" spans="1:12" ht="19.5" customHeight="1">
      <c r="A493" s="240">
        <f t="shared" si="22"/>
        <v>482</v>
      </c>
      <c r="B493" s="250" t="s">
        <v>1237</v>
      </c>
      <c r="C493" s="242" t="s">
        <v>262</v>
      </c>
      <c r="D493" s="243"/>
      <c r="E493" s="243"/>
      <c r="F493" s="243">
        <f t="array" ref="F493">SUM(IF("156"&amp;B493=KHN&amp;MH,SL))</f>
        <v>60</v>
      </c>
      <c r="G493" s="243">
        <f t="array" ref="G493">SUM(IF("156"&amp;B493=KHN&amp;MH,TH))</f>
        <v>2655750</v>
      </c>
      <c r="H493" s="243">
        <f t="array" ref="H493">SUM(IF("156"&amp;B493=KHC&amp;MH,SL))</f>
        <v>30</v>
      </c>
      <c r="I493" s="243">
        <f t="array" ref="I493">SUM(IF("156"&amp;B493=KHC&amp;MH,TH))</f>
        <v>1424160</v>
      </c>
      <c r="J493" s="243">
        <f t="shared" si="23"/>
        <v>30</v>
      </c>
      <c r="K493" s="243">
        <f t="shared" si="24"/>
        <v>1231590</v>
      </c>
      <c r="L493" s="181"/>
    </row>
    <row r="494" spans="1:12" ht="19.5" customHeight="1">
      <c r="A494" s="240">
        <f t="shared" si="22"/>
        <v>483</v>
      </c>
      <c r="B494" s="249" t="s">
        <v>1056</v>
      </c>
      <c r="C494" s="242" t="s">
        <v>262</v>
      </c>
      <c r="D494" s="243"/>
      <c r="E494" s="243"/>
      <c r="F494" s="243">
        <f t="array" ref="F494">SUM(IF("156"&amp;B494=KHN&amp;MH,SL))</f>
        <v>35</v>
      </c>
      <c r="G494" s="243">
        <f t="array" ref="G494">SUM(IF("156"&amp;B494=KHN&amp;MH,TH))</f>
        <v>1633800</v>
      </c>
      <c r="H494" s="243">
        <f t="array" ref="H494">SUM(IF("156"&amp;B494=KHC&amp;MH,SL))</f>
        <v>35</v>
      </c>
      <c r="I494" s="243">
        <f t="array" ref="I494">SUM(IF("156"&amp;B494=KHC&amp;MH,TH))</f>
        <v>1633800</v>
      </c>
      <c r="J494" s="243">
        <f t="shared" si="23"/>
        <v>0</v>
      </c>
      <c r="K494" s="243">
        <f t="shared" si="24"/>
        <v>0</v>
      </c>
      <c r="L494" s="181"/>
    </row>
    <row r="495" spans="1:12" ht="19.5" customHeight="1">
      <c r="A495" s="240">
        <f t="shared" si="22"/>
        <v>484</v>
      </c>
      <c r="B495" s="249" t="s">
        <v>732</v>
      </c>
      <c r="C495" s="242" t="s">
        <v>262</v>
      </c>
      <c r="D495" s="243"/>
      <c r="E495" s="243"/>
      <c r="F495" s="243">
        <f t="array" ref="F495">SUM(IF("156"&amp;B495=KHN&amp;MH,SL))</f>
        <v>10</v>
      </c>
      <c r="G495" s="243">
        <f t="array" ref="G495">SUM(IF("156"&amp;B495=KHN&amp;MH,TH))</f>
        <v>520440</v>
      </c>
      <c r="H495" s="243">
        <f t="array" ref="H495">SUM(IF("156"&amp;B495=KHC&amp;MH,SL))</f>
        <v>10</v>
      </c>
      <c r="I495" s="243">
        <f t="array" ref="I495">SUM(IF("156"&amp;B495=KHC&amp;MH,TH))</f>
        <v>520440</v>
      </c>
      <c r="J495" s="243">
        <f t="shared" si="23"/>
        <v>0</v>
      </c>
      <c r="K495" s="243">
        <f t="shared" si="24"/>
        <v>0</v>
      </c>
      <c r="L495" s="181"/>
    </row>
    <row r="496" spans="1:12" ht="19.5" customHeight="1">
      <c r="A496" s="240">
        <f t="shared" si="22"/>
        <v>485</v>
      </c>
      <c r="B496" s="250" t="s">
        <v>1395</v>
      </c>
      <c r="C496" s="242"/>
      <c r="D496" s="243"/>
      <c r="E496" s="243"/>
      <c r="F496" s="243">
        <f t="array" ref="F496">SUM(IF("156"&amp;B496=KHN&amp;MH,SL))</f>
        <v>8</v>
      </c>
      <c r="G496" s="243">
        <f t="array" ref="G496">SUM(IF("156"&amp;B496=KHN&amp;MH,TH))</f>
        <v>439128</v>
      </c>
      <c r="H496" s="243">
        <f t="array" ref="H496">SUM(IF("156"&amp;B496=KHC&amp;MH,SL))</f>
        <v>0</v>
      </c>
      <c r="I496" s="243">
        <f t="array" ref="I496">SUM(IF("156"&amp;B496=KHC&amp;MH,TH))</f>
        <v>0</v>
      </c>
      <c r="J496" s="243">
        <f t="shared" si="23"/>
        <v>8</v>
      </c>
      <c r="K496" s="243">
        <f t="shared" si="24"/>
        <v>439128</v>
      </c>
      <c r="L496" s="181"/>
    </row>
    <row r="497" spans="1:12" ht="19.5" customHeight="1">
      <c r="A497" s="240">
        <f t="shared" si="22"/>
        <v>486</v>
      </c>
      <c r="B497" s="249" t="s">
        <v>1061</v>
      </c>
      <c r="C497" s="242" t="s">
        <v>262</v>
      </c>
      <c r="D497" s="243"/>
      <c r="E497" s="243"/>
      <c r="F497" s="243">
        <f t="array" ref="F497">SUM(IF("156"&amp;B497=KHN&amp;MH,SL))</f>
        <v>12</v>
      </c>
      <c r="G497" s="243">
        <f t="array" ref="G497">SUM(IF("156"&amp;B497=KHN&amp;MH,TH))</f>
        <v>384192</v>
      </c>
      <c r="H497" s="243">
        <f t="array" ref="H497">SUM(IF("156"&amp;B497=KHC&amp;MH,SL))</f>
        <v>12</v>
      </c>
      <c r="I497" s="243">
        <f t="array" ref="I497">SUM(IF("156"&amp;B497=KHC&amp;MH,TH))</f>
        <v>384192</v>
      </c>
      <c r="J497" s="243">
        <f t="shared" si="23"/>
        <v>0</v>
      </c>
      <c r="K497" s="243">
        <f t="shared" si="24"/>
        <v>0</v>
      </c>
      <c r="L497" s="181"/>
    </row>
    <row r="498" spans="1:12" ht="19.5" customHeight="1">
      <c r="A498" s="240">
        <f t="shared" si="22"/>
        <v>487</v>
      </c>
      <c r="B498" s="249" t="s">
        <v>657</v>
      </c>
      <c r="C498" s="242" t="s">
        <v>262</v>
      </c>
      <c r="D498" s="243"/>
      <c r="E498" s="243"/>
      <c r="F498" s="243">
        <f t="array" ref="F498">SUM(IF("156"&amp;B498=KHN&amp;MH,SL))</f>
        <v>60</v>
      </c>
      <c r="G498" s="243">
        <f t="array" ref="G498">SUM(IF("156"&amp;B498=KHN&amp;MH,TH))</f>
        <v>3203452</v>
      </c>
      <c r="H498" s="243">
        <f t="array" ref="H498">SUM(IF("156"&amp;B498=KHC&amp;MH,SL))</f>
        <v>60</v>
      </c>
      <c r="I498" s="243">
        <f t="array" ref="I498">SUM(IF("156"&amp;B498=KHC&amp;MH,TH))</f>
        <v>3203452</v>
      </c>
      <c r="J498" s="243">
        <f t="shared" si="23"/>
        <v>0</v>
      </c>
      <c r="K498" s="243">
        <f t="shared" si="24"/>
        <v>0</v>
      </c>
      <c r="L498" s="181"/>
    </row>
    <row r="499" spans="1:12" ht="19.5" customHeight="1">
      <c r="A499" s="240">
        <f t="shared" si="22"/>
        <v>488</v>
      </c>
      <c r="B499" s="249" t="s">
        <v>653</v>
      </c>
      <c r="C499" s="242" t="s">
        <v>262</v>
      </c>
      <c r="D499" s="243"/>
      <c r="E499" s="243"/>
      <c r="F499" s="243">
        <f t="array" ref="F499">SUM(IF("156"&amp;B499=KHN&amp;MH,SL))</f>
        <v>23</v>
      </c>
      <c r="G499" s="243">
        <f t="array" ref="G499">SUM(IF("156"&amp;B499=KHN&amp;MH,TH))</f>
        <v>1475681</v>
      </c>
      <c r="H499" s="243">
        <f t="array" ref="H499">SUM(IF("156"&amp;B499=KHC&amp;MH,SL))</f>
        <v>23</v>
      </c>
      <c r="I499" s="243">
        <f t="array" ref="I499">SUM(IF("156"&amp;B499=KHC&amp;MH,TH))</f>
        <v>1475681</v>
      </c>
      <c r="J499" s="243">
        <f t="shared" si="23"/>
        <v>0</v>
      </c>
      <c r="K499" s="243">
        <f t="shared" si="24"/>
        <v>0</v>
      </c>
      <c r="L499" s="181"/>
    </row>
    <row r="500" spans="1:12" ht="19.5" customHeight="1">
      <c r="A500" s="240">
        <f t="shared" si="22"/>
        <v>489</v>
      </c>
      <c r="B500" s="250" t="s">
        <v>1495</v>
      </c>
      <c r="C500" s="242"/>
      <c r="D500" s="243"/>
      <c r="E500" s="243"/>
      <c r="F500" s="243">
        <f t="array" ref="F500">SUM(IF("156"&amp;B500=KHN&amp;MH,SL))</f>
        <v>20</v>
      </c>
      <c r="G500" s="243">
        <f t="array" ref="G500">SUM(IF("156"&amp;B500=KHN&amp;MH,TH))</f>
        <v>1309220</v>
      </c>
      <c r="H500" s="243">
        <f t="array" ref="H500">SUM(IF("156"&amp;B500=KHC&amp;MH,SL))</f>
        <v>0</v>
      </c>
      <c r="I500" s="243">
        <f t="array" ref="I500">SUM(IF("156"&amp;B500=KHC&amp;MH,TH))</f>
        <v>0</v>
      </c>
      <c r="J500" s="243">
        <f t="shared" si="23"/>
        <v>20</v>
      </c>
      <c r="K500" s="243">
        <f t="shared" si="24"/>
        <v>1309220</v>
      </c>
      <c r="L500" s="181"/>
    </row>
    <row r="501" spans="1:12" ht="19.5" customHeight="1">
      <c r="A501" s="240">
        <f t="shared" si="22"/>
        <v>490</v>
      </c>
      <c r="B501" s="250" t="s">
        <v>1236</v>
      </c>
      <c r="C501" s="242" t="s">
        <v>262</v>
      </c>
      <c r="D501" s="243"/>
      <c r="E501" s="243"/>
      <c r="F501" s="243">
        <f t="array" ref="F501">SUM(IF("156"&amp;B501=KHN&amp;MH,SL))</f>
        <v>20</v>
      </c>
      <c r="G501" s="243">
        <f t="array" ref="G501">SUM(IF("156"&amp;B501=KHN&amp;MH,TH))</f>
        <v>1303500</v>
      </c>
      <c r="H501" s="243">
        <f t="array" ref="H501">SUM(IF("156"&amp;B501=KHC&amp;MH,SL))</f>
        <v>20</v>
      </c>
      <c r="I501" s="243">
        <f t="array" ref="I501">SUM(IF("156"&amp;B501=KHC&amp;MH,TH))</f>
        <v>1303500</v>
      </c>
      <c r="J501" s="243">
        <f t="shared" si="23"/>
        <v>0</v>
      </c>
      <c r="K501" s="243">
        <f t="shared" si="24"/>
        <v>0</v>
      </c>
      <c r="L501" s="181"/>
    </row>
    <row r="502" spans="1:12" ht="19.5" customHeight="1">
      <c r="A502" s="240">
        <f t="shared" si="22"/>
        <v>491</v>
      </c>
      <c r="B502" s="249" t="s">
        <v>1424</v>
      </c>
      <c r="C502" s="242"/>
      <c r="D502" s="243"/>
      <c r="E502" s="243"/>
      <c r="F502" s="243">
        <f t="array" ref="F502">SUM(IF("156"&amp;B502=KHN&amp;MH,SL))</f>
        <v>560</v>
      </c>
      <c r="G502" s="243">
        <f t="array" ref="G502">SUM(IF("156"&amp;B502=KHN&amp;MH,TH))</f>
        <v>8671040</v>
      </c>
      <c r="H502" s="243">
        <f t="array" ref="H502">SUM(IF("156"&amp;B502=KHC&amp;MH,SL))</f>
        <v>0</v>
      </c>
      <c r="I502" s="243">
        <f t="array" ref="I502">SUM(IF("156"&amp;B502=KHC&amp;MH,TH))</f>
        <v>0</v>
      </c>
      <c r="J502" s="243">
        <f t="shared" si="23"/>
        <v>560</v>
      </c>
      <c r="K502" s="243">
        <f t="shared" si="24"/>
        <v>8671040</v>
      </c>
      <c r="L502" s="181"/>
    </row>
    <row r="503" spans="1:12" ht="19.5" customHeight="1">
      <c r="A503" s="240">
        <f t="shared" si="22"/>
        <v>492</v>
      </c>
      <c r="B503" s="249" t="s">
        <v>1171</v>
      </c>
      <c r="C503" s="242" t="s">
        <v>262</v>
      </c>
      <c r="D503" s="243"/>
      <c r="E503" s="243"/>
      <c r="F503" s="243">
        <f t="array" ref="F503">SUM(IF("156"&amp;B503=KHN&amp;MH,SL))</f>
        <v>23</v>
      </c>
      <c r="G503" s="243">
        <f t="array" ref="G503">SUM(IF("156"&amp;B503=KHN&amp;MH,TH))</f>
        <v>524074</v>
      </c>
      <c r="H503" s="243">
        <f t="array" ref="H503">SUM(IF("156"&amp;B503=KHC&amp;MH,SL))</f>
        <v>23</v>
      </c>
      <c r="I503" s="243">
        <f t="array" ref="I503">SUM(IF("156"&amp;B503=KHC&amp;MH,TH))</f>
        <v>524074</v>
      </c>
      <c r="J503" s="243">
        <f t="shared" si="23"/>
        <v>0</v>
      </c>
      <c r="K503" s="243">
        <f t="shared" si="24"/>
        <v>0</v>
      </c>
      <c r="L503" s="181"/>
    </row>
    <row r="504" spans="1:12" ht="19.5" customHeight="1">
      <c r="A504" s="240">
        <f t="shared" si="22"/>
        <v>493</v>
      </c>
      <c r="B504" s="249" t="s">
        <v>1178</v>
      </c>
      <c r="C504" s="242" t="s">
        <v>262</v>
      </c>
      <c r="D504" s="243"/>
      <c r="E504" s="243"/>
      <c r="F504" s="243">
        <f t="array" ref="F504">SUM(IF("156"&amp;B504=KHN&amp;MH,SL))</f>
        <v>6</v>
      </c>
      <c r="G504" s="243">
        <f t="array" ref="G504">SUM(IF("156"&amp;B504=KHN&amp;MH,TH))</f>
        <v>65670</v>
      </c>
      <c r="H504" s="243">
        <f t="array" ref="H504">SUM(IF("156"&amp;B504=KHC&amp;MH,SL))</f>
        <v>6</v>
      </c>
      <c r="I504" s="243">
        <f t="array" ref="I504">SUM(IF("156"&amp;B504=KHC&amp;MH,TH))</f>
        <v>65670</v>
      </c>
      <c r="J504" s="243">
        <f t="shared" si="23"/>
        <v>0</v>
      </c>
      <c r="K504" s="243">
        <f t="shared" si="24"/>
        <v>0</v>
      </c>
      <c r="L504" s="181"/>
    </row>
    <row r="505" spans="1:12" ht="19.5" customHeight="1">
      <c r="A505" s="240">
        <f t="shared" si="22"/>
        <v>494</v>
      </c>
      <c r="B505" s="250" t="s">
        <v>1229</v>
      </c>
      <c r="C505" s="242" t="s">
        <v>262</v>
      </c>
      <c r="D505" s="243"/>
      <c r="E505" s="243"/>
      <c r="F505" s="243">
        <f t="array" ref="F505">SUM(IF("156"&amp;B505=KHN&amp;MH,SL))</f>
        <v>18</v>
      </c>
      <c r="G505" s="243">
        <f t="array" ref="G505">SUM(IF("156"&amp;B505=KHN&amp;MH,TH))</f>
        <v>432288</v>
      </c>
      <c r="H505" s="243">
        <f t="array" ref="H505">SUM(IF("156"&amp;B505=KHC&amp;MH,SL))</f>
        <v>18</v>
      </c>
      <c r="I505" s="243">
        <f t="array" ref="I505">SUM(IF("156"&amp;B505=KHC&amp;MH,TH))</f>
        <v>432288</v>
      </c>
      <c r="J505" s="243">
        <f t="shared" si="23"/>
        <v>0</v>
      </c>
      <c r="K505" s="243">
        <f t="shared" si="24"/>
        <v>0</v>
      </c>
      <c r="L505" s="181"/>
    </row>
    <row r="506" spans="1:12" ht="19.5" customHeight="1">
      <c r="A506" s="240">
        <f t="shared" si="22"/>
        <v>495</v>
      </c>
      <c r="B506" s="250" t="s">
        <v>1242</v>
      </c>
      <c r="C506" s="242" t="s">
        <v>262</v>
      </c>
      <c r="D506" s="243"/>
      <c r="E506" s="243"/>
      <c r="F506" s="243">
        <f t="array" ref="F506">SUM(IF("156"&amp;B506=KHN&amp;MH,SL))</f>
        <v>15</v>
      </c>
      <c r="G506" s="243">
        <f t="array" ref="G506">SUM(IF("156"&amp;B506=KHN&amp;MH,TH))</f>
        <v>777345</v>
      </c>
      <c r="H506" s="243">
        <f t="array" ref="H506">SUM(IF("156"&amp;B506=KHC&amp;MH,SL))</f>
        <v>15</v>
      </c>
      <c r="I506" s="243">
        <f t="array" ref="I506">SUM(IF("156"&amp;B506=KHC&amp;MH,TH))</f>
        <v>777345</v>
      </c>
      <c r="J506" s="243">
        <f t="shared" si="23"/>
        <v>0</v>
      </c>
      <c r="K506" s="243">
        <f t="shared" si="24"/>
        <v>0</v>
      </c>
      <c r="L506" s="181"/>
    </row>
    <row r="507" spans="1:12" ht="19.5" customHeight="1">
      <c r="A507" s="240">
        <f t="shared" si="22"/>
        <v>496</v>
      </c>
      <c r="B507" s="250" t="s">
        <v>1467</v>
      </c>
      <c r="C507" s="242"/>
      <c r="D507" s="243"/>
      <c r="E507" s="243"/>
      <c r="F507" s="243">
        <f t="array" ref="F507">SUM(IF("156"&amp;B507=KHN&amp;MH,SL))</f>
        <v>2</v>
      </c>
      <c r="G507" s="243">
        <f t="array" ref="G507">SUM(IF("156"&amp;B507=KHN&amp;MH,TH))</f>
        <v>117444</v>
      </c>
      <c r="H507" s="243">
        <f t="array" ref="H507">SUM(IF("156"&amp;B507=KHC&amp;MH,SL))</f>
        <v>0</v>
      </c>
      <c r="I507" s="243">
        <f t="array" ref="I507">SUM(IF("156"&amp;B507=KHC&amp;MH,TH))</f>
        <v>0</v>
      </c>
      <c r="J507" s="243">
        <f t="shared" si="23"/>
        <v>2</v>
      </c>
      <c r="K507" s="243">
        <f t="shared" si="24"/>
        <v>117444</v>
      </c>
      <c r="L507" s="181"/>
    </row>
    <row r="508" spans="1:12" ht="19.5" customHeight="1">
      <c r="A508" s="240">
        <f t="shared" si="22"/>
        <v>497</v>
      </c>
      <c r="B508" s="250" t="s">
        <v>1224</v>
      </c>
      <c r="C508" s="242" t="s">
        <v>262</v>
      </c>
      <c r="D508" s="243"/>
      <c r="E508" s="243"/>
      <c r="F508" s="243">
        <f t="array" ref="F508">SUM(IF("156"&amp;B508=KHN&amp;MH,SL))</f>
        <v>76</v>
      </c>
      <c r="G508" s="243">
        <f t="array" ref="G508">SUM(IF("156"&amp;B508=KHN&amp;MH,TH))</f>
        <v>5523452</v>
      </c>
      <c r="H508" s="243">
        <f t="array" ref="H508">SUM(IF("156"&amp;B508=KHC&amp;MH,SL))</f>
        <v>76</v>
      </c>
      <c r="I508" s="243">
        <f t="array" ref="I508">SUM(IF("156"&amp;B508=KHC&amp;MH,TH))</f>
        <v>5523452</v>
      </c>
      <c r="J508" s="243">
        <f t="shared" si="23"/>
        <v>0</v>
      </c>
      <c r="K508" s="243">
        <f t="shared" si="24"/>
        <v>0</v>
      </c>
      <c r="L508" s="181"/>
    </row>
    <row r="509" spans="1:12" ht="19.5" customHeight="1">
      <c r="A509" s="240">
        <f t="shared" si="22"/>
        <v>498</v>
      </c>
      <c r="B509" s="250" t="s">
        <v>1457</v>
      </c>
      <c r="C509" s="242"/>
      <c r="D509" s="243"/>
      <c r="E509" s="243"/>
      <c r="F509" s="243">
        <f t="array" ref="F509">SUM(IF("156"&amp;B509=KHN&amp;MH,SL))</f>
        <v>16</v>
      </c>
      <c r="G509" s="243">
        <f t="array" ref="G509">SUM(IF("156"&amp;B509=KHN&amp;MH,TH))</f>
        <v>722176</v>
      </c>
      <c r="H509" s="243">
        <f t="array" ref="H509">SUM(IF("156"&amp;B509=KHC&amp;MH,SL))</f>
        <v>0</v>
      </c>
      <c r="I509" s="243">
        <f t="array" ref="I509">SUM(IF("156"&amp;B509=KHC&amp;MH,TH))</f>
        <v>0</v>
      </c>
      <c r="J509" s="243">
        <f t="shared" si="23"/>
        <v>16</v>
      </c>
      <c r="K509" s="243">
        <f t="shared" si="24"/>
        <v>722176</v>
      </c>
      <c r="L509" s="181"/>
    </row>
    <row r="510" spans="1:12" ht="19.5" customHeight="1">
      <c r="A510" s="240">
        <f t="shared" si="22"/>
        <v>499</v>
      </c>
      <c r="B510" s="250" t="s">
        <v>1497</v>
      </c>
      <c r="C510" s="242"/>
      <c r="D510" s="243"/>
      <c r="E510" s="243"/>
      <c r="F510" s="243">
        <f t="array" ref="F510">SUM(IF("156"&amp;B510=KHN&amp;MH,SL))</f>
        <v>30</v>
      </c>
      <c r="G510" s="243">
        <f t="array" ref="G510">SUM(IF("156"&amp;B510=KHN&amp;MH,TH))</f>
        <v>1399920</v>
      </c>
      <c r="H510" s="243">
        <f t="array" ref="H510">SUM(IF("156"&amp;B510=KHC&amp;MH,SL))</f>
        <v>0</v>
      </c>
      <c r="I510" s="243">
        <f t="array" ref="I510">SUM(IF("156"&amp;B510=KHC&amp;MH,TH))</f>
        <v>0</v>
      </c>
      <c r="J510" s="243">
        <f t="shared" si="23"/>
        <v>30</v>
      </c>
      <c r="K510" s="243">
        <f t="shared" si="24"/>
        <v>1399920</v>
      </c>
      <c r="L510" s="181"/>
    </row>
    <row r="511" spans="1:12" ht="19.5" customHeight="1">
      <c r="A511" s="240">
        <f t="shared" si="22"/>
        <v>500</v>
      </c>
      <c r="B511" s="249" t="s">
        <v>1161</v>
      </c>
      <c r="C511" s="242" t="s">
        <v>262</v>
      </c>
      <c r="D511" s="243"/>
      <c r="E511" s="243"/>
      <c r="F511" s="243">
        <f t="array" ref="F511">SUM(IF("156"&amp;B511=KHN&amp;MH,SL))</f>
        <v>30</v>
      </c>
      <c r="G511" s="243">
        <f t="array" ref="G511">SUM(IF("156"&amp;B511=KHN&amp;MH,TH))</f>
        <v>1456500</v>
      </c>
      <c r="H511" s="243">
        <f t="array" ref="H511">SUM(IF("156"&amp;B511=KHC&amp;MH,SL))</f>
        <v>30</v>
      </c>
      <c r="I511" s="243">
        <f t="array" ref="I511">SUM(IF("156"&amp;B511=KHC&amp;MH,TH))</f>
        <v>1456500</v>
      </c>
      <c r="J511" s="243">
        <f t="shared" si="23"/>
        <v>0</v>
      </c>
      <c r="K511" s="243">
        <f t="shared" si="24"/>
        <v>0</v>
      </c>
      <c r="L511" s="181"/>
    </row>
    <row r="512" spans="1:12" ht="19.5" customHeight="1">
      <c r="A512" s="240">
        <f t="shared" si="22"/>
        <v>501</v>
      </c>
      <c r="B512" s="250" t="s">
        <v>1464</v>
      </c>
      <c r="C512" s="242"/>
      <c r="D512" s="243"/>
      <c r="E512" s="243"/>
      <c r="F512" s="243">
        <f t="array" ref="F512">SUM(IF("156"&amp;B512=KHN&amp;MH,SL))</f>
        <v>16</v>
      </c>
      <c r="G512" s="243">
        <f t="array" ref="G512">SUM(IF("156"&amp;B512=KHN&amp;MH,TH))</f>
        <v>1184720</v>
      </c>
      <c r="H512" s="243">
        <f t="array" ref="H512">SUM(IF("156"&amp;B512=KHC&amp;MH,SL))</f>
        <v>0</v>
      </c>
      <c r="I512" s="243">
        <f t="array" ref="I512">SUM(IF("156"&amp;B512=KHC&amp;MH,TH))</f>
        <v>0</v>
      </c>
      <c r="J512" s="243">
        <f t="shared" si="23"/>
        <v>16</v>
      </c>
      <c r="K512" s="243">
        <f t="shared" si="24"/>
        <v>1184720</v>
      </c>
      <c r="L512" s="181"/>
    </row>
    <row r="513" spans="1:12" ht="19.5" customHeight="1">
      <c r="A513" s="240">
        <f t="shared" si="22"/>
        <v>502</v>
      </c>
      <c r="B513" s="249" t="s">
        <v>731</v>
      </c>
      <c r="C513" s="242" t="s">
        <v>262</v>
      </c>
      <c r="D513" s="243"/>
      <c r="E513" s="243"/>
      <c r="F513" s="243">
        <f t="array" ref="F513">SUM(IF("156"&amp;B513=KHN&amp;MH,SL))</f>
        <v>36</v>
      </c>
      <c r="G513" s="243">
        <f t="array" ref="G513">SUM(IF("156"&amp;B513=KHN&amp;MH,TH))</f>
        <v>1986806</v>
      </c>
      <c r="H513" s="243">
        <f t="array" ref="H513">SUM(IF("156"&amp;B513=KHC&amp;MH,SL))</f>
        <v>36</v>
      </c>
      <c r="I513" s="243">
        <f t="array" ref="I513">SUM(IF("156"&amp;B513=KHC&amp;MH,TH))</f>
        <v>1986806</v>
      </c>
      <c r="J513" s="243">
        <f t="shared" si="23"/>
        <v>0</v>
      </c>
      <c r="K513" s="243">
        <f t="shared" si="24"/>
        <v>0</v>
      </c>
      <c r="L513" s="181"/>
    </row>
    <row r="514" spans="1:12" ht="19.5" customHeight="1">
      <c r="A514" s="240">
        <f t="shared" si="22"/>
        <v>503</v>
      </c>
      <c r="B514" s="250" t="s">
        <v>1469</v>
      </c>
      <c r="C514" s="242"/>
      <c r="D514" s="243"/>
      <c r="E514" s="243"/>
      <c r="F514" s="243">
        <f t="array" ref="F514">SUM(IF("156"&amp;B514=KHN&amp;MH,SL))</f>
        <v>2</v>
      </c>
      <c r="G514" s="243">
        <f t="array" ref="G514">SUM(IF("156"&amp;B514=KHN&amp;MH,TH))</f>
        <v>117444</v>
      </c>
      <c r="H514" s="243">
        <f t="array" ref="H514">SUM(IF("156"&amp;B514=KHC&amp;MH,SL))</f>
        <v>0</v>
      </c>
      <c r="I514" s="243">
        <f t="array" ref="I514">SUM(IF("156"&amp;B514=KHC&amp;MH,TH))</f>
        <v>0</v>
      </c>
      <c r="J514" s="243">
        <f t="shared" si="23"/>
        <v>2</v>
      </c>
      <c r="K514" s="243">
        <f t="shared" si="24"/>
        <v>117444</v>
      </c>
      <c r="L514" s="181"/>
    </row>
    <row r="515" spans="1:12" ht="19.5" customHeight="1">
      <c r="A515" s="240">
        <f t="shared" si="22"/>
        <v>504</v>
      </c>
      <c r="B515" s="249" t="s">
        <v>683</v>
      </c>
      <c r="C515" s="242" t="s">
        <v>262</v>
      </c>
      <c r="D515" s="243"/>
      <c r="E515" s="243"/>
      <c r="F515" s="243">
        <f t="array" ref="F515">SUM(IF("156"&amp;B515=KHN&amp;MH,SL))</f>
        <v>26</v>
      </c>
      <c r="G515" s="243">
        <f t="array" ref="G515">SUM(IF("156"&amp;B515=KHN&amp;MH,TH))</f>
        <v>918850</v>
      </c>
      <c r="H515" s="243">
        <f t="array" ref="H515">SUM(IF("156"&amp;B515=KHC&amp;MH,SL))</f>
        <v>26</v>
      </c>
      <c r="I515" s="243">
        <f t="array" ref="I515">SUM(IF("156"&amp;B515=KHC&amp;MH,TH))</f>
        <v>918850</v>
      </c>
      <c r="J515" s="243">
        <f t="shared" si="23"/>
        <v>0</v>
      </c>
      <c r="K515" s="243">
        <f t="shared" si="24"/>
        <v>0</v>
      </c>
      <c r="L515" s="181"/>
    </row>
    <row r="516" spans="1:12" ht="19.5" customHeight="1">
      <c r="A516" s="240">
        <f t="shared" si="22"/>
        <v>505</v>
      </c>
      <c r="B516" s="249" t="s">
        <v>685</v>
      </c>
      <c r="C516" s="242" t="s">
        <v>262</v>
      </c>
      <c r="D516" s="243"/>
      <c r="E516" s="243"/>
      <c r="F516" s="243">
        <f t="array" ref="F516">SUM(IF("156"&amp;B516=KHN&amp;MH,SL))</f>
        <v>6</v>
      </c>
      <c r="G516" s="243">
        <f t="array" ref="G516">SUM(IF("156"&amp;B516=KHN&amp;MH,TH))</f>
        <v>216684</v>
      </c>
      <c r="H516" s="243">
        <f t="array" ref="H516">SUM(IF("156"&amp;B516=KHC&amp;MH,SL))</f>
        <v>6</v>
      </c>
      <c r="I516" s="243">
        <f t="array" ref="I516">SUM(IF("156"&amp;B516=KHC&amp;MH,TH))</f>
        <v>216684</v>
      </c>
      <c r="J516" s="243">
        <f t="shared" si="23"/>
        <v>0</v>
      </c>
      <c r="K516" s="243">
        <f t="shared" si="24"/>
        <v>0</v>
      </c>
      <c r="L516" s="181"/>
    </row>
    <row r="517" spans="1:12" ht="19.5" customHeight="1">
      <c r="A517" s="240">
        <f t="shared" si="22"/>
        <v>506</v>
      </c>
      <c r="B517" s="249" t="s">
        <v>629</v>
      </c>
      <c r="C517" s="242" t="s">
        <v>262</v>
      </c>
      <c r="D517" s="243"/>
      <c r="E517" s="243"/>
      <c r="F517" s="243">
        <f t="array" ref="F517">SUM(IF("156"&amp;B517=KHN&amp;MH,SL))</f>
        <v>340</v>
      </c>
      <c r="G517" s="243">
        <f t="array" ref="G517">SUM(IF("156"&amp;B517=KHN&amp;MH,TH))</f>
        <v>9797032</v>
      </c>
      <c r="H517" s="243">
        <f t="array" ref="H517">SUM(IF("156"&amp;B517=KHC&amp;MH,SL))</f>
        <v>278</v>
      </c>
      <c r="I517" s="243">
        <f t="array" ref="I517">SUM(IF("156"&amp;B517=KHC&amp;MH,TH))</f>
        <v>7506106</v>
      </c>
      <c r="J517" s="243">
        <f t="shared" si="23"/>
        <v>62</v>
      </c>
      <c r="K517" s="243">
        <f t="shared" si="24"/>
        <v>2290926</v>
      </c>
      <c r="L517" s="181">
        <f>K517/J517</f>
        <v>36950.419354838712</v>
      </c>
    </row>
    <row r="518" spans="1:12" ht="19.5" customHeight="1">
      <c r="A518" s="240">
        <f t="shared" si="22"/>
        <v>507</v>
      </c>
      <c r="B518" s="250" t="s">
        <v>1385</v>
      </c>
      <c r="C518" s="242"/>
      <c r="D518" s="243"/>
      <c r="E518" s="243"/>
      <c r="F518" s="243">
        <f t="array" ref="F518">SUM(IF("156"&amp;B518=KHN&amp;MH,SL))</f>
        <v>112</v>
      </c>
      <c r="G518" s="243">
        <f t="array" ref="G518">SUM(IF("156"&amp;B518=KHN&amp;MH,TH))</f>
        <v>3036656</v>
      </c>
      <c r="H518" s="243">
        <f t="array" ref="H518">SUM(IF("156"&amp;B518=KHC&amp;MH,SL))</f>
        <v>0</v>
      </c>
      <c r="I518" s="243">
        <f t="array" ref="I518">SUM(IF("156"&amp;B518=KHC&amp;MH,TH))</f>
        <v>0</v>
      </c>
      <c r="J518" s="243">
        <f t="shared" si="23"/>
        <v>112</v>
      </c>
      <c r="K518" s="243">
        <f t="shared" si="24"/>
        <v>3036656</v>
      </c>
      <c r="L518" s="181"/>
    </row>
    <row r="519" spans="1:12" ht="19.5" customHeight="1">
      <c r="A519" s="240">
        <f t="shared" si="22"/>
        <v>508</v>
      </c>
      <c r="B519" s="249" t="s">
        <v>712</v>
      </c>
      <c r="C519" s="242" t="s">
        <v>262</v>
      </c>
      <c r="D519" s="243"/>
      <c r="E519" s="243"/>
      <c r="F519" s="243">
        <f t="array" ref="F519">SUM(IF("156"&amp;B519=KHN&amp;MH,SL))</f>
        <v>338</v>
      </c>
      <c r="G519" s="243">
        <f t="array" ref="G519">SUM(IF("156"&amp;B519=KHN&amp;MH,TH))</f>
        <v>15520246</v>
      </c>
      <c r="H519" s="243">
        <f t="array" ref="H519">SUM(IF("156"&amp;B519=KHC&amp;MH,SL))</f>
        <v>240</v>
      </c>
      <c r="I519" s="243">
        <f t="array" ref="I519">SUM(IF("156"&amp;B519=KHC&amp;MH,TH))</f>
        <v>10826340</v>
      </c>
      <c r="J519" s="243">
        <f t="shared" si="23"/>
        <v>98</v>
      </c>
      <c r="K519" s="243">
        <f t="shared" si="24"/>
        <v>4693906</v>
      </c>
      <c r="L519" s="181"/>
    </row>
    <row r="520" spans="1:12" ht="19.5" customHeight="1">
      <c r="A520" s="240">
        <f t="shared" si="22"/>
        <v>509</v>
      </c>
      <c r="B520" s="249" t="s">
        <v>1421</v>
      </c>
      <c r="C520" s="242"/>
      <c r="D520" s="243"/>
      <c r="E520" s="243"/>
      <c r="F520" s="243">
        <f t="array" ref="F520">SUM(IF("156"&amp;B520=KHN&amp;MH,SL))</f>
        <v>320</v>
      </c>
      <c r="G520" s="243">
        <f t="array" ref="G520">SUM(IF("156"&amp;B520=KHN&amp;MH,TH))</f>
        <v>1975680</v>
      </c>
      <c r="H520" s="243">
        <f t="array" ref="H520">SUM(IF("156"&amp;B520=KHC&amp;MH,SL))</f>
        <v>0</v>
      </c>
      <c r="I520" s="243">
        <f t="array" ref="I520">SUM(IF("156"&amp;B520=KHC&amp;MH,TH))</f>
        <v>0</v>
      </c>
      <c r="J520" s="243">
        <f t="shared" si="23"/>
        <v>320</v>
      </c>
      <c r="K520" s="243">
        <f t="shared" si="24"/>
        <v>1975680</v>
      </c>
      <c r="L520" s="181"/>
    </row>
    <row r="521" spans="1:12" ht="19.5" customHeight="1">
      <c r="A521" s="240">
        <f t="shared" si="22"/>
        <v>510</v>
      </c>
      <c r="B521" s="249" t="s">
        <v>633</v>
      </c>
      <c r="C521" s="242" t="s">
        <v>262</v>
      </c>
      <c r="D521" s="243"/>
      <c r="E521" s="243"/>
      <c r="F521" s="243">
        <f t="array" ref="F521">SUM(IF("156"&amp;B521=KHN&amp;MH,SL))</f>
        <v>15</v>
      </c>
      <c r="G521" s="243">
        <f t="array" ref="G521">SUM(IF("156"&amp;B521=KHN&amp;MH,TH))</f>
        <v>630315</v>
      </c>
      <c r="H521" s="243">
        <f t="array" ref="H521">SUM(IF("156"&amp;B521=KHC&amp;MH,SL))</f>
        <v>15</v>
      </c>
      <c r="I521" s="243">
        <f t="array" ref="I521">SUM(IF("156"&amp;B521=KHC&amp;MH,TH))</f>
        <v>630315</v>
      </c>
      <c r="J521" s="243">
        <f t="shared" si="23"/>
        <v>0</v>
      </c>
      <c r="K521" s="243">
        <f t="shared" si="24"/>
        <v>0</v>
      </c>
      <c r="L521" s="181"/>
    </row>
    <row r="522" spans="1:12" ht="19.5" customHeight="1">
      <c r="A522" s="240">
        <f t="shared" si="22"/>
        <v>511</v>
      </c>
      <c r="B522" s="249" t="s">
        <v>681</v>
      </c>
      <c r="C522" s="242" t="s">
        <v>262</v>
      </c>
      <c r="D522" s="243"/>
      <c r="E522" s="243"/>
      <c r="F522" s="243">
        <f t="array" ref="F522">SUM(IF("156"&amp;B522=KHN&amp;MH,SL))</f>
        <v>14</v>
      </c>
      <c r="G522" s="243">
        <f t="array" ref="G522">SUM(IF("156"&amp;B522=KHN&amp;MH,TH))</f>
        <v>364686</v>
      </c>
      <c r="H522" s="243">
        <f t="array" ref="H522">SUM(IF("156"&amp;B522=KHC&amp;MH,SL))</f>
        <v>14</v>
      </c>
      <c r="I522" s="243">
        <f t="array" ref="I522">SUM(IF("156"&amp;B522=KHC&amp;MH,TH))</f>
        <v>364686</v>
      </c>
      <c r="J522" s="243">
        <f t="shared" si="23"/>
        <v>0</v>
      </c>
      <c r="K522" s="243">
        <f t="shared" si="24"/>
        <v>0</v>
      </c>
      <c r="L522" s="181"/>
    </row>
    <row r="523" spans="1:12" ht="19.5" customHeight="1">
      <c r="A523" s="240">
        <f t="shared" si="22"/>
        <v>512</v>
      </c>
      <c r="B523" s="249" t="s">
        <v>760</v>
      </c>
      <c r="C523" s="242" t="s">
        <v>262</v>
      </c>
      <c r="D523" s="243"/>
      <c r="E523" s="243"/>
      <c r="F523" s="243">
        <f t="array" ref="F523">SUM(IF("156"&amp;B523=KHN&amp;MH,SL))</f>
        <v>50</v>
      </c>
      <c r="G523" s="243">
        <f t="array" ref="G523">SUM(IF("156"&amp;B523=KHN&amp;MH,TH))</f>
        <v>1316440</v>
      </c>
      <c r="H523" s="243">
        <f t="array" ref="H523">SUM(IF("156"&amp;B523=KHC&amp;MH,SL))</f>
        <v>50</v>
      </c>
      <c r="I523" s="243">
        <f t="array" ref="I523">SUM(IF("156"&amp;B523=KHC&amp;MH,TH))</f>
        <v>1316440</v>
      </c>
      <c r="J523" s="243">
        <f t="shared" si="23"/>
        <v>0</v>
      </c>
      <c r="K523" s="243">
        <f t="shared" si="24"/>
        <v>0</v>
      </c>
      <c r="L523" s="181"/>
    </row>
    <row r="524" spans="1:12" ht="19.5" customHeight="1">
      <c r="A524" s="240">
        <f t="shared" ref="A524:A587" si="25">IF(B524&lt;&gt;"",ROW()-11,"")</f>
        <v>513</v>
      </c>
      <c r="B524" s="249" t="s">
        <v>797</v>
      </c>
      <c r="C524" s="242" t="s">
        <v>262</v>
      </c>
      <c r="D524" s="243"/>
      <c r="E524" s="243"/>
      <c r="F524" s="243">
        <f t="array" ref="F524">SUM(IF("156"&amp;B524=KHN&amp;MH,SL))</f>
        <v>38</v>
      </c>
      <c r="G524" s="243">
        <f t="array" ref="G524">SUM(IF("156"&amp;B524=KHN&amp;MH,TH))</f>
        <v>1562294</v>
      </c>
      <c r="H524" s="243">
        <f t="array" ref="H524">SUM(IF("156"&amp;B524=KHC&amp;MH,SL))</f>
        <v>38</v>
      </c>
      <c r="I524" s="243">
        <f t="array" ref="I524">SUM(IF("156"&amp;B524=KHC&amp;MH,TH))</f>
        <v>1562294</v>
      </c>
      <c r="J524" s="243">
        <f t="shared" ref="J524:J587" si="26">D524+F524-H524</f>
        <v>0</v>
      </c>
      <c r="K524" s="243">
        <f t="shared" ref="K524:K587" si="27">E524+G524-I524</f>
        <v>0</v>
      </c>
      <c r="L524" s="181"/>
    </row>
    <row r="525" spans="1:12" ht="19.5" customHeight="1">
      <c r="A525" s="240">
        <f t="shared" si="25"/>
        <v>514</v>
      </c>
      <c r="B525" s="249" t="s">
        <v>646</v>
      </c>
      <c r="C525" s="242" t="s">
        <v>262</v>
      </c>
      <c r="D525" s="243"/>
      <c r="E525" s="243"/>
      <c r="F525" s="243">
        <f t="array" ref="F525">SUM(IF("156"&amp;B525=KHN&amp;MH,SL))</f>
        <v>48</v>
      </c>
      <c r="G525" s="243">
        <f t="array" ref="G525">SUM(IF("156"&amp;B525=KHN&amp;MH,TH))</f>
        <v>2227824</v>
      </c>
      <c r="H525" s="243">
        <f t="array" ref="H525">SUM(IF("156"&amp;B525=KHC&amp;MH,SL))</f>
        <v>12</v>
      </c>
      <c r="I525" s="243">
        <f t="array" ref="I525">SUM(IF("156"&amp;B525=KHC&amp;MH,TH))</f>
        <v>562212</v>
      </c>
      <c r="J525" s="243">
        <f t="shared" si="26"/>
        <v>36</v>
      </c>
      <c r="K525" s="243">
        <f t="shared" si="27"/>
        <v>1665612</v>
      </c>
      <c r="L525" s="181"/>
    </row>
    <row r="526" spans="1:12" ht="19.5" customHeight="1">
      <c r="A526" s="240">
        <f t="shared" si="25"/>
        <v>515</v>
      </c>
      <c r="B526" s="249" t="s">
        <v>714</v>
      </c>
      <c r="C526" s="242" t="s">
        <v>262</v>
      </c>
      <c r="D526" s="243"/>
      <c r="E526" s="243"/>
      <c r="F526" s="243">
        <f t="array" ref="F526">SUM(IF("156"&amp;B526=KHN&amp;MH,SL))</f>
        <v>144</v>
      </c>
      <c r="G526" s="243">
        <f t="array" ref="G526">SUM(IF("156"&amp;B526=KHN&amp;MH,TH))</f>
        <v>6572658</v>
      </c>
      <c r="H526" s="243">
        <f t="array" ref="H526">SUM(IF("156"&amp;B526=KHC&amp;MH,SL))</f>
        <v>120</v>
      </c>
      <c r="I526" s="243">
        <f t="array" ref="I526">SUM(IF("156"&amp;B526=KHC&amp;MH,TH))</f>
        <v>5822394</v>
      </c>
      <c r="J526" s="243">
        <f t="shared" si="26"/>
        <v>24</v>
      </c>
      <c r="K526" s="243">
        <f t="shared" si="27"/>
        <v>750264</v>
      </c>
      <c r="L526" s="181"/>
    </row>
    <row r="527" spans="1:12" ht="19.5" customHeight="1">
      <c r="A527" s="240">
        <f t="shared" si="25"/>
        <v>516</v>
      </c>
      <c r="B527" s="249" t="s">
        <v>762</v>
      </c>
      <c r="C527" s="242" t="s">
        <v>262</v>
      </c>
      <c r="D527" s="243"/>
      <c r="E527" s="243"/>
      <c r="F527" s="243">
        <f t="array" ref="F527">SUM(IF("156"&amp;B527=KHN&amp;MH,SL))</f>
        <v>24</v>
      </c>
      <c r="G527" s="243">
        <f t="array" ref="G527">SUM(IF("156"&amp;B527=KHN&amp;MH,TH))</f>
        <v>1120320</v>
      </c>
      <c r="H527" s="243">
        <f t="array" ref="H527">SUM(IF("156"&amp;B527=KHC&amp;MH,SL))</f>
        <v>24</v>
      </c>
      <c r="I527" s="243">
        <f t="array" ref="I527">SUM(IF("156"&amp;B527=KHC&amp;MH,TH))</f>
        <v>1120320</v>
      </c>
      <c r="J527" s="243">
        <f t="shared" si="26"/>
        <v>0</v>
      </c>
      <c r="K527" s="243">
        <f t="shared" si="27"/>
        <v>0</v>
      </c>
      <c r="L527" s="181"/>
    </row>
    <row r="528" spans="1:12" ht="19.5" customHeight="1">
      <c r="A528" s="240">
        <f t="shared" si="25"/>
        <v>517</v>
      </c>
      <c r="B528" s="249" t="s">
        <v>634</v>
      </c>
      <c r="C528" s="242" t="s">
        <v>262</v>
      </c>
      <c r="D528" s="243"/>
      <c r="E528" s="243"/>
      <c r="F528" s="243">
        <f t="array" ref="F528">SUM(IF("156"&amp;B528=KHN&amp;MH,SL))</f>
        <v>10</v>
      </c>
      <c r="G528" s="243">
        <f t="array" ref="G528">SUM(IF("156"&amp;B528=KHN&amp;MH,TH))</f>
        <v>315470</v>
      </c>
      <c r="H528" s="243">
        <f t="array" ref="H528">SUM(IF("156"&amp;B528=KHC&amp;MH,SL))</f>
        <v>10</v>
      </c>
      <c r="I528" s="243">
        <f t="array" ref="I528">SUM(IF("156"&amp;B528=KHC&amp;MH,TH))</f>
        <v>315470</v>
      </c>
      <c r="J528" s="243">
        <f t="shared" si="26"/>
        <v>0</v>
      </c>
      <c r="K528" s="243">
        <f t="shared" si="27"/>
        <v>0</v>
      </c>
      <c r="L528" s="181"/>
    </row>
    <row r="529" spans="1:12" ht="19.5" customHeight="1">
      <c r="A529" s="240">
        <f t="shared" si="25"/>
        <v>518</v>
      </c>
      <c r="B529" s="249" t="s">
        <v>627</v>
      </c>
      <c r="C529" s="242" t="s">
        <v>262</v>
      </c>
      <c r="D529" s="243"/>
      <c r="E529" s="243"/>
      <c r="F529" s="243">
        <f t="array" ref="F529">SUM(IF("156"&amp;B529=KHN&amp;MH,SL))</f>
        <v>1006</v>
      </c>
      <c r="G529" s="243">
        <f t="array" ref="G529">SUM(IF("156"&amp;B529=KHN&amp;MH,TH))</f>
        <v>50148556</v>
      </c>
      <c r="H529" s="243">
        <f t="array" ref="H529">SUM(IF("156"&amp;B529=KHC&amp;MH,SL))</f>
        <v>883</v>
      </c>
      <c r="I529" s="243">
        <f t="array" ref="I529">SUM(IF("156"&amp;B529=KHC&amp;MH,TH))</f>
        <v>43878016</v>
      </c>
      <c r="J529" s="243">
        <f t="shared" si="26"/>
        <v>123</v>
      </c>
      <c r="K529" s="243">
        <f t="shared" si="27"/>
        <v>6270540</v>
      </c>
      <c r="L529" s="181"/>
    </row>
    <row r="530" spans="1:12" ht="19.5" customHeight="1">
      <c r="A530" s="240">
        <f t="shared" si="25"/>
        <v>519</v>
      </c>
      <c r="B530" s="249" t="s">
        <v>1175</v>
      </c>
      <c r="C530" s="242" t="s">
        <v>262</v>
      </c>
      <c r="D530" s="243"/>
      <c r="E530" s="243"/>
      <c r="F530" s="243">
        <f t="array" ref="F530">SUM(IF("156"&amp;B530=KHN&amp;MH,SL))</f>
        <v>12</v>
      </c>
      <c r="G530" s="243">
        <f t="array" ref="G530">SUM(IF("156"&amp;B530=KHN&amp;MH,TH))</f>
        <v>648000</v>
      </c>
      <c r="H530" s="243">
        <f t="array" ref="H530">SUM(IF("156"&amp;B530=KHC&amp;MH,SL))</f>
        <v>12</v>
      </c>
      <c r="I530" s="243">
        <f t="array" ref="I530">SUM(IF("156"&amp;B530=KHC&amp;MH,TH))</f>
        <v>648000</v>
      </c>
      <c r="J530" s="243">
        <f t="shared" si="26"/>
        <v>0</v>
      </c>
      <c r="K530" s="243">
        <f t="shared" si="27"/>
        <v>0</v>
      </c>
      <c r="L530" s="181"/>
    </row>
    <row r="531" spans="1:12" ht="19.5" customHeight="1">
      <c r="A531" s="240">
        <f t="shared" si="25"/>
        <v>520</v>
      </c>
      <c r="B531" s="249" t="s">
        <v>655</v>
      </c>
      <c r="C531" s="242" t="s">
        <v>262</v>
      </c>
      <c r="D531" s="243"/>
      <c r="E531" s="243"/>
      <c r="F531" s="243">
        <f t="array" ref="F531">SUM(IF("156"&amp;B531=KHN&amp;MH,SL))</f>
        <v>160</v>
      </c>
      <c r="G531" s="243">
        <f t="array" ref="G531">SUM(IF("156"&amp;B531=KHN&amp;MH,TH))</f>
        <v>8207070</v>
      </c>
      <c r="H531" s="243">
        <f t="array" ref="H531">SUM(IF("156"&amp;B531=KHC&amp;MH,SL))</f>
        <v>160</v>
      </c>
      <c r="I531" s="243">
        <f t="array" ref="I531">SUM(IF("156"&amp;B531=KHC&amp;MH,TH))</f>
        <v>8207070</v>
      </c>
      <c r="J531" s="243">
        <f t="shared" si="26"/>
        <v>0</v>
      </c>
      <c r="K531" s="243">
        <f t="shared" si="27"/>
        <v>0</v>
      </c>
      <c r="L531" s="181"/>
    </row>
    <row r="532" spans="1:12" ht="19.5" customHeight="1">
      <c r="A532" s="240">
        <f t="shared" si="25"/>
        <v>521</v>
      </c>
      <c r="B532" s="249" t="s">
        <v>1018</v>
      </c>
      <c r="C532" s="242" t="s">
        <v>262</v>
      </c>
      <c r="D532" s="243"/>
      <c r="E532" s="243"/>
      <c r="F532" s="243">
        <f t="array" ref="F532">SUM(IF("156"&amp;B532=KHN&amp;MH,SL))</f>
        <v>88</v>
      </c>
      <c r="G532" s="243">
        <f t="array" ref="G532">SUM(IF("156"&amp;B532=KHN&amp;MH,TH))</f>
        <v>4812248</v>
      </c>
      <c r="H532" s="243">
        <f t="array" ref="H532">SUM(IF("156"&amp;B532=KHC&amp;MH,SL))</f>
        <v>64</v>
      </c>
      <c r="I532" s="243">
        <f t="array" ref="I532">SUM(IF("156"&amp;B532=KHC&amp;MH,TH))</f>
        <v>3467144</v>
      </c>
      <c r="J532" s="243">
        <f t="shared" si="26"/>
        <v>24</v>
      </c>
      <c r="K532" s="243">
        <f t="shared" si="27"/>
        <v>1345104</v>
      </c>
      <c r="L532" s="181"/>
    </row>
    <row r="533" spans="1:12" ht="19.5" customHeight="1">
      <c r="A533" s="240">
        <f t="shared" si="25"/>
        <v>522</v>
      </c>
      <c r="B533" s="250" t="s">
        <v>1480</v>
      </c>
      <c r="C533" s="242"/>
      <c r="D533" s="243"/>
      <c r="E533" s="243"/>
      <c r="F533" s="243">
        <f t="array" ref="F533">SUM(IF("156"&amp;B533=KHN&amp;MH,SL))</f>
        <v>22</v>
      </c>
      <c r="G533" s="243">
        <f t="array" ref="G533">SUM(IF("156"&amp;B533=KHN&amp;MH,TH))</f>
        <v>1264076</v>
      </c>
      <c r="H533" s="243">
        <f t="array" ref="H533">SUM(IF("156"&amp;B533=KHC&amp;MH,SL))</f>
        <v>0</v>
      </c>
      <c r="I533" s="243">
        <f t="array" ref="I533">SUM(IF("156"&amp;B533=KHC&amp;MH,TH))</f>
        <v>0</v>
      </c>
      <c r="J533" s="243">
        <f t="shared" si="26"/>
        <v>22</v>
      </c>
      <c r="K533" s="243">
        <f t="shared" si="27"/>
        <v>1264076</v>
      </c>
      <c r="L533" s="181"/>
    </row>
    <row r="534" spans="1:12" ht="19.5" customHeight="1">
      <c r="A534" s="240">
        <f t="shared" si="25"/>
        <v>523</v>
      </c>
      <c r="B534" s="249" t="s">
        <v>753</v>
      </c>
      <c r="C534" s="242" t="s">
        <v>262</v>
      </c>
      <c r="D534" s="243"/>
      <c r="E534" s="243"/>
      <c r="F534" s="243">
        <f t="array" ref="F534">SUM(IF("156"&amp;B534=KHN&amp;MH,SL))</f>
        <v>39</v>
      </c>
      <c r="G534" s="243">
        <f t="array" ref="G534">SUM(IF("156"&amp;B534=KHN&amp;MH,TH))</f>
        <v>1507155</v>
      </c>
      <c r="H534" s="243">
        <f t="array" ref="H534">SUM(IF("156"&amp;B534=KHC&amp;MH,SL))</f>
        <v>39</v>
      </c>
      <c r="I534" s="243">
        <f t="array" ref="I534">SUM(IF("156"&amp;B534=KHC&amp;MH,TH))</f>
        <v>1507155</v>
      </c>
      <c r="J534" s="243">
        <f t="shared" si="26"/>
        <v>0</v>
      </c>
      <c r="K534" s="243">
        <f t="shared" si="27"/>
        <v>0</v>
      </c>
      <c r="L534" s="181"/>
    </row>
    <row r="535" spans="1:12" ht="19.5" customHeight="1">
      <c r="A535" s="240">
        <f t="shared" si="25"/>
        <v>524</v>
      </c>
      <c r="B535" s="249" t="s">
        <v>667</v>
      </c>
      <c r="C535" s="242" t="s">
        <v>262</v>
      </c>
      <c r="D535" s="243"/>
      <c r="E535" s="243"/>
      <c r="F535" s="243">
        <f t="array" ref="F535">SUM(IF("156"&amp;B535=KHN&amp;MH,SL))</f>
        <v>102</v>
      </c>
      <c r="G535" s="243">
        <f t="array" ref="G535">SUM(IF("156"&amp;B535=KHN&amp;MH,TH))</f>
        <v>6334126</v>
      </c>
      <c r="H535" s="243">
        <f t="array" ref="H535">SUM(IF("156"&amp;B535=KHC&amp;MH,SL))</f>
        <v>78</v>
      </c>
      <c r="I535" s="243">
        <f t="array" ref="I535">SUM(IF("156"&amp;B535=KHC&amp;MH,TH))</f>
        <v>4785574</v>
      </c>
      <c r="J535" s="243">
        <f t="shared" si="26"/>
        <v>24</v>
      </c>
      <c r="K535" s="243">
        <f t="shared" si="27"/>
        <v>1548552</v>
      </c>
      <c r="L535" s="181"/>
    </row>
    <row r="536" spans="1:12" ht="19.5" customHeight="1">
      <c r="A536" s="240">
        <f t="shared" si="25"/>
        <v>525</v>
      </c>
      <c r="B536" s="250" t="s">
        <v>1389</v>
      </c>
      <c r="C536" s="242"/>
      <c r="D536" s="243"/>
      <c r="E536" s="243"/>
      <c r="F536" s="243">
        <f t="array" ref="F536">SUM(IF("156"&amp;B536=KHN&amp;MH,SL))</f>
        <v>52</v>
      </c>
      <c r="G536" s="243">
        <f t="array" ref="G536">SUM(IF("156"&amp;B536=KHN&amp;MH,TH))</f>
        <v>2960231</v>
      </c>
      <c r="H536" s="243">
        <f t="array" ref="H536">SUM(IF("156"&amp;B536=KHC&amp;MH,SL))</f>
        <v>0</v>
      </c>
      <c r="I536" s="243">
        <f t="array" ref="I536">SUM(IF("156"&amp;B536=KHC&amp;MH,TH))</f>
        <v>0</v>
      </c>
      <c r="J536" s="243">
        <f t="shared" si="26"/>
        <v>52</v>
      </c>
      <c r="K536" s="243">
        <f t="shared" si="27"/>
        <v>2960231</v>
      </c>
      <c r="L536" s="181"/>
    </row>
    <row r="537" spans="1:12" ht="19.5" customHeight="1">
      <c r="A537" s="240">
        <f t="shared" si="25"/>
        <v>526</v>
      </c>
      <c r="B537" s="250" t="s">
        <v>1470</v>
      </c>
      <c r="C537" s="242"/>
      <c r="D537" s="243"/>
      <c r="E537" s="243"/>
      <c r="F537" s="243">
        <f t="array" ref="F537">SUM(IF("156"&amp;B537=KHN&amp;MH,SL))</f>
        <v>6</v>
      </c>
      <c r="G537" s="243">
        <f t="array" ref="G537">SUM(IF("156"&amp;B537=KHN&amp;MH,TH))</f>
        <v>352332</v>
      </c>
      <c r="H537" s="243">
        <f t="array" ref="H537">SUM(IF("156"&amp;B537=KHC&amp;MH,SL))</f>
        <v>0</v>
      </c>
      <c r="I537" s="243">
        <f t="array" ref="I537">SUM(IF("156"&amp;B537=KHC&amp;MH,TH))</f>
        <v>0</v>
      </c>
      <c r="J537" s="243">
        <f t="shared" si="26"/>
        <v>6</v>
      </c>
      <c r="K537" s="243">
        <f t="shared" si="27"/>
        <v>352332</v>
      </c>
      <c r="L537" s="181"/>
    </row>
    <row r="538" spans="1:12" ht="19.5" customHeight="1">
      <c r="A538" s="240">
        <f t="shared" si="25"/>
        <v>527</v>
      </c>
      <c r="B538" s="250" t="s">
        <v>1338</v>
      </c>
      <c r="C538" s="242"/>
      <c r="D538" s="243"/>
      <c r="E538" s="243"/>
      <c r="F538" s="243">
        <f t="array" ref="F538">SUM(IF("156"&amp;B538=KHN&amp;MH,SL))</f>
        <v>136</v>
      </c>
      <c r="G538" s="243">
        <f t="array" ref="G538">SUM(IF("156"&amp;B538=KHN&amp;MH,TH))</f>
        <v>2714968</v>
      </c>
      <c r="H538" s="243">
        <f t="array" ref="H538">SUM(IF("156"&amp;B538=KHC&amp;MH,SL))</f>
        <v>136</v>
      </c>
      <c r="I538" s="243">
        <f t="array" ref="I538">SUM(IF("156"&amp;B538=KHC&amp;MH,TH))</f>
        <v>2714968</v>
      </c>
      <c r="J538" s="243">
        <f t="shared" si="26"/>
        <v>0</v>
      </c>
      <c r="K538" s="243">
        <f t="shared" si="27"/>
        <v>0</v>
      </c>
      <c r="L538" s="181"/>
    </row>
    <row r="539" spans="1:12" ht="19.5" customHeight="1">
      <c r="A539" s="240">
        <f t="shared" si="25"/>
        <v>528</v>
      </c>
      <c r="B539" s="249" t="s">
        <v>599</v>
      </c>
      <c r="C539" s="242" t="s">
        <v>262</v>
      </c>
      <c r="D539" s="243"/>
      <c r="E539" s="243"/>
      <c r="F539" s="243">
        <f t="array" ref="F539">SUM(IF("156"&amp;B539=KHN&amp;MH,SL))</f>
        <v>650</v>
      </c>
      <c r="G539" s="243">
        <f t="array" ref="G539">SUM(IF("156"&amp;B539=KHN&amp;MH,TH))</f>
        <v>4960376</v>
      </c>
      <c r="H539" s="243">
        <f t="array" ref="H539">SUM(IF("156"&amp;B539=KHC&amp;MH,SL))</f>
        <v>650</v>
      </c>
      <c r="I539" s="243">
        <f t="array" ref="I539">SUM(IF("156"&amp;B539=KHC&amp;MH,TH))</f>
        <v>4960376</v>
      </c>
      <c r="J539" s="243">
        <f t="shared" si="26"/>
        <v>0</v>
      </c>
      <c r="K539" s="243">
        <f t="shared" si="27"/>
        <v>0</v>
      </c>
      <c r="L539" s="181"/>
    </row>
    <row r="540" spans="1:12" ht="19.5" customHeight="1">
      <c r="A540" s="240">
        <f t="shared" si="25"/>
        <v>529</v>
      </c>
      <c r="B540" s="673" t="s">
        <v>1189</v>
      </c>
      <c r="C540" s="242" t="s">
        <v>262</v>
      </c>
      <c r="D540" s="243"/>
      <c r="E540" s="243"/>
      <c r="F540" s="243">
        <f t="array" ref="F540">SUM(IF("156"&amp;B540=KHN&amp;MH,SL))</f>
        <v>300</v>
      </c>
      <c r="G540" s="243">
        <f t="array" ref="G540">SUM(IF("156"&amp;B540=KHN&amp;MH,TH))</f>
        <v>4262218</v>
      </c>
      <c r="H540" s="243">
        <f t="array" ref="H540">SUM(IF("156"&amp;B540=KHC&amp;MH,SL))</f>
        <v>300</v>
      </c>
      <c r="I540" s="243">
        <f t="array" ref="I540">SUM(IF("156"&amp;B540=KHC&amp;MH,TH))</f>
        <v>4262218</v>
      </c>
      <c r="J540" s="243">
        <f t="shared" si="26"/>
        <v>0</v>
      </c>
      <c r="K540" s="243">
        <f t="shared" si="27"/>
        <v>0</v>
      </c>
      <c r="L540" s="181"/>
    </row>
    <row r="541" spans="1:12" ht="19.5" customHeight="1">
      <c r="A541" s="240">
        <f t="shared" si="25"/>
        <v>530</v>
      </c>
      <c r="B541" s="250" t="s">
        <v>1228</v>
      </c>
      <c r="C541" s="242" t="s">
        <v>262</v>
      </c>
      <c r="D541" s="243"/>
      <c r="E541" s="243"/>
      <c r="F541" s="243">
        <f t="array" ref="F541">SUM(IF("156"&amp;B541=KHN&amp;MH,SL))</f>
        <v>60</v>
      </c>
      <c r="G541" s="243">
        <f t="array" ref="G541">SUM(IF("156"&amp;B541=KHN&amp;MH,TH))</f>
        <v>795180</v>
      </c>
      <c r="H541" s="243">
        <f t="array" ref="H541">SUM(IF("156"&amp;B541=KHC&amp;MH,SL))</f>
        <v>60</v>
      </c>
      <c r="I541" s="243">
        <f t="array" ref="I541">SUM(IF("156"&amp;B541=KHC&amp;MH,TH))</f>
        <v>795180</v>
      </c>
      <c r="J541" s="243">
        <f t="shared" si="26"/>
        <v>0</v>
      </c>
      <c r="K541" s="243">
        <f t="shared" si="27"/>
        <v>0</v>
      </c>
      <c r="L541" s="181"/>
    </row>
    <row r="542" spans="1:12" ht="19.5" customHeight="1">
      <c r="A542" s="240">
        <f t="shared" si="25"/>
        <v>531</v>
      </c>
      <c r="B542" s="249" t="s">
        <v>1050</v>
      </c>
      <c r="C542" s="242" t="s">
        <v>262</v>
      </c>
      <c r="D542" s="243"/>
      <c r="E542" s="243"/>
      <c r="F542" s="243">
        <f t="array" ref="F542">SUM(IF("156"&amp;B542=KHN&amp;MH,SL))</f>
        <v>180</v>
      </c>
      <c r="G542" s="243">
        <f t="array" ref="G542">SUM(IF("156"&amp;B542=KHN&amp;MH,TH))</f>
        <v>2359044</v>
      </c>
      <c r="H542" s="243">
        <f t="array" ref="H542">SUM(IF("156"&amp;B542=KHC&amp;MH,SL))</f>
        <v>180</v>
      </c>
      <c r="I542" s="243">
        <f t="array" ref="I542">SUM(IF("156"&amp;B542=KHC&amp;MH,TH))</f>
        <v>2359044</v>
      </c>
      <c r="J542" s="243">
        <f t="shared" si="26"/>
        <v>0</v>
      </c>
      <c r="K542" s="243">
        <f t="shared" si="27"/>
        <v>0</v>
      </c>
      <c r="L542" s="181"/>
    </row>
    <row r="543" spans="1:12" ht="19.5" customHeight="1">
      <c r="A543" s="240">
        <f t="shared" si="25"/>
        <v>532</v>
      </c>
      <c r="B543" s="249" t="s">
        <v>592</v>
      </c>
      <c r="C543" s="242" t="s">
        <v>262</v>
      </c>
      <c r="D543" s="243"/>
      <c r="E543" s="243"/>
      <c r="F543" s="243">
        <f t="array" ref="F543">SUM(IF("156"&amp;B543=KHN&amp;MH,SL))</f>
        <v>306</v>
      </c>
      <c r="G543" s="243">
        <f t="array" ref="G543">SUM(IF("156"&amp;B543=KHN&amp;MH,TH))</f>
        <v>4168332</v>
      </c>
      <c r="H543" s="243">
        <f t="array" ref="H543">SUM(IF("156"&amp;B543=KHC&amp;MH,SL))</f>
        <v>306</v>
      </c>
      <c r="I543" s="243">
        <f t="array" ref="I543">SUM(IF("156"&amp;B543=KHC&amp;MH,TH))</f>
        <v>4168332</v>
      </c>
      <c r="J543" s="243">
        <f t="shared" si="26"/>
        <v>0</v>
      </c>
      <c r="K543" s="243">
        <f t="shared" si="27"/>
        <v>0</v>
      </c>
      <c r="L543" s="181"/>
    </row>
    <row r="544" spans="1:12" ht="19.5" customHeight="1">
      <c r="A544" s="240">
        <f t="shared" si="25"/>
        <v>533</v>
      </c>
      <c r="B544" s="249" t="s">
        <v>588</v>
      </c>
      <c r="C544" s="242" t="s">
        <v>262</v>
      </c>
      <c r="D544" s="243"/>
      <c r="E544" s="243"/>
      <c r="F544" s="243">
        <f t="array" ref="F544">SUM(IF("156"&amp;B544=KHN&amp;MH,SL))</f>
        <v>620</v>
      </c>
      <c r="G544" s="243">
        <f t="array" ref="G544">SUM(IF("156"&amp;B544=KHN&amp;MH,TH))</f>
        <v>9694386</v>
      </c>
      <c r="H544" s="243">
        <f t="array" ref="H544">SUM(IF("156"&amp;B544=KHC&amp;MH,SL))</f>
        <v>620</v>
      </c>
      <c r="I544" s="243">
        <f t="array" ref="I544">SUM(IF("156"&amp;B544=KHC&amp;MH,TH))</f>
        <v>9694386</v>
      </c>
      <c r="J544" s="243">
        <f t="shared" si="26"/>
        <v>0</v>
      </c>
      <c r="K544" s="243">
        <f t="shared" si="27"/>
        <v>0</v>
      </c>
      <c r="L544" s="181"/>
    </row>
    <row r="545" spans="1:15" ht="19.5" customHeight="1">
      <c r="A545" s="240">
        <f t="shared" si="25"/>
        <v>534</v>
      </c>
      <c r="B545" s="249" t="s">
        <v>719</v>
      </c>
      <c r="C545" s="242" t="s">
        <v>262</v>
      </c>
      <c r="D545" s="243"/>
      <c r="E545" s="243"/>
      <c r="F545" s="243">
        <f t="array" ref="F545">SUM(IF("156"&amp;B545=KHN&amp;MH,SL))</f>
        <v>36</v>
      </c>
      <c r="G545" s="243">
        <f t="array" ref="G545">SUM(IF("156"&amp;B545=KHN&amp;MH,TH))</f>
        <v>471816</v>
      </c>
      <c r="H545" s="243">
        <f t="array" ref="H545">SUM(IF("156"&amp;B545=KHC&amp;MH,SL))</f>
        <v>36</v>
      </c>
      <c r="I545" s="243">
        <f t="array" ref="I545">SUM(IF("156"&amp;B545=KHC&amp;MH,TH))</f>
        <v>471816</v>
      </c>
      <c r="J545" s="243">
        <f t="shared" si="26"/>
        <v>0</v>
      </c>
      <c r="K545" s="243">
        <f t="shared" si="27"/>
        <v>0</v>
      </c>
      <c r="L545" s="181"/>
    </row>
    <row r="546" spans="1:15" ht="19.5" customHeight="1">
      <c r="A546" s="240">
        <f t="shared" si="25"/>
        <v>535</v>
      </c>
      <c r="B546" s="250" t="s">
        <v>1459</v>
      </c>
      <c r="C546" s="242"/>
      <c r="D546" s="243"/>
      <c r="E546" s="243"/>
      <c r="F546" s="243">
        <f t="array" ref="F546">SUM(IF("156"&amp;B546=KHN&amp;MH,SL))</f>
        <v>50</v>
      </c>
      <c r="G546" s="243">
        <f t="array" ref="G546">SUM(IF("156"&amp;B546=KHN&amp;MH,TH))</f>
        <v>2052400</v>
      </c>
      <c r="H546" s="243">
        <f t="array" ref="H546">SUM(IF("156"&amp;B546=KHC&amp;MH,SL))</f>
        <v>0</v>
      </c>
      <c r="I546" s="243">
        <f t="array" ref="I546">SUM(IF("156"&amp;B546=KHC&amp;MH,TH))</f>
        <v>0</v>
      </c>
      <c r="J546" s="243">
        <f t="shared" si="26"/>
        <v>50</v>
      </c>
      <c r="K546" s="243">
        <f t="shared" si="27"/>
        <v>2052400</v>
      </c>
      <c r="L546" s="181"/>
    </row>
    <row r="547" spans="1:15" ht="19.5" customHeight="1">
      <c r="A547" s="240">
        <f t="shared" si="25"/>
        <v>536</v>
      </c>
      <c r="B547" s="572" t="s">
        <v>1255</v>
      </c>
      <c r="C547" s="242" t="s">
        <v>262</v>
      </c>
      <c r="D547" s="243"/>
      <c r="E547" s="243"/>
      <c r="F547" s="243">
        <f t="array" ref="F547">SUM(IF("156"&amp;B547=KHN&amp;MH,SL))</f>
        <v>185</v>
      </c>
      <c r="G547" s="243">
        <f t="array" ref="G547">SUM(IF("156"&amp;B547=KHN&amp;MH,TH))</f>
        <v>1068074</v>
      </c>
      <c r="H547" s="243">
        <f t="array" ref="H547">SUM(IF("156"&amp;B547=KHC&amp;MH,SL))</f>
        <v>185</v>
      </c>
      <c r="I547" s="243">
        <f t="array" ref="I547">SUM(IF("156"&amp;B547=KHC&amp;MH,TH))</f>
        <v>1068074</v>
      </c>
      <c r="J547" s="243">
        <f t="shared" si="26"/>
        <v>0</v>
      </c>
      <c r="K547" s="243">
        <f t="shared" si="27"/>
        <v>0</v>
      </c>
      <c r="L547" s="181"/>
    </row>
    <row r="548" spans="1:15" ht="19.5" customHeight="1">
      <c r="A548" s="240">
        <f t="shared" si="25"/>
        <v>537</v>
      </c>
      <c r="B548" s="250" t="s">
        <v>1460</v>
      </c>
      <c r="C548" s="242"/>
      <c r="D548" s="243"/>
      <c r="E548" s="243"/>
      <c r="F548" s="243">
        <f t="array" ref="F548">SUM(IF("156"&amp;B548=KHN&amp;MH,SL))</f>
        <v>30</v>
      </c>
      <c r="G548" s="243">
        <f t="array" ref="G548">SUM(IF("156"&amp;B548=KHN&amp;MH,TH))</f>
        <v>1283010</v>
      </c>
      <c r="H548" s="243">
        <f t="array" ref="H548">SUM(IF("156"&amp;B548=KHC&amp;MH,SL))</f>
        <v>0</v>
      </c>
      <c r="I548" s="243">
        <f t="array" ref="I548">SUM(IF("156"&amp;B548=KHC&amp;MH,TH))</f>
        <v>0</v>
      </c>
      <c r="J548" s="243">
        <f t="shared" si="26"/>
        <v>30</v>
      </c>
      <c r="K548" s="243">
        <f t="shared" si="27"/>
        <v>1283010</v>
      </c>
      <c r="L548" s="181"/>
    </row>
    <row r="549" spans="1:15" ht="19.5" customHeight="1">
      <c r="A549" s="240">
        <f t="shared" si="25"/>
        <v>538</v>
      </c>
      <c r="B549" s="250" t="s">
        <v>1332</v>
      </c>
      <c r="C549" s="242"/>
      <c r="D549" s="243"/>
      <c r="E549" s="243"/>
      <c r="F549" s="243">
        <f t="array" ref="F549">SUM(IF("156"&amp;B549=KHN&amp;MH,SL))</f>
        <v>276</v>
      </c>
      <c r="G549" s="243">
        <f t="array" ref="G549">SUM(IF("156"&amp;B549=KHN&amp;MH,TH))</f>
        <v>14023201</v>
      </c>
      <c r="H549" s="243">
        <f t="array" ref="H549">SUM(IF("156"&amp;B549=KHC&amp;MH,SL))</f>
        <v>276</v>
      </c>
      <c r="I549" s="243">
        <f t="array" ref="I549">SUM(IF("156"&amp;B549=KHC&amp;MH,TH))</f>
        <v>14023201</v>
      </c>
      <c r="J549" s="243">
        <f t="shared" si="26"/>
        <v>0</v>
      </c>
      <c r="K549" s="243">
        <f t="shared" si="27"/>
        <v>0</v>
      </c>
      <c r="L549" s="181"/>
    </row>
    <row r="550" spans="1:15" ht="19.5" customHeight="1">
      <c r="A550" s="240">
        <f t="shared" si="25"/>
        <v>539</v>
      </c>
      <c r="B550" s="250" t="s">
        <v>1634</v>
      </c>
      <c r="C550" s="242"/>
      <c r="D550" s="243"/>
      <c r="E550" s="243"/>
      <c r="F550" s="243">
        <f t="array" ref="F550">SUM(IF("156"&amp;B550=KHN&amp;MH,SL))</f>
        <v>2</v>
      </c>
      <c r="G550" s="243">
        <f t="array" ref="G550">SUM(IF("156"&amp;B550=KHN&amp;MH,TH))</f>
        <v>117444</v>
      </c>
      <c r="H550" s="243">
        <f t="array" ref="H550">SUM(IF("156"&amp;B550=KHC&amp;MH,SL))</f>
        <v>0</v>
      </c>
      <c r="I550" s="243">
        <f t="array" ref="I550">SUM(IF("156"&amp;B550=KHC&amp;MH,TH))</f>
        <v>0</v>
      </c>
      <c r="J550" s="243">
        <f t="shared" si="26"/>
        <v>2</v>
      </c>
      <c r="K550" s="243">
        <f t="shared" si="27"/>
        <v>117444</v>
      </c>
      <c r="L550" s="181"/>
    </row>
    <row r="551" spans="1:15" ht="19.5" customHeight="1">
      <c r="A551" s="240">
        <f t="shared" si="25"/>
        <v>540</v>
      </c>
      <c r="B551" s="250" t="s">
        <v>1339</v>
      </c>
      <c r="C551" s="242"/>
      <c r="D551" s="243"/>
      <c r="E551" s="243"/>
      <c r="F551" s="243">
        <f t="array" ref="F551">SUM(IF("156"&amp;B551=KHN&amp;MH,SL))</f>
        <v>136</v>
      </c>
      <c r="G551" s="243">
        <f t="array" ref="G551">SUM(IF("156"&amp;B551=KHN&amp;MH,TH))</f>
        <v>2884016</v>
      </c>
      <c r="H551" s="243">
        <f t="array" ref="H551">SUM(IF("156"&amp;B551=KHC&amp;MH,SL))</f>
        <v>136</v>
      </c>
      <c r="I551" s="243">
        <f t="array" ref="I551">SUM(IF("156"&amp;B551=KHC&amp;MH,TH))</f>
        <v>2884016</v>
      </c>
      <c r="J551" s="243">
        <f t="shared" si="26"/>
        <v>0</v>
      </c>
      <c r="K551" s="243">
        <f t="shared" si="27"/>
        <v>0</v>
      </c>
      <c r="L551" s="181"/>
    </row>
    <row r="552" spans="1:15" ht="19.5" customHeight="1">
      <c r="A552" s="240">
        <f t="shared" si="25"/>
        <v>541</v>
      </c>
      <c r="B552" s="247" t="s">
        <v>1005</v>
      </c>
      <c r="C552" s="242" t="s">
        <v>262</v>
      </c>
      <c r="D552" s="243"/>
      <c r="E552" s="243"/>
      <c r="F552" s="243">
        <f t="array" ref="F552">SUM(IF("156"&amp;B552=KHN&amp;MH,SL))</f>
        <v>2280</v>
      </c>
      <c r="G552" s="243">
        <f t="array" ref="G552">SUM(IF("156"&amp;B552=KHN&amp;MH,TH))</f>
        <v>16186895</v>
      </c>
      <c r="H552" s="243">
        <f t="array" ref="H552">SUM(IF("156"&amp;B552=KHC&amp;MH,SL))</f>
        <v>2280</v>
      </c>
      <c r="I552" s="243">
        <f t="array" ref="I552">SUM(IF("156"&amp;B552=KHC&amp;MH,TH))</f>
        <v>16186895</v>
      </c>
      <c r="J552" s="243">
        <f t="shared" si="26"/>
        <v>0</v>
      </c>
      <c r="K552" s="243">
        <f t="shared" si="27"/>
        <v>0</v>
      </c>
      <c r="L552" s="181"/>
    </row>
    <row r="553" spans="1:15" ht="19.5" customHeight="1">
      <c r="A553" s="240">
        <f t="shared" si="25"/>
        <v>542</v>
      </c>
      <c r="B553" s="249" t="s">
        <v>598</v>
      </c>
      <c r="C553" s="242" t="s">
        <v>262</v>
      </c>
      <c r="D553" s="243"/>
      <c r="E553" s="243"/>
      <c r="F553" s="243">
        <f t="array" ref="F553">SUM(IF("156"&amp;B553=KHN&amp;MH,SL))</f>
        <v>360</v>
      </c>
      <c r="G553" s="243">
        <f t="array" ref="G553">SUM(IF("156"&amp;B553=KHN&amp;MH,TH))</f>
        <v>7130275</v>
      </c>
      <c r="H553" s="243">
        <f t="array" ref="H553">SUM(IF("156"&amp;B553=KHC&amp;MH,SL))</f>
        <v>360</v>
      </c>
      <c r="I553" s="243">
        <f t="array" ref="I553">SUM(IF("156"&amp;B553=KHC&amp;MH,TH))</f>
        <v>7130275</v>
      </c>
      <c r="J553" s="243">
        <f t="shared" si="26"/>
        <v>0</v>
      </c>
      <c r="K553" s="243">
        <f t="shared" si="27"/>
        <v>0</v>
      </c>
      <c r="L553" s="181"/>
    </row>
    <row r="554" spans="1:15" ht="19.5" customHeight="1">
      <c r="A554" s="240">
        <f t="shared" si="25"/>
        <v>543</v>
      </c>
      <c r="B554" s="250" t="s">
        <v>1350</v>
      </c>
      <c r="C554" s="242"/>
      <c r="D554" s="243"/>
      <c r="E554" s="243"/>
      <c r="F554" s="243">
        <f t="array" ref="F554">SUM(IF("156"&amp;B554=KHN&amp;MH,SL))</f>
        <v>30</v>
      </c>
      <c r="G554" s="243">
        <f t="array" ref="G554">SUM(IF("156"&amp;B554=KHN&amp;MH,TH))</f>
        <v>576658</v>
      </c>
      <c r="H554" s="243">
        <f t="array" ref="H554">SUM(IF("156"&amp;B554=KHC&amp;MH,SL))</f>
        <v>30</v>
      </c>
      <c r="I554" s="243">
        <f t="array" ref="I554">SUM(IF("156"&amp;B554=KHC&amp;MH,TH))</f>
        <v>576658</v>
      </c>
      <c r="J554" s="243">
        <f t="shared" si="26"/>
        <v>0</v>
      </c>
      <c r="K554" s="243">
        <f t="shared" si="27"/>
        <v>0</v>
      </c>
      <c r="L554" s="181"/>
    </row>
    <row r="555" spans="1:15" ht="19.5" customHeight="1">
      <c r="A555" s="240">
        <f t="shared" si="25"/>
        <v>544</v>
      </c>
      <c r="B555" s="249" t="s">
        <v>1038</v>
      </c>
      <c r="C555" s="242" t="s">
        <v>262</v>
      </c>
      <c r="D555" s="243"/>
      <c r="E555" s="243"/>
      <c r="F555" s="243">
        <f t="array" ref="F555">SUM(IF("156"&amp;B555=KHN&amp;MH,SL))</f>
        <v>100</v>
      </c>
      <c r="G555" s="243">
        <f t="array" ref="G555">SUM(IF("156"&amp;B555=KHN&amp;MH,TH))</f>
        <v>1822800</v>
      </c>
      <c r="H555" s="243">
        <f t="array" ref="H555">SUM(IF("156"&amp;B555=KHC&amp;MH,SL))</f>
        <v>100</v>
      </c>
      <c r="I555" s="243">
        <f t="array" ref="I555">SUM(IF("156"&amp;B555=KHC&amp;MH,TH))</f>
        <v>1822800</v>
      </c>
      <c r="J555" s="243">
        <f t="shared" si="26"/>
        <v>0</v>
      </c>
      <c r="K555" s="243">
        <f t="shared" si="27"/>
        <v>0</v>
      </c>
      <c r="L555" s="181"/>
    </row>
    <row r="556" spans="1:15" ht="19.5" customHeight="1">
      <c r="A556" s="240">
        <f t="shared" si="25"/>
        <v>545</v>
      </c>
      <c r="B556" s="247" t="s">
        <v>1004</v>
      </c>
      <c r="C556" s="242" t="s">
        <v>262</v>
      </c>
      <c r="D556" s="243"/>
      <c r="E556" s="243"/>
      <c r="F556" s="243">
        <f t="array" ref="F556">SUM(IF("156"&amp;B556=KHN&amp;MH,SL))</f>
        <v>126</v>
      </c>
      <c r="G556" s="243">
        <f t="array" ref="G556">SUM(IF("156"&amp;B556=KHN&amp;MH,TH))</f>
        <v>1720026</v>
      </c>
      <c r="H556" s="243">
        <f t="array" ref="H556">SUM(IF("156"&amp;B556=KHC&amp;MH,SL))</f>
        <v>126</v>
      </c>
      <c r="I556" s="243">
        <f t="array" ref="I556">SUM(IF("156"&amp;B556=KHC&amp;MH,TH))</f>
        <v>1720026</v>
      </c>
      <c r="J556" s="243">
        <f t="shared" si="26"/>
        <v>0</v>
      </c>
      <c r="K556" s="243">
        <f t="shared" si="27"/>
        <v>0</v>
      </c>
      <c r="L556" s="181"/>
    </row>
    <row r="557" spans="1:15" ht="19.5" customHeight="1">
      <c r="A557" s="240">
        <f t="shared" si="25"/>
        <v>546</v>
      </c>
      <c r="B557" s="249" t="s">
        <v>1009</v>
      </c>
      <c r="C557" s="242" t="s">
        <v>262</v>
      </c>
      <c r="D557" s="243"/>
      <c r="E557" s="243"/>
      <c r="F557" s="243">
        <f t="array" ref="F557">SUM(IF("156"&amp;B557=KHN&amp;MH,SL))</f>
        <v>130</v>
      </c>
      <c r="G557" s="243">
        <f t="array" ref="G557">SUM(IF("156"&amp;B557=KHN&amp;MH,TH))</f>
        <v>1774630</v>
      </c>
      <c r="H557" s="243">
        <f t="array" ref="H557">SUM(IF("156"&amp;B557=KHC&amp;MH,SL))</f>
        <v>130</v>
      </c>
      <c r="I557" s="243">
        <f t="array" ref="I557">SUM(IF("156"&amp;B557=KHC&amp;MH,TH))</f>
        <v>1774630</v>
      </c>
      <c r="J557" s="243">
        <f t="shared" si="26"/>
        <v>0</v>
      </c>
      <c r="K557" s="243">
        <f t="shared" si="27"/>
        <v>0</v>
      </c>
      <c r="L557" s="181"/>
    </row>
    <row r="558" spans="1:15" ht="19.5" customHeight="1">
      <c r="A558" s="240">
        <f t="shared" si="25"/>
        <v>547</v>
      </c>
      <c r="B558" s="249" t="s">
        <v>766</v>
      </c>
      <c r="C558" s="242" t="s">
        <v>262</v>
      </c>
      <c r="D558" s="243"/>
      <c r="E558" s="243"/>
      <c r="F558" s="243">
        <f t="array" ref="F558">SUM(IF("156"&amp;B558=KHN&amp;MH,SL))</f>
        <v>605</v>
      </c>
      <c r="G558" s="243">
        <f t="array" ref="G558">SUM(IF("156"&amp;B558=KHN&amp;MH,TH))</f>
        <v>9182993</v>
      </c>
      <c r="H558" s="243">
        <f t="array" ref="H558">SUM(IF("156"&amp;B558=KHC&amp;MH,SL))</f>
        <v>605</v>
      </c>
      <c r="I558" s="243">
        <f t="array" ref="I558">SUM(IF("156"&amp;B558=KHC&amp;MH,TH))</f>
        <v>9182993</v>
      </c>
      <c r="J558" s="243">
        <f t="shared" si="26"/>
        <v>0</v>
      </c>
      <c r="K558" s="243">
        <f t="shared" si="27"/>
        <v>0</v>
      </c>
      <c r="L558" s="181"/>
    </row>
    <row r="559" spans="1:15" ht="19.5" customHeight="1">
      <c r="A559" s="240">
        <f t="shared" si="25"/>
        <v>548</v>
      </c>
      <c r="B559" s="249" t="s">
        <v>564</v>
      </c>
      <c r="C559" s="242" t="s">
        <v>262</v>
      </c>
      <c r="D559" s="243"/>
      <c r="E559" s="243"/>
      <c r="F559" s="243">
        <f t="array" ref="F559">SUM(IF("156"&amp;B559=KHN&amp;MH,SL))</f>
        <v>18</v>
      </c>
      <c r="G559" s="243">
        <f t="array" ref="G559">SUM(IF("156"&amp;B559=KHN&amp;MH,TH))</f>
        <v>370440</v>
      </c>
      <c r="H559" s="243">
        <f t="array" ref="H559">SUM(IF("156"&amp;B559=KHC&amp;MH,SL))</f>
        <v>18</v>
      </c>
      <c r="I559" s="243">
        <f t="array" ref="I559">SUM(IF("156"&amp;B559=KHC&amp;MH,TH))</f>
        <v>370440</v>
      </c>
      <c r="J559" s="243">
        <f t="shared" si="26"/>
        <v>0</v>
      </c>
      <c r="K559" s="243">
        <f t="shared" si="27"/>
        <v>0</v>
      </c>
      <c r="L559" s="181"/>
    </row>
    <row r="560" spans="1:15" ht="19.5" customHeight="1">
      <c r="A560" s="240">
        <f t="shared" si="25"/>
        <v>549</v>
      </c>
      <c r="B560" s="249" t="s">
        <v>505</v>
      </c>
      <c r="C560" s="242" t="s">
        <v>262</v>
      </c>
      <c r="D560" s="243">
        <v>18</v>
      </c>
      <c r="E560" s="243">
        <v>370656</v>
      </c>
      <c r="F560" s="243">
        <f t="array" ref="F560">SUM(IF("156"&amp;B560=KHN&amp;MH,SL))</f>
        <v>11643</v>
      </c>
      <c r="G560" s="243">
        <f t="array" ref="G560">SUM(IF("156"&amp;B560=KHN&amp;MH,TH))</f>
        <v>375023572</v>
      </c>
      <c r="H560" s="243">
        <f t="array" ref="H560">SUM(IF("156"&amp;B560=KHC&amp;MH,SL))</f>
        <v>9861</v>
      </c>
      <c r="I560" s="243">
        <f t="array" ref="I560">SUM(IF("156"&amp;B560=KHC&amp;MH,TH))</f>
        <v>318064228</v>
      </c>
      <c r="J560" s="243">
        <f t="shared" si="26"/>
        <v>1800</v>
      </c>
      <c r="K560" s="243">
        <f t="shared" si="27"/>
        <v>57330000</v>
      </c>
      <c r="L560" s="181">
        <f>K560/J560</f>
        <v>31850</v>
      </c>
      <c r="M560" s="608"/>
      <c r="N560" s="244"/>
      <c r="O560" s="244"/>
    </row>
    <row r="561" spans="1:12" ht="19.5" customHeight="1">
      <c r="A561" s="240">
        <f t="shared" si="25"/>
        <v>550</v>
      </c>
      <c r="B561" s="249" t="s">
        <v>759</v>
      </c>
      <c r="C561" s="242" t="s">
        <v>262</v>
      </c>
      <c r="D561" s="243"/>
      <c r="E561" s="243"/>
      <c r="F561" s="243">
        <f t="array" ref="F561">SUM(IF("156"&amp;B561=KHN&amp;MH,SL))</f>
        <v>270</v>
      </c>
      <c r="G561" s="243">
        <f t="array" ref="G561">SUM(IF("156"&amp;B561=KHN&amp;MH,TH))</f>
        <v>8795414</v>
      </c>
      <c r="H561" s="243">
        <f t="array" ref="H561">SUM(IF("156"&amp;B561=KHC&amp;MH,SL))</f>
        <v>270</v>
      </c>
      <c r="I561" s="243">
        <f t="array" ref="I561">SUM(IF("156"&amp;B561=KHC&amp;MH,TH))</f>
        <v>8795414</v>
      </c>
      <c r="J561" s="243">
        <f t="shared" si="26"/>
        <v>0</v>
      </c>
      <c r="K561" s="243">
        <f t="shared" si="27"/>
        <v>0</v>
      </c>
      <c r="L561" s="181"/>
    </row>
    <row r="562" spans="1:12" ht="19.5" customHeight="1">
      <c r="A562" s="240">
        <f t="shared" si="25"/>
        <v>551</v>
      </c>
      <c r="B562" s="249" t="s">
        <v>591</v>
      </c>
      <c r="C562" s="242" t="s">
        <v>262</v>
      </c>
      <c r="D562" s="243"/>
      <c r="E562" s="243"/>
      <c r="F562" s="243">
        <f t="array" ref="F562">SUM(IF("156"&amp;B562=KHN&amp;MH,SL))</f>
        <v>309</v>
      </c>
      <c r="G562" s="243">
        <f t="array" ref="G562">SUM(IF("156"&amp;B562=KHN&amp;MH,TH))</f>
        <v>4320030</v>
      </c>
      <c r="H562" s="243">
        <f t="array" ref="H562">SUM(IF("156"&amp;B562=KHC&amp;MH,SL))</f>
        <v>309</v>
      </c>
      <c r="I562" s="243">
        <f t="array" ref="I562">SUM(IF("156"&amp;B562=KHC&amp;MH,TH))</f>
        <v>4320030</v>
      </c>
      <c r="J562" s="243">
        <f t="shared" si="26"/>
        <v>0</v>
      </c>
      <c r="K562" s="243">
        <f t="shared" si="27"/>
        <v>0</v>
      </c>
      <c r="L562" s="181"/>
    </row>
    <row r="563" spans="1:12" ht="19.5" customHeight="1">
      <c r="A563" s="240">
        <f t="shared" si="25"/>
        <v>552</v>
      </c>
      <c r="B563" s="250" t="s">
        <v>1351</v>
      </c>
      <c r="C563" s="242"/>
      <c r="D563" s="243"/>
      <c r="E563" s="243"/>
      <c r="F563" s="243">
        <f t="array" ref="F563">SUM(IF("156"&amp;B563=KHN&amp;MH,SL))</f>
        <v>30</v>
      </c>
      <c r="G563" s="243">
        <f t="array" ref="G563">SUM(IF("156"&amp;B563=KHN&amp;MH,TH))</f>
        <v>615048</v>
      </c>
      <c r="H563" s="243">
        <f t="array" ref="H563">SUM(IF("156"&amp;B563=KHC&amp;MH,SL))</f>
        <v>30</v>
      </c>
      <c r="I563" s="243">
        <f t="array" ref="I563">SUM(IF("156"&amp;B563=KHC&amp;MH,TH))</f>
        <v>615048</v>
      </c>
      <c r="J563" s="243">
        <f t="shared" si="26"/>
        <v>0</v>
      </c>
      <c r="K563" s="243">
        <f t="shared" si="27"/>
        <v>0</v>
      </c>
      <c r="L563" s="181"/>
    </row>
    <row r="564" spans="1:12" ht="19.5" customHeight="1">
      <c r="A564" s="240">
        <f t="shared" si="25"/>
        <v>553</v>
      </c>
      <c r="B564" s="250" t="s">
        <v>1633</v>
      </c>
      <c r="C564" s="242"/>
      <c r="D564" s="243"/>
      <c r="E564" s="243"/>
      <c r="F564" s="243">
        <f t="array" ref="F564">SUM(IF("156"&amp;B564=KHN&amp;MH,SL))</f>
        <v>2</v>
      </c>
      <c r="G564" s="243">
        <f t="array" ref="G564">SUM(IF("156"&amp;B564=KHN&amp;MH,TH))</f>
        <v>117444</v>
      </c>
      <c r="H564" s="243">
        <f t="array" ref="H564">SUM(IF("156"&amp;B564=KHC&amp;MH,SL))</f>
        <v>0</v>
      </c>
      <c r="I564" s="243">
        <f t="array" ref="I564">SUM(IF("156"&amp;B564=KHC&amp;MH,TH))</f>
        <v>0</v>
      </c>
      <c r="J564" s="243">
        <f t="shared" si="26"/>
        <v>2</v>
      </c>
      <c r="K564" s="243">
        <f t="shared" si="27"/>
        <v>117444</v>
      </c>
      <c r="L564" s="181"/>
    </row>
    <row r="565" spans="1:12" ht="19.5" customHeight="1">
      <c r="A565" s="240">
        <f t="shared" si="25"/>
        <v>554</v>
      </c>
      <c r="B565" s="249" t="s">
        <v>1406</v>
      </c>
      <c r="C565" s="242"/>
      <c r="D565" s="243"/>
      <c r="E565" s="243"/>
      <c r="F565" s="243">
        <f t="array" ref="F565">SUM(IF("156"&amp;B565=KHN&amp;MH,SL))</f>
        <v>720</v>
      </c>
      <c r="G565" s="243">
        <f t="array" ref="G565">SUM(IF("156"&amp;B565=KHN&amp;MH,TH))</f>
        <v>4727520</v>
      </c>
      <c r="H565" s="243">
        <f t="array" ref="H565">SUM(IF("156"&amp;B565=KHC&amp;MH,SL))</f>
        <v>0</v>
      </c>
      <c r="I565" s="243">
        <f t="array" ref="I565">SUM(IF("156"&amp;B565=KHC&amp;MH,TH))</f>
        <v>0</v>
      </c>
      <c r="J565" s="243">
        <f t="shared" si="26"/>
        <v>720</v>
      </c>
      <c r="K565" s="243">
        <f t="shared" si="27"/>
        <v>4727520</v>
      </c>
      <c r="L565" s="181"/>
    </row>
    <row r="566" spans="1:12" ht="19.5" customHeight="1">
      <c r="A566" s="240">
        <f t="shared" si="25"/>
        <v>555</v>
      </c>
      <c r="B566" s="249" t="s">
        <v>1407</v>
      </c>
      <c r="C566" s="242"/>
      <c r="D566" s="243"/>
      <c r="E566" s="243"/>
      <c r="F566" s="243">
        <f t="array" ref="F566">SUM(IF("156"&amp;B566=KHN&amp;MH,SL))</f>
        <v>720</v>
      </c>
      <c r="G566" s="243">
        <f t="array" ref="G566">SUM(IF("156"&amp;B566=KHN&amp;MH,TH))</f>
        <v>5715360</v>
      </c>
      <c r="H566" s="243">
        <f t="array" ref="H566">SUM(IF("156"&amp;B566=KHC&amp;MH,SL))</f>
        <v>0</v>
      </c>
      <c r="I566" s="243">
        <f t="array" ref="I566">SUM(IF("156"&amp;B566=KHC&amp;MH,TH))</f>
        <v>0</v>
      </c>
      <c r="J566" s="243">
        <f t="shared" si="26"/>
        <v>720</v>
      </c>
      <c r="K566" s="243">
        <f t="shared" si="27"/>
        <v>5715360</v>
      </c>
      <c r="L566" s="181"/>
    </row>
    <row r="567" spans="1:12" ht="19.5" customHeight="1">
      <c r="A567" s="240">
        <f t="shared" si="25"/>
        <v>556</v>
      </c>
      <c r="B567" s="250" t="s">
        <v>1632</v>
      </c>
      <c r="C567" s="242"/>
      <c r="D567" s="243"/>
      <c r="E567" s="243"/>
      <c r="F567" s="243">
        <f t="array" ref="F567">SUM(IF("156"&amp;B567=KHN&amp;MH,SL))</f>
        <v>2</v>
      </c>
      <c r="G567" s="243">
        <f t="array" ref="G567">SUM(IF("156"&amp;B567=KHN&amp;MH,TH))</f>
        <v>117444</v>
      </c>
      <c r="H567" s="243">
        <f t="array" ref="H567">SUM(IF("156"&amp;B567=KHC&amp;MH,SL))</f>
        <v>0</v>
      </c>
      <c r="I567" s="243">
        <f t="array" ref="I567">SUM(IF("156"&amp;B567=KHC&amp;MH,TH))</f>
        <v>0</v>
      </c>
      <c r="J567" s="243">
        <f t="shared" si="26"/>
        <v>2</v>
      </c>
      <c r="K567" s="243">
        <f t="shared" si="27"/>
        <v>117444</v>
      </c>
      <c r="L567" s="181"/>
    </row>
    <row r="568" spans="1:12" ht="19.5" customHeight="1">
      <c r="A568" s="240">
        <f t="shared" si="25"/>
        <v>557</v>
      </c>
      <c r="B568" s="249" t="s">
        <v>596</v>
      </c>
      <c r="C568" s="242" t="s">
        <v>262</v>
      </c>
      <c r="D568" s="243"/>
      <c r="E568" s="243"/>
      <c r="F568" s="243">
        <f t="array" ref="F568">SUM(IF("156"&amp;B568=KHN&amp;MH,SL))</f>
        <v>250</v>
      </c>
      <c r="G568" s="243">
        <f t="array" ref="G568">SUM(IF("156"&amp;B568=KHN&amp;MH,TH))</f>
        <v>1966141</v>
      </c>
      <c r="H568" s="243">
        <f t="array" ref="H568">SUM(IF("156"&amp;B568=KHC&amp;MH,SL))</f>
        <v>250</v>
      </c>
      <c r="I568" s="243">
        <f t="array" ref="I568">SUM(IF("156"&amp;B568=KHC&amp;MH,TH))</f>
        <v>1966141</v>
      </c>
      <c r="J568" s="243">
        <f t="shared" si="26"/>
        <v>0</v>
      </c>
      <c r="K568" s="243">
        <f t="shared" si="27"/>
        <v>0</v>
      </c>
      <c r="L568" s="181"/>
    </row>
    <row r="569" spans="1:12" ht="19.5" customHeight="1">
      <c r="A569" s="240">
        <f t="shared" si="25"/>
        <v>558</v>
      </c>
      <c r="B569" s="249" t="s">
        <v>497</v>
      </c>
      <c r="C569" s="242" t="s">
        <v>262</v>
      </c>
      <c r="D569" s="243"/>
      <c r="E569" s="243"/>
      <c r="F569" s="243">
        <f t="array" ref="F569">SUM(IF("156"&amp;B569=KHN&amp;MH,SL))</f>
        <v>75</v>
      </c>
      <c r="G569" s="243">
        <f t="array" ref="G569">SUM(IF("156"&amp;B569=KHN&amp;MH,TH))</f>
        <v>2679350</v>
      </c>
      <c r="H569" s="243">
        <f t="array" ref="H569">SUM(IF("156"&amp;B569=KHC&amp;MH,SL))</f>
        <v>75</v>
      </c>
      <c r="I569" s="243">
        <f t="array" ref="I569">SUM(IF("156"&amp;B569=KHC&amp;MH,TH))</f>
        <v>2679350</v>
      </c>
      <c r="J569" s="243">
        <f t="shared" si="26"/>
        <v>0</v>
      </c>
      <c r="K569" s="243">
        <f t="shared" si="27"/>
        <v>0</v>
      </c>
      <c r="L569" s="181"/>
    </row>
    <row r="570" spans="1:12" ht="19.5" customHeight="1">
      <c r="A570" s="240">
        <f t="shared" si="25"/>
        <v>559</v>
      </c>
      <c r="B570" s="249" t="s">
        <v>615</v>
      </c>
      <c r="C570" s="242" t="s">
        <v>262</v>
      </c>
      <c r="D570" s="243"/>
      <c r="E570" s="243"/>
      <c r="F570" s="243">
        <f t="array" ref="F570">SUM(IF("156"&amp;B570=KHN&amp;MH,SL))</f>
        <v>90</v>
      </c>
      <c r="G570" s="243">
        <f t="array" ref="G570">SUM(IF("156"&amp;B570=KHN&amp;MH,TH))</f>
        <v>3208220</v>
      </c>
      <c r="H570" s="243">
        <f t="array" ref="H570">SUM(IF("156"&amp;B570=KHC&amp;MH,SL))</f>
        <v>90</v>
      </c>
      <c r="I570" s="243">
        <f t="array" ref="I570">SUM(IF("156"&amp;B570=KHC&amp;MH,TH))</f>
        <v>3208220</v>
      </c>
      <c r="J570" s="243">
        <f t="shared" si="26"/>
        <v>0</v>
      </c>
      <c r="K570" s="243">
        <f t="shared" si="27"/>
        <v>0</v>
      </c>
      <c r="L570" s="181"/>
    </row>
    <row r="571" spans="1:12" ht="19.5" customHeight="1">
      <c r="A571" s="240">
        <f t="shared" si="25"/>
        <v>560</v>
      </c>
      <c r="B571" s="250" t="s">
        <v>1456</v>
      </c>
      <c r="C571" s="242"/>
      <c r="D571" s="243"/>
      <c r="E571" s="243"/>
      <c r="F571" s="243">
        <f t="array" ref="F571">SUM(IF("156"&amp;B571=KHN&amp;MH,SL))</f>
        <v>12</v>
      </c>
      <c r="G571" s="243">
        <f t="array" ref="G571">SUM(IF("156"&amp;B571=KHN&amp;MH,TH))</f>
        <v>792660</v>
      </c>
      <c r="H571" s="243">
        <f t="array" ref="H571">SUM(IF("156"&amp;B571=KHC&amp;MH,SL))</f>
        <v>0</v>
      </c>
      <c r="I571" s="243">
        <f t="array" ref="I571">SUM(IF("156"&amp;B571=KHC&amp;MH,TH))</f>
        <v>0</v>
      </c>
      <c r="J571" s="243">
        <f t="shared" si="26"/>
        <v>12</v>
      </c>
      <c r="K571" s="243">
        <f t="shared" si="27"/>
        <v>792660</v>
      </c>
      <c r="L571" s="181"/>
    </row>
    <row r="572" spans="1:12" ht="19.5" customHeight="1">
      <c r="A572" s="240">
        <f t="shared" si="25"/>
        <v>561</v>
      </c>
      <c r="B572" s="247" t="s">
        <v>1014</v>
      </c>
      <c r="C572" s="242" t="s">
        <v>262</v>
      </c>
      <c r="D572" s="243"/>
      <c r="E572" s="243"/>
      <c r="F572" s="243">
        <f t="array" ref="F572">SUM(IF("156"&amp;B572=KHN&amp;MH,SL))</f>
        <v>20</v>
      </c>
      <c r="G572" s="243">
        <f t="array" ref="G572">SUM(IF("156"&amp;B572=KHN&amp;MH,TH))</f>
        <v>866180</v>
      </c>
      <c r="H572" s="243">
        <f t="array" ref="H572">SUM(IF("156"&amp;B572=KHC&amp;MH,SL))</f>
        <v>20</v>
      </c>
      <c r="I572" s="243">
        <f t="array" ref="I572">SUM(IF("156"&amp;B572=KHC&amp;MH,TH))</f>
        <v>866180</v>
      </c>
      <c r="J572" s="243">
        <f t="shared" si="26"/>
        <v>0</v>
      </c>
      <c r="K572" s="243">
        <f t="shared" si="27"/>
        <v>0</v>
      </c>
      <c r="L572" s="181"/>
    </row>
    <row r="573" spans="1:12" ht="19.5" customHeight="1">
      <c r="A573" s="240">
        <f t="shared" si="25"/>
        <v>562</v>
      </c>
      <c r="B573" s="249" t="s">
        <v>658</v>
      </c>
      <c r="C573" s="242" t="s">
        <v>262</v>
      </c>
      <c r="D573" s="243"/>
      <c r="E573" s="243"/>
      <c r="F573" s="243">
        <f t="array" ref="F573">SUM(IF("156"&amp;B573=KHN&amp;MH,SL))</f>
        <v>48</v>
      </c>
      <c r="G573" s="243">
        <f t="array" ref="G573">SUM(IF("156"&amp;B573=KHN&amp;MH,TH))</f>
        <v>3259518</v>
      </c>
      <c r="H573" s="243">
        <f t="array" ref="H573">SUM(IF("156"&amp;B573=KHC&amp;MH,SL))</f>
        <v>48</v>
      </c>
      <c r="I573" s="243">
        <f t="array" ref="I573">SUM(IF("156"&amp;B573=KHC&amp;MH,TH))</f>
        <v>3259518</v>
      </c>
      <c r="J573" s="243">
        <f t="shared" si="26"/>
        <v>0</v>
      </c>
      <c r="K573" s="243">
        <f t="shared" si="27"/>
        <v>0</v>
      </c>
      <c r="L573" s="181"/>
    </row>
    <row r="574" spans="1:12" ht="19.5" customHeight="1">
      <c r="A574" s="240">
        <f t="shared" si="25"/>
        <v>563</v>
      </c>
      <c r="B574" s="249" t="s">
        <v>1007</v>
      </c>
      <c r="C574" s="242" t="s">
        <v>262</v>
      </c>
      <c r="D574" s="243"/>
      <c r="E574" s="243"/>
      <c r="F574" s="243">
        <f t="array" ref="F574">SUM(IF("156"&amp;B574=KHN&amp;MH,SL))</f>
        <v>5040</v>
      </c>
      <c r="G574" s="243">
        <f t="array" ref="G574">SUM(IF("156"&amp;B574=KHN&amp;MH,TH))</f>
        <v>37020291</v>
      </c>
      <c r="H574" s="243">
        <f t="array" ref="H574">SUM(IF("156"&amp;B574=KHC&amp;MH,SL))</f>
        <v>5040</v>
      </c>
      <c r="I574" s="243">
        <f t="array" ref="I574">SUM(IF("156"&amp;B574=KHC&amp;MH,TH))</f>
        <v>37020291</v>
      </c>
      <c r="J574" s="243">
        <f t="shared" si="26"/>
        <v>0</v>
      </c>
      <c r="K574" s="243">
        <f t="shared" si="27"/>
        <v>0</v>
      </c>
      <c r="L574" s="181"/>
    </row>
    <row r="575" spans="1:12" ht="19.5" customHeight="1">
      <c r="A575" s="240">
        <f t="shared" si="25"/>
        <v>564</v>
      </c>
      <c r="B575" s="250" t="s">
        <v>1631</v>
      </c>
      <c r="C575" s="242"/>
      <c r="D575" s="243"/>
      <c r="E575" s="243"/>
      <c r="F575" s="243">
        <f t="array" ref="F575">SUM(IF("156"&amp;B575=KHN&amp;MH,SL))</f>
        <v>2</v>
      </c>
      <c r="G575" s="243">
        <f t="array" ref="G575">SUM(IF("156"&amp;B575=KHN&amp;MH,TH))</f>
        <v>117444</v>
      </c>
      <c r="H575" s="243">
        <f t="array" ref="H575">SUM(IF("156"&amp;B575=KHC&amp;MH,SL))</f>
        <v>0</v>
      </c>
      <c r="I575" s="243">
        <f t="array" ref="I575">SUM(IF("156"&amp;B575=KHC&amp;MH,TH))</f>
        <v>0</v>
      </c>
      <c r="J575" s="243">
        <f t="shared" si="26"/>
        <v>2</v>
      </c>
      <c r="K575" s="243">
        <f t="shared" si="27"/>
        <v>117444</v>
      </c>
      <c r="L575" s="181"/>
    </row>
    <row r="576" spans="1:12" ht="19.5" customHeight="1">
      <c r="A576" s="240">
        <f t="shared" si="25"/>
        <v>565</v>
      </c>
      <c r="B576" s="249" t="s">
        <v>1034</v>
      </c>
      <c r="C576" s="242" t="s">
        <v>262</v>
      </c>
      <c r="D576" s="243"/>
      <c r="E576" s="243"/>
      <c r="F576" s="243">
        <f t="array" ref="F576">SUM(IF("156"&amp;B576=KHN&amp;MH,SL))</f>
        <v>650</v>
      </c>
      <c r="G576" s="243">
        <f t="array" ref="G576">SUM(IF("156"&amp;B576=KHN&amp;MH,TH))</f>
        <v>14099236</v>
      </c>
      <c r="H576" s="243">
        <f t="array" ref="H576">SUM(IF("156"&amp;B576=KHC&amp;MH,SL))</f>
        <v>650</v>
      </c>
      <c r="I576" s="243">
        <f t="array" ref="I576">SUM(IF("156"&amp;B576=KHC&amp;MH,TH))</f>
        <v>14099236</v>
      </c>
      <c r="J576" s="243">
        <f t="shared" si="26"/>
        <v>0</v>
      </c>
      <c r="K576" s="243">
        <f t="shared" si="27"/>
        <v>0</v>
      </c>
      <c r="L576" s="181"/>
    </row>
    <row r="577" spans="1:12" ht="19.5" customHeight="1">
      <c r="A577" s="240">
        <f t="shared" si="25"/>
        <v>566</v>
      </c>
      <c r="B577" s="249" t="s">
        <v>1033</v>
      </c>
      <c r="C577" s="242" t="s">
        <v>262</v>
      </c>
      <c r="D577" s="243"/>
      <c r="E577" s="243"/>
      <c r="F577" s="243">
        <f t="array" ref="F577">SUM(IF("156"&amp;B577=KHN&amp;MH,SL))</f>
        <v>650</v>
      </c>
      <c r="G577" s="243">
        <f t="array" ref="G577">SUM(IF("156"&amp;B577=KHN&amp;MH,TH))</f>
        <v>16304976</v>
      </c>
      <c r="H577" s="243">
        <f t="array" ref="H577">SUM(IF("156"&amp;B577=KHC&amp;MH,SL))</f>
        <v>650</v>
      </c>
      <c r="I577" s="243">
        <f t="array" ref="I577">SUM(IF("156"&amp;B577=KHC&amp;MH,TH))</f>
        <v>16304976</v>
      </c>
      <c r="J577" s="243">
        <f t="shared" si="26"/>
        <v>0</v>
      </c>
      <c r="K577" s="243">
        <f t="shared" si="27"/>
        <v>0</v>
      </c>
      <c r="L577" s="181"/>
    </row>
    <row r="578" spans="1:12" ht="19.5" customHeight="1">
      <c r="A578" s="240">
        <f t="shared" si="25"/>
        <v>567</v>
      </c>
      <c r="B578" s="249" t="s">
        <v>1053</v>
      </c>
      <c r="C578" s="242" t="s">
        <v>262</v>
      </c>
      <c r="D578" s="243"/>
      <c r="E578" s="243"/>
      <c r="F578" s="243">
        <f t="array" ref="F578">SUM(IF("156"&amp;B578=KHN&amp;MH,SL))</f>
        <v>24</v>
      </c>
      <c r="G578" s="243">
        <f t="array" ref="G578">SUM(IF("156"&amp;B578=KHN&amp;MH,TH))</f>
        <v>1173840</v>
      </c>
      <c r="H578" s="243">
        <f t="array" ref="H578">SUM(IF("156"&amp;B578=KHC&amp;MH,SL))</f>
        <v>24</v>
      </c>
      <c r="I578" s="243">
        <f t="array" ref="I578">SUM(IF("156"&amp;B578=KHC&amp;MH,TH))</f>
        <v>1173840</v>
      </c>
      <c r="J578" s="243">
        <f t="shared" si="26"/>
        <v>0</v>
      </c>
      <c r="K578" s="243">
        <f t="shared" si="27"/>
        <v>0</v>
      </c>
      <c r="L578" s="181"/>
    </row>
    <row r="579" spans="1:12" ht="19.5" customHeight="1">
      <c r="A579" s="240">
        <f t="shared" si="25"/>
        <v>568</v>
      </c>
      <c r="B579" s="249" t="s">
        <v>691</v>
      </c>
      <c r="C579" s="242" t="s">
        <v>262</v>
      </c>
      <c r="D579" s="243"/>
      <c r="E579" s="243"/>
      <c r="F579" s="243">
        <f t="array" ref="F579">SUM(IF("156"&amp;B579=KHN&amp;MH,SL))</f>
        <v>176</v>
      </c>
      <c r="G579" s="243">
        <f t="array" ref="G579">SUM(IF("156"&amp;B579=KHN&amp;MH,TH))</f>
        <v>9248126</v>
      </c>
      <c r="H579" s="243">
        <f t="array" ref="H579">SUM(IF("156"&amp;B579=KHC&amp;MH,SL))</f>
        <v>116</v>
      </c>
      <c r="I579" s="243">
        <f t="array" ref="I579">SUM(IF("156"&amp;B579=KHC&amp;MH,TH))</f>
        <v>5977046</v>
      </c>
      <c r="J579" s="243">
        <f t="shared" si="26"/>
        <v>60</v>
      </c>
      <c r="K579" s="243">
        <f t="shared" si="27"/>
        <v>3271080</v>
      </c>
      <c r="L579" s="181"/>
    </row>
    <row r="580" spans="1:12" ht="19.5" customHeight="1">
      <c r="A580" s="240">
        <f t="shared" si="25"/>
        <v>569</v>
      </c>
      <c r="B580" s="249" t="s">
        <v>1030</v>
      </c>
      <c r="C580" s="242" t="s">
        <v>262</v>
      </c>
      <c r="D580" s="243"/>
      <c r="E580" s="243"/>
      <c r="F580" s="243">
        <f t="array" ref="F580">SUM(IF("156"&amp;B580=KHN&amp;MH,SL))</f>
        <v>50</v>
      </c>
      <c r="G580" s="243">
        <f t="array" ref="G580">SUM(IF("156"&amp;B580=KHN&amp;MH,TH))</f>
        <v>1164250</v>
      </c>
      <c r="H580" s="243">
        <f t="array" ref="H580">SUM(IF("156"&amp;B580=KHC&amp;MH,SL))</f>
        <v>50</v>
      </c>
      <c r="I580" s="243">
        <f t="array" ref="I580">SUM(IF("156"&amp;B580=KHC&amp;MH,TH))</f>
        <v>1164250</v>
      </c>
      <c r="J580" s="243">
        <f t="shared" si="26"/>
        <v>0</v>
      </c>
      <c r="K580" s="243">
        <f t="shared" si="27"/>
        <v>0</v>
      </c>
      <c r="L580" s="181"/>
    </row>
    <row r="581" spans="1:12" ht="19.5" customHeight="1">
      <c r="A581" s="240">
        <f t="shared" si="25"/>
        <v>570</v>
      </c>
      <c r="B581" s="250" t="s">
        <v>1240</v>
      </c>
      <c r="C581" s="242" t="s">
        <v>262</v>
      </c>
      <c r="D581" s="243"/>
      <c r="E581" s="243"/>
      <c r="F581" s="243">
        <f t="array" ref="F581">SUM(IF("156"&amp;B581=KHN&amp;MH,SL))</f>
        <v>36</v>
      </c>
      <c r="G581" s="243">
        <f t="array" ref="G581">SUM(IF("156"&amp;B581=KHN&amp;MH,TH))</f>
        <v>2282284</v>
      </c>
      <c r="H581" s="243">
        <f t="array" ref="H581">SUM(IF("156"&amp;B581=KHC&amp;MH,SL))</f>
        <v>20</v>
      </c>
      <c r="I581" s="243">
        <f t="array" ref="I581">SUM(IF("156"&amp;B581=KHC&amp;MH,TH))</f>
        <v>1258700</v>
      </c>
      <c r="J581" s="243">
        <f t="shared" si="26"/>
        <v>16</v>
      </c>
      <c r="K581" s="243">
        <f t="shared" si="27"/>
        <v>1023584</v>
      </c>
      <c r="L581" s="181"/>
    </row>
    <row r="582" spans="1:12" ht="19.5" customHeight="1">
      <c r="A582" s="240">
        <f t="shared" si="25"/>
        <v>571</v>
      </c>
      <c r="B582" s="249" t="s">
        <v>1028</v>
      </c>
      <c r="C582" s="242" t="s">
        <v>262</v>
      </c>
      <c r="D582" s="243"/>
      <c r="E582" s="243"/>
      <c r="F582" s="243">
        <f t="array" ref="F582">SUM(IF("156"&amp;B582=KHN&amp;MH,SL))</f>
        <v>15</v>
      </c>
      <c r="G582" s="243">
        <f t="array" ref="G582">SUM(IF("156"&amp;B582=KHN&amp;MH,TH))</f>
        <v>1338030</v>
      </c>
      <c r="H582" s="243">
        <f t="array" ref="H582">SUM(IF("156"&amp;B582=KHC&amp;MH,SL))</f>
        <v>15</v>
      </c>
      <c r="I582" s="243">
        <f t="array" ref="I582">SUM(IF("156"&amp;B582=KHC&amp;MH,TH))</f>
        <v>1338030</v>
      </c>
      <c r="J582" s="243">
        <f t="shared" si="26"/>
        <v>0</v>
      </c>
      <c r="K582" s="243">
        <f t="shared" si="27"/>
        <v>0</v>
      </c>
      <c r="L582" s="181"/>
    </row>
    <row r="583" spans="1:12" ht="19.5" customHeight="1">
      <c r="A583" s="240">
        <f t="shared" si="25"/>
        <v>572</v>
      </c>
      <c r="B583" s="249" t="s">
        <v>617</v>
      </c>
      <c r="C583" s="242" t="s">
        <v>262</v>
      </c>
      <c r="D583" s="243"/>
      <c r="E583" s="243"/>
      <c r="F583" s="243">
        <f t="array" ref="F583">SUM(IF("156"&amp;B583=KHN&amp;MH,SL))</f>
        <v>15</v>
      </c>
      <c r="G583" s="243">
        <f t="array" ref="G583">SUM(IF("156"&amp;B583=KHN&amp;MH,TH))</f>
        <v>840450</v>
      </c>
      <c r="H583" s="243">
        <f t="array" ref="H583">SUM(IF("156"&amp;B583=KHC&amp;MH,SL))</f>
        <v>15</v>
      </c>
      <c r="I583" s="243">
        <f t="array" ref="I583">SUM(IF("156"&amp;B583=KHC&amp;MH,TH))</f>
        <v>840450</v>
      </c>
      <c r="J583" s="243">
        <f t="shared" si="26"/>
        <v>0</v>
      </c>
      <c r="K583" s="243">
        <f t="shared" si="27"/>
        <v>0</v>
      </c>
      <c r="L583" s="181"/>
    </row>
    <row r="584" spans="1:12" ht="19.5" customHeight="1">
      <c r="A584" s="240">
        <f t="shared" si="25"/>
        <v>573</v>
      </c>
      <c r="B584" s="249" t="s">
        <v>734</v>
      </c>
      <c r="C584" s="242" t="s">
        <v>262</v>
      </c>
      <c r="D584" s="243"/>
      <c r="E584" s="243"/>
      <c r="F584" s="243">
        <f t="array" ref="F584">SUM(IF("156"&amp;B584=KHN&amp;MH,SL))</f>
        <v>49</v>
      </c>
      <c r="G584" s="243">
        <f t="array" ref="G584">SUM(IF("156"&amp;B584=KHN&amp;MH,TH))</f>
        <v>4583577</v>
      </c>
      <c r="H584" s="243">
        <f t="array" ref="H584">SUM(IF("156"&amp;B584=KHC&amp;MH,SL))</f>
        <v>49</v>
      </c>
      <c r="I584" s="243">
        <f t="array" ref="I584">SUM(IF("156"&amp;B584=KHC&amp;MH,TH))</f>
        <v>4583577</v>
      </c>
      <c r="J584" s="243">
        <f t="shared" si="26"/>
        <v>0</v>
      </c>
      <c r="K584" s="243">
        <f t="shared" si="27"/>
        <v>0</v>
      </c>
      <c r="L584" s="181"/>
    </row>
    <row r="585" spans="1:12" ht="19.5" customHeight="1">
      <c r="A585" s="240">
        <f t="shared" si="25"/>
        <v>574</v>
      </c>
      <c r="B585" s="250" t="s">
        <v>1670</v>
      </c>
      <c r="C585" s="242"/>
      <c r="D585" s="243"/>
      <c r="E585" s="243"/>
      <c r="F585" s="243">
        <f t="array" ref="F585">SUM(IF("156"&amp;B585=KHN&amp;MH,SL))</f>
        <v>12</v>
      </c>
      <c r="G585" s="243">
        <f t="array" ref="G585">SUM(IF("156"&amp;B585=KHN&amp;MH,TH))</f>
        <v>1091784</v>
      </c>
      <c r="H585" s="243">
        <f t="array" ref="H585">SUM(IF("156"&amp;B585=KHC&amp;MH,SL))</f>
        <v>0</v>
      </c>
      <c r="I585" s="243">
        <f t="array" ref="I585">SUM(IF("156"&amp;B585=KHC&amp;MH,TH))</f>
        <v>0</v>
      </c>
      <c r="J585" s="243">
        <f t="shared" si="26"/>
        <v>12</v>
      </c>
      <c r="K585" s="243">
        <f t="shared" si="27"/>
        <v>1091784</v>
      </c>
      <c r="L585" s="181"/>
    </row>
    <row r="586" spans="1:12" ht="19.5" customHeight="1">
      <c r="A586" s="240">
        <f t="shared" si="25"/>
        <v>575</v>
      </c>
      <c r="B586" s="250" t="s">
        <v>1648</v>
      </c>
      <c r="C586" s="555"/>
      <c r="D586" s="243"/>
      <c r="E586" s="243"/>
      <c r="F586" s="243">
        <f t="array" ref="F586">SUM(IF("156"&amp;B586=KHN&amp;MH,SL))</f>
        <v>6</v>
      </c>
      <c r="G586" s="243">
        <f t="array" ref="G586">SUM(IF("156"&amp;B586=KHN&amp;MH,TH))</f>
        <v>586332</v>
      </c>
      <c r="H586" s="243">
        <f t="array" ref="H586">SUM(IF("156"&amp;B586=KHC&amp;MH,SL))</f>
        <v>0</v>
      </c>
      <c r="I586" s="243">
        <f t="array" ref="I586">SUM(IF("156"&amp;B586=KHC&amp;MH,TH))</f>
        <v>0</v>
      </c>
      <c r="J586" s="243">
        <f t="shared" si="26"/>
        <v>6</v>
      </c>
      <c r="K586" s="243">
        <f t="shared" si="27"/>
        <v>586332</v>
      </c>
      <c r="L586" s="181"/>
    </row>
    <row r="587" spans="1:12" ht="19.5" customHeight="1">
      <c r="A587" s="240">
        <f t="shared" si="25"/>
        <v>576</v>
      </c>
      <c r="B587" s="249" t="s">
        <v>624</v>
      </c>
      <c r="C587" s="242" t="s">
        <v>262</v>
      </c>
      <c r="D587" s="243"/>
      <c r="E587" s="243"/>
      <c r="F587" s="243">
        <f t="array" ref="F587">SUM(IF("156"&amp;B587=KHN&amp;MH,SL))</f>
        <v>68</v>
      </c>
      <c r="G587" s="243">
        <f t="array" ref="G587">SUM(IF("156"&amp;B587=KHN&amp;MH,TH))</f>
        <v>2374600</v>
      </c>
      <c r="H587" s="243">
        <f t="array" ref="H587">SUM(IF("156"&amp;B587=KHC&amp;MH,SL))</f>
        <v>50</v>
      </c>
      <c r="I587" s="243">
        <f t="array" ref="I587">SUM(IF("156"&amp;B587=KHC&amp;MH,TH))</f>
        <v>1737490</v>
      </c>
      <c r="J587" s="243">
        <f t="shared" si="26"/>
        <v>18</v>
      </c>
      <c r="K587" s="243">
        <f t="shared" si="27"/>
        <v>637110</v>
      </c>
      <c r="L587" s="181"/>
    </row>
    <row r="588" spans="1:12" ht="19.5" customHeight="1">
      <c r="A588" s="240">
        <f t="shared" ref="A588:A651" si="28">IF(B588&lt;&gt;"",ROW()-11,"")</f>
        <v>577</v>
      </c>
      <c r="B588" s="249" t="s">
        <v>745</v>
      </c>
      <c r="C588" s="242" t="s">
        <v>262</v>
      </c>
      <c r="D588" s="243"/>
      <c r="E588" s="243"/>
      <c r="F588" s="243">
        <f t="array" ref="F588">SUM(IF("156"&amp;B588=KHN&amp;MH,SL))</f>
        <v>12</v>
      </c>
      <c r="G588" s="243">
        <f t="array" ref="G588">SUM(IF("156"&amp;B588=KHN&amp;MH,TH))</f>
        <v>751836</v>
      </c>
      <c r="H588" s="243">
        <f t="array" ref="H588">SUM(IF("156"&amp;B588=KHC&amp;MH,SL))</f>
        <v>12</v>
      </c>
      <c r="I588" s="243">
        <f t="array" ref="I588">SUM(IF("156"&amp;B588=KHC&amp;MH,TH))</f>
        <v>751836</v>
      </c>
      <c r="J588" s="243">
        <f t="shared" ref="J588:J651" si="29">D588+F588-H588</f>
        <v>0</v>
      </c>
      <c r="K588" s="243">
        <f t="shared" ref="K588:K651" si="30">E588+G588-I588</f>
        <v>0</v>
      </c>
      <c r="L588" s="181"/>
    </row>
    <row r="589" spans="1:12" ht="19.5" customHeight="1">
      <c r="A589" s="240">
        <f t="shared" si="28"/>
        <v>578</v>
      </c>
      <c r="B589" s="249" t="s">
        <v>661</v>
      </c>
      <c r="C589" s="242" t="s">
        <v>262</v>
      </c>
      <c r="D589" s="243"/>
      <c r="E589" s="243"/>
      <c r="F589" s="243">
        <f t="array" ref="F589">SUM(IF("156"&amp;B589=KHN&amp;MH,SL))</f>
        <v>35</v>
      </c>
      <c r="G589" s="243">
        <f t="array" ref="G589">SUM(IF("156"&amp;B589=KHN&amp;MH,TH))</f>
        <v>2210824</v>
      </c>
      <c r="H589" s="243">
        <f t="array" ref="H589">SUM(IF("156"&amp;B589=KHC&amp;MH,SL))</f>
        <v>28</v>
      </c>
      <c r="I589" s="243">
        <f t="array" ref="I589">SUM(IF("156"&amp;B589=KHC&amp;MH,TH))</f>
        <v>1748306</v>
      </c>
      <c r="J589" s="243">
        <f t="shared" si="29"/>
        <v>7</v>
      </c>
      <c r="K589" s="243">
        <f t="shared" si="30"/>
        <v>462518</v>
      </c>
      <c r="L589" s="181"/>
    </row>
    <row r="590" spans="1:12" ht="19.5" customHeight="1">
      <c r="A590" s="240">
        <f t="shared" si="28"/>
        <v>579</v>
      </c>
      <c r="B590" s="249" t="s">
        <v>649</v>
      </c>
      <c r="C590" s="242" t="s">
        <v>262</v>
      </c>
      <c r="D590" s="243"/>
      <c r="E590" s="243"/>
      <c r="F590" s="243">
        <f t="array" ref="F590">SUM(IF("156"&amp;B590=KHN&amp;MH,SL))</f>
        <v>206</v>
      </c>
      <c r="G590" s="243">
        <f t="array" ref="G590">SUM(IF("156"&amp;B590=KHN&amp;MH,TH))</f>
        <v>13317737</v>
      </c>
      <c r="H590" s="243">
        <f t="array" ref="H590">SUM(IF("156"&amp;B590=KHC&amp;MH,SL))</f>
        <v>198</v>
      </c>
      <c r="I590" s="243">
        <f t="array" ref="I590">SUM(IF("156"&amp;B590=KHC&amp;MH,TH))</f>
        <v>12749169</v>
      </c>
      <c r="J590" s="243">
        <f t="shared" si="29"/>
        <v>8</v>
      </c>
      <c r="K590" s="243">
        <f t="shared" si="30"/>
        <v>568568</v>
      </c>
      <c r="L590" s="181"/>
    </row>
    <row r="591" spans="1:12" ht="19.5" customHeight="1">
      <c r="A591" s="240">
        <f t="shared" si="28"/>
        <v>580</v>
      </c>
      <c r="B591" s="250" t="s">
        <v>1232</v>
      </c>
      <c r="C591" s="242" t="s">
        <v>262</v>
      </c>
      <c r="D591" s="243"/>
      <c r="E591" s="243"/>
      <c r="F591" s="243">
        <f t="array" ref="F591">SUM(IF("156"&amp;B591=KHN&amp;MH,SL))</f>
        <v>32</v>
      </c>
      <c r="G591" s="243">
        <f t="array" ref="G591">SUM(IF("156"&amp;B591=KHN&amp;MH,TH))</f>
        <v>2030624</v>
      </c>
      <c r="H591" s="243">
        <f t="array" ref="H591">SUM(IF("156"&amp;B591=KHC&amp;MH,SL))</f>
        <v>32</v>
      </c>
      <c r="I591" s="243">
        <f t="array" ref="I591">SUM(IF("156"&amp;B591=KHC&amp;MH,TH))</f>
        <v>2030624</v>
      </c>
      <c r="J591" s="243">
        <f t="shared" si="29"/>
        <v>0</v>
      </c>
      <c r="K591" s="243">
        <f t="shared" si="30"/>
        <v>0</v>
      </c>
      <c r="L591" s="181"/>
    </row>
    <row r="592" spans="1:12" ht="19.5" customHeight="1">
      <c r="A592" s="240">
        <f t="shared" si="28"/>
        <v>581</v>
      </c>
      <c r="B592" s="249" t="s">
        <v>1024</v>
      </c>
      <c r="C592" s="242" t="s">
        <v>262</v>
      </c>
      <c r="D592" s="243"/>
      <c r="E592" s="243"/>
      <c r="F592" s="243">
        <f t="array" ref="F592">SUM(IF("156"&amp;B592=KHN&amp;MH,SL))</f>
        <v>20</v>
      </c>
      <c r="G592" s="243">
        <f t="array" ref="G592">SUM(IF("156"&amp;B592=KHN&amp;MH,TH))</f>
        <v>1344780</v>
      </c>
      <c r="H592" s="243">
        <f t="array" ref="H592">SUM(IF("156"&amp;B592=KHC&amp;MH,SL))</f>
        <v>20</v>
      </c>
      <c r="I592" s="243">
        <f t="array" ref="I592">SUM(IF("156"&amp;B592=KHC&amp;MH,TH))</f>
        <v>1344780</v>
      </c>
      <c r="J592" s="243">
        <f t="shared" si="29"/>
        <v>0</v>
      </c>
      <c r="K592" s="243">
        <f t="shared" si="30"/>
        <v>0</v>
      </c>
      <c r="L592" s="181"/>
    </row>
    <row r="593" spans="1:12" ht="19.5" customHeight="1">
      <c r="A593" s="240">
        <f t="shared" si="28"/>
        <v>582</v>
      </c>
      <c r="B593" s="249" t="s">
        <v>1169</v>
      </c>
      <c r="C593" s="242" t="s">
        <v>262</v>
      </c>
      <c r="D593" s="243"/>
      <c r="E593" s="243"/>
      <c r="F593" s="243">
        <f t="array" ref="F593">SUM(IF("156"&amp;B593=KHN&amp;MH,SL))</f>
        <v>36</v>
      </c>
      <c r="G593" s="243">
        <f t="array" ref="G593">SUM(IF("156"&amp;B593=KHN&amp;MH,TH))</f>
        <v>2585564</v>
      </c>
      <c r="H593" s="243">
        <f t="array" ref="H593">SUM(IF("156"&amp;B593=KHC&amp;MH,SL))</f>
        <v>8</v>
      </c>
      <c r="I593" s="243">
        <f t="array" ref="I593">SUM(IF("156"&amp;B593=KHC&amp;MH,TH))</f>
        <v>603360</v>
      </c>
      <c r="J593" s="243">
        <f t="shared" si="29"/>
        <v>28</v>
      </c>
      <c r="K593" s="243">
        <f t="shared" si="30"/>
        <v>1982204</v>
      </c>
      <c r="L593" s="181"/>
    </row>
    <row r="594" spans="1:12" ht="19.5" customHeight="1">
      <c r="A594" s="240">
        <f t="shared" si="28"/>
        <v>583</v>
      </c>
      <c r="B594" s="249" t="s">
        <v>623</v>
      </c>
      <c r="C594" s="242" t="s">
        <v>262</v>
      </c>
      <c r="D594" s="243"/>
      <c r="E594" s="243"/>
      <c r="F594" s="243">
        <f t="array" ref="F594">SUM(IF("156"&amp;B594=KHN&amp;MH,SL))</f>
        <v>58</v>
      </c>
      <c r="G594" s="243">
        <f t="array" ref="G594">SUM(IF("156"&amp;B594=KHN&amp;MH,TH))</f>
        <v>2622586</v>
      </c>
      <c r="H594" s="243">
        <f t="array" ref="H594">SUM(IF("156"&amp;B594=KHC&amp;MH,SL))</f>
        <v>58</v>
      </c>
      <c r="I594" s="243">
        <f t="array" ref="I594">SUM(IF("156"&amp;B594=KHC&amp;MH,TH))</f>
        <v>2622586</v>
      </c>
      <c r="J594" s="243">
        <f t="shared" si="29"/>
        <v>0</v>
      </c>
      <c r="K594" s="243">
        <f t="shared" si="30"/>
        <v>0</v>
      </c>
      <c r="L594" s="181"/>
    </row>
    <row r="595" spans="1:12" ht="19.5" customHeight="1">
      <c r="A595" s="240">
        <f t="shared" si="28"/>
        <v>584</v>
      </c>
      <c r="B595" s="249" t="s">
        <v>1052</v>
      </c>
      <c r="C595" s="242" t="s">
        <v>262</v>
      </c>
      <c r="D595" s="243"/>
      <c r="E595" s="243"/>
      <c r="F595" s="243">
        <f t="array" ref="F595">SUM(IF("156"&amp;B595=KHN&amp;MH,SL))</f>
        <v>4</v>
      </c>
      <c r="G595" s="243">
        <f t="array" ref="G595">SUM(IF("156"&amp;B595=KHN&amp;MH,TH))</f>
        <v>307960</v>
      </c>
      <c r="H595" s="243">
        <f t="array" ref="H595">SUM(IF("156"&amp;B595=KHC&amp;MH,SL))</f>
        <v>4</v>
      </c>
      <c r="I595" s="243">
        <f t="array" ref="I595">SUM(IF("156"&amp;B595=KHC&amp;MH,TH))</f>
        <v>307960</v>
      </c>
      <c r="J595" s="243">
        <f t="shared" si="29"/>
        <v>0</v>
      </c>
      <c r="K595" s="243">
        <f t="shared" si="30"/>
        <v>0</v>
      </c>
      <c r="L595" s="181"/>
    </row>
    <row r="596" spans="1:12" ht="19.5" customHeight="1">
      <c r="A596" s="240">
        <f t="shared" si="28"/>
        <v>585</v>
      </c>
      <c r="B596" s="249" t="s">
        <v>742</v>
      </c>
      <c r="C596" s="242" t="s">
        <v>262</v>
      </c>
      <c r="D596" s="243"/>
      <c r="E596" s="243"/>
      <c r="F596" s="243">
        <f t="array" ref="F596">SUM(IF("156"&amp;B596=KHN&amp;MH,SL))</f>
        <v>4</v>
      </c>
      <c r="G596" s="243">
        <f t="array" ref="G596">SUM(IF("156"&amp;B596=KHN&amp;MH,TH))</f>
        <v>322828</v>
      </c>
      <c r="H596" s="243">
        <f t="array" ref="H596">SUM(IF("156"&amp;B596=KHC&amp;MH,SL))</f>
        <v>4</v>
      </c>
      <c r="I596" s="243">
        <f t="array" ref="I596">SUM(IF("156"&amp;B596=KHC&amp;MH,TH))</f>
        <v>322828</v>
      </c>
      <c r="J596" s="243">
        <f t="shared" si="29"/>
        <v>0</v>
      </c>
      <c r="K596" s="243">
        <f t="shared" si="30"/>
        <v>0</v>
      </c>
      <c r="L596" s="181"/>
    </row>
    <row r="597" spans="1:12" ht="19.5" customHeight="1">
      <c r="A597" s="240">
        <f t="shared" si="28"/>
        <v>586</v>
      </c>
      <c r="B597" s="249" t="s">
        <v>659</v>
      </c>
      <c r="C597" s="242" t="s">
        <v>262</v>
      </c>
      <c r="D597" s="243"/>
      <c r="E597" s="243"/>
      <c r="F597" s="243">
        <f t="array" ref="F597">SUM(IF("156"&amp;B597=KHN&amp;MH,SL))</f>
        <v>28</v>
      </c>
      <c r="G597" s="243">
        <f t="array" ref="G597">SUM(IF("156"&amp;B597=KHN&amp;MH,TH))</f>
        <v>2342228</v>
      </c>
      <c r="H597" s="243">
        <f t="array" ref="H597">SUM(IF("156"&amp;B597=KHC&amp;MH,SL))</f>
        <v>20</v>
      </c>
      <c r="I597" s="243">
        <f t="array" ref="I597">SUM(IF("156"&amp;B597=KHC&amp;MH,TH))</f>
        <v>1662620</v>
      </c>
      <c r="J597" s="243">
        <f t="shared" si="29"/>
        <v>8</v>
      </c>
      <c r="K597" s="243">
        <f t="shared" si="30"/>
        <v>679608</v>
      </c>
      <c r="L597" s="181"/>
    </row>
    <row r="598" spans="1:12" ht="19.5" customHeight="1">
      <c r="A598" s="240">
        <f t="shared" si="28"/>
        <v>587</v>
      </c>
      <c r="B598" s="250" t="s">
        <v>1639</v>
      </c>
      <c r="C598" s="555"/>
      <c r="D598" s="243"/>
      <c r="E598" s="243"/>
      <c r="F598" s="243">
        <f t="array" ref="F598">SUM(IF("156"&amp;B598=KHN&amp;MH,SL))</f>
        <v>14</v>
      </c>
      <c r="G598" s="243">
        <f t="array" ref="G598">SUM(IF("156"&amp;B598=KHN&amp;MH,TH))</f>
        <v>784000</v>
      </c>
      <c r="H598" s="243">
        <f t="array" ref="H598">SUM(IF("156"&amp;B598=KHC&amp;MH,SL))</f>
        <v>0</v>
      </c>
      <c r="I598" s="243">
        <f t="array" ref="I598">SUM(IF("156"&amp;B598=KHC&amp;MH,TH))</f>
        <v>0</v>
      </c>
      <c r="J598" s="243">
        <f t="shared" si="29"/>
        <v>14</v>
      </c>
      <c r="K598" s="243">
        <f t="shared" si="30"/>
        <v>784000</v>
      </c>
      <c r="L598" s="181"/>
    </row>
    <row r="599" spans="1:12" ht="19.5" customHeight="1">
      <c r="A599" s="240">
        <f t="shared" si="28"/>
        <v>588</v>
      </c>
      <c r="B599" s="249" t="s">
        <v>1045</v>
      </c>
      <c r="C599" s="242" t="s">
        <v>262</v>
      </c>
      <c r="D599" s="243"/>
      <c r="E599" s="243"/>
      <c r="F599" s="243">
        <f t="array" ref="F599">SUM(IF("156"&amp;B599=KHN&amp;MH,SL))</f>
        <v>144</v>
      </c>
      <c r="G599" s="243">
        <f t="array" ref="G599">SUM(IF("156"&amp;B599=KHN&amp;MH,TH))</f>
        <v>5918112</v>
      </c>
      <c r="H599" s="243">
        <f t="array" ref="H599">SUM(IF("156"&amp;B599=KHC&amp;MH,SL))</f>
        <v>144</v>
      </c>
      <c r="I599" s="243">
        <f t="array" ref="I599">SUM(IF("156"&amp;B599=KHC&amp;MH,TH))</f>
        <v>5918112</v>
      </c>
      <c r="J599" s="243">
        <f t="shared" si="29"/>
        <v>0</v>
      </c>
      <c r="K599" s="243">
        <f t="shared" si="30"/>
        <v>0</v>
      </c>
      <c r="L599" s="181"/>
    </row>
    <row r="600" spans="1:12" ht="19.5" customHeight="1">
      <c r="A600" s="240">
        <f t="shared" si="28"/>
        <v>589</v>
      </c>
      <c r="B600" s="250" t="s">
        <v>1651</v>
      </c>
      <c r="C600" s="242"/>
      <c r="D600" s="243"/>
      <c r="E600" s="243"/>
      <c r="F600" s="243">
        <f t="array" ref="F600">SUM(IF("156"&amp;B600=KHN&amp;MH,SL))</f>
        <v>16</v>
      </c>
      <c r="G600" s="243">
        <f t="array" ref="G600">SUM(IF("156"&amp;B600=KHN&amp;MH,TH))</f>
        <v>1115920</v>
      </c>
      <c r="H600" s="243">
        <f t="array" ref="H600">SUM(IF("156"&amp;B600=KHC&amp;MH,SL))</f>
        <v>0</v>
      </c>
      <c r="I600" s="243">
        <f t="array" ref="I600">SUM(IF("156"&amp;B600=KHC&amp;MH,TH))</f>
        <v>0</v>
      </c>
      <c r="J600" s="243">
        <f t="shared" si="29"/>
        <v>16</v>
      </c>
      <c r="K600" s="243">
        <f t="shared" si="30"/>
        <v>1115920</v>
      </c>
      <c r="L600" s="181"/>
    </row>
    <row r="601" spans="1:12" ht="19.5" customHeight="1">
      <c r="A601" s="240">
        <f t="shared" si="28"/>
        <v>590</v>
      </c>
      <c r="B601" s="250" t="s">
        <v>1636</v>
      </c>
      <c r="C601" s="555"/>
      <c r="D601" s="243"/>
      <c r="E601" s="243"/>
      <c r="F601" s="243">
        <f t="array" ref="F601">SUM(IF("156"&amp;B601=KHN&amp;MH,SL))</f>
        <v>4</v>
      </c>
      <c r="G601" s="243">
        <f t="array" ref="G601">SUM(IF("156"&amp;B601=KHN&amp;MH,TH))</f>
        <v>349584</v>
      </c>
      <c r="H601" s="243">
        <f t="array" ref="H601">SUM(IF("156"&amp;B601=KHC&amp;MH,SL))</f>
        <v>0</v>
      </c>
      <c r="I601" s="243">
        <f t="array" ref="I601">SUM(IF("156"&amp;B601=KHC&amp;MH,TH))</f>
        <v>0</v>
      </c>
      <c r="J601" s="243">
        <f t="shared" si="29"/>
        <v>4</v>
      </c>
      <c r="K601" s="243">
        <f t="shared" si="30"/>
        <v>349584</v>
      </c>
      <c r="L601" s="181"/>
    </row>
    <row r="602" spans="1:12" ht="19.5" customHeight="1">
      <c r="A602" s="240">
        <f t="shared" si="28"/>
        <v>591</v>
      </c>
      <c r="B602" s="249" t="s">
        <v>597</v>
      </c>
      <c r="C602" s="242" t="s">
        <v>262</v>
      </c>
      <c r="D602" s="243"/>
      <c r="E602" s="243"/>
      <c r="F602" s="243">
        <f t="array" ref="F602">SUM(IF("156"&amp;B602=KHN&amp;MH,SL))</f>
        <v>50</v>
      </c>
      <c r="G602" s="243">
        <f t="array" ref="G602">SUM(IF("156"&amp;B602=KHN&amp;MH,TH))</f>
        <v>639612</v>
      </c>
      <c r="H602" s="243">
        <f t="array" ref="H602">SUM(IF("156"&amp;B602=KHC&amp;MH,SL))</f>
        <v>50</v>
      </c>
      <c r="I602" s="243">
        <f t="array" ref="I602">SUM(IF("156"&amp;B602=KHC&amp;MH,TH))</f>
        <v>639612</v>
      </c>
      <c r="J602" s="243">
        <f t="shared" si="29"/>
        <v>0</v>
      </c>
      <c r="K602" s="243">
        <f t="shared" si="30"/>
        <v>0</v>
      </c>
      <c r="L602" s="181"/>
    </row>
    <row r="603" spans="1:12" ht="19.5" customHeight="1">
      <c r="A603" s="240">
        <f t="shared" si="28"/>
        <v>592</v>
      </c>
      <c r="B603" s="247" t="s">
        <v>1006</v>
      </c>
      <c r="C603" s="242" t="s">
        <v>262</v>
      </c>
      <c r="D603" s="243"/>
      <c r="E603" s="243"/>
      <c r="F603" s="243">
        <f t="array" ref="F603">SUM(IF("156"&amp;B603=KHN&amp;MH,SL))</f>
        <v>510</v>
      </c>
      <c r="G603" s="243">
        <f t="array" ref="G603">SUM(IF("156"&amp;B603=KHN&amp;MH,TH))</f>
        <v>8770811</v>
      </c>
      <c r="H603" s="243">
        <f t="array" ref="H603">SUM(IF("156"&amp;B603=KHC&amp;MH,SL))</f>
        <v>510</v>
      </c>
      <c r="I603" s="243">
        <f t="array" ref="I603">SUM(IF("156"&amp;B603=KHC&amp;MH,TH))</f>
        <v>8770811</v>
      </c>
      <c r="J603" s="243">
        <f t="shared" si="29"/>
        <v>0</v>
      </c>
      <c r="K603" s="243">
        <f t="shared" si="30"/>
        <v>0</v>
      </c>
      <c r="L603" s="181"/>
    </row>
    <row r="604" spans="1:12" ht="19.5" customHeight="1">
      <c r="A604" s="240">
        <f t="shared" si="28"/>
        <v>593</v>
      </c>
      <c r="B604" s="249" t="s">
        <v>1010</v>
      </c>
      <c r="C604" s="242" t="s">
        <v>262</v>
      </c>
      <c r="D604" s="243"/>
      <c r="E604" s="243"/>
      <c r="F604" s="243">
        <f t="array" ref="F604">SUM(IF("156"&amp;B604=KHN&amp;MH,SL))</f>
        <v>960</v>
      </c>
      <c r="G604" s="243">
        <f t="array" ref="G604">SUM(IF("156"&amp;B604=KHN&amp;MH,TH))</f>
        <v>13378584</v>
      </c>
      <c r="H604" s="243">
        <f t="array" ref="H604">SUM(IF("156"&amp;B604=KHC&amp;MH,SL))</f>
        <v>960</v>
      </c>
      <c r="I604" s="243">
        <f t="array" ref="I604">SUM(IF("156"&amp;B604=KHC&amp;MH,TH))</f>
        <v>13378584</v>
      </c>
      <c r="J604" s="243">
        <f t="shared" si="29"/>
        <v>0</v>
      </c>
      <c r="K604" s="243">
        <f t="shared" si="30"/>
        <v>0</v>
      </c>
      <c r="L604" s="181"/>
    </row>
    <row r="605" spans="1:12" ht="19.5" customHeight="1">
      <c r="A605" s="240">
        <f t="shared" si="28"/>
        <v>594</v>
      </c>
      <c r="B605" s="250" t="s">
        <v>1647</v>
      </c>
      <c r="C605" s="555"/>
      <c r="D605" s="243"/>
      <c r="E605" s="243"/>
      <c r="F605" s="243">
        <f t="array" ref="F605">SUM(IF("156"&amp;B605=KHN&amp;MH,SL))</f>
        <v>12</v>
      </c>
      <c r="G605" s="243">
        <f t="array" ref="G605">SUM(IF("156"&amp;B605=KHN&amp;MH,TH))</f>
        <v>501720</v>
      </c>
      <c r="H605" s="243">
        <f t="array" ref="H605">SUM(IF("156"&amp;B605=KHC&amp;MH,SL))</f>
        <v>0</v>
      </c>
      <c r="I605" s="243">
        <f t="array" ref="I605">SUM(IF("156"&amp;B605=KHC&amp;MH,TH))</f>
        <v>0</v>
      </c>
      <c r="J605" s="243">
        <f t="shared" si="29"/>
        <v>12</v>
      </c>
      <c r="K605" s="243">
        <f t="shared" si="30"/>
        <v>501720</v>
      </c>
      <c r="L605" s="181"/>
    </row>
    <row r="606" spans="1:12" ht="19.5" customHeight="1">
      <c r="A606" s="240">
        <f t="shared" si="28"/>
        <v>595</v>
      </c>
      <c r="B606" s="249" t="s">
        <v>767</v>
      </c>
      <c r="C606" s="242" t="s">
        <v>262</v>
      </c>
      <c r="D606" s="243"/>
      <c r="E606" s="243"/>
      <c r="F606" s="243">
        <f t="array" ref="F606">SUM(IF("156"&amp;B606=KHN&amp;MH,SL))</f>
        <v>25</v>
      </c>
      <c r="G606" s="243">
        <f t="array" ref="G606">SUM(IF("156"&amp;B606=KHN&amp;MH,TH))</f>
        <v>319807</v>
      </c>
      <c r="H606" s="243">
        <f t="array" ref="H606">SUM(IF("156"&amp;B606=KHC&amp;MH,SL))</f>
        <v>25</v>
      </c>
      <c r="I606" s="243">
        <f t="array" ref="I606">SUM(IF("156"&amp;B606=KHC&amp;MH,TH))</f>
        <v>319807</v>
      </c>
      <c r="J606" s="243">
        <f t="shared" si="29"/>
        <v>0</v>
      </c>
      <c r="K606" s="243">
        <f t="shared" si="30"/>
        <v>0</v>
      </c>
      <c r="L606" s="181"/>
    </row>
    <row r="607" spans="1:12" ht="19.5" customHeight="1">
      <c r="A607" s="240">
        <f t="shared" si="28"/>
        <v>596</v>
      </c>
      <c r="B607" s="249" t="s">
        <v>687</v>
      </c>
      <c r="C607" s="242" t="s">
        <v>262</v>
      </c>
      <c r="D607" s="243"/>
      <c r="E607" s="243"/>
      <c r="F607" s="243">
        <f t="array" ref="F607">SUM(IF("156"&amp;B607=KHN&amp;MH,SL))</f>
        <v>20</v>
      </c>
      <c r="G607" s="243">
        <f t="array" ref="G607">SUM(IF("156"&amp;B607=KHN&amp;MH,TH))</f>
        <v>826806</v>
      </c>
      <c r="H607" s="243">
        <f t="array" ref="H607">SUM(IF("156"&amp;B607=KHC&amp;MH,SL))</f>
        <v>20</v>
      </c>
      <c r="I607" s="243">
        <f t="array" ref="I607">SUM(IF("156"&amp;B607=KHC&amp;MH,TH))</f>
        <v>826806</v>
      </c>
      <c r="J607" s="243">
        <f t="shared" si="29"/>
        <v>0</v>
      </c>
      <c r="K607" s="243">
        <f t="shared" si="30"/>
        <v>0</v>
      </c>
      <c r="L607" s="181"/>
    </row>
    <row r="608" spans="1:12" ht="19.5" customHeight="1">
      <c r="A608" s="240">
        <f t="shared" si="28"/>
        <v>597</v>
      </c>
      <c r="B608" s="249" t="s">
        <v>630</v>
      </c>
      <c r="C608" s="242" t="s">
        <v>262</v>
      </c>
      <c r="D608" s="243"/>
      <c r="E608" s="243"/>
      <c r="F608" s="243">
        <f t="array" ref="F608">SUM(IF("156"&amp;B608=KHN&amp;MH,SL))</f>
        <v>105</v>
      </c>
      <c r="G608" s="243">
        <f t="array" ref="G608">SUM(IF("156"&amp;B608=KHN&amp;MH,TH))</f>
        <v>3723528</v>
      </c>
      <c r="H608" s="243">
        <f t="array" ref="H608">SUM(IF("156"&amp;B608=KHC&amp;MH,SL))</f>
        <v>93</v>
      </c>
      <c r="I608" s="243">
        <f t="array" ref="I608">SUM(IF("156"&amp;B608=KHC&amp;MH,TH))</f>
        <v>3264264</v>
      </c>
      <c r="J608" s="243">
        <f t="shared" si="29"/>
        <v>12</v>
      </c>
      <c r="K608" s="243">
        <f t="shared" si="30"/>
        <v>459264</v>
      </c>
      <c r="L608" s="181"/>
    </row>
    <row r="609" spans="1:12" ht="19.5" customHeight="1">
      <c r="A609" s="240">
        <f t="shared" si="28"/>
        <v>598</v>
      </c>
      <c r="B609" s="249" t="s">
        <v>1065</v>
      </c>
      <c r="C609" s="242" t="s">
        <v>262</v>
      </c>
      <c r="D609" s="243"/>
      <c r="E609" s="243"/>
      <c r="F609" s="243">
        <f t="array" ref="F609">SUM(IF("156"&amp;B609=KHN&amp;MH,SL))</f>
        <v>8</v>
      </c>
      <c r="G609" s="243">
        <f t="array" ref="G609">SUM(IF("156"&amp;B609=KHN&amp;MH,TH))</f>
        <v>353976</v>
      </c>
      <c r="H609" s="243">
        <f t="array" ref="H609">SUM(IF("156"&amp;B609=KHC&amp;MH,SL))</f>
        <v>8</v>
      </c>
      <c r="I609" s="243">
        <f t="array" ref="I609">SUM(IF("156"&amp;B609=KHC&amp;MH,TH))</f>
        <v>353976</v>
      </c>
      <c r="J609" s="243">
        <f t="shared" si="29"/>
        <v>0</v>
      </c>
      <c r="K609" s="243">
        <f t="shared" si="30"/>
        <v>0</v>
      </c>
      <c r="L609" s="181"/>
    </row>
    <row r="610" spans="1:12" ht="19.5" customHeight="1">
      <c r="A610" s="240">
        <f t="shared" si="28"/>
        <v>599</v>
      </c>
      <c r="B610" s="250" t="s">
        <v>1241</v>
      </c>
      <c r="C610" s="242" t="s">
        <v>262</v>
      </c>
      <c r="D610" s="243"/>
      <c r="E610" s="243"/>
      <c r="F610" s="243">
        <f t="array" ref="F610">SUM(IF("156"&amp;B610=KHN&amp;MH,SL))</f>
        <v>20</v>
      </c>
      <c r="G610" s="243">
        <f t="array" ref="G610">SUM(IF("156"&amp;B610=KHN&amp;MH,TH))</f>
        <v>912120</v>
      </c>
      <c r="H610" s="243">
        <f t="array" ref="H610">SUM(IF("156"&amp;B610=KHC&amp;MH,SL))</f>
        <v>20</v>
      </c>
      <c r="I610" s="243">
        <f t="array" ref="I610">SUM(IF("156"&amp;B610=KHC&amp;MH,TH))</f>
        <v>912120</v>
      </c>
      <c r="J610" s="243">
        <f t="shared" si="29"/>
        <v>0</v>
      </c>
      <c r="K610" s="243">
        <f t="shared" si="30"/>
        <v>0</v>
      </c>
      <c r="L610" s="181"/>
    </row>
    <row r="611" spans="1:12" ht="19.5" customHeight="1">
      <c r="A611" s="240">
        <f t="shared" si="28"/>
        <v>600</v>
      </c>
      <c r="B611" s="249" t="s">
        <v>705</v>
      </c>
      <c r="C611" s="242" t="s">
        <v>262</v>
      </c>
      <c r="D611" s="243"/>
      <c r="E611" s="243"/>
      <c r="F611" s="243">
        <f t="array" ref="F611">SUM(IF("156"&amp;B611=KHN&amp;MH,SL))</f>
        <v>56</v>
      </c>
      <c r="G611" s="243">
        <f t="array" ref="G611">SUM(IF("156"&amp;B611=KHN&amp;MH,TH))</f>
        <v>2559456</v>
      </c>
      <c r="H611" s="243">
        <f t="array" ref="H611">SUM(IF("156"&amp;B611=KHC&amp;MH,SL))</f>
        <v>56</v>
      </c>
      <c r="I611" s="243">
        <f t="array" ref="I611">SUM(IF("156"&amp;B611=KHC&amp;MH,TH))</f>
        <v>2559456</v>
      </c>
      <c r="J611" s="243">
        <f t="shared" si="29"/>
        <v>0</v>
      </c>
      <c r="K611" s="243">
        <f t="shared" si="30"/>
        <v>0</v>
      </c>
      <c r="L611" s="181"/>
    </row>
    <row r="612" spans="1:12" ht="19.5" customHeight="1">
      <c r="A612" s="240">
        <f t="shared" si="28"/>
        <v>601</v>
      </c>
      <c r="B612" s="250" t="s">
        <v>1462</v>
      </c>
      <c r="C612" s="242"/>
      <c r="D612" s="243"/>
      <c r="E612" s="243"/>
      <c r="F612" s="243">
        <f t="array" ref="F612">SUM(IF("156"&amp;B612=KHN&amp;MH,SL))</f>
        <v>20</v>
      </c>
      <c r="G612" s="243">
        <f t="array" ref="G612">SUM(IF("156"&amp;B612=KHN&amp;MH,TH))</f>
        <v>872800</v>
      </c>
      <c r="H612" s="243">
        <f t="array" ref="H612">SUM(IF("156"&amp;B612=KHC&amp;MH,SL))</f>
        <v>0</v>
      </c>
      <c r="I612" s="243">
        <f t="array" ref="I612">SUM(IF("156"&amp;B612=KHC&amp;MH,TH))</f>
        <v>0</v>
      </c>
      <c r="J612" s="243">
        <f t="shared" si="29"/>
        <v>20</v>
      </c>
      <c r="K612" s="243">
        <f t="shared" si="30"/>
        <v>872800</v>
      </c>
      <c r="L612" s="181"/>
    </row>
    <row r="613" spans="1:12" ht="19.5" customHeight="1">
      <c r="A613" s="240">
        <f t="shared" si="28"/>
        <v>602</v>
      </c>
      <c r="B613" s="250" t="s">
        <v>1644</v>
      </c>
      <c r="C613" s="242"/>
      <c r="D613" s="243"/>
      <c r="E613" s="243"/>
      <c r="F613" s="243">
        <f t="array" ref="F613">SUM(IF("156"&amp;B613=KHN&amp;MH,SL))</f>
        <v>24</v>
      </c>
      <c r="G613" s="243">
        <f t="array" ref="G613">SUM(IF("156"&amp;B613=KHN&amp;MH,TH))</f>
        <v>1058280</v>
      </c>
      <c r="H613" s="243">
        <f t="array" ref="H613">SUM(IF("156"&amp;B613=KHC&amp;MH,SL))</f>
        <v>0</v>
      </c>
      <c r="I613" s="243">
        <f t="array" ref="I613">SUM(IF("156"&amp;B613=KHC&amp;MH,TH))</f>
        <v>0</v>
      </c>
      <c r="J613" s="243">
        <f t="shared" si="29"/>
        <v>24</v>
      </c>
      <c r="K613" s="243">
        <f t="shared" si="30"/>
        <v>1058280</v>
      </c>
      <c r="L613" s="181"/>
    </row>
    <row r="614" spans="1:12" ht="19.5" customHeight="1">
      <c r="A614" s="240">
        <f t="shared" si="28"/>
        <v>603</v>
      </c>
      <c r="B614" s="250" t="s">
        <v>1466</v>
      </c>
      <c r="C614" s="242"/>
      <c r="D614" s="243"/>
      <c r="E614" s="243"/>
      <c r="F614" s="243">
        <f t="array" ref="F614">SUM(IF("156"&amp;B614=KHN&amp;MH,SL))</f>
        <v>20</v>
      </c>
      <c r="G614" s="243">
        <f t="array" ref="G614">SUM(IF("156"&amp;B614=KHN&amp;MH,TH))</f>
        <v>762480</v>
      </c>
      <c r="H614" s="243">
        <f t="array" ref="H614">SUM(IF("156"&amp;B614=KHC&amp;MH,SL))</f>
        <v>0</v>
      </c>
      <c r="I614" s="243">
        <f t="array" ref="I614">SUM(IF("156"&amp;B614=KHC&amp;MH,TH))</f>
        <v>0</v>
      </c>
      <c r="J614" s="243">
        <f t="shared" si="29"/>
        <v>20</v>
      </c>
      <c r="K614" s="243">
        <f t="shared" si="30"/>
        <v>762480</v>
      </c>
      <c r="L614" s="181"/>
    </row>
    <row r="615" spans="1:12" ht="19.5" customHeight="1">
      <c r="A615" s="240">
        <f t="shared" si="28"/>
        <v>604</v>
      </c>
      <c r="B615" s="249" t="s">
        <v>662</v>
      </c>
      <c r="C615" s="242" t="s">
        <v>262</v>
      </c>
      <c r="D615" s="243"/>
      <c r="E615" s="243"/>
      <c r="F615" s="243">
        <f t="array" ref="F615">SUM(IF("156"&amp;B615=KHN&amp;MH,SL))</f>
        <v>12</v>
      </c>
      <c r="G615" s="243">
        <f t="array" ref="G615">SUM(IF("156"&amp;B615=KHN&amp;MH,TH))</f>
        <v>1286308</v>
      </c>
      <c r="H615" s="243">
        <f t="array" ref="H615">SUM(IF("156"&amp;B615=KHC&amp;MH,SL))</f>
        <v>12</v>
      </c>
      <c r="I615" s="243">
        <f t="array" ref="I615">SUM(IF("156"&amp;B615=KHC&amp;MH,TH))</f>
        <v>1286308</v>
      </c>
      <c r="J615" s="243">
        <f t="shared" si="29"/>
        <v>0</v>
      </c>
      <c r="K615" s="243">
        <f t="shared" si="30"/>
        <v>0</v>
      </c>
      <c r="L615" s="181"/>
    </row>
    <row r="616" spans="1:12" ht="19.5" customHeight="1">
      <c r="A616" s="240">
        <f t="shared" si="28"/>
        <v>605</v>
      </c>
      <c r="B616" s="249" t="s">
        <v>689</v>
      </c>
      <c r="C616" s="242" t="s">
        <v>262</v>
      </c>
      <c r="D616" s="243"/>
      <c r="E616" s="243"/>
      <c r="F616" s="243">
        <f t="array" ref="F616">SUM(IF("156"&amp;B616=KHN&amp;MH,SL))</f>
        <v>38</v>
      </c>
      <c r="G616" s="243">
        <f t="array" ref="G616">SUM(IF("156"&amp;B616=KHN&amp;MH,TH))</f>
        <v>3017928</v>
      </c>
      <c r="H616" s="243">
        <f t="array" ref="H616">SUM(IF("156"&amp;B616=KHC&amp;MH,SL))</f>
        <v>22</v>
      </c>
      <c r="I616" s="243">
        <f t="array" ref="I616">SUM(IF("156"&amp;B616=KHC&amp;MH,TH))</f>
        <v>1736966</v>
      </c>
      <c r="J616" s="243">
        <f t="shared" si="29"/>
        <v>16</v>
      </c>
      <c r="K616" s="243">
        <f t="shared" si="30"/>
        <v>1280962</v>
      </c>
      <c r="L616" s="181"/>
    </row>
    <row r="617" spans="1:12" ht="19.5" customHeight="1">
      <c r="A617" s="240">
        <f t="shared" si="28"/>
        <v>606</v>
      </c>
      <c r="B617" s="247" t="s">
        <v>1023</v>
      </c>
      <c r="C617" s="242" t="s">
        <v>262</v>
      </c>
      <c r="D617" s="243"/>
      <c r="E617" s="243"/>
      <c r="F617" s="243">
        <f t="array" ref="F617">SUM(IF("156"&amp;B617=KHN&amp;MH,SL))</f>
        <v>52</v>
      </c>
      <c r="G617" s="243">
        <f t="array" ref="G617">SUM(IF("156"&amp;B617=KHN&amp;MH,TH))</f>
        <v>4240260</v>
      </c>
      <c r="H617" s="243">
        <f t="array" ref="H617">SUM(IF("156"&amp;B617=KHC&amp;MH,SL))</f>
        <v>32</v>
      </c>
      <c r="I617" s="243">
        <f t="array" ref="I617">SUM(IF("156"&amp;B617=KHC&amp;MH,TH))</f>
        <v>2623400</v>
      </c>
      <c r="J617" s="243">
        <f t="shared" si="29"/>
        <v>20</v>
      </c>
      <c r="K617" s="243">
        <f t="shared" si="30"/>
        <v>1616860</v>
      </c>
      <c r="L617" s="181"/>
    </row>
    <row r="618" spans="1:12" ht="19.5" customHeight="1">
      <c r="A618" s="240">
        <f t="shared" si="28"/>
        <v>607</v>
      </c>
      <c r="B618" s="250" t="s">
        <v>1655</v>
      </c>
      <c r="C618" s="242"/>
      <c r="D618" s="243"/>
      <c r="E618" s="243"/>
      <c r="F618" s="243">
        <f t="array" ref="F618">SUM(IF("156"&amp;B618=KHN&amp;MH,SL))</f>
        <v>6</v>
      </c>
      <c r="G618" s="243">
        <f t="array" ref="G618">SUM(IF("156"&amp;B618=KHN&amp;MH,TH))</f>
        <v>568044</v>
      </c>
      <c r="H618" s="243">
        <f t="array" ref="H618">SUM(IF("156"&amp;B618=KHC&amp;MH,SL))</f>
        <v>0</v>
      </c>
      <c r="I618" s="243">
        <f t="array" ref="I618">SUM(IF("156"&amp;B618=KHC&amp;MH,TH))</f>
        <v>0</v>
      </c>
      <c r="J618" s="243">
        <f t="shared" si="29"/>
        <v>6</v>
      </c>
      <c r="K618" s="243">
        <f t="shared" si="30"/>
        <v>568044</v>
      </c>
      <c r="L618" s="181"/>
    </row>
    <row r="619" spans="1:12" ht="19.5" customHeight="1">
      <c r="A619" s="240">
        <f t="shared" si="28"/>
        <v>608</v>
      </c>
      <c r="B619" s="249" t="s">
        <v>1433</v>
      </c>
      <c r="C619" s="242"/>
      <c r="D619" s="243"/>
      <c r="E619" s="243"/>
      <c r="F619" s="243">
        <f t="array" ref="F619">SUM(IF("156"&amp;B619=KHN&amp;MH,SL))</f>
        <v>500</v>
      </c>
      <c r="G619" s="243">
        <f t="array" ref="G619">SUM(IF("156"&amp;B619=KHN&amp;MH,TH))</f>
        <v>7051000</v>
      </c>
      <c r="H619" s="243">
        <f t="array" ref="H619">SUM(IF("156"&amp;B619=KHC&amp;MH,SL))</f>
        <v>0</v>
      </c>
      <c r="I619" s="243">
        <f t="array" ref="I619">SUM(IF("156"&amp;B619=KHC&amp;MH,TH))</f>
        <v>0</v>
      </c>
      <c r="J619" s="243">
        <f t="shared" si="29"/>
        <v>500</v>
      </c>
      <c r="K619" s="243">
        <f t="shared" si="30"/>
        <v>7051000</v>
      </c>
      <c r="L619" s="181"/>
    </row>
    <row r="620" spans="1:12" ht="19.5" customHeight="1">
      <c r="A620" s="240">
        <f t="shared" si="28"/>
        <v>609</v>
      </c>
      <c r="B620" s="249" t="s">
        <v>621</v>
      </c>
      <c r="C620" s="242" t="s">
        <v>262</v>
      </c>
      <c r="D620" s="243"/>
      <c r="E620" s="243"/>
      <c r="F620" s="243">
        <f t="array" ref="F620">SUM(IF("156"&amp;B620=KHN&amp;MH,SL))</f>
        <v>50</v>
      </c>
      <c r="G620" s="243">
        <f t="array" ref="G620">SUM(IF("156"&amp;B620=KHN&amp;MH,TH))</f>
        <v>3100250</v>
      </c>
      <c r="H620" s="243">
        <f t="array" ref="H620">SUM(IF("156"&amp;B620=KHC&amp;MH,SL))</f>
        <v>50</v>
      </c>
      <c r="I620" s="243">
        <f t="array" ref="I620">SUM(IF("156"&amp;B620=KHC&amp;MH,TH))</f>
        <v>3100250</v>
      </c>
      <c r="J620" s="243">
        <f t="shared" si="29"/>
        <v>0</v>
      </c>
      <c r="K620" s="243">
        <f t="shared" si="30"/>
        <v>0</v>
      </c>
      <c r="L620" s="181"/>
    </row>
    <row r="621" spans="1:12" ht="19.5" customHeight="1">
      <c r="A621" s="240">
        <f t="shared" si="28"/>
        <v>610</v>
      </c>
      <c r="B621" s="250" t="s">
        <v>1438</v>
      </c>
      <c r="C621" s="242"/>
      <c r="D621" s="243"/>
      <c r="E621" s="243"/>
      <c r="F621" s="243">
        <f t="array" ref="F621">SUM(IF("156"&amp;B621=KHN&amp;MH,SL))</f>
        <v>275</v>
      </c>
      <c r="G621" s="243">
        <f t="array" ref="G621">SUM(IF("156"&amp;B621=KHN&amp;MH,TH))</f>
        <v>2582250</v>
      </c>
      <c r="H621" s="243">
        <f t="array" ref="H621">SUM(IF("156"&amp;B621=KHC&amp;MH,SL))</f>
        <v>0</v>
      </c>
      <c r="I621" s="243">
        <f t="array" ref="I621">SUM(IF("156"&amp;B621=KHC&amp;MH,TH))</f>
        <v>0</v>
      </c>
      <c r="J621" s="243">
        <f t="shared" si="29"/>
        <v>275</v>
      </c>
      <c r="K621" s="243">
        <f t="shared" si="30"/>
        <v>2582250</v>
      </c>
      <c r="L621" s="181"/>
    </row>
    <row r="622" spans="1:12" ht="19.5" customHeight="1">
      <c r="A622" s="240">
        <f t="shared" si="28"/>
        <v>611</v>
      </c>
      <c r="B622" s="250" t="s">
        <v>1437</v>
      </c>
      <c r="C622" s="242"/>
      <c r="D622" s="243"/>
      <c r="E622" s="243"/>
      <c r="F622" s="243">
        <f t="array" ref="F622">SUM(IF("156"&amp;B622=KHN&amp;MH,SL))</f>
        <v>275</v>
      </c>
      <c r="G622" s="243">
        <f t="array" ref="G622">SUM(IF("156"&amp;B622=KHN&amp;MH,TH))</f>
        <v>2939200</v>
      </c>
      <c r="H622" s="243">
        <f t="array" ref="H622">SUM(IF("156"&amp;B622=KHC&amp;MH,SL))</f>
        <v>0</v>
      </c>
      <c r="I622" s="243">
        <f t="array" ref="I622">SUM(IF("156"&amp;B622=KHC&amp;MH,TH))</f>
        <v>0</v>
      </c>
      <c r="J622" s="243">
        <f t="shared" si="29"/>
        <v>275</v>
      </c>
      <c r="K622" s="243">
        <f t="shared" si="30"/>
        <v>2939200</v>
      </c>
      <c r="L622" s="181"/>
    </row>
    <row r="623" spans="1:12" ht="19.5" customHeight="1">
      <c r="A623" s="240">
        <f t="shared" si="28"/>
        <v>612</v>
      </c>
      <c r="B623" s="250" t="s">
        <v>1313</v>
      </c>
      <c r="C623" s="242"/>
      <c r="D623" s="243"/>
      <c r="E623" s="243"/>
      <c r="F623" s="243">
        <f t="array" ref="F623">SUM(IF("156"&amp;B623=KHN&amp;MH,SL))</f>
        <v>290</v>
      </c>
      <c r="G623" s="243">
        <f t="array" ref="G623">SUM(IF("156"&amp;B623=KHN&amp;MH,TH))</f>
        <v>3783050</v>
      </c>
      <c r="H623" s="243">
        <f t="array" ref="H623">SUM(IF("156"&amp;B623=KHC&amp;MH,SL))</f>
        <v>290</v>
      </c>
      <c r="I623" s="243">
        <f t="array" ref="I623">SUM(IF("156"&amp;B623=KHC&amp;MH,TH))</f>
        <v>3783050</v>
      </c>
      <c r="J623" s="243">
        <f t="shared" si="29"/>
        <v>0</v>
      </c>
      <c r="K623" s="243">
        <f t="shared" si="30"/>
        <v>0</v>
      </c>
      <c r="L623" s="181"/>
    </row>
    <row r="624" spans="1:12" ht="19.5" customHeight="1">
      <c r="A624" s="240">
        <f t="shared" si="28"/>
        <v>613</v>
      </c>
      <c r="B624" s="249" t="s">
        <v>701</v>
      </c>
      <c r="C624" s="242" t="s">
        <v>262</v>
      </c>
      <c r="D624" s="243"/>
      <c r="E624" s="243"/>
      <c r="F624" s="243">
        <f t="array" ref="F624">SUM(IF("156"&amp;B624=KHN&amp;MH,SL))</f>
        <v>55</v>
      </c>
      <c r="G624" s="243">
        <f t="array" ref="G624">SUM(IF("156"&amp;B624=KHN&amp;MH,TH))</f>
        <v>597575</v>
      </c>
      <c r="H624" s="243">
        <f t="array" ref="H624">SUM(IF("156"&amp;B624=KHC&amp;MH,SL))</f>
        <v>55</v>
      </c>
      <c r="I624" s="243">
        <f t="array" ref="I624">SUM(IF("156"&amp;B624=KHC&amp;MH,TH))</f>
        <v>597575</v>
      </c>
      <c r="J624" s="243">
        <f t="shared" si="29"/>
        <v>0</v>
      </c>
      <c r="K624" s="243">
        <f t="shared" si="30"/>
        <v>0</v>
      </c>
      <c r="L624" s="181"/>
    </row>
    <row r="625" spans="1:12" ht="19.5" customHeight="1">
      <c r="A625" s="240">
        <f t="shared" si="28"/>
        <v>614</v>
      </c>
      <c r="B625" s="249" t="s">
        <v>739</v>
      </c>
      <c r="C625" s="242" t="s">
        <v>262</v>
      </c>
      <c r="D625" s="243"/>
      <c r="E625" s="243"/>
      <c r="F625" s="243">
        <f t="array" ref="F625">SUM(IF("156"&amp;B625=KHN&amp;MH,SL))</f>
        <v>14</v>
      </c>
      <c r="G625" s="243">
        <f t="array" ref="G625">SUM(IF("156"&amp;B625=KHN&amp;MH,TH))</f>
        <v>672000</v>
      </c>
      <c r="H625" s="243">
        <f t="array" ref="H625">SUM(IF("156"&amp;B625=KHC&amp;MH,SL))</f>
        <v>14</v>
      </c>
      <c r="I625" s="243">
        <f t="array" ref="I625">SUM(IF("156"&amp;B625=KHC&amp;MH,TH))</f>
        <v>672000</v>
      </c>
      <c r="J625" s="243">
        <f t="shared" si="29"/>
        <v>0</v>
      </c>
      <c r="K625" s="243">
        <f t="shared" si="30"/>
        <v>0</v>
      </c>
      <c r="L625" s="181"/>
    </row>
    <row r="626" spans="1:12" ht="19.5" customHeight="1">
      <c r="A626" s="240">
        <f t="shared" si="28"/>
        <v>615</v>
      </c>
      <c r="B626" s="249" t="s">
        <v>648</v>
      </c>
      <c r="C626" s="242" t="s">
        <v>262</v>
      </c>
      <c r="D626" s="243"/>
      <c r="E626" s="243"/>
      <c r="F626" s="243">
        <f t="array" ref="F626">SUM(IF("156"&amp;B626=KHN&amp;MH,SL))</f>
        <v>37</v>
      </c>
      <c r="G626" s="243">
        <f t="array" ref="G626">SUM(IF("156"&amp;B626=KHN&amp;MH,TH))</f>
        <v>1821961</v>
      </c>
      <c r="H626" s="243">
        <f t="array" ref="H626">SUM(IF("156"&amp;B626=KHC&amp;MH,SL))</f>
        <v>30</v>
      </c>
      <c r="I626" s="243">
        <f t="array" ref="I626">SUM(IF("156"&amp;B626=KHC&amp;MH,TH))</f>
        <v>1467012</v>
      </c>
      <c r="J626" s="243">
        <f t="shared" si="29"/>
        <v>7</v>
      </c>
      <c r="K626" s="243">
        <f t="shared" si="30"/>
        <v>354949</v>
      </c>
      <c r="L626" s="181"/>
    </row>
    <row r="627" spans="1:12" ht="19.5" customHeight="1">
      <c r="A627" s="240">
        <f t="shared" si="28"/>
        <v>616</v>
      </c>
      <c r="B627" s="250" t="s">
        <v>1233</v>
      </c>
      <c r="C627" s="242" t="s">
        <v>262</v>
      </c>
      <c r="D627" s="243"/>
      <c r="E627" s="243"/>
      <c r="F627" s="243">
        <f t="array" ref="F627">SUM(IF("156"&amp;B627=KHN&amp;MH,SL))</f>
        <v>12</v>
      </c>
      <c r="G627" s="243">
        <f t="array" ref="G627">SUM(IF("156"&amp;B627=KHN&amp;MH,TH))</f>
        <v>624144</v>
      </c>
      <c r="H627" s="243">
        <f t="array" ref="H627">SUM(IF("156"&amp;B627=KHC&amp;MH,SL))</f>
        <v>12</v>
      </c>
      <c r="I627" s="243">
        <f t="array" ref="I627">SUM(IF("156"&amp;B627=KHC&amp;MH,TH))</f>
        <v>624144</v>
      </c>
      <c r="J627" s="243">
        <f t="shared" si="29"/>
        <v>0</v>
      </c>
      <c r="K627" s="243">
        <f t="shared" si="30"/>
        <v>0</v>
      </c>
      <c r="L627" s="181"/>
    </row>
    <row r="628" spans="1:12" ht="19.5" customHeight="1">
      <c r="A628" s="240">
        <f t="shared" si="28"/>
        <v>617</v>
      </c>
      <c r="B628" s="249" t="s">
        <v>697</v>
      </c>
      <c r="C628" s="242" t="s">
        <v>262</v>
      </c>
      <c r="D628" s="243"/>
      <c r="E628" s="243"/>
      <c r="F628" s="243">
        <f t="array" ref="F628">SUM(IF("156"&amp;B628=KHN&amp;MH,SL))</f>
        <v>48</v>
      </c>
      <c r="G628" s="243">
        <f t="array" ref="G628">SUM(IF("156"&amp;B628=KHN&amp;MH,TH))</f>
        <v>3376560</v>
      </c>
      <c r="H628" s="243">
        <f t="array" ref="H628">SUM(IF("156"&amp;B628=KHC&amp;MH,SL))</f>
        <v>36</v>
      </c>
      <c r="I628" s="243">
        <f t="array" ref="I628">SUM(IF("156"&amp;B628=KHC&amp;MH,TH))</f>
        <v>2535588</v>
      </c>
      <c r="J628" s="243">
        <f t="shared" si="29"/>
        <v>12</v>
      </c>
      <c r="K628" s="243">
        <f t="shared" si="30"/>
        <v>840972</v>
      </c>
      <c r="L628" s="181"/>
    </row>
    <row r="629" spans="1:12" ht="19.5" customHeight="1">
      <c r="A629" s="240">
        <f t="shared" si="28"/>
        <v>618</v>
      </c>
      <c r="B629" s="249" t="s">
        <v>625</v>
      </c>
      <c r="C629" s="242" t="s">
        <v>262</v>
      </c>
      <c r="D629" s="243"/>
      <c r="E629" s="243"/>
      <c r="F629" s="243">
        <f t="array" ref="F629">SUM(IF("156"&amp;B629=KHN&amp;MH,SL))</f>
        <v>88</v>
      </c>
      <c r="G629" s="243">
        <f t="array" ref="G629">SUM(IF("156"&amp;B629=KHN&amp;MH,TH))</f>
        <v>3306716</v>
      </c>
      <c r="H629" s="243">
        <f t="array" ref="H629">SUM(IF("156"&amp;B629=KHC&amp;MH,SL))</f>
        <v>76</v>
      </c>
      <c r="I629" s="243">
        <f t="array" ref="I629">SUM(IF("156"&amp;B629=KHC&amp;MH,TH))</f>
        <v>2849048</v>
      </c>
      <c r="J629" s="243">
        <f t="shared" si="29"/>
        <v>12</v>
      </c>
      <c r="K629" s="243">
        <f t="shared" si="30"/>
        <v>457668</v>
      </c>
      <c r="L629" s="181"/>
    </row>
    <row r="630" spans="1:12" ht="19.5" customHeight="1">
      <c r="A630" s="240">
        <f t="shared" si="28"/>
        <v>619</v>
      </c>
      <c r="B630" s="249" t="s">
        <v>703</v>
      </c>
      <c r="C630" s="822" t="s">
        <v>262</v>
      </c>
      <c r="D630" s="243"/>
      <c r="E630" s="243"/>
      <c r="F630" s="243">
        <f t="array" ref="F630">SUM(IF("156"&amp;B630=KHN&amp;MH,SL))</f>
        <v>460</v>
      </c>
      <c r="G630" s="243">
        <f t="array" ref="G630">SUM(IF("156"&amp;B630=KHN&amp;MH,TH))</f>
        <v>30469364</v>
      </c>
      <c r="H630" s="243">
        <f t="array" ref="H630">SUM(IF("156"&amp;B630=KHC&amp;MH,SL))</f>
        <v>460</v>
      </c>
      <c r="I630" s="243">
        <f t="array" ref="I630">SUM(IF("156"&amp;B630=KHC&amp;MH,TH))</f>
        <v>30469364</v>
      </c>
      <c r="J630" s="243">
        <f t="shared" si="29"/>
        <v>0</v>
      </c>
      <c r="K630" s="243">
        <f t="shared" si="30"/>
        <v>0</v>
      </c>
      <c r="L630" s="181"/>
    </row>
    <row r="631" spans="1:12" ht="19.5" customHeight="1">
      <c r="A631" s="240">
        <f t="shared" si="28"/>
        <v>620</v>
      </c>
      <c r="B631" s="249" t="s">
        <v>612</v>
      </c>
      <c r="C631" s="822" t="s">
        <v>262</v>
      </c>
      <c r="D631" s="243"/>
      <c r="E631" s="243"/>
      <c r="F631" s="243">
        <f t="array" ref="F631">SUM(IF("156"&amp;B631=KHN&amp;MH,SL))</f>
        <v>380</v>
      </c>
      <c r="G631" s="243">
        <f t="array" ref="G631">SUM(IF("156"&amp;B631=KHN&amp;MH,TH))</f>
        <v>26075239</v>
      </c>
      <c r="H631" s="243">
        <f t="array" ref="H631">SUM(IF("156"&amp;B631=KHC&amp;MH,SL))</f>
        <v>80</v>
      </c>
      <c r="I631" s="243">
        <f t="array" ref="I631">SUM(IF("156"&amp;B631=KHC&amp;MH,TH))</f>
        <v>5390239</v>
      </c>
      <c r="J631" s="243">
        <f t="shared" si="29"/>
        <v>300</v>
      </c>
      <c r="K631" s="243">
        <f t="shared" si="30"/>
        <v>20685000</v>
      </c>
      <c r="L631" s="181"/>
    </row>
    <row r="632" spans="1:12" ht="19.5" customHeight="1">
      <c r="A632" s="240">
        <f t="shared" si="28"/>
        <v>621</v>
      </c>
      <c r="B632" s="249" t="s">
        <v>736</v>
      </c>
      <c r="C632" s="822" t="s">
        <v>262</v>
      </c>
      <c r="D632" s="243"/>
      <c r="E632" s="243"/>
      <c r="F632" s="243">
        <f t="array" ref="F632">SUM(IF("156"&amp;B632=KHN&amp;MH,SL))</f>
        <v>22</v>
      </c>
      <c r="G632" s="243">
        <f t="array" ref="G632">SUM(IF("156"&amp;B632=KHN&amp;MH,TH))</f>
        <v>1727000</v>
      </c>
      <c r="H632" s="243">
        <f t="array" ref="H632">SUM(IF("156"&amp;B632=KHC&amp;MH,SL))</f>
        <v>22</v>
      </c>
      <c r="I632" s="243">
        <f t="array" ref="I632">SUM(IF("156"&amp;B632=KHC&amp;MH,TH))</f>
        <v>1727000</v>
      </c>
      <c r="J632" s="243">
        <f t="shared" si="29"/>
        <v>0</v>
      </c>
      <c r="K632" s="243">
        <f t="shared" si="30"/>
        <v>0</v>
      </c>
      <c r="L632" s="181"/>
    </row>
    <row r="633" spans="1:12" ht="19.5" customHeight="1">
      <c r="A633" s="240">
        <f t="shared" si="28"/>
        <v>622</v>
      </c>
      <c r="B633" s="249" t="s">
        <v>502</v>
      </c>
      <c r="C633" s="822" t="s">
        <v>262</v>
      </c>
      <c r="D633" s="243"/>
      <c r="E633" s="243"/>
      <c r="F633" s="243">
        <f t="array" ref="F633">SUM(IF("156"&amp;B633=KHN&amp;MH,SL))</f>
        <v>150</v>
      </c>
      <c r="G633" s="243">
        <f t="array" ref="G633">SUM(IF("156"&amp;B633=KHN&amp;MH,TH))</f>
        <v>1990750</v>
      </c>
      <c r="H633" s="243">
        <f t="array" ref="H633">SUM(IF("156"&amp;B633=KHC&amp;MH,SL))</f>
        <v>150</v>
      </c>
      <c r="I633" s="243">
        <f t="array" ref="I633">SUM(IF("156"&amp;B633=KHC&amp;MH,TH))</f>
        <v>1990750</v>
      </c>
      <c r="J633" s="243">
        <f t="shared" si="29"/>
        <v>0</v>
      </c>
      <c r="K633" s="243">
        <f t="shared" si="30"/>
        <v>0</v>
      </c>
      <c r="L633" s="181"/>
    </row>
    <row r="634" spans="1:12" ht="19.5" customHeight="1">
      <c r="A634" s="240">
        <f t="shared" si="28"/>
        <v>623</v>
      </c>
      <c r="B634" s="250" t="s">
        <v>1391</v>
      </c>
      <c r="C634" s="242"/>
      <c r="D634" s="243"/>
      <c r="E634" s="243"/>
      <c r="F634" s="243">
        <f t="array" ref="F634">SUM(IF("156"&amp;B634=KHN&amp;MH,SL))</f>
        <v>0</v>
      </c>
      <c r="G634" s="243">
        <f t="array" ref="G634">SUM(IF("156"&amp;B634=KHN&amp;MH,TH))</f>
        <v>0</v>
      </c>
      <c r="H634" s="243">
        <f t="array" ref="H634">SUM(IF("156"&amp;B634=KHC&amp;MH,SL))</f>
        <v>0</v>
      </c>
      <c r="I634" s="243">
        <f t="array" ref="I634">SUM(IF("156"&amp;B634=KHC&amp;MH,TH))</f>
        <v>0</v>
      </c>
      <c r="J634" s="243">
        <f t="shared" si="29"/>
        <v>0</v>
      </c>
      <c r="K634" s="243">
        <f t="shared" si="30"/>
        <v>0</v>
      </c>
      <c r="L634" s="181"/>
    </row>
    <row r="635" spans="1:12" ht="19.5" customHeight="1">
      <c r="A635" s="240">
        <f t="shared" si="28"/>
        <v>624</v>
      </c>
      <c r="B635" s="250" t="s">
        <v>1643</v>
      </c>
      <c r="C635" s="242"/>
      <c r="D635" s="243"/>
      <c r="E635" s="243"/>
      <c r="F635" s="243">
        <f t="array" ref="F635">SUM(IF("156"&amp;B635=KHN&amp;MH,SL))</f>
        <v>7</v>
      </c>
      <c r="G635" s="243">
        <f t="array" ref="G635">SUM(IF("156"&amp;B635=KHN&amp;MH,TH))</f>
        <v>368207</v>
      </c>
      <c r="H635" s="243">
        <f t="array" ref="H635">SUM(IF("156"&amp;B635=KHC&amp;MH,SL))</f>
        <v>0</v>
      </c>
      <c r="I635" s="243">
        <f t="array" ref="I635">SUM(IF("156"&amp;B635=KHC&amp;MH,TH))</f>
        <v>0</v>
      </c>
      <c r="J635" s="243">
        <f t="shared" si="29"/>
        <v>7</v>
      </c>
      <c r="K635" s="243">
        <f t="shared" si="30"/>
        <v>368207</v>
      </c>
      <c r="L635" s="181"/>
    </row>
    <row r="636" spans="1:12" ht="19.5" customHeight="1">
      <c r="A636" s="240">
        <f t="shared" si="28"/>
        <v>625</v>
      </c>
      <c r="B636" s="249" t="s">
        <v>656</v>
      </c>
      <c r="C636" s="242" t="s">
        <v>262</v>
      </c>
      <c r="D636" s="243"/>
      <c r="E636" s="243"/>
      <c r="F636" s="243">
        <f t="array" ref="F636">SUM(IF("156"&amp;B636=KHN&amp;MH,SL))</f>
        <v>30</v>
      </c>
      <c r="G636" s="243">
        <f t="array" ref="G636">SUM(IF("156"&amp;B636=KHN&amp;MH,TH))</f>
        <v>2304375</v>
      </c>
      <c r="H636" s="243">
        <f t="array" ref="H636">SUM(IF("156"&amp;B636=KHC&amp;MH,SL))</f>
        <v>30</v>
      </c>
      <c r="I636" s="243">
        <f t="array" ref="I636">SUM(IF("156"&amp;B636=KHC&amp;MH,TH))</f>
        <v>2304375</v>
      </c>
      <c r="J636" s="243">
        <f t="shared" si="29"/>
        <v>0</v>
      </c>
      <c r="K636" s="243">
        <f t="shared" si="30"/>
        <v>0</v>
      </c>
      <c r="L636" s="181"/>
    </row>
    <row r="637" spans="1:12" ht="19.5" customHeight="1">
      <c r="A637" s="240">
        <f t="shared" si="28"/>
        <v>626</v>
      </c>
      <c r="B637" s="249" t="s">
        <v>590</v>
      </c>
      <c r="C637" s="242" t="s">
        <v>262</v>
      </c>
      <c r="D637" s="243"/>
      <c r="E637" s="243"/>
      <c r="F637" s="243">
        <f t="array" ref="F637">SUM(IF("156"&amp;B637=KHN&amp;MH,SL))</f>
        <v>288</v>
      </c>
      <c r="G637" s="243">
        <f t="array" ref="G637">SUM(IF("156"&amp;B637=KHN&amp;MH,TH))</f>
        <v>4656960</v>
      </c>
      <c r="H637" s="243">
        <f t="array" ref="H637">SUM(IF("156"&amp;B637=KHC&amp;MH,SL))</f>
        <v>288</v>
      </c>
      <c r="I637" s="243">
        <f t="array" ref="I637">SUM(IF("156"&amp;B637=KHC&amp;MH,TH))</f>
        <v>4656960</v>
      </c>
      <c r="J637" s="243">
        <f t="shared" si="29"/>
        <v>0</v>
      </c>
      <c r="K637" s="243">
        <f t="shared" si="30"/>
        <v>0</v>
      </c>
      <c r="L637" s="181"/>
    </row>
    <row r="638" spans="1:12" ht="19.5" customHeight="1">
      <c r="A638" s="240">
        <f t="shared" si="28"/>
        <v>627</v>
      </c>
      <c r="B638" s="249" t="s">
        <v>1039</v>
      </c>
      <c r="C638" s="242" t="s">
        <v>262</v>
      </c>
      <c r="D638" s="243"/>
      <c r="E638" s="243"/>
      <c r="F638" s="243">
        <f t="array" ref="F638">SUM(IF("156"&amp;B638=KHN&amp;MH,SL))</f>
        <v>400</v>
      </c>
      <c r="G638" s="243">
        <f t="array" ref="G638">SUM(IF("156"&amp;B638=KHN&amp;MH,TH))</f>
        <v>7598009</v>
      </c>
      <c r="H638" s="243">
        <f t="array" ref="H638">SUM(IF("156"&amp;B638=KHC&amp;MH,SL))</f>
        <v>400</v>
      </c>
      <c r="I638" s="243">
        <f t="array" ref="I638">SUM(IF("156"&amp;B638=KHC&amp;MH,TH))</f>
        <v>7598009</v>
      </c>
      <c r="J638" s="243">
        <f t="shared" si="29"/>
        <v>0</v>
      </c>
      <c r="K638" s="243">
        <f t="shared" si="30"/>
        <v>0</v>
      </c>
      <c r="L638" s="181"/>
    </row>
    <row r="639" spans="1:12" ht="19.5" customHeight="1">
      <c r="A639" s="240">
        <f t="shared" si="28"/>
        <v>628</v>
      </c>
      <c r="B639" s="250" t="s">
        <v>1388</v>
      </c>
      <c r="C639" s="242"/>
      <c r="D639" s="243"/>
      <c r="E639" s="243"/>
      <c r="F639" s="243">
        <f t="array" ref="F639">SUM(IF("156"&amp;B639=KHN&amp;MH,SL))</f>
        <v>10</v>
      </c>
      <c r="G639" s="243">
        <f t="array" ref="G639">SUM(IF("156"&amp;B639=KHN&amp;MH,TH))</f>
        <v>433300</v>
      </c>
      <c r="H639" s="243">
        <f t="array" ref="H639">SUM(IF("156"&amp;B639=KHC&amp;MH,SL))</f>
        <v>0</v>
      </c>
      <c r="I639" s="243">
        <f t="array" ref="I639">SUM(IF("156"&amp;B639=KHC&amp;MH,TH))</f>
        <v>0</v>
      </c>
      <c r="J639" s="243">
        <f t="shared" si="29"/>
        <v>10</v>
      </c>
      <c r="K639" s="243">
        <f t="shared" si="30"/>
        <v>433300</v>
      </c>
      <c r="L639" s="181"/>
    </row>
    <row r="640" spans="1:12" ht="19.5" customHeight="1">
      <c r="A640" s="240">
        <f t="shared" si="28"/>
        <v>629</v>
      </c>
      <c r="B640" s="249" t="s">
        <v>1069</v>
      </c>
      <c r="C640" s="242" t="s">
        <v>262</v>
      </c>
      <c r="D640" s="243"/>
      <c r="E640" s="243"/>
      <c r="F640" s="243">
        <f t="array" ref="F640">SUM(IF("156"&amp;B640=KHN&amp;MH,SL))</f>
        <v>8</v>
      </c>
      <c r="G640" s="243">
        <f t="array" ref="G640">SUM(IF("156"&amp;B640=KHN&amp;MH,TH))</f>
        <v>396976</v>
      </c>
      <c r="H640" s="243">
        <f t="array" ref="H640">SUM(IF("156"&amp;B640=KHC&amp;MH,SL))</f>
        <v>8</v>
      </c>
      <c r="I640" s="243">
        <f t="array" ref="I640">SUM(IF("156"&amp;B640=KHC&amp;MH,TH))</f>
        <v>396976</v>
      </c>
      <c r="J640" s="243">
        <f t="shared" si="29"/>
        <v>0</v>
      </c>
      <c r="K640" s="243">
        <f t="shared" si="30"/>
        <v>0</v>
      </c>
      <c r="L640" s="181"/>
    </row>
    <row r="641" spans="1:12" ht="19.5" customHeight="1">
      <c r="A641" s="240">
        <f t="shared" si="28"/>
        <v>630</v>
      </c>
      <c r="B641" s="247" t="s">
        <v>998</v>
      </c>
      <c r="C641" s="822" t="s">
        <v>262</v>
      </c>
      <c r="D641" s="243"/>
      <c r="E641" s="243"/>
      <c r="F641" s="243">
        <f t="array" ref="F641">SUM(IF("156"&amp;B641=KHN&amp;MH,SL))</f>
        <v>20</v>
      </c>
      <c r="G641" s="243">
        <f t="array" ref="G641">SUM(IF("156"&amp;B641=KHN&amp;MH,TH))</f>
        <v>1384980</v>
      </c>
      <c r="H641" s="243">
        <f t="array" ref="H641">SUM(IF("156"&amp;B641=KHC&amp;MH,SL))</f>
        <v>20</v>
      </c>
      <c r="I641" s="243">
        <f t="array" ref="I641">SUM(IF("156"&amp;B641=KHC&amp;MH,TH))</f>
        <v>1384980</v>
      </c>
      <c r="J641" s="243">
        <f t="shared" si="29"/>
        <v>0</v>
      </c>
      <c r="K641" s="243">
        <f t="shared" si="30"/>
        <v>0</v>
      </c>
      <c r="L641" s="181"/>
    </row>
    <row r="642" spans="1:12" ht="19.5" customHeight="1">
      <c r="A642" s="240">
        <f t="shared" si="28"/>
        <v>631</v>
      </c>
      <c r="B642" s="250" t="s">
        <v>1489</v>
      </c>
      <c r="C642" s="822"/>
      <c r="D642" s="243"/>
      <c r="E642" s="243"/>
      <c r="F642" s="243">
        <f t="array" ref="F642">SUM(IF("156"&amp;B642=KHN&amp;MH,SL))</f>
        <v>8</v>
      </c>
      <c r="G642" s="243">
        <f t="array" ref="G642">SUM(IF("156"&amp;B642=KHN&amp;MH,TH))</f>
        <v>613768</v>
      </c>
      <c r="H642" s="243">
        <f t="array" ref="H642">SUM(IF("156"&amp;B642=KHC&amp;MH,SL))</f>
        <v>0</v>
      </c>
      <c r="I642" s="243">
        <f t="array" ref="I642">SUM(IF("156"&amp;B642=KHC&amp;MH,TH))</f>
        <v>0</v>
      </c>
      <c r="J642" s="243">
        <f t="shared" si="29"/>
        <v>8</v>
      </c>
      <c r="K642" s="243">
        <f t="shared" si="30"/>
        <v>613768</v>
      </c>
      <c r="L642" s="181"/>
    </row>
    <row r="643" spans="1:12" ht="19.5" customHeight="1">
      <c r="A643" s="240">
        <f t="shared" si="28"/>
        <v>632</v>
      </c>
      <c r="B643" s="250" t="s">
        <v>1314</v>
      </c>
      <c r="C643" s="822"/>
      <c r="D643" s="243"/>
      <c r="E643" s="243"/>
      <c r="F643" s="243">
        <f t="array" ref="F643">SUM(IF("156"&amp;B643=KHN&amp;MH,SL))</f>
        <v>395</v>
      </c>
      <c r="G643" s="243">
        <f t="array" ref="G643">SUM(IF("156"&amp;B643=KHN&amp;MH,TH))</f>
        <v>6454300</v>
      </c>
      <c r="H643" s="243">
        <f t="array" ref="H643">SUM(IF("156"&amp;B643=KHC&amp;MH,SL))</f>
        <v>395</v>
      </c>
      <c r="I643" s="243">
        <f t="array" ref="I643">SUM(IF("156"&amp;B643=KHC&amp;MH,TH))</f>
        <v>6454300</v>
      </c>
      <c r="J643" s="243">
        <f t="shared" si="29"/>
        <v>0</v>
      </c>
      <c r="K643" s="243">
        <f t="shared" si="30"/>
        <v>0</v>
      </c>
      <c r="L643" s="181"/>
    </row>
    <row r="644" spans="1:12" ht="19.5" customHeight="1">
      <c r="A644" s="240">
        <f t="shared" si="28"/>
        <v>633</v>
      </c>
      <c r="B644" s="249" t="s">
        <v>504</v>
      </c>
      <c r="C644" s="822" t="s">
        <v>262</v>
      </c>
      <c r="D644" s="243">
        <v>1850</v>
      </c>
      <c r="E644" s="243">
        <v>61512500</v>
      </c>
      <c r="F644" s="243">
        <f t="array" ref="F644">SUM(IF("156"&amp;B644=KHN&amp;MH,SL))</f>
        <v>15370</v>
      </c>
      <c r="G644" s="243">
        <f t="array" ref="G644">SUM(IF("156"&amp;B644=KHN&amp;MH,TH))</f>
        <v>533776070</v>
      </c>
      <c r="H644" s="243">
        <f t="array" ref="H644">SUM(IF("156"&amp;B644=KHC&amp;MH,SL))</f>
        <v>14300</v>
      </c>
      <c r="I644" s="243">
        <f t="array" ref="I644">SUM(IF("156"&amp;B644=KHC&amp;MH,TH))</f>
        <v>496322070</v>
      </c>
      <c r="J644" s="243">
        <f t="shared" si="29"/>
        <v>2920</v>
      </c>
      <c r="K644" s="243">
        <f t="shared" si="30"/>
        <v>98966500</v>
      </c>
      <c r="L644" s="181">
        <f>K644/J644</f>
        <v>33892.636986301368</v>
      </c>
    </row>
    <row r="645" spans="1:12" ht="19.5" customHeight="1">
      <c r="A645" s="240">
        <f t="shared" si="28"/>
        <v>634</v>
      </c>
      <c r="B645" s="249" t="s">
        <v>787</v>
      </c>
      <c r="C645" s="242" t="s">
        <v>262</v>
      </c>
      <c r="D645" s="243"/>
      <c r="E645" s="243"/>
      <c r="F645" s="243">
        <f t="array" ref="F645">SUM(IF("156"&amp;B645=KHN&amp;MH,SL))</f>
        <v>1700</v>
      </c>
      <c r="G645" s="243">
        <f t="array" ref="G645">SUM(IF("156"&amp;B645=KHN&amp;MH,TH))</f>
        <v>5771500</v>
      </c>
      <c r="H645" s="243">
        <f t="array" ref="H645">SUM(IF("156"&amp;B645=KHC&amp;MH,SL))</f>
        <v>0</v>
      </c>
      <c r="I645" s="243">
        <f t="array" ref="I645">SUM(IF("156"&amp;B645=KHC&amp;MH,TH))</f>
        <v>0</v>
      </c>
      <c r="J645" s="243">
        <f t="shared" si="29"/>
        <v>1700</v>
      </c>
      <c r="K645" s="243">
        <f t="shared" si="30"/>
        <v>5771500</v>
      </c>
      <c r="L645" s="181">
        <f>K645/J645</f>
        <v>3395</v>
      </c>
    </row>
    <row r="646" spans="1:12" ht="19.5" customHeight="1">
      <c r="A646" s="240">
        <f t="shared" si="28"/>
        <v>635</v>
      </c>
      <c r="B646" s="249" t="s">
        <v>1048</v>
      </c>
      <c r="C646" s="242" t="s">
        <v>262</v>
      </c>
      <c r="D646" s="243"/>
      <c r="E646" s="243"/>
      <c r="F646" s="243">
        <f t="array" ref="F646">SUM(IF("156"&amp;B646=KHN&amp;MH,SL))</f>
        <v>4</v>
      </c>
      <c r="G646" s="243">
        <f t="array" ref="G646">SUM(IF("156"&amp;B646=KHN&amp;MH,TH))</f>
        <v>164904</v>
      </c>
      <c r="H646" s="243">
        <f t="array" ref="H646">SUM(IF("156"&amp;B646=KHC&amp;MH,SL))</f>
        <v>4</v>
      </c>
      <c r="I646" s="243">
        <f t="array" ref="I646">SUM(IF("156"&amp;B646=KHC&amp;MH,TH))</f>
        <v>164904</v>
      </c>
      <c r="J646" s="243">
        <f t="shared" si="29"/>
        <v>0</v>
      </c>
      <c r="K646" s="243">
        <f t="shared" si="30"/>
        <v>0</v>
      </c>
      <c r="L646" s="181"/>
    </row>
    <row r="647" spans="1:12" ht="19.5" customHeight="1">
      <c r="A647" s="240">
        <f t="shared" si="28"/>
        <v>636</v>
      </c>
      <c r="B647" s="249" t="s">
        <v>1172</v>
      </c>
      <c r="C647" s="242" t="s">
        <v>262</v>
      </c>
      <c r="D647" s="243"/>
      <c r="E647" s="243"/>
      <c r="F647" s="243">
        <f t="array" ref="F647">SUM(IF("156"&amp;B647=KHN&amp;MH,SL))</f>
        <v>4</v>
      </c>
      <c r="G647" s="243">
        <f t="array" ref="G647">SUM(IF("156"&amp;B647=KHN&amp;MH,TH))</f>
        <v>168204</v>
      </c>
      <c r="H647" s="243">
        <f t="array" ref="H647">SUM(IF("156"&amp;B647=KHC&amp;MH,SL))</f>
        <v>4</v>
      </c>
      <c r="I647" s="243">
        <f t="array" ref="I647">SUM(IF("156"&amp;B647=KHC&amp;MH,TH))</f>
        <v>168204</v>
      </c>
      <c r="J647" s="243">
        <f t="shared" si="29"/>
        <v>0</v>
      </c>
      <c r="K647" s="243">
        <f t="shared" si="30"/>
        <v>0</v>
      </c>
      <c r="L647" s="181"/>
    </row>
    <row r="648" spans="1:12" ht="19.5" customHeight="1">
      <c r="A648" s="240">
        <f t="shared" si="28"/>
        <v>637</v>
      </c>
      <c r="B648" s="249" t="s">
        <v>798</v>
      </c>
      <c r="C648" s="242" t="s">
        <v>262</v>
      </c>
      <c r="D648" s="243"/>
      <c r="E648" s="243"/>
      <c r="F648" s="243">
        <f t="array" ref="F648">SUM(IF("156"&amp;B648=KHN&amp;MH,SL))</f>
        <v>20</v>
      </c>
      <c r="G648" s="243">
        <f t="array" ref="G648">SUM(IF("156"&amp;B648=KHN&amp;MH,TH))</f>
        <v>1516420</v>
      </c>
      <c r="H648" s="243">
        <f t="array" ref="H648">SUM(IF("156"&amp;B648=KHC&amp;MH,SL))</f>
        <v>20</v>
      </c>
      <c r="I648" s="243">
        <f t="array" ref="I648">SUM(IF("156"&amp;B648=KHC&amp;MH,TH))</f>
        <v>1516420</v>
      </c>
      <c r="J648" s="243">
        <f t="shared" si="29"/>
        <v>0</v>
      </c>
      <c r="K648" s="243">
        <f t="shared" si="30"/>
        <v>0</v>
      </c>
      <c r="L648" s="181"/>
    </row>
    <row r="649" spans="1:12" ht="19.5" customHeight="1">
      <c r="A649" s="240">
        <f t="shared" si="28"/>
        <v>638</v>
      </c>
      <c r="B649" s="249" t="s">
        <v>613</v>
      </c>
      <c r="C649" s="242" t="s">
        <v>262</v>
      </c>
      <c r="D649" s="243"/>
      <c r="E649" s="243"/>
      <c r="F649" s="243">
        <f t="array" ref="F649">SUM(IF("156"&amp;B649=KHN&amp;MH,SL))</f>
        <v>130</v>
      </c>
      <c r="G649" s="243">
        <f t="array" ref="G649">SUM(IF("156"&amp;B649=KHN&amp;MH,TH))</f>
        <v>11521120</v>
      </c>
      <c r="H649" s="243">
        <f t="array" ref="H649">SUM(IF("156"&amp;B649=KHC&amp;MH,SL))</f>
        <v>130</v>
      </c>
      <c r="I649" s="243">
        <f t="array" ref="I649">SUM(IF("156"&amp;B649=KHC&amp;MH,TH))</f>
        <v>11521120</v>
      </c>
      <c r="J649" s="243">
        <f t="shared" si="29"/>
        <v>0</v>
      </c>
      <c r="K649" s="243">
        <f t="shared" si="30"/>
        <v>0</v>
      </c>
      <c r="L649" s="181"/>
    </row>
    <row r="650" spans="1:12" ht="19.5" customHeight="1">
      <c r="A650" s="240">
        <f t="shared" si="28"/>
        <v>639</v>
      </c>
      <c r="B650" s="250" t="s">
        <v>1449</v>
      </c>
      <c r="C650" s="242"/>
      <c r="D650" s="243"/>
      <c r="E650" s="243"/>
      <c r="F650" s="243">
        <f t="array" ref="F650">SUM(IF("156"&amp;B650=KHN&amp;MH,SL))</f>
        <v>120</v>
      </c>
      <c r="G650" s="243">
        <f t="array" ref="G650">SUM(IF("156"&amp;B650=KHN&amp;MH,TH))</f>
        <v>10961760</v>
      </c>
      <c r="H650" s="243">
        <f t="array" ref="H650">SUM(IF("156"&amp;B650=KHC&amp;MH,SL))</f>
        <v>0</v>
      </c>
      <c r="I650" s="243">
        <f t="array" ref="I650">SUM(IF("156"&amp;B650=KHC&amp;MH,TH))</f>
        <v>0</v>
      </c>
      <c r="J650" s="243">
        <f t="shared" si="29"/>
        <v>120</v>
      </c>
      <c r="K650" s="243">
        <f t="shared" si="30"/>
        <v>10961760</v>
      </c>
      <c r="L650" s="181"/>
    </row>
    <row r="651" spans="1:12" ht="19.5" customHeight="1">
      <c r="A651" s="240">
        <f t="shared" si="28"/>
        <v>640</v>
      </c>
      <c r="B651" s="249" t="s">
        <v>690</v>
      </c>
      <c r="C651" s="242" t="s">
        <v>262</v>
      </c>
      <c r="D651" s="243"/>
      <c r="E651" s="243"/>
      <c r="F651" s="243">
        <f t="array" ref="F651">SUM(IF("156"&amp;B651=KHN&amp;MH,SL))</f>
        <v>22</v>
      </c>
      <c r="G651" s="243">
        <f t="array" ref="G651">SUM(IF("156"&amp;B651=KHN&amp;MH,TH))</f>
        <v>2779872</v>
      </c>
      <c r="H651" s="243">
        <f t="array" ref="H651">SUM(IF("156"&amp;B651=KHC&amp;MH,SL))</f>
        <v>14</v>
      </c>
      <c r="I651" s="243">
        <f t="array" ref="I651">SUM(IF("156"&amp;B651=KHC&amp;MH,TH))</f>
        <v>1773144</v>
      </c>
      <c r="J651" s="243">
        <f t="shared" si="29"/>
        <v>8</v>
      </c>
      <c r="K651" s="243">
        <f t="shared" si="30"/>
        <v>1006728</v>
      </c>
      <c r="L651" s="181"/>
    </row>
    <row r="652" spans="1:12" ht="19.5" customHeight="1">
      <c r="A652" s="240">
        <f t="shared" ref="A652:A669" si="31">IF(B652&lt;&gt;"",ROW()-11,"")</f>
        <v>641</v>
      </c>
      <c r="B652" s="249" t="s">
        <v>1047</v>
      </c>
      <c r="C652" s="242" t="s">
        <v>262</v>
      </c>
      <c r="D652" s="243"/>
      <c r="E652" s="243"/>
      <c r="F652" s="243">
        <f t="array" ref="F652">SUM(IF("156"&amp;B652=KHN&amp;MH,SL))</f>
        <v>8</v>
      </c>
      <c r="G652" s="243">
        <f t="array" ref="G652">SUM(IF("156"&amp;B652=KHN&amp;MH,TH))</f>
        <v>320536</v>
      </c>
      <c r="H652" s="243">
        <f t="array" ref="H652">SUM(IF("156"&amp;B652=KHC&amp;MH,SL))</f>
        <v>8</v>
      </c>
      <c r="I652" s="243">
        <f t="array" ref="I652">SUM(IF("156"&amp;B652=KHC&amp;MH,TH))</f>
        <v>320536</v>
      </c>
      <c r="J652" s="243">
        <f t="shared" ref="J652:J669" si="32">D652+F652-H652</f>
        <v>0</v>
      </c>
      <c r="K652" s="243">
        <f t="shared" ref="K652:K669" si="33">E652+G652-I652</f>
        <v>0</v>
      </c>
      <c r="L652" s="181"/>
    </row>
    <row r="653" spans="1:12" ht="19.5" customHeight="1">
      <c r="A653" s="240">
        <f t="shared" si="31"/>
        <v>642</v>
      </c>
      <c r="B653" s="249" t="s">
        <v>1066</v>
      </c>
      <c r="C653" s="242" t="s">
        <v>262</v>
      </c>
      <c r="D653" s="243"/>
      <c r="E653" s="243"/>
      <c r="F653" s="243">
        <f t="array" ref="F653">SUM(IF("156"&amp;B653=KHN&amp;MH,SL))</f>
        <v>8</v>
      </c>
      <c r="G653" s="243">
        <f t="array" ref="G653">SUM(IF("156"&amp;B653=KHN&amp;MH,TH))</f>
        <v>612128</v>
      </c>
      <c r="H653" s="243">
        <f t="array" ref="H653">SUM(IF("156"&amp;B653=KHC&amp;MH,SL))</f>
        <v>8</v>
      </c>
      <c r="I653" s="243">
        <f t="array" ref="I653">SUM(IF("156"&amp;B653=KHC&amp;MH,TH))</f>
        <v>612128</v>
      </c>
      <c r="J653" s="243">
        <f t="shared" si="32"/>
        <v>0</v>
      </c>
      <c r="K653" s="243">
        <f t="shared" si="33"/>
        <v>0</v>
      </c>
      <c r="L653" s="181"/>
    </row>
    <row r="654" spans="1:12" ht="19.5" customHeight="1">
      <c r="A654" s="240">
        <f t="shared" si="31"/>
        <v>643</v>
      </c>
      <c r="B654" s="250" t="s">
        <v>1491</v>
      </c>
      <c r="C654" s="242"/>
      <c r="D654" s="243"/>
      <c r="E654" s="243"/>
      <c r="F654" s="243">
        <f t="array" ref="F654">SUM(IF("156"&amp;B654=KHN&amp;MH,SL))</f>
        <v>8</v>
      </c>
      <c r="G654" s="243">
        <f t="array" ref="G654">SUM(IF("156"&amp;B654=KHN&amp;MH,TH))</f>
        <v>645936</v>
      </c>
      <c r="H654" s="243">
        <f t="array" ref="H654">SUM(IF("156"&amp;B654=KHC&amp;MH,SL))</f>
        <v>0</v>
      </c>
      <c r="I654" s="243">
        <f t="array" ref="I654">SUM(IF("156"&amp;B654=KHC&amp;MH,TH))</f>
        <v>0</v>
      </c>
      <c r="J654" s="243">
        <f t="shared" si="32"/>
        <v>8</v>
      </c>
      <c r="K654" s="243">
        <f t="shared" si="33"/>
        <v>645936</v>
      </c>
      <c r="L654" s="181"/>
    </row>
    <row r="655" spans="1:12" ht="19.5" customHeight="1">
      <c r="A655" s="240">
        <f t="shared" si="31"/>
        <v>644</v>
      </c>
      <c r="B655" s="249" t="s">
        <v>758</v>
      </c>
      <c r="C655" s="242" t="s">
        <v>262</v>
      </c>
      <c r="D655" s="243"/>
      <c r="E655" s="243"/>
      <c r="F655" s="243">
        <f t="array" ref="F655">SUM(IF("156"&amp;B655=KHN&amp;MH,SL))</f>
        <v>36</v>
      </c>
      <c r="G655" s="243">
        <f t="array" ref="G655">SUM(IF("156"&amp;B655=KHN&amp;MH,TH))</f>
        <v>2806344</v>
      </c>
      <c r="H655" s="243">
        <f t="array" ref="H655">SUM(IF("156"&amp;B655=KHC&amp;MH,SL))</f>
        <v>36</v>
      </c>
      <c r="I655" s="243">
        <f t="array" ref="I655">SUM(IF("156"&amp;B655=KHC&amp;MH,TH))</f>
        <v>2806344</v>
      </c>
      <c r="J655" s="243">
        <f t="shared" si="32"/>
        <v>0</v>
      </c>
      <c r="K655" s="243">
        <f t="shared" si="33"/>
        <v>0</v>
      </c>
      <c r="L655" s="181"/>
    </row>
    <row r="656" spans="1:12" ht="19.5" customHeight="1">
      <c r="A656" s="240">
        <f t="shared" si="31"/>
        <v>645</v>
      </c>
      <c r="B656" s="249" t="s">
        <v>795</v>
      </c>
      <c r="C656" s="242" t="s">
        <v>262</v>
      </c>
      <c r="D656" s="243"/>
      <c r="E656" s="243"/>
      <c r="F656" s="243">
        <f t="array" ref="F656">SUM(IF("156"&amp;B656=KHN&amp;MH,SL))</f>
        <v>334</v>
      </c>
      <c r="G656" s="243">
        <f t="array" ref="G656">SUM(IF("156"&amp;B656=KHN&amp;MH,TH))</f>
        <v>24592919</v>
      </c>
      <c r="H656" s="243">
        <f t="array" ref="H656">SUM(IF("156"&amp;B656=KHC&amp;MH,SL))</f>
        <v>334</v>
      </c>
      <c r="I656" s="243">
        <f t="array" ref="I656">SUM(IF("156"&amp;B656=KHC&amp;MH,TH))</f>
        <v>24592919</v>
      </c>
      <c r="J656" s="243">
        <f t="shared" si="32"/>
        <v>0</v>
      </c>
      <c r="K656" s="243">
        <f t="shared" si="33"/>
        <v>0</v>
      </c>
      <c r="L656" s="181"/>
    </row>
    <row r="657" spans="1:12" ht="19.5" customHeight="1">
      <c r="A657" s="240">
        <f t="shared" si="31"/>
        <v>646</v>
      </c>
      <c r="B657" s="250" t="s">
        <v>1477</v>
      </c>
      <c r="C657" s="242"/>
      <c r="D657" s="243"/>
      <c r="E657" s="243"/>
      <c r="F657" s="243">
        <f t="array" ref="F657">SUM(IF("156"&amp;B657=KHN&amp;MH,SL))</f>
        <v>42</v>
      </c>
      <c r="G657" s="243">
        <f t="array" ref="G657">SUM(IF("156"&amp;B657=KHN&amp;MH,TH))</f>
        <v>2621052</v>
      </c>
      <c r="H657" s="243">
        <f t="array" ref="H657">SUM(IF("156"&amp;B657=KHC&amp;MH,SL))</f>
        <v>0</v>
      </c>
      <c r="I657" s="243">
        <f t="array" ref="I657">SUM(IF("156"&amp;B657=KHC&amp;MH,TH))</f>
        <v>0</v>
      </c>
      <c r="J657" s="243">
        <f t="shared" si="32"/>
        <v>42</v>
      </c>
      <c r="K657" s="243">
        <f t="shared" si="33"/>
        <v>2621052</v>
      </c>
      <c r="L657" s="181"/>
    </row>
    <row r="658" spans="1:12" ht="19.5" customHeight="1">
      <c r="A658" s="240">
        <f t="shared" si="31"/>
        <v>647</v>
      </c>
      <c r="B658" s="250" t="s">
        <v>1668</v>
      </c>
      <c r="C658" s="242"/>
      <c r="D658" s="243"/>
      <c r="E658" s="243"/>
      <c r="F658" s="243">
        <f t="array" ref="F658">SUM(IF("156"&amp;B658=KHN&amp;MH,SL))</f>
        <v>10</v>
      </c>
      <c r="G658" s="243">
        <f t="array" ref="G658">SUM(IF("156"&amp;B658=KHN&amp;MH,TH))</f>
        <v>618340</v>
      </c>
      <c r="H658" s="243">
        <f t="array" ref="H658">SUM(IF("156"&amp;B658=KHC&amp;MH,SL))</f>
        <v>0</v>
      </c>
      <c r="I658" s="243">
        <f t="array" ref="I658">SUM(IF("156"&amp;B658=KHC&amp;MH,TH))</f>
        <v>0</v>
      </c>
      <c r="J658" s="243">
        <f t="shared" si="32"/>
        <v>10</v>
      </c>
      <c r="K658" s="243">
        <f t="shared" si="33"/>
        <v>618340</v>
      </c>
      <c r="L658" s="181"/>
    </row>
    <row r="659" spans="1:12" ht="19.5" customHeight="1">
      <c r="A659" s="240">
        <f t="shared" si="31"/>
        <v>648</v>
      </c>
      <c r="B659" s="250" t="s">
        <v>1243</v>
      </c>
      <c r="C659" s="242" t="s">
        <v>262</v>
      </c>
      <c r="D659" s="243"/>
      <c r="E659" s="243"/>
      <c r="F659" s="243">
        <f t="array" ref="F659">SUM(IF("156"&amp;B659=KHN&amp;MH,SL))</f>
        <v>40</v>
      </c>
      <c r="G659" s="243">
        <f t="array" ref="G659">SUM(IF("156"&amp;B659=KHN&amp;MH,TH))</f>
        <v>3498360</v>
      </c>
      <c r="H659" s="243">
        <f t="array" ref="H659">SUM(IF("156"&amp;B659=KHC&amp;MH,SL))</f>
        <v>40</v>
      </c>
      <c r="I659" s="243">
        <f t="array" ref="I659">SUM(IF("156"&amp;B659=KHC&amp;MH,TH))</f>
        <v>3498360</v>
      </c>
      <c r="J659" s="243">
        <f t="shared" si="32"/>
        <v>0</v>
      </c>
      <c r="K659" s="243">
        <f t="shared" si="33"/>
        <v>0</v>
      </c>
      <c r="L659" s="181"/>
    </row>
    <row r="660" spans="1:12" ht="19.5" customHeight="1">
      <c r="A660" s="240">
        <f t="shared" si="31"/>
        <v>649</v>
      </c>
      <c r="B660" s="249" t="s">
        <v>1062</v>
      </c>
      <c r="C660" s="242" t="s">
        <v>262</v>
      </c>
      <c r="D660" s="243"/>
      <c r="E660" s="243"/>
      <c r="F660" s="243">
        <f t="array" ref="F660">SUM(IF("156"&amp;B660=KHN&amp;MH,SL))</f>
        <v>7</v>
      </c>
      <c r="G660" s="243">
        <f t="array" ref="G660">SUM(IF("156"&amp;B660=KHN&amp;MH,TH))</f>
        <v>543382</v>
      </c>
      <c r="H660" s="243">
        <f t="array" ref="H660">SUM(IF("156"&amp;B660=KHC&amp;MH,SL))</f>
        <v>7</v>
      </c>
      <c r="I660" s="243">
        <f t="array" ref="I660">SUM(IF("156"&amp;B660=KHC&amp;MH,TH))</f>
        <v>543382</v>
      </c>
      <c r="J660" s="243">
        <f t="shared" si="32"/>
        <v>0</v>
      </c>
      <c r="K660" s="243">
        <f t="shared" si="33"/>
        <v>0</v>
      </c>
      <c r="L660" s="181"/>
    </row>
    <row r="661" spans="1:12" ht="19.5" customHeight="1">
      <c r="A661" s="240">
        <f t="shared" si="31"/>
        <v>650</v>
      </c>
      <c r="B661" s="250" t="s">
        <v>1672</v>
      </c>
      <c r="C661" s="242"/>
      <c r="D661" s="243"/>
      <c r="E661" s="243"/>
      <c r="F661" s="243">
        <f t="array" ref="F661">SUM(IF("156"&amp;B661=KHN&amp;MH,SL))</f>
        <v>20</v>
      </c>
      <c r="G661" s="243">
        <f t="array" ref="G661">SUM(IF("156"&amp;B661=KHN&amp;MH,TH))</f>
        <v>1627680</v>
      </c>
      <c r="H661" s="243">
        <f t="array" ref="H661">SUM(IF("156"&amp;B661=KHC&amp;MH,SL))</f>
        <v>0</v>
      </c>
      <c r="I661" s="243">
        <f t="array" ref="I661">SUM(IF("156"&amp;B661=KHC&amp;MH,TH))</f>
        <v>0</v>
      </c>
      <c r="J661" s="243">
        <f t="shared" si="32"/>
        <v>20</v>
      </c>
      <c r="K661" s="243">
        <f t="shared" si="33"/>
        <v>1627680</v>
      </c>
      <c r="L661" s="181"/>
    </row>
    <row r="662" spans="1:12" ht="19.5" customHeight="1">
      <c r="A662" s="240">
        <f t="shared" si="31"/>
        <v>651</v>
      </c>
      <c r="B662" s="249" t="s">
        <v>754</v>
      </c>
      <c r="C662" s="242" t="s">
        <v>262</v>
      </c>
      <c r="D662" s="243"/>
      <c r="E662" s="243"/>
      <c r="F662" s="243">
        <f t="array" ref="F662">SUM(IF("156"&amp;B662=KHN&amp;MH,SL))</f>
        <v>106</v>
      </c>
      <c r="G662" s="243">
        <f t="array" ref="G662">SUM(IF("156"&amp;B662=KHN&amp;MH,TH))</f>
        <v>6549922</v>
      </c>
      <c r="H662" s="243">
        <f t="array" ref="H662">SUM(IF("156"&amp;B662=KHC&amp;MH,SL))</f>
        <v>88</v>
      </c>
      <c r="I662" s="243">
        <f t="array" ref="I662">SUM(IF("156"&amp;B662=KHC&amp;MH,TH))</f>
        <v>5365648</v>
      </c>
      <c r="J662" s="243">
        <f t="shared" si="32"/>
        <v>18</v>
      </c>
      <c r="K662" s="243">
        <f t="shared" si="33"/>
        <v>1184274</v>
      </c>
      <c r="L662" s="181"/>
    </row>
    <row r="663" spans="1:12" ht="19.5" customHeight="1">
      <c r="A663" s="240">
        <f t="shared" si="31"/>
        <v>652</v>
      </c>
      <c r="B663" s="249" t="s">
        <v>796</v>
      </c>
      <c r="C663" s="242" t="s">
        <v>262</v>
      </c>
      <c r="D663" s="243"/>
      <c r="E663" s="243"/>
      <c r="F663" s="243">
        <f t="array" ref="F663">SUM(IF("156"&amp;B663=KHN&amp;MH,SL))</f>
        <v>40</v>
      </c>
      <c r="G663" s="243">
        <f t="array" ref="G663">SUM(IF("156"&amp;B663=KHN&amp;MH,TH))</f>
        <v>2467256</v>
      </c>
      <c r="H663" s="243">
        <f t="array" ref="H663">SUM(IF("156"&amp;B663=KHC&amp;MH,SL))</f>
        <v>40</v>
      </c>
      <c r="I663" s="243">
        <f t="array" ref="I663">SUM(IF("156"&amp;B663=KHC&amp;MH,TH))</f>
        <v>2467256</v>
      </c>
      <c r="J663" s="243">
        <f t="shared" si="32"/>
        <v>0</v>
      </c>
      <c r="K663" s="243">
        <f t="shared" si="33"/>
        <v>0</v>
      </c>
      <c r="L663" s="181"/>
    </row>
    <row r="664" spans="1:12" ht="19.5" customHeight="1">
      <c r="A664" s="240">
        <f t="shared" si="31"/>
        <v>653</v>
      </c>
      <c r="B664" s="250" t="s">
        <v>1493</v>
      </c>
      <c r="C664" s="242"/>
      <c r="D664" s="243"/>
      <c r="E664" s="243"/>
      <c r="F664" s="243">
        <f t="array" ref="F664">SUM(IF("156"&amp;B664=KHN&amp;MH,SL))</f>
        <v>16</v>
      </c>
      <c r="G664" s="243">
        <f t="array" ref="G664">SUM(IF("156"&amp;B664=KHN&amp;MH,TH))</f>
        <v>1368320</v>
      </c>
      <c r="H664" s="243">
        <f t="array" ref="H664">SUM(IF("156"&amp;B664=KHC&amp;MH,SL))</f>
        <v>0</v>
      </c>
      <c r="I664" s="243">
        <f t="array" ref="I664">SUM(IF("156"&amp;B664=KHC&amp;MH,TH))</f>
        <v>0</v>
      </c>
      <c r="J664" s="243">
        <f t="shared" si="32"/>
        <v>16</v>
      </c>
      <c r="K664" s="243">
        <f t="shared" si="33"/>
        <v>1368320</v>
      </c>
      <c r="L664" s="181"/>
    </row>
    <row r="665" spans="1:12" ht="19.5" customHeight="1">
      <c r="A665" s="240">
        <f t="shared" si="31"/>
        <v>654</v>
      </c>
      <c r="B665" s="250" t="s">
        <v>1463</v>
      </c>
      <c r="C665" s="242"/>
      <c r="D665" s="243"/>
      <c r="E665" s="243"/>
      <c r="F665" s="243">
        <f t="array" ref="F665">SUM(IF("156"&amp;B665=KHN&amp;MH,SL))</f>
        <v>10</v>
      </c>
      <c r="G665" s="243">
        <f t="array" ref="G665">SUM(IF("156"&amp;B665=KHN&amp;MH,TH))</f>
        <v>830230</v>
      </c>
      <c r="H665" s="243">
        <f t="array" ref="H665">SUM(IF("156"&amp;B665=KHC&amp;MH,SL))</f>
        <v>0</v>
      </c>
      <c r="I665" s="243">
        <f t="array" ref="I665">SUM(IF("156"&amp;B665=KHC&amp;MH,TH))</f>
        <v>0</v>
      </c>
      <c r="J665" s="243">
        <f t="shared" si="32"/>
        <v>10</v>
      </c>
      <c r="K665" s="243">
        <f t="shared" si="33"/>
        <v>830230</v>
      </c>
      <c r="L665" s="181"/>
    </row>
    <row r="666" spans="1:12" ht="19.5" customHeight="1">
      <c r="A666" s="240">
        <f t="shared" si="31"/>
        <v>655</v>
      </c>
      <c r="B666" s="250" t="s">
        <v>1348</v>
      </c>
      <c r="C666" s="242"/>
      <c r="D666" s="243"/>
      <c r="E666" s="243"/>
      <c r="F666" s="243">
        <f t="array" ref="F666">SUM(IF("156"&amp;B666=KHN&amp;MH,SL))</f>
        <v>60</v>
      </c>
      <c r="G666" s="243">
        <f t="array" ref="G666">SUM(IF("156"&amp;B666=KHN&amp;MH,TH))</f>
        <v>2201335</v>
      </c>
      <c r="H666" s="243">
        <f t="array" ref="H666">SUM(IF("156"&amp;B666=KHC&amp;MH,SL))</f>
        <v>20</v>
      </c>
      <c r="I666" s="243">
        <f t="array" ref="I666">SUM(IF("156"&amp;B666=KHC&amp;MH,TH))</f>
        <v>667215</v>
      </c>
      <c r="J666" s="243">
        <f t="shared" si="32"/>
        <v>40</v>
      </c>
      <c r="K666" s="243">
        <f t="shared" si="33"/>
        <v>1534120</v>
      </c>
      <c r="L666" s="181"/>
    </row>
    <row r="667" spans="1:12" ht="19.5" customHeight="1">
      <c r="A667" s="240">
        <f t="shared" si="31"/>
        <v>656</v>
      </c>
      <c r="B667" s="250" t="s">
        <v>1349</v>
      </c>
      <c r="C667" s="242"/>
      <c r="D667" s="243"/>
      <c r="E667" s="243"/>
      <c r="F667" s="243">
        <f t="array" ref="F667">SUM(IF("156"&amp;B667=KHN&amp;MH,SL))</f>
        <v>60</v>
      </c>
      <c r="G667" s="243">
        <f t="array" ref="G667">SUM(IF("156"&amp;B667=KHN&amp;MH,TH))</f>
        <v>2292935</v>
      </c>
      <c r="H667" s="243">
        <f t="array" ref="H667">SUM(IF("156"&amp;B667=KHC&amp;MH,SL))</f>
        <v>20</v>
      </c>
      <c r="I667" s="243">
        <f t="array" ref="I667">SUM(IF("156"&amp;B667=KHC&amp;MH,TH))</f>
        <v>667215</v>
      </c>
      <c r="J667" s="243">
        <f t="shared" si="32"/>
        <v>40</v>
      </c>
      <c r="K667" s="243">
        <f t="shared" si="33"/>
        <v>1625720</v>
      </c>
      <c r="L667" s="181"/>
    </row>
    <row r="668" spans="1:12" ht="19.5" customHeight="1">
      <c r="A668" s="240">
        <f t="shared" si="31"/>
        <v>657</v>
      </c>
      <c r="B668" s="250" t="s">
        <v>1454</v>
      </c>
      <c r="C668" s="242"/>
      <c r="D668" s="243"/>
      <c r="E668" s="243"/>
      <c r="F668" s="243">
        <f t="array" ref="F668">SUM(IF("156"&amp;B668=KHN&amp;MH,SL))</f>
        <v>10</v>
      </c>
      <c r="G668" s="243">
        <f t="array" ref="G668">SUM(IF("156"&amp;B668=KHN&amp;MH,TH))</f>
        <v>1185380</v>
      </c>
      <c r="H668" s="243">
        <f t="array" ref="H668">SUM(IF("156"&amp;B668=KHC&amp;MH,SL))</f>
        <v>0</v>
      </c>
      <c r="I668" s="243">
        <f t="array" ref="I668">SUM(IF("156"&amp;B668=KHC&amp;MH,TH))</f>
        <v>0</v>
      </c>
      <c r="J668" s="243">
        <f t="shared" si="32"/>
        <v>10</v>
      </c>
      <c r="K668" s="243">
        <f t="shared" si="33"/>
        <v>1185380</v>
      </c>
      <c r="L668" s="181"/>
    </row>
    <row r="669" spans="1:12" ht="19.5" customHeight="1">
      <c r="A669" s="240">
        <f t="shared" si="31"/>
        <v>658</v>
      </c>
      <c r="B669" s="249" t="s">
        <v>650</v>
      </c>
      <c r="C669" s="242" t="s">
        <v>262</v>
      </c>
      <c r="D669" s="243"/>
      <c r="E669" s="243"/>
      <c r="F669" s="243">
        <f t="array" ref="F669">SUM(IF("156"&amp;B669=KHN&amp;MH,SL))</f>
        <v>20</v>
      </c>
      <c r="G669" s="243">
        <f t="array" ref="G669">SUM(IF("156"&amp;B669=KHN&amp;MH,TH))</f>
        <v>1586643</v>
      </c>
      <c r="H669" s="243">
        <f t="array" ref="H669">SUM(IF("156"&amp;B669=KHC&amp;MH,SL))</f>
        <v>20</v>
      </c>
      <c r="I669" s="243">
        <f t="array" ref="I669">SUM(IF("156"&amp;B669=KHC&amp;MH,TH))</f>
        <v>1586643</v>
      </c>
      <c r="J669" s="243">
        <f t="shared" si="32"/>
        <v>0</v>
      </c>
      <c r="K669" s="243">
        <f t="shared" si="33"/>
        <v>0</v>
      </c>
      <c r="L669" s="181"/>
    </row>
    <row r="670" spans="1:12" ht="19.5" customHeight="1">
      <c r="A670" s="240">
        <f t="shared" ref="A670:A681" si="34">IF(B670&lt;&gt;"",ROW()-11,"")</f>
        <v>659</v>
      </c>
      <c r="B670" s="564" t="s">
        <v>1286</v>
      </c>
      <c r="C670" s="242"/>
      <c r="D670" s="243"/>
      <c r="E670" s="243"/>
      <c r="F670" s="243">
        <f t="array" ref="F670">SUM(IF("156"&amp;B670=KHN&amp;MH,SL))</f>
        <v>3370</v>
      </c>
      <c r="G670" s="243">
        <f t="array" ref="G670">SUM(IF("156"&amp;B670=KHN&amp;MH,TH))</f>
        <v>41282500</v>
      </c>
      <c r="H670" s="243">
        <f t="array" ref="H670">SUM(IF("156"&amp;B670=KHC&amp;MH,SL))</f>
        <v>0</v>
      </c>
      <c r="I670" s="243">
        <f t="array" ref="I670">SUM(IF("156"&amp;B670=KHC&amp;MH,TH))</f>
        <v>0</v>
      </c>
      <c r="J670" s="243">
        <f t="shared" ref="J670:J681" si="35">D670+F670-H670</f>
        <v>3370</v>
      </c>
      <c r="K670" s="243">
        <f t="shared" ref="K670:K681" si="36">E670+G670-I670</f>
        <v>41282500</v>
      </c>
      <c r="L670" s="181"/>
    </row>
    <row r="671" spans="1:12" ht="19.5" customHeight="1">
      <c r="A671" s="240" t="str">
        <f t="shared" ref="A671:A675" si="37">IF(B671&lt;&gt;"",ROW()-11,"")</f>
        <v/>
      </c>
      <c r="B671" s="245"/>
      <c r="C671" s="242"/>
      <c r="D671" s="243"/>
      <c r="E671" s="243"/>
      <c r="F671" s="243">
        <f t="array" ref="F671">SUM(IF("156"&amp;B671=KHN&amp;MH,SL))</f>
        <v>0</v>
      </c>
      <c r="G671" s="243">
        <f t="array" ref="G671">SUM(IF("156"&amp;B671=KHN&amp;MH,TH))</f>
        <v>0</v>
      </c>
      <c r="H671" s="243">
        <f t="array" ref="H671">SUM(IF("156"&amp;B671=KHC&amp;MH,SL))</f>
        <v>0</v>
      </c>
      <c r="I671" s="243">
        <f t="array" ref="I671">SUM(IF("156"&amp;B671=KHC&amp;MH,TH))</f>
        <v>0</v>
      </c>
      <c r="J671" s="243">
        <f t="shared" ref="J671:J675" si="38">D671+F671-H671</f>
        <v>0</v>
      </c>
      <c r="K671" s="243">
        <f t="shared" ref="K671:K675" si="39">E671+G671-I671</f>
        <v>0</v>
      </c>
      <c r="L671" s="181"/>
    </row>
    <row r="672" spans="1:12" ht="19.5" customHeight="1">
      <c r="A672" s="240" t="str">
        <f t="shared" si="37"/>
        <v/>
      </c>
      <c r="B672" s="245"/>
      <c r="C672" s="242"/>
      <c r="D672" s="243"/>
      <c r="E672" s="243"/>
      <c r="F672" s="243">
        <f t="array" ref="F672">SUM(IF("156"&amp;B672=KHN&amp;MH,SL))</f>
        <v>0</v>
      </c>
      <c r="G672" s="243">
        <f t="array" ref="G672">SUM(IF("156"&amp;B672=KHN&amp;MH,TH))</f>
        <v>0</v>
      </c>
      <c r="H672" s="243">
        <f t="array" ref="H672">SUM(IF("156"&amp;B672=KHC&amp;MH,SL))</f>
        <v>0</v>
      </c>
      <c r="I672" s="243">
        <f t="array" ref="I672">SUM(IF("156"&amp;B672=KHC&amp;MH,TH))</f>
        <v>0</v>
      </c>
      <c r="J672" s="243">
        <f t="shared" si="38"/>
        <v>0</v>
      </c>
      <c r="K672" s="243">
        <f t="shared" si="39"/>
        <v>0</v>
      </c>
      <c r="L672" s="181"/>
    </row>
    <row r="673" spans="1:12" ht="19.5" customHeight="1">
      <c r="A673" s="240" t="str">
        <f t="shared" si="37"/>
        <v/>
      </c>
      <c r="B673" s="245"/>
      <c r="C673" s="242"/>
      <c r="D673" s="243"/>
      <c r="E673" s="243"/>
      <c r="F673" s="243">
        <f t="array" ref="F673">SUM(IF("156"&amp;B673=KHN&amp;MH,SL))</f>
        <v>0</v>
      </c>
      <c r="G673" s="243">
        <f t="array" ref="G673">SUM(IF("156"&amp;B673=KHN&amp;MH,TH))</f>
        <v>0</v>
      </c>
      <c r="H673" s="243">
        <f t="array" ref="H673">SUM(IF("156"&amp;B673=KHC&amp;MH,SL))</f>
        <v>0</v>
      </c>
      <c r="I673" s="243">
        <f t="array" ref="I673">SUM(IF("156"&amp;B673=KHC&amp;MH,TH))</f>
        <v>0</v>
      </c>
      <c r="J673" s="243">
        <f t="shared" si="38"/>
        <v>0</v>
      </c>
      <c r="K673" s="243">
        <f t="shared" si="39"/>
        <v>0</v>
      </c>
      <c r="L673" s="181"/>
    </row>
    <row r="674" spans="1:12" ht="19.5" customHeight="1">
      <c r="A674" s="240" t="str">
        <f t="shared" si="37"/>
        <v/>
      </c>
      <c r="B674" s="245"/>
      <c r="C674" s="242"/>
      <c r="D674" s="243"/>
      <c r="E674" s="243"/>
      <c r="F674" s="243">
        <f t="array" ref="F674">SUM(IF("156"&amp;B674=KHN&amp;MH,SL))</f>
        <v>0</v>
      </c>
      <c r="G674" s="243">
        <f t="array" ref="G674">SUM(IF("156"&amp;B674=KHN&amp;MH,TH))</f>
        <v>0</v>
      </c>
      <c r="H674" s="243">
        <f t="array" ref="H674">SUM(IF("156"&amp;B674=KHC&amp;MH,SL))</f>
        <v>0</v>
      </c>
      <c r="I674" s="243">
        <f t="array" ref="I674">SUM(IF("156"&amp;B674=KHC&amp;MH,TH))</f>
        <v>0</v>
      </c>
      <c r="J674" s="243">
        <f t="shared" si="38"/>
        <v>0</v>
      </c>
      <c r="K674" s="243">
        <f t="shared" si="39"/>
        <v>0</v>
      </c>
      <c r="L674" s="181"/>
    </row>
    <row r="675" spans="1:12" ht="19.5" customHeight="1">
      <c r="A675" s="240" t="str">
        <f t="shared" si="37"/>
        <v/>
      </c>
      <c r="B675" s="245"/>
      <c r="C675" s="242"/>
      <c r="D675" s="243"/>
      <c r="E675" s="243"/>
      <c r="F675" s="243">
        <f t="array" ref="F675">SUM(IF("156"&amp;B675=KHN&amp;MH,SL))</f>
        <v>0</v>
      </c>
      <c r="G675" s="243">
        <f t="array" ref="G675">SUM(IF("156"&amp;B675=KHN&amp;MH,TH))</f>
        <v>0</v>
      </c>
      <c r="H675" s="243">
        <f t="array" ref="H675">SUM(IF("156"&amp;B675=KHC&amp;MH,SL))</f>
        <v>0</v>
      </c>
      <c r="I675" s="243">
        <f t="array" ref="I675">SUM(IF("156"&amp;B675=KHC&amp;MH,TH))</f>
        <v>0</v>
      </c>
      <c r="J675" s="243">
        <f t="shared" si="38"/>
        <v>0</v>
      </c>
      <c r="K675" s="243">
        <f t="shared" si="39"/>
        <v>0</v>
      </c>
      <c r="L675" s="181"/>
    </row>
    <row r="676" spans="1:12" ht="19.5" customHeight="1">
      <c r="A676" s="240" t="str">
        <f t="shared" ref="A676:A680" si="40">IF(B676&lt;&gt;"",ROW()-11,"")</f>
        <v/>
      </c>
      <c r="B676" s="245"/>
      <c r="C676" s="242"/>
      <c r="D676" s="243"/>
      <c r="E676" s="243"/>
      <c r="F676" s="243">
        <f t="array" ref="F676">SUM(IF("156"&amp;B676=KHN&amp;MH,SL))</f>
        <v>0</v>
      </c>
      <c r="G676" s="243">
        <f t="array" ref="G676">SUM(IF("156"&amp;B676=KHN&amp;MH,TH))</f>
        <v>0</v>
      </c>
      <c r="H676" s="243">
        <f t="array" ref="H676">SUM(IF("156"&amp;B676=KHC&amp;MH,SL))</f>
        <v>0</v>
      </c>
      <c r="I676" s="243">
        <f t="array" ref="I676">SUM(IF("156"&amp;B676=KHC&amp;MH,TH))</f>
        <v>0</v>
      </c>
      <c r="J676" s="243">
        <f t="shared" ref="J676:J680" si="41">D676+F676-H676</f>
        <v>0</v>
      </c>
      <c r="K676" s="243">
        <f t="shared" ref="K676:K680" si="42">E676+G676-I676</f>
        <v>0</v>
      </c>
      <c r="L676" s="181"/>
    </row>
    <row r="677" spans="1:12" ht="19.5" customHeight="1">
      <c r="A677" s="240" t="str">
        <f t="shared" si="40"/>
        <v/>
      </c>
      <c r="B677" s="245"/>
      <c r="C677" s="242"/>
      <c r="D677" s="243"/>
      <c r="E677" s="243"/>
      <c r="F677" s="243">
        <f t="array" ref="F677">SUM(IF("156"&amp;B677=KHN&amp;MH,SL))</f>
        <v>0</v>
      </c>
      <c r="G677" s="243">
        <f t="array" ref="G677">SUM(IF("156"&amp;B677=KHN&amp;MH,TH))</f>
        <v>0</v>
      </c>
      <c r="H677" s="243">
        <f t="array" ref="H677">SUM(IF("156"&amp;B677=KHC&amp;MH,SL))</f>
        <v>0</v>
      </c>
      <c r="I677" s="243">
        <f t="array" ref="I677">SUM(IF("156"&amp;B677=KHC&amp;MH,TH))</f>
        <v>0</v>
      </c>
      <c r="J677" s="243">
        <f t="shared" si="41"/>
        <v>0</v>
      </c>
      <c r="K677" s="243">
        <f t="shared" si="42"/>
        <v>0</v>
      </c>
      <c r="L677" s="181"/>
    </row>
    <row r="678" spans="1:12" ht="19.5" customHeight="1">
      <c r="A678" s="240" t="str">
        <f t="shared" si="40"/>
        <v/>
      </c>
      <c r="B678" s="245"/>
      <c r="C678" s="242"/>
      <c r="D678" s="243"/>
      <c r="E678" s="243"/>
      <c r="F678" s="243">
        <f t="array" ref="F678">SUM(IF("156"&amp;B678=KHN&amp;MH,SL))</f>
        <v>0</v>
      </c>
      <c r="G678" s="243">
        <f t="array" ref="G678">SUM(IF("156"&amp;B678=KHN&amp;MH,TH))</f>
        <v>0</v>
      </c>
      <c r="H678" s="243">
        <f t="array" ref="H678">SUM(IF("156"&amp;B678=KHC&amp;MH,SL))</f>
        <v>0</v>
      </c>
      <c r="I678" s="243">
        <f t="array" ref="I678">SUM(IF("156"&amp;B678=KHC&amp;MH,TH))</f>
        <v>0</v>
      </c>
      <c r="J678" s="243">
        <f t="shared" si="41"/>
        <v>0</v>
      </c>
      <c r="K678" s="243">
        <f t="shared" si="42"/>
        <v>0</v>
      </c>
      <c r="L678" s="181"/>
    </row>
    <row r="679" spans="1:12" ht="19.5" customHeight="1">
      <c r="A679" s="240" t="str">
        <f t="shared" si="40"/>
        <v/>
      </c>
      <c r="B679" s="245"/>
      <c r="C679" s="242"/>
      <c r="D679" s="243"/>
      <c r="E679" s="243"/>
      <c r="F679" s="243">
        <f t="array" ref="F679">SUM(IF("156"&amp;B679=KHN&amp;MH,SL))</f>
        <v>0</v>
      </c>
      <c r="G679" s="243">
        <f t="array" ref="G679">SUM(IF("156"&amp;B679=KHN&amp;MH,TH))</f>
        <v>0</v>
      </c>
      <c r="H679" s="243">
        <f t="array" ref="H679">SUM(IF("156"&amp;B679=KHC&amp;MH,SL))</f>
        <v>0</v>
      </c>
      <c r="I679" s="243">
        <f t="array" ref="I679">SUM(IF("156"&amp;B679=KHC&amp;MH,TH))</f>
        <v>0</v>
      </c>
      <c r="J679" s="243">
        <f t="shared" si="41"/>
        <v>0</v>
      </c>
      <c r="K679" s="243">
        <f t="shared" si="42"/>
        <v>0</v>
      </c>
      <c r="L679" s="181"/>
    </row>
    <row r="680" spans="1:12" ht="19.5" customHeight="1">
      <c r="A680" s="240" t="str">
        <f t="shared" si="40"/>
        <v/>
      </c>
      <c r="B680" s="245"/>
      <c r="C680" s="242"/>
      <c r="D680" s="243"/>
      <c r="E680" s="243"/>
      <c r="F680" s="243">
        <f t="array" ref="F680">SUM(IF("156"&amp;B680=KHN&amp;MH,SL))</f>
        <v>0</v>
      </c>
      <c r="G680" s="243">
        <f t="array" ref="G680">SUM(IF("156"&amp;B680=KHN&amp;MH,TH))</f>
        <v>0</v>
      </c>
      <c r="H680" s="243">
        <f t="array" ref="H680">SUM(IF("156"&amp;B680=KHC&amp;MH,SL))</f>
        <v>0</v>
      </c>
      <c r="I680" s="243">
        <f t="array" ref="I680">SUM(IF("156"&amp;B680=KHC&amp;MH,TH))</f>
        <v>0</v>
      </c>
      <c r="J680" s="243">
        <f t="shared" si="41"/>
        <v>0</v>
      </c>
      <c r="K680" s="243">
        <f t="shared" si="42"/>
        <v>0</v>
      </c>
      <c r="L680" s="181"/>
    </row>
    <row r="681" spans="1:12" ht="19.5" customHeight="1">
      <c r="A681" s="240" t="str">
        <f t="shared" si="34"/>
        <v/>
      </c>
      <c r="B681" s="245"/>
      <c r="C681" s="242"/>
      <c r="D681" s="243"/>
      <c r="E681" s="243"/>
      <c r="F681" s="243">
        <f t="array" ref="F681">SUM(IF("156"&amp;B681=KHN&amp;MH,SL))</f>
        <v>0</v>
      </c>
      <c r="G681" s="243">
        <f t="array" ref="G681">SUM(IF("156"&amp;B681=KHN&amp;MH,TH))</f>
        <v>0</v>
      </c>
      <c r="H681" s="243">
        <f t="array" ref="H681">SUM(IF("156"&amp;B681=KHC&amp;MH,SL))</f>
        <v>0</v>
      </c>
      <c r="I681" s="243">
        <f t="array" ref="I681">SUM(IF("156"&amp;B681=KHC&amp;MH,TH))</f>
        <v>0</v>
      </c>
      <c r="J681" s="243">
        <f t="shared" si="35"/>
        <v>0</v>
      </c>
      <c r="K681" s="243">
        <f t="shared" si="36"/>
        <v>0</v>
      </c>
      <c r="L681" s="181"/>
    </row>
    <row r="682" spans="1:12" ht="19.5" customHeight="1">
      <c r="A682" s="240" t="str">
        <f t="shared" ref="A682:A683" si="43">IF(B682&lt;&gt;"",ROW()-11,"")</f>
        <v/>
      </c>
      <c r="B682" s="245"/>
      <c r="C682" s="242"/>
      <c r="D682" s="243"/>
      <c r="E682" s="243"/>
      <c r="F682" s="243">
        <f t="array" ref="F682">SUM(IF("156"&amp;B682=KHN&amp;MH,SL))</f>
        <v>0</v>
      </c>
      <c r="G682" s="243">
        <f t="array" ref="G682">SUM(IF("156"&amp;B682=KHN&amp;MH,TH))</f>
        <v>0</v>
      </c>
      <c r="H682" s="243">
        <f t="array" ref="H682">SUM(IF("156"&amp;B682=KHC&amp;MH,SL))</f>
        <v>0</v>
      </c>
      <c r="I682" s="243">
        <f t="array" ref="I682">SUM(IF("156"&amp;B682=KHC&amp;MH,TH))</f>
        <v>0</v>
      </c>
      <c r="J682" s="243">
        <f t="shared" ref="J682:J683" si="44">D682+F682-H682</f>
        <v>0</v>
      </c>
      <c r="K682" s="243">
        <f t="shared" ref="K682:K683" si="45">E682+G682-I682</f>
        <v>0</v>
      </c>
      <c r="L682" s="181"/>
    </row>
    <row r="683" spans="1:12" ht="19.5" customHeight="1">
      <c r="A683" s="240" t="str">
        <f t="shared" si="43"/>
        <v/>
      </c>
      <c r="B683" s="245"/>
      <c r="C683" s="242"/>
      <c r="D683" s="243"/>
      <c r="E683" s="243"/>
      <c r="F683" s="243">
        <f t="array" ref="F683">SUM(IF("156"&amp;B683=KHN&amp;MH,SL))</f>
        <v>0</v>
      </c>
      <c r="G683" s="243">
        <f t="array" ref="G683">SUM(IF("156"&amp;B683=KHN&amp;MH,TH))</f>
        <v>0</v>
      </c>
      <c r="H683" s="243">
        <f t="array" ref="H683">SUM(IF("156"&amp;B683=KHC&amp;MH,SL))</f>
        <v>0</v>
      </c>
      <c r="I683" s="243">
        <f t="array" ref="I683">SUM(IF("156"&amp;B683=KHC&amp;MH,TH))</f>
        <v>0</v>
      </c>
      <c r="J683" s="243">
        <f t="shared" si="44"/>
        <v>0</v>
      </c>
      <c r="K683" s="243">
        <f t="shared" si="45"/>
        <v>0</v>
      </c>
      <c r="L683" s="181"/>
    </row>
    <row r="684" spans="1:12" ht="19.5" customHeight="1">
      <c r="A684" s="240" t="str">
        <f t="shared" ref="A684" si="46">IF(B684&lt;&gt;"",ROW()-11,"")</f>
        <v/>
      </c>
      <c r="B684" s="245"/>
      <c r="C684" s="242"/>
      <c r="D684" s="243"/>
      <c r="E684" s="243"/>
      <c r="F684" s="243">
        <f t="array" ref="F684">SUM(IF("156"&amp;B684=KHN&amp;MH,SL))</f>
        <v>0</v>
      </c>
      <c r="G684" s="243">
        <f t="array" ref="G684">SUM(IF("156"&amp;B684=KHN&amp;MH,TH))</f>
        <v>0</v>
      </c>
      <c r="H684" s="243">
        <f t="array" ref="H684">SUM(IF("156"&amp;B684=KHC&amp;MH,SL))</f>
        <v>0</v>
      </c>
      <c r="I684" s="243">
        <f t="array" ref="I684">SUM(IF("156"&amp;B684=KHC&amp;MH,TH))</f>
        <v>0</v>
      </c>
      <c r="J684" s="243">
        <f t="shared" ref="J684" si="47">D684+F684-H684</f>
        <v>0</v>
      </c>
      <c r="K684" s="243">
        <f t="shared" ref="K684" si="48">E684+G684-I684</f>
        <v>0</v>
      </c>
      <c r="L684" s="181"/>
    </row>
    <row r="685" spans="1:12" ht="19.5" customHeight="1">
      <c r="A685" s="240" t="str">
        <f t="shared" ref="A685:A686" si="49">IF(B685&lt;&gt;"",ROW()-11,"")</f>
        <v/>
      </c>
      <c r="B685" s="245"/>
      <c r="C685" s="242"/>
      <c r="D685" s="243"/>
      <c r="E685" s="243"/>
      <c r="F685" s="243">
        <f t="array" ref="F685">SUM(IF("156"&amp;B685=KHN&amp;MH,SL))</f>
        <v>0</v>
      </c>
      <c r="G685" s="243">
        <f t="array" ref="G685">SUM(IF("156"&amp;B685=KHN&amp;MH,TH))</f>
        <v>0</v>
      </c>
      <c r="H685" s="243">
        <f t="array" ref="H685">SUM(IF("156"&amp;B685=KHC&amp;MH,SL))</f>
        <v>0</v>
      </c>
      <c r="I685" s="243">
        <f t="array" ref="I685">SUM(IF("156"&amp;B685=KHC&amp;MH,TH))</f>
        <v>0</v>
      </c>
      <c r="J685" s="243">
        <f t="shared" ref="J685" si="50">D685+F685-H685</f>
        <v>0</v>
      </c>
      <c r="K685" s="243">
        <f t="shared" ref="K685" si="51">E685+G685-I685</f>
        <v>0</v>
      </c>
      <c r="L685" s="181"/>
    </row>
    <row r="686" spans="1:12" ht="19.5" customHeight="1">
      <c r="A686" s="240" t="str">
        <f t="shared" si="49"/>
        <v/>
      </c>
      <c r="B686" s="241"/>
      <c r="C686" s="242"/>
      <c r="D686" s="243"/>
      <c r="E686" s="243"/>
      <c r="F686" s="243"/>
      <c r="G686" s="243"/>
      <c r="H686" s="243"/>
      <c r="I686" s="243"/>
      <c r="J686" s="243"/>
      <c r="K686" s="243"/>
      <c r="L686" s="181"/>
    </row>
    <row r="687" spans="1:12" ht="19.5" customHeight="1">
      <c r="A687" s="239"/>
      <c r="B687" s="251" t="s">
        <v>242</v>
      </c>
      <c r="C687" s="239"/>
      <c r="D687" s="252">
        <f t="shared" ref="D687:K687" si="52">SUM(D12:D686)</f>
        <v>43161</v>
      </c>
      <c r="E687" s="252">
        <f t="shared" si="52"/>
        <v>596650875</v>
      </c>
      <c r="F687" s="252">
        <f t="shared" si="52"/>
        <v>563392</v>
      </c>
      <c r="G687" s="252">
        <f t="shared" si="52"/>
        <v>7444870921</v>
      </c>
      <c r="H687" s="252">
        <f t="shared" si="52"/>
        <v>398079</v>
      </c>
      <c r="I687" s="252">
        <f t="shared" si="52"/>
        <v>5353783208</v>
      </c>
      <c r="J687" s="252">
        <f t="shared" si="52"/>
        <v>208474</v>
      </c>
      <c r="K687" s="252">
        <f t="shared" si="52"/>
        <v>2687738588</v>
      </c>
      <c r="L687" s="181"/>
    </row>
    <row r="688" spans="1:12" ht="19.5" customHeight="1">
      <c r="A688" s="253"/>
      <c r="B688" s="254"/>
      <c r="C688" s="253"/>
      <c r="D688" s="255"/>
      <c r="E688" s="255">
        <f>E687-CDPS!C20</f>
        <v>0</v>
      </c>
      <c r="F688" s="255"/>
      <c r="G688" s="255">
        <f>G687-CDPS!E20</f>
        <v>0</v>
      </c>
      <c r="H688" s="255"/>
      <c r="I688" s="255">
        <f>I687-CDPS!F20</f>
        <v>0</v>
      </c>
      <c r="J688" s="255"/>
      <c r="K688" s="255">
        <f>K687-CDPS!G20</f>
        <v>0</v>
      </c>
      <c r="L688" s="181"/>
    </row>
    <row r="689" spans="2:11" ht="11.25" customHeight="1"/>
    <row r="690" spans="2:11" ht="19.5" customHeight="1">
      <c r="B690" s="907"/>
      <c r="C690" s="907"/>
      <c r="D690" s="907"/>
      <c r="E690" s="97"/>
      <c r="F690" s="97"/>
      <c r="G690" s="97"/>
      <c r="H690" s="97"/>
      <c r="I690" s="907" t="str">
        <f>"Ngày  31  tháng   03  năm   "&amp;YEAR(TH!$C$10)</f>
        <v>Ngày  31  tháng   03  năm   2017</v>
      </c>
      <c r="J690" s="907"/>
      <c r="K690" s="907"/>
    </row>
    <row r="691" spans="2:11" ht="19.5" customHeight="1">
      <c r="B691" s="121"/>
      <c r="C691" s="121"/>
      <c r="D691" s="121"/>
      <c r="E691" s="907"/>
      <c r="F691" s="907"/>
      <c r="G691" s="907"/>
      <c r="H691" s="97"/>
      <c r="I691" s="907" t="s">
        <v>107</v>
      </c>
      <c r="J691" s="907"/>
      <c r="K691" s="907"/>
    </row>
    <row r="692" spans="2:11" ht="19.5" customHeight="1">
      <c r="B692" s="121"/>
      <c r="C692" s="121"/>
      <c r="D692" s="121"/>
      <c r="E692" s="907"/>
      <c r="F692" s="907"/>
      <c r="G692" s="907"/>
      <c r="H692" s="235"/>
      <c r="I692" s="907" t="s">
        <v>134</v>
      </c>
      <c r="J692" s="907"/>
      <c r="K692" s="907"/>
    </row>
    <row r="693" spans="2:11" ht="20.25" customHeight="1"/>
    <row r="694" spans="2:11" ht="20.25" customHeight="1"/>
    <row r="695" spans="2:11" ht="20.25" customHeight="1"/>
    <row r="696" spans="2:11" ht="20.25" customHeight="1"/>
    <row r="697" spans="2:11" ht="20.25" customHeight="1"/>
    <row r="698" spans="2:11" ht="20.25" customHeight="1"/>
    <row r="699" spans="2:11" ht="20.25" customHeight="1"/>
    <row r="700" spans="2:11" ht="19.5" customHeight="1"/>
    <row r="701" spans="2:11" ht="19.5" customHeight="1"/>
    <row r="702" spans="2:11" ht="19.5" customHeight="1"/>
    <row r="703" spans="2:11" ht="19.5" customHeight="1"/>
    <row r="704" spans="2:11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</sheetData>
  <autoFilter ref="A11:M688"/>
  <sortState ref="A12:O670">
    <sortCondition ref="B12:B670"/>
  </sortState>
  <mergeCells count="21">
    <mergeCell ref="B7:K7"/>
    <mergeCell ref="E692:G692"/>
    <mergeCell ref="I692:K692"/>
    <mergeCell ref="B690:D690"/>
    <mergeCell ref="I690:K690"/>
    <mergeCell ref="E691:G691"/>
    <mergeCell ref="I691:K691"/>
    <mergeCell ref="A8:A10"/>
    <mergeCell ref="B8:B10"/>
    <mergeCell ref="C8:C9"/>
    <mergeCell ref="D8:K8"/>
    <mergeCell ref="D9:E9"/>
    <mergeCell ref="F9:G9"/>
    <mergeCell ref="H9:I9"/>
    <mergeCell ref="J9:K9"/>
    <mergeCell ref="A6:K6"/>
    <mergeCell ref="G1:K1"/>
    <mergeCell ref="A4:K4"/>
    <mergeCell ref="A5:K5"/>
    <mergeCell ref="G2:K3"/>
    <mergeCell ref="A2:F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L5" sqref="L5"/>
    </sheetView>
  </sheetViews>
  <sheetFormatPr defaultRowHeight="12"/>
  <cols>
    <col min="1" max="1" width="4.7109375" style="98" customWidth="1"/>
    <col min="2" max="2" width="28.14062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10.71093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53" customFormat="1" ht="12" customHeight="1">
      <c r="A2" s="152" t="str">
        <f>TH!A1</f>
        <v>Đơn vị: CÔNG TY TNHH MỘT THÀNH VIÊN KHỞI NGUYÊN AN</v>
      </c>
      <c r="G2" s="154" t="str">
        <f>+IF(LEFT($D$7,1)="N","Mẫu số 01 - VT","Mẫu số 02 - VT")</f>
        <v>Mẫu số 02 - VT</v>
      </c>
    </row>
    <row r="3" spans="1:17" s="153" customFormat="1" ht="12" customHeight="1">
      <c r="A3" s="946" t="str">
        <f>TH!A2</f>
        <v>Địa chỉ: Thửa đất số 144, tờ bản đồ số 12TĐH.1, tổ 1, khu phố Đông Tác, Phường Tân Đông Hiệp, Thị Xã Dĩ An, Tỉnh Bình Dương, Việt Nam</v>
      </c>
      <c r="B3" s="946"/>
      <c r="C3" s="946"/>
      <c r="D3" s="946"/>
      <c r="E3" s="946"/>
      <c r="G3" s="17" t="str">
        <f ca="1">IF(INT(RIGHT($D$6,4))&gt;=2015,"(Ban hành theo Thông tư số 200/2014/TT-BTC ","(Ban hành kèm theo QĐ 48/2006/QĐ-BTC")</f>
        <v xml:space="preserve">(Ban hành theo Thông tư số 200/2014/TT-BTC </v>
      </c>
      <c r="N3" s="154" t="s">
        <v>102</v>
      </c>
      <c r="O3" s="155"/>
      <c r="P3" s="156">
        <f>IF(J5="Quý I",1,IF(J5="Quý II",4,IF(J5="Quý III",7,IF(J5="Quý IV",10,""))))</f>
        <v>4</v>
      </c>
      <c r="Q3" s="156">
        <f>IF(J5="Quý I",3,IF(J5="Quý II",6,IF(J5="Quý III",9,IF(J5="Quý IV",12,""))))</f>
        <v>6</v>
      </c>
    </row>
    <row r="4" spans="1:17" s="153" customFormat="1" ht="12" customHeight="1" thickBot="1">
      <c r="A4" s="946"/>
      <c r="B4" s="946"/>
      <c r="C4" s="946"/>
      <c r="D4" s="946"/>
      <c r="E4" s="946"/>
      <c r="G4" s="17" t="str">
        <f ca="1">IF(INT(RIGHT($D$6,4))&gt;=2015,"Ngày 22/12/2014 của Bộ Tài chính)","ngày 24/09/2006 của Bộ trưởng BTC)")</f>
        <v>Ngày 22/12/2014 của Bộ Tài chính)</v>
      </c>
      <c r="J4" s="157"/>
      <c r="M4" s="158"/>
      <c r="N4" s="154" t="s">
        <v>103</v>
      </c>
      <c r="O4" s="155"/>
    </row>
    <row r="5" spans="1:17" ht="18" customHeight="1" thickBot="1">
      <c r="D5" s="102" t="str">
        <f>+IF(LEFT($L$5,1)="N","PHIẾU NHẬP KHO","PHIẾU XUẤT KHO")</f>
        <v>PHIẾU XUẤT KHO</v>
      </c>
      <c r="J5" s="149" t="s">
        <v>1264</v>
      </c>
      <c r="K5" s="103"/>
      <c r="L5" s="150" t="s">
        <v>996</v>
      </c>
      <c r="M5" s="104"/>
      <c r="N5" s="151">
        <v>1</v>
      </c>
      <c r="O5" s="99"/>
      <c r="P5" s="99"/>
    </row>
    <row r="6" spans="1:17" ht="10.5" customHeight="1">
      <c r="D6" s="16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4  tháng  4  năm  2017</v>
      </c>
      <c r="E6" s="161"/>
      <c r="M6" s="101"/>
      <c r="O6" s="99"/>
    </row>
    <row r="7" spans="1:17" ht="10.5" customHeight="1">
      <c r="C7" s="162" t="str">
        <f xml:space="preserve"> "Số:"</f>
        <v>Số:</v>
      </c>
      <c r="D7" s="17" t="str">
        <f>LEFT($L$5,1)&amp;IF($N$5&gt;=10,$N$5,"0"&amp;$N$5)</f>
        <v>X01</v>
      </c>
      <c r="G7" s="98" t="str">
        <f ca="1">"Nợ:  "&amp;IF(ROWS($1:1)&gt;COUNT(Dong10),"",OFFSET(TH!L$1,SMALL(Dong10,ROWS($1:1)),))</f>
        <v>Nợ:  131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>Có:  5112</v>
      </c>
      <c r="M8" s="101"/>
      <c r="O8" s="164"/>
    </row>
    <row r="9" spans="1:17" ht="10.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Ngân Đại Sơn                                         Địa chỉ (bộ phận) :     Sản Xuất </v>
      </c>
      <c r="M9" s="101"/>
    </row>
    <row r="10" spans="1:17" ht="10.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0.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Xuất tại kho (ngăn lô) :            Cty TNHH MTV Khởi Nguyên An                     Địa điểm:  Dĩ An, Bình Dương.</v>
      </c>
    </row>
    <row r="12" spans="1:17" ht="10.5" customHeight="1">
      <c r="A12" s="98" t="str">
        <f>+IF(LEFT($D$7,1)="N","Nhập tại kho:       Cty TNHH MTV Khởi Nguyên An                     Địa điểm:  Dĩ An, Bình Dương."," ")</f>
        <v xml:space="preserve"> </v>
      </c>
    </row>
    <row r="13" spans="1:17" ht="2.25" customHeight="1"/>
    <row r="14" spans="1:17" ht="11.25" customHeight="1">
      <c r="A14" s="947" t="s">
        <v>33</v>
      </c>
      <c r="B14" s="947" t="s">
        <v>177</v>
      </c>
      <c r="C14" s="947" t="s">
        <v>178</v>
      </c>
      <c r="D14" s="947" t="s">
        <v>170</v>
      </c>
      <c r="E14" s="949" t="s">
        <v>179</v>
      </c>
      <c r="F14" s="949"/>
      <c r="G14" s="947" t="s">
        <v>180</v>
      </c>
      <c r="H14" s="947" t="s">
        <v>181</v>
      </c>
    </row>
    <row r="15" spans="1:17" ht="12.75" customHeight="1">
      <c r="A15" s="948"/>
      <c r="B15" s="948"/>
      <c r="C15" s="948"/>
      <c r="D15" s="948"/>
      <c r="E15" s="165" t="s">
        <v>182</v>
      </c>
      <c r="F15" s="165" t="str">
        <f>IF(LEFT($D$7,1)="N","Thực nhập","Thực xuất")</f>
        <v>Thực xuất</v>
      </c>
      <c r="G15" s="948"/>
      <c r="H15" s="948"/>
    </row>
    <row r="16" spans="1:17" s="17" customFormat="1" ht="8.25" customHeight="1">
      <c r="A16" s="166" t="s">
        <v>2</v>
      </c>
      <c r="B16" s="166" t="s">
        <v>3</v>
      </c>
      <c r="C16" s="166" t="s">
        <v>4</v>
      </c>
      <c r="D16" s="166" t="s">
        <v>5</v>
      </c>
      <c r="E16" s="166">
        <v>1</v>
      </c>
      <c r="F16" s="166">
        <v>2</v>
      </c>
      <c r="G16" s="166">
        <v>3</v>
      </c>
      <c r="H16" s="166">
        <v>4</v>
      </c>
    </row>
    <row r="17" spans="1:8" ht="11.25" customHeight="1">
      <c r="A17" s="167">
        <f ca="1">IF(B17="","",ROW()-16)</f>
        <v>1</v>
      </c>
      <c r="B17" s="168" t="str">
        <f ca="1">IF(ROWS($1:1)&gt;COUNT(Dong10),"",OFFSET(TH!F$1,SMALL(Dong10,ROWS($1:1)),))</f>
        <v>Thùng 58.5x37.5x25.5</v>
      </c>
      <c r="C17" s="169"/>
      <c r="D17" s="170" t="str">
        <f ca="1">IF(ISNA(VLOOKUP(B17,NXT!$B$12:$C$688,2,0)),"",VLOOKUP(B17,NXT!$B$12:$C$688,2,0))</f>
        <v>cái</v>
      </c>
      <c r="E17" s="171"/>
      <c r="F17" s="172">
        <f ca="1">IF(ROWS($1:1)&gt;COUNT(Dong10),"",OFFSET(TH!I$1,SMALL(Dong10,ROWS($1:1)),))</f>
        <v>126</v>
      </c>
      <c r="G17" s="172">
        <f ca="1">IF(ROWS($1:1)&gt;COUNT(Dong10),"",OFFSET(TH!J$1,SMALL(Dong10,ROWS($1:1)),))</f>
        <v>13930</v>
      </c>
      <c r="H17" s="171">
        <f ca="1">IF(F17&lt;&gt;"",ROUND(F17*G17,0),0)</f>
        <v>1755180</v>
      </c>
    </row>
    <row r="18" spans="1:8" ht="11.25" customHeight="1">
      <c r="A18" s="167">
        <f t="shared" ref="A18:A29" ca="1" si="0">IF(B18="","",A17+1)</f>
        <v>2</v>
      </c>
      <c r="B18" s="168" t="str">
        <f ca="1">IF(ROWS($1:2)&gt;COUNT(Dong10),"",OFFSET(TH!F$1,SMALL(Dong10,ROWS($1:2)),))</f>
        <v>Thùng 57x18x12</v>
      </c>
      <c r="C18" s="169"/>
      <c r="D18" s="170" t="str">
        <f ca="1">IF(ISNA(VLOOKUP(B18,NXT!$B$12:$C$688,2,0)),"",VLOOKUP(B18,NXT!$B$12:$C$688,2,0))</f>
        <v>cái</v>
      </c>
      <c r="E18" s="171"/>
      <c r="F18" s="172">
        <f ca="1">IF(ROWS($1:2)&gt;COUNT(Dong10),"",OFFSET(TH!I$1,SMALL(Dong10,ROWS($1:2)),))</f>
        <v>520</v>
      </c>
      <c r="G18" s="172">
        <f ca="1">IF(ROWS($1:2)&gt;COUNT(Dong10),"",OFFSET(TH!J$1,SMALL(Dong10,ROWS($1:2)),))</f>
        <v>7013</v>
      </c>
      <c r="H18" s="171">
        <f t="shared" ref="H18:H24" ca="1" si="1">IF(F18&lt;&gt;"",ROUND(F18*G18,0),0)</f>
        <v>3646760</v>
      </c>
    </row>
    <row r="19" spans="1:8" ht="11.25" customHeight="1">
      <c r="A19" s="167">
        <f t="shared" ca="1" si="0"/>
        <v>3</v>
      </c>
      <c r="B19" s="168" t="str">
        <f ca="1">IF(ROWS($1:3)&gt;COUNT(Dong10),"",OFFSET(TH!F$1,SMALL(Dong10,ROWS($1:3)),))</f>
        <v>Thùng 64x33.5x21.5</v>
      </c>
      <c r="C19" s="169"/>
      <c r="D19" s="170" t="str">
        <f ca="1">IF(ISNA(VLOOKUP(B19,NXT!$B$12:$C$688,2,0)),"",VLOOKUP(B19,NXT!$B$12:$C$688,2,0))</f>
        <v>cái</v>
      </c>
      <c r="E19" s="171"/>
      <c r="F19" s="172">
        <f ca="1">IF(ROWS($1:3)&gt;COUNT(Dong10),"",OFFSET(TH!I$1,SMALL(Dong10,ROWS($1:3)),))</f>
        <v>255</v>
      </c>
      <c r="G19" s="172">
        <f ca="1">IF(ROWS($1:3)&gt;COUNT(Dong10),"",OFFSET(TH!J$1,SMALL(Dong10,ROWS($1:3)),))</f>
        <v>17250</v>
      </c>
      <c r="H19" s="171">
        <f t="shared" ca="1" si="1"/>
        <v>4398750</v>
      </c>
    </row>
    <row r="20" spans="1:8" ht="11.25" customHeight="1">
      <c r="A20" s="167">
        <f t="shared" ca="1" si="0"/>
        <v>4</v>
      </c>
      <c r="B20" s="168" t="str">
        <f ca="1">IF(ROWS($1:4)&gt;COUNT(Dong10),"",OFFSET(TH!F$1,SMALL(Dong10,ROWS($1:4)),))</f>
        <v>Thùng 62.5x16x10</v>
      </c>
      <c r="C20" s="169"/>
      <c r="D20" s="170" t="str">
        <f ca="1">IF(ISNA(VLOOKUP(B20,NXT!$B$12:$C$688,2,0)),"",VLOOKUP(B20,NXT!$B$12:$C$688,2,0))</f>
        <v>cái</v>
      </c>
      <c r="E20" s="171"/>
      <c r="F20" s="172">
        <f ca="1">IF(ROWS($1:4)&gt;COUNT(Dong10),"",OFFSET(TH!I$1,SMALL(Dong10,ROWS($1:4)),))</f>
        <v>600</v>
      </c>
      <c r="G20" s="172">
        <f ca="1">IF(ROWS($1:4)&gt;COUNT(Dong10),"",OFFSET(TH!J$1,SMALL(Dong10,ROWS($1:4)),))</f>
        <v>8013</v>
      </c>
      <c r="H20" s="171">
        <f t="shared" ca="1" si="1"/>
        <v>4807800</v>
      </c>
    </row>
    <row r="21" spans="1:8" ht="11.25" customHeight="1">
      <c r="A21" s="167" t="str">
        <f t="shared" ca="1" si="0"/>
        <v/>
      </c>
      <c r="B21" s="168" t="str">
        <f ca="1">IF(ROWS($1:5)&gt;COUNT(Dong10),"",OFFSET(TH!F$1,SMALL(Dong10,ROWS($1:5)),))</f>
        <v/>
      </c>
      <c r="C21" s="169"/>
      <c r="D21" s="170" t="str">
        <f ca="1">IF(ISNA(VLOOKUP(B21,NXT!$B$12:$C$688,2,0)),"",VLOOKUP(B21,NXT!$B$12:$C$688,2,0))</f>
        <v/>
      </c>
      <c r="E21" s="171"/>
      <c r="F21" s="172" t="str">
        <f ca="1">IF(ROWS($1:5)&gt;COUNT(Dong10),"",OFFSET(TH!I$1,SMALL(Dong10,ROWS($1:5)),))</f>
        <v/>
      </c>
      <c r="G21" s="172" t="str">
        <f ca="1">IF(ROWS($1:5)&gt;COUNT(Dong10),"",OFFSET(TH!J$1,SMALL(Dong10,ROWS($1:5)),))</f>
        <v/>
      </c>
      <c r="H21" s="171">
        <f t="shared" ca="1" si="1"/>
        <v>0</v>
      </c>
    </row>
    <row r="22" spans="1:8" ht="11.25" customHeight="1">
      <c r="A22" s="167" t="str">
        <f t="shared" ca="1" si="0"/>
        <v/>
      </c>
      <c r="B22" s="168" t="str">
        <f ca="1">IF(ROWS($1:6)&gt;COUNT(Dong10),"",OFFSET(TH!F$1,SMALL(Dong10,ROWS($1:6)),))</f>
        <v/>
      </c>
      <c r="C22" s="169"/>
      <c r="D22" s="170" t="str">
        <f ca="1">IF(ISNA(VLOOKUP(B22,NXT!$B$12:$C$688,2,0)),"",VLOOKUP(B22,NXT!$B$12:$C$688,2,0))</f>
        <v/>
      </c>
      <c r="E22" s="171"/>
      <c r="F22" s="172" t="str">
        <f ca="1">IF(ROWS($1:6)&gt;COUNT(Dong10),"",OFFSET(TH!I$1,SMALL(Dong10,ROWS($1:6)),))</f>
        <v/>
      </c>
      <c r="G22" s="172" t="str">
        <f ca="1">IF(ROWS($1:6)&gt;COUNT(Dong10),"",OFFSET(TH!J$1,SMALL(Dong10,ROWS($1:6)),))</f>
        <v/>
      </c>
      <c r="H22" s="171">
        <f t="shared" ca="1" si="1"/>
        <v>0</v>
      </c>
    </row>
    <row r="23" spans="1:8" ht="11.25" customHeight="1">
      <c r="A23" s="167" t="str">
        <f t="shared" ca="1" si="0"/>
        <v/>
      </c>
      <c r="B23" s="168" t="str">
        <f ca="1">IF(ROWS($1:7)&gt;COUNT(Dong10),"",OFFSET(TH!F$1,SMALL(Dong10,ROWS($1:7)),))</f>
        <v/>
      </c>
      <c r="C23" s="169"/>
      <c r="D23" s="170" t="str">
        <f ca="1">IF(ISNA(VLOOKUP(B23,NXT!$B$12:$C$688,2,0)),"",VLOOKUP(B23,NXT!$B$12:$C$688,2,0))</f>
        <v/>
      </c>
      <c r="E23" s="171"/>
      <c r="F23" s="172" t="str">
        <f ca="1">IF(ROWS($1:7)&gt;COUNT(Dong10),"",OFFSET(TH!I$1,SMALL(Dong10,ROWS($1:7)),))</f>
        <v/>
      </c>
      <c r="G23" s="172" t="str">
        <f ca="1">IF(ROWS($1:7)&gt;COUNT(Dong10),"",OFFSET(TH!J$1,SMALL(Dong10,ROWS($1:7)),))</f>
        <v/>
      </c>
      <c r="H23" s="171">
        <f t="shared" ca="1" si="1"/>
        <v>0</v>
      </c>
    </row>
    <row r="24" spans="1:8" ht="11.25" customHeight="1">
      <c r="A24" s="167" t="str">
        <f t="shared" ca="1" si="0"/>
        <v/>
      </c>
      <c r="B24" s="168" t="str">
        <f ca="1">IF(ROWS($1:8)&gt;COUNT(Dong10),"",OFFSET(TH!F$1,SMALL(Dong10,ROWS($1:8)),))</f>
        <v/>
      </c>
      <c r="C24" s="169"/>
      <c r="D24" s="170" t="str">
        <f ca="1">IF(ISNA(VLOOKUP(B24,NXT!$B$12:$C$688,2,0)),"",VLOOKUP(B24,NXT!$B$12:$C$688,2,0))</f>
        <v/>
      </c>
      <c r="E24" s="171"/>
      <c r="F24" s="172" t="str">
        <f ca="1">IF(ROWS($1:8)&gt;COUNT(Dong10),"",OFFSET(TH!I$1,SMALL(Dong10,ROWS($1:8)),))</f>
        <v/>
      </c>
      <c r="G24" s="172" t="str">
        <f ca="1">IF(ROWS($1:8)&gt;COUNT(Dong10),"",OFFSET(TH!J$1,SMALL(Dong10,ROWS($1:8)),))</f>
        <v/>
      </c>
      <c r="H24" s="171">
        <f t="shared" ca="1" si="1"/>
        <v>0</v>
      </c>
    </row>
    <row r="25" spans="1:8" ht="11.25" customHeight="1">
      <c r="A25" s="167" t="str">
        <f t="shared" ca="1" si="0"/>
        <v/>
      </c>
      <c r="B25" s="168" t="str">
        <f ca="1">IF(ROWS($1:9)&gt;COUNT(Dong10),"",OFFSET(TH!F$1,SMALL(Dong10,ROWS($1:9)),))</f>
        <v/>
      </c>
      <c r="C25" s="169"/>
      <c r="D25" s="170" t="str">
        <f ca="1">IF(ISNA(VLOOKUP(B25,NXT!$B$12:$C$688,2,0)),"",VLOOKUP(B25,NXT!$B$12:$C$688,2,0))</f>
        <v/>
      </c>
      <c r="E25" s="171"/>
      <c r="F25" s="172" t="str">
        <f ca="1">IF(ROWS($1:9)&gt;COUNT(Dong10),"",OFFSET(TH!I$1,SMALL(Dong10,ROWS($1:9)),))</f>
        <v/>
      </c>
      <c r="G25" s="172" t="str">
        <f ca="1">IF(ROWS($1:9)&gt;COUNT(Dong10),"",OFFSET(TH!J$1,SMALL(Dong10,ROWS($1:9)),))</f>
        <v/>
      </c>
      <c r="H25" s="171">
        <f ca="1">IF(F25&lt;&gt;"",ROUND(F25*G25,0),0)</f>
        <v>0</v>
      </c>
    </row>
    <row r="26" spans="1:8" ht="11.25" customHeight="1">
      <c r="A26" s="167" t="str">
        <f t="shared" ca="1" si="0"/>
        <v/>
      </c>
      <c r="B26" s="168" t="str">
        <f ca="1">IF(ROWS($1:10)&gt;COUNT(Dong10),"",OFFSET(TH!F$1,SMALL(Dong10,ROWS($1:10)),))</f>
        <v/>
      </c>
      <c r="C26" s="169"/>
      <c r="D26" s="170" t="str">
        <f ca="1">IF(ISNA(VLOOKUP(B26,NXT!$B$12:$C$688,2,0)),"",VLOOKUP(B26,NXT!$B$12:$C$688,2,0))</f>
        <v/>
      </c>
      <c r="E26" s="171"/>
      <c r="F26" s="172" t="str">
        <f ca="1">IF(ROWS($1:10)&gt;COUNT(Dong10),"",OFFSET(TH!I$1,SMALL(Dong10,ROWS($1:10)),))</f>
        <v/>
      </c>
      <c r="G26" s="172" t="str">
        <f ca="1">IF(ROWS($1:10)&gt;COUNT(Dong10),"",OFFSET(TH!J$1,SMALL(Dong10,ROWS($1:10)),))</f>
        <v/>
      </c>
      <c r="H26" s="171">
        <f ca="1">IF(F26&lt;&gt;"",ROUND(F26*G26,0),0)</f>
        <v>0</v>
      </c>
    </row>
    <row r="27" spans="1:8" ht="11.25" customHeight="1">
      <c r="A27" s="167" t="str">
        <f t="shared" ca="1" si="0"/>
        <v/>
      </c>
      <c r="B27" s="168" t="str">
        <f ca="1">IF(ROWS($1:11)&gt;COUNT(Dong10),"",OFFSET(TH!F$1,SMALL(Dong10,ROWS($1:11)),))</f>
        <v/>
      </c>
      <c r="C27" s="169"/>
      <c r="D27" s="170" t="str">
        <f ca="1">IF(ISNA(VLOOKUP(B27,NXT!$B$12:$C$688,2,0)),"",VLOOKUP(B27,NXT!$B$12:$C$688,2,0))</f>
        <v/>
      </c>
      <c r="E27" s="171"/>
      <c r="F27" s="172" t="str">
        <f ca="1">IF(ROWS($1:11)&gt;COUNT(Dong10),"",OFFSET(TH!I$1,SMALL(Dong10,ROWS($1:11)),))</f>
        <v/>
      </c>
      <c r="G27" s="172" t="str">
        <f ca="1">IF(ROWS($1:11)&gt;COUNT(Dong10),"",OFFSET(TH!J$1,SMALL(Dong10,ROWS($1:11)),))</f>
        <v/>
      </c>
      <c r="H27" s="171">
        <f ca="1">IF(F27&lt;&gt;"",ROUND(F27*G27,0),0)</f>
        <v>0</v>
      </c>
    </row>
    <row r="28" spans="1:8" ht="11.25" customHeight="1">
      <c r="A28" s="167" t="str">
        <f t="shared" ca="1" si="0"/>
        <v/>
      </c>
      <c r="B28" s="168" t="str">
        <f ca="1">IF(ROWS($1:12)&gt;COUNT(Dong10),"",OFFSET(TH!F$1,SMALL(Dong10,ROWS($1:12)),))</f>
        <v/>
      </c>
      <c r="C28" s="169"/>
      <c r="D28" s="170" t="str">
        <f ca="1">IF(ISNA(VLOOKUP(B28,NXT!$B$12:$C$688,2,0)),"",VLOOKUP(B28,NXT!$B$12:$C$688,2,0))</f>
        <v/>
      </c>
      <c r="E28" s="171"/>
      <c r="F28" s="172" t="str">
        <f ca="1">IF(ROWS($1:12)&gt;COUNT(Dong10),"",OFFSET(TH!I$1,SMALL(Dong10,ROWS($1:12)),))</f>
        <v/>
      </c>
      <c r="G28" s="172" t="str">
        <f ca="1">IF(ROWS($1:12)&gt;COUNT(Dong10),"",OFFSET(TH!J$1,SMALL(Dong10,ROWS($1:12)),))</f>
        <v/>
      </c>
      <c r="H28" s="171">
        <f ca="1">IF(F28&lt;&gt;"",ROUND(F28*G28,0),0)</f>
        <v>0</v>
      </c>
    </row>
    <row r="29" spans="1:8" ht="3" customHeight="1">
      <c r="A29" s="167" t="str">
        <f t="shared" ca="1" si="0"/>
        <v/>
      </c>
      <c r="B29" s="168" t="str">
        <f ca="1">IF(ROWS($1:13)&gt;COUNT(Dong10),"",OFFSET(TH!F$1,SMALL(Dong10,ROWS($1:13)),))</f>
        <v/>
      </c>
      <c r="C29" s="169"/>
      <c r="D29" s="170" t="str">
        <f ca="1">IF(ISNA(VLOOKUP(B29,NXT!$B$12:$C$688,2,0)),"",VLOOKUP(B29,NXT!$B$12:$C$688,2,0))</f>
        <v/>
      </c>
      <c r="E29" s="171"/>
      <c r="F29" s="172" t="str">
        <f ca="1">IF(ROWS($1:13)&gt;COUNT(Dong10),"",OFFSET(TH!I$1,SMALL(Dong10,ROWS($1:13)),))</f>
        <v/>
      </c>
      <c r="G29" s="172" t="str">
        <f ca="1">IF(ROWS($1:13)&gt;COUNT(Dong10),"",OFFSET(TH!J$1,SMALL(Dong10,ROWS($1:13)),))</f>
        <v/>
      </c>
      <c r="H29" s="171">
        <f ca="1">IF(F29&lt;&gt;"",ROUND(F29*G29,0),0)</f>
        <v>0</v>
      </c>
    </row>
    <row r="30" spans="1:8" ht="11.25" customHeight="1">
      <c r="A30" s="949" t="s">
        <v>183</v>
      </c>
      <c r="B30" s="949"/>
      <c r="C30" s="173"/>
      <c r="D30" s="173"/>
      <c r="E30" s="174"/>
      <c r="F30" s="174"/>
      <c r="G30" s="174"/>
      <c r="H30" s="174">
        <f ca="1">SUM(H17:H29)</f>
        <v>14608490</v>
      </c>
    </row>
    <row r="31" spans="1:8" ht="3" customHeight="1">
      <c r="A31" s="175"/>
      <c r="B31" s="175"/>
      <c r="C31" s="101"/>
      <c r="D31" s="101"/>
      <c r="E31" s="176"/>
      <c r="F31" s="176"/>
      <c r="G31" s="176"/>
      <c r="H31" s="176"/>
    </row>
    <row r="32" spans="1:8" ht="11.25" customHeight="1">
      <c r="A32" s="98" t="str">
        <f ca="1">"Tổng số tiền (viết bằng chữ):  "&amp;[5]!VND(H30, TRUE)</f>
        <v>Tổng số tiền (viết bằng chữ):  Mười bốn triệu, sáu trăm lẻ tám ngàn, bốn trăm chín mươi đồng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>Số chứng từ gốc kèm theo :  HĐ 0000815</v>
      </c>
    </row>
    <row r="34" spans="1:8" ht="9.75" customHeight="1">
      <c r="F34" s="17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4  tháng  4  năm  2017</v>
      </c>
    </row>
    <row r="35" spans="1:8" s="100" customFormat="1" ht="9.75" customHeight="1">
      <c r="A35" s="177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  <c r="H35" s="20"/>
    </row>
    <row r="36" spans="1:8" ht="9.75" customHeight="1">
      <c r="A36" s="163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(Ký, họ tên)                </v>
      </c>
      <c r="H36" s="163" t="str">
        <f>+IF(LEFT($D$7,1)="N","","(Ký, họ tên)")</f>
        <v>(Ký, họ tên)</v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59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rintOptions horizontalCentered="1"/>
  <pageMargins left="0.7" right="0.2" top="0" bottom="0.15" header="0.16" footer="0.1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O74"/>
  <sheetViews>
    <sheetView topLeftCell="A8" zoomScale="90" workbookViewId="0">
      <pane ySplit="6" topLeftCell="A14" activePane="bottomLeft" state="frozen"/>
      <selection activeCell="A8" sqref="A8"/>
      <selection pane="bottomLeft" activeCell="J8" sqref="J8:L8"/>
    </sheetView>
  </sheetViews>
  <sheetFormatPr defaultColWidth="23.85546875" defaultRowHeight="15"/>
  <cols>
    <col min="1" max="1" width="4.28515625" style="376" customWidth="1"/>
    <col min="2" max="2" width="8.5703125" style="376" customWidth="1"/>
    <col min="3" max="3" width="9.5703125" style="376" customWidth="1"/>
    <col min="4" max="4" width="35" style="376" customWidth="1"/>
    <col min="5" max="5" width="7" style="380" customWidth="1"/>
    <col min="6" max="6" width="8" style="376" customWidth="1"/>
    <col min="7" max="7" width="9" style="376" customWidth="1"/>
    <col min="8" max="8" width="14.140625" style="376" customWidth="1"/>
    <col min="9" max="9" width="8.28515625" style="376" customWidth="1"/>
    <col min="10" max="10" width="13.28515625" style="376" customWidth="1"/>
    <col min="11" max="11" width="9.5703125" style="376" customWidth="1"/>
    <col min="12" max="12" width="12" style="376" customWidth="1"/>
    <col min="13" max="13" width="6.28515625" style="376" customWidth="1"/>
    <col min="14" max="14" width="2" style="376" customWidth="1"/>
    <col min="15" max="16384" width="23.85546875" style="376"/>
  </cols>
  <sheetData>
    <row r="1" spans="1:14">
      <c r="A1" s="375" t="s">
        <v>186</v>
      </c>
      <c r="E1" s="376"/>
    </row>
    <row r="2" spans="1:14" s="116" customFormat="1" ht="16.5" customHeight="1">
      <c r="B2" s="377" t="str">
        <f>TH!A1</f>
        <v>Đơn vị: CÔNG TY TNHH MỘT THÀNH VIÊN KHỞI NGUYÊN AN</v>
      </c>
      <c r="C2" s="93"/>
      <c r="D2" s="94"/>
      <c r="E2" s="378"/>
      <c r="F2" s="2"/>
      <c r="J2" s="956" t="s">
        <v>187</v>
      </c>
      <c r="K2" s="956"/>
      <c r="L2" s="956"/>
      <c r="M2" s="956"/>
      <c r="N2" s="229"/>
    </row>
    <row r="3" spans="1:14" s="116" customFormat="1" ht="16.5" customHeight="1">
      <c r="B3" s="960" t="str">
        <f>TH!A2</f>
        <v>Địa chỉ: Thửa đất số 144, tờ bản đồ số 12TĐH.1, tổ 1, khu phố Đông Tác, Phường Tân Đông Hiệp, Thị Xã Dĩ An, Tỉnh Bình Dương, Việt Nam</v>
      </c>
      <c r="C3" s="960"/>
      <c r="D3" s="960"/>
      <c r="E3" s="960"/>
      <c r="F3" s="960"/>
      <c r="G3" s="960"/>
      <c r="H3" s="960"/>
      <c r="I3" s="960"/>
      <c r="J3" s="957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957"/>
      <c r="L3" s="957"/>
      <c r="M3" s="957"/>
      <c r="N3" s="230"/>
    </row>
    <row r="4" spans="1:14" s="116" customFormat="1" ht="16.5" customHeight="1">
      <c r="B4" s="960"/>
      <c r="C4" s="960"/>
      <c r="D4" s="960"/>
      <c r="E4" s="960"/>
      <c r="F4" s="960"/>
      <c r="G4" s="960"/>
      <c r="H4" s="960"/>
      <c r="I4" s="960"/>
      <c r="J4" s="957"/>
      <c r="K4" s="957"/>
      <c r="L4" s="957"/>
      <c r="M4" s="957"/>
      <c r="N4" s="230"/>
    </row>
    <row r="5" spans="1:14" ht="32.25" customHeight="1">
      <c r="B5" s="958" t="s">
        <v>188</v>
      </c>
      <c r="C5" s="958"/>
      <c r="D5" s="958"/>
      <c r="E5" s="958"/>
      <c r="F5" s="958"/>
      <c r="G5" s="958"/>
      <c r="H5" s="958"/>
      <c r="I5" s="958"/>
      <c r="J5" s="958"/>
      <c r="K5" s="958"/>
      <c r="L5" s="958"/>
      <c r="M5" s="958"/>
      <c r="N5" s="379"/>
    </row>
    <row r="6" spans="1:14">
      <c r="B6" s="953" t="s">
        <v>189</v>
      </c>
      <c r="C6" s="953"/>
      <c r="D6" s="953"/>
      <c r="E6" s="953"/>
      <c r="F6" s="953"/>
      <c r="G6" s="953"/>
      <c r="H6" s="953"/>
      <c r="I6" s="953"/>
      <c r="J6" s="953"/>
      <c r="K6" s="953"/>
      <c r="L6" s="953"/>
      <c r="M6" s="953"/>
      <c r="N6" s="380"/>
    </row>
    <row r="7" spans="1:14">
      <c r="F7" s="381" t="s">
        <v>234</v>
      </c>
      <c r="G7" s="380">
        <v>156</v>
      </c>
      <c r="H7" s="381" t="s">
        <v>190</v>
      </c>
      <c r="I7" s="376" t="s">
        <v>449</v>
      </c>
      <c r="N7" s="380"/>
    </row>
    <row r="8" spans="1:14">
      <c r="B8" s="380"/>
      <c r="F8" s="380" t="s">
        <v>191</v>
      </c>
      <c r="J8" s="959" t="s">
        <v>273</v>
      </c>
      <c r="K8" s="959"/>
      <c r="L8" s="959"/>
    </row>
    <row r="9" spans="1:14">
      <c r="D9" s="382"/>
      <c r="E9" s="383"/>
      <c r="F9" s="382"/>
      <c r="G9" s="382"/>
      <c r="H9" s="382"/>
      <c r="I9" s="382"/>
      <c r="J9" s="382"/>
      <c r="K9" s="382" t="s">
        <v>121</v>
      </c>
      <c r="M9" s="384"/>
      <c r="N9" s="385"/>
    </row>
    <row r="10" spans="1:14" ht="15.75" customHeight="1">
      <c r="A10" s="951" t="s">
        <v>33</v>
      </c>
      <c r="B10" s="951" t="s">
        <v>1</v>
      </c>
      <c r="C10" s="951"/>
      <c r="D10" s="952" t="s">
        <v>0</v>
      </c>
      <c r="E10" s="952" t="s">
        <v>192</v>
      </c>
      <c r="F10" s="952" t="s">
        <v>180</v>
      </c>
      <c r="G10" s="954" t="s">
        <v>193</v>
      </c>
      <c r="H10" s="955"/>
      <c r="I10" s="954" t="s">
        <v>194</v>
      </c>
      <c r="J10" s="955"/>
      <c r="K10" s="954" t="s">
        <v>195</v>
      </c>
      <c r="L10" s="955"/>
      <c r="M10" s="952" t="s">
        <v>125</v>
      </c>
      <c r="N10" s="107"/>
    </row>
    <row r="11" spans="1:14" ht="48.75" customHeight="1">
      <c r="A11" s="951"/>
      <c r="B11" s="108" t="s">
        <v>15</v>
      </c>
      <c r="C11" s="108" t="s">
        <v>31</v>
      </c>
      <c r="D11" s="952"/>
      <c r="E11" s="952"/>
      <c r="F11" s="952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952"/>
      <c r="N11" s="107"/>
    </row>
    <row r="12" spans="1:14" s="380" customFormat="1">
      <c r="A12" s="386"/>
      <c r="B12" s="228" t="s">
        <v>2</v>
      </c>
      <c r="C12" s="387" t="s">
        <v>3</v>
      </c>
      <c r="D12" s="387" t="s">
        <v>4</v>
      </c>
      <c r="E12" s="228" t="s">
        <v>5</v>
      </c>
      <c r="F12" s="228">
        <v>1</v>
      </c>
      <c r="G12" s="228">
        <v>2</v>
      </c>
      <c r="H12" s="228" t="s">
        <v>196</v>
      </c>
      <c r="I12" s="228">
        <v>4</v>
      </c>
      <c r="J12" s="228" t="s">
        <v>197</v>
      </c>
      <c r="K12" s="228">
        <v>6</v>
      </c>
      <c r="L12" s="228" t="s">
        <v>198</v>
      </c>
      <c r="M12" s="228"/>
      <c r="N12" s="388"/>
    </row>
    <row r="13" spans="1:14">
      <c r="A13" s="306"/>
      <c r="B13" s="306"/>
      <c r="C13" s="306"/>
      <c r="D13" s="287" t="s">
        <v>142</v>
      </c>
      <c r="E13" s="319"/>
      <c r="F13" s="389" t="e">
        <f>L13/K13</f>
        <v>#DIV/0!</v>
      </c>
      <c r="G13" s="389"/>
      <c r="H13" s="389"/>
      <c r="I13" s="389"/>
      <c r="J13" s="389"/>
      <c r="K13" s="390">
        <f>VLOOKUP($J$8,NXT!$B$12:$K$688,3,0)</f>
        <v>0</v>
      </c>
      <c r="L13" s="390">
        <f>VLOOKUP($J$8,NXT!$B$12:$K$688,4,0)</f>
        <v>0</v>
      </c>
      <c r="M13" s="389"/>
      <c r="N13" s="388"/>
    </row>
    <row r="14" spans="1:14">
      <c r="A14" s="374">
        <f ca="1">IF(B14="","",ROW()-13)</f>
        <v>1</v>
      </c>
      <c r="B14" s="391" t="str">
        <f ca="1">IF(ROWS($1:1)&gt;COUNT(Dong11),"",OFFSET(TH!D$1,SMALL(Dong11,ROWS($1:1)),))</f>
        <v>N04</v>
      </c>
      <c r="C14" s="392">
        <f ca="1">IF(ROWS($1:1)&gt;COUNT(Dong11),"",OFFSET(TH!E$1,SMALL(Dong11,ROWS($1:1)),))</f>
        <v>42755</v>
      </c>
      <c r="D14" s="393" t="str">
        <f ca="1">IF(ROWS($1:1)&gt;COUNT(Dong11),"",OFFSET(TH!H$1,SMALL(Dong11,ROWS($1:1)),))</f>
        <v>Cty TNHH SX Bao Bì Nhựa Giấy Minh Long</v>
      </c>
      <c r="E14" s="391" t="str">
        <f ca="1">IF(ROWS($1:1)&gt;COUNT(Dong11),"",IF(OFFSET(TH!L$1,SMALL(Dong11,ROWS($1:1)),)=$G$7,OFFSET(TH!M$1,SMALL(Dong11,ROWS($1:1)),),OFFSET(TH!L$1,SMALL(Dong11,ROWS($1:1)),)))</f>
        <v>156</v>
      </c>
      <c r="F14" s="394">
        <f ca="1">IF(ROWS($1:1)&gt;COUNT(Dong11),0,OFFSET(TH!J$1,SMALL(Dong11,ROWS($1:1)),))</f>
        <v>17945</v>
      </c>
      <c r="G14" s="394">
        <f ca="1">IF(ROWS($1:1)&gt;COUNT(Dong11),0,IF(LEFT(OFFSET(TH!D$1,SMALL(Dong11,ROWS($1:1)),),1)="N",OFFSET(TH!I$1,SMALL(Dong11,ROWS($1:1)),),0))</f>
        <v>4500</v>
      </c>
      <c r="H14" s="395">
        <f ca="1">ROUND(F14*G14,0)</f>
        <v>80752500</v>
      </c>
      <c r="I14" s="394">
        <f ca="1">IF(ROWS($1:1)&gt;COUNT(Dong11),0,IF(LEFT(OFFSET(TH!D$1,SMALL(Dong11,ROWS($1:1)),),1)="X",OFFSET(TH!I$1,SMALL(Dong11,ROWS($1:1)),),0))</f>
        <v>0</v>
      </c>
      <c r="J14" s="395">
        <f ca="1">ROUND(F14*I14,0)</f>
        <v>0</v>
      </c>
      <c r="K14" s="395">
        <f ca="1">IF(D14&lt;&gt;"",K13+G14-I14,0)</f>
        <v>4500</v>
      </c>
      <c r="L14" s="395">
        <f ca="1">IF(D14&lt;&gt;"",L13+H14-J14,0)</f>
        <v>80752500</v>
      </c>
      <c r="M14" s="395"/>
      <c r="N14" s="388"/>
    </row>
    <row r="15" spans="1:14">
      <c r="A15" s="374">
        <f t="shared" ref="A15:A24" ca="1" si="0">IF(B15="","",A14+1)</f>
        <v>2</v>
      </c>
      <c r="B15" s="391" t="str">
        <f ca="1">IF(ROWS($1:2)&gt;COUNT(Dong11),"",OFFSET(TH!D$1,SMALL(Dong11,ROWS($1:2)),))</f>
        <v>XTP</v>
      </c>
      <c r="C15" s="392">
        <f ca="1">IF(ROWS($1:2)&gt;COUNT(Dong11),"",OFFSET(TH!E$1,SMALL(Dong11,ROWS($1:2)),))</f>
        <v>42755</v>
      </c>
      <c r="D15" s="393" t="str">
        <f ca="1">IF(ROWS($1:2)&gt;COUNT(Dong11),"",OFFSET(TH!H$1,SMALL(Dong11,ROWS($1:2)),))</f>
        <v>Xuất bán</v>
      </c>
      <c r="E15" s="391" t="str">
        <f ca="1">IF(ROWS($1:2)&gt;COUNT(Dong11),"",IF(OFFSET(TH!L$1,SMALL(Dong11,ROWS($1:2)),)=$G$7,OFFSET(TH!M$1,SMALL(Dong11,ROWS($1:2)),),OFFSET(TH!L$1,SMALL(Dong11,ROWS($1:2)),)))</f>
        <v>632</v>
      </c>
      <c r="F15" s="394">
        <f ca="1">IF(ROWS($1:2)&gt;COUNT(Dong11),0,OFFSET(TH!J$1,SMALL(Dong11,ROWS($1:2)),))</f>
        <v>17945</v>
      </c>
      <c r="G15" s="394">
        <f ca="1">IF(ROWS($1:2)&gt;COUNT(Dong11),0,IF(LEFT(OFFSET(TH!D$1,SMALL(Dong11,ROWS($1:2)),),1)="N",OFFSET(TH!I$1,SMALL(Dong11,ROWS($1:2)),),0))</f>
        <v>0</v>
      </c>
      <c r="H15" s="395">
        <f t="shared" ref="H15:H42" ca="1" si="1">ROUND(F15*G15,0)</f>
        <v>0</v>
      </c>
      <c r="I15" s="394">
        <f ca="1">IF(ROWS($1:2)&gt;COUNT(Dong11),0,IF(LEFT(OFFSET(TH!D$1,SMALL(Dong11,ROWS($1:2)),),1)="X",OFFSET(TH!I$1,SMALL(Dong11,ROWS($1:2)),),0))</f>
        <v>4500</v>
      </c>
      <c r="J15" s="395">
        <f t="shared" ref="J15:J42" ca="1" si="2">ROUND(F15*I15,0)</f>
        <v>80752500</v>
      </c>
      <c r="K15" s="395">
        <f t="shared" ref="K15:K24" ca="1" si="3">IF(D15&lt;&gt;"",K14+G15-I15,0)</f>
        <v>0</v>
      </c>
      <c r="L15" s="395">
        <f t="shared" ref="L15:L24" ca="1" si="4">IF(D15&lt;&gt;"",L14+H15-J15,0)</f>
        <v>0</v>
      </c>
      <c r="M15" s="395"/>
      <c r="N15" s="388"/>
    </row>
    <row r="16" spans="1:14">
      <c r="A16" s="374">
        <f t="shared" ca="1" si="0"/>
        <v>3</v>
      </c>
      <c r="B16" s="391" t="str">
        <f ca="1">IF(ROWS($1:3)&gt;COUNT(Dong11),"",OFFSET(TH!D$1,SMALL(Dong11,ROWS($1:3)),))</f>
        <v>N11</v>
      </c>
      <c r="C16" s="392">
        <f ca="1">IF(ROWS($1:3)&gt;COUNT(Dong11),"",OFFSET(TH!E$1,SMALL(Dong11,ROWS($1:3)),))</f>
        <v>42834</v>
      </c>
      <c r="D16" s="393" t="str">
        <f ca="1">IF(ROWS($1:3)&gt;COUNT(Dong11),"",OFFSET(TH!H$1,SMALL(Dong11,ROWS($1:3)),))</f>
        <v>Cty TNHH SX TM Bao Bì Lộc Phát</v>
      </c>
      <c r="E16" s="391" t="str">
        <f ca="1">IF(ROWS($1:3)&gt;COUNT(Dong11),"",IF(OFFSET(TH!L$1,SMALL(Dong11,ROWS($1:3)),)=$G$7,OFFSET(TH!M$1,SMALL(Dong11,ROWS($1:3)),),OFFSET(TH!L$1,SMALL(Dong11,ROWS($1:3)),)))</f>
        <v>156</v>
      </c>
      <c r="F16" s="394">
        <f ca="1">IF(ROWS($1:3)&gt;COUNT(Dong11),0,OFFSET(TH!J$1,SMALL(Dong11,ROWS($1:3)),))</f>
        <v>18350</v>
      </c>
      <c r="G16" s="394">
        <f ca="1">IF(ROWS($1:3)&gt;COUNT(Dong11),0,IF(LEFT(OFFSET(TH!D$1,SMALL(Dong11,ROWS($1:3)),),1)="N",OFFSET(TH!I$1,SMALL(Dong11,ROWS($1:3)),),0))</f>
        <v>140</v>
      </c>
      <c r="H16" s="395">
        <f t="shared" ca="1" si="1"/>
        <v>2569000</v>
      </c>
      <c r="I16" s="394">
        <f ca="1">IF(ROWS($1:3)&gt;COUNT(Dong11),0,IF(LEFT(OFFSET(TH!D$1,SMALL(Dong11,ROWS($1:3)),),1)="X",OFFSET(TH!I$1,SMALL(Dong11,ROWS($1:3)),),0))</f>
        <v>0</v>
      </c>
      <c r="J16" s="395">
        <f t="shared" ca="1" si="2"/>
        <v>0</v>
      </c>
      <c r="K16" s="395">
        <f t="shared" ca="1" si="3"/>
        <v>140</v>
      </c>
      <c r="L16" s="395">
        <f t="shared" ca="1" si="4"/>
        <v>2569000</v>
      </c>
      <c r="M16" s="395"/>
      <c r="N16" s="388"/>
    </row>
    <row r="17" spans="1:14">
      <c r="A17" s="374">
        <f t="shared" ca="1" si="0"/>
        <v>4</v>
      </c>
      <c r="B17" s="391" t="str">
        <f ca="1">IF(ROWS($1:4)&gt;COUNT(Dong11),"",OFFSET(TH!D$1,SMALL(Dong11,ROWS($1:4)),))</f>
        <v>N12</v>
      </c>
      <c r="C17" s="392">
        <f ca="1">IF(ROWS($1:4)&gt;COUNT(Dong11),"",OFFSET(TH!E$1,SMALL(Dong11,ROWS($1:4)),))</f>
        <v>42836</v>
      </c>
      <c r="D17" s="393" t="str">
        <f ca="1">IF(ROWS($1:4)&gt;COUNT(Dong11),"",OFFSET(TH!H$1,SMALL(Dong11,ROWS($1:4)),))</f>
        <v>Cty TNHH SX TM Bao Bì Lộc Phát</v>
      </c>
      <c r="E17" s="391" t="str">
        <f ca="1">IF(ROWS($1:4)&gt;COUNT(Dong11),"",IF(OFFSET(TH!L$1,SMALL(Dong11,ROWS($1:4)),)=$G$7,OFFSET(TH!M$1,SMALL(Dong11,ROWS($1:4)),),OFFSET(TH!L$1,SMALL(Dong11,ROWS($1:4)),)))</f>
        <v>156</v>
      </c>
      <c r="F17" s="394">
        <f ca="1">IF(ROWS($1:4)&gt;COUNT(Dong11),0,OFFSET(TH!J$1,SMALL(Dong11,ROWS($1:4)),))</f>
        <v>18350</v>
      </c>
      <c r="G17" s="394">
        <f ca="1">IF(ROWS($1:4)&gt;COUNT(Dong11),0,IF(LEFT(OFFSET(TH!D$1,SMALL(Dong11,ROWS($1:4)),),1)="N",OFFSET(TH!I$1,SMALL(Dong11,ROWS($1:4)),),0))</f>
        <v>450</v>
      </c>
      <c r="H17" s="395">
        <f t="shared" ca="1" si="1"/>
        <v>8257500</v>
      </c>
      <c r="I17" s="394">
        <f ca="1">IF(ROWS($1:4)&gt;COUNT(Dong11),0,IF(LEFT(OFFSET(TH!D$1,SMALL(Dong11,ROWS($1:4)),),1)="X",OFFSET(TH!I$1,SMALL(Dong11,ROWS($1:4)),),0))</f>
        <v>0</v>
      </c>
      <c r="J17" s="395">
        <f t="shared" ca="1" si="2"/>
        <v>0</v>
      </c>
      <c r="K17" s="395">
        <f t="shared" ca="1" si="3"/>
        <v>590</v>
      </c>
      <c r="L17" s="395">
        <f t="shared" ca="1" si="4"/>
        <v>10826500</v>
      </c>
      <c r="M17" s="395"/>
      <c r="N17" s="388"/>
    </row>
    <row r="18" spans="1:14">
      <c r="A18" s="374">
        <f t="shared" ca="1" si="0"/>
        <v>5</v>
      </c>
      <c r="B18" s="391" t="str">
        <f ca="1">IF(ROWS($1:5)&gt;COUNT(Dong11),"",OFFSET(TH!D$1,SMALL(Dong11,ROWS($1:5)),))</f>
        <v>N17</v>
      </c>
      <c r="C18" s="392">
        <f ca="1">IF(ROWS($1:5)&gt;COUNT(Dong11),"",OFFSET(TH!E$1,SMALL(Dong11,ROWS($1:5)),))</f>
        <v>42841</v>
      </c>
      <c r="D18" s="393" t="str">
        <f ca="1">IF(ROWS($1:5)&gt;COUNT(Dong11),"",OFFSET(TH!H$1,SMALL(Dong11,ROWS($1:5)),))</f>
        <v>Cty TNHH SX Bao Bì Nhựa Giấy Minh Long</v>
      </c>
      <c r="E18" s="391" t="str">
        <f ca="1">IF(ROWS($1:5)&gt;COUNT(Dong11),"",IF(OFFSET(TH!L$1,SMALL(Dong11,ROWS($1:5)),)=$G$7,OFFSET(TH!M$1,SMALL(Dong11,ROWS($1:5)),),OFFSET(TH!L$1,SMALL(Dong11,ROWS($1:5)),)))</f>
        <v>156</v>
      </c>
      <c r="F18" s="394">
        <f ca="1">IF(ROWS($1:5)&gt;COUNT(Dong11),0,OFFSET(TH!J$1,SMALL(Dong11,ROWS($1:5)),))</f>
        <v>20421.097872340426</v>
      </c>
      <c r="G18" s="394">
        <f ca="1">IF(ROWS($1:5)&gt;COUNT(Dong11),0,IF(LEFT(OFFSET(TH!D$1,SMALL(Dong11,ROWS($1:5)),),1)="N",OFFSET(TH!I$1,SMALL(Dong11,ROWS($1:5)),),0))</f>
        <v>4700</v>
      </c>
      <c r="H18" s="395">
        <f t="shared" ca="1" si="1"/>
        <v>95979160</v>
      </c>
      <c r="I18" s="394">
        <f ca="1">IF(ROWS($1:5)&gt;COUNT(Dong11),0,IF(LEFT(OFFSET(TH!D$1,SMALL(Dong11,ROWS($1:5)),),1)="X",OFFSET(TH!I$1,SMALL(Dong11,ROWS($1:5)),),0))</f>
        <v>0</v>
      </c>
      <c r="J18" s="395">
        <f t="shared" ca="1" si="2"/>
        <v>0</v>
      </c>
      <c r="K18" s="395">
        <f t="shared" ca="1" si="3"/>
        <v>5290</v>
      </c>
      <c r="L18" s="395">
        <f t="shared" ca="1" si="4"/>
        <v>106805660</v>
      </c>
      <c r="M18" s="395"/>
      <c r="N18" s="388"/>
    </row>
    <row r="19" spans="1:14">
      <c r="A19" s="374">
        <f t="shared" ca="1" si="0"/>
        <v>6</v>
      </c>
      <c r="B19" s="391" t="str">
        <f ca="1">IF(ROWS($1:6)&gt;COUNT(Dong11),"",OFFSET(TH!D$1,SMALL(Dong11,ROWS($1:6)),))</f>
        <v>N39</v>
      </c>
      <c r="C19" s="392">
        <f ca="1">IF(ROWS($1:6)&gt;COUNT(Dong11),"",OFFSET(TH!E$1,SMALL(Dong11,ROWS($1:6)),))</f>
        <v>42873</v>
      </c>
      <c r="D19" s="393" t="str">
        <f ca="1">IF(ROWS($1:6)&gt;COUNT(Dong11),"",OFFSET(TH!H$1,SMALL(Dong11,ROWS($1:6)),))</f>
        <v>Cty TNHH TM Ngân Phát Tài</v>
      </c>
      <c r="E19" s="391" t="str">
        <f ca="1">IF(ROWS($1:6)&gt;COUNT(Dong11),"",IF(OFFSET(TH!L$1,SMALL(Dong11,ROWS($1:6)),)=$G$7,OFFSET(TH!M$1,SMALL(Dong11,ROWS($1:6)),),OFFSET(TH!L$1,SMALL(Dong11,ROWS($1:6)),)))</f>
        <v>156</v>
      </c>
      <c r="F19" s="394">
        <f ca="1">IF(ROWS($1:6)&gt;COUNT(Dong11),0,OFFSET(TH!J$1,SMALL(Dong11,ROWS($1:6)),))</f>
        <v>18496.3</v>
      </c>
      <c r="G19" s="394">
        <f ca="1">IF(ROWS($1:6)&gt;COUNT(Dong11),0,IF(LEFT(OFFSET(TH!D$1,SMALL(Dong11,ROWS($1:6)),),1)="N",OFFSET(TH!I$1,SMALL(Dong11,ROWS($1:6)),),0))</f>
        <v>830</v>
      </c>
      <c r="H19" s="395">
        <f t="shared" ca="1" si="1"/>
        <v>15351929</v>
      </c>
      <c r="I19" s="394">
        <f ca="1">IF(ROWS($1:6)&gt;COUNT(Dong11),0,IF(LEFT(OFFSET(TH!D$1,SMALL(Dong11,ROWS($1:6)),),1)="X",OFFSET(TH!I$1,SMALL(Dong11,ROWS($1:6)),),0))</f>
        <v>0</v>
      </c>
      <c r="J19" s="395">
        <f t="shared" ca="1" si="2"/>
        <v>0</v>
      </c>
      <c r="K19" s="395">
        <f t="shared" ca="1" si="3"/>
        <v>6120</v>
      </c>
      <c r="L19" s="395">
        <f t="shared" ca="1" si="4"/>
        <v>122157589</v>
      </c>
      <c r="M19" s="395"/>
      <c r="N19" s="388"/>
    </row>
    <row r="20" spans="1:14">
      <c r="A20" s="374">
        <f t="shared" ca="1" si="0"/>
        <v>7</v>
      </c>
      <c r="B20" s="391" t="str">
        <f ca="1">IF(ROWS($1:7)&gt;COUNT(Dong11),"",OFFSET(TH!D$1,SMALL(Dong11,ROWS($1:7)),))</f>
        <v>N43</v>
      </c>
      <c r="C20" s="392">
        <f ca="1">IF(ROWS($1:7)&gt;COUNT(Dong11),"",OFFSET(TH!E$1,SMALL(Dong11,ROWS($1:7)),))</f>
        <v>42873</v>
      </c>
      <c r="D20" s="393" t="str">
        <f ca="1">IF(ROWS($1:7)&gt;COUNT(Dong11),"",OFFSET(TH!H$1,SMALL(Dong11,ROWS($1:7)),))</f>
        <v>Cty TNHH MTV Bao Bì Xanh Bình Dương</v>
      </c>
      <c r="E20" s="391" t="str">
        <f ca="1">IF(ROWS($1:7)&gt;COUNT(Dong11),"",IF(OFFSET(TH!L$1,SMALL(Dong11,ROWS($1:7)),)=$G$7,OFFSET(TH!M$1,SMALL(Dong11,ROWS($1:7)),),OFFSET(TH!L$1,SMALL(Dong11,ROWS($1:7)),)))</f>
        <v>156</v>
      </c>
      <c r="F20" s="394">
        <f ca="1">IF(ROWS($1:7)&gt;COUNT(Dong11),0,OFFSET(TH!J$1,SMALL(Dong11,ROWS($1:7)),))</f>
        <v>18350</v>
      </c>
      <c r="G20" s="394">
        <f ca="1">IF(ROWS($1:7)&gt;COUNT(Dong11),0,IF(LEFT(OFFSET(TH!D$1,SMALL(Dong11,ROWS($1:7)),),1)="N",OFFSET(TH!I$1,SMALL(Dong11,ROWS($1:7)),),0))</f>
        <v>1700</v>
      </c>
      <c r="H20" s="395">
        <f t="shared" ca="1" si="1"/>
        <v>31195000</v>
      </c>
      <c r="I20" s="394">
        <f ca="1">IF(ROWS($1:7)&gt;COUNT(Dong11),0,IF(LEFT(OFFSET(TH!D$1,SMALL(Dong11,ROWS($1:7)),),1)="X",OFFSET(TH!I$1,SMALL(Dong11,ROWS($1:7)),),0))</f>
        <v>0</v>
      </c>
      <c r="J20" s="395">
        <f t="shared" ca="1" si="2"/>
        <v>0</v>
      </c>
      <c r="K20" s="395">
        <f t="shared" ca="1" si="3"/>
        <v>7820</v>
      </c>
      <c r="L20" s="395">
        <f t="shared" ca="1" si="4"/>
        <v>153352589</v>
      </c>
      <c r="M20" s="395"/>
      <c r="N20" s="388"/>
    </row>
    <row r="21" spans="1:14">
      <c r="A21" s="374">
        <f t="shared" ca="1" si="0"/>
        <v>8</v>
      </c>
      <c r="B21" s="391" t="str">
        <f ca="1">IF(ROWS($1:8)&gt;COUNT(Dong11),"",OFFSET(TH!D$1,SMALL(Dong11,ROWS($1:8)),))</f>
        <v>N49</v>
      </c>
      <c r="C21" s="392">
        <f ca="1">IF(ROWS($1:8)&gt;COUNT(Dong11),"",OFFSET(TH!E$1,SMALL(Dong11,ROWS($1:8)),))</f>
        <v>42895</v>
      </c>
      <c r="D21" s="393" t="str">
        <f ca="1">IF(ROWS($1:8)&gt;COUNT(Dong11),"",OFFSET(TH!H$1,SMALL(Dong11,ROWS($1:8)),))</f>
        <v>Cty TNHH TM Ngân Phát Tài</v>
      </c>
      <c r="E21" s="391" t="str">
        <f ca="1">IF(ROWS($1:8)&gt;COUNT(Dong11),"",IF(OFFSET(TH!L$1,SMALL(Dong11,ROWS($1:8)),)=$G$7,OFFSET(TH!M$1,SMALL(Dong11,ROWS($1:8)),),OFFSET(TH!L$1,SMALL(Dong11,ROWS($1:8)),)))</f>
        <v>156</v>
      </c>
      <c r="F21" s="394">
        <f ca="1">IF(ROWS($1:8)&gt;COUNT(Dong11),0,OFFSET(TH!J$1,SMALL(Dong11,ROWS($1:8)),))</f>
        <v>18130</v>
      </c>
      <c r="G21" s="394">
        <f ca="1">IF(ROWS($1:8)&gt;COUNT(Dong11),0,IF(LEFT(OFFSET(TH!D$1,SMALL(Dong11,ROWS($1:8)),),1)="N",OFFSET(TH!I$1,SMALL(Dong11,ROWS($1:8)),),0))</f>
        <v>2980</v>
      </c>
      <c r="H21" s="395">
        <f t="shared" ca="1" si="1"/>
        <v>54027400</v>
      </c>
      <c r="I21" s="394">
        <f ca="1">IF(ROWS($1:8)&gt;COUNT(Dong11),0,IF(LEFT(OFFSET(TH!D$1,SMALL(Dong11,ROWS($1:8)),),1)="X",OFFSET(TH!I$1,SMALL(Dong11,ROWS($1:8)),),0))</f>
        <v>0</v>
      </c>
      <c r="J21" s="395">
        <f t="shared" ca="1" si="2"/>
        <v>0</v>
      </c>
      <c r="K21" s="395">
        <f t="shared" ca="1" si="3"/>
        <v>10800</v>
      </c>
      <c r="L21" s="395">
        <f t="shared" ca="1" si="4"/>
        <v>207379989</v>
      </c>
      <c r="M21" s="395"/>
      <c r="N21" s="388"/>
    </row>
    <row r="22" spans="1:14">
      <c r="A22" s="374">
        <f t="shared" ca="1" si="0"/>
        <v>9</v>
      </c>
      <c r="B22" s="391" t="str">
        <f ca="1">IF(ROWS($1:9)&gt;COUNT(Dong11),"",OFFSET(TH!D$1,SMALL(Dong11,ROWS($1:9)),))</f>
        <v>N55</v>
      </c>
      <c r="C22" s="392">
        <f ca="1">IF(ROWS($1:9)&gt;COUNT(Dong11),"",OFFSET(TH!E$1,SMALL(Dong11,ROWS($1:9)),))</f>
        <v>42906</v>
      </c>
      <c r="D22" s="393" t="str">
        <f ca="1">IF(ROWS($1:9)&gt;COUNT(Dong11),"",OFFSET(TH!H$1,SMALL(Dong11,ROWS($1:9)),))</f>
        <v>Cty TNHH TM Ngân Phát Tài</v>
      </c>
      <c r="E22" s="391" t="str">
        <f ca="1">IF(ROWS($1:9)&gt;COUNT(Dong11),"",IF(OFFSET(TH!L$1,SMALL(Dong11,ROWS($1:9)),)=$G$7,OFFSET(TH!M$1,SMALL(Dong11,ROWS($1:9)),),OFFSET(TH!L$1,SMALL(Dong11,ROWS($1:9)),)))</f>
        <v>156</v>
      </c>
      <c r="F22" s="394">
        <f ca="1">IF(ROWS($1:9)&gt;COUNT(Dong11),0,OFFSET(TH!J$1,SMALL(Dong11,ROWS($1:9)),))</f>
        <v>18130</v>
      </c>
      <c r="G22" s="394">
        <f ca="1">IF(ROWS($1:9)&gt;COUNT(Dong11),0,IF(LEFT(OFFSET(TH!D$1,SMALL(Dong11,ROWS($1:9)),),1)="N",OFFSET(TH!I$1,SMALL(Dong11,ROWS($1:9)),),0))</f>
        <v>4500</v>
      </c>
      <c r="H22" s="395">
        <f t="shared" ca="1" si="1"/>
        <v>81585000</v>
      </c>
      <c r="I22" s="394">
        <f ca="1">IF(ROWS($1:9)&gt;COUNT(Dong11),0,IF(LEFT(OFFSET(TH!D$1,SMALL(Dong11,ROWS($1:9)),),1)="X",OFFSET(TH!I$1,SMALL(Dong11,ROWS($1:9)),),0))</f>
        <v>0</v>
      </c>
      <c r="J22" s="395">
        <f t="shared" ca="1" si="2"/>
        <v>0</v>
      </c>
      <c r="K22" s="395">
        <f t="shared" ca="1" si="3"/>
        <v>15300</v>
      </c>
      <c r="L22" s="395">
        <f t="shared" ca="1" si="4"/>
        <v>288964989</v>
      </c>
      <c r="M22" s="395"/>
      <c r="N22" s="388"/>
    </row>
    <row r="23" spans="1:14">
      <c r="A23" s="374">
        <f t="shared" ca="1" si="0"/>
        <v>10</v>
      </c>
      <c r="B23" s="391" t="str">
        <f ca="1">IF(ROWS($1:10)&gt;COUNT(Dong11),"",OFFSET(TH!D$1,SMALL(Dong11,ROWS($1:10)),))</f>
        <v>XTP</v>
      </c>
      <c r="C23" s="392">
        <f ca="1">IF(ROWS($1:10)&gt;COUNT(Dong11),"",OFFSET(TH!E$1,SMALL(Dong11,ROWS($1:10)),))</f>
        <v>42844</v>
      </c>
      <c r="D23" s="393" t="str">
        <f ca="1">IF(ROWS($1:10)&gt;COUNT(Dong11),"",OFFSET(TH!H$1,SMALL(Dong11,ROWS($1:10)),))</f>
        <v>Xuất bán</v>
      </c>
      <c r="E23" s="391" t="str">
        <f ca="1">IF(ROWS($1:10)&gt;COUNT(Dong11),"",IF(OFFSET(TH!L$1,SMALL(Dong11,ROWS($1:10)),)=$G$7,OFFSET(TH!M$1,SMALL(Dong11,ROWS($1:10)),),OFFSET(TH!L$1,SMALL(Dong11,ROWS($1:10)),)))</f>
        <v>632</v>
      </c>
      <c r="F23" s="394">
        <f ca="1">IF(ROWS($1:10)&gt;COUNT(Dong11),0,OFFSET(TH!J$1,SMALL(Dong11,ROWS($1:10)),))</f>
        <v>20421.097872340426</v>
      </c>
      <c r="G23" s="394">
        <f ca="1">IF(ROWS($1:10)&gt;COUNT(Dong11),0,IF(LEFT(OFFSET(TH!D$1,SMALL(Dong11,ROWS($1:10)),),1)="N",OFFSET(TH!I$1,SMALL(Dong11,ROWS($1:10)),),0))</f>
        <v>0</v>
      </c>
      <c r="H23" s="395">
        <f t="shared" ca="1" si="1"/>
        <v>0</v>
      </c>
      <c r="I23" s="394">
        <f ca="1">IF(ROWS($1:10)&gt;COUNT(Dong11),0,IF(LEFT(OFFSET(TH!D$1,SMALL(Dong11,ROWS($1:10)),),1)="X",OFFSET(TH!I$1,SMALL(Dong11,ROWS($1:10)),),0))</f>
        <v>4700</v>
      </c>
      <c r="J23" s="395">
        <f t="shared" ca="1" si="2"/>
        <v>95979160</v>
      </c>
      <c r="K23" s="395">
        <f t="shared" ca="1" si="3"/>
        <v>10600</v>
      </c>
      <c r="L23" s="395">
        <f t="shared" ca="1" si="4"/>
        <v>192985829</v>
      </c>
      <c r="M23" s="395"/>
      <c r="N23" s="388"/>
    </row>
    <row r="24" spans="1:14">
      <c r="A24" s="374">
        <f t="shared" ca="1" si="0"/>
        <v>11</v>
      </c>
      <c r="B24" s="391" t="str">
        <f ca="1">IF(ROWS($1:11)&gt;COUNT(Dong11),"",OFFSET(TH!D$1,SMALL(Dong11,ROWS($1:11)),))</f>
        <v>XTP</v>
      </c>
      <c r="C24" s="392">
        <f ca="1">IF(ROWS($1:11)&gt;COUNT(Dong11),"",OFFSET(TH!E$1,SMALL(Dong11,ROWS($1:11)),))</f>
        <v>42873</v>
      </c>
      <c r="D24" s="393" t="str">
        <f ca="1">IF(ROWS($1:11)&gt;COUNT(Dong11),"",OFFSET(TH!H$1,SMALL(Dong11,ROWS($1:11)),))</f>
        <v>Xuất bán</v>
      </c>
      <c r="E24" s="391" t="str">
        <f ca="1">IF(ROWS($1:11)&gt;COUNT(Dong11),"",IF(OFFSET(TH!L$1,SMALL(Dong11,ROWS($1:11)),)=$G$7,OFFSET(TH!M$1,SMALL(Dong11,ROWS($1:11)),),OFFSET(TH!L$1,SMALL(Dong11,ROWS($1:11)),)))</f>
        <v>632</v>
      </c>
      <c r="F24" s="394">
        <f ca="1">IF(ROWS($1:11)&gt;COUNT(Dong11),0,OFFSET(TH!J$1,SMALL(Dong11,ROWS($1:11)),))</f>
        <v>18350</v>
      </c>
      <c r="G24" s="394">
        <f ca="1">IF(ROWS($1:11)&gt;COUNT(Dong11),0,IF(LEFT(OFFSET(TH!D$1,SMALL(Dong11,ROWS($1:11)),),1)="N",OFFSET(TH!I$1,SMALL(Dong11,ROWS($1:11)),),0))</f>
        <v>0</v>
      </c>
      <c r="H24" s="395">
        <f t="shared" ca="1" si="1"/>
        <v>0</v>
      </c>
      <c r="I24" s="394">
        <f ca="1">IF(ROWS($1:11)&gt;COUNT(Dong11),0,IF(LEFT(OFFSET(TH!D$1,SMALL(Dong11,ROWS($1:11)),),1)="X",OFFSET(TH!I$1,SMALL(Dong11,ROWS($1:11)),),0))</f>
        <v>2170</v>
      </c>
      <c r="J24" s="395">
        <f t="shared" ca="1" si="2"/>
        <v>39819500</v>
      </c>
      <c r="K24" s="395">
        <f t="shared" ca="1" si="3"/>
        <v>8430</v>
      </c>
      <c r="L24" s="395">
        <f t="shared" ca="1" si="4"/>
        <v>153166329</v>
      </c>
      <c r="M24" s="395"/>
      <c r="N24" s="388"/>
    </row>
    <row r="25" spans="1:14">
      <c r="A25" s="374">
        <f t="shared" ref="A25:A38" ca="1" si="5">IF(B25="","",A24+1)</f>
        <v>12</v>
      </c>
      <c r="B25" s="391" t="str">
        <f ca="1">IF(ROWS($1:12)&gt;COUNT(Dong11),"",OFFSET(TH!D$1,SMALL(Dong11,ROWS($1:12)),))</f>
        <v>XTP</v>
      </c>
      <c r="C25" s="392">
        <f ca="1">IF(ROWS($1:12)&gt;COUNT(Dong11),"",OFFSET(TH!E$1,SMALL(Dong11,ROWS($1:12)),))</f>
        <v>42873</v>
      </c>
      <c r="D25" s="393" t="str">
        <f ca="1">IF(ROWS($1:12)&gt;COUNT(Dong11),"",OFFSET(TH!H$1,SMALL(Dong11,ROWS($1:12)),))</f>
        <v>Xuất bán</v>
      </c>
      <c r="E25" s="391" t="str">
        <f ca="1">IF(ROWS($1:12)&gt;COUNT(Dong11),"",IF(OFFSET(TH!L$1,SMALL(Dong11,ROWS($1:12)),)=$G$7,OFFSET(TH!M$1,SMALL(Dong11,ROWS($1:12)),),OFFSET(TH!L$1,SMALL(Dong11,ROWS($1:12)),)))</f>
        <v>632</v>
      </c>
      <c r="F25" s="394">
        <f ca="1">IF(ROWS($1:12)&gt;COUNT(Dong11),0,OFFSET(TH!J$1,SMALL(Dong11,ROWS($1:12)),))</f>
        <v>18496.3</v>
      </c>
      <c r="G25" s="394">
        <f ca="1">IF(ROWS($1:12)&gt;COUNT(Dong11),0,IF(LEFT(OFFSET(TH!D$1,SMALL(Dong11,ROWS($1:12)),),1)="N",OFFSET(TH!I$1,SMALL(Dong11,ROWS($1:12)),),0))</f>
        <v>0</v>
      </c>
      <c r="H25" s="395">
        <f t="shared" ca="1" si="1"/>
        <v>0</v>
      </c>
      <c r="I25" s="394">
        <f ca="1">IF(ROWS($1:12)&gt;COUNT(Dong11),0,IF(LEFT(OFFSET(TH!D$1,SMALL(Dong11,ROWS($1:12)),),1)="X",OFFSET(TH!I$1,SMALL(Dong11,ROWS($1:12)),),0))</f>
        <v>830</v>
      </c>
      <c r="J25" s="395">
        <f t="shared" ca="1" si="2"/>
        <v>15351929</v>
      </c>
      <c r="K25" s="395">
        <f t="shared" ref="K25:K38" ca="1" si="6">IF(D25&lt;&gt;"",K24+G25-I25,0)</f>
        <v>7600</v>
      </c>
      <c r="L25" s="395">
        <f t="shared" ref="L25:L38" ca="1" si="7">IF(D25&lt;&gt;"",L24+H25-J25,0)</f>
        <v>137814400</v>
      </c>
      <c r="M25" s="395"/>
      <c r="N25" s="388"/>
    </row>
    <row r="26" spans="1:14">
      <c r="A26" s="374">
        <f t="shared" ca="1" si="5"/>
        <v>13</v>
      </c>
      <c r="B26" s="391" t="str">
        <f ca="1">IF(ROWS($1:13)&gt;COUNT(Dong11),"",OFFSET(TH!D$1,SMALL(Dong11,ROWS($1:13)),))</f>
        <v>XTP</v>
      </c>
      <c r="C26" s="392">
        <f ca="1">IF(ROWS($1:13)&gt;COUNT(Dong11),"",OFFSET(TH!E$1,SMALL(Dong11,ROWS($1:13)),))</f>
        <v>42896</v>
      </c>
      <c r="D26" s="393" t="str">
        <f ca="1">IF(ROWS($1:13)&gt;COUNT(Dong11),"",OFFSET(TH!H$1,SMALL(Dong11,ROWS($1:13)),))</f>
        <v>Xuất bán</v>
      </c>
      <c r="E26" s="391" t="str">
        <f ca="1">IF(ROWS($1:13)&gt;COUNT(Dong11),"",IF(OFFSET(TH!L$1,SMALL(Dong11,ROWS($1:13)),)=$G$7,OFFSET(TH!M$1,SMALL(Dong11,ROWS($1:13)),),OFFSET(TH!L$1,SMALL(Dong11,ROWS($1:13)),)))</f>
        <v>632</v>
      </c>
      <c r="F26" s="394">
        <f ca="1">IF(ROWS($1:13)&gt;COUNT(Dong11),0,OFFSET(TH!J$1,SMALL(Dong11,ROWS($1:13)),))</f>
        <v>18350</v>
      </c>
      <c r="G26" s="394">
        <f ca="1">IF(ROWS($1:13)&gt;COUNT(Dong11),0,IF(LEFT(OFFSET(TH!D$1,SMALL(Dong11,ROWS($1:13)),),1)="N",OFFSET(TH!I$1,SMALL(Dong11,ROWS($1:13)),),0))</f>
        <v>0</v>
      </c>
      <c r="H26" s="395">
        <f t="shared" ca="1" si="1"/>
        <v>0</v>
      </c>
      <c r="I26" s="394">
        <f ca="1">IF(ROWS($1:13)&gt;COUNT(Dong11),0,IF(LEFT(OFFSET(TH!D$1,SMALL(Dong11,ROWS($1:13)),),1)="X",OFFSET(TH!I$1,SMALL(Dong11,ROWS($1:13)),),0))</f>
        <v>120</v>
      </c>
      <c r="J26" s="395">
        <f t="shared" ca="1" si="2"/>
        <v>2202000</v>
      </c>
      <c r="K26" s="395">
        <f t="shared" ca="1" si="6"/>
        <v>7480</v>
      </c>
      <c r="L26" s="395">
        <f t="shared" ca="1" si="7"/>
        <v>135612400</v>
      </c>
      <c r="M26" s="395"/>
      <c r="N26" s="388"/>
    </row>
    <row r="27" spans="1:14">
      <c r="A27" s="374">
        <f t="shared" ca="1" si="5"/>
        <v>14</v>
      </c>
      <c r="B27" s="391" t="str">
        <f ca="1">IF(ROWS($1:14)&gt;COUNT(Dong11),"",OFFSET(TH!D$1,SMALL(Dong11,ROWS($1:14)),))</f>
        <v>XTP</v>
      </c>
      <c r="C27" s="392">
        <f ca="1">IF(ROWS($1:14)&gt;COUNT(Dong11),"",OFFSET(TH!E$1,SMALL(Dong11,ROWS($1:14)),))</f>
        <v>42896</v>
      </c>
      <c r="D27" s="393" t="str">
        <f ca="1">IF(ROWS($1:14)&gt;COUNT(Dong11),"",OFFSET(TH!H$1,SMALL(Dong11,ROWS($1:14)),))</f>
        <v>Xuất bán</v>
      </c>
      <c r="E27" s="391" t="str">
        <f ca="1">IF(ROWS($1:14)&gt;COUNT(Dong11),"",IF(OFFSET(TH!L$1,SMALL(Dong11,ROWS($1:14)),)=$G$7,OFFSET(TH!M$1,SMALL(Dong11,ROWS($1:14)),),OFFSET(TH!L$1,SMALL(Dong11,ROWS($1:14)),)))</f>
        <v>632</v>
      </c>
      <c r="F27" s="394">
        <f ca="1">IF(ROWS($1:14)&gt;COUNT(Dong11),0,OFFSET(TH!J$1,SMALL(Dong11,ROWS($1:14)),))</f>
        <v>18130</v>
      </c>
      <c r="G27" s="394">
        <f ca="1">IF(ROWS($1:14)&gt;COUNT(Dong11),0,IF(LEFT(OFFSET(TH!D$1,SMALL(Dong11,ROWS($1:14)),),1)="N",OFFSET(TH!I$1,SMALL(Dong11,ROWS($1:14)),),0))</f>
        <v>0</v>
      </c>
      <c r="H27" s="395">
        <f t="shared" ca="1" si="1"/>
        <v>0</v>
      </c>
      <c r="I27" s="394">
        <f ca="1">IF(ROWS($1:14)&gt;COUNT(Dong11),0,IF(LEFT(OFFSET(TH!D$1,SMALL(Dong11,ROWS($1:14)),),1)="X",OFFSET(TH!I$1,SMALL(Dong11,ROWS($1:14)),),0))</f>
        <v>2980</v>
      </c>
      <c r="J27" s="395">
        <f t="shared" ca="1" si="2"/>
        <v>54027400</v>
      </c>
      <c r="K27" s="395">
        <f t="shared" ca="1" si="6"/>
        <v>4500</v>
      </c>
      <c r="L27" s="395">
        <f t="shared" ca="1" si="7"/>
        <v>81585000</v>
      </c>
      <c r="M27" s="395"/>
      <c r="N27" s="388"/>
    </row>
    <row r="28" spans="1:14">
      <c r="A28" s="374">
        <f t="shared" ca="1" si="5"/>
        <v>15</v>
      </c>
      <c r="B28" s="391" t="str">
        <f ca="1">IF(ROWS($1:15)&gt;COUNT(Dong11),"",OFFSET(TH!D$1,SMALL(Dong11,ROWS($1:15)),))</f>
        <v>N</v>
      </c>
      <c r="C28" s="392">
        <f ca="1">IF(ROWS($1:15)&gt;COUNT(Dong11),"",OFFSET(TH!E$1,SMALL(Dong11,ROWS($1:15)),))</f>
        <v>42965</v>
      </c>
      <c r="D28" s="393" t="str">
        <f ca="1">IF(ROWS($1:15)&gt;COUNT(Dong11),"",OFFSET(TH!H$1,SMALL(Dong11,ROWS($1:15)),))</f>
        <v>Cty TNHH TM DV VT Hoàng Hà Việt Nam</v>
      </c>
      <c r="E28" s="391" t="str">
        <f ca="1">IF(ROWS($1:15)&gt;COUNT(Dong11),"",IF(OFFSET(TH!L$1,SMALL(Dong11,ROWS($1:15)),)=$G$7,OFFSET(TH!M$1,SMALL(Dong11,ROWS($1:15)),),OFFSET(TH!L$1,SMALL(Dong11,ROWS($1:15)),)))</f>
        <v>156</v>
      </c>
      <c r="F28" s="394">
        <f ca="1">IF(ROWS($1:15)&gt;COUNT(Dong11),0,OFFSET(TH!J$1,SMALL(Dong11,ROWS($1:15)),))</f>
        <v>18130</v>
      </c>
      <c r="G28" s="394">
        <f ca="1">IF(ROWS($1:15)&gt;COUNT(Dong11),0,IF(LEFT(OFFSET(TH!D$1,SMALL(Dong11,ROWS($1:15)),),1)="N",OFFSET(TH!I$1,SMALL(Dong11,ROWS($1:15)),),0))</f>
        <v>7855</v>
      </c>
      <c r="H28" s="395">
        <f t="shared" ca="1" si="1"/>
        <v>142411150</v>
      </c>
      <c r="I28" s="394">
        <f ca="1">IF(ROWS($1:15)&gt;COUNT(Dong11),0,IF(LEFT(OFFSET(TH!D$1,SMALL(Dong11,ROWS($1:15)),),1)="X",OFFSET(TH!I$1,SMALL(Dong11,ROWS($1:15)),),0))</f>
        <v>0</v>
      </c>
      <c r="J28" s="395">
        <f t="shared" ca="1" si="2"/>
        <v>0</v>
      </c>
      <c r="K28" s="395">
        <f t="shared" ca="1" si="6"/>
        <v>12355</v>
      </c>
      <c r="L28" s="395">
        <f t="shared" ca="1" si="7"/>
        <v>223996150</v>
      </c>
      <c r="M28" s="395"/>
      <c r="N28" s="388"/>
    </row>
    <row r="29" spans="1:14">
      <c r="A29" s="374">
        <f t="shared" ca="1" si="5"/>
        <v>16</v>
      </c>
      <c r="B29" s="391" t="str">
        <f ca="1">IF(ROWS($1:16)&gt;COUNT(Dong11),"",OFFSET(TH!D$1,SMALL(Dong11,ROWS($1:16)),))</f>
        <v>N</v>
      </c>
      <c r="C29" s="392">
        <f ca="1">IF(ROWS($1:16)&gt;COUNT(Dong11),"",OFFSET(TH!E$1,SMALL(Dong11,ROWS($1:16)),))</f>
        <v>42982</v>
      </c>
      <c r="D29" s="393" t="str">
        <f ca="1">IF(ROWS($1:16)&gt;COUNT(Dong11),"",OFFSET(TH!H$1,SMALL(Dong11,ROWS($1:16)),))</f>
        <v>Cty TNHH TM SX SNK Tiến Thành Đạt</v>
      </c>
      <c r="E29" s="391" t="str">
        <f ca="1">IF(ROWS($1:16)&gt;COUNT(Dong11),"",IF(OFFSET(TH!L$1,SMALL(Dong11,ROWS($1:16)),)=$G$7,OFFSET(TH!M$1,SMALL(Dong11,ROWS($1:16)),),OFFSET(TH!L$1,SMALL(Dong11,ROWS($1:16)),)))</f>
        <v>156</v>
      </c>
      <c r="F29" s="394">
        <f ca="1">IF(ROWS($1:16)&gt;COUNT(Dong11),0,OFFSET(TH!J$1,SMALL(Dong11,ROWS($1:16)),))</f>
        <v>18179</v>
      </c>
      <c r="G29" s="394">
        <f ca="1">IF(ROWS($1:16)&gt;COUNT(Dong11),0,IF(LEFT(OFFSET(TH!D$1,SMALL(Dong11,ROWS($1:16)),),1)="N",OFFSET(TH!I$1,SMALL(Dong11,ROWS($1:16)),),0))</f>
        <v>3080</v>
      </c>
      <c r="H29" s="395">
        <f t="shared" ca="1" si="1"/>
        <v>55991320</v>
      </c>
      <c r="I29" s="394">
        <f ca="1">IF(ROWS($1:16)&gt;COUNT(Dong11),0,IF(LEFT(OFFSET(TH!D$1,SMALL(Dong11,ROWS($1:16)),),1)="X",OFFSET(TH!I$1,SMALL(Dong11,ROWS($1:16)),),0))</f>
        <v>0</v>
      </c>
      <c r="J29" s="395">
        <f t="shared" ca="1" si="2"/>
        <v>0</v>
      </c>
      <c r="K29" s="395">
        <f t="shared" ca="1" si="6"/>
        <v>15435</v>
      </c>
      <c r="L29" s="395">
        <f t="shared" ca="1" si="7"/>
        <v>279987470</v>
      </c>
      <c r="M29" s="395"/>
      <c r="N29" s="388"/>
    </row>
    <row r="30" spans="1:14">
      <c r="A30" s="374">
        <f t="shared" ca="1" si="5"/>
        <v>17</v>
      </c>
      <c r="B30" s="391" t="str">
        <f ca="1">IF(ROWS($1:17)&gt;COUNT(Dong11),"",OFFSET(TH!D$1,SMALL(Dong11,ROWS($1:17)),))</f>
        <v>N</v>
      </c>
      <c r="C30" s="392">
        <f ca="1">IF(ROWS($1:17)&gt;COUNT(Dong11),"",OFFSET(TH!E$1,SMALL(Dong11,ROWS($1:17)),))</f>
        <v>42991</v>
      </c>
      <c r="D30" s="393" t="str">
        <f ca="1">IF(ROWS($1:17)&gt;COUNT(Dong11),"",OFFSET(TH!H$1,SMALL(Dong11,ROWS($1:17)),))</f>
        <v>Cty TNHH TM SX SNK Tiến Thành Đạt</v>
      </c>
      <c r="E30" s="391" t="str">
        <f ca="1">IF(ROWS($1:17)&gt;COUNT(Dong11),"",IF(OFFSET(TH!L$1,SMALL(Dong11,ROWS($1:17)),)=$G$7,OFFSET(TH!M$1,SMALL(Dong11,ROWS($1:17)),),OFFSET(TH!L$1,SMALL(Dong11,ROWS($1:17)),)))</f>
        <v>156</v>
      </c>
      <c r="F30" s="394">
        <f ca="1">IF(ROWS($1:17)&gt;COUNT(Dong11),0,OFFSET(TH!J$1,SMALL(Dong11,ROWS($1:17)),))</f>
        <v>18179</v>
      </c>
      <c r="G30" s="394">
        <f ca="1">IF(ROWS($1:17)&gt;COUNT(Dong11),0,IF(LEFT(OFFSET(TH!D$1,SMALL(Dong11,ROWS($1:17)),),1)="N",OFFSET(TH!I$1,SMALL(Dong11,ROWS($1:17)),),0))</f>
        <v>4500</v>
      </c>
      <c r="H30" s="395">
        <f t="shared" ca="1" si="1"/>
        <v>81805500</v>
      </c>
      <c r="I30" s="394">
        <f ca="1">IF(ROWS($1:17)&gt;COUNT(Dong11),0,IF(LEFT(OFFSET(TH!D$1,SMALL(Dong11,ROWS($1:17)),),1)="X",OFFSET(TH!I$1,SMALL(Dong11,ROWS($1:17)),),0))</f>
        <v>0</v>
      </c>
      <c r="J30" s="395">
        <f t="shared" ca="1" si="2"/>
        <v>0</v>
      </c>
      <c r="K30" s="395">
        <f t="shared" ca="1" si="6"/>
        <v>19935</v>
      </c>
      <c r="L30" s="395">
        <f t="shared" ca="1" si="7"/>
        <v>361792970</v>
      </c>
      <c r="M30" s="395"/>
      <c r="N30" s="388"/>
    </row>
    <row r="31" spans="1:14">
      <c r="A31" s="374">
        <f t="shared" ca="1" si="5"/>
        <v>18</v>
      </c>
      <c r="B31" s="391" t="str">
        <f ca="1">IF(ROWS($1:18)&gt;COUNT(Dong11),"",OFFSET(TH!D$1,SMALL(Dong11,ROWS($1:18)),))</f>
        <v>XTP</v>
      </c>
      <c r="C31" s="392">
        <f ca="1">IF(ROWS($1:18)&gt;COUNT(Dong11),"",OFFSET(TH!E$1,SMALL(Dong11,ROWS($1:18)),))</f>
        <v>42947</v>
      </c>
      <c r="D31" s="393" t="str">
        <f ca="1">IF(ROWS($1:18)&gt;COUNT(Dong11),"",OFFSET(TH!H$1,SMALL(Dong11,ROWS($1:18)),))</f>
        <v>Xuất bán</v>
      </c>
      <c r="E31" s="391" t="str">
        <f ca="1">IF(ROWS($1:18)&gt;COUNT(Dong11),"",IF(OFFSET(TH!L$1,SMALL(Dong11,ROWS($1:18)),)=$G$7,OFFSET(TH!M$1,SMALL(Dong11,ROWS($1:18)),),OFFSET(TH!L$1,SMALL(Dong11,ROWS($1:18)),)))</f>
        <v>632</v>
      </c>
      <c r="F31" s="394">
        <f ca="1">IF(ROWS($1:18)&gt;COUNT(Dong11),0,OFFSET(TH!J$1,SMALL(Dong11,ROWS($1:18)),))</f>
        <v>18130</v>
      </c>
      <c r="G31" s="394">
        <f ca="1">IF(ROWS($1:18)&gt;COUNT(Dong11),0,IF(LEFT(OFFSET(TH!D$1,SMALL(Dong11,ROWS($1:18)),),1)="N",OFFSET(TH!I$1,SMALL(Dong11,ROWS($1:18)),),0))</f>
        <v>0</v>
      </c>
      <c r="H31" s="395">
        <f t="shared" ca="1" si="1"/>
        <v>0</v>
      </c>
      <c r="I31" s="394">
        <f ca="1">IF(ROWS($1:18)&gt;COUNT(Dong11),0,IF(LEFT(OFFSET(TH!D$1,SMALL(Dong11,ROWS($1:18)),),1)="X",OFFSET(TH!I$1,SMALL(Dong11,ROWS($1:18)),),0))</f>
        <v>1600</v>
      </c>
      <c r="J31" s="395">
        <f t="shared" ca="1" si="2"/>
        <v>29008000</v>
      </c>
      <c r="K31" s="395">
        <f t="shared" ca="1" si="6"/>
        <v>18335</v>
      </c>
      <c r="L31" s="395">
        <f t="shared" ca="1" si="7"/>
        <v>332784970</v>
      </c>
      <c r="M31" s="395"/>
      <c r="N31" s="388"/>
    </row>
    <row r="32" spans="1:14">
      <c r="A32" s="374" t="str">
        <f t="shared" ca="1" si="5"/>
        <v/>
      </c>
      <c r="B32" s="391" t="str">
        <f ca="1">IF(ROWS($1:19)&gt;COUNT(Dong11),"",OFFSET(TH!D$1,SMALL(Dong11,ROWS($1:19)),))</f>
        <v/>
      </c>
      <c r="C32" s="392" t="str">
        <f ca="1">IF(ROWS($1:19)&gt;COUNT(Dong11),"",OFFSET(TH!E$1,SMALL(Dong11,ROWS($1:19)),))</f>
        <v/>
      </c>
      <c r="D32" s="393" t="str">
        <f ca="1">IF(ROWS($1:19)&gt;COUNT(Dong11),"",OFFSET(TH!H$1,SMALL(Dong11,ROWS($1:19)),))</f>
        <v/>
      </c>
      <c r="E32" s="391" t="str">
        <f ca="1">IF(ROWS($1:19)&gt;COUNT(Dong11),"",IF(OFFSET(TH!L$1,SMALL(Dong11,ROWS($1:19)),)=$G$7,OFFSET(TH!M$1,SMALL(Dong11,ROWS($1:19)),),OFFSET(TH!L$1,SMALL(Dong11,ROWS($1:19)),)))</f>
        <v/>
      </c>
      <c r="F32" s="394">
        <f ca="1">IF(ROWS($1:19)&gt;COUNT(Dong11),0,OFFSET(TH!J$1,SMALL(Dong11,ROWS($1:19)),))</f>
        <v>0</v>
      </c>
      <c r="G32" s="394">
        <f ca="1">IF(ROWS($1:19)&gt;COUNT(Dong11),0,IF(LEFT(OFFSET(TH!D$1,SMALL(Dong11,ROWS($1:19)),),1)="N",OFFSET(TH!I$1,SMALL(Dong11,ROWS($1:19)),),0))</f>
        <v>0</v>
      </c>
      <c r="H32" s="395">
        <f t="shared" ca="1" si="1"/>
        <v>0</v>
      </c>
      <c r="I32" s="394">
        <f ca="1">IF(ROWS($1:19)&gt;COUNT(Dong11),0,IF(LEFT(OFFSET(TH!D$1,SMALL(Dong11,ROWS($1:19)),),1)="X",OFFSET(TH!I$1,SMALL(Dong11,ROWS($1:19)),),0))</f>
        <v>0</v>
      </c>
      <c r="J32" s="395">
        <f t="shared" ca="1" si="2"/>
        <v>0</v>
      </c>
      <c r="K32" s="395">
        <f t="shared" ca="1" si="6"/>
        <v>0</v>
      </c>
      <c r="L32" s="395">
        <f t="shared" ca="1" si="7"/>
        <v>0</v>
      </c>
      <c r="M32" s="395"/>
      <c r="N32" s="388"/>
    </row>
    <row r="33" spans="1:15">
      <c r="A33" s="374" t="str">
        <f t="shared" ca="1" si="5"/>
        <v/>
      </c>
      <c r="B33" s="391" t="str">
        <f ca="1">IF(ROWS($1:20)&gt;COUNT(Dong11),"",OFFSET(TH!D$1,SMALL(Dong11,ROWS($1:20)),))</f>
        <v/>
      </c>
      <c r="C33" s="392" t="str">
        <f ca="1">IF(ROWS($1:20)&gt;COUNT(Dong11),"",OFFSET(TH!E$1,SMALL(Dong11,ROWS($1:20)),))</f>
        <v/>
      </c>
      <c r="D33" s="393" t="str">
        <f ca="1">IF(ROWS($1:20)&gt;COUNT(Dong11),"",OFFSET(TH!H$1,SMALL(Dong11,ROWS($1:20)),))</f>
        <v/>
      </c>
      <c r="E33" s="391" t="str">
        <f ca="1">IF(ROWS($1:20)&gt;COUNT(Dong11),"",IF(OFFSET(TH!L$1,SMALL(Dong11,ROWS($1:20)),)=$G$7,OFFSET(TH!M$1,SMALL(Dong11,ROWS($1:20)),),OFFSET(TH!L$1,SMALL(Dong11,ROWS($1:20)),)))</f>
        <v/>
      </c>
      <c r="F33" s="394">
        <f ca="1">IF(ROWS($1:20)&gt;COUNT(Dong11),0,OFFSET(TH!J$1,SMALL(Dong11,ROWS($1:20)),))</f>
        <v>0</v>
      </c>
      <c r="G33" s="394">
        <f ca="1">IF(ROWS($1:20)&gt;COUNT(Dong11),0,IF(LEFT(OFFSET(TH!D$1,SMALL(Dong11,ROWS($1:20)),),1)="N",OFFSET(TH!I$1,SMALL(Dong11,ROWS($1:20)),),0))</f>
        <v>0</v>
      </c>
      <c r="H33" s="395">
        <f t="shared" ca="1" si="1"/>
        <v>0</v>
      </c>
      <c r="I33" s="394">
        <f ca="1">IF(ROWS($1:20)&gt;COUNT(Dong11),0,IF(LEFT(OFFSET(TH!D$1,SMALL(Dong11,ROWS($1:20)),),1)="X",OFFSET(TH!I$1,SMALL(Dong11,ROWS($1:20)),),0))</f>
        <v>0</v>
      </c>
      <c r="J33" s="395">
        <f t="shared" ca="1" si="2"/>
        <v>0</v>
      </c>
      <c r="K33" s="395">
        <f t="shared" ca="1" si="6"/>
        <v>0</v>
      </c>
      <c r="L33" s="395">
        <f t="shared" ca="1" si="7"/>
        <v>0</v>
      </c>
      <c r="M33" s="395"/>
      <c r="N33" s="388"/>
    </row>
    <row r="34" spans="1:15">
      <c r="A34" s="374" t="str">
        <f t="shared" ca="1" si="5"/>
        <v/>
      </c>
      <c r="B34" s="391" t="str">
        <f ca="1">IF(ROWS($1:21)&gt;COUNT(Dong11),"",OFFSET(TH!D$1,SMALL(Dong11,ROWS($1:21)),))</f>
        <v/>
      </c>
      <c r="C34" s="392" t="str">
        <f ca="1">IF(ROWS($1:21)&gt;COUNT(Dong11),"",OFFSET(TH!E$1,SMALL(Dong11,ROWS($1:21)),))</f>
        <v/>
      </c>
      <c r="D34" s="393" t="str">
        <f ca="1">IF(ROWS($1:21)&gt;COUNT(Dong11),"",OFFSET(TH!H$1,SMALL(Dong11,ROWS($1:21)),))</f>
        <v/>
      </c>
      <c r="E34" s="391" t="str">
        <f ca="1">IF(ROWS($1:21)&gt;COUNT(Dong11),"",IF(OFFSET(TH!L$1,SMALL(Dong11,ROWS($1:21)),)=$G$7,OFFSET(TH!M$1,SMALL(Dong11,ROWS($1:21)),),OFFSET(TH!L$1,SMALL(Dong11,ROWS($1:21)),)))</f>
        <v/>
      </c>
      <c r="F34" s="394">
        <f ca="1">IF(ROWS($1:21)&gt;COUNT(Dong11),0,OFFSET(TH!J$1,SMALL(Dong11,ROWS($1:21)),))</f>
        <v>0</v>
      </c>
      <c r="G34" s="394">
        <f ca="1">IF(ROWS($1:21)&gt;COUNT(Dong11),0,IF(LEFT(OFFSET(TH!D$1,SMALL(Dong11,ROWS($1:21)),),1)="N",OFFSET(TH!I$1,SMALL(Dong11,ROWS($1:21)),),0))</f>
        <v>0</v>
      </c>
      <c r="H34" s="395">
        <f t="shared" ca="1" si="1"/>
        <v>0</v>
      </c>
      <c r="I34" s="394">
        <f ca="1">IF(ROWS($1:21)&gt;COUNT(Dong11),0,IF(LEFT(OFFSET(TH!D$1,SMALL(Dong11,ROWS($1:21)),),1)="X",OFFSET(TH!I$1,SMALL(Dong11,ROWS($1:21)),),0))</f>
        <v>0</v>
      </c>
      <c r="J34" s="395">
        <f t="shared" ca="1" si="2"/>
        <v>0</v>
      </c>
      <c r="K34" s="395">
        <f t="shared" ca="1" si="6"/>
        <v>0</v>
      </c>
      <c r="L34" s="395">
        <f t="shared" ca="1" si="7"/>
        <v>0</v>
      </c>
      <c r="M34" s="395"/>
      <c r="N34" s="388"/>
    </row>
    <row r="35" spans="1:15">
      <c r="A35" s="374" t="str">
        <f t="shared" ca="1" si="5"/>
        <v/>
      </c>
      <c r="B35" s="391" t="str">
        <f ca="1">IF(ROWS($1:22)&gt;COUNT(Dong11),"",OFFSET(TH!D$1,SMALL(Dong11,ROWS($1:22)),))</f>
        <v/>
      </c>
      <c r="C35" s="392" t="str">
        <f ca="1">IF(ROWS($1:22)&gt;COUNT(Dong11),"",OFFSET(TH!E$1,SMALL(Dong11,ROWS($1:22)),))</f>
        <v/>
      </c>
      <c r="D35" s="393" t="str">
        <f ca="1">IF(ROWS($1:22)&gt;COUNT(Dong11),"",OFFSET(TH!H$1,SMALL(Dong11,ROWS($1:22)),))</f>
        <v/>
      </c>
      <c r="E35" s="391" t="str">
        <f ca="1">IF(ROWS($1:22)&gt;COUNT(Dong11),"",IF(OFFSET(TH!L$1,SMALL(Dong11,ROWS($1:22)),)=$G$7,OFFSET(TH!M$1,SMALL(Dong11,ROWS($1:22)),),OFFSET(TH!L$1,SMALL(Dong11,ROWS($1:22)),)))</f>
        <v/>
      </c>
      <c r="F35" s="394">
        <f ca="1">IF(ROWS($1:22)&gt;COUNT(Dong11),0,OFFSET(TH!J$1,SMALL(Dong11,ROWS($1:22)),))</f>
        <v>0</v>
      </c>
      <c r="G35" s="394">
        <f ca="1">IF(ROWS($1:22)&gt;COUNT(Dong11),0,IF(LEFT(OFFSET(TH!D$1,SMALL(Dong11,ROWS($1:22)),),1)="N",OFFSET(TH!I$1,SMALL(Dong11,ROWS($1:22)),),0))</f>
        <v>0</v>
      </c>
      <c r="H35" s="395">
        <f t="shared" ca="1" si="1"/>
        <v>0</v>
      </c>
      <c r="I35" s="394">
        <f ca="1">IF(ROWS($1:22)&gt;COUNT(Dong11),0,IF(LEFT(OFFSET(TH!D$1,SMALL(Dong11,ROWS($1:22)),),1)="X",OFFSET(TH!I$1,SMALL(Dong11,ROWS($1:22)),),0))</f>
        <v>0</v>
      </c>
      <c r="J35" s="395">
        <f t="shared" ca="1" si="2"/>
        <v>0</v>
      </c>
      <c r="K35" s="395">
        <f t="shared" ca="1" si="6"/>
        <v>0</v>
      </c>
      <c r="L35" s="395">
        <f t="shared" ca="1" si="7"/>
        <v>0</v>
      </c>
      <c r="M35" s="395"/>
      <c r="N35" s="388"/>
    </row>
    <row r="36" spans="1:15">
      <c r="A36" s="374" t="str">
        <f t="shared" ca="1" si="5"/>
        <v/>
      </c>
      <c r="B36" s="391" t="str">
        <f ca="1">IF(ROWS($1:23)&gt;COUNT(Dong11),"",OFFSET(TH!D$1,SMALL(Dong11,ROWS($1:23)),))</f>
        <v/>
      </c>
      <c r="C36" s="392" t="str">
        <f ca="1">IF(ROWS($1:23)&gt;COUNT(Dong11),"",OFFSET(TH!E$1,SMALL(Dong11,ROWS($1:23)),))</f>
        <v/>
      </c>
      <c r="D36" s="393" t="str">
        <f ca="1">IF(ROWS($1:23)&gt;COUNT(Dong11),"",OFFSET(TH!H$1,SMALL(Dong11,ROWS($1:23)),))</f>
        <v/>
      </c>
      <c r="E36" s="391" t="str">
        <f ca="1">IF(ROWS($1:23)&gt;COUNT(Dong11),"",IF(OFFSET(TH!L$1,SMALL(Dong11,ROWS($1:23)),)=$G$7,OFFSET(TH!M$1,SMALL(Dong11,ROWS($1:23)),),OFFSET(TH!L$1,SMALL(Dong11,ROWS($1:23)),)))</f>
        <v/>
      </c>
      <c r="F36" s="394">
        <f ca="1">IF(ROWS($1:23)&gt;COUNT(Dong11),0,OFFSET(TH!J$1,SMALL(Dong11,ROWS($1:23)),))</f>
        <v>0</v>
      </c>
      <c r="G36" s="394">
        <f ca="1">IF(ROWS($1:23)&gt;COUNT(Dong11),0,IF(LEFT(OFFSET(TH!D$1,SMALL(Dong11,ROWS($1:23)),),1)="N",OFFSET(TH!I$1,SMALL(Dong11,ROWS($1:23)),),0))</f>
        <v>0</v>
      </c>
      <c r="H36" s="395">
        <f t="shared" ca="1" si="1"/>
        <v>0</v>
      </c>
      <c r="I36" s="394">
        <f ca="1">IF(ROWS($1:23)&gt;COUNT(Dong11),0,IF(LEFT(OFFSET(TH!D$1,SMALL(Dong11,ROWS($1:23)),),1)="X",OFFSET(TH!I$1,SMALL(Dong11,ROWS($1:23)),),0))</f>
        <v>0</v>
      </c>
      <c r="J36" s="395">
        <f t="shared" ca="1" si="2"/>
        <v>0</v>
      </c>
      <c r="K36" s="395">
        <f t="shared" ca="1" si="6"/>
        <v>0</v>
      </c>
      <c r="L36" s="395">
        <f t="shared" ca="1" si="7"/>
        <v>0</v>
      </c>
      <c r="M36" s="395"/>
      <c r="N36" s="388"/>
    </row>
    <row r="37" spans="1:15">
      <c r="A37" s="374" t="str">
        <f t="shared" ca="1" si="5"/>
        <v/>
      </c>
      <c r="B37" s="391" t="str">
        <f ca="1">IF(ROWS($1:24)&gt;COUNT(Dong11),"",OFFSET(TH!D$1,SMALL(Dong11,ROWS($1:24)),))</f>
        <v/>
      </c>
      <c r="C37" s="392" t="str">
        <f ca="1">IF(ROWS($1:24)&gt;COUNT(Dong11),"",OFFSET(TH!E$1,SMALL(Dong11,ROWS($1:24)),))</f>
        <v/>
      </c>
      <c r="D37" s="393" t="str">
        <f ca="1">IF(ROWS($1:24)&gt;COUNT(Dong11),"",OFFSET(TH!H$1,SMALL(Dong11,ROWS($1:24)),))</f>
        <v/>
      </c>
      <c r="E37" s="391" t="str">
        <f ca="1">IF(ROWS($1:24)&gt;COUNT(Dong11),"",IF(OFFSET(TH!L$1,SMALL(Dong11,ROWS($1:24)),)=$G$7,OFFSET(TH!M$1,SMALL(Dong11,ROWS($1:24)),),OFFSET(TH!L$1,SMALL(Dong11,ROWS($1:24)),)))</f>
        <v/>
      </c>
      <c r="F37" s="394">
        <f ca="1">IF(ROWS($1:24)&gt;COUNT(Dong11),0,OFFSET(TH!J$1,SMALL(Dong11,ROWS($1:24)),))</f>
        <v>0</v>
      </c>
      <c r="G37" s="394">
        <f ca="1">IF(ROWS($1:24)&gt;COUNT(Dong11),0,IF(LEFT(OFFSET(TH!D$1,SMALL(Dong11,ROWS($1:24)),),1)="N",OFFSET(TH!I$1,SMALL(Dong11,ROWS($1:24)),),0))</f>
        <v>0</v>
      </c>
      <c r="H37" s="395">
        <f t="shared" ca="1" si="1"/>
        <v>0</v>
      </c>
      <c r="I37" s="394">
        <f ca="1">IF(ROWS($1:24)&gt;COUNT(Dong11),0,IF(LEFT(OFFSET(TH!D$1,SMALL(Dong11,ROWS($1:24)),),1)="X",OFFSET(TH!I$1,SMALL(Dong11,ROWS($1:24)),),0))</f>
        <v>0</v>
      </c>
      <c r="J37" s="395">
        <f t="shared" ca="1" si="2"/>
        <v>0</v>
      </c>
      <c r="K37" s="395">
        <f t="shared" ca="1" si="6"/>
        <v>0</v>
      </c>
      <c r="L37" s="395">
        <f t="shared" ca="1" si="7"/>
        <v>0</v>
      </c>
      <c r="M37" s="395"/>
      <c r="N37" s="388"/>
    </row>
    <row r="38" spans="1:15">
      <c r="A38" s="374" t="str">
        <f t="shared" ca="1" si="5"/>
        <v/>
      </c>
      <c r="B38" s="391" t="str">
        <f ca="1">IF(ROWS($1:25)&gt;COUNT(Dong11),"",OFFSET(TH!D$1,SMALL(Dong11,ROWS($1:25)),))</f>
        <v/>
      </c>
      <c r="C38" s="392" t="str">
        <f ca="1">IF(ROWS($1:25)&gt;COUNT(Dong11),"",OFFSET(TH!E$1,SMALL(Dong11,ROWS($1:25)),))</f>
        <v/>
      </c>
      <c r="D38" s="393" t="str">
        <f ca="1">IF(ROWS($1:25)&gt;COUNT(Dong11),"",OFFSET(TH!H$1,SMALL(Dong11,ROWS($1:25)),))</f>
        <v/>
      </c>
      <c r="E38" s="391" t="str">
        <f ca="1">IF(ROWS($1:25)&gt;COUNT(Dong11),"",IF(OFFSET(TH!L$1,SMALL(Dong11,ROWS($1:25)),)=$G$7,OFFSET(TH!M$1,SMALL(Dong11,ROWS($1:25)),),OFFSET(TH!L$1,SMALL(Dong11,ROWS($1:25)),)))</f>
        <v/>
      </c>
      <c r="F38" s="394">
        <f ca="1">IF(ROWS($1:25)&gt;COUNT(Dong11),0,OFFSET(TH!J$1,SMALL(Dong11,ROWS($1:25)),))</f>
        <v>0</v>
      </c>
      <c r="G38" s="394">
        <f ca="1">IF(ROWS($1:25)&gt;COUNT(Dong11),0,IF(LEFT(OFFSET(TH!D$1,SMALL(Dong11,ROWS($1:25)),),1)="N",OFFSET(TH!I$1,SMALL(Dong11,ROWS($1:25)),),0))</f>
        <v>0</v>
      </c>
      <c r="H38" s="395">
        <f t="shared" ca="1" si="1"/>
        <v>0</v>
      </c>
      <c r="I38" s="394">
        <f ca="1">IF(ROWS($1:25)&gt;COUNT(Dong11),0,IF(LEFT(OFFSET(TH!D$1,SMALL(Dong11,ROWS($1:25)),),1)="X",OFFSET(TH!I$1,SMALL(Dong11,ROWS($1:25)),),0))</f>
        <v>0</v>
      </c>
      <c r="J38" s="395">
        <f t="shared" ca="1" si="2"/>
        <v>0</v>
      </c>
      <c r="K38" s="395">
        <f t="shared" ca="1" si="6"/>
        <v>0</v>
      </c>
      <c r="L38" s="395">
        <f t="shared" ca="1" si="7"/>
        <v>0</v>
      </c>
      <c r="M38" s="395"/>
      <c r="N38" s="388"/>
      <c r="O38" s="181"/>
    </row>
    <row r="39" spans="1:15">
      <c r="A39" s="374" t="str">
        <f ca="1">IF(B39="","",A38+1)</f>
        <v/>
      </c>
      <c r="B39" s="391" t="str">
        <f ca="1">IF(ROWS($1:26)&gt;COUNT(Dong11),"",OFFSET(TH!D$1,SMALL(Dong11,ROWS($1:26)),))</f>
        <v/>
      </c>
      <c r="C39" s="392" t="str">
        <f ca="1">IF(ROWS($1:26)&gt;COUNT(Dong11),"",OFFSET(TH!E$1,SMALL(Dong11,ROWS($1:26)),))</f>
        <v/>
      </c>
      <c r="D39" s="393" t="str">
        <f ca="1">IF(ROWS($1:26)&gt;COUNT(Dong11),"",OFFSET(TH!H$1,SMALL(Dong11,ROWS($1:26)),))</f>
        <v/>
      </c>
      <c r="E39" s="391" t="str">
        <f ca="1">IF(ROWS($1:26)&gt;COUNT(Dong11),"",IF(OFFSET(TH!L$1,SMALL(Dong11,ROWS($1:26)),)=$G$7,OFFSET(TH!M$1,SMALL(Dong11,ROWS($1:26)),),OFFSET(TH!L$1,SMALL(Dong11,ROWS($1:26)),)))</f>
        <v/>
      </c>
      <c r="F39" s="394">
        <f ca="1">IF(ROWS($1:26)&gt;COUNT(Dong11),0,OFFSET(TH!J$1,SMALL(Dong11,ROWS($1:26)),))</f>
        <v>0</v>
      </c>
      <c r="G39" s="394">
        <f ca="1">IF(ROWS($1:26)&gt;COUNT(Dong11),0,IF(LEFT(OFFSET(TH!D$1,SMALL(Dong11,ROWS($1:26)),),1)="N",OFFSET(TH!I$1,SMALL(Dong11,ROWS($1:26)),),0))</f>
        <v>0</v>
      </c>
      <c r="H39" s="395">
        <f t="shared" ca="1" si="1"/>
        <v>0</v>
      </c>
      <c r="I39" s="394">
        <f ca="1">IF(ROWS($1:26)&gt;COUNT(Dong11),0,IF(LEFT(OFFSET(TH!D$1,SMALL(Dong11,ROWS($1:26)),),1)="X",OFFSET(TH!I$1,SMALL(Dong11,ROWS($1:26)),),0))</f>
        <v>0</v>
      </c>
      <c r="J39" s="395">
        <f t="shared" ca="1" si="2"/>
        <v>0</v>
      </c>
      <c r="K39" s="395">
        <f ca="1">IF(D39&lt;&gt;"",K38+G39-I39,0)</f>
        <v>0</v>
      </c>
      <c r="L39" s="395">
        <f ca="1">IF(D39&lt;&gt;"",L38+H39-J39,0)</f>
        <v>0</v>
      </c>
      <c r="M39" s="395"/>
      <c r="N39" s="388"/>
    </row>
    <row r="40" spans="1:15">
      <c r="A40" s="374" t="str">
        <f ca="1">IF(B40="","",A39+1)</f>
        <v/>
      </c>
      <c r="B40" s="391" t="str">
        <f ca="1">IF(ROWS($1:27)&gt;COUNT(Dong11),"",OFFSET(TH!D$1,SMALL(Dong11,ROWS($1:27)),))</f>
        <v/>
      </c>
      <c r="C40" s="392" t="str">
        <f ca="1">IF(ROWS($1:27)&gt;COUNT(Dong11),"",OFFSET(TH!E$1,SMALL(Dong11,ROWS($1:27)),))</f>
        <v/>
      </c>
      <c r="D40" s="393" t="str">
        <f ca="1">IF(ROWS($1:27)&gt;COUNT(Dong11),"",OFFSET(TH!H$1,SMALL(Dong11,ROWS($1:27)),))</f>
        <v/>
      </c>
      <c r="E40" s="391" t="str">
        <f ca="1">IF(ROWS($1:27)&gt;COUNT(Dong11),"",IF(OFFSET(TH!L$1,SMALL(Dong11,ROWS($1:27)),)=$G$7,OFFSET(TH!M$1,SMALL(Dong11,ROWS($1:27)),),OFFSET(TH!L$1,SMALL(Dong11,ROWS($1:27)),)))</f>
        <v/>
      </c>
      <c r="F40" s="394">
        <f ca="1">IF(ROWS($1:27)&gt;COUNT(Dong11),0,OFFSET(TH!J$1,SMALL(Dong11,ROWS($1:27)),))</f>
        <v>0</v>
      </c>
      <c r="G40" s="394">
        <f ca="1">IF(ROWS($1:27)&gt;COUNT(Dong11),0,IF(LEFT(OFFSET(TH!D$1,SMALL(Dong11,ROWS($1:27)),),1)="N",OFFSET(TH!I$1,SMALL(Dong11,ROWS($1:27)),),0))</f>
        <v>0</v>
      </c>
      <c r="H40" s="395">
        <f t="shared" ca="1" si="1"/>
        <v>0</v>
      </c>
      <c r="I40" s="394">
        <f ca="1">IF(ROWS($1:27)&gt;COUNT(Dong11),0,IF(LEFT(OFFSET(TH!D$1,SMALL(Dong11,ROWS($1:27)),),1)="X",OFFSET(TH!I$1,SMALL(Dong11,ROWS($1:27)),),0))</f>
        <v>0</v>
      </c>
      <c r="J40" s="395">
        <f t="shared" ca="1" si="2"/>
        <v>0</v>
      </c>
      <c r="K40" s="395">
        <f ca="1">IF(D40&lt;&gt;"",K39+G40-I40,0)</f>
        <v>0</v>
      </c>
      <c r="L40" s="395">
        <f ca="1">IF(D40&lt;&gt;"",L39+H40-J40,0)</f>
        <v>0</v>
      </c>
      <c r="M40" s="395"/>
      <c r="N40" s="388"/>
      <c r="O40" s="710"/>
    </row>
    <row r="41" spans="1:15">
      <c r="A41" s="374" t="str">
        <f ca="1">IF(B41="","",A40+1)</f>
        <v/>
      </c>
      <c r="B41" s="391" t="str">
        <f ca="1">IF(ROWS($1:28)&gt;COUNT(Dong11),"",OFFSET(TH!D$1,SMALL(Dong11,ROWS($1:28)),))</f>
        <v/>
      </c>
      <c r="C41" s="392" t="str">
        <f ca="1">IF(ROWS($1:28)&gt;COUNT(Dong11),"",OFFSET(TH!E$1,SMALL(Dong11,ROWS($1:28)),))</f>
        <v/>
      </c>
      <c r="D41" s="393" t="str">
        <f ca="1">IF(ROWS($1:28)&gt;COUNT(Dong11),"",OFFSET(TH!H$1,SMALL(Dong11,ROWS($1:28)),))</f>
        <v/>
      </c>
      <c r="E41" s="391" t="str">
        <f ca="1">IF(ROWS($1:28)&gt;COUNT(Dong11),"",IF(OFFSET(TH!L$1,SMALL(Dong11,ROWS($1:28)),)=$G$7,OFFSET(TH!M$1,SMALL(Dong11,ROWS($1:28)),),OFFSET(TH!L$1,SMALL(Dong11,ROWS($1:28)),)))</f>
        <v/>
      </c>
      <c r="F41" s="394">
        <f ca="1">IF(ROWS($1:28)&gt;COUNT(Dong11),0,OFFSET(TH!J$1,SMALL(Dong11,ROWS($1:28)),))</f>
        <v>0</v>
      </c>
      <c r="G41" s="394">
        <f ca="1">IF(ROWS($1:28)&gt;COUNT(Dong11),0,IF(LEFT(OFFSET(TH!D$1,SMALL(Dong11,ROWS($1:28)),),1)="N",OFFSET(TH!I$1,SMALL(Dong11,ROWS($1:28)),),0))</f>
        <v>0</v>
      </c>
      <c r="H41" s="395">
        <f t="shared" ca="1" si="1"/>
        <v>0</v>
      </c>
      <c r="I41" s="394">
        <f ca="1">IF(ROWS($1:28)&gt;COUNT(Dong11),0,IF(LEFT(OFFSET(TH!D$1,SMALL(Dong11,ROWS($1:28)),),1)="X",OFFSET(TH!I$1,SMALL(Dong11,ROWS($1:28)),),0))</f>
        <v>0</v>
      </c>
      <c r="J41" s="395">
        <f t="shared" ca="1" si="2"/>
        <v>0</v>
      </c>
      <c r="K41" s="395">
        <f ca="1">IF(D41&lt;&gt;"",K40+G41-I41,0)</f>
        <v>0</v>
      </c>
      <c r="L41" s="395">
        <f ca="1">IF(D41&lt;&gt;"",L40+H41-J41,0)</f>
        <v>0</v>
      </c>
      <c r="M41" s="395"/>
      <c r="N41" s="388"/>
      <c r="O41" s="710"/>
    </row>
    <row r="42" spans="1:15">
      <c r="A42" s="374" t="str">
        <f ca="1">IF(B42="","",A41+1)</f>
        <v/>
      </c>
      <c r="B42" s="391" t="str">
        <f ca="1">IF(ROWS($1:29)&gt;COUNT(Dong11),"",OFFSET(TH!D$1,SMALL(Dong11,ROWS($1:29)),))</f>
        <v/>
      </c>
      <c r="C42" s="392" t="str">
        <f ca="1">IF(ROWS($1:29)&gt;COUNT(Dong11),"",OFFSET(TH!E$1,SMALL(Dong11,ROWS($1:29)),))</f>
        <v/>
      </c>
      <c r="D42" s="393" t="str">
        <f ca="1">IF(ROWS($1:29)&gt;COUNT(Dong11),"",OFFSET(TH!H$1,SMALL(Dong11,ROWS($1:29)),))</f>
        <v/>
      </c>
      <c r="E42" s="391" t="str">
        <f ca="1">IF(ROWS($1:29)&gt;COUNT(Dong11),"",IF(OFFSET(TH!L$1,SMALL(Dong11,ROWS($1:29)),)=$G$7,OFFSET(TH!M$1,SMALL(Dong11,ROWS($1:29)),),OFFSET(TH!L$1,SMALL(Dong11,ROWS($1:29)),)))</f>
        <v/>
      </c>
      <c r="F42" s="394">
        <f ca="1">IF(ROWS($1:29)&gt;COUNT(Dong11),0,OFFSET(TH!J$1,SMALL(Dong11,ROWS($1:29)),))</f>
        <v>0</v>
      </c>
      <c r="G42" s="394">
        <f ca="1">IF(ROWS($1:29)&gt;COUNT(Dong11),0,IF(LEFT(OFFSET(TH!D$1,SMALL(Dong11,ROWS($1:29)),),1)="N",OFFSET(TH!I$1,SMALL(Dong11,ROWS($1:29)),),0))</f>
        <v>0</v>
      </c>
      <c r="H42" s="395">
        <f t="shared" ca="1" si="1"/>
        <v>0</v>
      </c>
      <c r="I42" s="394">
        <f ca="1">IF(ROWS($1:29)&gt;COUNT(Dong11),0,IF(LEFT(OFFSET(TH!D$1,SMALL(Dong11,ROWS($1:29)),),1)="X",OFFSET(TH!I$1,SMALL(Dong11,ROWS($1:29)),),0))</f>
        <v>0</v>
      </c>
      <c r="J42" s="395">
        <f t="shared" ca="1" si="2"/>
        <v>0</v>
      </c>
      <c r="K42" s="395">
        <f ca="1">IF(D42&lt;&gt;"",K41+G42-I42,0)</f>
        <v>0</v>
      </c>
      <c r="L42" s="395">
        <f ca="1">IF(D42&lt;&gt;"",L41+H42-J42,0)</f>
        <v>0</v>
      </c>
      <c r="M42" s="395"/>
      <c r="N42" s="388"/>
    </row>
    <row r="43" spans="1:15">
      <c r="A43" s="374" t="str">
        <f t="shared" ref="A43:A59" ca="1" si="8">IF(B43="","",A42+1)</f>
        <v/>
      </c>
      <c r="B43" s="391" t="str">
        <f ca="1">IF(ROWS($1:30)&gt;COUNT(Dong11),"",OFFSET(TH!D$1,SMALL(Dong11,ROWS($1:30)),))</f>
        <v/>
      </c>
      <c r="C43" s="392" t="str">
        <f ca="1">IF(ROWS($1:30)&gt;COUNT(Dong11),"",OFFSET(TH!E$1,SMALL(Dong11,ROWS($1:30)),))</f>
        <v/>
      </c>
      <c r="D43" s="393" t="str">
        <f ca="1">IF(ROWS($1:30)&gt;COUNT(Dong11),"",OFFSET(TH!H$1,SMALL(Dong11,ROWS($1:30)),))</f>
        <v/>
      </c>
      <c r="E43" s="391" t="str">
        <f ca="1">IF(ROWS($1:30)&gt;COUNT(Dong11),"",IF(OFFSET(TH!L$1,SMALL(Dong11,ROWS($1:30)),)=$G$7,OFFSET(TH!M$1,SMALL(Dong11,ROWS($1:30)),),OFFSET(TH!L$1,SMALL(Dong11,ROWS($1:30)),)))</f>
        <v/>
      </c>
      <c r="F43" s="394">
        <f ca="1">IF(ROWS($1:30)&gt;COUNT(Dong11),0,OFFSET(TH!J$1,SMALL(Dong11,ROWS($1:30)),))</f>
        <v>0</v>
      </c>
      <c r="G43" s="394">
        <f ca="1">IF(ROWS($1:30)&gt;COUNT(Dong11),0,IF(LEFT(OFFSET(TH!D$1,SMALL(Dong11,ROWS($1:30)),),1)="N",OFFSET(TH!I$1,SMALL(Dong11,ROWS($1:30)),),0))</f>
        <v>0</v>
      </c>
      <c r="H43" s="395">
        <f t="shared" ref="H43:H59" ca="1" si="9">ROUND(F43*G43,0)</f>
        <v>0</v>
      </c>
      <c r="I43" s="394">
        <f ca="1">IF(ROWS($1:30)&gt;COUNT(Dong11),0,IF(LEFT(OFFSET(TH!D$1,SMALL(Dong11,ROWS($1:30)),),1)="X",OFFSET(TH!I$1,SMALL(Dong11,ROWS($1:30)),),0))</f>
        <v>0</v>
      </c>
      <c r="J43" s="395">
        <f t="shared" ref="J43:J59" ca="1" si="10">ROUND(F43*I43,0)</f>
        <v>0</v>
      </c>
      <c r="K43" s="395">
        <f t="shared" ref="K43:K59" ca="1" si="11">IF(D43&lt;&gt;"",K42+G43-I43,0)</f>
        <v>0</v>
      </c>
      <c r="L43" s="395">
        <f t="shared" ref="L43:L59" ca="1" si="12">IF(D43&lt;&gt;"",L42+H43-J43,0)</f>
        <v>0</v>
      </c>
      <c r="M43" s="395"/>
      <c r="N43" s="388"/>
    </row>
    <row r="44" spans="1:15">
      <c r="A44" s="374" t="str">
        <f t="shared" ca="1" si="8"/>
        <v/>
      </c>
      <c r="B44" s="391" t="str">
        <f ca="1">IF(ROWS($1:31)&gt;COUNT(Dong11),"",OFFSET(TH!D$1,SMALL(Dong11,ROWS($1:31)),))</f>
        <v/>
      </c>
      <c r="C44" s="392" t="str">
        <f ca="1">IF(ROWS($1:31)&gt;COUNT(Dong11),"",OFFSET(TH!E$1,SMALL(Dong11,ROWS($1:31)),))</f>
        <v/>
      </c>
      <c r="D44" s="393" t="str">
        <f ca="1">IF(ROWS($1:31)&gt;COUNT(Dong11),"",OFFSET(TH!H$1,SMALL(Dong11,ROWS($1:31)),))</f>
        <v/>
      </c>
      <c r="E44" s="391" t="str">
        <f ca="1">IF(ROWS($1:31)&gt;COUNT(Dong11),"",IF(OFFSET(TH!L$1,SMALL(Dong11,ROWS($1:31)),)=$G$7,OFFSET(TH!M$1,SMALL(Dong11,ROWS($1:31)),),OFFSET(TH!L$1,SMALL(Dong11,ROWS($1:31)),)))</f>
        <v/>
      </c>
      <c r="F44" s="394">
        <f ca="1">IF(ROWS($1:31)&gt;COUNT(Dong11),0,OFFSET(TH!J$1,SMALL(Dong11,ROWS($1:31)),))</f>
        <v>0</v>
      </c>
      <c r="G44" s="394">
        <f ca="1">IF(ROWS($1:31)&gt;COUNT(Dong11),0,IF(LEFT(OFFSET(TH!D$1,SMALL(Dong11,ROWS($1:31)),),1)="N",OFFSET(TH!I$1,SMALL(Dong11,ROWS($1:31)),),0))</f>
        <v>0</v>
      </c>
      <c r="H44" s="395">
        <f t="shared" ca="1" si="9"/>
        <v>0</v>
      </c>
      <c r="I44" s="394">
        <f ca="1">IF(ROWS($1:31)&gt;COUNT(Dong11),0,IF(LEFT(OFFSET(TH!D$1,SMALL(Dong11,ROWS($1:31)),),1)="X",OFFSET(TH!I$1,SMALL(Dong11,ROWS($1:31)),),0))</f>
        <v>0</v>
      </c>
      <c r="J44" s="395">
        <f t="shared" ca="1" si="10"/>
        <v>0</v>
      </c>
      <c r="K44" s="395">
        <f t="shared" ca="1" si="11"/>
        <v>0</v>
      </c>
      <c r="L44" s="395">
        <f t="shared" ca="1" si="12"/>
        <v>0</v>
      </c>
      <c r="M44" s="395"/>
      <c r="N44" s="388"/>
    </row>
    <row r="45" spans="1:15">
      <c r="A45" s="374" t="str">
        <f t="shared" ca="1" si="8"/>
        <v/>
      </c>
      <c r="B45" s="391" t="str">
        <f ca="1">IF(ROWS($1:32)&gt;COUNT(Dong11),"",OFFSET(TH!D$1,SMALL(Dong11,ROWS($1:32)),))</f>
        <v/>
      </c>
      <c r="C45" s="392" t="str">
        <f ca="1">IF(ROWS($1:32)&gt;COUNT(Dong11),"",OFFSET(TH!E$1,SMALL(Dong11,ROWS($1:32)),))</f>
        <v/>
      </c>
      <c r="D45" s="393" t="str">
        <f ca="1">IF(ROWS($1:32)&gt;COUNT(Dong11),"",OFFSET(TH!H$1,SMALL(Dong11,ROWS($1:32)),))</f>
        <v/>
      </c>
      <c r="E45" s="391" t="str">
        <f ca="1">IF(ROWS($1:32)&gt;COUNT(Dong11),"",IF(OFFSET(TH!L$1,SMALL(Dong11,ROWS($1:32)),)=$G$7,OFFSET(TH!M$1,SMALL(Dong11,ROWS($1:32)),),OFFSET(TH!L$1,SMALL(Dong11,ROWS($1:32)),)))</f>
        <v/>
      </c>
      <c r="F45" s="394">
        <f ca="1">IF(ROWS($1:32)&gt;COUNT(Dong11),0,OFFSET(TH!J$1,SMALL(Dong11,ROWS($1:32)),))</f>
        <v>0</v>
      </c>
      <c r="G45" s="394">
        <f ca="1">IF(ROWS($1:32)&gt;COUNT(Dong11),0,IF(LEFT(OFFSET(TH!D$1,SMALL(Dong11,ROWS($1:32)),),1)="N",OFFSET(TH!I$1,SMALL(Dong11,ROWS($1:32)),),0))</f>
        <v>0</v>
      </c>
      <c r="H45" s="395">
        <f t="shared" ca="1" si="9"/>
        <v>0</v>
      </c>
      <c r="I45" s="394">
        <f ca="1">IF(ROWS($1:32)&gt;COUNT(Dong11),0,IF(LEFT(OFFSET(TH!D$1,SMALL(Dong11,ROWS($1:32)),),1)="X",OFFSET(TH!I$1,SMALL(Dong11,ROWS($1:32)),),0))</f>
        <v>0</v>
      </c>
      <c r="J45" s="395">
        <f t="shared" ca="1" si="10"/>
        <v>0</v>
      </c>
      <c r="K45" s="395">
        <f t="shared" ca="1" si="11"/>
        <v>0</v>
      </c>
      <c r="L45" s="395">
        <f t="shared" ca="1" si="12"/>
        <v>0</v>
      </c>
      <c r="M45" s="395"/>
      <c r="N45" s="388"/>
    </row>
    <row r="46" spans="1:15">
      <c r="A46" s="374" t="str">
        <f t="shared" ca="1" si="8"/>
        <v/>
      </c>
      <c r="B46" s="391" t="str">
        <f ca="1">IF(ROWS($1:33)&gt;COUNT(Dong11),"",OFFSET(TH!D$1,SMALL(Dong11,ROWS($1:33)),))</f>
        <v/>
      </c>
      <c r="C46" s="392" t="str">
        <f ca="1">IF(ROWS($1:33)&gt;COUNT(Dong11),"",OFFSET(TH!E$1,SMALL(Dong11,ROWS($1:33)),))</f>
        <v/>
      </c>
      <c r="D46" s="393" t="str">
        <f ca="1">IF(ROWS($1:33)&gt;COUNT(Dong11),"",OFFSET(TH!H$1,SMALL(Dong11,ROWS($1:33)),))</f>
        <v/>
      </c>
      <c r="E46" s="391" t="str">
        <f ca="1">IF(ROWS($1:33)&gt;COUNT(Dong11),"",IF(OFFSET(TH!L$1,SMALL(Dong11,ROWS($1:33)),)=$G$7,OFFSET(TH!M$1,SMALL(Dong11,ROWS($1:33)),),OFFSET(TH!L$1,SMALL(Dong11,ROWS($1:33)),)))</f>
        <v/>
      </c>
      <c r="F46" s="394">
        <f ca="1">IF(ROWS($1:33)&gt;COUNT(Dong11),0,OFFSET(TH!J$1,SMALL(Dong11,ROWS($1:33)),))</f>
        <v>0</v>
      </c>
      <c r="G46" s="394">
        <f ca="1">IF(ROWS($1:33)&gt;COUNT(Dong11),0,IF(LEFT(OFFSET(TH!D$1,SMALL(Dong11,ROWS($1:33)),),1)="N",OFFSET(TH!I$1,SMALL(Dong11,ROWS($1:33)),),0))</f>
        <v>0</v>
      </c>
      <c r="H46" s="395">
        <f t="shared" ca="1" si="9"/>
        <v>0</v>
      </c>
      <c r="I46" s="394">
        <f ca="1">IF(ROWS($1:33)&gt;COUNT(Dong11),0,IF(LEFT(OFFSET(TH!D$1,SMALL(Dong11,ROWS($1:33)),),1)="X",OFFSET(TH!I$1,SMALL(Dong11,ROWS($1:33)),),0))</f>
        <v>0</v>
      </c>
      <c r="J46" s="395">
        <f t="shared" ca="1" si="10"/>
        <v>0</v>
      </c>
      <c r="K46" s="395">
        <f t="shared" ca="1" si="11"/>
        <v>0</v>
      </c>
      <c r="L46" s="395">
        <f t="shared" ca="1" si="12"/>
        <v>0</v>
      </c>
      <c r="M46" s="395"/>
      <c r="N46" s="388"/>
    </row>
    <row r="47" spans="1:15">
      <c r="A47" s="374" t="str">
        <f t="shared" ca="1" si="8"/>
        <v/>
      </c>
      <c r="B47" s="391" t="str">
        <f ca="1">IF(ROWS($1:34)&gt;COUNT(Dong11),"",OFFSET(TH!D$1,SMALL(Dong11,ROWS($1:34)),))</f>
        <v/>
      </c>
      <c r="C47" s="392" t="str">
        <f ca="1">IF(ROWS($1:34)&gt;COUNT(Dong11),"",OFFSET(TH!E$1,SMALL(Dong11,ROWS($1:34)),))</f>
        <v/>
      </c>
      <c r="D47" s="393" t="str">
        <f ca="1">IF(ROWS($1:34)&gt;COUNT(Dong11),"",OFFSET(TH!H$1,SMALL(Dong11,ROWS($1:34)),))</f>
        <v/>
      </c>
      <c r="E47" s="391" t="str">
        <f ca="1">IF(ROWS($1:34)&gt;COUNT(Dong11),"",IF(OFFSET(TH!L$1,SMALL(Dong11,ROWS($1:34)),)=$G$7,OFFSET(TH!M$1,SMALL(Dong11,ROWS($1:34)),),OFFSET(TH!L$1,SMALL(Dong11,ROWS($1:34)),)))</f>
        <v/>
      </c>
      <c r="F47" s="394">
        <f ca="1">IF(ROWS($1:34)&gt;COUNT(Dong11),0,OFFSET(TH!J$1,SMALL(Dong11,ROWS($1:34)),))</f>
        <v>0</v>
      </c>
      <c r="G47" s="394">
        <f ca="1">IF(ROWS($1:34)&gt;COUNT(Dong11),0,IF(LEFT(OFFSET(TH!D$1,SMALL(Dong11,ROWS($1:34)),),1)="N",OFFSET(TH!I$1,SMALL(Dong11,ROWS($1:34)),),0))</f>
        <v>0</v>
      </c>
      <c r="H47" s="395">
        <f t="shared" ca="1" si="9"/>
        <v>0</v>
      </c>
      <c r="I47" s="394">
        <f ca="1">IF(ROWS($1:34)&gt;COUNT(Dong11),0,IF(LEFT(OFFSET(TH!D$1,SMALL(Dong11,ROWS($1:34)),),1)="X",OFFSET(TH!I$1,SMALL(Dong11,ROWS($1:34)),),0))</f>
        <v>0</v>
      </c>
      <c r="J47" s="395">
        <f t="shared" ca="1" si="10"/>
        <v>0</v>
      </c>
      <c r="K47" s="395">
        <f t="shared" ca="1" si="11"/>
        <v>0</v>
      </c>
      <c r="L47" s="395">
        <f t="shared" ca="1" si="12"/>
        <v>0</v>
      </c>
      <c r="M47" s="395"/>
      <c r="N47" s="388"/>
    </row>
    <row r="48" spans="1:15">
      <c r="A48" s="374" t="str">
        <f t="shared" ca="1" si="8"/>
        <v/>
      </c>
      <c r="B48" s="391" t="str">
        <f ca="1">IF(ROWS($1:35)&gt;COUNT(Dong11),"",OFFSET(TH!D$1,SMALL(Dong11,ROWS($1:35)),))</f>
        <v/>
      </c>
      <c r="C48" s="392" t="str">
        <f ca="1">IF(ROWS($1:35)&gt;COUNT(Dong11),"",OFFSET(TH!E$1,SMALL(Dong11,ROWS($1:35)),))</f>
        <v/>
      </c>
      <c r="D48" s="393" t="str">
        <f ca="1">IF(ROWS($1:35)&gt;COUNT(Dong11),"",OFFSET(TH!H$1,SMALL(Dong11,ROWS($1:35)),))</f>
        <v/>
      </c>
      <c r="E48" s="391" t="str">
        <f ca="1">IF(ROWS($1:35)&gt;COUNT(Dong11),"",IF(OFFSET(TH!L$1,SMALL(Dong11,ROWS($1:35)),)=$G$7,OFFSET(TH!M$1,SMALL(Dong11,ROWS($1:35)),),OFFSET(TH!L$1,SMALL(Dong11,ROWS($1:35)),)))</f>
        <v/>
      </c>
      <c r="F48" s="394">
        <f ca="1">IF(ROWS($1:35)&gt;COUNT(Dong11),0,OFFSET(TH!J$1,SMALL(Dong11,ROWS($1:35)),))</f>
        <v>0</v>
      </c>
      <c r="G48" s="394">
        <f ca="1">IF(ROWS($1:35)&gt;COUNT(Dong11),0,IF(LEFT(OFFSET(TH!D$1,SMALL(Dong11,ROWS($1:35)),),1)="N",OFFSET(TH!I$1,SMALL(Dong11,ROWS($1:35)),),0))</f>
        <v>0</v>
      </c>
      <c r="H48" s="395">
        <f t="shared" ca="1" si="9"/>
        <v>0</v>
      </c>
      <c r="I48" s="394">
        <f ca="1">IF(ROWS($1:35)&gt;COUNT(Dong11),0,IF(LEFT(OFFSET(TH!D$1,SMALL(Dong11,ROWS($1:35)),),1)="X",OFFSET(TH!I$1,SMALL(Dong11,ROWS($1:35)),),0))</f>
        <v>0</v>
      </c>
      <c r="J48" s="395">
        <f t="shared" ca="1" si="10"/>
        <v>0</v>
      </c>
      <c r="K48" s="395">
        <f t="shared" ca="1" si="11"/>
        <v>0</v>
      </c>
      <c r="L48" s="395">
        <f t="shared" ca="1" si="12"/>
        <v>0</v>
      </c>
      <c r="M48" s="395"/>
      <c r="N48" s="388"/>
    </row>
    <row r="49" spans="1:14">
      <c r="A49" s="374" t="str">
        <f t="shared" ca="1" si="8"/>
        <v/>
      </c>
      <c r="B49" s="391" t="str">
        <f ca="1">IF(ROWS($1:36)&gt;COUNT(Dong11),"",OFFSET(TH!D$1,SMALL(Dong11,ROWS($1:36)),))</f>
        <v/>
      </c>
      <c r="C49" s="392" t="str">
        <f ca="1">IF(ROWS($1:36)&gt;COUNT(Dong11),"",OFFSET(TH!E$1,SMALL(Dong11,ROWS($1:36)),))</f>
        <v/>
      </c>
      <c r="D49" s="393" t="str">
        <f ca="1">IF(ROWS($1:36)&gt;COUNT(Dong11),"",OFFSET(TH!H$1,SMALL(Dong11,ROWS($1:36)),))</f>
        <v/>
      </c>
      <c r="E49" s="391" t="str">
        <f ca="1">IF(ROWS($1:36)&gt;COUNT(Dong11),"",IF(OFFSET(TH!L$1,SMALL(Dong11,ROWS($1:36)),)=$G$7,OFFSET(TH!M$1,SMALL(Dong11,ROWS($1:36)),),OFFSET(TH!L$1,SMALL(Dong11,ROWS($1:36)),)))</f>
        <v/>
      </c>
      <c r="F49" s="394">
        <f ca="1">IF(ROWS($1:36)&gt;COUNT(Dong11),0,OFFSET(TH!J$1,SMALL(Dong11,ROWS($1:36)),))</f>
        <v>0</v>
      </c>
      <c r="G49" s="394">
        <f ca="1">IF(ROWS($1:36)&gt;COUNT(Dong11),0,IF(LEFT(OFFSET(TH!D$1,SMALL(Dong11,ROWS($1:36)),),1)="N",OFFSET(TH!I$1,SMALL(Dong11,ROWS($1:36)),),0))</f>
        <v>0</v>
      </c>
      <c r="H49" s="395">
        <f t="shared" ca="1" si="9"/>
        <v>0</v>
      </c>
      <c r="I49" s="394">
        <f ca="1">IF(ROWS($1:36)&gt;COUNT(Dong11),0,IF(LEFT(OFFSET(TH!D$1,SMALL(Dong11,ROWS($1:36)),),1)="X",OFFSET(TH!I$1,SMALL(Dong11,ROWS($1:36)),),0))</f>
        <v>0</v>
      </c>
      <c r="J49" s="395">
        <f t="shared" ca="1" si="10"/>
        <v>0</v>
      </c>
      <c r="K49" s="395">
        <f t="shared" ca="1" si="11"/>
        <v>0</v>
      </c>
      <c r="L49" s="395">
        <f t="shared" ca="1" si="12"/>
        <v>0</v>
      </c>
      <c r="M49" s="395"/>
      <c r="N49" s="388"/>
    </row>
    <row r="50" spans="1:14">
      <c r="A50" s="374" t="str">
        <f t="shared" ca="1" si="8"/>
        <v/>
      </c>
      <c r="B50" s="391" t="str">
        <f ca="1">IF(ROWS($1:37)&gt;COUNT(Dong11),"",OFFSET(TH!D$1,SMALL(Dong11,ROWS($1:37)),))</f>
        <v/>
      </c>
      <c r="C50" s="392" t="str">
        <f ca="1">IF(ROWS($1:37)&gt;COUNT(Dong11),"",OFFSET(TH!E$1,SMALL(Dong11,ROWS($1:37)),))</f>
        <v/>
      </c>
      <c r="D50" s="393" t="str">
        <f ca="1">IF(ROWS($1:37)&gt;COUNT(Dong11),"",OFFSET(TH!H$1,SMALL(Dong11,ROWS($1:37)),))</f>
        <v/>
      </c>
      <c r="E50" s="391" t="str">
        <f ca="1">IF(ROWS($1:37)&gt;COUNT(Dong11),"",IF(OFFSET(TH!L$1,SMALL(Dong11,ROWS($1:37)),)=$G$7,OFFSET(TH!M$1,SMALL(Dong11,ROWS($1:37)),),OFFSET(TH!L$1,SMALL(Dong11,ROWS($1:37)),)))</f>
        <v/>
      </c>
      <c r="F50" s="394">
        <f ca="1">IF(ROWS($1:37)&gt;COUNT(Dong11),0,OFFSET(TH!J$1,SMALL(Dong11,ROWS($1:37)),))</f>
        <v>0</v>
      </c>
      <c r="G50" s="394">
        <f ca="1">IF(ROWS($1:37)&gt;COUNT(Dong11),0,IF(LEFT(OFFSET(TH!D$1,SMALL(Dong11,ROWS($1:37)),),1)="N",OFFSET(TH!I$1,SMALL(Dong11,ROWS($1:37)),),0))</f>
        <v>0</v>
      </c>
      <c r="H50" s="395">
        <f t="shared" ca="1" si="9"/>
        <v>0</v>
      </c>
      <c r="I50" s="394">
        <f ca="1">IF(ROWS($1:37)&gt;COUNT(Dong11),0,IF(LEFT(OFFSET(TH!D$1,SMALL(Dong11,ROWS($1:37)),),1)="X",OFFSET(TH!I$1,SMALL(Dong11,ROWS($1:37)),),0))</f>
        <v>0</v>
      </c>
      <c r="J50" s="395">
        <f t="shared" ca="1" si="10"/>
        <v>0</v>
      </c>
      <c r="K50" s="395">
        <f t="shared" ca="1" si="11"/>
        <v>0</v>
      </c>
      <c r="L50" s="395">
        <f t="shared" ca="1" si="12"/>
        <v>0</v>
      </c>
      <c r="M50" s="395"/>
      <c r="N50" s="388"/>
    </row>
    <row r="51" spans="1:14">
      <c r="A51" s="374" t="str">
        <f t="shared" ca="1" si="8"/>
        <v/>
      </c>
      <c r="B51" s="391" t="str">
        <f ca="1">IF(ROWS($1:38)&gt;COUNT(Dong11),"",OFFSET(TH!D$1,SMALL(Dong11,ROWS($1:38)),))</f>
        <v/>
      </c>
      <c r="C51" s="392" t="str">
        <f ca="1">IF(ROWS($1:38)&gt;COUNT(Dong11),"",OFFSET(TH!E$1,SMALL(Dong11,ROWS($1:38)),))</f>
        <v/>
      </c>
      <c r="D51" s="393" t="str">
        <f ca="1">IF(ROWS($1:38)&gt;COUNT(Dong11),"",OFFSET(TH!H$1,SMALL(Dong11,ROWS($1:38)),))</f>
        <v/>
      </c>
      <c r="E51" s="391" t="str">
        <f ca="1">IF(ROWS($1:38)&gt;COUNT(Dong11),"",IF(OFFSET(TH!L$1,SMALL(Dong11,ROWS($1:38)),)=$G$7,OFFSET(TH!M$1,SMALL(Dong11,ROWS($1:38)),),OFFSET(TH!L$1,SMALL(Dong11,ROWS($1:38)),)))</f>
        <v/>
      </c>
      <c r="F51" s="394">
        <f ca="1">IF(ROWS($1:38)&gt;COUNT(Dong11),0,OFFSET(TH!J$1,SMALL(Dong11,ROWS($1:38)),))</f>
        <v>0</v>
      </c>
      <c r="G51" s="394">
        <f ca="1">IF(ROWS($1:38)&gt;COUNT(Dong11),0,IF(LEFT(OFFSET(TH!D$1,SMALL(Dong11,ROWS($1:38)),),1)="N",OFFSET(TH!I$1,SMALL(Dong11,ROWS($1:38)),),0))</f>
        <v>0</v>
      </c>
      <c r="H51" s="395">
        <f t="shared" ca="1" si="9"/>
        <v>0</v>
      </c>
      <c r="I51" s="394">
        <f ca="1">IF(ROWS($1:38)&gt;COUNT(Dong11),0,IF(LEFT(OFFSET(TH!D$1,SMALL(Dong11,ROWS($1:38)),),1)="X",OFFSET(TH!I$1,SMALL(Dong11,ROWS($1:38)),),0))</f>
        <v>0</v>
      </c>
      <c r="J51" s="395">
        <f t="shared" ca="1" si="10"/>
        <v>0</v>
      </c>
      <c r="K51" s="395">
        <f t="shared" ca="1" si="11"/>
        <v>0</v>
      </c>
      <c r="L51" s="395">
        <f t="shared" ca="1" si="12"/>
        <v>0</v>
      </c>
      <c r="M51" s="395"/>
      <c r="N51" s="388"/>
    </row>
    <row r="52" spans="1:14">
      <c r="A52" s="374" t="str">
        <f t="shared" ca="1" si="8"/>
        <v/>
      </c>
      <c r="B52" s="391" t="str">
        <f ca="1">IF(ROWS($1:39)&gt;COUNT(Dong11),"",OFFSET(TH!D$1,SMALL(Dong11,ROWS($1:39)),))</f>
        <v/>
      </c>
      <c r="C52" s="392" t="str">
        <f ca="1">IF(ROWS($1:39)&gt;COUNT(Dong11),"",OFFSET(TH!E$1,SMALL(Dong11,ROWS($1:39)),))</f>
        <v/>
      </c>
      <c r="D52" s="393" t="str">
        <f ca="1">IF(ROWS($1:39)&gt;COUNT(Dong11),"",OFFSET(TH!H$1,SMALL(Dong11,ROWS($1:39)),))</f>
        <v/>
      </c>
      <c r="E52" s="391" t="str">
        <f ca="1">IF(ROWS($1:39)&gt;COUNT(Dong11),"",IF(OFFSET(TH!L$1,SMALL(Dong11,ROWS($1:39)),)=$G$7,OFFSET(TH!M$1,SMALL(Dong11,ROWS($1:39)),),OFFSET(TH!L$1,SMALL(Dong11,ROWS($1:39)),)))</f>
        <v/>
      </c>
      <c r="F52" s="394">
        <f ca="1">IF(ROWS($1:39)&gt;COUNT(Dong11),0,OFFSET(TH!J$1,SMALL(Dong11,ROWS($1:39)),))</f>
        <v>0</v>
      </c>
      <c r="G52" s="394">
        <f ca="1">IF(ROWS($1:39)&gt;COUNT(Dong11),0,IF(LEFT(OFFSET(TH!D$1,SMALL(Dong11,ROWS($1:39)),),1)="N",OFFSET(TH!I$1,SMALL(Dong11,ROWS($1:39)),),0))</f>
        <v>0</v>
      </c>
      <c r="H52" s="395">
        <f t="shared" ca="1" si="9"/>
        <v>0</v>
      </c>
      <c r="I52" s="394">
        <f ca="1">IF(ROWS($1:39)&gt;COUNT(Dong11),0,IF(LEFT(OFFSET(TH!D$1,SMALL(Dong11,ROWS($1:39)),),1)="X",OFFSET(TH!I$1,SMALL(Dong11,ROWS($1:39)),),0))</f>
        <v>0</v>
      </c>
      <c r="J52" s="395">
        <f t="shared" ca="1" si="10"/>
        <v>0</v>
      </c>
      <c r="K52" s="395">
        <f t="shared" ca="1" si="11"/>
        <v>0</v>
      </c>
      <c r="L52" s="395">
        <f t="shared" ca="1" si="12"/>
        <v>0</v>
      </c>
      <c r="M52" s="395"/>
      <c r="N52" s="388"/>
    </row>
    <row r="53" spans="1:14">
      <c r="A53" s="374" t="str">
        <f t="shared" ca="1" si="8"/>
        <v/>
      </c>
      <c r="B53" s="391" t="str">
        <f ca="1">IF(ROWS($1:40)&gt;COUNT(Dong11),"",OFFSET(TH!D$1,SMALL(Dong11,ROWS($1:40)),))</f>
        <v/>
      </c>
      <c r="C53" s="392" t="str">
        <f ca="1">IF(ROWS($1:40)&gt;COUNT(Dong11),"",OFFSET(TH!E$1,SMALL(Dong11,ROWS($1:40)),))</f>
        <v/>
      </c>
      <c r="D53" s="393" t="str">
        <f ca="1">IF(ROWS($1:40)&gt;COUNT(Dong11),"",OFFSET(TH!H$1,SMALL(Dong11,ROWS($1:40)),))</f>
        <v/>
      </c>
      <c r="E53" s="391" t="str">
        <f ca="1">IF(ROWS($1:40)&gt;COUNT(Dong11),"",IF(OFFSET(TH!L$1,SMALL(Dong11,ROWS($1:40)),)=$G$7,OFFSET(TH!M$1,SMALL(Dong11,ROWS($1:40)),),OFFSET(TH!L$1,SMALL(Dong11,ROWS($1:40)),)))</f>
        <v/>
      </c>
      <c r="F53" s="394">
        <f ca="1">IF(ROWS($1:40)&gt;COUNT(Dong11),0,OFFSET(TH!J$1,SMALL(Dong11,ROWS($1:40)),))</f>
        <v>0</v>
      </c>
      <c r="G53" s="394">
        <f ca="1">IF(ROWS($1:40)&gt;COUNT(Dong11),0,IF(LEFT(OFFSET(TH!D$1,SMALL(Dong11,ROWS($1:40)),),1)="N",OFFSET(TH!I$1,SMALL(Dong11,ROWS($1:40)),),0))</f>
        <v>0</v>
      </c>
      <c r="H53" s="395">
        <f t="shared" ca="1" si="9"/>
        <v>0</v>
      </c>
      <c r="I53" s="394">
        <f ca="1">IF(ROWS($1:40)&gt;COUNT(Dong11),0,IF(LEFT(OFFSET(TH!D$1,SMALL(Dong11,ROWS($1:40)),),1)="X",OFFSET(TH!I$1,SMALL(Dong11,ROWS($1:40)),),0))</f>
        <v>0</v>
      </c>
      <c r="J53" s="395">
        <f t="shared" ca="1" si="10"/>
        <v>0</v>
      </c>
      <c r="K53" s="395">
        <f t="shared" ca="1" si="11"/>
        <v>0</v>
      </c>
      <c r="L53" s="395">
        <f t="shared" ca="1" si="12"/>
        <v>0</v>
      </c>
      <c r="M53" s="395"/>
      <c r="N53" s="388"/>
    </row>
    <row r="54" spans="1:14">
      <c r="A54" s="374" t="str">
        <f t="shared" ca="1" si="8"/>
        <v/>
      </c>
      <c r="B54" s="391" t="str">
        <f ca="1">IF(ROWS($1:41)&gt;COUNT(Dong11),"",OFFSET(TH!D$1,SMALL(Dong11,ROWS($1:41)),))</f>
        <v/>
      </c>
      <c r="C54" s="392" t="str">
        <f ca="1">IF(ROWS($1:41)&gt;COUNT(Dong11),"",OFFSET(TH!E$1,SMALL(Dong11,ROWS($1:41)),))</f>
        <v/>
      </c>
      <c r="D54" s="393" t="str">
        <f ca="1">IF(ROWS($1:41)&gt;COUNT(Dong11),"",OFFSET(TH!H$1,SMALL(Dong11,ROWS($1:41)),))</f>
        <v/>
      </c>
      <c r="E54" s="391" t="str">
        <f ca="1">IF(ROWS($1:41)&gt;COUNT(Dong11),"",IF(OFFSET(TH!L$1,SMALL(Dong11,ROWS($1:41)),)=$G$7,OFFSET(TH!M$1,SMALL(Dong11,ROWS($1:41)),),OFFSET(TH!L$1,SMALL(Dong11,ROWS($1:41)),)))</f>
        <v/>
      </c>
      <c r="F54" s="394">
        <f ca="1">IF(ROWS($1:41)&gt;COUNT(Dong11),0,OFFSET(TH!J$1,SMALL(Dong11,ROWS($1:41)),))</f>
        <v>0</v>
      </c>
      <c r="G54" s="394">
        <f ca="1">IF(ROWS($1:41)&gt;COUNT(Dong11),0,IF(LEFT(OFFSET(TH!D$1,SMALL(Dong11,ROWS($1:41)),),1)="N",OFFSET(TH!I$1,SMALL(Dong11,ROWS($1:41)),),0))</f>
        <v>0</v>
      </c>
      <c r="H54" s="395">
        <f t="shared" ca="1" si="9"/>
        <v>0</v>
      </c>
      <c r="I54" s="394">
        <f ca="1">IF(ROWS($1:41)&gt;COUNT(Dong11),0,IF(LEFT(OFFSET(TH!D$1,SMALL(Dong11,ROWS($1:41)),),1)="X",OFFSET(TH!I$1,SMALL(Dong11,ROWS($1:41)),),0))</f>
        <v>0</v>
      </c>
      <c r="J54" s="395">
        <f t="shared" ca="1" si="10"/>
        <v>0</v>
      </c>
      <c r="K54" s="395">
        <f t="shared" ca="1" si="11"/>
        <v>0</v>
      </c>
      <c r="L54" s="395">
        <f t="shared" ca="1" si="12"/>
        <v>0</v>
      </c>
      <c r="M54" s="395"/>
      <c r="N54" s="388"/>
    </row>
    <row r="55" spans="1:14">
      <c r="A55" s="374" t="str">
        <f t="shared" ca="1" si="8"/>
        <v/>
      </c>
      <c r="B55" s="391" t="str">
        <f ca="1">IF(ROWS($1:42)&gt;COUNT(Dong11),"",OFFSET(TH!D$1,SMALL(Dong11,ROWS($1:42)),))</f>
        <v/>
      </c>
      <c r="C55" s="392" t="str">
        <f ca="1">IF(ROWS($1:42)&gt;COUNT(Dong11),"",OFFSET(TH!E$1,SMALL(Dong11,ROWS($1:42)),))</f>
        <v/>
      </c>
      <c r="D55" s="393" t="str">
        <f ca="1">IF(ROWS($1:42)&gt;COUNT(Dong11),"",OFFSET(TH!H$1,SMALL(Dong11,ROWS($1:42)),))</f>
        <v/>
      </c>
      <c r="E55" s="391" t="str">
        <f ca="1">IF(ROWS($1:42)&gt;COUNT(Dong11),"",IF(OFFSET(TH!L$1,SMALL(Dong11,ROWS($1:42)),)=$G$7,OFFSET(TH!M$1,SMALL(Dong11,ROWS($1:42)),),OFFSET(TH!L$1,SMALL(Dong11,ROWS($1:42)),)))</f>
        <v/>
      </c>
      <c r="F55" s="394">
        <f ca="1">IF(ROWS($1:42)&gt;COUNT(Dong11),0,OFFSET(TH!J$1,SMALL(Dong11,ROWS($1:42)),))</f>
        <v>0</v>
      </c>
      <c r="G55" s="394">
        <f ca="1">IF(ROWS($1:42)&gt;COUNT(Dong11),0,IF(LEFT(OFFSET(TH!D$1,SMALL(Dong11,ROWS($1:42)),),1)="N",OFFSET(TH!I$1,SMALL(Dong11,ROWS($1:42)),),0))</f>
        <v>0</v>
      </c>
      <c r="H55" s="395">
        <f t="shared" ca="1" si="9"/>
        <v>0</v>
      </c>
      <c r="I55" s="394">
        <f ca="1">IF(ROWS($1:42)&gt;COUNT(Dong11),0,IF(LEFT(OFFSET(TH!D$1,SMALL(Dong11,ROWS($1:42)),),1)="X",OFFSET(TH!I$1,SMALL(Dong11,ROWS($1:42)),),0))</f>
        <v>0</v>
      </c>
      <c r="J55" s="395">
        <f t="shared" ca="1" si="10"/>
        <v>0</v>
      </c>
      <c r="K55" s="395">
        <f t="shared" ca="1" si="11"/>
        <v>0</v>
      </c>
      <c r="L55" s="395">
        <f t="shared" ca="1" si="12"/>
        <v>0</v>
      </c>
      <c r="M55" s="395"/>
      <c r="N55" s="388"/>
    </row>
    <row r="56" spans="1:14">
      <c r="A56" s="374" t="str">
        <f t="shared" ca="1" si="8"/>
        <v/>
      </c>
      <c r="B56" s="391" t="str">
        <f ca="1">IF(ROWS($1:43)&gt;COUNT(Dong11),"",OFFSET(TH!D$1,SMALL(Dong11,ROWS($1:43)),))</f>
        <v/>
      </c>
      <c r="C56" s="392" t="str">
        <f ca="1">IF(ROWS($1:43)&gt;COUNT(Dong11),"",OFFSET(TH!E$1,SMALL(Dong11,ROWS($1:43)),))</f>
        <v/>
      </c>
      <c r="D56" s="393" t="str">
        <f ca="1">IF(ROWS($1:43)&gt;COUNT(Dong11),"",OFFSET(TH!H$1,SMALL(Dong11,ROWS($1:43)),))</f>
        <v/>
      </c>
      <c r="E56" s="391" t="str">
        <f ca="1">IF(ROWS($1:43)&gt;COUNT(Dong11),"",IF(OFFSET(TH!L$1,SMALL(Dong11,ROWS($1:43)),)=$G$7,OFFSET(TH!M$1,SMALL(Dong11,ROWS($1:43)),),OFFSET(TH!L$1,SMALL(Dong11,ROWS($1:43)),)))</f>
        <v/>
      </c>
      <c r="F56" s="394">
        <f ca="1">IF(ROWS($1:43)&gt;COUNT(Dong11),0,OFFSET(TH!J$1,SMALL(Dong11,ROWS($1:43)),))</f>
        <v>0</v>
      </c>
      <c r="G56" s="394">
        <f ca="1">IF(ROWS($1:43)&gt;COUNT(Dong11),0,IF(LEFT(OFFSET(TH!D$1,SMALL(Dong11,ROWS($1:43)),),1)="N",OFFSET(TH!I$1,SMALL(Dong11,ROWS($1:43)),),0))</f>
        <v>0</v>
      </c>
      <c r="H56" s="395">
        <f t="shared" ca="1" si="9"/>
        <v>0</v>
      </c>
      <c r="I56" s="394">
        <f ca="1">IF(ROWS($1:43)&gt;COUNT(Dong11),0,IF(LEFT(OFFSET(TH!D$1,SMALL(Dong11,ROWS($1:43)),),1)="X",OFFSET(TH!I$1,SMALL(Dong11,ROWS($1:43)),),0))</f>
        <v>0</v>
      </c>
      <c r="J56" s="395">
        <f t="shared" ca="1" si="10"/>
        <v>0</v>
      </c>
      <c r="K56" s="395">
        <f t="shared" ca="1" si="11"/>
        <v>0</v>
      </c>
      <c r="L56" s="395">
        <f t="shared" ca="1" si="12"/>
        <v>0</v>
      </c>
      <c r="M56" s="395"/>
      <c r="N56" s="388"/>
    </row>
    <row r="57" spans="1:14">
      <c r="A57" s="374" t="str">
        <f t="shared" ca="1" si="8"/>
        <v/>
      </c>
      <c r="B57" s="391" t="str">
        <f ca="1">IF(ROWS($1:44)&gt;COUNT(Dong11),"",OFFSET(TH!D$1,SMALL(Dong11,ROWS($1:44)),))</f>
        <v/>
      </c>
      <c r="C57" s="392" t="str">
        <f ca="1">IF(ROWS($1:44)&gt;COUNT(Dong11),"",OFFSET(TH!E$1,SMALL(Dong11,ROWS($1:44)),))</f>
        <v/>
      </c>
      <c r="D57" s="393" t="str">
        <f ca="1">IF(ROWS($1:44)&gt;COUNT(Dong11),"",OFFSET(TH!H$1,SMALL(Dong11,ROWS($1:44)),))</f>
        <v/>
      </c>
      <c r="E57" s="391" t="str">
        <f ca="1">IF(ROWS($1:44)&gt;COUNT(Dong11),"",IF(OFFSET(TH!L$1,SMALL(Dong11,ROWS($1:44)),)=$G$7,OFFSET(TH!M$1,SMALL(Dong11,ROWS($1:44)),),OFFSET(TH!L$1,SMALL(Dong11,ROWS($1:44)),)))</f>
        <v/>
      </c>
      <c r="F57" s="394">
        <f ca="1">IF(ROWS($1:44)&gt;COUNT(Dong11),0,OFFSET(TH!J$1,SMALL(Dong11,ROWS($1:44)),))</f>
        <v>0</v>
      </c>
      <c r="G57" s="394">
        <f ca="1">IF(ROWS($1:44)&gt;COUNT(Dong11),0,IF(LEFT(OFFSET(TH!D$1,SMALL(Dong11,ROWS($1:44)),),1)="N",OFFSET(TH!I$1,SMALL(Dong11,ROWS($1:44)),),0))</f>
        <v>0</v>
      </c>
      <c r="H57" s="395">
        <f t="shared" ca="1" si="9"/>
        <v>0</v>
      </c>
      <c r="I57" s="394">
        <f ca="1">IF(ROWS($1:44)&gt;COUNT(Dong11),0,IF(LEFT(OFFSET(TH!D$1,SMALL(Dong11,ROWS($1:44)),),1)="X",OFFSET(TH!I$1,SMALL(Dong11,ROWS($1:44)),),0))</f>
        <v>0</v>
      </c>
      <c r="J57" s="395">
        <f t="shared" ca="1" si="10"/>
        <v>0</v>
      </c>
      <c r="K57" s="395">
        <f t="shared" ca="1" si="11"/>
        <v>0</v>
      </c>
      <c r="L57" s="395">
        <f t="shared" ca="1" si="12"/>
        <v>0</v>
      </c>
      <c r="M57" s="395"/>
      <c r="N57" s="388"/>
    </row>
    <row r="58" spans="1:14">
      <c r="A58" s="374" t="str">
        <f t="shared" ca="1" si="8"/>
        <v/>
      </c>
      <c r="B58" s="391" t="str">
        <f ca="1">IF(ROWS($1:45)&gt;COUNT(Dong11),"",OFFSET(TH!D$1,SMALL(Dong11,ROWS($1:45)),))</f>
        <v/>
      </c>
      <c r="C58" s="392" t="str">
        <f ca="1">IF(ROWS($1:45)&gt;COUNT(Dong11),"",OFFSET(TH!E$1,SMALL(Dong11,ROWS($1:45)),))</f>
        <v/>
      </c>
      <c r="D58" s="393" t="str">
        <f ca="1">IF(ROWS($1:45)&gt;COUNT(Dong11),"",OFFSET(TH!H$1,SMALL(Dong11,ROWS($1:45)),))</f>
        <v/>
      </c>
      <c r="E58" s="391" t="str">
        <f ca="1">IF(ROWS($1:45)&gt;COUNT(Dong11),"",IF(OFFSET(TH!L$1,SMALL(Dong11,ROWS($1:45)),)=$G$7,OFFSET(TH!M$1,SMALL(Dong11,ROWS($1:45)),),OFFSET(TH!L$1,SMALL(Dong11,ROWS($1:45)),)))</f>
        <v/>
      </c>
      <c r="F58" s="394">
        <f ca="1">IF(ROWS($1:45)&gt;COUNT(Dong11),0,OFFSET(TH!J$1,SMALL(Dong11,ROWS($1:45)),))</f>
        <v>0</v>
      </c>
      <c r="G58" s="394">
        <f ca="1">IF(ROWS($1:45)&gt;COUNT(Dong11),0,IF(LEFT(OFFSET(TH!D$1,SMALL(Dong11,ROWS($1:45)),),1)="N",OFFSET(TH!I$1,SMALL(Dong11,ROWS($1:45)),),0))</f>
        <v>0</v>
      </c>
      <c r="H58" s="395">
        <f t="shared" ca="1" si="9"/>
        <v>0</v>
      </c>
      <c r="I58" s="394">
        <f ca="1">IF(ROWS($1:45)&gt;COUNT(Dong11),0,IF(LEFT(OFFSET(TH!D$1,SMALL(Dong11,ROWS($1:45)),),1)="X",OFFSET(TH!I$1,SMALL(Dong11,ROWS($1:45)),),0))</f>
        <v>0</v>
      </c>
      <c r="J58" s="395">
        <f t="shared" ca="1" si="10"/>
        <v>0</v>
      </c>
      <c r="K58" s="395">
        <f t="shared" ca="1" si="11"/>
        <v>0</v>
      </c>
      <c r="L58" s="395">
        <f t="shared" ca="1" si="12"/>
        <v>0</v>
      </c>
      <c r="M58" s="395"/>
      <c r="N58" s="388"/>
    </row>
    <row r="59" spans="1:14">
      <c r="A59" s="374" t="str">
        <f t="shared" ca="1" si="8"/>
        <v/>
      </c>
      <c r="B59" s="391" t="str">
        <f ca="1">IF(ROWS($1:46)&gt;COUNT(Dong11),"",OFFSET(TH!D$1,SMALL(Dong11,ROWS($1:46)),))</f>
        <v/>
      </c>
      <c r="C59" s="392" t="str">
        <f ca="1">IF(ROWS($1:46)&gt;COUNT(Dong11),"",OFFSET(TH!E$1,SMALL(Dong11,ROWS($1:46)),))</f>
        <v/>
      </c>
      <c r="D59" s="393" t="str">
        <f ca="1">IF(ROWS($1:46)&gt;COUNT(Dong11),"",OFFSET(TH!H$1,SMALL(Dong11,ROWS($1:46)),))</f>
        <v/>
      </c>
      <c r="E59" s="391" t="str">
        <f ca="1">IF(ROWS($1:46)&gt;COUNT(Dong11),"",IF(OFFSET(TH!L$1,SMALL(Dong11,ROWS($1:46)),)=$G$7,OFFSET(TH!M$1,SMALL(Dong11,ROWS($1:46)),),OFFSET(TH!L$1,SMALL(Dong11,ROWS($1:46)),)))</f>
        <v/>
      </c>
      <c r="F59" s="394">
        <f ca="1">IF(ROWS($1:46)&gt;COUNT(Dong11),0,OFFSET(TH!J$1,SMALL(Dong11,ROWS($1:46)),))</f>
        <v>0</v>
      </c>
      <c r="G59" s="394">
        <f ca="1">IF(ROWS($1:46)&gt;COUNT(Dong11),0,IF(LEFT(OFFSET(TH!D$1,SMALL(Dong11,ROWS($1:46)),),1)="N",OFFSET(TH!I$1,SMALL(Dong11,ROWS($1:46)),),0))</f>
        <v>0</v>
      </c>
      <c r="H59" s="395">
        <f t="shared" ca="1" si="9"/>
        <v>0</v>
      </c>
      <c r="I59" s="394">
        <f ca="1">IF(ROWS($1:46)&gt;COUNT(Dong11),0,IF(LEFT(OFFSET(TH!D$1,SMALL(Dong11,ROWS($1:46)),),1)="X",OFFSET(TH!I$1,SMALL(Dong11,ROWS($1:46)),),0))</f>
        <v>0</v>
      </c>
      <c r="J59" s="395">
        <f t="shared" ca="1" si="10"/>
        <v>0</v>
      </c>
      <c r="K59" s="395">
        <f t="shared" ca="1" si="11"/>
        <v>0</v>
      </c>
      <c r="L59" s="395">
        <f t="shared" ca="1" si="12"/>
        <v>0</v>
      </c>
      <c r="M59" s="395"/>
      <c r="N59" s="388"/>
    </row>
    <row r="60" spans="1:14">
      <c r="A60" s="386"/>
      <c r="B60" s="386"/>
      <c r="C60" s="386"/>
      <c r="D60" s="386" t="s">
        <v>199</v>
      </c>
      <c r="E60" s="228" t="s">
        <v>19</v>
      </c>
      <c r="F60" s="228" t="s">
        <v>19</v>
      </c>
      <c r="G60" s="199">
        <f ca="1">SUM(G14:G59)</f>
        <v>35235</v>
      </c>
      <c r="H60" s="199">
        <f ca="1">SUM(H14:H59)</f>
        <v>649925459</v>
      </c>
      <c r="I60" s="199">
        <f ca="1">SUM(I14:I59)</f>
        <v>16900</v>
      </c>
      <c r="J60" s="199">
        <f ca="1">SUM(J14:J59)</f>
        <v>317140489</v>
      </c>
      <c r="K60" s="199">
        <f ca="1">K13+G60-I60</f>
        <v>18335</v>
      </c>
      <c r="L60" s="199">
        <f ca="1">L13+H60-J60</f>
        <v>332784970</v>
      </c>
      <c r="M60" s="386"/>
      <c r="N60" s="388"/>
    </row>
    <row r="61" spans="1:14">
      <c r="B61" s="396" t="s">
        <v>200</v>
      </c>
      <c r="G61" s="181"/>
      <c r="N61" s="388"/>
    </row>
    <row r="62" spans="1:14">
      <c r="B62" s="32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1 năm 2017</v>
      </c>
      <c r="G62" s="181"/>
      <c r="I62" s="181"/>
      <c r="N62" s="388"/>
    </row>
    <row r="63" spans="1:14">
      <c r="G63" s="181"/>
      <c r="H63" s="380"/>
      <c r="I63" s="180"/>
      <c r="J63" s="953" t="str">
        <f ca="1">"Ngày 31 tháng  12  năm  "&amp;YEAR($C$14)</f>
        <v>Ngày 31 tháng  12  năm  2017</v>
      </c>
      <c r="K63" s="953"/>
      <c r="L63" s="953"/>
      <c r="M63" s="953"/>
      <c r="N63" s="388"/>
    </row>
    <row r="64" spans="1:14">
      <c r="D64" s="380" t="s">
        <v>11</v>
      </c>
      <c r="E64" s="953" t="s">
        <v>12</v>
      </c>
      <c r="F64" s="953"/>
      <c r="G64" s="953"/>
      <c r="H64" s="953"/>
      <c r="I64" s="953"/>
      <c r="J64" s="953" t="s">
        <v>107</v>
      </c>
      <c r="K64" s="953"/>
      <c r="L64" s="953"/>
      <c r="M64" s="953"/>
      <c r="N64" s="388"/>
    </row>
    <row r="65" spans="4:14">
      <c r="D65" s="380" t="s">
        <v>13</v>
      </c>
      <c r="E65" s="953" t="s">
        <v>13</v>
      </c>
      <c r="F65" s="953"/>
      <c r="G65" s="953"/>
      <c r="H65" s="953" t="s">
        <v>134</v>
      </c>
      <c r="I65" s="953"/>
      <c r="J65" s="953" t="s">
        <v>134</v>
      </c>
      <c r="K65" s="953"/>
      <c r="L65" s="953"/>
      <c r="M65" s="953"/>
      <c r="N65" s="388"/>
    </row>
    <row r="66" spans="4:14">
      <c r="N66" s="397"/>
    </row>
    <row r="67" spans="4:14">
      <c r="E67" s="376"/>
    </row>
    <row r="69" spans="4:14" s="398" customFormat="1" ht="14.25">
      <c r="E69" s="399"/>
    </row>
    <row r="74" spans="4:14">
      <c r="D74" s="123" t="s">
        <v>149</v>
      </c>
      <c r="E74" s="123"/>
      <c r="J74" s="950" t="s">
        <v>101</v>
      </c>
      <c r="K74" s="950"/>
      <c r="L74" s="950"/>
      <c r="M74" s="950"/>
      <c r="N74" s="227"/>
    </row>
  </sheetData>
  <autoFilter ref="A12:N65"/>
  <mergeCells count="21">
    <mergeCell ref="J2:M2"/>
    <mergeCell ref="J3:M4"/>
    <mergeCell ref="B5:M5"/>
    <mergeCell ref="B6:M6"/>
    <mergeCell ref="J8:L8"/>
    <mergeCell ref="B3:I4"/>
    <mergeCell ref="J74:M74"/>
    <mergeCell ref="A10:A11"/>
    <mergeCell ref="B10:C10"/>
    <mergeCell ref="D10:D11"/>
    <mergeCell ref="E10:E11"/>
    <mergeCell ref="F10:F11"/>
    <mergeCell ref="E65:I65"/>
    <mergeCell ref="J65:M65"/>
    <mergeCell ref="G10:H10"/>
    <mergeCell ref="I10:J10"/>
    <mergeCell ref="K10:L10"/>
    <mergeCell ref="M10:M11"/>
    <mergeCell ref="J63:M63"/>
    <mergeCell ref="E64:I64"/>
    <mergeCell ref="J64:M64"/>
  </mergeCells>
  <conditionalFormatting sqref="I14:M59 B14:G59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NXT!$B$12:$B$686</xm:f>
          </x14:formula1>
          <xm:sqref>J8:L8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25" customWidth="1"/>
    <col min="2" max="2" width="9.140625" style="325"/>
    <col min="3" max="3" width="9.140625" style="371" customWidth="1"/>
    <col min="4" max="4" width="10.85546875" style="371" customWidth="1"/>
    <col min="5" max="5" width="39.42578125" style="372" customWidth="1"/>
    <col min="6" max="6" width="10.85546875" style="373" customWidth="1"/>
    <col min="7" max="7" width="9" style="361" customWidth="1"/>
    <col min="8" max="8" width="9.5703125" style="361" customWidth="1"/>
    <col min="9" max="9" width="10" style="361" customWidth="1"/>
    <col min="10" max="10" width="8" style="325" customWidth="1"/>
    <col min="11" max="16384" width="9.140625" style="325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962" t="s">
        <v>201</v>
      </c>
      <c r="G1" s="962"/>
      <c r="H1" s="962"/>
      <c r="I1" s="962"/>
      <c r="J1" s="962"/>
    </row>
    <row r="2" spans="1:10" ht="15" customHeight="1">
      <c r="A2" s="972" t="str">
        <f>TH!A2</f>
        <v>Địa chỉ: Thửa đất số 144, tờ bản đồ số 12TĐH.1, tổ 1, khu phố Đông Tác, Phường Tân Đông Hiệp, Thị Xã Dĩ An, Tỉnh Bình Dương, Việt Nam</v>
      </c>
      <c r="B2" s="972"/>
      <c r="C2" s="972"/>
      <c r="D2" s="972"/>
      <c r="E2" s="972"/>
      <c r="F2" s="961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61"/>
      <c r="H2" s="961"/>
      <c r="I2" s="961"/>
      <c r="J2" s="961"/>
    </row>
    <row r="3" spans="1:10">
      <c r="A3" s="972"/>
      <c r="B3" s="972"/>
      <c r="C3" s="972"/>
      <c r="D3" s="972"/>
      <c r="E3" s="972"/>
      <c r="F3" s="961"/>
      <c r="G3" s="961"/>
      <c r="H3" s="961"/>
      <c r="I3" s="961"/>
      <c r="J3" s="961"/>
    </row>
    <row r="4" spans="1:10" ht="33" customHeight="1">
      <c r="A4" s="326"/>
      <c r="B4" s="326"/>
      <c r="C4" s="326"/>
      <c r="D4" s="326"/>
      <c r="E4" s="321" t="s">
        <v>202</v>
      </c>
      <c r="F4" s="326"/>
      <c r="G4" s="326"/>
      <c r="H4" s="326"/>
      <c r="I4" s="326"/>
      <c r="J4" s="327"/>
    </row>
    <row r="5" spans="1:10" ht="15">
      <c r="A5" s="327"/>
      <c r="B5" s="327"/>
      <c r="C5" s="327"/>
      <c r="D5" s="327"/>
      <c r="E5" s="328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27"/>
      <c r="G5" s="327"/>
      <c r="H5" s="327"/>
      <c r="I5" s="327"/>
      <c r="J5" s="327"/>
    </row>
    <row r="6" spans="1:10" ht="15">
      <c r="A6" s="327"/>
      <c r="B6" s="327"/>
      <c r="C6" s="327"/>
      <c r="D6" s="327"/>
      <c r="E6" s="328" t="s">
        <v>203</v>
      </c>
      <c r="F6" s="327"/>
      <c r="G6" s="327"/>
      <c r="H6" s="327"/>
      <c r="I6" s="327"/>
      <c r="J6" s="327"/>
    </row>
    <row r="7" spans="1:10" ht="15">
      <c r="A7" s="329" t="s">
        <v>204</v>
      </c>
      <c r="B7" s="329"/>
      <c r="C7" s="330"/>
      <c r="D7" s="330"/>
      <c r="E7" s="331" t="s">
        <v>274</v>
      </c>
      <c r="F7" s="332"/>
      <c r="G7" s="333"/>
      <c r="H7" s="333"/>
      <c r="I7" s="333"/>
      <c r="J7" s="327"/>
    </row>
    <row r="8" spans="1:10" ht="15">
      <c r="A8" s="329" t="s">
        <v>205</v>
      </c>
      <c r="B8" s="329"/>
      <c r="C8" s="327" t="str">
        <f>VLOOKUP($E$7,NXT!$B$12:$K$688,2,0)</f>
        <v>kg</v>
      </c>
      <c r="D8" s="329"/>
      <c r="E8" s="331"/>
      <c r="F8" s="332"/>
      <c r="G8" s="333"/>
      <c r="H8" s="333"/>
      <c r="I8" s="333"/>
      <c r="J8" s="327"/>
    </row>
    <row r="9" spans="1:10" ht="15">
      <c r="A9" s="963" t="s">
        <v>206</v>
      </c>
      <c r="B9" s="964"/>
      <c r="C9" s="964"/>
      <c r="D9" s="964"/>
      <c r="E9" s="331"/>
      <c r="F9" s="332"/>
      <c r="G9" s="333"/>
      <c r="H9" s="333"/>
      <c r="I9" s="333"/>
      <c r="J9" s="334"/>
    </row>
    <row r="10" spans="1:10" ht="19.5" customHeight="1">
      <c r="A10" s="965" t="s">
        <v>207</v>
      </c>
      <c r="B10" s="966" t="s">
        <v>208</v>
      </c>
      <c r="C10" s="968" t="s">
        <v>15</v>
      </c>
      <c r="D10" s="969"/>
      <c r="E10" s="970" t="s">
        <v>0</v>
      </c>
      <c r="F10" s="980" t="s">
        <v>209</v>
      </c>
      <c r="G10" s="974" t="s">
        <v>179</v>
      </c>
      <c r="H10" s="974"/>
      <c r="I10" s="969"/>
      <c r="J10" s="975" t="s">
        <v>210</v>
      </c>
    </row>
    <row r="11" spans="1:10" ht="19.5" customHeight="1">
      <c r="A11" s="965"/>
      <c r="B11" s="967"/>
      <c r="C11" s="112" t="s">
        <v>193</v>
      </c>
      <c r="D11" s="112" t="s">
        <v>194</v>
      </c>
      <c r="E11" s="971"/>
      <c r="F11" s="981"/>
      <c r="G11" s="113" t="s">
        <v>193</v>
      </c>
      <c r="H11" s="113" t="s">
        <v>194</v>
      </c>
      <c r="I11" s="113" t="s">
        <v>195</v>
      </c>
      <c r="J11" s="976"/>
    </row>
    <row r="12" spans="1:10" ht="15">
      <c r="A12" s="335" t="s">
        <v>2</v>
      </c>
      <c r="B12" s="233" t="s">
        <v>3</v>
      </c>
      <c r="C12" s="232" t="s">
        <v>4</v>
      </c>
      <c r="D12" s="232" t="s">
        <v>5</v>
      </c>
      <c r="E12" s="231" t="s">
        <v>6</v>
      </c>
      <c r="F12" s="233" t="s">
        <v>128</v>
      </c>
      <c r="G12" s="336">
        <v>1</v>
      </c>
      <c r="H12" s="336">
        <v>2</v>
      </c>
      <c r="I12" s="336">
        <v>3</v>
      </c>
      <c r="J12" s="232" t="s">
        <v>129</v>
      </c>
    </row>
    <row r="13" spans="1:10" ht="16.5" customHeight="1">
      <c r="A13" s="337"/>
      <c r="B13" s="338"/>
      <c r="C13" s="339"/>
      <c r="D13" s="339"/>
      <c r="E13" s="340" t="s">
        <v>171</v>
      </c>
      <c r="F13" s="338"/>
      <c r="G13" s="341"/>
      <c r="H13" s="341"/>
      <c r="I13" s="342">
        <f>VLOOKUP($E$7,NXT!$B$12:$K$688,3,0)</f>
        <v>0</v>
      </c>
      <c r="J13" s="337"/>
    </row>
    <row r="14" spans="1:10" ht="16.5" customHeight="1">
      <c r="A14" s="322">
        <f ca="1">IF(B14&lt;&gt;"",ROW()-(ROW()-1),"")</f>
        <v>1</v>
      </c>
      <c r="B14" s="343">
        <f ca="1">IF(ROWS($1:1)&gt;COUNT(Dong12),"",OFFSET(TH!E$1,SMALL(Dong12,ROWS($1:1)),))</f>
        <v>42747</v>
      </c>
      <c r="C14" s="344" t="str">
        <f ca="1">IF(ROWS($1:1)&gt;COUNT(Dong12),"",IF(LEFT(OFFSET(TH!D$1,SMALL(Dong12,ROWS($1:1)),),1)="N",OFFSET(TH!D$1,SMALL(Dong12,ROWS($1:1)),),""))</f>
        <v>N02</v>
      </c>
      <c r="D14" s="343" t="str">
        <f ca="1">IF(ROWS($1:1)&gt;COUNT(Dong12),"",IF(LEFT(OFFSET(TH!D$1,SMALL(Dong12,ROWS($1:1)),),1)="X",OFFSET(TH!D$1,SMALL(Dong12,ROWS($1:1)),),""))</f>
        <v/>
      </c>
      <c r="E14" s="345" t="str">
        <f ca="1">IF(ROWS($1:1)&gt;COUNT(Dong12),"",OFFSET(TH!H$1,SMALL(Dong12,ROWS($1:1)),))</f>
        <v>Cty TNHH SX Bao Bì Nhựa Giấy Minh Long</v>
      </c>
      <c r="F14" s="343">
        <f ca="1">B14</f>
        <v>42747</v>
      </c>
      <c r="G14" s="346">
        <f ca="1">IF(ROWS($1:1)&gt;COUNT(Dong12),0,IF(LEFT(OFFSET(TH!D$1,SMALL(Dong12,ROWS($1:1)),),1)="N",OFFSET(TH!I$1,SMALL(Dong12,ROWS($1:1)),),0))</f>
        <v>437</v>
      </c>
      <c r="H14" s="346">
        <f ca="1">IF(ROWS($1:1)&gt;COUNT(Dong12),0,IF(LEFT(OFFSET(TH!D$1,SMALL(Dong12,ROWS($1:1)),),1)="X",OFFSET(TH!I$1,SMALL(Dong12,ROWS($1:1)),),0))</f>
        <v>0</v>
      </c>
      <c r="I14" s="347">
        <f ca="1">IF(E14&lt;&gt;"",I13+G14-H14,0)</f>
        <v>437</v>
      </c>
      <c r="J14" s="348"/>
    </row>
    <row r="15" spans="1:10" ht="16.5" customHeight="1">
      <c r="A15" s="323">
        <f ca="1">IF(B15&lt;&gt;"",A14+1,"")</f>
        <v>2</v>
      </c>
      <c r="B15" s="343">
        <f ca="1">IF(ROWS($1:2)&gt;COUNT(Dong12),"",OFFSET(TH!E$1,SMALL(Dong12,ROWS($1:2)),))</f>
        <v>42747</v>
      </c>
      <c r="C15" s="344" t="str">
        <f ca="1">IF(ROWS($1:2)&gt;COUNT(Dong12),"",IF(LEFT(OFFSET(TH!D$1,SMALL(Dong12,ROWS($1:2)),),1)="N",OFFSET(TH!D$1,SMALL(Dong12,ROWS($1:2)),),""))</f>
        <v>N02</v>
      </c>
      <c r="D15" s="343" t="str">
        <f ca="1">IF(ROWS($1:2)&gt;COUNT(Dong12),"",IF(LEFT(OFFSET(TH!D$1,SMALL(Dong12,ROWS($1:2)),),1)="X",OFFSET(TH!D$1,SMALL(Dong12,ROWS($1:2)),),""))</f>
        <v/>
      </c>
      <c r="E15" s="345" t="str">
        <f ca="1">IF(ROWS($1:2)&gt;COUNT(Dong12),"",OFFSET(TH!H$1,SMALL(Dong12,ROWS($1:2)),))</f>
        <v>Cty TNHH SX Bao Bì Nhựa Giấy Minh Long</v>
      </c>
      <c r="F15" s="343">
        <f t="shared" ref="F15:F30" ca="1" si="0">B15</f>
        <v>42747</v>
      </c>
      <c r="G15" s="346">
        <f ca="1">IF(ROWS($1:2)&gt;COUNT(Dong12),0,IF(LEFT(OFFSET(TH!D$1,SMALL(Dong12,ROWS($1:2)),),1)="N",OFFSET(TH!I$1,SMALL(Dong12,ROWS($1:2)),),0))</f>
        <v>520</v>
      </c>
      <c r="H15" s="346">
        <f ca="1">IF(ROWS($1:2)&gt;COUNT(Dong12),0,IF(LEFT(OFFSET(TH!D$1,SMALL(Dong12,ROWS($1:2)),),1)="X",OFFSET(TH!I$1,SMALL(Dong12,ROWS($1:2)),),0))</f>
        <v>0</v>
      </c>
      <c r="I15" s="347">
        <f t="shared" ref="I15:I30" ca="1" si="1">IF(E15&lt;&gt;"",I14+G15-H15,0)</f>
        <v>957</v>
      </c>
      <c r="J15" s="348"/>
    </row>
    <row r="16" spans="1:10" ht="16.5" customHeight="1">
      <c r="A16" s="323">
        <f t="shared" ref="A16:A30" ca="1" si="2">IF(B16&lt;&gt;"",A15+1,"")</f>
        <v>3</v>
      </c>
      <c r="B16" s="343">
        <f ca="1">IF(ROWS($1:3)&gt;COUNT(Dong12),"",OFFSET(TH!E$1,SMALL(Dong12,ROWS($1:3)),))</f>
        <v>42755</v>
      </c>
      <c r="C16" s="344" t="str">
        <f ca="1">IF(ROWS($1:3)&gt;COUNT(Dong12),"",IF(LEFT(OFFSET(TH!D$1,SMALL(Dong12,ROWS($1:3)),),1)="N",OFFSET(TH!D$1,SMALL(Dong12,ROWS($1:3)),),""))</f>
        <v>N04</v>
      </c>
      <c r="D16" s="343" t="str">
        <f ca="1">IF(ROWS($1:3)&gt;COUNT(Dong12),"",IF(LEFT(OFFSET(TH!D$1,SMALL(Dong12,ROWS($1:3)),),1)="X",OFFSET(TH!D$1,SMALL(Dong12,ROWS($1:3)),),""))</f>
        <v/>
      </c>
      <c r="E16" s="345" t="str">
        <f ca="1">IF(ROWS($1:3)&gt;COUNT(Dong12),"",OFFSET(TH!H$1,SMALL(Dong12,ROWS($1:3)),))</f>
        <v>Cty TNHH SX Bao Bì Nhựa Giấy Minh Long</v>
      </c>
      <c r="F16" s="343">
        <f t="shared" ca="1" si="0"/>
        <v>42755</v>
      </c>
      <c r="G16" s="346">
        <f ca="1">IF(ROWS($1:3)&gt;COUNT(Dong12),0,IF(LEFT(OFFSET(TH!D$1,SMALL(Dong12,ROWS($1:3)),),1)="N",OFFSET(TH!I$1,SMALL(Dong12,ROWS($1:3)),),0))</f>
        <v>4711</v>
      </c>
      <c r="H16" s="346">
        <f ca="1">IF(ROWS($1:3)&gt;COUNT(Dong12),0,IF(LEFT(OFFSET(TH!D$1,SMALL(Dong12,ROWS($1:3)),),1)="X",OFFSET(TH!I$1,SMALL(Dong12,ROWS($1:3)),),0))</f>
        <v>0</v>
      </c>
      <c r="I16" s="347">
        <f t="shared" ca="1" si="1"/>
        <v>5668</v>
      </c>
      <c r="J16" s="348"/>
    </row>
    <row r="17" spans="1:10" ht="16.5" customHeight="1">
      <c r="A17" s="323">
        <f t="shared" ca="1" si="2"/>
        <v>4</v>
      </c>
      <c r="B17" s="343">
        <f ca="1">IF(ROWS($1:4)&gt;COUNT(Dong12),"",OFFSET(TH!E$1,SMALL(Dong12,ROWS($1:4)),))</f>
        <v>42783</v>
      </c>
      <c r="C17" s="344" t="str">
        <f ca="1">IF(ROWS($1:4)&gt;COUNT(Dong12),"",IF(LEFT(OFFSET(TH!D$1,SMALL(Dong12,ROWS($1:4)),),1)="N",OFFSET(TH!D$1,SMALL(Dong12,ROWS($1:4)),),""))</f>
        <v>N15</v>
      </c>
      <c r="D17" s="343" t="str">
        <f ca="1">IF(ROWS($1:4)&gt;COUNT(Dong12),"",IF(LEFT(OFFSET(TH!D$1,SMALL(Dong12,ROWS($1:4)),),1)="X",OFFSET(TH!D$1,SMALL(Dong12,ROWS($1:4)),),""))</f>
        <v/>
      </c>
      <c r="E17" s="345" t="str">
        <f ca="1">IF(ROWS($1:4)&gt;COUNT(Dong12),"",OFFSET(TH!H$1,SMALL(Dong12,ROWS($1:4)),))</f>
        <v>Cty TNHH Bao Bì Giấy Kim Dung Phát</v>
      </c>
      <c r="F17" s="343">
        <f t="shared" ca="1" si="0"/>
        <v>42783</v>
      </c>
      <c r="G17" s="346">
        <f ca="1">IF(ROWS($1:4)&gt;COUNT(Dong12),0,IF(LEFT(OFFSET(TH!D$1,SMALL(Dong12,ROWS($1:4)),),1)="N",OFFSET(TH!I$1,SMALL(Dong12,ROWS($1:4)),),0))</f>
        <v>3496</v>
      </c>
      <c r="H17" s="346">
        <f ca="1">IF(ROWS($1:4)&gt;COUNT(Dong12),0,IF(LEFT(OFFSET(TH!D$1,SMALL(Dong12,ROWS($1:4)),),1)="X",OFFSET(TH!I$1,SMALL(Dong12,ROWS($1:4)),),0))</f>
        <v>0</v>
      </c>
      <c r="I17" s="347">
        <f t="shared" ca="1" si="1"/>
        <v>9164</v>
      </c>
      <c r="J17" s="348"/>
    </row>
    <row r="18" spans="1:10" ht="16.5" customHeight="1">
      <c r="A18" s="323">
        <f t="shared" ca="1" si="2"/>
        <v>5</v>
      </c>
      <c r="B18" s="343">
        <f ca="1">IF(ROWS($1:5)&gt;COUNT(Dong12),"",OFFSET(TH!E$1,SMALL(Dong12,ROWS($1:5)),))</f>
        <v>42786</v>
      </c>
      <c r="C18" s="344" t="str">
        <f ca="1">IF(ROWS($1:5)&gt;COUNT(Dong12),"",IF(LEFT(OFFSET(TH!D$1,SMALL(Dong12,ROWS($1:5)),),1)="N",OFFSET(TH!D$1,SMALL(Dong12,ROWS($1:5)),),""))</f>
        <v>N16</v>
      </c>
      <c r="D18" s="343" t="str">
        <f ca="1">IF(ROWS($1:5)&gt;COUNT(Dong12),"",IF(LEFT(OFFSET(TH!D$1,SMALL(Dong12,ROWS($1:5)),),1)="X",OFFSET(TH!D$1,SMALL(Dong12,ROWS($1:5)),),""))</f>
        <v/>
      </c>
      <c r="E18" s="345" t="str">
        <f ca="1">IF(ROWS($1:5)&gt;COUNT(Dong12),"",OFFSET(TH!H$1,SMALL(Dong12,ROWS($1:5)),))</f>
        <v>Cty TNHH SX Bao Bì Nhựa Giấy Minh Long</v>
      </c>
      <c r="F18" s="343">
        <f t="shared" ca="1" si="0"/>
        <v>42786</v>
      </c>
      <c r="G18" s="346">
        <f ca="1">IF(ROWS($1:5)&gt;COUNT(Dong12),0,IF(LEFT(OFFSET(TH!D$1,SMALL(Dong12,ROWS($1:5)),),1)="N",OFFSET(TH!I$1,SMALL(Dong12,ROWS($1:5)),),0))</f>
        <v>1063</v>
      </c>
      <c r="H18" s="346">
        <f ca="1">IF(ROWS($1:5)&gt;COUNT(Dong12),0,IF(LEFT(OFFSET(TH!D$1,SMALL(Dong12,ROWS($1:5)),),1)="X",OFFSET(TH!I$1,SMALL(Dong12,ROWS($1:5)),),0))</f>
        <v>0</v>
      </c>
      <c r="I18" s="347">
        <f t="shared" ca="1" si="1"/>
        <v>10227</v>
      </c>
      <c r="J18" s="348"/>
    </row>
    <row r="19" spans="1:10" ht="16.5" customHeight="1">
      <c r="A19" s="323">
        <f t="shared" ca="1" si="2"/>
        <v>6</v>
      </c>
      <c r="B19" s="343">
        <f ca="1">IF(ROWS($1:6)&gt;COUNT(Dong12),"",OFFSET(TH!E$1,SMALL(Dong12,ROWS($1:6)),))</f>
        <v>42786</v>
      </c>
      <c r="C19" s="344" t="str">
        <f ca="1">IF(ROWS($1:6)&gt;COUNT(Dong12),"",IF(LEFT(OFFSET(TH!D$1,SMALL(Dong12,ROWS($1:6)),),1)="N",OFFSET(TH!D$1,SMALL(Dong12,ROWS($1:6)),),""))</f>
        <v>N16</v>
      </c>
      <c r="D19" s="343" t="str">
        <f ca="1">IF(ROWS($1:6)&gt;COUNT(Dong12),"",IF(LEFT(OFFSET(TH!D$1,SMALL(Dong12,ROWS($1:6)),),1)="X",OFFSET(TH!D$1,SMALL(Dong12,ROWS($1:6)),),""))</f>
        <v/>
      </c>
      <c r="E19" s="345" t="str">
        <f ca="1">IF(ROWS($1:6)&gt;COUNT(Dong12),"",OFFSET(TH!H$1,SMALL(Dong12,ROWS($1:6)),))</f>
        <v>Cty TNHH SX Bao Bì Nhựa Giấy Minh Long</v>
      </c>
      <c r="F19" s="343">
        <f t="shared" ca="1" si="0"/>
        <v>42786</v>
      </c>
      <c r="G19" s="346">
        <f ca="1">IF(ROWS($1:6)&gt;COUNT(Dong12),0,IF(LEFT(OFFSET(TH!D$1,SMALL(Dong12,ROWS($1:6)),),1)="N",OFFSET(TH!I$1,SMALL(Dong12,ROWS($1:6)),),0))</f>
        <v>3000</v>
      </c>
      <c r="H19" s="346">
        <f ca="1">IF(ROWS($1:6)&gt;COUNT(Dong12),0,IF(LEFT(OFFSET(TH!D$1,SMALL(Dong12,ROWS($1:6)),),1)="X",OFFSET(TH!I$1,SMALL(Dong12,ROWS($1:6)),),0))</f>
        <v>0</v>
      </c>
      <c r="I19" s="347">
        <f t="shared" ca="1" si="1"/>
        <v>13227</v>
      </c>
      <c r="J19" s="348"/>
    </row>
    <row r="20" spans="1:10" ht="16.5" customHeight="1">
      <c r="A20" s="323">
        <f t="shared" ca="1" si="2"/>
        <v>7</v>
      </c>
      <c r="B20" s="343">
        <f ca="1">IF(ROWS($1:7)&gt;COUNT(Dong12),"",OFFSET(TH!E$1,SMALL(Dong12,ROWS($1:7)),))</f>
        <v>42820</v>
      </c>
      <c r="C20" s="344" t="str">
        <f ca="1">IF(ROWS($1:7)&gt;COUNT(Dong12),"",IF(LEFT(OFFSET(TH!D$1,SMALL(Dong12,ROWS($1:7)),),1)="N",OFFSET(TH!D$1,SMALL(Dong12,ROWS($1:7)),),""))</f>
        <v>N27</v>
      </c>
      <c r="D20" s="343" t="str">
        <f ca="1">IF(ROWS($1:7)&gt;COUNT(Dong12),"",IF(LEFT(OFFSET(TH!D$1,SMALL(Dong12,ROWS($1:7)),),1)="X",OFFSET(TH!D$1,SMALL(Dong12,ROWS($1:7)),),""))</f>
        <v/>
      </c>
      <c r="E20" s="345" t="str">
        <f ca="1">IF(ROWS($1:7)&gt;COUNT(Dong12),"",OFFSET(TH!H$1,SMALL(Dong12,ROWS($1:7)),))</f>
        <v>Cty TNHH SX Bao Bì Nhựa Giấy Minh Long</v>
      </c>
      <c r="F20" s="343">
        <f t="shared" ca="1" si="0"/>
        <v>42820</v>
      </c>
      <c r="G20" s="346">
        <f ca="1">IF(ROWS($1:7)&gt;COUNT(Dong12),0,IF(LEFT(OFFSET(TH!D$1,SMALL(Dong12,ROWS($1:7)),),1)="N",OFFSET(TH!I$1,SMALL(Dong12,ROWS($1:7)),),0))</f>
        <v>4600</v>
      </c>
      <c r="H20" s="346">
        <f ca="1">IF(ROWS($1:7)&gt;COUNT(Dong12),0,IF(LEFT(OFFSET(TH!D$1,SMALL(Dong12,ROWS($1:7)),),1)="X",OFFSET(TH!I$1,SMALL(Dong12,ROWS($1:7)),),0))</f>
        <v>0</v>
      </c>
      <c r="I20" s="347">
        <f t="shared" ca="1" si="1"/>
        <v>17827</v>
      </c>
      <c r="J20" s="348"/>
    </row>
    <row r="21" spans="1:10" ht="16.5" customHeight="1">
      <c r="A21" s="323">
        <f t="shared" ca="1" si="2"/>
        <v>8</v>
      </c>
      <c r="B21" s="343">
        <f ca="1">IF(ROWS($1:8)&gt;COUNT(Dong12),"",OFFSET(TH!E$1,SMALL(Dong12,ROWS($1:8)),))</f>
        <v>42747</v>
      </c>
      <c r="C21" s="344" t="str">
        <f ca="1">IF(ROWS($1:8)&gt;COUNT(Dong12),"",IF(LEFT(OFFSET(TH!D$1,SMALL(Dong12,ROWS($1:8)),),1)="N",OFFSET(TH!D$1,SMALL(Dong12,ROWS($1:8)),),""))</f>
        <v/>
      </c>
      <c r="D21" s="343" t="str">
        <f ca="1">IF(ROWS($1:8)&gt;COUNT(Dong12),"",IF(LEFT(OFFSET(TH!D$1,SMALL(Dong12,ROWS($1:8)),),1)="X",OFFSET(TH!D$1,SMALL(Dong12,ROWS($1:8)),),""))</f>
        <v>XTP</v>
      </c>
      <c r="E21" s="345" t="str">
        <f ca="1">IF(ROWS($1:8)&gt;COUNT(Dong12),"",OFFSET(TH!H$1,SMALL(Dong12,ROWS($1:8)),))</f>
        <v>Xuất bán</v>
      </c>
      <c r="F21" s="343">
        <f t="shared" ca="1" si="0"/>
        <v>42747</v>
      </c>
      <c r="G21" s="346">
        <f ca="1">IF(ROWS($1:8)&gt;COUNT(Dong12),0,IF(LEFT(OFFSET(TH!D$1,SMALL(Dong12,ROWS($1:8)),),1)="N",OFFSET(TH!I$1,SMALL(Dong12,ROWS($1:8)),),0))</f>
        <v>0</v>
      </c>
      <c r="H21" s="346">
        <f ca="1">IF(ROWS($1:8)&gt;COUNT(Dong12),0,IF(LEFT(OFFSET(TH!D$1,SMALL(Dong12,ROWS($1:8)),),1)="X",OFFSET(TH!I$1,SMALL(Dong12,ROWS($1:8)),),0))</f>
        <v>437</v>
      </c>
      <c r="I21" s="347">
        <f t="shared" ca="1" si="1"/>
        <v>17390</v>
      </c>
      <c r="J21" s="348"/>
    </row>
    <row r="22" spans="1:10" ht="16.5" customHeight="1">
      <c r="A22" s="323">
        <f t="shared" ca="1" si="2"/>
        <v>9</v>
      </c>
      <c r="B22" s="343">
        <f ca="1">IF(ROWS($1:9)&gt;COUNT(Dong12),"",OFFSET(TH!E$1,SMALL(Dong12,ROWS($1:9)),))</f>
        <v>42749</v>
      </c>
      <c r="C22" s="344" t="str">
        <f ca="1">IF(ROWS($1:9)&gt;COUNT(Dong12),"",IF(LEFT(OFFSET(TH!D$1,SMALL(Dong12,ROWS($1:9)),),1)="N",OFFSET(TH!D$1,SMALL(Dong12,ROWS($1:9)),),""))</f>
        <v/>
      </c>
      <c r="D22" s="343" t="str">
        <f ca="1">IF(ROWS($1:9)&gt;COUNT(Dong12),"",IF(LEFT(OFFSET(TH!D$1,SMALL(Dong12,ROWS($1:9)),),1)="X",OFFSET(TH!D$1,SMALL(Dong12,ROWS($1:9)),),""))</f>
        <v>XTP</v>
      </c>
      <c r="E22" s="345" t="str">
        <f ca="1">IF(ROWS($1:9)&gt;COUNT(Dong12),"",OFFSET(TH!H$1,SMALL(Dong12,ROWS($1:9)),))</f>
        <v>Xuất bán</v>
      </c>
      <c r="F22" s="343">
        <f t="shared" ca="1" si="0"/>
        <v>42749</v>
      </c>
      <c r="G22" s="346">
        <f ca="1">IF(ROWS($1:9)&gt;COUNT(Dong12),0,IF(LEFT(OFFSET(TH!D$1,SMALL(Dong12,ROWS($1:9)),),1)="N",OFFSET(TH!I$1,SMALL(Dong12,ROWS($1:9)),),0))</f>
        <v>0</v>
      </c>
      <c r="H22" s="346">
        <f ca="1">IF(ROWS($1:9)&gt;COUNT(Dong12),0,IF(LEFT(OFFSET(TH!D$1,SMALL(Dong12,ROWS($1:9)),),1)="X",OFFSET(TH!I$1,SMALL(Dong12,ROWS($1:9)),),0))</f>
        <v>520</v>
      </c>
      <c r="I22" s="347">
        <f t="shared" ca="1" si="1"/>
        <v>16870</v>
      </c>
      <c r="J22" s="348"/>
    </row>
    <row r="23" spans="1:10" ht="16.5" customHeight="1">
      <c r="A23" s="323">
        <f t="shared" ca="1" si="2"/>
        <v>10</v>
      </c>
      <c r="B23" s="343">
        <f ca="1">IF(ROWS($1:10)&gt;COUNT(Dong12),"",OFFSET(TH!E$1,SMALL(Dong12,ROWS($1:10)),))</f>
        <v>42755</v>
      </c>
      <c r="C23" s="344" t="str">
        <f ca="1">IF(ROWS($1:10)&gt;COUNT(Dong12),"",IF(LEFT(OFFSET(TH!D$1,SMALL(Dong12,ROWS($1:10)),),1)="N",OFFSET(TH!D$1,SMALL(Dong12,ROWS($1:10)),),""))</f>
        <v/>
      </c>
      <c r="D23" s="343" t="str">
        <f ca="1">IF(ROWS($1:10)&gt;COUNT(Dong12),"",IF(LEFT(OFFSET(TH!D$1,SMALL(Dong12,ROWS($1:10)),),1)="X",OFFSET(TH!D$1,SMALL(Dong12,ROWS($1:10)),),""))</f>
        <v>XTP</v>
      </c>
      <c r="E23" s="345" t="str">
        <f ca="1">IF(ROWS($1:10)&gt;COUNT(Dong12),"",OFFSET(TH!H$1,SMALL(Dong12,ROWS($1:10)),))</f>
        <v>Xuất bán</v>
      </c>
      <c r="F23" s="343">
        <f t="shared" ca="1" si="0"/>
        <v>42755</v>
      </c>
      <c r="G23" s="346">
        <f ca="1">IF(ROWS($1:10)&gt;COUNT(Dong12),0,IF(LEFT(OFFSET(TH!D$1,SMALL(Dong12,ROWS($1:10)),),1)="N",OFFSET(TH!I$1,SMALL(Dong12,ROWS($1:10)),),0))</f>
        <v>0</v>
      </c>
      <c r="H23" s="346">
        <f ca="1">IF(ROWS($1:10)&gt;COUNT(Dong12),0,IF(LEFT(OFFSET(TH!D$1,SMALL(Dong12,ROWS($1:10)),),1)="X",OFFSET(TH!I$1,SMALL(Dong12,ROWS($1:10)),),0))</f>
        <v>4600</v>
      </c>
      <c r="I23" s="347">
        <f t="shared" ca="1" si="1"/>
        <v>12270</v>
      </c>
      <c r="J23" s="348"/>
    </row>
    <row r="24" spans="1:10" ht="16.5" customHeight="1">
      <c r="A24" s="323">
        <f t="shared" ca="1" si="2"/>
        <v>11</v>
      </c>
      <c r="B24" s="343">
        <f ca="1">IF(ROWS($1:11)&gt;COUNT(Dong12),"",OFFSET(TH!E$1,SMALL(Dong12,ROWS($1:11)),))</f>
        <v>42789</v>
      </c>
      <c r="C24" s="344" t="str">
        <f ca="1">IF(ROWS($1:11)&gt;COUNT(Dong12),"",IF(LEFT(OFFSET(TH!D$1,SMALL(Dong12,ROWS($1:11)),),1)="N",OFFSET(TH!D$1,SMALL(Dong12,ROWS($1:11)),),""))</f>
        <v/>
      </c>
      <c r="D24" s="343" t="str">
        <f ca="1">IF(ROWS($1:11)&gt;COUNT(Dong12),"",IF(LEFT(OFFSET(TH!D$1,SMALL(Dong12,ROWS($1:11)),),1)="X",OFFSET(TH!D$1,SMALL(Dong12,ROWS($1:11)),),""))</f>
        <v>XTP</v>
      </c>
      <c r="E24" s="345" t="str">
        <f ca="1">IF(ROWS($1:11)&gt;COUNT(Dong12),"",OFFSET(TH!H$1,SMALL(Dong12,ROWS($1:11)),))</f>
        <v>Xuất bán</v>
      </c>
      <c r="F24" s="343">
        <f t="shared" ca="1" si="0"/>
        <v>42789</v>
      </c>
      <c r="G24" s="346">
        <f ca="1">IF(ROWS($1:11)&gt;COUNT(Dong12),0,IF(LEFT(OFFSET(TH!D$1,SMALL(Dong12,ROWS($1:11)),),1)="N",OFFSET(TH!I$1,SMALL(Dong12,ROWS($1:11)),),0))</f>
        <v>0</v>
      </c>
      <c r="H24" s="346">
        <f ca="1">IF(ROWS($1:11)&gt;COUNT(Dong12),0,IF(LEFT(OFFSET(TH!D$1,SMALL(Dong12,ROWS($1:11)),),1)="X",OFFSET(TH!I$1,SMALL(Dong12,ROWS($1:11)),),0))</f>
        <v>1063</v>
      </c>
      <c r="I24" s="347">
        <f t="shared" ca="1" si="1"/>
        <v>11207</v>
      </c>
      <c r="J24" s="348"/>
    </row>
    <row r="25" spans="1:10" ht="16.5" customHeight="1">
      <c r="A25" s="323">
        <f t="shared" ca="1" si="2"/>
        <v>12</v>
      </c>
      <c r="B25" s="343">
        <f ca="1">IF(ROWS($1:12)&gt;COUNT(Dong12),"",OFFSET(TH!E$1,SMALL(Dong12,ROWS($1:12)),))</f>
        <v>42790</v>
      </c>
      <c r="C25" s="344" t="str">
        <f ca="1">IF(ROWS($1:12)&gt;COUNT(Dong12),"",IF(LEFT(OFFSET(TH!D$1,SMALL(Dong12,ROWS($1:12)),),1)="N",OFFSET(TH!D$1,SMALL(Dong12,ROWS($1:12)),),""))</f>
        <v/>
      </c>
      <c r="D25" s="343" t="str">
        <f ca="1">IF(ROWS($1:12)&gt;COUNT(Dong12),"",IF(LEFT(OFFSET(TH!D$1,SMALL(Dong12,ROWS($1:12)),),1)="X",OFFSET(TH!D$1,SMALL(Dong12,ROWS($1:12)),),""))</f>
        <v>XTP</v>
      </c>
      <c r="E25" s="345" t="str">
        <f ca="1">IF(ROWS($1:12)&gt;COUNT(Dong12),"",OFFSET(TH!H$1,SMALL(Dong12,ROWS($1:12)),))</f>
        <v>Xuất bán</v>
      </c>
      <c r="F25" s="343">
        <f t="shared" ca="1" si="0"/>
        <v>42790</v>
      </c>
      <c r="G25" s="346">
        <f ca="1">IF(ROWS($1:12)&gt;COUNT(Dong12),0,IF(LEFT(OFFSET(TH!D$1,SMALL(Dong12,ROWS($1:12)),),1)="N",OFFSET(TH!I$1,SMALL(Dong12,ROWS($1:12)),),0))</f>
        <v>0</v>
      </c>
      <c r="H25" s="346">
        <f ca="1">IF(ROWS($1:12)&gt;COUNT(Dong12),0,IF(LEFT(OFFSET(TH!D$1,SMALL(Dong12,ROWS($1:12)),),1)="X",OFFSET(TH!I$1,SMALL(Dong12,ROWS($1:12)),),0))</f>
        <v>3111</v>
      </c>
      <c r="I25" s="347">
        <f t="shared" ca="1" si="1"/>
        <v>8096</v>
      </c>
      <c r="J25" s="348"/>
    </row>
    <row r="26" spans="1:10" ht="16.5" customHeight="1">
      <c r="A26" s="323">
        <f t="shared" ca="1" si="2"/>
        <v>13</v>
      </c>
      <c r="B26" s="343">
        <f ca="1">IF(ROWS($1:13)&gt;COUNT(Dong12),"",OFFSET(TH!E$1,SMALL(Dong12,ROWS($1:13)),))</f>
        <v>42814</v>
      </c>
      <c r="C26" s="344" t="str">
        <f ca="1">IF(ROWS($1:13)&gt;COUNT(Dong12),"",IF(LEFT(OFFSET(TH!D$1,SMALL(Dong12,ROWS($1:13)),),1)="N",OFFSET(TH!D$1,SMALL(Dong12,ROWS($1:13)),),""))</f>
        <v/>
      </c>
      <c r="D26" s="343" t="str">
        <f ca="1">IF(ROWS($1:13)&gt;COUNT(Dong12),"",IF(LEFT(OFFSET(TH!D$1,SMALL(Dong12,ROWS($1:13)),),1)="X",OFFSET(TH!D$1,SMALL(Dong12,ROWS($1:13)),),""))</f>
        <v>XTP</v>
      </c>
      <c r="E26" s="345" t="str">
        <f ca="1">IF(ROWS($1:13)&gt;COUNT(Dong12),"",OFFSET(TH!H$1,SMALL(Dong12,ROWS($1:13)),))</f>
        <v>Xuất bán</v>
      </c>
      <c r="F26" s="343">
        <f t="shared" ca="1" si="0"/>
        <v>42814</v>
      </c>
      <c r="G26" s="346">
        <f ca="1">IF(ROWS($1:13)&gt;COUNT(Dong12),0,IF(LEFT(OFFSET(TH!D$1,SMALL(Dong12,ROWS($1:13)),),1)="N",OFFSET(TH!I$1,SMALL(Dong12,ROWS($1:13)),),0))</f>
        <v>0</v>
      </c>
      <c r="H26" s="346">
        <f ca="1">IF(ROWS($1:13)&gt;COUNT(Dong12),0,IF(LEFT(OFFSET(TH!D$1,SMALL(Dong12,ROWS($1:13)),),1)="X",OFFSET(TH!I$1,SMALL(Dong12,ROWS($1:13)),),0))</f>
        <v>4600</v>
      </c>
      <c r="I26" s="347">
        <f t="shared" ca="1" si="1"/>
        <v>3496</v>
      </c>
      <c r="J26" s="348"/>
    </row>
    <row r="27" spans="1:10" ht="16.5" customHeight="1">
      <c r="A27" s="323">
        <f t="shared" ca="1" si="2"/>
        <v>14</v>
      </c>
      <c r="B27" s="343">
        <f ca="1">IF(ROWS($1:14)&gt;COUNT(Dong12),"",OFFSET(TH!E$1,SMALL(Dong12,ROWS($1:14)),))</f>
        <v>42829</v>
      </c>
      <c r="C27" s="344" t="str">
        <f ca="1">IF(ROWS($1:14)&gt;COUNT(Dong12),"",IF(LEFT(OFFSET(TH!D$1,SMALL(Dong12,ROWS($1:14)),),1)="N",OFFSET(TH!D$1,SMALL(Dong12,ROWS($1:14)),),""))</f>
        <v>N05</v>
      </c>
      <c r="D27" s="343" t="str">
        <f ca="1">IF(ROWS($1:14)&gt;COUNT(Dong12),"",IF(LEFT(OFFSET(TH!D$1,SMALL(Dong12,ROWS($1:14)),),1)="X",OFFSET(TH!D$1,SMALL(Dong12,ROWS($1:14)),),""))</f>
        <v/>
      </c>
      <c r="E27" s="345" t="str">
        <f ca="1">IF(ROWS($1:14)&gt;COUNT(Dong12),"",OFFSET(TH!H$1,SMALL(Dong12,ROWS($1:14)),))</f>
        <v>Cty TNHH SX Bao Bì Nhựa Giấy Minh Long</v>
      </c>
      <c r="F27" s="343">
        <f t="shared" ca="1" si="0"/>
        <v>42829</v>
      </c>
      <c r="G27" s="346">
        <f ca="1">IF(ROWS($1:14)&gt;COUNT(Dong12),0,IF(LEFT(OFFSET(TH!D$1,SMALL(Dong12,ROWS($1:14)),),1)="N",OFFSET(TH!I$1,SMALL(Dong12,ROWS($1:14)),),0))</f>
        <v>541</v>
      </c>
      <c r="H27" s="346">
        <f ca="1">IF(ROWS($1:14)&gt;COUNT(Dong12),0,IF(LEFT(OFFSET(TH!D$1,SMALL(Dong12,ROWS($1:14)),),1)="X",OFFSET(TH!I$1,SMALL(Dong12,ROWS($1:14)),),0))</f>
        <v>0</v>
      </c>
      <c r="I27" s="347">
        <f t="shared" ca="1" si="1"/>
        <v>4037</v>
      </c>
      <c r="J27" s="348"/>
    </row>
    <row r="28" spans="1:10" ht="16.5" customHeight="1">
      <c r="A28" s="323">
        <f t="shared" ca="1" si="2"/>
        <v>15</v>
      </c>
      <c r="B28" s="343">
        <f ca="1">IF(ROWS($1:15)&gt;COUNT(Dong12),"",OFFSET(TH!E$1,SMALL(Dong12,ROWS($1:15)),))</f>
        <v>42834</v>
      </c>
      <c r="C28" s="344" t="str">
        <f ca="1">IF(ROWS($1:15)&gt;COUNT(Dong12),"",IF(LEFT(OFFSET(TH!D$1,SMALL(Dong12,ROWS($1:15)),),1)="N",OFFSET(TH!D$1,SMALL(Dong12,ROWS($1:15)),),""))</f>
        <v>N11</v>
      </c>
      <c r="D28" s="343" t="str">
        <f ca="1">IF(ROWS($1:15)&gt;COUNT(Dong12),"",IF(LEFT(OFFSET(TH!D$1,SMALL(Dong12,ROWS($1:15)),),1)="X",OFFSET(TH!D$1,SMALL(Dong12,ROWS($1:15)),),""))</f>
        <v/>
      </c>
      <c r="E28" s="345" t="str">
        <f ca="1">IF(ROWS($1:15)&gt;COUNT(Dong12),"",OFFSET(TH!H$1,SMALL(Dong12,ROWS($1:15)),))</f>
        <v>Cty TNHH SX TM Bao Bì Lộc Phát</v>
      </c>
      <c r="F28" s="343">
        <f t="shared" ca="1" si="0"/>
        <v>42834</v>
      </c>
      <c r="G28" s="346">
        <f ca="1">IF(ROWS($1:15)&gt;COUNT(Dong12),0,IF(LEFT(OFFSET(TH!D$1,SMALL(Dong12,ROWS($1:15)),),1)="N",OFFSET(TH!I$1,SMALL(Dong12,ROWS($1:15)),),0))</f>
        <v>541</v>
      </c>
      <c r="H28" s="346">
        <f ca="1">IF(ROWS($1:15)&gt;COUNT(Dong12),0,IF(LEFT(OFFSET(TH!D$1,SMALL(Dong12,ROWS($1:15)),),1)="X",OFFSET(TH!I$1,SMALL(Dong12,ROWS($1:15)),),0))</f>
        <v>0</v>
      </c>
      <c r="I28" s="347">
        <f t="shared" ca="1" si="1"/>
        <v>4578</v>
      </c>
      <c r="J28" s="348"/>
    </row>
    <row r="29" spans="1:10" ht="16.5" customHeight="1">
      <c r="A29" s="323">
        <f t="shared" ca="1" si="2"/>
        <v>16</v>
      </c>
      <c r="B29" s="343">
        <f ca="1">IF(ROWS($1:16)&gt;COUNT(Dong12),"",OFFSET(TH!E$1,SMALL(Dong12,ROWS($1:16)),))</f>
        <v>42836</v>
      </c>
      <c r="C29" s="344" t="str">
        <f ca="1">IF(ROWS($1:16)&gt;COUNT(Dong12),"",IF(LEFT(OFFSET(TH!D$1,SMALL(Dong12,ROWS($1:16)),),1)="N",OFFSET(TH!D$1,SMALL(Dong12,ROWS($1:16)),),""))</f>
        <v>N12</v>
      </c>
      <c r="D29" s="343" t="str">
        <f ca="1">IF(ROWS($1:16)&gt;COUNT(Dong12),"",IF(LEFT(OFFSET(TH!D$1,SMALL(Dong12,ROWS($1:16)),),1)="X",OFFSET(TH!D$1,SMALL(Dong12,ROWS($1:16)),),""))</f>
        <v/>
      </c>
      <c r="E29" s="345" t="str">
        <f ca="1">IF(ROWS($1:16)&gt;COUNT(Dong12),"",OFFSET(TH!H$1,SMALL(Dong12,ROWS($1:16)),))</f>
        <v>Cty TNHH SX TM Bao Bì Lộc Phát</v>
      </c>
      <c r="F29" s="343">
        <f t="shared" ca="1" si="0"/>
        <v>42836</v>
      </c>
      <c r="G29" s="346">
        <f ca="1">IF(ROWS($1:16)&gt;COUNT(Dong12),0,IF(LEFT(OFFSET(TH!D$1,SMALL(Dong12,ROWS($1:16)),),1)="N",OFFSET(TH!I$1,SMALL(Dong12,ROWS($1:16)),),0))</f>
        <v>500</v>
      </c>
      <c r="H29" s="346">
        <f ca="1">IF(ROWS($1:16)&gt;COUNT(Dong12),0,IF(LEFT(OFFSET(TH!D$1,SMALL(Dong12,ROWS($1:16)),),1)="X",OFFSET(TH!I$1,SMALL(Dong12,ROWS($1:16)),),0))</f>
        <v>0</v>
      </c>
      <c r="I29" s="347">
        <f t="shared" ca="1" si="1"/>
        <v>5078</v>
      </c>
      <c r="J29" s="348"/>
    </row>
    <row r="30" spans="1:10" ht="16.5" customHeight="1">
      <c r="A30" s="323">
        <f t="shared" ca="1" si="2"/>
        <v>17</v>
      </c>
      <c r="B30" s="343">
        <f ca="1">IF(ROWS($1:17)&gt;COUNT(Dong12),"",OFFSET(TH!E$1,SMALL(Dong12,ROWS($1:17)),))</f>
        <v>42838</v>
      </c>
      <c r="C30" s="344" t="str">
        <f ca="1">IF(ROWS($1:17)&gt;COUNT(Dong12),"",IF(LEFT(OFFSET(TH!D$1,SMALL(Dong12,ROWS($1:17)),),1)="N",OFFSET(TH!D$1,SMALL(Dong12,ROWS($1:17)),),""))</f>
        <v>N14</v>
      </c>
      <c r="D30" s="343" t="str">
        <f ca="1">IF(ROWS($1:17)&gt;COUNT(Dong12),"",IF(LEFT(OFFSET(TH!D$1,SMALL(Dong12,ROWS($1:17)),),1)="X",OFFSET(TH!D$1,SMALL(Dong12,ROWS($1:17)),),""))</f>
        <v/>
      </c>
      <c r="E30" s="345" t="str">
        <f ca="1">IF(ROWS($1:17)&gt;COUNT(Dong12),"",OFFSET(TH!H$1,SMALL(Dong12,ROWS($1:17)),))</f>
        <v>Cty TNHH SX TM Bao Bì Lộc Phát</v>
      </c>
      <c r="F30" s="343">
        <f t="shared" ca="1" si="0"/>
        <v>42838</v>
      </c>
      <c r="G30" s="346">
        <f ca="1">IF(ROWS($1:17)&gt;COUNT(Dong12),0,IF(LEFT(OFFSET(TH!D$1,SMALL(Dong12,ROWS($1:17)),),1)="N",OFFSET(TH!I$1,SMALL(Dong12,ROWS($1:17)),),0))</f>
        <v>500</v>
      </c>
      <c r="H30" s="346">
        <f ca="1">IF(ROWS($1:17)&gt;COUNT(Dong12),0,IF(LEFT(OFFSET(TH!D$1,SMALL(Dong12,ROWS($1:17)),),1)="X",OFFSET(TH!I$1,SMALL(Dong12,ROWS($1:17)),),0))</f>
        <v>0</v>
      </c>
      <c r="I30" s="347">
        <f t="shared" ca="1" si="1"/>
        <v>5578</v>
      </c>
      <c r="J30" s="348"/>
    </row>
    <row r="31" spans="1:10" ht="16.5" customHeight="1">
      <c r="A31" s="324" t="str">
        <f>IF(D31&lt;&gt;"",A21+1,"")</f>
        <v/>
      </c>
      <c r="B31" s="349"/>
      <c r="C31" s="350"/>
      <c r="D31" s="350"/>
      <c r="E31" s="351"/>
      <c r="F31" s="349"/>
      <c r="G31" s="352"/>
      <c r="H31" s="352"/>
      <c r="I31" s="352"/>
      <c r="J31" s="353"/>
    </row>
    <row r="32" spans="1:10" ht="16.5" customHeight="1">
      <c r="A32" s="339"/>
      <c r="B32" s="354"/>
      <c r="C32" s="339"/>
      <c r="D32" s="339"/>
      <c r="E32" s="340" t="s">
        <v>211</v>
      </c>
      <c r="F32" s="355" t="s">
        <v>19</v>
      </c>
      <c r="G32" s="356">
        <f ca="1">SUM(G14:G31)</f>
        <v>19909</v>
      </c>
      <c r="H32" s="356">
        <f ca="1">SUM(H14:H31)</f>
        <v>14331</v>
      </c>
      <c r="I32" s="356">
        <f ca="1">I13+G32-H32</f>
        <v>5578</v>
      </c>
      <c r="J32" s="339" t="s">
        <v>19</v>
      </c>
    </row>
    <row r="33" spans="1:10" ht="12.75" customHeight="1">
      <c r="A33" s="357"/>
      <c r="B33" s="332"/>
      <c r="C33" s="357"/>
      <c r="D33" s="357"/>
      <c r="E33" s="331"/>
      <c r="F33" s="332"/>
      <c r="G33" s="333"/>
      <c r="H33" s="333"/>
      <c r="I33" s="333"/>
      <c r="J33" s="327"/>
    </row>
    <row r="34" spans="1:10" ht="15">
      <c r="A34" s="114" t="s">
        <v>212</v>
      </c>
      <c r="B34" s="114"/>
      <c r="C34" s="115"/>
      <c r="D34" s="115"/>
      <c r="E34" s="331"/>
      <c r="F34" s="332"/>
      <c r="G34" s="333"/>
      <c r="H34" s="333"/>
      <c r="I34" s="333"/>
      <c r="J34" s="327"/>
    </row>
    <row r="35" spans="1:10" ht="15">
      <c r="A35" s="97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978"/>
      <c r="C35" s="978"/>
      <c r="D35" s="978"/>
      <c r="E35" s="978"/>
      <c r="F35" s="332"/>
      <c r="G35" s="333"/>
      <c r="H35" s="333"/>
      <c r="I35" s="333"/>
      <c r="J35" s="327"/>
    </row>
    <row r="36" spans="1:10" ht="15">
      <c r="A36" s="358"/>
      <c r="B36" s="359"/>
      <c r="C36" s="360"/>
      <c r="D36" s="357"/>
      <c r="E36" s="331"/>
      <c r="F36" s="332"/>
      <c r="H36" s="362"/>
      <c r="I36" s="363" t="str">
        <f ca="1">"Ngày 31 tháng  12  năm  "&amp;YEAR($B$14)</f>
        <v>Ngày 31 tháng  12  năm  2017</v>
      </c>
      <c r="J36" s="362"/>
    </row>
    <row r="37" spans="1:10" ht="15" customHeight="1">
      <c r="A37" s="358"/>
      <c r="C37" s="364" t="s">
        <v>213</v>
      </c>
      <c r="D37" s="357"/>
      <c r="E37" s="979" t="s">
        <v>12</v>
      </c>
      <c r="F37" s="979"/>
      <c r="G37" s="333"/>
      <c r="I37" s="365" t="s">
        <v>107</v>
      </c>
      <c r="J37" s="110"/>
    </row>
    <row r="38" spans="1:10" ht="15" customHeight="1">
      <c r="A38" s="366"/>
      <c r="C38" s="367" t="s">
        <v>13</v>
      </c>
      <c r="D38" s="368"/>
      <c r="E38" s="973" t="s">
        <v>13</v>
      </c>
      <c r="F38" s="973"/>
      <c r="G38" s="333"/>
      <c r="I38" s="369" t="s">
        <v>134</v>
      </c>
      <c r="J38" s="370"/>
    </row>
  </sheetData>
  <mergeCells count="14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  <mergeCell ref="A2:E3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NXT!$B$12:$B$686</xm:f>
          </x14:formula1>
          <xm:sqref>E7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69"/>
  <sheetViews>
    <sheetView topLeftCell="A157" zoomScale="90" zoomScaleNormal="90" workbookViewId="0">
      <selection activeCell="G157" sqref="G157:H170"/>
    </sheetView>
  </sheetViews>
  <sheetFormatPr defaultColWidth="10.28515625" defaultRowHeight="12.75"/>
  <cols>
    <col min="1" max="1" width="4.7109375" customWidth="1"/>
    <col min="2" max="2" width="31.140625" customWidth="1"/>
    <col min="3" max="3" width="13.42578125" customWidth="1"/>
    <col min="4" max="4" width="13.140625" customWidth="1"/>
    <col min="5" max="5" width="12" customWidth="1"/>
    <col min="6" max="6" width="13.140625" customWidth="1"/>
    <col min="7" max="7" width="8.140625" customWidth="1"/>
    <col min="8" max="9" width="8.5703125" customWidth="1"/>
    <col min="10" max="10" width="2" customWidth="1"/>
    <col min="11" max="11" width="23" customWidth="1"/>
    <col min="12" max="12" width="8.42578125" customWidth="1"/>
    <col min="13" max="14" width="8.85546875" customWidth="1"/>
    <col min="15" max="15" width="12.42578125" customWidth="1"/>
    <col min="16" max="17" width="8.28515625" customWidth="1"/>
    <col min="18" max="18" width="15" bestFit="1" customWidth="1"/>
  </cols>
  <sheetData>
    <row r="1" spans="1:18" ht="15">
      <c r="A1" s="257"/>
      <c r="B1" s="257">
        <v>1</v>
      </c>
      <c r="C1" s="257">
        <v>5</v>
      </c>
      <c r="D1" s="257"/>
      <c r="E1" s="257">
        <v>6</v>
      </c>
      <c r="F1" s="257">
        <v>13</v>
      </c>
      <c r="G1" s="257">
        <v>14</v>
      </c>
      <c r="H1" s="257">
        <v>15</v>
      </c>
      <c r="I1" s="258"/>
      <c r="J1" s="258"/>
      <c r="K1" s="257"/>
      <c r="L1" s="259"/>
      <c r="M1" s="260"/>
      <c r="N1" s="181"/>
      <c r="O1" s="257"/>
      <c r="P1" s="257"/>
      <c r="Q1" s="259"/>
    </row>
    <row r="2" spans="1:18" ht="18" hidden="1" customHeight="1">
      <c r="A2" s="122" t="str">
        <f>TH!$A$1</f>
        <v>Đơn vị: CÔNG TY TNHH MỘT THÀNH VIÊN KHỞI NGUYÊN AN</v>
      </c>
      <c r="B2" s="261"/>
      <c r="C2" s="181"/>
      <c r="D2" s="181"/>
      <c r="E2" s="181"/>
      <c r="F2" s="181"/>
      <c r="G2" s="124"/>
      <c r="H2" s="181"/>
      <c r="I2" s="262"/>
      <c r="J2" s="262"/>
      <c r="K2" s="181"/>
      <c r="L2" s="180"/>
      <c r="M2" s="260"/>
      <c r="N2" s="181"/>
      <c r="O2" s="257"/>
      <c r="P2" s="181"/>
      <c r="Q2" s="180"/>
    </row>
    <row r="3" spans="1:18" ht="18.75" customHeight="1">
      <c r="A3" s="263" t="s">
        <v>452</v>
      </c>
      <c r="B3" s="263"/>
      <c r="C3" s="263"/>
      <c r="D3" s="263"/>
      <c r="E3" s="263"/>
      <c r="F3" s="263"/>
      <c r="G3" s="263"/>
      <c r="H3" s="263"/>
      <c r="I3" s="262"/>
      <c r="J3" s="262"/>
      <c r="K3" s="181"/>
      <c r="L3" s="180"/>
      <c r="M3" s="260"/>
      <c r="N3" s="181"/>
      <c r="O3" s="257"/>
      <c r="P3" s="181"/>
      <c r="Q3" s="180"/>
    </row>
    <row r="4" spans="1:18" ht="12.75" customHeight="1">
      <c r="A4" s="264"/>
      <c r="B4" s="265"/>
      <c r="C4" s="265"/>
      <c r="D4" s="265"/>
      <c r="E4" s="265"/>
      <c r="F4" s="265"/>
      <c r="G4" s="266"/>
      <c r="H4" s="265"/>
      <c r="I4" s="262"/>
      <c r="J4" s="262"/>
      <c r="K4" s="267"/>
      <c r="L4" s="264"/>
      <c r="M4" s="268"/>
      <c r="N4" s="269"/>
      <c r="O4" s="264"/>
      <c r="P4" s="264"/>
      <c r="Q4" s="264"/>
    </row>
    <row r="5" spans="1:18" ht="36.75" customHeight="1">
      <c r="A5" s="270" t="s">
        <v>33</v>
      </c>
      <c r="B5" s="271" t="s">
        <v>214</v>
      </c>
      <c r="C5" s="272" t="s">
        <v>217</v>
      </c>
      <c r="D5" s="272" t="s">
        <v>333</v>
      </c>
      <c r="E5" s="272" t="s">
        <v>260</v>
      </c>
      <c r="F5" s="272" t="s">
        <v>218</v>
      </c>
      <c r="G5" s="273" t="s">
        <v>215</v>
      </c>
      <c r="H5" s="272" t="s">
        <v>219</v>
      </c>
      <c r="I5" s="274"/>
      <c r="J5" s="274"/>
      <c r="K5" s="271" t="s">
        <v>214</v>
      </c>
      <c r="L5" s="272" t="s">
        <v>208</v>
      </c>
      <c r="M5" s="275" t="s">
        <v>175</v>
      </c>
      <c r="N5" s="272" t="s">
        <v>216</v>
      </c>
      <c r="O5" s="272" t="s">
        <v>220</v>
      </c>
      <c r="P5" s="271" t="s">
        <v>214</v>
      </c>
      <c r="Q5" s="272" t="s">
        <v>208</v>
      </c>
    </row>
    <row r="6" spans="1:18" ht="20.25" customHeight="1">
      <c r="A6" s="276">
        <f>IF(B6&lt;&gt;"",ROW()-(ROW()-1),"")</f>
        <v>1</v>
      </c>
      <c r="B6" s="248" t="s">
        <v>493</v>
      </c>
      <c r="C6" s="243">
        <f>O6</f>
        <v>892584</v>
      </c>
      <c r="D6" s="243">
        <v>35517520</v>
      </c>
      <c r="E6" s="277">
        <f t="shared" ref="E6:E42" si="0">IF($G$44&lt;&gt;0,E$44/$G$44*$G6,0)</f>
        <v>1882718.6106825119</v>
      </c>
      <c r="F6" s="243">
        <f t="shared" ref="F6:F42" si="1">SUM(C6:E6)</f>
        <v>38292822.61068251</v>
      </c>
      <c r="G6" s="277">
        <v>3980</v>
      </c>
      <c r="H6" s="277">
        <f t="shared" ref="H6:H17" si="2">IF(G6&lt;&gt;"",F6/G6,"")</f>
        <v>9621.3122137393239</v>
      </c>
      <c r="I6" s="278">
        <v>9200</v>
      </c>
      <c r="J6" s="279"/>
      <c r="K6" s="249" t="s">
        <v>352</v>
      </c>
      <c r="L6" s="280">
        <f>Q6-2</f>
        <v>42737</v>
      </c>
      <c r="M6" s="281">
        <v>49</v>
      </c>
      <c r="N6" s="282">
        <v>18216</v>
      </c>
      <c r="O6" s="243">
        <f>ROUND(M6*N6,0)</f>
        <v>892584</v>
      </c>
      <c r="P6" s="283" t="s">
        <v>478</v>
      </c>
      <c r="Q6" s="280">
        <v>42739</v>
      </c>
      <c r="R6" s="561"/>
    </row>
    <row r="7" spans="1:18" ht="20.25" customHeight="1">
      <c r="A7" s="276">
        <f>IF(B7&lt;&gt;"",A6+1,"")</f>
        <v>2</v>
      </c>
      <c r="B7" s="248" t="s">
        <v>495</v>
      </c>
      <c r="C7" s="243">
        <f>O7</f>
        <v>511880</v>
      </c>
      <c r="D7" s="243">
        <v>0</v>
      </c>
      <c r="E7" s="277">
        <f t="shared" si="0"/>
        <v>9460.8975411181509</v>
      </c>
      <c r="F7" s="243">
        <f t="shared" si="1"/>
        <v>521340.89754111815</v>
      </c>
      <c r="G7" s="284">
        <v>20</v>
      </c>
      <c r="H7" s="277">
        <f t="shared" si="2"/>
        <v>26067.044877055909</v>
      </c>
      <c r="I7" s="278">
        <v>28000</v>
      </c>
      <c r="J7" s="279"/>
      <c r="K7" s="285" t="s">
        <v>406</v>
      </c>
      <c r="L7" s="280">
        <f t="shared" ref="L7:L42" si="3">Q7-2</f>
        <v>42739</v>
      </c>
      <c r="M7" s="286">
        <v>20</v>
      </c>
      <c r="N7" s="178">
        <v>25594</v>
      </c>
      <c r="O7" s="287">
        <f t="shared" ref="O7:O42" si="4">ROUND(M7*N7,0)</f>
        <v>511880</v>
      </c>
      <c r="P7" s="285" t="s">
        <v>479</v>
      </c>
      <c r="Q7" s="288">
        <v>42741</v>
      </c>
      <c r="R7" s="561"/>
    </row>
    <row r="8" spans="1:18" ht="20.25" customHeight="1">
      <c r="A8" s="276">
        <f t="shared" ref="A8:A42" si="5">IF(B8&lt;&gt;"",A7+1,"")</f>
        <v>3</v>
      </c>
      <c r="B8" s="248" t="s">
        <v>496</v>
      </c>
      <c r="C8" s="243">
        <f t="shared" ref="C8:C13" si="6">O8</f>
        <v>51188</v>
      </c>
      <c r="D8" s="243">
        <v>0</v>
      </c>
      <c r="E8" s="277">
        <f t="shared" si="0"/>
        <v>9460.8975411181509</v>
      </c>
      <c r="F8" s="243">
        <f t="shared" si="1"/>
        <v>60648.897541118153</v>
      </c>
      <c r="G8" s="284">
        <v>20</v>
      </c>
      <c r="H8" s="277">
        <f t="shared" si="2"/>
        <v>3032.4448770559075</v>
      </c>
      <c r="I8" s="278">
        <v>4500</v>
      </c>
      <c r="J8" s="279"/>
      <c r="K8" s="247" t="s">
        <v>406</v>
      </c>
      <c r="L8" s="280">
        <f t="shared" si="3"/>
        <v>42739</v>
      </c>
      <c r="M8" s="289">
        <v>2</v>
      </c>
      <c r="N8" s="290">
        <v>25594</v>
      </c>
      <c r="O8" s="287">
        <f t="shared" si="4"/>
        <v>51188</v>
      </c>
      <c r="P8" s="288" t="s">
        <v>479</v>
      </c>
      <c r="Q8" s="288">
        <v>42741</v>
      </c>
      <c r="R8" s="561"/>
    </row>
    <row r="9" spans="1:18" ht="20.25" customHeight="1">
      <c r="A9" s="276">
        <f t="shared" si="5"/>
        <v>4</v>
      </c>
      <c r="B9" s="248" t="s">
        <v>500</v>
      </c>
      <c r="C9" s="243">
        <f t="shared" si="6"/>
        <v>51188</v>
      </c>
      <c r="D9" s="243">
        <v>2336700</v>
      </c>
      <c r="E9" s="277">
        <f t="shared" si="0"/>
        <v>141913.46311677227</v>
      </c>
      <c r="F9" s="243">
        <f t="shared" si="1"/>
        <v>2529801.4631167725</v>
      </c>
      <c r="G9" s="284">
        <v>300</v>
      </c>
      <c r="H9" s="277">
        <f t="shared" si="2"/>
        <v>8432.6715437225757</v>
      </c>
      <c r="I9" s="278">
        <v>8030</v>
      </c>
      <c r="J9" s="279"/>
      <c r="K9" s="247" t="s">
        <v>406</v>
      </c>
      <c r="L9" s="280">
        <f t="shared" si="3"/>
        <v>42743</v>
      </c>
      <c r="M9" s="289">
        <v>2</v>
      </c>
      <c r="N9" s="290">
        <v>25594</v>
      </c>
      <c r="O9" s="287">
        <f t="shared" si="4"/>
        <v>51188</v>
      </c>
      <c r="P9" s="288" t="s">
        <v>483</v>
      </c>
      <c r="Q9" s="288">
        <v>42745</v>
      </c>
      <c r="R9" s="561"/>
    </row>
    <row r="10" spans="1:18" ht="20.25" customHeight="1">
      <c r="A10" s="276">
        <f t="shared" si="5"/>
        <v>5</v>
      </c>
      <c r="B10" s="248" t="s">
        <v>504</v>
      </c>
      <c r="C10" s="243">
        <f t="shared" si="6"/>
        <v>2427264</v>
      </c>
      <c r="D10" s="243">
        <v>56525000</v>
      </c>
      <c r="E10" s="277">
        <f t="shared" si="0"/>
        <v>804176.29099504277</v>
      </c>
      <c r="F10" s="243">
        <f t="shared" si="1"/>
        <v>59756440.290995046</v>
      </c>
      <c r="G10" s="284">
        <v>1700</v>
      </c>
      <c r="H10" s="277">
        <f t="shared" si="2"/>
        <v>35150.847229997089</v>
      </c>
      <c r="I10" s="278">
        <v>35000</v>
      </c>
      <c r="J10" s="279"/>
      <c r="K10" s="249" t="s">
        <v>407</v>
      </c>
      <c r="L10" s="280">
        <f t="shared" si="3"/>
        <v>42753</v>
      </c>
      <c r="M10" s="289">
        <v>147</v>
      </c>
      <c r="N10" s="290">
        <v>16512</v>
      </c>
      <c r="O10" s="287">
        <f t="shared" si="4"/>
        <v>2427264</v>
      </c>
      <c r="P10" s="288" t="s">
        <v>491</v>
      </c>
      <c r="Q10" s="288">
        <v>42755</v>
      </c>
      <c r="R10" s="561"/>
    </row>
    <row r="11" spans="1:18" ht="20.25" customHeight="1">
      <c r="A11" s="276">
        <f t="shared" si="5"/>
        <v>6</v>
      </c>
      <c r="B11" s="249" t="s">
        <v>505</v>
      </c>
      <c r="C11" s="243">
        <f t="shared" si="6"/>
        <v>1317744</v>
      </c>
      <c r="D11" s="243">
        <v>47287500</v>
      </c>
      <c r="E11" s="277">
        <f t="shared" si="0"/>
        <v>709567.31558386132</v>
      </c>
      <c r="F11" s="243">
        <f t="shared" si="1"/>
        <v>49314811.315583862</v>
      </c>
      <c r="G11" s="284">
        <v>1500</v>
      </c>
      <c r="H11" s="277">
        <f t="shared" si="2"/>
        <v>32876.540877055908</v>
      </c>
      <c r="I11" s="278">
        <v>32500</v>
      </c>
      <c r="J11" s="279"/>
      <c r="K11" s="249" t="s">
        <v>307</v>
      </c>
      <c r="L11" s="280">
        <f t="shared" si="3"/>
        <v>42753</v>
      </c>
      <c r="M11" s="289">
        <v>144</v>
      </c>
      <c r="N11" s="290">
        <v>9151</v>
      </c>
      <c r="O11" s="287">
        <f t="shared" si="4"/>
        <v>1317744</v>
      </c>
      <c r="P11" s="291" t="s">
        <v>491</v>
      </c>
      <c r="Q11" s="288">
        <v>42755</v>
      </c>
      <c r="R11" s="561"/>
    </row>
    <row r="12" spans="1:18" ht="20.25" customHeight="1">
      <c r="A12" s="276">
        <f t="shared" si="5"/>
        <v>7</v>
      </c>
      <c r="B12" s="248" t="s">
        <v>506</v>
      </c>
      <c r="C12" s="243">
        <f t="shared" si="6"/>
        <v>51188</v>
      </c>
      <c r="D12" s="243">
        <v>2910000</v>
      </c>
      <c r="E12" s="277">
        <f t="shared" si="0"/>
        <v>141913.46311677227</v>
      </c>
      <c r="F12" s="243">
        <f t="shared" si="1"/>
        <v>3103101.4631167725</v>
      </c>
      <c r="G12" s="284">
        <v>300</v>
      </c>
      <c r="H12" s="277">
        <f t="shared" si="2"/>
        <v>10343.671543722576</v>
      </c>
      <c r="I12" s="278">
        <v>10000</v>
      </c>
      <c r="J12" s="279"/>
      <c r="K12" s="248" t="s">
        <v>406</v>
      </c>
      <c r="L12" s="280">
        <f t="shared" si="3"/>
        <v>42753</v>
      </c>
      <c r="M12" s="289">
        <v>2</v>
      </c>
      <c r="N12" s="290">
        <v>25594</v>
      </c>
      <c r="O12" s="287">
        <f t="shared" si="4"/>
        <v>51188</v>
      </c>
      <c r="P12" s="291" t="s">
        <v>492</v>
      </c>
      <c r="Q12" s="288">
        <v>42755</v>
      </c>
      <c r="R12" s="561"/>
    </row>
    <row r="13" spans="1:18" ht="20.25" customHeight="1">
      <c r="A13" s="276">
        <f>IF(B13&lt;&gt;"",A12+1,"")</f>
        <v>8</v>
      </c>
      <c r="B13" s="248" t="s">
        <v>503</v>
      </c>
      <c r="C13" s="243">
        <f t="shared" si="6"/>
        <v>25594</v>
      </c>
      <c r="D13" s="243">
        <v>0</v>
      </c>
      <c r="E13" s="277">
        <f t="shared" si="0"/>
        <v>1892.1795082236301</v>
      </c>
      <c r="F13" s="243">
        <f t="shared" si="1"/>
        <v>27486.179508223631</v>
      </c>
      <c r="G13" s="284">
        <v>4</v>
      </c>
      <c r="H13" s="277">
        <f t="shared" si="2"/>
        <v>6871.5448770559078</v>
      </c>
      <c r="I13" s="278">
        <v>8500</v>
      </c>
      <c r="J13" s="279"/>
      <c r="K13" s="247" t="s">
        <v>406</v>
      </c>
      <c r="L13" s="280">
        <f t="shared" si="3"/>
        <v>42756</v>
      </c>
      <c r="M13" s="289">
        <v>1</v>
      </c>
      <c r="N13" s="290">
        <v>25594</v>
      </c>
      <c r="O13" s="287">
        <f t="shared" si="4"/>
        <v>25594</v>
      </c>
      <c r="P13" s="291" t="s">
        <v>508</v>
      </c>
      <c r="Q13" s="288">
        <v>42758</v>
      </c>
      <c r="R13" s="561"/>
    </row>
    <row r="14" spans="1:18" ht="20.25" customHeight="1">
      <c r="A14" s="276">
        <f t="shared" si="5"/>
        <v>9</v>
      </c>
      <c r="B14" s="248" t="s">
        <v>768</v>
      </c>
      <c r="C14" s="243">
        <f>O14</f>
        <v>383910</v>
      </c>
      <c r="D14" s="243">
        <v>0</v>
      </c>
      <c r="E14" s="277">
        <f t="shared" si="0"/>
        <v>766332.70083057019</v>
      </c>
      <c r="F14" s="243">
        <f t="shared" si="1"/>
        <v>1150242.7008305702</v>
      </c>
      <c r="G14" s="284">
        <v>1620</v>
      </c>
      <c r="H14" s="277">
        <f t="shared" si="2"/>
        <v>710.026358537389</v>
      </c>
      <c r="I14" s="278">
        <v>250</v>
      </c>
      <c r="J14" s="279"/>
      <c r="K14" s="291" t="s">
        <v>406</v>
      </c>
      <c r="L14" s="280">
        <f t="shared" si="3"/>
        <v>42756</v>
      </c>
      <c r="M14" s="289">
        <v>15</v>
      </c>
      <c r="N14" s="290">
        <v>25594</v>
      </c>
      <c r="O14" s="287">
        <f t="shared" si="4"/>
        <v>383910</v>
      </c>
      <c r="P14" s="291" t="s">
        <v>510</v>
      </c>
      <c r="Q14" s="288">
        <v>42758</v>
      </c>
      <c r="R14" s="561"/>
    </row>
    <row r="15" spans="1:18" s="607" customFormat="1" ht="20.25" customHeight="1">
      <c r="A15" s="594">
        <f t="shared" si="5"/>
        <v>10</v>
      </c>
      <c r="B15" s="595" t="s">
        <v>493</v>
      </c>
      <c r="C15" s="596">
        <f>O15</f>
        <v>1112958</v>
      </c>
      <c r="D15" s="596">
        <v>39265600</v>
      </c>
      <c r="E15" s="597">
        <f t="shared" si="0"/>
        <v>2081397.4590459932</v>
      </c>
      <c r="F15" s="596">
        <f t="shared" si="1"/>
        <v>42459955.459045991</v>
      </c>
      <c r="G15" s="598">
        <v>4400</v>
      </c>
      <c r="H15" s="597">
        <f t="shared" si="2"/>
        <v>9649.9898770559066</v>
      </c>
      <c r="I15" s="599">
        <v>9200</v>
      </c>
      <c r="J15" s="600"/>
      <c r="K15" s="601" t="s">
        <v>355</v>
      </c>
      <c r="L15" s="280">
        <f t="shared" si="3"/>
        <v>42770</v>
      </c>
      <c r="M15" s="603">
        <f>124-SUM(M16:M19)</f>
        <v>73</v>
      </c>
      <c r="N15" s="604">
        <v>15246</v>
      </c>
      <c r="O15" s="605">
        <f t="shared" si="4"/>
        <v>1112958</v>
      </c>
      <c r="P15" s="601" t="s">
        <v>528</v>
      </c>
      <c r="Q15" s="606">
        <v>42772</v>
      </c>
      <c r="R15" s="561"/>
    </row>
    <row r="16" spans="1:18" ht="20.25" customHeight="1">
      <c r="A16" s="276">
        <f t="shared" si="5"/>
        <v>11</v>
      </c>
      <c r="B16" s="248" t="s">
        <v>500</v>
      </c>
      <c r="C16" s="243">
        <f>O16</f>
        <v>60984</v>
      </c>
      <c r="D16" s="243">
        <v>2336700</v>
      </c>
      <c r="E16" s="277">
        <f t="shared" si="0"/>
        <v>141913.46311677227</v>
      </c>
      <c r="F16" s="243">
        <f t="shared" si="1"/>
        <v>2539597.4631167725</v>
      </c>
      <c r="G16" s="284">
        <v>300</v>
      </c>
      <c r="H16" s="277">
        <f t="shared" si="2"/>
        <v>8465.3248770559076</v>
      </c>
      <c r="I16" s="278">
        <v>8030</v>
      </c>
      <c r="J16" s="279"/>
      <c r="K16" s="291" t="s">
        <v>355</v>
      </c>
      <c r="L16" s="280">
        <f t="shared" si="3"/>
        <v>42777</v>
      </c>
      <c r="M16" s="289">
        <v>4</v>
      </c>
      <c r="N16" s="290">
        <v>15246</v>
      </c>
      <c r="O16" s="287">
        <f t="shared" si="4"/>
        <v>60984</v>
      </c>
      <c r="P16" s="291" t="s">
        <v>530</v>
      </c>
      <c r="Q16" s="288">
        <v>42779</v>
      </c>
      <c r="R16" s="561"/>
    </row>
    <row r="17" spans="1:18" ht="20.25" customHeight="1">
      <c r="A17" s="276">
        <f t="shared" si="5"/>
        <v>12</v>
      </c>
      <c r="B17" s="248" t="s">
        <v>558</v>
      </c>
      <c r="C17" s="243">
        <f>O17</f>
        <v>182952</v>
      </c>
      <c r="D17" s="243">
        <v>7061600</v>
      </c>
      <c r="E17" s="277">
        <f t="shared" si="0"/>
        <v>189217.95082236303</v>
      </c>
      <c r="F17" s="243">
        <f t="shared" si="1"/>
        <v>7433769.9508223627</v>
      </c>
      <c r="G17" s="284">
        <v>400</v>
      </c>
      <c r="H17" s="277">
        <f t="shared" si="2"/>
        <v>18584.424877055906</v>
      </c>
      <c r="I17" s="278">
        <v>18200</v>
      </c>
      <c r="J17" s="279"/>
      <c r="K17" s="291" t="s">
        <v>355</v>
      </c>
      <c r="L17" s="280">
        <f t="shared" si="3"/>
        <v>42780</v>
      </c>
      <c r="M17" s="289">
        <v>12</v>
      </c>
      <c r="N17" s="290">
        <v>15246</v>
      </c>
      <c r="O17" s="287">
        <f t="shared" si="4"/>
        <v>182952</v>
      </c>
      <c r="P17" s="291" t="s">
        <v>531</v>
      </c>
      <c r="Q17" s="288">
        <v>42782</v>
      </c>
      <c r="R17" s="561"/>
    </row>
    <row r="18" spans="1:18" ht="20.25" customHeight="1">
      <c r="A18" s="276">
        <f t="shared" si="5"/>
        <v>13</v>
      </c>
      <c r="B18" s="248" t="s">
        <v>504</v>
      </c>
      <c r="C18" s="243">
        <f t="shared" ref="C18:C34" si="7">O18</f>
        <v>228690</v>
      </c>
      <c r="D18" s="243">
        <v>4987500</v>
      </c>
      <c r="E18" s="277">
        <f t="shared" si="0"/>
        <v>70956.731558386135</v>
      </c>
      <c r="F18" s="243">
        <f t="shared" si="1"/>
        <v>5287146.7315583862</v>
      </c>
      <c r="G18" s="284">
        <v>150</v>
      </c>
      <c r="H18" s="277">
        <f t="shared" ref="H18:H34" si="8">IF(G18&lt;&gt;"",F18/G18,"")</f>
        <v>35247.644877055907</v>
      </c>
      <c r="I18" s="278">
        <v>35000</v>
      </c>
      <c r="J18" s="279"/>
      <c r="K18" s="291" t="s">
        <v>355</v>
      </c>
      <c r="L18" s="280">
        <f t="shared" si="3"/>
        <v>42788</v>
      </c>
      <c r="M18" s="289">
        <v>15</v>
      </c>
      <c r="N18" s="290">
        <v>15246</v>
      </c>
      <c r="O18" s="287">
        <f t="shared" si="4"/>
        <v>228690</v>
      </c>
      <c r="P18" s="291" t="s">
        <v>540</v>
      </c>
      <c r="Q18" s="288">
        <v>42790</v>
      </c>
      <c r="R18" s="561"/>
    </row>
    <row r="19" spans="1:18" ht="20.25" customHeight="1">
      <c r="A19" s="276">
        <f t="shared" si="5"/>
        <v>14</v>
      </c>
      <c r="B19" s="248" t="s">
        <v>504</v>
      </c>
      <c r="C19" s="243">
        <f t="shared" si="7"/>
        <v>304920</v>
      </c>
      <c r="D19" s="243">
        <v>29437200</v>
      </c>
      <c r="E19" s="277">
        <f t="shared" si="0"/>
        <v>402088.14549752139</v>
      </c>
      <c r="F19" s="243">
        <f t="shared" si="1"/>
        <v>30144208.145497523</v>
      </c>
      <c r="G19" s="284">
        <v>850</v>
      </c>
      <c r="H19" s="277">
        <f t="shared" si="8"/>
        <v>35463.774288820612</v>
      </c>
      <c r="I19" s="278">
        <v>35000</v>
      </c>
      <c r="J19" s="279"/>
      <c r="K19" s="291" t="s">
        <v>355</v>
      </c>
      <c r="L19" s="280">
        <f t="shared" si="3"/>
        <v>42788</v>
      </c>
      <c r="M19" s="289">
        <v>20</v>
      </c>
      <c r="N19" s="290">
        <v>15246</v>
      </c>
      <c r="O19" s="287">
        <f t="shared" si="4"/>
        <v>304920</v>
      </c>
      <c r="P19" s="291" t="s">
        <v>540</v>
      </c>
      <c r="Q19" s="288">
        <v>42790</v>
      </c>
      <c r="R19" s="561"/>
    </row>
    <row r="20" spans="1:18" ht="20.25" customHeight="1">
      <c r="A20" s="276">
        <f t="shared" si="5"/>
        <v>15</v>
      </c>
      <c r="B20" s="248" t="s">
        <v>504</v>
      </c>
      <c r="C20" s="243">
        <f t="shared" si="7"/>
        <v>241352</v>
      </c>
      <c r="D20" s="243">
        <v>29437200</v>
      </c>
      <c r="E20" s="277">
        <f t="shared" si="0"/>
        <v>402088.14549752139</v>
      </c>
      <c r="F20" s="243">
        <f t="shared" si="1"/>
        <v>30080640.145497523</v>
      </c>
      <c r="G20" s="284">
        <v>850</v>
      </c>
      <c r="H20" s="277">
        <f t="shared" si="8"/>
        <v>35388.988406467673</v>
      </c>
      <c r="I20" s="278">
        <v>35000</v>
      </c>
      <c r="J20" s="279"/>
      <c r="K20" s="291" t="s">
        <v>524</v>
      </c>
      <c r="L20" s="280">
        <f t="shared" si="3"/>
        <v>42788</v>
      </c>
      <c r="M20" s="289">
        <f>112-SUM(M21:M28)</f>
        <v>5</v>
      </c>
      <c r="N20" s="290">
        <v>48270.491071428572</v>
      </c>
      <c r="O20" s="287">
        <f t="shared" si="4"/>
        <v>241352</v>
      </c>
      <c r="P20" s="291" t="s">
        <v>540</v>
      </c>
      <c r="Q20" s="288">
        <v>42790</v>
      </c>
      <c r="R20" s="561"/>
    </row>
    <row r="21" spans="1:18" ht="20.25" customHeight="1">
      <c r="A21" s="276">
        <f t="shared" si="5"/>
        <v>16</v>
      </c>
      <c r="B21" s="248" t="s">
        <v>505</v>
      </c>
      <c r="C21" s="243">
        <f t="shared" si="7"/>
        <v>579246</v>
      </c>
      <c r="D21" s="243">
        <v>16133156</v>
      </c>
      <c r="E21" s="277">
        <f t="shared" si="0"/>
        <v>245037.2463149601</v>
      </c>
      <c r="F21" s="243">
        <f t="shared" si="1"/>
        <v>16957439.246314961</v>
      </c>
      <c r="G21" s="284">
        <v>518</v>
      </c>
      <c r="H21" s="277">
        <f t="shared" si="8"/>
        <v>32736.369201380236</v>
      </c>
      <c r="I21" s="278">
        <v>32500</v>
      </c>
      <c r="J21" s="279"/>
      <c r="K21" s="291" t="s">
        <v>524</v>
      </c>
      <c r="L21" s="280">
        <f t="shared" si="3"/>
        <v>42788</v>
      </c>
      <c r="M21" s="289">
        <v>12</v>
      </c>
      <c r="N21" s="290">
        <v>48270.491071428572</v>
      </c>
      <c r="O21" s="287">
        <f t="shared" si="4"/>
        <v>579246</v>
      </c>
      <c r="P21" s="291" t="s">
        <v>540</v>
      </c>
      <c r="Q21" s="288">
        <v>42790</v>
      </c>
      <c r="R21" s="561"/>
    </row>
    <row r="22" spans="1:18" ht="20.25" customHeight="1">
      <c r="A22" s="276">
        <f t="shared" si="5"/>
        <v>17</v>
      </c>
      <c r="B22" s="248" t="s">
        <v>558</v>
      </c>
      <c r="C22" s="243">
        <f t="shared" si="7"/>
        <v>193082</v>
      </c>
      <c r="D22" s="243">
        <v>10945480</v>
      </c>
      <c r="E22" s="277">
        <f t="shared" si="0"/>
        <v>293287.82377466268</v>
      </c>
      <c r="F22" s="243">
        <f t="shared" si="1"/>
        <v>11431849.823774662</v>
      </c>
      <c r="G22" s="284">
        <v>620</v>
      </c>
      <c r="H22" s="277">
        <f t="shared" si="8"/>
        <v>18438.467457701066</v>
      </c>
      <c r="I22" s="278">
        <v>18200</v>
      </c>
      <c r="J22" s="279"/>
      <c r="K22" s="291" t="s">
        <v>524</v>
      </c>
      <c r="L22" s="280">
        <f t="shared" si="3"/>
        <v>42789</v>
      </c>
      <c r="M22" s="289">
        <v>4</v>
      </c>
      <c r="N22" s="290">
        <v>48270.491071428572</v>
      </c>
      <c r="O22" s="287">
        <f t="shared" si="4"/>
        <v>193082</v>
      </c>
      <c r="P22" s="291" t="s">
        <v>541</v>
      </c>
      <c r="Q22" s="288">
        <v>42791</v>
      </c>
      <c r="R22" s="561"/>
    </row>
    <row r="23" spans="1:18" ht="20.25" customHeight="1">
      <c r="A23" s="276">
        <f t="shared" si="5"/>
        <v>18</v>
      </c>
      <c r="B23" s="248" t="s">
        <v>627</v>
      </c>
      <c r="C23" s="243">
        <f t="shared" si="7"/>
        <v>144811</v>
      </c>
      <c r="D23" s="243">
        <v>11424348</v>
      </c>
      <c r="E23" s="277">
        <f t="shared" si="0"/>
        <v>110692.50123108237</v>
      </c>
      <c r="F23" s="243">
        <f t="shared" si="1"/>
        <v>11679851.501231082</v>
      </c>
      <c r="G23" s="284">
        <v>234</v>
      </c>
      <c r="H23" s="277">
        <f t="shared" si="8"/>
        <v>49913.895304406331</v>
      </c>
      <c r="I23" s="278">
        <v>49818</v>
      </c>
      <c r="J23" s="279"/>
      <c r="K23" s="291" t="s">
        <v>524</v>
      </c>
      <c r="L23" s="280">
        <f t="shared" si="3"/>
        <v>42789</v>
      </c>
      <c r="M23" s="289">
        <v>3</v>
      </c>
      <c r="N23" s="290">
        <v>48270.491071428572</v>
      </c>
      <c r="O23" s="287">
        <f t="shared" si="4"/>
        <v>144811</v>
      </c>
      <c r="P23" s="291" t="s">
        <v>542</v>
      </c>
      <c r="Q23" s="288">
        <v>42791</v>
      </c>
      <c r="R23" s="561"/>
    </row>
    <row r="24" spans="1:18" ht="20.25" customHeight="1">
      <c r="A24" s="276">
        <f t="shared" si="5"/>
        <v>19</v>
      </c>
      <c r="B24" s="248" t="s">
        <v>737</v>
      </c>
      <c r="C24" s="243">
        <f t="shared" si="7"/>
        <v>2027361</v>
      </c>
      <c r="D24" s="243">
        <v>1261020</v>
      </c>
      <c r="E24" s="277">
        <f t="shared" si="0"/>
        <v>21287.019467515838</v>
      </c>
      <c r="F24" s="243">
        <f t="shared" si="1"/>
        <v>3309668.0194675159</v>
      </c>
      <c r="G24" s="284">
        <v>45</v>
      </c>
      <c r="H24" s="277">
        <f t="shared" si="8"/>
        <v>73548.178210389247</v>
      </c>
      <c r="I24" s="278">
        <v>85785</v>
      </c>
      <c r="J24" s="279"/>
      <c r="K24" s="291" t="s">
        <v>524</v>
      </c>
      <c r="L24" s="280">
        <f t="shared" si="3"/>
        <v>42789</v>
      </c>
      <c r="M24" s="289">
        <v>42</v>
      </c>
      <c r="N24" s="290">
        <v>48270.491071428572</v>
      </c>
      <c r="O24" s="287">
        <f t="shared" si="4"/>
        <v>2027361</v>
      </c>
      <c r="P24" s="291" t="s">
        <v>542</v>
      </c>
      <c r="Q24" s="288">
        <v>42791</v>
      </c>
      <c r="R24" s="561"/>
    </row>
    <row r="25" spans="1:18" ht="20.25" customHeight="1">
      <c r="A25" s="276">
        <f t="shared" si="5"/>
        <v>20</v>
      </c>
      <c r="B25" s="248" t="s">
        <v>759</v>
      </c>
      <c r="C25" s="243">
        <f t="shared" si="7"/>
        <v>48270</v>
      </c>
      <c r="D25" s="243">
        <v>3184100</v>
      </c>
      <c r="E25" s="277">
        <f t="shared" si="0"/>
        <v>47304.487705590756</v>
      </c>
      <c r="F25" s="243">
        <f t="shared" si="1"/>
        <v>3279674.4877055907</v>
      </c>
      <c r="G25" s="284">
        <v>100</v>
      </c>
      <c r="H25" s="277">
        <f t="shared" si="8"/>
        <v>32796.744877055906</v>
      </c>
      <c r="I25" s="278">
        <v>32490</v>
      </c>
      <c r="J25" s="279"/>
      <c r="K25" s="291" t="s">
        <v>524</v>
      </c>
      <c r="L25" s="280">
        <f t="shared" si="3"/>
        <v>42789</v>
      </c>
      <c r="M25" s="289">
        <v>1</v>
      </c>
      <c r="N25" s="290">
        <v>48270.491071428572</v>
      </c>
      <c r="O25" s="287">
        <f t="shared" si="4"/>
        <v>48270</v>
      </c>
      <c r="P25" s="291" t="s">
        <v>542</v>
      </c>
      <c r="Q25" s="288">
        <v>42791</v>
      </c>
      <c r="R25" s="561"/>
    </row>
    <row r="26" spans="1:18" ht="20.25" customHeight="1">
      <c r="A26" s="276">
        <f t="shared" si="5"/>
        <v>21</v>
      </c>
      <c r="B26" s="248" t="s">
        <v>567</v>
      </c>
      <c r="C26" s="243">
        <f t="shared" si="7"/>
        <v>48270</v>
      </c>
      <c r="D26" s="243">
        <v>1940000</v>
      </c>
      <c r="E26" s="277">
        <f t="shared" si="0"/>
        <v>236522.43852795375</v>
      </c>
      <c r="F26" s="243">
        <f t="shared" si="1"/>
        <v>2224792.4385279538</v>
      </c>
      <c r="G26" s="284">
        <v>500</v>
      </c>
      <c r="H26" s="277">
        <f t="shared" si="8"/>
        <v>4449.5848770559078</v>
      </c>
      <c r="I26" s="278">
        <v>4000</v>
      </c>
      <c r="J26" s="279"/>
      <c r="K26" s="291" t="s">
        <v>524</v>
      </c>
      <c r="L26" s="280">
        <f t="shared" si="3"/>
        <v>42791</v>
      </c>
      <c r="M26" s="289">
        <v>1</v>
      </c>
      <c r="N26" s="290">
        <v>48270.491071428572</v>
      </c>
      <c r="O26" s="287">
        <f t="shared" si="4"/>
        <v>48270</v>
      </c>
      <c r="P26" s="291" t="s">
        <v>544</v>
      </c>
      <c r="Q26" s="288">
        <v>42793</v>
      </c>
      <c r="R26" s="561"/>
    </row>
    <row r="27" spans="1:18" s="607" customFormat="1" ht="20.25" customHeight="1">
      <c r="A27" s="594">
        <f t="shared" si="5"/>
        <v>22</v>
      </c>
      <c r="B27" s="595" t="s">
        <v>493</v>
      </c>
      <c r="C27" s="596">
        <f t="shared" si="7"/>
        <v>675787</v>
      </c>
      <c r="D27" s="596">
        <v>42826000</v>
      </c>
      <c r="E27" s="597">
        <f t="shared" si="0"/>
        <v>2246963.1660155607</v>
      </c>
      <c r="F27" s="596">
        <f t="shared" si="1"/>
        <v>45748750.166015558</v>
      </c>
      <c r="G27" s="598">
        <v>4750</v>
      </c>
      <c r="H27" s="597">
        <f t="shared" si="8"/>
        <v>9631.3158244243277</v>
      </c>
      <c r="I27" s="599">
        <v>9200</v>
      </c>
      <c r="J27" s="600"/>
      <c r="K27" s="601" t="s">
        <v>524</v>
      </c>
      <c r="L27" s="602">
        <f t="shared" si="3"/>
        <v>42799</v>
      </c>
      <c r="M27" s="603">
        <v>14</v>
      </c>
      <c r="N27" s="604">
        <v>48270.491071428572</v>
      </c>
      <c r="O27" s="605">
        <f t="shared" si="4"/>
        <v>675787</v>
      </c>
      <c r="P27" s="601" t="s">
        <v>546</v>
      </c>
      <c r="Q27" s="606">
        <v>42801</v>
      </c>
      <c r="R27" s="690"/>
    </row>
    <row r="28" spans="1:18" ht="20.25" customHeight="1">
      <c r="A28" s="276">
        <f t="shared" si="5"/>
        <v>23</v>
      </c>
      <c r="B28" s="248" t="s">
        <v>764</v>
      </c>
      <c r="C28" s="243">
        <f t="shared" si="7"/>
        <v>1448115</v>
      </c>
      <c r="D28" s="243">
        <v>0</v>
      </c>
      <c r="E28" s="277">
        <f t="shared" si="0"/>
        <v>236522.43852795375</v>
      </c>
      <c r="F28" s="243">
        <f t="shared" si="1"/>
        <v>1684637.4385279538</v>
      </c>
      <c r="G28" s="284">
        <v>500</v>
      </c>
      <c r="H28" s="277">
        <f t="shared" si="8"/>
        <v>3369.2748770559078</v>
      </c>
      <c r="I28" s="278">
        <v>4070</v>
      </c>
      <c r="J28" s="279"/>
      <c r="K28" s="291" t="s">
        <v>524</v>
      </c>
      <c r="L28" s="280">
        <f t="shared" si="3"/>
        <v>42809</v>
      </c>
      <c r="M28" s="289">
        <v>30</v>
      </c>
      <c r="N28" s="290">
        <v>48270.491071428572</v>
      </c>
      <c r="O28" s="287">
        <f t="shared" si="4"/>
        <v>1448115</v>
      </c>
      <c r="P28" s="291" t="s">
        <v>550</v>
      </c>
      <c r="Q28" s="288">
        <v>42811</v>
      </c>
      <c r="R28" s="561"/>
    </row>
    <row r="29" spans="1:18" ht="20.25" customHeight="1">
      <c r="A29" s="276">
        <f t="shared" si="5"/>
        <v>24</v>
      </c>
      <c r="B29" s="248" t="s">
        <v>766</v>
      </c>
      <c r="C29" s="243">
        <f t="shared" si="7"/>
        <v>8896800</v>
      </c>
      <c r="D29" s="243">
        <v>0</v>
      </c>
      <c r="E29" s="277">
        <f t="shared" si="0"/>
        <v>286192.15061882406</v>
      </c>
      <c r="F29" s="243">
        <f t="shared" si="1"/>
        <v>9182992.1506188232</v>
      </c>
      <c r="G29" s="284">
        <v>605</v>
      </c>
      <c r="H29" s="277">
        <f t="shared" si="8"/>
        <v>15178.499422510451</v>
      </c>
      <c r="I29" s="278">
        <v>17391</v>
      </c>
      <c r="J29" s="279"/>
      <c r="K29" s="291" t="s">
        <v>365</v>
      </c>
      <c r="L29" s="280">
        <f t="shared" si="3"/>
        <v>42809</v>
      </c>
      <c r="M29" s="289">
        <v>200</v>
      </c>
      <c r="N29" s="290">
        <v>44484</v>
      </c>
      <c r="O29" s="287">
        <f t="shared" si="4"/>
        <v>8896800</v>
      </c>
      <c r="P29" s="291" t="s">
        <v>550</v>
      </c>
      <c r="Q29" s="288">
        <v>42811</v>
      </c>
      <c r="R29" s="561"/>
    </row>
    <row r="30" spans="1:18" ht="20.25" customHeight="1">
      <c r="A30" s="276">
        <f t="shared" si="5"/>
        <v>25</v>
      </c>
      <c r="B30" s="248" t="s">
        <v>767</v>
      </c>
      <c r="C30" s="243">
        <f t="shared" si="7"/>
        <v>307980</v>
      </c>
      <c r="D30" s="243">
        <v>0</v>
      </c>
      <c r="E30" s="277">
        <f t="shared" si="0"/>
        <v>11826.121926397689</v>
      </c>
      <c r="F30" s="243">
        <f t="shared" si="1"/>
        <v>319806.12192639767</v>
      </c>
      <c r="G30" s="284">
        <v>25</v>
      </c>
      <c r="H30" s="277">
        <f t="shared" si="8"/>
        <v>12792.244877055906</v>
      </c>
      <c r="I30" s="278">
        <v>21551</v>
      </c>
      <c r="J30" s="279"/>
      <c r="K30" s="247" t="s">
        <v>337</v>
      </c>
      <c r="L30" s="280">
        <f t="shared" si="3"/>
        <v>42809</v>
      </c>
      <c r="M30" s="289">
        <f>195-SUM(M31:M34)</f>
        <v>15</v>
      </c>
      <c r="N30" s="290">
        <v>20532</v>
      </c>
      <c r="O30" s="287">
        <f t="shared" si="4"/>
        <v>307980</v>
      </c>
      <c r="P30" s="291" t="s">
        <v>550</v>
      </c>
      <c r="Q30" s="288">
        <v>42811</v>
      </c>
      <c r="R30" s="561"/>
    </row>
    <row r="31" spans="1:18" ht="20.25" customHeight="1">
      <c r="A31" s="276">
        <f t="shared" si="5"/>
        <v>26</v>
      </c>
      <c r="B31" s="248" t="s">
        <v>504</v>
      </c>
      <c r="C31" s="243">
        <f t="shared" si="7"/>
        <v>615960</v>
      </c>
      <c r="D31" s="243">
        <v>58310000</v>
      </c>
      <c r="E31" s="277">
        <f t="shared" si="0"/>
        <v>804176.29099504277</v>
      </c>
      <c r="F31" s="243">
        <f t="shared" si="1"/>
        <v>59730136.290995046</v>
      </c>
      <c r="G31" s="284">
        <v>1700</v>
      </c>
      <c r="H31" s="277">
        <f t="shared" si="8"/>
        <v>35135.374288820618</v>
      </c>
      <c r="I31" s="278">
        <v>35000</v>
      </c>
      <c r="J31" s="279"/>
      <c r="K31" s="247" t="s">
        <v>337</v>
      </c>
      <c r="L31" s="280">
        <f t="shared" si="3"/>
        <v>42812</v>
      </c>
      <c r="M31" s="289">
        <v>30</v>
      </c>
      <c r="N31" s="290">
        <v>20532</v>
      </c>
      <c r="O31" s="287">
        <f t="shared" si="4"/>
        <v>615960</v>
      </c>
      <c r="P31" s="291" t="s">
        <v>552</v>
      </c>
      <c r="Q31" s="288">
        <v>42814</v>
      </c>
      <c r="R31" s="561"/>
    </row>
    <row r="32" spans="1:18" ht="20.25" customHeight="1">
      <c r="A32" s="276">
        <f t="shared" si="5"/>
        <v>27</v>
      </c>
      <c r="B32" s="248" t="s">
        <v>505</v>
      </c>
      <c r="C32" s="243">
        <f t="shared" si="7"/>
        <v>615960</v>
      </c>
      <c r="D32" s="243">
        <v>47775000</v>
      </c>
      <c r="E32" s="277">
        <f t="shared" si="0"/>
        <v>709567.31558386132</v>
      </c>
      <c r="F32" s="243">
        <f t="shared" si="1"/>
        <v>49100527.315583862</v>
      </c>
      <c r="G32" s="284">
        <v>1500</v>
      </c>
      <c r="H32" s="277">
        <f t="shared" si="8"/>
        <v>32733.684877055908</v>
      </c>
      <c r="I32" s="278">
        <v>32500</v>
      </c>
      <c r="J32" s="279"/>
      <c r="K32" s="247" t="s">
        <v>337</v>
      </c>
      <c r="L32" s="280">
        <f t="shared" si="3"/>
        <v>42812</v>
      </c>
      <c r="M32" s="289">
        <v>30</v>
      </c>
      <c r="N32" s="290">
        <v>20532</v>
      </c>
      <c r="O32" s="287">
        <f t="shared" si="4"/>
        <v>615960</v>
      </c>
      <c r="P32" s="291" t="s">
        <v>552</v>
      </c>
      <c r="Q32" s="288">
        <v>42814</v>
      </c>
      <c r="R32" s="561"/>
    </row>
    <row r="33" spans="1:18" ht="20.25" customHeight="1">
      <c r="A33" s="276">
        <f t="shared" si="5"/>
        <v>28</v>
      </c>
      <c r="B33" s="248" t="s">
        <v>596</v>
      </c>
      <c r="C33" s="243">
        <f t="shared" si="7"/>
        <v>1847880</v>
      </c>
      <c r="D33" s="243">
        <v>0</v>
      </c>
      <c r="E33" s="277">
        <f t="shared" si="0"/>
        <v>118261.21926397688</v>
      </c>
      <c r="F33" s="243">
        <f t="shared" si="1"/>
        <v>1966141.2192639769</v>
      </c>
      <c r="G33" s="284">
        <v>250</v>
      </c>
      <c r="H33" s="277">
        <f t="shared" si="8"/>
        <v>7864.5648770559073</v>
      </c>
      <c r="I33" s="278">
        <v>7800</v>
      </c>
      <c r="J33" s="279"/>
      <c r="K33" s="247" t="s">
        <v>337</v>
      </c>
      <c r="L33" s="280">
        <f t="shared" si="3"/>
        <v>42812</v>
      </c>
      <c r="M33" s="289">
        <v>90</v>
      </c>
      <c r="N33" s="290">
        <v>20532</v>
      </c>
      <c r="O33" s="287">
        <f t="shared" si="4"/>
        <v>1847880</v>
      </c>
      <c r="P33" s="291" t="s">
        <v>553</v>
      </c>
      <c r="Q33" s="288">
        <v>42814</v>
      </c>
      <c r="R33" s="561"/>
    </row>
    <row r="34" spans="1:18" ht="20.25" customHeight="1">
      <c r="A34" s="276">
        <f t="shared" si="5"/>
        <v>29</v>
      </c>
      <c r="B34" s="248" t="s">
        <v>597</v>
      </c>
      <c r="C34" s="243">
        <f t="shared" si="7"/>
        <v>615960</v>
      </c>
      <c r="D34" s="243">
        <v>0</v>
      </c>
      <c r="E34" s="277">
        <f t="shared" si="0"/>
        <v>23652.243852795378</v>
      </c>
      <c r="F34" s="243">
        <f t="shared" si="1"/>
        <v>639612.24385279533</v>
      </c>
      <c r="G34" s="284">
        <v>50</v>
      </c>
      <c r="H34" s="277">
        <f t="shared" si="8"/>
        <v>12792.244877055906</v>
      </c>
      <c r="I34" s="278">
        <v>13500</v>
      </c>
      <c r="J34" s="279"/>
      <c r="K34" s="247" t="s">
        <v>337</v>
      </c>
      <c r="L34" s="280">
        <f t="shared" si="3"/>
        <v>42812</v>
      </c>
      <c r="M34" s="289">
        <v>30</v>
      </c>
      <c r="N34" s="290">
        <v>20532</v>
      </c>
      <c r="O34" s="287">
        <f t="shared" si="4"/>
        <v>615960</v>
      </c>
      <c r="P34" s="291" t="s">
        <v>553</v>
      </c>
      <c r="Q34" s="288">
        <v>42814</v>
      </c>
      <c r="R34" s="561"/>
    </row>
    <row r="35" spans="1:18" ht="20.25" customHeight="1">
      <c r="A35" s="276">
        <f t="shared" si="5"/>
        <v>30</v>
      </c>
      <c r="B35" s="248" t="s">
        <v>598</v>
      </c>
      <c r="C35" s="243">
        <f t="shared" ref="C35:C42" si="9">O35</f>
        <v>6959979</v>
      </c>
      <c r="D35" s="243">
        <v>0</v>
      </c>
      <c r="E35" s="277">
        <f t="shared" si="0"/>
        <v>170296.15574012671</v>
      </c>
      <c r="F35" s="243">
        <f t="shared" si="1"/>
        <v>7130275.155740127</v>
      </c>
      <c r="G35" s="284">
        <v>360</v>
      </c>
      <c r="H35" s="277">
        <f t="shared" ref="H35:H42" si="10">IF(G35&lt;&gt;"",F35/G35,"")</f>
        <v>19806.319877055907</v>
      </c>
      <c r="I35" s="278">
        <v>22000</v>
      </c>
      <c r="J35" s="279"/>
      <c r="K35" s="247" t="s">
        <v>369</v>
      </c>
      <c r="L35" s="280">
        <f t="shared" si="3"/>
        <v>42812</v>
      </c>
      <c r="M35" s="243">
        <v>251</v>
      </c>
      <c r="N35" s="181">
        <v>27729</v>
      </c>
      <c r="O35" s="287">
        <f t="shared" si="4"/>
        <v>6959979</v>
      </c>
      <c r="P35" s="291" t="s">
        <v>553</v>
      </c>
      <c r="Q35" s="288">
        <v>42814</v>
      </c>
      <c r="R35" s="561"/>
    </row>
    <row r="36" spans="1:18" ht="20.25" customHeight="1">
      <c r="A36" s="276">
        <f t="shared" si="5"/>
        <v>31</v>
      </c>
      <c r="B36" s="248" t="s">
        <v>599</v>
      </c>
      <c r="C36" s="243">
        <f t="shared" si="9"/>
        <v>4652897</v>
      </c>
      <c r="D36" s="243">
        <v>0</v>
      </c>
      <c r="E36" s="277">
        <f t="shared" si="0"/>
        <v>307479.17008633987</v>
      </c>
      <c r="F36" s="243">
        <f t="shared" si="1"/>
        <v>4960376.17008634</v>
      </c>
      <c r="G36" s="284">
        <v>650</v>
      </c>
      <c r="H36" s="277">
        <f t="shared" si="10"/>
        <v>7631.3479539789851</v>
      </c>
      <c r="I36" s="278">
        <v>8000</v>
      </c>
      <c r="J36" s="279"/>
      <c r="K36" s="247" t="s">
        <v>402</v>
      </c>
      <c r="L36" s="280">
        <f t="shared" si="3"/>
        <v>42812</v>
      </c>
      <c r="M36" s="289">
        <v>166</v>
      </c>
      <c r="N36" s="290">
        <v>28029.5</v>
      </c>
      <c r="O36" s="287">
        <f t="shared" si="4"/>
        <v>4652897</v>
      </c>
      <c r="P36" s="291" t="s">
        <v>553</v>
      </c>
      <c r="Q36" s="288">
        <v>42814</v>
      </c>
      <c r="R36" s="561"/>
    </row>
    <row r="37" spans="1:18" ht="20.25" customHeight="1">
      <c r="A37" s="276">
        <f t="shared" si="5"/>
        <v>32</v>
      </c>
      <c r="B37" s="248" t="s">
        <v>588</v>
      </c>
      <c r="C37" s="243">
        <f t="shared" si="9"/>
        <v>879720</v>
      </c>
      <c r="D37" s="243">
        <v>4334011</v>
      </c>
      <c r="E37" s="277">
        <f t="shared" si="0"/>
        <v>146643.91188733134</v>
      </c>
      <c r="F37" s="243">
        <f t="shared" si="1"/>
        <v>5360374.9118873309</v>
      </c>
      <c r="G37" s="284">
        <v>310</v>
      </c>
      <c r="H37" s="277">
        <f t="shared" si="10"/>
        <v>17291.5319738301</v>
      </c>
      <c r="I37" s="278">
        <v>16900</v>
      </c>
      <c r="J37" s="279"/>
      <c r="K37" s="249" t="s">
        <v>346</v>
      </c>
      <c r="L37" s="280">
        <f t="shared" si="3"/>
        <v>42816</v>
      </c>
      <c r="M37" s="289">
        <f>130-SUM(M38:M42)</f>
        <v>60</v>
      </c>
      <c r="N37" s="290">
        <v>14662</v>
      </c>
      <c r="O37" s="287">
        <f t="shared" si="4"/>
        <v>879720</v>
      </c>
      <c r="P37" s="291" t="s">
        <v>554</v>
      </c>
      <c r="Q37" s="288">
        <v>42818</v>
      </c>
      <c r="R37" s="561"/>
    </row>
    <row r="38" spans="1:18" ht="20.25" customHeight="1">
      <c r="A38" s="276">
        <f t="shared" si="5"/>
        <v>33</v>
      </c>
      <c r="B38" s="248" t="s">
        <v>774</v>
      </c>
      <c r="C38" s="243">
        <f t="shared" si="9"/>
        <v>293240</v>
      </c>
      <c r="D38" s="243">
        <v>14700000</v>
      </c>
      <c r="E38" s="277">
        <f t="shared" si="0"/>
        <v>236522.43852795375</v>
      </c>
      <c r="F38" s="243">
        <f t="shared" si="1"/>
        <v>15229762.438527953</v>
      </c>
      <c r="G38" s="284">
        <v>500</v>
      </c>
      <c r="H38" s="277">
        <f t="shared" si="10"/>
        <v>30459.524877055905</v>
      </c>
      <c r="I38" s="278">
        <v>30000</v>
      </c>
      <c r="J38" s="279"/>
      <c r="K38" s="249" t="s">
        <v>346</v>
      </c>
      <c r="L38" s="280">
        <f t="shared" si="3"/>
        <v>42817</v>
      </c>
      <c r="M38" s="289">
        <v>20</v>
      </c>
      <c r="N38" s="290">
        <v>14662</v>
      </c>
      <c r="O38" s="287">
        <f t="shared" si="4"/>
        <v>293240</v>
      </c>
      <c r="P38" s="291" t="s">
        <v>773</v>
      </c>
      <c r="Q38" s="288">
        <v>42819</v>
      </c>
      <c r="R38" s="561"/>
    </row>
    <row r="39" spans="1:18" ht="20.25" customHeight="1">
      <c r="A39" s="276">
        <f t="shared" si="5"/>
        <v>34</v>
      </c>
      <c r="B39" s="248" t="s">
        <v>795</v>
      </c>
      <c r="C39" s="243">
        <f t="shared" si="9"/>
        <v>117296</v>
      </c>
      <c r="D39" s="243">
        <v>6178044</v>
      </c>
      <c r="E39" s="277">
        <f t="shared" si="0"/>
        <v>41154.904303863957</v>
      </c>
      <c r="F39" s="243">
        <f t="shared" si="1"/>
        <v>6336494.9043038636</v>
      </c>
      <c r="G39" s="284">
        <v>87</v>
      </c>
      <c r="H39" s="277">
        <f t="shared" si="10"/>
        <v>72833.274762113375</v>
      </c>
      <c r="I39" s="278">
        <v>72461</v>
      </c>
      <c r="J39" s="279"/>
      <c r="K39" s="249" t="s">
        <v>346</v>
      </c>
      <c r="L39" s="280">
        <f t="shared" si="3"/>
        <v>42823</v>
      </c>
      <c r="M39" s="289">
        <v>8</v>
      </c>
      <c r="N39" s="290">
        <v>14662</v>
      </c>
      <c r="O39" s="287">
        <f t="shared" si="4"/>
        <v>117296</v>
      </c>
      <c r="P39" s="291" t="s">
        <v>789</v>
      </c>
      <c r="Q39" s="288">
        <v>42825</v>
      </c>
      <c r="R39" s="561"/>
    </row>
    <row r="40" spans="1:18" ht="20.25" customHeight="1">
      <c r="A40" s="276">
        <f t="shared" si="5"/>
        <v>35</v>
      </c>
      <c r="B40" s="248" t="s">
        <v>645</v>
      </c>
      <c r="C40" s="243">
        <f t="shared" si="9"/>
        <v>117296</v>
      </c>
      <c r="D40" s="243">
        <v>4955048</v>
      </c>
      <c r="E40" s="277">
        <f t="shared" si="0"/>
        <v>17975.705328124488</v>
      </c>
      <c r="F40" s="243">
        <f t="shared" si="1"/>
        <v>5090319.7053281246</v>
      </c>
      <c r="G40" s="284">
        <v>38</v>
      </c>
      <c r="H40" s="277">
        <f t="shared" si="10"/>
        <v>133955.78171916117</v>
      </c>
      <c r="I40" s="278">
        <v>133057</v>
      </c>
      <c r="J40" s="279"/>
      <c r="K40" s="249" t="s">
        <v>346</v>
      </c>
      <c r="L40" s="280">
        <f t="shared" si="3"/>
        <v>42823</v>
      </c>
      <c r="M40" s="289">
        <v>8</v>
      </c>
      <c r="N40" s="290">
        <v>14662</v>
      </c>
      <c r="O40" s="287">
        <f t="shared" si="4"/>
        <v>117296</v>
      </c>
      <c r="P40" s="291" t="s">
        <v>789</v>
      </c>
      <c r="Q40" s="288">
        <v>42825</v>
      </c>
      <c r="R40" s="561"/>
    </row>
    <row r="41" spans="1:18" ht="20.25" customHeight="1">
      <c r="A41" s="276">
        <f t="shared" si="5"/>
        <v>36</v>
      </c>
      <c r="B41" s="248" t="s">
        <v>700</v>
      </c>
      <c r="C41" s="243">
        <f t="shared" si="9"/>
        <v>175944</v>
      </c>
      <c r="D41" s="243">
        <v>8019000</v>
      </c>
      <c r="E41" s="277">
        <f t="shared" si="0"/>
        <v>234157.21414267423</v>
      </c>
      <c r="F41" s="243">
        <f t="shared" si="1"/>
        <v>8429101.2141426746</v>
      </c>
      <c r="G41" s="284">
        <v>495</v>
      </c>
      <c r="H41" s="277">
        <f t="shared" si="10"/>
        <v>17028.487301298333</v>
      </c>
      <c r="I41" s="278">
        <v>16590</v>
      </c>
      <c r="J41" s="279"/>
      <c r="K41" s="249" t="s">
        <v>346</v>
      </c>
      <c r="L41" s="280">
        <f t="shared" si="3"/>
        <v>42823</v>
      </c>
      <c r="M41" s="289">
        <v>12</v>
      </c>
      <c r="N41" s="290">
        <v>14662</v>
      </c>
      <c r="O41" s="287">
        <f t="shared" si="4"/>
        <v>175944</v>
      </c>
      <c r="P41" s="291" t="s">
        <v>789</v>
      </c>
      <c r="Q41" s="288">
        <v>42825</v>
      </c>
      <c r="R41" s="561"/>
    </row>
    <row r="42" spans="1:18" ht="20.25" customHeight="1">
      <c r="A42" s="276">
        <f t="shared" si="5"/>
        <v>37</v>
      </c>
      <c r="B42" s="248" t="s">
        <v>703</v>
      </c>
      <c r="C42" s="243">
        <f t="shared" si="9"/>
        <v>322564</v>
      </c>
      <c r="D42" s="243">
        <v>15019000</v>
      </c>
      <c r="E42" s="277">
        <f t="shared" si="0"/>
        <v>108800.32172285873</v>
      </c>
      <c r="F42" s="243">
        <f t="shared" si="1"/>
        <v>15450364.32172286</v>
      </c>
      <c r="G42" s="284">
        <v>230</v>
      </c>
      <c r="H42" s="277">
        <f t="shared" si="10"/>
        <v>67175.497050968959</v>
      </c>
      <c r="I42" s="278">
        <v>66812</v>
      </c>
      <c r="J42" s="279"/>
      <c r="K42" s="249" t="s">
        <v>346</v>
      </c>
      <c r="L42" s="280">
        <f t="shared" si="3"/>
        <v>42823</v>
      </c>
      <c r="M42" s="289">
        <v>22</v>
      </c>
      <c r="N42" s="290">
        <v>14662</v>
      </c>
      <c r="O42" s="287">
        <f t="shared" si="4"/>
        <v>322564</v>
      </c>
      <c r="P42" s="291" t="s">
        <v>789</v>
      </c>
      <c r="Q42" s="288">
        <v>42825</v>
      </c>
      <c r="R42" s="561"/>
    </row>
    <row r="43" spans="1:18" ht="20.25" customHeight="1">
      <c r="A43" s="276"/>
      <c r="B43" s="248"/>
      <c r="C43" s="243"/>
      <c r="D43" s="243"/>
      <c r="E43" s="277"/>
      <c r="F43" s="243"/>
      <c r="G43" s="284"/>
      <c r="H43" s="277"/>
      <c r="I43" s="278"/>
      <c r="J43" s="278"/>
      <c r="K43" s="292"/>
      <c r="L43" s="288"/>
      <c r="M43" s="289"/>
      <c r="N43" s="290"/>
      <c r="O43" s="290"/>
      <c r="P43" s="292"/>
      <c r="Q43" s="288"/>
    </row>
    <row r="44" spans="1:18" ht="20.25" customHeight="1">
      <c r="A44" s="293"/>
      <c r="B44" s="294" t="s">
        <v>221</v>
      </c>
      <c r="C44" s="295">
        <f>SUM(C6:C43)</f>
        <v>39428814</v>
      </c>
      <c r="D44" s="295">
        <f>SUM(D6:D43)</f>
        <v>504106727</v>
      </c>
      <c r="E44" s="295">
        <v>14409420</v>
      </c>
      <c r="F44" s="295">
        <f>ROUND(SUM(F6:F43),0)</f>
        <v>557944961</v>
      </c>
      <c r="G44" s="295">
        <f>ROUND(SUM(G6:G43),0)</f>
        <v>30461</v>
      </c>
      <c r="H44" s="295"/>
      <c r="I44" s="262"/>
      <c r="J44" s="262"/>
      <c r="K44" s="296"/>
      <c r="L44" s="297"/>
      <c r="M44" s="298">
        <f>SUM(M6:M43)</f>
        <v>1560</v>
      </c>
      <c r="N44" s="199"/>
      <c r="O44" s="199">
        <f>SUM(O6:O43)</f>
        <v>39428814</v>
      </c>
      <c r="P44" s="296"/>
      <c r="Q44" s="297"/>
    </row>
    <row r="45" spans="1:18" ht="15">
      <c r="A45" s="299"/>
      <c r="B45" s="300"/>
      <c r="C45" s="263"/>
      <c r="D45" s="263"/>
      <c r="E45" s="263"/>
      <c r="F45" s="263"/>
      <c r="G45" s="263"/>
      <c r="H45" s="263"/>
      <c r="I45" s="262"/>
      <c r="J45" s="262"/>
      <c r="K45" s="301"/>
      <c r="L45" s="302"/>
      <c r="M45" s="303"/>
      <c r="N45" s="269"/>
      <c r="O45" s="304"/>
      <c r="P45" s="301"/>
      <c r="Q45" s="302"/>
    </row>
    <row r="46" spans="1:18" ht="15">
      <c r="A46" s="257"/>
      <c r="B46" s="257"/>
      <c r="C46" s="267"/>
      <c r="D46" s="267"/>
      <c r="E46" s="267"/>
      <c r="F46" s="305"/>
      <c r="G46" s="263"/>
      <c r="H46" s="257"/>
      <c r="I46" s="258"/>
      <c r="J46" s="258"/>
      <c r="K46" s="301"/>
      <c r="L46" s="302"/>
      <c r="M46" s="303"/>
      <c r="N46" s="269"/>
      <c r="O46" s="304"/>
      <c r="P46" s="301"/>
      <c r="Q46" s="302"/>
    </row>
    <row r="47" spans="1:18" ht="18" hidden="1" customHeight="1">
      <c r="A47" s="122" t="str">
        <f>TH!$A$1</f>
        <v>Đơn vị: CÔNG TY TNHH MỘT THÀNH VIÊN KHỞI NGUYÊN AN</v>
      </c>
      <c r="B47" s="261"/>
      <c r="C47" s="181"/>
      <c r="D47" s="181"/>
      <c r="E47" s="181"/>
      <c r="F47" s="181"/>
      <c r="G47" s="124"/>
      <c r="H47" s="181"/>
      <c r="I47" s="262"/>
      <c r="J47" s="262"/>
      <c r="K47" s="301"/>
      <c r="L47" s="302"/>
      <c r="M47" s="303"/>
      <c r="N47" s="269"/>
      <c r="O47" s="304"/>
      <c r="P47" s="301"/>
      <c r="Q47" s="302"/>
    </row>
    <row r="48" spans="1:18" ht="18.75" customHeight="1">
      <c r="A48" s="263" t="s">
        <v>453</v>
      </c>
      <c r="B48" s="263"/>
      <c r="C48" s="263"/>
      <c r="D48" s="263"/>
      <c r="E48" s="263"/>
      <c r="F48" s="263"/>
      <c r="G48" s="263"/>
      <c r="H48" s="263"/>
      <c r="I48" s="262"/>
      <c r="J48" s="262"/>
      <c r="K48" s="301"/>
      <c r="L48" s="302"/>
      <c r="M48" s="303"/>
      <c r="N48" s="269"/>
      <c r="O48" s="304"/>
      <c r="P48" s="301"/>
      <c r="Q48" s="302"/>
    </row>
    <row r="49" spans="1:17" ht="12.75" customHeight="1">
      <c r="A49" s="264"/>
      <c r="B49" s="265"/>
      <c r="C49" s="265"/>
      <c r="D49" s="265"/>
      <c r="E49" s="265"/>
      <c r="F49" s="265"/>
      <c r="G49" s="266"/>
      <c r="H49" s="265"/>
      <c r="I49" s="262"/>
      <c r="J49" s="262"/>
      <c r="K49" s="301"/>
      <c r="L49" s="302"/>
      <c r="M49" s="303"/>
      <c r="N49" s="269"/>
      <c r="O49" s="304"/>
      <c r="P49" s="301"/>
      <c r="Q49" s="302"/>
    </row>
    <row r="50" spans="1:17" ht="39.75" customHeight="1">
      <c r="A50" s="270" t="s">
        <v>33</v>
      </c>
      <c r="B50" s="271" t="s">
        <v>214</v>
      </c>
      <c r="C50" s="272" t="s">
        <v>217</v>
      </c>
      <c r="D50" s="272" t="s">
        <v>333</v>
      </c>
      <c r="E50" s="272" t="s">
        <v>260</v>
      </c>
      <c r="F50" s="272" t="s">
        <v>218</v>
      </c>
      <c r="G50" s="273" t="s">
        <v>215</v>
      </c>
      <c r="H50" s="272" t="s">
        <v>219</v>
      </c>
      <c r="I50" s="274"/>
      <c r="J50" s="274"/>
      <c r="K50" s="271" t="s">
        <v>214</v>
      </c>
      <c r="L50" s="272" t="s">
        <v>208</v>
      </c>
      <c r="M50" s="275" t="s">
        <v>175</v>
      </c>
      <c r="N50" s="272" t="s">
        <v>216</v>
      </c>
      <c r="O50" s="272" t="s">
        <v>220</v>
      </c>
      <c r="P50" s="271" t="s">
        <v>214</v>
      </c>
      <c r="Q50" s="272" t="s">
        <v>208</v>
      </c>
    </row>
    <row r="51" spans="1:17" ht="21" customHeight="1">
      <c r="A51" s="240">
        <f>IF(B51&lt;&gt;"",ROW()-50,"")</f>
        <v>1</v>
      </c>
      <c r="B51" s="250" t="s">
        <v>1005</v>
      </c>
      <c r="C51" s="308">
        <f>O51</f>
        <v>41580</v>
      </c>
      <c r="D51" s="308">
        <v>3573960</v>
      </c>
      <c r="E51" s="284">
        <f t="shared" ref="E51:E82" si="11">IF($G$149&lt;&gt;0,E$149/$G$149*$G51,0)</f>
        <v>191321.07037074864</v>
      </c>
      <c r="F51" s="308">
        <f t="shared" ref="F51:F82" si="12">ROUND(SUM(C51:E51),0)</f>
        <v>3806861</v>
      </c>
      <c r="G51" s="284">
        <v>520</v>
      </c>
      <c r="H51" s="492">
        <f>IF(G51&lt;&gt;"",F51/G51,"")</f>
        <v>7320.8865384615383</v>
      </c>
      <c r="I51" s="278">
        <v>7013</v>
      </c>
      <c r="J51" s="278"/>
      <c r="K51" s="247" t="s">
        <v>354</v>
      </c>
      <c r="L51" s="280">
        <f>Q51-2</f>
        <v>42827</v>
      </c>
      <c r="M51" s="281">
        <v>3</v>
      </c>
      <c r="N51" s="282">
        <v>13860</v>
      </c>
      <c r="O51" s="243">
        <f>M51*N51</f>
        <v>41580</v>
      </c>
      <c r="P51" s="283" t="s">
        <v>1094</v>
      </c>
      <c r="Q51" s="280">
        <v>42829</v>
      </c>
    </row>
    <row r="52" spans="1:17" ht="21" customHeight="1">
      <c r="A52" s="493">
        <f>IF(B52&lt;&gt;"",A51+1,"")</f>
        <v>2</v>
      </c>
      <c r="B52" s="249" t="s">
        <v>1006</v>
      </c>
      <c r="C52" s="308">
        <f t="shared" ref="C52:C115" si="13">O52</f>
        <v>55440</v>
      </c>
      <c r="D52" s="492">
        <v>4310775</v>
      </c>
      <c r="E52" s="492">
        <f t="shared" si="11"/>
        <v>93820.909508732511</v>
      </c>
      <c r="F52" s="308">
        <f t="shared" si="12"/>
        <v>4460036</v>
      </c>
      <c r="G52" s="492">
        <v>255</v>
      </c>
      <c r="H52" s="492">
        <f>IF(G52&lt;&gt;"",F52/G52,"")</f>
        <v>17490.337254901962</v>
      </c>
      <c r="I52" s="278">
        <v>17250</v>
      </c>
      <c r="J52" s="278"/>
      <c r="K52" s="247" t="s">
        <v>354</v>
      </c>
      <c r="L52" s="280">
        <f t="shared" ref="L52:L103" si="14">Q52-2</f>
        <v>42827</v>
      </c>
      <c r="M52" s="281">
        <v>4</v>
      </c>
      <c r="N52" s="307">
        <v>13860</v>
      </c>
      <c r="O52" s="243">
        <f>M52*N52</f>
        <v>55440</v>
      </c>
      <c r="P52" s="285" t="s">
        <v>1094</v>
      </c>
      <c r="Q52" s="288">
        <v>42829</v>
      </c>
    </row>
    <row r="53" spans="1:17" ht="21" customHeight="1">
      <c r="A53" s="493">
        <f t="shared" ref="A53:A116" si="15">IF(B53&lt;&gt;"",A52+1,"")</f>
        <v>3</v>
      </c>
      <c r="B53" s="249" t="s">
        <v>1007</v>
      </c>
      <c r="C53" s="308">
        <f t="shared" si="13"/>
        <v>69300</v>
      </c>
      <c r="D53" s="492">
        <v>4711800</v>
      </c>
      <c r="E53" s="492">
        <f t="shared" si="11"/>
        <v>220755.08119701766</v>
      </c>
      <c r="F53" s="308">
        <f t="shared" si="12"/>
        <v>5001855</v>
      </c>
      <c r="G53" s="492">
        <v>600</v>
      </c>
      <c r="H53" s="492">
        <f t="shared" ref="H53:H139" si="16">IF(G53&lt;&gt;"",F53/G53,"")</f>
        <v>8336.4249999999993</v>
      </c>
      <c r="I53" s="278">
        <v>8013</v>
      </c>
      <c r="J53" s="278"/>
      <c r="K53" s="247" t="s">
        <v>354</v>
      </c>
      <c r="L53" s="280">
        <f t="shared" si="14"/>
        <v>42827</v>
      </c>
      <c r="M53" s="281">
        <v>5</v>
      </c>
      <c r="N53" s="307">
        <v>13860</v>
      </c>
      <c r="O53" s="287">
        <f>M53*N53</f>
        <v>69300</v>
      </c>
      <c r="P53" s="285" t="s">
        <v>1094</v>
      </c>
      <c r="Q53" s="288">
        <v>42829</v>
      </c>
    </row>
    <row r="54" spans="1:17" ht="21" customHeight="1">
      <c r="A54" s="493">
        <f t="shared" si="15"/>
        <v>4</v>
      </c>
      <c r="B54" s="249" t="s">
        <v>1008</v>
      </c>
      <c r="C54" s="308">
        <f t="shared" si="13"/>
        <v>831600</v>
      </c>
      <c r="D54" s="308">
        <v>42806400</v>
      </c>
      <c r="E54" s="284">
        <f t="shared" si="11"/>
        <v>1766040.6495761413</v>
      </c>
      <c r="F54" s="308">
        <f t="shared" si="12"/>
        <v>45404041</v>
      </c>
      <c r="G54" s="284">
        <v>4800</v>
      </c>
      <c r="H54" s="492">
        <f t="shared" si="16"/>
        <v>9459.175208333334</v>
      </c>
      <c r="I54" s="278">
        <v>9100</v>
      </c>
      <c r="J54" s="278"/>
      <c r="K54" s="249" t="s">
        <v>354</v>
      </c>
      <c r="L54" s="280">
        <f t="shared" si="14"/>
        <v>42830</v>
      </c>
      <c r="M54" s="281">
        <v>60</v>
      </c>
      <c r="N54" s="309">
        <v>13860</v>
      </c>
      <c r="O54" s="287">
        <f>M54*N54</f>
        <v>831600</v>
      </c>
      <c r="P54" s="285" t="s">
        <v>1096</v>
      </c>
      <c r="Q54" s="288">
        <v>42832</v>
      </c>
    </row>
    <row r="55" spans="1:17" ht="21" customHeight="1">
      <c r="A55" s="493">
        <f t="shared" si="15"/>
        <v>5</v>
      </c>
      <c r="B55" s="249" t="s">
        <v>500</v>
      </c>
      <c r="C55" s="308">
        <f t="shared" si="13"/>
        <v>69300</v>
      </c>
      <c r="D55" s="308">
        <v>2313600</v>
      </c>
      <c r="E55" s="284">
        <f t="shared" si="11"/>
        <v>110377.54059850883</v>
      </c>
      <c r="F55" s="308">
        <f t="shared" si="12"/>
        <v>2493278</v>
      </c>
      <c r="G55" s="284">
        <v>300</v>
      </c>
      <c r="H55" s="492">
        <f t="shared" si="16"/>
        <v>8310.9266666666663</v>
      </c>
      <c r="I55" s="278">
        <v>8030</v>
      </c>
      <c r="J55" s="278"/>
      <c r="K55" s="247" t="s">
        <v>354</v>
      </c>
      <c r="L55" s="280">
        <f t="shared" si="14"/>
        <v>42830</v>
      </c>
      <c r="M55" s="281">
        <v>5</v>
      </c>
      <c r="N55" s="309">
        <v>13860</v>
      </c>
      <c r="O55" s="287">
        <f>M55*N55</f>
        <v>69300</v>
      </c>
      <c r="P55" s="285" t="s">
        <v>1097</v>
      </c>
      <c r="Q55" s="288">
        <v>42832</v>
      </c>
    </row>
    <row r="56" spans="1:17" ht="21" customHeight="1">
      <c r="A56" s="493">
        <f t="shared" si="15"/>
        <v>6</v>
      </c>
      <c r="B56" s="249" t="s">
        <v>1005</v>
      </c>
      <c r="C56" s="308">
        <f t="shared" si="13"/>
        <v>55440</v>
      </c>
      <c r="D56" s="308">
        <v>4261260</v>
      </c>
      <c r="E56" s="284">
        <f t="shared" si="11"/>
        <v>228113.58390358492</v>
      </c>
      <c r="F56" s="308">
        <f t="shared" si="12"/>
        <v>4544814</v>
      </c>
      <c r="G56" s="284">
        <v>620</v>
      </c>
      <c r="H56" s="492">
        <f t="shared" si="16"/>
        <v>7330.3451612903227</v>
      </c>
      <c r="I56" s="278">
        <v>7013</v>
      </c>
      <c r="J56" s="278"/>
      <c r="K56" s="249" t="s">
        <v>354</v>
      </c>
      <c r="L56" s="280">
        <f t="shared" si="14"/>
        <v>42831</v>
      </c>
      <c r="M56" s="281">
        <v>4</v>
      </c>
      <c r="N56" s="309">
        <v>13860</v>
      </c>
      <c r="O56" s="287">
        <f t="shared" ref="O56:O67" si="17">M56*N56</f>
        <v>55440</v>
      </c>
      <c r="P56" s="285" t="s">
        <v>1098</v>
      </c>
      <c r="Q56" s="288">
        <v>42833</v>
      </c>
    </row>
    <row r="57" spans="1:17" ht="21" customHeight="1">
      <c r="A57" s="493">
        <f t="shared" si="15"/>
        <v>7</v>
      </c>
      <c r="B57" s="249" t="s">
        <v>1010</v>
      </c>
      <c r="C57" s="308">
        <f t="shared" si="13"/>
        <v>97020</v>
      </c>
      <c r="D57" s="308">
        <v>6552480</v>
      </c>
      <c r="E57" s="284">
        <f t="shared" si="11"/>
        <v>176604.06495761414</v>
      </c>
      <c r="F57" s="308">
        <f t="shared" si="12"/>
        <v>6826104</v>
      </c>
      <c r="G57" s="284">
        <v>480</v>
      </c>
      <c r="H57" s="492">
        <f t="shared" si="16"/>
        <v>14221.05</v>
      </c>
      <c r="I57" s="278">
        <v>13930</v>
      </c>
      <c r="J57" s="278"/>
      <c r="K57" s="249" t="s">
        <v>354</v>
      </c>
      <c r="L57" s="280">
        <f t="shared" si="14"/>
        <v>42831</v>
      </c>
      <c r="M57" s="281">
        <v>7</v>
      </c>
      <c r="N57" s="309">
        <v>13860</v>
      </c>
      <c r="O57" s="287">
        <f t="shared" si="17"/>
        <v>97020</v>
      </c>
      <c r="P57" s="285" t="s">
        <v>1098</v>
      </c>
      <c r="Q57" s="288">
        <v>42833</v>
      </c>
    </row>
    <row r="58" spans="1:17" ht="21" customHeight="1">
      <c r="A58" s="493">
        <f t="shared" si="15"/>
        <v>8</v>
      </c>
      <c r="B58" s="249" t="s">
        <v>1007</v>
      </c>
      <c r="C58" s="308">
        <f t="shared" si="13"/>
        <v>207900</v>
      </c>
      <c r="D58" s="308">
        <v>13196160</v>
      </c>
      <c r="E58" s="284">
        <f t="shared" si="11"/>
        <v>706416.25983045658</v>
      </c>
      <c r="F58" s="308">
        <f t="shared" si="12"/>
        <v>14110476</v>
      </c>
      <c r="G58" s="284">
        <v>1920</v>
      </c>
      <c r="H58" s="492">
        <f t="shared" si="16"/>
        <v>7349.2062500000002</v>
      </c>
      <c r="I58" s="278">
        <v>7013</v>
      </c>
      <c r="J58" s="278"/>
      <c r="K58" s="250" t="s">
        <v>354</v>
      </c>
      <c r="L58" s="280">
        <f t="shared" si="14"/>
        <v>42831</v>
      </c>
      <c r="M58" s="281">
        <v>15</v>
      </c>
      <c r="N58" s="309">
        <v>13860</v>
      </c>
      <c r="O58" s="287">
        <f t="shared" si="17"/>
        <v>207900</v>
      </c>
      <c r="P58" s="285" t="s">
        <v>1098</v>
      </c>
      <c r="Q58" s="288">
        <v>42833</v>
      </c>
    </row>
    <row r="59" spans="1:17" ht="21" customHeight="1">
      <c r="A59" s="493">
        <f t="shared" si="15"/>
        <v>9</v>
      </c>
      <c r="B59" s="249" t="s">
        <v>1011</v>
      </c>
      <c r="C59" s="308">
        <f t="shared" si="13"/>
        <v>41580</v>
      </c>
      <c r="D59" s="308">
        <v>3513790</v>
      </c>
      <c r="E59" s="284">
        <f t="shared" si="11"/>
        <v>371604.3866816464</v>
      </c>
      <c r="F59" s="308">
        <f t="shared" si="12"/>
        <v>3926974</v>
      </c>
      <c r="G59" s="284">
        <v>1010</v>
      </c>
      <c r="H59" s="492">
        <f t="shared" si="16"/>
        <v>3888.0930693069308</v>
      </c>
      <c r="I59" s="278">
        <v>3550</v>
      </c>
      <c r="J59" s="278"/>
      <c r="K59" s="246" t="s">
        <v>354</v>
      </c>
      <c r="L59" s="280">
        <f t="shared" si="14"/>
        <v>42831</v>
      </c>
      <c r="M59" s="281">
        <v>3</v>
      </c>
      <c r="N59" s="309">
        <v>13860</v>
      </c>
      <c r="O59" s="287">
        <f t="shared" si="17"/>
        <v>41580</v>
      </c>
      <c r="P59" s="285" t="s">
        <v>1098</v>
      </c>
      <c r="Q59" s="288">
        <v>42833</v>
      </c>
    </row>
    <row r="60" spans="1:17" ht="21" customHeight="1">
      <c r="A60" s="493">
        <f t="shared" si="15"/>
        <v>10</v>
      </c>
      <c r="B60" s="249" t="s">
        <v>1031</v>
      </c>
      <c r="C60" s="308">
        <f t="shared" si="13"/>
        <v>69300</v>
      </c>
      <c r="D60" s="308">
        <v>4908330</v>
      </c>
      <c r="E60" s="284">
        <f t="shared" si="11"/>
        <v>97500.160862016142</v>
      </c>
      <c r="F60" s="308">
        <f t="shared" si="12"/>
        <v>5075130</v>
      </c>
      <c r="G60" s="284">
        <v>265</v>
      </c>
      <c r="H60" s="492">
        <f t="shared" si="16"/>
        <v>19151.433962264149</v>
      </c>
      <c r="I60" s="278">
        <v>18900</v>
      </c>
      <c r="J60" s="278"/>
      <c r="K60" s="247" t="s">
        <v>354</v>
      </c>
      <c r="L60" s="280">
        <f t="shared" si="14"/>
        <v>42842</v>
      </c>
      <c r="M60" s="281">
        <v>5</v>
      </c>
      <c r="N60" s="307">
        <v>13860</v>
      </c>
      <c r="O60" s="287">
        <f t="shared" si="17"/>
        <v>69300</v>
      </c>
      <c r="P60" s="285" t="s">
        <v>1108</v>
      </c>
      <c r="Q60" s="288">
        <v>42844</v>
      </c>
    </row>
    <row r="61" spans="1:17" ht="21" customHeight="1">
      <c r="A61" s="493">
        <f t="shared" si="15"/>
        <v>11</v>
      </c>
      <c r="B61" s="249" t="s">
        <v>1032</v>
      </c>
      <c r="C61" s="308">
        <f t="shared" si="13"/>
        <v>27720</v>
      </c>
      <c r="D61" s="308">
        <v>3285205</v>
      </c>
      <c r="E61" s="284">
        <f t="shared" si="11"/>
        <v>97500.160862016142</v>
      </c>
      <c r="F61" s="308">
        <f t="shared" si="12"/>
        <v>3410425</v>
      </c>
      <c r="G61" s="284">
        <v>265</v>
      </c>
      <c r="H61" s="492">
        <f t="shared" si="16"/>
        <v>12869.528301886792</v>
      </c>
      <c r="I61" s="278">
        <v>12650</v>
      </c>
      <c r="J61" s="278"/>
      <c r="K61" s="249" t="s">
        <v>354</v>
      </c>
      <c r="L61" s="280">
        <f t="shared" si="14"/>
        <v>42842</v>
      </c>
      <c r="M61" s="281">
        <v>2</v>
      </c>
      <c r="N61" s="309">
        <v>13860</v>
      </c>
      <c r="O61" s="287">
        <f t="shared" si="17"/>
        <v>27720</v>
      </c>
      <c r="P61" s="285" t="s">
        <v>1108</v>
      </c>
      <c r="Q61" s="288">
        <v>42844</v>
      </c>
    </row>
    <row r="62" spans="1:17" ht="21" customHeight="1">
      <c r="A62" s="493">
        <f t="shared" si="15"/>
        <v>12</v>
      </c>
      <c r="B62" s="249" t="s">
        <v>1033</v>
      </c>
      <c r="C62" s="308">
        <f t="shared" si="13"/>
        <v>69300</v>
      </c>
      <c r="D62" s="308">
        <v>8058050</v>
      </c>
      <c r="E62" s="284">
        <f t="shared" si="11"/>
        <v>119575.6689817179</v>
      </c>
      <c r="F62" s="308">
        <f t="shared" si="12"/>
        <v>8246926</v>
      </c>
      <c r="G62" s="284">
        <v>325</v>
      </c>
      <c r="H62" s="492">
        <f t="shared" si="16"/>
        <v>25375.156923076924</v>
      </c>
      <c r="I62" s="278">
        <v>25300</v>
      </c>
      <c r="J62" s="278"/>
      <c r="K62" s="249" t="s">
        <v>354</v>
      </c>
      <c r="L62" s="280">
        <f t="shared" si="14"/>
        <v>42842</v>
      </c>
      <c r="M62" s="281">
        <v>5</v>
      </c>
      <c r="N62" s="307">
        <v>13860</v>
      </c>
      <c r="O62" s="287">
        <f t="shared" si="17"/>
        <v>69300</v>
      </c>
      <c r="P62" s="285" t="s">
        <v>1108</v>
      </c>
      <c r="Q62" s="288">
        <v>42844</v>
      </c>
    </row>
    <row r="63" spans="1:17" ht="21" customHeight="1">
      <c r="A63" s="493">
        <f t="shared" si="15"/>
        <v>13</v>
      </c>
      <c r="B63" s="249" t="s">
        <v>1034</v>
      </c>
      <c r="C63" s="308">
        <f t="shared" si="13"/>
        <v>93060</v>
      </c>
      <c r="D63" s="308">
        <v>6943300</v>
      </c>
      <c r="E63" s="284">
        <f t="shared" si="11"/>
        <v>119575.6689817179</v>
      </c>
      <c r="F63" s="308">
        <f t="shared" si="12"/>
        <v>7155936</v>
      </c>
      <c r="G63" s="284">
        <v>325</v>
      </c>
      <c r="H63" s="492">
        <f t="shared" si="16"/>
        <v>22018.264615384614</v>
      </c>
      <c r="I63" s="278">
        <v>21800</v>
      </c>
      <c r="J63" s="278"/>
      <c r="K63" s="248" t="s">
        <v>362</v>
      </c>
      <c r="L63" s="280">
        <f t="shared" si="14"/>
        <v>42842</v>
      </c>
      <c r="M63" s="281">
        <v>5</v>
      </c>
      <c r="N63" s="309">
        <v>18612</v>
      </c>
      <c r="O63" s="287">
        <f t="shared" si="17"/>
        <v>93060</v>
      </c>
      <c r="P63" s="285" t="s">
        <v>1108</v>
      </c>
      <c r="Q63" s="288">
        <v>42844</v>
      </c>
    </row>
    <row r="64" spans="1:17" ht="21" customHeight="1">
      <c r="A64" s="493">
        <f t="shared" si="15"/>
        <v>14</v>
      </c>
      <c r="B64" s="249" t="s">
        <v>504</v>
      </c>
      <c r="C64" s="308">
        <f t="shared" si="13"/>
        <v>372240</v>
      </c>
      <c r="D64" s="308">
        <v>59075000</v>
      </c>
      <c r="E64" s="284">
        <f t="shared" si="11"/>
        <v>625472.73005821672</v>
      </c>
      <c r="F64" s="308">
        <f t="shared" si="12"/>
        <v>60072713</v>
      </c>
      <c r="G64" s="284">
        <v>1700</v>
      </c>
      <c r="H64" s="492">
        <f t="shared" si="16"/>
        <v>35336.89</v>
      </c>
      <c r="I64" s="278">
        <v>35000</v>
      </c>
      <c r="J64" s="278"/>
      <c r="K64" s="247" t="s">
        <v>362</v>
      </c>
      <c r="L64" s="280">
        <f t="shared" si="14"/>
        <v>42842</v>
      </c>
      <c r="M64" s="281">
        <v>20</v>
      </c>
      <c r="N64" s="307">
        <v>18612</v>
      </c>
      <c r="O64" s="287">
        <f t="shared" si="17"/>
        <v>372240</v>
      </c>
      <c r="P64" s="285" t="s">
        <v>1109</v>
      </c>
      <c r="Q64" s="288">
        <v>42844</v>
      </c>
    </row>
    <row r="65" spans="1:17" ht="21" customHeight="1">
      <c r="A65" s="493">
        <f t="shared" si="15"/>
        <v>15</v>
      </c>
      <c r="B65" s="249" t="s">
        <v>504</v>
      </c>
      <c r="C65" s="308">
        <f t="shared" si="13"/>
        <v>465300</v>
      </c>
      <c r="D65" s="492">
        <v>6470000</v>
      </c>
      <c r="E65" s="492">
        <f t="shared" si="11"/>
        <v>73585.027065672562</v>
      </c>
      <c r="F65" s="308">
        <f t="shared" si="12"/>
        <v>7008885</v>
      </c>
      <c r="G65" s="492">
        <v>200</v>
      </c>
      <c r="H65" s="492">
        <f t="shared" si="16"/>
        <v>35044.425000000003</v>
      </c>
      <c r="I65" s="278">
        <v>35000</v>
      </c>
      <c r="J65" s="278"/>
      <c r="K65" s="249" t="s">
        <v>362</v>
      </c>
      <c r="L65" s="280">
        <f t="shared" si="14"/>
        <v>42842</v>
      </c>
      <c r="M65" s="281">
        <v>25</v>
      </c>
      <c r="N65" s="282">
        <v>18612</v>
      </c>
      <c r="O65" s="287">
        <f t="shared" si="17"/>
        <v>465300</v>
      </c>
      <c r="P65" s="285" t="s">
        <v>1109</v>
      </c>
      <c r="Q65" s="288">
        <v>42844</v>
      </c>
    </row>
    <row r="66" spans="1:17" ht="21" customHeight="1">
      <c r="A66" s="493">
        <f t="shared" si="15"/>
        <v>16</v>
      </c>
      <c r="B66" s="249" t="s">
        <v>505</v>
      </c>
      <c r="C66" s="308">
        <f t="shared" si="13"/>
        <v>74448</v>
      </c>
      <c r="D66" s="308">
        <v>26688750</v>
      </c>
      <c r="E66" s="287">
        <f t="shared" si="11"/>
        <v>303538.23664589931</v>
      </c>
      <c r="F66" s="308">
        <f t="shared" si="12"/>
        <v>27066736</v>
      </c>
      <c r="G66" s="284">
        <v>825</v>
      </c>
      <c r="H66" s="492">
        <f t="shared" si="16"/>
        <v>32808.164848484848</v>
      </c>
      <c r="I66" s="278">
        <v>32500</v>
      </c>
      <c r="J66" s="278"/>
      <c r="K66" s="249" t="s">
        <v>362</v>
      </c>
      <c r="L66" s="280">
        <f t="shared" si="14"/>
        <v>42842</v>
      </c>
      <c r="M66" s="281">
        <v>4</v>
      </c>
      <c r="N66" s="309">
        <v>18612</v>
      </c>
      <c r="O66" s="287">
        <f t="shared" si="17"/>
        <v>74448</v>
      </c>
      <c r="P66" s="285" t="s">
        <v>1109</v>
      </c>
      <c r="Q66" s="288">
        <v>42844</v>
      </c>
    </row>
    <row r="67" spans="1:17" ht="21" customHeight="1">
      <c r="A67" s="493">
        <f t="shared" si="15"/>
        <v>17</v>
      </c>
      <c r="B67" s="249" t="s">
        <v>1037</v>
      </c>
      <c r="C67" s="308">
        <f t="shared" si="13"/>
        <v>37224</v>
      </c>
      <c r="D67" s="308">
        <v>3116400</v>
      </c>
      <c r="E67" s="284">
        <f t="shared" si="11"/>
        <v>110377.54059850883</v>
      </c>
      <c r="F67" s="308">
        <f t="shared" si="12"/>
        <v>3264002</v>
      </c>
      <c r="G67" s="284">
        <v>300</v>
      </c>
      <c r="H67" s="492">
        <f t="shared" si="16"/>
        <v>10880.006666666666</v>
      </c>
      <c r="I67" s="278">
        <v>10600</v>
      </c>
      <c r="J67" s="278"/>
      <c r="K67" s="247" t="s">
        <v>362</v>
      </c>
      <c r="L67" s="280">
        <f t="shared" si="14"/>
        <v>42844</v>
      </c>
      <c r="M67" s="281">
        <v>2</v>
      </c>
      <c r="N67" s="309">
        <v>18612</v>
      </c>
      <c r="O67" s="287">
        <f t="shared" si="17"/>
        <v>37224</v>
      </c>
      <c r="P67" s="285" t="s">
        <v>1110</v>
      </c>
      <c r="Q67" s="288">
        <v>42846</v>
      </c>
    </row>
    <row r="68" spans="1:17" ht="21" customHeight="1">
      <c r="A68" s="493">
        <f t="shared" si="15"/>
        <v>18</v>
      </c>
      <c r="B68" s="249" t="s">
        <v>1039</v>
      </c>
      <c r="C68" s="308">
        <f t="shared" si="13"/>
        <v>37224</v>
      </c>
      <c r="D68" s="308">
        <v>3743600</v>
      </c>
      <c r="E68" s="284">
        <f t="shared" si="11"/>
        <v>73585.027065672562</v>
      </c>
      <c r="F68" s="308">
        <f t="shared" si="12"/>
        <v>3854409</v>
      </c>
      <c r="G68" s="284">
        <v>200</v>
      </c>
      <c r="H68" s="492">
        <f t="shared" si="16"/>
        <v>19272.044999999998</v>
      </c>
      <c r="I68" s="278">
        <v>19100</v>
      </c>
      <c r="J68" s="278"/>
      <c r="K68" s="247" t="s">
        <v>362</v>
      </c>
      <c r="L68" s="280">
        <f t="shared" si="14"/>
        <v>42844</v>
      </c>
      <c r="M68" s="281">
        <v>2</v>
      </c>
      <c r="N68" s="307">
        <v>18612</v>
      </c>
      <c r="O68" s="287">
        <f t="shared" ref="O68:O79" si="18">M68*N68</f>
        <v>37224</v>
      </c>
      <c r="P68" s="285" t="s">
        <v>1110</v>
      </c>
      <c r="Q68" s="288">
        <v>42846</v>
      </c>
    </row>
    <row r="69" spans="1:17" ht="21" customHeight="1">
      <c r="A69" s="493">
        <f t="shared" si="15"/>
        <v>19</v>
      </c>
      <c r="B69" s="249" t="s">
        <v>692</v>
      </c>
      <c r="C69" s="308">
        <f t="shared" si="13"/>
        <v>37224</v>
      </c>
      <c r="D69" s="308">
        <v>3295800</v>
      </c>
      <c r="E69" s="284">
        <f t="shared" si="11"/>
        <v>6622.6524359105297</v>
      </c>
      <c r="F69" s="308">
        <f t="shared" si="12"/>
        <v>3339647</v>
      </c>
      <c r="G69" s="284">
        <v>18</v>
      </c>
      <c r="H69" s="492">
        <f t="shared" si="16"/>
        <v>185535.94444444444</v>
      </c>
      <c r="I69" s="278">
        <v>186837</v>
      </c>
      <c r="J69" s="278"/>
      <c r="K69" s="249" t="s">
        <v>362</v>
      </c>
      <c r="L69" s="280">
        <f t="shared" si="14"/>
        <v>42851</v>
      </c>
      <c r="M69" s="281">
        <v>2</v>
      </c>
      <c r="N69" s="309">
        <v>18612</v>
      </c>
      <c r="O69" s="287">
        <f t="shared" si="18"/>
        <v>37224</v>
      </c>
      <c r="P69" s="285" t="s">
        <v>1116</v>
      </c>
      <c r="Q69" s="288">
        <v>42853</v>
      </c>
    </row>
    <row r="70" spans="1:17" ht="21" customHeight="1">
      <c r="A70" s="493">
        <f t="shared" si="15"/>
        <v>20</v>
      </c>
      <c r="B70" s="249" t="s">
        <v>740</v>
      </c>
      <c r="C70" s="308">
        <f t="shared" si="13"/>
        <v>37224</v>
      </c>
      <c r="D70" s="308">
        <v>3204720</v>
      </c>
      <c r="E70" s="284">
        <f t="shared" si="11"/>
        <v>7358.5027065672557</v>
      </c>
      <c r="F70" s="308">
        <f t="shared" si="12"/>
        <v>3249303</v>
      </c>
      <c r="G70" s="284">
        <v>20</v>
      </c>
      <c r="H70" s="492">
        <f t="shared" si="16"/>
        <v>162465.15</v>
      </c>
      <c r="I70" s="278">
        <v>163506</v>
      </c>
      <c r="J70" s="278"/>
      <c r="K70" s="248" t="s">
        <v>362</v>
      </c>
      <c r="L70" s="280">
        <f t="shared" si="14"/>
        <v>42851</v>
      </c>
      <c r="M70" s="281">
        <v>2</v>
      </c>
      <c r="N70" s="309">
        <v>18612</v>
      </c>
      <c r="O70" s="287">
        <f t="shared" si="18"/>
        <v>37224</v>
      </c>
      <c r="P70" s="285" t="s">
        <v>1116</v>
      </c>
      <c r="Q70" s="288">
        <v>42853</v>
      </c>
    </row>
    <row r="71" spans="1:17" ht="21" customHeight="1">
      <c r="A71" s="493">
        <f t="shared" si="15"/>
        <v>21</v>
      </c>
      <c r="B71" s="247" t="s">
        <v>629</v>
      </c>
      <c r="C71" s="308">
        <f t="shared" si="13"/>
        <v>223344</v>
      </c>
      <c r="D71" s="308">
        <v>990120</v>
      </c>
      <c r="E71" s="284">
        <f t="shared" si="11"/>
        <v>18396.256766418141</v>
      </c>
      <c r="F71" s="308">
        <f t="shared" si="12"/>
        <v>1231860</v>
      </c>
      <c r="G71" s="284">
        <v>50</v>
      </c>
      <c r="H71" s="492">
        <f t="shared" si="16"/>
        <v>24637.200000000001</v>
      </c>
      <c r="I71" s="278">
        <v>25258</v>
      </c>
      <c r="J71" s="278"/>
      <c r="K71" s="249" t="s">
        <v>362</v>
      </c>
      <c r="L71" s="280">
        <f t="shared" si="14"/>
        <v>42851</v>
      </c>
      <c r="M71" s="281">
        <v>12</v>
      </c>
      <c r="N71" s="309">
        <v>18612</v>
      </c>
      <c r="O71" s="287">
        <f t="shared" si="18"/>
        <v>223344</v>
      </c>
      <c r="P71" s="285" t="s">
        <v>1116</v>
      </c>
      <c r="Q71" s="288">
        <v>42853</v>
      </c>
    </row>
    <row r="72" spans="1:17" ht="21" customHeight="1">
      <c r="A72" s="493">
        <f t="shared" si="15"/>
        <v>22</v>
      </c>
      <c r="B72" s="247" t="s">
        <v>619</v>
      </c>
      <c r="C72" s="308">
        <f t="shared" si="13"/>
        <v>74448</v>
      </c>
      <c r="D72" s="492">
        <v>5791528</v>
      </c>
      <c r="E72" s="492">
        <f t="shared" si="11"/>
        <v>107434.13951588194</v>
      </c>
      <c r="F72" s="308">
        <f t="shared" si="12"/>
        <v>5973410</v>
      </c>
      <c r="G72" s="492">
        <v>292</v>
      </c>
      <c r="H72" s="492">
        <f t="shared" si="16"/>
        <v>20456.883561643837</v>
      </c>
      <c r="I72" s="278">
        <v>20239</v>
      </c>
      <c r="J72" s="278"/>
      <c r="K72" s="247" t="s">
        <v>362</v>
      </c>
      <c r="L72" s="280">
        <f t="shared" si="14"/>
        <v>42851</v>
      </c>
      <c r="M72" s="281">
        <v>4</v>
      </c>
      <c r="N72" s="307">
        <v>18612</v>
      </c>
      <c r="O72" s="287">
        <f t="shared" si="18"/>
        <v>74448</v>
      </c>
      <c r="P72" s="285" t="s">
        <v>1116</v>
      </c>
      <c r="Q72" s="288">
        <v>42853</v>
      </c>
    </row>
    <row r="73" spans="1:17" ht="21" customHeight="1">
      <c r="A73" s="493">
        <f t="shared" si="15"/>
        <v>23</v>
      </c>
      <c r="B73" s="249" t="s">
        <v>1001</v>
      </c>
      <c r="C73" s="308">
        <f t="shared" si="13"/>
        <v>37224</v>
      </c>
      <c r="D73" s="308">
        <v>2578864</v>
      </c>
      <c r="E73" s="284">
        <f t="shared" si="11"/>
        <v>5886.8021652538046</v>
      </c>
      <c r="F73" s="308">
        <f t="shared" si="12"/>
        <v>2621975</v>
      </c>
      <c r="G73" s="284">
        <v>16</v>
      </c>
      <c r="H73" s="492">
        <f t="shared" si="16"/>
        <v>163873.4375</v>
      </c>
      <c r="I73" s="278">
        <v>164468</v>
      </c>
      <c r="J73" s="278"/>
      <c r="K73" s="250" t="s">
        <v>362</v>
      </c>
      <c r="L73" s="280">
        <f t="shared" si="14"/>
        <v>42851</v>
      </c>
      <c r="M73" s="281">
        <v>2</v>
      </c>
      <c r="N73" s="309">
        <v>18612</v>
      </c>
      <c r="O73" s="287">
        <f t="shared" si="18"/>
        <v>37224</v>
      </c>
      <c r="P73" s="285" t="s">
        <v>1116</v>
      </c>
      <c r="Q73" s="288">
        <v>42853</v>
      </c>
    </row>
    <row r="74" spans="1:17" ht="21" customHeight="1">
      <c r="A74" s="493">
        <f t="shared" si="15"/>
        <v>24</v>
      </c>
      <c r="B74" s="247" t="s">
        <v>627</v>
      </c>
      <c r="C74" s="308">
        <f t="shared" si="13"/>
        <v>55836</v>
      </c>
      <c r="D74" s="308">
        <v>4882200</v>
      </c>
      <c r="E74" s="284">
        <f t="shared" si="11"/>
        <v>36792.513532836281</v>
      </c>
      <c r="F74" s="308">
        <f t="shared" si="12"/>
        <v>4974829</v>
      </c>
      <c r="G74" s="284">
        <v>100</v>
      </c>
      <c r="H74" s="492">
        <f t="shared" si="16"/>
        <v>49748.29</v>
      </c>
      <c r="I74" s="278">
        <v>49818</v>
      </c>
      <c r="J74" s="278"/>
      <c r="K74" s="249" t="s">
        <v>362</v>
      </c>
      <c r="L74" s="280">
        <f t="shared" si="14"/>
        <v>42851</v>
      </c>
      <c r="M74" s="281">
        <v>3</v>
      </c>
      <c r="N74" s="307">
        <v>18612</v>
      </c>
      <c r="O74" s="287">
        <f t="shared" si="18"/>
        <v>55836</v>
      </c>
      <c r="P74" s="285" t="s">
        <v>1116</v>
      </c>
      <c r="Q74" s="288">
        <v>42853</v>
      </c>
    </row>
    <row r="75" spans="1:17" ht="21" customHeight="1">
      <c r="A75" s="493">
        <f t="shared" si="15"/>
        <v>25</v>
      </c>
      <c r="B75" s="247" t="s">
        <v>704</v>
      </c>
      <c r="C75" s="308">
        <f t="shared" si="13"/>
        <v>37224</v>
      </c>
      <c r="D75" s="308">
        <v>3208500</v>
      </c>
      <c r="E75" s="284">
        <f t="shared" si="11"/>
        <v>68434.075171075485</v>
      </c>
      <c r="F75" s="308">
        <f t="shared" si="12"/>
        <v>3314158</v>
      </c>
      <c r="G75" s="284">
        <v>186</v>
      </c>
      <c r="H75" s="492">
        <f t="shared" si="16"/>
        <v>17818.053763440861</v>
      </c>
      <c r="I75" s="278">
        <v>17602</v>
      </c>
      <c r="J75" s="278"/>
      <c r="K75" s="248" t="s">
        <v>362</v>
      </c>
      <c r="L75" s="280">
        <f t="shared" si="14"/>
        <v>42851</v>
      </c>
      <c r="M75" s="311">
        <v>2</v>
      </c>
      <c r="N75" s="307">
        <v>18612</v>
      </c>
      <c r="O75" s="287">
        <f t="shared" si="18"/>
        <v>37224</v>
      </c>
      <c r="P75" s="285" t="s">
        <v>1116</v>
      </c>
      <c r="Q75" s="288">
        <v>42853</v>
      </c>
    </row>
    <row r="76" spans="1:17" ht="21" customHeight="1">
      <c r="A76" s="493">
        <f t="shared" si="15"/>
        <v>26</v>
      </c>
      <c r="B76" s="247" t="s">
        <v>611</v>
      </c>
      <c r="C76" s="308">
        <f t="shared" si="13"/>
        <v>93060</v>
      </c>
      <c r="D76" s="308">
        <v>7231770</v>
      </c>
      <c r="E76" s="284">
        <f t="shared" si="11"/>
        <v>66962.374629762024</v>
      </c>
      <c r="F76" s="308">
        <f t="shared" si="12"/>
        <v>7391792</v>
      </c>
      <c r="G76" s="284">
        <v>182</v>
      </c>
      <c r="H76" s="492">
        <f t="shared" si="16"/>
        <v>40614.241758241755</v>
      </c>
      <c r="I76" s="278">
        <v>40546</v>
      </c>
      <c r="J76" s="278"/>
      <c r="K76" s="247" t="s">
        <v>362</v>
      </c>
      <c r="L76" s="280">
        <f t="shared" si="14"/>
        <v>42851</v>
      </c>
      <c r="M76" s="281">
        <v>5</v>
      </c>
      <c r="N76" s="307">
        <v>18612</v>
      </c>
      <c r="O76" s="287">
        <f t="shared" si="18"/>
        <v>93060</v>
      </c>
      <c r="P76" s="285" t="s">
        <v>1116</v>
      </c>
      <c r="Q76" s="288">
        <v>42853</v>
      </c>
    </row>
    <row r="77" spans="1:17" ht="21" customHeight="1">
      <c r="A77" s="493">
        <f t="shared" si="15"/>
        <v>27</v>
      </c>
      <c r="B77" s="250" t="s">
        <v>741</v>
      </c>
      <c r="C77" s="308">
        <f t="shared" si="13"/>
        <v>37224</v>
      </c>
      <c r="D77" s="308">
        <v>3702480</v>
      </c>
      <c r="E77" s="284">
        <f t="shared" si="11"/>
        <v>5886.8021652538046</v>
      </c>
      <c r="F77" s="308">
        <f t="shared" si="12"/>
        <v>3745591</v>
      </c>
      <c r="G77" s="284">
        <v>16</v>
      </c>
      <c r="H77" s="492">
        <f t="shared" si="16"/>
        <v>234099.4375</v>
      </c>
      <c r="I77" s="278">
        <v>236128</v>
      </c>
      <c r="J77" s="278"/>
      <c r="K77" s="248" t="s">
        <v>362</v>
      </c>
      <c r="L77" s="280">
        <f t="shared" si="14"/>
        <v>42851</v>
      </c>
      <c r="M77" s="281">
        <v>2</v>
      </c>
      <c r="N77" s="282">
        <v>18612</v>
      </c>
      <c r="O77" s="287">
        <f t="shared" si="18"/>
        <v>37224</v>
      </c>
      <c r="P77" s="285" t="s">
        <v>1116</v>
      </c>
      <c r="Q77" s="288">
        <v>42853</v>
      </c>
    </row>
    <row r="78" spans="1:17" ht="21" customHeight="1">
      <c r="A78" s="493">
        <f t="shared" si="15"/>
        <v>28</v>
      </c>
      <c r="B78" s="250" t="s">
        <v>795</v>
      </c>
      <c r="C78" s="308">
        <f t="shared" si="13"/>
        <v>37224</v>
      </c>
      <c r="D78" s="308">
        <v>4527540</v>
      </c>
      <c r="E78" s="287">
        <f t="shared" si="11"/>
        <v>22075.508119701768</v>
      </c>
      <c r="F78" s="308">
        <f t="shared" si="12"/>
        <v>4586840</v>
      </c>
      <c r="G78" s="284">
        <v>60</v>
      </c>
      <c r="H78" s="492">
        <f t="shared" si="16"/>
        <v>76447.333333333328</v>
      </c>
      <c r="I78" s="278">
        <v>76999</v>
      </c>
      <c r="J78" s="278"/>
      <c r="K78" s="247" t="s">
        <v>362</v>
      </c>
      <c r="L78" s="280">
        <f t="shared" si="14"/>
        <v>42851</v>
      </c>
      <c r="M78" s="281">
        <v>2</v>
      </c>
      <c r="N78" s="309">
        <v>18612</v>
      </c>
      <c r="O78" s="287">
        <f t="shared" si="18"/>
        <v>37224</v>
      </c>
      <c r="P78" s="285" t="s">
        <v>1116</v>
      </c>
      <c r="Q78" s="288">
        <v>42853</v>
      </c>
    </row>
    <row r="79" spans="1:17" ht="21" customHeight="1">
      <c r="A79" s="493">
        <f t="shared" si="15"/>
        <v>29</v>
      </c>
      <c r="B79" s="250" t="s">
        <v>791</v>
      </c>
      <c r="C79" s="308">
        <f t="shared" si="13"/>
        <v>37224</v>
      </c>
      <c r="D79" s="308">
        <v>2840200</v>
      </c>
      <c r="E79" s="284">
        <f t="shared" si="11"/>
        <v>7358.5027065672557</v>
      </c>
      <c r="F79" s="308">
        <f t="shared" si="12"/>
        <v>2884783</v>
      </c>
      <c r="G79" s="284">
        <v>20</v>
      </c>
      <c r="H79" s="492">
        <f t="shared" si="16"/>
        <v>144239.15</v>
      </c>
      <c r="I79" s="278">
        <v>144908</v>
      </c>
      <c r="J79" s="278"/>
      <c r="K79" s="247" t="s">
        <v>362</v>
      </c>
      <c r="L79" s="280">
        <f t="shared" si="14"/>
        <v>42851</v>
      </c>
      <c r="M79" s="281">
        <v>2</v>
      </c>
      <c r="N79" s="309">
        <v>18612</v>
      </c>
      <c r="O79" s="287">
        <f t="shared" si="18"/>
        <v>37224</v>
      </c>
      <c r="P79" s="285" t="s">
        <v>1116</v>
      </c>
      <c r="Q79" s="288">
        <v>42853</v>
      </c>
    </row>
    <row r="80" spans="1:17" ht="21" customHeight="1">
      <c r="A80" s="493">
        <f t="shared" si="15"/>
        <v>30</v>
      </c>
      <c r="B80" s="250" t="s">
        <v>652</v>
      </c>
      <c r="C80" s="308">
        <f t="shared" si="13"/>
        <v>37224</v>
      </c>
      <c r="D80" s="308">
        <v>2851100</v>
      </c>
      <c r="E80" s="284">
        <f t="shared" si="11"/>
        <v>36792.513532836281</v>
      </c>
      <c r="F80" s="308">
        <f t="shared" si="12"/>
        <v>2925117</v>
      </c>
      <c r="G80" s="284">
        <v>100</v>
      </c>
      <c r="H80" s="492">
        <f t="shared" si="16"/>
        <v>29251.17</v>
      </c>
      <c r="I80" s="278">
        <v>29093</v>
      </c>
      <c r="J80" s="278"/>
      <c r="K80" s="247" t="s">
        <v>362</v>
      </c>
      <c r="L80" s="280">
        <f t="shared" si="14"/>
        <v>42851</v>
      </c>
      <c r="M80" s="311">
        <v>2</v>
      </c>
      <c r="N80" s="309">
        <v>18612</v>
      </c>
      <c r="O80" s="287">
        <f t="shared" ref="O80:O147" si="19">M80*N80</f>
        <v>37224</v>
      </c>
      <c r="P80" s="285" t="s">
        <v>1116</v>
      </c>
      <c r="Q80" s="288">
        <v>42853</v>
      </c>
    </row>
    <row r="81" spans="1:18" ht="21" customHeight="1">
      <c r="A81" s="493">
        <f t="shared" si="15"/>
        <v>31</v>
      </c>
      <c r="B81" s="249" t="s">
        <v>627</v>
      </c>
      <c r="C81" s="308">
        <f t="shared" si="13"/>
        <v>37224</v>
      </c>
      <c r="D81" s="308">
        <v>2587550</v>
      </c>
      <c r="E81" s="284">
        <f t="shared" si="11"/>
        <v>18396.256766418141</v>
      </c>
      <c r="F81" s="308">
        <f t="shared" si="12"/>
        <v>2643170</v>
      </c>
      <c r="G81" s="284">
        <v>50</v>
      </c>
      <c r="H81" s="492">
        <f t="shared" si="16"/>
        <v>52863.4</v>
      </c>
      <c r="I81" s="278">
        <v>52807</v>
      </c>
      <c r="J81" s="278"/>
      <c r="K81" s="247" t="s">
        <v>362</v>
      </c>
      <c r="L81" s="280">
        <f t="shared" si="14"/>
        <v>42851</v>
      </c>
      <c r="M81" s="281">
        <v>2</v>
      </c>
      <c r="N81" s="309">
        <v>18612</v>
      </c>
      <c r="O81" s="287">
        <f t="shared" si="19"/>
        <v>37224</v>
      </c>
      <c r="P81" s="285" t="s">
        <v>1116</v>
      </c>
      <c r="Q81" s="288">
        <v>42853</v>
      </c>
    </row>
    <row r="82" spans="1:18" ht="21" customHeight="1">
      <c r="A82" s="493">
        <f t="shared" si="15"/>
        <v>32</v>
      </c>
      <c r="B82" s="250" t="s">
        <v>1217</v>
      </c>
      <c r="C82" s="308">
        <f t="shared" si="13"/>
        <v>8265000</v>
      </c>
      <c r="D82" s="308"/>
      <c r="E82" s="284">
        <f t="shared" si="11"/>
        <v>367925.13532836281</v>
      </c>
      <c r="F82" s="308">
        <f t="shared" si="12"/>
        <v>8632925</v>
      </c>
      <c r="G82" s="284">
        <v>1000</v>
      </c>
      <c r="H82" s="492">
        <f t="shared" ref="H82:H83" si="20">IF(G82&lt;&gt;"",F82/G82,"")</f>
        <v>8632.9249999999993</v>
      </c>
      <c r="I82" s="278">
        <v>8800</v>
      </c>
      <c r="J82" s="278"/>
      <c r="K82" s="247" t="s">
        <v>297</v>
      </c>
      <c r="L82" s="280">
        <f t="shared" ref="L82:L83" si="21">Q82-4</f>
        <v>42825</v>
      </c>
      <c r="M82" s="243">
        <v>1000</v>
      </c>
      <c r="N82" s="181">
        <v>8265</v>
      </c>
      <c r="O82" s="287">
        <f t="shared" ref="O82:O89" si="22">M82*N82</f>
        <v>8265000</v>
      </c>
      <c r="P82" s="285" t="s">
        <v>1219</v>
      </c>
      <c r="Q82" s="288">
        <v>42829</v>
      </c>
      <c r="R82" s="561"/>
    </row>
    <row r="83" spans="1:18" ht="21" customHeight="1">
      <c r="A83" s="493">
        <f t="shared" si="15"/>
        <v>33</v>
      </c>
      <c r="B83" s="250" t="s">
        <v>1217</v>
      </c>
      <c r="C83" s="308">
        <f t="shared" si="13"/>
        <v>5040075</v>
      </c>
      <c r="D83" s="308"/>
      <c r="E83" s="284">
        <f t="shared" ref="E83:E114" si="23">IF($G$149&lt;&gt;0,E$149/$G$149*$G83,0)</f>
        <v>224434.3325503013</v>
      </c>
      <c r="F83" s="308">
        <f t="shared" ref="F83:F114" si="24">ROUND(SUM(C83:E83),0)</f>
        <v>5264509</v>
      </c>
      <c r="G83" s="284">
        <v>610</v>
      </c>
      <c r="H83" s="492">
        <f t="shared" si="20"/>
        <v>8630.3426229508204</v>
      </c>
      <c r="I83" s="278">
        <v>8800</v>
      </c>
      <c r="J83" s="278"/>
      <c r="K83" s="249" t="s">
        <v>1083</v>
      </c>
      <c r="L83" s="280">
        <f t="shared" si="21"/>
        <v>42825</v>
      </c>
      <c r="M83" s="311">
        <v>335</v>
      </c>
      <c r="N83" s="309">
        <v>15045</v>
      </c>
      <c r="O83" s="287">
        <f t="shared" si="22"/>
        <v>5040075</v>
      </c>
      <c r="P83" s="285" t="s">
        <v>1219</v>
      </c>
      <c r="Q83" s="288">
        <v>42829</v>
      </c>
      <c r="R83" s="561"/>
    </row>
    <row r="84" spans="1:18" ht="21" customHeight="1">
      <c r="A84" s="493">
        <f t="shared" si="15"/>
        <v>34</v>
      </c>
      <c r="B84" s="250" t="s">
        <v>1217</v>
      </c>
      <c r="C84" s="308">
        <f t="shared" si="13"/>
        <v>3479400</v>
      </c>
      <c r="D84" s="308"/>
      <c r="E84" s="284">
        <f t="shared" si="23"/>
        <v>154528.55683791236</v>
      </c>
      <c r="F84" s="308">
        <f t="shared" si="24"/>
        <v>3633929</v>
      </c>
      <c r="G84" s="284">
        <v>420</v>
      </c>
      <c r="H84" s="492">
        <f>IF(G84&lt;&gt;"",F84/G84,"")</f>
        <v>8652.2119047619053</v>
      </c>
      <c r="I84" s="278">
        <v>8800</v>
      </c>
      <c r="J84" s="278"/>
      <c r="K84" s="249" t="s">
        <v>295</v>
      </c>
      <c r="L84" s="280">
        <f>Q84-4</f>
        <v>42825</v>
      </c>
      <c r="M84" s="311">
        <v>200</v>
      </c>
      <c r="N84" s="309">
        <v>17397</v>
      </c>
      <c r="O84" s="287">
        <f t="shared" si="22"/>
        <v>3479400</v>
      </c>
      <c r="P84" s="285" t="s">
        <v>1219</v>
      </c>
      <c r="Q84" s="288">
        <v>42829</v>
      </c>
      <c r="R84" s="561"/>
    </row>
    <row r="85" spans="1:18" ht="21" customHeight="1">
      <c r="A85" s="493">
        <f t="shared" si="15"/>
        <v>35</v>
      </c>
      <c r="B85" s="249" t="s">
        <v>505</v>
      </c>
      <c r="C85" s="308">
        <f t="shared" si="13"/>
        <v>1046520</v>
      </c>
      <c r="D85" s="308"/>
      <c r="E85" s="284">
        <f t="shared" si="23"/>
        <v>12141.529465835973</v>
      </c>
      <c r="F85" s="308">
        <f t="shared" si="24"/>
        <v>1058662</v>
      </c>
      <c r="G85" s="284">
        <v>33</v>
      </c>
      <c r="H85" s="492">
        <f t="shared" si="16"/>
        <v>32080.666666666668</v>
      </c>
      <c r="I85" s="278">
        <v>32500</v>
      </c>
      <c r="J85" s="278"/>
      <c r="K85" s="247" t="s">
        <v>330</v>
      </c>
      <c r="L85" s="280">
        <f>Q85-4</f>
        <v>42840</v>
      </c>
      <c r="M85" s="311">
        <v>34</v>
      </c>
      <c r="N85" s="309">
        <v>30780</v>
      </c>
      <c r="O85" s="287">
        <f t="shared" si="22"/>
        <v>1046520</v>
      </c>
      <c r="P85" s="314" t="s">
        <v>1109</v>
      </c>
      <c r="Q85" s="288">
        <v>42844</v>
      </c>
    </row>
    <row r="86" spans="1:18" ht="21" customHeight="1">
      <c r="A86" s="493">
        <f t="shared" si="15"/>
        <v>36</v>
      </c>
      <c r="B86" s="249" t="s">
        <v>505</v>
      </c>
      <c r="C86" s="308">
        <f t="shared" si="13"/>
        <v>1747563</v>
      </c>
      <c r="D86" s="308"/>
      <c r="E86" s="284">
        <f t="shared" si="23"/>
        <v>20235.882443059952</v>
      </c>
      <c r="F86" s="308">
        <f t="shared" si="24"/>
        <v>1767799</v>
      </c>
      <c r="G86" s="284">
        <v>55</v>
      </c>
      <c r="H86" s="492">
        <f t="shared" si="16"/>
        <v>32141.8</v>
      </c>
      <c r="I86" s="278">
        <v>32500</v>
      </c>
      <c r="J86" s="278"/>
      <c r="K86" s="247" t="s">
        <v>416</v>
      </c>
      <c r="L86" s="280">
        <f t="shared" ref="L86:L101" si="25">Q86-4</f>
        <v>42840</v>
      </c>
      <c r="M86" s="311">
        <v>57</v>
      </c>
      <c r="N86" s="309">
        <v>30659</v>
      </c>
      <c r="O86" s="287">
        <f t="shared" si="22"/>
        <v>1747563</v>
      </c>
      <c r="P86" s="314" t="s">
        <v>1109</v>
      </c>
      <c r="Q86" s="288">
        <v>42844</v>
      </c>
    </row>
    <row r="87" spans="1:18" ht="21" customHeight="1">
      <c r="A87" s="493">
        <f t="shared" si="15"/>
        <v>37</v>
      </c>
      <c r="B87" s="249" t="s">
        <v>505</v>
      </c>
      <c r="C87" s="308">
        <f t="shared" si="13"/>
        <v>1087205</v>
      </c>
      <c r="D87" s="308"/>
      <c r="E87" s="284">
        <f t="shared" si="23"/>
        <v>12509.454601164334</v>
      </c>
      <c r="F87" s="308">
        <f t="shared" si="24"/>
        <v>1099714</v>
      </c>
      <c r="G87" s="284">
        <v>34</v>
      </c>
      <c r="H87" s="492">
        <f t="shared" si="16"/>
        <v>32344.529411764706</v>
      </c>
      <c r="I87" s="278">
        <v>32500</v>
      </c>
      <c r="J87" s="278"/>
      <c r="K87" s="247" t="s">
        <v>343</v>
      </c>
      <c r="L87" s="280">
        <f t="shared" si="25"/>
        <v>42840</v>
      </c>
      <c r="M87" s="311">
        <v>35</v>
      </c>
      <c r="N87" s="309">
        <v>31063</v>
      </c>
      <c r="O87" s="287">
        <f t="shared" si="22"/>
        <v>1087205</v>
      </c>
      <c r="P87" s="314" t="s">
        <v>1109</v>
      </c>
      <c r="Q87" s="288">
        <v>42844</v>
      </c>
    </row>
    <row r="88" spans="1:18" ht="21" customHeight="1">
      <c r="A88" s="493">
        <f t="shared" si="15"/>
        <v>38</v>
      </c>
      <c r="B88" s="249" t="s">
        <v>505</v>
      </c>
      <c r="C88" s="308">
        <f t="shared" si="13"/>
        <v>3970765</v>
      </c>
      <c r="D88" s="308"/>
      <c r="E88" s="284">
        <f t="shared" si="23"/>
        <v>45990.641916045352</v>
      </c>
      <c r="F88" s="308">
        <f t="shared" si="24"/>
        <v>4016756</v>
      </c>
      <c r="G88" s="284">
        <v>125</v>
      </c>
      <c r="H88" s="492">
        <f t="shared" si="16"/>
        <v>32134.047999999999</v>
      </c>
      <c r="I88" s="278">
        <v>32500</v>
      </c>
      <c r="J88" s="278"/>
      <c r="K88" s="247" t="s">
        <v>429</v>
      </c>
      <c r="L88" s="280">
        <f t="shared" si="25"/>
        <v>42840</v>
      </c>
      <c r="M88" s="311">
        <v>130</v>
      </c>
      <c r="N88" s="309">
        <v>30544.346153846152</v>
      </c>
      <c r="O88" s="287">
        <f t="shared" si="22"/>
        <v>3970765</v>
      </c>
      <c r="P88" s="314" t="s">
        <v>1109</v>
      </c>
      <c r="Q88" s="288">
        <v>42844</v>
      </c>
    </row>
    <row r="89" spans="1:18" ht="21" customHeight="1">
      <c r="A89" s="493">
        <f t="shared" si="15"/>
        <v>39</v>
      </c>
      <c r="B89" s="249" t="s">
        <v>505</v>
      </c>
      <c r="C89" s="308">
        <f t="shared" si="13"/>
        <v>1657838</v>
      </c>
      <c r="D89" s="308"/>
      <c r="E89" s="284">
        <f t="shared" si="23"/>
        <v>19132.107037074864</v>
      </c>
      <c r="F89" s="308">
        <f t="shared" si="24"/>
        <v>1676970</v>
      </c>
      <c r="G89" s="284">
        <v>52</v>
      </c>
      <c r="H89" s="492">
        <f t="shared" si="16"/>
        <v>32249.423076923078</v>
      </c>
      <c r="I89" s="278">
        <v>32500</v>
      </c>
      <c r="J89" s="278"/>
      <c r="K89" s="247" t="s">
        <v>582</v>
      </c>
      <c r="L89" s="280">
        <f t="shared" si="25"/>
        <v>42840</v>
      </c>
      <c r="M89" s="311">
        <v>52</v>
      </c>
      <c r="N89" s="309">
        <v>31881.5</v>
      </c>
      <c r="O89" s="287">
        <f t="shared" si="22"/>
        <v>1657838</v>
      </c>
      <c r="P89" s="314" t="s">
        <v>1109</v>
      </c>
      <c r="Q89" s="288">
        <v>42844</v>
      </c>
    </row>
    <row r="90" spans="1:18" ht="21" customHeight="1">
      <c r="A90" s="493">
        <f t="shared" si="15"/>
        <v>40</v>
      </c>
      <c r="B90" s="249" t="s">
        <v>505</v>
      </c>
      <c r="C90" s="308">
        <f t="shared" si="13"/>
        <v>1461768</v>
      </c>
      <c r="D90" s="308"/>
      <c r="E90" s="284">
        <f t="shared" si="23"/>
        <v>16556.631089776325</v>
      </c>
      <c r="F90" s="308">
        <f t="shared" si="24"/>
        <v>1478325</v>
      </c>
      <c r="G90" s="284">
        <v>45</v>
      </c>
      <c r="H90" s="492">
        <f t="shared" si="16"/>
        <v>32851.666666666664</v>
      </c>
      <c r="I90" s="278">
        <v>32500</v>
      </c>
      <c r="J90" s="278"/>
      <c r="K90" s="247" t="s">
        <v>1082</v>
      </c>
      <c r="L90" s="280">
        <f t="shared" si="25"/>
        <v>42840</v>
      </c>
      <c r="M90" s="311">
        <v>48</v>
      </c>
      <c r="N90" s="309">
        <v>30453.5</v>
      </c>
      <c r="O90" s="287">
        <f t="shared" si="19"/>
        <v>1461768</v>
      </c>
      <c r="P90" s="314" t="s">
        <v>1109</v>
      </c>
      <c r="Q90" s="288">
        <v>42844</v>
      </c>
    </row>
    <row r="91" spans="1:18" ht="21" customHeight="1">
      <c r="A91" s="493">
        <f t="shared" si="15"/>
        <v>41</v>
      </c>
      <c r="B91" s="249" t="s">
        <v>505</v>
      </c>
      <c r="C91" s="308">
        <f t="shared" si="13"/>
        <v>2202860</v>
      </c>
      <c r="D91" s="308"/>
      <c r="E91" s="284">
        <f t="shared" si="23"/>
        <v>25386.834337657034</v>
      </c>
      <c r="F91" s="308">
        <f t="shared" si="24"/>
        <v>2228247</v>
      </c>
      <c r="G91" s="284">
        <v>69</v>
      </c>
      <c r="H91" s="492">
        <f t="shared" si="16"/>
        <v>32293.434782608696</v>
      </c>
      <c r="I91" s="278">
        <v>32500</v>
      </c>
      <c r="J91" s="278"/>
      <c r="K91" s="247" t="s">
        <v>363</v>
      </c>
      <c r="L91" s="280">
        <f t="shared" si="25"/>
        <v>42840</v>
      </c>
      <c r="M91" s="311">
        <v>76</v>
      </c>
      <c r="N91" s="309">
        <v>28985</v>
      </c>
      <c r="O91" s="287">
        <f t="shared" si="19"/>
        <v>2202860</v>
      </c>
      <c r="P91" s="314" t="s">
        <v>1109</v>
      </c>
      <c r="Q91" s="288">
        <v>42844</v>
      </c>
    </row>
    <row r="92" spans="1:18" ht="21" customHeight="1">
      <c r="A92" s="493">
        <f t="shared" si="15"/>
        <v>42</v>
      </c>
      <c r="B92" s="249" t="s">
        <v>505</v>
      </c>
      <c r="C92" s="308">
        <f t="shared" si="13"/>
        <v>6835500</v>
      </c>
      <c r="D92" s="308"/>
      <c r="E92" s="284">
        <f t="shared" si="23"/>
        <v>79103.904095598002</v>
      </c>
      <c r="F92" s="308">
        <f t="shared" si="24"/>
        <v>6914604</v>
      </c>
      <c r="G92" s="284">
        <v>215</v>
      </c>
      <c r="H92" s="492">
        <f t="shared" si="16"/>
        <v>32160.948837209304</v>
      </c>
      <c r="I92" s="278">
        <v>32500</v>
      </c>
      <c r="J92" s="278"/>
      <c r="K92" s="249" t="s">
        <v>837</v>
      </c>
      <c r="L92" s="280">
        <f t="shared" si="25"/>
        <v>42840</v>
      </c>
      <c r="M92" s="311">
        <v>250</v>
      </c>
      <c r="N92" s="309">
        <v>27342</v>
      </c>
      <c r="O92" s="287">
        <f t="shared" si="19"/>
        <v>6835500</v>
      </c>
      <c r="P92" s="314" t="s">
        <v>1109</v>
      </c>
      <c r="Q92" s="288">
        <v>42844</v>
      </c>
    </row>
    <row r="93" spans="1:18" ht="21" customHeight="1">
      <c r="A93" s="493">
        <f t="shared" si="15"/>
        <v>43</v>
      </c>
      <c r="B93" s="249" t="s">
        <v>505</v>
      </c>
      <c r="C93" s="308">
        <f t="shared" si="13"/>
        <v>3559500</v>
      </c>
      <c r="D93" s="308"/>
      <c r="E93" s="284">
        <f t="shared" si="23"/>
        <v>41207.615156776636</v>
      </c>
      <c r="F93" s="308">
        <f t="shared" si="24"/>
        <v>3600708</v>
      </c>
      <c r="G93" s="284">
        <v>112</v>
      </c>
      <c r="H93" s="492">
        <f t="shared" si="16"/>
        <v>32149.178571428572</v>
      </c>
      <c r="I93" s="278">
        <v>32500</v>
      </c>
      <c r="J93" s="278"/>
      <c r="K93" s="249" t="s">
        <v>367</v>
      </c>
      <c r="L93" s="280">
        <f t="shared" si="25"/>
        <v>42840</v>
      </c>
      <c r="M93" s="311">
        <v>125</v>
      </c>
      <c r="N93" s="309">
        <v>28476</v>
      </c>
      <c r="O93" s="287">
        <f t="shared" si="19"/>
        <v>3559500</v>
      </c>
      <c r="P93" s="314" t="s">
        <v>1109</v>
      </c>
      <c r="Q93" s="288">
        <v>42844</v>
      </c>
    </row>
    <row r="94" spans="1:18" ht="21" customHeight="1">
      <c r="A94" s="493">
        <f t="shared" si="15"/>
        <v>44</v>
      </c>
      <c r="B94" s="249" t="s">
        <v>505</v>
      </c>
      <c r="C94" s="308">
        <f t="shared" si="13"/>
        <v>1106784</v>
      </c>
      <c r="D94" s="308"/>
      <c r="E94" s="284">
        <f t="shared" si="23"/>
        <v>13245.304871821059</v>
      </c>
      <c r="F94" s="308">
        <f t="shared" si="24"/>
        <v>1120029</v>
      </c>
      <c r="G94" s="284">
        <v>36</v>
      </c>
      <c r="H94" s="492">
        <f t="shared" si="16"/>
        <v>31111.916666666668</v>
      </c>
      <c r="I94" s="278">
        <v>32500</v>
      </c>
      <c r="J94" s="278"/>
      <c r="K94" s="249" t="s">
        <v>583</v>
      </c>
      <c r="L94" s="280">
        <f t="shared" si="25"/>
        <v>42840</v>
      </c>
      <c r="M94" s="311">
        <v>42</v>
      </c>
      <c r="N94" s="309">
        <v>26352</v>
      </c>
      <c r="O94" s="287">
        <f t="shared" si="19"/>
        <v>1106784</v>
      </c>
      <c r="P94" s="314" t="s">
        <v>1109</v>
      </c>
      <c r="Q94" s="288">
        <v>42844</v>
      </c>
    </row>
    <row r="95" spans="1:18" ht="21" customHeight="1">
      <c r="A95" s="493">
        <f t="shared" si="15"/>
        <v>45</v>
      </c>
      <c r="B95" s="249" t="s">
        <v>505</v>
      </c>
      <c r="C95" s="308">
        <f t="shared" si="13"/>
        <v>907360</v>
      </c>
      <c r="D95" s="308"/>
      <c r="E95" s="284">
        <f t="shared" si="23"/>
        <v>10669.828924522521</v>
      </c>
      <c r="F95" s="308">
        <f t="shared" si="24"/>
        <v>918030</v>
      </c>
      <c r="G95" s="284">
        <v>29</v>
      </c>
      <c r="H95" s="492">
        <f t="shared" si="16"/>
        <v>31656.206896551725</v>
      </c>
      <c r="I95" s="278">
        <v>32500</v>
      </c>
      <c r="J95" s="278"/>
      <c r="K95" s="247" t="s">
        <v>341</v>
      </c>
      <c r="L95" s="280">
        <f t="shared" si="25"/>
        <v>42840</v>
      </c>
      <c r="M95" s="311">
        <v>32</v>
      </c>
      <c r="N95" s="309">
        <v>28355</v>
      </c>
      <c r="O95" s="287">
        <f t="shared" si="19"/>
        <v>907360</v>
      </c>
      <c r="P95" s="314" t="s">
        <v>1109</v>
      </c>
      <c r="Q95" s="288">
        <v>42844</v>
      </c>
    </row>
    <row r="96" spans="1:18" ht="21" customHeight="1">
      <c r="A96" s="493">
        <f t="shared" si="15"/>
        <v>46</v>
      </c>
      <c r="B96" s="249" t="s">
        <v>505</v>
      </c>
      <c r="C96" s="308">
        <f t="shared" si="13"/>
        <v>1133460</v>
      </c>
      <c r="D96" s="308"/>
      <c r="E96" s="284">
        <f t="shared" si="23"/>
        <v>13245.304871821059</v>
      </c>
      <c r="F96" s="308">
        <f t="shared" si="24"/>
        <v>1146705</v>
      </c>
      <c r="G96" s="284">
        <v>36</v>
      </c>
      <c r="H96" s="492">
        <f t="shared" si="16"/>
        <v>31852.916666666668</v>
      </c>
      <c r="I96" s="278">
        <v>32500</v>
      </c>
      <c r="J96" s="278"/>
      <c r="K96" s="249" t="s">
        <v>585</v>
      </c>
      <c r="L96" s="280">
        <f t="shared" si="25"/>
        <v>42840</v>
      </c>
      <c r="M96" s="311">
        <v>40</v>
      </c>
      <c r="N96" s="309">
        <v>28336.5</v>
      </c>
      <c r="O96" s="287">
        <f t="shared" si="19"/>
        <v>1133460</v>
      </c>
      <c r="P96" s="314" t="s">
        <v>1109</v>
      </c>
      <c r="Q96" s="288">
        <v>42844</v>
      </c>
    </row>
    <row r="97" spans="1:19" ht="21" customHeight="1">
      <c r="A97" s="493">
        <f t="shared" si="15"/>
        <v>47</v>
      </c>
      <c r="B97" s="249" t="s">
        <v>505</v>
      </c>
      <c r="C97" s="308">
        <f t="shared" si="13"/>
        <v>2007915</v>
      </c>
      <c r="D97" s="308"/>
      <c r="E97" s="284">
        <f t="shared" si="23"/>
        <v>23179.283525686857</v>
      </c>
      <c r="F97" s="308">
        <f t="shared" si="24"/>
        <v>2031094</v>
      </c>
      <c r="G97" s="284">
        <v>63</v>
      </c>
      <c r="H97" s="492">
        <f t="shared" si="16"/>
        <v>32239.5873015873</v>
      </c>
      <c r="I97" s="278">
        <v>32500</v>
      </c>
      <c r="J97" s="278"/>
      <c r="K97" s="247" t="s">
        <v>434</v>
      </c>
      <c r="L97" s="280">
        <f t="shared" si="25"/>
        <v>42840</v>
      </c>
      <c r="M97" s="311">
        <v>70</v>
      </c>
      <c r="N97" s="309">
        <v>28684.5</v>
      </c>
      <c r="O97" s="287">
        <f t="shared" si="19"/>
        <v>2007915</v>
      </c>
      <c r="P97" s="314" t="s">
        <v>1109</v>
      </c>
      <c r="Q97" s="288">
        <v>42844</v>
      </c>
    </row>
    <row r="98" spans="1:19" ht="21" customHeight="1">
      <c r="A98" s="493">
        <f t="shared" si="15"/>
        <v>48</v>
      </c>
      <c r="B98" s="249" t="s">
        <v>505</v>
      </c>
      <c r="C98" s="308">
        <f t="shared" si="13"/>
        <v>5524200</v>
      </c>
      <c r="D98" s="308"/>
      <c r="E98" s="284">
        <f t="shared" si="23"/>
        <v>64386.898682463485</v>
      </c>
      <c r="F98" s="308">
        <f t="shared" si="24"/>
        <v>5588587</v>
      </c>
      <c r="G98" s="284">
        <v>175</v>
      </c>
      <c r="H98" s="492">
        <f t="shared" si="16"/>
        <v>31934.782857142858</v>
      </c>
      <c r="I98" s="278">
        <v>32500</v>
      </c>
      <c r="J98" s="278"/>
      <c r="K98" s="249" t="s">
        <v>838</v>
      </c>
      <c r="L98" s="280">
        <f t="shared" si="25"/>
        <v>42840</v>
      </c>
      <c r="M98" s="311">
        <v>200</v>
      </c>
      <c r="N98" s="309">
        <v>27621</v>
      </c>
      <c r="O98" s="287">
        <f>M98*N98</f>
        <v>5524200</v>
      </c>
      <c r="P98" s="314" t="s">
        <v>1109</v>
      </c>
      <c r="Q98" s="288">
        <v>42844</v>
      </c>
    </row>
    <row r="99" spans="1:19" ht="21" customHeight="1">
      <c r="A99" s="493">
        <f t="shared" si="15"/>
        <v>49</v>
      </c>
      <c r="B99" s="249" t="s">
        <v>505</v>
      </c>
      <c r="C99" s="308">
        <f t="shared" si="13"/>
        <v>1467200</v>
      </c>
      <c r="D99" s="308"/>
      <c r="E99" s="284">
        <f t="shared" si="23"/>
        <v>16924.556225104687</v>
      </c>
      <c r="F99" s="308">
        <f t="shared" si="24"/>
        <v>1484125</v>
      </c>
      <c r="G99" s="284">
        <v>46</v>
      </c>
      <c r="H99" s="492">
        <f t="shared" si="16"/>
        <v>32263.58695652174</v>
      </c>
      <c r="I99" s="278">
        <v>32500</v>
      </c>
      <c r="J99" s="278"/>
      <c r="K99" s="247" t="s">
        <v>383</v>
      </c>
      <c r="L99" s="280">
        <f t="shared" si="25"/>
        <v>42840</v>
      </c>
      <c r="M99" s="311">
        <v>50</v>
      </c>
      <c r="N99" s="309">
        <v>29344</v>
      </c>
      <c r="O99" s="287">
        <f>M99*N99</f>
        <v>1467200</v>
      </c>
      <c r="P99" s="314" t="s">
        <v>1109</v>
      </c>
      <c r="Q99" s="288">
        <v>42844</v>
      </c>
    </row>
    <row r="100" spans="1:19" ht="21" customHeight="1">
      <c r="A100" s="493">
        <f t="shared" si="15"/>
        <v>50</v>
      </c>
      <c r="B100" s="249" t="s">
        <v>505</v>
      </c>
      <c r="C100" s="308">
        <f t="shared" si="13"/>
        <v>780720</v>
      </c>
      <c r="D100" s="308"/>
      <c r="E100" s="284">
        <f t="shared" si="23"/>
        <v>9198.1283832090703</v>
      </c>
      <c r="F100" s="308">
        <f t="shared" si="24"/>
        <v>789918</v>
      </c>
      <c r="G100" s="284">
        <v>25</v>
      </c>
      <c r="H100" s="492">
        <f t="shared" si="16"/>
        <v>31596.720000000001</v>
      </c>
      <c r="I100" s="278">
        <v>32500</v>
      </c>
      <c r="J100" s="278"/>
      <c r="K100" s="247" t="s">
        <v>344</v>
      </c>
      <c r="L100" s="280">
        <f t="shared" si="25"/>
        <v>42840</v>
      </c>
      <c r="M100" s="311">
        <v>30</v>
      </c>
      <c r="N100" s="309">
        <v>26024</v>
      </c>
      <c r="O100" s="287">
        <f>M100*N100</f>
        <v>780720</v>
      </c>
      <c r="P100" s="314" t="s">
        <v>1109</v>
      </c>
      <c r="Q100" s="288">
        <v>42844</v>
      </c>
    </row>
    <row r="101" spans="1:19" ht="21" customHeight="1">
      <c r="A101" s="493">
        <f t="shared" si="15"/>
        <v>51</v>
      </c>
      <c r="B101" s="249" t="s">
        <v>505</v>
      </c>
      <c r="C101" s="308">
        <f t="shared" si="13"/>
        <v>810837</v>
      </c>
      <c r="D101" s="308"/>
      <c r="E101" s="284">
        <f t="shared" si="23"/>
        <v>9198.1283832090703</v>
      </c>
      <c r="F101" s="308">
        <f t="shared" si="24"/>
        <v>820035</v>
      </c>
      <c r="G101" s="284">
        <v>25</v>
      </c>
      <c r="H101" s="492">
        <f t="shared" si="16"/>
        <v>32801.4</v>
      </c>
      <c r="I101" s="278">
        <v>32500</v>
      </c>
      <c r="J101" s="278"/>
      <c r="K101" s="247" t="s">
        <v>413</v>
      </c>
      <c r="L101" s="280">
        <f t="shared" si="25"/>
        <v>42840</v>
      </c>
      <c r="M101" s="311">
        <v>27</v>
      </c>
      <c r="N101" s="309">
        <v>30031</v>
      </c>
      <c r="O101" s="287">
        <f>M101*N101</f>
        <v>810837</v>
      </c>
      <c r="P101" s="314" t="s">
        <v>1109</v>
      </c>
      <c r="Q101" s="288">
        <v>42844</v>
      </c>
    </row>
    <row r="102" spans="1:19" ht="21" customHeight="1">
      <c r="A102" s="493">
        <f t="shared" si="15"/>
        <v>52</v>
      </c>
      <c r="B102" s="249" t="s">
        <v>500</v>
      </c>
      <c r="C102" s="308">
        <f t="shared" si="13"/>
        <v>2109544</v>
      </c>
      <c r="D102" s="308"/>
      <c r="E102" s="284">
        <f t="shared" si="23"/>
        <v>110377.54059850883</v>
      </c>
      <c r="F102" s="308">
        <f t="shared" si="24"/>
        <v>2219922</v>
      </c>
      <c r="G102" s="284">
        <v>300</v>
      </c>
      <c r="H102" s="492">
        <f t="shared" si="16"/>
        <v>7399.74</v>
      </c>
      <c r="I102" s="278">
        <v>8030</v>
      </c>
      <c r="J102" s="278"/>
      <c r="K102" s="247" t="s">
        <v>381</v>
      </c>
      <c r="L102" s="280">
        <f t="shared" si="14"/>
        <v>42849</v>
      </c>
      <c r="M102" s="243">
        <v>167</v>
      </c>
      <c r="N102" s="181">
        <v>12632</v>
      </c>
      <c r="O102" s="287">
        <f t="shared" si="19"/>
        <v>2109544</v>
      </c>
      <c r="P102" s="314" t="s">
        <v>1113</v>
      </c>
      <c r="Q102" s="288">
        <v>42851</v>
      </c>
    </row>
    <row r="103" spans="1:19" ht="21" customHeight="1">
      <c r="A103" s="493">
        <f t="shared" si="15"/>
        <v>53</v>
      </c>
      <c r="B103" s="249" t="s">
        <v>1114</v>
      </c>
      <c r="C103" s="308">
        <f t="shared" si="13"/>
        <v>855000</v>
      </c>
      <c r="D103" s="308"/>
      <c r="E103" s="284">
        <f t="shared" si="23"/>
        <v>65122.748953120215</v>
      </c>
      <c r="F103" s="308">
        <f t="shared" si="24"/>
        <v>920123</v>
      </c>
      <c r="G103" s="284">
        <v>177</v>
      </c>
      <c r="H103" s="492">
        <f t="shared" si="16"/>
        <v>5198.4350282485875</v>
      </c>
      <c r="I103" s="278">
        <v>5500</v>
      </c>
      <c r="J103" s="278"/>
      <c r="K103" s="248" t="s">
        <v>351</v>
      </c>
      <c r="L103" s="280">
        <f t="shared" si="14"/>
        <v>42849</v>
      </c>
      <c r="M103" s="243">
        <v>40</v>
      </c>
      <c r="N103" s="181">
        <v>21375</v>
      </c>
      <c r="O103" s="287">
        <f t="shared" si="19"/>
        <v>855000</v>
      </c>
      <c r="P103" s="314" t="s">
        <v>1113</v>
      </c>
      <c r="Q103" s="288">
        <v>42851</v>
      </c>
    </row>
    <row r="104" spans="1:19" s="607" customFormat="1" ht="21" customHeight="1">
      <c r="A104" s="493">
        <f t="shared" si="15"/>
        <v>54</v>
      </c>
      <c r="B104" s="723" t="s">
        <v>1032</v>
      </c>
      <c r="C104" s="308">
        <f t="shared" si="13"/>
        <v>453400</v>
      </c>
      <c r="D104" s="724">
        <v>44099744</v>
      </c>
      <c r="E104" s="598">
        <f t="shared" si="23"/>
        <v>1336304.0915126137</v>
      </c>
      <c r="F104" s="724">
        <f t="shared" si="24"/>
        <v>45889448</v>
      </c>
      <c r="G104" s="567">
        <v>3632</v>
      </c>
      <c r="H104" s="728">
        <f t="shared" si="16"/>
        <v>12634.759911894273</v>
      </c>
      <c r="I104" s="599">
        <v>12390</v>
      </c>
      <c r="J104" s="599"/>
      <c r="K104" s="723" t="s">
        <v>400</v>
      </c>
      <c r="L104" s="602">
        <f>Q104-4</f>
        <v>42856</v>
      </c>
      <c r="M104" s="725">
        <v>50</v>
      </c>
      <c r="N104" s="726">
        <v>9068</v>
      </c>
      <c r="O104" s="605">
        <f t="shared" si="19"/>
        <v>453400</v>
      </c>
      <c r="P104" s="565" t="s">
        <v>1125</v>
      </c>
      <c r="Q104" s="563">
        <v>42860</v>
      </c>
      <c r="R104"/>
      <c r="S104"/>
    </row>
    <row r="105" spans="1:19" ht="21" customHeight="1">
      <c r="A105" s="493">
        <f t="shared" si="15"/>
        <v>55</v>
      </c>
      <c r="B105" s="250" t="s">
        <v>1217</v>
      </c>
      <c r="C105" s="308">
        <f t="shared" si="13"/>
        <v>2173920</v>
      </c>
      <c r="D105" s="308"/>
      <c r="E105" s="284">
        <f t="shared" si="23"/>
        <v>103019.03789194158</v>
      </c>
      <c r="F105" s="308">
        <f t="shared" si="24"/>
        <v>2276939</v>
      </c>
      <c r="G105" s="284">
        <f>M105*2</f>
        <v>280</v>
      </c>
      <c r="H105" s="492">
        <f>IF(G105&lt;&gt;"",F105/G105,"")</f>
        <v>8131.9250000000002</v>
      </c>
      <c r="I105" s="278">
        <v>8800</v>
      </c>
      <c r="J105" s="278"/>
      <c r="K105" s="247" t="s">
        <v>312</v>
      </c>
      <c r="L105" s="280">
        <f>Q105-4</f>
        <v>42868</v>
      </c>
      <c r="M105" s="281">
        <v>140</v>
      </c>
      <c r="N105" s="309">
        <v>15528</v>
      </c>
      <c r="O105" s="287">
        <f t="shared" ref="O105:O106" si="26">M105*N105</f>
        <v>2173920</v>
      </c>
      <c r="P105" s="285" t="s">
        <v>1220</v>
      </c>
      <c r="Q105" s="288">
        <v>42872</v>
      </c>
      <c r="R105" s="561"/>
    </row>
    <row r="106" spans="1:19" ht="21" customHeight="1">
      <c r="A106" s="493">
        <f t="shared" si="15"/>
        <v>56</v>
      </c>
      <c r="B106" s="250" t="s">
        <v>1217</v>
      </c>
      <c r="C106" s="308">
        <f t="shared" si="13"/>
        <v>2804932</v>
      </c>
      <c r="D106" s="308"/>
      <c r="E106" s="284">
        <f t="shared" si="23"/>
        <v>128773.79736492697</v>
      </c>
      <c r="F106" s="308">
        <f t="shared" si="24"/>
        <v>2933706</v>
      </c>
      <c r="G106" s="284">
        <v>350</v>
      </c>
      <c r="H106" s="492">
        <f t="shared" ref="H106" si="27">IF(G106&lt;&gt;"",F106/G106,"")</f>
        <v>8382.017142857143</v>
      </c>
      <c r="I106" s="278">
        <v>8800</v>
      </c>
      <c r="J106" s="278"/>
      <c r="K106" s="247" t="s">
        <v>431</v>
      </c>
      <c r="L106" s="280">
        <f t="shared" ref="L106" si="28">Q106-4</f>
        <v>42868</v>
      </c>
      <c r="M106" s="281">
        <v>167</v>
      </c>
      <c r="N106" s="309">
        <v>16796</v>
      </c>
      <c r="O106" s="287">
        <f t="shared" si="26"/>
        <v>2804932</v>
      </c>
      <c r="P106" s="285" t="s">
        <v>1220</v>
      </c>
      <c r="Q106" s="288">
        <v>42872</v>
      </c>
      <c r="R106" s="561"/>
    </row>
    <row r="107" spans="1:19" ht="21" customHeight="1">
      <c r="A107" s="493">
        <f t="shared" si="15"/>
        <v>57</v>
      </c>
      <c r="B107" s="250" t="s">
        <v>1217</v>
      </c>
      <c r="C107" s="308">
        <f t="shared" si="13"/>
        <v>2899400</v>
      </c>
      <c r="D107" s="308"/>
      <c r="E107" s="284">
        <f t="shared" si="23"/>
        <v>147170.05413134512</v>
      </c>
      <c r="F107" s="308">
        <f t="shared" si="24"/>
        <v>3046570</v>
      </c>
      <c r="G107" s="284">
        <f t="shared" ref="G107:G108" si="29">M107*2</f>
        <v>400</v>
      </c>
      <c r="H107" s="492">
        <f t="shared" ref="H107" si="30">IF(G107&lt;&gt;"",F107/G107,"")</f>
        <v>7616.4250000000002</v>
      </c>
      <c r="I107" s="278">
        <v>8800</v>
      </c>
      <c r="J107" s="278"/>
      <c r="K107" s="247" t="s">
        <v>581</v>
      </c>
      <c r="L107" s="280">
        <f t="shared" ref="L107" si="31">Q107-4</f>
        <v>42868</v>
      </c>
      <c r="M107" s="281">
        <v>200</v>
      </c>
      <c r="N107" s="309">
        <v>14497</v>
      </c>
      <c r="O107" s="287">
        <f>M107*N107</f>
        <v>2899400</v>
      </c>
      <c r="P107" s="285" t="s">
        <v>1220</v>
      </c>
      <c r="Q107" s="288">
        <v>42872</v>
      </c>
      <c r="R107" s="561"/>
    </row>
    <row r="108" spans="1:19" ht="21" customHeight="1">
      <c r="A108" s="493">
        <f t="shared" si="15"/>
        <v>58</v>
      </c>
      <c r="B108" s="250" t="s">
        <v>1217</v>
      </c>
      <c r="C108" s="308">
        <f t="shared" si="13"/>
        <v>8051000</v>
      </c>
      <c r="D108" s="308"/>
      <c r="E108" s="284">
        <f t="shared" si="23"/>
        <v>367925.13532836281</v>
      </c>
      <c r="F108" s="308">
        <f t="shared" si="24"/>
        <v>8418925</v>
      </c>
      <c r="G108" s="284">
        <f t="shared" si="29"/>
        <v>1000</v>
      </c>
      <c r="H108" s="492">
        <f>IF(G108&lt;&gt;"",F108/G108,"")</f>
        <v>8418.9249999999993</v>
      </c>
      <c r="I108" s="278">
        <v>8800</v>
      </c>
      <c r="J108" s="278"/>
      <c r="K108" s="247" t="s">
        <v>377</v>
      </c>
      <c r="L108" s="280">
        <f>Q108-4</f>
        <v>42868</v>
      </c>
      <c r="M108" s="281">
        <v>500</v>
      </c>
      <c r="N108" s="309">
        <v>16102</v>
      </c>
      <c r="O108" s="287">
        <f>M108*N108</f>
        <v>8051000</v>
      </c>
      <c r="P108" s="285" t="s">
        <v>1220</v>
      </c>
      <c r="Q108" s="288">
        <v>42872</v>
      </c>
      <c r="R108" s="561"/>
    </row>
    <row r="109" spans="1:19" ht="21" customHeight="1">
      <c r="A109" s="493">
        <f t="shared" si="15"/>
        <v>59</v>
      </c>
      <c r="B109" s="245" t="s">
        <v>503</v>
      </c>
      <c r="C109" s="308">
        <f t="shared" si="13"/>
        <v>11868396</v>
      </c>
      <c r="D109" s="308"/>
      <c r="E109" s="284">
        <f t="shared" si="23"/>
        <v>772642.78418956185</v>
      </c>
      <c r="F109" s="308">
        <f t="shared" si="24"/>
        <v>12641039</v>
      </c>
      <c r="G109" s="307">
        <v>2100</v>
      </c>
      <c r="H109" s="492">
        <f>IF(G109&lt;&gt;"",F109/G109,"")</f>
        <v>6019.5423809523809</v>
      </c>
      <c r="I109" s="278">
        <v>8500</v>
      </c>
      <c r="J109" s="278"/>
      <c r="K109" s="249" t="s">
        <v>348</v>
      </c>
      <c r="L109" s="280">
        <f>Q109-4</f>
        <v>42871</v>
      </c>
      <c r="M109" s="243">
        <v>913</v>
      </c>
      <c r="N109" s="181">
        <v>12999.338444687843</v>
      </c>
      <c r="O109" s="287">
        <f>M109*N109</f>
        <v>11868396</v>
      </c>
      <c r="P109" s="721" t="s">
        <v>1194</v>
      </c>
      <c r="Q109" s="315">
        <v>42875</v>
      </c>
    </row>
    <row r="110" spans="1:19" ht="21" customHeight="1">
      <c r="A110" s="493">
        <f t="shared" si="15"/>
        <v>60</v>
      </c>
      <c r="B110" s="250" t="s">
        <v>1217</v>
      </c>
      <c r="C110" s="308">
        <f t="shared" si="13"/>
        <v>1842768</v>
      </c>
      <c r="D110" s="308"/>
      <c r="E110" s="284">
        <f t="shared" si="23"/>
        <v>84622.781125523441</v>
      </c>
      <c r="F110" s="308">
        <f t="shared" si="24"/>
        <v>1927391</v>
      </c>
      <c r="G110" s="284">
        <v>230</v>
      </c>
      <c r="H110" s="492">
        <f t="shared" ref="H110:H111" si="32">IF(G110&lt;&gt;"",F110/G110,"")</f>
        <v>8379.9608695652169</v>
      </c>
      <c r="I110" s="278">
        <v>8800</v>
      </c>
      <c r="J110" s="278"/>
      <c r="K110" s="247" t="s">
        <v>406</v>
      </c>
      <c r="L110" s="280">
        <f t="shared" ref="L110:L111" si="33">Q110-4</f>
        <v>42875</v>
      </c>
      <c r="M110" s="311">
        <v>72</v>
      </c>
      <c r="N110" s="309">
        <v>25594</v>
      </c>
      <c r="O110" s="287">
        <f>M110*N110</f>
        <v>1842768</v>
      </c>
      <c r="P110" s="285" t="s">
        <v>1221</v>
      </c>
      <c r="Q110" s="288">
        <v>42879</v>
      </c>
      <c r="R110" s="561"/>
    </row>
    <row r="111" spans="1:19" ht="21" customHeight="1">
      <c r="A111" s="493">
        <f t="shared" si="15"/>
        <v>61</v>
      </c>
      <c r="B111" s="250" t="s">
        <v>1217</v>
      </c>
      <c r="C111" s="308">
        <f t="shared" si="13"/>
        <v>3857760</v>
      </c>
      <c r="D111" s="308"/>
      <c r="E111" s="284">
        <f t="shared" si="23"/>
        <v>169245.56225104688</v>
      </c>
      <c r="F111" s="308">
        <f t="shared" si="24"/>
        <v>4027006</v>
      </c>
      <c r="G111" s="284">
        <v>460</v>
      </c>
      <c r="H111" s="492">
        <f t="shared" si="32"/>
        <v>8754.3608695652165</v>
      </c>
      <c r="I111" s="278">
        <v>8800</v>
      </c>
      <c r="J111" s="278"/>
      <c r="K111" s="249" t="s">
        <v>573</v>
      </c>
      <c r="L111" s="280">
        <f t="shared" si="33"/>
        <v>42875</v>
      </c>
      <c r="M111" s="311">
        <v>152</v>
      </c>
      <c r="N111" s="309">
        <v>25380</v>
      </c>
      <c r="O111" s="287">
        <f>M111*N111</f>
        <v>3857760</v>
      </c>
      <c r="P111" s="285" t="s">
        <v>1221</v>
      </c>
      <c r="Q111" s="288">
        <v>42879</v>
      </c>
      <c r="R111" s="561"/>
    </row>
    <row r="112" spans="1:19" ht="21" customHeight="1">
      <c r="A112" s="493">
        <f t="shared" si="15"/>
        <v>62</v>
      </c>
      <c r="B112" s="250" t="s">
        <v>1217</v>
      </c>
      <c r="C112" s="308">
        <f t="shared" si="13"/>
        <v>3058560</v>
      </c>
      <c r="D112" s="308"/>
      <c r="E112" s="284">
        <f t="shared" si="23"/>
        <v>132453.0487182106</v>
      </c>
      <c r="F112" s="308">
        <f t="shared" si="24"/>
        <v>3191013</v>
      </c>
      <c r="G112" s="284">
        <f t="shared" ref="G112:G115" si="34">M112*3</f>
        <v>360</v>
      </c>
      <c r="H112" s="492">
        <f>IF(G112&lt;&gt;"",F112/G112,"")</f>
        <v>8863.9249999999993</v>
      </c>
      <c r="I112" s="278">
        <v>8800</v>
      </c>
      <c r="J112" s="278"/>
      <c r="K112" s="248" t="s">
        <v>332</v>
      </c>
      <c r="L112" s="280">
        <f>Q112-4</f>
        <v>42875</v>
      </c>
      <c r="M112" s="311">
        <v>120</v>
      </c>
      <c r="N112" s="309">
        <v>25488</v>
      </c>
      <c r="O112" s="287">
        <f t="shared" ref="O112:O113" si="35">M112*N112</f>
        <v>3058560</v>
      </c>
      <c r="P112" s="285" t="s">
        <v>1221</v>
      </c>
      <c r="Q112" s="288">
        <v>42879</v>
      </c>
      <c r="R112" s="561"/>
    </row>
    <row r="113" spans="1:19" ht="21" customHeight="1">
      <c r="A113" s="493">
        <f t="shared" si="15"/>
        <v>63</v>
      </c>
      <c r="B113" s="250" t="s">
        <v>1217</v>
      </c>
      <c r="C113" s="308">
        <f t="shared" si="13"/>
        <v>4998480</v>
      </c>
      <c r="D113" s="308"/>
      <c r="E113" s="284">
        <f t="shared" si="23"/>
        <v>228113.58390358492</v>
      </c>
      <c r="F113" s="308">
        <f t="shared" si="24"/>
        <v>5226594</v>
      </c>
      <c r="G113" s="284">
        <v>620</v>
      </c>
      <c r="H113" s="492">
        <f t="shared" ref="H113" si="36">IF(G113&lt;&gt;"",F113/G113,"")</f>
        <v>8429.9903225806447</v>
      </c>
      <c r="I113" s="278">
        <v>8800</v>
      </c>
      <c r="J113" s="278"/>
      <c r="K113" s="249" t="s">
        <v>572</v>
      </c>
      <c r="L113" s="280">
        <f t="shared" ref="L113" si="37">Q113-4</f>
        <v>42875</v>
      </c>
      <c r="M113" s="311">
        <v>204</v>
      </c>
      <c r="N113" s="309">
        <v>24502.352941176472</v>
      </c>
      <c r="O113" s="287">
        <f t="shared" si="35"/>
        <v>4998480</v>
      </c>
      <c r="P113" s="285" t="s">
        <v>1221</v>
      </c>
      <c r="Q113" s="288">
        <v>42879</v>
      </c>
      <c r="R113" s="561"/>
    </row>
    <row r="114" spans="1:19" ht="21" customHeight="1">
      <c r="A114" s="493">
        <f t="shared" si="15"/>
        <v>64</v>
      </c>
      <c r="B114" s="250" t="s">
        <v>1217</v>
      </c>
      <c r="C114" s="308">
        <f t="shared" si="13"/>
        <v>1990680</v>
      </c>
      <c r="D114" s="308"/>
      <c r="E114" s="284">
        <f t="shared" si="23"/>
        <v>88302.032478807072</v>
      </c>
      <c r="F114" s="308">
        <f t="shared" si="24"/>
        <v>2078982</v>
      </c>
      <c r="G114" s="284">
        <f t="shared" si="34"/>
        <v>240</v>
      </c>
      <c r="H114" s="492">
        <f t="shared" ref="H114" si="38">IF(G114&lt;&gt;"",F114/G114,"")</f>
        <v>8662.4249999999993</v>
      </c>
      <c r="I114" s="278">
        <v>8800</v>
      </c>
      <c r="J114" s="278"/>
      <c r="K114" s="250" t="s">
        <v>334</v>
      </c>
      <c r="L114" s="280">
        <f t="shared" ref="L114" si="39">Q114-4</f>
        <v>42875</v>
      </c>
      <c r="M114" s="311">
        <v>80</v>
      </c>
      <c r="N114" s="309">
        <v>24883.5</v>
      </c>
      <c r="O114" s="287">
        <f>M114*N114</f>
        <v>1990680</v>
      </c>
      <c r="P114" s="285" t="s">
        <v>1221</v>
      </c>
      <c r="Q114" s="288">
        <v>42879</v>
      </c>
      <c r="R114" s="561"/>
    </row>
    <row r="115" spans="1:19" ht="21" customHeight="1">
      <c r="A115" s="493">
        <f t="shared" si="15"/>
        <v>65</v>
      </c>
      <c r="B115" s="250" t="s">
        <v>1217</v>
      </c>
      <c r="C115" s="308">
        <f t="shared" si="13"/>
        <v>1009800</v>
      </c>
      <c r="D115" s="308"/>
      <c r="E115" s="284">
        <f t="shared" ref="E115:E147" si="40">IF($G$149&lt;&gt;0,E$149/$G$149*$G115,0)</f>
        <v>44151.016239403536</v>
      </c>
      <c r="F115" s="308">
        <f t="shared" ref="F115:F146" si="41">ROUND(SUM(C115:E115),0)</f>
        <v>1053951</v>
      </c>
      <c r="G115" s="284">
        <f t="shared" si="34"/>
        <v>120</v>
      </c>
      <c r="H115" s="492">
        <f>IF(G115&lt;&gt;"",F115/G115,"")</f>
        <v>8782.9249999999993</v>
      </c>
      <c r="I115" s="278">
        <v>8800</v>
      </c>
      <c r="J115" s="278"/>
      <c r="K115" s="247" t="s">
        <v>326</v>
      </c>
      <c r="L115" s="280">
        <f>Q115-4</f>
        <v>42875</v>
      </c>
      <c r="M115" s="311">
        <v>40</v>
      </c>
      <c r="N115" s="309">
        <v>25245</v>
      </c>
      <c r="O115" s="287">
        <f>M115*N115</f>
        <v>1009800</v>
      </c>
      <c r="P115" s="285" t="s">
        <v>1221</v>
      </c>
      <c r="Q115" s="288">
        <v>42879</v>
      </c>
      <c r="R115" s="561"/>
    </row>
    <row r="116" spans="1:19" ht="21" customHeight="1">
      <c r="A116" s="493">
        <f t="shared" si="15"/>
        <v>66</v>
      </c>
      <c r="B116" s="248" t="s">
        <v>1158</v>
      </c>
      <c r="C116" s="308">
        <f t="shared" ref="C116:C147" si="42">O116</f>
        <v>428517</v>
      </c>
      <c r="D116" s="308"/>
      <c r="E116" s="284">
        <f t="shared" si="40"/>
        <v>378962.88938821369</v>
      </c>
      <c r="F116" s="308">
        <f t="shared" si="41"/>
        <v>807480</v>
      </c>
      <c r="G116" s="307">
        <v>1030</v>
      </c>
      <c r="H116" s="492">
        <f t="shared" si="16"/>
        <v>783.96116504854365</v>
      </c>
      <c r="I116" s="278">
        <v>564</v>
      </c>
      <c r="J116" s="278"/>
      <c r="K116" s="248" t="s">
        <v>339</v>
      </c>
      <c r="L116" s="280">
        <f>Q116-4</f>
        <v>42880</v>
      </c>
      <c r="M116" s="311">
        <v>9</v>
      </c>
      <c r="N116" s="307">
        <v>47613</v>
      </c>
      <c r="O116" s="287">
        <f t="shared" si="19"/>
        <v>428517</v>
      </c>
      <c r="P116" s="285" t="s">
        <v>1139</v>
      </c>
      <c r="Q116" s="315">
        <v>42884</v>
      </c>
    </row>
    <row r="117" spans="1:19" ht="21" customHeight="1">
      <c r="A117" s="493">
        <f t="shared" ref="A117:A147" si="43">IF(B117&lt;&gt;"",A116+1,"")</f>
        <v>67</v>
      </c>
      <c r="B117" s="248" t="s">
        <v>1159</v>
      </c>
      <c r="C117" s="308">
        <f t="shared" si="42"/>
        <v>523743</v>
      </c>
      <c r="D117" s="308"/>
      <c r="E117" s="284">
        <f t="shared" si="40"/>
        <v>298019.35961597384</v>
      </c>
      <c r="F117" s="308">
        <f t="shared" si="41"/>
        <v>821762</v>
      </c>
      <c r="G117" s="307">
        <v>810</v>
      </c>
      <c r="H117" s="492">
        <f t="shared" si="16"/>
        <v>1014.5209876543209</v>
      </c>
      <c r="I117" s="278">
        <v>792</v>
      </c>
      <c r="J117" s="278"/>
      <c r="K117" s="248" t="s">
        <v>339</v>
      </c>
      <c r="L117" s="280">
        <f t="shared" ref="L117:L147" si="44">Q117-4</f>
        <v>42880</v>
      </c>
      <c r="M117" s="311">
        <v>11</v>
      </c>
      <c r="N117" s="307">
        <v>47613</v>
      </c>
      <c r="O117" s="287">
        <f t="shared" si="19"/>
        <v>523743</v>
      </c>
      <c r="P117" s="285" t="s">
        <v>1139</v>
      </c>
      <c r="Q117" s="315">
        <v>42884</v>
      </c>
    </row>
    <row r="118" spans="1:19" s="731" customFormat="1" ht="21" customHeight="1">
      <c r="A118" s="493">
        <f t="shared" si="43"/>
        <v>68</v>
      </c>
      <c r="B118" s="250" t="s">
        <v>1217</v>
      </c>
      <c r="C118" s="308">
        <f t="shared" si="42"/>
        <v>2942568</v>
      </c>
      <c r="D118" s="308"/>
      <c r="E118" s="284">
        <f t="shared" si="40"/>
        <v>136132.30007149422</v>
      </c>
      <c r="F118" s="308">
        <f t="shared" si="41"/>
        <v>3078700</v>
      </c>
      <c r="G118" s="284">
        <v>370</v>
      </c>
      <c r="H118" s="492">
        <f t="shared" ref="H118" si="45">IF(G118&lt;&gt;"",F118/G118,"")</f>
        <v>8320.8108108108099</v>
      </c>
      <c r="I118" s="278">
        <v>8800</v>
      </c>
      <c r="J118" s="278"/>
      <c r="K118" s="247" t="s">
        <v>399</v>
      </c>
      <c r="L118" s="280">
        <f t="shared" ref="L118" si="46">Q118-4</f>
        <v>42882</v>
      </c>
      <c r="M118" s="281">
        <v>114</v>
      </c>
      <c r="N118" s="309">
        <v>25812</v>
      </c>
      <c r="O118" s="287">
        <f>M118*N118</f>
        <v>2942568</v>
      </c>
      <c r="P118" s="285" t="s">
        <v>1222</v>
      </c>
      <c r="Q118" s="288">
        <v>42886</v>
      </c>
      <c r="R118" s="730"/>
    </row>
    <row r="119" spans="1:19" ht="21" customHeight="1">
      <c r="A119" s="493">
        <f t="shared" si="43"/>
        <v>69</v>
      </c>
      <c r="B119" s="250" t="s">
        <v>1217</v>
      </c>
      <c r="C119" s="308">
        <f t="shared" si="42"/>
        <v>769656</v>
      </c>
      <c r="D119" s="308"/>
      <c r="E119" s="284">
        <f t="shared" si="40"/>
        <v>34952.887856194466</v>
      </c>
      <c r="F119" s="308">
        <f t="shared" si="41"/>
        <v>804609</v>
      </c>
      <c r="G119" s="284">
        <v>95</v>
      </c>
      <c r="H119" s="492">
        <f>IF(G119&lt;&gt;"",F119/G119,"")</f>
        <v>8469.5684210526324</v>
      </c>
      <c r="I119" s="278">
        <v>8800</v>
      </c>
      <c r="J119" s="278"/>
      <c r="K119" s="247" t="s">
        <v>342</v>
      </c>
      <c r="L119" s="280">
        <f>Q119-4</f>
        <v>42882</v>
      </c>
      <c r="M119" s="281">
        <v>24</v>
      </c>
      <c r="N119" s="309">
        <v>32069</v>
      </c>
      <c r="O119" s="287">
        <f t="shared" ref="O119:O122" si="47">M119*N119</f>
        <v>769656</v>
      </c>
      <c r="P119" s="285" t="s">
        <v>1222</v>
      </c>
      <c r="Q119" s="288">
        <v>42886</v>
      </c>
      <c r="R119" s="561"/>
    </row>
    <row r="120" spans="1:19" ht="21" customHeight="1">
      <c r="A120" s="493">
        <f t="shared" si="43"/>
        <v>70</v>
      </c>
      <c r="B120" s="250" t="s">
        <v>1217</v>
      </c>
      <c r="C120" s="308">
        <f t="shared" si="42"/>
        <v>1315800</v>
      </c>
      <c r="D120" s="308"/>
      <c r="E120" s="284">
        <f t="shared" si="40"/>
        <v>58868.021652538046</v>
      </c>
      <c r="F120" s="308">
        <f t="shared" si="41"/>
        <v>1374668</v>
      </c>
      <c r="G120" s="284">
        <v>160</v>
      </c>
      <c r="H120" s="492">
        <f>IF(G120&lt;&gt;"",F120/G120,"")</f>
        <v>8591.6749999999993</v>
      </c>
      <c r="I120" s="278">
        <v>8800</v>
      </c>
      <c r="J120" s="278"/>
      <c r="K120" s="247" t="s">
        <v>428</v>
      </c>
      <c r="L120" s="280">
        <f>Q120-4</f>
        <v>42882</v>
      </c>
      <c r="M120" s="281">
        <v>40</v>
      </c>
      <c r="N120" s="309">
        <v>32895</v>
      </c>
      <c r="O120" s="287">
        <f t="shared" si="47"/>
        <v>1315800</v>
      </c>
      <c r="P120" s="285" t="s">
        <v>1222</v>
      </c>
      <c r="Q120" s="288">
        <v>42886</v>
      </c>
      <c r="R120" s="561"/>
    </row>
    <row r="121" spans="1:19" ht="21" customHeight="1">
      <c r="A121" s="493">
        <f t="shared" si="43"/>
        <v>71</v>
      </c>
      <c r="B121" s="250" t="s">
        <v>1217</v>
      </c>
      <c r="C121" s="308">
        <f t="shared" si="42"/>
        <v>1245528</v>
      </c>
      <c r="D121" s="308"/>
      <c r="E121" s="284">
        <f t="shared" si="40"/>
        <v>57028.39597589623</v>
      </c>
      <c r="F121" s="308">
        <f t="shared" si="41"/>
        <v>1302556</v>
      </c>
      <c r="G121" s="284">
        <v>155</v>
      </c>
      <c r="H121" s="492">
        <f t="shared" ref="H121:H122" si="48">IF(G121&lt;&gt;"",F121/G121,"")</f>
        <v>8403.5870967741939</v>
      </c>
      <c r="I121" s="278">
        <v>8800</v>
      </c>
      <c r="J121" s="278"/>
      <c r="K121" s="249" t="s">
        <v>579</v>
      </c>
      <c r="L121" s="280">
        <f t="shared" ref="L121:L122" si="49">Q121-4</f>
        <v>42882</v>
      </c>
      <c r="M121" s="281">
        <v>48</v>
      </c>
      <c r="N121" s="309">
        <v>25948.5</v>
      </c>
      <c r="O121" s="287">
        <f t="shared" si="47"/>
        <v>1245528</v>
      </c>
      <c r="P121" s="285" t="s">
        <v>1222</v>
      </c>
      <c r="Q121" s="288">
        <v>42886</v>
      </c>
      <c r="R121" s="561"/>
    </row>
    <row r="122" spans="1:19" ht="21" customHeight="1">
      <c r="A122" s="493">
        <f t="shared" si="43"/>
        <v>72</v>
      </c>
      <c r="B122" s="250" t="s">
        <v>1217</v>
      </c>
      <c r="C122" s="308">
        <f t="shared" si="42"/>
        <v>1309675</v>
      </c>
      <c r="D122" s="308"/>
      <c r="E122" s="284">
        <f t="shared" si="40"/>
        <v>58868.021652538046</v>
      </c>
      <c r="F122" s="308">
        <f t="shared" si="41"/>
        <v>1368543</v>
      </c>
      <c r="G122" s="284">
        <v>160</v>
      </c>
      <c r="H122" s="492">
        <f t="shared" si="48"/>
        <v>8553.3937499999993</v>
      </c>
      <c r="I122" s="278">
        <v>8800</v>
      </c>
      <c r="J122" s="278"/>
      <c r="K122" s="247" t="s">
        <v>435</v>
      </c>
      <c r="L122" s="280">
        <f t="shared" si="49"/>
        <v>42882</v>
      </c>
      <c r="M122" s="281">
        <v>50</v>
      </c>
      <c r="N122" s="309">
        <v>26193.5</v>
      </c>
      <c r="O122" s="287">
        <f t="shared" si="47"/>
        <v>1309675</v>
      </c>
      <c r="P122" s="285" t="s">
        <v>1222</v>
      </c>
      <c r="Q122" s="288">
        <v>42886</v>
      </c>
      <c r="R122" s="561"/>
    </row>
    <row r="123" spans="1:19" ht="21" customHeight="1">
      <c r="A123" s="493">
        <f t="shared" si="43"/>
        <v>73</v>
      </c>
      <c r="B123" s="250" t="s">
        <v>1217</v>
      </c>
      <c r="C123" s="308">
        <f t="shared" si="42"/>
        <v>753227</v>
      </c>
      <c r="D123" s="308"/>
      <c r="E123" s="284">
        <f t="shared" si="40"/>
        <v>33113.26217955265</v>
      </c>
      <c r="F123" s="308">
        <f t="shared" si="41"/>
        <v>786340</v>
      </c>
      <c r="G123" s="284">
        <v>90</v>
      </c>
      <c r="H123" s="492">
        <f t="shared" ref="H123:H124" si="50">IF(G123&lt;&gt;"",F123/G123,"")</f>
        <v>8737.1111111111113</v>
      </c>
      <c r="I123" s="278">
        <v>8800</v>
      </c>
      <c r="J123" s="278"/>
      <c r="K123" s="249" t="s">
        <v>410</v>
      </c>
      <c r="L123" s="280">
        <f t="shared" ref="L123:L124" si="51">Q123-4</f>
        <v>42882</v>
      </c>
      <c r="M123" s="281">
        <v>23</v>
      </c>
      <c r="N123" s="309">
        <v>32749</v>
      </c>
      <c r="O123" s="287">
        <f>M123*N123</f>
        <v>753227</v>
      </c>
      <c r="P123" s="285" t="s">
        <v>1222</v>
      </c>
      <c r="Q123" s="288">
        <v>42886</v>
      </c>
      <c r="R123" s="561"/>
    </row>
    <row r="124" spans="1:19" ht="21" customHeight="1">
      <c r="A124" s="493">
        <f t="shared" si="43"/>
        <v>74</v>
      </c>
      <c r="B124" s="250" t="s">
        <v>1217</v>
      </c>
      <c r="C124" s="308">
        <f t="shared" si="42"/>
        <v>4624344</v>
      </c>
      <c r="D124" s="308"/>
      <c r="E124" s="284">
        <f t="shared" si="40"/>
        <v>209717.32713716678</v>
      </c>
      <c r="F124" s="308">
        <f t="shared" si="41"/>
        <v>4834061</v>
      </c>
      <c r="G124" s="284">
        <v>570</v>
      </c>
      <c r="H124" s="492">
        <f t="shared" si="50"/>
        <v>8480.8087719298237</v>
      </c>
      <c r="I124" s="278">
        <v>8800</v>
      </c>
      <c r="J124" s="278"/>
      <c r="K124" s="249" t="s">
        <v>1089</v>
      </c>
      <c r="L124" s="280">
        <f t="shared" si="51"/>
        <v>42882</v>
      </c>
      <c r="M124" s="281">
        <v>144</v>
      </c>
      <c r="N124" s="309">
        <v>32113.5</v>
      </c>
      <c r="O124" s="287">
        <f>M124*N124</f>
        <v>4624344</v>
      </c>
      <c r="P124" s="285" t="s">
        <v>1222</v>
      </c>
      <c r="Q124" s="288">
        <v>42886</v>
      </c>
      <c r="R124" s="561"/>
    </row>
    <row r="125" spans="1:19" ht="21" customHeight="1">
      <c r="A125" s="493">
        <f t="shared" si="43"/>
        <v>75</v>
      </c>
      <c r="B125" s="250" t="s">
        <v>1217</v>
      </c>
      <c r="C125" s="308">
        <f t="shared" si="42"/>
        <v>1333680</v>
      </c>
      <c r="D125" s="308"/>
      <c r="E125" s="284">
        <f t="shared" si="40"/>
        <v>58868.021652538046</v>
      </c>
      <c r="F125" s="308">
        <f t="shared" si="41"/>
        <v>1392548</v>
      </c>
      <c r="G125" s="284">
        <f t="shared" ref="G125" si="52">M125*4</f>
        <v>160</v>
      </c>
      <c r="H125" s="492">
        <f>IF(G125&lt;&gt;"",F125/G125,"")</f>
        <v>8703.4249999999993</v>
      </c>
      <c r="I125" s="278">
        <v>8800</v>
      </c>
      <c r="J125" s="278"/>
      <c r="K125" s="249" t="s">
        <v>1086</v>
      </c>
      <c r="L125" s="280">
        <f>Q125-4</f>
        <v>42882</v>
      </c>
      <c r="M125" s="281">
        <v>40</v>
      </c>
      <c r="N125" s="309">
        <v>33342</v>
      </c>
      <c r="O125" s="287">
        <f>M125*N125</f>
        <v>1333680</v>
      </c>
      <c r="P125" s="285" t="s">
        <v>1222</v>
      </c>
      <c r="Q125" s="288">
        <v>42886</v>
      </c>
      <c r="R125" s="561"/>
    </row>
    <row r="126" spans="1:19" ht="21" customHeight="1">
      <c r="A126" s="493">
        <f t="shared" si="43"/>
        <v>76</v>
      </c>
      <c r="B126" s="250" t="s">
        <v>1217</v>
      </c>
      <c r="C126" s="308">
        <f t="shared" si="42"/>
        <v>1280160</v>
      </c>
      <c r="D126" s="308"/>
      <c r="E126" s="284">
        <f t="shared" si="40"/>
        <v>57028.39597589623</v>
      </c>
      <c r="F126" s="308">
        <f t="shared" si="41"/>
        <v>1337188</v>
      </c>
      <c r="G126" s="284">
        <v>155</v>
      </c>
      <c r="H126" s="492">
        <f t="shared" ref="H126" si="53">IF(G126&lt;&gt;"",F126/G126,"")</f>
        <v>8627.0193548387106</v>
      </c>
      <c r="I126" s="278">
        <v>8800</v>
      </c>
      <c r="J126" s="278"/>
      <c r="K126" s="248" t="s">
        <v>387</v>
      </c>
      <c r="L126" s="280">
        <f t="shared" ref="L126" si="54">Q126-4</f>
        <v>42882</v>
      </c>
      <c r="M126" s="281">
        <v>40</v>
      </c>
      <c r="N126" s="309">
        <v>32004</v>
      </c>
      <c r="O126" s="287">
        <f t="shared" ref="O126" si="55">M126*N126</f>
        <v>1280160</v>
      </c>
      <c r="P126" s="285" t="s">
        <v>1222</v>
      </c>
      <c r="Q126" s="288">
        <v>42886</v>
      </c>
      <c r="R126" s="561"/>
    </row>
    <row r="127" spans="1:19" ht="21" customHeight="1">
      <c r="A127" s="493">
        <f t="shared" si="43"/>
        <v>77</v>
      </c>
      <c r="B127" s="250" t="s">
        <v>1217</v>
      </c>
      <c r="C127" s="308">
        <f t="shared" si="42"/>
        <v>905580</v>
      </c>
      <c r="D127" s="308"/>
      <c r="E127" s="284">
        <f t="shared" si="40"/>
        <v>42311.390562761721</v>
      </c>
      <c r="F127" s="308">
        <f t="shared" si="41"/>
        <v>947891</v>
      </c>
      <c r="G127" s="284">
        <v>115</v>
      </c>
      <c r="H127" s="492">
        <f t="shared" ref="H127" si="56">IF(G127&lt;&gt;"",F127/G127,"")</f>
        <v>8242.5304347826095</v>
      </c>
      <c r="I127" s="278">
        <v>8800</v>
      </c>
      <c r="J127" s="278"/>
      <c r="K127" s="247" t="s">
        <v>323</v>
      </c>
      <c r="L127" s="280">
        <f t="shared" ref="L127" si="57">Q127-4</f>
        <v>42882</v>
      </c>
      <c r="M127" s="281">
        <v>36</v>
      </c>
      <c r="N127" s="309">
        <v>25155</v>
      </c>
      <c r="O127" s="287">
        <f t="shared" ref="O127" si="58">M127*N127</f>
        <v>905580</v>
      </c>
      <c r="P127" s="285" t="s">
        <v>1222</v>
      </c>
      <c r="Q127" s="288">
        <v>42886</v>
      </c>
      <c r="R127" s="561"/>
    </row>
    <row r="128" spans="1:19" s="607" customFormat="1" ht="21" customHeight="1">
      <c r="A128" s="493">
        <f t="shared" si="43"/>
        <v>78</v>
      </c>
      <c r="B128" s="712" t="s">
        <v>1114</v>
      </c>
      <c r="C128" s="308">
        <f t="shared" si="42"/>
        <v>1599750</v>
      </c>
      <c r="D128" s="724"/>
      <c r="E128" s="598">
        <f t="shared" si="40"/>
        <v>115896.41762843428</v>
      </c>
      <c r="F128" s="724">
        <f t="shared" si="41"/>
        <v>1715646</v>
      </c>
      <c r="G128" s="567">
        <v>315</v>
      </c>
      <c r="H128" s="728">
        <f t="shared" si="16"/>
        <v>5446.4952380952382</v>
      </c>
      <c r="I128" s="599">
        <v>5885</v>
      </c>
      <c r="J128" s="599"/>
      <c r="K128" s="723" t="s">
        <v>382</v>
      </c>
      <c r="L128" s="602">
        <f t="shared" si="44"/>
        <v>42884</v>
      </c>
      <c r="M128" s="725">
        <v>125</v>
      </c>
      <c r="N128" s="567">
        <v>12798</v>
      </c>
      <c r="O128" s="605">
        <f t="shared" si="19"/>
        <v>1599750</v>
      </c>
      <c r="P128" s="565" t="s">
        <v>1186</v>
      </c>
      <c r="Q128" s="606">
        <v>42888</v>
      </c>
      <c r="R128"/>
      <c r="S128"/>
    </row>
    <row r="129" spans="1:18" ht="21" customHeight="1">
      <c r="A129" s="493">
        <f t="shared" si="43"/>
        <v>79</v>
      </c>
      <c r="B129" s="250" t="s">
        <v>1032</v>
      </c>
      <c r="C129" s="308">
        <f t="shared" si="42"/>
        <v>3071880</v>
      </c>
      <c r="D129" s="308"/>
      <c r="E129" s="284">
        <f t="shared" si="40"/>
        <v>99339.786538657951</v>
      </c>
      <c r="F129" s="308">
        <f t="shared" si="41"/>
        <v>3171220</v>
      </c>
      <c r="G129" s="307">
        <v>270</v>
      </c>
      <c r="H129" s="492">
        <f t="shared" si="16"/>
        <v>11745.259259259259</v>
      </c>
      <c r="I129" s="278">
        <v>12390</v>
      </c>
      <c r="J129" s="278"/>
      <c r="K129" s="248" t="s">
        <v>372</v>
      </c>
      <c r="L129" s="280">
        <f t="shared" si="44"/>
        <v>42885</v>
      </c>
      <c r="M129" s="281">
        <v>140</v>
      </c>
      <c r="N129" s="282">
        <v>21942</v>
      </c>
      <c r="O129" s="287">
        <f t="shared" si="19"/>
        <v>3071880</v>
      </c>
      <c r="P129" s="314" t="s">
        <v>1187</v>
      </c>
      <c r="Q129" s="288">
        <v>42889</v>
      </c>
    </row>
    <row r="130" spans="1:18" ht="21" customHeight="1">
      <c r="A130" s="493">
        <f t="shared" si="43"/>
        <v>80</v>
      </c>
      <c r="B130" s="250" t="s">
        <v>1032</v>
      </c>
      <c r="C130" s="308">
        <f t="shared" si="42"/>
        <v>5663505</v>
      </c>
      <c r="D130" s="308"/>
      <c r="E130" s="284">
        <f t="shared" si="40"/>
        <v>183226.71739352465</v>
      </c>
      <c r="F130" s="308">
        <f t="shared" si="41"/>
        <v>5846732</v>
      </c>
      <c r="G130" s="307">
        <v>498</v>
      </c>
      <c r="H130" s="492">
        <f t="shared" si="16"/>
        <v>11740.425702811244</v>
      </c>
      <c r="I130" s="278">
        <v>12390</v>
      </c>
      <c r="J130" s="278"/>
      <c r="K130" s="248" t="s">
        <v>370</v>
      </c>
      <c r="L130" s="280">
        <f t="shared" si="44"/>
        <v>42885</v>
      </c>
      <c r="M130" s="281">
        <v>249</v>
      </c>
      <c r="N130" s="282">
        <v>22745</v>
      </c>
      <c r="O130" s="287">
        <f t="shared" si="19"/>
        <v>5663505</v>
      </c>
      <c r="P130" s="314" t="s">
        <v>1187</v>
      </c>
      <c r="Q130" s="288">
        <v>42889</v>
      </c>
    </row>
    <row r="131" spans="1:18" ht="21" customHeight="1">
      <c r="A131" s="493">
        <f t="shared" si="43"/>
        <v>81</v>
      </c>
      <c r="B131" s="250" t="s">
        <v>1032</v>
      </c>
      <c r="C131" s="308">
        <f t="shared" si="42"/>
        <v>3542630</v>
      </c>
      <c r="D131" s="308"/>
      <c r="E131" s="284">
        <f t="shared" si="40"/>
        <v>115896.41762843428</v>
      </c>
      <c r="F131" s="308">
        <f t="shared" si="41"/>
        <v>3658526</v>
      </c>
      <c r="G131" s="307">
        <v>315</v>
      </c>
      <c r="H131" s="492">
        <f t="shared" si="16"/>
        <v>11614.368253968254</v>
      </c>
      <c r="I131" s="278">
        <v>12390</v>
      </c>
      <c r="J131" s="278"/>
      <c r="K131" s="247" t="s">
        <v>309</v>
      </c>
      <c r="L131" s="280">
        <f t="shared" si="44"/>
        <v>42885</v>
      </c>
      <c r="M131" s="281">
        <v>170</v>
      </c>
      <c r="N131" s="282">
        <v>20839</v>
      </c>
      <c r="O131" s="287">
        <f t="shared" si="19"/>
        <v>3542630</v>
      </c>
      <c r="P131" s="314" t="s">
        <v>1187</v>
      </c>
      <c r="Q131" s="288">
        <v>42889</v>
      </c>
    </row>
    <row r="132" spans="1:18" ht="21" customHeight="1">
      <c r="A132" s="493">
        <f t="shared" si="43"/>
        <v>82</v>
      </c>
      <c r="B132" s="250" t="s">
        <v>1032</v>
      </c>
      <c r="C132" s="308">
        <f t="shared" si="42"/>
        <v>2701375</v>
      </c>
      <c r="D132" s="308"/>
      <c r="E132" s="284">
        <f t="shared" si="40"/>
        <v>88302.032478807072</v>
      </c>
      <c r="F132" s="308">
        <f t="shared" si="41"/>
        <v>2789677</v>
      </c>
      <c r="G132" s="307">
        <v>240</v>
      </c>
      <c r="H132" s="492">
        <f t="shared" si="16"/>
        <v>11623.654166666667</v>
      </c>
      <c r="I132" s="278">
        <v>12390</v>
      </c>
      <c r="J132" s="278"/>
      <c r="K132" s="247" t="s">
        <v>310</v>
      </c>
      <c r="L132" s="280">
        <f t="shared" si="44"/>
        <v>42885</v>
      </c>
      <c r="M132" s="281">
        <v>125</v>
      </c>
      <c r="N132" s="282">
        <v>21611</v>
      </c>
      <c r="O132" s="287">
        <f t="shared" si="19"/>
        <v>2701375</v>
      </c>
      <c r="P132" s="314" t="s">
        <v>1187</v>
      </c>
      <c r="Q132" s="288">
        <v>42889</v>
      </c>
    </row>
    <row r="133" spans="1:18" ht="21" customHeight="1">
      <c r="A133" s="493">
        <f t="shared" si="43"/>
        <v>83</v>
      </c>
      <c r="B133" s="250" t="s">
        <v>1032</v>
      </c>
      <c r="C133" s="308">
        <f t="shared" si="42"/>
        <v>5746658</v>
      </c>
      <c r="D133" s="308"/>
      <c r="E133" s="284">
        <f t="shared" si="40"/>
        <v>187641.81901746502</v>
      </c>
      <c r="F133" s="308">
        <f t="shared" si="41"/>
        <v>5934300</v>
      </c>
      <c r="G133" s="307">
        <v>510</v>
      </c>
      <c r="H133" s="492">
        <f t="shared" si="16"/>
        <v>11635.882352941177</v>
      </c>
      <c r="I133" s="278">
        <v>12390</v>
      </c>
      <c r="J133" s="278"/>
      <c r="K133" s="247" t="s">
        <v>358</v>
      </c>
      <c r="L133" s="280">
        <f t="shared" ref="L133:L139" si="59">Q133-4</f>
        <v>42885</v>
      </c>
      <c r="M133" s="281">
        <v>275</v>
      </c>
      <c r="N133" s="282">
        <v>20896.938181818183</v>
      </c>
      <c r="O133" s="287">
        <f t="shared" ref="O133:O139" si="60">M133*N133</f>
        <v>5746658</v>
      </c>
      <c r="P133" s="314" t="s">
        <v>1187</v>
      </c>
      <c r="Q133" s="288">
        <v>42889</v>
      </c>
    </row>
    <row r="134" spans="1:18" ht="21" customHeight="1">
      <c r="A134" s="493">
        <f t="shared" si="43"/>
        <v>84</v>
      </c>
      <c r="B134" s="250" t="s">
        <v>1032</v>
      </c>
      <c r="C134" s="308">
        <f t="shared" si="42"/>
        <v>3175200</v>
      </c>
      <c r="D134" s="308"/>
      <c r="E134" s="284">
        <f t="shared" si="40"/>
        <v>103019.03789194158</v>
      </c>
      <c r="F134" s="308">
        <f t="shared" si="41"/>
        <v>3278219</v>
      </c>
      <c r="G134" s="307">
        <v>280</v>
      </c>
      <c r="H134" s="492">
        <f t="shared" si="16"/>
        <v>11707.924999999999</v>
      </c>
      <c r="I134" s="278">
        <v>12390</v>
      </c>
      <c r="J134" s="278"/>
      <c r="K134" s="249" t="s">
        <v>331</v>
      </c>
      <c r="L134" s="280">
        <f t="shared" si="59"/>
        <v>42885</v>
      </c>
      <c r="M134" s="281">
        <v>150</v>
      </c>
      <c r="N134" s="282">
        <v>21168</v>
      </c>
      <c r="O134" s="287">
        <f t="shared" si="60"/>
        <v>3175200</v>
      </c>
      <c r="P134" s="314" t="s">
        <v>1187</v>
      </c>
      <c r="Q134" s="288">
        <v>42889</v>
      </c>
    </row>
    <row r="135" spans="1:18" ht="21" customHeight="1">
      <c r="A135" s="493">
        <f t="shared" si="43"/>
        <v>85</v>
      </c>
      <c r="B135" s="250" t="s">
        <v>1032</v>
      </c>
      <c r="C135" s="308">
        <f t="shared" si="42"/>
        <v>1120210</v>
      </c>
      <c r="D135" s="308"/>
      <c r="E135" s="284">
        <f t="shared" si="40"/>
        <v>36792.513532836281</v>
      </c>
      <c r="F135" s="308">
        <f t="shared" si="41"/>
        <v>1157003</v>
      </c>
      <c r="G135" s="307">
        <v>100</v>
      </c>
      <c r="H135" s="492">
        <f t="shared" si="16"/>
        <v>11570.03</v>
      </c>
      <c r="I135" s="278">
        <v>12390</v>
      </c>
      <c r="J135" s="278"/>
      <c r="K135" s="247" t="s">
        <v>397</v>
      </c>
      <c r="L135" s="280">
        <f t="shared" si="59"/>
        <v>42885</v>
      </c>
      <c r="M135" s="281">
        <v>52</v>
      </c>
      <c r="N135" s="282">
        <v>21542.5</v>
      </c>
      <c r="O135" s="287">
        <f t="shared" si="60"/>
        <v>1120210</v>
      </c>
      <c r="P135" s="314" t="s">
        <v>1187</v>
      </c>
      <c r="Q135" s="288">
        <v>42889</v>
      </c>
    </row>
    <row r="136" spans="1:18" ht="21" customHeight="1">
      <c r="A136" s="493">
        <f t="shared" si="43"/>
        <v>86</v>
      </c>
      <c r="B136" s="250" t="s">
        <v>1032</v>
      </c>
      <c r="C136" s="308">
        <f t="shared" si="42"/>
        <v>2390607</v>
      </c>
      <c r="D136" s="308"/>
      <c r="E136" s="284">
        <f t="shared" si="40"/>
        <v>77264.278418956179</v>
      </c>
      <c r="F136" s="308">
        <f t="shared" si="41"/>
        <v>2467871</v>
      </c>
      <c r="G136" s="307">
        <v>210</v>
      </c>
      <c r="H136" s="492">
        <f t="shared" si="16"/>
        <v>11751.766666666666</v>
      </c>
      <c r="I136" s="278">
        <v>12390</v>
      </c>
      <c r="J136" s="278"/>
      <c r="K136" s="249" t="s">
        <v>433</v>
      </c>
      <c r="L136" s="280">
        <f t="shared" si="59"/>
        <v>42885</v>
      </c>
      <c r="M136" s="281">
        <v>108</v>
      </c>
      <c r="N136" s="282">
        <v>22135.25</v>
      </c>
      <c r="O136" s="287">
        <f t="shared" si="60"/>
        <v>2390607</v>
      </c>
      <c r="P136" s="314" t="s">
        <v>1187</v>
      </c>
      <c r="Q136" s="288">
        <v>42889</v>
      </c>
    </row>
    <row r="137" spans="1:18" ht="21" customHeight="1">
      <c r="A137" s="493">
        <f t="shared" si="43"/>
        <v>87</v>
      </c>
      <c r="B137" s="250" t="s">
        <v>1032</v>
      </c>
      <c r="C137" s="308">
        <f t="shared" si="42"/>
        <v>708378</v>
      </c>
      <c r="D137" s="308"/>
      <c r="E137" s="284">
        <f t="shared" si="40"/>
        <v>23915.13379634358</v>
      </c>
      <c r="F137" s="308">
        <f t="shared" si="41"/>
        <v>732293</v>
      </c>
      <c r="G137" s="307">
        <v>65</v>
      </c>
      <c r="H137" s="492">
        <f t="shared" si="16"/>
        <v>11266.046153846153</v>
      </c>
      <c r="I137" s="278">
        <v>12390</v>
      </c>
      <c r="J137" s="278"/>
      <c r="K137" s="248" t="s">
        <v>411</v>
      </c>
      <c r="L137" s="280">
        <f t="shared" si="59"/>
        <v>42885</v>
      </c>
      <c r="M137" s="281">
        <v>33</v>
      </c>
      <c r="N137" s="282">
        <v>21466</v>
      </c>
      <c r="O137" s="287">
        <f t="shared" si="60"/>
        <v>708378</v>
      </c>
      <c r="P137" s="314" t="s">
        <v>1187</v>
      </c>
      <c r="Q137" s="288">
        <v>42889</v>
      </c>
    </row>
    <row r="138" spans="1:18" ht="21" customHeight="1">
      <c r="A138" s="493">
        <f t="shared" si="43"/>
        <v>88</v>
      </c>
      <c r="B138" s="250" t="s">
        <v>1032</v>
      </c>
      <c r="C138" s="308">
        <f t="shared" si="42"/>
        <v>3655176</v>
      </c>
      <c r="D138" s="308"/>
      <c r="E138" s="284">
        <f t="shared" si="40"/>
        <v>119575.6689817179</v>
      </c>
      <c r="F138" s="308">
        <f t="shared" si="41"/>
        <v>3774752</v>
      </c>
      <c r="G138" s="307">
        <v>325</v>
      </c>
      <c r="H138" s="492">
        <f t="shared" si="16"/>
        <v>11614.621538461539</v>
      </c>
      <c r="I138" s="278">
        <v>12390</v>
      </c>
      <c r="J138" s="278"/>
      <c r="K138" s="247" t="s">
        <v>419</v>
      </c>
      <c r="L138" s="280">
        <f t="shared" si="59"/>
        <v>42885</v>
      </c>
      <c r="M138" s="281">
        <v>168</v>
      </c>
      <c r="N138" s="282">
        <v>21757</v>
      </c>
      <c r="O138" s="287">
        <f t="shared" si="60"/>
        <v>3655176</v>
      </c>
      <c r="P138" s="314" t="s">
        <v>1187</v>
      </c>
      <c r="Q138" s="288">
        <v>42889</v>
      </c>
    </row>
    <row r="139" spans="1:18" ht="21" customHeight="1">
      <c r="A139" s="493">
        <f t="shared" si="43"/>
        <v>89</v>
      </c>
      <c r="B139" s="250" t="s">
        <v>1032</v>
      </c>
      <c r="C139" s="308">
        <f t="shared" si="42"/>
        <v>3880733</v>
      </c>
      <c r="D139" s="308"/>
      <c r="E139" s="284">
        <f t="shared" si="40"/>
        <v>126934.17168828516</v>
      </c>
      <c r="F139" s="308">
        <f t="shared" si="41"/>
        <v>4007667</v>
      </c>
      <c r="G139" s="307">
        <v>345</v>
      </c>
      <c r="H139" s="492">
        <f t="shared" si="16"/>
        <v>11616.426086956522</v>
      </c>
      <c r="I139" s="278">
        <v>12390</v>
      </c>
      <c r="J139" s="278"/>
      <c r="K139" s="247" t="s">
        <v>403</v>
      </c>
      <c r="L139" s="280">
        <f t="shared" si="59"/>
        <v>42885</v>
      </c>
      <c r="M139" s="281">
        <v>182</v>
      </c>
      <c r="N139" s="282">
        <v>21322.708791208792</v>
      </c>
      <c r="O139" s="287">
        <f t="shared" si="60"/>
        <v>3880733</v>
      </c>
      <c r="P139" s="314" t="s">
        <v>1187</v>
      </c>
      <c r="Q139" s="288">
        <v>42889</v>
      </c>
    </row>
    <row r="140" spans="1:18" ht="21" customHeight="1">
      <c r="A140" s="493">
        <f t="shared" si="43"/>
        <v>90</v>
      </c>
      <c r="B140" s="250" t="s">
        <v>1032</v>
      </c>
      <c r="C140" s="308">
        <f t="shared" si="42"/>
        <v>476454</v>
      </c>
      <c r="D140" s="308"/>
      <c r="E140" s="284">
        <f t="shared" si="40"/>
        <v>15452.855683791237</v>
      </c>
      <c r="F140" s="308">
        <f t="shared" si="41"/>
        <v>491907</v>
      </c>
      <c r="G140" s="307">
        <v>42</v>
      </c>
      <c r="H140" s="492">
        <f t="shared" ref="H140:H147" si="61">IF(G140&lt;&gt;"",F140/G140,"")</f>
        <v>11712.071428571429</v>
      </c>
      <c r="I140" s="278">
        <v>12390</v>
      </c>
      <c r="J140" s="278"/>
      <c r="K140" s="247" t="s">
        <v>324</v>
      </c>
      <c r="L140" s="280">
        <f t="shared" si="44"/>
        <v>42885</v>
      </c>
      <c r="M140" s="281">
        <v>22</v>
      </c>
      <c r="N140" s="282">
        <v>21657</v>
      </c>
      <c r="O140" s="287">
        <f t="shared" si="19"/>
        <v>476454</v>
      </c>
      <c r="P140" s="314" t="s">
        <v>1187</v>
      </c>
      <c r="Q140" s="288">
        <v>42889</v>
      </c>
    </row>
    <row r="141" spans="1:18" ht="21" customHeight="1">
      <c r="A141" s="493">
        <f t="shared" si="43"/>
        <v>91</v>
      </c>
      <c r="B141" s="250" t="s">
        <v>1032</v>
      </c>
      <c r="C141" s="308">
        <f t="shared" si="42"/>
        <v>2284200</v>
      </c>
      <c r="D141" s="308"/>
      <c r="E141" s="284">
        <f t="shared" si="40"/>
        <v>73585.027065672562</v>
      </c>
      <c r="F141" s="308">
        <f t="shared" si="41"/>
        <v>2357785</v>
      </c>
      <c r="G141" s="281">
        <v>200</v>
      </c>
      <c r="H141" s="492">
        <f t="shared" si="61"/>
        <v>11788.924999999999</v>
      </c>
      <c r="I141" s="278">
        <v>12390</v>
      </c>
      <c r="J141" s="278"/>
      <c r="K141" s="247" t="s">
        <v>313</v>
      </c>
      <c r="L141" s="280">
        <f>Q141-4</f>
        <v>42885</v>
      </c>
      <c r="M141" s="281">
        <v>200</v>
      </c>
      <c r="N141" s="282">
        <v>11421</v>
      </c>
      <c r="O141" s="287">
        <f>M141*N141</f>
        <v>2284200</v>
      </c>
      <c r="P141" s="314" t="s">
        <v>1187</v>
      </c>
      <c r="Q141" s="288">
        <v>42889</v>
      </c>
    </row>
    <row r="142" spans="1:18" ht="21" customHeight="1">
      <c r="A142" s="493">
        <f t="shared" si="43"/>
        <v>92</v>
      </c>
      <c r="B142" s="250" t="s">
        <v>1255</v>
      </c>
      <c r="C142" s="308">
        <f t="shared" ref="C142:C143" si="62">O142</f>
        <v>1000008</v>
      </c>
      <c r="D142" s="308"/>
      <c r="E142" s="284">
        <f t="shared" si="40"/>
        <v>68066.150035747109</v>
      </c>
      <c r="F142" s="308">
        <f t="shared" si="41"/>
        <v>1068074</v>
      </c>
      <c r="G142" s="307">
        <v>185</v>
      </c>
      <c r="H142" s="492">
        <f t="shared" ref="H142:H143" si="63">IF(G142&lt;&gt;"",F142/G142,"")</f>
        <v>5773.372972972973</v>
      </c>
      <c r="I142" s="278">
        <v>11500</v>
      </c>
      <c r="J142" s="278"/>
      <c r="K142" s="249" t="s">
        <v>340</v>
      </c>
      <c r="L142" s="280">
        <f t="shared" ref="L142" si="64">Q142-4</f>
        <v>42894</v>
      </c>
      <c r="M142" s="243">
        <v>38</v>
      </c>
      <c r="N142" s="181">
        <v>26316</v>
      </c>
      <c r="O142" s="287">
        <f t="shared" ref="O142" si="65">M142*N142</f>
        <v>1000008</v>
      </c>
      <c r="P142" s="314" t="s">
        <v>1254</v>
      </c>
      <c r="Q142" s="288">
        <v>42898</v>
      </c>
      <c r="R142" s="561"/>
    </row>
    <row r="143" spans="1:18" ht="21" customHeight="1">
      <c r="A143" s="493">
        <f t="shared" si="43"/>
        <v>93</v>
      </c>
      <c r="B143" s="250" t="s">
        <v>503</v>
      </c>
      <c r="C143" s="308">
        <f t="shared" si="62"/>
        <v>3850200</v>
      </c>
      <c r="D143" s="308"/>
      <c r="E143" s="284">
        <f t="shared" si="40"/>
        <v>257547.59472985394</v>
      </c>
      <c r="F143" s="308">
        <f t="shared" si="41"/>
        <v>4107748</v>
      </c>
      <c r="G143" s="281">
        <v>700</v>
      </c>
      <c r="H143" s="492">
        <f t="shared" si="63"/>
        <v>5868.2114285714288</v>
      </c>
      <c r="I143" s="278">
        <v>8500</v>
      </c>
      <c r="J143" s="278"/>
      <c r="K143" s="247" t="s">
        <v>350</v>
      </c>
      <c r="L143" s="280">
        <f>Q143-4</f>
        <v>42894</v>
      </c>
      <c r="M143" s="281">
        <v>200</v>
      </c>
      <c r="N143" s="282">
        <v>19251</v>
      </c>
      <c r="O143" s="287">
        <f>M143*N143</f>
        <v>3850200</v>
      </c>
      <c r="P143" s="314" t="s">
        <v>1254</v>
      </c>
      <c r="Q143" s="288">
        <v>42898</v>
      </c>
      <c r="R143" s="561"/>
    </row>
    <row r="144" spans="1:18" ht="21" customHeight="1">
      <c r="A144" s="493">
        <f t="shared" si="43"/>
        <v>94</v>
      </c>
      <c r="B144" s="250" t="s">
        <v>503</v>
      </c>
      <c r="C144" s="308">
        <f t="shared" ref="C144" si="66">O144</f>
        <v>2715840</v>
      </c>
      <c r="D144" s="308"/>
      <c r="E144" s="284">
        <f t="shared" si="40"/>
        <v>165566.31089776327</v>
      </c>
      <c r="F144" s="308">
        <f t="shared" si="41"/>
        <v>2881406</v>
      </c>
      <c r="G144" s="281">
        <v>450</v>
      </c>
      <c r="H144" s="492">
        <f t="shared" ref="H144" si="67">IF(G144&lt;&gt;"",F144/G144,"")</f>
        <v>6403.1244444444446</v>
      </c>
      <c r="I144" s="278">
        <v>8500</v>
      </c>
      <c r="J144" s="278"/>
      <c r="K144" s="247" t="s">
        <v>308</v>
      </c>
      <c r="L144" s="280">
        <f>Q144-4</f>
        <v>42894</v>
      </c>
      <c r="M144" s="281">
        <v>240</v>
      </c>
      <c r="N144" s="282">
        <v>11316</v>
      </c>
      <c r="O144" s="287">
        <f>M144*N144</f>
        <v>2715840</v>
      </c>
      <c r="P144" s="314" t="s">
        <v>1254</v>
      </c>
      <c r="Q144" s="288">
        <v>42898</v>
      </c>
      <c r="R144" s="561"/>
    </row>
    <row r="145" spans="1:18" ht="21" customHeight="1">
      <c r="A145" s="493">
        <f t="shared" si="43"/>
        <v>95</v>
      </c>
      <c r="B145" s="250" t="s">
        <v>503</v>
      </c>
      <c r="C145" s="308">
        <f t="shared" ref="C145" si="68">O145</f>
        <v>2195600</v>
      </c>
      <c r="D145" s="308"/>
      <c r="E145" s="284">
        <f t="shared" si="40"/>
        <v>147170.05413134512</v>
      </c>
      <c r="F145" s="308">
        <f t="shared" si="41"/>
        <v>2342770</v>
      </c>
      <c r="G145" s="281">
        <f>M145*2</f>
        <v>400</v>
      </c>
      <c r="H145" s="492">
        <f t="shared" ref="H145" si="69">IF(G145&lt;&gt;"",F145/G145,"")</f>
        <v>5856.9250000000002</v>
      </c>
      <c r="I145" s="278">
        <v>8500</v>
      </c>
      <c r="J145" s="278"/>
      <c r="K145" s="247" t="s">
        <v>311</v>
      </c>
      <c r="L145" s="280">
        <f>Q145-4</f>
        <v>42894</v>
      </c>
      <c r="M145" s="281">
        <v>200</v>
      </c>
      <c r="N145" s="282">
        <v>10978</v>
      </c>
      <c r="O145" s="287">
        <f>M145*N145</f>
        <v>2195600</v>
      </c>
      <c r="P145" s="314" t="s">
        <v>1254</v>
      </c>
      <c r="Q145" s="288">
        <v>42898</v>
      </c>
      <c r="R145" s="561"/>
    </row>
    <row r="146" spans="1:18" ht="21" customHeight="1">
      <c r="A146" s="493">
        <f t="shared" si="43"/>
        <v>96</v>
      </c>
      <c r="B146" s="250" t="s">
        <v>1189</v>
      </c>
      <c r="C146" s="308">
        <f t="shared" si="42"/>
        <v>4151840</v>
      </c>
      <c r="D146" s="308"/>
      <c r="E146" s="287">
        <f t="shared" si="40"/>
        <v>110377.54059850883</v>
      </c>
      <c r="F146" s="308">
        <f t="shared" si="41"/>
        <v>4262218</v>
      </c>
      <c r="G146" s="307">
        <v>300</v>
      </c>
      <c r="H146" s="492">
        <f t="shared" si="61"/>
        <v>14207.393333333333</v>
      </c>
      <c r="I146" s="278">
        <v>15500</v>
      </c>
      <c r="J146" s="278"/>
      <c r="K146" s="247" t="s">
        <v>359</v>
      </c>
      <c r="L146" s="280">
        <f t="shared" si="44"/>
        <v>42895</v>
      </c>
      <c r="M146" s="281">
        <v>140</v>
      </c>
      <c r="N146" s="309">
        <v>29656</v>
      </c>
      <c r="O146" s="287">
        <f t="shared" si="19"/>
        <v>4151840</v>
      </c>
      <c r="P146" s="314" t="s">
        <v>1190</v>
      </c>
      <c r="Q146" s="288">
        <v>42899</v>
      </c>
    </row>
    <row r="147" spans="1:18" ht="21" customHeight="1">
      <c r="A147" s="493">
        <f t="shared" si="43"/>
        <v>97</v>
      </c>
      <c r="B147" s="250" t="s">
        <v>1191</v>
      </c>
      <c r="C147" s="308">
        <f t="shared" si="42"/>
        <v>736840</v>
      </c>
      <c r="D147" s="308"/>
      <c r="E147" s="284">
        <f t="shared" si="40"/>
        <v>18396.256766418141</v>
      </c>
      <c r="F147" s="308">
        <f t="shared" ref="F147" si="70">ROUND(SUM(C147:E147),0)</f>
        <v>755236</v>
      </c>
      <c r="G147" s="307">
        <v>50</v>
      </c>
      <c r="H147" s="492">
        <f t="shared" si="61"/>
        <v>15104.72</v>
      </c>
      <c r="I147" s="278">
        <v>17240</v>
      </c>
      <c r="J147" s="278"/>
      <c r="K147" s="249" t="s">
        <v>436</v>
      </c>
      <c r="L147" s="280">
        <f t="shared" si="44"/>
        <v>42910</v>
      </c>
      <c r="M147" s="281">
        <v>20</v>
      </c>
      <c r="N147" s="309">
        <v>36842</v>
      </c>
      <c r="O147" s="287">
        <f t="shared" si="19"/>
        <v>736840</v>
      </c>
      <c r="P147" s="314" t="s">
        <v>1192</v>
      </c>
      <c r="Q147" s="288">
        <v>42914</v>
      </c>
    </row>
    <row r="148" spans="1:18" ht="21" customHeight="1">
      <c r="A148" s="493" t="str">
        <f>IF(B148&lt;&gt;"",#REF!+1,"")</f>
        <v/>
      </c>
      <c r="B148" s="248"/>
      <c r="C148" s="308"/>
      <c r="D148" s="308"/>
      <c r="E148" s="284"/>
      <c r="F148" s="308"/>
      <c r="G148" s="284"/>
      <c r="H148" s="284"/>
      <c r="I148" s="278"/>
      <c r="J148" s="278"/>
      <c r="K148" s="247"/>
      <c r="L148" s="288"/>
      <c r="M148" s="281"/>
      <c r="N148" s="309"/>
      <c r="O148" s="287"/>
      <c r="P148" s="285"/>
      <c r="Q148" s="288"/>
    </row>
    <row r="149" spans="1:18" ht="21" customHeight="1">
      <c r="A149" s="293"/>
      <c r="B149" s="294" t="s">
        <v>221</v>
      </c>
      <c r="C149" s="295">
        <f>SUM(C51:C148)</f>
        <v>177662352</v>
      </c>
      <c r="D149" s="295">
        <f>SUM(D51:D148)</f>
        <v>299320976</v>
      </c>
      <c r="E149" s="295">
        <v>14409420</v>
      </c>
      <c r="F149" s="295">
        <f>ROUND(SUM(F51:F148),0)</f>
        <v>491392752</v>
      </c>
      <c r="G149" s="295">
        <f>ROUND(SUM(G51:G148),0)</f>
        <v>39164</v>
      </c>
      <c r="H149" s="295"/>
      <c r="I149" s="262"/>
      <c r="J149" s="262"/>
      <c r="K149" s="296"/>
      <c r="L149" s="297"/>
      <c r="M149" s="312"/>
      <c r="N149" s="313"/>
      <c r="O149" s="199">
        <f>SUM(O51:O148)</f>
        <v>177662352</v>
      </c>
      <c r="P149" s="199"/>
      <c r="Q149" s="199"/>
    </row>
    <row r="150" spans="1:18" ht="15">
      <c r="A150" s="299"/>
      <c r="B150" s="300"/>
      <c r="C150" s="263"/>
      <c r="D150" s="263"/>
      <c r="E150" s="263"/>
      <c r="F150" s="263"/>
      <c r="G150" s="263"/>
      <c r="H150" s="263"/>
      <c r="I150" s="262"/>
      <c r="J150" s="262"/>
      <c r="K150" s="301"/>
      <c r="L150" s="302"/>
      <c r="M150" s="303"/>
      <c r="N150" s="269"/>
      <c r="O150" s="304"/>
      <c r="P150" s="301"/>
      <c r="Q150" s="302"/>
    </row>
    <row r="151" spans="1:18" ht="15">
      <c r="A151" s="299"/>
      <c r="B151" s="300"/>
      <c r="C151" s="263"/>
      <c r="D151" s="263"/>
      <c r="E151" s="263"/>
      <c r="F151" s="263"/>
      <c r="G151" s="263"/>
      <c r="H151" s="263"/>
      <c r="I151" s="262"/>
      <c r="J151" s="262"/>
      <c r="K151" s="301"/>
      <c r="L151" s="302"/>
      <c r="M151" s="303"/>
      <c r="N151" s="269"/>
      <c r="O151" s="304"/>
      <c r="P151" s="301"/>
      <c r="Q151" s="302"/>
    </row>
    <row r="152" spans="1:18" ht="15">
      <c r="A152" s="257"/>
      <c r="B152" s="257"/>
      <c r="C152" s="257"/>
      <c r="D152" s="257"/>
      <c r="E152" s="257"/>
      <c r="F152" s="257"/>
      <c r="G152" s="257"/>
      <c r="H152" s="257"/>
      <c r="I152" s="258"/>
      <c r="J152" s="258"/>
      <c r="K152" s="301"/>
      <c r="L152" s="302"/>
      <c r="M152" s="303"/>
      <c r="N152" s="269"/>
      <c r="O152" s="304"/>
      <c r="P152" s="301"/>
      <c r="Q152" s="302"/>
    </row>
    <row r="153" spans="1:18" ht="18" hidden="1" customHeight="1">
      <c r="A153" s="122" t="str">
        <f>TH!$A$1</f>
        <v>Đơn vị: CÔNG TY TNHH MỘT THÀNH VIÊN KHỞI NGUYÊN AN</v>
      </c>
      <c r="B153" s="261"/>
      <c r="C153" s="181"/>
      <c r="D153" s="181"/>
      <c r="E153" s="181"/>
      <c r="F153" s="181"/>
      <c r="G153" s="124"/>
      <c r="H153" s="181"/>
      <c r="I153" s="262"/>
      <c r="J153" s="262"/>
      <c r="K153" s="301"/>
      <c r="L153" s="302"/>
      <c r="M153" s="303"/>
      <c r="N153" s="269"/>
      <c r="O153" s="304"/>
      <c r="P153" s="301"/>
      <c r="Q153" s="302"/>
    </row>
    <row r="154" spans="1:18" ht="18.75" customHeight="1">
      <c r="A154" s="263" t="s">
        <v>454</v>
      </c>
      <c r="B154" s="263"/>
      <c r="C154" s="263"/>
      <c r="D154" s="263"/>
      <c r="E154" s="263"/>
      <c r="F154" s="263"/>
      <c r="G154" s="263"/>
      <c r="H154" s="263"/>
      <c r="I154" s="262"/>
      <c r="J154" s="262"/>
      <c r="K154" s="301"/>
      <c r="L154" s="302"/>
      <c r="M154" s="303"/>
      <c r="N154" s="269"/>
      <c r="O154" s="304"/>
      <c r="P154" s="301"/>
      <c r="Q154" s="302"/>
    </row>
    <row r="155" spans="1:18" ht="12.75" customHeight="1">
      <c r="A155" s="264"/>
      <c r="B155" s="265"/>
      <c r="C155" s="265"/>
      <c r="D155" s="265"/>
      <c r="E155" s="265"/>
      <c r="F155" s="265"/>
      <c r="G155" s="266"/>
      <c r="H155" s="265"/>
      <c r="I155" s="262"/>
      <c r="J155" s="262"/>
      <c r="K155" s="301"/>
      <c r="L155" s="302"/>
      <c r="M155" s="303"/>
      <c r="N155" s="269"/>
      <c r="O155" s="304"/>
      <c r="P155" s="301"/>
      <c r="Q155" s="302"/>
    </row>
    <row r="156" spans="1:18" ht="36.75" customHeight="1">
      <c r="A156" s="270" t="s">
        <v>33</v>
      </c>
      <c r="B156" s="271" t="s">
        <v>214</v>
      </c>
      <c r="C156" s="272" t="s">
        <v>217</v>
      </c>
      <c r="D156" s="272" t="s">
        <v>333</v>
      </c>
      <c r="E156" s="272" t="s">
        <v>260</v>
      </c>
      <c r="F156" s="272" t="s">
        <v>218</v>
      </c>
      <c r="G156" s="273" t="s">
        <v>215</v>
      </c>
      <c r="H156" s="272" t="s">
        <v>219</v>
      </c>
      <c r="I156" s="274"/>
      <c r="J156" s="274"/>
      <c r="K156" s="271" t="s">
        <v>214</v>
      </c>
      <c r="L156" s="272" t="s">
        <v>208</v>
      </c>
      <c r="M156" s="275" t="s">
        <v>175</v>
      </c>
      <c r="N156" s="272" t="s">
        <v>216</v>
      </c>
      <c r="O156" s="272" t="s">
        <v>220</v>
      </c>
      <c r="P156" s="271" t="s">
        <v>214</v>
      </c>
      <c r="Q156" s="272" t="s">
        <v>208</v>
      </c>
    </row>
    <row r="157" spans="1:18" ht="21.75" customHeight="1">
      <c r="A157" s="320">
        <f>IF(B157&lt;&gt;"",ROW()-(ROW()-1),"")</f>
        <v>1</v>
      </c>
      <c r="B157" s="250" t="s">
        <v>1343</v>
      </c>
      <c r="C157" s="243">
        <f>O157</f>
        <v>2762568</v>
      </c>
      <c r="D157" s="243"/>
      <c r="E157" s="277">
        <f t="shared" ref="E157:E200" si="71">IF($G$202&lt;&gt;0,E$202/$G$202*$G157,0)</f>
        <v>238805.27204502813</v>
      </c>
      <c r="F157" s="243">
        <f t="shared" ref="F157:F200" si="72">SUM(C157:E157)</f>
        <v>3001373.2720450279</v>
      </c>
      <c r="G157" s="277">
        <v>53</v>
      </c>
      <c r="H157" s="277">
        <f t="shared" ref="H157:H162" si="73">IF(G157&lt;&gt;"",F157/G157,"")</f>
        <v>56629.684378208076</v>
      </c>
      <c r="I157" s="278">
        <v>71934</v>
      </c>
      <c r="J157" s="278"/>
      <c r="K157" s="247" t="s">
        <v>418</v>
      </c>
      <c r="L157" s="280">
        <v>42926</v>
      </c>
      <c r="M157" s="281">
        <v>68</v>
      </c>
      <c r="N157" s="282">
        <v>40626</v>
      </c>
      <c r="O157" s="243">
        <f>ROUND(M157*N157,0)</f>
        <v>2762568</v>
      </c>
      <c r="P157" s="314" t="s">
        <v>1341</v>
      </c>
      <c r="Q157" s="315">
        <v>42947</v>
      </c>
      <c r="R157" s="561">
        <f>G157*I157</f>
        <v>3812502</v>
      </c>
    </row>
    <row r="158" spans="1:18" ht="21.75" customHeight="1">
      <c r="A158" s="320">
        <f>IF(B158&lt;&gt;"",A157+1,"")</f>
        <v>2</v>
      </c>
      <c r="B158" s="250" t="s">
        <v>1344</v>
      </c>
      <c r="C158" s="243">
        <f t="shared" ref="C158:C180" si="74">O158</f>
        <v>2803194</v>
      </c>
      <c r="D158" s="243"/>
      <c r="E158" s="277">
        <f t="shared" si="71"/>
        <v>238805.27204502813</v>
      </c>
      <c r="F158" s="243">
        <f t="shared" si="72"/>
        <v>3041999.2720450279</v>
      </c>
      <c r="G158" s="277">
        <v>53</v>
      </c>
      <c r="H158" s="277">
        <f t="shared" si="73"/>
        <v>57396.212680094868</v>
      </c>
      <c r="I158" s="278">
        <v>74153</v>
      </c>
      <c r="J158" s="278"/>
      <c r="K158" s="247" t="s">
        <v>418</v>
      </c>
      <c r="L158" s="280">
        <v>42927</v>
      </c>
      <c r="M158" s="281">
        <v>69</v>
      </c>
      <c r="N158" s="282">
        <v>40626</v>
      </c>
      <c r="O158" s="243">
        <f>ROUND(M158*N158,0)</f>
        <v>2803194</v>
      </c>
      <c r="P158" s="314" t="s">
        <v>1341</v>
      </c>
      <c r="Q158" s="315">
        <v>42947</v>
      </c>
      <c r="R158" s="561">
        <f t="shared" ref="R158:R170" si="75">G158*I158</f>
        <v>3930109</v>
      </c>
    </row>
    <row r="159" spans="1:18" ht="21.75" customHeight="1">
      <c r="A159" s="320">
        <f t="shared" ref="A159:A171" si="76">IF(B159&lt;&gt;"",A158+1,"")</f>
        <v>3</v>
      </c>
      <c r="B159" s="250" t="s">
        <v>1345</v>
      </c>
      <c r="C159" s="243">
        <f t="shared" si="74"/>
        <v>2280312</v>
      </c>
      <c r="D159" s="243"/>
      <c r="E159" s="277">
        <f t="shared" si="71"/>
        <v>243311.03189493433</v>
      </c>
      <c r="F159" s="243">
        <f t="shared" si="72"/>
        <v>2523623.0318949344</v>
      </c>
      <c r="G159" s="277">
        <v>54</v>
      </c>
      <c r="H159" s="277">
        <f t="shared" si="73"/>
        <v>46733.759849906193</v>
      </c>
      <c r="I159" s="278">
        <v>50979</v>
      </c>
      <c r="J159" s="278"/>
      <c r="K159" s="247" t="s">
        <v>335</v>
      </c>
      <c r="L159" s="280">
        <v>42928</v>
      </c>
      <c r="M159" s="281">
        <v>46</v>
      </c>
      <c r="N159" s="282">
        <v>49572</v>
      </c>
      <c r="O159" s="243">
        <f t="shared" ref="O159:O201" si="77">ROUND(M159*N159,0)</f>
        <v>2280312</v>
      </c>
      <c r="P159" s="314" t="s">
        <v>1341</v>
      </c>
      <c r="Q159" s="315">
        <v>42947</v>
      </c>
      <c r="R159" s="561">
        <f t="shared" si="75"/>
        <v>2752866</v>
      </c>
    </row>
    <row r="160" spans="1:18" ht="21.75" customHeight="1">
      <c r="A160" s="320">
        <f t="shared" si="76"/>
        <v>4</v>
      </c>
      <c r="B160" s="250" t="s">
        <v>1346</v>
      </c>
      <c r="C160" s="243">
        <f t="shared" si="74"/>
        <v>2537964</v>
      </c>
      <c r="D160" s="243"/>
      <c r="E160" s="277">
        <f t="shared" si="71"/>
        <v>243311.03189493433</v>
      </c>
      <c r="F160" s="243">
        <f t="shared" si="72"/>
        <v>2781275.0318949344</v>
      </c>
      <c r="G160" s="277">
        <v>54</v>
      </c>
      <c r="H160" s="277">
        <f t="shared" si="73"/>
        <v>51505.093183239522</v>
      </c>
      <c r="I160" s="278">
        <v>52849</v>
      </c>
      <c r="J160" s="278"/>
      <c r="K160" s="249" t="s">
        <v>347</v>
      </c>
      <c r="L160" s="280">
        <v>42929</v>
      </c>
      <c r="M160" s="281">
        <v>52</v>
      </c>
      <c r="N160" s="282">
        <v>48807</v>
      </c>
      <c r="O160" s="243">
        <f t="shared" si="77"/>
        <v>2537964</v>
      </c>
      <c r="P160" s="314" t="s">
        <v>1341</v>
      </c>
      <c r="Q160" s="315">
        <v>42947</v>
      </c>
      <c r="R160" s="561">
        <f t="shared" si="75"/>
        <v>2853846</v>
      </c>
    </row>
    <row r="161" spans="1:18" ht="21.75" customHeight="1">
      <c r="A161" s="320">
        <f>IF(B161&lt;&gt;"",A160+1,"")</f>
        <v>5</v>
      </c>
      <c r="B161" s="250" t="s">
        <v>1330</v>
      </c>
      <c r="C161" s="243">
        <f t="shared" si="74"/>
        <v>3993114</v>
      </c>
      <c r="D161" s="243"/>
      <c r="E161" s="277">
        <f t="shared" si="71"/>
        <v>648829.4183864916</v>
      </c>
      <c r="F161" s="243">
        <f t="shared" si="72"/>
        <v>4641943.4183864919</v>
      </c>
      <c r="G161" s="277">
        <v>144</v>
      </c>
      <c r="H161" s="277">
        <f t="shared" si="73"/>
        <v>32235.718183239529</v>
      </c>
      <c r="I161" s="278">
        <v>33664</v>
      </c>
      <c r="J161" s="278"/>
      <c r="K161" s="248" t="s">
        <v>336</v>
      </c>
      <c r="L161" s="280">
        <v>42930</v>
      </c>
      <c r="M161" s="281">
        <v>74</v>
      </c>
      <c r="N161" s="282">
        <v>53961</v>
      </c>
      <c r="O161" s="243">
        <f t="shared" si="77"/>
        <v>3993114</v>
      </c>
      <c r="P161" s="314" t="s">
        <v>1342</v>
      </c>
      <c r="Q161" s="315">
        <v>42947</v>
      </c>
      <c r="R161" s="561">
        <f t="shared" si="75"/>
        <v>4847616</v>
      </c>
    </row>
    <row r="162" spans="1:18" ht="21.75" customHeight="1">
      <c r="A162" s="320">
        <f t="shared" si="76"/>
        <v>6</v>
      </c>
      <c r="B162" s="250" t="s">
        <v>1347</v>
      </c>
      <c r="C162" s="243">
        <f t="shared" si="74"/>
        <v>2726003</v>
      </c>
      <c r="D162" s="243"/>
      <c r="E162" s="277">
        <f t="shared" si="71"/>
        <v>432552.94559099438</v>
      </c>
      <c r="F162" s="243">
        <f t="shared" si="72"/>
        <v>3158555.9455909943</v>
      </c>
      <c r="G162" s="277">
        <v>96</v>
      </c>
      <c r="H162" s="277">
        <f t="shared" si="73"/>
        <v>32901.624433239522</v>
      </c>
      <c r="I162" s="278">
        <v>35215</v>
      </c>
      <c r="J162" s="278"/>
      <c r="K162" s="248" t="s">
        <v>360</v>
      </c>
      <c r="L162" s="280">
        <v>42931</v>
      </c>
      <c r="M162" s="281">
        <v>151</v>
      </c>
      <c r="N162" s="282">
        <v>18053</v>
      </c>
      <c r="O162" s="243">
        <f t="shared" si="77"/>
        <v>2726003</v>
      </c>
      <c r="P162" s="314" t="s">
        <v>1342</v>
      </c>
      <c r="Q162" s="315">
        <v>42947</v>
      </c>
      <c r="R162" s="561">
        <f t="shared" si="75"/>
        <v>3380640</v>
      </c>
    </row>
    <row r="163" spans="1:18" ht="21.75" customHeight="1">
      <c r="A163" s="320">
        <f t="shared" si="76"/>
        <v>7</v>
      </c>
      <c r="B163" s="250" t="s">
        <v>1331</v>
      </c>
      <c r="C163" s="243">
        <f t="shared" si="74"/>
        <v>3404100</v>
      </c>
      <c r="D163" s="243"/>
      <c r="E163" s="277">
        <f t="shared" si="71"/>
        <v>432552.94559099438</v>
      </c>
      <c r="F163" s="243">
        <f t="shared" si="72"/>
        <v>3836652.9455909943</v>
      </c>
      <c r="G163" s="277">
        <v>96</v>
      </c>
      <c r="H163" s="277">
        <f t="shared" ref="H163:H171" si="78">IF(G163&lt;&gt;"",F163/G163,"")</f>
        <v>39965.134849906193</v>
      </c>
      <c r="I163" s="278">
        <v>40427</v>
      </c>
      <c r="J163" s="278"/>
      <c r="K163" s="247" t="s">
        <v>325</v>
      </c>
      <c r="L163" s="280">
        <v>42932</v>
      </c>
      <c r="M163" s="281">
        <v>100</v>
      </c>
      <c r="N163" s="282">
        <v>34041</v>
      </c>
      <c r="O163" s="243">
        <f t="shared" si="77"/>
        <v>3404100</v>
      </c>
      <c r="P163" s="314" t="s">
        <v>1342</v>
      </c>
      <c r="Q163" s="315">
        <v>42947</v>
      </c>
      <c r="R163" s="561">
        <f t="shared" si="75"/>
        <v>3880992</v>
      </c>
    </row>
    <row r="164" spans="1:18" ht="21.75" customHeight="1">
      <c r="A164" s="320">
        <f t="shared" si="76"/>
        <v>8</v>
      </c>
      <c r="B164" s="250" t="s">
        <v>1332</v>
      </c>
      <c r="C164" s="243">
        <f t="shared" si="74"/>
        <v>6799320</v>
      </c>
      <c r="D164" s="243"/>
      <c r="E164" s="277">
        <f t="shared" si="71"/>
        <v>648829.4183864916</v>
      </c>
      <c r="F164" s="243">
        <f t="shared" si="72"/>
        <v>7448149.4183864919</v>
      </c>
      <c r="G164" s="277">
        <v>144</v>
      </c>
      <c r="H164" s="277">
        <f t="shared" si="78"/>
        <v>51723.259849906193</v>
      </c>
      <c r="I164" s="278">
        <v>50827</v>
      </c>
      <c r="J164" s="278"/>
      <c r="K164" s="247" t="s">
        <v>364</v>
      </c>
      <c r="L164" s="280">
        <v>42933</v>
      </c>
      <c r="M164" s="281">
        <v>136</v>
      </c>
      <c r="N164" s="282">
        <v>49995</v>
      </c>
      <c r="O164" s="243">
        <f t="shared" si="77"/>
        <v>6799320</v>
      </c>
      <c r="P164" s="314" t="s">
        <v>1342</v>
      </c>
      <c r="Q164" s="315">
        <v>42947</v>
      </c>
      <c r="R164" s="561">
        <f t="shared" si="75"/>
        <v>7319088</v>
      </c>
    </row>
    <row r="165" spans="1:18" ht="21.75" customHeight="1">
      <c r="A165" s="320">
        <f t="shared" si="76"/>
        <v>9</v>
      </c>
      <c r="B165" s="250" t="s">
        <v>1335</v>
      </c>
      <c r="C165" s="243">
        <f t="shared" si="74"/>
        <v>5664000</v>
      </c>
      <c r="D165" s="243"/>
      <c r="E165" s="277">
        <f t="shared" si="71"/>
        <v>648829.4183864916</v>
      </c>
      <c r="F165" s="243">
        <f t="shared" si="72"/>
        <v>6312829.4183864919</v>
      </c>
      <c r="G165" s="277">
        <v>144</v>
      </c>
      <c r="H165" s="277">
        <f t="shared" si="78"/>
        <v>43839.093183239529</v>
      </c>
      <c r="I165" s="278">
        <v>44002</v>
      </c>
      <c r="J165" s="278"/>
      <c r="K165" s="247" t="s">
        <v>338</v>
      </c>
      <c r="L165" s="280">
        <v>42934</v>
      </c>
      <c r="M165" s="281">
        <v>120</v>
      </c>
      <c r="N165" s="282">
        <v>47200</v>
      </c>
      <c r="O165" s="243">
        <f t="shared" si="77"/>
        <v>5664000</v>
      </c>
      <c r="P165" s="314" t="s">
        <v>1342</v>
      </c>
      <c r="Q165" s="315">
        <v>42947</v>
      </c>
      <c r="R165" s="561">
        <f t="shared" si="75"/>
        <v>6336288</v>
      </c>
    </row>
    <row r="166" spans="1:18" ht="21.75" customHeight="1">
      <c r="A166" s="320">
        <f t="shared" si="76"/>
        <v>10</v>
      </c>
      <c r="B166" s="250" t="s">
        <v>1337</v>
      </c>
      <c r="C166" s="243">
        <f t="shared" si="74"/>
        <v>4597956</v>
      </c>
      <c r="D166" s="243"/>
      <c r="E166" s="277">
        <f t="shared" si="71"/>
        <v>576737.26078799251</v>
      </c>
      <c r="F166" s="243">
        <f t="shared" si="72"/>
        <v>5174693.2607879927</v>
      </c>
      <c r="G166" s="277">
        <v>128</v>
      </c>
      <c r="H166" s="277">
        <f t="shared" si="78"/>
        <v>40427.291099906193</v>
      </c>
      <c r="I166" s="278">
        <v>41589</v>
      </c>
      <c r="J166" s="278"/>
      <c r="K166" s="247" t="s">
        <v>396</v>
      </c>
      <c r="L166" s="280">
        <v>42935</v>
      </c>
      <c r="M166" s="281">
        <v>99</v>
      </c>
      <c r="N166" s="282">
        <v>46444</v>
      </c>
      <c r="O166" s="243">
        <f t="shared" si="77"/>
        <v>4597956</v>
      </c>
      <c r="P166" s="314" t="s">
        <v>1342</v>
      </c>
      <c r="Q166" s="315">
        <v>42947</v>
      </c>
      <c r="R166" s="561">
        <f t="shared" si="75"/>
        <v>5323392</v>
      </c>
    </row>
    <row r="167" spans="1:18" ht="21.75" customHeight="1">
      <c r="A167" s="320">
        <f t="shared" si="76"/>
        <v>11</v>
      </c>
      <c r="B167" s="250" t="s">
        <v>1348</v>
      </c>
      <c r="C167" s="243">
        <f t="shared" si="74"/>
        <v>577100</v>
      </c>
      <c r="D167" s="243"/>
      <c r="E167" s="277">
        <f t="shared" si="71"/>
        <v>90115.196998123836</v>
      </c>
      <c r="F167" s="243">
        <f t="shared" si="72"/>
        <v>667215.19699812378</v>
      </c>
      <c r="G167" s="277">
        <v>20</v>
      </c>
      <c r="H167" s="277">
        <f t="shared" si="78"/>
        <v>33360.759849906186</v>
      </c>
      <c r="I167" s="278">
        <v>34634</v>
      </c>
      <c r="J167" s="278"/>
      <c r="K167" s="249" t="s">
        <v>409</v>
      </c>
      <c r="L167" s="280">
        <v>42936</v>
      </c>
      <c r="M167" s="281">
        <v>25</v>
      </c>
      <c r="N167" s="282">
        <v>23084</v>
      </c>
      <c r="O167" s="243">
        <f t="shared" si="77"/>
        <v>577100</v>
      </c>
      <c r="P167" s="314" t="s">
        <v>1342</v>
      </c>
      <c r="Q167" s="315">
        <v>42947</v>
      </c>
      <c r="R167" s="561">
        <f t="shared" si="75"/>
        <v>692680</v>
      </c>
    </row>
    <row r="168" spans="1:18" ht="21.75" customHeight="1">
      <c r="A168" s="320">
        <f t="shared" si="76"/>
        <v>12</v>
      </c>
      <c r="B168" s="250" t="s">
        <v>1349</v>
      </c>
      <c r="C168" s="243">
        <f t="shared" si="74"/>
        <v>577100</v>
      </c>
      <c r="D168" s="243"/>
      <c r="E168" s="277">
        <f t="shared" si="71"/>
        <v>90115.196998123836</v>
      </c>
      <c r="F168" s="243">
        <f t="shared" si="72"/>
        <v>667215.19699812378</v>
      </c>
      <c r="G168" s="277">
        <v>20</v>
      </c>
      <c r="H168" s="277">
        <f t="shared" si="78"/>
        <v>33360.759849906186</v>
      </c>
      <c r="I168" s="278">
        <v>36701</v>
      </c>
      <c r="J168" s="278"/>
      <c r="K168" s="249" t="s">
        <v>409</v>
      </c>
      <c r="L168" s="280">
        <v>42937</v>
      </c>
      <c r="M168" s="281">
        <v>25</v>
      </c>
      <c r="N168" s="282">
        <v>23084</v>
      </c>
      <c r="O168" s="243">
        <f t="shared" si="77"/>
        <v>577100</v>
      </c>
      <c r="P168" s="314" t="s">
        <v>1342</v>
      </c>
      <c r="Q168" s="315">
        <v>42947</v>
      </c>
      <c r="R168" s="561">
        <f t="shared" si="75"/>
        <v>734020</v>
      </c>
    </row>
    <row r="169" spans="1:18" ht="21.75" customHeight="1">
      <c r="A169" s="320">
        <f t="shared" si="76"/>
        <v>13</v>
      </c>
      <c r="B169" s="250" t="s">
        <v>1350</v>
      </c>
      <c r="C169" s="243">
        <f t="shared" si="74"/>
        <v>441485</v>
      </c>
      <c r="D169" s="243"/>
      <c r="E169" s="277">
        <f t="shared" si="71"/>
        <v>135172.79549718575</v>
      </c>
      <c r="F169" s="243">
        <f t="shared" si="72"/>
        <v>576657.79549718578</v>
      </c>
      <c r="G169" s="277">
        <v>30</v>
      </c>
      <c r="H169" s="277">
        <f t="shared" si="78"/>
        <v>19221.926516572861</v>
      </c>
      <c r="I169" s="278">
        <v>19865</v>
      </c>
      <c r="J169" s="278"/>
      <c r="K169" s="247" t="s">
        <v>430</v>
      </c>
      <c r="L169" s="280">
        <v>42938</v>
      </c>
      <c r="M169" s="281">
        <v>23</v>
      </c>
      <c r="N169" s="282">
        <v>19195</v>
      </c>
      <c r="O169" s="243">
        <f t="shared" si="77"/>
        <v>441485</v>
      </c>
      <c r="P169" s="314" t="s">
        <v>1342</v>
      </c>
      <c r="Q169" s="315">
        <v>42947</v>
      </c>
      <c r="R169" s="561">
        <f t="shared" si="75"/>
        <v>595950</v>
      </c>
    </row>
    <row r="170" spans="1:18" ht="21.75" customHeight="1">
      <c r="A170" s="320">
        <f t="shared" si="76"/>
        <v>14</v>
      </c>
      <c r="B170" s="250" t="s">
        <v>1351</v>
      </c>
      <c r="C170" s="243">
        <f t="shared" si="74"/>
        <v>479875</v>
      </c>
      <c r="D170" s="243"/>
      <c r="E170" s="277">
        <f t="shared" si="71"/>
        <v>135172.79549718575</v>
      </c>
      <c r="F170" s="243">
        <f t="shared" si="72"/>
        <v>615047.79549718578</v>
      </c>
      <c r="G170" s="277">
        <v>30</v>
      </c>
      <c r="H170" s="277">
        <f t="shared" si="78"/>
        <v>20501.593183239525</v>
      </c>
      <c r="I170" s="278">
        <v>21438</v>
      </c>
      <c r="J170" s="278"/>
      <c r="K170" s="247" t="s">
        <v>430</v>
      </c>
      <c r="L170" s="280">
        <v>42939</v>
      </c>
      <c r="M170" s="281">
        <v>25</v>
      </c>
      <c r="N170" s="282">
        <v>19195</v>
      </c>
      <c r="O170" s="243">
        <f t="shared" si="77"/>
        <v>479875</v>
      </c>
      <c r="P170" s="314" t="s">
        <v>1342</v>
      </c>
      <c r="Q170" s="315">
        <v>42947</v>
      </c>
      <c r="R170" s="561">
        <f t="shared" si="75"/>
        <v>643140</v>
      </c>
    </row>
    <row r="171" spans="1:18" ht="21.75" customHeight="1">
      <c r="A171" s="320" t="str">
        <f t="shared" si="76"/>
        <v/>
      </c>
      <c r="B171" s="248"/>
      <c r="C171" s="243">
        <f t="shared" si="74"/>
        <v>0</v>
      </c>
      <c r="D171" s="243"/>
      <c r="E171" s="277">
        <f t="shared" si="71"/>
        <v>0</v>
      </c>
      <c r="F171" s="243">
        <f t="shared" si="72"/>
        <v>0</v>
      </c>
      <c r="G171" s="277"/>
      <c r="H171" s="277" t="str">
        <f t="shared" si="78"/>
        <v/>
      </c>
      <c r="I171" s="278"/>
      <c r="J171" s="278"/>
      <c r="K171" s="247"/>
      <c r="L171" s="280"/>
      <c r="M171" s="281"/>
      <c r="N171" s="282"/>
      <c r="O171" s="243">
        <f t="shared" si="77"/>
        <v>0</v>
      </c>
      <c r="P171" s="314"/>
      <c r="Q171" s="315"/>
    </row>
    <row r="172" spans="1:18" ht="21.75" customHeight="1">
      <c r="A172" s="320" t="str">
        <f t="shared" ref="A172:A180" si="79">IF(B172&lt;&gt;"",A171+1,"")</f>
        <v/>
      </c>
      <c r="B172" s="248"/>
      <c r="C172" s="243">
        <f t="shared" si="74"/>
        <v>0</v>
      </c>
      <c r="D172" s="243"/>
      <c r="E172" s="277">
        <f t="shared" si="71"/>
        <v>0</v>
      </c>
      <c r="F172" s="243">
        <f t="shared" si="72"/>
        <v>0</v>
      </c>
      <c r="G172" s="277"/>
      <c r="H172" s="277" t="str">
        <f t="shared" ref="H172:H180" si="80">IF(G172&lt;&gt;"",F172/G172,"")</f>
        <v/>
      </c>
      <c r="I172" s="278"/>
      <c r="J172" s="278"/>
      <c r="K172" s="247"/>
      <c r="L172" s="280"/>
      <c r="M172" s="281"/>
      <c r="N172" s="282"/>
      <c r="O172" s="243">
        <f t="shared" si="77"/>
        <v>0</v>
      </c>
      <c r="P172" s="314"/>
      <c r="Q172" s="315"/>
    </row>
    <row r="173" spans="1:18" ht="21.75" customHeight="1">
      <c r="A173" s="320" t="str">
        <f t="shared" si="79"/>
        <v/>
      </c>
      <c r="B173" s="248"/>
      <c r="C173" s="243">
        <f t="shared" si="74"/>
        <v>0</v>
      </c>
      <c r="D173" s="243"/>
      <c r="E173" s="277">
        <f t="shared" si="71"/>
        <v>0</v>
      </c>
      <c r="F173" s="243">
        <f t="shared" si="72"/>
        <v>0</v>
      </c>
      <c r="G173" s="277"/>
      <c r="H173" s="277" t="str">
        <f t="shared" si="80"/>
        <v/>
      </c>
      <c r="I173" s="278"/>
      <c r="J173" s="278"/>
      <c r="K173" s="247"/>
      <c r="L173" s="280"/>
      <c r="M173" s="281"/>
      <c r="N173" s="282"/>
      <c r="O173" s="243">
        <f t="shared" si="77"/>
        <v>0</v>
      </c>
      <c r="P173" s="314"/>
      <c r="Q173" s="315"/>
    </row>
    <row r="174" spans="1:18" ht="21.75" customHeight="1">
      <c r="A174" s="320" t="str">
        <f t="shared" si="79"/>
        <v/>
      </c>
      <c r="B174" s="248"/>
      <c r="C174" s="243">
        <f t="shared" si="74"/>
        <v>0</v>
      </c>
      <c r="D174" s="243"/>
      <c r="E174" s="277">
        <f t="shared" si="71"/>
        <v>0</v>
      </c>
      <c r="F174" s="243">
        <f t="shared" si="72"/>
        <v>0</v>
      </c>
      <c r="G174" s="277"/>
      <c r="H174" s="277" t="str">
        <f t="shared" si="80"/>
        <v/>
      </c>
      <c r="I174" s="278"/>
      <c r="J174" s="278"/>
      <c r="K174" s="250"/>
      <c r="L174" s="280"/>
      <c r="M174" s="281"/>
      <c r="N174" s="282"/>
      <c r="O174" s="243">
        <f t="shared" si="77"/>
        <v>0</v>
      </c>
      <c r="P174" s="315"/>
      <c r="Q174" s="315"/>
    </row>
    <row r="175" spans="1:18" ht="21.75" customHeight="1">
      <c r="A175" s="320" t="str">
        <f t="shared" si="79"/>
        <v/>
      </c>
      <c r="B175" s="248"/>
      <c r="C175" s="243">
        <f t="shared" si="74"/>
        <v>0</v>
      </c>
      <c r="D175" s="243"/>
      <c r="E175" s="277">
        <f t="shared" si="71"/>
        <v>0</v>
      </c>
      <c r="F175" s="243">
        <f t="shared" si="72"/>
        <v>0</v>
      </c>
      <c r="G175" s="277"/>
      <c r="H175" s="277" t="str">
        <f t="shared" si="80"/>
        <v/>
      </c>
      <c r="I175" s="278"/>
      <c r="J175" s="278"/>
      <c r="K175" s="247"/>
      <c r="L175" s="280"/>
      <c r="M175" s="281"/>
      <c r="N175" s="282"/>
      <c r="O175" s="243">
        <f t="shared" si="77"/>
        <v>0</v>
      </c>
      <c r="P175" s="315"/>
      <c r="Q175" s="315"/>
    </row>
    <row r="176" spans="1:18" ht="21.75" customHeight="1">
      <c r="A176" s="320" t="str">
        <f t="shared" si="79"/>
        <v/>
      </c>
      <c r="B176" s="248"/>
      <c r="C176" s="243">
        <f t="shared" si="74"/>
        <v>0</v>
      </c>
      <c r="D176" s="243"/>
      <c r="E176" s="277">
        <f t="shared" si="71"/>
        <v>0</v>
      </c>
      <c r="F176" s="243">
        <f t="shared" si="72"/>
        <v>0</v>
      </c>
      <c r="G176" s="277"/>
      <c r="H176" s="277" t="str">
        <f t="shared" si="80"/>
        <v/>
      </c>
      <c r="I176" s="278"/>
      <c r="J176" s="278"/>
      <c r="K176" s="249"/>
      <c r="L176" s="280"/>
      <c r="M176" s="281"/>
      <c r="N176" s="282"/>
      <c r="O176" s="243">
        <f t="shared" si="77"/>
        <v>0</v>
      </c>
      <c r="P176" s="315"/>
      <c r="Q176" s="315"/>
    </row>
    <row r="177" spans="1:17" ht="21.75" customHeight="1">
      <c r="A177" s="320" t="str">
        <f t="shared" si="79"/>
        <v/>
      </c>
      <c r="B177" s="248"/>
      <c r="C177" s="243">
        <f t="shared" si="74"/>
        <v>0</v>
      </c>
      <c r="D177" s="243"/>
      <c r="E177" s="277">
        <f t="shared" si="71"/>
        <v>0</v>
      </c>
      <c r="F177" s="243">
        <f t="shared" si="72"/>
        <v>0</v>
      </c>
      <c r="G177" s="277"/>
      <c r="H177" s="277" t="str">
        <f t="shared" si="80"/>
        <v/>
      </c>
      <c r="I177" s="278"/>
      <c r="J177" s="278"/>
      <c r="K177" s="249"/>
      <c r="L177" s="280"/>
      <c r="M177" s="281"/>
      <c r="N177" s="282"/>
      <c r="O177" s="243">
        <f t="shared" si="77"/>
        <v>0</v>
      </c>
      <c r="P177" s="315"/>
      <c r="Q177" s="315"/>
    </row>
    <row r="178" spans="1:17" ht="21.75" customHeight="1">
      <c r="A178" s="320" t="str">
        <f t="shared" si="79"/>
        <v/>
      </c>
      <c r="B178" s="248"/>
      <c r="C178" s="243">
        <f t="shared" si="74"/>
        <v>0</v>
      </c>
      <c r="D178" s="243"/>
      <c r="E178" s="277">
        <f t="shared" si="71"/>
        <v>0</v>
      </c>
      <c r="F178" s="243">
        <f t="shared" si="72"/>
        <v>0</v>
      </c>
      <c r="G178" s="277"/>
      <c r="H178" s="277" t="str">
        <f t="shared" si="80"/>
        <v/>
      </c>
      <c r="I178" s="278"/>
      <c r="J178" s="278"/>
      <c r="K178" s="247"/>
      <c r="L178" s="280"/>
      <c r="M178" s="281"/>
      <c r="N178" s="282"/>
      <c r="O178" s="243">
        <f t="shared" si="77"/>
        <v>0</v>
      </c>
      <c r="P178" s="315"/>
      <c r="Q178" s="315"/>
    </row>
    <row r="179" spans="1:17" ht="21.75" customHeight="1">
      <c r="A179" s="320" t="str">
        <f t="shared" si="79"/>
        <v/>
      </c>
      <c r="B179" s="248"/>
      <c r="C179" s="243">
        <f t="shared" si="74"/>
        <v>0</v>
      </c>
      <c r="D179" s="243"/>
      <c r="E179" s="277">
        <f t="shared" si="71"/>
        <v>0</v>
      </c>
      <c r="F179" s="243">
        <f t="shared" si="72"/>
        <v>0</v>
      </c>
      <c r="G179" s="277"/>
      <c r="H179" s="277" t="str">
        <f t="shared" si="80"/>
        <v/>
      </c>
      <c r="I179" s="278"/>
      <c r="J179" s="278"/>
      <c r="K179" s="249"/>
      <c r="L179" s="280"/>
      <c r="M179" s="281"/>
      <c r="N179" s="282"/>
      <c r="O179" s="243">
        <f t="shared" si="77"/>
        <v>0</v>
      </c>
      <c r="P179" s="315"/>
      <c r="Q179" s="315"/>
    </row>
    <row r="180" spans="1:17" ht="21.75" customHeight="1">
      <c r="A180" s="320" t="str">
        <f t="shared" si="79"/>
        <v/>
      </c>
      <c r="B180" s="248"/>
      <c r="C180" s="243">
        <f t="shared" si="74"/>
        <v>0</v>
      </c>
      <c r="D180" s="243"/>
      <c r="E180" s="277">
        <f t="shared" si="71"/>
        <v>0</v>
      </c>
      <c r="F180" s="243">
        <f t="shared" si="72"/>
        <v>0</v>
      </c>
      <c r="G180" s="277"/>
      <c r="H180" s="277" t="str">
        <f t="shared" si="80"/>
        <v/>
      </c>
      <c r="I180" s="278"/>
      <c r="J180" s="278"/>
      <c r="K180" s="249"/>
      <c r="L180" s="280"/>
      <c r="M180" s="281"/>
      <c r="N180" s="282"/>
      <c r="O180" s="243">
        <f t="shared" si="77"/>
        <v>0</v>
      </c>
      <c r="P180" s="315"/>
      <c r="Q180" s="315"/>
    </row>
    <row r="181" spans="1:17" ht="21.75" customHeight="1">
      <c r="A181" s="320" t="str">
        <f>IF(B181&lt;&gt;"",A180+1,"")</f>
        <v/>
      </c>
      <c r="B181" s="248"/>
      <c r="C181" s="243">
        <f>O181</f>
        <v>0</v>
      </c>
      <c r="D181" s="243"/>
      <c r="E181" s="277">
        <f t="shared" si="71"/>
        <v>0</v>
      </c>
      <c r="F181" s="243">
        <f t="shared" si="72"/>
        <v>0</v>
      </c>
      <c r="G181" s="277"/>
      <c r="H181" s="277" t="str">
        <f>IF(G181&lt;&gt;"",F181/G181,"")</f>
        <v/>
      </c>
      <c r="I181" s="278"/>
      <c r="J181" s="278"/>
      <c r="K181" s="249"/>
      <c r="L181" s="280"/>
      <c r="M181" s="281"/>
      <c r="N181" s="282"/>
      <c r="O181" s="243">
        <f t="shared" si="77"/>
        <v>0</v>
      </c>
      <c r="P181" s="314"/>
      <c r="Q181" s="315"/>
    </row>
    <row r="182" spans="1:17" ht="21.75" customHeight="1">
      <c r="A182" s="320" t="str">
        <f t="shared" ref="A182:A200" si="81">IF(B182&lt;&gt;"",A181+1,"")</f>
        <v/>
      </c>
      <c r="B182" s="248"/>
      <c r="C182" s="243">
        <f t="shared" ref="C182:C200" si="82">O182</f>
        <v>0</v>
      </c>
      <c r="D182" s="243"/>
      <c r="E182" s="277">
        <f t="shared" si="71"/>
        <v>0</v>
      </c>
      <c r="F182" s="243">
        <f t="shared" si="72"/>
        <v>0</v>
      </c>
      <c r="G182" s="277"/>
      <c r="H182" s="277" t="str">
        <f t="shared" ref="H182:H200" si="83">IF(G182&lt;&gt;"",F182/G182,"")</f>
        <v/>
      </c>
      <c r="I182" s="278"/>
      <c r="J182" s="278"/>
      <c r="K182" s="249"/>
      <c r="L182" s="280"/>
      <c r="M182" s="281"/>
      <c r="N182" s="282"/>
      <c r="O182" s="243">
        <f t="shared" si="77"/>
        <v>0</v>
      </c>
      <c r="P182" s="314"/>
      <c r="Q182" s="315"/>
    </row>
    <row r="183" spans="1:17" ht="21.75" customHeight="1">
      <c r="A183" s="320" t="str">
        <f t="shared" si="81"/>
        <v/>
      </c>
      <c r="B183" s="248"/>
      <c r="C183" s="243">
        <f t="shared" si="82"/>
        <v>0</v>
      </c>
      <c r="D183" s="243"/>
      <c r="E183" s="277">
        <f t="shared" si="71"/>
        <v>0</v>
      </c>
      <c r="F183" s="243">
        <f t="shared" si="72"/>
        <v>0</v>
      </c>
      <c r="G183" s="277"/>
      <c r="H183" s="277" t="str">
        <f t="shared" si="83"/>
        <v/>
      </c>
      <c r="I183" s="278"/>
      <c r="J183" s="278"/>
      <c r="K183" s="249"/>
      <c r="L183" s="280"/>
      <c r="M183" s="281"/>
      <c r="N183" s="282"/>
      <c r="O183" s="243">
        <f t="shared" si="77"/>
        <v>0</v>
      </c>
      <c r="P183" s="314"/>
      <c r="Q183" s="315"/>
    </row>
    <row r="184" spans="1:17" ht="21.75" customHeight="1">
      <c r="A184" s="320" t="str">
        <f t="shared" si="81"/>
        <v/>
      </c>
      <c r="B184" s="248"/>
      <c r="C184" s="243">
        <f t="shared" si="82"/>
        <v>0</v>
      </c>
      <c r="D184" s="243"/>
      <c r="E184" s="277">
        <f t="shared" si="71"/>
        <v>0</v>
      </c>
      <c r="F184" s="243">
        <f t="shared" si="72"/>
        <v>0</v>
      </c>
      <c r="G184" s="277"/>
      <c r="H184" s="277" t="str">
        <f t="shared" si="83"/>
        <v/>
      </c>
      <c r="I184" s="278"/>
      <c r="J184" s="278"/>
      <c r="K184" s="249"/>
      <c r="L184" s="280"/>
      <c r="M184" s="281"/>
      <c r="N184" s="282"/>
      <c r="O184" s="243">
        <f t="shared" si="77"/>
        <v>0</v>
      </c>
      <c r="P184" s="314"/>
      <c r="Q184" s="315"/>
    </row>
    <row r="185" spans="1:17" ht="21.75" customHeight="1">
      <c r="A185" s="320" t="str">
        <f t="shared" si="81"/>
        <v/>
      </c>
      <c r="B185" s="248"/>
      <c r="C185" s="243">
        <f t="shared" si="82"/>
        <v>0</v>
      </c>
      <c r="D185" s="243"/>
      <c r="E185" s="277">
        <f t="shared" si="71"/>
        <v>0</v>
      </c>
      <c r="F185" s="243">
        <f t="shared" si="72"/>
        <v>0</v>
      </c>
      <c r="G185" s="277"/>
      <c r="H185" s="277" t="str">
        <f t="shared" si="83"/>
        <v/>
      </c>
      <c r="I185" s="278"/>
      <c r="J185" s="278"/>
      <c r="K185" s="249"/>
      <c r="L185" s="280"/>
      <c r="M185" s="281"/>
      <c r="N185" s="282"/>
      <c r="O185" s="243">
        <f t="shared" si="77"/>
        <v>0</v>
      </c>
      <c r="P185" s="314"/>
      <c r="Q185" s="315"/>
    </row>
    <row r="186" spans="1:17" ht="21.75" customHeight="1">
      <c r="A186" s="320" t="str">
        <f t="shared" si="81"/>
        <v/>
      </c>
      <c r="B186" s="248"/>
      <c r="C186" s="243">
        <f t="shared" si="82"/>
        <v>0</v>
      </c>
      <c r="D186" s="243"/>
      <c r="E186" s="277">
        <f t="shared" si="71"/>
        <v>0</v>
      </c>
      <c r="F186" s="243">
        <f t="shared" si="72"/>
        <v>0</v>
      </c>
      <c r="G186" s="277"/>
      <c r="H186" s="277" t="str">
        <f t="shared" si="83"/>
        <v/>
      </c>
      <c r="I186" s="278"/>
      <c r="J186" s="278"/>
      <c r="K186" s="249"/>
      <c r="L186" s="280"/>
      <c r="M186" s="281"/>
      <c r="N186" s="282"/>
      <c r="O186" s="243">
        <f t="shared" si="77"/>
        <v>0</v>
      </c>
      <c r="P186" s="314"/>
      <c r="Q186" s="315"/>
    </row>
    <row r="187" spans="1:17" ht="21.75" customHeight="1">
      <c r="A187" s="320" t="str">
        <f t="shared" si="81"/>
        <v/>
      </c>
      <c r="B187" s="248"/>
      <c r="C187" s="243">
        <f t="shared" si="82"/>
        <v>0</v>
      </c>
      <c r="D187" s="243"/>
      <c r="E187" s="277">
        <f t="shared" si="71"/>
        <v>0</v>
      </c>
      <c r="F187" s="243">
        <f t="shared" si="72"/>
        <v>0</v>
      </c>
      <c r="G187" s="277"/>
      <c r="H187" s="277" t="str">
        <f t="shared" si="83"/>
        <v/>
      </c>
      <c r="I187" s="278"/>
      <c r="J187" s="278"/>
      <c r="K187" s="247"/>
      <c r="L187" s="280"/>
      <c r="M187" s="281"/>
      <c r="N187" s="282"/>
      <c r="O187" s="243">
        <f t="shared" si="77"/>
        <v>0</v>
      </c>
      <c r="P187" s="314"/>
      <c r="Q187" s="315"/>
    </row>
    <row r="188" spans="1:17" ht="21.75" customHeight="1">
      <c r="A188" s="320" t="str">
        <f t="shared" si="81"/>
        <v/>
      </c>
      <c r="B188" s="248"/>
      <c r="C188" s="243">
        <f t="shared" si="82"/>
        <v>0</v>
      </c>
      <c r="D188" s="243"/>
      <c r="E188" s="277">
        <f t="shared" si="71"/>
        <v>0</v>
      </c>
      <c r="F188" s="243">
        <f t="shared" si="72"/>
        <v>0</v>
      </c>
      <c r="G188" s="277"/>
      <c r="H188" s="277" t="str">
        <f t="shared" si="83"/>
        <v/>
      </c>
      <c r="I188" s="278"/>
      <c r="J188" s="278"/>
      <c r="K188" s="247"/>
      <c r="L188" s="280"/>
      <c r="M188" s="281"/>
      <c r="N188" s="282"/>
      <c r="O188" s="243">
        <f t="shared" si="77"/>
        <v>0</v>
      </c>
      <c r="P188" s="314"/>
      <c r="Q188" s="315"/>
    </row>
    <row r="189" spans="1:17" ht="21.75" customHeight="1">
      <c r="A189" s="320" t="str">
        <f t="shared" si="81"/>
        <v/>
      </c>
      <c r="B189" s="248"/>
      <c r="C189" s="243">
        <f t="shared" si="82"/>
        <v>0</v>
      </c>
      <c r="D189" s="243"/>
      <c r="E189" s="277">
        <f t="shared" si="71"/>
        <v>0</v>
      </c>
      <c r="F189" s="243">
        <f t="shared" si="72"/>
        <v>0</v>
      </c>
      <c r="G189" s="277"/>
      <c r="H189" s="277" t="str">
        <f t="shared" si="83"/>
        <v/>
      </c>
      <c r="I189" s="278"/>
      <c r="J189" s="278"/>
      <c r="K189" s="247"/>
      <c r="L189" s="280"/>
      <c r="M189" s="281"/>
      <c r="N189" s="282"/>
      <c r="O189" s="243">
        <f t="shared" si="77"/>
        <v>0</v>
      </c>
      <c r="P189" s="314"/>
      <c r="Q189" s="315"/>
    </row>
    <row r="190" spans="1:17" ht="21.75" customHeight="1">
      <c r="A190" s="320" t="str">
        <f t="shared" si="81"/>
        <v/>
      </c>
      <c r="B190" s="248"/>
      <c r="C190" s="243">
        <f t="shared" si="82"/>
        <v>0</v>
      </c>
      <c r="D190" s="243"/>
      <c r="E190" s="277">
        <f t="shared" si="71"/>
        <v>0</v>
      </c>
      <c r="F190" s="243">
        <f t="shared" si="72"/>
        <v>0</v>
      </c>
      <c r="G190" s="277"/>
      <c r="H190" s="277" t="str">
        <f t="shared" si="83"/>
        <v/>
      </c>
      <c r="I190" s="278"/>
      <c r="J190" s="278"/>
      <c r="K190" s="247"/>
      <c r="L190" s="280"/>
      <c r="M190" s="281"/>
      <c r="N190" s="282"/>
      <c r="O190" s="243">
        <f t="shared" si="77"/>
        <v>0</v>
      </c>
      <c r="P190" s="314"/>
      <c r="Q190" s="315"/>
    </row>
    <row r="191" spans="1:17" ht="21.75" customHeight="1">
      <c r="A191" s="320" t="str">
        <f t="shared" si="81"/>
        <v/>
      </c>
      <c r="B191" s="248"/>
      <c r="C191" s="243">
        <f t="shared" si="82"/>
        <v>0</v>
      </c>
      <c r="D191" s="243"/>
      <c r="E191" s="277">
        <f t="shared" si="71"/>
        <v>0</v>
      </c>
      <c r="F191" s="243">
        <f t="shared" si="72"/>
        <v>0</v>
      </c>
      <c r="G191" s="277"/>
      <c r="H191" s="277" t="str">
        <f t="shared" si="83"/>
        <v/>
      </c>
      <c r="I191" s="278"/>
      <c r="J191" s="278"/>
      <c r="K191" s="247"/>
      <c r="L191" s="280"/>
      <c r="M191" s="281"/>
      <c r="N191" s="282"/>
      <c r="O191" s="243">
        <f t="shared" si="77"/>
        <v>0</v>
      </c>
      <c r="P191" s="314"/>
      <c r="Q191" s="315"/>
    </row>
    <row r="192" spans="1:17" ht="21.75" customHeight="1">
      <c r="A192" s="320" t="str">
        <f t="shared" si="81"/>
        <v/>
      </c>
      <c r="B192" s="248"/>
      <c r="C192" s="243">
        <f t="shared" si="82"/>
        <v>0</v>
      </c>
      <c r="D192" s="243"/>
      <c r="E192" s="277">
        <f t="shared" si="71"/>
        <v>0</v>
      </c>
      <c r="F192" s="243">
        <f t="shared" si="72"/>
        <v>0</v>
      </c>
      <c r="G192" s="277"/>
      <c r="H192" s="277" t="str">
        <f t="shared" si="83"/>
        <v/>
      </c>
      <c r="I192" s="278"/>
      <c r="J192" s="278"/>
      <c r="K192" s="247"/>
      <c r="L192" s="280"/>
      <c r="M192" s="281"/>
      <c r="N192" s="282"/>
      <c r="O192" s="243">
        <f t="shared" si="77"/>
        <v>0</v>
      </c>
      <c r="P192" s="314"/>
      <c r="Q192" s="315"/>
    </row>
    <row r="193" spans="1:17" ht="21.75" customHeight="1">
      <c r="A193" s="320" t="str">
        <f t="shared" si="81"/>
        <v/>
      </c>
      <c r="B193" s="248"/>
      <c r="C193" s="243">
        <f t="shared" si="82"/>
        <v>0</v>
      </c>
      <c r="D193" s="243"/>
      <c r="E193" s="277">
        <f t="shared" si="71"/>
        <v>0</v>
      </c>
      <c r="F193" s="243">
        <f t="shared" si="72"/>
        <v>0</v>
      </c>
      <c r="G193" s="277"/>
      <c r="H193" s="277" t="str">
        <f t="shared" si="83"/>
        <v/>
      </c>
      <c r="I193" s="278"/>
      <c r="J193" s="278"/>
      <c r="K193" s="247"/>
      <c r="L193" s="280"/>
      <c r="M193" s="281"/>
      <c r="N193" s="282"/>
      <c r="O193" s="243">
        <f t="shared" si="77"/>
        <v>0</v>
      </c>
      <c r="P193" s="314"/>
      <c r="Q193" s="315"/>
    </row>
    <row r="194" spans="1:17" ht="21.75" customHeight="1">
      <c r="A194" s="320" t="str">
        <f t="shared" si="81"/>
        <v/>
      </c>
      <c r="B194" s="248"/>
      <c r="C194" s="243">
        <f t="shared" si="82"/>
        <v>0</v>
      </c>
      <c r="D194" s="243"/>
      <c r="E194" s="277">
        <f t="shared" si="71"/>
        <v>0</v>
      </c>
      <c r="F194" s="243">
        <f t="shared" si="72"/>
        <v>0</v>
      </c>
      <c r="G194" s="277"/>
      <c r="H194" s="277" t="str">
        <f t="shared" si="83"/>
        <v/>
      </c>
      <c r="I194" s="278"/>
      <c r="J194" s="278"/>
      <c r="K194" s="247"/>
      <c r="L194" s="280"/>
      <c r="M194" s="281"/>
      <c r="N194" s="282"/>
      <c r="O194" s="243">
        <f t="shared" si="77"/>
        <v>0</v>
      </c>
      <c r="P194" s="314"/>
      <c r="Q194" s="315"/>
    </row>
    <row r="195" spans="1:17" ht="21.75" customHeight="1">
      <c r="A195" s="320" t="str">
        <f t="shared" si="81"/>
        <v/>
      </c>
      <c r="B195" s="248"/>
      <c r="C195" s="243">
        <f t="shared" si="82"/>
        <v>0</v>
      </c>
      <c r="D195" s="243"/>
      <c r="E195" s="277">
        <f t="shared" si="71"/>
        <v>0</v>
      </c>
      <c r="F195" s="243">
        <f t="shared" si="72"/>
        <v>0</v>
      </c>
      <c r="G195" s="277"/>
      <c r="H195" s="277" t="str">
        <f t="shared" si="83"/>
        <v/>
      </c>
      <c r="I195" s="278"/>
      <c r="J195" s="278"/>
      <c r="K195" s="249"/>
      <c r="L195" s="280"/>
      <c r="M195" s="281"/>
      <c r="N195" s="282"/>
      <c r="O195" s="243">
        <f t="shared" si="77"/>
        <v>0</v>
      </c>
      <c r="P195" s="314"/>
      <c r="Q195" s="315"/>
    </row>
    <row r="196" spans="1:17" ht="21.75" customHeight="1">
      <c r="A196" s="320" t="str">
        <f t="shared" si="81"/>
        <v/>
      </c>
      <c r="B196" s="248"/>
      <c r="C196" s="243">
        <f t="shared" si="82"/>
        <v>0</v>
      </c>
      <c r="D196" s="243"/>
      <c r="E196" s="277">
        <f t="shared" si="71"/>
        <v>0</v>
      </c>
      <c r="F196" s="243">
        <f t="shared" si="72"/>
        <v>0</v>
      </c>
      <c r="G196" s="277"/>
      <c r="H196" s="277" t="str">
        <f t="shared" si="83"/>
        <v/>
      </c>
      <c r="I196" s="278"/>
      <c r="J196" s="278"/>
      <c r="K196" s="249"/>
      <c r="L196" s="280"/>
      <c r="M196" s="281"/>
      <c r="N196" s="282"/>
      <c r="O196" s="243">
        <f t="shared" si="77"/>
        <v>0</v>
      </c>
      <c r="P196" s="314"/>
      <c r="Q196" s="315"/>
    </row>
    <row r="197" spans="1:17" ht="21.75" customHeight="1">
      <c r="A197" s="320" t="str">
        <f t="shared" si="81"/>
        <v/>
      </c>
      <c r="B197" s="248"/>
      <c r="C197" s="243">
        <f t="shared" si="82"/>
        <v>0</v>
      </c>
      <c r="D197" s="243"/>
      <c r="E197" s="277">
        <f t="shared" si="71"/>
        <v>0</v>
      </c>
      <c r="F197" s="243">
        <f t="shared" si="72"/>
        <v>0</v>
      </c>
      <c r="G197" s="277"/>
      <c r="H197" s="277" t="str">
        <f t="shared" si="83"/>
        <v/>
      </c>
      <c r="I197" s="278"/>
      <c r="J197" s="278"/>
      <c r="K197" s="249"/>
      <c r="L197" s="280"/>
      <c r="M197" s="281"/>
      <c r="N197" s="282"/>
      <c r="O197" s="243">
        <f t="shared" si="77"/>
        <v>0</v>
      </c>
      <c r="P197" s="314"/>
      <c r="Q197" s="315"/>
    </row>
    <row r="198" spans="1:17" ht="21.75" customHeight="1">
      <c r="A198" s="320" t="str">
        <f t="shared" si="81"/>
        <v/>
      </c>
      <c r="B198" s="248"/>
      <c r="C198" s="243">
        <f t="shared" si="82"/>
        <v>0</v>
      </c>
      <c r="D198" s="243"/>
      <c r="E198" s="277">
        <f t="shared" si="71"/>
        <v>0</v>
      </c>
      <c r="F198" s="243">
        <f t="shared" si="72"/>
        <v>0</v>
      </c>
      <c r="G198" s="277"/>
      <c r="H198" s="277" t="str">
        <f t="shared" si="83"/>
        <v/>
      </c>
      <c r="I198" s="278"/>
      <c r="J198" s="278"/>
      <c r="K198" s="249"/>
      <c r="L198" s="280"/>
      <c r="M198" s="281"/>
      <c r="N198" s="282"/>
      <c r="O198" s="243">
        <f t="shared" si="77"/>
        <v>0</v>
      </c>
      <c r="P198" s="314"/>
      <c r="Q198" s="315"/>
    </row>
    <row r="199" spans="1:17" ht="21.75" customHeight="1">
      <c r="A199" s="320" t="str">
        <f t="shared" si="81"/>
        <v/>
      </c>
      <c r="B199" s="248"/>
      <c r="C199" s="243">
        <f t="shared" si="82"/>
        <v>0</v>
      </c>
      <c r="D199" s="243"/>
      <c r="E199" s="277">
        <f t="shared" si="71"/>
        <v>0</v>
      </c>
      <c r="F199" s="243">
        <f t="shared" si="72"/>
        <v>0</v>
      </c>
      <c r="G199" s="277"/>
      <c r="H199" s="277" t="str">
        <f t="shared" si="83"/>
        <v/>
      </c>
      <c r="I199" s="278"/>
      <c r="J199" s="278"/>
      <c r="K199" s="247"/>
      <c r="L199" s="280"/>
      <c r="M199" s="281"/>
      <c r="N199" s="282"/>
      <c r="O199" s="243">
        <f t="shared" si="77"/>
        <v>0</v>
      </c>
      <c r="P199" s="314"/>
      <c r="Q199" s="315"/>
    </row>
    <row r="200" spans="1:17" ht="21.75" customHeight="1">
      <c r="A200" s="320" t="str">
        <f t="shared" si="81"/>
        <v/>
      </c>
      <c r="B200" s="248"/>
      <c r="C200" s="243">
        <f t="shared" si="82"/>
        <v>0</v>
      </c>
      <c r="D200" s="243"/>
      <c r="E200" s="277">
        <f t="shared" si="71"/>
        <v>0</v>
      </c>
      <c r="F200" s="243">
        <f t="shared" si="72"/>
        <v>0</v>
      </c>
      <c r="G200" s="277"/>
      <c r="H200" s="277" t="str">
        <f t="shared" si="83"/>
        <v/>
      </c>
      <c r="I200" s="278"/>
      <c r="J200" s="278"/>
      <c r="K200" s="247"/>
      <c r="L200" s="280"/>
      <c r="M200" s="281"/>
      <c r="N200" s="282"/>
      <c r="O200" s="243">
        <f t="shared" si="77"/>
        <v>0</v>
      </c>
      <c r="P200" s="314"/>
      <c r="Q200" s="315"/>
    </row>
    <row r="201" spans="1:17" ht="21.75" customHeight="1">
      <c r="A201" s="320" t="str">
        <f>IF(B201&lt;&gt;"",#REF!+1,"")</f>
        <v/>
      </c>
      <c r="B201" s="316"/>
      <c r="C201" s="243"/>
      <c r="D201" s="243"/>
      <c r="E201" s="277"/>
      <c r="F201" s="243"/>
      <c r="G201" s="284"/>
      <c r="H201" s="277"/>
      <c r="I201" s="278"/>
      <c r="J201" s="278"/>
      <c r="K201" s="285"/>
      <c r="L201" s="288"/>
      <c r="M201" s="281"/>
      <c r="N201" s="282"/>
      <c r="O201" s="243">
        <f t="shared" si="77"/>
        <v>0</v>
      </c>
      <c r="P201" s="285"/>
      <c r="Q201" s="288"/>
    </row>
    <row r="202" spans="1:17" ht="21.75" customHeight="1">
      <c r="A202" s="293"/>
      <c r="B202" s="294" t="s">
        <v>221</v>
      </c>
      <c r="C202" s="295">
        <f>SUM(C157:C201)</f>
        <v>39644091</v>
      </c>
      <c r="D202" s="295">
        <f>SUM(D157:D201)</f>
        <v>0</v>
      </c>
      <c r="E202" s="295">
        <v>4803140</v>
      </c>
      <c r="F202" s="295">
        <f>ROUND(SUM(F157:F201),0)</f>
        <v>44447231</v>
      </c>
      <c r="G202" s="295">
        <f>ROUND(SUM(G157:G201),0)</f>
        <v>1066</v>
      </c>
      <c r="H202" s="295"/>
      <c r="I202" s="262"/>
      <c r="J202" s="262"/>
      <c r="K202" s="296"/>
      <c r="L202" s="297"/>
      <c r="M202" s="312"/>
      <c r="N202" s="313"/>
      <c r="O202" s="199">
        <f>SUM(O157:O201)</f>
        <v>39644091</v>
      </c>
      <c r="P202" s="199"/>
      <c r="Q202" s="199"/>
    </row>
    <row r="203" spans="1:17" ht="15">
      <c r="A203" s="299"/>
      <c r="B203" s="300"/>
      <c r="C203" s="263"/>
      <c r="D203" s="263"/>
      <c r="E203" s="263"/>
      <c r="F203" s="263"/>
      <c r="G203" s="263"/>
      <c r="H203" s="263"/>
      <c r="I203" s="262"/>
      <c r="J203" s="262"/>
      <c r="K203" s="181"/>
      <c r="L203" s="180"/>
      <c r="M203" s="260"/>
      <c r="N203" s="181"/>
      <c r="O203" s="257"/>
      <c r="P203" s="181"/>
      <c r="Q203" s="180"/>
    </row>
    <row r="204" spans="1:17" ht="18" hidden="1" customHeight="1">
      <c r="A204" s="122" t="str">
        <f>TH!$A$1</f>
        <v>Đơn vị: CÔNG TY TNHH MỘT THÀNH VIÊN KHỞI NGUYÊN AN</v>
      </c>
      <c r="B204" s="261"/>
      <c r="C204" s="181"/>
      <c r="D204" s="181"/>
      <c r="E204" s="181"/>
      <c r="F204" s="181"/>
      <c r="G204" s="124"/>
      <c r="H204" s="181"/>
      <c r="I204" s="262"/>
      <c r="J204" s="262"/>
      <c r="K204" s="181"/>
      <c r="L204" s="180"/>
      <c r="M204" s="260"/>
      <c r="N204" s="181"/>
      <c r="O204" s="257"/>
      <c r="P204" s="181"/>
      <c r="Q204" s="180"/>
    </row>
    <row r="205" spans="1:17" ht="18.75" customHeight="1">
      <c r="A205" s="263" t="s">
        <v>455</v>
      </c>
      <c r="B205" s="263"/>
      <c r="C205" s="263"/>
      <c r="D205" s="263"/>
      <c r="E205" s="263"/>
      <c r="F205" s="263"/>
      <c r="G205" s="263"/>
      <c r="H205" s="263"/>
      <c r="I205" s="262"/>
      <c r="J205" s="262"/>
      <c r="K205" s="181"/>
      <c r="L205" s="180"/>
      <c r="M205" s="260"/>
      <c r="N205" s="181"/>
      <c r="O205" s="257"/>
      <c r="P205" s="181"/>
      <c r="Q205" s="180"/>
    </row>
    <row r="206" spans="1:17" ht="12.75" customHeight="1">
      <c r="A206" s="264"/>
      <c r="B206" s="265"/>
      <c r="C206" s="265"/>
      <c r="D206" s="265"/>
      <c r="E206" s="265"/>
      <c r="F206" s="265"/>
      <c r="G206" s="266"/>
      <c r="H206" s="265"/>
      <c r="I206" s="262"/>
      <c r="J206" s="262"/>
      <c r="K206" s="181"/>
      <c r="L206" s="180"/>
      <c r="M206" s="260"/>
      <c r="N206" s="181"/>
      <c r="O206" s="257"/>
      <c r="P206" s="181"/>
      <c r="Q206" s="180"/>
    </row>
    <row r="207" spans="1:17" ht="38.25" customHeight="1">
      <c r="A207" s="270" t="s">
        <v>33</v>
      </c>
      <c r="B207" s="271" t="s">
        <v>214</v>
      </c>
      <c r="C207" s="272" t="s">
        <v>217</v>
      </c>
      <c r="D207" s="272" t="s">
        <v>333</v>
      </c>
      <c r="E207" s="272" t="s">
        <v>260</v>
      </c>
      <c r="F207" s="272" t="s">
        <v>218</v>
      </c>
      <c r="G207" s="273" t="s">
        <v>215</v>
      </c>
      <c r="H207" s="272" t="s">
        <v>219</v>
      </c>
      <c r="I207" s="274"/>
      <c r="J207" s="274"/>
      <c r="K207" s="271" t="s">
        <v>214</v>
      </c>
      <c r="L207" s="272" t="s">
        <v>208</v>
      </c>
      <c r="M207" s="275" t="s">
        <v>175</v>
      </c>
      <c r="N207" s="272" t="s">
        <v>216</v>
      </c>
      <c r="O207" s="272" t="s">
        <v>220</v>
      </c>
      <c r="P207" s="271" t="s">
        <v>214</v>
      </c>
      <c r="Q207" s="272" t="s">
        <v>208</v>
      </c>
    </row>
    <row r="208" spans="1:17" ht="20.25" customHeight="1">
      <c r="A208" s="494" t="str">
        <f t="shared" ref="A208:A267" si="84">IF(B208&lt;&gt;"",A207+1,"")</f>
        <v/>
      </c>
      <c r="B208" s="248"/>
      <c r="C208" s="243">
        <f>O208</f>
        <v>0</v>
      </c>
      <c r="D208" s="243"/>
      <c r="E208" s="277">
        <f t="shared" ref="E208:E239" si="85">IF($G$269&lt;&gt;0,E$269/$G$269*$G208,0)</f>
        <v>0</v>
      </c>
      <c r="F208" s="243">
        <f t="shared" ref="F208:F239" si="86">SUM(C208:E208)</f>
        <v>0</v>
      </c>
      <c r="G208" s="277"/>
      <c r="H208" s="277" t="str">
        <f>IF(G208&lt;&gt;"",F208/G208,"")</f>
        <v/>
      </c>
      <c r="I208" s="278"/>
      <c r="J208" s="278"/>
      <c r="K208" s="247"/>
      <c r="L208" s="280"/>
      <c r="M208" s="281"/>
      <c r="N208" s="317"/>
      <c r="O208" s="243">
        <f>ROUND(M208*N208,0)</f>
        <v>0</v>
      </c>
      <c r="P208" s="283"/>
      <c r="Q208" s="280"/>
    </row>
    <row r="209" spans="1:17" ht="20.25" customHeight="1">
      <c r="A209" s="320" t="str">
        <f t="shared" si="84"/>
        <v/>
      </c>
      <c r="B209" s="248"/>
      <c r="C209" s="243">
        <f t="shared" ref="C209:C252" si="87">O209</f>
        <v>0</v>
      </c>
      <c r="D209" s="243"/>
      <c r="E209" s="277">
        <f t="shared" si="85"/>
        <v>0</v>
      </c>
      <c r="F209" s="243">
        <f t="shared" si="86"/>
        <v>0</v>
      </c>
      <c r="G209" s="277"/>
      <c r="H209" s="277" t="str">
        <f>IF(G209&lt;&gt;"",F209/G209,"")</f>
        <v/>
      </c>
      <c r="I209" s="278"/>
      <c r="J209" s="278"/>
      <c r="K209" s="247"/>
      <c r="L209" s="280"/>
      <c r="M209" s="281"/>
      <c r="N209" s="178"/>
      <c r="O209" s="243">
        <f>ROUND(M209*N209,0)</f>
        <v>0</v>
      </c>
      <c r="P209" s="283"/>
      <c r="Q209" s="280"/>
    </row>
    <row r="210" spans="1:17" ht="20.25" customHeight="1">
      <c r="A210" s="320" t="str">
        <f t="shared" si="84"/>
        <v/>
      </c>
      <c r="B210" s="248"/>
      <c r="C210" s="243">
        <f t="shared" si="87"/>
        <v>0</v>
      </c>
      <c r="D210" s="243"/>
      <c r="E210" s="277">
        <f t="shared" si="85"/>
        <v>0</v>
      </c>
      <c r="F210" s="243">
        <f t="shared" si="86"/>
        <v>0</v>
      </c>
      <c r="G210" s="277"/>
      <c r="H210" s="277" t="str">
        <f t="shared" ref="H210:H252" si="88">IF(G210&lt;&gt;"",F210/G210,"")</f>
        <v/>
      </c>
      <c r="I210" s="278"/>
      <c r="J210" s="278"/>
      <c r="K210" s="249"/>
      <c r="L210" s="280"/>
      <c r="M210" s="281"/>
      <c r="N210" s="178"/>
      <c r="O210" s="243">
        <f t="shared" ref="O210:O252" si="89">ROUND(M210*N210,0)</f>
        <v>0</v>
      </c>
      <c r="P210" s="285"/>
      <c r="Q210" s="280"/>
    </row>
    <row r="211" spans="1:17" ht="20.25" customHeight="1">
      <c r="A211" s="320" t="str">
        <f t="shared" si="84"/>
        <v/>
      </c>
      <c r="B211" s="248"/>
      <c r="C211" s="243">
        <f t="shared" si="87"/>
        <v>0</v>
      </c>
      <c r="D211" s="243"/>
      <c r="E211" s="277">
        <f t="shared" si="85"/>
        <v>0</v>
      </c>
      <c r="F211" s="243">
        <f t="shared" si="86"/>
        <v>0</v>
      </c>
      <c r="G211" s="277"/>
      <c r="H211" s="277" t="str">
        <f t="shared" si="88"/>
        <v/>
      </c>
      <c r="I211" s="278"/>
      <c r="J211" s="278"/>
      <c r="K211" s="249"/>
      <c r="L211" s="280"/>
      <c r="M211" s="281"/>
      <c r="N211" s="178"/>
      <c r="O211" s="243">
        <f t="shared" si="89"/>
        <v>0</v>
      </c>
      <c r="P211" s="285"/>
      <c r="Q211" s="280"/>
    </row>
    <row r="212" spans="1:17" ht="20.25" customHeight="1">
      <c r="A212" s="320" t="str">
        <f t="shared" si="84"/>
        <v/>
      </c>
      <c r="B212" s="248"/>
      <c r="C212" s="243">
        <f t="shared" si="87"/>
        <v>0</v>
      </c>
      <c r="D212" s="243"/>
      <c r="E212" s="277">
        <f t="shared" si="85"/>
        <v>0</v>
      </c>
      <c r="F212" s="243">
        <f t="shared" si="86"/>
        <v>0</v>
      </c>
      <c r="G212" s="277"/>
      <c r="H212" s="277" t="str">
        <f t="shared" si="88"/>
        <v/>
      </c>
      <c r="I212" s="278"/>
      <c r="J212" s="278"/>
      <c r="K212" s="249"/>
      <c r="L212" s="280"/>
      <c r="M212" s="281"/>
      <c r="N212" s="178"/>
      <c r="O212" s="243">
        <f t="shared" si="89"/>
        <v>0</v>
      </c>
      <c r="P212" s="285"/>
      <c r="Q212" s="280"/>
    </row>
    <row r="213" spans="1:17" ht="20.25" customHeight="1">
      <c r="A213" s="320" t="str">
        <f t="shared" si="84"/>
        <v/>
      </c>
      <c r="B213" s="248"/>
      <c r="C213" s="243">
        <f t="shared" si="87"/>
        <v>0</v>
      </c>
      <c r="D213" s="243"/>
      <c r="E213" s="277">
        <f t="shared" si="85"/>
        <v>0</v>
      </c>
      <c r="F213" s="243">
        <f t="shared" si="86"/>
        <v>0</v>
      </c>
      <c r="G213" s="277"/>
      <c r="H213" s="277" t="str">
        <f t="shared" si="88"/>
        <v/>
      </c>
      <c r="I213" s="278"/>
      <c r="J213" s="278"/>
      <c r="K213" s="249"/>
      <c r="L213" s="280"/>
      <c r="M213" s="281"/>
      <c r="N213" s="178"/>
      <c r="O213" s="243">
        <f t="shared" si="89"/>
        <v>0</v>
      </c>
      <c r="P213" s="285"/>
      <c r="Q213" s="280"/>
    </row>
    <row r="214" spans="1:17" ht="20.25" customHeight="1">
      <c r="A214" s="320" t="str">
        <f t="shared" si="84"/>
        <v/>
      </c>
      <c r="B214" s="248"/>
      <c r="C214" s="243">
        <f t="shared" si="87"/>
        <v>0</v>
      </c>
      <c r="D214" s="243"/>
      <c r="E214" s="277">
        <f t="shared" si="85"/>
        <v>0</v>
      </c>
      <c r="F214" s="243">
        <f t="shared" si="86"/>
        <v>0</v>
      </c>
      <c r="G214" s="277"/>
      <c r="H214" s="277" t="str">
        <f t="shared" si="88"/>
        <v/>
      </c>
      <c r="I214" s="278"/>
      <c r="J214" s="278"/>
      <c r="K214" s="250"/>
      <c r="L214" s="280"/>
      <c r="M214" s="281"/>
      <c r="N214" s="178"/>
      <c r="O214" s="243">
        <f t="shared" si="89"/>
        <v>0</v>
      </c>
      <c r="P214" s="285"/>
      <c r="Q214" s="280"/>
    </row>
    <row r="215" spans="1:17" ht="20.25" customHeight="1">
      <c r="A215" s="320" t="str">
        <f t="shared" si="84"/>
        <v/>
      </c>
      <c r="B215" s="248"/>
      <c r="C215" s="243">
        <f t="shared" si="87"/>
        <v>0</v>
      </c>
      <c r="D215" s="243"/>
      <c r="E215" s="277">
        <f t="shared" si="85"/>
        <v>0</v>
      </c>
      <c r="F215" s="243">
        <f t="shared" si="86"/>
        <v>0</v>
      </c>
      <c r="G215" s="277"/>
      <c r="H215" s="277" t="str">
        <f t="shared" si="88"/>
        <v/>
      </c>
      <c r="I215" s="278"/>
      <c r="J215" s="278"/>
      <c r="K215" s="247"/>
      <c r="L215" s="280"/>
      <c r="M215" s="281"/>
      <c r="N215" s="178"/>
      <c r="O215" s="243">
        <f t="shared" si="89"/>
        <v>0</v>
      </c>
      <c r="P215" s="285"/>
      <c r="Q215" s="280"/>
    </row>
    <row r="216" spans="1:17" ht="20.25" customHeight="1">
      <c r="A216" s="320" t="str">
        <f t="shared" si="84"/>
        <v/>
      </c>
      <c r="B216" s="248"/>
      <c r="C216" s="243">
        <f t="shared" si="87"/>
        <v>0</v>
      </c>
      <c r="D216" s="243"/>
      <c r="E216" s="277">
        <f t="shared" si="85"/>
        <v>0</v>
      </c>
      <c r="F216" s="243">
        <f t="shared" si="86"/>
        <v>0</v>
      </c>
      <c r="G216" s="277"/>
      <c r="H216" s="277" t="str">
        <f t="shared" si="88"/>
        <v/>
      </c>
      <c r="I216" s="278"/>
      <c r="J216" s="278"/>
      <c r="K216" s="250"/>
      <c r="L216" s="280"/>
      <c r="M216" s="281"/>
      <c r="N216" s="178"/>
      <c r="O216" s="243">
        <f t="shared" si="89"/>
        <v>0</v>
      </c>
      <c r="P216" s="285"/>
      <c r="Q216" s="280"/>
    </row>
    <row r="217" spans="1:17" ht="20.25" customHeight="1">
      <c r="A217" s="320" t="str">
        <f t="shared" si="84"/>
        <v/>
      </c>
      <c r="B217" s="248"/>
      <c r="C217" s="243">
        <f t="shared" si="87"/>
        <v>0</v>
      </c>
      <c r="D217" s="243"/>
      <c r="E217" s="277">
        <f t="shared" si="85"/>
        <v>0</v>
      </c>
      <c r="F217" s="243">
        <f t="shared" si="86"/>
        <v>0</v>
      </c>
      <c r="G217" s="277"/>
      <c r="H217" s="277" t="str">
        <f t="shared" si="88"/>
        <v/>
      </c>
      <c r="I217" s="278"/>
      <c r="J217" s="278"/>
      <c r="K217" s="250"/>
      <c r="L217" s="280"/>
      <c r="M217" s="281"/>
      <c r="N217" s="178"/>
      <c r="O217" s="243">
        <f t="shared" si="89"/>
        <v>0</v>
      </c>
      <c r="P217" s="285"/>
      <c r="Q217" s="280"/>
    </row>
    <row r="218" spans="1:17" ht="20.25" customHeight="1">
      <c r="A218" s="320" t="str">
        <f t="shared" si="84"/>
        <v/>
      </c>
      <c r="B218" s="248"/>
      <c r="C218" s="243">
        <f t="shared" si="87"/>
        <v>0</v>
      </c>
      <c r="D218" s="243"/>
      <c r="E218" s="277">
        <f t="shared" si="85"/>
        <v>0</v>
      </c>
      <c r="F218" s="243">
        <f t="shared" si="86"/>
        <v>0</v>
      </c>
      <c r="G218" s="277"/>
      <c r="H218" s="277" t="str">
        <f t="shared" si="88"/>
        <v/>
      </c>
      <c r="I218" s="278"/>
      <c r="J218" s="278"/>
      <c r="K218" s="250"/>
      <c r="L218" s="280"/>
      <c r="M218" s="281"/>
      <c r="N218" s="178"/>
      <c r="O218" s="243">
        <f t="shared" si="89"/>
        <v>0</v>
      </c>
      <c r="P218" s="285"/>
      <c r="Q218" s="280"/>
    </row>
    <row r="219" spans="1:17" ht="20.25" customHeight="1">
      <c r="A219" s="320" t="str">
        <f t="shared" si="84"/>
        <v/>
      </c>
      <c r="B219" s="248"/>
      <c r="C219" s="243">
        <f t="shared" si="87"/>
        <v>0</v>
      </c>
      <c r="D219" s="243"/>
      <c r="E219" s="277">
        <f t="shared" si="85"/>
        <v>0</v>
      </c>
      <c r="F219" s="243">
        <f t="shared" si="86"/>
        <v>0</v>
      </c>
      <c r="G219" s="277"/>
      <c r="H219" s="277" t="str">
        <f t="shared" si="88"/>
        <v/>
      </c>
      <c r="I219" s="278"/>
      <c r="J219" s="278"/>
      <c r="K219" s="250"/>
      <c r="L219" s="280"/>
      <c r="M219" s="281"/>
      <c r="N219" s="178"/>
      <c r="O219" s="243">
        <f t="shared" si="89"/>
        <v>0</v>
      </c>
      <c r="P219" s="285"/>
      <c r="Q219" s="280"/>
    </row>
    <row r="220" spans="1:17" ht="20.25" customHeight="1">
      <c r="A220" s="320" t="str">
        <f t="shared" si="84"/>
        <v/>
      </c>
      <c r="B220" s="248"/>
      <c r="C220" s="243">
        <f t="shared" si="87"/>
        <v>0</v>
      </c>
      <c r="D220" s="243"/>
      <c r="E220" s="277">
        <f t="shared" si="85"/>
        <v>0</v>
      </c>
      <c r="F220" s="243">
        <f t="shared" si="86"/>
        <v>0</v>
      </c>
      <c r="G220" s="277"/>
      <c r="H220" s="277" t="str">
        <f t="shared" si="88"/>
        <v/>
      </c>
      <c r="I220" s="278"/>
      <c r="J220" s="278"/>
      <c r="K220" s="250"/>
      <c r="L220" s="280"/>
      <c r="M220" s="281"/>
      <c r="N220" s="178"/>
      <c r="O220" s="243">
        <f t="shared" si="89"/>
        <v>0</v>
      </c>
      <c r="P220" s="285"/>
      <c r="Q220" s="280"/>
    </row>
    <row r="221" spans="1:17" ht="20.25" customHeight="1">
      <c r="A221" s="320" t="str">
        <f t="shared" si="84"/>
        <v/>
      </c>
      <c r="B221" s="248"/>
      <c r="C221" s="243">
        <f t="shared" si="87"/>
        <v>0</v>
      </c>
      <c r="D221" s="243"/>
      <c r="E221" s="277">
        <f t="shared" si="85"/>
        <v>0</v>
      </c>
      <c r="F221" s="243">
        <f t="shared" si="86"/>
        <v>0</v>
      </c>
      <c r="G221" s="277"/>
      <c r="H221" s="277" t="str">
        <f t="shared" si="88"/>
        <v/>
      </c>
      <c r="I221" s="278"/>
      <c r="J221" s="278"/>
      <c r="K221" s="247"/>
      <c r="L221" s="280"/>
      <c r="M221" s="281"/>
      <c r="N221" s="178"/>
      <c r="O221" s="243">
        <f t="shared" si="89"/>
        <v>0</v>
      </c>
      <c r="P221" s="285"/>
      <c r="Q221" s="280"/>
    </row>
    <row r="222" spans="1:17" ht="20.25" customHeight="1">
      <c r="A222" s="320" t="str">
        <f t="shared" si="84"/>
        <v/>
      </c>
      <c r="B222" s="248"/>
      <c r="C222" s="243">
        <f t="shared" si="87"/>
        <v>0</v>
      </c>
      <c r="D222" s="243"/>
      <c r="E222" s="277">
        <f t="shared" si="85"/>
        <v>0</v>
      </c>
      <c r="F222" s="243">
        <f t="shared" si="86"/>
        <v>0</v>
      </c>
      <c r="G222" s="277"/>
      <c r="H222" s="277" t="str">
        <f t="shared" si="88"/>
        <v/>
      </c>
      <c r="I222" s="278"/>
      <c r="J222" s="278"/>
      <c r="K222" s="247"/>
      <c r="L222" s="280"/>
      <c r="M222" s="281"/>
      <c r="N222" s="178"/>
      <c r="O222" s="243">
        <f t="shared" si="89"/>
        <v>0</v>
      </c>
      <c r="P222" s="285"/>
      <c r="Q222" s="280"/>
    </row>
    <row r="223" spans="1:17" ht="20.25" customHeight="1">
      <c r="A223" s="320" t="str">
        <f t="shared" si="84"/>
        <v/>
      </c>
      <c r="B223" s="248"/>
      <c r="C223" s="243">
        <f t="shared" si="87"/>
        <v>0</v>
      </c>
      <c r="D223" s="243"/>
      <c r="E223" s="277">
        <f t="shared" si="85"/>
        <v>0</v>
      </c>
      <c r="F223" s="243">
        <f t="shared" si="86"/>
        <v>0</v>
      </c>
      <c r="G223" s="277"/>
      <c r="H223" s="277" t="str">
        <f t="shared" si="88"/>
        <v/>
      </c>
      <c r="I223" s="278"/>
      <c r="J223" s="278"/>
      <c r="K223" s="247"/>
      <c r="L223" s="280"/>
      <c r="M223" s="287"/>
      <c r="N223" s="181"/>
      <c r="O223" s="243">
        <f t="shared" si="89"/>
        <v>0</v>
      </c>
      <c r="P223" s="285"/>
      <c r="Q223" s="280"/>
    </row>
    <row r="224" spans="1:17" ht="20.25" customHeight="1">
      <c r="A224" s="320" t="str">
        <f t="shared" si="84"/>
        <v/>
      </c>
      <c r="B224" s="248"/>
      <c r="C224" s="243">
        <f t="shared" si="87"/>
        <v>0</v>
      </c>
      <c r="D224" s="243"/>
      <c r="E224" s="277">
        <f t="shared" si="85"/>
        <v>0</v>
      </c>
      <c r="F224" s="243">
        <f t="shared" si="86"/>
        <v>0</v>
      </c>
      <c r="G224" s="277"/>
      <c r="H224" s="277" t="str">
        <f t="shared" si="88"/>
        <v/>
      </c>
      <c r="I224" s="278"/>
      <c r="J224" s="278"/>
      <c r="K224" s="247"/>
      <c r="L224" s="280"/>
      <c r="M224" s="281"/>
      <c r="N224" s="178"/>
      <c r="O224" s="243">
        <f t="shared" si="89"/>
        <v>0</v>
      </c>
      <c r="P224" s="285"/>
      <c r="Q224" s="280"/>
    </row>
    <row r="225" spans="1:17" ht="20.25" customHeight="1">
      <c r="A225" s="320" t="str">
        <f t="shared" si="84"/>
        <v/>
      </c>
      <c r="B225" s="248"/>
      <c r="C225" s="243">
        <f t="shared" si="87"/>
        <v>0</v>
      </c>
      <c r="D225" s="243"/>
      <c r="E225" s="277">
        <f t="shared" si="85"/>
        <v>0</v>
      </c>
      <c r="F225" s="243">
        <f t="shared" si="86"/>
        <v>0</v>
      </c>
      <c r="G225" s="277"/>
      <c r="H225" s="277" t="str">
        <f t="shared" si="88"/>
        <v/>
      </c>
      <c r="I225" s="278"/>
      <c r="J225" s="278"/>
      <c r="K225" s="250"/>
      <c r="L225" s="280"/>
      <c r="M225" s="281"/>
      <c r="N225" s="178"/>
      <c r="O225" s="243">
        <f t="shared" si="89"/>
        <v>0</v>
      </c>
      <c r="P225" s="285"/>
      <c r="Q225" s="280"/>
    </row>
    <row r="226" spans="1:17" ht="20.25" customHeight="1">
      <c r="A226" s="320" t="str">
        <f t="shared" si="84"/>
        <v/>
      </c>
      <c r="B226" s="248"/>
      <c r="C226" s="243">
        <f t="shared" si="87"/>
        <v>0</v>
      </c>
      <c r="D226" s="243"/>
      <c r="E226" s="277">
        <f t="shared" si="85"/>
        <v>0</v>
      </c>
      <c r="F226" s="243">
        <f t="shared" si="86"/>
        <v>0</v>
      </c>
      <c r="G226" s="277"/>
      <c r="H226" s="277" t="str">
        <f t="shared" si="88"/>
        <v/>
      </c>
      <c r="I226" s="278"/>
      <c r="J226" s="278"/>
      <c r="K226" s="247"/>
      <c r="L226" s="280"/>
      <c r="M226" s="287"/>
      <c r="N226" s="181"/>
      <c r="O226" s="243">
        <f t="shared" si="89"/>
        <v>0</v>
      </c>
      <c r="P226" s="285"/>
      <c r="Q226" s="280"/>
    </row>
    <row r="227" spans="1:17" ht="20.25" customHeight="1">
      <c r="A227" s="320" t="str">
        <f t="shared" si="84"/>
        <v/>
      </c>
      <c r="B227" s="248"/>
      <c r="C227" s="243">
        <f t="shared" si="87"/>
        <v>0</v>
      </c>
      <c r="D227" s="243"/>
      <c r="E227" s="277">
        <f t="shared" si="85"/>
        <v>0</v>
      </c>
      <c r="F227" s="243">
        <f t="shared" si="86"/>
        <v>0</v>
      </c>
      <c r="G227" s="277"/>
      <c r="H227" s="277" t="str">
        <f t="shared" si="88"/>
        <v/>
      </c>
      <c r="I227" s="278"/>
      <c r="J227" s="278"/>
      <c r="K227" s="247"/>
      <c r="L227" s="280"/>
      <c r="M227" s="281"/>
      <c r="N227" s="178"/>
      <c r="O227" s="243">
        <f t="shared" si="89"/>
        <v>0</v>
      </c>
      <c r="P227" s="285"/>
      <c r="Q227" s="280"/>
    </row>
    <row r="228" spans="1:17" ht="20.25" customHeight="1">
      <c r="A228" s="320" t="str">
        <f t="shared" si="84"/>
        <v/>
      </c>
      <c r="B228" s="248"/>
      <c r="C228" s="243">
        <f t="shared" si="87"/>
        <v>0</v>
      </c>
      <c r="D228" s="243"/>
      <c r="E228" s="277">
        <f t="shared" si="85"/>
        <v>0</v>
      </c>
      <c r="F228" s="243">
        <f t="shared" si="86"/>
        <v>0</v>
      </c>
      <c r="G228" s="277"/>
      <c r="H228" s="277" t="str">
        <f t="shared" si="88"/>
        <v/>
      </c>
      <c r="I228" s="278"/>
      <c r="J228" s="278"/>
      <c r="K228" s="250"/>
      <c r="L228" s="280"/>
      <c r="M228" s="281"/>
      <c r="N228" s="178"/>
      <c r="O228" s="243">
        <f t="shared" si="89"/>
        <v>0</v>
      </c>
      <c r="P228" s="285"/>
      <c r="Q228" s="280"/>
    </row>
    <row r="229" spans="1:17" ht="20.25" customHeight="1">
      <c r="A229" s="320" t="str">
        <f t="shared" si="84"/>
        <v/>
      </c>
      <c r="B229" s="248"/>
      <c r="C229" s="243">
        <f t="shared" si="87"/>
        <v>0</v>
      </c>
      <c r="D229" s="243"/>
      <c r="E229" s="277">
        <f t="shared" si="85"/>
        <v>0</v>
      </c>
      <c r="F229" s="243">
        <f t="shared" si="86"/>
        <v>0</v>
      </c>
      <c r="G229" s="277"/>
      <c r="H229" s="277" t="str">
        <f t="shared" si="88"/>
        <v/>
      </c>
      <c r="I229" s="278"/>
      <c r="J229" s="278"/>
      <c r="K229" s="247"/>
      <c r="L229" s="280"/>
      <c r="M229" s="281"/>
      <c r="N229" s="178"/>
      <c r="O229" s="243">
        <f t="shared" si="89"/>
        <v>0</v>
      </c>
      <c r="P229" s="285"/>
      <c r="Q229" s="280"/>
    </row>
    <row r="230" spans="1:17" ht="20.25" customHeight="1">
      <c r="A230" s="320" t="str">
        <f t="shared" si="84"/>
        <v/>
      </c>
      <c r="B230" s="248"/>
      <c r="C230" s="243">
        <f t="shared" si="87"/>
        <v>0</v>
      </c>
      <c r="D230" s="243"/>
      <c r="E230" s="277">
        <f t="shared" si="85"/>
        <v>0</v>
      </c>
      <c r="F230" s="243">
        <f t="shared" si="86"/>
        <v>0</v>
      </c>
      <c r="G230" s="277"/>
      <c r="H230" s="277" t="str">
        <f t="shared" si="88"/>
        <v/>
      </c>
      <c r="I230" s="278"/>
      <c r="J230" s="278"/>
      <c r="K230" s="247"/>
      <c r="L230" s="280"/>
      <c r="M230" s="281"/>
      <c r="N230" s="178"/>
      <c r="O230" s="243">
        <f t="shared" si="89"/>
        <v>0</v>
      </c>
      <c r="P230" s="285"/>
      <c r="Q230" s="280"/>
    </row>
    <row r="231" spans="1:17" ht="20.25" customHeight="1">
      <c r="A231" s="320" t="str">
        <f t="shared" si="84"/>
        <v/>
      </c>
      <c r="B231" s="248"/>
      <c r="C231" s="243">
        <f t="shared" si="87"/>
        <v>0</v>
      </c>
      <c r="D231" s="243"/>
      <c r="E231" s="277">
        <f t="shared" si="85"/>
        <v>0</v>
      </c>
      <c r="F231" s="243">
        <f t="shared" si="86"/>
        <v>0</v>
      </c>
      <c r="G231" s="277"/>
      <c r="H231" s="277" t="str">
        <f t="shared" si="88"/>
        <v/>
      </c>
      <c r="I231" s="278"/>
      <c r="J231" s="278"/>
      <c r="K231" s="247"/>
      <c r="L231" s="280"/>
      <c r="M231" s="281"/>
      <c r="N231" s="178"/>
      <c r="O231" s="243">
        <f t="shared" si="89"/>
        <v>0</v>
      </c>
      <c r="P231" s="285"/>
      <c r="Q231" s="280"/>
    </row>
    <row r="232" spans="1:17" ht="20.25" customHeight="1">
      <c r="A232" s="320" t="str">
        <f t="shared" si="84"/>
        <v/>
      </c>
      <c r="B232" s="248"/>
      <c r="C232" s="243">
        <f t="shared" si="87"/>
        <v>0</v>
      </c>
      <c r="D232" s="243"/>
      <c r="E232" s="277">
        <f t="shared" si="85"/>
        <v>0</v>
      </c>
      <c r="F232" s="243">
        <f t="shared" si="86"/>
        <v>0</v>
      </c>
      <c r="G232" s="277"/>
      <c r="H232" s="277" t="str">
        <f t="shared" si="88"/>
        <v/>
      </c>
      <c r="I232" s="278"/>
      <c r="J232" s="278"/>
      <c r="K232" s="247"/>
      <c r="L232" s="280"/>
      <c r="M232" s="281"/>
      <c r="N232" s="178"/>
      <c r="O232" s="243">
        <f t="shared" si="89"/>
        <v>0</v>
      </c>
      <c r="P232" s="285"/>
      <c r="Q232" s="280"/>
    </row>
    <row r="233" spans="1:17" ht="20.25" customHeight="1">
      <c r="A233" s="320" t="str">
        <f t="shared" si="84"/>
        <v/>
      </c>
      <c r="B233" s="248"/>
      <c r="C233" s="243">
        <f t="shared" ref="C233:C250" si="90">O233</f>
        <v>0</v>
      </c>
      <c r="D233" s="243"/>
      <c r="E233" s="277">
        <f t="shared" si="85"/>
        <v>0</v>
      </c>
      <c r="F233" s="243">
        <f t="shared" si="86"/>
        <v>0</v>
      </c>
      <c r="G233" s="277"/>
      <c r="H233" s="277" t="str">
        <f t="shared" ref="H233:H250" si="91">IF(G233&lt;&gt;"",F233/G233,"")</f>
        <v/>
      </c>
      <c r="I233" s="278"/>
      <c r="J233" s="278"/>
      <c r="K233" s="250"/>
      <c r="L233" s="280"/>
      <c r="M233" s="281"/>
      <c r="N233" s="178"/>
      <c r="O233" s="243">
        <f t="shared" ref="O233:O250" si="92">ROUND(M233*N233,0)</f>
        <v>0</v>
      </c>
      <c r="P233" s="285"/>
      <c r="Q233" s="280"/>
    </row>
    <row r="234" spans="1:17" ht="20.25" customHeight="1">
      <c r="A234" s="320" t="str">
        <f t="shared" si="84"/>
        <v/>
      </c>
      <c r="B234" s="248"/>
      <c r="C234" s="243">
        <f t="shared" si="90"/>
        <v>0</v>
      </c>
      <c r="D234" s="243"/>
      <c r="E234" s="277">
        <f t="shared" si="85"/>
        <v>0</v>
      </c>
      <c r="F234" s="243">
        <f t="shared" si="86"/>
        <v>0</v>
      </c>
      <c r="G234" s="277"/>
      <c r="H234" s="277" t="str">
        <f t="shared" si="91"/>
        <v/>
      </c>
      <c r="I234" s="278"/>
      <c r="J234" s="278"/>
      <c r="K234" s="250"/>
      <c r="L234" s="280"/>
      <c r="M234" s="281"/>
      <c r="N234" s="178"/>
      <c r="O234" s="243">
        <f t="shared" si="92"/>
        <v>0</v>
      </c>
      <c r="P234" s="285"/>
      <c r="Q234" s="280"/>
    </row>
    <row r="235" spans="1:17" ht="20.25" customHeight="1">
      <c r="A235" s="320" t="str">
        <f t="shared" si="84"/>
        <v/>
      </c>
      <c r="B235" s="248"/>
      <c r="C235" s="243">
        <f t="shared" si="90"/>
        <v>0</v>
      </c>
      <c r="D235" s="243"/>
      <c r="E235" s="277">
        <f t="shared" si="85"/>
        <v>0</v>
      </c>
      <c r="F235" s="243">
        <f t="shared" si="86"/>
        <v>0</v>
      </c>
      <c r="G235" s="277"/>
      <c r="H235" s="277" t="str">
        <f t="shared" si="91"/>
        <v/>
      </c>
      <c r="I235" s="278"/>
      <c r="J235" s="278"/>
      <c r="K235" s="250"/>
      <c r="L235" s="280"/>
      <c r="M235" s="281"/>
      <c r="N235" s="178"/>
      <c r="O235" s="243">
        <f t="shared" si="92"/>
        <v>0</v>
      </c>
      <c r="P235" s="285"/>
      <c r="Q235" s="280"/>
    </row>
    <row r="236" spans="1:17" ht="20.25" customHeight="1">
      <c r="A236" s="320" t="str">
        <f t="shared" si="84"/>
        <v/>
      </c>
      <c r="B236" s="248"/>
      <c r="C236" s="243">
        <f t="shared" si="90"/>
        <v>0</v>
      </c>
      <c r="D236" s="243"/>
      <c r="E236" s="277">
        <f t="shared" si="85"/>
        <v>0</v>
      </c>
      <c r="F236" s="243">
        <f t="shared" si="86"/>
        <v>0</v>
      </c>
      <c r="G236" s="277"/>
      <c r="H236" s="277" t="str">
        <f t="shared" si="91"/>
        <v/>
      </c>
      <c r="I236" s="278"/>
      <c r="J236" s="278"/>
      <c r="K236" s="250"/>
      <c r="L236" s="280"/>
      <c r="M236" s="281"/>
      <c r="N236" s="178"/>
      <c r="O236" s="243">
        <f t="shared" si="92"/>
        <v>0</v>
      </c>
      <c r="P236" s="285"/>
      <c r="Q236" s="280"/>
    </row>
    <row r="237" spans="1:17" ht="20.25" customHeight="1">
      <c r="A237" s="320" t="str">
        <f t="shared" si="84"/>
        <v/>
      </c>
      <c r="B237" s="248"/>
      <c r="C237" s="243">
        <f t="shared" si="90"/>
        <v>0</v>
      </c>
      <c r="D237" s="243"/>
      <c r="E237" s="277">
        <f t="shared" si="85"/>
        <v>0</v>
      </c>
      <c r="F237" s="243">
        <f t="shared" si="86"/>
        <v>0</v>
      </c>
      <c r="G237" s="277"/>
      <c r="H237" s="277" t="str">
        <f t="shared" si="91"/>
        <v/>
      </c>
      <c r="I237" s="278"/>
      <c r="J237" s="278"/>
      <c r="K237" s="250"/>
      <c r="L237" s="280"/>
      <c r="M237" s="281"/>
      <c r="N237" s="178"/>
      <c r="O237" s="243">
        <f t="shared" si="92"/>
        <v>0</v>
      </c>
      <c r="P237" s="285"/>
      <c r="Q237" s="280"/>
    </row>
    <row r="238" spans="1:17" ht="20.25" customHeight="1">
      <c r="A238" s="320" t="str">
        <f t="shared" si="84"/>
        <v/>
      </c>
      <c r="B238" s="248"/>
      <c r="C238" s="243">
        <f t="shared" si="90"/>
        <v>0</v>
      </c>
      <c r="D238" s="243"/>
      <c r="E238" s="277">
        <f t="shared" si="85"/>
        <v>0</v>
      </c>
      <c r="F238" s="243">
        <f t="shared" si="86"/>
        <v>0</v>
      </c>
      <c r="G238" s="277"/>
      <c r="H238" s="277" t="str">
        <f t="shared" si="91"/>
        <v/>
      </c>
      <c r="I238" s="278"/>
      <c r="J238" s="278"/>
      <c r="K238" s="250"/>
      <c r="L238" s="280"/>
      <c r="M238" s="281"/>
      <c r="N238" s="178"/>
      <c r="O238" s="243">
        <f t="shared" si="92"/>
        <v>0</v>
      </c>
      <c r="P238" s="285"/>
      <c r="Q238" s="280"/>
    </row>
    <row r="239" spans="1:17" ht="20.25" customHeight="1">
      <c r="A239" s="320" t="str">
        <f t="shared" si="84"/>
        <v/>
      </c>
      <c r="B239" s="248"/>
      <c r="C239" s="243">
        <f t="shared" si="90"/>
        <v>0</v>
      </c>
      <c r="D239" s="243"/>
      <c r="E239" s="277">
        <f t="shared" si="85"/>
        <v>0</v>
      </c>
      <c r="F239" s="243">
        <f t="shared" si="86"/>
        <v>0</v>
      </c>
      <c r="G239" s="277"/>
      <c r="H239" s="277" t="str">
        <f t="shared" si="91"/>
        <v/>
      </c>
      <c r="I239" s="278"/>
      <c r="J239" s="278"/>
      <c r="K239" s="247"/>
      <c r="L239" s="280"/>
      <c r="M239" s="281"/>
      <c r="N239" s="178"/>
      <c r="O239" s="243">
        <f t="shared" si="92"/>
        <v>0</v>
      </c>
      <c r="P239" s="285"/>
      <c r="Q239" s="280"/>
    </row>
    <row r="240" spans="1:17" ht="20.25" customHeight="1">
      <c r="A240" s="320" t="str">
        <f t="shared" si="84"/>
        <v/>
      </c>
      <c r="B240" s="248"/>
      <c r="C240" s="243">
        <f t="shared" si="90"/>
        <v>0</v>
      </c>
      <c r="D240" s="243"/>
      <c r="E240" s="277">
        <f t="shared" ref="E240:E267" si="93">IF($G$269&lt;&gt;0,E$269/$G$269*$G240,0)</f>
        <v>0</v>
      </c>
      <c r="F240" s="243">
        <f t="shared" ref="F240:F267" si="94">SUM(C240:E240)</f>
        <v>0</v>
      </c>
      <c r="G240" s="277"/>
      <c r="H240" s="277" t="str">
        <f t="shared" si="91"/>
        <v/>
      </c>
      <c r="I240" s="278"/>
      <c r="J240" s="278"/>
      <c r="K240" s="247"/>
      <c r="L240" s="280"/>
      <c r="M240" s="281"/>
      <c r="N240" s="178"/>
      <c r="O240" s="243">
        <f t="shared" si="92"/>
        <v>0</v>
      </c>
      <c r="P240" s="285"/>
      <c r="Q240" s="280"/>
    </row>
    <row r="241" spans="1:17" ht="20.25" customHeight="1">
      <c r="A241" s="320" t="str">
        <f t="shared" si="84"/>
        <v/>
      </c>
      <c r="B241" s="248"/>
      <c r="C241" s="243">
        <f t="shared" si="90"/>
        <v>0</v>
      </c>
      <c r="D241" s="243"/>
      <c r="E241" s="277">
        <f t="shared" si="93"/>
        <v>0</v>
      </c>
      <c r="F241" s="243">
        <f t="shared" si="94"/>
        <v>0</v>
      </c>
      <c r="G241" s="277"/>
      <c r="H241" s="277" t="str">
        <f t="shared" si="91"/>
        <v/>
      </c>
      <c r="I241" s="278"/>
      <c r="J241" s="278"/>
      <c r="K241" s="247"/>
      <c r="L241" s="280"/>
      <c r="M241" s="287"/>
      <c r="N241" s="181"/>
      <c r="O241" s="243">
        <f t="shared" si="92"/>
        <v>0</v>
      </c>
      <c r="P241" s="285"/>
      <c r="Q241" s="280"/>
    </row>
    <row r="242" spans="1:17" ht="20.25" customHeight="1">
      <c r="A242" s="320" t="str">
        <f t="shared" si="84"/>
        <v/>
      </c>
      <c r="B242" s="248"/>
      <c r="C242" s="243">
        <f t="shared" si="90"/>
        <v>0</v>
      </c>
      <c r="D242" s="243"/>
      <c r="E242" s="277">
        <f t="shared" si="93"/>
        <v>0</v>
      </c>
      <c r="F242" s="243">
        <f t="shared" si="94"/>
        <v>0</v>
      </c>
      <c r="G242" s="277"/>
      <c r="H242" s="277" t="str">
        <f t="shared" si="91"/>
        <v/>
      </c>
      <c r="I242" s="278"/>
      <c r="J242" s="278"/>
      <c r="K242" s="247"/>
      <c r="L242" s="280"/>
      <c r="M242" s="281"/>
      <c r="N242" s="178"/>
      <c r="O242" s="243">
        <f t="shared" si="92"/>
        <v>0</v>
      </c>
      <c r="P242" s="285"/>
      <c r="Q242" s="280"/>
    </row>
    <row r="243" spans="1:17" ht="20.25" customHeight="1">
      <c r="A243" s="320" t="str">
        <f t="shared" si="84"/>
        <v/>
      </c>
      <c r="B243" s="248"/>
      <c r="C243" s="243">
        <f t="shared" si="90"/>
        <v>0</v>
      </c>
      <c r="D243" s="243"/>
      <c r="E243" s="277">
        <f t="shared" si="93"/>
        <v>0</v>
      </c>
      <c r="F243" s="243">
        <f t="shared" si="94"/>
        <v>0</v>
      </c>
      <c r="G243" s="277"/>
      <c r="H243" s="277" t="str">
        <f t="shared" si="91"/>
        <v/>
      </c>
      <c r="I243" s="278"/>
      <c r="J243" s="278"/>
      <c r="K243" s="250"/>
      <c r="L243" s="280"/>
      <c r="M243" s="281"/>
      <c r="N243" s="178"/>
      <c r="O243" s="243">
        <f t="shared" si="92"/>
        <v>0</v>
      </c>
      <c r="P243" s="285"/>
      <c r="Q243" s="280"/>
    </row>
    <row r="244" spans="1:17" ht="20.25" customHeight="1">
      <c r="A244" s="320" t="str">
        <f t="shared" si="84"/>
        <v/>
      </c>
      <c r="B244" s="248"/>
      <c r="C244" s="243">
        <f t="shared" si="90"/>
        <v>0</v>
      </c>
      <c r="D244" s="243"/>
      <c r="E244" s="277">
        <f t="shared" si="93"/>
        <v>0</v>
      </c>
      <c r="F244" s="243">
        <f t="shared" si="94"/>
        <v>0</v>
      </c>
      <c r="G244" s="277"/>
      <c r="H244" s="277" t="str">
        <f t="shared" si="91"/>
        <v/>
      </c>
      <c r="I244" s="278"/>
      <c r="J244" s="278"/>
      <c r="K244" s="247"/>
      <c r="L244" s="280"/>
      <c r="M244" s="287"/>
      <c r="N244" s="181"/>
      <c r="O244" s="243">
        <f t="shared" si="92"/>
        <v>0</v>
      </c>
      <c r="P244" s="285"/>
      <c r="Q244" s="280"/>
    </row>
    <row r="245" spans="1:17" ht="20.25" customHeight="1">
      <c r="A245" s="320" t="str">
        <f t="shared" si="84"/>
        <v/>
      </c>
      <c r="B245" s="248"/>
      <c r="C245" s="243">
        <f t="shared" si="90"/>
        <v>0</v>
      </c>
      <c r="D245" s="243"/>
      <c r="E245" s="277">
        <f t="shared" si="93"/>
        <v>0</v>
      </c>
      <c r="F245" s="243">
        <f t="shared" si="94"/>
        <v>0</v>
      </c>
      <c r="G245" s="277"/>
      <c r="H245" s="277" t="str">
        <f t="shared" si="91"/>
        <v/>
      </c>
      <c r="I245" s="278"/>
      <c r="J245" s="278"/>
      <c r="K245" s="247"/>
      <c r="L245" s="280"/>
      <c r="M245" s="281"/>
      <c r="N245" s="178"/>
      <c r="O245" s="243">
        <f t="shared" si="92"/>
        <v>0</v>
      </c>
      <c r="P245" s="285"/>
      <c r="Q245" s="280"/>
    </row>
    <row r="246" spans="1:17" ht="20.25" customHeight="1">
      <c r="A246" s="320" t="str">
        <f t="shared" si="84"/>
        <v/>
      </c>
      <c r="B246" s="248"/>
      <c r="C246" s="243">
        <f t="shared" si="90"/>
        <v>0</v>
      </c>
      <c r="D246" s="243"/>
      <c r="E246" s="277">
        <f t="shared" si="93"/>
        <v>0</v>
      </c>
      <c r="F246" s="243">
        <f t="shared" si="94"/>
        <v>0</v>
      </c>
      <c r="G246" s="277"/>
      <c r="H246" s="277" t="str">
        <f t="shared" si="91"/>
        <v/>
      </c>
      <c r="I246" s="278"/>
      <c r="J246" s="278"/>
      <c r="K246" s="250"/>
      <c r="L246" s="280"/>
      <c r="M246" s="281"/>
      <c r="N246" s="178"/>
      <c r="O246" s="243">
        <f t="shared" si="92"/>
        <v>0</v>
      </c>
      <c r="P246" s="285"/>
      <c r="Q246" s="280"/>
    </row>
    <row r="247" spans="1:17" ht="20.25" customHeight="1">
      <c r="A247" s="320" t="str">
        <f t="shared" si="84"/>
        <v/>
      </c>
      <c r="B247" s="248"/>
      <c r="C247" s="243">
        <f t="shared" si="90"/>
        <v>0</v>
      </c>
      <c r="D247" s="243"/>
      <c r="E247" s="277">
        <f t="shared" si="93"/>
        <v>0</v>
      </c>
      <c r="F247" s="243">
        <f t="shared" si="94"/>
        <v>0</v>
      </c>
      <c r="G247" s="277"/>
      <c r="H247" s="277" t="str">
        <f t="shared" si="91"/>
        <v/>
      </c>
      <c r="I247" s="278"/>
      <c r="J247" s="278"/>
      <c r="K247" s="247"/>
      <c r="L247" s="280"/>
      <c r="M247" s="281"/>
      <c r="N247" s="178"/>
      <c r="O247" s="243">
        <f t="shared" si="92"/>
        <v>0</v>
      </c>
      <c r="P247" s="285"/>
      <c r="Q247" s="280"/>
    </row>
    <row r="248" spans="1:17" ht="20.25" customHeight="1">
      <c r="A248" s="320" t="str">
        <f t="shared" si="84"/>
        <v/>
      </c>
      <c r="B248" s="248"/>
      <c r="C248" s="243">
        <f t="shared" si="90"/>
        <v>0</v>
      </c>
      <c r="D248" s="243"/>
      <c r="E248" s="277">
        <f t="shared" si="93"/>
        <v>0</v>
      </c>
      <c r="F248" s="243">
        <f t="shared" si="94"/>
        <v>0</v>
      </c>
      <c r="G248" s="277"/>
      <c r="H248" s="277" t="str">
        <f t="shared" si="91"/>
        <v/>
      </c>
      <c r="I248" s="278"/>
      <c r="J248" s="278"/>
      <c r="K248" s="247"/>
      <c r="L248" s="280"/>
      <c r="M248" s="281"/>
      <c r="N248" s="178"/>
      <c r="O248" s="243">
        <f t="shared" si="92"/>
        <v>0</v>
      </c>
      <c r="P248" s="285"/>
      <c r="Q248" s="280"/>
    </row>
    <row r="249" spans="1:17" ht="20.25" customHeight="1">
      <c r="A249" s="320" t="str">
        <f t="shared" si="84"/>
        <v/>
      </c>
      <c r="B249" s="248"/>
      <c r="C249" s="243">
        <f t="shared" si="90"/>
        <v>0</v>
      </c>
      <c r="D249" s="243"/>
      <c r="E249" s="277">
        <f t="shared" si="93"/>
        <v>0</v>
      </c>
      <c r="F249" s="243">
        <f t="shared" si="94"/>
        <v>0</v>
      </c>
      <c r="G249" s="277"/>
      <c r="H249" s="277" t="str">
        <f t="shared" si="91"/>
        <v/>
      </c>
      <c r="I249" s="278"/>
      <c r="J249" s="278"/>
      <c r="K249" s="247"/>
      <c r="L249" s="280"/>
      <c r="M249" s="281"/>
      <c r="N249" s="178"/>
      <c r="O249" s="243">
        <f t="shared" si="92"/>
        <v>0</v>
      </c>
      <c r="P249" s="285"/>
      <c r="Q249" s="280"/>
    </row>
    <row r="250" spans="1:17" ht="20.25" customHeight="1">
      <c r="A250" s="320" t="str">
        <f t="shared" si="84"/>
        <v/>
      </c>
      <c r="B250" s="248"/>
      <c r="C250" s="243">
        <f t="shared" si="90"/>
        <v>0</v>
      </c>
      <c r="D250" s="243"/>
      <c r="E250" s="277">
        <f t="shared" si="93"/>
        <v>0</v>
      </c>
      <c r="F250" s="243">
        <f t="shared" si="94"/>
        <v>0</v>
      </c>
      <c r="G250" s="277"/>
      <c r="H250" s="277" t="str">
        <f t="shared" si="91"/>
        <v/>
      </c>
      <c r="I250" s="278"/>
      <c r="J250" s="278"/>
      <c r="K250" s="247"/>
      <c r="L250" s="280"/>
      <c r="M250" s="281"/>
      <c r="N250" s="178"/>
      <c r="O250" s="243">
        <f t="shared" si="92"/>
        <v>0</v>
      </c>
      <c r="P250" s="285"/>
      <c r="Q250" s="280"/>
    </row>
    <row r="251" spans="1:17" ht="20.25" customHeight="1">
      <c r="A251" s="320" t="str">
        <f t="shared" si="84"/>
        <v/>
      </c>
      <c r="B251" s="248"/>
      <c r="C251" s="243">
        <f t="shared" si="87"/>
        <v>0</v>
      </c>
      <c r="D251" s="243"/>
      <c r="E251" s="277">
        <f t="shared" si="93"/>
        <v>0</v>
      </c>
      <c r="F251" s="243">
        <f t="shared" si="94"/>
        <v>0</v>
      </c>
      <c r="G251" s="277"/>
      <c r="H251" s="277" t="str">
        <f t="shared" si="88"/>
        <v/>
      </c>
      <c r="I251" s="278"/>
      <c r="J251" s="278"/>
      <c r="K251" s="250"/>
      <c r="L251" s="280"/>
      <c r="M251" s="281"/>
      <c r="N251" s="178"/>
      <c r="O251" s="243">
        <f t="shared" si="89"/>
        <v>0</v>
      </c>
      <c r="P251" s="285"/>
      <c r="Q251" s="280"/>
    </row>
    <row r="252" spans="1:17" ht="20.25" customHeight="1">
      <c r="A252" s="320" t="str">
        <f t="shared" si="84"/>
        <v/>
      </c>
      <c r="B252" s="248"/>
      <c r="C252" s="243">
        <f t="shared" si="87"/>
        <v>0</v>
      </c>
      <c r="D252" s="243"/>
      <c r="E252" s="277">
        <f t="shared" si="93"/>
        <v>0</v>
      </c>
      <c r="F252" s="243">
        <f t="shared" si="94"/>
        <v>0</v>
      </c>
      <c r="G252" s="277"/>
      <c r="H252" s="277" t="str">
        <f t="shared" si="88"/>
        <v/>
      </c>
      <c r="I252" s="278"/>
      <c r="J252" s="278"/>
      <c r="K252" s="250"/>
      <c r="L252" s="280"/>
      <c r="M252" s="281"/>
      <c r="N252" s="178"/>
      <c r="O252" s="243">
        <f t="shared" si="89"/>
        <v>0</v>
      </c>
      <c r="P252" s="285"/>
      <c r="Q252" s="280"/>
    </row>
    <row r="253" spans="1:17" ht="20.25" customHeight="1">
      <c r="A253" s="320" t="str">
        <f t="shared" si="84"/>
        <v/>
      </c>
      <c r="B253" s="248"/>
      <c r="C253" s="243">
        <f t="shared" ref="C253:C267" si="95">O253</f>
        <v>0</v>
      </c>
      <c r="D253" s="243"/>
      <c r="E253" s="277">
        <f t="shared" si="93"/>
        <v>0</v>
      </c>
      <c r="F253" s="243">
        <f t="shared" si="94"/>
        <v>0</v>
      </c>
      <c r="G253" s="277"/>
      <c r="H253" s="277" t="str">
        <f t="shared" ref="H253:H267" si="96">IF(G253&lt;&gt;"",F253/G253,"")</f>
        <v/>
      </c>
      <c r="I253" s="278"/>
      <c r="J253" s="278"/>
      <c r="K253" s="249"/>
      <c r="L253" s="280"/>
      <c r="M253" s="281"/>
      <c r="N253" s="178"/>
      <c r="O253" s="243">
        <f t="shared" ref="O253:O267" si="97">ROUND(M253*N253,0)</f>
        <v>0</v>
      </c>
      <c r="P253" s="285"/>
      <c r="Q253" s="280"/>
    </row>
    <row r="254" spans="1:17" ht="20.25" customHeight="1">
      <c r="A254" s="320" t="str">
        <f t="shared" si="84"/>
        <v/>
      </c>
      <c r="B254" s="248"/>
      <c r="C254" s="243">
        <f t="shared" si="95"/>
        <v>0</v>
      </c>
      <c r="D254" s="243"/>
      <c r="E254" s="277">
        <f t="shared" si="93"/>
        <v>0</v>
      </c>
      <c r="F254" s="243">
        <f t="shared" si="94"/>
        <v>0</v>
      </c>
      <c r="G254" s="277"/>
      <c r="H254" s="277" t="str">
        <f t="shared" si="96"/>
        <v/>
      </c>
      <c r="I254" s="278"/>
      <c r="J254" s="278"/>
      <c r="K254" s="249"/>
      <c r="L254" s="280"/>
      <c r="M254" s="281"/>
      <c r="N254" s="178"/>
      <c r="O254" s="243">
        <f t="shared" si="97"/>
        <v>0</v>
      </c>
      <c r="P254" s="285"/>
      <c r="Q254" s="280"/>
    </row>
    <row r="255" spans="1:17" ht="20.25" customHeight="1">
      <c r="A255" s="320" t="str">
        <f t="shared" si="84"/>
        <v/>
      </c>
      <c r="B255" s="248"/>
      <c r="C255" s="243">
        <f t="shared" si="95"/>
        <v>0</v>
      </c>
      <c r="D255" s="243"/>
      <c r="E255" s="277">
        <f t="shared" si="93"/>
        <v>0</v>
      </c>
      <c r="F255" s="243">
        <f t="shared" si="94"/>
        <v>0</v>
      </c>
      <c r="G255" s="277"/>
      <c r="H255" s="277" t="str">
        <f t="shared" si="96"/>
        <v/>
      </c>
      <c r="I255" s="278"/>
      <c r="J255" s="278"/>
      <c r="K255" s="249"/>
      <c r="L255" s="280"/>
      <c r="M255" s="281"/>
      <c r="N255" s="178"/>
      <c r="O255" s="243">
        <f t="shared" si="97"/>
        <v>0</v>
      </c>
      <c r="P255" s="285"/>
      <c r="Q255" s="280"/>
    </row>
    <row r="256" spans="1:17" ht="20.25" customHeight="1">
      <c r="A256" s="320" t="str">
        <f t="shared" si="84"/>
        <v/>
      </c>
      <c r="B256" s="248"/>
      <c r="C256" s="243">
        <f t="shared" si="95"/>
        <v>0</v>
      </c>
      <c r="D256" s="243"/>
      <c r="E256" s="277">
        <f t="shared" si="93"/>
        <v>0</v>
      </c>
      <c r="F256" s="243">
        <f t="shared" si="94"/>
        <v>0</v>
      </c>
      <c r="G256" s="277"/>
      <c r="H256" s="277" t="str">
        <f t="shared" si="96"/>
        <v/>
      </c>
      <c r="I256" s="278"/>
      <c r="J256" s="278"/>
      <c r="K256" s="249"/>
      <c r="L256" s="280"/>
      <c r="M256" s="281"/>
      <c r="N256" s="178"/>
      <c r="O256" s="243">
        <f t="shared" si="97"/>
        <v>0</v>
      </c>
      <c r="P256" s="285"/>
      <c r="Q256" s="280"/>
    </row>
    <row r="257" spans="1:17" ht="20.25" customHeight="1">
      <c r="A257" s="320" t="str">
        <f t="shared" si="84"/>
        <v/>
      </c>
      <c r="B257" s="248"/>
      <c r="C257" s="243">
        <f t="shared" si="95"/>
        <v>0</v>
      </c>
      <c r="D257" s="243"/>
      <c r="E257" s="277">
        <f t="shared" si="93"/>
        <v>0</v>
      </c>
      <c r="F257" s="243">
        <f t="shared" si="94"/>
        <v>0</v>
      </c>
      <c r="G257" s="277"/>
      <c r="H257" s="277" t="str">
        <f t="shared" si="96"/>
        <v/>
      </c>
      <c r="I257" s="278"/>
      <c r="J257" s="278"/>
      <c r="K257" s="249"/>
      <c r="L257" s="280"/>
      <c r="M257" s="281"/>
      <c r="N257" s="178"/>
      <c r="O257" s="243">
        <f t="shared" si="97"/>
        <v>0</v>
      </c>
      <c r="P257" s="285"/>
      <c r="Q257" s="280"/>
    </row>
    <row r="258" spans="1:17" ht="20.25" customHeight="1">
      <c r="A258" s="320" t="str">
        <f t="shared" si="84"/>
        <v/>
      </c>
      <c r="B258" s="248"/>
      <c r="C258" s="243">
        <f t="shared" si="95"/>
        <v>0</v>
      </c>
      <c r="D258" s="243"/>
      <c r="E258" s="277">
        <f t="shared" si="93"/>
        <v>0</v>
      </c>
      <c r="F258" s="243">
        <f t="shared" si="94"/>
        <v>0</v>
      </c>
      <c r="G258" s="277"/>
      <c r="H258" s="277" t="str">
        <f t="shared" si="96"/>
        <v/>
      </c>
      <c r="I258" s="278"/>
      <c r="J258" s="278"/>
      <c r="K258" s="249"/>
      <c r="L258" s="280"/>
      <c r="M258" s="281"/>
      <c r="N258" s="178"/>
      <c r="O258" s="243">
        <f t="shared" si="97"/>
        <v>0</v>
      </c>
      <c r="P258" s="285"/>
      <c r="Q258" s="280"/>
    </row>
    <row r="259" spans="1:17" ht="20.25" customHeight="1">
      <c r="A259" s="320" t="str">
        <f t="shared" si="84"/>
        <v/>
      </c>
      <c r="B259" s="248"/>
      <c r="C259" s="243">
        <f t="shared" si="95"/>
        <v>0</v>
      </c>
      <c r="D259" s="243"/>
      <c r="E259" s="277">
        <f t="shared" si="93"/>
        <v>0</v>
      </c>
      <c r="F259" s="243">
        <f t="shared" si="94"/>
        <v>0</v>
      </c>
      <c r="G259" s="277"/>
      <c r="H259" s="277" t="str">
        <f t="shared" si="96"/>
        <v/>
      </c>
      <c r="I259" s="278"/>
      <c r="J259" s="278"/>
      <c r="K259" s="249"/>
      <c r="L259" s="280"/>
      <c r="M259" s="287"/>
      <c r="N259" s="181"/>
      <c r="O259" s="243">
        <f t="shared" si="97"/>
        <v>0</v>
      </c>
      <c r="P259" s="285"/>
      <c r="Q259" s="280"/>
    </row>
    <row r="260" spans="1:17" ht="20.25" customHeight="1">
      <c r="A260" s="320" t="str">
        <f t="shared" si="84"/>
        <v/>
      </c>
      <c r="B260" s="248"/>
      <c r="C260" s="243">
        <f t="shared" si="95"/>
        <v>0</v>
      </c>
      <c r="D260" s="243"/>
      <c r="E260" s="277">
        <f t="shared" si="93"/>
        <v>0</v>
      </c>
      <c r="F260" s="243">
        <f t="shared" si="94"/>
        <v>0</v>
      </c>
      <c r="G260" s="277"/>
      <c r="H260" s="277" t="str">
        <f t="shared" si="96"/>
        <v/>
      </c>
      <c r="I260" s="278"/>
      <c r="J260" s="278"/>
      <c r="K260" s="241"/>
      <c r="L260" s="280"/>
      <c r="M260" s="281"/>
      <c r="N260" s="178"/>
      <c r="O260" s="243">
        <f t="shared" si="97"/>
        <v>0</v>
      </c>
      <c r="P260" s="285"/>
      <c r="Q260" s="280"/>
    </row>
    <row r="261" spans="1:17" ht="20.25" customHeight="1">
      <c r="A261" s="320" t="str">
        <f t="shared" si="84"/>
        <v/>
      </c>
      <c r="B261" s="248"/>
      <c r="C261" s="243">
        <f t="shared" si="95"/>
        <v>0</v>
      </c>
      <c r="D261" s="243"/>
      <c r="E261" s="277">
        <f t="shared" si="93"/>
        <v>0</v>
      </c>
      <c r="F261" s="243">
        <f t="shared" si="94"/>
        <v>0</v>
      </c>
      <c r="G261" s="277"/>
      <c r="H261" s="277" t="str">
        <f t="shared" si="96"/>
        <v/>
      </c>
      <c r="I261" s="278"/>
      <c r="J261" s="278"/>
      <c r="K261" s="249"/>
      <c r="L261" s="280"/>
      <c r="M261" s="281"/>
      <c r="N261" s="178"/>
      <c r="O261" s="243">
        <f t="shared" si="97"/>
        <v>0</v>
      </c>
      <c r="P261" s="285"/>
      <c r="Q261" s="280"/>
    </row>
    <row r="262" spans="1:17" ht="20.25" customHeight="1">
      <c r="A262" s="320" t="str">
        <f t="shared" si="84"/>
        <v/>
      </c>
      <c r="B262" s="248"/>
      <c r="C262" s="243">
        <f t="shared" si="95"/>
        <v>0</v>
      </c>
      <c r="D262" s="243"/>
      <c r="E262" s="277">
        <f t="shared" si="93"/>
        <v>0</v>
      </c>
      <c r="F262" s="243">
        <f t="shared" si="94"/>
        <v>0</v>
      </c>
      <c r="G262" s="277"/>
      <c r="H262" s="277" t="str">
        <f t="shared" si="96"/>
        <v/>
      </c>
      <c r="I262" s="278"/>
      <c r="J262" s="278"/>
      <c r="K262" s="249"/>
      <c r="L262" s="280"/>
      <c r="M262" s="287"/>
      <c r="N262" s="181"/>
      <c r="O262" s="243">
        <f t="shared" si="97"/>
        <v>0</v>
      </c>
      <c r="P262" s="285"/>
      <c r="Q262" s="280"/>
    </row>
    <row r="263" spans="1:17" ht="20.25" customHeight="1">
      <c r="A263" s="320" t="str">
        <f t="shared" si="84"/>
        <v/>
      </c>
      <c r="B263" s="248"/>
      <c r="C263" s="243">
        <f t="shared" si="95"/>
        <v>0</v>
      </c>
      <c r="D263" s="243"/>
      <c r="E263" s="277">
        <f t="shared" si="93"/>
        <v>0</v>
      </c>
      <c r="F263" s="243">
        <f t="shared" si="94"/>
        <v>0</v>
      </c>
      <c r="G263" s="277"/>
      <c r="H263" s="277" t="str">
        <f t="shared" si="96"/>
        <v/>
      </c>
      <c r="I263" s="278"/>
      <c r="J263" s="278"/>
      <c r="K263" s="247"/>
      <c r="L263" s="280"/>
      <c r="M263" s="281"/>
      <c r="N263" s="178"/>
      <c r="O263" s="243">
        <f t="shared" si="97"/>
        <v>0</v>
      </c>
      <c r="P263" s="285"/>
      <c r="Q263" s="280"/>
    </row>
    <row r="264" spans="1:17" ht="20.25" customHeight="1">
      <c r="A264" s="320" t="str">
        <f t="shared" si="84"/>
        <v/>
      </c>
      <c r="B264" s="248"/>
      <c r="C264" s="243">
        <f t="shared" si="95"/>
        <v>0</v>
      </c>
      <c r="D264" s="243"/>
      <c r="E264" s="277">
        <f t="shared" si="93"/>
        <v>0</v>
      </c>
      <c r="F264" s="243">
        <f t="shared" si="94"/>
        <v>0</v>
      </c>
      <c r="G264" s="277"/>
      <c r="H264" s="277" t="str">
        <f t="shared" si="96"/>
        <v/>
      </c>
      <c r="I264" s="278"/>
      <c r="J264" s="278"/>
      <c r="K264" s="249"/>
      <c r="L264" s="280"/>
      <c r="M264" s="281"/>
      <c r="N264" s="178"/>
      <c r="O264" s="243">
        <f t="shared" si="97"/>
        <v>0</v>
      </c>
      <c r="P264" s="285"/>
      <c r="Q264" s="280"/>
    </row>
    <row r="265" spans="1:17" ht="20.25" customHeight="1">
      <c r="A265" s="320" t="str">
        <f t="shared" si="84"/>
        <v/>
      </c>
      <c r="B265" s="248"/>
      <c r="C265" s="243">
        <f t="shared" si="95"/>
        <v>0</v>
      </c>
      <c r="D265" s="243"/>
      <c r="E265" s="277">
        <f t="shared" si="93"/>
        <v>0</v>
      </c>
      <c r="F265" s="243">
        <f t="shared" si="94"/>
        <v>0</v>
      </c>
      <c r="G265" s="277"/>
      <c r="H265" s="277" t="str">
        <f t="shared" si="96"/>
        <v/>
      </c>
      <c r="I265" s="278"/>
      <c r="J265" s="278"/>
      <c r="K265" s="249"/>
      <c r="L265" s="280"/>
      <c r="M265" s="281"/>
      <c r="N265" s="178"/>
      <c r="O265" s="243">
        <f t="shared" si="97"/>
        <v>0</v>
      </c>
      <c r="P265" s="285"/>
      <c r="Q265" s="280"/>
    </row>
    <row r="266" spans="1:17" ht="20.25" customHeight="1">
      <c r="A266" s="320" t="str">
        <f t="shared" si="84"/>
        <v/>
      </c>
      <c r="B266" s="248"/>
      <c r="C266" s="243">
        <f t="shared" si="95"/>
        <v>0</v>
      </c>
      <c r="D266" s="243"/>
      <c r="E266" s="277">
        <f t="shared" si="93"/>
        <v>0</v>
      </c>
      <c r="F266" s="243">
        <f t="shared" si="94"/>
        <v>0</v>
      </c>
      <c r="G266" s="277"/>
      <c r="H266" s="277" t="str">
        <f t="shared" si="96"/>
        <v/>
      </c>
      <c r="I266" s="278"/>
      <c r="J266" s="278"/>
      <c r="K266" s="247"/>
      <c r="L266" s="280"/>
      <c r="M266" s="281"/>
      <c r="N266" s="178"/>
      <c r="O266" s="243">
        <f t="shared" si="97"/>
        <v>0</v>
      </c>
      <c r="P266" s="285"/>
      <c r="Q266" s="280"/>
    </row>
    <row r="267" spans="1:17" ht="20.25" customHeight="1">
      <c r="A267" s="320" t="str">
        <f t="shared" si="84"/>
        <v/>
      </c>
      <c r="B267" s="248"/>
      <c r="C267" s="243">
        <f t="shared" si="95"/>
        <v>0</v>
      </c>
      <c r="D267" s="243"/>
      <c r="E267" s="277">
        <f t="shared" si="93"/>
        <v>0</v>
      </c>
      <c r="F267" s="243">
        <f t="shared" si="94"/>
        <v>0</v>
      </c>
      <c r="G267" s="277"/>
      <c r="H267" s="277" t="str">
        <f t="shared" si="96"/>
        <v/>
      </c>
      <c r="I267" s="278"/>
      <c r="J267" s="278"/>
      <c r="K267" s="249"/>
      <c r="L267" s="280"/>
      <c r="M267" s="281"/>
      <c r="N267" s="178"/>
      <c r="O267" s="243">
        <f t="shared" si="97"/>
        <v>0</v>
      </c>
      <c r="P267" s="285"/>
      <c r="Q267" s="280"/>
    </row>
    <row r="268" spans="1:17" ht="20.25" customHeight="1">
      <c r="A268" s="320"/>
      <c r="B268" s="248"/>
      <c r="C268" s="243"/>
      <c r="D268" s="243"/>
      <c r="E268" s="277"/>
      <c r="F268" s="243"/>
      <c r="G268" s="277"/>
      <c r="H268" s="277"/>
      <c r="I268" s="278"/>
      <c r="J268" s="278"/>
      <c r="K268" s="285"/>
      <c r="L268" s="280"/>
      <c r="M268" s="281"/>
      <c r="N268" s="178"/>
      <c r="O268" s="243">
        <f>ROUND(M268*N268,0)</f>
        <v>0</v>
      </c>
      <c r="P268" s="285"/>
      <c r="Q268" s="280"/>
    </row>
    <row r="269" spans="1:17" ht="20.25" customHeight="1">
      <c r="A269" s="293"/>
      <c r="B269" s="294" t="s">
        <v>221</v>
      </c>
      <c r="C269" s="295">
        <f>SUM(C208:C268)</f>
        <v>0</v>
      </c>
      <c r="D269" s="295">
        <f>SUM(D208:D268)</f>
        <v>0</v>
      </c>
      <c r="E269" s="295"/>
      <c r="F269" s="295">
        <f>SUM(F208:F268)</f>
        <v>0</v>
      </c>
      <c r="G269" s="295">
        <f>ROUND(SUM(G208:G268),0)</f>
        <v>0</v>
      </c>
      <c r="H269" s="295"/>
      <c r="I269" s="278"/>
      <c r="J269" s="278"/>
      <c r="K269" s="296"/>
      <c r="L269" s="297"/>
      <c r="M269" s="312"/>
      <c r="N269" s="318"/>
      <c r="O269" s="199">
        <f>SUM(O208:O268)</f>
        <v>0</v>
      </c>
      <c r="P269" s="199"/>
      <c r="Q269" s="199"/>
    </row>
  </sheetData>
  <autoFilter ref="A50:Q147"/>
  <sortState ref="A359:AC597">
    <sortCondition ref="Q359:Q597"/>
  </sortState>
  <dataValidations count="1">
    <dataValidation type="list" allowBlank="1" showInputMessage="1" showErrorMessage="1" sqref="K207 K156 K5 K50 P207 P156 P5 P50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33"/>
  <sheetViews>
    <sheetView topLeftCell="A5" workbookViewId="0">
      <pane ySplit="8" topLeftCell="A13" activePane="bottomLeft" state="frozen"/>
      <selection activeCell="A5" sqref="A5"/>
      <selection pane="bottomLeft" activeCell="H15" sqref="H15"/>
    </sheetView>
  </sheetViews>
  <sheetFormatPr defaultRowHeight="12.75"/>
  <cols>
    <col min="1" max="1" width="4.140625" style="766" customWidth="1"/>
    <col min="2" max="2" width="9.140625" style="766" customWidth="1"/>
    <col min="3" max="3" width="9" style="767" customWidth="1"/>
    <col min="4" max="4" width="22.28515625" style="766" customWidth="1"/>
    <col min="5" max="5" width="9.140625" style="766" customWidth="1"/>
    <col min="6" max="6" width="9.28515625" style="767" customWidth="1"/>
    <col min="7" max="7" width="9" style="766" customWidth="1"/>
    <col min="8" max="8" width="12.85546875" style="766" customWidth="1"/>
    <col min="9" max="9" width="8.42578125" style="766" customWidth="1"/>
    <col min="10" max="10" width="14.140625" style="766" customWidth="1"/>
    <col min="11" max="11" width="14.85546875" style="768" customWidth="1"/>
    <col min="12" max="12" width="14.42578125" style="766" customWidth="1"/>
    <col min="13" max="13" width="5.85546875" style="766" customWidth="1"/>
    <col min="14" max="14" width="7.42578125" style="766" customWidth="1"/>
    <col min="15" max="15" width="11.7109375" style="766" customWidth="1"/>
    <col min="16" max="16" width="4.5703125" style="818" customWidth="1"/>
    <col min="17" max="17" width="14.28515625" style="766" bestFit="1" customWidth="1"/>
    <col min="18" max="19" width="9.140625" style="766"/>
    <col min="20" max="20" width="12" style="766" bestFit="1" customWidth="1"/>
    <col min="21" max="16384" width="9.140625" style="766"/>
  </cols>
  <sheetData>
    <row r="1" spans="1:17" ht="15" customHeight="1">
      <c r="A1" s="765" t="str">
        <f>TH!$A$1</f>
        <v>Đơn vị: CÔNG TY TNHH MỘT THÀNH VIÊN KHỞI NGUYÊN AN</v>
      </c>
      <c r="M1" s="769"/>
      <c r="N1" s="770" t="s">
        <v>1524</v>
      </c>
      <c r="O1" s="769"/>
    </row>
    <row r="2" spans="1:17" ht="15" customHeight="1">
      <c r="A2" s="765" t="str">
        <f>TH!$A$2</f>
        <v>Địa chỉ: Thửa đất số 144, tờ bản đồ số 12TĐH.1, tổ 1, khu phố Đông Tác, Phường Tân Đông Hiệp, Thị Xã Dĩ An, Tỉnh Bình Dương, Việt Nam</v>
      </c>
      <c r="L2" s="768"/>
      <c r="M2" s="768"/>
      <c r="N2" s="771" t="s">
        <v>1525</v>
      </c>
      <c r="O2" s="768"/>
    </row>
    <row r="3" spans="1:17" ht="15" customHeight="1">
      <c r="L3" s="768"/>
      <c r="M3" s="768"/>
      <c r="N3" s="771" t="s">
        <v>1526</v>
      </c>
      <c r="O3" s="768"/>
    </row>
    <row r="5" spans="1:17" s="772" customFormat="1" ht="24" customHeight="1">
      <c r="A5" s="988" t="s">
        <v>1527</v>
      </c>
      <c r="B5" s="988"/>
      <c r="C5" s="988"/>
      <c r="D5" s="988"/>
      <c r="E5" s="988"/>
      <c r="F5" s="988"/>
      <c r="G5" s="988"/>
      <c r="H5" s="988"/>
      <c r="I5" s="988"/>
      <c r="J5" s="988"/>
      <c r="K5" s="988"/>
      <c r="L5" s="988"/>
      <c r="M5" s="988"/>
      <c r="N5" s="988"/>
      <c r="O5" s="988"/>
      <c r="P5" s="819"/>
    </row>
    <row r="6" spans="1:17" s="772" customFormat="1" ht="15" customHeight="1">
      <c r="A6" s="989" t="s">
        <v>1569</v>
      </c>
      <c r="B6" s="989"/>
      <c r="C6" s="989"/>
      <c r="D6" s="989"/>
      <c r="E6" s="989"/>
      <c r="F6" s="989"/>
      <c r="G6" s="989"/>
      <c r="H6" s="989"/>
      <c r="I6" s="989"/>
      <c r="J6" s="989"/>
      <c r="K6" s="989"/>
      <c r="L6" s="989"/>
      <c r="M6" s="989"/>
      <c r="N6" s="989"/>
      <c r="O6" s="989"/>
      <c r="P6" s="819"/>
    </row>
    <row r="7" spans="1:17" s="772" customFormat="1" ht="15" customHeight="1">
      <c r="A7" s="990" t="s">
        <v>1528</v>
      </c>
      <c r="B7" s="990"/>
      <c r="C7" s="990"/>
      <c r="D7" s="990"/>
      <c r="E7" s="990"/>
      <c r="F7" s="990"/>
      <c r="G7" s="990"/>
      <c r="H7" s="990"/>
      <c r="I7" s="990"/>
      <c r="J7" s="990"/>
      <c r="K7" s="990"/>
      <c r="L7" s="990"/>
      <c r="M7" s="990"/>
      <c r="N7" s="990"/>
      <c r="O7" s="990"/>
      <c r="P7" s="819"/>
    </row>
    <row r="8" spans="1:17">
      <c r="D8" s="767"/>
    </row>
    <row r="9" spans="1:17" s="773" customFormat="1" ht="24" customHeight="1">
      <c r="A9" s="982" t="s">
        <v>207</v>
      </c>
      <c r="B9" s="984" t="s">
        <v>1529</v>
      </c>
      <c r="C9" s="992"/>
      <c r="D9" s="992"/>
      <c r="E9" s="992"/>
      <c r="F9" s="992"/>
      <c r="G9" s="992"/>
      <c r="H9" s="985"/>
      <c r="I9" s="984" t="s">
        <v>1530</v>
      </c>
      <c r="J9" s="992"/>
      <c r="K9" s="992"/>
      <c r="L9" s="985"/>
      <c r="M9" s="993" t="s">
        <v>1531</v>
      </c>
      <c r="N9" s="993"/>
      <c r="O9" s="993"/>
      <c r="P9" s="820"/>
    </row>
    <row r="10" spans="1:17" s="773" customFormat="1" ht="24" customHeight="1">
      <c r="A10" s="991"/>
      <c r="B10" s="984" t="s">
        <v>1532</v>
      </c>
      <c r="C10" s="985"/>
      <c r="D10" s="982" t="s">
        <v>1533</v>
      </c>
      <c r="E10" s="982" t="s">
        <v>1534</v>
      </c>
      <c r="F10" s="982" t="s">
        <v>1535</v>
      </c>
      <c r="G10" s="982" t="s">
        <v>1536</v>
      </c>
      <c r="H10" s="982" t="s">
        <v>1537</v>
      </c>
      <c r="I10" s="984" t="s">
        <v>1538</v>
      </c>
      <c r="J10" s="985"/>
      <c r="K10" s="986" t="s">
        <v>1539</v>
      </c>
      <c r="L10" s="982" t="s">
        <v>1540</v>
      </c>
      <c r="M10" s="993" t="s">
        <v>1532</v>
      </c>
      <c r="N10" s="993"/>
      <c r="O10" s="993" t="s">
        <v>1541</v>
      </c>
      <c r="P10" s="820"/>
    </row>
    <row r="11" spans="1:17" s="773" customFormat="1" ht="35.25" customHeight="1">
      <c r="A11" s="983"/>
      <c r="B11" s="774" t="s">
        <v>1542</v>
      </c>
      <c r="C11" s="774" t="s">
        <v>208</v>
      </c>
      <c r="D11" s="983"/>
      <c r="E11" s="983"/>
      <c r="F11" s="983"/>
      <c r="G11" s="983"/>
      <c r="H11" s="983"/>
      <c r="I11" s="774" t="s">
        <v>1543</v>
      </c>
      <c r="J11" s="774" t="s">
        <v>1544</v>
      </c>
      <c r="K11" s="987"/>
      <c r="L11" s="983"/>
      <c r="M11" s="774" t="s">
        <v>15</v>
      </c>
      <c r="N11" s="774" t="s">
        <v>208</v>
      </c>
      <c r="O11" s="993"/>
      <c r="P11" s="820"/>
    </row>
    <row r="12" spans="1:17" s="777" customFormat="1" ht="13.5">
      <c r="A12" s="775" t="s">
        <v>2</v>
      </c>
      <c r="B12" s="775" t="s">
        <v>3</v>
      </c>
      <c r="C12" s="775" t="s">
        <v>4</v>
      </c>
      <c r="D12" s="775" t="s">
        <v>5</v>
      </c>
      <c r="E12" s="775" t="s">
        <v>6</v>
      </c>
      <c r="F12" s="775" t="s">
        <v>129</v>
      </c>
      <c r="G12" s="775" t="s">
        <v>1545</v>
      </c>
      <c r="H12" s="775">
        <v>1</v>
      </c>
      <c r="I12" s="775">
        <v>2</v>
      </c>
      <c r="J12" s="775">
        <v>3</v>
      </c>
      <c r="K12" s="776"/>
      <c r="L12" s="775">
        <v>4</v>
      </c>
      <c r="M12" s="775" t="s">
        <v>1546</v>
      </c>
      <c r="N12" s="775" t="s">
        <v>1547</v>
      </c>
      <c r="O12" s="775" t="s">
        <v>1548</v>
      </c>
      <c r="P12" s="821"/>
    </row>
    <row r="13" spans="1:17" s="777" customFormat="1" ht="21.75" customHeight="1">
      <c r="A13" s="789" t="s">
        <v>1550</v>
      </c>
      <c r="B13" s="790" t="s">
        <v>1551</v>
      </c>
      <c r="C13" s="789"/>
      <c r="D13" s="789"/>
      <c r="E13" s="789"/>
      <c r="F13" s="789"/>
      <c r="G13" s="784"/>
      <c r="H13" s="791"/>
      <c r="I13" s="791"/>
      <c r="J13" s="791"/>
      <c r="K13" s="791"/>
      <c r="L13" s="623"/>
      <c r="M13" s="789"/>
      <c r="N13" s="789"/>
      <c r="O13" s="786"/>
      <c r="P13" s="821"/>
      <c r="Q13" s="787"/>
    </row>
    <row r="14" spans="1:17" ht="21.75" customHeight="1">
      <c r="A14" s="778">
        <v>1</v>
      </c>
      <c r="B14" s="783" t="s">
        <v>1552</v>
      </c>
      <c r="C14" s="780">
        <v>42917</v>
      </c>
      <c r="D14" s="781" t="s">
        <v>1513</v>
      </c>
      <c r="E14" s="782" t="s">
        <v>1549</v>
      </c>
      <c r="F14" s="783" t="s">
        <v>1561</v>
      </c>
      <c r="G14" s="817" t="s">
        <v>1562</v>
      </c>
      <c r="H14" s="785">
        <v>167350000</v>
      </c>
      <c r="I14" s="785">
        <v>10</v>
      </c>
      <c r="J14" s="623">
        <f>H14/I14/2</f>
        <v>8367500</v>
      </c>
      <c r="K14" s="623"/>
      <c r="L14" s="623">
        <f t="shared" ref="L14:L18" si="0">K14+J14</f>
        <v>8367500</v>
      </c>
      <c r="M14" s="788"/>
      <c r="N14" s="782"/>
      <c r="O14" s="786"/>
      <c r="P14" s="821"/>
      <c r="Q14" s="787"/>
    </row>
    <row r="15" spans="1:17" ht="21.75" customHeight="1">
      <c r="A15" s="778">
        <v>2</v>
      </c>
      <c r="B15" s="779" t="s">
        <v>1553</v>
      </c>
      <c r="C15" s="780">
        <v>42920</v>
      </c>
      <c r="D15" s="781" t="s">
        <v>1516</v>
      </c>
      <c r="E15" s="782" t="s">
        <v>1549</v>
      </c>
      <c r="F15" s="783" t="s">
        <v>1561</v>
      </c>
      <c r="G15" s="817" t="s">
        <v>1563</v>
      </c>
      <c r="H15" s="785">
        <v>41265000</v>
      </c>
      <c r="I15" s="785">
        <v>5</v>
      </c>
      <c r="J15" s="623">
        <f t="shared" ref="J15:J18" si="1">H15/I15/2</f>
        <v>4126500</v>
      </c>
      <c r="K15" s="623"/>
      <c r="L15" s="623">
        <f t="shared" si="0"/>
        <v>4126500</v>
      </c>
      <c r="M15" s="788"/>
      <c r="N15" s="782"/>
      <c r="O15" s="786"/>
      <c r="P15" s="821"/>
      <c r="Q15" s="787"/>
    </row>
    <row r="16" spans="1:17" ht="21.75" customHeight="1">
      <c r="A16" s="778">
        <v>3</v>
      </c>
      <c r="B16" s="779" t="s">
        <v>1554</v>
      </c>
      <c r="C16" s="780">
        <v>42920</v>
      </c>
      <c r="D16" s="781" t="s">
        <v>1517</v>
      </c>
      <c r="E16" s="782" t="s">
        <v>1549</v>
      </c>
      <c r="F16" s="783" t="s">
        <v>1561</v>
      </c>
      <c r="G16" s="817" t="s">
        <v>1564</v>
      </c>
      <c r="H16" s="785">
        <v>40995000</v>
      </c>
      <c r="I16" s="785">
        <v>5</v>
      </c>
      <c r="J16" s="623">
        <f t="shared" si="1"/>
        <v>4099500</v>
      </c>
      <c r="K16" s="623"/>
      <c r="L16" s="623">
        <f t="shared" si="0"/>
        <v>4099500</v>
      </c>
      <c r="M16" s="788"/>
      <c r="N16" s="786"/>
      <c r="O16" s="786"/>
      <c r="P16" s="821"/>
      <c r="Q16" s="787"/>
    </row>
    <row r="17" spans="1:17" ht="21.75" customHeight="1">
      <c r="A17" s="778">
        <v>4</v>
      </c>
      <c r="B17" s="779" t="s">
        <v>1555</v>
      </c>
      <c r="C17" s="780">
        <v>42923</v>
      </c>
      <c r="D17" s="781" t="s">
        <v>1520</v>
      </c>
      <c r="E17" s="782" t="s">
        <v>1549</v>
      </c>
      <c r="F17" s="783" t="s">
        <v>1561</v>
      </c>
      <c r="G17" s="817" t="s">
        <v>1565</v>
      </c>
      <c r="H17" s="785">
        <v>35161000</v>
      </c>
      <c r="I17" s="785">
        <v>5</v>
      </c>
      <c r="J17" s="623">
        <f t="shared" si="1"/>
        <v>3516100</v>
      </c>
      <c r="K17" s="623"/>
      <c r="L17" s="623">
        <f t="shared" si="0"/>
        <v>3516100</v>
      </c>
      <c r="M17" s="788"/>
      <c r="N17" s="782"/>
      <c r="O17" s="786"/>
      <c r="P17" s="821"/>
      <c r="Q17" s="787"/>
    </row>
    <row r="18" spans="1:17" ht="21.75" customHeight="1">
      <c r="A18" s="778">
        <v>5</v>
      </c>
      <c r="B18" s="779" t="s">
        <v>1556</v>
      </c>
      <c r="C18" s="780">
        <v>42923</v>
      </c>
      <c r="D18" s="781" t="s">
        <v>1521</v>
      </c>
      <c r="E18" s="782" t="s">
        <v>1549</v>
      </c>
      <c r="F18" s="783" t="s">
        <v>1561</v>
      </c>
      <c r="G18" s="817" t="s">
        <v>1566</v>
      </c>
      <c r="H18" s="785">
        <v>35420000</v>
      </c>
      <c r="I18" s="785">
        <v>5</v>
      </c>
      <c r="J18" s="623">
        <f t="shared" si="1"/>
        <v>3542000</v>
      </c>
      <c r="K18" s="623"/>
      <c r="L18" s="623">
        <f t="shared" si="0"/>
        <v>3542000</v>
      </c>
      <c r="M18" s="788"/>
      <c r="N18" s="782"/>
      <c r="O18" s="786"/>
      <c r="P18" s="821"/>
      <c r="Q18" s="787"/>
    </row>
    <row r="19" spans="1:17" ht="21.75" customHeight="1">
      <c r="A19" s="792"/>
      <c r="B19" s="793"/>
      <c r="C19" s="794"/>
      <c r="D19" s="795"/>
      <c r="E19" s="796"/>
      <c r="F19" s="794"/>
      <c r="G19" s="793"/>
      <c r="H19" s="797"/>
      <c r="I19" s="797"/>
      <c r="J19" s="798"/>
      <c r="K19" s="798"/>
      <c r="L19" s="798"/>
      <c r="M19" s="796"/>
      <c r="N19" s="796"/>
      <c r="O19" s="796"/>
      <c r="P19" s="821"/>
    </row>
    <row r="20" spans="1:17" s="802" customFormat="1" ht="21.75" customHeight="1">
      <c r="A20" s="799"/>
      <c r="B20" s="800"/>
      <c r="C20" s="799"/>
      <c r="D20" s="799" t="s">
        <v>1557</v>
      </c>
      <c r="E20" s="799" t="s">
        <v>19</v>
      </c>
      <c r="F20" s="799" t="s">
        <v>19</v>
      </c>
      <c r="G20" s="799" t="s">
        <v>19</v>
      </c>
      <c r="H20" s="801">
        <f>SUM(H13:H19)</f>
        <v>320191000</v>
      </c>
      <c r="I20" s="801"/>
      <c r="J20" s="801">
        <f>SUM(J13:J19)</f>
        <v>23651600</v>
      </c>
      <c r="K20" s="801">
        <f>SUM(K13:K19)</f>
        <v>0</v>
      </c>
      <c r="L20" s="801">
        <f>SUM(L13:L19)</f>
        <v>23651600</v>
      </c>
      <c r="M20" s="799" t="s">
        <v>19</v>
      </c>
      <c r="N20" s="799" t="s">
        <v>19</v>
      </c>
      <c r="O20" s="799" t="s">
        <v>19</v>
      </c>
      <c r="P20" s="821"/>
    </row>
    <row r="21" spans="1:17" ht="6.75" customHeight="1">
      <c r="A21" s="803"/>
      <c r="B21" s="803"/>
      <c r="C21" s="804"/>
      <c r="D21" s="803"/>
      <c r="E21" s="804"/>
      <c r="F21" s="804"/>
      <c r="G21" s="804"/>
      <c r="H21" s="803"/>
      <c r="I21" s="803"/>
      <c r="J21" s="803"/>
      <c r="K21" s="805"/>
      <c r="L21" s="803"/>
      <c r="M21" s="803"/>
      <c r="N21" s="803"/>
      <c r="O21" s="803"/>
      <c r="P21" s="821"/>
    </row>
    <row r="22" spans="1:17" ht="13.5" customHeight="1">
      <c r="A22" s="803"/>
      <c r="B22" s="803"/>
      <c r="C22" s="804"/>
      <c r="D22" s="803" t="s">
        <v>1558</v>
      </c>
      <c r="E22" s="803"/>
      <c r="F22" s="804"/>
      <c r="G22" s="803"/>
      <c r="H22" s="768"/>
      <c r="I22" s="768"/>
      <c r="J22" s="806"/>
      <c r="L22" s="768"/>
      <c r="M22" s="803"/>
      <c r="N22" s="803"/>
      <c r="O22" s="803"/>
      <c r="P22" s="821"/>
    </row>
    <row r="23" spans="1:17" ht="13.5" customHeight="1">
      <c r="A23" s="803"/>
      <c r="B23" s="803"/>
      <c r="C23" s="804"/>
      <c r="D23" s="803" t="s">
        <v>1568</v>
      </c>
      <c r="E23" s="803"/>
      <c r="F23" s="804"/>
      <c r="G23" s="803"/>
      <c r="H23" s="807"/>
      <c r="I23" s="803"/>
      <c r="J23" s="808"/>
      <c r="K23" s="805"/>
      <c r="L23" s="803"/>
      <c r="M23" s="803"/>
      <c r="N23" s="803"/>
      <c r="O23" s="803"/>
      <c r="P23" s="821"/>
    </row>
    <row r="24" spans="1:17" ht="13.5" customHeight="1">
      <c r="K24" s="809"/>
      <c r="L24" s="771" t="s">
        <v>1567</v>
      </c>
      <c r="P24" s="821"/>
    </row>
    <row r="25" spans="1:17" ht="13.5" customHeight="1">
      <c r="B25" s="767"/>
      <c r="D25" s="767" t="s">
        <v>11</v>
      </c>
      <c r="F25" s="767" t="s">
        <v>1559</v>
      </c>
      <c r="I25" s="810"/>
      <c r="K25" s="804"/>
      <c r="L25" s="804" t="s">
        <v>107</v>
      </c>
      <c r="P25" s="821"/>
    </row>
    <row r="26" spans="1:17" ht="13.5" customHeight="1">
      <c r="B26" s="767"/>
      <c r="D26" s="767"/>
      <c r="P26" s="821"/>
    </row>
    <row r="27" spans="1:17" ht="13.5" customHeight="1">
      <c r="H27" s="811"/>
      <c r="J27" s="811"/>
      <c r="L27" s="811"/>
      <c r="P27" s="821"/>
    </row>
    <row r="28" spans="1:17" ht="13.5" customHeight="1">
      <c r="H28" s="812"/>
      <c r="P28" s="821"/>
    </row>
    <row r="29" spans="1:17" ht="13.5" customHeight="1">
      <c r="H29" s="812"/>
      <c r="J29" s="811"/>
      <c r="P29" s="821"/>
      <c r="Q29" s="787"/>
    </row>
    <row r="30" spans="1:17" ht="13.5" customHeight="1">
      <c r="H30" s="812"/>
      <c r="P30" s="821"/>
      <c r="Q30" s="787"/>
    </row>
    <row r="31" spans="1:17" ht="13.5" customHeight="1">
      <c r="H31" s="812"/>
      <c r="P31" s="821"/>
    </row>
    <row r="32" spans="1:17" s="813" customFormat="1" ht="13.5" customHeight="1">
      <c r="C32" s="814"/>
      <c r="D32" s="814"/>
      <c r="F32" s="814"/>
      <c r="H32" s="815"/>
      <c r="K32" s="816"/>
      <c r="P32" s="821"/>
    </row>
    <row r="33" spans="16:16" ht="13.5">
      <c r="P33" s="821"/>
    </row>
  </sheetData>
  <mergeCells count="18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9"/>
  <sheetViews>
    <sheetView topLeftCell="A483" zoomScale="90" zoomScaleNormal="90" workbookViewId="0">
      <pane ySplit="3" topLeftCell="A486" activePane="bottomLeft" state="frozen"/>
      <selection activeCell="A483" sqref="A483"/>
      <selection pane="bottomLeft" activeCell="A493" sqref="A493:XFD493"/>
    </sheetView>
  </sheetViews>
  <sheetFormatPr defaultRowHeight="12.75"/>
  <cols>
    <col min="2" max="2" width="20.7109375" customWidth="1"/>
    <col min="4" max="4" width="11.140625" bestFit="1" customWidth="1"/>
    <col min="6" max="6" width="25.42578125" customWidth="1"/>
    <col min="9" max="9" width="12.42578125" customWidth="1"/>
    <col min="10" max="10" width="13.85546875" bestFit="1" customWidth="1"/>
    <col min="13" max="13" width="23.85546875" customWidth="1"/>
    <col min="14" max="14" width="5.85546875" customWidth="1"/>
    <col min="15" max="15" width="10.5703125" customWidth="1"/>
    <col min="16" max="16" width="12.140625" bestFit="1" customWidth="1"/>
    <col min="17" max="17" width="15" bestFit="1" customWidth="1"/>
    <col min="18" max="18" width="11.7109375" bestFit="1" customWidth="1"/>
    <col min="19" max="19" width="15" bestFit="1" customWidth="1"/>
    <col min="20" max="20" width="14" bestFit="1" customWidth="1"/>
  </cols>
  <sheetData>
    <row r="1" spans="1:19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</row>
    <row r="2" spans="1:19" ht="15">
      <c r="C2" s="307">
        <v>3980</v>
      </c>
      <c r="D2" s="307">
        <v>8924</v>
      </c>
      <c r="E2" s="288">
        <v>42739</v>
      </c>
      <c r="F2" s="249" t="s">
        <v>493</v>
      </c>
      <c r="G2" s="314" t="s">
        <v>478</v>
      </c>
      <c r="H2" s="307">
        <v>3980</v>
      </c>
      <c r="I2" s="307">
        <v>9200</v>
      </c>
      <c r="J2" s="561">
        <f>I2*H2-D2*C2</f>
        <v>1098480</v>
      </c>
      <c r="K2" s="561">
        <f>IF(OR(C2="",J2&gt;50000),1,0)</f>
        <v>1</v>
      </c>
      <c r="M2" s="247" t="s">
        <v>352</v>
      </c>
      <c r="N2" s="243">
        <v>49</v>
      </c>
      <c r="O2" s="181">
        <v>18216</v>
      </c>
      <c r="P2" s="561">
        <f>O2*N2</f>
        <v>892584</v>
      </c>
      <c r="Q2" s="561">
        <f>C2*D2</f>
        <v>35517520</v>
      </c>
      <c r="S2" s="561">
        <f>ROUND(H2*I2,0)</f>
        <v>36616000</v>
      </c>
    </row>
    <row r="3" spans="1:19" ht="15">
      <c r="E3" s="288">
        <v>42741</v>
      </c>
      <c r="F3" s="249" t="s">
        <v>495</v>
      </c>
      <c r="G3" s="314" t="s">
        <v>479</v>
      </c>
      <c r="H3" s="307">
        <v>20</v>
      </c>
      <c r="I3" s="307">
        <v>28000</v>
      </c>
      <c r="J3" s="561">
        <f>I3*H3-D3*C3</f>
        <v>560000</v>
      </c>
      <c r="K3" s="561">
        <f t="shared" ref="K3:K66" si="0">IF(OR(C3="",J3&gt;50000),1,0)</f>
        <v>1</v>
      </c>
      <c r="L3" s="561"/>
      <c r="M3" s="247" t="s">
        <v>406</v>
      </c>
      <c r="N3" s="243">
        <v>20</v>
      </c>
      <c r="O3" s="181">
        <v>25594</v>
      </c>
      <c r="P3" s="561">
        <f>O3*N3</f>
        <v>511880</v>
      </c>
      <c r="Q3" s="561">
        <f>C3*D3</f>
        <v>0</v>
      </c>
      <c r="S3" s="561">
        <f t="shared" ref="S3:S66" si="1">ROUND(H3*I3,0)</f>
        <v>560000</v>
      </c>
    </row>
    <row r="4" spans="1:19" ht="15">
      <c r="E4" s="288">
        <v>42741</v>
      </c>
      <c r="F4" s="249" t="s">
        <v>496</v>
      </c>
      <c r="G4" s="314" t="s">
        <v>479</v>
      </c>
      <c r="H4" s="307">
        <v>20</v>
      </c>
      <c r="I4" s="307">
        <v>4500</v>
      </c>
      <c r="J4" s="561">
        <f>I4*H4-D4*C4</f>
        <v>90000</v>
      </c>
      <c r="K4" s="561">
        <f t="shared" si="0"/>
        <v>1</v>
      </c>
      <c r="L4" s="561"/>
      <c r="M4" s="247" t="s">
        <v>406</v>
      </c>
      <c r="N4" s="243">
        <v>2</v>
      </c>
      <c r="O4" s="181">
        <v>25594</v>
      </c>
      <c r="P4" s="561">
        <f>O4*N4</f>
        <v>51188</v>
      </c>
      <c r="Q4" s="561">
        <f>C4*D4</f>
        <v>0</v>
      </c>
      <c r="S4" s="561">
        <f t="shared" si="1"/>
        <v>90000</v>
      </c>
    </row>
    <row r="5" spans="1:19" ht="15">
      <c r="C5" s="307">
        <v>25</v>
      </c>
      <c r="D5" s="307">
        <v>32126</v>
      </c>
      <c r="E5" s="288">
        <v>42741</v>
      </c>
      <c r="F5" s="249" t="s">
        <v>497</v>
      </c>
      <c r="G5" s="314" t="s">
        <v>480</v>
      </c>
      <c r="H5" s="307">
        <v>25</v>
      </c>
      <c r="I5" s="307">
        <v>33120</v>
      </c>
      <c r="J5" s="561">
        <f t="shared" ref="J5:J69" si="2">I5*H5-D5*C5</f>
        <v>24850</v>
      </c>
      <c r="K5" s="561">
        <f t="shared" si="0"/>
        <v>0</v>
      </c>
      <c r="L5" s="561"/>
      <c r="S5" s="561">
        <f t="shared" si="1"/>
        <v>828000</v>
      </c>
    </row>
    <row r="6" spans="1:19" ht="15">
      <c r="C6" s="307">
        <v>100</v>
      </c>
      <c r="D6" s="307">
        <v>8197</v>
      </c>
      <c r="E6" s="288">
        <v>42741</v>
      </c>
      <c r="F6" s="249" t="s">
        <v>498</v>
      </c>
      <c r="G6" s="314" t="s">
        <v>480</v>
      </c>
      <c r="H6" s="307">
        <v>100</v>
      </c>
      <c r="I6" s="307">
        <v>8450</v>
      </c>
      <c r="J6" s="561">
        <f t="shared" si="2"/>
        <v>25300</v>
      </c>
      <c r="K6" s="561">
        <f t="shared" si="0"/>
        <v>0</v>
      </c>
      <c r="L6" s="561"/>
      <c r="S6" s="561">
        <f t="shared" si="1"/>
        <v>845000</v>
      </c>
    </row>
    <row r="7" spans="1:19" ht="15">
      <c r="C7" s="307">
        <v>37000</v>
      </c>
      <c r="D7" s="307">
        <v>8148</v>
      </c>
      <c r="E7" s="288">
        <v>42741</v>
      </c>
      <c r="F7" s="249" t="s">
        <v>380</v>
      </c>
      <c r="G7" s="314" t="s">
        <v>481</v>
      </c>
      <c r="H7" s="307">
        <v>37000</v>
      </c>
      <c r="I7" s="307">
        <v>8400</v>
      </c>
      <c r="J7" s="561">
        <f t="shared" si="2"/>
        <v>9324000</v>
      </c>
      <c r="K7" s="561"/>
      <c r="L7" s="561"/>
      <c r="S7" s="561">
        <f t="shared" si="1"/>
        <v>310800000</v>
      </c>
    </row>
    <row r="8" spans="1:19" ht="15">
      <c r="C8" s="307">
        <v>300</v>
      </c>
      <c r="D8" s="307">
        <v>7789</v>
      </c>
      <c r="E8" s="537">
        <v>42745</v>
      </c>
      <c r="F8" s="249" t="s">
        <v>500</v>
      </c>
      <c r="G8" s="314" t="s">
        <v>483</v>
      </c>
      <c r="H8" s="307">
        <v>300</v>
      </c>
      <c r="I8" s="307">
        <v>8030</v>
      </c>
      <c r="J8" s="561">
        <f t="shared" si="2"/>
        <v>72300</v>
      </c>
      <c r="K8" s="561">
        <f t="shared" si="0"/>
        <v>1</v>
      </c>
      <c r="L8" s="561"/>
      <c r="M8" s="247" t="s">
        <v>406</v>
      </c>
      <c r="N8" s="243">
        <v>2</v>
      </c>
      <c r="O8" s="181">
        <v>25594</v>
      </c>
      <c r="P8" s="561">
        <f>O8*N8</f>
        <v>51188</v>
      </c>
      <c r="Q8" s="561">
        <f>C8*D8</f>
        <v>2336700</v>
      </c>
      <c r="S8" s="561">
        <f t="shared" si="1"/>
        <v>2409000</v>
      </c>
    </row>
    <row r="9" spans="1:19" ht="15">
      <c r="C9" s="307">
        <v>437</v>
      </c>
      <c r="D9" s="307">
        <v>10670</v>
      </c>
      <c r="E9" s="315">
        <v>42747</v>
      </c>
      <c r="F9" s="249" t="s">
        <v>274</v>
      </c>
      <c r="G9" s="314" t="s">
        <v>484</v>
      </c>
      <c r="H9" s="307">
        <v>437</v>
      </c>
      <c r="I9" s="307">
        <v>11000</v>
      </c>
      <c r="J9" s="561">
        <f t="shared" si="2"/>
        <v>144210</v>
      </c>
      <c r="K9" s="561"/>
      <c r="L9" s="561"/>
      <c r="S9" s="561">
        <f t="shared" si="1"/>
        <v>4807000</v>
      </c>
    </row>
    <row r="10" spans="1:19" ht="15">
      <c r="C10" s="307">
        <v>520</v>
      </c>
      <c r="D10" s="307">
        <v>10185</v>
      </c>
      <c r="E10" s="315">
        <v>42749</v>
      </c>
      <c r="F10" s="249" t="s">
        <v>274</v>
      </c>
      <c r="G10" s="314" t="s">
        <v>485</v>
      </c>
      <c r="H10" s="307">
        <v>520</v>
      </c>
      <c r="I10" s="307">
        <v>10500</v>
      </c>
      <c r="J10" s="561">
        <f t="shared" si="2"/>
        <v>163800</v>
      </c>
      <c r="K10" s="561"/>
      <c r="L10" s="561"/>
      <c r="S10" s="561">
        <f t="shared" si="1"/>
        <v>5460000</v>
      </c>
    </row>
    <row r="11" spans="1:19" ht="15">
      <c r="C11" s="307">
        <v>50</v>
      </c>
      <c r="D11" s="307">
        <v>12375</v>
      </c>
      <c r="E11" s="315">
        <v>42751</v>
      </c>
      <c r="F11" s="249" t="s">
        <v>502</v>
      </c>
      <c r="G11" s="314" t="s">
        <v>486</v>
      </c>
      <c r="H11" s="307">
        <v>50</v>
      </c>
      <c r="I11" s="307">
        <v>12758</v>
      </c>
      <c r="J11" s="561">
        <f t="shared" si="2"/>
        <v>19150</v>
      </c>
      <c r="K11" s="561">
        <f t="shared" si="0"/>
        <v>0</v>
      </c>
      <c r="L11" s="561"/>
      <c r="S11" s="561">
        <f t="shared" si="1"/>
        <v>637900</v>
      </c>
    </row>
    <row r="12" spans="1:19" ht="15">
      <c r="C12" s="307">
        <v>2100</v>
      </c>
      <c r="D12" s="307">
        <v>8245</v>
      </c>
      <c r="E12" s="315">
        <v>42753</v>
      </c>
      <c r="F12" s="249" t="s">
        <v>503</v>
      </c>
      <c r="G12" s="314" t="s">
        <v>488</v>
      </c>
      <c r="H12" s="307">
        <v>2100</v>
      </c>
      <c r="I12" s="307">
        <v>8500</v>
      </c>
      <c r="J12" s="561">
        <f t="shared" si="2"/>
        <v>535500</v>
      </c>
      <c r="K12" s="561"/>
      <c r="L12" s="561"/>
      <c r="S12" s="561">
        <f t="shared" si="1"/>
        <v>17850000</v>
      </c>
    </row>
    <row r="13" spans="1:19" ht="15">
      <c r="C13" s="307">
        <v>1995</v>
      </c>
      <c r="D13" s="307">
        <v>8245</v>
      </c>
      <c r="E13" s="315">
        <v>42754</v>
      </c>
      <c r="F13" s="249" t="s">
        <v>503</v>
      </c>
      <c r="G13" s="314" t="s">
        <v>490</v>
      </c>
      <c r="H13" s="307">
        <v>1995</v>
      </c>
      <c r="I13" s="307">
        <v>8500</v>
      </c>
      <c r="J13" s="561">
        <f t="shared" si="2"/>
        <v>508725</v>
      </c>
      <c r="K13" s="561"/>
      <c r="L13" s="561"/>
      <c r="S13" s="561">
        <f t="shared" si="1"/>
        <v>16957500</v>
      </c>
    </row>
    <row r="14" spans="1:19" ht="15">
      <c r="C14" s="307">
        <v>1700</v>
      </c>
      <c r="D14" s="307">
        <v>33250</v>
      </c>
      <c r="E14" s="315">
        <v>42755</v>
      </c>
      <c r="F14" s="249" t="s">
        <v>504</v>
      </c>
      <c r="G14" s="314" t="s">
        <v>491</v>
      </c>
      <c r="H14" s="307">
        <v>1700</v>
      </c>
      <c r="I14" s="307">
        <v>35000</v>
      </c>
      <c r="J14" s="561">
        <f t="shared" si="2"/>
        <v>2975000</v>
      </c>
      <c r="K14" s="561">
        <f t="shared" si="0"/>
        <v>1</v>
      </c>
      <c r="L14" s="561"/>
      <c r="M14" s="247" t="s">
        <v>407</v>
      </c>
      <c r="N14" s="243">
        <v>147</v>
      </c>
      <c r="O14" s="181">
        <v>16512</v>
      </c>
      <c r="P14" s="561">
        <f>O14*N14</f>
        <v>2427264</v>
      </c>
      <c r="Q14" s="561">
        <f>C14*D14</f>
        <v>56525000</v>
      </c>
      <c r="S14" s="561">
        <f t="shared" si="1"/>
        <v>59500000</v>
      </c>
    </row>
    <row r="15" spans="1:19" ht="15">
      <c r="C15" s="307">
        <v>1500</v>
      </c>
      <c r="D15" s="307">
        <v>31525</v>
      </c>
      <c r="E15" s="315">
        <v>42755</v>
      </c>
      <c r="F15" s="249" t="s">
        <v>505</v>
      </c>
      <c r="G15" s="314" t="s">
        <v>491</v>
      </c>
      <c r="H15" s="307">
        <v>1500</v>
      </c>
      <c r="I15" s="307">
        <v>32500</v>
      </c>
      <c r="J15" s="561">
        <f t="shared" si="2"/>
        <v>1462500</v>
      </c>
      <c r="K15" s="561">
        <f t="shared" si="0"/>
        <v>1</v>
      </c>
      <c r="L15" s="561"/>
      <c r="M15" s="241" t="s">
        <v>307</v>
      </c>
      <c r="N15" s="243">
        <v>144</v>
      </c>
      <c r="O15" s="181">
        <v>9151</v>
      </c>
      <c r="P15" s="561">
        <f>O15*N15</f>
        <v>1317744</v>
      </c>
      <c r="Q15" s="561">
        <f>C15*D15</f>
        <v>47287500</v>
      </c>
      <c r="S15" s="561">
        <f t="shared" si="1"/>
        <v>48750000</v>
      </c>
    </row>
    <row r="16" spans="1:19" ht="15">
      <c r="C16" s="307">
        <v>4600</v>
      </c>
      <c r="D16" s="307">
        <v>17945</v>
      </c>
      <c r="E16" s="315">
        <v>42755</v>
      </c>
      <c r="F16" s="249" t="s">
        <v>274</v>
      </c>
      <c r="G16" s="314" t="s">
        <v>491</v>
      </c>
      <c r="H16" s="307">
        <v>4600</v>
      </c>
      <c r="I16" s="307">
        <v>18500</v>
      </c>
      <c r="J16" s="561">
        <f t="shared" si="2"/>
        <v>2553000</v>
      </c>
      <c r="K16" s="561"/>
      <c r="L16" s="561"/>
      <c r="S16" s="561">
        <f t="shared" si="1"/>
        <v>85100000</v>
      </c>
    </row>
    <row r="17" spans="3:19" ht="15">
      <c r="C17" s="307">
        <v>4500</v>
      </c>
      <c r="D17" s="307">
        <v>17945</v>
      </c>
      <c r="E17" s="315">
        <v>42755</v>
      </c>
      <c r="F17" s="249" t="s">
        <v>273</v>
      </c>
      <c r="G17" s="314" t="s">
        <v>491</v>
      </c>
      <c r="H17" s="307">
        <v>4500</v>
      </c>
      <c r="I17" s="307">
        <v>18500</v>
      </c>
      <c r="J17" s="561">
        <f t="shared" si="2"/>
        <v>2497500</v>
      </c>
      <c r="K17" s="561"/>
      <c r="L17" s="561"/>
      <c r="S17" s="561">
        <f t="shared" si="1"/>
        <v>83250000</v>
      </c>
    </row>
    <row r="18" spans="3:19" ht="15">
      <c r="C18" s="307">
        <v>300</v>
      </c>
      <c r="D18" s="307">
        <v>9700</v>
      </c>
      <c r="E18" s="315">
        <v>42755</v>
      </c>
      <c r="F18" s="249" t="s">
        <v>506</v>
      </c>
      <c r="G18" s="314" t="s">
        <v>492</v>
      </c>
      <c r="H18" s="307">
        <v>300</v>
      </c>
      <c r="I18" s="307">
        <v>10000</v>
      </c>
      <c r="J18" s="561">
        <f t="shared" si="2"/>
        <v>90000</v>
      </c>
      <c r="K18" s="561">
        <f t="shared" si="0"/>
        <v>1</v>
      </c>
      <c r="L18" s="561"/>
      <c r="M18" s="247" t="s">
        <v>406</v>
      </c>
      <c r="N18" s="243">
        <v>2</v>
      </c>
      <c r="O18" s="181">
        <v>25594</v>
      </c>
      <c r="P18" s="561">
        <f>O18*N18</f>
        <v>51188</v>
      </c>
      <c r="Q18" s="561">
        <f>C18*D18</f>
        <v>2910000</v>
      </c>
      <c r="S18" s="561">
        <f t="shared" si="1"/>
        <v>3000000</v>
      </c>
    </row>
    <row r="19" spans="3:19" ht="15">
      <c r="C19" s="307">
        <v>1800</v>
      </c>
      <c r="D19" s="307">
        <v>8245</v>
      </c>
      <c r="E19" s="315">
        <v>42756</v>
      </c>
      <c r="F19" s="249" t="s">
        <v>503</v>
      </c>
      <c r="G19" s="314" t="s">
        <v>507</v>
      </c>
      <c r="H19" s="307">
        <v>1800</v>
      </c>
      <c r="I19" s="307">
        <v>8500</v>
      </c>
      <c r="J19" s="561">
        <f t="shared" si="2"/>
        <v>459000</v>
      </c>
      <c r="K19" s="561"/>
      <c r="L19" s="561"/>
      <c r="S19" s="561">
        <f t="shared" si="1"/>
        <v>15300000</v>
      </c>
    </row>
    <row r="20" spans="3:19" ht="15">
      <c r="C20" s="307">
        <v>2001</v>
      </c>
      <c r="D20" s="307">
        <v>8245</v>
      </c>
      <c r="E20" s="315">
        <v>42758</v>
      </c>
      <c r="F20" s="249" t="s">
        <v>503</v>
      </c>
      <c r="G20" s="314" t="s">
        <v>508</v>
      </c>
      <c r="H20" s="307">
        <v>2001</v>
      </c>
      <c r="I20" s="307">
        <v>8500</v>
      </c>
      <c r="J20" s="561">
        <f t="shared" si="2"/>
        <v>510255</v>
      </c>
      <c r="K20" s="561"/>
      <c r="L20" s="561"/>
      <c r="M20" s="561"/>
      <c r="N20" s="561"/>
      <c r="S20" s="561">
        <f t="shared" si="1"/>
        <v>17008500</v>
      </c>
    </row>
    <row r="21" spans="3:19" ht="15">
      <c r="C21" s="307"/>
      <c r="D21" s="307"/>
      <c r="E21" s="315">
        <v>42758</v>
      </c>
      <c r="F21" s="249" t="s">
        <v>503</v>
      </c>
      <c r="G21" s="314" t="s">
        <v>508</v>
      </c>
      <c r="H21" s="307">
        <v>4</v>
      </c>
      <c r="I21" s="307">
        <v>8500</v>
      </c>
      <c r="J21" s="561">
        <f>I21*H21-D21*C21</f>
        <v>34000</v>
      </c>
      <c r="K21" s="561">
        <f t="shared" si="0"/>
        <v>1</v>
      </c>
      <c r="L21" s="561"/>
      <c r="M21" s="247" t="s">
        <v>406</v>
      </c>
      <c r="N21" s="243">
        <v>1</v>
      </c>
      <c r="O21" s="181">
        <v>25594</v>
      </c>
      <c r="P21" s="561">
        <f>O21*N21</f>
        <v>25594</v>
      </c>
      <c r="Q21" s="561">
        <f>C21*D21</f>
        <v>0</v>
      </c>
      <c r="S21" s="561">
        <f t="shared" si="1"/>
        <v>34000</v>
      </c>
    </row>
    <row r="22" spans="3:19" ht="15">
      <c r="C22" s="307">
        <v>111</v>
      </c>
      <c r="D22" s="307">
        <v>40545.990990990991</v>
      </c>
      <c r="E22" s="315">
        <v>42758</v>
      </c>
      <c r="F22" s="249" t="s">
        <v>611</v>
      </c>
      <c r="G22" s="314" t="s">
        <v>510</v>
      </c>
      <c r="H22" s="307">
        <v>111</v>
      </c>
      <c r="I22" s="307">
        <v>40545.990990990991</v>
      </c>
      <c r="J22" s="561">
        <f t="shared" si="2"/>
        <v>0</v>
      </c>
      <c r="K22" s="561">
        <f t="shared" si="0"/>
        <v>0</v>
      </c>
      <c r="L22" s="561"/>
      <c r="S22" s="561">
        <f t="shared" si="1"/>
        <v>4500605</v>
      </c>
    </row>
    <row r="23" spans="3:19" ht="15">
      <c r="C23" s="307">
        <v>80</v>
      </c>
      <c r="D23" s="307">
        <v>67377.987500000003</v>
      </c>
      <c r="E23" s="315">
        <v>42758</v>
      </c>
      <c r="F23" s="249" t="s">
        <v>612</v>
      </c>
      <c r="G23" s="314" t="s">
        <v>510</v>
      </c>
      <c r="H23" s="307">
        <v>80</v>
      </c>
      <c r="I23" s="307">
        <v>67377.987500000003</v>
      </c>
      <c r="J23" s="561">
        <f t="shared" si="2"/>
        <v>0</v>
      </c>
      <c r="K23" s="561">
        <f t="shared" si="0"/>
        <v>0</v>
      </c>
      <c r="L23" s="561"/>
      <c r="S23" s="561">
        <f t="shared" si="1"/>
        <v>5390239</v>
      </c>
    </row>
    <row r="24" spans="3:19" ht="15">
      <c r="C24" s="307">
        <v>130</v>
      </c>
      <c r="D24" s="307">
        <v>88624</v>
      </c>
      <c r="E24" s="315">
        <v>42758</v>
      </c>
      <c r="F24" s="249" t="s">
        <v>613</v>
      </c>
      <c r="G24" s="314" t="s">
        <v>510</v>
      </c>
      <c r="H24" s="307">
        <v>130</v>
      </c>
      <c r="I24" s="307">
        <v>88624</v>
      </c>
      <c r="J24" s="561">
        <f t="shared" si="2"/>
        <v>0</v>
      </c>
      <c r="K24" s="561">
        <f t="shared" si="0"/>
        <v>0</v>
      </c>
      <c r="L24" s="561"/>
      <c r="S24" s="561">
        <f t="shared" si="1"/>
        <v>11521120</v>
      </c>
    </row>
    <row r="25" spans="3:19" ht="15">
      <c r="C25" s="307">
        <v>140</v>
      </c>
      <c r="D25" s="307">
        <v>17678</v>
      </c>
      <c r="E25" s="315">
        <v>42758</v>
      </c>
      <c r="F25" s="249" t="s">
        <v>614</v>
      </c>
      <c r="G25" s="314" t="s">
        <v>510</v>
      </c>
      <c r="H25" s="307">
        <v>140</v>
      </c>
      <c r="I25" s="307">
        <v>17678</v>
      </c>
      <c r="J25" s="561">
        <f t="shared" si="2"/>
        <v>0</v>
      </c>
      <c r="K25" s="561">
        <f t="shared" si="0"/>
        <v>0</v>
      </c>
      <c r="L25" s="561"/>
      <c r="S25" s="561">
        <f t="shared" si="1"/>
        <v>2474920</v>
      </c>
    </row>
    <row r="26" spans="3:19" ht="15">
      <c r="C26" s="307">
        <v>70</v>
      </c>
      <c r="D26" s="307">
        <v>35806</v>
      </c>
      <c r="E26" s="315">
        <v>42758</v>
      </c>
      <c r="F26" s="249" t="s">
        <v>615</v>
      </c>
      <c r="G26" s="314" t="s">
        <v>510</v>
      </c>
      <c r="H26" s="307">
        <v>70</v>
      </c>
      <c r="I26" s="307">
        <v>35806</v>
      </c>
      <c r="J26" s="561">
        <f t="shared" si="2"/>
        <v>0</v>
      </c>
      <c r="K26" s="561">
        <f t="shared" si="0"/>
        <v>0</v>
      </c>
      <c r="L26" s="561"/>
      <c r="S26" s="561">
        <f t="shared" si="1"/>
        <v>2506420</v>
      </c>
    </row>
    <row r="27" spans="3:19" ht="15">
      <c r="C27" s="307">
        <v>80</v>
      </c>
      <c r="D27" s="307">
        <v>12002</v>
      </c>
      <c r="E27" s="315">
        <v>42758</v>
      </c>
      <c r="F27" s="249" t="s">
        <v>616</v>
      </c>
      <c r="G27" s="314" t="s">
        <v>510</v>
      </c>
      <c r="H27" s="307">
        <v>80</v>
      </c>
      <c r="I27" s="307">
        <v>12002</v>
      </c>
      <c r="J27" s="561">
        <f t="shared" si="2"/>
        <v>0</v>
      </c>
      <c r="K27" s="561">
        <f t="shared" si="0"/>
        <v>0</v>
      </c>
      <c r="L27" s="561"/>
      <c r="S27" s="561">
        <f t="shared" si="1"/>
        <v>960160</v>
      </c>
    </row>
    <row r="28" spans="3:19" ht="15">
      <c r="C28" s="307">
        <v>15</v>
      </c>
      <c r="D28" s="307">
        <v>56030</v>
      </c>
      <c r="E28" s="315">
        <v>42758</v>
      </c>
      <c r="F28" s="249" t="s">
        <v>617</v>
      </c>
      <c r="G28" s="314" t="s">
        <v>510</v>
      </c>
      <c r="H28" s="307">
        <v>15</v>
      </c>
      <c r="I28" s="307">
        <v>56030</v>
      </c>
      <c r="J28" s="561">
        <f t="shared" si="2"/>
        <v>0</v>
      </c>
      <c r="K28" s="561">
        <f t="shared" si="0"/>
        <v>0</v>
      </c>
      <c r="L28" s="561"/>
      <c r="S28" s="561">
        <f t="shared" si="1"/>
        <v>840450</v>
      </c>
    </row>
    <row r="29" spans="3:19" ht="15">
      <c r="C29" s="307">
        <v>5</v>
      </c>
      <c r="D29" s="307">
        <v>56794</v>
      </c>
      <c r="E29" s="315">
        <v>42758</v>
      </c>
      <c r="F29" s="249" t="s">
        <v>618</v>
      </c>
      <c r="G29" s="314" t="s">
        <v>510</v>
      </c>
      <c r="H29" s="307">
        <v>5</v>
      </c>
      <c r="I29" s="307">
        <v>56794</v>
      </c>
      <c r="J29" s="561">
        <f t="shared" si="2"/>
        <v>0</v>
      </c>
      <c r="K29" s="561">
        <f t="shared" si="0"/>
        <v>0</v>
      </c>
      <c r="L29" s="561"/>
      <c r="S29" s="561">
        <f t="shared" si="1"/>
        <v>283970</v>
      </c>
    </row>
    <row r="30" spans="3:19" ht="15">
      <c r="C30" s="307">
        <v>94</v>
      </c>
      <c r="D30" s="307">
        <v>20239</v>
      </c>
      <c r="E30" s="315">
        <v>42758</v>
      </c>
      <c r="F30" s="249" t="s">
        <v>619</v>
      </c>
      <c r="G30" s="314" t="s">
        <v>510</v>
      </c>
      <c r="H30" s="307">
        <v>94</v>
      </c>
      <c r="I30" s="307">
        <v>20239</v>
      </c>
      <c r="J30" s="561">
        <f t="shared" si="2"/>
        <v>0</v>
      </c>
      <c r="K30" s="561">
        <f t="shared" si="0"/>
        <v>0</v>
      </c>
      <c r="L30" s="561"/>
      <c r="S30" s="561">
        <f t="shared" si="1"/>
        <v>1902466</v>
      </c>
    </row>
    <row r="31" spans="3:19" ht="15">
      <c r="C31" s="307">
        <v>40</v>
      </c>
      <c r="D31" s="307">
        <v>22150</v>
      </c>
      <c r="E31" s="315">
        <v>42758</v>
      </c>
      <c r="F31" s="249" t="s">
        <v>620</v>
      </c>
      <c r="G31" s="314" t="s">
        <v>510</v>
      </c>
      <c r="H31" s="307">
        <v>40</v>
      </c>
      <c r="I31" s="307">
        <v>22150</v>
      </c>
      <c r="J31" s="561">
        <f t="shared" si="2"/>
        <v>0</v>
      </c>
      <c r="K31" s="561">
        <f t="shared" si="0"/>
        <v>0</v>
      </c>
      <c r="L31" s="561"/>
      <c r="S31" s="561">
        <f t="shared" si="1"/>
        <v>886000</v>
      </c>
    </row>
    <row r="32" spans="3:19" ht="15">
      <c r="C32" s="307">
        <v>50</v>
      </c>
      <c r="D32" s="307">
        <v>62005</v>
      </c>
      <c r="E32" s="315">
        <v>42758</v>
      </c>
      <c r="F32" s="249" t="s">
        <v>621</v>
      </c>
      <c r="G32" s="314" t="s">
        <v>510</v>
      </c>
      <c r="H32" s="307">
        <v>50</v>
      </c>
      <c r="I32" s="307">
        <v>62005</v>
      </c>
      <c r="J32" s="561">
        <f t="shared" si="2"/>
        <v>0</v>
      </c>
      <c r="K32" s="561">
        <f t="shared" si="0"/>
        <v>0</v>
      </c>
      <c r="L32" s="561"/>
      <c r="S32" s="561">
        <f t="shared" si="1"/>
        <v>3100250</v>
      </c>
    </row>
    <row r="33" spans="3:19" ht="15">
      <c r="C33" s="307">
        <v>170</v>
      </c>
      <c r="D33" s="307">
        <v>8242</v>
      </c>
      <c r="E33" s="315">
        <v>42758</v>
      </c>
      <c r="F33" s="249" t="s">
        <v>622</v>
      </c>
      <c r="G33" s="314" t="s">
        <v>510</v>
      </c>
      <c r="H33" s="307">
        <v>170</v>
      </c>
      <c r="I33" s="307">
        <v>8242</v>
      </c>
      <c r="J33" s="561">
        <f t="shared" si="2"/>
        <v>0</v>
      </c>
      <c r="K33" s="561">
        <f t="shared" si="0"/>
        <v>0</v>
      </c>
      <c r="L33" s="561"/>
      <c r="S33" s="561">
        <f t="shared" si="1"/>
        <v>1401140</v>
      </c>
    </row>
    <row r="34" spans="3:19" ht="15">
      <c r="C34" s="307">
        <v>58</v>
      </c>
      <c r="D34" s="307">
        <v>45217</v>
      </c>
      <c r="E34" s="315">
        <v>42758</v>
      </c>
      <c r="F34" s="249" t="s">
        <v>623</v>
      </c>
      <c r="G34" s="314" t="s">
        <v>510</v>
      </c>
      <c r="H34" s="307">
        <v>58</v>
      </c>
      <c r="I34" s="307">
        <v>45217</v>
      </c>
      <c r="J34" s="561">
        <f t="shared" si="2"/>
        <v>0</v>
      </c>
      <c r="K34" s="561">
        <f t="shared" si="0"/>
        <v>0</v>
      </c>
      <c r="L34" s="561"/>
      <c r="S34" s="561">
        <f t="shared" si="1"/>
        <v>2622586</v>
      </c>
    </row>
    <row r="35" spans="3:19" ht="15">
      <c r="C35" s="307">
        <v>5</v>
      </c>
      <c r="D35" s="307">
        <v>35387</v>
      </c>
      <c r="E35" s="315">
        <v>42758</v>
      </c>
      <c r="F35" s="249" t="s">
        <v>624</v>
      </c>
      <c r="G35" s="314" t="s">
        <v>510</v>
      </c>
      <c r="H35" s="307">
        <v>5</v>
      </c>
      <c r="I35" s="307">
        <v>35387</v>
      </c>
      <c r="J35" s="561">
        <f t="shared" si="2"/>
        <v>0</v>
      </c>
      <c r="K35" s="561">
        <f t="shared" si="0"/>
        <v>0</v>
      </c>
      <c r="L35" s="561"/>
      <c r="S35" s="561">
        <f t="shared" si="1"/>
        <v>176935</v>
      </c>
    </row>
    <row r="36" spans="3:19" ht="15">
      <c r="C36" s="307">
        <v>12</v>
      </c>
      <c r="D36" s="307">
        <v>38130</v>
      </c>
      <c r="E36" s="315">
        <v>42758</v>
      </c>
      <c r="F36" s="249" t="s">
        <v>625</v>
      </c>
      <c r="G36" s="314" t="s">
        <v>510</v>
      </c>
      <c r="H36" s="307">
        <v>12</v>
      </c>
      <c r="I36" s="307">
        <v>38130</v>
      </c>
      <c r="J36" s="561">
        <f t="shared" si="2"/>
        <v>0</v>
      </c>
      <c r="K36" s="561">
        <f t="shared" si="0"/>
        <v>0</v>
      </c>
      <c r="L36" s="561"/>
      <c r="S36" s="561">
        <f t="shared" si="1"/>
        <v>457560</v>
      </c>
    </row>
    <row r="37" spans="3:19" ht="15">
      <c r="C37" s="307">
        <v>25</v>
      </c>
      <c r="D37" s="307">
        <v>22205</v>
      </c>
      <c r="E37" s="315">
        <v>42758</v>
      </c>
      <c r="F37" s="249" t="s">
        <v>626</v>
      </c>
      <c r="G37" s="314" t="s">
        <v>510</v>
      </c>
      <c r="H37" s="307">
        <v>25</v>
      </c>
      <c r="I37" s="307">
        <v>22205</v>
      </c>
      <c r="J37" s="561">
        <f t="shared" si="2"/>
        <v>0</v>
      </c>
      <c r="K37" s="561">
        <f t="shared" si="0"/>
        <v>0</v>
      </c>
      <c r="L37" s="561"/>
      <c r="S37" s="561">
        <f t="shared" si="1"/>
        <v>555125</v>
      </c>
    </row>
    <row r="38" spans="3:19" ht="15">
      <c r="C38" s="307">
        <v>5</v>
      </c>
      <c r="D38" s="307">
        <v>33299</v>
      </c>
      <c r="E38" s="315">
        <v>42758</v>
      </c>
      <c r="F38" s="249" t="s">
        <v>627</v>
      </c>
      <c r="G38" s="314" t="s">
        <v>510</v>
      </c>
      <c r="H38" s="307">
        <v>5</v>
      </c>
      <c r="I38" s="307">
        <v>33299</v>
      </c>
      <c r="J38" s="561">
        <f t="shared" si="2"/>
        <v>0</v>
      </c>
      <c r="K38" s="561">
        <f t="shared" si="0"/>
        <v>0</v>
      </c>
      <c r="L38" s="561"/>
      <c r="S38" s="561">
        <f t="shared" si="1"/>
        <v>166495</v>
      </c>
    </row>
    <row r="39" spans="3:19" ht="15">
      <c r="C39" s="307">
        <v>5</v>
      </c>
      <c r="D39" s="307">
        <v>99212</v>
      </c>
      <c r="E39" s="315">
        <v>42758</v>
      </c>
      <c r="F39" s="249" t="s">
        <v>628</v>
      </c>
      <c r="G39" s="314" t="s">
        <v>510</v>
      </c>
      <c r="H39" s="307">
        <v>5</v>
      </c>
      <c r="I39" s="307">
        <v>99212</v>
      </c>
      <c r="J39" s="561">
        <f t="shared" si="2"/>
        <v>0</v>
      </c>
      <c r="K39" s="561">
        <f t="shared" si="0"/>
        <v>0</v>
      </c>
      <c r="L39" s="561"/>
      <c r="S39" s="561">
        <f t="shared" si="1"/>
        <v>496060</v>
      </c>
    </row>
    <row r="40" spans="3:19" ht="15">
      <c r="C40" s="307">
        <v>10</v>
      </c>
      <c r="D40" s="307">
        <v>25258</v>
      </c>
      <c r="E40" s="315">
        <v>42758</v>
      </c>
      <c r="F40" s="249" t="s">
        <v>629</v>
      </c>
      <c r="G40" s="314" t="s">
        <v>510</v>
      </c>
      <c r="H40" s="307">
        <v>10</v>
      </c>
      <c r="I40" s="307">
        <v>25258</v>
      </c>
      <c r="J40" s="561">
        <f t="shared" si="2"/>
        <v>0</v>
      </c>
      <c r="K40" s="561">
        <f t="shared" si="0"/>
        <v>0</v>
      </c>
      <c r="L40" s="561"/>
      <c r="S40" s="561">
        <f t="shared" si="1"/>
        <v>252580</v>
      </c>
    </row>
    <row r="41" spans="3:19" ht="15">
      <c r="C41" s="307">
        <v>5</v>
      </c>
      <c r="D41" s="307">
        <v>23736</v>
      </c>
      <c r="E41" s="315">
        <v>42758</v>
      </c>
      <c r="F41" s="249" t="s">
        <v>630</v>
      </c>
      <c r="G41" s="314" t="s">
        <v>510</v>
      </c>
      <c r="H41" s="307">
        <v>5</v>
      </c>
      <c r="I41" s="307">
        <v>23736</v>
      </c>
      <c r="J41" s="561">
        <f t="shared" si="2"/>
        <v>0</v>
      </c>
      <c r="K41" s="561">
        <f t="shared" si="0"/>
        <v>0</v>
      </c>
      <c r="L41" s="561"/>
      <c r="S41" s="561">
        <f t="shared" si="1"/>
        <v>118680</v>
      </c>
    </row>
    <row r="42" spans="3:19" ht="15">
      <c r="C42" s="307">
        <v>3</v>
      </c>
      <c r="D42" s="307">
        <v>28583</v>
      </c>
      <c r="E42" s="315">
        <v>42758</v>
      </c>
      <c r="F42" s="249" t="s">
        <v>631</v>
      </c>
      <c r="G42" s="314" t="s">
        <v>510</v>
      </c>
      <c r="H42" s="307">
        <v>3</v>
      </c>
      <c r="I42" s="307">
        <v>28583</v>
      </c>
      <c r="J42" s="561">
        <f t="shared" si="2"/>
        <v>0</v>
      </c>
      <c r="K42" s="561">
        <f t="shared" si="0"/>
        <v>0</v>
      </c>
      <c r="L42" s="561"/>
      <c r="S42" s="561">
        <f t="shared" si="1"/>
        <v>85749</v>
      </c>
    </row>
    <row r="43" spans="3:19" ht="15">
      <c r="C43" s="307">
        <v>10</v>
      </c>
      <c r="D43" s="307">
        <v>53873</v>
      </c>
      <c r="E43" s="315">
        <v>42758</v>
      </c>
      <c r="F43" s="249" t="s">
        <v>632</v>
      </c>
      <c r="G43" s="314" t="s">
        <v>510</v>
      </c>
      <c r="H43" s="307">
        <v>10</v>
      </c>
      <c r="I43" s="307">
        <v>53873</v>
      </c>
      <c r="J43" s="561">
        <f t="shared" si="2"/>
        <v>0</v>
      </c>
      <c r="K43" s="561">
        <f t="shared" si="0"/>
        <v>0</v>
      </c>
      <c r="L43" s="561"/>
      <c r="S43" s="561">
        <f t="shared" si="1"/>
        <v>538730</v>
      </c>
    </row>
    <row r="44" spans="3:19" ht="15">
      <c r="C44" s="307">
        <v>15</v>
      </c>
      <c r="D44" s="307">
        <v>42021</v>
      </c>
      <c r="E44" s="315">
        <v>42758</v>
      </c>
      <c r="F44" s="249" t="s">
        <v>633</v>
      </c>
      <c r="G44" s="314" t="s">
        <v>510</v>
      </c>
      <c r="H44" s="307">
        <v>15</v>
      </c>
      <c r="I44" s="307">
        <v>42021</v>
      </c>
      <c r="J44" s="561">
        <f t="shared" si="2"/>
        <v>0</v>
      </c>
      <c r="K44" s="561">
        <f t="shared" si="0"/>
        <v>0</v>
      </c>
      <c r="L44" s="561"/>
      <c r="S44" s="561">
        <f t="shared" si="1"/>
        <v>630315</v>
      </c>
    </row>
    <row r="45" spans="3:19" ht="15">
      <c r="C45" s="307">
        <v>10</v>
      </c>
      <c r="D45" s="307">
        <v>31547</v>
      </c>
      <c r="E45" s="315">
        <v>42758</v>
      </c>
      <c r="F45" s="249" t="s">
        <v>634</v>
      </c>
      <c r="G45" s="314" t="s">
        <v>510</v>
      </c>
      <c r="H45" s="307">
        <v>10</v>
      </c>
      <c r="I45" s="307">
        <v>31547</v>
      </c>
      <c r="J45" s="561">
        <f t="shared" si="2"/>
        <v>0</v>
      </c>
      <c r="K45" s="561">
        <f t="shared" si="0"/>
        <v>0</v>
      </c>
      <c r="L45" s="561"/>
      <c r="S45" s="561">
        <f t="shared" si="1"/>
        <v>315470</v>
      </c>
    </row>
    <row r="46" spans="3:19" ht="15">
      <c r="C46" s="307">
        <v>16</v>
      </c>
      <c r="D46" s="307">
        <v>135786</v>
      </c>
      <c r="E46" s="315">
        <v>42758</v>
      </c>
      <c r="F46" s="249" t="s">
        <v>635</v>
      </c>
      <c r="G46" s="314" t="s">
        <v>510</v>
      </c>
      <c r="H46" s="307">
        <v>16</v>
      </c>
      <c r="I46" s="307">
        <v>135786</v>
      </c>
      <c r="J46" s="561">
        <f t="shared" si="2"/>
        <v>0</v>
      </c>
      <c r="K46" s="561">
        <f t="shared" si="0"/>
        <v>0</v>
      </c>
      <c r="L46" s="561"/>
      <c r="S46" s="561">
        <f t="shared" si="1"/>
        <v>2172576</v>
      </c>
    </row>
    <row r="47" spans="3:19" ht="15">
      <c r="C47" s="307">
        <v>16</v>
      </c>
      <c r="D47" s="307">
        <v>58590</v>
      </c>
      <c r="E47" s="315">
        <v>42758</v>
      </c>
      <c r="F47" s="249" t="s">
        <v>636</v>
      </c>
      <c r="G47" s="314" t="s">
        <v>510</v>
      </c>
      <c r="H47" s="307">
        <v>16</v>
      </c>
      <c r="I47" s="307">
        <v>58590</v>
      </c>
      <c r="J47" s="561">
        <f t="shared" si="2"/>
        <v>0</v>
      </c>
      <c r="K47" s="561">
        <f t="shared" si="0"/>
        <v>0</v>
      </c>
      <c r="L47" s="561"/>
      <c r="S47" s="561">
        <f t="shared" si="1"/>
        <v>937440</v>
      </c>
    </row>
    <row r="48" spans="3:19" ht="15">
      <c r="C48" s="307">
        <v>12</v>
      </c>
      <c r="D48" s="307">
        <v>129948.00000000001</v>
      </c>
      <c r="E48" s="315">
        <v>42758</v>
      </c>
      <c r="F48" s="249" t="s">
        <v>637</v>
      </c>
      <c r="G48" s="314" t="s">
        <v>510</v>
      </c>
      <c r="H48" s="307">
        <v>12</v>
      </c>
      <c r="I48" s="307">
        <v>129948.00000000001</v>
      </c>
      <c r="J48" s="561">
        <f t="shared" si="2"/>
        <v>0</v>
      </c>
      <c r="K48" s="561">
        <f t="shared" si="0"/>
        <v>0</v>
      </c>
      <c r="L48" s="561"/>
      <c r="S48" s="561">
        <f t="shared" si="1"/>
        <v>1559376</v>
      </c>
    </row>
    <row r="49" spans="3:19" ht="15">
      <c r="C49" s="307">
        <v>48</v>
      </c>
      <c r="D49" s="307">
        <v>37787.200000000004</v>
      </c>
      <c r="E49" s="315">
        <v>42758</v>
      </c>
      <c r="F49" s="249" t="s">
        <v>629</v>
      </c>
      <c r="G49" s="314" t="s">
        <v>510</v>
      </c>
      <c r="H49" s="307">
        <v>48</v>
      </c>
      <c r="I49" s="307">
        <v>37787.200000000004</v>
      </c>
      <c r="J49" s="561">
        <f t="shared" si="2"/>
        <v>0</v>
      </c>
      <c r="K49" s="561">
        <f t="shared" si="0"/>
        <v>0</v>
      </c>
      <c r="L49" s="561"/>
      <c r="S49" s="561">
        <f t="shared" si="1"/>
        <v>1813786</v>
      </c>
    </row>
    <row r="50" spans="3:19" ht="15">
      <c r="C50" s="307">
        <v>24</v>
      </c>
      <c r="D50" s="307">
        <v>37089.08</v>
      </c>
      <c r="E50" s="315">
        <v>42758</v>
      </c>
      <c r="F50" s="249" t="s">
        <v>638</v>
      </c>
      <c r="G50" s="314" t="s">
        <v>510</v>
      </c>
      <c r="H50" s="307">
        <v>24</v>
      </c>
      <c r="I50" s="307">
        <v>37089.08</v>
      </c>
      <c r="J50" s="561">
        <f t="shared" si="2"/>
        <v>0</v>
      </c>
      <c r="K50" s="561">
        <f t="shared" si="0"/>
        <v>0</v>
      </c>
      <c r="L50" s="561"/>
      <c r="S50" s="561">
        <f t="shared" si="1"/>
        <v>890138</v>
      </c>
    </row>
    <row r="51" spans="3:19" ht="15">
      <c r="C51" s="307">
        <v>6</v>
      </c>
      <c r="D51" s="307">
        <v>114450</v>
      </c>
      <c r="E51" s="315">
        <v>42758</v>
      </c>
      <c r="F51" s="249" t="s">
        <v>639</v>
      </c>
      <c r="G51" s="314" t="s">
        <v>510</v>
      </c>
      <c r="H51" s="307">
        <v>6</v>
      </c>
      <c r="I51" s="307">
        <v>114450</v>
      </c>
      <c r="J51" s="561">
        <f t="shared" si="2"/>
        <v>0</v>
      </c>
      <c r="K51" s="561">
        <f t="shared" si="0"/>
        <v>0</v>
      </c>
      <c r="L51" s="561"/>
      <c r="S51" s="561">
        <f t="shared" si="1"/>
        <v>686700</v>
      </c>
    </row>
    <row r="52" spans="3:19" ht="15">
      <c r="C52" s="307">
        <v>6</v>
      </c>
      <c r="D52" s="307">
        <v>118540.8</v>
      </c>
      <c r="E52" s="315">
        <v>42758</v>
      </c>
      <c r="F52" s="249" t="s">
        <v>640</v>
      </c>
      <c r="G52" s="314" t="s">
        <v>510</v>
      </c>
      <c r="H52" s="307">
        <v>6</v>
      </c>
      <c r="I52" s="307">
        <v>118540.8</v>
      </c>
      <c r="J52" s="561">
        <f t="shared" si="2"/>
        <v>0</v>
      </c>
      <c r="K52" s="561">
        <f t="shared" si="0"/>
        <v>0</v>
      </c>
      <c r="L52" s="561"/>
      <c r="S52" s="561">
        <f t="shared" si="1"/>
        <v>711245</v>
      </c>
    </row>
    <row r="53" spans="3:19" ht="15">
      <c r="C53" s="307">
        <v>6</v>
      </c>
      <c r="D53" s="307">
        <v>48174</v>
      </c>
      <c r="E53" s="315">
        <v>42758</v>
      </c>
      <c r="F53" s="249" t="s">
        <v>641</v>
      </c>
      <c r="G53" s="314" t="s">
        <v>510</v>
      </c>
      <c r="H53" s="307">
        <v>6</v>
      </c>
      <c r="I53" s="307">
        <v>48174</v>
      </c>
      <c r="J53" s="561">
        <f t="shared" si="2"/>
        <v>0</v>
      </c>
      <c r="K53" s="561">
        <f t="shared" si="0"/>
        <v>0</v>
      </c>
      <c r="L53" s="561"/>
      <c r="S53" s="561">
        <f t="shared" si="1"/>
        <v>289044</v>
      </c>
    </row>
    <row r="54" spans="3:19" ht="15">
      <c r="C54" s="307">
        <v>65</v>
      </c>
      <c r="D54" s="307">
        <v>19431</v>
      </c>
      <c r="E54" s="315">
        <v>42758</v>
      </c>
      <c r="F54" s="249" t="s">
        <v>642</v>
      </c>
      <c r="G54" s="314" t="s">
        <v>510</v>
      </c>
      <c r="H54" s="307">
        <v>65</v>
      </c>
      <c r="I54" s="307">
        <v>19431</v>
      </c>
      <c r="J54" s="561">
        <f t="shared" si="2"/>
        <v>0</v>
      </c>
      <c r="K54" s="561">
        <f t="shared" si="0"/>
        <v>0</v>
      </c>
      <c r="L54" s="561"/>
      <c r="S54" s="561">
        <f t="shared" si="1"/>
        <v>1263015</v>
      </c>
    </row>
    <row r="55" spans="3:19" ht="15">
      <c r="C55" s="307">
        <v>22</v>
      </c>
      <c r="D55" s="307">
        <v>88297.920000000013</v>
      </c>
      <c r="E55" s="315">
        <v>42758</v>
      </c>
      <c r="F55" s="249" t="s">
        <v>643</v>
      </c>
      <c r="G55" s="314" t="s">
        <v>510</v>
      </c>
      <c r="H55" s="307">
        <v>22</v>
      </c>
      <c r="I55" s="307">
        <v>88297.920000000013</v>
      </c>
      <c r="J55" s="561">
        <f t="shared" si="2"/>
        <v>0</v>
      </c>
      <c r="K55" s="561">
        <f t="shared" si="0"/>
        <v>0</v>
      </c>
      <c r="L55" s="561"/>
      <c r="S55" s="561">
        <f t="shared" si="1"/>
        <v>1942554</v>
      </c>
    </row>
    <row r="56" spans="3:19" ht="15">
      <c r="C56" s="307">
        <v>12</v>
      </c>
      <c r="D56" s="307">
        <v>62407.80000000001</v>
      </c>
      <c r="E56" s="315">
        <v>42758</v>
      </c>
      <c r="F56" s="249" t="s">
        <v>644</v>
      </c>
      <c r="G56" s="314" t="s">
        <v>510</v>
      </c>
      <c r="H56" s="307">
        <v>12</v>
      </c>
      <c r="I56" s="307">
        <v>62407.80000000001</v>
      </c>
      <c r="J56" s="561">
        <f t="shared" si="2"/>
        <v>0</v>
      </c>
      <c r="K56" s="561">
        <f t="shared" si="0"/>
        <v>0</v>
      </c>
      <c r="L56" s="561"/>
      <c r="S56" s="561">
        <f t="shared" si="1"/>
        <v>748894</v>
      </c>
    </row>
    <row r="57" spans="3:19" ht="15">
      <c r="C57" s="307">
        <v>12</v>
      </c>
      <c r="D57" s="307">
        <v>147063</v>
      </c>
      <c r="E57" s="315">
        <v>42758</v>
      </c>
      <c r="F57" s="249" t="s">
        <v>645</v>
      </c>
      <c r="G57" s="314" t="s">
        <v>510</v>
      </c>
      <c r="H57" s="307">
        <v>12</v>
      </c>
      <c r="I57" s="307">
        <v>147063</v>
      </c>
      <c r="J57" s="561">
        <f t="shared" si="2"/>
        <v>0</v>
      </c>
      <c r="K57" s="561">
        <f t="shared" si="0"/>
        <v>0</v>
      </c>
      <c r="L57" s="561"/>
      <c r="S57" s="561">
        <f t="shared" si="1"/>
        <v>1764756</v>
      </c>
    </row>
    <row r="58" spans="3:19" ht="15">
      <c r="C58" s="307">
        <v>12</v>
      </c>
      <c r="D58" s="307">
        <v>46851.000000000007</v>
      </c>
      <c r="E58" s="315">
        <v>42758</v>
      </c>
      <c r="F58" s="249" t="s">
        <v>646</v>
      </c>
      <c r="G58" s="314" t="s">
        <v>510</v>
      </c>
      <c r="H58" s="307">
        <v>12</v>
      </c>
      <c r="I58" s="307">
        <v>46851.000000000007</v>
      </c>
      <c r="J58" s="561">
        <f t="shared" si="2"/>
        <v>0</v>
      </c>
      <c r="K58" s="561">
        <f t="shared" si="0"/>
        <v>0</v>
      </c>
      <c r="L58" s="561"/>
      <c r="S58" s="561">
        <f t="shared" si="1"/>
        <v>562212</v>
      </c>
    </row>
    <row r="59" spans="3:19" ht="15">
      <c r="C59" s="307">
        <v>8</v>
      </c>
      <c r="D59" s="307">
        <v>112728</v>
      </c>
      <c r="E59" s="315">
        <v>42758</v>
      </c>
      <c r="F59" s="249" t="s">
        <v>647</v>
      </c>
      <c r="G59" s="314" t="s">
        <v>510</v>
      </c>
      <c r="H59" s="307">
        <v>8</v>
      </c>
      <c r="I59" s="307">
        <v>112728</v>
      </c>
      <c r="J59" s="561">
        <f t="shared" si="2"/>
        <v>0</v>
      </c>
      <c r="K59" s="561">
        <f t="shared" si="0"/>
        <v>0</v>
      </c>
      <c r="L59" s="561"/>
      <c r="S59" s="561">
        <f t="shared" si="1"/>
        <v>901824</v>
      </c>
    </row>
    <row r="60" spans="3:19" ht="15">
      <c r="C60" s="307">
        <v>4</v>
      </c>
      <c r="D60" s="307">
        <v>49480.200000000004</v>
      </c>
      <c r="E60" s="315">
        <v>42758</v>
      </c>
      <c r="F60" s="249" t="s">
        <v>648</v>
      </c>
      <c r="G60" s="314" t="s">
        <v>510</v>
      </c>
      <c r="H60" s="307">
        <v>4</v>
      </c>
      <c r="I60" s="307">
        <v>49480.200000000004</v>
      </c>
      <c r="J60" s="561">
        <f t="shared" si="2"/>
        <v>0</v>
      </c>
      <c r="K60" s="561">
        <f t="shared" si="0"/>
        <v>0</v>
      </c>
      <c r="L60" s="561"/>
      <c r="S60" s="561">
        <f t="shared" si="1"/>
        <v>197921</v>
      </c>
    </row>
    <row r="61" spans="3:19" ht="15">
      <c r="C61" s="307">
        <v>8</v>
      </c>
      <c r="D61" s="307">
        <v>69350.399999999994</v>
      </c>
      <c r="E61" s="315">
        <v>42758</v>
      </c>
      <c r="F61" s="249" t="s">
        <v>649</v>
      </c>
      <c r="G61" s="314" t="s">
        <v>510</v>
      </c>
      <c r="H61" s="307">
        <v>8</v>
      </c>
      <c r="I61" s="307">
        <v>69350.399999999994</v>
      </c>
      <c r="J61" s="561">
        <f t="shared" si="2"/>
        <v>0</v>
      </c>
      <c r="K61" s="561">
        <f t="shared" si="0"/>
        <v>0</v>
      </c>
      <c r="L61" s="561"/>
      <c r="S61" s="561">
        <f t="shared" si="1"/>
        <v>554803</v>
      </c>
    </row>
    <row r="62" spans="3:19" ht="15">
      <c r="C62" s="307">
        <v>4</v>
      </c>
      <c r="D62" s="307">
        <v>44814</v>
      </c>
      <c r="E62" s="315">
        <v>42758</v>
      </c>
      <c r="F62" s="249" t="s">
        <v>611</v>
      </c>
      <c r="G62" s="314" t="s">
        <v>510</v>
      </c>
      <c r="H62" s="307">
        <v>4</v>
      </c>
      <c r="I62" s="307">
        <v>44814</v>
      </c>
      <c r="J62" s="561">
        <f t="shared" si="2"/>
        <v>0</v>
      </c>
      <c r="K62" s="561">
        <f t="shared" si="0"/>
        <v>0</v>
      </c>
      <c r="L62" s="561"/>
      <c r="S62" s="561">
        <f t="shared" si="1"/>
        <v>179256</v>
      </c>
    </row>
    <row r="63" spans="3:19" ht="15">
      <c r="C63" s="307">
        <v>20</v>
      </c>
      <c r="D63" s="307">
        <v>79332.161999999997</v>
      </c>
      <c r="E63" s="315">
        <v>42758</v>
      </c>
      <c r="F63" s="249" t="s">
        <v>650</v>
      </c>
      <c r="G63" s="314" t="s">
        <v>510</v>
      </c>
      <c r="H63" s="307">
        <v>20</v>
      </c>
      <c r="I63" s="307">
        <v>79332.161999999997</v>
      </c>
      <c r="J63" s="561">
        <f t="shared" si="2"/>
        <v>0</v>
      </c>
      <c r="K63" s="561">
        <f t="shared" si="0"/>
        <v>0</v>
      </c>
      <c r="L63" s="561"/>
      <c r="S63" s="561">
        <f t="shared" si="1"/>
        <v>1586643</v>
      </c>
    </row>
    <row r="64" spans="3:19" ht="15">
      <c r="C64" s="307">
        <v>20</v>
      </c>
      <c r="D64" s="307">
        <v>112639.833</v>
      </c>
      <c r="E64" s="315">
        <v>42758</v>
      </c>
      <c r="F64" s="249" t="s">
        <v>651</v>
      </c>
      <c r="G64" s="314" t="s">
        <v>510</v>
      </c>
      <c r="H64" s="307">
        <v>20</v>
      </c>
      <c r="I64" s="307">
        <v>112639.833</v>
      </c>
      <c r="J64" s="561">
        <f t="shared" si="2"/>
        <v>0</v>
      </c>
      <c r="K64" s="561">
        <f t="shared" si="0"/>
        <v>0</v>
      </c>
      <c r="L64" s="561"/>
      <c r="S64" s="561">
        <f t="shared" si="1"/>
        <v>2252797</v>
      </c>
    </row>
    <row r="65" spans="3:19" ht="15">
      <c r="C65" s="307">
        <v>72</v>
      </c>
      <c r="D65" s="307">
        <v>29092.800000000003</v>
      </c>
      <c r="E65" s="315">
        <v>42758</v>
      </c>
      <c r="F65" s="249" t="s">
        <v>652</v>
      </c>
      <c r="G65" s="314" t="s">
        <v>510</v>
      </c>
      <c r="H65" s="307">
        <v>72</v>
      </c>
      <c r="I65" s="307">
        <v>29092.800000000003</v>
      </c>
      <c r="J65" s="561">
        <f t="shared" si="2"/>
        <v>0</v>
      </c>
      <c r="K65" s="561">
        <f t="shared" si="0"/>
        <v>0</v>
      </c>
      <c r="L65" s="561"/>
      <c r="S65" s="561">
        <f t="shared" si="1"/>
        <v>2094682</v>
      </c>
    </row>
    <row r="66" spans="3:19" ht="15">
      <c r="C66" s="307">
        <v>8</v>
      </c>
      <c r="D66" s="307">
        <v>65007.600000000006</v>
      </c>
      <c r="E66" s="315">
        <v>42758</v>
      </c>
      <c r="F66" s="249" t="s">
        <v>653</v>
      </c>
      <c r="G66" s="314" t="s">
        <v>510</v>
      </c>
      <c r="H66" s="307">
        <v>8</v>
      </c>
      <c r="I66" s="307">
        <v>65007.600000000006</v>
      </c>
      <c r="J66" s="561">
        <f t="shared" si="2"/>
        <v>0</v>
      </c>
      <c r="K66" s="561">
        <f t="shared" si="0"/>
        <v>0</v>
      </c>
      <c r="L66" s="561"/>
      <c r="S66" s="561">
        <f t="shared" si="1"/>
        <v>520061</v>
      </c>
    </row>
    <row r="67" spans="3:19" ht="15">
      <c r="C67" s="307">
        <v>15</v>
      </c>
      <c r="D67" s="307">
        <v>76910.400000000009</v>
      </c>
      <c r="E67" s="315">
        <v>42758</v>
      </c>
      <c r="F67" s="249" t="s">
        <v>654</v>
      </c>
      <c r="G67" s="314" t="s">
        <v>510</v>
      </c>
      <c r="H67" s="307">
        <v>15</v>
      </c>
      <c r="I67" s="307">
        <v>76910.400000000009</v>
      </c>
      <c r="J67" s="561">
        <f t="shared" si="2"/>
        <v>0</v>
      </c>
      <c r="K67" s="561">
        <f t="shared" ref="K67:K95" si="3">IF(OR(C67="",J67&gt;50000),1,0)</f>
        <v>0</v>
      </c>
      <c r="L67" s="561"/>
      <c r="S67" s="561">
        <f t="shared" ref="S67:S129" si="4">ROUND(H67*I67,0)</f>
        <v>1153656</v>
      </c>
    </row>
    <row r="68" spans="3:19" ht="15">
      <c r="C68" s="307">
        <v>30</v>
      </c>
      <c r="D68" s="307">
        <v>51566</v>
      </c>
      <c r="E68" s="315">
        <v>42758</v>
      </c>
      <c r="F68" s="249" t="s">
        <v>655</v>
      </c>
      <c r="G68" s="314" t="s">
        <v>510</v>
      </c>
      <c r="H68" s="307">
        <v>30</v>
      </c>
      <c r="I68" s="307">
        <v>51566</v>
      </c>
      <c r="J68" s="561">
        <f t="shared" si="2"/>
        <v>0</v>
      </c>
      <c r="K68" s="561">
        <f t="shared" si="3"/>
        <v>0</v>
      </c>
      <c r="L68" s="561"/>
      <c r="S68" s="561">
        <f t="shared" si="4"/>
        <v>1546980</v>
      </c>
    </row>
    <row r="69" spans="3:19" ht="15">
      <c r="C69" s="307">
        <v>15</v>
      </c>
      <c r="D69" s="307">
        <v>79275.000000000015</v>
      </c>
      <c r="E69" s="315">
        <v>42758</v>
      </c>
      <c r="F69" s="249" t="s">
        <v>656</v>
      </c>
      <c r="G69" s="314" t="s">
        <v>510</v>
      </c>
      <c r="H69" s="307">
        <v>15</v>
      </c>
      <c r="I69" s="307">
        <v>79275.000000000015</v>
      </c>
      <c r="J69" s="561">
        <f t="shared" si="2"/>
        <v>0</v>
      </c>
      <c r="K69" s="561">
        <f t="shared" si="3"/>
        <v>0</v>
      </c>
      <c r="L69" s="561"/>
      <c r="S69" s="561">
        <f t="shared" si="4"/>
        <v>1189125</v>
      </c>
    </row>
    <row r="70" spans="3:19" ht="15">
      <c r="C70" s="307">
        <v>20</v>
      </c>
      <c r="D70" s="307">
        <v>53614.593000000001</v>
      </c>
      <c r="E70" s="315">
        <v>42758</v>
      </c>
      <c r="F70" s="249" t="s">
        <v>657</v>
      </c>
      <c r="G70" s="314" t="s">
        <v>510</v>
      </c>
      <c r="H70" s="307">
        <v>20</v>
      </c>
      <c r="I70" s="307">
        <v>53614.593000000001</v>
      </c>
      <c r="J70" s="561">
        <f t="shared" ref="J70:J95" si="5">I70*H70-D70*C70</f>
        <v>0</v>
      </c>
      <c r="K70" s="561">
        <f t="shared" si="3"/>
        <v>0</v>
      </c>
      <c r="L70" s="561"/>
      <c r="S70" s="561">
        <f t="shared" si="4"/>
        <v>1072292</v>
      </c>
    </row>
    <row r="71" spans="3:19" ht="15">
      <c r="C71" s="307">
        <v>30</v>
      </c>
      <c r="D71" s="307">
        <v>66599</v>
      </c>
      <c r="E71" s="315">
        <v>42758</v>
      </c>
      <c r="F71" s="249" t="s">
        <v>658</v>
      </c>
      <c r="G71" s="314" t="s">
        <v>510</v>
      </c>
      <c r="H71" s="307">
        <v>30</v>
      </c>
      <c r="I71" s="307">
        <v>66599</v>
      </c>
      <c r="J71" s="561">
        <f t="shared" si="5"/>
        <v>0</v>
      </c>
      <c r="K71" s="561">
        <f t="shared" si="3"/>
        <v>0</v>
      </c>
      <c r="L71" s="561"/>
      <c r="S71" s="561">
        <f t="shared" si="4"/>
        <v>1997970</v>
      </c>
    </row>
    <row r="72" spans="3:19" ht="15">
      <c r="C72" s="307">
        <v>18</v>
      </c>
      <c r="D72" s="307">
        <v>70086</v>
      </c>
      <c r="E72" s="315">
        <v>42758</v>
      </c>
      <c r="F72" s="249" t="s">
        <v>658</v>
      </c>
      <c r="G72" s="314" t="s">
        <v>510</v>
      </c>
      <c r="H72" s="307">
        <v>18</v>
      </c>
      <c r="I72" s="307">
        <v>70086</v>
      </c>
      <c r="J72" s="561">
        <f t="shared" si="5"/>
        <v>0</v>
      </c>
      <c r="K72" s="561">
        <f t="shared" si="3"/>
        <v>0</v>
      </c>
      <c r="L72" s="561"/>
      <c r="S72" s="561">
        <f t="shared" si="4"/>
        <v>1261548</v>
      </c>
    </row>
    <row r="73" spans="3:19" ht="15">
      <c r="C73" s="307">
        <v>4</v>
      </c>
      <c r="D73" s="307">
        <v>82895</v>
      </c>
      <c r="E73" s="315">
        <v>42758</v>
      </c>
      <c r="F73" s="249" t="s">
        <v>659</v>
      </c>
      <c r="G73" s="314" t="s">
        <v>510</v>
      </c>
      <c r="H73" s="307">
        <v>4</v>
      </c>
      <c r="I73" s="307">
        <v>82895</v>
      </c>
      <c r="J73" s="561">
        <f t="shared" si="5"/>
        <v>0</v>
      </c>
      <c r="K73" s="561">
        <f t="shared" si="3"/>
        <v>0</v>
      </c>
      <c r="L73" s="561"/>
      <c r="S73" s="561">
        <f t="shared" si="4"/>
        <v>331580</v>
      </c>
    </row>
    <row r="74" spans="3:19" ht="15">
      <c r="C74" s="307">
        <v>8</v>
      </c>
      <c r="D74" s="307">
        <v>99792</v>
      </c>
      <c r="E74" s="315">
        <v>42758</v>
      </c>
      <c r="F74" s="249" t="s">
        <v>660</v>
      </c>
      <c r="G74" s="314" t="s">
        <v>510</v>
      </c>
      <c r="H74" s="307">
        <v>8</v>
      </c>
      <c r="I74" s="307">
        <v>99792</v>
      </c>
      <c r="J74" s="561">
        <f t="shared" si="5"/>
        <v>0</v>
      </c>
      <c r="K74" s="561">
        <f t="shared" si="3"/>
        <v>0</v>
      </c>
      <c r="L74" s="561"/>
      <c r="S74" s="561">
        <f t="shared" si="4"/>
        <v>798336</v>
      </c>
    </row>
    <row r="75" spans="3:19" ht="15">
      <c r="C75" s="307">
        <v>7</v>
      </c>
      <c r="D75" s="307">
        <v>64474</v>
      </c>
      <c r="E75" s="315">
        <v>42758</v>
      </c>
      <c r="F75" s="249" t="s">
        <v>661</v>
      </c>
      <c r="G75" s="314" t="s">
        <v>510</v>
      </c>
      <c r="H75" s="307">
        <v>7</v>
      </c>
      <c r="I75" s="307">
        <v>64474</v>
      </c>
      <c r="J75" s="561">
        <f t="shared" si="5"/>
        <v>0</v>
      </c>
      <c r="K75" s="561">
        <f t="shared" si="3"/>
        <v>0</v>
      </c>
      <c r="L75" s="561"/>
      <c r="S75" s="561">
        <f t="shared" si="4"/>
        <v>451318</v>
      </c>
    </row>
    <row r="76" spans="3:19" ht="15">
      <c r="C76" s="307">
        <v>4</v>
      </c>
      <c r="D76" s="307">
        <v>107419</v>
      </c>
      <c r="E76" s="315">
        <v>42758</v>
      </c>
      <c r="F76" s="249" t="s">
        <v>662</v>
      </c>
      <c r="G76" s="314" t="s">
        <v>510</v>
      </c>
      <c r="H76" s="307">
        <v>4</v>
      </c>
      <c r="I76" s="307">
        <v>107419</v>
      </c>
      <c r="J76" s="561">
        <f t="shared" si="5"/>
        <v>0</v>
      </c>
      <c r="K76" s="561">
        <f t="shared" si="3"/>
        <v>0</v>
      </c>
      <c r="L76" s="561"/>
      <c r="S76" s="561">
        <f t="shared" si="4"/>
        <v>429676</v>
      </c>
    </row>
    <row r="77" spans="3:19" ht="15">
      <c r="C77" s="307">
        <v>12</v>
      </c>
      <c r="D77" s="307">
        <v>45864</v>
      </c>
      <c r="E77" s="315">
        <v>42758</v>
      </c>
      <c r="F77" s="249" t="s">
        <v>663</v>
      </c>
      <c r="G77" s="314" t="s">
        <v>510</v>
      </c>
      <c r="H77" s="307">
        <v>12</v>
      </c>
      <c r="I77" s="307">
        <v>45864</v>
      </c>
      <c r="J77" s="561">
        <f t="shared" si="5"/>
        <v>0</v>
      </c>
      <c r="K77" s="561">
        <f t="shared" si="3"/>
        <v>0</v>
      </c>
      <c r="L77" s="561"/>
      <c r="S77" s="561">
        <f t="shared" si="4"/>
        <v>550368</v>
      </c>
    </row>
    <row r="78" spans="3:19" ht="15">
      <c r="C78" s="307">
        <v>6</v>
      </c>
      <c r="D78" s="307">
        <v>48019</v>
      </c>
      <c r="E78" s="315">
        <v>42758</v>
      </c>
      <c r="F78" s="249" t="s">
        <v>664</v>
      </c>
      <c r="G78" s="314" t="s">
        <v>510</v>
      </c>
      <c r="H78" s="307">
        <v>6</v>
      </c>
      <c r="I78" s="307">
        <v>48019</v>
      </c>
      <c r="J78" s="561">
        <f t="shared" si="5"/>
        <v>0</v>
      </c>
      <c r="K78" s="561">
        <f t="shared" si="3"/>
        <v>0</v>
      </c>
      <c r="L78" s="561"/>
      <c r="S78" s="561">
        <f t="shared" si="4"/>
        <v>288114</v>
      </c>
    </row>
    <row r="79" spans="3:19" ht="15">
      <c r="C79" s="307">
        <v>70</v>
      </c>
      <c r="D79" s="307">
        <v>14722</v>
      </c>
      <c r="E79" s="315">
        <v>42758</v>
      </c>
      <c r="F79" s="249" t="s">
        <v>665</v>
      </c>
      <c r="G79" s="314" t="s">
        <v>510</v>
      </c>
      <c r="H79" s="307">
        <v>70</v>
      </c>
      <c r="I79" s="307">
        <v>14722</v>
      </c>
      <c r="J79" s="561">
        <f t="shared" si="5"/>
        <v>0</v>
      </c>
      <c r="K79" s="561">
        <f t="shared" si="3"/>
        <v>0</v>
      </c>
      <c r="L79" s="561"/>
      <c r="S79" s="561">
        <f t="shared" si="4"/>
        <v>1030540</v>
      </c>
    </row>
    <row r="80" spans="3:19" ht="15">
      <c r="C80" s="307">
        <v>56</v>
      </c>
      <c r="D80" s="307">
        <v>19395</v>
      </c>
      <c r="E80" s="315">
        <v>42758</v>
      </c>
      <c r="F80" s="249" t="s">
        <v>666</v>
      </c>
      <c r="G80" s="314" t="s">
        <v>510</v>
      </c>
      <c r="H80" s="307">
        <v>56</v>
      </c>
      <c r="I80" s="307">
        <v>19395</v>
      </c>
      <c r="J80" s="561">
        <f t="shared" si="5"/>
        <v>0</v>
      </c>
      <c r="K80" s="561">
        <f t="shared" si="3"/>
        <v>0</v>
      </c>
      <c r="L80" s="561"/>
      <c r="S80" s="561">
        <f t="shared" si="4"/>
        <v>1086120</v>
      </c>
    </row>
    <row r="81" spans="3:19" ht="15">
      <c r="C81" s="307">
        <v>3</v>
      </c>
      <c r="D81" s="307">
        <v>40018</v>
      </c>
      <c r="E81" s="315">
        <v>42758</v>
      </c>
      <c r="F81" s="249" t="s">
        <v>667</v>
      </c>
      <c r="G81" s="314" t="s">
        <v>510</v>
      </c>
      <c r="H81" s="307">
        <v>3</v>
      </c>
      <c r="I81" s="307">
        <v>40018</v>
      </c>
      <c r="J81" s="561">
        <f t="shared" si="5"/>
        <v>0</v>
      </c>
      <c r="K81" s="561">
        <f t="shared" si="3"/>
        <v>0</v>
      </c>
      <c r="L81" s="561"/>
      <c r="S81" s="561">
        <f t="shared" si="4"/>
        <v>120054</v>
      </c>
    </row>
    <row r="82" spans="3:19" ht="15">
      <c r="C82" s="307">
        <v>144</v>
      </c>
      <c r="D82" s="307">
        <v>8712</v>
      </c>
      <c r="E82" s="315">
        <v>42758</v>
      </c>
      <c r="F82" s="249" t="s">
        <v>668</v>
      </c>
      <c r="G82" s="314" t="s">
        <v>510</v>
      </c>
      <c r="H82" s="307">
        <v>144</v>
      </c>
      <c r="I82" s="307">
        <v>8712</v>
      </c>
      <c r="J82" s="561">
        <f t="shared" si="5"/>
        <v>0</v>
      </c>
      <c r="K82" s="561">
        <f t="shared" si="3"/>
        <v>0</v>
      </c>
      <c r="L82" s="561"/>
      <c r="S82" s="561">
        <f t="shared" si="4"/>
        <v>1254528</v>
      </c>
    </row>
    <row r="83" spans="3:19" ht="15">
      <c r="C83" s="307">
        <v>176</v>
      </c>
      <c r="D83" s="307">
        <v>7643</v>
      </c>
      <c r="E83" s="315">
        <v>42758</v>
      </c>
      <c r="F83" s="249" t="s">
        <v>669</v>
      </c>
      <c r="G83" s="314" t="s">
        <v>510</v>
      </c>
      <c r="H83" s="307">
        <v>176</v>
      </c>
      <c r="I83" s="307">
        <v>7643</v>
      </c>
      <c r="J83" s="561">
        <f t="shared" si="5"/>
        <v>0</v>
      </c>
      <c r="K83" s="561">
        <f t="shared" si="3"/>
        <v>0</v>
      </c>
      <c r="L83" s="561"/>
      <c r="S83" s="561">
        <f t="shared" si="4"/>
        <v>1345168</v>
      </c>
    </row>
    <row r="84" spans="3:19" ht="15">
      <c r="C84" s="307">
        <v>100</v>
      </c>
      <c r="D84" s="307">
        <v>9464</v>
      </c>
      <c r="E84" s="315">
        <v>42758</v>
      </c>
      <c r="F84" s="249" t="s">
        <v>670</v>
      </c>
      <c r="G84" s="314" t="s">
        <v>510</v>
      </c>
      <c r="H84" s="307">
        <v>100</v>
      </c>
      <c r="I84" s="307">
        <v>9464</v>
      </c>
      <c r="J84" s="561">
        <f t="shared" si="5"/>
        <v>0</v>
      </c>
      <c r="K84" s="561">
        <f t="shared" si="3"/>
        <v>0</v>
      </c>
      <c r="L84" s="561"/>
      <c r="S84" s="561">
        <f t="shared" si="4"/>
        <v>946400</v>
      </c>
    </row>
    <row r="85" spans="3:19" ht="15">
      <c r="C85" s="307">
        <v>320</v>
      </c>
      <c r="D85" s="307">
        <v>7793</v>
      </c>
      <c r="E85" s="315">
        <v>42758</v>
      </c>
      <c r="F85" s="249" t="s">
        <v>671</v>
      </c>
      <c r="G85" s="314" t="s">
        <v>510</v>
      </c>
      <c r="H85" s="307">
        <v>320</v>
      </c>
      <c r="I85" s="307">
        <v>7793</v>
      </c>
      <c r="J85" s="561">
        <f t="shared" si="5"/>
        <v>0</v>
      </c>
      <c r="K85" s="561">
        <f t="shared" si="3"/>
        <v>0</v>
      </c>
      <c r="L85" s="561"/>
      <c r="S85" s="561">
        <f t="shared" si="4"/>
        <v>2493760</v>
      </c>
    </row>
    <row r="86" spans="3:19" ht="15">
      <c r="C86" s="307">
        <v>35</v>
      </c>
      <c r="D86" s="307">
        <v>22494</v>
      </c>
      <c r="E86" s="315">
        <v>42758</v>
      </c>
      <c r="F86" s="249" t="s">
        <v>672</v>
      </c>
      <c r="G86" s="314" t="s">
        <v>510</v>
      </c>
      <c r="H86" s="307">
        <v>35</v>
      </c>
      <c r="I86" s="307">
        <v>22494</v>
      </c>
      <c r="J86" s="561">
        <f t="shared" si="5"/>
        <v>0</v>
      </c>
      <c r="K86" s="561">
        <f t="shared" si="3"/>
        <v>0</v>
      </c>
      <c r="L86" s="561"/>
      <c r="S86" s="561">
        <f t="shared" si="4"/>
        <v>787290</v>
      </c>
    </row>
    <row r="87" spans="3:19" ht="15">
      <c r="C87" s="307">
        <v>50</v>
      </c>
      <c r="D87" s="307">
        <v>15522</v>
      </c>
      <c r="E87" s="315">
        <v>42758</v>
      </c>
      <c r="F87" s="249" t="s">
        <v>673</v>
      </c>
      <c r="G87" s="314" t="s">
        <v>510</v>
      </c>
      <c r="H87" s="307">
        <v>50</v>
      </c>
      <c r="I87" s="307">
        <v>15522</v>
      </c>
      <c r="J87" s="561">
        <f t="shared" si="5"/>
        <v>0</v>
      </c>
      <c r="K87" s="561">
        <f t="shared" si="3"/>
        <v>0</v>
      </c>
      <c r="L87" s="561"/>
      <c r="S87" s="561">
        <f t="shared" si="4"/>
        <v>776100</v>
      </c>
    </row>
    <row r="88" spans="3:19" ht="15">
      <c r="C88" s="307">
        <v>126</v>
      </c>
      <c r="D88" s="307">
        <v>10198</v>
      </c>
      <c r="E88" s="315">
        <v>42758</v>
      </c>
      <c r="F88" s="249" t="s">
        <v>674</v>
      </c>
      <c r="G88" s="314" t="s">
        <v>510</v>
      </c>
      <c r="H88" s="307">
        <v>126</v>
      </c>
      <c r="I88" s="307">
        <v>10198</v>
      </c>
      <c r="J88" s="561">
        <f t="shared" si="5"/>
        <v>0</v>
      </c>
      <c r="K88" s="561">
        <f t="shared" si="3"/>
        <v>0</v>
      </c>
      <c r="L88" s="561"/>
      <c r="S88" s="561">
        <f t="shared" si="4"/>
        <v>1284948</v>
      </c>
    </row>
    <row r="89" spans="3:19" ht="15">
      <c r="C89" s="307">
        <v>72</v>
      </c>
      <c r="D89" s="307">
        <v>11806</v>
      </c>
      <c r="E89" s="315">
        <v>42758</v>
      </c>
      <c r="F89" s="249" t="s">
        <v>675</v>
      </c>
      <c r="G89" s="314" t="s">
        <v>510</v>
      </c>
      <c r="H89" s="307">
        <v>72</v>
      </c>
      <c r="I89" s="307">
        <v>11806</v>
      </c>
      <c r="J89" s="561">
        <f t="shared" si="5"/>
        <v>0</v>
      </c>
      <c r="K89" s="561">
        <f t="shared" si="3"/>
        <v>0</v>
      </c>
      <c r="L89" s="561"/>
      <c r="S89" s="561">
        <f t="shared" si="4"/>
        <v>850032</v>
      </c>
    </row>
    <row r="90" spans="3:19" ht="15">
      <c r="C90" s="307">
        <v>120</v>
      </c>
      <c r="D90" s="307">
        <v>12659</v>
      </c>
      <c r="E90" s="315">
        <v>42758</v>
      </c>
      <c r="F90" s="249" t="s">
        <v>676</v>
      </c>
      <c r="G90" s="314" t="s">
        <v>510</v>
      </c>
      <c r="H90" s="307">
        <v>120</v>
      </c>
      <c r="I90" s="307">
        <v>12659</v>
      </c>
      <c r="J90" s="561">
        <f t="shared" si="5"/>
        <v>0</v>
      </c>
      <c r="K90" s="561">
        <f t="shared" si="3"/>
        <v>0</v>
      </c>
      <c r="L90" s="561"/>
      <c r="S90" s="561">
        <f t="shared" si="4"/>
        <v>1519080</v>
      </c>
    </row>
    <row r="91" spans="3:19" ht="15">
      <c r="C91" s="307">
        <v>117</v>
      </c>
      <c r="D91" s="307">
        <v>9456</v>
      </c>
      <c r="E91" s="315">
        <v>42758</v>
      </c>
      <c r="F91" s="249" t="s">
        <v>677</v>
      </c>
      <c r="G91" s="314" t="s">
        <v>510</v>
      </c>
      <c r="H91" s="307">
        <v>117</v>
      </c>
      <c r="I91" s="307">
        <v>9456</v>
      </c>
      <c r="J91" s="561">
        <f t="shared" si="5"/>
        <v>0</v>
      </c>
      <c r="K91" s="561">
        <f t="shared" si="3"/>
        <v>0</v>
      </c>
      <c r="L91" s="561"/>
      <c r="S91" s="561">
        <f t="shared" si="4"/>
        <v>1106352</v>
      </c>
    </row>
    <row r="92" spans="3:19" ht="15">
      <c r="E92" s="315">
        <v>42758</v>
      </c>
      <c r="F92" s="249" t="s">
        <v>768</v>
      </c>
      <c r="G92" s="314" t="s">
        <v>510</v>
      </c>
      <c r="H92" s="307">
        <v>1620</v>
      </c>
      <c r="I92" s="307">
        <v>250</v>
      </c>
      <c r="J92" s="561">
        <f t="shared" si="5"/>
        <v>405000</v>
      </c>
      <c r="K92" s="561">
        <f t="shared" si="3"/>
        <v>1</v>
      </c>
      <c r="L92" s="561"/>
      <c r="M92" s="247" t="s">
        <v>406</v>
      </c>
      <c r="N92" s="243">
        <v>15</v>
      </c>
      <c r="O92" s="181">
        <v>25594</v>
      </c>
      <c r="P92" s="561">
        <f>O92*N92</f>
        <v>383910</v>
      </c>
      <c r="Q92" s="561">
        <f>C92*D92</f>
        <v>0</v>
      </c>
      <c r="S92" s="561">
        <f t="shared" si="4"/>
        <v>405000</v>
      </c>
    </row>
    <row r="93" spans="3:19" ht="15">
      <c r="C93" s="307">
        <v>505</v>
      </c>
      <c r="D93" s="307">
        <v>18245</v>
      </c>
      <c r="E93" s="315">
        <v>42759</v>
      </c>
      <c r="F93" s="249" t="s">
        <v>328</v>
      </c>
      <c r="G93" s="314" t="s">
        <v>527</v>
      </c>
      <c r="H93" s="307">
        <v>505</v>
      </c>
      <c r="I93" s="307">
        <v>18245</v>
      </c>
      <c r="J93" s="561">
        <f t="shared" si="5"/>
        <v>0</v>
      </c>
      <c r="K93" s="561">
        <f t="shared" si="3"/>
        <v>0</v>
      </c>
      <c r="L93" s="561"/>
      <c r="S93" s="561">
        <f t="shared" si="4"/>
        <v>9213725</v>
      </c>
    </row>
    <row r="94" spans="3:19" ht="15">
      <c r="C94" s="307">
        <v>138</v>
      </c>
      <c r="D94" s="307">
        <v>17809</v>
      </c>
      <c r="E94" s="315">
        <v>42759</v>
      </c>
      <c r="F94" s="249" t="s">
        <v>356</v>
      </c>
      <c r="G94" s="314" t="s">
        <v>527</v>
      </c>
      <c r="H94" s="307">
        <v>138</v>
      </c>
      <c r="I94" s="307">
        <v>17809</v>
      </c>
      <c r="J94" s="561">
        <f t="shared" si="5"/>
        <v>0</v>
      </c>
      <c r="K94" s="561">
        <f t="shared" si="3"/>
        <v>0</v>
      </c>
      <c r="L94" s="561"/>
      <c r="S94" s="561">
        <f t="shared" si="4"/>
        <v>2457642</v>
      </c>
    </row>
    <row r="95" spans="3:19" ht="15">
      <c r="C95" s="307">
        <v>99</v>
      </c>
      <c r="D95" s="307">
        <v>19810</v>
      </c>
      <c r="E95" s="315">
        <v>42759</v>
      </c>
      <c r="F95" s="249" t="s">
        <v>357</v>
      </c>
      <c r="G95" s="314" t="s">
        <v>527</v>
      </c>
      <c r="H95" s="307">
        <v>99</v>
      </c>
      <c r="I95" s="307">
        <v>19810</v>
      </c>
      <c r="J95" s="561">
        <f t="shared" si="5"/>
        <v>0</v>
      </c>
      <c r="K95" s="561">
        <f t="shared" si="3"/>
        <v>0</v>
      </c>
      <c r="L95" s="561"/>
      <c r="S95" s="561">
        <f t="shared" si="4"/>
        <v>1961190</v>
      </c>
    </row>
    <row r="96" spans="3:19" ht="15">
      <c r="C96" s="307">
        <v>4400</v>
      </c>
      <c r="D96" s="307">
        <v>8924</v>
      </c>
      <c r="E96" s="315">
        <v>42772</v>
      </c>
      <c r="F96" s="249" t="s">
        <v>493</v>
      </c>
      <c r="G96" s="314" t="s">
        <v>528</v>
      </c>
      <c r="H96" s="307">
        <v>4400</v>
      </c>
      <c r="I96" s="307">
        <v>9200</v>
      </c>
      <c r="J96" s="561">
        <f>I96*H96-D96*C96</f>
        <v>1214400</v>
      </c>
      <c r="K96" s="561">
        <f t="shared" ref="K96:K134" si="6">IF(J96&gt;50000,1,0)</f>
        <v>1</v>
      </c>
      <c r="L96" s="561"/>
      <c r="M96">
        <f>C96*D96</f>
        <v>39265600</v>
      </c>
      <c r="S96" s="561">
        <f t="shared" si="4"/>
        <v>40480000</v>
      </c>
    </row>
    <row r="97" spans="3:19" ht="15">
      <c r="C97" s="307">
        <v>2000</v>
      </c>
      <c r="D97" s="307">
        <v>8245</v>
      </c>
      <c r="E97" s="315">
        <v>42773</v>
      </c>
      <c r="F97" s="249" t="s">
        <v>503</v>
      </c>
      <c r="G97" s="314" t="s">
        <v>529</v>
      </c>
      <c r="H97" s="307">
        <v>2000</v>
      </c>
      <c r="I97" s="307">
        <v>8500</v>
      </c>
      <c r="J97" s="561">
        <f t="shared" ref="J97:J146" si="7">I97*H97-D97*C97</f>
        <v>510000</v>
      </c>
      <c r="K97" s="561"/>
      <c r="L97" s="561"/>
      <c r="S97" s="561">
        <f t="shared" si="4"/>
        <v>17000000</v>
      </c>
    </row>
    <row r="98" spans="3:19" ht="15">
      <c r="C98" s="307">
        <v>300</v>
      </c>
      <c r="D98" s="307">
        <v>7789</v>
      </c>
      <c r="E98" s="315">
        <v>42779</v>
      </c>
      <c r="F98" s="249" t="s">
        <v>500</v>
      </c>
      <c r="G98" s="314" t="s">
        <v>530</v>
      </c>
      <c r="H98" s="307">
        <v>300</v>
      </c>
      <c r="I98" s="307">
        <v>8030</v>
      </c>
      <c r="J98" s="561">
        <f t="shared" si="7"/>
        <v>72300</v>
      </c>
      <c r="K98" s="561">
        <f t="shared" si="6"/>
        <v>1</v>
      </c>
      <c r="L98" s="561"/>
      <c r="M98">
        <f>C98*D98</f>
        <v>2336700</v>
      </c>
      <c r="S98" s="561">
        <f t="shared" si="4"/>
        <v>2409000</v>
      </c>
    </row>
    <row r="99" spans="3:19" ht="15">
      <c r="C99" s="307">
        <v>400</v>
      </c>
      <c r="D99" s="307">
        <v>17654</v>
      </c>
      <c r="E99" s="315">
        <v>42782</v>
      </c>
      <c r="F99" s="249" t="s">
        <v>558</v>
      </c>
      <c r="G99" s="314" t="s">
        <v>531</v>
      </c>
      <c r="H99" s="307">
        <v>400</v>
      </c>
      <c r="I99" s="307">
        <v>18200</v>
      </c>
      <c r="J99" s="561">
        <f t="shared" si="7"/>
        <v>218400</v>
      </c>
      <c r="K99" s="561">
        <f t="shared" si="6"/>
        <v>1</v>
      </c>
      <c r="L99" s="561"/>
      <c r="M99">
        <f>C99*D99</f>
        <v>7061600</v>
      </c>
      <c r="S99" s="561">
        <f t="shared" si="4"/>
        <v>7280000</v>
      </c>
    </row>
    <row r="100" spans="3:19" ht="15">
      <c r="C100" s="307">
        <v>1900</v>
      </c>
      <c r="D100" s="307">
        <v>8245</v>
      </c>
      <c r="E100" s="315">
        <v>42783</v>
      </c>
      <c r="F100" s="249" t="s">
        <v>503</v>
      </c>
      <c r="G100" s="314" t="s">
        <v>533</v>
      </c>
      <c r="H100" s="307">
        <v>1900</v>
      </c>
      <c r="I100" s="307">
        <v>8500</v>
      </c>
      <c r="J100" s="561">
        <f t="shared" si="7"/>
        <v>484500</v>
      </c>
      <c r="K100" s="561"/>
      <c r="L100" s="561"/>
      <c r="S100" s="561">
        <f t="shared" si="4"/>
        <v>16150000</v>
      </c>
    </row>
    <row r="101" spans="3:19" ht="15">
      <c r="C101" s="243">
        <v>400</v>
      </c>
      <c r="D101" s="181">
        <v>18216</v>
      </c>
      <c r="E101" s="315">
        <v>42786</v>
      </c>
      <c r="F101" s="249" t="s">
        <v>353</v>
      </c>
      <c r="G101" s="314" t="s">
        <v>534</v>
      </c>
      <c r="H101" s="307">
        <v>400</v>
      </c>
      <c r="I101" s="307">
        <v>18580</v>
      </c>
      <c r="J101" s="561">
        <f t="shared" si="7"/>
        <v>145600</v>
      </c>
      <c r="K101" s="561"/>
      <c r="L101" s="561"/>
      <c r="S101" s="561">
        <f t="shared" si="4"/>
        <v>7432000</v>
      </c>
    </row>
    <row r="102" spans="3:19" ht="15">
      <c r="C102" s="243">
        <v>183</v>
      </c>
      <c r="D102" s="181">
        <v>31755</v>
      </c>
      <c r="E102" s="315">
        <v>42786</v>
      </c>
      <c r="F102" s="249" t="s">
        <v>366</v>
      </c>
      <c r="G102" s="314" t="s">
        <v>534</v>
      </c>
      <c r="H102" s="307">
        <v>183</v>
      </c>
      <c r="I102" s="307">
        <v>32590</v>
      </c>
      <c r="J102" s="561">
        <f t="shared" si="7"/>
        <v>152805</v>
      </c>
      <c r="K102" s="561"/>
      <c r="L102" s="561"/>
      <c r="M102" s="561"/>
      <c r="N102" s="561"/>
      <c r="S102" s="561">
        <f t="shared" si="4"/>
        <v>5963970</v>
      </c>
    </row>
    <row r="103" spans="3:19" ht="15">
      <c r="C103" s="243">
        <v>123</v>
      </c>
      <c r="D103" s="181">
        <v>25146</v>
      </c>
      <c r="E103" s="315">
        <v>42786</v>
      </c>
      <c r="F103" s="249" t="s">
        <v>368</v>
      </c>
      <c r="G103" s="314" t="s">
        <v>534</v>
      </c>
      <c r="H103" s="307">
        <v>123</v>
      </c>
      <c r="I103" s="307">
        <v>25649</v>
      </c>
      <c r="J103" s="561">
        <f t="shared" si="7"/>
        <v>61869</v>
      </c>
      <c r="K103" s="561"/>
      <c r="L103" s="561"/>
      <c r="S103" s="561">
        <f t="shared" si="4"/>
        <v>3154827</v>
      </c>
    </row>
    <row r="104" spans="3:19" ht="15">
      <c r="C104" s="307">
        <v>500</v>
      </c>
      <c r="D104" s="307">
        <v>16975</v>
      </c>
      <c r="E104" s="315">
        <v>42788</v>
      </c>
      <c r="F104" s="249" t="s">
        <v>560</v>
      </c>
      <c r="G104" s="314" t="s">
        <v>535</v>
      </c>
      <c r="H104" s="307">
        <v>500</v>
      </c>
      <c r="I104" s="307">
        <v>17500</v>
      </c>
      <c r="J104" s="561">
        <f t="shared" si="7"/>
        <v>262500</v>
      </c>
      <c r="K104" s="561"/>
      <c r="L104" s="561"/>
      <c r="S104" s="561">
        <f t="shared" si="4"/>
        <v>8750000</v>
      </c>
    </row>
    <row r="105" spans="3:19" ht="15">
      <c r="C105" s="307">
        <v>500</v>
      </c>
      <c r="D105" s="307">
        <v>15520</v>
      </c>
      <c r="E105" s="315">
        <v>42788</v>
      </c>
      <c r="F105" s="249" t="s">
        <v>561</v>
      </c>
      <c r="G105" s="314" t="s">
        <v>536</v>
      </c>
      <c r="H105" s="307">
        <v>500</v>
      </c>
      <c r="I105" s="307">
        <v>16000</v>
      </c>
      <c r="J105" s="561">
        <f t="shared" si="7"/>
        <v>240000</v>
      </c>
      <c r="K105" s="561"/>
      <c r="L105" s="561"/>
      <c r="S105" s="561">
        <f t="shared" si="4"/>
        <v>8000000</v>
      </c>
    </row>
    <row r="106" spans="3:19" ht="15">
      <c r="C106" s="307">
        <v>1800</v>
      </c>
      <c r="D106" s="307">
        <v>8245</v>
      </c>
      <c r="E106" s="315">
        <v>42789</v>
      </c>
      <c r="F106" s="249" t="s">
        <v>503</v>
      </c>
      <c r="G106" s="314" t="s">
        <v>537</v>
      </c>
      <c r="H106" s="307">
        <v>1800</v>
      </c>
      <c r="I106" s="307">
        <v>8500</v>
      </c>
      <c r="J106" s="561">
        <f t="shared" si="7"/>
        <v>459000</v>
      </c>
      <c r="K106" s="561"/>
      <c r="L106" s="561"/>
      <c r="S106" s="561">
        <f t="shared" si="4"/>
        <v>15300000</v>
      </c>
    </row>
    <row r="107" spans="3:19" ht="15">
      <c r="C107" s="307">
        <v>1063</v>
      </c>
      <c r="D107" s="307">
        <v>10185</v>
      </c>
      <c r="E107" s="315">
        <v>42789</v>
      </c>
      <c r="F107" s="249" t="s">
        <v>274</v>
      </c>
      <c r="G107" s="314" t="s">
        <v>538</v>
      </c>
      <c r="H107" s="307">
        <v>1063</v>
      </c>
      <c r="I107" s="307">
        <v>10500</v>
      </c>
      <c r="J107" s="561">
        <f t="shared" si="7"/>
        <v>334845</v>
      </c>
      <c r="K107" s="561"/>
      <c r="L107" s="561"/>
      <c r="S107" s="561">
        <f t="shared" si="4"/>
        <v>11161500</v>
      </c>
    </row>
    <row r="108" spans="3:19" ht="15">
      <c r="C108" s="307">
        <v>150</v>
      </c>
      <c r="D108" s="181">
        <v>33250</v>
      </c>
      <c r="E108" s="315">
        <v>42790</v>
      </c>
      <c r="F108" s="249" t="s">
        <v>504</v>
      </c>
      <c r="G108" s="314" t="s">
        <v>540</v>
      </c>
      <c r="H108" s="307">
        <v>150</v>
      </c>
      <c r="I108" s="307">
        <v>35000</v>
      </c>
      <c r="J108" s="561">
        <f>I108*H108-D108*C108</f>
        <v>262500</v>
      </c>
      <c r="K108" s="561">
        <f>IF(J108&gt;50000,1,0)</f>
        <v>1</v>
      </c>
      <c r="L108" s="561"/>
      <c r="M108">
        <f>C108*D108</f>
        <v>4987500</v>
      </c>
      <c r="N108" s="561"/>
      <c r="O108" s="561"/>
      <c r="S108" s="561">
        <f t="shared" si="4"/>
        <v>5250000</v>
      </c>
    </row>
    <row r="109" spans="3:19" ht="15">
      <c r="C109" s="307">
        <v>850</v>
      </c>
      <c r="D109" s="307">
        <v>34632</v>
      </c>
      <c r="E109" s="315">
        <v>42790</v>
      </c>
      <c r="F109" s="249" t="s">
        <v>504</v>
      </c>
      <c r="G109" s="314" t="s">
        <v>540</v>
      </c>
      <c r="H109" s="307">
        <v>850</v>
      </c>
      <c r="I109" s="307">
        <v>35000</v>
      </c>
      <c r="J109" s="561">
        <f t="shared" si="7"/>
        <v>312800</v>
      </c>
      <c r="K109" s="561">
        <f t="shared" si="6"/>
        <v>1</v>
      </c>
      <c r="L109" s="561"/>
      <c r="M109">
        <f>C109*D109</f>
        <v>29437200</v>
      </c>
      <c r="N109" s="561"/>
      <c r="O109" s="561"/>
      <c r="S109" s="561">
        <f t="shared" si="4"/>
        <v>29750000</v>
      </c>
    </row>
    <row r="110" spans="3:19" ht="15">
      <c r="C110" s="307"/>
      <c r="D110" s="307"/>
      <c r="E110" s="315">
        <v>42790</v>
      </c>
      <c r="F110" s="249" t="s">
        <v>504</v>
      </c>
      <c r="G110" s="314" t="s">
        <v>540</v>
      </c>
      <c r="H110" s="307">
        <v>850</v>
      </c>
      <c r="I110" s="307">
        <v>35000</v>
      </c>
      <c r="J110" s="561">
        <f>I110*H110-D110*C110</f>
        <v>29750000</v>
      </c>
      <c r="K110" s="561">
        <f>IF(J110&gt;50000,1,0)</f>
        <v>1</v>
      </c>
      <c r="L110" s="561"/>
      <c r="M110">
        <f>C110*D110</f>
        <v>0</v>
      </c>
      <c r="N110" s="561"/>
      <c r="O110" s="561"/>
      <c r="S110" s="561">
        <f t="shared" si="4"/>
        <v>29750000</v>
      </c>
    </row>
    <row r="111" spans="3:19" ht="15">
      <c r="C111" s="567">
        <v>518</v>
      </c>
      <c r="D111" s="567">
        <v>31145.088803088802</v>
      </c>
      <c r="E111" s="315">
        <v>42790</v>
      </c>
      <c r="F111" s="249" t="s">
        <v>505</v>
      </c>
      <c r="G111" s="314" t="s">
        <v>540</v>
      </c>
      <c r="H111" s="307">
        <v>518</v>
      </c>
      <c r="I111" s="307">
        <v>32500</v>
      </c>
      <c r="J111" s="561">
        <f>I111*H111-D111*C111</f>
        <v>701844</v>
      </c>
      <c r="K111" s="561">
        <f>IF(J111&gt;50000,1,0)</f>
        <v>1</v>
      </c>
      <c r="L111" s="561"/>
      <c r="M111">
        <f>C111*D111</f>
        <v>16133156</v>
      </c>
      <c r="N111" s="561"/>
      <c r="O111" s="561"/>
      <c r="S111" s="561">
        <f t="shared" si="4"/>
        <v>16835000</v>
      </c>
    </row>
    <row r="112" spans="3:19" ht="15">
      <c r="C112" s="307">
        <v>3111</v>
      </c>
      <c r="D112" s="307">
        <v>17945</v>
      </c>
      <c r="E112" s="315">
        <v>42790</v>
      </c>
      <c r="F112" s="249" t="s">
        <v>274</v>
      </c>
      <c r="G112" s="314" t="s">
        <v>540</v>
      </c>
      <c r="H112" s="307">
        <v>3111</v>
      </c>
      <c r="I112" s="307">
        <v>18500</v>
      </c>
      <c r="J112" s="561">
        <f t="shared" si="7"/>
        <v>1726605</v>
      </c>
      <c r="K112" s="561"/>
      <c r="L112" s="561"/>
      <c r="M112" s="561"/>
      <c r="N112" s="561"/>
      <c r="O112" s="561"/>
      <c r="S112" s="561">
        <f t="shared" si="4"/>
        <v>57553500</v>
      </c>
    </row>
    <row r="113" spans="3:19" ht="15">
      <c r="C113" s="307">
        <v>3800</v>
      </c>
      <c r="D113" s="307">
        <v>17945</v>
      </c>
      <c r="E113" s="315">
        <v>42790</v>
      </c>
      <c r="F113" s="249" t="s">
        <v>503</v>
      </c>
      <c r="G113" s="314" t="s">
        <v>540</v>
      </c>
      <c r="H113" s="307">
        <v>3800</v>
      </c>
      <c r="I113" s="307">
        <v>18500</v>
      </c>
      <c r="J113" s="561">
        <f t="shared" si="7"/>
        <v>2109000</v>
      </c>
      <c r="K113" s="561"/>
      <c r="L113" s="561"/>
      <c r="S113" s="561">
        <f t="shared" si="4"/>
        <v>70300000</v>
      </c>
    </row>
    <row r="114" spans="3:19" ht="15">
      <c r="C114" s="307">
        <v>100</v>
      </c>
      <c r="D114" s="307">
        <v>28492</v>
      </c>
      <c r="E114" s="315">
        <v>42791</v>
      </c>
      <c r="F114" s="249" t="s">
        <v>563</v>
      </c>
      <c r="G114" s="314" t="s">
        <v>541</v>
      </c>
      <c r="H114" s="307">
        <v>100</v>
      </c>
      <c r="I114" s="307">
        <v>29070</v>
      </c>
      <c r="J114" s="561">
        <f t="shared" si="7"/>
        <v>57800</v>
      </c>
      <c r="K114" s="561"/>
      <c r="L114" s="561"/>
      <c r="S114" s="561">
        <f t="shared" si="4"/>
        <v>2907000</v>
      </c>
    </row>
    <row r="115" spans="3:19" ht="15">
      <c r="C115" s="307">
        <v>18</v>
      </c>
      <c r="D115" s="307">
        <v>20580</v>
      </c>
      <c r="E115" s="315">
        <v>42791</v>
      </c>
      <c r="F115" s="249" t="s">
        <v>564</v>
      </c>
      <c r="G115" s="314" t="s">
        <v>541</v>
      </c>
      <c r="H115" s="307">
        <v>18</v>
      </c>
      <c r="I115" s="307">
        <v>21000</v>
      </c>
      <c r="J115" s="561">
        <f t="shared" si="7"/>
        <v>7560</v>
      </c>
      <c r="K115" s="561">
        <f t="shared" si="6"/>
        <v>0</v>
      </c>
      <c r="L115" s="561"/>
      <c r="M115" s="561"/>
      <c r="N115" s="561"/>
      <c r="O115" s="561"/>
      <c r="S115" s="561">
        <f t="shared" si="4"/>
        <v>378000</v>
      </c>
    </row>
    <row r="116" spans="3:19" ht="15">
      <c r="C116" s="581">
        <v>620</v>
      </c>
      <c r="D116" s="307">
        <v>17654</v>
      </c>
      <c r="E116" s="315">
        <v>42791</v>
      </c>
      <c r="F116" s="249" t="s">
        <v>558</v>
      </c>
      <c r="G116" s="314" t="s">
        <v>541</v>
      </c>
      <c r="H116" s="307">
        <v>620</v>
      </c>
      <c r="I116" s="307">
        <v>18200</v>
      </c>
      <c r="J116" s="561">
        <f t="shared" si="7"/>
        <v>338520</v>
      </c>
      <c r="K116" s="561">
        <f t="shared" si="6"/>
        <v>1</v>
      </c>
      <c r="L116" s="561"/>
      <c r="M116">
        <f>C116*D116</f>
        <v>10945480</v>
      </c>
      <c r="N116" s="561"/>
      <c r="O116" s="561"/>
      <c r="S116" s="561">
        <f t="shared" si="4"/>
        <v>11284000</v>
      </c>
    </row>
    <row r="117" spans="3:19" ht="15">
      <c r="C117" s="307">
        <v>90</v>
      </c>
      <c r="D117" s="307">
        <v>17250</v>
      </c>
      <c r="E117" s="315">
        <v>42791</v>
      </c>
      <c r="F117" s="249" t="s">
        <v>704</v>
      </c>
      <c r="G117" s="314" t="s">
        <v>542</v>
      </c>
      <c r="H117" s="307">
        <v>90</v>
      </c>
      <c r="I117" s="307">
        <v>17602</v>
      </c>
      <c r="J117" s="561">
        <f t="shared" si="7"/>
        <v>31680</v>
      </c>
      <c r="K117" s="561">
        <f t="shared" si="6"/>
        <v>0</v>
      </c>
      <c r="L117" s="561"/>
      <c r="S117" s="561">
        <f t="shared" si="4"/>
        <v>1584180</v>
      </c>
    </row>
    <row r="118" spans="3:19" ht="15">
      <c r="C118" s="307">
        <v>24</v>
      </c>
      <c r="D118" s="307">
        <v>40351</v>
      </c>
      <c r="E118" s="315">
        <v>42791</v>
      </c>
      <c r="F118" s="249" t="s">
        <v>709</v>
      </c>
      <c r="G118" s="314" t="s">
        <v>542</v>
      </c>
      <c r="H118" s="307">
        <v>24</v>
      </c>
      <c r="I118" s="307">
        <v>41174</v>
      </c>
      <c r="J118" s="561">
        <f t="shared" si="7"/>
        <v>19752</v>
      </c>
      <c r="K118" s="561">
        <f t="shared" si="6"/>
        <v>0</v>
      </c>
      <c r="L118" s="561"/>
      <c r="M118" s="561"/>
      <c r="N118" s="561"/>
      <c r="O118" s="561"/>
      <c r="S118" s="561">
        <f t="shared" si="4"/>
        <v>988176</v>
      </c>
    </row>
    <row r="119" spans="3:19" ht="15">
      <c r="C119" s="307">
        <v>24</v>
      </c>
      <c r="D119" s="307">
        <v>48271</v>
      </c>
      <c r="E119" s="315">
        <v>42791</v>
      </c>
      <c r="F119" s="249" t="s">
        <v>712</v>
      </c>
      <c r="G119" s="314" t="s">
        <v>542</v>
      </c>
      <c r="H119" s="307">
        <v>24</v>
      </c>
      <c r="I119" s="307">
        <v>49256</v>
      </c>
      <c r="J119" s="561">
        <f t="shared" si="7"/>
        <v>23640</v>
      </c>
      <c r="K119" s="561">
        <f t="shared" si="6"/>
        <v>0</v>
      </c>
      <c r="L119" s="561"/>
      <c r="M119" s="561"/>
      <c r="N119" s="561"/>
      <c r="O119" s="561"/>
      <c r="S119" s="561">
        <f t="shared" si="4"/>
        <v>1182144</v>
      </c>
    </row>
    <row r="120" spans="3:19" ht="15">
      <c r="C120" s="307">
        <v>48</v>
      </c>
      <c r="D120" s="307">
        <v>8229</v>
      </c>
      <c r="E120" s="315">
        <v>42791</v>
      </c>
      <c r="F120" s="249" t="s">
        <v>724</v>
      </c>
      <c r="G120" s="314" t="s">
        <v>542</v>
      </c>
      <c r="H120" s="307">
        <v>48</v>
      </c>
      <c r="I120" s="307">
        <v>8397</v>
      </c>
      <c r="J120" s="561">
        <f t="shared" si="7"/>
        <v>8064</v>
      </c>
      <c r="K120" s="561">
        <f t="shared" si="6"/>
        <v>0</v>
      </c>
      <c r="L120" s="561"/>
      <c r="M120" s="561"/>
      <c r="N120" s="561"/>
      <c r="O120" s="561"/>
      <c r="S120" s="561">
        <f t="shared" si="4"/>
        <v>403056</v>
      </c>
    </row>
    <row r="121" spans="3:19" ht="15">
      <c r="C121" s="307">
        <v>144</v>
      </c>
      <c r="D121" s="307">
        <v>6385</v>
      </c>
      <c r="E121" s="315">
        <v>42791</v>
      </c>
      <c r="F121" s="249" t="s">
        <v>749</v>
      </c>
      <c r="G121" s="314" t="s">
        <v>542</v>
      </c>
      <c r="H121" s="307">
        <v>144</v>
      </c>
      <c r="I121" s="307">
        <v>6515</v>
      </c>
      <c r="J121" s="561">
        <f t="shared" si="7"/>
        <v>18720</v>
      </c>
      <c r="K121" s="561">
        <f t="shared" si="6"/>
        <v>0</v>
      </c>
      <c r="L121" s="561"/>
      <c r="M121" s="561"/>
      <c r="N121" s="561"/>
      <c r="O121" s="561"/>
      <c r="S121" s="561">
        <f t="shared" si="4"/>
        <v>938160</v>
      </c>
    </row>
    <row r="122" spans="3:19" ht="15">
      <c r="C122" s="307">
        <v>108</v>
      </c>
      <c r="D122" s="307">
        <v>9275</v>
      </c>
      <c r="E122" s="315">
        <v>42791</v>
      </c>
      <c r="F122" s="249" t="s">
        <v>670</v>
      </c>
      <c r="G122" s="314" t="s">
        <v>542</v>
      </c>
      <c r="H122" s="307">
        <v>108</v>
      </c>
      <c r="I122" s="307">
        <v>9464</v>
      </c>
      <c r="J122" s="561">
        <f t="shared" si="7"/>
        <v>20412</v>
      </c>
      <c r="K122" s="561">
        <f t="shared" si="6"/>
        <v>0</v>
      </c>
      <c r="L122" s="561"/>
      <c r="M122" s="561"/>
      <c r="N122" s="561"/>
      <c r="O122" s="561"/>
      <c r="S122" s="561">
        <f t="shared" si="4"/>
        <v>1022112</v>
      </c>
    </row>
    <row r="123" spans="3:19" ht="15">
      <c r="C123" s="307">
        <v>8</v>
      </c>
      <c r="D123" s="307">
        <v>75446</v>
      </c>
      <c r="E123" s="315">
        <v>42791</v>
      </c>
      <c r="F123" s="249" t="s">
        <v>750</v>
      </c>
      <c r="G123" s="314" t="s">
        <v>542</v>
      </c>
      <c r="H123" s="307">
        <v>8</v>
      </c>
      <c r="I123" s="307">
        <v>76986</v>
      </c>
      <c r="J123" s="561">
        <f t="shared" si="7"/>
        <v>12320</v>
      </c>
      <c r="K123" s="561">
        <f t="shared" si="6"/>
        <v>0</v>
      </c>
      <c r="L123" s="561"/>
      <c r="M123" s="561"/>
      <c r="N123" s="561"/>
      <c r="O123" s="561"/>
      <c r="S123" s="561">
        <f t="shared" si="4"/>
        <v>615888</v>
      </c>
    </row>
    <row r="124" spans="3:19" ht="15">
      <c r="C124" s="307">
        <v>24</v>
      </c>
      <c r="D124" s="307">
        <v>48224</v>
      </c>
      <c r="E124" s="315">
        <v>42791</v>
      </c>
      <c r="F124" s="249" t="s">
        <v>714</v>
      </c>
      <c r="G124" s="314" t="s">
        <v>542</v>
      </c>
      <c r="H124" s="307">
        <v>24</v>
      </c>
      <c r="I124" s="307">
        <v>49208</v>
      </c>
      <c r="J124" s="561">
        <f t="shared" si="7"/>
        <v>23616</v>
      </c>
      <c r="K124" s="561">
        <f t="shared" si="6"/>
        <v>0</v>
      </c>
      <c r="L124" s="561"/>
      <c r="M124" s="561"/>
      <c r="N124" s="561"/>
      <c r="O124" s="561"/>
      <c r="S124" s="561">
        <f t="shared" si="4"/>
        <v>1180992</v>
      </c>
    </row>
    <row r="125" spans="3:19" ht="15">
      <c r="C125" s="307">
        <v>50</v>
      </c>
      <c r="D125" s="307">
        <v>15729</v>
      </c>
      <c r="E125" s="315">
        <v>42791</v>
      </c>
      <c r="F125" s="249" t="s">
        <v>751</v>
      </c>
      <c r="G125" s="314" t="s">
        <v>542</v>
      </c>
      <c r="H125" s="307">
        <v>50</v>
      </c>
      <c r="I125" s="307">
        <v>16050</v>
      </c>
      <c r="J125" s="561">
        <f t="shared" si="7"/>
        <v>16050</v>
      </c>
      <c r="K125" s="561">
        <f t="shared" si="6"/>
        <v>0</v>
      </c>
      <c r="L125" s="561"/>
      <c r="M125" s="561"/>
      <c r="N125" s="561"/>
      <c r="O125" s="561"/>
      <c r="S125" s="561">
        <f t="shared" si="4"/>
        <v>802500</v>
      </c>
    </row>
    <row r="126" spans="3:19" ht="15">
      <c r="C126" s="307">
        <v>117</v>
      </c>
      <c r="D126" s="307">
        <v>10081</v>
      </c>
      <c r="E126" s="315">
        <v>42791</v>
      </c>
      <c r="F126" s="249" t="s">
        <v>752</v>
      </c>
      <c r="G126" s="314" t="s">
        <v>542</v>
      </c>
      <c r="H126" s="307">
        <v>117</v>
      </c>
      <c r="I126" s="307">
        <v>10287</v>
      </c>
      <c r="J126" s="561">
        <f t="shared" si="7"/>
        <v>24102</v>
      </c>
      <c r="K126" s="561">
        <f t="shared" si="6"/>
        <v>0</v>
      </c>
      <c r="L126" s="561"/>
      <c r="M126" s="561"/>
      <c r="N126" s="561"/>
      <c r="O126" s="561"/>
      <c r="S126" s="561">
        <f t="shared" si="4"/>
        <v>1203579</v>
      </c>
    </row>
    <row r="127" spans="3:19" ht="15">
      <c r="C127" s="307">
        <v>50</v>
      </c>
      <c r="D127" s="307">
        <v>32556</v>
      </c>
      <c r="E127" s="315">
        <v>42791</v>
      </c>
      <c r="F127" s="249" t="s">
        <v>626</v>
      </c>
      <c r="G127" s="314" t="s">
        <v>542</v>
      </c>
      <c r="H127" s="307">
        <v>50</v>
      </c>
      <c r="I127" s="307">
        <v>33220</v>
      </c>
      <c r="J127" s="561">
        <f t="shared" si="7"/>
        <v>33200</v>
      </c>
      <c r="K127" s="561">
        <f t="shared" si="6"/>
        <v>0</v>
      </c>
      <c r="L127" s="561"/>
      <c r="M127" s="561"/>
      <c r="N127" s="561"/>
      <c r="O127" s="561"/>
      <c r="S127" s="561">
        <f t="shared" si="4"/>
        <v>1661000</v>
      </c>
    </row>
    <row r="128" spans="3:19" ht="15">
      <c r="C128" s="307">
        <v>234</v>
      </c>
      <c r="D128" s="307">
        <v>48822</v>
      </c>
      <c r="E128" s="315">
        <v>42791</v>
      </c>
      <c r="F128" s="249" t="s">
        <v>627</v>
      </c>
      <c r="G128" s="314" t="s">
        <v>542</v>
      </c>
      <c r="H128" s="307">
        <v>234</v>
      </c>
      <c r="I128" s="307">
        <v>49818</v>
      </c>
      <c r="J128" s="561">
        <f t="shared" si="7"/>
        <v>233064</v>
      </c>
      <c r="K128" s="561">
        <f t="shared" si="6"/>
        <v>1</v>
      </c>
      <c r="L128" s="561"/>
      <c r="M128">
        <f>C128*D128</f>
        <v>11424348</v>
      </c>
      <c r="N128" s="561"/>
      <c r="O128" s="561"/>
      <c r="S128" s="561">
        <f t="shared" si="4"/>
        <v>11657412</v>
      </c>
    </row>
    <row r="129" spans="3:19" ht="15">
      <c r="C129" s="307">
        <v>39</v>
      </c>
      <c r="D129" s="307">
        <v>38645</v>
      </c>
      <c r="E129" s="315">
        <v>42791</v>
      </c>
      <c r="F129" s="249" t="s">
        <v>753</v>
      </c>
      <c r="G129" s="314" t="s">
        <v>542</v>
      </c>
      <c r="H129" s="307">
        <v>39</v>
      </c>
      <c r="I129" s="307">
        <v>39434</v>
      </c>
      <c r="J129" s="561">
        <f t="shared" si="7"/>
        <v>30771</v>
      </c>
      <c r="K129" s="561">
        <f t="shared" si="6"/>
        <v>0</v>
      </c>
      <c r="L129" s="561"/>
      <c r="M129" s="561"/>
      <c r="N129" s="561"/>
      <c r="O129" s="561"/>
      <c r="S129" s="561">
        <f t="shared" si="4"/>
        <v>1537926</v>
      </c>
    </row>
    <row r="130" spans="3:19" ht="15">
      <c r="C130" s="307">
        <v>12</v>
      </c>
      <c r="D130" s="307">
        <v>20357</v>
      </c>
      <c r="E130" s="315">
        <v>42791</v>
      </c>
      <c r="F130" s="249" t="s">
        <v>710</v>
      </c>
      <c r="G130" s="314" t="s">
        <v>542</v>
      </c>
      <c r="H130" s="307">
        <v>12</v>
      </c>
      <c r="I130" s="307">
        <v>20772</v>
      </c>
      <c r="J130" s="561">
        <f t="shared" si="7"/>
        <v>4980</v>
      </c>
      <c r="K130" s="561">
        <f t="shared" si="6"/>
        <v>0</v>
      </c>
      <c r="L130" s="561"/>
      <c r="M130" s="561"/>
      <c r="N130" s="561"/>
      <c r="O130" s="561"/>
      <c r="S130" s="561">
        <f t="shared" ref="S130:S193" si="8">ROUND(H130*I130,0)</f>
        <v>249264</v>
      </c>
    </row>
    <row r="131" spans="3:19" ht="15">
      <c r="C131" s="307">
        <v>48</v>
      </c>
      <c r="D131" s="307">
        <v>59826</v>
      </c>
      <c r="E131" s="315">
        <v>42791</v>
      </c>
      <c r="F131" s="249" t="s">
        <v>754</v>
      </c>
      <c r="G131" s="314" t="s">
        <v>542</v>
      </c>
      <c r="H131" s="307">
        <v>48</v>
      </c>
      <c r="I131" s="307">
        <v>61047</v>
      </c>
      <c r="J131" s="561">
        <f t="shared" si="7"/>
        <v>58608</v>
      </c>
      <c r="K131" s="561"/>
      <c r="L131" s="561"/>
      <c r="M131" s="561"/>
      <c r="N131" s="561"/>
      <c r="O131" s="561"/>
      <c r="S131" s="561">
        <f t="shared" si="8"/>
        <v>2930256</v>
      </c>
    </row>
    <row r="132" spans="3:19" ht="15">
      <c r="C132" s="307">
        <v>15</v>
      </c>
      <c r="D132" s="307">
        <v>84068</v>
      </c>
      <c r="E132" s="315">
        <v>42791</v>
      </c>
      <c r="F132" s="249" t="s">
        <v>737</v>
      </c>
      <c r="G132" s="314" t="s">
        <v>542</v>
      </c>
      <c r="H132" s="307">
        <v>45</v>
      </c>
      <c r="I132" s="307">
        <v>85785</v>
      </c>
      <c r="J132" s="561">
        <f t="shared" si="7"/>
        <v>2599305</v>
      </c>
      <c r="K132" s="561">
        <f t="shared" si="6"/>
        <v>1</v>
      </c>
      <c r="L132" s="561"/>
      <c r="M132">
        <f>C132*D132</f>
        <v>1261020</v>
      </c>
      <c r="N132" s="561"/>
      <c r="O132" s="561"/>
      <c r="S132" s="561">
        <f t="shared" si="8"/>
        <v>3860325</v>
      </c>
    </row>
    <row r="133" spans="3:19" ht="15">
      <c r="C133" s="307">
        <v>12</v>
      </c>
      <c r="D133" s="307">
        <v>65822</v>
      </c>
      <c r="E133" s="315">
        <v>42791</v>
      </c>
      <c r="F133" s="249" t="s">
        <v>755</v>
      </c>
      <c r="G133" s="314" t="s">
        <v>542</v>
      </c>
      <c r="H133" s="307">
        <v>12</v>
      </c>
      <c r="I133" s="307">
        <v>67165</v>
      </c>
      <c r="J133" s="561">
        <f t="shared" si="7"/>
        <v>16116</v>
      </c>
      <c r="K133" s="561">
        <f t="shared" si="6"/>
        <v>0</v>
      </c>
      <c r="L133" s="561"/>
      <c r="M133" s="561"/>
      <c r="N133" s="561"/>
      <c r="O133" s="561"/>
      <c r="S133" s="561">
        <f t="shared" si="8"/>
        <v>805980</v>
      </c>
    </row>
    <row r="134" spans="3:19" ht="15">
      <c r="C134" s="307">
        <v>35</v>
      </c>
      <c r="D134" s="307">
        <v>58672</v>
      </c>
      <c r="E134" s="315">
        <v>42791</v>
      </c>
      <c r="F134" s="249" t="s">
        <v>667</v>
      </c>
      <c r="G134" s="314" t="s">
        <v>542</v>
      </c>
      <c r="H134" s="307">
        <v>35</v>
      </c>
      <c r="I134" s="307">
        <v>59869</v>
      </c>
      <c r="J134" s="561">
        <f t="shared" si="7"/>
        <v>41895</v>
      </c>
      <c r="K134" s="561">
        <f t="shared" si="6"/>
        <v>0</v>
      </c>
      <c r="L134" s="561"/>
      <c r="M134" s="561"/>
      <c r="N134" s="561"/>
      <c r="O134" s="561"/>
      <c r="S134" s="561">
        <f t="shared" si="8"/>
        <v>2095415</v>
      </c>
    </row>
    <row r="135" spans="3:19" ht="15">
      <c r="C135" s="307">
        <v>70</v>
      </c>
      <c r="D135" s="307">
        <v>37751</v>
      </c>
      <c r="E135" s="315">
        <v>42791</v>
      </c>
      <c r="F135" s="249" t="s">
        <v>756</v>
      </c>
      <c r="G135" s="314" t="s">
        <v>542</v>
      </c>
      <c r="H135" s="307">
        <v>70</v>
      </c>
      <c r="I135" s="307">
        <v>38521</v>
      </c>
      <c r="J135" s="561">
        <f t="shared" si="7"/>
        <v>53900</v>
      </c>
      <c r="K135" s="561"/>
      <c r="L135" s="561"/>
      <c r="M135" s="561"/>
      <c r="N135" s="561"/>
      <c r="O135" s="561"/>
      <c r="S135" s="561">
        <f t="shared" si="8"/>
        <v>2696470</v>
      </c>
    </row>
    <row r="136" spans="3:19" ht="15">
      <c r="C136" s="307">
        <v>12</v>
      </c>
      <c r="D136" s="307">
        <v>44677</v>
      </c>
      <c r="E136" s="315">
        <v>42791</v>
      </c>
      <c r="F136" s="249" t="s">
        <v>757</v>
      </c>
      <c r="G136" s="314" t="s">
        <v>542</v>
      </c>
      <c r="H136" s="307">
        <v>12</v>
      </c>
      <c r="I136" s="307">
        <v>45589</v>
      </c>
      <c r="J136" s="561">
        <f t="shared" si="7"/>
        <v>10944</v>
      </c>
      <c r="K136" s="561">
        <f t="shared" ref="K136:K146" si="9">IF(J136&gt;50000,1,0)</f>
        <v>0</v>
      </c>
      <c r="L136" s="561"/>
      <c r="M136" s="561"/>
      <c r="N136" s="561"/>
      <c r="O136" s="561"/>
      <c r="S136" s="561">
        <f t="shared" si="8"/>
        <v>547068</v>
      </c>
    </row>
    <row r="137" spans="3:19" ht="15">
      <c r="C137" s="307">
        <v>36</v>
      </c>
      <c r="D137" s="307">
        <v>77954</v>
      </c>
      <c r="E137" s="315">
        <v>42791</v>
      </c>
      <c r="F137" s="249" t="s">
        <v>758</v>
      </c>
      <c r="G137" s="314" t="s">
        <v>542</v>
      </c>
      <c r="H137" s="307">
        <v>36</v>
      </c>
      <c r="I137" s="307">
        <v>79545</v>
      </c>
      <c r="J137" s="561">
        <f t="shared" si="7"/>
        <v>57276</v>
      </c>
      <c r="K137" s="561"/>
      <c r="L137" s="561"/>
      <c r="M137" s="561"/>
      <c r="N137" s="561"/>
      <c r="O137" s="561"/>
      <c r="S137" s="561">
        <f t="shared" si="8"/>
        <v>2863620</v>
      </c>
    </row>
    <row r="138" spans="3:19" ht="15">
      <c r="C138" s="307">
        <v>4</v>
      </c>
      <c r="D138" s="307">
        <v>210433</v>
      </c>
      <c r="E138" s="315">
        <v>42791</v>
      </c>
      <c r="F138" s="249" t="s">
        <v>741</v>
      </c>
      <c r="G138" s="314" t="s">
        <v>542</v>
      </c>
      <c r="H138" s="307">
        <v>4</v>
      </c>
      <c r="I138" s="307">
        <v>214662</v>
      </c>
      <c r="J138" s="561">
        <f t="shared" si="7"/>
        <v>16916</v>
      </c>
      <c r="K138" s="561">
        <f t="shared" si="9"/>
        <v>0</v>
      </c>
      <c r="L138" s="561"/>
      <c r="M138" s="592">
        <f>I138*98%</f>
        <v>210368.76</v>
      </c>
      <c r="N138" s="561"/>
      <c r="O138" s="561"/>
      <c r="S138" s="561">
        <f t="shared" si="8"/>
        <v>858648</v>
      </c>
    </row>
    <row r="139" spans="3:19" ht="15">
      <c r="C139" s="307">
        <v>100</v>
      </c>
      <c r="D139" s="307">
        <v>31841</v>
      </c>
      <c r="E139" s="315">
        <v>42791</v>
      </c>
      <c r="F139" s="249" t="s">
        <v>759</v>
      </c>
      <c r="G139" s="314" t="s">
        <v>542</v>
      </c>
      <c r="H139" s="307">
        <v>100</v>
      </c>
      <c r="I139" s="307">
        <v>32490</v>
      </c>
      <c r="J139" s="561">
        <f t="shared" si="7"/>
        <v>64900</v>
      </c>
      <c r="K139" s="561">
        <f t="shared" si="9"/>
        <v>1</v>
      </c>
      <c r="L139" s="561"/>
      <c r="M139">
        <f>C139*D139</f>
        <v>3184100</v>
      </c>
      <c r="S139" s="561">
        <f t="shared" si="8"/>
        <v>3249000</v>
      </c>
    </row>
    <row r="140" spans="3:19" ht="15">
      <c r="C140" s="307">
        <v>10</v>
      </c>
      <c r="D140" s="307">
        <v>35341</v>
      </c>
      <c r="E140" s="315">
        <v>42791</v>
      </c>
      <c r="F140" s="249" t="s">
        <v>683</v>
      </c>
      <c r="G140" s="314" t="s">
        <v>542</v>
      </c>
      <c r="H140" s="307">
        <v>10</v>
      </c>
      <c r="I140" s="307">
        <v>36061</v>
      </c>
      <c r="J140" s="561">
        <f t="shared" si="7"/>
        <v>7200</v>
      </c>
      <c r="K140" s="561">
        <f t="shared" si="9"/>
        <v>0</v>
      </c>
      <c r="L140" s="561"/>
      <c r="M140" s="561"/>
      <c r="N140" s="561"/>
      <c r="O140" s="561"/>
      <c r="S140" s="561">
        <f t="shared" si="8"/>
        <v>360610</v>
      </c>
    </row>
    <row r="141" spans="3:19" ht="15">
      <c r="C141" s="307">
        <v>36</v>
      </c>
      <c r="D141" s="307">
        <v>24752</v>
      </c>
      <c r="E141" s="315">
        <v>42791</v>
      </c>
      <c r="F141" s="249" t="s">
        <v>629</v>
      </c>
      <c r="G141" s="314" t="s">
        <v>542</v>
      </c>
      <c r="H141" s="307">
        <v>36</v>
      </c>
      <c r="I141" s="307">
        <v>25257</v>
      </c>
      <c r="J141" s="561">
        <f t="shared" si="7"/>
        <v>18180</v>
      </c>
      <c r="K141" s="561">
        <f t="shared" si="9"/>
        <v>0</v>
      </c>
      <c r="L141" s="561"/>
      <c r="M141" s="561"/>
      <c r="N141" s="561"/>
      <c r="O141" s="561"/>
      <c r="S141" s="561">
        <f t="shared" si="8"/>
        <v>909252</v>
      </c>
    </row>
    <row r="142" spans="3:19" ht="15">
      <c r="C142" s="307">
        <v>40</v>
      </c>
      <c r="D142" s="307">
        <v>26336</v>
      </c>
      <c r="E142" s="315">
        <v>42791</v>
      </c>
      <c r="F142" s="249" t="s">
        <v>760</v>
      </c>
      <c r="G142" s="314" t="s">
        <v>542</v>
      </c>
      <c r="H142" s="307">
        <v>40</v>
      </c>
      <c r="I142" s="307">
        <v>26873</v>
      </c>
      <c r="J142" s="561">
        <f t="shared" si="7"/>
        <v>21480</v>
      </c>
      <c r="K142" s="561">
        <f t="shared" si="9"/>
        <v>0</v>
      </c>
      <c r="L142" s="561"/>
      <c r="M142" s="561"/>
      <c r="N142" s="561"/>
      <c r="O142" s="561"/>
      <c r="S142" s="561">
        <f t="shared" si="8"/>
        <v>1074920</v>
      </c>
    </row>
    <row r="143" spans="3:19" ht="15">
      <c r="C143" s="307">
        <v>36</v>
      </c>
      <c r="D143" s="307">
        <v>34979</v>
      </c>
      <c r="E143" s="315">
        <v>42791</v>
      </c>
      <c r="F143" s="249" t="s">
        <v>761</v>
      </c>
      <c r="G143" s="314" t="s">
        <v>542</v>
      </c>
      <c r="H143" s="307">
        <v>36</v>
      </c>
      <c r="I143" s="307">
        <v>35693</v>
      </c>
      <c r="J143" s="561">
        <f t="shared" si="7"/>
        <v>25704</v>
      </c>
      <c r="K143" s="561">
        <f t="shared" si="9"/>
        <v>0</v>
      </c>
      <c r="L143" s="561"/>
      <c r="M143" s="561"/>
      <c r="N143" s="561"/>
      <c r="O143" s="561"/>
      <c r="S143" s="561">
        <f t="shared" si="8"/>
        <v>1284948</v>
      </c>
    </row>
    <row r="144" spans="3:19" ht="15">
      <c r="C144" s="307">
        <v>12</v>
      </c>
      <c r="D144" s="307">
        <v>34801</v>
      </c>
      <c r="E144" s="315">
        <v>42791</v>
      </c>
      <c r="F144" s="249" t="s">
        <v>630</v>
      </c>
      <c r="G144" s="314" t="s">
        <v>542</v>
      </c>
      <c r="H144" s="307">
        <v>12</v>
      </c>
      <c r="I144" s="307">
        <v>35511</v>
      </c>
      <c r="J144" s="561">
        <f t="shared" si="7"/>
        <v>8520</v>
      </c>
      <c r="K144" s="561">
        <f t="shared" si="9"/>
        <v>0</v>
      </c>
      <c r="L144" s="561"/>
      <c r="M144" s="561"/>
      <c r="N144" s="561"/>
      <c r="O144" s="561"/>
      <c r="S144" s="561">
        <f t="shared" si="8"/>
        <v>426132</v>
      </c>
    </row>
    <row r="145" spans="3:20" ht="15">
      <c r="C145" s="307">
        <v>24</v>
      </c>
      <c r="D145" s="307">
        <v>46680</v>
      </c>
      <c r="E145" s="315">
        <v>42791</v>
      </c>
      <c r="F145" s="249" t="s">
        <v>762</v>
      </c>
      <c r="G145" s="314" t="s">
        <v>542</v>
      </c>
      <c r="H145" s="307">
        <v>24</v>
      </c>
      <c r="I145" s="307">
        <v>47633</v>
      </c>
      <c r="J145" s="561">
        <f t="shared" si="7"/>
        <v>22872</v>
      </c>
      <c r="K145" s="561">
        <f t="shared" si="9"/>
        <v>0</v>
      </c>
      <c r="L145" s="561"/>
      <c r="M145" s="561"/>
      <c r="N145" s="561"/>
      <c r="O145" s="561"/>
      <c r="S145" s="561">
        <f t="shared" si="8"/>
        <v>1143192</v>
      </c>
    </row>
    <row r="146" spans="3:20" ht="15">
      <c r="C146" s="307">
        <v>500</v>
      </c>
      <c r="D146" s="307">
        <v>3880</v>
      </c>
      <c r="E146" s="315">
        <v>42793</v>
      </c>
      <c r="F146" s="249" t="s">
        <v>567</v>
      </c>
      <c r="G146" s="314" t="s">
        <v>544</v>
      </c>
      <c r="H146" s="307">
        <v>500</v>
      </c>
      <c r="I146" s="307">
        <v>4000</v>
      </c>
      <c r="J146" s="561">
        <f t="shared" si="7"/>
        <v>60000</v>
      </c>
      <c r="K146" s="561">
        <f t="shared" si="9"/>
        <v>1</v>
      </c>
      <c r="L146" s="561"/>
      <c r="M146">
        <f>C146*D146</f>
        <v>1940000</v>
      </c>
      <c r="N146" s="561"/>
      <c r="O146" s="561"/>
      <c r="S146" s="561">
        <f t="shared" si="8"/>
        <v>2000000</v>
      </c>
    </row>
    <row r="147" spans="3:20" ht="15">
      <c r="C147" s="307">
        <v>1400</v>
      </c>
      <c r="D147" s="307">
        <v>8245</v>
      </c>
      <c r="E147" s="315">
        <v>42793</v>
      </c>
      <c r="F147" s="249" t="s">
        <v>503</v>
      </c>
      <c r="G147" s="314" t="s">
        <v>544</v>
      </c>
      <c r="H147" s="307">
        <v>1400</v>
      </c>
      <c r="I147" s="307">
        <v>8500</v>
      </c>
      <c r="J147" s="561">
        <f t="shared" ref="J147:J211" si="10">I147*H147-D147*C147</f>
        <v>357000</v>
      </c>
      <c r="K147" s="561">
        <f t="shared" ref="K147:K211" si="11">IF(J147&gt;50000,1,0)</f>
        <v>1</v>
      </c>
      <c r="L147" s="561"/>
      <c r="S147" s="561">
        <f t="shared" si="8"/>
        <v>11900000</v>
      </c>
    </row>
    <row r="148" spans="3:20" ht="15">
      <c r="C148" s="307">
        <v>42000</v>
      </c>
      <c r="D148" s="307">
        <v>8300</v>
      </c>
      <c r="E148" s="315">
        <v>42794</v>
      </c>
      <c r="F148" s="249" t="s">
        <v>380</v>
      </c>
      <c r="G148" s="314" t="s">
        <v>788</v>
      </c>
      <c r="H148" s="307">
        <v>42000</v>
      </c>
      <c r="I148" s="307">
        <v>8400</v>
      </c>
      <c r="J148" s="561">
        <f t="shared" si="10"/>
        <v>4200000</v>
      </c>
      <c r="K148" s="561">
        <f t="shared" si="11"/>
        <v>1</v>
      </c>
      <c r="L148" s="561"/>
      <c r="S148" s="561">
        <f t="shared" si="8"/>
        <v>352800000</v>
      </c>
    </row>
    <row r="149" spans="3:20" ht="15">
      <c r="C149" s="523">
        <v>210</v>
      </c>
      <c r="D149" s="523">
        <v>7869.4</v>
      </c>
      <c r="E149" s="315">
        <v>42800</v>
      </c>
      <c r="F149" s="249" t="s">
        <v>500</v>
      </c>
      <c r="G149" s="314" t="s">
        <v>545</v>
      </c>
      <c r="H149" s="307">
        <v>210</v>
      </c>
      <c r="I149" s="307">
        <v>8030</v>
      </c>
      <c r="J149" s="561">
        <f t="shared" si="10"/>
        <v>33726</v>
      </c>
      <c r="K149" s="561">
        <f t="shared" si="11"/>
        <v>0</v>
      </c>
      <c r="S149" s="561">
        <f t="shared" si="8"/>
        <v>1686300</v>
      </c>
    </row>
    <row r="150" spans="3:20" ht="15">
      <c r="C150" s="523">
        <v>4750</v>
      </c>
      <c r="D150" s="523">
        <v>9016</v>
      </c>
      <c r="E150" s="315">
        <v>42801</v>
      </c>
      <c r="F150" s="249" t="s">
        <v>493</v>
      </c>
      <c r="G150" s="314" t="s">
        <v>546</v>
      </c>
      <c r="H150" s="307">
        <v>4750</v>
      </c>
      <c r="I150" s="307">
        <v>9200</v>
      </c>
      <c r="J150" s="561">
        <f t="shared" si="10"/>
        <v>874000</v>
      </c>
      <c r="K150" s="561">
        <f>IF(J150&gt;100000,1,0)</f>
        <v>1</v>
      </c>
      <c r="S150" s="561">
        <f t="shared" si="8"/>
        <v>43700000</v>
      </c>
      <c r="T150" s="561">
        <f>ROUND(C150*D150,0)</f>
        <v>42826000</v>
      </c>
    </row>
    <row r="151" spans="3:20" ht="15">
      <c r="C151" s="523">
        <v>250</v>
      </c>
      <c r="D151" s="523">
        <v>31585.4</v>
      </c>
      <c r="E151" s="315">
        <v>42802</v>
      </c>
      <c r="F151" s="249" t="s">
        <v>589</v>
      </c>
      <c r="G151" s="314" t="s">
        <v>547</v>
      </c>
      <c r="H151" s="307">
        <v>250</v>
      </c>
      <c r="I151" s="307">
        <v>32230</v>
      </c>
      <c r="J151" s="561">
        <f t="shared" si="10"/>
        <v>161150</v>
      </c>
      <c r="K151" s="561">
        <v>0</v>
      </c>
      <c r="S151" s="561">
        <f t="shared" si="8"/>
        <v>8057500</v>
      </c>
    </row>
    <row r="152" spans="3:20" ht="15">
      <c r="C152" s="307">
        <v>1991</v>
      </c>
      <c r="D152" s="523">
        <v>8330</v>
      </c>
      <c r="E152" s="315">
        <v>42803</v>
      </c>
      <c r="F152" s="249" t="s">
        <v>503</v>
      </c>
      <c r="G152" s="314" t="s">
        <v>769</v>
      </c>
      <c r="H152" s="307">
        <v>1991</v>
      </c>
      <c r="I152" s="307">
        <v>8500</v>
      </c>
      <c r="J152" s="561">
        <f t="shared" si="10"/>
        <v>338470</v>
      </c>
      <c r="K152" s="561">
        <v>0</v>
      </c>
      <c r="S152" s="561">
        <f t="shared" si="8"/>
        <v>16923500</v>
      </c>
    </row>
    <row r="153" spans="3:20" ht="15">
      <c r="C153" s="523">
        <v>288</v>
      </c>
      <c r="D153" s="523">
        <v>16170</v>
      </c>
      <c r="E153" s="315">
        <v>42805</v>
      </c>
      <c r="F153" s="249" t="s">
        <v>590</v>
      </c>
      <c r="G153" s="314" t="s">
        <v>548</v>
      </c>
      <c r="H153" s="307">
        <v>288</v>
      </c>
      <c r="I153" s="307">
        <v>16500</v>
      </c>
      <c r="J153" s="561">
        <f t="shared" si="10"/>
        <v>95040</v>
      </c>
      <c r="K153" s="561">
        <f>IF(J153&gt;100000,1,0)</f>
        <v>0</v>
      </c>
      <c r="S153" s="561">
        <f t="shared" si="8"/>
        <v>4752000</v>
      </c>
    </row>
    <row r="154" spans="3:20" ht="15">
      <c r="C154" s="307">
        <v>1890</v>
      </c>
      <c r="D154" s="523">
        <v>8330</v>
      </c>
      <c r="E154" s="315">
        <v>42807</v>
      </c>
      <c r="F154" s="249" t="s">
        <v>503</v>
      </c>
      <c r="G154" s="314" t="s">
        <v>771</v>
      </c>
      <c r="H154" s="307">
        <v>1890</v>
      </c>
      <c r="I154" s="307">
        <v>8500</v>
      </c>
      <c r="J154" s="561">
        <f t="shared" si="10"/>
        <v>321300</v>
      </c>
      <c r="K154" s="561">
        <v>0</v>
      </c>
      <c r="S154" s="561">
        <f t="shared" si="8"/>
        <v>16065000</v>
      </c>
    </row>
    <row r="155" spans="3:20" ht="15">
      <c r="C155" s="523">
        <v>309</v>
      </c>
      <c r="D155" s="523">
        <v>13980.68</v>
      </c>
      <c r="E155" s="315">
        <v>42810</v>
      </c>
      <c r="F155" s="249" t="s">
        <v>591</v>
      </c>
      <c r="G155" s="314" t="s">
        <v>549</v>
      </c>
      <c r="H155" s="307">
        <v>309</v>
      </c>
      <c r="I155" s="307">
        <v>14266</v>
      </c>
      <c r="J155" s="561">
        <f t="shared" si="10"/>
        <v>88163.879999999888</v>
      </c>
      <c r="K155" s="561">
        <f>IF(J155&gt;100000,1,0)</f>
        <v>0</v>
      </c>
      <c r="S155" s="561">
        <f t="shared" si="8"/>
        <v>4408194</v>
      </c>
    </row>
    <row r="156" spans="3:20" ht="15">
      <c r="C156" s="523">
        <v>306</v>
      </c>
      <c r="D156" s="523">
        <v>13622</v>
      </c>
      <c r="E156" s="315">
        <v>42810</v>
      </c>
      <c r="F156" s="249" t="s">
        <v>592</v>
      </c>
      <c r="G156" s="314" t="s">
        <v>549</v>
      </c>
      <c r="H156" s="307">
        <v>306</v>
      </c>
      <c r="I156" s="307">
        <v>13900</v>
      </c>
      <c r="J156" s="561">
        <f t="shared" si="10"/>
        <v>85068</v>
      </c>
      <c r="K156" s="561">
        <f>IF(J156&gt;100000,1,0)</f>
        <v>0</v>
      </c>
      <c r="S156" s="561">
        <f t="shared" si="8"/>
        <v>4253400</v>
      </c>
    </row>
    <row r="157" spans="3:20" ht="15">
      <c r="C157" s="523">
        <v>7240</v>
      </c>
      <c r="D157" s="523">
        <v>3770</v>
      </c>
      <c r="E157" s="315">
        <v>42811</v>
      </c>
      <c r="F157" s="249" t="s">
        <v>763</v>
      </c>
      <c r="G157" s="314" t="s">
        <v>550</v>
      </c>
      <c r="H157" s="307">
        <v>7240</v>
      </c>
      <c r="I157" s="307">
        <v>3770</v>
      </c>
      <c r="J157" s="561">
        <f t="shared" si="10"/>
        <v>0</v>
      </c>
      <c r="K157" s="561">
        <f t="shared" si="11"/>
        <v>0</v>
      </c>
      <c r="S157" s="561">
        <f t="shared" si="8"/>
        <v>27294800</v>
      </c>
    </row>
    <row r="158" spans="3:20" ht="15">
      <c r="E158" s="315">
        <v>42811</v>
      </c>
      <c r="F158" s="249" t="s">
        <v>764</v>
      </c>
      <c r="G158" s="314" t="s">
        <v>550</v>
      </c>
      <c r="H158" s="307">
        <v>500</v>
      </c>
      <c r="I158" s="307">
        <v>4070</v>
      </c>
      <c r="J158" s="561">
        <f t="shared" si="10"/>
        <v>2035000</v>
      </c>
      <c r="K158" s="561">
        <f>IF(J158&gt;100000,1,0)</f>
        <v>1</v>
      </c>
      <c r="S158" s="561">
        <f t="shared" si="8"/>
        <v>2035000</v>
      </c>
      <c r="T158" s="561">
        <f>ROUND(C158*D158,0)</f>
        <v>0</v>
      </c>
    </row>
    <row r="159" spans="3:20" ht="15">
      <c r="C159" s="523">
        <v>1</v>
      </c>
      <c r="D159" s="523">
        <v>1950000</v>
      </c>
      <c r="E159" s="315">
        <v>42811</v>
      </c>
      <c r="F159" s="249" t="s">
        <v>765</v>
      </c>
      <c r="G159" s="314" t="s">
        <v>550</v>
      </c>
      <c r="H159" s="307">
        <v>1</v>
      </c>
      <c r="I159" s="307">
        <v>2000000</v>
      </c>
      <c r="J159" s="561">
        <f t="shared" si="10"/>
        <v>50000</v>
      </c>
      <c r="K159" s="561">
        <f t="shared" si="11"/>
        <v>0</v>
      </c>
      <c r="S159" s="561">
        <f t="shared" si="8"/>
        <v>2000000</v>
      </c>
    </row>
    <row r="160" spans="3:20" ht="15">
      <c r="C160" s="523"/>
      <c r="D160" s="523"/>
      <c r="E160" s="315">
        <v>42811</v>
      </c>
      <c r="F160" s="249" t="s">
        <v>766</v>
      </c>
      <c r="G160" s="314" t="s">
        <v>550</v>
      </c>
      <c r="H160" s="307">
        <v>605</v>
      </c>
      <c r="I160" s="307">
        <v>17391</v>
      </c>
      <c r="J160" s="561">
        <f t="shared" si="10"/>
        <v>10521555</v>
      </c>
      <c r="K160" s="561">
        <f t="shared" ref="K160:K170" si="12">IF(J160&gt;100000,1,0)</f>
        <v>1</v>
      </c>
      <c r="S160" s="561">
        <f t="shared" si="8"/>
        <v>10521555</v>
      </c>
      <c r="T160" s="561">
        <f>ROUND(C160*D160,0)</f>
        <v>0</v>
      </c>
    </row>
    <row r="161" spans="3:20" ht="15">
      <c r="E161" s="315">
        <v>42811</v>
      </c>
      <c r="F161" s="249" t="s">
        <v>767</v>
      </c>
      <c r="G161" s="314" t="s">
        <v>550</v>
      </c>
      <c r="H161" s="307">
        <v>25</v>
      </c>
      <c r="I161" s="307">
        <v>21551</v>
      </c>
      <c r="J161" s="561">
        <f t="shared" si="10"/>
        <v>538775</v>
      </c>
      <c r="K161" s="561">
        <f t="shared" si="12"/>
        <v>1</v>
      </c>
      <c r="S161" s="561">
        <f t="shared" si="8"/>
        <v>538775</v>
      </c>
      <c r="T161" s="561">
        <f>ROUND(C161*D161,0)</f>
        <v>0</v>
      </c>
    </row>
    <row r="162" spans="3:20" ht="15">
      <c r="C162" s="307">
        <v>2050</v>
      </c>
      <c r="D162" s="523">
        <v>8330</v>
      </c>
      <c r="E162" s="315">
        <v>42811</v>
      </c>
      <c r="F162" s="249" t="s">
        <v>503</v>
      </c>
      <c r="G162" s="314" t="s">
        <v>772</v>
      </c>
      <c r="H162" s="307">
        <v>2050</v>
      </c>
      <c r="I162" s="307">
        <v>8500</v>
      </c>
      <c r="J162" s="561">
        <f t="shared" si="10"/>
        <v>348500</v>
      </c>
      <c r="K162" s="561">
        <v>0</v>
      </c>
      <c r="S162" s="561">
        <f t="shared" si="8"/>
        <v>17425000</v>
      </c>
    </row>
    <row r="163" spans="3:20" ht="15">
      <c r="C163" s="523">
        <v>1700</v>
      </c>
      <c r="D163" s="523">
        <v>34300</v>
      </c>
      <c r="E163" s="315">
        <v>42814</v>
      </c>
      <c r="F163" s="249" t="s">
        <v>504</v>
      </c>
      <c r="G163" s="314" t="s">
        <v>552</v>
      </c>
      <c r="H163" s="307">
        <v>1700</v>
      </c>
      <c r="I163" s="307">
        <v>35000</v>
      </c>
      <c r="J163" s="561">
        <f t="shared" si="10"/>
        <v>1190000</v>
      </c>
      <c r="K163" s="561">
        <f t="shared" si="12"/>
        <v>1</v>
      </c>
      <c r="S163" s="561">
        <f t="shared" si="8"/>
        <v>59500000</v>
      </c>
      <c r="T163" s="561">
        <f>ROUND(C163*D163,0)</f>
        <v>58310000</v>
      </c>
    </row>
    <row r="164" spans="3:20" ht="15">
      <c r="C164" s="523">
        <v>1500</v>
      </c>
      <c r="D164" s="523">
        <v>31850</v>
      </c>
      <c r="E164" s="315">
        <v>42814</v>
      </c>
      <c r="F164" s="249" t="s">
        <v>505</v>
      </c>
      <c r="G164" s="314" t="s">
        <v>552</v>
      </c>
      <c r="H164" s="307">
        <v>1500</v>
      </c>
      <c r="I164" s="307">
        <v>32500</v>
      </c>
      <c r="J164" s="561">
        <f t="shared" si="10"/>
        <v>975000</v>
      </c>
      <c r="K164" s="561">
        <f t="shared" si="12"/>
        <v>1</v>
      </c>
      <c r="S164" s="561">
        <f t="shared" si="8"/>
        <v>48750000</v>
      </c>
      <c r="T164" s="561">
        <f>ROUND(C164*D164,0)</f>
        <v>47775000</v>
      </c>
    </row>
    <row r="165" spans="3:20" ht="15">
      <c r="C165" s="523">
        <v>4600</v>
      </c>
      <c r="D165" s="523">
        <v>18130</v>
      </c>
      <c r="E165" s="315">
        <v>42814</v>
      </c>
      <c r="F165" s="249" t="s">
        <v>274</v>
      </c>
      <c r="G165" s="314" t="s">
        <v>552</v>
      </c>
      <c r="H165" s="307">
        <v>4600</v>
      </c>
      <c r="I165" s="307">
        <v>18500</v>
      </c>
      <c r="J165" s="561">
        <f t="shared" si="10"/>
        <v>1702000</v>
      </c>
      <c r="K165" s="561">
        <v>0</v>
      </c>
      <c r="S165" s="561">
        <f t="shared" si="8"/>
        <v>85100000</v>
      </c>
    </row>
    <row r="166" spans="3:20" ht="15">
      <c r="C166" s="523">
        <v>4500</v>
      </c>
      <c r="D166" s="523">
        <v>18130</v>
      </c>
      <c r="E166" s="315">
        <v>42814</v>
      </c>
      <c r="F166" s="249" t="s">
        <v>503</v>
      </c>
      <c r="G166" s="314" t="s">
        <v>552</v>
      </c>
      <c r="H166" s="307">
        <v>4500</v>
      </c>
      <c r="I166" s="307">
        <v>18500</v>
      </c>
      <c r="J166" s="561">
        <f t="shared" si="10"/>
        <v>1665000</v>
      </c>
      <c r="K166" s="561">
        <v>0</v>
      </c>
      <c r="S166" s="561">
        <f t="shared" si="8"/>
        <v>83250000</v>
      </c>
    </row>
    <row r="167" spans="3:20" ht="15">
      <c r="E167" s="315">
        <v>42814</v>
      </c>
      <c r="F167" s="249" t="s">
        <v>596</v>
      </c>
      <c r="G167" s="314" t="s">
        <v>553</v>
      </c>
      <c r="H167" s="307">
        <v>250</v>
      </c>
      <c r="I167" s="307">
        <v>7800</v>
      </c>
      <c r="J167" s="561">
        <f t="shared" si="10"/>
        <v>1950000</v>
      </c>
      <c r="K167" s="561">
        <f t="shared" si="12"/>
        <v>1</v>
      </c>
      <c r="S167" s="561">
        <f t="shared" si="8"/>
        <v>1950000</v>
      </c>
      <c r="T167" s="561">
        <f>ROUND(C167*D167,0)</f>
        <v>0</v>
      </c>
    </row>
    <row r="168" spans="3:20" ht="15">
      <c r="E168" s="315">
        <v>42814</v>
      </c>
      <c r="F168" s="249" t="s">
        <v>597</v>
      </c>
      <c r="G168" s="314" t="s">
        <v>553</v>
      </c>
      <c r="H168" s="307">
        <v>50</v>
      </c>
      <c r="I168" s="307">
        <v>13500</v>
      </c>
      <c r="J168" s="561">
        <f t="shared" si="10"/>
        <v>675000</v>
      </c>
      <c r="K168" s="561">
        <f t="shared" si="12"/>
        <v>1</v>
      </c>
      <c r="S168" s="561">
        <f t="shared" si="8"/>
        <v>675000</v>
      </c>
      <c r="T168" s="561">
        <f>ROUND(C168*D168,0)</f>
        <v>0</v>
      </c>
    </row>
    <row r="169" spans="3:20" ht="15">
      <c r="E169" s="315">
        <v>42814</v>
      </c>
      <c r="F169" s="249" t="s">
        <v>598</v>
      </c>
      <c r="G169" s="314" t="s">
        <v>553</v>
      </c>
      <c r="H169" s="307">
        <v>360</v>
      </c>
      <c r="I169" s="307">
        <v>22000</v>
      </c>
      <c r="J169" s="561">
        <f t="shared" si="10"/>
        <v>7920000</v>
      </c>
      <c r="K169" s="561">
        <f t="shared" si="12"/>
        <v>1</v>
      </c>
      <c r="S169" s="561">
        <f t="shared" si="8"/>
        <v>7920000</v>
      </c>
      <c r="T169" s="561">
        <f>ROUND(C169*D169,0)</f>
        <v>0</v>
      </c>
    </row>
    <row r="170" spans="3:20" ht="15">
      <c r="E170" s="315">
        <v>42814</v>
      </c>
      <c r="F170" s="249" t="s">
        <v>599</v>
      </c>
      <c r="G170" s="314" t="s">
        <v>553</v>
      </c>
      <c r="H170" s="307">
        <v>650</v>
      </c>
      <c r="I170" s="307">
        <v>8000</v>
      </c>
      <c r="J170" s="561">
        <f t="shared" si="10"/>
        <v>5200000</v>
      </c>
      <c r="K170" s="561">
        <f t="shared" si="12"/>
        <v>1</v>
      </c>
      <c r="S170" s="561">
        <f t="shared" si="8"/>
        <v>5200000</v>
      </c>
      <c r="T170" s="561">
        <f>ROUND(C170*D170,0)</f>
        <v>0</v>
      </c>
    </row>
    <row r="171" spans="3:20" ht="15">
      <c r="C171" s="523">
        <v>1</v>
      </c>
      <c r="D171" s="523">
        <v>1950000</v>
      </c>
      <c r="E171" s="315">
        <v>42814</v>
      </c>
      <c r="F171" s="249" t="s">
        <v>765</v>
      </c>
      <c r="G171" s="314" t="s">
        <v>553</v>
      </c>
      <c r="H171" s="307">
        <v>1</v>
      </c>
      <c r="I171" s="307">
        <v>2000000</v>
      </c>
      <c r="J171" s="561">
        <f t="shared" si="10"/>
        <v>50000</v>
      </c>
      <c r="K171" s="561">
        <f t="shared" si="11"/>
        <v>0</v>
      </c>
      <c r="S171" s="561">
        <f t="shared" si="8"/>
        <v>2000000</v>
      </c>
    </row>
    <row r="172" spans="3:20" ht="15">
      <c r="C172" s="523">
        <v>310</v>
      </c>
      <c r="D172" s="523">
        <v>13980.68</v>
      </c>
      <c r="E172" s="315">
        <v>42818</v>
      </c>
      <c r="F172" s="249" t="s">
        <v>588</v>
      </c>
      <c r="G172" s="314" t="s">
        <v>554</v>
      </c>
      <c r="H172" s="307">
        <v>310</v>
      </c>
      <c r="I172" s="307">
        <v>16900</v>
      </c>
      <c r="J172" s="561">
        <f t="shared" si="10"/>
        <v>904989.20000000019</v>
      </c>
      <c r="K172" s="561">
        <f>IF(J172&gt;100000,1,0)</f>
        <v>1</v>
      </c>
      <c r="S172" s="561">
        <f t="shared" si="8"/>
        <v>5239000</v>
      </c>
      <c r="T172" s="561">
        <f>ROUND(C172*D172,0)</f>
        <v>4334011</v>
      </c>
    </row>
    <row r="173" spans="3:20" ht="15">
      <c r="C173" s="523">
        <v>620</v>
      </c>
      <c r="D173" s="523">
        <v>2450</v>
      </c>
      <c r="E173" s="315">
        <v>42818</v>
      </c>
      <c r="F173" s="249" t="s">
        <v>587</v>
      </c>
      <c r="G173" s="314" t="s">
        <v>554</v>
      </c>
      <c r="H173" s="307">
        <v>620</v>
      </c>
      <c r="I173" s="307">
        <v>2500</v>
      </c>
      <c r="J173" s="561">
        <f t="shared" si="10"/>
        <v>31000</v>
      </c>
      <c r="K173" s="561">
        <f t="shared" si="11"/>
        <v>0</v>
      </c>
      <c r="S173" s="561">
        <f t="shared" si="8"/>
        <v>1550000</v>
      </c>
    </row>
    <row r="174" spans="3:20" ht="15">
      <c r="C174" s="523">
        <v>500</v>
      </c>
      <c r="D174" s="523">
        <v>29400</v>
      </c>
      <c r="E174" s="315">
        <v>42819</v>
      </c>
      <c r="F174" s="249" t="s">
        <v>774</v>
      </c>
      <c r="G174" s="314" t="s">
        <v>773</v>
      </c>
      <c r="H174" s="307">
        <v>500</v>
      </c>
      <c r="I174" s="307">
        <v>30000</v>
      </c>
      <c r="J174" s="561">
        <f t="shared" si="10"/>
        <v>300000</v>
      </c>
      <c r="K174" s="561">
        <f>IF(J174&gt;100000,1,0)</f>
        <v>1</v>
      </c>
      <c r="S174" s="561">
        <f t="shared" si="8"/>
        <v>15000000</v>
      </c>
      <c r="T174" s="561">
        <f>ROUND(C174*D174,0)</f>
        <v>14700000</v>
      </c>
    </row>
    <row r="175" spans="3:20" ht="15">
      <c r="C175" s="523">
        <v>100</v>
      </c>
      <c r="D175" s="523">
        <v>14126.7</v>
      </c>
      <c r="E175" s="315">
        <v>42825</v>
      </c>
      <c r="F175" s="249" t="s">
        <v>777</v>
      </c>
      <c r="G175" s="314" t="s">
        <v>775</v>
      </c>
      <c r="H175" s="307">
        <v>100</v>
      </c>
      <c r="I175" s="307">
        <v>14415</v>
      </c>
      <c r="J175" s="561">
        <f t="shared" si="10"/>
        <v>28830</v>
      </c>
      <c r="K175" s="561">
        <f t="shared" si="11"/>
        <v>0</v>
      </c>
      <c r="S175" s="561">
        <f t="shared" si="8"/>
        <v>1441500</v>
      </c>
    </row>
    <row r="176" spans="3:20" ht="15">
      <c r="C176" s="523">
        <v>100</v>
      </c>
      <c r="D176" s="523">
        <v>8507.3799999999992</v>
      </c>
      <c r="E176" s="315">
        <v>42825</v>
      </c>
      <c r="F176" s="249" t="s">
        <v>778</v>
      </c>
      <c r="G176" s="314" t="s">
        <v>775</v>
      </c>
      <c r="H176" s="307">
        <v>100</v>
      </c>
      <c r="I176" s="307">
        <v>8681</v>
      </c>
      <c r="J176" s="561">
        <f t="shared" si="10"/>
        <v>17362.000000000116</v>
      </c>
      <c r="K176" s="561">
        <f t="shared" si="11"/>
        <v>0</v>
      </c>
      <c r="S176" s="561">
        <f t="shared" si="8"/>
        <v>868100</v>
      </c>
    </row>
    <row r="177" spans="3:20" ht="15">
      <c r="C177" s="523">
        <v>200</v>
      </c>
      <c r="D177" s="523">
        <v>3343.76</v>
      </c>
      <c r="E177" s="315">
        <v>42825</v>
      </c>
      <c r="F177" s="249" t="s">
        <v>779</v>
      </c>
      <c r="G177" s="314" t="s">
        <v>775</v>
      </c>
      <c r="H177" s="307">
        <v>200</v>
      </c>
      <c r="I177" s="307">
        <v>3412</v>
      </c>
      <c r="J177" s="561">
        <f t="shared" si="10"/>
        <v>13648</v>
      </c>
      <c r="K177" s="561">
        <f t="shared" si="11"/>
        <v>0</v>
      </c>
      <c r="S177" s="561">
        <f t="shared" si="8"/>
        <v>682400</v>
      </c>
    </row>
    <row r="178" spans="3:20" ht="15">
      <c r="C178" s="523">
        <v>200</v>
      </c>
      <c r="D178" s="523">
        <v>1987.44</v>
      </c>
      <c r="E178" s="315">
        <v>42825</v>
      </c>
      <c r="F178" s="249" t="s">
        <v>780</v>
      </c>
      <c r="G178" s="314" t="s">
        <v>775</v>
      </c>
      <c r="H178" s="307">
        <v>200</v>
      </c>
      <c r="I178" s="307">
        <v>2028</v>
      </c>
      <c r="J178" s="561">
        <f t="shared" si="10"/>
        <v>8112</v>
      </c>
      <c r="K178" s="561">
        <f t="shared" si="11"/>
        <v>0</v>
      </c>
      <c r="S178" s="561">
        <f t="shared" si="8"/>
        <v>405600</v>
      </c>
    </row>
    <row r="179" spans="3:20" ht="15">
      <c r="C179" s="523">
        <v>200</v>
      </c>
      <c r="D179" s="523">
        <v>6945.26</v>
      </c>
      <c r="E179" s="315">
        <v>42825</v>
      </c>
      <c r="F179" s="249" t="s">
        <v>782</v>
      </c>
      <c r="G179" s="314" t="s">
        <v>781</v>
      </c>
      <c r="H179" s="307">
        <v>200</v>
      </c>
      <c r="I179" s="307">
        <v>7087</v>
      </c>
      <c r="J179" s="561">
        <f t="shared" si="10"/>
        <v>28348</v>
      </c>
      <c r="K179" s="561">
        <f t="shared" si="11"/>
        <v>0</v>
      </c>
      <c r="S179" s="561">
        <f t="shared" si="8"/>
        <v>1417400</v>
      </c>
    </row>
    <row r="180" spans="3:20" ht="15">
      <c r="C180" s="612">
        <v>76</v>
      </c>
      <c r="D180" s="613">
        <v>19214</v>
      </c>
      <c r="E180" s="315">
        <v>42825</v>
      </c>
      <c r="F180" s="249" t="s">
        <v>790</v>
      </c>
      <c r="G180" s="314" t="s">
        <v>789</v>
      </c>
      <c r="H180" s="307">
        <v>76</v>
      </c>
      <c r="I180" s="307">
        <v>19606</v>
      </c>
      <c r="J180" s="561">
        <f t="shared" si="10"/>
        <v>29792</v>
      </c>
      <c r="K180" s="561">
        <f t="shared" si="11"/>
        <v>0</v>
      </c>
      <c r="S180" s="561">
        <f t="shared" si="8"/>
        <v>1490056</v>
      </c>
    </row>
    <row r="181" spans="3:20" ht="15">
      <c r="C181" s="307">
        <v>40</v>
      </c>
      <c r="D181" s="614">
        <v>68261</v>
      </c>
      <c r="E181" s="315">
        <v>42825</v>
      </c>
      <c r="F181" s="249" t="s">
        <v>750</v>
      </c>
      <c r="G181" s="314" t="s">
        <v>789</v>
      </c>
      <c r="H181" s="307">
        <v>40</v>
      </c>
      <c r="I181" s="307">
        <v>69654</v>
      </c>
      <c r="J181" s="561">
        <f t="shared" si="10"/>
        <v>55720</v>
      </c>
      <c r="K181" s="561">
        <f>IF(J181&gt;100000,1,0)</f>
        <v>0</v>
      </c>
      <c r="S181" s="561">
        <f t="shared" si="8"/>
        <v>2786160</v>
      </c>
    </row>
    <row r="182" spans="3:20" ht="15">
      <c r="C182" s="307">
        <v>14</v>
      </c>
      <c r="D182" s="614">
        <v>90881</v>
      </c>
      <c r="E182" s="315">
        <v>42825</v>
      </c>
      <c r="F182" s="249" t="s">
        <v>643</v>
      </c>
      <c r="G182" s="314" t="s">
        <v>789</v>
      </c>
      <c r="H182" s="307">
        <v>14</v>
      </c>
      <c r="I182" s="307">
        <v>92736</v>
      </c>
      <c r="J182" s="561">
        <f t="shared" si="10"/>
        <v>25970</v>
      </c>
      <c r="K182" s="561">
        <f t="shared" si="11"/>
        <v>0</v>
      </c>
      <c r="S182" s="561">
        <f t="shared" si="8"/>
        <v>1298304</v>
      </c>
    </row>
    <row r="183" spans="3:20" ht="15">
      <c r="C183" s="307">
        <v>94</v>
      </c>
      <c r="D183" s="614">
        <v>29672</v>
      </c>
      <c r="E183" s="315">
        <v>42825</v>
      </c>
      <c r="F183" s="249" t="s">
        <v>619</v>
      </c>
      <c r="G183" s="314" t="s">
        <v>789</v>
      </c>
      <c r="H183" s="307">
        <v>94</v>
      </c>
      <c r="I183" s="307">
        <v>30278</v>
      </c>
      <c r="J183" s="561">
        <f t="shared" si="10"/>
        <v>56964</v>
      </c>
      <c r="K183" s="561">
        <f>IF(J183&gt;100000,1,0)</f>
        <v>0</v>
      </c>
      <c r="S183" s="561">
        <f t="shared" si="8"/>
        <v>2846132</v>
      </c>
    </row>
    <row r="184" spans="3:20" ht="15">
      <c r="C184" s="307">
        <v>24</v>
      </c>
      <c r="D184" s="614">
        <v>127305</v>
      </c>
      <c r="E184" s="315">
        <v>42825</v>
      </c>
      <c r="F184" s="249" t="s">
        <v>791</v>
      </c>
      <c r="G184" s="314" t="s">
        <v>789</v>
      </c>
      <c r="H184" s="307">
        <v>24</v>
      </c>
      <c r="I184" s="307">
        <v>129903</v>
      </c>
      <c r="J184" s="561">
        <f t="shared" si="10"/>
        <v>62352</v>
      </c>
      <c r="K184" s="561">
        <f>IF(J184&gt;100000,1,0)</f>
        <v>0</v>
      </c>
      <c r="S184" s="561">
        <f t="shared" si="8"/>
        <v>3117672</v>
      </c>
    </row>
    <row r="185" spans="3:20" ht="15">
      <c r="C185" s="307">
        <v>10</v>
      </c>
      <c r="D185" s="614">
        <v>28975</v>
      </c>
      <c r="E185" s="315">
        <v>42825</v>
      </c>
      <c r="F185" s="249" t="s">
        <v>792</v>
      </c>
      <c r="G185" s="314" t="s">
        <v>789</v>
      </c>
      <c r="H185" s="307">
        <v>10</v>
      </c>
      <c r="I185" s="307">
        <v>29566</v>
      </c>
      <c r="J185" s="561">
        <f t="shared" si="10"/>
        <v>5910</v>
      </c>
      <c r="K185" s="561">
        <f t="shared" si="11"/>
        <v>0</v>
      </c>
      <c r="S185" s="561">
        <f t="shared" si="8"/>
        <v>295660</v>
      </c>
    </row>
    <row r="186" spans="3:20" ht="15">
      <c r="C186" s="307">
        <v>6</v>
      </c>
      <c r="D186" s="614">
        <v>14428</v>
      </c>
      <c r="E186" s="315">
        <v>42825</v>
      </c>
      <c r="F186" s="249" t="s">
        <v>665</v>
      </c>
      <c r="G186" s="314" t="s">
        <v>789</v>
      </c>
      <c r="H186" s="307">
        <v>6</v>
      </c>
      <c r="I186" s="307">
        <v>14722</v>
      </c>
      <c r="J186" s="561">
        <f>I186*H186-D186*C186</f>
        <v>1764</v>
      </c>
      <c r="K186" s="561">
        <f>IF(J186&gt;50000,1,0)</f>
        <v>0</v>
      </c>
      <c r="S186" s="561">
        <f t="shared" si="8"/>
        <v>88332</v>
      </c>
    </row>
    <row r="187" spans="3:20" ht="15">
      <c r="C187" s="307">
        <v>36</v>
      </c>
      <c r="D187" s="614">
        <v>14428</v>
      </c>
      <c r="E187" s="315">
        <v>42825</v>
      </c>
      <c r="F187" s="249" t="s">
        <v>665</v>
      </c>
      <c r="G187" s="314" t="s">
        <v>789</v>
      </c>
      <c r="H187" s="307">
        <v>36</v>
      </c>
      <c r="I187" s="307">
        <v>14722</v>
      </c>
      <c r="J187" s="561">
        <f t="shared" si="10"/>
        <v>10584</v>
      </c>
      <c r="K187" s="561">
        <f t="shared" si="11"/>
        <v>0</v>
      </c>
      <c r="S187" s="561">
        <f t="shared" si="8"/>
        <v>529992</v>
      </c>
    </row>
    <row r="188" spans="3:20" ht="15">
      <c r="C188" s="307">
        <v>3</v>
      </c>
      <c r="D188" s="614">
        <v>61160</v>
      </c>
      <c r="E188" s="315">
        <v>42825</v>
      </c>
      <c r="F188" s="249" t="s">
        <v>644</v>
      </c>
      <c r="G188" s="314" t="s">
        <v>789</v>
      </c>
      <c r="H188" s="307">
        <v>3</v>
      </c>
      <c r="I188" s="307">
        <v>62408</v>
      </c>
      <c r="J188" s="561">
        <f t="shared" si="10"/>
        <v>3744</v>
      </c>
      <c r="K188" s="561">
        <f t="shared" si="11"/>
        <v>0</v>
      </c>
      <c r="S188" s="561">
        <f t="shared" si="8"/>
        <v>187224</v>
      </c>
    </row>
    <row r="189" spans="3:20" ht="15">
      <c r="C189" s="307">
        <v>12</v>
      </c>
      <c r="D189" s="614">
        <v>97056</v>
      </c>
      <c r="E189" s="315">
        <v>42825</v>
      </c>
      <c r="F189" s="249" t="s">
        <v>793</v>
      </c>
      <c r="G189" s="314" t="s">
        <v>789</v>
      </c>
      <c r="H189" s="307">
        <v>12</v>
      </c>
      <c r="I189" s="307">
        <v>99037</v>
      </c>
      <c r="J189" s="561">
        <f t="shared" si="10"/>
        <v>23772</v>
      </c>
      <c r="K189" s="561">
        <f t="shared" si="11"/>
        <v>0</v>
      </c>
      <c r="S189" s="561">
        <f t="shared" si="8"/>
        <v>1188444</v>
      </c>
    </row>
    <row r="190" spans="3:20" ht="15">
      <c r="C190" s="307">
        <v>12</v>
      </c>
      <c r="D190" s="614">
        <v>54887</v>
      </c>
      <c r="E190" s="315">
        <v>42825</v>
      </c>
      <c r="F190" s="249" t="s">
        <v>794</v>
      </c>
      <c r="G190" s="314" t="s">
        <v>789</v>
      </c>
      <c r="H190" s="307">
        <v>12</v>
      </c>
      <c r="I190" s="307">
        <v>56007</v>
      </c>
      <c r="J190" s="561">
        <f t="shared" si="10"/>
        <v>13440</v>
      </c>
      <c r="K190" s="561">
        <f t="shared" si="11"/>
        <v>0</v>
      </c>
      <c r="S190" s="561">
        <f t="shared" si="8"/>
        <v>672084</v>
      </c>
    </row>
    <row r="191" spans="3:20" ht="15">
      <c r="C191" s="307">
        <v>24</v>
      </c>
      <c r="D191" s="614">
        <v>34801</v>
      </c>
      <c r="E191" s="315">
        <v>42825</v>
      </c>
      <c r="F191" s="249" t="s">
        <v>630</v>
      </c>
      <c r="G191" s="314" t="s">
        <v>789</v>
      </c>
      <c r="H191" s="307">
        <v>24</v>
      </c>
      <c r="I191" s="307">
        <v>35511</v>
      </c>
      <c r="J191" s="561">
        <f t="shared" si="10"/>
        <v>17040</v>
      </c>
      <c r="K191" s="561">
        <f t="shared" si="11"/>
        <v>0</v>
      </c>
      <c r="S191" s="561">
        <f t="shared" si="8"/>
        <v>852264</v>
      </c>
    </row>
    <row r="192" spans="3:20" ht="15">
      <c r="C192" s="307">
        <v>87</v>
      </c>
      <c r="D192" s="614">
        <v>71012</v>
      </c>
      <c r="E192" s="315">
        <v>42825</v>
      </c>
      <c r="F192" s="249" t="s">
        <v>795</v>
      </c>
      <c r="G192" s="314" t="s">
        <v>789</v>
      </c>
      <c r="H192" s="307">
        <v>87</v>
      </c>
      <c r="I192" s="307">
        <v>72461</v>
      </c>
      <c r="J192" s="561">
        <f t="shared" si="10"/>
        <v>126063</v>
      </c>
      <c r="K192" s="561">
        <f>IF(J192&gt;100000,1,0)</f>
        <v>1</v>
      </c>
      <c r="S192" s="561">
        <f t="shared" si="8"/>
        <v>6304107</v>
      </c>
      <c r="T192" s="561">
        <f>ROUND(C192*D192,0)</f>
        <v>6178044</v>
      </c>
    </row>
    <row r="193" spans="3:19" ht="15">
      <c r="C193" s="307">
        <v>8</v>
      </c>
      <c r="D193" s="614">
        <v>227409</v>
      </c>
      <c r="E193" s="315">
        <v>42825</v>
      </c>
      <c r="F193" s="249" t="s">
        <v>688</v>
      </c>
      <c r="G193" s="314" t="s">
        <v>789</v>
      </c>
      <c r="H193" s="307">
        <v>8</v>
      </c>
      <c r="I193" s="307">
        <v>232050</v>
      </c>
      <c r="J193" s="561">
        <f t="shared" si="10"/>
        <v>37128</v>
      </c>
      <c r="K193" s="561">
        <f t="shared" si="11"/>
        <v>0</v>
      </c>
      <c r="S193" s="561">
        <f t="shared" si="8"/>
        <v>1856400</v>
      </c>
    </row>
    <row r="194" spans="3:19" ht="15">
      <c r="C194" s="307">
        <v>13</v>
      </c>
      <c r="D194" s="614">
        <v>154288</v>
      </c>
      <c r="E194" s="315">
        <v>42825</v>
      </c>
      <c r="F194" s="249" t="s">
        <v>684</v>
      </c>
      <c r="G194" s="314" t="s">
        <v>789</v>
      </c>
      <c r="H194" s="307">
        <v>13</v>
      </c>
      <c r="I194" s="307">
        <v>157437</v>
      </c>
      <c r="J194" s="561">
        <f t="shared" si="10"/>
        <v>40937</v>
      </c>
      <c r="K194" s="561">
        <f t="shared" si="11"/>
        <v>0</v>
      </c>
      <c r="S194" s="561">
        <f t="shared" ref="S194:S257" si="13">ROUND(H194*I194,0)</f>
        <v>2046681</v>
      </c>
    </row>
    <row r="195" spans="3:19" ht="15">
      <c r="C195" s="307">
        <v>22</v>
      </c>
      <c r="D195" s="614">
        <v>49013</v>
      </c>
      <c r="E195" s="315">
        <v>42825</v>
      </c>
      <c r="F195" s="249" t="s">
        <v>796</v>
      </c>
      <c r="G195" s="314" t="s">
        <v>789</v>
      </c>
      <c r="H195" s="307">
        <v>22</v>
      </c>
      <c r="I195" s="307">
        <v>50013</v>
      </c>
      <c r="J195" s="561">
        <f t="shared" si="10"/>
        <v>22000</v>
      </c>
      <c r="K195" s="561">
        <f t="shared" si="11"/>
        <v>0</v>
      </c>
      <c r="S195" s="561">
        <f t="shared" si="13"/>
        <v>1100286</v>
      </c>
    </row>
    <row r="196" spans="3:19" ht="15">
      <c r="C196" s="307">
        <v>30</v>
      </c>
      <c r="D196" s="614">
        <v>49574</v>
      </c>
      <c r="E196" s="315">
        <v>42825</v>
      </c>
      <c r="F196" s="249" t="s">
        <v>691</v>
      </c>
      <c r="G196" s="314" t="s">
        <v>789</v>
      </c>
      <c r="H196" s="307">
        <v>30</v>
      </c>
      <c r="I196" s="307">
        <v>50586</v>
      </c>
      <c r="J196" s="561">
        <f t="shared" si="10"/>
        <v>30360</v>
      </c>
      <c r="K196" s="561">
        <f t="shared" si="11"/>
        <v>0</v>
      </c>
      <c r="S196" s="561">
        <f t="shared" si="13"/>
        <v>1517580</v>
      </c>
    </row>
    <row r="197" spans="3:19" ht="15">
      <c r="C197" s="307">
        <v>12</v>
      </c>
      <c r="D197" s="614">
        <v>110473</v>
      </c>
      <c r="E197" s="315">
        <v>42825</v>
      </c>
      <c r="F197" s="249" t="s">
        <v>647</v>
      </c>
      <c r="G197" s="314" t="s">
        <v>789</v>
      </c>
      <c r="H197" s="307">
        <v>12</v>
      </c>
      <c r="I197" s="307">
        <v>112728</v>
      </c>
      <c r="J197" s="561">
        <f t="shared" si="10"/>
        <v>27060</v>
      </c>
      <c r="K197" s="561">
        <f t="shared" si="11"/>
        <v>0</v>
      </c>
      <c r="S197" s="561">
        <f t="shared" si="13"/>
        <v>1352736</v>
      </c>
    </row>
    <row r="198" spans="3:19" ht="15">
      <c r="C198" s="307">
        <v>54</v>
      </c>
      <c r="D198" s="614">
        <v>43918</v>
      </c>
      <c r="E198" s="315">
        <v>42825</v>
      </c>
      <c r="F198" s="249" t="s">
        <v>611</v>
      </c>
      <c r="G198" s="314" t="s">
        <v>789</v>
      </c>
      <c r="H198" s="307">
        <v>54</v>
      </c>
      <c r="I198" s="307">
        <v>44814</v>
      </c>
      <c r="J198" s="561">
        <f t="shared" si="10"/>
        <v>48384</v>
      </c>
      <c r="K198" s="561">
        <f t="shared" si="11"/>
        <v>0</v>
      </c>
      <c r="S198" s="561">
        <f t="shared" si="13"/>
        <v>2419956</v>
      </c>
    </row>
    <row r="199" spans="3:19" ht="15">
      <c r="C199" s="307">
        <v>10</v>
      </c>
      <c r="D199" s="614">
        <v>103608</v>
      </c>
      <c r="E199" s="315">
        <v>42825</v>
      </c>
      <c r="F199" s="249" t="s">
        <v>695</v>
      </c>
      <c r="G199" s="314" t="s">
        <v>789</v>
      </c>
      <c r="H199" s="307">
        <v>10</v>
      </c>
      <c r="I199" s="307">
        <v>105722</v>
      </c>
      <c r="J199" s="561">
        <f t="shared" si="10"/>
        <v>21140</v>
      </c>
      <c r="K199" s="561">
        <f t="shared" si="11"/>
        <v>0</v>
      </c>
      <c r="S199" s="561">
        <f t="shared" si="13"/>
        <v>1057220</v>
      </c>
    </row>
    <row r="200" spans="3:19" ht="15">
      <c r="C200" s="307">
        <v>14</v>
      </c>
      <c r="D200" s="614">
        <v>67963</v>
      </c>
      <c r="E200" s="315">
        <v>42825</v>
      </c>
      <c r="F200" s="249" t="s">
        <v>649</v>
      </c>
      <c r="G200" s="314" t="s">
        <v>789</v>
      </c>
      <c r="H200" s="307">
        <v>14</v>
      </c>
      <c r="I200" s="307">
        <v>69350</v>
      </c>
      <c r="J200" s="561">
        <f t="shared" si="10"/>
        <v>19418</v>
      </c>
      <c r="K200" s="561">
        <f t="shared" si="11"/>
        <v>0</v>
      </c>
      <c r="S200" s="561">
        <f t="shared" si="13"/>
        <v>970900</v>
      </c>
    </row>
    <row r="201" spans="3:19" ht="15">
      <c r="C201" s="307">
        <v>12</v>
      </c>
      <c r="D201" s="614">
        <v>48490</v>
      </c>
      <c r="E201" s="315">
        <v>42825</v>
      </c>
      <c r="F201" s="249" t="s">
        <v>648</v>
      </c>
      <c r="G201" s="314" t="s">
        <v>789</v>
      </c>
      <c r="H201" s="307">
        <v>12</v>
      </c>
      <c r="I201" s="307">
        <v>49480</v>
      </c>
      <c r="J201" s="561">
        <f t="shared" si="10"/>
        <v>11880</v>
      </c>
      <c r="K201" s="561">
        <f t="shared" si="11"/>
        <v>0</v>
      </c>
      <c r="S201" s="561">
        <f t="shared" si="13"/>
        <v>593760</v>
      </c>
    </row>
    <row r="202" spans="3:19" ht="15">
      <c r="C202" s="307">
        <v>12</v>
      </c>
      <c r="D202" s="614">
        <v>78953</v>
      </c>
      <c r="E202" s="315">
        <v>42825</v>
      </c>
      <c r="F202" s="249" t="s">
        <v>689</v>
      </c>
      <c r="G202" s="314" t="s">
        <v>789</v>
      </c>
      <c r="H202" s="307">
        <v>12</v>
      </c>
      <c r="I202" s="307">
        <v>80564</v>
      </c>
      <c r="J202" s="561">
        <f t="shared" si="10"/>
        <v>19332</v>
      </c>
      <c r="K202" s="561">
        <f t="shared" si="11"/>
        <v>0</v>
      </c>
      <c r="S202" s="561">
        <f t="shared" si="13"/>
        <v>966768</v>
      </c>
    </row>
    <row r="203" spans="3:19" ht="15">
      <c r="C203" s="307">
        <v>9</v>
      </c>
      <c r="D203" s="614">
        <v>183100</v>
      </c>
      <c r="E203" s="315">
        <v>42825</v>
      </c>
      <c r="F203" s="249" t="s">
        <v>692</v>
      </c>
      <c r="G203" s="314" t="s">
        <v>789</v>
      </c>
      <c r="H203" s="307">
        <v>9</v>
      </c>
      <c r="I203" s="307">
        <v>186837</v>
      </c>
      <c r="J203" s="561">
        <f t="shared" si="10"/>
        <v>33633</v>
      </c>
      <c r="K203" s="561">
        <f t="shared" si="11"/>
        <v>0</v>
      </c>
      <c r="S203" s="561">
        <f t="shared" si="13"/>
        <v>1681533</v>
      </c>
    </row>
    <row r="204" spans="3:19" ht="15">
      <c r="C204" s="307">
        <v>4</v>
      </c>
      <c r="D204" s="614">
        <v>120339</v>
      </c>
      <c r="E204" s="315">
        <v>42825</v>
      </c>
      <c r="F204" s="249" t="s">
        <v>690</v>
      </c>
      <c r="G204" s="314" t="s">
        <v>789</v>
      </c>
      <c r="H204" s="307">
        <v>4</v>
      </c>
      <c r="I204" s="307">
        <v>122795</v>
      </c>
      <c r="J204" s="561">
        <f t="shared" si="10"/>
        <v>9824</v>
      </c>
      <c r="K204" s="561">
        <f t="shared" si="11"/>
        <v>0</v>
      </c>
      <c r="S204" s="561">
        <f t="shared" si="13"/>
        <v>491180</v>
      </c>
    </row>
    <row r="205" spans="3:19" ht="15">
      <c r="C205" s="307">
        <v>10</v>
      </c>
      <c r="D205" s="614">
        <v>50207</v>
      </c>
      <c r="E205" s="315">
        <v>42825</v>
      </c>
      <c r="F205" s="249" t="s">
        <v>694</v>
      </c>
      <c r="G205" s="314" t="s">
        <v>789</v>
      </c>
      <c r="H205" s="307">
        <v>10</v>
      </c>
      <c r="I205" s="307">
        <v>51232</v>
      </c>
      <c r="J205" s="561">
        <f t="shared" si="10"/>
        <v>10250</v>
      </c>
      <c r="K205" s="561">
        <f t="shared" si="11"/>
        <v>0</v>
      </c>
      <c r="S205" s="561">
        <f t="shared" si="13"/>
        <v>512320</v>
      </c>
    </row>
    <row r="206" spans="3:19" ht="15">
      <c r="C206" s="307">
        <v>14</v>
      </c>
      <c r="D206" s="614">
        <v>44947</v>
      </c>
      <c r="E206" s="315">
        <v>42825</v>
      </c>
      <c r="F206" s="249" t="s">
        <v>663</v>
      </c>
      <c r="G206" s="314" t="s">
        <v>789</v>
      </c>
      <c r="H206" s="307">
        <v>14</v>
      </c>
      <c r="I206" s="307">
        <v>45864</v>
      </c>
      <c r="J206" s="561">
        <f t="shared" si="10"/>
        <v>12838</v>
      </c>
      <c r="K206" s="561">
        <f t="shared" si="11"/>
        <v>0</v>
      </c>
      <c r="S206" s="561">
        <f t="shared" si="13"/>
        <v>642096</v>
      </c>
    </row>
    <row r="207" spans="3:19" ht="15">
      <c r="C207" s="307">
        <v>10</v>
      </c>
      <c r="D207" s="614">
        <v>43944</v>
      </c>
      <c r="E207" s="315">
        <v>42825</v>
      </c>
      <c r="F207" s="249" t="s">
        <v>611</v>
      </c>
      <c r="G207" s="314" t="s">
        <v>789</v>
      </c>
      <c r="H207" s="307">
        <v>10</v>
      </c>
      <c r="I207" s="307">
        <v>44841</v>
      </c>
      <c r="J207" s="561">
        <f t="shared" si="10"/>
        <v>8970</v>
      </c>
      <c r="K207" s="561">
        <f t="shared" si="11"/>
        <v>0</v>
      </c>
      <c r="S207" s="561">
        <f t="shared" si="13"/>
        <v>448410</v>
      </c>
    </row>
    <row r="208" spans="3:19" ht="15">
      <c r="C208" s="307">
        <v>8</v>
      </c>
      <c r="D208" s="614">
        <v>150646</v>
      </c>
      <c r="E208" s="315">
        <v>42825</v>
      </c>
      <c r="F208" s="249" t="s">
        <v>696</v>
      </c>
      <c r="G208" s="314" t="s">
        <v>789</v>
      </c>
      <c r="H208" s="307">
        <v>8</v>
      </c>
      <c r="I208" s="307">
        <v>153720</v>
      </c>
      <c r="J208" s="561">
        <f t="shared" si="10"/>
        <v>24592</v>
      </c>
      <c r="K208" s="561">
        <f t="shared" si="11"/>
        <v>0</v>
      </c>
      <c r="S208" s="561">
        <f t="shared" si="13"/>
        <v>1229760</v>
      </c>
    </row>
    <row r="209" spans="3:20" ht="15">
      <c r="C209" s="307">
        <v>36</v>
      </c>
      <c r="D209" s="614">
        <v>70433</v>
      </c>
      <c r="E209" s="315">
        <v>42825</v>
      </c>
      <c r="F209" s="249" t="s">
        <v>697</v>
      </c>
      <c r="G209" s="314" t="s">
        <v>789</v>
      </c>
      <c r="H209" s="307">
        <v>36</v>
      </c>
      <c r="I209" s="307">
        <v>71870</v>
      </c>
      <c r="J209" s="561">
        <f t="shared" si="10"/>
        <v>51732</v>
      </c>
      <c r="K209" s="561">
        <f>IF(J209&gt;100000,1,0)</f>
        <v>0</v>
      </c>
      <c r="S209" s="561">
        <f t="shared" si="13"/>
        <v>2587320</v>
      </c>
    </row>
    <row r="210" spans="3:20" ht="15">
      <c r="C210" s="307">
        <v>16</v>
      </c>
      <c r="D210" s="614">
        <v>48453</v>
      </c>
      <c r="E210" s="315">
        <v>42825</v>
      </c>
      <c r="F210" s="249" t="s">
        <v>699</v>
      </c>
      <c r="G210" s="314" t="s">
        <v>789</v>
      </c>
      <c r="H210" s="307">
        <v>16</v>
      </c>
      <c r="I210" s="307">
        <v>49442</v>
      </c>
      <c r="J210" s="561">
        <f t="shared" si="10"/>
        <v>15824</v>
      </c>
      <c r="K210" s="561">
        <f t="shared" si="11"/>
        <v>0</v>
      </c>
      <c r="S210" s="561">
        <f t="shared" si="13"/>
        <v>791072</v>
      </c>
    </row>
    <row r="211" spans="3:20" ht="15">
      <c r="C211" s="307">
        <v>14</v>
      </c>
      <c r="D211" s="614">
        <v>26049</v>
      </c>
      <c r="E211" s="315">
        <v>42825</v>
      </c>
      <c r="F211" s="249" t="s">
        <v>681</v>
      </c>
      <c r="G211" s="314" t="s">
        <v>789</v>
      </c>
      <c r="H211" s="307">
        <v>14</v>
      </c>
      <c r="I211" s="307">
        <v>26581</v>
      </c>
      <c r="J211" s="561">
        <f t="shared" si="10"/>
        <v>7448</v>
      </c>
      <c r="K211" s="561">
        <f t="shared" si="11"/>
        <v>0</v>
      </c>
      <c r="S211" s="561">
        <f t="shared" si="13"/>
        <v>372134</v>
      </c>
    </row>
    <row r="212" spans="3:20" ht="15">
      <c r="C212" s="307">
        <v>3</v>
      </c>
      <c r="D212" s="614">
        <v>144492</v>
      </c>
      <c r="E212" s="315">
        <v>42825</v>
      </c>
      <c r="F212" s="249" t="s">
        <v>682</v>
      </c>
      <c r="G212" s="314" t="s">
        <v>789</v>
      </c>
      <c r="H212" s="307">
        <v>3</v>
      </c>
      <c r="I212" s="307">
        <v>147441</v>
      </c>
      <c r="J212" s="561">
        <f t="shared" ref="J212:J281" si="14">I212*H212-D212*C212</f>
        <v>8847</v>
      </c>
      <c r="K212" s="561">
        <f t="shared" ref="K212:K281" si="15">IF(J212&gt;50000,1,0)</f>
        <v>0</v>
      </c>
      <c r="S212" s="561">
        <f t="shared" si="13"/>
        <v>442323</v>
      </c>
    </row>
    <row r="213" spans="3:20" ht="15">
      <c r="C213" s="307">
        <v>6</v>
      </c>
      <c r="D213" s="614">
        <v>35340</v>
      </c>
      <c r="E213" s="315">
        <v>42825</v>
      </c>
      <c r="F213" s="249" t="s">
        <v>683</v>
      </c>
      <c r="G213" s="314" t="s">
        <v>789</v>
      </c>
      <c r="H213" s="307">
        <v>6</v>
      </c>
      <c r="I213" s="307">
        <v>36061</v>
      </c>
      <c r="J213" s="561">
        <f>I213*H213-D213*C213</f>
        <v>4326</v>
      </c>
      <c r="K213" s="561">
        <f>IF(J213&gt;50000,1,0)</f>
        <v>0</v>
      </c>
      <c r="S213" s="561">
        <f t="shared" si="13"/>
        <v>216366</v>
      </c>
    </row>
    <row r="214" spans="3:20" ht="15">
      <c r="C214" s="307">
        <v>10</v>
      </c>
      <c r="D214" s="614">
        <v>35340</v>
      </c>
      <c r="E214" s="315">
        <v>42825</v>
      </c>
      <c r="F214" s="249" t="s">
        <v>683</v>
      </c>
      <c r="G214" s="314" t="s">
        <v>789</v>
      </c>
      <c r="H214" s="307">
        <v>10</v>
      </c>
      <c r="I214" s="307">
        <v>36061</v>
      </c>
      <c r="J214" s="561">
        <f t="shared" si="14"/>
        <v>7210</v>
      </c>
      <c r="K214" s="561">
        <f t="shared" si="15"/>
        <v>0</v>
      </c>
      <c r="S214" s="561">
        <f t="shared" si="13"/>
        <v>360610</v>
      </c>
    </row>
    <row r="215" spans="3:20" ht="15">
      <c r="C215" s="307">
        <v>6</v>
      </c>
      <c r="D215" s="614">
        <v>36114</v>
      </c>
      <c r="E215" s="315">
        <v>42825</v>
      </c>
      <c r="F215" s="249" t="s">
        <v>685</v>
      </c>
      <c r="G215" s="314" t="s">
        <v>789</v>
      </c>
      <c r="H215" s="307">
        <v>6</v>
      </c>
      <c r="I215" s="307">
        <v>36851</v>
      </c>
      <c r="J215" s="561">
        <f t="shared" si="14"/>
        <v>4422</v>
      </c>
      <c r="K215" s="561">
        <f t="shared" si="15"/>
        <v>0</v>
      </c>
      <c r="S215" s="561">
        <f t="shared" si="13"/>
        <v>221106</v>
      </c>
    </row>
    <row r="216" spans="3:20" ht="15">
      <c r="C216" s="307">
        <v>3</v>
      </c>
      <c r="D216" s="614">
        <v>216090</v>
      </c>
      <c r="E216" s="315">
        <v>42825</v>
      </c>
      <c r="F216" s="249" t="s">
        <v>686</v>
      </c>
      <c r="G216" s="314" t="s">
        <v>789</v>
      </c>
      <c r="H216" s="307">
        <v>3</v>
      </c>
      <c r="I216" s="307">
        <v>220500</v>
      </c>
      <c r="J216" s="561">
        <f t="shared" si="14"/>
        <v>13230</v>
      </c>
      <c r="K216" s="561">
        <f t="shared" si="15"/>
        <v>0</v>
      </c>
      <c r="S216" s="561">
        <f t="shared" si="13"/>
        <v>661500</v>
      </c>
    </row>
    <row r="217" spans="3:20" ht="15">
      <c r="C217" s="307">
        <v>38</v>
      </c>
      <c r="D217" s="614">
        <v>130396</v>
      </c>
      <c r="E217" s="315">
        <v>42825</v>
      </c>
      <c r="F217" s="249" t="s">
        <v>645</v>
      </c>
      <c r="G217" s="314" t="s">
        <v>789</v>
      </c>
      <c r="H217" s="307">
        <v>38</v>
      </c>
      <c r="I217" s="307">
        <v>133057</v>
      </c>
      <c r="J217" s="561">
        <f t="shared" si="14"/>
        <v>101118</v>
      </c>
      <c r="K217" s="561">
        <f>IF(J217&gt;100000,1,0)</f>
        <v>1</v>
      </c>
      <c r="S217" s="561">
        <f t="shared" si="13"/>
        <v>5056166</v>
      </c>
      <c r="T217" s="561">
        <f>ROUND(C217*D217,0)</f>
        <v>4955048</v>
      </c>
    </row>
    <row r="218" spans="3:20" ht="15">
      <c r="C218" s="307">
        <v>38</v>
      </c>
      <c r="D218" s="614">
        <v>41113</v>
      </c>
      <c r="E218" s="315">
        <v>42825</v>
      </c>
      <c r="F218" s="249" t="s">
        <v>797</v>
      </c>
      <c r="G218" s="314" t="s">
        <v>789</v>
      </c>
      <c r="H218" s="307">
        <v>38</v>
      </c>
      <c r="I218" s="307">
        <v>41952</v>
      </c>
      <c r="J218" s="561">
        <f t="shared" si="14"/>
        <v>31882</v>
      </c>
      <c r="K218" s="561">
        <f t="shared" si="15"/>
        <v>0</v>
      </c>
      <c r="S218" s="561">
        <f t="shared" si="13"/>
        <v>1594176</v>
      </c>
    </row>
    <row r="219" spans="3:20" ht="15">
      <c r="C219" s="307">
        <v>56</v>
      </c>
      <c r="D219" s="614">
        <v>78670</v>
      </c>
      <c r="E219" s="315">
        <v>42825</v>
      </c>
      <c r="F219" s="249" t="s">
        <v>680</v>
      </c>
      <c r="G219" s="314" t="s">
        <v>789</v>
      </c>
      <c r="H219" s="307">
        <v>56</v>
      </c>
      <c r="I219" s="307">
        <v>80276</v>
      </c>
      <c r="J219" s="561">
        <f t="shared" si="14"/>
        <v>89936</v>
      </c>
      <c r="K219" s="561">
        <f>IF(J219&gt;100000,1,0)</f>
        <v>0</v>
      </c>
      <c r="S219" s="561">
        <f t="shared" si="13"/>
        <v>4495456</v>
      </c>
    </row>
    <row r="220" spans="3:20" ht="15">
      <c r="C220" s="307">
        <v>8</v>
      </c>
      <c r="D220" s="614">
        <v>37367</v>
      </c>
      <c r="E220" s="315">
        <v>42825</v>
      </c>
      <c r="F220" s="249" t="s">
        <v>625</v>
      </c>
      <c r="G220" s="314" t="s">
        <v>789</v>
      </c>
      <c r="H220" s="307">
        <v>8</v>
      </c>
      <c r="I220" s="307">
        <v>38130</v>
      </c>
      <c r="J220" s="561">
        <f>I220*H220-D220*C220</f>
        <v>6104</v>
      </c>
      <c r="K220" s="561">
        <f>IF(J220&gt;50000,1,0)</f>
        <v>0</v>
      </c>
      <c r="S220" s="561">
        <f t="shared" si="13"/>
        <v>305040</v>
      </c>
    </row>
    <row r="221" spans="3:20" ht="15">
      <c r="C221" s="307">
        <v>14</v>
      </c>
      <c r="D221" s="614">
        <v>37367</v>
      </c>
      <c r="E221" s="315">
        <v>42825</v>
      </c>
      <c r="F221" s="249" t="s">
        <v>625</v>
      </c>
      <c r="G221" s="314" t="s">
        <v>789</v>
      </c>
      <c r="H221" s="307">
        <v>14</v>
      </c>
      <c r="I221" s="307">
        <v>38130</v>
      </c>
      <c r="J221" s="561">
        <f t="shared" si="14"/>
        <v>10682</v>
      </c>
      <c r="K221" s="561">
        <f t="shared" si="15"/>
        <v>0</v>
      </c>
      <c r="S221" s="561">
        <f t="shared" si="13"/>
        <v>533820</v>
      </c>
    </row>
    <row r="222" spans="3:20" ht="15">
      <c r="C222" s="307">
        <v>12</v>
      </c>
      <c r="D222" s="614">
        <v>34679</v>
      </c>
      <c r="E222" s="315">
        <v>42825</v>
      </c>
      <c r="F222" s="249" t="s">
        <v>624</v>
      </c>
      <c r="G222" s="314" t="s">
        <v>789</v>
      </c>
      <c r="H222" s="307">
        <v>12</v>
      </c>
      <c r="I222" s="307">
        <v>35387</v>
      </c>
      <c r="J222" s="561">
        <f>I222*H222-D222*C222</f>
        <v>8496</v>
      </c>
      <c r="K222" s="561">
        <f>IF(J222&gt;50000,1,0)</f>
        <v>0</v>
      </c>
      <c r="S222" s="561">
        <f t="shared" si="13"/>
        <v>424644</v>
      </c>
    </row>
    <row r="223" spans="3:20" ht="15">
      <c r="C223" s="307">
        <v>21</v>
      </c>
      <c r="D223" s="614">
        <v>34679</v>
      </c>
      <c r="E223" s="315">
        <v>42825</v>
      </c>
      <c r="F223" s="249" t="s">
        <v>624</v>
      </c>
      <c r="G223" s="314" t="s">
        <v>789</v>
      </c>
      <c r="H223" s="307">
        <v>21</v>
      </c>
      <c r="I223" s="307">
        <v>35387</v>
      </c>
      <c r="J223" s="561">
        <f t="shared" si="14"/>
        <v>14868</v>
      </c>
      <c r="K223" s="561">
        <f t="shared" si="15"/>
        <v>0</v>
      </c>
      <c r="S223" s="561">
        <f t="shared" si="13"/>
        <v>743127</v>
      </c>
    </row>
    <row r="224" spans="3:20" ht="15">
      <c r="C224" s="307">
        <v>20</v>
      </c>
      <c r="D224" s="614">
        <v>75821</v>
      </c>
      <c r="E224" s="315">
        <v>42825</v>
      </c>
      <c r="F224" s="249" t="s">
        <v>798</v>
      </c>
      <c r="G224" s="314" t="s">
        <v>789</v>
      </c>
      <c r="H224" s="307">
        <v>20</v>
      </c>
      <c r="I224" s="307">
        <v>77368</v>
      </c>
      <c r="J224" s="561">
        <f t="shared" si="14"/>
        <v>30940</v>
      </c>
      <c r="K224" s="561">
        <f t="shared" si="15"/>
        <v>0</v>
      </c>
      <c r="S224" s="561">
        <f t="shared" si="13"/>
        <v>1547360</v>
      </c>
    </row>
    <row r="225" spans="3:20" ht="15">
      <c r="C225" s="307">
        <v>8</v>
      </c>
      <c r="D225" s="614">
        <v>41340</v>
      </c>
      <c r="E225" s="315">
        <v>42825</v>
      </c>
      <c r="F225" s="249" t="s">
        <v>687</v>
      </c>
      <c r="G225" s="314" t="s">
        <v>789</v>
      </c>
      <c r="H225" s="307">
        <v>8</v>
      </c>
      <c r="I225" s="307">
        <v>42184</v>
      </c>
      <c r="J225" s="561">
        <f>I225*H225-D225*C225</f>
        <v>6752</v>
      </c>
      <c r="K225" s="561">
        <f>IF(J225&gt;50000,1,0)</f>
        <v>0</v>
      </c>
      <c r="S225" s="561">
        <f t="shared" si="13"/>
        <v>337472</v>
      </c>
    </row>
    <row r="226" spans="3:20" ht="15">
      <c r="C226" s="307">
        <v>6</v>
      </c>
      <c r="D226" s="614">
        <v>41340</v>
      </c>
      <c r="E226" s="315">
        <v>42825</v>
      </c>
      <c r="F226" s="249" t="s">
        <v>687</v>
      </c>
      <c r="G226" s="314" t="s">
        <v>789</v>
      </c>
      <c r="H226" s="307">
        <v>6</v>
      </c>
      <c r="I226" s="307">
        <v>42184</v>
      </c>
      <c r="J226" s="561">
        <f t="shared" si="14"/>
        <v>5064</v>
      </c>
      <c r="K226" s="561">
        <f t="shared" si="15"/>
        <v>0</v>
      </c>
      <c r="S226" s="561">
        <f t="shared" si="13"/>
        <v>253104</v>
      </c>
    </row>
    <row r="227" spans="3:20" ht="15">
      <c r="C227" s="307">
        <v>32</v>
      </c>
      <c r="D227" s="614">
        <v>24752</v>
      </c>
      <c r="E227" s="315">
        <v>42825</v>
      </c>
      <c r="F227" s="249" t="s">
        <v>629</v>
      </c>
      <c r="G227" s="314" t="s">
        <v>789</v>
      </c>
      <c r="H227" s="307">
        <v>32</v>
      </c>
      <c r="I227" s="307">
        <v>25257</v>
      </c>
      <c r="J227" s="561">
        <f>I227*H227-D227*C227</f>
        <v>16160</v>
      </c>
      <c r="K227" s="561">
        <f>IF(J227&gt;50000,1,0)</f>
        <v>0</v>
      </c>
      <c r="S227" s="561">
        <f t="shared" si="13"/>
        <v>808224</v>
      </c>
    </row>
    <row r="228" spans="3:20" ht="15">
      <c r="C228" s="307">
        <v>62</v>
      </c>
      <c r="D228" s="614">
        <v>24752</v>
      </c>
      <c r="E228" s="315">
        <v>42825</v>
      </c>
      <c r="F228" s="249" t="s">
        <v>629</v>
      </c>
      <c r="G228" s="314" t="s">
        <v>789</v>
      </c>
      <c r="H228" s="307">
        <v>62</v>
      </c>
      <c r="I228" s="307">
        <v>25257</v>
      </c>
      <c r="J228" s="561">
        <f t="shared" si="14"/>
        <v>31310</v>
      </c>
      <c r="K228" s="561">
        <f t="shared" si="15"/>
        <v>0</v>
      </c>
      <c r="S228" s="561">
        <f t="shared" si="13"/>
        <v>1565934</v>
      </c>
    </row>
    <row r="229" spans="3:20" ht="15">
      <c r="C229" s="307">
        <v>10</v>
      </c>
      <c r="D229" s="614">
        <v>26300</v>
      </c>
      <c r="E229" s="315">
        <v>42825</v>
      </c>
      <c r="F229" s="249" t="s">
        <v>760</v>
      </c>
      <c r="G229" s="314" t="s">
        <v>789</v>
      </c>
      <c r="H229" s="307">
        <v>10</v>
      </c>
      <c r="I229" s="307">
        <v>26837</v>
      </c>
      <c r="J229" s="561">
        <f t="shared" si="14"/>
        <v>5370</v>
      </c>
      <c r="K229" s="561">
        <f t="shared" si="15"/>
        <v>0</v>
      </c>
      <c r="S229" s="561">
        <f t="shared" si="13"/>
        <v>268370</v>
      </c>
    </row>
    <row r="230" spans="3:20" ht="15">
      <c r="C230" s="307">
        <v>16</v>
      </c>
      <c r="D230" s="614">
        <v>45701</v>
      </c>
      <c r="E230" s="315">
        <v>42825</v>
      </c>
      <c r="F230" s="249" t="s">
        <v>679</v>
      </c>
      <c r="G230" s="314" t="s">
        <v>789</v>
      </c>
      <c r="H230" s="307">
        <v>16</v>
      </c>
      <c r="I230" s="307">
        <v>46634</v>
      </c>
      <c r="J230" s="561">
        <f>I230*H230-D230*C230</f>
        <v>14928</v>
      </c>
      <c r="K230" s="561">
        <f>IF(J230&gt;50000,1,0)</f>
        <v>0</v>
      </c>
      <c r="S230" s="561">
        <f t="shared" si="13"/>
        <v>746144</v>
      </c>
    </row>
    <row r="231" spans="3:20" ht="15">
      <c r="C231" s="307">
        <v>4</v>
      </c>
      <c r="D231" s="614">
        <v>45701</v>
      </c>
      <c r="E231" s="315">
        <v>42825</v>
      </c>
      <c r="F231" s="249" t="s">
        <v>679</v>
      </c>
      <c r="G231" s="314" t="s">
        <v>789</v>
      </c>
      <c r="H231" s="307">
        <v>4</v>
      </c>
      <c r="I231" s="307">
        <v>46634</v>
      </c>
      <c r="J231" s="561">
        <f t="shared" si="14"/>
        <v>3732</v>
      </c>
      <c r="K231" s="561">
        <f t="shared" si="15"/>
        <v>0</v>
      </c>
      <c r="S231" s="561">
        <f t="shared" si="13"/>
        <v>186536</v>
      </c>
    </row>
    <row r="232" spans="3:20" ht="15">
      <c r="C232" s="307">
        <v>55</v>
      </c>
      <c r="D232" s="614">
        <v>10865</v>
      </c>
      <c r="E232" s="315">
        <v>42825</v>
      </c>
      <c r="F232" s="249" t="s">
        <v>701</v>
      </c>
      <c r="G232" s="314" t="s">
        <v>789</v>
      </c>
      <c r="H232" s="307">
        <v>55</v>
      </c>
      <c r="I232" s="307">
        <v>11087</v>
      </c>
      <c r="J232" s="561">
        <f t="shared" si="14"/>
        <v>12210</v>
      </c>
      <c r="K232" s="561">
        <f t="shared" si="15"/>
        <v>0</v>
      </c>
      <c r="S232" s="561">
        <f t="shared" si="13"/>
        <v>609785</v>
      </c>
    </row>
    <row r="233" spans="3:20" ht="15">
      <c r="C233" s="307">
        <v>78</v>
      </c>
      <c r="D233" s="614">
        <v>19889</v>
      </c>
      <c r="E233" s="315">
        <v>42825</v>
      </c>
      <c r="F233" s="249" t="s">
        <v>702</v>
      </c>
      <c r="G233" s="314" t="s">
        <v>789</v>
      </c>
      <c r="H233" s="307">
        <v>78</v>
      </c>
      <c r="I233" s="307">
        <v>20295</v>
      </c>
      <c r="J233" s="561">
        <f t="shared" si="14"/>
        <v>31668</v>
      </c>
      <c r="K233" s="561">
        <f t="shared" si="15"/>
        <v>0</v>
      </c>
      <c r="S233" s="561">
        <f t="shared" si="13"/>
        <v>1583010</v>
      </c>
    </row>
    <row r="234" spans="3:20" ht="15">
      <c r="C234" s="307">
        <v>4</v>
      </c>
      <c r="D234" s="614">
        <v>81237</v>
      </c>
      <c r="E234" s="315">
        <v>42825</v>
      </c>
      <c r="F234" s="249" t="s">
        <v>659</v>
      </c>
      <c r="G234" s="314" t="s">
        <v>789</v>
      </c>
      <c r="H234" s="307">
        <v>4</v>
      </c>
      <c r="I234" s="307">
        <v>82895</v>
      </c>
      <c r="J234" s="561">
        <f t="shared" si="14"/>
        <v>6632</v>
      </c>
      <c r="K234" s="561">
        <f t="shared" si="15"/>
        <v>0</v>
      </c>
      <c r="S234" s="561">
        <f t="shared" si="13"/>
        <v>331580</v>
      </c>
    </row>
    <row r="235" spans="3:20" ht="15">
      <c r="C235" s="307">
        <v>8</v>
      </c>
      <c r="D235" s="614">
        <v>140372</v>
      </c>
      <c r="E235" s="315">
        <v>42825</v>
      </c>
      <c r="F235" s="249" t="s">
        <v>698</v>
      </c>
      <c r="G235" s="314" t="s">
        <v>789</v>
      </c>
      <c r="H235" s="307">
        <v>8</v>
      </c>
      <c r="I235" s="307">
        <v>143237</v>
      </c>
      <c r="J235" s="561">
        <f t="shared" si="14"/>
        <v>22920</v>
      </c>
      <c r="K235" s="561">
        <f t="shared" si="15"/>
        <v>0</v>
      </c>
      <c r="S235" s="561">
        <f t="shared" si="13"/>
        <v>1145896</v>
      </c>
    </row>
    <row r="236" spans="3:20" ht="15">
      <c r="C236" s="307">
        <v>495</v>
      </c>
      <c r="D236" s="614">
        <v>16200</v>
      </c>
      <c r="E236" s="315">
        <v>42825</v>
      </c>
      <c r="F236" s="249" t="s">
        <v>700</v>
      </c>
      <c r="G236" s="314" t="s">
        <v>789</v>
      </c>
      <c r="H236" s="307">
        <v>495</v>
      </c>
      <c r="I236" s="307">
        <v>16590</v>
      </c>
      <c r="J236" s="561">
        <f t="shared" si="14"/>
        <v>193050</v>
      </c>
      <c r="K236" s="561">
        <f>IF(J236&gt;100000,1,0)</f>
        <v>1</v>
      </c>
      <c r="S236" s="561">
        <f t="shared" si="13"/>
        <v>8212050</v>
      </c>
      <c r="T236" s="561">
        <f>ROUND(C236*D236,0)</f>
        <v>8019000</v>
      </c>
    </row>
    <row r="237" spans="3:20" ht="15">
      <c r="C237" s="307">
        <v>230</v>
      </c>
      <c r="D237" s="614">
        <v>65300</v>
      </c>
      <c r="E237" s="315">
        <v>42825</v>
      </c>
      <c r="F237" s="249" t="s">
        <v>703</v>
      </c>
      <c r="G237" s="314" t="s">
        <v>789</v>
      </c>
      <c r="H237" s="307">
        <v>230</v>
      </c>
      <c r="I237" s="307">
        <v>66812</v>
      </c>
      <c r="J237" s="561">
        <f t="shared" si="14"/>
        <v>347760</v>
      </c>
      <c r="K237" s="561">
        <f>IF(J237&gt;100000,1,0)</f>
        <v>1</v>
      </c>
      <c r="S237" s="561">
        <f t="shared" si="13"/>
        <v>15366760</v>
      </c>
      <c r="T237" s="561">
        <f>ROUND(C237*D237,0)</f>
        <v>15019000</v>
      </c>
    </row>
    <row r="238" spans="3:20" ht="15">
      <c r="C238" s="307">
        <v>80</v>
      </c>
      <c r="D238" s="614">
        <v>39735</v>
      </c>
      <c r="E238" s="315">
        <v>42825</v>
      </c>
      <c r="F238" s="249" t="s">
        <v>611</v>
      </c>
      <c r="G238" s="314" t="s">
        <v>789</v>
      </c>
      <c r="H238" s="307">
        <v>80</v>
      </c>
      <c r="I238" s="307">
        <v>40546</v>
      </c>
      <c r="J238" s="561">
        <f t="shared" si="14"/>
        <v>64880</v>
      </c>
      <c r="K238" s="561">
        <f>IF(J238&gt;100000,1,0)</f>
        <v>0</v>
      </c>
      <c r="S238" s="561">
        <f t="shared" si="13"/>
        <v>3243680</v>
      </c>
    </row>
    <row r="239" spans="3:20" ht="15">
      <c r="C239" s="307">
        <v>10</v>
      </c>
      <c r="D239" s="614">
        <v>78500</v>
      </c>
      <c r="E239" s="315">
        <v>42825</v>
      </c>
      <c r="F239" s="249" t="s">
        <v>736</v>
      </c>
      <c r="G239" s="314" t="s">
        <v>789</v>
      </c>
      <c r="H239" s="307">
        <v>10</v>
      </c>
      <c r="I239" s="307">
        <v>80102</v>
      </c>
      <c r="J239" s="561">
        <f t="shared" si="14"/>
        <v>16020</v>
      </c>
      <c r="K239" s="561">
        <f t="shared" si="15"/>
        <v>0</v>
      </c>
      <c r="S239" s="561">
        <f t="shared" si="13"/>
        <v>801020</v>
      </c>
    </row>
    <row r="240" spans="3:20" ht="15">
      <c r="C240" s="307">
        <v>20</v>
      </c>
      <c r="D240" s="614">
        <v>42454</v>
      </c>
      <c r="E240" s="315">
        <v>42825</v>
      </c>
      <c r="F240" s="249" t="s">
        <v>799</v>
      </c>
      <c r="G240" s="314" t="s">
        <v>789</v>
      </c>
      <c r="H240" s="307">
        <v>20</v>
      </c>
      <c r="I240" s="307">
        <v>43320</v>
      </c>
      <c r="J240" s="561">
        <f t="shared" si="14"/>
        <v>17320</v>
      </c>
      <c r="K240" s="561">
        <f t="shared" si="15"/>
        <v>0</v>
      </c>
      <c r="S240" s="561">
        <f t="shared" si="13"/>
        <v>866400</v>
      </c>
    </row>
    <row r="241" spans="3:19" ht="15">
      <c r="C241" s="307">
        <v>28</v>
      </c>
      <c r="D241" s="614">
        <v>43982</v>
      </c>
      <c r="E241" s="315">
        <v>42825</v>
      </c>
      <c r="F241" s="249" t="s">
        <v>679</v>
      </c>
      <c r="G241" s="314" t="s">
        <v>789</v>
      </c>
      <c r="H241" s="307">
        <v>28</v>
      </c>
      <c r="I241" s="307">
        <v>44880</v>
      </c>
      <c r="J241" s="561">
        <f t="shared" si="14"/>
        <v>25144</v>
      </c>
      <c r="K241" s="561">
        <f t="shared" si="15"/>
        <v>0</v>
      </c>
      <c r="S241" s="561">
        <f t="shared" si="13"/>
        <v>1256640</v>
      </c>
    </row>
    <row r="242" spans="3:19" ht="15">
      <c r="C242" s="307">
        <v>12</v>
      </c>
      <c r="D242" s="614">
        <v>49660</v>
      </c>
      <c r="E242" s="315">
        <v>42825</v>
      </c>
      <c r="F242" s="249" t="s">
        <v>735</v>
      </c>
      <c r="G242" s="314" t="s">
        <v>789</v>
      </c>
      <c r="H242" s="307">
        <v>12</v>
      </c>
      <c r="I242" s="307">
        <v>50673</v>
      </c>
      <c r="J242" s="561">
        <f t="shared" si="14"/>
        <v>12156</v>
      </c>
      <c r="K242" s="561">
        <f t="shared" si="15"/>
        <v>0</v>
      </c>
      <c r="S242" s="561">
        <f t="shared" si="13"/>
        <v>608076</v>
      </c>
    </row>
    <row r="243" spans="3:19" ht="15">
      <c r="C243" s="307">
        <v>12</v>
      </c>
      <c r="D243" s="614">
        <v>54883</v>
      </c>
      <c r="E243" s="315">
        <v>42825</v>
      </c>
      <c r="F243" s="249" t="s">
        <v>731</v>
      </c>
      <c r="G243" s="314" t="s">
        <v>789</v>
      </c>
      <c r="H243" s="307">
        <v>12</v>
      </c>
      <c r="I243" s="307">
        <v>56003</v>
      </c>
      <c r="J243" s="561">
        <f t="shared" si="14"/>
        <v>13440</v>
      </c>
      <c r="K243" s="561">
        <f t="shared" si="15"/>
        <v>0</v>
      </c>
      <c r="S243" s="561">
        <f t="shared" si="13"/>
        <v>672036</v>
      </c>
    </row>
    <row r="244" spans="3:19" ht="15">
      <c r="C244" s="307">
        <v>10</v>
      </c>
      <c r="D244" s="614">
        <v>52044</v>
      </c>
      <c r="E244" s="315">
        <v>42825</v>
      </c>
      <c r="F244" s="249" t="s">
        <v>732</v>
      </c>
      <c r="G244" s="314" t="s">
        <v>789</v>
      </c>
      <c r="H244" s="307">
        <v>10</v>
      </c>
      <c r="I244" s="307">
        <v>53105</v>
      </c>
      <c r="J244" s="561">
        <f t="shared" si="14"/>
        <v>10610</v>
      </c>
      <c r="K244" s="561">
        <f t="shared" si="15"/>
        <v>0</v>
      </c>
      <c r="S244" s="561">
        <f t="shared" si="13"/>
        <v>531050</v>
      </c>
    </row>
    <row r="245" spans="3:19" ht="15">
      <c r="C245" s="307">
        <v>100</v>
      </c>
      <c r="D245" s="614">
        <v>42608</v>
      </c>
      <c r="E245" s="315">
        <v>42825</v>
      </c>
      <c r="F245" s="249" t="s">
        <v>733</v>
      </c>
      <c r="G245" s="314" t="s">
        <v>789</v>
      </c>
      <c r="H245" s="307">
        <v>100</v>
      </c>
      <c r="I245" s="307">
        <v>43472</v>
      </c>
      <c r="J245" s="561">
        <f t="shared" si="14"/>
        <v>86400</v>
      </c>
      <c r="K245" s="561">
        <f>IF(J245&gt;100000,1,0)</f>
        <v>0</v>
      </c>
      <c r="S245" s="561">
        <f t="shared" si="13"/>
        <v>4347200</v>
      </c>
    </row>
    <row r="246" spans="3:19" ht="15">
      <c r="C246" s="307">
        <v>26</v>
      </c>
      <c r="D246" s="614">
        <v>88471</v>
      </c>
      <c r="E246" s="315">
        <v>42825</v>
      </c>
      <c r="F246" s="249" t="s">
        <v>734</v>
      </c>
      <c r="G246" s="314" t="s">
        <v>789</v>
      </c>
      <c r="H246" s="307">
        <v>26</v>
      </c>
      <c r="I246" s="307">
        <v>90277</v>
      </c>
      <c r="J246" s="561">
        <f t="shared" si="14"/>
        <v>46956</v>
      </c>
      <c r="K246" s="561">
        <f t="shared" si="15"/>
        <v>0</v>
      </c>
      <c r="S246" s="561">
        <f t="shared" si="13"/>
        <v>2347202</v>
      </c>
    </row>
    <row r="247" spans="3:19" ht="15">
      <c r="C247" s="307">
        <v>6</v>
      </c>
      <c r="D247" s="614">
        <v>41341</v>
      </c>
      <c r="E247" s="315">
        <v>42825</v>
      </c>
      <c r="F247" s="249" t="s">
        <v>687</v>
      </c>
      <c r="G247" s="314" t="s">
        <v>789</v>
      </c>
      <c r="H247" s="307">
        <v>6</v>
      </c>
      <c r="I247" s="307">
        <v>42185</v>
      </c>
      <c r="J247" s="561">
        <f t="shared" si="14"/>
        <v>5064</v>
      </c>
      <c r="K247" s="561">
        <f t="shared" si="15"/>
        <v>0</v>
      </c>
      <c r="S247" s="561">
        <f t="shared" si="13"/>
        <v>253110</v>
      </c>
    </row>
    <row r="248" spans="3:19" ht="15">
      <c r="C248" s="307">
        <v>246</v>
      </c>
      <c r="D248" s="614">
        <v>17250</v>
      </c>
      <c r="E248" s="315">
        <v>42825</v>
      </c>
      <c r="F248" s="249" t="s">
        <v>704</v>
      </c>
      <c r="G248" s="314" t="s">
        <v>789</v>
      </c>
      <c r="H248" s="307">
        <v>246</v>
      </c>
      <c r="I248" s="307">
        <v>17602</v>
      </c>
      <c r="J248" s="561">
        <f t="shared" si="14"/>
        <v>86592</v>
      </c>
      <c r="K248" s="561">
        <f>IF(J248&gt;100000,1,0)</f>
        <v>0</v>
      </c>
      <c r="S248" s="561">
        <f t="shared" si="13"/>
        <v>4330092</v>
      </c>
    </row>
    <row r="249" spans="3:19" ht="15">
      <c r="C249" s="307">
        <v>32</v>
      </c>
      <c r="D249" s="614">
        <v>44442</v>
      </c>
      <c r="E249" s="315">
        <v>42825</v>
      </c>
      <c r="F249" s="249" t="s">
        <v>705</v>
      </c>
      <c r="G249" s="314" t="s">
        <v>789</v>
      </c>
      <c r="H249" s="307">
        <v>32</v>
      </c>
      <c r="I249" s="307">
        <v>45349</v>
      </c>
      <c r="J249" s="561">
        <f t="shared" si="14"/>
        <v>29024</v>
      </c>
      <c r="K249" s="561">
        <f t="shared" si="15"/>
        <v>0</v>
      </c>
      <c r="S249" s="561">
        <f t="shared" si="13"/>
        <v>1451168</v>
      </c>
    </row>
    <row r="250" spans="3:19" ht="15">
      <c r="C250" s="307">
        <v>8</v>
      </c>
      <c r="D250" s="614">
        <v>24338</v>
      </c>
      <c r="E250" s="315">
        <v>42825</v>
      </c>
      <c r="F250" s="249" t="s">
        <v>706</v>
      </c>
      <c r="G250" s="314" t="s">
        <v>789</v>
      </c>
      <c r="H250" s="307">
        <v>8</v>
      </c>
      <c r="I250" s="307">
        <v>24835</v>
      </c>
      <c r="J250" s="561">
        <f t="shared" si="14"/>
        <v>3976</v>
      </c>
      <c r="K250" s="561">
        <f t="shared" si="15"/>
        <v>0</v>
      </c>
      <c r="S250" s="561">
        <f t="shared" si="13"/>
        <v>198680</v>
      </c>
    </row>
    <row r="251" spans="3:19" ht="15">
      <c r="C251" s="307">
        <v>36</v>
      </c>
      <c r="D251" s="614">
        <v>31227</v>
      </c>
      <c r="E251" s="315">
        <v>42825</v>
      </c>
      <c r="F251" s="249" t="s">
        <v>619</v>
      </c>
      <c r="G251" s="314" t="s">
        <v>789</v>
      </c>
      <c r="H251" s="307">
        <v>36</v>
      </c>
      <c r="I251" s="307">
        <v>31864</v>
      </c>
      <c r="J251" s="561">
        <f t="shared" si="14"/>
        <v>22932</v>
      </c>
      <c r="K251" s="561">
        <f t="shared" si="15"/>
        <v>0</v>
      </c>
      <c r="S251" s="561">
        <f t="shared" si="13"/>
        <v>1147104</v>
      </c>
    </row>
    <row r="252" spans="3:19" ht="15">
      <c r="C252" s="307">
        <v>36</v>
      </c>
      <c r="D252" s="614">
        <v>20357</v>
      </c>
      <c r="E252" s="315">
        <v>42825</v>
      </c>
      <c r="F252" s="249" t="s">
        <v>710</v>
      </c>
      <c r="G252" s="314" t="s">
        <v>789</v>
      </c>
      <c r="H252" s="307">
        <v>36</v>
      </c>
      <c r="I252" s="307">
        <v>20772</v>
      </c>
      <c r="J252" s="561">
        <f t="shared" si="14"/>
        <v>14940</v>
      </c>
      <c r="K252" s="561">
        <f t="shared" si="15"/>
        <v>0</v>
      </c>
      <c r="S252" s="561">
        <f t="shared" si="13"/>
        <v>747792</v>
      </c>
    </row>
    <row r="253" spans="3:19" ht="15">
      <c r="C253" s="307">
        <v>36</v>
      </c>
      <c r="D253" s="614">
        <v>20682</v>
      </c>
      <c r="E253" s="315">
        <v>42825</v>
      </c>
      <c r="F253" s="249" t="s">
        <v>711</v>
      </c>
      <c r="G253" s="314" t="s">
        <v>789</v>
      </c>
      <c r="H253" s="307">
        <v>36</v>
      </c>
      <c r="I253" s="307">
        <v>21104</v>
      </c>
      <c r="J253" s="561">
        <f t="shared" si="14"/>
        <v>15192</v>
      </c>
      <c r="K253" s="561">
        <f t="shared" si="15"/>
        <v>0</v>
      </c>
      <c r="S253" s="561">
        <f t="shared" si="13"/>
        <v>759744</v>
      </c>
    </row>
    <row r="254" spans="3:19" ht="15">
      <c r="C254" s="307">
        <v>6</v>
      </c>
      <c r="D254" s="614">
        <v>20840</v>
      </c>
      <c r="E254" s="315">
        <v>42825</v>
      </c>
      <c r="F254" s="249" t="s">
        <v>746</v>
      </c>
      <c r="G254" s="314" t="s">
        <v>789</v>
      </c>
      <c r="H254" s="307">
        <v>6</v>
      </c>
      <c r="I254" s="307">
        <v>21265</v>
      </c>
      <c r="J254" s="561">
        <f t="shared" si="14"/>
        <v>2550</v>
      </c>
      <c r="K254" s="561">
        <f t="shared" si="15"/>
        <v>0</v>
      </c>
      <c r="S254" s="561">
        <f t="shared" si="13"/>
        <v>127590</v>
      </c>
    </row>
    <row r="255" spans="3:19" ht="15">
      <c r="C255" s="307">
        <v>36</v>
      </c>
      <c r="D255" s="614">
        <v>48271</v>
      </c>
      <c r="E255" s="315">
        <v>42825</v>
      </c>
      <c r="F255" s="249" t="s">
        <v>712</v>
      </c>
      <c r="G255" s="314" t="s">
        <v>789</v>
      </c>
      <c r="H255" s="307">
        <v>36</v>
      </c>
      <c r="I255" s="307">
        <v>49256</v>
      </c>
      <c r="J255" s="561">
        <f t="shared" si="14"/>
        <v>35460</v>
      </c>
      <c r="K255" s="561">
        <f t="shared" si="15"/>
        <v>0</v>
      </c>
      <c r="S255" s="561">
        <f t="shared" si="13"/>
        <v>1773216</v>
      </c>
    </row>
    <row r="256" spans="3:19" ht="15">
      <c r="C256" s="307">
        <v>48</v>
      </c>
      <c r="D256" s="614">
        <v>36447</v>
      </c>
      <c r="E256" s="315">
        <v>42825</v>
      </c>
      <c r="F256" s="249" t="s">
        <v>715</v>
      </c>
      <c r="G256" s="314" t="s">
        <v>789</v>
      </c>
      <c r="H256" s="307">
        <v>48</v>
      </c>
      <c r="I256" s="307">
        <v>37191</v>
      </c>
      <c r="J256" s="561">
        <f t="shared" si="14"/>
        <v>35712</v>
      </c>
      <c r="K256" s="561">
        <f t="shared" si="15"/>
        <v>0</v>
      </c>
      <c r="S256" s="561">
        <f t="shared" si="13"/>
        <v>1785168</v>
      </c>
    </row>
    <row r="257" spans="3:19" ht="15">
      <c r="C257" s="307">
        <v>24</v>
      </c>
      <c r="D257" s="614">
        <v>24628</v>
      </c>
      <c r="E257" s="315">
        <v>42825</v>
      </c>
      <c r="F257" s="249" t="s">
        <v>718</v>
      </c>
      <c r="G257" s="314" t="s">
        <v>789</v>
      </c>
      <c r="H257" s="307">
        <v>24</v>
      </c>
      <c r="I257" s="307">
        <v>25131</v>
      </c>
      <c r="J257" s="561">
        <f t="shared" si="14"/>
        <v>12072</v>
      </c>
      <c r="K257" s="561">
        <f t="shared" si="15"/>
        <v>0</v>
      </c>
      <c r="S257" s="561">
        <f t="shared" si="13"/>
        <v>603144</v>
      </c>
    </row>
    <row r="258" spans="3:19" ht="15">
      <c r="C258" s="307">
        <v>36</v>
      </c>
      <c r="D258" s="614">
        <v>45869</v>
      </c>
      <c r="E258" s="315">
        <v>42825</v>
      </c>
      <c r="F258" s="249" t="s">
        <v>712</v>
      </c>
      <c r="G258" s="314" t="s">
        <v>789</v>
      </c>
      <c r="H258" s="307">
        <v>36</v>
      </c>
      <c r="I258" s="307">
        <v>46805</v>
      </c>
      <c r="J258" s="561">
        <f t="shared" si="14"/>
        <v>33696</v>
      </c>
      <c r="K258" s="561">
        <f t="shared" si="15"/>
        <v>0</v>
      </c>
      <c r="S258" s="561">
        <f t="shared" ref="S258:S290" si="16">ROUND(H258*I258,0)</f>
        <v>1684980</v>
      </c>
    </row>
    <row r="259" spans="3:19" ht="15">
      <c r="C259" s="307">
        <v>16</v>
      </c>
      <c r="D259" s="614">
        <v>29746</v>
      </c>
      <c r="E259" s="315">
        <v>42825</v>
      </c>
      <c r="F259" s="249" t="s">
        <v>707</v>
      </c>
      <c r="G259" s="314" t="s">
        <v>789</v>
      </c>
      <c r="H259" s="307">
        <v>16</v>
      </c>
      <c r="I259" s="307">
        <v>30353</v>
      </c>
      <c r="J259" s="561">
        <f t="shared" si="14"/>
        <v>9712</v>
      </c>
      <c r="K259" s="561">
        <f t="shared" si="15"/>
        <v>0</v>
      </c>
      <c r="S259" s="561">
        <f t="shared" si="16"/>
        <v>485648</v>
      </c>
    </row>
    <row r="260" spans="3:19" ht="15">
      <c r="C260" s="307">
        <v>48</v>
      </c>
      <c r="D260" s="614">
        <v>35663</v>
      </c>
      <c r="E260" s="315">
        <v>42825</v>
      </c>
      <c r="F260" s="249" t="s">
        <v>708</v>
      </c>
      <c r="G260" s="314" t="s">
        <v>789</v>
      </c>
      <c r="H260" s="307">
        <v>48</v>
      </c>
      <c r="I260" s="307">
        <v>36391</v>
      </c>
      <c r="J260" s="561">
        <f t="shared" si="14"/>
        <v>34944</v>
      </c>
      <c r="K260" s="561">
        <f t="shared" si="15"/>
        <v>0</v>
      </c>
      <c r="S260" s="561">
        <f t="shared" si="16"/>
        <v>1746768</v>
      </c>
    </row>
    <row r="261" spans="3:19" ht="15">
      <c r="C261" s="307">
        <v>48</v>
      </c>
      <c r="D261" s="614">
        <v>40351</v>
      </c>
      <c r="E261" s="315">
        <v>42825</v>
      </c>
      <c r="F261" s="249" t="s">
        <v>709</v>
      </c>
      <c r="G261" s="314" t="s">
        <v>789</v>
      </c>
      <c r="H261" s="307">
        <v>48</v>
      </c>
      <c r="I261" s="307">
        <v>41174</v>
      </c>
      <c r="J261" s="561">
        <f t="shared" si="14"/>
        <v>39504</v>
      </c>
      <c r="K261" s="561">
        <f t="shared" si="15"/>
        <v>0</v>
      </c>
      <c r="S261" s="561">
        <f t="shared" si="16"/>
        <v>1976352</v>
      </c>
    </row>
    <row r="262" spans="3:19" ht="15">
      <c r="C262" s="307">
        <v>30</v>
      </c>
      <c r="D262" s="614">
        <v>33167</v>
      </c>
      <c r="E262" s="315">
        <v>42825</v>
      </c>
      <c r="F262" s="249" t="s">
        <v>713</v>
      </c>
      <c r="G262" s="314" t="s">
        <v>789</v>
      </c>
      <c r="H262" s="307">
        <v>30</v>
      </c>
      <c r="I262" s="307">
        <v>33844</v>
      </c>
      <c r="J262" s="561">
        <f t="shared" si="14"/>
        <v>20310</v>
      </c>
      <c r="K262" s="561">
        <f t="shared" si="15"/>
        <v>0</v>
      </c>
      <c r="S262" s="561">
        <f t="shared" si="16"/>
        <v>1015320</v>
      </c>
    </row>
    <row r="263" spans="3:19" ht="15">
      <c r="C263" s="307">
        <v>24</v>
      </c>
      <c r="D263" s="614">
        <v>19834</v>
      </c>
      <c r="E263" s="315">
        <v>42825</v>
      </c>
      <c r="F263" s="249" t="s">
        <v>619</v>
      </c>
      <c r="G263" s="314" t="s">
        <v>789</v>
      </c>
      <c r="H263" s="307">
        <v>24</v>
      </c>
      <c r="I263" s="307">
        <v>20239</v>
      </c>
      <c r="J263" s="561">
        <f t="shared" si="14"/>
        <v>9720</v>
      </c>
      <c r="K263" s="561">
        <f t="shared" si="15"/>
        <v>0</v>
      </c>
      <c r="S263" s="561">
        <f t="shared" si="16"/>
        <v>485736</v>
      </c>
    </row>
    <row r="264" spans="3:19" ht="15">
      <c r="C264" s="307">
        <v>24</v>
      </c>
      <c r="D264" s="614">
        <v>27705</v>
      </c>
      <c r="E264" s="315">
        <v>42825</v>
      </c>
      <c r="F264" s="249" t="s">
        <v>716</v>
      </c>
      <c r="G264" s="314" t="s">
        <v>789</v>
      </c>
      <c r="H264" s="307">
        <v>24</v>
      </c>
      <c r="I264" s="307">
        <v>28270</v>
      </c>
      <c r="J264" s="561">
        <f t="shared" si="14"/>
        <v>13560</v>
      </c>
      <c r="K264" s="561">
        <f t="shared" si="15"/>
        <v>0</v>
      </c>
      <c r="S264" s="561">
        <f t="shared" si="16"/>
        <v>678480</v>
      </c>
    </row>
    <row r="265" spans="3:19" ht="15">
      <c r="C265" s="307">
        <v>24</v>
      </c>
      <c r="D265" s="614">
        <v>23657</v>
      </c>
      <c r="E265" s="315">
        <v>42825</v>
      </c>
      <c r="F265" s="249" t="s">
        <v>717</v>
      </c>
      <c r="G265" s="314" t="s">
        <v>789</v>
      </c>
      <c r="H265" s="307">
        <v>24</v>
      </c>
      <c r="I265" s="307">
        <v>24140</v>
      </c>
      <c r="J265" s="561">
        <f t="shared" si="14"/>
        <v>11592</v>
      </c>
      <c r="K265" s="561">
        <f t="shared" si="15"/>
        <v>0</v>
      </c>
      <c r="S265" s="561">
        <f t="shared" si="16"/>
        <v>579360</v>
      </c>
    </row>
    <row r="266" spans="3:19" ht="15">
      <c r="C266" s="307">
        <v>12</v>
      </c>
      <c r="D266" s="614">
        <v>21761</v>
      </c>
      <c r="E266" s="315">
        <v>42825</v>
      </c>
      <c r="F266" s="249" t="s">
        <v>626</v>
      </c>
      <c r="G266" s="314" t="s">
        <v>789</v>
      </c>
      <c r="H266" s="307">
        <v>12</v>
      </c>
      <c r="I266" s="307">
        <v>22205</v>
      </c>
      <c r="J266" s="561">
        <f t="shared" si="14"/>
        <v>5328</v>
      </c>
      <c r="K266" s="561">
        <f t="shared" si="15"/>
        <v>0</v>
      </c>
      <c r="S266" s="561">
        <f t="shared" si="16"/>
        <v>266460</v>
      </c>
    </row>
    <row r="267" spans="3:19" ht="15">
      <c r="C267" s="307">
        <v>36</v>
      </c>
      <c r="D267" s="614">
        <v>13106</v>
      </c>
      <c r="E267" s="315">
        <v>42825</v>
      </c>
      <c r="F267" s="249" t="s">
        <v>719</v>
      </c>
      <c r="G267" s="314" t="s">
        <v>789</v>
      </c>
      <c r="H267" s="307">
        <v>36</v>
      </c>
      <c r="I267" s="307">
        <v>13373</v>
      </c>
      <c r="J267" s="561">
        <f t="shared" si="14"/>
        <v>9612</v>
      </c>
      <c r="K267" s="561">
        <f t="shared" si="15"/>
        <v>0</v>
      </c>
      <c r="S267" s="561">
        <f t="shared" si="16"/>
        <v>481428</v>
      </c>
    </row>
    <row r="268" spans="3:19" ht="15">
      <c r="C268" s="307">
        <v>48</v>
      </c>
      <c r="D268" s="614">
        <v>7667</v>
      </c>
      <c r="E268" s="315">
        <v>42825</v>
      </c>
      <c r="F268" s="249" t="s">
        <v>720</v>
      </c>
      <c r="G268" s="314" t="s">
        <v>789</v>
      </c>
      <c r="H268" s="307">
        <v>48</v>
      </c>
      <c r="I268" s="307">
        <v>7823</v>
      </c>
      <c r="J268" s="561">
        <f t="shared" si="14"/>
        <v>7488</v>
      </c>
      <c r="K268" s="561">
        <f t="shared" si="15"/>
        <v>0</v>
      </c>
      <c r="S268" s="561">
        <f t="shared" si="16"/>
        <v>375504</v>
      </c>
    </row>
    <row r="269" spans="3:19" ht="15">
      <c r="C269" s="307">
        <v>3</v>
      </c>
      <c r="D269" s="614">
        <v>15212</v>
      </c>
      <c r="E269" s="315">
        <v>42825</v>
      </c>
      <c r="F269" s="249" t="s">
        <v>673</v>
      </c>
      <c r="G269" s="314" t="s">
        <v>789</v>
      </c>
      <c r="H269" s="307">
        <v>3</v>
      </c>
      <c r="I269" s="307">
        <v>15522</v>
      </c>
      <c r="J269" s="561">
        <f t="shared" si="14"/>
        <v>930</v>
      </c>
      <c r="K269" s="561">
        <f t="shared" si="15"/>
        <v>0</v>
      </c>
      <c r="S269" s="561">
        <f t="shared" si="16"/>
        <v>46566</v>
      </c>
    </row>
    <row r="270" spans="3:19" ht="15">
      <c r="C270" s="307">
        <v>24</v>
      </c>
      <c r="D270" s="614">
        <v>7804</v>
      </c>
      <c r="E270" s="315">
        <v>42825</v>
      </c>
      <c r="F270" s="249" t="s">
        <v>721</v>
      </c>
      <c r="G270" s="314" t="s">
        <v>789</v>
      </c>
      <c r="H270" s="307">
        <v>24</v>
      </c>
      <c r="I270" s="307">
        <v>7963</v>
      </c>
      <c r="J270" s="561">
        <f t="shared" si="14"/>
        <v>3816</v>
      </c>
      <c r="K270" s="561">
        <f t="shared" si="15"/>
        <v>0</v>
      </c>
      <c r="S270" s="561">
        <f t="shared" si="16"/>
        <v>191112</v>
      </c>
    </row>
    <row r="271" spans="3:19" ht="15">
      <c r="C271" s="307">
        <v>24</v>
      </c>
      <c r="D271" s="614">
        <v>11341</v>
      </c>
      <c r="E271" s="315">
        <v>42825</v>
      </c>
      <c r="F271" s="249" t="s">
        <v>722</v>
      </c>
      <c r="G271" s="314" t="s">
        <v>789</v>
      </c>
      <c r="H271" s="307">
        <v>24</v>
      </c>
      <c r="I271" s="307">
        <v>11572</v>
      </c>
      <c r="J271" s="561">
        <f t="shared" si="14"/>
        <v>5544</v>
      </c>
      <c r="K271" s="561">
        <f t="shared" si="15"/>
        <v>0</v>
      </c>
      <c r="S271" s="561">
        <f t="shared" si="16"/>
        <v>277728</v>
      </c>
    </row>
    <row r="272" spans="3:19" ht="15">
      <c r="C272" s="307">
        <v>16</v>
      </c>
      <c r="D272" s="614">
        <v>10507</v>
      </c>
      <c r="E272" s="315">
        <v>42825</v>
      </c>
      <c r="F272" s="249" t="s">
        <v>723</v>
      </c>
      <c r="G272" s="314" t="s">
        <v>789</v>
      </c>
      <c r="H272" s="307">
        <v>16</v>
      </c>
      <c r="I272" s="307">
        <v>10721</v>
      </c>
      <c r="J272" s="561">
        <f t="shared" si="14"/>
        <v>3424</v>
      </c>
      <c r="K272" s="561">
        <f t="shared" si="15"/>
        <v>0</v>
      </c>
      <c r="S272" s="561">
        <f t="shared" si="16"/>
        <v>171536</v>
      </c>
    </row>
    <row r="273" spans="3:19" ht="15">
      <c r="C273" s="307">
        <v>16</v>
      </c>
      <c r="D273" s="614">
        <v>8229</v>
      </c>
      <c r="E273" s="315">
        <v>42825</v>
      </c>
      <c r="F273" s="249" t="s">
        <v>724</v>
      </c>
      <c r="G273" s="314" t="s">
        <v>789</v>
      </c>
      <c r="H273" s="307">
        <v>16</v>
      </c>
      <c r="I273" s="307">
        <v>8397</v>
      </c>
      <c r="J273" s="561">
        <f t="shared" si="14"/>
        <v>2688</v>
      </c>
      <c r="K273" s="561">
        <f t="shared" si="15"/>
        <v>0</v>
      </c>
      <c r="S273" s="561">
        <f t="shared" si="16"/>
        <v>134352</v>
      </c>
    </row>
    <row r="274" spans="3:19" ht="15">
      <c r="C274" s="307">
        <v>12</v>
      </c>
      <c r="D274" s="614">
        <v>18973</v>
      </c>
      <c r="E274" s="315">
        <v>42825</v>
      </c>
      <c r="F274" s="249" t="s">
        <v>725</v>
      </c>
      <c r="G274" s="314" t="s">
        <v>789</v>
      </c>
      <c r="H274" s="307">
        <v>12</v>
      </c>
      <c r="I274" s="307">
        <v>19360</v>
      </c>
      <c r="J274" s="561">
        <f t="shared" si="14"/>
        <v>4644</v>
      </c>
      <c r="K274" s="561">
        <f t="shared" si="15"/>
        <v>0</v>
      </c>
      <c r="S274" s="561">
        <f t="shared" si="16"/>
        <v>232320</v>
      </c>
    </row>
    <row r="275" spans="3:19" ht="15">
      <c r="C275" s="307">
        <v>18</v>
      </c>
      <c r="D275" s="614">
        <v>7838</v>
      </c>
      <c r="E275" s="315">
        <v>42825</v>
      </c>
      <c r="F275" s="249" t="s">
        <v>726</v>
      </c>
      <c r="G275" s="314" t="s">
        <v>789</v>
      </c>
      <c r="H275" s="307">
        <v>18</v>
      </c>
      <c r="I275" s="307">
        <v>7998</v>
      </c>
      <c r="J275" s="561">
        <f t="shared" si="14"/>
        <v>2880</v>
      </c>
      <c r="K275" s="561">
        <f t="shared" si="15"/>
        <v>0</v>
      </c>
      <c r="S275" s="561">
        <f t="shared" si="16"/>
        <v>143964</v>
      </c>
    </row>
    <row r="276" spans="3:19" ht="15">
      <c r="C276" s="307">
        <v>24</v>
      </c>
      <c r="D276" s="614">
        <v>22519</v>
      </c>
      <c r="E276" s="315">
        <v>42825</v>
      </c>
      <c r="F276" s="249" t="s">
        <v>727</v>
      </c>
      <c r="G276" s="314" t="s">
        <v>789</v>
      </c>
      <c r="H276" s="307">
        <v>24</v>
      </c>
      <c r="I276" s="307">
        <v>22979</v>
      </c>
      <c r="J276" s="561">
        <f t="shared" si="14"/>
        <v>11040</v>
      </c>
      <c r="K276" s="561">
        <f t="shared" si="15"/>
        <v>0</v>
      </c>
      <c r="S276" s="561">
        <f t="shared" si="16"/>
        <v>551496</v>
      </c>
    </row>
    <row r="277" spans="3:19" ht="15">
      <c r="C277" s="307">
        <v>12</v>
      </c>
      <c r="D277" s="614">
        <v>20041</v>
      </c>
      <c r="E277" s="315">
        <v>42825</v>
      </c>
      <c r="F277" s="249" t="s">
        <v>728</v>
      </c>
      <c r="G277" s="314" t="s">
        <v>789</v>
      </c>
      <c r="H277" s="307">
        <v>12</v>
      </c>
      <c r="I277" s="307">
        <v>20450</v>
      </c>
      <c r="J277" s="561">
        <f t="shared" si="14"/>
        <v>4908</v>
      </c>
      <c r="K277" s="561">
        <f t="shared" si="15"/>
        <v>0</v>
      </c>
      <c r="S277" s="561">
        <f t="shared" si="16"/>
        <v>245400</v>
      </c>
    </row>
    <row r="278" spans="3:19" ht="15">
      <c r="C278" s="307">
        <v>24</v>
      </c>
      <c r="D278" s="614">
        <v>11841</v>
      </c>
      <c r="E278" s="315">
        <v>42825</v>
      </c>
      <c r="F278" s="249" t="s">
        <v>729</v>
      </c>
      <c r="G278" s="314" t="s">
        <v>789</v>
      </c>
      <c r="H278" s="307">
        <v>24</v>
      </c>
      <c r="I278" s="307">
        <v>12083</v>
      </c>
      <c r="J278" s="561">
        <f t="shared" si="14"/>
        <v>5808</v>
      </c>
      <c r="K278" s="561">
        <f t="shared" si="15"/>
        <v>0</v>
      </c>
      <c r="S278" s="561">
        <f t="shared" si="16"/>
        <v>289992</v>
      </c>
    </row>
    <row r="279" spans="3:19" ht="15">
      <c r="C279" s="307">
        <v>40</v>
      </c>
      <c r="D279" s="614">
        <v>61491</v>
      </c>
      <c r="E279" s="315">
        <v>42825</v>
      </c>
      <c r="F279" s="249" t="s">
        <v>649</v>
      </c>
      <c r="G279" s="314" t="s">
        <v>789</v>
      </c>
      <c r="H279" s="307">
        <v>40</v>
      </c>
      <c r="I279" s="307">
        <v>62746</v>
      </c>
      <c r="J279" s="561">
        <f>I279*H279-D279*C279</f>
        <v>50200</v>
      </c>
      <c r="K279" s="561">
        <f>IF(J279&gt;100000,1,0)</f>
        <v>0</v>
      </c>
      <c r="S279" s="561">
        <f t="shared" si="16"/>
        <v>2509840</v>
      </c>
    </row>
    <row r="280" spans="3:19" ht="15">
      <c r="C280" s="307">
        <v>15</v>
      </c>
      <c r="D280" s="614">
        <v>63708</v>
      </c>
      <c r="E280" s="315">
        <v>42825</v>
      </c>
      <c r="F280" s="249" t="s">
        <v>653</v>
      </c>
      <c r="G280" s="314" t="s">
        <v>789</v>
      </c>
      <c r="H280" s="307">
        <v>15</v>
      </c>
      <c r="I280" s="307">
        <v>65008</v>
      </c>
      <c r="J280" s="561">
        <f t="shared" si="14"/>
        <v>19500</v>
      </c>
      <c r="K280" s="561">
        <f t="shared" si="15"/>
        <v>0</v>
      </c>
      <c r="S280" s="561">
        <f t="shared" si="16"/>
        <v>975120</v>
      </c>
    </row>
    <row r="281" spans="3:19" ht="15">
      <c r="C281" s="307">
        <v>20</v>
      </c>
      <c r="D281" s="614">
        <v>71765</v>
      </c>
      <c r="E281" s="315">
        <v>42825</v>
      </c>
      <c r="F281" s="249" t="s">
        <v>654</v>
      </c>
      <c r="G281" s="314" t="s">
        <v>789</v>
      </c>
      <c r="H281" s="307">
        <v>20</v>
      </c>
      <c r="I281" s="307">
        <v>73230</v>
      </c>
      <c r="J281" s="561">
        <f t="shared" si="14"/>
        <v>29300</v>
      </c>
      <c r="K281" s="561">
        <f t="shared" si="15"/>
        <v>0</v>
      </c>
      <c r="S281" s="561">
        <f t="shared" si="16"/>
        <v>1464600</v>
      </c>
    </row>
    <row r="282" spans="3:19" ht="15">
      <c r="C282" s="307">
        <v>30</v>
      </c>
      <c r="D282" s="614">
        <v>84069</v>
      </c>
      <c r="E282" s="315">
        <v>42825</v>
      </c>
      <c r="F282" s="249" t="s">
        <v>737</v>
      </c>
      <c r="G282" s="314" t="s">
        <v>789</v>
      </c>
      <c r="H282" s="307">
        <v>30</v>
      </c>
      <c r="I282" s="307">
        <v>85785</v>
      </c>
      <c r="J282" s="561">
        <f t="shared" ref="J282:J289" si="17">I282*H282-D282*C282</f>
        <v>51480</v>
      </c>
      <c r="K282" s="561">
        <f>IF(J282&gt;100000,1,0)</f>
        <v>0</v>
      </c>
      <c r="S282" s="561">
        <f t="shared" si="16"/>
        <v>2573550</v>
      </c>
    </row>
    <row r="283" spans="3:19" ht="15">
      <c r="C283" s="307">
        <v>6</v>
      </c>
      <c r="D283" s="614">
        <v>36740</v>
      </c>
      <c r="E283" s="315">
        <v>42825</v>
      </c>
      <c r="F283" s="249" t="s">
        <v>730</v>
      </c>
      <c r="G283" s="314" t="s">
        <v>789</v>
      </c>
      <c r="H283" s="307">
        <v>6</v>
      </c>
      <c r="I283" s="307">
        <v>37490</v>
      </c>
      <c r="J283" s="561">
        <f t="shared" si="17"/>
        <v>4500</v>
      </c>
      <c r="K283" s="561">
        <f t="shared" ref="K283:K289" si="18">IF(J283&gt;50000,1,0)</f>
        <v>0</v>
      </c>
      <c r="S283" s="561">
        <f t="shared" si="16"/>
        <v>224940</v>
      </c>
    </row>
    <row r="284" spans="3:19" ht="15">
      <c r="C284" s="307">
        <v>8</v>
      </c>
      <c r="D284" s="614">
        <v>147559</v>
      </c>
      <c r="E284" s="315">
        <v>42825</v>
      </c>
      <c r="F284" s="249" t="s">
        <v>738</v>
      </c>
      <c r="G284" s="314" t="s">
        <v>789</v>
      </c>
      <c r="H284" s="307">
        <v>8</v>
      </c>
      <c r="I284" s="307">
        <v>150570</v>
      </c>
      <c r="J284" s="561">
        <f t="shared" si="17"/>
        <v>24088</v>
      </c>
      <c r="K284" s="561">
        <f t="shared" si="18"/>
        <v>0</v>
      </c>
      <c r="S284" s="561">
        <f t="shared" si="16"/>
        <v>1204560</v>
      </c>
    </row>
    <row r="285" spans="3:19" ht="15">
      <c r="C285" s="307">
        <v>20</v>
      </c>
      <c r="D285" s="614">
        <v>101418</v>
      </c>
      <c r="E285" s="315">
        <v>42825</v>
      </c>
      <c r="F285" s="249" t="s">
        <v>693</v>
      </c>
      <c r="G285" s="314" t="s">
        <v>789</v>
      </c>
      <c r="H285" s="307">
        <v>20</v>
      </c>
      <c r="I285" s="307">
        <v>103488</v>
      </c>
      <c r="J285" s="561">
        <f t="shared" si="17"/>
        <v>41400</v>
      </c>
      <c r="K285" s="561">
        <f t="shared" si="18"/>
        <v>0</v>
      </c>
      <c r="S285" s="561">
        <f t="shared" si="16"/>
        <v>2069760</v>
      </c>
    </row>
    <row r="286" spans="3:19" ht="15">
      <c r="C286" s="307">
        <v>12</v>
      </c>
      <c r="D286" s="614">
        <v>41816</v>
      </c>
      <c r="E286" s="315">
        <v>42825</v>
      </c>
      <c r="F286" s="249" t="s">
        <v>611</v>
      </c>
      <c r="G286" s="314" t="s">
        <v>789</v>
      </c>
      <c r="H286" s="307">
        <v>12</v>
      </c>
      <c r="I286" s="307">
        <v>42669</v>
      </c>
      <c r="J286" s="561">
        <f t="shared" si="17"/>
        <v>10236</v>
      </c>
      <c r="K286" s="561">
        <f t="shared" si="18"/>
        <v>0</v>
      </c>
      <c r="S286" s="561">
        <f t="shared" si="16"/>
        <v>512028</v>
      </c>
    </row>
    <row r="287" spans="3:19" ht="15">
      <c r="C287" s="307">
        <v>14</v>
      </c>
      <c r="D287" s="614">
        <v>48000</v>
      </c>
      <c r="E287" s="315">
        <v>42825</v>
      </c>
      <c r="F287" s="249" t="s">
        <v>739</v>
      </c>
      <c r="G287" s="314" t="s">
        <v>789</v>
      </c>
      <c r="H287" s="307">
        <v>14</v>
      </c>
      <c r="I287" s="307">
        <v>48980</v>
      </c>
      <c r="J287" s="561">
        <f t="shared" si="17"/>
        <v>13720</v>
      </c>
      <c r="K287" s="561">
        <f t="shared" si="18"/>
        <v>0</v>
      </c>
      <c r="S287" s="561">
        <f t="shared" si="16"/>
        <v>685720</v>
      </c>
    </row>
    <row r="288" spans="3:19" ht="15">
      <c r="C288" s="307">
        <v>4</v>
      </c>
      <c r="D288" s="614">
        <v>160236</v>
      </c>
      <c r="E288" s="315">
        <v>42825</v>
      </c>
      <c r="F288" s="249" t="s">
        <v>740</v>
      </c>
      <c r="G288" s="314" t="s">
        <v>789</v>
      </c>
      <c r="H288" s="307">
        <v>4</v>
      </c>
      <c r="I288" s="307">
        <v>163506</v>
      </c>
      <c r="J288" s="561">
        <f t="shared" si="17"/>
        <v>13080</v>
      </c>
      <c r="K288" s="561">
        <f t="shared" si="18"/>
        <v>0</v>
      </c>
      <c r="S288" s="561">
        <f t="shared" si="16"/>
        <v>654024</v>
      </c>
    </row>
    <row r="289" spans="2:20" ht="15">
      <c r="C289" s="307">
        <v>4</v>
      </c>
      <c r="D289" s="614">
        <v>210369</v>
      </c>
      <c r="E289" s="315">
        <v>42825</v>
      </c>
      <c r="F289" s="249" t="s">
        <v>741</v>
      </c>
      <c r="G289" s="314" t="s">
        <v>789</v>
      </c>
      <c r="H289" s="307">
        <v>4</v>
      </c>
      <c r="I289" s="307">
        <v>214662</v>
      </c>
      <c r="J289" s="561">
        <f t="shared" si="17"/>
        <v>17172</v>
      </c>
      <c r="K289" s="561">
        <f t="shared" si="18"/>
        <v>0</v>
      </c>
      <c r="S289" s="561">
        <f t="shared" si="16"/>
        <v>858648</v>
      </c>
    </row>
    <row r="290" spans="2:20" ht="15">
      <c r="C290" s="523">
        <v>25400</v>
      </c>
      <c r="D290" s="523">
        <v>8300</v>
      </c>
      <c r="E290" s="571">
        <v>42825</v>
      </c>
      <c r="F290" s="572" t="s">
        <v>380</v>
      </c>
      <c r="G290" s="314" t="s">
        <v>836</v>
      </c>
      <c r="H290" s="523">
        <v>25400</v>
      </c>
      <c r="I290" s="523">
        <v>8400</v>
      </c>
      <c r="J290" s="561">
        <f>I290*H290-D290*C290</f>
        <v>2540000</v>
      </c>
      <c r="K290" s="561">
        <v>0</v>
      </c>
      <c r="S290" s="561">
        <f t="shared" si="16"/>
        <v>213360000</v>
      </c>
      <c r="T290" s="561"/>
    </row>
    <row r="291" spans="2:20">
      <c r="B291">
        <v>2</v>
      </c>
      <c r="C291">
        <v>2</v>
      </c>
      <c r="D291">
        <v>2</v>
      </c>
      <c r="E291">
        <v>2</v>
      </c>
      <c r="F291">
        <v>2</v>
      </c>
      <c r="G291">
        <v>2</v>
      </c>
      <c r="H291">
        <v>2</v>
      </c>
      <c r="I291">
        <v>2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S291" s="581">
        <f>SUM(S2:S290)</f>
        <v>2439171092</v>
      </c>
      <c r="T291" s="561"/>
    </row>
    <row r="292" spans="2:20" ht="15">
      <c r="C292" s="307">
        <v>126</v>
      </c>
      <c r="D292" s="307">
        <v>13651</v>
      </c>
      <c r="E292" s="545">
        <v>42829</v>
      </c>
      <c r="F292" s="249" t="s">
        <v>1004</v>
      </c>
      <c r="G292" s="314" t="s">
        <v>1094</v>
      </c>
      <c r="H292" s="307">
        <v>126</v>
      </c>
      <c r="I292" s="307">
        <v>13930</v>
      </c>
      <c r="J292" s="561">
        <f t="shared" ref="J292:J356" si="19">I292*H292-D292*C292</f>
        <v>35154</v>
      </c>
      <c r="K292" s="561">
        <f t="shared" ref="K292:K355" si="20">IF(J292&gt;50000,1,0)</f>
        <v>0</v>
      </c>
    </row>
    <row r="293" spans="2:20" ht="15">
      <c r="C293" s="307">
        <v>520</v>
      </c>
      <c r="D293" s="307">
        <v>6873</v>
      </c>
      <c r="E293" s="545">
        <v>42829</v>
      </c>
      <c r="F293" s="249" t="s">
        <v>1005</v>
      </c>
      <c r="G293" s="314" t="s">
        <v>1094</v>
      </c>
      <c r="H293" s="307">
        <v>520</v>
      </c>
      <c r="I293" s="307">
        <v>7013</v>
      </c>
      <c r="J293" s="561">
        <f t="shared" si="19"/>
        <v>72800</v>
      </c>
      <c r="K293" s="561">
        <f t="shared" si="20"/>
        <v>1</v>
      </c>
      <c r="M293" s="245" t="s">
        <v>354</v>
      </c>
      <c r="N293" s="243">
        <v>3</v>
      </c>
      <c r="O293" s="181">
        <v>13860</v>
      </c>
      <c r="Q293" s="181">
        <f>N293*O293</f>
        <v>41580</v>
      </c>
      <c r="R293" s="581">
        <f>J293-Q293</f>
        <v>31220</v>
      </c>
      <c r="S293" s="581">
        <f>D293*C293</f>
        <v>3573960</v>
      </c>
    </row>
    <row r="294" spans="2:20" ht="15">
      <c r="C294" s="307">
        <v>255</v>
      </c>
      <c r="D294" s="307">
        <v>16905</v>
      </c>
      <c r="E294" s="545">
        <v>42829</v>
      </c>
      <c r="F294" s="249" t="s">
        <v>1006</v>
      </c>
      <c r="G294" s="314" t="s">
        <v>1094</v>
      </c>
      <c r="H294" s="307">
        <v>255</v>
      </c>
      <c r="I294" s="307">
        <v>17250</v>
      </c>
      <c r="J294" s="561">
        <f t="shared" si="19"/>
        <v>87975</v>
      </c>
      <c r="K294" s="561">
        <f t="shared" si="20"/>
        <v>1</v>
      </c>
      <c r="M294" s="245" t="s">
        <v>354</v>
      </c>
      <c r="N294" s="243">
        <v>4</v>
      </c>
      <c r="O294" s="181">
        <v>13860</v>
      </c>
      <c r="Q294" s="181">
        <f>N294*O294</f>
        <v>55440</v>
      </c>
      <c r="R294" s="581">
        <f>J294-Q294</f>
        <v>32535</v>
      </c>
      <c r="S294" s="581">
        <f>D294*C294</f>
        <v>4310775</v>
      </c>
    </row>
    <row r="295" spans="2:20" ht="15">
      <c r="C295" s="307">
        <v>600</v>
      </c>
      <c r="D295" s="307">
        <v>7853</v>
      </c>
      <c r="E295" s="545">
        <v>42829</v>
      </c>
      <c r="F295" s="249" t="s">
        <v>1007</v>
      </c>
      <c r="G295" s="314" t="s">
        <v>1094</v>
      </c>
      <c r="H295" s="307">
        <v>600</v>
      </c>
      <c r="I295" s="307">
        <v>8013</v>
      </c>
      <c r="J295" s="561">
        <f t="shared" si="19"/>
        <v>96000</v>
      </c>
      <c r="K295" s="561">
        <f t="shared" si="20"/>
        <v>1</v>
      </c>
      <c r="M295" s="245" t="s">
        <v>354</v>
      </c>
      <c r="N295" s="243">
        <v>5</v>
      </c>
      <c r="O295" s="181">
        <v>13860</v>
      </c>
      <c r="Q295" s="181">
        <f>N295*O295</f>
        <v>69300</v>
      </c>
      <c r="R295" s="581">
        <f>J295-Q295</f>
        <v>26700</v>
      </c>
      <c r="S295" s="581">
        <f>D295*C295</f>
        <v>4711800</v>
      </c>
    </row>
    <row r="296" spans="2:20" ht="15">
      <c r="B296" s="245"/>
      <c r="C296" s="307">
        <v>541</v>
      </c>
      <c r="D296" s="307">
        <v>12000</v>
      </c>
      <c r="E296" s="545">
        <v>42830</v>
      </c>
      <c r="F296" s="245" t="s">
        <v>274</v>
      </c>
      <c r="G296" s="314" t="s">
        <v>1095</v>
      </c>
      <c r="H296" s="307">
        <v>541</v>
      </c>
      <c r="I296" s="307">
        <v>12100</v>
      </c>
      <c r="J296" s="561">
        <f t="shared" si="19"/>
        <v>54100</v>
      </c>
      <c r="K296" s="561">
        <v>0</v>
      </c>
    </row>
    <row r="297" spans="2:20" ht="15">
      <c r="C297" s="307">
        <v>4800</v>
      </c>
      <c r="D297" s="307">
        <v>8918</v>
      </c>
      <c r="E297" s="545">
        <v>42832</v>
      </c>
      <c r="F297" s="249" t="s">
        <v>1008</v>
      </c>
      <c r="G297" s="314" t="s">
        <v>1096</v>
      </c>
      <c r="H297" s="307">
        <v>4800</v>
      </c>
      <c r="I297" s="307">
        <v>9100</v>
      </c>
      <c r="J297" s="561">
        <f t="shared" si="19"/>
        <v>873600</v>
      </c>
      <c r="K297" s="561">
        <f t="shared" si="20"/>
        <v>1</v>
      </c>
      <c r="M297" s="245" t="s">
        <v>354</v>
      </c>
      <c r="N297" s="243">
        <v>60</v>
      </c>
      <c r="O297" s="181">
        <v>13860</v>
      </c>
      <c r="Q297" s="181">
        <f>N297*O297</f>
        <v>831600</v>
      </c>
      <c r="R297" s="581">
        <f>J297-Q297</f>
        <v>42000</v>
      </c>
      <c r="S297" s="581">
        <f>D297*C297</f>
        <v>42806400</v>
      </c>
    </row>
    <row r="298" spans="2:20" ht="15">
      <c r="C298" s="307">
        <v>300</v>
      </c>
      <c r="D298" s="307">
        <v>7712</v>
      </c>
      <c r="E298" s="545">
        <v>42832</v>
      </c>
      <c r="F298" s="249" t="s">
        <v>500</v>
      </c>
      <c r="G298" s="314" t="s">
        <v>1097</v>
      </c>
      <c r="H298" s="307">
        <v>300</v>
      </c>
      <c r="I298" s="307">
        <v>8030</v>
      </c>
      <c r="J298" s="561">
        <f t="shared" si="19"/>
        <v>95400</v>
      </c>
      <c r="K298" s="561">
        <f t="shared" si="20"/>
        <v>1</v>
      </c>
      <c r="M298" s="245" t="s">
        <v>354</v>
      </c>
      <c r="N298" s="243">
        <v>5</v>
      </c>
      <c r="O298" s="181">
        <v>13860</v>
      </c>
      <c r="Q298" s="181">
        <f>N298*O298</f>
        <v>69300</v>
      </c>
      <c r="R298" s="581">
        <f>J298-Q298</f>
        <v>26100</v>
      </c>
      <c r="S298" s="581">
        <f>D298*C298</f>
        <v>2313600</v>
      </c>
    </row>
    <row r="299" spans="2:20" ht="15">
      <c r="C299" s="307">
        <v>130</v>
      </c>
      <c r="D299" s="307">
        <v>13651</v>
      </c>
      <c r="E299" s="545">
        <v>42833</v>
      </c>
      <c r="F299" s="249" t="s">
        <v>1009</v>
      </c>
      <c r="G299" s="314" t="s">
        <v>1098</v>
      </c>
      <c r="H299" s="307">
        <v>130</v>
      </c>
      <c r="I299" s="307">
        <v>13930</v>
      </c>
      <c r="J299" s="561">
        <f t="shared" si="19"/>
        <v>36270</v>
      </c>
      <c r="K299" s="561">
        <f t="shared" si="20"/>
        <v>0</v>
      </c>
    </row>
    <row r="300" spans="2:20" ht="15">
      <c r="C300" s="307">
        <v>620</v>
      </c>
      <c r="D300" s="307">
        <v>6873</v>
      </c>
      <c r="E300" s="545">
        <v>42833</v>
      </c>
      <c r="F300" s="249" t="s">
        <v>1005</v>
      </c>
      <c r="G300" s="314" t="s">
        <v>1098</v>
      </c>
      <c r="H300" s="307">
        <v>620</v>
      </c>
      <c r="I300" s="307">
        <v>7013</v>
      </c>
      <c r="J300" s="561">
        <f t="shared" si="19"/>
        <v>86800</v>
      </c>
      <c r="K300" s="561">
        <f t="shared" si="20"/>
        <v>1</v>
      </c>
      <c r="M300" s="245" t="s">
        <v>354</v>
      </c>
      <c r="N300" s="243">
        <v>4</v>
      </c>
      <c r="O300" s="181">
        <v>13860</v>
      </c>
      <c r="Q300" s="181">
        <f>N300*O300</f>
        <v>55440</v>
      </c>
      <c r="R300" s="581">
        <f>J300-Q300</f>
        <v>31360</v>
      </c>
      <c r="S300" s="581">
        <f>D300*C300</f>
        <v>4261260</v>
      </c>
    </row>
    <row r="301" spans="2:20" ht="15">
      <c r="C301" s="307">
        <v>480</v>
      </c>
      <c r="D301" s="307">
        <v>13651</v>
      </c>
      <c r="E301" s="545">
        <v>42833</v>
      </c>
      <c r="F301" s="249" t="s">
        <v>1010</v>
      </c>
      <c r="G301" s="314" t="s">
        <v>1098</v>
      </c>
      <c r="H301" s="307">
        <v>480</v>
      </c>
      <c r="I301" s="307">
        <v>13930</v>
      </c>
      <c r="J301" s="561">
        <f t="shared" si="19"/>
        <v>133920</v>
      </c>
      <c r="K301" s="561">
        <f t="shared" si="20"/>
        <v>1</v>
      </c>
      <c r="M301" s="245" t="s">
        <v>354</v>
      </c>
      <c r="N301" s="243">
        <v>7</v>
      </c>
      <c r="O301" s="181">
        <v>13860</v>
      </c>
      <c r="Q301" s="181">
        <f>N301*O301</f>
        <v>97020</v>
      </c>
      <c r="R301" s="581">
        <f>J301-Q301</f>
        <v>36900</v>
      </c>
      <c r="S301" s="581">
        <f>D301*C301</f>
        <v>6552480</v>
      </c>
    </row>
    <row r="302" spans="2:20" ht="15">
      <c r="C302" s="307">
        <v>1920</v>
      </c>
      <c r="D302" s="307">
        <v>6873</v>
      </c>
      <c r="E302" s="545">
        <v>42833</v>
      </c>
      <c r="F302" s="249" t="s">
        <v>1007</v>
      </c>
      <c r="G302" s="314" t="s">
        <v>1098</v>
      </c>
      <c r="H302" s="307">
        <v>1920</v>
      </c>
      <c r="I302" s="307">
        <v>7013</v>
      </c>
      <c r="J302" s="561">
        <f t="shared" si="19"/>
        <v>268800</v>
      </c>
      <c r="K302" s="561">
        <f t="shared" si="20"/>
        <v>1</v>
      </c>
      <c r="M302" s="245" t="s">
        <v>354</v>
      </c>
      <c r="N302" s="243">
        <v>15</v>
      </c>
      <c r="O302" s="181">
        <v>13860</v>
      </c>
      <c r="Q302" s="181">
        <f>N302*O302</f>
        <v>207900</v>
      </c>
      <c r="R302" s="581">
        <f>J302-Q302</f>
        <v>60900</v>
      </c>
      <c r="S302" s="581">
        <f>D302*C302</f>
        <v>13196160</v>
      </c>
    </row>
    <row r="303" spans="2:20" ht="15">
      <c r="C303" s="307">
        <v>1010</v>
      </c>
      <c r="D303" s="307">
        <v>3479</v>
      </c>
      <c r="E303" s="545">
        <v>42833</v>
      </c>
      <c r="F303" s="249" t="s">
        <v>1011</v>
      </c>
      <c r="G303" s="314" t="s">
        <v>1098</v>
      </c>
      <c r="H303" s="307">
        <v>1010</v>
      </c>
      <c r="I303" s="307">
        <v>3550</v>
      </c>
      <c r="J303" s="561">
        <f t="shared" si="19"/>
        <v>71710</v>
      </c>
      <c r="K303" s="561">
        <f t="shared" si="20"/>
        <v>1</v>
      </c>
      <c r="M303" s="245" t="s">
        <v>354</v>
      </c>
      <c r="N303" s="243">
        <v>3</v>
      </c>
      <c r="O303" s="181">
        <v>13860</v>
      </c>
      <c r="Q303" s="181">
        <f>N303*O303</f>
        <v>41580</v>
      </c>
      <c r="R303" s="581">
        <f>J303-Q303</f>
        <v>30130</v>
      </c>
      <c r="S303" s="581">
        <f>D303*C303</f>
        <v>3513790</v>
      </c>
    </row>
    <row r="304" spans="2:20" ht="15">
      <c r="C304" s="581">
        <f>H304</f>
        <v>1700</v>
      </c>
      <c r="D304" s="307">
        <v>8000</v>
      </c>
      <c r="E304" s="545">
        <v>42838</v>
      </c>
      <c r="F304" s="245" t="s">
        <v>503</v>
      </c>
      <c r="G304" s="314" t="s">
        <v>1103</v>
      </c>
      <c r="H304" s="307">
        <v>1700</v>
      </c>
      <c r="I304" s="307">
        <v>8500</v>
      </c>
      <c r="J304" s="561">
        <f t="shared" si="19"/>
        <v>850000</v>
      </c>
      <c r="K304" s="561">
        <v>0</v>
      </c>
    </row>
    <row r="305" spans="2:19" ht="15">
      <c r="C305" s="581">
        <f>H305</f>
        <v>1800</v>
      </c>
      <c r="D305" s="307">
        <v>8000</v>
      </c>
      <c r="E305" s="315">
        <v>42842</v>
      </c>
      <c r="F305" s="245" t="s">
        <v>503</v>
      </c>
      <c r="G305" s="314" t="s">
        <v>1104</v>
      </c>
      <c r="H305" s="307">
        <v>1800</v>
      </c>
      <c r="I305" s="307">
        <v>8500</v>
      </c>
      <c r="J305" s="561">
        <f t="shared" si="19"/>
        <v>900000</v>
      </c>
      <c r="K305" s="561">
        <v>0</v>
      </c>
    </row>
    <row r="306" spans="2:19" ht="15">
      <c r="C306" s="307">
        <v>50</v>
      </c>
      <c r="D306" s="307">
        <v>37524</v>
      </c>
      <c r="E306" s="315">
        <v>42843</v>
      </c>
      <c r="F306" s="249" t="s">
        <v>497</v>
      </c>
      <c r="G306" s="314" t="s">
        <v>1105</v>
      </c>
      <c r="H306" s="307">
        <v>50</v>
      </c>
      <c r="I306" s="307">
        <v>38290</v>
      </c>
      <c r="J306" s="561">
        <f t="shared" si="19"/>
        <v>38300</v>
      </c>
      <c r="K306" s="561">
        <f t="shared" si="20"/>
        <v>0</v>
      </c>
    </row>
    <row r="307" spans="2:19" ht="15">
      <c r="C307" s="307">
        <v>50</v>
      </c>
      <c r="D307" s="307">
        <v>24784</v>
      </c>
      <c r="E307" s="315">
        <v>42843</v>
      </c>
      <c r="F307" s="249" t="s">
        <v>495</v>
      </c>
      <c r="G307" s="314" t="s">
        <v>1105</v>
      </c>
      <c r="H307" s="307">
        <v>50</v>
      </c>
      <c r="I307" s="307">
        <v>25290</v>
      </c>
      <c r="J307" s="561">
        <f t="shared" si="19"/>
        <v>25300</v>
      </c>
      <c r="K307" s="561">
        <f t="shared" si="20"/>
        <v>0</v>
      </c>
    </row>
    <row r="308" spans="2:19" ht="15">
      <c r="C308" s="307">
        <v>100</v>
      </c>
      <c r="D308" s="307">
        <v>13720</v>
      </c>
      <c r="E308" s="315">
        <v>42843</v>
      </c>
      <c r="F308" s="249" t="s">
        <v>502</v>
      </c>
      <c r="G308" s="314" t="s">
        <v>1105</v>
      </c>
      <c r="H308" s="307">
        <v>100</v>
      </c>
      <c r="I308" s="307">
        <v>14000</v>
      </c>
      <c r="J308" s="561">
        <f t="shared" si="19"/>
        <v>28000</v>
      </c>
      <c r="K308" s="561">
        <f t="shared" si="20"/>
        <v>0</v>
      </c>
    </row>
    <row r="309" spans="2:19" ht="15">
      <c r="C309" s="307">
        <v>50</v>
      </c>
      <c r="D309" s="307">
        <v>23285</v>
      </c>
      <c r="E309" s="315">
        <v>42843</v>
      </c>
      <c r="F309" s="249" t="s">
        <v>1030</v>
      </c>
      <c r="G309" s="314" t="s">
        <v>1105</v>
      </c>
      <c r="H309" s="307">
        <v>50</v>
      </c>
      <c r="I309" s="307">
        <v>23760</v>
      </c>
      <c r="J309" s="561">
        <f t="shared" si="19"/>
        <v>23750</v>
      </c>
      <c r="K309" s="561">
        <f t="shared" si="20"/>
        <v>0</v>
      </c>
    </row>
    <row r="310" spans="2:19" ht="15">
      <c r="C310" s="307">
        <v>265</v>
      </c>
      <c r="D310" s="307">
        <v>18522</v>
      </c>
      <c r="E310" s="315">
        <v>42844</v>
      </c>
      <c r="F310" s="249" t="s">
        <v>1031</v>
      </c>
      <c r="G310" s="314" t="s">
        <v>1108</v>
      </c>
      <c r="H310" s="307">
        <v>265</v>
      </c>
      <c r="I310" s="307">
        <v>18900</v>
      </c>
      <c r="J310" s="561">
        <f t="shared" si="19"/>
        <v>100170</v>
      </c>
      <c r="K310" s="561">
        <f t="shared" si="20"/>
        <v>1</v>
      </c>
      <c r="M310" s="245" t="s">
        <v>354</v>
      </c>
      <c r="N310" s="243">
        <v>5</v>
      </c>
      <c r="O310" s="181">
        <v>13860</v>
      </c>
      <c r="Q310" s="181">
        <f>N310*O310</f>
        <v>69300</v>
      </c>
      <c r="R310" s="581">
        <f>J310-Q310</f>
        <v>30870</v>
      </c>
      <c r="S310" s="581">
        <f>D310*C310</f>
        <v>4908330</v>
      </c>
    </row>
    <row r="311" spans="2:19" ht="15">
      <c r="C311" s="307">
        <v>265</v>
      </c>
      <c r="D311" s="307">
        <v>12397</v>
      </c>
      <c r="E311" s="315">
        <v>42844</v>
      </c>
      <c r="F311" s="249" t="s">
        <v>1032</v>
      </c>
      <c r="G311" s="314" t="s">
        <v>1108</v>
      </c>
      <c r="H311" s="307">
        <v>265</v>
      </c>
      <c r="I311" s="307">
        <v>12650</v>
      </c>
      <c r="J311" s="561">
        <f t="shared" si="19"/>
        <v>67045</v>
      </c>
      <c r="K311" s="561">
        <f t="shared" si="20"/>
        <v>1</v>
      </c>
      <c r="M311" s="245" t="s">
        <v>354</v>
      </c>
      <c r="N311" s="243">
        <v>2</v>
      </c>
      <c r="O311" s="181">
        <v>13860</v>
      </c>
      <c r="Q311" s="181">
        <f>N311*O311</f>
        <v>27720</v>
      </c>
      <c r="R311" s="581">
        <f>J311-Q311</f>
        <v>39325</v>
      </c>
      <c r="S311" s="581">
        <f>D311*C311</f>
        <v>3285205</v>
      </c>
    </row>
    <row r="312" spans="2:19" ht="15">
      <c r="C312" s="307">
        <v>325</v>
      </c>
      <c r="D312" s="307">
        <v>24794</v>
      </c>
      <c r="E312" s="315">
        <v>42844</v>
      </c>
      <c r="F312" s="249" t="s">
        <v>1033</v>
      </c>
      <c r="G312" s="314" t="s">
        <v>1108</v>
      </c>
      <c r="H312" s="307">
        <v>325</v>
      </c>
      <c r="I312" s="307">
        <v>25300</v>
      </c>
      <c r="J312" s="561">
        <f t="shared" si="19"/>
        <v>164450</v>
      </c>
      <c r="K312" s="561">
        <f t="shared" si="20"/>
        <v>1</v>
      </c>
      <c r="M312" s="245" t="s">
        <v>354</v>
      </c>
      <c r="N312" s="243">
        <v>5</v>
      </c>
      <c r="O312" s="181">
        <v>13860</v>
      </c>
      <c r="Q312" s="181">
        <f>N312*O312</f>
        <v>69300</v>
      </c>
      <c r="R312" s="581">
        <f>J312-Q312</f>
        <v>95150</v>
      </c>
      <c r="S312" s="581">
        <f>D312*C312</f>
        <v>8058050</v>
      </c>
    </row>
    <row r="313" spans="2:19" ht="15">
      <c r="C313" s="307">
        <v>325</v>
      </c>
      <c r="D313" s="307">
        <v>21364</v>
      </c>
      <c r="E313" s="315">
        <v>42844</v>
      </c>
      <c r="F313" s="249" t="s">
        <v>1034</v>
      </c>
      <c r="G313" s="314" t="s">
        <v>1108</v>
      </c>
      <c r="H313" s="307">
        <v>325</v>
      </c>
      <c r="I313" s="307">
        <v>21800</v>
      </c>
      <c r="J313" s="561">
        <f t="shared" si="19"/>
        <v>141700</v>
      </c>
      <c r="K313" s="561">
        <f t="shared" si="20"/>
        <v>1</v>
      </c>
      <c r="M313" s="246" t="s">
        <v>362</v>
      </c>
      <c r="N313" s="243">
        <v>5</v>
      </c>
      <c r="O313" s="181">
        <v>18612</v>
      </c>
      <c r="Q313" s="181">
        <f>N313*O313</f>
        <v>93060</v>
      </c>
      <c r="R313" s="581">
        <f>J313-Q313</f>
        <v>48640</v>
      </c>
      <c r="S313" s="581">
        <f>D313*C313</f>
        <v>6943300</v>
      </c>
    </row>
    <row r="314" spans="2:19" ht="15">
      <c r="C314" s="307">
        <v>325</v>
      </c>
      <c r="D314" s="307">
        <v>1372</v>
      </c>
      <c r="E314" s="315">
        <v>42844</v>
      </c>
      <c r="F314" s="249" t="s">
        <v>1035</v>
      </c>
      <c r="G314" s="314" t="s">
        <v>1108</v>
      </c>
      <c r="H314" s="307">
        <v>325</v>
      </c>
      <c r="I314" s="307">
        <v>1400</v>
      </c>
      <c r="J314" s="561">
        <f t="shared" si="19"/>
        <v>9100</v>
      </c>
      <c r="K314" s="561">
        <f t="shared" si="20"/>
        <v>0</v>
      </c>
    </row>
    <row r="315" spans="2:19" ht="15">
      <c r="C315" s="307">
        <v>325</v>
      </c>
      <c r="D315" s="307">
        <v>1049</v>
      </c>
      <c r="E315" s="315">
        <v>42844</v>
      </c>
      <c r="F315" s="249" t="s">
        <v>1036</v>
      </c>
      <c r="G315" s="314" t="s">
        <v>1108</v>
      </c>
      <c r="H315" s="307">
        <v>325</v>
      </c>
      <c r="I315" s="307">
        <v>1070</v>
      </c>
      <c r="J315" s="561">
        <f t="shared" si="19"/>
        <v>6825</v>
      </c>
      <c r="K315" s="561">
        <f t="shared" si="20"/>
        <v>0</v>
      </c>
    </row>
    <row r="316" spans="2:19" ht="15">
      <c r="C316" s="307">
        <v>1700</v>
      </c>
      <c r="D316" s="307">
        <v>34750</v>
      </c>
      <c r="E316" s="315">
        <v>42844</v>
      </c>
      <c r="F316" s="249" t="s">
        <v>504</v>
      </c>
      <c r="G316" s="314" t="s">
        <v>1109</v>
      </c>
      <c r="H316" s="307">
        <v>1700</v>
      </c>
      <c r="I316" s="307">
        <v>35000</v>
      </c>
      <c r="J316" s="561">
        <f>I316*H316-D316*C316</f>
        <v>425000</v>
      </c>
      <c r="K316" s="561">
        <f t="shared" si="20"/>
        <v>1</v>
      </c>
      <c r="M316" s="246" t="s">
        <v>362</v>
      </c>
      <c r="N316" s="243">
        <v>20</v>
      </c>
      <c r="O316" s="181">
        <v>18612</v>
      </c>
      <c r="Q316" s="181">
        <f>N316*O316</f>
        <v>372240</v>
      </c>
      <c r="R316" s="581">
        <f>J316-Q316</f>
        <v>52760</v>
      </c>
      <c r="S316" s="581">
        <f>D316*C316</f>
        <v>59075000</v>
      </c>
    </row>
    <row r="317" spans="2:19" ht="15">
      <c r="C317" s="307">
        <v>200</v>
      </c>
      <c r="D317" s="307">
        <v>32350</v>
      </c>
      <c r="E317" s="315">
        <v>42844</v>
      </c>
      <c r="F317" s="249" t="s">
        <v>504</v>
      </c>
      <c r="G317" s="314" t="s">
        <v>1109</v>
      </c>
      <c r="H317" s="307">
        <v>200</v>
      </c>
      <c r="I317" s="307">
        <v>35000</v>
      </c>
      <c r="J317" s="561">
        <f t="shared" si="19"/>
        <v>530000</v>
      </c>
      <c r="K317" s="561">
        <f t="shared" si="20"/>
        <v>1</v>
      </c>
      <c r="M317" s="246" t="s">
        <v>362</v>
      </c>
      <c r="N317" s="243">
        <v>25</v>
      </c>
      <c r="O317" s="181">
        <v>18612</v>
      </c>
      <c r="Q317" s="181">
        <f>N317*O317</f>
        <v>465300</v>
      </c>
      <c r="R317" s="581">
        <f>J317-Q317</f>
        <v>64700</v>
      </c>
      <c r="S317" s="581">
        <f>D317*C317</f>
        <v>6470000</v>
      </c>
    </row>
    <row r="318" spans="2:19" ht="15">
      <c r="D318" s="307"/>
      <c r="E318" s="315">
        <v>42844</v>
      </c>
      <c r="F318" s="249" t="s">
        <v>505</v>
      </c>
      <c r="G318" s="314" t="s">
        <v>1109</v>
      </c>
      <c r="H318" s="307">
        <f>2000-825</f>
        <v>1175</v>
      </c>
      <c r="I318" s="307">
        <v>32500</v>
      </c>
      <c r="J318" s="561">
        <f>I318*H318-D318*C318</f>
        <v>38187500</v>
      </c>
      <c r="K318" s="561">
        <f t="shared" si="20"/>
        <v>1</v>
      </c>
    </row>
    <row r="319" spans="2:19" ht="15">
      <c r="C319" s="307">
        <v>825</v>
      </c>
      <c r="D319" s="307">
        <v>32350</v>
      </c>
      <c r="E319" s="315">
        <v>42844</v>
      </c>
      <c r="F319" s="249" t="s">
        <v>505</v>
      </c>
      <c r="G319" s="314" t="s">
        <v>1109</v>
      </c>
      <c r="H319" s="307">
        <v>825</v>
      </c>
      <c r="I319" s="307">
        <v>32500</v>
      </c>
      <c r="J319" s="561">
        <f t="shared" si="19"/>
        <v>123750</v>
      </c>
      <c r="K319" s="561">
        <f t="shared" si="20"/>
        <v>1</v>
      </c>
      <c r="M319" s="246" t="s">
        <v>362</v>
      </c>
      <c r="N319" s="243">
        <v>4</v>
      </c>
      <c r="O319" s="181">
        <v>18612</v>
      </c>
      <c r="Q319" s="181">
        <f>N319*O319</f>
        <v>74448</v>
      </c>
      <c r="R319" s="581">
        <f>J319-Q319</f>
        <v>49302</v>
      </c>
      <c r="S319" s="581">
        <f>D319*C319</f>
        <v>26688750</v>
      </c>
    </row>
    <row r="320" spans="2:19" ht="15">
      <c r="B320" s="245"/>
      <c r="C320" s="307">
        <v>4800</v>
      </c>
      <c r="D320" s="307">
        <v>12866.918333333333</v>
      </c>
      <c r="E320" s="315">
        <v>42844</v>
      </c>
      <c r="F320" s="245" t="s">
        <v>274</v>
      </c>
      <c r="G320" s="314" t="s">
        <v>1109</v>
      </c>
      <c r="H320" s="307">
        <v>4800</v>
      </c>
      <c r="I320" s="307">
        <v>18500</v>
      </c>
      <c r="J320" s="561">
        <f t="shared" si="19"/>
        <v>27038792</v>
      </c>
      <c r="K320" s="561">
        <v>0</v>
      </c>
    </row>
    <row r="321" spans="3:19" ht="15">
      <c r="C321" s="307">
        <v>4700</v>
      </c>
      <c r="D321" s="307">
        <v>20421.097872340426</v>
      </c>
      <c r="E321" s="315">
        <v>42844</v>
      </c>
      <c r="F321" s="245" t="s">
        <v>273</v>
      </c>
      <c r="G321" s="314" t="s">
        <v>1109</v>
      </c>
      <c r="H321" s="307">
        <v>4700</v>
      </c>
      <c r="I321" s="307">
        <v>18500</v>
      </c>
      <c r="J321" s="561">
        <f t="shared" si="19"/>
        <v>-9029160</v>
      </c>
      <c r="K321" s="561">
        <f t="shared" si="20"/>
        <v>0</v>
      </c>
    </row>
    <row r="322" spans="3:19" ht="15">
      <c r="C322" s="307">
        <v>300</v>
      </c>
      <c r="D322" s="307">
        <v>10388</v>
      </c>
      <c r="E322" s="315">
        <v>42846</v>
      </c>
      <c r="F322" s="249" t="s">
        <v>1037</v>
      </c>
      <c r="G322" s="314" t="s">
        <v>1110</v>
      </c>
      <c r="H322" s="307">
        <v>300</v>
      </c>
      <c r="I322" s="307">
        <v>10600</v>
      </c>
      <c r="J322" s="561">
        <f t="shared" si="19"/>
        <v>63600</v>
      </c>
      <c r="K322" s="561">
        <f t="shared" si="20"/>
        <v>1</v>
      </c>
      <c r="M322" s="246" t="s">
        <v>362</v>
      </c>
      <c r="N322" s="243">
        <v>2</v>
      </c>
      <c r="O322" s="181">
        <v>18612</v>
      </c>
      <c r="Q322" s="181">
        <f>N322*O322</f>
        <v>37224</v>
      </c>
      <c r="R322" s="581">
        <f>J322-Q322</f>
        <v>26376</v>
      </c>
      <c r="S322" s="581">
        <f>D322*C322</f>
        <v>3116400</v>
      </c>
    </row>
    <row r="323" spans="3:19" ht="15">
      <c r="C323" s="307">
        <v>100</v>
      </c>
      <c r="D323" s="307">
        <v>18228</v>
      </c>
      <c r="E323" s="315">
        <v>42846</v>
      </c>
      <c r="F323" s="249" t="s">
        <v>1038</v>
      </c>
      <c r="G323" s="314" t="s">
        <v>1110</v>
      </c>
      <c r="H323" s="307">
        <v>100</v>
      </c>
      <c r="I323" s="307">
        <v>18600</v>
      </c>
      <c r="J323" s="561">
        <f t="shared" si="19"/>
        <v>37200</v>
      </c>
      <c r="K323" s="561">
        <f t="shared" si="20"/>
        <v>0</v>
      </c>
    </row>
    <row r="324" spans="3:19" ht="15">
      <c r="C324" s="307">
        <v>200</v>
      </c>
      <c r="D324" s="307">
        <v>18718</v>
      </c>
      <c r="E324" s="315">
        <v>42846</v>
      </c>
      <c r="F324" s="249" t="s">
        <v>1039</v>
      </c>
      <c r="G324" s="314" t="s">
        <v>1110</v>
      </c>
      <c r="H324" s="307">
        <v>200</v>
      </c>
      <c r="I324" s="307">
        <v>19100</v>
      </c>
      <c r="J324" s="561">
        <f t="shared" si="19"/>
        <v>76400</v>
      </c>
      <c r="K324" s="561">
        <f t="shared" si="20"/>
        <v>1</v>
      </c>
      <c r="M324" s="246" t="s">
        <v>362</v>
      </c>
      <c r="N324" s="243">
        <v>2</v>
      </c>
      <c r="O324" s="181">
        <v>18612</v>
      </c>
      <c r="Q324" s="181">
        <f>N324*O324</f>
        <v>37224</v>
      </c>
      <c r="R324" s="581">
        <f>J324-Q324</f>
        <v>39176</v>
      </c>
      <c r="S324" s="581">
        <f>D324*C324</f>
        <v>3743600</v>
      </c>
    </row>
    <row r="325" spans="3:19" ht="15">
      <c r="C325" s="581">
        <f>H325</f>
        <v>1500</v>
      </c>
      <c r="D325" s="307">
        <v>8000</v>
      </c>
      <c r="E325" s="315">
        <v>42846</v>
      </c>
      <c r="F325" s="245" t="s">
        <v>503</v>
      </c>
      <c r="G325" s="314" t="s">
        <v>1112</v>
      </c>
      <c r="H325" s="307">
        <v>1500</v>
      </c>
      <c r="I325" s="307">
        <v>8500</v>
      </c>
      <c r="J325" s="561">
        <f t="shared" si="19"/>
        <v>750000</v>
      </c>
      <c r="K325" s="561">
        <v>0</v>
      </c>
    </row>
    <row r="326" spans="3:19" ht="15">
      <c r="E326" s="315">
        <v>42851</v>
      </c>
      <c r="F326" s="249" t="s">
        <v>500</v>
      </c>
      <c r="G326" s="314" t="s">
        <v>1113</v>
      </c>
      <c r="H326" s="307">
        <v>300</v>
      </c>
      <c r="I326" s="307">
        <v>8030</v>
      </c>
      <c r="J326" s="561">
        <f t="shared" si="19"/>
        <v>2409000</v>
      </c>
      <c r="K326" s="561">
        <f t="shared" si="20"/>
        <v>1</v>
      </c>
      <c r="M326" s="247" t="s">
        <v>381</v>
      </c>
      <c r="N326" s="243">
        <v>167</v>
      </c>
      <c r="O326" s="181">
        <v>12632</v>
      </c>
    </row>
    <row r="327" spans="3:19" ht="15">
      <c r="E327" s="315">
        <v>42851</v>
      </c>
      <c r="F327" s="249" t="s">
        <v>1114</v>
      </c>
      <c r="G327" s="314" t="s">
        <v>1113</v>
      </c>
      <c r="H327" s="307">
        <v>177</v>
      </c>
      <c r="I327" s="307">
        <v>5500</v>
      </c>
      <c r="J327" s="561">
        <f t="shared" si="19"/>
        <v>973500</v>
      </c>
      <c r="K327" s="561">
        <f t="shared" si="20"/>
        <v>1</v>
      </c>
      <c r="M327" s="248" t="s">
        <v>351</v>
      </c>
      <c r="N327" s="243">
        <v>40</v>
      </c>
      <c r="O327" s="181">
        <v>21375</v>
      </c>
    </row>
    <row r="328" spans="3:19" ht="15">
      <c r="C328" s="307">
        <v>10</v>
      </c>
      <c r="D328" s="307">
        <v>78953</v>
      </c>
      <c r="E328" s="315">
        <v>42853</v>
      </c>
      <c r="F328" s="249" t="s">
        <v>689</v>
      </c>
      <c r="G328" s="314" t="s">
        <v>1116</v>
      </c>
      <c r="H328" s="307">
        <v>10</v>
      </c>
      <c r="I328" s="307">
        <v>80564</v>
      </c>
      <c r="J328" s="561">
        <f t="shared" si="19"/>
        <v>16110</v>
      </c>
      <c r="K328" s="561">
        <f t="shared" si="20"/>
        <v>0</v>
      </c>
    </row>
    <row r="329" spans="3:19" ht="15">
      <c r="C329" s="307">
        <v>18</v>
      </c>
      <c r="D329" s="307">
        <v>183100</v>
      </c>
      <c r="E329" s="315">
        <v>42853</v>
      </c>
      <c r="F329" s="249" t="s">
        <v>692</v>
      </c>
      <c r="G329" s="314" t="s">
        <v>1116</v>
      </c>
      <c r="H329" s="307">
        <v>18</v>
      </c>
      <c r="I329" s="307">
        <v>186837</v>
      </c>
      <c r="J329" s="561">
        <f t="shared" si="19"/>
        <v>67266</v>
      </c>
      <c r="K329" s="561">
        <f t="shared" si="20"/>
        <v>1</v>
      </c>
      <c r="M329" s="246" t="s">
        <v>362</v>
      </c>
      <c r="N329" s="243">
        <v>2</v>
      </c>
      <c r="O329" s="181">
        <v>18612</v>
      </c>
      <c r="Q329" s="181">
        <f>N329*O329</f>
        <v>37224</v>
      </c>
      <c r="R329" s="581">
        <f>J329-Q329</f>
        <v>30042</v>
      </c>
      <c r="S329" s="581">
        <f>D329*C329</f>
        <v>3295800</v>
      </c>
    </row>
    <row r="330" spans="3:19" ht="15">
      <c r="C330" s="307">
        <v>32</v>
      </c>
      <c r="D330" s="307">
        <v>49574</v>
      </c>
      <c r="E330" s="315">
        <v>42853</v>
      </c>
      <c r="F330" s="249" t="s">
        <v>691</v>
      </c>
      <c r="G330" s="314" t="s">
        <v>1116</v>
      </c>
      <c r="H330" s="307">
        <v>32</v>
      </c>
      <c r="I330" s="307">
        <v>50586</v>
      </c>
      <c r="J330" s="561">
        <f t="shared" si="19"/>
        <v>32384</v>
      </c>
      <c r="K330" s="561">
        <f t="shared" si="20"/>
        <v>0</v>
      </c>
    </row>
    <row r="331" spans="3:19" ht="15">
      <c r="C331" s="307">
        <v>50</v>
      </c>
      <c r="D331" s="307">
        <v>43918</v>
      </c>
      <c r="E331" s="315">
        <v>42853</v>
      </c>
      <c r="F331" s="249" t="s">
        <v>611</v>
      </c>
      <c r="G331" s="314" t="s">
        <v>1116</v>
      </c>
      <c r="H331" s="307">
        <v>50</v>
      </c>
      <c r="I331" s="307">
        <v>44814</v>
      </c>
      <c r="J331" s="561">
        <f t="shared" si="19"/>
        <v>44800</v>
      </c>
      <c r="K331" s="561">
        <f t="shared" si="20"/>
        <v>0</v>
      </c>
    </row>
    <row r="332" spans="3:19" ht="15">
      <c r="C332" s="307">
        <v>14</v>
      </c>
      <c r="D332" s="307">
        <v>97796</v>
      </c>
      <c r="E332" s="315">
        <v>42853</v>
      </c>
      <c r="F332" s="249" t="s">
        <v>660</v>
      </c>
      <c r="G332" s="314" t="s">
        <v>1116</v>
      </c>
      <c r="H332" s="307">
        <v>14</v>
      </c>
      <c r="I332" s="307">
        <v>99792</v>
      </c>
      <c r="J332" s="561">
        <f t="shared" si="19"/>
        <v>27944</v>
      </c>
      <c r="K332" s="561">
        <f t="shared" si="20"/>
        <v>0</v>
      </c>
    </row>
    <row r="333" spans="3:19" ht="15">
      <c r="C333" s="307">
        <v>20</v>
      </c>
      <c r="D333" s="307">
        <v>160236</v>
      </c>
      <c r="E333" s="315">
        <v>42853</v>
      </c>
      <c r="F333" s="249" t="s">
        <v>740</v>
      </c>
      <c r="G333" s="314" t="s">
        <v>1116</v>
      </c>
      <c r="H333" s="307">
        <v>20</v>
      </c>
      <c r="I333" s="307">
        <v>163506</v>
      </c>
      <c r="J333" s="561">
        <f t="shared" si="19"/>
        <v>65400</v>
      </c>
      <c r="K333" s="561">
        <f t="shared" si="20"/>
        <v>1</v>
      </c>
      <c r="M333" s="246" t="s">
        <v>362</v>
      </c>
      <c r="N333" s="243">
        <v>2</v>
      </c>
      <c r="O333" s="181">
        <v>18612</v>
      </c>
      <c r="Q333" s="181">
        <f>N333*O333</f>
        <v>37224</v>
      </c>
      <c r="R333" s="581">
        <f>J333-Q333</f>
        <v>28176</v>
      </c>
      <c r="S333" s="581">
        <f>D333*C333</f>
        <v>3204720</v>
      </c>
    </row>
    <row r="334" spans="3:19" ht="15">
      <c r="C334" s="307">
        <v>4</v>
      </c>
      <c r="D334" s="307">
        <v>210369</v>
      </c>
      <c r="E334" s="315">
        <v>42853</v>
      </c>
      <c r="F334" s="249" t="s">
        <v>741</v>
      </c>
      <c r="G334" s="314" t="s">
        <v>1116</v>
      </c>
      <c r="H334" s="307">
        <v>4</v>
      </c>
      <c r="I334" s="307">
        <v>214662</v>
      </c>
      <c r="J334" s="561">
        <f t="shared" si="19"/>
        <v>17172</v>
      </c>
      <c r="K334" s="561">
        <f t="shared" si="20"/>
        <v>0</v>
      </c>
    </row>
    <row r="335" spans="3:19" ht="15">
      <c r="C335" s="307">
        <v>12</v>
      </c>
      <c r="D335" s="307">
        <v>54792</v>
      </c>
      <c r="E335" s="315">
        <v>42853</v>
      </c>
      <c r="F335" s="249" t="s">
        <v>691</v>
      </c>
      <c r="G335" s="314" t="s">
        <v>1116</v>
      </c>
      <c r="H335" s="307">
        <v>12</v>
      </c>
      <c r="I335" s="307">
        <v>55910</v>
      </c>
      <c r="J335" s="561">
        <f t="shared" si="19"/>
        <v>13416</v>
      </c>
      <c r="K335" s="561">
        <f t="shared" si="20"/>
        <v>0</v>
      </c>
    </row>
    <row r="336" spans="3:19" ht="15">
      <c r="C336" s="307">
        <v>14</v>
      </c>
      <c r="D336" s="307">
        <v>110473</v>
      </c>
      <c r="E336" s="315">
        <v>42853</v>
      </c>
      <c r="F336" s="247" t="s">
        <v>647</v>
      </c>
      <c r="G336" s="314" t="s">
        <v>1116</v>
      </c>
      <c r="H336" s="307">
        <v>14</v>
      </c>
      <c r="I336" s="307">
        <v>112728</v>
      </c>
      <c r="J336" s="561">
        <f t="shared" si="19"/>
        <v>31570</v>
      </c>
      <c r="K336" s="561">
        <f t="shared" si="20"/>
        <v>0</v>
      </c>
    </row>
    <row r="337" spans="3:19" ht="15">
      <c r="C337" s="307">
        <v>28</v>
      </c>
      <c r="D337" s="307">
        <v>67963</v>
      </c>
      <c r="E337" s="315">
        <v>42853</v>
      </c>
      <c r="F337" s="247" t="s">
        <v>649</v>
      </c>
      <c r="G337" s="314" t="s">
        <v>1116</v>
      </c>
      <c r="H337" s="307">
        <v>28</v>
      </c>
      <c r="I337" s="307">
        <v>69350</v>
      </c>
      <c r="J337" s="561">
        <f t="shared" si="19"/>
        <v>38836</v>
      </c>
      <c r="K337" s="561">
        <f t="shared" si="20"/>
        <v>0</v>
      </c>
    </row>
    <row r="338" spans="3:19" ht="15">
      <c r="C338" s="307">
        <v>4</v>
      </c>
      <c r="D338" s="307">
        <v>147559</v>
      </c>
      <c r="E338" s="315">
        <v>42853</v>
      </c>
      <c r="F338" s="247" t="s">
        <v>738</v>
      </c>
      <c r="G338" s="314" t="s">
        <v>1116</v>
      </c>
      <c r="H338" s="307">
        <v>4</v>
      </c>
      <c r="I338" s="307">
        <v>150570</v>
      </c>
      <c r="J338" s="561">
        <f t="shared" si="19"/>
        <v>12044</v>
      </c>
      <c r="K338" s="561">
        <f t="shared" si="20"/>
        <v>0</v>
      </c>
    </row>
    <row r="339" spans="3:19" ht="15">
      <c r="C339" s="307">
        <v>4</v>
      </c>
      <c r="D339" s="307">
        <v>80707</v>
      </c>
      <c r="E339" s="315">
        <v>42853</v>
      </c>
      <c r="F339" s="247" t="s">
        <v>742</v>
      </c>
      <c r="G339" s="314" t="s">
        <v>1116</v>
      </c>
      <c r="H339" s="307">
        <v>4</v>
      </c>
      <c r="I339" s="307">
        <v>82354</v>
      </c>
      <c r="J339" s="561">
        <f t="shared" si="19"/>
        <v>6588</v>
      </c>
      <c r="K339" s="561">
        <f t="shared" si="20"/>
        <v>0</v>
      </c>
    </row>
    <row r="340" spans="3:19" ht="15">
      <c r="C340" s="307">
        <v>6</v>
      </c>
      <c r="D340" s="307">
        <v>50207</v>
      </c>
      <c r="E340" s="315">
        <v>42853</v>
      </c>
      <c r="F340" s="247" t="s">
        <v>694</v>
      </c>
      <c r="G340" s="314" t="s">
        <v>1116</v>
      </c>
      <c r="H340" s="307">
        <v>6</v>
      </c>
      <c r="I340" s="307">
        <v>51232</v>
      </c>
      <c r="J340" s="561">
        <f t="shared" si="19"/>
        <v>6150</v>
      </c>
      <c r="K340" s="561">
        <f t="shared" si="20"/>
        <v>0</v>
      </c>
    </row>
    <row r="341" spans="3:19" ht="15">
      <c r="C341" s="307">
        <v>14</v>
      </c>
      <c r="D341" s="307">
        <v>42796</v>
      </c>
      <c r="E341" s="315">
        <v>42853</v>
      </c>
      <c r="F341" s="247" t="s">
        <v>663</v>
      </c>
      <c r="G341" s="314" t="s">
        <v>1116</v>
      </c>
      <c r="H341" s="307">
        <v>14</v>
      </c>
      <c r="I341" s="307">
        <v>43669</v>
      </c>
      <c r="J341" s="561">
        <f t="shared" si="19"/>
        <v>12222</v>
      </c>
      <c r="K341" s="561">
        <f t="shared" si="20"/>
        <v>0</v>
      </c>
    </row>
    <row r="342" spans="3:19" ht="15">
      <c r="C342" s="307">
        <v>12</v>
      </c>
      <c r="D342" s="307">
        <v>32199</v>
      </c>
      <c r="E342" s="315">
        <v>42853</v>
      </c>
      <c r="F342" s="247" t="s">
        <v>744</v>
      </c>
      <c r="G342" s="314" t="s">
        <v>1116</v>
      </c>
      <c r="H342" s="307">
        <v>12</v>
      </c>
      <c r="I342" s="307">
        <v>32856</v>
      </c>
      <c r="J342" s="561">
        <f t="shared" si="19"/>
        <v>7884</v>
      </c>
      <c r="K342" s="561">
        <f t="shared" si="20"/>
        <v>0</v>
      </c>
    </row>
    <row r="343" spans="3:19" ht="15">
      <c r="C343" s="307">
        <v>12</v>
      </c>
      <c r="D343" s="307">
        <v>62653</v>
      </c>
      <c r="E343" s="315">
        <v>42853</v>
      </c>
      <c r="F343" s="249" t="s">
        <v>745</v>
      </c>
      <c r="G343" s="314" t="s">
        <v>1116</v>
      </c>
      <c r="H343" s="307">
        <v>12</v>
      </c>
      <c r="I343" s="307">
        <v>63932</v>
      </c>
      <c r="J343" s="561">
        <f t="shared" si="19"/>
        <v>15348</v>
      </c>
      <c r="K343" s="561">
        <f t="shared" si="20"/>
        <v>0</v>
      </c>
    </row>
    <row r="344" spans="3:19" ht="15">
      <c r="C344" s="307">
        <v>4</v>
      </c>
      <c r="D344" s="307">
        <v>105271</v>
      </c>
      <c r="E344" s="315">
        <v>42853</v>
      </c>
      <c r="F344" s="249" t="s">
        <v>662</v>
      </c>
      <c r="G344" s="314" t="s">
        <v>1116</v>
      </c>
      <c r="H344" s="307">
        <v>4</v>
      </c>
      <c r="I344" s="307">
        <v>107419</v>
      </c>
      <c r="J344" s="561">
        <f t="shared" si="19"/>
        <v>8592</v>
      </c>
      <c r="K344" s="561">
        <f t="shared" si="20"/>
        <v>0</v>
      </c>
    </row>
    <row r="345" spans="3:19" ht="15">
      <c r="C345" s="307">
        <v>16</v>
      </c>
      <c r="D345" s="307">
        <v>42678</v>
      </c>
      <c r="E345" s="315">
        <v>42853</v>
      </c>
      <c r="F345" s="249" t="s">
        <v>743</v>
      </c>
      <c r="G345" s="314" t="s">
        <v>1116</v>
      </c>
      <c r="H345" s="307">
        <v>16</v>
      </c>
      <c r="I345" s="307">
        <v>43549</v>
      </c>
      <c r="J345" s="561">
        <f t="shared" si="19"/>
        <v>13936</v>
      </c>
      <c r="K345" s="561">
        <f t="shared" si="20"/>
        <v>0</v>
      </c>
    </row>
    <row r="346" spans="3:19" ht="15">
      <c r="C346" s="307">
        <v>42</v>
      </c>
      <c r="D346" s="307">
        <v>48224</v>
      </c>
      <c r="E346" s="315">
        <v>42853</v>
      </c>
      <c r="F346" s="249" t="s">
        <v>714</v>
      </c>
      <c r="G346" s="314" t="s">
        <v>1116</v>
      </c>
      <c r="H346" s="307">
        <v>42</v>
      </c>
      <c r="I346" s="307">
        <v>49208</v>
      </c>
      <c r="J346" s="561">
        <f t="shared" si="19"/>
        <v>41328</v>
      </c>
      <c r="K346" s="561">
        <f t="shared" si="20"/>
        <v>0</v>
      </c>
    </row>
    <row r="347" spans="3:19" ht="15">
      <c r="C347" s="307">
        <v>30</v>
      </c>
      <c r="D347" s="307">
        <v>20041</v>
      </c>
      <c r="E347" s="315">
        <v>42853</v>
      </c>
      <c r="F347" s="249" t="s">
        <v>728</v>
      </c>
      <c r="G347" s="314" t="s">
        <v>1116</v>
      </c>
      <c r="H347" s="307">
        <v>30</v>
      </c>
      <c r="I347" s="307">
        <v>20450</v>
      </c>
      <c r="J347" s="561">
        <f t="shared" si="19"/>
        <v>12270</v>
      </c>
      <c r="K347" s="561">
        <f t="shared" si="20"/>
        <v>0</v>
      </c>
    </row>
    <row r="348" spans="3:19" ht="15">
      <c r="C348" s="307">
        <v>15</v>
      </c>
      <c r="D348" s="307">
        <v>58741</v>
      </c>
      <c r="E348" s="315">
        <v>42853</v>
      </c>
      <c r="F348" s="249" t="s">
        <v>747</v>
      </c>
      <c r="G348" s="314" t="s">
        <v>1116</v>
      </c>
      <c r="H348" s="307">
        <v>15</v>
      </c>
      <c r="I348" s="307">
        <v>59940</v>
      </c>
      <c r="J348" s="561">
        <f t="shared" si="19"/>
        <v>17985</v>
      </c>
      <c r="K348" s="561">
        <f t="shared" si="20"/>
        <v>0</v>
      </c>
    </row>
    <row r="349" spans="3:19" ht="15">
      <c r="C349" s="307">
        <v>20</v>
      </c>
      <c r="D349" s="307">
        <v>69249</v>
      </c>
      <c r="E349" s="315">
        <v>42853</v>
      </c>
      <c r="F349" s="247" t="s">
        <v>998</v>
      </c>
      <c r="G349" s="314" t="s">
        <v>1116</v>
      </c>
      <c r="H349" s="307">
        <v>20</v>
      </c>
      <c r="I349" s="307">
        <v>70662</v>
      </c>
      <c r="J349" s="561">
        <f t="shared" si="19"/>
        <v>28260</v>
      </c>
      <c r="K349" s="561">
        <f t="shared" si="20"/>
        <v>0</v>
      </c>
    </row>
    <row r="350" spans="3:19" ht="15">
      <c r="C350" s="307">
        <v>30</v>
      </c>
      <c r="D350" s="307">
        <v>75076</v>
      </c>
      <c r="E350" s="315">
        <v>42853</v>
      </c>
      <c r="F350" s="247" t="s">
        <v>999</v>
      </c>
      <c r="G350" s="314" t="s">
        <v>1116</v>
      </c>
      <c r="H350" s="307">
        <v>30</v>
      </c>
      <c r="I350" s="307">
        <v>76608</v>
      </c>
      <c r="J350" s="561">
        <f t="shared" si="19"/>
        <v>45960</v>
      </c>
      <c r="K350" s="561">
        <f t="shared" si="20"/>
        <v>0</v>
      </c>
    </row>
    <row r="351" spans="3:19" ht="15">
      <c r="C351" s="307">
        <v>40</v>
      </c>
      <c r="D351" s="307">
        <v>24753</v>
      </c>
      <c r="E351" s="315">
        <v>42853</v>
      </c>
      <c r="F351" s="247" t="s">
        <v>629</v>
      </c>
      <c r="G351" s="314" t="s">
        <v>1116</v>
      </c>
      <c r="H351" s="307">
        <v>50</v>
      </c>
      <c r="I351" s="307">
        <v>25258</v>
      </c>
      <c r="J351" s="561">
        <f t="shared" si="19"/>
        <v>272780</v>
      </c>
      <c r="K351" s="561">
        <f t="shared" si="20"/>
        <v>1</v>
      </c>
      <c r="M351" s="246" t="s">
        <v>362</v>
      </c>
      <c r="N351" s="243">
        <v>12</v>
      </c>
      <c r="O351" s="181">
        <v>18612</v>
      </c>
      <c r="Q351" s="181">
        <f>N351*O351</f>
        <v>223344</v>
      </c>
      <c r="R351" s="581">
        <f>J351-Q351</f>
        <v>49436</v>
      </c>
      <c r="S351" s="581">
        <f>D351*C351</f>
        <v>990120</v>
      </c>
    </row>
    <row r="352" spans="3:19" ht="15">
      <c r="C352" s="307">
        <v>20</v>
      </c>
      <c r="D352" s="307">
        <v>29631</v>
      </c>
      <c r="E352" s="315">
        <v>42853</v>
      </c>
      <c r="F352" s="247" t="s">
        <v>1000</v>
      </c>
      <c r="G352" s="314" t="s">
        <v>1116</v>
      </c>
      <c r="H352" s="307">
        <v>20</v>
      </c>
      <c r="I352" s="307">
        <v>30236</v>
      </c>
      <c r="J352" s="561">
        <f t="shared" si="19"/>
        <v>12100</v>
      </c>
      <c r="K352" s="561">
        <f t="shared" si="20"/>
        <v>0</v>
      </c>
    </row>
    <row r="353" spans="3:19" ht="15">
      <c r="C353" s="307">
        <v>292</v>
      </c>
      <c r="D353" s="307">
        <v>19834</v>
      </c>
      <c r="E353" s="315">
        <v>42853</v>
      </c>
      <c r="F353" s="247" t="s">
        <v>619</v>
      </c>
      <c r="G353" s="314" t="s">
        <v>1116</v>
      </c>
      <c r="H353" s="307">
        <v>292</v>
      </c>
      <c r="I353" s="307">
        <v>20239</v>
      </c>
      <c r="J353" s="561">
        <f t="shared" si="19"/>
        <v>118260</v>
      </c>
      <c r="K353" s="561">
        <f t="shared" si="20"/>
        <v>1</v>
      </c>
      <c r="M353" s="246" t="s">
        <v>362</v>
      </c>
      <c r="N353" s="243">
        <v>4</v>
      </c>
      <c r="O353" s="181">
        <v>18612</v>
      </c>
      <c r="Q353" s="181">
        <f>N353*O353</f>
        <v>74448</v>
      </c>
      <c r="R353" s="581">
        <f>J353-Q353</f>
        <v>43812</v>
      </c>
      <c r="S353" s="581">
        <f>D353*C353</f>
        <v>5791528</v>
      </c>
    </row>
    <row r="354" spans="3:19" ht="15">
      <c r="C354" s="307">
        <v>10</v>
      </c>
      <c r="D354" s="307">
        <v>103608</v>
      </c>
      <c r="E354" s="315">
        <v>42853</v>
      </c>
      <c r="F354" s="247" t="s">
        <v>695</v>
      </c>
      <c r="G354" s="314" t="s">
        <v>1116</v>
      </c>
      <c r="H354" s="307">
        <v>10</v>
      </c>
      <c r="I354" s="307">
        <v>105722</v>
      </c>
      <c r="J354" s="561">
        <f t="shared" si="19"/>
        <v>21140</v>
      </c>
      <c r="K354" s="561">
        <f t="shared" si="20"/>
        <v>0</v>
      </c>
    </row>
    <row r="355" spans="3:19" ht="15">
      <c r="C355" s="307">
        <v>8</v>
      </c>
      <c r="D355" s="307">
        <v>24338</v>
      </c>
      <c r="E355" s="315">
        <v>42853</v>
      </c>
      <c r="F355" s="247" t="s">
        <v>706</v>
      </c>
      <c r="G355" s="314" t="s">
        <v>1116</v>
      </c>
      <c r="H355" s="307">
        <v>8</v>
      </c>
      <c r="I355" s="307">
        <v>24835</v>
      </c>
      <c r="J355" s="561">
        <f t="shared" si="19"/>
        <v>3976</v>
      </c>
      <c r="K355" s="561">
        <f t="shared" si="20"/>
        <v>0</v>
      </c>
    </row>
    <row r="356" spans="3:19" ht="15">
      <c r="C356" s="307">
        <v>16</v>
      </c>
      <c r="D356" s="307">
        <v>161179</v>
      </c>
      <c r="E356" s="315">
        <v>42853</v>
      </c>
      <c r="F356" s="249" t="s">
        <v>1001</v>
      </c>
      <c r="G356" s="314" t="s">
        <v>1116</v>
      </c>
      <c r="H356" s="307">
        <v>16</v>
      </c>
      <c r="I356" s="307">
        <v>164468</v>
      </c>
      <c r="J356" s="561">
        <f t="shared" si="19"/>
        <v>52624</v>
      </c>
      <c r="K356" s="561">
        <f t="shared" ref="K356:K419" si="21">IF(J356&gt;50000,1,0)</f>
        <v>1</v>
      </c>
      <c r="M356" s="246" t="s">
        <v>362</v>
      </c>
      <c r="N356" s="243">
        <v>2</v>
      </c>
      <c r="O356" s="181">
        <v>18612</v>
      </c>
      <c r="Q356" s="181">
        <f>N356*O356</f>
        <v>37224</v>
      </c>
      <c r="R356" s="581">
        <f>J356-Q356</f>
        <v>15400</v>
      </c>
      <c r="S356" s="581">
        <f>D356*C356</f>
        <v>2578864</v>
      </c>
    </row>
    <row r="357" spans="3:19" ht="15">
      <c r="C357" s="307">
        <v>20</v>
      </c>
      <c r="D357" s="307">
        <v>8077</v>
      </c>
      <c r="E357" s="315">
        <v>42853</v>
      </c>
      <c r="F357" s="249" t="s">
        <v>622</v>
      </c>
      <c r="G357" s="314" t="s">
        <v>1116</v>
      </c>
      <c r="H357" s="307">
        <v>20</v>
      </c>
      <c r="I357" s="307">
        <v>8242</v>
      </c>
      <c r="J357" s="561">
        <f t="shared" ref="J357:J420" si="22">I357*H357-D357*C357</f>
        <v>3300</v>
      </c>
      <c r="K357" s="561">
        <f t="shared" si="21"/>
        <v>0</v>
      </c>
    </row>
    <row r="358" spans="3:19" ht="15">
      <c r="C358" s="307">
        <v>20</v>
      </c>
      <c r="D358" s="307">
        <v>17324</v>
      </c>
      <c r="E358" s="315">
        <v>42853</v>
      </c>
      <c r="F358" s="249" t="s">
        <v>614</v>
      </c>
      <c r="G358" s="314" t="s">
        <v>1116</v>
      </c>
      <c r="H358" s="307">
        <v>20</v>
      </c>
      <c r="I358" s="307">
        <v>17678</v>
      </c>
      <c r="J358" s="561">
        <f t="shared" si="22"/>
        <v>7080</v>
      </c>
      <c r="K358" s="561">
        <f t="shared" si="21"/>
        <v>0</v>
      </c>
    </row>
    <row r="359" spans="3:19" ht="15">
      <c r="C359" s="307">
        <v>20</v>
      </c>
      <c r="D359" s="307">
        <v>35090</v>
      </c>
      <c r="E359" s="315">
        <v>42853</v>
      </c>
      <c r="F359" s="249" t="s">
        <v>615</v>
      </c>
      <c r="G359" s="314" t="s">
        <v>1116</v>
      </c>
      <c r="H359" s="307">
        <v>20</v>
      </c>
      <c r="I359" s="307">
        <v>35806</v>
      </c>
      <c r="J359" s="561">
        <f t="shared" si="22"/>
        <v>14320</v>
      </c>
      <c r="K359" s="561">
        <f t="shared" si="21"/>
        <v>0</v>
      </c>
    </row>
    <row r="360" spans="3:19" ht="15">
      <c r="C360" s="307">
        <v>20</v>
      </c>
      <c r="D360" s="307">
        <v>22089</v>
      </c>
      <c r="E360" s="315">
        <v>42853</v>
      </c>
      <c r="F360" s="249" t="s">
        <v>1013</v>
      </c>
      <c r="G360" s="314" t="s">
        <v>1116</v>
      </c>
      <c r="H360" s="307">
        <v>20</v>
      </c>
      <c r="I360" s="307">
        <v>22540</v>
      </c>
      <c r="J360" s="561">
        <f t="shared" si="22"/>
        <v>9020</v>
      </c>
      <c r="K360" s="561">
        <f t="shared" si="21"/>
        <v>0</v>
      </c>
    </row>
    <row r="361" spans="3:19" ht="15">
      <c r="C361" s="307">
        <v>20</v>
      </c>
      <c r="D361" s="307">
        <v>43309</v>
      </c>
      <c r="E361" s="315">
        <v>42853</v>
      </c>
      <c r="F361" s="249" t="s">
        <v>1014</v>
      </c>
      <c r="G361" s="314" t="s">
        <v>1116</v>
      </c>
      <c r="H361" s="307">
        <v>20</v>
      </c>
      <c r="I361" s="307">
        <v>44193</v>
      </c>
      <c r="J361" s="561">
        <f t="shared" si="22"/>
        <v>17680</v>
      </c>
      <c r="K361" s="561">
        <f t="shared" si="21"/>
        <v>0</v>
      </c>
    </row>
    <row r="362" spans="3:19" ht="15">
      <c r="C362" s="307">
        <v>12</v>
      </c>
      <c r="D362" s="307">
        <v>34679</v>
      </c>
      <c r="E362" s="315">
        <v>42853</v>
      </c>
      <c r="F362" s="249" t="s">
        <v>624</v>
      </c>
      <c r="G362" s="314" t="s">
        <v>1116</v>
      </c>
      <c r="H362" s="307">
        <v>12</v>
      </c>
      <c r="I362" s="307">
        <v>35387</v>
      </c>
      <c r="J362" s="561">
        <f t="shared" si="22"/>
        <v>8496</v>
      </c>
      <c r="K362" s="561">
        <f t="shared" si="21"/>
        <v>0</v>
      </c>
    </row>
    <row r="363" spans="3:19" ht="15">
      <c r="C363" s="307">
        <v>42</v>
      </c>
      <c r="D363" s="307">
        <v>37367</v>
      </c>
      <c r="E363" s="315">
        <v>42853</v>
      </c>
      <c r="F363" s="249" t="s">
        <v>625</v>
      </c>
      <c r="G363" s="314" t="s">
        <v>1116</v>
      </c>
      <c r="H363" s="307">
        <v>42</v>
      </c>
      <c r="I363" s="307">
        <v>38130</v>
      </c>
      <c r="J363" s="561">
        <f t="shared" si="22"/>
        <v>32046</v>
      </c>
      <c r="K363" s="561">
        <f t="shared" si="21"/>
        <v>0</v>
      </c>
    </row>
    <row r="364" spans="3:19" ht="15">
      <c r="C364" s="307">
        <v>4</v>
      </c>
      <c r="D364" s="307">
        <v>32633</v>
      </c>
      <c r="E364" s="315">
        <v>42853</v>
      </c>
      <c r="F364" s="247" t="s">
        <v>627</v>
      </c>
      <c r="G364" s="314" t="s">
        <v>1116</v>
      </c>
      <c r="H364" s="307">
        <v>4</v>
      </c>
      <c r="I364" s="307">
        <v>33299</v>
      </c>
      <c r="J364" s="561">
        <f t="shared" si="22"/>
        <v>2664</v>
      </c>
      <c r="K364" s="561">
        <f t="shared" si="21"/>
        <v>0</v>
      </c>
    </row>
    <row r="365" spans="3:19" ht="15">
      <c r="C365" s="307">
        <v>5</v>
      </c>
      <c r="D365" s="307">
        <v>97228</v>
      </c>
      <c r="E365" s="315">
        <v>42853</v>
      </c>
      <c r="F365" s="247" t="s">
        <v>628</v>
      </c>
      <c r="G365" s="314" t="s">
        <v>1116</v>
      </c>
      <c r="H365" s="307">
        <v>5</v>
      </c>
      <c r="I365" s="307">
        <v>99212</v>
      </c>
      <c r="J365" s="561">
        <f t="shared" si="22"/>
        <v>9920</v>
      </c>
      <c r="K365" s="561">
        <f t="shared" si="21"/>
        <v>0</v>
      </c>
    </row>
    <row r="366" spans="3:19" ht="15">
      <c r="C366" s="307">
        <v>4</v>
      </c>
      <c r="D366" s="307">
        <v>16616</v>
      </c>
      <c r="E366" s="315">
        <v>42853</v>
      </c>
      <c r="F366" s="249" t="s">
        <v>1015</v>
      </c>
      <c r="G366" s="314" t="s">
        <v>1116</v>
      </c>
      <c r="H366" s="307">
        <v>4</v>
      </c>
      <c r="I366" s="307">
        <v>16955</v>
      </c>
      <c r="J366" s="561">
        <f t="shared" si="22"/>
        <v>1356</v>
      </c>
      <c r="K366" s="561">
        <f t="shared" si="21"/>
        <v>0</v>
      </c>
    </row>
    <row r="367" spans="3:19" ht="15">
      <c r="C367" s="307">
        <v>8</v>
      </c>
      <c r="D367" s="307">
        <v>28011</v>
      </c>
      <c r="E367" s="315">
        <v>42853</v>
      </c>
      <c r="F367" s="247" t="s">
        <v>631</v>
      </c>
      <c r="G367" s="314" t="s">
        <v>1116</v>
      </c>
      <c r="H367" s="307">
        <v>8</v>
      </c>
      <c r="I367" s="307">
        <v>28583</v>
      </c>
      <c r="J367" s="561">
        <f t="shared" si="22"/>
        <v>4576</v>
      </c>
      <c r="K367" s="561">
        <f t="shared" si="21"/>
        <v>0</v>
      </c>
    </row>
    <row r="368" spans="3:19" ht="15">
      <c r="C368" s="307">
        <v>8</v>
      </c>
      <c r="D368" s="307">
        <v>34262</v>
      </c>
      <c r="E368" s="315">
        <v>42853</v>
      </c>
      <c r="F368" s="247" t="s">
        <v>1016</v>
      </c>
      <c r="G368" s="314" t="s">
        <v>1116</v>
      </c>
      <c r="H368" s="307">
        <v>8</v>
      </c>
      <c r="I368" s="307">
        <v>34961</v>
      </c>
      <c r="J368" s="561">
        <f t="shared" si="22"/>
        <v>5592</v>
      </c>
      <c r="K368" s="561">
        <f t="shared" si="21"/>
        <v>0</v>
      </c>
    </row>
    <row r="369" spans="3:19" ht="15">
      <c r="C369" s="307">
        <v>4</v>
      </c>
      <c r="D369" s="307">
        <v>50182</v>
      </c>
      <c r="E369" s="315">
        <v>42853</v>
      </c>
      <c r="F369" s="247" t="s">
        <v>999</v>
      </c>
      <c r="G369" s="314" t="s">
        <v>1116</v>
      </c>
      <c r="H369" s="307">
        <v>4</v>
      </c>
      <c r="I369" s="307">
        <v>51206</v>
      </c>
      <c r="J369" s="561">
        <f t="shared" si="22"/>
        <v>4096</v>
      </c>
      <c r="K369" s="561">
        <f t="shared" si="21"/>
        <v>0</v>
      </c>
    </row>
    <row r="370" spans="3:19" ht="15">
      <c r="C370" s="307">
        <v>100</v>
      </c>
      <c r="D370" s="307">
        <v>48822</v>
      </c>
      <c r="E370" s="315">
        <v>42853</v>
      </c>
      <c r="F370" s="247" t="s">
        <v>627</v>
      </c>
      <c r="G370" s="314" t="s">
        <v>1116</v>
      </c>
      <c r="H370" s="307">
        <v>100</v>
      </c>
      <c r="I370" s="307">
        <v>49818</v>
      </c>
      <c r="J370" s="561">
        <f t="shared" si="22"/>
        <v>99600</v>
      </c>
      <c r="K370" s="561">
        <f t="shared" si="21"/>
        <v>1</v>
      </c>
      <c r="M370" s="246" t="s">
        <v>362</v>
      </c>
      <c r="N370" s="243">
        <v>3</v>
      </c>
      <c r="O370" s="181">
        <v>18612</v>
      </c>
      <c r="Q370" s="181">
        <f>N370*O370</f>
        <v>55836</v>
      </c>
      <c r="R370" s="581">
        <f>J370-Q370</f>
        <v>43764</v>
      </c>
      <c r="S370" s="581">
        <f>D370*C370</f>
        <v>4882200</v>
      </c>
    </row>
    <row r="371" spans="3:19" ht="15">
      <c r="C371" s="307">
        <v>26</v>
      </c>
      <c r="D371" s="307">
        <v>69249</v>
      </c>
      <c r="E371" s="315">
        <v>42853</v>
      </c>
      <c r="F371" s="247" t="s">
        <v>755</v>
      </c>
      <c r="G371" s="314" t="s">
        <v>1116</v>
      </c>
      <c r="H371" s="307">
        <v>26</v>
      </c>
      <c r="I371" s="307">
        <v>70662</v>
      </c>
      <c r="J371" s="561">
        <f t="shared" si="22"/>
        <v>36738</v>
      </c>
      <c r="K371" s="561">
        <f t="shared" si="21"/>
        <v>0</v>
      </c>
    </row>
    <row r="372" spans="3:19" ht="15">
      <c r="C372" s="307">
        <v>50</v>
      </c>
      <c r="D372" s="307">
        <v>37751</v>
      </c>
      <c r="E372" s="315">
        <v>42853</v>
      </c>
      <c r="F372" s="247" t="s">
        <v>756</v>
      </c>
      <c r="G372" s="314" t="s">
        <v>1116</v>
      </c>
      <c r="H372" s="307">
        <v>50</v>
      </c>
      <c r="I372" s="307">
        <v>38521</v>
      </c>
      <c r="J372" s="561">
        <f t="shared" si="22"/>
        <v>38500</v>
      </c>
      <c r="K372" s="561">
        <f t="shared" si="21"/>
        <v>0</v>
      </c>
    </row>
    <row r="373" spans="3:19" ht="15">
      <c r="C373" s="307">
        <v>12</v>
      </c>
      <c r="D373" s="307">
        <v>121340</v>
      </c>
      <c r="E373" s="315">
        <v>42853</v>
      </c>
      <c r="F373" s="247" t="s">
        <v>1017</v>
      </c>
      <c r="G373" s="314" t="s">
        <v>1116</v>
      </c>
      <c r="H373" s="307">
        <v>12</v>
      </c>
      <c r="I373" s="307">
        <v>123816</v>
      </c>
      <c r="J373" s="561">
        <f t="shared" si="22"/>
        <v>29712</v>
      </c>
      <c r="K373" s="561">
        <f t="shared" si="21"/>
        <v>0</v>
      </c>
    </row>
    <row r="374" spans="3:19" ht="15">
      <c r="C374" s="307">
        <v>24</v>
      </c>
      <c r="D374" s="307">
        <v>53631</v>
      </c>
      <c r="E374" s="315">
        <v>42853</v>
      </c>
      <c r="F374" s="247" t="s">
        <v>1018</v>
      </c>
      <c r="G374" s="314" t="s">
        <v>1116</v>
      </c>
      <c r="H374" s="307">
        <v>24</v>
      </c>
      <c r="I374" s="307">
        <v>54726</v>
      </c>
      <c r="J374" s="561">
        <f t="shared" si="22"/>
        <v>26280</v>
      </c>
      <c r="K374" s="561">
        <f t="shared" si="21"/>
        <v>0</v>
      </c>
    </row>
    <row r="375" spans="3:19" ht="15">
      <c r="C375" s="307">
        <v>186</v>
      </c>
      <c r="D375" s="307">
        <v>17250</v>
      </c>
      <c r="E375" s="315">
        <v>42853</v>
      </c>
      <c r="F375" s="247" t="s">
        <v>704</v>
      </c>
      <c r="G375" s="314" t="s">
        <v>1116</v>
      </c>
      <c r="H375" s="307">
        <v>186</v>
      </c>
      <c r="I375" s="307">
        <v>17602</v>
      </c>
      <c r="J375" s="561">
        <f t="shared" si="22"/>
        <v>65472</v>
      </c>
      <c r="K375" s="561">
        <f t="shared" si="21"/>
        <v>1</v>
      </c>
      <c r="M375" s="246" t="s">
        <v>362</v>
      </c>
      <c r="N375" s="243">
        <v>2</v>
      </c>
      <c r="O375" s="181">
        <v>18612</v>
      </c>
      <c r="Q375" s="181">
        <f>N375*O375</f>
        <v>37224</v>
      </c>
      <c r="R375" s="581">
        <f>J375-Q375</f>
        <v>28248</v>
      </c>
      <c r="S375" s="581">
        <f>D375*C375</f>
        <v>3208500</v>
      </c>
    </row>
    <row r="376" spans="3:19" ht="15">
      <c r="C376" s="307">
        <v>12</v>
      </c>
      <c r="D376" s="307">
        <v>21058</v>
      </c>
      <c r="E376" s="315">
        <v>42853</v>
      </c>
      <c r="F376" s="249" t="s">
        <v>1019</v>
      </c>
      <c r="G376" s="314" t="s">
        <v>1116</v>
      </c>
      <c r="H376" s="307">
        <v>12</v>
      </c>
      <c r="I376" s="311">
        <v>21488</v>
      </c>
      <c r="J376" s="561">
        <f t="shared" si="22"/>
        <v>5160</v>
      </c>
      <c r="K376" s="561">
        <f t="shared" si="21"/>
        <v>0</v>
      </c>
    </row>
    <row r="377" spans="3:19" ht="15">
      <c r="C377" s="307">
        <v>12</v>
      </c>
      <c r="D377" s="307">
        <v>21745</v>
      </c>
      <c r="E377" s="315">
        <v>42853</v>
      </c>
      <c r="F377" s="249" t="s">
        <v>1020</v>
      </c>
      <c r="G377" s="314" t="s">
        <v>1116</v>
      </c>
      <c r="H377" s="307">
        <v>12</v>
      </c>
      <c r="I377" s="311">
        <v>22189</v>
      </c>
      <c r="J377" s="561">
        <f t="shared" si="22"/>
        <v>5328</v>
      </c>
      <c r="K377" s="561">
        <f t="shared" si="21"/>
        <v>0</v>
      </c>
    </row>
    <row r="378" spans="3:19" ht="15">
      <c r="C378" s="307">
        <v>11</v>
      </c>
      <c r="D378" s="307">
        <v>14662</v>
      </c>
      <c r="E378" s="315">
        <v>42853</v>
      </c>
      <c r="F378" s="249" t="s">
        <v>1021</v>
      </c>
      <c r="G378" s="314" t="s">
        <v>1116</v>
      </c>
      <c r="H378" s="307">
        <v>11</v>
      </c>
      <c r="I378" s="311">
        <v>14961</v>
      </c>
      <c r="J378" s="561">
        <f t="shared" si="22"/>
        <v>3289</v>
      </c>
      <c r="K378" s="561">
        <f t="shared" si="21"/>
        <v>0</v>
      </c>
    </row>
    <row r="379" spans="3:19" ht="15">
      <c r="C379" s="307">
        <v>34</v>
      </c>
      <c r="D379" s="307">
        <v>20573</v>
      </c>
      <c r="E379" s="315">
        <v>42853</v>
      </c>
      <c r="F379" s="249" t="s">
        <v>1022</v>
      </c>
      <c r="G379" s="314" t="s">
        <v>1116</v>
      </c>
      <c r="H379" s="307">
        <v>34</v>
      </c>
      <c r="I379" s="311">
        <v>20993</v>
      </c>
      <c r="J379" s="561">
        <f t="shared" si="22"/>
        <v>14280</v>
      </c>
      <c r="K379" s="561">
        <f t="shared" si="21"/>
        <v>0</v>
      </c>
    </row>
    <row r="380" spans="3:19" ht="15">
      <c r="C380" s="307">
        <v>12</v>
      </c>
      <c r="D380" s="307">
        <v>11341</v>
      </c>
      <c r="E380" s="315">
        <v>42853</v>
      </c>
      <c r="F380" s="249" t="s">
        <v>722</v>
      </c>
      <c r="G380" s="314" t="s">
        <v>1116</v>
      </c>
      <c r="H380" s="307">
        <v>12</v>
      </c>
      <c r="I380" s="307">
        <v>11572</v>
      </c>
      <c r="J380" s="561">
        <f t="shared" si="22"/>
        <v>2772</v>
      </c>
      <c r="K380" s="561">
        <f t="shared" si="21"/>
        <v>0</v>
      </c>
    </row>
    <row r="381" spans="3:19" ht="15">
      <c r="C381" s="307">
        <v>12</v>
      </c>
      <c r="D381" s="307">
        <v>10507</v>
      </c>
      <c r="E381" s="315">
        <v>42853</v>
      </c>
      <c r="F381" s="247" t="s">
        <v>723</v>
      </c>
      <c r="G381" s="314" t="s">
        <v>1116</v>
      </c>
      <c r="H381" s="307">
        <v>12</v>
      </c>
      <c r="I381" s="307">
        <v>10721</v>
      </c>
      <c r="J381" s="561">
        <f t="shared" si="22"/>
        <v>2568</v>
      </c>
      <c r="K381" s="561">
        <f t="shared" si="21"/>
        <v>0</v>
      </c>
    </row>
    <row r="382" spans="3:19" ht="15">
      <c r="C382" s="307">
        <v>10</v>
      </c>
      <c r="D382" s="307">
        <v>54883</v>
      </c>
      <c r="E382" s="315">
        <v>42853</v>
      </c>
      <c r="F382" s="247" t="s">
        <v>731</v>
      </c>
      <c r="G382" s="314" t="s">
        <v>1116</v>
      </c>
      <c r="H382" s="307">
        <v>10</v>
      </c>
      <c r="I382" s="311">
        <v>56003</v>
      </c>
      <c r="J382" s="561">
        <f t="shared" si="22"/>
        <v>11200</v>
      </c>
      <c r="K382" s="561">
        <f t="shared" si="21"/>
        <v>0</v>
      </c>
    </row>
    <row r="383" spans="3:19" ht="15">
      <c r="C383" s="307">
        <v>12</v>
      </c>
      <c r="D383" s="307">
        <v>81250</v>
      </c>
      <c r="E383" s="315">
        <v>42853</v>
      </c>
      <c r="F383" s="249" t="s">
        <v>1023</v>
      </c>
      <c r="G383" s="314" t="s">
        <v>1116</v>
      </c>
      <c r="H383" s="307">
        <v>12</v>
      </c>
      <c r="I383" s="307">
        <v>82908</v>
      </c>
      <c r="J383" s="561">
        <f t="shared" si="22"/>
        <v>19896</v>
      </c>
      <c r="K383" s="561">
        <f t="shared" si="21"/>
        <v>0</v>
      </c>
    </row>
    <row r="384" spans="3:19" ht="15">
      <c r="C384" s="307">
        <v>20</v>
      </c>
      <c r="D384" s="307">
        <v>67239</v>
      </c>
      <c r="E384" s="315">
        <v>42853</v>
      </c>
      <c r="F384" s="249" t="s">
        <v>1024</v>
      </c>
      <c r="G384" s="314" t="s">
        <v>1116</v>
      </c>
      <c r="H384" s="307">
        <v>20</v>
      </c>
      <c r="I384" s="307">
        <v>68611</v>
      </c>
      <c r="J384" s="561">
        <f t="shared" si="22"/>
        <v>27440</v>
      </c>
      <c r="K384" s="561">
        <f t="shared" si="21"/>
        <v>0</v>
      </c>
    </row>
    <row r="385" spans="2:19" ht="15">
      <c r="C385" s="307">
        <v>24</v>
      </c>
      <c r="D385" s="307">
        <v>45241</v>
      </c>
      <c r="E385" s="315">
        <v>42853</v>
      </c>
      <c r="F385" s="249" t="s">
        <v>1025</v>
      </c>
      <c r="G385" s="314" t="s">
        <v>1116</v>
      </c>
      <c r="H385" s="307">
        <v>24</v>
      </c>
      <c r="I385" s="307">
        <v>46164</v>
      </c>
      <c r="J385" s="561">
        <f t="shared" si="22"/>
        <v>22152</v>
      </c>
      <c r="K385" s="561">
        <f t="shared" si="21"/>
        <v>0</v>
      </c>
    </row>
    <row r="386" spans="2:19" ht="15">
      <c r="C386" s="307">
        <v>2</v>
      </c>
      <c r="D386" s="307">
        <v>84794</v>
      </c>
      <c r="E386" s="315">
        <v>42853</v>
      </c>
      <c r="F386" s="249" t="s">
        <v>1026</v>
      </c>
      <c r="G386" s="314" t="s">
        <v>1116</v>
      </c>
      <c r="H386" s="307">
        <v>2</v>
      </c>
      <c r="I386" s="307">
        <v>86524</v>
      </c>
      <c r="J386" s="561">
        <f t="shared" si="22"/>
        <v>3460</v>
      </c>
      <c r="K386" s="561">
        <f t="shared" si="21"/>
        <v>0</v>
      </c>
    </row>
    <row r="387" spans="2:19" ht="15">
      <c r="C387" s="307">
        <v>4</v>
      </c>
      <c r="D387" s="307">
        <v>72681</v>
      </c>
      <c r="E387" s="315">
        <v>42853</v>
      </c>
      <c r="F387" s="249" t="s">
        <v>1027</v>
      </c>
      <c r="G387" s="314" t="s">
        <v>1116</v>
      </c>
      <c r="H387" s="307">
        <v>4</v>
      </c>
      <c r="I387" s="307">
        <v>74164</v>
      </c>
      <c r="J387" s="561">
        <f t="shared" si="22"/>
        <v>5932</v>
      </c>
      <c r="K387" s="561">
        <f t="shared" si="21"/>
        <v>0</v>
      </c>
    </row>
    <row r="388" spans="2:19" ht="15">
      <c r="C388" s="307">
        <v>15</v>
      </c>
      <c r="D388" s="307">
        <v>89202</v>
      </c>
      <c r="E388" s="315">
        <v>42853</v>
      </c>
      <c r="F388" s="249" t="s">
        <v>1028</v>
      </c>
      <c r="G388" s="314" t="s">
        <v>1116</v>
      </c>
      <c r="H388" s="307">
        <v>15</v>
      </c>
      <c r="I388" s="307">
        <v>91022</v>
      </c>
      <c r="J388" s="561">
        <f t="shared" si="22"/>
        <v>27300</v>
      </c>
      <c r="K388" s="561">
        <f t="shared" si="21"/>
        <v>0</v>
      </c>
    </row>
    <row r="389" spans="2:19" ht="15">
      <c r="C389" s="307">
        <v>12</v>
      </c>
      <c r="D389" s="307">
        <v>49660</v>
      </c>
      <c r="E389" s="315">
        <v>42853</v>
      </c>
      <c r="F389" s="249" t="s">
        <v>735</v>
      </c>
      <c r="G389" s="314" t="s">
        <v>1116</v>
      </c>
      <c r="H389" s="307">
        <v>12</v>
      </c>
      <c r="I389" s="307">
        <v>50673</v>
      </c>
      <c r="J389" s="561">
        <f t="shared" si="22"/>
        <v>12156</v>
      </c>
      <c r="K389" s="561">
        <f t="shared" si="21"/>
        <v>0</v>
      </c>
    </row>
    <row r="390" spans="2:19" ht="15">
      <c r="C390" s="307">
        <v>12</v>
      </c>
      <c r="D390" s="307">
        <v>78500</v>
      </c>
      <c r="E390" s="315">
        <v>42853</v>
      </c>
      <c r="F390" s="247" t="s">
        <v>736</v>
      </c>
      <c r="G390" s="314" t="s">
        <v>1116</v>
      </c>
      <c r="H390" s="307">
        <v>12</v>
      </c>
      <c r="I390" s="307">
        <v>80102</v>
      </c>
      <c r="J390" s="561">
        <f t="shared" si="22"/>
        <v>19224</v>
      </c>
      <c r="K390" s="561">
        <f t="shared" si="21"/>
        <v>0</v>
      </c>
    </row>
    <row r="391" spans="2:19" ht="15">
      <c r="C391" s="307">
        <v>12</v>
      </c>
      <c r="D391" s="307">
        <v>21268</v>
      </c>
      <c r="E391" s="315">
        <v>42853</v>
      </c>
      <c r="F391" s="247" t="s">
        <v>1041</v>
      </c>
      <c r="G391" s="314" t="s">
        <v>1116</v>
      </c>
      <c r="H391" s="543">
        <v>12</v>
      </c>
      <c r="I391" s="307">
        <v>21702</v>
      </c>
      <c r="J391" s="561">
        <f t="shared" si="22"/>
        <v>5208</v>
      </c>
      <c r="K391" s="561">
        <f t="shared" si="21"/>
        <v>0</v>
      </c>
    </row>
    <row r="392" spans="2:19" ht="15">
      <c r="C392" s="307">
        <v>12</v>
      </c>
      <c r="D392" s="307">
        <v>14428</v>
      </c>
      <c r="E392" s="315">
        <v>42853</v>
      </c>
      <c r="F392" s="247" t="s">
        <v>665</v>
      </c>
      <c r="G392" s="314" t="s">
        <v>1116</v>
      </c>
      <c r="H392" s="543">
        <v>12</v>
      </c>
      <c r="I392" s="307">
        <v>14722</v>
      </c>
      <c r="J392" s="561">
        <f t="shared" si="22"/>
        <v>3528</v>
      </c>
      <c r="K392" s="561">
        <f t="shared" si="21"/>
        <v>0</v>
      </c>
    </row>
    <row r="393" spans="2:19" ht="15">
      <c r="C393" s="307">
        <v>24</v>
      </c>
      <c r="D393" s="307">
        <v>18191</v>
      </c>
      <c r="E393" s="315">
        <v>42853</v>
      </c>
      <c r="F393" s="247" t="s">
        <v>1042</v>
      </c>
      <c r="G393" s="314" t="s">
        <v>1116</v>
      </c>
      <c r="H393" s="307">
        <v>24</v>
      </c>
      <c r="I393" s="307">
        <v>18562</v>
      </c>
      <c r="J393" s="561">
        <f t="shared" si="22"/>
        <v>8904</v>
      </c>
      <c r="K393" s="561">
        <f t="shared" si="21"/>
        <v>0</v>
      </c>
    </row>
    <row r="394" spans="2:19" ht="15">
      <c r="C394" s="307">
        <v>6</v>
      </c>
      <c r="D394" s="307">
        <v>19057</v>
      </c>
      <c r="E394" s="315">
        <v>42853</v>
      </c>
      <c r="F394" s="249" t="s">
        <v>652</v>
      </c>
      <c r="G394" s="314" t="s">
        <v>1116</v>
      </c>
      <c r="H394" s="307">
        <v>6</v>
      </c>
      <c r="I394" s="307">
        <v>19446</v>
      </c>
      <c r="J394" s="561">
        <f t="shared" si="22"/>
        <v>2334</v>
      </c>
      <c r="K394" s="561">
        <f t="shared" si="21"/>
        <v>0</v>
      </c>
    </row>
    <row r="395" spans="2:19" ht="15">
      <c r="C395" s="307">
        <v>6</v>
      </c>
      <c r="D395" s="307">
        <v>24690</v>
      </c>
      <c r="E395" s="315">
        <v>42853</v>
      </c>
      <c r="F395" s="249" t="s">
        <v>1043</v>
      </c>
      <c r="G395" s="314" t="s">
        <v>1116</v>
      </c>
      <c r="H395" s="307">
        <v>6</v>
      </c>
      <c r="I395" s="307">
        <v>25194</v>
      </c>
      <c r="J395" s="561">
        <f t="shared" si="22"/>
        <v>3024</v>
      </c>
      <c r="K395" s="561">
        <f t="shared" si="21"/>
        <v>0</v>
      </c>
    </row>
    <row r="396" spans="2:19" ht="15">
      <c r="C396" s="307">
        <v>24</v>
      </c>
      <c r="D396" s="307">
        <v>17895</v>
      </c>
      <c r="E396" s="315">
        <v>42853</v>
      </c>
      <c r="F396" s="250" t="s">
        <v>1044</v>
      </c>
      <c r="G396" s="314" t="s">
        <v>1116</v>
      </c>
      <c r="H396" s="307">
        <v>24</v>
      </c>
      <c r="I396" s="307">
        <v>18260</v>
      </c>
      <c r="J396" s="561">
        <f t="shared" si="22"/>
        <v>8760</v>
      </c>
      <c r="K396" s="561">
        <f t="shared" si="21"/>
        <v>0</v>
      </c>
    </row>
    <row r="397" spans="2:19" ht="15">
      <c r="C397" s="307">
        <v>12</v>
      </c>
      <c r="D397" s="307">
        <v>36812</v>
      </c>
      <c r="E397" s="315">
        <v>42853</v>
      </c>
      <c r="F397" s="247" t="s">
        <v>761</v>
      </c>
      <c r="G397" s="314" t="s">
        <v>1116</v>
      </c>
      <c r="H397" s="307">
        <v>12</v>
      </c>
      <c r="I397" s="307">
        <v>37563</v>
      </c>
      <c r="J397" s="561">
        <f t="shared" si="22"/>
        <v>9012</v>
      </c>
      <c r="K397" s="561">
        <f t="shared" si="21"/>
        <v>0</v>
      </c>
    </row>
    <row r="398" spans="2:19" ht="15">
      <c r="C398" s="307">
        <v>144</v>
      </c>
      <c r="D398" s="307">
        <v>41098</v>
      </c>
      <c r="E398" s="315">
        <v>42853</v>
      </c>
      <c r="F398" s="247" t="s">
        <v>1045</v>
      </c>
      <c r="G398" s="314" t="s">
        <v>1116</v>
      </c>
      <c r="H398" s="307">
        <v>144</v>
      </c>
      <c r="I398" s="307">
        <v>41937</v>
      </c>
      <c r="J398" s="561">
        <f t="shared" si="22"/>
        <v>120816</v>
      </c>
      <c r="K398" s="561">
        <v>0</v>
      </c>
    </row>
    <row r="399" spans="2:19" ht="15">
      <c r="C399" s="307">
        <v>182</v>
      </c>
      <c r="D399" s="307">
        <v>39735</v>
      </c>
      <c r="E399" s="315">
        <v>42853</v>
      </c>
      <c r="F399" s="247" t="s">
        <v>611</v>
      </c>
      <c r="G399" s="314" t="s">
        <v>1116</v>
      </c>
      <c r="H399" s="307">
        <v>182</v>
      </c>
      <c r="I399" s="307">
        <v>40546</v>
      </c>
      <c r="J399" s="561">
        <f t="shared" si="22"/>
        <v>147602</v>
      </c>
      <c r="K399" s="561">
        <f t="shared" si="21"/>
        <v>1</v>
      </c>
      <c r="M399" s="246" t="s">
        <v>362</v>
      </c>
      <c r="N399" s="243">
        <v>5</v>
      </c>
      <c r="O399" s="181">
        <v>18612</v>
      </c>
      <c r="Q399" s="181">
        <f>N399*O399</f>
        <v>93060</v>
      </c>
      <c r="R399" s="581">
        <f>J399-Q399</f>
        <v>54542</v>
      </c>
      <c r="S399" s="581">
        <f>D399*C399</f>
        <v>7231770</v>
      </c>
    </row>
    <row r="400" spans="2:19" ht="15">
      <c r="B400" s="245"/>
      <c r="C400" s="307">
        <v>1125</v>
      </c>
      <c r="D400" s="307">
        <v>11010</v>
      </c>
      <c r="E400" s="315">
        <v>42853</v>
      </c>
      <c r="F400" s="247" t="s">
        <v>274</v>
      </c>
      <c r="G400" s="314" t="s">
        <v>1116</v>
      </c>
      <c r="H400" s="307">
        <v>1125</v>
      </c>
      <c r="I400" s="307">
        <v>11235</v>
      </c>
      <c r="J400" s="561">
        <f t="shared" si="22"/>
        <v>253125</v>
      </c>
      <c r="K400" s="561">
        <v>0</v>
      </c>
    </row>
    <row r="401" spans="3:11" ht="15">
      <c r="C401" s="307">
        <v>15</v>
      </c>
      <c r="D401" s="307">
        <v>99421</v>
      </c>
      <c r="E401" s="315">
        <v>42853</v>
      </c>
      <c r="F401" s="250" t="s">
        <v>734</v>
      </c>
      <c r="G401" s="314" t="s">
        <v>1116</v>
      </c>
      <c r="H401" s="307">
        <v>15</v>
      </c>
      <c r="I401" s="307">
        <v>101450</v>
      </c>
      <c r="J401" s="561">
        <f t="shared" si="22"/>
        <v>30435</v>
      </c>
      <c r="K401" s="561">
        <f t="shared" si="21"/>
        <v>0</v>
      </c>
    </row>
    <row r="402" spans="3:11" ht="15">
      <c r="C402" s="307">
        <v>8</v>
      </c>
      <c r="D402" s="307">
        <v>46675</v>
      </c>
      <c r="E402" s="315">
        <v>42853</v>
      </c>
      <c r="F402" s="250" t="s">
        <v>705</v>
      </c>
      <c r="G402" s="314" t="s">
        <v>1116</v>
      </c>
      <c r="H402" s="307">
        <v>8</v>
      </c>
      <c r="I402" s="307">
        <v>47628</v>
      </c>
      <c r="J402" s="561">
        <f t="shared" si="22"/>
        <v>7624</v>
      </c>
      <c r="K402" s="561">
        <f t="shared" si="21"/>
        <v>0</v>
      </c>
    </row>
    <row r="403" spans="3:11" ht="15">
      <c r="C403" s="307">
        <v>8</v>
      </c>
      <c r="D403" s="307">
        <v>29746</v>
      </c>
      <c r="E403" s="315">
        <v>42853</v>
      </c>
      <c r="F403" s="247" t="s">
        <v>707</v>
      </c>
      <c r="G403" s="314" t="s">
        <v>1116</v>
      </c>
      <c r="H403" s="307">
        <v>8</v>
      </c>
      <c r="I403" s="307">
        <v>30353</v>
      </c>
      <c r="J403" s="561">
        <f t="shared" si="22"/>
        <v>4856</v>
      </c>
      <c r="K403" s="561">
        <f t="shared" si="21"/>
        <v>0</v>
      </c>
    </row>
    <row r="404" spans="3:11" ht="15">
      <c r="C404" s="307">
        <v>24</v>
      </c>
      <c r="D404" s="307">
        <v>35663</v>
      </c>
      <c r="E404" s="315">
        <v>42853</v>
      </c>
      <c r="F404" s="249" t="s">
        <v>708</v>
      </c>
      <c r="G404" s="314" t="s">
        <v>1116</v>
      </c>
      <c r="H404" s="307">
        <v>24</v>
      </c>
      <c r="I404" s="307">
        <v>36391</v>
      </c>
      <c r="J404" s="561">
        <f t="shared" si="22"/>
        <v>17472</v>
      </c>
      <c r="K404" s="561">
        <f t="shared" si="21"/>
        <v>0</v>
      </c>
    </row>
    <row r="405" spans="3:11" ht="15">
      <c r="C405" s="307">
        <v>24</v>
      </c>
      <c r="D405" s="307">
        <v>40351</v>
      </c>
      <c r="E405" s="315">
        <v>42853</v>
      </c>
      <c r="F405" s="249" t="s">
        <v>709</v>
      </c>
      <c r="G405" s="314" t="s">
        <v>1116</v>
      </c>
      <c r="H405" s="307">
        <v>24</v>
      </c>
      <c r="I405" s="307">
        <v>41174</v>
      </c>
      <c r="J405" s="561">
        <f t="shared" si="22"/>
        <v>19752</v>
      </c>
      <c r="K405" s="561">
        <f t="shared" si="21"/>
        <v>0</v>
      </c>
    </row>
    <row r="406" spans="3:11" ht="15">
      <c r="C406" s="307">
        <v>45</v>
      </c>
      <c r="D406" s="307">
        <v>14921</v>
      </c>
      <c r="E406" s="315">
        <v>42853</v>
      </c>
      <c r="F406" s="247" t="s">
        <v>1046</v>
      </c>
      <c r="G406" s="314" t="s">
        <v>1116</v>
      </c>
      <c r="H406" s="307">
        <v>45</v>
      </c>
      <c r="I406" s="307">
        <v>15225</v>
      </c>
      <c r="J406" s="561">
        <f t="shared" si="22"/>
        <v>13680</v>
      </c>
      <c r="K406" s="561">
        <f t="shared" si="21"/>
        <v>0</v>
      </c>
    </row>
    <row r="407" spans="3:11" ht="15">
      <c r="C407" s="307">
        <v>12</v>
      </c>
      <c r="D407" s="307">
        <v>7804</v>
      </c>
      <c r="E407" s="315">
        <v>42853</v>
      </c>
      <c r="F407" s="249" t="s">
        <v>721</v>
      </c>
      <c r="G407" s="314" t="s">
        <v>1116</v>
      </c>
      <c r="H407" s="307">
        <v>12</v>
      </c>
      <c r="I407" s="307">
        <v>7963</v>
      </c>
      <c r="J407" s="561">
        <f t="shared" si="22"/>
        <v>1908</v>
      </c>
      <c r="K407" s="561">
        <f t="shared" si="21"/>
        <v>0</v>
      </c>
    </row>
    <row r="408" spans="3:11" ht="15">
      <c r="C408" s="307">
        <v>12</v>
      </c>
      <c r="D408" s="307">
        <v>22519</v>
      </c>
      <c r="E408" s="315">
        <v>42853</v>
      </c>
      <c r="F408" s="249" t="s">
        <v>727</v>
      </c>
      <c r="G408" s="314" t="s">
        <v>1116</v>
      </c>
      <c r="H408" s="307">
        <v>12</v>
      </c>
      <c r="I408" s="307">
        <v>22979</v>
      </c>
      <c r="J408" s="561">
        <f t="shared" si="22"/>
        <v>5520</v>
      </c>
      <c r="K408" s="561">
        <f t="shared" si="21"/>
        <v>0</v>
      </c>
    </row>
    <row r="409" spans="3:11" ht="15">
      <c r="C409" s="307">
        <v>4</v>
      </c>
      <c r="D409" s="307">
        <v>39964</v>
      </c>
      <c r="E409" s="315">
        <v>42853</v>
      </c>
      <c r="F409" s="249" t="s">
        <v>1047</v>
      </c>
      <c r="G409" s="314" t="s">
        <v>1116</v>
      </c>
      <c r="H409" s="307">
        <v>4</v>
      </c>
      <c r="I409" s="307">
        <v>40780</v>
      </c>
      <c r="J409" s="561">
        <f t="shared" si="22"/>
        <v>3264</v>
      </c>
      <c r="K409" s="561">
        <f t="shared" si="21"/>
        <v>0</v>
      </c>
    </row>
    <row r="410" spans="3:11" ht="15">
      <c r="C410" s="307">
        <v>4</v>
      </c>
      <c r="D410" s="307">
        <v>41226</v>
      </c>
      <c r="E410" s="315">
        <v>42853</v>
      </c>
      <c r="F410" s="249" t="s">
        <v>1048</v>
      </c>
      <c r="G410" s="314" t="s">
        <v>1116</v>
      </c>
      <c r="H410" s="307">
        <v>4</v>
      </c>
      <c r="I410" s="307">
        <v>42067</v>
      </c>
      <c r="J410" s="561">
        <f t="shared" si="22"/>
        <v>3364</v>
      </c>
      <c r="K410" s="561">
        <f t="shared" si="21"/>
        <v>0</v>
      </c>
    </row>
    <row r="411" spans="3:11" ht="15">
      <c r="C411" s="307">
        <v>6</v>
      </c>
      <c r="D411" s="307">
        <v>20831</v>
      </c>
      <c r="E411" s="315">
        <v>42853</v>
      </c>
      <c r="F411" s="249" t="s">
        <v>746</v>
      </c>
      <c r="G411" s="314" t="s">
        <v>1116</v>
      </c>
      <c r="H411" s="307">
        <v>6</v>
      </c>
      <c r="I411" s="307">
        <v>21256</v>
      </c>
      <c r="J411" s="561">
        <f t="shared" si="22"/>
        <v>2550</v>
      </c>
      <c r="K411" s="561">
        <f t="shared" si="21"/>
        <v>0</v>
      </c>
    </row>
    <row r="412" spans="3:11" ht="15">
      <c r="C412" s="307">
        <v>36</v>
      </c>
      <c r="D412" s="307">
        <v>45869</v>
      </c>
      <c r="E412" s="315">
        <v>42853</v>
      </c>
      <c r="F412" s="249" t="s">
        <v>712</v>
      </c>
      <c r="G412" s="314" t="s">
        <v>1116</v>
      </c>
      <c r="H412" s="307">
        <v>36</v>
      </c>
      <c r="I412" s="307">
        <v>46805</v>
      </c>
      <c r="J412" s="561">
        <f t="shared" si="22"/>
        <v>33696</v>
      </c>
      <c r="K412" s="561">
        <f t="shared" si="21"/>
        <v>0</v>
      </c>
    </row>
    <row r="413" spans="3:11" ht="15">
      <c r="C413" s="307">
        <v>18</v>
      </c>
      <c r="D413" s="307">
        <v>33167</v>
      </c>
      <c r="E413" s="315">
        <v>42853</v>
      </c>
      <c r="F413" s="249" t="s">
        <v>713</v>
      </c>
      <c r="G413" s="314" t="s">
        <v>1116</v>
      </c>
      <c r="H413" s="307">
        <v>18</v>
      </c>
      <c r="I413" s="307">
        <v>33844</v>
      </c>
      <c r="J413" s="561">
        <f t="shared" si="22"/>
        <v>12186</v>
      </c>
      <c r="K413" s="561">
        <f t="shared" si="21"/>
        <v>0</v>
      </c>
    </row>
    <row r="414" spans="3:11" ht="15">
      <c r="C414" s="307">
        <v>12</v>
      </c>
      <c r="D414" s="307">
        <v>36447</v>
      </c>
      <c r="E414" s="315">
        <v>42853</v>
      </c>
      <c r="F414" s="249" t="s">
        <v>715</v>
      </c>
      <c r="G414" s="314" t="s">
        <v>1116</v>
      </c>
      <c r="H414" s="284">
        <v>12</v>
      </c>
      <c r="I414" s="284">
        <v>37191</v>
      </c>
      <c r="J414" s="561">
        <f t="shared" si="22"/>
        <v>8928</v>
      </c>
      <c r="K414" s="561">
        <f t="shared" si="21"/>
        <v>0</v>
      </c>
    </row>
    <row r="415" spans="3:11" ht="15">
      <c r="C415" s="307">
        <v>12</v>
      </c>
      <c r="D415" s="307">
        <v>24145</v>
      </c>
      <c r="E415" s="315">
        <v>42853</v>
      </c>
      <c r="F415" s="249" t="s">
        <v>1049</v>
      </c>
      <c r="G415" s="314" t="s">
        <v>1116</v>
      </c>
      <c r="H415" s="307">
        <v>12</v>
      </c>
      <c r="I415" s="307">
        <v>24638</v>
      </c>
      <c r="J415" s="561">
        <f t="shared" si="22"/>
        <v>5916</v>
      </c>
      <c r="K415" s="561">
        <f t="shared" si="21"/>
        <v>0</v>
      </c>
    </row>
    <row r="416" spans="3:11" ht="15">
      <c r="C416" s="307">
        <v>36</v>
      </c>
      <c r="D416" s="307">
        <v>12849</v>
      </c>
      <c r="E416" s="315">
        <v>42853</v>
      </c>
      <c r="F416" s="249" t="s">
        <v>1050</v>
      </c>
      <c r="G416" s="314" t="s">
        <v>1116</v>
      </c>
      <c r="H416" s="307">
        <v>36</v>
      </c>
      <c r="I416" s="307">
        <v>13111</v>
      </c>
      <c r="J416" s="561">
        <f t="shared" si="22"/>
        <v>9432</v>
      </c>
      <c r="K416" s="561">
        <f t="shared" si="21"/>
        <v>0</v>
      </c>
    </row>
    <row r="417" spans="2:19" ht="15">
      <c r="C417" s="307">
        <v>32</v>
      </c>
      <c r="D417" s="307">
        <v>8229</v>
      </c>
      <c r="E417" s="315">
        <v>42853</v>
      </c>
      <c r="F417" s="249" t="s">
        <v>724</v>
      </c>
      <c r="G417" s="314" t="s">
        <v>1116</v>
      </c>
      <c r="H417" s="307">
        <v>32</v>
      </c>
      <c r="I417" s="307">
        <v>8397</v>
      </c>
      <c r="J417" s="561">
        <f t="shared" si="22"/>
        <v>5376</v>
      </c>
      <c r="K417" s="561">
        <f t="shared" si="21"/>
        <v>0</v>
      </c>
    </row>
    <row r="418" spans="2:19" ht="15">
      <c r="C418" s="307">
        <v>4</v>
      </c>
      <c r="D418" s="307">
        <v>176257.2</v>
      </c>
      <c r="E418" s="315">
        <v>42853</v>
      </c>
      <c r="F418" s="249" t="s">
        <v>740</v>
      </c>
      <c r="G418" s="314" t="s">
        <v>1116</v>
      </c>
      <c r="H418" s="307">
        <v>4</v>
      </c>
      <c r="I418" s="307">
        <v>179850</v>
      </c>
      <c r="J418" s="561">
        <f t="shared" si="22"/>
        <v>14371.199999999953</v>
      </c>
      <c r="K418" s="561">
        <f t="shared" si="21"/>
        <v>0</v>
      </c>
    </row>
    <row r="419" spans="2:19" ht="15">
      <c r="C419" s="307">
        <v>16</v>
      </c>
      <c r="D419" s="307">
        <v>231405</v>
      </c>
      <c r="E419" s="315">
        <v>42853</v>
      </c>
      <c r="F419" s="250" t="s">
        <v>741</v>
      </c>
      <c r="G419" s="314" t="s">
        <v>1116</v>
      </c>
      <c r="H419" s="307">
        <v>16</v>
      </c>
      <c r="I419" s="307">
        <v>236128</v>
      </c>
      <c r="J419" s="561">
        <f t="shared" si="22"/>
        <v>75568</v>
      </c>
      <c r="K419" s="561">
        <f t="shared" si="21"/>
        <v>1</v>
      </c>
      <c r="M419" s="246" t="s">
        <v>362</v>
      </c>
      <c r="N419" s="243">
        <v>2</v>
      </c>
      <c r="O419" s="181">
        <v>18612</v>
      </c>
      <c r="Q419" s="181">
        <f>N419*O419</f>
        <v>37224</v>
      </c>
      <c r="R419" s="581">
        <f>J419-Q419</f>
        <v>38344</v>
      </c>
      <c r="S419" s="581">
        <f>D419*C419</f>
        <v>3702480</v>
      </c>
    </row>
    <row r="420" spans="2:19" ht="15">
      <c r="C420" s="307">
        <v>4</v>
      </c>
      <c r="D420" s="307">
        <v>76990</v>
      </c>
      <c r="E420" s="315">
        <v>42853</v>
      </c>
      <c r="F420" s="250" t="s">
        <v>1052</v>
      </c>
      <c r="G420" s="314" t="s">
        <v>1116</v>
      </c>
      <c r="H420" s="307">
        <v>4</v>
      </c>
      <c r="I420" s="307">
        <v>78561</v>
      </c>
      <c r="J420" s="561">
        <f t="shared" si="22"/>
        <v>6284</v>
      </c>
      <c r="K420" s="561">
        <f t="shared" ref="K420:K458" si="23">IF(J420&gt;50000,1,0)</f>
        <v>0</v>
      </c>
    </row>
    <row r="421" spans="2:19" ht="15">
      <c r="C421" s="307">
        <v>24</v>
      </c>
      <c r="D421" s="307">
        <v>48910</v>
      </c>
      <c r="E421" s="315">
        <v>42853</v>
      </c>
      <c r="F421" s="250" t="s">
        <v>1053</v>
      </c>
      <c r="G421" s="314" t="s">
        <v>1116</v>
      </c>
      <c r="H421" s="307">
        <v>24</v>
      </c>
      <c r="I421" s="307">
        <v>49908</v>
      </c>
      <c r="J421" s="561">
        <f t="shared" ref="J421:J458" si="24">I421*H421-D421*C421</f>
        <v>23952</v>
      </c>
      <c r="K421" s="561">
        <f t="shared" si="23"/>
        <v>0</v>
      </c>
    </row>
    <row r="422" spans="2:19" ht="15">
      <c r="C422" s="307">
        <v>3</v>
      </c>
      <c r="D422" s="307">
        <v>201411</v>
      </c>
      <c r="E422" s="315">
        <v>42853</v>
      </c>
      <c r="F422" s="250" t="s">
        <v>692</v>
      </c>
      <c r="G422" s="314" t="s">
        <v>1116</v>
      </c>
      <c r="H422" s="307">
        <v>3</v>
      </c>
      <c r="I422" s="307">
        <v>205521</v>
      </c>
      <c r="J422" s="561">
        <f t="shared" si="24"/>
        <v>12330</v>
      </c>
      <c r="K422" s="561">
        <f t="shared" si="23"/>
        <v>0</v>
      </c>
    </row>
    <row r="423" spans="2:19" ht="15">
      <c r="C423" s="307">
        <v>6</v>
      </c>
      <c r="D423" s="307">
        <v>101418</v>
      </c>
      <c r="E423" s="315">
        <v>42853</v>
      </c>
      <c r="F423" s="250" t="s">
        <v>693</v>
      </c>
      <c r="G423" s="314" t="s">
        <v>1116</v>
      </c>
      <c r="H423" s="307">
        <v>6</v>
      </c>
      <c r="I423" s="307">
        <v>103488</v>
      </c>
      <c r="J423" s="561">
        <f t="shared" si="24"/>
        <v>12420</v>
      </c>
      <c r="K423" s="561">
        <f t="shared" si="23"/>
        <v>0</v>
      </c>
    </row>
    <row r="424" spans="2:19" ht="15">
      <c r="C424" s="307">
        <v>5</v>
      </c>
      <c r="D424" s="307">
        <v>140372</v>
      </c>
      <c r="E424" s="315">
        <v>42853</v>
      </c>
      <c r="F424" s="250" t="s">
        <v>698</v>
      </c>
      <c r="G424" s="314" t="s">
        <v>1116</v>
      </c>
      <c r="H424" s="307">
        <v>5</v>
      </c>
      <c r="I424" s="307">
        <v>143237</v>
      </c>
      <c r="J424" s="561">
        <f t="shared" si="24"/>
        <v>14325</v>
      </c>
      <c r="K424" s="561">
        <f t="shared" si="23"/>
        <v>0</v>
      </c>
    </row>
    <row r="425" spans="2:19" ht="15">
      <c r="C425" s="307">
        <v>6</v>
      </c>
      <c r="D425" s="307">
        <v>176257.2</v>
      </c>
      <c r="E425" s="315">
        <v>42853</v>
      </c>
      <c r="F425" s="250" t="s">
        <v>740</v>
      </c>
      <c r="G425" s="314" t="s">
        <v>1116</v>
      </c>
      <c r="H425" s="307">
        <v>6</v>
      </c>
      <c r="I425" s="307">
        <v>179857</v>
      </c>
      <c r="J425" s="561">
        <f t="shared" si="24"/>
        <v>21598.799999999814</v>
      </c>
      <c r="K425" s="561">
        <f t="shared" si="23"/>
        <v>0</v>
      </c>
    </row>
    <row r="426" spans="2:19" ht="15">
      <c r="C426" s="307">
        <v>6</v>
      </c>
      <c r="D426" s="307">
        <v>132374</v>
      </c>
      <c r="E426" s="315">
        <v>42853</v>
      </c>
      <c r="F426" s="250" t="s">
        <v>690</v>
      </c>
      <c r="G426" s="314" t="s">
        <v>1116</v>
      </c>
      <c r="H426" s="307">
        <v>6</v>
      </c>
      <c r="I426" s="307">
        <v>135075</v>
      </c>
      <c r="J426" s="561">
        <f t="shared" si="24"/>
        <v>16206</v>
      </c>
      <c r="K426" s="561">
        <f t="shared" si="23"/>
        <v>0</v>
      </c>
    </row>
    <row r="427" spans="2:19" ht="15">
      <c r="C427" s="307">
        <v>20</v>
      </c>
      <c r="D427" s="307">
        <v>52170</v>
      </c>
      <c r="E427" s="315">
        <v>42853</v>
      </c>
      <c r="F427" s="250" t="s">
        <v>691</v>
      </c>
      <c r="G427" s="314" t="s">
        <v>1116</v>
      </c>
      <c r="H427" s="307">
        <v>20</v>
      </c>
      <c r="I427" s="307">
        <v>53235</v>
      </c>
      <c r="J427" s="561">
        <f t="shared" si="24"/>
        <v>21300</v>
      </c>
      <c r="K427" s="561">
        <f t="shared" si="23"/>
        <v>0</v>
      </c>
    </row>
    <row r="428" spans="2:19" ht="15">
      <c r="C428" s="307">
        <v>8</v>
      </c>
      <c r="D428" s="307">
        <v>48453</v>
      </c>
      <c r="E428" s="315">
        <v>42853</v>
      </c>
      <c r="F428" s="250" t="s">
        <v>699</v>
      </c>
      <c r="G428" s="314" t="s">
        <v>1116</v>
      </c>
      <c r="H428" s="307">
        <v>8</v>
      </c>
      <c r="I428" s="307">
        <v>49442</v>
      </c>
      <c r="J428" s="561">
        <f t="shared" si="24"/>
        <v>7912</v>
      </c>
      <c r="K428" s="561">
        <f t="shared" si="23"/>
        <v>0</v>
      </c>
    </row>
    <row r="429" spans="2:19" ht="15">
      <c r="C429" s="307">
        <v>7</v>
      </c>
      <c r="D429" s="307">
        <v>48490</v>
      </c>
      <c r="E429" s="315">
        <v>42853</v>
      </c>
      <c r="F429" s="250" t="s">
        <v>648</v>
      </c>
      <c r="G429" s="314" t="s">
        <v>1116</v>
      </c>
      <c r="H429" s="307">
        <v>7</v>
      </c>
      <c r="I429" s="307">
        <v>49480</v>
      </c>
      <c r="J429" s="561">
        <f t="shared" si="24"/>
        <v>6930</v>
      </c>
      <c r="K429" s="561">
        <f t="shared" si="23"/>
        <v>0</v>
      </c>
    </row>
    <row r="430" spans="2:19" ht="15">
      <c r="C430" s="307">
        <v>14</v>
      </c>
      <c r="D430" s="307">
        <v>60161</v>
      </c>
      <c r="E430" s="315">
        <v>42853</v>
      </c>
      <c r="F430" s="250" t="s">
        <v>661</v>
      </c>
      <c r="G430" s="314" t="s">
        <v>1116</v>
      </c>
      <c r="H430" s="307">
        <v>14</v>
      </c>
      <c r="I430" s="307">
        <v>61389</v>
      </c>
      <c r="J430" s="561">
        <f t="shared" si="24"/>
        <v>17192</v>
      </c>
      <c r="K430" s="561">
        <f t="shared" si="23"/>
        <v>0</v>
      </c>
    </row>
    <row r="431" spans="2:19" ht="15">
      <c r="B431" s="245"/>
      <c r="C431" s="307">
        <v>787</v>
      </c>
      <c r="D431" s="307">
        <v>11221</v>
      </c>
      <c r="E431" s="315">
        <v>42853</v>
      </c>
      <c r="F431" s="250" t="s">
        <v>274</v>
      </c>
      <c r="G431" s="314" t="s">
        <v>1116</v>
      </c>
      <c r="H431" s="307">
        <v>787</v>
      </c>
      <c r="I431" s="307">
        <v>11450</v>
      </c>
      <c r="J431" s="561">
        <f t="shared" si="24"/>
        <v>180223</v>
      </c>
      <c r="K431" s="561">
        <v>0</v>
      </c>
    </row>
    <row r="432" spans="2:19" ht="15">
      <c r="C432" s="307">
        <v>6</v>
      </c>
      <c r="D432" s="307">
        <v>162314</v>
      </c>
      <c r="E432" s="315">
        <v>42853</v>
      </c>
      <c r="F432" s="250" t="s">
        <v>738</v>
      </c>
      <c r="G432" s="314" t="s">
        <v>1116</v>
      </c>
      <c r="H432" s="307">
        <v>6</v>
      </c>
      <c r="I432" s="307">
        <v>165627</v>
      </c>
      <c r="J432" s="561">
        <f t="shared" si="24"/>
        <v>19878</v>
      </c>
      <c r="K432" s="561">
        <f t="shared" si="23"/>
        <v>0</v>
      </c>
    </row>
    <row r="433" spans="3:19" ht="15">
      <c r="C433" s="307">
        <v>60</v>
      </c>
      <c r="D433" s="307">
        <v>75459</v>
      </c>
      <c r="E433" s="315">
        <v>42853</v>
      </c>
      <c r="F433" s="250" t="s">
        <v>795</v>
      </c>
      <c r="G433" s="314" t="s">
        <v>1116</v>
      </c>
      <c r="H433" s="307">
        <v>60</v>
      </c>
      <c r="I433" s="307">
        <v>76999</v>
      </c>
      <c r="J433" s="561">
        <f t="shared" si="24"/>
        <v>92400</v>
      </c>
      <c r="K433" s="561">
        <f t="shared" si="23"/>
        <v>1</v>
      </c>
      <c r="M433" s="246" t="s">
        <v>362</v>
      </c>
      <c r="N433" s="243">
        <v>2</v>
      </c>
      <c r="O433" s="181">
        <v>18612</v>
      </c>
      <c r="Q433" s="181">
        <f>N433*O433</f>
        <v>37224</v>
      </c>
      <c r="R433" s="581">
        <f>J433-Q433</f>
        <v>55176</v>
      </c>
      <c r="S433" s="581">
        <f>D433*C433</f>
        <v>4527540</v>
      </c>
    </row>
    <row r="434" spans="3:19" ht="15">
      <c r="C434" s="307">
        <v>20</v>
      </c>
      <c r="D434" s="307">
        <v>142010</v>
      </c>
      <c r="E434" s="315">
        <v>42853</v>
      </c>
      <c r="F434" s="250" t="s">
        <v>791</v>
      </c>
      <c r="G434" s="314" t="s">
        <v>1116</v>
      </c>
      <c r="H434" s="307">
        <v>20</v>
      </c>
      <c r="I434" s="307">
        <v>144908</v>
      </c>
      <c r="J434" s="561">
        <f t="shared" si="24"/>
        <v>57960</v>
      </c>
      <c r="K434" s="561">
        <f t="shared" si="23"/>
        <v>1</v>
      </c>
      <c r="M434" s="246" t="s">
        <v>362</v>
      </c>
      <c r="N434" s="243">
        <v>2</v>
      </c>
      <c r="O434" s="181">
        <v>18612</v>
      </c>
      <c r="Q434" s="181">
        <f>N434*O434</f>
        <v>37224</v>
      </c>
      <c r="R434" s="581">
        <f>J434-Q434</f>
        <v>20736</v>
      </c>
      <c r="S434" s="581">
        <f>D434*C434</f>
        <v>2840200</v>
      </c>
    </row>
    <row r="435" spans="3:19" ht="15">
      <c r="C435" s="307">
        <v>8</v>
      </c>
      <c r="D435" s="307">
        <v>99278</v>
      </c>
      <c r="E435" s="315">
        <v>42853</v>
      </c>
      <c r="F435" s="249" t="s">
        <v>1055</v>
      </c>
      <c r="G435" s="314" t="s">
        <v>1116</v>
      </c>
      <c r="H435" s="307">
        <v>8</v>
      </c>
      <c r="I435" s="307">
        <v>101304</v>
      </c>
      <c r="J435" s="561">
        <f t="shared" si="24"/>
        <v>16208</v>
      </c>
      <c r="K435" s="561">
        <f t="shared" si="23"/>
        <v>0</v>
      </c>
    </row>
    <row r="436" spans="3:19" ht="15">
      <c r="C436" s="307">
        <v>100</v>
      </c>
      <c r="D436" s="307">
        <v>28511</v>
      </c>
      <c r="E436" s="315">
        <v>42853</v>
      </c>
      <c r="F436" s="250" t="s">
        <v>652</v>
      </c>
      <c r="G436" s="314" t="s">
        <v>1116</v>
      </c>
      <c r="H436" s="307">
        <v>100</v>
      </c>
      <c r="I436" s="307">
        <v>29093</v>
      </c>
      <c r="J436" s="561">
        <f t="shared" si="24"/>
        <v>58200</v>
      </c>
      <c r="K436" s="561">
        <f t="shared" si="23"/>
        <v>1</v>
      </c>
      <c r="M436" s="246" t="s">
        <v>362</v>
      </c>
      <c r="N436" s="243">
        <v>2</v>
      </c>
      <c r="O436" s="181">
        <v>18612</v>
      </c>
      <c r="Q436" s="181">
        <f>N436*O436</f>
        <v>37224</v>
      </c>
      <c r="R436" s="581">
        <f>J436-Q436</f>
        <v>20976</v>
      </c>
      <c r="S436" s="581">
        <f>D436*C436</f>
        <v>2851100</v>
      </c>
    </row>
    <row r="437" spans="3:19" ht="15">
      <c r="C437" s="307">
        <v>35</v>
      </c>
      <c r="D437" s="307">
        <v>46680</v>
      </c>
      <c r="E437" s="315">
        <v>42853</v>
      </c>
      <c r="F437" s="249" t="s">
        <v>1056</v>
      </c>
      <c r="G437" s="314" t="s">
        <v>1116</v>
      </c>
      <c r="H437" s="307">
        <v>35</v>
      </c>
      <c r="I437" s="307">
        <v>47633</v>
      </c>
      <c r="J437" s="561">
        <f t="shared" si="24"/>
        <v>33355</v>
      </c>
      <c r="K437" s="561">
        <f t="shared" si="23"/>
        <v>0</v>
      </c>
    </row>
    <row r="438" spans="3:19" ht="15">
      <c r="C438" s="307">
        <v>30</v>
      </c>
      <c r="D438" s="307">
        <v>50535</v>
      </c>
      <c r="E438" s="315">
        <v>42853</v>
      </c>
      <c r="F438" s="249" t="s">
        <v>655</v>
      </c>
      <c r="G438" s="314" t="s">
        <v>1116</v>
      </c>
      <c r="H438" s="307">
        <v>30</v>
      </c>
      <c r="I438" s="307">
        <v>51566</v>
      </c>
      <c r="J438" s="561">
        <f t="shared" si="24"/>
        <v>30930</v>
      </c>
      <c r="K438" s="561">
        <f t="shared" si="23"/>
        <v>0</v>
      </c>
    </row>
    <row r="439" spans="3:19" ht="15">
      <c r="C439" s="307">
        <v>30</v>
      </c>
      <c r="D439" s="307">
        <v>71107</v>
      </c>
      <c r="E439" s="315">
        <v>42853</v>
      </c>
      <c r="F439" s="249" t="s">
        <v>1057</v>
      </c>
      <c r="G439" s="314" t="s">
        <v>1116</v>
      </c>
      <c r="H439" s="307">
        <v>30</v>
      </c>
      <c r="I439" s="307">
        <v>72558</v>
      </c>
      <c r="J439" s="561">
        <f t="shared" si="24"/>
        <v>43530</v>
      </c>
      <c r="K439" s="561">
        <f t="shared" si="23"/>
        <v>0</v>
      </c>
    </row>
    <row r="440" spans="3:19" ht="15">
      <c r="C440" s="307">
        <v>20</v>
      </c>
      <c r="D440" s="307">
        <v>43572</v>
      </c>
      <c r="E440" s="315">
        <v>42853</v>
      </c>
      <c r="F440" s="249" t="s">
        <v>1058</v>
      </c>
      <c r="G440" s="314" t="s">
        <v>1116</v>
      </c>
      <c r="H440" s="307">
        <v>20</v>
      </c>
      <c r="I440" s="307">
        <v>44461</v>
      </c>
      <c r="J440" s="561">
        <f t="shared" si="24"/>
        <v>17780</v>
      </c>
      <c r="K440" s="561">
        <f t="shared" si="23"/>
        <v>0</v>
      </c>
    </row>
    <row r="441" spans="3:19" ht="15">
      <c r="C441" s="307">
        <v>20</v>
      </c>
      <c r="D441" s="307">
        <v>52543</v>
      </c>
      <c r="E441" s="315">
        <v>42853</v>
      </c>
      <c r="F441" s="249" t="s">
        <v>657</v>
      </c>
      <c r="G441" s="314" t="s">
        <v>1116</v>
      </c>
      <c r="H441" s="307">
        <v>20</v>
      </c>
      <c r="I441" s="307">
        <v>53615</v>
      </c>
      <c r="J441" s="561">
        <f t="shared" si="24"/>
        <v>21440</v>
      </c>
      <c r="K441" s="561">
        <f t="shared" si="23"/>
        <v>0</v>
      </c>
    </row>
    <row r="442" spans="3:19" ht="15">
      <c r="C442" s="307">
        <v>20</v>
      </c>
      <c r="D442" s="307">
        <v>39020</v>
      </c>
      <c r="E442" s="315">
        <v>42853</v>
      </c>
      <c r="F442" s="245" t="s">
        <v>761</v>
      </c>
      <c r="G442" s="314" t="s">
        <v>1116</v>
      </c>
      <c r="H442" s="307">
        <v>20</v>
      </c>
      <c r="I442" s="307">
        <v>39816</v>
      </c>
      <c r="J442" s="561">
        <f t="shared" si="24"/>
        <v>15920</v>
      </c>
      <c r="K442" s="561">
        <f t="shared" si="23"/>
        <v>0</v>
      </c>
    </row>
    <row r="443" spans="3:19" ht="15">
      <c r="C443" s="307">
        <v>50</v>
      </c>
      <c r="D443" s="307">
        <v>51751</v>
      </c>
      <c r="E443" s="315">
        <v>42853</v>
      </c>
      <c r="F443" s="249" t="s">
        <v>627</v>
      </c>
      <c r="G443" s="314" t="s">
        <v>1116</v>
      </c>
      <c r="H443" s="307">
        <v>50</v>
      </c>
      <c r="I443" s="307">
        <v>52807</v>
      </c>
      <c r="J443" s="561">
        <f t="shared" si="24"/>
        <v>52800</v>
      </c>
      <c r="K443" s="561">
        <f t="shared" si="23"/>
        <v>1</v>
      </c>
      <c r="M443" s="246" t="s">
        <v>362</v>
      </c>
      <c r="N443" s="243">
        <v>2</v>
      </c>
      <c r="O443" s="181">
        <v>18612</v>
      </c>
      <c r="Q443" s="181">
        <f>N443*O443</f>
        <v>37224</v>
      </c>
      <c r="R443" s="581">
        <f>J443-Q443</f>
        <v>15576</v>
      </c>
      <c r="S443" s="581">
        <f>D443*C443</f>
        <v>2587550</v>
      </c>
    </row>
    <row r="444" spans="3:19" ht="15">
      <c r="C444" s="307">
        <v>20</v>
      </c>
      <c r="D444" s="307">
        <v>73425</v>
      </c>
      <c r="E444" s="315">
        <v>42853</v>
      </c>
      <c r="F444" s="247" t="s">
        <v>755</v>
      </c>
      <c r="G444" s="314" t="s">
        <v>1116</v>
      </c>
      <c r="H444" s="307">
        <v>20</v>
      </c>
      <c r="I444" s="307">
        <v>74923</v>
      </c>
      <c r="J444" s="561">
        <f t="shared" si="24"/>
        <v>29960</v>
      </c>
      <c r="K444" s="561">
        <f t="shared" si="23"/>
        <v>0</v>
      </c>
    </row>
    <row r="445" spans="3:19" ht="15">
      <c r="C445" s="307">
        <v>2</v>
      </c>
      <c r="D445" s="307">
        <v>36740</v>
      </c>
      <c r="E445" s="315">
        <v>42853</v>
      </c>
      <c r="F445" s="249" t="s">
        <v>1059</v>
      </c>
      <c r="G445" s="314" t="s">
        <v>1116</v>
      </c>
      <c r="H445" s="307">
        <v>2</v>
      </c>
      <c r="I445" s="307">
        <v>37490</v>
      </c>
      <c r="J445" s="561">
        <f t="shared" si="24"/>
        <v>1500</v>
      </c>
      <c r="K445" s="561">
        <f t="shared" si="23"/>
        <v>0</v>
      </c>
    </row>
    <row r="446" spans="3:19" ht="15">
      <c r="C446" s="307">
        <v>2</v>
      </c>
      <c r="D446" s="307">
        <v>41221</v>
      </c>
      <c r="E446" s="315">
        <v>42853</v>
      </c>
      <c r="F446" s="250" t="s">
        <v>1060</v>
      </c>
      <c r="G446" s="314" t="s">
        <v>1116</v>
      </c>
      <c r="H446" s="307">
        <v>2</v>
      </c>
      <c r="I446" s="307">
        <v>42062</v>
      </c>
      <c r="J446" s="561">
        <f t="shared" si="24"/>
        <v>1682</v>
      </c>
      <c r="K446" s="561">
        <f t="shared" si="23"/>
        <v>0</v>
      </c>
    </row>
    <row r="447" spans="3:19" ht="15">
      <c r="C447" s="307">
        <v>12</v>
      </c>
      <c r="D447" s="307">
        <v>32016</v>
      </c>
      <c r="E447" s="315">
        <v>42853</v>
      </c>
      <c r="F447" s="250" t="s">
        <v>1061</v>
      </c>
      <c r="G447" s="314" t="s">
        <v>1116</v>
      </c>
      <c r="H447" s="307">
        <v>12</v>
      </c>
      <c r="I447" s="307">
        <v>32669</v>
      </c>
      <c r="J447" s="561">
        <f t="shared" si="24"/>
        <v>7836</v>
      </c>
      <c r="K447" s="561">
        <f t="shared" si="23"/>
        <v>0</v>
      </c>
    </row>
    <row r="448" spans="3:19" ht="15">
      <c r="C448" s="307">
        <v>7</v>
      </c>
      <c r="D448" s="307">
        <v>77626</v>
      </c>
      <c r="E448" s="315">
        <v>42853</v>
      </c>
      <c r="F448" s="250" t="s">
        <v>1062</v>
      </c>
      <c r="G448" s="314" t="s">
        <v>1116</v>
      </c>
      <c r="H448" s="307">
        <v>7</v>
      </c>
      <c r="I448" s="307">
        <v>79210</v>
      </c>
      <c r="J448" s="561">
        <f t="shared" si="24"/>
        <v>11088</v>
      </c>
      <c r="K448" s="561">
        <f t="shared" si="23"/>
        <v>0</v>
      </c>
    </row>
    <row r="449" spans="3:19" ht="15">
      <c r="C449" s="307">
        <v>7</v>
      </c>
      <c r="D449" s="307">
        <v>79803</v>
      </c>
      <c r="E449" s="315">
        <v>42853</v>
      </c>
      <c r="F449" s="250" t="s">
        <v>1063</v>
      </c>
      <c r="G449" s="314" t="s">
        <v>1116</v>
      </c>
      <c r="H449" s="307">
        <v>7</v>
      </c>
      <c r="I449" s="307">
        <v>81432</v>
      </c>
      <c r="J449" s="561">
        <f t="shared" si="24"/>
        <v>11403</v>
      </c>
      <c r="K449" s="561">
        <f t="shared" si="23"/>
        <v>0</v>
      </c>
    </row>
    <row r="450" spans="3:19" ht="15">
      <c r="C450" s="307">
        <v>10</v>
      </c>
      <c r="D450" s="307">
        <v>15844</v>
      </c>
      <c r="E450" s="315">
        <v>42853</v>
      </c>
      <c r="F450" s="250" t="s">
        <v>1064</v>
      </c>
      <c r="G450" s="314" t="s">
        <v>1116</v>
      </c>
      <c r="H450" s="307">
        <v>10</v>
      </c>
      <c r="I450" s="307">
        <v>16167</v>
      </c>
      <c r="J450" s="561">
        <f t="shared" si="24"/>
        <v>3230</v>
      </c>
      <c r="K450" s="561">
        <f t="shared" si="23"/>
        <v>0</v>
      </c>
    </row>
    <row r="451" spans="3:19" ht="15">
      <c r="C451" s="307">
        <v>8</v>
      </c>
      <c r="D451" s="307">
        <v>44247</v>
      </c>
      <c r="E451" s="315">
        <v>42853</v>
      </c>
      <c r="F451" s="250" t="s">
        <v>1065</v>
      </c>
      <c r="G451" s="314" t="s">
        <v>1116</v>
      </c>
      <c r="H451" s="307">
        <v>8</v>
      </c>
      <c r="I451" s="307">
        <v>45150</v>
      </c>
      <c r="J451" s="561">
        <f t="shared" si="24"/>
        <v>7224</v>
      </c>
      <c r="K451" s="561">
        <f t="shared" si="23"/>
        <v>0</v>
      </c>
    </row>
    <row r="452" spans="3:19" ht="15">
      <c r="C452" s="307">
        <v>8</v>
      </c>
      <c r="D452" s="307">
        <v>76516</v>
      </c>
      <c r="E452" s="315">
        <v>42853</v>
      </c>
      <c r="F452" s="250" t="s">
        <v>1066</v>
      </c>
      <c r="G452" s="314" t="s">
        <v>1116</v>
      </c>
      <c r="H452" s="307">
        <v>8</v>
      </c>
      <c r="I452" s="307">
        <v>78078</v>
      </c>
      <c r="J452" s="561">
        <f t="shared" si="24"/>
        <v>12496</v>
      </c>
      <c r="K452" s="561">
        <f t="shared" si="23"/>
        <v>0</v>
      </c>
    </row>
    <row r="453" spans="3:19" ht="15">
      <c r="C453" s="307">
        <v>6</v>
      </c>
      <c r="D453" s="307">
        <v>41337</v>
      </c>
      <c r="E453" s="315">
        <v>42853</v>
      </c>
      <c r="F453" s="249" t="s">
        <v>1067</v>
      </c>
      <c r="G453" s="314" t="s">
        <v>1116</v>
      </c>
      <c r="H453" s="307">
        <v>6</v>
      </c>
      <c r="I453" s="307">
        <v>42181</v>
      </c>
      <c r="J453" s="561">
        <f t="shared" si="24"/>
        <v>5064</v>
      </c>
      <c r="K453" s="561">
        <f t="shared" si="23"/>
        <v>0</v>
      </c>
    </row>
    <row r="454" spans="3:19" ht="15">
      <c r="C454" s="307">
        <v>16</v>
      </c>
      <c r="D454" s="307">
        <v>36740</v>
      </c>
      <c r="E454" s="315">
        <v>42853</v>
      </c>
      <c r="F454" s="250" t="s">
        <v>730</v>
      </c>
      <c r="G454" s="314" t="s">
        <v>1116</v>
      </c>
      <c r="H454" s="307">
        <v>16</v>
      </c>
      <c r="I454" s="307">
        <v>37490</v>
      </c>
      <c r="J454" s="561">
        <f t="shared" si="24"/>
        <v>12000</v>
      </c>
      <c r="K454" s="561">
        <f t="shared" si="23"/>
        <v>0</v>
      </c>
    </row>
    <row r="455" spans="3:19" ht="15">
      <c r="C455" s="307">
        <v>12</v>
      </c>
      <c r="D455" s="307">
        <v>45701</v>
      </c>
      <c r="E455" s="315">
        <v>42853</v>
      </c>
      <c r="F455" s="250" t="s">
        <v>679</v>
      </c>
      <c r="G455" s="314" t="s">
        <v>1116</v>
      </c>
      <c r="H455" s="307">
        <v>12</v>
      </c>
      <c r="I455" s="307">
        <v>46634</v>
      </c>
      <c r="J455" s="561">
        <f t="shared" si="24"/>
        <v>11196</v>
      </c>
      <c r="K455" s="561">
        <f t="shared" si="23"/>
        <v>0</v>
      </c>
    </row>
    <row r="456" spans="3:19" ht="15">
      <c r="C456" s="307">
        <v>12</v>
      </c>
      <c r="D456" s="307">
        <v>52422</v>
      </c>
      <c r="E456" s="315">
        <v>42853</v>
      </c>
      <c r="F456" s="250" t="s">
        <v>1068</v>
      </c>
      <c r="G456" s="314" t="s">
        <v>1116</v>
      </c>
      <c r="H456" s="307">
        <v>12</v>
      </c>
      <c r="I456" s="307">
        <v>53492</v>
      </c>
      <c r="J456" s="561">
        <f t="shared" si="24"/>
        <v>12840</v>
      </c>
      <c r="K456" s="561">
        <f t="shared" si="23"/>
        <v>0</v>
      </c>
    </row>
    <row r="457" spans="3:19" ht="15">
      <c r="C457" s="307">
        <v>18</v>
      </c>
      <c r="D457" s="307">
        <v>77165</v>
      </c>
      <c r="E457" s="315">
        <v>42853</v>
      </c>
      <c r="F457" s="250" t="s">
        <v>796</v>
      </c>
      <c r="G457" s="314" t="s">
        <v>1116</v>
      </c>
      <c r="H457" s="307">
        <v>18</v>
      </c>
      <c r="I457" s="307">
        <v>78740</v>
      </c>
      <c r="J457" s="561">
        <f t="shared" si="24"/>
        <v>28350</v>
      </c>
      <c r="K457" s="561">
        <f t="shared" si="23"/>
        <v>0</v>
      </c>
    </row>
    <row r="458" spans="3:19" ht="15">
      <c r="C458" s="307">
        <v>8</v>
      </c>
      <c r="D458" s="307">
        <v>49622</v>
      </c>
      <c r="E458" s="315">
        <v>42853</v>
      </c>
      <c r="F458" s="250" t="s">
        <v>1069</v>
      </c>
      <c r="G458" s="314" t="s">
        <v>1116</v>
      </c>
      <c r="H458" s="307">
        <v>8</v>
      </c>
      <c r="I458" s="307">
        <v>50635</v>
      </c>
      <c r="J458" s="561">
        <f t="shared" si="24"/>
        <v>8104</v>
      </c>
      <c r="K458" s="561">
        <f t="shared" si="23"/>
        <v>0</v>
      </c>
    </row>
    <row r="459" spans="3:19" ht="15">
      <c r="C459" s="307">
        <v>3632</v>
      </c>
      <c r="D459" s="307">
        <v>12142</v>
      </c>
      <c r="E459" s="315">
        <v>42860</v>
      </c>
      <c r="F459" s="250" t="s">
        <v>1032</v>
      </c>
      <c r="G459" s="314" t="s">
        <v>1125</v>
      </c>
      <c r="H459" s="307">
        <v>3632</v>
      </c>
      <c r="I459" s="307">
        <v>12390</v>
      </c>
      <c r="J459" s="561">
        <f t="shared" ref="J459:J472" si="25">I459*H459-D459*C459</f>
        <v>900736</v>
      </c>
      <c r="K459" s="561">
        <f>IF(J459&gt;50000,1,0)</f>
        <v>1</v>
      </c>
      <c r="M459" s="247" t="s">
        <v>400</v>
      </c>
      <c r="N459" s="243">
        <v>50</v>
      </c>
      <c r="O459" s="181">
        <v>9068</v>
      </c>
      <c r="Q459" s="181">
        <f>N459*O459</f>
        <v>453400</v>
      </c>
      <c r="R459" s="581">
        <f>J459-Q459</f>
        <v>447336</v>
      </c>
      <c r="S459" s="581">
        <f>D459*C459</f>
        <v>44099744</v>
      </c>
    </row>
    <row r="460" spans="3:19" ht="15">
      <c r="C460" s="307">
        <v>2190</v>
      </c>
      <c r="D460" s="307">
        <v>18350</v>
      </c>
      <c r="E460" s="315">
        <v>42873</v>
      </c>
      <c r="F460" s="250" t="s">
        <v>274</v>
      </c>
      <c r="G460" s="314" t="s">
        <v>1128</v>
      </c>
      <c r="H460" s="307">
        <f>3000-H461</f>
        <v>2190</v>
      </c>
      <c r="I460" s="307">
        <v>18500</v>
      </c>
      <c r="J460" s="561">
        <f t="shared" si="25"/>
        <v>328500</v>
      </c>
      <c r="K460" s="561">
        <v>0</v>
      </c>
    </row>
    <row r="461" spans="3:19" ht="15">
      <c r="C461" s="307">
        <v>810</v>
      </c>
      <c r="D461" s="307">
        <v>18496</v>
      </c>
      <c r="E461" s="315">
        <v>42873</v>
      </c>
      <c r="F461" s="250" t="s">
        <v>274</v>
      </c>
      <c r="G461" s="314" t="s">
        <v>1128</v>
      </c>
      <c r="H461" s="307">
        <v>810</v>
      </c>
      <c r="I461" s="307">
        <v>18500</v>
      </c>
      <c r="J461" s="561">
        <f>I461*H461-D461*C461</f>
        <v>3240</v>
      </c>
      <c r="K461" s="561">
        <v>0</v>
      </c>
    </row>
    <row r="462" spans="3:19" ht="15">
      <c r="C462" s="714">
        <v>2170</v>
      </c>
      <c r="D462" s="714">
        <v>18350</v>
      </c>
      <c r="E462" s="315">
        <v>42873</v>
      </c>
      <c r="F462" s="250" t="s">
        <v>273</v>
      </c>
      <c r="G462" s="314" t="s">
        <v>1128</v>
      </c>
      <c r="H462" s="307">
        <f>3000-H463</f>
        <v>2170</v>
      </c>
      <c r="I462" s="307">
        <v>18500</v>
      </c>
      <c r="J462" s="561">
        <f>I462*H462-D462*C462</f>
        <v>325500</v>
      </c>
      <c r="K462" s="561">
        <v>0</v>
      </c>
    </row>
    <row r="463" spans="3:19" ht="15">
      <c r="C463" s="714">
        <v>830</v>
      </c>
      <c r="D463" s="714">
        <v>18496</v>
      </c>
      <c r="E463" s="315">
        <v>42873</v>
      </c>
      <c r="F463" s="250" t="s">
        <v>273</v>
      </c>
      <c r="G463" s="314" t="s">
        <v>1128</v>
      </c>
      <c r="H463" s="307">
        <v>830</v>
      </c>
      <c r="I463" s="307">
        <v>18500</v>
      </c>
      <c r="J463" s="561">
        <f t="shared" si="25"/>
        <v>3320</v>
      </c>
      <c r="K463" s="561">
        <f>IF(J463&gt;50000,1,0)</f>
        <v>0</v>
      </c>
    </row>
    <row r="464" spans="3:19" ht="15">
      <c r="C464" s="307">
        <v>500</v>
      </c>
      <c r="D464" s="307">
        <v>11750</v>
      </c>
      <c r="E464" s="315">
        <v>42873</v>
      </c>
      <c r="F464" s="250" t="s">
        <v>377</v>
      </c>
      <c r="G464" s="314" t="s">
        <v>1129</v>
      </c>
      <c r="H464" s="307">
        <v>500</v>
      </c>
      <c r="I464" s="307">
        <v>11520</v>
      </c>
      <c r="J464" s="561">
        <f t="shared" si="25"/>
        <v>-115000</v>
      </c>
      <c r="K464" s="561">
        <f>IF(J464&gt;50000,1,0)</f>
        <v>0</v>
      </c>
    </row>
    <row r="465" spans="3:19" ht="15">
      <c r="C465" s="307">
        <v>500</v>
      </c>
      <c r="D465" s="307">
        <v>6850</v>
      </c>
      <c r="E465" s="315">
        <v>42873</v>
      </c>
      <c r="F465" s="250" t="s">
        <v>1130</v>
      </c>
      <c r="G465" s="314" t="s">
        <v>1129</v>
      </c>
      <c r="H465" s="307">
        <v>500</v>
      </c>
      <c r="I465" s="307">
        <v>6720</v>
      </c>
      <c r="J465" s="561">
        <f t="shared" si="25"/>
        <v>-65000</v>
      </c>
      <c r="K465" s="561">
        <f>IF(J465&gt;50000,1,0)</f>
        <v>0</v>
      </c>
    </row>
    <row r="466" spans="3:19" ht="15">
      <c r="C466" s="307">
        <v>200</v>
      </c>
      <c r="D466" s="307">
        <v>36390</v>
      </c>
      <c r="E466" s="315">
        <v>42878</v>
      </c>
      <c r="F466" s="250" t="s">
        <v>1132</v>
      </c>
      <c r="G466" s="314" t="s">
        <v>1131</v>
      </c>
      <c r="H466" s="307">
        <v>200</v>
      </c>
      <c r="I466" s="307">
        <v>37133</v>
      </c>
      <c r="J466" s="561">
        <f t="shared" si="25"/>
        <v>148600</v>
      </c>
      <c r="K466" s="561">
        <v>0</v>
      </c>
    </row>
    <row r="467" spans="3:19" ht="15">
      <c r="C467" s="307">
        <v>500</v>
      </c>
      <c r="D467" s="307">
        <v>8680</v>
      </c>
      <c r="E467" s="315">
        <v>42879</v>
      </c>
      <c r="F467" s="250" t="s">
        <v>1149</v>
      </c>
      <c r="G467" s="314" t="s">
        <v>1133</v>
      </c>
      <c r="H467" s="307">
        <v>500</v>
      </c>
      <c r="I467" s="307">
        <v>8860</v>
      </c>
      <c r="J467" s="561">
        <f t="shared" si="25"/>
        <v>90000</v>
      </c>
      <c r="K467" s="561">
        <v>0</v>
      </c>
    </row>
    <row r="468" spans="3:19" ht="15">
      <c r="C468" s="307">
        <v>500</v>
      </c>
      <c r="D468" s="307">
        <v>6680</v>
      </c>
      <c r="E468" s="315">
        <v>42879</v>
      </c>
      <c r="F468" s="250" t="s">
        <v>1150</v>
      </c>
      <c r="G468" s="314" t="s">
        <v>1133</v>
      </c>
      <c r="H468" s="307">
        <v>500</v>
      </c>
      <c r="I468" s="307">
        <v>6820</v>
      </c>
      <c r="J468" s="561">
        <f t="shared" si="25"/>
        <v>70000</v>
      </c>
      <c r="K468" s="561">
        <v>0</v>
      </c>
    </row>
    <row r="469" spans="3:19" ht="15">
      <c r="C469" s="307">
        <v>500</v>
      </c>
      <c r="D469" s="307">
        <v>6270</v>
      </c>
      <c r="E469" s="315">
        <v>42879</v>
      </c>
      <c r="F469" s="250" t="s">
        <v>1151</v>
      </c>
      <c r="G469" s="314" t="s">
        <v>1133</v>
      </c>
      <c r="H469" s="307">
        <v>500</v>
      </c>
      <c r="I469" s="307">
        <v>6403</v>
      </c>
      <c r="J469" s="561">
        <f t="shared" si="25"/>
        <v>66500</v>
      </c>
      <c r="K469" s="561">
        <v>0</v>
      </c>
    </row>
    <row r="470" spans="3:19" ht="15">
      <c r="C470" s="307">
        <v>1000</v>
      </c>
      <c r="D470" s="307">
        <v>17650</v>
      </c>
      <c r="E470" s="315">
        <v>42882</v>
      </c>
      <c r="F470" s="250" t="s">
        <v>560</v>
      </c>
      <c r="G470" s="314" t="s">
        <v>1135</v>
      </c>
      <c r="H470" s="307">
        <v>1000</v>
      </c>
      <c r="I470" s="307">
        <v>18018</v>
      </c>
      <c r="J470" s="561">
        <f t="shared" si="25"/>
        <v>368000</v>
      </c>
      <c r="K470" s="561">
        <v>0</v>
      </c>
    </row>
    <row r="471" spans="3:19" ht="15">
      <c r="E471" s="315">
        <v>42884</v>
      </c>
      <c r="F471" s="250" t="s">
        <v>1158</v>
      </c>
      <c r="G471" s="314" t="s">
        <v>1139</v>
      </c>
      <c r="H471" s="307">
        <v>1030</v>
      </c>
      <c r="I471" s="307">
        <v>564</v>
      </c>
      <c r="J471" s="561">
        <f t="shared" si="25"/>
        <v>580920</v>
      </c>
      <c r="K471" s="561">
        <f>IF(J471&gt;50000,1,0)</f>
        <v>1</v>
      </c>
      <c r="M471" s="247" t="s">
        <v>339</v>
      </c>
      <c r="N471" s="243">
        <v>9</v>
      </c>
      <c r="O471" s="181">
        <v>47613</v>
      </c>
      <c r="Q471" s="181">
        <f t="shared" ref="Q471:Q477" si="26">N471*O471</f>
        <v>428517</v>
      </c>
      <c r="R471" s="581">
        <f t="shared" ref="R471:R477" si="27">J471-Q471</f>
        <v>152403</v>
      </c>
      <c r="S471" s="581">
        <f t="shared" ref="S471:S477" si="28">D471*C471</f>
        <v>0</v>
      </c>
    </row>
    <row r="472" spans="3:19" ht="15">
      <c r="E472" s="315">
        <v>42884</v>
      </c>
      <c r="F472" s="250" t="s">
        <v>1159</v>
      </c>
      <c r="G472" s="314" t="s">
        <v>1139</v>
      </c>
      <c r="H472" s="307">
        <v>810</v>
      </c>
      <c r="I472" s="307">
        <v>792</v>
      </c>
      <c r="J472" s="561">
        <f t="shared" si="25"/>
        <v>641520</v>
      </c>
      <c r="K472" s="561">
        <f>IF(J472&gt;50000,1,0)</f>
        <v>1</v>
      </c>
      <c r="M472" s="247" t="s">
        <v>339</v>
      </c>
      <c r="N472" s="243">
        <v>11</v>
      </c>
      <c r="O472" s="181">
        <v>47613</v>
      </c>
      <c r="Q472" s="181">
        <f t="shared" si="26"/>
        <v>523743</v>
      </c>
      <c r="R472" s="581">
        <f t="shared" si="27"/>
        <v>117777</v>
      </c>
      <c r="S472" s="581">
        <f t="shared" si="28"/>
        <v>0</v>
      </c>
    </row>
    <row r="473" spans="3:19" ht="15">
      <c r="E473" s="315">
        <v>42888</v>
      </c>
      <c r="F473" s="250" t="s">
        <v>1114</v>
      </c>
      <c r="G473" s="314" t="s">
        <v>1186</v>
      </c>
      <c r="H473" s="307">
        <v>315</v>
      </c>
      <c r="I473" s="307">
        <v>5885</v>
      </c>
      <c r="J473" s="561">
        <f t="shared" ref="J473:J478" si="29">I473*H473-D473*C473</f>
        <v>1853775</v>
      </c>
      <c r="K473" s="561">
        <f t="shared" ref="K473:K478" si="30">IF(J473&gt;50000,1,0)</f>
        <v>1</v>
      </c>
      <c r="Q473" s="181">
        <f t="shared" si="26"/>
        <v>0</v>
      </c>
      <c r="R473" s="581">
        <f t="shared" si="27"/>
        <v>1853775</v>
      </c>
      <c r="S473" s="581">
        <f t="shared" si="28"/>
        <v>0</v>
      </c>
    </row>
    <row r="474" spans="3:19" ht="15">
      <c r="E474" s="315">
        <v>42889</v>
      </c>
      <c r="F474" s="250" t="s">
        <v>1032</v>
      </c>
      <c r="G474" s="314" t="s">
        <v>1187</v>
      </c>
      <c r="H474" s="307">
        <v>3400</v>
      </c>
      <c r="I474" s="307">
        <v>12390</v>
      </c>
      <c r="J474" s="561">
        <f t="shared" si="29"/>
        <v>42126000</v>
      </c>
      <c r="K474" s="561">
        <f t="shared" si="30"/>
        <v>1</v>
      </c>
      <c r="Q474" s="181">
        <f t="shared" si="26"/>
        <v>0</v>
      </c>
      <c r="R474" s="581">
        <f t="shared" si="27"/>
        <v>42126000</v>
      </c>
      <c r="S474" s="581">
        <f t="shared" si="28"/>
        <v>0</v>
      </c>
    </row>
    <row r="475" spans="3:19" ht="15">
      <c r="C475" s="307">
        <v>2900</v>
      </c>
      <c r="D475" s="124">
        <v>18350</v>
      </c>
      <c r="E475" s="315">
        <v>42896</v>
      </c>
      <c r="F475" s="245" t="s">
        <v>274</v>
      </c>
      <c r="G475" s="314" t="s">
        <v>1188</v>
      </c>
      <c r="H475" s="307">
        <v>2900</v>
      </c>
      <c r="I475" s="307">
        <v>18500</v>
      </c>
      <c r="J475" s="561">
        <f t="shared" si="29"/>
        <v>435000</v>
      </c>
      <c r="K475" s="561">
        <f t="shared" si="30"/>
        <v>1</v>
      </c>
      <c r="Q475" s="181">
        <f t="shared" si="26"/>
        <v>0</v>
      </c>
      <c r="R475" s="581">
        <f t="shared" si="27"/>
        <v>435000</v>
      </c>
      <c r="S475" s="581">
        <f t="shared" si="28"/>
        <v>53215000</v>
      </c>
    </row>
    <row r="476" spans="3:19" ht="15">
      <c r="C476" s="307">
        <v>3100</v>
      </c>
      <c r="D476" s="124">
        <v>18350</v>
      </c>
      <c r="E476" s="315">
        <v>42896</v>
      </c>
      <c r="F476" s="245" t="s">
        <v>273</v>
      </c>
      <c r="G476" s="314" t="s">
        <v>1188</v>
      </c>
      <c r="H476" s="307">
        <v>3100</v>
      </c>
      <c r="I476" s="307">
        <v>18500</v>
      </c>
      <c r="J476" s="561">
        <f t="shared" si="29"/>
        <v>465000</v>
      </c>
      <c r="K476" s="561">
        <f t="shared" si="30"/>
        <v>1</v>
      </c>
      <c r="Q476" s="181">
        <f t="shared" si="26"/>
        <v>0</v>
      </c>
      <c r="R476" s="581">
        <f t="shared" si="27"/>
        <v>465000</v>
      </c>
      <c r="S476" s="581">
        <f t="shared" si="28"/>
        <v>56885000</v>
      </c>
    </row>
    <row r="477" spans="3:19" ht="15">
      <c r="E477" s="315">
        <v>42899</v>
      </c>
      <c r="F477" s="250" t="s">
        <v>1189</v>
      </c>
      <c r="G477" s="314" t="s">
        <v>1190</v>
      </c>
      <c r="H477" s="307">
        <v>300</v>
      </c>
      <c r="I477" s="307">
        <v>15500</v>
      </c>
      <c r="J477" s="561">
        <f t="shared" si="29"/>
        <v>4650000</v>
      </c>
      <c r="K477" s="561">
        <f t="shared" si="30"/>
        <v>1</v>
      </c>
      <c r="Q477" s="181">
        <f t="shared" si="26"/>
        <v>0</v>
      </c>
      <c r="R477" s="581">
        <f t="shared" si="27"/>
        <v>4650000</v>
      </c>
      <c r="S477" s="581">
        <f t="shared" si="28"/>
        <v>0</v>
      </c>
    </row>
    <row r="478" spans="3:19" ht="15">
      <c r="E478" s="315">
        <v>42914</v>
      </c>
      <c r="F478" s="250" t="s">
        <v>1191</v>
      </c>
      <c r="G478" s="314" t="s">
        <v>1192</v>
      </c>
      <c r="H478" s="307">
        <v>50</v>
      </c>
      <c r="I478" s="307">
        <v>17240</v>
      </c>
      <c r="J478" s="561">
        <f t="shared" si="29"/>
        <v>862000</v>
      </c>
      <c r="K478" s="561">
        <f t="shared" si="30"/>
        <v>1</v>
      </c>
    </row>
    <row r="480" spans="3:19">
      <c r="J480">
        <f>C459*D459</f>
        <v>44099744</v>
      </c>
    </row>
    <row r="485" spans="2:19"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</row>
    <row r="486" spans="2:19" ht="15">
      <c r="B486" s="250" t="s">
        <v>1114</v>
      </c>
      <c r="C486" s="243">
        <v>300</v>
      </c>
      <c r="D486" s="181">
        <v>5390</v>
      </c>
      <c r="E486" s="315">
        <v>42920</v>
      </c>
      <c r="F486" s="250" t="s">
        <v>1114</v>
      </c>
      <c r="G486" s="314" t="s">
        <v>1287</v>
      </c>
      <c r="H486" s="307">
        <v>300</v>
      </c>
      <c r="I486" s="307">
        <v>5500</v>
      </c>
      <c r="J486" s="561">
        <f t="shared" ref="J486" si="31">I486*H486-D486*C486</f>
        <v>33000</v>
      </c>
      <c r="K486" s="561">
        <f t="shared" ref="K486" si="32">IF(J486&gt;50000,1,0)</f>
        <v>0</v>
      </c>
    </row>
    <row r="487" spans="2:19" ht="15">
      <c r="B487" s="250" t="s">
        <v>1290</v>
      </c>
      <c r="C487" s="243">
        <v>3530</v>
      </c>
      <c r="D487" s="181">
        <v>12250</v>
      </c>
      <c r="E487" s="315">
        <v>42921</v>
      </c>
      <c r="F487" s="250" t="s">
        <v>1290</v>
      </c>
      <c r="G487" s="314" t="s">
        <v>1288</v>
      </c>
      <c r="H487" s="307">
        <v>3530</v>
      </c>
      <c r="I487" s="307">
        <v>12500</v>
      </c>
      <c r="J487" s="561">
        <f t="shared" ref="J487" si="33">I487*H487-D487*C487</f>
        <v>882500</v>
      </c>
      <c r="K487" s="561">
        <f t="shared" ref="K487" si="34">IF(J487&gt;50000,1,0)</f>
        <v>1</v>
      </c>
    </row>
    <row r="488" spans="2:19" ht="15">
      <c r="B488" s="250" t="s">
        <v>1217</v>
      </c>
      <c r="C488" s="307">
        <v>2030</v>
      </c>
      <c r="D488" s="181">
        <v>8624</v>
      </c>
      <c r="E488" s="315">
        <v>42921</v>
      </c>
      <c r="F488" s="250" t="s">
        <v>1217</v>
      </c>
      <c r="G488" s="314" t="s">
        <v>1289</v>
      </c>
      <c r="H488" s="307">
        <v>2030</v>
      </c>
      <c r="I488" s="307">
        <v>8800</v>
      </c>
      <c r="J488" s="561">
        <f t="shared" ref="J488:J551" si="35">I488*H488-D488*C488</f>
        <v>357280</v>
      </c>
      <c r="K488" s="561">
        <f t="shared" ref="K488:K551" si="36">IF(J488&gt;50000,1,0)</f>
        <v>1</v>
      </c>
    </row>
    <row r="489" spans="2:19" ht="15">
      <c r="B489" s="248" t="s">
        <v>380</v>
      </c>
      <c r="C489" s="307">
        <f>H489</f>
        <v>1607</v>
      </c>
      <c r="D489" s="307">
        <v>8232</v>
      </c>
      <c r="E489" s="315">
        <v>42922</v>
      </c>
      <c r="F489" s="249" t="s">
        <v>380</v>
      </c>
      <c r="G489" s="314" t="s">
        <v>1291</v>
      </c>
      <c r="H489" s="307">
        <v>1607</v>
      </c>
      <c r="I489" s="307">
        <v>8400</v>
      </c>
      <c r="J489" s="561">
        <f t="shared" si="35"/>
        <v>269976</v>
      </c>
      <c r="K489" s="561">
        <f t="shared" si="36"/>
        <v>1</v>
      </c>
    </row>
    <row r="490" spans="2:19" ht="15">
      <c r="B490" s="250" t="s">
        <v>1217</v>
      </c>
      <c r="C490" s="307">
        <v>2030</v>
      </c>
      <c r="D490" s="181">
        <v>8624</v>
      </c>
      <c r="E490" s="315">
        <v>42922</v>
      </c>
      <c r="F490" s="250" t="s">
        <v>1217</v>
      </c>
      <c r="G490" s="314" t="s">
        <v>1292</v>
      </c>
      <c r="H490" s="307">
        <v>2030</v>
      </c>
      <c r="I490" s="307">
        <v>8800</v>
      </c>
      <c r="J490" s="561">
        <f t="shared" si="35"/>
        <v>357280</v>
      </c>
      <c r="K490" s="561">
        <f t="shared" si="36"/>
        <v>1</v>
      </c>
    </row>
    <row r="491" spans="2:19" ht="15">
      <c r="B491" s="250" t="s">
        <v>1217</v>
      </c>
      <c r="C491" s="307">
        <v>2030</v>
      </c>
      <c r="D491" s="181">
        <v>8624</v>
      </c>
      <c r="E491" s="315">
        <v>42923</v>
      </c>
      <c r="F491" s="250" t="s">
        <v>1217</v>
      </c>
      <c r="G491" s="314" t="s">
        <v>1293</v>
      </c>
      <c r="H491" s="307">
        <v>2030</v>
      </c>
      <c r="I491" s="307">
        <v>8800</v>
      </c>
      <c r="J491" s="561">
        <f t="shared" si="35"/>
        <v>357280</v>
      </c>
      <c r="K491" s="561">
        <f t="shared" si="36"/>
        <v>1</v>
      </c>
    </row>
    <row r="492" spans="2:19" ht="15">
      <c r="B492" s="248" t="s">
        <v>380</v>
      </c>
      <c r="C492" s="307">
        <f>H492</f>
        <v>2084</v>
      </c>
      <c r="D492" s="307">
        <v>8232</v>
      </c>
      <c r="E492" s="315">
        <v>42923</v>
      </c>
      <c r="F492" s="249" t="s">
        <v>380</v>
      </c>
      <c r="G492" s="314" t="s">
        <v>1294</v>
      </c>
      <c r="H492" s="307">
        <v>2084</v>
      </c>
      <c r="I492" s="307">
        <v>8400</v>
      </c>
      <c r="J492" s="561">
        <f t="shared" si="35"/>
        <v>350112</v>
      </c>
      <c r="K492" s="561">
        <f t="shared" si="36"/>
        <v>1</v>
      </c>
    </row>
    <row r="493" spans="2:19" ht="15">
      <c r="B493" s="250" t="s">
        <v>1217</v>
      </c>
      <c r="C493" s="307">
        <v>2030</v>
      </c>
      <c r="D493" s="181">
        <v>8624</v>
      </c>
      <c r="E493" s="315">
        <v>42924</v>
      </c>
      <c r="F493" s="250" t="s">
        <v>1217</v>
      </c>
      <c r="G493" s="314" t="s">
        <v>1295</v>
      </c>
      <c r="H493" s="307">
        <v>2030</v>
      </c>
      <c r="I493" s="307">
        <v>8800</v>
      </c>
      <c r="J493" s="561">
        <f t="shared" si="35"/>
        <v>357280</v>
      </c>
      <c r="K493" s="561">
        <f t="shared" si="36"/>
        <v>1</v>
      </c>
    </row>
    <row r="494" spans="2:19" ht="15">
      <c r="B494" s="248" t="s">
        <v>380</v>
      </c>
      <c r="C494" s="307">
        <f>H494</f>
        <v>1631</v>
      </c>
      <c r="D494" s="307">
        <v>8232</v>
      </c>
      <c r="E494" s="315">
        <v>42925</v>
      </c>
      <c r="F494" s="249" t="s">
        <v>380</v>
      </c>
      <c r="G494" s="314" t="s">
        <v>1296</v>
      </c>
      <c r="H494" s="307">
        <v>1631</v>
      </c>
      <c r="I494" s="307">
        <v>8400</v>
      </c>
      <c r="J494" s="561">
        <f t="shared" si="35"/>
        <v>274008</v>
      </c>
      <c r="K494" s="561">
        <f t="shared" si="36"/>
        <v>1</v>
      </c>
    </row>
    <row r="495" spans="2:19" ht="15">
      <c r="B495" s="250" t="s">
        <v>1217</v>
      </c>
      <c r="C495" s="307">
        <v>2030</v>
      </c>
      <c r="D495" s="181">
        <v>8624</v>
      </c>
      <c r="E495" s="315">
        <v>42925</v>
      </c>
      <c r="F495" s="555" t="s">
        <v>1217</v>
      </c>
      <c r="G495" s="314" t="s">
        <v>1297</v>
      </c>
      <c r="H495" s="307">
        <v>2030</v>
      </c>
      <c r="I495" s="307">
        <v>8800</v>
      </c>
      <c r="J495" s="561">
        <f t="shared" si="35"/>
        <v>357280</v>
      </c>
      <c r="K495" s="561">
        <f t="shared" si="36"/>
        <v>1</v>
      </c>
    </row>
    <row r="496" spans="2:19" ht="15">
      <c r="B496" s="248" t="s">
        <v>380</v>
      </c>
      <c r="C496" s="307">
        <f>H496</f>
        <v>1905</v>
      </c>
      <c r="D496" s="307">
        <v>8232</v>
      </c>
      <c r="E496" s="315">
        <v>42926</v>
      </c>
      <c r="F496" s="249" t="s">
        <v>380</v>
      </c>
      <c r="G496" s="314" t="s">
        <v>1298</v>
      </c>
      <c r="H496" s="307">
        <v>1905</v>
      </c>
      <c r="I496" s="307">
        <v>8400</v>
      </c>
      <c r="J496" s="561">
        <f t="shared" si="35"/>
        <v>320040</v>
      </c>
      <c r="K496" s="561">
        <f t="shared" si="36"/>
        <v>1</v>
      </c>
    </row>
    <row r="497" spans="2:11" ht="15">
      <c r="B497" s="250" t="s">
        <v>1217</v>
      </c>
      <c r="C497" s="307">
        <v>2030</v>
      </c>
      <c r="D497" s="181">
        <v>8624</v>
      </c>
      <c r="E497" s="315">
        <v>42926</v>
      </c>
      <c r="F497" s="555" t="s">
        <v>1217</v>
      </c>
      <c r="G497" s="314" t="s">
        <v>1299</v>
      </c>
      <c r="H497" s="307">
        <v>2030</v>
      </c>
      <c r="I497" s="307">
        <v>8800</v>
      </c>
      <c r="J497" s="561">
        <f t="shared" si="35"/>
        <v>357280</v>
      </c>
      <c r="K497" s="561">
        <f t="shared" si="36"/>
        <v>1</v>
      </c>
    </row>
    <row r="498" spans="2:11" ht="15">
      <c r="B498" s="248" t="s">
        <v>380</v>
      </c>
      <c r="C498" s="307">
        <f>H498</f>
        <v>1869</v>
      </c>
      <c r="D498" s="307">
        <v>8232</v>
      </c>
      <c r="E498" s="315">
        <v>42926</v>
      </c>
      <c r="F498" s="249" t="s">
        <v>380</v>
      </c>
      <c r="G498" s="314" t="s">
        <v>1301</v>
      </c>
      <c r="H498" s="307">
        <v>1869</v>
      </c>
      <c r="I498" s="307">
        <v>8400</v>
      </c>
      <c r="J498" s="561">
        <f t="shared" si="35"/>
        <v>313992</v>
      </c>
      <c r="K498" s="561">
        <f t="shared" si="36"/>
        <v>1</v>
      </c>
    </row>
    <row r="499" spans="2:11" ht="15">
      <c r="B499" s="250" t="s">
        <v>1217</v>
      </c>
      <c r="C499" s="307">
        <v>2030</v>
      </c>
      <c r="D499" s="181">
        <v>8624</v>
      </c>
      <c r="E499" s="315">
        <v>42927</v>
      </c>
      <c r="F499" s="249" t="s">
        <v>1375</v>
      </c>
      <c r="G499" s="314" t="s">
        <v>1373</v>
      </c>
      <c r="H499" s="307">
        <v>50</v>
      </c>
      <c r="I499" s="307">
        <v>11400</v>
      </c>
      <c r="J499" s="561">
        <f t="shared" si="35"/>
        <v>-16936720</v>
      </c>
      <c r="K499" s="561">
        <f t="shared" si="36"/>
        <v>0</v>
      </c>
    </row>
    <row r="500" spans="2:11" ht="15">
      <c r="B500" s="250" t="s">
        <v>1304</v>
      </c>
      <c r="C500" s="243">
        <v>292</v>
      </c>
      <c r="D500" s="181">
        <v>10780</v>
      </c>
      <c r="E500" s="315">
        <v>42927</v>
      </c>
      <c r="F500" s="249" t="s">
        <v>1376</v>
      </c>
      <c r="G500" s="314" t="s">
        <v>1373</v>
      </c>
      <c r="H500" s="307">
        <v>50</v>
      </c>
      <c r="I500" s="307">
        <v>20100</v>
      </c>
      <c r="J500" s="561">
        <f t="shared" si="35"/>
        <v>-2142760</v>
      </c>
      <c r="K500" s="561">
        <f t="shared" si="36"/>
        <v>0</v>
      </c>
    </row>
    <row r="501" spans="2:11" ht="15">
      <c r="B501" s="250" t="s">
        <v>1305</v>
      </c>
      <c r="C501" s="243">
        <v>2628</v>
      </c>
      <c r="D501" s="181">
        <v>2450</v>
      </c>
      <c r="E501" s="315">
        <v>42927</v>
      </c>
      <c r="F501" s="249" t="s">
        <v>1377</v>
      </c>
      <c r="G501" s="314" t="s">
        <v>1373</v>
      </c>
      <c r="H501" s="307">
        <v>1500</v>
      </c>
      <c r="I501" s="307">
        <v>10800</v>
      </c>
      <c r="J501" s="561">
        <f t="shared" si="35"/>
        <v>9761400</v>
      </c>
      <c r="K501" s="561">
        <f t="shared" si="36"/>
        <v>1</v>
      </c>
    </row>
    <row r="502" spans="2:11" ht="15">
      <c r="B502" s="250" t="s">
        <v>1306</v>
      </c>
      <c r="C502" s="243">
        <v>7884</v>
      </c>
      <c r="D502" s="181">
        <v>735</v>
      </c>
      <c r="E502" s="315">
        <v>42927</v>
      </c>
      <c r="F502" s="555" t="s">
        <v>1217</v>
      </c>
      <c r="G502" s="314" t="s">
        <v>1300</v>
      </c>
      <c r="H502" s="307">
        <v>2030</v>
      </c>
      <c r="I502" s="307">
        <v>8800</v>
      </c>
      <c r="J502" s="561">
        <f t="shared" si="35"/>
        <v>12069260</v>
      </c>
      <c r="K502" s="561">
        <f t="shared" si="36"/>
        <v>1</v>
      </c>
    </row>
    <row r="503" spans="2:11" ht="15">
      <c r="B503" s="250" t="s">
        <v>1312</v>
      </c>
      <c r="C503" s="243">
        <v>540</v>
      </c>
      <c r="D503" s="181">
        <v>18853</v>
      </c>
      <c r="E503" s="315">
        <v>42927</v>
      </c>
      <c r="F503" s="250" t="s">
        <v>1304</v>
      </c>
      <c r="G503" s="314" t="s">
        <v>1302</v>
      </c>
      <c r="H503" s="523">
        <v>292</v>
      </c>
      <c r="I503" s="523">
        <v>11000</v>
      </c>
      <c r="J503" s="561">
        <f t="shared" si="35"/>
        <v>-6968620</v>
      </c>
      <c r="K503" s="561">
        <f t="shared" si="36"/>
        <v>0</v>
      </c>
    </row>
    <row r="504" spans="2:11" ht="15">
      <c r="B504" s="250" t="s">
        <v>1313</v>
      </c>
      <c r="C504" s="243">
        <v>290</v>
      </c>
      <c r="D504" s="181">
        <v>13045</v>
      </c>
      <c r="E504" s="315">
        <v>42927</v>
      </c>
      <c r="F504" s="250" t="s">
        <v>1305</v>
      </c>
      <c r="G504" s="314" t="s">
        <v>1302</v>
      </c>
      <c r="H504" s="307">
        <v>2628</v>
      </c>
      <c r="I504" s="307">
        <v>2500</v>
      </c>
      <c r="J504" s="561">
        <f t="shared" si="35"/>
        <v>2786950</v>
      </c>
      <c r="K504" s="561">
        <f t="shared" si="36"/>
        <v>1</v>
      </c>
    </row>
    <row r="505" spans="2:11" ht="15">
      <c r="B505" s="250" t="s">
        <v>1314</v>
      </c>
      <c r="C505" s="243">
        <v>395</v>
      </c>
      <c r="D505" s="181">
        <v>16340</v>
      </c>
      <c r="E505" s="315">
        <v>42927</v>
      </c>
      <c r="F505" s="250" t="s">
        <v>1306</v>
      </c>
      <c r="G505" s="314" t="s">
        <v>1302</v>
      </c>
      <c r="H505" s="307">
        <v>7884</v>
      </c>
      <c r="I505" s="307">
        <v>750</v>
      </c>
      <c r="J505" s="561">
        <f t="shared" si="35"/>
        <v>-541300</v>
      </c>
      <c r="K505" s="561">
        <f t="shared" si="36"/>
        <v>0</v>
      </c>
    </row>
    <row r="506" spans="2:11" ht="15">
      <c r="B506" s="250" t="s">
        <v>1340</v>
      </c>
      <c r="C506" s="243">
        <v>600</v>
      </c>
      <c r="D506" s="181">
        <v>16166</v>
      </c>
      <c r="E506" s="315">
        <v>42933</v>
      </c>
      <c r="F506" s="250" t="s">
        <v>1312</v>
      </c>
      <c r="G506" s="314" t="s">
        <v>1311</v>
      </c>
      <c r="H506" s="307">
        <v>540</v>
      </c>
      <c r="I506" s="307">
        <v>19238</v>
      </c>
      <c r="J506" s="561">
        <f t="shared" si="35"/>
        <v>688920</v>
      </c>
      <c r="K506" s="561">
        <f t="shared" si="36"/>
        <v>1</v>
      </c>
    </row>
    <row r="507" spans="2:11" ht="15">
      <c r="B507" s="250" t="s">
        <v>1308</v>
      </c>
      <c r="C507" s="243">
        <v>60</v>
      </c>
      <c r="D507" s="181">
        <v>14149</v>
      </c>
      <c r="E507" s="315">
        <v>42933</v>
      </c>
      <c r="F507" s="250" t="s">
        <v>1313</v>
      </c>
      <c r="G507" s="314" t="s">
        <v>1311</v>
      </c>
      <c r="H507" s="307">
        <v>290</v>
      </c>
      <c r="I507" s="307">
        <v>13311</v>
      </c>
      <c r="J507" s="561">
        <f t="shared" si="35"/>
        <v>3011250</v>
      </c>
      <c r="K507" s="561">
        <f t="shared" si="36"/>
        <v>1</v>
      </c>
    </row>
    <row r="508" spans="2:11" ht="15">
      <c r="B508" s="250" t="s">
        <v>1328</v>
      </c>
      <c r="C508" s="243">
        <v>296</v>
      </c>
      <c r="D508" s="181">
        <v>32753</v>
      </c>
      <c r="E508" s="315">
        <v>42933</v>
      </c>
      <c r="F508" s="250" t="s">
        <v>1314</v>
      </c>
      <c r="G508" s="314" t="s">
        <v>1311</v>
      </c>
      <c r="H508" s="307">
        <v>395</v>
      </c>
      <c r="I508" s="307">
        <v>16673</v>
      </c>
      <c r="J508" s="561">
        <f t="shared" si="35"/>
        <v>-3109053</v>
      </c>
      <c r="K508" s="561">
        <f t="shared" si="36"/>
        <v>0</v>
      </c>
    </row>
    <row r="509" spans="2:11" ht="15">
      <c r="B509" s="250" t="s">
        <v>1329</v>
      </c>
      <c r="C509" s="243">
        <v>224</v>
      </c>
      <c r="D509" s="181">
        <v>31243</v>
      </c>
      <c r="E509" s="315">
        <v>42935</v>
      </c>
      <c r="F509" s="250" t="s">
        <v>1340</v>
      </c>
      <c r="G509" s="314" t="s">
        <v>1307</v>
      </c>
      <c r="H509" s="307">
        <v>600</v>
      </c>
      <c r="I509" s="307">
        <v>16496</v>
      </c>
      <c r="J509" s="561">
        <f t="shared" si="35"/>
        <v>2899168</v>
      </c>
      <c r="K509" s="561">
        <f t="shared" si="36"/>
        <v>1</v>
      </c>
    </row>
    <row r="510" spans="2:11" ht="15">
      <c r="B510" s="250" t="s">
        <v>1330</v>
      </c>
      <c r="C510" s="243">
        <v>100</v>
      </c>
      <c r="D510" s="181">
        <v>32991</v>
      </c>
      <c r="E510" s="315">
        <v>42935</v>
      </c>
      <c r="F510" s="250" t="s">
        <v>1308</v>
      </c>
      <c r="G510" s="314" t="s">
        <v>1307</v>
      </c>
      <c r="H510" s="307">
        <v>60</v>
      </c>
      <c r="I510" s="307">
        <v>14438</v>
      </c>
      <c r="J510" s="561">
        <f t="shared" si="35"/>
        <v>-2432820</v>
      </c>
      <c r="K510" s="561">
        <f t="shared" si="36"/>
        <v>0</v>
      </c>
    </row>
    <row r="511" spans="2:11" ht="15">
      <c r="B511" s="250" t="s">
        <v>1331</v>
      </c>
      <c r="C511" s="243">
        <v>116</v>
      </c>
      <c r="D511" s="181">
        <v>39619</v>
      </c>
      <c r="E511" s="544">
        <v>42940</v>
      </c>
      <c r="F511" s="250" t="s">
        <v>1328</v>
      </c>
      <c r="G511" s="314" t="s">
        <v>1310</v>
      </c>
      <c r="H511" s="307">
        <v>296</v>
      </c>
      <c r="I511" s="307">
        <v>33421.877999999997</v>
      </c>
      <c r="J511" s="561">
        <f t="shared" si="35"/>
        <v>5297071.8879999984</v>
      </c>
      <c r="K511" s="561">
        <f t="shared" si="36"/>
        <v>1</v>
      </c>
    </row>
    <row r="512" spans="2:11" ht="15">
      <c r="B512" s="250" t="s">
        <v>1332</v>
      </c>
      <c r="C512" s="243">
        <v>132</v>
      </c>
      <c r="D512" s="181">
        <v>49811</v>
      </c>
      <c r="E512" s="544">
        <v>42940</v>
      </c>
      <c r="F512" s="250" t="s">
        <v>1329</v>
      </c>
      <c r="G512" s="314" t="s">
        <v>1310</v>
      </c>
      <c r="H512" s="307">
        <v>224</v>
      </c>
      <c r="I512" s="307">
        <v>31880.286200000002</v>
      </c>
      <c r="J512" s="561">
        <f t="shared" si="35"/>
        <v>566132.10880000051</v>
      </c>
      <c r="K512" s="561">
        <f t="shared" si="36"/>
        <v>1</v>
      </c>
    </row>
    <row r="513" spans="2:11" ht="15">
      <c r="B513" s="250" t="s">
        <v>1333</v>
      </c>
      <c r="C513" s="243">
        <v>100</v>
      </c>
      <c r="D513" s="181">
        <v>36553</v>
      </c>
      <c r="E513" s="544">
        <v>42940</v>
      </c>
      <c r="F513" s="250" t="s">
        <v>1330</v>
      </c>
      <c r="G513" s="314" t="s">
        <v>1310</v>
      </c>
      <c r="H513" s="307">
        <v>100</v>
      </c>
      <c r="I513" s="307">
        <v>33663.805</v>
      </c>
      <c r="J513" s="561">
        <f t="shared" si="35"/>
        <v>-288919.5</v>
      </c>
      <c r="K513" s="561">
        <f t="shared" si="36"/>
        <v>0</v>
      </c>
    </row>
    <row r="514" spans="2:11" ht="15">
      <c r="B514" s="250" t="s">
        <v>1334</v>
      </c>
      <c r="C514" s="243">
        <v>60</v>
      </c>
      <c r="D514" s="181">
        <v>37677</v>
      </c>
      <c r="E514" s="544">
        <v>42940</v>
      </c>
      <c r="F514" s="250" t="s">
        <v>1331</v>
      </c>
      <c r="G514" s="314" t="s">
        <v>1310</v>
      </c>
      <c r="H514" s="307">
        <v>116</v>
      </c>
      <c r="I514" s="307">
        <v>40427.125200000009</v>
      </c>
      <c r="J514" s="561">
        <f t="shared" si="35"/>
        <v>2428926.5232000016</v>
      </c>
      <c r="K514" s="561">
        <f t="shared" si="36"/>
        <v>1</v>
      </c>
    </row>
    <row r="515" spans="2:11" ht="15">
      <c r="B515" s="250" t="s">
        <v>1335</v>
      </c>
      <c r="C515" s="243">
        <v>100</v>
      </c>
      <c r="D515" s="181">
        <v>43122</v>
      </c>
      <c r="E515" s="544">
        <v>42940</v>
      </c>
      <c r="F515" s="250" t="s">
        <v>1332</v>
      </c>
      <c r="G515" s="314" t="s">
        <v>1310</v>
      </c>
      <c r="H515" s="307">
        <v>132</v>
      </c>
      <c r="I515" s="307">
        <v>50827.14</v>
      </c>
      <c r="J515" s="561">
        <f t="shared" si="35"/>
        <v>2396982.4799999995</v>
      </c>
      <c r="K515" s="561">
        <f t="shared" si="36"/>
        <v>1</v>
      </c>
    </row>
    <row r="516" spans="2:11" ht="15">
      <c r="B516" s="250" t="s">
        <v>1336</v>
      </c>
      <c r="C516" s="243">
        <v>200</v>
      </c>
      <c r="D516" s="181">
        <v>41932</v>
      </c>
      <c r="E516" s="544">
        <v>42940</v>
      </c>
      <c r="F516" s="250" t="s">
        <v>1333</v>
      </c>
      <c r="G516" s="314" t="s">
        <v>1310</v>
      </c>
      <c r="H516" s="307">
        <v>100</v>
      </c>
      <c r="I516" s="307">
        <v>37299.301200000009</v>
      </c>
      <c r="J516" s="561">
        <f t="shared" si="35"/>
        <v>-4656469.879999999</v>
      </c>
      <c r="K516" s="561">
        <f t="shared" si="36"/>
        <v>0</v>
      </c>
    </row>
    <row r="517" spans="2:11" ht="15">
      <c r="B517" s="250" t="s">
        <v>1337</v>
      </c>
      <c r="C517" s="243">
        <v>232</v>
      </c>
      <c r="D517" s="181">
        <v>40757</v>
      </c>
      <c r="E517" s="544">
        <v>42940</v>
      </c>
      <c r="F517" s="250" t="s">
        <v>1334</v>
      </c>
      <c r="G517" s="314" t="s">
        <v>1310</v>
      </c>
      <c r="H517" s="307">
        <v>60</v>
      </c>
      <c r="I517" s="307">
        <v>38446.020199999999</v>
      </c>
      <c r="J517" s="561">
        <f t="shared" si="35"/>
        <v>-7148862.7880000006</v>
      </c>
      <c r="K517" s="561">
        <f t="shared" si="36"/>
        <v>0</v>
      </c>
    </row>
    <row r="518" spans="2:11" ht="15">
      <c r="B518" s="250" t="s">
        <v>1338</v>
      </c>
      <c r="C518" s="243">
        <v>136</v>
      </c>
      <c r="D518" s="181">
        <v>19963</v>
      </c>
      <c r="E518" s="544">
        <v>42940</v>
      </c>
      <c r="F518" s="250" t="s">
        <v>1335</v>
      </c>
      <c r="G518" s="314" t="s">
        <v>1310</v>
      </c>
      <c r="H518" s="307">
        <v>100</v>
      </c>
      <c r="I518" s="307">
        <v>44002.102200000001</v>
      </c>
      <c r="J518" s="561">
        <f t="shared" si="35"/>
        <v>1685242.2199999997</v>
      </c>
      <c r="K518" s="561">
        <f t="shared" si="36"/>
        <v>1</v>
      </c>
    </row>
    <row r="519" spans="2:11" ht="15">
      <c r="B519" s="250" t="s">
        <v>1339</v>
      </c>
      <c r="C519" s="243">
        <v>136</v>
      </c>
      <c r="D519" s="181">
        <v>21206</v>
      </c>
      <c r="E519" s="544">
        <v>42940</v>
      </c>
      <c r="F519" s="250" t="s">
        <v>1336</v>
      </c>
      <c r="G519" s="314" t="s">
        <v>1310</v>
      </c>
      <c r="H519" s="307">
        <v>200</v>
      </c>
      <c r="I519" s="307">
        <v>42787.973200000008</v>
      </c>
      <c r="J519" s="561">
        <f t="shared" si="35"/>
        <v>5673578.6400000006</v>
      </c>
      <c r="K519" s="561">
        <f t="shared" si="36"/>
        <v>1</v>
      </c>
    </row>
    <row r="520" spans="2:11" ht="15">
      <c r="B520" s="250" t="s">
        <v>1316</v>
      </c>
      <c r="C520" s="243">
        <f t="shared" ref="C520:C525" si="37">H520</f>
        <v>232</v>
      </c>
      <c r="D520" s="181">
        <v>12100</v>
      </c>
      <c r="E520" s="544">
        <v>42940</v>
      </c>
      <c r="F520" s="250" t="s">
        <v>1337</v>
      </c>
      <c r="G520" s="314" t="s">
        <v>1310</v>
      </c>
      <c r="H520" s="307">
        <v>232</v>
      </c>
      <c r="I520" s="307">
        <v>41588.82420000001</v>
      </c>
      <c r="J520" s="561">
        <f t="shared" si="35"/>
        <v>6841407.2144000027</v>
      </c>
      <c r="K520" s="561">
        <f t="shared" si="36"/>
        <v>1</v>
      </c>
    </row>
    <row r="521" spans="2:11" ht="15">
      <c r="B521" s="250" t="s">
        <v>1321</v>
      </c>
      <c r="C521" s="243">
        <f t="shared" si="37"/>
        <v>136</v>
      </c>
      <c r="D521" s="181">
        <v>10150</v>
      </c>
      <c r="E521" s="544">
        <v>42940</v>
      </c>
      <c r="F521" s="250" t="s">
        <v>1338</v>
      </c>
      <c r="G521" s="314" t="s">
        <v>1310</v>
      </c>
      <c r="H521" s="307">
        <v>136</v>
      </c>
      <c r="I521" s="307">
        <v>20369.972525000001</v>
      </c>
      <c r="J521" s="561">
        <f t="shared" si="35"/>
        <v>1389916.2634000001</v>
      </c>
      <c r="K521" s="561">
        <f t="shared" si="36"/>
        <v>1</v>
      </c>
    </row>
    <row r="522" spans="2:11" ht="15">
      <c r="B522" s="250" t="s">
        <v>1321</v>
      </c>
      <c r="C522" s="243">
        <f t="shared" si="37"/>
        <v>136</v>
      </c>
      <c r="D522" s="181">
        <v>10150</v>
      </c>
      <c r="E522" s="544">
        <v>42940</v>
      </c>
      <c r="F522" s="250" t="s">
        <v>1339</v>
      </c>
      <c r="G522" s="314" t="s">
        <v>1310</v>
      </c>
      <c r="H522" s="307">
        <v>136</v>
      </c>
      <c r="I522" s="307">
        <v>21639.078125000004</v>
      </c>
      <c r="J522" s="561">
        <f t="shared" si="35"/>
        <v>1562514.6250000005</v>
      </c>
      <c r="K522" s="561">
        <f t="shared" si="36"/>
        <v>1</v>
      </c>
    </row>
    <row r="523" spans="2:11" ht="15">
      <c r="B523" s="250" t="s">
        <v>1316</v>
      </c>
      <c r="C523" s="243">
        <f t="shared" si="37"/>
        <v>600</v>
      </c>
      <c r="D523" s="181">
        <v>12100</v>
      </c>
      <c r="E523" s="288">
        <v>42942</v>
      </c>
      <c r="F523" s="250" t="s">
        <v>1316</v>
      </c>
      <c r="G523" s="314" t="s">
        <v>1315</v>
      </c>
      <c r="H523" s="307">
        <v>600</v>
      </c>
      <c r="I523" s="307">
        <v>13754</v>
      </c>
      <c r="J523" s="561">
        <f t="shared" si="35"/>
        <v>992400</v>
      </c>
      <c r="K523" s="561">
        <f t="shared" si="36"/>
        <v>1</v>
      </c>
    </row>
    <row r="524" spans="2:11" ht="15">
      <c r="B524" s="249" t="s">
        <v>503</v>
      </c>
      <c r="C524" s="243">
        <f t="shared" si="37"/>
        <v>112</v>
      </c>
      <c r="D524" s="181">
        <v>8300</v>
      </c>
      <c r="E524" s="288">
        <v>42942</v>
      </c>
      <c r="F524" s="250" t="s">
        <v>1321</v>
      </c>
      <c r="G524" s="314" t="s">
        <v>1315</v>
      </c>
      <c r="H524" s="307">
        <v>112</v>
      </c>
      <c r="I524" s="307">
        <v>12690</v>
      </c>
      <c r="J524" s="561">
        <f t="shared" si="35"/>
        <v>491680</v>
      </c>
      <c r="K524" s="561">
        <f t="shared" si="36"/>
        <v>1</v>
      </c>
    </row>
    <row r="525" spans="2:11" ht="15">
      <c r="B525" s="250" t="s">
        <v>1316</v>
      </c>
      <c r="C525" s="243">
        <f t="shared" si="37"/>
        <v>680</v>
      </c>
      <c r="D525" s="181">
        <v>10100</v>
      </c>
      <c r="E525" s="288">
        <v>42943</v>
      </c>
      <c r="F525" s="250" t="s">
        <v>1321</v>
      </c>
      <c r="G525" s="314" t="s">
        <v>1317</v>
      </c>
      <c r="H525" s="307">
        <v>680</v>
      </c>
      <c r="I525" s="307">
        <v>11035</v>
      </c>
      <c r="J525" s="561">
        <f t="shared" si="35"/>
        <v>635800</v>
      </c>
      <c r="K525" s="561">
        <f t="shared" si="36"/>
        <v>1</v>
      </c>
    </row>
    <row r="526" spans="2:11" ht="15">
      <c r="B526" s="250" t="s">
        <v>1324</v>
      </c>
      <c r="C526" s="243">
        <v>130</v>
      </c>
      <c r="D526" s="181">
        <v>9000</v>
      </c>
      <c r="E526" s="288">
        <v>42943</v>
      </c>
      <c r="F526" s="555" t="s">
        <v>1316</v>
      </c>
      <c r="G526" s="314" t="s">
        <v>1318</v>
      </c>
      <c r="H526" s="307">
        <v>720</v>
      </c>
      <c r="I526" s="307">
        <v>13750</v>
      </c>
      <c r="J526" s="561">
        <f t="shared" si="35"/>
        <v>8730000</v>
      </c>
      <c r="K526" s="561">
        <f t="shared" si="36"/>
        <v>1</v>
      </c>
    </row>
    <row r="527" spans="2:11" ht="15">
      <c r="B527" s="250" t="s">
        <v>1321</v>
      </c>
      <c r="C527" s="243">
        <f>H527</f>
        <v>2100</v>
      </c>
      <c r="D527" s="181">
        <v>10150</v>
      </c>
      <c r="E527" s="288">
        <v>42943</v>
      </c>
      <c r="F527" s="249" t="s">
        <v>503</v>
      </c>
      <c r="G527" s="314" t="s">
        <v>1319</v>
      </c>
      <c r="H527" s="307">
        <v>2100</v>
      </c>
      <c r="I527" s="307">
        <v>8500</v>
      </c>
      <c r="J527" s="561">
        <f t="shared" si="35"/>
        <v>-3465000</v>
      </c>
      <c r="K527" s="561">
        <f t="shared" si="36"/>
        <v>0</v>
      </c>
    </row>
    <row r="528" spans="2:11" ht="15">
      <c r="B528" s="249" t="s">
        <v>503</v>
      </c>
      <c r="C528" s="243">
        <f>H528</f>
        <v>800</v>
      </c>
      <c r="D528" s="181">
        <v>8300</v>
      </c>
      <c r="E528" s="288">
        <v>42943</v>
      </c>
      <c r="F528" s="249" t="s">
        <v>1379</v>
      </c>
      <c r="G528" s="314" t="s">
        <v>1378</v>
      </c>
      <c r="H528" s="307">
        <v>800</v>
      </c>
      <c r="I528" s="307">
        <v>20790</v>
      </c>
      <c r="J528" s="561">
        <f t="shared" si="35"/>
        <v>9992000</v>
      </c>
      <c r="K528" s="561">
        <f t="shared" si="36"/>
        <v>1</v>
      </c>
    </row>
    <row r="529" spans="2:11" ht="15">
      <c r="B529" s="245" t="s">
        <v>274</v>
      </c>
      <c r="C529" s="181">
        <v>2180</v>
      </c>
      <c r="D529" s="124">
        <v>18350</v>
      </c>
      <c r="E529" s="288">
        <v>42943</v>
      </c>
      <c r="F529" s="249" t="s">
        <v>1381</v>
      </c>
      <c r="G529" s="314" t="s">
        <v>1380</v>
      </c>
      <c r="H529" s="307">
        <v>650</v>
      </c>
      <c r="I529" s="307">
        <v>26730</v>
      </c>
      <c r="J529" s="561">
        <f t="shared" si="35"/>
        <v>-22628500</v>
      </c>
      <c r="K529" s="561">
        <f t="shared" si="36"/>
        <v>0</v>
      </c>
    </row>
    <row r="530" spans="2:11" ht="15">
      <c r="B530" s="249" t="s">
        <v>1182</v>
      </c>
      <c r="C530" s="243">
        <v>529</v>
      </c>
      <c r="D530" s="181">
        <v>34300</v>
      </c>
      <c r="E530" s="315">
        <v>42945</v>
      </c>
      <c r="F530" s="249" t="s">
        <v>1382</v>
      </c>
      <c r="G530" s="314" t="s">
        <v>1383</v>
      </c>
      <c r="H530" s="307">
        <v>900</v>
      </c>
      <c r="I530" s="307">
        <v>18720</v>
      </c>
      <c r="J530" s="561">
        <f t="shared" si="35"/>
        <v>-1296700</v>
      </c>
      <c r="K530" s="561">
        <f t="shared" si="36"/>
        <v>0</v>
      </c>
    </row>
    <row r="531" spans="2:11" ht="15">
      <c r="B531" s="245" t="s">
        <v>1183</v>
      </c>
      <c r="C531" s="243">
        <v>987</v>
      </c>
      <c r="D531" s="181">
        <v>31360</v>
      </c>
      <c r="E531" s="315">
        <v>42945</v>
      </c>
      <c r="F531" s="249" t="s">
        <v>1217</v>
      </c>
      <c r="G531" s="314" t="s">
        <v>1384</v>
      </c>
      <c r="H531" s="307">
        <v>3045</v>
      </c>
      <c r="I531" s="307">
        <v>5900</v>
      </c>
      <c r="J531" s="561">
        <f t="shared" si="35"/>
        <v>-12986820</v>
      </c>
      <c r="K531" s="561">
        <f t="shared" si="36"/>
        <v>0</v>
      </c>
    </row>
    <row r="532" spans="2:11" ht="15">
      <c r="B532" s="245" t="s">
        <v>273</v>
      </c>
      <c r="C532" s="243">
        <v>1600</v>
      </c>
      <c r="D532" s="181">
        <v>18130</v>
      </c>
      <c r="E532" s="315">
        <v>42947</v>
      </c>
      <c r="F532" s="250" t="s">
        <v>1316</v>
      </c>
      <c r="G532" s="314" t="s">
        <v>1323</v>
      </c>
      <c r="H532" s="307">
        <v>850</v>
      </c>
      <c r="I532" s="307">
        <v>10623</v>
      </c>
      <c r="J532" s="561">
        <f t="shared" si="35"/>
        <v>-19978450</v>
      </c>
      <c r="K532" s="561">
        <f t="shared" si="36"/>
        <v>0</v>
      </c>
    </row>
    <row r="533" spans="2:11" ht="15">
      <c r="E533" s="315">
        <v>42947</v>
      </c>
      <c r="F533" s="250" t="s">
        <v>1324</v>
      </c>
      <c r="G533" s="314" t="s">
        <v>1323</v>
      </c>
      <c r="H533" s="307">
        <v>130</v>
      </c>
      <c r="I533" s="307">
        <v>9759</v>
      </c>
      <c r="J533" s="561">
        <f t="shared" si="35"/>
        <v>1268670</v>
      </c>
      <c r="K533" s="561">
        <f t="shared" si="36"/>
        <v>1</v>
      </c>
    </row>
    <row r="534" spans="2:11" ht="15">
      <c r="E534" s="315">
        <v>42947</v>
      </c>
      <c r="F534" s="250" t="s">
        <v>1321</v>
      </c>
      <c r="G534" s="314" t="s">
        <v>1323</v>
      </c>
      <c r="H534" s="307">
        <v>460</v>
      </c>
      <c r="I534" s="307">
        <v>9599</v>
      </c>
      <c r="J534" s="561">
        <f t="shared" si="35"/>
        <v>4415540</v>
      </c>
      <c r="K534" s="561">
        <f t="shared" si="36"/>
        <v>1</v>
      </c>
    </row>
    <row r="535" spans="2:11" ht="15">
      <c r="E535" s="315">
        <v>42947</v>
      </c>
      <c r="F535" s="245" t="s">
        <v>503</v>
      </c>
      <c r="G535" s="314" t="s">
        <v>1326</v>
      </c>
      <c r="H535" s="307">
        <v>2050</v>
      </c>
      <c r="I535" s="307">
        <v>8500</v>
      </c>
      <c r="J535" s="561">
        <f t="shared" si="35"/>
        <v>17425000</v>
      </c>
      <c r="K535" s="561">
        <f t="shared" si="36"/>
        <v>1</v>
      </c>
    </row>
    <row r="536" spans="2:11" ht="15">
      <c r="E536" s="315">
        <v>42947</v>
      </c>
      <c r="F536" s="245" t="s">
        <v>274</v>
      </c>
      <c r="G536" s="314" t="s">
        <v>1327</v>
      </c>
      <c r="H536" s="307">
        <v>3200</v>
      </c>
      <c r="I536" s="307">
        <v>18500</v>
      </c>
      <c r="J536" s="561">
        <f t="shared" si="35"/>
        <v>59200000</v>
      </c>
      <c r="K536" s="561">
        <f t="shared" si="36"/>
        <v>1</v>
      </c>
    </row>
    <row r="537" spans="2:11" ht="15">
      <c r="E537" s="315">
        <v>42947</v>
      </c>
      <c r="F537" s="245" t="s">
        <v>273</v>
      </c>
      <c r="G537" s="314" t="s">
        <v>1327</v>
      </c>
      <c r="H537" s="307">
        <v>3300</v>
      </c>
      <c r="I537" s="307">
        <v>18500</v>
      </c>
      <c r="J537" s="561">
        <f t="shared" si="35"/>
        <v>61050000</v>
      </c>
      <c r="K537" s="561">
        <f t="shared" si="36"/>
        <v>1</v>
      </c>
    </row>
    <row r="538" spans="2:11" ht="15">
      <c r="E538" s="315">
        <v>42947</v>
      </c>
      <c r="F538" s="250" t="s">
        <v>1343</v>
      </c>
      <c r="G538" s="314" t="s">
        <v>1341</v>
      </c>
      <c r="H538" s="307">
        <v>53</v>
      </c>
      <c r="I538" s="307">
        <v>71934</v>
      </c>
      <c r="J538" s="561">
        <f t="shared" si="35"/>
        <v>3812502</v>
      </c>
      <c r="K538" s="561">
        <f t="shared" si="36"/>
        <v>1</v>
      </c>
    </row>
    <row r="539" spans="2:11" ht="15">
      <c r="E539" s="315">
        <v>42947</v>
      </c>
      <c r="F539" s="250" t="s">
        <v>1344</v>
      </c>
      <c r="G539" s="314" t="s">
        <v>1341</v>
      </c>
      <c r="H539" s="307">
        <v>53</v>
      </c>
      <c r="I539" s="307">
        <v>74153</v>
      </c>
      <c r="J539" s="561">
        <f t="shared" si="35"/>
        <v>3930109</v>
      </c>
      <c r="K539" s="561">
        <f t="shared" si="36"/>
        <v>1</v>
      </c>
    </row>
    <row r="540" spans="2:11" ht="15">
      <c r="E540" s="315">
        <v>42947</v>
      </c>
      <c r="F540" s="250" t="s">
        <v>1345</v>
      </c>
      <c r="G540" s="314" t="s">
        <v>1341</v>
      </c>
      <c r="H540" s="307">
        <v>54</v>
      </c>
      <c r="I540" s="307">
        <v>50979</v>
      </c>
      <c r="J540" s="561">
        <f t="shared" si="35"/>
        <v>2752866</v>
      </c>
      <c r="K540" s="561">
        <f t="shared" si="36"/>
        <v>1</v>
      </c>
    </row>
    <row r="541" spans="2:11" ht="15">
      <c r="E541" s="315">
        <v>42947</v>
      </c>
      <c r="F541" s="250" t="s">
        <v>1346</v>
      </c>
      <c r="G541" s="314" t="s">
        <v>1341</v>
      </c>
      <c r="H541" s="307">
        <v>54</v>
      </c>
      <c r="I541" s="307">
        <v>52849</v>
      </c>
      <c r="J541" s="561">
        <f t="shared" si="35"/>
        <v>2853846</v>
      </c>
      <c r="K541" s="561">
        <f t="shared" si="36"/>
        <v>1</v>
      </c>
    </row>
    <row r="542" spans="2:11" ht="15">
      <c r="E542" s="315">
        <v>42947</v>
      </c>
      <c r="F542" s="250" t="s">
        <v>1330</v>
      </c>
      <c r="G542" s="314" t="s">
        <v>1342</v>
      </c>
      <c r="H542" s="307">
        <v>144</v>
      </c>
      <c r="I542" s="307">
        <v>33664</v>
      </c>
      <c r="J542" s="561">
        <f t="shared" si="35"/>
        <v>4847616</v>
      </c>
      <c r="K542" s="561">
        <f t="shared" si="36"/>
        <v>1</v>
      </c>
    </row>
    <row r="543" spans="2:11" ht="15">
      <c r="E543" s="315">
        <v>42947</v>
      </c>
      <c r="F543" s="250" t="s">
        <v>1347</v>
      </c>
      <c r="G543" s="314" t="s">
        <v>1342</v>
      </c>
      <c r="H543" s="307">
        <v>96</v>
      </c>
      <c r="I543" s="307">
        <v>35215</v>
      </c>
      <c r="J543" s="561">
        <f t="shared" si="35"/>
        <v>3380640</v>
      </c>
      <c r="K543" s="561">
        <f t="shared" si="36"/>
        <v>1</v>
      </c>
    </row>
    <row r="544" spans="2:11" ht="15">
      <c r="E544" s="315">
        <v>42947</v>
      </c>
      <c r="F544" s="250" t="s">
        <v>1331</v>
      </c>
      <c r="G544" s="314" t="s">
        <v>1342</v>
      </c>
      <c r="H544" s="307">
        <v>96</v>
      </c>
      <c r="I544" s="307">
        <v>40427</v>
      </c>
      <c r="J544" s="561">
        <f t="shared" si="35"/>
        <v>3880992</v>
      </c>
      <c r="K544" s="561">
        <f t="shared" si="36"/>
        <v>1</v>
      </c>
    </row>
    <row r="545" spans="5:11" ht="15">
      <c r="E545" s="315">
        <v>42947</v>
      </c>
      <c r="F545" s="250" t="s">
        <v>1332</v>
      </c>
      <c r="G545" s="314" t="s">
        <v>1342</v>
      </c>
      <c r="H545" s="307">
        <v>144</v>
      </c>
      <c r="I545" s="307">
        <v>50827</v>
      </c>
      <c r="J545" s="561">
        <f t="shared" si="35"/>
        <v>7319088</v>
      </c>
      <c r="K545" s="561">
        <f t="shared" si="36"/>
        <v>1</v>
      </c>
    </row>
    <row r="546" spans="5:11" ht="15">
      <c r="E546" s="315">
        <v>42947</v>
      </c>
      <c r="F546" s="250" t="s">
        <v>1335</v>
      </c>
      <c r="G546" s="314" t="s">
        <v>1342</v>
      </c>
      <c r="H546" s="307">
        <v>144</v>
      </c>
      <c r="I546" s="307">
        <v>44002</v>
      </c>
      <c r="J546" s="561">
        <f t="shared" si="35"/>
        <v>6336288</v>
      </c>
      <c r="K546" s="561">
        <f t="shared" si="36"/>
        <v>1</v>
      </c>
    </row>
    <row r="547" spans="5:11" ht="15">
      <c r="E547" s="315">
        <v>42947</v>
      </c>
      <c r="F547" s="250" t="s">
        <v>1337</v>
      </c>
      <c r="G547" s="314" t="s">
        <v>1342</v>
      </c>
      <c r="H547" s="307">
        <v>128</v>
      </c>
      <c r="I547" s="307">
        <v>41589</v>
      </c>
      <c r="J547" s="561">
        <f t="shared" si="35"/>
        <v>5323392</v>
      </c>
      <c r="K547" s="561">
        <f t="shared" si="36"/>
        <v>1</v>
      </c>
    </row>
    <row r="548" spans="5:11" ht="15">
      <c r="E548" s="315">
        <v>42947</v>
      </c>
      <c r="F548" s="250" t="s">
        <v>1348</v>
      </c>
      <c r="G548" s="314" t="s">
        <v>1342</v>
      </c>
      <c r="H548" s="307">
        <v>20</v>
      </c>
      <c r="I548" s="307">
        <v>34634</v>
      </c>
      <c r="J548" s="561">
        <f t="shared" si="35"/>
        <v>692680</v>
      </c>
      <c r="K548" s="561">
        <f t="shared" si="36"/>
        <v>1</v>
      </c>
    </row>
    <row r="549" spans="5:11" ht="15">
      <c r="E549" s="315">
        <v>42947</v>
      </c>
      <c r="F549" s="250" t="s">
        <v>1349</v>
      </c>
      <c r="G549" s="314" t="s">
        <v>1342</v>
      </c>
      <c r="H549" s="307">
        <v>20</v>
      </c>
      <c r="I549" s="307">
        <v>36701</v>
      </c>
      <c r="J549" s="561">
        <f t="shared" si="35"/>
        <v>734020</v>
      </c>
      <c r="K549" s="561">
        <f t="shared" si="36"/>
        <v>1</v>
      </c>
    </row>
    <row r="550" spans="5:11" ht="15">
      <c r="E550" s="315">
        <v>42947</v>
      </c>
      <c r="F550" s="250" t="s">
        <v>1350</v>
      </c>
      <c r="G550" s="314" t="s">
        <v>1342</v>
      </c>
      <c r="H550" s="307">
        <v>30</v>
      </c>
      <c r="I550" s="307">
        <v>19865</v>
      </c>
      <c r="J550" s="561">
        <f t="shared" si="35"/>
        <v>595950</v>
      </c>
      <c r="K550" s="561">
        <f t="shared" si="36"/>
        <v>1</v>
      </c>
    </row>
    <row r="551" spans="5:11" ht="15">
      <c r="E551" s="315">
        <v>42947</v>
      </c>
      <c r="F551" s="250" t="s">
        <v>1351</v>
      </c>
      <c r="G551" s="314" t="s">
        <v>1342</v>
      </c>
      <c r="H551" s="307">
        <v>30</v>
      </c>
      <c r="I551" s="307">
        <v>21438</v>
      </c>
      <c r="J551" s="561">
        <f t="shared" si="35"/>
        <v>643140</v>
      </c>
      <c r="K551" s="561">
        <f t="shared" si="36"/>
        <v>1</v>
      </c>
    </row>
    <row r="552" spans="5:11" ht="15">
      <c r="E552" s="315">
        <v>42947</v>
      </c>
      <c r="F552" s="250" t="s">
        <v>722</v>
      </c>
      <c r="G552" s="314" t="s">
        <v>1372</v>
      </c>
      <c r="H552" s="307">
        <v>12</v>
      </c>
      <c r="I552" s="307">
        <v>11811</v>
      </c>
      <c r="J552" s="561">
        <f t="shared" ref="J552:J615" si="38">I552*H552-D552*C552</f>
        <v>141732</v>
      </c>
      <c r="K552" s="561">
        <f t="shared" ref="K552:K615" si="39">IF(J552&gt;50000,1,0)</f>
        <v>1</v>
      </c>
    </row>
    <row r="553" spans="5:11" ht="15">
      <c r="E553" s="315">
        <v>42947</v>
      </c>
      <c r="F553" s="250" t="s">
        <v>760</v>
      </c>
      <c r="G553" s="314" t="s">
        <v>1372</v>
      </c>
      <c r="H553" s="307">
        <v>120</v>
      </c>
      <c r="I553" s="307">
        <v>27428</v>
      </c>
      <c r="J553" s="561">
        <f t="shared" si="38"/>
        <v>3291360</v>
      </c>
      <c r="K553" s="561">
        <f t="shared" si="39"/>
        <v>1</v>
      </c>
    </row>
    <row r="554" spans="5:11" ht="15">
      <c r="E554" s="315">
        <v>42947</v>
      </c>
      <c r="F554" s="250" t="s">
        <v>1385</v>
      </c>
      <c r="G554" s="314" t="s">
        <v>1372</v>
      </c>
      <c r="H554" s="307">
        <v>120</v>
      </c>
      <c r="I554" s="307">
        <v>42247</v>
      </c>
      <c r="J554" s="561">
        <f t="shared" si="38"/>
        <v>5069640</v>
      </c>
      <c r="K554" s="561">
        <f t="shared" si="39"/>
        <v>1</v>
      </c>
    </row>
    <row r="555" spans="5:11" ht="15">
      <c r="E555" s="315">
        <v>42947</v>
      </c>
      <c r="F555" s="250" t="s">
        <v>1386</v>
      </c>
      <c r="G555" s="314" t="s">
        <v>1372</v>
      </c>
      <c r="H555" s="307">
        <v>20</v>
      </c>
      <c r="I555" s="307">
        <v>53896</v>
      </c>
      <c r="J555" s="561">
        <f t="shared" si="38"/>
        <v>1077920</v>
      </c>
      <c r="K555" s="561">
        <f t="shared" si="39"/>
        <v>1</v>
      </c>
    </row>
    <row r="556" spans="5:11" ht="15">
      <c r="E556" s="315">
        <v>42947</v>
      </c>
      <c r="F556" s="250" t="s">
        <v>1387</v>
      </c>
      <c r="G556" s="314" t="s">
        <v>1372</v>
      </c>
      <c r="H556" s="307">
        <v>15</v>
      </c>
      <c r="I556" s="307">
        <v>97266</v>
      </c>
      <c r="J556" s="561">
        <f t="shared" si="38"/>
        <v>1458990</v>
      </c>
      <c r="K556" s="561">
        <f t="shared" si="39"/>
        <v>1</v>
      </c>
    </row>
    <row r="557" spans="5:11" ht="15">
      <c r="E557" s="315">
        <v>42947</v>
      </c>
      <c r="F557" s="250" t="s">
        <v>1388</v>
      </c>
      <c r="G557" s="314" t="s">
        <v>1372</v>
      </c>
      <c r="H557" s="307">
        <v>15</v>
      </c>
      <c r="I557" s="307">
        <v>39408</v>
      </c>
      <c r="J557" s="561">
        <f t="shared" si="38"/>
        <v>591120</v>
      </c>
      <c r="K557" s="561">
        <f t="shared" si="39"/>
        <v>1</v>
      </c>
    </row>
    <row r="558" spans="5:11" ht="15">
      <c r="E558" s="315">
        <v>42947</v>
      </c>
      <c r="F558" s="250" t="s">
        <v>619</v>
      </c>
      <c r="G558" s="314" t="s">
        <v>1372</v>
      </c>
      <c r="H558" s="307">
        <v>80</v>
      </c>
      <c r="I558" s="307">
        <v>20656</v>
      </c>
      <c r="J558" s="561">
        <f t="shared" si="38"/>
        <v>1652480</v>
      </c>
      <c r="K558" s="561">
        <f t="shared" si="39"/>
        <v>1</v>
      </c>
    </row>
    <row r="559" spans="5:11" ht="15">
      <c r="E559" s="315">
        <v>42947</v>
      </c>
      <c r="F559" s="250" t="s">
        <v>625</v>
      </c>
      <c r="G559" s="314" t="s">
        <v>1372</v>
      </c>
      <c r="H559" s="307">
        <v>16</v>
      </c>
      <c r="I559" s="307">
        <v>38917</v>
      </c>
      <c r="J559" s="561">
        <f t="shared" si="38"/>
        <v>622672</v>
      </c>
      <c r="K559" s="561">
        <f t="shared" si="39"/>
        <v>1</v>
      </c>
    </row>
    <row r="560" spans="5:11" ht="15">
      <c r="E560" s="315">
        <v>42947</v>
      </c>
      <c r="F560" s="250" t="s">
        <v>624</v>
      </c>
      <c r="G560" s="314" t="s">
        <v>1372</v>
      </c>
      <c r="H560" s="307">
        <v>24</v>
      </c>
      <c r="I560" s="307">
        <v>36117</v>
      </c>
      <c r="J560" s="561">
        <f t="shared" si="38"/>
        <v>866808</v>
      </c>
      <c r="K560" s="561">
        <f t="shared" si="39"/>
        <v>1</v>
      </c>
    </row>
    <row r="561" spans="5:11" ht="15">
      <c r="E561" s="315">
        <v>42947</v>
      </c>
      <c r="F561" s="250" t="s">
        <v>680</v>
      </c>
      <c r="G561" s="314" t="s">
        <v>1372</v>
      </c>
      <c r="H561" s="307">
        <v>40</v>
      </c>
      <c r="I561" s="307">
        <v>81933</v>
      </c>
      <c r="J561" s="561">
        <f t="shared" si="38"/>
        <v>3277320</v>
      </c>
      <c r="K561" s="561">
        <f t="shared" si="39"/>
        <v>1</v>
      </c>
    </row>
    <row r="562" spans="5:11" ht="15">
      <c r="E562" s="315">
        <v>42947</v>
      </c>
      <c r="F562" s="250" t="s">
        <v>1389</v>
      </c>
      <c r="G562" s="314" t="s">
        <v>1372</v>
      </c>
      <c r="H562" s="307">
        <v>20</v>
      </c>
      <c r="I562" s="307">
        <v>66321</v>
      </c>
      <c r="J562" s="561">
        <f t="shared" si="38"/>
        <v>1326420</v>
      </c>
      <c r="K562" s="561">
        <f t="shared" si="39"/>
        <v>1</v>
      </c>
    </row>
    <row r="563" spans="5:11" ht="15">
      <c r="E563" s="315">
        <v>42947</v>
      </c>
      <c r="F563" s="250" t="s">
        <v>1390</v>
      </c>
      <c r="G563" s="314" t="s">
        <v>1372</v>
      </c>
      <c r="H563" s="307">
        <v>300</v>
      </c>
      <c r="I563" s="307">
        <v>42723</v>
      </c>
      <c r="J563" s="561">
        <f t="shared" si="38"/>
        <v>12816900</v>
      </c>
      <c r="K563" s="561">
        <f t="shared" si="39"/>
        <v>1</v>
      </c>
    </row>
    <row r="564" spans="5:11" ht="15">
      <c r="E564" s="315">
        <v>42947</v>
      </c>
      <c r="F564" s="250" t="s">
        <v>1391</v>
      </c>
      <c r="G564" s="314" t="s">
        <v>1372</v>
      </c>
      <c r="H564" s="307">
        <v>15</v>
      </c>
      <c r="I564" s="307">
        <v>39408</v>
      </c>
      <c r="J564" s="561">
        <f t="shared" si="38"/>
        <v>591120</v>
      </c>
      <c r="K564" s="561">
        <f t="shared" si="39"/>
        <v>1</v>
      </c>
    </row>
    <row r="565" spans="5:11" ht="15">
      <c r="E565" s="315">
        <v>42947</v>
      </c>
      <c r="F565" s="250" t="s">
        <v>792</v>
      </c>
      <c r="G565" s="314" t="s">
        <v>1372</v>
      </c>
      <c r="H565" s="307">
        <v>12</v>
      </c>
      <c r="I565" s="307">
        <v>30176</v>
      </c>
      <c r="J565" s="561">
        <f t="shared" si="38"/>
        <v>362112</v>
      </c>
      <c r="K565" s="561">
        <f t="shared" si="39"/>
        <v>1</v>
      </c>
    </row>
    <row r="566" spans="5:11" ht="15">
      <c r="E566" s="315">
        <v>42947</v>
      </c>
      <c r="F566" s="250" t="s">
        <v>644</v>
      </c>
      <c r="G566" s="314" t="s">
        <v>1372</v>
      </c>
      <c r="H566" s="307">
        <v>10</v>
      </c>
      <c r="I566" s="307">
        <v>63695</v>
      </c>
      <c r="J566" s="561">
        <f t="shared" si="38"/>
        <v>636950</v>
      </c>
      <c r="K566" s="561">
        <f t="shared" si="39"/>
        <v>1</v>
      </c>
    </row>
    <row r="567" spans="5:11" ht="15">
      <c r="E567" s="315">
        <v>42947</v>
      </c>
      <c r="F567" s="250" t="s">
        <v>1392</v>
      </c>
      <c r="G567" s="314" t="s">
        <v>1372</v>
      </c>
      <c r="H567" s="307">
        <v>10</v>
      </c>
      <c r="I567" s="307">
        <v>90279</v>
      </c>
      <c r="J567" s="561">
        <f t="shared" si="38"/>
        <v>902790</v>
      </c>
      <c r="K567" s="561">
        <f t="shared" si="39"/>
        <v>1</v>
      </c>
    </row>
    <row r="568" spans="5:11" ht="15">
      <c r="E568" s="315">
        <v>42947</v>
      </c>
      <c r="F568" s="250" t="s">
        <v>619</v>
      </c>
      <c r="G568" s="314" t="s">
        <v>1372</v>
      </c>
      <c r="H568" s="307">
        <v>64</v>
      </c>
      <c r="I568" s="307">
        <v>31617</v>
      </c>
      <c r="J568" s="561">
        <f t="shared" si="38"/>
        <v>2023488</v>
      </c>
      <c r="K568" s="561">
        <f t="shared" si="39"/>
        <v>1</v>
      </c>
    </row>
    <row r="569" spans="5:11" ht="15">
      <c r="E569" s="315">
        <v>42947</v>
      </c>
      <c r="F569" s="250" t="s">
        <v>750</v>
      </c>
      <c r="G569" s="314" t="s">
        <v>1372</v>
      </c>
      <c r="H569" s="307">
        <v>46</v>
      </c>
      <c r="I569" s="307">
        <v>72733</v>
      </c>
      <c r="J569" s="561">
        <f t="shared" si="38"/>
        <v>3345718</v>
      </c>
      <c r="K569" s="561">
        <f t="shared" si="39"/>
        <v>1</v>
      </c>
    </row>
    <row r="570" spans="5:11" ht="15">
      <c r="E570" s="315">
        <v>42947</v>
      </c>
      <c r="F570" s="250" t="s">
        <v>1393</v>
      </c>
      <c r="G570" s="314" t="s">
        <v>1372</v>
      </c>
      <c r="H570" s="307">
        <v>5</v>
      </c>
      <c r="I570" s="307">
        <v>101080</v>
      </c>
      <c r="J570" s="561">
        <f t="shared" si="38"/>
        <v>505400</v>
      </c>
      <c r="K570" s="561">
        <f t="shared" si="39"/>
        <v>1</v>
      </c>
    </row>
    <row r="571" spans="5:11" ht="15">
      <c r="E571" s="315">
        <v>42947</v>
      </c>
      <c r="F571" s="250" t="s">
        <v>794</v>
      </c>
      <c r="G571" s="314" t="s">
        <v>1372</v>
      </c>
      <c r="H571" s="307">
        <v>5</v>
      </c>
      <c r="I571" s="307">
        <v>57162</v>
      </c>
      <c r="J571" s="561">
        <f t="shared" si="38"/>
        <v>285810</v>
      </c>
      <c r="K571" s="561">
        <f t="shared" si="39"/>
        <v>1</v>
      </c>
    </row>
    <row r="572" spans="5:11" ht="15">
      <c r="E572" s="315">
        <v>42947</v>
      </c>
      <c r="F572" s="250" t="s">
        <v>645</v>
      </c>
      <c r="G572" s="314" t="s">
        <v>1372</v>
      </c>
      <c r="H572" s="307">
        <v>6</v>
      </c>
      <c r="I572" s="307">
        <v>153786</v>
      </c>
      <c r="J572" s="561">
        <f t="shared" si="38"/>
        <v>922716</v>
      </c>
      <c r="K572" s="561">
        <f t="shared" si="39"/>
        <v>1</v>
      </c>
    </row>
    <row r="573" spans="5:11" ht="15">
      <c r="E573" s="315">
        <v>42947</v>
      </c>
      <c r="F573" s="250" t="s">
        <v>646</v>
      </c>
      <c r="G573" s="314" t="s">
        <v>1372</v>
      </c>
      <c r="H573" s="307">
        <v>6</v>
      </c>
      <c r="I573" s="307">
        <v>48993</v>
      </c>
      <c r="J573" s="561">
        <f t="shared" si="38"/>
        <v>293958</v>
      </c>
      <c r="K573" s="561">
        <f t="shared" si="39"/>
        <v>1</v>
      </c>
    </row>
    <row r="574" spans="5:11" ht="15">
      <c r="E574" s="315">
        <v>42947</v>
      </c>
      <c r="F574" s="250" t="s">
        <v>1389</v>
      </c>
      <c r="G574" s="314" t="s">
        <v>1372</v>
      </c>
      <c r="H574" s="307">
        <v>12</v>
      </c>
      <c r="I574" s="307">
        <v>41141</v>
      </c>
      <c r="J574" s="561">
        <f t="shared" si="38"/>
        <v>493692</v>
      </c>
      <c r="K574" s="561">
        <f t="shared" si="39"/>
        <v>1</v>
      </c>
    </row>
    <row r="575" spans="5:11" ht="15">
      <c r="E575" s="315">
        <v>42947</v>
      </c>
      <c r="F575" s="250" t="s">
        <v>1394</v>
      </c>
      <c r="G575" s="314" t="s">
        <v>1372</v>
      </c>
      <c r="H575" s="307">
        <v>12</v>
      </c>
      <c r="I575" s="307">
        <v>93639</v>
      </c>
      <c r="J575" s="561">
        <f t="shared" si="38"/>
        <v>1123668</v>
      </c>
      <c r="K575" s="561">
        <f t="shared" si="39"/>
        <v>1</v>
      </c>
    </row>
    <row r="576" spans="5:11" ht="15">
      <c r="E576" s="315">
        <v>42947</v>
      </c>
      <c r="F576" s="250" t="s">
        <v>611</v>
      </c>
      <c r="G576" s="314" t="s">
        <v>1372</v>
      </c>
      <c r="H576" s="307">
        <v>40</v>
      </c>
      <c r="I576" s="307">
        <v>42339</v>
      </c>
      <c r="J576" s="561">
        <f t="shared" si="38"/>
        <v>1693560</v>
      </c>
      <c r="K576" s="561">
        <f t="shared" si="39"/>
        <v>1</v>
      </c>
    </row>
    <row r="577" spans="5:11" ht="15">
      <c r="E577" s="315">
        <v>42947</v>
      </c>
      <c r="F577" s="250" t="s">
        <v>1023</v>
      </c>
      <c r="G577" s="314" t="s">
        <v>1372</v>
      </c>
      <c r="H577" s="307">
        <v>36</v>
      </c>
      <c r="I577" s="307">
        <v>82493</v>
      </c>
      <c r="J577" s="561">
        <f t="shared" si="38"/>
        <v>2969748</v>
      </c>
      <c r="K577" s="561">
        <f t="shared" si="39"/>
        <v>1</v>
      </c>
    </row>
    <row r="578" spans="5:11" ht="15">
      <c r="E578" s="315">
        <v>42947</v>
      </c>
      <c r="F578" s="250" t="s">
        <v>731</v>
      </c>
      <c r="G578" s="314" t="s">
        <v>1372</v>
      </c>
      <c r="H578" s="307">
        <v>8</v>
      </c>
      <c r="I578" s="307">
        <v>58563</v>
      </c>
      <c r="J578" s="561">
        <f t="shared" si="38"/>
        <v>468504</v>
      </c>
      <c r="K578" s="561">
        <f t="shared" si="39"/>
        <v>1</v>
      </c>
    </row>
    <row r="579" spans="5:11" ht="15">
      <c r="E579" s="315">
        <v>42947</v>
      </c>
      <c r="F579" s="250" t="s">
        <v>731</v>
      </c>
      <c r="G579" s="314" t="s">
        <v>1372</v>
      </c>
      <c r="H579" s="307">
        <v>24</v>
      </c>
      <c r="I579" s="307">
        <v>55723</v>
      </c>
      <c r="J579" s="561">
        <f t="shared" si="38"/>
        <v>1337352</v>
      </c>
      <c r="K579" s="561">
        <f t="shared" si="39"/>
        <v>1</v>
      </c>
    </row>
    <row r="580" spans="5:11" ht="15">
      <c r="E580" s="315">
        <v>42947</v>
      </c>
      <c r="F580" s="250" t="s">
        <v>1395</v>
      </c>
      <c r="G580" s="314" t="s">
        <v>1372</v>
      </c>
      <c r="H580" s="307">
        <v>30</v>
      </c>
      <c r="I580" s="307">
        <v>53295</v>
      </c>
      <c r="J580" s="561">
        <f t="shared" si="38"/>
        <v>1598850</v>
      </c>
      <c r="K580" s="561">
        <f t="shared" si="39"/>
        <v>1</v>
      </c>
    </row>
    <row r="581" spans="5:11" ht="15">
      <c r="E581" s="315">
        <v>42947</v>
      </c>
      <c r="F581" s="250" t="s">
        <v>736</v>
      </c>
      <c r="G581" s="314" t="s">
        <v>1372</v>
      </c>
      <c r="H581" s="307">
        <v>6</v>
      </c>
      <c r="I581" s="307">
        <v>83764</v>
      </c>
      <c r="J581" s="561">
        <f t="shared" si="38"/>
        <v>502584</v>
      </c>
      <c r="K581" s="561">
        <f t="shared" si="39"/>
        <v>1</v>
      </c>
    </row>
    <row r="582" spans="5:11" ht="15">
      <c r="E582" s="315">
        <v>42947</v>
      </c>
      <c r="F582" s="250" t="s">
        <v>733</v>
      </c>
      <c r="G582" s="314" t="s">
        <v>1372</v>
      </c>
      <c r="H582" s="307">
        <v>40</v>
      </c>
      <c r="I582" s="307">
        <v>45394</v>
      </c>
      <c r="J582" s="561">
        <f t="shared" si="38"/>
        <v>1815760</v>
      </c>
      <c r="K582" s="561">
        <f t="shared" si="39"/>
        <v>1</v>
      </c>
    </row>
    <row r="583" spans="5:11" ht="15">
      <c r="E583" s="315">
        <v>42947</v>
      </c>
      <c r="F583" s="250" t="s">
        <v>733</v>
      </c>
      <c r="G583" s="314" t="s">
        <v>1372</v>
      </c>
      <c r="H583" s="307">
        <v>12</v>
      </c>
      <c r="I583" s="307">
        <v>20895</v>
      </c>
      <c r="J583" s="561">
        <f t="shared" si="38"/>
        <v>250740</v>
      </c>
      <c r="K583" s="561">
        <f t="shared" si="39"/>
        <v>1</v>
      </c>
    </row>
    <row r="584" spans="5:11" ht="15">
      <c r="E584" s="315">
        <v>42947</v>
      </c>
      <c r="F584" s="250" t="s">
        <v>1169</v>
      </c>
      <c r="G584" s="314" t="s">
        <v>1372</v>
      </c>
      <c r="H584" s="307">
        <v>24</v>
      </c>
      <c r="I584" s="307">
        <v>72238</v>
      </c>
      <c r="J584" s="561">
        <f t="shared" si="38"/>
        <v>1733712</v>
      </c>
      <c r="K584" s="561">
        <f t="shared" si="39"/>
        <v>1</v>
      </c>
    </row>
    <row r="585" spans="5:11" ht="15">
      <c r="E585" s="315">
        <v>42947</v>
      </c>
      <c r="F585" s="250" t="s">
        <v>733</v>
      </c>
      <c r="G585" s="314" t="s">
        <v>1372</v>
      </c>
      <c r="H585" s="307">
        <v>8</v>
      </c>
      <c r="I585" s="307">
        <v>50244</v>
      </c>
      <c r="J585" s="561">
        <f t="shared" si="38"/>
        <v>401952</v>
      </c>
      <c r="K585" s="561">
        <f t="shared" si="39"/>
        <v>1</v>
      </c>
    </row>
    <row r="586" spans="5:11" ht="15">
      <c r="E586" s="315">
        <v>42947</v>
      </c>
      <c r="F586" s="250" t="s">
        <v>1162</v>
      </c>
      <c r="G586" s="314" t="s">
        <v>1372</v>
      </c>
      <c r="H586" s="307">
        <v>10</v>
      </c>
      <c r="I586" s="307">
        <v>205185</v>
      </c>
      <c r="J586" s="561">
        <f t="shared" si="38"/>
        <v>2051850</v>
      </c>
      <c r="K586" s="561">
        <f t="shared" si="39"/>
        <v>1</v>
      </c>
    </row>
    <row r="587" spans="5:11" ht="15">
      <c r="E587" s="288">
        <v>42949</v>
      </c>
      <c r="F587" s="249" t="s">
        <v>1397</v>
      </c>
      <c r="G587" s="314" t="s">
        <v>1396</v>
      </c>
      <c r="H587" s="307">
        <v>240</v>
      </c>
      <c r="I587" s="307">
        <v>48000</v>
      </c>
      <c r="J587" s="561">
        <f t="shared" si="38"/>
        <v>11520000</v>
      </c>
      <c r="K587" s="561">
        <f t="shared" si="39"/>
        <v>1</v>
      </c>
    </row>
    <row r="588" spans="5:11" ht="15">
      <c r="E588" s="288">
        <v>42949</v>
      </c>
      <c r="F588" s="249" t="s">
        <v>1398</v>
      </c>
      <c r="G588" s="314" t="s">
        <v>1396</v>
      </c>
      <c r="H588" s="307">
        <v>360</v>
      </c>
      <c r="I588" s="307">
        <v>4700</v>
      </c>
      <c r="J588" s="561">
        <f t="shared" si="38"/>
        <v>1692000</v>
      </c>
      <c r="K588" s="561">
        <f t="shared" si="39"/>
        <v>1</v>
      </c>
    </row>
    <row r="589" spans="5:11" ht="15">
      <c r="E589" s="288">
        <v>42949</v>
      </c>
      <c r="F589" s="249" t="s">
        <v>1399</v>
      </c>
      <c r="G589" s="314" t="s">
        <v>1396</v>
      </c>
      <c r="H589" s="307">
        <v>360</v>
      </c>
      <c r="I589" s="307">
        <v>5700</v>
      </c>
      <c r="J589" s="561">
        <f t="shared" si="38"/>
        <v>2052000</v>
      </c>
      <c r="K589" s="561">
        <f t="shared" si="39"/>
        <v>1</v>
      </c>
    </row>
    <row r="590" spans="5:11" ht="15">
      <c r="E590" s="315">
        <v>42949</v>
      </c>
      <c r="F590" s="249" t="s">
        <v>380</v>
      </c>
      <c r="G590" s="314" t="s">
        <v>1400</v>
      </c>
      <c r="H590" s="307">
        <v>12991</v>
      </c>
      <c r="I590" s="307">
        <v>12500</v>
      </c>
      <c r="J590" s="561">
        <f t="shared" si="38"/>
        <v>162387500</v>
      </c>
      <c r="K590" s="561">
        <f t="shared" si="39"/>
        <v>1</v>
      </c>
    </row>
    <row r="591" spans="5:11" ht="15">
      <c r="E591" s="315">
        <v>42950</v>
      </c>
      <c r="F591" s="249" t="s">
        <v>1290</v>
      </c>
      <c r="G591" s="314" t="s">
        <v>1401</v>
      </c>
      <c r="H591" s="307">
        <v>3370</v>
      </c>
      <c r="I591" s="307">
        <v>12500</v>
      </c>
      <c r="J591" s="561">
        <f t="shared" si="38"/>
        <v>42125000</v>
      </c>
      <c r="K591" s="561">
        <f t="shared" si="39"/>
        <v>1</v>
      </c>
    </row>
    <row r="592" spans="5:11" ht="15">
      <c r="E592" s="315">
        <v>42950</v>
      </c>
      <c r="F592" s="249" t="s">
        <v>1132</v>
      </c>
      <c r="G592" s="314" t="s">
        <v>1402</v>
      </c>
      <c r="H592" s="307">
        <v>350</v>
      </c>
      <c r="I592" s="307">
        <v>34133</v>
      </c>
      <c r="J592" s="561">
        <f t="shared" si="38"/>
        <v>11946550</v>
      </c>
      <c r="K592" s="561">
        <f t="shared" si="39"/>
        <v>1</v>
      </c>
    </row>
    <row r="593" spans="5:11" ht="15">
      <c r="E593" s="315">
        <v>42951</v>
      </c>
      <c r="F593" s="249" t="s">
        <v>1132</v>
      </c>
      <c r="G593" s="314" t="s">
        <v>1403</v>
      </c>
      <c r="H593" s="307">
        <v>350</v>
      </c>
      <c r="I593" s="307">
        <v>34133</v>
      </c>
      <c r="J593" s="561">
        <f t="shared" si="38"/>
        <v>11946550</v>
      </c>
      <c r="K593" s="561">
        <f t="shared" si="39"/>
        <v>1</v>
      </c>
    </row>
    <row r="594" spans="5:11" ht="15">
      <c r="E594" s="315">
        <v>42952</v>
      </c>
      <c r="F594" s="249" t="s">
        <v>380</v>
      </c>
      <c r="G594" s="314" t="s">
        <v>1404</v>
      </c>
      <c r="H594" s="307">
        <v>12453</v>
      </c>
      <c r="I594" s="307">
        <v>12500</v>
      </c>
      <c r="J594" s="561">
        <f t="shared" si="38"/>
        <v>155662500</v>
      </c>
      <c r="K594" s="561">
        <f t="shared" si="39"/>
        <v>1</v>
      </c>
    </row>
    <row r="595" spans="5:11" ht="15">
      <c r="E595" s="315">
        <v>42952</v>
      </c>
      <c r="F595" s="249" t="s">
        <v>1406</v>
      </c>
      <c r="G595" s="314" t="s">
        <v>1405</v>
      </c>
      <c r="H595" s="307">
        <v>720</v>
      </c>
      <c r="I595" s="307">
        <v>6700</v>
      </c>
      <c r="J595" s="561">
        <f t="shared" si="38"/>
        <v>4824000</v>
      </c>
      <c r="K595" s="561">
        <f t="shared" si="39"/>
        <v>1</v>
      </c>
    </row>
    <row r="596" spans="5:11" ht="15">
      <c r="E596" s="315">
        <v>42952</v>
      </c>
      <c r="F596" s="249" t="s">
        <v>1407</v>
      </c>
      <c r="G596" s="314" t="s">
        <v>1405</v>
      </c>
      <c r="H596" s="307">
        <v>720</v>
      </c>
      <c r="I596" s="307">
        <v>8100</v>
      </c>
      <c r="J596" s="561">
        <f t="shared" si="38"/>
        <v>5832000</v>
      </c>
      <c r="K596" s="561">
        <f t="shared" si="39"/>
        <v>1</v>
      </c>
    </row>
    <row r="597" spans="5:11" ht="15">
      <c r="E597" s="315">
        <v>42952</v>
      </c>
      <c r="F597" s="249" t="s">
        <v>1408</v>
      </c>
      <c r="G597" s="314" t="s">
        <v>1405</v>
      </c>
      <c r="H597" s="307">
        <v>480</v>
      </c>
      <c r="I597" s="307">
        <v>5800</v>
      </c>
      <c r="J597" s="561">
        <f t="shared" si="38"/>
        <v>2784000</v>
      </c>
      <c r="K597" s="561">
        <f t="shared" si="39"/>
        <v>1</v>
      </c>
    </row>
    <row r="598" spans="5:11" ht="15">
      <c r="E598" s="315">
        <v>42952</v>
      </c>
      <c r="F598" s="249" t="s">
        <v>1409</v>
      </c>
      <c r="G598" s="314" t="s">
        <v>1405</v>
      </c>
      <c r="H598" s="307">
        <v>480</v>
      </c>
      <c r="I598" s="307">
        <v>7000</v>
      </c>
      <c r="J598" s="561">
        <f t="shared" si="38"/>
        <v>3360000</v>
      </c>
      <c r="K598" s="561">
        <f t="shared" si="39"/>
        <v>1</v>
      </c>
    </row>
    <row r="599" spans="5:11" ht="15">
      <c r="E599" s="315">
        <v>42952</v>
      </c>
      <c r="F599" s="249" t="s">
        <v>1410</v>
      </c>
      <c r="G599" s="314" t="s">
        <v>1405</v>
      </c>
      <c r="H599" s="307">
        <v>480</v>
      </c>
      <c r="I599" s="307">
        <v>1700</v>
      </c>
      <c r="J599" s="561">
        <f t="shared" si="38"/>
        <v>816000</v>
      </c>
      <c r="K599" s="561">
        <f t="shared" si="39"/>
        <v>1</v>
      </c>
    </row>
    <row r="600" spans="5:11" ht="15">
      <c r="E600" s="315">
        <v>42952</v>
      </c>
      <c r="F600" s="249" t="s">
        <v>1411</v>
      </c>
      <c r="G600" s="314" t="s">
        <v>1405</v>
      </c>
      <c r="H600" s="307">
        <v>480</v>
      </c>
      <c r="I600" s="307">
        <v>2200</v>
      </c>
      <c r="J600" s="561">
        <f t="shared" si="38"/>
        <v>1056000</v>
      </c>
      <c r="K600" s="561">
        <f t="shared" si="39"/>
        <v>1</v>
      </c>
    </row>
    <row r="601" spans="5:11" ht="15">
      <c r="E601" s="315">
        <v>42952</v>
      </c>
      <c r="F601" s="249" t="s">
        <v>1412</v>
      </c>
      <c r="G601" s="314" t="s">
        <v>1405</v>
      </c>
      <c r="H601" s="307">
        <v>360</v>
      </c>
      <c r="I601" s="307">
        <v>2800</v>
      </c>
      <c r="J601" s="561">
        <f t="shared" si="38"/>
        <v>1008000</v>
      </c>
      <c r="K601" s="561">
        <f t="shared" si="39"/>
        <v>1</v>
      </c>
    </row>
    <row r="602" spans="5:11" ht="15">
      <c r="E602" s="315">
        <v>42957</v>
      </c>
      <c r="F602" s="249" t="s">
        <v>1414</v>
      </c>
      <c r="G602" s="314" t="s">
        <v>584</v>
      </c>
      <c r="H602" s="307">
        <v>1000</v>
      </c>
      <c r="I602" s="307">
        <v>9838</v>
      </c>
      <c r="J602" s="561">
        <f t="shared" si="38"/>
        <v>9838000</v>
      </c>
      <c r="K602" s="561">
        <f t="shared" si="39"/>
        <v>1</v>
      </c>
    </row>
    <row r="603" spans="5:11" ht="15">
      <c r="E603" s="315">
        <v>42957</v>
      </c>
      <c r="F603" s="249" t="s">
        <v>1217</v>
      </c>
      <c r="G603" s="314" t="s">
        <v>1415</v>
      </c>
      <c r="H603" s="307">
        <v>3045</v>
      </c>
      <c r="I603" s="307">
        <v>5900</v>
      </c>
      <c r="J603" s="561">
        <f t="shared" si="38"/>
        <v>17965500</v>
      </c>
      <c r="K603" s="561">
        <f t="shared" si="39"/>
        <v>1</v>
      </c>
    </row>
    <row r="604" spans="5:11" ht="15">
      <c r="E604" s="315">
        <v>42958</v>
      </c>
      <c r="F604" s="250" t="s">
        <v>1286</v>
      </c>
      <c r="G604" s="314" t="s">
        <v>1416</v>
      </c>
      <c r="H604" s="307"/>
      <c r="I604" s="307"/>
      <c r="J604" s="561">
        <f t="shared" si="38"/>
        <v>0</v>
      </c>
      <c r="K604" s="561">
        <f t="shared" si="39"/>
        <v>0</v>
      </c>
    </row>
    <row r="605" spans="5:11" ht="15">
      <c r="E605" s="315">
        <v>42958</v>
      </c>
      <c r="F605" s="250" t="s">
        <v>1286</v>
      </c>
      <c r="G605" s="314" t="s">
        <v>1416</v>
      </c>
      <c r="H605" s="307"/>
      <c r="I605" s="307"/>
      <c r="J605" s="561">
        <f t="shared" si="38"/>
        <v>0</v>
      </c>
      <c r="K605" s="561">
        <f t="shared" si="39"/>
        <v>0</v>
      </c>
    </row>
    <row r="606" spans="5:11" ht="15">
      <c r="E606" s="315">
        <v>42958</v>
      </c>
      <c r="F606" s="250" t="s">
        <v>1286</v>
      </c>
      <c r="G606" s="314" t="s">
        <v>1416</v>
      </c>
      <c r="H606" s="307"/>
      <c r="I606" s="307"/>
      <c r="J606" s="561">
        <f t="shared" si="38"/>
        <v>0</v>
      </c>
      <c r="K606" s="561">
        <f t="shared" si="39"/>
        <v>0</v>
      </c>
    </row>
    <row r="607" spans="5:11" ht="15">
      <c r="E607" s="315">
        <v>42958</v>
      </c>
      <c r="F607" s="250" t="s">
        <v>1286</v>
      </c>
      <c r="G607" s="314" t="s">
        <v>1416</v>
      </c>
      <c r="H607" s="307"/>
      <c r="I607" s="307"/>
      <c r="J607" s="561">
        <f t="shared" si="38"/>
        <v>0</v>
      </c>
      <c r="K607" s="561">
        <f t="shared" si="39"/>
        <v>0</v>
      </c>
    </row>
    <row r="608" spans="5:11" ht="15">
      <c r="E608" s="315">
        <v>42958</v>
      </c>
      <c r="F608" s="250" t="s">
        <v>1286</v>
      </c>
      <c r="G608" s="314" t="s">
        <v>1416</v>
      </c>
      <c r="H608" s="307"/>
      <c r="I608" s="307"/>
      <c r="J608" s="561">
        <f t="shared" si="38"/>
        <v>0</v>
      </c>
      <c r="K608" s="561">
        <f t="shared" si="39"/>
        <v>0</v>
      </c>
    </row>
    <row r="609" spans="5:11" ht="15">
      <c r="E609" s="315">
        <v>42958</v>
      </c>
      <c r="F609" s="250" t="s">
        <v>1286</v>
      </c>
      <c r="G609" s="314" t="s">
        <v>1416</v>
      </c>
      <c r="H609" s="307"/>
      <c r="I609" s="307"/>
      <c r="J609" s="561">
        <f t="shared" si="38"/>
        <v>0</v>
      </c>
      <c r="K609" s="561">
        <f t="shared" si="39"/>
        <v>0</v>
      </c>
    </row>
    <row r="610" spans="5:11" ht="15">
      <c r="E610" s="315">
        <v>42958</v>
      </c>
      <c r="F610" s="250" t="s">
        <v>1286</v>
      </c>
      <c r="G610" s="314" t="s">
        <v>1416</v>
      </c>
      <c r="H610" s="307"/>
      <c r="I610" s="307"/>
      <c r="J610" s="561">
        <f t="shared" si="38"/>
        <v>0</v>
      </c>
      <c r="K610" s="561">
        <f t="shared" si="39"/>
        <v>0</v>
      </c>
    </row>
    <row r="611" spans="5:11" ht="15">
      <c r="E611" s="315">
        <v>42958</v>
      </c>
      <c r="F611" s="250" t="s">
        <v>1286</v>
      </c>
      <c r="G611" s="314" t="s">
        <v>1416</v>
      </c>
      <c r="H611" s="307"/>
      <c r="I611" s="307"/>
      <c r="J611" s="561">
        <f t="shared" si="38"/>
        <v>0</v>
      </c>
      <c r="K611" s="561">
        <f t="shared" si="39"/>
        <v>0</v>
      </c>
    </row>
    <row r="612" spans="5:11" ht="15">
      <c r="E612" s="315">
        <v>42958</v>
      </c>
      <c r="F612" s="250" t="s">
        <v>1286</v>
      </c>
      <c r="G612" s="314" t="s">
        <v>1416</v>
      </c>
      <c r="H612" s="307"/>
      <c r="I612" s="307"/>
      <c r="J612" s="561">
        <f t="shared" si="38"/>
        <v>0</v>
      </c>
      <c r="K612" s="561">
        <f t="shared" si="39"/>
        <v>0</v>
      </c>
    </row>
    <row r="613" spans="5:11" ht="15">
      <c r="E613" s="315">
        <v>42958</v>
      </c>
      <c r="F613" s="250" t="s">
        <v>1286</v>
      </c>
      <c r="G613" s="314" t="s">
        <v>1416</v>
      </c>
      <c r="H613" s="307"/>
      <c r="I613" s="307"/>
      <c r="J613" s="561">
        <f t="shared" si="38"/>
        <v>0</v>
      </c>
      <c r="K613" s="561">
        <f t="shared" si="39"/>
        <v>0</v>
      </c>
    </row>
    <row r="614" spans="5:11" ht="15">
      <c r="E614" s="315">
        <v>42958</v>
      </c>
      <c r="F614" s="250" t="s">
        <v>1286</v>
      </c>
      <c r="G614" s="314" t="s">
        <v>1416</v>
      </c>
      <c r="H614" s="307"/>
      <c r="I614" s="307"/>
      <c r="J614" s="561">
        <f t="shared" si="38"/>
        <v>0</v>
      </c>
      <c r="K614" s="561">
        <f t="shared" si="39"/>
        <v>0</v>
      </c>
    </row>
    <row r="615" spans="5:11" ht="15">
      <c r="E615" s="315">
        <v>42958</v>
      </c>
      <c r="F615" s="250" t="s">
        <v>1286</v>
      </c>
      <c r="G615" s="314" t="s">
        <v>1416</v>
      </c>
      <c r="H615" s="307"/>
      <c r="I615" s="307"/>
      <c r="J615" s="561">
        <f t="shared" si="38"/>
        <v>0</v>
      </c>
      <c r="K615" s="561">
        <f t="shared" si="39"/>
        <v>0</v>
      </c>
    </row>
    <row r="616" spans="5:11" ht="15">
      <c r="E616" s="315">
        <v>42958</v>
      </c>
      <c r="F616" s="250" t="s">
        <v>1286</v>
      </c>
      <c r="G616" s="314" t="s">
        <v>1416</v>
      </c>
      <c r="H616" s="307"/>
      <c r="I616" s="307"/>
      <c r="J616" s="561">
        <f t="shared" ref="J616:J679" si="40">I616*H616-D616*C616</f>
        <v>0</v>
      </c>
      <c r="K616" s="561">
        <f t="shared" ref="K616:K679" si="41">IF(J616&gt;50000,1,0)</f>
        <v>0</v>
      </c>
    </row>
    <row r="617" spans="5:11" ht="15">
      <c r="E617" s="315">
        <v>42958</v>
      </c>
      <c r="F617" s="250" t="s">
        <v>1286</v>
      </c>
      <c r="G617" s="314" t="s">
        <v>1416</v>
      </c>
      <c r="H617" s="307"/>
      <c r="I617" s="307"/>
      <c r="J617" s="561">
        <f t="shared" si="40"/>
        <v>0</v>
      </c>
      <c r="K617" s="561">
        <f t="shared" si="41"/>
        <v>0</v>
      </c>
    </row>
    <row r="618" spans="5:11" ht="15">
      <c r="E618" s="315">
        <v>42958</v>
      </c>
      <c r="F618" s="250" t="s">
        <v>1286</v>
      </c>
      <c r="G618" s="314" t="s">
        <v>1416</v>
      </c>
      <c r="H618" s="307"/>
      <c r="I618" s="307"/>
      <c r="J618" s="561">
        <f t="shared" si="40"/>
        <v>0</v>
      </c>
      <c r="K618" s="561">
        <f t="shared" si="41"/>
        <v>0</v>
      </c>
    </row>
    <row r="619" spans="5:11" ht="15">
      <c r="E619" s="315">
        <v>42958</v>
      </c>
      <c r="F619" s="250" t="s">
        <v>1286</v>
      </c>
      <c r="G619" s="314" t="s">
        <v>1416</v>
      </c>
      <c r="H619" s="307"/>
      <c r="I619" s="307"/>
      <c r="J619" s="561">
        <f t="shared" si="40"/>
        <v>0</v>
      </c>
      <c r="K619" s="561">
        <f t="shared" si="41"/>
        <v>0</v>
      </c>
    </row>
    <row r="620" spans="5:11" ht="15">
      <c r="E620" s="315">
        <v>42958</v>
      </c>
      <c r="F620" s="250" t="s">
        <v>1286</v>
      </c>
      <c r="G620" s="314" t="s">
        <v>1416</v>
      </c>
      <c r="H620" s="307"/>
      <c r="I620" s="307"/>
      <c r="J620" s="561">
        <f t="shared" si="40"/>
        <v>0</v>
      </c>
      <c r="K620" s="561">
        <f t="shared" si="41"/>
        <v>0</v>
      </c>
    </row>
    <row r="621" spans="5:11" ht="15">
      <c r="E621" s="315">
        <v>42958</v>
      </c>
      <c r="F621" s="250" t="s">
        <v>1286</v>
      </c>
      <c r="G621" s="314" t="s">
        <v>1416</v>
      </c>
      <c r="H621" s="307"/>
      <c r="I621" s="307"/>
      <c r="J621" s="561">
        <f t="shared" si="40"/>
        <v>0</v>
      </c>
      <c r="K621" s="561">
        <f t="shared" si="41"/>
        <v>0</v>
      </c>
    </row>
    <row r="622" spans="5:11" ht="15">
      <c r="E622" s="315">
        <v>42958</v>
      </c>
      <c r="F622" s="250" t="s">
        <v>1286</v>
      </c>
      <c r="G622" s="314" t="s">
        <v>1416</v>
      </c>
      <c r="H622" s="307"/>
      <c r="I622" s="307"/>
      <c r="J622" s="561">
        <f t="shared" si="40"/>
        <v>0</v>
      </c>
      <c r="K622" s="561">
        <f t="shared" si="41"/>
        <v>0</v>
      </c>
    </row>
    <row r="623" spans="5:11" ht="15">
      <c r="E623" s="315">
        <v>42958</v>
      </c>
      <c r="F623" s="250" t="s">
        <v>1286</v>
      </c>
      <c r="G623" s="314" t="s">
        <v>1416</v>
      </c>
      <c r="H623" s="307"/>
      <c r="I623" s="307"/>
      <c r="J623" s="561">
        <f t="shared" si="40"/>
        <v>0</v>
      </c>
      <c r="K623" s="561">
        <f t="shared" si="41"/>
        <v>0</v>
      </c>
    </row>
    <row r="624" spans="5:11" ht="15">
      <c r="E624" s="315">
        <v>42958</v>
      </c>
      <c r="F624" s="250" t="s">
        <v>1286</v>
      </c>
      <c r="G624" s="314" t="s">
        <v>1416</v>
      </c>
      <c r="H624" s="307"/>
      <c r="I624" s="307"/>
      <c r="J624" s="561">
        <f t="shared" si="40"/>
        <v>0</v>
      </c>
      <c r="K624" s="561">
        <f t="shared" si="41"/>
        <v>0</v>
      </c>
    </row>
    <row r="625" spans="5:11" ht="15">
      <c r="E625" s="315">
        <v>42958</v>
      </c>
      <c r="F625" s="249" t="s">
        <v>380</v>
      </c>
      <c r="G625" s="314" t="s">
        <v>1417</v>
      </c>
      <c r="H625" s="307">
        <v>13049</v>
      </c>
      <c r="I625" s="307">
        <v>12500</v>
      </c>
      <c r="J625" s="561">
        <f t="shared" si="40"/>
        <v>163112500</v>
      </c>
      <c r="K625" s="561">
        <f t="shared" si="41"/>
        <v>1</v>
      </c>
    </row>
    <row r="626" spans="5:11" ht="15">
      <c r="E626" s="315">
        <v>42958</v>
      </c>
      <c r="F626" s="249" t="s">
        <v>1217</v>
      </c>
      <c r="G626" s="314" t="s">
        <v>1418</v>
      </c>
      <c r="H626" s="307">
        <v>3045</v>
      </c>
      <c r="I626" s="307">
        <v>5900</v>
      </c>
      <c r="J626" s="561">
        <f t="shared" si="40"/>
        <v>17965500</v>
      </c>
      <c r="K626" s="561">
        <f t="shared" si="41"/>
        <v>1</v>
      </c>
    </row>
    <row r="627" spans="5:11" ht="15">
      <c r="E627" s="315">
        <v>42960</v>
      </c>
      <c r="F627" s="249" t="s">
        <v>1217</v>
      </c>
      <c r="G627" s="314" t="s">
        <v>1419</v>
      </c>
      <c r="H627" s="307">
        <v>3045</v>
      </c>
      <c r="I627" s="307">
        <v>5900</v>
      </c>
      <c r="J627" s="561">
        <f t="shared" si="40"/>
        <v>17965500</v>
      </c>
      <c r="K627" s="561">
        <f t="shared" si="41"/>
        <v>1</v>
      </c>
    </row>
    <row r="628" spans="5:11" ht="15">
      <c r="E628" s="288">
        <v>42962</v>
      </c>
      <c r="F628" s="249" t="s">
        <v>1421</v>
      </c>
      <c r="G628" s="314" t="s">
        <v>1420</v>
      </c>
      <c r="H628" s="307">
        <v>320</v>
      </c>
      <c r="I628" s="307">
        <v>6300</v>
      </c>
      <c r="J628" s="561">
        <f t="shared" si="40"/>
        <v>2016000</v>
      </c>
      <c r="K628" s="561">
        <f t="shared" si="41"/>
        <v>1</v>
      </c>
    </row>
    <row r="629" spans="5:11" ht="15">
      <c r="E629" s="288">
        <v>42962</v>
      </c>
      <c r="F629" s="249" t="s">
        <v>380</v>
      </c>
      <c r="G629" s="314" t="s">
        <v>1422</v>
      </c>
      <c r="H629" s="307">
        <v>6598</v>
      </c>
      <c r="I629" s="307">
        <v>12500</v>
      </c>
      <c r="J629" s="561">
        <f t="shared" si="40"/>
        <v>82475000</v>
      </c>
      <c r="K629" s="561">
        <f t="shared" si="41"/>
        <v>1</v>
      </c>
    </row>
    <row r="630" spans="5:11" ht="15">
      <c r="E630" s="288">
        <v>42965</v>
      </c>
      <c r="F630" s="249" t="s">
        <v>1424</v>
      </c>
      <c r="G630" s="314" t="s">
        <v>1423</v>
      </c>
      <c r="H630" s="307">
        <v>560</v>
      </c>
      <c r="I630" s="307">
        <v>15800</v>
      </c>
      <c r="J630" s="561">
        <f t="shared" si="40"/>
        <v>8848000</v>
      </c>
      <c r="K630" s="561">
        <f t="shared" si="41"/>
        <v>1</v>
      </c>
    </row>
    <row r="631" spans="5:11" ht="15">
      <c r="E631" s="288">
        <v>42965</v>
      </c>
      <c r="F631" s="249" t="s">
        <v>1217</v>
      </c>
      <c r="G631" s="314" t="s">
        <v>1425</v>
      </c>
      <c r="H631" s="307">
        <v>3045</v>
      </c>
      <c r="I631" s="307">
        <v>5900</v>
      </c>
      <c r="J631" s="561">
        <f t="shared" si="40"/>
        <v>17965500</v>
      </c>
      <c r="K631" s="561">
        <f t="shared" si="41"/>
        <v>1</v>
      </c>
    </row>
    <row r="632" spans="5:11" ht="15">
      <c r="E632" s="315">
        <v>42968</v>
      </c>
      <c r="F632" s="245" t="s">
        <v>274</v>
      </c>
      <c r="G632" s="314" t="s">
        <v>1426</v>
      </c>
      <c r="H632" s="307">
        <v>3400</v>
      </c>
      <c r="I632" s="307">
        <v>18500</v>
      </c>
      <c r="J632" s="561">
        <f t="shared" si="40"/>
        <v>62900000</v>
      </c>
      <c r="K632" s="561">
        <f t="shared" si="41"/>
        <v>1</v>
      </c>
    </row>
    <row r="633" spans="5:11" ht="15">
      <c r="E633" s="315">
        <v>42968</v>
      </c>
      <c r="F633" s="245" t="s">
        <v>273</v>
      </c>
      <c r="G633" s="314" t="s">
        <v>1426</v>
      </c>
      <c r="H633" s="307">
        <v>3200</v>
      </c>
      <c r="I633" s="307">
        <v>18500</v>
      </c>
      <c r="J633" s="561">
        <f t="shared" si="40"/>
        <v>59200000</v>
      </c>
      <c r="K633" s="561">
        <f t="shared" si="41"/>
        <v>1</v>
      </c>
    </row>
    <row r="634" spans="5:11" ht="15">
      <c r="E634" s="315">
        <v>42968</v>
      </c>
      <c r="F634" s="249" t="s">
        <v>1428</v>
      </c>
      <c r="G634" s="314" t="s">
        <v>1427</v>
      </c>
      <c r="H634" s="307">
        <v>3500</v>
      </c>
      <c r="I634" s="307">
        <v>330</v>
      </c>
      <c r="J634" s="561">
        <f t="shared" si="40"/>
        <v>1155000</v>
      </c>
      <c r="K634" s="561">
        <f t="shared" si="41"/>
        <v>1</v>
      </c>
    </row>
    <row r="635" spans="5:11" ht="15">
      <c r="E635" s="315">
        <v>42969</v>
      </c>
      <c r="F635" s="249" t="s">
        <v>1432</v>
      </c>
      <c r="G635" s="314" t="s">
        <v>1430</v>
      </c>
      <c r="H635" s="307">
        <v>500</v>
      </c>
      <c r="I635" s="307">
        <v>9740</v>
      </c>
      <c r="J635" s="561">
        <f t="shared" si="40"/>
        <v>4870000</v>
      </c>
      <c r="K635" s="561">
        <f t="shared" si="41"/>
        <v>1</v>
      </c>
    </row>
    <row r="636" spans="5:11" ht="15">
      <c r="E636" s="315">
        <v>42969</v>
      </c>
      <c r="F636" s="249" t="s">
        <v>1433</v>
      </c>
      <c r="G636" s="314" t="s">
        <v>1430</v>
      </c>
      <c r="H636" s="307">
        <v>500</v>
      </c>
      <c r="I636" s="307">
        <v>14390</v>
      </c>
      <c r="J636" s="561">
        <f t="shared" si="40"/>
        <v>7195000</v>
      </c>
      <c r="K636" s="561">
        <f t="shared" si="41"/>
        <v>1</v>
      </c>
    </row>
    <row r="637" spans="5:11" ht="15">
      <c r="E637" s="315">
        <v>42970</v>
      </c>
      <c r="F637" s="250" t="s">
        <v>1308</v>
      </c>
      <c r="G637" s="314" t="s">
        <v>1434</v>
      </c>
      <c r="H637" s="307">
        <v>1220</v>
      </c>
      <c r="I637" s="307">
        <v>10087</v>
      </c>
      <c r="J637" s="561">
        <f t="shared" si="40"/>
        <v>12306140</v>
      </c>
      <c r="K637" s="561">
        <f t="shared" si="41"/>
        <v>1</v>
      </c>
    </row>
    <row r="638" spans="5:11" ht="15">
      <c r="E638" s="315">
        <v>42970</v>
      </c>
      <c r="F638" s="250" t="s">
        <v>1435</v>
      </c>
      <c r="G638" s="314" t="s">
        <v>1434</v>
      </c>
      <c r="H638" s="307">
        <v>348</v>
      </c>
      <c r="I638" s="307">
        <v>8321</v>
      </c>
      <c r="J638" s="561">
        <f t="shared" si="40"/>
        <v>2895708</v>
      </c>
      <c r="K638" s="561">
        <f t="shared" si="41"/>
        <v>1</v>
      </c>
    </row>
    <row r="639" spans="5:11" ht="15">
      <c r="E639" s="315">
        <v>42970</v>
      </c>
      <c r="F639" s="250" t="s">
        <v>1436</v>
      </c>
      <c r="G639" s="314" t="s">
        <v>1434</v>
      </c>
      <c r="H639" s="307">
        <v>620</v>
      </c>
      <c r="I639" s="307">
        <v>13206</v>
      </c>
      <c r="J639" s="561">
        <f t="shared" si="40"/>
        <v>8187720</v>
      </c>
      <c r="K639" s="561">
        <f t="shared" si="41"/>
        <v>1</v>
      </c>
    </row>
    <row r="640" spans="5:11" ht="15">
      <c r="E640" s="315">
        <v>42970</v>
      </c>
      <c r="F640" s="250" t="s">
        <v>1437</v>
      </c>
      <c r="G640" s="314" t="s">
        <v>1434</v>
      </c>
      <c r="H640" s="307">
        <v>275</v>
      </c>
      <c r="I640" s="307">
        <v>10906</v>
      </c>
      <c r="J640" s="561">
        <f t="shared" si="40"/>
        <v>2999150</v>
      </c>
      <c r="K640" s="561">
        <f t="shared" si="41"/>
        <v>1</v>
      </c>
    </row>
    <row r="641" spans="5:11" ht="15">
      <c r="E641" s="315">
        <v>42970</v>
      </c>
      <c r="F641" s="250" t="s">
        <v>1438</v>
      </c>
      <c r="G641" s="314" t="s">
        <v>1434</v>
      </c>
      <c r="H641" s="307">
        <v>275</v>
      </c>
      <c r="I641" s="307">
        <v>9582</v>
      </c>
      <c r="J641" s="561">
        <f t="shared" si="40"/>
        <v>2635050</v>
      </c>
      <c r="K641" s="561">
        <f t="shared" si="41"/>
        <v>1</v>
      </c>
    </row>
    <row r="642" spans="5:11" ht="15">
      <c r="E642" s="315">
        <v>42970</v>
      </c>
      <c r="F642" s="673" t="s">
        <v>768</v>
      </c>
      <c r="G642" s="314" t="s">
        <v>1434</v>
      </c>
      <c r="H642" s="307">
        <v>1850</v>
      </c>
      <c r="I642" s="307">
        <v>400</v>
      </c>
      <c r="J642" s="561">
        <f t="shared" si="40"/>
        <v>740000</v>
      </c>
      <c r="K642" s="561">
        <f t="shared" si="41"/>
        <v>1</v>
      </c>
    </row>
    <row r="643" spans="5:11" ht="15">
      <c r="E643" s="315">
        <v>42971</v>
      </c>
      <c r="F643" s="249" t="s">
        <v>1217</v>
      </c>
      <c r="G643" s="314" t="s">
        <v>1440</v>
      </c>
      <c r="H643" s="307">
        <v>3045</v>
      </c>
      <c r="I643" s="307">
        <v>5900</v>
      </c>
      <c r="J643" s="561">
        <f t="shared" si="40"/>
        <v>17965500</v>
      </c>
      <c r="K643" s="561">
        <f t="shared" si="41"/>
        <v>1</v>
      </c>
    </row>
    <row r="644" spans="5:11" ht="15">
      <c r="E644" s="315">
        <v>42975</v>
      </c>
      <c r="F644" s="250" t="s">
        <v>1001</v>
      </c>
      <c r="G644" s="314" t="s">
        <v>1441</v>
      </c>
      <c r="H644" s="307">
        <v>8</v>
      </c>
      <c r="I644" s="307">
        <v>162791</v>
      </c>
      <c r="J644" s="561">
        <f t="shared" si="40"/>
        <v>1302328</v>
      </c>
      <c r="K644" s="561">
        <f t="shared" si="41"/>
        <v>1</v>
      </c>
    </row>
    <row r="645" spans="5:11" ht="15">
      <c r="E645" s="315">
        <v>42975</v>
      </c>
      <c r="F645" s="250" t="s">
        <v>567</v>
      </c>
      <c r="G645" s="314" t="s">
        <v>1441</v>
      </c>
      <c r="H645" s="307">
        <v>900</v>
      </c>
      <c r="I645" s="307">
        <v>3919</v>
      </c>
      <c r="J645" s="561">
        <f t="shared" si="40"/>
        <v>3527100</v>
      </c>
      <c r="K645" s="561">
        <f t="shared" si="41"/>
        <v>1</v>
      </c>
    </row>
    <row r="646" spans="5:11" ht="15">
      <c r="E646" s="315">
        <v>42975</v>
      </c>
      <c r="F646" s="250" t="s">
        <v>706</v>
      </c>
      <c r="G646" s="314" t="s">
        <v>1441</v>
      </c>
      <c r="H646" s="307">
        <v>8</v>
      </c>
      <c r="I646" s="307">
        <v>24581</v>
      </c>
      <c r="J646" s="561">
        <f t="shared" si="40"/>
        <v>196648</v>
      </c>
      <c r="K646" s="561">
        <f t="shared" si="41"/>
        <v>1</v>
      </c>
    </row>
    <row r="647" spans="5:11" ht="15">
      <c r="E647" s="315">
        <v>42975</v>
      </c>
      <c r="F647" s="250" t="s">
        <v>563</v>
      </c>
      <c r="G647" s="314" t="s">
        <v>1441</v>
      </c>
      <c r="H647" s="307">
        <v>100</v>
      </c>
      <c r="I647" s="307">
        <v>28785</v>
      </c>
      <c r="J647" s="561">
        <f t="shared" si="40"/>
        <v>2878500</v>
      </c>
      <c r="K647" s="561">
        <f t="shared" si="41"/>
        <v>1</v>
      </c>
    </row>
    <row r="648" spans="5:11" ht="15">
      <c r="E648" s="315">
        <v>42975</v>
      </c>
      <c r="F648" s="250" t="s">
        <v>629</v>
      </c>
      <c r="G648" s="314" t="s">
        <v>1441</v>
      </c>
      <c r="H648" s="307">
        <v>10</v>
      </c>
      <c r="I648" s="307">
        <v>25001</v>
      </c>
      <c r="J648" s="561">
        <f t="shared" si="40"/>
        <v>250010</v>
      </c>
      <c r="K648" s="561">
        <f t="shared" si="41"/>
        <v>1</v>
      </c>
    </row>
    <row r="649" spans="5:11" ht="15">
      <c r="E649" s="315">
        <v>42975</v>
      </c>
      <c r="F649" s="250" t="s">
        <v>504</v>
      </c>
      <c r="G649" s="314" t="s">
        <v>1441</v>
      </c>
      <c r="H649" s="307">
        <v>610</v>
      </c>
      <c r="I649" s="307">
        <v>32674</v>
      </c>
      <c r="J649" s="561">
        <f t="shared" si="40"/>
        <v>19931140</v>
      </c>
      <c r="K649" s="561">
        <f t="shared" si="41"/>
        <v>1</v>
      </c>
    </row>
    <row r="650" spans="5:11" ht="15">
      <c r="E650" s="315">
        <v>42975</v>
      </c>
      <c r="F650" s="249" t="s">
        <v>787</v>
      </c>
      <c r="G650" s="314" t="s">
        <v>1441</v>
      </c>
      <c r="H650" s="307">
        <v>1700</v>
      </c>
      <c r="I650" s="307">
        <v>3429</v>
      </c>
      <c r="J650" s="561">
        <f t="shared" si="40"/>
        <v>5829300</v>
      </c>
      <c r="K650" s="561">
        <f t="shared" si="41"/>
        <v>1</v>
      </c>
    </row>
    <row r="651" spans="5:11" ht="15">
      <c r="E651" s="315">
        <v>42975</v>
      </c>
      <c r="F651" s="250" t="s">
        <v>1443</v>
      </c>
      <c r="G651" s="314" t="s">
        <v>1441</v>
      </c>
      <c r="H651" s="307">
        <v>5000</v>
      </c>
      <c r="I651" s="307">
        <v>9848</v>
      </c>
      <c r="J651" s="561">
        <f t="shared" si="40"/>
        <v>49240000</v>
      </c>
      <c r="K651" s="561">
        <f t="shared" si="41"/>
        <v>1</v>
      </c>
    </row>
    <row r="652" spans="5:11" ht="15">
      <c r="E652" s="315">
        <v>42975</v>
      </c>
      <c r="F652" s="250" t="s">
        <v>1444</v>
      </c>
      <c r="G652" s="314" t="s">
        <v>1441</v>
      </c>
      <c r="H652" s="307">
        <v>2930</v>
      </c>
      <c r="I652" s="307">
        <v>18281</v>
      </c>
      <c r="J652" s="561">
        <f t="shared" si="40"/>
        <v>53563330</v>
      </c>
      <c r="K652" s="561">
        <f t="shared" si="41"/>
        <v>1</v>
      </c>
    </row>
    <row r="653" spans="5:11" ht="15">
      <c r="E653" s="315">
        <v>42978</v>
      </c>
      <c r="F653" s="249" t="s">
        <v>1217</v>
      </c>
      <c r="G653" s="314" t="s">
        <v>1445</v>
      </c>
      <c r="H653" s="307">
        <v>3045</v>
      </c>
      <c r="I653" s="307">
        <v>5900</v>
      </c>
      <c r="J653" s="561">
        <f t="shared" si="40"/>
        <v>17965500</v>
      </c>
      <c r="K653" s="561">
        <f t="shared" si="41"/>
        <v>1</v>
      </c>
    </row>
    <row r="654" spans="5:11" ht="15">
      <c r="E654" s="315">
        <v>42978</v>
      </c>
      <c r="F654" s="250" t="s">
        <v>1001</v>
      </c>
      <c r="G654" s="314" t="s">
        <v>1446</v>
      </c>
      <c r="H654" s="307">
        <v>10</v>
      </c>
      <c r="I654" s="307">
        <v>163645</v>
      </c>
      <c r="J654" s="561">
        <f t="shared" si="40"/>
        <v>1636450</v>
      </c>
      <c r="K654" s="561">
        <f t="shared" si="41"/>
        <v>1</v>
      </c>
    </row>
    <row r="655" spans="5:11" ht="15">
      <c r="E655" s="315">
        <v>42978</v>
      </c>
      <c r="F655" s="250" t="s">
        <v>691</v>
      </c>
      <c r="G655" s="314" t="s">
        <v>1446</v>
      </c>
      <c r="H655" s="307">
        <v>30</v>
      </c>
      <c r="I655" s="307">
        <v>55631</v>
      </c>
      <c r="J655" s="561">
        <f t="shared" si="40"/>
        <v>1668930</v>
      </c>
      <c r="K655" s="561">
        <f t="shared" si="41"/>
        <v>1</v>
      </c>
    </row>
    <row r="656" spans="5:11" ht="15">
      <c r="E656" s="315">
        <v>42978</v>
      </c>
      <c r="F656" s="250" t="s">
        <v>660</v>
      </c>
      <c r="G656" s="314" t="s">
        <v>1446</v>
      </c>
      <c r="H656" s="307">
        <v>10</v>
      </c>
      <c r="I656" s="307">
        <v>99293</v>
      </c>
      <c r="J656" s="561">
        <f t="shared" si="40"/>
        <v>992930</v>
      </c>
      <c r="K656" s="561">
        <f t="shared" si="41"/>
        <v>1</v>
      </c>
    </row>
    <row r="657" spans="5:11" ht="15">
      <c r="E657" s="315">
        <v>42978</v>
      </c>
      <c r="F657" s="250" t="s">
        <v>611</v>
      </c>
      <c r="G657" s="314" t="s">
        <v>1446</v>
      </c>
      <c r="H657" s="307">
        <v>84</v>
      </c>
      <c r="I657" s="307">
        <v>44590</v>
      </c>
      <c r="J657" s="561">
        <f t="shared" si="40"/>
        <v>3745560</v>
      </c>
      <c r="K657" s="561">
        <f t="shared" si="41"/>
        <v>1</v>
      </c>
    </row>
    <row r="658" spans="5:11" ht="15">
      <c r="E658" s="315">
        <v>42978</v>
      </c>
      <c r="F658" s="250" t="s">
        <v>1447</v>
      </c>
      <c r="G658" s="314" t="s">
        <v>1446</v>
      </c>
      <c r="H658" s="307">
        <v>16</v>
      </c>
      <c r="I658" s="307">
        <v>38927</v>
      </c>
      <c r="J658" s="561">
        <f t="shared" si="40"/>
        <v>622832</v>
      </c>
      <c r="K658" s="561">
        <f t="shared" si="41"/>
        <v>1</v>
      </c>
    </row>
    <row r="659" spans="5:11" ht="15">
      <c r="E659" s="315">
        <v>42978</v>
      </c>
      <c r="F659" s="250" t="s">
        <v>689</v>
      </c>
      <c r="G659" s="314" t="s">
        <v>1446</v>
      </c>
      <c r="H659" s="307">
        <v>10</v>
      </c>
      <c r="I659" s="307">
        <v>80162</v>
      </c>
      <c r="J659" s="561">
        <f t="shared" si="40"/>
        <v>801620</v>
      </c>
      <c r="K659" s="561">
        <f t="shared" si="41"/>
        <v>1</v>
      </c>
    </row>
    <row r="660" spans="5:11" ht="15">
      <c r="E660" s="315">
        <v>42978</v>
      </c>
      <c r="F660" s="250" t="s">
        <v>1448</v>
      </c>
      <c r="G660" s="314" t="s">
        <v>1446</v>
      </c>
      <c r="H660" s="307">
        <v>20</v>
      </c>
      <c r="I660" s="307">
        <v>150816</v>
      </c>
      <c r="J660" s="561">
        <f t="shared" si="40"/>
        <v>3016320</v>
      </c>
      <c r="K660" s="561">
        <f t="shared" si="41"/>
        <v>1</v>
      </c>
    </row>
    <row r="661" spans="5:11" ht="15">
      <c r="E661" s="315">
        <v>42978</v>
      </c>
      <c r="F661" s="250" t="s">
        <v>659</v>
      </c>
      <c r="G661" s="314" t="s">
        <v>1446</v>
      </c>
      <c r="H661" s="307">
        <v>4</v>
      </c>
      <c r="I661" s="307">
        <v>86685</v>
      </c>
      <c r="J661" s="561">
        <f t="shared" si="40"/>
        <v>346740</v>
      </c>
      <c r="K661" s="561">
        <f t="shared" si="41"/>
        <v>1</v>
      </c>
    </row>
    <row r="662" spans="5:11" ht="15">
      <c r="E662" s="315">
        <v>42978</v>
      </c>
      <c r="F662" s="250" t="s">
        <v>697</v>
      </c>
      <c r="G662" s="314" t="s">
        <v>1446</v>
      </c>
      <c r="H662" s="307">
        <v>12</v>
      </c>
      <c r="I662" s="307">
        <v>71511</v>
      </c>
      <c r="J662" s="561">
        <f t="shared" si="40"/>
        <v>858132</v>
      </c>
      <c r="K662" s="561">
        <f t="shared" si="41"/>
        <v>1</v>
      </c>
    </row>
    <row r="663" spans="5:11" ht="15">
      <c r="E663" s="315">
        <v>42978</v>
      </c>
      <c r="F663" s="250" t="s">
        <v>693</v>
      </c>
      <c r="G663" s="314" t="s">
        <v>1446</v>
      </c>
      <c r="H663" s="307">
        <v>20</v>
      </c>
      <c r="I663" s="307">
        <v>102971</v>
      </c>
      <c r="J663" s="561">
        <f t="shared" si="40"/>
        <v>2059420</v>
      </c>
      <c r="K663" s="561">
        <f t="shared" si="41"/>
        <v>1</v>
      </c>
    </row>
    <row r="664" spans="5:11" ht="15">
      <c r="E664" s="315">
        <v>42978</v>
      </c>
      <c r="F664" s="250" t="s">
        <v>1001</v>
      </c>
      <c r="G664" s="314" t="s">
        <v>1446</v>
      </c>
      <c r="H664" s="307">
        <v>8</v>
      </c>
      <c r="I664" s="307">
        <v>171986</v>
      </c>
      <c r="J664" s="561">
        <f t="shared" si="40"/>
        <v>1375888</v>
      </c>
      <c r="K664" s="561">
        <f t="shared" si="41"/>
        <v>1</v>
      </c>
    </row>
    <row r="665" spans="5:11" ht="15">
      <c r="E665" s="315">
        <v>42978</v>
      </c>
      <c r="F665" s="250" t="s">
        <v>1234</v>
      </c>
      <c r="G665" s="314" t="s">
        <v>1446</v>
      </c>
      <c r="H665" s="307">
        <v>11</v>
      </c>
      <c r="I665" s="307">
        <v>107567</v>
      </c>
      <c r="J665" s="561">
        <f t="shared" si="40"/>
        <v>1183237</v>
      </c>
      <c r="K665" s="561">
        <f t="shared" si="41"/>
        <v>1</v>
      </c>
    </row>
    <row r="666" spans="5:11" ht="15">
      <c r="E666" s="315">
        <v>42978</v>
      </c>
      <c r="F666" s="250" t="s">
        <v>698</v>
      </c>
      <c r="G666" s="314" t="s">
        <v>1446</v>
      </c>
      <c r="H666" s="307">
        <v>10</v>
      </c>
      <c r="I666" s="307">
        <v>142521</v>
      </c>
      <c r="J666" s="561">
        <f t="shared" si="40"/>
        <v>1425210</v>
      </c>
      <c r="K666" s="561">
        <f t="shared" si="41"/>
        <v>1</v>
      </c>
    </row>
    <row r="667" spans="5:11" ht="15">
      <c r="E667" s="315">
        <v>42978</v>
      </c>
      <c r="F667" s="250" t="s">
        <v>648</v>
      </c>
      <c r="G667" s="314" t="s">
        <v>1446</v>
      </c>
      <c r="H667" s="307">
        <v>7</v>
      </c>
      <c r="I667" s="307">
        <v>51742</v>
      </c>
      <c r="J667" s="561">
        <f t="shared" si="40"/>
        <v>362194</v>
      </c>
      <c r="K667" s="561">
        <f t="shared" si="41"/>
        <v>1</v>
      </c>
    </row>
    <row r="668" spans="5:11" ht="15">
      <c r="E668" s="315">
        <v>42978</v>
      </c>
      <c r="F668" s="250" t="s">
        <v>661</v>
      </c>
      <c r="G668" s="314" t="s">
        <v>1446</v>
      </c>
      <c r="H668" s="307">
        <v>7</v>
      </c>
      <c r="I668" s="307">
        <v>67422</v>
      </c>
      <c r="J668" s="561">
        <f t="shared" si="40"/>
        <v>471954</v>
      </c>
      <c r="K668" s="561">
        <f t="shared" si="41"/>
        <v>1</v>
      </c>
    </row>
    <row r="669" spans="5:11" ht="15">
      <c r="E669" s="315">
        <v>42978</v>
      </c>
      <c r="F669" s="250" t="s">
        <v>1449</v>
      </c>
      <c r="G669" s="314" t="s">
        <v>1446</v>
      </c>
      <c r="H669" s="307">
        <v>120</v>
      </c>
      <c r="I669" s="307">
        <v>93212</v>
      </c>
      <c r="J669" s="561">
        <f t="shared" si="40"/>
        <v>11185440</v>
      </c>
      <c r="K669" s="561">
        <f t="shared" si="41"/>
        <v>1</v>
      </c>
    </row>
    <row r="670" spans="5:11" ht="15">
      <c r="E670" s="315">
        <v>42978</v>
      </c>
      <c r="F670" s="250" t="s">
        <v>679</v>
      </c>
      <c r="G670" s="314" t="s">
        <v>1446</v>
      </c>
      <c r="H670" s="307">
        <v>24</v>
      </c>
      <c r="I670" s="307">
        <v>76726</v>
      </c>
      <c r="J670" s="561">
        <f t="shared" si="40"/>
        <v>1841424</v>
      </c>
      <c r="K670" s="561">
        <f t="shared" si="41"/>
        <v>1</v>
      </c>
    </row>
    <row r="671" spans="5:11" ht="15">
      <c r="E671" s="315">
        <v>42978</v>
      </c>
      <c r="F671" s="250" t="s">
        <v>737</v>
      </c>
      <c r="G671" s="314" t="s">
        <v>1446</v>
      </c>
      <c r="H671" s="307">
        <v>5</v>
      </c>
      <c r="I671" s="307">
        <v>99149</v>
      </c>
      <c r="J671" s="561">
        <f t="shared" si="40"/>
        <v>495745</v>
      </c>
      <c r="K671" s="561">
        <f t="shared" si="41"/>
        <v>1</v>
      </c>
    </row>
    <row r="672" spans="5:11" ht="15">
      <c r="E672" s="315">
        <v>42978</v>
      </c>
      <c r="F672" s="250" t="s">
        <v>1386</v>
      </c>
      <c r="G672" s="314" t="s">
        <v>1446</v>
      </c>
      <c r="H672" s="307">
        <v>25</v>
      </c>
      <c r="I672" s="307">
        <v>53896</v>
      </c>
      <c r="J672" s="561">
        <f t="shared" si="40"/>
        <v>1347400</v>
      </c>
      <c r="K672" s="561">
        <f t="shared" si="41"/>
        <v>1</v>
      </c>
    </row>
    <row r="673" spans="5:11" ht="15">
      <c r="E673" s="315">
        <v>42978</v>
      </c>
      <c r="F673" s="250" t="s">
        <v>619</v>
      </c>
      <c r="G673" s="314" t="s">
        <v>1446</v>
      </c>
      <c r="H673" s="307">
        <v>370</v>
      </c>
      <c r="I673" s="307">
        <v>20656</v>
      </c>
      <c r="J673" s="561">
        <f t="shared" si="40"/>
        <v>7642720</v>
      </c>
      <c r="K673" s="561">
        <f t="shared" si="41"/>
        <v>1</v>
      </c>
    </row>
    <row r="674" spans="5:11" ht="15">
      <c r="E674" s="315">
        <v>42978</v>
      </c>
      <c r="F674" s="250" t="s">
        <v>1388</v>
      </c>
      <c r="G674" s="314" t="s">
        <v>1446</v>
      </c>
      <c r="H674" s="307">
        <v>10</v>
      </c>
      <c r="I674" s="307">
        <v>44214</v>
      </c>
      <c r="J674" s="561">
        <f t="shared" si="40"/>
        <v>442140</v>
      </c>
      <c r="K674" s="561">
        <f t="shared" si="41"/>
        <v>1</v>
      </c>
    </row>
    <row r="675" spans="5:11" ht="15">
      <c r="E675" s="315">
        <v>42978</v>
      </c>
      <c r="F675" s="250" t="s">
        <v>1450</v>
      </c>
      <c r="G675" s="314" t="s">
        <v>1446</v>
      </c>
      <c r="H675" s="307">
        <v>20</v>
      </c>
      <c r="I675" s="307">
        <v>97993</v>
      </c>
      <c r="J675" s="561">
        <f t="shared" si="40"/>
        <v>1959860</v>
      </c>
      <c r="K675" s="561">
        <f t="shared" si="41"/>
        <v>1</v>
      </c>
    </row>
    <row r="676" spans="5:11" ht="15">
      <c r="E676" s="315">
        <v>42978</v>
      </c>
      <c r="F676" s="250" t="s">
        <v>624</v>
      </c>
      <c r="G676" s="314" t="s">
        <v>1446</v>
      </c>
      <c r="H676" s="307">
        <v>18</v>
      </c>
      <c r="I676" s="307">
        <v>36117</v>
      </c>
      <c r="J676" s="561">
        <f t="shared" si="40"/>
        <v>650106</v>
      </c>
      <c r="K676" s="561">
        <f t="shared" si="41"/>
        <v>1</v>
      </c>
    </row>
    <row r="677" spans="5:11" ht="15">
      <c r="E677" s="315">
        <v>42978</v>
      </c>
      <c r="F677" s="250" t="s">
        <v>1389</v>
      </c>
      <c r="G677" s="314" t="s">
        <v>1446</v>
      </c>
      <c r="H677" s="307">
        <v>25</v>
      </c>
      <c r="I677" s="307">
        <v>66321</v>
      </c>
      <c r="J677" s="561">
        <f t="shared" si="40"/>
        <v>1658025</v>
      </c>
      <c r="K677" s="561">
        <f t="shared" si="41"/>
        <v>1</v>
      </c>
    </row>
    <row r="678" spans="5:11" ht="15">
      <c r="E678" s="315">
        <v>42978</v>
      </c>
      <c r="F678" s="250" t="s">
        <v>1451</v>
      </c>
      <c r="G678" s="314" t="s">
        <v>1446</v>
      </c>
      <c r="H678" s="307">
        <v>7</v>
      </c>
      <c r="I678" s="307">
        <v>225657</v>
      </c>
      <c r="J678" s="561">
        <f t="shared" si="40"/>
        <v>1579599</v>
      </c>
      <c r="K678" s="561">
        <f t="shared" si="41"/>
        <v>1</v>
      </c>
    </row>
    <row r="679" spans="5:11" ht="15">
      <c r="E679" s="315">
        <v>42978</v>
      </c>
      <c r="F679" s="250" t="s">
        <v>690</v>
      </c>
      <c r="G679" s="314" t="s">
        <v>1446</v>
      </c>
      <c r="H679" s="307">
        <v>4</v>
      </c>
      <c r="I679" s="307">
        <v>128409</v>
      </c>
      <c r="J679" s="561">
        <f t="shared" si="40"/>
        <v>513636</v>
      </c>
      <c r="K679" s="561">
        <f t="shared" si="41"/>
        <v>1</v>
      </c>
    </row>
    <row r="680" spans="5:11" ht="15">
      <c r="E680" s="315">
        <v>42978</v>
      </c>
      <c r="F680" s="250" t="s">
        <v>1452</v>
      </c>
      <c r="G680" s="314" t="s">
        <v>1446</v>
      </c>
      <c r="H680" s="307">
        <v>20</v>
      </c>
      <c r="I680" s="307">
        <v>77850</v>
      </c>
      <c r="J680" s="561">
        <f t="shared" ref="J680:J743" si="42">I680*H680-D680*C680</f>
        <v>1557000</v>
      </c>
      <c r="K680" s="561">
        <f t="shared" ref="K680:K743" si="43">IF(J680&gt;50000,1,0)</f>
        <v>1</v>
      </c>
    </row>
    <row r="681" spans="5:11" ht="15">
      <c r="E681" s="315">
        <v>42978</v>
      </c>
      <c r="F681" s="250" t="s">
        <v>1387</v>
      </c>
      <c r="G681" s="314" t="s">
        <v>1446</v>
      </c>
      <c r="H681" s="307">
        <v>5</v>
      </c>
      <c r="I681" s="307">
        <v>102224</v>
      </c>
      <c r="J681" s="561">
        <f t="shared" si="42"/>
        <v>511120</v>
      </c>
      <c r="K681" s="561">
        <f t="shared" si="43"/>
        <v>1</v>
      </c>
    </row>
    <row r="682" spans="5:11" ht="15">
      <c r="E682" s="315">
        <v>42978</v>
      </c>
      <c r="F682" s="250" t="s">
        <v>1385</v>
      </c>
      <c r="G682" s="314" t="s">
        <v>1446</v>
      </c>
      <c r="H682" s="307">
        <v>112</v>
      </c>
      <c r="I682" s="307">
        <v>27666</v>
      </c>
      <c r="J682" s="561">
        <f t="shared" si="42"/>
        <v>3098592</v>
      </c>
      <c r="K682" s="561">
        <f t="shared" si="43"/>
        <v>1</v>
      </c>
    </row>
    <row r="683" spans="5:11" ht="15">
      <c r="E683" s="315">
        <v>42978</v>
      </c>
      <c r="F683" s="250" t="s">
        <v>625</v>
      </c>
      <c r="G683" s="314" t="s">
        <v>1446</v>
      </c>
      <c r="H683" s="307">
        <v>12</v>
      </c>
      <c r="I683" s="307">
        <v>38917</v>
      </c>
      <c r="J683" s="561">
        <f t="shared" si="42"/>
        <v>467004</v>
      </c>
      <c r="K683" s="561">
        <f t="shared" si="43"/>
        <v>1</v>
      </c>
    </row>
    <row r="684" spans="5:11" ht="15">
      <c r="E684" s="315">
        <v>42978</v>
      </c>
      <c r="F684" s="250" t="s">
        <v>1453</v>
      </c>
      <c r="G684" s="314" t="s">
        <v>1446</v>
      </c>
      <c r="H684" s="307">
        <v>16</v>
      </c>
      <c r="I684" s="307">
        <v>40495</v>
      </c>
      <c r="J684" s="561">
        <f t="shared" si="42"/>
        <v>647920</v>
      </c>
      <c r="K684" s="561">
        <f t="shared" si="43"/>
        <v>1</v>
      </c>
    </row>
    <row r="685" spans="5:11" ht="15">
      <c r="E685" s="315">
        <v>42978</v>
      </c>
      <c r="F685" s="250" t="s">
        <v>1454</v>
      </c>
      <c r="G685" s="314" t="s">
        <v>1446</v>
      </c>
      <c r="H685" s="307">
        <v>10</v>
      </c>
      <c r="I685" s="307">
        <v>120957</v>
      </c>
      <c r="J685" s="561">
        <f t="shared" si="42"/>
        <v>1209570</v>
      </c>
      <c r="K685" s="561">
        <f t="shared" si="43"/>
        <v>1</v>
      </c>
    </row>
    <row r="686" spans="5:11" ht="15">
      <c r="E686" s="315">
        <v>42978</v>
      </c>
      <c r="F686" s="250" t="s">
        <v>1455</v>
      </c>
      <c r="G686" s="314" t="s">
        <v>1446</v>
      </c>
      <c r="H686" s="307">
        <v>24</v>
      </c>
      <c r="I686" s="307">
        <v>40892</v>
      </c>
      <c r="J686" s="561">
        <f t="shared" si="42"/>
        <v>981408</v>
      </c>
      <c r="K686" s="561">
        <f t="shared" si="43"/>
        <v>1</v>
      </c>
    </row>
    <row r="687" spans="5:11" ht="15">
      <c r="E687" s="315">
        <v>42978</v>
      </c>
      <c r="F687" s="250" t="s">
        <v>1456</v>
      </c>
      <c r="G687" s="314" t="s">
        <v>1446</v>
      </c>
      <c r="H687" s="307">
        <v>12</v>
      </c>
      <c r="I687" s="307">
        <v>67403</v>
      </c>
      <c r="J687" s="561">
        <f t="shared" si="42"/>
        <v>808836</v>
      </c>
      <c r="K687" s="561">
        <f t="shared" si="43"/>
        <v>1</v>
      </c>
    </row>
    <row r="688" spans="5:11" ht="15">
      <c r="E688" s="315">
        <v>42978</v>
      </c>
      <c r="F688" s="250" t="s">
        <v>1240</v>
      </c>
      <c r="G688" s="314" t="s">
        <v>1446</v>
      </c>
      <c r="H688" s="307">
        <v>16</v>
      </c>
      <c r="I688" s="307">
        <v>65280</v>
      </c>
      <c r="J688" s="561">
        <f t="shared" si="42"/>
        <v>1044480</v>
      </c>
      <c r="K688" s="561">
        <f t="shared" si="43"/>
        <v>1</v>
      </c>
    </row>
    <row r="689" spans="5:11" ht="15">
      <c r="E689" s="315">
        <v>42978</v>
      </c>
      <c r="F689" s="250" t="s">
        <v>1457</v>
      </c>
      <c r="G689" s="314" t="s">
        <v>1446</v>
      </c>
      <c r="H689" s="307">
        <v>16</v>
      </c>
      <c r="I689" s="307">
        <v>46057</v>
      </c>
      <c r="J689" s="561">
        <f t="shared" si="42"/>
        <v>736912</v>
      </c>
      <c r="K689" s="561">
        <f t="shared" si="43"/>
        <v>1</v>
      </c>
    </row>
    <row r="690" spans="5:11" ht="15">
      <c r="E690" s="315">
        <v>42978</v>
      </c>
      <c r="F690" s="250" t="s">
        <v>1458</v>
      </c>
      <c r="G690" s="314" t="s">
        <v>1446</v>
      </c>
      <c r="H690" s="307">
        <v>10</v>
      </c>
      <c r="I690" s="307">
        <v>333792</v>
      </c>
      <c r="J690" s="561">
        <f t="shared" si="42"/>
        <v>3337920</v>
      </c>
      <c r="K690" s="561">
        <f t="shared" si="43"/>
        <v>1</v>
      </c>
    </row>
    <row r="691" spans="5:11" ht="15">
      <c r="E691" s="315">
        <v>42978</v>
      </c>
      <c r="F691" s="250" t="s">
        <v>1459</v>
      </c>
      <c r="G691" s="314" t="s">
        <v>1446</v>
      </c>
      <c r="H691" s="307">
        <v>50</v>
      </c>
      <c r="I691" s="307">
        <v>41886</v>
      </c>
      <c r="J691" s="561">
        <f t="shared" si="42"/>
        <v>2094300</v>
      </c>
      <c r="K691" s="561">
        <f t="shared" si="43"/>
        <v>1</v>
      </c>
    </row>
    <row r="692" spans="5:11" ht="15">
      <c r="E692" s="315">
        <v>42978</v>
      </c>
      <c r="F692" s="250" t="s">
        <v>1460</v>
      </c>
      <c r="G692" s="314" t="s">
        <v>1446</v>
      </c>
      <c r="H692" s="307">
        <v>30</v>
      </c>
      <c r="I692" s="307">
        <v>43640</v>
      </c>
      <c r="J692" s="561">
        <f t="shared" si="42"/>
        <v>1309200</v>
      </c>
      <c r="K692" s="561">
        <f t="shared" si="43"/>
        <v>1</v>
      </c>
    </row>
    <row r="693" spans="5:11" ht="15">
      <c r="E693" s="315">
        <v>42978</v>
      </c>
      <c r="F693" s="250" t="s">
        <v>1461</v>
      </c>
      <c r="G693" s="314" t="s">
        <v>1446</v>
      </c>
      <c r="H693" s="307">
        <v>10</v>
      </c>
      <c r="I693" s="307">
        <v>223719</v>
      </c>
      <c r="J693" s="561">
        <f t="shared" si="42"/>
        <v>2237190</v>
      </c>
      <c r="K693" s="561">
        <f t="shared" si="43"/>
        <v>1</v>
      </c>
    </row>
    <row r="694" spans="5:11" ht="15">
      <c r="E694" s="315">
        <v>42978</v>
      </c>
      <c r="F694" s="250" t="s">
        <v>1462</v>
      </c>
      <c r="G694" s="314" t="s">
        <v>1446</v>
      </c>
      <c r="H694" s="307">
        <v>20</v>
      </c>
      <c r="I694" s="307">
        <v>44531</v>
      </c>
      <c r="J694" s="561">
        <f t="shared" si="42"/>
        <v>890620</v>
      </c>
      <c r="K694" s="561">
        <f t="shared" si="43"/>
        <v>1</v>
      </c>
    </row>
    <row r="695" spans="5:11" ht="15">
      <c r="E695" s="315">
        <v>42978</v>
      </c>
      <c r="F695" s="250" t="s">
        <v>1463</v>
      </c>
      <c r="G695" s="314" t="s">
        <v>1446</v>
      </c>
      <c r="H695" s="307">
        <v>10</v>
      </c>
      <c r="I695" s="307">
        <v>84717</v>
      </c>
      <c r="J695" s="561">
        <f t="shared" si="42"/>
        <v>847170</v>
      </c>
      <c r="K695" s="561">
        <f t="shared" si="43"/>
        <v>1</v>
      </c>
    </row>
    <row r="696" spans="5:11" ht="15">
      <c r="E696" s="315">
        <v>42978</v>
      </c>
      <c r="F696" s="250" t="s">
        <v>1464</v>
      </c>
      <c r="G696" s="314" t="s">
        <v>1446</v>
      </c>
      <c r="H696" s="307">
        <v>16</v>
      </c>
      <c r="I696" s="307">
        <v>75556</v>
      </c>
      <c r="J696" s="561">
        <f t="shared" si="42"/>
        <v>1208896</v>
      </c>
      <c r="K696" s="561">
        <f t="shared" si="43"/>
        <v>1</v>
      </c>
    </row>
    <row r="697" spans="5:11" ht="15">
      <c r="E697" s="315">
        <v>42978</v>
      </c>
      <c r="F697" s="250" t="s">
        <v>1465</v>
      </c>
      <c r="G697" s="314" t="s">
        <v>1446</v>
      </c>
      <c r="H697" s="307">
        <v>20</v>
      </c>
      <c r="I697" s="307">
        <v>92017</v>
      </c>
      <c r="J697" s="561">
        <f t="shared" si="42"/>
        <v>1840340</v>
      </c>
      <c r="K697" s="561">
        <f t="shared" si="43"/>
        <v>1</v>
      </c>
    </row>
    <row r="698" spans="5:11" ht="15">
      <c r="E698" s="315">
        <v>42978</v>
      </c>
      <c r="F698" s="250" t="s">
        <v>1466</v>
      </c>
      <c r="G698" s="314" t="s">
        <v>1446</v>
      </c>
      <c r="H698" s="307">
        <v>20</v>
      </c>
      <c r="I698" s="307">
        <v>38902</v>
      </c>
      <c r="J698" s="561">
        <f t="shared" si="42"/>
        <v>778040</v>
      </c>
      <c r="K698" s="561">
        <f t="shared" si="43"/>
        <v>1</v>
      </c>
    </row>
    <row r="699" spans="5:11" ht="15">
      <c r="E699" s="315">
        <v>42978</v>
      </c>
      <c r="F699" s="250" t="s">
        <v>1467</v>
      </c>
      <c r="G699" s="314" t="s">
        <v>1446</v>
      </c>
      <c r="H699" s="307">
        <v>2</v>
      </c>
      <c r="I699" s="307">
        <v>59920</v>
      </c>
      <c r="J699" s="561">
        <f t="shared" si="42"/>
        <v>119840</v>
      </c>
      <c r="K699" s="561">
        <f t="shared" si="43"/>
        <v>1</v>
      </c>
    </row>
    <row r="700" spans="5:11" ht="15">
      <c r="E700" s="315">
        <v>42978</v>
      </c>
      <c r="F700" s="250" t="s">
        <v>1468</v>
      </c>
      <c r="G700" s="314" t="s">
        <v>1446</v>
      </c>
      <c r="H700" s="307">
        <v>2</v>
      </c>
      <c r="I700" s="307">
        <v>59920</v>
      </c>
      <c r="J700" s="561">
        <f t="shared" si="42"/>
        <v>119840</v>
      </c>
      <c r="K700" s="561">
        <f t="shared" si="43"/>
        <v>1</v>
      </c>
    </row>
    <row r="701" spans="5:11" ht="15">
      <c r="E701" s="315">
        <v>42978</v>
      </c>
      <c r="F701" s="250" t="s">
        <v>1469</v>
      </c>
      <c r="G701" s="314" t="s">
        <v>1446</v>
      </c>
      <c r="H701" s="307">
        <v>2</v>
      </c>
      <c r="I701" s="307">
        <v>59920</v>
      </c>
      <c r="J701" s="561">
        <f t="shared" si="42"/>
        <v>119840</v>
      </c>
      <c r="K701" s="561">
        <f t="shared" si="43"/>
        <v>1</v>
      </c>
    </row>
    <row r="702" spans="5:11" ht="15">
      <c r="E702" s="315">
        <v>42978</v>
      </c>
      <c r="F702" s="250" t="s">
        <v>1470</v>
      </c>
      <c r="G702" s="314" t="s">
        <v>1446</v>
      </c>
      <c r="H702" s="307">
        <v>14</v>
      </c>
      <c r="I702" s="307">
        <v>59920</v>
      </c>
      <c r="J702" s="561">
        <f t="shared" si="42"/>
        <v>838880</v>
      </c>
      <c r="K702" s="561">
        <f t="shared" si="43"/>
        <v>1</v>
      </c>
    </row>
    <row r="703" spans="5:11" ht="15">
      <c r="E703" s="315">
        <v>42978</v>
      </c>
      <c r="F703" s="250" t="s">
        <v>1471</v>
      </c>
      <c r="G703" s="314" t="s">
        <v>1446</v>
      </c>
      <c r="H703" s="307">
        <v>2</v>
      </c>
      <c r="I703" s="307">
        <v>119840</v>
      </c>
      <c r="J703" s="561">
        <f t="shared" si="42"/>
        <v>239680</v>
      </c>
      <c r="K703" s="561">
        <f t="shared" si="43"/>
        <v>1</v>
      </c>
    </row>
    <row r="704" spans="5:11" ht="15">
      <c r="E704" s="315">
        <v>42978</v>
      </c>
      <c r="F704" s="250" t="s">
        <v>1472</v>
      </c>
      <c r="G704" s="314" t="s">
        <v>1446</v>
      </c>
      <c r="H704" s="307">
        <v>2</v>
      </c>
      <c r="I704" s="307">
        <v>119840</v>
      </c>
      <c r="J704" s="561">
        <f t="shared" si="42"/>
        <v>239680</v>
      </c>
      <c r="K704" s="561">
        <f t="shared" si="43"/>
        <v>1</v>
      </c>
    </row>
    <row r="705" spans="5:11" ht="15">
      <c r="E705" s="315">
        <v>42978</v>
      </c>
      <c r="F705" s="250" t="s">
        <v>619</v>
      </c>
      <c r="G705" s="314" t="s">
        <v>1446</v>
      </c>
      <c r="H705" s="307">
        <v>60</v>
      </c>
      <c r="I705" s="307">
        <v>31617</v>
      </c>
      <c r="J705" s="561">
        <f t="shared" si="42"/>
        <v>1897020</v>
      </c>
      <c r="K705" s="561">
        <f t="shared" si="43"/>
        <v>1</v>
      </c>
    </row>
    <row r="706" spans="5:11" ht="15">
      <c r="E706" s="315">
        <v>42978</v>
      </c>
      <c r="F706" s="250" t="s">
        <v>750</v>
      </c>
      <c r="G706" s="314" t="s">
        <v>1446</v>
      </c>
      <c r="H706" s="307">
        <v>30</v>
      </c>
      <c r="I706" s="307">
        <v>72733</v>
      </c>
      <c r="J706" s="561">
        <f t="shared" si="42"/>
        <v>2181990</v>
      </c>
      <c r="K706" s="561">
        <f t="shared" si="43"/>
        <v>1</v>
      </c>
    </row>
    <row r="707" spans="5:11" ht="15">
      <c r="E707" s="315">
        <v>42978</v>
      </c>
      <c r="F707" s="250" t="s">
        <v>1389</v>
      </c>
      <c r="G707" s="314" t="s">
        <v>1446</v>
      </c>
      <c r="H707" s="307">
        <v>11</v>
      </c>
      <c r="I707" s="307">
        <v>41141</v>
      </c>
      <c r="J707" s="561">
        <f t="shared" si="42"/>
        <v>452551</v>
      </c>
      <c r="K707" s="561">
        <f t="shared" si="43"/>
        <v>1</v>
      </c>
    </row>
    <row r="708" spans="5:11" ht="15">
      <c r="E708" s="315">
        <v>42978</v>
      </c>
      <c r="F708" s="250" t="s">
        <v>1473</v>
      </c>
      <c r="G708" s="314" t="s">
        <v>1446</v>
      </c>
      <c r="H708" s="307">
        <v>4</v>
      </c>
      <c r="I708" s="307">
        <v>64201</v>
      </c>
      <c r="J708" s="561">
        <f t="shared" si="42"/>
        <v>256804</v>
      </c>
      <c r="K708" s="561">
        <f t="shared" si="43"/>
        <v>1</v>
      </c>
    </row>
    <row r="709" spans="5:11" ht="15">
      <c r="E709" s="315">
        <v>42978</v>
      </c>
      <c r="F709" s="250" t="s">
        <v>793</v>
      </c>
      <c r="G709" s="314" t="s">
        <v>1446</v>
      </c>
      <c r="H709" s="307">
        <v>5</v>
      </c>
      <c r="I709" s="307">
        <v>101080</v>
      </c>
      <c r="J709" s="561">
        <f t="shared" si="42"/>
        <v>505400</v>
      </c>
      <c r="K709" s="561">
        <f t="shared" si="43"/>
        <v>1</v>
      </c>
    </row>
    <row r="710" spans="5:11" ht="15">
      <c r="E710" s="315">
        <v>42978</v>
      </c>
      <c r="F710" s="250" t="s">
        <v>1474</v>
      </c>
      <c r="G710" s="314" t="s">
        <v>1446</v>
      </c>
      <c r="H710" s="307">
        <v>5</v>
      </c>
      <c r="I710" s="307">
        <v>57616</v>
      </c>
      <c r="J710" s="561">
        <f t="shared" si="42"/>
        <v>288080</v>
      </c>
      <c r="K710" s="561">
        <f t="shared" si="43"/>
        <v>1</v>
      </c>
    </row>
    <row r="711" spans="5:11" ht="15">
      <c r="E711" s="315">
        <v>42978</v>
      </c>
      <c r="F711" s="250" t="s">
        <v>1475</v>
      </c>
      <c r="G711" s="314" t="s">
        <v>1446</v>
      </c>
      <c r="H711" s="307">
        <v>4</v>
      </c>
      <c r="I711" s="307">
        <v>89933</v>
      </c>
      <c r="J711" s="561">
        <f t="shared" si="42"/>
        <v>359732</v>
      </c>
      <c r="K711" s="561">
        <f t="shared" si="43"/>
        <v>1</v>
      </c>
    </row>
    <row r="712" spans="5:11" ht="15">
      <c r="E712" s="315">
        <v>42978</v>
      </c>
      <c r="F712" s="250" t="s">
        <v>646</v>
      </c>
      <c r="G712" s="314" t="s">
        <v>1446</v>
      </c>
      <c r="H712" s="307">
        <v>6</v>
      </c>
      <c r="I712" s="307">
        <v>48993</v>
      </c>
      <c r="J712" s="561">
        <f t="shared" si="42"/>
        <v>293958</v>
      </c>
      <c r="K712" s="561">
        <f t="shared" si="43"/>
        <v>1</v>
      </c>
    </row>
    <row r="713" spans="5:11" ht="15">
      <c r="E713" s="315">
        <v>42978</v>
      </c>
      <c r="F713" s="250" t="s">
        <v>1476</v>
      </c>
      <c r="G713" s="314" t="s">
        <v>1446</v>
      </c>
      <c r="H713" s="307">
        <v>31</v>
      </c>
      <c r="I713" s="307">
        <v>26738</v>
      </c>
      <c r="J713" s="561">
        <f t="shared" si="42"/>
        <v>828878</v>
      </c>
      <c r="K713" s="561">
        <f t="shared" si="43"/>
        <v>1</v>
      </c>
    </row>
    <row r="714" spans="5:11" ht="15">
      <c r="E714" s="315">
        <v>42978</v>
      </c>
      <c r="F714" s="250" t="s">
        <v>1477</v>
      </c>
      <c r="G714" s="314" t="s">
        <v>1446</v>
      </c>
      <c r="H714" s="307">
        <v>31</v>
      </c>
      <c r="I714" s="307">
        <v>63680</v>
      </c>
      <c r="J714" s="561">
        <f t="shared" si="42"/>
        <v>1974080</v>
      </c>
      <c r="K714" s="561">
        <f t="shared" si="43"/>
        <v>1</v>
      </c>
    </row>
    <row r="715" spans="5:11" ht="15">
      <c r="E715" s="315">
        <v>42978</v>
      </c>
      <c r="F715" s="250" t="s">
        <v>1478</v>
      </c>
      <c r="G715" s="314" t="s">
        <v>1446</v>
      </c>
      <c r="H715" s="307">
        <v>62</v>
      </c>
      <c r="I715" s="307">
        <v>35593</v>
      </c>
      <c r="J715" s="561">
        <f t="shared" si="42"/>
        <v>2206766</v>
      </c>
      <c r="K715" s="561">
        <f t="shared" si="43"/>
        <v>1</v>
      </c>
    </row>
    <row r="716" spans="5:11" ht="15">
      <c r="E716" s="315">
        <v>42978</v>
      </c>
      <c r="F716" s="250" t="s">
        <v>792</v>
      </c>
      <c r="G716" s="314" t="s">
        <v>1446</v>
      </c>
      <c r="H716" s="307">
        <v>12</v>
      </c>
      <c r="I716" s="307">
        <v>30176</v>
      </c>
      <c r="J716" s="561">
        <f t="shared" si="42"/>
        <v>362112</v>
      </c>
      <c r="K716" s="561">
        <f t="shared" si="43"/>
        <v>1</v>
      </c>
    </row>
    <row r="717" spans="5:11" ht="15">
      <c r="E717" s="315">
        <v>42978</v>
      </c>
      <c r="F717" s="250" t="s">
        <v>1479</v>
      </c>
      <c r="G717" s="314" t="s">
        <v>1446</v>
      </c>
      <c r="H717" s="307">
        <v>25</v>
      </c>
      <c r="I717" s="307">
        <v>23728</v>
      </c>
      <c r="J717" s="561">
        <f t="shared" si="42"/>
        <v>593200</v>
      </c>
      <c r="K717" s="561">
        <f t="shared" si="43"/>
        <v>1</v>
      </c>
    </row>
    <row r="718" spans="5:11" ht="15">
      <c r="E718" s="315">
        <v>42978</v>
      </c>
      <c r="F718" s="250" t="s">
        <v>754</v>
      </c>
      <c r="G718" s="314" t="s">
        <v>1446</v>
      </c>
      <c r="H718" s="307">
        <v>18</v>
      </c>
      <c r="I718" s="307">
        <v>67136</v>
      </c>
      <c r="J718" s="561">
        <f t="shared" si="42"/>
        <v>1208448</v>
      </c>
      <c r="K718" s="561">
        <f t="shared" si="43"/>
        <v>1</v>
      </c>
    </row>
    <row r="719" spans="5:11" ht="15">
      <c r="E719" s="315">
        <v>42978</v>
      </c>
      <c r="F719" s="250" t="s">
        <v>1480</v>
      </c>
      <c r="G719" s="314" t="s">
        <v>1446</v>
      </c>
      <c r="H719" s="307">
        <v>22</v>
      </c>
      <c r="I719" s="307">
        <v>58631</v>
      </c>
      <c r="J719" s="561">
        <f t="shared" si="42"/>
        <v>1289882</v>
      </c>
      <c r="K719" s="561">
        <f t="shared" si="43"/>
        <v>1</v>
      </c>
    </row>
    <row r="720" spans="5:11" ht="15">
      <c r="E720" s="315">
        <v>42978</v>
      </c>
      <c r="F720" s="250" t="s">
        <v>627</v>
      </c>
      <c r="G720" s="314" t="s">
        <v>1446</v>
      </c>
      <c r="H720" s="307">
        <v>48</v>
      </c>
      <c r="I720" s="307">
        <v>52020</v>
      </c>
      <c r="J720" s="561">
        <f t="shared" si="42"/>
        <v>2496960</v>
      </c>
      <c r="K720" s="561">
        <f t="shared" si="43"/>
        <v>1</v>
      </c>
    </row>
    <row r="721" spans="5:11" ht="15">
      <c r="E721" s="315">
        <v>42978</v>
      </c>
      <c r="F721" s="250" t="s">
        <v>737</v>
      </c>
      <c r="G721" s="314" t="s">
        <v>1446</v>
      </c>
      <c r="H721" s="307">
        <v>20</v>
      </c>
      <c r="I721" s="307">
        <v>94341</v>
      </c>
      <c r="J721" s="561">
        <f t="shared" si="42"/>
        <v>1886820</v>
      </c>
      <c r="K721" s="561">
        <f t="shared" si="43"/>
        <v>1</v>
      </c>
    </row>
    <row r="722" spans="5:11" ht="15">
      <c r="E722" s="315">
        <v>42978</v>
      </c>
      <c r="F722" s="250" t="s">
        <v>1481</v>
      </c>
      <c r="G722" s="314" t="s">
        <v>1446</v>
      </c>
      <c r="H722" s="307">
        <v>6</v>
      </c>
      <c r="I722" s="307">
        <v>154818</v>
      </c>
      <c r="J722" s="561">
        <f t="shared" si="42"/>
        <v>928908</v>
      </c>
      <c r="K722" s="561">
        <f t="shared" si="43"/>
        <v>1</v>
      </c>
    </row>
    <row r="723" spans="5:11" ht="15">
      <c r="E723" s="315">
        <v>42978</v>
      </c>
      <c r="F723" s="250" t="s">
        <v>274</v>
      </c>
      <c r="G723" s="314" t="s">
        <v>1446</v>
      </c>
      <c r="H723" s="307">
        <v>1253</v>
      </c>
      <c r="I723" s="307">
        <v>11450</v>
      </c>
      <c r="J723" s="561">
        <f t="shared" si="42"/>
        <v>14346850</v>
      </c>
      <c r="K723" s="561">
        <f t="shared" si="43"/>
        <v>1</v>
      </c>
    </row>
    <row r="724" spans="5:11" ht="15">
      <c r="E724" s="315">
        <v>42978</v>
      </c>
      <c r="F724" s="250" t="s">
        <v>619</v>
      </c>
      <c r="G724" s="314" t="s">
        <v>1446</v>
      </c>
      <c r="H724" s="307">
        <v>12</v>
      </c>
      <c r="I724" s="307">
        <v>33298</v>
      </c>
      <c r="J724" s="561">
        <f t="shared" si="42"/>
        <v>399576</v>
      </c>
      <c r="K724" s="561">
        <f t="shared" si="43"/>
        <v>1</v>
      </c>
    </row>
    <row r="725" spans="5:11" ht="15">
      <c r="E725" s="315">
        <v>42978</v>
      </c>
      <c r="F725" s="250" t="s">
        <v>708</v>
      </c>
      <c r="G725" s="314" t="s">
        <v>1446</v>
      </c>
      <c r="H725" s="307">
        <v>48</v>
      </c>
      <c r="I725" s="307">
        <v>36109</v>
      </c>
      <c r="J725" s="561">
        <f t="shared" si="42"/>
        <v>1733232</v>
      </c>
      <c r="K725" s="561">
        <f t="shared" si="43"/>
        <v>1</v>
      </c>
    </row>
    <row r="726" spans="5:11" ht="15">
      <c r="E726" s="315">
        <v>42978</v>
      </c>
      <c r="F726" s="250" t="s">
        <v>1225</v>
      </c>
      <c r="G726" s="314" t="s">
        <v>1446</v>
      </c>
      <c r="H726" s="307">
        <v>24</v>
      </c>
      <c r="I726" s="307">
        <v>21068</v>
      </c>
      <c r="J726" s="561">
        <f t="shared" si="42"/>
        <v>505632</v>
      </c>
      <c r="K726" s="561">
        <f t="shared" si="43"/>
        <v>1</v>
      </c>
    </row>
    <row r="727" spans="5:11" ht="15">
      <c r="E727" s="315">
        <v>42978</v>
      </c>
      <c r="F727" s="250" t="s">
        <v>704</v>
      </c>
      <c r="G727" s="314" t="s">
        <v>1446</v>
      </c>
      <c r="H727" s="307">
        <v>110</v>
      </c>
      <c r="I727" s="307">
        <v>17965</v>
      </c>
      <c r="J727" s="561">
        <f t="shared" si="42"/>
        <v>1976150</v>
      </c>
      <c r="K727" s="561">
        <f t="shared" si="43"/>
        <v>1</v>
      </c>
    </row>
    <row r="728" spans="5:11" ht="15">
      <c r="E728" s="315">
        <v>42978</v>
      </c>
      <c r="F728" s="250" t="s">
        <v>1245</v>
      </c>
      <c r="G728" s="314" t="s">
        <v>1446</v>
      </c>
      <c r="H728" s="307">
        <v>18</v>
      </c>
      <c r="I728" s="307">
        <v>15772</v>
      </c>
      <c r="J728" s="561">
        <f t="shared" si="42"/>
        <v>283896</v>
      </c>
      <c r="K728" s="561">
        <f t="shared" si="43"/>
        <v>1</v>
      </c>
    </row>
    <row r="729" spans="5:11" ht="15">
      <c r="E729" s="315">
        <v>42978</v>
      </c>
      <c r="F729" s="250" t="s">
        <v>709</v>
      </c>
      <c r="G729" s="314" t="s">
        <v>1446</v>
      </c>
      <c r="H729" s="307">
        <v>60</v>
      </c>
      <c r="I729" s="307">
        <v>40855</v>
      </c>
      <c r="J729" s="561">
        <f t="shared" si="42"/>
        <v>2451300</v>
      </c>
      <c r="K729" s="561">
        <f t="shared" si="43"/>
        <v>1</v>
      </c>
    </row>
    <row r="730" spans="5:11" ht="15">
      <c r="E730" s="315">
        <v>42978</v>
      </c>
      <c r="F730" s="250" t="s">
        <v>1482</v>
      </c>
      <c r="G730" s="314" t="s">
        <v>1446</v>
      </c>
      <c r="H730" s="307">
        <v>10</v>
      </c>
      <c r="I730" s="307">
        <v>20493</v>
      </c>
      <c r="J730" s="561">
        <f t="shared" si="42"/>
        <v>204930</v>
      </c>
      <c r="K730" s="561">
        <f t="shared" si="43"/>
        <v>1</v>
      </c>
    </row>
    <row r="731" spans="5:11" ht="15">
      <c r="E731" s="315">
        <v>42978</v>
      </c>
      <c r="F731" s="250" t="s">
        <v>712</v>
      </c>
      <c r="G731" s="314" t="s">
        <v>1446</v>
      </c>
      <c r="H731" s="307">
        <v>98</v>
      </c>
      <c r="I731" s="307">
        <v>48874</v>
      </c>
      <c r="J731" s="561">
        <f t="shared" si="42"/>
        <v>4789652</v>
      </c>
      <c r="K731" s="561">
        <f t="shared" si="43"/>
        <v>1</v>
      </c>
    </row>
    <row r="732" spans="5:11" ht="15">
      <c r="E732" s="315">
        <v>42978</v>
      </c>
      <c r="F732" s="250" t="s">
        <v>1227</v>
      </c>
      <c r="G732" s="314" t="s">
        <v>1446</v>
      </c>
      <c r="H732" s="307">
        <v>24</v>
      </c>
      <c r="I732" s="307">
        <v>21582</v>
      </c>
      <c r="J732" s="561">
        <f t="shared" si="42"/>
        <v>517968</v>
      </c>
      <c r="K732" s="561">
        <f t="shared" si="43"/>
        <v>1</v>
      </c>
    </row>
    <row r="733" spans="5:11" ht="15">
      <c r="E733" s="315">
        <v>42978</v>
      </c>
      <c r="F733" s="250" t="s">
        <v>642</v>
      </c>
      <c r="G733" s="314" t="s">
        <v>1446</v>
      </c>
      <c r="H733" s="307">
        <v>24</v>
      </c>
      <c r="I733" s="307">
        <v>19832</v>
      </c>
      <c r="J733" s="561">
        <f t="shared" si="42"/>
        <v>475968</v>
      </c>
      <c r="K733" s="561">
        <f t="shared" si="43"/>
        <v>1</v>
      </c>
    </row>
    <row r="734" spans="5:11" ht="15">
      <c r="E734" s="315">
        <v>42978</v>
      </c>
      <c r="F734" s="250" t="s">
        <v>708</v>
      </c>
      <c r="G734" s="314" t="s">
        <v>1446</v>
      </c>
      <c r="H734" s="307">
        <v>24</v>
      </c>
      <c r="I734" s="307">
        <v>23591</v>
      </c>
      <c r="J734" s="561">
        <f t="shared" si="42"/>
        <v>566184</v>
      </c>
      <c r="K734" s="561">
        <f t="shared" si="43"/>
        <v>1</v>
      </c>
    </row>
    <row r="735" spans="5:11" ht="15">
      <c r="E735" s="315">
        <v>42978</v>
      </c>
      <c r="F735" s="250" t="s">
        <v>714</v>
      </c>
      <c r="G735" s="314" t="s">
        <v>1446</v>
      </c>
      <c r="H735" s="307">
        <v>24</v>
      </c>
      <c r="I735" s="307">
        <v>31899</v>
      </c>
      <c r="J735" s="561">
        <f t="shared" si="42"/>
        <v>765576</v>
      </c>
      <c r="K735" s="561">
        <f t="shared" si="43"/>
        <v>1</v>
      </c>
    </row>
    <row r="736" spans="5:11" ht="15">
      <c r="E736" s="315">
        <v>42978</v>
      </c>
      <c r="F736" s="250" t="s">
        <v>1483</v>
      </c>
      <c r="G736" s="314" t="s">
        <v>1446</v>
      </c>
      <c r="H736" s="307">
        <v>36</v>
      </c>
      <c r="I736" s="307">
        <v>7007</v>
      </c>
      <c r="J736" s="561">
        <f t="shared" si="42"/>
        <v>252252</v>
      </c>
      <c r="K736" s="561">
        <f t="shared" si="43"/>
        <v>1</v>
      </c>
    </row>
    <row r="737" spans="5:11" ht="15">
      <c r="E737" s="315">
        <v>42978</v>
      </c>
      <c r="F737" s="250" t="s">
        <v>761</v>
      </c>
      <c r="G737" s="314" t="s">
        <v>1446</v>
      </c>
      <c r="H737" s="307">
        <v>30</v>
      </c>
      <c r="I737" s="307">
        <v>24350</v>
      </c>
      <c r="J737" s="561">
        <f t="shared" si="42"/>
        <v>730500</v>
      </c>
      <c r="K737" s="561">
        <f t="shared" si="43"/>
        <v>1</v>
      </c>
    </row>
    <row r="738" spans="5:11" ht="15">
      <c r="E738" s="315">
        <v>42978</v>
      </c>
      <c r="F738" s="250" t="s">
        <v>1041</v>
      </c>
      <c r="G738" s="314" t="s">
        <v>1446</v>
      </c>
      <c r="H738" s="307">
        <v>12</v>
      </c>
      <c r="I738" s="307">
        <v>22149</v>
      </c>
      <c r="J738" s="561">
        <f t="shared" si="42"/>
        <v>265788</v>
      </c>
      <c r="K738" s="561">
        <f t="shared" si="43"/>
        <v>1</v>
      </c>
    </row>
    <row r="739" spans="5:11" ht="15">
      <c r="E739" s="315">
        <v>42978</v>
      </c>
      <c r="F739" s="250" t="s">
        <v>1049</v>
      </c>
      <c r="G739" s="314" t="s">
        <v>1446</v>
      </c>
      <c r="H739" s="307">
        <v>18</v>
      </c>
      <c r="I739" s="307">
        <v>25164</v>
      </c>
      <c r="J739" s="561">
        <f t="shared" si="42"/>
        <v>452952</v>
      </c>
      <c r="K739" s="561">
        <f t="shared" si="43"/>
        <v>1</v>
      </c>
    </row>
    <row r="740" spans="5:11" ht="15">
      <c r="E740" s="315">
        <v>42978</v>
      </c>
      <c r="F740" s="250" t="s">
        <v>1484</v>
      </c>
      <c r="G740" s="314" t="s">
        <v>1446</v>
      </c>
      <c r="H740" s="307">
        <v>12</v>
      </c>
      <c r="I740" s="307">
        <v>20195</v>
      </c>
      <c r="J740" s="561">
        <f t="shared" si="42"/>
        <v>242340</v>
      </c>
      <c r="K740" s="561">
        <f t="shared" si="43"/>
        <v>1</v>
      </c>
    </row>
    <row r="741" spans="5:11" ht="15">
      <c r="E741" s="315">
        <v>42978</v>
      </c>
      <c r="F741" s="250" t="s">
        <v>1485</v>
      </c>
      <c r="G741" s="314" t="s">
        <v>1446</v>
      </c>
      <c r="H741" s="307">
        <v>24</v>
      </c>
      <c r="I741" s="307">
        <v>7699</v>
      </c>
      <c r="J741" s="561">
        <f t="shared" si="42"/>
        <v>184776</v>
      </c>
      <c r="K741" s="561">
        <f t="shared" si="43"/>
        <v>1</v>
      </c>
    </row>
    <row r="742" spans="5:11" ht="15">
      <c r="E742" s="315">
        <v>42978</v>
      </c>
      <c r="F742" s="250" t="s">
        <v>1486</v>
      </c>
      <c r="G742" s="314" t="s">
        <v>1446</v>
      </c>
      <c r="H742" s="307">
        <v>12</v>
      </c>
      <c r="I742" s="307">
        <v>7816</v>
      </c>
      <c r="J742" s="561">
        <f t="shared" si="42"/>
        <v>93792</v>
      </c>
      <c r="K742" s="561">
        <f t="shared" si="43"/>
        <v>1</v>
      </c>
    </row>
    <row r="743" spans="5:11" ht="15">
      <c r="E743" s="315">
        <v>42978</v>
      </c>
      <c r="F743" s="250" t="s">
        <v>1487</v>
      </c>
      <c r="G743" s="314" t="s">
        <v>1446</v>
      </c>
      <c r="H743" s="307">
        <v>4</v>
      </c>
      <c r="I743" s="307">
        <v>68211</v>
      </c>
      <c r="J743" s="561">
        <f t="shared" si="42"/>
        <v>272844</v>
      </c>
      <c r="K743" s="561">
        <f t="shared" si="43"/>
        <v>1</v>
      </c>
    </row>
    <row r="744" spans="5:11" ht="15">
      <c r="E744" s="315">
        <v>42978</v>
      </c>
      <c r="F744" s="250" t="s">
        <v>1488</v>
      </c>
      <c r="G744" s="314" t="s">
        <v>1446</v>
      </c>
      <c r="H744" s="307">
        <v>4</v>
      </c>
      <c r="I744" s="307">
        <v>77699</v>
      </c>
      <c r="J744" s="561">
        <f t="shared" ref="J744:J807" si="44">I744*H744-D744*C744</f>
        <v>310796</v>
      </c>
      <c r="K744" s="561">
        <f t="shared" ref="K744:K807" si="45">IF(J744&gt;50000,1,0)</f>
        <v>1</v>
      </c>
    </row>
    <row r="745" spans="5:11" ht="15">
      <c r="E745" s="315">
        <v>42978</v>
      </c>
      <c r="F745" s="250" t="s">
        <v>1489</v>
      </c>
      <c r="G745" s="314" t="s">
        <v>1446</v>
      </c>
      <c r="H745" s="307">
        <v>8</v>
      </c>
      <c r="I745" s="307">
        <v>78287</v>
      </c>
      <c r="J745" s="561">
        <f t="shared" si="44"/>
        <v>626296</v>
      </c>
      <c r="K745" s="561">
        <f t="shared" si="45"/>
        <v>1</v>
      </c>
    </row>
    <row r="746" spans="5:11" ht="15">
      <c r="E746" s="315">
        <v>42978</v>
      </c>
      <c r="F746" s="250" t="s">
        <v>999</v>
      </c>
      <c r="G746" s="314" t="s">
        <v>1446</v>
      </c>
      <c r="H746" s="307">
        <v>20</v>
      </c>
      <c r="I746" s="307">
        <v>84249</v>
      </c>
      <c r="J746" s="561">
        <f t="shared" si="44"/>
        <v>1684980</v>
      </c>
      <c r="K746" s="561">
        <f t="shared" si="45"/>
        <v>1</v>
      </c>
    </row>
    <row r="747" spans="5:11" ht="15">
      <c r="E747" s="315">
        <v>42978</v>
      </c>
      <c r="F747" s="250" t="s">
        <v>629</v>
      </c>
      <c r="G747" s="314" t="s">
        <v>1446</v>
      </c>
      <c r="H747" s="307">
        <v>36</v>
      </c>
      <c r="I747" s="307">
        <v>39450</v>
      </c>
      <c r="J747" s="561">
        <f t="shared" si="44"/>
        <v>1420200</v>
      </c>
      <c r="K747" s="561">
        <f t="shared" si="45"/>
        <v>1</v>
      </c>
    </row>
    <row r="748" spans="5:11" ht="15">
      <c r="E748" s="315">
        <v>42978</v>
      </c>
      <c r="F748" s="250" t="s">
        <v>629</v>
      </c>
      <c r="G748" s="314" t="s">
        <v>1446</v>
      </c>
      <c r="H748" s="307">
        <v>16</v>
      </c>
      <c r="I748" s="307">
        <v>41556</v>
      </c>
      <c r="J748" s="561">
        <f t="shared" si="44"/>
        <v>664896</v>
      </c>
      <c r="K748" s="561">
        <f t="shared" si="45"/>
        <v>1</v>
      </c>
    </row>
    <row r="749" spans="5:11" ht="15">
      <c r="E749" s="315">
        <v>42978</v>
      </c>
      <c r="F749" s="250" t="s">
        <v>1490</v>
      </c>
      <c r="G749" s="314" t="s">
        <v>1446</v>
      </c>
      <c r="H749" s="307">
        <v>8</v>
      </c>
      <c r="I749" s="307">
        <v>131518</v>
      </c>
      <c r="J749" s="561">
        <f t="shared" si="44"/>
        <v>1052144</v>
      </c>
      <c r="K749" s="561">
        <f t="shared" si="45"/>
        <v>1</v>
      </c>
    </row>
    <row r="750" spans="5:11" ht="15">
      <c r="E750" s="315">
        <v>42978</v>
      </c>
      <c r="F750" s="250" t="s">
        <v>1491</v>
      </c>
      <c r="G750" s="314" t="s">
        <v>1446</v>
      </c>
      <c r="H750" s="307">
        <v>8</v>
      </c>
      <c r="I750" s="307">
        <v>82390</v>
      </c>
      <c r="J750" s="561">
        <f t="shared" si="44"/>
        <v>659120</v>
      </c>
      <c r="K750" s="561">
        <f t="shared" si="45"/>
        <v>1</v>
      </c>
    </row>
    <row r="751" spans="5:11" ht="15">
      <c r="E751" s="315">
        <v>42978</v>
      </c>
      <c r="F751" s="250" t="s">
        <v>1492</v>
      </c>
      <c r="G751" s="314" t="s">
        <v>1446</v>
      </c>
      <c r="H751" s="307">
        <v>8</v>
      </c>
      <c r="I751" s="307">
        <v>159364</v>
      </c>
      <c r="J751" s="561">
        <f t="shared" si="44"/>
        <v>1274912</v>
      </c>
      <c r="K751" s="561">
        <f t="shared" si="45"/>
        <v>1</v>
      </c>
    </row>
    <row r="752" spans="5:11" ht="15">
      <c r="E752" s="315">
        <v>42978</v>
      </c>
      <c r="F752" s="250" t="s">
        <v>1493</v>
      </c>
      <c r="G752" s="314" t="s">
        <v>1446</v>
      </c>
      <c r="H752" s="307">
        <v>16</v>
      </c>
      <c r="I752" s="307">
        <v>87265</v>
      </c>
      <c r="J752" s="561">
        <f t="shared" si="44"/>
        <v>1396240</v>
      </c>
      <c r="K752" s="561">
        <f t="shared" si="45"/>
        <v>1</v>
      </c>
    </row>
    <row r="753" spans="5:11" ht="15">
      <c r="E753" s="315">
        <v>42978</v>
      </c>
      <c r="F753" s="250" t="s">
        <v>1494</v>
      </c>
      <c r="G753" s="314" t="s">
        <v>1446</v>
      </c>
      <c r="H753" s="307">
        <v>8</v>
      </c>
      <c r="I753" s="307">
        <v>170168</v>
      </c>
      <c r="J753" s="561">
        <f t="shared" si="44"/>
        <v>1361344</v>
      </c>
      <c r="K753" s="561">
        <f t="shared" si="45"/>
        <v>1</v>
      </c>
    </row>
    <row r="754" spans="5:11" ht="15">
      <c r="E754" s="315">
        <v>42978</v>
      </c>
      <c r="F754" s="250" t="s">
        <v>652</v>
      </c>
      <c r="G754" s="314" t="s">
        <v>1446</v>
      </c>
      <c r="H754" s="307">
        <v>150</v>
      </c>
      <c r="I754" s="307">
        <v>67662</v>
      </c>
      <c r="J754" s="561">
        <f t="shared" si="44"/>
        <v>10149300</v>
      </c>
      <c r="K754" s="561">
        <f t="shared" si="45"/>
        <v>1</v>
      </c>
    </row>
    <row r="755" spans="5:11" ht="15">
      <c r="E755" s="315">
        <v>42978</v>
      </c>
      <c r="F755" s="250" t="s">
        <v>1495</v>
      </c>
      <c r="G755" s="314" t="s">
        <v>1446</v>
      </c>
      <c r="H755" s="307">
        <v>20</v>
      </c>
      <c r="I755" s="307">
        <v>66797</v>
      </c>
      <c r="J755" s="561">
        <f t="shared" si="44"/>
        <v>1335940</v>
      </c>
      <c r="K755" s="561">
        <f t="shared" si="45"/>
        <v>1</v>
      </c>
    </row>
    <row r="756" spans="5:11" ht="15">
      <c r="E756" s="315">
        <v>42978</v>
      </c>
      <c r="F756" s="250" t="s">
        <v>1496</v>
      </c>
      <c r="G756" s="314" t="s">
        <v>1446</v>
      </c>
      <c r="H756" s="307">
        <v>15</v>
      </c>
      <c r="I756" s="307">
        <v>93777</v>
      </c>
      <c r="J756" s="561">
        <f t="shared" si="44"/>
        <v>1406655</v>
      </c>
      <c r="K756" s="561">
        <f t="shared" si="45"/>
        <v>1</v>
      </c>
    </row>
    <row r="757" spans="5:11" ht="15">
      <c r="E757" s="315">
        <v>42978</v>
      </c>
      <c r="F757" s="250" t="s">
        <v>1497</v>
      </c>
      <c r="G757" s="314" t="s">
        <v>1446</v>
      </c>
      <c r="H757" s="307">
        <v>30</v>
      </c>
      <c r="I757" s="307">
        <v>47616</v>
      </c>
      <c r="J757" s="561">
        <f t="shared" si="44"/>
        <v>1428480</v>
      </c>
      <c r="K757" s="561">
        <f t="shared" si="45"/>
        <v>1</v>
      </c>
    </row>
    <row r="758" spans="5:11" ht="15">
      <c r="E758" s="315">
        <v>42978</v>
      </c>
      <c r="F758" s="250" t="s">
        <v>1237</v>
      </c>
      <c r="G758" s="314" t="s">
        <v>1446</v>
      </c>
      <c r="H758" s="307">
        <v>30</v>
      </c>
      <c r="I758" s="307">
        <v>41891</v>
      </c>
      <c r="J758" s="561">
        <f t="shared" si="44"/>
        <v>1256730</v>
      </c>
      <c r="K758" s="561">
        <f t="shared" si="45"/>
        <v>1</v>
      </c>
    </row>
    <row r="759" spans="5:11" ht="15">
      <c r="E759" s="315">
        <v>42981</v>
      </c>
      <c r="F759" s="249" t="s">
        <v>1217</v>
      </c>
      <c r="G759" s="314" t="s">
        <v>1674</v>
      </c>
      <c r="H759" s="307">
        <v>3045</v>
      </c>
      <c r="I759" s="307">
        <v>5900</v>
      </c>
      <c r="J759" s="561">
        <f t="shared" si="44"/>
        <v>17965500</v>
      </c>
      <c r="K759" s="561">
        <f t="shared" si="45"/>
        <v>1</v>
      </c>
    </row>
    <row r="760" spans="5:11" ht="15">
      <c r="E760" s="315">
        <v>42984</v>
      </c>
      <c r="F760" s="250" t="s">
        <v>1611</v>
      </c>
      <c r="G760" s="314" t="s">
        <v>1675</v>
      </c>
      <c r="H760" s="307">
        <v>300</v>
      </c>
      <c r="I760" s="307">
        <v>5100</v>
      </c>
      <c r="J760" s="561">
        <f t="shared" si="44"/>
        <v>1530000</v>
      </c>
      <c r="K760" s="561">
        <f t="shared" si="45"/>
        <v>1</v>
      </c>
    </row>
    <row r="761" spans="5:11" ht="15">
      <c r="E761" s="315">
        <v>42984</v>
      </c>
      <c r="F761" s="250" t="s">
        <v>1290</v>
      </c>
      <c r="G761" s="314" t="s">
        <v>1676</v>
      </c>
      <c r="H761" s="307">
        <v>3455</v>
      </c>
      <c r="I761" s="307">
        <v>12500</v>
      </c>
      <c r="J761" s="561">
        <f t="shared" si="44"/>
        <v>43187500</v>
      </c>
      <c r="K761" s="561">
        <f t="shared" si="45"/>
        <v>1</v>
      </c>
    </row>
    <row r="762" spans="5:11" ht="15">
      <c r="E762" s="315">
        <v>42985</v>
      </c>
      <c r="F762" s="245" t="s">
        <v>274</v>
      </c>
      <c r="G762" s="314" t="s">
        <v>1677</v>
      </c>
      <c r="H762" s="307">
        <v>2800</v>
      </c>
      <c r="I762" s="307">
        <v>18600</v>
      </c>
      <c r="J762" s="561">
        <f t="shared" si="44"/>
        <v>52080000</v>
      </c>
      <c r="K762" s="561">
        <f t="shared" si="45"/>
        <v>1</v>
      </c>
    </row>
    <row r="763" spans="5:11" ht="15">
      <c r="E763" s="315">
        <v>42985</v>
      </c>
      <c r="F763" s="245" t="s">
        <v>273</v>
      </c>
      <c r="G763" s="314" t="s">
        <v>1677</v>
      </c>
      <c r="H763" s="307">
        <v>3080</v>
      </c>
      <c r="I763" s="307">
        <v>18550</v>
      </c>
      <c r="J763" s="561">
        <f t="shared" si="44"/>
        <v>57134000</v>
      </c>
      <c r="K763" s="561">
        <f t="shared" si="45"/>
        <v>1</v>
      </c>
    </row>
    <row r="764" spans="5:11" ht="15">
      <c r="E764" s="315">
        <v>42985</v>
      </c>
      <c r="F764" s="250" t="s">
        <v>1308</v>
      </c>
      <c r="G764" s="314" t="s">
        <v>1678</v>
      </c>
      <c r="H764" s="307">
        <v>60</v>
      </c>
      <c r="I764" s="307">
        <v>10087</v>
      </c>
      <c r="J764" s="561">
        <f t="shared" si="44"/>
        <v>605220</v>
      </c>
      <c r="K764" s="561">
        <f t="shared" si="45"/>
        <v>1</v>
      </c>
    </row>
    <row r="765" spans="5:11" ht="15">
      <c r="E765" s="315">
        <v>42985</v>
      </c>
      <c r="F765" s="250" t="s">
        <v>1435</v>
      </c>
      <c r="G765" s="314" t="s">
        <v>1678</v>
      </c>
      <c r="H765" s="307">
        <v>12</v>
      </c>
      <c r="I765" s="307">
        <v>8321</v>
      </c>
      <c r="J765" s="561">
        <f t="shared" si="44"/>
        <v>99852</v>
      </c>
      <c r="K765" s="561">
        <f t="shared" si="45"/>
        <v>1</v>
      </c>
    </row>
    <row r="766" spans="5:11" ht="15">
      <c r="E766" s="315">
        <v>42985</v>
      </c>
      <c r="F766" s="250" t="s">
        <v>1316</v>
      </c>
      <c r="G766" s="314" t="s">
        <v>1678</v>
      </c>
      <c r="H766" s="307">
        <v>540</v>
      </c>
      <c r="I766" s="307">
        <v>10478</v>
      </c>
      <c r="J766" s="561">
        <f t="shared" si="44"/>
        <v>5658120</v>
      </c>
      <c r="K766" s="561">
        <f t="shared" si="45"/>
        <v>1</v>
      </c>
    </row>
    <row r="767" spans="5:11" ht="15">
      <c r="E767" s="315">
        <v>42985</v>
      </c>
      <c r="F767" s="250" t="s">
        <v>1679</v>
      </c>
      <c r="G767" s="314" t="s">
        <v>1678</v>
      </c>
      <c r="H767" s="307">
        <v>1450</v>
      </c>
      <c r="I767" s="307">
        <v>11405</v>
      </c>
      <c r="J767" s="561">
        <f t="shared" si="44"/>
        <v>16537250</v>
      </c>
      <c r="K767" s="561">
        <f t="shared" si="45"/>
        <v>1</v>
      </c>
    </row>
    <row r="768" spans="5:11" ht="15">
      <c r="E768" s="315">
        <v>42985</v>
      </c>
      <c r="F768" s="249" t="s">
        <v>1217</v>
      </c>
      <c r="G768" s="314" t="s">
        <v>1680</v>
      </c>
      <c r="H768" s="307">
        <v>3045</v>
      </c>
      <c r="I768" s="307">
        <v>5900</v>
      </c>
      <c r="J768" s="561">
        <f t="shared" si="44"/>
        <v>17965500</v>
      </c>
      <c r="K768" s="561">
        <f t="shared" si="45"/>
        <v>1</v>
      </c>
    </row>
    <row r="769" spans="5:11" ht="15">
      <c r="E769" s="315">
        <v>42989</v>
      </c>
      <c r="F769" s="249" t="s">
        <v>1217</v>
      </c>
      <c r="G769" s="314" t="s">
        <v>1681</v>
      </c>
      <c r="H769" s="307">
        <v>3045</v>
      </c>
      <c r="I769" s="307">
        <v>5900</v>
      </c>
      <c r="J769" s="561">
        <f t="shared" si="44"/>
        <v>17965500</v>
      </c>
      <c r="K769" s="561">
        <f t="shared" si="45"/>
        <v>1</v>
      </c>
    </row>
    <row r="770" spans="5:11" ht="15">
      <c r="E770" s="315">
        <v>42990</v>
      </c>
      <c r="F770" s="250" t="s">
        <v>1616</v>
      </c>
      <c r="G770" s="314" t="s">
        <v>1682</v>
      </c>
      <c r="H770" s="307">
        <v>1</v>
      </c>
      <c r="I770" s="307">
        <v>153900</v>
      </c>
      <c r="J770" s="561">
        <f t="shared" si="44"/>
        <v>153900</v>
      </c>
      <c r="K770" s="561">
        <f t="shared" si="45"/>
        <v>1</v>
      </c>
    </row>
    <row r="771" spans="5:11" ht="15">
      <c r="E771" s="315">
        <v>42990</v>
      </c>
      <c r="F771" s="250" t="s">
        <v>1618</v>
      </c>
      <c r="G771" s="314" t="s">
        <v>1682</v>
      </c>
      <c r="H771" s="307">
        <v>1</v>
      </c>
      <c r="I771" s="307">
        <v>24450</v>
      </c>
      <c r="J771" s="561">
        <f t="shared" si="44"/>
        <v>24450</v>
      </c>
      <c r="K771" s="561">
        <f t="shared" si="45"/>
        <v>0</v>
      </c>
    </row>
    <row r="772" spans="5:11" ht="15">
      <c r="E772" s="315">
        <v>42990</v>
      </c>
      <c r="F772" s="250" t="s">
        <v>1617</v>
      </c>
      <c r="G772" s="314" t="s">
        <v>1682</v>
      </c>
      <c r="H772" s="307">
        <v>1</v>
      </c>
      <c r="I772" s="307">
        <v>20500</v>
      </c>
      <c r="J772" s="561">
        <f t="shared" si="44"/>
        <v>20500</v>
      </c>
      <c r="K772" s="561">
        <f t="shared" si="45"/>
        <v>0</v>
      </c>
    </row>
    <row r="773" spans="5:11" ht="15">
      <c r="E773" s="315">
        <v>42992</v>
      </c>
      <c r="F773" s="250" t="s">
        <v>1130</v>
      </c>
      <c r="G773" s="314" t="s">
        <v>1685</v>
      </c>
      <c r="H773" s="307">
        <v>500</v>
      </c>
      <c r="I773" s="307">
        <v>7140</v>
      </c>
      <c r="J773" s="561">
        <f t="shared" si="44"/>
        <v>3570000</v>
      </c>
      <c r="K773" s="561">
        <f t="shared" si="45"/>
        <v>1</v>
      </c>
    </row>
    <row r="774" spans="5:11" ht="15">
      <c r="E774" s="315">
        <v>42992</v>
      </c>
      <c r="F774" s="250" t="s">
        <v>560</v>
      </c>
      <c r="G774" s="314" t="s">
        <v>1685</v>
      </c>
      <c r="H774" s="307">
        <v>100</v>
      </c>
      <c r="I774" s="307">
        <v>22440</v>
      </c>
      <c r="J774" s="561">
        <f t="shared" si="44"/>
        <v>2244000</v>
      </c>
      <c r="K774" s="561">
        <f t="shared" si="45"/>
        <v>1</v>
      </c>
    </row>
    <row r="775" spans="5:11" ht="15">
      <c r="E775" s="315">
        <v>42992</v>
      </c>
      <c r="F775" s="249" t="s">
        <v>1217</v>
      </c>
      <c r="G775" s="314" t="s">
        <v>1686</v>
      </c>
      <c r="H775" s="307">
        <v>3045</v>
      </c>
      <c r="I775" s="307">
        <v>5900</v>
      </c>
      <c r="J775" s="561">
        <f t="shared" si="44"/>
        <v>17965500</v>
      </c>
      <c r="K775" s="561">
        <f t="shared" si="45"/>
        <v>1</v>
      </c>
    </row>
    <row r="776" spans="5:11" ht="15">
      <c r="E776" s="315">
        <v>42994</v>
      </c>
      <c r="F776" s="249" t="s">
        <v>1217</v>
      </c>
      <c r="G776" s="314" t="s">
        <v>1687</v>
      </c>
      <c r="H776" s="307">
        <v>3045</v>
      </c>
      <c r="I776" s="307">
        <v>5900</v>
      </c>
      <c r="J776" s="561">
        <f t="shared" si="44"/>
        <v>17965500</v>
      </c>
      <c r="K776" s="561">
        <f t="shared" si="45"/>
        <v>1</v>
      </c>
    </row>
    <row r="777" spans="5:11" ht="15">
      <c r="E777" s="315">
        <v>42999</v>
      </c>
      <c r="F777" s="249" t="s">
        <v>1217</v>
      </c>
      <c r="G777" s="314" t="s">
        <v>1688</v>
      </c>
      <c r="H777" s="307">
        <v>3045</v>
      </c>
      <c r="I777" s="307">
        <v>5900</v>
      </c>
      <c r="J777" s="561">
        <f t="shared" si="44"/>
        <v>17965500</v>
      </c>
      <c r="K777" s="561">
        <f t="shared" si="45"/>
        <v>1</v>
      </c>
    </row>
    <row r="778" spans="5:11" ht="15">
      <c r="E778" s="315">
        <v>42999</v>
      </c>
      <c r="F778" s="250" t="s">
        <v>560</v>
      </c>
      <c r="G778" s="314" t="s">
        <v>1689</v>
      </c>
      <c r="H778" s="307">
        <v>980</v>
      </c>
      <c r="I778" s="307">
        <v>17600</v>
      </c>
      <c r="J778" s="561">
        <f t="shared" si="44"/>
        <v>17248000</v>
      </c>
      <c r="K778" s="561">
        <f t="shared" si="45"/>
        <v>1</v>
      </c>
    </row>
    <row r="779" spans="5:11" ht="15">
      <c r="E779" s="315">
        <v>42999</v>
      </c>
      <c r="F779" s="250" t="s">
        <v>560</v>
      </c>
      <c r="G779" s="314" t="s">
        <v>1689</v>
      </c>
      <c r="H779" s="307">
        <v>551.9</v>
      </c>
      <c r="I779" s="307">
        <v>10500</v>
      </c>
      <c r="J779" s="561">
        <f t="shared" si="44"/>
        <v>5794950</v>
      </c>
      <c r="K779" s="561">
        <f t="shared" si="45"/>
        <v>1</v>
      </c>
    </row>
    <row r="780" spans="5:11" ht="15">
      <c r="E780" s="315">
        <v>43000</v>
      </c>
      <c r="F780" s="249" t="s">
        <v>1217</v>
      </c>
      <c r="G780" s="314" t="s">
        <v>1691</v>
      </c>
      <c r="H780" s="307">
        <v>3045</v>
      </c>
      <c r="I780" s="307">
        <v>5900</v>
      </c>
      <c r="J780" s="561">
        <f t="shared" si="44"/>
        <v>17965500</v>
      </c>
      <c r="K780" s="561">
        <f t="shared" si="45"/>
        <v>1</v>
      </c>
    </row>
    <row r="781" spans="5:11" ht="15">
      <c r="E781" s="315">
        <v>43000</v>
      </c>
      <c r="F781" s="250" t="s">
        <v>1622</v>
      </c>
      <c r="G781" s="314" t="s">
        <v>1692</v>
      </c>
      <c r="H781" s="307">
        <v>509</v>
      </c>
      <c r="I781" s="307">
        <v>27000</v>
      </c>
      <c r="J781" s="561">
        <f t="shared" si="44"/>
        <v>13743000</v>
      </c>
      <c r="K781" s="561">
        <f t="shared" si="45"/>
        <v>1</v>
      </c>
    </row>
    <row r="782" spans="5:11" ht="15">
      <c r="E782" s="315">
        <v>43001</v>
      </c>
      <c r="F782" s="245" t="s">
        <v>274</v>
      </c>
      <c r="G782" s="314" t="s">
        <v>1693</v>
      </c>
      <c r="H782" s="307">
        <v>2800</v>
      </c>
      <c r="I782" s="307">
        <v>18500</v>
      </c>
      <c r="J782" s="561">
        <f t="shared" si="44"/>
        <v>51800000</v>
      </c>
      <c r="K782" s="561">
        <f t="shared" si="45"/>
        <v>1</v>
      </c>
    </row>
    <row r="783" spans="5:11" ht="15">
      <c r="E783" s="315">
        <v>43001</v>
      </c>
      <c r="F783" s="245" t="s">
        <v>273</v>
      </c>
      <c r="G783" s="314" t="s">
        <v>1693</v>
      </c>
      <c r="H783" s="307">
        <v>4500</v>
      </c>
      <c r="I783" s="307">
        <v>18500</v>
      </c>
      <c r="J783" s="561">
        <f t="shared" si="44"/>
        <v>83250000</v>
      </c>
      <c r="K783" s="561">
        <f t="shared" si="45"/>
        <v>1</v>
      </c>
    </row>
    <row r="784" spans="5:11" ht="15">
      <c r="E784" s="315">
        <v>43002</v>
      </c>
      <c r="F784" s="245" t="s">
        <v>503</v>
      </c>
      <c r="G784" s="314" t="s">
        <v>1694</v>
      </c>
      <c r="H784" s="307">
        <v>2106</v>
      </c>
      <c r="I784" s="307">
        <v>8500</v>
      </c>
      <c r="J784" s="561">
        <f t="shared" si="44"/>
        <v>17901000</v>
      </c>
      <c r="K784" s="561">
        <f t="shared" si="45"/>
        <v>1</v>
      </c>
    </row>
    <row r="785" spans="5:11" ht="15">
      <c r="E785" s="315">
        <v>43003</v>
      </c>
      <c r="F785" s="249" t="s">
        <v>1217</v>
      </c>
      <c r="G785" s="314" t="s">
        <v>1695</v>
      </c>
      <c r="H785" s="307">
        <v>3045</v>
      </c>
      <c r="I785" s="307">
        <v>5900</v>
      </c>
      <c r="J785" s="561">
        <f t="shared" si="44"/>
        <v>17965500</v>
      </c>
      <c r="K785" s="561">
        <f t="shared" si="45"/>
        <v>1</v>
      </c>
    </row>
    <row r="786" spans="5:11" ht="15">
      <c r="E786" s="315">
        <v>43004</v>
      </c>
      <c r="F786" s="249" t="s">
        <v>1217</v>
      </c>
      <c r="G786" s="314" t="s">
        <v>1696</v>
      </c>
      <c r="H786" s="307">
        <v>3045</v>
      </c>
      <c r="I786" s="307">
        <v>5900</v>
      </c>
      <c r="J786" s="561">
        <f t="shared" si="44"/>
        <v>17965500</v>
      </c>
      <c r="K786" s="561">
        <f t="shared" si="45"/>
        <v>1</v>
      </c>
    </row>
    <row r="787" spans="5:11" ht="15">
      <c r="E787" s="315">
        <v>43005</v>
      </c>
      <c r="F787" s="249" t="s">
        <v>1217</v>
      </c>
      <c r="G787" s="314" t="s">
        <v>1697</v>
      </c>
      <c r="H787" s="307">
        <v>3045</v>
      </c>
      <c r="I787" s="307">
        <v>5900</v>
      </c>
      <c r="J787" s="561">
        <f t="shared" si="44"/>
        <v>17965500</v>
      </c>
      <c r="K787" s="561">
        <f t="shared" si="45"/>
        <v>1</v>
      </c>
    </row>
    <row r="788" spans="5:11" ht="15">
      <c r="E788" s="315">
        <v>43006</v>
      </c>
      <c r="F788" s="249" t="s">
        <v>1217</v>
      </c>
      <c r="G788" s="314" t="s">
        <v>1698</v>
      </c>
      <c r="H788" s="307">
        <v>3045</v>
      </c>
      <c r="I788" s="307">
        <v>5900</v>
      </c>
      <c r="J788" s="561">
        <f t="shared" si="44"/>
        <v>17965500</v>
      </c>
      <c r="K788" s="561">
        <f t="shared" si="45"/>
        <v>1</v>
      </c>
    </row>
    <row r="789" spans="5:11" ht="15">
      <c r="E789" s="315">
        <v>43007</v>
      </c>
      <c r="F789" s="249" t="s">
        <v>1217</v>
      </c>
      <c r="G789" s="314" t="s">
        <v>1699</v>
      </c>
      <c r="H789" s="307">
        <v>3045</v>
      </c>
      <c r="I789" s="307">
        <v>5900</v>
      </c>
      <c r="J789" s="561">
        <f t="shared" si="44"/>
        <v>17965500</v>
      </c>
      <c r="K789" s="561">
        <f t="shared" si="45"/>
        <v>1</v>
      </c>
    </row>
    <row r="790" spans="5:11" ht="15">
      <c r="E790" s="315">
        <v>43007</v>
      </c>
      <c r="F790" s="250" t="s">
        <v>1329</v>
      </c>
      <c r="G790" s="314" t="s">
        <v>1701</v>
      </c>
      <c r="H790" s="307">
        <v>48</v>
      </c>
      <c r="I790" s="307">
        <v>36024</v>
      </c>
      <c r="J790" s="561">
        <f t="shared" si="44"/>
        <v>1729152</v>
      </c>
      <c r="K790" s="561">
        <f t="shared" si="45"/>
        <v>1</v>
      </c>
    </row>
    <row r="791" spans="5:11" ht="15">
      <c r="E791" s="315">
        <v>43007</v>
      </c>
      <c r="F791" s="250" t="s">
        <v>1337</v>
      </c>
      <c r="G791" s="314" t="s">
        <v>1701</v>
      </c>
      <c r="H791" s="307">
        <v>48</v>
      </c>
      <c r="I791" s="307">
        <v>46995</v>
      </c>
      <c r="J791" s="561">
        <f t="shared" si="44"/>
        <v>2255760</v>
      </c>
      <c r="K791" s="561">
        <f t="shared" si="45"/>
        <v>1</v>
      </c>
    </row>
    <row r="792" spans="5:11" ht="15">
      <c r="E792" s="315">
        <v>43007</v>
      </c>
      <c r="F792" s="250" t="s">
        <v>1628</v>
      </c>
      <c r="G792" s="314" t="s">
        <v>1701</v>
      </c>
      <c r="H792" s="307">
        <v>140</v>
      </c>
      <c r="I792" s="307">
        <v>73639</v>
      </c>
      <c r="J792" s="561">
        <f t="shared" si="44"/>
        <v>10309460</v>
      </c>
      <c r="K792" s="561">
        <f t="shared" si="45"/>
        <v>1</v>
      </c>
    </row>
    <row r="793" spans="5:11" ht="15">
      <c r="E793" s="315">
        <v>43007</v>
      </c>
      <c r="F793" s="250" t="s">
        <v>1348</v>
      </c>
      <c r="G793" s="314" t="s">
        <v>1701</v>
      </c>
      <c r="H793" s="307">
        <v>40</v>
      </c>
      <c r="I793" s="307">
        <v>39136</v>
      </c>
      <c r="J793" s="561">
        <f t="shared" si="44"/>
        <v>1565440</v>
      </c>
      <c r="K793" s="561">
        <f t="shared" si="45"/>
        <v>1</v>
      </c>
    </row>
    <row r="794" spans="5:11" ht="15">
      <c r="E794" s="315">
        <v>43007</v>
      </c>
      <c r="F794" s="250" t="s">
        <v>1349</v>
      </c>
      <c r="G794" s="314" t="s">
        <v>1701</v>
      </c>
      <c r="H794" s="307">
        <v>40</v>
      </c>
      <c r="I794" s="307">
        <v>41472</v>
      </c>
      <c r="J794" s="561">
        <f t="shared" si="44"/>
        <v>1658880</v>
      </c>
      <c r="K794" s="561">
        <f t="shared" si="45"/>
        <v>1</v>
      </c>
    </row>
    <row r="795" spans="5:11" ht="15">
      <c r="E795" s="315">
        <v>43007</v>
      </c>
      <c r="F795" s="250" t="s">
        <v>1308</v>
      </c>
      <c r="G795" s="314" t="s">
        <v>1702</v>
      </c>
      <c r="H795" s="307">
        <v>610</v>
      </c>
      <c r="I795" s="307">
        <v>11148</v>
      </c>
      <c r="J795" s="561">
        <f t="shared" si="44"/>
        <v>6800280</v>
      </c>
      <c r="K795" s="561">
        <f t="shared" si="45"/>
        <v>1</v>
      </c>
    </row>
    <row r="796" spans="5:11" ht="15">
      <c r="E796" s="315">
        <v>43007</v>
      </c>
      <c r="F796" s="250" t="s">
        <v>1316</v>
      </c>
      <c r="G796" s="314" t="s">
        <v>1702</v>
      </c>
      <c r="H796" s="307">
        <v>125</v>
      </c>
      <c r="I796" s="307">
        <v>11580</v>
      </c>
      <c r="J796" s="561">
        <f t="shared" si="44"/>
        <v>1447500</v>
      </c>
      <c r="K796" s="561">
        <f t="shared" si="45"/>
        <v>1</v>
      </c>
    </row>
    <row r="797" spans="5:11" ht="15">
      <c r="E797" s="315">
        <v>43007</v>
      </c>
      <c r="F797" s="250" t="s">
        <v>1316</v>
      </c>
      <c r="G797" s="314" t="s">
        <v>1702</v>
      </c>
      <c r="H797" s="307">
        <v>610</v>
      </c>
      <c r="I797" s="307">
        <v>11029</v>
      </c>
      <c r="J797" s="561">
        <f t="shared" si="44"/>
        <v>6727690</v>
      </c>
      <c r="K797" s="561">
        <f t="shared" si="45"/>
        <v>1</v>
      </c>
    </row>
    <row r="798" spans="5:11" ht="15">
      <c r="E798" s="315">
        <v>43007</v>
      </c>
      <c r="F798" s="250" t="s">
        <v>1627</v>
      </c>
      <c r="G798" s="314" t="s">
        <v>1702</v>
      </c>
      <c r="H798" s="307">
        <v>115</v>
      </c>
      <c r="I798" s="307">
        <v>10104</v>
      </c>
      <c r="J798" s="561">
        <f t="shared" si="44"/>
        <v>1161960</v>
      </c>
      <c r="K798" s="561">
        <f t="shared" si="45"/>
        <v>1</v>
      </c>
    </row>
    <row r="799" spans="5:11" ht="15">
      <c r="E799" s="315">
        <v>43007</v>
      </c>
      <c r="F799" s="250" t="s">
        <v>768</v>
      </c>
      <c r="G799" s="314" t="s">
        <v>1702</v>
      </c>
      <c r="H799" s="307">
        <v>640</v>
      </c>
      <c r="I799" s="307">
        <v>400</v>
      </c>
      <c r="J799" s="561">
        <f t="shared" si="44"/>
        <v>256000</v>
      </c>
      <c r="K799" s="561">
        <f t="shared" si="45"/>
        <v>1</v>
      </c>
    </row>
    <row r="800" spans="5:11" ht="15">
      <c r="E800" s="315">
        <v>43008</v>
      </c>
      <c r="F800" s="250" t="s">
        <v>1023</v>
      </c>
      <c r="G800" s="314" t="s">
        <v>1703</v>
      </c>
      <c r="H800" s="307">
        <v>20</v>
      </c>
      <c r="I800" s="307">
        <v>82493</v>
      </c>
      <c r="J800" s="561">
        <f t="shared" si="44"/>
        <v>1649860</v>
      </c>
      <c r="K800" s="561">
        <f t="shared" si="45"/>
        <v>1</v>
      </c>
    </row>
    <row r="801" spans="5:11" ht="15">
      <c r="E801" s="315">
        <v>43008</v>
      </c>
      <c r="F801" s="250" t="s">
        <v>1635</v>
      </c>
      <c r="G801" s="314" t="s">
        <v>1703</v>
      </c>
      <c r="H801" s="307">
        <v>10</v>
      </c>
      <c r="I801" s="307">
        <v>166044</v>
      </c>
      <c r="J801" s="561">
        <f t="shared" si="44"/>
        <v>1660440</v>
      </c>
      <c r="K801" s="561">
        <f t="shared" si="45"/>
        <v>1</v>
      </c>
    </row>
    <row r="802" spans="5:11" ht="15">
      <c r="E802" s="315">
        <v>43008</v>
      </c>
      <c r="F802" s="250" t="s">
        <v>1636</v>
      </c>
      <c r="G802" s="314" t="s">
        <v>1703</v>
      </c>
      <c r="H802" s="307">
        <v>4</v>
      </c>
      <c r="I802" s="307">
        <v>89180</v>
      </c>
      <c r="J802" s="561">
        <f t="shared" si="44"/>
        <v>356720</v>
      </c>
      <c r="K802" s="561">
        <f t="shared" si="45"/>
        <v>1</v>
      </c>
    </row>
    <row r="803" spans="5:11" ht="15">
      <c r="E803" s="315">
        <v>43008</v>
      </c>
      <c r="F803" s="250" t="s">
        <v>1637</v>
      </c>
      <c r="G803" s="314" t="s">
        <v>1703</v>
      </c>
      <c r="H803" s="307">
        <v>9</v>
      </c>
      <c r="I803" s="307">
        <v>191294</v>
      </c>
      <c r="J803" s="561">
        <f t="shared" si="44"/>
        <v>1721646</v>
      </c>
      <c r="K803" s="561">
        <f t="shared" si="45"/>
        <v>1</v>
      </c>
    </row>
    <row r="804" spans="5:11" ht="15">
      <c r="E804" s="315">
        <v>43008</v>
      </c>
      <c r="F804" s="250" t="s">
        <v>1638</v>
      </c>
      <c r="G804" s="314" t="s">
        <v>1703</v>
      </c>
      <c r="H804" s="307">
        <v>24</v>
      </c>
      <c r="I804" s="307">
        <v>51423</v>
      </c>
      <c r="J804" s="561">
        <f t="shared" si="44"/>
        <v>1234152</v>
      </c>
      <c r="K804" s="561">
        <f t="shared" si="45"/>
        <v>1</v>
      </c>
    </row>
    <row r="805" spans="5:11" ht="15">
      <c r="E805" s="315">
        <v>43008</v>
      </c>
      <c r="F805" s="250" t="s">
        <v>1639</v>
      </c>
      <c r="G805" s="314" t="s">
        <v>1703</v>
      </c>
      <c r="H805" s="307">
        <v>14</v>
      </c>
      <c r="I805" s="307">
        <v>57144</v>
      </c>
      <c r="J805" s="561">
        <f t="shared" si="44"/>
        <v>800016</v>
      </c>
      <c r="K805" s="561">
        <f t="shared" si="45"/>
        <v>1</v>
      </c>
    </row>
    <row r="806" spans="5:11" ht="15">
      <c r="E806" s="315">
        <v>43008</v>
      </c>
      <c r="F806" s="250" t="s">
        <v>1640</v>
      </c>
      <c r="G806" s="314" t="s">
        <v>1703</v>
      </c>
      <c r="H806" s="307">
        <v>5</v>
      </c>
      <c r="I806" s="307">
        <v>169891</v>
      </c>
      <c r="J806" s="561">
        <f t="shared" si="44"/>
        <v>849455</v>
      </c>
      <c r="K806" s="561">
        <f t="shared" si="45"/>
        <v>1</v>
      </c>
    </row>
    <row r="807" spans="5:11" ht="15">
      <c r="E807" s="315">
        <v>43008</v>
      </c>
      <c r="F807" s="250" t="s">
        <v>1641</v>
      </c>
      <c r="G807" s="314" t="s">
        <v>1703</v>
      </c>
      <c r="H807" s="307">
        <v>5</v>
      </c>
      <c r="I807" s="307">
        <v>153131</v>
      </c>
      <c r="J807" s="561">
        <f t="shared" si="44"/>
        <v>765655</v>
      </c>
      <c r="K807" s="561">
        <f t="shared" si="45"/>
        <v>1</v>
      </c>
    </row>
    <row r="808" spans="5:11" ht="15">
      <c r="E808" s="315">
        <v>43008</v>
      </c>
      <c r="F808" s="250" t="s">
        <v>1642</v>
      </c>
      <c r="G808" s="314" t="s">
        <v>1703</v>
      </c>
      <c r="H808" s="307">
        <v>12</v>
      </c>
      <c r="I808" s="307">
        <v>101098</v>
      </c>
      <c r="J808" s="561">
        <f t="shared" ref="J808:J871" si="46">I808*H808-D808*C808</f>
        <v>1213176</v>
      </c>
      <c r="K808" s="561">
        <f t="shared" ref="K808:K871" si="47">IF(J808&gt;50000,1,0)</f>
        <v>1</v>
      </c>
    </row>
    <row r="809" spans="5:11" ht="15">
      <c r="E809" s="315">
        <v>43008</v>
      </c>
      <c r="F809" s="250" t="s">
        <v>1643</v>
      </c>
      <c r="G809" s="314" t="s">
        <v>1703</v>
      </c>
      <c r="H809" s="307">
        <v>7</v>
      </c>
      <c r="I809" s="307">
        <v>53675</v>
      </c>
      <c r="J809" s="561">
        <f t="shared" si="46"/>
        <v>375725</v>
      </c>
      <c r="K809" s="561">
        <f t="shared" si="47"/>
        <v>1</v>
      </c>
    </row>
    <row r="810" spans="5:11" ht="15">
      <c r="E810" s="315">
        <v>43008</v>
      </c>
      <c r="F810" s="250" t="s">
        <v>1651</v>
      </c>
      <c r="G810" s="314" t="s">
        <v>1703</v>
      </c>
      <c r="H810" s="307">
        <v>16</v>
      </c>
      <c r="I810" s="307">
        <v>71168</v>
      </c>
      <c r="J810" s="561">
        <f t="shared" si="46"/>
        <v>1138688</v>
      </c>
      <c r="K810" s="561">
        <f t="shared" si="47"/>
        <v>1</v>
      </c>
    </row>
    <row r="811" spans="5:11" ht="15">
      <c r="E811" s="315">
        <v>43008</v>
      </c>
      <c r="F811" s="250" t="s">
        <v>1652</v>
      </c>
      <c r="G811" s="314" t="s">
        <v>1703</v>
      </c>
      <c r="H811" s="307">
        <v>24</v>
      </c>
      <c r="I811" s="307">
        <v>45923</v>
      </c>
      <c r="J811" s="561">
        <f t="shared" si="46"/>
        <v>1102152</v>
      </c>
      <c r="K811" s="561">
        <f t="shared" si="47"/>
        <v>1</v>
      </c>
    </row>
    <row r="812" spans="5:11" ht="15">
      <c r="E812" s="315">
        <v>43008</v>
      </c>
      <c r="F812" s="250" t="s">
        <v>1653</v>
      </c>
      <c r="G812" s="314" t="s">
        <v>1703</v>
      </c>
      <c r="H812" s="307">
        <v>24</v>
      </c>
      <c r="I812" s="307">
        <v>42901</v>
      </c>
      <c r="J812" s="561">
        <f t="shared" si="46"/>
        <v>1029624</v>
      </c>
      <c r="K812" s="561">
        <f t="shared" si="47"/>
        <v>1</v>
      </c>
    </row>
    <row r="813" spans="5:11" ht="15">
      <c r="E813" s="315">
        <v>43008</v>
      </c>
      <c r="F813" s="250" t="s">
        <v>1453</v>
      </c>
      <c r="G813" s="314" t="s">
        <v>1703</v>
      </c>
      <c r="H813" s="307">
        <v>24</v>
      </c>
      <c r="I813" s="307">
        <v>40495</v>
      </c>
      <c r="J813" s="561">
        <f t="shared" si="46"/>
        <v>971880</v>
      </c>
      <c r="K813" s="561">
        <f t="shared" si="47"/>
        <v>1</v>
      </c>
    </row>
    <row r="814" spans="5:11" ht="15">
      <c r="E814" s="315">
        <v>43008</v>
      </c>
      <c r="F814" s="250" t="s">
        <v>1654</v>
      </c>
      <c r="G814" s="314" t="s">
        <v>1703</v>
      </c>
      <c r="H814" s="307">
        <v>6</v>
      </c>
      <c r="I814" s="307">
        <v>159847</v>
      </c>
      <c r="J814" s="561">
        <f t="shared" si="46"/>
        <v>959082</v>
      </c>
      <c r="K814" s="561">
        <f t="shared" si="47"/>
        <v>1</v>
      </c>
    </row>
    <row r="815" spans="5:11" ht="15">
      <c r="E815" s="315">
        <v>43008</v>
      </c>
      <c r="F815" s="250" t="s">
        <v>1655</v>
      </c>
      <c r="G815" s="314" t="s">
        <v>1703</v>
      </c>
      <c r="H815" s="307">
        <v>6</v>
      </c>
      <c r="I815" s="307">
        <v>96606</v>
      </c>
      <c r="J815" s="561">
        <f t="shared" si="46"/>
        <v>579636</v>
      </c>
      <c r="K815" s="561">
        <f t="shared" si="47"/>
        <v>1</v>
      </c>
    </row>
    <row r="816" spans="5:11" ht="15">
      <c r="E816" s="315">
        <v>43008</v>
      </c>
      <c r="F816" s="250" t="s">
        <v>630</v>
      </c>
      <c r="G816" s="314" t="s">
        <v>1703</v>
      </c>
      <c r="H816" s="307">
        <v>12</v>
      </c>
      <c r="I816" s="307">
        <v>39053</v>
      </c>
      <c r="J816" s="561">
        <f t="shared" si="46"/>
        <v>468636</v>
      </c>
      <c r="K816" s="561">
        <f t="shared" si="47"/>
        <v>1</v>
      </c>
    </row>
    <row r="817" spans="5:11" ht="15">
      <c r="E817" s="315">
        <v>43008</v>
      </c>
      <c r="F817" s="250" t="s">
        <v>757</v>
      </c>
      <c r="G817" s="314" t="s">
        <v>1703</v>
      </c>
      <c r="H817" s="307">
        <v>12</v>
      </c>
      <c r="I817" s="307">
        <v>50135</v>
      </c>
      <c r="J817" s="561">
        <f t="shared" si="46"/>
        <v>601620</v>
      </c>
      <c r="K817" s="561">
        <f t="shared" si="47"/>
        <v>1</v>
      </c>
    </row>
    <row r="818" spans="5:11" ht="15">
      <c r="E818" s="315">
        <v>43008</v>
      </c>
      <c r="F818" s="250" t="s">
        <v>627</v>
      </c>
      <c r="G818" s="314" t="s">
        <v>1703</v>
      </c>
      <c r="H818" s="307">
        <v>75</v>
      </c>
      <c r="I818" s="307">
        <v>52020</v>
      </c>
      <c r="J818" s="561">
        <f t="shared" si="46"/>
        <v>3901500</v>
      </c>
      <c r="K818" s="561">
        <f t="shared" si="47"/>
        <v>1</v>
      </c>
    </row>
    <row r="819" spans="5:11" ht="15">
      <c r="E819" s="315">
        <v>43008</v>
      </c>
      <c r="F819" s="250" t="s">
        <v>1656</v>
      </c>
      <c r="G819" s="314" t="s">
        <v>1703</v>
      </c>
      <c r="H819" s="307">
        <v>12</v>
      </c>
      <c r="I819" s="307">
        <v>143757</v>
      </c>
      <c r="J819" s="561">
        <f t="shared" si="46"/>
        <v>1725084</v>
      </c>
      <c r="K819" s="561">
        <f t="shared" si="47"/>
        <v>1</v>
      </c>
    </row>
    <row r="820" spans="5:11" ht="15">
      <c r="E820" s="315">
        <v>43008</v>
      </c>
      <c r="F820" s="250" t="s">
        <v>1657</v>
      </c>
      <c r="G820" s="314" t="s">
        <v>1703</v>
      </c>
      <c r="H820" s="307">
        <v>24</v>
      </c>
      <c r="I820" s="307">
        <v>39642</v>
      </c>
      <c r="J820" s="561">
        <f t="shared" si="46"/>
        <v>951408</v>
      </c>
      <c r="K820" s="561">
        <f t="shared" si="47"/>
        <v>1</v>
      </c>
    </row>
    <row r="821" spans="5:11" ht="15">
      <c r="E821" s="315">
        <v>43008</v>
      </c>
      <c r="F821" s="250" t="s">
        <v>1177</v>
      </c>
      <c r="G821" s="314" t="s">
        <v>1703</v>
      </c>
      <c r="H821" s="307">
        <v>18</v>
      </c>
      <c r="I821" s="307">
        <v>74595</v>
      </c>
      <c r="J821" s="561">
        <f t="shared" si="46"/>
        <v>1342710</v>
      </c>
      <c r="K821" s="561">
        <f t="shared" si="47"/>
        <v>1</v>
      </c>
    </row>
    <row r="822" spans="5:11" ht="15">
      <c r="E822" s="315">
        <v>43008</v>
      </c>
      <c r="F822" s="250" t="s">
        <v>667</v>
      </c>
      <c r="G822" s="314" t="s">
        <v>1703</v>
      </c>
      <c r="H822" s="307">
        <v>24</v>
      </c>
      <c r="I822" s="307">
        <v>65840</v>
      </c>
      <c r="J822" s="561">
        <f t="shared" si="46"/>
        <v>1580160</v>
      </c>
      <c r="K822" s="561">
        <f t="shared" si="47"/>
        <v>1</v>
      </c>
    </row>
    <row r="823" spans="5:11" ht="15">
      <c r="E823" s="315">
        <v>43008</v>
      </c>
      <c r="F823" s="250" t="s">
        <v>756</v>
      </c>
      <c r="G823" s="314" t="s">
        <v>1703</v>
      </c>
      <c r="H823" s="307">
        <v>18</v>
      </c>
      <c r="I823" s="307">
        <v>42363</v>
      </c>
      <c r="J823" s="561">
        <f t="shared" si="46"/>
        <v>762534</v>
      </c>
      <c r="K823" s="561">
        <f t="shared" si="47"/>
        <v>1</v>
      </c>
    </row>
    <row r="824" spans="5:11" ht="15">
      <c r="E824" s="315">
        <v>43008</v>
      </c>
      <c r="F824" s="250" t="s">
        <v>1018</v>
      </c>
      <c r="G824" s="314" t="s">
        <v>1703</v>
      </c>
      <c r="H824" s="307">
        <v>24</v>
      </c>
      <c r="I824" s="307">
        <v>57190</v>
      </c>
      <c r="J824" s="561">
        <f t="shared" si="46"/>
        <v>1372560</v>
      </c>
      <c r="K824" s="561">
        <f t="shared" si="47"/>
        <v>1</v>
      </c>
    </row>
    <row r="825" spans="5:11" ht="15">
      <c r="E825" s="315">
        <v>43008</v>
      </c>
      <c r="F825" s="250" t="s">
        <v>1658</v>
      </c>
      <c r="G825" s="314" t="s">
        <v>1703</v>
      </c>
      <c r="H825" s="307">
        <v>10</v>
      </c>
      <c r="I825" s="307">
        <v>217442</v>
      </c>
      <c r="J825" s="561">
        <f t="shared" si="46"/>
        <v>2174420</v>
      </c>
      <c r="K825" s="561">
        <f t="shared" si="47"/>
        <v>1</v>
      </c>
    </row>
    <row r="826" spans="5:11" ht="15">
      <c r="E826" s="315">
        <v>43008</v>
      </c>
      <c r="F826" s="250" t="s">
        <v>679</v>
      </c>
      <c r="G826" s="314" t="s">
        <v>1703</v>
      </c>
      <c r="H826" s="307">
        <v>32</v>
      </c>
      <c r="I826" s="307">
        <v>72852</v>
      </c>
      <c r="J826" s="561">
        <f t="shared" si="46"/>
        <v>2331264</v>
      </c>
      <c r="K826" s="561">
        <f t="shared" si="47"/>
        <v>1</v>
      </c>
    </row>
    <row r="827" spans="5:11" ht="15">
      <c r="E827" s="315">
        <v>43008</v>
      </c>
      <c r="F827" s="250" t="s">
        <v>1389</v>
      </c>
      <c r="G827" s="314" t="s">
        <v>1703</v>
      </c>
      <c r="H827" s="307">
        <v>10</v>
      </c>
      <c r="I827" s="307">
        <v>66321</v>
      </c>
      <c r="J827" s="561">
        <f t="shared" si="46"/>
        <v>663210</v>
      </c>
      <c r="K827" s="561">
        <f t="shared" si="47"/>
        <v>1</v>
      </c>
    </row>
    <row r="828" spans="5:11" ht="15">
      <c r="E828" s="315">
        <v>43008</v>
      </c>
      <c r="F828" s="250" t="s">
        <v>1659</v>
      </c>
      <c r="G828" s="314" t="s">
        <v>1703</v>
      </c>
      <c r="H828" s="307">
        <v>12</v>
      </c>
      <c r="I828" s="307">
        <v>235545</v>
      </c>
      <c r="J828" s="561">
        <f t="shared" si="46"/>
        <v>2826540</v>
      </c>
      <c r="K828" s="561">
        <f t="shared" si="47"/>
        <v>1</v>
      </c>
    </row>
    <row r="829" spans="5:11" ht="15">
      <c r="E829" s="315">
        <v>43008</v>
      </c>
      <c r="F829" s="250" t="s">
        <v>1644</v>
      </c>
      <c r="G829" s="314" t="s">
        <v>1703</v>
      </c>
      <c r="H829" s="307">
        <v>24</v>
      </c>
      <c r="I829" s="307">
        <v>44995</v>
      </c>
      <c r="J829" s="561">
        <f t="shared" si="46"/>
        <v>1079880</v>
      </c>
      <c r="K829" s="561">
        <f t="shared" si="47"/>
        <v>1</v>
      </c>
    </row>
    <row r="830" spans="5:11" ht="15">
      <c r="E830" s="315">
        <v>43008</v>
      </c>
      <c r="F830" s="250" t="s">
        <v>1645</v>
      </c>
      <c r="G830" s="314" t="s">
        <v>1703</v>
      </c>
      <c r="H830" s="307">
        <v>10</v>
      </c>
      <c r="I830" s="307">
        <v>153085</v>
      </c>
      <c r="J830" s="561">
        <f t="shared" si="46"/>
        <v>1530850</v>
      </c>
      <c r="K830" s="561">
        <f t="shared" si="47"/>
        <v>1</v>
      </c>
    </row>
    <row r="831" spans="5:11" ht="15">
      <c r="E831" s="315">
        <v>43008</v>
      </c>
      <c r="F831" s="250" t="s">
        <v>1017</v>
      </c>
      <c r="G831" s="314" t="s">
        <v>1703</v>
      </c>
      <c r="H831" s="307">
        <v>8</v>
      </c>
      <c r="I831" s="307">
        <v>129476</v>
      </c>
      <c r="J831" s="561">
        <f t="shared" si="46"/>
        <v>1035808</v>
      </c>
      <c r="K831" s="561">
        <f t="shared" si="47"/>
        <v>1</v>
      </c>
    </row>
    <row r="832" spans="5:11" ht="15">
      <c r="E832" s="315">
        <v>43008</v>
      </c>
      <c r="F832" s="250" t="s">
        <v>612</v>
      </c>
      <c r="G832" s="314" t="s">
        <v>1703</v>
      </c>
      <c r="H832" s="307">
        <v>300</v>
      </c>
      <c r="I832" s="307">
        <v>70357</v>
      </c>
      <c r="J832" s="561">
        <f t="shared" si="46"/>
        <v>21107100</v>
      </c>
      <c r="K832" s="561">
        <f t="shared" si="47"/>
        <v>1</v>
      </c>
    </row>
    <row r="833" spans="5:11" ht="15">
      <c r="E833" s="315">
        <v>43008</v>
      </c>
      <c r="F833" s="250" t="s">
        <v>611</v>
      </c>
      <c r="G833" s="314" t="s">
        <v>1703</v>
      </c>
      <c r="H833" s="307">
        <v>150</v>
      </c>
      <c r="I833" s="307">
        <v>42339</v>
      </c>
      <c r="J833" s="561">
        <f t="shared" si="46"/>
        <v>6350850</v>
      </c>
      <c r="K833" s="561">
        <f t="shared" si="47"/>
        <v>1</v>
      </c>
    </row>
    <row r="834" spans="5:11" ht="15">
      <c r="E834" s="315">
        <v>43008</v>
      </c>
      <c r="F834" s="250" t="s">
        <v>1646</v>
      </c>
      <c r="G834" s="314" t="s">
        <v>1703</v>
      </c>
      <c r="H834" s="307">
        <v>24</v>
      </c>
      <c r="I834" s="307">
        <v>43357</v>
      </c>
      <c r="J834" s="561">
        <f t="shared" si="46"/>
        <v>1040568</v>
      </c>
      <c r="K834" s="561">
        <f t="shared" si="47"/>
        <v>1</v>
      </c>
    </row>
    <row r="835" spans="5:11" ht="15">
      <c r="E835" s="315">
        <v>43008</v>
      </c>
      <c r="F835" s="250" t="s">
        <v>1395</v>
      </c>
      <c r="G835" s="314" t="s">
        <v>1703</v>
      </c>
      <c r="H835" s="307">
        <v>8</v>
      </c>
      <c r="I835" s="307">
        <v>56011</v>
      </c>
      <c r="J835" s="561">
        <f t="shared" si="46"/>
        <v>448088</v>
      </c>
      <c r="K835" s="561">
        <f t="shared" si="47"/>
        <v>1</v>
      </c>
    </row>
    <row r="836" spans="5:11" ht="15">
      <c r="E836" s="315">
        <v>43008</v>
      </c>
      <c r="F836" s="250" t="s">
        <v>1169</v>
      </c>
      <c r="G836" s="314" t="s">
        <v>1703</v>
      </c>
      <c r="H836" s="307">
        <v>28</v>
      </c>
      <c r="I836" s="307">
        <v>72238</v>
      </c>
      <c r="J836" s="561">
        <f t="shared" si="46"/>
        <v>2022664</v>
      </c>
      <c r="K836" s="561">
        <f t="shared" si="47"/>
        <v>1</v>
      </c>
    </row>
    <row r="837" spans="5:11" ht="15">
      <c r="E837" s="315">
        <v>43008</v>
      </c>
      <c r="F837" s="250" t="s">
        <v>1647</v>
      </c>
      <c r="G837" s="314" t="s">
        <v>1703</v>
      </c>
      <c r="H837" s="307">
        <v>12</v>
      </c>
      <c r="I837" s="307">
        <v>42663</v>
      </c>
      <c r="J837" s="561">
        <f t="shared" si="46"/>
        <v>511956</v>
      </c>
      <c r="K837" s="561">
        <f t="shared" si="47"/>
        <v>1</v>
      </c>
    </row>
    <row r="838" spans="5:11" ht="15">
      <c r="E838" s="315">
        <v>43008</v>
      </c>
      <c r="F838" s="250" t="s">
        <v>1648</v>
      </c>
      <c r="G838" s="314" t="s">
        <v>1703</v>
      </c>
      <c r="H838" s="307">
        <v>6</v>
      </c>
      <c r="I838" s="307">
        <v>99716</v>
      </c>
      <c r="J838" s="561">
        <f t="shared" si="46"/>
        <v>598296</v>
      </c>
      <c r="K838" s="561">
        <f t="shared" si="47"/>
        <v>1</v>
      </c>
    </row>
    <row r="839" spans="5:11" ht="15">
      <c r="E839" s="315">
        <v>43008</v>
      </c>
      <c r="F839" s="250" t="s">
        <v>1649</v>
      </c>
      <c r="G839" s="314" t="s">
        <v>1703</v>
      </c>
      <c r="H839" s="307">
        <v>6</v>
      </c>
      <c r="I839" s="307">
        <v>53407</v>
      </c>
      <c r="J839" s="561">
        <f t="shared" si="46"/>
        <v>320442</v>
      </c>
      <c r="K839" s="561">
        <f t="shared" si="47"/>
        <v>1</v>
      </c>
    </row>
    <row r="840" spans="5:11" ht="15">
      <c r="E840" s="315">
        <v>43008</v>
      </c>
      <c r="F840" s="250" t="s">
        <v>1650</v>
      </c>
      <c r="G840" s="314" t="s">
        <v>1703</v>
      </c>
      <c r="H840" s="307">
        <v>18</v>
      </c>
      <c r="I840" s="307">
        <v>86547</v>
      </c>
      <c r="J840" s="561">
        <f t="shared" si="46"/>
        <v>1557846</v>
      </c>
      <c r="K840" s="561">
        <f t="shared" si="47"/>
        <v>1</v>
      </c>
    </row>
    <row r="841" spans="5:11" ht="15">
      <c r="E841" s="315">
        <v>43008</v>
      </c>
      <c r="F841" s="250" t="s">
        <v>1660</v>
      </c>
      <c r="G841" s="314" t="s">
        <v>1703</v>
      </c>
      <c r="H841" s="307">
        <v>12</v>
      </c>
      <c r="I841" s="307">
        <v>74243</v>
      </c>
      <c r="J841" s="561">
        <f t="shared" si="46"/>
        <v>890916</v>
      </c>
      <c r="K841" s="561">
        <f t="shared" si="47"/>
        <v>1</v>
      </c>
    </row>
    <row r="842" spans="5:11" ht="15">
      <c r="E842" s="315">
        <v>43008</v>
      </c>
      <c r="F842" s="250" t="s">
        <v>619</v>
      </c>
      <c r="G842" s="314" t="s">
        <v>1703</v>
      </c>
      <c r="H842" s="307">
        <v>72</v>
      </c>
      <c r="I842" s="307">
        <v>31617</v>
      </c>
      <c r="J842" s="561">
        <f t="shared" si="46"/>
        <v>2276424</v>
      </c>
      <c r="K842" s="561">
        <f t="shared" si="47"/>
        <v>1</v>
      </c>
    </row>
    <row r="843" spans="5:11" ht="15">
      <c r="E843" s="315">
        <v>43008</v>
      </c>
      <c r="F843" s="250" t="s">
        <v>1661</v>
      </c>
      <c r="G843" s="314" t="s">
        <v>1703</v>
      </c>
      <c r="H843" s="307">
        <v>14</v>
      </c>
      <c r="I843" s="307">
        <v>77416</v>
      </c>
      <c r="J843" s="561">
        <f t="shared" si="46"/>
        <v>1083824</v>
      </c>
      <c r="K843" s="561">
        <f t="shared" si="47"/>
        <v>1</v>
      </c>
    </row>
    <row r="844" spans="5:11" ht="15">
      <c r="E844" s="315">
        <v>43008</v>
      </c>
      <c r="F844" s="250" t="s">
        <v>1389</v>
      </c>
      <c r="G844" s="314" t="s">
        <v>1703</v>
      </c>
      <c r="H844" s="307">
        <v>6</v>
      </c>
      <c r="I844" s="307">
        <v>41141</v>
      </c>
      <c r="J844" s="561">
        <f t="shared" si="46"/>
        <v>246846</v>
      </c>
      <c r="K844" s="561">
        <f t="shared" si="47"/>
        <v>1</v>
      </c>
    </row>
    <row r="845" spans="5:11" ht="15">
      <c r="E845" s="315">
        <v>43008</v>
      </c>
      <c r="F845" s="250" t="s">
        <v>1662</v>
      </c>
      <c r="G845" s="314" t="s">
        <v>1703</v>
      </c>
      <c r="H845" s="307">
        <v>2</v>
      </c>
      <c r="I845" s="307">
        <v>64706</v>
      </c>
      <c r="J845" s="561">
        <f t="shared" si="46"/>
        <v>129412</v>
      </c>
      <c r="K845" s="561">
        <f t="shared" si="47"/>
        <v>1</v>
      </c>
    </row>
    <row r="846" spans="5:11" ht="15">
      <c r="E846" s="315">
        <v>43008</v>
      </c>
      <c r="F846" s="250" t="s">
        <v>1663</v>
      </c>
      <c r="G846" s="314" t="s">
        <v>1703</v>
      </c>
      <c r="H846" s="307">
        <v>6</v>
      </c>
      <c r="I846" s="307">
        <v>101902</v>
      </c>
      <c r="J846" s="561">
        <f t="shared" si="46"/>
        <v>611412</v>
      </c>
      <c r="K846" s="561">
        <f t="shared" si="47"/>
        <v>1</v>
      </c>
    </row>
    <row r="847" spans="5:11" ht="15">
      <c r="E847" s="315">
        <v>43008</v>
      </c>
      <c r="F847" s="250" t="s">
        <v>1664</v>
      </c>
      <c r="G847" s="314" t="s">
        <v>1703</v>
      </c>
      <c r="H847" s="307">
        <v>6</v>
      </c>
      <c r="I847" s="307">
        <v>58070</v>
      </c>
      <c r="J847" s="561">
        <f t="shared" si="46"/>
        <v>348420</v>
      </c>
      <c r="K847" s="561">
        <f t="shared" si="47"/>
        <v>1</v>
      </c>
    </row>
    <row r="848" spans="5:11" ht="15">
      <c r="E848" s="315">
        <v>43008</v>
      </c>
      <c r="F848" s="250" t="s">
        <v>1392</v>
      </c>
      <c r="G848" s="314" t="s">
        <v>1703</v>
      </c>
      <c r="H848" s="307">
        <v>3</v>
      </c>
      <c r="I848" s="307">
        <v>90729</v>
      </c>
      <c r="J848" s="561">
        <f t="shared" si="46"/>
        <v>272187</v>
      </c>
      <c r="K848" s="561">
        <f t="shared" si="47"/>
        <v>1</v>
      </c>
    </row>
    <row r="849" spans="5:11" ht="15">
      <c r="E849" s="315">
        <v>43008</v>
      </c>
      <c r="F849" s="250" t="s">
        <v>1665</v>
      </c>
      <c r="G849" s="314" t="s">
        <v>1703</v>
      </c>
      <c r="H849" s="307">
        <v>27</v>
      </c>
      <c r="I849" s="307">
        <v>148292</v>
      </c>
      <c r="J849" s="561">
        <f t="shared" si="46"/>
        <v>4003884</v>
      </c>
      <c r="K849" s="561">
        <f t="shared" si="47"/>
        <v>1</v>
      </c>
    </row>
    <row r="850" spans="5:11" ht="15">
      <c r="E850" s="315">
        <v>43008</v>
      </c>
      <c r="F850" s="250" t="s">
        <v>646</v>
      </c>
      <c r="G850" s="314" t="s">
        <v>1703</v>
      </c>
      <c r="H850" s="307">
        <v>27</v>
      </c>
      <c r="I850" s="307">
        <v>46617</v>
      </c>
      <c r="J850" s="561">
        <f t="shared" si="46"/>
        <v>1258659</v>
      </c>
      <c r="K850" s="561">
        <f t="shared" si="47"/>
        <v>1</v>
      </c>
    </row>
    <row r="851" spans="5:11" ht="15">
      <c r="E851" s="315">
        <v>43008</v>
      </c>
      <c r="F851" s="250" t="s">
        <v>1666</v>
      </c>
      <c r="G851" s="314" t="s">
        <v>1703</v>
      </c>
      <c r="H851" s="307">
        <v>6</v>
      </c>
      <c r="I851" s="307">
        <v>97986</v>
      </c>
      <c r="J851" s="561">
        <f t="shared" si="46"/>
        <v>587916</v>
      </c>
      <c r="K851" s="561">
        <f t="shared" si="47"/>
        <v>1</v>
      </c>
    </row>
    <row r="852" spans="5:11" ht="15">
      <c r="E852" s="315">
        <v>43008</v>
      </c>
      <c r="F852" s="250" t="s">
        <v>1667</v>
      </c>
      <c r="G852" s="314" t="s">
        <v>1703</v>
      </c>
      <c r="H852" s="307">
        <v>10</v>
      </c>
      <c r="I852" s="307">
        <v>26352</v>
      </c>
      <c r="J852" s="561">
        <f t="shared" si="46"/>
        <v>263520</v>
      </c>
      <c r="K852" s="561">
        <f t="shared" si="47"/>
        <v>1</v>
      </c>
    </row>
    <row r="853" spans="5:11" ht="15">
      <c r="E853" s="315">
        <v>43008</v>
      </c>
      <c r="F853" s="250" t="s">
        <v>1668</v>
      </c>
      <c r="G853" s="314" t="s">
        <v>1703</v>
      </c>
      <c r="H853" s="307">
        <v>10</v>
      </c>
      <c r="I853" s="307">
        <v>63096</v>
      </c>
      <c r="J853" s="561">
        <f t="shared" si="46"/>
        <v>630960</v>
      </c>
      <c r="K853" s="561">
        <f t="shared" si="47"/>
        <v>1</v>
      </c>
    </row>
    <row r="854" spans="5:11" ht="15">
      <c r="E854" s="315">
        <v>43008</v>
      </c>
      <c r="F854" s="250" t="s">
        <v>708</v>
      </c>
      <c r="G854" s="314" t="s">
        <v>1703</v>
      </c>
      <c r="H854" s="307">
        <v>32</v>
      </c>
      <c r="I854" s="307">
        <v>36109</v>
      </c>
      <c r="J854" s="561">
        <f t="shared" si="46"/>
        <v>1155488</v>
      </c>
      <c r="K854" s="561">
        <f t="shared" si="47"/>
        <v>1</v>
      </c>
    </row>
    <row r="855" spans="5:11" ht="15">
      <c r="E855" s="315">
        <v>43008</v>
      </c>
      <c r="F855" s="250" t="s">
        <v>1669</v>
      </c>
      <c r="G855" s="314" t="s">
        <v>1703</v>
      </c>
      <c r="H855" s="307">
        <v>35</v>
      </c>
      <c r="I855" s="307">
        <v>14416</v>
      </c>
      <c r="J855" s="561">
        <f t="shared" si="46"/>
        <v>504560</v>
      </c>
      <c r="K855" s="561">
        <f t="shared" si="47"/>
        <v>1</v>
      </c>
    </row>
    <row r="856" spans="5:11" ht="15">
      <c r="E856" s="315">
        <v>43008</v>
      </c>
      <c r="F856" s="250" t="s">
        <v>646</v>
      </c>
      <c r="G856" s="314" t="s">
        <v>1703</v>
      </c>
      <c r="H856" s="307">
        <v>3</v>
      </c>
      <c r="I856" s="307">
        <v>48993</v>
      </c>
      <c r="J856" s="561">
        <f t="shared" si="46"/>
        <v>146979</v>
      </c>
      <c r="K856" s="561">
        <f t="shared" si="47"/>
        <v>1</v>
      </c>
    </row>
    <row r="857" spans="5:11" ht="15">
      <c r="E857" s="315">
        <v>43008</v>
      </c>
      <c r="F857" s="250" t="s">
        <v>1478</v>
      </c>
      <c r="G857" s="314" t="s">
        <v>1703</v>
      </c>
      <c r="H857" s="307">
        <v>8</v>
      </c>
      <c r="I857" s="307">
        <v>39396</v>
      </c>
      <c r="J857" s="561">
        <f t="shared" si="46"/>
        <v>315168</v>
      </c>
      <c r="K857" s="561">
        <f t="shared" si="47"/>
        <v>1</v>
      </c>
    </row>
    <row r="858" spans="5:11" ht="15">
      <c r="E858" s="315">
        <v>43008</v>
      </c>
      <c r="F858" s="250" t="s">
        <v>1476</v>
      </c>
      <c r="G858" s="314" t="s">
        <v>1703</v>
      </c>
      <c r="H858" s="307">
        <v>11</v>
      </c>
      <c r="I858" s="307">
        <v>26738</v>
      </c>
      <c r="J858" s="561">
        <f t="shared" si="46"/>
        <v>294118</v>
      </c>
      <c r="K858" s="561">
        <f t="shared" si="47"/>
        <v>1</v>
      </c>
    </row>
    <row r="859" spans="5:11" ht="15">
      <c r="E859" s="315">
        <v>43008</v>
      </c>
      <c r="F859" s="250" t="s">
        <v>1477</v>
      </c>
      <c r="G859" s="314" t="s">
        <v>1703</v>
      </c>
      <c r="H859" s="307">
        <v>11</v>
      </c>
      <c r="I859" s="307">
        <v>63680</v>
      </c>
      <c r="J859" s="561">
        <f t="shared" si="46"/>
        <v>700480</v>
      </c>
      <c r="K859" s="561">
        <f t="shared" si="47"/>
        <v>1</v>
      </c>
    </row>
    <row r="860" spans="5:11" ht="15">
      <c r="E860" s="315">
        <v>43008</v>
      </c>
      <c r="F860" s="250" t="s">
        <v>619</v>
      </c>
      <c r="G860" s="314" t="s">
        <v>1703</v>
      </c>
      <c r="H860" s="307">
        <v>15</v>
      </c>
      <c r="I860" s="307">
        <v>33298</v>
      </c>
      <c r="J860" s="561">
        <f t="shared" si="46"/>
        <v>499470</v>
      </c>
      <c r="K860" s="561">
        <f t="shared" si="47"/>
        <v>1</v>
      </c>
    </row>
    <row r="861" spans="5:11" ht="15">
      <c r="E861" s="315">
        <v>43008</v>
      </c>
      <c r="F861" s="250" t="s">
        <v>750</v>
      </c>
      <c r="G861" s="314" t="s">
        <v>1703</v>
      </c>
      <c r="H861" s="307">
        <v>14</v>
      </c>
      <c r="I861" s="307">
        <v>76601</v>
      </c>
      <c r="J861" s="561">
        <f t="shared" si="46"/>
        <v>1072414</v>
      </c>
      <c r="K861" s="561">
        <f t="shared" si="47"/>
        <v>1</v>
      </c>
    </row>
    <row r="862" spans="5:11" ht="15">
      <c r="E862" s="315">
        <v>43008</v>
      </c>
      <c r="F862" s="250" t="s">
        <v>1481</v>
      </c>
      <c r="G862" s="314" t="s">
        <v>1703</v>
      </c>
      <c r="H862" s="307">
        <v>3</v>
      </c>
      <c r="I862" s="307">
        <v>154818</v>
      </c>
      <c r="J862" s="561">
        <f t="shared" si="46"/>
        <v>464454</v>
      </c>
      <c r="K862" s="561">
        <f t="shared" si="47"/>
        <v>1</v>
      </c>
    </row>
    <row r="863" spans="5:11" ht="15">
      <c r="E863" s="315">
        <v>43008</v>
      </c>
      <c r="F863" s="250" t="s">
        <v>643</v>
      </c>
      <c r="G863" s="314" t="s">
        <v>1703</v>
      </c>
      <c r="H863" s="307">
        <v>13</v>
      </c>
      <c r="I863" s="307">
        <v>92272</v>
      </c>
      <c r="J863" s="561">
        <f t="shared" si="46"/>
        <v>1199536</v>
      </c>
      <c r="K863" s="561">
        <f t="shared" si="47"/>
        <v>1</v>
      </c>
    </row>
    <row r="864" spans="5:11" ht="15">
      <c r="E864" s="315">
        <v>43008</v>
      </c>
      <c r="F864" s="250" t="s">
        <v>1479</v>
      </c>
      <c r="G864" s="314" t="s">
        <v>1703</v>
      </c>
      <c r="H864" s="307">
        <v>4</v>
      </c>
      <c r="I864" s="307">
        <v>14720</v>
      </c>
      <c r="J864" s="561">
        <f t="shared" si="46"/>
        <v>58880</v>
      </c>
      <c r="K864" s="561">
        <f t="shared" si="47"/>
        <v>1</v>
      </c>
    </row>
    <row r="865" spans="5:11" ht="15">
      <c r="E865" s="315">
        <v>43008</v>
      </c>
      <c r="F865" s="250" t="s">
        <v>1670</v>
      </c>
      <c r="G865" s="314" t="s">
        <v>1703</v>
      </c>
      <c r="H865" s="307">
        <v>12</v>
      </c>
      <c r="I865" s="307">
        <v>94880</v>
      </c>
      <c r="J865" s="561">
        <f t="shared" si="46"/>
        <v>1138560</v>
      </c>
      <c r="K865" s="561">
        <f t="shared" si="47"/>
        <v>1</v>
      </c>
    </row>
    <row r="866" spans="5:11" ht="15">
      <c r="E866" s="315">
        <v>43008</v>
      </c>
      <c r="F866" s="250" t="s">
        <v>1671</v>
      </c>
      <c r="G866" s="314" t="s">
        <v>1703</v>
      </c>
      <c r="H866" s="307">
        <v>15</v>
      </c>
      <c r="I866" s="307">
        <v>38204</v>
      </c>
      <c r="J866" s="561">
        <f t="shared" si="46"/>
        <v>573060</v>
      </c>
      <c r="K866" s="561">
        <f t="shared" si="47"/>
        <v>1</v>
      </c>
    </row>
    <row r="867" spans="5:11" ht="15">
      <c r="E867" s="315">
        <v>43008</v>
      </c>
      <c r="F867" s="250" t="s">
        <v>1173</v>
      </c>
      <c r="G867" s="314" t="s">
        <v>1703</v>
      </c>
      <c r="H867" s="307">
        <v>20</v>
      </c>
      <c r="I867" s="307">
        <v>56682</v>
      </c>
      <c r="J867" s="561">
        <f t="shared" si="46"/>
        <v>1133640</v>
      </c>
      <c r="K867" s="561">
        <f t="shared" si="47"/>
        <v>1</v>
      </c>
    </row>
    <row r="868" spans="5:11" ht="15">
      <c r="E868" s="315">
        <v>43008</v>
      </c>
      <c r="F868" s="250" t="s">
        <v>1672</v>
      </c>
      <c r="G868" s="314" t="s">
        <v>1703</v>
      </c>
      <c r="H868" s="307">
        <v>20</v>
      </c>
      <c r="I868" s="307">
        <v>83045</v>
      </c>
      <c r="J868" s="561">
        <f t="shared" si="46"/>
        <v>1660900</v>
      </c>
      <c r="K868" s="561">
        <f t="shared" si="47"/>
        <v>1</v>
      </c>
    </row>
    <row r="869" spans="5:11" ht="15">
      <c r="E869" s="315">
        <v>43008</v>
      </c>
      <c r="F869" s="250" t="s">
        <v>689</v>
      </c>
      <c r="G869" s="314" t="s">
        <v>1703</v>
      </c>
      <c r="H869" s="307">
        <v>6</v>
      </c>
      <c r="I869" s="307">
        <v>84247</v>
      </c>
      <c r="J869" s="561">
        <f t="shared" si="46"/>
        <v>505482</v>
      </c>
      <c r="K869" s="561">
        <f t="shared" si="47"/>
        <v>1</v>
      </c>
    </row>
    <row r="870" spans="5:11" ht="15">
      <c r="E870" s="315">
        <v>43008</v>
      </c>
      <c r="F870" s="250" t="s">
        <v>1451</v>
      </c>
      <c r="G870" s="314" t="s">
        <v>1703</v>
      </c>
      <c r="H870" s="307">
        <v>8</v>
      </c>
      <c r="I870" s="307">
        <v>225657</v>
      </c>
      <c r="J870" s="561">
        <f t="shared" si="46"/>
        <v>1805256</v>
      </c>
      <c r="K870" s="561">
        <f t="shared" si="47"/>
        <v>1</v>
      </c>
    </row>
    <row r="871" spans="5:11" ht="15">
      <c r="E871" s="315">
        <v>43008</v>
      </c>
      <c r="F871" s="250" t="s">
        <v>659</v>
      </c>
      <c r="G871" s="314" t="s">
        <v>1703</v>
      </c>
      <c r="H871" s="307">
        <v>4</v>
      </c>
      <c r="I871" s="307">
        <v>86685</v>
      </c>
      <c r="J871" s="561">
        <f t="shared" si="46"/>
        <v>346740</v>
      </c>
      <c r="K871" s="561">
        <f t="shared" si="47"/>
        <v>1</v>
      </c>
    </row>
    <row r="872" spans="5:11" ht="15">
      <c r="E872" s="315">
        <v>43008</v>
      </c>
      <c r="F872" s="250" t="s">
        <v>690</v>
      </c>
      <c r="G872" s="314" t="s">
        <v>1703</v>
      </c>
      <c r="H872" s="307">
        <v>4</v>
      </c>
      <c r="I872" s="307">
        <v>128409</v>
      </c>
      <c r="J872" s="561">
        <f t="shared" ref="J872:J879" si="48">I872*H872-D872*C872</f>
        <v>513636</v>
      </c>
      <c r="K872" s="561">
        <f t="shared" ref="K872:K879" si="49">IF(J872&gt;50000,1,0)</f>
        <v>1</v>
      </c>
    </row>
    <row r="873" spans="5:11" ht="15">
      <c r="E873" s="315">
        <v>43008</v>
      </c>
      <c r="F873" s="250" t="s">
        <v>691</v>
      </c>
      <c r="G873" s="314" t="s">
        <v>1703</v>
      </c>
      <c r="H873" s="307">
        <v>30</v>
      </c>
      <c r="I873" s="307">
        <v>55631</v>
      </c>
      <c r="J873" s="561">
        <f t="shared" si="48"/>
        <v>1668930</v>
      </c>
      <c r="K873" s="561">
        <f t="shared" si="49"/>
        <v>1</v>
      </c>
    </row>
    <row r="874" spans="5:11" ht="15">
      <c r="E874" s="315">
        <v>43008</v>
      </c>
      <c r="F874" s="250" t="s">
        <v>1673</v>
      </c>
      <c r="G874" s="314" t="s">
        <v>1703</v>
      </c>
      <c r="H874" s="307">
        <v>6</v>
      </c>
      <c r="I874" s="307">
        <v>190059</v>
      </c>
      <c r="J874" s="561">
        <f t="shared" si="48"/>
        <v>1140354</v>
      </c>
      <c r="K874" s="561">
        <f t="shared" si="49"/>
        <v>1</v>
      </c>
    </row>
    <row r="875" spans="5:11" ht="15">
      <c r="E875" s="315">
        <v>43008</v>
      </c>
      <c r="F875" s="250" t="s">
        <v>611</v>
      </c>
      <c r="G875" s="314" t="s">
        <v>1703</v>
      </c>
      <c r="H875" s="307">
        <v>10</v>
      </c>
      <c r="I875" s="307">
        <v>44590</v>
      </c>
      <c r="J875" s="561">
        <f t="shared" si="48"/>
        <v>445900</v>
      </c>
      <c r="K875" s="561">
        <f t="shared" si="49"/>
        <v>1</v>
      </c>
    </row>
    <row r="876" spans="5:11" ht="15">
      <c r="E876" s="315">
        <v>43008</v>
      </c>
      <c r="F876" s="250" t="s">
        <v>693</v>
      </c>
      <c r="G876" s="314" t="s">
        <v>1703</v>
      </c>
      <c r="H876" s="307">
        <v>10</v>
      </c>
      <c r="I876" s="307">
        <v>102971</v>
      </c>
      <c r="J876" s="561">
        <f t="shared" si="48"/>
        <v>1029710</v>
      </c>
      <c r="K876" s="561">
        <f t="shared" si="49"/>
        <v>1</v>
      </c>
    </row>
    <row r="877" spans="5:11" ht="15">
      <c r="E877" s="315">
        <v>43008</v>
      </c>
      <c r="F877" s="250" t="s">
        <v>1230</v>
      </c>
      <c r="G877" s="314" t="s">
        <v>1703</v>
      </c>
      <c r="H877" s="307">
        <v>5</v>
      </c>
      <c r="I877" s="307">
        <v>110349</v>
      </c>
      <c r="J877" s="561">
        <f t="shared" si="48"/>
        <v>551745</v>
      </c>
      <c r="K877" s="561">
        <f t="shared" si="49"/>
        <v>1</v>
      </c>
    </row>
    <row r="878" spans="5:11" ht="15">
      <c r="E878" s="315">
        <v>43008</v>
      </c>
      <c r="F878" s="250" t="s">
        <v>649</v>
      </c>
      <c r="G878" s="314" t="s">
        <v>1703</v>
      </c>
      <c r="H878" s="307">
        <v>8</v>
      </c>
      <c r="I878" s="307">
        <v>72521</v>
      </c>
      <c r="J878" s="561">
        <f t="shared" si="48"/>
        <v>580168</v>
      </c>
      <c r="K878" s="561">
        <f t="shared" si="49"/>
        <v>1</v>
      </c>
    </row>
    <row r="879" spans="5:11" ht="15">
      <c r="E879" s="315">
        <v>43008</v>
      </c>
      <c r="F879" s="245" t="s">
        <v>503</v>
      </c>
      <c r="G879" s="314" t="s">
        <v>1704</v>
      </c>
      <c r="H879" s="307">
        <v>2071</v>
      </c>
      <c r="I879" s="307">
        <v>8500</v>
      </c>
      <c r="J879" s="561">
        <f t="shared" si="48"/>
        <v>17603500</v>
      </c>
      <c r="K879" s="561">
        <f t="shared" si="49"/>
        <v>1</v>
      </c>
    </row>
  </sheetData>
  <autoFilter ref="A485:T532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53</vt:i4>
      </vt:variant>
    </vt:vector>
  </HeadingPairs>
  <TitlesOfParts>
    <vt:vector size="73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NXT</vt:lpstr>
      <vt:lpstr>IN-NX</vt:lpstr>
      <vt:lpstr>152-CT</vt:lpstr>
      <vt:lpstr>TK</vt:lpstr>
      <vt:lpstr>BTGT</vt:lpstr>
      <vt:lpstr>SO-TS</vt:lpstr>
      <vt:lpstr>Sheet1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2017-12-08T02:12:41Z</cp:lastPrinted>
  <dcterms:created xsi:type="dcterms:W3CDTF">1996-10-14T23:33:28Z</dcterms:created>
  <dcterms:modified xsi:type="dcterms:W3CDTF">2017-12-08T03:18:39Z</dcterms:modified>
</cp:coreProperties>
</file>